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5"/>
  <workbookPr defaultThemeVersion="166925"/>
  <mc:AlternateContent xmlns:mc="http://schemas.openxmlformats.org/markup-compatibility/2006">
    <mc:Choice Requires="x15">
      <x15ac:absPath xmlns:x15ac="http://schemas.microsoft.com/office/spreadsheetml/2010/11/ac" url="/Users/akyr103/Uni Drive/Cultural Diffusion Dynamics/SP3 NHS/"/>
    </mc:Choice>
  </mc:AlternateContent>
  <xr:revisionPtr revIDLastSave="0" documentId="13_ncr:1_{E720C5A8-3206-0C4D-96C0-27F0A19522BE}" xr6:coauthVersionLast="36" xr6:coauthVersionMax="36" xr10:uidLastSave="{00000000-0000-0000-0000-000000000000}"/>
  <bookViews>
    <workbookView xWindow="0" yWindow="0" windowWidth="25600" windowHeight="16000" xr2:uid="{110AD269-6632-3A47-8251-837C6269F33E}"/>
  </bookViews>
  <sheets>
    <sheet name="Sheet1" sheetId="1" r:id="rId1"/>
    <sheet name="languoid 4.0" sheetId="2" r:id="rId2"/>
    <sheet name="Languages" sheetId="3" r:id="rId3"/>
  </sheets>
  <definedNames>
    <definedName name="_xlnm._FilterDatabase" localSheetId="0" hidden="1">Sheet1!$A$1:$AK$2166</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1319" i="1" l="1"/>
  <c r="H878" i="1"/>
  <c r="H879" i="1"/>
  <c r="H536" i="1"/>
  <c r="H537" i="1"/>
  <c r="H538" i="1"/>
  <c r="H539" i="1"/>
  <c r="H540" i="1"/>
  <c r="H541" i="1"/>
  <c r="H463" i="1"/>
  <c r="H464" i="1"/>
  <c r="H655" i="1"/>
  <c r="H656" i="1"/>
  <c r="H657" i="1"/>
  <c r="H658" i="1"/>
  <c r="H659" i="1"/>
  <c r="H880" i="1"/>
  <c r="H1249" i="1"/>
  <c r="H1320" i="1"/>
  <c r="H1121" i="1"/>
  <c r="H1250" i="1"/>
  <c r="H582" i="1"/>
  <c r="H583" i="1"/>
  <c r="H1321" i="1"/>
  <c r="H584" i="1"/>
  <c r="H1122" i="1"/>
  <c r="H514" i="1"/>
  <c r="H515" i="1"/>
  <c r="H516" i="1"/>
  <c r="H517" i="1"/>
  <c r="H518" i="1"/>
  <c r="H519" i="1"/>
  <c r="H1086" i="1"/>
  <c r="H1123" i="1"/>
  <c r="H966" i="1"/>
  <c r="H1087" i="1"/>
  <c r="H1034" i="1"/>
  <c r="H1088" i="1"/>
  <c r="H1089" i="1"/>
  <c r="H1235" i="1"/>
  <c r="H1035" i="1"/>
  <c r="H1036" i="1"/>
  <c r="H1037" i="1"/>
  <c r="H1322" i="1"/>
  <c r="H1323" i="1"/>
  <c r="H2006" i="1"/>
  <c r="H2007" i="1"/>
  <c r="H2008" i="1"/>
  <c r="H2009" i="1"/>
  <c r="H2010" i="1"/>
  <c r="H2011" i="1"/>
  <c r="H2155" i="1"/>
  <c r="H2012" i="1"/>
  <c r="H2047" i="1"/>
  <c r="H919" i="1"/>
  <c r="H920" i="1"/>
  <c r="H921" i="1"/>
  <c r="H1104" i="1"/>
  <c r="H612" i="1"/>
  <c r="H613" i="1"/>
  <c r="H614" i="1"/>
  <c r="H615" i="1"/>
  <c r="H616" i="1"/>
  <c r="H617" i="1"/>
  <c r="H618" i="1"/>
  <c r="H619" i="1"/>
  <c r="H620" i="1"/>
  <c r="H562" i="1"/>
  <c r="H75" i="1"/>
  <c r="H45" i="1"/>
  <c r="H22" i="1"/>
  <c r="H563" i="1"/>
  <c r="H564" i="1"/>
  <c r="H565" i="1"/>
  <c r="H566" i="1"/>
  <c r="H567" i="1"/>
  <c r="H568" i="1"/>
  <c r="H967" i="1"/>
  <c r="H1195" i="1"/>
  <c r="H968" i="1"/>
  <c r="H1324" i="1"/>
  <c r="H1325" i="1"/>
  <c r="H1326" i="1"/>
  <c r="H1327" i="1"/>
  <c r="H1328" i="1"/>
  <c r="H951" i="1"/>
  <c r="H1158" i="1"/>
  <c r="H1124" i="1"/>
  <c r="H1125" i="1"/>
  <c r="H688" i="1"/>
  <c r="H76" i="1"/>
  <c r="H1534" i="1"/>
  <c r="H1533" i="1"/>
  <c r="H1532" i="1"/>
  <c r="H1531" i="1"/>
  <c r="H277" i="1"/>
  <c r="H221" i="1"/>
  <c r="H350" i="1"/>
  <c r="H331" i="1"/>
  <c r="H305" i="1"/>
  <c r="H306" i="1"/>
  <c r="H2029" i="1"/>
  <c r="H845" i="1"/>
  <c r="H1540" i="1"/>
  <c r="H1541" i="1"/>
  <c r="H24" i="1"/>
  <c r="H25" i="1"/>
  <c r="H26" i="1"/>
  <c r="H2118" i="1"/>
  <c r="H2119" i="1"/>
  <c r="H1567" i="1"/>
  <c r="H1568" i="1"/>
  <c r="H1569" i="1"/>
  <c r="H1570" i="1"/>
  <c r="H689" i="1"/>
  <c r="H699" i="1"/>
  <c r="H2060" i="1"/>
  <c r="H2063" i="1"/>
  <c r="H50" i="1"/>
  <c r="H51" i="1"/>
  <c r="H52" i="1"/>
  <c r="H1677" i="1"/>
  <c r="H1837" i="1"/>
  <c r="H1838" i="1"/>
  <c r="H1797" i="1"/>
  <c r="H1887" i="1"/>
  <c r="H1761" i="1"/>
  <c r="H969" i="1"/>
  <c r="H1251" i="1"/>
  <c r="H172" i="1"/>
  <c r="H1396" i="1"/>
  <c r="H124" i="1"/>
  <c r="H116" i="1"/>
  <c r="H119" i="1"/>
  <c r="H1804" i="1"/>
  <c r="H1782" i="1"/>
  <c r="H1813" i="1"/>
  <c r="H1883" i="1"/>
  <c r="H1337" i="1"/>
  <c r="H1338" i="1"/>
  <c r="H1884" i="1"/>
  <c r="H1880" i="1"/>
  <c r="H1885" i="1"/>
  <c r="H1892" i="1"/>
  <c r="H1836" i="1"/>
  <c r="H1200" i="1"/>
  <c r="H1264" i="1"/>
  <c r="H1201" i="1"/>
  <c r="H307" i="1"/>
  <c r="H278" i="1"/>
  <c r="H279" i="1"/>
  <c r="H1202" i="1"/>
  <c r="H897" i="1"/>
  <c r="H1093" i="1"/>
  <c r="H898" i="1"/>
  <c r="H1849" i="1"/>
  <c r="H1886" i="1"/>
  <c r="H1203" i="1"/>
  <c r="H1265" i="1"/>
  <c r="H1339" i="1"/>
  <c r="H1340" i="1"/>
  <c r="H1341" i="1"/>
  <c r="H1266" i="1"/>
  <c r="H1094" i="1"/>
  <c r="H1005" i="1"/>
  <c r="H1347" i="1"/>
  <c r="H1282" i="1"/>
  <c r="H793" i="1"/>
  <c r="H794" i="1"/>
  <c r="H1283" i="1"/>
  <c r="H366" i="1"/>
  <c r="H1699" i="1"/>
  <c r="H342" i="1"/>
  <c r="H343" i="1"/>
  <c r="H523" i="1"/>
  <c r="H326" i="1"/>
  <c r="H327" i="1"/>
  <c r="H328" i="1"/>
  <c r="H570" i="1"/>
  <c r="H253" i="1"/>
  <c r="H99" i="1"/>
  <c r="H837" i="1"/>
  <c r="H838" i="1"/>
  <c r="H27" i="1"/>
  <c r="H28" i="1"/>
  <c r="H29" i="1"/>
  <c r="H30" i="1"/>
  <c r="H31" i="1"/>
  <c r="H32" i="1"/>
  <c r="H233" i="1"/>
  <c r="H234" i="1"/>
  <c r="H53" i="1"/>
  <c r="H54" i="1"/>
  <c r="H55" i="1"/>
  <c r="H100" i="1"/>
  <c r="H56" i="1"/>
  <c r="H319" i="1"/>
  <c r="H320" i="1"/>
  <c r="H351" i="1"/>
  <c r="H352" i="1"/>
  <c r="H353" i="1"/>
  <c r="H321" i="1"/>
  <c r="H262" i="1"/>
  <c r="H57" i="1"/>
  <c r="H77" i="1"/>
  <c r="H78" i="1"/>
  <c r="H111" i="1"/>
  <c r="H112" i="1"/>
  <c r="H96" i="1"/>
  <c r="H113" i="1"/>
  <c r="H39" i="1"/>
  <c r="H1006" i="1"/>
  <c r="H1348" i="1"/>
  <c r="H101" i="1"/>
  <c r="H1866" i="1"/>
  <c r="H1867" i="1"/>
  <c r="H1868" i="1"/>
  <c r="H1869" i="1"/>
  <c r="H235" i="1"/>
  <c r="H315" i="1"/>
  <c r="H297" i="1"/>
  <c r="H298" i="1"/>
  <c r="H299" i="1"/>
  <c r="H208" i="1"/>
  <c r="H209" i="1"/>
  <c r="H210" i="1"/>
  <c r="H344" i="1"/>
  <c r="H211" i="1"/>
  <c r="H270" i="1"/>
  <c r="H1482" i="1"/>
  <c r="H1483" i="1"/>
  <c r="H666" i="1"/>
  <c r="H628" i="1"/>
  <c r="H421" i="1"/>
  <c r="H629" i="1"/>
  <c r="H591" i="1"/>
  <c r="H592" i="1"/>
  <c r="H593" i="1"/>
  <c r="H422" i="1"/>
  <c r="H594" i="1"/>
  <c r="H300" i="1"/>
  <c r="H345" i="1"/>
  <c r="H301" i="1"/>
  <c r="H630" i="1"/>
  <c r="H631" i="1"/>
  <c r="H632" i="1"/>
  <c r="H329" i="1"/>
  <c r="H285" i="1"/>
  <c r="H286" i="1"/>
  <c r="H287" i="1"/>
  <c r="H288" i="1"/>
  <c r="H289" i="1"/>
  <c r="H290" i="1"/>
  <c r="H291" i="1"/>
  <c r="H292" i="1"/>
  <c r="H227" i="1"/>
  <c r="H236" i="1"/>
  <c r="H237" i="1"/>
  <c r="H238" i="1"/>
  <c r="H239" i="1"/>
  <c r="H240" i="1"/>
  <c r="H241" i="1"/>
  <c r="H254" i="1"/>
  <c r="H1484" i="1"/>
  <c r="H1464" i="1"/>
  <c r="H255" i="1"/>
  <c r="H256" i="1"/>
  <c r="H257" i="1"/>
  <c r="H258" i="1"/>
  <c r="H259" i="1"/>
  <c r="H316" i="1"/>
  <c r="H317" i="1"/>
  <c r="H318" i="1"/>
  <c r="H271" i="1"/>
  <c r="H272" i="1"/>
  <c r="H273" i="1"/>
  <c r="H274" i="1"/>
  <c r="H275" i="1"/>
  <c r="H276" i="1"/>
  <c r="H346" i="1"/>
  <c r="H347" i="1"/>
  <c r="H348" i="1"/>
  <c r="H349" i="1"/>
  <c r="H330" i="1"/>
  <c r="H302" i="1"/>
  <c r="H303" i="1"/>
  <c r="H304" i="1"/>
  <c r="H1461" i="1"/>
  <c r="H1462" i="1"/>
  <c r="H1463" i="1"/>
  <c r="H1486" i="1"/>
  <c r="H1487" i="1"/>
  <c r="H660" i="1"/>
  <c r="H1477" i="1"/>
  <c r="H1478" i="1"/>
  <c r="H832" i="1"/>
  <c r="H833" i="1"/>
  <c r="H834" i="1"/>
  <c r="H839" i="1"/>
  <c r="H840" i="1"/>
  <c r="H841" i="1"/>
  <c r="H836" i="1"/>
  <c r="H1405" i="1"/>
  <c r="H1402" i="1"/>
  <c r="H1404" i="1"/>
  <c r="H1406" i="1"/>
  <c r="H2160" i="1"/>
  <c r="H2076" i="1"/>
  <c r="H1401" i="1"/>
  <c r="H1399" i="1"/>
  <c r="H661" i="1"/>
  <c r="H621" i="1"/>
  <c r="H933" i="1"/>
  <c r="H1364" i="1"/>
  <c r="H1228" i="1"/>
  <c r="H1011" i="1"/>
  <c r="H1814" i="1"/>
  <c r="H1231" i="1"/>
  <c r="H1368" i="1"/>
  <c r="H125" i="1"/>
  <c r="H547" i="1"/>
  <c r="H571" i="1"/>
  <c r="H633" i="1"/>
  <c r="H472" i="1"/>
  <c r="H634" i="1"/>
  <c r="H496" i="1"/>
  <c r="H423" i="1"/>
  <c r="H1027" i="1"/>
  <c r="H1038" i="1"/>
  <c r="H742" i="1"/>
  <c r="H1631" i="1"/>
  <c r="H755" i="1"/>
  <c r="H188" i="1"/>
  <c r="H1252" i="1"/>
  <c r="H1090" i="1"/>
  <c r="H824" i="1"/>
  <c r="H835" i="1"/>
  <c r="H825" i="1"/>
  <c r="H842" i="1"/>
  <c r="H843" i="1"/>
  <c r="H844" i="1"/>
  <c r="H942" i="1"/>
  <c r="H943" i="1"/>
  <c r="H635" i="1"/>
  <c r="H473" i="1"/>
  <c r="H572" i="1"/>
  <c r="H424" i="1"/>
  <c r="H573" i="1"/>
  <c r="H425" i="1"/>
  <c r="H380" i="1"/>
  <c r="H46" i="1"/>
  <c r="H61" i="1"/>
  <c r="H98" i="1"/>
  <c r="H903" i="1"/>
  <c r="H990" i="1"/>
  <c r="H1268" i="1"/>
  <c r="H904" i="1"/>
  <c r="H991" i="1"/>
  <c r="H992" i="1"/>
  <c r="H993" i="1"/>
  <c r="H1269" i="1"/>
  <c r="H1096" i="1"/>
  <c r="H994" i="1"/>
  <c r="H995" i="1"/>
  <c r="H1270" i="1"/>
  <c r="H106" i="1"/>
  <c r="H95" i="1"/>
  <c r="H47" i="1"/>
  <c r="H62" i="1"/>
  <c r="H107" i="1"/>
  <c r="H108" i="1"/>
  <c r="H109" i="1"/>
  <c r="H110" i="1"/>
  <c r="H48" i="1"/>
  <c r="H934" i="1"/>
  <c r="H1073" i="1"/>
  <c r="H1078" i="1"/>
  <c r="H2090" i="1"/>
  <c r="H2165" i="1"/>
  <c r="H944" i="1"/>
  <c r="H1305" i="1"/>
  <c r="H1369" i="1"/>
  <c r="H1306" i="1"/>
  <c r="H371" i="1"/>
  <c r="H377" i="1"/>
  <c r="H372" i="1"/>
  <c r="H364" i="1"/>
  <c r="H622" i="1"/>
  <c r="H415" i="1"/>
  <c r="H996" i="1"/>
  <c r="H997" i="1"/>
  <c r="H905" i="1"/>
  <c r="H1172" i="1"/>
  <c r="H906" i="1"/>
  <c r="H907" i="1"/>
  <c r="H63" i="1"/>
  <c r="H64" i="1"/>
  <c r="H65" i="1"/>
  <c r="H66" i="1"/>
  <c r="H67" i="1"/>
  <c r="H68" i="1"/>
  <c r="H69" i="1"/>
  <c r="H1032" i="1"/>
  <c r="H1314" i="1"/>
  <c r="H935" i="1"/>
  <c r="H1798" i="1"/>
  <c r="H1307" i="1"/>
  <c r="H102" i="1"/>
  <c r="H103" i="1"/>
  <c r="H1308" i="1"/>
  <c r="H1309" i="1"/>
  <c r="H1302" i="1"/>
  <c r="H1079" i="1"/>
  <c r="H1777" i="1"/>
  <c r="H945" i="1"/>
  <c r="H1080" i="1"/>
  <c r="H1081" i="1"/>
  <c r="H308" i="1"/>
  <c r="H33" i="1"/>
  <c r="H775" i="1"/>
  <c r="H34" i="1"/>
  <c r="H1799" i="1"/>
  <c r="H922" i="1"/>
  <c r="H1788" i="1"/>
  <c r="H1789" i="1"/>
  <c r="H1824" i="1"/>
  <c r="H972" i="1"/>
  <c r="H776" i="1"/>
  <c r="H1825" i="1"/>
  <c r="H790" i="1"/>
  <c r="H962" i="1"/>
  <c r="H963" i="1"/>
  <c r="H1236" i="1"/>
  <c r="H1315" i="1"/>
  <c r="H623" i="1"/>
  <c r="H585" i="1"/>
  <c r="H2141" i="1"/>
  <c r="H1717" i="1"/>
  <c r="H1719" i="1"/>
  <c r="H1237" i="1"/>
  <c r="H1342" i="1"/>
  <c r="H900" i="1"/>
  <c r="H1610" i="1"/>
  <c r="H1692" i="1"/>
  <c r="H491" i="1"/>
  <c r="H2038" i="1"/>
  <c r="H586" i="1"/>
  <c r="H378" i="1"/>
  <c r="H365" i="1"/>
  <c r="H362" i="1"/>
  <c r="H363" i="1"/>
  <c r="H1018" i="1"/>
  <c r="H1365" i="1"/>
  <c r="H1019" i="1"/>
  <c r="H1074" i="1"/>
  <c r="H1697" i="1"/>
  <c r="H1473" i="1"/>
  <c r="H526" i="1"/>
  <c r="H1774" i="1"/>
  <c r="H1790" i="1"/>
  <c r="H1791" i="1"/>
  <c r="H1792" i="1"/>
  <c r="H1793" i="1"/>
  <c r="H492" i="1"/>
  <c r="H1701" i="1"/>
  <c r="H1800" i="1"/>
  <c r="H1775" i="1"/>
  <c r="H1826" i="1"/>
  <c r="H1794" i="1"/>
  <c r="H437" i="1"/>
  <c r="H587" i="1"/>
  <c r="H624" i="1"/>
  <c r="H625" i="1"/>
  <c r="H416" i="1"/>
  <c r="H466" i="1"/>
  <c r="H375" i="1"/>
  <c r="H662" i="1"/>
  <c r="H493" i="1"/>
  <c r="H467" i="1"/>
  <c r="H626" i="1"/>
  <c r="H520" i="1"/>
  <c r="H468" i="1"/>
  <c r="H469" i="1"/>
  <c r="H470" i="1"/>
  <c r="H494" i="1"/>
  <c r="H495" i="1"/>
  <c r="H417" i="1"/>
  <c r="H542" i="1"/>
  <c r="H861" i="1"/>
  <c r="H862" i="1"/>
  <c r="H1696" i="1"/>
  <c r="H863" i="1"/>
  <c r="H379" i="1"/>
  <c r="H373" i="1"/>
  <c r="H471" i="1"/>
  <c r="H1028" i="1"/>
  <c r="H1622" i="1"/>
  <c r="H1619" i="1"/>
  <c r="H1310" i="1"/>
  <c r="H1311" i="1"/>
  <c r="H1312" i="1"/>
  <c r="H521" i="1"/>
  <c r="H588" i="1"/>
  <c r="H589" i="1"/>
  <c r="H418" i="1"/>
  <c r="H663" i="1"/>
  <c r="H419" i="1"/>
  <c r="H376" i="1"/>
  <c r="H263" i="1"/>
  <c r="H195" i="1"/>
  <c r="H707" i="1"/>
  <c r="H1827" i="1"/>
  <c r="H1842" i="1"/>
  <c r="H664" i="1"/>
  <c r="H665" i="1"/>
  <c r="H590" i="1"/>
  <c r="H1593" i="1"/>
  <c r="H1579" i="1"/>
  <c r="H1585" i="1"/>
  <c r="H1586" i="1"/>
  <c r="H1587" i="1"/>
  <c r="H627" i="1"/>
  <c r="H384" i="1"/>
  <c r="H522" i="1"/>
  <c r="H1580" i="1"/>
  <c r="H385" i="1"/>
  <c r="H1702" i="1"/>
  <c r="H569" i="1"/>
  <c r="H543" i="1"/>
  <c r="H1233" i="1"/>
  <c r="H672" i="1"/>
  <c r="H1303" i="1"/>
  <c r="H1366" i="1"/>
  <c r="H936" i="1"/>
  <c r="H937" i="1"/>
  <c r="H1075" i="1"/>
  <c r="H79" i="1"/>
  <c r="H80" i="1"/>
  <c r="H81" i="1"/>
  <c r="H82" i="1"/>
  <c r="H83" i="1"/>
  <c r="H84" i="1"/>
  <c r="H85" i="1"/>
  <c r="H86" i="1"/>
  <c r="H87" i="1"/>
  <c r="H88" i="1"/>
  <c r="H946" i="1"/>
  <c r="H1601" i="1"/>
  <c r="H1602" i="1"/>
  <c r="H1603" i="1"/>
  <c r="H1828" i="1"/>
  <c r="H1829" i="1"/>
  <c r="H973" i="1"/>
  <c r="H1830" i="1"/>
  <c r="H1801" i="1"/>
  <c r="H1831" i="1"/>
  <c r="H1044" i="1"/>
  <c r="H1832" i="1"/>
  <c r="H1833" i="1"/>
  <c r="H1834" i="1"/>
  <c r="H1835" i="1"/>
  <c r="H190" i="1"/>
  <c r="H2017" i="1"/>
  <c r="H1465" i="1"/>
  <c r="H710" i="1"/>
  <c r="H1710" i="1"/>
  <c r="H1511" i="1"/>
  <c r="H1503" i="1"/>
  <c r="H1493" i="1"/>
  <c r="H1316" i="1"/>
  <c r="H947" i="1"/>
  <c r="H866" i="1"/>
  <c r="H1238" i="1"/>
  <c r="H964" i="1"/>
  <c r="H1194" i="1"/>
  <c r="H1317" i="1"/>
  <c r="H1115" i="1"/>
  <c r="H1239" i="1"/>
  <c r="H196" i="1"/>
  <c r="H1536" i="1"/>
  <c r="H1562" i="1"/>
  <c r="H2073" i="1"/>
  <c r="H2057" i="1"/>
  <c r="H694" i="1"/>
  <c r="H673" i="1"/>
  <c r="H1234" i="1"/>
  <c r="H1132" i="1"/>
  <c r="H197" i="1"/>
  <c r="H223" i="1"/>
  <c r="H332" i="1"/>
  <c r="H1741" i="1"/>
  <c r="H128" i="1"/>
  <c r="H1973" i="1"/>
  <c r="H1974" i="1"/>
  <c r="H1975" i="1"/>
  <c r="H1626" i="1"/>
  <c r="H1020" i="1"/>
  <c r="H938" i="1"/>
  <c r="H1304" i="1"/>
  <c r="H1021" i="1"/>
  <c r="H1367" i="1"/>
  <c r="H2014" i="1"/>
  <c r="H1742" i="1"/>
  <c r="H1743" i="1"/>
  <c r="H1744" i="1"/>
  <c r="H1703" i="1"/>
  <c r="H1704" i="1"/>
  <c r="H1705" i="1"/>
  <c r="H1686" i="1"/>
  <c r="H1694" i="1"/>
  <c r="H1706" i="1"/>
  <c r="H1475" i="1"/>
  <c r="H1474" i="1"/>
  <c r="H1403" i="1"/>
  <c r="H1397" i="1"/>
  <c r="H1400" i="1"/>
  <c r="H1754" i="1"/>
  <c r="H1755" i="1"/>
  <c r="H2013" i="1"/>
  <c r="H1759" i="1"/>
  <c r="H1751" i="1"/>
  <c r="H1752" i="1"/>
  <c r="H1543" i="1"/>
  <c r="H1460" i="1"/>
  <c r="H2098" i="1"/>
  <c r="H1572" i="1"/>
  <c r="H1550" i="1"/>
  <c r="H1551" i="1"/>
  <c r="H1552" i="1"/>
  <c r="H1553" i="1"/>
  <c r="H1554" i="1"/>
  <c r="H1555" i="1"/>
  <c r="H97" i="1"/>
  <c r="H70" i="1"/>
  <c r="H1839" i="1"/>
  <c r="H1902" i="1"/>
  <c r="H1903" i="1"/>
  <c r="H1214" i="1"/>
  <c r="H1105" i="1"/>
  <c r="H1289" i="1"/>
  <c r="H1351" i="1"/>
  <c r="H1937" i="1"/>
  <c r="H1215" i="1"/>
  <c r="H1904" i="1"/>
  <c r="H1905" i="1"/>
  <c r="H1976" i="1"/>
  <c r="H1927" i="1"/>
  <c r="H1928" i="1"/>
  <c r="H1906" i="1"/>
  <c r="H1956" i="1"/>
  <c r="H1957" i="1"/>
  <c r="H1616" i="1"/>
  <c r="H1535" i="1"/>
  <c r="H1907" i="1"/>
  <c r="H1908" i="1"/>
  <c r="H1909" i="1"/>
  <c r="H1910" i="1"/>
  <c r="H1807" i="1"/>
  <c r="H1808" i="1"/>
  <c r="H176" i="1"/>
  <c r="H883" i="1"/>
  <c r="H884" i="1"/>
  <c r="H1041" i="1"/>
  <c r="H1795" i="1"/>
  <c r="H1796" i="1"/>
  <c r="H722" i="1"/>
  <c r="H723" i="1"/>
  <c r="H1809" i="1"/>
  <c r="H715" i="1"/>
  <c r="H2074" i="1"/>
  <c r="H1042" i="1"/>
  <c r="H1043" i="1"/>
  <c r="H1521" i="1"/>
  <c r="H1522" i="1"/>
  <c r="H1523" i="1"/>
  <c r="H1745" i="1"/>
  <c r="H1950" i="1"/>
  <c r="H923" i="1"/>
  <c r="H1254" i="1"/>
  <c r="H1255" i="1"/>
  <c r="H1161" i="1"/>
  <c r="H1162" i="1"/>
  <c r="H971" i="1"/>
  <c r="H1256" i="1"/>
  <c r="H1257" i="1"/>
  <c r="H1893" i="1"/>
  <c r="H1889" i="1"/>
  <c r="H1894" i="1"/>
  <c r="H89" i="1"/>
  <c r="H90" i="1"/>
  <c r="H91" i="1"/>
  <c r="H92" i="1"/>
  <c r="H93" i="1"/>
  <c r="H94" i="1"/>
  <c r="H2105" i="1"/>
  <c r="H2106" i="1"/>
  <c r="H1958" i="1"/>
  <c r="H1959" i="1"/>
  <c r="H1960" i="1"/>
  <c r="H71" i="1"/>
  <c r="H2159" i="1"/>
  <c r="H1724" i="1"/>
  <c r="H1725" i="1"/>
  <c r="H1731" i="1"/>
  <c r="H1408" i="1"/>
  <c r="H2137" i="1"/>
  <c r="H1575" i="1"/>
  <c r="H114" i="1"/>
  <c r="H59" i="1"/>
  <c r="H1900" i="1"/>
  <c r="H1901" i="1"/>
  <c r="H1163" i="1"/>
  <c r="H1164" i="1"/>
  <c r="H1165" i="1"/>
  <c r="H1912" i="1"/>
  <c r="H1941" i="1"/>
  <c r="H1816" i="1"/>
  <c r="H1843" i="1"/>
  <c r="H1913" i="1"/>
  <c r="H1259" i="1"/>
  <c r="H1260" i="1"/>
  <c r="H1914" i="1"/>
  <c r="H1932" i="1"/>
  <c r="H1915" i="1"/>
  <c r="H1261" i="1"/>
  <c r="H1262" i="1"/>
  <c r="H1129" i="1"/>
  <c r="H1130" i="1"/>
  <c r="H1131" i="1"/>
  <c r="H1746" i="1"/>
  <c r="H1512" i="1"/>
  <c r="H1513" i="1"/>
  <c r="H60" i="1"/>
  <c r="H2089" i="1"/>
  <c r="H2034" i="1"/>
  <c r="H104" i="1"/>
  <c r="H1676" i="1"/>
  <c r="H711" i="1"/>
  <c r="H716" i="1"/>
  <c r="H733" i="1"/>
  <c r="H158" i="1"/>
  <c r="H159" i="1"/>
  <c r="H142" i="1"/>
  <c r="H143" i="1"/>
  <c r="H144" i="1"/>
  <c r="H734" i="1"/>
  <c r="H165" i="1"/>
  <c r="H177" i="1"/>
  <c r="H178" i="1"/>
  <c r="H179" i="1"/>
  <c r="H1029" i="1"/>
  <c r="H1049" i="1"/>
  <c r="H2150" i="1"/>
  <c r="H1982" i="1"/>
  <c r="H2082" i="1"/>
  <c r="H2162" i="1"/>
  <c r="H2083" i="1"/>
  <c r="H1760" i="1"/>
  <c r="H1758" i="1"/>
  <c r="H1762" i="1"/>
  <c r="H386" i="1"/>
  <c r="H1658" i="1"/>
  <c r="H1207" i="1"/>
  <c r="H1208" i="1"/>
  <c r="H1097" i="1"/>
  <c r="H1721" i="1"/>
  <c r="H1722" i="1"/>
  <c r="H1723" i="1"/>
  <c r="H795" i="1"/>
  <c r="H796" i="1"/>
  <c r="H367" i="1"/>
  <c r="H359" i="1"/>
  <c r="H1700" i="1"/>
  <c r="H1514" i="1"/>
  <c r="H924" i="1"/>
  <c r="H1290" i="1"/>
  <c r="H925" i="1"/>
  <c r="H1352" i="1"/>
  <c r="H1183" i="1"/>
  <c r="H926" i="1"/>
  <c r="H333" i="1"/>
  <c r="H927" i="1"/>
  <c r="H1106" i="1"/>
  <c r="H322" i="1"/>
  <c r="H1291" i="1"/>
  <c r="H1292" i="1"/>
  <c r="H334" i="1"/>
  <c r="H1438" i="1"/>
  <c r="H1439" i="1"/>
  <c r="H1421" i="1"/>
  <c r="H1412" i="1"/>
  <c r="H1440" i="1"/>
  <c r="H12" i="1"/>
  <c r="H881" i="1"/>
  <c r="H882" i="1"/>
  <c r="H1504" i="1"/>
  <c r="H1505" i="1"/>
  <c r="H1506" i="1"/>
  <c r="H1515" i="1"/>
  <c r="H706" i="1"/>
  <c r="H1537" i="1"/>
  <c r="H1563" i="1"/>
  <c r="H1544" i="1"/>
  <c r="H198" i="1"/>
  <c r="H309" i="1"/>
  <c r="H199" i="1"/>
  <c r="H310" i="1"/>
  <c r="H354" i="1"/>
  <c r="H355" i="1"/>
  <c r="H356" i="1"/>
  <c r="H293" i="1"/>
  <c r="H1526" i="1"/>
  <c r="H1527" i="1"/>
  <c r="H1525" i="1"/>
  <c r="H1815" i="1"/>
  <c r="H1844" i="1"/>
  <c r="H1805" i="1"/>
  <c r="H1806" i="1"/>
  <c r="H1840" i="1"/>
  <c r="H1841" i="1"/>
  <c r="H1888" i="1"/>
  <c r="H9" i="1"/>
  <c r="H10" i="1"/>
  <c r="H19" i="1"/>
  <c r="H7" i="1"/>
  <c r="H2" i="1"/>
  <c r="H13" i="1"/>
  <c r="H14" i="1"/>
  <c r="H8" i="1"/>
  <c r="H16" i="1"/>
  <c r="H17" i="1"/>
  <c r="H11" i="1"/>
  <c r="H18" i="1"/>
  <c r="H15" i="1"/>
  <c r="H3" i="1"/>
  <c r="H1436" i="1"/>
  <c r="H200" i="1"/>
  <c r="H335" i="1"/>
  <c r="H1102" i="1"/>
  <c r="H778" i="1"/>
  <c r="H1240" i="1"/>
  <c r="H1116" i="1"/>
  <c r="H1117" i="1"/>
  <c r="H387" i="1"/>
  <c r="H527" i="1"/>
  <c r="H638" i="1"/>
  <c r="H245" i="1"/>
  <c r="H1241" i="1"/>
  <c r="H965" i="1"/>
  <c r="H2166" i="1"/>
  <c r="H2152" i="1"/>
  <c r="H2067" i="1"/>
  <c r="H2130" i="1"/>
  <c r="H2068" i="1"/>
  <c r="H2069" i="1"/>
  <c r="H2044" i="1"/>
  <c r="H948" i="1"/>
  <c r="H949" i="1"/>
  <c r="H950" i="1"/>
  <c r="H2153" i="1"/>
  <c r="H2070" i="1"/>
  <c r="H2131" i="1"/>
  <c r="H2071" i="1"/>
  <c r="H2107" i="1"/>
  <c r="H2154" i="1"/>
  <c r="H970" i="1"/>
  <c r="H1444" i="1"/>
  <c r="H1783" i="1"/>
  <c r="H1196" i="1"/>
  <c r="H1022" i="1"/>
  <c r="H1229" i="1"/>
  <c r="H1023" i="1"/>
  <c r="H1024" i="1"/>
  <c r="H2064" i="1"/>
  <c r="H974" i="1"/>
  <c r="H388" i="1"/>
  <c r="H639" i="1"/>
  <c r="H389" i="1"/>
  <c r="H640" i="1"/>
  <c r="H641" i="1"/>
  <c r="H1582" i="1"/>
  <c r="H642" i="1"/>
  <c r="H668" i="1"/>
  <c r="H497" i="1"/>
  <c r="H498" i="1"/>
  <c r="H499" i="1"/>
  <c r="H1916" i="1"/>
  <c r="H916" i="1"/>
  <c r="H1969" i="1"/>
  <c r="H779" i="1"/>
  <c r="H797" i="1"/>
  <c r="H2123" i="1"/>
  <c r="H1284" i="1"/>
  <c r="H1066" i="1"/>
  <c r="H1917" i="1"/>
  <c r="H1007" i="1"/>
  <c r="H798" i="1"/>
  <c r="H1918" i="1"/>
  <c r="H360" i="1"/>
  <c r="H368" i="1"/>
  <c r="H374" i="1"/>
  <c r="H1942" i="1"/>
  <c r="H1929" i="1"/>
  <c r="H1951" i="1"/>
  <c r="H145" i="1"/>
  <c r="H1654" i="1"/>
  <c r="H1664" i="1"/>
  <c r="H336" i="1"/>
  <c r="H337" i="1"/>
  <c r="H975" i="1"/>
  <c r="H976" i="1"/>
  <c r="H1197" i="1"/>
  <c r="H1045" i="1"/>
  <c r="H977" i="1"/>
  <c r="H978" i="1"/>
  <c r="H885" i="1"/>
  <c r="H2079" i="1"/>
  <c r="H4" i="1"/>
  <c r="H5" i="1"/>
  <c r="H6" i="1"/>
  <c r="H979" i="1"/>
  <c r="H1577" i="1"/>
  <c r="H1583" i="1"/>
  <c r="H1594" i="1"/>
  <c r="H1429" i="1"/>
  <c r="H980" i="1"/>
  <c r="H981" i="1"/>
  <c r="H2149" i="1"/>
  <c r="H1810" i="1"/>
  <c r="H1274" i="1"/>
  <c r="H2086" i="1"/>
  <c r="H1472" i="1"/>
  <c r="H1578" i="1"/>
  <c r="H1584" i="1"/>
  <c r="H264" i="1"/>
  <c r="H265" i="1"/>
  <c r="H2158" i="1"/>
  <c r="H708" i="1"/>
  <c r="H323" i="1"/>
  <c r="H280" i="1"/>
  <c r="H1592" i="1"/>
  <c r="H500" i="1"/>
  <c r="H390" i="1"/>
  <c r="H501" i="1"/>
  <c r="H502" i="1"/>
  <c r="H596" i="1"/>
  <c r="H475" i="1"/>
  <c r="H643" i="1"/>
  <c r="H574" i="1"/>
  <c r="H1588" i="1"/>
  <c r="H1589" i="1"/>
  <c r="H1595" i="1"/>
  <c r="H2161" i="1"/>
  <c r="H1441" i="1"/>
  <c r="H1409" i="1"/>
  <c r="H1410" i="1"/>
  <c r="H1819" i="1"/>
  <c r="H1784" i="1"/>
  <c r="H1772" i="1"/>
  <c r="H1773" i="1"/>
  <c r="H1008" i="1"/>
  <c r="H1349" i="1"/>
  <c r="H1285" i="1"/>
  <c r="H1181" i="1"/>
  <c r="H917" i="1"/>
  <c r="H2124" i="1"/>
  <c r="H2125" i="1"/>
  <c r="H2139" i="1"/>
  <c r="H1785" i="1"/>
  <c r="H1786" i="1"/>
  <c r="H1787" i="1"/>
  <c r="H846" i="1"/>
  <c r="H847" i="1"/>
  <c r="H442" i="1"/>
  <c r="H443" i="1"/>
  <c r="H528" i="1"/>
  <c r="H1182" i="1"/>
  <c r="H1146" i="1"/>
  <c r="H1212" i="1"/>
  <c r="H1147" i="1"/>
  <c r="H2066" i="1"/>
  <c r="H1286" i="1"/>
  <c r="H2140" i="1"/>
  <c r="H1025" i="1"/>
  <c r="H939" i="1"/>
  <c r="H1411" i="1"/>
  <c r="H1437" i="1"/>
  <c r="H1432" i="1"/>
  <c r="H1422" i="1"/>
  <c r="H1994" i="1"/>
  <c r="H1986" i="1"/>
  <c r="H2002" i="1"/>
  <c r="H2111" i="1"/>
  <c r="H1995" i="1"/>
  <c r="H2087" i="1"/>
  <c r="H2035" i="1"/>
  <c r="H2138" i="1"/>
  <c r="H2163" i="1"/>
  <c r="H183" i="1"/>
  <c r="H266" i="1"/>
  <c r="H246" i="1"/>
  <c r="H281" i="1"/>
  <c r="H282" i="1"/>
  <c r="H247" i="1"/>
  <c r="H224" i="1"/>
  <c r="H35" i="1"/>
  <c r="H324" i="1"/>
  <c r="H2037" i="1"/>
  <c r="H1189" i="1"/>
  <c r="H1190" i="1"/>
  <c r="H677" i="1"/>
  <c r="H1386" i="1"/>
  <c r="H1620" i="1"/>
  <c r="H891" i="1"/>
  <c r="H1952" i="1"/>
  <c r="H1740" i="1"/>
  <c r="H1961" i="1"/>
  <c r="H1977" i="1"/>
  <c r="H1962" i="1"/>
  <c r="H1680" i="1"/>
  <c r="H1445" i="1"/>
  <c r="H1423" i="1"/>
  <c r="H1442" i="1"/>
  <c r="H1371" i="1"/>
  <c r="H2096" i="1"/>
  <c r="H2032" i="1"/>
  <c r="H2136" i="1"/>
  <c r="H2033" i="1"/>
  <c r="H1820" i="1"/>
  <c r="H1821" i="1"/>
  <c r="H1822" i="1"/>
  <c r="H1823" i="1"/>
  <c r="H1817" i="1"/>
  <c r="H2030" i="1"/>
  <c r="H2031" i="1"/>
  <c r="H2091" i="1"/>
  <c r="H1313" i="1"/>
  <c r="H311" i="1"/>
  <c r="H960" i="1"/>
  <c r="H1113" i="1"/>
  <c r="H2108" i="1"/>
  <c r="H1329" i="1"/>
  <c r="H2117" i="1"/>
  <c r="H1330" i="1"/>
  <c r="H1166" i="1"/>
  <c r="H1778" i="1"/>
  <c r="H1779" i="1"/>
  <c r="H1167" i="1"/>
  <c r="H1818" i="1"/>
  <c r="H1802" i="1"/>
  <c r="H1803" i="1"/>
  <c r="H1780" i="1"/>
  <c r="H1811" i="1"/>
  <c r="H1114" i="1"/>
  <c r="H230" i="1"/>
  <c r="H1623" i="1"/>
  <c r="H1627" i="1"/>
  <c r="H1978" i="1"/>
  <c r="H1943" i="1"/>
  <c r="H1930" i="1"/>
  <c r="H1618" i="1"/>
  <c r="H1979" i="1"/>
  <c r="H1947" i="1"/>
  <c r="H1948" i="1"/>
  <c r="H1424" i="1"/>
  <c r="H2080" i="1"/>
  <c r="H1055" i="1"/>
  <c r="H1507" i="1"/>
  <c r="H1494" i="1"/>
  <c r="H1509" i="1"/>
  <c r="H1510" i="1"/>
  <c r="H1372" i="1"/>
  <c r="H1373" i="1"/>
  <c r="H1374" i="1"/>
  <c r="H1375" i="1"/>
  <c r="H1376" i="1"/>
  <c r="H1377" i="1"/>
  <c r="H1378" i="1"/>
  <c r="H1379" i="1"/>
  <c r="H1381" i="1"/>
  <c r="H1416" i="1"/>
  <c r="H1944" i="1"/>
  <c r="H1938" i="1"/>
  <c r="H1621" i="1"/>
  <c r="H1966" i="1"/>
  <c r="H1953" i="1"/>
  <c r="H1967" i="1"/>
  <c r="H1624" i="1"/>
  <c r="H1625" i="1"/>
  <c r="H1729" i="1"/>
  <c r="H1730" i="1"/>
  <c r="H1389" i="1"/>
  <c r="H1384" i="1"/>
  <c r="H1382" i="1"/>
  <c r="H1380" i="1"/>
  <c r="H1387" i="1"/>
  <c r="H1391" i="1"/>
  <c r="H1383" i="1"/>
  <c r="H135" i="1"/>
  <c r="H1529" i="1"/>
  <c r="H1150" i="1"/>
  <c r="H1151" i="1"/>
  <c r="H1152" i="1"/>
  <c r="H1112" i="1"/>
  <c r="H1230" i="1"/>
  <c r="H1417" i="1"/>
  <c r="H1191" i="1"/>
  <c r="H1418" i="1"/>
  <c r="H1425" i="1"/>
  <c r="H1419" i="1"/>
  <c r="H1420" i="1"/>
  <c r="H1413" i="1"/>
  <c r="H1446" i="1"/>
  <c r="H1030" i="1"/>
  <c r="H2024" i="1"/>
  <c r="H1516" i="1"/>
  <c r="H1517" i="1"/>
  <c r="H1082" i="1"/>
  <c r="H1083" i="1"/>
  <c r="H1192" i="1"/>
  <c r="H1193" i="1"/>
  <c r="H725" i="1"/>
  <c r="H1661" i="1"/>
  <c r="H748" i="1"/>
  <c r="H803" i="1"/>
  <c r="H1590" i="1"/>
  <c r="H1591" i="1"/>
  <c r="H1674" i="1"/>
  <c r="H2121" i="1"/>
  <c r="H548" i="1"/>
  <c r="H597" i="1"/>
  <c r="H529" i="1"/>
  <c r="H530" i="1"/>
  <c r="H476" i="1"/>
  <c r="H2081" i="1"/>
  <c r="H163" i="1"/>
  <c r="H153" i="1"/>
  <c r="H173" i="1"/>
  <c r="H162" i="1"/>
  <c r="H166" i="1"/>
  <c r="H167" i="1"/>
  <c r="H168" i="1"/>
  <c r="H169" i="1"/>
  <c r="H174" i="1"/>
  <c r="H1430" i="1"/>
  <c r="H1443" i="1"/>
  <c r="H1426" i="1"/>
  <c r="H1433" i="1"/>
  <c r="H1434" i="1"/>
  <c r="H1431" i="1"/>
  <c r="H1447" i="1"/>
  <c r="H1732" i="1"/>
  <c r="H1726" i="1"/>
  <c r="H1733" i="1"/>
  <c r="H1727" i="1"/>
  <c r="H1728" i="1"/>
  <c r="H1736" i="1"/>
  <c r="H1737" i="1"/>
  <c r="H1734" i="1"/>
  <c r="H1435" i="1"/>
  <c r="H1427" i="1"/>
  <c r="H1414" i="1"/>
  <c r="H1448" i="1"/>
  <c r="H1428" i="1"/>
  <c r="H1449" i="1"/>
  <c r="H1009" i="1"/>
  <c r="H2122" i="1"/>
  <c r="H1576" i="1"/>
  <c r="H1242" i="1"/>
  <c r="H1243" i="1"/>
  <c r="H1084" i="1"/>
  <c r="H867" i="1"/>
  <c r="H2053" i="1"/>
  <c r="H131" i="1"/>
  <c r="H1678" i="1"/>
  <c r="H1148" i="1"/>
  <c r="H1103" i="1"/>
  <c r="H788" i="1"/>
  <c r="H928" i="1"/>
  <c r="H1012" i="1"/>
  <c r="H1293" i="1"/>
  <c r="H1216" i="1"/>
  <c r="H1013" i="1"/>
  <c r="H1217" i="1"/>
  <c r="H1218" i="1"/>
  <c r="H154" i="1"/>
  <c r="H727" i="1"/>
  <c r="H728" i="1"/>
  <c r="H1659" i="1"/>
  <c r="H1098" i="1"/>
  <c r="H1099" i="1"/>
  <c r="H749" i="1"/>
  <c r="H750" i="1"/>
  <c r="H751" i="1"/>
  <c r="H752" i="1"/>
  <c r="H753" i="1"/>
  <c r="H785" i="1"/>
  <c r="H786" i="1"/>
  <c r="H1556" i="1"/>
  <c r="H1549" i="1"/>
  <c r="H1682" i="1"/>
  <c r="H2146" i="1"/>
  <c r="H2025" i="1"/>
  <c r="H2026" i="1"/>
  <c r="H1655" i="1"/>
  <c r="H1671" i="1"/>
  <c r="H1707" i="1"/>
  <c r="H1709" i="1"/>
  <c r="H1708" i="1"/>
  <c r="H2103" i="1"/>
  <c r="H2104" i="1"/>
  <c r="H2039" i="1"/>
  <c r="H2040" i="1"/>
  <c r="H2041" i="1"/>
  <c r="H1769" i="1"/>
  <c r="H1244" i="1"/>
  <c r="H1219" i="1"/>
  <c r="H1353" i="1"/>
  <c r="H1184" i="1"/>
  <c r="H1294" i="1"/>
  <c r="H1220" i="1"/>
  <c r="H1295" i="1"/>
  <c r="H1296" i="1"/>
  <c r="H1354" i="1"/>
  <c r="H1068" i="1"/>
  <c r="H929" i="1"/>
  <c r="H1355" i="1"/>
  <c r="H1014" i="1"/>
  <c r="H1221" i="1"/>
  <c r="H1297" i="1"/>
  <c r="H1356" i="1"/>
  <c r="H1069" i="1"/>
  <c r="H1298" i="1"/>
  <c r="H930" i="1"/>
  <c r="H1222" i="1"/>
  <c r="H1223" i="1"/>
  <c r="H1057" i="1"/>
  <c r="H1058" i="1"/>
  <c r="H719" i="1"/>
  <c r="H713" i="1"/>
  <c r="H1999" i="1"/>
  <c r="H1683" i="1"/>
  <c r="H1991" i="1"/>
  <c r="H130" i="1"/>
  <c r="H2112" i="1"/>
  <c r="H1987" i="1"/>
  <c r="H2015" i="1"/>
  <c r="H770" i="1"/>
  <c r="H2075" i="1"/>
  <c r="H2147" i="1"/>
  <c r="H2027" i="1"/>
  <c r="H1665" i="1"/>
  <c r="H1118" i="1"/>
  <c r="H1318" i="1"/>
  <c r="H1245" i="1"/>
  <c r="H1357" i="1"/>
  <c r="H729" i="1"/>
  <c r="H726" i="1"/>
  <c r="H799" i="1"/>
  <c r="H1287" i="1"/>
  <c r="H1350" i="1"/>
  <c r="H782" i="1"/>
  <c r="H783" i="1"/>
  <c r="H784" i="1"/>
  <c r="H1246" i="1"/>
  <c r="H1299" i="1"/>
  <c r="H1224" i="1"/>
  <c r="H1358" i="1"/>
  <c r="H1359" i="1"/>
  <c r="H1300" i="1"/>
  <c r="H931" i="1"/>
  <c r="H1988" i="1"/>
  <c r="H1989" i="1"/>
  <c r="H1992" i="1"/>
  <c r="H2065" i="1"/>
  <c r="H1854" i="1"/>
  <c r="H952" i="1"/>
  <c r="H1874" i="1"/>
  <c r="H1133" i="1"/>
  <c r="H1875" i="1"/>
  <c r="H1134" i="1"/>
  <c r="H1876" i="1"/>
  <c r="H1877" i="1"/>
  <c r="H985" i="1"/>
  <c r="H2094" i="1"/>
  <c r="H2148" i="1"/>
  <c r="H2114" i="1"/>
  <c r="H2115" i="1"/>
  <c r="H2095" i="1"/>
  <c r="H1963" i="1"/>
  <c r="H1980" i="1"/>
  <c r="H1931" i="1"/>
  <c r="H1981" i="1"/>
  <c r="H1735" i="1"/>
  <c r="H1645" i="1"/>
  <c r="H1738" i="1"/>
  <c r="H1652" i="1"/>
  <c r="H1739" i="1"/>
  <c r="H1263" i="1"/>
  <c r="H1968" i="1"/>
  <c r="H1681" i="1"/>
  <c r="H1679" i="1"/>
  <c r="H1271" i="1"/>
  <c r="H503" i="1"/>
  <c r="H1750" i="1"/>
  <c r="H2099" i="1"/>
  <c r="H2100" i="1"/>
  <c r="H2101" i="1"/>
  <c r="H381" i="1"/>
  <c r="H426" i="1"/>
  <c r="H2054" i="1"/>
  <c r="H1691" i="1"/>
  <c r="H595" i="1"/>
  <c r="H440" i="1"/>
  <c r="H382" i="1"/>
  <c r="H636" i="1"/>
  <c r="H637" i="1"/>
  <c r="H441" i="1"/>
  <c r="H1617" i="1"/>
  <c r="H1398" i="1"/>
  <c r="H1360" i="1"/>
  <c r="H1301" i="1"/>
  <c r="H1361" i="1"/>
  <c r="H1225" i="1"/>
  <c r="H1015" i="1"/>
  <c r="H1070" i="1"/>
  <c r="H2151" i="1"/>
  <c r="H736" i="1"/>
  <c r="H868" i="1"/>
  <c r="H1247" i="1"/>
  <c r="H869" i="1"/>
  <c r="H932" i="1"/>
  <c r="H1362" i="1"/>
  <c r="H1226" i="1"/>
  <c r="H1363" i="1"/>
  <c r="H1107" i="1"/>
  <c r="H1227" i="1"/>
  <c r="H1508" i="1"/>
  <c r="H1495" i="1"/>
  <c r="H1108" i="1"/>
  <c r="H1109" i="1"/>
  <c r="H1110" i="1"/>
  <c r="H1016" i="1"/>
  <c r="H1111" i="1"/>
  <c r="H854" i="1"/>
  <c r="H1393" i="1"/>
  <c r="H2097" i="1"/>
  <c r="H1496" i="1"/>
  <c r="H1518" i="1"/>
  <c r="H1519" i="1"/>
  <c r="H1497" i="1"/>
  <c r="H1479" i="1"/>
  <c r="H1480" i="1"/>
  <c r="H1476" i="1"/>
  <c r="H146" i="1"/>
  <c r="H147" i="1"/>
  <c r="H180" i="1"/>
  <c r="H1899" i="1"/>
  <c r="H870" i="1"/>
  <c r="H598" i="1"/>
  <c r="H477" i="1"/>
  <c r="H599" i="1"/>
  <c r="H1498" i="1"/>
  <c r="H1499" i="1"/>
  <c r="H1500" i="1"/>
  <c r="H1501" i="1"/>
  <c r="H988" i="1"/>
  <c r="H1100" i="1"/>
  <c r="H855" i="1"/>
  <c r="H856" i="1"/>
  <c r="H1502" i="1"/>
  <c r="H1520" i="1"/>
  <c r="H160" i="1"/>
  <c r="H161" i="1"/>
  <c r="H155" i="1"/>
  <c r="H149" i="1"/>
  <c r="H156" i="1"/>
  <c r="H170" i="1"/>
  <c r="H2132" i="1"/>
  <c r="H2093" i="1"/>
  <c r="H2133" i="1"/>
  <c r="H1173" i="1"/>
  <c r="H1272" i="1"/>
  <c r="H1174" i="1"/>
  <c r="H2134" i="1"/>
  <c r="H2135" i="1"/>
  <c r="H1185" i="1"/>
  <c r="H1071" i="1"/>
  <c r="H1186" i="1"/>
  <c r="H1072" i="1"/>
  <c r="H1187" i="1"/>
  <c r="H1017" i="1"/>
  <c r="H1648" i="1"/>
  <c r="H1649" i="1"/>
  <c r="H1119" i="1"/>
  <c r="H1085" i="1"/>
  <c r="H1033" i="1"/>
  <c r="H1039" i="1"/>
  <c r="H1040" i="1"/>
  <c r="H1091" i="1"/>
  <c r="H243" i="1"/>
  <c r="H1149" i="1"/>
  <c r="H1188" i="1"/>
  <c r="H1138" i="1"/>
  <c r="H1139" i="1"/>
  <c r="H1862" i="1"/>
  <c r="H1895" i="1"/>
  <c r="H1896" i="1"/>
  <c r="H1890" i="1"/>
  <c r="H1897" i="1"/>
  <c r="H1898" i="1"/>
  <c r="H1140" i="1"/>
  <c r="H1141" i="1"/>
  <c r="H1142" i="1"/>
  <c r="H1143" i="1"/>
  <c r="H1144" i="1"/>
  <c r="H853" i="1"/>
  <c r="H1770" i="1"/>
  <c r="H1771" i="1"/>
  <c r="H805" i="1"/>
  <c r="H804" i="1"/>
  <c r="H1653" i="1"/>
  <c r="H2005" i="1"/>
  <c r="H1651" i="1"/>
  <c r="H886" i="1"/>
  <c r="H1331" i="1"/>
  <c r="H1332" i="1"/>
  <c r="H858" i="1"/>
  <c r="H1646" i="1"/>
  <c r="H1650" i="1"/>
  <c r="H859" i="1"/>
  <c r="H860" i="1"/>
  <c r="H1881" i="1"/>
  <c r="H1851" i="1"/>
  <c r="H1852" i="1"/>
  <c r="H1846" i="1"/>
  <c r="H1882" i="1"/>
  <c r="H1863" i="1"/>
  <c r="H1891" i="1"/>
  <c r="H1847" i="1"/>
  <c r="H1864" i="1"/>
  <c r="H1333" i="1"/>
  <c r="H1046" i="1"/>
  <c r="H1334" i="1"/>
  <c r="H887" i="1"/>
  <c r="H1126" i="1"/>
  <c r="H1335" i="1"/>
  <c r="H1127" i="1"/>
  <c r="H888" i="1"/>
  <c r="H1258" i="1"/>
  <c r="H889" i="1"/>
  <c r="H1175" i="1"/>
  <c r="H1176" i="1"/>
  <c r="H2156" i="1"/>
  <c r="H2157" i="1"/>
  <c r="H2042" i="1"/>
  <c r="H2043" i="1"/>
  <c r="H1469" i="1"/>
  <c r="H1466" i="1"/>
  <c r="H1920" i="1"/>
  <c r="H1921" i="1"/>
  <c r="H1922" i="1"/>
  <c r="H1984" i="1"/>
  <c r="H1923" i="1"/>
  <c r="H1933" i="1"/>
  <c r="H1934" i="1"/>
  <c r="H1970" i="1"/>
  <c r="H1971" i="1"/>
  <c r="H1935" i="1"/>
  <c r="H1936" i="1"/>
  <c r="H1964" i="1"/>
  <c r="H1273" i="1"/>
  <c r="H998" i="1"/>
  <c r="H1983" i="1"/>
  <c r="H2142" i="1"/>
  <c r="H1168" i="1"/>
  <c r="H890" i="1"/>
  <c r="H1336" i="1"/>
  <c r="H1128" i="1"/>
  <c r="H1865" i="1"/>
  <c r="H1092" i="1"/>
  <c r="H1879" i="1"/>
  <c r="H1198" i="1"/>
  <c r="H1199" i="1"/>
  <c r="H1276" i="1"/>
  <c r="H1344" i="1"/>
  <c r="H1277" i="1"/>
  <c r="H1059" i="1"/>
  <c r="H912" i="1"/>
  <c r="H1060" i="1"/>
  <c r="H2109" i="1"/>
  <c r="H1647" i="1"/>
  <c r="H2110" i="1"/>
  <c r="H1047" i="1"/>
  <c r="H1858" i="1"/>
  <c r="H1048" i="1"/>
  <c r="H982" i="1"/>
  <c r="H983" i="1"/>
  <c r="H1159" i="1"/>
  <c r="H1253" i="1"/>
  <c r="H1160" i="1"/>
  <c r="H743" i="1"/>
  <c r="H2116" i="1"/>
  <c r="H1672" i="1"/>
  <c r="H1673" i="1"/>
  <c r="H1662" i="1"/>
  <c r="H1878" i="1"/>
  <c r="H1670" i="1"/>
  <c r="H1675" i="1"/>
  <c r="H1657" i="1"/>
  <c r="H1666" i="1"/>
  <c r="H670" i="1"/>
  <c r="H671" i="1"/>
  <c r="H1667" i="1"/>
  <c r="H1668" i="1"/>
  <c r="H1669" i="1"/>
  <c r="H1407" i="1"/>
  <c r="H1177" i="1"/>
  <c r="H1343" i="1"/>
  <c r="H744" i="1"/>
  <c r="H1076" i="1"/>
  <c r="H2164" i="1"/>
  <c r="H2143" i="1"/>
  <c r="H2144" i="1"/>
  <c r="H2145" i="1"/>
  <c r="H1456" i="1"/>
  <c r="H1452" i="1"/>
  <c r="H445" i="1"/>
  <c r="H446" i="1"/>
  <c r="H447" i="1"/>
  <c r="H392" i="1"/>
  <c r="H393" i="1"/>
  <c r="H394" i="1"/>
  <c r="H644" i="1"/>
  <c r="H395" i="1"/>
  <c r="H645" i="1"/>
  <c r="H646" i="1"/>
  <c r="H396" i="1"/>
  <c r="H504" i="1"/>
  <c r="H479" i="1"/>
  <c r="H397" i="1"/>
  <c r="H398" i="1"/>
  <c r="H448" i="1"/>
  <c r="H505" i="1"/>
  <c r="H449" i="1"/>
  <c r="H549" i="1"/>
  <c r="H550" i="1"/>
  <c r="H600" i="1"/>
  <c r="H601" i="1"/>
  <c r="H531" i="1"/>
  <c r="H575" i="1"/>
  <c r="H551" i="1"/>
  <c r="H602" i="1"/>
  <c r="H428" i="1"/>
  <c r="H429" i="1"/>
  <c r="H430" i="1"/>
  <c r="H1530" i="1"/>
  <c r="H1528" i="1"/>
  <c r="H1390" i="1"/>
  <c r="H1492" i="1"/>
  <c r="H705" i="1"/>
  <c r="H1157" i="1"/>
  <c r="H576" i="1"/>
  <c r="H577" i="1"/>
  <c r="H450" i="1"/>
  <c r="H451" i="1"/>
  <c r="H552" i="1"/>
  <c r="H452" i="1"/>
  <c r="H553" i="1"/>
  <c r="H554" i="1"/>
  <c r="H555" i="1"/>
  <c r="H556" i="1"/>
  <c r="H453" i="1"/>
  <c r="H557" i="1"/>
  <c r="H558" i="1"/>
  <c r="H647" i="1"/>
  <c r="H399" i="1"/>
  <c r="H578" i="1"/>
  <c r="H400" i="1"/>
  <c r="H603" i="1"/>
  <c r="H506" i="1"/>
  <c r="H431" i="1"/>
  <c r="H2062" i="1"/>
  <c r="H2120" i="1"/>
  <c r="H192" i="1"/>
  <c r="H1388" i="1"/>
  <c r="H1385" i="1"/>
  <c r="H524" i="1"/>
  <c r="H604" i="1"/>
  <c r="H525" i="1"/>
  <c r="H579" i="1"/>
  <c r="H580" i="1"/>
  <c r="H432" i="1"/>
  <c r="H648" i="1"/>
  <c r="H507" i="1"/>
  <c r="H581" i="1"/>
  <c r="H605" i="1"/>
  <c r="H606" i="1"/>
  <c r="H607" i="1"/>
  <c r="H608" i="1"/>
  <c r="H609" i="1"/>
  <c r="H649" i="1"/>
  <c r="H1169" i="1"/>
  <c r="H1170" i="1"/>
  <c r="H1171" i="1"/>
  <c r="H986" i="1"/>
  <c r="H1267" i="1"/>
  <c r="H987" i="1"/>
  <c r="H1924" i="1"/>
  <c r="H1925" i="1"/>
  <c r="H1926" i="1"/>
  <c r="H1026" i="1"/>
  <c r="H191" i="1"/>
  <c r="H1467" i="1"/>
  <c r="H766" i="1"/>
  <c r="H1468" i="1"/>
  <c r="H730" i="1"/>
  <c r="H193" i="1"/>
  <c r="H1985" i="1"/>
  <c r="H1949" i="1"/>
  <c r="H2088" i="1"/>
  <c r="H676" i="1"/>
  <c r="H1153" i="1"/>
  <c r="H1154" i="1"/>
  <c r="A1154" i="1" s="1"/>
  <c r="H1155" i="1"/>
  <c r="H1156" i="1"/>
  <c r="H1077" i="1"/>
  <c r="H1965" i="1"/>
  <c r="A1965" i="1" s="1"/>
  <c r="H1972" i="1"/>
  <c r="H1954" i="1"/>
  <c r="H1955" i="1"/>
  <c r="H2129" i="1"/>
  <c r="A2129" i="1" s="1"/>
  <c r="H1470" i="1"/>
  <c r="H767" i="1"/>
  <c r="H768" i="1"/>
  <c r="H769" i="1"/>
  <c r="A769" i="1" s="1"/>
  <c r="H2126" i="1"/>
  <c r="H2127" i="1"/>
  <c r="H2128" i="1"/>
  <c r="H1135" i="1"/>
  <c r="A1135" i="1" s="1"/>
  <c r="H1136" i="1"/>
  <c r="H1137" i="1"/>
  <c r="H1204" i="1"/>
  <c r="H1205" i="1"/>
  <c r="A1205" i="1" s="1"/>
  <c r="H1206" i="1"/>
  <c r="H954" i="1"/>
  <c r="H955" i="1"/>
  <c r="H1607" i="1"/>
  <c r="A1607" i="1" s="1"/>
  <c r="H1608" i="1"/>
  <c r="H1611" i="1"/>
  <c r="H1095" i="1"/>
  <c r="H678" i="1"/>
  <c r="A678" i="1" s="1"/>
  <c r="H136" i="1"/>
  <c r="H1457" i="1"/>
  <c r="H1458" i="1"/>
  <c r="H1459" i="1"/>
  <c r="A1459" i="1" s="1"/>
  <c r="H1996" i="1"/>
  <c r="H1997" i="1"/>
  <c r="H1998" i="1"/>
  <c r="H2000" i="1"/>
  <c r="A2000" i="1" s="1"/>
  <c r="H2001" i="1"/>
  <c r="H1684" i="1"/>
  <c r="H1857" i="1"/>
  <c r="H1870" i="1"/>
  <c r="A1870" i="1" s="1"/>
  <c r="H1871" i="1"/>
  <c r="H1209" i="1"/>
  <c r="H1178" i="1"/>
  <c r="H1061" i="1"/>
  <c r="A1061" i="1" s="1"/>
  <c r="H1101" i="1"/>
  <c r="H1179" i="1"/>
  <c r="H1210" i="1"/>
  <c r="H1451" i="1"/>
  <c r="A1451" i="1" s="1"/>
  <c r="H139" i="1"/>
  <c r="H148" i="1"/>
  <c r="H1764" i="1"/>
  <c r="H1278" i="1"/>
  <c r="A1278" i="1" s="1"/>
  <c r="H680" i="1"/>
  <c r="H1062" i="1"/>
  <c r="H681" i="1"/>
  <c r="H682" i="1"/>
  <c r="A682" i="1" s="1"/>
  <c r="H913" i="1"/>
  <c r="A913" i="1" s="1"/>
  <c r="H690" i="1"/>
  <c r="H700" i="1"/>
  <c r="H1145" i="1"/>
  <c r="A1145" i="1" s="1"/>
  <c r="H701" i="1"/>
  <c r="A701" i="1" s="1"/>
  <c r="H702" i="1"/>
  <c r="H691" i="1"/>
  <c r="H683" i="1"/>
  <c r="A683" i="1" s="1"/>
  <c r="H684" i="1"/>
  <c r="A684" i="1" s="1"/>
  <c r="H692" i="1"/>
  <c r="H999" i="1"/>
  <c r="H1453" i="1"/>
  <c r="A1453" i="1" s="1"/>
  <c r="H1454" i="1"/>
  <c r="A1454" i="1" s="1"/>
  <c r="H1455" i="1"/>
  <c r="H756" i="1"/>
  <c r="H757" i="1"/>
  <c r="A757" i="1" s="1"/>
  <c r="H244" i="1"/>
  <c r="H1415" i="1"/>
  <c r="H391" i="1"/>
  <c r="H1685" i="1"/>
  <c r="H115" i="1"/>
  <c r="H134" i="1"/>
  <c r="H1031" i="1"/>
  <c r="H2084" i="1"/>
  <c r="H49" i="1"/>
  <c r="H414" i="1"/>
  <c r="H1687" i="1"/>
  <c r="H212" i="1"/>
  <c r="H1660" i="1"/>
  <c r="H1000" i="1"/>
  <c r="H721" i="1"/>
  <c r="H1056" i="1"/>
  <c r="H229" i="1"/>
  <c r="H260" i="1"/>
  <c r="H444" i="1"/>
  <c r="H957" i="1"/>
  <c r="H117" i="1"/>
  <c r="H401" i="1"/>
  <c r="H745" i="1"/>
  <c r="H1538" i="1"/>
  <c r="H129" i="1"/>
  <c r="H480" i="1"/>
  <c r="H1471" i="1"/>
  <c r="H731" i="1"/>
  <c r="H1010" i="1"/>
  <c r="H1856" i="1"/>
  <c r="H232" i="1"/>
  <c r="H228" i="1"/>
  <c r="H901" i="1"/>
  <c r="H454" i="1"/>
  <c r="H820" i="1"/>
  <c r="H714" i="1"/>
  <c r="H152" i="1"/>
  <c r="H1663" i="1"/>
  <c r="H1063" i="1"/>
  <c r="H2078" i="1"/>
  <c r="H1993" i="1"/>
  <c r="H674" i="1"/>
  <c r="H1753" i="1"/>
  <c r="H427" i="1"/>
  <c r="H865" i="1"/>
  <c r="H1781" i="1"/>
  <c r="H1392" i="1"/>
  <c r="H242" i="1"/>
  <c r="H989" i="1"/>
  <c r="H762" i="1"/>
  <c r="H1628" i="1"/>
  <c r="H465" i="1"/>
  <c r="H758" i="1"/>
  <c r="H1581" i="1"/>
  <c r="H474" i="1"/>
  <c r="H2055" i="1"/>
  <c r="H2023" i="1"/>
  <c r="H1067" i="1"/>
  <c r="H1632" i="1"/>
  <c r="H1767" i="1"/>
  <c r="H182" i="1"/>
  <c r="H717" i="1"/>
  <c r="H58" i="1"/>
  <c r="H675" i="1"/>
  <c r="H1919" i="1"/>
  <c r="H1850" i="1"/>
  <c r="H1939" i="1"/>
  <c r="H1693" i="1"/>
  <c r="H1946" i="1"/>
  <c r="H2049" i="1"/>
  <c r="H1990" i="1"/>
  <c r="H1656" i="1"/>
  <c r="H961" i="1"/>
  <c r="H1370" i="1"/>
  <c r="H225" i="1"/>
  <c r="H959" i="1"/>
  <c r="H478" i="1"/>
  <c r="H1911" i="1"/>
  <c r="H157" i="1"/>
  <c r="H127" i="1"/>
  <c r="H222" i="1"/>
  <c r="H1547" i="1"/>
  <c r="H23" i="1"/>
  <c r="H1861" i="1"/>
  <c r="H1718" i="1"/>
  <c r="H1450" i="1"/>
  <c r="H126" i="1"/>
  <c r="H189" i="1"/>
  <c r="H669" i="1"/>
  <c r="H1606" i="1"/>
  <c r="H433" i="1"/>
  <c r="H899" i="1"/>
  <c r="H194" i="1"/>
  <c r="H251" i="1"/>
  <c r="H765" i="1"/>
  <c r="H2050" i="1"/>
  <c r="H383" i="1"/>
  <c r="H685" i="1"/>
  <c r="H1855" i="1"/>
  <c r="H226" i="1"/>
  <c r="H38" i="1"/>
  <c r="H132" i="1"/>
  <c r="H864" i="1"/>
  <c r="H1488" i="1"/>
  <c r="H40" i="1"/>
  <c r="H2085" i="1"/>
  <c r="H133" i="1"/>
  <c r="H918" i="1"/>
  <c r="H436" i="1"/>
  <c r="H821" i="1"/>
  <c r="H1596" i="1"/>
  <c r="H826" i="1"/>
  <c r="H806" i="1"/>
  <c r="H807" i="1"/>
  <c r="H1629" i="1"/>
  <c r="H1597" i="1"/>
  <c r="H1630" i="1"/>
  <c r="H1598" i="1"/>
  <c r="H2020" i="1"/>
  <c r="H808" i="1"/>
  <c r="H827" i="1"/>
  <c r="H20" i="1"/>
  <c r="H822" i="1"/>
  <c r="H41" i="1"/>
  <c r="H828" i="1"/>
  <c r="H1545" i="1"/>
  <c r="H42" i="1"/>
  <c r="H1711" i="1"/>
  <c r="H21" i="1"/>
  <c r="H36" i="1"/>
  <c r="H1845" i="1"/>
  <c r="H248" i="1"/>
  <c r="H201" i="1"/>
  <c r="H202" i="1"/>
  <c r="H283" i="1"/>
  <c r="H1605" i="1"/>
  <c r="H1638" i="1"/>
  <c r="H1599" i="1"/>
  <c r="H1600" i="1"/>
  <c r="H1604" i="1"/>
  <c r="H679" i="1"/>
  <c r="H150" i="1"/>
  <c r="H141" i="1"/>
  <c r="H1763" i="1"/>
  <c r="H1557" i="1"/>
  <c r="H1558" i="1"/>
  <c r="H1548" i="1"/>
  <c r="H249" i="1"/>
  <c r="H2048" i="1"/>
  <c r="H1542" i="1"/>
  <c r="H37" i="1"/>
  <c r="H2028" i="1"/>
  <c r="H1546" i="1"/>
  <c r="H2019" i="1"/>
  <c r="H2045" i="1"/>
  <c r="H2072" i="1"/>
  <c r="H695" i="1"/>
  <c r="H2046" i="1"/>
  <c r="H849" i="1"/>
  <c r="H848" i="1"/>
  <c r="H851" i="1"/>
  <c r="H850" i="1"/>
  <c r="H43" i="1"/>
  <c r="H1539" i="1"/>
  <c r="H1120" i="1"/>
  <c r="H213" i="1"/>
  <c r="H1712" i="1"/>
  <c r="H231" i="1"/>
  <c r="H44" i="1"/>
  <c r="H203" i="1"/>
  <c r="H204" i="1"/>
  <c r="H186" i="1"/>
  <c r="H184" i="1"/>
  <c r="H819" i="1"/>
  <c r="H185" i="1"/>
  <c r="H829" i="1"/>
  <c r="H187" i="1"/>
  <c r="H181" i="1"/>
  <c r="H1001" i="1"/>
  <c r="H914" i="1"/>
  <c r="H357" i="1"/>
  <c r="H1559" i="1"/>
  <c r="H1560" i="1"/>
  <c r="H1561" i="1"/>
  <c r="H284" i="1"/>
  <c r="H250" i="1"/>
  <c r="H823" i="1"/>
  <c r="H813" i="1"/>
  <c r="H814" i="1"/>
  <c r="H815" i="1"/>
  <c r="H816" i="1"/>
  <c r="H817" i="1"/>
  <c r="H818" i="1"/>
  <c r="H809" i="1"/>
  <c r="H1747" i="1"/>
  <c r="H1748" i="1"/>
  <c r="H667" i="1"/>
  <c r="H137" i="1"/>
  <c r="H1688" i="1"/>
  <c r="H787" i="1"/>
  <c r="H772" i="1"/>
  <c r="H958" i="1"/>
  <c r="H1002" i="1"/>
  <c r="H1064" i="1"/>
  <c r="H1695" i="1"/>
  <c r="H773" i="1"/>
  <c r="H777" i="1"/>
  <c r="H774" i="1"/>
  <c r="H780" i="1"/>
  <c r="H358" i="1"/>
  <c r="H2056" i="1"/>
  <c r="H810" i="1"/>
  <c r="H811" i="1"/>
  <c r="H830" i="1"/>
  <c r="H1394" i="1"/>
  <c r="H1395" i="1"/>
  <c r="H812" i="1"/>
  <c r="H831" i="1"/>
  <c r="H871" i="1"/>
  <c r="H872" i="1"/>
  <c r="H214" i="1"/>
  <c r="H984" i="1"/>
  <c r="H2061" i="1"/>
  <c r="H892" i="1"/>
  <c r="H893" i="1"/>
  <c r="H1050" i="1"/>
  <c r="H1051" i="1"/>
  <c r="H1853" i="1"/>
  <c r="H1848" i="1"/>
  <c r="H1859" i="1"/>
  <c r="H1872" i="1"/>
  <c r="H1873" i="1"/>
  <c r="H894" i="1"/>
  <c r="H138" i="1"/>
  <c r="H1052" i="1"/>
  <c r="H1860" i="1"/>
  <c r="H1053" i="1"/>
  <c r="H2077" i="1"/>
  <c r="H737" i="1"/>
  <c r="H1054" i="1"/>
  <c r="H895" i="1"/>
  <c r="H738" i="1"/>
  <c r="H896" i="1"/>
  <c r="H739" i="1"/>
  <c r="H1639" i="1"/>
  <c r="H1640" i="1"/>
  <c r="H1641" i="1"/>
  <c r="H1642" i="1"/>
  <c r="H2058" i="1"/>
  <c r="H2059" i="1"/>
  <c r="H455" i="1"/>
  <c r="H481" i="1"/>
  <c r="H696" i="1"/>
  <c r="H693" i="1"/>
  <c r="H2051" i="1"/>
  <c r="H2052" i="1"/>
  <c r="H2036" i="1"/>
  <c r="H215" i="1"/>
  <c r="H216" i="1"/>
  <c r="H261" i="1"/>
  <c r="H402" i="1"/>
  <c r="H403" i="1"/>
  <c r="H404" i="1"/>
  <c r="H434" i="1"/>
  <c r="H405" i="1"/>
  <c r="H406" i="1"/>
  <c r="H407" i="1"/>
  <c r="H408" i="1"/>
  <c r="H409" i="1"/>
  <c r="H410" i="1"/>
  <c r="H411" i="1"/>
  <c r="H482" i="1"/>
  <c r="H532" i="1"/>
  <c r="H412" i="1"/>
  <c r="H413" i="1"/>
  <c r="H533" i="1"/>
  <c r="H1749" i="1"/>
  <c r="H175" i="1"/>
  <c r="H1614" i="1"/>
  <c r="H1609" i="1"/>
  <c r="H697" i="1"/>
  <c r="H1613" i="1"/>
  <c r="H420" i="1"/>
  <c r="H295" i="1"/>
  <c r="H105" i="1"/>
  <c r="H1715" i="1"/>
  <c r="H338" i="1"/>
  <c r="H339" i="1"/>
  <c r="H340" i="1"/>
  <c r="H1714" i="1"/>
  <c r="H771" i="1"/>
  <c r="H267" i="1"/>
  <c r="H1716" i="1"/>
  <c r="H325" i="1"/>
  <c r="H1573" i="1"/>
  <c r="H72" i="1"/>
  <c r="H1713" i="1"/>
  <c r="H73" i="1"/>
  <c r="H74" i="1"/>
  <c r="H1564" i="1"/>
  <c r="H294" i="1"/>
  <c r="H1571" i="1"/>
  <c r="H709" i="1"/>
  <c r="H1565" i="1"/>
  <c r="H1574" i="1"/>
  <c r="H312" i="1"/>
  <c r="H205" i="1"/>
  <c r="H206" i="1"/>
  <c r="H313" i="1"/>
  <c r="H252" i="1"/>
  <c r="H296" i="1"/>
  <c r="H341" i="1"/>
  <c r="H217" i="1"/>
  <c r="H218" i="1"/>
  <c r="H610" i="1"/>
  <c r="H559" i="1"/>
  <c r="H560" i="1"/>
  <c r="H650" i="1"/>
  <c r="H651" i="1"/>
  <c r="H652" i="1"/>
  <c r="H508" i="1"/>
  <c r="H653" i="1"/>
  <c r="H561" i="1"/>
  <c r="H908" i="1"/>
  <c r="H909" i="1"/>
  <c r="H654" i="1"/>
  <c r="H509" i="1"/>
  <c r="H510" i="1"/>
  <c r="H511" i="1"/>
  <c r="H512" i="1"/>
  <c r="H611" i="1"/>
  <c r="H513" i="1"/>
  <c r="H759" i="1"/>
  <c r="H760" i="1"/>
  <c r="H761" i="1"/>
  <c r="H118" i="1"/>
  <c r="H1756" i="1"/>
  <c r="H2016" i="1"/>
  <c r="H1812" i="1"/>
  <c r="H438" i="1"/>
  <c r="H439" i="1"/>
  <c r="H1481" i="1"/>
  <c r="H534" i="1"/>
  <c r="H219" i="1"/>
  <c r="H1776" i="1"/>
  <c r="H1757" i="1"/>
  <c r="H1524" i="1"/>
  <c r="H544" i="1"/>
  <c r="H545" i="1"/>
  <c r="H546" i="1"/>
  <c r="H1566" i="1"/>
  <c r="H1689" i="1"/>
  <c r="H1698" i="1"/>
  <c r="H1690" i="1"/>
  <c r="H915" i="1"/>
  <c r="H1003" i="1"/>
  <c r="H1004" i="1"/>
  <c r="H1279" i="1"/>
  <c r="H1280" i="1"/>
  <c r="H1281" i="1"/>
  <c r="H1211" i="1"/>
  <c r="H1180" i="1"/>
  <c r="H1345" i="1"/>
  <c r="H1346" i="1"/>
  <c r="H369" i="1"/>
  <c r="H370" i="1"/>
  <c r="H791" i="1"/>
  <c r="H781" i="1"/>
  <c r="H1065" i="1"/>
  <c r="H800" i="1"/>
  <c r="H801" i="1"/>
  <c r="H792" i="1"/>
  <c r="H802" i="1"/>
  <c r="H789" i="1"/>
  <c r="H171" i="1"/>
  <c r="H220" i="1"/>
  <c r="H435" i="1"/>
  <c r="H456" i="1"/>
  <c r="H457" i="1"/>
  <c r="H458" i="1"/>
  <c r="H459" i="1"/>
  <c r="H460" i="1"/>
  <c r="H461" i="1"/>
  <c r="H462" i="1"/>
  <c r="H535" i="1"/>
  <c r="H1213" i="1"/>
  <c r="H1288" i="1"/>
  <c r="H483" i="1"/>
  <c r="H484" i="1"/>
  <c r="H485" i="1"/>
  <c r="H486" i="1"/>
  <c r="H487" i="1"/>
  <c r="H488" i="1"/>
  <c r="H489" i="1"/>
  <c r="H490" i="1"/>
  <c r="H686" i="1"/>
  <c r="H151" i="1"/>
  <c r="H1766" i="1"/>
  <c r="H164" i="1"/>
  <c r="H1232" i="1"/>
  <c r="H704" i="1"/>
  <c r="H1768" i="1"/>
  <c r="H1612" i="1"/>
  <c r="H2113" i="1"/>
  <c r="H687" i="1"/>
  <c r="H698" i="1"/>
  <c r="H1275" i="1"/>
  <c r="H910" i="1"/>
  <c r="H911" i="1"/>
  <c r="H735" i="1"/>
  <c r="H718" i="1"/>
  <c r="H724" i="1"/>
  <c r="H712" i="1"/>
  <c r="H732" i="1"/>
  <c r="H703" i="1"/>
  <c r="H314" i="1"/>
  <c r="H268" i="1"/>
  <c r="H269" i="1"/>
  <c r="H940" i="1"/>
  <c r="H941" i="1"/>
  <c r="H140" i="1"/>
  <c r="H2102" i="1"/>
  <c r="H740" i="1"/>
  <c r="H741" i="1"/>
  <c r="H746" i="1"/>
  <c r="H747" i="1"/>
  <c r="H754" i="1"/>
  <c r="H852" i="1"/>
  <c r="H361" i="1"/>
  <c r="H1489" i="1"/>
  <c r="H1490" i="1"/>
  <c r="A1490" i="1" s="1"/>
  <c r="H1643" i="1"/>
  <c r="A1643" i="1" s="1"/>
  <c r="H1491" i="1"/>
  <c r="A1491" i="1" s="1"/>
  <c r="H1644" i="1"/>
  <c r="A1644" i="1" s="1"/>
  <c r="H1633" i="1"/>
  <c r="A1633" i="1" s="1"/>
  <c r="H1634" i="1"/>
  <c r="A1634" i="1" s="1"/>
  <c r="H1635" i="1"/>
  <c r="A1635" i="1" s="1"/>
  <c r="H1636" i="1"/>
  <c r="A1636" i="1" s="1"/>
  <c r="H1637" i="1"/>
  <c r="A1637" i="1" s="1"/>
  <c r="H1615" i="1"/>
  <c r="A1615" i="1" s="1"/>
  <c r="H2003" i="1"/>
  <c r="A2003" i="1" s="1"/>
  <c r="H2004" i="1"/>
  <c r="A2004" i="1" s="1"/>
  <c r="H2021" i="1"/>
  <c r="A2021" i="1" s="1"/>
  <c r="H2022" i="1"/>
  <c r="A2022" i="1" s="1"/>
  <c r="H1485" i="1"/>
  <c r="A1485" i="1" s="1"/>
  <c r="H763" i="1"/>
  <c r="A763" i="1" s="1"/>
  <c r="H764" i="1"/>
  <c r="A764" i="1" s="1"/>
  <c r="H121" i="1"/>
  <c r="A121" i="1" s="1"/>
  <c r="H120" i="1"/>
  <c r="A120" i="1" s="1"/>
  <c r="H122" i="1"/>
  <c r="A122" i="1" s="1"/>
  <c r="H123" i="1"/>
  <c r="A123" i="1" s="1"/>
  <c r="H2018" i="1"/>
  <c r="A2018" i="1" s="1"/>
  <c r="H1765" i="1"/>
  <c r="A1765" i="1" s="1"/>
  <c r="H1945" i="1"/>
  <c r="A1945" i="1" s="1"/>
  <c r="H720" i="1"/>
  <c r="A720" i="1" s="1"/>
  <c r="H956" i="1"/>
  <c r="A956" i="1" s="1"/>
  <c r="H953" i="1"/>
  <c r="A953" i="1" s="1"/>
  <c r="H207" i="1"/>
  <c r="A207" i="1" s="1"/>
  <c r="H1940" i="1"/>
  <c r="A1940" i="1" s="1"/>
  <c r="H902" i="1"/>
  <c r="A902" i="1" s="1"/>
  <c r="H873" i="1"/>
  <c r="A873" i="1" s="1"/>
  <c r="H874" i="1"/>
  <c r="A874" i="1" s="1"/>
  <c r="H875" i="1"/>
  <c r="A875" i="1" s="1"/>
  <c r="H2092" i="1"/>
  <c r="A2092" i="1" s="1"/>
  <c r="H876" i="1"/>
  <c r="A876" i="1" s="1"/>
  <c r="H877" i="1"/>
  <c r="A877" i="1" s="1"/>
  <c r="H857" i="1"/>
  <c r="A857" i="1" s="1"/>
  <c r="H1248" i="1"/>
  <c r="A1248" i="1" s="1"/>
  <c r="A244" i="1"/>
  <c r="A1415" i="1"/>
  <c r="A391" i="1"/>
  <c r="A1685" i="1"/>
  <c r="A115" i="1"/>
  <c r="A134" i="1"/>
  <c r="A1031" i="1"/>
  <c r="A2084" i="1"/>
  <c r="A49" i="1"/>
  <c r="A414" i="1"/>
  <c r="A1687" i="1"/>
  <c r="A212" i="1"/>
  <c r="A1660" i="1"/>
  <c r="A1000" i="1"/>
  <c r="A721" i="1"/>
  <c r="A1056" i="1"/>
  <c r="A229" i="1"/>
  <c r="A260" i="1"/>
  <c r="A444" i="1"/>
  <c r="A957" i="1"/>
  <c r="A117" i="1"/>
  <c r="A401" i="1"/>
  <c r="A745" i="1"/>
  <c r="A1538" i="1"/>
  <c r="A129" i="1"/>
  <c r="A480" i="1"/>
  <c r="A1471" i="1"/>
  <c r="A731" i="1"/>
  <c r="A1010" i="1"/>
  <c r="A1856" i="1"/>
  <c r="A232" i="1"/>
  <c r="A228" i="1"/>
  <c r="A901" i="1"/>
  <c r="A454" i="1"/>
  <c r="A820" i="1"/>
  <c r="A714" i="1"/>
  <c r="A152" i="1"/>
  <c r="A1663" i="1"/>
  <c r="A1063" i="1"/>
  <c r="A2078" i="1"/>
  <c r="A1993" i="1"/>
  <c r="A674" i="1"/>
  <c r="A1753" i="1"/>
  <c r="A427" i="1"/>
  <c r="A865" i="1"/>
  <c r="A1781" i="1"/>
  <c r="A1392" i="1"/>
  <c r="A242" i="1"/>
  <c r="A989" i="1"/>
  <c r="A762" i="1"/>
  <c r="A1628" i="1"/>
  <c r="A465" i="1"/>
  <c r="A758" i="1"/>
  <c r="A1581" i="1"/>
  <c r="A474" i="1"/>
  <c r="A2055" i="1"/>
  <c r="A2023" i="1"/>
  <c r="A1067" i="1"/>
  <c r="A1632" i="1"/>
  <c r="A1767" i="1"/>
  <c r="A182" i="1"/>
  <c r="A717" i="1"/>
  <c r="A58" i="1"/>
  <c r="A675" i="1"/>
  <c r="A1919" i="1"/>
  <c r="A1850" i="1"/>
  <c r="A1939" i="1"/>
  <c r="A1693" i="1"/>
  <c r="A1946" i="1"/>
  <c r="A2049" i="1"/>
  <c r="A1990" i="1"/>
  <c r="A1656" i="1"/>
  <c r="A961" i="1"/>
  <c r="A1370" i="1"/>
  <c r="A225" i="1"/>
  <c r="A959" i="1"/>
  <c r="A478" i="1"/>
  <c r="A1911" i="1"/>
  <c r="A157" i="1"/>
  <c r="A127" i="1"/>
  <c r="A222" i="1"/>
  <c r="A1547" i="1"/>
  <c r="A23" i="1"/>
  <c r="A1861" i="1"/>
  <c r="A1718" i="1"/>
  <c r="A1450" i="1"/>
  <c r="A126" i="1"/>
  <c r="A189" i="1"/>
  <c r="A669" i="1"/>
  <c r="A1606" i="1"/>
  <c r="A433" i="1"/>
  <c r="A899" i="1"/>
  <c r="A194" i="1"/>
  <c r="A251" i="1"/>
  <c r="A765" i="1"/>
  <c r="A2050" i="1"/>
  <c r="A383" i="1"/>
  <c r="A685" i="1"/>
  <c r="A1855" i="1"/>
  <c r="A226" i="1"/>
  <c r="A38" i="1"/>
  <c r="A132" i="1"/>
  <c r="A864" i="1"/>
  <c r="A1488" i="1"/>
  <c r="A40" i="1"/>
  <c r="A2085" i="1"/>
  <c r="A133" i="1"/>
  <c r="A918" i="1"/>
  <c r="A436" i="1"/>
  <c r="A821" i="1"/>
  <c r="A1596" i="1"/>
  <c r="A826" i="1"/>
  <c r="A806" i="1"/>
  <c r="A807" i="1"/>
  <c r="A1629" i="1"/>
  <c r="A1597" i="1"/>
  <c r="A1630" i="1"/>
  <c r="A1598" i="1"/>
  <c r="A2020" i="1"/>
  <c r="A808" i="1"/>
  <c r="A827" i="1"/>
  <c r="A20" i="1"/>
  <c r="A822" i="1"/>
  <c r="A41" i="1"/>
  <c r="A828" i="1"/>
  <c r="A1545" i="1"/>
  <c r="A42" i="1"/>
  <c r="A1711" i="1"/>
  <c r="A21" i="1"/>
  <c r="A36" i="1"/>
  <c r="A1845" i="1"/>
  <c r="A248" i="1"/>
  <c r="A201" i="1"/>
  <c r="A202" i="1"/>
  <c r="A283" i="1"/>
  <c r="A1605" i="1"/>
  <c r="A1638" i="1"/>
  <c r="A1599" i="1"/>
  <c r="A1600" i="1"/>
  <c r="A1604" i="1"/>
  <c r="A679" i="1"/>
  <c r="A150" i="1"/>
  <c r="A141" i="1"/>
  <c r="A1763" i="1"/>
  <c r="A1557" i="1"/>
  <c r="A1558" i="1"/>
  <c r="A1548" i="1"/>
  <c r="A249" i="1"/>
  <c r="A2048" i="1"/>
  <c r="A1542" i="1"/>
  <c r="A37" i="1"/>
  <c r="A2028" i="1"/>
  <c r="A1546" i="1"/>
  <c r="A2019" i="1"/>
  <c r="A2045" i="1"/>
  <c r="A2072" i="1"/>
  <c r="A695" i="1"/>
  <c r="A2046" i="1"/>
  <c r="A849" i="1"/>
  <c r="A848" i="1"/>
  <c r="A851" i="1"/>
  <c r="A850" i="1"/>
  <c r="A43" i="1"/>
  <c r="A1539" i="1"/>
  <c r="A1120" i="1"/>
  <c r="A213" i="1"/>
  <c r="A1712" i="1"/>
  <c r="A231" i="1"/>
  <c r="A44" i="1"/>
  <c r="A203" i="1"/>
  <c r="A204" i="1"/>
  <c r="A186" i="1"/>
  <c r="A184" i="1"/>
  <c r="A819" i="1"/>
  <c r="A185" i="1"/>
  <c r="A829" i="1"/>
  <c r="A187" i="1"/>
  <c r="A181" i="1"/>
  <c r="A1001" i="1"/>
  <c r="A914" i="1"/>
  <c r="A357" i="1"/>
  <c r="A1559" i="1"/>
  <c r="A1560" i="1"/>
  <c r="A1561" i="1"/>
  <c r="A284" i="1"/>
  <c r="A250" i="1"/>
  <c r="A823" i="1"/>
  <c r="A813" i="1"/>
  <c r="A814" i="1"/>
  <c r="A815" i="1"/>
  <c r="A816" i="1"/>
  <c r="A817" i="1"/>
  <c r="A818" i="1"/>
  <c r="A809" i="1"/>
  <c r="A1747" i="1"/>
  <c r="A1748" i="1"/>
  <c r="A667" i="1"/>
  <c r="A137" i="1"/>
  <c r="A1688" i="1"/>
  <c r="A787" i="1"/>
  <c r="A772" i="1"/>
  <c r="A958" i="1"/>
  <c r="A1002" i="1"/>
  <c r="A1064" i="1"/>
  <c r="A1695" i="1"/>
  <c r="A773" i="1"/>
  <c r="A777" i="1"/>
  <c r="A774" i="1"/>
  <c r="A780" i="1"/>
  <c r="A358" i="1"/>
  <c r="A2056" i="1"/>
  <c r="A810" i="1"/>
  <c r="A811" i="1"/>
  <c r="A830" i="1"/>
  <c r="A1394" i="1"/>
  <c r="A1395" i="1"/>
  <c r="A812" i="1"/>
  <c r="A831" i="1"/>
  <c r="A871" i="1"/>
  <c r="A872" i="1"/>
  <c r="A214" i="1"/>
  <c r="A984" i="1"/>
  <c r="A2061" i="1"/>
  <c r="A892" i="1"/>
  <c r="A893" i="1"/>
  <c r="A1050" i="1"/>
  <c r="A1051" i="1"/>
  <c r="A1853" i="1"/>
  <c r="A1848" i="1"/>
  <c r="A1859" i="1"/>
  <c r="A1872" i="1"/>
  <c r="A1873" i="1"/>
  <c r="A894" i="1"/>
  <c r="A138" i="1"/>
  <c r="A1052" i="1"/>
  <c r="A1860" i="1"/>
  <c r="A1053" i="1"/>
  <c r="A2077" i="1"/>
  <c r="A737" i="1"/>
  <c r="A1054" i="1"/>
  <c r="A895" i="1"/>
  <c r="A738" i="1"/>
  <c r="A896" i="1"/>
  <c r="A739" i="1"/>
  <c r="A1639" i="1"/>
  <c r="A1640" i="1"/>
  <c r="A1641" i="1"/>
  <c r="A1642" i="1"/>
  <c r="A2058" i="1"/>
  <c r="A2059" i="1"/>
  <c r="A455" i="1"/>
  <c r="A481" i="1"/>
  <c r="A696" i="1"/>
  <c r="A693" i="1"/>
  <c r="A2051" i="1"/>
  <c r="A2052" i="1"/>
  <c r="A2036" i="1"/>
  <c r="A215" i="1"/>
  <c r="A216" i="1"/>
  <c r="A261" i="1"/>
  <c r="A402" i="1"/>
  <c r="A403" i="1"/>
  <c r="A404" i="1"/>
  <c r="A434" i="1"/>
  <c r="A405" i="1"/>
  <c r="A406" i="1"/>
  <c r="A407" i="1"/>
  <c r="A408" i="1"/>
  <c r="A409" i="1"/>
  <c r="A410" i="1"/>
  <c r="A411" i="1"/>
  <c r="A482" i="1"/>
  <c r="A532" i="1"/>
  <c r="A412" i="1"/>
  <c r="A413" i="1"/>
  <c r="A533" i="1"/>
  <c r="A1749" i="1"/>
  <c r="A175" i="1"/>
  <c r="A1614" i="1"/>
  <c r="A1609" i="1"/>
  <c r="A697" i="1"/>
  <c r="A1613" i="1"/>
  <c r="A420" i="1"/>
  <c r="A295" i="1"/>
  <c r="A105" i="1"/>
  <c r="A1715" i="1"/>
  <c r="A338" i="1"/>
  <c r="A339" i="1"/>
  <c r="A340" i="1"/>
  <c r="A1714" i="1"/>
  <c r="A771" i="1"/>
  <c r="A267" i="1"/>
  <c r="A1716" i="1"/>
  <c r="A325" i="1"/>
  <c r="A1573" i="1"/>
  <c r="A72" i="1"/>
  <c r="A1713" i="1"/>
  <c r="A73" i="1"/>
  <c r="A74" i="1"/>
  <c r="A1564" i="1"/>
  <c r="A294" i="1"/>
  <c r="A1571" i="1"/>
  <c r="A709" i="1"/>
  <c r="A1565" i="1"/>
  <c r="A1574" i="1"/>
  <c r="A312" i="1"/>
  <c r="A205" i="1"/>
  <c r="A206" i="1"/>
  <c r="A313" i="1"/>
  <c r="A252" i="1"/>
  <c r="A296" i="1"/>
  <c r="A341" i="1"/>
  <c r="A217" i="1"/>
  <c r="A218" i="1"/>
  <c r="A610" i="1"/>
  <c r="A559" i="1"/>
  <c r="A560" i="1"/>
  <c r="A650" i="1"/>
  <c r="A651" i="1"/>
  <c r="A652" i="1"/>
  <c r="A508" i="1"/>
  <c r="A653" i="1"/>
  <c r="A561" i="1"/>
  <c r="A908" i="1"/>
  <c r="A909" i="1"/>
  <c r="A654" i="1"/>
  <c r="A509" i="1"/>
  <c r="A510" i="1"/>
  <c r="A511" i="1"/>
  <c r="A512" i="1"/>
  <c r="A611" i="1"/>
  <c r="A513" i="1"/>
  <c r="A759" i="1"/>
  <c r="A760" i="1"/>
  <c r="A761" i="1"/>
  <c r="A118" i="1"/>
  <c r="A1756" i="1"/>
  <c r="A2016" i="1"/>
  <c r="A1812" i="1"/>
  <c r="A438" i="1"/>
  <c r="A439" i="1"/>
  <c r="A1481" i="1"/>
  <c r="A534" i="1"/>
  <c r="A219" i="1"/>
  <c r="A1776" i="1"/>
  <c r="A1757" i="1"/>
  <c r="A1524" i="1"/>
  <c r="A544" i="1"/>
  <c r="A545" i="1"/>
  <c r="A546" i="1"/>
  <c r="A1566" i="1"/>
  <c r="A1689" i="1"/>
  <c r="A1698" i="1"/>
  <c r="A1690" i="1"/>
  <c r="A915" i="1"/>
  <c r="A1003" i="1"/>
  <c r="A1004" i="1"/>
  <c r="A1279" i="1"/>
  <c r="A1280" i="1"/>
  <c r="A1281" i="1"/>
  <c r="A1211" i="1"/>
  <c r="A1180" i="1"/>
  <c r="A1345" i="1"/>
  <c r="A1346" i="1"/>
  <c r="A369" i="1"/>
  <c r="A370" i="1"/>
  <c r="A791" i="1"/>
  <c r="A781" i="1"/>
  <c r="A1065" i="1"/>
  <c r="A800" i="1"/>
  <c r="A801" i="1"/>
  <c r="A792" i="1"/>
  <c r="A802" i="1"/>
  <c r="A789" i="1"/>
  <c r="A171" i="1"/>
  <c r="A220" i="1"/>
  <c r="A435" i="1"/>
  <c r="A456" i="1"/>
  <c r="A457" i="1"/>
  <c r="A458" i="1"/>
  <c r="A459" i="1"/>
  <c r="A460" i="1"/>
  <c r="A461" i="1"/>
  <c r="A462" i="1"/>
  <c r="A535" i="1"/>
  <c r="A1213" i="1"/>
  <c r="A1288" i="1"/>
  <c r="A483" i="1"/>
  <c r="A484" i="1"/>
  <c r="A485" i="1"/>
  <c r="A486" i="1"/>
  <c r="A487" i="1"/>
  <c r="A488" i="1"/>
  <c r="A489" i="1"/>
  <c r="A490" i="1"/>
  <c r="A686" i="1"/>
  <c r="A151" i="1"/>
  <c r="A1766" i="1"/>
  <c r="A164" i="1"/>
  <c r="A1232" i="1"/>
  <c r="A704" i="1"/>
  <c r="A1768" i="1"/>
  <c r="A1612" i="1"/>
  <c r="A2113" i="1"/>
  <c r="A687" i="1"/>
  <c r="A698" i="1"/>
  <c r="A1275" i="1"/>
  <c r="A910" i="1"/>
  <c r="A911" i="1"/>
  <c r="A735" i="1"/>
  <c r="A718" i="1"/>
  <c r="A724" i="1"/>
  <c r="A712" i="1"/>
  <c r="A732" i="1"/>
  <c r="A703" i="1"/>
  <c r="A314" i="1"/>
  <c r="A268" i="1"/>
  <c r="A269" i="1"/>
  <c r="A940" i="1"/>
  <c r="A941" i="1"/>
  <c r="A140" i="1"/>
  <c r="A2102" i="1"/>
  <c r="A740" i="1"/>
  <c r="A741" i="1"/>
  <c r="A746" i="1"/>
  <c r="A747" i="1"/>
  <c r="A754" i="1"/>
  <c r="A852" i="1"/>
  <c r="A361" i="1"/>
  <c r="A1489" i="1"/>
  <c r="A1319" i="1"/>
  <c r="A878" i="1"/>
  <c r="A879" i="1"/>
  <c r="A536" i="1"/>
  <c r="A537" i="1"/>
  <c r="A538" i="1"/>
  <c r="A539" i="1"/>
  <c r="A540" i="1"/>
  <c r="A541" i="1"/>
  <c r="A463" i="1"/>
  <c r="A464" i="1"/>
  <c r="A655" i="1"/>
  <c r="A656" i="1"/>
  <c r="A657" i="1"/>
  <c r="A658" i="1"/>
  <c r="A659" i="1"/>
  <c r="A880" i="1"/>
  <c r="A1249" i="1"/>
  <c r="A1320" i="1"/>
  <c r="A1121" i="1"/>
  <c r="A1250" i="1"/>
  <c r="A582" i="1"/>
  <c r="A583" i="1"/>
  <c r="A1321" i="1"/>
  <c r="A584" i="1"/>
  <c r="A1122" i="1"/>
  <c r="A514" i="1"/>
  <c r="A515" i="1"/>
  <c r="A516" i="1"/>
  <c r="A517" i="1"/>
  <c r="A518" i="1"/>
  <c r="A519" i="1"/>
  <c r="A1086" i="1"/>
  <c r="A1123" i="1"/>
  <c r="A966" i="1"/>
  <c r="A1087" i="1"/>
  <c r="A1034" i="1"/>
  <c r="A1088" i="1"/>
  <c r="A1089" i="1"/>
  <c r="A1235" i="1"/>
  <c r="A1035" i="1"/>
  <c r="A1036" i="1"/>
  <c r="A1037" i="1"/>
  <c r="A1322" i="1"/>
  <c r="A1323" i="1"/>
  <c r="A2006" i="1"/>
  <c r="A2007" i="1"/>
  <c r="A2008" i="1"/>
  <c r="A2009" i="1"/>
  <c r="A2010" i="1"/>
  <c r="A2011" i="1"/>
  <c r="A2155" i="1"/>
  <c r="A2012" i="1"/>
  <c r="A2047" i="1"/>
  <c r="A919" i="1"/>
  <c r="A920" i="1"/>
  <c r="A921" i="1"/>
  <c r="A1104" i="1"/>
  <c r="A612" i="1"/>
  <c r="A613" i="1"/>
  <c r="A614" i="1"/>
  <c r="A615" i="1"/>
  <c r="A616" i="1"/>
  <c r="A617" i="1"/>
  <c r="A618" i="1"/>
  <c r="A619" i="1"/>
  <c r="A620" i="1"/>
  <c r="A562" i="1"/>
  <c r="A75" i="1"/>
  <c r="A45" i="1"/>
  <c r="A22" i="1"/>
  <c r="A563" i="1"/>
  <c r="A564" i="1"/>
  <c r="A565" i="1"/>
  <c r="A566" i="1"/>
  <c r="A567" i="1"/>
  <c r="A568" i="1"/>
  <c r="A967" i="1"/>
  <c r="A1195" i="1"/>
  <c r="A968" i="1"/>
  <c r="A1324" i="1"/>
  <c r="A1325" i="1"/>
  <c r="A1326" i="1"/>
  <c r="A1327" i="1"/>
  <c r="A1328" i="1"/>
  <c r="A951" i="1"/>
  <c r="A1158" i="1"/>
  <c r="A1124" i="1"/>
  <c r="A1125" i="1"/>
  <c r="A688" i="1"/>
  <c r="A76" i="1"/>
  <c r="A1534" i="1"/>
  <c r="A1533" i="1"/>
  <c r="A1532" i="1"/>
  <c r="A1531" i="1"/>
  <c r="A277" i="1"/>
  <c r="A221" i="1"/>
  <c r="A350" i="1"/>
  <c r="A331" i="1"/>
  <c r="A305" i="1"/>
  <c r="A306" i="1"/>
  <c r="A2029" i="1"/>
  <c r="A845" i="1"/>
  <c r="A1540" i="1"/>
  <c r="A1541" i="1"/>
  <c r="A24" i="1"/>
  <c r="A25" i="1"/>
  <c r="A26" i="1"/>
  <c r="A2118" i="1"/>
  <c r="A2119" i="1"/>
  <c r="A1567" i="1"/>
  <c r="A1568" i="1"/>
  <c r="A1569" i="1"/>
  <c r="A1570" i="1"/>
  <c r="A689" i="1"/>
  <c r="A699" i="1"/>
  <c r="A2060" i="1"/>
  <c r="A2063" i="1"/>
  <c r="A50" i="1"/>
  <c r="A51" i="1"/>
  <c r="A52" i="1"/>
  <c r="A1677" i="1"/>
  <c r="A1837" i="1"/>
  <c r="A1838" i="1"/>
  <c r="A1797" i="1"/>
  <c r="A1887" i="1"/>
  <c r="A1761" i="1"/>
  <c r="A969" i="1"/>
  <c r="A1251" i="1"/>
  <c r="A172" i="1"/>
  <c r="A1396" i="1"/>
  <c r="A124" i="1"/>
  <c r="A116" i="1"/>
  <c r="A119" i="1"/>
  <c r="A1804" i="1"/>
  <c r="A1782" i="1"/>
  <c r="A1813" i="1"/>
  <c r="A1883" i="1"/>
  <c r="A1337" i="1"/>
  <c r="A1338" i="1"/>
  <c r="A1884" i="1"/>
  <c r="A1880" i="1"/>
  <c r="A1885" i="1"/>
  <c r="A1892" i="1"/>
  <c r="A1836" i="1"/>
  <c r="A1200" i="1"/>
  <c r="A1264" i="1"/>
  <c r="A1201" i="1"/>
  <c r="A307" i="1"/>
  <c r="A278" i="1"/>
  <c r="A279" i="1"/>
  <c r="A1202" i="1"/>
  <c r="A897" i="1"/>
  <c r="A1093" i="1"/>
  <c r="A898" i="1"/>
  <c r="A1849" i="1"/>
  <c r="A1886" i="1"/>
  <c r="A1203" i="1"/>
  <c r="A1265" i="1"/>
  <c r="A1339" i="1"/>
  <c r="A1340" i="1"/>
  <c r="A1341" i="1"/>
  <c r="A1266" i="1"/>
  <c r="A1094" i="1"/>
  <c r="A1005" i="1"/>
  <c r="A1347" i="1"/>
  <c r="A1282" i="1"/>
  <c r="A793" i="1"/>
  <c r="A794" i="1"/>
  <c r="A1283" i="1"/>
  <c r="A366" i="1"/>
  <c r="A1699" i="1"/>
  <c r="A342" i="1"/>
  <c r="A343" i="1"/>
  <c r="A523" i="1"/>
  <c r="A326" i="1"/>
  <c r="A327" i="1"/>
  <c r="A328" i="1"/>
  <c r="A570" i="1"/>
  <c r="A253" i="1"/>
  <c r="A99" i="1"/>
  <c r="A837" i="1"/>
  <c r="A838" i="1"/>
  <c r="A27" i="1"/>
  <c r="A28" i="1"/>
  <c r="A29" i="1"/>
  <c r="A30" i="1"/>
  <c r="A31" i="1"/>
  <c r="A32" i="1"/>
  <c r="A233" i="1"/>
  <c r="A234" i="1"/>
  <c r="A53" i="1"/>
  <c r="A54" i="1"/>
  <c r="A55" i="1"/>
  <c r="A100" i="1"/>
  <c r="A56" i="1"/>
  <c r="A319" i="1"/>
  <c r="A320" i="1"/>
  <c r="A351" i="1"/>
  <c r="A352" i="1"/>
  <c r="A353" i="1"/>
  <c r="A321" i="1"/>
  <c r="A262" i="1"/>
  <c r="A57" i="1"/>
  <c r="A77" i="1"/>
  <c r="A78" i="1"/>
  <c r="A111" i="1"/>
  <c r="A112" i="1"/>
  <c r="A96" i="1"/>
  <c r="A113" i="1"/>
  <c r="A39" i="1"/>
  <c r="A1006" i="1"/>
  <c r="A1348" i="1"/>
  <c r="A101" i="1"/>
  <c r="A1866" i="1"/>
  <c r="A1867" i="1"/>
  <c r="A1868" i="1"/>
  <c r="A1869" i="1"/>
  <c r="A235" i="1"/>
  <c r="A315" i="1"/>
  <c r="A297" i="1"/>
  <c r="A298" i="1"/>
  <c r="A299" i="1"/>
  <c r="A208" i="1"/>
  <c r="A209" i="1"/>
  <c r="A210" i="1"/>
  <c r="A344" i="1"/>
  <c r="A211" i="1"/>
  <c r="A270" i="1"/>
  <c r="A1482" i="1"/>
  <c r="A1483" i="1"/>
  <c r="A666" i="1"/>
  <c r="A628" i="1"/>
  <c r="A421" i="1"/>
  <c r="A629" i="1"/>
  <c r="A591" i="1"/>
  <c r="A592" i="1"/>
  <c r="A593" i="1"/>
  <c r="A422" i="1"/>
  <c r="A594" i="1"/>
  <c r="A300" i="1"/>
  <c r="A345" i="1"/>
  <c r="A301" i="1"/>
  <c r="A630" i="1"/>
  <c r="A631" i="1"/>
  <c r="A632" i="1"/>
  <c r="A329" i="1"/>
  <c r="A285" i="1"/>
  <c r="A286" i="1"/>
  <c r="A287" i="1"/>
  <c r="A288" i="1"/>
  <c r="A289" i="1"/>
  <c r="A290" i="1"/>
  <c r="A291" i="1"/>
  <c r="A292" i="1"/>
  <c r="A227" i="1"/>
  <c r="A236" i="1"/>
  <c r="A237" i="1"/>
  <c r="A238" i="1"/>
  <c r="A239" i="1"/>
  <c r="A240" i="1"/>
  <c r="A241" i="1"/>
  <c r="A254" i="1"/>
  <c r="A1484" i="1"/>
  <c r="A1464" i="1"/>
  <c r="A255" i="1"/>
  <c r="A256" i="1"/>
  <c r="A257" i="1"/>
  <c r="A258" i="1"/>
  <c r="A259" i="1"/>
  <c r="A316" i="1"/>
  <c r="A317" i="1"/>
  <c r="A318" i="1"/>
  <c r="A271" i="1"/>
  <c r="A272" i="1"/>
  <c r="A273" i="1"/>
  <c r="A274" i="1"/>
  <c r="A275" i="1"/>
  <c r="A276" i="1"/>
  <c r="A346" i="1"/>
  <c r="A347" i="1"/>
  <c r="A348" i="1"/>
  <c r="A349" i="1"/>
  <c r="A330" i="1"/>
  <c r="A302" i="1"/>
  <c r="A303" i="1"/>
  <c r="A304" i="1"/>
  <c r="A1461" i="1"/>
  <c r="A1462" i="1"/>
  <c r="A1463" i="1"/>
  <c r="A1486" i="1"/>
  <c r="A1487" i="1"/>
  <c r="A660" i="1"/>
  <c r="A1477" i="1"/>
  <c r="A1478" i="1"/>
  <c r="A832" i="1"/>
  <c r="A833" i="1"/>
  <c r="A834" i="1"/>
  <c r="A839" i="1"/>
  <c r="A840" i="1"/>
  <c r="A841" i="1"/>
  <c r="A836" i="1"/>
  <c r="A1405" i="1"/>
  <c r="A1402" i="1"/>
  <c r="A1404" i="1"/>
  <c r="A1406" i="1"/>
  <c r="A2160" i="1"/>
  <c r="A2076" i="1"/>
  <c r="A1401" i="1"/>
  <c r="A1399" i="1"/>
  <c r="A661" i="1"/>
  <c r="A621" i="1"/>
  <c r="A933" i="1"/>
  <c r="A1364" i="1"/>
  <c r="A1228" i="1"/>
  <c r="A1011" i="1"/>
  <c r="A1814" i="1"/>
  <c r="A1231" i="1"/>
  <c r="A1368" i="1"/>
  <c r="A125" i="1"/>
  <c r="A547" i="1"/>
  <c r="A571" i="1"/>
  <c r="A633" i="1"/>
  <c r="A472" i="1"/>
  <c r="A634" i="1"/>
  <c r="A496" i="1"/>
  <c r="A423" i="1"/>
  <c r="A1027" i="1"/>
  <c r="A1038" i="1"/>
  <c r="A742" i="1"/>
  <c r="A1631" i="1"/>
  <c r="A755" i="1"/>
  <c r="A188" i="1"/>
  <c r="A1252" i="1"/>
  <c r="A1090" i="1"/>
  <c r="A824" i="1"/>
  <c r="A835" i="1"/>
  <c r="A825" i="1"/>
  <c r="A842" i="1"/>
  <c r="A843" i="1"/>
  <c r="A844" i="1"/>
  <c r="A942" i="1"/>
  <c r="A943" i="1"/>
  <c r="A635" i="1"/>
  <c r="A473" i="1"/>
  <c r="A572" i="1"/>
  <c r="A424" i="1"/>
  <c r="A573" i="1"/>
  <c r="A425" i="1"/>
  <c r="A380" i="1"/>
  <c r="A46" i="1"/>
  <c r="A61" i="1"/>
  <c r="A98" i="1"/>
  <c r="A903" i="1"/>
  <c r="A990" i="1"/>
  <c r="A1268" i="1"/>
  <c r="A904" i="1"/>
  <c r="A991" i="1"/>
  <c r="A992" i="1"/>
  <c r="A993" i="1"/>
  <c r="A1269" i="1"/>
  <c r="A1096" i="1"/>
  <c r="A994" i="1"/>
  <c r="A995" i="1"/>
  <c r="A1270" i="1"/>
  <c r="A106" i="1"/>
  <c r="A95" i="1"/>
  <c r="A47" i="1"/>
  <c r="A62" i="1"/>
  <c r="A107" i="1"/>
  <c r="A108" i="1"/>
  <c r="A109" i="1"/>
  <c r="A110" i="1"/>
  <c r="A48" i="1"/>
  <c r="A934" i="1"/>
  <c r="A1073" i="1"/>
  <c r="A1078" i="1"/>
  <c r="A2090" i="1"/>
  <c r="A2165" i="1"/>
  <c r="A944" i="1"/>
  <c r="A1305" i="1"/>
  <c r="A1369" i="1"/>
  <c r="A1306" i="1"/>
  <c r="A371" i="1"/>
  <c r="A377" i="1"/>
  <c r="A372" i="1"/>
  <c r="A364" i="1"/>
  <c r="A622" i="1"/>
  <c r="A415" i="1"/>
  <c r="A996" i="1"/>
  <c r="A997" i="1"/>
  <c r="A905" i="1"/>
  <c r="A1172" i="1"/>
  <c r="A906" i="1"/>
  <c r="A907" i="1"/>
  <c r="A63" i="1"/>
  <c r="A64" i="1"/>
  <c r="A65" i="1"/>
  <c r="A66" i="1"/>
  <c r="A67" i="1"/>
  <c r="A68" i="1"/>
  <c r="A69" i="1"/>
  <c r="A1032" i="1"/>
  <c r="A1314" i="1"/>
  <c r="A935" i="1"/>
  <c r="A1798" i="1"/>
  <c r="A1307" i="1"/>
  <c r="A102" i="1"/>
  <c r="A103" i="1"/>
  <c r="A1308" i="1"/>
  <c r="A1309" i="1"/>
  <c r="A1302" i="1"/>
  <c r="A1079" i="1"/>
  <c r="A1777" i="1"/>
  <c r="A945" i="1"/>
  <c r="A1080" i="1"/>
  <c r="A1081" i="1"/>
  <c r="A308" i="1"/>
  <c r="A33" i="1"/>
  <c r="A775" i="1"/>
  <c r="A34" i="1"/>
  <c r="A1799" i="1"/>
  <c r="A922" i="1"/>
  <c r="A1788" i="1"/>
  <c r="A1789" i="1"/>
  <c r="A1824" i="1"/>
  <c r="A972" i="1"/>
  <c r="A776" i="1"/>
  <c r="A1825" i="1"/>
  <c r="A790" i="1"/>
  <c r="A962" i="1"/>
  <c r="A963" i="1"/>
  <c r="A1236" i="1"/>
  <c r="A1315" i="1"/>
  <c r="A623" i="1"/>
  <c r="A585" i="1"/>
  <c r="A2141" i="1"/>
  <c r="A1717" i="1"/>
  <c r="A1719" i="1"/>
  <c r="A1237" i="1"/>
  <c r="A1342" i="1"/>
  <c r="A900" i="1"/>
  <c r="A1610" i="1"/>
  <c r="A1692" i="1"/>
  <c r="A491" i="1"/>
  <c r="A2038" i="1"/>
  <c r="A586" i="1"/>
  <c r="A378" i="1"/>
  <c r="A365" i="1"/>
  <c r="A362" i="1"/>
  <c r="A363" i="1"/>
  <c r="A1018" i="1"/>
  <c r="A1365" i="1"/>
  <c r="A1019" i="1"/>
  <c r="A1074" i="1"/>
  <c r="A1697" i="1"/>
  <c r="A1473" i="1"/>
  <c r="A526" i="1"/>
  <c r="A1774" i="1"/>
  <c r="A1790" i="1"/>
  <c r="A1791" i="1"/>
  <c r="A1792" i="1"/>
  <c r="A1793" i="1"/>
  <c r="A492" i="1"/>
  <c r="A1701" i="1"/>
  <c r="A1800" i="1"/>
  <c r="A1775" i="1"/>
  <c r="A1826" i="1"/>
  <c r="A1794" i="1"/>
  <c r="A437" i="1"/>
  <c r="A587" i="1"/>
  <c r="A624" i="1"/>
  <c r="A625" i="1"/>
  <c r="A416" i="1"/>
  <c r="A466" i="1"/>
  <c r="A375" i="1"/>
  <c r="A662" i="1"/>
  <c r="A493" i="1"/>
  <c r="A467" i="1"/>
  <c r="A626" i="1"/>
  <c r="A520" i="1"/>
  <c r="A468" i="1"/>
  <c r="A469" i="1"/>
  <c r="A470" i="1"/>
  <c r="A494" i="1"/>
  <c r="A495" i="1"/>
  <c r="A417" i="1"/>
  <c r="A542" i="1"/>
  <c r="A861" i="1"/>
  <c r="A862" i="1"/>
  <c r="A1696" i="1"/>
  <c r="A863" i="1"/>
  <c r="A379" i="1"/>
  <c r="A373" i="1"/>
  <c r="A471" i="1"/>
  <c r="A1028" i="1"/>
  <c r="A1622" i="1"/>
  <c r="A1619" i="1"/>
  <c r="A1310" i="1"/>
  <c r="A1311" i="1"/>
  <c r="A1312" i="1"/>
  <c r="A521" i="1"/>
  <c r="A588" i="1"/>
  <c r="A589" i="1"/>
  <c r="A418" i="1"/>
  <c r="A663" i="1"/>
  <c r="A419" i="1"/>
  <c r="A376" i="1"/>
  <c r="A263" i="1"/>
  <c r="A195" i="1"/>
  <c r="A707" i="1"/>
  <c r="A1827" i="1"/>
  <c r="A1842" i="1"/>
  <c r="A664" i="1"/>
  <c r="A665" i="1"/>
  <c r="A590" i="1"/>
  <c r="A1593" i="1"/>
  <c r="A1579" i="1"/>
  <c r="A1585" i="1"/>
  <c r="A1586" i="1"/>
  <c r="A1587" i="1"/>
  <c r="A627" i="1"/>
  <c r="A384" i="1"/>
  <c r="A522" i="1"/>
  <c r="A1580" i="1"/>
  <c r="A385" i="1"/>
  <c r="A1702" i="1"/>
  <c r="A569" i="1"/>
  <c r="A543" i="1"/>
  <c r="A1233" i="1"/>
  <c r="A672" i="1"/>
  <c r="A1303" i="1"/>
  <c r="A1366" i="1"/>
  <c r="A936" i="1"/>
  <c r="A937" i="1"/>
  <c r="A1075" i="1"/>
  <c r="A79" i="1"/>
  <c r="A80" i="1"/>
  <c r="A81" i="1"/>
  <c r="A82" i="1"/>
  <c r="A83" i="1"/>
  <c r="A84" i="1"/>
  <c r="A85" i="1"/>
  <c r="A86" i="1"/>
  <c r="A87" i="1"/>
  <c r="A88" i="1"/>
  <c r="A946" i="1"/>
  <c r="A1601" i="1"/>
  <c r="A1602" i="1"/>
  <c r="A1603" i="1"/>
  <c r="A1828" i="1"/>
  <c r="A1829" i="1"/>
  <c r="A973" i="1"/>
  <c r="A1830" i="1"/>
  <c r="A1801" i="1"/>
  <c r="A1831" i="1"/>
  <c r="A1044" i="1"/>
  <c r="A1832" i="1"/>
  <c r="A1833" i="1"/>
  <c r="A1834" i="1"/>
  <c r="A1835" i="1"/>
  <c r="A190" i="1"/>
  <c r="A2017" i="1"/>
  <c r="A1465" i="1"/>
  <c r="A710" i="1"/>
  <c r="A1710" i="1"/>
  <c r="A1511" i="1"/>
  <c r="A1503" i="1"/>
  <c r="A1493" i="1"/>
  <c r="A1316" i="1"/>
  <c r="A947" i="1"/>
  <c r="A866" i="1"/>
  <c r="A1238" i="1"/>
  <c r="A964" i="1"/>
  <c r="A1194" i="1"/>
  <c r="A1317" i="1"/>
  <c r="A1115" i="1"/>
  <c r="A1239" i="1"/>
  <c r="A196" i="1"/>
  <c r="A1536" i="1"/>
  <c r="A1562" i="1"/>
  <c r="A2073" i="1"/>
  <c r="A2057" i="1"/>
  <c r="A694" i="1"/>
  <c r="A673" i="1"/>
  <c r="A1234" i="1"/>
  <c r="A1132" i="1"/>
  <c r="A197" i="1"/>
  <c r="A223" i="1"/>
  <c r="A332" i="1"/>
  <c r="A1741" i="1"/>
  <c r="A128" i="1"/>
  <c r="A1973" i="1"/>
  <c r="A1974" i="1"/>
  <c r="A1975" i="1"/>
  <c r="A1626" i="1"/>
  <c r="A1020" i="1"/>
  <c r="A938" i="1"/>
  <c r="A1304" i="1"/>
  <c r="A1021" i="1"/>
  <c r="A1367" i="1"/>
  <c r="A2014" i="1"/>
  <c r="A1742" i="1"/>
  <c r="A1743" i="1"/>
  <c r="A1744" i="1"/>
  <c r="A1703" i="1"/>
  <c r="A1704" i="1"/>
  <c r="A1705" i="1"/>
  <c r="A1686" i="1"/>
  <c r="A1694" i="1"/>
  <c r="A1706" i="1"/>
  <c r="A1475" i="1"/>
  <c r="A1474" i="1"/>
  <c r="A1403" i="1"/>
  <c r="A1397" i="1"/>
  <c r="A1400" i="1"/>
  <c r="A1754" i="1"/>
  <c r="A1755" i="1"/>
  <c r="A2013" i="1"/>
  <c r="A1759" i="1"/>
  <c r="A1751" i="1"/>
  <c r="A1752" i="1"/>
  <c r="A1543" i="1"/>
  <c r="A1460" i="1"/>
  <c r="A2098" i="1"/>
  <c r="A1572" i="1"/>
  <c r="A1550" i="1"/>
  <c r="A1551" i="1"/>
  <c r="A1552" i="1"/>
  <c r="A1553" i="1"/>
  <c r="A1554" i="1"/>
  <c r="A1555" i="1"/>
  <c r="A97" i="1"/>
  <c r="A70" i="1"/>
  <c r="A1839" i="1"/>
  <c r="A1902" i="1"/>
  <c r="A1903" i="1"/>
  <c r="A1214" i="1"/>
  <c r="A1105" i="1"/>
  <c r="A1289" i="1"/>
  <c r="A1351" i="1"/>
  <c r="A1937" i="1"/>
  <c r="A1215" i="1"/>
  <c r="A1904" i="1"/>
  <c r="A1905" i="1"/>
  <c r="A1976" i="1"/>
  <c r="A1927" i="1"/>
  <c r="A1928" i="1"/>
  <c r="A1906" i="1"/>
  <c r="A1956" i="1"/>
  <c r="A1957" i="1"/>
  <c r="A1616" i="1"/>
  <c r="A1535" i="1"/>
  <c r="A1907" i="1"/>
  <c r="A1908" i="1"/>
  <c r="A1909" i="1"/>
  <c r="A1910" i="1"/>
  <c r="A1807" i="1"/>
  <c r="A1808" i="1"/>
  <c r="A176" i="1"/>
  <c r="A883" i="1"/>
  <c r="A884" i="1"/>
  <c r="A1041" i="1"/>
  <c r="A1795" i="1"/>
  <c r="A1796" i="1"/>
  <c r="A722" i="1"/>
  <c r="A723" i="1"/>
  <c r="A1809" i="1"/>
  <c r="A715" i="1"/>
  <c r="A2074" i="1"/>
  <c r="A1042" i="1"/>
  <c r="A1043" i="1"/>
  <c r="A1521" i="1"/>
  <c r="A1522" i="1"/>
  <c r="A1523" i="1"/>
  <c r="A1745" i="1"/>
  <c r="A1950" i="1"/>
  <c r="A923" i="1"/>
  <c r="A1254" i="1"/>
  <c r="A1255" i="1"/>
  <c r="A1161" i="1"/>
  <c r="A1162" i="1"/>
  <c r="A971" i="1"/>
  <c r="A1256" i="1"/>
  <c r="A1257" i="1"/>
  <c r="A1893" i="1"/>
  <c r="A1889" i="1"/>
  <c r="A1894" i="1"/>
  <c r="A89" i="1"/>
  <c r="A90" i="1"/>
  <c r="A91" i="1"/>
  <c r="A92" i="1"/>
  <c r="A93" i="1"/>
  <c r="A94" i="1"/>
  <c r="A2105" i="1"/>
  <c r="A2106" i="1"/>
  <c r="A1958" i="1"/>
  <c r="A1959" i="1"/>
  <c r="A1960" i="1"/>
  <c r="A71" i="1"/>
  <c r="A2159" i="1"/>
  <c r="A1724" i="1"/>
  <c r="A1725" i="1"/>
  <c r="A1731" i="1"/>
  <c r="A1408" i="1"/>
  <c r="A2137" i="1"/>
  <c r="A1575" i="1"/>
  <c r="A114" i="1"/>
  <c r="A59" i="1"/>
  <c r="A1900" i="1"/>
  <c r="A1901" i="1"/>
  <c r="A1163" i="1"/>
  <c r="A1164" i="1"/>
  <c r="A1165" i="1"/>
  <c r="A1912" i="1"/>
  <c r="A1941" i="1"/>
  <c r="A1816" i="1"/>
  <c r="A1843" i="1"/>
  <c r="A1913" i="1"/>
  <c r="A1259" i="1"/>
  <c r="A1260" i="1"/>
  <c r="A1914" i="1"/>
  <c r="A1932" i="1"/>
  <c r="A1915" i="1"/>
  <c r="A1261" i="1"/>
  <c r="A1262" i="1"/>
  <c r="A1129" i="1"/>
  <c r="A1130" i="1"/>
  <c r="A1131" i="1"/>
  <c r="A1746" i="1"/>
  <c r="A1512" i="1"/>
  <c r="A1513" i="1"/>
  <c r="A60" i="1"/>
  <c r="A2089" i="1"/>
  <c r="A2034" i="1"/>
  <c r="A104" i="1"/>
  <c r="A1676" i="1"/>
  <c r="A711" i="1"/>
  <c r="A716" i="1"/>
  <c r="A733" i="1"/>
  <c r="A158" i="1"/>
  <c r="A159" i="1"/>
  <c r="A142" i="1"/>
  <c r="A143" i="1"/>
  <c r="A144" i="1"/>
  <c r="A734" i="1"/>
  <c r="A165" i="1"/>
  <c r="A177" i="1"/>
  <c r="A178" i="1"/>
  <c r="A179" i="1"/>
  <c r="A1029" i="1"/>
  <c r="A1049" i="1"/>
  <c r="A2150" i="1"/>
  <c r="A1982" i="1"/>
  <c r="A2082" i="1"/>
  <c r="A2162" i="1"/>
  <c r="A2083" i="1"/>
  <c r="A1760" i="1"/>
  <c r="A1758" i="1"/>
  <c r="A1762" i="1"/>
  <c r="A386" i="1"/>
  <c r="A1658" i="1"/>
  <c r="A1207" i="1"/>
  <c r="A1208" i="1"/>
  <c r="A1097" i="1"/>
  <c r="A1721" i="1"/>
  <c r="A1722" i="1"/>
  <c r="A1723" i="1"/>
  <c r="A795" i="1"/>
  <c r="A796" i="1"/>
  <c r="A367" i="1"/>
  <c r="A359" i="1"/>
  <c r="A1700" i="1"/>
  <c r="A1514" i="1"/>
  <c r="A924" i="1"/>
  <c r="A1290" i="1"/>
  <c r="A925" i="1"/>
  <c r="A1352" i="1"/>
  <c r="A1183" i="1"/>
  <c r="A926" i="1"/>
  <c r="A333" i="1"/>
  <c r="A927" i="1"/>
  <c r="A1106" i="1"/>
  <c r="A322" i="1"/>
  <c r="A1291" i="1"/>
  <c r="A1292" i="1"/>
  <c r="A334" i="1"/>
  <c r="A1438" i="1"/>
  <c r="A1439" i="1"/>
  <c r="A1421" i="1"/>
  <c r="A1412" i="1"/>
  <c r="A1440" i="1"/>
  <c r="A12" i="1"/>
  <c r="A881" i="1"/>
  <c r="A882" i="1"/>
  <c r="A1504" i="1"/>
  <c r="A1505" i="1"/>
  <c r="A1506" i="1"/>
  <c r="A1515" i="1"/>
  <c r="A706" i="1"/>
  <c r="A1537" i="1"/>
  <c r="A1563" i="1"/>
  <c r="A1544" i="1"/>
  <c r="A198" i="1"/>
  <c r="A309" i="1"/>
  <c r="A199" i="1"/>
  <c r="A310" i="1"/>
  <c r="A354" i="1"/>
  <c r="A355" i="1"/>
  <c r="A356" i="1"/>
  <c r="A293" i="1"/>
  <c r="A1526" i="1"/>
  <c r="A1527" i="1"/>
  <c r="A1525" i="1"/>
  <c r="A1815" i="1"/>
  <c r="A1844" i="1"/>
  <c r="A1805" i="1"/>
  <c r="A1806" i="1"/>
  <c r="A1840" i="1"/>
  <c r="A1841" i="1"/>
  <c r="A1888" i="1"/>
  <c r="A9" i="1"/>
  <c r="A10" i="1"/>
  <c r="A19" i="1"/>
  <c r="A7" i="1"/>
  <c r="A2" i="1"/>
  <c r="A13" i="1"/>
  <c r="A14" i="1"/>
  <c r="A8" i="1"/>
  <c r="A16" i="1"/>
  <c r="A17" i="1"/>
  <c r="A11" i="1"/>
  <c r="A18" i="1"/>
  <c r="A15" i="1"/>
  <c r="A3" i="1"/>
  <c r="A1436" i="1"/>
  <c r="A200" i="1"/>
  <c r="A335" i="1"/>
  <c r="A1102" i="1"/>
  <c r="A778" i="1"/>
  <c r="A1240" i="1"/>
  <c r="A1116" i="1"/>
  <c r="A1117" i="1"/>
  <c r="A387" i="1"/>
  <c r="A527" i="1"/>
  <c r="A638" i="1"/>
  <c r="A245" i="1"/>
  <c r="A1241" i="1"/>
  <c r="A965" i="1"/>
  <c r="A2166" i="1"/>
  <c r="A2152" i="1"/>
  <c r="A2067" i="1"/>
  <c r="A2130" i="1"/>
  <c r="A2068" i="1"/>
  <c r="A2069" i="1"/>
  <c r="A2044" i="1"/>
  <c r="A948" i="1"/>
  <c r="A949" i="1"/>
  <c r="A950" i="1"/>
  <c r="A2153" i="1"/>
  <c r="A2070" i="1"/>
  <c r="A2131" i="1"/>
  <c r="A2071" i="1"/>
  <c r="A2107" i="1"/>
  <c r="A2154" i="1"/>
  <c r="A970" i="1"/>
  <c r="A1444" i="1"/>
  <c r="A1783" i="1"/>
  <c r="A1196" i="1"/>
  <c r="A1022" i="1"/>
  <c r="A1229" i="1"/>
  <c r="A1023" i="1"/>
  <c r="A1024" i="1"/>
  <c r="A2064" i="1"/>
  <c r="A974" i="1"/>
  <c r="A388" i="1"/>
  <c r="A639" i="1"/>
  <c r="A389" i="1"/>
  <c r="A640" i="1"/>
  <c r="A641" i="1"/>
  <c r="A1582" i="1"/>
  <c r="A642" i="1"/>
  <c r="A668" i="1"/>
  <c r="A497" i="1"/>
  <c r="A498" i="1"/>
  <c r="A499" i="1"/>
  <c r="A1916" i="1"/>
  <c r="A916" i="1"/>
  <c r="A1969" i="1"/>
  <c r="A779" i="1"/>
  <c r="A797" i="1"/>
  <c r="A2123" i="1"/>
  <c r="A1284" i="1"/>
  <c r="A1066" i="1"/>
  <c r="A1917" i="1"/>
  <c r="A1007" i="1"/>
  <c r="A798" i="1"/>
  <c r="A1918" i="1"/>
  <c r="A360" i="1"/>
  <c r="A368" i="1"/>
  <c r="A374" i="1"/>
  <c r="A1942" i="1"/>
  <c r="A1929" i="1"/>
  <c r="A1951" i="1"/>
  <c r="A145" i="1"/>
  <c r="A1654" i="1"/>
  <c r="A1664" i="1"/>
  <c r="A336" i="1"/>
  <c r="A337" i="1"/>
  <c r="A975" i="1"/>
  <c r="A976" i="1"/>
  <c r="A1197" i="1"/>
  <c r="A1045" i="1"/>
  <c r="A977" i="1"/>
  <c r="A978" i="1"/>
  <c r="A885" i="1"/>
  <c r="A2079" i="1"/>
  <c r="A4" i="1"/>
  <c r="A5" i="1"/>
  <c r="A6" i="1"/>
  <c r="A979" i="1"/>
  <c r="A1577" i="1"/>
  <c r="A1583" i="1"/>
  <c r="A1594" i="1"/>
  <c r="A1429" i="1"/>
  <c r="A980" i="1"/>
  <c r="A981" i="1"/>
  <c r="A2149" i="1"/>
  <c r="A1810" i="1"/>
  <c r="A1274" i="1"/>
  <c r="A2086" i="1"/>
  <c r="A1472" i="1"/>
  <c r="A1578" i="1"/>
  <c r="A1584" i="1"/>
  <c r="A264" i="1"/>
  <c r="A265" i="1"/>
  <c r="A2158" i="1"/>
  <c r="A708" i="1"/>
  <c r="A323" i="1"/>
  <c r="A280" i="1"/>
  <c r="A1592" i="1"/>
  <c r="A500" i="1"/>
  <c r="A390" i="1"/>
  <c r="A501" i="1"/>
  <c r="A502" i="1"/>
  <c r="A596" i="1"/>
  <c r="A475" i="1"/>
  <c r="A643" i="1"/>
  <c r="A574" i="1"/>
  <c r="A1588" i="1"/>
  <c r="A1589" i="1"/>
  <c r="A1595" i="1"/>
  <c r="A2161" i="1"/>
  <c r="A1441" i="1"/>
  <c r="A1409" i="1"/>
  <c r="A1410" i="1"/>
  <c r="A1819" i="1"/>
  <c r="A1784" i="1"/>
  <c r="A1772" i="1"/>
  <c r="A1773" i="1"/>
  <c r="A1008" i="1"/>
  <c r="A1349" i="1"/>
  <c r="A1285" i="1"/>
  <c r="A1181" i="1"/>
  <c r="A917" i="1"/>
  <c r="A2124" i="1"/>
  <c r="A2125" i="1"/>
  <c r="A2139" i="1"/>
  <c r="A1785" i="1"/>
  <c r="A1786" i="1"/>
  <c r="A1787" i="1"/>
  <c r="A846" i="1"/>
  <c r="A847" i="1"/>
  <c r="A442" i="1"/>
  <c r="A443" i="1"/>
  <c r="A528" i="1"/>
  <c r="A1182" i="1"/>
  <c r="A1146" i="1"/>
  <c r="A1212" i="1"/>
  <c r="A1147" i="1"/>
  <c r="A2066" i="1"/>
  <c r="A1286" i="1"/>
  <c r="A2140" i="1"/>
  <c r="A1025" i="1"/>
  <c r="A939" i="1"/>
  <c r="A1411" i="1"/>
  <c r="A1437" i="1"/>
  <c r="A1432" i="1"/>
  <c r="A1422" i="1"/>
  <c r="A1994" i="1"/>
  <c r="A1986" i="1"/>
  <c r="A2002" i="1"/>
  <c r="A2111" i="1"/>
  <c r="A1995" i="1"/>
  <c r="A2087" i="1"/>
  <c r="A2035" i="1"/>
  <c r="A2138" i="1"/>
  <c r="A2163" i="1"/>
  <c r="A183" i="1"/>
  <c r="A266" i="1"/>
  <c r="A246" i="1"/>
  <c r="A281" i="1"/>
  <c r="A282" i="1"/>
  <c r="A247" i="1"/>
  <c r="A224" i="1"/>
  <c r="A35" i="1"/>
  <c r="A324" i="1"/>
  <c r="A2037" i="1"/>
  <c r="A1189" i="1"/>
  <c r="A1190" i="1"/>
  <c r="A677" i="1"/>
  <c r="A1386" i="1"/>
  <c r="A1620" i="1"/>
  <c r="A891" i="1"/>
  <c r="A1952" i="1"/>
  <c r="A1740" i="1"/>
  <c r="A1961" i="1"/>
  <c r="A1977" i="1"/>
  <c r="A1962" i="1"/>
  <c r="A1680" i="1"/>
  <c r="A1445" i="1"/>
  <c r="A1423" i="1"/>
  <c r="A1442" i="1"/>
  <c r="A1371" i="1"/>
  <c r="A2096" i="1"/>
  <c r="A2032" i="1"/>
  <c r="A2136" i="1"/>
  <c r="A2033" i="1"/>
  <c r="A1820" i="1"/>
  <c r="A1821" i="1"/>
  <c r="A1822" i="1"/>
  <c r="A1823" i="1"/>
  <c r="A1817" i="1"/>
  <c r="A2030" i="1"/>
  <c r="A2031" i="1"/>
  <c r="A2091" i="1"/>
  <c r="A1313" i="1"/>
  <c r="A311" i="1"/>
  <c r="A960" i="1"/>
  <c r="A1113" i="1"/>
  <c r="A2108" i="1"/>
  <c r="A1329" i="1"/>
  <c r="A2117" i="1"/>
  <c r="A1330" i="1"/>
  <c r="A1166" i="1"/>
  <c r="A1778" i="1"/>
  <c r="A1779" i="1"/>
  <c r="A1167" i="1"/>
  <c r="A1818" i="1"/>
  <c r="A1802" i="1"/>
  <c r="A1803" i="1"/>
  <c r="A1780" i="1"/>
  <c r="A1811" i="1"/>
  <c r="A1114" i="1"/>
  <c r="A230" i="1"/>
  <c r="A1623" i="1"/>
  <c r="A1627" i="1"/>
  <c r="A1978" i="1"/>
  <c r="A1943" i="1"/>
  <c r="A1930" i="1"/>
  <c r="A1618" i="1"/>
  <c r="A1979" i="1"/>
  <c r="A1947" i="1"/>
  <c r="A1948" i="1"/>
  <c r="A1424" i="1"/>
  <c r="A2080" i="1"/>
  <c r="A1055" i="1"/>
  <c r="A1507" i="1"/>
  <c r="A1494" i="1"/>
  <c r="A1509" i="1"/>
  <c r="A1510" i="1"/>
  <c r="A1372" i="1"/>
  <c r="A1373" i="1"/>
  <c r="A1374" i="1"/>
  <c r="A1375" i="1"/>
  <c r="A1376" i="1"/>
  <c r="A1377" i="1"/>
  <c r="A1378" i="1"/>
  <c r="A1379" i="1"/>
  <c r="A1381" i="1"/>
  <c r="A1416" i="1"/>
  <c r="A1944" i="1"/>
  <c r="A1938" i="1"/>
  <c r="A1621" i="1"/>
  <c r="A1966" i="1"/>
  <c r="A1953" i="1"/>
  <c r="A1967" i="1"/>
  <c r="A1624" i="1"/>
  <c r="A1625" i="1"/>
  <c r="A1729" i="1"/>
  <c r="A1730" i="1"/>
  <c r="A1389" i="1"/>
  <c r="A1384" i="1"/>
  <c r="A1382" i="1"/>
  <c r="A1380" i="1"/>
  <c r="A1387" i="1"/>
  <c r="A1391" i="1"/>
  <c r="A1383" i="1"/>
  <c r="A135" i="1"/>
  <c r="A1529" i="1"/>
  <c r="A1150" i="1"/>
  <c r="A1151" i="1"/>
  <c r="A1152" i="1"/>
  <c r="A1112" i="1"/>
  <c r="A1230" i="1"/>
  <c r="A1417" i="1"/>
  <c r="A1191" i="1"/>
  <c r="A1418" i="1"/>
  <c r="A1425" i="1"/>
  <c r="A1419" i="1"/>
  <c r="A1420" i="1"/>
  <c r="A1413" i="1"/>
  <c r="A1446" i="1"/>
  <c r="A1030" i="1"/>
  <c r="A2024" i="1"/>
  <c r="A1516" i="1"/>
  <c r="A1517" i="1"/>
  <c r="A1082" i="1"/>
  <c r="A1083" i="1"/>
  <c r="A1192" i="1"/>
  <c r="A1193" i="1"/>
  <c r="A725" i="1"/>
  <c r="A1661" i="1"/>
  <c r="A748" i="1"/>
  <c r="A803" i="1"/>
  <c r="A1590" i="1"/>
  <c r="A1591" i="1"/>
  <c r="A1674" i="1"/>
  <c r="A2121" i="1"/>
  <c r="A548" i="1"/>
  <c r="A597" i="1"/>
  <c r="A529" i="1"/>
  <c r="A530" i="1"/>
  <c r="A476" i="1"/>
  <c r="A2081" i="1"/>
  <c r="A163" i="1"/>
  <c r="A153" i="1"/>
  <c r="A173" i="1"/>
  <c r="A162" i="1"/>
  <c r="A166" i="1"/>
  <c r="A167" i="1"/>
  <c r="A168" i="1"/>
  <c r="A169" i="1"/>
  <c r="A174" i="1"/>
  <c r="A1430" i="1"/>
  <c r="A1443" i="1"/>
  <c r="A1426" i="1"/>
  <c r="A1433" i="1"/>
  <c r="A1434" i="1"/>
  <c r="A1431" i="1"/>
  <c r="A1447" i="1"/>
  <c r="A1732" i="1"/>
  <c r="A1726" i="1"/>
  <c r="A1733" i="1"/>
  <c r="A1727" i="1"/>
  <c r="A1728" i="1"/>
  <c r="A1736" i="1"/>
  <c r="A1737" i="1"/>
  <c r="A1734" i="1"/>
  <c r="A1435" i="1"/>
  <c r="A1427" i="1"/>
  <c r="A1414" i="1"/>
  <c r="A1448" i="1"/>
  <c r="A1428" i="1"/>
  <c r="A1449" i="1"/>
  <c r="A1009" i="1"/>
  <c r="A2122" i="1"/>
  <c r="A1576" i="1"/>
  <c r="A1242" i="1"/>
  <c r="A1243" i="1"/>
  <c r="A1084" i="1"/>
  <c r="A867" i="1"/>
  <c r="A2053" i="1"/>
  <c r="A131" i="1"/>
  <c r="A1678" i="1"/>
  <c r="A1148" i="1"/>
  <c r="A1103" i="1"/>
  <c r="A788" i="1"/>
  <c r="A928" i="1"/>
  <c r="A1012" i="1"/>
  <c r="A1293" i="1"/>
  <c r="A1216" i="1"/>
  <c r="A1013" i="1"/>
  <c r="A1217" i="1"/>
  <c r="A1218" i="1"/>
  <c r="A154" i="1"/>
  <c r="A727" i="1"/>
  <c r="A728" i="1"/>
  <c r="A1659" i="1"/>
  <c r="A1098" i="1"/>
  <c r="A1099" i="1"/>
  <c r="A749" i="1"/>
  <c r="A750" i="1"/>
  <c r="A751" i="1"/>
  <c r="A752" i="1"/>
  <c r="A753" i="1"/>
  <c r="A785" i="1"/>
  <c r="A786" i="1"/>
  <c r="A1556" i="1"/>
  <c r="A1549" i="1"/>
  <c r="A1682" i="1"/>
  <c r="A2146" i="1"/>
  <c r="A2025" i="1"/>
  <c r="A2026" i="1"/>
  <c r="A1655" i="1"/>
  <c r="A1671" i="1"/>
  <c r="A1707" i="1"/>
  <c r="A1709" i="1"/>
  <c r="A1708" i="1"/>
  <c r="A2103" i="1"/>
  <c r="A2104" i="1"/>
  <c r="A2039" i="1"/>
  <c r="A2040" i="1"/>
  <c r="A2041" i="1"/>
  <c r="A1769" i="1"/>
  <c r="A1244" i="1"/>
  <c r="A1219" i="1"/>
  <c r="A1353" i="1"/>
  <c r="A1184" i="1"/>
  <c r="A1294" i="1"/>
  <c r="A1220" i="1"/>
  <c r="A1295" i="1"/>
  <c r="A1296" i="1"/>
  <c r="A1354" i="1"/>
  <c r="A1068" i="1"/>
  <c r="A929" i="1"/>
  <c r="A1355" i="1"/>
  <c r="A1014" i="1"/>
  <c r="A1221" i="1"/>
  <c r="A1297" i="1"/>
  <c r="A1356" i="1"/>
  <c r="A1069" i="1"/>
  <c r="A1298" i="1"/>
  <c r="A930" i="1"/>
  <c r="A1222" i="1"/>
  <c r="A1223" i="1"/>
  <c r="A1057" i="1"/>
  <c r="A1058" i="1"/>
  <c r="A719" i="1"/>
  <c r="A713" i="1"/>
  <c r="A1999" i="1"/>
  <c r="A1683" i="1"/>
  <c r="A1991" i="1"/>
  <c r="A130" i="1"/>
  <c r="A2112" i="1"/>
  <c r="A1987" i="1"/>
  <c r="A2015" i="1"/>
  <c r="A770" i="1"/>
  <c r="A2075" i="1"/>
  <c r="A2147" i="1"/>
  <c r="A2027" i="1"/>
  <c r="A1665" i="1"/>
  <c r="A1118" i="1"/>
  <c r="A1318" i="1"/>
  <c r="A1245" i="1"/>
  <c r="A1357" i="1"/>
  <c r="A729" i="1"/>
  <c r="A726" i="1"/>
  <c r="A799" i="1"/>
  <c r="A1287" i="1"/>
  <c r="A1350" i="1"/>
  <c r="A782" i="1"/>
  <c r="A783" i="1"/>
  <c r="A784" i="1"/>
  <c r="A1246" i="1"/>
  <c r="A1299" i="1"/>
  <c r="A1224" i="1"/>
  <c r="A1358" i="1"/>
  <c r="A1359" i="1"/>
  <c r="A1300" i="1"/>
  <c r="A931" i="1"/>
  <c r="A1988" i="1"/>
  <c r="A1989" i="1"/>
  <c r="A1992" i="1"/>
  <c r="A2065" i="1"/>
  <c r="A1854" i="1"/>
  <c r="A952" i="1"/>
  <c r="A1874" i="1"/>
  <c r="A1133" i="1"/>
  <c r="A1875" i="1"/>
  <c r="A1134" i="1"/>
  <c r="A1876" i="1"/>
  <c r="A1877" i="1"/>
  <c r="A985" i="1"/>
  <c r="A2094" i="1"/>
  <c r="A2148" i="1"/>
  <c r="A2114" i="1"/>
  <c r="A2115" i="1"/>
  <c r="A2095" i="1"/>
  <c r="A1963" i="1"/>
  <c r="A1980" i="1"/>
  <c r="A1931" i="1"/>
  <c r="A1981" i="1"/>
  <c r="A1735" i="1"/>
  <c r="A1645" i="1"/>
  <c r="A1738" i="1"/>
  <c r="A1652" i="1"/>
  <c r="A1739" i="1"/>
  <c r="A1263" i="1"/>
  <c r="A1968" i="1"/>
  <c r="A1681" i="1"/>
  <c r="A1679" i="1"/>
  <c r="A1271" i="1"/>
  <c r="A503" i="1"/>
  <c r="A1750" i="1"/>
  <c r="A2099" i="1"/>
  <c r="A2100" i="1"/>
  <c r="A2101" i="1"/>
  <c r="A381" i="1"/>
  <c r="A426" i="1"/>
  <c r="A2054" i="1"/>
  <c r="A1691" i="1"/>
  <c r="A595" i="1"/>
  <c r="A440" i="1"/>
  <c r="A382" i="1"/>
  <c r="A636" i="1"/>
  <c r="A637" i="1"/>
  <c r="A441" i="1"/>
  <c r="A1617" i="1"/>
  <c r="A1398" i="1"/>
  <c r="A1360" i="1"/>
  <c r="A1301" i="1"/>
  <c r="A1361" i="1"/>
  <c r="A1225" i="1"/>
  <c r="A1015" i="1"/>
  <c r="A1070" i="1"/>
  <c r="A2151" i="1"/>
  <c r="A736" i="1"/>
  <c r="A868" i="1"/>
  <c r="A1247" i="1"/>
  <c r="A869" i="1"/>
  <c r="A932" i="1"/>
  <c r="A1362" i="1"/>
  <c r="A1226" i="1"/>
  <c r="A1363" i="1"/>
  <c r="A1107" i="1"/>
  <c r="A1227" i="1"/>
  <c r="A1508" i="1"/>
  <c r="A1495" i="1"/>
  <c r="A1108" i="1"/>
  <c r="A1109" i="1"/>
  <c r="A1110" i="1"/>
  <c r="A1016" i="1"/>
  <c r="A1111" i="1"/>
  <c r="A854" i="1"/>
  <c r="A1393" i="1"/>
  <c r="A2097" i="1"/>
  <c r="A1496" i="1"/>
  <c r="A1518" i="1"/>
  <c r="A1519" i="1"/>
  <c r="A1497" i="1"/>
  <c r="A1479" i="1"/>
  <c r="A1480" i="1"/>
  <c r="A1476" i="1"/>
  <c r="A146" i="1"/>
  <c r="A147" i="1"/>
  <c r="A180" i="1"/>
  <c r="A1899" i="1"/>
  <c r="A870" i="1"/>
  <c r="A598" i="1"/>
  <c r="A477" i="1"/>
  <c r="A599" i="1"/>
  <c r="A1498" i="1"/>
  <c r="A1499" i="1"/>
  <c r="A1500" i="1"/>
  <c r="A1501" i="1"/>
  <c r="A988" i="1"/>
  <c r="A1100" i="1"/>
  <c r="A855" i="1"/>
  <c r="A856" i="1"/>
  <c r="A1502" i="1"/>
  <c r="A1520" i="1"/>
  <c r="A160" i="1"/>
  <c r="A161" i="1"/>
  <c r="A155" i="1"/>
  <c r="A149" i="1"/>
  <c r="A156" i="1"/>
  <c r="A170" i="1"/>
  <c r="A2132" i="1"/>
  <c r="A2093" i="1"/>
  <c r="A2133" i="1"/>
  <c r="A1173" i="1"/>
  <c r="A1272" i="1"/>
  <c r="A1174" i="1"/>
  <c r="A2134" i="1"/>
  <c r="A2135" i="1"/>
  <c r="A1185" i="1"/>
  <c r="A1071" i="1"/>
  <c r="A1186" i="1"/>
  <c r="A1072" i="1"/>
  <c r="A1187" i="1"/>
  <c r="A1017" i="1"/>
  <c r="A1648" i="1"/>
  <c r="A1649" i="1"/>
  <c r="A1119" i="1"/>
  <c r="A1085" i="1"/>
  <c r="A1033" i="1"/>
  <c r="A1039" i="1"/>
  <c r="A1040" i="1"/>
  <c r="A1091" i="1"/>
  <c r="A243" i="1"/>
  <c r="A1149" i="1"/>
  <c r="A1188" i="1"/>
  <c r="A1138" i="1"/>
  <c r="A1139" i="1"/>
  <c r="A1862" i="1"/>
  <c r="A1895" i="1"/>
  <c r="A1896" i="1"/>
  <c r="A1890" i="1"/>
  <c r="A1897" i="1"/>
  <c r="A1898" i="1"/>
  <c r="A1140" i="1"/>
  <c r="A1141" i="1"/>
  <c r="A1142" i="1"/>
  <c r="A1143" i="1"/>
  <c r="A1144" i="1"/>
  <c r="A853" i="1"/>
  <c r="A1770" i="1"/>
  <c r="A1771" i="1"/>
  <c r="A805" i="1"/>
  <c r="A804" i="1"/>
  <c r="A1653" i="1"/>
  <c r="A2005" i="1"/>
  <c r="A1651" i="1"/>
  <c r="A886" i="1"/>
  <c r="A1331" i="1"/>
  <c r="A1332" i="1"/>
  <c r="A858" i="1"/>
  <c r="A1646" i="1"/>
  <c r="A1650" i="1"/>
  <c r="A859" i="1"/>
  <c r="A860" i="1"/>
  <c r="A1881" i="1"/>
  <c r="A1851" i="1"/>
  <c r="A1852" i="1"/>
  <c r="A1846" i="1"/>
  <c r="A1882" i="1"/>
  <c r="A1863" i="1"/>
  <c r="A1891" i="1"/>
  <c r="A1847" i="1"/>
  <c r="A1864" i="1"/>
  <c r="A1333" i="1"/>
  <c r="A1046" i="1"/>
  <c r="A1334" i="1"/>
  <c r="A887" i="1"/>
  <c r="A1126" i="1"/>
  <c r="A1335" i="1"/>
  <c r="A1127" i="1"/>
  <c r="A888" i="1"/>
  <c r="A1258" i="1"/>
  <c r="A889" i="1"/>
  <c r="A1175" i="1"/>
  <c r="A1176" i="1"/>
  <c r="A2156" i="1"/>
  <c r="A2157" i="1"/>
  <c r="A2042" i="1"/>
  <c r="A2043" i="1"/>
  <c r="A1469" i="1"/>
  <c r="A1466" i="1"/>
  <c r="A1920" i="1"/>
  <c r="A1921" i="1"/>
  <c r="A1922" i="1"/>
  <c r="A1984" i="1"/>
  <c r="A1923" i="1"/>
  <c r="A1933" i="1"/>
  <c r="A1934" i="1"/>
  <c r="A1970" i="1"/>
  <c r="A1971" i="1"/>
  <c r="A1935" i="1"/>
  <c r="A1936" i="1"/>
  <c r="A1964" i="1"/>
  <c r="A1273" i="1"/>
  <c r="A998" i="1"/>
  <c r="A1983" i="1"/>
  <c r="A2142" i="1"/>
  <c r="A1168" i="1"/>
  <c r="A890" i="1"/>
  <c r="A1336" i="1"/>
  <c r="A1128" i="1"/>
  <c r="A1865" i="1"/>
  <c r="A1092" i="1"/>
  <c r="A1879" i="1"/>
  <c r="A1198" i="1"/>
  <c r="A1199" i="1"/>
  <c r="A1276" i="1"/>
  <c r="A1344" i="1"/>
  <c r="A1277" i="1"/>
  <c r="A1059" i="1"/>
  <c r="A912" i="1"/>
  <c r="A1060" i="1"/>
  <c r="A2109" i="1"/>
  <c r="A1647" i="1"/>
  <c r="A2110" i="1"/>
  <c r="A1047" i="1"/>
  <c r="A1858" i="1"/>
  <c r="A1048" i="1"/>
  <c r="A982" i="1"/>
  <c r="A983" i="1"/>
  <c r="A1159" i="1"/>
  <c r="A1253" i="1"/>
  <c r="A1160" i="1"/>
  <c r="A743" i="1"/>
  <c r="A2116" i="1"/>
  <c r="A1672" i="1"/>
  <c r="A1673" i="1"/>
  <c r="A1662" i="1"/>
  <c r="A1878" i="1"/>
  <c r="A1670" i="1"/>
  <c r="A1675" i="1"/>
  <c r="A1657" i="1"/>
  <c r="A1666" i="1"/>
  <c r="A670" i="1"/>
  <c r="A671" i="1"/>
  <c r="A1667" i="1"/>
  <c r="A1668" i="1"/>
  <c r="A1669" i="1"/>
  <c r="A1407" i="1"/>
  <c r="A1177" i="1"/>
  <c r="A1343" i="1"/>
  <c r="A744" i="1"/>
  <c r="A1076" i="1"/>
  <c r="A2164" i="1"/>
  <c r="A2143" i="1"/>
  <c r="A2144" i="1"/>
  <c r="A2145" i="1"/>
  <c r="A1456" i="1"/>
  <c r="A1452" i="1"/>
  <c r="A445" i="1"/>
  <c r="A446" i="1"/>
  <c r="A447" i="1"/>
  <c r="A392" i="1"/>
  <c r="A393" i="1"/>
  <c r="A394" i="1"/>
  <c r="A644" i="1"/>
  <c r="A395" i="1"/>
  <c r="A645" i="1"/>
  <c r="A646" i="1"/>
  <c r="A396" i="1"/>
  <c r="A504" i="1"/>
  <c r="A479" i="1"/>
  <c r="A397" i="1"/>
  <c r="A398" i="1"/>
  <c r="A448" i="1"/>
  <c r="A505" i="1"/>
  <c r="A449" i="1"/>
  <c r="A549" i="1"/>
  <c r="A550" i="1"/>
  <c r="A600" i="1"/>
  <c r="A601" i="1"/>
  <c r="A531" i="1"/>
  <c r="A575" i="1"/>
  <c r="A551" i="1"/>
  <c r="A602" i="1"/>
  <c r="A428" i="1"/>
  <c r="A429" i="1"/>
  <c r="A430" i="1"/>
  <c r="A1530" i="1"/>
  <c r="A1528" i="1"/>
  <c r="A1390" i="1"/>
  <c r="A1492" i="1"/>
  <c r="A705" i="1"/>
  <c r="A1157" i="1"/>
  <c r="A576" i="1"/>
  <c r="A577" i="1"/>
  <c r="A450" i="1"/>
  <c r="A451" i="1"/>
  <c r="A552" i="1"/>
  <c r="A452" i="1"/>
  <c r="A553" i="1"/>
  <c r="A554" i="1"/>
  <c r="A555" i="1"/>
  <c r="A556" i="1"/>
  <c r="A453" i="1"/>
  <c r="A557" i="1"/>
  <c r="A558" i="1"/>
  <c r="A647" i="1"/>
  <c r="A399" i="1"/>
  <c r="A578" i="1"/>
  <c r="A400" i="1"/>
  <c r="A603" i="1"/>
  <c r="A506" i="1"/>
  <c r="A431" i="1"/>
  <c r="A2062" i="1"/>
  <c r="A2120" i="1"/>
  <c r="A192" i="1"/>
  <c r="A1388" i="1"/>
  <c r="A1385" i="1"/>
  <c r="A524" i="1"/>
  <c r="A604" i="1"/>
  <c r="A525" i="1"/>
  <c r="A579" i="1"/>
  <c r="A580" i="1"/>
  <c r="A432" i="1"/>
  <c r="A648" i="1"/>
  <c r="A507" i="1"/>
  <c r="A581" i="1"/>
  <c r="A605" i="1"/>
  <c r="A606" i="1"/>
  <c r="A607" i="1"/>
  <c r="A608" i="1"/>
  <c r="A609" i="1"/>
  <c r="A649" i="1"/>
  <c r="A1169" i="1"/>
  <c r="A1170" i="1"/>
  <c r="A1171" i="1"/>
  <c r="A986" i="1"/>
  <c r="A1267" i="1"/>
  <c r="A987" i="1"/>
  <c r="A1924" i="1"/>
  <c r="A1925" i="1"/>
  <c r="A1926" i="1"/>
  <c r="A1026" i="1"/>
  <c r="A191" i="1"/>
  <c r="A1467" i="1"/>
  <c r="A766" i="1"/>
  <c r="A1468" i="1"/>
  <c r="A730" i="1"/>
  <c r="A193" i="1"/>
  <c r="A1985" i="1"/>
  <c r="A1949" i="1"/>
  <c r="A2088" i="1"/>
  <c r="A676" i="1"/>
  <c r="A1153" i="1"/>
  <c r="A1155" i="1"/>
  <c r="A1156" i="1"/>
  <c r="A1077" i="1"/>
  <c r="A1972" i="1"/>
  <c r="A1954" i="1"/>
  <c r="A1955" i="1"/>
  <c r="A1470" i="1"/>
  <c r="A767" i="1"/>
  <c r="A768" i="1"/>
  <c r="A2126" i="1"/>
  <c r="A2127" i="1"/>
  <c r="A2128" i="1"/>
  <c r="A1136" i="1"/>
  <c r="A1137" i="1"/>
  <c r="A1204" i="1"/>
  <c r="A1206" i="1"/>
  <c r="A954" i="1"/>
  <c r="A955" i="1"/>
  <c r="A1608" i="1"/>
  <c r="A1611" i="1"/>
  <c r="A1095" i="1"/>
  <c r="A136" i="1"/>
  <c r="A1457" i="1"/>
  <c r="A1458" i="1"/>
  <c r="A1996" i="1"/>
  <c r="A1997" i="1"/>
  <c r="A1998" i="1"/>
  <c r="A2001" i="1"/>
  <c r="A1684" i="1"/>
  <c r="A1857" i="1"/>
  <c r="A1871" i="1"/>
  <c r="A1209" i="1"/>
  <c r="A1178" i="1"/>
  <c r="A1101" i="1"/>
  <c r="A1179" i="1"/>
  <c r="A1210" i="1"/>
  <c r="A139" i="1"/>
  <c r="A148" i="1"/>
  <c r="A1764" i="1"/>
  <c r="A680" i="1"/>
  <c r="A1062" i="1"/>
  <c r="A681" i="1"/>
  <c r="A690" i="1"/>
  <c r="A700" i="1"/>
  <c r="A702" i="1"/>
  <c r="A691" i="1"/>
  <c r="A692" i="1"/>
  <c r="A999" i="1"/>
  <c r="A1455" i="1"/>
  <c r="A756" i="1"/>
  <c r="H1720" i="1"/>
  <c r="A1720" i="1" s="1"/>
  <c r="I1720" i="1"/>
  <c r="B430" i="3"/>
  <c r="B429" i="3"/>
  <c r="B428" i="3"/>
  <c r="B427" i="3"/>
  <c r="B426" i="3"/>
  <c r="B425" i="3"/>
  <c r="B424" i="3"/>
  <c r="B423" i="3"/>
  <c r="B422" i="3"/>
  <c r="B421" i="3"/>
  <c r="B420" i="3"/>
  <c r="B419" i="3"/>
  <c r="B418" i="3"/>
  <c r="B417" i="3"/>
  <c r="B416" i="3"/>
  <c r="B415" i="3"/>
  <c r="B414" i="3"/>
  <c r="B413" i="3"/>
  <c r="B412" i="3"/>
  <c r="B411" i="3"/>
  <c r="B410" i="3"/>
  <c r="B409" i="3"/>
  <c r="B408" i="3"/>
  <c r="B407" i="3"/>
  <c r="B406" i="3"/>
  <c r="B405" i="3"/>
  <c r="B404" i="3"/>
  <c r="B403" i="3"/>
  <c r="B402" i="3"/>
  <c r="B401" i="3"/>
  <c r="B400" i="3"/>
  <c r="B399" i="3"/>
  <c r="B398" i="3"/>
  <c r="B397" i="3"/>
  <c r="B396" i="3"/>
  <c r="B395" i="3"/>
  <c r="B394" i="3"/>
  <c r="B393" i="3"/>
  <c r="B392" i="3"/>
  <c r="B391" i="3"/>
  <c r="B390" i="3"/>
  <c r="B389" i="3"/>
  <c r="B388" i="3"/>
  <c r="B387" i="3"/>
  <c r="B386" i="3"/>
  <c r="B385" i="3"/>
  <c r="B384" i="3"/>
  <c r="B383" i="3"/>
  <c r="B382" i="3"/>
  <c r="B381" i="3"/>
  <c r="B380" i="3"/>
  <c r="B379" i="3"/>
  <c r="B378" i="3"/>
  <c r="B377" i="3"/>
  <c r="B376" i="3"/>
  <c r="B375" i="3"/>
  <c r="B374" i="3"/>
  <c r="B373" i="3"/>
  <c r="B372" i="3"/>
  <c r="B371" i="3"/>
  <c r="B370" i="3"/>
  <c r="B369" i="3"/>
  <c r="B368" i="3"/>
  <c r="B367" i="3"/>
  <c r="B366" i="3"/>
  <c r="B365" i="3"/>
  <c r="B364" i="3"/>
  <c r="B363" i="3"/>
  <c r="B362" i="3"/>
  <c r="B361" i="3"/>
  <c r="B360" i="3"/>
  <c r="B359" i="3"/>
  <c r="B358" i="3"/>
  <c r="B357" i="3"/>
  <c r="B356" i="3"/>
  <c r="B355" i="3"/>
  <c r="B354" i="3"/>
  <c r="B353" i="3"/>
  <c r="B352" i="3"/>
  <c r="B351" i="3"/>
  <c r="B350" i="3"/>
  <c r="B349" i="3"/>
  <c r="B348" i="3"/>
  <c r="B347" i="3"/>
  <c r="B346" i="3"/>
  <c r="B345" i="3"/>
  <c r="B344" i="3"/>
  <c r="B343" i="3"/>
  <c r="B342" i="3"/>
  <c r="B341" i="3"/>
  <c r="B340" i="3"/>
  <c r="B339" i="3"/>
  <c r="B338" i="3"/>
  <c r="B337" i="3"/>
  <c r="B336" i="3"/>
  <c r="B335" i="3"/>
  <c r="B334" i="3"/>
  <c r="B333" i="3"/>
  <c r="B332" i="3"/>
  <c r="B331" i="3"/>
  <c r="B330" i="3"/>
  <c r="B329" i="3"/>
  <c r="B328" i="3"/>
  <c r="B327" i="3"/>
  <c r="B326" i="3"/>
  <c r="B325" i="3"/>
  <c r="B324" i="3"/>
  <c r="B323" i="3"/>
  <c r="B322" i="3"/>
  <c r="B321" i="3"/>
  <c r="B320" i="3"/>
  <c r="B319" i="3"/>
  <c r="B318" i="3"/>
  <c r="B317" i="3"/>
  <c r="B316" i="3"/>
  <c r="B315" i="3"/>
  <c r="B314" i="3"/>
  <c r="B313" i="3"/>
  <c r="B312" i="3"/>
  <c r="B311" i="3"/>
  <c r="B310" i="3"/>
  <c r="B309" i="3"/>
  <c r="B308" i="3"/>
  <c r="B307" i="3"/>
  <c r="B306" i="3"/>
  <c r="B305" i="3"/>
  <c r="B304" i="3"/>
  <c r="B303" i="3"/>
  <c r="B302" i="3"/>
  <c r="B301" i="3"/>
  <c r="B300" i="3"/>
  <c r="B299" i="3"/>
  <c r="B298" i="3"/>
  <c r="B297" i="3"/>
  <c r="B296" i="3"/>
  <c r="B295" i="3"/>
  <c r="B294" i="3"/>
  <c r="B293" i="3"/>
  <c r="B292" i="3"/>
  <c r="B291" i="3"/>
  <c r="B290" i="3"/>
  <c r="B289" i="3"/>
  <c r="B288" i="3"/>
  <c r="B287" i="3"/>
  <c r="B286" i="3"/>
  <c r="B285" i="3"/>
  <c r="B284" i="3"/>
  <c r="B283" i="3"/>
  <c r="B282" i="3"/>
  <c r="B281" i="3"/>
  <c r="B280" i="3"/>
  <c r="B279" i="3"/>
  <c r="B278" i="3"/>
  <c r="B277" i="3"/>
  <c r="B276" i="3"/>
  <c r="B275" i="3"/>
  <c r="B274" i="3"/>
  <c r="B273" i="3"/>
  <c r="B272" i="3"/>
  <c r="B271" i="3"/>
  <c r="B270" i="3"/>
  <c r="B269" i="3"/>
  <c r="B268" i="3"/>
  <c r="B267" i="3"/>
  <c r="B266" i="3"/>
  <c r="B265" i="3"/>
  <c r="B264" i="3"/>
  <c r="B263" i="3"/>
  <c r="B262" i="3"/>
  <c r="B261" i="3"/>
  <c r="B260" i="3"/>
  <c r="B259" i="3"/>
  <c r="B258" i="3"/>
  <c r="B257" i="3"/>
  <c r="B256" i="3"/>
  <c r="B255" i="3"/>
  <c r="B254" i="3"/>
  <c r="B253" i="3"/>
  <c r="B252" i="3"/>
  <c r="B251" i="3"/>
  <c r="B250" i="3"/>
  <c r="B249" i="3"/>
  <c r="B248" i="3"/>
  <c r="B247" i="3"/>
  <c r="B246" i="3"/>
  <c r="B245" i="3"/>
  <c r="B244" i="3"/>
  <c r="B243" i="3"/>
  <c r="B242" i="3"/>
  <c r="B241" i="3"/>
  <c r="B240" i="3"/>
  <c r="B239" i="3"/>
  <c r="B238" i="3"/>
  <c r="B237" i="3"/>
  <c r="B236" i="3"/>
  <c r="B235" i="3"/>
  <c r="B234" i="3"/>
  <c r="B233" i="3"/>
  <c r="B232" i="3"/>
  <c r="B231" i="3"/>
  <c r="B230" i="3"/>
  <c r="B229" i="3"/>
  <c r="B228" i="3"/>
  <c r="B227" i="3"/>
  <c r="B226" i="3"/>
  <c r="B225" i="3"/>
  <c r="B224" i="3"/>
  <c r="B223" i="3"/>
  <c r="B222" i="3"/>
  <c r="B221" i="3"/>
  <c r="B220" i="3"/>
  <c r="B219" i="3"/>
  <c r="B218" i="3"/>
  <c r="B217" i="3"/>
  <c r="B216" i="3"/>
  <c r="B215" i="3"/>
  <c r="B214" i="3"/>
  <c r="B213" i="3"/>
  <c r="B212" i="3"/>
  <c r="B211" i="3"/>
  <c r="B210" i="3"/>
  <c r="B209" i="3"/>
  <c r="B208" i="3"/>
  <c r="B207" i="3"/>
  <c r="B206" i="3"/>
  <c r="B205" i="3"/>
  <c r="B204" i="3"/>
  <c r="B203" i="3"/>
  <c r="B202" i="3"/>
  <c r="B201" i="3"/>
  <c r="B200" i="3"/>
  <c r="B199" i="3"/>
  <c r="B198" i="3"/>
  <c r="B197" i="3"/>
  <c r="B196" i="3"/>
  <c r="B195" i="3"/>
  <c r="B194" i="3"/>
  <c r="B193" i="3"/>
  <c r="B192" i="3"/>
  <c r="B191" i="3"/>
  <c r="B190" i="3"/>
  <c r="B189" i="3"/>
  <c r="B188" i="3"/>
  <c r="B187" i="3"/>
  <c r="B186" i="3"/>
  <c r="B185" i="3"/>
  <c r="B184" i="3"/>
  <c r="B183" i="3"/>
  <c r="B182" i="3"/>
  <c r="B181" i="3"/>
  <c r="B180" i="3"/>
  <c r="B179" i="3"/>
  <c r="B178" i="3"/>
  <c r="B177" i="3"/>
  <c r="B176" i="3"/>
  <c r="B175" i="3"/>
  <c r="B174" i="3"/>
  <c r="B173" i="3"/>
  <c r="B172" i="3"/>
  <c r="B171" i="3"/>
  <c r="B170" i="3"/>
  <c r="B169" i="3"/>
  <c r="B168" i="3"/>
  <c r="B167" i="3"/>
  <c r="B166" i="3"/>
  <c r="B165" i="3"/>
  <c r="B164" i="3"/>
  <c r="B163" i="3"/>
  <c r="B162" i="3"/>
  <c r="B161" i="3"/>
  <c r="B160" i="3"/>
  <c r="B159" i="3"/>
  <c r="B158" i="3"/>
  <c r="B157" i="3"/>
  <c r="B156" i="3"/>
  <c r="B155" i="3"/>
  <c r="B154" i="3"/>
  <c r="B153" i="3"/>
  <c r="B152" i="3"/>
  <c r="B151" i="3"/>
  <c r="B150" i="3"/>
  <c r="B149" i="3"/>
  <c r="B148" i="3"/>
  <c r="B147" i="3"/>
  <c r="B146" i="3"/>
  <c r="B145" i="3"/>
  <c r="B144" i="3"/>
  <c r="B143" i="3"/>
  <c r="B142" i="3"/>
  <c r="B141" i="3"/>
  <c r="B140" i="3"/>
  <c r="B139" i="3"/>
  <c r="B138" i="3"/>
  <c r="B137" i="3"/>
  <c r="B136" i="3"/>
  <c r="B135" i="3"/>
  <c r="B134" i="3"/>
  <c r="B133" i="3"/>
  <c r="B132" i="3"/>
  <c r="B131" i="3"/>
  <c r="B130" i="3"/>
  <c r="B129" i="3"/>
  <c r="B128" i="3"/>
  <c r="B127" i="3"/>
  <c r="B126" i="3"/>
  <c r="B125" i="3"/>
  <c r="B124" i="3"/>
  <c r="B123" i="3"/>
  <c r="B122" i="3"/>
  <c r="B121" i="3"/>
  <c r="B120" i="3"/>
  <c r="B119" i="3"/>
  <c r="B118" i="3"/>
  <c r="B117" i="3"/>
  <c r="B116" i="3"/>
  <c r="B115" i="3"/>
  <c r="B114" i="3"/>
  <c r="B113" i="3"/>
  <c r="B112" i="3"/>
  <c r="B111" i="3"/>
  <c r="B110" i="3"/>
  <c r="B109" i="3"/>
  <c r="B108" i="3"/>
  <c r="B107" i="3"/>
  <c r="B106" i="3"/>
  <c r="B105" i="3"/>
  <c r="B104" i="3"/>
  <c r="B103" i="3"/>
  <c r="B102" i="3"/>
  <c r="B101" i="3"/>
  <c r="B100" i="3"/>
  <c r="B99" i="3"/>
  <c r="B98" i="3"/>
  <c r="B97" i="3"/>
  <c r="B96" i="3"/>
  <c r="B95" i="3"/>
  <c r="B94" i="3"/>
  <c r="B93" i="3"/>
  <c r="B92" i="3"/>
  <c r="B91" i="3"/>
  <c r="B90" i="3"/>
  <c r="B89" i="3"/>
  <c r="B88" i="3"/>
  <c r="B87" i="3"/>
  <c r="B86" i="3"/>
  <c r="B85" i="3"/>
  <c r="B84" i="3"/>
  <c r="B83" i="3"/>
  <c r="B82" i="3"/>
  <c r="B81" i="3"/>
  <c r="B80" i="3"/>
  <c r="B79" i="3"/>
  <c r="B78" i="3"/>
  <c r="B77" i="3"/>
  <c r="B76" i="3"/>
  <c r="B75" i="3"/>
  <c r="B74" i="3"/>
  <c r="B73" i="3"/>
  <c r="B72" i="3"/>
  <c r="B71" i="3"/>
  <c r="B70" i="3"/>
  <c r="B69" i="3"/>
  <c r="B68" i="3"/>
  <c r="B67" i="3"/>
  <c r="B66" i="3"/>
  <c r="B65" i="3"/>
  <c r="B64" i="3"/>
  <c r="B63" i="3"/>
  <c r="B62" i="3"/>
  <c r="B61" i="3"/>
  <c r="B60" i="3"/>
  <c r="B59" i="3"/>
  <c r="B58" i="3"/>
  <c r="B57" i="3"/>
  <c r="B56" i="3"/>
  <c r="B55" i="3"/>
  <c r="B54" i="3"/>
  <c r="B53" i="3"/>
  <c r="B52" i="3"/>
  <c r="B51" i="3"/>
  <c r="B50" i="3"/>
  <c r="B49" i="3"/>
  <c r="B48" i="3"/>
  <c r="B47" i="3"/>
  <c r="B46" i="3"/>
  <c r="B45" i="3"/>
  <c r="B44" i="3"/>
  <c r="B43" i="3"/>
  <c r="B42" i="3"/>
  <c r="B41" i="3"/>
  <c r="B40" i="3"/>
  <c r="B39" i="3"/>
  <c r="B38" i="3"/>
  <c r="B37" i="3"/>
  <c r="B36" i="3"/>
  <c r="B35" i="3"/>
  <c r="B34" i="3"/>
  <c r="B33" i="3"/>
  <c r="B32" i="3"/>
  <c r="B31" i="3"/>
  <c r="B30" i="3"/>
  <c r="B29" i="3"/>
  <c r="B28" i="3"/>
  <c r="B27" i="3"/>
  <c r="B26" i="3"/>
  <c r="B25" i="3"/>
  <c r="B24" i="3"/>
  <c r="B23" i="3"/>
  <c r="B22" i="3"/>
  <c r="B21" i="3"/>
  <c r="B20" i="3"/>
  <c r="B19" i="3"/>
  <c r="B18" i="3"/>
  <c r="B17" i="3"/>
  <c r="B16" i="3"/>
  <c r="B15" i="3"/>
  <c r="B14" i="3"/>
  <c r="B13" i="3"/>
  <c r="B12" i="3"/>
  <c r="B11" i="3"/>
  <c r="B10" i="3"/>
  <c r="B9" i="3"/>
  <c r="B8" i="3"/>
  <c r="B7" i="3"/>
  <c r="B6" i="3"/>
  <c r="B5" i="3"/>
  <c r="B4" i="3"/>
  <c r="B3" i="3"/>
  <c r="B2" i="3"/>
  <c r="I769" i="1" l="1"/>
  <c r="I2126" i="1"/>
  <c r="I2127" i="1"/>
  <c r="I2128" i="1"/>
  <c r="I1135" i="1"/>
  <c r="I1136" i="1"/>
  <c r="I1137" i="1"/>
  <c r="I1204" i="1"/>
  <c r="I1205" i="1"/>
  <c r="I1206" i="1"/>
  <c r="I954" i="1"/>
  <c r="I955" i="1"/>
  <c r="I1607" i="1"/>
  <c r="I1608" i="1"/>
  <c r="I1611" i="1"/>
  <c r="I1095" i="1"/>
  <c r="I678" i="1"/>
  <c r="I136" i="1"/>
  <c r="I1457" i="1"/>
  <c r="I1458" i="1"/>
  <c r="I1459" i="1"/>
  <c r="I1996" i="1"/>
  <c r="I1997" i="1"/>
  <c r="I1998" i="1"/>
  <c r="I2000" i="1"/>
  <c r="I2001" i="1"/>
  <c r="I1684" i="1"/>
  <c r="I1857" i="1"/>
  <c r="I1870" i="1"/>
  <c r="I1871" i="1"/>
  <c r="I1209" i="1"/>
  <c r="I1178" i="1"/>
  <c r="I1061" i="1"/>
  <c r="I1101" i="1"/>
  <c r="I1179" i="1"/>
  <c r="I1210" i="1"/>
  <c r="I1451" i="1"/>
  <c r="I139" i="1"/>
  <c r="I148" i="1"/>
  <c r="I1764" i="1"/>
  <c r="I1278" i="1"/>
  <c r="I680" i="1"/>
  <c r="I1062" i="1"/>
  <c r="I681" i="1"/>
  <c r="I682" i="1"/>
  <c r="I913" i="1"/>
  <c r="I690" i="1"/>
  <c r="I700" i="1"/>
  <c r="I1145" i="1"/>
  <c r="I701" i="1"/>
  <c r="I702" i="1"/>
  <c r="I691" i="1"/>
  <c r="I683" i="1"/>
  <c r="I684" i="1"/>
  <c r="I692" i="1"/>
  <c r="I999" i="1"/>
  <c r="I1453" i="1"/>
  <c r="I1454" i="1"/>
  <c r="I1455" i="1"/>
  <c r="I756" i="1"/>
  <c r="I757" i="1"/>
  <c r="I244" i="1"/>
  <c r="I1415" i="1"/>
  <c r="I391" i="1"/>
  <c r="I1685" i="1"/>
  <c r="I115" i="1"/>
  <c r="I134" i="1"/>
  <c r="I1031" i="1"/>
  <c r="I2084" i="1"/>
  <c r="I49" i="1"/>
  <c r="I414" i="1"/>
  <c r="I1687" i="1"/>
  <c r="I212" i="1"/>
  <c r="I1660" i="1"/>
  <c r="I1000" i="1"/>
  <c r="I721" i="1"/>
  <c r="I1056" i="1"/>
  <c r="I229" i="1"/>
  <c r="I260" i="1"/>
  <c r="I444" i="1"/>
  <c r="I957" i="1"/>
  <c r="I117" i="1"/>
  <c r="I401" i="1"/>
  <c r="I745" i="1"/>
  <c r="I1538" i="1"/>
  <c r="I129" i="1"/>
  <c r="I480" i="1"/>
  <c r="I1471" i="1"/>
  <c r="I731" i="1"/>
  <c r="I1010" i="1"/>
  <c r="I1856" i="1"/>
  <c r="I232" i="1"/>
  <c r="I228" i="1"/>
  <c r="I901" i="1"/>
  <c r="I454" i="1"/>
  <c r="I820" i="1"/>
  <c r="I714" i="1"/>
  <c r="I152" i="1"/>
  <c r="I1663" i="1"/>
  <c r="I1063" i="1"/>
  <c r="I2078" i="1"/>
  <c r="I1993" i="1"/>
  <c r="I674" i="1"/>
  <c r="I1753" i="1"/>
  <c r="I427" i="1"/>
  <c r="I865" i="1"/>
  <c r="I1781" i="1"/>
  <c r="I1392" i="1"/>
  <c r="I242" i="1"/>
  <c r="I989" i="1"/>
  <c r="I762" i="1"/>
  <c r="I1628" i="1"/>
  <c r="I465" i="1"/>
  <c r="I758" i="1"/>
  <c r="I1581" i="1"/>
  <c r="I474" i="1"/>
  <c r="I2055" i="1"/>
  <c r="I2023" i="1"/>
  <c r="I1067" i="1"/>
  <c r="I1632" i="1"/>
  <c r="I1767" i="1"/>
  <c r="I182" i="1"/>
  <c r="I717" i="1"/>
  <c r="I58" i="1"/>
  <c r="I675" i="1"/>
  <c r="I1919" i="1"/>
  <c r="I1850" i="1"/>
  <c r="I1939" i="1"/>
  <c r="I1693" i="1"/>
  <c r="I1946" i="1"/>
  <c r="I2049" i="1"/>
  <c r="I1990" i="1"/>
  <c r="I1656" i="1"/>
  <c r="I961" i="1"/>
  <c r="I1370" i="1"/>
  <c r="I225" i="1"/>
  <c r="I959" i="1"/>
  <c r="I478" i="1"/>
  <c r="I1911" i="1"/>
  <c r="I157" i="1"/>
  <c r="I127" i="1"/>
  <c r="I222" i="1"/>
  <c r="I1547" i="1"/>
  <c r="I23" i="1"/>
  <c r="I1861" i="1"/>
  <c r="I1718" i="1"/>
  <c r="I1450" i="1"/>
  <c r="I126" i="1"/>
  <c r="I189" i="1"/>
  <c r="I669" i="1"/>
  <c r="I1606" i="1"/>
  <c r="I433" i="1"/>
  <c r="I899" i="1"/>
  <c r="I194" i="1"/>
  <c r="I251" i="1"/>
  <c r="I765" i="1"/>
  <c r="I2050" i="1"/>
  <c r="I383" i="1"/>
  <c r="I685" i="1"/>
  <c r="I1855" i="1"/>
  <c r="I226" i="1"/>
  <c r="I38" i="1"/>
  <c r="I132" i="1"/>
  <c r="I864" i="1"/>
  <c r="I1488" i="1"/>
  <c r="I40" i="1"/>
  <c r="I2085" i="1"/>
  <c r="I133" i="1"/>
  <c r="I918" i="1"/>
  <c r="I436" i="1"/>
  <c r="I821" i="1"/>
  <c r="I1596" i="1"/>
  <c r="I826" i="1"/>
  <c r="I806" i="1"/>
  <c r="I807" i="1"/>
  <c r="I1629" i="1"/>
  <c r="I1597" i="1"/>
  <c r="I1630" i="1"/>
  <c r="I1598" i="1"/>
  <c r="I2020" i="1"/>
  <c r="I808" i="1"/>
  <c r="I827" i="1"/>
  <c r="I20" i="1"/>
  <c r="I822" i="1"/>
  <c r="I41" i="1"/>
  <c r="I828" i="1"/>
  <c r="I1545" i="1"/>
  <c r="I42" i="1"/>
  <c r="I1711" i="1"/>
  <c r="I21" i="1"/>
  <c r="I36" i="1"/>
  <c r="I1845" i="1"/>
  <c r="I248" i="1"/>
  <c r="I201" i="1"/>
  <c r="I202" i="1"/>
  <c r="I283" i="1"/>
  <c r="I1605" i="1"/>
  <c r="I1638" i="1"/>
  <c r="I1599" i="1"/>
  <c r="I1600" i="1"/>
  <c r="I1604" i="1"/>
  <c r="I679" i="1"/>
  <c r="I150" i="1"/>
  <c r="I141" i="1"/>
  <c r="I1763" i="1"/>
  <c r="I1557" i="1"/>
  <c r="I1558" i="1"/>
  <c r="I1548" i="1"/>
  <c r="I249" i="1"/>
  <c r="I2048" i="1"/>
  <c r="I1542" i="1"/>
  <c r="I37" i="1"/>
  <c r="I2028" i="1"/>
  <c r="I1546" i="1"/>
  <c r="I2019" i="1"/>
  <c r="I2045" i="1"/>
  <c r="I2072" i="1"/>
  <c r="I695" i="1"/>
  <c r="I2046" i="1"/>
  <c r="I849" i="1"/>
  <c r="I848" i="1"/>
  <c r="I851" i="1"/>
  <c r="I850" i="1"/>
  <c r="I43" i="1"/>
  <c r="I1539" i="1"/>
  <c r="I1120" i="1"/>
  <c r="I213" i="1"/>
  <c r="I1712" i="1"/>
  <c r="I231" i="1"/>
  <c r="I44" i="1"/>
  <c r="I203" i="1"/>
  <c r="I204" i="1"/>
  <c r="I186" i="1"/>
  <c r="I184" i="1"/>
  <c r="I819" i="1"/>
  <c r="I185" i="1"/>
  <c r="I829" i="1"/>
  <c r="I187" i="1"/>
  <c r="I181" i="1"/>
  <c r="I1001" i="1"/>
  <c r="I914" i="1"/>
  <c r="I357" i="1"/>
  <c r="I1559" i="1"/>
  <c r="I1560" i="1"/>
  <c r="I1561" i="1"/>
  <c r="I284" i="1"/>
  <c r="I250" i="1"/>
  <c r="I823" i="1"/>
  <c r="I813" i="1"/>
  <c r="I814" i="1"/>
  <c r="I815" i="1"/>
  <c r="I816" i="1"/>
  <c r="I817" i="1"/>
  <c r="I818" i="1"/>
  <c r="I809" i="1"/>
  <c r="I1747" i="1"/>
  <c r="I1748" i="1"/>
  <c r="I667" i="1"/>
  <c r="I137" i="1"/>
  <c r="I1688" i="1"/>
  <c r="I787" i="1"/>
  <c r="I772" i="1"/>
  <c r="I958" i="1"/>
  <c r="I1002" i="1"/>
  <c r="I1064" i="1"/>
  <c r="I1695" i="1"/>
  <c r="I773" i="1"/>
  <c r="I777" i="1"/>
  <c r="I774" i="1"/>
  <c r="I780" i="1"/>
  <c r="I358" i="1"/>
  <c r="I2056" i="1"/>
  <c r="I810" i="1"/>
  <c r="I811" i="1"/>
  <c r="I830" i="1"/>
  <c r="I1394" i="1"/>
  <c r="I1395" i="1"/>
  <c r="I812" i="1"/>
  <c r="I831" i="1"/>
  <c r="I871" i="1"/>
  <c r="I872" i="1"/>
  <c r="I214" i="1"/>
  <c r="I984" i="1"/>
  <c r="I2061" i="1"/>
  <c r="I892" i="1"/>
  <c r="I893" i="1"/>
  <c r="I1050" i="1"/>
  <c r="I1051" i="1"/>
  <c r="I1853" i="1"/>
  <c r="I1848" i="1"/>
  <c r="I1859" i="1"/>
  <c r="I1872" i="1"/>
  <c r="I1873" i="1"/>
  <c r="I894" i="1"/>
  <c r="I138" i="1"/>
  <c r="I1052" i="1"/>
  <c r="I1860" i="1"/>
  <c r="I1053" i="1"/>
  <c r="I2077" i="1"/>
  <c r="I737" i="1"/>
  <c r="I1054" i="1"/>
  <c r="I895" i="1"/>
  <c r="I738" i="1"/>
  <c r="I896" i="1"/>
  <c r="I739" i="1"/>
  <c r="I1639" i="1"/>
  <c r="I1640" i="1"/>
  <c r="I1641" i="1"/>
  <c r="I1642" i="1"/>
  <c r="I2058" i="1"/>
  <c r="I2059" i="1"/>
  <c r="I455" i="1"/>
  <c r="I481" i="1"/>
  <c r="I696" i="1"/>
  <c r="I693" i="1"/>
  <c r="I2051" i="1"/>
  <c r="I2052" i="1"/>
  <c r="I2036" i="1"/>
  <c r="I215" i="1"/>
  <c r="I216" i="1"/>
  <c r="I261" i="1"/>
  <c r="I402" i="1"/>
  <c r="I403" i="1"/>
  <c r="I404" i="1"/>
  <c r="I434" i="1"/>
  <c r="I405" i="1"/>
  <c r="I406" i="1"/>
  <c r="I407" i="1"/>
  <c r="I408" i="1"/>
  <c r="I409" i="1"/>
  <c r="I410" i="1"/>
  <c r="I411" i="1"/>
  <c r="I482" i="1"/>
  <c r="I532" i="1"/>
  <c r="I412" i="1"/>
  <c r="I413" i="1"/>
  <c r="I533" i="1"/>
  <c r="I1749" i="1"/>
  <c r="I175" i="1"/>
  <c r="I1614" i="1"/>
  <c r="I1609" i="1"/>
  <c r="I697" i="1"/>
  <c r="I1613" i="1"/>
  <c r="I420" i="1"/>
  <c r="I295" i="1"/>
  <c r="I105" i="1"/>
  <c r="I1715" i="1"/>
  <c r="I338" i="1"/>
  <c r="I339" i="1"/>
  <c r="I340" i="1"/>
  <c r="I1714" i="1"/>
  <c r="I771" i="1"/>
  <c r="I267" i="1"/>
  <c r="I1716" i="1"/>
  <c r="I325" i="1"/>
  <c r="I1573" i="1"/>
  <c r="I72" i="1"/>
  <c r="I1713" i="1"/>
  <c r="I73" i="1"/>
  <c r="I74" i="1"/>
  <c r="I1564" i="1"/>
  <c r="I294" i="1"/>
  <c r="I1571" i="1"/>
  <c r="I709" i="1"/>
  <c r="I1565" i="1"/>
  <c r="I1574" i="1"/>
  <c r="I312" i="1"/>
  <c r="I205" i="1"/>
  <c r="I206" i="1"/>
  <c r="I313" i="1"/>
  <c r="I252" i="1"/>
  <c r="I296" i="1"/>
  <c r="I341" i="1"/>
  <c r="I217" i="1"/>
  <c r="I218" i="1"/>
  <c r="I610" i="1"/>
  <c r="I559" i="1"/>
  <c r="I560" i="1"/>
  <c r="I650" i="1"/>
  <c r="I651" i="1"/>
  <c r="I652" i="1"/>
  <c r="I508" i="1"/>
  <c r="I653" i="1"/>
  <c r="I561" i="1"/>
  <c r="I908" i="1"/>
  <c r="I909" i="1"/>
  <c r="I654" i="1"/>
  <c r="I509" i="1"/>
  <c r="I510" i="1"/>
  <c r="I511" i="1"/>
  <c r="I512" i="1"/>
  <c r="I611" i="1"/>
  <c r="I513" i="1"/>
  <c r="I759" i="1"/>
  <c r="I760" i="1"/>
  <c r="I761" i="1"/>
  <c r="I118" i="1"/>
  <c r="I1756" i="1"/>
  <c r="I2016" i="1"/>
  <c r="I1812" i="1"/>
  <c r="I438" i="1"/>
  <c r="I439" i="1"/>
  <c r="I1481" i="1"/>
  <c r="I534" i="1"/>
  <c r="I219" i="1"/>
  <c r="I1776" i="1"/>
  <c r="I1757" i="1"/>
  <c r="I1524" i="1"/>
  <c r="I544" i="1"/>
  <c r="I545" i="1"/>
  <c r="I546" i="1"/>
  <c r="I1566" i="1"/>
  <c r="I1689" i="1"/>
  <c r="I1698" i="1"/>
  <c r="I1690" i="1"/>
  <c r="I915" i="1"/>
  <c r="I1003" i="1"/>
  <c r="I1004" i="1"/>
  <c r="I1279" i="1"/>
  <c r="I1280" i="1"/>
  <c r="I1281" i="1"/>
  <c r="I1211" i="1"/>
  <c r="I1180" i="1"/>
  <c r="I1345" i="1"/>
  <c r="I1346" i="1"/>
  <c r="I369" i="1"/>
  <c r="I370" i="1"/>
  <c r="I791" i="1"/>
  <c r="I781" i="1"/>
  <c r="I1065" i="1"/>
  <c r="I800" i="1"/>
  <c r="I801" i="1"/>
  <c r="I792" i="1"/>
  <c r="I802" i="1"/>
  <c r="I789" i="1"/>
  <c r="I171" i="1"/>
  <c r="I220" i="1"/>
  <c r="I435" i="1"/>
  <c r="I456" i="1"/>
  <c r="I457" i="1"/>
  <c r="I458" i="1"/>
  <c r="I459" i="1"/>
  <c r="I460" i="1"/>
  <c r="I461" i="1"/>
  <c r="I462" i="1"/>
  <c r="I535" i="1"/>
  <c r="I1213" i="1"/>
  <c r="I1288" i="1"/>
  <c r="I483" i="1"/>
  <c r="I484" i="1"/>
  <c r="I485" i="1"/>
  <c r="I486" i="1"/>
  <c r="I487" i="1"/>
  <c r="I488" i="1"/>
  <c r="I489" i="1"/>
  <c r="I490" i="1"/>
  <c r="I686" i="1"/>
  <c r="I151" i="1"/>
  <c r="I1766" i="1"/>
  <c r="I164" i="1"/>
  <c r="I1232" i="1"/>
  <c r="I704" i="1"/>
  <c r="I1768" i="1"/>
  <c r="I1612" i="1"/>
  <c r="I2113" i="1"/>
  <c r="I687" i="1"/>
  <c r="I698" i="1"/>
  <c r="I1275" i="1"/>
  <c r="I910" i="1"/>
  <c r="I911" i="1"/>
  <c r="I735" i="1"/>
  <c r="I718" i="1"/>
  <c r="I724" i="1"/>
  <c r="I712" i="1"/>
  <c r="I732" i="1"/>
  <c r="I703" i="1"/>
  <c r="I314" i="1"/>
  <c r="I268" i="1"/>
  <c r="I269" i="1"/>
  <c r="I940" i="1"/>
  <c r="I941" i="1"/>
  <c r="I140" i="1"/>
  <c r="I2102" i="1"/>
  <c r="I740" i="1"/>
  <c r="I741" i="1"/>
  <c r="I746" i="1"/>
  <c r="I747" i="1"/>
  <c r="I754" i="1"/>
  <c r="I852" i="1"/>
  <c r="I361" i="1"/>
  <c r="I1489" i="1"/>
  <c r="I1490" i="1"/>
  <c r="I1643" i="1"/>
  <c r="I1491" i="1"/>
  <c r="I1644" i="1"/>
  <c r="I1633" i="1"/>
  <c r="I1634" i="1"/>
  <c r="I1635" i="1"/>
  <c r="I1636" i="1"/>
  <c r="I1637" i="1"/>
  <c r="I1615" i="1"/>
  <c r="I2003" i="1"/>
  <c r="I2004" i="1"/>
  <c r="I2021" i="1"/>
  <c r="I2022" i="1"/>
  <c r="I1485" i="1"/>
  <c r="I763" i="1"/>
  <c r="I764" i="1"/>
  <c r="I121" i="1"/>
  <c r="I120" i="1"/>
  <c r="I122" i="1"/>
  <c r="I123" i="1"/>
  <c r="I2018" i="1"/>
  <c r="I1765" i="1"/>
  <c r="I1945" i="1"/>
  <c r="I720" i="1"/>
  <c r="I956" i="1"/>
  <c r="I953" i="1"/>
  <c r="I207" i="1"/>
  <c r="I1940" i="1"/>
  <c r="I902" i="1"/>
  <c r="I873" i="1"/>
  <c r="I874" i="1"/>
  <c r="I875" i="1"/>
  <c r="I2092" i="1"/>
  <c r="I876" i="1"/>
  <c r="I877" i="1"/>
  <c r="I857" i="1"/>
  <c r="I1248" i="1"/>
  <c r="I1319" i="1"/>
  <c r="I878" i="1"/>
  <c r="I879" i="1"/>
  <c r="I536" i="1"/>
  <c r="I537" i="1"/>
  <c r="I538" i="1"/>
  <c r="I539" i="1"/>
  <c r="I540" i="1"/>
  <c r="I541" i="1"/>
  <c r="I463" i="1"/>
  <c r="I464" i="1"/>
  <c r="I655" i="1"/>
  <c r="I656" i="1"/>
  <c r="I657" i="1"/>
  <c r="I658" i="1"/>
  <c r="I659" i="1"/>
  <c r="I880" i="1"/>
  <c r="I1249" i="1"/>
  <c r="I1320" i="1"/>
  <c r="I1121" i="1"/>
  <c r="I1250" i="1"/>
  <c r="I582" i="1"/>
  <c r="I583" i="1"/>
  <c r="I1321" i="1"/>
  <c r="I584" i="1"/>
  <c r="I1122" i="1"/>
  <c r="I514" i="1"/>
  <c r="I515" i="1"/>
  <c r="I516" i="1"/>
  <c r="I517" i="1"/>
  <c r="I518" i="1"/>
  <c r="I519" i="1"/>
  <c r="I1086" i="1"/>
  <c r="I1123" i="1"/>
  <c r="I966" i="1"/>
  <c r="I1087" i="1"/>
  <c r="I1034" i="1"/>
  <c r="I1088" i="1"/>
  <c r="I1089" i="1"/>
  <c r="I1235" i="1"/>
  <c r="I1035" i="1"/>
  <c r="I1036" i="1"/>
  <c r="I1037" i="1"/>
  <c r="I1322" i="1"/>
  <c r="I1323" i="1"/>
  <c r="I2006" i="1"/>
  <c r="I2007" i="1"/>
  <c r="I2008" i="1"/>
  <c r="I2009" i="1"/>
  <c r="I2010" i="1"/>
  <c r="I2011" i="1"/>
  <c r="I2155" i="1"/>
  <c r="I2012" i="1"/>
  <c r="I2047" i="1"/>
  <c r="I919" i="1"/>
  <c r="I920" i="1"/>
  <c r="I921" i="1"/>
  <c r="I1104" i="1"/>
  <c r="I612" i="1"/>
  <c r="I613" i="1"/>
  <c r="I614" i="1"/>
  <c r="I615" i="1"/>
  <c r="I616" i="1"/>
  <c r="I617" i="1"/>
  <c r="I618" i="1"/>
  <c r="I619" i="1"/>
  <c r="I620" i="1"/>
  <c r="I562" i="1"/>
  <c r="I75" i="1"/>
  <c r="I45" i="1"/>
  <c r="I22" i="1"/>
  <c r="I563" i="1"/>
  <c r="I564" i="1"/>
  <c r="I565" i="1"/>
  <c r="I566" i="1"/>
  <c r="I567" i="1"/>
  <c r="I568" i="1"/>
  <c r="I967" i="1"/>
  <c r="I1195" i="1"/>
  <c r="I968" i="1"/>
  <c r="I1324" i="1"/>
  <c r="I1325" i="1"/>
  <c r="I1326" i="1"/>
  <c r="I1327" i="1"/>
  <c r="I1328" i="1"/>
  <c r="I951" i="1"/>
  <c r="I1158" i="1"/>
  <c r="I1124" i="1"/>
  <c r="I1125" i="1"/>
  <c r="I688" i="1"/>
  <c r="I76" i="1"/>
  <c r="I1534" i="1"/>
  <c r="I1533" i="1"/>
  <c r="I1532" i="1"/>
  <c r="I1531" i="1"/>
  <c r="I277" i="1"/>
  <c r="I221" i="1"/>
  <c r="I350" i="1"/>
  <c r="I331" i="1"/>
  <c r="I305" i="1"/>
  <c r="I306" i="1"/>
  <c r="I2029" i="1"/>
  <c r="I845" i="1"/>
  <c r="I1540" i="1"/>
  <c r="I1541" i="1"/>
  <c r="I24" i="1"/>
  <c r="I25" i="1"/>
  <c r="I26" i="1"/>
  <c r="I2118" i="1"/>
  <c r="I2119" i="1"/>
  <c r="I1567" i="1"/>
  <c r="I1568" i="1"/>
  <c r="I1569" i="1"/>
  <c r="I1570" i="1"/>
  <c r="I689" i="1"/>
  <c r="I699" i="1"/>
  <c r="I2060" i="1"/>
  <c r="I2063" i="1"/>
  <c r="I50" i="1"/>
  <c r="I51" i="1"/>
  <c r="I52" i="1"/>
  <c r="I1677" i="1"/>
  <c r="I1837" i="1"/>
  <c r="I1838" i="1"/>
  <c r="I1797" i="1"/>
  <c r="I1887" i="1"/>
  <c r="I1761" i="1"/>
  <c r="I969" i="1"/>
  <c r="I1251" i="1"/>
  <c r="I172" i="1"/>
  <c r="I1396" i="1"/>
  <c r="I124" i="1"/>
  <c r="I116" i="1"/>
  <c r="I119" i="1"/>
  <c r="I1804" i="1"/>
  <c r="I1782" i="1"/>
  <c r="I1813" i="1"/>
  <c r="I1883" i="1"/>
  <c r="I1337" i="1"/>
  <c r="I1338" i="1"/>
  <c r="I1884" i="1"/>
  <c r="I1880" i="1"/>
  <c r="I1885" i="1"/>
  <c r="I1892" i="1"/>
  <c r="I1836" i="1"/>
  <c r="I1200" i="1"/>
  <c r="I1264" i="1"/>
  <c r="I1201" i="1"/>
  <c r="I307" i="1"/>
  <c r="I278" i="1"/>
  <c r="I279" i="1"/>
  <c r="I1202" i="1"/>
  <c r="I897" i="1"/>
  <c r="I1093" i="1"/>
  <c r="I898" i="1"/>
  <c r="I1849" i="1"/>
  <c r="I1886" i="1"/>
  <c r="I1203" i="1"/>
  <c r="I1265" i="1"/>
  <c r="I1339" i="1"/>
  <c r="I1340" i="1"/>
  <c r="I1341" i="1"/>
  <c r="I1266" i="1"/>
  <c r="I1094" i="1"/>
  <c r="I1005" i="1"/>
  <c r="I1347" i="1"/>
  <c r="I1282" i="1"/>
  <c r="I793" i="1"/>
  <c r="I794" i="1"/>
  <c r="I1283" i="1"/>
  <c r="I366" i="1"/>
  <c r="I1699" i="1"/>
  <c r="I342" i="1"/>
  <c r="I343" i="1"/>
  <c r="I523" i="1"/>
  <c r="I326" i="1"/>
  <c r="I327" i="1"/>
  <c r="I328" i="1"/>
  <c r="I570" i="1"/>
  <c r="I253" i="1"/>
  <c r="I99" i="1"/>
  <c r="I837" i="1"/>
  <c r="I838" i="1"/>
  <c r="I27" i="1"/>
  <c r="I28" i="1"/>
  <c r="I29" i="1"/>
  <c r="I30" i="1"/>
  <c r="I31" i="1"/>
  <c r="I32" i="1"/>
  <c r="I233" i="1"/>
  <c r="I234" i="1"/>
  <c r="I53" i="1"/>
  <c r="I54" i="1"/>
  <c r="I55" i="1"/>
  <c r="I100" i="1"/>
  <c r="I56" i="1"/>
  <c r="I319" i="1"/>
  <c r="I320" i="1"/>
  <c r="I351" i="1"/>
  <c r="I352" i="1"/>
  <c r="I353" i="1"/>
  <c r="I321" i="1"/>
  <c r="I262" i="1"/>
  <c r="I57" i="1"/>
  <c r="I77" i="1"/>
  <c r="I78" i="1"/>
  <c r="I111" i="1"/>
  <c r="I112" i="1"/>
  <c r="I96" i="1"/>
  <c r="I113" i="1"/>
  <c r="I39" i="1"/>
  <c r="I1006" i="1"/>
  <c r="I1348" i="1"/>
  <c r="I101" i="1"/>
  <c r="I1866" i="1"/>
  <c r="I1867" i="1"/>
  <c r="I1868" i="1"/>
  <c r="I1869" i="1"/>
  <c r="I235" i="1"/>
  <c r="I315" i="1"/>
  <c r="I297" i="1"/>
  <c r="I298" i="1"/>
  <c r="I299" i="1"/>
  <c r="I208" i="1"/>
  <c r="I209" i="1"/>
  <c r="I210" i="1"/>
  <c r="I344" i="1"/>
  <c r="I211" i="1"/>
  <c r="I270" i="1"/>
  <c r="I1482" i="1"/>
  <c r="I1483" i="1"/>
  <c r="I666" i="1"/>
  <c r="I628" i="1"/>
  <c r="I421" i="1"/>
  <c r="I629" i="1"/>
  <c r="I591" i="1"/>
  <c r="I592" i="1"/>
  <c r="I593" i="1"/>
  <c r="I422" i="1"/>
  <c r="I594" i="1"/>
  <c r="I300" i="1"/>
  <c r="I345" i="1"/>
  <c r="I301" i="1"/>
  <c r="I630" i="1"/>
  <c r="I631" i="1"/>
  <c r="I632" i="1"/>
  <c r="I329" i="1"/>
  <c r="I285" i="1"/>
  <c r="I286" i="1"/>
  <c r="I287" i="1"/>
  <c r="I288" i="1"/>
  <c r="I289" i="1"/>
  <c r="I290" i="1"/>
  <c r="I291" i="1"/>
  <c r="I292" i="1"/>
  <c r="I227" i="1"/>
  <c r="I236" i="1"/>
  <c r="I237" i="1"/>
  <c r="I238" i="1"/>
  <c r="I239" i="1"/>
  <c r="I240" i="1"/>
  <c r="I241" i="1"/>
  <c r="I254" i="1"/>
  <c r="I1484" i="1"/>
  <c r="I1464" i="1"/>
  <c r="I255" i="1"/>
  <c r="I256" i="1"/>
  <c r="I257" i="1"/>
  <c r="I258" i="1"/>
  <c r="I259" i="1"/>
  <c r="I316" i="1"/>
  <c r="I317" i="1"/>
  <c r="I318" i="1"/>
  <c r="I271" i="1"/>
  <c r="I272" i="1"/>
  <c r="I273" i="1"/>
  <c r="I274" i="1"/>
  <c r="I275" i="1"/>
  <c r="I276" i="1"/>
  <c r="I346" i="1"/>
  <c r="I347" i="1"/>
  <c r="I348" i="1"/>
  <c r="I349" i="1"/>
  <c r="I330" i="1"/>
  <c r="I302" i="1"/>
  <c r="I303" i="1"/>
  <c r="I304" i="1"/>
  <c r="I1461" i="1"/>
  <c r="I1462" i="1"/>
  <c r="I1463" i="1"/>
  <c r="I1486" i="1"/>
  <c r="I1487" i="1"/>
  <c r="I660" i="1"/>
  <c r="I1477" i="1"/>
  <c r="I1478" i="1"/>
  <c r="I832" i="1"/>
  <c r="I833" i="1"/>
  <c r="I834" i="1"/>
  <c r="I839" i="1"/>
  <c r="I840" i="1"/>
  <c r="I841" i="1"/>
  <c r="I836" i="1"/>
  <c r="I1405" i="1"/>
  <c r="I1402" i="1"/>
  <c r="I1404" i="1"/>
  <c r="I1406" i="1"/>
  <c r="I2160" i="1"/>
  <c r="I2076" i="1"/>
  <c r="I1401" i="1"/>
  <c r="I1399" i="1"/>
  <c r="I661" i="1"/>
  <c r="I621" i="1"/>
  <c r="I933" i="1"/>
  <c r="I1364" i="1"/>
  <c r="I1228" i="1"/>
  <c r="I1011" i="1"/>
  <c r="I1814" i="1"/>
  <c r="I1231" i="1"/>
  <c r="I1368" i="1"/>
  <c r="I125" i="1"/>
  <c r="I547" i="1"/>
  <c r="I571" i="1"/>
  <c r="I633" i="1"/>
  <c r="I472" i="1"/>
  <c r="I634" i="1"/>
  <c r="I496" i="1"/>
  <c r="I423" i="1"/>
  <c r="I1027" i="1"/>
  <c r="I1038" i="1"/>
  <c r="I742" i="1"/>
  <c r="I1631" i="1"/>
  <c r="I755" i="1"/>
  <c r="I188" i="1"/>
  <c r="I1252" i="1"/>
  <c r="I1090" i="1"/>
  <c r="I824" i="1"/>
  <c r="I835" i="1"/>
  <c r="I825" i="1"/>
  <c r="I842" i="1"/>
  <c r="I843" i="1"/>
  <c r="I844" i="1"/>
  <c r="I942" i="1"/>
  <c r="I943" i="1"/>
  <c r="I635" i="1"/>
  <c r="I473" i="1"/>
  <c r="I572" i="1"/>
  <c r="I424" i="1"/>
  <c r="I573" i="1"/>
  <c r="I425" i="1"/>
  <c r="I380" i="1"/>
  <c r="I46" i="1"/>
  <c r="I61" i="1"/>
  <c r="I98" i="1"/>
  <c r="I903" i="1"/>
  <c r="I990" i="1"/>
  <c r="I1268" i="1"/>
  <c r="I904" i="1"/>
  <c r="I991" i="1"/>
  <c r="I992" i="1"/>
  <c r="I993" i="1"/>
  <c r="I1269" i="1"/>
  <c r="I1096" i="1"/>
  <c r="I994" i="1"/>
  <c r="I995" i="1"/>
  <c r="I1270" i="1"/>
  <c r="I106" i="1"/>
  <c r="I95" i="1"/>
  <c r="I47" i="1"/>
  <c r="I62" i="1"/>
  <c r="I107" i="1"/>
  <c r="I108" i="1"/>
  <c r="I109" i="1"/>
  <c r="I110" i="1"/>
  <c r="I48" i="1"/>
  <c r="I934" i="1"/>
  <c r="I1073" i="1"/>
  <c r="I1078" i="1"/>
  <c r="I2090" i="1"/>
  <c r="I2165" i="1"/>
  <c r="I944" i="1"/>
  <c r="I1305" i="1"/>
  <c r="I1369" i="1"/>
  <c r="I1306" i="1"/>
  <c r="I371" i="1"/>
  <c r="I377" i="1"/>
  <c r="I372" i="1"/>
  <c r="I364" i="1"/>
  <c r="I622" i="1"/>
  <c r="I415" i="1"/>
  <c r="I996" i="1"/>
  <c r="I997" i="1"/>
  <c r="I905" i="1"/>
  <c r="I1172" i="1"/>
  <c r="I906" i="1"/>
  <c r="I907" i="1"/>
  <c r="I63" i="1"/>
  <c r="I64" i="1"/>
  <c r="I65" i="1"/>
  <c r="I66" i="1"/>
  <c r="I67" i="1"/>
  <c r="I68" i="1"/>
  <c r="I69" i="1"/>
  <c r="I1032" i="1"/>
  <c r="I1314" i="1"/>
  <c r="I935" i="1"/>
  <c r="I1798" i="1"/>
  <c r="I1307" i="1"/>
  <c r="I102" i="1"/>
  <c r="I103" i="1"/>
  <c r="I1308" i="1"/>
  <c r="I1309" i="1"/>
  <c r="I1302" i="1"/>
  <c r="I1079" i="1"/>
  <c r="I1777" i="1"/>
  <c r="I945" i="1"/>
  <c r="I1080" i="1"/>
  <c r="I1081" i="1"/>
  <c r="I308" i="1"/>
  <c r="I33" i="1"/>
  <c r="I775" i="1"/>
  <c r="I34" i="1"/>
  <c r="I1799" i="1"/>
  <c r="I922" i="1"/>
  <c r="I1788" i="1"/>
  <c r="I1789" i="1"/>
  <c r="I1824" i="1"/>
  <c r="I972" i="1"/>
  <c r="I776" i="1"/>
  <c r="I1825" i="1"/>
  <c r="I790" i="1"/>
  <c r="I962" i="1"/>
  <c r="I963" i="1"/>
  <c r="I1236" i="1"/>
  <c r="I1315" i="1"/>
  <c r="I623" i="1"/>
  <c r="I585" i="1"/>
  <c r="I2141" i="1"/>
  <c r="I1717" i="1"/>
  <c r="I1719" i="1"/>
  <c r="I1237" i="1"/>
  <c r="I1342" i="1"/>
  <c r="I900" i="1"/>
  <c r="I1610" i="1"/>
  <c r="I1692" i="1"/>
  <c r="I491" i="1"/>
  <c r="I2038" i="1"/>
  <c r="I586" i="1"/>
  <c r="I378" i="1"/>
  <c r="I365" i="1"/>
  <c r="I362" i="1"/>
  <c r="I363" i="1"/>
  <c r="I1018" i="1"/>
  <c r="I1365" i="1"/>
  <c r="I1019" i="1"/>
  <c r="I1074" i="1"/>
  <c r="I1697" i="1"/>
  <c r="I1473" i="1"/>
  <c r="I526" i="1"/>
  <c r="I1774" i="1"/>
  <c r="I1790" i="1"/>
  <c r="I1791" i="1"/>
  <c r="I1792" i="1"/>
  <c r="I1793" i="1"/>
  <c r="I492" i="1"/>
  <c r="I1701" i="1"/>
  <c r="I1800" i="1"/>
  <c r="I1775" i="1"/>
  <c r="I1826" i="1"/>
  <c r="I1794" i="1"/>
  <c r="I437" i="1"/>
  <c r="I587" i="1"/>
  <c r="I624" i="1"/>
  <c r="I625" i="1"/>
  <c r="I416" i="1"/>
  <c r="I466" i="1"/>
  <c r="I375" i="1"/>
  <c r="I662" i="1"/>
  <c r="I493" i="1"/>
  <c r="I467" i="1"/>
  <c r="I626" i="1"/>
  <c r="I520" i="1"/>
  <c r="I468" i="1"/>
  <c r="I469" i="1"/>
  <c r="I470" i="1"/>
  <c r="I494" i="1"/>
  <c r="I495" i="1"/>
  <c r="I417" i="1"/>
  <c r="I542" i="1"/>
  <c r="I861" i="1"/>
  <c r="I862" i="1"/>
  <c r="I1696" i="1"/>
  <c r="I863" i="1"/>
  <c r="I379" i="1"/>
  <c r="I373" i="1"/>
  <c r="I471" i="1"/>
  <c r="I1028" i="1"/>
  <c r="I1622" i="1"/>
  <c r="I1619" i="1"/>
  <c r="I1310" i="1"/>
  <c r="I1311" i="1"/>
  <c r="I1312" i="1"/>
  <c r="I521" i="1"/>
  <c r="I588" i="1"/>
  <c r="I589" i="1"/>
  <c r="I418" i="1"/>
  <c r="I663" i="1"/>
  <c r="I419" i="1"/>
  <c r="I376" i="1"/>
  <c r="I263" i="1"/>
  <c r="I195" i="1"/>
  <c r="I707" i="1"/>
  <c r="I1827" i="1"/>
  <c r="I1842" i="1"/>
  <c r="I664" i="1"/>
  <c r="I665" i="1"/>
  <c r="I590" i="1"/>
  <c r="I1593" i="1"/>
  <c r="I1579" i="1"/>
  <c r="I1585" i="1"/>
  <c r="I1586" i="1"/>
  <c r="I1587" i="1"/>
  <c r="I627" i="1"/>
  <c r="I384" i="1"/>
  <c r="I522" i="1"/>
  <c r="I1580" i="1"/>
  <c r="I385" i="1"/>
  <c r="I1702" i="1"/>
  <c r="I569" i="1"/>
  <c r="I543" i="1"/>
  <c r="I1233" i="1"/>
  <c r="I672" i="1"/>
  <c r="I1303" i="1"/>
  <c r="I1366" i="1"/>
  <c r="I936" i="1"/>
  <c r="I937" i="1"/>
  <c r="I1075" i="1"/>
  <c r="I79" i="1"/>
  <c r="I80" i="1"/>
  <c r="I81" i="1"/>
  <c r="I82" i="1"/>
  <c r="I83" i="1"/>
  <c r="I84" i="1"/>
  <c r="I85" i="1"/>
  <c r="I86" i="1"/>
  <c r="I87" i="1"/>
  <c r="I88" i="1"/>
  <c r="I946" i="1"/>
  <c r="I1601" i="1"/>
  <c r="I1602" i="1"/>
  <c r="I1603" i="1"/>
  <c r="I1828" i="1"/>
  <c r="I1829" i="1"/>
  <c r="I973" i="1"/>
  <c r="I1830" i="1"/>
  <c r="I1801" i="1"/>
  <c r="I1831" i="1"/>
  <c r="I1044" i="1"/>
  <c r="I1832" i="1"/>
  <c r="I1833" i="1"/>
  <c r="I1834" i="1"/>
  <c r="I1835" i="1"/>
  <c r="I190" i="1"/>
  <c r="I2017" i="1"/>
  <c r="I1465" i="1"/>
  <c r="I710" i="1"/>
  <c r="I1710" i="1"/>
  <c r="I1511" i="1"/>
  <c r="I1503" i="1"/>
  <c r="I1493" i="1"/>
  <c r="I1316" i="1"/>
  <c r="I947" i="1"/>
  <c r="I866" i="1"/>
  <c r="I1238" i="1"/>
  <c r="I964" i="1"/>
  <c r="I1194" i="1"/>
  <c r="I1317" i="1"/>
  <c r="I1115" i="1"/>
  <c r="I1239" i="1"/>
  <c r="I196" i="1"/>
  <c r="I1536" i="1"/>
  <c r="I1562" i="1"/>
  <c r="I2073" i="1"/>
  <c r="I2057" i="1"/>
  <c r="I694" i="1"/>
  <c r="I673" i="1"/>
  <c r="I1234" i="1"/>
  <c r="I1132" i="1"/>
  <c r="I197" i="1"/>
  <c r="I223" i="1"/>
  <c r="I332" i="1"/>
  <c r="I1741" i="1"/>
  <c r="I128" i="1"/>
  <c r="I1973" i="1"/>
  <c r="I1974" i="1"/>
  <c r="I1975" i="1"/>
  <c r="I1626" i="1"/>
  <c r="I1020" i="1"/>
  <c r="I938" i="1"/>
  <c r="I1304" i="1"/>
  <c r="I1021" i="1"/>
  <c r="I1367" i="1"/>
  <c r="I2014" i="1"/>
  <c r="I1742" i="1"/>
  <c r="I1743" i="1"/>
  <c r="I1744" i="1"/>
  <c r="I1703" i="1"/>
  <c r="I1704" i="1"/>
  <c r="I1705" i="1"/>
  <c r="I1686" i="1"/>
  <c r="I1694" i="1"/>
  <c r="I1706" i="1"/>
  <c r="I1475" i="1"/>
  <c r="I1474" i="1"/>
  <c r="I1403" i="1"/>
  <c r="I1397" i="1"/>
  <c r="I1400" i="1"/>
  <c r="I1754" i="1"/>
  <c r="I1755" i="1"/>
  <c r="I2013" i="1"/>
  <c r="I1759" i="1"/>
  <c r="I1751" i="1"/>
  <c r="I1752" i="1"/>
  <c r="I1543" i="1"/>
  <c r="I1460" i="1"/>
  <c r="I2098" i="1"/>
  <c r="I1572" i="1"/>
  <c r="I1550" i="1"/>
  <c r="I1551" i="1"/>
  <c r="I1552" i="1"/>
  <c r="I1553" i="1"/>
  <c r="I1554" i="1"/>
  <c r="I1555" i="1"/>
  <c r="I97" i="1"/>
  <c r="I70" i="1"/>
  <c r="I1839" i="1"/>
  <c r="I1902" i="1"/>
  <c r="I1903" i="1"/>
  <c r="I1214" i="1"/>
  <c r="I1105" i="1"/>
  <c r="I1289" i="1"/>
  <c r="I1351" i="1"/>
  <c r="I1937" i="1"/>
  <c r="I1215" i="1"/>
  <c r="I1904" i="1"/>
  <c r="I1905" i="1"/>
  <c r="I1976" i="1"/>
  <c r="I1927" i="1"/>
  <c r="I1928" i="1"/>
  <c r="I1906" i="1"/>
  <c r="I1956" i="1"/>
  <c r="I1957" i="1"/>
  <c r="I1616" i="1"/>
  <c r="I1535" i="1"/>
  <c r="I1907" i="1"/>
  <c r="I1908" i="1"/>
  <c r="I1909" i="1"/>
  <c r="I1910" i="1"/>
  <c r="I1807" i="1"/>
  <c r="I1808" i="1"/>
  <c r="I176" i="1"/>
  <c r="I883" i="1"/>
  <c r="I884" i="1"/>
  <c r="I1041" i="1"/>
  <c r="I1795" i="1"/>
  <c r="I1796" i="1"/>
  <c r="I722" i="1"/>
  <c r="I723" i="1"/>
  <c r="I1809" i="1"/>
  <c r="I715" i="1"/>
  <c r="I2074" i="1"/>
  <c r="I1042" i="1"/>
  <c r="I1043" i="1"/>
  <c r="I1521" i="1"/>
  <c r="I1522" i="1"/>
  <c r="I1523" i="1"/>
  <c r="I1745" i="1"/>
  <c r="I1950" i="1"/>
  <c r="I923" i="1"/>
  <c r="I1254" i="1"/>
  <c r="I1255" i="1"/>
  <c r="I1161" i="1"/>
  <c r="I1162" i="1"/>
  <c r="I971" i="1"/>
  <c r="I1256" i="1"/>
  <c r="I1257" i="1"/>
  <c r="I1893" i="1"/>
  <c r="I1889" i="1"/>
  <c r="I1894" i="1"/>
  <c r="I89" i="1"/>
  <c r="I90" i="1"/>
  <c r="I91" i="1"/>
  <c r="I92" i="1"/>
  <c r="I93" i="1"/>
  <c r="I94" i="1"/>
  <c r="I2105" i="1"/>
  <c r="I2106" i="1"/>
  <c r="I1958" i="1"/>
  <c r="I1959" i="1"/>
  <c r="I1960" i="1"/>
  <c r="I71" i="1"/>
  <c r="I2159" i="1"/>
  <c r="I1724" i="1"/>
  <c r="I1725" i="1"/>
  <c r="I1731" i="1"/>
  <c r="I1408" i="1"/>
  <c r="I2137" i="1"/>
  <c r="I1575" i="1"/>
  <c r="I114" i="1"/>
  <c r="I59" i="1"/>
  <c r="I1900" i="1"/>
  <c r="I1901" i="1"/>
  <c r="I1163" i="1"/>
  <c r="I1164" i="1"/>
  <c r="I1165" i="1"/>
  <c r="I1912" i="1"/>
  <c r="I1941" i="1"/>
  <c r="I1816" i="1"/>
  <c r="I1843" i="1"/>
  <c r="I1913" i="1"/>
  <c r="I1259" i="1"/>
  <c r="I1260" i="1"/>
  <c r="I1914" i="1"/>
  <c r="I1932" i="1"/>
  <c r="I1915" i="1"/>
  <c r="I1261" i="1"/>
  <c r="I1262" i="1"/>
  <c r="I1129" i="1"/>
  <c r="I1130" i="1"/>
  <c r="I1131" i="1"/>
  <c r="I1746" i="1"/>
  <c r="I1512" i="1"/>
  <c r="I1513" i="1"/>
  <c r="I60" i="1"/>
  <c r="I2089" i="1"/>
  <c r="I2034" i="1"/>
  <c r="I104" i="1"/>
  <c r="I1676" i="1"/>
  <c r="I711" i="1"/>
  <c r="I716" i="1"/>
  <c r="I733" i="1"/>
  <c r="I158" i="1"/>
  <c r="I159" i="1"/>
  <c r="I142" i="1"/>
  <c r="I143" i="1"/>
  <c r="I144" i="1"/>
  <c r="I734" i="1"/>
  <c r="I165" i="1"/>
  <c r="I177" i="1"/>
  <c r="I178" i="1"/>
  <c r="I179" i="1"/>
  <c r="I1029" i="1"/>
  <c r="I1049" i="1"/>
  <c r="I2150" i="1"/>
  <c r="I1982" i="1"/>
  <c r="I2082" i="1"/>
  <c r="I2162" i="1"/>
  <c r="I2083" i="1"/>
  <c r="I1760" i="1"/>
  <c r="I1758" i="1"/>
  <c r="I1762" i="1"/>
  <c r="I386" i="1"/>
  <c r="I1658" i="1"/>
  <c r="I1207" i="1"/>
  <c r="I1208" i="1"/>
  <c r="I1097" i="1"/>
  <c r="I1721" i="1"/>
  <c r="I1722" i="1"/>
  <c r="I1723" i="1"/>
  <c r="I795" i="1"/>
  <c r="I796" i="1"/>
  <c r="I367" i="1"/>
  <c r="I359" i="1"/>
  <c r="I1700" i="1"/>
  <c r="I1514" i="1"/>
  <c r="I924" i="1"/>
  <c r="I1290" i="1"/>
  <c r="I925" i="1"/>
  <c r="I1352" i="1"/>
  <c r="I1183" i="1"/>
  <c r="I926" i="1"/>
  <c r="I333" i="1"/>
  <c r="I927" i="1"/>
  <c r="I1106" i="1"/>
  <c r="I322" i="1"/>
  <c r="I1291" i="1"/>
  <c r="I1292" i="1"/>
  <c r="I334" i="1"/>
  <c r="I1438" i="1"/>
  <c r="I1439" i="1"/>
  <c r="I1421" i="1"/>
  <c r="I1412" i="1"/>
  <c r="I1440" i="1"/>
  <c r="I12" i="1"/>
  <c r="I881" i="1"/>
  <c r="I882" i="1"/>
  <c r="I1504" i="1"/>
  <c r="I1505" i="1"/>
  <c r="I1506" i="1"/>
  <c r="I1515" i="1"/>
  <c r="I706" i="1"/>
  <c r="I1537" i="1"/>
  <c r="I1563" i="1"/>
  <c r="I1544" i="1"/>
  <c r="I198" i="1"/>
  <c r="I309" i="1"/>
  <c r="I199" i="1"/>
  <c r="I310" i="1"/>
  <c r="I354" i="1"/>
  <c r="I355" i="1"/>
  <c r="I356" i="1"/>
  <c r="I293" i="1"/>
  <c r="I1526" i="1"/>
  <c r="I1527" i="1"/>
  <c r="I1525" i="1"/>
  <c r="I1815" i="1"/>
  <c r="I1844" i="1"/>
  <c r="I1805" i="1"/>
  <c r="I1806" i="1"/>
  <c r="I1840" i="1"/>
  <c r="I1841" i="1"/>
  <c r="I1888" i="1"/>
  <c r="I9" i="1"/>
  <c r="I10" i="1"/>
  <c r="I19" i="1"/>
  <c r="I7" i="1"/>
  <c r="I2" i="1"/>
  <c r="I13" i="1"/>
  <c r="I14" i="1"/>
  <c r="I8" i="1"/>
  <c r="I16" i="1"/>
  <c r="I17" i="1"/>
  <c r="I11" i="1"/>
  <c r="I18" i="1"/>
  <c r="I15" i="1"/>
  <c r="I3" i="1"/>
  <c r="I1436" i="1"/>
  <c r="I200" i="1"/>
  <c r="I335" i="1"/>
  <c r="I1102" i="1"/>
  <c r="I778" i="1"/>
  <c r="I1240" i="1"/>
  <c r="I1116" i="1"/>
  <c r="I1117" i="1"/>
  <c r="I387" i="1"/>
  <c r="I527" i="1"/>
  <c r="I638" i="1"/>
  <c r="I245" i="1"/>
  <c r="I1241" i="1"/>
  <c r="I965" i="1"/>
  <c r="I2166" i="1"/>
  <c r="I2152" i="1"/>
  <c r="I2067" i="1"/>
  <c r="I2130" i="1"/>
  <c r="I2068" i="1"/>
  <c r="I2069" i="1"/>
  <c r="I2044" i="1"/>
  <c r="I948" i="1"/>
  <c r="I949" i="1"/>
  <c r="I950" i="1"/>
  <c r="I2153" i="1"/>
  <c r="I2070" i="1"/>
  <c r="I2131" i="1"/>
  <c r="I2071" i="1"/>
  <c r="I2107" i="1"/>
  <c r="I2154" i="1"/>
  <c r="I970" i="1"/>
  <c r="I1444" i="1"/>
  <c r="I1783" i="1"/>
  <c r="I1196" i="1"/>
  <c r="I1022" i="1"/>
  <c r="I1229" i="1"/>
  <c r="I1023" i="1"/>
  <c r="I1024" i="1"/>
  <c r="I2064" i="1"/>
  <c r="I974" i="1"/>
  <c r="I388" i="1"/>
  <c r="I639" i="1"/>
  <c r="I389" i="1"/>
  <c r="I640" i="1"/>
  <c r="I641" i="1"/>
  <c r="I1582" i="1"/>
  <c r="I642" i="1"/>
  <c r="I668" i="1"/>
  <c r="I497" i="1"/>
  <c r="I498" i="1"/>
  <c r="I499" i="1"/>
  <c r="I1916" i="1"/>
  <c r="I916" i="1"/>
  <c r="I1969" i="1"/>
  <c r="I779" i="1"/>
  <c r="I797" i="1"/>
  <c r="I2123" i="1"/>
  <c r="I1284" i="1"/>
  <c r="I1066" i="1"/>
  <c r="I1917" i="1"/>
  <c r="I1007" i="1"/>
  <c r="I798" i="1"/>
  <c r="I1918" i="1"/>
  <c r="I360" i="1"/>
  <c r="I368" i="1"/>
  <c r="I374" i="1"/>
  <c r="I1942" i="1"/>
  <c r="I1929" i="1"/>
  <c r="I1951" i="1"/>
  <c r="I145" i="1"/>
  <c r="I1654" i="1"/>
  <c r="I1664" i="1"/>
  <c r="I336" i="1"/>
  <c r="I337" i="1"/>
  <c r="I975" i="1"/>
  <c r="I976" i="1"/>
  <c r="I1197" i="1"/>
  <c r="I1045" i="1"/>
  <c r="I977" i="1"/>
  <c r="I978" i="1"/>
  <c r="I885" i="1"/>
  <c r="I2079" i="1"/>
  <c r="I4" i="1"/>
  <c r="I5" i="1"/>
  <c r="I6" i="1"/>
  <c r="I979" i="1"/>
  <c r="I1577" i="1"/>
  <c r="I1583" i="1"/>
  <c r="I1594" i="1"/>
  <c r="I1429" i="1"/>
  <c r="I980" i="1"/>
  <c r="I981" i="1"/>
  <c r="I2149" i="1"/>
  <c r="I1810" i="1"/>
  <c r="I1274" i="1"/>
  <c r="I2086" i="1"/>
  <c r="I1472" i="1"/>
  <c r="I1578" i="1"/>
  <c r="I1584" i="1"/>
  <c r="I264" i="1"/>
  <c r="I265" i="1"/>
  <c r="I2158" i="1"/>
  <c r="I708" i="1"/>
  <c r="I323" i="1"/>
  <c r="I280" i="1"/>
  <c r="I1592" i="1"/>
  <c r="I500" i="1"/>
  <c r="I390" i="1"/>
  <c r="I501" i="1"/>
  <c r="I502" i="1"/>
  <c r="I596" i="1"/>
  <c r="I475" i="1"/>
  <c r="I643" i="1"/>
  <c r="I574" i="1"/>
  <c r="I1588" i="1"/>
  <c r="I1589" i="1"/>
  <c r="I1595" i="1"/>
  <c r="I2161" i="1"/>
  <c r="I1441" i="1"/>
  <c r="I1409" i="1"/>
  <c r="I1410" i="1"/>
  <c r="I1819" i="1"/>
  <c r="I1784" i="1"/>
  <c r="I1772" i="1"/>
  <c r="I1773" i="1"/>
  <c r="I1008" i="1"/>
  <c r="I1349" i="1"/>
  <c r="I1285" i="1"/>
  <c r="I1181" i="1"/>
  <c r="I917" i="1"/>
  <c r="I2124" i="1"/>
  <c r="I2125" i="1"/>
  <c r="I2139" i="1"/>
  <c r="I1785" i="1"/>
  <c r="I1786" i="1"/>
  <c r="I1787" i="1"/>
  <c r="I846" i="1"/>
  <c r="I847" i="1"/>
  <c r="I442" i="1"/>
  <c r="I443" i="1"/>
  <c r="I528" i="1"/>
  <c r="I1182" i="1"/>
  <c r="I1146" i="1"/>
  <c r="I1212" i="1"/>
  <c r="I1147" i="1"/>
  <c r="I2066" i="1"/>
  <c r="I1286" i="1"/>
  <c r="I2140" i="1"/>
  <c r="I1025" i="1"/>
  <c r="I939" i="1"/>
  <c r="I1411" i="1"/>
  <c r="I1437" i="1"/>
  <c r="I1432" i="1"/>
  <c r="I1422" i="1"/>
  <c r="I1994" i="1"/>
  <c r="I1986" i="1"/>
  <c r="I2002" i="1"/>
  <c r="I2111" i="1"/>
  <c r="I1995" i="1"/>
  <c r="I2087" i="1"/>
  <c r="I2035" i="1"/>
  <c r="I2138" i="1"/>
  <c r="I2163" i="1"/>
  <c r="I183" i="1"/>
  <c r="I266" i="1"/>
  <c r="I246" i="1"/>
  <c r="I281" i="1"/>
  <c r="I282" i="1"/>
  <c r="I247" i="1"/>
  <c r="I224" i="1"/>
  <c r="I35" i="1"/>
  <c r="I324" i="1"/>
  <c r="I2037" i="1"/>
  <c r="I1189" i="1"/>
  <c r="I1190" i="1"/>
  <c r="I677" i="1"/>
  <c r="I1386" i="1"/>
  <c r="I1620" i="1"/>
  <c r="I891" i="1"/>
  <c r="I1952" i="1"/>
  <c r="I1740" i="1"/>
  <c r="I1961" i="1"/>
  <c r="I1977" i="1"/>
  <c r="I1962" i="1"/>
  <c r="I1680" i="1"/>
  <c r="I1445" i="1"/>
  <c r="I1423" i="1"/>
  <c r="I1442" i="1"/>
  <c r="I1371" i="1"/>
  <c r="I2096" i="1"/>
  <c r="I2032" i="1"/>
  <c r="I2136" i="1"/>
  <c r="I2033" i="1"/>
  <c r="I1820" i="1"/>
  <c r="I1821" i="1"/>
  <c r="I1822" i="1"/>
  <c r="I1823" i="1"/>
  <c r="I1817" i="1"/>
  <c r="I2030" i="1"/>
  <c r="I2031" i="1"/>
  <c r="I2091" i="1"/>
  <c r="I1313" i="1"/>
  <c r="I311" i="1"/>
  <c r="I960" i="1"/>
  <c r="I1113" i="1"/>
  <c r="I2108" i="1"/>
  <c r="I1329" i="1"/>
  <c r="I2117" i="1"/>
  <c r="I1330" i="1"/>
  <c r="I1166" i="1"/>
  <c r="I1778" i="1"/>
  <c r="I1779" i="1"/>
  <c r="I1167" i="1"/>
  <c r="I1818" i="1"/>
  <c r="I1802" i="1"/>
  <c r="I1803" i="1"/>
  <c r="I1780" i="1"/>
  <c r="I1811" i="1"/>
  <c r="I1114" i="1"/>
  <c r="I230" i="1"/>
  <c r="I1623" i="1"/>
  <c r="I1627" i="1"/>
  <c r="I1978" i="1"/>
  <c r="I1943" i="1"/>
  <c r="I1930" i="1"/>
  <c r="I1618" i="1"/>
  <c r="I1979" i="1"/>
  <c r="I1947" i="1"/>
  <c r="I1948" i="1"/>
  <c r="I1424" i="1"/>
  <c r="I2080" i="1"/>
  <c r="I1055" i="1"/>
  <c r="I1507" i="1"/>
  <c r="I1494" i="1"/>
  <c r="I1509" i="1"/>
  <c r="I1510" i="1"/>
  <c r="I1372" i="1"/>
  <c r="I1373" i="1"/>
  <c r="I1374" i="1"/>
  <c r="I1375" i="1"/>
  <c r="I1376" i="1"/>
  <c r="I1377" i="1"/>
  <c r="I1378" i="1"/>
  <c r="I1379" i="1"/>
  <c r="I1381" i="1"/>
  <c r="I1416" i="1"/>
  <c r="I1944" i="1"/>
  <c r="I1938" i="1"/>
  <c r="I1621" i="1"/>
  <c r="I1966" i="1"/>
  <c r="I1953" i="1"/>
  <c r="I1967" i="1"/>
  <c r="I1624" i="1"/>
  <c r="I1625" i="1"/>
  <c r="I1729" i="1"/>
  <c r="I1730" i="1"/>
  <c r="I1389" i="1"/>
  <c r="I1384" i="1"/>
  <c r="I1382" i="1"/>
  <c r="I1380" i="1"/>
  <c r="I1387" i="1"/>
  <c r="I1391" i="1"/>
  <c r="I1383" i="1"/>
  <c r="I135" i="1"/>
  <c r="I1529" i="1"/>
  <c r="I1150" i="1"/>
  <c r="I1151" i="1"/>
  <c r="I1152" i="1"/>
  <c r="I1112" i="1"/>
  <c r="I1230" i="1"/>
  <c r="I1417" i="1"/>
  <c r="I1191" i="1"/>
  <c r="I1418" i="1"/>
  <c r="I1425" i="1"/>
  <c r="I1419" i="1"/>
  <c r="I1420" i="1"/>
  <c r="I1413" i="1"/>
  <c r="I1446" i="1"/>
  <c r="I1030" i="1"/>
  <c r="I2024" i="1"/>
  <c r="I1516" i="1"/>
  <c r="I1517" i="1"/>
  <c r="I1082" i="1"/>
  <c r="I1083" i="1"/>
  <c r="I1192" i="1"/>
  <c r="I1193" i="1"/>
  <c r="I725" i="1"/>
  <c r="I1661" i="1"/>
  <c r="I748" i="1"/>
  <c r="I803" i="1"/>
  <c r="I1590" i="1"/>
  <c r="I1591" i="1"/>
  <c r="I1674" i="1"/>
  <c r="I2121" i="1"/>
  <c r="I548" i="1"/>
  <c r="I597" i="1"/>
  <c r="I529" i="1"/>
  <c r="I530" i="1"/>
  <c r="I476" i="1"/>
  <c r="I2081" i="1"/>
  <c r="I163" i="1"/>
  <c r="I153" i="1"/>
  <c r="I173" i="1"/>
  <c r="I162" i="1"/>
  <c r="I166" i="1"/>
  <c r="I167" i="1"/>
  <c r="I168" i="1"/>
  <c r="I169" i="1"/>
  <c r="I174" i="1"/>
  <c r="I1430" i="1"/>
  <c r="I1443" i="1"/>
  <c r="I1426" i="1"/>
  <c r="I1433" i="1"/>
  <c r="I1434" i="1"/>
  <c r="I1431" i="1"/>
  <c r="I1447" i="1"/>
  <c r="I1732" i="1"/>
  <c r="I1726" i="1"/>
  <c r="I1733" i="1"/>
  <c r="I1727" i="1"/>
  <c r="I1728" i="1"/>
  <c r="I1736" i="1"/>
  <c r="I1737" i="1"/>
  <c r="I1734" i="1"/>
  <c r="I1435" i="1"/>
  <c r="I1427" i="1"/>
  <c r="I1414" i="1"/>
  <c r="I1448" i="1"/>
  <c r="I1428" i="1"/>
  <c r="I1449" i="1"/>
  <c r="I1009" i="1"/>
  <c r="I2122" i="1"/>
  <c r="I1576" i="1"/>
  <c r="I1242" i="1"/>
  <c r="I1243" i="1"/>
  <c r="I1084" i="1"/>
  <c r="I867" i="1"/>
  <c r="I2053" i="1"/>
  <c r="I131" i="1"/>
  <c r="I1678" i="1"/>
  <c r="I1148" i="1"/>
  <c r="I1103" i="1"/>
  <c r="I788" i="1"/>
  <c r="I928" i="1"/>
  <c r="I1012" i="1"/>
  <c r="I1293" i="1"/>
  <c r="I1216" i="1"/>
  <c r="I1013" i="1"/>
  <c r="I1217" i="1"/>
  <c r="I1218" i="1"/>
  <c r="I154" i="1"/>
  <c r="I727" i="1"/>
  <c r="I728" i="1"/>
  <c r="I1659" i="1"/>
  <c r="I1098" i="1"/>
  <c r="I1099" i="1"/>
  <c r="I749" i="1"/>
  <c r="I750" i="1"/>
  <c r="I751" i="1"/>
  <c r="I752" i="1"/>
  <c r="I753" i="1"/>
  <c r="I785" i="1"/>
  <c r="I786" i="1"/>
  <c r="I1556" i="1"/>
  <c r="I1549" i="1"/>
  <c r="I1682" i="1"/>
  <c r="I2146" i="1"/>
  <c r="I2025" i="1"/>
  <c r="I2026" i="1"/>
  <c r="I1655" i="1"/>
  <c r="I1671" i="1"/>
  <c r="I1707" i="1"/>
  <c r="I1709" i="1"/>
  <c r="I1708" i="1"/>
  <c r="I2103" i="1"/>
  <c r="I2104" i="1"/>
  <c r="I2039" i="1"/>
  <c r="I2040" i="1"/>
  <c r="I2041" i="1"/>
  <c r="I1769" i="1"/>
  <c r="I1244" i="1"/>
  <c r="I1219" i="1"/>
  <c r="I1353" i="1"/>
  <c r="I1184" i="1"/>
  <c r="I1294" i="1"/>
  <c r="I1220" i="1"/>
  <c r="I1295" i="1"/>
  <c r="I1296" i="1"/>
  <c r="I1354" i="1"/>
  <c r="I1068" i="1"/>
  <c r="I929" i="1"/>
  <c r="I1355" i="1"/>
  <c r="I1014" i="1"/>
  <c r="I1221" i="1"/>
  <c r="I1297" i="1"/>
  <c r="I1356" i="1"/>
  <c r="I1069" i="1"/>
  <c r="I1298" i="1"/>
  <c r="I930" i="1"/>
  <c r="I1222" i="1"/>
  <c r="I1223" i="1"/>
  <c r="I1057" i="1"/>
  <c r="I1058" i="1"/>
  <c r="I719" i="1"/>
  <c r="I713" i="1"/>
  <c r="I1999" i="1"/>
  <c r="I1683" i="1"/>
  <c r="I1991" i="1"/>
  <c r="I130" i="1"/>
  <c r="I2112" i="1"/>
  <c r="I1987" i="1"/>
  <c r="I2015" i="1"/>
  <c r="I770" i="1"/>
  <c r="I2075" i="1"/>
  <c r="I2147" i="1"/>
  <c r="I2027" i="1"/>
  <c r="I1665" i="1"/>
  <c r="I1118" i="1"/>
  <c r="I1318" i="1"/>
  <c r="I1245" i="1"/>
  <c r="I1357" i="1"/>
  <c r="I729" i="1"/>
  <c r="I726" i="1"/>
  <c r="I799" i="1"/>
  <c r="I1287" i="1"/>
  <c r="I1350" i="1"/>
  <c r="I782" i="1"/>
  <c r="I783" i="1"/>
  <c r="I784" i="1"/>
  <c r="I1246" i="1"/>
  <c r="I1299" i="1"/>
  <c r="I1224" i="1"/>
  <c r="I1358" i="1"/>
  <c r="I1359" i="1"/>
  <c r="I1300" i="1"/>
  <c r="I931" i="1"/>
  <c r="I1988" i="1"/>
  <c r="I1989" i="1"/>
  <c r="I1992" i="1"/>
  <c r="I2065" i="1"/>
  <c r="I1854" i="1"/>
  <c r="I952" i="1"/>
  <c r="I1874" i="1"/>
  <c r="I1133" i="1"/>
  <c r="I1875" i="1"/>
  <c r="I1134" i="1"/>
  <c r="I1876" i="1"/>
  <c r="I1877" i="1"/>
  <c r="I985" i="1"/>
  <c r="I2094" i="1"/>
  <c r="I2148" i="1"/>
  <c r="I2114" i="1"/>
  <c r="I2115" i="1"/>
  <c r="I2095" i="1"/>
  <c r="I1963" i="1"/>
  <c r="I1980" i="1"/>
  <c r="I1931" i="1"/>
  <c r="I1981" i="1"/>
  <c r="I1735" i="1"/>
  <c r="I1645" i="1"/>
  <c r="I1738" i="1"/>
  <c r="I1652" i="1"/>
  <c r="I1739" i="1"/>
  <c r="I1263" i="1"/>
  <c r="I1968" i="1"/>
  <c r="I1681" i="1"/>
  <c r="I1679" i="1"/>
  <c r="I1271" i="1"/>
  <c r="I503" i="1"/>
  <c r="I1750" i="1"/>
  <c r="I2099" i="1"/>
  <c r="I2100" i="1"/>
  <c r="I2101" i="1"/>
  <c r="I381" i="1"/>
  <c r="I426" i="1"/>
  <c r="I2054" i="1"/>
  <c r="I1691" i="1"/>
  <c r="I595" i="1"/>
  <c r="I440" i="1"/>
  <c r="I382" i="1"/>
  <c r="I636" i="1"/>
  <c r="I637" i="1"/>
  <c r="I441" i="1"/>
  <c r="I1617" i="1"/>
  <c r="I1398" i="1"/>
  <c r="I1360" i="1"/>
  <c r="I1301" i="1"/>
  <c r="I1361" i="1"/>
  <c r="I1225" i="1"/>
  <c r="I1015" i="1"/>
  <c r="I1070" i="1"/>
  <c r="I2151" i="1"/>
  <c r="I736" i="1"/>
  <c r="I868" i="1"/>
  <c r="I1247" i="1"/>
  <c r="I869" i="1"/>
  <c r="I932" i="1"/>
  <c r="I1362" i="1"/>
  <c r="I1226" i="1"/>
  <c r="I1363" i="1"/>
  <c r="I1107" i="1"/>
  <c r="I1227" i="1"/>
  <c r="I1508" i="1"/>
  <c r="I1495" i="1"/>
  <c r="I1108" i="1"/>
  <c r="I1109" i="1"/>
  <c r="I1110" i="1"/>
  <c r="I1016" i="1"/>
  <c r="I1111" i="1"/>
  <c r="I854" i="1"/>
  <c r="I1393" i="1"/>
  <c r="I2097" i="1"/>
  <c r="I1496" i="1"/>
  <c r="I1518" i="1"/>
  <c r="I1519" i="1"/>
  <c r="I1497" i="1"/>
  <c r="I1479" i="1"/>
  <c r="I1480" i="1"/>
  <c r="I1476" i="1"/>
  <c r="I146" i="1"/>
  <c r="I147" i="1"/>
  <c r="I180" i="1"/>
  <c r="I1899" i="1"/>
  <c r="I870" i="1"/>
  <c r="I598" i="1"/>
  <c r="I477" i="1"/>
  <c r="I599" i="1"/>
  <c r="I1498" i="1"/>
  <c r="I1499" i="1"/>
  <c r="I1500" i="1"/>
  <c r="I1501" i="1"/>
  <c r="I988" i="1"/>
  <c r="I1100" i="1"/>
  <c r="I855" i="1"/>
  <c r="I856" i="1"/>
  <c r="I1502" i="1"/>
  <c r="I1520" i="1"/>
  <c r="I160" i="1"/>
  <c r="I161" i="1"/>
  <c r="I155" i="1"/>
  <c r="I149" i="1"/>
  <c r="I156" i="1"/>
  <c r="I170" i="1"/>
  <c r="I2132" i="1"/>
  <c r="I2093" i="1"/>
  <c r="I2133" i="1"/>
  <c r="I1173" i="1"/>
  <c r="I1272" i="1"/>
  <c r="I1174" i="1"/>
  <c r="I2134" i="1"/>
  <c r="I2135" i="1"/>
  <c r="I1185" i="1"/>
  <c r="I1071" i="1"/>
  <c r="I1186" i="1"/>
  <c r="I1072" i="1"/>
  <c r="I1187" i="1"/>
  <c r="I1017" i="1"/>
  <c r="I1648" i="1"/>
  <c r="I1649" i="1"/>
  <c r="I1119" i="1"/>
  <c r="I1085" i="1"/>
  <c r="I1033" i="1"/>
  <c r="I1039" i="1"/>
  <c r="I1040" i="1"/>
  <c r="I1091" i="1"/>
  <c r="I243" i="1"/>
  <c r="I1149" i="1"/>
  <c r="I1188" i="1"/>
  <c r="I1138" i="1"/>
  <c r="I1139" i="1"/>
  <c r="I1862" i="1"/>
  <c r="I1895" i="1"/>
  <c r="I1896" i="1"/>
  <c r="I1890" i="1"/>
  <c r="I1897" i="1"/>
  <c r="I1898" i="1"/>
  <c r="I1140" i="1"/>
  <c r="I1141" i="1"/>
  <c r="I1142" i="1"/>
  <c r="I1143" i="1"/>
  <c r="I1144" i="1"/>
  <c r="I853" i="1"/>
  <c r="I1770" i="1"/>
  <c r="I1771" i="1"/>
  <c r="I805" i="1"/>
  <c r="I804" i="1"/>
  <c r="I1653" i="1"/>
  <c r="I2005" i="1"/>
  <c r="I1651" i="1"/>
  <c r="I886" i="1"/>
  <c r="I1331" i="1"/>
  <c r="I1332" i="1"/>
  <c r="I858" i="1"/>
  <c r="I1646" i="1"/>
  <c r="I1650" i="1"/>
  <c r="I859" i="1"/>
  <c r="I860" i="1"/>
  <c r="I1881" i="1"/>
  <c r="I1851" i="1"/>
  <c r="I1852" i="1"/>
  <c r="I1846" i="1"/>
  <c r="I1882" i="1"/>
  <c r="I1863" i="1"/>
  <c r="I1891" i="1"/>
  <c r="I1847" i="1"/>
  <c r="I1864" i="1"/>
  <c r="I1333" i="1"/>
  <c r="I1046" i="1"/>
  <c r="I1334" i="1"/>
  <c r="I887" i="1"/>
  <c r="I1126" i="1"/>
  <c r="I1335" i="1"/>
  <c r="I1127" i="1"/>
  <c r="I888" i="1"/>
  <c r="I1258" i="1"/>
  <c r="I889" i="1"/>
  <c r="I1175" i="1"/>
  <c r="I1176" i="1"/>
  <c r="I2156" i="1"/>
  <c r="I2157" i="1"/>
  <c r="I2042" i="1"/>
  <c r="I2043" i="1"/>
  <c r="I1469" i="1"/>
  <c r="I1466" i="1"/>
  <c r="I1920" i="1"/>
  <c r="I1921" i="1"/>
  <c r="I1922" i="1"/>
  <c r="I1984" i="1"/>
  <c r="I1923" i="1"/>
  <c r="I1933" i="1"/>
  <c r="I1934" i="1"/>
  <c r="I1970" i="1"/>
  <c r="I1971" i="1"/>
  <c r="I1935" i="1"/>
  <c r="I1936" i="1"/>
  <c r="I1964" i="1"/>
  <c r="I1273" i="1"/>
  <c r="I998" i="1"/>
  <c r="I1983" i="1"/>
  <c r="I2142" i="1"/>
  <c r="I1168" i="1"/>
  <c r="I890" i="1"/>
  <c r="I1336" i="1"/>
  <c r="I1128" i="1"/>
  <c r="I1865" i="1"/>
  <c r="I1092" i="1"/>
  <c r="I1879" i="1"/>
  <c r="I1198" i="1"/>
  <c r="I1199" i="1"/>
  <c r="I1276" i="1"/>
  <c r="I1344" i="1"/>
  <c r="I1277" i="1"/>
  <c r="I1059" i="1"/>
  <c r="I912" i="1"/>
  <c r="I1060" i="1"/>
  <c r="I2109" i="1"/>
  <c r="I1647" i="1"/>
  <c r="I2110" i="1"/>
  <c r="I1047" i="1"/>
  <c r="I1858" i="1"/>
  <c r="I1048" i="1"/>
  <c r="I982" i="1"/>
  <c r="I983" i="1"/>
  <c r="I1159" i="1"/>
  <c r="I1253" i="1"/>
  <c r="I1160" i="1"/>
  <c r="I743" i="1"/>
  <c r="I2116" i="1"/>
  <c r="I1672" i="1"/>
  <c r="I1673" i="1"/>
  <c r="I1662" i="1"/>
  <c r="I1878" i="1"/>
  <c r="I1670" i="1"/>
  <c r="I1675" i="1"/>
  <c r="I1657" i="1"/>
  <c r="I1666" i="1"/>
  <c r="I670" i="1"/>
  <c r="I671" i="1"/>
  <c r="I1667" i="1"/>
  <c r="I1668" i="1"/>
  <c r="I1669" i="1"/>
  <c r="I1407" i="1"/>
  <c r="I1177" i="1"/>
  <c r="I1343" i="1"/>
  <c r="I744" i="1"/>
  <c r="I1076" i="1"/>
  <c r="I2164" i="1"/>
  <c r="I2143" i="1"/>
  <c r="I2144" i="1"/>
  <c r="I2145" i="1"/>
  <c r="I1456" i="1"/>
  <c r="I1452" i="1"/>
  <c r="I445" i="1"/>
  <c r="I446" i="1"/>
  <c r="I447" i="1"/>
  <c r="I392" i="1"/>
  <c r="I393" i="1"/>
  <c r="I394" i="1"/>
  <c r="I644" i="1"/>
  <c r="I395" i="1"/>
  <c r="I645" i="1"/>
  <c r="I646" i="1"/>
  <c r="I396" i="1"/>
  <c r="I504" i="1"/>
  <c r="I479" i="1"/>
  <c r="I397" i="1"/>
  <c r="I398" i="1"/>
  <c r="I448" i="1"/>
  <c r="I505" i="1"/>
  <c r="I449" i="1"/>
  <c r="I549" i="1"/>
  <c r="I550" i="1"/>
  <c r="I600" i="1"/>
  <c r="I601" i="1"/>
  <c r="I531" i="1"/>
  <c r="I575" i="1"/>
  <c r="I551" i="1"/>
  <c r="I602" i="1"/>
  <c r="I428" i="1"/>
  <c r="I429" i="1"/>
  <c r="I430" i="1"/>
  <c r="I1530" i="1"/>
  <c r="I1528" i="1"/>
  <c r="I1390" i="1"/>
  <c r="I1492" i="1"/>
  <c r="I705" i="1"/>
  <c r="I1157" i="1"/>
  <c r="I576" i="1"/>
  <c r="I577" i="1"/>
  <c r="I450" i="1"/>
  <c r="I451" i="1"/>
  <c r="I552" i="1"/>
  <c r="I452" i="1"/>
  <c r="I553" i="1"/>
  <c r="I554" i="1"/>
  <c r="I555" i="1"/>
  <c r="I556" i="1"/>
  <c r="I453" i="1"/>
  <c r="I557" i="1"/>
  <c r="I558" i="1"/>
  <c r="I647" i="1"/>
  <c r="I399" i="1"/>
  <c r="I578" i="1"/>
  <c r="I400" i="1"/>
  <c r="I603" i="1"/>
  <c r="I506" i="1"/>
  <c r="I431" i="1"/>
  <c r="I2062" i="1"/>
  <c r="I2120" i="1"/>
  <c r="I192" i="1"/>
  <c r="I1388" i="1"/>
  <c r="I1385" i="1"/>
  <c r="I524" i="1"/>
  <c r="I604" i="1"/>
  <c r="I525" i="1"/>
  <c r="I579" i="1"/>
  <c r="I580" i="1"/>
  <c r="I432" i="1"/>
  <c r="I648" i="1"/>
  <c r="I507" i="1"/>
  <c r="I581" i="1"/>
  <c r="I605" i="1"/>
  <c r="I606" i="1"/>
  <c r="I607" i="1"/>
  <c r="I608" i="1"/>
  <c r="I609" i="1"/>
  <c r="I649" i="1"/>
  <c r="I1169" i="1"/>
  <c r="I1170" i="1"/>
  <c r="I1171" i="1"/>
  <c r="I986" i="1"/>
  <c r="I1267" i="1"/>
  <c r="I987" i="1"/>
  <c r="I1924" i="1"/>
  <c r="I1925" i="1"/>
  <c r="I1926" i="1"/>
  <c r="I1026" i="1"/>
  <c r="I191" i="1"/>
  <c r="I1467" i="1"/>
  <c r="I766" i="1"/>
  <c r="I1468" i="1"/>
  <c r="I730" i="1"/>
  <c r="I193" i="1"/>
  <c r="I1985" i="1"/>
  <c r="I1949" i="1"/>
  <c r="I2088" i="1"/>
  <c r="I676" i="1"/>
  <c r="I1153" i="1"/>
  <c r="I1154" i="1"/>
  <c r="I1155" i="1"/>
  <c r="I1156" i="1"/>
  <c r="I1077" i="1"/>
  <c r="I1965" i="1"/>
  <c r="I1972" i="1"/>
  <c r="I1954" i="1"/>
  <c r="I1955" i="1"/>
  <c r="I2129" i="1"/>
  <c r="I1470" i="1"/>
  <c r="I767" i="1"/>
  <c r="I768" i="1"/>
</calcChain>
</file>

<file path=xl/sharedStrings.xml><?xml version="1.0" encoding="utf-8"?>
<sst xmlns="http://schemas.openxmlformats.org/spreadsheetml/2006/main" count="194762" uniqueCount="67788">
  <si>
    <t>What region are you searching in?</t>
  </si>
  <si>
    <t>What type of song is this?</t>
  </si>
  <si>
    <t>Enter the name of the culture this song was collected from.</t>
  </si>
  <si>
    <t>Glottocode_1</t>
  </si>
  <si>
    <t>Glottocode_2</t>
  </si>
  <si>
    <t>Glottocode_Final</t>
  </si>
  <si>
    <t>Agree?</t>
  </si>
  <si>
    <t>Common Subfamily?</t>
  </si>
  <si>
    <t>Common Family?</t>
  </si>
  <si>
    <t>Notes</t>
  </si>
  <si>
    <t>ISOcode</t>
  </si>
  <si>
    <t>Classification Type</t>
  </si>
  <si>
    <t>Are you sure?</t>
  </si>
  <si>
    <t>Enter the track name, as it appears in the source.</t>
  </si>
  <si>
    <t>Paste a hyperlink here that gets to the source material (e.g., the CD containing the track).</t>
  </si>
  <si>
    <t>List the track number of the song.</t>
  </si>
  <si>
    <t>What source(s) is this song listed in?</t>
  </si>
  <si>
    <t>Is there any secondary function for this song?</t>
  </si>
  <si>
    <t>Is this an unpublished track that came directly from an anthropologist?</t>
  </si>
  <si>
    <t>Name</t>
  </si>
  <si>
    <t>Affiliation</t>
  </si>
  <si>
    <t>Email</t>
  </si>
  <si>
    <t>Tell us about how you categorized this song.</t>
  </si>
  <si>
    <t>Enter the label of the song here.</t>
  </si>
  <si>
    <t>Information from ethnography</t>
  </si>
  <si>
    <t>Information from lyrics</t>
  </si>
  <si>
    <t>If necessary, provide additional information here about how to find this track.</t>
  </si>
  <si>
    <t>Confirm here that you did not listen to the song until this point!</t>
  </si>
  <si>
    <t>Is there at least one audible singer on the recording?</t>
  </si>
  <si>
    <t>How easy is it to hear the singer(s)?</t>
  </si>
  <si>
    <t>Do you have access to the audio of this song?</t>
  </si>
  <si>
    <t>General notes</t>
  </si>
  <si>
    <t>Timestamp</t>
  </si>
  <si>
    <t>What are your initials?</t>
  </si>
  <si>
    <t>Australia</t>
  </si>
  <si>
    <t>Lullaby</t>
  </si>
  <si>
    <t>Lardil</t>
  </si>
  <si>
    <t>lard1243</t>
  </si>
  <si>
    <t>yes</t>
  </si>
  <si>
    <t>lbz</t>
  </si>
  <si>
    <t>Exact Match</t>
  </si>
  <si>
    <t>I'm sure</t>
  </si>
  <si>
    <t>http://www.worldcat.org/oclc/830532278</t>
  </si>
  <si>
    <t>Track 4</t>
  </si>
  <si>
    <t>NHS 1.0</t>
  </si>
  <si>
    <t>No</t>
  </si>
  <si>
    <t>NA</t>
  </si>
  <si>
    <t>SAM</t>
  </si>
  <si>
    <t>Central Africa</t>
  </si>
  <si>
    <t>Aka</t>
  </si>
  <si>
    <t>akan1250</t>
  </si>
  <si>
    <t>.</t>
  </si>
  <si>
    <t>no</t>
  </si>
  <si>
    <t>aka</t>
  </si>
  <si>
    <t>Mo boma</t>
  </si>
  <si>
    <t>http://www.worldcat.org/oclc/61328500</t>
  </si>
  <si>
    <t>Disc 1, Track 15</t>
  </si>
  <si>
    <t>SDA</t>
  </si>
  <si>
    <t>Southeastern Europe</t>
  </si>
  <si>
    <t>Healing</t>
  </si>
  <si>
    <t>Georgia</t>
  </si>
  <si>
    <t>nucl1302</t>
  </si>
  <si>
    <t>kat</t>
  </si>
  <si>
    <t>Iavnana (Violet Mother)</t>
  </si>
  <si>
    <t>http://www.worldcat.org/oclc/144642402</t>
  </si>
  <si>
    <t>Disc 2, Track 10</t>
  </si>
  <si>
    <t>Micronesia</t>
  </si>
  <si>
    <t>Dance</t>
  </si>
  <si>
    <t>Chuuk</t>
  </si>
  <si>
    <t>chuu1238</t>
  </si>
  <si>
    <t>chk</t>
  </si>
  <si>
    <t>Men's standing dance</t>
  </si>
  <si>
    <t>http://www.worldcat.org/oclc/34256918</t>
  </si>
  <si>
    <t>Track 25</t>
  </si>
  <si>
    <t>CMB</t>
  </si>
  <si>
    <t>Melanesia</t>
  </si>
  <si>
    <t>Anggor</t>
  </si>
  <si>
    <t>ango1254</t>
  </si>
  <si>
    <t>agg</t>
  </si>
  <si>
    <t>Healing Song</t>
  </si>
  <si>
    <t>http://www.worldcat.org/oclc/47967141</t>
  </si>
  <si>
    <t>Track 9</t>
  </si>
  <si>
    <t>East Asia</t>
  </si>
  <si>
    <t>Ainu</t>
  </si>
  <si>
    <t>ainu1240</t>
  </si>
  <si>
    <t>ainu1252</t>
  </si>
  <si>
    <t>ain</t>
  </si>
  <si>
    <t>Rimse</t>
  </si>
  <si>
    <t>http://www.worldcat.org/oclc/78401666</t>
  </si>
  <si>
    <t>Plains and Plateau</t>
  </si>
  <si>
    <t>Blackfoot</t>
  </si>
  <si>
    <t>siks1238</t>
  </si>
  <si>
    <t>bla</t>
  </si>
  <si>
    <t>http://www.worldcat.org/oclc/51601305</t>
  </si>
  <si>
    <t>British Isles</t>
  </si>
  <si>
    <t>Highland Scots</t>
  </si>
  <si>
    <t>scot1245</t>
  </si>
  <si>
    <t>gla</t>
  </si>
  <si>
    <t>Ho ho vo laidi bheag</t>
  </si>
  <si>
    <t>http://www.worldcat.org/oclc/74386532</t>
  </si>
  <si>
    <t>Side 2, Track 3</t>
  </si>
  <si>
    <t>Northern Mexico</t>
  </si>
  <si>
    <t>Seri</t>
  </si>
  <si>
    <t>seri1257</t>
  </si>
  <si>
    <t>sei</t>
  </si>
  <si>
    <t>Voice with rattle</t>
  </si>
  <si>
    <t>http://www.worldcat.org/oclc/17376475</t>
  </si>
  <si>
    <t>Track EC 3402-3</t>
  </si>
  <si>
    <t>Northern Africa</t>
  </si>
  <si>
    <t>Love</t>
  </si>
  <si>
    <t>Tuareg</t>
  </si>
  <si>
    <t>tuar1240</t>
  </si>
  <si>
    <t>tmh</t>
  </si>
  <si>
    <t>Most Common Subfamily</t>
  </si>
  <si>
    <t>Ezzel n oufada aoua etteb ales ou n abaradh</t>
  </si>
  <si>
    <t>http://www.worldcat.org/oclc/2270693</t>
  </si>
  <si>
    <t>Side 1, Track 3</t>
  </si>
  <si>
    <t>Southeast Asia</t>
  </si>
  <si>
    <t>Mentawaians</t>
  </si>
  <si>
    <t>indo1316</t>
  </si>
  <si>
    <t>ind</t>
  </si>
  <si>
    <t>Urai turuk bilou</t>
  </si>
  <si>
    <t>http://www.worldcat.org/oclc/34588212</t>
  </si>
  <si>
    <t>Track 16</t>
  </si>
  <si>
    <t>South Asia</t>
  </si>
  <si>
    <t>Garo</t>
  </si>
  <si>
    <t>garo1247</t>
  </si>
  <si>
    <t>grt</t>
  </si>
  <si>
    <t>Dance of the morning dove (Dokrusuani)</t>
  </si>
  <si>
    <t>http://www.worldcat.org/oclc/30939333</t>
  </si>
  <si>
    <t>Track 7</t>
  </si>
  <si>
    <t>11-12, 16</t>
  </si>
  <si>
    <t>Western Africa</t>
  </si>
  <si>
    <t>Ewe</t>
  </si>
  <si>
    <t>ewee1241</t>
  </si>
  <si>
    <t>ewe</t>
  </si>
  <si>
    <t>Agbadza</t>
  </si>
  <si>
    <t>http://www.worldcat.org/oclc/46653256</t>
  </si>
  <si>
    <t>Track 2</t>
  </si>
  <si>
    <t>Central Andes</t>
  </si>
  <si>
    <t>Q'ero Quichua</t>
  </si>
  <si>
    <t>quec1387</t>
  </si>
  <si>
    <t>quec1382</t>
  </si>
  <si>
    <t>cusc1235</t>
  </si>
  <si>
    <t>Love song</t>
  </si>
  <si>
    <t>http://www.worldcat.org/oclc/38134878</t>
  </si>
  <si>
    <t>Track 31</t>
  </si>
  <si>
    <t>Thakali</t>
  </si>
  <si>
    <t>nepa1254</t>
  </si>
  <si>
    <t>thak1245</t>
  </si>
  <si>
    <t>npi</t>
  </si>
  <si>
    <t>Nepali love song</t>
  </si>
  <si>
    <t>http://www.worldcat.org/oclc/6290866</t>
  </si>
  <si>
    <t>Side 1, Track 1</t>
  </si>
  <si>
    <t>Central America</t>
  </si>
  <si>
    <t>Kuna</t>
  </si>
  <si>
    <t>kuna1280</t>
  </si>
  <si>
    <t>Lullaby for a little boy</t>
  </si>
  <si>
    <t>http://www.worldcat.org/oclc/49687253</t>
  </si>
  <si>
    <t>Middle East</t>
  </si>
  <si>
    <t>Kurds</t>
  </si>
  <si>
    <t>kurd1259</t>
  </si>
  <si>
    <t>kur</t>
  </si>
  <si>
    <t>Laîlaî</t>
  </si>
  <si>
    <t>http://www.worldcat.org/oclc/3237924</t>
  </si>
  <si>
    <t>Side 2, Track 8</t>
  </si>
  <si>
    <t>Rwandans</t>
  </si>
  <si>
    <t>kiny1244</t>
  </si>
  <si>
    <t>kin</t>
  </si>
  <si>
    <t>Lama</t>
  </si>
  <si>
    <t>http://www.worldcat.org/title/rwandaurundi-rwanda/oclc/12841427</t>
  </si>
  <si>
    <t>Side A, Track 2</t>
  </si>
  <si>
    <t>MDS</t>
  </si>
  <si>
    <t>Fut</t>
  </si>
  <si>
    <t>bafu1246</t>
  </si>
  <si>
    <t>futu1245</t>
  </si>
  <si>
    <t>bfd</t>
  </si>
  <si>
    <t>Four Lullabies</t>
  </si>
  <si>
    <t>http://www.worldcat.org/oclc/689536875</t>
  </si>
  <si>
    <t>Side 1, Track 8</t>
  </si>
  <si>
    <t>stan1293</t>
  </si>
  <si>
    <t>Angi: Love song to a married woman</t>
  </si>
  <si>
    <t>http://www.worldcat.org/oclc/883842392</t>
  </si>
  <si>
    <t>Disc 1, Side B, Track 10</t>
  </si>
  <si>
    <t>Uttar Pradesh</t>
  </si>
  <si>
    <t>indo1320</t>
  </si>
  <si>
    <t>hind1269</t>
  </si>
  <si>
    <t>bhoj1244</t>
  </si>
  <si>
    <t>Untitled Karimganj healing track</t>
  </si>
  <si>
    <t>http://gofile.me/3T2hs/IEkOwOX23</t>
  </si>
  <si>
    <t>Yes</t>
  </si>
  <si>
    <t>Susan Wadley</t>
  </si>
  <si>
    <t>Syracuse University</t>
  </si>
  <si>
    <t>sswadley@syr.edu</t>
  </si>
  <si>
    <t>hokk1250</t>
  </si>
  <si>
    <t>Ihumke</t>
  </si>
  <si>
    <t>http://www.worldcat.org/title/ainu-songs-chants-des-ainou/oclc/908844651&amp;referer=brief_results</t>
  </si>
  <si>
    <t>Track 14</t>
  </si>
  <si>
    <t>Polynesia</t>
  </si>
  <si>
    <t>Hawaiians</t>
  </si>
  <si>
    <t>hawa1245</t>
  </si>
  <si>
    <t>haw</t>
  </si>
  <si>
    <t>Mele inoa no Hi'iaka; name chant for the goddess Hi'iaka</t>
  </si>
  <si>
    <t>http://www.worldcat.org/oclc/123093348</t>
  </si>
  <si>
    <t>Track 20</t>
  </si>
  <si>
    <t>2, 11</t>
  </si>
  <si>
    <t>Southern South America</t>
  </si>
  <si>
    <t>Ona</t>
  </si>
  <si>
    <t>onaa1245</t>
  </si>
  <si>
    <t>ona</t>
  </si>
  <si>
    <t>Lullaby no. 45</t>
  </si>
  <si>
    <t>http://www.worldcat.org/oclc/51990086</t>
  </si>
  <si>
    <t>Disc 2, Track 29</t>
  </si>
  <si>
    <t>12, 15</t>
  </si>
  <si>
    <t>Eastern Africa</t>
  </si>
  <si>
    <t>Maasai</t>
  </si>
  <si>
    <t>masa1300</t>
  </si>
  <si>
    <t>mas</t>
  </si>
  <si>
    <t>Embrukoi</t>
  </si>
  <si>
    <t>http://www.worldcat.org/title/tanzania-vocals-tanganyika-1950/oclc/55208615</t>
  </si>
  <si>
    <t>Arctic and Subarctic</t>
  </si>
  <si>
    <t>Ojibwa</t>
  </si>
  <si>
    <t>ojib1241</t>
  </si>
  <si>
    <t>The approach of the thunderbirds</t>
  </si>
  <si>
    <t>http://www.worldcat.org/oclc/45107180</t>
  </si>
  <si>
    <t>Track 1</t>
  </si>
  <si>
    <t>Samoans</t>
  </si>
  <si>
    <t>samo1305</t>
  </si>
  <si>
    <t>smo</t>
  </si>
  <si>
    <t>Tagi lullaby</t>
  </si>
  <si>
    <t>http://www.worldcat.org/oclc/698439915</t>
  </si>
  <si>
    <t>Korea</t>
  </si>
  <si>
    <t>kore1280</t>
  </si>
  <si>
    <t>kor</t>
  </si>
  <si>
    <t>Changgunrŏi: Pyŏlsanggŏri, Sinjanggŏri, Taegamgŏri, T'ŏjudaegamgŏri</t>
  </si>
  <si>
    <t>http://www.worldcat.org/title/soul-chaesu-kut-kwa-chinogwi-kut-seoul-jaesu-kut-jinogwi-kut/oclc/663384703</t>
  </si>
  <si>
    <t>Disc 2, Track 7</t>
  </si>
  <si>
    <t>Emberá</t>
  </si>
  <si>
    <t>embe1258</t>
  </si>
  <si>
    <t>stan1288</t>
  </si>
  <si>
    <t>nort2972</t>
  </si>
  <si>
    <t>Wadana dances</t>
  </si>
  <si>
    <t>http://www.worldcat.org/oclc/21862218</t>
  </si>
  <si>
    <t>Serbs</t>
  </si>
  <si>
    <t>serb1264</t>
  </si>
  <si>
    <t>srp</t>
  </si>
  <si>
    <t>Omile mi un selo devojče (I fell in love with a girl in the village)</t>
  </si>
  <si>
    <t>http://www.worldcat.org/oclc/44399671</t>
  </si>
  <si>
    <t>Track 27</t>
  </si>
  <si>
    <t>Scandinavia</t>
  </si>
  <si>
    <t>Saami</t>
  </si>
  <si>
    <t>saam1281</t>
  </si>
  <si>
    <t>A love song</t>
  </si>
  <si>
    <t>http://www.worldcat.org/oclc/40133934</t>
  </si>
  <si>
    <t>Disc 3, Track 21</t>
  </si>
  <si>
    <t>Southern Africa</t>
  </si>
  <si>
    <t>Zulu</t>
  </si>
  <si>
    <t>zulu1248</t>
  </si>
  <si>
    <t>zul</t>
  </si>
  <si>
    <t>Ngimthanda nje muhle</t>
  </si>
  <si>
    <t>http://www.worldcat.org/title/zulu-songs-of-princess-constance-magogo-kadinuzulu/oclc/181940028</t>
  </si>
  <si>
    <t>Side B, Track 1</t>
  </si>
  <si>
    <t>Akan</t>
  </si>
  <si>
    <t>Drumming and singing for a medicine-man's dance</t>
  </si>
  <si>
    <t>http://www.worldcat.org/oclc/671260633</t>
  </si>
  <si>
    <t>Track 6</t>
  </si>
  <si>
    <t>1, 3</t>
  </si>
  <si>
    <t>Maya Area</t>
  </si>
  <si>
    <t>Tzeltal</t>
  </si>
  <si>
    <t>spa</t>
  </si>
  <si>
    <t>El bolonchón</t>
  </si>
  <si>
    <t>http://www.worldcat.org/oclc/56131430</t>
  </si>
  <si>
    <t>Track 12</t>
  </si>
  <si>
    <t>Mele ho'oipoipo, love chant</t>
  </si>
  <si>
    <t>2, 9</t>
  </si>
  <si>
    <t>Iglulik Inuit</t>
  </si>
  <si>
    <t>west2618</t>
  </si>
  <si>
    <t>inui1246</t>
  </si>
  <si>
    <t>east2534</t>
  </si>
  <si>
    <t>ikt</t>
  </si>
  <si>
    <t>Lullabies and aqausiit: Lullaby</t>
  </si>
  <si>
    <t>http://www.worldcat.org/oclc/65196223</t>
  </si>
  <si>
    <t>Track 37</t>
  </si>
  <si>
    <t>Aquanusa (stone) a healing oration sung by Wilfredo Morris</t>
  </si>
  <si>
    <t>Side 1, Track 4</t>
  </si>
  <si>
    <t>Garifuna</t>
  </si>
  <si>
    <t>gari1256</t>
  </si>
  <si>
    <t>gali1262</t>
  </si>
  <si>
    <t>cab</t>
  </si>
  <si>
    <t>Paranda</t>
  </si>
  <si>
    <t>http://www.worldcat.org/oclc/49344152</t>
  </si>
  <si>
    <t>Track 32</t>
  </si>
  <si>
    <t>Marathi</t>
  </si>
  <si>
    <t>mara1378</t>
  </si>
  <si>
    <t>indi1255</t>
  </si>
  <si>
    <t>mar</t>
  </si>
  <si>
    <t>Palna</t>
  </si>
  <si>
    <t>http://www.worldcat.org/oclc/689541885</t>
  </si>
  <si>
    <t>Eastern Woodlands</t>
  </si>
  <si>
    <t>Iroquois</t>
  </si>
  <si>
    <t>iroq1247</t>
  </si>
  <si>
    <t>Iroqois lullaby</t>
  </si>
  <si>
    <t>http://www.worldcat.org/oclc/318879578</t>
  </si>
  <si>
    <t>Side 1, Rack 2</t>
  </si>
  <si>
    <t>Northwest Coast and California</t>
  </si>
  <si>
    <t>Kwakwaka'wakw</t>
  </si>
  <si>
    <t>kwak1269</t>
  </si>
  <si>
    <t>kwk</t>
  </si>
  <si>
    <t>http://www.worldcat.org/oclc/2271400</t>
  </si>
  <si>
    <t>Side 4, Track 1</t>
  </si>
  <si>
    <t>28-29</t>
  </si>
  <si>
    <t>Pawnee</t>
  </si>
  <si>
    <t>pawn1254</t>
  </si>
  <si>
    <t>paw</t>
  </si>
  <si>
    <t>Peyote song</t>
  </si>
  <si>
    <t>http://www.worldcat.org/oclc/3237418</t>
  </si>
  <si>
    <t>Side 1, Track 3F</t>
  </si>
  <si>
    <t>North Asia</t>
  </si>
  <si>
    <t>Nanai (not in HRAF)</t>
  </si>
  <si>
    <t>nana1257</t>
  </si>
  <si>
    <t>gld</t>
  </si>
  <si>
    <t>Shamanic song with uŋtu drum</t>
  </si>
  <si>
    <t>http://www.worldcat.org/oclc/40051731</t>
  </si>
  <si>
    <t>Track 8</t>
  </si>
  <si>
    <t>Yapese</t>
  </si>
  <si>
    <t>yape1248</t>
  </si>
  <si>
    <t>yap</t>
  </si>
  <si>
    <t>Song for sick people</t>
  </si>
  <si>
    <t>Track 29</t>
  </si>
  <si>
    <t>Puirt-a-beul</t>
  </si>
  <si>
    <t>Turkmen</t>
  </si>
  <si>
    <t>turk1311</t>
  </si>
  <si>
    <t>turk1304</t>
  </si>
  <si>
    <t>Porkâni (Zekre Khanjar)</t>
  </si>
  <si>
    <t>http://www.worldcat.org/oclc/166295428</t>
  </si>
  <si>
    <t>Disc 3, Track 5</t>
  </si>
  <si>
    <t>7, 17-19</t>
  </si>
  <si>
    <t>Iwaidja</t>
  </si>
  <si>
    <t>iwai1244</t>
  </si>
  <si>
    <t>ibd</t>
  </si>
  <si>
    <t>Dangkarrarnaka</t>
  </si>
  <si>
    <t>http://www.worldcat.org/oclc/212740985</t>
  </si>
  <si>
    <t>Track 28</t>
  </si>
  <si>
    <t>6, 17</t>
  </si>
  <si>
    <t>38-39</t>
  </si>
  <si>
    <t>Fulani</t>
  </si>
  <si>
    <t>fula1264</t>
  </si>
  <si>
    <t>laoo1244</t>
  </si>
  <si>
    <t>ful</t>
  </si>
  <si>
    <t>Niger: Kompule</t>
  </si>
  <si>
    <t>http://www.worldcat.org/oclc/935335829</t>
  </si>
  <si>
    <t>Track 17</t>
  </si>
  <si>
    <t>Heyran</t>
  </si>
  <si>
    <t>Side 2, Track 2</t>
  </si>
  <si>
    <t>Chukchee</t>
  </si>
  <si>
    <t>chuk1273</t>
  </si>
  <si>
    <t>ckt</t>
  </si>
  <si>
    <t>Berceuse / Lullaby</t>
  </si>
  <si>
    <t>http://www.worldcat.org/oclc/40405295</t>
  </si>
  <si>
    <t>Track 22</t>
  </si>
  <si>
    <t>Yolngu</t>
  </si>
  <si>
    <t>yuul1239</t>
  </si>
  <si>
    <t>Wadamiri</t>
  </si>
  <si>
    <t>http://www.worldcat.org/oclc/1061508</t>
  </si>
  <si>
    <t>Side 1, Track 5</t>
  </si>
  <si>
    <t>Kelabit</t>
  </si>
  <si>
    <t>kela1258</t>
  </si>
  <si>
    <t>aust1307</t>
  </si>
  <si>
    <t>unknown</t>
  </si>
  <si>
    <t>kzi</t>
  </si>
  <si>
    <t>Adtah ulus lagku ai-ai - kelabit</t>
  </si>
  <si>
    <t>http://www.worldcat.org/oclc/42385304</t>
  </si>
  <si>
    <t>Track 11</t>
  </si>
  <si>
    <t>La danse des coquillages / Shell dance</t>
  </si>
  <si>
    <t>4, 5</t>
  </si>
  <si>
    <t>Melpa</t>
  </si>
  <si>
    <t>melp1238</t>
  </si>
  <si>
    <t>med</t>
  </si>
  <si>
    <t>Untitled Paupau New Guinea love track.</t>
  </si>
  <si>
    <t>http://gofile.me/3T2hs/rs4IsdNPl</t>
  </si>
  <si>
    <t>Don Niles</t>
  </si>
  <si>
    <t>University of Papua New Guinea</t>
  </si>
  <si>
    <t>dniles.ipngs@gmail.com</t>
  </si>
  <si>
    <t>Kanaks</t>
  </si>
  <si>
    <t>newc1243</t>
  </si>
  <si>
    <t>Deux berceuses de l'Ile des Pins</t>
  </si>
  <si>
    <t>http://www.worldcat.org/oclc/32292076</t>
  </si>
  <si>
    <t>Track 15</t>
  </si>
  <si>
    <t>Mataco</t>
  </si>
  <si>
    <t>mata1289</t>
  </si>
  <si>
    <t>Poisonous bites song</t>
  </si>
  <si>
    <t>http://www.worldcat.org/oclc/61716018</t>
  </si>
  <si>
    <t>Aymara</t>
  </si>
  <si>
    <t>ayma1253</t>
  </si>
  <si>
    <t>Tata San Juan</t>
  </si>
  <si>
    <t>http://www.worldcat.org/oclc/51910079</t>
  </si>
  <si>
    <t>Greeks</t>
  </si>
  <si>
    <t>gree1276</t>
  </si>
  <si>
    <t>http://www.worldcat.org/oclc/181941514</t>
  </si>
  <si>
    <t>Disc 1, Track 6</t>
  </si>
  <si>
    <t>11, 17</t>
  </si>
  <si>
    <t>Walbiri</t>
  </si>
  <si>
    <t>warl1254</t>
  </si>
  <si>
    <t>wbp</t>
  </si>
  <si>
    <t>Women's secret Yowalyu ceremonies</t>
  </si>
  <si>
    <t>http://www.worldcat.org/oclc/42821441</t>
  </si>
  <si>
    <t>Track 37A</t>
  </si>
  <si>
    <t>Eastern South America</t>
  </si>
  <si>
    <t>Guarani</t>
  </si>
  <si>
    <t>mawe1252</t>
  </si>
  <si>
    <t>Tapiti</t>
  </si>
  <si>
    <t>http://www.worldcat.org/oclc/41240806</t>
  </si>
  <si>
    <t>Track 46</t>
  </si>
  <si>
    <t>Tlingit</t>
  </si>
  <si>
    <t>tlin1245</t>
  </si>
  <si>
    <t>tli</t>
  </si>
  <si>
    <t>Tsimshian blanket dance song</t>
  </si>
  <si>
    <t>http://www.worldcat.org/oclc/593856458</t>
  </si>
  <si>
    <t>Side 2, Track 4</t>
  </si>
  <si>
    <t>Northwestern South America</t>
  </si>
  <si>
    <t>Kogi</t>
  </si>
  <si>
    <t>cogu1240</t>
  </si>
  <si>
    <t>stan1248</t>
  </si>
  <si>
    <t>stan1248 not found</t>
  </si>
  <si>
    <t>kog</t>
  </si>
  <si>
    <t>Canto 'de curación</t>
  </si>
  <si>
    <t>http://www.worldcat.org/oclc/38544330</t>
  </si>
  <si>
    <t>Side 1, Track 7</t>
  </si>
  <si>
    <t>http://www.worldcat.org/oclc/698168574</t>
  </si>
  <si>
    <t>Track 6, Song 3</t>
  </si>
  <si>
    <t>Man's love song</t>
  </si>
  <si>
    <t>Southwest and Basin</t>
  </si>
  <si>
    <t>Hopi</t>
  </si>
  <si>
    <t>hopi1249</t>
  </si>
  <si>
    <t>hop</t>
  </si>
  <si>
    <t>Hoop dance song</t>
  </si>
  <si>
    <t>http://www.worldcat.org/oclc/48549360</t>
  </si>
  <si>
    <t>Sweden</t>
  </si>
  <si>
    <t>swed1254</t>
  </si>
  <si>
    <t>sout2674</t>
  </si>
  <si>
    <t>Lapp nils polska efter munter-johan</t>
  </si>
  <si>
    <t>http://www.worldcat.org/oclc/40424026</t>
  </si>
  <si>
    <t>Track 36</t>
  </si>
  <si>
    <t>Nahua</t>
  </si>
  <si>
    <t>azte1234</t>
  </si>
  <si>
    <t>Canto de amor</t>
  </si>
  <si>
    <t>http://www.worldcat.org/oclc/55029585</t>
  </si>
  <si>
    <t>Bai</t>
  </si>
  <si>
    <t>baic1239</t>
  </si>
  <si>
    <t>Wugenqu</t>
  </si>
  <si>
    <t>http://www.worldcat.org/oclc/37566535</t>
  </si>
  <si>
    <t>Sleep song</t>
  </si>
  <si>
    <t>http://www.worldcat.org/oclc/50127238</t>
  </si>
  <si>
    <t>Throwing songs of four individual medicine men and introductory songs of the medicine men</t>
  </si>
  <si>
    <t>http://www.worldcat.org/oclc/15041103</t>
  </si>
  <si>
    <t>Side 1, Track 6</t>
  </si>
  <si>
    <t>kwak1268</t>
  </si>
  <si>
    <t>Little woman doctor song</t>
  </si>
  <si>
    <t>Side 3, Track 6</t>
  </si>
  <si>
    <t>26-27</t>
  </si>
  <si>
    <t>Otavalo Quichua</t>
  </si>
  <si>
    <t>colo1257</t>
  </si>
  <si>
    <t>Séance de guérison magique</t>
  </si>
  <si>
    <t>http://www.worldcat.org/oclc/36445854</t>
  </si>
  <si>
    <t>Side B, Track 2-3</t>
  </si>
  <si>
    <t>S chunna mise mo leannan</t>
  </si>
  <si>
    <t>http://www.worldcat.org/oclc/65178247</t>
  </si>
  <si>
    <t>16-17</t>
  </si>
  <si>
    <t>sene1264</t>
  </si>
  <si>
    <t>Three robin dance songs</t>
  </si>
  <si>
    <t>http://www.worldcat.org/oclc/7892340</t>
  </si>
  <si>
    <t>Track 3</t>
  </si>
  <si>
    <t>Ganda</t>
  </si>
  <si>
    <t>gand1255</t>
  </si>
  <si>
    <t>lug</t>
  </si>
  <si>
    <t>Traditional doctor's cure</t>
  </si>
  <si>
    <t>http://www.worldcat.org/oclc/37001025</t>
  </si>
  <si>
    <t>Amazon and Orinoco</t>
  </si>
  <si>
    <t>Saramaka</t>
  </si>
  <si>
    <t>sara1340</t>
  </si>
  <si>
    <t>srm</t>
  </si>
  <si>
    <t>Untitled Sĕkĕti songs</t>
  </si>
  <si>
    <t>http://www.worldcat.org/oclc/50625762</t>
  </si>
  <si>
    <t>Cradle song</t>
  </si>
  <si>
    <t>Yaqui</t>
  </si>
  <si>
    <t>yaqu1251</t>
  </si>
  <si>
    <t>yaq</t>
  </si>
  <si>
    <t>Baile del venado: El palo verde</t>
  </si>
  <si>
    <t>http://www.worldcat.org/oclc/3085331</t>
  </si>
  <si>
    <t>Side 1, Track 10</t>
  </si>
  <si>
    <t>Goajiro</t>
  </si>
  <si>
    <t>guaj1257</t>
  </si>
  <si>
    <t>wayu1243</t>
  </si>
  <si>
    <t>Canción de cuna</t>
  </si>
  <si>
    <t>https://iucat.iu.edu/catalog/8092749</t>
  </si>
  <si>
    <t>pieg1239</t>
  </si>
  <si>
    <t>War or grass dance songs</t>
  </si>
  <si>
    <t>http://www.worldcat.org/title/historical-album-of-blackfoot-indian-music/oclc/51601305</t>
  </si>
  <si>
    <t>Mbuti</t>
  </si>
  <si>
    <t>bila1255</t>
  </si>
  <si>
    <t>narr1281</t>
  </si>
  <si>
    <t>bip</t>
  </si>
  <si>
    <t>Curative song</t>
  </si>
  <si>
    <t>http://www.worldcat.org/oclc/12881597</t>
  </si>
  <si>
    <t>Side B, Track 9</t>
  </si>
  <si>
    <t>Nyangatom</t>
  </si>
  <si>
    <t>nyan1315</t>
  </si>
  <si>
    <t>nnj</t>
  </si>
  <si>
    <t>Tolema, tolema-ey</t>
  </si>
  <si>
    <t>http://gofile.me/3T2hs/Slhm4KXtl</t>
  </si>
  <si>
    <t>Hannah Wild</t>
  </si>
  <si>
    <t>Stanford University</t>
  </si>
  <si>
    <t>hwild@stanford.edu</t>
  </si>
  <si>
    <t>Gourara</t>
  </si>
  <si>
    <t>gour1247</t>
  </si>
  <si>
    <t>berb1260</t>
  </si>
  <si>
    <t>Dance with qarqabou</t>
  </si>
  <si>
    <t>http://www.worldcat.org/oclc/34555452</t>
  </si>
  <si>
    <t>Mana gallaka noukat</t>
  </si>
  <si>
    <t>http://www.worldcat.org/oclc/610482737</t>
  </si>
  <si>
    <t>Phunoi</t>
  </si>
  <si>
    <t>lao</t>
  </si>
  <si>
    <t>http://www.worldcat.org/oclc/59134474</t>
  </si>
  <si>
    <t>Track 18</t>
  </si>
  <si>
    <t>Alacaluf</t>
  </si>
  <si>
    <t>kawe1237</t>
  </si>
  <si>
    <t>qawa1238</t>
  </si>
  <si>
    <t>Lovers' song</t>
  </si>
  <si>
    <t>http://www.ailla.utexas.org/search/resource.html?r_id=1079</t>
  </si>
  <si>
    <t>Track ALC001R001</t>
  </si>
  <si>
    <t>Kingbird singers</t>
  </si>
  <si>
    <t>http://www.worldcat.org/oclc/321004055</t>
  </si>
  <si>
    <t>24-25</t>
  </si>
  <si>
    <t>Navajo</t>
  </si>
  <si>
    <t>nava1243</t>
  </si>
  <si>
    <t>nav</t>
  </si>
  <si>
    <t>I didn't care</t>
  </si>
  <si>
    <t>http://www.worldcat.org/oclc/40399497</t>
  </si>
  <si>
    <t>Chachi</t>
  </si>
  <si>
    <t>chac1249</t>
  </si>
  <si>
    <t>caya1244</t>
  </si>
  <si>
    <t>cbi</t>
  </si>
  <si>
    <t>Festive song</t>
  </si>
  <si>
    <t>http://www.worldcat.org/oclc/54832375</t>
  </si>
  <si>
    <t>Javaé</t>
  </si>
  <si>
    <t>java1255</t>
  </si>
  <si>
    <t>Javahe: Lullaby-song, mother and child</t>
  </si>
  <si>
    <t>http://www.worldcat.org/oclc/46338765</t>
  </si>
  <si>
    <t>Mele pule ho'ola no Hi'iaka, prayer chant for healing</t>
  </si>
  <si>
    <t>2, 5</t>
  </si>
  <si>
    <t>Bahia Brazilians</t>
  </si>
  <si>
    <t>braz1246</t>
  </si>
  <si>
    <t>port1283</t>
  </si>
  <si>
    <t>Samba urbano</t>
  </si>
  <si>
    <t>http://www.worldcat.org/oclc/66086284</t>
  </si>
  <si>
    <t>Side 2, Track 1</t>
  </si>
  <si>
    <t>Monzoli</t>
  </si>
  <si>
    <t>Disc 1, Track 7</t>
  </si>
  <si>
    <t>Chewa</t>
  </si>
  <si>
    <t>chew1246</t>
  </si>
  <si>
    <t>Alulu kalele mwana</t>
  </si>
  <si>
    <t>http://www.worldcat.org/oclc/12360210</t>
  </si>
  <si>
    <t>Side A, Track 4</t>
  </si>
  <si>
    <t>Quechan</t>
  </si>
  <si>
    <t>yum</t>
  </si>
  <si>
    <t>Third song when treating the sick</t>
  </si>
  <si>
    <t>seri1257 has no classification info</t>
  </si>
  <si>
    <t>Cancion del curandero</t>
  </si>
  <si>
    <t>Dance of Tiga: Uke cao naso</t>
  </si>
  <si>
    <t>Ye'kuana</t>
  </si>
  <si>
    <t>maqu1238</t>
  </si>
  <si>
    <t>mch</t>
  </si>
  <si>
    <t>Mëdëjene</t>
  </si>
  <si>
    <t>http://www.worldcat.org/oclc/54832362</t>
  </si>
  <si>
    <t>Nenets (HRAF also lists Samoyad)</t>
  </si>
  <si>
    <t>selk1253</t>
  </si>
  <si>
    <t>sel</t>
  </si>
  <si>
    <t>My beloved wife</t>
  </si>
  <si>
    <t>http://www.worldcat.org/oclc/696302548</t>
  </si>
  <si>
    <t>Disc 1, Track 12</t>
  </si>
  <si>
    <t>Lunda</t>
  </si>
  <si>
    <t>lund1266</t>
  </si>
  <si>
    <t>lun</t>
  </si>
  <si>
    <t>Atufundi uyanganje</t>
  </si>
  <si>
    <t>http://www.worldcat.org/oclc/12833307</t>
  </si>
  <si>
    <t>Side A, Track 5</t>
  </si>
  <si>
    <t>Tunisians</t>
  </si>
  <si>
    <t>tuni1260</t>
  </si>
  <si>
    <t>stan1318</t>
  </si>
  <si>
    <t>Sīdī bū ra's el-‘ajmī</t>
  </si>
  <si>
    <t>http://www.worldcat.org/oclc/758855535</t>
  </si>
  <si>
    <t>8-9, 10, 12-15,17-18</t>
  </si>
  <si>
    <t>10, 14</t>
  </si>
  <si>
    <t>Love song, James Littlewolf</t>
  </si>
  <si>
    <t>42-43</t>
  </si>
  <si>
    <t>43-44</t>
  </si>
  <si>
    <t>Alesingo</t>
  </si>
  <si>
    <t>http://www.worldcat.org/oclc/10186774</t>
  </si>
  <si>
    <t>wich1261</t>
  </si>
  <si>
    <t>Dance/chant ring of men</t>
  </si>
  <si>
    <t>Track 5</t>
  </si>
  <si>
    <t>Amhara</t>
  </si>
  <si>
    <t>amha1245</t>
  </si>
  <si>
    <t>amh</t>
  </si>
  <si>
    <t>Shemonmuanaye</t>
  </si>
  <si>
    <t>http://www.worldcat.org/oclc/2135349</t>
  </si>
  <si>
    <t>Haida</t>
  </si>
  <si>
    <t>haid1248</t>
  </si>
  <si>
    <t>hai</t>
  </si>
  <si>
    <t>Lullaby song</t>
  </si>
  <si>
    <t>http://www.worldcat.org/oclc/51600680</t>
  </si>
  <si>
    <t>Disc 2, Track 2</t>
  </si>
  <si>
    <t>9, 12</t>
  </si>
  <si>
    <t>Mi'kmaq</t>
  </si>
  <si>
    <t>mikm1235</t>
  </si>
  <si>
    <t>aglo1256</t>
  </si>
  <si>
    <t>glottocode_2 typo?</t>
  </si>
  <si>
    <t>mic</t>
  </si>
  <si>
    <t>Micmac love song; Lenny Ward</t>
  </si>
  <si>
    <t>http://www.worldcat.org/oclc/17392137</t>
  </si>
  <si>
    <t>ATL 8861, Track 1.13</t>
  </si>
  <si>
    <t>Agapisa mia orphani (I have fallen in love with an orphan)</t>
  </si>
  <si>
    <t>http://www.worldcat.org/oclc/3744389</t>
  </si>
  <si>
    <t>Meratus</t>
  </si>
  <si>
    <t>land1261</t>
  </si>
  <si>
    <t>Belian (slow) - Meratus</t>
  </si>
  <si>
    <t>4, 6</t>
  </si>
  <si>
    <t>Tunumiit</t>
  </si>
  <si>
    <t>kala1399</t>
  </si>
  <si>
    <t>gree1280</t>
  </si>
  <si>
    <t>tunu1234</t>
  </si>
  <si>
    <t>kal</t>
  </si>
  <si>
    <t>I'm not sure</t>
  </si>
  <si>
    <t>https://theglobaljukebox.org</t>
  </si>
  <si>
    <t>Volume 1, DFS 456</t>
  </si>
  <si>
    <t>Global Jukebox</t>
  </si>
  <si>
    <t>No secondary function</t>
  </si>
  <si>
    <t>The song is identified as such in its title or label, There is text in associated ethnography that states what type of song this is (this could be in liner notes, it could be in an email from an anthropologist, etc)</t>
  </si>
  <si>
    <t>Lullaby //GLOBAL JUKEBOX SONG AND GENRE LABELS//</t>
  </si>
  <si>
    <t>Lullaby sung by women //GLOBAL JUKEBOX DESCRIPTION//</t>
  </si>
  <si>
    <t>Coding ID: 4140, found through searching "Inuit." Track not online (needs permission from tribal representative).</t>
  </si>
  <si>
    <t>I followed the instructions and I have not yet listened to it!</t>
  </si>
  <si>
    <t>Javahé</t>
  </si>
  <si>
    <t>kara1500</t>
  </si>
  <si>
    <t>kpj</t>
  </si>
  <si>
    <t>Javahé: Sacred-mask-dance, songs, 'Aruana,' Two masks dancing</t>
  </si>
  <si>
    <t>https://folkways.si.edu/two-masked-dancers/javahe-sacred-mask-dance-songs-aruana-two-masks-dancing/american-indian-world/music/track/smithsonian</t>
  </si>
  <si>
    <t>Disc 1, Track 2</t>
  </si>
  <si>
    <t>Global Jukebox, Smithsonian Folkways</t>
  </si>
  <si>
    <t>Javahé: Sacred-mask-dance, songs, 'Aruana,' Two masks dancing//SMITHSONIAN FOLKWAYS CATALOGUE NUMBER: FW04311 / FE 4311//</t>
  </si>
  <si>
    <t>Karaja-Indians - About eighthundred Karaja-Indians still live on the shores of the Bananal-Island, Araguaia- River, in Central Brazil. They have been in peaceful contact with our Civilisation since more than a century, but maintain, in spite of, a high level of their old traditions. During the dry season, from May to October, they erect summer-villages of light straw houses on the immense beaches of white, soft and hot sand, performing every afternoon and night their sacred fertility rites, with colorful masks of feather heads and straw skirts. During thesedances they sing old songs of their ancestors, but also new compositions appear from time to time and are traded from one village to another. These'Aruana' masks are stored in special sacred maskhouses far from the row of village houses and are hidden from women. Young men live in these mask houses until they get married. Bachel,prs, who are too lazy to work for their own family live for many years in these mask-houses. Every day, in the late afternoon and during part of the night, pairs of masks start their way from the mask-house to the village, singing and marking rhythm with gourd rattles, they dance close to two waiting women, who then follow them one or two hundred yards through the sand, towards the mask-house but suddenly return to the other women, running, who sit in groups not far from their houses. Javahe-Indians - There are no significant differences between the Karaja and the Javahe, who belong culturally and linguistically to the same group. But the Karaja live on the shores of the Bananal-Island and the Araguaia-River, and the Javahe live inside the huge river-island, being considered the hicks or backwooders. They have less contact with our civilisation and therefore offer in some way better opportunities for the scientist to study certain aspects of their ancient life-style, which maintains less changed than that of the Karaja. About music, the same said for the Karaja is to be repeated for the Javahe, some songs, which are similar in style, are not known by one or the other of both Indian groups, others are common to both of them.//SMITHSONIAN FOLKWAYS CATALOGUE NUMBER: FW04311 / FE 4311; LINER NOTES (DOWNLOADED PDF)//</t>
  </si>
  <si>
    <t>HLR</t>
  </si>
  <si>
    <t>Play</t>
  </si>
  <si>
    <t>Inuit</t>
  </si>
  <si>
    <t>Children's game</t>
  </si>
  <si>
    <t>https://folkways.si.edu/the-eskimos-of-hudson-bay-and-alaska/american-indian/music/album/smithsonian</t>
  </si>
  <si>
    <t>Disc 1, Track 9</t>
  </si>
  <si>
    <t>Smithsonian Folkways</t>
  </si>
  <si>
    <t>The song is identified as such in its title or label</t>
  </si>
  <si>
    <t>Children's game //FOLKWAYS//</t>
  </si>
  <si>
    <t>Yu'pik Inuit</t>
  </si>
  <si>
    <t>nort2943</t>
  </si>
  <si>
    <t>Dance song</t>
  </si>
  <si>
    <t>Disc 1, Track 18</t>
  </si>
  <si>
    <t>Smithsonian Folkways, WorldCat, Global Jukebox</t>
  </si>
  <si>
    <t>Dance song //FOLKWAYS SONG TITLE//</t>
  </si>
  <si>
    <t>Disc 1, Track 16</t>
  </si>
  <si>
    <t>Yolngu / Australian Aborigine</t>
  </si>
  <si>
    <t>dhuw1249</t>
  </si>
  <si>
    <t>duj</t>
  </si>
  <si>
    <t>Djedbang-ari</t>
  </si>
  <si>
    <t>https://folkways.si.edu/group-from-yirkalla-mission-district/djedbang-ari/world/music/track/smithsonian</t>
  </si>
  <si>
    <t>Disc 1, Track 1</t>
  </si>
  <si>
    <t>There is text in associated ethnography that states what type of song this is (this could be in liner notes, it could be in an email from an anthropologist, etc)</t>
  </si>
  <si>
    <t>This is a special form of song and dance from the Yirkalla district in the far north-east of Arnhem land. A usual feature of the structure is a break in the singing half-way through a stanza and dance scene. //CATALOGUE NUMBER FW04439_101 IN SMITHSONIAN FOLK WAYS RECORDINGS SMITHSONIAN FOLKWAYS ALBUM HAS ADDITIONAL LINER NOTES FOUND ON PAGE 4//</t>
  </si>
  <si>
    <t>Liner notes found in album "Tribal Music of Australia"</t>
  </si>
  <si>
    <t>DWL</t>
  </si>
  <si>
    <t>Kraho</t>
  </si>
  <si>
    <t>cane1242</t>
  </si>
  <si>
    <t>krah1246</t>
  </si>
  <si>
    <t>ram</t>
  </si>
  <si>
    <t>Krahó: Women-and-Men's choir, conducted by traditional choir-leader</t>
  </si>
  <si>
    <t>https://folkways.si.edu/women-and-mens-choir/kraho-women-and-mens-choir-conducted-by-traditional-choir-leader/american-indian-world/music/track/smithsonian</t>
  </si>
  <si>
    <t>Disc 1, Track 3</t>
  </si>
  <si>
    <t>Krahó: Women-and-Men's choir, conducted by traditional choir-leader//SMITHSONIAN FOLKWAYS CATALOG NUMBER FW04311 / FE 4311//</t>
  </si>
  <si>
    <t>Kraho-Indians - About fourhundred and fifty Kraho Indians live in four villages in the wide and open savannah of northeastern Brazil, a few hundred miles from the shores of the Tocantins river, an amazonian tributary. The Kraho belong to the Je-speaking Indians of Brazil, who are by far the most musical and music-loving of all Brazilian Indians. Every morning before sunri.se, one of the beloved and famed choir-conductors starts a dance in middle of the village square, singing with the rhythm of a gourd-rattle. Immediately all younger girls, women and men gather. Women stand in a long row before him, shake the arms rhythmically, whipping their knees in the same rhythm, while men dance in front of them. Songs start slow, heavily, becomes more and more enthusiastic until a powerful choir fills the village at the rising sun. Every afternoon the same happens, after daily work, and every night girls, women and men sing and dance on the village square until dark and late. When everybody is home, resting on their straw-mats spread on the ground or on wooden racks, suddenly a beautiful, sonor voice fills the night - one of the solo-singers of the village performs his recital, some of them with such highly trained voices, that they resemble the educated trembling of coloratur-singers in our society. The Kraho's life is filled with multiple rituals, initiation-rites which change from year to year, being some of them only repeated after twelve up to sixteen years. Each rite is accompanied by special songs, but also the already mentioned morning-and night choir-songs consist of a great number of songs, composed by living choir-leaders or consisting of the traditional repertoire of the tribe. Kraho-life cannot be separated from music! //SMITHSONIAN FOLKWAYS CATALOGUE NUMBER: FW04311 / FE 4311; LINER NOTES (DOWNLOADED PDF, PP. 4-5)//</t>
  </si>
  <si>
    <t>Full recording at Alexander Street: http://ezp-prod1.hul.harvard.edu/login?url=https://search.alexanderstreet.com/view/work/bibliographic_entity|recorded_cd|71744</t>
  </si>
  <si>
    <t>Pitjantjara / Anangu</t>
  </si>
  <si>
    <t>pitj1243</t>
  </si>
  <si>
    <t>pjt</t>
  </si>
  <si>
    <t>Unknown</t>
  </si>
  <si>
    <t>Corroboree of Women</t>
  </si>
  <si>
    <t>http://archives.crem-cnrs.fr/archives/items/CNRSMH_E_1959_013_001_03/</t>
  </si>
  <si>
    <t>Global Jukebox, CREM</t>
  </si>
  <si>
    <t>Women's song; dance song; corroboree song; cereomonial song //CODING ID 1461 GENRE FROM GLOBAL JUKEBOX//</t>
  </si>
  <si>
    <t>The songs are interpreted during meetings (camp songs) the council of elders or religious ceremonies. All participants paint their faces and body designs symbolizing their totem, and they dance the "corroborated" //CREM ETHNOGRAPHIC CONTEXT TRANSLATION FROM FRENCH//</t>
  </si>
  <si>
    <t>Mebêngôkre</t>
  </si>
  <si>
    <t>kaya1330</t>
  </si>
  <si>
    <t>txu</t>
  </si>
  <si>
    <t>Dance of the Mekrakaroré</t>
  </si>
  <si>
    <t>http://media.theglobaljukebox.org/audio/T5403R61.mp3</t>
  </si>
  <si>
    <t>Initiation rite</t>
  </si>
  <si>
    <t>Genre: Initiation rite; dance song; boys' song//GLOBAL JUKEBOX CODING ID: 145//</t>
  </si>
  <si>
    <t>The dry season is largely devoted to performing various ceremonies such as naming young children. In this attribution of the name, the men called "Mekrakarore" meet at dusk to sing.//CREM CODE: CNRSMH_E_1957_011_001_001_07, GOOGLE-TRANSLATED FROM FRENCH//</t>
  </si>
  <si>
    <t>Wadjiginy</t>
  </si>
  <si>
    <t>wadj1254</t>
  </si>
  <si>
    <t>wdj</t>
  </si>
  <si>
    <t>Wongga dance songs (selected items)</t>
  </si>
  <si>
    <t>https://folkways.si.edu/tommy-barandjak-harry-ferguson/wongga-dance-songs-selected-items/music/track/smithsonian</t>
  </si>
  <si>
    <t>Disk 1, Track 6</t>
  </si>
  <si>
    <t>Wongga dance songs //SMITHSONIAN FOLKWAYS CATALOGUE UNES08040_106//</t>
  </si>
  <si>
    <t>Song words refer to family territory. Calls, stamping feet of dancers, synchronized handclaps of bystanders (mainly Aboriginal children) mingle in these four items with the singing and stick-beating. //SMITHSONIAN FOLK WAYS ALBUM AUSTRALIA: ABORIGINAL MUSIC LINER PAGE 4//</t>
  </si>
  <si>
    <t>Copper Inuit</t>
  </si>
  <si>
    <t>inup1234</t>
  </si>
  <si>
    <t>I'm not sure (could smith folkways be wrong according to D-place?)</t>
  </si>
  <si>
    <t>Dance from the Mackenzie Delta</t>
  </si>
  <si>
    <t>https://folkways.si.edu/canada-music-of-the-inuit-the-copper-eskimo-tradition/world/music/album/smithsonian</t>
  </si>
  <si>
    <t>Disc 1, Track 8</t>
  </si>
  <si>
    <t>Smithsonian Folkways, WorldCat</t>
  </si>
  <si>
    <t>Dance from the Mackenzie Delta //TITLE OF SONG AS LISTED ON FOLKWAYS//</t>
  </si>
  <si>
    <t>Nunatsiaqmiut</t>
  </si>
  <si>
    <t>ike</t>
  </si>
  <si>
    <t>Assalalaa</t>
  </si>
  <si>
    <t>https://folkways.si.edu/assalalaa-from-baffin-land/music/track/smithsonian</t>
  </si>
  <si>
    <t>Disc 1, Track 13</t>
  </si>
  <si>
    <t>Vocal game which children are supposed to sing in a single breath while wiggling as if their joints had turned to rubber //DESCRIPTION IN GLOBAL JUKEBOX//</t>
  </si>
  <si>
    <t>Coding ID 9829, Search Inuit, then click on Nunatsiaqmiut to find.</t>
  </si>
  <si>
    <t>6- SA</t>
  </si>
  <si>
    <t>Yes - SA</t>
  </si>
  <si>
    <t>Global Jukebox does not post the recording without permission from tribal representatives.</t>
  </si>
  <si>
    <t>Sidama, Sidamo</t>
  </si>
  <si>
    <t>sida1246</t>
  </si>
  <si>
    <t>sid</t>
  </si>
  <si>
    <t>Maji Dance Music</t>
  </si>
  <si>
    <t>https://theglobaljukebox.org/?share=Sidama-T5553R13</t>
  </si>
  <si>
    <t>Global Jukebox, CREM, Library of Congress</t>
  </si>
  <si>
    <t>Feast Song</t>
  </si>
  <si>
    <t>Dance Song //GLOBAL JUKEBOX, CULT: SIDAMA, AUDIO FILE ID T5553R13//</t>
  </si>
  <si>
    <t>Dance song; two-part polyphonic music performed at a feast, hocketing, yodel. //GLOBAL JUKEBOX, CODING ID 9428//</t>
  </si>
  <si>
    <t>Global Jukebox--&gt;Wheel--&gt;East Africa/East African Horn/Highland E. Cushites--&gt;Sidama--&gt;Maji Dance Music</t>
  </si>
  <si>
    <t>ERA</t>
  </si>
  <si>
    <t>http://www.worldcat.org/title/songs-of-the-inuit-iglulik-canada/oclc/65196223&amp;referer=brief_results</t>
  </si>
  <si>
    <t>WorldCat, Amazon</t>
  </si>
  <si>
    <t>Lullaby //AMAZON TRACK LISTING AND TRACK TITLES//</t>
  </si>
  <si>
    <t>For track listing: https://www.amazon.com/Songs-Inuit-Iglulik-Canada-Tyhe/dp/B0006ZYU5A</t>
  </si>
  <si>
    <t>Gidole, Gardulla</t>
  </si>
  <si>
    <t>dira1242</t>
  </si>
  <si>
    <t>gdl</t>
  </si>
  <si>
    <t>Love Song</t>
  </si>
  <si>
    <t>https://theglobaljukebox.org/?share=Gidole-T5553R04</t>
  </si>
  <si>
    <t>Love Song //GLOBAL JUKEBOX, CODING ID 9421, AUDIO FILE ID T5553R04//</t>
  </si>
  <si>
    <t>Global Jukebox--&gt;Wheel--&gt;East Africa/Kenya/Ethiopia/Oromo Cushites--&gt;Gidole--&gt;Love Song</t>
  </si>
  <si>
    <t>Counting Play Song (I)</t>
  </si>
  <si>
    <t>http://www.worldcat.org/title/canada-songs-of-the-inuit/oclc/32300954&amp;referer=brief_results</t>
  </si>
  <si>
    <t>WorldCat</t>
  </si>
  <si>
    <t>Counting Play Song //TRACKLISTING ON DISCOGS//</t>
  </si>
  <si>
    <t>See track listing: https://www.discogs.com/Eligah-Mangitak-Qaunnaq-Mikigak-Qabaroak-Qatsiya-Canada-Songs-Of-The-Inuit/release/1449773</t>
  </si>
  <si>
    <t>Maasai-Arusi</t>
  </si>
  <si>
    <t>Ngai Aomoningera</t>
  </si>
  <si>
    <t>https://theglobaljukebox.org/?share=Maasai-Arusi-T5438R25</t>
  </si>
  <si>
    <t>Global Jukebox, Smithsonian Folkways, Library of Congress</t>
  </si>
  <si>
    <t>Love song //GLOBAL JUKEBOX, CODING ID 2287, AUDIO FILE ID T5438R25//</t>
  </si>
  <si>
    <t>Global Jukebox--&gt;Wheel--&gt;East Africa/Rift Valley/Plains Nilotes--&gt;Maasai-Arusi--&gt;Ngai Aomoningera</t>
  </si>
  <si>
    <t>Somalis, Soomaali</t>
  </si>
  <si>
    <t>nort3051</t>
  </si>
  <si>
    <t>soma1255</t>
  </si>
  <si>
    <t>https://theglobaljukebox.org/?share=Somalis-T5566R23</t>
  </si>
  <si>
    <t>Global Jukebox, Library of Congress</t>
  </si>
  <si>
    <t>Song for royalty</t>
  </si>
  <si>
    <t>Love song //GLOBAL JUKEBOX, CODING ID 4454, AUDIO FILE ID T5566R23//</t>
  </si>
  <si>
    <t>Love song; woman singing strophic love song during Haile Selassie's birthday celebration, July 23, 1972 //GLOBAL JUKEBOX, CODING ID 4454, AUDIO FILE ID T5566R23//</t>
  </si>
  <si>
    <t>Global Jukebox--&gt;Wheel--&gt;East Africa/East African Horn/Lowland E.Cushites--&gt;Somalis--&gt;Love song</t>
  </si>
  <si>
    <t>Hamar, Hamer, Hammar</t>
  </si>
  <si>
    <t>hame1242</t>
  </si>
  <si>
    <t>amf</t>
  </si>
  <si>
    <t>Lebada</t>
  </si>
  <si>
    <t>https://theglobaljukebox.org/?share=Hamar-T5625R12m</t>
  </si>
  <si>
    <t>Love song //GLOBAL JUKEBOX, CODING ID 4222, AUDIO FILE ID T5625R12m//</t>
  </si>
  <si>
    <t>Global Jukebox--&gt;Wheel--&gt;East Africa/East African Horn/Omotic Peoples--&gt;Hamar--&gt;Lebada (note there are two tracks named 'Lebada', choose the one genred 'love song' as opposed to 'greeting song')</t>
  </si>
  <si>
    <t>Ajuran</t>
  </si>
  <si>
    <t>Camel Song and Dance</t>
  </si>
  <si>
    <t>https://theglobaljukebox.org/?share=Ajuran-T5561R03</t>
  </si>
  <si>
    <t>Camel song</t>
  </si>
  <si>
    <t>Dance song //GLOBAL JUKEBOX, CODING ID 9975, AUDIO FILE ID T5561R03//</t>
  </si>
  <si>
    <t>Global Jukebox--&gt;Wheel--&gt;East Africa/East African Horn/Omotic Peoples--&gt;Ajuran--&gt;Camel Song and Dance</t>
  </si>
  <si>
    <t>My Medicine</t>
  </si>
  <si>
    <t>https://theglobaljukebox.org/?share=Amhara-T5596R07</t>
  </si>
  <si>
    <t>Healing song //GLOBAL JUKEBOX, CODING ID 3452, AUDIO FILE ID T5596R07//</t>
  </si>
  <si>
    <t>Global Jukebox--&gt;Wheel--&gt;East Africa/Highland Ethiopia/Ethiopian Semites--&gt;Amhara--&gt;My Medicine</t>
  </si>
  <si>
    <t>Weyto</t>
  </si>
  <si>
    <t>weyt1237</t>
  </si>
  <si>
    <t>woy</t>
  </si>
  <si>
    <t>Circle Dance</t>
  </si>
  <si>
    <t>https://theglobaljukebox.org/?share=Weyto-T5553R26</t>
  </si>
  <si>
    <t>Celebratory song, circle dance</t>
  </si>
  <si>
    <t>Dance song //GLABAL JUKEBOX CODING ID 4349, AUDIO FILE ID T5553R26//</t>
  </si>
  <si>
    <t>Global Jukebox--&gt;Wheel--&gt;East Africa/Highland Ethiopia/L.Tanu Hippopotamus Hunters--&gt;Weyto--&gt;Circle Dance</t>
  </si>
  <si>
    <t>Basoga, Soga</t>
  </si>
  <si>
    <t>soga1242</t>
  </si>
  <si>
    <t>xog</t>
  </si>
  <si>
    <t>Sirikawo</t>
  </si>
  <si>
    <t>https://theglobaljukebox.org/?share=Basoga-T5441R02</t>
  </si>
  <si>
    <t>Lullaby //GLOBAL JUKEBOX, CODING ID 1914, AUDIO FILE ID T5441R02//</t>
  </si>
  <si>
    <t>Group of lullabies; performed by wife of the chief and her children //GLOBAL JUKEBOX, CODING ID 1914, AUDIO FILE ID T5441R02//</t>
  </si>
  <si>
    <t>Global Jukebox--&gt;Wheel--&gt;East Africa/Great Lakes Region/Lacustrine Bantu--&gt;Basoga--&gt;Sirikawo</t>
  </si>
  <si>
    <t>Bahinda</t>
  </si>
  <si>
    <t>hema1238</t>
  </si>
  <si>
    <t>Song to Dancy by with Vocal Instrumentation</t>
  </si>
  <si>
    <t>https://theglobaljukebox.org/?share=Bahinda-T5442R03</t>
  </si>
  <si>
    <t>Dance song //GLOBAL JUKEBOX, CODING ID 448, AUDIO FILE ID T5442R03//</t>
  </si>
  <si>
    <t>Global Jukebox--&gt;Wheel--&gt;East Africa/Great Lakes Region/Lacustrine Bantu--&gt;Bahinda--&gt;Song to dance by with vocal instrumentation</t>
  </si>
  <si>
    <t>Wahehe, Hehe</t>
  </si>
  <si>
    <t>hehe1240</t>
  </si>
  <si>
    <t>heh</t>
  </si>
  <si>
    <t>Walalemela Mugundu</t>
  </si>
  <si>
    <t>https://theglobaljukebox.org/?share=Hehe-T5441R29</t>
  </si>
  <si>
    <t>Dance song //GLOBAL JUKEBOX, CODING ID 2695, AUDIO FILE ID T5441R29//</t>
  </si>
  <si>
    <t>Lazy People Have No Fields; Mangala dance song for men and women //GLOBAL JUKEBOX, CODING ID 2695, AUDIO FILE ID T5441R29//</t>
  </si>
  <si>
    <t>Global Jukebox--&gt;Wheel--&gt;East Africa/Rift Valley/Interior Tanzania Bantu--&gt;Hehe--&gt;Walalemela Mugundu</t>
  </si>
  <si>
    <t>Soga</t>
  </si>
  <si>
    <t>Kamama kato, kaga kati</t>
  </si>
  <si>
    <t>https://sounds.bl.uk/World-and-traditional-music/Wachsmann/025M-C0004X0041XX-1400V0</t>
  </si>
  <si>
    <t>British Library</t>
  </si>
  <si>
    <t>The song is identified as such in its title or label, There is text in associated ethnography that states what type of song this is (this could be in liner notes, it could be in an email from an anthropologist, etc), The lyrics made it clear to me what type of song this is</t>
  </si>
  <si>
    <t>Children's game songs //BRITISH LIBRARY, KAMAMA KATO, KAGA KATI - KLAUS WACHSMANN UGANDA FIELD RECORDINGS//</t>
  </si>
  <si>
    <t>"In this game children tease each other in polygamous households. Your mother is very old, your mother is as small as this (to mean she is small and thus young?)." //BRITISH LIBRARY, KAMAMA KATO, KAGA KATI - KLAUS WACHSMANN UGANDA FIELD RECORDINGS//</t>
  </si>
  <si>
    <t>English translation from available documentation: "The little mother she is as small as this". //BRITISH LIBRARY, KAMAMA KATO, KAGA KATI - KLAUS WACHSMANN UGANDA FIELD RECORDINGS//</t>
  </si>
  <si>
    <t>British Library--&gt;Klaus Wachsmann Uganda Collection--&gt;View by genre--&gt;Children's game songs--&gt;Kamama kato, kaga kati</t>
  </si>
  <si>
    <t>Yuparama</t>
  </si>
  <si>
    <t>http://media.theglobaljukebox.org/audio/T5403R65.mp3</t>
  </si>
  <si>
    <t>Genre: Love song Description: Romantic song //GLOBAL JUKEBOX CODING ID 1926//</t>
  </si>
  <si>
    <t>Australian aborigine from Arnhem Land</t>
  </si>
  <si>
    <t>Djarada</t>
  </si>
  <si>
    <t>https://folkways.si.edu/young-boys-with-songman/djarada/world/music/track/smithsonian</t>
  </si>
  <si>
    <t>Disk 1, Track 12</t>
  </si>
  <si>
    <t>This is a djarada or love song and refers to the women (djingolo) calling out (bugurungga) as they bathe or swim (ngororong) in the river. //SMITHSONIAN FOLKWAYS CATALOGUE FW04439_112 LINER NOTES PAGE 8//</t>
  </si>
  <si>
    <t>Bo Mask Chant</t>
  </si>
  <si>
    <t>http://media.theglobaljukebox.org/audio/T5403R69.mp3</t>
  </si>
  <si>
    <t>Genre: Mask dance; chant //GLOBAL JUKEBOX CODING ID: 1937//</t>
  </si>
  <si>
    <t>Description: Dancers in masks modeled on Caraja Aruana masks singing a falsetto chant also adapted from the Caraja //GLOBAL JUKEBOX CODING ID: 1937//</t>
  </si>
  <si>
    <t>E-E-Ama</t>
  </si>
  <si>
    <t>http://media.theglobaljukebox.org/audio/T5403R71.mp3</t>
  </si>
  <si>
    <t>Genre: Dance song //GLOBAL JUKEBOX CODING ID: 2378//</t>
  </si>
  <si>
    <t>Description: Multi-song dance //GLOBAL JUKEBOX CODING ID: 2378//</t>
  </si>
  <si>
    <t>Kĩsêdjê</t>
  </si>
  <si>
    <t>suya1243</t>
  </si>
  <si>
    <t>suy</t>
  </si>
  <si>
    <t>Sangere 1, Incantation for Curing</t>
  </si>
  <si>
    <t>http://media.theglobaljukebox.org/audio/T5595R03.mp3</t>
  </si>
  <si>
    <t>Track 7 on the original vinyl</t>
  </si>
  <si>
    <t>animal song</t>
  </si>
  <si>
    <t>Genre: Healing song; animal song //GLOBAL JUKEBOX CODING ID: 9788//</t>
  </si>
  <si>
    <t>No. 6 is a curing song (sangere). It is a type of 'prayer' which is chanted rapidly in a low voice, sometimes whispering; it reminds the reviewer of other shamanistic styles of the Amazon area, such as that of the Jivaros and the Piaro //REVIEW CITING ANTHONY SEEGER'S LINER NOTES, http://www.jstor.org.ezp-prod1.hul.harvard.edu/stable/768453//</t>
  </si>
  <si>
    <t>From a while ago, but they are serious about copyright: "This record was made with the knowledge and approval of the Suya. The songs are artistic productions of that society. The copyright will return and shall be paid: improper use of this music is forbidden, not only by law, but also as an ethical position against the exploitation of these artists."</t>
  </si>
  <si>
    <t>Kuikuro</t>
  </si>
  <si>
    <t>kuik1245</t>
  </si>
  <si>
    <t>kuik1246</t>
  </si>
  <si>
    <t>Anduvé</t>
  </si>
  <si>
    <t>http://media.theglobaljukebox.org/audio/T5403R86.mp3</t>
  </si>
  <si>
    <t>Track 1 on original CD</t>
  </si>
  <si>
    <t>Genre: Mask dance; dance song //GLOBAL JUKEBOX CODING ID: 146//</t>
  </si>
  <si>
    <t>Description: Kuikuru Indians masked dance //GLOBAL JUKEBOX CODING ID: 146, ADDITIONAL ETHNOGRAPHIC INFORMATION (IN FRENCH) AT CREM CNRSMH_E_1957_011_001 (http://archives.crem-cnrs.fr/archives/collections/CNRSMH_E_1957_011_001/)//</t>
  </si>
  <si>
    <t>Yawalapiti</t>
  </si>
  <si>
    <t>yaqa1261</t>
  </si>
  <si>
    <t>yawa1261</t>
  </si>
  <si>
    <t>glottocode_1 typo?</t>
  </si>
  <si>
    <t>Kozi-Kozi</t>
  </si>
  <si>
    <t>http://media.theglobaljukebox.org/audio/T5403R22.mp3</t>
  </si>
  <si>
    <t>Side B, Track 10 from original CD</t>
  </si>
  <si>
    <t>Genre: Healing song; animal song; dance song //GLOBAL JUKEBOX CODING ID: 138//</t>
  </si>
  <si>
    <t>When a man has met with screaming monkeys in the forest who have seized his shadow, he falls ill. Back in the village, he asks that we dance Kozi-kozi to heal him. //CREM-CNRS, GOOGLE-TRANSLATED FROM FRENCH, CODE: CNRSMH_E_1969_005_001_001_10//</t>
  </si>
  <si>
    <t>Danses Villager</t>
  </si>
  <si>
    <t>http://media.theglobaljukebox.org/audio/T5403R27.mp3</t>
  </si>
  <si>
    <t>Genre: Dance song //GLOBAL JUKEBOX CODING ID: 3864//</t>
  </si>
  <si>
    <t>Description: Village dance; in a Caribbean manner //GLOBAL JUKEBOX CODING ID: 3864//</t>
  </si>
  <si>
    <t>Kamayurá</t>
  </si>
  <si>
    <t>kama1373</t>
  </si>
  <si>
    <t>kay</t>
  </si>
  <si>
    <t>Women's Dance Song</t>
  </si>
  <si>
    <t>http://media.theglobaljukebox.org/audio/T5403R15.mp3</t>
  </si>
  <si>
    <t>Genre: Dance song; women's song //GLOBAL JUKEBOX CODING ID: 2997//</t>
  </si>
  <si>
    <t>Description: Clip of strophic dance song //GLOBAL JUKEBOX CODING ID: 2997//</t>
  </si>
  <si>
    <t>Acholi, Acoli</t>
  </si>
  <si>
    <t>acol1236</t>
  </si>
  <si>
    <t>ach</t>
  </si>
  <si>
    <t>Anyaka miya akwany ba</t>
  </si>
  <si>
    <t>https://sounds.bl.uk/World-and-traditional-music/Wachsmann/025M-C0004X0054XX-2300V0</t>
  </si>
  <si>
    <t>The song is identified as such in its title or label, The lyrics made it clear to me what type of song this is</t>
  </si>
  <si>
    <t>"a girl let me choose" //BRITISH LIBRARY, KLAUS WACHSMANN UGANDA COLLECTION - FIELD RECORDINGS, ANYAKA MIYA AKWANI BA//</t>
  </si>
  <si>
    <t>British Library--&gt;Africa--&gt;Klaus Wachsmann Uganda Collection--&gt;View by genre--&gt;Children's games-Africa (Acholi)--&gt;Anyaka miya akwany ba (shelf mark C4/54)</t>
  </si>
  <si>
    <t>Sebei, Kupsabiny</t>
  </si>
  <si>
    <t>kups1238</t>
  </si>
  <si>
    <t>kpz</t>
  </si>
  <si>
    <t>Kemale konyo sakatyet, sinya sinya sakatyet</t>
  </si>
  <si>
    <t>https://sounds.bl.uk/World-and-traditional-music/Wachsmann/025M-C0004X0029XX-1100V0</t>
  </si>
  <si>
    <t>Children's game song //BRITISH LIBRARY, KLAUS WACHSMANN UGANDA FIELD RECORDINGS, KEMALE KONYO SAKATYET, SINYA SINYA SAKATYET//</t>
  </si>
  <si>
    <t>"a children's song with jumping action" //BRITISH LIBRARY, KLAUS WACHSMANN UGANDA FIELD RECORDINGS, KEMALE KONYO SAKATYET, SINYA SINYA SAKATYET//</t>
  </si>
  <si>
    <t>"we smear our house with mud" //BRITISH LIBRARY, KLAUS WACHSMANN UGANDA FIELD RECORDINGS, KEMALE KONYO SAKATYET, SINYA SINYA SAKATYET//</t>
  </si>
  <si>
    <t>British Library--&gt;Africa--&gt;Klaus Wachsmann Uganda Collection--&gt;View by Genre--&gt;Children's songs - Africa (Kupsabiny)--&gt;Kemale konyo sakatyet, sinya sinya sakatyet (*shelf mark c4/29)</t>
  </si>
  <si>
    <t>Latin kok ngo</t>
  </si>
  <si>
    <t>https://sounds.bl.uk/World-and-traditional-music/Peter-Cooke-Uganda/025M-C0023X0003XX-1900V0</t>
  </si>
  <si>
    <t>TAPE PC 5, TRACK A, item No. 11 (Peter Cooke's notes)</t>
  </si>
  <si>
    <t>Lullaby //BRITISH LIBRARY, PETER COOKE UGANDA COLLECTION, LATIN KOK NGO//</t>
  </si>
  <si>
    <t>"Lullaby, for putting babies to sleep. Performer's note: Children of Pabo clan." //BRITISH LIBRARY, PETER COOKE UGANDA COLLECTION, LATIN KOK NGO//</t>
  </si>
  <si>
    <t>British Library--&gt;Africa--&gt;Peter Cooke Uganda Collection--&gt;View by genre--&gt;Lullabies--&gt;Latin kok ngo (*shelf mark C23/3)</t>
  </si>
  <si>
    <t>Chiga, Kiga, Abakiga</t>
  </si>
  <si>
    <t>chig1238</t>
  </si>
  <si>
    <t>cgg</t>
  </si>
  <si>
    <t>Omwana wnagye</t>
  </si>
  <si>
    <t>https://sounds.bl.uk/World-and-traditional-music/Peter-Cooke-Uganda/025M-C0023X0019XX-1300V0</t>
  </si>
  <si>
    <t>Lullaby //BRITISH LIBRARY, PETER COOKE UGANDA COLLECTION, OMWANA WNAGYE//</t>
  </si>
  <si>
    <t>Item note: Lullaby Ekirembeserero. Performance note: Accompanied with hand clapping. //BRITISH LIBRARY, PETER COOKE UGANDA COLLECTION, OMWANA WNAGYE//</t>
  </si>
  <si>
    <t>British Library--&gt;Africa--&gt;Peter Cooke Uganda Collection--&gt;View by genre--&gt;Lullaby--&gt;Omwana wnagye (*shelf mark C23/19)</t>
  </si>
  <si>
    <t>Uganda</t>
  </si>
  <si>
    <t>Fight the Epidemic and Abange mikwano gyange muvawa? [Friends, where do you come from?]</t>
  </si>
  <si>
    <t>https://folkways.si.edu/tasga-drama-group-tokamalirawo-aids-support-group-awareness/fight-the-epidemic-and-abange-mikwano-gyange-muvawa-friends-where-do-you-come-from/world/music/track/smithsonian</t>
  </si>
  <si>
    <t>Educational</t>
  </si>
  <si>
    <t>Healing song //SMITHSONIAN FOLKWAYS, SINGING FOR LIFE: SONGS OF HOPE, HEALING AND HIV/AIDS IN UGANDA, “FIGHT THE EPIDEMIC AND ABANGE MIKWANO GYANGE MUVAWA? [FRIENDS, WHERE DO YOU COME FROM?]"//</t>
  </si>
  <si>
    <t>"music, dance, and drama in their health education outreach", "As a recognized leader in the traditional healing community", " According to Musa, medical and spiritual care are both integral to his healing practice", new millennium among “traditional healers, medical doctors, and religious leaders.” //SMITHSONIAN FOLKWAYS, SINGING FOR LIFE: SONGS OF HOPE, HEALING AND HIV/AIDS IN UGANDA, LINER NOTES FOR “FIGHT THE EPIDEMIC AND ABANGE MIKWANO GYANGE MUVAWA? [FRIENDS, WHERE DO YOU COME FROM?]"//</t>
  </si>
  <si>
    <t>"Destroy the friendship with TB by avoiding smoking and alcoholic drinks How can you avoid this pulmonary tuberculosis? Oh, it is possible if your children are immunized and do not spit saliva everywhere Early treatment for those infected is important, as is completing the dose Most important is sensitization and counseling"//SMITHSONIAN FOLKWAYS, SINGING FOR LIFE: SONGS OF HOPE, HEALING AND HIV/AIDS IN UGANDA, LINER NOTES FOR “FIGHT THE EPIDEMIC AND ABANGE MIKWANO GYANGE MUVAWA? [FRIENDS, WHERE DO YOU COME FROM?]"//</t>
  </si>
  <si>
    <t>Smithsonian Flokways --&gt; Singing for Life: Songs of Hope, Healing, and HIV/AIDS in Uganda --&gt; “Fight the Epidemic and Abange mikwano gyange muvawa? [Friends, where do you come from?] ”</t>
  </si>
  <si>
    <t>Modern healing song based on traditional healing song practices, recorded in Kibaale Village</t>
  </si>
  <si>
    <t>Shilluk</t>
  </si>
  <si>
    <t>shil1265</t>
  </si>
  <si>
    <t>shk</t>
  </si>
  <si>
    <t>Song of Deng Ushucalla</t>
  </si>
  <si>
    <t>https://theglobaljukebox.org/?share=Shilluk-T5436R27m</t>
  </si>
  <si>
    <t>Medicine song</t>
  </si>
  <si>
    <t>Healing Song //GLOBAL JUKEBOX, SONG OF DENG USHUCALLA, CODING ID 2060, AUDIO FILE ID T5436R27M//</t>
  </si>
  <si>
    <t>Global Jukebox--&gt;Wheel--&gt;North Africa/Ethiopia/S.Sudan/Northern Luo Peoples--&gt;Shilluk--&gt;Song of Deng Ushucalla</t>
  </si>
  <si>
    <t>My Medicine 2</t>
  </si>
  <si>
    <t>https://theglobaljukebox.org/?share=Amhara-T5596R08</t>
  </si>
  <si>
    <t>Healing Song //GLOBAL JUKEBOX, MY MEDICINE 2, CODING ID 3453, AUDIO FILE ID T5596R08//</t>
  </si>
  <si>
    <t>Global Jukebox--&gt;Wheel--&gt;East Africa/Highland Ethiopia/Ethiopian Semites--&gt;Amhara--&gt;My Medicine 2</t>
  </si>
  <si>
    <t>Hadza</t>
  </si>
  <si>
    <t>hadz1240</t>
  </si>
  <si>
    <t>hts</t>
  </si>
  <si>
    <t>Dance Song</t>
  </si>
  <si>
    <t>https://theglobaljukebox.org/?share=Hadza-T5439R24</t>
  </si>
  <si>
    <t>Global Jukebox, Royal Anthropological Institute Film &amp; Video Archive, London, Library of Congress</t>
  </si>
  <si>
    <t>Entertainment song</t>
  </si>
  <si>
    <t>Dance song //GLOBAL JUKEBOX, HADZA DANCE SONG, CODING ID 4300, AUDIO FILE ID T5439R24//</t>
  </si>
  <si>
    <t>Dance song for amusement; alternation and overlap between male and female groups //GLOBAL JUKEBOX, HADZA DANCE SONG, CODING ID 4300, AUDIO FILE ID T5439R24//</t>
  </si>
  <si>
    <t>Global Jukebox--&gt;Wheel--&gt;East Africa/Rift Valley/Encapsulated Hunter Gatherers</t>
  </si>
  <si>
    <t>Nuer</t>
  </si>
  <si>
    <t>nuer1246</t>
  </si>
  <si>
    <t>nus</t>
  </si>
  <si>
    <t>Love Story</t>
  </si>
  <si>
    <t>http://media.theglobaljukebox.org/audio/T5437R46.mp3</t>
  </si>
  <si>
    <t>Global Jukebox, Archive of Folk Culture, American Folklife Center, Library of Congress</t>
  </si>
  <si>
    <t>Love song //GLOBAL JUKEBOX, CODING ID 2035, AUDIO FILE ID T5437R46, TEXT IN DESCRIPTION FIELD//</t>
  </si>
  <si>
    <t>Tells of a man too poor to marry his girl //GLOBAL JUKEBOX, CODING ID 2035, AUDIO FILE ID T5437R46, TEXT IN DESCRIPTION FIELD//</t>
  </si>
  <si>
    <t>Global Jukebox--&gt;Wheel--&gt;North Africa/Ethiopia/S.Sudan/N.Nilotes--&gt;Nuer--&gt;Love story</t>
  </si>
  <si>
    <t>Warao</t>
  </si>
  <si>
    <t>wara1303</t>
  </si>
  <si>
    <t>wba</t>
  </si>
  <si>
    <t>Jue Monuka</t>
  </si>
  <si>
    <t>http://media.theglobaljukebox.org/audio/T5404R11m.mp3</t>
  </si>
  <si>
    <t>Genre: Dance song; animal song //GLOBAL JUKEBOX CODING ID: 3270//</t>
  </si>
  <si>
    <t>Description: In the likeness of a manta ray; dancing on the beach on any occasion, dancers imitate the movement of the river ray //GLOBAL JUKEBOX CODING ID: 3270//</t>
  </si>
  <si>
    <t>Ahoa</t>
  </si>
  <si>
    <t>http://media.theglobaljukebox.org/audio/T5404R21.mp3</t>
  </si>
  <si>
    <t>Genre: Shaman song; healing song Description: Shaman's curing song //GLOBAL JUKEBOX CODING ID: 4029//</t>
  </si>
  <si>
    <t>http://media.theglobaljukebox.org/audio/T5404R24.mp3</t>
  </si>
  <si>
    <t>Song: Lullaby Genre: Lullaby; animal song //GLOBAL JUKEBOX CODING ID: 4032//</t>
  </si>
  <si>
    <t>Description: Lullaby about a tiger; falsetto voice //GLOBAL JUKEBOX CODING ID: 4032//</t>
  </si>
  <si>
    <t>So’to</t>
  </si>
  <si>
    <t>maqui1238</t>
  </si>
  <si>
    <t>http://media.theglobaljukebox.org/audio/T5404R31.mp3</t>
  </si>
  <si>
    <t>Song: Lullaby Genre: Lullaby //GLOBAL JUKEBOX CODING ID: 3418//</t>
  </si>
  <si>
    <t>Pumé</t>
  </si>
  <si>
    <t>pume1238</t>
  </si>
  <si>
    <t>yae</t>
  </si>
  <si>
    <t>Curing Song</t>
  </si>
  <si>
    <t>http://media.theglobaljukebox.org/audio/T5403R88m.mp3</t>
  </si>
  <si>
    <t>Song: Curing Song Genre: Shaman song; healing song //GLOBAL JUKEBOX CODING ID: 152//</t>
  </si>
  <si>
    <t>Description: Shaman's curing song //GLOBAL JUKEBOX CODING ID: 152//</t>
  </si>
  <si>
    <t>Guahibo</t>
  </si>
  <si>
    <t>guah1252</t>
  </si>
  <si>
    <t>guah1255</t>
  </si>
  <si>
    <t>http://media.theglobaljukebox.org/audio/T5404R01m.mp3</t>
  </si>
  <si>
    <t>Song: Healing Song Genre: Healing song //GLOBAL JUKEBOX CODING ID: 1802//</t>
  </si>
  <si>
    <t>Description: Healing Song; sung by older woman; recorded at El Totumo Farm //GLOBAL JUKEBOX CODING ID: 1802//</t>
  </si>
  <si>
    <t>Dancing song</t>
  </si>
  <si>
    <t>http://media.theglobaljukebox.org/audio/T5404R03m.mp3</t>
  </si>
  <si>
    <t>Song: Dancing song Genre: Dance song; men's song //GLOBAL JUKEBOX CODING ID: 1804//</t>
  </si>
  <si>
    <t>Description: Dance song; men's song; sung in separated choirs which have staggered recitals of the litany idea //GLOBAL JUKEBOX CODING ID: 1804//</t>
  </si>
  <si>
    <t>Viajure jarba</t>
  </si>
  <si>
    <t>http://media.theglobaljukebox.org/audio/T5404R04m.mp3</t>
  </si>
  <si>
    <t>Genre: Love song //GLOBAL JUKEBOX CODING ID: 1805//</t>
  </si>
  <si>
    <t>Description: Love song; sung in separated female choirs which have staggered recitals of the litany idea //GLOBAL JUKEBOX CODING ID: 1805//</t>
  </si>
  <si>
    <t>Testete</t>
  </si>
  <si>
    <t>http://media.theglobaljukebox.org/audio/T5404R06m.mp3</t>
  </si>
  <si>
    <t>Genre: Healing song; men's song //GLOBAL JUKEBOX CODING ID: 1807//</t>
  </si>
  <si>
    <t>Description: Men's song; used to cure snake bites //GLOBAL JUKEBOX CODING ID: 1807//</t>
  </si>
  <si>
    <t>Afar</t>
  </si>
  <si>
    <t>afar1241</t>
  </si>
  <si>
    <t>aar</t>
  </si>
  <si>
    <t>http://media.theglobaljukebox.org/audio/T40026R04m.mp3</t>
  </si>
  <si>
    <t>Love song //GLOBAL JUKEBOX, CODING ID 2049, AUDIO FILE ID T40026R04m//</t>
  </si>
  <si>
    <t>Global Jukebox--&gt;Wheel--&gt;East Africa / East African Horn / Lowland E. Cushites--&gt;Afar--&gt;Love Song</t>
  </si>
  <si>
    <t>Nandi</t>
  </si>
  <si>
    <t>kale1246</t>
  </si>
  <si>
    <t>nand1266</t>
  </si>
  <si>
    <t>kln</t>
  </si>
  <si>
    <t>Polan</t>
  </si>
  <si>
    <t>http://media.theglobaljukebox.org/audio/T5437R30.mp3</t>
  </si>
  <si>
    <t>Global Jukebox, Smithsonian Folkways, ILAM</t>
  </si>
  <si>
    <t>War song, Moran dance</t>
  </si>
  <si>
    <t>Dance song //GLOBAL JUKEBOX, CODING ID 2406, AUDIO FILE ID T5437R30//</t>
  </si>
  <si>
    <t>Moran dance song about war //GLOBAL JUKEBOX, CODING ID 2406, AUDIO FILE ID T5437R30//</t>
  </si>
  <si>
    <t>Global Jukebox--&gt;WheelEast Africa / Rift Valley / Kalenjin Nilotes--&gt;Nandi--&gt;Polan</t>
  </si>
  <si>
    <t>Caribbean</t>
  </si>
  <si>
    <t>Jamaica</t>
  </si>
  <si>
    <t>jama1264</t>
  </si>
  <si>
    <t>pato1243</t>
  </si>
  <si>
    <t>Ring Play</t>
  </si>
  <si>
    <t>https://theglobaljukebox.org/?share=Jamaica-T5473R10</t>
  </si>
  <si>
    <t>Global Jukebox, Smithsonian Folkways, CREM</t>
  </si>
  <si>
    <t>Ring game song; game song // GLOBAL JUKEBOX RELEVANT TEXT IN THE 'GENRE' FIELD//</t>
  </si>
  <si>
    <t>Ring game; recorded before a Kumina ceremony; men and women form two rings facing and moving towards each other until they almost touch//GLOBAL JUKEBOX RELEVANT TEXT IN THE 'DESCRIPTION' FIELD//</t>
  </si>
  <si>
    <t>N/A</t>
  </si>
  <si>
    <t>Click on the 4th song, titled "Ring Play."</t>
  </si>
  <si>
    <t>JDL</t>
  </si>
  <si>
    <t>Baoulé</t>
  </si>
  <si>
    <t>baou1238</t>
  </si>
  <si>
    <t>bci</t>
  </si>
  <si>
    <t>"Goli Dance" Chorus of men</t>
  </si>
  <si>
    <t>http://www.folkways.si.edu/TrackDetails.aspx?itemid=7116</t>
  </si>
  <si>
    <t>Fertility Song</t>
  </si>
  <si>
    <t>Dance song//GLOBAL JUKEBOX CODING ID 1490/AUDIO FILE ID T5459R17, RELEVANT TEXT IS IN THE GENRE FIELD//</t>
  </si>
  <si>
    <t>Dance of the human fertility god Goli//GLOBAL JUKEBOX CODING ID 1490/AUDIO FILE ID T5459R17, RELEVANT TEXT IS IN THE DESCRIPTION FIELD//</t>
  </si>
  <si>
    <t>https://theglobaljukebox.org/?share=Baoul%C3%A9-T5459R17</t>
  </si>
  <si>
    <t>2/13/2018 14:47:10</t>
  </si>
  <si>
    <t>JMI</t>
  </si>
  <si>
    <t>Hamar</t>
  </si>
  <si>
    <t>Wedding Song</t>
  </si>
  <si>
    <t>http://media.theglobaljukebox.org/audio/T5625R17m.mp3</t>
  </si>
  <si>
    <t>Global Jukebox, American Folklife Center</t>
  </si>
  <si>
    <t>Wedding song</t>
  </si>
  <si>
    <t>Love song //GLOBAL JUKEBOX, CODING ID 4218, AUDIO FILE ID T5625R17m//</t>
  </si>
  <si>
    <t>"love song formed through alternating verses" //GLOBAL JUKEBOX, CODING ID 4218, AUDIO FILE ID T5625R17m//</t>
  </si>
  <si>
    <t>Global Jukebox--&gt;Wheel--&gt;Hamar--&gt;Wedding song</t>
  </si>
  <si>
    <t>2/14/2018 14:09:35</t>
  </si>
  <si>
    <t>http://media.theglobaljukebox.org/audio/T5442R04.mp3</t>
  </si>
  <si>
    <t>Global Jukebox, Hopkins Recordings from Uganda 1962-1963 T1245.4.</t>
  </si>
  <si>
    <t>Narrative song</t>
  </si>
  <si>
    <t>Love Song //GLOBAL JUKEBOX, CODING ID 449, AUDIO FILE ID T5442R04//</t>
  </si>
  <si>
    <t>Global Jukebox--&gt;Wheel--&gt;Bahinda--&gt;Love Song</t>
  </si>
  <si>
    <t>2/14/2018 14:14:53</t>
  </si>
  <si>
    <t>http://media.theglobaljukebox.org/audio/T40019R07.mp3</t>
  </si>
  <si>
    <t>Global Jukebox, Ayele Abebe, Ethiopia I. Music from Ethiopia</t>
  </si>
  <si>
    <t>Love Song //GLOBAL JUKEBOX, CODING ID 1853, AUDIO FILE ID T40019R07//</t>
  </si>
  <si>
    <t>Traditional love song with slightly modernized words //GLOBAL JUKEBOX, CODING ID 1853, AUDIO FILE ID T40019R07//</t>
  </si>
  <si>
    <t>Global Jukebox--&gt;Wheel--&gt;Amhara--&gt;Love Song (Coding ID 1853)</t>
  </si>
  <si>
    <t>There are a couple of 'Love Song' titles in the Amhara culture, take note of coding ID.</t>
  </si>
  <si>
    <t>2/14/2018 14:20:34</t>
  </si>
  <si>
    <t>Hehe; Wahehe</t>
  </si>
  <si>
    <t>Helele Nani Nzovela</t>
  </si>
  <si>
    <t>http://media.theglobaljukebox.org/audio/T5441R27.mp3</t>
  </si>
  <si>
    <t>Global Jukebox, ILAM, Smithsonian Folkways</t>
  </si>
  <si>
    <t>Dance Song //GLOBAL JUKEBOX, CODING ID 2691/2692 (DOUBLE-CODED), AUDIO FILE ID T5441R27//</t>
  </si>
  <si>
    <t>Kuduo women's wedding dance song //GLOBAL JUKEBOX, CODING ID 2691/2692 (DOUBLE-CODED), AUDIO FILE ID T5441R27//</t>
  </si>
  <si>
    <t>Global Jukebox--&gt;Wheel--&gt;Hehe--&gt;Helele Nani Nzovela</t>
  </si>
  <si>
    <t>2/14/2018 14:33:25</t>
  </si>
  <si>
    <t>Abaluhya</t>
  </si>
  <si>
    <t>luyi1234</t>
  </si>
  <si>
    <t>Abaluhya Traditional Dancers</t>
  </si>
  <si>
    <t>http://media.theglobaljukebox.org/audio/T5561R25.mp3</t>
  </si>
  <si>
    <t>Global Jukebox, Chad Wollner, Lin Lerner Collection, Reel 1</t>
  </si>
  <si>
    <t>Dance Song //GLOBAL JUKEBOX, CODING ID 4429, AUDIO FILE ID T5561R25//</t>
  </si>
  <si>
    <t>Abaluhya traditional dancers //GLOBAL JUKEBOX, CODING ID 4429, AUDIO FILE ID T5561R25//</t>
  </si>
  <si>
    <t>Global Jukebox--&gt;Wheel--&gt;Abaluhya--&gt;Abaluhya Traditional Dancers</t>
  </si>
  <si>
    <t>2/14/2018 14:40:15</t>
  </si>
  <si>
    <t>Dakelh</t>
  </si>
  <si>
    <t>carr1249</t>
  </si>
  <si>
    <t>crx</t>
  </si>
  <si>
    <t>Love Song //SONG AND GENRE LABELS IN GLOBAL JUKEBOX//</t>
  </si>
  <si>
    <t>Love song; male soloist unaccompanied //DESCRIPTION ON GLOBAL JUKEBOX//</t>
  </si>
  <si>
    <t>Coding ID 3154, can be found by searching Dakelh</t>
  </si>
  <si>
    <t>2/15/2018 16:43:39</t>
  </si>
  <si>
    <t>Medicine Woman's Song</t>
  </si>
  <si>
    <t>Healing song //GENRE ON GLOBAL JUKEBOX//</t>
  </si>
  <si>
    <t>Medicine woman's song; male duet over slow hand clapping and interjections //DESCRIPTION ON GLOBAL JUKEBOX//</t>
  </si>
  <si>
    <t>Coding ID 1516, found by searching Dakelh</t>
  </si>
  <si>
    <t>2/15/2018 16:47:29</t>
  </si>
  <si>
    <t>Petting Song, Number 2</t>
  </si>
  <si>
    <t>Women's</t>
  </si>
  <si>
    <t>Love song //GENRE ON GLOBAL JUKEBOX//</t>
  </si>
  <si>
    <t>Special affectionate song sung by women //DESCRIPTION ON GLOBAL JUKEBOX//</t>
  </si>
  <si>
    <t>Coding ID 4141, found by searching Tunumiit</t>
  </si>
  <si>
    <t>2/15/2018 16:54:48</t>
  </si>
  <si>
    <t>Sahtu Dene</t>
  </si>
  <si>
    <t>nort2942</t>
  </si>
  <si>
    <t>slav1253</t>
  </si>
  <si>
    <t>scs</t>
  </si>
  <si>
    <t>Shaman's Personal Wind Medicine Song</t>
  </si>
  <si>
    <t>Shaman</t>
  </si>
  <si>
    <t>Shaman song; healing song; medicine song //GENRE ON GLOBAL JUKEBOX//</t>
  </si>
  <si>
    <t>Shaman's personal wind medicine song; heavy static and distorted sound //DESCRIPTION ON GLOBAL JUKEBOX//</t>
  </si>
  <si>
    <t>Coding ID 3092, found by searching Sahtu Dene</t>
  </si>
  <si>
    <t>2/15/2018 17:04:41</t>
  </si>
  <si>
    <t>Kivallirmiut</t>
  </si>
  <si>
    <t>Children's Game Song</t>
  </si>
  <si>
    <t>Tape 1. 3.</t>
  </si>
  <si>
    <t>Game song; children's song //GENRE ON GLOBAL JUKEBOX//</t>
  </si>
  <si>
    <t>Two children singing a game song //DESCRIPTION ON GLOBAL JUKEBOX//</t>
  </si>
  <si>
    <t>2/16/2018 13:52:51</t>
  </si>
  <si>
    <t>Love Song, Ula</t>
  </si>
  <si>
    <t>Love song; Ula; male soloist in litany over drum and shaker; audience in background //DESCRIPTION ON GLOBAL JUKEBOX//</t>
  </si>
  <si>
    <t>Coding ID 1498, found by searching Sahtu Dene</t>
  </si>
  <si>
    <t>2/16/2018 14:01:48</t>
  </si>
  <si>
    <t>Dance from Jean Marie River, 1</t>
  </si>
  <si>
    <t>Dance song //GENRE ON GLOBAL JUKEBOX//</t>
  </si>
  <si>
    <t>Dance from Jean Marie River; male soloist in litany over glass jar and drum //DESCRIPTION ON GLOBAL JUKEBOX//</t>
  </si>
  <si>
    <t>Coding ID 1506, found by searching Sahtu Dene</t>
  </si>
  <si>
    <t>2/16/2018 14:54:04</t>
  </si>
  <si>
    <t>Paroja</t>
  </si>
  <si>
    <t>bodo1266</t>
  </si>
  <si>
    <t>parj1243</t>
  </si>
  <si>
    <t>bdv</t>
  </si>
  <si>
    <t>https://theglobaljukebox.org/?share=Paroja-T5547R29</t>
  </si>
  <si>
    <t>Track A3</t>
  </si>
  <si>
    <t>Love Song //FOUND UNDER SONG AND GENRE FIELD IN GLOBAL JUKEBOX//</t>
  </si>
  <si>
    <t>The link takes you to the South Asia/East India/Odisha Tribal cultures - the song is "Love Song" under "Songs in Paroja:"</t>
  </si>
  <si>
    <t>2/19/2018 1:30:53</t>
  </si>
  <si>
    <t>LJD</t>
  </si>
  <si>
    <t>Joria</t>
  </si>
  <si>
    <t>abuu1241</t>
  </si>
  <si>
    <t>shek1243</t>
  </si>
  <si>
    <t>ado</t>
  </si>
  <si>
    <t>Joria Song</t>
  </si>
  <si>
    <t>https://theglobaljukebox.org/?share=Joria-T5417R06</t>
  </si>
  <si>
    <t>Dance song //NOTED IN THE GENRE &amp; DESCRIPTION FIELDS OF GLOBAL JUKEBOX LISTING//</t>
  </si>
  <si>
    <t>The link will take you to the global jukebox section of South Asia - click "Joria" (culture) and then click "Joria Song"</t>
  </si>
  <si>
    <t>2/19/2018 1:43:20</t>
  </si>
  <si>
    <t>Hill Saora</t>
  </si>
  <si>
    <t>sora1255</t>
  </si>
  <si>
    <t>sora1254</t>
  </si>
  <si>
    <t>Sabhavati Puran Natak</t>
  </si>
  <si>
    <t>https://theglobaljukebox.org/?share=Hill%20Saora-T5547R39</t>
  </si>
  <si>
    <t>Track B4B</t>
  </si>
  <si>
    <t>drama</t>
  </si>
  <si>
    <t>Dance song; drama //LISTED UNDER GENRE FIELD IN GLOBAL JUKEBOX//</t>
  </si>
  <si>
    <t>Link will take you to South Asia/India/Odisha Tribal section - click "Hill Saora" culture and then the song title, "Sabhavati Puran Natak"</t>
  </si>
  <si>
    <t>2/19/2018 1:49:26</t>
  </si>
  <si>
    <t>Karamojong</t>
  </si>
  <si>
    <t>nucl1430</t>
  </si>
  <si>
    <t>kara1483</t>
  </si>
  <si>
    <t>Ngidwe alore oye (Potu ataboliata) - Chidren of our village (come out to play)</t>
  </si>
  <si>
    <t>https://sounds.bl.uk/World-and-traditional-music/Ken-Gourlay-Uganda/025M-C0105X0024XX-1700V0</t>
  </si>
  <si>
    <t>There is text in associated ethnography that states what type of song this is (this could be in liner notes, it could be in an email from an anthropologist, etc), The lyrics made it clear to me what type of song this is</t>
  </si>
  <si>
    <t>Play Song //BRITISH LIBRARY, KENNETH GOURLAY UGANDA COLLECTION, SHELF MARK 2CDR0006157//</t>
  </si>
  <si>
    <t>Girls of Classes P1 and P2; Songs sung by chidren or girls. //BRITISH LIBRARY, KENNETH GOURLAY UGANDA COLLECTION, SHELF MARK 2CDR0006157//</t>
  </si>
  <si>
    <t>Chidren of our village (come out to play). //BRITISH LIBRARY, KENNETH GOURLAY UGANDA COLLECTION, SHELF MARK 2CDR0006157//</t>
  </si>
  <si>
    <t>British Library--&gt;Kenneth Gourlay Uganda Collection--&gt;Ngidwe alore oye (Potu ataboliata) - Chidren of our village (come out to play) [shelf mark Shelf mark 2CDR0006157]</t>
  </si>
  <si>
    <t>2/20/2018 16:57:09</t>
  </si>
  <si>
    <t>Acholi</t>
  </si>
  <si>
    <t>dhop1238</t>
  </si>
  <si>
    <t>Awitola yu kileru tol ma kititino</t>
  </si>
  <si>
    <t>https://sounds.bl.uk/World-and-traditional-music/Peter-Cooke-Uganda/025M-C0023X0018XX-0300V0</t>
  </si>
  <si>
    <t>Children's Play Song //BRITISH LIBRARY, PETER COOKE UGANDA COLLECTION, SHELF MARK C23/18//</t>
  </si>
  <si>
    <t>Children's counting song; Counting out children's legs. At the end the one left has melody while two toes are moved on the left leg. So different girls sing in turn. //BRITISH LIBRARY, PETER COOKE UGANDA COLLECTION, SHELF MARK C23/18//</t>
  </si>
  <si>
    <t>British Library--&gt;Peter Cooke Uganda Recordings--&gt;Awitola yu kileru tol ma kititino</t>
  </si>
  <si>
    <t>2/20/2018 17:24:10</t>
  </si>
  <si>
    <t>Alur</t>
  </si>
  <si>
    <t>alur1250</t>
  </si>
  <si>
    <t>jona1239</t>
  </si>
  <si>
    <t>alz</t>
  </si>
  <si>
    <t>Owekuwe wek acora kuno</t>
  </si>
  <si>
    <t>https://sounds.bl.uk/World-and-traditional-music/Peter-Cooke-Uganda/025M-C0023X0021XX-0200V0</t>
  </si>
  <si>
    <t>Play Song //BRITISH LIBRARY, PETER COOKE UGANDA RECORDINGS, OWEKUWE WEK ACORA KUNO, SHELF MARK C23/21//</t>
  </si>
  <si>
    <t>British Library--&gt;Peter Cooke Uganda Collection--&gt;Owekuwe wek acora kuno</t>
  </si>
  <si>
    <t>2/20/2018 17:32:07</t>
  </si>
  <si>
    <t>Kongojjo</t>
  </si>
  <si>
    <t>https://sounds.bl.uk/World-and-traditional-music/Peter-Cooke-Uganda/025M-C0023X0009XX-0400V0</t>
  </si>
  <si>
    <t>Children's Play Song //BRITISH LIBRARY, PETER COOKE UGANDA COLLECTION, KONGOJJO, SHELF MARK C23/9//</t>
  </si>
  <si>
    <t>Children's play song. Children's game which is played during song is explained before song is performed. Song is performed unaccompanied. Performer's note: Both performers are primary school teachers. //BRITISH LIBRARY, PETER COOKE UGANDA COLLECTION, KONGOJJO, SHELF MARK C23/9//</t>
  </si>
  <si>
    <t>British Library--&gt; Peter Cooke Uganda Recordings--&gt;Kongojjo</t>
  </si>
  <si>
    <t>2/20/2018 17:47:28</t>
  </si>
  <si>
    <t>Wowooto</t>
  </si>
  <si>
    <t>https://sounds.bl.uk/World-and-traditional-music/Peter-Cooke-Uganda/025M-C0023X0009XX-0800V0</t>
  </si>
  <si>
    <t>Lullaby //BRITISH LIBRARY, PETER COOKE UGANDA COLLECTION, WOWOOTO, SHELF MARK C23/9//</t>
  </si>
  <si>
    <t>British Library--&gt; Peter Cooke Uganda Recordings--&gt;Wowooto</t>
  </si>
  <si>
    <t>2/20/2018 17:54:30</t>
  </si>
  <si>
    <t>CANADA: Two Aqausiit from Ungava Bay</t>
  </si>
  <si>
    <t>https://folkways.si.edu/lullabies-and-childrens-songs/world/music/album/smithsonian</t>
  </si>
  <si>
    <t>Disc 1, Track 17</t>
  </si>
  <si>
    <t>CANADA: Two Aqausiit from Ungava Bay //TITLE ON FOLKWAYS//, Lullabies and Children's Songs //ALBUM TITLE ON FOLKWAYS//</t>
  </si>
  <si>
    <t>aqausiit or lullabies for children //WORD DEFINED PAGE 202 IN ARCTIC LANGUAGES AN AWAKENING, DIRMID R. F. COLLIS, UNESCO//</t>
  </si>
  <si>
    <t>Definition for aqausiit is on page 202: http://unesdoc.unesco.org/images/0008/000861/086162e.pdf</t>
  </si>
  <si>
    <t>2/21/2018 10:54:24</t>
  </si>
  <si>
    <t>Inuit Iglulik</t>
  </si>
  <si>
    <t>Sakausiit</t>
  </si>
  <si>
    <t>http://www.worldcat.org/title/songs-of-the-inuit-iglulik-canada/oclc/65196223</t>
  </si>
  <si>
    <t>WorldCat, Discogs</t>
  </si>
  <si>
    <t>Curing Songs //LABEL FROM DISCOGS//</t>
  </si>
  <si>
    <t>Track listing and info at discogs: https://www.discogs.com/Inuit-Inuit-Iglulik/release/1588002 NOTE: Worldcat album appears to be a re-released version of discogs album. New version's link chosen for album accessibility. Track listing is identical. Discog album/older version link on Worldcat: http://www.worldcat.org/title/inuit-iglulik-canada/oclc/725386988&amp;referer=brief_results</t>
  </si>
  <si>
    <t>2/22/2018 14:14:38</t>
  </si>
  <si>
    <t>Sakausiq</t>
  </si>
  <si>
    <t>Track 23</t>
  </si>
  <si>
    <t>2/22/2018 14:19:04</t>
  </si>
  <si>
    <t>Track 24</t>
  </si>
  <si>
    <t>2/22/2018 14:23:11</t>
  </si>
  <si>
    <t>2/22/2018 14:23:16</t>
  </si>
  <si>
    <t>Track 26</t>
  </si>
  <si>
    <t>2/22/2018 14:23:19</t>
  </si>
  <si>
    <t>2/22/2018 14:23:23</t>
  </si>
  <si>
    <t>Johnnie Bull Song</t>
  </si>
  <si>
    <t>Narrative</t>
  </si>
  <si>
    <t>Dance song; narrative song //GENRE ON GLOBAL JUKEBOX//</t>
  </si>
  <si>
    <t>Dance song recounting the tale of an old hunter //DESCRIPTION ON GLOBAL JUKEBOX//, Singing and dancing are an important part of life. Most of the songs, with the exception of incantations and children's songs, can be used for dancing. Many of the dancing songs recount the experiences of the composer, many of them tell of exciting hunts and other exploits. //LINER NOTES ON FOLKWAYS//NA</t>
  </si>
  <si>
    <t>Global Jukebox coding ID 201</t>
  </si>
  <si>
    <t>2/22/2018 15:30:10</t>
  </si>
  <si>
    <t>Tucano</t>
  </si>
  <si>
    <t>tuca1252</t>
  </si>
  <si>
    <t>tuo</t>
  </si>
  <si>
    <t>War Dance</t>
  </si>
  <si>
    <t>http://media.theglobaljukebox.org/audio/T5402R74.mp3</t>
  </si>
  <si>
    <t>War</t>
  </si>
  <si>
    <t>War Dance //GLOBAL JUKEBOX CODING ID: 3859//</t>
  </si>
  <si>
    <t>Genre: War dance song Description: Text about singer's desire to take a young girl from the maloca into the jungle to live with her: a common reason for tribal warfare //GLOBAL UKEBOX CODING ID: 3859//</t>
  </si>
  <si>
    <t>2/23/2018 12:26:48</t>
  </si>
  <si>
    <t>Gawetabasa</t>
  </si>
  <si>
    <t>http://media.theglobaljukebox.org/audio/T5402R75.mp3</t>
  </si>
  <si>
    <t>Animal</t>
  </si>
  <si>
    <t>Genre: Dance song; animal song; circle dance Description: The Dance of the Eagle; slow circular dance within the maloca //GLOBAL JUKEBOX CODING ID: 3860//</t>
  </si>
  <si>
    <t>2/23/2018 12:32:03</t>
  </si>
  <si>
    <t>aima1242</t>
  </si>
  <si>
    <t>cent2142</t>
  </si>
  <si>
    <t>http://media.theglobaljukebox.org/audio/T5488R02.mp3</t>
  </si>
  <si>
    <t>Lullaby //GLOBAL JUKEBOX CODING ID: 2867//</t>
  </si>
  <si>
    <t>Genre: Lullaby Description: Lullaby; lyrics: If your father is getting drunk he'll come and beat us up, so go to sleep my little girl, I'll cover you with my blanket, go to sleep //GLOBAL JUKEBOX CODING ID: 2867//</t>
  </si>
  <si>
    <t>Disc 1 / Track 17 (From Smithsonian Folkways)</t>
  </si>
  <si>
    <t>2/23/2018 12:53:01</t>
  </si>
  <si>
    <t>Mapuche</t>
  </si>
  <si>
    <t>mapu1245</t>
  </si>
  <si>
    <t>nort1506</t>
  </si>
  <si>
    <t>arn</t>
  </si>
  <si>
    <t>Ostrich Feathers Dance Song</t>
  </si>
  <si>
    <t>https://theglobaljukebox.org/?share=Mapuche-T5401R35</t>
  </si>
  <si>
    <t>Ceremonial Song</t>
  </si>
  <si>
    <t>Ceremonial song; dance song // GLOBAL JUKEBOX CODING ID: 3932 RELEVANT INFORMATION IN THE GENRE FIELD//</t>
  </si>
  <si>
    <t>The link first takes you to the global jukebox home page. Click on the globe, and the site will automatically direct you to the Mapuche culture page. From there, click on the song "Ostrich Feathers Dance Song" from the list of tracks on the right hand side of the screen.</t>
  </si>
  <si>
    <t>This track was unpublished before it was added to global jukebox, so global jukebox is the only link that can be used to access it.</t>
  </si>
  <si>
    <t>2/23/2018 15:07:08</t>
  </si>
  <si>
    <t>ANP</t>
  </si>
  <si>
    <t>Gauri</t>
  </si>
  <si>
    <t>kaur1266</t>
  </si>
  <si>
    <t>Gauri Dance</t>
  </si>
  <si>
    <t>https://theglobaljukebox.org/?share=Gauri-T5416R39</t>
  </si>
  <si>
    <t>Dance song; //LISTED NEXT TO DESCRIPTION IN GLOBAL JUKEBOX INFO//</t>
  </si>
  <si>
    <t>The link will take you to the Global Jukebox page, after clicking the map the song is under "Gauri" - Gauri Dance</t>
  </si>
  <si>
    <t>2/23/2018 22:08:29</t>
  </si>
  <si>
    <t>Toda</t>
  </si>
  <si>
    <t>toda1252</t>
  </si>
  <si>
    <t>tcx</t>
  </si>
  <si>
    <t>Toda Children</t>
  </si>
  <si>
    <t>https://theglobaljukebox.org/?share=Toda-T5569R06</t>
  </si>
  <si>
    <t>Children's Song //LISTED UNDER "GENRE" IN DESCRIPTION ON GLOBAL JUKEBOX//</t>
  </si>
  <si>
    <t>After clicking on the map that the link takes you to the song is under South Asia/Southwest India/Nilgiri Hills under "Songs in Toda" called "Toda Children"</t>
  </si>
  <si>
    <t>Doesn't explicitly say "play song" or what it's purpose is - after listening, doesn't seem like a lullaby. I think it fits the criteria.</t>
  </si>
  <si>
    <t>2/23/2018 22:14:18</t>
  </si>
  <si>
    <t>Kerala</t>
  </si>
  <si>
    <t>mala1464</t>
  </si>
  <si>
    <t>mal</t>
  </si>
  <si>
    <t>Kuŕavarkaḷi: Nāgachuṭṭu</t>
  </si>
  <si>
    <t>https://theglobaljukebox.org/?share=Kerala-T5417R33</t>
  </si>
  <si>
    <t>Animal song</t>
  </si>
  <si>
    <t>Dance song; animal song //FOUND UNDER "GENRE" IN DESCRIPTION BOX OF GLOBAL JUKEBOX//</t>
  </si>
  <si>
    <t>After hitting the map - link takes you to "Songs in Kerala" click on the title, "Tiruwadirakali"</t>
  </si>
  <si>
    <t>2/23/2018 22:22:19</t>
  </si>
  <si>
    <t>Bhil</t>
  </si>
  <si>
    <t>bhil1251</t>
  </si>
  <si>
    <t>bhil1254</t>
  </si>
  <si>
    <t>bhb</t>
  </si>
  <si>
    <t>Dhak Geet, Aare Ganesha Re Ga</t>
  </si>
  <si>
    <t>https://theglobaljukebox.org/?share=Bhil-T5416R28</t>
  </si>
  <si>
    <t>Healing song //LISTED UNDER GENRE IN DESCRIPTION IN GLOBAL JUKEBOX//</t>
  </si>
  <si>
    <t>After clicking the map the song will be listed under "Song in Bhil" - click "Dhak Geet, Aare Ganesha Re Ga"</t>
  </si>
  <si>
    <t>2/23/2018 22:27:45</t>
  </si>
  <si>
    <t>Punjab</t>
  </si>
  <si>
    <t>west2386</t>
  </si>
  <si>
    <t>pnb</t>
  </si>
  <si>
    <t>Mahiya</t>
  </si>
  <si>
    <t>http://www.folkways.si.edu/TrackDetails.aspx?itemid=9047</t>
  </si>
  <si>
    <t>Love song //LISTED UNDER GENRE IN DESCRIPTION IN GLOBAL JUKEBOX//</t>
  </si>
  <si>
    <t>2/23/2018 22:33:25</t>
  </si>
  <si>
    <t>Bhatra Sikh</t>
  </si>
  <si>
    <t>bhat1265</t>
  </si>
  <si>
    <t>sind1278</t>
  </si>
  <si>
    <t>bgw</t>
  </si>
  <si>
    <t>https://theglobaljukebox.org/?share=Bhatra%20Sikh-T5418R02</t>
  </si>
  <si>
    <t>Lullaby //LISTED UNDER GENRE IN DESCRIPTION IN GLOBAL JUKEBOX//</t>
  </si>
  <si>
    <t>After clicking on the map, the song is listed under "Songs in Bhatra Sikh" called "Lullaby"</t>
  </si>
  <si>
    <t>2/23/2018 22:37:31</t>
  </si>
  <si>
    <t>Jaunsari</t>
  </si>
  <si>
    <t>jaun1243</t>
  </si>
  <si>
    <t>anga1288</t>
  </si>
  <si>
    <t>jns</t>
  </si>
  <si>
    <t>Angami Naga Song No.1</t>
  </si>
  <si>
    <t>http://www.folkways.si.edu/assam-mixed-chorus-from-kohima-naga-hills/angami-naga-song-no1/world/music/track/smithsonian</t>
  </si>
  <si>
    <t>2/23/2018 22:45:37</t>
  </si>
  <si>
    <t>Gond</t>
  </si>
  <si>
    <t>west2408</t>
  </si>
  <si>
    <t>gond1265</t>
  </si>
  <si>
    <t>mut</t>
  </si>
  <si>
    <t>Karma Geet</t>
  </si>
  <si>
    <t>https://theglobaljukebox.org/?share=Gond-T5416R31</t>
  </si>
  <si>
    <t>Festival song</t>
  </si>
  <si>
    <t>Dance song; festival song //LISTED UNDER GENRE IN DESCRIPTION IN GLOBAL JUKEBOX//</t>
  </si>
  <si>
    <t>Click the map and it will take you to "Songs in Gond" then click on "Karma Geet"</t>
  </si>
  <si>
    <t>2/23/2018 22:53:48</t>
  </si>
  <si>
    <t>https://theglobaljukebox.org/?share=Gond-T5544R02</t>
  </si>
  <si>
    <t>A2</t>
  </si>
  <si>
    <t>Click the map and it will take you to "Songs in Gond" then click on “Love Song“</t>
  </si>
  <si>
    <t>2/23/2018 22:57:16</t>
  </si>
  <si>
    <t>Dorla</t>
  </si>
  <si>
    <t>koya1251</t>
  </si>
  <si>
    <t>dorl1237</t>
  </si>
  <si>
    <t>kff</t>
  </si>
  <si>
    <t>Sire Sodi</t>
  </si>
  <si>
    <t>https://theglobaljukebox.org/?share=Dorla-T5419R03m</t>
  </si>
  <si>
    <t>Dance song //LISTED UNDER GENRE IN DESCRIPTION IN GLOBAL JUKEBOX//</t>
  </si>
  <si>
    <t>Click the map and it will take you to "Songs in Dorla” then click on “Sire Sodi”</t>
  </si>
  <si>
    <t>2/23/2018 23:00:50</t>
  </si>
  <si>
    <t>Yawayo Utkan</t>
  </si>
  <si>
    <t>https://theglobaljukebox.org/?share=Dorla-T5419R07m</t>
  </si>
  <si>
    <t>Click the map and it will take you to "Songs in Dorla” then click on “Yawayo Utkan”</t>
  </si>
  <si>
    <t>2/23/2018 23:03:42</t>
  </si>
  <si>
    <t>Gadaba</t>
  </si>
  <si>
    <t>bodo1267</t>
  </si>
  <si>
    <t>cent2227</t>
  </si>
  <si>
    <t>this could be either bodo1267 or pott1240, the culture listed speaks both languages</t>
  </si>
  <si>
    <t>gbj</t>
  </si>
  <si>
    <t>Ahye Rangeela, Part 2</t>
  </si>
  <si>
    <t>https://theglobaljukebox.org/?share=Gadaba-T5416R18m</t>
  </si>
  <si>
    <t>Night song; girl's song</t>
  </si>
  <si>
    <t>Dance song; night song; girls' song //LISTED UNDER GENRE IN DESCRIPTION IN GLOBAL JUKEBOX//</t>
  </si>
  <si>
    <t>Click the map and it will take you to "Songs in Gadaba” then click on “Ahye Rangeela, Part 2”</t>
  </si>
  <si>
    <t>2/23/2018 23:12:21</t>
  </si>
  <si>
    <t>Dogon</t>
  </si>
  <si>
    <t>dogo1299</t>
  </si>
  <si>
    <t>https://theglobaljukebox.org/?share=Dogon-T9527R21</t>
  </si>
  <si>
    <t>The song is identified as such in its title or label; There is text in associated ethnography that states what type of song this is (this could be in liner notes, it could be in an email from an anthropologist, etc)</t>
  </si>
  <si>
    <t>Healing Song//GLOBAL JUKEBOX CODING ID 9397/AUDIO FILE ID T9527R21, RELEVANT TEXT IS IN THE GENRE FIELD//</t>
  </si>
  <si>
    <t>Song for male Dogon warriors featuring la Harpe-Luth//GLOBAL JUKEBOX CODING ID 9397/AUDIO FILE ID T9527R21,RELEVANT TEXT IS IN THE DESCRIPTION FIELD//</t>
  </si>
  <si>
    <t>2/24/2018 16:48:07</t>
  </si>
  <si>
    <t>I sing about a dance</t>
  </si>
  <si>
    <t>I sing about a dance //TITLE ON FOLKWAYS//</t>
  </si>
  <si>
    <t>Although the text of dance songs may deal with innumerable subjects, often they are about the dance. //LINER NOTES ON FOLKWAYS//</t>
  </si>
  <si>
    <t>2/26/2018 15:13:44</t>
  </si>
  <si>
    <t>Two dances from the Mackenzie Delta</t>
  </si>
  <si>
    <t>Two dances from the Mackenzie Delta //TITLE ON FOLKWAYS//</t>
  </si>
  <si>
    <t>by the Mackenzie Delta Drummers and Dancers //LINER NOTES ON FOLKWAYS//</t>
  </si>
  <si>
    <t>2/26/2018 15:26:38</t>
  </si>
  <si>
    <t>Girls' game</t>
  </si>
  <si>
    <t>Girls' game //TITLE ON FOLKWAYS//</t>
  </si>
  <si>
    <t>In the game in this recording two girls, about 15 years old, placed a kettle-resonator on the ground, bent down and whispered words into it. //LINER NOTES ON FOLKWAYS//</t>
  </si>
  <si>
    <t>2/26/2018 15:32:48</t>
  </si>
  <si>
    <t>nort2934</t>
  </si>
  <si>
    <t>Disc 1, Track 19</t>
  </si>
  <si>
    <t>Dance song //TITLE ON FOLKWAYS//</t>
  </si>
  <si>
    <t>This example of the old dance songs illustrates a typical form. //LINER NOTES ON FOLKWAYS//</t>
  </si>
  <si>
    <t>2/26/2018 15:45:11</t>
  </si>
  <si>
    <t>Inviting-in dance song</t>
  </si>
  <si>
    <t>Festival</t>
  </si>
  <si>
    <t>Inviting-in dance song //TITLE ON FOLKWAYS//</t>
  </si>
  <si>
    <t>In the region of the lower Yukon River and Norton Sound, considerably south of Barrow, the "Inviting-In Feast" (Aithukaguk), given in January, followed the "Asking Festival" and the "Bladder Festival", which placated the spirit of animals killed in the hunt, held in November and December. //SECONDARY FUNCTION DESCRIBED IN LINER NOTES ON FOLKWAYS//</t>
  </si>
  <si>
    <t>2/26/2018 16:08:19</t>
  </si>
  <si>
    <t>Pisiq With Drum And Women Chorus</t>
  </si>
  <si>
    <t>Pisiit: Song Of Drum Dances //LABEL FROM DISCOGS//</t>
  </si>
  <si>
    <t>Detailed track info: https://www.discogs.com/Inuit-Inuit-Iglulik/release/1588002</t>
  </si>
  <si>
    <t>2/26/2018 16:33:50</t>
  </si>
  <si>
    <t>Hide and Seek Song "Qurtartak"</t>
  </si>
  <si>
    <t>Track 40</t>
  </si>
  <si>
    <t>Hide and Seek Song "Qurtartak" //TITLE ON AMAZON//</t>
  </si>
  <si>
    <t>2/26/2018 16:40:35</t>
  </si>
  <si>
    <t>People of Copse, Eastern Anguilla, Lesser Antilles</t>
  </si>
  <si>
    <t>cari1284</t>
  </si>
  <si>
    <t>anti1245</t>
  </si>
  <si>
    <t>glottolog according to formal classification listed, according to wikipedia it's more similar to virg1240 in practice though.</t>
  </si>
  <si>
    <t>"All Round the Ring, Pantalette"</t>
  </si>
  <si>
    <t>http://media.theglobaljukebox.org/audio/T5479R07.mp3</t>
  </si>
  <si>
    <t>"Round dance; dance song" //CODING ID 1051 IN GLOBAL JUKEBOX, GENRE FIELD//</t>
  </si>
  <si>
    <t>2/27/2018 0:19:43</t>
  </si>
  <si>
    <t>Dahomean people</t>
  </si>
  <si>
    <t>fonn1241</t>
  </si>
  <si>
    <t>fon</t>
  </si>
  <si>
    <t>Arada</t>
  </si>
  <si>
    <t>http://media.theglobaljukebox.org/audio/T5481R20.mp3</t>
  </si>
  <si>
    <t>Global Jukebox, Smithsonian Folkways, WorldCat</t>
  </si>
  <si>
    <t>"cult song, for ancestors"</t>
  </si>
  <si>
    <t>"Arada; dance song; cult song; for ancestors" //CODING ID 480 IN GLOBAL JUKEBOX, GENRE FIELD//</t>
  </si>
  <si>
    <t>"The Arada dance is one of the rites of Dahomean ancestor cults; Dahomean religious survivals existed throughout the Francophone Caribbean" //CODING ID 480 IN GLOBAL JUKEBOX, DESCRIPTION FIELD//</t>
  </si>
  <si>
    <t>2/27/2018 0:35:12</t>
  </si>
  <si>
    <t>Ashanti</t>
  </si>
  <si>
    <t>asan1239</t>
  </si>
  <si>
    <t>Sikyi</t>
  </si>
  <si>
    <t>https://theglobaljukebox.org/?share=Ashanti-T5616R08</t>
  </si>
  <si>
    <t>Side 2 Track 1</t>
  </si>
  <si>
    <t>Courtship</t>
  </si>
  <si>
    <t>Dance Song //GLOBAL JUKEBOX CODING ID 30155/AUDIO FILE ID T5616R08, RELEVANT TEXT IS IN THE GENRE FIELD//</t>
  </si>
  <si>
    <t>Courtship dance; drumming and dance performance that simulates courtship //GLOBAL JUKEBOX CODING ID 30155/AUDIO FILE ID T5616R08, RELEVANT TEXT IS IN THE DESCRIPTION FIELD//</t>
  </si>
  <si>
    <t>2/27/2018 2:07:38</t>
  </si>
  <si>
    <t>Eastern Europe</t>
  </si>
  <si>
    <t>Ukraine</t>
  </si>
  <si>
    <t>russ1263</t>
  </si>
  <si>
    <t>ukra1253</t>
  </si>
  <si>
    <t>rus</t>
  </si>
  <si>
    <t>My Beloved Walked Down the Road</t>
  </si>
  <si>
    <t>http://media.theglobaljukebox.org/audio/T5464R46m.mp3</t>
  </si>
  <si>
    <t>Love Song //GLOBAL JUKEBOX, CODING ID 534, AUDIO FILE ID T5464R46m//</t>
  </si>
  <si>
    <t>Global Jukebox--&gt;Ukraine--&gt;My Beloved Walked Down the Road</t>
  </si>
  <si>
    <t>2/27/2018 15:58:28</t>
  </si>
  <si>
    <t>Belarus</t>
  </si>
  <si>
    <t>bela1254</t>
  </si>
  <si>
    <t>there's no record of the language--saying it's belarusan would be just a guess</t>
  </si>
  <si>
    <t>Le Sorbier</t>
  </si>
  <si>
    <t>http://media.theglobaljukebox.org/audio/T45017.mp3</t>
  </si>
  <si>
    <t>Love Song //GLOBAL JUKEBOX, CODING ID 531, AUDIO FILE ID T45017//</t>
  </si>
  <si>
    <t>Global Jukebox--&gt;Belarus--&gt;Le Sorbier</t>
  </si>
  <si>
    <t>2/27/2018 16:04:15</t>
  </si>
  <si>
    <t>Kursk Ob.</t>
  </si>
  <si>
    <t>At Our Place in the Meadow</t>
  </si>
  <si>
    <t>http://media.theglobaljukebox.org/audio/T5463R29.mp3</t>
  </si>
  <si>
    <t>Dance Song //GLOBAL JUKEBOX, CODING ID 4117, AUDIO FILE ID T5463R29//</t>
  </si>
  <si>
    <t>The word plyasa or plyaska implies traditional Russian folk dancing with squatting, etc. as opposed to tanyets which is more often confined to the ballroom //GLOBAL JUKEBOX, CODING ID 4117, AUDIO FILE ID T5463R29//</t>
  </si>
  <si>
    <t>Global Jukebox--&gt;Kursk Ob.--&gt;At Our Place in the Meadow</t>
  </si>
  <si>
    <t>2/27/2018 16:15:47</t>
  </si>
  <si>
    <t>Through the Garden, Through the Cherry Orchard</t>
  </si>
  <si>
    <t>http://media.theglobaljukebox.org/audio/T5522R16.mp3</t>
  </si>
  <si>
    <t>Dance Song //GLOBAL JUKEBOX, CODING ID 9236, AUDIO FILE ID T5522R16//</t>
  </si>
  <si>
    <t>Global Jukebox--&gt;Kursk Ob.--&gt;Through the Garden, Through the Cherry Orchard</t>
  </si>
  <si>
    <t>2/27/2018 16:21:27</t>
  </si>
  <si>
    <t>Vologda Ob.</t>
  </si>
  <si>
    <t>Cradle Song</t>
  </si>
  <si>
    <t>http://media.theglobaljukebox.org/audio/T5463R18.mp3</t>
  </si>
  <si>
    <t>Lullaby //GLOBAL JUKEBOX, CODING ID 4023, AUDIO FILE ID T5463R18//</t>
  </si>
  <si>
    <t>Lullaby sung by a 71 year old woman //GLOBAL JUKEBOX, CODING ID 4023, AUDIO FILE ID T5463R18//</t>
  </si>
  <si>
    <t>Global Jukebox--&gt;Vologda Ob.--&gt;Cradle Song</t>
  </si>
  <si>
    <t>2/27/2018 16:35:26</t>
  </si>
  <si>
    <t>Arkhangelsk Ob.</t>
  </si>
  <si>
    <t>http://media.theglobaljukebox.org/audio/T5463R17.mp3</t>
  </si>
  <si>
    <t>Lullaby //GLOBAL JUKEBOX, CODING ID 4022, AUDIO FILE ID T5463R17//</t>
  </si>
  <si>
    <t>Lullaby sung by a 55 year old woman //GLOBAL JUKEBOX, CODING ID 4022, AUDIO FILE ID T5463R17//</t>
  </si>
  <si>
    <t>Global Jukebox--&gt;Arkhangelsk Ob.--&gt;Cradle Song</t>
  </si>
  <si>
    <t>2/27/2018 16:39:08</t>
  </si>
  <si>
    <t>Mordovia</t>
  </si>
  <si>
    <t>moks1248</t>
  </si>
  <si>
    <t>erzy1239</t>
  </si>
  <si>
    <t>mord1256</t>
  </si>
  <si>
    <t>mdf</t>
  </si>
  <si>
    <t>Kiaten Salunias</t>
  </si>
  <si>
    <t>http://media.theglobaljukebox.org/audio/T5467R47.mp3</t>
  </si>
  <si>
    <t>Forest Song</t>
  </si>
  <si>
    <t>Love Song //GLOBAL JUKEBOX, CODING ID 4158, AUDIO FILE ID T5467R47//</t>
  </si>
  <si>
    <t>A nickname, meaning wicked and salty; addressed to a beautiful young girl who is looking in vain for a sweetheart out in wild steppes and forests; I'll Go to the Forest //GLOBAL JUKEBOX, CODING ID 4158, AUDIO FILE ID T5467R47//</t>
  </si>
  <si>
    <t>Global Jukebox--&gt;Mordovia--&gt;Kiaten Salunias</t>
  </si>
  <si>
    <t>2/27/2018 16:52:27</t>
  </si>
  <si>
    <t>Udmurt</t>
  </si>
  <si>
    <t>sout2681</t>
  </si>
  <si>
    <t>udmu1245</t>
  </si>
  <si>
    <t>Chastushka and dancing songs to the accompaniment of harmonica</t>
  </si>
  <si>
    <t>https://sounds.bl.uk/World-and-traditional-music/Vanishing-voices-from-the-Uralic-world/025M-CEAP3470061A-01XXV0</t>
  </si>
  <si>
    <t>Chastushka (high beat frequency)</t>
  </si>
  <si>
    <t>Dancing Song //BRITISH LIBRARY, VANISHING VOICES FROM RUSSIA &amp; EASTERN EUROPE, SHELF MARK CEAP347/23/3/1//</t>
  </si>
  <si>
    <t>2/27/2018 17:20:13</t>
  </si>
  <si>
    <t>Counting verse; lullaby song "Be asleep, be asleep, my baby…".</t>
  </si>
  <si>
    <t>https://sounds.bl.uk/World-and-traditional-music/Vanishing-voices-from-the-Uralic-world/025M-CEAP3470625A-03XXV0</t>
  </si>
  <si>
    <t>Lullaby //BRITISH LIBRARY, VANISHING VOICES FROM RUSSIA &amp;EASTERN EUROPE, SHELF MARK CEAP347/240/1/3//</t>
  </si>
  <si>
    <t>British Library--&gt;Vanishing voices from Russia &amp; Eastern Europe--&gt;Counting verse; lullaby song "Be asleep, be asleep, my baby…".</t>
  </si>
  <si>
    <t>2/27/2018 17:26:55</t>
  </si>
  <si>
    <t>Children's Game "I lived at masters…"</t>
  </si>
  <si>
    <t>https://sounds.bl.uk/World-and-traditional-music/Vanishing-voices-from-the-Uralic-world/025M-CEAP3470563B-10XXV0</t>
  </si>
  <si>
    <t>Children's Play Song //BRITISH LIBRARY, VANISHING VOICES FROM RUSSIA &amp;EASTERN EUROPE, SHELF MARK CEAP347/223/2/10//</t>
  </si>
  <si>
    <t>2/27/2018 17:32:46</t>
  </si>
  <si>
    <t>Children's game "Ikcha-kukcha…".</t>
  </si>
  <si>
    <t>https://sounds.bl.uk/World-and-traditional-music/Vanishing-voices-from-the-Uralic-world/025M-CEAP3470579A-24XXV0</t>
  </si>
  <si>
    <t>Children's Game Song //BRITISH LIBRARY, VANISHING VOICES FROM RUSSIA AND EASTERN EUROPE, SHELF MARK CEAP347/226/1/24//</t>
  </si>
  <si>
    <t>2/27/2018 17:37:55</t>
  </si>
  <si>
    <t>Lithuania</t>
  </si>
  <si>
    <t>lith1251</t>
  </si>
  <si>
    <t>lit</t>
  </si>
  <si>
    <t>Dance And Stamp Your Feet (Sok, trypk)</t>
  </si>
  <si>
    <t>https://newcatalog.library.cornell.edu/catalog/8537394</t>
  </si>
  <si>
    <t>Disk 1, Track 15</t>
  </si>
  <si>
    <t>Dance Song //LITHUANIA DAINAVA: SONGS AND DANCES FROM LITHUANIA//</t>
  </si>
  <si>
    <t>"LITHUANIA Dainava: Songs and Dances from Lithuania" CD, available through Cornell's online access or on Amazon</t>
  </si>
  <si>
    <t>2/28/2018 15:03:59</t>
  </si>
  <si>
    <t>Ñuque, Ñuyquen y Mamita</t>
  </si>
  <si>
    <t>https://theglobaljukebox.org/?share=Mapuche-T5401R28</t>
  </si>
  <si>
    <t>dance song //GLOBAL JUKEBOX CODING ID: 122 RELEVANT INFORMATION IN THE GENRE FIELD//</t>
  </si>
  <si>
    <t>The link will take you to the global jukebox homepage, select the globe view (left option). From there, Global Jukebox will automatically take you to the song's region (mapuche). Select the title of the song (Ñuque, Ñuyquen y Mamita) to listen.</t>
  </si>
  <si>
    <t>2/28/2018 15:14:28</t>
  </si>
  <si>
    <t>“Luthania: Mociute mano”</t>
  </si>
  <si>
    <t>https://folkways.si.edu/luthania-mociute-mano/childrens-world/music/track/smithsonian</t>
  </si>
  <si>
    <t>Track listing 306</t>
  </si>
  <si>
    <t>Lullaby //SMITHSONIAN FOLKWAYS, LULLABIES OF THE WORLD (CATALOG NUMBER FW04511 / FE 4511), LUTHANIA: MOCIUTE MANO//</t>
  </si>
  <si>
    <t>I comfort you my dear child. Soon you will be asleep and nothing will disturb you. //SMITHSONIAN FOLKWAYS, LULLABIES OF THE WORLD (CATALOG NUMBER FW04511 / FE 4511), LUTHANIA: MOCIUTE MANO, FROM LINER NOTES//</t>
  </si>
  <si>
    <t>Smithsonian Folkways--&gt;Lullabies of the World (1963)--&gt;Luthania: Mociute Mano</t>
  </si>
  <si>
    <t>2/28/2018 15:16:35</t>
  </si>
  <si>
    <t>Estonia</t>
  </si>
  <si>
    <t>esto1258</t>
  </si>
  <si>
    <t>ekk</t>
  </si>
  <si>
    <t>Estonia: Tula, Tula</t>
  </si>
  <si>
    <t>https://folkways.si.edu/estonia-tula-tula/childrens-world/music/track/smithsonian</t>
  </si>
  <si>
    <t>Disk 2, Track 7</t>
  </si>
  <si>
    <t>Lullaby //SMITHSONIAN FOLKWAYS, LULLABIES OF THE WORLD (CATALOG NUMBER FW04511 / FE 4511), ESTONIA: TULA, TULA//</t>
  </si>
  <si>
    <t>Sleep my baby, sleep my child. May the angels dance in your dream and sing their sweetest songs. //SMITHSONIAN FOLKWAYS, LULLABIES OF THE WORLD (CATALOG NUMBER FW04511 / FE 4511), ESTONIA: TULA, TULA (FROM LINER NOTES)//</t>
  </si>
  <si>
    <t>Smithsonian Folkways--&gt;Lullabies of the World--&gt;Estonia: Tula, Tula</t>
  </si>
  <si>
    <t>2/28/2018 15:22:26</t>
  </si>
  <si>
    <t>Latvia</t>
  </si>
  <si>
    <t>latv1249</t>
  </si>
  <si>
    <t>lav</t>
  </si>
  <si>
    <t>Latvia: Aija anzit aija</t>
  </si>
  <si>
    <t>https://folkways.si.edu/latvia-aija-anzit-aija/childrens-world/music/track/smithsonian</t>
  </si>
  <si>
    <t>Disk 2, Track 8</t>
  </si>
  <si>
    <t>Lullaby //SMITHSONIAN FOLKWAYS, LULLABIES OF THE WORLD (CATALOG NUMBER FW04511 / FE 4511), LATVIA: AIJA ANZIT AIJA//</t>
  </si>
  <si>
    <t>Sleep my little brother, sleep softly, baby. Your sister quietly rocks you, light her hands and mild. //SMITHSONIAN FOLKWAYS, LULLABIES OF THE WORLD (CATALOG NUMBER FW04511 / FE 4511), LATVIA: AIJA ANZIT AIJA (FROM LINER NOTES)//</t>
  </si>
  <si>
    <t>Smithsonian Folkways--&gt;Lullabies of the World (1963)--&gt;Latvia: Aija anzit aija</t>
  </si>
  <si>
    <t>2/28/2018 15:26:46</t>
  </si>
  <si>
    <t>Sudan</t>
  </si>
  <si>
    <t>arab1395</t>
  </si>
  <si>
    <t>Sudan: Alundé dodo basé / Loje kiki dai / Dibiti ovajiran / Dodo pisé titi (medley)</t>
  </si>
  <si>
    <t>https://folkways.si.edu/sudan-alunde-dodo-base/loje-kiki-dai/dibiti-ovajiran/dodo-pise-titi-medley/childrens-world/music/track/smithsonian</t>
  </si>
  <si>
    <t>Disc 2, Track 14</t>
  </si>
  <si>
    <t>Lullaby //SMITHSONIAN FOLKWAYS, LULLABIES OF THE WORLD, CATALOG NUMBER FW04511 / FE 4511, SUDAN: Alundé dodo basé / Loje kiki dai / Dibiti ovajiran / Dodo pisé titi (medleY)//</t>
  </si>
  <si>
    <t>"Each of these lullabies comes from a different section of the Sudan. Each of them expresses the love and affection of the mother to her child and each of them is a prayer to the Gods for protection." //SMITHSONIAN FOLKWAYS, LULLABIES OF THE WORLD, CATALOG NUMBER FW04511 / FE 4511, SUDAN: Alundé dodo basé / Loje kiki dai / Dibiti ovajiran / Dodo pisé titi (medleY)//</t>
  </si>
  <si>
    <t>Smithsonian Folkways--&gt;Lullabies of the World--&gt;Sudan: Alundé dodo basé / Loje kiki dai / Dibiti ovajiran / Dodo pisé titi (medley)</t>
  </si>
  <si>
    <t>2/28/2018 15:33:17</t>
  </si>
  <si>
    <t>Selk'nam</t>
  </si>
  <si>
    <t>Shaman Song</t>
  </si>
  <si>
    <t>https://theglobaljukebox.org/?share=Selk'nam-T5401R08m</t>
  </si>
  <si>
    <t>shaman song</t>
  </si>
  <si>
    <t>Shaman song; healing song //GLOBAL JUKEBOX CODING ID: 3686, RELEVANT INFORMATION IN GENRE FIELD//</t>
  </si>
  <si>
    <t>For curing; sung by female shaman //GLOBAL JUKEBOX CODING ID: 3686, RELEVANT INFORMATION IN SONG DESCRIPTION FIELD//</t>
  </si>
  <si>
    <t>The link takes you directly to the culture of the song of interest, Global Jukebox asks that you first select your preferred viewing. Click on the globe, and then select the song title (Shaman Song).</t>
  </si>
  <si>
    <t>Song was unpublished before it was added to Global Jukebox.</t>
  </si>
  <si>
    <t>2/28/2018 15:41:02</t>
  </si>
  <si>
    <t>Lithuanian Lullaby</t>
  </si>
  <si>
    <t>https://folkways.si.edu/veronika-povilioniene/lithuanian-lullaby-2/central-asia-islamica-world/music/track/smithsonian</t>
  </si>
  <si>
    <t>Lullaby //SMITHSONIAN FOLKWAYS, MUSICS OF THE SOVIET UNION, CATALOG NUMBER SFW40002//</t>
  </si>
  <si>
    <t>"[...] heard singing to one of her grandchildren" //SMITHSONIAN FOLKWAYS, MUSICS OF THE SOVIET UNION, CATALOG NUMBER SFW40002 (FROM LINER NOTES)//</t>
  </si>
  <si>
    <t>Smithsonian Folkways--&gt; CD "Musics of the Soviet Union" --&gt; Lithuanian Lullaby</t>
  </si>
  <si>
    <t>2/28/2018 15:43:24</t>
  </si>
  <si>
    <t>The Forest Shook From Dancing</t>
  </si>
  <si>
    <t>https://folkways.si.edu/dzintars/the-forest-shook-from-dancing/world/music/track/smithsonian</t>
  </si>
  <si>
    <t>Dancing Song //SMITHSONIAN FOLKWAYS, SONGS OF AMBER, CATALOG NUMBER HRT15008//</t>
  </si>
  <si>
    <t>Smithsonian Folkways--&gt; CD "Songs of Amber" or "Dzintars"</t>
  </si>
  <si>
    <t>2/28/2018 15:49:08</t>
  </si>
  <si>
    <t>Curing Song 1</t>
  </si>
  <si>
    <t>https://theglobaljukebox.org/?share=Selk'nam-T5401R20</t>
  </si>
  <si>
    <t>trance song, shaman song</t>
  </si>
  <si>
    <t>Healing song; trance song; shaman song //GLOBAL JUKEBOX SOURCE ID: 3687, RELEVANT INFORMATION IN GENRE//</t>
  </si>
  <si>
    <t>Spirit song for trance; learned from her mother's brother; sung by female shaman //GLOBAL JUKEBOX SOURCE ID: 3687, RELEVANT INFORMATION IN SONG DESCRIPTION//</t>
  </si>
  <si>
    <t>The link will take you an viewing-option window. Select the globe to the left, and then global jukebox will direct you automatically to the song's culture. Scroll down to "Curing Song 1" from the list of songs on the right side of the screen.</t>
  </si>
  <si>
    <t>2/28/2018 15:51:41</t>
  </si>
  <si>
    <t>Likumu Deja (The Winding Dance)</t>
  </si>
  <si>
    <t>https://folkways.si.edu/latvian-folk-ensemble-of-new-york/likumu-deja-the-winding-dance/world/music/track/smithsonian</t>
  </si>
  <si>
    <t>Dancing Song //SMITHSONIAN FOLKWAYS, Latvian Folk Ensemble of New York, Vol. 2, CATALOG NUMBER MON00495//</t>
  </si>
  <si>
    <t>This dance is carried out by the dancers forming a line; the leader then takes them through the house, winding through corners and nooks, or even outdoors. The song ends with the humorous advice to lead a hundred-mile dance in the evening, but to save the second hundred miles for work in the morning. The melodic structl!re suggests a strong Polish influence. //SMITHSONIAN FOLKWAYS, Latvian Folk Ensemble of New York, Vol. 2, CATALOG NUMBER MON00495 (FROM LINER NOTES)//</t>
  </si>
  <si>
    <t>Latvian Folk Ensemble of New York, Vol. 2--&gt;MON00495_109</t>
  </si>
  <si>
    <t>2/28/2018 15:54:56</t>
  </si>
  <si>
    <t>Curing Song 2</t>
  </si>
  <si>
    <t>https://theglobaljukebox.org/?share=Selk'nam-T5401R21</t>
  </si>
  <si>
    <t>Healing song; shaman song //GLOBAL JUKEBOX SONG ID 3688, RELEVANT INFORMATION IN GENRE//</t>
  </si>
  <si>
    <t>Learned from her grandmother; sung by female shaman //GLOBAL JUKEBOX SONG ID 3688, RELEVANT INFORMATION IN SONG DESCRIPTION//</t>
  </si>
  <si>
    <t>The link takes you to an option screen, click on the globe. From there, you will be automatically directed to the song's culture page. Select the title of the song (Curing Song 2) from the list of songs on the right.</t>
  </si>
  <si>
    <t>2/28/2018 16:20:32</t>
  </si>
  <si>
    <t>Yolngu, North Arnhem Land</t>
  </si>
  <si>
    <t>Djarada (Love Chant)</t>
  </si>
  <si>
    <t>http://www.worldcat.org/title/australia-didjeridu-the-dharpa-songs-from-the-dreamtime-by-seachnasaigh/oclc/884167657&amp;referer=brief_results</t>
  </si>
  <si>
    <t>Love Chants //WORLDCAT OCLC#884167657 LABEL IS IN PARENTHESIS NEXT TO SONG TITLE//</t>
  </si>
  <si>
    <t>30 second sample is found at this link (separate from Worldcat) https://www.heartlandmusic.com/will-seachnasaigh-didjeridu-dharpa-songs-from-dreamtime/744457744222</t>
  </si>
  <si>
    <t>Aboriginal People of Arnhem Land</t>
  </si>
  <si>
    <t>Men's Djarada</t>
  </si>
  <si>
    <t>http://www.worldcat.org/title/arnhem-land-volumes-1-3-authentic-australian-aboriginal-songs-and-dances/oclc/892511653&amp;referer=brief_results</t>
  </si>
  <si>
    <t>Vol. 2 Track 2</t>
  </si>
  <si>
    <t>Djarada //DJARADA OR TJARADA MEANS LOVE MAGIC, SOURCE: EXPLORING THE LEGACY OF THE 1948 ARNHEM LAND EXPEDITION (THOMAS AND NEALE, 2011) PAGE 361//</t>
  </si>
  <si>
    <t>Women's Djarada</t>
  </si>
  <si>
    <t>Vol 2 Track 3</t>
  </si>
  <si>
    <t>Australian Aborigine from Arnhem Land</t>
  </si>
  <si>
    <t>Arnhem Land Lullaby</t>
  </si>
  <si>
    <t>http://www.worldcat.org/title/first-australians-songs-by-aboriginals-and-torres-strait-islanders/oclc/919458921?referer=di&amp;ht=edition</t>
  </si>
  <si>
    <t>WorldCat, AIATSIS</t>
  </si>
  <si>
    <t>Lullaby //LABEL FOUND IN WORLDCAT OCLC#919458921//</t>
  </si>
  <si>
    <t>Kimberleys, North Western Australia</t>
  </si>
  <si>
    <t>worr1236</t>
  </si>
  <si>
    <t>http://www.worldcat.org/title/didgeridoo-of-the-australian-aborigines-dream-time/oclc/503097754&amp;referer=brief_results</t>
  </si>
  <si>
    <t>Love Song // WORLDCAT OCLC#503097754 LABEL IS IN TITLE OF TRACK//</t>
  </si>
  <si>
    <t>Māori</t>
  </si>
  <si>
    <t>maor1246</t>
  </si>
  <si>
    <t>mri</t>
  </si>
  <si>
    <t>Waiata Aroha by Puhiwahine</t>
  </si>
  <si>
    <t>https://theglobaljukebox.org/?share=Maori-T5429R04</t>
  </si>
  <si>
    <t>Disc 1, Track 4</t>
  </si>
  <si>
    <t>Love song//GLOBAL JUKEBOX, CODING ID: 108 RELEVANT INFORMATION IN GENRE SECTION//".</t>
  </si>
  <si>
    <t>DIS</t>
  </si>
  <si>
    <t>Oriori: Pope e Tangi Ana Tama Ki Te Kai Mana</t>
  </si>
  <si>
    <t>https://theglobaljukebox.org/?share=Maori-T5429R03</t>
  </si>
  <si>
    <t>Lullaby //GLOBAL JUKEBOX, CODING ID 107 RELEVANT INFORMATION IN THE GENRE SECTION//</t>
  </si>
  <si>
    <t>So'to/Alt. Names: Makiritare; Maiongong; Maquiritare; Soto; Ye'kuana; Yekuana; Dekuana; Yecuana; Ye'kwana; Ye'Kuana; Yequana</t>
  </si>
  <si>
    <t>https://theglobaljukebox.org/?share=So%E2%80%99to-T5404R37m</t>
  </si>
  <si>
    <t>Lullaby//GLOBAL JUKEBOX Coding ID: 3418/Audio File ID: T5404R31 RELEVANT INFORMATION IN GENRE FIELD//</t>
  </si>
  <si>
    <t>Lullaby//GLOBAL JUKEBOX Coding ID: 3418/Audio File ID: T5404R31 RELEVANT INFORMATION IN DESCRIPTION SECTION</t>
  </si>
  <si>
    <t>//GLOBAL JUKEBOX//Coding ID: 3418/Audio File ID: T5404R31</t>
  </si>
  <si>
    <t>LAV</t>
  </si>
  <si>
    <t>So'to/Makiritare; Maiongong; Maquiritare; Soto; Ye'kuana; Yekuana; Dekuana; Yecuana; Ye'kwana; Ye'Kuana; Yequana</t>
  </si>
  <si>
    <t>Shaman Curing Ceremony</t>
  </si>
  <si>
    <t>https://theglobaljukebox.org/?share=So%E2%80%99to-T5404R39</t>
  </si>
  <si>
    <t>Shaman Curing Ceremony//GLOBAL JUKEBOX//</t>
  </si>
  <si>
    <t>Healing song; shaman song//GLOBAL JUKEBOX</t>
  </si>
  <si>
    <t>//GLOBAL JUKEBOX//Coding ID: 3427</t>
  </si>
  <si>
    <t>https://theglobaljukebox.org/?share=Pum%C3%A9-T5403R88m</t>
  </si>
  <si>
    <t>Curing Song//GLOBAL JUKEBOX//</t>
  </si>
  <si>
    <t>Shaman's curing song//GLOBAL JUKEBOX//</t>
  </si>
  <si>
    <t>//GLOBAL JUKEBOX//Coding ID: 152</t>
  </si>
  <si>
    <t>Guahibo, Alt. Names: Sikuani</t>
  </si>
  <si>
    <t>https://theglobaljukebox.org/?share=Guahibo-T5404R01m</t>
  </si>
  <si>
    <t>//GLOBAL JUKEBOX//Healing Song; sung by older woman</t>
  </si>
  <si>
    <t>//GLOBAL JUKEBOX//Coding ID: 1802</t>
  </si>
  <si>
    <t>https://theglobaljukebox.org/?share=Guahibo-T5404R03m</t>
  </si>
  <si>
    <t>//GLOBAL JUKEBOX//Dancing Song</t>
  </si>
  <si>
    <t>//GLOBAL JUKEBOX//Dance song</t>
  </si>
  <si>
    <t>//GLOBAL JUKEBOX//Coding ID: 1805</t>
  </si>
  <si>
    <t>Bankalawa Jarawa</t>
  </si>
  <si>
    <t>jara1263</t>
  </si>
  <si>
    <t>jar</t>
  </si>
  <si>
    <t>Bagobiri Bori</t>
  </si>
  <si>
    <t>https://theglobaljukebox.org/?share=Bankalawa%20Jarawa-T5460R14</t>
  </si>
  <si>
    <t>possession song</t>
  </si>
  <si>
    <t>Dance Song //CODING ID 4313 IN GLOBAL JUKEBOX, /AUDIO FILE ID T5460R14, RELEVANT TEXT IS IN THE GENRE FIELD//</t>
  </si>
  <si>
    <t>Possession dance; professional singers probably affiliated with a Muslim group in the town //CODING ID 4313 IN GLOBAL JUKEBOX, /AUDIO FILE ID T5460R14, RELEVANT TEXT IS IN THE DESCRIPTION FIELD//</t>
  </si>
  <si>
    <t>Wodaabe</t>
  </si>
  <si>
    <t>boro1274</t>
  </si>
  <si>
    <t>Danse D'Apparat</t>
  </si>
  <si>
    <t>https://theglobaljukebox.org/?share=Wodaabe-T5461R17</t>
  </si>
  <si>
    <t>Competitive Song</t>
  </si>
  <si>
    <t>Dance Song //GLOBAL JUKEBOX CODING ID 218/AUDIO FILE ID T5461R17, RELEVANT TEXT IS IN THE GENRE FIELD//</t>
  </si>
  <si>
    <t>Beauty Dance; young men's dance for beauty contest //GLOBAL JUKEBOX CODING ID 218/AUDIO FILE ID T5461R17, RELEVANT TEXT IS IN THE DESCRIPTION FIELD//</t>
  </si>
  <si>
    <t>Lullabies</t>
  </si>
  <si>
    <t>https://theglobaljukebox.org/?share=Fut-T5624R03</t>
  </si>
  <si>
    <t>Lullaby //CODING ID 420 IN GLOBAL JUKEBOX, AUDIO FILE ID 5624R03, RELEVANT TEXT IS IN THE GENRE FIELD//</t>
  </si>
  <si>
    <t>Lullaby; the mother's hand slapping against the baby is audible //CODING ID 420 IN GLOBAL JUKEBOX, AUDIO FILE ID 5624R03, RELEVANT TEXT IS IN THE DESCRIPTION FIELD//</t>
  </si>
  <si>
    <t>He Mea Aloha Ia</t>
  </si>
  <si>
    <t>https://theglobaljukebox.org/?share=Hawaii-T5429R21</t>
  </si>
  <si>
    <t>Hula; dance song //GLOBAL JUKEBOX, CODING ID 2442 RELEVANT INFORMATION IN THE GENRE SECTION//</t>
  </si>
  <si>
    <t>Hoe Puna</t>
  </si>
  <si>
    <t>https://theglobaljukebox.org/?share=Hawaii-T5429R22</t>
  </si>
  <si>
    <t>Hula; dance song //GLOBAL JUKEBOX, CODING ID 2443 RELEVANT INFORMATION IN THE GENRE SECTION//</t>
  </si>
  <si>
    <t>Tikopia</t>
  </si>
  <si>
    <t>tiko1237</t>
  </si>
  <si>
    <t>tkp</t>
  </si>
  <si>
    <t>Mori, Kafosi E</t>
  </si>
  <si>
    <t>https://theglobaljukebox.org/?share=Tikopia-T5428R53</t>
  </si>
  <si>
    <t>Dance song; men's song //GLOBAL JUKEBOX, CODING ID 209 RELEVANT INFORMATION IN THE GENRE AND DESCRIPTION SECTION//</t>
  </si>
  <si>
    <t>Samoan</t>
  </si>
  <si>
    <t>Medicinal Chant</t>
  </si>
  <si>
    <t>https://theglobaljukebox.org/?share=Samoa-T5429R43</t>
  </si>
  <si>
    <t>Healing song //GLOBAL JUKEBOX, CODING ID 4373 RELEVANT INFORMATION IN THE GENRE SECTION//</t>
  </si>
  <si>
    <t>Wheel -&gt; choose "Medicinal Chant" (T5560R19)</t>
  </si>
  <si>
    <t>Siva</t>
  </si>
  <si>
    <t>Dance Song //GLOBAL JUKEBOX, CODING ID 4375 RELEVANT INFORMATION IN THE GENRE SECTION//</t>
  </si>
  <si>
    <t>Wheel &gt; choose "Siva"</t>
  </si>
  <si>
    <t>Tongans</t>
  </si>
  <si>
    <t>tong1325</t>
  </si>
  <si>
    <t>tong1326</t>
  </si>
  <si>
    <t>ton</t>
  </si>
  <si>
    <t>Faha'iula</t>
  </si>
  <si>
    <t>https://theglobaljukebox.org/?share=Tongans-</t>
  </si>
  <si>
    <t>Dance Song //GLOBAL JUKEBOX, CODING ID 4378 RELEVANT INFORMATION IN THE GENRE SECTION//</t>
  </si>
  <si>
    <t>wheel &gt; Search "tongans" &gt; choose "Faha'iula"</t>
  </si>
  <si>
    <t>Tau' Olunga</t>
  </si>
  <si>
    <t>Dance Song //GLOBAL JUKEBOX, CODING ID 4380 RELEVANT INFORMATION IN THE GENRE SECTION//</t>
  </si>
  <si>
    <t>wheel &gt; Search "tongans" &gt; choose "Tau' Olunga"</t>
  </si>
  <si>
    <t>Tokelau</t>
  </si>
  <si>
    <t>Dance Song //GLOBAL JUKEBOX, CODING ID 4381 RELEVANT INFORMATION IN THE GENRE SECTION//</t>
  </si>
  <si>
    <t>wheel &gt; Search "tongans" &gt; choose "Tokelau"</t>
  </si>
  <si>
    <t>Dance song (sea)</t>
  </si>
  <si>
    <t>https://sounds.bl.uk/World-and-traditional-music/Firth-Tikopia/025M-C0333X0002XX-0600V0</t>
  </si>
  <si>
    <t>Dance song (sea) //BRITISH LIBRARY, R. Firth Tikopia Recordings, SHELF MARK 1CDR0001968 (COPY OF C333/2)//</t>
  </si>
  <si>
    <t>Dance of Araya / address by Robinson / Hymn</t>
  </si>
  <si>
    <t>https://sounds.bl.uk/World-and-traditional-music/Firth-Tikopia/025M-C0333X0027XX-0100V0</t>
  </si>
  <si>
    <t>Dance of Araya //BRITISH LIBRARY, R. Firth Tikopia Recordings, SHELF MARK 1CDR0001995 (COPY OF C333/27)//</t>
  </si>
  <si>
    <t>A long recording (32 min) - supposed to start with the dance</t>
  </si>
  <si>
    <t>Danse lakalaka</t>
  </si>
  <si>
    <t>http://archives.crem-cnrs.fr/archives/items/CNRSMH_E_1998_017_001_002_16/</t>
  </si>
  <si>
    <t>CD 2 Track 16</t>
  </si>
  <si>
    <t>CREM</t>
  </si>
  <si>
    <t>Danse lakalaka //TITLE ON CREM CODE CNRSMH_E_1998_017_001_002_16//</t>
  </si>
  <si>
    <t>"Le genre de danse le plus important des îles Tonga - un royaume du Pacifique Sud, et dont les habitants parlent une langue polynésienne - est le lakalaka." //ETHNOGRAPHIC CONTEXT ON CREM CODE CNRSMH_E_1998_017_001_002_16//</t>
  </si>
  <si>
    <t>Lullaby //GLOBAL JUKEBOX, CODING ID 4372 RELEVANT INFORMATION IN THE GENRE SECTION//</t>
  </si>
  <si>
    <t>Wheel &gt; choose "Lullaby"</t>
  </si>
  <si>
    <t>Children's songs</t>
  </si>
  <si>
    <t>https://sounds.bl.uk/World-and-traditional-music/Firth-Tikopia/025M-C0333X0036XX-0200V0</t>
  </si>
  <si>
    <t>Children's songs //TITLE ON BRITISH LIBRARY SHELF MARK 1CDR0002103 (COPY OF C333/36)//</t>
  </si>
  <si>
    <t>Long recording (33 min) of several children's songs</t>
  </si>
  <si>
    <t>Matavaka, Sisi Matini</t>
  </si>
  <si>
    <t>https://theglobaljukebox.org/?share=Tikopia-T5428R51</t>
  </si>
  <si>
    <t>Recreational dance; dance song ////GLOBAL JUKEBOX, CODING ID 206 RELEVANT INFORMATION IN THE GENRE AND DESCRIPTION SECTION//</t>
  </si>
  <si>
    <t>Mako Vae Rua</t>
  </si>
  <si>
    <t>https://theglobaljukebox.org/?share=Tikopia-T5428R54</t>
  </si>
  <si>
    <t>Dance song; competitive song //GLOBAL JUKEBOX, CODING ID 210 RELEVANT INFORMATION IN THE GENRE AND DESCRIPTION SECTION//</t>
  </si>
  <si>
    <t>Faka Totai</t>
  </si>
  <si>
    <t>https://theglobaljukebox.org/?share=Tikopia-T5428R56</t>
  </si>
  <si>
    <t>Children's song; game song; competitive song /GLOBAL JUKEBOX, CODING ID 212 RELEVANT INFORMATION IN THE GENRE AND DESCRIPTION SECTION//</t>
  </si>
  <si>
    <t>Work</t>
  </si>
  <si>
    <t>Cocoa Pounding Song</t>
  </si>
  <si>
    <t>http://media.theglobaljukebox.org/audio/T5402R73.mp3</t>
  </si>
  <si>
    <t>Cocoa Pounding Song //GLOBAL JUKEBOX CODING ID: 3858//</t>
  </si>
  <si>
    <t>Genre: Work song; pounding song //GLOBAL JUKEBOX CODING ID: 3858//</t>
  </si>
  <si>
    <t>Asháninka</t>
  </si>
  <si>
    <t>ajyi1238</t>
  </si>
  <si>
    <t>asha1243</t>
  </si>
  <si>
    <t>cpc</t>
  </si>
  <si>
    <t>Manioc Beer Song</t>
  </si>
  <si>
    <t>http://media.theglobaljukebox.org/audio/T5402R46.mp3</t>
  </si>
  <si>
    <t>Band 11, Side 2</t>
  </si>
  <si>
    <t>Manioc Beer Song //GLOBAL JUKEBOX CODING ID: 894//</t>
  </si>
  <si>
    <t>Manioc song; work song //GLOBAL JUKEBOX CODING ID: 894//</t>
  </si>
  <si>
    <t>Canela Krahô</t>
  </si>
  <si>
    <t>Call to Work</t>
  </si>
  <si>
    <t>http://media.theglobaljukebox.org/audio/T5403R34.mp3</t>
  </si>
  <si>
    <t>Work song; manioc song //GLOBAL JUKEBOX CODING ID: 2460//</t>
  </si>
  <si>
    <t>Call to work; ceremonial leader calls people of the village to join in and do some work, gathering manioc or similar //GLOBAL JUKEBOX CODING ID: 2460//</t>
  </si>
  <si>
    <t>Mourning</t>
  </si>
  <si>
    <t>Ceremonial Weeping</t>
  </si>
  <si>
    <t>http://media.theglobaljukebox.org/audio/T5403R45.mp3</t>
  </si>
  <si>
    <t>Ceremonial Weeping //GLOBAL JUKEBOX CODING ID: 3247//</t>
  </si>
  <si>
    <t>Mourning song; burial song //GLOBAL JUKEBOX CODING ID: 3247//</t>
  </si>
  <si>
    <t>Wayana</t>
  </si>
  <si>
    <t>waya1269</t>
  </si>
  <si>
    <t>way</t>
  </si>
  <si>
    <t>Sequabi Lamenting</t>
  </si>
  <si>
    <t>http://media.theglobaljukebox.org/audio/T5404R49.mp3</t>
  </si>
  <si>
    <t>Sequabi Lamenting //GLOBAL JUKEBOX CODING ID: 4043//</t>
  </si>
  <si>
    <t>Mourning song; lament //GLOBAL JUKEBOX CODING ID: 4043//</t>
  </si>
  <si>
    <t>Procession</t>
  </si>
  <si>
    <t>Mebiok; Processional</t>
  </si>
  <si>
    <t>http://media.theglobaljukebox.org/audio/T5403R73.mp3</t>
  </si>
  <si>
    <t>Mebiok; Processional //GLOBAL JUKEBOX CODING ID: 2380//</t>
  </si>
  <si>
    <t>Processional music; ceremonial song //GLOBAL JUKEBOX CODING ID: 2380//</t>
  </si>
  <si>
    <t>Mahafaly</t>
  </si>
  <si>
    <t>maha1309</t>
  </si>
  <si>
    <t>tswa1253</t>
  </si>
  <si>
    <t>Music of Malagasy - Drumming for a Ceremony / Music of Malagasy - Singing for Dancing (medley)</t>
  </si>
  <si>
    <t>https://folkways.si.edu/music-of-malagasy-drumming-for-a-ceremony/music-of-malagasy-singing-for-dancing-medley/central-asia-islamica-world/music/track/smithsonian</t>
  </si>
  <si>
    <t>Music of Malagasy - Drumming for a Ceremony / Music of Malagasy - Singing for Dancing (medley) //PRIMITIVE MUSIC OF THE WORLD ALBUM, SMITHSONIAN FOLKWAYS//</t>
  </si>
  <si>
    <t>AMB</t>
  </si>
  <si>
    <t>Praise</t>
  </si>
  <si>
    <t>Bahurutse</t>
  </si>
  <si>
    <t>tsn</t>
  </si>
  <si>
    <t>“Tribal Songs of Batswana: "When They Are Playing Their Whistles, Praise (Ululate) Them"”</t>
  </si>
  <si>
    <t>https://folkways.si.edu/older-children-in-nmankgodi/tribal-songs-of-batswana-when-they-are-playing-their-whistles-praise-ululate-them/world/music/track/smithsonian</t>
  </si>
  <si>
    <t>“Tribal Songs of Batswana: "When They Are Playing Their Whistles, Praise (Ululate) Them"” //TRADITIONAL MUSIC OF BOTSWANA TRACK LISTING//</t>
  </si>
  <si>
    <t>Song to Make Camels Drink</t>
  </si>
  <si>
    <t>http://media.theglobaljukebox.org/audio/T9536R10.mp3</t>
  </si>
  <si>
    <t>agricultural song</t>
  </si>
  <si>
    <t>Work song //GLOBAL JUKEBOX, CODING ID 2046, AUDIO FILE ID T9536R10//</t>
  </si>
  <si>
    <t>Song to make camels drink; work song showing the responsorial form of sub-Saharan African singers //GLOBAL JUKEBOX, CODING ID 2046, AUDIO FILE ID T9536R10//</t>
  </si>
  <si>
    <t>Global Jukebox--&gt;Afar--&gt;Song to Make Camels Drink</t>
  </si>
  <si>
    <t>Aari</t>
  </si>
  <si>
    <t>aari1239</t>
  </si>
  <si>
    <t>aiw</t>
  </si>
  <si>
    <t>Wbabi Bona Monde</t>
  </si>
  <si>
    <t>http://media.theglobaljukebox.org/audio/T30073.mp3</t>
  </si>
  <si>
    <t>Harvest song, hocket</t>
  </si>
  <si>
    <t>Work song //GLOBAL JUKEBOX, CODING ID 30073, AUDIO FILE ID T30073//</t>
  </si>
  <si>
    <t>Work song; call and response; males and females singing while harvesting barley //GLOBAL JUKEBOX, CODING ID 30073, AUDIO FILE ID T30073//</t>
  </si>
  <si>
    <t>Global Jukebox--&gt;Aari--&gt;Wbabi Bona Monde</t>
  </si>
  <si>
    <t>Bahima</t>
  </si>
  <si>
    <t>nix</t>
  </si>
  <si>
    <t>Song to Soothe a Milk Cow Whose Calf Has Just Died</t>
  </si>
  <si>
    <t>http://media.theglobaljukebox.org/audio/T5440R23.mp3</t>
  </si>
  <si>
    <t>milking song, cattle song, pastoral song</t>
  </si>
  <si>
    <t>Work song //GLOBAL JUKEBOX, CODING ID 439, AUDIO FILE ID T5440R23//</t>
  </si>
  <si>
    <t>work song; used to calm the cow so she can be milked //GLOBAL JUKEBOX, CODING ID 439, AUDIO FILE ID T5440R23//</t>
  </si>
  <si>
    <t>Global Jukebox--&gt;Bahima--&gt;Song to Soothe a Milk Cow Whose Calf Has Just Died</t>
  </si>
  <si>
    <t>Haya</t>
  </si>
  <si>
    <t>haya1250</t>
  </si>
  <si>
    <t>hay</t>
  </si>
  <si>
    <t>Ali Majengo</t>
  </si>
  <si>
    <t>http://media.theglobaljukebox.org/audio/T5559R18.mp3</t>
  </si>
  <si>
    <t>boat song, paddling song</t>
  </si>
  <si>
    <t>Work song //GLOBAL JUKEBOX, CODING ID 9120, AUDIO FILE ID T5559R18//</t>
  </si>
  <si>
    <t>paddling song accompanied by a conical shaped drum and clapping //GLOBAL JUKEBOX, CODING ID 9120, AUDIO FILE ID T5559R18//</t>
  </si>
  <si>
    <t>Global Jukebox--&gt;Haya--&gt;Ali Majengo</t>
  </si>
  <si>
    <t>Hehe</t>
  </si>
  <si>
    <t>Lipwani Lyaliswangawantu</t>
  </si>
  <si>
    <t>http://media.theglobaljukebox.org/audio/T5441R28.mp3</t>
  </si>
  <si>
    <t>Work song //GLOBAL JUKEBOX, CODING ID 2693, AUDIO FILE ID T5441R28//</t>
  </si>
  <si>
    <t>Agricultural work song //GLOBAL JUKEBOX, CODING ID 2693, AUDIO FILE ID T5441R28//</t>
  </si>
  <si>
    <t>Global Jukebox--&gt;Hehe--&gt;Lipwani Lyaliswangawantu</t>
  </si>
  <si>
    <t>Hassiss</t>
  </si>
  <si>
    <t>http://media.theglobaljukebox.org/audio/T5625R19m.mp3</t>
  </si>
  <si>
    <t>wedding song</t>
  </si>
  <si>
    <t>Processional music //GLOBAL JUKEBOX, CODING ID 4220, AUDIO FILE ID T5625R19m//</t>
  </si>
  <si>
    <t>a procession of a groom and his friends play at whipping each other //GLOBAL JUKEBOX, CODING ID 4220, AUDIO FILE ID T5625R19m//</t>
  </si>
  <si>
    <t>Global Jukebox--&gt;Hamar--&gt;Hassiss</t>
  </si>
  <si>
    <t>Dizi</t>
  </si>
  <si>
    <t>dizi1235</t>
  </si>
  <si>
    <t>mdx</t>
  </si>
  <si>
    <t>Wedding Music</t>
  </si>
  <si>
    <t>http://media.theglobaljukebox.org/audio/T5553R06.mp3</t>
  </si>
  <si>
    <t>Processional music //GLOBAL JUKEBOX, CODING ID 9423, AUDIO FILE ID T5553R06//</t>
  </si>
  <si>
    <t>performed in procession //GLOBAL JUKEBOX, CODING ID 9423, AUDIO FILE ID T5553R06//</t>
  </si>
  <si>
    <t>Global Jukebox--&gt;Dizi--&gt;Wedding Music</t>
  </si>
  <si>
    <t>Tukhongine Tulauya</t>
  </si>
  <si>
    <t>http://media.theglobaljukebox.org/audio/T5441R24.mp3</t>
  </si>
  <si>
    <t>Mourning song //GLOBAL JUKEBOX, CODING ID 2688, AUDIO FILE ID T5441R24//</t>
  </si>
  <si>
    <t>Global Jukebox--&gt;Hehe--&gt;Tukhongine Tulauya</t>
  </si>
  <si>
    <t>Story</t>
  </si>
  <si>
    <t>Gamo</t>
  </si>
  <si>
    <t>gamo1243</t>
  </si>
  <si>
    <t>hama1243</t>
  </si>
  <si>
    <t>gmv</t>
  </si>
  <si>
    <t>Gamo Story</t>
  </si>
  <si>
    <t>http://media.theglobaljukebox.org/audio/T5553R31.mp3</t>
  </si>
  <si>
    <t>narrative song, song for royalty</t>
  </si>
  <si>
    <t>Story song //GLOBAL JUKEBOX, CODING ID 4354, AUDIO FILE ID T5553R31//</t>
  </si>
  <si>
    <t>Man telling story with audience interjections //GLOBAL JUKEBOX, CODING ID 4354, AUDIO FILE ID T5553R31//</t>
  </si>
  <si>
    <t>Global Jukebox--&gt;Gamo--&gt;Gamo Story</t>
  </si>
  <si>
    <t>Narrative Song</t>
  </si>
  <si>
    <t>http://media.theglobaljukebox.org/audio/T5440R24.mp3</t>
  </si>
  <si>
    <t>Narrative song //GLOBAL JUKEBOX, CODING ID 438, AUDIO FILE ID T5440R24//</t>
  </si>
  <si>
    <t>Narrative song from the kraal //GLOBAL JUKEBOX, CODING ID 438, AUDIO FILE ID T5440R24//</t>
  </si>
  <si>
    <t>Global Jukebox--&gt;Bahima--&gt;Narrative Song</t>
  </si>
  <si>
    <t>Embrukoi Ongisho</t>
  </si>
  <si>
    <t>http://media.theglobaljukebox.org/audio/T5438R22.mp3</t>
  </si>
  <si>
    <t>cattle song</t>
  </si>
  <si>
    <t>Narrative Song //GLOBAL JUKEBOX, CODING ID 2290, AUDIO FILE ID T5438R22//</t>
  </si>
  <si>
    <t>song in narrative style //GLOBAL JUKEBOX, CODING ID 2290, AUDIO FILE ID T5438R22//</t>
  </si>
  <si>
    <t>Global Jukebox--&gt;Maasai-Arusi--&gt;Embrukoi Ongisho</t>
  </si>
  <si>
    <t>Praise of King</t>
  </si>
  <si>
    <t>http://media.theglobaljukebox.org/audio/T5561R04.mp3</t>
  </si>
  <si>
    <t>Responsorial song; song about leadership; song for royalty</t>
  </si>
  <si>
    <t>Praise song //GLOBAL JUKEBOX, CODING ID 9976, AUDIO FILE ID T5561R04//</t>
  </si>
  <si>
    <t>Global Jukebox--&gt;Ajuran--&gt;Praise of King</t>
  </si>
  <si>
    <t>Praise Song to Nazir Mansour of Hamar</t>
  </si>
  <si>
    <t>http://media.theglobaljukebox.org/audio/T5625R14m.mp3</t>
  </si>
  <si>
    <t>Praise song //GLOBAL JUKEBOX, CODING ID 4224, AUDIO FILE ID T5625R14m//</t>
  </si>
  <si>
    <t>Praise song to Nazir //GLOBAL JUKEBOX, CODING ID 4224, AUDIO FILE ID T5625R14m//</t>
  </si>
  <si>
    <t>Global Jukebox--&gt;Hamar--&gt;Praise Song to Nazir Mansour of Hamar</t>
  </si>
  <si>
    <t>Song of Praise 'Eritrea'</t>
  </si>
  <si>
    <t>http://media.theglobaljukebox.org/audio/T45020.mp3</t>
  </si>
  <si>
    <t>song about leadership; song for royalty</t>
  </si>
  <si>
    <t>Praise song //GLOBAL JUKEBOX, CODING ID 708, AUDIO FILE ID T45020//</t>
  </si>
  <si>
    <t>"The Son of Ras Makonnen will feed us/ His justice is like that of an angel/ May God give long life to Haile Selassie/ the child of our country" //GLOBAL JUKEBOX, CODING ID 708, AUDIO FILE ID T45020//</t>
  </si>
  <si>
    <t>Global Jukebox--&gt;Amhara--&gt;Song of Praise 'Eritrea'</t>
  </si>
  <si>
    <t>Song for the Emperor</t>
  </si>
  <si>
    <t>http://media.theglobaljukebox.org/audio/T5523R23.mp3</t>
  </si>
  <si>
    <t>Praise Song //GLOBAL JUKEBOX, CODING ID 9208, AUDIO FILE ID T5523R23//</t>
  </si>
  <si>
    <t>Song praising the Emperor Haile Selassie //GLOBAL JUKEBOX, CODING ID 9208, AUDIO FILE ID T5523R23//</t>
  </si>
  <si>
    <t>Global Jukebox--&gt;Amhara--&gt;Song for the Emperor</t>
  </si>
  <si>
    <t>Kipsigis</t>
  </si>
  <si>
    <t>kips1239</t>
  </si>
  <si>
    <t>sgc</t>
  </si>
  <si>
    <t>Kang'et Chorwet</t>
  </si>
  <si>
    <t>http://media.theglobaljukebox.org/audio/T9527R69.mp3</t>
  </si>
  <si>
    <t>Praise song //GLOBAL JUKEBOX, CODING ID 9456, AUDIO FILE ID T9527R69//</t>
  </si>
  <si>
    <t>Praise song with lyre //GLOBAL JUKEBOX, CODING ID 9456, AUDIO FILE ID T9527R69//</t>
  </si>
  <si>
    <t>Global Jukebox--&gt;Kipsigis--&gt;Kang'et Chorwet</t>
  </si>
  <si>
    <t>Chagga</t>
  </si>
  <si>
    <t>moch1256</t>
  </si>
  <si>
    <t>chag1250</t>
  </si>
  <si>
    <t>old</t>
  </si>
  <si>
    <t>Lenga he</t>
  </si>
  <si>
    <t>http://media.theglobaljukebox.org/audio/T5441R21.mp3</t>
  </si>
  <si>
    <t>party song; song about leadership; chief's song</t>
  </si>
  <si>
    <t>Praise song //GLOBAL JUKEBOX, CODING ID 1905, AUDIO FILE ID T5441R21//</t>
  </si>
  <si>
    <t>Party song used as praise song for chief //GLOBAL JUKEBOX, CODING ID 1905, AUDIO FILE ID T5441R21//</t>
  </si>
  <si>
    <t>Global Jukebox--&gt;Chagga--&gt;Lenga he</t>
  </si>
  <si>
    <t>Jie</t>
  </si>
  <si>
    <t>jiee1239</t>
  </si>
  <si>
    <t>Ho lokollel i yo ob</t>
  </si>
  <si>
    <t>https://sounds.bl.uk/World-and-traditional-music/Peter-Cooke-Uganda/025M-C0023X0018XX-3000V0</t>
  </si>
  <si>
    <t>Marriage song //BRITISH LIBRARY, PETER COOKE UGANDA COLLECTION, SHELF MARK C23/18, HO LOLOLLEL I YO OB//</t>
  </si>
  <si>
    <t>performed when dowry is brought //BRITISH LIBRARY, PETER COOKE UGANDA COLLECTION, SHELF MARK C23/18, HO LOLOLLEL I YO OB//</t>
  </si>
  <si>
    <t>British Library--&gt;Peter Cooke Uganda Collection--&gt;Ho lokollel i yo ob</t>
  </si>
  <si>
    <t>Ma'di</t>
  </si>
  <si>
    <t>madi1260</t>
  </si>
  <si>
    <t>mhi</t>
  </si>
  <si>
    <t>Lowi zi bara alu alu. Jale a dri kwa ni olere dro</t>
  </si>
  <si>
    <t>https://sounds.bl.uk/World-and-traditional-music/Peter-Cooke-Uganda/025M-C0023X0022XX-1000V0</t>
  </si>
  <si>
    <t>Story song //BRITISH LIBRARY, PETER COOKE UGANDA COLLECTION, SHELF MARK C23/22, LOWI ZI BARA ALU ALU//</t>
  </si>
  <si>
    <t>Jale was son of a Sudanese woman - he was eaten by a hyena; the woman found his forearm - sang this song and a herdsman found the bone and made a flute from it. //BRITISH LIBRARY, PETER COOKE UGANDA COLLECTION, SHELF MARK C23/22, LOWI ZI BARA ALU ALU//</t>
  </si>
  <si>
    <t>British Library--&gt;Peter Cooke Uganda Collection--&gt;Lowi zi bara alu alu. Jale a dri kwa ni olere dro</t>
  </si>
  <si>
    <t>Kilamilamak ngamuk - Now that he has cast his sandals</t>
  </si>
  <si>
    <t>https://sounds.bl.uk/World-and-traditional-music/Ken-Gourlay-Uganda/025M-C0105X0010XX-1300V0</t>
  </si>
  <si>
    <t>A general song (JIE) sung by women to praise a man, especially if he has been away for some time //BRITISH LIBRARY, KENNETH GOURLAY UGANDA COLLECTION, SHELF MARK 2CDR0006137 (copy of C105/10) KILAMILAMAK NGAMUK//</t>
  </si>
  <si>
    <t>Ayeoye toesitoken - O leave (the sorghum) to ripen</t>
  </si>
  <si>
    <t>https://sounds.bl.uk/World-and-traditional-music/Ken-Gourlay-Uganda/025M-C0105X0010XX-1700V0</t>
  </si>
  <si>
    <t>The lyrics made it clear to me what type of song this is</t>
  </si>
  <si>
    <t>O leave (the sorghum) to ripen //BRITISH LIBRARY, KENNETH GOOURLAY UGANDA COLLECTION, SHELF MARK 2CDR0006137 (copy of C105/10), AYEIYE TOESITOKEN//</t>
  </si>
  <si>
    <t>Amapoyisa Ahlal' Esangweni</t>
  </si>
  <si>
    <t>http://media.theglobaljukebox.org/audio/T5445R07.mp3</t>
  </si>
  <si>
    <t>Wedding</t>
  </si>
  <si>
    <t>Wedding song //GLOBAL JUKEBOX//</t>
  </si>
  <si>
    <t>The Police at the Gate; wedding song with sticks; Zwelitsha was created in 1947 as corridor township to King William's Town to provide factory labor //GLOBAL JUKEBOX//</t>
  </si>
  <si>
    <t>I Qhude Lo Kusa</t>
  </si>
  <si>
    <t>http://media.theglobaljukebox.org/audio/T5449R01.mp3</t>
  </si>
  <si>
    <t>Dance song; hymn; animal song //CODING ID 290 IN GLOBAL JUKEBOX, GENRE FIELD//</t>
  </si>
  <si>
    <t>The Cock That Crows at Dawn; dance song; Zulu hymn for Christian dancing, by men and women of the Shembe Church //CODING ID 290 GLOBAL JUKEBOX, DESCRIPTION FIELD//</t>
  </si>
  <si>
    <t>Xhosa Ngq</t>
  </si>
  <si>
    <t>xesi1238</t>
  </si>
  <si>
    <t>xhos1239</t>
  </si>
  <si>
    <t>Mhlalo</t>
  </si>
  <si>
    <t>http://media.theglobaljukebox.org/audio/T5449R35.mp3</t>
  </si>
  <si>
    <t>Dance song; party song //GLOBAL JUKEBOX CODING ID 273 GENRE FIELD//</t>
  </si>
  <si>
    <t>Mhlahlo is the name of a dance; Party song for young people; recorded at Released Area 32 //GLOBAL JUKEBOX CODING ID 273 DESCRIPTION FIELD//</t>
  </si>
  <si>
    <t>Intsimbi Ka Ntsikana</t>
  </si>
  <si>
    <t>http://media.theglobaljukebox.org/audio/T5451R11.mp3</t>
  </si>
  <si>
    <t>Wedding/religious/community gathering song</t>
  </si>
  <si>
    <t>Wedding song; religious song; chant; song for community gathering //GLOBAL JUKEBOX CODING ID 274, GENRE FIELD//</t>
  </si>
  <si>
    <t>Religious descriptive chant; originally a wedding song; Ntsikan's Bells and Song; used to gather people for worship at a hut; Zwelitsha Choir //GLOBAL JUKEBOX CODING ID 274, DESCRIPTION FIELD//</t>
  </si>
  <si>
    <t>Xhosa</t>
  </si>
  <si>
    <t>Tula Mtwana</t>
  </si>
  <si>
    <t>http://media.theglobaljukebox.org/audio/T5446R04.mp3</t>
  </si>
  <si>
    <t>Lullaby //GLOBAL JUKEBOX CODING ID 2095, GENRE FIELD//</t>
  </si>
  <si>
    <t>Lullaby; Hush, Baby; group of Qwathi women; recorded at Chief Mayeze Delarile's Location //GLOBAL JUKEBOX CODING ID 2095, DESCRIPTION FIELD//</t>
  </si>
  <si>
    <t>3/13/2018 17:34:53</t>
  </si>
  <si>
    <t>Pondo</t>
  </si>
  <si>
    <t>mpon1252</t>
  </si>
  <si>
    <t>pond1249</t>
  </si>
  <si>
    <t>Lamnandi Ugolohlanq</t>
  </si>
  <si>
    <t>http://media.theglobaljukebox.org/audio/T5452R25.mp3</t>
  </si>
  <si>
    <t>Praise song //GLOBAL JUKEBOX CODING ID 276, GENRE FIELD//</t>
  </si>
  <si>
    <t>Praise song; That Has Fetched This Person; composed by Nomaswiti Citaumvano; recorded at Miss Carter's store //GLOBAL JUKEBOX CODING ID 276, DESCRIPTION FIELD//</t>
  </si>
  <si>
    <t>3/13/2018 17:39:44</t>
  </si>
  <si>
    <t>Sotho</t>
  </si>
  <si>
    <t>sout2807</t>
  </si>
  <si>
    <t>soth1252</t>
  </si>
  <si>
    <t>sot</t>
  </si>
  <si>
    <t>Haopala Pitsi</t>
  </si>
  <si>
    <t>http://media.theglobaljukebox.org/audio/T5450R20.mp3</t>
  </si>
  <si>
    <t>Work song //GLOBAL JUKEBOX CODING ID 281 GENRE FIELD//</t>
  </si>
  <si>
    <t>No One Can Run in Front of a Horse; Traditional work song to accompany the braying of skins; recorded at the Headquarters of Chief Moshesh //GLOBAL JUKEBOX CODING ID 281 DESCRIPTION FIELD//</t>
  </si>
  <si>
    <t>3/13/2018 17:44:13</t>
  </si>
  <si>
    <t>Fon</t>
  </si>
  <si>
    <t>finn1241</t>
  </si>
  <si>
    <t>Whissegnikon, Ei Dana</t>
  </si>
  <si>
    <t>https://theglobaljukebox.org/?share=Fon-T5459R32</t>
  </si>
  <si>
    <t>Ceremonial song</t>
  </si>
  <si>
    <t>Dance song//GLOBAL JUKEBOX CODING ID 2198/AUDIO FILE ID T5459R32, RELEVANT TEXT IS IN THE GENRE FIELD//</t>
  </si>
  <si>
    <t>Dance song; women's recitation; court ceremonial music//GLOBAL JUKEBOX CODING ID 2198/AUDIO FILE ID T5459R32, RELEVANT TEXT IS IN THE DESCRIPTION FIELD//</t>
  </si>
  <si>
    <t>3/13/2018 17:57:08</t>
  </si>
  <si>
    <t>tulu1258</t>
  </si>
  <si>
    <t>Recreational Song at Festival 1</t>
  </si>
  <si>
    <t>https://theglobaljukebox.org/?share=Baoul%C3%A9-T5459R26</t>
  </si>
  <si>
    <t>Recreational Dance, Festival Song</t>
  </si>
  <si>
    <t>Recreational dance; dance song; festival song //GLOBAL JUKEBOX CODING ID 457//AUDIO FILE ID T5459R26, RELEVANT TEXT IS IN THE GENRE FIELD//</t>
  </si>
  <si>
    <t>Recreational, non-ceremonial song; first song of the Festival //GLOBAL JUKEBOX CODING ID 457//AUDIO FILE ID T5459R26, RELEVANT TEXT IS IN THE DESCRIPTION FIELD//</t>
  </si>
  <si>
    <t>3/15/2018 18:20:21</t>
  </si>
  <si>
    <t>Mangareva</t>
  </si>
  <si>
    <t>mang1401</t>
  </si>
  <si>
    <t>mrv</t>
  </si>
  <si>
    <t>Kapa Rata</t>
  </si>
  <si>
    <t>https://theglobaljukebox.org/?share=Mangareva-T5429R33</t>
  </si>
  <si>
    <t>Kapa; story song //GLOBAL JUKEBOX, CODING ID 2604 RELEVANT INFORMATION IN THE GENRE SECTION//</t>
  </si>
  <si>
    <t>3/16/2018 17:04:25</t>
  </si>
  <si>
    <t>Makai Kauai</t>
  </si>
  <si>
    <t>https://theglobaljukebox.org/?share=Hawaii-T5430R01</t>
  </si>
  <si>
    <t>Chant; praise song //GLOBAL JUKEBOX, CODING ID 99 RELEVANT INFORMATION IN THE GENRE AND DESCRIPTION SECTION//</t>
  </si>
  <si>
    <t>3/16/2018 17:11:28</t>
  </si>
  <si>
    <t>Mele No Kapiolani</t>
  </si>
  <si>
    <t>https://theglobaljukebox.org/?share=Hawaii-T5429R16</t>
  </si>
  <si>
    <t>Song about leadership; song for royalty //GLOBAL JUKEBOX, CODING ID 100 RELEVANT INFORMATION IN THE GENRE AND DESCRIPTION SECTION//</t>
  </si>
  <si>
    <t>3/16/2018 17:14:53</t>
  </si>
  <si>
    <t>Cook Island</t>
  </si>
  <si>
    <t>raro1241</t>
  </si>
  <si>
    <t>Aytookietanga Tyuny Tyoonga 1</t>
  </si>
  <si>
    <t>https://theglobaljukebox.org/?share=Cook%20Island-T5430R54</t>
  </si>
  <si>
    <t>Work song; boat song //GLOBAL JUKEBOX, CODING ID 1795 RELEVANT INFORMATION IN THE GENRE SECTION//</t>
  </si>
  <si>
    <t>3/16/2018 17:30:43</t>
  </si>
  <si>
    <t>Ute</t>
  </si>
  <si>
    <t>https://theglobaljukebox.org/?share=Cook%20Island-T5430R56</t>
  </si>
  <si>
    <t>Building song; celebratory song //GLOBAL JUKEBOX, CODING ID 1794 RELEVANT INFORMATION IN THE GENRE AND DESCRIPTION SECTION//</t>
  </si>
  <si>
    <t>3/16/2018 17:35:31</t>
  </si>
  <si>
    <t>Maori</t>
  </si>
  <si>
    <t>Te To O Tainui</t>
  </si>
  <si>
    <t>https://theglobaljukebox.org/?share=Maori-T5429R05</t>
  </si>
  <si>
    <t>Boat song; work song; hauling song; chantey //GLOBAL JUKEBOX, CODING ID 106 RELEVANT INFORMATION IN THE GENRE SECTION//</t>
  </si>
  <si>
    <t>3/16/2018 17:38:13</t>
  </si>
  <si>
    <t>Kati Ra E Koro Te Takoto I Raro Ra</t>
  </si>
  <si>
    <t>https://theglobaljukebox.org/?share=Maori-T5429R09</t>
  </si>
  <si>
    <t>Lament; mourning song; chant; song about leadership //GLOBAL JUKEBOX, CODING ID 1231 RELEVANT INFORMATION IN THE GENRE AND DESCRIPTION SECTION//</t>
  </si>
  <si>
    <t>3/16/2018 17:42:26</t>
  </si>
  <si>
    <t>Paddling Song</t>
  </si>
  <si>
    <t>Work song; boat song; paddling song //GLOBAL JUKEBOX, CODING ID 4374 RELEVANT INFORMATION IN THE GENRE AND DESCRIPTION SECTION//</t>
  </si>
  <si>
    <t>wheel&gt;choose "paddling song"</t>
  </si>
  <si>
    <t>3/16/2018 17:49:36</t>
  </si>
  <si>
    <t>Men's Praise Song</t>
  </si>
  <si>
    <t>Praise song; men's song; responsorial song //GLOBAL JUKEBOX, CODING ID 4376 RELEVANT INFORMATION IN THE GENRE AND DESCRIPTION SECTION//</t>
  </si>
  <si>
    <t>wheel&gt;choose "Men's Praise Song"</t>
  </si>
  <si>
    <t>3/16/2018 17:52:15</t>
  </si>
  <si>
    <t>Colombian Coastal Folk</t>
  </si>
  <si>
    <t>El Brazo de La Ruana</t>
  </si>
  <si>
    <t>https://theglobaljukebox.org/?share=Colombian%20Coastal%20Folk-T5481R02</t>
  </si>
  <si>
    <t>Dance//GLOBAL JUKEBOX//</t>
  </si>
  <si>
    <t>Dance Song//GLOBAL JUKEBOX Coding ID: 3889, Audio File ID: T5481R02 RELEVANT INFO IN GENRE FIELD//</t>
  </si>
  <si>
    <t>3/17/2018 19:06:32</t>
  </si>
  <si>
    <t>Cumbia</t>
  </si>
  <si>
    <t>https://theglobaljukebox.org/?share=Colombian%20Coastal%20Folk-T5481R04</t>
  </si>
  <si>
    <t>Dance Song//GLOBAL JUKEBOX Coding ID: 3891, Audio File ID: T5481R04 RELEVANT INFO IN GENRE FIELD//</t>
  </si>
  <si>
    <t>3/17/2018 19:12:51</t>
  </si>
  <si>
    <t>Tau'a'alo</t>
  </si>
  <si>
    <t>Work song //GLOBAL JUKEBOX, CODING ID 4377 RELEVANT INFORMATION IN THE GENRE AND DESCRIPTION SECTION//</t>
  </si>
  <si>
    <t>wheel&gt; search "tongans" &gt; choose "Tau'a'alo"</t>
  </si>
  <si>
    <t>3/18/2018 3:39:00</t>
  </si>
  <si>
    <t>Nave, Ne Kau Sakenia</t>
  </si>
  <si>
    <t>https://theglobaljukebox.org/?share=Tikopia-T5428R58</t>
  </si>
  <si>
    <t>Funeral song; dirge //GLOBAL JUKEBOX, CODING ID 203 RELEVANT INFORMATION IN THE GENRE AND DESCRIPTION SECTION//</t>
  </si>
  <si>
    <t>3/18/2018 3:43:14</t>
  </si>
  <si>
    <t>Fuatanga</t>
  </si>
  <si>
    <t>https://theglobaljukebox.org/?share=Tikopia-T5428R57</t>
  </si>
  <si>
    <t>Funeral song; dirge //GLOBAL JUKEBOX, CODING ID 204 RELEVANT INFORMATION IN THE GENRE AND DESCRIPTION SECTION//</t>
  </si>
  <si>
    <t>3/18/2018 4:22:33</t>
  </si>
  <si>
    <t>Song From an Auga Soro (of a Taumako Chief, Feast to Praise the Gods)</t>
  </si>
  <si>
    <t>https://theglobaljukebox.org/?share=Tikopia-T5428R60</t>
  </si>
  <si>
    <t>Dirge; ritual song; chief's song; feast song; praise song //GLOBAL JUKEBOX, CODING ID 205 RELEVANT INFORMATION IN THE GENRE AND DESCRIPTION SECTION//</t>
  </si>
  <si>
    <t>3/18/2018 4:25:51</t>
  </si>
  <si>
    <t>Funeral Dirge</t>
  </si>
  <si>
    <t>https://theglobaljukebox.org/?share=Tikopia-T5428R59</t>
  </si>
  <si>
    <t>Funeral song; dirge //GLOBAL JUKEBOX, CODING ID 2534 RELEVANT INFORMATION IN THE GENRE AND DESCRIPTION SECTION//</t>
  </si>
  <si>
    <t>3/18/2018 4:28:40</t>
  </si>
  <si>
    <t>Tangi Kai (narrative song)</t>
  </si>
  <si>
    <t>https://sounds.bl.uk/World-and-traditional-music/Firth-Tikopia/025M-C0333X0004XX-0300V0</t>
  </si>
  <si>
    <t>narrative song //BRITISH LIBRARY, RAYMOND FIRTH TIKOPIA COLLECTION SHELF MARK 1CDR0001969 (COPY OF C333/4)//</t>
  </si>
  <si>
    <t>3/18/2018 4:43:20</t>
  </si>
  <si>
    <t>Ko te arofa e evaeva</t>
  </si>
  <si>
    <t>https://sounds.bl.uk/World-and-traditional-music/Firth-Tikopia/025M-C0333X0002XX-0300V0</t>
  </si>
  <si>
    <t>Item note: Funeral Dirge //DESCRIPTION IN BRITISH LIBRARY RAYMOND FIRTH TIKOPIA COLLECTION SHELF MARK 1CDR0001968 (COPY OF C333/2)//</t>
  </si>
  <si>
    <t>3/18/2018 4:53:29</t>
  </si>
  <si>
    <t>Chukot Inuit (not listed in HRAF)</t>
  </si>
  <si>
    <t>chuk1272</t>
  </si>
  <si>
    <t>Sailing Under Sails</t>
  </si>
  <si>
    <t>http://media.theglobaljukebox.org/audio/T5410R52m.mp3</t>
  </si>
  <si>
    <t>Dance song (//CODING ID 2862 IN GLOBAL JUKEBOX, RELEVANT TEXT IS IN THE DESCRIPTION FIELD//)</t>
  </si>
  <si>
    <t>3/19/2018 11:39:05</t>
  </si>
  <si>
    <t>PKH</t>
  </si>
  <si>
    <t>Jocular Song</t>
  </si>
  <si>
    <t>http://media.theglobaljukebox.org/audio/T5411R15m.mp3</t>
  </si>
  <si>
    <t>comic song</t>
  </si>
  <si>
    <t>Comic song; dance song; jocular song (// CODING ID 2885 IN GLOBAL JUKEBOX, RELEVANT TEXT IS IN THE DESCRIPTION FIELD//)</t>
  </si>
  <si>
    <t>3/19/2018 11:46:41</t>
  </si>
  <si>
    <t>Koryaks</t>
  </si>
  <si>
    <t>kory1246</t>
  </si>
  <si>
    <t>kpy</t>
  </si>
  <si>
    <t>http://media.theglobaljukebox.org/audio/T5411R20.mp3</t>
  </si>
  <si>
    <t>Dance song (// Coding ID: 3701 IN GLOBAL JUKEBOX, RELEVANT TEXT IS IN THE DESCRIPTION FIELD//)</t>
  </si>
  <si>
    <t>3/19/2018 11:50:24</t>
  </si>
  <si>
    <t>Song of Comfort for Child</t>
  </si>
  <si>
    <t>http://media.theglobaljukebox.org/audio/T40015R02.mp3</t>
  </si>
  <si>
    <t>Lullaby; song of comfort (// Coding ID: 2919 IN GLOBAL JUKEBOX, RELEVANT TEXT IS IN THE DESCRIPTION FIELD//)</t>
  </si>
  <si>
    <t>3/19/2018 12:00:40</t>
  </si>
  <si>
    <t>Orok (not listed in HRAF)</t>
  </si>
  <si>
    <t>orok1265</t>
  </si>
  <si>
    <t>oaa</t>
  </si>
  <si>
    <t>http://media.theglobaljukebox.org/audio/T5411R46.mp3</t>
  </si>
  <si>
    <t>Lullaby //GLOBAL JUKEBOX CODING ID 1036//</t>
  </si>
  <si>
    <t>3/19/2018 12:03:27</t>
  </si>
  <si>
    <t>Yukaghir</t>
  </si>
  <si>
    <t>nort2745</t>
  </si>
  <si>
    <t>yuka1259</t>
  </si>
  <si>
    <t>ykg</t>
  </si>
  <si>
    <t>Londol 1</t>
  </si>
  <si>
    <t>http://media.theglobaljukebox.org/audio/T5410R48.mp3</t>
  </si>
  <si>
    <t>Dance song //GLOBAL JUKEBOX CODING ID 3648//</t>
  </si>
  <si>
    <t>3/19/2018 12:13:37</t>
  </si>
  <si>
    <t>Yakut</t>
  </si>
  <si>
    <t>yaku1245</t>
  </si>
  <si>
    <t>sah</t>
  </si>
  <si>
    <t>Uluu Elienini Uruiduubun</t>
  </si>
  <si>
    <t>http://media.theglobaljukebox.org/audio/T5410R43.mp3</t>
  </si>
  <si>
    <t>Mourning song (//Coding ID: 3479 IN GLOBAL JUKEBOX, RELEVANT TEXT IS IN THE DESCRIPTION FIELD//)</t>
  </si>
  <si>
    <t>3/19/2018 12:18:18</t>
  </si>
  <si>
    <t>mala1537</t>
  </si>
  <si>
    <t>Tsikidola</t>
  </si>
  <si>
    <t>http://media.theglobaljukebox.org/audio/T5458R03.mp3</t>
  </si>
  <si>
    <t>na</t>
  </si>
  <si>
    <t>Healing song; ceremonial song; prison song //GLOBAL JUKEBOX CODING ID 2181, GENRE FIELD//</t>
  </si>
  <si>
    <t>Traditional bilo healing ceremony song; new text; The Bull Is a Grand Animal, But It Doesn't Know How to Talk; prisoners at Tulear Prison //GLOBAL JUKEBOX CODING ID 2181, DESCRIPTION FIELD//</t>
  </si>
  <si>
    <t>3/19/2018 18:45:53</t>
  </si>
  <si>
    <t>Sakalava</t>
  </si>
  <si>
    <t>saka1291</t>
  </si>
  <si>
    <t>skg</t>
  </si>
  <si>
    <t>Healing Ceremony Song</t>
  </si>
  <si>
    <t>http://media.theglobaljukebox.org/audio/T5457R03.mp3</t>
  </si>
  <si>
    <t>Healing song; ceremonial song //GLOBAL JUKEBOX CODING ID 25, GENRE FIELD//</t>
  </si>
  <si>
    <t>Noise and bustle of a crowd mixed with the firing of gunshots used to drive away evil spirits //GLOBAL JUKEBOX CODING ID 25, DESCRIPTION FIELD//</t>
  </si>
  <si>
    <t>3/19/2018 18:49:34</t>
  </si>
  <si>
    <t>!Kung</t>
  </si>
  <si>
    <t>juho1239</t>
  </si>
  <si>
    <t>kung1260</t>
  </si>
  <si>
    <t>ktz</t>
  </si>
  <si>
    <t>Giraffe Song 1</t>
  </si>
  <si>
    <t>http://media.theglobaljukebox.org/audio/T5438R27.mp3</t>
  </si>
  <si>
    <t>Healing song; ceremonial song; dance song //GLOBAL JUKEBOX CODING ID 244, GENRE FIELD//</t>
  </si>
  <si>
    <t>Curing ceremony dance song //GLOBAL JUKEBOX CODING ID 244, DESCRIPTION FIELD//</t>
  </si>
  <si>
    <t>3/19/2018 18:53:11</t>
  </si>
  <si>
    <t>game song</t>
  </si>
  <si>
    <t>http://ampm.auckland.ac.nz/handle/id/91426</t>
  </si>
  <si>
    <t>Archive of Māori and Pacific Music</t>
  </si>
  <si>
    <t>game song //AMPM accession number 15/074.07//</t>
  </si>
  <si>
    <t>http://gofile.me/3T2hs/rcIDlDszB</t>
  </si>
  <si>
    <t>3/20/2018 5:30:07</t>
  </si>
  <si>
    <t>Bamum</t>
  </si>
  <si>
    <t>bamu1253</t>
  </si>
  <si>
    <t>bamu1255</t>
  </si>
  <si>
    <t>bax</t>
  </si>
  <si>
    <t>Danse des Princes et des Princesses de la Famille Royale</t>
  </si>
  <si>
    <t>https://theglobaljukebox.org/?share=Ouldeme-T30145</t>
  </si>
  <si>
    <t>SIDE B, TRACK 5</t>
  </si>
  <si>
    <t>Funeral song</t>
  </si>
  <si>
    <t>Funeral song; dance song; song for royalty //GLOBAL JUKEBOX CODING ID 30189/RELEVANT TEXT IS IN THE GENRE FIELD//</t>
  </si>
  <si>
    <t>Funeral dance for a royal family member; males with drums and rattles; fanfare patterns; recorded at the Palace of Foumban //GLOBAL JUKEBOX CODING ID 30189/RELEVANT TEXT IS IN THE DESCRIPTION FIELD//</t>
  </si>
  <si>
    <t>3/20/2018 14:17:13</t>
  </si>
  <si>
    <t>Taatta uluuha ohuokhaia</t>
  </si>
  <si>
    <t>http://media.theglobaljukebox.org/audio/T5410R41.mp3</t>
  </si>
  <si>
    <t>Dance song (//Coding ID: 3484 IN GLOBAL JUKEBOX, RELEVANT TEXT IS IN THE DESCRIPTION FIELD//)</t>
  </si>
  <si>
    <t>3/20/2018 16:05:05</t>
  </si>
  <si>
    <t>Manchu</t>
  </si>
  <si>
    <t>manc1252</t>
  </si>
  <si>
    <t>mnc</t>
  </si>
  <si>
    <t>http://media.theglobaljukebox.org/audio/T5410R70m.mp3</t>
  </si>
  <si>
    <t>Lullaby (//Coding ID: 3334 IN GLOBAL JUKEBOX, RELEVANT TEXT IS IN THE DESCRIPTION FIELD//)</t>
  </si>
  <si>
    <t>3/20/2018 16:09:22</t>
  </si>
  <si>
    <t>Buryat (not listed in HRAF)</t>
  </si>
  <si>
    <t>russ1264</t>
  </si>
  <si>
    <t>buri1258</t>
  </si>
  <si>
    <t>the link says the resource cannot be found</t>
  </si>
  <si>
    <t>bxr</t>
  </si>
  <si>
    <t>Naadan Deeree Ereebdil Daa</t>
  </si>
  <si>
    <t>http://media.theglobaljukebox.org/audio/T5412R44.mp3N</t>
  </si>
  <si>
    <t>Dance song (//Coding ID: 3326 IN GLOBAL JUKEBOX, RELEVANT TEXT IS IN THE DESCRIPTION FIELD//)</t>
  </si>
  <si>
    <t>3/20/2018 16:14:35</t>
  </si>
  <si>
    <t>Merina</t>
  </si>
  <si>
    <t>meri1243</t>
  </si>
  <si>
    <t>Mpiragasy Song</t>
  </si>
  <si>
    <t>http://media.theglobaljukebox.org/audio/T5443R31.mp3</t>
  </si>
  <si>
    <t>Children's song; game song //GLOBAL JUKEBOX CODING ID 3319 GENRE FIELD//</t>
  </si>
  <si>
    <t>Children's asampinga 'war game' song; schoolboys from Ambalavao at the Ambalavao Village fair //GLOBAL JUKEBOX CODING ID 3319 DESCRIPTION FIELD//</t>
  </si>
  <si>
    <t>3/20/2018 21:07:13</t>
  </si>
  <si>
    <t>Mikea</t>
  </si>
  <si>
    <t>masi1268</t>
  </si>
  <si>
    <t>msh</t>
  </si>
  <si>
    <t>Kivaleo</t>
  </si>
  <si>
    <t>http://media.theglobaljukebox.org/audio/T30089.mp3</t>
  </si>
  <si>
    <t>Game song; work song; yodel //GLOBAL JUKEBOX CODING ID 30089 GENRE FIELD//</t>
  </si>
  <si>
    <t>Yodeled chant duet; Vocal games are often played while doing chores such as collecting firewood //GLOBAL JUKEBOX CODING ID 30089 DESCRIPTION FIELD//</t>
  </si>
  <si>
    <t>3/20/2018 21:12:47</t>
  </si>
  <si>
    <t>Betsileo</t>
  </si>
  <si>
    <t>bets1235</t>
  </si>
  <si>
    <t>Razampaniry</t>
  </si>
  <si>
    <t>http://media.theglobaljukebox.org/audio/T5443R40.mp3</t>
  </si>
  <si>
    <t>Children's song; game song; morality song //GLOBAL JUKEBOX CODING ID 3666 GENRE FIELD//</t>
  </si>
  <si>
    <t>Children's game song and morality tale; A Girl's Name //GLOBAL JUKEBOX CODING ID 3666 DESCRIPTION FIELD//</t>
  </si>
  <si>
    <t>3/20/2018 21:22:04</t>
  </si>
  <si>
    <t>Ee-oo akone atikajokan ekeetau - Our friend, the good-hearted one</t>
  </si>
  <si>
    <t>https://sounds.bl.uk/World-and-traditional-music/Ken-Gourlay-Uganda/025M-C0105X0028XX-0400V0</t>
  </si>
  <si>
    <t>Men's song for praising girls //BRITISH LIBRARY, KENNETH GOURLAY COLLECTION, EE-OO AKONE ATIKAJOKAN EKEETAU//</t>
  </si>
  <si>
    <t>Our friend, the good-hearted one //BRITISH LIBRARY, KENNETH GOURLAY COLLECTION, EE-OO AKONE ATIKAJOKAN EKEETAU//</t>
  </si>
  <si>
    <t>British Library--&gt;Kenneth Gourlay Uganda Collection--&gt;Ee-oo akone atikajokan ekeetau - Our friend, the good-hearted one (2CDR0006164 (copy of C105/28 C4))</t>
  </si>
  <si>
    <t>3/21/2018 15:53:47</t>
  </si>
  <si>
    <t>Meitei</t>
  </si>
  <si>
    <t>mani1292</t>
  </si>
  <si>
    <t>mni</t>
  </si>
  <si>
    <t>Khamba Ritual Dance</t>
  </si>
  <si>
    <t>https://theglobaljukebox.org/?share=Meitei-T5417R19</t>
  </si>
  <si>
    <t>Dance song; praise song; ritual song //LISTED UNDER GENRE IN DESCRIPTION IN GLOBAL JUKEBOX//</t>
  </si>
  <si>
    <t>The Global Jukebox link will take you to the main page - click on the map - it will take you to South Asia/Northeast India/Manipur - click on culture of Meitei and the song is Khamba Ritual Dance</t>
  </si>
  <si>
    <t>3/21/2018 21:41:42</t>
  </si>
  <si>
    <t>Invocation to Ima Leimaren</t>
  </si>
  <si>
    <t>https://theglobaljukebox.org/?share=Meitei-T5417R18</t>
  </si>
  <si>
    <t>Invocation; spirit song; adoration song //LISTED UNDER GENRE IN DESCRIPTION IN GLOBAL JUKEBOX//</t>
  </si>
  <si>
    <t>"A call to the spirit of the Earth Mother for adoration at the shrine; priestess" //LISTED UNDER DESCRIPTION IN GLOBAL JUKEBOX TRACK INFORMATION//</t>
  </si>
  <si>
    <t>The Global Jukebox link will take you to the main page - click on the map - it will take you to South Asia/Northeast India/Manipur - click on culture of Meitei and the song is Invocation to Ima Leimaren</t>
  </si>
  <si>
    <t>3/21/2018 21:46:24</t>
  </si>
  <si>
    <t>Krishna Abhisar, Excerpt from Ras Ritual</t>
  </si>
  <si>
    <t>https://theglobaljukebox.org/?share=Meitei-T5417R24</t>
  </si>
  <si>
    <t>Ritual</t>
  </si>
  <si>
    <t>Dance song; ritual song //LISTED UNDER GENRE IN DESCRIPTION IN GLOBAL JUKEBOX//</t>
  </si>
  <si>
    <t>The Global Jukebox link will take you to the main page - click on the map - it will take you to South Asia/Northeast India/Manipur - click on culture of Meitei and the song is Krishna Abhisar, Excerpt from Ras Ritual</t>
  </si>
  <si>
    <t>3/21/2018 21:57:16</t>
  </si>
  <si>
    <t>Kullu</t>
  </si>
  <si>
    <t>kull1236</t>
  </si>
  <si>
    <t>iran1269</t>
  </si>
  <si>
    <t>kfx</t>
  </si>
  <si>
    <t>Dance of Mahasu</t>
  </si>
  <si>
    <t>https://www.discogs.com/Various-Festivals-Of-The-Himalayas-Volume-II/release/3004143</t>
  </si>
  <si>
    <t>Harvest song</t>
  </si>
  <si>
    <t>Harvest song; dance song //LISTED UNDER GENRE IN DESCRIPTION IN GLOBAL JUKEBOX//</t>
  </si>
  <si>
    <t>The link takes you to the Trackless of the full CD - the song is track A2 "Dance of Mahasu"</t>
  </si>
  <si>
    <t>3/21/2018 22:04:58</t>
  </si>
  <si>
    <t>Jhuri Lagi Mahari Naunchi</t>
  </si>
  <si>
    <t>B4</t>
  </si>
  <si>
    <t>The link will take you to the CD information, the track is B4 "Jhuri Lagi Mahari Naunchi (Our Love Is New)</t>
  </si>
  <si>
    <t>3/21/2018 22:10:46</t>
  </si>
  <si>
    <t>Folk Song From Haryana</t>
  </si>
  <si>
    <t>https://www.discogs.com/Various-Folk-Music-Of-India/release/5260725</t>
  </si>
  <si>
    <t>Love song sung by the young people of Punjab //LISTED UNDER DESCRIPTION BOX IN GLOBAL JUKEBOX UNDER "DESCRIPTION"//</t>
  </si>
  <si>
    <t>The link takes you to the information for the CD - it is track A2</t>
  </si>
  <si>
    <t>3/21/2018 22:18:35</t>
  </si>
  <si>
    <t>Bhojpuri</t>
  </si>
  <si>
    <t>bhoj1246</t>
  </si>
  <si>
    <t>paha1252</t>
  </si>
  <si>
    <t>Pavaria Ka Sohar</t>
  </si>
  <si>
    <t>https://theglobaljukebox.org/?share=Bhojpuri-T5547R06</t>
  </si>
  <si>
    <t>A4</t>
  </si>
  <si>
    <t>Epic song //LISTED UNDER GENRE IN DESCRIPTION IN GLOBAL JUKEBOX//</t>
  </si>
  <si>
    <t>Pavaria's birth song; episode from the Ramayana; two male soloists exchange verses //LISTED UNDER "DESCRIPTION" IN DESCRIPTION BOX OF GLOBAL JUKEBOX//</t>
  </si>
  <si>
    <t>The Global Jukebox link will take you to the main page - click on the map - it will take you to South Asia/Himalayan Region/Bihar/Uttar Pradesh - click on culture of Bhojpuri and the song is Pavaria Ka Sohar</t>
  </si>
  <si>
    <t>Says the recording is apart of a CD - can't find it online. Publication in description of Global Jukebox.</t>
  </si>
  <si>
    <t>3/21/2018 22:29:53</t>
  </si>
  <si>
    <t>Alha</t>
  </si>
  <si>
    <t>https://theglobaljukebox.org/?share=Bhojpuri-T5547R10</t>
  </si>
  <si>
    <t>A8</t>
  </si>
  <si>
    <t>The Global Jukebox link will take you to the main page - click on the map - it will take you to the region - click on culture of Bhojpuri and the song is Alha</t>
  </si>
  <si>
    <t>Track is in a collection, cannot find link to CD track listing.</t>
  </si>
  <si>
    <t>3/21/2018 22:34:48</t>
  </si>
  <si>
    <t>Jaunsari Song No.2</t>
  </si>
  <si>
    <t>https://folkways.si.edu/songs-of-assam-uttar-pradesh-and-the-andamans/world/music/album/smithsonian</t>
  </si>
  <si>
    <t>Festival song; narrative song //LISTED UNDER GENRE IN DESCRIPTION IN GLOBAL JUKEBOX//</t>
  </si>
  <si>
    <t>The link takes you to Folkways track listing of the CD - it is track 11.</t>
  </si>
  <si>
    <t>3/21/2018 22:45:31</t>
  </si>
  <si>
    <t>Kotni Geet</t>
  </si>
  <si>
    <t>https://theglobaljukebox.org/?share=Bhatra%20Sikh-T5418R04</t>
  </si>
  <si>
    <t>Wedding song //LISTED UNDER GENRE IN DESCRIPTION IN GLOBAL JUKEBOX//</t>
  </si>
  <si>
    <t>The Global Jukebox link will take you to the main page - click on the map - it will take you to the region - click on culture of Bhatra Sikh and the song is Kotni Geet</t>
  </si>
  <si>
    <t>3/21/2018 22:57:20</t>
  </si>
  <si>
    <t>Praise of Rama</t>
  </si>
  <si>
    <t>https://www.discogs.com/Various-Lower-Caste-Religious-Music-From-India-Monks-Transvestites-Midwives-And-Folksingers/release/1926057</t>
  </si>
  <si>
    <t>B2</t>
  </si>
  <si>
    <t>Praise song //LISTED UNDER GENRE IN DESCRIPTION IN GLOBAL JUKEBOX//</t>
  </si>
  <si>
    <t>This link takes you to the Discogs CD information, it is track B2 according to the citation in Global Jukebox, although it is listed under a different name.</t>
  </si>
  <si>
    <t>Global Jukebox shows the title as "Praise of Rama" and under "Publication/Collection" cites it as track B2 from the CD linked above. It has a different title there - Folk-Bhajan.</t>
  </si>
  <si>
    <t>3/21/2018 23:04:24</t>
  </si>
  <si>
    <t>Benares</t>
  </si>
  <si>
    <t>Viraha</t>
  </si>
  <si>
    <t>https://www.discogs.com/Alan-Lomax-Alain-Daniélou-India/release/3786391</t>
  </si>
  <si>
    <t>Work song; milking song //LISTED UNDER GENRE IN DESCRIPTION IN GLOBAL JUKEBOX//</t>
  </si>
  <si>
    <t>The link takes you to the Discogs listing of the CD with the song on it - track 3, "Viraha"</t>
  </si>
  <si>
    <t>3/21/2018 23:10:24</t>
  </si>
  <si>
    <t>Work Song of Harijans from Chittupur</t>
  </si>
  <si>
    <t>A3</t>
  </si>
  <si>
    <t>Work song //LISTED UNDER GENRE IN DESCRIPTION IN GLOBAL JUKEBOX//</t>
  </si>
  <si>
    <t>The link takes you to the Discogs track listing for the CD - it is track A3 according to Global Jukebox.</t>
  </si>
  <si>
    <t>Note that the title is taken from the Global Jukebox description - in the track listing on Discogs it is simply called "Worksong"</t>
  </si>
  <si>
    <t>3/21/2018 23:16:48</t>
  </si>
  <si>
    <t>Korku</t>
  </si>
  <si>
    <t>kork1243</t>
  </si>
  <si>
    <t>Rando, Rando, a Marriage</t>
  </si>
  <si>
    <t>https://theglobaljukebox.org/?share=Korku-T5419R16m</t>
  </si>
  <si>
    <t>The Global Jukebox link will take you to the main page - click on the map - it will take you to the region - click on culture of Korku and the song is Rando Rando, a Marriage</t>
  </si>
  <si>
    <t>3/21/2018 23:23:31</t>
  </si>
  <si>
    <t>Aje Mando</t>
  </si>
  <si>
    <t>https://theglobaljukebox.org/?share=Korku-T5419R15m</t>
  </si>
  <si>
    <t>The Global Jukebox link will take you to the main page - click on the map - it will take you to the region - click on culture of Korku and the song is Aje Mando</t>
  </si>
  <si>
    <t>3/21/2018 23:25:45</t>
  </si>
  <si>
    <t>Folk Tale Told Musically</t>
  </si>
  <si>
    <t>https://theglobaljukebox.org/?share=Dorla-T5416R11</t>
  </si>
  <si>
    <t>Story song; narrative song //LISTED UNDER GENRE IN DESCRIPTION IN GLOBAL JUKEBOX//</t>
  </si>
  <si>
    <t>The Global Jukebox link will take you to the main page - click on the map - it will take you to the region - click on culture of Dorla and the song is “Folk Tale Told Musically”</t>
  </si>
  <si>
    <t>3/21/2018 23:36:30</t>
  </si>
  <si>
    <t>Dhurwa Gond</t>
  </si>
  <si>
    <t>duru1236</t>
  </si>
  <si>
    <t>pci</t>
  </si>
  <si>
    <t>https://theglobaljukebox.org/?share=Dhurwa%20Gond-T5419R02m</t>
  </si>
  <si>
    <t>Lullaby; cradle song //LISTED UNDER GENRE IN DESCRIPTION IN GLOBAL JUKEBOX//</t>
  </si>
  <si>
    <t>The Global Jukebox link will take you to the main page - click on the map - it will take you to the region - click on culture of Dhurwa Gond and the song is “Cradle Song”</t>
  </si>
  <si>
    <t>3/21/2018 23:48:14</t>
  </si>
  <si>
    <t>Andh</t>
  </si>
  <si>
    <t>andh1242</t>
  </si>
  <si>
    <t>https://theglobaljukebox.org/?share=Andh-T5417R40</t>
  </si>
  <si>
    <t>The Global Jukebox link will take you to the main page - click on the map - it will take you to the region - click on culture of Andh and the song is “Cradle Song”</t>
  </si>
  <si>
    <t>3/21/2018 23:52:56</t>
  </si>
  <si>
    <t>Raga</t>
  </si>
  <si>
    <t>telu1262</t>
  </si>
  <si>
    <t>tel</t>
  </si>
  <si>
    <t>Folk Song From South India</t>
  </si>
  <si>
    <t>B5</t>
  </si>
  <si>
    <t>Work song; boat song; rowing song; hauling song; agricultural song //LISTED UNDER GENRE IN DESCRIPTION IN GLOBAL JUKEBOX//</t>
  </si>
  <si>
    <t>The link takes you to the CD on Discogs and the track is B5 "Folk Song From South India"</t>
  </si>
  <si>
    <t>The Global Jukebox title is different than the track title. On Global Jukebox it is called "South Indian Folk Song"</t>
  </si>
  <si>
    <t>3/21/2018 23:58:49</t>
  </si>
  <si>
    <t>Madras</t>
  </si>
  <si>
    <t>The link takes you to the Discogs track listing for the CD - it is track B4.</t>
  </si>
  <si>
    <t>The song on Discogs has a different title then on Global Jukebox. On Global Jukebox it is called "Folk Song"</t>
  </si>
  <si>
    <t>3/22/2018 0:07:54</t>
  </si>
  <si>
    <t>Vēlan Pravaṛtti: Nārāyaṇa</t>
  </si>
  <si>
    <t>https://folkways.si.edu/music-from-south-india-kerala/world/album/smithsonian</t>
  </si>
  <si>
    <t>Magic song; narrative song</t>
  </si>
  <si>
    <t>The link leads to the CD listing - the song is track 13</t>
  </si>
  <si>
    <t>3/22/2018 0:14:06</t>
  </si>
  <si>
    <t>Tiruwadirakali</t>
  </si>
  <si>
    <t>Dance song; planting song; agricultural song //LISTED UNDER GENRE IN DESCRIPTION IN GLOBAL JUKEBOX//</t>
  </si>
  <si>
    <t>The link takes you to the CD - the song is track 11</t>
  </si>
  <si>
    <t>3/22/2018 0:18:08</t>
  </si>
  <si>
    <t>Kuravarkali: Ganapati Stotram</t>
  </si>
  <si>
    <t>The link takes you to the CD listing - it is track 15</t>
  </si>
  <si>
    <t>3/22/2018 0:21:58</t>
  </si>
  <si>
    <t>http://media.theglobaljukebox.org/audio/T5403R23.mp3</t>
  </si>
  <si>
    <t>Side 2, Band 1</t>
  </si>
  <si>
    <t>Description: Ceremonial song recounting the creation legend and invoking spirits of the dead //GLOBAL JUKEBOX CODING ID: 139//</t>
  </si>
  <si>
    <t>3/23/2018 12:09:54</t>
  </si>
  <si>
    <t>Congassa</t>
  </si>
  <si>
    <t>https://theglobaljukebox.org/?share=Baoul%C3%A9-T9534R59</t>
  </si>
  <si>
    <t>Congassa; dance song; initiation rite; festival song; entertainment song//GLOBAL JUKEBOX CODING ID 9490/AUDIO FILE ID T9534R59, RELEVANT TEXT IS IN THE GENRE FIELD//</t>
  </si>
  <si>
    <t>Congassa music and dances were originally linked with initiation rituals; here it is played as entertainment during a festival//GLOBAL JUKEBOX CODING ID 9490/AUDIO FILE ID T9534R59, RELEVANT TEXT IS IN THE DESCRIPTION FIELD//</t>
  </si>
  <si>
    <t>3/24/2018 14:14:33</t>
  </si>
  <si>
    <t>fofo o le mo'omo'o</t>
  </si>
  <si>
    <t>http://ampm.auckland.ac.nz/handle/id/91538</t>
  </si>
  <si>
    <t>Traditional healing for a kind of headache called mo'omo'o //AMPM ACCESSION NUMBER 15/056.08//</t>
  </si>
  <si>
    <t>http://gofile.me/3T2hs/GmAh2lIda</t>
  </si>
  <si>
    <t>3/25/2018 15:06:13</t>
  </si>
  <si>
    <t>Waiata aroha</t>
  </si>
  <si>
    <t>http://ampm.auckland.ac.nz/handle/id/66663</t>
  </si>
  <si>
    <t>Waiata aroha //AMPM ACCESSION NUMBER 82/023.04//</t>
  </si>
  <si>
    <t>http://gofile.me/3T2hs/c37l0Un7g</t>
  </si>
  <si>
    <t>3/25/2018 15:20:12</t>
  </si>
  <si>
    <t>http://ampm.auckland.ac.nz/handle/id/66712</t>
  </si>
  <si>
    <t>Waiata aroha //AMPM ACCESSION NUMBER 82/029.01//</t>
  </si>
  <si>
    <t>http://gofile.me/3T2hs/C0JSFat9P</t>
  </si>
  <si>
    <t>3/25/2018 15:24:06</t>
  </si>
  <si>
    <t>http://ampm.auckland.ac.nz/handle/id/67195</t>
  </si>
  <si>
    <t>Waiata aroha //AMPM ACCESSION NUMBER 82/081.02//</t>
  </si>
  <si>
    <t>http://gofile.me/3T2hs/DBFty3zyO</t>
  </si>
  <si>
    <t>3/25/2018 15:27:45</t>
  </si>
  <si>
    <t>http://ampm.auckland.ac.nz/handle/id/67196</t>
  </si>
  <si>
    <t>Waiata aroha //AMPM ACCESSION NUMBER 82/081.03//</t>
  </si>
  <si>
    <t>http://gofile.me/3T2hs/Fiy6it30E</t>
  </si>
  <si>
    <t>3/25/2018 15:30:42</t>
  </si>
  <si>
    <t>http://ampm.auckland.ac.nz/handle/id/67540</t>
  </si>
  <si>
    <t>Waiata aroha //AMPM ACCESSION NUMBER 82/118.07//</t>
  </si>
  <si>
    <t>http://gofile.me/3T2hs/lSJgWdMG3</t>
  </si>
  <si>
    <t>3/25/2018 15:34:06</t>
  </si>
  <si>
    <t>http://ampm.auckland.ac.nz/handle/id/82467</t>
  </si>
  <si>
    <t>Love Song //AMPM ACCESSION NUMBER 0026.10//</t>
  </si>
  <si>
    <t>http://gofile.me/3T2hs/m3961ZqSI</t>
  </si>
  <si>
    <t>3/25/2018 15:38:43</t>
  </si>
  <si>
    <t>http://ampm.auckland.ac.nz/handle/id/82479</t>
  </si>
  <si>
    <t>Love Song //AMPM ACCESSION NUMBER 0026.11//</t>
  </si>
  <si>
    <t>http://gofile.me/3T2hs/QS1PDpwJB</t>
  </si>
  <si>
    <t>3/25/2018 15:41:03</t>
  </si>
  <si>
    <t>Niuean</t>
  </si>
  <si>
    <t>niue1239</t>
  </si>
  <si>
    <t>niu</t>
  </si>
  <si>
    <t>Children's song and game</t>
  </si>
  <si>
    <t>http://ampm.auckland.ac.nz/handle/id/86955</t>
  </si>
  <si>
    <t>Children's song and game //AMPM ACCESSION NUMBER 84/207.09//</t>
  </si>
  <si>
    <t>http://gofile.me/3T2hs/kf7yF3JCn</t>
  </si>
  <si>
    <t>3/25/2018 15:50:36</t>
  </si>
  <si>
    <t>Bulgarian, Shop Region, Sofia District, Bistritsa</t>
  </si>
  <si>
    <t>bulg1262</t>
  </si>
  <si>
    <t>bul</t>
  </si>
  <si>
    <t>Mari Stoyane Stoyane</t>
  </si>
  <si>
    <t>https://theglobaljukebox.org/?share=Sofia%20District-T9536R12</t>
  </si>
  <si>
    <t>Side 1 Track 2</t>
  </si>
  <si>
    <t>Ritual (for Spring)</t>
  </si>
  <si>
    <t>Processional-For Springtime//GLOBAL JUKEBOX, CODING ID: 9493, RELEVANT INFORMATION IN THE DESCRIPTION//</t>
  </si>
  <si>
    <t>On the day before Palm Sunday, girls dressed in plumed headgear go from house to house round the village, to sing in the Spring and to bring luck.//GLOBAL JUKEBOX, CODING ID: 9493, DESCRIPTION//</t>
  </si>
  <si>
    <t>Under Sofia District</t>
  </si>
  <si>
    <t>3/26/2018 21:59:10</t>
  </si>
  <si>
    <t>NSD</t>
  </si>
  <si>
    <t>Greek, Epirus Region</t>
  </si>
  <si>
    <t>Marko Botzaris (Klephtic Song)</t>
  </si>
  <si>
    <t>https://theglobaljukebox.org/?share=Epirus-T5472R36</t>
  </si>
  <si>
    <t>Story//GLOBAL JUKEBOX, CODING ID: 639, RELAVANT INFORMATION IN DESCRIPTION//</t>
  </si>
  <si>
    <t>Klephtic song; a lament for Marko Botzaris, a hero of the Greek War of Independence, famed for the defence of Missolonghi, 1822-23//GLOBAL JUKEBOX, CODING ID: 639//</t>
  </si>
  <si>
    <t>Under Epirus</t>
  </si>
  <si>
    <t>Whole track on Spotify</t>
  </si>
  <si>
    <t>3/26/2018 22:31:34</t>
  </si>
  <si>
    <t>lullaby</t>
  </si>
  <si>
    <t>http://ampm.auckland.ac.nz/handle/id/91189</t>
  </si>
  <si>
    <t>lullaby //AMPM ACCESSION NUMBER 15/051.01//</t>
  </si>
  <si>
    <t>http://gofile.me/3T2hs/xtwmcWtLr</t>
  </si>
  <si>
    <t>3/27/2018 10:56:41</t>
  </si>
  <si>
    <t>http://ampm.auckland.ac.nz/handle/id/91548</t>
  </si>
  <si>
    <t>lullaby //AMPM ACCESSION NUMBER 15/057.09//</t>
  </si>
  <si>
    <t>http://gofile.me/3T2hs/mDyL5T10F</t>
  </si>
  <si>
    <t>3/27/2018 10:58:38</t>
  </si>
  <si>
    <t>http://ampm.auckland.ac.nz/handle/id/91293</t>
  </si>
  <si>
    <t>lullaby //AMPM ACCESSION NUMBER 15/065.08//</t>
  </si>
  <si>
    <t>http://gofile.me/3T2hs/hNGAbzghT</t>
  </si>
  <si>
    <t>3/27/2018 11:00:03</t>
  </si>
  <si>
    <t>http://ampm.auckland.ac.nz/handle/id/91311</t>
  </si>
  <si>
    <t>lullaby //AMPM ACCESSION NUMBER 15/066.04//</t>
  </si>
  <si>
    <t>http://gofile.me/3T2hs/QNyQG6L5v</t>
  </si>
  <si>
    <t>3/27/2018 11:02:04</t>
  </si>
  <si>
    <t>http://ampm.auckland.ac.nz/handle/id/91381</t>
  </si>
  <si>
    <t>lullaby //AMPM ACCESSION NUMBER 15/072.03//</t>
  </si>
  <si>
    <t>http://gofile.me/3T2hs/7pQPEmtgY</t>
  </si>
  <si>
    <t>3/27/2018 11:03:28</t>
  </si>
  <si>
    <t>Oriori</t>
  </si>
  <si>
    <t>http://ampm.auckland.ac.nz/handle/id/66683</t>
  </si>
  <si>
    <t>Oriori //AMPM ACCESSION NUMBER 1982_025_02//</t>
  </si>
  <si>
    <t>http://gofile.me/3T2hs/dS7rSUSsh</t>
  </si>
  <si>
    <t>3/27/2018 11:10:01</t>
  </si>
  <si>
    <t>http://ampm.auckland.ac.nz/handle/id/66858</t>
  </si>
  <si>
    <t>Oriori //AMPM ACCESSION NUMBER 82/044.04//</t>
  </si>
  <si>
    <t>Po-po-po kati te tangi, Whakarongo to taringa (google translation: Po-po-po stop crying, Listen to your ears) //AMPM ACCESSION NUMBER 82/044.04//</t>
  </si>
  <si>
    <t>http://gofile.me/3T2hs/k0P5ERQQh</t>
  </si>
  <si>
    <t>3/27/2018 11:24:01</t>
  </si>
  <si>
    <t>http://ampm.auckland.ac.nz/handle/id/66825</t>
  </si>
  <si>
    <t>E tama iwi kino, e tama Ko Hari, kati ra te tangi (google translate: O wicked son, son! Hello, stop crying)//AMPM ACCESSION NUMBER 82/040.07//</t>
  </si>
  <si>
    <t>http://gofile.me/3T2hs/R3unJHexn</t>
  </si>
  <si>
    <t>3/27/2018 11:36:29</t>
  </si>
  <si>
    <t>Remédio Marapuamba</t>
  </si>
  <si>
    <t>http://archives.crem-cnrs.fr/archives/items/CNRSMH_I_2016_030_000_164/</t>
  </si>
  <si>
    <t>Remédio Marapuamba //CREM CODE: CNRSMH_I_2016_030_000_164//</t>
  </si>
  <si>
    <t>Sélection d'enregistrements sonores inédits de musiques et traditions orales des amérindiens Aparai Wayana d'Amazonie, collectés au Brésil par le spécialiste allemand Manfred Rauschert entre 1962 et 1976 (sur bandes magnétiques). //WE NEED THIS INFO TO PROVE THAT IT'S FROM BRAZIL (AND NOT FRENCH GUIANA); CREM CODE: CNRSMH_I_2016_030//</t>
  </si>
  <si>
    <t>This is an oral tradition, not a song</t>
  </si>
  <si>
    <t>3/27/2018 14:07:22</t>
  </si>
  <si>
    <t>Continuação da cura</t>
  </si>
  <si>
    <t>http://archives.crem-cnrs.fr/archives/items/CNRSMH_I_2002_017_010_12/</t>
  </si>
  <si>
    <t>Continuação da cura //CREM CODE: CNRSMH_I_2002_017_010_12//</t>
  </si>
  <si>
    <t>CollectionnBrésil, Haut-Xingu:Rituel "yawari" et rituel de cure Yawalapiti //CREM CODE: CNRSMH_I_2002_017_010_12//</t>
  </si>
  <si>
    <t>3/27/2018 14:26:56</t>
  </si>
  <si>
    <t>Juruna</t>
  </si>
  <si>
    <t>waur1244</t>
  </si>
  <si>
    <t>juru1256</t>
  </si>
  <si>
    <t>wau</t>
  </si>
  <si>
    <t>BERCEUSE: CHANSON DU SINGE</t>
  </si>
  <si>
    <t>http://archives.crem-cnrs.fr/archives/items/CNRSMH_I_1970_030_002_03/</t>
  </si>
  <si>
    <t>BERCEUSE: CHANSON DU SINGE //Berceuse = Lullaby; CREM CODE: CNRSMH_I_1970_030_002_03//</t>
  </si>
  <si>
    <t>3/27/2018 14:32:17</t>
  </si>
  <si>
    <t>Meinako</t>
  </si>
  <si>
    <t>MEINAKO population: Procession of men + flutes right outside the village</t>
  </si>
  <si>
    <t>http://archives.crem-cnrs.fr/archives/items/CNRSMH_I_2008_020_001_08/</t>
  </si>
  <si>
    <t>001_08</t>
  </si>
  <si>
    <t>population MEINAKO : Procession des hommes + flûtes droites à l'exrérieur du village //CREM CODE: CNRSMH_I_2008_020_001_08//</t>
  </si>
  <si>
    <t>3/27/2018 14:37:26</t>
  </si>
  <si>
    <t>Xacriaba</t>
  </si>
  <si>
    <t>used to speak xakr1238, but the language is extinct. Unsure if they still sing in this language</t>
  </si>
  <si>
    <t>Cantos : Historia cantada - Très irmas</t>
  </si>
  <si>
    <t>http://archives.crem-cnrs.fr/archives/items/CNRSMH_I_2002_032_003_05/</t>
  </si>
  <si>
    <t>CD n°3, plage 5</t>
  </si>
  <si>
    <t>Cantos : Historia cantada - Très irmas //CREM CODE: CNRSMH_I_2002_032_003_05//</t>
  </si>
  <si>
    <t>3/27/2018 14:41:52</t>
  </si>
  <si>
    <t>História da Serra-Fortaleza de Arumatari</t>
  </si>
  <si>
    <t>http://archives.crem-cnrs.fr/archives/items/CNRSMH_I_2016_030_000_044/</t>
  </si>
  <si>
    <t>História da Serra-Fortaleza de Arumatari //CREM CODE: CNRSMH_I_2016_030_000_044//</t>
  </si>
  <si>
    <t>3/27/2018 14:49:00</t>
  </si>
  <si>
    <t>Kamayura</t>
  </si>
  <si>
    <t>Noitinha 1</t>
  </si>
  <si>
    <t>http://archives.crem-cnrs.fr/archives/items/CNRSMH_I_2002_017_001_01/</t>
  </si>
  <si>
    <t>Les 4 CDR contiennent 7 séries de chants. DUO ALTERNE : par le maître de chant et son disciple. Voix : par moments, imitations des cris d'animaux sauvages. Les chants sont des épopées //"The chants are epics"; CREM CODE: CNRSMH_I_2002_017_001_01//</t>
  </si>
  <si>
    <t>3/28/2018 12:53:04</t>
  </si>
  <si>
    <t>Kayapo</t>
  </si>
  <si>
    <t>Chant yuruna</t>
  </si>
  <si>
    <t>http://archives.crem-cnrs.fr/archives/items/CNRSMH_I_1966_006_001_01/</t>
  </si>
  <si>
    <t>Il s'agit d'un chant de remerciements, la nuit dans la forêt. //"This is a song of thanks, the night in the forest."; CREM CODE: CNRSMH_I_1966_006_001_01//</t>
  </si>
  <si>
    <t>3/30/2018 11:41:44</t>
  </si>
  <si>
    <t>Location: Salvador de Bahia; Religion: Candomble</t>
  </si>
  <si>
    <t>braz1246 or yoru1245</t>
  </si>
  <si>
    <t>"Barabo ..." Singing for Exu</t>
  </si>
  <si>
    <t>http://archives.crem-cnrs.fr/archives/items/CNRSMH_I_2007_011_001_01/</t>
  </si>
  <si>
    <t>Religion</t>
  </si>
  <si>
    <t>Ethnographic context: Song for Exu, an Orisha, Yoruba deity Vernacular style: Candomble //CREM CODE: CNRSMH_I_2007_011_001_01; Candomble means "dance in honour of the gods"(http://www.bbc.co.uk/religion/religions/candomble/history/history.shtml)//</t>
  </si>
  <si>
    <t>3/30/2018 12:00:19</t>
  </si>
  <si>
    <t>Reza para a doença "Esem Pela"</t>
  </si>
  <si>
    <t>http://archives.crem-cnrs.fr/archives/items/CNRSMH_I_2016_030_000_093/</t>
  </si>
  <si>
    <t>Reza para a doença "Esem Pela" //"Pray for the disease 'Esem Pela'"; CREM CODE: CNRSMH_I_2016_030_000_093//</t>
  </si>
  <si>
    <t>3/30/2018 13:36:31</t>
  </si>
  <si>
    <t>Choro ritual pós-morte</t>
  </si>
  <si>
    <t>http://archives.crem-cnrs.fr/archives/items/CNRSMH_I_2016_030_000_299/</t>
  </si>
  <si>
    <t>Choro ritual pós-morte //"After-death ritual cry"; CREM CODE: CNRSMH_I_2016_030_000_299//</t>
  </si>
  <si>
    <t>3/30/2018 13:40:05</t>
  </si>
  <si>
    <t>Columbian Coastal Folk</t>
  </si>
  <si>
    <t>La Mona del Cano Guate</t>
  </si>
  <si>
    <t>https://theglobaljukebox.org/?share=Colombian%20Coastal%20Folk-T5621R11m</t>
  </si>
  <si>
    <t>Story//GLOBAL JUKEBOX Coding ID: 3892 Audio File ID: T5621R11m Relevant info in description field/</t>
  </si>
  <si>
    <t>About local events near Valledupar//GLOBAL JUKEBOX Relevant info in description field//</t>
  </si>
  <si>
    <t>Carmenteja</t>
  </si>
  <si>
    <t>https://theglobaljukebox.org/?share=Colombian%20Coastal%20Folk-T5481R01</t>
  </si>
  <si>
    <t>Dance//GLOBAL JUKEBOX Coding ID: 4128 Audio File ID: T5481R01 Relevant info in genre field//</t>
  </si>
  <si>
    <t>Merecumbe</t>
  </si>
  <si>
    <t>https://theglobaljukebox.org/?share=Colombian%20Coastal%20Folk-T5481R03</t>
  </si>
  <si>
    <t>Dance//GLOBAL JUKEBOX Coding ID: 4129 Audio File ID: T5481R03 Relevant info in genre field//</t>
  </si>
  <si>
    <t>Waunana</t>
  </si>
  <si>
    <t>woun1238</t>
  </si>
  <si>
    <t>Canta Hai</t>
  </si>
  <si>
    <t>https://theglobaljukebox.org/?share=Waunana-T5404R92</t>
  </si>
  <si>
    <t>Healing song//GLOBAL JUKEBOX Coding ID: 3855 Audio File ID: T5404R92 Relevant info in genre field//</t>
  </si>
  <si>
    <t>Shaman song; spirit song; for ancestors; healing song//GLOBAL JUKEBOX Relevant info from description field//</t>
  </si>
  <si>
    <t>Guna</t>
  </si>
  <si>
    <t>bord1248</t>
  </si>
  <si>
    <t>kvn</t>
  </si>
  <si>
    <t>Shaman's Curing Chant</t>
  </si>
  <si>
    <t>https://theglobaljukebox.org/?share=Guna-T5404R88</t>
  </si>
  <si>
    <t>Healing//GLOBAL JUKEBOX Coding ID: 2242 Audio File ID: T5404R88 Relevant info in genre field//</t>
  </si>
  <si>
    <t>https://theglobaljukebox.org/?share=Guna-T5404R89</t>
  </si>
  <si>
    <t>Lullaby//GLOBAL JUKEBOX Coding ID: 2243 Audio File ID: T5404R89 Relevant info in genre field//</t>
  </si>
  <si>
    <t>Lullaby; girl rocks her baby to sleep in hammock//GLOBAL JUKEBOX Relevant info in description field//</t>
  </si>
  <si>
    <t>Kanilnamake</t>
  </si>
  <si>
    <t>https://theglobaljukebox.org/?share=Guna-T5524R01</t>
  </si>
  <si>
    <t>Dance//GLOBAL JUKEBOX Coding ID: 9179 Audio File ID: T5524R01 Relevant info in genre field//</t>
  </si>
  <si>
    <t>Chicken dance; men and and women dance in a counterclockwise circle//GLOBAL JUKEBOX Relevant info in description field//</t>
  </si>
  <si>
    <t>emp</t>
  </si>
  <si>
    <t>Euphoria-Inducing Dance</t>
  </si>
  <si>
    <t>https://theglobaljukebox.org/?share=Ember%C3%A1-T5524R02</t>
  </si>
  <si>
    <t>Dance//GLOBAL JUKEBOX Coding ID: 9191 Audio File ID: T5524R02 Relevant info in genre field//</t>
  </si>
  <si>
    <t>Barí</t>
  </si>
  <si>
    <t>yukp1241</t>
  </si>
  <si>
    <t>yup</t>
  </si>
  <si>
    <t>Wertrapa</t>
  </si>
  <si>
    <t>https://theglobaljukebox.org/?share=Bar%C3%AD-T5404R66</t>
  </si>
  <si>
    <t>Procession//GLOBAL JUKEBOX Coding ID: 2758 Audio File ID: T5404R66 Relevant info in genre field//</t>
  </si>
  <si>
    <t>Useguggil' Ubaba</t>
  </si>
  <si>
    <t>http://media.theglobaljukebox.org/audio/T5445R01.mp3</t>
  </si>
  <si>
    <t>wedding</t>
  </si>
  <si>
    <t>Wedding song; chief's song //GLOBAL JUKEBOX CODING ID 2285, GENRE FIELD//</t>
  </si>
  <si>
    <t>Father Is Completely Old; Isekle wedding song //GLOBAL JUKEBOX CODING ID 2285, DESCRIPTION FIELD//</t>
  </si>
  <si>
    <t>Lozi</t>
  </si>
  <si>
    <t>lozi1239</t>
  </si>
  <si>
    <t>loz</t>
  </si>
  <si>
    <t>Naliba Kaboma</t>
  </si>
  <si>
    <t>http://media.theglobaljukebox.org/audio/T5440R04.mp3</t>
  </si>
  <si>
    <t>Topical song; mourning song //GLOBAL JUKEBOX CODING ID 2417, GENRE FIELD//</t>
  </si>
  <si>
    <t>I Cry for My Mother; topical song //GLOBAL JUKEBOX CODING ID 2417, DESCRIPTION FIELD//</t>
  </si>
  <si>
    <t>Tupuri</t>
  </si>
  <si>
    <t>tupu1244</t>
  </si>
  <si>
    <t>tui</t>
  </si>
  <si>
    <t>Leele; Mourning Song</t>
  </si>
  <si>
    <t>http://media.theglobaljukebox.org/audio/T30142.mp3</t>
  </si>
  <si>
    <t>Funeral song; mourning song //GLOBAL JUKEBOX CODING ID 30142, GENRE FIELD//</t>
  </si>
  <si>
    <t>Funeral song; women sing ululations at a funeral //GLOBAL JUKEBOX CODING ID 30142, DESCRIPTION FIELD//</t>
  </si>
  <si>
    <t>Type of procession: funeral</t>
  </si>
  <si>
    <t>Maipo</t>
  </si>
  <si>
    <t>Cueca</t>
  </si>
  <si>
    <t>https://folkways.si.edu/dance-and-festivity/world/music/album/smithsonian</t>
  </si>
  <si>
    <t>Dance and Festivity //CD HAS LINER NOTES BOOKLET, THIS IS ON PAGE 5//</t>
  </si>
  <si>
    <t>The cueca is the national dance par excellence of Chile, where it is very widely performed. It has an historical and social significance and is also a vehicle of patriotic sentiment. It is danced by couples, who hold silk scarves. The cueca version selected for the present recording comprises the usual sequence of three parts which make up the complete development of the dance and are called pies (feet). The theme of the three parts is a love poem sung by two voices on the same basic melody. The harp accompaniment, which is supported by the strokes with the fingers executed by Juan Negrete on the resonator of the instrument, displays a very sober technique which is well in keeping with the style of the traditional Chilean harpists. //CD HAS LINER NOTES BOOKLET, THIS IS ON PAGE 5//</t>
  </si>
  <si>
    <t>NA.</t>
  </si>
  <si>
    <t>Chinos</t>
  </si>
  <si>
    <t>Chile: Song of the Alféreces and Dances of the Chinos</t>
  </si>
  <si>
    <t>https://folkways.si.edu/people-at-prayer/world/music/album/smithsonian</t>
  </si>
  <si>
    <t>Prayer</t>
  </si>
  <si>
    <t>"Song of the Alfereces (colour-bearers) and Dances of the Chinos (servants of the divinities and saints)" //LINER NOTES ASSOCIATED WITH THE ALBUM, PAGE 9//</t>
  </si>
  <si>
    <t>In the provinces of Valparaiso, Tarapaca, Atacama, Coquimbo and Aconcagua there are brotherhoods which go by the general name of bailes (dancers). Their principal activity lies in paying obeisance, generally in the form of choreographic performances, to the catholic divinities and saints. One of the brotherhoods of this kind is that of the chinos (Chinese), a designation that has nothing to do with the inhabitants of China. The word chinos is in fact of Amerindian, of Quechua origin. It means «servant» and entered the Spanish language with the same signification but with reference to the observance of worshipping supernatural beings. By as early as the 17th century the activities of these brotherhoods had acquired a certain repute since they had become an important part of various religious festivals. The leader of a group of chinos dancers is called an alferez (colour-bearer), a reflection of the title given at the time of the Spanish conquest to the officer, who carried the standard or banner. //LINER NOTES ASSOCIATED WITH THE ALBUM, PAGES 9 and 10//</t>
  </si>
  <si>
    <t>Canción por visita</t>
  </si>
  <si>
    <t>https://theglobaljukebox.org/?share=Mapuche-T5401R30m</t>
  </si>
  <si>
    <t>visiting</t>
  </si>
  <si>
    <t>Visiting Song //FROM THE GLOBALJUKEBOX METADATA//</t>
  </si>
  <si>
    <t>Click on the globe, and then GlobalJukebox will take you directly to the list of songs associated with the Mapuche Culture. The song is the 4th on the list.</t>
  </si>
  <si>
    <t>Yahgan</t>
  </si>
  <si>
    <t>yama1264</t>
  </si>
  <si>
    <t>yag</t>
  </si>
  <si>
    <t>Yahgan song 2</t>
  </si>
  <si>
    <t>https://theglobaljukebox.org/?share=Yahgan-T5401R02m</t>
  </si>
  <si>
    <t>Yahgan death chant //CODING ID 2069 IN GLOBAL JUKEBOX, RELEVANT TEXT IS IN THE DESCRIPTION FIELD//</t>
  </si>
  <si>
    <t>Link takes you to global jukebox, click on the globe, the website will then redirect you to the correct culture. Click on "Yahgan Song 2" to hear the track.</t>
  </si>
  <si>
    <t>Medicine Man Song</t>
  </si>
  <si>
    <t>https://theglobaljukebox.org/?share=Selk'nam-T5401R10m</t>
  </si>
  <si>
    <t>Medicine Man Song //CODING ID 2038 IN GLOBAL JUKEBOX, RELEVANT INFORMATION IN THE TITLE FIELD//</t>
  </si>
  <si>
    <t>The link is to global jukebox, click on the globe, the site will automatically redirect you to the culture page, click on the first song entitled "Medicine Man Song" (it is the first song of two with the same title).</t>
  </si>
  <si>
    <t>Medicine Man Song.</t>
  </si>
  <si>
    <t>https://theglobaljukebox.org/?share=Selk'nam-T5401R11m</t>
  </si>
  <si>
    <t>Medicine Man Song, Shaman Song //CODING ID 2039 IN GLOBAL JUKEBOX, RELEVANT TEXT IN THE TITLE AND DESCRIPTION FIELDS//</t>
  </si>
  <si>
    <t>link takes you to global jukebox site, click on the globe, you will be automatically redirected to the culture page, the song is the second of two songs entitled "Medicine Man Song."</t>
  </si>
  <si>
    <t>Her Own Mourning Song.</t>
  </si>
  <si>
    <t>https://theglobaljukebox.org/?share=Selk'nam-T5401R22</t>
  </si>
  <si>
    <t>Mourning song; shaman song //CODING ID 3689 IN GLOBAL JUKEBOX, RELEVANT TEXT IS IN THE GENRE FIELD//</t>
  </si>
  <si>
    <t>Sung when her mother died; sung by female shaman //CODING ID 3689 IN GLOBAL JUKEBOX, RELEVANT TEXT IS IN THE DESCRIPTION FIELD//</t>
  </si>
  <si>
    <t>Link takes you to global jukebox site, click on the globe, you will be redirected to the culture page. Scroll down the list of songs on the right, the song is called "Her own mourning song."</t>
  </si>
  <si>
    <t>Mourning Song</t>
  </si>
  <si>
    <t>https://theglobaljukebox.org/?share=Selk'nam-T5401R17</t>
  </si>
  <si>
    <t>Shaman song</t>
  </si>
  <si>
    <t>Mourning song; Shaman song //CODING ID 3684 IN GLOBAL JUKEBOX, RELEVANT TEXT IS IN THE GENRE FIELD//</t>
  </si>
  <si>
    <t>Sung for son and husband; Noshiitin; sung by female shaman //CODING ID 3684 IN GLOBAL JUKEBOX, RELEVANT TEXT IS IN THE DESCRIPTION FIELD//</t>
  </si>
  <si>
    <t>Link takes you to global jukebox, click on the globe and the website will redirect you to the culture page. Select "Mourning Song" from the list of tracks on the right to hear the song.</t>
  </si>
  <si>
    <t>Thanking the Sun for Appearing</t>
  </si>
  <si>
    <t>https://theglobaljukebox.org/?share=Selk'nam-T5401R26m</t>
  </si>
  <si>
    <t>Thanksgiving</t>
  </si>
  <si>
    <t>Thanksgiving song //CODING ID 3930 IN GLOBAL JUKEBOX, RELEVANT TEXT IS IN THE GENRE FIELD//</t>
  </si>
  <si>
    <t>Link takes you to global jukebox, click on the globe and the website will redirect you to the culture page. Select "Thanking the sun for appearing" from the list of tracks on the right to hear the song.</t>
  </si>
  <si>
    <t>Toba</t>
  </si>
  <si>
    <t>toba1269</t>
  </si>
  <si>
    <t>tob</t>
  </si>
  <si>
    <t>Tobas Danza</t>
  </si>
  <si>
    <t>https://theglobaljukebox.org/?share=Toba-T5401R54</t>
  </si>
  <si>
    <t>Danza; dance song //CODING ID 4766 IN GLOBAL JUKEBOX, RELEVANT TEXT IS IN THE DESCRIPTION FIELD//</t>
  </si>
  <si>
    <t>Link takes you to global jukebox, click on the globe and the website will redirect you to the culture page. Select the second (of two) "Tobas Danza" from the list of tracks on the right to hear the song.</t>
  </si>
  <si>
    <t>Khmer</t>
  </si>
  <si>
    <t>cent1989</t>
  </si>
  <si>
    <t>khm</t>
  </si>
  <si>
    <t>"Arek"</t>
  </si>
  <si>
    <t>http://www.smileofangkor.info/sounds-of-angkor/#.WsavhZPwagw</t>
  </si>
  <si>
    <t>"NA"</t>
  </si>
  <si>
    <t>None of these, Cambodian Living Arts Music Library</t>
  </si>
  <si>
    <t>Over the centuries, the Khmer people have believed in natural spirits, souls (pralung), territorial spirits (neak ta), and all that preserves and protects the earth. Traditionally, these spirits and forces have been respected and feared. Arek has been traditionally performed in order to serve the needs of these spiritual forces and show them continual gratitude. When someone is sick, Arek music is played to call the spirit to come, entering a person who is then asked the reasons for the illness. Once the sick person is healthy again, the Laing roang ceremony is performed in which all the protective spirits are invited for feast and to listen to festive music. Offerings of food and drink, along with Arek music, are offered to the spirits in times when there is no rain, if animals or humans in the region are struck by disease, or when a large and important undertaking is planned. These ceremonies ask the spirits for help to solve a problem or to fulfill a wish or desired plan.</t>
  </si>
  <si>
    <t>The link provided is temporary. I need to upload the link to the Music Lab NAS because it comes from a source sent directly to me by an ethnomusicologist.</t>
  </si>
  <si>
    <t>ABK</t>
  </si>
  <si>
    <t>Wichí</t>
  </si>
  <si>
    <t>wich1264</t>
  </si>
  <si>
    <t>mzh</t>
  </si>
  <si>
    <t>Danza</t>
  </si>
  <si>
    <t>https://theglobaljukebox.org/?share=Wich%C3%AD-T5401R45</t>
  </si>
  <si>
    <t>Danza; dance song //CODING ID 4769 IN GLOBAL JUKEBOX, RELEVANT TEXT IS IN THE GENRE FIELD//</t>
  </si>
  <si>
    <t>Link takes you to global jukebox, click on the globe and the website will redirect you to the culture page. Select "Danza" from the list of tracks on the right to hear the song.</t>
  </si>
  <si>
    <t>Danza Medicinal</t>
  </si>
  <si>
    <t>https://theglobaljukebox.org/?share=Wich%C3%AD-T5401R46</t>
  </si>
  <si>
    <t>Danza; dance song; healing song //CODING ID 4770 IN GLOBAL JUKEBOX, RELEVANT TEXT IS IN THE DESCRIPTION FIELD//</t>
  </si>
  <si>
    <t>Link takes you to global jukebox, click on the globe and the website will redirect you to the culture page. Select "Danza Medicinal" from the list of tracks on the right to hear the song.</t>
  </si>
  <si>
    <t>Butchalla</t>
  </si>
  <si>
    <t>band1339</t>
  </si>
  <si>
    <t>kabi1260</t>
  </si>
  <si>
    <t>Yunma-n Walabai, Walbai Yunma-n</t>
  </si>
  <si>
    <t>https://vimeo.com/69669861</t>
  </si>
  <si>
    <t>The Endangered Languages Project</t>
  </si>
  <si>
    <t>//LYRICS "Bula walalbai mil nhaa Biral (Two little eyes to look up to God) Bula walalbai binang buranga ngunda yaalam (Two little ears to hear his word) Kalim walalbai dunam yaalam galangoor (One little tongue to speak the truth) Yunma-n walalbai walbai yunman (Sleep little baby sleep) Yunma-n walalbai walbai yunman (Sleep little baby sleep) Yunma-n walalbai walbai yunman (Sleep little baby sleep) TRANSLATION FROM ENDANGERED LANGUAGES PROJECT//</t>
  </si>
  <si>
    <t>http://www.endangeredlanguages.com/lang/6772 click on Resources</t>
  </si>
  <si>
    <t>Matacos Danza</t>
  </si>
  <si>
    <t>https://theglobaljukebox.org/?share=Wich%C3%AD-T5401R47</t>
  </si>
  <si>
    <t>Danza; dance song //CODING ID 4771 IN GLOBAL JUKEBOX, RELEVANT TEXT IS IN THE DESCRIPTION FIELD//</t>
  </si>
  <si>
    <t>Link takes you to global jukebox, click on the globe and the website will redirect you to the culture page. Select "Matacos danza" from the list of tracks on the right to hear the song.</t>
  </si>
  <si>
    <t>Maranoa , Queensland</t>
  </si>
  <si>
    <t>sout2765</t>
  </si>
  <si>
    <t>Maranoa Lullaby</t>
  </si>
  <si>
    <t>https://www.nfsa.gov.au/collection/curated/maranoa-lullaby-harold-blair</t>
  </si>
  <si>
    <t>NATIONAL FILM AND SOUND ARCHIVE OF AUSTRALIA</t>
  </si>
  <si>
    <t>//MARANOA LULLABY, TITLE FOUND IN NATIONAL FILM AND SOUND ARCHIVE OF AUSTRALIA//</t>
  </si>
  <si>
    <t>Antakirinya / Wangkangurru / Arrernte</t>
  </si>
  <si>
    <t>anta1253</t>
  </si>
  <si>
    <t>aran1263</t>
  </si>
  <si>
    <t>ant</t>
  </si>
  <si>
    <t>http://catalogue.aiatsis.gov.au/client/en_AU/external/search/detailnonmodal/ent:$002f$002fSD_ILS$002f0$002fSD_ILS:317042/ada?qu=healing+song&amp;te=ILS&amp;lm=AUDIO</t>
  </si>
  <si>
    <t>AIATSIS</t>
  </si>
  <si>
    <t>Two women song series performed as a healing rite //FOUND IN ABSTRACT IN AIATSIS LISTING//</t>
  </si>
  <si>
    <t>AIATSIS Call number ELLIS_C05</t>
  </si>
  <si>
    <t>AIASTIS listing, cannot find audio online, will have to call from catalogue.</t>
  </si>
  <si>
    <t>Yolgnu</t>
  </si>
  <si>
    <t>Ngaljod</t>
  </si>
  <si>
    <t>http://www.worldcat.org/title/dreamings-aboriginal-healing-didjeridu/oclc/39975607&amp;referer=brief_results</t>
  </si>
  <si>
    <t>Aboriginal healing didjeridu (instrument) //IN TITLE OF WORLDCAT//</t>
  </si>
  <si>
    <t>Mali</t>
  </si>
  <si>
    <t>Aboriginal healing didjeridu (instrument) // TITLE IN WORLDCAT//</t>
  </si>
  <si>
    <t>Mani</t>
  </si>
  <si>
    <t>Aboriginal Healing Didjeridu //TITLE IN WORDCAT//</t>
  </si>
  <si>
    <t>Ngurra (Dance)</t>
  </si>
  <si>
    <t>Aboriginal Healing Didjeridu // TITLE IN WORLDCAT//</t>
  </si>
  <si>
    <t>Nyulnyul</t>
  </si>
  <si>
    <t>nyul1247</t>
  </si>
  <si>
    <t>nyv</t>
  </si>
  <si>
    <t>Waggin's Nurlu</t>
  </si>
  <si>
    <t>http://www.worldcat.org/title/songs-from-the-kimberleys-aboriginal-music-from-the-kimberley-region-of-western-australia/oclc/767510325&amp;referer=brief_results</t>
  </si>
  <si>
    <t>Dance songs accompanied by boomerang clapsticks are called nurlu by Nyulnyul people //PAGE 5, COMPANION BOOKLET FOR COMPACT DISC, AIATSIS//</t>
  </si>
  <si>
    <t>Companion booklet: https://aiatsis.gov.au/sites/default/files/docs/asp/song-from-the-kimberleys.pdf</t>
  </si>
  <si>
    <t>Wororoa / Wunambal</t>
  </si>
  <si>
    <t>wuna1249</t>
  </si>
  <si>
    <t>wub</t>
  </si>
  <si>
    <t>Balganya</t>
  </si>
  <si>
    <t>Dance songs accompanied by paired sticks are called balga by the Wunambul and Ungarinyin and balgan, balganya or djuan-banya by the Worora //PAGE 5, COMPANION BOOK TO COMPACT DISC, AIATSIS//</t>
  </si>
  <si>
    <t>Companion book: https://aiatsis.gov.au/sites/default/files/docs/asp/song-from-the-kimberleys.pdf</t>
  </si>
  <si>
    <t>Ungarinyin (language)</t>
  </si>
  <si>
    <t>ngar1284</t>
  </si>
  <si>
    <t>ung</t>
  </si>
  <si>
    <t>Guluwada Songs</t>
  </si>
  <si>
    <t>Guluwada songs are also called ‘love songs’ //PAGE 10, COMPANION BOOK TO COMPACT DISC, AIATSIS//</t>
  </si>
  <si>
    <t>General Kimberleys</t>
  </si>
  <si>
    <t>Totem Dance</t>
  </si>
  <si>
    <t>Sung outside with dancing (public performance) //PAGE 12, COMPANION BOOKLET, AIATSIS//</t>
  </si>
  <si>
    <t>Companion booklet:https://aiatsis.gov.au/sites/default/files/docs/asp/song-from-the-kimberleys.pdf</t>
  </si>
  <si>
    <t>Kununurra, Ord River</t>
  </si>
  <si>
    <t>jarr1235</t>
  </si>
  <si>
    <t>not very sure about this one</t>
  </si>
  <si>
    <t>Djanba</t>
  </si>
  <si>
    <t>Kununurra — outside with dancing. //PAGE 12 COMPANION BOOKLET, AIATSIS//</t>
  </si>
  <si>
    <t>https://aiatsis.gov.au/sites/default/files/docs/asp/song-from-the-kimberleys.pdf</t>
  </si>
  <si>
    <t>Toueleou, Southeastern Guinea</t>
  </si>
  <si>
    <t>loma1259</t>
  </si>
  <si>
    <t>Chants Funebres I</t>
  </si>
  <si>
    <t>https://theglobaljukebox.org/?share=Loma-T5459R41</t>
  </si>
  <si>
    <t>Funeral Song</t>
  </si>
  <si>
    <t>Funeral Song//GLOBAL JUKEBOX CODING ID 464/AUDIO FILE ID T5459R41, RELEVANT TEXT IS IN THE GENRE FIELD//</t>
  </si>
  <si>
    <t>Funeral lament for deceased elderly woman//GLOBAL JUKEBOX CODING ID 464/AUDIO FILE ID T5459R41, RELEVANT TEXT IS IN THE DESCRIPTION FIELD//</t>
  </si>
  <si>
    <t>Kolkhoznik Song</t>
  </si>
  <si>
    <t>http://media.theglobaljukebox.org/audio/T5411R08m.mp3</t>
  </si>
  <si>
    <t>Agricultural song (//CODING ID 2879 IN GLOBAL JUKEBOX, RELEVANT TEXT IS IN THE GENRE FIELD//)</t>
  </si>
  <si>
    <t>Collective farmers' song (//CODING ID 2879 IN GLOBAL JUKEBOX, DESCRIPTION FIELD//)</t>
  </si>
  <si>
    <t>He Went After Roots</t>
  </si>
  <si>
    <t>http://media.theglobaljukebox.org/audio/T5411R09m.mp3</t>
  </si>
  <si>
    <t>Domestic song (//Coding ID: 2881IN GLOBAL JUKEBOX//)</t>
  </si>
  <si>
    <t>Domestic song about digging edible roots (//Coding ID: 2881IN GLOBAL JUKEBOX, RELEVANT TEXT IS IN THE DESCRIPTION FIELD//)</t>
  </si>
  <si>
    <t>Sleeping Princess Ballad</t>
  </si>
  <si>
    <t>http://media.theglobaljukebox.org/audio/T5410R25.mp3</t>
  </si>
  <si>
    <t>Narrative song; ballad; mythical song; heroic song</t>
  </si>
  <si>
    <t>Narrative song; ballad; mythical song; heroic song ((//Coding ID: 2914, IN GLOBAL JUKEBOX, RELEVANT TEXT IS IN THE GENRE FIELD//)</t>
  </si>
  <si>
    <t>Heroic narrative poem about the daughter of a god, who came down from the sky to become the first human being (//Coding ID: 2914 IN GLOBAL JUKEBOX, RELEVANT TEXT IS IN THE DESCRIPTION FIELD//)</t>
  </si>
  <si>
    <t>The Beached Whale</t>
  </si>
  <si>
    <t>http://media.theglobaljukebox.org/audio/T5410R27.mp3</t>
  </si>
  <si>
    <t>Celebratory song (//Coding ID: 2916 IN GLOBAL JUKEBOX, RELEVANT TEXT IS IN THE GENRE FIELD//)</t>
  </si>
  <si>
    <t>Sung on the occasion of a whale beached on the seashore, this celebratory song expresses happiness over the good fortune in successfully obtaining a large amount of food (//Coding ID: 2916 IN GLOBAL JUKEBOX, RELEVANT TEXT IS IN THE DESCRIPTION FIELD//)</t>
  </si>
  <si>
    <t>Song About Continence</t>
  </si>
  <si>
    <t>http://media.theglobaljukebox.org/audio/T5410R29.mp3</t>
  </si>
  <si>
    <t>Morality song (//Coding ID: 2918 IN GLOBAL JUKEBOX, RELEVANT TEXT IS IN THE GENRE FIELD//)</t>
  </si>
  <si>
    <t>Song about continence; woman sings about her good behavior during the absence of her husband who was away on a long journey (//Coding ID: 2918 IN GLOBAL JUKEBOX, RELEVANT TEXT IS IN THE DESCRIPTION FIELD//)</t>
  </si>
  <si>
    <t>Celebrating the Descent of a God from the Moon</t>
  </si>
  <si>
    <t>Song for deity; celebratory song; song of arrival</t>
  </si>
  <si>
    <t>Song for deity; celebratory song; song of arrival (//Coding ID: 4346 IN GLOBAL JUKEBOX, RELEVANT TEXT IS IN THE GENRE FIELD//)</t>
  </si>
  <si>
    <t>Song celebrating the arrival of a god from the Moon (//Coding ID: 4346 IN GLOBAL JUKEBOX, RELEVANT TEXT IS IN THE DESCRIPTION FIELD//)</t>
  </si>
  <si>
    <t>Yukaghir (not in HRAF)</t>
  </si>
  <si>
    <t>Improvised Song Shiishii</t>
  </si>
  <si>
    <t>http://media.theglobaljukebox.org/audio/T5410R58.mp3</t>
  </si>
  <si>
    <t>Improvised song (//Coding ID: 2805 IN GLOBAL JUKEBOX, RELEVANT TEXT IS IN THE GENRE FIELD//)</t>
  </si>
  <si>
    <t>Affectionate song adressed to a baby (//Coding ID: 2805 IN GLOBAL JUKEBOX, RELEVANT TEXT IS IN THE DESCRIPTION FIELD//)</t>
  </si>
  <si>
    <t>Musiqueada jazmin guype</t>
  </si>
  <si>
    <t>http://id.lib.harvard.edu/aleph/012096982/catalog</t>
  </si>
  <si>
    <t>Amores nuevos</t>
  </si>
  <si>
    <t>http://www.worldcat.org/oclc/13210331</t>
  </si>
  <si>
    <t>Maya (Yucatan Peninsula)</t>
  </si>
  <si>
    <t>Rezo de santiguación</t>
  </si>
  <si>
    <t>http://www.worldcat.org/oclc/66145299</t>
  </si>
  <si>
    <t>Track 13</t>
  </si>
  <si>
    <t>51-52</t>
  </si>
  <si>
    <t>Bênção de cura</t>
  </si>
  <si>
    <t>http://www.worldcat.org/oclc/66266817</t>
  </si>
  <si>
    <t>Track 10</t>
  </si>
  <si>
    <t>Musahowelele likishi la Mulena</t>
  </si>
  <si>
    <t>http://greenstone.ilam.ru.ac.za/cgi-bin/library?e=q-01000-00---0ilam--00-1--0-10-0---0---0prompt-10-DU--4-------0-1l--11-en-50---20-about-C3X10--00-3-1-00-0011-0-0utfZz-8-00&amp;a=d&amp;c=ilam&amp;srp=0&amp;srn=0&amp;cl=search&amp;d=D32063</t>
  </si>
  <si>
    <t>Tape 72</t>
  </si>
  <si>
    <t>Huichol</t>
  </si>
  <si>
    <t>huic1243</t>
  </si>
  <si>
    <t>hch</t>
  </si>
  <si>
    <t>Canción de amor (canto de entretenimiento)</t>
  </si>
  <si>
    <t>http://www.worldcat.org/oclc/300278568</t>
  </si>
  <si>
    <t>11-12, 31-32, 37</t>
  </si>
  <si>
    <t>Royne: Çî bû çit lê kirdim</t>
  </si>
  <si>
    <t>Side B, Track 5</t>
  </si>
  <si>
    <t>People of Carriacou</t>
  </si>
  <si>
    <t>gren1247</t>
  </si>
  <si>
    <t>gcl</t>
  </si>
  <si>
    <t>Corporal Williams</t>
  </si>
  <si>
    <t>https://theglobaljukebox.org/?share=Carriacou-T5473R37</t>
  </si>
  <si>
    <t>Global Jukebox, WorldCat</t>
  </si>
  <si>
    <t>Kalinda (stick dance), one of the Big Drum Nation dances //CODING ID 1152 IN GLOBAL JUKEBOX, RELEVANT TEXT IS IN THE DESCRIPTION FIELD//</t>
  </si>
  <si>
    <t>Old people's Kalinda</t>
  </si>
  <si>
    <t>https://theglobaljukebox.org/?share=Carriacou-T5473R38</t>
  </si>
  <si>
    <t>Global Jukebox, Garland Encyclopedia of World Music</t>
  </si>
  <si>
    <t>Kalenda; dance song; nation dance; elders' song //CODING ID 1154 IN GLOBAL JUKEBOX, RELEVANT TEXT IS IN THE GENRE FIELD</t>
  </si>
  <si>
    <t>Oko</t>
  </si>
  <si>
    <t>https://theglobaljukebox.org/?share=Carriacou-T5473R39</t>
  </si>
  <si>
    <t>Kalenda, Stick dance; nation dance; Kromanti language //CODING ID 1155 IN GLOBAL JUKEBOX, RELEVANT TEXT IS IN THE DESCRIPTION FIELD//</t>
  </si>
  <si>
    <t>Click on the blue globe, it will direct you right to the song.</t>
  </si>
  <si>
    <t>Wogait</t>
  </si>
  <si>
    <t>Wogaitj Mourning Songs</t>
  </si>
  <si>
    <t>http://colsearch.nfsa.gov.au/nfsa/search/display/display.w3p;adv=;group=;groupequals=;holdingType=;page=0;parentid=;query=Aboriginal%20Music%20From%20The%20Northern%20Territory%20Of%20Australia,%201948;querytype=;rec=0;resCount=10</t>
  </si>
  <si>
    <t>Track is S1, unclear which Disc</t>
  </si>
  <si>
    <t>Mourning Song //LABELED IN GLOBAL JUKEBOX CODING ID 1219//</t>
  </si>
  <si>
    <t>Request access at the link</t>
  </si>
  <si>
    <t>Show Me The Road</t>
  </si>
  <si>
    <t>https://theglobaljukebox.org/?share=Carriacou-T5473R43</t>
  </si>
  <si>
    <t>Kalenda; dance song; nation dance; Big Drum dance //CODING ID 1167 IN GLOBAL JUKEBOX, RELEVANT TEXT IS IN THE GENRE FIELD//</t>
  </si>
  <si>
    <t>Click on the blue globe and it will direct you right to the song.</t>
  </si>
  <si>
    <t>Guadeloupean youth, Gwoka</t>
  </si>
  <si>
    <t>guad1242</t>
  </si>
  <si>
    <t>less1242</t>
  </si>
  <si>
    <t>gcf</t>
  </si>
  <si>
    <t>Palagué</t>
  </si>
  <si>
    <t>https://theglobaljukebox.org/?share=Guadeloupe-T5478R26</t>
  </si>
  <si>
    <t>Gwo ka drum dance with call-and-response between lead singers and chorus; excerpt //CODING ID 1118 IN GLOBAL JUKEBOX, RELEVANT TEXT IS IN THE DESCRIPTION FIELD//</t>
  </si>
  <si>
    <t>Click on the blue globe, you will be directed right to the song.</t>
  </si>
  <si>
    <t>Djapu</t>
  </si>
  <si>
    <t>djap1238</t>
  </si>
  <si>
    <t>anin1240</t>
  </si>
  <si>
    <t>Morning Star, Pigeon, and Rain songs</t>
  </si>
  <si>
    <t>https://folkways.si.edu/australia-aboriginal-music/world/music/album/smithsonian</t>
  </si>
  <si>
    <t>"These songs would be performed at times of death and mourning, the morning star being associated with the home of departed spirits" //LINER NOTES PAGE 7 SMITHSONIAN FOLKWAYS//</t>
  </si>
  <si>
    <t>People of rural Martinique</t>
  </si>
  <si>
    <t>La Danse-la-la-o</t>
  </si>
  <si>
    <t>https://theglobaljukebox.org/?share=Martinique-T5475R02</t>
  </si>
  <si>
    <t>Story song dance; French creole //CODING ID 1179 IN GLOBAL JUKEBOX, RELEVANT TEXT IS IN THE DESCRIPTION FIELD//</t>
  </si>
  <si>
    <t>Dépayé</t>
  </si>
  <si>
    <t>https://theglobaljukebox.org/?share=Martinique-T5474R48</t>
  </si>
  <si>
    <t>Bélé; work song; dance song //CODING ID 1183 IN GLOBAL JUKEBOX, RELEVANT TEXT IS IN THE DESCRIPTION FIELD//</t>
  </si>
  <si>
    <t>People of Martinique</t>
  </si>
  <si>
    <t>O-Mérilo</t>
  </si>
  <si>
    <t>https://theglobaljukebox.org/?share=Martinique-T5479R24</t>
  </si>
  <si>
    <t>Ting bang; ring dance; disparaging local government officials //CODING ID 1190 IN GLOBAL JUKEBOX, RELEVANT TEXT IS IN THE DESCRIPTION FIELD//</t>
  </si>
  <si>
    <t>Click on the blue globe and you will be directed to the song.</t>
  </si>
  <si>
    <t>People of Nevis</t>
  </si>
  <si>
    <t>cari1282</t>
  </si>
  <si>
    <t>Dance the Boatman Dance</t>
  </si>
  <si>
    <t>https://theglobaljukebox.org/?share=Nevis-T5478R44</t>
  </si>
  <si>
    <t>Dance tune, English Creole //CODING ID 1042 IN GLOBAL JUKEBOX, RELEVANT TEXT IS IN THE DESCRIPTION FIELD//</t>
  </si>
  <si>
    <t>hiva va'inga</t>
  </si>
  <si>
    <t>http://ampm.auckland.ac.nz/handle/id/57678</t>
  </si>
  <si>
    <t>hiva va'inga //AMPM ACCESSION NUMBER 74/004.05//</t>
  </si>
  <si>
    <t>Additionally, a large number of game songs (hiva vainga *) are sung by children to accompany activities such as surfing, juggling, hide­and­seek, counting, chasing, ear pulling, splashing, and many others. //McLean, M 1999, Weavers Of Song : Polynesian Music And Dance, Honolulu: University of Hawaii Press, eBook Collection (EBSCOhost), EBSCOhost, viewed 28 March 2018.//</t>
  </si>
  <si>
    <t>http://ampm.auckland.ac.nz/handle/id/57679</t>
  </si>
  <si>
    <t>hiva va'inga //AMPM ACCESSION NUMBER 74/004.06//</t>
  </si>
  <si>
    <t>http://ampm.auckland.ac.nz/handle/id/57680</t>
  </si>
  <si>
    <t>hiva va'inga //AMPM ACCESSION NUMBER 74/004.07//</t>
  </si>
  <si>
    <t>Marquesas</t>
  </si>
  <si>
    <t>nort2845</t>
  </si>
  <si>
    <t>marq1246</t>
  </si>
  <si>
    <t>mrq</t>
  </si>
  <si>
    <t>Childrens song</t>
  </si>
  <si>
    <t>http://ampm.auckland.ac.nz/handle/id/88921</t>
  </si>
  <si>
    <t>Childrens song //AMPM ACCESSION NUMBER C89/144.17//</t>
  </si>
  <si>
    <t>Game song</t>
  </si>
  <si>
    <t>http://ampm.auckland.ac.nz/handle/id/88950</t>
  </si>
  <si>
    <t>Game song //AMPM ACCESSION NUMBER C89/145.14//</t>
  </si>
  <si>
    <t>http://ampm.auckland.ac.nz/handle/id/89273</t>
  </si>
  <si>
    <t>Pipine //AMPM ACCESSION NUMBER C89/153.19//</t>
  </si>
  <si>
    <t>Apakura</t>
  </si>
  <si>
    <t>http://ampm.auckland.ac.nz/handle/id/66942</t>
  </si>
  <si>
    <t>For a loved one Explanations in Maaori by Reeweti Koohere //AMPM ACCESSION NUMBER 82/053.01//</t>
  </si>
  <si>
    <t>Waiata-aa-ringa (Tune: Pagan Love Song, 1929)</t>
  </si>
  <si>
    <t>http://ampm.auckland.ac.nz/handle/id/73524</t>
  </si>
  <si>
    <t>Waiata-aa-ringa (Tune: Pagan Love Song, 1929) //AMPM ACCESSION NUMBER 91/166.04a//</t>
  </si>
  <si>
    <t>Canoe paddling chant</t>
  </si>
  <si>
    <t>http://ampm.auckland.ac.nz/handle/id/66721</t>
  </si>
  <si>
    <t>Canoe paddling chant //AMPM ACCESSION NUMBER 174.096//</t>
  </si>
  <si>
    <t>Canoe Hauling Song</t>
  </si>
  <si>
    <t>http://ampm.auckland.ac.nz/handle/id/57645</t>
  </si>
  <si>
    <t>Canoe Hauling Song //AMPM ACCESSION NUMBER 73/163.12//</t>
  </si>
  <si>
    <t>Log-hauling chant</t>
  </si>
  <si>
    <t>http://ampm.auckland.ac.nz/handle/id/73042</t>
  </si>
  <si>
    <t>Log-hauling chant //AMPM ACCESSION NUMBER 91/133.04a//</t>
  </si>
  <si>
    <t>Karakia</t>
  </si>
  <si>
    <t>http://ampm.auckland.ac.nz/handle/id/73028</t>
  </si>
  <si>
    <t>Hauling song of the Tainui canoe when it was drawn across the Tamaki isthmus //AMPM ACCESSION NUMBER 91/132.05c//</t>
  </si>
  <si>
    <t>siva</t>
  </si>
  <si>
    <t>http://ampm.auckland.ac.nz/handle/id/91394</t>
  </si>
  <si>
    <t>Mama i uta Ē, ī, ā! 'Isumu e, fai mai Tātou toso le va'a 'i tai Tōsoa, Īoa. //AMPM ACCESSION NUMBER 15/072.16//</t>
  </si>
  <si>
    <t>Approximate translation from google translate indicates it might be a work song - but I might be wrong. Perhaps a better translator can verify this</t>
  </si>
  <si>
    <t>French Creole</t>
  </si>
  <si>
    <t>sain1246</t>
  </si>
  <si>
    <t>acf</t>
  </si>
  <si>
    <t>Belle Louisa</t>
  </si>
  <si>
    <t>https://theglobaljukebox.org/?share=St.%20Lucia-T5478R02</t>
  </si>
  <si>
    <t>Bele a l'air; dance tune; French Creole //CODING ID 1162 IN GLOBAL JUKEBOX, RELEVANT TEXT IS IN THE DESCRIPTION FIELD//</t>
  </si>
  <si>
    <t>People of St. Lucia, also Abwe people?</t>
  </si>
  <si>
    <t>Quand Le Roi Entrée A Paris</t>
  </si>
  <si>
    <t>https://theglobaljukebox.org/?share=St.%20Lucia-T5478R13</t>
  </si>
  <si>
    <t>Drinking song; Abwe story song; French //CODING ID 1164 IN GLOBAL JUKEBOX, RELEVANT TEXT IS IN THE DESCRIPTION FIELD//</t>
  </si>
  <si>
    <t>Click on blue globe, you will be directed to the song.</t>
  </si>
  <si>
    <t>People of St. Lucia</t>
  </si>
  <si>
    <t>Mwen Vlé Venté</t>
  </si>
  <si>
    <t>https://theglobaljukebox.org/?share=St.%20Lucia-T5478R19</t>
  </si>
  <si>
    <t>Work song; sawing song //CODING ID 1166 IN GLOBAL JUKEBOX, RELEVANT TEXT IS IN THE DESCRIPTION FIELD//</t>
  </si>
  <si>
    <t>Click the blue globe, you will be directed to the song.</t>
  </si>
  <si>
    <t>People of Toco</t>
  </si>
  <si>
    <t>trin1276</t>
  </si>
  <si>
    <t>trf</t>
  </si>
  <si>
    <t>Passé Messieurs</t>
  </si>
  <si>
    <t>https://theglobaljukebox.org/?share=Toco-T5477R02</t>
  </si>
  <si>
    <t>Stone game song //CODING ID 1376 IN GLOBAL JUKEBOX, RELEVANT TEXT IS IN THE DESCRIPTION FIELD//</t>
  </si>
  <si>
    <t>Click on blue globe, you will be directed to song</t>
  </si>
  <si>
    <t>River of Don Pedro</t>
  </si>
  <si>
    <t>https://theglobaljukebox.org/?share=Toco-T5476R50</t>
  </si>
  <si>
    <t>Spoken story song //CODING ID 4282 IN GLOBAL JUKEBOX, RELEVANT TEXT IS IN THE DESCRIPTION FIELD//</t>
  </si>
  <si>
    <t>Himene</t>
  </si>
  <si>
    <t>http://ampm.auckland.ac.nz/handle/id/89508</t>
  </si>
  <si>
    <t>This song was sung as the groups processed into the church //AMPM ACCESSION NUMBER C89/161.01//</t>
  </si>
  <si>
    <t>Aloha Parade</t>
  </si>
  <si>
    <t>http://ampm.auckland.ac.nz/handle/id/75872</t>
  </si>
  <si>
    <t>Aloha Parade //AMPM ACCESSION NUMBER C85/065.06//</t>
  </si>
  <si>
    <t>Trinidad Creole</t>
  </si>
  <si>
    <t>Juliana</t>
  </si>
  <si>
    <t>https://theglobaljukebox.org/?share=Trinidad%20Creole-T5476R37</t>
  </si>
  <si>
    <t>Chantey; work song; English //CODING ID 1256 IN GLOBAL JUKEBOX, RELEVANT TEXT IS IN THE DESCRIPTION FIELD//</t>
  </si>
  <si>
    <t>March of the Beachcombers</t>
  </si>
  <si>
    <t>http://ampm.auckland.ac.nz/handle/id/75878</t>
  </si>
  <si>
    <t>March of the Beachcombers //AMPM ACCESSION NUMBER C85/065.11//</t>
  </si>
  <si>
    <t>Jane And Louisa</t>
  </si>
  <si>
    <t>https://theglobaljukebox.org/?share=Trinidad%20Creole-T5476R23</t>
  </si>
  <si>
    <t>Global Jukebox, Garland Encyclopedia of World Music, Smithsonian Folkways, WorldCat</t>
  </si>
  <si>
    <t>Game song; English //CODING ID 1351IN GLOBAL JUKEBOX, RELEVANT TEXT IS IN THE DESCRIPTION FIELD//</t>
  </si>
  <si>
    <t>lament</t>
  </si>
  <si>
    <t>http://ampm.auckland.ac.nz/handle/id/58132</t>
  </si>
  <si>
    <t>lament //AMPM ACCESSION NUMBER 74/043.31//</t>
  </si>
  <si>
    <t>Waiata tangi</t>
  </si>
  <si>
    <t>http://ampm.auckland.ac.nz/handle/id/72942</t>
  </si>
  <si>
    <t>Lament for Te Maitaranui //AMPM ACCESSION NUMBER 91/128.03c//</t>
  </si>
  <si>
    <t>http://ampm.auckland.ac.nz/handle/id/73005</t>
  </si>
  <si>
    <t>Lament for his son Tuterangiwhaitiri //AMPM ACCESSION NUMBER 91/131.03b//</t>
  </si>
  <si>
    <t>http://ampm.auckland.ac.nz/handle/id/72946</t>
  </si>
  <si>
    <t>Lament for Te Pukenui //AMPM ACCESSION NUMBER 91/128.04c//</t>
  </si>
  <si>
    <t>http://ampm.auckland.ac.nz/handle/id/72939</t>
  </si>
  <si>
    <t>Lament for Taamati //AMPM ACCESSION NUMBER 91/128.02c//</t>
  </si>
  <si>
    <t>http://ampm.auckland.ac.nz/handle/id/66828</t>
  </si>
  <si>
    <t>Lament over a death by illness //AMPM ACCESSION NUMBER 82/040.10//</t>
  </si>
  <si>
    <t>Haiti</t>
  </si>
  <si>
    <t>hait1244</t>
  </si>
  <si>
    <t>plat1258</t>
  </si>
  <si>
    <t>hat</t>
  </si>
  <si>
    <t>Vive Le Roi</t>
  </si>
  <si>
    <t>https://theglobaljukebox.org/?share=Haiti-T5623R06</t>
  </si>
  <si>
    <t>Mourning song; dance song; morality song //CODING ID 3042 IN GLOBAL JUKEBOX, RELEVANT TEXT IS IN THE GENRE FIELD//</t>
  </si>
  <si>
    <t>Play song</t>
  </si>
  <si>
    <t>https://theglobaljukebox.org/?share=Haiti-T45027</t>
  </si>
  <si>
    <t>Play song //CODING ID 3046 IN GLOBAL JUKEBOX, RELEVANT TEXT IS IN THE GENRE FIELD//</t>
  </si>
  <si>
    <t>Click on blue globe, you will be directed to song.</t>
  </si>
  <si>
    <t>Paulette</t>
  </si>
  <si>
    <t>https://theglobaljukebox.org/?share=Haiti-T45029</t>
  </si>
  <si>
    <t>Global Jukebox, Garland Encyclopedia of World Music, Smithsonian Folkways</t>
  </si>
  <si>
    <t>Romantic song; ballad; a man meets his childhood love again in adulthood //CODING ID 3048 IN GLOBAL JUKEBOX, RELEVANT TEXT IS IN THE DESCRIPTION FIELD//</t>
  </si>
  <si>
    <t>Click blue globe, you will be directed to the song.</t>
  </si>
  <si>
    <t>Carriacou</t>
  </si>
  <si>
    <t>Lazar, Ai, Lazar</t>
  </si>
  <si>
    <t>https://theglobaljukebox.org/?share=Carriacou-T5474R21</t>
  </si>
  <si>
    <t>Hallecord; a song of mourning; a Creole Big Drum Nation dance //CODING ID 1297 IN GLOBAL JUKEBOX, RELEVANT TEXT IS IN THE DESCRIPTION FIELD//</t>
  </si>
  <si>
    <t>Hush, Baby, Hush</t>
  </si>
  <si>
    <t>https://theglobaljukebox.org/?share=Carriacou-T5474R37</t>
  </si>
  <si>
    <t>Lullaby //CODING ID 1282 IN GLOBAL JUKEBOX, RELEVANT TEXT IS IN THE DESCRIPTION FIELD//</t>
  </si>
  <si>
    <t>Igbo Ginade-o</t>
  </si>
  <si>
    <t>https://theglobaljukebox.org/?share=Carriacou-T5474R09</t>
  </si>
  <si>
    <t>Igbo nation song; song of lamentation danced with exuberance and fervor //CODING ID 1309 IN GLOBAL JUKEBOX, RELEVANT TEXT IS IN THE DESCRIPTION FIELD//</t>
  </si>
  <si>
    <t>O the Angels Send Me for You</t>
  </si>
  <si>
    <t>https://theglobaljukebox.org/?share=Carriacou-T5473R20</t>
  </si>
  <si>
    <t>Wake song; anthem //CODING ID 1465 IN GLOBAL JUKEBOX, RELEVANT TEXT IS IN THE DESCRIPTION FIELD//</t>
  </si>
  <si>
    <t>Click on the blue globe, you will be directed to the song.</t>
  </si>
  <si>
    <t>Queensland</t>
  </si>
  <si>
    <t>meri1244</t>
  </si>
  <si>
    <t>ulk</t>
  </si>
  <si>
    <t>Song by John Bon</t>
  </si>
  <si>
    <t>https://folkways.si.edu/john-bon/song-by-john-bon/world/music/track/smithsonian</t>
  </si>
  <si>
    <t>Side B Band 21 (Track 141)</t>
  </si>
  <si>
    <t>A song relating to Gelam, a youthful culture hero. //LINER NOTES PAGE 4, SMITHSONIAN FOLKWAYS//</t>
  </si>
  <si>
    <t>liner notes: https://folkways-media.si.edu/liner_notes/folkways/FW04102.pdf</t>
  </si>
  <si>
    <t>Dominicana</t>
  </si>
  <si>
    <t>Do-do Pauv' Piti</t>
  </si>
  <si>
    <t>https://theglobaljukebox.org/?share=Dominica-T5585R04</t>
  </si>
  <si>
    <t>Lullaby //CODING ID 1069 IN GLOBAL JUKEBOX, RELEVANT TEXT IS IN THE DESCRIPTION FIELD//</t>
  </si>
  <si>
    <t>Grenada</t>
  </si>
  <si>
    <t>this is likely actually a french creole but I can't find the glottocode for it and it's a dying creole</t>
  </si>
  <si>
    <t>Dodo Petit Popo</t>
  </si>
  <si>
    <t>https://theglobaljukebox.org/?share=Grenada-T5477R23</t>
  </si>
  <si>
    <t>Lullaby; French Creole //CODING ID 1442 IN GLOBAL JUKEBOX, RELEVANT TEXT IS IN THE DESCRIPTION FIELD//</t>
  </si>
  <si>
    <t>Nevis</t>
  </si>
  <si>
    <t>aig</t>
  </si>
  <si>
    <t>Baby, Rock Away</t>
  </si>
  <si>
    <t>https://theglobaljukebox.org/?share=Nevis-T5585R17</t>
  </si>
  <si>
    <t>Lullaby; acculurated, urban //CODING ID 1043 IN GLOBAL JUKEBOX, RELEVANT TEXT IS IN THE DESCRIPTION FIELD//</t>
  </si>
  <si>
    <t>Anguilla</t>
  </si>
  <si>
    <t>Island Deh</t>
  </si>
  <si>
    <t>https://theglobaljukebox.org/?share=Anguilla-T5479R03</t>
  </si>
  <si>
    <t>Work song; in English Creole //CODING ID 1054 IN GLOBAL JUKEBOX, RELEVANT TEXT IS IN THE DESCRIPTION FIELD//</t>
  </si>
  <si>
    <t>Dominica</t>
  </si>
  <si>
    <t>Si Ya Leve La Main Pou Non Alle</t>
  </si>
  <si>
    <t>https://theglobaljukebox.org/?share=Dominica-T5475R51</t>
  </si>
  <si>
    <t>Work song //CODING ID 1083 IN GLOBAL JUKEBOX, RELEVANT TEXT IS IN THE DESCRIPTION FIELD//</t>
  </si>
  <si>
    <t>Wunambul Tribe</t>
  </si>
  <si>
    <t>Balga - Bush Fig</t>
  </si>
  <si>
    <t>https://search-alexanderstreet-com.ezp-prod1.hul.harvard.edu/view/work/bibliographic_entity%7Crecorded_cd%7C511039</t>
  </si>
  <si>
    <t>Garland Encyclopedia of World Music</t>
  </si>
  <si>
    <t>The Balga and Djunba songs are distinguished by the distinctive intertwining of male and female vocal harmonies, always underpinned by the rhythm of the clap sticks. The songs all have a story to tell; some light-hearted, some serious, some of contemporary contents, other passed through down through generations. //LINER NOTES PAGE 2, ALEXANDER STREET//</t>
  </si>
  <si>
    <t>4/13/2018 12:57:06</t>
  </si>
  <si>
    <t>Balga - Night Fishing</t>
  </si>
  <si>
    <t>4/13/2018 12:59:39</t>
  </si>
  <si>
    <t>Balga - Spirit Man</t>
  </si>
  <si>
    <t>4/13/2018 13:02:09</t>
  </si>
  <si>
    <t>Balga - Sea Storm</t>
  </si>
  <si>
    <t>4/13/2018 13:03:35</t>
  </si>
  <si>
    <t>Moraburr - Puppy Dog</t>
  </si>
  <si>
    <t>The Moraburr songs are uncomplicated ballads, prominently featuring stories of the sea //LINER NOTES PAGE 2, ALEXANDER STREET//</t>
  </si>
  <si>
    <t>4/13/2018 13:06:34</t>
  </si>
  <si>
    <t>Moraburr - Wrong Road</t>
  </si>
  <si>
    <t>Track 30</t>
  </si>
  <si>
    <t>4/13/2018 13:09:51</t>
  </si>
  <si>
    <t>Makú</t>
  </si>
  <si>
    <t>maku1246</t>
  </si>
  <si>
    <t>Plantation Song</t>
  </si>
  <si>
    <t>https://ailla.utexas.org/islandora/object/ailla%3A125393</t>
  </si>
  <si>
    <t>AILLA</t>
  </si>
  <si>
    <t>Plantation Song //AILLA: Home » Collections » Amazonian Languages Collection of Ernest Migliazza » Plantation Song//</t>
  </si>
  <si>
    <t>"Plantation Song" isn't conclusive evidence for a work song, but I think it's suggestive. Access is blocked, but we might be able to contact AILLA and get the recording.</t>
  </si>
  <si>
    <t>4/13/2018 13:11:38</t>
  </si>
  <si>
    <t>Moraburr - Whale</t>
  </si>
  <si>
    <t>4/13/2018 13:11:56</t>
  </si>
  <si>
    <t>Country: Brazil; Place Created: Yapima (Jutica), Vaupés</t>
  </si>
  <si>
    <t>guan1269</t>
  </si>
  <si>
    <t>tuca1253</t>
  </si>
  <si>
    <t>gvc</t>
  </si>
  <si>
    <t>Curing chants - prayers - Ricardo</t>
  </si>
  <si>
    <t>https://ailla.utexas.org/islandora/object/ailla:152848</t>
  </si>
  <si>
    <t>Curing chants - prayers - Ricardo //AILLA: Home » Collections » Tucanoan Languages Collection of Janet Chernela » Curing chants - prayers - Ricardo//</t>
  </si>
  <si>
    <t>I listened to the second track because it was shorter, but then it sounded like an interview *about* the chant. First track included instead.</t>
  </si>
  <si>
    <t>4/13/2018 13:39:31</t>
  </si>
  <si>
    <t>Serbia</t>
  </si>
  <si>
    <t>mont1282</t>
  </si>
  <si>
    <t>Hajde Dano, Da Igramo</t>
  </si>
  <si>
    <t>https://theglobaljukebox.org/?share=Vasilj-T5591R09</t>
  </si>
  <si>
    <t>Side B, Track 16</t>
  </si>
  <si>
    <t>//GLOBAL JUKEBOX, Coding ID: 348, RELAVENT INFO IN DESCRIPTION</t>
  </si>
  <si>
    <t>4/15/2018 22:25:09</t>
  </si>
  <si>
    <t>NSB</t>
  </si>
  <si>
    <t>Wedding Song 1</t>
  </si>
  <si>
    <t>https://theglobaljukebox.org/?share=Dragas-T5463R39</t>
  </si>
  <si>
    <t>//GLOBAL JUKEBOX, CODING ID: 2368, WEDDING SONG 1//</t>
  </si>
  <si>
    <t>4/15/2018 22:38:41</t>
  </si>
  <si>
    <t>Romania (Huta Certeze, Oas, Maramures,)</t>
  </si>
  <si>
    <t>roma1327</t>
  </si>
  <si>
    <t>ron</t>
  </si>
  <si>
    <t>Joc Cu Fete</t>
  </si>
  <si>
    <t>https://theglobaljukebox.org/?share=Maramure%C8%99-T5522R69</t>
  </si>
  <si>
    <t>//GLOBAL JUKEBOX, CODING ID: 9407, RELEVANT INFO IN DESCRIPTION</t>
  </si>
  <si>
    <t>4/15/2018 22:50:49</t>
  </si>
  <si>
    <t>Romania (Borlovenii Vechi, Caraș-Severin, Banat)</t>
  </si>
  <si>
    <t>De Petrecut</t>
  </si>
  <si>
    <t>https://theglobaljukebox.org/?share=Banat-T5589R18</t>
  </si>
  <si>
    <t>//GLOBAL JUKEBOX, CODING ID: 958, RELEVANT INFO IN DESCRIPTION</t>
  </si>
  <si>
    <t>Ancient ritual song for accompanying the deceased//GLOBAL JUKEBOX//</t>
  </si>
  <si>
    <t>4/15/2018 22:56:02</t>
  </si>
  <si>
    <t>talanoa</t>
  </si>
  <si>
    <t>http://ampm.auckland.ac.nz/handle/id/58006</t>
  </si>
  <si>
    <t>Has spoken song text. Local story //AMPM ACCESSION NUMBER 74/034.06//</t>
  </si>
  <si>
    <t>continued here http://ampm.auckland.ac.nz/handle/id/58007</t>
  </si>
  <si>
    <t>4/16/2018 9:26:01</t>
  </si>
  <si>
    <t>Story for flying fish</t>
  </si>
  <si>
    <t>http://ampm.auckland.ac.nz/handle/id/87113</t>
  </si>
  <si>
    <t>Story for flying fish //AMPM ACCESSION NUMBER 84/236.04//</t>
  </si>
  <si>
    <t>A story about flying-fish at night //AMPM ACCESSION NUMBER 84/236.04//</t>
  </si>
  <si>
    <t>4/16/2018 9:27:56</t>
  </si>
  <si>
    <t>Story about making pia (starch)</t>
  </si>
  <si>
    <t>http://ampm.auckland.ac.nz/handle/id/87111</t>
  </si>
  <si>
    <t>Story about making pia (starch) //AMPM ACCESSION NUMBER 84/236.02//</t>
  </si>
  <si>
    <t>Spoken story about how pia (starch) was made in old days and even now //AMPM ACCESSION NUMBER 84/236.02//</t>
  </si>
  <si>
    <t>4/16/2018 9:34:06</t>
  </si>
  <si>
    <t>Story &amp; Lologo</t>
  </si>
  <si>
    <t>http://ampm.auckland.ac.nz/handle/id/87038</t>
  </si>
  <si>
    <t>Story &amp; Lologo //AMPM ACCESSION NUMBER 84/218.02//</t>
  </si>
  <si>
    <t>Tinilau and his wives (story) //AMPM ACCESSION NUMBER 84/218.02//</t>
  </si>
  <si>
    <t>4/16/2018 9:37:23</t>
  </si>
  <si>
    <t>Story about cooking wild yams</t>
  </si>
  <si>
    <t>http://ampm.auckland.ac.nz/handle/id/87112</t>
  </si>
  <si>
    <t>Story about cooking wild yams //AMPM ACCESSION NUMBER 84/236.03//</t>
  </si>
  <si>
    <t>A story about cooking wild yams in former times //AMPM ACCESSION NUMBER 84/236.03//</t>
  </si>
  <si>
    <t>4/16/2018 9:43:18</t>
  </si>
  <si>
    <t>Cook Islands</t>
  </si>
  <si>
    <t>Legend</t>
  </si>
  <si>
    <t>http://ampm.auckland.ac.nz/handle/id/57558</t>
  </si>
  <si>
    <t>Story of Tutavaka, a great warrior from the island of Aitutaki //AMPM ACCESSION NUMBER 73/151.15//</t>
  </si>
  <si>
    <t>4/16/2018 9:49:40</t>
  </si>
  <si>
    <t>‘Īmene tārekareka</t>
  </si>
  <si>
    <t>http://ampm.auckland.ac.nz/handle/id/86806</t>
  </si>
  <si>
    <t>Associated songs about the Story of Tuma, a brother of Onokura, who killed the dragon Tairavaru //AMPM ACCESSION NUMBER 83/137.11a//</t>
  </si>
  <si>
    <t>4/16/2018 9:51:52</t>
  </si>
  <si>
    <t>Akateni</t>
  </si>
  <si>
    <t>http://ampm.auckland.ac.nz/handle/id/86796</t>
  </si>
  <si>
    <t>The following is a variant of the story of Koroki-Te-Matangi and Koroki-Te-Vananga who, according to the version published by Low, Marouna encountered at sea on his way back to Aitutaki from Mangaia //AMPM ACCESSION NUMBER 83/135.06c//</t>
  </si>
  <si>
    <t>4/16/2018 9:53:28</t>
  </si>
  <si>
    <t>Tateni</t>
  </si>
  <si>
    <t>http://ampm.auckland.ac.nz/handle/id/86797</t>
  </si>
  <si>
    <t>Song relating to the story of Koroki-Te-Matangi and Koroki-Te-Vananga //AMPM ACCESSION NUMBER 83/135.06d//</t>
  </si>
  <si>
    <t>4/16/2018 9:54:46</t>
  </si>
  <si>
    <t>Song - In praise of Niue</t>
  </si>
  <si>
    <t>http://ampm.auckland.ac.nz/handle/id/87204</t>
  </si>
  <si>
    <t>Song - In praise of Niue //AMPM ACCESSION NUMBER 84/243.05//</t>
  </si>
  <si>
    <t>4/16/2018 9:56:09</t>
  </si>
  <si>
    <t>Listed as Hawazma. Tribe of Maggara / Hemat.</t>
  </si>
  <si>
    <t>bath1248</t>
  </si>
  <si>
    <t>suda1236</t>
  </si>
  <si>
    <t>Hajjin Praise Song</t>
  </si>
  <si>
    <t>https://theglobaljukebox.org/?share=Hawazma-T5625R20m</t>
  </si>
  <si>
    <t>Hajjin Praise Song //GLOBAL JUKEBOX CODING ID 4213: SONG, GENRE, DESCRIPTION//</t>
  </si>
  <si>
    <t>4/16/2018 11:54:49</t>
  </si>
  <si>
    <t>MJW</t>
  </si>
  <si>
    <t>Baggara / Hemat</t>
  </si>
  <si>
    <t>Song for Her Lover</t>
  </si>
  <si>
    <t>https://theglobaljukebox.org/?share=Baggara-T5626R18m</t>
  </si>
  <si>
    <t>Song for Her Lover //GLOBAL JUKEBOX, CODING ID 4204: SONG, GENRE, DESCRIPTION//</t>
  </si>
  <si>
    <t>Click on the green checklist or song title for metadata</t>
  </si>
  <si>
    <t>4/16/2018 12:15:39</t>
  </si>
  <si>
    <t>Bederiya (subset of Baggara/Hemat?)</t>
  </si>
  <si>
    <t>Merdum Song</t>
  </si>
  <si>
    <t>https://theglobaljukebox.org/?share=Bederiya-T5625R09m</t>
  </si>
  <si>
    <t>Merdum Song //GLOBAL JUKEBOX, CODING ID 4211, SONG FIELD//</t>
  </si>
  <si>
    <t>Genre: Dance song; Description: Dance with chorus //GLOBAL JUKEBOX, CODING ID 4211//</t>
  </si>
  <si>
    <t>click on green checklist or song title in lower right corner</t>
  </si>
  <si>
    <t>Earlier today, I heard maybe a second fading in as it autoplayed after the previous track</t>
  </si>
  <si>
    <t>4/16/2018 12:22:14</t>
  </si>
  <si>
    <t>vi'i o Nifoloa</t>
  </si>
  <si>
    <t>http://ampm.auckland.ac.nz/handle/id/91423</t>
  </si>
  <si>
    <t>Samoa vii In praise of chiefs or of a village. //McLean, Mervyn. Weavers of Song : Polynesian Music and Dance. University of Hawaii Press, 1999. EBSCOhost.//</t>
  </si>
  <si>
    <t>4/17/2018 3:38:05</t>
  </si>
  <si>
    <t>vii ole nuu</t>
  </si>
  <si>
    <t>http://ampm.auckland.ac.nz/handle/id/91436</t>
  </si>
  <si>
    <t>4/17/2018 3:39:01</t>
  </si>
  <si>
    <t>vi'i o le vai</t>
  </si>
  <si>
    <t>http://ampm.auckland.ac.nz/handle/id/91338</t>
  </si>
  <si>
    <t>4/17/2018 3:40:14</t>
  </si>
  <si>
    <t>vi'i o pulepule</t>
  </si>
  <si>
    <t>http://ampm.auckland.ac.nz/handle/id/91226</t>
  </si>
  <si>
    <t>4/17/2018 3:41:06</t>
  </si>
  <si>
    <t>vi'i o vaifanua</t>
  </si>
  <si>
    <t>http://ampm.auckland.ac.nz/handle/id/91742</t>
  </si>
  <si>
    <t>4/17/2018 3:41:55</t>
  </si>
  <si>
    <t>Lologo fakamavehe</t>
  </si>
  <si>
    <t>http://ampm.auckland.ac.nz/handle/id/86944</t>
  </si>
  <si>
    <t>In Niue, praise songs are called lologo fakamavehe. //McLean, Mervyn. Weavers of Song : Polynesian Music and Dance. University of Hawaii Press, 1999. EBSCOhost.//</t>
  </si>
  <si>
    <t>4/17/2018 3:50:08</t>
  </si>
  <si>
    <t>Guadeloupe</t>
  </si>
  <si>
    <t>Dédé Mwen Kalé</t>
  </si>
  <si>
    <t>https://theglobaljukebox.org/?share=Guadeloupe-T5478R35</t>
  </si>
  <si>
    <t>Toumblak; fast two-sound rhythm expressing happiness, love, and good mood, deals with the love theme, belly dance, fertility dance; traditional gwoka drum dance rhythm; excerpt //CODING ID 1113 IN GLOBAL JUKEBOX, RELEVANT TEXT IS IN THE DESCRIPTION FIELD//</t>
  </si>
  <si>
    <t>Click on the blue globe and you will be directed to the song</t>
  </si>
  <si>
    <t>4/17/2018 11:58:20</t>
  </si>
  <si>
    <t>Toco</t>
  </si>
  <si>
    <t>Married Sweet</t>
  </si>
  <si>
    <t>https://theglobaljukebox.org/?share=Toco-T5476R49</t>
  </si>
  <si>
    <t>Wedding song; processional music //CODING ID 1374 IN GLOBAL JUKEBOX, RELEVANT TEXT IS IN THE GENRE FIELD//</t>
  </si>
  <si>
    <t>4/17/2018 12:06:33</t>
  </si>
  <si>
    <t>Pretty Little Sailor Won't You Marry Me?</t>
  </si>
  <si>
    <t>https://theglobaljukebox.org/?share=Trinidad%20Creole-T5476R19</t>
  </si>
  <si>
    <t>Courtship song in English //CODING ID 1388 IN GLOBAL JUKEBOX, RELEVANT TEXT IS IN THE DESCRIPTION FIELD//</t>
  </si>
  <si>
    <t>Click on the blue globe, you will be directed to the song</t>
  </si>
  <si>
    <t>4/17/2018 12:11:45</t>
  </si>
  <si>
    <t>Martinique</t>
  </si>
  <si>
    <t>La Rivyé Léza</t>
  </si>
  <si>
    <t>https://theglobaljukebox.org/?share=Martinique-T5474R49</t>
  </si>
  <si>
    <t>Na</t>
  </si>
  <si>
    <t>Work song; house-raising song //CODING ID 1184 IN GLOBAL JUKEBOX, RELEVANT TEXT IS IN THE DESCRIPTION FIELD//</t>
  </si>
  <si>
    <t>4/17/2018 12:16:58</t>
  </si>
  <si>
    <t>Adolin Do La, Bwa Kasé</t>
  </si>
  <si>
    <t>https://theglobaljukebox.org/?share=Guadeloupe-T5478R29</t>
  </si>
  <si>
    <t>Rural work song performed originally by Afro-Antillean slaves at work parties (koudmen) //CODING ID 1128 IN GLOBAL JUKEBOX, RELEVANT TEXT IS IN THE DESCRIPTION FIELD//</t>
  </si>
  <si>
    <t>4/17/2018 12:21:16</t>
  </si>
  <si>
    <t>Way-o, Way-o</t>
  </si>
  <si>
    <t>https://theglobaljukebox.org/?share=Grenada-T5477R49</t>
  </si>
  <si>
    <t>Work song; cocoa tramping song //CODING ID 1450 IN GLOBAL JUKEBOX, RELEVANT TEXT IS IN THE DESCRIPTION FIELD//</t>
  </si>
  <si>
    <t>4/17/2018 12:26:01</t>
  </si>
  <si>
    <t>Di Yo Sa</t>
  </si>
  <si>
    <t>https://theglobaljukebox.org/?share=Dominica-T5475R49</t>
  </si>
  <si>
    <t>Work song //CODING ID 1105 IN GLOBAL JUKEBOX, RELEVANT TEXT IS IN THE DESCRIPTION FIELD//</t>
  </si>
  <si>
    <t>4/17/2018 12:36:29</t>
  </si>
  <si>
    <t>Tom Gone Away</t>
  </si>
  <si>
    <t>https://theglobaljukebox.org/?share=Anguilla-T5478R56</t>
  </si>
  <si>
    <t>Work song //CODING ID 1172 IN GLOBAL JUKEBOX, RELEVANT TEXT IS IN THE DESCRIPTION FIELD//</t>
  </si>
  <si>
    <t>4/17/2018 12:42:47</t>
  </si>
  <si>
    <t>Abraham Soulagé-mwen</t>
  </si>
  <si>
    <t>https://theglobaljukebox.org/?share=Martinique-T5474R42</t>
  </si>
  <si>
    <t>Bélé; bélé bidjin; biguine; spirit song; healing song //CODING ID 1187 IN GLOBAL JUKEBOX, RELEVANT TEXT IS IN THE DESCRIPTION FIELD//</t>
  </si>
  <si>
    <t>4/17/2018 12:52:33</t>
  </si>
  <si>
    <t>Odè Imo Ralo</t>
  </si>
  <si>
    <t>https://theglobaljukebox.org/?share=Grenada-T5477R37</t>
  </si>
  <si>
    <t>Shango praise song; Yoruba //CODING ID 1422 IN GLOBAL JUKEBOX, RELEVANT TEXT IS IN THE DESCRIPTION FIELD//</t>
  </si>
  <si>
    <t>4/17/2018 13:04:34</t>
  </si>
  <si>
    <t>Dolphus Coker</t>
  </si>
  <si>
    <t>https://theglobaljukebox.org/?share=Carriacou-T5474R36</t>
  </si>
  <si>
    <t>Pass play song //CODING ID 1283 IN GLOBAL JUKEBOX, RELEVANT TEXT IS IN THE DESCRIPTION FIELD//</t>
  </si>
  <si>
    <t>4/17/2018 13:19:57</t>
  </si>
  <si>
    <t>Sikola Ola Vanni</t>
  </si>
  <si>
    <t>https://theglobaljukebox.org/?share=Dominica-T5475R28</t>
  </si>
  <si>
    <t>Game song //CODING ID 1074 IN GLOBAL JUKEBOX, RELEVANT TEXT IS IN THE DESCRIPTION FIELD//</t>
  </si>
  <si>
    <t>4/17/2018 13:23:46</t>
  </si>
  <si>
    <t>Akawaio</t>
  </si>
  <si>
    <t>akaw1239</t>
  </si>
  <si>
    <t>ake</t>
  </si>
  <si>
    <t>Healing sessions</t>
  </si>
  <si>
    <t>http://archives.crem-cnrs.fr/archives/items/CNRSMH_I_1965_002_001_02/</t>
  </si>
  <si>
    <t>Healing Sessions //CREM CODE: CNRSMH_I_1965_002_001_01//</t>
  </si>
  <si>
    <t>Ethnographic context: In the field. Only two minutes of songs, the rest being the sound of the supposed healing scene. Possession? Keywords: Shamanism, Healing, Veille //CREM CODE: CNRSMH_I_1965_002_001_01//</t>
  </si>
  <si>
    <t>Listened to track 1 which was mostly the beginning of the recording which is talking and noise. Including track 2 instead.</t>
  </si>
  <si>
    <t>4/17/2018 14:47:42</t>
  </si>
  <si>
    <t>Praise to Tribal Horses and Horsemen of the Beni Halba</t>
  </si>
  <si>
    <t>https://theglobaljukebox.org/?share=Baggara-T5626R22m</t>
  </si>
  <si>
    <t>Praise to Tribal Horses and Horsemen of the Beni Halba //GLOBAL JUKEBOX: CODING ID 4199, DESCRIPTION//</t>
  </si>
  <si>
    <t>click on green checklist icon or track title in lower right</t>
  </si>
  <si>
    <t>4/18/2018 11:59:37</t>
  </si>
  <si>
    <t>Nuba peoples: Talod</t>
  </si>
  <si>
    <t>nubi1251</t>
  </si>
  <si>
    <t>narr1279</t>
  </si>
  <si>
    <t>talo1250</t>
  </si>
  <si>
    <t>Song for Work: Unity Is Strength</t>
  </si>
  <si>
    <t>http://media.theglobaljukebox.org/audio/T5435R18.mp3</t>
  </si>
  <si>
    <t>The song is identified as such in its title or label The song is identified as such in its title or label</t>
  </si>
  <si>
    <t>Work song //GLOBAL JUKEBOX: CODING ID 4179, GENRE//</t>
  </si>
  <si>
    <t>Work song //GLOBAL JUKEBOX: CODING ID 4179, DESCRIPTION//</t>
  </si>
  <si>
    <t>4/18/2018 12:19:56</t>
  </si>
  <si>
    <t>History of War Between Nuba Groups in Talodi Area</t>
  </si>
  <si>
    <t>http://media.theglobaljukebox.org/audio/T5435R19.mp3</t>
  </si>
  <si>
    <t>Epic song; historical song //GLOBAL JUKEBOX: CODING ID 4180, GENRE//</t>
  </si>
  <si>
    <t>4/18/2018 12:23:56</t>
  </si>
  <si>
    <t>Song Praising a Rich Cotton Grower</t>
  </si>
  <si>
    <t>http://media.theglobaljukebox.org/audio/T5435R22.mp3</t>
  </si>
  <si>
    <t>Praise song //GLOBAL JUKEBOX CODING ID 4183 GENRE//</t>
  </si>
  <si>
    <t>Praise song //GLOBAL JUKEBOX CODING ID 4183 DESCRIPTION//</t>
  </si>
  <si>
    <t>4/18/2018 12:29:43</t>
  </si>
  <si>
    <t>Women's Chorus Composed by Song Leader for Special Dance Occasion</t>
  </si>
  <si>
    <t>http://media.theglobaljukebox.org/audio/T5435R23.mp3</t>
  </si>
  <si>
    <t>Women's song; dance song //GLOBAL JUKEBOX CODING ID 4184 GENRE// Festive dance song //GLOBAL JUKEBOX CODING ID 4184 DESCRIPTION//</t>
  </si>
  <si>
    <t>4/18/2018 12:33:23</t>
  </si>
  <si>
    <t>Kumasi, Ashantiland, Ghana</t>
  </si>
  <si>
    <t>Adowa: Mpre</t>
  </si>
  <si>
    <t>https://theglobaljukebox.org/?share=Ashanti-T5616R09</t>
  </si>
  <si>
    <t>Funeral Song//GLOBAL JUKEBOX CODING ID 30156/AUDIO FILE ID T5616R09, RELEVANT TEXT IS IN THE GENRE FIELD//</t>
  </si>
  <si>
    <t>Funeral Song//GLOBAL JUKEBOX CODING ID 30156/AUDIO FILE ID T5616R09, RELEVANT TEXT IS IN THE DESCRIPTION FIELD//</t>
  </si>
  <si>
    <t>4/19/2018 2:36:56</t>
  </si>
  <si>
    <t>Agoshasha, Nigeria</t>
  </si>
  <si>
    <t>yoru1245</t>
  </si>
  <si>
    <t>yor</t>
  </si>
  <si>
    <t>Egbe Arobajo 3</t>
  </si>
  <si>
    <t>https://theglobaljukebox.org/?share=Yoruba-T5460R02</t>
  </si>
  <si>
    <t>Dance song//GLOBAL JUKEBOX CODING ID 3437/AUDIO FILE ID T5460R02, RELEVANT TEXT IS IN THE GENRE FIELD//</t>
  </si>
  <si>
    <t>Dance song for group of dancer-musicians//GLOBAL JUKEBOX CODING ID 3437/AUDIO FILE ID T5460R02, RELEVANT TEXT IS IN THE DESCRIPTION FIELD//</t>
  </si>
  <si>
    <t>4/19/2018 2:42:41</t>
  </si>
  <si>
    <t>Ebolowa, South Region, Cameroon</t>
  </si>
  <si>
    <t>bulu1251</t>
  </si>
  <si>
    <t>bulu1255</t>
  </si>
  <si>
    <t>bum</t>
  </si>
  <si>
    <t>Work Song</t>
  </si>
  <si>
    <t>https://theglobaljukebox.org/?share=Bulu-T5458R20</t>
  </si>
  <si>
    <t>Work song//GLOBAL JUKEBOX CODING ID 2157/AUDIO FILE ID T5458R20, RELEVANT TEXT IS IN THE GENRE FIELD//</t>
  </si>
  <si>
    <t>Work song, complaints of a street sweeper; also for cooperative work by men are working in the fields or building a house//GLOBAL JUKEBOX CODING ID 2157/AUDIO FILE ID T5458R20, RELEVANT TEXT IS IN THE DESCRIPTION FIELD//</t>
  </si>
  <si>
    <t>4/19/2018 2:48:25</t>
  </si>
  <si>
    <t>Minstrel's Story Song 1</t>
  </si>
  <si>
    <t>https://theglobaljukebox.org/?share=Bulu-T5458R12</t>
  </si>
  <si>
    <t>Story song//GLOBAL JUKEBOX CODING ID 329/AUDIO FILE ID T5458R12, RELEVANT TEXT IS IN THE GENRE FIELD//</t>
  </si>
  <si>
    <t>Minstrel's tale//GLOBAL JUKEBOX CODING ID 329/AUDIO FILE ID T5458R12, RELEVANT TEXT IS IN THE DESCRIPTION FIELD//</t>
  </si>
  <si>
    <t>4/19/2018 2:55:01</t>
  </si>
  <si>
    <t>Self-Praise Song 1</t>
  </si>
  <si>
    <t>https://theglobaljukebox.org/?share=Bulu-T5458R13</t>
  </si>
  <si>
    <t>Praise song//GLOBAL JUKEBOX CODING ID 2150/AUDIO FILE ID T5458R13, RELEVANT TEXT IS IN THE GENRE FIELD//</t>
  </si>
  <si>
    <t>Minstrel's self-praise song; used to put himself in a good light before his audience, indicating he is no ordinary person//GLOBAL JUKEBOX CODING ID 2150/AUDIO FILE ID T5458R13, RELEVANT TEXT IS IN THE DESCRIPTION FIELD//</t>
  </si>
  <si>
    <t>4/19/2018 2:58:30</t>
  </si>
  <si>
    <t>Self Praise Song 2</t>
  </si>
  <si>
    <t>https://theglobaljukebox.org/?share=Bulu-T5458R19</t>
  </si>
  <si>
    <t>Praise song//GLOBAL JUKEBOX CODING ID 2156/AUDIO FILE ID T5458R19, RELEVANT TEXT IS IN THE GENRE FIELD//</t>
  </si>
  <si>
    <t>Minstrel's self-praise song; used to put himself in a good light before his audience, indicating he is no ordinary person//GLOBAL JUKEBOX CODING ID 2156/AUDIO FILE ID T5458R19, RELEVANT TEXT IS IN THE DESCRIPTION FIELD//</t>
  </si>
  <si>
    <t>4/19/2018 3:01:50</t>
  </si>
  <si>
    <t>Nuba peoples: Hjare</t>
  </si>
  <si>
    <t>Kambala Song for Dancing</t>
  </si>
  <si>
    <t>http://media.theglobaljukebox.org/audio/T5436R12m.mp3</t>
  </si>
  <si>
    <t>Dance song //GLOBAL JUKEBOX CODING ID 4194 GENRE//</t>
  </si>
  <si>
    <t>Dance song //GLOBAL JUKEBOX CODING ID 4194 SONG DESCRIPTION//</t>
  </si>
  <si>
    <t>4/19/2018 10:36:14</t>
  </si>
  <si>
    <t>Fur (Darfur)</t>
  </si>
  <si>
    <t>furr1244</t>
  </si>
  <si>
    <t>fvr</t>
  </si>
  <si>
    <t>Diddiz</t>
  </si>
  <si>
    <t>http://media.theglobaljukebox.org/audio/T5626R23m.mp3</t>
  </si>
  <si>
    <t>Dance song //GLOBAL JUKEBOX CODING ID 4197 GENRE//</t>
  </si>
  <si>
    <t>Song for dancing Kossok //GLOBAL JUKEBOX CODING ID 4197 DESCRIPTION//</t>
  </si>
  <si>
    <t>4/19/2018 10:55:13</t>
  </si>
  <si>
    <t>Nilotic peoples: Dinka</t>
  </si>
  <si>
    <t>sout2832</t>
  </si>
  <si>
    <t>dink1262</t>
  </si>
  <si>
    <t>dik</t>
  </si>
  <si>
    <t>http://media.theglobaljukebox.org/audio/T5437R38.mp3</t>
  </si>
  <si>
    <t>Dance song //GLOBAL JUKEBOX CODING ID 2055 GENRE//</t>
  </si>
  <si>
    <t>Dance song //GLOBAL JUKEBOX CODING ID 2055 DESCRIPTION//</t>
  </si>
  <si>
    <t>4/19/2018 11:00:06</t>
  </si>
  <si>
    <t>Shilluk Ceremonial Song</t>
  </si>
  <si>
    <t>http://media.theglobaljukebox.org/audio/T5437R06.mp3</t>
  </si>
  <si>
    <t>Dance song; ceremonial song //GLOBAL JUKEBOX CODING ID 2067 GENRE//</t>
  </si>
  <si>
    <t>Ceremonial dance song(s) //GLOBAL JUKEBOX CODING ID 2067 DESCRIPTION//</t>
  </si>
  <si>
    <t>4/19/2018 11:04:04</t>
  </si>
  <si>
    <t>Atlas Berbers: Shilha / Shluh</t>
  </si>
  <si>
    <t>cent2194</t>
  </si>
  <si>
    <t>tzm</t>
  </si>
  <si>
    <t>http://media.theglobaljukebox.org/audio/T40010R03.mp3</t>
  </si>
  <si>
    <t>Dance song //GLOBAL JUKEBOX CODING ID 3295 GENRE//</t>
  </si>
  <si>
    <t>Male leader in alternation with mixed chorus over bowed lute and percussion //GLOBAL JUKEBOX CODING ID 3295 DESCRIPTION//</t>
  </si>
  <si>
    <t>4/19/2018 11:12:26</t>
  </si>
  <si>
    <t>Morocco Berbers</t>
  </si>
  <si>
    <t>riff1234</t>
  </si>
  <si>
    <t>Line Dance</t>
  </si>
  <si>
    <t>http://media.theglobaljukebox.org/audio/T5521R51.mp3</t>
  </si>
  <si>
    <t>Dance song; line dance //GLOBAL JUKEBOX CODING ID 9247 GENRE//</t>
  </si>
  <si>
    <t>4/19/2018 11:16:06</t>
  </si>
  <si>
    <t>Tohimo Dance</t>
  </si>
  <si>
    <t>http://media.theglobaljukebox.org/audio/T45022.mp3</t>
  </si>
  <si>
    <t>Dance song //GLOBAL JUKEBOX CODING ID 955 GENRE//</t>
  </si>
  <si>
    <t>4/19/2018 11:20:29</t>
  </si>
  <si>
    <t>Nuba peoples: Mirri</t>
  </si>
  <si>
    <t>Praise to Abunoass, Brave Nuba Thief</t>
  </si>
  <si>
    <t>http://media.theglobaljukebox.org/audio/T5436R03m.mp3</t>
  </si>
  <si>
    <t>Praise song //GLOBAL JUKEBOX CODING ID 4190 GENRE//</t>
  </si>
  <si>
    <t>Praise song //GLOBAL JUKEBOX CODING ID 4190 DESCRIPTION//</t>
  </si>
  <si>
    <t>4/19/2018 18:11:19</t>
  </si>
  <si>
    <t>Nuba peoples: Salar</t>
  </si>
  <si>
    <t>Praise to Nyama Boys in Southern Sudan in Revolution</t>
  </si>
  <si>
    <t>http://media.theglobaljukebox.org/audio/T5435R24.mp3</t>
  </si>
  <si>
    <t>Praise song //GLOBAL JUKEBOX CODING ID 4185 GENRE//</t>
  </si>
  <si>
    <t>Praise song //GLOBAL JUKEBOX CODING ID 4185 DESCRIPTION//</t>
  </si>
  <si>
    <t>4/19/2018 18:13:46</t>
  </si>
  <si>
    <t>Praise for a Bull</t>
  </si>
  <si>
    <t>http://media.theglobaljukebox.org/audio/T5437R40.mp3</t>
  </si>
  <si>
    <t>Praise song; animal song //GLOBAL JUKEBOX CODING ID 2054 GENRE//</t>
  </si>
  <si>
    <t>Song in praise of a bull //GLOBAL JUKEBOX CODING ID 2054 DESCRIPTION//</t>
  </si>
  <si>
    <t>4/19/2018 18:28:00</t>
  </si>
  <si>
    <t>Nilotic peoples: Nuer</t>
  </si>
  <si>
    <t>Praise Song to a Bull</t>
  </si>
  <si>
    <t>http://media.theglobaljukebox.org/audio/T5438R04.mp3</t>
  </si>
  <si>
    <t>Praise song //GLOBAL JUKEBOX CODING ID 2027 GENRE//</t>
  </si>
  <si>
    <t>Praise song //GLOBAL JUKEBOX CODING ID 2027 DESCRIPTION//</t>
  </si>
  <si>
    <t>4/19/2018 18:30:47</t>
  </si>
  <si>
    <t>Northern Luo peoples: Pari</t>
  </si>
  <si>
    <t>pari1256</t>
  </si>
  <si>
    <t>lkr</t>
  </si>
  <si>
    <t>Wiang, Wiang</t>
  </si>
  <si>
    <t>http://media.theglobaljukebox.org/audio/T5437R16.mp3</t>
  </si>
  <si>
    <t>Praise song; chief's song //GLOBAL JUKEBOX CODING ID 1967 GENRE//</t>
  </si>
  <si>
    <t>Praise song for a good chief //GLOBAL JUKEBOX CODING ID 1967 DESCRIPTION//</t>
  </si>
  <si>
    <t>4/19/2018 18:33:32</t>
  </si>
  <si>
    <t>Praise Song to Reth</t>
  </si>
  <si>
    <t>http://media.theglobaljukebox.org/audio/T5436R25m.mp3</t>
  </si>
  <si>
    <t>Praise song //GLOBAL JUKEBOX CODING ID 2062 GENRE//</t>
  </si>
  <si>
    <t>4/19/2018 18:36:04</t>
  </si>
  <si>
    <t>Kalina</t>
  </si>
  <si>
    <t>car</t>
  </si>
  <si>
    <t>Rituel chamanique thérapeutique kalina (Guyane)</t>
  </si>
  <si>
    <t>https://search-alexanderstreet-com.ezp-prod1.hul.harvard.edu/view/work/bibliographic_entity%7Crecorded_cd%7C326548</t>
  </si>
  <si>
    <t>Alexander Street</t>
  </si>
  <si>
    <t>Rituel chamanique thérapeutique kalina Translated Title: Healing shamanic rite of the Kalina //ALEXANDER STREET CATALOG NUMBER: 1989952//</t>
  </si>
  <si>
    <t>4/20/2018 12:03:14</t>
  </si>
  <si>
    <t>Carib</t>
  </si>
  <si>
    <t>guia1242</t>
  </si>
  <si>
    <t>Funeral Song For Selikian</t>
  </si>
  <si>
    <t>https://search.alexanderstreet.com/view/work/1645172</t>
  </si>
  <si>
    <t>Title: Funeral Song For Selikian Sub Genre: Song; Ritual; Funeral Music //ALEXANDER STREET CATALOG NUMBER: 4005 KCD//</t>
  </si>
  <si>
    <t>February 17, 1967 little Selikian died. She was a mentally and physically retarded Down syndrome child. Her parents, her father in particular, were very fond of her and took touchingly care of her. A week after her death the first mortuary feast we held. This feast is traditionally called omanganon. In the past it was probably seen as a means to establish the soul in the hereafter. Many people were there, and suddenly one of the men took over the kalawasi. As he explained in his song he took the place of his old mother, who was a classificatory grandmother of the child. She should have been present but was too ill to come. She had asked her son to sing in her place. //LINER NOTES; ALEXANDER STREET CATALOG NUMBER: 4005 KCD//</t>
  </si>
  <si>
    <t>you did not inform me [that you were ill], daughter/girl you are very sad, little daughter I want to come, your grandmother wants to come but she can't you must make, you must make this [song, the old woman had told her son] I want to go but I cannot do so I am ill, my child, I am very ill my child mother, don't be angry [the singer shouts at the women in the circle who at first refused to join the singing - now they start repeating his lines] I am ill, my child, I am very ill my child it is present, the sounds of the flute [kwama] is present [i.e. I can sing] //LINER NOTES; ALEXANDER STREET CATALOG NUMBER: 4005 KCD//</t>
  </si>
  <si>
    <t>4/20/2018 12:21:13</t>
  </si>
  <si>
    <t>Girls's Chorus Love Song [sic]</t>
  </si>
  <si>
    <t>http://media.theglobaljukebox.org/audio/T5435R25.mp3</t>
  </si>
  <si>
    <t>Love song //GLOBAL JUKEBOX CODING ID 4186 GENRE//</t>
  </si>
  <si>
    <t>Love song //GLOBAL JUKEBOX CODING ID 4186 DESCRIPTION//</t>
  </si>
  <si>
    <t>4/20/2018 12:24:01</t>
  </si>
  <si>
    <t>Nubians from Sudan (Barabra)</t>
  </si>
  <si>
    <t>kenu1236</t>
  </si>
  <si>
    <t>kzh</t>
  </si>
  <si>
    <t>Dongolaoui</t>
  </si>
  <si>
    <t>http://media.theglobaljukebox.org/audio/T5461R36.mp3</t>
  </si>
  <si>
    <t>Love song //GLOBAL JUKEBOX CODING ID 3233 GENRE//</t>
  </si>
  <si>
    <t>Nubian love song; accented beats under a rhythmic oud and male vocal soloist //GLOBAL JUKEBOX CODING ID 3233 DESCRIPTION//</t>
  </si>
  <si>
    <t>4/20/2018 12:29:36</t>
  </si>
  <si>
    <t>Algerian Gourara Tuareg</t>
  </si>
  <si>
    <t>taha1241</t>
  </si>
  <si>
    <t>thv</t>
  </si>
  <si>
    <t>Tagerrabt; Ya salat 'alik</t>
  </si>
  <si>
    <t>http://media.theglobaljukebox.org/audio/T5581R02.mp3</t>
  </si>
  <si>
    <t>Ceremonial song; women's song //GLOBAL JUKEBOX CODING ID 9927 GENRE//</t>
  </si>
  <si>
    <t>We Bow to You; family ceremonial song sung by women; regional lyrics combining amorous ecstasy and religious fervor: [lyrics follow] //GLOBAL JUKEBOX CODING ID 9927 DESCRIPTION//</t>
  </si>
  <si>
    <t>Maidens, you are vases for perfume, you are music and camphor which scent those who use it/Tell him: I too love you but I cannot get to you because of all your guardians //GLOBAL JUKEBOX CODING ID 9927 DESCRIPTION//</t>
  </si>
  <si>
    <t>[this observation made after listening to the song] the description says that it is sung by women, but it sounds like men are singing</t>
  </si>
  <si>
    <t>4/20/2018 12:42:48</t>
  </si>
  <si>
    <t>Chikishikishin</t>
  </si>
  <si>
    <t>http://media.theglobaljukebox.org/audio/T5523R22.mp3</t>
  </si>
  <si>
    <t>Love song //GLOBAL JUKEBOX CODING ID 954 GENRE//</t>
  </si>
  <si>
    <t>An ahal, or love song, by a man accompanied by on the imzhad, one string violin //GLOBAL JUKEBOX CODING ID 954 DESCRIPTION//</t>
  </si>
  <si>
    <t>4/20/2018 12:46:08</t>
  </si>
  <si>
    <t>Tailaff</t>
  </si>
  <si>
    <t>http://media.theglobaljukebox.org/audio/T9525R32.mp3</t>
  </si>
  <si>
    <t>Love song //GLOBAL JUKEBOX CODING ID 9387 GENRE//</t>
  </si>
  <si>
    <t>Love song by a male soloist accompanied by a virtuosic female Inzad (one string fiddle) player //GLOBAL JUKEBOX CODING ID 9387 DESCRIPTION//</t>
  </si>
  <si>
    <t>4/20/2018 12:48:31</t>
  </si>
  <si>
    <t>Zaghawa / Beri</t>
  </si>
  <si>
    <t>zagh1240</t>
  </si>
  <si>
    <t>zag</t>
  </si>
  <si>
    <t>Song Praising Beauty of Zaghawa Girls</t>
  </si>
  <si>
    <t>http://media.theglobaljukebox.org/audio/T5625R25m.mp3</t>
  </si>
  <si>
    <t>Praise song //GLOBAL JUKEBOX CODING ID 4175 GENRE//</t>
  </si>
  <si>
    <t>4/20/2018 13:53:34</t>
  </si>
  <si>
    <t>Soruk Bollur Yryata</t>
  </si>
  <si>
    <t>http://media.theglobaljukebox.org/audio/T5410R34m.mp3</t>
  </si>
  <si>
    <t>Epic song; heroic song</t>
  </si>
  <si>
    <t>Epic song; heroic song (//Coding ID: 3476 IN GLOBAL JUKEBOX, RELEVANT TEXT IS IN THE GENRE FIELD//)</t>
  </si>
  <si>
    <t>The Song of the Messenger; the song of the hero of the middle world; an excerpt from an olonkho, a traditional Yakut heroic epic made up of many songs, sometimes lasting up several days (//Coding ID: 3476 IN GLOBAL JUKEBOX, RELEVANT TEXT IS IN THE DESCRIPTION FIELD//)</t>
  </si>
  <si>
    <t>4/24/2018 4:58:14</t>
  </si>
  <si>
    <t>The Song of the Hero of the Lower World</t>
  </si>
  <si>
    <t>http://media.theglobaljukebox.org/audio/T5410R35.mp3</t>
  </si>
  <si>
    <t>Epic song; heroic song (//CODING ID 3477 IN GLOBAL JUKEBOX, RELEVANT TEXT IS IN THE GENRE FIELD//)</t>
  </si>
  <si>
    <t>the song of the hero of the lower world (//CODING ID 3477 IN GLOBAL JUKEBOX, RELEVANT TEXT IS IN THE DESCRIPTION FIELD//)</t>
  </si>
  <si>
    <t>4/24/2018 5:13:07</t>
  </si>
  <si>
    <t>Byttyk-byttyk Maapyiabyn</t>
  </si>
  <si>
    <t>http://media.theglobaljukebox.org/audio/T5410R37.mp3</t>
  </si>
  <si>
    <t>strophic love song (//CODING ID 3480 IN GLOBAL JUKEBOX, RELEVANT TEXT IS IN THE DESCRIPTION FIELD//)</t>
  </si>
  <si>
    <t>4/24/2018 5:20:40</t>
  </si>
  <si>
    <t>nene1249</t>
  </si>
  <si>
    <t>samo1298</t>
  </si>
  <si>
    <t>yrk</t>
  </si>
  <si>
    <t>Bylina</t>
  </si>
  <si>
    <t>http://media.theglobaljukebox.org/audio/T5411R02m.mp3</t>
  </si>
  <si>
    <t>Epic song</t>
  </si>
  <si>
    <t>Epic song; ballad (//CODING ID 2775 IN GLOBAL JUKEBOX, RELEVANT TEXT IS IN THE GENRE FIELD//)</t>
  </si>
  <si>
    <t>Epic ballad about a boy (//CODING ID 2775 IN GLOBAL JUKEBOX, RELEVANT TEXT IS IN THE DESCRIPTION FIELD//)</t>
  </si>
  <si>
    <t>4/24/2018 5:34:42</t>
  </si>
  <si>
    <t>Ike, the Song, I</t>
  </si>
  <si>
    <t>http://media.theglobaljukebox.org/audio/T5410R68m.mp3</t>
  </si>
  <si>
    <t>Herding song</t>
  </si>
  <si>
    <t>Herding song (//CODING ID 3340 IN GLOBAL JUKEBOX, RELEVANT TEXT IS IN THE GENRE FIELD//)</t>
  </si>
  <si>
    <t>4/24/2018 5:52:44</t>
  </si>
  <si>
    <t>Kaladja Vivilo</t>
  </si>
  <si>
    <t>https://theglobaljukebox.org/?share=Guadeloupe-T5478R28</t>
  </si>
  <si>
    <t>Toumblak; celebrating the kaladja rhythm; the Toumblak, fast two-sound rhythm expressing happiness, love, and good mood, deals with the love theme, belly dance, fertility dance //CODING ID 1116 IN GLOBAL JUKEBOX, RELEVANT TEXT IS IN THE DESCRIPTION FIELD//</t>
  </si>
  <si>
    <t>4/24/2018 12:18:27</t>
  </si>
  <si>
    <t>Demba-o</t>
  </si>
  <si>
    <t>https://theglobaljukebox.org/?share=Carriacou-T5474R39</t>
  </si>
  <si>
    <t>Story song in Kréyol //CODING ID 1280 IN GLOBAL JUKEBOX, RELEVANT TEXT IS IN THE DESCRIPTION FIELD//</t>
  </si>
  <si>
    <t>4/24/2018 12:30:18</t>
  </si>
  <si>
    <t>Arawak</t>
  </si>
  <si>
    <t>araw1276</t>
  </si>
  <si>
    <t>wara1303 has no classification info</t>
  </si>
  <si>
    <t>arw</t>
  </si>
  <si>
    <t>Tiga Tiga</t>
  </si>
  <si>
    <t>https://folkways.si.edu/nathan-france/tiga-tiga/american-indian-world/music/track/smithsonian</t>
  </si>
  <si>
    <t>"Tiga Tiga", a Warrau song of jealousy, sung by Nathan France, unaccompanied. Note the similarity of words to to those of Band 7, above. France translates. "The woman says that she saw me sitting underneath the tree, and I was playing with another woman". //SMITHSONIAN FOLKWAYS CATALOG NUMBER: FW04239_211//</t>
  </si>
  <si>
    <t>4/25/2018 12:49:20</t>
  </si>
  <si>
    <t>Amami</t>
  </si>
  <si>
    <t>oshi1235</t>
  </si>
  <si>
    <t>nucl1653</t>
  </si>
  <si>
    <t>Hachigatsu Odori</t>
  </si>
  <si>
    <t>https://theglobaljukebox.org/?share=Amami-T5414R18</t>
  </si>
  <si>
    <t>August dance; people of all ages are take part in this dance, with older women playing increasingly fast hand drums, and young boys and men interjecting at traditional points with shrill whistles through their teeth //GLOBAL JUKEBOX Audio File ID: T5414R18 Lomax Source: T6665.9//</t>
  </si>
  <si>
    <t>Global Juke Box: Audio File ID: T5414R18</t>
  </si>
  <si>
    <t>4/28/2018 21:48:38</t>
  </si>
  <si>
    <t>SJG</t>
  </si>
  <si>
    <t>Music of North Japan - Hero Narrative Poem</t>
  </si>
  <si>
    <t>https://folkways.si.edu/music-of-north-japan-hero-narrative-poem/central-asia-islamica-world/music/track/smithsonian</t>
  </si>
  <si>
    <t>Disc 1, Track 10</t>
  </si>
  <si>
    <t>4/29/2018 7:42:57</t>
  </si>
  <si>
    <t>JAPAN (Ainu Songs): Chisi-sinotcha</t>
  </si>
  <si>
    <t>https://folkways.si.edu/japan-ainu-songs-chisi-sinotcha/music/track/smithsonian</t>
  </si>
  <si>
    <t>This album, compiled in 1996, features 17 love songs from the UNESCO Collection of Traditional Music //DESCRIPTION OF ALBUM IN SMITHSONIAN FOLKWAYS//</t>
  </si>
  <si>
    <t>4/29/2018 8:07:52</t>
  </si>
  <si>
    <t>JAPAN: Ihumke</t>
  </si>
  <si>
    <t>https://folkways.si.edu/japan-ihumke/world/music/track/smithsonian</t>
  </si>
  <si>
    <t>The singing of lullabies and children’s songs knows no geographical boundaries //DESCRIPTION OF ALBUM IN SMITHSONIAN FOLKWAYS//</t>
  </si>
  <si>
    <t>The source link only states that the song comes from Japan, but a different listing in Smithsonian Folkways indicates that the song is from the Ainu culture (https://folkways.si.edu/japan-ainu-songs/world/music/album/smithsonian)</t>
  </si>
  <si>
    <t>4/29/2018 8:24:50</t>
  </si>
  <si>
    <t>Tuva (not in HRAF)</t>
  </si>
  <si>
    <t>tuvi1240</t>
  </si>
  <si>
    <t>tyv</t>
  </si>
  <si>
    <t>https://folkways.si.edu/tatyana-sat/lullaby/world/music/track/smithsonian</t>
  </si>
  <si>
    <t>Disc 1, Track 27</t>
  </si>
  <si>
    <t>Lullaby //TRACK NAME ON ALBUM TUVA: VOICES FROM THE CENTER OF ASIA//</t>
  </si>
  <si>
    <t>4/29/2018 8:47:20</t>
  </si>
  <si>
    <t>Excerpt from shamanic healing ritual</t>
  </si>
  <si>
    <t>https://folkways.si.edu/alexander-davakai/excerpt-from-shamanic-healing-ritual/world/music/track/smithsonian</t>
  </si>
  <si>
    <t>Disc 1, Track 25</t>
  </si>
  <si>
    <t>Only very short vocals during the beginning and end of the excerpt</t>
  </si>
  <si>
    <t>4/29/2018 8:52:47</t>
  </si>
  <si>
    <t>Tuvan (not in HRAF)</t>
  </si>
  <si>
    <t>Funeral lament</t>
  </si>
  <si>
    <t>https://folkways.si.edu/tatyana-sat/funeral-lament/world/music/track/smithsonian</t>
  </si>
  <si>
    <t>Disc 1, Track 26</t>
  </si>
  <si>
    <t>4/29/2018 9:00:01</t>
  </si>
  <si>
    <t>Izhemtsi (part of Komi people)</t>
  </si>
  <si>
    <t>komi1267</t>
  </si>
  <si>
    <t>kom</t>
  </si>
  <si>
    <t>Ballad</t>
  </si>
  <si>
    <t>https://theglobaljukebox.org/?share=Izhemtsi-T5463R31</t>
  </si>
  <si>
    <t>Ballad ////GLOBAL JUKEBOX, CODING ID 4026 RELEVANT INFORMATION IN THE GENRE SECTION//</t>
  </si>
  <si>
    <t>4/29/2018 15:47:22</t>
  </si>
  <si>
    <t>Kirovskaya Ob.</t>
  </si>
  <si>
    <t>A While, We Take It Again</t>
  </si>
  <si>
    <t>https://theglobaljukebox.org/?share=Kirovskaya%20Ob.-T5463R21</t>
  </si>
  <si>
    <t>Work song of the timber-raft workers //GLOBAL JUKEBOX, CODING ID 3415 RELEVANT INFORMATION IN THE GENRE AND DESCRIPTION SECTION//</t>
  </si>
  <si>
    <t>4/29/2018 15:55:44</t>
  </si>
  <si>
    <t>A Moment</t>
  </si>
  <si>
    <t>https://theglobaljukebox.org/?share=Kirovskaya%20Ob.-T5463R19</t>
  </si>
  <si>
    <t>Work song; hauling song //GLOBAL JUKEBOX, CODING ID 4024 RELEVANT INFORMATION IN THE GENRE AND DESCRIPTION SECTION//</t>
  </si>
  <si>
    <t>4/29/2018 15:57:47</t>
  </si>
  <si>
    <t>Perm (Russia)</t>
  </si>
  <si>
    <t>komi1269</t>
  </si>
  <si>
    <t>Ballad About Butman</t>
  </si>
  <si>
    <t>https://theglobaljukebox.org/?share=Perm-T5463R37</t>
  </si>
  <si>
    <t>Ballad //GLOBAL JUKEBOX, CODING ID 4027 RELEVANT INFORMATION IN THE GENRE AND DESCRIPTION SECTION//</t>
  </si>
  <si>
    <t>4/29/2018 16:04:23</t>
  </si>
  <si>
    <t>On a Mountain It Was, a Little Mountain</t>
  </si>
  <si>
    <t>https://theglobaljukebox.org/?share=Perm-T5463R38</t>
  </si>
  <si>
    <t>Wedding song //GLOBAL JUKEBOX, CODING ID 4028 RELEVANT INFORMATION IN THE GENRE AND DESCRIPTION SECTION//</t>
  </si>
  <si>
    <t>4/29/2018 16:07:37</t>
  </si>
  <si>
    <t>Valentina: Pea's Daughter</t>
  </si>
  <si>
    <t>https://theglobaljukebox.org/?share=Mordovia-T5467R48</t>
  </si>
  <si>
    <t>Ballad; song about a girl //GLOBAL JUKEBOX, CODING ID 4159 RELEVANT INFORMATION IN THE GENRE AND DESCRIPTION SECTION//</t>
  </si>
  <si>
    <t>4/29/2018 16:13:23</t>
  </si>
  <si>
    <t>Mari</t>
  </si>
  <si>
    <t>mari1278</t>
  </si>
  <si>
    <t>chm</t>
  </si>
  <si>
    <t>Oh, Once More</t>
  </si>
  <si>
    <t>https://theglobaljukebox.org/?share=Mari-T5463R20</t>
  </si>
  <si>
    <t>Work song of timber rafts workers, when they haul logs out of the water //GLOBAL JUKEBOX, CODING ID 3505 RELEVANT INFORMATION IN THE GENRE AND DESCRIPTION SECTION//</t>
  </si>
  <si>
    <t>4/29/2018 16:17:34</t>
  </si>
  <si>
    <t>W. Kazakhstan</t>
  </si>
  <si>
    <t>kaza1248</t>
  </si>
  <si>
    <t>Ballad of Ilya Muromets</t>
  </si>
  <si>
    <t>https://theglobaljukebox.org/?share=W.%20Kazakhstan-T5463R32</t>
  </si>
  <si>
    <t>Ballad //GLOBAL JUKEBOX, CODING ID 3417 RELEVANT INFORMATION IN THE GENRE AND DESCRIPTION SECTION//</t>
  </si>
  <si>
    <t>4/29/2018 16:22:56</t>
  </si>
  <si>
    <t>Samara Ob.</t>
  </si>
  <si>
    <t>The Bride's March to the Altar</t>
  </si>
  <si>
    <t>https://theglobaljukebox.org/?share=Samara%20Ob.-T5463R12</t>
  </si>
  <si>
    <t>Wedding song; processional music //GLOBAL JUKEBOX, CODING ID 537 RELEVANT INFORMATION IN THE GENRE AND DESCRIPTION SECTION//</t>
  </si>
  <si>
    <t>4/29/2018 16:25:19</t>
  </si>
  <si>
    <t>A Child Goes Through The Town</t>
  </si>
  <si>
    <t>https://theglobaljukebox.org/?share=Samara%20Ob.-T5463R33</t>
  </si>
  <si>
    <t>Historical song //GLOBAL JUKEBOX, CODING ID 3414 RELEVANT INFORMATION IN THE GENRE AND DESCRIPTION SECTION//</t>
  </si>
  <si>
    <t>4/29/2018 16:30:39</t>
  </si>
  <si>
    <t>Bryanskaya Ob.</t>
  </si>
  <si>
    <t>From Beneath the Mountains, from Beneath a Stone</t>
  </si>
  <si>
    <t>https://theglobaljukebox.org/?share=Bryanskaya%20Ob.-T5463R27</t>
  </si>
  <si>
    <t>Wedding song //GLOBAL JUKEBOX, CODING ID 3509 RELEVANT INFORMATION IN THE GENRE AND DESCRIPTION SECTION//</t>
  </si>
  <si>
    <t>4/29/2018 16:35:55</t>
  </si>
  <si>
    <t>Casamance, Senegal</t>
  </si>
  <si>
    <t>jola1263</t>
  </si>
  <si>
    <t>dyo</t>
  </si>
  <si>
    <t>Praise Singing</t>
  </si>
  <si>
    <t>https://theglobaljukebox.org/?share=Diola%20Fogny-T5457R05</t>
  </si>
  <si>
    <t>Praise song//GLOBAL JUKEBOX CODING ID 1653/AUDIO FILE ID T5457R05, RELEVANT TEXT IS IN THE GENRE FIELD//</t>
  </si>
  <si>
    <t>Extemporaneous praise song; incidental music//GLOBAL JUKEBOX CODING ID 1653/AUDIO FILE ID T5457R05, RELEVANT TEXT IS IN THE DESCRIPTION FIELD//</t>
  </si>
  <si>
    <t>4/30/2018 22:01:46</t>
  </si>
  <si>
    <t>Funeral Singing with Special Drumming at Nyankiit, During the Burial of Weinga</t>
  </si>
  <si>
    <t>https://theglobaljukebox.org/?share=Diola%20Fogny-T5457R15</t>
  </si>
  <si>
    <t>Funeral song; lament; burial song//GLOBAL JUKEBOX CODING ID 1641/AUDIO FILE ID T5457R15, RELEVANT TEXT IS IN THE GENRE FIELD//</t>
  </si>
  <si>
    <t>Buyangsan funeral lament//GLOBAL JUKEBOX CODING ID 1641/AUDIO FILE ID T5457R15, RELEVANT TEXT IS IN THE DESCRIPTION FIELD//</t>
  </si>
  <si>
    <t>4/30/2018 22:10:35</t>
  </si>
  <si>
    <t>Funeral Singing at Guimalr</t>
  </si>
  <si>
    <t>https://theglobaljukebox.org/?share=Diola%20Fogny-T5457R14</t>
  </si>
  <si>
    <t>Funeral song; lament; burial song//GLOBAL JUKEBOX CODING ID 1642/AUDIO FILE ID T5457R14, RELEVANT TEXT IS IN THE GENRE FIELD//</t>
  </si>
  <si>
    <t>Funeral lament during the burial of a famous singer called Asangato//GLOBAL JUKEBOX CODING ID 1642/AUDIO FILE ID T5457R14, RELEVANT TEXT IS IN THE DESCRIPTION FIELD//</t>
  </si>
  <si>
    <t>Direct Link in Golbal Jukebox is linked to audio if different song. for correct audio file see "Audio File ID" heading here: http://media.theglobaljukebox.org/audio/T5457R14.mp3</t>
  </si>
  <si>
    <t>4/30/2018 22:28:01</t>
  </si>
  <si>
    <t>At Our Place Early in the Morning</t>
  </si>
  <si>
    <t>https://theglobaljukebox.org/?share=Kursk%20Ob.-T5463R28</t>
  </si>
  <si>
    <t>Wedding song //GLOBAL JUKEBOX, CODING ID 4116 RELEVANT INFORMATION IN THE GENRE AND DESCRIPTION SECTION//</t>
  </si>
  <si>
    <t>https://theglobaljukebox.org/?share=Kursk%20Ob.-T5463R29</t>
  </si>
  <si>
    <t>Dance song //GLOBAL JUKEBOX, CODING ID 4117 RELEVANT INFORMATION IN THE GENRE SECTION//</t>
  </si>
  <si>
    <t>Lamentation About a Deceased Father</t>
  </si>
  <si>
    <t>https://theglobaljukebox.org/?share=Kursk%20Ob.-T5469R63</t>
  </si>
  <si>
    <t>Lament; mourning song //GLOBAL JUKEBOX, CODING ID 4121 RELEVANT INFORMATION IN THE GENRE AND DESCRIPTION SECTION//</t>
  </si>
  <si>
    <t>https://theglobaljukebox.org/?share=Kursk%20Ob.-T5522R16</t>
  </si>
  <si>
    <t>Dance song //GLOBAL JUKEBOX, CODING ID 9236 RELEVANT INFORMATION IN THE GENRE AND DESCRIPTION SECTION//</t>
  </si>
  <si>
    <t>The Stolen Provisions</t>
  </si>
  <si>
    <t>https://theglobaljukebox.org/?share=Estonia-T5627R01</t>
  </si>
  <si>
    <t>Shepherd's song; dance song //GLOBAL JUKEBOX, CODING ID 342 RELEVANT INFORMATION IN THE GENRE AND DESCRIPTION SECTION//</t>
  </si>
  <si>
    <t>The Deceived Bride</t>
  </si>
  <si>
    <t>https://theglobaljukebox.org/?share=Estonia-T5627R03</t>
  </si>
  <si>
    <t>Ballad //GLOBAL JUKEBOX, CODING ID 840 RELEVANT INFORMATION IN THE GENRE AND DESCRIPTION SECTION//</t>
  </si>
  <si>
    <t>Lithuania Gen.</t>
  </si>
  <si>
    <t>Leave-Taking of the Bride</t>
  </si>
  <si>
    <t>https://theglobaljukebox.org/?share=Lithuania%20Gen.-T9506R13</t>
  </si>
  <si>
    <t>Wedding song //GLOBAL JUKEBOX, CODING ID 9165 RELEVANT INFORMATION IN THE GENRE AND DESCRIPTION SECTION//</t>
  </si>
  <si>
    <t>https://theglobaljukebox.org/?share=Lithuania%20Gen.-T9522R31</t>
  </si>
  <si>
    <t>Ballad //GLOBAL JUKEBOX, CODING ID 9371 RELEVANT INFORMATION IN THE GENRE SECTION//</t>
  </si>
  <si>
    <t>Sutartine for Reaping Rye</t>
  </si>
  <si>
    <t>https://theglobaljukebox.org/?share=Lithuania%20Gen.-T30113</t>
  </si>
  <si>
    <t>Reaping song; sutartine; harvest song; agricultural song //GLOBAL JUKEBOX, CODING ID 30113 RELEVANT INFORMATION IN THE GENRE AND DESCRIPTION SECTION//</t>
  </si>
  <si>
    <t>Talkas Dziesma</t>
  </si>
  <si>
    <t>https://theglobaljukebox.org/?share=Latvia-T5467R04</t>
  </si>
  <si>
    <t>Work song; agricultural song; milling song //GLOBAL JUKEBOX, CODING ID 4063 RELEVANT INFORMATION IN THE GENRE SECTION//</t>
  </si>
  <si>
    <t>Plaveju Dziesma</t>
  </si>
  <si>
    <t>https://theglobaljukebox.org/?share=Latvia-T5467R03</t>
  </si>
  <si>
    <t>Work song //GLOBAL JUKEBOX, CODING ID 4064 RELEVANT INFORMATION IN THE GENRE AND DESCRIPTION SECTION//</t>
  </si>
  <si>
    <t>ukr</t>
  </si>
  <si>
    <t>The Lay of Cossack Golota</t>
  </si>
  <si>
    <t>https://theglobaljukebox.org/?share=Ukraine-T9515R32</t>
  </si>
  <si>
    <t>Ballad //GLOBAL JUKEBOX, CODING ID 9340 RELEVANT INFORMATION IN THE GENRE SECTION//</t>
  </si>
  <si>
    <t>bel</t>
  </si>
  <si>
    <t>Plainte funéraire</t>
  </si>
  <si>
    <t>https://theglobaljukebox.org/?share=Belarus-T45016</t>
  </si>
  <si>
    <t>Funeral song; lament //GLOBAL JUKEBOX, CODING ID 530 RELEVANT INFORMATION IN THE GENRE AND DESCRIPTION SECTION//</t>
  </si>
  <si>
    <t>Pashtun</t>
  </si>
  <si>
    <t>nucl1276</t>
  </si>
  <si>
    <t>pash1269</t>
  </si>
  <si>
    <t>pus</t>
  </si>
  <si>
    <t>Pushtu Love Song - Love Song from the Northwest Frontier Province</t>
  </si>
  <si>
    <t>https://folkways.si.edu/pushtu-love-song-love-song-from-the-northwest-frontier-province/central-asia-islamica-world/music/track/smithsonian</t>
  </si>
  <si>
    <t>Love song //IN THE TITLE ON THE TRACK//</t>
  </si>
  <si>
    <t>Bengali</t>
  </si>
  <si>
    <t>beng1280</t>
  </si>
  <si>
    <t>ben</t>
  </si>
  <si>
    <t>Bhawaiya</t>
  </si>
  <si>
    <t>https://folkways.si.edu/mumtaz-ali-khan/bhawaiya-bengali-farmers-work-song/central-asia-islamica-world/music/track/smithsonian</t>
  </si>
  <si>
    <t>Work song //THE TITLE SPECIFICALLY NOTES THAT IT IS A BENGALI FARMERS' WORK SONG//</t>
  </si>
  <si>
    <t>Tangtakore</t>
  </si>
  <si>
    <t>https://folkways.si.edu/tangtakore-story-song-from-the-northwest-frontier-district/central-asia-islamica-world/music/track/smithsonian</t>
  </si>
  <si>
    <t>Story song //SPECIFICALLY SAYS IT IN THE TRACK TITLE THAT IT IS A STORY SONG FROM THE NORTHWEST FRONTIER DISTRICT//</t>
  </si>
  <si>
    <t>Malayali</t>
  </si>
  <si>
    <t>Kathakaḷi: Kirādan</t>
  </si>
  <si>
    <t>6 &amp; 7</t>
  </si>
  <si>
    <t>in the excerpt it says that the song "is one of the most affecting of the stories" and continues to discuss the scenes that occur in both of the tracks of the same name //FOUND IN THE LINEAR NOTES ON THE DISC, ON PAGE 8 UNDER THE SECTION TITLED SIDE 1, BANDS 6 &amp; 7: KIRADAN - THE HUNTER//</t>
  </si>
  <si>
    <t>Kathakaḷi: Nala Charitam</t>
  </si>
  <si>
    <t>NA - the translation is "the story of prince nala" //FOUND IN THE LINEAR NOTES LOCATED ON THE DISC LINK ON PAGE 8 UNDER "SIDE 1, BAND 8: NALA CHARITAM//</t>
  </si>
  <si>
    <t>The linear notes say that "this is a very short excerpt from the drama called Nala Charitam" //FOUND IN THE LINEAR NOTES LOCATED ON THE DISC LINK ON PAGE 8 UNDER "SIDE 1, BAND 8: NALA CHARITAM//</t>
  </si>
  <si>
    <t>Bihar</t>
  </si>
  <si>
    <t>hin</t>
  </si>
  <si>
    <t>Chitrakute nija dhare</t>
  </si>
  <si>
    <t>https://folkways.si.edu/india-north-indian-folk-music/world/music/album/smithsonian</t>
  </si>
  <si>
    <t>The description in the linear notes mentions that it is an "episode from the Ramayana epic" //FOUND IN THE LINEAR NOTES ON THE DISC, PAGE 5 UNDER TRACK 7 "CHITRAKUTE NIJA DHARE" (SONG)//</t>
  </si>
  <si>
    <t>Sora</t>
  </si>
  <si>
    <t>srb</t>
  </si>
  <si>
    <t>Mango Song</t>
  </si>
  <si>
    <t>https://sounds.bl.uk/World-and-traditional-music/Music-from-India/025M-RKDATX0004XX-0100V0</t>
  </si>
  <si>
    <t>"two Sora singers [...] present a song celebrating the green (unripe) mango festival" //FOUND UNDER THE "DESCRIPTION" IN THE INFO BOX UNDER THE RECORDING VIA THE LINK//</t>
  </si>
  <si>
    <t>Monpa</t>
  </si>
  <si>
    <t>tawa1289</t>
  </si>
  <si>
    <t>kala1376</t>
  </si>
  <si>
    <t>tawa1289 has no classification info</t>
  </si>
  <si>
    <t>twm</t>
  </si>
  <si>
    <t>Happiness, Monpa song</t>
  </si>
  <si>
    <t>https://sounds.bl.uk/World-and-traditional-music/Music-from-India/025M-RKDATX0035XX-0100V0</t>
  </si>
  <si>
    <t>dance song //NOTED IN THE LAST SENTENCE OF THE DESCRIPTION UNDER "DESCRIPTION" IN THE WHITE BOX UNDERNEATH THE RECORDING VIA THE LINK//</t>
  </si>
  <si>
    <t>"the song is dedicated to the natural environment and beauty of the Monpa's sub-himalayan habitat" //NOTED IN THE DESCRIPTION UNDER "DESCRIPTION" IN THE WHITE BOX UNDERNEATH THE RECORDING VIA THE LINK//</t>
  </si>
  <si>
    <t>lyrics are singing about how bright the sun is and how the animals are happy in the mountains, etc. //NOTED IN THE DESCRIPTION UNDER "DESCRIPTION" IN THE WHITE BOX UNDERNEATH THE RECORDING VIA THE LINK//</t>
  </si>
  <si>
    <t>Shona Karanga</t>
  </si>
  <si>
    <t>shon1251</t>
  </si>
  <si>
    <t>duma1252</t>
  </si>
  <si>
    <t>sna</t>
  </si>
  <si>
    <t>Zuwa Woye</t>
  </si>
  <si>
    <t>http://media.theglobaljukebox.org/audio/T5439R50.mp3</t>
  </si>
  <si>
    <t>Threshing song; work song; agricultural song; ullulations //GLOBAL JUKEBOX CODING ID 2678, GENRE FIELD//</t>
  </si>
  <si>
    <t>Threshing song; Manyika highlanders beat on the floor in imitation of the sound of threshing; recorded at St. Augustine Mission //GLOBAL JUKEBOX CODING ID 2678, DESCRIPTION FIELD//</t>
  </si>
  <si>
    <t>Chopi</t>
  </si>
  <si>
    <t>copi1238</t>
  </si>
  <si>
    <t>chop1243</t>
  </si>
  <si>
    <t>Ho, Nitihondile</t>
  </si>
  <si>
    <t>http://media.theglobaljukebox.org/audio/T5439R31.mp3</t>
  </si>
  <si>
    <t>Work song //GLOBAL JUKEBOX CODING ID 1688, GENRE FIELD//</t>
  </si>
  <si>
    <t>Pounding song with mortar and pestles of Canda's village Work song //GLOBAL JUKEBOX CODING ID 1688, DESCRIPTION FIELD//</t>
  </si>
  <si>
    <t>Tandroy</t>
  </si>
  <si>
    <t>tand1256</t>
  </si>
  <si>
    <t>tdx</t>
  </si>
  <si>
    <t>Hotroky for Mourning, Part 2</t>
  </si>
  <si>
    <t>http://media.theglobaljukebox.org/audio/T5443R10.mp3</t>
  </si>
  <si>
    <t>Mourning song; dance song //GLOBAL JUKEBOX CODING ID 2109, GENRE FIELD//</t>
  </si>
  <si>
    <t>Ndau</t>
  </si>
  <si>
    <t>ndau1241</t>
  </si>
  <si>
    <t>ndc</t>
  </si>
  <si>
    <t>Pfeni Nengoma</t>
  </si>
  <si>
    <t>http://media.theglobaljukebox.org/audio/T5439R36.mp3</t>
  </si>
  <si>
    <t>Story song //GLOBAL JUKEBOX CODING ID 2584, GENRE FIELD//</t>
  </si>
  <si>
    <t>Story-song about the baboon who kept jumping on and off a drum till he died //GLOBAL JUKEBOX CODING ID 2584, DESCRIPTION FIELD//</t>
  </si>
  <si>
    <t>Ndera Wandera</t>
  </si>
  <si>
    <t>http://media.theglobaljukebox.org/audio/T5439R49.mp3</t>
  </si>
  <si>
    <t>Story song //GLOBAL JUKEBOX CODING ID 2683, GENRE FIELD//</t>
  </si>
  <si>
    <t>Pi Mcinanga</t>
  </si>
  <si>
    <t>http://media.theglobaljukebox.org/audio/T9534R27.mp3</t>
  </si>
  <si>
    <t>Story song //GLOBAL JUKEBOX CODING ID 9487, GENRE FIELD//</t>
  </si>
  <si>
    <t>A manyika story song; recorded at Teachers Training College //GLOBAL JUKEBOX CODING ID 9487, DESCRIPTION FIELD//</t>
  </si>
  <si>
    <t>Ambilube</t>
  </si>
  <si>
    <t>Song of Homage to the King</t>
  </si>
  <si>
    <t>http://media.theglobaljukebox.org/audio/T9502R36.mp3</t>
  </si>
  <si>
    <t>Praise song //GLOBAL JUKEBOX CODING ID 9133, GENRE FIELD//</t>
  </si>
  <si>
    <t>Song of praise similar in form, style, and rhythm to other praise songs common on the western coast of Africa //GLOBAL JUKEBOX CODING ID 9133, DESCRIPTION FIELD//</t>
  </si>
  <si>
    <t>Atlas Berbers</t>
  </si>
  <si>
    <t>Qsida Midh</t>
  </si>
  <si>
    <t>https://www.youtube.com/watch?v=5UK0aljqO2c</t>
  </si>
  <si>
    <t>Disc 4, Track 3</t>
  </si>
  <si>
    <t>Ballad; praise song //GLOBAL JUKEBOX CODING ID 1586 GENRE//</t>
  </si>
  <si>
    <t>Ballad in honor of the Prophet Mohammed; lyrics by Sidi ben Ali; sung in ancient Moghrebi //GLOBAL JUKEBOX CODING ID 1586 DESCRIPTION//</t>
  </si>
  <si>
    <t>Found in the CD "Music of Morocco: from the Library of Congress" (recorded by Paul Bowles, 1959)</t>
  </si>
  <si>
    <t>Doesn't appear in Global Jukebox online, though it is in the database.</t>
  </si>
  <si>
    <t>The boat of the "Big Brows"</t>
  </si>
  <si>
    <t>The boat of the "Big Brows" //TITLE ON FOLKWAYS//</t>
  </si>
  <si>
    <t>This song tells of the first encounter between the Inuit and white men, whom they called "Big Brows". //LINER NOTES ON FOLKWAYS//</t>
  </si>
  <si>
    <t>Song of Minto inlet</t>
  </si>
  <si>
    <t>Song of Minto Inlet //TITLE ON FOLKWAYS//</t>
  </si>
  <si>
    <t>I was filled with terror when the north wind pushed us adrift | in this very spot, on this rotten ice floe, | On this very spot I trembled and was cold. | On this same spot I stand and laugh | On this old, rotten ice-floe //LYRICS ON FOLKWAYS//</t>
  </si>
  <si>
    <t>Tuareg (Morocco Berbers)</t>
  </si>
  <si>
    <t>hogg1238</t>
  </si>
  <si>
    <t>stan1290</t>
  </si>
  <si>
    <t>Suite de ghedras de Goulimine</t>
  </si>
  <si>
    <t>http://www.worldcat.org/oclc/61711547</t>
  </si>
  <si>
    <t>Side B</t>
  </si>
  <si>
    <t>Global Jukebox, Alan Lomax Collection</t>
  </si>
  <si>
    <t>Ritual song; dance song; religious song; trance song //GLOBAL JUKEBOX CODING ID 9602 GENRE//</t>
  </si>
  <si>
    <t>The guedra ritual dance serves as a blessing for friends or married people or to the community, or to submit the self to God; hypnotic and increasingly frenzied dance performed by solo female //GLOBAL JUKEBOX CODING ID 9602 DESCRIPTION//</t>
  </si>
  <si>
    <t>Listed in WorldCat as four tracks: Ghedra douce, Ghedra syncopee, Ghedra endiablee, Ghedra passionnee.</t>
  </si>
  <si>
    <t>Audio not available on Global Jukebox.</t>
  </si>
  <si>
    <t>Atlas Berbers: Shilha/Shluh/Chleuh, Haha tribe</t>
  </si>
  <si>
    <t>Ahouach of Zaouia</t>
  </si>
  <si>
    <t>http://media.theglobaljukebox.org/audio/T40010R04.mp3</t>
  </si>
  <si>
    <t>Dance song; circle dance //GLOBAL JUKEBOX CODING ID 3294 GENRE//</t>
  </si>
  <si>
    <t>Ahouach; Circle Dance; from Southern Morocco; men form circle and play bendir drums, while women shuffle in a larger circle around them //GLOBAL JUKEBOX CODING ID 3294 DESCRIPTION//</t>
  </si>
  <si>
    <t>Ahouach Ded Ida</t>
  </si>
  <si>
    <t>http://media.theglobaljukebox.org/audio/T40010R01.mp3</t>
  </si>
  <si>
    <t>Dance song; circle dance //GLOBAL JUKEBOX CODING ID 3297 GENRE//</t>
  </si>
  <si>
    <t>Ahouach; Circle Dance; from Southern Morocco; men form circle and play bendir drums, while women shuffle in a larger circle around them //GLOBAL JUKEBOX CODING ID 3297 DESCRIPTION//</t>
  </si>
  <si>
    <t>Antiphonal song</t>
  </si>
  <si>
    <t>http://media.theglobaljukebox.org/audio/T40031R02.mp3</t>
  </si>
  <si>
    <t>Dance song //GLOBAL JUKEBOX CODING ID 3290 GENRE//</t>
  </si>
  <si>
    <t>Women dance and sing around the circle of male drummers //GLOBAL JUKEBOX CODING ID 3290 DESCRIPTION//</t>
  </si>
  <si>
    <t>Great Ahouach of Telouet</t>
  </si>
  <si>
    <t>http://media.theglobaljukebox.org/audio/T40030R01.mp3</t>
  </si>
  <si>
    <t>Dance song; festival song //GLOBAL JUKEBOX CODING ID 3293 GENRE//</t>
  </si>
  <si>
    <t>Festival dance //GLOBAL JUKEBOX CODING ID 3293 DESCRIPTION//</t>
  </si>
  <si>
    <t>Ahmeilou</t>
  </si>
  <si>
    <t>http://www.worldcat.org/oclc/3100954</t>
  </si>
  <si>
    <t>Dance song //GLOBAL JUKEBOX CODING ID 1588 GENRE//</t>
  </si>
  <si>
    <t>//PAGE 2, ITEM 1, IN LIBRARY OF CONGRESS NOTES FOR RECORDING LABORATORY AFS L63 AND L64 https://www.loc.gov/folklife/LP/Morocco_opt.pdf//</t>
  </si>
  <si>
    <t>Global Jukebox uses the title "Prelude and Dance" and does not include audio.</t>
  </si>
  <si>
    <t>Darling I love you, darling I need you</t>
  </si>
  <si>
    <t>http://greenstone.ilam.ru.ac.za/collect/ilam/index/assoc/D29657.dir/ATC103a-04.mp3</t>
  </si>
  <si>
    <t>International Library of African Music</t>
  </si>
  <si>
    <t>Indigenous music ; Xhosa urban music ; Bass guitar ; Steel pan drum ; Love song //ILAM IDENTIFIER ATC103a-04, KEYWORDS//</t>
  </si>
  <si>
    <t>Love song accompanied by bass guitar and steel pan drum ; //ILAM IDENTIFIER ATC103a-04, DESCRIPTION//</t>
  </si>
  <si>
    <t>We imba ne mwana</t>
  </si>
  <si>
    <t>http://greenstone.ilam.ru.ac.za/collect/ilam/index/assoc/D68.dir/A67-01.mp3</t>
  </si>
  <si>
    <t>Indigenous music ; Vocal ; Love song //ILAM IDENTIFIER A67-01, KEYWORDS//</t>
  </si>
  <si>
    <t>Unaccompanied love song //ILAM IDENTIFIER A67-01, DESCRIPTION//</t>
  </si>
  <si>
    <t>Unsure exactly what culture the song comes from. Based on the fact that the song is from Zimbabwe and the language is Karanga, I assumed the culture was Shona Karanga (a Global Jukebox categorization), but I'm not certain</t>
  </si>
  <si>
    <t>Egypt</t>
  </si>
  <si>
    <t>egyp1253</t>
  </si>
  <si>
    <t>arz</t>
  </si>
  <si>
    <t>http://media.theglobaljukebox.org/audio/T5543R13.mp3</t>
  </si>
  <si>
    <t>Love song //GLOBAL JUKEBOX CODING ID 3239 GENRE//</t>
  </si>
  <si>
    <t>Tunisia</t>
  </si>
  <si>
    <t>http://media.theglobaljukebox.org/audio/T5522R98.mp3</t>
  </si>
  <si>
    <t>Burjîla; love song; lyric song //GLOBAL JUKEBOX CODING ID 4127 GENRE//</t>
  </si>
  <si>
    <t>Song of the Salhi type</t>
  </si>
  <si>
    <t>http://media.theglobaljukebox.org/audio/T45043.mp3</t>
  </si>
  <si>
    <t>Salhi; love song; lament //GLOBAL JUKEBOX CODING ID 4261 GENRE//</t>
  </si>
  <si>
    <t>Love song; Salhi song sung with lamenting strains full of trembling and quivering tones //GLOBAL JUKEBOX CODING ID 4261 DESCRIPTION//</t>
  </si>
  <si>
    <t>Sahrawi: Hassaniya</t>
  </si>
  <si>
    <t>hass1238</t>
  </si>
  <si>
    <t>mey</t>
  </si>
  <si>
    <t>Teiduma</t>
  </si>
  <si>
    <t>https://sounds.bl.uk/World-and-traditional-music/Violeta-Ruano-portraits-of-Saharawi-Music/025M-C1640X0055XX-0001V0</t>
  </si>
  <si>
    <t>This song is a traditional tune from the repertoire of the lashuar, or shadow music, which was performed during the day, when the sun still makes shadows. It talks about a tree named teiduma. Somebody loves a woman that he encounters under a tree. When he comes back to the same spot, she is not there anymore and the tree is dead. These songs were usually performed at family or other social events. The performance occasion was a private session organised by the musician in her house. Tarba Bueibu normally performs at national events with the national opera, but she does not consider herself a professional musician. She was playing a plastic bucket as a drum. //BRITISH LIBRARY SHELF MARK: C1640/55, COLLECTION: VIOLETA RUANO PORTRAITS OF SAHARAWI MUSIC, CATEGORY: LOVE SONGS, TITLE: TEIDUMA, ABSTRACT //</t>
  </si>
  <si>
    <t>I have to visit Bamuera</t>
  </si>
  <si>
    <t>https://sounds.bl.uk/World-and-traditional-music/Violeta-Ruano-portraits-of-Saharawi-Music/025M-C1640X0079XX-0001V0</t>
  </si>
  <si>
    <t>Love songs //BRITISH LIBRARY VIOLETA RUANO PORTRAITS OF SAHARAWI MUSIC GENRE//</t>
  </si>
  <si>
    <t>This song is a traditional tune from the repertoire of the lashuar, very short, communal songs that used to be played at family gatherings. It talks about a beduin region in Mauritania named Bamuera. The poet loves a woman from the region and writes about his feelings. The performance occasion was a private session at the cultural centre of Ausserd camp. Mariem Mouloud, expert in traditional music, was playing the traditional tbal drum. Traditional Saharawi music was always played with only voice and drum. It's very quiet music, to be able to listen to the words. //BRITISH LIBRARY, SHELF MARK C1640/79, VIOLETA RUANO PORTRAITS OF SAHARAWI MUSIC, I HAVE TO VISIT BAMUERA, ABSTRACT//</t>
  </si>
  <si>
    <t>Parade Singing at Circumcision Fete in Bitibit 2</t>
  </si>
  <si>
    <t>http://media.theglobaljukebox.org/audio/T5457R12.mp3</t>
  </si>
  <si>
    <t>Parade singing/Circumcision</t>
  </si>
  <si>
    <t>Circumcision song; festival song//GLOBAL JUKEBOX CODING ID 1645/AUDIO FILE ID T5457R12, RELEVANT TEXT IS IN THE GENRE FIELD//</t>
  </si>
  <si>
    <t>Futamp circumcision festival song//GLOBAL JUKEBOX CODING ID 1645/AUDIO FILE ID T5457R12, RELEVANT TEXT IS IN THE DESCRIPTION FIELD//</t>
  </si>
  <si>
    <t>Parade Singing at Circumcision Fete in Bitibit 1</t>
  </si>
  <si>
    <t>http://media.theglobaljukebox.org/audio/T5457R11.mp3</t>
  </si>
  <si>
    <t>Parade Song/Circumcision</t>
  </si>
  <si>
    <t>Circumcision song; festival song//GLOBAL JUKEBOX CODING ID 1648/AUDIO FILE ID T5457R11, RELEVANT TEXT IS IN THE GENRE FIELD//</t>
  </si>
  <si>
    <t>Futamp circumcision festival song//GLOBAL JUKEBOX CODING ID 1648/AUDIO FILE ID T5457R11, RELEVANT TEXT IS IN THE DESCRIPTION FIELD//</t>
  </si>
  <si>
    <t>Cultivating in Rice Fields, Part 1, Bose Takes It Easy</t>
  </si>
  <si>
    <t>http://media.theglobaljukebox.org/audio/T5457R07.mp3</t>
  </si>
  <si>
    <t>Field Song</t>
  </si>
  <si>
    <t>Work song; field song; agricultural song//GLOBAL JUKEBOX CODING ID 1654/AUDIO FILE ID T5457R07, RELEVANT TEXT IS IN THE GENRE FIELD//</t>
  </si>
  <si>
    <t>Eling men's field work song//GLOBAL JUKEBOX CODING ID 1654/AUDIO FILE ID T5457R07, RELEVANT TEXT IS IN THE DESCRIPTION FIELD//</t>
  </si>
  <si>
    <t>Cultivating in Peanut Fields</t>
  </si>
  <si>
    <t>http://media.theglobaljukebox.org/audio/T5457R06.mp3</t>
  </si>
  <si>
    <t>Cultivating</t>
  </si>
  <si>
    <t>Work song; field song; agricultural song//GLOBAL JUKEBOX CODING ID 1655/AUDIO FILE ID T5457R06, RELEVANT TEXT IS IN THE GENRE FIELD//</t>
  </si>
  <si>
    <t>Men's work song for working in the peanut fields//GLOBAL JUKEBOX CODING ID 1655/AUDIO FILE ID T5457R06, RELEVANT TEXT IS IN THE DESCRIPTION FIELD//</t>
  </si>
  <si>
    <t>Cultivating in Rice Fields, Part 3, the Strong European</t>
  </si>
  <si>
    <t>http://media.theglobaljukebox.org/audio/T5457R09.mp3</t>
  </si>
  <si>
    <t>Field song; work song; agricultural song; rice song//GLOBAL JUKEBOX CODING ID 1643/AUDIO FILE ID T5457R09, RELEVANT TEXT IS IN THE GENRE FIELD//</t>
  </si>
  <si>
    <t>Eling men's field work song//GLOBAL JUKEBOX CODING ID 1643/AUDIO FILE ID T5457R09, RELEVANT TEXT IS IN THE DESCRIPTION FIELD//</t>
  </si>
  <si>
    <t>Futamp</t>
  </si>
  <si>
    <t>http://media.theglobaljukebox.org/audio/T5457R13.mp3</t>
  </si>
  <si>
    <t>Circumcision</t>
  </si>
  <si>
    <t>Circumcision song; festival song; processional music//GLOBAL JUKEBOX CODING ID 1728/AUDIO FILE ID T5457R13, RELEVANT TEXT IS IN THE GENRE FIELD//</t>
  </si>
  <si>
    <t>Circumcision parade singing at festival in Tandiin//GLOBAL JUKEBOX CODING ID 1728/AUDIO FILE ID T5457R13, RELEVANT TEXT IS IN THE DESCRIPTION FIELD//</t>
  </si>
  <si>
    <t>http://media.theglobaljukebox.org/audio/T5624R04.mp3</t>
  </si>
  <si>
    <t>Lullaby//GLOBAL JUKEBOX CODING ID 2565/AUDIO FILE ID T5624R04, RELEVANT TEXT IS IN THE GENRE FIELD//</t>
  </si>
  <si>
    <t>Lullaby; the mother's hand slapping against the baby is audible//GLOBAL JUKEBOX CODING ID 2565/AUDIO FILE ID T5624R04, RELEVANT TEXT IS IN THE DESCRIPTION FIELD//</t>
  </si>
  <si>
    <t>Bib's daughter</t>
  </si>
  <si>
    <t>https://sounds.bl.uk/World-and-traditional-music/Violeta-Ruano-portraits-of-Saharawi-Music/025M-C1640X0076XX-0001V0</t>
  </si>
  <si>
    <t>Love songs //BRITISH LIBRARY, VIOLETA RUANO PORTRAITS OF SAHARAWI MUSIC, GENRE//</t>
  </si>
  <si>
    <t>This song is a modern interpretation of a traditional love song from the repertoire of the lashuar, very short, communal songs that used to be played at family gatherings. In it, a man expresses his feelings for a woman.The performance occasion was a rehearsal of the government musicians of the Ausserd camp. The recording was made in the cultural centre, where there were a lot of people coming in and out. The band structure voice, electric guitar and electronic keyboard is the most common one for the performance of Saharawi music nowadays. The singer was playing the traditional tbal drum. //BRITISH LIBRARY, SHELF MARK C1640/76, VIOLETA RUANO PORTRAITS OF SAHARAWI MUSIC, BIB'S DAUGHTER, ABSTRACT//</t>
  </si>
  <si>
    <t>Gajmi Fulana</t>
  </si>
  <si>
    <t>https://sounds.bl.uk/World-and-traditional-music/Violeta-Ruano-portraits-of-Saharawi-Music/025M-C1640X0132XX-0001V0</t>
  </si>
  <si>
    <t>Praise songs //BRITISH LIBRARY, VIOLETA RUANO PORTRAITS OF SAHARAWI MUSIC, GENRE//</t>
  </si>
  <si>
    <t>This is a traditional verse that praises a tribe from the south of Mauritania. It is performed in the mode lebteit. //BRITISH LIBRARY, SHELF MARK C1640/132, VIOLETA RUANO PORTRAITS OF SAHARAWI MUSIC, ABSTRACT//</t>
  </si>
  <si>
    <t>Banda hamai</t>
  </si>
  <si>
    <t>https://sounds.bl.uk/World-and-traditional-music/Violeta-Ruano-portraits-of-Saharawi-Music/025M-C1640X0031XX-0001V0</t>
  </si>
  <si>
    <t>Traditional music for dancing, especially in Mauritania, but also within Saharawi society.The performance occasion was a private session in the house of the musician. Luali Said is an extremely talented guitarist that performs regularly in national events and weddings in the camps. He has his own, very rich guitar playing style, especially when improvising. //BRITISH LIBRARY, SHELF MARK C1640/31, VIOLETA RUANO PORTRAITS OF SAHARAWI MUSIC, ABSTRACT//</t>
  </si>
  <si>
    <t>Atlas Berbers: Zaiane</t>
  </si>
  <si>
    <t>atla1275</t>
  </si>
  <si>
    <t>Ahellil pour moudre le grain des Zaian _02</t>
  </si>
  <si>
    <t>http://archives.crem-cnrs.fr/archives/items/CNRSMH_E_1997_006_001_02/</t>
  </si>
  <si>
    <t>Deux femmes chantent en alternance tout en moulant le grain. [= Two women chant in alternation while milling grain.] //CREM CNRSMH_E_1997_006_001_02 ETHNOGRAPHIC CONTEXT//</t>
  </si>
  <si>
    <t>Atlas Berbers: Ida Ou Mahmoud</t>
  </si>
  <si>
    <t>Ddikr pour le dépiquage des Ida Oumahmoud</t>
  </si>
  <si>
    <t>http://www.worldcat.org/title/chants-et-danses-de-latlas-maroc/oclc/38376848</t>
  </si>
  <si>
    <t>Ddikr pour le dépiquage des Ida Oumahmoud [= Dhikr for threshing from the Ida Ou Mahmoud tribe] //CREM CNRSMH_E_1997_006_001_03 TITLE//</t>
  </si>
  <si>
    <t>Il s'agit du ddikr chanté pour le début du dépiquage alors que les bêtes commencent à tourner sur l'aire. Deux hommes chantent en alternance, l'un faisant tourner les bêtes, l'autre ramenant très vite entre chaque passage des animaux les gerbes sur l'aire afin qu'elles soient piétinées. Les paroles chantées constituent les 3 premières strophes du ddikr noté et traduit p. 45. On note l'importance des cris des hommes aux bêtes et les braiments des ânes dans cette partie du dépistage très éprouvante pour les hommes et les bêtes. [= This is the dhikr sung for the beginning of the threshing as the animals begin to turn on the area. Two men sing alternately, one turning the animals, the other quickly bringing sheaves on the area between each passage of the animals so that they are trampled. […] The importance of the cries of men to the animals and the braying of the donkeys is noted in this part of the screening [?] which is very trying for men and animals.] //CREM CNRSMH_E_1997_006_001_03 ETHNOGRAPHIC CONTEXT//</t>
  </si>
  <si>
    <t>The WorldCat link refers to a book; inside that book there is an attached CD that contains the track.</t>
  </si>
  <si>
    <t>The CREM link is &lt;http://archives.crem-cnrs.fr/archives/items/CNRSMH_E_1997_006_001_03/&gt;, but the audio is unavailable there.</t>
  </si>
  <si>
    <t>Atlas Berbers: Ait Bougmez</t>
  </si>
  <si>
    <t>Chant de mariage des Ayt Bougmez</t>
  </si>
  <si>
    <t>http://archives.crem-cnrs.fr/archives/items/CNRSMH_E_1997_006_001_06/</t>
  </si>
  <si>
    <t>Chant de mariage des Ayt Bougmez [= Wedding song from the Ait Bougmez] //CREM CNRSMH_E_1997_006_001_06 TITLE//</t>
  </si>
  <si>
    <t>Ce chant est chanté en antiphonie par les femmes pour amener la mariée dans la maison du marié. [= This song is sung antiphonally by women to bring the bride to the groom's house.] //CREM CNRSMH_E_1997_006_001_06 ETHNOGRAPHIC CONTEXT//</t>
  </si>
  <si>
    <t>Ddikr pour le vannage des Ida Oumahmoud</t>
  </si>
  <si>
    <t>Ddikr pour le vannage des Ida Oumahmoud [= Dhikr for winnowing of the Ida Ou Mahmoud] //CREM CNRSMH_E_1997_006_001_04 TITLE//</t>
  </si>
  <si>
    <t>Profitant du vent soufflant dans la bonne direction, quelques femmes lancent en l'air avec leur fourche l'orge broyée. Le vent emporte la paille plus loin et laisse tomber le grain. Le ddikr chanté en antiphonie comporte les paroles suivantes : Prière de Dieu sur le Prophète / Qu'il intercède pour nous lors du jugement dernier. [= Taking advantage of the wind blowing in the right direction, several women throw crushed barley in the air with their fork. The wind carries the chaff farther away and lets the grain fall. The dhikr, sung antiphonally, contains the following words: Prayer of God on the Prophet / May he intercede for us at the last judgment.] //CREM CNRSMH_E_1997_006_001_04 ETHNOGRAPHIC CONTEXT//</t>
  </si>
  <si>
    <t>In CREM, but audio is not available: &lt;http://archives.crem-cnrs.fr/archives/items/CNRSMH_E_1997_006_001_04/&gt;</t>
  </si>
  <si>
    <t>Gnawa</t>
  </si>
  <si>
    <t>Fatha</t>
  </si>
  <si>
    <t>http://www.worldcat.org/oclc/25457764</t>
  </si>
  <si>
    <t>Side A, Band 3</t>
  </si>
  <si>
    <t>The remaining Band 4 [should be 3] contains Fatha, a prayer, since the Gnawas, in addition to providing entertainment through their music and dance on the streets of towns and villages, possess magical power to cure certain diseases and mental disorders. //ETHNOMUSICOLOGY, VOL 19 NO 1, PAGE 155, RECORD REVIEW http://www.jstor.org.ezp-prod1.hul.harvard.edu/stable/849760//</t>
  </si>
  <si>
    <t>Bengal</t>
  </si>
  <si>
    <t>Folk Song from West Bengal</t>
  </si>
  <si>
    <t>https://folkways.si.edu/folk-music-of-india/world/album/smithsonian</t>
  </si>
  <si>
    <t>"This is a love song in which the young man compares his sweet-heart to the champa flower..." //FOUND IN THE LINEAR NOTES THAT CAN BE FOUND AND CLICKED ON FROM THE AUDIO LINK - PAGE 3 UNDER FE 4409 - FOLK MUSIC OF INDIA SIDE I, BAND 1//</t>
  </si>
  <si>
    <t>It is track listing 101</t>
  </si>
  <si>
    <t>5/14/2018 11:05:59</t>
  </si>
  <si>
    <t>"Bhatiali" - River Boatmen song from East Pakistan</t>
  </si>
  <si>
    <t>https://folkways.si.edu/abdul-halim-chowdhry/bhatiali-river-boatmen-song-from-east-pakistan/central-asia-islamica-world/music/track/smithsonian</t>
  </si>
  <si>
    <t>River Boatmen song from East Pakistan //DESCRIPTION FOUND IN THE TITLE OF THE TRACK LISTING//</t>
  </si>
  <si>
    <t>5/14/2018 11:19:31</t>
  </si>
  <si>
    <t>Leisat suruk benduru</t>
  </si>
  <si>
    <t>https://sounds.bl.uk/World-and-traditional-music/Violeta-Ruano-portraits-of-Saharawi-Music/025M-C1640X0077XX-0001V0</t>
  </si>
  <si>
    <t>This song is a traditional tune from the repertoire of the lashuar, very short, communal songs that used to be played at family gatherings. It talks about a man whose wife has abandoned him.The performance occasion was a private session at the cultural centre of Ausserd camp. Mariem Mouloud, expert in traditional music, was playing the traditional tbal drum. Traditional Saharawi music was always played with only voice and drum. It's very quiet music, to be able to listen to the words. //BRITISH LIBRARY, SHELF MARK C1640/77, VIOLETA RUANO PORTRAITS OF SAHARAWI MUSIC, ABSTRACT//</t>
  </si>
  <si>
    <t>5/15/2018 14:08:33</t>
  </si>
  <si>
    <t>Funeral song "You left us…".</t>
  </si>
  <si>
    <t>https://sounds.bl.uk/World-and-traditional-music/Vanishing-voices-from-the-Uralic-world/025M-CEAP3470076B-08XXV0</t>
  </si>
  <si>
    <t>Funeral song //BRITISH LIBRARY, VANISHING VOICES FROM RUSSIA &amp;EASTERN EUROPE, SHELF MARK CEAP347/33/2/8//</t>
  </si>
  <si>
    <t>5/21/2018 4:49:38</t>
  </si>
  <si>
    <t>Funeral melody “God-god, god-god, god-god, god…”</t>
  </si>
  <si>
    <t>https://sounds.bl.uk/World-and-traditional-music/Vanishing-voices-from-the-Uralic-world/025M-CEAP3470142A-02XXV0</t>
  </si>
  <si>
    <t>Funeral melody //BRITISH LIBRARY, VANISHING VOICES FROM RUSSIA &amp;EASTERN EUROPE, SHELF MARK CEAP347/56/1/2//</t>
  </si>
  <si>
    <t>5/21/2018 4:53:28</t>
  </si>
  <si>
    <t>Udmurt/Besermyan</t>
  </si>
  <si>
    <t>Funeral song of the Besermyan.</t>
  </si>
  <si>
    <t>https://sounds.bl.uk/World-and-traditional-music/Vanishing-voices-from-the-Uralic-world/025M-CEAP3470579A-04XXV0</t>
  </si>
  <si>
    <t>Funeral song //BRITISH LIBRARY, VANISHING VOICES FROM RUSSIA &amp;EASTERN EUROPE, SHELF MARK CEAP347/226/1/4//</t>
  </si>
  <si>
    <t>5/21/2018 4:56:21</t>
  </si>
  <si>
    <t>Funeral song of the Northern Udmurts "Eh, ben, eh, ben ug…".</t>
  </si>
  <si>
    <t>https://sounds.bl.uk/World-and-traditional-music/Vanishing-voices-from-the-Uralic-world/025M-CEAP3470583A-11XXV0</t>
  </si>
  <si>
    <t>Funeral song //BRITISH LIBRARY, VANISHING VOICES FROM RUSSIA &amp;EASTERN EUROPE, SHELF MARK CEAP347/226/8/11//</t>
  </si>
  <si>
    <t>5/21/2018 4:58:18</t>
  </si>
  <si>
    <t>Zimbabwe/Rhodesia/Kitwe, language: Aushi</t>
  </si>
  <si>
    <t>aush1241</t>
  </si>
  <si>
    <t>auh</t>
  </si>
  <si>
    <t>Marita ku Mampampa</t>
  </si>
  <si>
    <t>http://greenstone.ilam.ru.ac.za/collect/ilam/index/assoc/D7881.dir/TR052-09.mp3</t>
  </si>
  <si>
    <t>ILAM</t>
  </si>
  <si>
    <t>Love song; Guitar; Bottle //ILAM IDENTIFIER TR052-09, KEYWORDS FIELD//</t>
  </si>
  <si>
    <t>5/21/2018 11:27:37</t>
  </si>
  <si>
    <t>Uxam Ugexile Usind'indlu Ngodaka</t>
  </si>
  <si>
    <t>http://media.theglobaljukebox.org/audio/T5451R15.mp3</t>
  </si>
  <si>
    <t>Wedding Song //GLOBAL JUKEBOX CODING ID 2093, GENRE FIELD//</t>
  </si>
  <si>
    <t>Wedding song; The Iguana Is Very Silly; Zwelitsha Choral Society //GLOBAL JUKEBOX CODING ID 2093, DESCRIPTION FIELD//</t>
  </si>
  <si>
    <t>5/21/2018 11:40:25</t>
  </si>
  <si>
    <t>Izibongo Zika Ndlunkulu</t>
  </si>
  <si>
    <t>http://media.theglobaljukebox.org/audio/T5452R10.mp3</t>
  </si>
  <si>
    <t>Praise song; chant //GLOBAL JUKEBOX CODING ID 2096, GENRE FIELD//</t>
  </si>
  <si>
    <t>Praise song and chant; Praises of the Chief's Wife //GLOBAL JUKEBOX CODING ID 2096, DESCRIPTION FIELD//</t>
  </si>
  <si>
    <t>5/21/2018 11:46:44</t>
  </si>
  <si>
    <t>Somagwaza</t>
  </si>
  <si>
    <t>http://media.theglobaljukebox.org/audio/T5452R11.mp3</t>
  </si>
  <si>
    <t>Praise song; chief's song; song about leadership //GLOBAL JUKEBOX CODING ID 2097, GENRE FIELD//</t>
  </si>
  <si>
    <t>Praise song thanking the Chief for having killed a beast; Father of the Stabbing; Mpondo mixed group //GLOBAL JUKEBOX CODING ID 2097, DESCRIPTION FIELD//</t>
  </si>
  <si>
    <t>5/21/2018 11:49:37</t>
  </si>
  <si>
    <t>5/21/2018 11:54:35</t>
  </si>
  <si>
    <t>Imama</t>
  </si>
  <si>
    <t>http://media.theglobaljukebox.org/audio/T5452R18.mp3</t>
  </si>
  <si>
    <t>Dance song; boys' song //GLOBAL JUKEBOX CODNG ID 277; GENRE FIELD//</t>
  </si>
  <si>
    <t>Mother; Gubura dance for young men //GLOBAL JUKEBOX CODNG ID 277; DESCRIPTION FIELD//</t>
  </si>
  <si>
    <t>5/21/2018 11:57:35</t>
  </si>
  <si>
    <t>Ngoni</t>
  </si>
  <si>
    <t>ngon1269</t>
  </si>
  <si>
    <t>ngo</t>
  </si>
  <si>
    <t>Liya Kamuchoma Wa Kanga</t>
  </si>
  <si>
    <t>http://media.theglobaljukebox.org/audio/T5454R04.mp3</t>
  </si>
  <si>
    <t>Dance song //GLOBAL JUKEBOX CODING ID 261; GENRE FIELD//</t>
  </si>
  <si>
    <t>Mpanda dance song; Without Liya The Dance Is Not A Success //GLOBAL JUKEBOX CODING ID 261; DESCRIPTION FIELD//</t>
  </si>
  <si>
    <t>5/21/2018 12:00:00</t>
  </si>
  <si>
    <t>Shangara</t>
  </si>
  <si>
    <t>http://media.theglobaljukebox.org/audio/T5439R44.mp3</t>
  </si>
  <si>
    <t>Dance song //GLOBAL JUKEBOX CODING ID 2679, GENRE FIELD//</t>
  </si>
  <si>
    <t>Dance song //GLOBAL JUKEBOX CODING ID 2679, DESCRIPTION FIELD//</t>
  </si>
  <si>
    <t>5/21/2018 12:05:45</t>
  </si>
  <si>
    <t>Mai Tswapiguruwe</t>
  </si>
  <si>
    <t>http://media.theglobaljukebox.org/audio/T5439R47.mp3</t>
  </si>
  <si>
    <t>Work song //GLOBAL JUKEBOX CODING ID 2684, GENRE FIELD//</t>
  </si>
  <si>
    <t>The New Thing; drilling song performed by boys attending Domboshawa School //GLOBAL JUKEBOX CODING ID 2684, DESCRIPTION FIELD//</t>
  </si>
  <si>
    <t>5/21/2018 12:10:10</t>
  </si>
  <si>
    <t>Mzeno of Komukomu</t>
  </si>
  <si>
    <t>http://media.theglobaljukebox.org/audio/T5439R30.mp3</t>
  </si>
  <si>
    <t>Dance song; mzeno //GLOBAL JUKEBOX CODING ID 1687, GENRE FIELD//</t>
  </si>
  <si>
    <t>Orchestral dance; Kapani waChikwita, composer//GLOBAL JUKEBOX CODING ID 1687, DESCRIPTION FIELD//</t>
  </si>
  <si>
    <t>5/21/2018 12:17:25</t>
  </si>
  <si>
    <t>Mwamwangu Wotala Achikene</t>
  </si>
  <si>
    <t>http://media.theglobaljukebox.org/audio/T5439R29.mp3</t>
  </si>
  <si>
    <t>Funeral song; complaint song //GLOBAL JUKEBOX CODING ID 1690, GENRE FIELD//</t>
  </si>
  <si>
    <t>Funeral song; complaint of a rejected wife //GLOBAL JUKEBOX CODING ID 1690, DESCRIPTION FIELD//</t>
  </si>
  <si>
    <t>5/21/2018 12:20:26</t>
  </si>
  <si>
    <t>Zhuǀʼhõasi</t>
  </si>
  <si>
    <t>Giraffe Medicine Song</t>
  </si>
  <si>
    <t>http://media.theglobaljukebox.org/audio/T9522R04.mp3</t>
  </si>
  <si>
    <t>Medicine song; healing song; dream song //GLOBAL JUKEBOX CODING ID 9368, GENRE FIELD//</t>
  </si>
  <si>
    <t>An elderly healer and two other old women sing a song given to her in a dream by the God who lives in the eastern sky //GLOBAL JUKEBOX CODING ID 9368, DESCRIPTION FIELD//</t>
  </si>
  <si>
    <t>5/21/2018 12:26:08</t>
  </si>
  <si>
    <t>Oryx Collective Healing Rite</t>
  </si>
  <si>
    <t>http://media.theglobaljukebox.org/audio/T5594R21.mp3</t>
  </si>
  <si>
    <t>Healing song; ritual song //GLOBAL JUKEBOX CODING ID 30054, GENRE FIELD//</t>
  </si>
  <si>
    <t>Major healing ritual //GLOBAL JUKEBOX CODING ID 30054, DESCRIPTION FIELD//</t>
  </si>
  <si>
    <t>5/21/2018 12:29:53</t>
  </si>
  <si>
    <t>Koiky</t>
  </si>
  <si>
    <t>http://media.theglobaljukebox.org/audio/T30085.mp3</t>
  </si>
  <si>
    <t>Yodel; calls; cries; forest song; work song //GLOBAL JUKEBOX CODING ID 30085, GENRE FIELD//</t>
  </si>
  <si>
    <t>Yodeled calls; when a group gathers to work or communicate, women in different parts of the forest call out to one another through yodels and cries for location or assistance //GLOBAL JUKEBOX CODING ID 30085, DESCRIPTION FIELD//</t>
  </si>
  <si>
    <t>5/21/2018 12:34:36</t>
  </si>
  <si>
    <t>Iha lahy misera</t>
  </si>
  <si>
    <t>http://media.theglobaljukebox.org/audio/T30088.mp3</t>
  </si>
  <si>
    <t>Entertainment song; narrative song //GLOBAL JUKEBOX CODING ID 30088, GENRE FIELD//</t>
  </si>
  <si>
    <t>A song for for entertainment in two parts; the first half is uses interlocking phrases; the second uses silence when telling a story about a man who is limping //GLOBAL JUKEBOX CODING ID 30088, DESCRIPTION FIELD//</t>
  </si>
  <si>
    <t>5/21/2018 12:38:33</t>
  </si>
  <si>
    <t>Tanala</t>
  </si>
  <si>
    <t>tana1285</t>
  </si>
  <si>
    <t>Andao Isika Mba Hilalao</t>
  </si>
  <si>
    <t>http://media.theglobaljukebox.org/audio/T5443R23.mp3</t>
  </si>
  <si>
    <t>Dance song //GLOBAL JUKEBOX CODING ID 1649, GENRE FIELD//</t>
  </si>
  <si>
    <t>Asabasy dance song; Now We Will Play //GLOBAL JUKEBOX CODING ID 1649, DESCRIPTION FIELD//</t>
  </si>
  <si>
    <t>5/21/2018 12:46:04</t>
  </si>
  <si>
    <t>Malaimkirafy</t>
  </si>
  <si>
    <t>http://media.theglobaljukebox.org/audio/T5443R22.mp3</t>
  </si>
  <si>
    <t>Story song //GLOBAL JUKEBOX CODING ID 2099, GENRE FIELD//</t>
  </si>
  <si>
    <t>I Don't Want To Be Polygamous; story song of a women who does not want to marry a man who already has a wife //GLOBAL JUKEBOX CODING ID 2099, DESCRIPTION IELD//</t>
  </si>
  <si>
    <t>5/21/2018 12:51:58</t>
  </si>
  <si>
    <t>Beko Tromba From Diego Suarez</t>
  </si>
  <si>
    <t>http://media.theglobaljukebox.org/audio/T5442R27.mp3</t>
  </si>
  <si>
    <t>Processional music; fisherman's song //GLOBAL JUKEBOX CODING ID 2102, GENRE FIELD//</t>
  </si>
  <si>
    <t>Vezo (group of Sakalave fishermen) procession music //GLOBAL JUKEBOX CODING ID 2102, DESCRIPTION FIELD//</t>
  </si>
  <si>
    <t>5/21/2018 12:56:07</t>
  </si>
  <si>
    <t>Gigalato</t>
  </si>
  <si>
    <t>http://media.theglobaljukebox.org/audio/T5443R05.mp3</t>
  </si>
  <si>
    <t>funeral</t>
  </si>
  <si>
    <t>Funeral song; dance song; dirge; prison song //GLOBAL JUKEBOX CODING ID 2175, GENRE FIELD//</t>
  </si>
  <si>
    <t>Funeral dirge; dance song; sung while transporting the corpse //GLOBAL JUKEBOX CODING ID 2175, DESCRIPTION FIELD//</t>
  </si>
  <si>
    <t>5/21/2018 13:01:52</t>
  </si>
  <si>
    <t>Kadidoke</t>
  </si>
  <si>
    <t>http://media.theglobaljukebox.org/audio/T5443R04.mp3</t>
  </si>
  <si>
    <t>Funeral song //GLOBAL JUKEBOX CODING ID 2110, GENRE FIELD//</t>
  </si>
  <si>
    <t>To Stamp the Feet; funeral song; sung by a troupe of students working their way through school //GLOBAL JUKEBOX CODING ID 2110, DESCRPIPTION FIELD//</t>
  </si>
  <si>
    <t>5/22/2018 10:15:28</t>
  </si>
  <si>
    <t>Bara</t>
  </si>
  <si>
    <t>bara1369</t>
  </si>
  <si>
    <t>bhr</t>
  </si>
  <si>
    <t>Malay Hanambady</t>
  </si>
  <si>
    <t>http://media.theglobaljukebox.org/audio/T5442R24.mp3</t>
  </si>
  <si>
    <t>Dance song //GLOBAL JUKEBOX CODING ID 2172, GENRE FIELD//</t>
  </si>
  <si>
    <t>Ambanivody acrobatic dance song; I Don't Want to Get Married //GLOBAL JUKEBOX CODING ID 2172, DESCRIPTION FIELD//</t>
  </si>
  <si>
    <t>5/22/2018 10:21:51</t>
  </si>
  <si>
    <t>Fandikara</t>
  </si>
  <si>
    <t>http://media.theglobaljukebox.org/audio/T5442R28.mp3</t>
  </si>
  <si>
    <t>Funeral song //GLOBAL JUKEBOX CODING ID 3300, GENRE FIELD//</t>
  </si>
  <si>
    <t>Funeral songs; two songs; song 2 is in 2 parts //GLOBAL JUKEBOX CODING ID 3300, DESCRIPTION FIELD//</t>
  </si>
  <si>
    <t>5/22/2018 10:24:31</t>
  </si>
  <si>
    <t>Lelingoana</t>
  </si>
  <si>
    <t>http://media.theglobaljukebox.org/audio/T5450R15.mp3</t>
  </si>
  <si>
    <t>Circumcision song</t>
  </si>
  <si>
    <t>Circumcision song; praise song; chant; preparatory song //GLOBAL JUKEBOX CODING ID 280, GENRE FIELD//</t>
  </si>
  <si>
    <t>Praise chant with speeches; preparation song for circumcision; recorded at the Headquarters of Chief Moshesh //GLOBAL JUKEBOX CODING ID 280, DESCRIPTION FIELD//</t>
  </si>
  <si>
    <t>5/22/2018 10:31:28</t>
  </si>
  <si>
    <t>Khokong</t>
  </si>
  <si>
    <t>http://media.theglobaljukebox.org/audio/T5450R21.mp3</t>
  </si>
  <si>
    <t>Work song //GLOBAL JUKEBOX CODING ID 2266, GENRE FIELD//</t>
  </si>
  <si>
    <t>Buffalo; traditional work song to accompany the braying of skins; recorded at the Headquarters of Chief Moshesh //GLOBAL JUKEBOX CODING ID 2266, DESCRIPTION FIELD//</t>
  </si>
  <si>
    <t>5/22/2018 10:34:19</t>
  </si>
  <si>
    <t>Lithoko Tsa Morena Neo Sibi</t>
  </si>
  <si>
    <t>http://media.theglobaljukebox.org/audio/T5450R29.mp3</t>
  </si>
  <si>
    <t>Praise song; song about leadership; chief's song //GLOBAL JUKEBOX CODING ID 2267, GENRE FIELD//</t>
  </si>
  <si>
    <t>Praises for Chief Neo Sibi; recorded at Hebron School, Chief Sibi's Location //GLOBAL JUKEBOX CODING ID 2267, DESCRIPTION FIELD//</t>
  </si>
  <si>
    <t>5/22/2018 10:37:03</t>
  </si>
  <si>
    <t>Beanandro</t>
  </si>
  <si>
    <t>http://media.theglobaljukebox.org/audio/T5443R37.mp3</t>
  </si>
  <si>
    <t>Narrative song; morality song //GLOBAL JUKEBOX CODING ID 2112, GENRE FIELD//</t>
  </si>
  <si>
    <t>Narrative morality song //GLOBAL JUKEBOX CODING ID 2112, DESCRIPTION FIELD//</t>
  </si>
  <si>
    <t>5/22/2018 10:47:58</t>
  </si>
  <si>
    <t>A Song for the Bulls</t>
  </si>
  <si>
    <t>http://media.theglobaljukebox.org/audio/T5443R32.mp3</t>
  </si>
  <si>
    <t>Riza; narrative song; animal song // GLOBAL JUKEBOX CODING ID 3662, GENRE FIELD//</t>
  </si>
  <si>
    <t>Narrative song; Riza; quick paced and lively, recorded at the Ambalavao Village fair // GLOBAL JUKEBOX CODING ID 3662, DESCRIPTION FIELD//</t>
  </si>
  <si>
    <t>5/22/2018 10:51:02</t>
  </si>
  <si>
    <t>Betsileo Riza</t>
  </si>
  <si>
    <t>http://media.theglobaljukebox.org/audio/T5443R33.mp3</t>
  </si>
  <si>
    <t>Riza; narrative song //GLOBAL JUKEBOX CODING ID 3667, GENRE FIELD//</t>
  </si>
  <si>
    <t>Riza narrative song //GLOBAL JUKEBOX CODING ID 3667, DESCRIPTION FIELD//</t>
  </si>
  <si>
    <t>5/22/2018 10:58:06</t>
  </si>
  <si>
    <t>Venda</t>
  </si>
  <si>
    <t>vend1245</t>
  </si>
  <si>
    <t>ven</t>
  </si>
  <si>
    <t>Story-songs for children (ngano)</t>
  </si>
  <si>
    <t>https://soundcloud.com/uwlibraries/blacking11</t>
  </si>
  <si>
    <t>Story-songs for children (ngano) //CREM CODE CNRSMH_E_1976_018_001_11, ETHNOGRAPHIC CONTEXT//</t>
  </si>
  <si>
    <t>a) The story of a man and his wife and the fruit tree, told by Munzhedzi Mmbi of Gaba in 1958, accompanied by children and friends. (2:10) b) Tshinoni tsha Musenzhe (“The bird of Musenzhe”), a song from a story, sung by Munzhedzi Mmbi of Gaba and companions in 1958. (0:40) c) The song from a story about a girl who changed into a bird and warned a man not to eat, sung by Tshikale Munaka with girls from Thengwe in 1958. (0:20) //CREM CODE CNRSMH_E_1976_018_001_11, ETHNOGRAPHIC CONTEXT//</t>
  </si>
  <si>
    <t>5/22/2018 11:24:13</t>
  </si>
  <si>
    <t>Children’s play-songs (dzhombo)</t>
  </si>
  <si>
    <t>https://soundcloud.com/uwlibraries/blacking12</t>
  </si>
  <si>
    <t>Children’s play-songs (dzhombo). //CREM CODE CNRSMH_E_1976_018_001_12, TITLE//</t>
  </si>
  <si>
    <t>a) Tshikhakhiso Romane, sung by girls at Thengwe, led by Tshikale Munaka, in 1958. (1:15) b) Phetha-tshigele, sung by the same group as a. A version of this is sung at the vhusha initiation school. See HM, Ex. 8, p. 40. (0:20) //CREM CODE CNRSMH_E_1976_018_001_12, ETHNOGRAPHIC CONTEXT//</t>
  </si>
  <si>
    <t>5/22/2018 11:36:58</t>
  </si>
  <si>
    <t>Language: Chizezuru ; Shona, Region: Bulawayo ; Southern Rhodesia</t>
  </si>
  <si>
    <t>zeze1238</t>
  </si>
  <si>
    <t>zezu1238</t>
  </si>
  <si>
    <t>zeze1238 not found (was a typo)</t>
  </si>
  <si>
    <t>Ndakurakura mai</t>
  </si>
  <si>
    <t>http://greenstone.ilam.ru.ac.za/collect/ilam/index/assoc/D31020.dir/AC0706-E2B4.mp3</t>
  </si>
  <si>
    <t>Small dance band ; Boogie ; Folk song ; Children's game //ILAM IDENTIFIER AC0706-E2B4, KEYWORDS//</t>
  </si>
  <si>
    <t>English translation of title: 'I have been sufferring Mother' ; Boogie song based on a folk song accompanying a children's game ; For further details refer to ILAM field card: E2B4 //ILAM DESCRIPTION AC0706-E2B4, KEYWORDS//</t>
  </si>
  <si>
    <t>5/22/2018 11:54:56</t>
  </si>
  <si>
    <t>Tswana</t>
  </si>
  <si>
    <t>Silang moshoko</t>
  </si>
  <si>
    <t>http://greenstone.ilam.ru.ac.za/collect/ilam/index/assoc/D8689.dir/TR111-09.mp3</t>
  </si>
  <si>
    <t>Childrens singing game ; Indigenous Music ; Folk //ILAM IDENTIFIER TR111-09, KEYWORDS//</t>
  </si>
  <si>
    <t>Translated English title - "Grind and make porridge". Further details refer to ILAM field card number: N1M - 4. //ILAM IDENTIFIER TR111-09, DESCRIPTION//</t>
  </si>
  <si>
    <t>5/22/2018 12:02:11</t>
  </si>
  <si>
    <t>Nyanja</t>
  </si>
  <si>
    <t>nucl1395</t>
  </si>
  <si>
    <t>nyan1308</t>
  </si>
  <si>
    <t>Tishanke Lero</t>
  </si>
  <si>
    <t>http://greenstone.ilam.ru.ac.za/collect/ilam/index/assoc/D18945.dir/HTFT170-D29.2-DX12a.mp3</t>
  </si>
  <si>
    <t>Folk Music ; Singing games ; Clapping ; Vocal //ILAM IDENTIFIER HTFT170-D29.2-DX12a, KEYWORDS//</t>
  </si>
  <si>
    <t>Description: Further details refer ILAM field card number: DX12a //ILAM IDENTIFIER HTFT170-D29.2-DX12a, DESCRIPTION//</t>
  </si>
  <si>
    <t>5/22/2018 12:06:47</t>
  </si>
  <si>
    <t>Monnamogolo</t>
  </si>
  <si>
    <t>http://greenstone.ilam.ru.ac.za/collect/ilam/index/assoc/D8687.dir/TR111-07.mp3</t>
  </si>
  <si>
    <t>Singing games ; Indigenous Music ; Folk //ILAM IDENTIFIER TR111-07, KEYWORDS//</t>
  </si>
  <si>
    <t>Translated English title - "Old man baboon". Further details refer to ILAM field card number: N1M - 3. //ILAM IDENTIFIER TR111-07, DESCRIPTION//</t>
  </si>
  <si>
    <t>5/22/2018 12:09:35</t>
  </si>
  <si>
    <t>Tisankhe lero</t>
  </si>
  <si>
    <t>http://greenstone.ilam.ru.ac.za/collect/ilam/index/assoc/D9903.dir/TR190-09.mp3</t>
  </si>
  <si>
    <t>Singing games ; Indigenous Music ; Folk ; Clapping //ILAM IDENTIFIER TR190-09, KEYWORDS//</t>
  </si>
  <si>
    <t>Translated English title - "Choose now". Further details refer to ILAM field card number: DX - 12a. //ILAM IDENTIFIER TR190-09, DESCRIPTION//</t>
  </si>
  <si>
    <t>5/22/2018 12:13:09</t>
  </si>
  <si>
    <t>Bemba</t>
  </si>
  <si>
    <t>town1238</t>
  </si>
  <si>
    <t>bemb1258</t>
  </si>
  <si>
    <t>bemb1258 has no classification info</t>
  </si>
  <si>
    <t>Liyense</t>
  </si>
  <si>
    <t>http://greenstone.ilam.ru.ac.za/collect/ilam/index/assoc/D32089.dir/AC0494-C3Z12a.mp3</t>
  </si>
  <si>
    <t>Unaccompanied ; Singing games ; Topical song //ILAM IDENTIFIER AC0494-C3Z12a, KEYWORDS//</t>
  </si>
  <si>
    <t>For futher details refer to ILAM field card: C3Z12a //ILAM IDENTIFIER AC0494-C3Z12a, DESCRIPTION//</t>
  </si>
  <si>
    <t>5/23/2018 10:16:21</t>
  </si>
  <si>
    <t>Tumbuka</t>
  </si>
  <si>
    <t>tumb1250</t>
  </si>
  <si>
    <t>tum</t>
  </si>
  <si>
    <t>Nkawa na dada</t>
  </si>
  <si>
    <t>http://greenstone.ilam.ru.ac.za/collect/ilam/index/assoc/D19465.dir/HTFT179-D36-D2E5.mp3</t>
  </si>
  <si>
    <t>Folk Music ; Singing games ; Sticks ; Vocal //ILAM IDENTIFIER HTFT179-D36-D2E5, KEYWORDS//</t>
  </si>
  <si>
    <t>Further details refer ILAM field card number: D2E5 //ILAM IDENTIFIER HTFT179-D36-D2E5, DESCRIPTION//</t>
  </si>
  <si>
    <t>5/23/2018 10:19:30</t>
  </si>
  <si>
    <t>Language: Mbukushu; Coverage: Nyangana ; Kavango ; Andara ; Namibia</t>
  </si>
  <si>
    <t>mbuk1240</t>
  </si>
  <si>
    <t>mhw</t>
  </si>
  <si>
    <t>Jikorwa yokumarombe tano nika moneko</t>
  </si>
  <si>
    <t>http://greenstone.ilam.ru.ac.za/collect/ilam/index/assoc/D16449.dir/DD112-13.mp3</t>
  </si>
  <si>
    <t>Indigenous music ; Healing song ; Claves //ILAM IDENTIFIER ATC010b-01, KEYWORDS//</t>
  </si>
  <si>
    <t>Tradional Healer's song, accompanied by the Rugoma mouth bow about the Chief who is ill ; For further details refer to ILAM reel: DD112 //ILAM IDENTIFIER ATC010b-01, DESCRIPTION//</t>
  </si>
  <si>
    <t>5/23/2018 11:30:46</t>
  </si>
  <si>
    <t>Akasa ngi baleli</t>
  </si>
  <si>
    <t>http://greenstone.ilam.ru.ac.za/collect/ilam/index/assoc/D18539.dir/HTFT344-H10-H1E3C.mp3</t>
  </si>
  <si>
    <t>Folk song ; Indigenous music ; Makhweyana bow ; Musical bow ; Love song //ILAM IDENTIFIER HTFT344-H10-H1E3C, KEYWORDS//</t>
  </si>
  <si>
    <t>5/23/2018 12:09:51</t>
  </si>
  <si>
    <t>Emalomeni</t>
  </si>
  <si>
    <t>http://greenstone.ilam.ru.ac.za/collect/ilam/index/assoc/D7345.dir/TR010-06.mp3</t>
  </si>
  <si>
    <t>Love song ; Folk ; Makhweyana musical bow //ILAM IDENTIFIER TR010-06, KEYWORDS//</t>
  </si>
  <si>
    <t>5/23/2018 12:13:01</t>
  </si>
  <si>
    <t>Siyekeni sihambe</t>
  </si>
  <si>
    <t>http://greenstone.ilam.ru.ac.za/collect/ilam/index/assoc/D29804.dir/ATC092a-02.mp3</t>
  </si>
  <si>
    <t>Indigenous music ; Xhosa urban music ; Love song ; Guitar //ILAM IDENTIFIER ATC092a-02, KEYWORDS//</t>
  </si>
  <si>
    <t>English translation of title: 'Leave us to go' ; Love song with guitar accompaniment ; For further details refer to Andrew Tracey cassette tape: ATC092 //ILAM IDENTIFIER ATC092a-02, DESCRIPTION//</t>
  </si>
  <si>
    <t>5/23/2018 13:51:48</t>
  </si>
  <si>
    <t>Ana akuno acipangwe anagwila bele langa</t>
  </si>
  <si>
    <t>http://greenstone.ilam.ru.ac.za/collect/ilam/index/assoc/D19755.dir/HTFT101-C118-C5J9.mp3</t>
  </si>
  <si>
    <t>Folk song ; Indigenous music ; Bangwe wa m'kulu ; Love song //ILAM IDENTIFIER HTFT101-C118-C5J9, KEYWORDS//</t>
  </si>
  <si>
    <t>5/23/2018 13:57:25</t>
  </si>
  <si>
    <t>Vambo</t>
  </si>
  <si>
    <t>ndon1254</t>
  </si>
  <si>
    <t>ndo</t>
  </si>
  <si>
    <t>Ohole nani okamana</t>
  </si>
  <si>
    <t>http://greenstone.ilam.ru.ac.za/collect/ilam/index/assoc/D10215.dir/TR216-03.mp3</t>
  </si>
  <si>
    <t>Love song ; Indigenous Music ; Folk //ILAM IDENTIFIER TR216-03, KEYWORDS//</t>
  </si>
  <si>
    <t>Translated English Title: "Love is a beautiful thing". Further details refer to Sound Of Africa Series. //ILAM IDENTIFIER TR216-03, DESCRIPTION//</t>
  </si>
  <si>
    <t>5/23/2018 14:06:26</t>
  </si>
  <si>
    <t>Yao</t>
  </si>
  <si>
    <t>yaoo1241</t>
  </si>
  <si>
    <t>yao</t>
  </si>
  <si>
    <t>Iche nasalile</t>
  </si>
  <si>
    <t>http://greenstone.ilam.ru.ac.za/collect/ilam/index/assoc/D32174.dir/AC0518-C4G11.mp3</t>
  </si>
  <si>
    <t>Indigenous music ; Folk music ; Love song ; Bangwe ; Board Zither ; Flute //ILAM IDENTIFIER AC0518-C4G11, KEYWORDS//</t>
  </si>
  <si>
    <t>A love song asking a girl to come to the singer's hut so that he can speak his love ; For further details refer to ILAM field card: C4G11 //ILAM IDENTIFIER AC0518-C4G11, DESCRIPTION//</t>
  </si>
  <si>
    <t>5/23/2018 15:38:10</t>
  </si>
  <si>
    <t>Selallane</t>
  </si>
  <si>
    <t>http://greenstone.ilam.ru.ac.za/collect/ilam/index/assoc/D30884.dir/AC0641-E1C5.mp3</t>
  </si>
  <si>
    <t>Choral music ; Concert song ; Lullaby //ILAM IDENTIFIER AC0641-E1C5, KEYWORDS//</t>
  </si>
  <si>
    <t>Lullaby sung for a child whose mother is away and whose elders sisters are trying to soothe it ; For further details see ILAM field card: E1C5 //ILAM IDENTIFIER AC0641-E1C5, DESCRIPTION//</t>
  </si>
  <si>
    <t>5/23/2018 15:55:05</t>
  </si>
  <si>
    <t>Karanga</t>
  </si>
  <si>
    <t>kara1484</t>
  </si>
  <si>
    <t>kth</t>
  </si>
  <si>
    <t>Kurera mwana</t>
  </si>
  <si>
    <t>http://greenstone.ilam.ru.ac.za/collect/ilam/index/assoc/D32741.dir/AC0135-AH14.mp3</t>
  </si>
  <si>
    <t>Indigenous music ; Folk song ; Lullaby ; Female vocals //ILAM IDENTIFIER AC0135-AH14; KEYWORDS//</t>
  </si>
  <si>
    <t>Lullaby sung by a woman ; English translation of title: 'Looking after the baby' ; For further details refer to ILAM field card: AH14 //ILAM IDENTIFIER AC0135-AH14; DESCRIPTION//</t>
  </si>
  <si>
    <t>A</t>
  </si>
  <si>
    <t>5/23/2018 15:57:55</t>
  </si>
  <si>
    <t>Damara</t>
  </si>
  <si>
    <t>dama1270</t>
  </si>
  <si>
    <t>Goaras gera a Labi gisa</t>
  </si>
  <si>
    <t>http://greenstone.ilam.ru.ac.za/collect/ilam/index/assoc/D10244.dir/TR218-01.mp3</t>
  </si>
  <si>
    <t>Lullaby ; Indigenous Music ; Folk //ILAM IDENTIFIER TR218-01, KEYWORDS//</t>
  </si>
  <si>
    <t>Translated English Title: "My child Labigisa is crying". //ILAM IDENTIFIER TR218-01, DESCRIPTION//</t>
  </si>
  <si>
    <t>5/23/2018 16:06:37</t>
  </si>
  <si>
    <t>Uyephi na?</t>
  </si>
  <si>
    <t>http://greenstone.ilam.ru.ac.za/collect/ilam/index/assoc/D28523.dir/MOA37-01.mp3</t>
  </si>
  <si>
    <t>Keywords: Lullaby ; Ugubu bow ; Indigenous folk music //ILAM IDENTIFIER MOA37-01 , KEYWORDS//</t>
  </si>
  <si>
    <t>English translation of title: 'Where has he gone' ; Traditional Zulu lullaby by Princess Constance Magogo KaDinuzulu accompanied by Gatsha Buthelezi, with ugubu bow //ILAM IDENTIFIER MOA37-01 , DESCRIPTION//</t>
  </si>
  <si>
    <t>5/23/2018 16:09:22</t>
  </si>
  <si>
    <t>Language: Swati; Region: Mbabane ; Swaziland</t>
  </si>
  <si>
    <t>swat1243</t>
  </si>
  <si>
    <t>ssw</t>
  </si>
  <si>
    <t>Koboyi, koboyi yekoboyi</t>
  </si>
  <si>
    <t>http://greenstone.ilam.ru.ac.za/collect/ilam/index/assoc/D25133.dir/DDC106a-07.mp3</t>
  </si>
  <si>
    <t>Indigenous music ; Traditional music ; Siswati music ; Singing ; Unaccompanied ; Solo ; Lullaby //ILAM IDENTIFIER DDC106a-07, KEYWORDS//</t>
  </si>
  <si>
    <t>Traditional Siswati lullaby, unaccompanied //ILAM IDENTIFIER DDC106a-07, DESCRIPTION//</t>
  </si>
  <si>
    <t>5/23/2018 16:13:08</t>
  </si>
  <si>
    <t>Ngoma yabantwana</t>
  </si>
  <si>
    <t>http://greenstone.ilam.ru.ac.za/collect/ilam/index/assoc/D18399.dir/HTFT390-L11-L1E7.mp3</t>
  </si>
  <si>
    <t>Keywords: Indigenous Music ; Lullaby ; Clapping ; Vocal ; Unaccompanied //ILAM IDENTIFIER HTFT390-L11-L1E7; KEYWORDS//</t>
  </si>
  <si>
    <t>5/23/2018 16:16:49</t>
  </si>
  <si>
    <t>Lololo</t>
  </si>
  <si>
    <t>http://greenstone.ilam.ru.ac.za/collect/ilam/index/assoc/D31400.dir/AC0851-C5M1.mp3</t>
  </si>
  <si>
    <t>Folk music ; Indigenous music ; Lullaby //ILAM IDENTIFIER AC0851-C5M1, KEYWORDS//</t>
  </si>
  <si>
    <t>English translation of title: 'Lullabies' ; A series of seven lullabies ; For further details refer to ILAM field card: C5M1 //ILAM IDENTIFIER AC0851-C5M1, DESCRIPTION/</t>
  </si>
  <si>
    <t>5/23/2018 16:19:51</t>
  </si>
  <si>
    <t>Pedi</t>
  </si>
  <si>
    <t>tswe1238</t>
  </si>
  <si>
    <t>pedi1238</t>
  </si>
  <si>
    <t>Homolela ngeka and Homolela ngwanaka</t>
  </si>
  <si>
    <t>http://greenstone.ilam.ru.ac.za/collect/ilam/index/assoc/D9986.dir/TR195-13.mp3</t>
  </si>
  <si>
    <t>Folk music ; Indigenous music ; Lullaby //ILAM IDENTIFIER TR195-13, KEYWORDS//</t>
  </si>
  <si>
    <t>Translated English title- "Keep quiet my girl". Further details refer to ILAM field card number: P1H - 10. //ILAM IDENTIFIER TR195-13, DESCRIPTION//</t>
  </si>
  <si>
    <t>5/23/2018 16:22:13</t>
  </si>
  <si>
    <t>Njinga yalowa</t>
  </si>
  <si>
    <t>http://greenstone.ilam.ru.ac.za/collect/ilam/index/assoc/D8440.dir/TR093-10.mp3</t>
  </si>
  <si>
    <t>Funeral song ; Tins used as drums //ILAM IDENTIFIER TR093-10, KEYWORDS//</t>
  </si>
  <si>
    <t>5/24/2018 15:45:39</t>
  </si>
  <si>
    <t>Ke Letele Njoany</t>
  </si>
  <si>
    <t>http://greenstone.ilam.ru.ac.za/collect/ilam/index/assoc/D6714.dir/TP0399-ABC11278.mp3</t>
  </si>
  <si>
    <t>Indigenous music ; Wedding song ; Clapping //ILAM IDENTIFIER TP0399-ABC11278, KEYWORDS//</t>
  </si>
  <si>
    <t>5/24/2018 16:14:40</t>
  </si>
  <si>
    <t>Ndebele</t>
  </si>
  <si>
    <t>nort2795</t>
  </si>
  <si>
    <t>nde</t>
  </si>
  <si>
    <t>Zizwe</t>
  </si>
  <si>
    <t>http://greenstone.ilam.ru.ac.za/collect/ilam/index/assoc/D17483.dir/HTFT140-C156-C6M17.mp3</t>
  </si>
  <si>
    <t>Folk Music ; Wedding song ; Clapping ; Vocal ; Unaccompanied //ILAM IDENTIFIER HTFT140-C156-C6M17, KEYWORDS//</t>
  </si>
  <si>
    <t>Wedding song accompanied by clapping ; For further details refer to ILAM field card: C6M16 //ILAM IDENTIFIER HTFT140-C156-C6M17, DESCRIPTION//</t>
  </si>
  <si>
    <t>5/24/2018 16:18:59</t>
  </si>
  <si>
    <t>Lala</t>
  </si>
  <si>
    <t>lala1264</t>
  </si>
  <si>
    <t>lala1268</t>
  </si>
  <si>
    <t>leb</t>
  </si>
  <si>
    <t>Babikapo no mutembo pali bama</t>
  </si>
  <si>
    <t>http://greenstone.ilam.ru.ac.za/collect/ilam/index/assoc/D4451.dir/TP0864-XYZT4187.mp3</t>
  </si>
  <si>
    <t>Indigenous music ; Folk music ; Mourning song ; Kankobele ; Mbira //ILAM IDENTIFIER TP0864-XYZT4187 KEYWORDS//</t>
  </si>
  <si>
    <t>5/24/2018 16:41:01</t>
  </si>
  <si>
    <t>Tiyeni timulile Sayile we</t>
  </si>
  <si>
    <t>http://greenstone.ilam.ru.ac.za/collect/ilam/index/assoc/D32050.dir/AC0483-C3W7.mp3</t>
  </si>
  <si>
    <t>Keywords: Indigenous music ; Folk music ; Mourning song ; Clapping //ILAM IDENTIFIER AC0483-C3W7, KEYWORDS//</t>
  </si>
  <si>
    <t>English translation of title: 'Let us mourn Sayili' ; Mourning song with clapping accompaniment ; For further details refer to ILAM field card: C3W7 //ILAM IDENTIFIER AC0483-C3W7, DESCRIPTION//</t>
  </si>
  <si>
    <t>5/24/2018 16:45:05</t>
  </si>
  <si>
    <t>Chokwe</t>
  </si>
  <si>
    <t>chok1245</t>
  </si>
  <si>
    <t>cjk</t>
  </si>
  <si>
    <t>Shiwa yamalela</t>
  </si>
  <si>
    <t>http://greenstone.ilam.ru.ac.za/collect/ilam/index/assoc/D32121.dir/AC0501-C4B10.mp3</t>
  </si>
  <si>
    <t>Mourning song ; Unaccompanied //ILAM IDENTIFIER AC0501-C4B10, KEYWORDS//</t>
  </si>
  <si>
    <t>Description: Unaccompanied mourning song about a woman who died, leaving behind many destitute children ; For further details refer to ILAM field card: C4B10 //ILAM IDENTIFIER AC0501-C4B10, DESCRIPTION//</t>
  </si>
  <si>
    <t>5/24/2018 16:52:34</t>
  </si>
  <si>
    <t>Belisazali anaona zoopsya</t>
  </si>
  <si>
    <t>http://greenstone.ilam.ru.ac.za/collect/ilam/index/assoc/D19982.dir/HTFT085-C101-C4P8.mp3</t>
  </si>
  <si>
    <t>Belisazali anaona zoopsya //ILAM IDENTIFIER HTFT085-C101-C4P8, KEYWORDS//</t>
  </si>
  <si>
    <t>5/24/2018 16:56:57</t>
  </si>
  <si>
    <t>Nsenga</t>
  </si>
  <si>
    <t>nsen1242</t>
  </si>
  <si>
    <t>nse</t>
  </si>
  <si>
    <t>Ni panama pamulyano pa mambo</t>
  </si>
  <si>
    <t>http://greenstone.ilam.ru.ac.za/collect/ilam/index/assoc/D1112.dir/CR0079-XYZ4450.mp3</t>
  </si>
  <si>
    <t>WorldCat, ILAM</t>
  </si>
  <si>
    <t>Traditional music ; Folk music ; Indigenous music ; Mourning song ; Kalimba //ILAM IDENTIFIER CR0079-XYZ4450, KEYWORDS//</t>
  </si>
  <si>
    <t>English translation of title: 'I stood outside the door of the Chief' ; Mourning song with Kalimba notes sung at Chief Mwanjantu's village ; For further details refer to ILAM field card: C4V3 //ILAM IDENTIFIER CR0079-XYZ4450, DESCRIPTION//</t>
  </si>
  <si>
    <t>5/25/2018 11:59:19</t>
  </si>
  <si>
    <t>Swaka</t>
  </si>
  <si>
    <t>swak1238</t>
  </si>
  <si>
    <t>Chiwaloba chiwaloba cinendondo</t>
  </si>
  <si>
    <t>http://greenstone.ilam.ru.ac.za/collect/ilam/index/assoc/D32209.dir/AC0527-C4J6.mp3</t>
  </si>
  <si>
    <t>Mourning song ; Unaccompanied //ILAM IDENTIFIER AC0527-C4J6 , KEYWORDS//</t>
  </si>
  <si>
    <t>English translation of title: 'When a man is dead, he will never come to life again' ; A song dwelling on the immovability of death ; For further details refer to ILAM field card: C4J6 //ILAM IDENTIFIER AC0527-C4J6 , DESCRIPTION//</t>
  </si>
  <si>
    <t>5/25/2018 12:07:14</t>
  </si>
  <si>
    <t>Umyeyezelo</t>
  </si>
  <si>
    <t>http://greenstone.ilam.ru.ac.za/collect/ilam/index/assoc/D14059.dir/DD150A-05.mp3</t>
  </si>
  <si>
    <t>Traditional Music ; Work song ; Special Ocassions ; Indigenous Music ; Clapping //ILAM IDENTIFIER DD150A-05, KEYWORDS//</t>
  </si>
  <si>
    <t>Traditional Xhosa song for special occasions with clapping accompaniment ; For further details refer to ILAM reel: DD150A //ILAM IDENTIFIER DD150A-05, DESCRIPTION//</t>
  </si>
  <si>
    <t>5/25/2018 12:12:08</t>
  </si>
  <si>
    <t>Shangaan</t>
  </si>
  <si>
    <t>tson1249</t>
  </si>
  <si>
    <t>tso</t>
  </si>
  <si>
    <t>Manane wa bebe</t>
  </si>
  <si>
    <t>http://greenstone.ilam.ru.ac.za/collect/ilam/index/assoc/D32439.dir/AC0041-CG4.mp3</t>
  </si>
  <si>
    <t>Work song ; Unaccompanied //ILAM IDENTIFIER AC0041-CG4 KEYWORDS//</t>
  </si>
  <si>
    <t>Work song for digging, unaccompanied ; For Further details refer to ILAM field card: CG4 //ILAM IDENTIFIER AC0041-CG4 DESCRIPTION//</t>
  </si>
  <si>
    <t>5/25/2018 12:17:57</t>
  </si>
  <si>
    <t>Monene kobo</t>
  </si>
  <si>
    <t>http://greenstone.ilam.ru.ac.za/collect/ilam/index/assoc/D197.dir/CR1959-GB1432-XYZ5687.mp3</t>
  </si>
  <si>
    <t>Work song ; Vocals ; Unaccompanied //ILAM IDENTIFIER CR1959-GB1432-XYZ5687, KEYWORDS//</t>
  </si>
  <si>
    <t>English translation of title: 'The owner of the blanket' ; Work song for braying skins ; For further details refer to ILAM field card number: E1A10 //ILAM IDENTIFIER CR1959-GB1432-XYZ5687, DESCRIPTION//</t>
  </si>
  <si>
    <t>5/25/2018 12:21:02</t>
  </si>
  <si>
    <t>A nyece nanyina Mambo ; The chief wife is Mambo's mother</t>
  </si>
  <si>
    <t>http://greenstone.ilam.ru.ac.za/collect/ilam/index/assoc/D32289.dir/AC0547-C4V16.mp3</t>
  </si>
  <si>
    <t>None of these, ILAM</t>
  </si>
  <si>
    <t>Indigenous music ; Folk music ; Pounding song ; Work song //ILAM IDENTIFIER AC0547-C4V16, KEYWORDS//</t>
  </si>
  <si>
    <t>English translation of title: 'The chief wife is Mambo's mother' ; Pounding song, two women pounding in mortar ; For further details refer to ILAM field card: C4V16 //ILAM IDENTIFIER AC0547-C4V1, DESCRIPTION//</t>
  </si>
  <si>
    <t>5/25/2018 12:23:53</t>
  </si>
  <si>
    <t>Munthu wakakora njoka</t>
  </si>
  <si>
    <t>http://greenstone.ilam.ru.ac.za/collect/ilam/index/assoc/D31050.dir/AC0716-DY13.mp3</t>
  </si>
  <si>
    <t>Story song //ILAM IDENTIFIER ACO716-DY13, KEYWORDS//</t>
  </si>
  <si>
    <t>Story song with Tumbuku men ; For further details refer to ILAM field card: DY13 //ILAM IDENTIFIER ACO716-DY13, DESCRIPTION//</t>
  </si>
  <si>
    <t>5/25/2018 12:27:26</t>
  </si>
  <si>
    <t>Che Chipala</t>
  </si>
  <si>
    <t>http://greenstone.ilam.ru.ac.za/collect/ilam/index/assoc/D17070.dir/HTFT540-L161-L3L5.mp3</t>
  </si>
  <si>
    <t>Praise song ; Folk music ; Board zither ; Vocal ; Bangwe ; Resonator //ILAM IDENTIFIER HTFT540-F161-L3L5, KEYWORDS//</t>
  </si>
  <si>
    <t>English translation of song: 'Chief Chipala' ; A praise song for the chief about the chief having a sense of justice accopmanied by a bangwe board zither and resonator ; For further details refer to ILAM field card: L3L5 //ILAM IDENTIFIER HTFT540-F161-L3L5, KEYWORDS//</t>
  </si>
  <si>
    <t>5/25/2018 12:32:30</t>
  </si>
  <si>
    <t>Herero</t>
  </si>
  <si>
    <t>here1253</t>
  </si>
  <si>
    <t>her</t>
  </si>
  <si>
    <t>Wa kawiri wambunga</t>
  </si>
  <si>
    <t>http://greenstone.ilam.ru.ac.za/collect/ilam/index/assoc/D10240.dir/TR217-16.mp3</t>
  </si>
  <si>
    <t>Praise song ; Indigenous Music ; Folk //ILAM IDENTIFIER TR217-16, KEYWORDS//</t>
  </si>
  <si>
    <t>5/25/2018 12:36:26</t>
  </si>
  <si>
    <t>Kongwana tshweu wee</t>
  </si>
  <si>
    <t>http://greenstone.ilam.ru.ac.za/collect/ilam/index/assoc/D8719.dir/TR114-01.mp3</t>
  </si>
  <si>
    <t>Praise song ; Folk //ILAM IDENTIFIER TR114-01, KEYWORDS//</t>
  </si>
  <si>
    <t>Translated English title - "Oh, the white cow!". Further details refer to ILAM field card number: N1K - 6. //ILAM IDENTIFIER TR114-01, DESCRIPTION//</t>
  </si>
  <si>
    <t>5/25/2018 12:40:35</t>
  </si>
  <si>
    <t>Khoisan (Naro) [Nharo]</t>
  </si>
  <si>
    <t>naro1249</t>
  </si>
  <si>
    <t>nhr</t>
  </si>
  <si>
    <t>Nharo Healing dance songs: Women and man, K/aon! Wa. A different song</t>
  </si>
  <si>
    <t>https://sounds.bl.uk/World-and-traditional-music/John-Brearley-Botswana/025M-C0065X0013XX-0900V0</t>
  </si>
  <si>
    <t>Healing dance //BRITISH LIBRARY SHELF MARK C65/13, SUBJECTS FIELD//</t>
  </si>
  <si>
    <t>These were recorded as examples of the kind of vocal counterpoint and melodic line found in songs of this type. //BRITISH LIBRARY SHELF MARK C65/13, DESCRIPTION FIELD//</t>
  </si>
  <si>
    <t>5/25/2018 15:50:02</t>
  </si>
  <si>
    <t>Khoisan</t>
  </si>
  <si>
    <t>khoe1240</t>
  </si>
  <si>
    <t>khoe1241</t>
  </si>
  <si>
    <t>Bau and Group. Healing Dance. Darkness</t>
  </si>
  <si>
    <t>https://sounds.bl.uk/World-and-traditional-music/John-Brearley-Botswana/025M-C0065X0037XX-0200V0</t>
  </si>
  <si>
    <t>Healing dance //BRITISH LIBRARY SHELF MARK C65/37, SUBJECTS FIELD//</t>
  </si>
  <si>
    <t>5/25/2018 15:56:50</t>
  </si>
  <si>
    <t>Gwae. Healing dance</t>
  </si>
  <si>
    <t>https://sounds.bl.uk/World-and-traditional-music/John-Brearley-Botswana/025M-C0065X0013XX-0600V0</t>
  </si>
  <si>
    <t>a) Healing Dance with singers, percussion and rattles. //BRITISH LIBRARY SHELF MARK C65/13, DESCRIPTION FIELD//</t>
  </si>
  <si>
    <t>5/25/2018 16:00:19</t>
  </si>
  <si>
    <t>Toueleou, Southeastern Guinea/Mende peoples/Loma</t>
  </si>
  <si>
    <t>mend1266</t>
  </si>
  <si>
    <t>toma1245</t>
  </si>
  <si>
    <t>men</t>
  </si>
  <si>
    <t>Funeral Song; lament//CODING ID 464 IN GLOBAL JUKEBOX/AUDIO FILE ID T5459R41, RELEVANT TEXT IS IN THE GENRE FIELD//</t>
  </si>
  <si>
    <t>Funeral lament for deceased elderly woman//CODING ID 464 IN GLOBAL JUKEBOX/AUDIO FILE ID T5459R41, RELEVANT TEXT IS IN THE DESCRIPTION FIELD//</t>
  </si>
  <si>
    <t>5/26/2018 17:46:26</t>
  </si>
  <si>
    <t>Toueleou, Southeastern Guinea/Mende People/Loma</t>
  </si>
  <si>
    <t>Chants Funebres II</t>
  </si>
  <si>
    <t>https://theglobaljukebox.org/?share=Loma-T5459R42</t>
  </si>
  <si>
    <t>Funeral Song//GLOBAL JUKEBOX CODING ID 3631/AUDIO FILE ID T5459R42, RELEVANT TEXT IS IN THE GENRE FIELD//</t>
  </si>
  <si>
    <t>Funeral lament for deceased elderly woman//GLOBAL JUKEBOX CODING ID 3631/AUDIO FILE ID T5459R42, RELEVANT TEXT IS IN THE DESCRIPTION FIELD//</t>
  </si>
  <si>
    <t>5/26/2018 17:50:58</t>
  </si>
  <si>
    <t>Ibans</t>
  </si>
  <si>
    <t>iban1264</t>
  </si>
  <si>
    <t>iba</t>
  </si>
  <si>
    <t>Pantun Serentan</t>
  </si>
  <si>
    <t>http://media.theglobaljukebox.org/audio/T5423R21.mp3</t>
  </si>
  <si>
    <t>Lomax Source: T1583.5</t>
  </si>
  <si>
    <t>Popular song // CODING ID 2323 IN GLOBAL JUKEBOX</t>
  </si>
  <si>
    <t>For recreation // GLOBAL JUKEBOX, RELEVANT TEXT IS IN THE DESCRIPTION FIELD</t>
  </si>
  <si>
    <t>5/30/2018 12:24:19</t>
  </si>
  <si>
    <t>JCS</t>
  </si>
  <si>
    <t>Shin Tan Ga - Chok Byuk Poo</t>
  </si>
  <si>
    <t>https://folkways.si.edu/shin-tan-ga-chok-byuk-poo-2/world/music/track/smithsonian</t>
  </si>
  <si>
    <t>"NA" //CATALOG NUMBER FW04424_103 FROM SMITHSONIAN FOLKWAYS ALBUM: FOLK &amp; CLASSICAL MUSIC OF KOREA//</t>
  </si>
  <si>
    <t>"This Korean folk ballad is about Chok Byuk, a famous battleground. The song was written by the Chinese poet Sho Dong Pa, during the Tang dynasty. The poetry describes the beauty of the landscape and nature." //CATALOG NUMBER FW04424_103 FROM SMITHSONIAN FOLKWAYS ALBUM: FOLK &amp; CLASSICAL MUSIC OF KOREA//</t>
  </si>
  <si>
    <t>5/30/2018 14:31:38</t>
  </si>
  <si>
    <t>MAK</t>
  </si>
  <si>
    <t>https://folkways.si.edu/shin-tan-ga-chok-byuk-poo/world/music/track/smithsonian</t>
  </si>
  <si>
    <t>"NA" //CATALOG NUMBER FW04424_102 ON SMITHSONIAN FOLKWAYS: FOLK &amp; CLASSICAL MUSIC OF KOREA//</t>
  </si>
  <si>
    <t>This Korean folk ballad is about Chok Byuk, a famous battleground. The song was written by the Chinese poet Sho Dong Pa, during the Tang dynasty. The poetry describes the beauty of the landscape and nature. //CATALOG NUMBER FW04424_102 ON SMITHSONIAN FOLKWAYS: FOLK &amp; CLASSICAL MUSIC OF KOREA//</t>
  </si>
  <si>
    <t>There appear to be two tracks on the album both named "Shin Tan Ga - Chok Byuk Poo".</t>
  </si>
  <si>
    <t>5/30/2018 14:45:18</t>
  </si>
  <si>
    <t>Nunatsiaqmiut (Inuit)</t>
  </si>
  <si>
    <t>Three Katajjait from Baffin Land</t>
  </si>
  <si>
    <t>https://folkways.si.edu/three-katajjait-from-baffin-land/music/track/smithsonian</t>
  </si>
  <si>
    <t>Canada: Inuit Games and Songs //SMITHSONIAN FOLKWAYS, ALBUM NAME, CATALOG NUMBER UNES08032_101//</t>
  </si>
  <si>
    <t>From 1974 to 1976, researchers traveled to Arctic villages in Northeastern Canada to record the verbal games and songs of the Inuit people. One example, called katajjait, involves two women standing face to face, producing guttural, animal-like repetitions until someone runs out of breath and concedes in laughter. //SMITHSONIAN FOLKWAYS, ALBUM DESCRIPTION, CATALOG NUMBER UNES08032_101//</t>
  </si>
  <si>
    <t>Illukitaaruti (Juggling song) from Baffin Land</t>
  </si>
  <si>
    <t>https://folkways.si.edu/illukitaaruti-juggling-song-from-baffin-land/music/track/smithsonian</t>
  </si>
  <si>
    <t>Canada: Inuit Games and Songs //SMITHSONIAN FOLKWAYS ALBUM NAME, CATALOG # UNES08032_102//</t>
  </si>
  <si>
    <t>About animals: Aqausiq (Ungava Bay) / Song accompanying a string game (Baffin Land)</t>
  </si>
  <si>
    <t>https://folkways.si.edu/about-animals-aqausiq-ungava-bay/song-accompanying-a-string-game-baffin-land/music/track/smithsonian</t>
  </si>
  <si>
    <t>About animals: Aqausiq (Ungava Bay) / Song accompanying a string game (Baffin Land) //SMITHSONIAN FOLKWAYS TRACK NAME, CATALOG #UNES08032_105//</t>
  </si>
  <si>
    <t>The aqausiq(tracks 8, 14, 19) is sung to children to show them affection as well as to amuse them //SMITHSONIAN FOLKWAYS ALBUM LINER NOTES, CATALOG # UNES08032_105//</t>
  </si>
  <si>
    <t>Birth of earthworms</t>
  </si>
  <si>
    <t>https://folkways.si.edu/agnes-nanogak/birth-of-earthworms/music/track/smithsonian</t>
  </si>
  <si>
    <t>Ballad //SMITHSONIAN FOLKWAYS LINER NOTES, CATALOG # UNES08053_115//</t>
  </si>
  <si>
    <t>A long time ago, earthworms lived in shells that were found along the seashore men called them "Aioomit", then they spoke to them and sang this song : Aloomit ! Aloomit ! I Oh, you are so pitiful ! I Oh, you are so pitiful ! I From the shore we are going to throw you back into the ocean. I Where are your ears, Aloomit ? Can you not hear ? I Then, suddenly, the Aloomit pricked their ears and they were cast back into the ocean, although they did not wish to return to the ocean, for they intended to make their home on land ! //SMITHSONIAN FOLKWAYS LINER NOTES, CATALOG # UNES08053_115//</t>
  </si>
  <si>
    <t>esi</t>
  </si>
  <si>
    <t>Story songs: Boy resting by the river; Nooneedle bird; Man who was not a good hunter</t>
  </si>
  <si>
    <t>https://folkways.si.edu/otis-ahkivigak/story-songs-boy-resting-by-the-river-nooneedle-bird-man-who-was-not-a-good-hunter/american-indian/music/track/smithsonian</t>
  </si>
  <si>
    <t>Story songs: Boy resting by the river; Nooneedle bird; Man who was not a good hunter //FOLKWAYS SONG NAME, CATALOG # FW04444_115 //</t>
  </si>
  <si>
    <t>Detailed description of stories in liner notes //LINER NOTES, https://folkways-media.si.edu/liner_notes/folkways/FW04444.pdf//</t>
  </si>
  <si>
    <t>Eastern Canadian Inuit</t>
  </si>
  <si>
    <t>Animal stories</t>
  </si>
  <si>
    <t>https://folkways.si.edu/kemukserar-and-pangatkar/animal-stories/american-indian/music/track/smithsonian</t>
  </si>
  <si>
    <t>Animal stories //FOLKWAYS SONG TITLE, CATALOG # FW04444_112//</t>
  </si>
  <si>
    <t>All the birds and animaIs have their own songs, so that it takes many days and nights to sing through the whole cycle. From their hunting experience and accurate observations they explain the habits of the animals, the clever ones, the strong ones, the stupid ones, and so on. //FOLKWAYS LINER NOTES, CATALOG # FW04444_112//</t>
  </si>
  <si>
    <t>Inuit; Eiwhuelit; Yuit</t>
  </si>
  <si>
    <t>cent2127</t>
  </si>
  <si>
    <t>esu</t>
  </si>
  <si>
    <t>Praise, Praise God</t>
  </si>
  <si>
    <t>https://folkways.si.edu/nick-wongatilin/praise-praise-god/american-indian/music/track/smithsonian</t>
  </si>
  <si>
    <t>Praise, Praise God //FOLKWAYS SONG TITLE, CATALOG # FW04069_107//</t>
  </si>
  <si>
    <t>Assumed this was a praise song because of the title; not certain, though</t>
  </si>
  <si>
    <t>Shikoku</t>
  </si>
  <si>
    <t>nucl1643</t>
  </si>
  <si>
    <t>jpn</t>
  </si>
  <si>
    <t>Ishiya-bushi</t>
  </si>
  <si>
    <t>https://folkways.si.edu/ishiya-bushi/world/music/track/smithsonian</t>
  </si>
  <si>
    <t>Work song; responsorial song //LOMAX SOURCE T6664.B1 ON GLOBAL JUKEBOX</t>
  </si>
  <si>
    <t>Stonecutter's song; male leader with male chorus; call and response; over the sound of sledgehammers //LOMAX SOURCE T6664.B1 ON GLOBAL JUKEBOX</t>
  </si>
  <si>
    <t>"NA" //LOMAX SOURCE T6664.B1 ON GLOBAL JUKEBOX</t>
  </si>
  <si>
    <t>Maritsuki-uta</t>
  </si>
  <si>
    <t>http://www.folkways.si.edu/maritsuki-uta/world/music/track/smithsonian</t>
  </si>
  <si>
    <t>Disc 1, Track 11</t>
  </si>
  <si>
    <t>"Game song; girls' song" //LOMAX SOURCE T6664.B3 ON GLOBAL JUKEBOX</t>
  </si>
  <si>
    <t>"Ball bouncing song; repetition of Ten and Tenjin refers to an ancient god" //LOMAX SOURCE T6664.B3 ON GLOBAL JUKEBOX</t>
  </si>
  <si>
    <t>"NA" //LOMAX SOURCE T6664.B3 ON GLOBAL JUKEBOX</t>
  </si>
  <si>
    <t>Shiraisi Odori</t>
  </si>
  <si>
    <t>https://folkways.si.edu/shiraisi-odori/world/music/track/smithsonian</t>
  </si>
  <si>
    <t>"Heroic song; narrative song; Bon Odori" //LOMAX SOURCE T6664.B4A ON GLOBAL JUKEBOX</t>
  </si>
  <si>
    <t>"Bon music; song over 300 years old, stemming from the Jōruri, retelling of heroic tales which began in the 13th century; alternation between the leader/storyteller and the chorus with interjections" //LOMAX SOURCE T6664.B4A ON GLOBAL JUKEBOX</t>
  </si>
  <si>
    <t>"NA" //LOMAX SOURCE T6664.B4A ON GLOBAL JUKEBOX</t>
  </si>
  <si>
    <t>There is a discrepancy between the source and global jukebox as to the title of the song.</t>
  </si>
  <si>
    <t>Chugoku</t>
  </si>
  <si>
    <t>The song of the shellfish-gatherer</t>
  </si>
  <si>
    <t>http://www.folkways.si.edu/TrackDetails.aspx?itemid=12599</t>
  </si>
  <si>
    <t>Disc 2, Track 4</t>
  </si>
  <si>
    <t>"Gathering song; fishing song" //LOMAX SOURCE 2A24.C4 ON GLOBAL JUKEBOX</t>
  </si>
  <si>
    <t>"Song for shellfish gathering" //LOMAX SOURCE 2A24.C4 ON GLOBAL JUKEBOX</t>
  </si>
  <si>
    <t>"NA" //LOMAX SOURCE 2A24.C4 ON GLOBAL JUKEBOX</t>
  </si>
  <si>
    <t>Naha-shi</t>
  </si>
  <si>
    <t>cent2126</t>
  </si>
  <si>
    <t>japo1237</t>
  </si>
  <si>
    <t>U-Gusuku-Guena</t>
  </si>
  <si>
    <t>http://media.theglobaljukebox.org/audio/T5414R30.mp3</t>
  </si>
  <si>
    <t>"Work song; narrative song" //LOMAX SOURCE 2A17.B17 ON GLOBAL JUKEBOX</t>
  </si>
  <si>
    <t>"Farmers' work song; originally long ancient narratives" //LOMAX SOURCE 2A17.B17 ON GLOBAL JUKEBOX</t>
  </si>
  <si>
    <t>"NA" //LOMAX SOURCE 2A17.B17 ON GLOBAL JUKEBOX</t>
  </si>
  <si>
    <t>Ashibi Komocha</t>
  </si>
  <si>
    <t>http://media.theglobaljukebox.org/audio/T5414R29.mp3</t>
  </si>
  <si>
    <t>"Lullaby" //LOMAX SOURCE 2A17.B16 ON GLOBAL JUKEBOX</t>
  </si>
  <si>
    <t>"NA" //LOMAX SOURCE 2A17.B16 ON GLOBAL JUKEBOX</t>
  </si>
  <si>
    <t>Waka Rōsho</t>
  </si>
  <si>
    <t>http://media.theglobaljukebox.org/audio/T5414R12.mp3</t>
  </si>
  <si>
    <t>"Lament; mourning song; war song; topical song; historical song" //CODING ID 385 ON GLOBAL JUKEBOX</t>
  </si>
  <si>
    <t>"Lament for the Heavenly Children; girls and women taken by Japanese forces during WWII that died in cave warfare; composed by Shinobu Origuchi" //CODING ID 385 ON GLOBAL JUKEBOX</t>
  </si>
  <si>
    <t>"NA" //CODING ID 385 ON GLOBAL JUKEBOX</t>
  </si>
  <si>
    <t>Ito Kuri Bushi</t>
  </si>
  <si>
    <t>http://media.theglobaljukebox.org/audio/T5414R14.mp3</t>
  </si>
  <si>
    <t>"Love song; work song; spinning song" //CODING ID 3017 ON GLOBAL JUKEBOX</t>
  </si>
  <si>
    <t>"Broken Thread; spinning song; love song; lyrics if a thread breaks, one is scolded, but after all, it can be tied, what if one's love-thread should break?" //CODING ID 3017 ON GLOBAL JUKEBOX</t>
  </si>
  <si>
    <t>"NA" //CODING ID 3017 ON GLOBAL JUKEBOX</t>
  </si>
  <si>
    <t>Dayak</t>
  </si>
  <si>
    <t>mala1545</t>
  </si>
  <si>
    <t>Rice Song</t>
  </si>
  <si>
    <t>http://media.theglobaljukebox.org/audio/T5422R33.mp3</t>
  </si>
  <si>
    <t>Lomax Source: 3A33.16; WFS2B.8</t>
  </si>
  <si>
    <t>Harvest song; spirit song; rice song; agricultural song // GLOBAL JUKEBOX 3A33.16; WFS2B.8</t>
  </si>
  <si>
    <t>Dyak women sing an appeal for a good harvest to the mountain spirit // GLOBAL JUKEBOX</t>
  </si>
  <si>
    <t>Magindanao</t>
  </si>
  <si>
    <t>magu1243</t>
  </si>
  <si>
    <t>mdh</t>
  </si>
  <si>
    <t>Radya Indara Patra</t>
  </si>
  <si>
    <t>http://media.theglobaljukebox.org/audio/T5422R21.mp3</t>
  </si>
  <si>
    <t>Epic song; chant // GLOBAL JUKEBOX Coding ID: 1555</t>
  </si>
  <si>
    <t>Tudtol epic chants // GLOBAL JUKEBOX Lomax Source: 2A29.C1</t>
  </si>
  <si>
    <t>Southern Europe</t>
  </si>
  <si>
    <t>Piemonte</t>
  </si>
  <si>
    <t>ital1282</t>
  </si>
  <si>
    <t>piem1238</t>
  </si>
  <si>
    <t>ita</t>
  </si>
  <si>
    <t>Papa Rogne</t>
  </si>
  <si>
    <t>https://theglobaljukebox.org/?share=Piemonte-T5471R28</t>
  </si>
  <si>
    <t>Global Jukebox, Alan Lomax Collection, American Folklife Center, Library of Congress</t>
  </si>
  <si>
    <t>Genre: Dance song //GLOBAL JUKEBOX CODING ID: 618//</t>
  </si>
  <si>
    <t>Description: Popular dance song; formerly a ronde or farandole //GLOBAL JUKEBOX CODING ID: 618//</t>
  </si>
  <si>
    <t>TTI</t>
  </si>
  <si>
    <t>Trás-os-Montes</t>
  </si>
  <si>
    <t>por</t>
  </si>
  <si>
    <t>Cantilena da Pedra</t>
  </si>
  <si>
    <t>https://theglobaljukebox.org/?share=Tras-Os-Montes-T5468R36</t>
  </si>
  <si>
    <t>Global Jukebox, Ralph Rinzler Folklife Archives and Collections, Smithsonian Center for Folklife and Cultural Heritage, Copy in Alan Lomax Collection, American Folklife Center, Library of Congress</t>
  </si>
  <si>
    <t>Genre: Work song; hauling song //GLOBAL JUKEBOX CODING ID: 649//</t>
  </si>
  <si>
    <t>Description: Cantilena of the Stone; working song or, more exactly, very rudimentary and impressive tune, or melopeia with the aim of stimulating the hard physical work of the stone loaders //GLOBAL JUKEBOX CODING ID: 649//</t>
  </si>
  <si>
    <t>Galicia</t>
  </si>
  <si>
    <t>gali1258</t>
  </si>
  <si>
    <t>Parranda De San Pedro</t>
  </si>
  <si>
    <t>https://theglobaljukebox.org/?share=Galicia-T5471R08</t>
  </si>
  <si>
    <t>associated with a parade for St. Peter, a local patron saint</t>
  </si>
  <si>
    <t>Genre: Saint's song //GLOBAL JUKEBOX CODING ID: 653//</t>
  </si>
  <si>
    <t>Description: Ancient song for St. Peter, a local patron saint //GLOBAL JUKEBOX CODING ID: 653//</t>
  </si>
  <si>
    <t>cent1972</t>
  </si>
  <si>
    <t>mode1262</t>
  </si>
  <si>
    <t>ckb</t>
  </si>
  <si>
    <t>Love Songs</t>
  </si>
  <si>
    <t>https://theglobaljukebox.org/?share=Turkey-T5482R44</t>
  </si>
  <si>
    <t>//GLOBAL JUKEBOX, CODING ID: 856, RELEVANT INFO IN DESCRIPTION</t>
  </si>
  <si>
    <t>Two songs sung in duet by two young brothers</t>
  </si>
  <si>
    <t>JCVL</t>
  </si>
  <si>
    <t>Turks</t>
  </si>
  <si>
    <t>nucl1301</t>
  </si>
  <si>
    <t>tur</t>
  </si>
  <si>
    <t>Abdunun Mezari</t>
  </si>
  <si>
    <t>https://theglobaljukebox.org/?share=Black%20Sea-T5483R11</t>
  </si>
  <si>
    <t>Disc 1, Track 14</t>
  </si>
  <si>
    <t>Mourning//GLOBAL JUKEBOX, CODING ID: 724, RELEVANT INFORMATION IN DESCRIPTION//</t>
  </si>
  <si>
    <t>Grave Of Abdu; dedicated to a young man who died; sung by a peasant tenor</t>
  </si>
  <si>
    <t>Western Europe</t>
  </si>
  <si>
    <t>Global jukebox lists "Berry". No results in HRAF</t>
  </si>
  <si>
    <t>fra</t>
  </si>
  <si>
    <t>Chanson De La Mariée</t>
  </si>
  <si>
    <t>http://media.theglobaljukebox.org/audio/T5465R20.mp3</t>
  </si>
  <si>
    <t>Wedding Song //CODING ID 2637 IN GLOBAL JUKEBOX, RELEVANT TEXT IS IN THE DESCRIPTION FIELD//</t>
  </si>
  <si>
    <t>First link is the audio file, second is metadata https://theglobaljukebox.org/?share=Berry-T5465R20</t>
  </si>
  <si>
    <t>KVL</t>
  </si>
  <si>
    <t>Berry (as listed in global jukebox. not listed in HRAF)</t>
  </si>
  <si>
    <t>Briolée</t>
  </si>
  <si>
    <t xml:space="preserve">http://media.theglobaljukebox.org/audio/T5588R01.mp3 </t>
  </si>
  <si>
    <t>Agricultural song; work song; plowing song; bourrée //CODING ID 2639 IN GLOBAL JUKEBOX, RELEVANT TEXT IS IN THE DESCRIPTION and GENRE FIELDS//</t>
  </si>
  <si>
    <t>first link:Audio. Second:Metadata https://theglobaljukebox.org/?share=Berry-T5588R01</t>
  </si>
  <si>
    <t>Esashi Oiwake</t>
  </si>
  <si>
    <t>http://media.theglobaljukebox.org/audio/T5414R21.mp3</t>
  </si>
  <si>
    <t>"Fisherman's song; work song; fishing song" //CODING ID 364 ON GLOBAL JUKEBOX</t>
  </si>
  <si>
    <t>"The Oiwake was originally a song of the pack-horse drivers of Oiwake, Central Japan; later the same tune with new words became the song of sea laborers" //CODING ID 364 ON GLOBAL JUKEBOX</t>
  </si>
  <si>
    <t>"NA" //CODING ID 364 ON GLOBAL JUKEBOX</t>
  </si>
  <si>
    <t>Yami</t>
  </si>
  <si>
    <t>yami1254</t>
  </si>
  <si>
    <t>tao</t>
  </si>
  <si>
    <t>Xi Yongquan</t>
  </si>
  <si>
    <t>http://media.theglobaljukebox.org/audio/T5611R13m.mp3</t>
  </si>
  <si>
    <t>"NA" //CODING ID 30625 ON GLOBAL JUKEBOX</t>
  </si>
  <si>
    <t>"New homes have been completed; Male leader with male group; begins with long solo, then group joins in for a long phrase; solo then resumes till end" //CODING ID 30625 ON GLOBAL JUKEBOX</t>
  </si>
  <si>
    <t>Saisiyat</t>
  </si>
  <si>
    <t>sais1237</t>
  </si>
  <si>
    <t>xsy</t>
  </si>
  <si>
    <t>Taroko</t>
  </si>
  <si>
    <t>http://media.theglobaljukebox.org/audio/T5629R11.mp3</t>
  </si>
  <si>
    <t>"Wedding song; welcome song" //CODING ID 35 ON GLOBAL JUKEBOX</t>
  </si>
  <si>
    <t>"Welcoming the Bride; the Sajek construct their songs in the form of rounds, a characteristic of hunter-gatherer music in India and Africa" //CODING ID 35 ON GLOBAL JUKEBOX</t>
  </si>
  <si>
    <t>"NA" //CODING ID 35 ON GLOBAL JUKEBOX</t>
  </si>
  <si>
    <t>Puyuma</t>
  </si>
  <si>
    <t>puyu1239</t>
  </si>
  <si>
    <t>pyu</t>
  </si>
  <si>
    <t>Emayahayam 1</t>
  </si>
  <si>
    <t>http://media.theglobaljukebox.org/audio/T30220.mp3</t>
  </si>
  <si>
    <t>"Work song; agricultural song; millet song; gathering song" //CODING ID 30220 ON GLOBAL JUKEBOX</t>
  </si>
  <si>
    <t>"Song of the gathering after the weeding of the millet; solo voice is tense and high and embellished; group voices are lower and more relaxed with no embellishment" //CODING ID 30220 ON GLOBAL JUKEBOX</t>
  </si>
  <si>
    <t>"NA" //CODING ID 30220 ON GLOBAL JUKEBOX</t>
  </si>
  <si>
    <t>Bailan</t>
  </si>
  <si>
    <t>http://media.theglobaljukebox.org/audio/T30226.mp3</t>
  </si>
  <si>
    <t>"Lullaby" //CODING ID 30226 ON GLOBAL JUKEBOX</t>
  </si>
  <si>
    <t>"NA" //CODING ID 30226 ON GLOBAL JUKEBOX</t>
  </si>
  <si>
    <t>Song of the Cow-Herds and the Cow Girls</t>
  </si>
  <si>
    <t>http://media.theglobaljukebox.org/audio/T30446.mp3</t>
  </si>
  <si>
    <t>"Herding song; work song; pastoral song; cattle song" //CODING ID 30446 ON GLOBAL JUKEBOX</t>
  </si>
  <si>
    <t>"NA" //CODING ID 30446 ON GLOBAL JUKEBOX</t>
  </si>
  <si>
    <t>Bunun</t>
  </si>
  <si>
    <t>bunu1267</t>
  </si>
  <si>
    <t>bnn</t>
  </si>
  <si>
    <t>Pisila Railas</t>
  </si>
  <si>
    <t>http://media.theglobaljukebox.org/audio/T5424R05m.mp3</t>
  </si>
  <si>
    <t>"Dirge; orphan's song" //CODING ID 2822 ON GLOBAL JUKEBOX</t>
  </si>
  <si>
    <t>"Dirge; an orphan who sings of solititude to inspire compassion while at a party" //CODING ID 2822 ON GLOBAL JUKEBOX</t>
  </si>
  <si>
    <t>"NA" //CODING ID 2822 ON GLOBAL JUKEBOX</t>
  </si>
  <si>
    <t>Chant de Guérison</t>
  </si>
  <si>
    <t>http://media.theglobaljukebox.org/audio/T5628R09.mp3</t>
  </si>
  <si>
    <t>"Healing song; shaman song" //CODING ID 9738 ON GLOBAL JUKEBOX</t>
  </si>
  <si>
    <t>"Healing song; sung by shaman during therapeutic rituals" //CODING ID 9738 ON GLOBAL JUKEBOX</t>
  </si>
  <si>
    <t>"NA" //CODING ID 9738 ON GLOBAL JUKEBOX</t>
  </si>
  <si>
    <t>Global Jukebox lists "berry" (no HRAF results)</t>
  </si>
  <si>
    <t>Quand La Maison Est Propre</t>
  </si>
  <si>
    <t>http://media.theglobaljukebox.org/audio/T5465R19.mp3</t>
  </si>
  <si>
    <t>Courtship Song //CODING ID 2638 IN GLOBAL JUKEBOX, RELEVANT TEXT IS IN THE Genre FIELD//</t>
  </si>
  <si>
    <t>Courting Song //CODING ID 2638 IN GLOBAL JUKEBOX, RELEVANT TEXT IS IN THE Description FIELD//</t>
  </si>
  <si>
    <t>First link audio, second Metadata https://theglobaljukebox.org/?share=Berry-T5465R19</t>
  </si>
  <si>
    <t>Tobago</t>
  </si>
  <si>
    <t>Hush Up, Baby</t>
  </si>
  <si>
    <t>http://media.theglobaljukebox.org/audio/T5543R04.mp3</t>
  </si>
  <si>
    <t>Lullaby //CODING ID 1205 IN GLOBAL JUKEBOX, RELEVANT TEXT IS IN THE DESCRIPTION FIELD//</t>
  </si>
  <si>
    <t>KLL</t>
  </si>
  <si>
    <t>Weiwin Song 2</t>
  </si>
  <si>
    <t>http://media.theglobaljukebox.org/audio/T5401R14.mp3</t>
  </si>
  <si>
    <t>Shaman song//GLOBAL JUKEBOX CODING ID: 3681, RELEVANT INFORMATION IN DESCRIPTION AND GENRE FIELD//</t>
  </si>
  <si>
    <t>They were guided by elder wise men and shamans who had healing and spiritual powers; female solo//GLOBAL JUKEBOX CODING ID: 3681, RELEVANT INFORMATION IN PEOPLE/CULTURE FIELD//</t>
  </si>
  <si>
    <t>The link takes you to the actual audio track. Following links to metadata: https://theglobaljukebox.org/?share=Selk'nam-T5401R14</t>
  </si>
  <si>
    <t>The previous person who coded Shaman Song (in Selk'nam culture) as healing genre. The ethnographical information confirmed the healing function, hence I followed the same route. Although the tilte/label doesn't explicitly show it as a healing song.</t>
  </si>
  <si>
    <t>XDF</t>
  </si>
  <si>
    <t>Yolngu/Murngin/Wulamba/Dhuwal</t>
  </si>
  <si>
    <t>Green Frog, Arnhem Land wangga song</t>
  </si>
  <si>
    <t>http://www.worldcat.org/oclc/41613673</t>
  </si>
  <si>
    <t>Volume 9, Track 28</t>
  </si>
  <si>
    <t>"wangga song" //GARLAND ENCYCLOPEDIA OF MUSIC, VOL. 9, TRACK 28, RELEVANT INFO IS IN TRACK TITLE//</t>
  </si>
  <si>
    <t>Track was drawn for the encyclopedia from: Wangga Songs by Alan Maralung, Smithsonian Folkways CD 40430, track 4.</t>
  </si>
  <si>
    <t>Per Wikipedia (https://en.wikipedia.org/wiki/Wangga), songs in this genre often focus on death/regeneration, so examination of the lyrics (not available transcribed) may reveal that this song is a mourning song in addition to a dance song.</t>
  </si>
  <si>
    <t>JNY</t>
  </si>
  <si>
    <t>Pray to the Sun</t>
  </si>
  <si>
    <t>http://media.theglobaljukebox.org/audio/T5401R25m.mp3</t>
  </si>
  <si>
    <t>Prayer//CODING ID: 3929 IN GLOBAL JUKEBOX; RELEVANT INFORMATION IS IN THE GENRE FIELD//</t>
  </si>
  <si>
    <t>Isla Grande de Tierra del Fuego, Patagonia, South America//CODING ID: 3929 IN GLOBAL JUKEBOX; RELEVANT INFORMATION IS IN THE GENRE FIELD//</t>
  </si>
  <si>
    <t>NA//CODING ID: 3929 IN GLOBAL JUKEBOX; RELEVANT INFORMATION IS IN THE GENRE FIELD//</t>
  </si>
  <si>
    <t>https://theglobaljukebox.org/?share=Selk'nam-T5401R25m</t>
  </si>
  <si>
    <t>The link takes you directly to the accessible audio on Global Jukebox</t>
  </si>
  <si>
    <t>https://theglobaljukebox.org/#</t>
  </si>
  <si>
    <t>Love song //GLOBAL JUKEBOX CODING ID 3094, GENRE FIELD//</t>
  </si>
  <si>
    <t>Love song; female soloist over drum, shaker; heavy static in recording //GLOBAL JUKEBOX CODING ID 3094, DESCRIPTION FIELD//</t>
  </si>
  <si>
    <t>Coding id 3094, search Sahtu Dene</t>
  </si>
  <si>
    <t>When I Was a Young Girl and Single</t>
  </si>
  <si>
    <t>http://media.theglobaljukebox.org/audio/T5478R45.mp3</t>
  </si>
  <si>
    <t>Ballad //CODING ID 1040 IN GLOBAL JUKEBOX, RELEVANT TEXT IS IN THE DESCRIPTION FIELD//</t>
  </si>
  <si>
    <t>Baquini (Death Song)</t>
  </si>
  <si>
    <t>https://folkways.si.edu/juan-pablo-paolin-santo-de-la-cruz-tomas-sanchez-feliz-gomez-aquilino-sanchez-juan-maria-pena-llario-mercedes-petrolina-clase/baquini-death-song/caribbean-latin-world/music/track/smithsonian</t>
  </si>
  <si>
    <t>Baquini (Death Song) //SMITHSONIAN FOLKWAYS, RELEVANT TEXT IS IN THE TRACK TITLE//</t>
  </si>
  <si>
    <t>Baquini - song for the death of a child //SMITHSONIAN FOLKWAYS, RELEVANT TEXT IS IN THE LINER NOTES OF "MUSIC FROM THE DOMINICAN REPUBLIC VOL. 4, SONGS FROM THE NORTH" UNDER BAND 4//</t>
  </si>
  <si>
    <t>To God, godfather and godmother Well, to God himself, to Him Godmother what I entrust him with (is) To fill you with blessings What I entrust Him with godmother (is) To take the little crown So that he give consolation To this sad little mother //SMITHSONIAN FOLKWAYS, RELEVANT TEXT IS IN THE LINER NOTES OF "MUSIC FROM THE DOMINICAN REPUBLIC VOL. 4, SONGS FROM THE NORTH" UNDER BAND 4//</t>
  </si>
  <si>
    <t>East Greenlandic Inuit</t>
  </si>
  <si>
    <t>http://www.worldcat.org/title/inuit-fifty-five-historical-recordings/oclc/52848634&amp;referer=brief_results</t>
  </si>
  <si>
    <t>A lullaby which typically consists of repeated simple motifs iwth only two different tones. The text is about a horrible dog and may seem more frightening than soothing. //CD LINER NOTES, LOEB LIBRARY AWM 19491//</t>
  </si>
  <si>
    <t>Available in Loeb Library AWM, #19491</t>
  </si>
  <si>
    <t>East Greenlandic Inut</t>
  </si>
  <si>
    <t>Singing game</t>
  </si>
  <si>
    <t>Singing game //CD LINER NOTES, LOEB AWM 19491//</t>
  </si>
  <si>
    <t>A song for a singing game recorded in connection with a twin-town arrangement in Gentofte, Denmark. The singing game is about a hunting scene on a rocky coast. The girls stand facing each other and alternately clap their own and each other's hands. In an ever-accelerating tempo and with great precision — and volubility — the two girls keep pace with each other all through the song. This example shows that the East-Greenlandic song traditions are still in use, also among young people. //CD LINER NOTES, LOEB AWM 19491//</t>
  </si>
  <si>
    <t>Available in Loeb, AWM 19491</t>
  </si>
  <si>
    <t>South Greenlandic Inuit</t>
  </si>
  <si>
    <t>Mournful song</t>
  </si>
  <si>
    <t>Mournful song //CD LINER NOTES, AWM 19491//</t>
  </si>
  <si>
    <t>A mournful song sung by the bereaved women after a qivittoq. In this song a direct influence (or continuation) of East-Greenlandic melody and form can be seen. This is also the case in many older South-Greenlandic songs of the niperujuatit tradition. But in the course of ti e a gradual incorporation of European melodics has taken place. The beginning European influence appears first in the use of semitone intervals, as in the present song. An elderly man is snoring in the background. //CD LINER NOTES, AWM 19491//</t>
  </si>
  <si>
    <t>Available in Loeb Archive of World Music #19491</t>
  </si>
  <si>
    <t>Uummannaq-Upernavik Inuit</t>
  </si>
  <si>
    <t>Song in a story</t>
  </si>
  <si>
    <t>Song in a story //CD LINER NOTES, LOEB AWM 19491//</t>
  </si>
  <si>
    <t>The recording took place in the northernmost settlement in the Upernavik region. The song is surprising in melodic respects: it has a large range and many triads of a type normally found in East Greenland. It is possible that songs of this kind date back to a population in North-East Greenland that died out in the beginning of the 19th century. //CD LINER NOTES, LOEB AWM 19491//</t>
  </si>
  <si>
    <t>Loeb AWM 19491</t>
  </si>
  <si>
    <t>Inuit Igulik</t>
  </si>
  <si>
    <t>From "The grand-mother and the son"</t>
  </si>
  <si>
    <t>WorldCat, Loeb Archive of World Music</t>
  </si>
  <si>
    <t>Story Songs //CD LINER NOTES, LOEB AWM 16706//</t>
  </si>
  <si>
    <t>Available in Loeb Archive of World Music, 16706</t>
  </si>
  <si>
    <t>From "The whale, the sea scorpion, and the eagle that married human wives"</t>
  </si>
  <si>
    <t>global jukebox lists "Auvergne" (no HRAF result)</t>
  </si>
  <si>
    <t>Au Boué De Ma Tante</t>
  </si>
  <si>
    <t>http://media.theglobaljukebox.org/audio/T5588R08.mp3</t>
  </si>
  <si>
    <t>Bourrée //CODING ID 976 IN GLOBAL JUKEBOX, RELEVANT TEXT IS IN THE GENRE FIELD//</t>
  </si>
  <si>
    <t>In My Aunt's Wood; bourrée sung in French //CODING ID 976 IN GLOBAL JUKEBOX, RELEVANT TEXT IS IN THE DESCRIPTION FIELD//</t>
  </si>
  <si>
    <t>Metadata: https://theglobaljukebox.org/?share=Auvergne-T5588R08</t>
  </si>
  <si>
    <t>Auvergne</t>
  </si>
  <si>
    <t>Para Lou Loup</t>
  </si>
  <si>
    <t>http://media.theglobaljukebox.org/audio/T5588R03.mp3</t>
  </si>
  <si>
    <t>Dance song //CODING ID 977 IN GLOBAL JUKEBOX, RELEVANT TEXT IS IN THE GENRE FIELD//</t>
  </si>
  <si>
    <t>Description: Beware of the Wolf; Auvergnat dance //CODING ID 977 IN GLOBAL JUKEBOX, RELEVANT TEXT IS IN THE DESCRIPTION FIELD//</t>
  </si>
  <si>
    <t>metadata: https://theglobaljukebox.org/?share=Auvergne-T5588R03</t>
  </si>
  <si>
    <t>Pasibutbut, Chant de Germination du Millet</t>
  </si>
  <si>
    <t>http://media.theglobaljukebox.org/audio/T5628R13.mp3</t>
  </si>
  <si>
    <t>"Millet song; agricultural song; circle dance; planting song" //CODING ID 9742 ON GLOBAL JUKEBOX</t>
  </si>
  <si>
    <t>"Millet germination song; sung during planting; men hold shoulders and circle slowly counter clockwise, singing with long, open vowels; the pitches are very low and sung quietly to start, then grow progressively higher and louder" //CODING ID 9742 ON GLOBAL JUKEBOX</t>
  </si>
  <si>
    <t>"NA" //CODING ID 9742 ON GLOBAL JUKEBOX</t>
  </si>
  <si>
    <t>Rukai</t>
  </si>
  <si>
    <t>ruka1240</t>
  </si>
  <si>
    <t>dru</t>
  </si>
  <si>
    <t>http://media.theglobaljukebox.org/audio/T30216.mp3</t>
  </si>
  <si>
    <t>"Lullaby" //CODING ID 30216 ON GLOBAL JUKEBOX</t>
  </si>
  <si>
    <t>"NA" //CODING ID 30216 ON GLOBAL JUKEBOX</t>
  </si>
  <si>
    <t>Paiwan</t>
  </si>
  <si>
    <t>paiw1248</t>
  </si>
  <si>
    <t>pwn</t>
  </si>
  <si>
    <t>Chant de Mariage 1</t>
  </si>
  <si>
    <t>http://media.theglobaljukebox.org/audio/T5628R16.mp3</t>
  </si>
  <si>
    <t>"Wedding song" //CODING ID 9745 ON GLOBAL JUKEBOX</t>
  </si>
  <si>
    <t>"NA" //CODING ID 9745 ON GLOBAL JUKEBOX</t>
  </si>
  <si>
    <t>Ami</t>
  </si>
  <si>
    <t>amis1246</t>
  </si>
  <si>
    <t>ami</t>
  </si>
  <si>
    <t>Sapakant-chiralt-fural</t>
  </si>
  <si>
    <t>http://media.theglobaljukebox.org/audio/T5424R21m.mp3</t>
  </si>
  <si>
    <t>"Magic song; healing song; spirit song; exorcism song; for ancestors; magic song" //CODING ID 4020 ON GLOBAL JUKEBOX</t>
  </si>
  <si>
    <t>"Witches' prayer to the sun, moon and the ancestors of an invalid, accompanied by the invalid's family, in order to drive away the evil spirits causing sickness; Ami-Barang group" //CODING ID 4020 ON GLOBAL JUKEBOX</t>
  </si>
  <si>
    <t>"NA" //CODING ID 4020 ON GLOBAL JUKEBOX</t>
  </si>
  <si>
    <t>Laliu No Malidengnai</t>
  </si>
  <si>
    <t>http://media.theglobaljukebox.org/audio/T30348.mp3</t>
  </si>
  <si>
    <t>Gathering of the Elders</t>
  </si>
  <si>
    <t>"Elders' song; song for community gathering" //CODING ID 30348 ON GLOBAL JUKEBOX</t>
  </si>
  <si>
    <t>"The Elder's Gathering Song; tightly coordinated heterophony" //CODING ID 30348 ON GLOBAL JUKEBOX</t>
  </si>
  <si>
    <t>"NA" //CODING ID 30348 ON GLOBAL JUKEBOX</t>
  </si>
  <si>
    <t>Misalasin Alaliu</t>
  </si>
  <si>
    <t>http://media.theglobaljukebox.org/audio/T30434.mp3</t>
  </si>
  <si>
    <t>"Shaman song; healing song" //CODING ID 30434 ON GLOBAL JUKEBOX</t>
  </si>
  <si>
    <t>"Shaman's curing song" //CODING ID 30434 ON GLOBAL JUKEBOX</t>
  </si>
  <si>
    <t>"NA" //CODING ID 30434 ON GLOBAL JUKEBOX</t>
  </si>
  <si>
    <t>Kabar No Lagazau</t>
  </si>
  <si>
    <t>http://media.theglobaljukebox.org/audio/T30438.mp3</t>
  </si>
  <si>
    <t>"Dance song" //CODING ID 30438 ON GLOBAL JUKEBOX</t>
  </si>
  <si>
    <t>"Dance song: Elders Teach Youth the Lagazau Dance" //CODING ID 30438 ON GLOBAL JUKEBOX</t>
  </si>
  <si>
    <t>"NA" //CODING ID 30438 ON GLOBAL JUKEBOX</t>
  </si>
  <si>
    <t>Druze</t>
  </si>
  <si>
    <t>sunn1238</t>
  </si>
  <si>
    <t>leva1239</t>
  </si>
  <si>
    <t>http://media.theglobaljukebox.org/audio/T5484R19.mp3</t>
  </si>
  <si>
    <t>Love song // CODING ID 1479 IN GLOBAL JUKEBOX, RELEVANT TEXT IS IN THE DESCRIPTION FIELD//)</t>
  </si>
  <si>
    <t>SHJ</t>
  </si>
  <si>
    <t>Haddada</t>
  </si>
  <si>
    <t>http://media.theglobaljukebox.org/audio/T5521R54.mp3</t>
  </si>
  <si>
    <t>Haddada // CODING ID 9245 IN GLOBAL JUKEBOX, RELEVANT TEXT IS IN THE DESCRIPTION FIELD //</t>
  </si>
  <si>
    <t>Genre: Funeral song, Description: Song of eulogy in antiphony // CODING ID 9245 IN GLOBAL JUKEBOX //</t>
  </si>
  <si>
    <t>Iraq</t>
  </si>
  <si>
    <t>Ya Naees El-Tarfe</t>
  </si>
  <si>
    <t>http://media.theglobaljukebox.org/audio/T5554R11.mp3</t>
  </si>
  <si>
    <t>Nostalgic song // CODING ID 9295 IN GLOBAL JUKEBOX, RELEVANT TEXT IS IN THE DESCRIPTION FIELD//</t>
  </si>
  <si>
    <t>Genre: Nostalgic song, Description: Oh You with the Dreaming Eyes; nostalgic song recalling the days of chivalrous horsemen and brave warriors // CODING ID 9295 IN GLOBAL JUKEBOX //</t>
  </si>
  <si>
    <t>Tadjik</t>
  </si>
  <si>
    <t>taji1245</t>
  </si>
  <si>
    <t>tgk</t>
  </si>
  <si>
    <t>Ufari Talkin</t>
  </si>
  <si>
    <t>http://media.theglobaljukebox.org/audio/T5412R12.mp3</t>
  </si>
  <si>
    <t>Dance song; muqam // CODING ID 3105 IN GLOBAL JUKEBOX, RELEVANT TEXT IS IN THE DESCRIPTION FIELD//</t>
  </si>
  <si>
    <t>Genre: Dance song; muqam, Description: Dance tune // CODING ID 3105 IN GLOBAL JUKEBOX //</t>
  </si>
  <si>
    <t>Anor ovardam</t>
  </si>
  <si>
    <t>http://media.theglobaljukebox.org/audio/T5412R14.mp3</t>
  </si>
  <si>
    <t>Love song // CODING ID 3107 IN GLOBAL JUKEBOX, RELEVANT TEXT IS IN THE DESCRIPTION FIELD//</t>
  </si>
  <si>
    <t>Genre: Love song, Description: Love song; I've Brought Pomegranates // CODING ID 3107 IN GLOBAL JUKEBOX //</t>
  </si>
  <si>
    <t>Azeri Kurds (tribal Barzani)</t>
  </si>
  <si>
    <t>nort2697</t>
  </si>
  <si>
    <t>Miro</t>
  </si>
  <si>
    <t>http://media.theglobaljukebox.org/audio/T5483R08.mp3</t>
  </si>
  <si>
    <t>Description: Tribal Barzani folk song about Miro, a Kurdish prince // CODING ID 723 IN GLOBAL JUKEBOX, RELEVANT TEXT IS IN THE DESCRIPTION FIELD//</t>
  </si>
  <si>
    <t>Azeri Kurds (Barzani)</t>
  </si>
  <si>
    <t>Kurdish Folk Dance Song</t>
  </si>
  <si>
    <t>http://media.theglobaljukebox.org/audio/T5482R38.mp3</t>
  </si>
  <si>
    <t>Dance song // CODING ID 855 IN GLOBAL JUKEBOX, RELEVANT TEXT IS IN THE DESCRIPTION FIELD//</t>
  </si>
  <si>
    <t>Genre: Dance song, Description: Kurdish dance song from Arbil // CODING ID 855 IN GLOBAL JUKEBOX //</t>
  </si>
  <si>
    <t>Barzani Love Song</t>
  </si>
  <si>
    <t>http://media.theglobaljukebox.org/audio/T5482R35.mp3</t>
  </si>
  <si>
    <t>Love song // CODING ID 857 IN GLOBAL JUKEBOX, RELEVANT TEXT IS IN THE DESCRIPTION FIELD//</t>
  </si>
  <si>
    <t>Sulaimaniya Love Song</t>
  </si>
  <si>
    <t>http://media.theglobaljukebox.org/audio/T5482R42.mp3</t>
  </si>
  <si>
    <t>Love song // CODING ID 1038 IN GLOBAL JUKEBOX, RELEVANT TEXT IS IN THE DESCRIPTION FIELD//</t>
  </si>
  <si>
    <t>Description: Love song from the Sulaimaniya area of Iraq // CODING ID 1038 IN GLOBAL JUKEBOX //</t>
  </si>
  <si>
    <t>Azeri Kurds</t>
  </si>
  <si>
    <t>Rusho</t>
  </si>
  <si>
    <t>http://media.theglobaljukebox.org/audio/T5482R37.mp3</t>
  </si>
  <si>
    <t>Topical song // CODING ID 2529 IN GLOBAL JUKEBOX, RELEVANT TEXT IS IN THE DESCRIPTION FIELD//</t>
  </si>
  <si>
    <t>Description: Song describes Rusho, a strong man well known for valor // CODING ID 2529 IN GLOBAL JUKEBOX //</t>
  </si>
  <si>
    <t>Wazir</t>
  </si>
  <si>
    <t>http://media.theglobaljukebox.org/audio/T5482R36.mp3</t>
  </si>
  <si>
    <t>Lament; mourning song; historical song; war song // CODING ID 2530 IN GLOBAL JUKEBOX, RELEVANT TEXT IS IN THE DESCRIPTION FIELD//</t>
  </si>
  <si>
    <t>Description: Lament; a mother's grief put to song after the loss of her son Wazir in the first World War // CODING ID 2530 IN GLOBAL JUKEBOX //</t>
  </si>
  <si>
    <t>Kurd Shakhnaz</t>
  </si>
  <si>
    <t>http://media.theglobaljukebox.org/audio/T5522R90.mp3</t>
  </si>
  <si>
    <t>Love Song // CODING ID 9219 IN GLOBAL JUKEBOX //</t>
  </si>
  <si>
    <t>Iran (Kurdish)</t>
  </si>
  <si>
    <t>Shallakhoum</t>
  </si>
  <si>
    <t>http://media.theglobaljukebox.org/audio/T5485R26.mp3</t>
  </si>
  <si>
    <t>Love song // CODING ID 740 IN GLOBAL JUKEBOX //</t>
  </si>
  <si>
    <t>Iran (Folk Music of Palestine)</t>
  </si>
  <si>
    <t>tehr1242</t>
  </si>
  <si>
    <t>Recitation from Firdowsi's Shaname</t>
  </si>
  <si>
    <t>http://media.theglobaljukebox.org/audio/T5522R91.mp3</t>
  </si>
  <si>
    <t>Epic song; mythical song; historical song // CODING ID 9220 IN GLOBAL JUKEBOX, RELEVANT TEXT IS IN THE DESCRIPTION FIELD//</t>
  </si>
  <si>
    <t>Description...tells the mythical and to some extent the historical past of the Persian Empire from the creation of the world until the Islamic conquest of Persia in the 7th century // CODING ID 9220 IN GLOBAL JUKEBOX //</t>
  </si>
  <si>
    <t>Kuwait</t>
  </si>
  <si>
    <t>kuwa1251</t>
  </si>
  <si>
    <t>Raising Anchor</t>
  </si>
  <si>
    <t>http://media.theglobaljukebox.org/audio/T5482R28.mp3</t>
  </si>
  <si>
    <t>Work song; rowing song; boat song // CODING ID 3760 IN GLOBAL JUKEBOX, RELEVANT TEXT IS IN THE DESCRIPTION FIELD//</t>
  </si>
  <si>
    <t>Description: Pear divers' rowing song for when there is no wind // CODING ID 3760 IN GLOBAL JUKEBOX //</t>
  </si>
  <si>
    <t>Kathiri Bedouin, Awlaqi</t>
  </si>
  <si>
    <t>arab1393</t>
  </si>
  <si>
    <t>Gathering Song of the Tribe of Awlaqi</t>
  </si>
  <si>
    <t>http://media.theglobaljukebox.org/audio/T5482R01.mp3</t>
  </si>
  <si>
    <t>Genre: Song for community gathering...Description:...the men start singing before they appear at the gathering place and continue with the song when they have arrived at the Tribal Convocation // CODING ID 712 IN GLOBAL JUKEBOX, RELEVANT TEXT IS IN THE DESCRIPTION FIELD//</t>
  </si>
  <si>
    <t>Kathiri Bedouin</t>
  </si>
  <si>
    <t>http://media.theglobaljukebox.org/audio/T5482R02.mp3</t>
  </si>
  <si>
    <t>Love song // CODING ID 3623 IN GLOBAL JUKEBOX, RELEVANT TEXT IS IN THE DESCRIPTION FIELD//</t>
  </si>
  <si>
    <t>Description: Lyrics: Why, oh gardener, are you awake and not asleep? And you prevent me from coming to my beloved // CODING ID 3623 IN GLOBAL JUKEBOX //</t>
  </si>
  <si>
    <t>Song of Grieving</t>
  </si>
  <si>
    <t>http://media.theglobaljukebox.org/audio/T5482R07.mp3</t>
  </si>
  <si>
    <t>Song of Grieving, Genre: Mourning song // CODING ID 3627 IN GLOBAL JUKEBOX //</t>
  </si>
  <si>
    <t>Shepherd's Song</t>
  </si>
  <si>
    <t>http://media.theglobaljukebox.org/audio/T5482R06.mp3</t>
  </si>
  <si>
    <t>Shepherd's song; work song; herding song; pastoral song // CODING ID 3628 IN GLOBAL JUKEBOX //</t>
  </si>
  <si>
    <t>Al-Buainain Pearl Divers</t>
  </si>
  <si>
    <t>Song of the Pearl Divers 1</t>
  </si>
  <si>
    <t>http://media.theglobaljukebox.org/audio/T5614R03.mp3</t>
  </si>
  <si>
    <t>Genre: Work song // CODING ID 9857 IN GLOBAL JUKEBOX, RELEVANT TEXT IS IN THE DESCRIPTION FIELD//</t>
  </si>
  <si>
    <t>Description: Pearl divers' song; work song // CODING ID 9857 IN GLOBAL JUKEBOX //</t>
  </si>
  <si>
    <t>Song of the Pearl Divers 2</t>
  </si>
  <si>
    <t>http://media.theglobaljukebox.org/audio/T5614R04.mp3</t>
  </si>
  <si>
    <t>Work song // CODING ID 9858 IN GLOBAL JUKEBOX, RELEVANT TEXT IS IN THE DESCRIPTION FIELD//</t>
  </si>
  <si>
    <t>Description: Pearl divers' song; work song // CODING ID 9858 IN GLOBAL JUKEBOX //</t>
  </si>
  <si>
    <t>Song of the Pearl Divers 3</t>
  </si>
  <si>
    <t>http://media.theglobaljukebox.org/audio/T5614R05.mp3</t>
  </si>
  <si>
    <t>Work song // CODING ID 9859 IN GLOBAL JUKEBOX, RELEVANT TEXT IS IN THE DESCRIPTION FIELD//</t>
  </si>
  <si>
    <t>Description: Pearl divers' song; work song // CODING ID 9859 IN GLOBAL JUKEBOX //</t>
  </si>
  <si>
    <t>Yemenite Jews</t>
  </si>
  <si>
    <t>jude1267</t>
  </si>
  <si>
    <t>jye</t>
  </si>
  <si>
    <t>http://media.theglobaljukebox.org/audio/T5482R04.mp3</t>
  </si>
  <si>
    <t>Love Song // CODING ID 716 IN GLOBAL JUKEBOX, RELEVANT TEXT IS IN THE DESCRIPTION FIELD//</t>
  </si>
  <si>
    <t>Murcia</t>
  </si>
  <si>
    <t>La parranda</t>
  </si>
  <si>
    <t>https://theglobaljukebox.org/?share=Murcia-T5472R35</t>
  </si>
  <si>
    <t>Genre: Seguidilla; dance song //GLOBAL JUKEBOX CODING ID: 667//</t>
  </si>
  <si>
    <t>Description: Murcian form of the seguidilla, resembling the sevillana //GLOBAL JUKEBOX CODING ID: 667//</t>
  </si>
  <si>
    <t>La Mancha</t>
  </si>
  <si>
    <t>A Dormir Va La Rosa</t>
  </si>
  <si>
    <t>https://theglobaljukebox.org/?share=La%20Mancha-T5469R06</t>
  </si>
  <si>
    <t>Genre: Lullaby //GLOBAL JUKEBOX CODING ID: 917//</t>
  </si>
  <si>
    <t>Description: Lullaby //GLOBAL JUKEBOX CODING ID: 917//</t>
  </si>
  <si>
    <t>Soun, Soun, Beni, Beni</t>
  </si>
  <si>
    <t>http://media.theglobaljukebox.org/audio/T5524R10.mp3</t>
  </si>
  <si>
    <t>Lullaby //CODING ID 9173 IN GLOBAL JUKEBOX, RELEVANT TEXT IS IN THE GENRE FIELD//</t>
  </si>
  <si>
    <t>Lullaby; lyrics: Come, slumber come/ Slumber does not come, "perchere" the infant does not go to sleep //CODING ID 9173 IN GLOBAL JUKEBOX, RELEVANT TEXT IS IN THE DESCRIPTION FIELD//</t>
  </si>
  <si>
    <t>Come, slumber come/ Slumber does not come, "perchere" the infant does not go to sleep //CODING ID 9173 IN GLOBAL JUKEBOX, RELEVANT TEXT IS IN THE DESCRIPTION FIELD//</t>
  </si>
  <si>
    <t>Metadata: https://theglobaljukebox.org/?share=Auvergne-T5524R10</t>
  </si>
  <si>
    <t>French Basques</t>
  </si>
  <si>
    <t>occi1239</t>
  </si>
  <si>
    <t>basq1248</t>
  </si>
  <si>
    <t>Bulun Bat Eta Bulun Bi</t>
  </si>
  <si>
    <t>http://media.theglobaljukebox.org/audio/T5588R14.mp3</t>
  </si>
  <si>
    <t>Lullaby /CODING ID 1258 IN GLOBAL JUKEBOX, RELEVANT TEXT IS IN THE DESCRIPTION FIELD//</t>
  </si>
  <si>
    <t>Metadata: https://theglobaljukebox.org/?share=French%20Basques-T5588R14</t>
  </si>
  <si>
    <t>Crits de les arrues</t>
  </si>
  <si>
    <t>http://media.theglobaljukebox.org/audio/T9517R35.mp3</t>
  </si>
  <si>
    <t>Work song; vendor's song; cries //CODING ID 9352 IN GLOBAL JUKEBOX, RELEVANT TEXT IS IN THE GENRE FIELD//</t>
  </si>
  <si>
    <t>Vendors' cries from the streets of Bayonne //CODING ID 9352 IN GLOBAL JUKEBOX, RELEVANT TEXT IS IN THE DESCRIPTION FIELD//</t>
  </si>
  <si>
    <t>Metadata: https://theglobaljukebox.org/?share=French%20Basques-T9517R35</t>
  </si>
  <si>
    <t>Global jukebox lists "Netherlands" no HRAF results</t>
  </si>
  <si>
    <t>dutc1256</t>
  </si>
  <si>
    <t>nld</t>
  </si>
  <si>
    <t>Driekusman</t>
  </si>
  <si>
    <t>http://media.theglobaljukebox.org/audio/T5467R49.mp3</t>
  </si>
  <si>
    <t>Dance song; clogging song //CODING ID 571 IN GLOBAL JUKEBOX, RELEVANT TEXT IS IN THE GENRE FIELD//</t>
  </si>
  <si>
    <t>Dance song; clogging song; Driekusman of Amsterdam (The man named Henry); begins in middle of song; sung and danced by the people of Ruurlo (Gelderland) with accordion; most popular folk-dance; 'Father, mother will beat me/ I am not allowed any longer to go with Driekusman/ Please turn around and look me in the face/ Hands are clapping it/ Feet are tapping it/ If I could get a hold of you, how i would fondle you/ Turn around and dance with me/ So we dance with the Driekusman //CODING ID 571 IN GLOBAL JUKEBOX, RELEVANT TEXT IS IN THE DESCRIPTION FIELD//</t>
  </si>
  <si>
    <t>Metadata: https://theglobaljukebox.org/?share=Netherlands-T5467R49</t>
  </si>
  <si>
    <t>Three Peasant Drummers</t>
  </si>
  <si>
    <t>http://media.theglobaljukebox.org/audio/T5467R52.mp3</t>
  </si>
  <si>
    <t>Ballad //CODING ID 573 IN GLOBAL JUKEBOX, RELEVANT TEXT IS IN THE GENRE FIELD//</t>
  </si>
  <si>
    <t>Ballad; from southern France; male vocalist joins female duet for refrains sung in fourths; 'Three young drummers came out of the war/ Rombom, so the drum is sounding/ My dear girl, may I court you?/ That you must ask my father"; the drummer states his fortune is his drum, and the father denies him his daughter, but when the drummer says his father and mother are the Grandduke of Brittany and Queen of Spain, the father agrees to the match; the Drummer rejects the offer, 'Your daughter can hang' //CODING ID 573 IN GLOBAL JUKEBOX, RELEVANT TEXT IS IN THE DESCRIPTION FIELD//</t>
  </si>
  <si>
    <t>Metadata: https://theglobaljukebox.org/?share=Netherlands-T5467R52</t>
  </si>
  <si>
    <t>Global jukebox lists "Netherlands"</t>
  </si>
  <si>
    <t>Man at Work on Dyke</t>
  </si>
  <si>
    <t>https://theglobaljukebox.org/?share=Netherlands-T5467R52</t>
  </si>
  <si>
    <t>Work song //CODING ID 576 IN GLOBAL JUKEBOX, RELEVANT TEXT IS IN THE GENRE FIELD//</t>
  </si>
  <si>
    <t>Global Jukebox lists "Netherlands"</t>
  </si>
  <si>
    <t>Een Boeren Een Boer En Een Edele Boer</t>
  </si>
  <si>
    <t>http://media.theglobaljukebox.org/audio/T5522R58.mp3</t>
  </si>
  <si>
    <t>Narrative Song //CODING ID 9411 IN GLOBAL JUKEBOX, RELEVANT TEXT IS IN THE GENRE FIELD//</t>
  </si>
  <si>
    <t>A Farmer and a Farmer and a Noble Farmer; may originate in 18th century; story from the 15th century, lyrics describe a conniving farmer, due to their unpopularity at the time //CODING ID 9411 IN GLOBAL JUKEBOX, RELEVANT TEXT IS IN THE DESCRIPTION FIELD//</t>
  </si>
  <si>
    <t>Metadata: https://theglobaljukebox.org/?share=Netherlands-T5522R58</t>
  </si>
  <si>
    <t>Lua</t>
  </si>
  <si>
    <t>west2396</t>
  </si>
  <si>
    <t>luaa1235</t>
  </si>
  <si>
    <t>luaa1235 has no classification info</t>
  </si>
  <si>
    <t>lcp</t>
  </si>
  <si>
    <t>Hospitality song</t>
  </si>
  <si>
    <t>http://media.theglobaljukebox.org/audio/T5420R29.mp3</t>
  </si>
  <si>
    <t>Guest song; welcome song // GLOBAL JUKEBOX CODING ID 3389</t>
  </si>
  <si>
    <t>Hospitality song; male soloists; first singer and part of second singer only // LOMAX SOURCE T1769.9</t>
  </si>
  <si>
    <t>Planting song</t>
  </si>
  <si>
    <t>http://media.theglobaljukebox.org/audio/T5420R24.mp3</t>
  </si>
  <si>
    <t>Planting song; agricultural song; work song // CODING ID 3393</t>
  </si>
  <si>
    <t>Male soloist singing over the sound of his planting stick striking soil; planting sticks used here have slits with a striker set inside that emits a tone when struck on a surface // LOMAX SOURCE T1769.2</t>
  </si>
  <si>
    <t>Tracks T40032R01 &amp; 2 are of LUA culture, not Faroe Islands.</t>
  </si>
  <si>
    <t>http://media.theglobaljukebox.org/audio/T5420R26.mp3</t>
  </si>
  <si>
    <t>Wedding song // Coding ID: 3398</t>
  </si>
  <si>
    <t>khme1253</t>
  </si>
  <si>
    <t>Khmer Classical Ballet - Lullaby</t>
  </si>
  <si>
    <t>http://media.theglobaljukebox.org/audio/T5528R05.mp3</t>
  </si>
  <si>
    <t>Lullaby; epic song // CODING ID 8002</t>
  </si>
  <si>
    <t>Extracts from the Ramayana epic // LOMAX SOURCE 2A33.A8; WFS8.5; WFS8ALT.5</t>
  </si>
  <si>
    <t>Balinese</t>
  </si>
  <si>
    <t>bali1278</t>
  </si>
  <si>
    <t>ban</t>
  </si>
  <si>
    <t>Kekawin</t>
  </si>
  <si>
    <t>http://media.theglobaljukebox.org/audio/T5424R41.mp3</t>
  </si>
  <si>
    <t>Court music; mythical song // CODING ID 2</t>
  </si>
  <si>
    <t>Announcements precede a Kakawin, long narrative poem written in verse form with rhythms and metres derived from Sanskrit literature; poets composed and performed kakawin at the courts of central and east Java kings between the 9th and 16th centuries, and in Bali; they depict events and characters from Hindu mythology // LOMAX SOURCE 3A33.25; WFS6.9</t>
  </si>
  <si>
    <t>Music for the Djanger Dance; part of a Balinese opera Peperangan Sira Pandji</t>
  </si>
  <si>
    <t>http://media.theglobaljukebox.org/audio/T5424R40.mp3</t>
  </si>
  <si>
    <t>Dance song; opera; mythical song // CODING ID 2481</t>
  </si>
  <si>
    <t>Excerpt from a musical play based on Barong (Balinese mythology), in which the principal character is Rangda, the evil widow, who battles against the principals for good // LOMAX SOURCE 3A33.22</t>
  </si>
  <si>
    <t>Kurd</t>
  </si>
  <si>
    <t>Qetar - Love Song</t>
  </si>
  <si>
    <t>https://folkways.si.edu/sayid/qetar-love-song/islamica-world/music/track/smithsonian</t>
  </si>
  <si>
    <t>Love song //SMITHSONIAN FOLKWAYS CATALOGUE NUMBER: FW04103_203//</t>
  </si>
  <si>
    <t>Azeri (Iran)</t>
  </si>
  <si>
    <t>https://folkways.si.edu/asheq-sohrab-and-ibrahim-hasan/love-song/central-asia-islamica-world/music/track/smithsonian</t>
  </si>
  <si>
    <t>Love Song //SMITHSONIAN FOLKWAYS CATALOGUE NUMBER: SFW40438_214//</t>
  </si>
  <si>
    <t>Barzani Kurd</t>
  </si>
  <si>
    <t>Barzan Tribal Dance</t>
  </si>
  <si>
    <t>https://folkways.si.edu/barzan-tribal-dance/islamica-world/music/track/smithsonian</t>
  </si>
  <si>
    <t>Barzan Tribal Dance //SMITHSONIAN FOLKWAYS CATALOGUE NUMBER: FW04469_102//</t>
  </si>
  <si>
    <t>Song of Valor</t>
  </si>
  <si>
    <t>https://folkways.si.edu/song-of-valor/islamica-world/music/track/smithsonian</t>
  </si>
  <si>
    <t>Song of Valor //SMITHSONIAN FOLKWAYS CATALOGUE NUMBER: FW04469_106//</t>
  </si>
  <si>
    <t>Folk Dance with Drum</t>
  </si>
  <si>
    <t>https://folkways.si.edu/folk-dance-with-drum/islamica-world/music/track/smithsonian</t>
  </si>
  <si>
    <t>Folk Dance with Drum //SMITHSONIAN FOLKWAYS CATALOGUE NUMBER: FW04469_110//</t>
  </si>
  <si>
    <t>Dance Music</t>
  </si>
  <si>
    <t>https://folkways.si.edu/dance-music/islamica-world/music/track/smithsonian</t>
  </si>
  <si>
    <t>Dance Music //SMITHSONIAN FOLKWAYS CATALOGUE NUMBER: FW04469_205//</t>
  </si>
  <si>
    <t>Hida Song for a Deceased Young Man</t>
  </si>
  <si>
    <t>https://folkways.si.edu/salman-al-arfush/ida-song-for-a-deceased-young-man/islamica-world/music/track/smithsonian</t>
  </si>
  <si>
    <t>Hida Song for a Deceased Young Man //SMITHSONIAN FOLKWAYS CATALOGUE NUMBER: FW04046_102//</t>
  </si>
  <si>
    <t>Nadb for a Deceased Girl</t>
  </si>
  <si>
    <t>https://folkways.si.edu/fawz-al-arfush/nadb-for-a-deceased-girl/islamica-world/music/track/smithsonian</t>
  </si>
  <si>
    <t>Nadb for a Deceased Girl (Album: Laments of Lebanon - Funeral Laments) //SMITHSONIAN FOLKWAYS CATALOGUE NUMBER: FW04046_103//</t>
  </si>
  <si>
    <t>Tahnin for a Deceased Girl</t>
  </si>
  <si>
    <t>https://folkways.si.edu/fawz-al-arfush/tahnin-for-a-deceased-girl/islamica-world/music/track/smithsonian</t>
  </si>
  <si>
    <t>Tahnin for a Deceased Girl (Album: Laments of Lebanon - Funeral Laments) //SMITHSONIAN FOLKWAYS CATALOGUE NUMBER: FW04046_104//</t>
  </si>
  <si>
    <t>Fraqiyyat for a Young Woman; the Last Verse for a Deceased Father</t>
  </si>
  <si>
    <t>https://folkways.si.edu/fawz-al-arfush/fraqiyyat-for-a-young-woman-the-last-verse-for-a-deceased-father/islamica-world/music/track/smithsonian</t>
  </si>
  <si>
    <t>Disc 1, Track 5</t>
  </si>
  <si>
    <t>The Last Verse for a Deceased Far (Album: Laments of Lebanon - Funeral Laments) //SMITHSONIAN FOLKWAYS CATALOGUE NUMBER: FW04046_105//</t>
  </si>
  <si>
    <t>Nadb Lamenting Ill-Fate, Possibly for a Deceased Parent</t>
  </si>
  <si>
    <t>https://folkways.si.edu/fawz-al-arfush/nadb-lamenting-ill-fate-possibly-for-a-deceased-parent/islamica-world/music/track/smithsonian</t>
  </si>
  <si>
    <t>Nadb Lamenting Ill-Fate, Possibly for a Deceased Parent (Album: Laments of Lebanon - Funeral Laments) //SMITHSONIAN FOLKWAYS CATALOGUE NUMBER: FW04046_106//</t>
  </si>
  <si>
    <t>Qasidah Sung for Nazirah Junbulat, a Deceased Woman of Distinguished Social and Political Stature</t>
  </si>
  <si>
    <t>https://folkways.si.edu/salman-al-arfush/qaidah-sung-for-nairah-junbula-a-deceased-woman-of-distinguished-social-and-political-stature/islamica-world/music/track/smithsonian</t>
  </si>
  <si>
    <t>Qasidah Sung for Nazirah Junbulat, a Deceased Woman of Distinguished Social and Political Stature (Album: Laments of Lebanon - Funeral Laments) //SMITHSONIAN FOLKWAYS CATALOGUE NUMBER: FW04046_108//</t>
  </si>
  <si>
    <t>Nadb for a Deceased Boy</t>
  </si>
  <si>
    <t>https://folkways.si.edu/salman-al-arfush/nadb-for-a-deceased-boy/islamica-world/music/track/smithsonian</t>
  </si>
  <si>
    <t>Nadb for a Deceased Boy (Album: Laments of Lebanon - Funeral Laments) //SMITHSONIAN FOLKWAYS CATALOGUE NUMBER: FW04046_109//</t>
  </si>
  <si>
    <t>Rural Irish; culture also named in Jukebox as "Cork"</t>
  </si>
  <si>
    <t>iris1253</t>
  </si>
  <si>
    <t>gle</t>
  </si>
  <si>
    <t>The Fairy Lullaby</t>
  </si>
  <si>
    <t>http://media.theglobaljukebox.org/audio/T5589R10.mp3</t>
  </si>
  <si>
    <t>"The Fairy Lullaby" //CODING ID 9311 IN GLOBAL JUKEBOX//</t>
  </si>
  <si>
    <t>"tells of a woman seeking rescue from her fairy captors" //CODING ID 9311 IN GLOBAL JUKEBOX//</t>
  </si>
  <si>
    <t>Metadata: https://theglobaljukebox.org/?share=Eireanneach-T5589R10#</t>
  </si>
  <si>
    <t>WAU</t>
  </si>
  <si>
    <t>Bristol (not listed in HRAF)</t>
  </si>
  <si>
    <t>eng</t>
  </si>
  <si>
    <t>A' Roving</t>
  </si>
  <si>
    <t>http://media.theglobaljukebox.org/audio/T5587R06.mp3</t>
  </si>
  <si>
    <t>Work song //CODING ID 562 IN GLOBAL JUKEBOX//</t>
  </si>
  <si>
    <t>"Capstan shanty, sung as the men tramped around the capstan and weighed anchor; the sea shanty is a distinctive type of English folk song" //CODING ID 562 IN GLOBAL JUKEBOX//</t>
  </si>
  <si>
    <t>Metadata: https://theglobaljukebox.org/?share=Bristol-T5587R06</t>
  </si>
  <si>
    <t>Segovia</t>
  </si>
  <si>
    <t>Jota Segoviana</t>
  </si>
  <si>
    <t>https://theglobaljukebox.org/?share=Segovia-T5468R46</t>
  </si>
  <si>
    <t>Genre: Jota //GLOBAL JUKEBOX CODING ID: 928//</t>
  </si>
  <si>
    <t>Description: Jota for guitar and voice //GLOBAL JUKEBOX CODING ID: 928//</t>
  </si>
  <si>
    <t>A "jota" is a folk dance from Northern Spain</t>
  </si>
  <si>
    <t>it's not on global jukebox anymore?</t>
  </si>
  <si>
    <t>Every Morning, Every Dawn, Love Song</t>
  </si>
  <si>
    <t>https://theglobaljukebox.org/?share=Turkey-T5554R15</t>
  </si>
  <si>
    <t>Disc 1, Track 22</t>
  </si>
  <si>
    <t>Global Jukebox, Smithsonian Folkways, Alan Lomax Collection, American Folklife Center, &amp; Library of Congress</t>
  </si>
  <si>
    <t>Love song; dawn song//GLOBAL JUKEBOX, CODING ID: 9216, RELEVANT INFORMATION IN DESCRIPTION//</t>
  </si>
  <si>
    <t>Love song accompanied by the saz//GLOBAL JUKEBOX, CODING ID: 9216//</t>
  </si>
  <si>
    <t>Netherlands</t>
  </si>
  <si>
    <t>VIER FRANSJES OP DE BAAN (Four French- men on the Highway)</t>
  </si>
  <si>
    <t>https://folkways.si.edu/jaap-kunst/living-folksongs-and-dance-tunes-from-the-netherlands/holiday-world/music/album/smithsonian</t>
  </si>
  <si>
    <t>104 (IV in liner notes)</t>
  </si>
  <si>
    <t>"A song from Flanders, sung at fairs. It tells us the story of a noble lady who, returning with her servant from the town of Namen to her father's castle, is assaulted by four French highwaymen. At the crucial moment -- the scoundrels have already killed the servant and are now attacking the lady herself -- a Spanish knight appears on the scene and, in a fierce struggle, in which he is severely wounded, he succeeds in killing all four highwaymen. The lady brings him to her father's castle, nurses him till he has recovered, and the end, of course, is a wedding party. The fine archaic melody, in alternately 4/4 and 2/4, is pure Dorian. The record gives only the first two stanzas." //CATALOG NUMBER FW03576 / FP 3576 IN FOLKWAYS, RELEVANT INFO IS IN LINER NOTES//</t>
  </si>
  <si>
    <t>(Translation) 1. Friends, halt a moment And hear my song That tells you How a beautiful lady Came from the town of Namen That she visited on a pleasure trip. 2. Accompanied by her servant, She was quite unconcerned, But she got in a fearful prrdicament, For, at once, four French highwaymen Sprung out of the bush And assailed this young lady. //CATALOG NUMBER FW03576 / FP 3576 IN FOLKWAYS, RELEVANT INFO IS IN LINER NOTES//</t>
  </si>
  <si>
    <t>Suratu 'r-Rahman</t>
  </si>
  <si>
    <t>https://theglobaljukebox.org/?share=Dervish-T5483R20</t>
  </si>
  <si>
    <t>Quranic text// GLOBAL JUKEBOX, CODING ID 991 //</t>
  </si>
  <si>
    <t>The Chapter of the All-Merciful, Qoran Ch. 15 vv. 1-16// GLOBAL JUKEBOX, CODING ID 991 //</t>
  </si>
  <si>
    <t>Qoran Ch. 15 vv. 1-16// GLOBAL JUKEBOX, CODING ID 991 //</t>
  </si>
  <si>
    <t>The whole album is on Spotify</t>
  </si>
  <si>
    <t>From an Ode by Shu 'Aib Abu Madyan</t>
  </si>
  <si>
    <t>https://theglobaljukebox.org/?share=Dervish-T5483R21</t>
  </si>
  <si>
    <t>Global Jukebox, Smithsonian Folkways, Ralph Rinzler Folklife Archives and Collections, Smithsonian Center for Folklife and Cultural Heritage</t>
  </si>
  <si>
    <t>Religious</t>
  </si>
  <si>
    <t>Religious song//GLOBAL JUKEBOX, CODING ID: 992, RELEVANT INFO IN DESCRIPTION//</t>
  </si>
  <si>
    <t>From An Ode, by Shu 'Aib Abu Madyan (d. 1198) sung to a traditional melody//GLOBAL JUKEBOX, CODING ID: 992/</t>
  </si>
  <si>
    <t>Drie Schuintamboers - Three Naughty Drummers</t>
  </si>
  <si>
    <t>105 (V in liner notes)</t>
  </si>
  <si>
    <t>This song originated in Franche Comt: and its title and first line ran then: "Trois jeunes tambours". From there it came to German speaking countries, and the initial words changed into "Drei sch'one Tamburn". Then it came to the Netherlands, and again the text was translated. The original "jeunes" (young), that changed into the German "schon" (beautiful), became now "schuin,. (equivocal, indecent, naughty). //CATALOG NUMBER FW03576 / FP 3576 IN SMITHSONIAN FOLKWAYS, RELEVANT TEXT IS IN LINER NOTES//</t>
  </si>
  <si>
    <t>(Translation) Tlree naughty drummers Came from the East; They came ashore To have a jolly good time And ['ombom, I don't bother, To have a jolly good time, Rombom. One of those three Saw there a nice girl: "Hey, dear lassie, May I be your luver? And rombom, I don't bother, May I be your lover, Rombom. ' "That, young man, You should ask my father. If he agrees, Then I am willing to accept you And rombom, I don't bother, Then I am willing to accept you, Rombom ... "I say, Gov'ner, May I marry your daughter? For, in my eyes, she is The most charming of all women, And rombom, I don't bother, The most charming of all women, Rombom. ,. "Please, young man, Tell me first, what are your possessions, Please, young man, Tell me first, what are your possessions, And"rombom, I don't bother, Tell me first, what are your possessions, Rombom.'· "My possessions are - I will not lie about this - My possessions are A drum and two sticks, And rombom, I don't bother, A drum and two sticks, Rombom." "Well, young man, Then you may not marry my daughter. " "Well, Gov'ner,You can keep her, And rombom, I don't bother, You can keep her, Rombom. '//CATALOG NUMBER FW03576 / FP 3576 IN SMITHSONIAN FOLKWAYS, RELEVANT TEXT IS IN LINER NOTES//</t>
  </si>
  <si>
    <t>Link is to a collection of songs and liner notes</t>
  </si>
  <si>
    <t>only a 30 second preview of audio is available without purchase</t>
  </si>
  <si>
    <t>HET MA TROZENMEISJE (The Sailor-Girl)</t>
  </si>
  <si>
    <t>112 (XII in liner notes)</t>
  </si>
  <si>
    <t>A well-known 18th century shanty, relating an historical fact. An enterprising and love -sick Dutch girl - whose name has been handed down to us: Grietje van Dijk x) - follows her sweetheart, who happens to be a captain, aboard his ship, unknown to him, and disguised as a sailor. She is ordered to fasten some sails, but being only a frail woman, she does it not all too solidly. So, when the ship meets with foul weather, the sails come down and she is strapped to the mast to be given a thrashing. She cries and tells the men, that she is a girl. The captain recognizes his sweetheart, immediately orders her to be released and, as the text very modestly informs us, "gently touched her with a kiss. " Some few stanzas which are not essential have been left out. The melody given is the most popular Terschelling version; on the "continent" one hears usually another melody, which, ' to my ears, is inferior to the insular one. //CATALOG NUMBER FW03576 / FP 3576 IN SMITHSONIAN FOLKWAYS, RELEVANT INFO IS IN LINER NOTES//</t>
  </si>
  <si>
    <t>Once there was a clever young girl, That liked to be a sailor, (2 x) Once there was a clever young girl, That liked to be a sailor. She was ordered to climb the mast, And fasten the sails, (2 x) She was ordered to climb the mast, And fasten the sails with ropes. But, when storm and foul weather assailed the ship, The sails fell down, (2 x) But, when storm and foul weather assailed the ship, The sails fell down from above. She was strapped to the mast With her hands, (2 x) She was strapped to the mast With her hands and feet strongly tied. "Captain, dear captain, don't beat me: I am your sweetheart, (2 x) Captain, dear captain, don't beat me : I am your sweetheart, as you see. " And directly he ordered her to be released And gently he touched her, (2 x) And directly he ordered her to be released And gently he touched her with a kiss //CATALOG NUMBER FW03576 / FP 3576 IN SMITHSONIAN FOLKWAYS, RELEVANT INFO IS IN LINER NOTES//</t>
  </si>
  <si>
    <t>Link is to album collection with liner notes</t>
  </si>
  <si>
    <t>only 30s of audio available without purchase</t>
  </si>
  <si>
    <t>Extremadura</t>
  </si>
  <si>
    <t>extr1243</t>
  </si>
  <si>
    <t>sout3183</t>
  </si>
  <si>
    <t>Romance De Pernales</t>
  </si>
  <si>
    <t>https://theglobaljukebox.org/?share=Extremadura-T5469R41</t>
  </si>
  <si>
    <t>Genre: Ballad //GLOBAL JUKEBOX CODING ID: 672//</t>
  </si>
  <si>
    <t>Description: Nineteenth century bandit ballad about a Spanish Robin Hood named Pernales //GLOBAL JUKEBOX CODING ID: 672//</t>
  </si>
  <si>
    <t>S Morgens is den riep so kold - At Dawn the Hoarfrost Is So Cold</t>
  </si>
  <si>
    <t>114 (XIV. in liner notes)</t>
  </si>
  <si>
    <t>Two beautiful cradle-songs, the first one from .5urhuisterveensterheide in the mid-eastern part of the province of Friesland; the second one from Enschedt, a town in the east of the province of Overijsel. //CATALOG NUMBER FW03576 / FP 3576 IN SMITHSONIAN FOLKWAYS, RELEVANT INFO IS IN LINER NOTES// "</t>
  </si>
  <si>
    <t>Link is to album collection and liner notes</t>
  </si>
  <si>
    <t>I did follow the instructions. Just using this space to say that there are lyrics listed for the recording, but the preview audio isnt part of the song with a singer</t>
  </si>
  <si>
    <t>only 30s clip of audio avail.</t>
  </si>
  <si>
    <t>Kemençe</t>
  </si>
  <si>
    <t>https://theglobaljukebox.org/?share=Black%20Sea-T5483R12</t>
  </si>
  <si>
    <t>Global Jukebox, Smithsonian Folkways, alph Rinzler Folklife Archives and Collections, Smithsonian Center for Folklife and Cultural Heritage.</t>
  </si>
  <si>
    <t>Fisherman's Song</t>
  </si>
  <si>
    <t>Dance song; fisherman's song//GLOBAL JUKEBOX, CODING ID: 727//</t>
  </si>
  <si>
    <t>Fisherman's dance; music accompanying a dance imitating the quick movement of fish in water //GLOBAL JUKEBOX, CODING ID: 727//</t>
  </si>
  <si>
    <t>Te Laren, te Laren, te Laren op de dom - At Laren, at Laren, at Laren, on the Dam</t>
  </si>
  <si>
    <t>118 (XVIII. in liner notes)</t>
  </si>
  <si>
    <t>A naughty little song (dance -melody?) from the village of Laren in the "Gooi", the eastern part of the province of North-Holland. //CATALOG NUMBER FW03576 / FP 3576 IN SMITHSONIAN FOLKWAYS, RELEVANT INFO IS IN LINER NOTES// "</t>
  </si>
  <si>
    <t>link to album +liner notes</t>
  </si>
  <si>
    <t>30s audio preview only</t>
  </si>
  <si>
    <t>Belgium</t>
  </si>
  <si>
    <t>both are correct since this is a medley track</t>
  </si>
  <si>
    <t>Belgium: Dodo l'enfant dors / Dodo deyne Mieken (medley)</t>
  </si>
  <si>
    <t>https://folkways.si.edu/lullabies-of-the-world/childrens/music/album/smithsonian</t>
  </si>
  <si>
    <t>Dodo, I'enfant dors. - Sleep my child, sleep sweet in my arms. //CATALOG NUMBER FW04511 / FE 4511IN FOLKWAYS, RELEVANT TEXT IN LINER NOTES//</t>
  </si>
  <si>
    <t>link to album+ liner notes</t>
  </si>
  <si>
    <t>Access to audio preview</t>
  </si>
  <si>
    <t>Folkways lists "France"</t>
  </si>
  <si>
    <t>France: Fait dodo</t>
  </si>
  <si>
    <t>Fait dodo. - Sleep, darling, sleep. //CATALOG NUMBER FW04511 / FE 4511 IN SMITHSONIAN FOLKWAYS, RELEVANT TEXT IN LINER NOTES//</t>
  </si>
  <si>
    <t>link is to album+liner notes</t>
  </si>
  <si>
    <t>Fula Peoples/Wolof Culture</t>
  </si>
  <si>
    <t>nucl1347</t>
  </si>
  <si>
    <t>Secular Praise Song</t>
  </si>
  <si>
    <t>https://theglobaljukebox.org/?share=Wolof-T5461R01</t>
  </si>
  <si>
    <t>praise song, song for newborn//GLOBAL JUKEBOX CODING ID 706/AUDIO FILE ID T5461R01, RELEVANT TEXT IS IN THE GENRE FIELD//</t>
  </si>
  <si>
    <t>Kendal sung at naming ceremony for chief's firstborn son//GLOBAL JUKEBOX CODING ID 706/AUDIO FILE ID T5461R01, RELEVANT TEXT IS IN THE DESCRIPTION FIELD//</t>
  </si>
  <si>
    <t>6/13/2018 0:38:54</t>
  </si>
  <si>
    <t>Dervish, Sufi</t>
  </si>
  <si>
    <t>Ode by Ahmad al-'Alawi</t>
  </si>
  <si>
    <t>https://theglobaljukebox.org/?share=Dervish-T5483R23</t>
  </si>
  <si>
    <t>Religious Song// GLOBAL JUKEBOX, CODING ID 994 //</t>
  </si>
  <si>
    <t>Ode by Ahmad Al-'Alawi, opening with the Shahadah, that is the ritual formula La ilaha illa' Llah (d. 1934), repeated here 3 times, Muhammadun rasulu Llah, Islamic Liturgy: Song and Dance at a Meeting of Dervishes. // GLOBAL JUKEBOX, CODING ID 994 //</t>
  </si>
  <si>
    <t>6/13/2018 18:41:02</t>
  </si>
  <si>
    <t>Gond (other cultures were referenced in eHRAF)</t>
  </si>
  <si>
    <t>Wedding dance song</t>
  </si>
  <si>
    <t>https://theglobaljukebox.org/?share=Gond-T5544R12</t>
  </si>
  <si>
    <t>Wedding Dance Song //CODING ID 9848 IN GLOBAL JUKEBOX, RELEVANT TEXT IS IN THE TITLE//</t>
  </si>
  <si>
    <t>Maria dance song /CODING ID 9848 IN GLOBAL JUKEBOX, RELEVANT TEXT IS IN THE DESCRIPTION//</t>
  </si>
  <si>
    <t>6/13/2018 20:24:14</t>
  </si>
  <si>
    <t>NLR</t>
  </si>
  <si>
    <t>Dervish, Turkey</t>
  </si>
  <si>
    <t>End of the Tarhib/ Invocation of the Divine Name/ The Sacred Dance</t>
  </si>
  <si>
    <t>https://theglobaljukebox.org/?share=Dervish-T5483R26</t>
  </si>
  <si>
    <t>Religious song; Quranic text//GLOBAL JUKEBOX CODING: 997//</t>
  </si>
  <si>
    <t>End of the Tarhib (Liturgy), Invocation of the Divine Name, The Sacred Dance, Al-Hadrah (The Presence); words of Blessing upon the Prophet; Quran, XXXIII, v. 23//GLOBAL JUKEBOX CODING: 997//</t>
  </si>
  <si>
    <t>6/13/2018 20:39:18</t>
  </si>
  <si>
    <t>Mecnun and Leyla</t>
  </si>
  <si>
    <t>https://theglobaljukebox.org/?share=Black%20Sea-T5483R09</t>
  </si>
  <si>
    <t>Love song; narrative song//GLOBAL JUKEBOX CODING: 725//</t>
  </si>
  <si>
    <t>Popular Turkish song about Mecnun and Leyla, Turkish Romeo and Juliet; sung by a famous wandering bard//GLOBAL JUKEBOX CODING: 725//</t>
  </si>
  <si>
    <t>6/13/2018 21:29:15</t>
  </si>
  <si>
    <t>Greek</t>
  </si>
  <si>
    <t>mode1248</t>
  </si>
  <si>
    <t>ell</t>
  </si>
  <si>
    <t>Kyra Yioryena</t>
  </si>
  <si>
    <t>https://theglobaljukebox.org/?share=Peleponnesus-T5462R70</t>
  </si>
  <si>
    <t>Dance Song //GLOBAL JUKEBOX CODING: 641//</t>
  </si>
  <si>
    <t>The Earth; Pidiktos dance rhythm; words evoke the spirit of a man who finds joy in life and meets fate bravely and with beauty//GLOBAL JUKEBOX CODING: 641//</t>
  </si>
  <si>
    <t>6/13/2018 21:52:59</t>
  </si>
  <si>
    <t>Central Asia</t>
  </si>
  <si>
    <t>Uzbeks as stated on global Jukebox and eHARF</t>
  </si>
  <si>
    <t>nort2690</t>
  </si>
  <si>
    <t>uzn</t>
  </si>
  <si>
    <t>My Lover</t>
  </si>
  <si>
    <t>https://theglobaljukebox.org/?share=Uzbeks-T5490R14</t>
  </si>
  <si>
    <t>No track number Lomax source: T5490.14</t>
  </si>
  <si>
    <t>Love song //CODING ID 20486 IN GLOBAL JUKEBOX, RELEVANT TEXT IS IN THE GENRE FIELD//</t>
  </si>
  <si>
    <t>My Lover //CODING ID 20486 IN GLOBAL JUKEBOX, RELEVANT TEXT IS IN THE SONG TITLE FIELD//</t>
  </si>
  <si>
    <t>6/14/2018 19:17:43</t>
  </si>
  <si>
    <t>BSG</t>
  </si>
  <si>
    <t>Global Juke box uses Bukharan Uzbeks, eHARF only shoes Uzbecks</t>
  </si>
  <si>
    <t>uzbe1247</t>
  </si>
  <si>
    <t>Khush kelding sevdigim, sabo kelibsiz</t>
  </si>
  <si>
    <t>https://theglobaljukebox.org/?share=Bukharan%20Uzbeks-T5412R02</t>
  </si>
  <si>
    <t>No track number Lomax source is T1688.2</t>
  </si>
  <si>
    <t>Love song //CODING ID 4103 IN GLOBAL JUKEBOX, RELEVANT TEXT IS IN THE GENRE FIELD//</t>
  </si>
  <si>
    <t>Love song; from the poem 'Oshug Gerib you are welcome, my beloved, early in the morning' by Nigarkhan; from Dastan Ashig Makhmud //CODING ID 4103 IN GLOBAL JUKEBOX, RELEVANT TEXT IS IN THE DESCRIPTION FIELD//</t>
  </si>
  <si>
    <t>6/14/2018 19:39:36</t>
  </si>
  <si>
    <t>Global Juke Box States, Bukharan Uzbeks eHARF identifies only Uzbeks</t>
  </si>
  <si>
    <t>Shakhnoz-Huliar</t>
  </si>
  <si>
    <t>https://theglobaljukebox.org/?share=Bukharan%20Uzbeks-T5412R11</t>
  </si>
  <si>
    <t>No track number Lomax Source, 2C11.B2, 01479B; WFS7.11</t>
  </si>
  <si>
    <t>Ballad //CODING ID 733 IN GLOBAL JUKEBOX, RELEVANT TEXT IS IN THE GENRE FIELD//</t>
  </si>
  <si>
    <t>6/14/2018 20:09:41</t>
  </si>
  <si>
    <t>Bukharan Jews ( not found when typed into eHARF)</t>
  </si>
  <si>
    <t>bukh1238</t>
  </si>
  <si>
    <t>Tulkum, Song of the Sandy Hills</t>
  </si>
  <si>
    <t>https://theglobaljukebox.org/?share=Bukharan%20Jews-T5482R21</t>
  </si>
  <si>
    <t>No track number, Lomax Source: 2C5.A3</t>
  </si>
  <si>
    <t>Love song //CODING ID 717 IN GLOBAL JUKEBOX, RELEVANT TEXT IS IN THE GENRE FIELD//</t>
  </si>
  <si>
    <t>6/14/2018 20:21:12</t>
  </si>
  <si>
    <t>Toda (also known as Todava)</t>
  </si>
  <si>
    <t>Post Wedding Circle Dance</t>
  </si>
  <si>
    <t>https://theglobaljukebox.org/?share=Toda-T5569R15</t>
  </si>
  <si>
    <t>Post Wedding Circle Dance //CODING ID 4462 IN GLOBAL JUKEBOX, RELEVANT TEXT IS IN THE TITLE//</t>
  </si>
  <si>
    <t>Men's circle dance song //CODING ID 4462 IN GLOBAL JUKEBOX, RELEVANT TEXT IS IN THE DESCRIPTION//</t>
  </si>
  <si>
    <t>6/14/2018 20:37:22</t>
  </si>
  <si>
    <t>Kēěrkèzī zú Alt. Names: Kyrghyz; Keerkezi zu niether of the names were found on eHARF</t>
  </si>
  <si>
    <t>kirg1245</t>
  </si>
  <si>
    <t>kir</t>
  </si>
  <si>
    <t>Episode from the Epic of Manus</t>
  </si>
  <si>
    <t>https://theglobaljukebox.org/?share=K%C4%93%C4%9Brk%C3%A8z%C4%AB%20z%C3%BA-T5490R02</t>
  </si>
  <si>
    <t>No track number Lomax Source: T5490.02</t>
  </si>
  <si>
    <t>Episode from the Epic of Manus //CODING ID 20484 IN GLOBAL JUKEBOX, RELEVANT TEXT IS IN THE TITLE FIELD//</t>
  </si>
  <si>
    <t>6/14/2018 20:37:30</t>
  </si>
  <si>
    <t>Song of Welcome</t>
  </si>
  <si>
    <t>https://theglobaljukebox.org/?share=Toda-T5569R01</t>
  </si>
  <si>
    <t>Song of Welcome //CODING ID 4456 IN GLOBAL JUKEBOX, RELEVANT TEXT IS IN THE TITLE//</t>
  </si>
  <si>
    <t>6/14/2018 20:51:34</t>
  </si>
  <si>
    <t>Sussex; not listed in eHRAF</t>
  </si>
  <si>
    <t>Sweet Primroses</t>
  </si>
  <si>
    <t>https://theglobaljukebox.org/?share=Sussex-T5465R38</t>
  </si>
  <si>
    <t>Love song //CODING ID 561 IN GLOBAL JUKEBOX, RELEVANT TEXT IS IN THE GENRE FIELD//</t>
  </si>
  <si>
    <t>6/15/2018 19:31:55</t>
  </si>
  <si>
    <t>Bristol; not listed in eHRAF</t>
  </si>
  <si>
    <t>Died For Love</t>
  </si>
  <si>
    <t>https://theglobaljukebox.org/?share=Bristol-T5587R09</t>
  </si>
  <si>
    <t>Love song //CODING ID 9101 IN GLOBAL JUKEBOX, RELEVANT TEXT IS IN THE GENRE FIELD//</t>
  </si>
  <si>
    <t>"A very common English love song" //CODING ID 9101 IN GLOBAL JUKEBOX, RELEVANT TEXT IS IN THE DESCRIPTION FIELD//</t>
  </si>
  <si>
    <t>6/15/2018 19:41:16</t>
  </si>
  <si>
    <t>Ulster (not listed on eHRAF)</t>
  </si>
  <si>
    <t>ulst1239</t>
  </si>
  <si>
    <t>The Auld Beggarman</t>
  </si>
  <si>
    <t>https://theglobaljukebox.org/?share=Ulster-T5464R63m</t>
  </si>
  <si>
    <t>Ballad; narrative song //CODING ID 791 IN GLOBAL JUKEBOX, RELEVANT TEXT IS IN THE GENRE FIELD//</t>
  </si>
  <si>
    <t>"Tale of the beggarman who turns out to be an aristocrat or, in some versions, the king himself in disguise" //CODING ID 791 IN GLOBAL JUKEBOX, RELEVANT TEXT IS IN THE DESCRIPTION FIELD//</t>
  </si>
  <si>
    <t>6/15/2018 19:55:59</t>
  </si>
  <si>
    <t>Ulster</t>
  </si>
  <si>
    <t>The Jug of Punch</t>
  </si>
  <si>
    <t>https://theglobaljukebox.org/?share=Ulster-T9514R17</t>
  </si>
  <si>
    <t>Work song //CODING ID 9331 IN GLOBAL JUKEBOX, RELEVANT TEXT IS IN THE GENRE FIELD//</t>
  </si>
  <si>
    <t>"Song of the Scots linen weavers" //CODING ID 9331 IN GLOBAL JUKEBOX, RELEVANT TEXT IS IN THE DESCRIPTION FIELD//</t>
  </si>
  <si>
    <t>6/15/2018 20:03:11</t>
  </si>
  <si>
    <t>Ema</t>
  </si>
  <si>
    <t>kema1243</t>
  </si>
  <si>
    <t>De sanu soin sala</t>
  </si>
  <si>
    <t>http://media.theglobaljukebox.org/audio/T5539R02.mp3</t>
  </si>
  <si>
    <t>Ritual song; mythical song; festival song // GLOBAL JUKEBOX CODING ID 9635 //</t>
  </si>
  <si>
    <t>Unfolding the Path of Wealths; ritual song welcoming the liurai, mythological figures who are the purveyors of the wealth during the great festival // Lomax Source 3A92.A2</t>
  </si>
  <si>
    <t>6/16/2018 20:39:21</t>
  </si>
  <si>
    <t>Indonesia (Sulawesi)</t>
  </si>
  <si>
    <t>boan1243</t>
  </si>
  <si>
    <t>maka1310</t>
  </si>
  <si>
    <t>bzl</t>
  </si>
  <si>
    <t>Jangang Lea'-lea' (Part 3)</t>
  </si>
  <si>
    <t>https://folkways.si.edu/grup-tabbing-sualia/jangang-lea-lea-part-3/islamica-world/music/track/smithsonian</t>
  </si>
  <si>
    <t>NA // SMITHSONIAN FOLKWAYS CATALOG NUMBER SFW40445_101</t>
  </si>
  <si>
    <t>Segment of Jangang Lea'-lea', the final pakarena of a wedding or other celebration // SMITHSONIAN FOLKWAYS LINER NOTES</t>
  </si>
  <si>
    <t>From Music of Indonesia, Vol. 18: Sulawesi: Festivals, Funerals and Work</t>
  </si>
  <si>
    <t>6/16/2018 21:01:44</t>
  </si>
  <si>
    <t>Hmong</t>
  </si>
  <si>
    <t>firs1234</t>
  </si>
  <si>
    <t>hmon1336</t>
  </si>
  <si>
    <t>Zaaj Tshoob - Ceeb Toom Nam Txiv (Announcement To The Parents Of The Groom)</t>
  </si>
  <si>
    <t>https://folkways.si.edu/boua-xou-mua/zaaj-tshoob-ceeb-toom-nam-txiv-announcement-to-the-parents-of-the-groom/world/music/track/smithsonian</t>
  </si>
  <si>
    <t>Wedding Song - Announcement To The Parents Of The Groom // SMITHSONIAN FOLKWAYS CATALOG NUMBER ARH00446_108 //</t>
  </si>
  <si>
    <t>The parents of the bride and the groom each arrange for a representative to facilitate...communications leading up to...the three-day ceremony with feasts at both at the villages of both families. A third legal agentcoordinates the proceedings of the ceremony itself. All of this is conducted in song. ln the two pieces presented here, the gravity of the marriage commitment is relayed by the symbols of the bull and of the umbrella, representing respectively the elemental power of the instinct for procreation and the security inherent in married life and ancestral blessing // SMITHSONIAN FOLKWAYS LINER NOTES</t>
  </si>
  <si>
    <t>CD name The Music of the Hmong People of Laos</t>
  </si>
  <si>
    <t>Not necessarily used in procession; used as part of the larger set of wedding rituals. More info necessary to determine the categorization.</t>
  </si>
  <si>
    <t>6/16/2018 21:10:51</t>
  </si>
  <si>
    <t>Laos</t>
  </si>
  <si>
    <t>Laos: Folk Dance</t>
  </si>
  <si>
    <t>https://folkways.si.edu/laos-folk-dance/world/music/track/smithsonian</t>
  </si>
  <si>
    <t>Side II, Track 13 (listed as track 206)</t>
  </si>
  <si>
    <t>Folk Dance // SMITHSONIAN FOLKWAYS CATALOG NUMBER FW04423_206 //</t>
  </si>
  <si>
    <t>This is a folk dance in ancient style, played on two khen (mouth organs), Laotian hurdy-gurdy, and cymbals. // SMITHSONIAN FOLKWAYS LINER NOTES - SIDE II, BAND 13//</t>
  </si>
  <si>
    <t>CD called Music of Southeast Asia</t>
  </si>
  <si>
    <t>6/16/2018 21:17:16</t>
  </si>
  <si>
    <t>Laos: Recitation from Hue Van</t>
  </si>
  <si>
    <t>https://folkways.si.edu/laos-recitation-from-hue-van/world/music/track/smithsonian</t>
  </si>
  <si>
    <t>Track 204; Side II, Band 11</t>
  </si>
  <si>
    <t>Recitation from Hue Van // SMITHSONIAN FOLKWAYS CATALOG NUMBER FW04423_204 //</t>
  </si>
  <si>
    <t>This is a northern Vietnam recitation of an old play called Hue Van. The recitation describes the manner in which a Mandarin addresses a King. // SMITHSONIAN FOLKWAYS LINER NOTES</t>
  </si>
  <si>
    <t>From Music of Southeast Asia</t>
  </si>
  <si>
    <t>6/16/2018 21:22:41</t>
  </si>
  <si>
    <t>Ulster (not listed in eHRAF)</t>
  </si>
  <si>
    <t>The False Knight on the Road</t>
  </si>
  <si>
    <t>https://theglobaljukebox.org/?share=Ulster-T5465R04</t>
  </si>
  <si>
    <t>Fisherman's song, narrative song, spirit song; story song //CODING ID 789 IN GLOBAL JUKEBOX, RELEVANT TEXT IS IN THE GENRE FIELD//</t>
  </si>
  <si>
    <t>Story passed on by old fishermen; tells of a knight who is an emissary of the devil, a specter that inhabits the road and kills any who encounter him; song dialogue is a test of a child to see if he is prepared for the ultimate end //CODING ID 789 IN GLOBAL JUKEBOX, RELEVANT TEXT IS IN THE DESCRIPTION FIELD//</t>
  </si>
  <si>
    <t>6/17/2018 16:21:19</t>
  </si>
  <si>
    <t>The primary culture name is listed as "Salvador," but the alternate is given as Bahia, and only that one appears in a D-Place search.</t>
  </si>
  <si>
    <t>Fisherman's song</t>
  </si>
  <si>
    <t>http://media.theglobaljukebox.org/audio/T5473R03.mp3</t>
  </si>
  <si>
    <t>Fisherman's Song //FOUND IN GLOBAL JUKEBOX GENRE TEXT, ALSO HAPPENS TO BE THE NAME OF THE TRACK, CODING ID 497//</t>
  </si>
  <si>
    <t>Salvador da Bahia was founded in 1549 and was the first Portuguese colonial capital. Salvador has retained a strong Afro-Brazilian influence and descendants of African slaves have preserved their heritage in music, food, dance, and martial arts traditions. At festivals, drums beat powerful rhythms and religious followers celebrate African gods at Candomblé ceremonies. Candomblé is a belief system developed by West African slaves based upon Yoruba, Fon, and Bantu beliefs, with Roman Catholic elements. Through singing, drumming, and dancing, worshippers connect with and become possessed by deities called Orishas, who are believed to protect the people and control their destinies. //FOUND IN GLOBAL JUKEBOX "PEOPLE/CULTURE" SECTION OF TRACK DESCRIPTION//</t>
  </si>
  <si>
    <t>6/17/2018 20:59:54</t>
  </si>
  <si>
    <t>JBA</t>
  </si>
  <si>
    <t>This entry also has Salvador as the primary name but the alternate name is Bahia, and the description refers to the people as Salvador da Bahia, and D-Place has an entry only on the "Bahia Brazilians"</t>
  </si>
  <si>
    <t>Danse D'Une Possedee, Fille De Shango</t>
  </si>
  <si>
    <t>http://media.theglobaljukebox.org/audio/T9505R12.mp3</t>
  </si>
  <si>
    <t>"Shango song; possession song; dance song" //GLOBAL JUKEBOX CODING ID 9156, IN GENRE FIELD//</t>
  </si>
  <si>
    <t>"Possession dance by a daughter of Shango" //GLOBAL JUKEBOX CODING ID 9156, IN DESCRIPTION FIELD//</t>
  </si>
  <si>
    <t>6/17/2018 21:26:02</t>
  </si>
  <si>
    <t>Listed in source as "Kaingang", D-Place search reveals that this is an alternate name for the Aweikoma people, but specifically notes that today the Aweikoma and Kaingang are considered two different groups //LINK TO D-PLACE SEARCH: https://d-place.org/society/B50//</t>
  </si>
  <si>
    <t>xokl1240</t>
  </si>
  <si>
    <t>kain1272</t>
  </si>
  <si>
    <t>xok</t>
  </si>
  <si>
    <t>Feast of the Dead</t>
  </si>
  <si>
    <t>http://media.theglobaljukebox.org/audio/T5403R87.mp3</t>
  </si>
  <si>
    <t>Genre: "For the dead; feast song" Description: "Song honoring the dead; sung during April" //GLOBAL JUKEBOX CODING ID 797, INFORMATION FOUND IN THE GENRE AND DESCRIPTION FIELDS RESPECTIVELY//</t>
  </si>
  <si>
    <t>Nothing beyond the genre, description, and culture information. Culture information didn't directly inform classification decision</t>
  </si>
  <si>
    <t>6/17/2018 21:42:53</t>
  </si>
  <si>
    <t>Burma</t>
  </si>
  <si>
    <t>nucl1310</t>
  </si>
  <si>
    <t>Burmese "Pwe"</t>
  </si>
  <si>
    <t>https://folkways.si.edu/burmese-pwe/world/music/track/smithsonian</t>
  </si>
  <si>
    <t>Side 1, Track 4 (104)</t>
  </si>
  <si>
    <t>Exotic Dances // SMITHSONIAN FOLKWAYS ALBUM CATALOG NUMBER FW08752 / FW 8752 //</t>
  </si>
  <si>
    <t>THE MAIN CHARACTERISTICS OF THE DANCE ARE THE DEEP WAIST BENDS, FRONT, SIDE AND BACK, THE SUPPLE ARMS AND HANDS, AND THE GAILY SMILING FACES...THE STYLE OF MOVEMENT REMAINS ESSENTIALLY THE SAME, A STYLE DISTINCTLY DIFFERENT FROM THAT OF THE DANCE DRAMA WHICH IN SUBJECT-MATTER, MOVEMENT AND COSTUMES RESEMBLES CLOSELY THAT OF SIAM. OF ALL ORIENTAL CHOREOGRAPHY THE PWE IS UNDOUBTEDLY THE GAYEST AND MOST NATURAL. // SMITHSONIAN FOLKWAYS LINER NOTES FOR ALBUM CATALOG NUMBER FW08752 / FW 8752 //</t>
  </si>
  <si>
    <t>On the album Exotic Dances, catalog number FW08752_104</t>
  </si>
  <si>
    <t>6/17/2018 23:50:56</t>
  </si>
  <si>
    <t>Sangel sa wata babae</t>
  </si>
  <si>
    <t>https://folkways.si.edu/music-of-the-magindanao-in-the-philippines-man-singing-a-love-song/woman-singing-a-lullaby-medley/central-asia-islamica-world/music/track/smithsonian</t>
  </si>
  <si>
    <t>Side III, Band 6b (306 - second part)</t>
  </si>
  <si>
    <t>Woman singing a lullaby // SMITHSONIAN FOLKWAYS ALBUM, PRIMITIVE MUSIC OF THE WORLD - CATALOG NUMBER FW04581 / FE 4581 //</t>
  </si>
  <si>
    <t>This record shows (a) a man's love-song, (b) a woman singing a lullaby, (c) a flute playing alone, and (d) three high tuned drums in syncopated dance music. // SMITHSONIAN FOLKWAYS LINER NOTES FOR ALBUM //</t>
  </si>
  <si>
    <t>On the album Primitive Music of the World</t>
  </si>
  <si>
    <t>6/17/2018 23:58:25</t>
  </si>
  <si>
    <t>Tai (spelled Thai in the label and Tai in the culture group from the associated ethnography)</t>
  </si>
  <si>
    <t>taik1256</t>
  </si>
  <si>
    <t>thai1261</t>
  </si>
  <si>
    <t>Dance Xoe</t>
  </si>
  <si>
    <t>https://folkways.si.edu/group-of-young-girls/xoe-folk-dance-of-thai-people/world/music/track/smithsonian</t>
  </si>
  <si>
    <t>Track 105 - Band 2, number 5</t>
  </si>
  <si>
    <t>Xoe folk dance of Thai people // SMITHSONIAN FOLKWAYS CATALOG NUMBER FW04352_105 //</t>
  </si>
  <si>
    <t>DANCE XOE (Dance with the comic hats) // ALBUM LINER NOTES</t>
  </si>
  <si>
    <t>On the album Music of Vietnam</t>
  </si>
  <si>
    <t>6/18/2018 0:06:56</t>
  </si>
  <si>
    <t>Cham</t>
  </si>
  <si>
    <t>east2563</t>
  </si>
  <si>
    <t>cham1328</t>
  </si>
  <si>
    <t>cjm</t>
  </si>
  <si>
    <t>Dodam mutai</t>
  </si>
  <si>
    <t>https://folkways.si.edu/dodam-mutai-funeral-song-with-kanhi-fiddle/funeral-song-doh-dam-mutai/world/music/track/smithsonian</t>
  </si>
  <si>
    <t>Track 109</t>
  </si>
  <si>
    <t>Funeral</t>
  </si>
  <si>
    <t>Funeral Song // SMITHSONIAN FOLKWAYS CATALOG NUMBER FW04352_109 //</t>
  </si>
  <si>
    <t>FUNERAL SONG DOH DAM MUTAI singing with the viola KANHI // ALBUM LINER NOTES, BAND 3 - 9 //</t>
  </si>
  <si>
    <t>6/18/2018 0:11:31</t>
  </si>
  <si>
    <t>Vietnamese</t>
  </si>
  <si>
    <t>viet1252</t>
  </si>
  <si>
    <t>vie</t>
  </si>
  <si>
    <t>Ho nen</t>
  </si>
  <si>
    <t>https://folkways.si.edu/vietnamese-work-song/ho-nen/world/music/track/smithsonian</t>
  </si>
  <si>
    <t>Track 121 (Band 9)</t>
  </si>
  <si>
    <t>Vietnamese work song // SMITHSONIAN FOLKWAYS CATALOG NUMBER FW04352_121 //</t>
  </si>
  <si>
    <t>6/18/2018 0:14:47</t>
  </si>
  <si>
    <t>Ho Ru Con</t>
  </si>
  <si>
    <t>https://folkways.si.edu/vietnamese-lullaby/ho-ru-con/world/music/track/smithsonian</t>
  </si>
  <si>
    <t>Track 120 (Band 4, 15)</t>
  </si>
  <si>
    <t>Vietnamese lullaby // SMITHSONIAN FOLKWAYS CATALOG NUMBER FW04352_120 //</t>
  </si>
  <si>
    <t>6/18/2018 0:22:48</t>
  </si>
  <si>
    <t>Temiar</t>
  </si>
  <si>
    <t>temi1246</t>
  </si>
  <si>
    <t>tea</t>
  </si>
  <si>
    <t>A healing ceremony at Kg</t>
  </si>
  <si>
    <t>https://folkways.si.edu/al-j-apos-anak-lelaki-itam-and-uda-anak-lelaki-pandak/a-healing-ceremony-at-kg/islamica-psychology-health-world/track/smithsonian</t>
  </si>
  <si>
    <t>A healing ceremony at Kg // SMITHSONIAN FOLKWAYS CATALOG NUMBER SFW40417_110 //</t>
  </si>
  <si>
    <t>On the album Dream Songs and Healing Sounds in the Rainforests of Malaysia</t>
  </si>
  <si>
    <t>6/18/2018 0:34:34</t>
  </si>
  <si>
    <t>Pengaseh Flower song</t>
  </si>
  <si>
    <t>https://folkways.si.edu/ading-kerah/healing-ceremony-tanggey-genre-pengaseh-flower-song/islamica-psychology-health-world/track/smithsonian</t>
  </si>
  <si>
    <t>Healing Ceremony (Tanggey Genre) // SMITHSONIAN FOLKWAYS CATALOG NUMBER SFW40417_118 //</t>
  </si>
  <si>
    <t>6/18/2018 0:37:24</t>
  </si>
  <si>
    <t>Albanians</t>
  </si>
  <si>
    <t>alba1267</t>
  </si>
  <si>
    <t>arbe1236</t>
  </si>
  <si>
    <t>sqi</t>
  </si>
  <si>
    <t>Il Gallo Canta</t>
  </si>
  <si>
    <t>https://theglobaljukebox.org/?share=Arb%C3%ABresh%C3%AB-T5522R26</t>
  </si>
  <si>
    <t>Global Jukebox, Accademia di Santa Cecilia, Archivi di Etnomusicologia, Rome; copy in Alan Lomax Collection, American Folklife Center, Library of Congress</t>
  </si>
  <si>
    <t>Genre: Serenade; love song //GLOBAL JUKEBOX CODING ID: 9241//</t>
  </si>
  <si>
    <t>Description: The Cock Crows; warning a lover that the sun is rising. May derive from a genre in antiquity dedicated to the cock; an invocation to the sun god //GLOBAL JUKEBOX CODING ID: 9241//</t>
  </si>
  <si>
    <t>6/18/2018 1:38:15</t>
  </si>
  <si>
    <t>Calabria</t>
  </si>
  <si>
    <t>napo1241</t>
  </si>
  <si>
    <t>U Leva Leva</t>
  </si>
  <si>
    <t>https://theglobaljukebox.org/?share=Calabria-T5591R20</t>
  </si>
  <si>
    <t>Genre: Chantey; fishing song; boat song; work song; fisherman's song; hauling song //GLOBAL JUKEBOX CODING ID: 634//</t>
  </si>
  <si>
    <t>Description: A tuna hauling chantey in Gulf of St. Eufemia, with the voice of the reis, chief, song-leader, the men shouting, and tuna flopping on deck //GLOBAL JUKEBOX CODING ID: 634//</t>
  </si>
  <si>
    <t>6/18/2018 1:44:34</t>
  </si>
  <si>
    <t>Gargano</t>
  </si>
  <si>
    <t>Passa Per La Strada</t>
  </si>
  <si>
    <t>https://theglobaljukebox.org/?share=Gargano-T5596R04</t>
  </si>
  <si>
    <t>Global Jukebox, Repository: Alan Lomax Collection, American Folklife Center, Library of Congress</t>
  </si>
  <si>
    <t>Genre: Love song; shepherd's song //GLOBAL JUKEBOX ID: 583//</t>
  </si>
  <si>
    <t>Description: Love song performed by a shepherd //GLOBAL JUKEBOX ID: 583//</t>
  </si>
  <si>
    <t>6/18/2018 1:51:29</t>
  </si>
  <si>
    <t>Né né mon poupôn</t>
  </si>
  <si>
    <t>https://theglobaljukebox.org/?share=Piemonte-T5471R29</t>
  </si>
  <si>
    <t>Genre: Lullaby //GLOBAL JUKEBOX CODING ID: 617//</t>
  </si>
  <si>
    <t>Description: Lullaby //GLOBAL JUKEBOX CODING ID: 617//</t>
  </si>
  <si>
    <t>6/18/2018 1:56:15</t>
  </si>
  <si>
    <t>Pumi</t>
  </si>
  <si>
    <t>pumu1242</t>
  </si>
  <si>
    <t>pumi1242</t>
  </si>
  <si>
    <t>Sing of Chairman Mao</t>
  </si>
  <si>
    <t>http://media.theglobaljukebox.com/audio/T5492R25.mp3</t>
  </si>
  <si>
    <t>"Sing of Chairman Mao" //CODING ID 9052 ON GLOBAL JUKEBOX</t>
  </si>
  <si>
    <t>"Song in praise of Chairman Mao" //CODING ID 9052 ON GLOBAL JUKEBOX</t>
  </si>
  <si>
    <t>NA //CODING ID 9052 ON GLOBAL JUKEBOX</t>
  </si>
  <si>
    <t>6/19/2018 15:15:07</t>
  </si>
  <si>
    <t>Chang Choon Pool Lo Chi Kog - Ah Ahk</t>
  </si>
  <si>
    <t>http://media.theglobaljukebox.com/audio/T5528R02.mp3</t>
  </si>
  <si>
    <t>Court music; song about leadership; praise song //CODING ID 8018 ON GLOBAL JUKEBOX</t>
  </si>
  <si>
    <t>"Court music honoring King Sejong of the Ye Dynasty" //CODING ID 8018 ON GLOBAL JUKEBOX</t>
  </si>
  <si>
    <t>NA //CODING ID 8018 ON GLOBAL JUKEBOX</t>
  </si>
  <si>
    <t>6/19/2018 15:23:53</t>
  </si>
  <si>
    <t>Game Song (The Eagle Catching The Chick)</t>
  </si>
  <si>
    <t>https://www.discogs.com/Puyuma-The-Music-Of-The-Aborigines-On-Taiwan-Island-Vol4-The-Songs-Of-The-Puyuma-Tribe/release/2836756</t>
  </si>
  <si>
    <t>"Game song; nursery rhyme" //CODING ID 30310 ON GLOBAL JUKEBOX</t>
  </si>
  <si>
    <t>"Game song; nursery rhyme; unison" //CODING ID 30310 ON GLOBAL JUKEBOX</t>
  </si>
  <si>
    <t>NA //CODING ID 30310 ON GLOBAL JUKEBOX</t>
  </si>
  <si>
    <t>No audio available on global jukebox, album referenced on discogs.</t>
  </si>
  <si>
    <t>6/19/2018 15:51:33</t>
  </si>
  <si>
    <t>Uyghur not found in eHARF alternate names: Uighur; Uygur; Uigur</t>
  </si>
  <si>
    <t>uigh1240</t>
  </si>
  <si>
    <t>uygh1241</t>
  </si>
  <si>
    <t>uig</t>
  </si>
  <si>
    <t>What a Happy Life We Have</t>
  </si>
  <si>
    <t>https://theglobaljukebox.org/?share=Uyghur-T5490R03</t>
  </si>
  <si>
    <t>No track number Lomax Source: T5490.03</t>
  </si>
  <si>
    <t>Dance song; celebrates the good life the Uyghur people have enjoyed since the Liberation //CODING ID 9076 IN GLOBAL JUKEBOX, RELEVANT TEXT IS IN THE DESCRIPTION FIELD//</t>
  </si>
  <si>
    <t>6/19/2018 22:10:00</t>
  </si>
  <si>
    <t>Uyghur not found on eHARF alternate names: Uighur; Uygur; Uigur</t>
  </si>
  <si>
    <t>The Jet Black Eyes</t>
  </si>
  <si>
    <t>https://theglobaljukebox.org/?share=Uyghur-T5490R04</t>
  </si>
  <si>
    <t>No track number Lomax Source: T5490.04</t>
  </si>
  <si>
    <t>Love song; part of a suite //CODING ID 9077 IN GLOBAL JUKEBOX, RELEVANT TEXT IS IN THE DESCRIPTION FIELD//</t>
  </si>
  <si>
    <t>6/19/2018 22:18:17</t>
  </si>
  <si>
    <t>Uyghur not found on eHARF Alt. Names: Uighur; Uygur; Uigur</t>
  </si>
  <si>
    <t>Mudanhan</t>
  </si>
  <si>
    <t>https://theglobaljukebox.org/?share=Uyghur-T5490R05</t>
  </si>
  <si>
    <t>No track number Lomax Source: T5490.05</t>
  </si>
  <si>
    <t>Love song; title is a girl's name; part of a suite //CODING ID 9078 IN GLOBAL JUKEBOX, RELEVANT TEXT IS IN THE DESCRIPTION FIELD//</t>
  </si>
  <si>
    <t>6/19/2018 22:25:13</t>
  </si>
  <si>
    <t>Mestonia</t>
  </si>
  <si>
    <t>https://theglobaljukebox.org/?share=Uyghur-T5490R06</t>
  </si>
  <si>
    <t>no track number Lomax Source: T5490.06</t>
  </si>
  <si>
    <t>Love song //CODING ID 9079 IN GLOBAL JUKEBOX, RELEVANT TEXT IS IN THE DESCRIPTION FIELD//</t>
  </si>
  <si>
    <t>Popular in Kumul, Coal, in the eastern part of Xinjiang //CODING ID 9079 IN GLOBAL JUKEBOX, RELEVANT TEXT IS IN THE DESCRIPTION FIELD//</t>
  </si>
  <si>
    <t>6/19/2018 22:35:48</t>
  </si>
  <si>
    <t>The Lover</t>
  </si>
  <si>
    <t>https://theglobaljukebox.org/?share=Uyghur-T5490R07</t>
  </si>
  <si>
    <t>No track number Lomax Source: T5490.07</t>
  </si>
  <si>
    <t>Love Song //CODING ID 9080 IN GLOBAL JUKEBOX, RELEVANT TEXT IS IN THE DESCRIPTION FIELD//</t>
  </si>
  <si>
    <t>6/19/2018 22:40:28</t>
  </si>
  <si>
    <t>Indonesia</t>
  </si>
  <si>
    <t>Indonesia: Hay ti moñ anacosa / O anané kéké (medley)</t>
  </si>
  <si>
    <t>https://folkways.si.edu/indonesia-hay-ti-mon-anacosa/o-anane-keke-medley/childrens-world/music/track/smithsonian</t>
  </si>
  <si>
    <t>Lullaby // SMITHSONIAN FOLKWAYS CATALOG NUMBER FW04511 / FE 4511 //</t>
  </si>
  <si>
    <t>Hay ti mort' anacosa. - Sleep my child, I am caring for you. You are kept against my heart. O anane keke. '- Go to sleep. All my love is for you and I protect you in my arms. // LINER NOTES PAGE 14 //</t>
  </si>
  <si>
    <t>On the album Lullabies of the World</t>
  </si>
  <si>
    <t>6/19/2018 22:43:14</t>
  </si>
  <si>
    <t>Burmese</t>
  </si>
  <si>
    <t>mya</t>
  </si>
  <si>
    <t>The glory of the king</t>
  </si>
  <si>
    <t>https://folkways.si.edu/inle-myint-maung-and-yi-yi-thant/the-glory-of-the-king/world/music/track/smithsonian</t>
  </si>
  <si>
    <t>The king is like the bright moon in the heavens, surrounded by stars. // SMITHSONIAN FOLKWAYS CATALOG NUMBER SFW40492, LINER NOTES</t>
  </si>
  <si>
    <t>On the album Mahagitá: Harp and Vocal Music of Burma</t>
  </si>
  <si>
    <t>6/19/2018 22:51:43</t>
  </si>
  <si>
    <t>Uyghur not found on EHARF, Alt. Names: Uighur; Uygur; Uigur</t>
  </si>
  <si>
    <t>https://theglobaljukebox.org/?share=Uyghur-T5490R08</t>
  </si>
  <si>
    <t>No track number Lomax Source: T5490.08</t>
  </si>
  <si>
    <t>Lullaby //CODING ID 9081 IN GLOBAL JUKEBOX, RELEVANT TEXT IS IN THE DESCRIPTION FIELD/</t>
  </si>
  <si>
    <t>6/19/2018 23:00:55</t>
  </si>
  <si>
    <t>Uygher not found on eHARF Alt. Names: Uighur; Uygur; Uigur</t>
  </si>
  <si>
    <t>Qemberkhan</t>
  </si>
  <si>
    <t>https://theglobaljukebox.org/?share=Uyghur-T5490R09</t>
  </si>
  <si>
    <t>No track number Lomax Source: T5490.09</t>
  </si>
  <si>
    <t>Dance song //CODING ID 9082 IN GLOBAL JUKEBOX, RELEVANT TEXT IS IN THE DESCRIPTION FIELD//</t>
  </si>
  <si>
    <t>popular in the Turfan basin region //CODING ID 9082 IN GLOBAL JUKEBOX, RELEVANT TEXT IS IN THE DESCRIPTION FIELD//</t>
  </si>
  <si>
    <t>The place is hot, but there is a girl there, named Qemberkhan, who is very sweet //CODING ID 9082 IN GLOBAL JUKEBOX, RELEVANT TEXT IS IN THE DESCRIPTION FIELD//</t>
  </si>
  <si>
    <t>6/19/2018 23:07:57</t>
  </si>
  <si>
    <t>Please Give Me a Bunch of Roses</t>
  </si>
  <si>
    <t>https://theglobaljukebox.org/?share=Uyghur-T5490R10</t>
  </si>
  <si>
    <t>No track number Lomax Source: T5490.10</t>
  </si>
  <si>
    <t>Lyric song; narrative song //CODING ID 9083 IN GLOBAL JUKEBOX, RELEVANT TEXT IS IN THE GENRE FIELD//</t>
  </si>
  <si>
    <t>Popular in the southern part of Xinjiang //CODING ID 9083 IN GLOBAL JUKEBOX, RELEVANT TEXT IS IN THE DESCRIPTION FIELD//</t>
  </si>
  <si>
    <t>6/19/2018 23:13:34</t>
  </si>
  <si>
    <t>My Permissioin</t>
  </si>
  <si>
    <t>https://theglobaljukebox.org/?share=Uyghur-T5490R11</t>
  </si>
  <si>
    <t>No track number Lomax Source: T5490.11</t>
  </si>
  <si>
    <t>Love song //CODING ID 9084 IN GLOBAL JUKEBOX, RELEVANT TEXT IS IN THE GENRE FIELD//</t>
  </si>
  <si>
    <t>6/19/2018 23:21:56</t>
  </si>
  <si>
    <t>Petalangan</t>
  </si>
  <si>
    <t>mala1479</t>
  </si>
  <si>
    <t>mala1538</t>
  </si>
  <si>
    <t>zlm</t>
  </si>
  <si>
    <t>Excerpt from a Belian Ritual: Lancang Tujuh Setali</t>
  </si>
  <si>
    <t>http://www.folkways.si.edu/excerpt-from-a-belian-ritual-lancang-tujuh-setali/islamica-world/music/track/smithsonian</t>
  </si>
  <si>
    <t>Shaman song; spirit song; healing song; ritual song; trance song // GLOBAL JUKEBOX CODING ID 9821 //</t>
  </si>
  <si>
    <t>Full recording of belian curing ritual, performed to heal the sickness of an individual or a whole community // LOMAX SOURCE T5498.45 //</t>
  </si>
  <si>
    <t>6/19/2018 23:39:42</t>
  </si>
  <si>
    <t>Nias</t>
  </si>
  <si>
    <t>nias1242</t>
  </si>
  <si>
    <t>nia</t>
  </si>
  <si>
    <t>Hoho Sisambua'a Matona</t>
  </si>
  <si>
    <t>http://www.folkways.si.edu/three-choruses-led-by-rawatan-dachi/hoho-sisambuaa-matona/islamica-world/music/track/smithsonian</t>
  </si>
  <si>
    <t>Funeral song // GLOBAL JUKEBOX CODING ID 9632 //</t>
  </si>
  <si>
    <t>6/19/2018 23:42:12</t>
  </si>
  <si>
    <t>Minangkabau</t>
  </si>
  <si>
    <t>mina1268</t>
  </si>
  <si>
    <t>min</t>
  </si>
  <si>
    <t>Pakok Limo</t>
  </si>
  <si>
    <t>http://www.folkways.si.edu/harun-rajo-bujang-and-enceh-k/pakok-limo/islamica-world/music/track/smithsonian</t>
  </si>
  <si>
    <t>Dendang Pauah; story song; narrative song; kaba // GLOBAL JUKEBOX CODING ID 9625 //</t>
  </si>
  <si>
    <t>Excerpt from dendang Pauah, a genre of kaba performance associated with the region around Padang; dedang Pauah stories are always sad; in the Pakok Limo section the characters are introduced and the situation described; in this excerpt, a mother tells her hungry daughter to try to sleep to forget her hunger, which is caused by the father's poor luck as a farmer // GLOBAL JUKEBOX METADATA //</t>
  </si>
  <si>
    <t>6/19/2018 23:46:41</t>
  </si>
  <si>
    <t>Lambok Malam</t>
  </si>
  <si>
    <t>http://www.folkways.si.edu/harun-rajo-bujang-and-enceh-k/lambok-malam/islamica-world/music/track/smithsonian</t>
  </si>
  <si>
    <t>Dendang Pauah; story song; narrative song; kaba // GLOBAL JUKEBOX CODING ID 9629 //</t>
  </si>
  <si>
    <t>Excerpt from dendang Pauah, a genre of kaba performance associated with the region around Padang; in this excerpt, the unlucky farmer and father falls in with gamblers and loses all he has, and after pawning the clothes off his back, has nothing and no one left except the friendship of bedbugs, who bite him to keep him awake // GLOBAL JUKEBOX METADATA //</t>
  </si>
  <si>
    <t>6/19/2018 23:50:06</t>
  </si>
  <si>
    <t>Mentawai</t>
  </si>
  <si>
    <t>ment1249</t>
  </si>
  <si>
    <t>mwv</t>
  </si>
  <si>
    <t>Urai Turuk Bilou</t>
  </si>
  <si>
    <t>http://www.folkways.si.edu/aman-taksiripok-tokkok-kerei-sabulau-teu-alau-gege-samalaggurek-aman-turak-salolosit-teu-eppek-salolosit-and-kaddei-samapopopou/urai-turuk-bilou/islamica-world/music/track/smithsonian</t>
  </si>
  <si>
    <t>Dance song; trance song; animal song; praise song; ritual song // GLOBAL JUKEBOX CODING ID 9614 //</t>
  </si>
  <si>
    <t>Dance song; triple meter throughout unless the dancers go into a trance, in which case the drummers speed up and switch to duple meter; song imitates and praises the bilou (Kloss's gibbon) indigenous to Siberut; usually performed as part of lajo rituals // GLOBAL JUKEBOX METADATA //</t>
  </si>
  <si>
    <t>6/19/2018 23:53:45</t>
  </si>
  <si>
    <t>Batak</t>
  </si>
  <si>
    <t>bata1293</t>
  </si>
  <si>
    <t>bata1301</t>
  </si>
  <si>
    <t>btx</t>
  </si>
  <si>
    <t>Gula Tualah</t>
  </si>
  <si>
    <t>http://www.folkways.si.edu/gendang-lima-sedalanen/gula-tualah/islamica-world/music/track/smithsonian</t>
  </si>
  <si>
    <t>Gendang karo; love song; lagu perkolong-kolong // GLOBAL JUKEBOX CODING ID 9631//</t>
  </si>
  <si>
    <t>Lagu perkolong-kolong, song of professional singers; about lovers who can't be together // GLOBAL JUKEBOX DESCRIPTION FIELD //</t>
  </si>
  <si>
    <t>lyrics: When we are apart, let us both look at the moon, so our eyes can at least meet there // GLOBAL JUKEBOX DESCRIPTION FIELD //</t>
  </si>
  <si>
    <t>6/19/2018 23:57:48</t>
  </si>
  <si>
    <t>Jahai</t>
  </si>
  <si>
    <t>jeha1242</t>
  </si>
  <si>
    <t>jhi</t>
  </si>
  <si>
    <t>Bawaij</t>
  </si>
  <si>
    <t>Narrative song; dream song; animal song; shaman song // GLOBAL JUKEBOX Coding ID: 9678 //</t>
  </si>
  <si>
    <t>Narrative dance or dream song; about the bawaij, coconut monkey; sung by shaman // GLOBAL JUKEBOX DESCRIPTION FIELD //</t>
  </si>
  <si>
    <t>Unable to find a direct link to the track. Audio File ID: T5525R17; additional notes in by Roswell Rudd filed under T5525.</t>
  </si>
  <si>
    <t>6/20/2018 0:05:28</t>
  </si>
  <si>
    <t>Mangyan</t>
  </si>
  <si>
    <t>hanu1241</t>
  </si>
  <si>
    <t>hnn</t>
  </si>
  <si>
    <t>Pagrit</t>
  </si>
  <si>
    <t>http://www.folkways.si.edu/TrackDetails.aspx?itemid=14935</t>
  </si>
  <si>
    <t>Work song // GLOBAL JUKEBOX CODING ID 3612 //</t>
  </si>
  <si>
    <t>Yells while clearing the forest // GLOBAL JUKEBOX DESCRIPTION FIELD //</t>
  </si>
  <si>
    <t>6/20/2018 0:12:01</t>
  </si>
  <si>
    <t>Iyāya</t>
  </si>
  <si>
    <t>http://www.folkways.si.edu/TrackDetails.aspx?itemid=14934</t>
  </si>
  <si>
    <t>Lullaby; chant // GLOBAL JUKEBOX Coding ID: 3615 //</t>
  </si>
  <si>
    <t>6/20/2018 0:15:33</t>
  </si>
  <si>
    <t>Palawan</t>
  </si>
  <si>
    <t>pala1354</t>
  </si>
  <si>
    <t>bya</t>
  </si>
  <si>
    <t>Kulilal ät pakpat ät manuk</t>
  </si>
  <si>
    <t>Lyric love song imitating the cackling of the grouse; A Small Bird Flies in the Flower Garden // GLOBAL JUKEBOX Coding ID: 9753, DESCRIPTION FIELD //</t>
  </si>
  <si>
    <t>Unable to find direct link; Publication/Collection: Philippines: Palawan Highlands Music LDX 274865. Audio File ID: T5583R08.</t>
  </si>
  <si>
    <t>6/20/2018 0:19:41</t>
  </si>
  <si>
    <t>Kudaman</t>
  </si>
  <si>
    <t>Epic song; rice song; ceremonial song // GLOBAL JUKEBOX Coding ID: 9756 //</t>
  </si>
  <si>
    <t>Epic lasting six or seven nights, six or seven hours per night; text centered on the rice ceremony which is interrupted by the arrival of Ilanän, carrier of discord and war // GLOBAL JUKEBOX DESCRIPTION FIELD //</t>
  </si>
  <si>
    <t>Unable to find a direct link; Audio File ID: T5583R10. Publication/Collection: Philippines: Palawan Highlands Music LDX 274865.</t>
  </si>
  <si>
    <t>6/20/2018 0:22:35</t>
  </si>
  <si>
    <t>Manobo</t>
  </si>
  <si>
    <t>agus1235</t>
  </si>
  <si>
    <t>mano1276</t>
  </si>
  <si>
    <t>msm</t>
  </si>
  <si>
    <t>Mourning Song; Lullaby for the Dead</t>
  </si>
  <si>
    <t>Mourning song; for the dead // GLOBAL JUKEBOX CODING ID 28 //</t>
  </si>
  <si>
    <t>Unable to find direct link; Publication/Collection: David P. McAllester Mindanao collection.</t>
  </si>
  <si>
    <t>6/20/2018 0:24:56</t>
  </si>
  <si>
    <t>Lindugan</t>
  </si>
  <si>
    <t>Love song // GLOBAL JUKEBOX CODING ID 27, DESCRIPTION FIELD //</t>
  </si>
  <si>
    <t>Unable to find direct link - Publication/Collection: David P. McAllester Mindanao collection. Audio File ID: T5422R47.</t>
  </si>
  <si>
    <t>6/20/2018 0:27:11</t>
  </si>
  <si>
    <t>Maguindanao</t>
  </si>
  <si>
    <t>Surangkunay</t>
  </si>
  <si>
    <t>http://www.folkways.si.edu/TrackDetails.aspx?itemid=23777</t>
  </si>
  <si>
    <t>Love song; chant // GLOBAL JUKEBOX CODING ID 1557 //</t>
  </si>
  <si>
    <t>6/20/2018 0:29:26</t>
  </si>
  <si>
    <t>Kiriman ay Kiriman</t>
  </si>
  <si>
    <t>http://www.folkways.si.edu/TrackDetails.aspx?itemid=23779</t>
  </si>
  <si>
    <t>Love song; chant // GLOBAL JUKEBOX CODING ID 1558 //</t>
  </si>
  <si>
    <t>6/20/2018 0:31:12</t>
  </si>
  <si>
    <t>Sangel sa wata Babae</t>
  </si>
  <si>
    <t>http://www.folkways.si.edu/TrackDetails.aspx?itemid=23782</t>
  </si>
  <si>
    <t>Lullaby // GLOBAL JUKEBOX CODING ID 1560 //</t>
  </si>
  <si>
    <t>6/20/2018 0:33:32</t>
  </si>
  <si>
    <t>Bungbung Mangmang</t>
  </si>
  <si>
    <t>http://www.folkways.si.edu/TrackDetails.aspx?itemid=23783</t>
  </si>
  <si>
    <t>Lullaby // GLOBAL JUKEBOX CODING ID 9382 //</t>
  </si>
  <si>
    <t>6/20/2018 0:35:25</t>
  </si>
  <si>
    <t>Makassarese</t>
  </si>
  <si>
    <t>maka1311</t>
  </si>
  <si>
    <t>mak</t>
  </si>
  <si>
    <t>http://www.folkways.si.edu/grup-tabbing-sualia/jangang-lea-lea-part-3/islamica-world/music/track/smithsonian</t>
  </si>
  <si>
    <t>used at weddings</t>
  </si>
  <si>
    <t>Pakarena; celebratory song; wedding song; entertainment song; dance song; court music // GLOBAL JUKEBOX Coding ID: 30252 //</t>
  </si>
  <si>
    <t>Pakarena for the end of a wedding or other celebration, such as the fulfillment of a vow; pakarena is believed to have originated as Makasar court entertainment; features distinctive combination of wild drumming and serene dancing // GLOBAL JUKEBOX DESCRIPTION FIELD //</t>
  </si>
  <si>
    <t>6/20/2018 0:38:38</t>
  </si>
  <si>
    <t>Javanese</t>
  </si>
  <si>
    <t>java1254</t>
  </si>
  <si>
    <t>jav</t>
  </si>
  <si>
    <t>Nini Towong</t>
  </si>
  <si>
    <t>Children's song; game song; spirit song // GLOBAL JUKEBOX Coding ID: 3354 //</t>
  </si>
  <si>
    <t>Children's game song; a doll, house, and garden spirit // DESCRIPTION FIELD IN GLOBAL JUKEBOX //</t>
  </si>
  <si>
    <t>Unable to find direct link; Publication/Collection: Japp Kunst Collections, Ethnomusicology Archives, University of Amsterdam. Audio File ID: T5424R69.</t>
  </si>
  <si>
    <t>6/20/2018 0:42:58</t>
  </si>
  <si>
    <t>Lanten</t>
  </si>
  <si>
    <t>kimm1245</t>
  </si>
  <si>
    <t>mji</t>
  </si>
  <si>
    <t>Thanksgiving to Spirit for Healing</t>
  </si>
  <si>
    <t>Thanksgiving song; spirit song; healing song // GLOBAL JUKEBOX Coding ID: 4114 //</t>
  </si>
  <si>
    <t>Unable to find direct link - Publication/Collection: Ivan Polunin collection. Audio File ID: T5421R09.</t>
  </si>
  <si>
    <t>6/20/2018 0:46:18</t>
  </si>
  <si>
    <t>Lullaby // GLOBAL JUKEBOX CODING ID 4115 //</t>
  </si>
  <si>
    <t>Unable to find direct link. Seems to be a recurring issue with previously unpublished tracks. Publication/Collection: Ivan Polunin collection; Audio File ID: T5421R08.</t>
  </si>
  <si>
    <t>6/20/2018 0:48:37</t>
  </si>
  <si>
    <t>Pwo Karen</t>
  </si>
  <si>
    <t>peri1254</t>
  </si>
  <si>
    <t>east2341</t>
  </si>
  <si>
    <t>Lullaby; spirit song // GLOBAL JUKEBOX Coding ID: 2726 //</t>
  </si>
  <si>
    <t>Lyrics: Sleep sleep, Where are you going?, Come back from where you are going, Sleep sleep; Refers to Karen belief that the spirit wanders while the body sleeps // DESCRIPTION FIELD IN GLOBAL JUKEBOX //</t>
  </si>
  <si>
    <t>Audio File ID: T5420R17m. Publication/Collection: Music of the Pwo Karen.</t>
  </si>
  <si>
    <t>6/20/2018 0:51:27</t>
  </si>
  <si>
    <t>Miao</t>
  </si>
  <si>
    <t>horn1235</t>
  </si>
  <si>
    <t>hrm</t>
  </si>
  <si>
    <t>Singing as They Work</t>
  </si>
  <si>
    <t>Work song // GLOBAL JUKEBOX Coding ID: 3869 //</t>
  </si>
  <si>
    <t>Audio File ID: T5420R33. Publication/Collection: William R. Geddes collection, taken from the film Miao-Year, Wenner-Gren Foundation.</t>
  </si>
  <si>
    <t>6/20/2018 0:53:51</t>
  </si>
  <si>
    <t>Planting Song</t>
  </si>
  <si>
    <t>Planting song; agricultural song; work song // GLOBAL JUKEBOX Coding ID: 3393 //</t>
  </si>
  <si>
    <t>Male soloist singing over the sound of his planting stick striking soil; planting sticks used here have slits with a striker set inside that emits a tone when struck on a suface // DESCRIPTION FIELD IN GLOBAL JUKEBOX //</t>
  </si>
  <si>
    <t>Publication/Collection: Peter Kunstadter Collection: Traditional music of the Lua (Lawa), collected at Mae Hongson Province, 1964. Tape II. Audio File ID: T5420R24.</t>
  </si>
  <si>
    <t>6/20/2018 0:56:47</t>
  </si>
  <si>
    <t>Wedding song // GLOBAL JUKEBOX CODING ID 3398 //</t>
  </si>
  <si>
    <t>Audio File ID: T5420R26. Publication/Collection: Peter Kunstadter Collection: Traditional music of the Lua (Lawa), collected at Mae Hongson Province, 1964. Tape II.</t>
  </si>
  <si>
    <t>6/20/2018 0:58:34</t>
  </si>
  <si>
    <t>Bajau</t>
  </si>
  <si>
    <t>indo1317</t>
  </si>
  <si>
    <t>bdl</t>
  </si>
  <si>
    <t>Kasi Lasa; Manuk Manuk</t>
  </si>
  <si>
    <t>Love song // GLOBAL JUKEBOX CODING ID 7 //</t>
  </si>
  <si>
    <t>Publication/Collection: A Visit to Borneo: Exotic Music of the Dusun, Murut and Bajau Tribes. Capitol Records T10271. Audio File ID: T5422R18.</t>
  </si>
  <si>
    <t>6/20/2018 1:11:08</t>
  </si>
  <si>
    <t>Unclear. I catalogued this track because of a mention of southern France in the ethnography which I have copied into the general notes field</t>
  </si>
  <si>
    <t>THE TROUBADOURS</t>
  </si>
  <si>
    <t>https://folkways.si.edu/2000-years-of-music-compiled-by-and-released-in-memory-of-dr-curt-sachs/classical-music-instruction-world/album/smithsonian</t>
  </si>
  <si>
    <t>105 (5. in liner notes)</t>
  </si>
  <si>
    <t>[...] "In re sponse to the Margrave's bidding the lady Beatrice urged the knight to be of good cheer and to sing them a song. He rose and to the melody of the Estampida they had just heard, he extemporised. The song survives and is the first example on our next record. It illustrates the strong and decisive influence of the popular dance music on the melodies of the Troubadours." //CATALOG NUMBER FW03700 / FT 3700 IN FOLKWAYS; RELEVANT INFO IN PAGE 4 OF LINER NOTES//</t>
  </si>
  <si>
    <t>Neither the Mayfeast Nor the leaves of the beech Nor the song of the birds, Nor the flowers of iris Are what please me, Gracious, joyful lady, Until a speedy messenger arrives From you, fair lady, to give me New pleasure, which love brings me And joy, That I approach you, true lady. And may he fall wounded, The jealous one, before he drives me away from her. //CATALOG NUMBER FW03700 / FT 3700 IN FOLKWAYS; RELEVANT INFO IN PAGE 4 OF LINER NOTES//</t>
  </si>
  <si>
    <t>"In Moorish Spain arose a great cultivation of 9.nd attention to Art. The origin of this influence is to be found in late Classic Antiquity and Persian roots, and it spread over all Christian Spain and the neighbour- ing territory of Southern France (Provence)." //CATALOG NUMBER FW03700 / FT 3700 IN FOLKWAYS; TEXT IN LINER NOTES//</t>
  </si>
  <si>
    <t>6/20/2018 12:16:17</t>
  </si>
  <si>
    <t>Central Mexico</t>
  </si>
  <si>
    <t>Otomi</t>
  </si>
  <si>
    <t>otom1300</t>
  </si>
  <si>
    <t>Vibola, Vibola</t>
  </si>
  <si>
    <t>https://theglobaljukebox.org/?share=Otomi-T5405R73</t>
  </si>
  <si>
    <t>Childrens' song; animal song</t>
  </si>
  <si>
    <t>//CODING ID 158 IN GLOBAL JUKEBOX, RELEVANT TEXT IS IN THE DESCRIPTION FIELD//</t>
  </si>
  <si>
    <t>After entering the Global Jukebox URL, click on 'Maps', and then in the 'culture' search box enter 'Otomi' as the culture and click on 'Vibola Vibola'</t>
  </si>
  <si>
    <t>6/20/2018 13:13:14</t>
  </si>
  <si>
    <t>JAY</t>
  </si>
  <si>
    <t>Cancion De Casamiento</t>
  </si>
  <si>
    <t>https://theglobaljukebox.org/?share=Otomi-T5487R31#</t>
  </si>
  <si>
    <t>Cancion De Casamiento//CODING ID 20465 IN GLOBAL JUKEBOX//</t>
  </si>
  <si>
    <t>//CODING ID 20465 IN GLOBAL JUKEBOX, RELEVANT TEXT IS IN THE DESCRIPTION FIELD//</t>
  </si>
  <si>
    <t>After entering the Global Jukebox URL, click on 'Map', and then in the 'culture search box' type in 'Otomi' and click on 'Cancion De Casamiento'</t>
  </si>
  <si>
    <t>6/20/2018 13:33:24</t>
  </si>
  <si>
    <t>Daar Was Laatst Een Meisje Loos</t>
  </si>
  <si>
    <t>https://folkways.si.edu/jantina-noorman/dutch-folk-songs/world/music/album/smithsonian</t>
  </si>
  <si>
    <t>"The girl in this song wants to be a sailor. She has to climb the masts and fasten the sails and the ropes. A storm comes and everything is torn down. The girl is punished by the captain and cannot continue her “career.” " //CATALOG NUMBER FW06838 / FW 6838 IN FOLKWAYS; INFO IN LINER NOTES//</t>
  </si>
  <si>
    <t>LINER NOTES: https://folkways-media.si.edu/liner_notes/folkways/FW06838.pdf</t>
  </si>
  <si>
    <t>6/20/2018 14:54:39</t>
  </si>
  <si>
    <t>Een Liedje Van Koppelstok</t>
  </si>
  <si>
    <t>This is a song describing the recapture by the dutch of the town of Den Briel from the Spaniards during the 80-year war. The battle took place in 1572. //CATALOG NUMBER FW06838 / FW 6838 IN SMITHSONIAN FOLKWAYS; INFO IN LINER NOTES//</t>
  </si>
  <si>
    <t>6/20/2018 15:13:06</t>
  </si>
  <si>
    <t>t Boerinnetje Van Voorheen</t>
  </si>
  <si>
    <t>"A legend about a country girl who is really a princess. One day a carridge with two men stops near her as she is working in a feild; The men take her away and even the pigeons of the village are sad. Now she lives in a castle, but she can't forget the village and visits it once in a while. always the pigeons recognize her and are happy. //CATALOG NUMBER FW06838 / FW 6838 IN FOLKWAYS; INFO IN LINER NOTES//</t>
  </si>
  <si>
    <t>6/20/2018 16:45:54</t>
  </si>
  <si>
    <t>Sio</t>
  </si>
  <si>
    <t>funeral procession</t>
  </si>
  <si>
    <t>Funeral song; mourning song // GLOBAL JUKEBOX Coding ID: 9640 //</t>
  </si>
  <si>
    <t>To Weep; mourning song sung during the funeral ceremony; celebrated for all those who have died since the preceding ceremony // TEXT IN DESCRIPTION FIELD //</t>
  </si>
  <si>
    <t>Audio File ID: T5539R11. Lomax Source: 3A92.B6. Publication/Collection: Timor: Chants des Ema. Musée de l'Homme LDX74693, 1979.</t>
  </si>
  <si>
    <t>6/20/2018 16:54:22</t>
  </si>
  <si>
    <t>Pae baen</t>
  </si>
  <si>
    <t>http://media.theglobaljukebox.org/audio/T5539R13.mp3</t>
  </si>
  <si>
    <t>Funeral song; ritual song; ceremonial song // GLOBAL JUKEBOX Coding ID: 9642 //</t>
  </si>
  <si>
    <t>To Place the Affines; ritual song sung during the last night of the funeral ceremony, during which the dead are guided to the place where they will henceforth dwell // GLOBAL JUKEBOX DESCRIPTION FIELD //</t>
  </si>
  <si>
    <t>Lomax Source: 3A92.B8</t>
  </si>
  <si>
    <t>6/20/2018 17:11:07</t>
  </si>
  <si>
    <t>Manggarai</t>
  </si>
  <si>
    <t>mang1405</t>
  </si>
  <si>
    <t>sika1262</t>
  </si>
  <si>
    <t>mqy</t>
  </si>
  <si>
    <t>Wera sarajawa</t>
  </si>
  <si>
    <t>http://media.theglobaljukebox.org/audio/T5617R12.mp3</t>
  </si>
  <si>
    <t>funeral song; for the dead; elders' song // GLOBAL JUKEBOX Coding ID: 30263 //</t>
  </si>
  <si>
    <t>Wera sarajawa performed to honor an important person after death // DESCRIPTION FIELD IN GLOBAL JUKEBOX //</t>
  </si>
  <si>
    <t>6/20/2018 17:19:18</t>
  </si>
  <si>
    <t>Korong</t>
  </si>
  <si>
    <t>http://theglobaljukebox.org/audio/T30264.mp3</t>
  </si>
  <si>
    <t>Courtship song; dance song // GLOBAL JUKEBOX CODING ID 30264 //</t>
  </si>
  <si>
    <t>Bamboo criss-crossing hopping dance; a courting game where dancers must maneuver through moving sticks // GLOBAL JUKEBOX DESCRIPTION FIELD //</t>
  </si>
  <si>
    <t>6/20/2018 17:29:19</t>
  </si>
  <si>
    <t>Nage</t>
  </si>
  <si>
    <t>lioo1240</t>
  </si>
  <si>
    <t>ljl</t>
  </si>
  <si>
    <t>Dhikiro</t>
  </si>
  <si>
    <t>http://theglobaljukebox.org/audio/T5617R03.mp3</t>
  </si>
  <si>
    <t>Men's song; harvest song; agricultural song; door to door singing; thanksgiving song; clan song; festival song // GLOBAL JUKEBOX Coding ID: 30254 //</t>
  </si>
  <si>
    <t>From the Gua Meze, annual harvest celebration; sung only by men of the Dhere clan; prayer of thanks for the harvest; sung from clan house to clan house as the men tour the village on the third day of the festival // GLOBAL JUKEBOX DESCRIPTION FIELD //</t>
  </si>
  <si>
    <t>6/20/2018 17:33:04</t>
  </si>
  <si>
    <t>Gogo Rego</t>
  </si>
  <si>
    <t>http://theglobaljukebox.org/audio/T5617R06.mp3</t>
  </si>
  <si>
    <t>harvest song</t>
  </si>
  <si>
    <t>Festival song; circle dance; rain song; harvest song; agricultural song; dance song // GLOBAL JUKEBOX Coding ID: 30257 //</t>
  </si>
  <si>
    <t>Ritual circle dance from the last two nights of the thirteen-day-long Gua Ru festival, held in January, asking for rain and protection against the plagues; Gogo is the god of rain, rego means shake - song asks the god to shake rain onto the earth // GLOBAL JUKEBOX DESCRIPTION FIELD //</t>
  </si>
  <si>
    <t>6/20/2018 17:40:06</t>
  </si>
  <si>
    <t>Munda (also known as Sora)</t>
  </si>
  <si>
    <t>Housework Song</t>
  </si>
  <si>
    <t>https://theglobaljukebox.org/?share=Hill%20Saora-T5547R36</t>
  </si>
  <si>
    <t>Housework Song //CODING ID 9889 IN GLOBAL JUKEBOX, RELEVANT TEXT IS IN THE TITLE//</t>
  </si>
  <si>
    <t>6/20/2018 21:44:15</t>
  </si>
  <si>
    <t>Topoke</t>
  </si>
  <si>
    <t>poke1238</t>
  </si>
  <si>
    <t>pof</t>
  </si>
  <si>
    <t>https://theglobaljukebox.org/?share=Topoke-T5458R29</t>
  </si>
  <si>
    <t>Mourning//CODING ID 427 IN GLOBAL JUKEBOX, RELEVANT TEXT IS IN THE TITLE FIELD//</t>
  </si>
  <si>
    <t>Mourning song; male calls under female wailing//CODING ID 427 IN GLOBAL JUKEBOX, RELEVANT TEXT IS IN THE DESCRIPTION FIELD//</t>
  </si>
  <si>
    <t>6/21/2018 11:03:35</t>
  </si>
  <si>
    <t>NCM</t>
  </si>
  <si>
    <t>Ekonda; alt. names: Baseka, Mongo-Ekonde; eHRAF says to use Mongo</t>
  </si>
  <si>
    <t>ekon1238</t>
  </si>
  <si>
    <t>mong1338</t>
  </si>
  <si>
    <t>Boloi</t>
  </si>
  <si>
    <t>https://theglobaljukebox.org/?share=Ekonda-T5458R42</t>
  </si>
  <si>
    <t>Dance song//CODING ID 2137 IN GLOBAL JUKEBOX, RELEVANT TEXT IS IN THE GENRE FIELD//</t>
  </si>
  <si>
    <t>General dance song//CODING ID 2137 IN GLOBAL JUKEBOX, RELEVANT TEXT IS IN THE DESCRIPTION FIELD//</t>
  </si>
  <si>
    <t>6/21/2018 11:22:11</t>
  </si>
  <si>
    <t>Mamvu; alt. names: Momfu</t>
  </si>
  <si>
    <t>mamv1243</t>
  </si>
  <si>
    <t>mdi</t>
  </si>
  <si>
    <t>Oowa</t>
  </si>
  <si>
    <t>https://theglobaljukebox.org/?share=Mamvu-T5434R12</t>
  </si>
  <si>
    <t>Mourning song//CODING ID 2795 IN GLOBAL JUKEBOX, RELEVANT TEXT IS IN THE GENRE FIELD//</t>
  </si>
  <si>
    <t>Mourning song; he weeps for the death of his wife//CODING ID 2795 IN GLOBAL JUKEBOX, RELEVANT TEXT IS IN THE DESCRIPTION FIELD//</t>
  </si>
  <si>
    <t>Global Jukebox says the track was published by ILAM and Smithsonian Folkways, but I was unable to find a track with the name Oowa in either database</t>
  </si>
  <si>
    <t>6/21/2018 11:35:11</t>
  </si>
  <si>
    <t>tuk</t>
  </si>
  <si>
    <t>https://theglobaljukebox.org/?share=Turkmen-T5482R45</t>
  </si>
  <si>
    <t>No track numbe rLomax Source: .B1 Might be LP</t>
  </si>
  <si>
    <t>Epic song //CODING ID 2875 IN GLOBAL JUKEBOX, RELEVANT TEXT IS IN THE GENRE FIELD//</t>
  </si>
  <si>
    <t>6/21/2018 15:55:16</t>
  </si>
  <si>
    <t>no culture name is specified however the album name is Music of Central Asia Vol. 4: Bardic Divas: Women’s Voices in Central Asia, Listed country is description is: Kazakhstan artist name: Kenjegül Kubatova</t>
  </si>
  <si>
    <t>kaz</t>
  </si>
  <si>
    <t>“Chabandyn Yry (Shepherd's song)”</t>
  </si>
  <si>
    <t>https://folkways.si.edu/kenjegul-kubatova/chabandyn-yry-shepherds-song/central-asia-islamica-world/music/track/smithsonian</t>
  </si>
  <si>
    <t>Disk 1 Track Number14</t>
  </si>
  <si>
    <t>Shepherd's Song //CATALOG NUMBER SFW40523 SMITHSONIAN FOLKWAY, RELEVANT TEXT IS IN TITLE//</t>
  </si>
  <si>
    <t>When looking in the search bar set filters to Central Asia then content type: track and country: Kazakhstan</t>
  </si>
  <si>
    <t>6/21/2018 16:30:40</t>
  </si>
  <si>
    <t>Sumbanese</t>
  </si>
  <si>
    <t>kamb1299</t>
  </si>
  <si>
    <t>sumb1243</t>
  </si>
  <si>
    <t>kamb1320</t>
  </si>
  <si>
    <t>xbr</t>
  </si>
  <si>
    <t>Threshing Song 1</t>
  </si>
  <si>
    <t>Threshing song; work song; agricultural song // GLOBAL JUKEBOX CODING ID 9715 //</t>
  </si>
  <si>
    <t>Global Jukebox says there is no audio yet; Lomax Source: T7230.A15, Publication/Collection: Webb Keane Collection.</t>
  </si>
  <si>
    <t>6/21/2018 17:16:41</t>
  </si>
  <si>
    <t>Pa rowa lalungu 1</t>
  </si>
  <si>
    <t>Rice song; planting song; agricultural song; work song // GLOBAL JUKEBOX CODING ID 9711 //</t>
  </si>
  <si>
    <t>Global Jukebox says no audio yet; Lomax Source: T7230.A11, Publication/Collection: Webb Keane Collection.</t>
  </si>
  <si>
    <t>6/21/2018 17:24:16</t>
  </si>
  <si>
    <t>Payoyielangu</t>
  </si>
  <si>
    <t>Processional music; wedding song // GLOBAL JUKEBOX Coding ID: 9724 //</t>
  </si>
  <si>
    <t>Songs, gongs, cheers of procession of wife-givers bearing gifts // DESCRIPTION FIELD IN GLOBAL JUKEBOX //</t>
  </si>
  <si>
    <t>No audio yet in Global Jukebox. Lomax Source: T7230.B14, Publication/Collection: Webb Keane Collection.</t>
  </si>
  <si>
    <t>6/21/2018 17:34:17</t>
  </si>
  <si>
    <t>Dani</t>
  </si>
  <si>
    <t>midg1235</t>
  </si>
  <si>
    <t>dani1287</t>
  </si>
  <si>
    <t>dnt</t>
  </si>
  <si>
    <t>Song of an Expedition</t>
  </si>
  <si>
    <t>http://theglobaljukebox.org/audio/T5425R37.mp3</t>
  </si>
  <si>
    <t>Topical song // GLOBAL JUKEBOX Coding ID: 979 //</t>
  </si>
  <si>
    <t>Walimo, aged 19, sings about the people in an expedition // GLOBAL JUKEBOX DESCRIPTION FIELD //</t>
  </si>
  <si>
    <t>Lomax Source: T1251.1</t>
  </si>
  <si>
    <t>6/21/2018 17:41:37</t>
  </si>
  <si>
    <t>Eipo</t>
  </si>
  <si>
    <t>eipo1242</t>
  </si>
  <si>
    <t>eip</t>
  </si>
  <si>
    <t>Curing Ceremony Song</t>
  </si>
  <si>
    <t>Healing song // GLOBAL JUKEBOX Coding ID: 9795 //</t>
  </si>
  <si>
    <t>No hyperlink available; Audio File ID: T5593R07, Lomax Source: CD79.Vol.1:CD3.13.</t>
  </si>
  <si>
    <t>6/21/2018 17:50:27</t>
  </si>
  <si>
    <t>Layeleyana Lament</t>
  </si>
  <si>
    <t>Lament // GLOBAL JUKEBOX CODING ID 9796 //</t>
  </si>
  <si>
    <t>Lament of a mother over her absent child // GLOBAL JUKEBOX DESCRIPTION FIELD //</t>
  </si>
  <si>
    <t>Hyperlink not available. Audio File ID: T5593R08. Lomax Source: CD79.Vol.1:CD3.14.</t>
  </si>
  <si>
    <t>6/21/2018 17:57:46</t>
  </si>
  <si>
    <t>Layelayana Lament</t>
  </si>
  <si>
    <t>Lament; pig song // GLOBAL JUKEBOX CODING ID 9797 //</t>
  </si>
  <si>
    <t>Lament over the pig, Memmek // GLOBAL JUKEBOX DESCRIPTION FIELD //</t>
  </si>
  <si>
    <t>Hyperlink unavailable; Lomax Source: CD79.Vol.1:CD3.16, Audio File ID: T5593R09.</t>
  </si>
  <si>
    <t>Previous entry had the same title, but they are different tracks.</t>
  </si>
  <si>
    <t>6/21/2018 18:01:09</t>
  </si>
  <si>
    <t>Munggona dit</t>
  </si>
  <si>
    <t>Children's song // GLOBAL JUKEBOX CODING ID 9798 //</t>
  </si>
  <si>
    <t>No hyperlink; Lomax Source: CD79.Vol.2:CD4.06, Audio File ID: T5593R10.</t>
  </si>
  <si>
    <t>More info needed to be sure about the categorization.</t>
  </si>
  <si>
    <t>6/21/2018 18:03:46</t>
  </si>
  <si>
    <t>Irian Jaya-General</t>
  </si>
  <si>
    <t>papu1250</t>
  </si>
  <si>
    <t>pmy</t>
  </si>
  <si>
    <t>Rondan</t>
  </si>
  <si>
    <t>Political song; topical song; war song // GLOBAL JUKEBOX Coding ID: 67 //</t>
  </si>
  <si>
    <t>Song about experience of prisoners during war; during their captivity they raised their voices whereby they asked hopefully when liberty and deliverance would come // GLOBAL JUKEBOX DESCRIPTION FIELD //</t>
  </si>
  <si>
    <t>Hyperlink unavailable. Lomax Source: T76.A1. Audio File ID: T5426R36.</t>
  </si>
  <si>
    <t>6/21/2018 18:08:10</t>
  </si>
  <si>
    <t>Nalik(not listed in HRAF)</t>
  </si>
  <si>
    <t>nali1244</t>
  </si>
  <si>
    <t>nal</t>
  </si>
  <si>
    <t>Bilolo Dance</t>
  </si>
  <si>
    <t>http://media.theglobaljukebox.org/audio/T30206.mp3</t>
  </si>
  <si>
    <t>Ceremonial song; dance song // CODING ID 30206 IN GLOBAL JUKEBOX, RELEVANT TEXT IS IN THE DESCRIPTION FIELD//</t>
  </si>
  <si>
    <t>First link is the audio file, second is metadata https://theglobaljukebox.org/?share=Nalik-T30206</t>
  </si>
  <si>
    <t>6/21/2018 18:14:04</t>
  </si>
  <si>
    <t>PWC</t>
  </si>
  <si>
    <t>Kasob</t>
  </si>
  <si>
    <t>Warrior's song; war song; mourning song // GLOBAL JUKEBOX CODING ID 69 //</t>
  </si>
  <si>
    <t>Mafuni is the name we give to him who has done good deeds during his lifetime; Saruni is the name of the ancicent board that, according to adat has been used always to store and keep the skeleton of men of great value // DESCRIPTION FIELD IN GLOBAL JUKEBOX //</t>
  </si>
  <si>
    <t>We must love the bones of every warrior who is killed in battle // DESCRIPTION FIELD IN GLOBAL JUKEBOX //</t>
  </si>
  <si>
    <t>Hyperlink unavailable. Lomax Source: T76.A3, Audio File ID: T5426R38.</t>
  </si>
  <si>
    <t>6/21/2018 18:16:55</t>
  </si>
  <si>
    <t>Coastal Asmat</t>
  </si>
  <si>
    <t>asma1257</t>
  </si>
  <si>
    <t>casu1237</t>
  </si>
  <si>
    <t>Wailing for Sick Man</t>
  </si>
  <si>
    <t>Healing song; holler // GLOBAL JUKEBOX Coding ID: 9970 //</t>
  </si>
  <si>
    <t>Wailing and hollering for a sick man // GLOBAL JUKEBOX DESCRIPTION FIELD //</t>
  </si>
  <si>
    <t>Hyperlink unavailable; Audio File ID: T5571R27, Lomax Source: T3179.4.</t>
  </si>
  <si>
    <t>6/21/2018 18:20:58</t>
  </si>
  <si>
    <t>Nalik (not listed in HRAF)</t>
  </si>
  <si>
    <t>Limbung Dance</t>
  </si>
  <si>
    <t>http://media.theglobaljukebox.org/audio/T30207.mp3</t>
  </si>
  <si>
    <t>Ceremonial song; dance song // CODING ID 30207 IN GLOBAL JUKEBOX, RELEVANT TEXT IS IN THE DESCRIPTION FIELD//</t>
  </si>
  <si>
    <t>First link is the audio file, second is metadata https://theglobaljukebox.org/?share=Nalik-T30207</t>
  </si>
  <si>
    <t>6/21/2018 18:28:42</t>
  </si>
  <si>
    <t>Song with Xylophone</t>
  </si>
  <si>
    <t>Praise song // GLOBAL JUKEBOX 2559 //</t>
  </si>
  <si>
    <t>Pattala song; sung in praise of nature // GLOBAL JUKEBOX DESCRIPTION FIELD //</t>
  </si>
  <si>
    <t>No hyperlink. Audio File ID: T5421R12, Lomax Source: 2A14.A7; WFS8.8; WFS8ALT.4.</t>
  </si>
  <si>
    <t>6/21/2018 18:34:01</t>
  </si>
  <si>
    <t>Dance song; trance song; animal song; praise song; ritual song // GLOBAL JUKEBOX Coding ID: 9614 //</t>
  </si>
  <si>
    <t>Dance song; triple meter throughout unless the dancers go into a trance, in which case the drummers speed up and switch to duple meter; song imitates and praises the bilou (Kloss's gibbon) indigenous to Siberut; usually performed as part of lajo rituals // GLOBAL JUKEBOX DESCRIPTION FIELD //</t>
  </si>
  <si>
    <t>Hyperlink unavailable. Lomax Source: T5504.24, Audio File ID: T5504R24.</t>
  </si>
  <si>
    <t>6/21/2018 18:38:03</t>
  </si>
  <si>
    <t>Children's game song; a doll, house, and garden spirit // GLOBAL JUKEBOX DESCRIPTION FIELD //</t>
  </si>
  <si>
    <t>No hyperlink. Lomax Source: T1356.2D10,2 and Audio File ID: T5424R69.</t>
  </si>
  <si>
    <t>6/21/2018 18:44:22</t>
  </si>
  <si>
    <t>Ba Anansi (Brother Anansi)</t>
  </si>
  <si>
    <t>https://folkways.si.edu/ba-anansi-brother-anansi/caribbean-world/music/track/smithsonian</t>
  </si>
  <si>
    <t>Anansi is the spider trickster of the Ashanti people of Ghana, once called the Gold Coast. Much Ashanti lore has survived in the West Indies and nearby coastal communities. Many of the tales told to children retain Anansi as the chief hero or villain, and occasionally songs are sung about him. This song about Anansi probably comes from one of the tales in which he is featured. //SMITHSONIAN FOLKWAYS CATALOGUE NUMBER: FW04533_403 / FE 4533; LINER NOTES (DOWNLOADED PDF, PP. 8-9)//</t>
  </si>
  <si>
    <t>Global Jukebox calls the song "Ba Anasi", while Smithsonian Folkways calls it "Ba Anansi" (very slight difference).</t>
  </si>
  <si>
    <t>6/23/2018 11:03:41</t>
  </si>
  <si>
    <t>KAH</t>
  </si>
  <si>
    <t>Bororo</t>
  </si>
  <si>
    <t>boro1282</t>
  </si>
  <si>
    <t>bor</t>
  </si>
  <si>
    <t>Marenaruie</t>
  </si>
  <si>
    <t>https://folkways.si.edu/bororo-society/marenaruie/music/track/smithsonian</t>
  </si>
  <si>
    <t>Disc 1 Track 7</t>
  </si>
  <si>
    <t>Chant of Mourning: The fragment heard here, associated to the lamentations and the ritual scarifications, is sung by a single man ; the sobbing shows the intense emotion created during the funeral ceremonies. //SMITHSONIAN FOLKWAYS CATALOGUE NUMBER: UNES08201_107, RELEVANT INFO IN LINER NOTES PG. 5 //</t>
  </si>
  <si>
    <t>6/23/2018 11:03:43</t>
  </si>
  <si>
    <t>Lucania</t>
  </si>
  <si>
    <t>sout3126</t>
  </si>
  <si>
    <t>Mariteme è pastore</t>
  </si>
  <si>
    <t>https://theglobaljukebox.org/?share=Lucania-T5470R38</t>
  </si>
  <si>
    <t>Genre: Song of derision; shepherd's song //GLOBAL JUKEBOX CODING ID: 632//</t>
  </si>
  <si>
    <t>Description: My Husband Is a Shepherd; a satire on the shepherd so deformed by solitude that he has forgotten how to make love //GLOBAL JUKEBOX CODING ID: 632//</t>
  </si>
  <si>
    <t>6/23/2018 13:47:29</t>
  </si>
  <si>
    <t>Salento &amp; Bari</t>
  </si>
  <si>
    <t>sici1248</t>
  </si>
  <si>
    <t>Street Cries</t>
  </si>
  <si>
    <t>https://theglobaljukebox.org/?share=Salento%20%26%20Bari-T40038R02</t>
  </si>
  <si>
    <t>Genre: Work song //GLOBAL JUKEBOX CODING ID: 624//</t>
  </si>
  <si>
    <t>Description: Cries of ambulatory street seller //GLOBAL JUKEBOX CODING ID: 624//</t>
  </si>
  <si>
    <t>6/23/2018 14:03:21</t>
  </si>
  <si>
    <t>Naples &amp; Coast</t>
  </si>
  <si>
    <t>Amorcha Cace Atrie</t>
  </si>
  <si>
    <t>https://theglobaljukebox.org/?share=Naples%20%26%20Coast-T5470R11</t>
  </si>
  <si>
    <t>Genre: Tarantella; new year song; festival song //GLOBAL JUKEBOX CODING ID: 3001//</t>
  </si>
  <si>
    <t>Description: Medley of tarantellas played at public festival on New Year's Eve 1954 //GLOBAL JUKEBOX CODING ID: 3001//</t>
  </si>
  <si>
    <t>6/23/2018 14:08:33</t>
  </si>
  <si>
    <t>Andalucia</t>
  </si>
  <si>
    <t>Sevillanas</t>
  </si>
  <si>
    <t>https://theglobaljukebox.org/?share=Andalucia-T5468R39</t>
  </si>
  <si>
    <t>Genre: Sevillanas; dance song //GLOBAL JUKEBOX CODING ID: 668//</t>
  </si>
  <si>
    <t>Description: Dance originating in Seville; popular throughout Andalucia even now //GLOBAL JUKEBOX CODING ID: 668//</t>
  </si>
  <si>
    <t>6/23/2018 14:11:52</t>
  </si>
  <si>
    <t>Adormir va la rosa de la Rosalia</t>
  </si>
  <si>
    <t>https://theglobaljukebox.org/?share=Andalucia-T45018</t>
  </si>
  <si>
    <t>Genre: Lullaby //GLOBL JUKEBOX CODING ID: 669//</t>
  </si>
  <si>
    <t>Description: A well-known Spanish lullaby //GLOBL JUKEBOX CODING ID: 669//</t>
  </si>
  <si>
    <t>6/23/2018 14:14:29</t>
  </si>
  <si>
    <t>Baggara</t>
  </si>
  <si>
    <t>Praise to Nazir and to Beni Halba Tribe</t>
  </si>
  <si>
    <t>https://theglobaljukebox.org/?share=Baggara-T5626R20m</t>
  </si>
  <si>
    <t>Praise to Nazir</t>
  </si>
  <si>
    <t>6/24/2018 15:59:37</t>
  </si>
  <si>
    <t>RJW</t>
  </si>
  <si>
    <t>El Katim</t>
  </si>
  <si>
    <t>https://theglobaljukebox.org/?share=Baggara-T5626R19m</t>
  </si>
  <si>
    <t>6/24/2018 16:08:20</t>
  </si>
  <si>
    <t>Ka'atim Praises Ta'aisha Youths</t>
  </si>
  <si>
    <t>https://theglobaljukebox.org/?share=Baggara-T5626R17m#</t>
  </si>
  <si>
    <t>Praise song</t>
  </si>
  <si>
    <t>6/24/2018 16:16:25</t>
  </si>
  <si>
    <t>Praise to Boys' Character</t>
  </si>
  <si>
    <t>https://theglobaljukebox.org/?share=Baggara-T5626R16m#</t>
  </si>
  <si>
    <t>6/24/2018 16:31:49</t>
  </si>
  <si>
    <t>https://theglobaljukebox.org/?share=Baggara-T5626R17m</t>
  </si>
  <si>
    <t>6/24/2018 16:35:54</t>
  </si>
  <si>
    <t>Praise Song for Sanussi</t>
  </si>
  <si>
    <t>https://theglobaljukebox.org/?share=Baggara-T5626R14m</t>
  </si>
  <si>
    <t>6/24/2018 16:49:08</t>
  </si>
  <si>
    <t>6/24/2018 16:54:11</t>
  </si>
  <si>
    <t>Hawazma</t>
  </si>
  <si>
    <t>6/24/2018 17:03:09</t>
  </si>
  <si>
    <t>Praise Song to Soldiers</t>
  </si>
  <si>
    <t>https://theglobaljukebox.org/?share=Hawazma-T5625R21m</t>
  </si>
  <si>
    <t>Praise song to soldiers fighting in South Sudan</t>
  </si>
  <si>
    <t>6/24/2018 17:13:20</t>
  </si>
  <si>
    <t>Praise Song for Hassin &amp; Marobrub</t>
  </si>
  <si>
    <t>https://theglobaljukebox.org/?share=Hawazma-T5625R23m</t>
  </si>
  <si>
    <t>6/24/2018 17:16:14</t>
  </si>
  <si>
    <t>Zeg Kwezelken Wilde Gij Dansen?</t>
  </si>
  <si>
    <t>A dance Song //CATALOG NUMBER FW06838 / FW 6838 IN FOLKWAYS; RELEVANT INFO IN LINER NOTES//</t>
  </si>
  <si>
    <t>6/24/2018 21:36:39</t>
  </si>
  <si>
    <t>Primary name listed as "Canela Krahô" in Global Jukebox, but a D-Place search doesn't show results for this name. The alternate names are listed as "Canela Kraho; Canela-Krajó; Krajo; Ramcocamecra; Timbira; Canella" and D-Place shows results for "Canela"</t>
  </si>
  <si>
    <t>Ramkokomekrá 1</t>
  </si>
  <si>
    <t>http://media.theglobaljukebox.org/audio/T5403R38.mp3</t>
  </si>
  <si>
    <t>"Social song, dance song" //GLOBAL JUKEBOX GENRE TAGS//</t>
  </si>
  <si>
    <t>Social dance; dance song; animal song //CODING ID 3240 GJ, FOUND IN GENRE SECTION OF SONG INFORMATION//</t>
  </si>
  <si>
    <t>The Jê speaking Krahó live in four villages in the open savannah a few hundred miles from the Tocantins R., an Amazon tributary. They have groups of songs, with 30-40 individual songs from which a dance leader may choose 20 or so; he may then repeat the series. // CODING ID 3240, FROM PEOPLE/CULTURE TAB IN GLOBAL JUKEBOX //</t>
  </si>
  <si>
    <t>6/25/2018 18:52:57</t>
  </si>
  <si>
    <t>Culture: Canela Krahô (it looks like this is the langauge that the Canela people speak) Alt. Names: Canela Kraho; Canela-Krajó; Krajo; Ramcocamecra; Timbira; Canella, D-Place search reveals Canela as the culture name //GLOBAL JUKEBOX CULTURE FIELD AND ALT. CULTURE NAME FIELD//</t>
  </si>
  <si>
    <t>Ramkokomekrá 2</t>
  </si>
  <si>
    <t>http://media.theglobaljukebox.org/audio/T5403R39.mp3</t>
  </si>
  <si>
    <t>Social song, animal song //GLOBAL JUKEBOX CODING ID 3241, INFORMATION FOUND IN GENRE TAG IN GLOBAL JUKEBOX//</t>
  </si>
  <si>
    <t>"Social dance; dance song; animal song" // GLOBAL JUKEBOX CODING ID 3241, GENRE FIELD ON INFORMATION PAGE //</t>
  </si>
  <si>
    <t>6/25/2018 19:18:14</t>
  </si>
  <si>
    <t>Canela as established by D-Place search, here is full information from Global Jukebox: "Culture: Canela Krahô Alt. Names: Canela Kraho; Canela-Krajó; Krajo; Ramcocamecra; Timbira; Canella" //GLOBAL JUKEBOX CULTURE FIELD//</t>
  </si>
  <si>
    <t>Ramkokomekrá 3</t>
  </si>
  <si>
    <t>http://media.theglobaljukebox.org/audio/T5403R40.mp3</t>
  </si>
  <si>
    <t>Social dance; animal song //GENRE FIELD IN GLOBAL JUKEBOX//</t>
  </si>
  <si>
    <t>Social dance; dance song; animal song //GLOBAL JUKEBOX CODING ID 3242, GENRE FIELD IN GLOBAL JUKEBOX INFORMATION//</t>
  </si>
  <si>
    <t>The Jê speaking Krahó live in four villages in the open savannah a few hundred miles from the Tocantins R., an Amazon tributary. They have groups of songs, with 30-40 individual songs from which a dance leader may choose 20 or so; he may then repeat the series. //GLOBAL JUKEBOX CODING ID 3242 PEOPLE/CULTURE FIELD//</t>
  </si>
  <si>
    <t>6/25/2018 19:26:24</t>
  </si>
  <si>
    <t>no culture name is specified however the album name is Music of Central Asia Vol. 4: Bardic Divas: Women’s Voices in Central Asia, Listed country in description is: Kazakhstan artist name: Ulzhan Baibussynova</t>
  </si>
  <si>
    <t>“Talim (Didactic song)”</t>
  </si>
  <si>
    <t>https://folkways.si.edu/ulzhan-baibussynova/talim-didactic-song/central-asia-islamica-world/music/track/smithsonian</t>
  </si>
  <si>
    <t>Disk 1 Track 15</t>
  </si>
  <si>
    <t>teaching</t>
  </si>
  <si>
    <t>“Talim (Didactic song)”//CATALOG NUMBER SFW40523_115 IN SMITHSONIAN FOLWAYS, RELEVANT TEXT IS IN THE TITLE FIELD//</t>
  </si>
  <si>
    <t>When looking in the search bar set filters to Central Asia then content type: track; country: Kazakhstan</t>
  </si>
  <si>
    <t>6/26/2018 20:28:39</t>
  </si>
  <si>
    <t>Kazakh not found on eHARF</t>
  </si>
  <si>
    <t>“Terme”</t>
  </si>
  <si>
    <t>https://folkways.si.edu/almas-almatov/terme/central-asia-islamica-world/music/track/smithsonian</t>
  </si>
  <si>
    <t>Disc:2 Track Number: 7</t>
  </si>
  <si>
    <t>“Terme”//CATALOG NUMBER SFW4038_207 IN SMITHSONIAN FOLWAYS, RELEVANT TEXT IS IN THE TITLE FIELD//</t>
  </si>
  <si>
    <t>Almas Almatov (b. 1951) is one of the greatest living Kazakh epic singers (zhyrau, singer of tales). Zhyraus are thought to acquire their gift in a miraculous way, as through dreams. In the past, a zhyrau was simultaneously an historian, a poet, an entertainer, a healer, and a keeper of collective memory //CATALOG NUMBER SFW4038_207 IN SMITHSONIAN FOLWAYS, RELEVANT TEXT IS IN THE DESCRIPTION FIELD//</t>
  </si>
  <si>
    <t>6/26/2018 20:36:21</t>
  </si>
  <si>
    <t>no culture name is specified however the album name is Folk Music of the S.S.R. Middle East, Listed country in description is: Kazakhstan, Azerbaijan, Tajikistan song is of Tajik language</t>
  </si>
  <si>
    <t>" Tajik Love Song"</t>
  </si>
  <si>
    <t>https://folkways.si.edu/tajik-love-song/central-asia-islamica-world/music/track/smithsonian</t>
  </si>
  <si>
    <t>Disc:1 Track: 4</t>
  </si>
  <si>
    <t>" Tajik Love Song"//CATALOG NUMBER FW06916_104 IN SMITHSONIAN FOLKWAYS, RELEVANT TEXT IS IN THE TITLE FIELD//</t>
  </si>
  <si>
    <t>6/26/2018 20:45:21</t>
  </si>
  <si>
    <t>Khakas not found on eHARF</t>
  </si>
  <si>
    <t>khak1248</t>
  </si>
  <si>
    <t>kjh</t>
  </si>
  <si>
    <t>Khai</t>
  </si>
  <si>
    <t>https://folkways.si.edu/evgeni-ulugbashev/khai/central-asia-islamica-world/music/track/smithsonian</t>
  </si>
  <si>
    <t>DISC: 2 TRACK:2</t>
  </si>
  <si>
    <t>“Khai”//CATALOG NUMBER SFW40438_202 IN SMITHSONIAN FOLKWAYS, RELEVANT TEXT IS IN THE TITLE FIELD//</t>
  </si>
  <si>
    <t>Like other Altai Turks, the Khakas have a rich musical tradition, which includes throat-singing, epic songs, and instrumental music. Khakas throat singing, called khai, is typically used to perform epic songs, as in this example, excerpted from a longer performance. (During, Levin 2001)//CATALOG NUMBER SFW40438_202 IN SMITHSONIAN FOLKWAYS, RELEVANT TEXT IS IN THE DESCRIPTION FIELD//</t>
  </si>
  <si>
    <t>6/26/2018 20:53:34</t>
  </si>
  <si>
    <t>Kara-kalpak found on eHARF</t>
  </si>
  <si>
    <t>kara1467</t>
  </si>
  <si>
    <t>kaa</t>
  </si>
  <si>
    <t>Hayyu (Lullaby)</t>
  </si>
  <si>
    <t>https://folkways.si.edu/qalbeke-uzaqbergenova/hayyu-lullaby/music/track/smithsonian</t>
  </si>
  <si>
    <t>Disc: 1; Track:3</t>
  </si>
  <si>
    <t>Hayyu (Lullaby) //CATALOG NUMBER UNES08308_103 IN SMITHSONIAN FOLKWAYS, RELEVANT TEXT IS IN THE TITLE FIELD//</t>
  </si>
  <si>
    <t>When looking in the search bar set filters to Central Asia then content type: track and country: uzbekistan</t>
  </si>
  <si>
    <t>6/26/2018 21:05:55</t>
  </si>
  <si>
    <t>Khorezmian not found on eHARF</t>
  </si>
  <si>
    <t>uzb</t>
  </si>
  <si>
    <t>“Muqaddima-i segah”</t>
  </si>
  <si>
    <t>https://folkways.si.edu/azad-ibragimov-ulugbek-kurbanbaev-maxsud-yeshchanov/muqaddima-i-segah/music/track/smithsonian</t>
  </si>
  <si>
    <t>DISC: 1; TRACK: 7</t>
  </si>
  <si>
    <t>Uzbekistan: Music of Khorezm //CATALOG NUMBER UNES08269_107 IN SMITHSONIAN FOLKWAYS, RELEVANT TEXT IS IN THE ALBUM FIELD//</t>
  </si>
  <si>
    <t>epic tales, the rigorous and virtuosic performances of maqamsuites //CATALOG NUMBER UNES08269_107 IN SMITHSONIAN FOLKWAYS, RELEVANT TEXT IS IN THE ALBUM DESCRIPTION FIELD//</t>
  </si>
  <si>
    <t>6/26/2018 21:17:38</t>
  </si>
  <si>
    <t>Tajik in eHARF appears as Pamier Peoples under Tajikistan</t>
  </si>
  <si>
    <t>taji1248</t>
  </si>
  <si>
    <t>“A series of lullabies: dardilik, lala'ik, dodo'ik and robâ'i”</t>
  </si>
  <si>
    <t>https://folkways.si.edu/m-tavalaev/a-series-of-lullabies-dardilik-lalaik-dodoik-and-robai/music/track/smithsonian</t>
  </si>
  <si>
    <t>Disc:1; Track: 3</t>
  </si>
  <si>
    <t>“A series of lullabies: dardilik, lala'ik, dodo'ik and robâ'i”//CATALOG NUMBER UNES08212_103 IN SMITHSONIAN FOLKWAYS, RELEVANT TEXT IS IN THE TITLE FIELD//</t>
  </si>
  <si>
    <t>When looking in the search bar set filters to Central Asia then content type: track and country: Tajikistan</t>
  </si>
  <si>
    <t>6/26/2018 21:43:25</t>
  </si>
  <si>
    <t>Turkmen found on eHARF as Turkmens</t>
  </si>
  <si>
    <t>“Kheiran eiledi (She overwhelmed me with the fire of love)”</t>
  </si>
  <si>
    <t>https://folkways.si.edu/tadzhilbai-gurbanov-edibai-chashemov/kheiran-eiledi-she-overwhelmed-me-with-the-fire-of-love/music/track/smithsonian</t>
  </si>
  <si>
    <t>Disc: 1; Track: 1</t>
  </si>
  <si>
    <t>“Kheiran eiledi (She overwhelmed me with the fire of love)”//CATALOG NUMBER UNES08213_101 IN SMITHSONIAN FOLKWAYS, RELEVANT TEXT IS IN THE TITLE FIELD//</t>
  </si>
  <si>
    <t>The history of Turkmen music is closely linked with the narration of heroic epics. The ritual recitation of these epics is known as dastan and was the main means of transmission of Turkmen cultural heritage for several centuries, conveying behavioral patterns, elements of daily life, and shamanic and religious customs and beliefs. //CATALOG NUMBER UNES08213_101 IN SMITHSONIAN FOLKWAYS, RELEVANT TEXT IS IN THE ALBUM DESCRIPTION FIELD//</t>
  </si>
  <si>
    <t>When looking in the search bar set filters to Central Asia then content type: track and country: Turkmenistan</t>
  </si>
  <si>
    <t>6/26/2018 22:03:22</t>
  </si>
  <si>
    <t>“Ovazy geldi (The voice is heard)”</t>
  </si>
  <si>
    <t>https://folkways.si.edu/akmammet-rakhamanov-yazmyrat-kallyev/ovazy-geldi-the-voice-is-heard/music/track/smithsonian</t>
  </si>
  <si>
    <t>DISC:1; TRACK: 2</t>
  </si>
  <si>
    <t>“Ovazy geldi (The voice is heard)”//CATALOG NUMBER UNES08213_102 IN SMITHSONIAN FOLKWAYS, RELEVANT TEXT IS IN THE TITLE FIELD//</t>
  </si>
  <si>
    <t>The history of Turkmen music is closely linked with the narration of heroic epics. The ritual recitation of these epics is known as dastan and was the main means of transmission of Turkmen cultural heritage for several centuries, conveying behavioral patterns, elements of daily life, and shamanic and religious customs and beliefs.//CATALOG NUMBER UNES08213_102 IN SMITHSONIAN FOLKWAYS, RELEVANT TEXT IS IN THE ALBUM DESCRIPTION FIELD//</t>
  </si>
  <si>
    <t>6/26/2018 22:11:26</t>
  </si>
  <si>
    <t>Airylymadymy? (Haven't they split up?)</t>
  </si>
  <si>
    <t>https://folkways.si.edu/akmammet-redzhebov-ashyr-berdiev-khangeldi-bairamov/airylymadymy-havent-they-split-up/music/track/smithsonian</t>
  </si>
  <si>
    <t>DISC:1; TRACK 3</t>
  </si>
  <si>
    <t>“Airylymadymy? (Haven't they split up?)”//CATALOG NUMBER UNES08213_103 IN SMITHSONIAN FOLKWAYS, RELEVANT TEXT IS IN THE TITLE FIELD//</t>
  </si>
  <si>
    <t>4. The history of Turkmen music is closely linked with the narration of heroic epics. The ritual recitation of these epics is known as dastan and was the main means of transmission of Turkmen cultural heritage for several centuries, conveying behavioral patterns, elements of daily life, and shamanic and religious customs and beliefs.//CATALOG NUMBER UNES08213_103 IN SMITHSONIAN FOLKWAYS, RELEVANT TEXT IS IN THE ALBUM DESCRIPTION FIELD//</t>
  </si>
  <si>
    <t>In the search bar set parameters to Geography: Central Asia --&gt; Turkmenistan; Content Type: Track</t>
  </si>
  <si>
    <t>6/26/2018 22:18:43</t>
  </si>
  <si>
    <t>3. Turkmen found on eHARF as Turkmens</t>
  </si>
  <si>
    <t>“Ovezdzhan”</t>
  </si>
  <si>
    <t>https://folkways.si.edu/dovranov-khudaiberdi-ovezmyrat-odaev/ovezdzhan/music/track/smithsonian</t>
  </si>
  <si>
    <t>Disc: 1; Track: 4</t>
  </si>
  <si>
    <t>“Ovezdzhan" //CATALOG NUMBER UNES08213_104 IN SMITHSONIAN FOLKWAYS, RELEVANT TEXT IS IN THE TITLE FIELD//</t>
  </si>
  <si>
    <t>2. The history of Turkmen music is closely linked with the narration of heroic epics. The ritual recitation of these epics is known as dastan and was the main means of transmission of Turkmen cultural heritage for several centuries, conveying behavioral patterns, elements of daily life, and shamanic and religious customs and beliefs.//CATALOG NUMBER UNES08213_104 IN SMITHSONIAN FOLKWAYS, RELEVANT TEXT IS IN THE ALBUM DESCRIPTION FIELD//</t>
  </si>
  <si>
    <t>In Smithsonian folkways recordings home page: In the search bar set parameters to Geography: Central Asia --&gt; Turkmenistan; Content Type: Track</t>
  </si>
  <si>
    <t>6/26/2018 22:22:49</t>
  </si>
  <si>
    <t>Kiowa-Apache, Plains Apache</t>
  </si>
  <si>
    <t>kiow1264</t>
  </si>
  <si>
    <t>apk</t>
  </si>
  <si>
    <t>Go to Sleep, Baby Boy</t>
  </si>
  <si>
    <t>https://folkways.si.edu/irene-chalepah-poolaw/go-to-sleep-baby-boy/american-indian/music/track/smithsonian</t>
  </si>
  <si>
    <t>Lullaby//LINER NOTES LP INSERT PAGE 2, LINK ON FOLKWAYS UNDER ALBUM INFO//</t>
  </si>
  <si>
    <t>Lullabies can also be found in Kiowa-Apache culture.They are sung to put children to sleep. In this recording of a Kiowa-Apache lullaby, Mrs. Irene Poolaw (nee Chalepah), sings the lullaby that she sang to all of her children //LINER NOTES LP INSERT PAGE 2, LINK ON FOLKWAYS UNDER ALBUM INFO//</t>
  </si>
  <si>
    <t>The words mean "Sleep, little baby boy, sleep". //LINER NOTES LP INSERT PAGE 2, LINK ON FOLKWAYS UNDER ALBUM INFO//</t>
  </si>
  <si>
    <t>6/27/2018 1:27:34</t>
  </si>
  <si>
    <t>SAS</t>
  </si>
  <si>
    <t>yuka1529</t>
  </si>
  <si>
    <t>Londol 2</t>
  </si>
  <si>
    <t>https://theglobaljukebox.org/?share=Yukaghir-T5410R49</t>
  </si>
  <si>
    <t>Dance song //GLOBAL JUKEBOX CODING ID 3649//</t>
  </si>
  <si>
    <t>6/27/2018 11:37:57</t>
  </si>
  <si>
    <t>LDR</t>
  </si>
  <si>
    <t>Ka'igwu (Kiowa Language) Alternate names listed: Kiowa; kgwu; Cáuigù; Gaigwu; Kaigwu</t>
  </si>
  <si>
    <t>kiow1266</t>
  </si>
  <si>
    <t>kio</t>
  </si>
  <si>
    <t>War Dance 2</t>
  </si>
  <si>
    <t>https://theglobaljukebox.org/?share=Ka'igwu-T1452.4</t>
  </si>
  <si>
    <t>Dance//WAR DANCE SONG, RELEVANT TEXT IN GENRE FIELD//</t>
  </si>
  <si>
    <t>Pronounced rhythm; singers sit in the center of an arena and beat a large rawhide drum and mention of A group of performers///CODING ID 1879 IN GLOBAL JUKEBOX, RELEVANT TEXT IS IN THE DESCRIPTION FIELD AND PERFORMERS FIELD//</t>
  </si>
  <si>
    <t>Search "Kiowa" on Global Jukebox Map to Find War Dance 2</t>
  </si>
  <si>
    <t>Recording is subject to tribal permission and does not play. Search Kiowa and find "War Dance 2"</t>
  </si>
  <si>
    <t>6/27/2018 13:45:24</t>
  </si>
  <si>
    <t>Madjingaye</t>
  </si>
  <si>
    <t>sarr1246</t>
  </si>
  <si>
    <t>mwm</t>
  </si>
  <si>
    <t>The Woodcutters' Song</t>
  </si>
  <si>
    <t>https://theglobaljukebox.org/?share=Madjingaye-T30012</t>
  </si>
  <si>
    <t>Work song; hocket; cries//CODING ID 30012 IN GLOBAL JUKEBOX, RELEVANT TEXT IS IN THE GENRE FIELD//</t>
  </si>
  <si>
    <t>Work song; hocketing; men add interjecting off-beat cries//CODING ID 30012 IN GLOBAL JUKEBOX, RELEVANT TEXT IS IN THE DESCRIPTION FIELD//</t>
  </si>
  <si>
    <t>6/27/2018 13:49:32</t>
  </si>
  <si>
    <t>Teton Dakota, Sioux, Lakota Sioux, Santee</t>
  </si>
  <si>
    <t>dako1258</t>
  </si>
  <si>
    <t>dak</t>
  </si>
  <si>
    <t>Honoring Song</t>
  </si>
  <si>
    <t>https://folkways.si.edu/not-listed/honoring-song/american-indian/music/track/smithsonian</t>
  </si>
  <si>
    <t>Disc 1/ Track 7</t>
  </si>
  <si>
    <t>Praise//DESCRIPTION FIELD IN GLOBAL JUKE BOX AND TITLE FIELD, CODING ID 1518//</t>
  </si>
  <si>
    <t>Song recognizing an act of generosity or bravery on the reservation //FOUND IN GLOBAL JUKE BOX DESCRIPTION FEILD, CODING ID 1518//</t>
  </si>
  <si>
    <t>6/27/2018 21:31:34</t>
  </si>
  <si>
    <t>Zinacantan or Tzotzil (not in HRAF)</t>
  </si>
  <si>
    <t>tzot1259</t>
  </si>
  <si>
    <t>tzo</t>
  </si>
  <si>
    <t>Christmas Eve Procession</t>
  </si>
  <si>
    <t>http://media.theglobaljukebox.org/audio/T5404R95.mp3</t>
  </si>
  <si>
    <t>Christmas</t>
  </si>
  <si>
    <t>Christmas Eve Procession //CODING ID 4329 IN GLOBAL JUKEBOX, RELEVANT TEXT IS IN THE SONG TITLE FIELD//</t>
  </si>
  <si>
    <t>Celebratory group processional with polyrhythmic percussion, fiddle and whistle ////CODING ID 4329 IN GLOBAL JUKEBOX, RELEVANT TEXT IS IN THE DESCRIPTION FIELD//</t>
  </si>
  <si>
    <t>6/28/2018 1:50:14</t>
  </si>
  <si>
    <t>SAT</t>
  </si>
  <si>
    <t>Yucatan Maya (not on HRAF)</t>
  </si>
  <si>
    <t>yuca1254</t>
  </si>
  <si>
    <t>maya1287</t>
  </si>
  <si>
    <t>yua</t>
  </si>
  <si>
    <t>http://media.theglobaljukebox.org/audio/T5486R02.mp3</t>
  </si>
  <si>
    <t>Love Song //CODING ID 3188 IN GLOBAL JUKEBOX, RELEVANT TEXT IS IN THE SONG TITLE FIELD//</t>
  </si>
  <si>
    <t>Love song followed by brief dialogue //CODING ID 3188 IN GLOBAL JUKEBOX, RELEVANT TEXT IS IN THE DESCRIPTION FIELD//</t>
  </si>
  <si>
    <t>6/28/2018 2:02:34</t>
  </si>
  <si>
    <t>Yucatan Maya (not in HRAF)</t>
  </si>
  <si>
    <t>Konex, Konex, Palexen</t>
  </si>
  <si>
    <t>http://media.theglobaljukebox.org/audio/T5486R04.mp3</t>
  </si>
  <si>
    <t>Dance song //CODING ID 3190 IN GLOBAL JUKEBOX, RELEVANT TEXT IS IN THE GENRE FIELD//</t>
  </si>
  <si>
    <t>Dance song; performed at carnivals //CODING ID 3190 IN GLOBAL JUKEBOX, RELEVANT TEXT IS IN THE DESCRIPTION FIELD//</t>
  </si>
  <si>
    <t>6/28/2018 2:09:40</t>
  </si>
  <si>
    <t>Hebrides; Innse Gall</t>
  </si>
  <si>
    <t>Tha mulad, tha mulad</t>
  </si>
  <si>
    <t>https://theglobaljukebox.org/?share=Hebrides-T5590R08</t>
  </si>
  <si>
    <t>work song; waulking song // CODING ID 547 IN GLOBAL JUKEBOX, RELEVANT TEXT IS IN THE GENRE FIELD//</t>
  </si>
  <si>
    <t>"There is a Sorrow; Hebridean waulking song" //CODING ID 547 IN GLOBAL JUKEBOX, RELEVANT TEXT IS IN THE DESCRIPTION FIELD//</t>
  </si>
  <si>
    <t>6/28/2018 13:23:42</t>
  </si>
  <si>
    <t>Nu Laat Ons Allen Vrolijk Zijn</t>
  </si>
  <si>
    <t>This song, in gay dance rhythm describes the resurrection of christ and the death of the devil</t>
  </si>
  <si>
    <t>LINER NOTES:https://folkways-media.si.edu/liner_notes/folkways/FW06838.pdf</t>
  </si>
  <si>
    <t>6/28/2018 13:27:28</t>
  </si>
  <si>
    <t>Larach do thacaidean</t>
  </si>
  <si>
    <t>https://theglobaljukebox.org/?share=Hebrides-T5590R10</t>
  </si>
  <si>
    <t>dance song (puirt a beul) //CODING ID 550 IN GLOBAL JUKEBOX, RELEVANT TEXT IS IN THE GENRE FIELD//</t>
  </si>
  <si>
    <t>"a dance song sung without instruments; mouth music; The Imprint of Your High Heels" //CODING 550 IN GLOBAL JUKEBOX, RELEVANT TEXT IS IN THE DESCRIPTION FIELD//</t>
  </si>
  <si>
    <t>6/28/2018 13:32:44</t>
  </si>
  <si>
    <t>Wales; Welsh; Cymry</t>
  </si>
  <si>
    <t>wels1247</t>
  </si>
  <si>
    <t>cym</t>
  </si>
  <si>
    <t>Lord Lovell</t>
  </si>
  <si>
    <t>https://theglobaljukebox.org/?share=Wales-T5591R15</t>
  </si>
  <si>
    <t>ballad; narrative song //CODING ID 785 IN GLOBAL JUKEBOX, RELEVANT TEXT IS IN THE GENRE FIELD//</t>
  </si>
  <si>
    <t>"ballad; story of love and death" //CODING ID 785 IN GLOBAL JUKEBOX, RELEVANT TEXT IS IN THE DESCRIPTION FIELD//</t>
  </si>
  <si>
    <t>6/28/2018 13:38:39</t>
  </si>
  <si>
    <t>Blow the Candle Out</t>
  </si>
  <si>
    <t>https://theglobaljukebox.org/?share=Wales-T5592R18</t>
  </si>
  <si>
    <t>love song; ballad //CODING ID 786 IN GLOBAL JUKEBOX, RELEVANT TEXT IS IN THE GENRE FIELD//</t>
  </si>
  <si>
    <t>"love ballad" //CODING ID 786 IN GLOBAL JUKEBOX, RELEVANT TEXT IS IN THE DESCRIPTION FIELD//</t>
  </si>
  <si>
    <t>6/28/2018 13:46:09</t>
  </si>
  <si>
    <t>Sussex</t>
  </si>
  <si>
    <t>Come Write Me Down Ye Powers Above</t>
  </si>
  <si>
    <t>https://theglobaljukebox.org/?share=Sussex-T5472R42</t>
  </si>
  <si>
    <t>procession song; wedding song //CODING ID 1496 IN GLOBAL JUKEBOX, RELEVANT TEXT IS IN THE GENRE FIELD//</t>
  </si>
  <si>
    <t>"wedding song" //CODING ID 1496 IN GLOBAL JUKEBOX, RELEVANT TEXT IS IN THE DESCRIPTION FIELD//</t>
  </si>
  <si>
    <t>6/28/2018 13:48:21</t>
  </si>
  <si>
    <t>Durham</t>
  </si>
  <si>
    <t>Collier's Rant</t>
  </si>
  <si>
    <t>https://theglobaljukebox.org/?share=Durham-T5545R12</t>
  </si>
  <si>
    <t>work song; miner's song //CODING ID 2308 IN GLOBAL JUKEBOX, RELEVANT TEXT IS IN THE GENRE FIELD//</t>
  </si>
  <si>
    <t>"Old mining song" //CODING ID 2308 IN GLOBAL JUKEBOX, RELEVANT TEXT IS IN THE DESCRIPTION FIELD//</t>
  </si>
  <si>
    <t>6/28/2018 13:52:23</t>
  </si>
  <si>
    <t>My Mother Says I Never Should</t>
  </si>
  <si>
    <t>https://theglobaljukebox.org/?share=Durham-T5545R10</t>
  </si>
  <si>
    <t>nursery rhyme; game song //CODING ID 2311 IN GLOBAL JUKEBOX, RELEVANT TEXT IS IN THE GENRE FIELD//</t>
  </si>
  <si>
    <t>"nursery rhyme generally used with hand warming or a hand clapping game" //CODING ID 2311 IN GLOBAL JUKEBOX, RELEVANT TEXT IS IN THE DESCRIPTION FIELD//</t>
  </si>
  <si>
    <t>6/28/2018 13:54:45</t>
  </si>
  <si>
    <t>Dublin; Balie Atha Cliath</t>
  </si>
  <si>
    <t>As I Walked Through Dublin City</t>
  </si>
  <si>
    <t>https://theglobaljukebox.org/?share=Dublin-T5586R01</t>
  </si>
  <si>
    <t>story song; ballad //CODING ID 556 IN GLOBAL JUKEBOX, RELEVANT TEXT IS IN THE GENRE FIELD//</t>
  </si>
  <si>
    <t>"ballad; depicting a market girl summing up her day's receipts in coins, but also said to be about the spirit of oppressed Ireland" //CODING ID 556 IN GLOBAL JUKEBOX, RELEVANT TEXT IS IN THE DESCRIPTION FIELD//</t>
  </si>
  <si>
    <t>6/28/2018 13:58:16</t>
  </si>
  <si>
    <t>Azande; Alt. names: Adio, Zande, Sandeh, Niam-Niam; eHRAF says to use Azande</t>
  </si>
  <si>
    <t>zand1248</t>
  </si>
  <si>
    <t>zne</t>
  </si>
  <si>
    <t>Bandiya Yo</t>
  </si>
  <si>
    <t>https://theglobaljukebox.org/?share=Azande-T5434R22</t>
  </si>
  <si>
    <t>Dance song//CODING ID 2572 IN GLOBAL JUKEBOX, RELEVANT TEXT IS IN THE GENRE FIELD//</t>
  </si>
  <si>
    <t>Dance song//CODING ID 2572 IN GLOBAL JUKEBOX, RELEVANT TEXT IS IN THE DESCRIPTION FIELD//</t>
  </si>
  <si>
    <t>6/29/2018 16:46:50</t>
  </si>
  <si>
    <t>Luo Gang; Alt. names: Acoli, Acholi, Ugangi</t>
  </si>
  <si>
    <t>Bwola Dance</t>
  </si>
  <si>
    <t>https://theglobaljukebox.org/?share=Luo%20Gang-T5438R13</t>
  </si>
  <si>
    <t>Dance song//CODING ID 1931 IN GLOBAL JUKEBOX, RELEVANT TEXT IS IN THE GENRE FIELD//</t>
  </si>
  <si>
    <t>Dance song//CODING ID 1931 IN GLOBAL JUKEBOX, RELEVANT TEXT IS IN THE DESCRIPTION FIELD//</t>
  </si>
  <si>
    <t>6/29/2018 16:52:09</t>
  </si>
  <si>
    <t>Luo; Alt. name: Joluo; eHRAF says to use Luo</t>
  </si>
  <si>
    <t>luok1238</t>
  </si>
  <si>
    <t>luok1236</t>
  </si>
  <si>
    <t>Odhiambo Obet</t>
  </si>
  <si>
    <t>https://theglobaljukebox.org/?share=Luo-T5437R17</t>
  </si>
  <si>
    <t>Praise song for a friend; The Bright-Eyed Boy; Ogalo Mirasi, composer//CODING ID 240 IN GLOBAL JUKEBOX, RELEVANT TEXT IS IN THE DESCRIPTION FIELD//</t>
  </si>
  <si>
    <t>6/29/2018 16:57:58</t>
  </si>
  <si>
    <t>Fugi Isa - I Alone Am a Monkey Baby</t>
  </si>
  <si>
    <t>https://folkways.si.edu/genevieve-quailo/fugi-isa-i-alone-am-a-monkey-baby/american-indian-world/music/track/smithsonian</t>
  </si>
  <si>
    <t>Disc 1 Track 22</t>
  </si>
  <si>
    <t>"Fugi Isa", a Warrau lullaby, sung by Genevieve Quailo ("I alone am a monkey baby"), accompanying herself with a baby's rattle (a small version of the shak-shak). // SMITHSONIAN FOLKWAYS CATALOGUE NUMBER: FW04239_210, RELEVANT INFO IN LINER NOTES PG. 7 //</t>
  </si>
  <si>
    <t>6/29/2018 17:17:47</t>
  </si>
  <si>
    <t>Micekro tiga - Black Girl</t>
  </si>
  <si>
    <t>https://folkways.si.edu/rudolph-williams/mickero-tiga-black-girl/american-indian-world/music/track/smithsonian</t>
  </si>
  <si>
    <t>Disc 1 Track 16</t>
  </si>
  <si>
    <t>The Warrau music on this recording includes three, Mari-Mari dance instrumentals, a love song sung with a guitar accompaniment, jealous laments, an animal-acting-out song, two sporting songs whose lyrics would be unprintable in English, a drinking song said by its Warrau singer to be Arawak, a lullaby sung sweetly , and a song of leavetaking, in English, as well as an Amerindian patriotic consciousness raising piece. (the order of the song descriptions here corresponds to the ordering of the songs in the CD) // SMITHSONIAN FOLKWAYS CATALOGUE NUMBER: FW04239_204, RELEVANT INFO IN LINER NOTES PG. 5 //</t>
  </si>
  <si>
    <t>6/29/2018 17:17:49</t>
  </si>
  <si>
    <t>https://folkways.si.edu/love-song/world/music/track/smithsonian</t>
  </si>
  <si>
    <t>Disc 1 Track 25</t>
  </si>
  <si>
    <t>Love song // SMITHSONIAN FOLKWAYS CATALOGUE NUMBER: HRT15012_125, RELEVANT INFO IN LINER NOTES PG. 8 //</t>
  </si>
  <si>
    <t>6/29/2018 17:17:51</t>
  </si>
  <si>
    <t>Marido paru</t>
  </si>
  <si>
    <t>https://folkways.si.edu/bororo-society/marido-paru/music/track/smithsonian</t>
  </si>
  <si>
    <t>Disc 1 Track 2</t>
  </si>
  <si>
    <t>Two teams of men had left the village that morning and returned some hours later with a quantity of palm leaves. With these they set to work to make two enormous wheels one and a half metres tall: the marido. The men sing as they make preparations (paru) for the games which will take place the following day. // SMITHSONIAN FOLKWAYS CATALOGUE NUMBER: UNES08201_102, RELEVANT INFO IN LINER NOTES PG. 4 //</t>
  </si>
  <si>
    <t>6/29/2018 17:17:53</t>
  </si>
  <si>
    <t>History in Song</t>
  </si>
  <si>
    <t>https://folkways.si.edu/a-saramakan-elder/history-in-song/african-american-music-world/music/track/smithsonian</t>
  </si>
  <si>
    <t>Disc 1 Track 3</t>
  </si>
  <si>
    <t>The encapsulation of history in song is one of the characteristic modes in which Saramakas preserve their memory of the past. This selection is a fragment of a narrative in which an elder, widely respected for his historical knowledge, recounts the events that celebrated the signing of the peace treaty with the whites in 1762. // SMITHSONIAN FOLKWAYS CATALOGUE NUMBER: FW04225_103, RELEVANT INFO IN LINER NOTES PG. 4 //</t>
  </si>
  <si>
    <t>6/29/2018 17:17:55</t>
  </si>
  <si>
    <t>Russian</t>
  </si>
  <si>
    <t>Children's Game //BRITISH LIBRARY, VANISHING VOICES FROM RUSSIA &amp;EASTERN EUROPE, SHELF MARK CEAP347/223/2/10//</t>
  </si>
  <si>
    <t>Mayogo</t>
  </si>
  <si>
    <t>mayo1261</t>
  </si>
  <si>
    <t>mdm</t>
  </si>
  <si>
    <t>Gbada 2</t>
  </si>
  <si>
    <t>https://theglobaljukebox.org/?share=Mayogo-T5435R12</t>
  </si>
  <si>
    <t>Dance song//CODING ID 3359 IN GLOBAL JUKEBOX, RELEVANT TEXT IS IN THE GENRE FIELD//</t>
  </si>
  <si>
    <t>Dance song//CODING ID 3359 IN GLOBAL JUKEBOX, RELEVANT TEXT IS IN THE DESCRIPTION FIELD//</t>
  </si>
  <si>
    <t>Global Jukebox says the song is published by ILAM and Smithsonian Folkways, but a search in their ILAM's collection yielded no results.</t>
  </si>
  <si>
    <t>Kouyou; Alt. names: Koyo, Kouyous, Kuyu (eHRAF lists this as a American Indian culture)</t>
  </si>
  <si>
    <t>koyo1242</t>
  </si>
  <si>
    <t>koh</t>
  </si>
  <si>
    <t>https://theglobaljukebox.org/?share=Kouyou-T5521R21</t>
  </si>
  <si>
    <t>Healing Song//CODING ID 9228 IN GLOBAL JUKEBOX, RELEVANT TEXT IS IN THE SONG TITLE FIELD//</t>
  </si>
  <si>
    <t>Healing song//CODING ID 9228 IN GLOBAL JUKEBOX, RELEVANT TEXT IS IN THE GENRE FIELD//</t>
  </si>
  <si>
    <t>Pende; Alt. names: Phende, Bapende, Baphende</t>
  </si>
  <si>
    <t>phen1239</t>
  </si>
  <si>
    <t>pem</t>
  </si>
  <si>
    <t>https://theglobaljukebox.org/?share=Pende-T5440R11</t>
  </si>
  <si>
    <t>Work Song//CODING ID 319 IN GLOBAL JUKEBOX, RELEVANT TEXT IS IN THE SONG TITLE FIELD//</t>
  </si>
  <si>
    <t>Work song; building song; chief's song//CODING ID 319 IN GLOBAL JUKEBOX, RELEVANT TEXT IS IN THE GENRE FIELD//</t>
  </si>
  <si>
    <t>Totonac</t>
  </si>
  <si>
    <t>papa1238</t>
  </si>
  <si>
    <t>top</t>
  </si>
  <si>
    <t>Funeral Song 1</t>
  </si>
  <si>
    <t>https://theglobaljukebox.org/?share=Totonac-T5405R63</t>
  </si>
  <si>
    <t>Funeral Song//CODING ID 3651 IN GLOBAL JUKEBOX, RELEVANT TEXT IS IN THE GENRE FIELD//</t>
  </si>
  <si>
    <t>Cree, nēhiraw, nēhiyawak, nīhithaw, nēhilaw, and nēhinaw; Algonkian Language</t>
  </si>
  <si>
    <t>cree1272</t>
  </si>
  <si>
    <t>cre</t>
  </si>
  <si>
    <t>Cree: Grass Dance Song</t>
  </si>
  <si>
    <t>https://folkways.si.edu/indian-music-of-the-canadian-plains/american-indian/album/smithsonian</t>
  </si>
  <si>
    <t>DISC 1, TRACK 8</t>
  </si>
  <si>
    <t>Dance//FOLKWAYS CATALOGUE # FW04464 / FE 4464, LINER NOTES PAGE 6 , SIDE 1 , BAND 8//</t>
  </si>
  <si>
    <t>The Grass Dance is one of the most popular dances of the Plains Indians. Originally danced only by a sele t group of warriors who were used as "shock troops "//FOLKWAYS CATALOGUE # FW04464 / FE 4464, LINER NOTES PAGE 6 , SIDE 1 , BAND 8//</t>
  </si>
  <si>
    <t>Cora</t>
  </si>
  <si>
    <t>cora1260</t>
  </si>
  <si>
    <t>Harvest Chant 1</t>
  </si>
  <si>
    <t>https://theglobaljukebox.org/?share=Cora-T5405R70</t>
  </si>
  <si>
    <t>Work song //CODING ID 2656 IN GLOBAL JUKEBOX, RELEVANT TEXT IS IN THE DESCRIPTION FIELD//</t>
  </si>
  <si>
    <t>Harvest Chant 2</t>
  </si>
  <si>
    <t>https://theglobaljukebox.org/?share=Cora-T5405R71</t>
  </si>
  <si>
    <t>Shaman song; harvest song; chant// GLOBAL JUKEBOX CODING ID 2657//</t>
  </si>
  <si>
    <t>Harvest Chant 3</t>
  </si>
  <si>
    <t>https://theglobaljukebox.org/?share=Cora-T5405R72</t>
  </si>
  <si>
    <t>Shaman song; harvest song; chant //CODING ID 2670 IN GLOBAL JUKEBOX, RELEVANT TEXT IS IN THE DESCRIPTION FIELD//</t>
  </si>
  <si>
    <t>Mazateco</t>
  </si>
  <si>
    <t>huau1238</t>
  </si>
  <si>
    <t>mau</t>
  </si>
  <si>
    <t>Chjon Nka</t>
  </si>
  <si>
    <t>https://theglobaljukebox.org/?share=Mazateco-T5405R74m</t>
  </si>
  <si>
    <t>Ceremonial song; trance song//CODING ID 796 IN GLOBAL JUKEBOX, RELEVANT TEXT IS IN THE DESCRIPTION FIELD//</t>
  </si>
  <si>
    <t>Feroleto Antico</t>
  </si>
  <si>
    <t>Alla Campagnola 2</t>
  </si>
  <si>
    <t>https://theglobaljukebox.org/?share=Feroleto%20Antico-T5591R21</t>
  </si>
  <si>
    <t>Genre: Canzuna; alla campagnola; ottava; love song //GLOBAL JUKEBOX CODING ID: 9256//</t>
  </si>
  <si>
    <t>Description: Country style; similar to the polyphony of Arbresche (Albanian) villagers in Calabria; drones //GLOBAL JUKEBOX CODING ID: 9256//</t>
  </si>
  <si>
    <t>Friuli</t>
  </si>
  <si>
    <t>Lipa Ma Marica</t>
  </si>
  <si>
    <t>https://theglobaljukebox.org/?share=Friuli-T5471R26</t>
  </si>
  <si>
    <t>Genre: Resiana; dance song //GLOBAL JUKEBOX CODING ID: 623//</t>
  </si>
  <si>
    <t>Description: Resiana, a figure dance; so close to the Slovenian border, the people of mountainous Resia keep the Slavic dialect and customs they brought when they migrated into northeast Italy centuries ago //GLOBAL JUKEBOX CODING ID: 623//</t>
  </si>
  <si>
    <t>Emilia-Romagna</t>
  </si>
  <si>
    <t>Maggio storico</t>
  </si>
  <si>
    <t>https://theglobaljukebox.org/?share=Emilia-Romagna-T5528R20</t>
  </si>
  <si>
    <t>Genre: Epic song; recitative //GLOBAL JUKEBOX CODING ID: 8020//</t>
  </si>
  <si>
    <t>Description: A dramatic reworking of the Carolingian epic tales of order knights; elaborated by Ariosto in the 16th century //GLOBAL JUKEBOX CODING ID: 8020//</t>
  </si>
  <si>
    <t>Umbria-Marche</t>
  </si>
  <si>
    <t>Canto a vatoccu</t>
  </si>
  <si>
    <t>https://theglobaljukebox.org/?share=Umbria-Marche-T5472R24</t>
  </si>
  <si>
    <t>Genre: Love song; field song; work song //GLOBAL JUKEBOX CODING ID: 9430//</t>
  </si>
  <si>
    <t>Description: Love duet for field work; sung by an elderly farmer and his wife; octaves, fourths, and seconds; lets the neighbors know we know just what's going on //GLOBAL JUKEBOX CODING ID: 9430//</t>
  </si>
  <si>
    <t>Veneto</t>
  </si>
  <si>
    <t>Tira e molla</t>
  </si>
  <si>
    <t>https://theglobaljukebox.org/?share=Veneto-T40033R01</t>
  </si>
  <si>
    <t>Genre: Work song; fishing song; fisherman's song; hauling song //GLOBAL JUKEBOX CODING ID: 627//</t>
  </si>
  <si>
    <t>Description: Song for hauling in nets; sung by fishermenDescription: Song for hauling in nets; sung by fishermen //GLOBAL JUKEBOX CODING ID: 627//</t>
  </si>
  <si>
    <t>Yanoama</t>
  </si>
  <si>
    <t>yano1261</t>
  </si>
  <si>
    <t>guu</t>
  </si>
  <si>
    <t>Song of Two Women Grating Manioc</t>
  </si>
  <si>
    <t>https://folkways.si.edu/female-singers/song-of-two-women-grating-manioc/islamica-world/music/track/smithsonian</t>
  </si>
  <si>
    <t>Disc 2 Track 10</t>
  </si>
  <si>
    <t>This work has appeared... as an appendix to an ethnological publication of some length, in this case as “Musik der Makuschi, Taulipáng und Yekuaná” in Koch-Grüngerg’s account of expedition, "Vom Roroima zum Orinoko, III" (Stuttgart, 1925). The reproduced transcription is Ex. 21, pg 431. // SMITHSONIAN FOLKWAYS CATALOG NUMBER: FW04175_310 ; LINER NOTES (DOWNLOADED PDF, PP. 36)// The chants of the Makushi and Wapianana women (Ex. 18-21) while rubbing the cassava root sound similar to our children's songs. (Beginning of the first full paragraph on pg. 419) // VOM ROROIMA ZUM ORINOKO BAND III (RELEVANT PAGE NUMBERS ABOVE) GOOGLE-TRANSLATED FROM GERMAN ; LINK TO PDF: https://ia802303.us.archive.org/25/items/bub_br_1918_01011130/bub_br_1918_01011130.pdf //</t>
  </si>
  <si>
    <t>Lyrics = Miälélé, ayépúlū-yá, pipi méliké, kanáua-lite-pó. (Ex. 21, pg. 431) Translation = There, I meet you, little Brother, in the front part of the boat. (Top of pg. 414) // VOM ROROIMA ZUM ORINOKO BAND III (RELEVANT PAGE NUMBERS ABOVE) GOOGLE-TRANSLATED FROM GERMAN ; LINK TO PDF: https://ia802303.us.archive.org/25/items/bub_br_1918_01011130/bub_br_1918_01011130.pdf //</t>
  </si>
  <si>
    <t>Funeral Song 2</t>
  </si>
  <si>
    <t>Funeral Song//CODING ID 3652 IN GLOBAL JUKEBOX, RELEVANT TEXT IS IN THE DESCRIPTION FIELD//)</t>
  </si>
  <si>
    <t>Funeral Song 3</t>
  </si>
  <si>
    <t>Funeral Song//CODING ID 3653 IN GLOBAL JUKEBOX//)</t>
  </si>
  <si>
    <t>Funeral Song 4</t>
  </si>
  <si>
    <t>Funeral Song//CODING ID 3654 IN GLOBAL JUKEBOX//</t>
  </si>
  <si>
    <t>Chinese Musical Storytelling</t>
  </si>
  <si>
    <t>mand1415</t>
  </si>
  <si>
    <t>cmn</t>
  </si>
  <si>
    <t>Village of Peach Blossom (桃花庄)</t>
  </si>
  <si>
    <t>http://media.theglobaljukebox.org/audio/T5414R32.mp3</t>
  </si>
  <si>
    <t>Jingyun Dagu; narrative song; story song //CODING ID 1569 ON GLOBAL JUKEBOX</t>
  </si>
  <si>
    <t>About Lu Zhishen, a character in Water Margin, one of the Four Great Classical Novels of Chinese literature; Peking storyteller //CODING ID 1569 ON GLOBAL JUKEBOX</t>
  </si>
  <si>
    <t>NA //CODING ID 1569 ON GLOBAL JUKEBOX</t>
  </si>
  <si>
    <t>Culture is not named beyond Chinese, located in Hebei province.</t>
  </si>
  <si>
    <t>Chinese Classical</t>
  </si>
  <si>
    <t>Peking Work Song</t>
  </si>
  <si>
    <t>http://media.theglobaljukebox.org/audio/T5415R32.mp3</t>
  </si>
  <si>
    <t>Work song //CODING ID 1568 ON GLOBAL JUKEBOX</t>
  </si>
  <si>
    <t>Four workers are pilling up dirt with the aid of a stone disc moved by rope //CODING ID 1568 ON GLOBAL JUKEBOX</t>
  </si>
  <si>
    <t>NA //CODING ID 1568 ON GLOBAL JUKEBOX</t>
  </si>
  <si>
    <t>Culture listed as Chinese, Peking province.</t>
  </si>
  <si>
    <t>Boatman's Working Song</t>
  </si>
  <si>
    <t>http://media.theglobaljukebox.org/audio/T5489R05.mp3</t>
  </si>
  <si>
    <t>Work song; boat song; river song; boatman's song //CODING ID 9025 ON GLOBAL JUKEBOX</t>
  </si>
  <si>
    <t>Work song; to accompany and organize people as they push the barge; sung at request of Du, on the banks of Yellow River; the workers were not actually pushing then //CODING ID 9025 ON GLOBAL JUKEBOX</t>
  </si>
  <si>
    <t>NA //CODING ID 9025 ON GLOBAL JUKEBOX</t>
  </si>
  <si>
    <t>culture listed as Chinese, Shandong province</t>
  </si>
  <si>
    <t>Yi</t>
  </si>
  <si>
    <t>sich1238</t>
  </si>
  <si>
    <t>iii</t>
  </si>
  <si>
    <t>Wo Re Re</t>
  </si>
  <si>
    <t>http://media.theglobaljukebox.org/audio/T5492R15.mp3</t>
  </si>
  <si>
    <t>Dance Song //CODING ID 9045 ON GLOBAL JUKEBOX</t>
  </si>
  <si>
    <t>Dance song featuring non-semantic vocables; spoken phrases by male soloist; recorded at National Folksingers Festival //CODING ID 9045 ON GLOBAL JUKEBOX</t>
  </si>
  <si>
    <t>NA //CODING ID 9045 ON GLOBAL JUKEBOX</t>
  </si>
  <si>
    <t>Wusheng Qiang</t>
  </si>
  <si>
    <t>http://media.theglobaljukebox.org/audio/T5492R22.mp3</t>
  </si>
  <si>
    <t>Mountain song; love song //CODING ID 9049 ON GLOBAL JUKEBOX</t>
  </si>
  <si>
    <t>Song of Wusheng mountain; love song; recorded at National Folksingers Festival //CODING ID 9049 ON GLOBAL JUKEBOX</t>
  </si>
  <si>
    <t>NA //CODING ID 9049 ON GLOBAL JUKEBOX</t>
  </si>
  <si>
    <t>Central Chinese Folk</t>
  </si>
  <si>
    <t>Weeding Song with Gong and Drum</t>
  </si>
  <si>
    <t>http://media.theglobaljukebox.org/audio/T5493R02.mp3</t>
  </si>
  <si>
    <t>Work song; agricultural song; weeding song //CODING ID 9057 ON GLOBAL JUKEBOX</t>
  </si>
  <si>
    <t>eeding song; great glottal shake; ebb and flow of tempo //CODING ID 9057 ON GLOBAL JUKEBOX</t>
  </si>
  <si>
    <t>NA //CODING ID 9057 ON GLOBAL JUKEBOX</t>
  </si>
  <si>
    <t>culture listed as Chinese, city of Chengdu.</t>
  </si>
  <si>
    <t>Chang-Sa</t>
  </si>
  <si>
    <t>http://media.theglobaljukebox.org/audio/T5413R40.mp3</t>
  </si>
  <si>
    <t>Court Music, before dance</t>
  </si>
  <si>
    <t>Court music //CODING ID 776 ON GLOBAL JUKEBOX</t>
  </si>
  <si>
    <t>Before the Dance; Korean court music //CODING ID 776 ON GLOBAL JUKEBOX</t>
  </si>
  <si>
    <t>NA //CODING ID 776 ON GLOBAL JUKEBOX</t>
  </si>
  <si>
    <t>Chang Choon Pool Lo Chi Kog</t>
  </si>
  <si>
    <t>http://media.theglobaljukebox.org/audio/T5528R02.mp3</t>
  </si>
  <si>
    <t>Court music honoring King Sejong of the Ye Dynasty //CODING ID 8018 ON GLOBAL JUKEBOX</t>
  </si>
  <si>
    <t>amam1245</t>
  </si>
  <si>
    <t>Te Odori</t>
  </si>
  <si>
    <t>http://media.theglobaljukebox.org/audio/T5414R19.mp3</t>
  </si>
  <si>
    <t>Hand dance; dance song; children's song //CODING ID 3022 ON GLOBAL JUKEBOX</t>
  </si>
  <si>
    <t>Hand dances; improvised, team-based performance with orchestra; occasionally used to rib village notable; fast paced and dynamic; the genre is also used by children //CODING ID 3022 ON GLOBAL JUKEBOX</t>
  </si>
  <si>
    <t>NA//CODING ID 3022 ON GLOBAL JUKEBOX</t>
  </si>
  <si>
    <t>Bo Odori</t>
  </si>
  <si>
    <t>http://media.theglobaljukebox.org/audio/T5414R17.mp3</t>
  </si>
  <si>
    <t>Dance song; work song; chant //CODING ID 3020 ON GLOBAL JUKEBOX</t>
  </si>
  <si>
    <t>Staff dance showing physical prowess; with work chant and grunts //CODING ID 3020 ON GLOBAL JUKEBOX</t>
  </si>
  <si>
    <t>NA //CODING ID 3020 ON GLOBAL JUKEBOX</t>
  </si>
  <si>
    <t>Urban Japan</t>
  </si>
  <si>
    <t>okay1237</t>
  </si>
  <si>
    <t>Sado Okesa</t>
  </si>
  <si>
    <t>http://media.theglobaljukebox.org/audio/T5414R05.mp3</t>
  </si>
  <si>
    <t>Love song; Geisha's song //CODING ID 373 ON GLOBAL JUKEBOX</t>
  </si>
  <si>
    <t>Love song; geisha //CODING ID 373 ON GLOBAL JUKEBOX</t>
  </si>
  <si>
    <t>NA //CODING ID 373 ON GLOBAL JUKEBOX</t>
  </si>
  <si>
    <t>Listed as Japanese, city of Tokyo.</t>
  </si>
  <si>
    <t>Evenks</t>
  </si>
  <si>
    <t>even1259</t>
  </si>
  <si>
    <t>URL not found</t>
  </si>
  <si>
    <t>evn</t>
  </si>
  <si>
    <t>Dzarin</t>
  </si>
  <si>
    <t>http://www.philology.nsc.ru/departments/folklor/books/t32_CDindex.pdf</t>
  </si>
  <si>
    <t>None of these, http://www.philology.nsc.ru/departments/folklor/books/t32.php</t>
  </si>
  <si>
    <t>Opening of shamanic ritual to heal female disease //CD Track List, relevant information in description, translated LDR//</t>
  </si>
  <si>
    <t>Performed by Matryona Petrovna Kulbertinova, assisted by relatives. Recorded by N.N. Nikolaeva. //CD Track List, relevant information in description, translated LDR//</t>
  </si>
  <si>
    <t>Database link contains info about a book with this backing CD</t>
  </si>
  <si>
    <t>Note - Most information on site in Russian, I have provided translations where deemed necessary</t>
  </si>
  <si>
    <t>Ritual for healing of liver disease //CD Track List, relevant information in description, translated LDR//</t>
  </si>
  <si>
    <t>Performed by Semyon Stepanovich Vasiliev-Savej, Recorded by Y.I. Sheykin. //CD Track List, relevant information in description, translated LDR//</t>
  </si>
  <si>
    <t>8: Stories, myths, and songs</t>
  </si>
  <si>
    <t>https://ailla.utexas.org/islandora/object/ailla%3A124939</t>
  </si>
  <si>
    <t>Amoa songs are a game. The leader sings and the others repeat, if they understand it. //AILLA: Home » Collections » Amazonian Languages Collection of Ernest Migliazza » 8: Stories, myths, and songs//</t>
  </si>
  <si>
    <t>Access level 3: According to AILLA, "users may not access the resources until after a specified date. This level allows the depositor to restrict access to resources for a few years, for example while preparing a publication, such as a dissertation, or for the lifetime of a speaker. After the time limit, access changes to public access (Level 1)."</t>
  </si>
  <si>
    <t>Tangivka</t>
  </si>
  <si>
    <t>http://www.philology.nsc.ru/departments/folklor/books/t32.php</t>
  </si>
  <si>
    <t>Counting rhyme, with a ritual use //CD Track List, relevant information in description, translated LDR//</t>
  </si>
  <si>
    <t>Recorded by Dmitrij Pavlovich Pudov //CD Track List, relevant information in description, translated LDR//</t>
  </si>
  <si>
    <t>Deve (Deve)</t>
  </si>
  <si>
    <t>Track 33</t>
  </si>
  <si>
    <t>Dance Song //CD Track List, relevant information in description, translated LDR//</t>
  </si>
  <si>
    <t>Performed by Yelena Tikhonova Dmitreva, recorded by Y. I. Sheykin //CD Track List, relevant information in description, translated LDR//</t>
  </si>
  <si>
    <t>Osoraj</t>
  </si>
  <si>
    <t>Circle dance //CD Track List, relevant information in description, translated LDR//</t>
  </si>
  <si>
    <t>Performed by Vera Romanova Kuzmina, Recorded by A. M. Eizenshtadt //CD Track List, relevant information in description, translated LDR//</t>
  </si>
  <si>
    <t>Shiluk</t>
  </si>
  <si>
    <t>Medicine Song</t>
  </si>
  <si>
    <t>Sub-Saharan African</t>
  </si>
  <si>
    <t>khoe1242</t>
  </si>
  <si>
    <t>http://greenstone.ilam.ru.ac.za/cgi-bin/library?e=q-01000-00---0ilam--00-1--0-10-0---0---0prompt-10-DC--4-------0-1l--11-en-50---20-about-healing--00-3-1-00-0011-1-0utfZz-8-00&amp;a=d&amp;c=ilam&amp;srp=0&amp;srn=0&amp;cl=search&amp;d=D28640</t>
  </si>
  <si>
    <t>Track 09, Recording 10 from ATC010</t>
  </si>
  <si>
    <t>Traditional healing song with claves accompaniment ; For further details refer to Andrew Tracey cassette tape: ATC010</t>
  </si>
  <si>
    <t>Salar</t>
  </si>
  <si>
    <t>Funeral Song to Old Famous Kujur</t>
  </si>
  <si>
    <t>https://theglobaljukebox.org/?share=Salar-T5435R26</t>
  </si>
  <si>
    <t>Possession by a Spirit</t>
  </si>
  <si>
    <t>https://theglobaljukebox.org/?share=Nuer-T5438R05</t>
  </si>
  <si>
    <t>Spirit Procession Song</t>
  </si>
  <si>
    <t>Warrior's Lament</t>
  </si>
  <si>
    <t>https://theglobaljukebox.org/?share=Nuer-T5437R45</t>
  </si>
  <si>
    <t>Tells of killing a man and borrowing his bulls for a marriage</t>
  </si>
  <si>
    <t>Pari</t>
  </si>
  <si>
    <t>Mourning for the Death of a Chief</t>
  </si>
  <si>
    <t>https://theglobaljukebox.org/?share=Pari-T5437R08</t>
  </si>
  <si>
    <t>Morning Song</t>
  </si>
  <si>
    <t>Death of Chief's Son</t>
  </si>
  <si>
    <t>https://theglobaljukebox.org/?share=Pari-T5437R10</t>
  </si>
  <si>
    <t>A male song, or douditaw, lamenting the death of the chief's son</t>
  </si>
  <si>
    <t>Death of a Young Man by a Lion</t>
  </si>
  <si>
    <t>https://theglobaljukebox.org/?share=Pari-T5437R11</t>
  </si>
  <si>
    <t>A male song, or douditaw, lamenting the death of young man</t>
  </si>
  <si>
    <t>Death by Small Pox</t>
  </si>
  <si>
    <t>https://theglobaljukebox.org/?share=Pari-T5437R12</t>
  </si>
  <si>
    <t>A male song, or douditaw, mourning a death</t>
  </si>
  <si>
    <t>Mourning Song by Love Priestess</t>
  </si>
  <si>
    <t>https://theglobaljukebox.org/?share=Pari-T5437R09</t>
  </si>
  <si>
    <t>Moroccan Berbers</t>
  </si>
  <si>
    <t>Aili ya Mali</t>
  </si>
  <si>
    <t>https://theglobaljukebox.org/?share=Moroccan%20Berbers-T5436R09m</t>
  </si>
  <si>
    <t>NS</t>
  </si>
  <si>
    <t>Processional music</t>
  </si>
  <si>
    <t>Mourning for a Village Chief</t>
  </si>
  <si>
    <t>https://theglobaljukebox.org/?share=Tuareg-T5521R46</t>
  </si>
  <si>
    <t>he women sing while the men, riding camels, parade up and down.</t>
  </si>
  <si>
    <t>The Lady Frog</t>
  </si>
  <si>
    <t>http://www.philology.nsc.ru/departments/folklor_en/t27.php</t>
  </si>
  <si>
    <t>None of these, http://www.philology.nsc.ru/departments/folklor_en/t27.php</t>
  </si>
  <si>
    <t>Includes both spoken and sung portions. Sung portion from number 2 to number 3 in both original and Russian Translation Text. //http://www.philology.nsc.ru/departments/folklor/books/t27_text03.pdf (Original on left, Russian on right)</t>
  </si>
  <si>
    <t>First recordind posted when scrolling down</t>
  </si>
  <si>
    <t>Wixáritari</t>
  </si>
  <si>
    <t>Marriage Song</t>
  </si>
  <si>
    <t>https://theglobaljukebox.org/?share=Wix%C3%A1ritari-T5405R08</t>
  </si>
  <si>
    <t>Dance song//CODING ID 2754 IN GLOBAL JUKEBOX, RELEVANT TEXT IS IN THE DESCRIPTION FIELD//</t>
  </si>
  <si>
    <t>https://theglobaljukebox.org/?share=Wix%C3%A1ritari-T5405R09</t>
  </si>
  <si>
    <t>Dance Song//CODING ID 2755 IN GLOBAL JUKEBOX, RELEVANT TEXT IS IN THE DESCRIPTION FIELD//</t>
  </si>
  <si>
    <t>North Bulgaria</t>
  </si>
  <si>
    <t>Haiduti V Selo Vlyazukha</t>
  </si>
  <si>
    <t>https://theglobaljukebox.org/?share=N.%20Bulgaria-T5464R13</t>
  </si>
  <si>
    <t>Side B, Cut 10</t>
  </si>
  <si>
    <t>Global Jukebox, olumbia World Library of Folk and Primitive Music: Bulgaria. Columbia Masterwork</t>
  </si>
  <si>
    <t>Ballad; wedding song; ceremonial song; feast song//GLOBAL JUKEBOX CODING: 359//</t>
  </si>
  <si>
    <t>Table ballad; sung at wedding feasts and ceremonial meals; such ballads are called pensi na trapeza table songs; the present example tells of the visit of some outlaws to an innkeeper whom they suspect of being an informer//GLOBAL JUKEBOX CODING: 359//</t>
  </si>
  <si>
    <t>Pesenza Zmurtuna Dmitrov</t>
  </si>
  <si>
    <t>https://theglobaljukebox.org/?share=N.%20Bulgaria-T5464R49</t>
  </si>
  <si>
    <t>Side B, Cut 14</t>
  </si>
  <si>
    <t>Global Jukebox, Copy in Alan Lomax Collection, American Folklife Center, Library of Congress</t>
  </si>
  <si>
    <t>Mourning song; lament//GLOBAL JUKEBOX, CODING ID: 782, RELEVANT INFORMATION IN DESCRIPTION//</t>
  </si>
  <si>
    <t>Lament song for the death of Georgi Dimitrov, the political leader; text and melody composed Mita Stoivcheva //GLOBAL JUKEBOX, CODING ID: 782//</t>
  </si>
  <si>
    <t>Dobrudzha</t>
  </si>
  <si>
    <t>Zhenish Me Mamo</t>
  </si>
  <si>
    <t>https://theglobaljukebox.org/?share=Dobrudzha-T5464R50</t>
  </si>
  <si>
    <t>Side B, Cut 8</t>
  </si>
  <si>
    <t>Ballad; mythical song//GLOBAL JUKEBOX, CODING ID: 783//</t>
  </si>
  <si>
    <t>Bulgarian mythological ballad on the theme of the dragon lover //GLOBAL JUKEBOX, CODING ID: 783//</t>
  </si>
  <si>
    <t>Sofia District</t>
  </si>
  <si>
    <t>Tri Mi Zvezdi</t>
  </si>
  <si>
    <t>https://theglobaljukebox.org/?share=Sofia%20District-T5462R67</t>
  </si>
  <si>
    <t>Side A, Cut 7</t>
  </si>
  <si>
    <t>Work song; field song; agricultural song//GLOBAL JUKEBOX, CODING ID: 357 //</t>
  </si>
  <si>
    <t>Field work song; example of diaphonic singing found in slightly different forms from the north of the Sofia district down to Salonika and across to the Western Rhodope//GLOBAL JUKEBOX, CODING ID: 357 //</t>
  </si>
  <si>
    <t>Cancion Para La Muchacha, Me Voy Para Durango</t>
  </si>
  <si>
    <t>https://theglobaljukebox.org/?share=Wix%C3%A1ritari-T5405R01</t>
  </si>
  <si>
    <t>Love Song//CODING ID 154 IN GLOBAL JUKEBOX, RELEVANT TEXT IS IN THE DESCRIPTION FIELD//</t>
  </si>
  <si>
    <t>Mari Stoyane Soyane</t>
  </si>
  <si>
    <t>https://theglobaljukebox.org/?share=Sofia%20District-T5462R68</t>
  </si>
  <si>
    <t>Side A, Cut 2</t>
  </si>
  <si>
    <t>Spring Song</t>
  </si>
  <si>
    <t>Ritual song; door to door singing; spring song// GLOBAL JUKEBOX, CODING ID: 358 //</t>
  </si>
  <si>
    <t>Ritual song; sung the day before Palm Sunday, when girls dressed in plumed headgear go from house to house around the village to sing in the Spring and to bring luck// GLOBAL JUKEBOX, CODING ID: 358 //</t>
  </si>
  <si>
    <t>Squash Dance</t>
  </si>
  <si>
    <t>https://theglobaljukebox.org/?share=Wix%C3%A1ritari-T5405R02m</t>
  </si>
  <si>
    <t>Dance Song//CODING ID 155 IN GLOBAL JUKEBOX, RELEVANT TEXT IS IN THE DESCRIPTION FIELD//</t>
  </si>
  <si>
    <t>Peyote Dance</t>
  </si>
  <si>
    <t>https://theglobaljukebox.org/?share=Wix%C3%A1ritari-T5405R03m</t>
  </si>
  <si>
    <t>Dance Song//CODING ID 185 IN GLOBAL JUKEBOX, RELEVANT TEXT IS IN THE DESCRIPTION FIELD//</t>
  </si>
  <si>
    <t>Fiesta del Jilote</t>
  </si>
  <si>
    <t>https://theglobaljukebox.org/?share=Wix%C3%A1ritari-T5405R06</t>
  </si>
  <si>
    <t>Harvest Song//CODING ID 2752 IN GLOBAL JUKEBOX, RELEVANT TEXT IS IN THE GENRE AND DESCRIPTION FIELD//</t>
  </si>
  <si>
    <t>Magic Healer's Song</t>
  </si>
  <si>
    <t>https://theglobaljukebox.org/?share=Wix%C3%A1ritari-T5405R07</t>
  </si>
  <si>
    <t>Shaman Song//CODING ID 2753 IN GLOBAL JUKEBOX, RELEVANT TEXT IS IN THE GENRE FIELD//</t>
  </si>
  <si>
    <t>https://theglobaljukebox.org/?share=Wix%C3%A1ritari-T5405R10</t>
  </si>
  <si>
    <t>Shaman Song//CODING ID 2756 IN GLOBAL JUKEBOX, RELEVANT TEXT IS IN THE GENRE FIELD//</t>
  </si>
  <si>
    <t>Son del Elote</t>
  </si>
  <si>
    <t>https://theglobaljukebox.org/?share=Wix%C3%A1ritari-T5405R11</t>
  </si>
  <si>
    <t>Dance Song//CODING ID 2757 IN GLOBAL JUKEBOX, RELEVANT TEXT IS IN THE GENRE AND DESCRIPTION FIELD//</t>
  </si>
  <si>
    <t>Peyote Ceremony</t>
  </si>
  <si>
    <t>https://theglobaljukebox.org/?share=Wix%C3%A1ritari-T5405R04</t>
  </si>
  <si>
    <t>A responsorial peyote ceremony song</t>
  </si>
  <si>
    <t>Procession Song//CODING ID 2750 IN GLOBAL JUKEBOX, RELEVANT TEXT IS IN THE GENRE AND DESCRIPTION FIELD//</t>
  </si>
  <si>
    <t>https://theglobaljukebox.org/?share=Wix%C3%A1ritari-T5405R05</t>
  </si>
  <si>
    <t>Responsorial Peyote Ceremony Song</t>
  </si>
  <si>
    <t>Procession Song//CODING ID 2751 IN GLOBAL JUKEBOX, RELEVANT TEXT IS IN THE GENRE AND DESCRIPTION FIELD//</t>
  </si>
  <si>
    <t>Flying Pole Dance</t>
  </si>
  <si>
    <t>https://folkways.si.edu/indian-music-of-mexico/b/american-indian-world/album/smithsonian</t>
  </si>
  <si>
    <t>Dance Song//FOLKWAYS CATALOGUE # FW08851 / FW 8851, LINER NOTES PAGE 3//</t>
  </si>
  <si>
    <t>In a symbolism centuries old, the performers dance at the top of a pole as tall as a ship's mast, then 'fly' to earth on long unwinding ropes. //FOLKWAYS CATALOGUE # FW08851 / FW 8851, LINER NOTES PAGE 3//</t>
  </si>
  <si>
    <t>Only subsection of song (30 seconds) is available</t>
  </si>
  <si>
    <t>Iatmul (not listed in HRAF)</t>
  </si>
  <si>
    <t>iatm1242</t>
  </si>
  <si>
    <t>ian</t>
  </si>
  <si>
    <t>Plantation workers' song</t>
  </si>
  <si>
    <t>http://media.theglobaljukebox.org/audio/T5426R56.mp3</t>
  </si>
  <si>
    <t>Work song; agricultural song// CODING ID 869 IN GLOBAL JUKEBOX, RELEVANT TEXT IS IN THE DESCRIPTION FIELD//</t>
  </si>
  <si>
    <t>First link is the audio file, second is metadatahttps://theglobaljukebox.org/?share=Iatmul-T5426R56</t>
  </si>
  <si>
    <t>Aztecs</t>
  </si>
  <si>
    <t>clas1250</t>
  </si>
  <si>
    <t>nci</t>
  </si>
  <si>
    <t>Dance of the Tlamatiketl</t>
  </si>
  <si>
    <t>https://folkways.si.edu/aztec-violinist-guitarist-ritual-specialists-young-girls-dancers/dance-of-the-tlamatiketl/american-indian-sacred-world/music/track/smithsonian</t>
  </si>
  <si>
    <t>Dance Song//FOLKWAYS CATALOGUE # FW04358_103, LINER NOTES PAGE 6//</t>
  </si>
  <si>
    <t>Over 100 people crowd into the small thatch roofed building as the ritual specialists carrying a smoking incense brazier in one hand - and a sacrificed chicken in the other dance wildly throughout the crowd. //FOLKWAYS CATALOGUE # FW04358_103, LINER NOTES PAGE 6//</t>
  </si>
  <si>
    <t>Ayakachmitotia-Rattle Dances: Nopalli</t>
  </si>
  <si>
    <t>https://folkways.si.edu/sacred-guitar-and-violin-music-of-the-modern-aztecs/american-indian-world/album/smithsonian</t>
  </si>
  <si>
    <t>Dance Song//FOLKWAYS CATALOGUE # FW04358_201, LINER NOTES PAGE 6 //</t>
  </si>
  <si>
    <t>Rattle dances usually take place only at night and are rather long in duration, sometimes lasting up to one hour//FOLKWAYS CATALOGUE # FW04358_201, LINER NOTES PAGE 6 //</t>
  </si>
  <si>
    <t>Link to Linear Notes: https://folkways-media.si.edu/liner_notes/folkways/FW04358.pdf</t>
  </si>
  <si>
    <t>Ayakachmitotia'-Rattle Dances: Koatl</t>
  </si>
  <si>
    <t>https://folkways.si.edu/aztec-violinist-guitarist-male-dancers-with-rattles/ayakachmitotia-rattle-dances-koatl/american-indian-sacred-world/music/track/smithsonian</t>
  </si>
  <si>
    <t>Dance Song//FOLKWAYS CATALOGUE # FW04358_202, LINER NOTES PAGE 7//</t>
  </si>
  <si>
    <t>Koatl means snake in Nahuatl and is unusual in format from the other dances recorded here since the two parallel lines, the hallmark of the rattIe dances, are combined into one long line that symbolically imitates the movements of a snake as it proceeds back and forth in front of the image of Tonantsi//FOLKWAYS CATALOGUE # FW04358_202, LINER NOTES PAGE 7//</t>
  </si>
  <si>
    <t>Ayakachmitotia'-Rattle Dances: Ehtokani'</t>
  </si>
  <si>
    <t>https://folkways.si.edu/aztec-violinist-guitarist-male-dancers-with-rattles/ayakachmitotia-rattle-dances-ehtokani/american-indian-sacred-world/music/track/smithsonian</t>
  </si>
  <si>
    <t>Dance Song//FOLKWAYS CATALOGUE # FW04358_203, LINER NOTES PAGE 7//</t>
  </si>
  <si>
    <t>Ehtokani'is more typical of the rattle dances in general//FOLKWAYS CATALOGUE # FW04358_203, LINER NOTES PAGE 7//</t>
  </si>
  <si>
    <t>no culture listed, recording location is listed as Alma-Alta, Kazakhstan</t>
  </si>
  <si>
    <t>https://sounds.bl.uk/World-and-traditional-music/Colin-Huehns-Pakistan/025M-C0485X0083XX-2800V0#addANote</t>
  </si>
  <si>
    <t>A young man missing his mother //SHELF MARK C485/83 BRITISH LIBRARY RELEVANT TEXT IS IN THE TITLE FIELD//</t>
  </si>
  <si>
    <t>In the side search bar set click on world &amp; traditional music—&gt; Asia —&gt; Colin Huehns Asia Collection --&gt; song title</t>
  </si>
  <si>
    <t>no culture was specified but the location of recording is listed has Bishkek, Chuy, Kyrgyztan</t>
  </si>
  <si>
    <t>Don't forget the war dead</t>
  </si>
  <si>
    <t>https://sounds.bl.uk/World-and-traditional-music/Colin-Huehns-Pakistan/025M-C0485X0083XX-2300V0</t>
  </si>
  <si>
    <t>Don't forget the war dead //SHELF MARK C484/83 BRITISH LIBRARY RELEVANT TEXT IS IN THE TITLE FIELD//</t>
  </si>
  <si>
    <t>In the side search bar set click on world &amp; traditional music—&gt; Asia —&gt; Colin Huehns Asia Collection —&gt; VIEW BY LOCATION —&gt; Krygyzstan --&gt; bishkek --&gt; song title</t>
  </si>
  <si>
    <t>Ahorohani (Working Song)</t>
  </si>
  <si>
    <t>https://folkways.si.edu/ahorohani-working-song/world/music/track/smithsonian</t>
  </si>
  <si>
    <t>Disc 1, Track 1 of the album: "The Black Caribs of Honduras"</t>
  </si>
  <si>
    <t>Building song</t>
  </si>
  <si>
    <t>Work song; building song //CODING ID 481 IN GLOBAL JUKEBOX, RELEVANT TEXT IS IN THE GENRE FIELD//</t>
  </si>
  <si>
    <t>Punta used as an ahorohani or working song, in this case for house-building; Arawak //CODING ID 481 IN GLOBAL JUKEBOX, RELEVANT TEXT IS IN THE DESCRIPTION FIELD//</t>
  </si>
  <si>
    <t>In Global Jukebox, with coding ID 481, the link can be found under "source notes"</t>
  </si>
  <si>
    <t>YTD</t>
  </si>
  <si>
    <t>Honduras</t>
  </si>
  <si>
    <t>Fandango</t>
  </si>
  <si>
    <t>https://folkways.si.edu/fandango/world/music/track/smithsonian</t>
  </si>
  <si>
    <t>Disc 1 Track 4</t>
  </si>
  <si>
    <t>Dance song; fandango //CODING ID 9453 IN GLOBAL JUKEBOX, RELEVANT TEXT IS IN THE GENRE FIELD//</t>
  </si>
  <si>
    <t>Dance at village square with guitars, triple and six string, and violins //CODING ID 9453 IN GLOBAL JUKEBOX, RELEVANT TEXT IS IN THE DESCRIPTION FIELD//</t>
  </si>
  <si>
    <t>Mi Vida (My Life) - Waltz</t>
  </si>
  <si>
    <t>http://www.folkways.si.edu/TrackDetails.aspx?itemid=21739</t>
  </si>
  <si>
    <t>Dance song; waltz //CODING ID 20474 IN GLOBAL JUKEBOX, RELEVANT TEXT IS IN THE GENRE FIELD//</t>
  </si>
  <si>
    <t>Waltz with marimba //CODING ID 20474 IN GLOBAL JUKEBOX, RELEVANT TEXT IS IN THE DESCRIPTION FIELD//</t>
  </si>
  <si>
    <t>Canción de Cuna (Lullaby)</t>
  </si>
  <si>
    <t>https://folkways.si.edu/adlofina-mejia/cancion-de-cuna-lullaby/world/music/track/smithsonian</t>
  </si>
  <si>
    <t>Disc 1 Track 8</t>
  </si>
  <si>
    <t>No culture specified but the recording location was listed as Bokhara, Bukhoro province, Uzbekistan</t>
  </si>
  <si>
    <t>Bordhas Dilhama</t>
  </si>
  <si>
    <t>https://sounds.bl.uk/World-and-traditional-music/Colin-Huehns-Pakistan/025M-C0485X0082XX-1600V0</t>
  </si>
  <si>
    <t>Borhas Dilhama //SHELF MARK C485/82 BRITISH LIBRARY RELEVANT TEXT IS IN THE TITLE FIELD//</t>
  </si>
  <si>
    <t>Bordhas Dilhama means 'she took my heart'. doira [dāira] - round single-headed frame drum is a drum. dutar [dutār / dotār] - long-necked fretted lute is a long-necked fretted lute. Performer's note: Uzbek traditional instrument ensemble, Bokhara Philharmonic, and voices //SHELF MARK C485/82 BRITISH LIBRARY RELEVANT TEXT IS IN THE DESCRIPTION FIELD//</t>
  </si>
  <si>
    <t>n the side search bar set click on world &amp; traditional music—&gt; Asia —&gt; Colin Huehns Asia Collection —&gt; VIEW BY LOCATION —&gt; Uzbekistan --&gt; bokhara --&gt; song title</t>
  </si>
  <si>
    <t>no culture name was specified however the recording location was listed as; Urgench, Xorazm Viloyati, Uzbekistan</t>
  </si>
  <si>
    <t>The Lady I Love/ Ripe Apples/ Black Eyebrows/ Lasgi</t>
  </si>
  <si>
    <t>https://sounds.bl.uk/World-and-traditional-music/Colin-Huehns-Pakistan/025M-C0485X0082XX-0500V0</t>
  </si>
  <si>
    <t>The Lady I Love/ Ripe Apples/ Black Eyebrows/ Lasgi //CATALOG NUMBER C485/82 IN SMITHSONIAN FOLKWAYS, RELEVANT TEXT IS IN THE TITLE FIELD//</t>
  </si>
  <si>
    <t>In the side search bar set click on world &amp; traditional music—&gt; Asia —&gt; Colin Huehns Asia Collection —&gt; VIEW BY LOCATION —&gt; Uzbekistan --&gt; Urgench --&gt; song title</t>
  </si>
  <si>
    <t>Tule (Kuna)</t>
  </si>
  <si>
    <t>sanb1242</t>
  </si>
  <si>
    <t>cuk</t>
  </si>
  <si>
    <t>Cuna Lullaby (for a Baby Boy)</t>
  </si>
  <si>
    <t>https://folkways.si.edu/christina-acosta/cuna-lullaby-for-a-baby-boy/american-indian-world/music/track/smithsonian</t>
  </si>
  <si>
    <t>Cuna Lullaby</t>
  </si>
  <si>
    <t>https://folkways.si.edu/christina-acosta/cuna-lullaby/american-indian-world/music/track/smithsonian</t>
  </si>
  <si>
    <t>Kyrgyz; listen in eHARF</t>
  </si>
  <si>
    <t>“Kyiylyp turam (I’m Sad to Say Goodbye)”</t>
  </si>
  <si>
    <t>https://folkways.si.edu/tengir-too-kenjegul-kubatova/kyiylyp-turam-im-sad-to-say-goodbye/central-asia-islamica-world/music/track/smithsonian</t>
  </si>
  <si>
    <t>Disc: 1 Track: 7</t>
  </si>
  <si>
    <t>"Kyiylyp turam (I'm Sad to Say Goodbye"//CODING SFW40520_107 IN SMITHSONIAN FOLKWAY, RELEVANT TEXT IS IN THE TITLE FIELD//</t>
  </si>
  <si>
    <t>Music of Central Asia Vol.1: Tengir-too: Mountain Music from Kyrgystan //CODING SFW40520_107 IN SMITHSONIAN FOLKWAY, RELEVANT TEXT IS IN THE TRACK INFO FIELD//</t>
  </si>
  <si>
    <t>In search bar set parameters to Geography: Central Asia; Country: Kyrgyzstan;</t>
  </si>
  <si>
    <t>Aquanusa - Healing Chant</t>
  </si>
  <si>
    <t>https://folkways.si.edu/wilfredo-morris/aquanusa-healing-chant/american-indian-world/music/track/smithsonian</t>
  </si>
  <si>
    <t>Healing Chant //This is categorized as such in its title//</t>
  </si>
  <si>
    <t>Lullaby (One Woman)</t>
  </si>
  <si>
    <t>https://folkways.si.edu/lullaby-one-woman/american-indian-world/music/track/smithsonian</t>
  </si>
  <si>
    <t>Lullaby; lyrics: If your father is getting drunk he'll come and beat us up, so go to sleep my little girl, I'll cover you with my blanket, go to sleep //GLOBAL JUKEBOX//</t>
  </si>
  <si>
    <t>If your father is getting drunk he'll come and beat us up, so go to sleep my little girl, I'll cover you with my blanket, go to sleep</t>
  </si>
  <si>
    <t>AMM</t>
  </si>
  <si>
    <t>El Salvador</t>
  </si>
  <si>
    <t>El Salvador: Dormite niñito</t>
  </si>
  <si>
    <t>Disc 1 Track 6</t>
  </si>
  <si>
    <t>Lullabies //IN FOLKWAYS, WITH CATALOG NUMBER FW04511 / FE 4511, SEE IN THE SUBJECTS FIELD OF THE ALBUM//</t>
  </si>
  <si>
    <t>This collection has been created in the atmosphere of family life, with all the warmth and affection for the little ones before entering their lives. How much security a mother can give her child with some minutes of holding it fast in her arms, once a day, creating this very intimate union, one with the other! How sweet to remember these hours of childhood and home, of loving parents, of no sorrows... //N FOLKWAYS, WITH CATALOG NUMBER FW04511 / FE 4511, SEE IN THE MAIN DESCRIPTION TEXT OF THE ALBUM//</t>
  </si>
  <si>
    <t>Honduras: Señora Sant' Anna</t>
  </si>
  <si>
    <t>https://folkways.si.edu/honduras-senora-sant-anna/childrens-world/music/track/smithsonian</t>
  </si>
  <si>
    <t>Lullabies //IN FOLKWAYS, WITH CATALOG NUMBER FW04511 / FE 4511, SEE IN THE SUBJECTS FIELD OF ALBUM//</t>
  </si>
  <si>
    <t>This collection has been created in the atmosphere of family life, with all the warmth and affection for the little ones before entering their lives. How much security a mother can give her child with some minutes of holding it fast in her arms, once a day, creating this very intimate union, one with the other! How sweet to remember these hours of childhood and home, of loving parents, of no sorrows... //IN FOLKWAYS, WITH CATALOG NUMBER FW04511 / FE 4511, SEE IN THE MAIN DESCRIPTION TEXT OF ALBUM//</t>
  </si>
  <si>
    <t>Mískito</t>
  </si>
  <si>
    <t>misk1235</t>
  </si>
  <si>
    <t>miq</t>
  </si>
  <si>
    <t>Simian</t>
  </si>
  <si>
    <t>https://folkways.si.edu/music-of-the-miskito-indians-of-honduras-and-nicaragua/american-indian-struggle-protest-world/album/smithsonian</t>
  </si>
  <si>
    <t>Simian is coming under your coconuts/under your mosquito net/he's bad and tells lies, he is not very nice/get him 'pleik aus'/lie to the woman, dance and all kind things //CODING ID 9853 IN GLOBAL JUKEBOX, RELEVANT TEXT IS IN THE DESCRIPTION FIELD//</t>
  </si>
  <si>
    <t>Communist oulabi - Communist is Coming</t>
  </si>
  <si>
    <t>Garland Encyclopedia of World Music, Smithsonian Folkways</t>
  </si>
  <si>
    <t>Protest</t>
  </si>
  <si>
    <t>They're ruining the lord's name, communists are coming in. Their name is sandinists. Bad rules they are bringing. They are oppressing the Miskito. They are killing the Miskito. They are killing the sumo. //TEXT IN THE LINER NOTES OF ALBUM "MUSIC OF THE MISKITO INDIANS OF HONDURAS &amp; NICARAGUA", WHICH IS IN ALEXANDER STREET//</t>
  </si>
  <si>
    <t>Norvil Norvil Norvilita</t>
  </si>
  <si>
    <t>Disc 1 Track 10</t>
  </si>
  <si>
    <t>The song is about a girl named Norvil (Goff) who was training in the village and then left. //TEXT IN THE LINER NOTES OF ALBUM "MUSIC OF THE MISKITO INDIANS OF HONDURAS &amp; NICARAGUA", WHICH IS IN ALEXANDER STREET//</t>
  </si>
  <si>
    <t>Tsimshian</t>
  </si>
  <si>
    <t>nucl1649</t>
  </si>
  <si>
    <t>tsim1258</t>
  </si>
  <si>
    <t>tsi</t>
  </si>
  <si>
    <t>Homesick Song</t>
  </si>
  <si>
    <t>Nostalgic song; Homesick song; male soloist unaccompanied//GLOBAL JUKEBOX CODING ID 1513//</t>
  </si>
  <si>
    <t>Global Jukebox says the audio is pending.</t>
  </si>
  <si>
    <t>YJS</t>
  </si>
  <si>
    <t>azte1237</t>
  </si>
  <si>
    <t>Spells and Charms: Flower Feast Song (Aztec)</t>
  </si>
  <si>
    <t>https://folkways.si.edu/spells-and-charms-flower-feast-song-aztec/poetry/track/smithsonian</t>
  </si>
  <si>
    <t>Praise Song//FOLKWAYS CATALOGUE # FW09802_110, LINER NOTES PAGE 4-5//</t>
  </si>
  <si>
    <t>I seek flowers. I offer flowers. I arrange flowers. I thread a flower. I make flowers. I form them to be extending, uneven rounded, round bouquets of flowers //FOLKWAYS CATALOGUE # FW09802_110, LINER NOTES PAGE 4-5//</t>
  </si>
  <si>
    <t>Link to Linear Notes: https://folkways-media.si.edu/liner_notes/folkways/FW09802.pdf</t>
  </si>
  <si>
    <t>Smolyan, Rhodope region, Bulgaria</t>
  </si>
  <si>
    <t>Krifkono Fesche</t>
  </si>
  <si>
    <t>https://theglobaljukebox.org/?share=Rhodope-T5464R05</t>
  </si>
  <si>
    <t>SIDE A, CUT 12</t>
  </si>
  <si>
    <t>Dance song; popular song//GLOBAL JUKEBOX CODING: 360//</t>
  </si>
  <si>
    <t>Dance song; Krifkono Fesche, a characteristic modern popular song of the Rhodope Mountains region, became a national hit in the early 1950s//GLOBAL JUKEBOX CODING: 360//</t>
  </si>
  <si>
    <t>Costa Rica</t>
  </si>
  <si>
    <t>chib1249</t>
  </si>
  <si>
    <t>Me Teacher Never Liked Me</t>
  </si>
  <si>
    <t>https://folkways.si.edu/walter-ferguson-gavitt/mr-gavitt-calypsos-of-costa-rica/caribbean-world/music/album/smithsonian</t>
  </si>
  <si>
    <t>DISC 1 TRACK 1</t>
  </si>
  <si>
    <t>One day I got down and started to sing; And I notice the teacher looking at me; He must admitted that I am a king; He want me to show he 'bout the melody; I sat down and start to sing....//THE TEXT CAN BE FOUND IN THE LINER NOTE FOR THE ALBUM MR.GAVITT: CALYPSOS OF COSTA RICA, WHICH IS ON ALEXANDER STREET//</t>
  </si>
  <si>
    <t>macr1271</t>
  </si>
  <si>
    <t>Love Up Your Teacher</t>
  </si>
  <si>
    <t>Sarcastic</t>
  </si>
  <si>
    <t>The very first day I went to school; I saw the teacher right at the door; He was sitting upon a stool; And the fellow was making a big uproar, singing "Boy, what's your name"... //THE TEXT CAN BE FOUND IN THE LINER NOTE FOR THE ALBUM MR.GAVITT: CALYPSOS OF COSTA RICA, WHICH IS ON ALEXANDER STREET//</t>
  </si>
  <si>
    <t>Corrido a Honduras (Ballad to Honduras)</t>
  </si>
  <si>
    <t>https://folkways.si.edu/songs-and-dances-of-honduras/world/music/album/smithsonian</t>
  </si>
  <si>
    <t>Disc 1 Track 5</t>
  </si>
  <si>
    <t>Patriotic</t>
  </si>
  <si>
    <t>She has her beautiful cities; In particular the capital, which is well protected by our peerless mountains....Oh how proud I am to be born in this beautiful land.. //THE TEXT CAN BE FOUND IN THE LINER NOTE FOR THE ALBUM: SONGS AND DANCES OF HONDURAS, WHICH IS ON ALEXANDER STREET//</t>
  </si>
  <si>
    <t>Nicaragua</t>
  </si>
  <si>
    <t>A Sandino (To Sandino)</t>
  </si>
  <si>
    <t>https://folkways.si.edu/luis-godoy-and-grupo-mancotal/un-son-para-mi-pueblo-songs-from-the-new-nicaragua/historical-song-latin-struggle-protest-world/music/album/smithsonian</t>
  </si>
  <si>
    <t>This song is a hymn to the land, national unity and the love of country, put in the context of Augosto Cesar Sandino... //THE TEXT CAN BE FOUND IN THE LINER NOTE FOR THE ALBUM: Un Son Para Mi Pueblo - Songs from the New Nicaragua, WHICH IS ON ALEXANDER STREET//</t>
  </si>
  <si>
    <t>Sandino said it before; Our General from Niquinohomo; General of those free people; Who fight for their nation; To win peace; And liberation! //THE TEXT CAN BE FOUND IN THE LINER NOTE FOR THE ALBUM: Un Son Para Mi Pueblo - Songs from the New Nicaragua, WHICH IS ON ALEXANDER STREET//</t>
  </si>
  <si>
    <t>Avelina</t>
  </si>
  <si>
    <t>https://folkways.si.edu/caribbean-rhythms/world/music/album/smithsonian</t>
  </si>
  <si>
    <t>Aveline you are killing me; You are so foolish; Give me a kiss; Because I love you. //THE TEXT CAN BE FOUND IN THE LINER NOTE FOR THE ALBUM: Caribbean Rhythms, WHICH IS ON ALEXANDER STREET//</t>
  </si>
  <si>
    <t>Stone Cold Dead in the Market (Calypso)</t>
  </si>
  <si>
    <t>Last night I went out drinking; When I came home he gave me a beating; I picked up me load and slipped off me shoes; And hit him until I kill him. //THE TEXT CAN BE FOUND IN THE LINER NOTE FOR THE ALBUM: Caribbean Rhythms, WHICH IS ON ALEXANDER STREET//</t>
  </si>
  <si>
    <t>Stickman (Calypso)</t>
  </si>
  <si>
    <t>Few people gather; Turn police to settle the matter; Before the policeman reach; The Stickman in the preacher akin like a leach; The preacher came inside like he crazy... //THE TEXT CAN BE FOUND IN THE LINER NOTE FOR THE ALBUM: Caribbean Rhythms, WHICH IS ON ALEXANDER STREET//</t>
  </si>
  <si>
    <t>"Cattle Calls"</t>
  </si>
  <si>
    <t>http://www.folkways.si.edu/TrackDetails.aspx?itemid=5929</t>
  </si>
  <si>
    <t>Work Song //JUKEBOX CODING ID 544, GENRE IN DESCRIPTION FIELD//</t>
  </si>
  <si>
    <t>MCB</t>
  </si>
  <si>
    <t>"Verses from the Draumkvedet"</t>
  </si>
  <si>
    <t>http://www.folkways.si.edu/TrackDetails.aspx?itemid=5930</t>
  </si>
  <si>
    <t>"it describes the legendary dream of a man who slept from Christmas to Epiphany and the visions he witnessed of souls in purgatory" //GLOBAL JUKEBOX CODING ID 545, TEXT IN DESCRIPTION FIELD//</t>
  </si>
  <si>
    <t>https://folkways.si.edu/helene-tronsmo-and-ingeborg-jordet/cattle-calls/world/music/track/smithsonian</t>
  </si>
  <si>
    <t>"Very old cattle calls used in the Norwegian mountains" // GLOBAL JUKEBOX CODING ID 2513, RELEVANT TEXT IN DESCRIPTION//</t>
  </si>
  <si>
    <t>Hausa</t>
  </si>
  <si>
    <t>haus1257</t>
  </si>
  <si>
    <t>hau</t>
  </si>
  <si>
    <t>Jauje Praise Music</t>
  </si>
  <si>
    <t>https://theglobaljukebox.org/?share=Hausa-T5621R08m</t>
  </si>
  <si>
    <t>Praise Song//GLOBAL JUKEBOX CODING ID 1939/AUDIO FILE ID T5621R08m, RELEVANT TEXT IS IN THE GENRE FIELD//</t>
  </si>
  <si>
    <t>Praise music at the waza//GLOBAL JUKEBOX CODING ID 1939/AUDIO FILE ID T5621R08m, RELEVANT TEXT IS IN THE DESCRIPTION FIELD//</t>
  </si>
  <si>
    <t>Praise Song for the Galadima of Zaria</t>
  </si>
  <si>
    <t>https://theglobaljukebox.org/?share=Hausa-T5621R10m</t>
  </si>
  <si>
    <t>Praise song; song about leadership//GLOBAL JUKEBOX CODING ID 1938/AUDIO FILE ID T5621R10m, RELEVANT TEXT IS IN THE GENRE FIELD//</t>
  </si>
  <si>
    <t>The Galadima was a noble and top offcial under the Emir in the pyramidal political structure of Hausa society//GLOBAL JUKEBOX CODING ID 1938/AUDIO FILE ID T5621R10m, RELEVANT TEXT IS IN THE DESCRIPTION FIELD//</t>
  </si>
  <si>
    <t>https://theglobaljukebox.org/?share=Hausa-T5621R09m</t>
  </si>
  <si>
    <t>Praise song; song about leadership//GLOBAL JUKEBOX CODING ID 1940/AUDIO FILE ID T5621R09m, RELEVANT TEXT IS IN THE GENRE FIELD//</t>
  </si>
  <si>
    <t>The Galadima was a noble and top offcial under the Emir in the pyramidal political structure of Hausa society//GLOBAL JUKEBOX CODING ID 1940/AUDIO FILE ID T5621R09m, RELEVANT TEXT IS IN THE DESCRIPTION FIELD//</t>
  </si>
  <si>
    <t>Banga Praise Music for the Vassal Chief of Kauru</t>
  </si>
  <si>
    <t>https://theglobaljukebox.org/?share=Hausa-T5621R07m</t>
  </si>
  <si>
    <t>Praise song; song about leadership; chief's song//GLOBAL JUKEBOX CODING ID 1941/AUDIO FILE ID T5621R07m, RELEVANT TEXT IS IN THE GENRE FIELD//</t>
  </si>
  <si>
    <t>Praise Music for Vassal Chief of Kauru; for the weekly congregation of musicians of the chief in front of his palace, waza//GLOBAL JUKEBOX CODING ID 1941/AUDIO FILE ID T5621R07m, RELEVANT TEXT IS IN THE DESCRIPTION FIELD//</t>
  </si>
  <si>
    <t>Goge Praise Song for NPC Political Party</t>
  </si>
  <si>
    <t>https://theglobaljukebox.org/?share=Hausa-T5621R04m</t>
  </si>
  <si>
    <t>Political</t>
  </si>
  <si>
    <t>Praise song; song about leadership; political song//GLOBAL JUKEBOX CODING ID 1944/AUDIO FILE ID T5621R04m, RELEVANT TEXT IS IN THE GENRE FIELD//</t>
  </si>
  <si>
    <t>Praise of the NPC Party and its leader, the Sarduana//GLOBAL JUKEBOX CODING ID 1944/AUDIO FILE ID T5621R04m, RELEVANT TEXT IS IN THE DESCRIPTION FIELD//</t>
  </si>
  <si>
    <t>Praise Songs for Farming Bees</t>
  </si>
  <si>
    <t>https://theglobaljukebox.org/?share=Hausa-T5621R02m</t>
  </si>
  <si>
    <t>Praise song; bee song//GLOBAL JUKEBOX CODING ID 1946/AUDIO FILE ID T5621R02m, RELEVANT TEXT IS IN THE GENRE FIELD//</t>
  </si>
  <si>
    <t>Praise words are beaten and sung for each young man in the village, first stated on the big drum, then sung by the chorus as big drum continues to repeat it throughout//GLOBAL JUKEBOX CODING ID 1946/AUDIO FILE ID T5621R02m, RELEVANT TEXT IS IN THE DESCRIPTION FIELD//</t>
  </si>
  <si>
    <t>Collective Wailing for the Dead</t>
  </si>
  <si>
    <t>https://theglobaljukebox.org/?share=Dogon-T9504R02</t>
  </si>
  <si>
    <t>Collective Wailing for the Dead//GLOBAL JUKEBOX CODING ID 9147/AUDIO FILE ID T9504R02, RELEVANT TEXT IS IN THE GENRE FIELD//</t>
  </si>
  <si>
    <t>Funeral music/GLOBAL JUKEBOX CODING ID 9147/AUDIO FILE ID T9504R02, RELEVANT TEXT IS IN THE DESCRIPTION FIELD//</t>
  </si>
  <si>
    <t>All-Night Singing After Mock-Fight at the End of a Funeral</t>
  </si>
  <si>
    <t>https://theglobaljukebox.org/?share=Dogon-T5432R11</t>
  </si>
  <si>
    <t>Funeral song//GLOBAL JUKEBOX CODING ID 2089/AUDIO FILE ID T5432R11, RELEVANT TEXT IS IN THE GENRE FIELD//</t>
  </si>
  <si>
    <t>Funeral music//GLOBAL JUKEBOX CODING ID 2089/AUDIO FILE ID T5432R11, RELEVANT TEXT IS IN THE DESCRIPTION FIELD//</t>
  </si>
  <si>
    <t>Music and Revelry</t>
  </si>
  <si>
    <t>https://folkways.si.edu/cora-violinist-singers/music-and-revelry/american-indian-world/music/track/smithsonian</t>
  </si>
  <si>
    <t>Procession Song//FOLKWAYS CATALOGUE # FW04327_104, LINER NOTES PAGE 1-2 , SIDE A , BAND 4//</t>
  </si>
  <si>
    <t>Over a dozen local Indians arrived at the village meeting house. They shouted, danced, sang, and reveled until daybreak while consuming several gallons of tequila//FOLKWAYS CATALOGUE # FW04327_104, LINER NOTES PAGE 1-2 , SIDE A , BAND 4//</t>
  </si>
  <si>
    <t>Link to Linear Notes: https://folkways-media.si.edu/liner_notes/folkways/FW04327.pdf</t>
  </si>
  <si>
    <t>Music and Revelry with Mexican Song</t>
  </si>
  <si>
    <t>https://folkways.si.edu/cora-violinist-flutist-singers/music-and-revelry-with-mexican-song/american-indian-world/music/track/smithsonian</t>
  </si>
  <si>
    <t>Disc 2 Track 1</t>
  </si>
  <si>
    <t>The type of event that the procession is associated with is celebration.</t>
  </si>
  <si>
    <t>Procession Song//FOLKWAYS CATALOGUE # FW04327_201, LINER NOTES PAGE 1-2 , SIDE B , BAND 1//</t>
  </si>
  <si>
    <t>Over a dozen local Indians arrived at the village meeting house. They shouted, danced, sang, and reveled until daybreak while consuming several gallons of tequila//FOLKWAYS CATALOGUE # FW04327_201, LINER NOTES PAGE 1-2 , SIDE B , BAND 1//</t>
  </si>
  <si>
    <t>Music, Mass Singing, and Revelry</t>
  </si>
  <si>
    <t>https://folkways.si.edu/cora-musicians-from-san-blasito/music-mass-singing-and-revelry/american-indian-world/music/track/smithsonian</t>
  </si>
  <si>
    <t>Disc 2, Track 3</t>
  </si>
  <si>
    <t>Procession Song//FOLKWAYS CATALOGUE # FW04327_203, LINER NOTES PAGE 1-2 , SIDE B , BAND 3//</t>
  </si>
  <si>
    <t>Over a dozen local Indians arrived at the village meeting house. They shouted, danced, sang, and reveled until daybreak while consuming several gallons of tequila//FOLKWAYS CATALOGUE # FW04327_203, LINER NOTES PAGE 1-2 , SIDE B , BAND 3//</t>
  </si>
  <si>
    <t>Arabs of Ouaddai</t>
  </si>
  <si>
    <t>chad1249</t>
  </si>
  <si>
    <t>shu</t>
  </si>
  <si>
    <t>Ouaddai: Praise to the Sultan's wife</t>
  </si>
  <si>
    <t>https://archives.crem-cnrs.fr/archives/items/CNRSMH_I_1994_002_001_01/</t>
  </si>
  <si>
    <t>Ouaddai: Praise to the Sultan's wife//CODING ID CNRSMH_I_1994_002_001_01 IN CREM, RELEVANT TEXT IS IN THE TITLE FIELD//</t>
  </si>
  <si>
    <t>Recording done at the request of the singer, aged 80 years. Praise for the Sultan's wife//CODING ID CNRSMH_I_1994_002_001_01 IN CREM, RELEVANT TEXT IS IN THE ETHNOGRAPHIC CONTEXT FIELD//</t>
  </si>
  <si>
    <t>7/14/2018 11:03:06</t>
  </si>
  <si>
    <t>Huichol, Cora</t>
  </si>
  <si>
    <t>huic1243 and cora1260</t>
  </si>
  <si>
    <t>Song for Corn Roasting</t>
  </si>
  <si>
    <t>https://folkways.si.edu/huichol-indians-and-cora-indians/song-for-corn-roasting/islamica-world/music/track/smithsonian</t>
  </si>
  <si>
    <t>Disc 2, Track 9</t>
  </si>
  <si>
    <t>Work Song//FOLKWAYS CATALOGUE # FW04175_309//</t>
  </si>
  <si>
    <t>Only a subsection of the song (30 seconds) is available, which is not very clear.</t>
  </si>
  <si>
    <t>7/14/2018 17:09:57</t>
  </si>
  <si>
    <t>Purépecha (Tarascan)</t>
  </si>
  <si>
    <t>pure1242</t>
  </si>
  <si>
    <t>tsz</t>
  </si>
  <si>
    <t>Josefinita / Clavel Color de Rosa / Male Teresita (medley)</t>
  </si>
  <si>
    <t>https://folkways.si.edu/antonio-de-la-cruz-and-t-de-jesus/josefinita/clavel-color-de-rosa/male-teresita-medley/american-indian-world/music/track/smithsonian</t>
  </si>
  <si>
    <t>Disc 1, Track 7, part c) (last song of track)</t>
  </si>
  <si>
    <t>Love Song//FOLKWAYS CATALOGUE # FW04217_107, LINER NOTES PAGE 7//</t>
  </si>
  <si>
    <t>Down the street I come To see, for a little while, senorita Teresita . smoooth your hair carefully, senorita Teresita, So you can see well up and down the street. How sweet it is to love this girl! Give me that flower, senorita Teresita, So I can wear it home on my hat. //FOLKWAYS CATALOGUE # FW04217_107, LINER NOTES PAGE 7//</t>
  </si>
  <si>
    <t>Link to Linear Notes: https://folkways-media.si.edu/liner_notes/folkways/FW04217.pdf</t>
  </si>
  <si>
    <t>This song Male Teresita is the love song and is part of a medley that is sung at the end of the track. Because only the first 30 seconds of the track are available, I have no access to the love song Male Teresita.</t>
  </si>
  <si>
    <t>7/14/2018 19:01:02</t>
  </si>
  <si>
    <t>Ursulita</t>
  </si>
  <si>
    <t>https://folkways.si.edu/heliodoro-and-felipe-de-la-cruz/ursulita/american-indian-world/music/track/smithsonian</t>
  </si>
  <si>
    <t>Love Song//FOLKWAYS CATALOGUE # FW04217_106, LINER NOTES PAGE 6 //</t>
  </si>
  <si>
    <t>It is a sadness of sincere love, Which we can never forget. And that is a memory, senorita Ursulita That we, for a time, have been so happy//FOLKWAYS CATALOGUE # FW04217_106, LINER NOTES PAGE 6 //</t>
  </si>
  <si>
    <t>Link to Liner Notes: https://folkways-media.si.edu/liner_notes/folkways/FW04217.pdf</t>
  </si>
  <si>
    <t>Only the first 30 seconds of the track are available</t>
  </si>
  <si>
    <t>7/14/2018 19:14:30</t>
  </si>
  <si>
    <t>Rosa de Castilla</t>
  </si>
  <si>
    <t>https://folkways.si.edu/pulido-and-solorio-sisters-and-joaquin-bautista/rosa-de-castilla/american-indian-world/music/track/smithsonian</t>
  </si>
  <si>
    <t>Praise Song//FOLKWAYS CATALOGUE # FW04217_105, LINER NOTES PAGE 6//</t>
  </si>
  <si>
    <t>Rose of Castile You are so lovely Perfumed, flower-like Rose of Castile Think about it, senorita You do not realize How like a flower you are//FOLKWAYS CATALOGUE # FW04217_105, LINER NOTES PAGE 6//</t>
  </si>
  <si>
    <t>Only the first 30 seconds of the track are available.</t>
  </si>
  <si>
    <t>7/14/2018 19:25:59</t>
  </si>
  <si>
    <t>Mirri</t>
  </si>
  <si>
    <t>miri1267</t>
  </si>
  <si>
    <t>Song of Praise to Brave</t>
  </si>
  <si>
    <t>https://theglobaljukebox.org/?share=Mirri-T5436R01m</t>
  </si>
  <si>
    <t>Field Work Song</t>
  </si>
  <si>
    <t>7/15/2018 14:21:11</t>
  </si>
  <si>
    <t>Barabra</t>
  </si>
  <si>
    <t>Bicharin</t>
  </si>
  <si>
    <t>https://theglobaljukebox.org/?share=Barabra-T5461R37</t>
  </si>
  <si>
    <t>Marriage</t>
  </si>
  <si>
    <t>Marriage chant; accented beats on drums and oud under a male soloist</t>
  </si>
  <si>
    <t>7/15/2018 14:28:56</t>
  </si>
  <si>
    <t>Dinka</t>
  </si>
  <si>
    <t>nort2815</t>
  </si>
  <si>
    <t>Goitch</t>
  </si>
  <si>
    <t>https://theglobaljukebox.org/?share=Dinka-T5437R42</t>
  </si>
  <si>
    <t>work song</t>
  </si>
  <si>
    <t>Milking song</t>
  </si>
  <si>
    <t>7/15/2018 14:35:17</t>
  </si>
  <si>
    <t>Song of the Enaden</t>
  </si>
  <si>
    <t>https://theglobaljukebox.org/?share=Tuareg-T5522R96</t>
  </si>
  <si>
    <t>Song sung by a man of the Enaden caste, the artisans of the Tuareg who manufacture most of the material possessions of the tribe</t>
  </si>
  <si>
    <t>7/15/2018 14:45:04</t>
  </si>
  <si>
    <t>Beraceuse</t>
  </si>
  <si>
    <t>https://theglobaljukebox.org/?share=Tuareg-T5596R01</t>
  </si>
  <si>
    <t>Lullaby; fragments from a female soloist; repetition of phrases gives chant-like litany</t>
  </si>
  <si>
    <t>7/15/2018 14:49:41</t>
  </si>
  <si>
    <t>Pipil</t>
  </si>
  <si>
    <t>pipi1250</t>
  </si>
  <si>
    <t>ppl</t>
  </si>
  <si>
    <t>Pipil Polka</t>
  </si>
  <si>
    <t>https://folkways.si.edu/the-pipil-indians-of-el-salvador/american-indian-world/music/album/smithsonian</t>
  </si>
  <si>
    <t>Fiesta</t>
  </si>
  <si>
    <t>Polka //IS IN THE TITLE OF THE SONG//</t>
  </si>
  <si>
    <t>A ceremonial of fiesta piece //THE TEXT CAN BE FOUND IN THE LINER NOTE FOR THE ALBUM The Pipil Indians of El Salvador, WHICH IS ON ALEXANDER STREET//</t>
  </si>
  <si>
    <t>7/16/2018 13:49:25</t>
  </si>
  <si>
    <t>Los Historiantes: Part 1 &amp; Los Historiantes: Part 2</t>
  </si>
  <si>
    <t>Disc 1 Track 4 &amp; 5</t>
  </si>
  <si>
    <t>This is the traditional Spanish influenced dance that portrays the music and dance of the Moors and Christians during.... //THE TEXT CAN BE FOUND IN THE LINER NOTE FOR THE ALBUM The Pipil Indians of El Salvador, WHICH IS ON ALEXANDER STREET//</t>
  </si>
  <si>
    <t>7/16/2018 14:03:51</t>
  </si>
  <si>
    <t>La salvadoreña (The Salvadoran Woman)</t>
  </si>
  <si>
    <t>https://folkways.si.edu/los-hermanos-lovo/soy-salvadoreno-chanchona-music-from-eastern-el-salvador/latin/album/smithsonian</t>
  </si>
  <si>
    <t>This upbeat cumbia, extolling the beauties of Salvadoran women....underscore the purpose of the music---for dancing. //THE TEXT CAN BE FOUND IN THE LINER NOTE FOR THE ALBUM ¡Soy Salvadoreño! Chanchona Music from Eastern El Salvador, WHICH IS ON ALEXANDER STREET//</t>
  </si>
  <si>
    <t>How pretty are Salvadoran women, who've stolen my heart. So many mouths to kiss, and I don't know whom to love. //THE TEXT CAN BE FOUND IN THE LINER NOTE FOR THE ALBUM ¡Soy Salvadoreño! Chanchona Music from Eastern El Salvador, WHICH IS ON ALEXANDER STREET//</t>
  </si>
  <si>
    <t>7/16/2018 14:14:56</t>
  </si>
  <si>
    <t>Amapulapa</t>
  </si>
  <si>
    <t>In San Vicente, there is an excursion to enjoy. People come from all around to have a good time. It has pools with fresh water for swimming. It has inexhaustible waterfalls that make you dream. //THE TEXT CAN BE FOUND IN THE LINER NOTE FOR THE ALBUM ¡Soy Salvadoreño! Chanchona Music from Eastern El Salvador, WHICH IS ON ALEXANDER STREET//</t>
  </si>
  <si>
    <t>7/16/2018 14:29:45</t>
  </si>
  <si>
    <t>Canto a mi patria (I Sing to My Homeland)</t>
  </si>
  <si>
    <t>...in this cumbia praising the beauties of Morazan department, the region, and the white-and-light-blue Salvadoran flag. //THE TEXT CAN BE FOUND IN THE LINER NOTE FOR THE ALBUM ¡Soy Salvadoreño! Chanchona Music from Eastern El Salvador, WHICH IS ON ALEXANDER STREET//</t>
  </si>
  <si>
    <t>Your compatriot is wherever you are. I proud to be from El Salvador. The color of your flag will be there. It will be found in the sea and the sky. //THE TEXT CAN BE FOUND IN THE LINER NOTE FOR THE ALBUM ¡Soy Salvadoreño! Chanchona Music from Eastern El Salvador, WHICH IS ON ALEXANDER STREET//</t>
  </si>
  <si>
    <t>7/16/2018 14:36:50</t>
  </si>
  <si>
    <t>Aztec</t>
  </si>
  <si>
    <t>Yaqui Deer Dance</t>
  </si>
  <si>
    <t>https://open.spotify.com/track/6C6puK98FBrUR5SoqncpnQ</t>
  </si>
  <si>
    <t>Animal song; dance song //GLOBAL JUKEBOX CODING ID 164 INFO IN GENRE FIELD//</t>
  </si>
  <si>
    <t>Global Jukebox Coding ID 164 https://theglobaljukebox.org/?share=Yaqui-T5405R31m &amp; https://folkways.si.edu/male-yaqui-singers-with-rasping-sticks-and-water-drum/yaqui-deer-dance/american-indian-world/music/track/smithsonian</t>
  </si>
  <si>
    <t>7/16/2018 19:46:30</t>
  </si>
  <si>
    <t>LOT</t>
  </si>
  <si>
    <t>Huichol; Wixáritari</t>
  </si>
  <si>
    <t>Love song; courtship song; dance song //GLOBAL JUKEBOX CODING ID 154 INFO IN GENRE FIELD//</t>
  </si>
  <si>
    <t>Song in Huichol; lyrics deal with a man who has set out on a journey to Durango to bring his wife-to-be a present; male soloist over small guitar; sound of dancing in background //GLOBAL JUKEBOX CODING ID 154 INFO IN DESCRIPTION FIELD//</t>
  </si>
  <si>
    <t>7/16/2018 19:54:41</t>
  </si>
  <si>
    <t>Han; Uyghur neither found in eHARF</t>
  </si>
  <si>
    <t>"Shadiana (Celebration"</t>
  </si>
  <si>
    <t>https://folkways.si.edu/abdulla-majnun-wu-man/shadiana-celebration/central-asia-world/music/track/smithsonian</t>
  </si>
  <si>
    <t>Disc 1; Track 5</t>
  </si>
  <si>
    <t>celebration</t>
  </si>
  <si>
    <t>Shadiana (celecbration)//CATALOG NUMBER SFW40529_105 IN SMITHSONIAN FOLKWAYS, RELEVANT TEXT IS IN THE TITLE FIELD//</t>
  </si>
  <si>
    <t>from the album Music of Central Asia Vol.10: Borderlands: Wu Man and Master Musicians from the Silk Route</t>
  </si>
  <si>
    <t>7/16/2018 19:56:34</t>
  </si>
  <si>
    <t>Kyrgyz listen in eHARF</t>
  </si>
  <si>
    <t>Jol jürüsh (On the Road)- Tengir-Too</t>
  </si>
  <si>
    <t>https://folkways.si.edu/tengir-too/jol-jurush-on-the-road/central-asia-islamica-world/music/track/smithsonian</t>
  </si>
  <si>
    <t>Disc 1; Track 12</t>
  </si>
  <si>
    <t>"Mountain Music"</t>
  </si>
  <si>
    <t>Jol jurush (On the Road) //CATALOG NUMBER SFW40520_112 IN SMITHSONIAN FOLKWAYS, RELEVANT TEXT IS IN THE TITLE FIELD//</t>
  </si>
  <si>
    <t>From the mountainous Kyrgyzstan, Jew's harps, fiddles, plucked stringed instruments, and powerful voices transmit the vibrant rhythms of nomadism and the serene atmosphere of the Kyrgyz mountains in a musical language as contemporary as it is ancient. //CATALOG NUMBER SFW40520_112 IN SMITHSONIAN FOLKWAYS, RELEVANT TEXT IS IN THE TITLE FIELD//</t>
  </si>
  <si>
    <t>Part of the album, Music of Central Asia Vol. 1: Tengir-Too: Mountain Music from Kyrgyzstan, will pop up when typed in search bar</t>
  </si>
  <si>
    <t>7/16/2018 20:09:44</t>
  </si>
  <si>
    <t>Tarahumara; Raramuri</t>
  </si>
  <si>
    <t>cent2131</t>
  </si>
  <si>
    <t>tara1321</t>
  </si>
  <si>
    <t>tar</t>
  </si>
  <si>
    <t>Danza Del Arco</t>
  </si>
  <si>
    <t>https://theglobaljukebox.org/?share=Rar%C3%A1muri-T5537R06</t>
  </si>
  <si>
    <t>Ceremonial song; dance song //GLOBAL JUKEBOX CODING ID 9451 INFO IN GENRE FIELD//</t>
  </si>
  <si>
    <t>In the ceremonial Bow Dance bows are used as percussion instruments //GLOBAL JUKEBOX CODING ID 9451 INFO IN DESCRIPTION FIELD//</t>
  </si>
  <si>
    <t>7/16/2018 21:12:42</t>
  </si>
  <si>
    <t>Nahuas</t>
  </si>
  <si>
    <t>El canelo. (son jarocho)</t>
  </si>
  <si>
    <t>https://archives.crem-cnrs.fr/archives/items/CNRSMH_E_2011_022_001_001_06/</t>
  </si>
  <si>
    <t>Story song//CNRSMH_E_2011_022_001_001_06 IN CREM//</t>
  </si>
  <si>
    <t>Ce son traditionnel s'appuie sur une lyrique pleine d'humour et de jeux sur les mots. Le personnage évoqué, Canelo, est surnommé ainsi probablement à cause de son teint couleur cannelle, brun avec des nuances de rouge.//CNRSMH_E_2011_022_001_001_06 IN CREM//</t>
  </si>
  <si>
    <t>7/18/2018 12:45:25</t>
  </si>
  <si>
    <t>Does not specify but it says 'Cultural area: Mexique' and the 'Population / social group: Mexicain'</t>
  </si>
  <si>
    <t>Yo vendo unos oyos</t>
  </si>
  <si>
    <t>https://archives.crem-cnrs.fr/archives/items/CNRSMH_I_1964_012_001_01/</t>
  </si>
  <si>
    <t>Story song//CODING ID CNRSMH_I_1964_012_001_01 IN CREM, RELEVANT TEXT IS IN THE ETHNOGRAPHIC CONTEXT FIELD//</t>
  </si>
  <si>
    <t>7/18/2018 13:13:35</t>
  </si>
  <si>
    <t>Coyote Dance</t>
  </si>
  <si>
    <t>https://theglobaljukebox.org/?share=Yaqui-T5405R41</t>
  </si>
  <si>
    <t>Animal song; dance song //CODING ID 3031 IN GLOBAL JUKEBOX, RELEVANT TEXT IS IN GENRE FIELD//</t>
  </si>
  <si>
    <t>Male with a drum and sticks //CODING ID 3031 IN GLOBAL JUKEBOX, RELEVANT TEXT IS IN DESCRIPTION FIELD//</t>
  </si>
  <si>
    <t>7/18/2018 18:30:36</t>
  </si>
  <si>
    <t>Huichol; Wixaritari</t>
  </si>
  <si>
    <t>Shaman song; healing song; magic song; responsorial song //CODING ID 2756 IN GLOBAL JUKEBOX, RELEVANT TEXT IS IN THE DESCRIPTION FIELD//</t>
  </si>
  <si>
    <t>antiphonal call and response; fast tempo; melodic line flips up to higher male register The Wixáritari were among the last Central American indigenous groups to be conquered by the Spaniards in the 18th century. Many retired to the inaccessible mountains of Jalisco and have lived there ever since, rejecting missionaries and modern customs until the 1960's. //CODING ID 2756 IN GLOBAL JUKEBOX, RELEVANT TEXT IS IN THE DESCRIPTION FIELD//</t>
  </si>
  <si>
    <t>7/18/2018 18:36:56</t>
  </si>
  <si>
    <t>Dance song //CODING ID 2757 IN GLOBAL JUKEBOX, RELEVANT TEXT IS IN THE DESCRIPTION FIELD//</t>
  </si>
  <si>
    <t>The Wixáritari were among the last Central American indigenous groups to be conquered by the Spaniards in the 18th century. Many retired to the inaccessible mountains of Jalisco and have lived there ever since, rejecting missionaries and modern customs until the 1960's. //CODING ID 2757 IN GLOBAL JUKEBOX, RELEVANT TEXT IS IN THE DESCRIPTION FIELD//</t>
  </si>
  <si>
    <t>7/18/2018 18:42:59</t>
  </si>
  <si>
    <t>Does not specify but it says that the 'Cultural Area' is 'Mexique'</t>
  </si>
  <si>
    <t>Maldito abismo</t>
  </si>
  <si>
    <t>https://archives.crem-cnrs.fr/archives/items/CNRSMH_I_1964_012_001_06/</t>
  </si>
  <si>
    <t>Story song//CODING ID CNRSMH_I_1964_012_001_06 IN CREM//</t>
  </si>
  <si>
    <t>7/19/2018 17:40:58</t>
  </si>
  <si>
    <t>Does not specify but it says the 'Cultural Area' is 'Mexique'</t>
  </si>
  <si>
    <t>A los cuatro vientos</t>
  </si>
  <si>
    <t>https://archives.crem-cnrs.fr/archives/items/CNRSMH_I_1964_012_001_08/</t>
  </si>
  <si>
    <t>Story song//CODING ID CNRSMH_I_1964_012_001_08 IN CREM//</t>
  </si>
  <si>
    <t>7/19/2018 17:46:57</t>
  </si>
  <si>
    <t>Does not specify but it includes regions in Mexico</t>
  </si>
  <si>
    <t>Come bien</t>
  </si>
  <si>
    <t>https://folkways.si.edu/magazine-summer-fall-2016-come-bien-eat-right/tools-for-teaching/smithsonian</t>
  </si>
  <si>
    <t>Disc 1, Track 23</t>
  </si>
  <si>
    <t>Play Song//FOLKWAYS CATALOGUE # SFW45077//</t>
  </si>
  <si>
    <t>¡Come Bien! Eat Right! is a charming, educational bilingual collection of 36 songs (19 each in Spanish and English) and activities promoting healthy nutrition for children and adults by award-winning author, educator, and singer José-Luis Orozco.//FOLKWAYS CATALOGUE # SFW45077//</t>
  </si>
  <si>
    <t>Of course there are many things that allow a person to live a long and healthy life, but let’s sing EAT RIGHT to remind us about the importance of good nutrition and daily exercise to keep us healthy.//FOLKWAYS CATALOGUE # SFW45077//</t>
  </si>
  <si>
    <t>Link to the same information to download in pdf: https://folkways-media.si.edu/docs/lesson_plans/FLP10135-Come-Bien-Eat-Right.pdf</t>
  </si>
  <si>
    <t>7/19/2018 18:32:08</t>
  </si>
  <si>
    <t>Chocolate</t>
  </si>
  <si>
    <t>¡Come Bien! Eat Right! is a charming, educational bilingual collection of 36 songs (19 each in Spanish and English) and activities promoting healthy nutrition for children and adults by award-winning author, educator, and singer José-Luis Orozco. //FOLKWAYS CATALOGUE # SFW45077//</t>
  </si>
  <si>
    <t>Access to the song comes in form of the video that can be reached via the hyperlink</t>
  </si>
  <si>
    <t>7/19/2018 18:42:12</t>
  </si>
  <si>
    <t>Does not specify but it covers regions in Mexico</t>
  </si>
  <si>
    <t>El baile de las legumbres</t>
  </si>
  <si>
    <t>[The album] ¡Come Bien! Eat Right! is a charming, educational bilingual collection of 36 songs (19 each in Spanish and English) and activities promoting healthy nutrition for children and adults by award-winning author, educator, and singer José-Luis Orozco. The songs provide the catalyst to ignite interest and enhance students’ learning about good nutrition and healthy habits//FOLKWAYS CATALOGUE # SFW45077//</t>
  </si>
  <si>
    <t>The song comes in form of a video that can be accessed via the hyperlink.</t>
  </si>
  <si>
    <t>7/19/2018 18:51:26</t>
  </si>
  <si>
    <t>War song; male soloist unaccompanied, 85 years old//GLOBAL JUKEBOX CODING ID 1514//</t>
  </si>
  <si>
    <t>7/20/2018 6:55:47</t>
  </si>
  <si>
    <t>http://media.theglobaljukebox.org/audio/T5404R96.mp3</t>
  </si>
  <si>
    <t>Christmas Eve Procession //CODING ID 4330 IN GLOBAL JUKEBOX, RELEVANT TEXT IS IN THE SONG TITLE FIELD//</t>
  </si>
  <si>
    <t>Christmas song; processional music //CODING ID 4330 IN GLOBAL JUKEBOX, RELEVANT TEXT IS IN THE GENRE FIELD//</t>
  </si>
  <si>
    <t>Different than Zinacantan Christmas Eve Processional with coding ID 4329</t>
  </si>
  <si>
    <t>7/20/2018 18:43:03</t>
  </si>
  <si>
    <t>Tzotzil (not in HRAF)</t>
  </si>
  <si>
    <t>Processional Music</t>
  </si>
  <si>
    <t>http://media.theglobaljukebox.org/audio/T40018R01m.mp3</t>
  </si>
  <si>
    <t>Processional Music //CODING ID 3030 IN GLOBAL JUKEBOX, RELEVANT TEXT IS IN THE SONG TITLE FIELD//</t>
  </si>
  <si>
    <t>Processional music //CODING ID 3030 IN GLOBAL JUKEBOX, RELEVANT TEXT IS IN THE DESCRIPTION FIELD//</t>
  </si>
  <si>
    <t>7/20/2018 19:08:31</t>
  </si>
  <si>
    <t>tama1365</t>
  </si>
  <si>
    <t>taq</t>
  </si>
  <si>
    <t>“Herding Song, Marriage Song, Lullaby”</t>
  </si>
  <si>
    <t>https://folkways.si.edu/herding-song-marriage-song-lullaby/islamica-world/music/track/smithsonian</t>
  </si>
  <si>
    <t>Marriage Song, Herding Song</t>
  </si>
  <si>
    <t>“Herding Song, Marriage Song, Lullaby”//SMITHSONIAN FOLKWAYS CATALOGUE NUMBER FW08852_106</t>
  </si>
  <si>
    <t>7/20/2018 19:54:51</t>
  </si>
  <si>
    <t>Nigeria</t>
  </si>
  <si>
    <t>atla1278</t>
  </si>
  <si>
    <t>Nigeria: Yup ña ño udü</t>
  </si>
  <si>
    <t>https://folkways.si.edu/nigeria-yup-na-no-udu/childrens-world/music/track/smithsonian</t>
  </si>
  <si>
    <t>Disc 2, Track 15</t>
  </si>
  <si>
    <t>Lullabies of the World//SMITHSONIAN FOLKWAYS CATALOGUE NUMBER FW04511_404/RELEVANT TEXT IS IN THE TRACK INFO//</t>
  </si>
  <si>
    <t>7/20/2018 20:03:59</t>
  </si>
  <si>
    <t>Sican Dance; repeating song of two phrases//GLOBAL JUKEBOX CODING ID 1501//</t>
  </si>
  <si>
    <t>7/20/2018 22:49:18</t>
  </si>
  <si>
    <t>Dangaleat</t>
  </si>
  <si>
    <t>dang1274</t>
  </si>
  <si>
    <t>Guéra: music to accompany the work in the field at kordo</t>
  </si>
  <si>
    <t>https://archives.crem-cnrs.fr/archives/items/CNRSMH_I_1994_002_019_03/</t>
  </si>
  <si>
    <t>Guéra: music to accompany the work in the field at kordo//CODING ID CNRSMH_I_1994_002_019_03 IN CREM, RELEVANT TEXT IS IN THE TITLE FIELD//</t>
  </si>
  <si>
    <t>7/21/2018 11:05:38</t>
  </si>
  <si>
    <t>Teda; Ethnonyms: Tebou, Tebu, Tibbu, Toda, Todaga, Todga, Toubou, Tubu, Tuda, Tudaga</t>
  </si>
  <si>
    <t>teda1241</t>
  </si>
  <si>
    <t>tebu1238</t>
  </si>
  <si>
    <t>tuq</t>
  </si>
  <si>
    <t>Woman singing, lullaby</t>
  </si>
  <si>
    <t>https://archives.crem-cnrs.fr/archives/items/CNRSMH_I_2009_001_007_06/</t>
  </si>
  <si>
    <t>Disc 7, Track 6</t>
  </si>
  <si>
    <t>Woman singing, lullaby//CODING ID CNRSMH_I_2009_001_007_06 IN CREM, RELEVANT TEXT IS IN THE TITLE FIELD//</t>
  </si>
  <si>
    <t>Lullaby//CODING ID CNRSMH_I_2009_001_007_06 IN CREM, RELEVANT TEXT IS IN THE KEYWORDS FIELD//</t>
  </si>
  <si>
    <t>7/21/2018 11:23:10</t>
  </si>
  <si>
    <t>Camu Burwi - Flute Music</t>
  </si>
  <si>
    <t>https://folkways.si.edu/music-of-the-indians-of-panama-the-cuna-tule-and-chocoe-embera-tribes/american-indian-world/album/smithsonian</t>
  </si>
  <si>
    <t>Disc 1 Track 1</t>
  </si>
  <si>
    <t>On the island of Rio Tigre every Thursday night, members of the dance group practice their traditional form of dance...The dancing that accompanies this music begins with two rows of men...their foot stomping accentuates each forceful gust of air through the flutes... //THE TEXT CAN BE FOUND IN THE LINER NOTE FOR THE ALBUM: Music of the Indians of Panama: The Cuna (Tule) and Chocoe (Embera) Tribes, WHICH IS ON ALEXANDER STREET//</t>
  </si>
  <si>
    <t>7/22/2018 15:25:19</t>
  </si>
  <si>
    <t>Aquanusa - Healing Chant //This is the title//</t>
  </si>
  <si>
    <t>Important vocal elements are practiced by the men, such as the orations or prayers executed by the Neles or shamans to summon the help of the benevolent spirits to aid in the process of healing... Another important prayer is sung by the Nele for a pregnant woman when she is having pains or a difficult birth. //THE TEXT CAN BE FOUND IN THE LINER NOTE FOR THE ALBUM: Music of the Indians of Panama: The Cuna (Tule) and Chocoe (Embera) Tribes, WHICH IS ON ALEXANDER STREET//</t>
  </si>
  <si>
    <t>The child is suffering, the child is trembling...(saying a prayer to ... to help the child)... //THE TEXT CAN BE FOUND IN THE LINER NOTE FOR THE ALBUM: Music of the Indians of Panama: The Cuna (Tule) and Chocoe (Embera) Tribes, WHICH IS ON ALEXANDER STREET//</t>
  </si>
  <si>
    <t>7/22/2018 15:47:57</t>
  </si>
  <si>
    <t>Emberá (Choco)</t>
  </si>
  <si>
    <t>xoco1235</t>
  </si>
  <si>
    <t>xoco1235 has no classifiication info</t>
  </si>
  <si>
    <t>Spirit Invocation - Chocoe Shaman or Jaibana (with Leaves)</t>
  </si>
  <si>
    <t>Disc 1 Track 9</t>
  </si>
  <si>
    <t>Healing Prayer //THE TEXT CAN BE FOUND IN THE LINER NOTE FOR THE ALBUM: Music of the Indians of Panama: The Cuna (Tule) and Chocoe (Embera) Tribes, WHICH IS ON ALEXANDER STREET//</t>
  </si>
  <si>
    <t>Sung in conjunction with healing ritual by Chocoe Shaman -- Jaibana... His function is through the usage of specific incantations, herbal medicines and spiritual assistance principally that of a healer...//THE TEXT CAN BE FOUND IN THE LINER NOTE FOR THE ALBUM: Music of the Indians of Panama: The Cuna (Tule) and Chocoe (Embera) Tribes, WHICH IS ON ALEXANDER STREET//</t>
  </si>
  <si>
    <t>7/22/2018 16:00:11</t>
  </si>
  <si>
    <t>Abaimahani</t>
  </si>
  <si>
    <t>https://folkways.si.edu/the-spirit-cries-music-from-the-rainforests-of-south-america-the-caribbean/world/album/smithsonian</t>
  </si>
  <si>
    <t>Their (Abaimahani's) primary purpose is to honor deceased ancestors...This song, performed by two women, is a lament for the composer's sister. //THE TEXT CAN BE FOUND IN THE LINER NOTE FOR THE ALBUM: The Spirit Cries: Music from the Rainforests of South America &amp; the Caribbean, WHICH IS ON ALEXANDER STREET//</t>
  </si>
  <si>
    <t>It's a sad foreign Christmas; There is a feast in my home today; I have shed tears because of death; I keep walking about. The curse of death keeps me walking; trying to cool my heart. //THE TEXT CAN BE FOUND IN THE LINER NOTE FOR THE ALBUM: The Spirit Cries: Music from the Rainforests of South America &amp; the Caribbean, WHICH IS ON ALEXANDER STREET//</t>
  </si>
  <si>
    <t>7/22/2018 16:20:32</t>
  </si>
  <si>
    <t>Critical</t>
  </si>
  <si>
    <t>Although this is a song of mourning, the singer also criticizes her companions' excessive drinking. //THE TEXT CAN BE FOUND IN THE LINER NOTE FOR THE ALBUM: The Spirit Cries: Music from the Rainforests of South America &amp; the Caribbean, WHICH IS ON ALEXANDER STREET//</t>
  </si>
  <si>
    <t>7/22/2018 16:24:42</t>
  </si>
  <si>
    <t>The paranda is a song-dance genre composed mostly by man... //THE TEXT CAN BE FOUND IN THE LINER NOTE FOR THE ALBUM: The Spirit Cries: Music from the Rainforests of South America &amp; the Caribbean, WHICH IS ON ALEXANDER STREET//</t>
  </si>
  <si>
    <t>7/22/2018 16:30:35</t>
  </si>
  <si>
    <t>Combination</t>
  </si>
  <si>
    <t>The Combination is a dance style characterized by shifts in metric structure, from triple-meter drumming in the hunguhungu to duple patterns in the punta dance. //THE TEXT CAN BE FOUND IN THE LINER NOTE FOR THE ALBUM: The Spirit Cries: Music from the Rainforests of South America &amp; the Caribbean, WHICH IS ON ALEXANDER STREET//</t>
  </si>
  <si>
    <t>7/22/2018 16:34:35</t>
  </si>
  <si>
    <t>Punta</t>
  </si>
  <si>
    <t>1. The punta is the most ubiquitous form of Garifuna dance music...The punta is danced at wakes, funerals, and at ninth-night wake. 2. In this example, the singer morns a sister of whose death she learned while listening to Radio Belize. //THE TEXT CAN BE FOUND IN THE LINER NOTE FOR THE ALBUM: The Spirit Cries: Music from the Rainforests of South America &amp; the Caribbean, WHICH IS ON ALEXANDER STREET//</t>
  </si>
  <si>
    <t>7/22/2018 16:49:29</t>
  </si>
  <si>
    <t>Chocó</t>
  </si>
  <si>
    <t>Healing song</t>
  </si>
  <si>
    <t>Disc 1 Track 11</t>
  </si>
  <si>
    <t>Healing Song //This is the title of the song//</t>
  </si>
  <si>
    <t>Healing song, performed by a shaman to cure a man of fever. The shaman, inspired by a drink distilled from cassava, sings this song while shaking a palm frond to exorcise the evil spirit causing the illness. //THE TEXT CAN BE FOUND IN THE LINER NOTE FOR THE ALBUM: The Spirit Cries: Music from the Rainforests of South America &amp; the Caribbean, WHICH IS ON ALEXANDER STREET//</t>
  </si>
  <si>
    <t>7/22/2018 16:56:07</t>
  </si>
  <si>
    <t>Hunguhungu</t>
  </si>
  <si>
    <t>https://folkways.si.edu/traditional-music-of-the-garifuna-of-belize/american-indian-world/album/smithsonian</t>
  </si>
  <si>
    <t>The hunguhungu is a favorite type of song for processionals, especially on such occasions as Carib settlement day... //THE TEXT CAN BE FOUND IN THE LINER NOTE FOR THE ALBUM: Traditional Music of the Garifuna of Belize, WHICH IS ON ALEXANDER STREET//</t>
  </si>
  <si>
    <t>7/22/2018 17:08:30</t>
  </si>
  <si>
    <t>Oremu egi</t>
  </si>
  <si>
    <t>Grating song //This is in the title//</t>
  </si>
  <si>
    <t>The Caribbean historian...reports that Island Arawak women would lighten the work of grating bitter manioc by singing a special type of grating song. //THE TEXT CAN BE FOUND IN THE LINER NOTE FOR THE ALBUM: Traditional Music of the Garifuna of Belize, WHICH IS ON ALEXANDER STREET//</t>
  </si>
  <si>
    <t>7/22/2018 17:21:59</t>
  </si>
  <si>
    <t>...Island Arawak women would lighten the work of grating bitter manioc by singing a special type of grating song. //THE TEXT CAN BE FOUND IN THE LINER NOTE FOR THE ALBUM: Traditional Music of the Garifuna of Belize, WHICH IS ON ALEXANDER STREET//</t>
  </si>
  <si>
    <t>7/22/2018 17:25:51</t>
  </si>
  <si>
    <t>Grating song</t>
  </si>
  <si>
    <t>Grating Song //This is the title//</t>
  </si>
  <si>
    <t>...five or six women grate it on a large board studded with sharp rocks. The women sing grating songs as they work to lessen the monotony of the task and to coordinate their movements. //THE TEXT CAN BE FOUND IN THE LINER NOTE FOR THE ALBUM: The Spirit Cries: Music from the Rainforests of South America &amp; the Caribbean, WHICH IS ON ALEXANDER STREET//</t>
  </si>
  <si>
    <t>From the 30 second sample on Smithsonian Folkways, this is the same song as the "Oremu egi" of the album Traditional Music of the Garifuna of Belize. But this is 2'24 long while the other is 1'37. So I decided to categorize them as different songs.</t>
  </si>
  <si>
    <t>7/22/2018 17:35:43</t>
  </si>
  <si>
    <t>France</t>
  </si>
  <si>
    <t>Le sourire</t>
  </si>
  <si>
    <t>http://id.lib.harvard.edu/alma/990098836860203941/catalog</t>
  </si>
  <si>
    <t>disc 1, Track 2</t>
  </si>
  <si>
    <t>harvard music library</t>
  </si>
  <si>
    <t>"Some word whispered. By you is a kiss Intimate and prolonged Like a kiss on the soul. My mouth wants to smile And my smile trembles." //CD 31120 IN LOEB LIBRARY; RELEVANT TEXT IN LINER NOTES//</t>
  </si>
  <si>
    <t>7/23/2018 15:21:48</t>
  </si>
  <si>
    <t>Does not specify but it stems from the region of Mexico.</t>
  </si>
  <si>
    <t>Has no title</t>
  </si>
  <si>
    <t>https://archives.crem-cnrs.fr/archives/items/11889/</t>
  </si>
  <si>
    <t>Disc 1 , Track 1</t>
  </si>
  <si>
    <t>Lullaby//CODING ID CNRSMH_E_2000_021_008 IN CREM//</t>
  </si>
  <si>
    <t>7/23/2018 18:13:19</t>
  </si>
  <si>
    <t>Seri - Religious Song</t>
  </si>
  <si>
    <t>http://www.worldcat.org/oclc/862959234</t>
  </si>
  <si>
    <t>song is said to be religious in nature' //AS QUOTED IN LINER NOTES, PAGE 6 of PDF: https://folkways-media.si.edu/liner_notes/folkways/FW04413.pdf//</t>
  </si>
  <si>
    <t>WorldCat Link refers to a Smithsonian folkways CD. That CD is available on Alexander St.</t>
  </si>
  <si>
    <t>7/23/2018 18:32:57</t>
  </si>
  <si>
    <t>Huichol - Squash Dance</t>
  </si>
  <si>
    <t>Singing and dancing, an important fiesta to celebrate the ripening of the fruits' //IN LINER NOTES FROM PDF PAGE 6: https://folkways-media.si.edu/liner_notes/folkways/FW04413.pdf //</t>
  </si>
  <si>
    <t>7/23/2018 18:41:14</t>
  </si>
  <si>
    <t>Nivkh</t>
  </si>
  <si>
    <t>gily1242</t>
  </si>
  <si>
    <t>niv</t>
  </si>
  <si>
    <t>https://search.alexanderstreet.com/preview/work/bibliographic_entity%7Crecorded_cd%7C373401?ssotoken=anonymous</t>
  </si>
  <si>
    <t>None of these, Alexander Street</t>
  </si>
  <si>
    <t>Requires Academic Acess</t>
  </si>
  <si>
    <t>7/24/2018 11:22:43</t>
  </si>
  <si>
    <t>Song for Berry Picking</t>
  </si>
  <si>
    <t>7/24/2018 11:25:37</t>
  </si>
  <si>
    <t>Requires Academic Access</t>
  </si>
  <si>
    <t>7/24/2018 11:28:55</t>
  </si>
  <si>
    <t>Sung legend</t>
  </si>
  <si>
    <t>https://search.alexanderstreet.com/preview/work/bibliographic_entity%7Crecorded_cd%7C315119</t>
  </si>
  <si>
    <t>7/24/2018 11:39:52</t>
  </si>
  <si>
    <t>Nanai</t>
  </si>
  <si>
    <t>7/24/2018 11:43:00</t>
  </si>
  <si>
    <t>Song for berry picking</t>
  </si>
  <si>
    <t>7/24/2018 11:45:17</t>
  </si>
  <si>
    <t>Kara</t>
  </si>
  <si>
    <t>kara1481</t>
  </si>
  <si>
    <t>kara1486</t>
  </si>
  <si>
    <t>reg</t>
  </si>
  <si>
    <t>Tanua Dance</t>
  </si>
  <si>
    <t>http://media.theglobaljukebox.org/audio/T30205</t>
  </si>
  <si>
    <t>Dance song; ceremonial song //CODING ID 30205 IN GLOBAL JUKEBOX, RELEVANT TEXT IS IN THE DESCRIPTION FIELD//</t>
  </si>
  <si>
    <t>First link is the audio file, second is metadata https://theglobaljukebox.org/?share=Kara-T30205</t>
  </si>
  <si>
    <t>7/25/2018 14:42:37</t>
  </si>
  <si>
    <t>Otavalo</t>
  </si>
  <si>
    <t>quec1388</t>
  </si>
  <si>
    <t>https://theglobaljukebox.org/?share=Otavalo-T5402R84</t>
  </si>
  <si>
    <t>Healing song//GLOBAL JUKEBOX CODING ID1035/ Audio File ID: T5402R84/ RELEVANT INFO IN GENRE FIELD</t>
  </si>
  <si>
    <t>7/26/2018 9:59:46</t>
  </si>
  <si>
    <t>Afro-Colombian</t>
  </si>
  <si>
    <t>Salve, Santa Maria Ruega Por Los Pecadores</t>
  </si>
  <si>
    <t>https://theglobaljukebox.org/?share=Afro-Colombian-T40022R01</t>
  </si>
  <si>
    <t>PROCESSION//GLOBAL JUKEBOX//Coding ID: 3403/Audio File ID: T40022R01/RELEVANT INFO IN GENRE FIELD</t>
  </si>
  <si>
    <t>Funeral song; wake song; saint's song; salve</t>
  </si>
  <si>
    <t>7/26/2018 10:10:43</t>
  </si>
  <si>
    <t>https://theglobaljukebox.org/?share=Afro-Colombian-T5621R13m</t>
  </si>
  <si>
    <t>PROCESSION//GLOBAL JUKEBOX//Coding ID: 3887/Audio File ID: T5621R13m/ RELEVANT INFO IN GENRE FIELD</t>
  </si>
  <si>
    <t>Funeral song; dirge</t>
  </si>
  <si>
    <t>7/26/2018 12:56:16</t>
  </si>
  <si>
    <t>https://theglobaljukebox.org/?share=Afro-Colombian-T5621R14m</t>
  </si>
  <si>
    <t>MOURNING//GLOBAL JUKEBOX//Coding ID: 3888/Audio File ID: T5621R14m/</t>
  </si>
  <si>
    <t>Lullaby to a Catholic saint; possibly derived from Gregorian chants taught by missionaries to people living at that time on the West African Coast, later transported to the Caribbean by slaves, then to the Pacific coast with southern migration; sung mainly at funeral wakes</t>
  </si>
  <si>
    <t>7/26/2018 13:03:02</t>
  </si>
  <si>
    <t>Purépecha</t>
  </si>
  <si>
    <t>Baile de una Sona</t>
  </si>
  <si>
    <t>https://folkways.si.edu/juan-hernandez/baile-de-una-sona/latin-world/music/track/smithsonian</t>
  </si>
  <si>
    <t>Dance song//FOLKWAYS CATALOGUE # FW08867_206, LINER NOTES PAGE 10 , SIDE 2, BAND 6//</t>
  </si>
  <si>
    <t>This dance tune was played by Juan Hernández, a Tarascan from the village of Santa Fe de la laguna. His small guitar, or jarana, which he called a "guitarra ba:jita, " was designed for nine strings, with four pegs on each side and one in the middle oí the neck. However, Juan had it strung to suit himself, with the last peg in one row omitted. //FOLKWAYS CATALOGUE # FW08867_206, LINER NOTES PAGE 10 , SIDE 2, BAND 6//</t>
  </si>
  <si>
    <t>Link to Liner Notes: https://folkways-media.si.edu/liner_notes/folkways/FW08867.pdf</t>
  </si>
  <si>
    <t>Only a subsection (30sec) of the song is available.</t>
  </si>
  <si>
    <t>7/26/2018 16:31:12</t>
  </si>
  <si>
    <t>DANZA DE LOS VIEJITOS, JUANZUCUARCUA</t>
  </si>
  <si>
    <t>https://folkways.si.edu/juan-hernandez/juanzucuarecua/latin-world/music/track/smithsonian</t>
  </si>
  <si>
    <t>Dance song//FOLKWAYS CATALOGUE # FW08867_208, LINER NOTES PAGE 10-11 , SIDE 2, BAND 8//</t>
  </si>
  <si>
    <t>As played by Juan Hernández on his "guitarra bajita, " the Danza de Los Viejitos or the "Dance of the Little Old Men" had ten parts. //FOLKWAYS CATALOGUE # FW08867_208, LINER NOTES PAGE 10-11 , SIDE 2, BAND 8//</t>
  </si>
  <si>
    <t>7/26/2018 16:39:42</t>
  </si>
  <si>
    <t>DANZA DE LOS VIEJITOS, TRES CAMPANITAS</t>
  </si>
  <si>
    <t>https://folkways.si.edu/juan-hernandez/tres-companitas/latin-world/music/track/smithsonian</t>
  </si>
  <si>
    <t>Dance song//FOLKWAYS CATALOGUE # FW08867_209, LINER NOTES PAGE 11, SIDE 1 , BAND 9//</t>
  </si>
  <si>
    <t>This part of the Dance of the Little Old Men, with a Spanish name meaning "Three Little Bells, " is perhaps slightly, more melodious than sorne of the others. However, they are all tune fuI, and such names as "Cruzúcua" (The Cross), "Matóndocua " (Hobbles), or"Serúpacua"(Slide), provide clues concerning the nature of the dance figure or the dancing that accompanies them. Other parts of the dance have such names as "Checánonscua, " (Wheat Tamale), "Canácua" (Crown), and "Tzutzucurápic"(White Flower). //FOLKWAYS CATALOGUE # FW08867_209, LINER NOTES PAGE 11 , SIDE 1 , BAND 9//</t>
  </si>
  <si>
    <t>7/26/2018 16:47:51</t>
  </si>
  <si>
    <t>Telugu</t>
  </si>
  <si>
    <t>Bobbili ballad</t>
  </si>
  <si>
    <t>https://sounds.bl.uk/World-and-traditional-music/Music-from-India/025M-RKDATX0007XX-0100V0</t>
  </si>
  <si>
    <t>None of these, British Library</t>
  </si>
  <si>
    <t>Story //CODING ID RKDATX0007XX-01 RK DAT 07 IN BRITISH LIBRARY, RELEVANT TEXT IS IN THE DESCRIPTION//</t>
  </si>
  <si>
    <t>The semi-professional male singers from the Daasari musician community perform the historical Bobbili ballad, which recounts the fight between two small Indian chiefdoms, each trying to get the Muslim emperor and French colonial officers on his side. //CODING ID RKDATX0007XX-01 RK DAT 07 IN BRITISH LIBRARY, RELEVANT TEXT IS IN THE DESCRIPTION//</t>
  </si>
  <si>
    <t>Metadata: https://sounds.bl.uk/Item/ViewXmlFile/025M-RKDATX0007XX-0100V0</t>
  </si>
  <si>
    <t>7/30/2018 21:45:12</t>
  </si>
  <si>
    <t>Maasti ballad</t>
  </si>
  <si>
    <t>https://sounds.bl.uk/World-and-traditional-music/Music-from-India/025M-RKDATX0017XX-0100V0</t>
  </si>
  <si>
    <t>Story //CODING ID RKDATX0017XX-01 RK DAT 17 IN BRITISH LIBRARY, RELEVANT TEXT IS IN THE DESCRIPTION FIELD//</t>
  </si>
  <si>
    <t>This piece is taken from the Mahabharata epic and draws on the love story ‘Shesireka’s Wedding’ //CODING ID RKDATX0017XX-01 RK DAT 17 IN BRITISH LIBRARY, RELEVANT TEXT IS IN THE DESCRIPTION FIELD//</t>
  </si>
  <si>
    <t>Metadata: https://sounds.bl.uk/Item/ViewXmlFile/025M-RKDATX0017XX-0100V0</t>
  </si>
  <si>
    <t>7/30/2018 21:50:25</t>
  </si>
  <si>
    <t>Sora ancestor festival of music</t>
  </si>
  <si>
    <t>https://sounds.bl.uk/World-and-traditional-music/Music-from-India/025M-RKDATX0002XX-0100V0</t>
  </si>
  <si>
    <t>Sora ancestor festival of music //CODING ID RKDATX0002XX-01 RK DAT 02 IN BRITISH LIBRARY, RELEVANT TEXT IS IN THE TITLE//</t>
  </si>
  <si>
    <t>This performance was recorded at midnight during a huge ancestor festival (gu-ahr) in a remote Sora village where the villagers commemorate all the ancestors who died in the last 13 years. //CODING ID RKDATX0002XX-01 RK DAT 02 IN BRITISH LIBRARY, RELEVANT TEXT IS IN THE DESCRIPTION//</t>
  </si>
  <si>
    <t>7/30/2018 22:11:43</t>
  </si>
  <si>
    <t>Sora wedding dance music</t>
  </si>
  <si>
    <t>https://sounds.bl.uk/World-and-traditional-music/Music-from-India/025M-RKDATX0005XX-0100V0</t>
  </si>
  <si>
    <t>Sora wedding dance music //CODING ID RKDATX0005XX-01 RK DAT 05 IN BRITISH LIBRARY, RELEVANT TEXT IS IN THE TITLE//</t>
  </si>
  <si>
    <t>7/30/2018 22:26:05</t>
  </si>
  <si>
    <t>Monpa (this spelling and other synonymous names do not appear in eHRAF...)</t>
  </si>
  <si>
    <t>Happiness, Monpa song //CODING ID RKDATX0035XX-01 RK DAT 35 IN BRITISH LIBRARY, RELEVANT TEXT IS IN THE TITLE//</t>
  </si>
  <si>
    <t>‘There is the bright sun and a little lower the snow-capped mountains. Even the animals – the deer in the fields and the fish in the river - are happy here. The village people are content with their work and life’. The refrain emphasises: ‘Happiness prevails and this should never change’. //CODING ID RKDATX0035XX-01 RK DAT 35 IN BRITISH LIBRARY, RELEVANT TEXT IS IN THE DESCRIPTION//</t>
  </si>
  <si>
    <t>Metadata: https://sounds.bl.uk/Item/ViewXmlFile/025M-RKDATX0035XX-0100V0</t>
  </si>
  <si>
    <t>7/30/2018 22:33:22</t>
  </si>
  <si>
    <t>Ixil (not in HRAF)</t>
  </si>
  <si>
    <t>ixil1251</t>
  </si>
  <si>
    <t>ixl</t>
  </si>
  <si>
    <t>Pito, Chirimia and Big Drum in Procession</t>
  </si>
  <si>
    <t>https://folkways.si.edu/ixil-indian-musicians/pito-chirimia-and-big-drum-in-procession/american-indian-latin-world/music/track/smithsonian</t>
  </si>
  <si>
    <t>Fiesta de Nuestra Senora de Los Angeles</t>
  </si>
  <si>
    <t>Pito, Chirimia and Big Drum in Procession //CATALOG NUMBER FW04213_101 IN SMITHSONIAN FOLKWAYS, RELEVANT TEXT IS IN THE TRACK TITLE//</t>
  </si>
  <si>
    <t>Pito, chirimia and big drum carried on a man's back in a procession //ALBUM CATALOG NUMBER FW04213 / FE 4213 IN SMITHSONIAN FOLKWAYS, PAGE 3 OF LINER NOTES// Circumstance of recording: Fiesta de Nuestra de Senora de Los Angeles //ALBUM CATALOG NUMBER FW04213 / FE 4213 IN SMITHSONIAN FOLKWAYS, PAGE 3 OF LINER NOTES//</t>
  </si>
  <si>
    <t>7/31/2018 2:07:43</t>
  </si>
  <si>
    <t>East Europe S. Slavs / Bulgaria</t>
  </si>
  <si>
    <t>Momne Le Mari Khubava</t>
  </si>
  <si>
    <t>https://theglobaljukebox.org/?share=Rhodope-T5464R03</t>
  </si>
  <si>
    <t>SIDE A, CUT 17</t>
  </si>
  <si>
    <t>Dance song; wedding song//GLOBAL JUKEBOX CODING: 780//</t>
  </si>
  <si>
    <t>Dance song reserved for weddings, but not attached to any particular moment//GLOBAL JUKEBOX CODING: 780//</t>
  </si>
  <si>
    <t>Rhodope (Rodopi; Rodop)</t>
  </si>
  <si>
    <t>Goro Lyo Goko Zelena</t>
  </si>
  <si>
    <t>https://theglobaljukebox.org/?share=Rhodope-T5464R04</t>
  </si>
  <si>
    <t>SIDE A; CUT 13</t>
  </si>
  <si>
    <t>Ballad// GLOBAL JUKEBOX CODING: 781//</t>
  </si>
  <si>
    <t>This ballad tells of how the Haiduks kill a young mother and then, overcome with remorse, take her baby back to their mountain lair and tend it// GLOBAL JUKEBOX CODING: 781//</t>
  </si>
  <si>
    <t>Dimitro, Sino Dimitro</t>
  </si>
  <si>
    <t>https://theglobaljukebox.org/?share=Rhodope-T5559R08</t>
  </si>
  <si>
    <t>SIDE B, CUT 2</t>
  </si>
  <si>
    <t>Dance song; horovodno //GLOBAL JUKEBOX CODE: 9110//</t>
  </si>
  <si>
    <t>With its flowing sound, this folk dance is typical of the horovodno of this region//GLOBAL JUKEBOX CODE: 9110//</t>
  </si>
  <si>
    <t>Pirin</t>
  </si>
  <si>
    <t>Ne Dui, More Vetre</t>
  </si>
  <si>
    <t>https://theglobaljukebox.org/?share=Pirin-T5464R12</t>
  </si>
  <si>
    <t>Side A, Cut 10</t>
  </si>
  <si>
    <t>Global Jukebox, Copy in Alan Lomax Collection, American Folklife Center, Library of Congress; Columbia Records</t>
  </si>
  <si>
    <t>Springtime Ritual</t>
  </si>
  <si>
    <t>Work song; harvest song; field song // GLOBAL JUKEBOX CODE: 356//</t>
  </si>
  <si>
    <t>Field work song; choral style particular to the villages of Satovcha and Dolen; may be textually related to the lyulki, a springtime harvest ritual song // GLOBAL JUKEBOX CODE: 356//</t>
  </si>
  <si>
    <t>Trugnal Mi Yane Sandanski</t>
  </si>
  <si>
    <t>https://theglobaljukebox.org/?share=Pirin-T5464R11</t>
  </si>
  <si>
    <t>Side A, Cut 9</t>
  </si>
  <si>
    <t>Ballad// GLOBAL JUKEBOX CODE: 815//</t>
  </si>
  <si>
    <t>One of many ballads in honor of Macedonian revolutionary leader Yane Sananski; sung by a girl from his home village // GLOBAL JUKEBOX CODE: 815//</t>
  </si>
  <si>
    <t>Macedonske Horo</t>
  </si>
  <si>
    <t>https://theglobaljukebox.org/?share=Pirin-T9527R25</t>
  </si>
  <si>
    <t>Side A, Cut 8</t>
  </si>
  <si>
    <t>Dance Song // GLOBAL JUKEBOX CODE:9398 //</t>
  </si>
  <si>
    <t>Dance song; Horo of the Pirin Mountains; played by two Muslim Roma; slow promenade and gradual acceleration // GLOBAL JUKEBOX CODE:9398 //</t>
  </si>
  <si>
    <t>Men's Work Song</t>
  </si>
  <si>
    <t>https://folkways.si.edu/men-clearing-the-forest-fro-planting/mens-work-song/world/music/track/smithsonian</t>
  </si>
  <si>
    <t>Men's Work Song//CODING ID 1485 IN GLOBAL JUKEBOX, RELEVANT TEXT IS IN THE TITLE FIELD//</t>
  </si>
  <si>
    <t>Work song; sung in the forest while clearing for planting; the men are hauling a tree from the place where it has been felled//CODING ID 1485 IN GLOBAL JUKEBOX, RELEVANT TEXT IS IN THE DESCRIPTION FIELD//</t>
  </si>
  <si>
    <t>Maramureș</t>
  </si>
  <si>
    <t>Global Jukebox, Constantin Brăiloiu Institute of Ethnography and Folklore, Bucharest; Copy in Alan Lomax Collection, American Folklife Center, Library of Congress</t>
  </si>
  <si>
    <t>Dance song; cries // GLOBAL JUKEBOX CODE: 9407 //</t>
  </si>
  <si>
    <t>In the Northwest of Transylvania, the dance-cries, instead of being declaimed, are sung to a simplified form of the instrumental tune // GLOBAL JUKEBOX CODE: 9407 //</t>
  </si>
  <si>
    <t>The label says "cries". I am assuming that the vocal part is more of vocables and not really a distinct melody.</t>
  </si>
  <si>
    <t>Crişana</t>
  </si>
  <si>
    <t>Bocet</t>
  </si>
  <si>
    <t>https://theglobaljukebox.org/?share=Cri%C5%9Fana-T5472R32</t>
  </si>
  <si>
    <t>Funeral song; lament// GLOBAL JUKEBOX CODE: 505//</t>
  </si>
  <si>
    <t>Funeral lament for a brother, excerpt// GLOBAL JUKEBOX CODE: 505//</t>
  </si>
  <si>
    <t>Babenzele</t>
  </si>
  <si>
    <t>bamb1264</t>
  </si>
  <si>
    <t>DEUX CHANTEFABLES : "L'OISEAU" ET "TAILLE FINE"</t>
  </si>
  <si>
    <t>https://archives.crem-cnrs.fr/archives/items/15873/</t>
  </si>
  <si>
    <t>Disc 2, Track 5</t>
  </si>
  <si>
    <t>Story song; animal song; responsorial song//CODING ID 30062 IN GLOBAL JUKEBOX, RELEVANT TEXT IS IN THE GENRE FIELD//</t>
  </si>
  <si>
    <t>The Bird; story-song; after a spoken introduction, male singer begins first vocal motif, with less polyphony than other Aka works; responsorial structure; vocal parts evolve during song, which ends with speech//CODING ID 30062 IN GLOBAL JUKEBOX, RELEVANT TEXT IS IN THE DESCRIPTION FIELD//</t>
  </si>
  <si>
    <t>The names of the track listed in Global Jukebox and CREM are different.</t>
  </si>
  <si>
    <t>Hunedoara</t>
  </si>
  <si>
    <t>roma1328</t>
  </si>
  <si>
    <t>Pleacă june-ntr-un vînat</t>
  </si>
  <si>
    <t>https://theglobaljukebox.org/?share=Hunedoara-T5589R16</t>
  </si>
  <si>
    <t>Carol</t>
  </si>
  <si>
    <t>Festival song; carol // GLOBAL JUKEBOX CODE: 504//</t>
  </si>
  <si>
    <t>The Young Man Goes Hunting; midwinter carol// GLOBAL JUKEBOX CODE: 504//</t>
  </si>
  <si>
    <t>Hunedoara (Alt: Eisenmarkt; Vajdahunyad)</t>
  </si>
  <si>
    <t>Ballad of Iovan Iorgovan</t>
  </si>
  <si>
    <t>https://theglobaljukebox.org/?share=Hunedoara-T5589R21</t>
  </si>
  <si>
    <t>CD 1, TRACK 24</t>
  </si>
  <si>
    <t>Heroic song; Cântec batrânesc; tuarab song// GLOBAL JUKEBOX CODE: 9206 //</t>
  </si>
  <si>
    <t>Tuarab song; heroic song (Cântec batrânesc) with fiddle obligato and guitar accompaniment// GLOBAL JUKEBOX CODE: 9206 //</t>
  </si>
  <si>
    <t>Mbuti; ethnonyms: Bambuti, BaMbuti, Wambuti</t>
  </si>
  <si>
    <t>asoa1238</t>
  </si>
  <si>
    <t>Leaf-Carrying Songs</t>
  </si>
  <si>
    <t>https://theglobaljukebox.org/?share=Mbuti-T5439R19</t>
  </si>
  <si>
    <t>Work song//CODING ID 250 IN GLOBAL JUKEBOX, RELEVANT TEXT IS IN THE GENRE FIELD//</t>
  </si>
  <si>
    <t>Caucasus</t>
  </si>
  <si>
    <t>Khasanbegura</t>
  </si>
  <si>
    <t>https://theglobaljukebox.org/?share=Georgia-T5467R14</t>
  </si>
  <si>
    <t>Genre: historical song //CODING ID 3581 IN GLOBAL JUKEBOX//</t>
  </si>
  <si>
    <t>Description: Song about hero Beg Khasan, Khasan Tavdgiridze from Kobuleti, concerning the events of 1841 //CODING ID 3581 IN GLOBAL JUKEBOX//</t>
  </si>
  <si>
    <t>AZX</t>
  </si>
  <si>
    <t>Urmuli</t>
  </si>
  <si>
    <t>https://theglobaljukebox.org/?share=Georgia-T5467R18</t>
  </si>
  <si>
    <t>Description: Waggoner's song from Kakheti, about his adverse destiny, his toil and hardships //CODING ID 3586 IN GLOBAL JUKEBOX//</t>
  </si>
  <si>
    <t>Nana</t>
  </si>
  <si>
    <t>https://theglobaljukebox.org/?share=Georgia-T5467R17</t>
  </si>
  <si>
    <t>Genre: Lullaby //CODING ID 3587 IN GLOBAL JUKEBOX//</t>
  </si>
  <si>
    <t>Description: Ancient lullaby //CODING ID 3587 IN GLOBAL JUKEBOX//</t>
  </si>
  <si>
    <t>Iovnana</t>
  </si>
  <si>
    <t>https://theglobaljukebox.org/?share=Georgia-T5467R15</t>
  </si>
  <si>
    <t>Genre: Healing song //CODING ID 3599 IN GLOBAL JUKEBOX//</t>
  </si>
  <si>
    <t>Description: Curing song sung to those sick with cholera or scarlet fever, especially to strengthen sick children //CODING ID 3599 IN GLOBAL JUKEBOX//</t>
  </si>
  <si>
    <t>Ali-Pasha</t>
  </si>
  <si>
    <t>https://theglobaljukebox.org/?share=Georgia-T9506R21</t>
  </si>
  <si>
    <t>Genre: Epic Song //CODING ID 9166 IN GLOBAL JUKEBOX//</t>
  </si>
  <si>
    <t>Description: song about war with the Turks - and about the Turkish leader Ali-pasha, his defeat, and the liberation of Georgia from the Turks //CODING ID 9166 IN GLOBAL JUKEBOX//</t>
  </si>
  <si>
    <t>Abkhazians</t>
  </si>
  <si>
    <t>abkh1244</t>
  </si>
  <si>
    <t>abk</t>
  </si>
  <si>
    <t>https://theglobaljukebox.org/?share=Abkhazia-T5413R01</t>
  </si>
  <si>
    <t>Genre: Wedding song //CODING ID 4155 IN GLOBAL JUKEBOX//</t>
  </si>
  <si>
    <t>Armenia</t>
  </si>
  <si>
    <t>nucl1235</t>
  </si>
  <si>
    <t>arme1241</t>
  </si>
  <si>
    <t>hye</t>
  </si>
  <si>
    <t>Asor Arazy Es Gnatsam</t>
  </si>
  <si>
    <t>https://theglobaljukebox.org/?share=Armenia-T5528R13</t>
  </si>
  <si>
    <t>Genre: Dance song //CODING ID 8008 IN GLOBAL JUKEBOX//</t>
  </si>
  <si>
    <t>Description: An allegro dance in syncopated 3/4 //CODING ID 8008 IN GLOBAL JUKEBOX//</t>
  </si>
  <si>
    <t>Gahtzehk-Tehcehk</t>
  </si>
  <si>
    <t>https://theglobaljukebox.org/?share=Armenia-T5483R16</t>
  </si>
  <si>
    <t>Genre: Dance song //CODING ID 728 IN GLOBAL JUKEBOX//</t>
  </si>
  <si>
    <t>Description: Folk Dance //CODING ID 728 IN GLOBAL JUKEBOX//</t>
  </si>
  <si>
    <t>yuca1252</t>
  </si>
  <si>
    <t>http://media.theglobaljukebox.org/audio/T5486R01.mp3</t>
  </si>
  <si>
    <t>Love Song //CODING ID 3187 IN GLOBAL JUKEBOX, RELEVANT TEXT IS IN THE TITLE FIELD//</t>
  </si>
  <si>
    <t>Love song; sung in a low soft voice //CODING ID 3187 IN GLOBAL JUKEBOX, RELEVANT TEXT IS IN THE DESCRIPTION FIELD//</t>
  </si>
  <si>
    <t>Among four different Global Jukebox tracks from the Yucatan Maya titled "Love Song"</t>
  </si>
  <si>
    <t>http://media.theglobaljukebox.org/audio/T5486R03.mp3</t>
  </si>
  <si>
    <t>Love Song //CODING ID 3189 IN GLOBAL JUKEBOX, RELEVANT TEXT IS IN THE TITLE FIELD//</t>
  </si>
  <si>
    <t>Love song in strophic form, followed by brief dialogue //CODING ID 3189 IN GLOBAL JUKEBOX, RELEVANT TEXT IS IN THE DESCRIPTION FIELD//</t>
  </si>
  <si>
    <t>Among four different Global Jukebox tracks from Yucatan Maya titled "Love Song"</t>
  </si>
  <si>
    <t>http://media.theglobaljukebox.org/audio/T5486R05.mp3</t>
  </si>
  <si>
    <t>Love Song //CODING ID 3191 IN GLOBAL JUKEBOX, RELEVANT TEXT IS IN THE TITLE FIELD//</t>
  </si>
  <si>
    <t>Love song //CODING ID 3191 IN GLOBAL JUKEBOX, RELEVANT TEXT IS IN THE GENRE FIELD//</t>
  </si>
  <si>
    <t>Among four different Global Jukebox songs from the Yucatan Maya titled "Love Song"</t>
  </si>
  <si>
    <t>Christmas Eve</t>
  </si>
  <si>
    <t>Christmas Eve Procession //CODING ID 4330 IN GLOBAL JUKEBOX, RELEVANT TEXT IS IN THE TITLE FIELD//</t>
  </si>
  <si>
    <t>Celebratory group processional with polyrhythmic percussion, fiddle and whistle; male chorus takes on repeated motif; audience and crowd noises are audible //CODING ID 4330 IN GLOBAL JUKEBOX, RELEVANT TEXT IS IN THE DESCRIPTION FIELD//</t>
  </si>
  <si>
    <t>Different Global Jukebox entry than Christmas Eve Procession coding ID 4329</t>
  </si>
  <si>
    <t>Efe (Mbuti); eHRAF says to use Mbuti; ethnonyms: Mbuti, Bambuti, BaMbuti, Wambuti</t>
  </si>
  <si>
    <t>efee1239</t>
  </si>
  <si>
    <t>efe</t>
  </si>
  <si>
    <t>https://folkways.si.edu/dance-music/world/music/track/smithsonian</t>
  </si>
  <si>
    <t>Dance Music//CODING ID 251 IN GLOBAL JUKEBOX, RELEVANT TEXT IS IN THE TITLE FIELD//</t>
  </si>
  <si>
    <t>Dance song//CODING ID 251 IN GLOBAL JUKEBOX, RELEVANT TEXT IS IN THE GENRE FIELD//</t>
  </si>
  <si>
    <t>Luo; alt. names: Joluo, also known in some early colonial documents and ethnographic texts as the "Nilotic Kavirondo" (not an indigenous term)</t>
  </si>
  <si>
    <t>luo</t>
  </si>
  <si>
    <t>Piere Dongo</t>
  </si>
  <si>
    <t>https://theglobaljukebox.org/?share=Luo-T5437R27</t>
  </si>
  <si>
    <t>Dance song; animal song//CODING ID 2396 IN GLOBAL JUKEBOX, RELEVANT TEXT IS IN THE GENRE FIELD//</t>
  </si>
  <si>
    <t>Bull dance song for men//CODING ID 2396 IN GLOBAL JUKEBOX, RELEVANT TEXT IS IN THE DESCRIPTION FIELD//</t>
  </si>
  <si>
    <t>Luo; Alt. names: Joluo, also known in some early colonial documents and ethnographic texts as the "Nilotic Kavirondo" (not an indigenous term)</t>
  </si>
  <si>
    <t>Nyadundo Hawi Mani Wanuango</t>
  </si>
  <si>
    <t>https://theglobaljukebox.org/?share=Luo-T5437R21</t>
  </si>
  <si>
    <t>Topical</t>
  </si>
  <si>
    <t>Praise song; topical song//CODING ID 2397 IN GLOBAL JUKEBOX, RELEVANT TEXT IS IN THE GENRE FIELD//</t>
  </si>
  <si>
    <t>Topical song praising Philip Ochieng; Muruka Ndai Fula, composer//CODING ID 2397 IN GLOBAL JUKEBOX, RELEVANT TEXT IS IN THE DESCRIPTION FIELD//</t>
  </si>
  <si>
    <t>Arwa Otieno</t>
  </si>
  <si>
    <t>https://theglobaljukebox.org/?share=Luo-T5437R18</t>
  </si>
  <si>
    <t>Love song//CODING ID 2400 IN GLOBAL JUKEBOX, RELEVANT TEXT IS IN THE GENRE FIELD//</t>
  </si>
  <si>
    <t>Love song; Ogalo Mirasi, composer//CODING ID 2400 IN GLOBAL JUKEBOX, RELEVANT TEXT IS IN THE DESCRIPTION FIELD//</t>
  </si>
  <si>
    <t>Baya; Gbaya</t>
  </si>
  <si>
    <t>gbay1279</t>
  </si>
  <si>
    <t>https://folkways.si.edu/mixed-baya-singers-with-rattles-three-drummers/baya-dance-mixed-voices-drums-rattles/world/music/track/smithsonian</t>
  </si>
  <si>
    <t>Dance Song//CODING ID 9265 IN GLOBAL JUKEBOX, RELEVANT TEXT IS IN THE TITLE FIELD//</t>
  </si>
  <si>
    <t>Dance song//CODING ID 9265 IN GLOBAL JUKEBOX, RELEVANT TEXT IS IN THE DESCRIPTION FIELD//</t>
  </si>
  <si>
    <t>Gbaya Bodoe</t>
  </si>
  <si>
    <t>nort2775</t>
  </si>
  <si>
    <t>gya</t>
  </si>
  <si>
    <t>Gima Biro</t>
  </si>
  <si>
    <t>https://theglobaljukebox.org/?share=Gbaya%20Bodoe-T30027</t>
  </si>
  <si>
    <t>Funeral; War</t>
  </si>
  <si>
    <t>Funeral song; war song//CODING ID 30027 IN GLOBAL JUKEBOX, RELEVANT TEXT IS IN THE GENRE FIELD//</t>
  </si>
  <si>
    <t>War song performed during a funeral pageant; alternating male voices occasionally in octave unison with sanza (mbira)//CODING ID 30027 IN GLOBAL JUKEBOX, RELEVANT TEXT IS IN THE DESCRIPTION FIELD//</t>
  </si>
  <si>
    <t>Aushi; eHRAF uses Bemba; Alt. names: Awemba, Babemba, Chibemba, Chiwemba, Ichibemba, Wemba, Wawemba</t>
  </si>
  <si>
    <t>Tapali Ataleya Ka Mumbo?</t>
  </si>
  <si>
    <t>https://theglobaljukebox.org/?share=Aushi-T5445R23</t>
  </si>
  <si>
    <t>Dance song//CODING ID 293 IN GLOBAL JUKEBOX, RELEVANT TEXT IS IN THE GENRE FIELD//</t>
  </si>
  <si>
    <t>Kalela dance song with steel oil can drums: Is There Anyone Going to My Home?//CODING ID 293 IN GLOBAL JUKEBOX, RELEVANT TEXT IS IN THE DESCRIPTION FIELD//</t>
  </si>
  <si>
    <t>Kanioka</t>
  </si>
  <si>
    <t>kany1247</t>
  </si>
  <si>
    <t>kny</t>
  </si>
  <si>
    <t>Chindola Wa Mukalenga</t>
  </si>
  <si>
    <t>https://theglobaljukebox.org/?share=Kanioka-T5450R01</t>
  </si>
  <si>
    <t>Ceremonial</t>
  </si>
  <si>
    <t>Ceremonial song; processional music; chief's song//CODING ID 303 IN GLOBAL JUKEBOX, RELEVANT TEXT IS IN THE GENRE FIELD//</t>
  </si>
  <si>
    <t>Ceremonial processional for a chief//CODING ID 303 IN GLOBAL JUKEBOX, RELEVANT TEXT IS IN THE DESCRIPTION FIELD//</t>
  </si>
  <si>
    <t>Okande</t>
  </si>
  <si>
    <t>kand1300</t>
  </si>
  <si>
    <t>Paddler's Song</t>
  </si>
  <si>
    <t>https://theglobaljukebox.org/?share=Okande-T5521R44</t>
  </si>
  <si>
    <t>Boat Song</t>
  </si>
  <si>
    <t>Boat song; work song; paddling song//GLOBAL JUKEBOX CODING ID 9249/AUDIO FILE ID T5521R44, RELEVANT TEXT IS IN THE GENRE FIELD//</t>
  </si>
  <si>
    <t>Boat songs of Equatorial Africa accompany and set the rhythm for the paddlers; here the leader names all the villages that they have passed on their journey//GLOBAL JUKEBOX CODING ID 9249/AUDIO FILE ID T5521R44, RELEVANT TEXT IS IN THE DESCRIPTION FIELD//</t>
  </si>
  <si>
    <t>Adouma</t>
  </si>
  <si>
    <t>duma1253</t>
  </si>
  <si>
    <t>dma</t>
  </si>
  <si>
    <t>Badouma Paddler's Song</t>
  </si>
  <si>
    <t>https://theglobaljukebox.org/?share=Adouma-T5459R10</t>
  </si>
  <si>
    <t>Boat song; work song; paddling song//GLOBAL JUKEBOX CODING ID 331/AUDIO FILE ID T5459R10, RELEVANT TEXT IS IN THE GENRE FIELD//</t>
  </si>
  <si>
    <t>Paddler's song used to set the pace and coordinate the efforts of the dug-out crew; work song//GLOBAL JUKEBOX CODING ID 331/AUDIO FILE ID T5459R10, RELEVANT TEXT IS IN THE DESCRIPTION FIELD//</t>
  </si>
  <si>
    <t>Chant Des Piroguiers Badouma</t>
  </si>
  <si>
    <t>https://theglobaljukebox.org/?share=Adouma-T5459R15</t>
  </si>
  <si>
    <t>Boat song; work song; paddling song//GLOBAL JUKEBOX CODING ID 330/AUDIO FILE ID T5459R15, RELEVANT TEXT IS IN THE GENRE FIELD//</t>
  </si>
  <si>
    <t>Paddler's song with paddling sounds; work song//GLOBAL JUKEBOX CODING ID 330/AUDIO FILE ID T5459R15, RELEVANT TEXT IS IN THE DESCRIPTION FIELD//</t>
  </si>
  <si>
    <t>Baka</t>
  </si>
  <si>
    <t>baka1272</t>
  </si>
  <si>
    <t>ngba1292</t>
  </si>
  <si>
    <t>bkc</t>
  </si>
  <si>
    <t>Mebasi</t>
  </si>
  <si>
    <t>https://theglobaljukebox.org/?share=Baka-T5627R14</t>
  </si>
  <si>
    <t>Yodel Song</t>
  </si>
  <si>
    <t>Play song; yodel song//GLOBAL JUKEBOX CODING ID 30179/AUDIO FILE ID T5627R14, RELEVANT TEXT IS IN THE GENRE FIELD//</t>
  </si>
  <si>
    <t>Vocal play; yodeling//GLOBAL JUKEBOX CODING ID 30179/AUDIO FILE ID T5627R14, RELEVANT TEXT IS IN THE DESCRIPTION FIELD//</t>
  </si>
  <si>
    <t>Buryat (Not in eHRAF)</t>
  </si>
  <si>
    <t>Song about Shono Batore (translated LDR)</t>
  </si>
  <si>
    <t>https://browse.nypl.org/iii/encore/record/C__Rb18403807__SNon-Russian%20folk%20traditions__Orightresult__X6?lang=eng&amp;suite=def</t>
  </si>
  <si>
    <t>CD 2, Track 5</t>
  </si>
  <si>
    <t>None of these, NY Public Library</t>
  </si>
  <si>
    <t>History song //CD INSET translated LDR//</t>
  </si>
  <si>
    <t>Singer: Ulyana Tangasova //CD INSET translated LDR//</t>
  </si>
  <si>
    <t>In the research collection of the performing arts library</t>
  </si>
  <si>
    <t>Buryat (not in eHRAF)</t>
  </si>
  <si>
    <t>The nine fathom rope</t>
  </si>
  <si>
    <t>CD 2, Track 7</t>
  </si>
  <si>
    <t>History Song //CD INSET translated LDR//</t>
  </si>
  <si>
    <t>Singer Dembe-Norbo Zhambalova //CD INSET translated LDR//</t>
  </si>
  <si>
    <t>The golden ring (translated LDR)</t>
  </si>
  <si>
    <t>CD 2, Track 19</t>
  </si>
  <si>
    <t>Play song //CD INSET translated LDR//</t>
  </si>
  <si>
    <t>Singer: Cyzhit Batoeva //CD INSET translated LDR//</t>
  </si>
  <si>
    <t>Te, me, Harylaamlyj</t>
  </si>
  <si>
    <t>CD 3, Track 18</t>
  </si>
  <si>
    <t>Singer: G. S. Semenov //CD INSET translated LDR//</t>
  </si>
  <si>
    <t>Blacksmith's song (translated LDR)</t>
  </si>
  <si>
    <t>CD 3, Track 20</t>
  </si>
  <si>
    <t>Narrative lyrical song //CD INSET, translated LDR//</t>
  </si>
  <si>
    <t>Singer: S. Syu Nikiforov //CD INSET, translated LDR//</t>
  </si>
  <si>
    <t>CD 3, Track 22</t>
  </si>
  <si>
    <t>Singer: V. M. Vasilieva //CD INSET, translated LDR//</t>
  </si>
  <si>
    <t>Tuvan (not in eHRAF)</t>
  </si>
  <si>
    <t>Emusumu</t>
  </si>
  <si>
    <t>CD 5, Track 24</t>
  </si>
  <si>
    <t>Lullaby //CD INSET, translated LDR//</t>
  </si>
  <si>
    <t>Singer: N. Pianka //CD INSET, translated LDR//</t>
  </si>
  <si>
    <t>Janku o lyagushke i sohatom</t>
  </si>
  <si>
    <t>CD 5, Track 32</t>
  </si>
  <si>
    <t>Sung Legend //CD INSET translated LDR//</t>
  </si>
  <si>
    <t>Singer: N. M. Sigde //CD INSET translated LDR//</t>
  </si>
  <si>
    <t>Nimangu o Selemeze</t>
  </si>
  <si>
    <t>CD 5, Track 33</t>
  </si>
  <si>
    <t>Sung legend //CD INSET translated LDR//</t>
  </si>
  <si>
    <t>Sung by N. M. Sigde //CD INSET translated LDR//</t>
  </si>
  <si>
    <t>Nganasans</t>
  </si>
  <si>
    <t>ngan1291</t>
  </si>
  <si>
    <t>nio</t>
  </si>
  <si>
    <t>Sitabi</t>
  </si>
  <si>
    <t>CD 10, Track 1</t>
  </si>
  <si>
    <t>Legend song //CD Inset, translated LDR//</t>
  </si>
  <si>
    <t>Singer: D.D. Kosterkin</t>
  </si>
  <si>
    <t>Abkhazia</t>
  </si>
  <si>
    <t>Hadzhi Kyaranthyku</t>
  </si>
  <si>
    <t>https://search.alexanderstreet.com/preview/work/bibliographic_entity%7Cliner_notes%7C2258560</t>
  </si>
  <si>
    <t>Heroic song about Hadzhi Kyaranthyku //ON ALEXANDER STREET, IN THE LINER NOTE OF THE ALBUM: The Golden Fleece - Caucasus, Vol. 2: Songs From Abkhazia &amp; Adzharia, PAGE 9//</t>
  </si>
  <si>
    <t>Chantari Guagua</t>
  </si>
  <si>
    <t>Heroic epic song about Chantari Guagua //ON ALEXANDER STREET, IN THE LINER NOTE OF THE ALBUM: The Golden Fleece - Caucasus, Vol. 2: Songs From Abkhazia &amp; Adzharia, PAGE 9//</t>
  </si>
  <si>
    <t>Auardin</t>
  </si>
  <si>
    <t>Working song //ON ALEXANDER STREET, IN THE LINER NOTE OF THE ALBUM: The Golden Fleece - Caucasus, Vol. 2: Songs From Abkhazia &amp; Adzharia, PAGE 10//</t>
  </si>
  <si>
    <t>Azar</t>
  </si>
  <si>
    <t>Funeral lament in memory of a fallen hero //ON ALEXANDER STREET, IN THE LINER NOTE OF THE ALBUM: The Golden Fleece - Caucasus, Vol. 2: Songs From Abkhazia &amp; Adzharia, PAGE 10//</t>
  </si>
  <si>
    <t>Arkuashaga</t>
  </si>
  <si>
    <t>Dance song //ON ALEXANDER STREET, IN THE LINER NOTE OF THE ALBUM: The Golden Fleece - Caucasus, Vol. 2: Songs From Abkhazia &amp; Adzharia, PAGE 10//</t>
  </si>
  <si>
    <t>Funeral song //ON ALEXANDER STREET, IN THE LINER NOTE OF THE ALBUM: The Golden Fleece - Caucasus, Vol. 2: Songs From Abkhazia &amp; Adzharia, PAGE 11//</t>
  </si>
  <si>
    <t>Horse races</t>
  </si>
  <si>
    <t>1. Ritual song at the horse races //ON ALEXANDER STREET, IN THE LINER NOTE OF THE ALBUM: The Golden Fleece - Caucasus, Vol. 2: Songs From Abkhazia &amp; Adzharia, PAGE 11// 2. Azar is also the name of a quite different song that is performed before horse races //ON ALEXANDER STREET, IN THE LINER NOTE OF THE ALBUM: The Golden Fleece - Caucasus, Vol. 2: Songs From Abkhazia &amp; Adzharia, PAGE 6//</t>
  </si>
  <si>
    <t>Lament</t>
  </si>
  <si>
    <t>Procession - funeral</t>
  </si>
  <si>
    <t>The keening over the deceased varies in form and melody. It is either loud calls by women of moan singing by men. Sometimes there is musically organized group-keening performed by men, before the funeral starts [11]. //ON ALEXANDER STREET, IN THE LINER NOTE OF THE ALBUM: The Golden Fleece - Caucasus, Vol. 2: Songs From Abkhazia &amp; Adzharia, PAGE 6//</t>
  </si>
  <si>
    <t>Zhan Achba</t>
  </si>
  <si>
    <t>This is a very special song about a blind singer who was persecuted for his satirical songs. This person did exist in reality. He died in 1916. //ON ALEXANDER STREET, IN THE LINER NOTE OF THE ALBUM: The Golden Fleece - Caucasus, Vol. 2: Songs From Abkhazia &amp; Adzharia, PAGE 6//</t>
  </si>
  <si>
    <t>Aiba Huita</t>
  </si>
  <si>
    <t>The song "Aiba Huita" [15] is about the death of a hero who took revenge over the death of this beloved son but perished in this fight. //ON ALEXANDER STREET, IN THE LINER NOTE OF THE ALBUM: The Golden Fleece - Caucasus, Vol. 2: Songs From Abkhazia &amp; Adzharia, PAGE 6//</t>
  </si>
  <si>
    <t>Ozbak</t>
  </si>
  <si>
    <t>In "Ozbak" [17] the only words that come out clearly are: 'Ozbak is our hero', although every singer knows the legend behind the song. Ozbak, according to this legend, managed to overcome grief after his son had been killed. He did not take revenge on those who killed his son, because he believed that his son was to blame. The heroism of the father is in his high sense of justice. The song ends with a dance to praise the hero for his high moral. //ON ALEXANDER STREET, IN THE LINER NOTE OF THE ALBUM: The Golden Fleece - Caucasus, Vol. 2: Songs From Abkhazia &amp; Adzharia, PAGE 7//</t>
  </si>
  <si>
    <t>Narts</t>
  </si>
  <si>
    <t>The original song about the Narts [20], performed here on achirpan, tells the story: "In old times there lived people, called 'the great Narts'...The heroic deeds of the Narts are still remembered now". //ON ALEXANDER STREET, IN THE LINER NOTE OF THE ALBUM: The Golden Fleece - Caucasus, Vol. 2: Songs From Abkhazia &amp; Adzharia, PAGE 7 &amp; 8//</t>
  </si>
  <si>
    <t>Wedding song //ON ALEXANDER STREET, IN THE LINER NOTE OF THE ALBUM: The Golden Fleece - Caucasus, Vol. 2: Songs From Abkhazia &amp; Adzharia, PAGE 11, TITLE OF SONG 22//</t>
  </si>
  <si>
    <t>Ritual song melody //ON ALEXANDER STREET, IN THE LINER NOTE OF THE ALBUM: The Golden Fleece - Caucasus, Vol. 2: Songs From Abkhazia &amp; Adzharia, PAGE 11, DESCRIPTION OF SONG 22//</t>
  </si>
  <si>
    <t>Arkushaga</t>
  </si>
  <si>
    <t>Dance melody //ON ALEXANDER STREET, IN THE LINER NOTE OF THE ALBUM: The Golden Fleece - Caucasus, Vol. 2: Songs From Abkhazia &amp; Adzharia, PAGE 11, DESCRIPTION OF SONG 23//</t>
  </si>
  <si>
    <t>Alexander St. lists voice as an instrument but no voice can be heard on recording</t>
  </si>
  <si>
    <t>Adzharia (I did not find this culture on eHRAF, but the liner notes of the album claim that this culture is located on the Black Sea shore and bordering Turkey in the south, so it should be part of Georgia, therefore within the Caucasus area)</t>
  </si>
  <si>
    <t>Okros Ninosi</t>
  </si>
  <si>
    <t>Track 34</t>
  </si>
  <si>
    <t>Mourning feast</t>
  </si>
  <si>
    <t>According to Georgian tradition, it is performed at the mourning feast, 40 days after the death of a person [34]. //ON ALEXANDER STREET, IN THE LINER NOTE OF THE ALBUM: The Golden Fleece - Caucasus, Vol. 2: Songs From Abkhazia &amp; Adzharia, PAGE 9//</t>
  </si>
  <si>
    <t>Chapache</t>
  </si>
  <si>
    <t>https://theglobaljukebox.org/?share=Lunda-T5455R27</t>
  </si>
  <si>
    <t>Party</t>
  </si>
  <si>
    <t>Party song; dance song//CODING ID 3198 IN GLOBAL JUKEBOX, RELEVANT TEXT IS IN THE GENRE FIELD//</t>
  </si>
  <si>
    <t>Party dance song//CODING ID 3198 IN GLOBAL JUKEBOX, RELEVANT TEXT IS IN THE DESCRIPTION FIELD//</t>
  </si>
  <si>
    <t>Pounding Song: Two Extracts - Nzimbo za muwende</t>
  </si>
  <si>
    <t>https://folkways.si.edu/annie-banda-ida-sakala-and-lekesina-banda/pounding-song-two-extracts-nzimbo-za-muwende/world/music/track/smithsonian</t>
  </si>
  <si>
    <t>Work song; pounding song//CODING ID 1520 IN GLOBAL JUKEBOX, RELEVANT TEXT IS IN THE GENRE FIELD//</t>
  </si>
  <si>
    <t>Pounding song; Annie pounded meal in a small mortar and the other two worked together with a larger one//CODING ID 1520 IN GLOBAL JUKEBOX, RELEVANT TEXT IS IN THE DESCRIPTION FIELD//</t>
  </si>
  <si>
    <t>Sindhi</t>
  </si>
  <si>
    <t>sind1272</t>
  </si>
  <si>
    <t>snd</t>
  </si>
  <si>
    <t>Kaafi about loneliness</t>
  </si>
  <si>
    <t>https://sounds.bl.uk/World-and-traditional-music/Music-from-India/025M-RKDATX0072XX-0400V0</t>
  </si>
  <si>
    <t>Religious story-telling</t>
  </si>
  <si>
    <t>Kaafi about loneliness //CODING ID RKDATX0072XX-04 RK DAT 72 IN BRITISH LIBRARY, RELEVANT TEXT IS IN THE TITLE//</t>
  </si>
  <si>
    <t>Metadata: https://sounds.bl.uk/Item/ViewXmlFile/025M-RKDATX0072XX-0400V0</t>
  </si>
  <si>
    <t>sans1269</t>
  </si>
  <si>
    <t>Asthapadi, Bengali love poem by KP Sivaraman Pooduval</t>
  </si>
  <si>
    <t>https://sounds.bl.uk/World-and-traditional-music/Music-from-India/025M-RKDATX0066XX-0100V0</t>
  </si>
  <si>
    <t>Religious story</t>
  </si>
  <si>
    <t>Asthapadi, Bengali love poem //CODING ID RKDATX0066XX-01 RK DAT 66 IN BRITISH LIBRARY, RELEVANT TEXT IS IN THE TITLE//</t>
  </si>
  <si>
    <t>METADATA: https://sounds.bl.uk/Item/ViewXmlFile/025M-RKDATX0066XX-0100V0</t>
  </si>
  <si>
    <t>No specific culture labeled, but the song was recorded in County Donegal and is labeled a traditional Irish song</t>
  </si>
  <si>
    <t>The Banks of the Moy</t>
  </si>
  <si>
    <t>https://www.itma.ie/inishowen/song/banks_of_the_moy_michael_mcgonigle</t>
  </si>
  <si>
    <t>Irish Traditional Music Archive</t>
  </si>
  <si>
    <t>"One night as I went on my rambles from Swinford to sweet Ballyvee Sure I met a fair maid on my ramble and and her hame it was Mary McGee And she sighed for the rights of her country Michael Davitt her true Irish boy And is now a prisoner of Portland far from the lovely sweet banks of the Moy Don't speak of the sweet sixty seven when brave men were true men you know And the brave Peter Carney God rest him sure he died at Killarney also He was drilled by my darling Mick Davitt in the valleys and glens of Fermoy That's why he's a prisoner of Portland far from the lovely sweet banks of the Moy Well I quickly approached this fair maiden asked her what was the cause of her woe Or what was the cause of her suffering that forced her to leave her own home And she sighed for the rights of her country Michael Davitt her true Irish boy Who is now a prisoner of Portland far from the lovely sweet banks of the Moy Well it’s now to conclude and to finish and I hope that the day will soon come When those cruel landlords and bailiffs from the land of Saint Patrick must run For we’ll unfurl our green and gold banner and to Ireland we’ll raise them on high And we will toast to that brave Michael Davitt on the lovely sweet banks of the Moy." //IRISH TRADITIONAL MUSIC ARCHIVE, THE BANKS OF THE MOY, SONG//</t>
  </si>
  <si>
    <t>Yorkshire, but also appeared in different versions in Somerset, Cambridgeshire, Gloucestershire, Devon and Kent</t>
  </si>
  <si>
    <t>Cock Robin</t>
  </si>
  <si>
    <t>http://www.yorkshirefolksong.net/song.cfm?songID=88</t>
  </si>
  <si>
    <t>The Yorkshire Garland Group</t>
  </si>
  <si>
    <t>"Mostly found as a children’s singing game, this old song is widespread in the English-speaking world under a wide variety of titles, usually a man’s name preceded by ‘Old’ or ‘Poor’." //YORKSHIRE GARLAND GROUP, RELEVANT TEXT IS IN THE PROVENANCE FIELD ON THE COCK ROBIN SONG//</t>
  </si>
  <si>
    <t>Yorkshire</t>
  </si>
  <si>
    <t>Owd Jack Braddalar</t>
  </si>
  <si>
    <t>http://www.yorkshirefolksong.net/song.cfm?songID=134</t>
  </si>
  <si>
    <t>"children’s stick dance in which the participants lined up in morris dance formation, and each verse involved successive dancers employing their sticks in some way to strike parts of the body or other dancers’ sticks." // YORKSHIRE GARLAND GROUP, RELEVANT TEXT IS IN THE PROVENANCE FIELD OF THE SONG OWD JACK BRADDALAR//</t>
  </si>
  <si>
    <t>"1 Number one, number one, ’od my ’oss while I jump on. Chorus With a rum-tum-taddalar, old Jack Braddalar, Country lads are we. 2 Number two, number two, some wear a boot but I wear a shoe. 3 Number three, number three, some like coffee but I like tea. 4 Number four, number four, some jump in but I jump o’er. 5 Number five, number five, some are dead but I’m alive. 6 Number six, number six, I can chop some very fine sticks. 7 Number seven, number seven, some go to Hell but I’ll go to Heaven. 8 Number eight, number eight, some are bent but I am straight. 9 Number nine, number nine, some drink beer but I drink wine. 10 Number ten, number ten, if tha wants any more tha mun sing it for thissen." // YORKSHIRE GARLAND GROUP, RELEVANT TEXT IS IN THE LYRICS FIELD OF THE SONG OWD JACK BRADDALAR//</t>
  </si>
  <si>
    <t>Tolai (not listed in HRAF)</t>
  </si>
  <si>
    <t>kuan1248</t>
  </si>
  <si>
    <t>ksd</t>
  </si>
  <si>
    <t>Village Dance Song</t>
  </si>
  <si>
    <t>http://media.theglobaljukebox.org/audio/T5431R12.mp3</t>
  </si>
  <si>
    <t>Dance song //CODING ID 4252 IN GLOBAL JUKEBOX, RELEVANT TEXT IS IN THE DESCRIPTION FIELD//</t>
  </si>
  <si>
    <t>First link is the audio file, second is metadata https://theglobaljukebox.org/?share=Tolai-T5431R12</t>
  </si>
  <si>
    <t>Sand Game Song</t>
  </si>
  <si>
    <t>http://media.theglobaljukebox.org/audio/T5431R13.mp3</t>
  </si>
  <si>
    <t>Game song //CODING ID 4251 IN GLOBAL JUKEBOX, RELEVANT TEXT IS IN THE DESCRIPTION FIELD//</t>
  </si>
  <si>
    <t>First link is the audio file, second is metadata https://theglobaljukebox.org/?share=Tolai-T5431R13</t>
  </si>
  <si>
    <t>Notsi</t>
  </si>
  <si>
    <t>nots1237</t>
  </si>
  <si>
    <t>ncf</t>
  </si>
  <si>
    <t>Sokouin Song</t>
  </si>
  <si>
    <t>http://media.theglobaljukebox.org/audio/T30203.mp3</t>
  </si>
  <si>
    <t>Lullaby; work song (Song for the lopping of a tree trunk; can be sung as lullaby) //CODING ID 30203 IN GLOBAL JUKEBOX, RELEVANT TEXT IS IN THE DESCRIPTION FIELD//</t>
  </si>
  <si>
    <t>First link is the audio file, second is metadata https://theglobaljukebox.org/?share=Notsi-T30203</t>
  </si>
  <si>
    <t>Two Lullabies - Nzimbo zo sinsihila mwana - Songs for Rocking a Child</t>
  </si>
  <si>
    <t>https://folkways.si.edu/alice-mwale-and-josefina-lungu/two-lullabies-nzimbo-zo-sinsihila-mwana-songs-for-rocking-a-child/world/music/track/smithsonian</t>
  </si>
  <si>
    <t>Lullaby//CODING ID 1519 IN GLOBAL JUKEBOX, RELEVANT TEXT IS IN THE GENRE FIELD//</t>
  </si>
  <si>
    <t>Lullabies; Songs for Rocking a Child//CODING ID 1519 IN GLOBAL JUKEBOX, RELEVANT TEXT IS IN THE DESCRIPTION FIELD//</t>
  </si>
  <si>
    <t>County Derry, Ireland</t>
  </si>
  <si>
    <t>The Arranmore Disaster</t>
  </si>
  <si>
    <t>https://www.itma.ie/digital-library/sound/arranmore_disaster_john_butcher_junior</t>
  </si>
  <si>
    <t>NA //IRISH TRADITIONAL MUSIC ARCHIVE, THE ARRANMORE DISASTER SONG//</t>
  </si>
  <si>
    <t>"‘One November evening in 1935, a boat-load of migratory workers, on the last stage of their way home from the Scottish harvest fields, set out from Burtonport to Arranmore. The boat struck a rock in the dark, and the lone survivor of the party was picked up next morning, clinging to an upturned boat, and holding on to the dead body of his father ...’" //IRISH TRADITIONAL MUSIC ARCHIVE, RELEVANT TEXT IS IN THE NOTES FIELD//</t>
  </si>
  <si>
    <t>Good people dear, pray lend an ear, I’ll tell you one and all About a great disaster that occurred off Donegal; The wild Atlantic ocean has added to its toll Another nineteen victims: may the Lord receive each soul. 2 ’Twas in the year of thirty-five on a bleak November eve This awful tragedy occurred, it caused us all to grieve; Those cheerful lads returning from the Scottish harvest field Unto the stormy ocean their lives were forced to yield. 3 What cheerful thoughts were in their mind when sailing up Lough Foyle To view the hills of Inishowen, that land of Irish soil! Their little boat came slowly on through Creeslough and Gweedore: Oh God, who’d think they ne’er would reach their native Arranmore! 4 When they arrived at Burtonport they were met upon the pier, They laughed and chatted with their friends all in the best of cheer; They set out for the island but they never reached its shore; A cloud of grief and sorrow hangs over homely Arranmore. 5 Their little boat by God’s will doomed across the waves did sail, There was only one out of a score survived to tell the tale; He saved two other passengers that perished in the cold; The highest praise must be his due, this hero true and bold. 6 So now, kind friends, there’s one request I’ll ask of one and all: Pray for the nineteen victims that were lost off Donegal. With St Patrick and St Bridget may they dwell for ever more In a land where hardships are unknown far away from Arranmore. //IRISH TRADITIONAL MUSIC ARCHIVE, RELEVANT TEXT IS IN THE LYRICS FIELD//</t>
  </si>
  <si>
    <t>The Banks of the Bann</t>
  </si>
  <si>
    <t>https://www.itma.ie/digital-library/sound/banks_of_bann_eddie_butcher</t>
  </si>
  <si>
    <t>NA //IRISH TRADITIONAL MUSIC ARCHIVE, THE BANKS OF THE BANN SONG//</t>
  </si>
  <si>
    <t>"When first to this country a stranger I came I placed my affection on a maid that was young; She being young and tender, her waist small and slender, Kind Nature had formed her for my overthrow. 2 On the banks of the Bann there where I first beheld her She appeared like great Juno, that fair Grecian queen; Her eyes shone like diamonds or stars brightly shining, Her cheeks bloomed like roses or blood drops on snow. 3 It was her cruel parents that first caused our variance Because she was rich and above my degree, But I’ll do my endeavour to gain my love’s favour The more she is come of a rich family. 4 Had I all the money that lies in the Indies Or all the bright diamonds that’s in the queen’s store I would spend it in shining diamonds for to deck you, my darling, For there’s no other charmer on earth I adore. 5 Now since I have gained her I’ll be contented for ever, I’ll put rings on her fingers and gold in her ears, And here on the lovely banks of the bonny Bann water In all sorts of pleasure I’ll reside with my dear." //IRISH TRADITIONAL MUSIC ARCHIVE, THE BANKS OF THE BANN SONG, RELEVANT TEXT IS IN THE LYRICS FIELD//</t>
  </si>
  <si>
    <t>eus</t>
  </si>
  <si>
    <t>Haallijintje</t>
  </si>
  <si>
    <t>http://gofile.me/3T2hs/bdDEUntps</t>
  </si>
  <si>
    <t>Loeb AWM</t>
  </si>
  <si>
    <t>"sung by seamen aboard their sailing vessels as the crews would set to work [...] was sung as the lines were being trimmed" //AWM CD 13119 IN LOEB; INFO IN LINER NOTES//</t>
  </si>
  <si>
    <t>Basques</t>
  </si>
  <si>
    <t>Soldaat kwam uit de oorlog</t>
  </si>
  <si>
    <t>http://gofile.me/3T2hs/FJWuStfid</t>
  </si>
  <si>
    <t>Harvard Loeb AWM</t>
  </si>
  <si>
    <t>“Tells of a soilder who has returned from war [he goes to a bar]. Struck by his resemblance to her dead husband, the landlady breaks into tears [...] the soilder reveals he is indeed her first husband --the death notice was a mistake” //AWM CD 13119 IN LOEB; INFO IN LINER NOTES//</t>
  </si>
  <si>
    <t>Met u te Gaan Wandelen</t>
  </si>
  <si>
    <t>http://gofile.me/3T2hs/eozyW0Okz</t>
  </si>
  <si>
    <t>“but come tonight, oh dearest mine// when the moon so clear does shine// then we’ll go walking together” //AWM CD 13119 IN LOEB; INFO IN LINER NOTES//</t>
  </si>
  <si>
    <t>Arranoa (the eagle)</t>
  </si>
  <si>
    <t>http://gofile.me/3T2hs/BSo66lCfp</t>
  </si>
  <si>
    <t>“Arranoa expresses man's fascination with the flight of the eagle, and perhaps, his desire to soar in singing” //AWM CD 9751 IN LOEB; INFO IN LINER NOTES//</t>
  </si>
  <si>
    <t>Planu Niz</t>
  </si>
  <si>
    <t>http://gofile.me/3T2hs/72B70SwOb</t>
  </si>
  <si>
    <t>Harvard AWM Loeb</t>
  </si>
  <si>
    <t>“Another lovesong written in clear, beautiful Basque. This time the theme is that of wait and meeting again.” //AWM CD 9751 IN LOEB; INFO IN LINER NOTES//</t>
  </si>
  <si>
    <t>French basques</t>
  </si>
  <si>
    <t>Ene Maitiak...(my beloved has fair hair)</t>
  </si>
  <si>
    <t>http://gofile.me/3T2hs/Sw5wG0qML</t>
  </si>
  <si>
    <t>This is a lovesong from Upper Soule that was made famous by the great Souletin singer Chuburu” //AWM CD 9751 IN LOEB; INFO IN LINER NOTES//</t>
  </si>
  <si>
    <t>Agur Extebe (Hello! Extebe)</t>
  </si>
  <si>
    <t>http://gofile.me/3T2hs/yo6qn4cGB</t>
  </si>
  <si>
    <t>“This is a lively colorful Soka-Dantza -- A style of dancing that is very popular in the Vale of Garazi as well as in Labourd” //AWM CD 9751 IN LOEB; INFO IN LINER NOTES//</t>
  </si>
  <si>
    <t>Liner Notes list "Flemish Dutch". D-place only is as specific as "Dutch"</t>
  </si>
  <si>
    <t>Polka</t>
  </si>
  <si>
    <t>http://gofile.me/3T2hs/HTj4IFghP</t>
  </si>
  <si>
    <t>LOEB AWM</t>
  </si>
  <si>
    <t>Listed under a category for dance in the liner notes //AWM CD 9283 IN LOEB; INFO IN LINER NOTES//</t>
  </si>
  <si>
    <t>Walloon</t>
  </si>
  <si>
    <t>wall1255</t>
  </si>
  <si>
    <t>wln</t>
  </si>
  <si>
    <t>branle de bertrix</t>
  </si>
  <si>
    <t>http://gofile.me/3T2hs/UOKiCgTvE</t>
  </si>
  <si>
    <t>L’Aveine</t>
  </si>
  <si>
    <t>http://gofile.me/3T2hs/h3r10aRpc</t>
  </si>
  <si>
    <t>Traditional Narrative</t>
  </si>
  <si>
    <t>http://gofile.me/3T2hs/7oE3Mxhn9</t>
  </si>
  <si>
    <t>“While visiting a friendly king, King Solomon is asked about his family. Ashamed of having only three daughters, he resorts to a lie, pretending to have three sons. His host now asks the Jewish king to send him one of them. Much distressed. Solomon returns home, deciding to send him one of his daughters disguised as a man. In order to test his daughters courage, he dresses up as a robber and waits in ambush for each of them. The youngest passes the test well and is thus chosen to travel to the foreign court.” //AWM CD 12367 IN LOEB; INFO IN LINER NOTES//</t>
  </si>
  <si>
    <t>Folk Song</t>
  </si>
  <si>
    <t>http://gofile.me/3T2hs/v0vCuRryW</t>
  </si>
  <si>
    <t>“In this love song a man complains about being neglected by his beloved” //AWM CD 12367 IN LOEB; INFO IN LINER NOTES//</t>
  </si>
  <si>
    <t>Three Folk Songs</t>
  </si>
  <si>
    <t>http://gofile.me/3T2hs/oAcJGjdTz</t>
  </si>
  <si>
    <t>“A celebration of poets from the Labourd Province” //AWM CD 12367 IN LOEB; INFO IN LINER NOTES//</t>
  </si>
  <si>
    <t>This recording contains three songs; this song plays from 00:00 - 00:32</t>
  </si>
  <si>
    <t>http://gofile.me/3T2hs/P3l4VHVxk</t>
  </si>
  <si>
    <t>“A man tells his beloved that he wishes he were Louis Philippe, King of France, in order to court her in style” //AWM CD 12367 IN LOEB; INFO IN LINER NOTES//</t>
  </si>
  <si>
    <t>3 Songs on this recording; This song plays from 00:37-01:19</t>
  </si>
  <si>
    <t>Stories from Daily life</t>
  </si>
  <si>
    <t>http://gofile.me/3T2hs/RWrSsO9Ws</t>
  </si>
  <si>
    <t>“An old woman is mourning the death of a man who has just died” //AWM CD 12367 IN LOEB; INFO IN LINER NOTES//</t>
  </si>
  <si>
    <t>Multiple songs on this track; this one plays 01:33-01:52</t>
  </si>
  <si>
    <t>Popular story</t>
  </si>
  <si>
    <t>http://gofile.me/3T2hs/f6i0K58Rm</t>
  </si>
  <si>
    <t>“A native of Ste-Engrace returns home with smuggled Cheese from Spain. A thunderstorm makes him seek refuge in a cave. where he meets the “wild man”, the devil. He tells the wanderer that he will devour him unless he tells him three truths — whereupon the other: 1. They say that a full moon night is as light as day, but I do not believe in this. 2. They say that maize bread is better than tasty wheat bread, but I do not believe in this. 3. If I had known that I would meet you here I would not have come. The wild man agrees to these three truths and only asks the native of Ste—Engrace never to come into his sight again.” //AWM CD 12367 IN LOEB; INFO IN LINER NOTES//</t>
  </si>
  <si>
    <t>Armenian</t>
  </si>
  <si>
    <t>Pendjelik mendjelik</t>
  </si>
  <si>
    <t>https://search.alexanderstreet.com/preview/work/bibliographic_entity%7Cliner_notes%7C2257067</t>
  </si>
  <si>
    <t>Love song //ON ALEXANDER STREET, IN THE LINER NOTE OF THE ALBUM: Asie Centrale et Caucase: Voix de l'orient Soviétique, PAGE 14, DESCRIPTION OF SONG 8//</t>
  </si>
  <si>
    <t>Gurian (Wikipedia says Guria is a province of Georgia, but there’s no information about it on eHRAF, so I’m not sure the name of the culture should be Gurian or just Georgia)</t>
  </si>
  <si>
    <t>guri1246</t>
  </si>
  <si>
    <t>Nadouri</t>
  </si>
  <si>
    <t>Gurian work song based on onomatopoeias. //ON ALEXANDER STREET, IN THE LINER NOTE OF THE ALBUM: Asie Centrale et Caucase: Voix de l'orient Soviétique, PAGE 14, DESCRIPTION OF SONG 13//</t>
  </si>
  <si>
    <t>Azerbaijan</t>
  </si>
  <si>
    <t>25-3 Saz solo</t>
  </si>
  <si>
    <t xml:space="preserve">https://search.alexanderstreet.com/preview/work/bibliographic_entity%7Cvideo_work%7C3953633 </t>
  </si>
  <si>
    <t>Tape 25, 25-5</t>
  </si>
  <si>
    <t>plucked lute performance and song: “Beloved one” //ON ALEXANDER STREET, IN THE SUPPLEMENTAL MATERIALS OF THE ALBUM: Soviet Union III: Azerbaijan, Armenia, Georgia, Dagestan, Russian Gypsies, IN THE DOCUMENT TITLED "THEJVCVIDEOANTHOLOGYBOOK6", PAGE 43, DESCRIPTION OF 25-5//</t>
  </si>
  <si>
    <t>I loved you with all my heart But you did not notice it You sinful woman I always waited for you to come But not once did you appear. In my breast, I think of you and cry for you. //ON ALEXANDER STREET, IN THE SUPPLEMENTAL MATERIALS OF THE ALBUM: Soviet Union III: Azerbaijan, Armenia, Georgia, Dagestan, Russian Gypsies, IN THE DOCUMENT TITLED "THEJVCVIDEOANTHOLOGYBOOK6", PAGE 43-44, DESCRIPTION OF 25-5//</t>
  </si>
  <si>
    <t>The song starts at around 18:15</t>
  </si>
  <si>
    <t>Wedding dance and song</t>
  </si>
  <si>
    <t>https://search.alexanderstreet.com/preview/work/bibliographic_entity%7Cvideo_work%7C3953633</t>
  </si>
  <si>
    <t>Tape 25, 25-7</t>
  </si>
  <si>
    <t>Wedding &amp; dance</t>
  </si>
  <si>
    <t>Wedding dance and song //ON ALEXANDER STREET, IN THE SUPPLEMENTAL MATERIALS OF THE ALBUM: Soviet Union III: Azerbaijan, Armenia, Georgia, Dagestan, Russian Gypsies, IN THE DOCUMENT TITLED "THEJVCVIDEOANTHOLOGYBOOK6", PAGE 45, DESCRIPTION OF 25-7//</t>
  </si>
  <si>
    <t>The group here performs songs and dances that customarily accompany preparations for wedding festivities. //ON ALEXANDER STREET, IN THE SUPPLEMENTAL MATERIALS OF THE ALBUM: Soviet Union III: Azerbaijan, Armenia, Georgia, Dagestan, Russian Gypsies, IN THE DOCUMENT TITLED "THEJVCVIDEOANTHOLOGYBOOK6", PAGE 45, DESCRIPTION OF 25-7//</t>
  </si>
  <si>
    <t>The song starts at around 30:22.</t>
  </si>
  <si>
    <t>Sardinian</t>
  </si>
  <si>
    <t>sard1257</t>
  </si>
  <si>
    <t>Canto Lugudorese</t>
  </si>
  <si>
    <t>https://folkways.si.edu/folk-music-from-italy/world/album/smithsonian</t>
  </si>
  <si>
    <t>Love song //SMITHSONIAN FOLKWAYS: PAGE 4 OF THE "FOLK MUSIC FROM ITALY" LINER NOTES//</t>
  </si>
  <si>
    <t>Recorded Recorded in a village near Cagliari, Sardinia. A love song entitled "Restare Gheria TIe lla" - - "I Want To Stay With You, Beautiful One". //SMITHSONIAN FOLKWAYS: PAGE 4 OF THE "FOLK MUSIC FROM ITALY" LINER NOTES//</t>
  </si>
  <si>
    <t>"I want to stay with you, oh my beautiful one, until dawn. Why are you so far away?" //SMITHSONIAN FOLKWAYS: PAGE 4 OF THE "FOLK MUSIC FROM ITALY" LINER NOTES//</t>
  </si>
  <si>
    <t>Ballo degli Sposi</t>
  </si>
  <si>
    <t>Dance of the newlyweds on the morning of the wedding //SMITHSONIAN FOLKWAYS: PAGE 4 OF THE LINER NOTES FROM "FOLK MUSIC FROM ITALY"//</t>
  </si>
  <si>
    <t>Canto alla Tempiesina</t>
  </si>
  <si>
    <t>Love song //SMITHSONIAN FOLKWAYS: PAGE 4 OF THE LINER NOTES FOR "FOLK MUSIC FROM ITALY"//</t>
  </si>
  <si>
    <t>A love song. //SMITHSONIAN FOLKWAYS: PAGE 4 OF THE LINER NOTES FOR "FOLK MUSIC FROM ITALY"//</t>
  </si>
  <si>
    <t>8/13/2018 0:05:22</t>
  </si>
  <si>
    <t>Bonas Dies Comare</t>
  </si>
  <si>
    <t>A fisherman's son, addressed to the singer's mother-in-law, asking about a visitor who comes in to see his wife. "Hello, Mother-in-Law, I wish to ask you something jokingly, though how could I ask you jokingly? Oh Mother-in-Law, what would the Father-in-Law ask? I Intended to marry your daughter and stay with her unto death." //SMITHSONIAN FOLKWAYS: PAGE 4 OF THE LINER NOTES FOR "FOLK MUSIC FROM ITALY"//</t>
  </si>
  <si>
    <t>8/13/2018 0:16:02</t>
  </si>
  <si>
    <t>Love song //GLOBAL JUKEBOX CODING ID 1503 GENRE//</t>
  </si>
  <si>
    <t>8/13/2018 21:55:12</t>
  </si>
  <si>
    <t>Bukharam Jewish. Not found on eHARf</t>
  </si>
  <si>
    <t>bhh</t>
  </si>
  <si>
    <t>Jon-e Manam "My Soul"</t>
  </si>
  <si>
    <t>http://gofile.me/3T2hs/SpPyjtnnh</t>
  </si>
  <si>
    <t>Harvard Archive of World Music HOLLIS</t>
  </si>
  <si>
    <t>Jon-e Manam "My Soul" //CODING ID HOLLIS NUMBER 990045608440203941 IN HARVARD ARCHIVE OF WORLD MUSIC, RELEVANT TEXT IS IN THE LINEAR NOTES//</t>
  </si>
  <si>
    <t>Don't say for nothing that she makes my hear joyful. I kill my beloved, how long do I have to live? //CODING ID HOLLIS NUMBER 990045608440203941 IN HARVARD ARCHIVE OF WORLD MUSIC, RELEVANT TEXT IS IN THE LINEAR NOTES PAGE 6//</t>
  </si>
  <si>
    <t>Search Parameters set to Place: Central Asia Resource type: Sound Recording</t>
  </si>
  <si>
    <t>8/14/2018 2:44:40</t>
  </si>
  <si>
    <t>Kara(not listed in HRAF)</t>
  </si>
  <si>
    <t>http://media.theglobaljukebox.org/audio/T30205.mp3</t>
  </si>
  <si>
    <t>8/15/2018 15:46:08</t>
  </si>
  <si>
    <t>W. Nakanai (not listed in HRAF)</t>
  </si>
  <si>
    <t>naka1262</t>
  </si>
  <si>
    <t>nak</t>
  </si>
  <si>
    <t>Lakuala</t>
  </si>
  <si>
    <t>http://media.theglobaljukebox.org/audio/T5428R02.mp3</t>
  </si>
  <si>
    <t>Work song; boat song //CODING ID 2254 IN GLOBAL JUKEBOX, RELEVANT TEXT IS IN THE DESCRIPTION FIELD//</t>
  </si>
  <si>
    <t>First link is the audio file, second is metadata: https://theglobaljukebox.org/?share=W.%20Nakanai-T5428R02</t>
  </si>
  <si>
    <t>8/15/2018 15:51:22</t>
  </si>
  <si>
    <t>Dance song CODING ID 4252 IN GLOBAL JUKEBOX, RELEVANT TEXT IS IN THE DESCRIPTION FIELD//</t>
  </si>
  <si>
    <t>First link is the audio file, second is metadata: https://theglobaljukebox.org/?share=Tolai-T5431R12</t>
  </si>
  <si>
    <t>8/15/2018 15:59:05</t>
  </si>
  <si>
    <t>Buzuburu</t>
  </si>
  <si>
    <t>https://theglobaljukebox.org/?share=Tolai-T5430R33</t>
  </si>
  <si>
    <t>Work song; gathering song //CODING ID 9598 IN GLOBAL JUKEBOX, RELEVANT TEXT IS IN THE DESCRIPTION FIELD//</t>
  </si>
  <si>
    <t>No audio yet</t>
  </si>
  <si>
    <t>8/15/2018 16:10:33</t>
  </si>
  <si>
    <t>Jejere dukuli</t>
  </si>
  <si>
    <t>Work song //CODING ID 9599 IN GLOBAL JUKEBOX, RELEVANT TEXT IS IN THE DESCRIPTION FIELD//</t>
  </si>
  <si>
    <t>8/15/2018 16:13:20</t>
  </si>
  <si>
    <t>Siassi-Umboi (not listed in HRAF)</t>
  </si>
  <si>
    <t>kova1243</t>
  </si>
  <si>
    <t>Aisorpua</t>
  </si>
  <si>
    <t>http://media.theglobaljukebox.org/audio/T5430R30.mp3</t>
  </si>
  <si>
    <t>Funeral song //CODING ID 871 IN GLOBAL JUKEBOX, RELEVANT TEXT IS IN THE DESCRIPTION FIELD//</t>
  </si>
  <si>
    <t>First link is the audio file, second is metadata: https://theglobaljukebox.org/?share=Siassi-Umboi-T5430R30</t>
  </si>
  <si>
    <t>8/15/2018 16:19:54</t>
  </si>
  <si>
    <t>Namatanai (not listed in HRAF)</t>
  </si>
  <si>
    <t>tiga1245</t>
  </si>
  <si>
    <t>Bar-e</t>
  </si>
  <si>
    <t>http://media.theglobaljukebox.org/audio/T5430R37.mp3</t>
  </si>
  <si>
    <t>Work song; magic song; fishing song //CODING ID 867 IN GLOBAL JUKEBOX, RELEVANT TEXT IS IN THE DESCRIPTION FIELD//</t>
  </si>
  <si>
    <t>First link is the audio file, second is metadata: https://theglobaljukebox.org/?share=Namatanai-T5430R37</t>
  </si>
  <si>
    <t>8/15/2018 16:29:53</t>
  </si>
  <si>
    <t>Makolkol (not listed in HRAF)</t>
  </si>
  <si>
    <t>mako1250</t>
  </si>
  <si>
    <t>zmh</t>
  </si>
  <si>
    <t>Li-Mein</t>
  </si>
  <si>
    <t>http://media.theglobaljukebox.org/audio/T5430R34.mp3</t>
  </si>
  <si>
    <t>Dance Song //CODING ID 87 IN GLOBAL JUKEBOX, RELEVANT TEXT IS IN THE DESCRIPTION FIELD//</t>
  </si>
  <si>
    <t>First link is the audio file, second is metadata: https://theglobaljukebox.org/?share=Makolkol-T5430R34</t>
  </si>
  <si>
    <t>8/15/2018 16:33:59</t>
  </si>
  <si>
    <t>Kaulong (not listed in HRAF)</t>
  </si>
  <si>
    <t>kaul1240</t>
  </si>
  <si>
    <t>pss</t>
  </si>
  <si>
    <t>Sing-sing Long Eye Bilong Pig, Karegit</t>
  </si>
  <si>
    <t>http://media.theglobaljukebox.org/audio/T5428R45.mp3</t>
  </si>
  <si>
    <t>Funeral song; pig song; sing-sing //CODING ID 2291 IN GLOBAL JUKEBOX, RELEVANT TEXT IS IN THE DESCRIPTION FIELD//</t>
  </si>
  <si>
    <t>First link is the audio file, second is metadata: https://theglobaljukebox.org/?share=Kaulong-T5428R45</t>
  </si>
  <si>
    <t>8/15/2018 16:39:37</t>
  </si>
  <si>
    <t>http://media.theglobaljukebox.org/audio/T5428R46.mp3</t>
  </si>
  <si>
    <t>Funeral song; pig song; sing-sing //CODING ID 2292 IN GLOBAL JUKEBOX, RELEVANT TEXT IS IN THE DESCRIPTION FIELD//</t>
  </si>
  <si>
    <t>First link is the audio file, second is metadata: https://theglobaljukebox.org/?share=Kaulong-T5428R46</t>
  </si>
  <si>
    <t>8/15/2018 16:44:19</t>
  </si>
  <si>
    <t>http://media.theglobaljukebox.org/audio/T5428R47.mp3</t>
  </si>
  <si>
    <t>Funeral song; pig song; sing-sing //CODING ID 2293 IN GLOBAL JUKEBOX, RELEVANT TEXT IS IN THE DESCRIPTION FIELD//</t>
  </si>
  <si>
    <t>First link is the audio file, second is metadata: https://theglobaljukebox.org/?share=Kaulong-T5428R47</t>
  </si>
  <si>
    <t>8/15/2018 16:48:20</t>
  </si>
  <si>
    <t>Tarahumara</t>
  </si>
  <si>
    <t>Pascol of Norogachi</t>
  </si>
  <si>
    <t>http://www.worldcat.org/oclc/491890847</t>
  </si>
  <si>
    <t>"This is the music that accompanies the pascol dances performed during Holy Week in the Tarahumara region. Pascol dancers are the central figures in the fiesta, where they perform a fast- stepping dance not unlike that of their Yaqui Indian neighbors in the lower country to the northwest in Sonora." //IN LINER NOTES, ON PAGE 9: https://folkways-media.si.edu/liner_notes/folkways/FW08867.pdf//</t>
  </si>
  <si>
    <t>8/16/2018 14:34:56</t>
  </si>
  <si>
    <t>Kutchi (does not appear in eHRAF)</t>
  </si>
  <si>
    <t>kach1277</t>
  </si>
  <si>
    <t>kfr</t>
  </si>
  <si>
    <t>Rasuda, Kachchi wedding dance song</t>
  </si>
  <si>
    <t>https://sounds.bl.uk/World-and-traditional-music/Music-from-India/025M-RKDATX0070XX-0200V0</t>
  </si>
  <si>
    <t>Rasuda, Kachchi wedding dance song //CODING ID RK DAT 70 IN BRITISH LIBRARY, RELEVANT TEXT IS IN THE TITLE//</t>
  </si>
  <si>
    <t>8/16/2018 14:39:59</t>
  </si>
  <si>
    <t>Tarahumar</t>
  </si>
  <si>
    <t>Kick-Ball Song</t>
  </si>
  <si>
    <t>"Kick-ball races occupy a prominent place in the games of the Tarahumares. and in Sierra communities they are held every Sunday. It is a common sight in the Sierra to see men and boys practicing for the races by kicking balls made of the madrono wood as they run along the trails. It is the ambition of every Tarahumar youth to be a great runner, and this song tells the simple story of the little boy who wanted to race up the hill with his kick-ball" //IN LINER NOTES, PAGE 9: https://folkways-media.si.edu/liner_notes/folkways/FW08867.pdf //</t>
  </si>
  <si>
    <t>8/16/2018 14:41:14</t>
  </si>
  <si>
    <t>Asthapadi, Bengali love poem by KP Sivaraman Pooduval //CODING ID RK DAT 66 IN BRITISH LIBRARY, RELEVANT TEXT IS IN THE TITLE//</t>
  </si>
  <si>
    <t>This poem describes the amorous adventures of the legendary love couple Krishna and Radha. //CODING ID RK DAT 66 IN BRITISH LIBRARY, RELEVANT TEXT IS IN THE DESCRIPTION FIELD//</t>
  </si>
  <si>
    <t>8/16/2018 14:44:22</t>
  </si>
  <si>
    <t>Athanta Melam</t>
  </si>
  <si>
    <t>https://sounds.bl.uk/World-and-traditional-music/Music-from-India/025M-RKDATX0068XX-0100V0</t>
  </si>
  <si>
    <t>Ritualistic</t>
  </si>
  <si>
    <t>Athanta Melam //CODING ID RK DAT 68 IN BRITISH LIBRARY, RELEVANT TEXT IS IN THE TITLE//</t>
  </si>
  <si>
    <t>Usually Kerala musicians explain the symbolic meaning of the melam structure as follows: the broad basis of the first stage symbolises the ordinary life of men, while the peak of the last stage shows the ideal human or divine aspect of reality. //CODING ID RK DAT 68 IN BRITISH LIBRARY, RELEVANT TEXT IS IN THE DESCRIPTION FIELD//</t>
  </si>
  <si>
    <t>8/16/2018 14:51:08</t>
  </si>
  <si>
    <t>Danza de pascola: Canción de la pubertad</t>
  </si>
  <si>
    <t>http://www.worldcat.org/oclc/900482033</t>
  </si>
  <si>
    <t>"The material presented in this selection consists of dances which are performed to mark the pascola rite of transition from adolescence to adulthood. This ceremony is known as the festival of puberty and is probably one of the most important rituals in their cosmogony as it has associations with the fertility of women and, symbolically, with the fertility of the land. Pascolas are also sung and danced during the Fiesta dedicated by the Seris to the sea turtle, which is an essential part of their diet." //LINER NOTES, PAGE 3: https://folkways-media.si.edu/liner_notes/unesco/UNES08304.pdf//</t>
  </si>
  <si>
    <t>8/16/2018 14:55:17</t>
  </si>
  <si>
    <t>Chakma (does not appear in eHRAF)</t>
  </si>
  <si>
    <t>chak1266</t>
  </si>
  <si>
    <t>ccp</t>
  </si>
  <si>
    <t>Genghuli by Biro Gengkhuli</t>
  </si>
  <si>
    <t>https://sounds.bl.uk/World-and-traditional-music/Music-from-India/025M-RKDATX0077XX-0100V0</t>
  </si>
  <si>
    <t>Genghuli by Biro Gengkhuli //CODING ID RK DAT 77 IN BRITISH LIBRARY, RELEVANT TEXT IS IN THE TITLE//</t>
  </si>
  <si>
    <t>In this Gengkhuli ballad Biro describes the place where he lives and the lifestyle of its inhabitants: the surrounding villages, the village market, the people settled from other villages, the river next to his village, et cetera. //CODING ID RK DAT 77 IN BRITISH LIBRARY, RELEVANT TEXT IS IN THE DESCRIPTION FIELD//</t>
  </si>
  <si>
    <t>8/16/2018 15:02:17</t>
  </si>
  <si>
    <t>Chakma</t>
  </si>
  <si>
    <t>Olli geet</t>
  </si>
  <si>
    <t>https://sounds.bl.uk/World-and-traditional-music/Music-from-India/025M-RKDATX0078XX-0100V0</t>
  </si>
  <si>
    <t>Olli geet //CODING ID RK DAT 78 IN BRITISH LIBRARY, RELEVANT TEXT IS IN THE TITLE//</t>
  </si>
  <si>
    <t>Usually the baby rests in a hanging cradle (dulon), while the mother sings an Olli song to help the baby fall to sleep. //CODING ID RK DAT 78 IN BRITISH LIBRARY, RELEVANT TEXT IS IN THE DESCRIPTION FIELD//</t>
  </si>
  <si>
    <t>8/16/2018 15:05:11</t>
  </si>
  <si>
    <t>Mayo</t>
  </si>
  <si>
    <t>mayo1264</t>
  </si>
  <si>
    <t>Danza del venado: El caballo blanco</t>
  </si>
  <si>
    <t>"The Deer Dance presented here owes its origin to this syncretist religious tradition of the Mayos. This dance is performed by the indigenous groups of North. There are generally three dancers or Pascoleros. but one of them is the leader (pascola major) and it is through him that a constant interaction with the audience is established. " // LINER NOTES, PAGE 4: https://folkways-media.si.edu/liner_notes/unesco/UNES08304.pdf //</t>
  </si>
  <si>
    <t>8/16/2018 15:05:47</t>
  </si>
  <si>
    <t>Tengabanga</t>
  </si>
  <si>
    <t>https://sounds.bl.uk/World-and-traditional-music/Music-from-India/025M-RKDATX0078XX-0200V0</t>
  </si>
  <si>
    <t>Tengabanga //CODING ID RK DAT 78 IN BRITISH LIBRARY, RELEVANT TEXT IS IN THE TITLE//</t>
  </si>
  <si>
    <t>Ms Sametri Chakma sings in the Chakma vocal genre ubo geet (love song) using the Tengabanga style. //CODING ID RK DAT 78 IN BRITISH LIBRARY, RELEVANT TEXT IS IN THE DESCRIPTION FIELD//</t>
  </si>
  <si>
    <t>Tengabanga consists of two-line songs; usually sung alternately by two people (especially man – woman): “I’d like to cook for you; please just come back home. I cry in the evening always thinking of you. I dream of you, but when I wake up you are not at my side” (translated by Subatra Chakma) //CODING ID RK DAT 78 IN BRITISH LIBRARY, RELEVANT TEXT IS IN THE DESCRIPTION FIELD//</t>
  </si>
  <si>
    <t>8/16/2018 15:08:40</t>
  </si>
  <si>
    <t>Erakulu ballad</t>
  </si>
  <si>
    <t>https://sounds.bl.uk/World-and-traditional-music/Music-from-India/025M-RKDATX0065XX-0100V0</t>
  </si>
  <si>
    <t>Erakulu ballad //CODING ID RK DAT 65 IN BRITISH LIBRARY, RELEVANT TEXT IS IN THE TITLE//</t>
  </si>
  <si>
    <t>The semi-professional singers from the Erakulu musician community sing, dance, and narrate ballads taken from the Ramayana epic in a small village in the Sora habitats. //CODING ID RK DAT 65 IN BRITISH LIBRARY, RELEVANT TEXT IS IN THE DESCRIPTION FIELD//</t>
  </si>
  <si>
    <t>8/16/2018 15:12:48</t>
  </si>
  <si>
    <t>Tepehuan</t>
  </si>
  <si>
    <t>tepe1281</t>
  </si>
  <si>
    <t>Danza del Arrayan: La Susana</t>
  </si>
  <si>
    <t>" The Mitote or Xiotal is the most important ritual of the Tepehuanes and is generally performed three times a year to mark the stages in the agricultural cycle, i.e. the dry, rainy and harvest seasons. This ceremony has several different purposes, e.g. to bless the grain of the harvest, ward off evil and bring health and well-being to mankind. This is reflected in the title of one of the dances presented here: the Arrayan or myrtle, which is a Mexican fruit. The enormous importance of the relationship between man and nature in this ritual is reflected in the names of the following pieces : the bull, the water, the feather, the deer, etc." // LINER NOTES, PAGE 5: https://folkways-media.si.edu/liner_notes/unesco/UNES08304.pdf//</t>
  </si>
  <si>
    <t>8/16/2018 15:13:13</t>
  </si>
  <si>
    <t>Sora healing song</t>
  </si>
  <si>
    <t>https://sounds.bl.uk/World-and-traditional-music/Music-from-India/025M-RKDATX0009XX-0100V0</t>
  </si>
  <si>
    <t>Sora healing song //CODING ID RK DAT 09 IN BRITISH LIBRARY, RELEVANT TEXT IS IN THE TITLE//</t>
  </si>
  <si>
    <t>This Sora musical piece is performed while the traditional Sora healer performs a healing ritual (pirpir) using trance. //CODING ID RK DAT 09 IN BRITISH LIBRARY, RELEVANT TEXT IS IN THE DESCRIPTION FIELD//</t>
  </si>
  <si>
    <t>8/16/2018 15:17:15</t>
  </si>
  <si>
    <t>Sora Cuckoo song with two-stringed fiddle</t>
  </si>
  <si>
    <t>https://sounds.bl.uk/World-and-traditional-music/Music-from-India/025M-RKDATX0015XX-0100V0</t>
  </si>
  <si>
    <t>Sora Cuckoo song with two-stringed fiddle //CODING ID RK DAT 15 IN BRITISH LIBRARY, RELEVANT TEXT IS IN THE TITLE//</t>
  </si>
  <si>
    <t>The itinerant Sora singer, Sunna Saora sings a song dedicated to the Indian cuckoo and accompanies himself on the two-stringed Sora fiddle called gogoray. //CODING ID RK DAT 15 IN BRITISH LIBRARY, RELEVANT TEXT IS IN THE DESCRIPTION FIELD//</t>
  </si>
  <si>
    <t>8/16/2018 15:20:38</t>
  </si>
  <si>
    <t>Sora Nilabati epic song with lute</t>
  </si>
  <si>
    <t>https://sounds.bl.uk/World-and-traditional-music/Music-from-India/025M-RKDATX0013XX-0100V0</t>
  </si>
  <si>
    <t>Sora Nilabati epic song with lute //CODING ID RK DAT 13 IN BRITISH LIBRARY, RELEVANT TEXT IS IN THE TITLE//</t>
  </si>
  <si>
    <t>The itinerant Sora singer, Sonyasi Sora sings the Nilabati epic, which recounts the story of an old Sora kingdom. //CODING ID RK DAT 13 IN BRITISH LIBRARY, RELEVANT TEXT IS IN THE DESCRIPTION FIELD//</t>
  </si>
  <si>
    <t>8/16/2018 15:23:03</t>
  </si>
  <si>
    <t>https://uofl-music.on.worldcat.org/search?queryString=no:54492669#/oclc/54492669</t>
  </si>
  <si>
    <t>Lullaby Song// TITLE IN WORLDCAT//</t>
  </si>
  <si>
    <t>The hyperlink provided leads to the CD where the song can be found because there is no link to the song. The CD itself is for 'Library Use Only'.</t>
  </si>
  <si>
    <t>Here is the link to the track listing of the CD where the song is: http://www.worldcat.org/title/where-the-mountain-crosses-for-mezzo-soprano-and-piano-1982/oclc/54492669&amp;referer=brief_results</t>
  </si>
  <si>
    <t>8/16/2018 15:41:51</t>
  </si>
  <si>
    <t>Healing Chant</t>
  </si>
  <si>
    <t>http://www.worldcat.org/title/musiques-mexicaines/oclc/965998093&amp;referer=brief_results</t>
  </si>
  <si>
    <t>Healing Song// TITLE IN WORLDCAT//</t>
  </si>
  <si>
    <t>The provided hyperlink will lead to the CD where the song can be found as the song is not available as a track online.</t>
  </si>
  <si>
    <t>The provided hyperlink gives a list of libraries where the CD with the song can be found.</t>
  </si>
  <si>
    <t>8/16/2018 15:58:31</t>
  </si>
  <si>
    <t>Tehuantepec</t>
  </si>
  <si>
    <t>La Sandunga (A song for our mothers)</t>
  </si>
  <si>
    <t>http://www.worldcat.org/title/folksongs-of-mexico-canciones-de-mexico/oclc/42236366&amp;referer=brief_results</t>
  </si>
  <si>
    <t>Praise song// TITLE IN WORLDCAT//</t>
  </si>
  <si>
    <t>The provided hyperlink leads to the collection that has the song, and it lists the libraries that have this collection.</t>
  </si>
  <si>
    <t>8/16/2018 17:57:35</t>
  </si>
  <si>
    <t>Social Dance Music</t>
  </si>
  <si>
    <t>http://www.folkways.si.edu/TrackDetails.aspx?itemid=11288</t>
  </si>
  <si>
    <t>Social Dance (//CODING ID 895 IN GLOBAL JUKEBOX, RELEVANT TEXT IS IN THE SONG TITLE FIELD//)</t>
  </si>
  <si>
    <t>Social dance music; regular drum beat; polyphony with male and female choruses in manner of a round (//CODING ID 895 IN GLOBAL JUKEBOX, RELEVANT TEXT IS IN THE DESCRIPTION FIELD//)</t>
  </si>
  <si>
    <t>8/17/2018 23:11:16</t>
  </si>
  <si>
    <t>Shipibo-Conibo</t>
  </si>
  <si>
    <t>ship1255</t>
  </si>
  <si>
    <t>ship1254</t>
  </si>
  <si>
    <t>http://www.folkways.si.edu/TrackDetails.aspx?itemid=11291</t>
  </si>
  <si>
    <t>Disc 1, Track 21</t>
  </si>
  <si>
    <t>Social Dance (//CODING ID 896 IN GLOBAL JUKEBOX, RELEVANT TEXT IS IN THE SONG TITLE FIELD)</t>
  </si>
  <si>
    <t>Social dance music; panpipes, drums and voices in jam session (//CODING ID 896 IN GLOBAL JUKEBOX, RELEVANT TEXT IS IN THE DESCRIPTION FIELD)</t>
  </si>
  <si>
    <t>8/17/2018 23:36:34</t>
  </si>
  <si>
    <t>Runa; Q'ero; Quechua</t>
  </si>
  <si>
    <t>https://folkways.si.edu/louisa-sera-chompi/lullaby/american-indian-world/music/track/smithsonian</t>
  </si>
  <si>
    <t>Disc 1, Track 32</t>
  </si>
  <si>
    <t>Lullaby (//CODING ID 2495 IN GLOBAL JUKEBOX IN THE SONG TITLE FIELD)</t>
  </si>
  <si>
    <t>Lullaby; chi chi chi wawa (baby), that you might learn to work the potatoes, young one (//CODING ID 2495 IN GLOBAL JUKEBOX IN THE DESCRIPTION FIELD)</t>
  </si>
  <si>
    <t>8/17/2018 23:45:56</t>
  </si>
  <si>
    <t>Tonga</t>
  </si>
  <si>
    <t>tong1316</t>
  </si>
  <si>
    <t>Five Pounding Songs</t>
  </si>
  <si>
    <t>https://theglobaljukebox.org/?share=Tonga-T5448R07</t>
  </si>
  <si>
    <t>Work song; women's song//CODING ID 282 IN GLOBAL JUKEBOX, RELEVANT TEXT IS IN THE GENRE FIELD//</t>
  </si>
  <si>
    <t>Shangaan women's work songs//CODING ID 282 IN GLOBAL JUKEBOX, RELEVANT TEXT IS IN THE DESCRIPTION FIELD//</t>
  </si>
  <si>
    <t>8/18/2018 16:12:28</t>
  </si>
  <si>
    <t>Nyamugowelo</t>
  </si>
  <si>
    <t>https://theglobaljukebox.org/?share=Tonga-T5448R35</t>
  </si>
  <si>
    <t>Work song; comic song; pounding song//CODING ID 283 IN GLOBAL JUKEBOX, RELEVANT TEXT IS IN THE GENRE FIELD//</t>
  </si>
  <si>
    <t>Pounding songs; humorous song with guitar; Muntano Gomez, composer//CODING ID 283 IN GLOBAL JUKEBOX, RELEVANT TEXT IS IN THE DESCRIPTION FIELD//</t>
  </si>
  <si>
    <t>8/18/2018 16:20:15</t>
  </si>
  <si>
    <t>Bukharan Jews</t>
  </si>
  <si>
    <t>“To Bodi Sabo” from the album: Music of the Bukharan Jewish Ensemble Shashmaqam</t>
  </si>
  <si>
    <t>http://gofile.me/3T2hs/tQ827nSnU</t>
  </si>
  <si>
    <t>DISC 1: TRACK 4</t>
  </si>
  <si>
    <t>Smithsonian Folkways, Harvard Archive of World Music HOLLIS</t>
  </si>
  <si>
    <t>To Bodi Sabo //CATALOG NUMBER SFW40054_104 IN SMITHSONIAN FOLKWAYS, RELEVANT TEXT IS IN THE TITLE FIELD//</t>
  </si>
  <si>
    <t>The text plays with the characteristics symbols and imagery of love and wine, mystically understood. //HOLLIS NUMBER 990045608440203941 IN HARVARD ARCHIVE OF WORLD MUSIC HOLLIS RELEVANT TEXT IS IN THE LINEAR NOTES PG. 6//</t>
  </si>
  <si>
    <t>My eyes wills shed tears from the sorrowful pain of my love for you. My eyes are on the caravan trail that is redolent with the fragrance of union with you //HOLLIS NUMBER 990045608440203941 IN HARVARD ARCHIVE OF WORLD MUSIC HOLLIS RELEVANT TEXT IS IN THE LINEAR NOTES PG. 6//</t>
  </si>
  <si>
    <t>8/18/2018 16:38:03</t>
  </si>
  <si>
    <t>Bukharan Jews not found on eHARF</t>
  </si>
  <si>
    <t>“Dostanra Gum Makun (Don't Lose Your Friends)” Album: Music of the Bukharan Jewish Ensemble Shashmaqam</t>
  </si>
  <si>
    <t>http://gofile.me/3T2hs/g2e9aOUrh</t>
  </si>
  <si>
    <t>DISC: 1; TRACK: 5</t>
  </si>
  <si>
    <t>“Dostanra Gum Makun (Don't Lose Your Friends)”//CATALOG NUMBER SFW40054_105 IN SMITHSONIAN FOLKWAYS, RELEVANT TEXT IS IN THE TITLE FIELD//</t>
  </si>
  <si>
    <t>the poem is a ghazal written in the spirit of popular didactic poetry //HOLLIS NUMBER 990045608440203941 IN HARVARD ARCHIVE OF WORLD MUSIC HOLLIS RELEVANT TEXT IS IN THE LINEAR NOTES PG. 6//</t>
  </si>
  <si>
    <t>Even though you left me, you are still my beloved Even though you are an enemy to my life, you are closer to me than my own life. //HOLLIS NUMBER 990045608440203941 IN HARVARD ARCHIVE OF WORLD MUSIC HOLLIS RELEVANT TEXT IS IN THE LINEAR NOTES PG. 7//</t>
  </si>
  <si>
    <t>Two sources were used to catalogs this song. Smithsonian Folkway was used for the cultural information and song access, Hollis was used in-order to access the linear notes and translated lyrics</t>
  </si>
  <si>
    <t>8/18/2018 20:47:23</t>
  </si>
  <si>
    <t>“Medley of Songs from Wedding Repertory: Yar-Yar / Abru Kosh Dumi Mor / Shastu-Shastu Chor / Chashmi Siyah Dori / doire interlude / Mahvashi Nozuk Badanam / Orzu” Alum: Music of the Bukharan Jewish Ensemble Shashmaqam</t>
  </si>
  <si>
    <t>http://gofile.me/3T2hs/dc5vIiWeJ</t>
  </si>
  <si>
    <t>DISC: 2; TRACK: 7</t>
  </si>
  <si>
    <t>Medley of Song from Wedding Repertory //CATALOG NUMBER SFW40052_107 IN SMITHSONIAN FOLKWAYS, RELEVANT TEXT IS IN THE TITLE FIELD//</t>
  </si>
  <si>
    <t>I saw your birthmark and said, "this is what I was looking for."//CODING ID HOLLIS NUMBER 990045608440203941 IN HARVARD ARCHIVE OF WORLD MUSIC, RELEVANT TEXT IS IN THE LINEAR NOTES PG. 8//</t>
  </si>
  <si>
    <t>8/18/2018 20:54:49</t>
  </si>
  <si>
    <t>Bukharan Jews not found on eHARF; language is Tajiki</t>
  </si>
  <si>
    <t>“Talqin-i Bayat” Album: Music of the Bukharan Jewish Ensemble Shashmaqam</t>
  </si>
  <si>
    <t>http://gofile.me/3T2hs/uF4cXQVYa</t>
  </si>
  <si>
    <t>DISC:1; TRACK:8</t>
  </si>
  <si>
    <t>Talqin-i Bayat //CATALOG NUMBER SFW40054_108 IN SMITHSONIAN FOLKWAYS, RELEVANT TEXT IS IN THE TITLE FIELD//</t>
  </si>
  <si>
    <t>Even though you left me, you are still my beloved. Even if I were to die, I wouldn't give you to anyone else.//CODING ID HOLLIS NUMBER 990045608440203941 IN HARVARD ARCHIVE OF WORLD MUSIC, RELEVANT TEXT IS IN THE LINEAR NOTES PG. 7//</t>
  </si>
  <si>
    <t>8/18/2018 21:02:44</t>
  </si>
  <si>
    <t>“Nasr-i Chargah” Album: Music of the Bukharan Jewish Ensemble Shashmaqam</t>
  </si>
  <si>
    <t>http://gofile.me/3T2hs/qp3NHL8Se</t>
  </si>
  <si>
    <t>DISC:1; TRACK:9</t>
  </si>
  <si>
    <t>Nasr-i Chargah //CATALOG NUMBER SFW40054_109 IN SMITHSONIAN FOLKWAYS, RELEVANT TEXT IS IN THE TITLE FIELD//</t>
  </si>
  <si>
    <t>I brought you two hearts, both melted. I am burning in two fires, but each of these fires burns the sun; I dedicated two requests of you, and in one place, I received an answer to both. //HOLLIS NUMBER 990045608440203941 IN HARVARD ARCHIVE OF WORLD MUSIC HOLLIS RELEVANT TEXT IS IN THE LINEAR NOTES PG. 7//</t>
  </si>
  <si>
    <t>File path on Synology: /NHS2/submissions/Central Asia/Music of Bukaran Jewish Ensemble/9 Audio Track.aiff</t>
  </si>
  <si>
    <t>8/18/2018 21:12:12</t>
  </si>
  <si>
    <t>Bukharan Jews not found on eHARF, language is Tajiki</t>
  </si>
  <si>
    <t>“Ushshaq-i Samarkand”, Album Music of the Bukharan Jewish Ensemble Shashmaqam</t>
  </si>
  <si>
    <t>http://gofile.me/3T2hs/lQL1CnlYH</t>
  </si>
  <si>
    <t>Disc 1, Track4</t>
  </si>
  <si>
    <t>Ushshaq-i Samarkand //CATALOG SFW40054_110 IN SMITHSONIAN FOLKWAYS, RELEVANT TEXT IS IN THE TITLE FIELD//</t>
  </si>
  <si>
    <t>If you would pay a tribute to God for your beauty; Come here, Zebunisa, for here, I am the humble one who receives tribute. //HOLLIS NUMBER 990045608440203941 IN HARVARD ARCHIVE OF WORLD MUSIC HOLLIS RELEVANT TEXT IS IN THE LINEAR NOTES PG. 8//</t>
  </si>
  <si>
    <t>Synology File Path: /NHS2/submissions/Central Asia/Music of Bukaran Jewish Ensemble/10 Audio Track.aiff</t>
  </si>
  <si>
    <t>Two sources where used in order to catalog this track, the track number and cultural information come from Smithsonian Folkway and the song access, linear notes and translated lyrics come from the Harvard Archive of World Music HOLLIS</t>
  </si>
  <si>
    <t>8/18/2018 21:22:17</t>
  </si>
  <si>
    <t>Bykharan Jews not found on eHARF, Country Uzbekistan USSR (former)</t>
  </si>
  <si>
    <t>Talli, Album Music of Bukaran Jewish Ensemble</t>
  </si>
  <si>
    <t>http://gofile.me/3T2hs/2B8MrO0zb</t>
  </si>
  <si>
    <t>Yalli //CATALOG NUMBER SFW40054_112 IN SMITHSONIAN FOLKWAYS, RELEVANT TEXT IS IN THE TITLE FIELD//</t>
  </si>
  <si>
    <t>Yalli is an Azerbaijani collective dance performed by men and women, either together or separately. In the 1970's Azerbaijani music became popular in the wedding music repertory of Uzbeks, Tajiks, and Bukharan Jews //HOLLIS NUMBER 990045608440203941 IN HARVARD ARCHIVE OF WORLD MUSIC HOLLIS RELEVANT TEXT IS IN THE LINEAR NOTES PG. 8//</t>
  </si>
  <si>
    <t>Synology File Path:/NHS2/submissions/Central Asia/Music of Bukaran Jewish Ensemble/12 Audio Track.aiff</t>
  </si>
  <si>
    <t>8/18/2018 21:33:28</t>
  </si>
  <si>
    <t>Sleep Little One (Iroquois Indian)</t>
  </si>
  <si>
    <t>https://folkways.si.edu/trudie-richman/sleep-little-one-iroquois-indian/childrens/music/track/smithsonian</t>
  </si>
  <si>
    <t>// LULLABY; MUSIC - JUVENILE // FW07572 / FC 7572 IN SMITHSONIAN FOLKWAYS, RELEVANT LABEL IN ALBUM DESCRIPTION //</t>
  </si>
  <si>
    <t>8/19/2018 9:46:34</t>
  </si>
  <si>
    <t>SFS</t>
  </si>
  <si>
    <t>three different culture groups are represented in the choir who sings the song being Kamancha, chechen, tar</t>
  </si>
  <si>
    <t>kaba1278</t>
  </si>
  <si>
    <t>kbd</t>
  </si>
  <si>
    <t>Lezghinka</t>
  </si>
  <si>
    <t>http://gofile.me/3T2hs/u9J7qpZTJ</t>
  </si>
  <si>
    <t>Smithsonian Folkways, Before the Revolution</t>
  </si>
  <si>
    <t>Lezghinka //HOLLIS NUMBER 990090350310203941 IN HARVARD ARCHIVE OF WORLD MUSIC HOLLIS RELEVANT TEXT IS IN THE LINEAR NOTES PG. 12//</t>
  </si>
  <si>
    <t>Much of the music recorded can be divided into two types; male choirs (tracks 1,3 &amp; 5), and instrumental dance music (tracks 2 &amp;4). //HOLLIS NUMBER 990090350310203941 IN HARVARD ARCHIVE OF WORLD MUSIC HOLLIS RELEVANT TEXT IS IN THE LINEAR NOTES PG. 4//</t>
  </si>
  <si>
    <t>File Path on Synology: /NHS2/submissions/Central Asia/Before the revolution/2 Audio Track.aiff, https://d16klsh1z1xre7-cloudfront-net.ezp-prod1.hul.harvard.edu/dorp/liner/0/cc14/787d/1000089961-liner.pdf</t>
  </si>
  <si>
    <t>8/19/2018 18:34:37</t>
  </si>
  <si>
    <t>Kabardian not found of eHARF</t>
  </si>
  <si>
    <t>Lezgihinka</t>
  </si>
  <si>
    <t>http://gofile.me/3T2hs/MpnkuHTfp</t>
  </si>
  <si>
    <t>Lezgihinka //HOLLIS NUMBER 990090350310203941 IN HARVARD ARCHIVE OF WORLD MUSIC HOLLIS RELEVANT TEXT IS IN THE LINEAR NOTES PG. 12//</t>
  </si>
  <si>
    <t>File Path Synology: /NHS2/submissions/Central Asia/Before the revolution/4 Audio Track.aiff, https://d16klsh1z1xre7-cloudfront-net.ezp-prod1.hul.harvard.edu/dorp/liner/0/cc14/787d/1000089961-liner.pdf</t>
  </si>
  <si>
    <t>8/19/2018 19:12:57</t>
  </si>
  <si>
    <t>8/19/2018 19:16:46</t>
  </si>
  <si>
    <t>En Inch Man Er Ark'ayakan [ What kingly thing this is]</t>
  </si>
  <si>
    <t>http://gofile.me/3T2hs/dRqku06lQ</t>
  </si>
  <si>
    <t>En inch Man Er Ark'ayakan //HOLLIS NUMBER 990090350310203941 IN HARVARD ARCHIVE OF WORLD MUSIC HOLLIS RELEVANT TEXT IS IN THE LINEAR NOTES PG. 12//</t>
  </si>
  <si>
    <t>Two of his recordings are included here; an Armenian love song originating in Western (Turkish) Armenia (6) //HOLLIS NUMBER 990090350310203941 IN HARVARD ARCHIVE OF WORLD MUSIC HOLLIS RELEVANT TEXT IS IN THE LINEAR NOTES PG. 5//</t>
  </si>
  <si>
    <t>File Path Synology: /NHS2/submissions/Central Asia/Before the revolution/6 Audio Track.aiff, https://d16klsh1z1xre7-cloudfront-net.ezp-prod1.hul.harvard.edu/dorp/liner/0/cc14/787d/1000089961-liner.pdf</t>
  </si>
  <si>
    <t>8/19/2018 22:50:57</t>
  </si>
  <si>
    <t>Eipo (not listed in HRAF)</t>
  </si>
  <si>
    <t>http://media.theglobaljukebox.org/audio/T5593R07.mp3</t>
  </si>
  <si>
    <t>Healing song //CODING ID 9795 IN GLOBAL JUKEBOX, RELEVANT TEXT IS IN THE DESCRIPTION FIELD//</t>
  </si>
  <si>
    <t>First link is the audio file, second is metadata: https://theglobaljukebox.org/?share=Eipo-T5593R07</t>
  </si>
  <si>
    <t>8/20/2018 2:36:57</t>
  </si>
  <si>
    <t>http://media.theglobaljukebox.org/audio/T5593R08.mp3</t>
  </si>
  <si>
    <t>Lament //CODING ID 9796 IN GLOBAL JUKEBOX, RELEVANT TEXT IS IN THE DESCRIPTION FIELD//</t>
  </si>
  <si>
    <t>First link is the audio file, second is metadata: https://theglobaljukebox.org/?share=Eipo-T5593R08</t>
  </si>
  <si>
    <t>8/20/2018 2:43:32</t>
  </si>
  <si>
    <t>Singing While Making a Net</t>
  </si>
  <si>
    <t>http://media.theglobaljukebox.org/audio/T5593R12.mp3</t>
  </si>
  <si>
    <t>Work song //CODING ID 9800 IN GLOBAL JUKEBOX, RELEVANT TEXT IS IN THE DESCRIPTION FIELD//</t>
  </si>
  <si>
    <t>First link is the audio file, second is metadata: https://theglobaljukebox.org/?share=Eipo-T5593R12</t>
  </si>
  <si>
    <t>8/20/2018 2:48:11</t>
  </si>
  <si>
    <t>Georgian</t>
  </si>
  <si>
    <t>Ekhlandeli Kalebi</t>
  </si>
  <si>
    <t>http://gofile.me/3T2hs/pQ5k2eVDf</t>
  </si>
  <si>
    <t>Ekhlandeli Kalebi //HOLLIS NUMBER 990090350310203941 IN HARVARD ARCHIVE OF WORLD MUSIC HOLLIS RELEVANT TEXT IS IN THE LINEAR NOTES PG. 12//</t>
  </si>
  <si>
    <t>Track 8 is a good example of a Georgian city song, whose lyric sardonically extolls the virtues of the more progressive woman of the time //HOLLIS NUMBER 990090350310203941 IN HARVARD ARCHIVE OF WORLD MUSIC HOLLIS RELEVANT TEXT IS IN THE LINEAR NOTES PG. 6//</t>
  </si>
  <si>
    <t>File Path Synology: /NHS2/submissions/Central Asia/Before the revolution/8 Audio Track.aiff, https://d16klsh1z1xre7-cloudfront-net.ezp-prod1.hul.harvard.edu/dorp/liner/0/cc14/787d/1000089961-liner.pdf</t>
  </si>
  <si>
    <t>8/20/2018 8:15:22</t>
  </si>
  <si>
    <t>Alagyaz Badzr Sar E</t>
  </si>
  <si>
    <t>http://gofile.me/3T2hs/bv57q1RIi</t>
  </si>
  <si>
    <t>Alagyaz Badzr Sar E //HOLLIS NUMBER 990090350310203941 IN HARVARD ARCHIVE OF WORLD MUSIC HOLLIS RELEVANT TEXT IS IN THE LINEAR NOTES PG. 12//</t>
  </si>
  <si>
    <t>the latter is included on this disc, performing a very popular love song, of which many variations are still known (10) //HOLLIS NUMBER 990090350310203941 IN HARVARD ARCHIVE OF WORLD MUSIC HOLLIS RELEVANT TEXT IS IN THE LINEAR NOTES PG. 6//</t>
  </si>
  <si>
    <t>File Path on Synology: /NHS2/submissions/Central Asia/Before the revolution/10 Audio Track.aiff, https://d16klsh1z1xre7-cloudfront-net.ezp-prod1.hul.harvard.edu/dorp/liner/0/cc14/787d/1000089961-liner.pdf</t>
  </si>
  <si>
    <t>8/20/2018 8:23:37</t>
  </si>
  <si>
    <t>Afgan not found on eHARF</t>
  </si>
  <si>
    <t>dari1249</t>
  </si>
  <si>
    <t>prs</t>
  </si>
  <si>
    <t>Kovsan</t>
  </si>
  <si>
    <t>http://gofile.me/3T2hs/BxgjBNeKb</t>
  </si>
  <si>
    <t>Kovsan //HOLLIS NUMBER 990090350310203941 IN HARVARD ARCHIVE OF WORLD MUSIC HOLLIS RELEVANT TEXT IS IN THE LINEAR NOTES PG. 12//</t>
  </si>
  <si>
    <t>The Afghan song included here is a love song, sung in a Herati Persian dialect (11) //HOLLIS NUMBER 990090350310203941 IN HARVARD ARCHIVE OF WORLD MUSIC HOLLIS RELEVANT TEXT IS IN THE LINEAR NOTES PG. 7//</t>
  </si>
  <si>
    <t>File Path Synology: /NHS2/submissions/Central Asia/Before the revolution/11 Audio Track.aiff, https://d16klsh1z1xre7-cloudfront-net.ezp-prod1.hul.harvard.edu/dorp/liner/0/cc14/787d/1000089961-liner.pdf</t>
  </si>
  <si>
    <t>8/20/2018 8:30:30</t>
  </si>
  <si>
    <t>Culture not specified Samarkand is a city in Uzbeckistan mentioned in the description and the song, Performed in a Turkic dialect</t>
  </si>
  <si>
    <t>Khudoyar Khan</t>
  </si>
  <si>
    <t>http://gofile.me/3T2hs/UqByct7O4</t>
  </si>
  <si>
    <t>Khudoyar Khan //HOLLIS NUMBER 990090350310203941 IN HARVARD ARCHIVE OF WORLD MUSIC HOLLIS RELEVANT TEXT IS IN THE LINEAR NOTES PG. 14//</t>
  </si>
  <si>
    <t>Khanate of Kokand was taken by force and incorporated into the Russian empire in 1876. 'Khudoyar Khan' (14), a song performed here in Turkic dialect, concerns the last Khan of Kokland //HOLLIS NUMBER 990090350310203941 IN HARVARD ARCHIVE OF WORLD MUSIC HOLLIS RELEVANT TEXT IS IN THE LINEAR NOTES PG. 8//</t>
  </si>
  <si>
    <t>File Path Synology: /NHS2/submissions/Central Asia/Before the revolution/14 Audio Track.aiff, https://d16klsh1z1xre7-cloudfront-net.ezp-prod1.hul.harvard.edu/dorp/liner/0/cc14/787d/1000089961-liner.pdf</t>
  </si>
  <si>
    <t>8/20/2018 8:44:01</t>
  </si>
  <si>
    <t>Kyrgyz found on eHARF</t>
  </si>
  <si>
    <t>Khazrat Sultan</t>
  </si>
  <si>
    <t>http://gofile.me/3T2hs/EHSNt9TuC</t>
  </si>
  <si>
    <t>Khazrat Sultan //HOLLIS NUMBER 990090350310203941 IN HARVARD ARCHIVE OF WORLD MUSIC HOLLIS RELEVANT TEXT IS IN THE LINEAR NOTES PG. 13//</t>
  </si>
  <si>
    <t>Bai-Jan Baichimanov (16) came from the area around the town of Tukestan 200 miles north of Tashkent, where there stodd a tomb-mosque in honor of Khazart Sultan, an Islamic Saint. //HOLLIS NUMBER 990090350310203941 IN HARVARD ARCHIVE OF WORLD MUSIC HOLLIS RELEVANT TEXT IS IN THE LINEAR NOTES PG. 9//</t>
  </si>
  <si>
    <t>File Path Track Synology: /NHS2/submissions/Central Asia/Before the revolution/16 Audio Track.aiff, https://d16klsh1z1xre7-cloudfront-net.ezp-prod1.hul.harvard.edu/dorp/liner/0/cc14/787d/1000089961-liner.pdf</t>
  </si>
  <si>
    <t>8/20/2018 8:53:44</t>
  </si>
  <si>
    <t>California -- Arvin</t>
  </si>
  <si>
    <t>Old Apple Tree in the Orchard</t>
  </si>
  <si>
    <t>https://www.loc.gov/item/toddbib000001/</t>
  </si>
  <si>
    <t>None of these, Library of Congress</t>
  </si>
  <si>
    <t>Field recordings, California -- Arvin//Library of Congress//</t>
  </si>
  <si>
    <t>Field recordings</t>
  </si>
  <si>
    <t>8/20/2018 9:18:57</t>
  </si>
  <si>
    <t>Lullaby; female soloist unaccompanied; in relaxed voice//Global Jukebox Coding ID: 3070//</t>
  </si>
  <si>
    <t>8/20/2018 9:32:38</t>
  </si>
  <si>
    <t>Sushim-Ka</t>
  </si>
  <si>
    <t>http://media.theglobaljukebox.org/audio/T5413R47.mp3</t>
  </si>
  <si>
    <t>Lament //CODING ID 3014 ON GLOBALJUKEBOX//</t>
  </si>
  <si>
    <t>The Song of Sorrow; well-known song of Northwest Korea; like the mood of the poem, the voice is shaken in the larynx as if the singer were choked with sobs //CODING ID 3014 ON GLOBALJUKEBOX//</t>
  </si>
  <si>
    <t>NA //CODING ID 3014 ON GLOBALJUKEBOX//</t>
  </si>
  <si>
    <t>8/20/2018 16:16:27</t>
  </si>
  <si>
    <t>Coastal Asmat (not listed in HRAF)</t>
  </si>
  <si>
    <t>http://media.theglobaljukebox.org/audio/T5571R27.mp3</t>
  </si>
  <si>
    <t>Healing song; holler //CODING ID 9970 IN GLOBAL JUKEBOX, RELEVANT TEXT IS IN THE DESCRIPTION FIELD//</t>
  </si>
  <si>
    <t>First link is the audio file, second is metadata: https://theglobaljukebox.org/?share=Coastal%20Asmat-T5571R27</t>
  </si>
  <si>
    <t>8/20/2018 21:18:03</t>
  </si>
  <si>
    <t>Funeral Lament</t>
  </si>
  <si>
    <t>http://media.theglobaljukebox.org/audio/T5425R50.mp3</t>
  </si>
  <si>
    <t>Funeral song; lament //CODING ID 990 IN GLOBAL JUKEBOX, RELEVANT TEXT IS IN THE DESCRIPTION FIELD//</t>
  </si>
  <si>
    <t>First link is the audio file, second is metadata: https://theglobaljukebox.org/?share=Dani-T5425R50</t>
  </si>
  <si>
    <t>8/20/2018 21:26:52</t>
  </si>
  <si>
    <t>Azande</t>
  </si>
  <si>
    <t>Bia Kpe 1</t>
  </si>
  <si>
    <t>https://theglobaljukebox.org/?share=Azande-T5434R27</t>
  </si>
  <si>
    <t>Mourning song//CODING ID 2575 IN GLOBAL JUKEBOX, RELEVANT TEXT IS IN THE GENRE FIELD//</t>
  </si>
  <si>
    <t>Mourning song; Song of Tears//CODING ID 2575 IN GLOBAL JUKEBOX, RELEVANT TEXT IS IN THE DESCRIPTION FIELD//</t>
  </si>
  <si>
    <t>8/21/2018 9:50:04</t>
  </si>
  <si>
    <t>Bia Kpe 2</t>
  </si>
  <si>
    <t>https://theglobaljukebox.org/?share=Azande-T5434R27#</t>
  </si>
  <si>
    <t>Mourning song//CODING ID 2579 IN GLOBAL JUKEBOX, RELEVANT TEXT IS IN THE GENRE FIELD//</t>
  </si>
  <si>
    <t>Mourning song 2: Song of Tears//CODING ID 2579 IN GLOBAL JUKEBOX, RELEVANT TEXT IS IN THE DESCRIPTION FIELD//</t>
  </si>
  <si>
    <t>8/21/2018 9:52:45</t>
  </si>
  <si>
    <t>Daye</t>
  </si>
  <si>
    <t>Song for Grinding Millet</t>
  </si>
  <si>
    <t>https://theglobaljukebox.org/?share=Daye-T30006</t>
  </si>
  <si>
    <t>Work song; millet song; grinding song//CODING ID 30006 IN GLOBAL JUKEBOX, RELEVANT TEXT IS IN THE GENRE FIELD//</t>
  </si>
  <si>
    <t>Millet grinding song; accompanied by sound of pestle beating//CODING ID 30006 IN GLOBAL JUKEBOX, RELEVANT TEXT IS IN THE DESCRIPTION FIELD//</t>
  </si>
  <si>
    <t>8/21/2018 9:57:04</t>
  </si>
  <si>
    <t>Gor</t>
  </si>
  <si>
    <t>gorr1238</t>
  </si>
  <si>
    <t>Song and Harp</t>
  </si>
  <si>
    <t>https://theglobaljukebox.org/?share=Gor-T30010</t>
  </si>
  <si>
    <t>Praise song//CODING ID 30010 IN GLOBAL JUKEBOX, RELEVANT TEXT IS IN THE GENRE FIELD//</t>
  </si>
  <si>
    <t>Praise song//CODING ID 30010 IN GLOBAL JUKEBOX, RELEVANT TEXT IS IN THE DESCRIPTION FIELD//</t>
  </si>
  <si>
    <t>8/21/2018 10:02:07</t>
  </si>
  <si>
    <t>Pygmée: Mbenzele</t>
  </si>
  <si>
    <t>Pygmée Mbenzele. Conte mimé</t>
  </si>
  <si>
    <t>https://archives.crem-cnrs.fr/archives/items/CNRSMH_I_1983_001_009_02/</t>
  </si>
  <si>
    <t>Disc 9, Track 2</t>
  </si>
  <si>
    <t>Pygmée Mbenzele. Conte mimé//CODING ID CNRSMH_I_1983_001_009_02 IN CREM, RELEVANT TEXT IS IN THE TITLE FIELD//</t>
  </si>
  <si>
    <t>8/21/2018 10:47:22</t>
  </si>
  <si>
    <t>Lito</t>
  </si>
  <si>
    <t>lito1235</t>
  </si>
  <si>
    <t>Lito. Conptines, ronde et jeux d'enfants, jeu de l'objet caché “ma langa ti yuru“</t>
  </si>
  <si>
    <t>https://archives.crem-cnrs.fr/archives/items/CNRSMH_I_1983_001_035_02/</t>
  </si>
  <si>
    <t>Disc 35, Track 2</t>
  </si>
  <si>
    <t>Lito. Conptines, ronde et jeux d'enfants, jeu de l'objet caché “ma langa ti yuru“//CODING ID CNRSMH_I_1983_001_035_02 IN CREM, RELEVANT TEXT IS IN THE TITLE FIELD//</t>
  </si>
  <si>
    <t>Jeu d'enfants//CODING ID CNRSMH_I_1983_001_035_02 IN CREM, RELEVANT TEXT IS IN THE KEYWORDS FIELD//</t>
  </si>
  <si>
    <t>8/21/2018 10:56:56</t>
  </si>
  <si>
    <t>Vanimong (not listed in HRAF)</t>
  </si>
  <si>
    <t>dumo1239</t>
  </si>
  <si>
    <t>Aroro</t>
  </si>
  <si>
    <t>http://media.theglobaljukebox.org/audio/T5430R26.mp3</t>
  </si>
  <si>
    <t>War song //CODING ID 957 IN GLOBAL JUKEBOX, RELEVANT TEXT IS IN THE DESCRIPTION FIELD//</t>
  </si>
  <si>
    <t>First link is the audio file, second is metadata: https://theglobaljukebox.org/?share=Vanimong-T5430R26</t>
  </si>
  <si>
    <t>8/21/2018 18:40:10</t>
  </si>
  <si>
    <t>Usiai</t>
  </si>
  <si>
    <t>lele1270</t>
  </si>
  <si>
    <t>manu1262</t>
  </si>
  <si>
    <t>lle</t>
  </si>
  <si>
    <t>Lament Song</t>
  </si>
  <si>
    <t>http://media.theglobaljukebox.org/audio/T5428R22.mp3</t>
  </si>
  <si>
    <t>Lament; mourning song //CODING ID 1023 IN GLOBAL JUKEBOX, RELEVANT TEXT IS IN THE DESCRIPTION FIELD//</t>
  </si>
  <si>
    <t>First link is the audio file, second is metadata: https://theglobaljukebox.org/?share=Usiai-T5428R22</t>
  </si>
  <si>
    <t>8/21/2018 18:46:21</t>
  </si>
  <si>
    <t>Manus</t>
  </si>
  <si>
    <t>tita1241</t>
  </si>
  <si>
    <t>ttv</t>
  </si>
  <si>
    <t>Solomon Dance</t>
  </si>
  <si>
    <t>http://media.theglobaljukebox.org/audio/T5428R31.mp3</t>
  </si>
  <si>
    <t>Dance song //CODING ID 369 IN GLOBAL JUKEBOX, RELEVANT TEXT IS IN THE DESCRIPTION FIELD//</t>
  </si>
  <si>
    <t>First link is the audio file, second is metadata: https://theglobaljukebox.org/?share=Manus-T5428R31</t>
  </si>
  <si>
    <t>8/21/2018 19:00:15</t>
  </si>
  <si>
    <t>Mourning Song During a Funeral for a Child</t>
  </si>
  <si>
    <t>http://media.theglobaljukebox.org/audio/T5426R53.mp3</t>
  </si>
  <si>
    <t>Funeral song; mourning song //CODING ID 1005 IN GLOBAL JUKEBOX, RELEVANT TEXT IS IN THE DESCRIPTION FIELD//</t>
  </si>
  <si>
    <t>First link is the audio file, second is metadata: https://theglobaljukebox.org/?share=Manus-T5426R53</t>
  </si>
  <si>
    <t>8/21/2018 19:03:51</t>
  </si>
  <si>
    <t>http://media.theglobaljukebox.org/audio/T5428R32.mp3</t>
  </si>
  <si>
    <t>Mourning song //CODING ID 1006 IN GLOBAL JUKEBOX, RELEVANT TEXT IS IN THE DESCRIPTION FIELD//</t>
  </si>
  <si>
    <t>First link is the audio file, second is metadata: https://theglobaljukebox.org/?share=Manus-T5428R32</t>
  </si>
  <si>
    <t>8/21/2018 19:06:28</t>
  </si>
  <si>
    <t>Pokob E Pokob</t>
  </si>
  <si>
    <t>http://media.theglobaljukebox.org/audio/T5428R14.mp3</t>
  </si>
  <si>
    <t>Topical song //CODING ID 1008 IN GLOBAL JUKEBOX, RELEVANT TEXT IS IN THE DESCRIPTION FIELD//</t>
  </si>
  <si>
    <t>First link is the audio file, second is metadata: https://theglobaljukebox.org/?share=Manus-T5428R14</t>
  </si>
  <si>
    <t>8/21/2018 19:11:34</t>
  </si>
  <si>
    <t>http://media.theglobaljukebox.org/audio/T5428R19.mp3</t>
  </si>
  <si>
    <t>Lullaby //CODING ID 1012 IN GLOBAL JUKEBOX, RELEVANT TEXT IS IN THE DESCRIPTION FIELD//</t>
  </si>
  <si>
    <t>First link is the audio file, second is metadata: https://theglobaljukebox.org/?share=Manus-T5428R19</t>
  </si>
  <si>
    <t>8/21/2018 19:16:43</t>
  </si>
  <si>
    <t>Canoe Pulling Song; Simulated</t>
  </si>
  <si>
    <t>http://media.theglobaljukebox.org/audio/T5426R52.mp3</t>
  </si>
  <si>
    <t>Work song; responsorial song //CODING ID 1019 IN GLOBAL JUKEBOX, RELEVANT TEXT IS IN THE DESCRIPTION FIELD//</t>
  </si>
  <si>
    <t>First link is the audio file, second is metadata: https://theglobaljukebox.org/?share=Manus-T5426R52</t>
  </si>
  <si>
    <t>8/21/2018 19:19:59</t>
  </si>
  <si>
    <t>John Brown's Body</t>
  </si>
  <si>
    <t>http://media.theglobaljukebox.org/audio/T5428R15.mp3</t>
  </si>
  <si>
    <t>Marching song //CODING ID 1200 IN GLOBAL JUKEBOX, RELEVANT TEXT IS IN THE DESCRIPTION FIELD//</t>
  </si>
  <si>
    <t>First link is the audio file, second is metadata: https://theglobaljukebox.org/?share=Manus-T5428R15</t>
  </si>
  <si>
    <t>8/21/2018 19:24:12</t>
  </si>
  <si>
    <t>Kuma (not listed in HRAF)</t>
  </si>
  <si>
    <t>kuma1280</t>
  </si>
  <si>
    <t>Marching Song</t>
  </si>
  <si>
    <t>http://media.theglobaljukebox.org/audio/T5431R01.mp3</t>
  </si>
  <si>
    <t>Marching song; processional music; festival song; warrior's song //CODING ID 55 IN GLOBAL JUKEBOX, RELEVANT TEXT IS IN THE DESCRIPTION FIELD//</t>
  </si>
  <si>
    <t>First link is the audio file, second is metadata: https://theglobaljukebox.org/?share=Kuma-T5431R01</t>
  </si>
  <si>
    <t>8/21/2018 21:55:30</t>
  </si>
  <si>
    <t>Kuma</t>
  </si>
  <si>
    <t>http://media.theglobaljukebox.org/audio/T5426R04.mp3</t>
  </si>
  <si>
    <t>Marching song; processional music; festival song //CODING ID 58 IN GLOBAL JUKEBOX, RELEVANT TEXT IS IN THE DESCRIPTION FIELD//</t>
  </si>
  <si>
    <t>First link is the audio file, second is metadata: https://theglobaljukebox.org/?share=Kuma-T5426R04</t>
  </si>
  <si>
    <t>8/21/2018 22:03:00</t>
  </si>
  <si>
    <t>Maring</t>
  </si>
  <si>
    <t>mari1435</t>
  </si>
  <si>
    <t>mbw</t>
  </si>
  <si>
    <t>Smoke Pulling</t>
  </si>
  <si>
    <t>http://media.theglobaljukebox.org/audio/T5426R20m.mp3</t>
  </si>
  <si>
    <t>Work song //CODING ID 3458 IN GLOBAL JUKEBOX, RELEVANT TEXT IS IN THE DESCRIPTION FIELD//</t>
  </si>
  <si>
    <t>First link is the audio file, second is metadata: https://theglobaljukebox.org/?share=Maring-T5426R20m</t>
  </si>
  <si>
    <t>8/21/2018 22:12:17</t>
  </si>
  <si>
    <t>Bosavi (not listed in HRAF)</t>
  </si>
  <si>
    <t>bosa1245</t>
  </si>
  <si>
    <t>kalu1248</t>
  </si>
  <si>
    <t>Garden Clearing Song</t>
  </si>
  <si>
    <t>http://media.theglobaljukebox.org/audio/T5536R01.mp3</t>
  </si>
  <si>
    <t>Work song; agricultural song //CODING ID 9086 IN GLOBAL JUKEBOX, RELEVANT TEXT IS IN THE DESCRIPTION FIELD//</t>
  </si>
  <si>
    <t>First link is the audio file, second is metadata: https://theglobaljukebox.org/?share=Bosavi-T5536R01</t>
  </si>
  <si>
    <t>8/21/2018 22:20:24</t>
  </si>
  <si>
    <t>Male chorus: “The song of Khasan­bek”</t>
  </si>
  <si>
    <t>Tape 25, 25-9</t>
  </si>
  <si>
    <t>The song text reads, approximately: “When Khasan­bek Tavdgiridze became a Turkish general, he forgot God, he angered God. A few Russians also joined our volunteer corps. 9,000 enemy soldiers attacked us. General Eristov sent forth one company which pierced the enemy and beat him. Those who did not die were taken prisoner. Of 9,000 soldiers only 700 survived.” //ON ALEXANDER STREET, IN THE SUPPLEMENTAL MATERIALS OF THE ALBUM: Soviet Union III: Azerbaijan, Armenia, Georgia, Dagestan, Russian Gypsies, IN THE DOCUMENT TITLED "THEJVCVIDEOANTHOLOGYBOOK6", PAGE 48, DESCRIPTION OF 25-9//</t>
  </si>
  <si>
    <t>The song starts around 35:47.</t>
  </si>
  <si>
    <t>8/21/2018 23:47:23</t>
  </si>
  <si>
    <t>Song and dance from the Adzhar region</t>
  </si>
  <si>
    <t>Tape 25, 25-10</t>
  </si>
  <si>
    <t>Song and dance from the Adzhar region //ON ALEXANDER STREET, IN THE SUPPLEMENTAL MATERIALS OF THE ALBUM: Soviet Union III: Azerbaijan, Armenia, Georgia, Dagestan, Russian Gypsies, IN THE DOCUMENT TITLED "THEJVCVIDEOANTHOLOGYBOOK6", PAGE 49, DESCRIPTION OF 25-10//</t>
  </si>
  <si>
    <t>The song starts around 39:03.</t>
  </si>
  <si>
    <t>8/21/2018 23:54:32</t>
  </si>
  <si>
    <t>Ossetian ethnic dance</t>
  </si>
  <si>
    <t>Tape 25, 25-12</t>
  </si>
  <si>
    <t>Ossetian ethnic dance //ON ALEXANDER STREET, IN THE SUPPLEMENTAL MATERIALS OF THE ALBUM: Soviet Union III: Azerbaijan, Armenia, Georgia, Dagestan, Russian Gypsies, IN THE DOCUMENT TITLED "THEJVCVIDEOANTHOLOGYBOOK6", PAGE 49, DESCRIPTION OF 25-12//</t>
  </si>
  <si>
    <t>The song starts around 41:19.</t>
  </si>
  <si>
    <t>8/22/2018 0:02:23</t>
  </si>
  <si>
    <t>Shampan ragsi</t>
  </si>
  <si>
    <t>https://search.alexanderstreet.com/preview/work/bibliographic_entity%7Crecorded_cd%7C1747788</t>
  </si>
  <si>
    <t>Dance &amp; weddings, gala days, birthday parties and betrothals.</t>
  </si>
  <si>
    <t>A festive dance melody performed especially at weddings, gala days, birthday parties and betrothals. //ON ALEXANDER STREET, IN THE SUPPLEMENTAL MATERIALS OF THE ALBUM: Azerbaijan: Traditional Music, PAGE 4, IN THE DESCRIPTION OF SONG 6//</t>
  </si>
  <si>
    <t>8/22/2018 14:49:29</t>
  </si>
  <si>
    <t>Dilkash</t>
  </si>
  <si>
    <t>Here it is the song "Ay Gözal" which expresses gentle feelings towards one's sweetheart. //ON ALEXANDER STREET, IN THE SUPPLEMENTAL MATERIALS OF THE ALBUM: Azerbaijan: Traditional Music, PAGE 4, DESCRIPTION OF SONG 9//</t>
  </si>
  <si>
    <t>This piece is a mugam, and many songs can be performed to this mugam. This song is one of them.</t>
  </si>
  <si>
    <t>8/22/2018 14:57:40</t>
  </si>
  <si>
    <t>Daglar gözali</t>
  </si>
  <si>
    <t>Daglar gözali is a dance melody. //ON ALEXANDER STREET, IN THE SUPPLEMENTAL MATERIALS OF THE ALBUM: Azerbaijan: Traditional Music, PAGE 4, DESCRIPTION OF SONG 10//</t>
  </si>
  <si>
    <t>8/22/2018 15:12:52</t>
  </si>
  <si>
    <t>Bayram regsi</t>
  </si>
  <si>
    <t>This is a dance composition consisting of three pieces. //ON ALEXANDER STREET, IN THE SUPPLEMENTAL MATERIALS OF THE ALBUM: Azerbaijan: Traditional Music, PAGE 4, DESCRIPTION OF SONG 13//</t>
  </si>
  <si>
    <t>This track consists of 3 pieces with their own names.</t>
  </si>
  <si>
    <t>8/22/2018 15:18:35</t>
  </si>
  <si>
    <t>Baluchi</t>
  </si>
  <si>
    <t>sira1271</t>
  </si>
  <si>
    <t>balo1260</t>
  </si>
  <si>
    <t>Bugero (love song)</t>
  </si>
  <si>
    <t>https://sounds.bl.uk/World-and-traditional-music/Nicholas-Pierce-Balochistan/025M-C0140X0017XX-0200V0</t>
  </si>
  <si>
    <t>Bugero (love song) //CODING ID C140/17 IN BRITISH LIBRARY, RELEVANT TEXT IS IN THE TITLE//</t>
  </si>
  <si>
    <t>8/22/2018 15:27:51</t>
  </si>
  <si>
    <t>Laylati</t>
  </si>
  <si>
    <t>https://sounds.bl.uk/World-and-traditional-music/Nicholas-Pierce-Balochistan/025M-C0140X0003XX-0100V0</t>
  </si>
  <si>
    <t>Laylati //CODING ID C140/3 IN BRITISH LIBRARY, RELEVANT TEXT IS IN THE TITLE//</t>
  </si>
  <si>
    <t>Traditional tunes of Balochi goat herders //CODING ID C140/3 IN BRITISH LIBRARY, RELEVANT TEXT IS IN THE DESCRIPTION//</t>
  </si>
  <si>
    <t>8/22/2018 15:31:18</t>
  </si>
  <si>
    <t>Tale about Jousef Laislam Nabi</t>
  </si>
  <si>
    <t>https://sounds.bl.uk/World-and-traditional-music/Nicholas-Pierce-Balochistan/025M-C0140X0014XX-0500V0</t>
  </si>
  <si>
    <t>Tale about Jousef Laislam Nabi //CODING ID C140/14 IN BRITISH LIBRARY, RELEVANT TEXT IS IN THE TITLE//</t>
  </si>
  <si>
    <t>8/22/2018 15:39:19</t>
  </si>
  <si>
    <t>Lok geet (people's song)</t>
  </si>
  <si>
    <t>https://sounds.bl.uk/World-and-traditional-music/Nicholas-Pierce-Balochistan/025M-C0140X0012XX-0100V0</t>
  </si>
  <si>
    <t>Lok geet (people's song) //CODING ID C140/12 IN BRITISH LIBRARY, RELEVANT TEXT IS IN THE TITLE//</t>
  </si>
  <si>
    <t>Balochi folk song in Siraiki [Saraiki] language (poem in admiration of Sakhi Shahebaz Kalendar [?]) [open air evening concert]. //CODING ID C140/12 IN BRITISH LIBRARY, RELEVANT TEXT IS IN THE DESCRIPTION FIELD//</t>
  </si>
  <si>
    <t>8/22/2018 15:42:20</t>
  </si>
  <si>
    <t>Traditional Pashto dance</t>
  </si>
  <si>
    <t>https://sounds.bl.uk/World-and-traditional-music/Nicholas-Pierce-Balochistan/025M-C0140X0019XX-0100V0</t>
  </si>
  <si>
    <t>Traditional Pashto dance //CODING ID C140/19 IN BRITISH LIBRARY, RELEVANT TEXT IS IN THE TITLE//</t>
  </si>
  <si>
    <t>8/22/2018 15:44:58</t>
  </si>
  <si>
    <t>Burusho</t>
  </si>
  <si>
    <t>buru1296</t>
  </si>
  <si>
    <t>bsk</t>
  </si>
  <si>
    <t>Bopo</t>
  </si>
  <si>
    <t>https://sounds.bl.uk/World-and-traditional-music/Colin-Huehns-Pakistan/025M-C0485X0033XX-2900V0</t>
  </si>
  <si>
    <t>Bopo //CODING ID C485/33 IN BRITISH LIBRARY, RELEVANT TEXT IS IN THE TITLE//</t>
  </si>
  <si>
    <t>Item note: Spring festival. //CODING ID C485/33 IN BRITISH LIBRARY, RELEVANT TEXT IS IN THE DESCRIPTION FIELD//</t>
  </si>
  <si>
    <t>8/22/2018 15:59:01</t>
  </si>
  <si>
    <t>NA (Baltit region)</t>
  </si>
  <si>
    <t>for the next few discrepancies I found the most likely indigenous language, but I can't say for sure that that is what language the lyrics of the song are in</t>
  </si>
  <si>
    <t>Bofawo Programme, part 1 of 2</t>
  </si>
  <si>
    <t>https://sounds.bl.uk/World-and-traditional-music/Colin-Huehns-Pakistan/025M-C0485X0038XX-0100V0</t>
  </si>
  <si>
    <t>Bofawo Programme, part 1 of 2. //CODING ID C485/38 IN BRITISH LIBRARY, RELEVANT TEXT IS IN THE TITLE//</t>
  </si>
  <si>
    <t>Item note: Celebrations for spring seed-planting. Recording note: This recording is a copy, made on 23/04/1989. //CODING ID C485/38 IN BRITISH LIBRARY, RELEVANT TEXT IS IN THE DESCRIPTION FIELD//</t>
  </si>
  <si>
    <t>8/22/2018 16:04:39</t>
  </si>
  <si>
    <t>NA (Region: Berigiot)</t>
  </si>
  <si>
    <t>see above</t>
  </si>
  <si>
    <t>Alganiwar</t>
  </si>
  <si>
    <t>https://sounds.bl.uk/World-and-traditional-music/Colin-Huehns-Pakistan/025M-C0485X0048XX-0700V0</t>
  </si>
  <si>
    <t>Alganiwar //CODING ID C485/48 IN BRITISH LIBRARY, RELEVANT TEXT IS IN THE TITLE//</t>
  </si>
  <si>
    <t>This recording is part of a group of recordings entitled "Welcome Symphony". //CODING ID C485/48 IN BRITISH LIBRARY, RELEVANT TEXT IS IN THE DESCRIPTION FIELD//</t>
  </si>
  <si>
    <t>8/22/2018 16:09:05</t>
  </si>
  <si>
    <t>You Are the Light of My Eyes</t>
  </si>
  <si>
    <t>https://search.alexanderstreet.com/preview/work/bibliographic_entity%7Crecorded_cd%7C612193</t>
  </si>
  <si>
    <t>You are the light of my eyes, I fell in love with you at first sight. You are the first strike on my heart, come, let’s celebrate life close together. You are the light of my eyes, you are the fragrance of our garden. Oh my love, what is this separation? I have waited enough, my jasmine, You are the light of my eyes. //ON ALEXANDER STREET, IN THE LINER NOTES OF THE ALBUM: Music of Central Asia Vol. 6: Alim and Fargana Qasimov: Spiritual Music of Azerbaijan, PAGE 28, DESCRIPTION OF SONG 8//</t>
  </si>
  <si>
    <t>8/22/2018 16:47:15</t>
  </si>
  <si>
    <t>Eshqin Mehebbeti</t>
  </si>
  <si>
    <t>The song tells the story of a young man who falls in love with a neighbor’s daughter and decides to marry her. In order not to burden his poor parents, the lad arranges the marriage himself, and informs his crestfallen mother only after the wedding. //ON ALEXANDER STREET, IN THE LINER NOTES OF THE ALBUM: Music of Central Asia Vol. 6: Alim and Fargana Qasimov: Spiritual Music of Azerbaijan, PAGE 29, DESCRIPTION OF SONG 9//</t>
  </si>
  <si>
    <t>My soul has fallen into the love of loves, Mother, my dear, please dry your tears. I have passed twenty years, I cannot wait another year, my dear [mother]. (Refrain) What is this secret I have fallen into, Mother, I have fallen into love’s fire. I never knew the power of love like this before, Mother. //ON ALEXANDER STREET, IN THE LINER NOTES OF THE ALBUM: Music of Central Asia Vol. 6: Alim and Fargana Qasimov: Spiritual Music of Azerbaijan, PAGE 29, DESCRIPTION OF SONG 9//</t>
  </si>
  <si>
    <t>8/22/2018 16:51:18</t>
  </si>
  <si>
    <t>Jeyran</t>
  </si>
  <si>
    <t>Let me encircle you with love, Your black eyes and eyebrows, Jeyran. I have fallen into the flames of longing, Help me to recover from this pain, Jeyran. Let the partridges cackle, my little deer, If I cannot love you openly, Then let me love you in secret. With my saz, with my saz, Oh beloved, I encircle you with love. //ON ALEXANDER STREET, IN THE LINER NOTES OF THE ALBUM: Music of Central Asia Vol. 6: Alim and Fargana Qasimov: Spiritual Music of Azerbaijan, PAGE 30-31, DESCRIPTION OF SONG 8//</t>
  </si>
  <si>
    <t>8/22/2018 16:57:34</t>
  </si>
  <si>
    <t>Kunimaipa (not listed in HRAF)</t>
  </si>
  <si>
    <t>kuni1267</t>
  </si>
  <si>
    <t>kup</t>
  </si>
  <si>
    <t>Love Magic Song</t>
  </si>
  <si>
    <t>http://media.theglobaljukebox.org/audio/T5430R67.mp3</t>
  </si>
  <si>
    <t>//CODING ID 64 IN GLOBAL JUKEBOX, RELEVANT TEXT IS IN THE DESCRIPTION FIELD//</t>
  </si>
  <si>
    <t>First link is the audio file, second is metadata: https://theglobaljukebox.org/?share=Kunimaipa-T5430R67</t>
  </si>
  <si>
    <t>8/22/2018 17:10:50</t>
  </si>
  <si>
    <t>Song About First Meeting with the Kuni</t>
  </si>
  <si>
    <t>http://media.theglobaljukebox.org/audio/T5430R71.mp3</t>
  </si>
  <si>
    <t>Historical song; topical //CODING ID 65 IN GLOBAL JUKEBOX, RELEVANT TEXT IS IN THE DESCRIPTION FIELD//</t>
  </si>
  <si>
    <t>First link is the audio file, second is metadata: https://theglobaljukebox.org/?share=Kunimaipa-T5430R71</t>
  </si>
  <si>
    <t>8/22/2018 17:14:07</t>
  </si>
  <si>
    <t>Mekeo</t>
  </si>
  <si>
    <t>meke1243</t>
  </si>
  <si>
    <t>mek</t>
  </si>
  <si>
    <t>http://media.theglobaljukebox.org/audio/T5431R25.mp3</t>
  </si>
  <si>
    <t>Love song //CODING ID 46 IN GLOBAL JUKEBOX, RELEVANT TEXT IS IN THE DESCRIPTION FIELD//</t>
  </si>
  <si>
    <t>First link is the audio file, second is metadata: https://theglobaljukebox.org/?share=Mekeo-T5431R25</t>
  </si>
  <si>
    <t>8/22/2018 17:21:47</t>
  </si>
  <si>
    <t>Mekeo (not listed in HRAF)</t>
  </si>
  <si>
    <t>Love Song with Drum</t>
  </si>
  <si>
    <t>http://media.theglobaljukebox.org/audio/T5431R26.mp3</t>
  </si>
  <si>
    <t>Love song //CODING ID 47 IN GLOBAL JUKEBOX, RELEVANT TEXT IS IN THE DESCRIPTION FIELD//</t>
  </si>
  <si>
    <t>First link is the audio file, second is metadata: https://theglobaljukebox.org/?share=Mekeo-T5431R26</t>
  </si>
  <si>
    <t>8/22/2018 17:33:22</t>
  </si>
  <si>
    <t>Maopa (not listed in HRAF)</t>
  </si>
  <si>
    <t>maop1237</t>
  </si>
  <si>
    <t>Pita Kele</t>
  </si>
  <si>
    <t>http://media.theglobaljukebox.org/audio/T5538R33.mp3</t>
  </si>
  <si>
    <t>Game song; girls' song //CODING ID 9500 IN GLOBAL JUKEBOX, RELEVANT TEXT IS IN THE DESCRIPTION FIELD//</t>
  </si>
  <si>
    <t>First link is the audio file, second is metadata: https://theglobaljukebox.org/?share=Maopa-T5538R33</t>
  </si>
  <si>
    <t>8/22/2018 17:42:25</t>
  </si>
  <si>
    <t>NA (Chitral Region)</t>
  </si>
  <si>
    <t>khow1242</t>
  </si>
  <si>
    <t>see line 1439</t>
  </si>
  <si>
    <t>Amir Ghul Khan's Gana</t>
  </si>
  <si>
    <t>https://sounds.bl.uk/World-and-traditional-music/Colin-Huehns-Pakistan/025M-C0485X0053XX-0200V0</t>
  </si>
  <si>
    <t>Amir Ghul Khan's Gana //CODING ID C485/53 IN BRITISH LIBRARY, RELEVANT TEXT IS IN THE TITLE//</t>
  </si>
  <si>
    <t>According to the recordist's notes, Amir Ghul Khan is Chitral's most famous poet. //CODING ID C485/53 IN BRITISH LIBRARY, RELEVANT TEXT IS IN THE DESCRIPTION FIELD//</t>
  </si>
  <si>
    <t>8/22/2018 17:45:55</t>
  </si>
  <si>
    <t>NA (Region: Chitral)</t>
  </si>
  <si>
    <t>Ghaliwar</t>
  </si>
  <si>
    <t>https://sounds.bl.uk/World-and-traditional-music/Colin-Huehns-Pakistan/025M-C0485X0052XX-2100V0</t>
  </si>
  <si>
    <t>Ghaliwar //CODING ID C485/52 IN BRITISH LIBRARU, RELEVANT TEXT IS IN THE TITLE//</t>
  </si>
  <si>
    <t>Played on gathering in the polo ground before polo. //CODING ID C485/52 IN BRITISH LIBRARU, RELEVANT TEXT IS IN THE DESCRIPTION FIELD//</t>
  </si>
  <si>
    <t>8/22/2018 17:49:32</t>
  </si>
  <si>
    <t>Kho (not found in eHRAF)</t>
  </si>
  <si>
    <t>khw</t>
  </si>
  <si>
    <t>Ponwar</t>
  </si>
  <si>
    <t>https://sounds.bl.uk/World-and-traditional-music/Colin-Huehns-Pakistan/025M-C0485X0052XX-2000V0</t>
  </si>
  <si>
    <t>Ponwar //CODING ID C485/52 IN BRITISH LIBRARY, RELEVANT TEXT IS IN THE TITLE//</t>
  </si>
  <si>
    <t>Played for going to polo. //CODING ID C485/52 IN BRITISH LIBRARY, RELEVANT TEXT IS IN THE DESCRIPTION FIELD//</t>
  </si>
  <si>
    <t>8/22/2018 17:55:17</t>
  </si>
  <si>
    <t>NA (Region: Gahkuch)</t>
  </si>
  <si>
    <t>shin1264</t>
  </si>
  <si>
    <t>Unidentified song</t>
  </si>
  <si>
    <t>https://sounds.bl.uk/World-and-traditional-music/Colin-Huehns-Pakistan/025M-C0485X0045XX-0900V0</t>
  </si>
  <si>
    <t>Unidentified song //CODING ID C485/45 IN BRITISH LIBRARY, RELEVANT TEXT IS IN THE TITLE//</t>
  </si>
  <si>
    <t>Dissolves. Performer interacts with children who cheer and laugh. Performer's note: Gakooch musicians. //CODING ID C485/45 IN BRITISH LIBRARY, RELEVANT TEXT IS IN THE DESCRIPTION FIELD//</t>
  </si>
  <si>
    <t>8/22/2018 17:59:00</t>
  </si>
  <si>
    <t>NA (Region: Gilgit)</t>
  </si>
  <si>
    <t>Love for Imam</t>
  </si>
  <si>
    <t>https://sounds.bl.uk/World-and-traditional-music/Colin-Huehns-Pakistan/025M-C0485X0031XX-0900V0</t>
  </si>
  <si>
    <t>Love for Imam //CODING ID C485/31 IN BRITISH LIBRARY, RELEVANT TEXT IS IN THE TITLE//</t>
  </si>
  <si>
    <t>This recording contains two parts described as Melody I and Melody II. //CODING ID C485/31 IN BRITISH LIBRARY, RELEVANT TEXT IS IN THE DESCRIPTION FIELD//</t>
  </si>
  <si>
    <t>8/22/2018 18:03:23</t>
  </si>
  <si>
    <t>NA (Region: Khanabad)</t>
  </si>
  <si>
    <t>paha1251</t>
  </si>
  <si>
    <t>Dumo's Daughter</t>
  </si>
  <si>
    <t>https://sounds.bl.uk/World-and-traditional-music/Colin-Huehns-Pakistan/025M-C0485X0059XX-0300V0</t>
  </si>
  <si>
    <t>Dumo's Daughter //CODING ID C485/59 IN BRITISH LIBRARY, RELEVANT TEXT IS IN THE TITLE//</t>
  </si>
  <si>
    <t>Dumo's daughter married away from her village and then returned home. Performer's note: Mohammad Isral comes from Khanabad. //CODING ID C485/59 IN BRITISH LIBRARY, RELEVANT TEXT IS IN THE DESCRIPTION FIELD//</t>
  </si>
  <si>
    <t>8/22/2018 18:08:02</t>
  </si>
  <si>
    <t>Bul Bul Shirin</t>
  </si>
  <si>
    <t>https://sounds.bl.uk/World-and-traditional-music/Colin-Huehns-Pakistan/025M-C0485X0029XX-0700V0</t>
  </si>
  <si>
    <t>Bul Bul Shirin //CODING ID C485/29 IN BRITISH LIBRARY, RELEVANT TEXT IS IN THE TITLE//</t>
  </si>
  <si>
    <t>This is a welcome song. //CODING ID C485/29 IN BRITISH LIBRARY, RELEVANT TEXT IS IN THE DESCRIPTION FIELD //</t>
  </si>
  <si>
    <t>8/22/2018 18:20:04</t>
  </si>
  <si>
    <t>Mattinata Cagliaritana</t>
  </si>
  <si>
    <t>https://folkways.si.edu/italian-folk-songs-and-dances/world/music/album/smithsonian</t>
  </si>
  <si>
    <t>A love song //FROM SMITHSONIAN FOLKWAYS: "Italian Folk Songs and Dances" LINER NOTES PAGE 4//</t>
  </si>
  <si>
    <t>A love song played at dawn in front of the window of the loved one. //FROM SMITHSONIAN FOLKWAYS: "Italian Folk Songs and Dances" LINER NOTES PAGE 4//</t>
  </si>
  <si>
    <t>8/23/2018 13:09:46</t>
  </si>
  <si>
    <t>Albanesian</t>
  </si>
  <si>
    <t>Picoroso di Tosca</t>
  </si>
  <si>
    <t>Albanese waltz //FROM SMITHSONIAN FOLKWAYS: "Italian Folk Songs and Dances" CD PAGE//</t>
  </si>
  <si>
    <t>This is an Albanesian waltz. The dance tune is traditional. It was recorded at a seminar for priests. //FROM SMITHSONIAN FOLKWAYS: "Italian Folk Songs and Dances" LINER NOTES PAGE 4//</t>
  </si>
  <si>
    <t>8/23/2018 13:14:58</t>
  </si>
  <si>
    <t>Tamaris Perchuli</t>
  </si>
  <si>
    <t>https://search.alexanderstreet.com/preview/work/bibliographic_entity%7Crecorded_cd%7C776462</t>
  </si>
  <si>
    <t>A round dance that honours Queen Tamara, who rules Georgia in the twelfth century. //ON ALEXANDER STREET, IN THE LINER NOTES OF THE ALBUM: Ensemble Kutaisi: Polyphonic Songs From Georgia: Makruli, PAGE 5, DESCRIPTION OF SONG 1//</t>
  </si>
  <si>
    <t>8/23/2018 16:32:35</t>
  </si>
  <si>
    <t>Makruli</t>
  </si>
  <si>
    <t>A humorous wedding song sung by the wedding procession. //ON ALEXANDER STREET, IN THE LINER NOTES OF THE ALBUM: Ensemble Kutaisi: Polyphonic Songs From Georgia: Makruli, PAGE 5, DESCRIPTION OF SONG 3//</t>
  </si>
  <si>
    <t>8/23/2018 16:35:50</t>
  </si>
  <si>
    <t>Mkhedruli</t>
  </si>
  <si>
    <t>The song, widely known in Imeretia (west Georgia), describes the bravery and courage of the Georgian horseman. //ON ALEXANDER STREET, IN THE LINER NOTES OF THE ALBUM: Ensemble Kutaisi: Polyphonic Songs From Georgia: Makruli, PAGE 6, DESCRIPTION OF SONG 10//</t>
  </si>
  <si>
    <t>8/23/2018 17:57:44</t>
  </si>
  <si>
    <t>Sisatura</t>
  </si>
  <si>
    <t>Lullaby //ON ALEXANDER STREET, IN THE LINER NOTES OF THE ALBUM: Ensemble Kutaisi: Polyphonic Songs From Georgia: Makruli, PAGE 6, TITLE OF SONG 11//</t>
  </si>
  <si>
    <t>A lullaby to rock a child to sleep. //ON ALEXANDER STREET, IN THE LINER NOTES OF THE ALBUM: Ensemble Kutaisi: Polyphonic Songs From Georgia: Makruli, PAGE 6, DESCRIPTION OF SONG 11//</t>
  </si>
  <si>
    <t>8/23/2018 18:08:15</t>
  </si>
  <si>
    <t>Kwakwaka'wakw (Kwakiutl)</t>
  </si>
  <si>
    <t>N4: Love Song</t>
  </si>
  <si>
    <t>https://folkways.si.edu/billy-assu/n4-love-song/american-indian/music/track/smithsonian</t>
  </si>
  <si>
    <t>Disk 2, Track 5</t>
  </si>
  <si>
    <t>8/23/2018 19:43:32</t>
  </si>
  <si>
    <t>Cedar Bark Dance Song</t>
  </si>
  <si>
    <t>https://folkways.si.edu/mungo-martin/cedar-bark-dance-song/american-indian/music/track/smithsonian</t>
  </si>
  <si>
    <t>8/23/2018 19:47:43</t>
  </si>
  <si>
    <t>Ghost Song, Hacha Mamai</t>
  </si>
  <si>
    <t>https://folkways.si.edu/mungo-martin/ghost-song-hacha-mamai/american-indian/music/track/smithsonian</t>
  </si>
  <si>
    <t>8/23/2018 19:50:26</t>
  </si>
  <si>
    <t>Kwakwaka'wakw (Kwakiutl); Haida</t>
  </si>
  <si>
    <t>MM 46: Play Song</t>
  </si>
  <si>
    <t>https://folkways.si.edu/mungo-martin/mm-46-play-song/american-indian/music/track/smithsonian</t>
  </si>
  <si>
    <t>8/23/2018 19:53:16</t>
  </si>
  <si>
    <t>https://folkways.si.edu/mungo-martin/mourning-song/american-indian/music/track/smithsonian</t>
  </si>
  <si>
    <t>8/23/2018 19:59:25</t>
  </si>
  <si>
    <t>FD 2: Lullaby Song</t>
  </si>
  <si>
    <t>https://folkways.si.edu/florence-davidson/fd-2-lullaby-song/american-indian/music/track/smithsonian</t>
  </si>
  <si>
    <t>8/23/2018 20:06:19</t>
  </si>
  <si>
    <t>FD 6: Welcome Dance for Edenshaw's Potlatch</t>
  </si>
  <si>
    <t>https://folkways.si.edu/florence-davidson/fd-6-welcome-dance-for-edenshaws-potlatch/american-indian/music/track/smithsonian</t>
  </si>
  <si>
    <t>Disc 2, Track 6</t>
  </si>
  <si>
    <t>8/23/2018 20:09:42</t>
  </si>
  <si>
    <t>FD 3: Marriage Song</t>
  </si>
  <si>
    <t>https://folkways.si.edu/florence-davidson/fd-3-marriage-song/american-indian/music/track/smithsonian</t>
  </si>
  <si>
    <t>8/23/2018 20:13:17</t>
  </si>
  <si>
    <t>kwak1269, haid1248</t>
  </si>
  <si>
    <t>TW 12: Paddle Song</t>
  </si>
  <si>
    <t>https://folkways.si.edu/tom-willie-johnson/tw-12-paddle-song/american-indian/music/track/smithsonian</t>
  </si>
  <si>
    <t>8/23/2018 20:16:22</t>
  </si>
  <si>
    <t>Tlingit; Tsimshian</t>
  </si>
  <si>
    <t>Tsimshian Blanket Dance Song / Ballad of the Woodworm (Part 1) (medley)</t>
  </si>
  <si>
    <t>https://folkways.si.edu/people-of-yakutat-bev-rawson-and-john-ingalls/tsimshian-blanket-dance-song/ballad-of-the-woodworm-part-1-medley/american-folk/music/track/smithsonian</t>
  </si>
  <si>
    <t>8/23/2018 20:20:21</t>
  </si>
  <si>
    <t>Banda : Langba</t>
  </si>
  <si>
    <t>west2458</t>
  </si>
  <si>
    <t>bbp</t>
  </si>
  <si>
    <t>Banda Langba. Chant de deuil, “Ayou daya bissi“</t>
  </si>
  <si>
    <t>https://archives.crem-cnrs.fr/archives/items/CNRSMH_I_1983_001_029_06/</t>
  </si>
  <si>
    <t>Disc 29, Track 6</t>
  </si>
  <si>
    <t>Banda Langba. Chant de deuil, “Ayou daya bissi“//CODING ID CNRSMH_I_1983_001_029_06 IN CREM, RELEVANT TEXT IS IN THE TITLE FIELD//</t>
  </si>
  <si>
    <t>Population Banda, sous groupe Langba vie familiale : chant de deuil//CODING ID CNRSMH_I_1983_001_029_06 IN CREM, RELEVANT TEXT IS IN THE ETHNOGRAPHIC CONTEXT FIELD//</t>
  </si>
  <si>
    <t>8/24/2018 13:28:24</t>
  </si>
  <si>
    <t>Gbaya : Kaka</t>
  </si>
  <si>
    <t>Gbaya Kaka. Berceuse “Endaé endaé“</t>
  </si>
  <si>
    <t>https://archives.crem-cnrs.fr/archives/items/CNRSMH_I_1983_001_024_06/</t>
  </si>
  <si>
    <t>Disc 24, Track 6</t>
  </si>
  <si>
    <t>Gbaya Kaka. Berceuse “Endaé endaé“//CODING ID CNRSMH_I_1983_001_024_06 IN GLOBAL JUKEBOX, RELEVANT TEXT IS IN THE TITLE FIELD//</t>
  </si>
  <si>
    <t>8/24/2018 13:33:28</t>
  </si>
  <si>
    <t>Lito. Conptines, ronde et jeux d'enfants, ronde “zab si na nu“</t>
  </si>
  <si>
    <t>https://archives.crem-cnrs.fr/archives/items/CNRSMH_I_1983_001_035_03/</t>
  </si>
  <si>
    <t>Disc 35, Track 3</t>
  </si>
  <si>
    <t>Lito. Conptines, ronde et jeux d'enfants, ronde “zab si na nu“//CODING ID CNRSMH_I_1983_001_035_03 IN CREM, RELEVANT TEXT IS IN THE TITLE FIELD//</t>
  </si>
  <si>
    <t>Jeu d'enfants//CODING ID CNRSMH_I_1983_001_035_03 IN CREM, RELEVANT TEXT IS IN THE KEYWORDS FIELD//</t>
  </si>
  <si>
    <t>8/24/2018 13:39:20</t>
  </si>
  <si>
    <t>Lito. Conptines, ronde et jeux d'enfants, ronde “Mala kwomè“</t>
  </si>
  <si>
    <t>https://archives.crem-cnrs.fr/archives/items/CNRSMH_I_1983_001_035_04/</t>
  </si>
  <si>
    <t>Disc 35, Track 4</t>
  </si>
  <si>
    <t>Lito. Conptines, ronde et jeux d'enfants, ronde “Mala kwomè“//CODING ID CNRSMH_I_1983_001_035_04 IN CREM, RELEVANT TEXT IS IN THE TITLE FIELD//</t>
  </si>
  <si>
    <t>Jeu d'enfants//CODING ID CNRSMH_I_1983_001_035_04 IN CREM, RELEVANT TEXT IS IN THE KEYWORDS FIELD//</t>
  </si>
  <si>
    <t>8/24/2018 13:41:54</t>
  </si>
  <si>
    <t>Lito. Berceuse “Yeli kal tarou“</t>
  </si>
  <si>
    <t>https://archives.crem-cnrs.fr/archives/items/CNRSMH_I_1983_001_036_02/</t>
  </si>
  <si>
    <t>Disc 36, Track 2</t>
  </si>
  <si>
    <t>Berceuse</t>
  </si>
  <si>
    <t>8/24/2018 13:46:13</t>
  </si>
  <si>
    <t>Banda morouba</t>
  </si>
  <si>
    <t>Trompes traversières appariées : musique de guérison</t>
  </si>
  <si>
    <t>https://archives.crem-cnrs.fr/archives/items/CNRSMH_E_1971_003_001_001_06/</t>
  </si>
  <si>
    <t>Trompes traversières appariées : musique de guérison//CODING ID CNRSMH_E_1971_003_001_001_06 IN CREM, RELEVANT TEXT IS IN THE TITLE FIELD//</t>
  </si>
  <si>
    <t>8/24/2018 13:57:43</t>
  </si>
  <si>
    <t>Kuyu (location: Fort-Rousset, Ouando, Congo)</t>
  </si>
  <si>
    <t>nucl1736</t>
  </si>
  <si>
    <t>CHANT DE GUERISON IKANGO</t>
  </si>
  <si>
    <t>https://archives.crem-cnrs.fr/archives/items/CNRSMH_I_1974_013_004_06/</t>
  </si>
  <si>
    <t>CHANT DE GUERISON IKANGO//CODING ID CNRSMH_I_1974_013_004_06 IN CREM, RELEVANT TEXT IS IN THE TITLE FIELD//</t>
  </si>
  <si>
    <t>Guérison//CODING ID CNRSMH_I_1974_013_004_06 IN CREM, RELEVANT TEXT IS IN THE KEYWORDS FIELD//</t>
  </si>
  <si>
    <t>8/24/2018 14:06:18</t>
  </si>
  <si>
    <t>Bougongo</t>
  </si>
  <si>
    <t>Song of the parrot</t>
  </si>
  <si>
    <t>https://archives.crem-cnrs.fr/archives/items/CNRSMH_E_1958_013_001_001_02/</t>
  </si>
  <si>
    <t>The word "Bantu" (literally: men) is commonly used to describe the large linguistic family to which the languages ​​spoken in Africa are attached in huge territories around and south of Ecuador. The theme of the song is the parrot's fable that had two women, always left the second home and took the first to the party. //CODING ID CNRSMH_E_1958_013_001_001_02 IN CREM, RELEVANT TEXT IS IN THE ETHNOGRAPHIC CONTEXT FIELD//</t>
  </si>
  <si>
    <t>8/24/2018 14:14:05</t>
  </si>
  <si>
    <t>Chahiksichahiks, Pawnee, Caddoan Language</t>
  </si>
  <si>
    <t>cadd1255</t>
  </si>
  <si>
    <t>Pipe Dance</t>
  </si>
  <si>
    <t>https://imgur.com/a/ZdMEWik</t>
  </si>
  <si>
    <t>Dance//CODING ID 2241IN GLOBAL JUKEBOX, RELEVANT TEXT IS IN THE GENRE FIELD//</t>
  </si>
  <si>
    <t>Song from the sacred and complex Pipe Dance ritual; singer was a chief of the Skidi band//CODING ID 2241IN GLOBAL JUKEBOX, RELEVANT TEXT IS IN THE DESCRIPTION FIELD//</t>
  </si>
  <si>
    <t>Track not available on GJB, but a copy is in Alan Lomax Collection, American Folklife Center, Library of Congress</t>
  </si>
  <si>
    <t>We need to find original recording for this one since it's subject to tribal permission and not playing through GJB. Permalink goes to screenshot of GJB since there was no functioning link directly to the song.</t>
  </si>
  <si>
    <t>8/25/2018 23:59:24</t>
  </si>
  <si>
    <t>Sicilian</t>
  </si>
  <si>
    <t>Sicilia Bedda</t>
  </si>
  <si>
    <t>Sicilians from Catania, a city surrounded by masses of black lava, sing of the beauty of their country. //FROM SMITHSONIAN FOLKWAYS: "Italian Folk Songs and Dances" LINER NOTES PAGE 4//</t>
  </si>
  <si>
    <t>Beautiful Sicily, you are my everything... Our voices are beautiful, they can take flight singing songs of love... Only we possess these oranges; our Sicily honors us. Foreigners come in numbers from afar, saying, the air in Sicily is scented with a sweet perfume. They smell the orange-blossoms and beautiful springtime is back. Roses blooming in the hot sun... beautiful Sicily, you're a bed of flowers. Sweet scented perfume of oranges and roses... Hail, Sicily, land of the sun... Sicily shall live. //FROM SMITHSONIAN FOLKWAYS: "Italian Folk Songs and Dances" LINER NOTES PAGE 4//</t>
  </si>
  <si>
    <t>8/26/2018 19:43:53</t>
  </si>
  <si>
    <t>Napule Bella</t>
  </si>
  <si>
    <t>A declaration of love for the city //FROM SMITHSONIAN FOLKWAYS: "Italian Folk Songs and Dances" LINER NOTES PAGE 4//</t>
  </si>
  <si>
    <t>The moon lies over the ocean like silver. A lonesome couple hears mandolins in the moonlight. Naples, my beautiful Naples, always, only you! Drink to Naples.</t>
  </si>
  <si>
    <t>Although lyrics are provided in the ethnographic liner notes, I cannot hear any voices in the recording itself.</t>
  </si>
  <si>
    <t>8/26/2018 19:53:22</t>
  </si>
  <si>
    <t>Pawnee, called themselves Chaticks si Chaticks (men of men) ethnonyms: Pani, Panzas, Pawni//EHRAF//</t>
  </si>
  <si>
    <t>Military Society: Hatuxka Lance Society / Wolf War Raid / Military Society: Horse Society / Story of the Wolf and the Scalped Man (medley)</t>
  </si>
  <si>
    <t>https://folkways.si.edu/mark-evarts/music-of-the-pawnee/american-indian/album/smithsonian</t>
  </si>
  <si>
    <t>Disc 2, Track 5,d</t>
  </si>
  <si>
    <t>Story//MUSIC OF THE PAWNEE ALBUM LINER NOTES PAGE 11, D//</t>
  </si>
  <si>
    <t>A coyote or wolf story told only in the Winter.The incidents refer to the "trickster" characterof the wolf//MUSIC OF THE PAWNEE ALBUM LINER NOTES PAGE 11, D//</t>
  </si>
  <si>
    <t>1- taku - someone ruaxkaku (si) is probably in there 2- tirixkitapatstaWitawia- here they, WillOWS, are not quite touohing • (the bank) 3- tikutkiraruwahusta- He is to bring water for me (the unseen being say //MUSIC OF THE PAWNEE ALBUM LINER NOTES PAGE 11, D//</t>
  </si>
  <si>
    <t>The track combines multiple songs into one track. It is the last part of track 205 or disc 2, track 5.</t>
  </si>
  <si>
    <t>8/27/2018 23:33:39</t>
  </si>
  <si>
    <t>see</t>
  </si>
  <si>
    <t>Seneca Anthem</t>
  </si>
  <si>
    <t>https://folkways.si.edu/avery-and-fidelia-jimerson/seneca-anthem/american-indian/music/track/smithsonian</t>
  </si>
  <si>
    <t>Seneca Anthem //FW04072_205 IN SMITHSONIAN FOLKWAYS, RELEVANT LABEL IN TITLE//</t>
  </si>
  <si>
    <t>The Seneca Anthem, although composed in 1976, is based on a melody that Avery Jirrerson learned from his father. Also used in "shows", it is for unaccompanied voice, with a text composed entirely of vocables. The power of the Anthem rests solely on its melody and slow rreasured pace, evoking the quiet dignity and pride of the Senecas //FW04072 / FE 4072 IN SMITHSONIAN FOLKWAYS, RELEVANT INFORMATION IN LINER NOTES//</t>
  </si>
  <si>
    <t>The Smithsonian Folkways link refers to the album "Seneca Social Dance Music"; following the link leads to relevant liner notes: https://folkways.si.edu/seneca-social-dance-music/american-indian/album/smithsonian</t>
  </si>
  <si>
    <t>Lots of additional information about the origins of this type of music in the liner notes</t>
  </si>
  <si>
    <t>8/28/2018 6:10:19</t>
  </si>
  <si>
    <t>Mixtec</t>
  </si>
  <si>
    <t>juxt1235</t>
  </si>
  <si>
    <t>mixt1427</t>
  </si>
  <si>
    <t>vmc</t>
  </si>
  <si>
    <t>Side B, Track 6</t>
  </si>
  <si>
    <t>Love Song// TITLE IN WORLDCAT//</t>
  </si>
  <si>
    <t>Information on the Music LP that has the song can be found in the provided hyperlink.</t>
  </si>
  <si>
    <t>The hyperlink provides libraries where the song can be located.</t>
  </si>
  <si>
    <t>8/28/2018 10:36:16</t>
  </si>
  <si>
    <t>Veracruz</t>
  </si>
  <si>
    <t>Danza de los Santiagos</t>
  </si>
  <si>
    <t>Dance Song// TITLE IN WORLDCAT//</t>
  </si>
  <si>
    <t>The provided hyperlink gives Music LP where the song can be found.</t>
  </si>
  <si>
    <t>WorldCat does not have the audio, but I found the audio at this link: http://frontera.library.ucla.edu/recordings/love-song</t>
  </si>
  <si>
    <t>8/28/2018 11:58:07</t>
  </si>
  <si>
    <t>Nahuatl</t>
  </si>
  <si>
    <t>Call on the tochocate for All Saints' Day</t>
  </si>
  <si>
    <t>Disc1, Track 5</t>
  </si>
  <si>
    <t>Praise Song// TITLE IN WORLDCAT//</t>
  </si>
  <si>
    <t>The provided hyperlink gives you the Music LP where the song can be found.</t>
  </si>
  <si>
    <t>WorldCat does not provide the audio to the track. I found the audio at this link: http://frontera.library.ucla.edu/recordings/call-tochocate-all-saints-day</t>
  </si>
  <si>
    <t>8/28/2018 12:11:24</t>
  </si>
  <si>
    <t>Purépecha and mestizo</t>
  </si>
  <si>
    <t>Rhythms of copper working</t>
  </si>
  <si>
    <t>Work Song// TITLE IN WORLDCAT//</t>
  </si>
  <si>
    <t>The provided link gives Music LP where the track can be found.</t>
  </si>
  <si>
    <t>WorldCat does not have the audio to the track but this following link has the audio: http://frontera.library.ucla.edu/recordings/rhythms-copper-working</t>
  </si>
  <si>
    <t>8/28/2018 12:23:52</t>
  </si>
  <si>
    <t>Music for the peyotl ceremony</t>
  </si>
  <si>
    <t>Procession Song// TITLE IN WORLDCAT//</t>
  </si>
  <si>
    <t>The provided link gives you the Music LP where the track can be found.</t>
  </si>
  <si>
    <t>WorldCat does not have audio but the following link has: http://frontera.library.ucla.edu/recordings/music-peyotl-ceremony</t>
  </si>
  <si>
    <t>8/28/2018 12:32:50</t>
  </si>
  <si>
    <t>Mata al tigre</t>
  </si>
  <si>
    <t>None of these, WorldCat</t>
  </si>
  <si>
    <t>The provided hyperlink gives Music LP with track.</t>
  </si>
  <si>
    <t>WorldCat does not have the audio but this link has: http://frontera.library.ucla.edu/recordings/mata-al-tigre</t>
  </si>
  <si>
    <t>8/28/2018 12:38:49</t>
  </si>
  <si>
    <t>At The Corner of The Sky: Song of an Initiate (Huichol) -- Fervently (00:02:56)</t>
  </si>
  <si>
    <t>http://www.worldcat.org/title/other-voices/oclc/1018457081&amp;referer=brief_results</t>
  </si>
  <si>
    <t>The type of event that the procession is associated with is an initiation</t>
  </si>
  <si>
    <t>8/28/2018 13:22:22</t>
  </si>
  <si>
    <t>Flathead , Confederated Salish and Kootenai Tribes in the Arlee Area.</t>
  </si>
  <si>
    <t>kali1308</t>
  </si>
  <si>
    <t>kali1307</t>
  </si>
  <si>
    <t>fla</t>
  </si>
  <si>
    <t>https://folkways.si.edu/songs-and-dances-of-the-flathead-indians/american-indian/music/album/smithsonian</t>
  </si>
  <si>
    <t>Love Song//LINER NOTES FOR 'SONGS AND DANCES OF THE FLATHEAD INDIANS' ON SMITHSONIAN FOLKWAYS, RELEVANT TEXT ON PAGE 4 SIDE 1, BAND 6//</t>
  </si>
  <si>
    <t>This song, sung by Catherine Nine Pipe, was her mother's personal love song. In singing it the performer underwent a trying emotional experience, for it reminded her of her parents.Much of the deep emotion it elicited is apparent to the listener//LINER NOTES FOR 'SONGS AND DANCES OF THE FLATHEAD INDIANS' ON SMITHSONIAN FOLKWAYS, RELEVANT TEXT ON PAGE 4 SIDE 1, BAND 6//</t>
  </si>
  <si>
    <t>8/28/2018 22:20:25</t>
  </si>
  <si>
    <t>Ocheshkvi</t>
  </si>
  <si>
    <t>Labour song //ON ALEXANDER STREET, IN THE LINER NOTES OF THE ALBUM: Ensemble Kutaisi: Polyphonic Songs From Georgia: Makruli, PAGE 6, TITLE OF SONG 12//</t>
  </si>
  <si>
    <t>A ritual labour song in praise of the autumn harvest from west Georgia, Svaneti, and Megrelia. //ON ALEXANDER STREET, IN THE LINER NOTES OF THE ALBUM: Ensemble Kutaisi: Polyphonic Songs From Georgia: Makruli, PAGE 6, DESCRIPTION OF SONG 12//</t>
  </si>
  <si>
    <t>8/29/2018 2:19:17</t>
  </si>
  <si>
    <t>Lullaby //ON ALEXANDER STREET, IN THE LINER NOTES OF THE ALBUM: Ensemble Kutaisi: Polyphonic Songs From Georgia: Makruli, PAGE 6, TITLE OF SONG 14//</t>
  </si>
  <si>
    <t>8/29/2018 2:31:36</t>
  </si>
  <si>
    <t>Gushin Shvidni Gurdzhanelni</t>
  </si>
  <si>
    <t>The song tells the story of seven hunters from Gurdzhaani (a village in east Georgia) who had a successful hunt. They killed many animals, and proceeded to hunt a capricorn. All seven of them tried to hit the animal, but had no success. In the end an old hunter proves his superiority and hits the unicorn, whereupon the wounded animal hangs itself by its horn to hide its tracks. //ON ALEXANDER STREET, IN THE LINER NOTES OF THE ALBUM: Ensemble Kutaisi: Polyphonic Songs From Georgia: Makruli, PAGE 6, DESCRIPTION OF SONG 18//</t>
  </si>
  <si>
    <t>8/29/2018 3:05:34</t>
  </si>
  <si>
    <t>4 Raccoon Dance Songs</t>
  </si>
  <si>
    <t>https://folkways.si.edu/avery-and-fidelia-jimerson/4-raccoon-dance-songs/american-indian/music/track/smithsonian</t>
  </si>
  <si>
    <t>4 Raccoon Dance Songs //FW04072_105 IN SMITHSONIAN FOLKWAYS, RELEVANT INFORMATION IN TITLE//</t>
  </si>
  <si>
    <t>The Raccoon Dance uses both the flat-footed stoop (or step-kick) and the fish step but since its pattern of stoop and crossovers resembles the Old Moccasin Dance, it is classified as a fish-type dance here //FW04072_105 IN SMITHSONIAN FOLKWAYS, RELEVANT INFO ON LINER NOTES PAGE 8, DESCRIPTION OF SONG 5//</t>
  </si>
  <si>
    <t>Here is the link to the CD where the track is from: https://folkways.si.edu/seneca-social-dance-music/american-indian/album/smithsonian</t>
  </si>
  <si>
    <t>8/29/2018 7:10:06</t>
  </si>
  <si>
    <t>Mayan (not in HRAF)</t>
  </si>
  <si>
    <t>Band 1</t>
  </si>
  <si>
    <t>http://gofile.me/3T2hs/2XLaAH9Bd</t>
  </si>
  <si>
    <t>Loeb Archive of World Music</t>
  </si>
  <si>
    <t>“Chamula guitar music for fiesta of todos Santos and a young Chamula woman praying over the grave of her dead husband” //CD 11037 IN LOEB AWM; INFO IN LINER NOTES//</t>
  </si>
  <si>
    <t>8/29/2018 22:48:26</t>
  </si>
  <si>
    <t>Ladies Dance</t>
  </si>
  <si>
    <t>http://gofile.me/3T2hs/TL4rG4OlL</t>
  </si>
  <si>
    <t>Ladies Dance //CD 11037 IN LOEB AWM; RELEVANT INFO IN TRACK TITLE, LINER NOTES//</t>
  </si>
  <si>
    <t>8/29/2018 23:04:53</t>
  </si>
  <si>
    <t>Band 2</t>
  </si>
  <si>
    <t>http://gofile.me/3T2hs/eMs7FbL4W</t>
  </si>
  <si>
    <t>Carnival</t>
  </si>
  <si>
    <t>“heard here is a boisterous carnival parade” //CD 11038 IN LOEB AWM; RELEVANT INFORMATION IN LINER NOTES//</t>
  </si>
  <si>
    <t>8/29/2018 23:21:37</t>
  </si>
  <si>
    <t>Bull Dance</t>
  </si>
  <si>
    <t>http://gofile.me/3T2hs/wZiMiSGOo</t>
  </si>
  <si>
    <t>10b</t>
  </si>
  <si>
    <t>Bull Dance //CD 11037 IN LOEB AWM; RELEVANT INFORMATION IN TRACK TITLE//</t>
  </si>
  <si>
    <t>“Bull dance” plays from 1:25 to the end //CD 11037 IN LOEB AWM; INFO IN LINER NOTES//</t>
  </si>
  <si>
    <t>8/29/2018 23:28:21</t>
  </si>
  <si>
    <t>Linar notes sugges that the melodies evoke india or kashmir cultural influences</t>
  </si>
  <si>
    <t>Muqam Roksari: muqam bashi</t>
  </si>
  <si>
    <t>http://id.lib.harvard.edu/alma/990127609360203941/catalog</t>
  </si>
  <si>
    <t>Muqam Rokhsari: muqam bashi //CODING ID HOLLIS NUMBER 990127609360203941 IN HARVARD ARCHIVE OF WORLD MUSIC, RELEVANT TEXT IS IN THE LINEAR NOTES Pg.2//</t>
  </si>
  <si>
    <t>Mashrap, a term that evokes a festive social ceremony as well as the more rarefied form of such a ceremony practiced by dervishes. //CODING ID HOLLIS NUMBER 990127609360203941 IN HARVARD ARCHIVE OF WORLD MUSIC, RELEVANT TEXT IS IN THE LINEAR NOTES Pg.18//</t>
  </si>
  <si>
    <t>Would that I could see my soul repentant in the desert of majun //CODING ID HOLLIS NUMBER 990127609360203941 IN HARVARD ARCHIVE OF WORLD MUSIC, RELEVANT TEXT IS IN THE LINEAR NOTES Pg.21//</t>
  </si>
  <si>
    <t>Attached is the permalink to album on the Harvard Archive of World Music which is accessible with through HOLLIS log in.</t>
  </si>
  <si>
    <t>8/30/2018 0:49:47</t>
  </si>
  <si>
    <t>i. Linar notes sugges that the melodies evoke india or kashmir cultural influences as well as Uzbeck-Tajik musical traits</t>
  </si>
  <si>
    <t>Onikki Muqam: margul 1, 2, 3</t>
  </si>
  <si>
    <t>Harvard Archive of World Music</t>
  </si>
  <si>
    <t>Onikki Muqam: margul 1, 2 , 3 //CODING ID HOLLIS NUMBER 990127609360203941 IN HARVARD ARCHIVE OF WORLD MUSIC, RELEVANT TEXT IS IN THE LINEAR NOTES Pg.2//</t>
  </si>
  <si>
    <t>The poplar which we see on yonder river bank is our tree I have thought of you so long that my heart burns, my heart burns a. //CODING ID HOLLIS NUMBER 990127609360203941 IN HARVARD ARCHIVE OF WORLD MUSIC, RELEVANT TEXT IS IN THE LINEAR NOTES Pg.22//</t>
  </si>
  <si>
    <t>8/30/2018 0:58:34</t>
  </si>
  <si>
    <t>Muqam Chargah: muqam bashi</t>
  </si>
  <si>
    <t>Muqam chargah: muqam bashi a. //CODING ID HOLLIS NUMBER 990127609360203941 IN HARVARD ARCHIVE OF WORLD MUSIC, RELEVANT TEXT IS IN THE LINEAR NOTES Pg.2//</t>
  </si>
  <si>
    <t>through self-denial, man seeks guidance in this world //CODING ID HOLLIS NUMBER 990127609360203941 IN HARVARD ARCHIVE OF WORLD MUSIC, RELEVANT TEXT IS IN THE LINEAR NOTES Pg.22//</t>
  </si>
  <si>
    <t>8/30/2018 1:01:48</t>
  </si>
  <si>
    <t>Mqam Oshshaw: dastan &amp; margul</t>
  </si>
  <si>
    <t>a. Harvard Archive of World Music HOLLIS</t>
  </si>
  <si>
    <t>Muqam Oshshaq: dastan &amp; margul //CODING ID HOLLIS NUMBER 990127609360203941 IN HARVARD ARCHIVE OF WORLD MUSIC, RELEVANT TEXT IS IN THE LINEAR NOTES Pg.2//</t>
  </si>
  <si>
    <t>Come, dear stranger, into this garden where we are always walking. May the nightingale look down on this display of flowers //CODING ID HOLLIS NUMBER 990127609360203941 IN HARVARD ARCHIVE OF WORLD MUSIC, RELEVANT TEXT IS IN THE LINEAR NOTES Pg.22//</t>
  </si>
  <si>
    <t>8/30/2018 1:05:00</t>
  </si>
  <si>
    <t>Linear notes mention they are songs from Kashgar however culture is listed on eHARF as Kachin</t>
  </si>
  <si>
    <t>Chants de Kachgar/ Kashgar songs</t>
  </si>
  <si>
    <t>Chants de Kachgar/ Kashgar songs //CODING ID HOLLIS NUMBER 990127609360203941 IN HARVARD ARCHIVE OF WORLD MUSIC, RELEVANT TEXT IS IN THE LINEAR NOTES Pg.2//</t>
  </si>
  <si>
    <t>these suites are not designed for dancing, but rather for careful listening at occasions such as social gatherings //CODING ID HOLLIS NUMBER 990127609360203941 IN HARVARD ARCHIVE OF WORLD MUSIC, RELEVANT TEXT IS IN THE LINEAR NOTES Pg.18//</t>
  </si>
  <si>
    <t>Enter not into the garden of Chilan, a serpent lurks within. With the one I call my friend, Oh friend, as for me I am drunk //CODING ID HOLLIS NUMBER 990127609360203941 IN HARVARD ARCHIVE OF WORLD MUSIC, RELEVANT TEXT IS IN THE LINEAR NOTES Pg.22//</t>
  </si>
  <si>
    <t>8/30/2018 1:20:13</t>
  </si>
  <si>
    <t>Stomp Dance / Rituals to the Creator / Wesleyan Hymn (medley)</t>
  </si>
  <si>
    <t>https://folkways.si.edu/betty-pamptopee/stomp-dance/rituals-to-the-creator/wesleyan-hymn-medley/american-indian/music/track/smithsonian</t>
  </si>
  <si>
    <t>Stomp Dance; Rituals to the Creator; Wesleyan Hymn //CATALOG NUMBER FW04003_208 IN SMITHSONIAN FOLKWAYS, RELEVANT LABEL IN THE TITLE//</t>
  </si>
  <si>
    <t>With foot tromping as the only accompaniment, the dance leader tosses forth short phrases, which are answered by the male dancers //CATALOG NUMBER FW04003_208 IN SMITHSONIAN FOLKWAYS, RELEVANT INFORMATION FROM LINER NOTES//</t>
  </si>
  <si>
    <t>Smithsonian Folkways also provides the album and liner notes here: https://folkways.si.edu/songs-and-dances-of-the-great-lakes-indians/american-indian/music/album/smithsonian</t>
  </si>
  <si>
    <t>8/30/2018 6:20:26</t>
  </si>
  <si>
    <t>onon1246</t>
  </si>
  <si>
    <t>Bear Dance</t>
  </si>
  <si>
    <t>https://folkways.si.edu/percy-kanathe-smoke/bear-dance/american-indian/music/track/smithsonian</t>
  </si>
  <si>
    <t>Bear Dance //CATALOG NUMBER FW04003_201 IN SMITHSONIAN FOLKWAYS, RELEVANT LABEL IN SONG TITLE//</t>
  </si>
  <si>
    <t>The modern Bear dance cures victims of neurotic spasms and thereby admits them. women as well as men, to the society //CATALOG NUMBER FW04003_201 IN SMITHSONIAN FOLKWAYS, RELEVANT INFORMATION IN LINER NOTES, PAGE 7//</t>
  </si>
  <si>
    <t>The track is from this album, which also contains the liner notes: https://folkways.si.edu/songs-and-dances-of-the-great-lakes-indians/american-indian/music/album/smithsonian</t>
  </si>
  <si>
    <t>8/30/2018 6:35:17</t>
  </si>
  <si>
    <t>Maroni Carib</t>
  </si>
  <si>
    <t>cari1283</t>
  </si>
  <si>
    <t>isla1278</t>
  </si>
  <si>
    <t>Funeral Song for Lalimo</t>
  </si>
  <si>
    <t>https://search.alexanderstreet.com/preview/work/bibliographic_entity%7Crecorded_cd%7C1643699?ssotoken=anonymous</t>
  </si>
  <si>
    <t>In February 1968 the wife of the old village headman had died in a hospital in Paramaribo. She had been an influential and powerful personality during her life. The kalawasi songs sung during that night were filled with emotional expressions of personal attachment to the old woman: koi lotion kolubane, li (only recently we still talked to each other). //LINER NOTES: ALEXANDER STREET CATALOG NUMBER: 4005 KCD//</t>
  </si>
  <si>
    <t>The Alexander Street link goes to a site with a sample. For full access it may depend on whether or not your academic institution provides it.</t>
  </si>
  <si>
    <t>The recording is available online for those that go to an academic institution that provides full access. I did not have access so I went to the Loeb Music Library to read the liner notes/listen to the track.</t>
  </si>
  <si>
    <t>8/30/2018 10:37:34</t>
  </si>
  <si>
    <t>Tree-Felling Songs: Matjáu baai</t>
  </si>
  <si>
    <t>https://folkways.si.edu/a-pikilio-man/tree-felling-songs-matjau-baai/african-american-music-world/music/track/smithsonian</t>
  </si>
  <si>
    <t>Tree-felling songs (matjau baai—literally “axe calls”) traditionally accompany this major yearly phase of the horticultural process. In the course of a matjau baai, the singer calls, often repeatedly, on a range of forest gods who have jurisdiction over the site, on other gods and ancestors to give strength to help the work go fast, on still others to bring wind to help blow the tree over, and on others to protect the workers from injury. There is a boastful, arrogant tone in parts of the performance; the men recount their strength, courage and skill, recite their praise names, quote appropriate proverbs, and command the women to fetch water and food. // SMITHSONIAN FOLKWAYS CATALOGUE NUMBER: FW04225_101, RELEVANT INFO IN LINER NOTES PG. 4 //</t>
  </si>
  <si>
    <t>8/30/2018 10:48:34</t>
  </si>
  <si>
    <t>Luba</t>
  </si>
  <si>
    <t>luba1250</t>
  </si>
  <si>
    <t>luba1249</t>
  </si>
  <si>
    <t>lub</t>
  </si>
  <si>
    <t>Tuhuri</t>
  </si>
  <si>
    <t>https://theglobaljukebox.org/?share=Luba-T5454R20</t>
  </si>
  <si>
    <t>Wedding song; ceremonial song//CODING ID 306 IN GLOBAL JUKEBOX, RELEVANT TEXT IS IN THE GENRE FIELD//</t>
  </si>
  <si>
    <t>Wedding and ceremonial song//CODING ID 306 IN GLOBAL JUKEBOX, RELEVANT TEXT IS IN THE DESCRIPTION FIELD//</t>
  </si>
  <si>
    <t>8/30/2018 11:03:04</t>
  </si>
  <si>
    <t>Suriname Maroons--did not specify which Maroon community it was from (Saramaka, Ndyuka, Matawai, Kwinti, Paramacca, or Aluku)</t>
  </si>
  <si>
    <t>sran1241</t>
  </si>
  <si>
    <t>Prefoe mi teki wan kaartaman</t>
  </si>
  <si>
    <t>http://media.theglobaljukebox.org/audio/T5566R21.mp3</t>
  </si>
  <si>
    <t>Love song // LIBRARY OF CONGRESS, AFS NUMBER: 04753 B //</t>
  </si>
  <si>
    <t>This was labelled as a love song in the Library of Congress database, but was not labelled at all in the Global Jukebox.</t>
  </si>
  <si>
    <t>8/30/2018 11:06:55</t>
  </si>
  <si>
    <t>Faja ston</t>
  </si>
  <si>
    <t>http://media.theglobaljukebox.org/audio/T5566R22.mp3</t>
  </si>
  <si>
    <t>Play song // LIBRARY OF CONGRESS, AFS NUMBER: AFS 04744 B //</t>
  </si>
  <si>
    <t>This was labelled as a play song in the Library of Congress database, but was labelled as a "Girls' song" in Global Jukebox.</t>
  </si>
  <si>
    <t>8/30/2018 11:13:54</t>
  </si>
  <si>
    <t>Katukina (Catuquina)</t>
  </si>
  <si>
    <t>nucl1668</t>
  </si>
  <si>
    <t>katu1274</t>
  </si>
  <si>
    <t>kav</t>
  </si>
  <si>
    <t>Penas ao Vento (Música das crianças) -- Rane Rane Neonte</t>
  </si>
  <si>
    <t>http://www.worldcat.org/title/txiriti-katukina/oclc/294847126</t>
  </si>
  <si>
    <t>Música das crianças (Music for Children) // CD LINER NOTES, PAGE 1 //</t>
  </si>
  <si>
    <t>There was no audio available online, but there is a copy of the CD in the Loeb Music Library (Archive of World Music CD 16667). The track name translates to "Plumes (feathers) to the wind".</t>
  </si>
  <si>
    <t>8/30/2018 11:44:43</t>
  </si>
  <si>
    <t>Western/ Indus Valley/ Khyber/ Pashtun People (found on eHARF)</t>
  </si>
  <si>
    <t>Caravan Song</t>
  </si>
  <si>
    <t>https://theglobaljukebox.org/?share=Pathan-T5543R18</t>
  </si>
  <si>
    <t>Caravan Song //CODING ID 2996 IN GLOBAL JUKEBOX, RELEVANT TEXT IS IN THE DESCRIPTION FIELD//</t>
  </si>
  <si>
    <t>The Pathan are a Pashtun people living in Northern Pakistan and Afghanistan. Some live as nomads, herding goats and camels; others farm wheat, barley, and corn. Many also work as traders, moneylenders, or seasonal laborers. They cling to their cultural traditions and tribal customs, especially values of hospitality, protection of guests and refugees, and defense of family and clan honor. //CODING ID 2996 IN GLOBAL JUKEBOX, RELEVANT TEXT IS IN THE PEOPLE/CULTURE FIELD//</t>
  </si>
  <si>
    <t>8/30/2018 11:48:16</t>
  </si>
  <si>
    <t>Burusho; Hunza both on eHARF</t>
  </si>
  <si>
    <t>Unuy Asatay</t>
  </si>
  <si>
    <t>https://theglobaljukebox.org/?share=Burusho-T5548R23</t>
  </si>
  <si>
    <t>In Your Memory //CODING ID 9905 IN GLOBAL JUKEBOX, RELEVANT TEXT IS IN THE DESCRIPTION FIELD//</t>
  </si>
  <si>
    <t>Lomax Source: T5548.23; 2C70.B6</t>
  </si>
  <si>
    <t>8/30/2018 11:55:02</t>
  </si>
  <si>
    <t>Kalash not found on eHARF</t>
  </si>
  <si>
    <t>kala1372</t>
  </si>
  <si>
    <t>kls</t>
  </si>
  <si>
    <t>Goat Milking Song</t>
  </si>
  <si>
    <t>https://theglobaljukebox.org/?share=Kalash-T5562R04</t>
  </si>
  <si>
    <t>Pastoral song</t>
  </si>
  <si>
    <t>Goat Milking Song //CODING ID 4405 IN GLOBAL JUKEBOX, RELEVANT TEXT IS IN THE DESCRIPTION FIELD//</t>
  </si>
  <si>
    <t>Milking song; work song; pastoral song //CODING ID 4405 IN GLOBAL JUKEBOX, RELEVANT TEXT IS IN THE GENRE FIELD//</t>
  </si>
  <si>
    <t>Lomax Source: T5562.04-05</t>
  </si>
  <si>
    <t>8/30/2018 12:01:50</t>
  </si>
  <si>
    <t>Badakhshani (Pamiri) listed on eHARF as pamirians or Pamirian Tajiks</t>
  </si>
  <si>
    <t>Maddoh ( Praise) album Music of Central Asia Vol. 5: The Badakhshan Ensemble: Song and Dance from the Pamir Mountains</t>
  </si>
  <si>
    <t>https://folkways.si.edu/the-badakhshan-ensemble/maddoh-praise/central-asia-islamica-world/music/track/smithsonian</t>
  </si>
  <si>
    <t>Maddoh (Praise) //CATALOG NUMBER SFW40524_106 IN SMITHSONIAN FOLKWAYS, RELEVANT TEXT IS IN THE TITLE FIELD//</t>
  </si>
  <si>
    <t>8/30/2018 12:09:53</t>
  </si>
  <si>
    <t>Uighur not found on eHARF</t>
  </si>
  <si>
    <t>Zikr album The Silk Road: A Musical Caravan</t>
  </si>
  <si>
    <t>https://folkways.si.edu/naqshbandi-afaqi-brotherhood/zikr/central-asia-islamica-world/music/track/smithsonian</t>
  </si>
  <si>
    <t>Disc 2, Track 19</t>
  </si>
  <si>
    <t>Zikr //CATALOG NUMBER SFW40438_219 IN SMITHSONIAN FOLKWAYS, RELEVANT TEXT IS IN THE TITLE FIELD//</t>
  </si>
  <si>
    <t>Zikr (remembrance) is a ritual most often practiced by Sufis, although elsewhere, forms of zikr are also practiced by shamans and groups of non-Sufi Muslims. The effects of zikr can range from simple devotion to ecstasy //CATALOG NUMBER SFW40438_219 IN SMITHSONIAN FOLKWAYS, RELEVANT TEXT IS IN THE DESCRIPTION//</t>
  </si>
  <si>
    <t>8/30/2018 12:13:39</t>
  </si>
  <si>
    <t>Kazakh found on eHARF</t>
  </si>
  <si>
    <t>Kertolghau album The Silk Road: A Musical Caravan</t>
  </si>
  <si>
    <t>https://folkways.si.edu/sayan-aqmoldaev/kertolghau/central-asia-islamica-world/music/track/smithsonian</t>
  </si>
  <si>
    <t>Disc 2, Track 16</t>
  </si>
  <si>
    <t>Kertolghau //CATALOG NUMBER SFW40438_216 IN SMITHSONIAN FOLKWAYS, RELEVANT TEXT IS IN THE TITLE FIELD//</t>
  </si>
  <si>
    <t>The qylqobyz, a fiddle with two horsehair strings, which shamans often played, was thought to represent the voice of spirits. It is still considered a sacred instrument, one that brings to a family the protection and barakat (good fate or fortune) of the ancestor who played it. Some qylqobyz players do not let anyone else touch their instrument. //CATALOG NUMBER SFW40438_216 IN SMITHSONIAN FOLKWAYS, RELEVANT TEXT IS IN THE TITLE FIELD//</t>
  </si>
  <si>
    <t>8/30/2018 12:17:09</t>
  </si>
  <si>
    <t>Badakhshani (Pamiri) found on eHARF as Pamirian Tajik</t>
  </si>
  <si>
    <t>“Jonum, Ikhtiyor Dorî (My Life is in Your Hands &amp; Yor-i Man (My Friend)” album Music of Central Asia Vol. 5: The Badakhshan Ensemble: Song and Dance from the Pamir Mountains</t>
  </si>
  <si>
    <t>https://folkways.si.edu/the-badakhshan-ensemble/jonum-ikhtiyor-dori-my-life-is-in-your-hands-yor-i-man-my-friend/central-asia-islamica-world/music/track/smithsonian</t>
  </si>
  <si>
    <t>“Jonum, Ikhtiyor Dorî (My Life is in Your Hands &amp; Yor-i Man (My Friend)” //CATALOG NUMBER SFW40524_109 IN SMITHSONIAN FOLKWAYS, RELEVANT TEXT IS IN THE TITLE FIELD//</t>
  </si>
  <si>
    <t>8/30/2018 12:20:43</t>
  </si>
  <si>
    <t>Tuvan not found on eHARF</t>
  </si>
  <si>
    <t>Ceremonial Song: "Hymn to the Mountains album Tuva: Voices from the Center of Asia</t>
  </si>
  <si>
    <t>https://folkways.si.edu/kazak-sandak/ceremonial-song-hymn-to-the-mountains/world/music/track/smithsonian</t>
  </si>
  <si>
    <t>Disc 1, Track 33</t>
  </si>
  <si>
    <t>Ceremonial Song: Hymn to the Mountains //CATALOG NUMBER SFW40017_133 IN SMITHSONIAN FOLKWAYS, RELEVANT TEXT IS IN THE TITLE FIELD//</t>
  </si>
  <si>
    <t>8/30/2018 12:26:30</t>
  </si>
  <si>
    <t>Lullaby //CATALOG NUMBER SFW40017_127 IN SMITHSONIAN FOLKWAYS, RELEVANT TEXT IS IN THE TITLE FIELD//</t>
  </si>
  <si>
    <t>8/30/2018 12:29:21</t>
  </si>
  <si>
    <t>Lullaby with Khoomei Album Tuva: Voices from the Center of Asia</t>
  </si>
  <si>
    <t>https://folkways.si.edu/bilchit-maa-davaa/lullaby-with-khoomei/world/music/track/smithsonian</t>
  </si>
  <si>
    <t>Disc 1 Track 29</t>
  </si>
  <si>
    <t>Lullaby with Khoomei //CATALOG NUMBER SFW40017_129 IN SMITHSONIAN FOLKWAYS, RELEVANT TEXT IS IN THE TITLE FIELD//</t>
  </si>
  <si>
    <t>8/30/2018 12:32:46</t>
  </si>
  <si>
    <t>Tuvan not found oneHARF</t>
  </si>
  <si>
    <t>“Excerpt from shamanic healing ritual” album Tuva: Voices from the Center of Asia</t>
  </si>
  <si>
    <t>Excerpt from shamanic healing ritual //CATALOG NUMBER SFW40017_125 IN SMITHSONIAN FOLKWAYS, RELEVANT TEXT IS IN THE TITLE FIELD//</t>
  </si>
  <si>
    <t>8/30/2018 12:36:42</t>
  </si>
  <si>
    <t>Funeral lament //CATALOG NUMBER SFW40017_126 IN SMITHSONIAN FOLKWAYS, RELEVANT TEXT IS IN THE TITLE FIELD//</t>
  </si>
  <si>
    <t>8/30/2018 12:39:54</t>
  </si>
  <si>
    <t>Suriname Maroons (assumed based on previous items of interests submitted found in Global Jukebox/LOC recorded by Nickol Smith-- i.e. Faja Ston and Prefoe...)</t>
  </si>
  <si>
    <t>Gongote</t>
  </si>
  <si>
    <t>https://memory.loc.gov/diglib/ihas/loc.afc.afc9999005.25709/default.html</t>
  </si>
  <si>
    <t>Library of Congress (Traditional Music and Spoken Word Catalog)</t>
  </si>
  <si>
    <t>Play song // LIBRARY OF CONGRESS, AFS NUMBER: 04737 A //</t>
  </si>
  <si>
    <t>The LOC link contains information about the track and does not include audio for the file. Unsure how to gain access to track, may need to request it?</t>
  </si>
  <si>
    <t>8/30/2018 18:21:33</t>
  </si>
  <si>
    <t>Fang</t>
  </si>
  <si>
    <t>fang1246</t>
  </si>
  <si>
    <t>fan</t>
  </si>
  <si>
    <t>Chant d'amour (avec harpe monocorde)</t>
  </si>
  <si>
    <t>https://archives.crem-cnrs.fr/archives/items/CNRSMH_E_1959_002_004_001_15/</t>
  </si>
  <si>
    <t>Chant d'amour (avec harpe monocorde)//CODING ID CNRSMH_E_1959_002_004_001_15 IN CREM, RELEVANT TEXT IS IN THE TITLE FIELD//</t>
  </si>
  <si>
    <t>8/31/2018 10:11:52</t>
  </si>
  <si>
    <t>mezq1235</t>
  </si>
  <si>
    <t>ote</t>
  </si>
  <si>
    <t>Arrullo de muerte</t>
  </si>
  <si>
    <t>http://www.worldcat.org/title/flores-del-viento-iii/oclc/948209748&amp;referer=brief_results</t>
  </si>
  <si>
    <t>The hyperlink provides a link to the material where the song can be found</t>
  </si>
  <si>
    <t>Biba manza</t>
  </si>
  <si>
    <t>Story Song// TITLE IN WORLDCAT//</t>
  </si>
  <si>
    <t>The hyperlink provides link to the material where the song can be found.</t>
  </si>
  <si>
    <t>Prayer of the midwife to the goddess of water</t>
  </si>
  <si>
    <t>http://www.worldcat.org/title/sacred-path-spells-prayers-power-songs-of-the-american-indians/oclc/10020978&amp;referer=brief_results</t>
  </si>
  <si>
    <t>The provided hyperlink gives a link to the material where the song is.</t>
  </si>
  <si>
    <t>Cradlesong for Ahuitzotl</t>
  </si>
  <si>
    <t>The provided hyperlink has the link to the material where the song can be found,</t>
  </si>
  <si>
    <t>Confession of sin</t>
  </si>
  <si>
    <t>Against sickness and evil</t>
  </si>
  <si>
    <t>Mazatec</t>
  </si>
  <si>
    <t>I am the medicine</t>
  </si>
  <si>
    <t>The hyperlink provides a link to where the material is located.</t>
  </si>
  <si>
    <t>To keep animals out of the cornfield</t>
  </si>
  <si>
    <t>Planting and gathering</t>
  </si>
  <si>
    <t>The hyperlink gives link to where the material is.</t>
  </si>
  <si>
    <t>A widow's lament</t>
  </si>
  <si>
    <t>Mourning Song// TITLE IN WORLDCAT//</t>
  </si>
  <si>
    <t>For the dying and the dead// TITLE IN WORLDCAT//</t>
  </si>
  <si>
    <t>The provided hyperlink gives information on where to find the material.</t>
  </si>
  <si>
    <t>Prayer to the deceased</t>
  </si>
  <si>
    <t>The provided link gives information on where to find the material.</t>
  </si>
  <si>
    <t>Iavnana</t>
  </si>
  <si>
    <t>https://search.alexanderstreet.com/preview/work/bibliographic_entity%7Crecorded_cd%7C891378</t>
  </si>
  <si>
    <t>Iavnana is a lullaby (Kartlian variant). //ON ALEXANDER STREET, IN THE LINER NOTES OF THE ALBUM: Kolkheti Ensemble: Iavnana - Songs from Georgia, PAGE 4, DESCRIPTION OF SONG 2//</t>
  </si>
  <si>
    <t>Mayan (unspecified)</t>
  </si>
  <si>
    <t>Tata Niñito</t>
  </si>
  <si>
    <t>Lullaby //CATALOG NUMBER FW04511 / FE 4511 IN SMITHSONIAN FOLKWAYS, RELEVANT INFORMATION IN CD TITLE//</t>
  </si>
  <si>
    <t>Tata ninito - Lullaby in mayan language //CATALOG NUMBER FW04511 / FE 4511 IN SMITHSONIAN FOLKWAYS, RELEVANT TEXT IN LINER NOTES//</t>
  </si>
  <si>
    <t>The relevant song is the third song out of four included on one track</t>
  </si>
  <si>
    <t>Audio preview doesn't play the song in question, but the presence of lyrics in the liner notes suggests a singer.</t>
  </si>
  <si>
    <t>Guatemala</t>
  </si>
  <si>
    <t>A La Rorro Nene</t>
  </si>
  <si>
    <t>Lullaby //CATALOG NUMBER FW04511 / FE 4511 IN SMITHSONIAN FOLKWAYS, RELEVANT INFORMATION IN THE CD TITLE//</t>
  </si>
  <si>
    <t>Go to sleep my baby. If you won't sleep, the coyote will come for you. You better sleep now. //CATALOG NUMBER FW04511 / FE 4511 IN SMITHSONIAN FOLKWAYS, LYRICS IN LINER NOTES//</t>
  </si>
  <si>
    <t>The song is the first of two on the same track.</t>
  </si>
  <si>
    <t>K'ekchi' (not in HRAF)</t>
  </si>
  <si>
    <t>kekc1242</t>
  </si>
  <si>
    <t>kek</t>
  </si>
  <si>
    <t>Xayib Nabal a C'Anjel</t>
  </si>
  <si>
    <t>This lullaby is from Guatemala, but it is sung as well in the south of Belice in the K'ekchi' language... Parents singing the lullaby to their children are doing so, standing up and swinging from one foot to the other. //CATALOG NUMBER FW04511 / FE 4511 IN SMITHSONIAN FOLKWAYS, RELEVANT TEXT IN LINER NOTES//</t>
  </si>
  <si>
    <t>One day you will be busy with your work, with your weaving and cooking or your profession. Now go to sleep, my daughter (my son). //CATALOG NUMBER FW04511 / FE 4511 IN SMITHSONIAN FOLKWAYS, RELEVANT TEXT IN LINER NOTES//</t>
  </si>
  <si>
    <t>The song is the second of two songs on the same track.</t>
  </si>
  <si>
    <t>The audio preview does not play this song, but the liner notes and lyrics suggest there is a singer.</t>
  </si>
  <si>
    <t>Chorti (not in HRAF)</t>
  </si>
  <si>
    <t>chor1273</t>
  </si>
  <si>
    <t>caa</t>
  </si>
  <si>
    <t>Small Marimba</t>
  </si>
  <si>
    <t>https://folkways.si.edu/music-of-guatemala-vol-1/american-indian-latin-world/album/smithsonian</t>
  </si>
  <si>
    <t>Music of the ''Baile de los Huastecos" played and danced by Chorti Indians. The small marimba is played by one musician; the dancers have rattles. //CATALOG NUMBER FW04212 / AHM 4212 IN SMITHSONIAN FOLKWAYS, RELEVANT TEXT IN LINER NOTES//</t>
  </si>
  <si>
    <t>Mam Maya</t>
  </si>
  <si>
    <t>mamm1241</t>
  </si>
  <si>
    <t>mam</t>
  </si>
  <si>
    <t>Spanish Children's Song</t>
  </si>
  <si>
    <t>Spanish Children's Song //CATALOG NUMBER FW04212_110 IN SMITHSONIAN FOLKWAYS, RELEVANT INFORMATION IN TRACK TITLE//</t>
  </si>
  <si>
    <t>I would like to be a cat To enter through your window. Kitty-cat, kitty-cat of mine, Catches mice in the corners. //CATALOG NUMBER FW04212 / AHM 4212 IN SMITHSONIAN FOLKWAYS, RELEVANT TEXT IN LINER NOTES//</t>
  </si>
  <si>
    <t>Spanish Children's Song //CATALOG NUMBER FW04212_112 IN SMITHSONIAN FOLKWAYS, RELEVANT INFORMATION IN TRACK TITLE//</t>
  </si>
  <si>
    <t>In this song most words are not recognizable. The song is about a beautiful garden flower. //CATALOG NUMBER FW04212 / AHM 4212 IN SMITHSONIAN FOLKWAYS, RELEVANT TEXT IN LINER NOTES//</t>
  </si>
  <si>
    <t>2 Round Dance Songs</t>
  </si>
  <si>
    <t>https://folkways.si.edu/avery-and-fidelia-jimerson/2-round-dance-songs/american-indian/music/track/smithsonian</t>
  </si>
  <si>
    <t>Round Dance Song //FW04072_203 IN SMITHSONIAN FOLKWAYS, RELEVANT LABEL IN TRACK TITLE//</t>
  </si>
  <si>
    <t>The Round Dance, also imported from the West, arrived at Allegany in 1958 or shortly before (Gaus 1976 :208) //FW04072 / FE 4072 IN SMITHSONIAN FOLKWAYS, ALBUM TITLE Seneca Social Dance Music, RELEVANT INFORMATION IN ALBUM LINER NOTES//</t>
  </si>
  <si>
    <t>The Smithsonian Folkways track has a link to the album and relevant liner notes</t>
  </si>
  <si>
    <t>Liner notes have lots of information about the origins of this music</t>
  </si>
  <si>
    <t>4 Moccasin Dance Songs</t>
  </si>
  <si>
    <t>https://folkways.si.edu/avery-and-fidelia-jimerson/4-moccasin-dance-songs/american-indian/music/track/smithsonian</t>
  </si>
  <si>
    <t>Moccasin Dance Song //FW04072_102 IN SMITHSONIAN FOLKWAYS, RELEVANT LABEL IN TRACK TITLE//</t>
  </si>
  <si>
    <t>//FW04072 / FE 4072 IN SMITHSONIAN FOLKWAYS, ALBUM TITLE Seneca Social Dance Music, RELEVANT INFORMATION IN ALBUM LINER NOTES PAGE 7//</t>
  </si>
  <si>
    <t>2 Alligator Dance Songs</t>
  </si>
  <si>
    <t>https://folkways.si.edu/avery-and-fidelia-jimerson/2-alligator-dance-songs/american-indian/music/track/smithsonian</t>
  </si>
  <si>
    <t>Alligator Dance Song //FW04072_106 IN SMITHSONIAN FOLKWAYS, RELEVANT LABEL IN TRACK TITLE//</t>
  </si>
  <si>
    <t>//FW04072 / FE 4072 IN SMITHSONIAN FOLKWAYS, ALBUM TITLE Seneca Social Dance Music, RELEVANT INFORMATION IN ALBUM LINER NOTES PAGE 8//</t>
  </si>
  <si>
    <t>5 Stomp Dance Songs</t>
  </si>
  <si>
    <t>https://folkways.si.edu/avery-and-fidelia-jimerson/5-stomp-dance-songs/american-indian/music/track/smithsonian</t>
  </si>
  <si>
    <t>Stomp Dance Song //FW04072_101 IN SMITHSONIAN FOLKWAYS, RELEVANT LABEL IN TRACK TITLE//</t>
  </si>
  <si>
    <t>3 Shaking-the-Bush Dance Songs</t>
  </si>
  <si>
    <t>https://folkways.si.edu/avery-and-fidelia-jimerson/3-shaking-the-bush-dance-songs/american-indian/music/track/smithsonian</t>
  </si>
  <si>
    <t>Shaking-the-Bush Dance Song //FW04072_104 IN SMITHSONIAN FOLKWAYS, RELEVANT LABEL IN TRACK TITLE//</t>
  </si>
  <si>
    <t>Description of the dance //FW04072 / FE 4072 IN SMITHSONIAN FOLKWAYS, ALBUM TITLE Seneca Social Dance Music, RELEVANT INFORMATION IN ALBUM LINER NOTES PAGE 8//</t>
  </si>
  <si>
    <t>4 Rabbit Dance Songs</t>
  </si>
  <si>
    <t>https://folkways.si.edu/avery-and-fidelia-jimerson/4-rabbit-dance-songs/american-indian/music/track/smithsonian</t>
  </si>
  <si>
    <t>Rabbit Dance Song //FW04072_202 IN SMITHSONIAN FOLKWAYS, RELEVANT LABEL IN TRACK TITLE//</t>
  </si>
  <si>
    <t>Description of track //FW04072 / FE 4072 IN SMITHSONIAN FOLKWAYS, ALBUM TITLE Seneca Social Dance Music, RELEVANT INFORMATION IN ALBUM LINER NOTES PAGE 9//</t>
  </si>
  <si>
    <t>Smoke Dance</t>
  </si>
  <si>
    <t>https://folkways.si.edu/avery-and-fidelia-jimerson/smoke-dance/american-indian/music/track/smithsonian</t>
  </si>
  <si>
    <t>Smoke Dance //FW04072_107 IN SMITHSONIAN FOLKWAYS, RELEVANT LABEL IN TRACK TITLE//</t>
  </si>
  <si>
    <t>Description of track //FW04072 / FE 4072 IN SMITHSONIAN FOLKWAYS, ALBUM TITLE Seneca Social Dance Music, RELEVANT INFORMATION IN ALBUM LINER NOTES PAGES 8 AND 9//</t>
  </si>
  <si>
    <t>7 Ladies' Dance Songs</t>
  </si>
  <si>
    <t>https://folkways.si.edu/allegany-singing-society/7-ladies-dance-songs/american-indian/music/track/smithsonian</t>
  </si>
  <si>
    <t>Ladies' Dance Song //FW04072_201 IN SMITHSONIAN FOLKWAYS, RELEVANT LABEL IN TRACK TITLE//</t>
  </si>
  <si>
    <t>cayu1261</t>
  </si>
  <si>
    <t>cay</t>
  </si>
  <si>
    <t>Wasase Rain Dance, War Dance</t>
  </si>
  <si>
    <t>https://folkways.si.edu/richard-buck/wasase-rain-dance-war-dance/american-indian/music/track/smithsonian</t>
  </si>
  <si>
    <t>Rain Dance</t>
  </si>
  <si>
    <t>Rain Dance //FW04003_203 IN SMITHSONIAN FOLKWAYS, RELEVANT LABEL IN TRACK TITLE//</t>
  </si>
  <si>
    <t>Wasase is termed a war dance, in deference to its probable origin, but it functions as a curing rite...It also invokes rain in case of summer drouth //FW04003 / FE 4003 IN SMITHSONIAN FOLKWAYS, ALBUM TITLE Songs and Dances of the Great Lakes Indians, RELEVANT INFORMATION IN ALBUM LINER NOTES PAGE 8//</t>
  </si>
  <si>
    <t>Netavi gogo me da shen</t>
  </si>
  <si>
    <t>Both love song and poem, this type of song is especially prevalent in Kartli. //ON ALEXANDER STREET, IN THE LINER NOTES OF THE ALBUM: Kolkheti Ensemble: Iavnana - Songs from Georgia, PAGE 4, DESCRIPTION OF SONG 4//</t>
  </si>
  <si>
    <t>If only, my girl, you and I... How the fields wear us out! After work let's steal away into the forest. //ON ALEXANDER STREET, IN THE LINER NOTES OF THE ALBUM: Kolkheti Ensemble: Iavnana - Songs from Georgia, PAGE 4, DESCRIPTION OF SONG 4//</t>
  </si>
  <si>
    <t>Arrullo a la niña retrato</t>
  </si>
  <si>
    <t>http://www.worldcat.org/title/dos-canciones-con-acompanamiento-de-piano/oclc/2809191&amp;referer=brief_results</t>
  </si>
  <si>
    <t>The provided hyperlink has the information on the locations where the song can be found.</t>
  </si>
  <si>
    <t>http://www.worldcat.org/title/in-the-trail-of-the-wind-american-indian-poems-and-ritual-orations/oclc/136520&amp;referer=brief_results</t>
  </si>
  <si>
    <t>The provided hyperlink has information about where the song can be found.</t>
  </si>
  <si>
    <t>Among flowers that enclose us : To a woman loved</t>
  </si>
  <si>
    <t>The provided hyperlink has information on where to find the song.</t>
  </si>
  <si>
    <t>Songs of birds</t>
  </si>
  <si>
    <t>Grandeur of Mexico</t>
  </si>
  <si>
    <t>The provided hyperlink has information on where to find the material.</t>
  </si>
  <si>
    <t>Thus it is told.</t>
  </si>
  <si>
    <t>Sones mazatecos</t>
  </si>
  <si>
    <t>http://www.worldcat.org/title/nuevo-dia/oclc/699817049&amp;referer=brief_results</t>
  </si>
  <si>
    <t>Play Song// TITLE IN WORLDCAT//</t>
  </si>
  <si>
    <t>It is directed at a juvenile audience.</t>
  </si>
  <si>
    <t>Tsipashmajétzi</t>
  </si>
  <si>
    <t>Purépecha</t>
  </si>
  <si>
    <t>Uichu urapiti</t>
  </si>
  <si>
    <t>The hyperlink has information on where to find the material.</t>
  </si>
  <si>
    <t>Ni paja nintani</t>
  </si>
  <si>
    <t>Seneca Canoe Song</t>
  </si>
  <si>
    <t>https://folkways.si.edu/pete-seeger/seneca-canoe-song/american-folk/music/track/smithsonian</t>
  </si>
  <si>
    <t>Seneca Canoe Song //FW05210_101 IN SMITHSONIAN FOLKWAYS, RELEVANT LABEL IN TRACK TITLE//</t>
  </si>
  <si>
    <t>Traditional lore of ancestors passed on through song //FW05210 / FH 5210 IN SMITHSONIAN FOLKWAYS, ALBUM TITLE Champlain Valley Songs, RELEVANT INFORMATION IN ALBUM LINER NOTES PAGE 4//</t>
  </si>
  <si>
    <t>Ho Way Hey Yo</t>
  </si>
  <si>
    <t>https://folkways.si.edu/the-six-nations-women-singers/ho-way-hey-yo/american-indian/music/track/smithsonian</t>
  </si>
  <si>
    <t>Mourning //SFW40415 IN SMITHSONIAN FOLKWAYS, ALBUM TITLE Heartbeat: Voices of First Nations Women, RELEVANT INFORMATION IN LINER NOTES, PAGE 10//</t>
  </si>
  <si>
    <t>This eskanye song was written by Betsy Buck shortly after the death of her father and sister-in-law //SFW40415 IN SMITHSONIAN FOLKWAYS, ALBUM TITLE Heartbeat: Voices of First Nations Women, RELEVANT INFORMATION IN LINER NOTES, PAGE 10//</t>
  </si>
  <si>
    <t>Dream Song</t>
  </si>
  <si>
    <t>https://folkways.si.edu/joshua-billy-buck/dream-song/american-indian/music/track/smithsonian</t>
  </si>
  <si>
    <t>Dream song //FW37777_205 IN SMITHSONIAN FOLKWAYS, RELEVANT LABEL IN TRACK TITLE//</t>
  </si>
  <si>
    <t>One of the most prominent features of Iroquois culture is the spectacle of the False Faces making their mid-winter rounds. Wearing grotesque wooden masks, the Faces groan and rub their turtle-shell rattles as they go from house to house, curing disease. As they come through the door, their leader sings Dream Song //FW37777 / FA 37777 IN SMITHSONIAN FOLKWAYS, ALBUM TITLE Cry from the Earth: Music of the North American Indians, RELEVANT INFORMATION IN ALBUM LINER NOTES PAGE 6//</t>
  </si>
  <si>
    <t>A voice is rising //FW37777 / FA 37777 IN SMITHSONIAN FOLKWAYS, ALBUM TITLE Cry from the Earth: Music of the North American Indians, RELEVANT INFORMATION IN ALBUM LINER NOTES PAGE 6//</t>
  </si>
  <si>
    <t>Drum Dance</t>
  </si>
  <si>
    <t>https://folkways.si.edu/corbett-sundown/drum-dance/american-indian/music/track/smithsonian</t>
  </si>
  <si>
    <t>Drum Dance //FW37777_112 IN SMITHSONIAN FOLKWAYS, RELEVANT LABEL IN TRACK TITLE//</t>
  </si>
  <si>
    <t>Description of track //FW37777 / FA 37777 IN SMITHSONIAN FOLKWAYS, ALBUM TITLE Cry from the Earth: Music of the North American Indians, RELEVANT INFORMATION IN ALBUM LINER NOTES PAGE 5//</t>
  </si>
  <si>
    <t>ono</t>
  </si>
  <si>
    <t>Fish Dance Song</t>
  </si>
  <si>
    <t>https://folkways.si.edu/joanne-shenandoah/fish-dance-song/american-indian/music/track/smithsonian</t>
  </si>
  <si>
    <t>Fish Dance Song //SFW40415_104 IN SMITHSONIAN FOLKWAYS, RELEVANT LABEL IN TRACK TITLE//</t>
  </si>
  <si>
    <t>Gives thanks to water creatures for keeping oceans, lakes, streams and rivers cleansed and purified //SFW40415_104 IN SMITHSONIAN FOLKWAYS, ALBUM TITLE Heartbeat: Voices of First Nations Women, RELEVANT INFORMATION IN ALBUM LINER NOTES PAGE 12//</t>
  </si>
  <si>
    <t>Corn Dance</t>
  </si>
  <si>
    <t>https://folkways.si.edu/thomas-lewis/corn-dance/american-indian/music/track/smithsonian</t>
  </si>
  <si>
    <t>Corn Dance //FW04003_205 IN SMITHSONIAN FOLKWAYS, RELEVANT LABEL IN TRACK TITLE//</t>
  </si>
  <si>
    <t>The horticultural aspects of Iroquois ritual, The summer's first fruit rites are identified with the women. The Corn dance, which recurs at all these rites as well as the big Green Corn Feast, is addressed to the female corn deity. It can also appear at other times as a so-called social dance //FW04003 / FE 4003 IN SMITHSONIAN FOLKWAYS, ALBUM TITLE Songs and Dances of the Great Lakes Indians, RELEVANT INFORMATION IN ALBUM LINER NOTES PAGE 8//</t>
  </si>
  <si>
    <t>Cherokee</t>
  </si>
  <si>
    <t>cher1273</t>
  </si>
  <si>
    <t>chr</t>
  </si>
  <si>
    <t>https://folkways.si.edu/tom-handle/lullaby/american-indian/music/track/smithsonian</t>
  </si>
  <si>
    <t>Lullaby //FW37777_202 IN SMITHSONIAN FOLKWAYS, RELEVANT LABEL IN TRACK TITLE//</t>
  </si>
  <si>
    <t>The playful quality of this jingling "baby song" is typical of Indian lullabies found in many tribes and should not be taken as representative of Cherokee or Eastern Woodlands music as a whole. Certain Cherokee "baby songs" are said to have been composed by the mother bear for the purpose of lulling her cubs to sleep //FW37777 / FA 37777 IN SMITHSONIAN FOLKWAYS, ALBUM TITLE Cry from the Earth: Music of the North American Indians, RELEVANT INFORMATION IN ALBUM LINER NOTES PAGE 5//</t>
  </si>
  <si>
    <t>Little one, go to sleep, little one, sleepy one //FW37777 / FA 37777 IN SMITHSONIAN FOLKWAYS, ALBUM TITLE Cry from the Earth: Music of the North American Indians, RELEVANT INFORMATION IN ALBUM LINER NOTES PAGE 5//</t>
  </si>
  <si>
    <t>Micmac Indian War Song</t>
  </si>
  <si>
    <t>https://folkways.si.edu/william-paul-martin-sack-and-john-knockwood/micmac-indian-war-song/celtic-world/music/track/smithsonian</t>
  </si>
  <si>
    <t>Micmac Indian War Song //FW04006_107 IN SMITHSONIAN FOLKWAYS, RELEVANT LABEL IN TRACK TITLE//</t>
  </si>
  <si>
    <t>Chief William Paul sings a war song of a Micmac Indian, Stephen Joseph, whom he describes as a great warrior //FW04006 / FM 4006 IN SMITHSONIAN FOLKWAYS, ALBUM TITLE Folk Music from Nova Scotia, RELEVANT INFORMATION IN ALBUM LINER NOTES PAGE 4//</t>
  </si>
  <si>
    <t>Seminole</t>
  </si>
  <si>
    <t>mika1239</t>
  </si>
  <si>
    <t>semi1265</t>
  </si>
  <si>
    <t>mik</t>
  </si>
  <si>
    <t>Songs for the Story of the Opossum and Her Baby</t>
  </si>
  <si>
    <t>https://folkways.si.edu/panther-josie-billie/songs-for-the-story-of-the-opossum-and-her-baby/american-indian/music/track/smithsonian</t>
  </si>
  <si>
    <t>Story //FW04383_202 IN SMITHSONIAN FOLKWAYS, RELEVANT LABEL IN TRACK TITLE//</t>
  </si>
  <si>
    <t>Full story in the liner notes //FW04383 / FE 4383 IN SMITHSONIAN FOLKWAYS, ALBUM TITLE Songs of the Seminole Indians of Florida, RELEVANT INFORMATION IN ALBUM LINER NOTES PAGE 5//</t>
  </si>
  <si>
    <t>Spain - no specific culture listed</t>
  </si>
  <si>
    <t>La Gallina Que se Perdió</t>
  </si>
  <si>
    <t>https://folkways.si.edu/karen-james-and-isabelita-alonso/childrens-songs-from-spain/world/music/album/smithsonian</t>
  </si>
  <si>
    <t>In keeping with the nature of children, these riddles, jingles, and tongue twisters are meant to be recited while skipping rope or hula-hooping. //THE SMITHSONIAN FOLKWAYS DESCRIPTION FOR THIS CD STATES THIS//</t>
  </si>
  <si>
    <t>Los Tres Ratones</t>
  </si>
  <si>
    <t>Érase una Viejecita</t>
  </si>
  <si>
    <t>Cape Verde</t>
  </si>
  <si>
    <t>Mar Eterno (Eternal Sea)</t>
  </si>
  <si>
    <t>https://folkways.si.edu/valentina-felix/petticoats-of-portugal/world/music/album/smithsonian</t>
  </si>
  <si>
    <t>The singer asks the eternal sea to be calm and silent for awhile and to give back her loved one. //FROM THE SMITHSONIAN FOLKWAYS LINER NOTES FOR THIS CD, PAGE 2//</t>
  </si>
  <si>
    <t>Lisbon</t>
  </si>
  <si>
    <t>port1284</t>
  </si>
  <si>
    <t>Marcha Dos Centenários (Lisbon Centenary March)</t>
  </si>
  <si>
    <t>Procession to commemorate the eight-hundredth anniversary of Lisbon</t>
  </si>
  <si>
    <t>Lisbon Centenary March //FROM THE SMITHSONIAN FOLKWAYS LINER NOTES FOR THIS CD, PAGE 2//</t>
  </si>
  <si>
    <t>This march was composed to commemorate the eight-hundredth anniversary of Lisbon. //FROM THE SMITHSONIAN FOLKWAYS LINER NOTES FOR THIS CD, PAGE 2//</t>
  </si>
  <si>
    <t>Tskarostan</t>
  </si>
  <si>
    <t>https://search.alexanderstreet.com/preview/work/bibliographic_entity%7Crecorded_cd%7C510900</t>
  </si>
  <si>
    <t>Near the spring there is a beautiful garden, and in that garden lives a girl so beautiful, she looks like an angel. //ON ALEXANDER STREET, IN THE LINER NOTES OF THE ALBUM: Ensemble Kereoni: Traditional Songs from Georgia, DESCRIPTION OF SONG 3//</t>
  </si>
  <si>
    <t>Lisboa É Linda (Lisbon Is Nice)</t>
  </si>
  <si>
    <t>Here is a march dedicated to Lisbon. //FROM THE SMITHSONIAN FOLKWAYS LINER NOTES FOR THIS CD, PAGE 2//</t>
  </si>
  <si>
    <t>Mindor mindor</t>
  </si>
  <si>
    <t>I want to bring you to the meadow and pick all the flowers for you and I will protect you for ever. //ON ALEXANDER STREET, IN THE LINER NOTES OF THE ALBUM: Ensemble Kereoni: Traditional Songs from Georgia, DESCRIPTION OF SONG 5//</t>
  </si>
  <si>
    <t>Gurili Nana</t>
  </si>
  <si>
    <t>Lullaby from the province of Guria. In ancient times it was a song about the sun-god Nana; after conversion to Christianity it became a lullaby. //ON ALEXANDER STREET, IN THE LINER NOTES OF THE ALBUM: Ensemble Kereoni: Traditional Songs from Georgia, DESCRIPTION OF SONG 7//</t>
  </si>
  <si>
    <t>Gogov, gogov shavthvala</t>
  </si>
  <si>
    <t>A love song about a beautiful girl with wonderful black eyes. //ON ALEXANDER STREET, IN THE LINER NOTES OF THE ALBUM: Ensemble Kereoni: Traditional Songs from Georgia, DESCRIPTION OF SONG 9//</t>
  </si>
  <si>
    <t>I love you, why don't you answer me? I am tired of waiting for you. //ON ALEXANDER STREET, IN THE LINER NOTES OF THE ALBUM: Ensemble Kereoni: Traditional Songs from Georgia, DESCRIPTION OF SONG 9//</t>
  </si>
  <si>
    <t>Orthav thvalis sinathlev</t>
  </si>
  <si>
    <t>Love song. //ON ALEXANDER STREET, IN THE LINER NOTES OF THE ALBUM: Ensemble Kereoni: Traditional Songs from Georgia, DESCRIPTION OF SONG 11//</t>
  </si>
  <si>
    <t>You are the light in my eyes. I am waiting for the opening of your rose. //ON ALEXANDER STREET, IN THE LINER NOTES OF THE ALBUM: Ensemble Kereoni: Traditional Songs from Georgia, DESCRIPTION OF SONG 11//</t>
  </si>
  <si>
    <t>Sabodisho</t>
  </si>
  <si>
    <t>This healing song is many centuries old. It was sung for sick people before there were medicines. //ON ALEXANDER STREET, IN THE LINER NOTES OF THE ALBUM: Ensemble Kereoni: Traditional Songs from Georgia, DESCRIPTION OF SONG 13//</t>
  </si>
  <si>
    <t>Orovela</t>
  </si>
  <si>
    <t>People sang this song while ploughing the fields with the help of bullocks. //ON ALEXANDER STREET, IN THE LINER NOTES OF THE ALBUM: Ensemble Kereoni: Traditional Songs from Georgia, DESCRIPTION OF SONG 14//</t>
  </si>
  <si>
    <t>Passo Pel Prat</t>
  </si>
  <si>
    <t>http://gofile.me/3T2hs/Fgfwtj7h4</t>
  </si>
  <si>
    <t>Mcgill Music library</t>
  </si>
  <si>
    <t>""[...] we will talk, the two of us. Your love for me, pretty one is what brings me happiness" //CD 7479 AT MCGILL MUSIC LIBRARY; INFO IN LINER NOTES//</t>
  </si>
  <si>
    <t>Ancient Peru</t>
  </si>
  <si>
    <t>Mestizo Dance Tune</t>
  </si>
  <si>
    <t>https://theglobaljukebox.org/?share=Ancient%20Peru-T9505R56</t>
  </si>
  <si>
    <t>Dance Song //GLOBAL JUKEBOX CODING ID:9162, RELEVANT TEXT IN THE GENRE FIELD//</t>
  </si>
  <si>
    <t>Flute and drum dance music //GLOBAL JUKEBOX CODING ID:9162, RELEVANT TEXT IN THE DESCRIPTION FIELD//</t>
  </si>
  <si>
    <t>KJH</t>
  </si>
  <si>
    <t>Tzotzil - Fiesta Song</t>
  </si>
  <si>
    <t>https://folkways.si.edu/indian-music-of-mexico/a/american-indian-world/album/smithsonian</t>
  </si>
  <si>
    <t>Fiesta Song //CATALOG NUMBER FW04413 / FE 4413 IN SMITHSONIAN FOLKWAYS, RELEVANT TEXT IN LINER NOTES//</t>
  </si>
  <si>
    <t>This is unusual processional ,music played on a trumpet, reed flute, and drum //CATALOG NUMBER FW04413 / FE 4413 IN SMITHSONIAN FOLKWAYS, RELEVANT TEXT IN LINER NOTES//</t>
  </si>
  <si>
    <t>Two old men singing, later in the same procession</t>
  </si>
  <si>
    <t>https://folkways.si.edu/music-of-guatemala-vol-2/american-indian-latin-world/album/smithsonian</t>
  </si>
  <si>
    <t>Two old men singing, later in the same procession. //CATALOG NUMBER FW04213 / FE 4213 IN SMITHSONIAN FOLKWAYS, RELEVANT TEXT IN TRACK TITLE//</t>
  </si>
  <si>
    <t>Circumstance of recording: Fiesta de Nuestra Senora De Los Angeles //CATALOG NUMBER FW04213 / FE 4213 IN SMITHSONIAN FOLKWAYS, RELEVANT TEXT IN LINER NOTES//</t>
  </si>
  <si>
    <t>http://gofile.me/3T2hs/bRdqoJdZF</t>
  </si>
  <si>
    <t>WorldCat, McGill Music library</t>
  </si>
  <si>
    <t>Lullaby //CD 7479 MCGILL MUSIC LIBRARY; INFO IN LINER NOTES//</t>
  </si>
  <si>
    <t>"sleep, come to the child [...] sleep come now. Here it is. Here it comes, and the child is falling asleep . . . ah!"</t>
  </si>
  <si>
    <t>LULLABY</t>
  </si>
  <si>
    <t>http://gofile.me/3T2hs/OuqnXT3KC</t>
  </si>
  <si>
    <t>WorldCat, Mcgill Music Library</t>
  </si>
  <si>
    <t>The Cuckoo</t>
  </si>
  <si>
    <t>http://gofile.me/3T2hs/X4Eh0c606</t>
  </si>
  <si>
    <t>WorldCat, Mcgill Music library</t>
  </si>
  <si>
    <t>"The cuckoo is a lovely bird, there is nothing more beautiful than a cuckoo when it is singing [... ] tell me? Haven't you heard the cuckoo sing?</t>
  </si>
  <si>
    <t>The first amongst the birds</t>
  </si>
  <si>
    <t>http://gofile.me/3T2hs/FWR6t9YaO</t>
  </si>
  <si>
    <t>WorldCat, MCgill Music library</t>
  </si>
  <si>
    <t>"the first amongst all birds is the singing nightingale. Prettily does he sing in the morning at the break of day [...] He plunges me into revery, for his voice is enchanting"</t>
  </si>
  <si>
    <t>Jivaro</t>
  </si>
  <si>
    <t>shua1256</t>
  </si>
  <si>
    <t>shua1257</t>
  </si>
  <si>
    <t>https://theglobaljukebox.org/?share=Jivaro-T5402R34</t>
  </si>
  <si>
    <t>Men dance around a tsantsa to prevent the soul from avenging his death</t>
  </si>
  <si>
    <t>Dance Song//GLOBAL JUKEBOX CODING ID:127, RELEVANT TEXT IN THE GENRE FIELD//</t>
  </si>
  <si>
    <t>Dance song; men sing and dance around a tsantsa//GLOBAL JUkEBOX CODING ID: 127, RELEVANT TEXT IN THE DESCRIPTION FIELD//</t>
  </si>
  <si>
    <t>Q'ero</t>
  </si>
  <si>
    <t>https://theglobaljukebox.org/?share=Q'ero-T5488R09</t>
  </si>
  <si>
    <t>Louisa Sera and male voice//GLOBAL JUKEBOX CODING ID:2496, RELEVANT TEXT IN PERFORMER FIELD//</t>
  </si>
  <si>
    <t>To the Palmtree, give me shade/ for my love to grow/ may the other tree cry for me, that my love might grow//GlOBALl JUKEBOX CODING ID:2496, RELEVANT TEXT IN THE DESCRIPTION FIELD//</t>
  </si>
  <si>
    <t>This record is a two LP set.</t>
  </si>
  <si>
    <t>Hala Ochs</t>
  </si>
  <si>
    <t>https://theglobaljukebox.org/?share=Selk'nam-T5401R15</t>
  </si>
  <si>
    <t>Spirit Song</t>
  </si>
  <si>
    <t>Spirit song; shaman song //CODING ID 3682 IN GLOBAL JUKEBOX, RELEVANT TEXT IS IN THE DESCRIPTION FIELD//</t>
  </si>
  <si>
    <t>NA /CODING ID 3682 IN GLOBAL JUKEBOX, RELEVANT TEXT IS IN THE DESCRIPTION FIELD//</t>
  </si>
  <si>
    <t>SSG</t>
  </si>
  <si>
    <t>Bine (not listed in HRAF)</t>
  </si>
  <si>
    <t>bine1240</t>
  </si>
  <si>
    <t>bon</t>
  </si>
  <si>
    <t>Madubi</t>
  </si>
  <si>
    <t>http://media.theglobaljukebox.org/audio/T5536R31.mp3</t>
  </si>
  <si>
    <t>Lullaby //CODING ID 9656 IN GLOBAL JUKEBOX, RELEVANT TEXT IS IN THE DESCRIPTION FIELD//</t>
  </si>
  <si>
    <t>First link is the audio file, second is metadata: https://theglobaljukebox.org/?share=Bine-T5536R31</t>
  </si>
  <si>
    <t>Kakoli</t>
  </si>
  <si>
    <t>umbu1258</t>
  </si>
  <si>
    <t>auag1234</t>
  </si>
  <si>
    <t>ubu</t>
  </si>
  <si>
    <t>http://media.theglobaljukebox.org/audio/T5425R22m.mp3</t>
  </si>
  <si>
    <t>Marching song; calls //CODING ID 2004 IN GLOBAL JUKEBOX, RELEVANT TEXT IS IN THE DESCRIPTION FIELD//</t>
  </si>
  <si>
    <t>First link is the audio file, second is metadata: https://theglobaljukebox.org/?share=Kakoli-T5425R22m</t>
  </si>
  <si>
    <t>Kakoli (not listed in HRAF)</t>
  </si>
  <si>
    <t>Pearl Distribution Song: March</t>
  </si>
  <si>
    <t>http://media.theglobaljukebox.org/audio/T5614R02m.mp3</t>
  </si>
  <si>
    <t>Marching song; calls; work song //CODING ID 2006 IN GLOBAL JUKEBOX, RELEVANT TEXT IS IN THE DESCRIPTION FIELD//</t>
  </si>
  <si>
    <t>First link is the audio file, second is metadata: https://theglobaljukebox.org/?share=Kakoli-T5614R02m</t>
  </si>
  <si>
    <t>cusc1236</t>
  </si>
  <si>
    <t>Chants and Narrative During Ceremony for Marking Animals</t>
  </si>
  <si>
    <t>https://theglobaljukebox.org/?share=Q'ero-T5488R11</t>
  </si>
  <si>
    <t>singing of the time when the Q'eros had to travel to Cuzco to work for the haciendas</t>
  </si>
  <si>
    <t>Chant; narrative song//GLOBAL JUKEBOX CODING ID 2498, RELEVANT TEXT IN THE GENRE FIELD</t>
  </si>
  <si>
    <t>Woman swaying and rattling ropes and bells, singing of the time when the Q'eros had to travel to Cuzco to work for the haciendas//GLOBAL JUKEBOX CODING ID 2498, RELEVANT TEXT IN THE DESCRIPTION FIELD</t>
  </si>
  <si>
    <t>Butala Area (not listed in HRAF)</t>
  </si>
  <si>
    <t>"Trans-Fly – Bulaka River aka South-Central Papuan" is the proposed language family but there is no glottocode for it</t>
  </si>
  <si>
    <t>Kamelawo-igo</t>
  </si>
  <si>
    <t>http://media.theglobaljukebox.org/audio/T5430R27.mp3</t>
  </si>
  <si>
    <t>Praise song //CODING ID 893 IN GLOBAL JUKEBOX, RELEVANT TEXT IS IN THE DESCRIPTION FIELD//</t>
  </si>
  <si>
    <t>First link is the audio file, second is metadata: https://theglobaljukebox.org/?share=Butala%20Area-T5430R27</t>
  </si>
  <si>
    <t>Markham River (not listed in HRAF)</t>
  </si>
  <si>
    <t>mark1257</t>
  </si>
  <si>
    <t>Gumpan Mindt</t>
  </si>
  <si>
    <t>http://media.theglobaljukebox.org/audio/T5430R28.mp3</t>
  </si>
  <si>
    <t>For ancestors; clan song //CODING ID 892 IN GLOBAL JUKEBOX, RELEVANT TEXT IS IN THE DESCRIPTION FIELD//</t>
  </si>
  <si>
    <t>First link is the audio file, second is metadata: https://theglobaljukebox.org/?share=Markham%20River-T5430R28</t>
  </si>
  <si>
    <t>Fataleka (not listed in HRAF)</t>
  </si>
  <si>
    <t>fata1245</t>
  </si>
  <si>
    <t>far</t>
  </si>
  <si>
    <t>Uunu Divinatory Song 1</t>
  </si>
  <si>
    <t>http://media.theglobaljukebox.org/audio/T5582R12.mp3</t>
  </si>
  <si>
    <t>Divinatory song; narrative song //CODING ID 9575 IN GLOBAL JUKEBOX, RELEVANT TEXT IS IN THE DESCRIPTION FIELD//</t>
  </si>
  <si>
    <t>First link is the audio file, second is metadata: https://theglobaljukebox.org/?share=Fataleka-T5582R12</t>
  </si>
  <si>
    <t>Choiseul (not listed in HRAF)</t>
  </si>
  <si>
    <t>vagh1249</t>
  </si>
  <si>
    <t>choi1242</t>
  </si>
  <si>
    <t>tva</t>
  </si>
  <si>
    <t>Valeke Nggelo</t>
  </si>
  <si>
    <t>http://media.theglobaljukebox.org/audio/T5427R37.mp3</t>
  </si>
  <si>
    <t>Play song //CODING ID IN 802 GLOBAL JUKEBOX, RELEVANT TEXT IS IN THE DESCRIPTION FIELD//</t>
  </si>
  <si>
    <t>First link is the audio file, second is metadata: https://theglobaljukebox.org/?share=Choiseul-T5427R37</t>
  </si>
  <si>
    <t>Ngga Ko, Ngga Ko, Kera Pale Kavakava</t>
  </si>
  <si>
    <t>http://media.theglobaljukebox.org/audio/T5427R39.mp3</t>
  </si>
  <si>
    <t>Global Jukebox, Geisel Library, Mandeville Special Collections Library, University of California, San Diego; Copy in Alan Lomax Collection, American Folklife Center, Library of Congress</t>
  </si>
  <si>
    <t>Play song //CODING ID 803 IN GLOBAL JUKEBOX, RELEVANT TEXT IS IN THE DESCRIPTION FIELD//</t>
  </si>
  <si>
    <t>First link is the audio file, second is metadata: https://theglobaljukebox.org/?share=Choiseul-T5427R39</t>
  </si>
  <si>
    <t>Kera Tuguturugu Sale</t>
  </si>
  <si>
    <t>http://media.theglobaljukebox.org/audio/T5427R41.mp3</t>
  </si>
  <si>
    <t>Lullaby //CODING ID 805 IN GLOBAL JUKEBOX, RELEVANT TEXT IS IN THE DESCRIPTION FIELD//</t>
  </si>
  <si>
    <t>First link is the audio file, second is metadata: https://theglobaljukebox.org/?share=Choiseul-T5427R41</t>
  </si>
  <si>
    <t>Savo (not listed in HRAF)</t>
  </si>
  <si>
    <t>savo1255</t>
  </si>
  <si>
    <t>svs</t>
  </si>
  <si>
    <t>Berceuse, Nyuba Nunuli</t>
  </si>
  <si>
    <t>http://media.theglobaljukebox.org/audio/T5584R12.mp3</t>
  </si>
  <si>
    <t>Global Jukebox, Sound Archives of the CNRS &amp; the Musée de l'Homme, Centre de Recherche en Etnomusicologie, American Folklife Center, Library of Congress</t>
  </si>
  <si>
    <t>Lullaby song //CODING ID 9595 IN GLOBAL JUKEBOX, RELEVANT TEXT IS IN THE DESCRIPTION FIELD//</t>
  </si>
  <si>
    <t>First link is the audio file, second is metadata: https://theglobaljukebox.org/?share=Savo-T5584R12</t>
  </si>
  <si>
    <t>Afro-Caribbean</t>
  </si>
  <si>
    <t>Gumagarugu</t>
  </si>
  <si>
    <t>https://folkways.si.edu/chatuye/heartbeat-in-the-music/world/music/album/smithsonian</t>
  </si>
  <si>
    <t>Disc1 Track3</t>
  </si>
  <si>
    <t>Gumagarugu is the name of the street in Dangriga, Belize where several members of Chatuye were raised. //THE TEXT CAN BE FOUND IN THE LINER NOTE FOR THE ALBUM: "Heartbeat in the Music", WHICH IS ON ALEXANDER STREET//</t>
  </si>
  <si>
    <t>That's where all my happiness is; That's where I will be buried; That's where my livelihood is; That's where I'll be buried. //THE TEXT CAN BE FOUND IN THE LINER NOTE FOR THE ALBUM: "Heartbeat in the Music", WHICH IS ON ALEXANDER STREET//</t>
  </si>
  <si>
    <t>Play, Darling, Play</t>
  </si>
  <si>
    <t>We don't need no fuss tonight, just mek mi feel good tonight; We no need no fuss no fight, just gimme good loving tonight. //THE TEXT CAN BE FOUND IN THE LINER NOTE FOR THE ALBUM: "Heartbeat in the Music", WHICH IS ON ALEXANDER STREET//</t>
  </si>
  <si>
    <t>Disc 1 Track 13</t>
  </si>
  <si>
    <t>....This one tells the tale of a fellow who repeatedly sneaked into someone's parked truck with a woman.... The story goes: Come out of my Whip, the Creole says... //THE TEXT CAN BE FOUND IN THE LINER NOTE FOR THE ALBUM: "Traditional Music of the Garifuna of Belize", WHICH IS ON ALEXANDER STREET//</t>
  </si>
  <si>
    <t>Disc 1 Track 18</t>
  </si>
  <si>
    <t>Hunguhungu //This is the title of the song//</t>
  </si>
  <si>
    <t>Play your drum for us so we can dance, hi-yea, hi-yea; Christmas has come, we are going to play //THE TEXT CAN BE FOUND IN THE LINER NOTE FOR THE ALBUM: "Traditional Music of the Garifuna of Belize", WHICH IS ON ALEXANDER STREET//</t>
  </si>
  <si>
    <t>There is no clear suggestion that this song is sung to an infant or a child, but it is clearly inviting the object to play, and this is the closest sample of PLAY songs that I can find in my region.</t>
  </si>
  <si>
    <t>Abelagudahani - Bringing It All In</t>
  </si>
  <si>
    <t>https://folkways.si.edu/dabuyabarugu-inside-the-temple-sacred-music-of-the-garifuna-of-belize/american-indian-world/album/smithsonian</t>
  </si>
  <si>
    <t>Disc1 Track1</t>
  </si>
  <si>
    <t>Greet the return of fishermen</t>
  </si>
  <si>
    <t>Abelagudahani (Bringing It All In) //THE TEXT CAN BE FOUND IN THE LINER NOTE FOR THE ALBUM: "Dabuyabarugu: Inside the Temple - Sacred Music of the Garifuna of Belize", WHICH IS ON ALEXANDER STREET//</t>
  </si>
  <si>
    <t>The congregation, led by the buyei and the drummers, escort the fishermen to the seaside and greet their return a few days later. This session was recorded after their return on Monday morning. //THE TEXT CAN BE FOUND IN THE LINER NOTE FOR THE ALBUM: "Dabuyabarugu: Inside the Temple - Sacred Music of the Garifuna of Belize", WHICH IS ON ALEXANDER STREET//</t>
  </si>
  <si>
    <t>Escort the fishermen</t>
  </si>
  <si>
    <t>Abelagudahani (Bring It All In) //THE TEXT CAN BE FOUND IN THE LINER NOTE FOR THE ALBUM: "Dabuyabarugu: Inside the Temple - Sacred Music of the Garifuna of Belize", WHICH IS ON ALEXANDER STREET//</t>
  </si>
  <si>
    <t>The congregation, led by the buyei and the drummers, escort the fishermen to the seaside and greet their return.... This is another example of a "gather in" song...//THE TEXT CAN BE FOUND IN THE LINER NOTE FOR THE ALBUM: "Dabuyabarugu: Inside the Temple - Sacred Music of the Garifuna of Belize", WHICH IS ON ALEXANDER STREET//</t>
  </si>
  <si>
    <t>Abelagudahani with Buyei</t>
  </si>
  <si>
    <t>Escort and greet the fishermen</t>
  </si>
  <si>
    <t>The congregation, led by the buyei and the drummers, escort the fishermen to the seaside and greet their return.... //THE TEXT CAN BE FOUND IN THE LINER NOTE FOR THE ALBUM: "Dabuyabarugu: Inside the Temple - Sacred Music of the Garifuna of Belize", WHICH IS ON ALEXANDER STREET//</t>
  </si>
  <si>
    <t>Hugulendu</t>
  </si>
  <si>
    <t>Religious ritual known as Dugu</t>
  </si>
  <si>
    <t>Hugulendu //This is the title//</t>
  </si>
  <si>
    <t>This abelagudahani song makes specific mention of the ancient shuffle step known as hungulendu....The name of the rite, dugu...literally means "treading down"....reflected today in the sacred shuffle step. //THE TEXT CAN BE FOUND IN THE LINER NOTE FOR THE ALBUM: "Dabuyabarugu: Inside the Temple - Sacred Music of the Garifuna of Belize", WHICH IS ON ALEXANDER STREET//</t>
  </si>
  <si>
    <t>Sausubey's Song</t>
  </si>
  <si>
    <t>This dugu song has a known history... A man known as Sausubey live in Seine Bight over 80 years ago... when he became very ill he refused to see the buyei...His niece consulted a buyei and was told to hold a dugu... on the way to harvest manioc to make areba for the dugu, the spirits gave her this song. //THE TEXT CAN BE FOUND IN THE LINER NOTE FOR THE ALBUM: "Dabuyabarugu: Inside the Temple - Sacred Music of the Garifuna of Belize", WHICH IS ON ALEXANDER STREET//</t>
  </si>
  <si>
    <t>Gaphrindi shavo mertschalo</t>
  </si>
  <si>
    <t>This is a song about the grief of the relatives of those who died in the war. //ON ALEXANDER STREET, IN THE LINER NOTES OF THE ALBUM: Ensemble Kereoni: Traditional Songs from Georgia, DESCRIPTION OF SONG 18//</t>
  </si>
  <si>
    <t>Sisona</t>
  </si>
  <si>
    <t>Track 19</t>
  </si>
  <si>
    <t>Sisona is a man who lived in the forest for many years and who fought against injustice. //ON ALEXANDER STREET, IN THE LINER NOTES OF THE ALBUM: Ensemble Kereoni: Traditional Songs from Georgia, DESCRIPTION OF SONG 19//</t>
  </si>
  <si>
    <t>Megruli Nana</t>
  </si>
  <si>
    <t>Track 21</t>
  </si>
  <si>
    <t>Lullaby from the province of Samegrelo. //ON ALEXANDER STREET, IN THE LINER NOTES OF THE ALBUM: Ensemble Kereoni: Traditional Songs from Georgia, DESCRIPTION OF SONG 21//</t>
  </si>
  <si>
    <t>Shen bicho Anagurelo</t>
  </si>
  <si>
    <t>Your resonant voice and your manner of work are examples for all in the village. //ON ALEXANDER STREET, IN THE LINER NOTES OF THE ALBUM: Kolkheti Ensemble: Iavnana - Songs from Georgia, PAGE 4, DESCRIPTION OF SONG 6//</t>
  </si>
  <si>
    <t>Tamar kalo</t>
  </si>
  <si>
    <t>A Kartli-Kakhetian table song which praises Georgia's renowned Queen Tamar. //ON ALEXANDER STREET, IN THE LINER NOTES OF THE ALBUM: Kolkheti Ensemble: Iavnana - Songs from Georgia, PAGE 5, DESCRIPTION OF SONG 7//</t>
  </si>
  <si>
    <t>Tamar, woman, eye of the country! How beautiful you are! No one in all creation compares to you. //ON ALEXANDER STREET, IN THE LINER NOTES OF THE ALBUM: Kolkheti Ensemble: Iavnana - Songs from Georgia, PAGE 5, DESCRIPTION OF SONG 7//</t>
  </si>
  <si>
    <t>Mirangula</t>
  </si>
  <si>
    <t>A Svan epic song recalling the memory of a hero lost in the war. //ON ALEXANDER STREET, IN THE LINER NOTES OF THE ALBUM: Kolkheti Ensemble: Iavnana - Songs from Georgia, PAGE 5, DESCRIPTION OF SONG 11//</t>
  </si>
  <si>
    <t>O, our son, Mirangula - your mother laments over you. //ON ALEXANDER STREET, IN THE LINER NOTES OF THE ALBUM: Kolkheti Ensemble: Iavnana - Songs from Georgia, PAGE 5, DESCRIPTION OF SONG 11//</t>
  </si>
  <si>
    <t>Chela</t>
  </si>
  <si>
    <t>A Megrelian cart-driver's song, unique in that, like songs of Eastern Georgia......Chela and Buska are the names of the oxen. "My Chela and my Buska, we must work together, for our lives depend on it." //ON ALEXANDER STREET, IN THE LINER NOTES OF THE ALBUM: Kolkheti Ensemble: Iavnana - Songs from Georgia, PAGE 5, DESCRIPTION OF SONG 12//</t>
  </si>
  <si>
    <t>Mexico Bonito</t>
  </si>
  <si>
    <t>https://folkways.si.edu/joaquin-bautista/mexico-bonito/american-indian-world/music/track/smithsonian</t>
  </si>
  <si>
    <t>Praise//FOLKWAYS CATALOGUE # FW04217_102//</t>
  </si>
  <si>
    <t>Male Reginita</t>
  </si>
  <si>
    <t>https://folkways.si.edu/hermanas-pulido/male-reginita/american-indian-world/music/track/smithsonian</t>
  </si>
  <si>
    <t>Love//FOLKWAYS CATALOGUE # FW04217_104, LINER NOTES PAGE 5, SIDE 1, BAND 4//</t>
  </si>
  <si>
    <t>The Pulido Sisters are a trio of mestizo girls who Sing Tarascan songs. To help with the pronunciation, the composer Juan Victoriano from nearby San Lorenzo, often takes the local bus to Uruapan where the girls live. The~r bright, forceful yet unstrained vocal production. however, is mestizo rather than Indian//FOLKWAYS CATALOGUE # FW04217_104, LINER NOTES PAGE 5, SIDE 1, BAND 4//</t>
  </si>
  <si>
    <t>My lovely Reginita, guarecita If you would only give me your love Among the flowers of a thousand colors In a little corner of love//FOLKWAYS CATALOGUE # FW04217_104, LINER NOTES PAGE 5 , SIDE 1 , BAND 4//</t>
  </si>
  <si>
    <t>The liner notes reveal that the singers are mestizo singing Tarascan songs, therefore the extent to which the song can be seen as representing the Tarascan culture can be questioned.</t>
  </si>
  <si>
    <t>Clavel color de Rosa</t>
  </si>
  <si>
    <t>Disc 1, Track 7, part b) (second song of track))</t>
  </si>
  <si>
    <t>Praise//FOLKWAYS CATALOGUE # FW04217_107, LINER NOTES PAGE 6, SIDE 1, BAND 7//</t>
  </si>
  <si>
    <t>How beautiful you are, little flower! Rose-colored lovely carnation//FOLKWAYS CATALOGUE # FW04217_107, LINER NOTES PAGE 6, SIDE 1, BAND 7//</t>
  </si>
  <si>
    <t>Track in Smithsonian Folkways only does play the first song of the medley, and not the second song, which is the one being catalogued.</t>
  </si>
  <si>
    <t>Josefinita</t>
  </si>
  <si>
    <t>Disc 1, Track 7, (a) (first song of track)</t>
  </si>
  <si>
    <t>Love//FOLKWAYS CATALOGUE # FW04217_107, SIDE 1, BAND 7//</t>
  </si>
  <si>
    <t>You are my heart//FOLKWAYS CATALOGUE # FW04217_107, SIDE 1, BAND 7//</t>
  </si>
  <si>
    <t>Male Esperancita</t>
  </si>
  <si>
    <t>https://folkways.si.edu/juan-victoriano/male-esperancita/american-indian-world/music/track/smithsonian</t>
  </si>
  <si>
    <t>Love//FOLKWAYS CATALOGUE # FW04217_108, SIDE 1, BAND 8//</t>
  </si>
  <si>
    <t>Se~norita Esperancita, Oh, 0h ; Come now for a Walk In Uruapan, where it is so beautiful. Time is passing and we have never been There to take a walk In Uruapan, Here and there in the park//FOLKWAYS CATALOGUE # FW04217_108, SIDE 1, BAND 8//</t>
  </si>
  <si>
    <t>Son de Carnaval, Son de Navidad</t>
  </si>
  <si>
    <t>https://folkways.si.edu/pedro-and-elpideo-patricio/son-de-carnaval-son-de-navidad/american-indian-world/music/track/smithsonian</t>
  </si>
  <si>
    <t>The type of event that the procession is associated with is a celebration.</t>
  </si>
  <si>
    <t>Procession//FOLKWAYS CATALOGUE # FW04217_201, LINER NOTES PAGE 9, SIDE 2, BAND 1//</t>
  </si>
  <si>
    <t>Music for religious fiestas//FOLKWAYS CATALOGUE # FW04217_201, LINER NOTES PAGE 9, SIDE 2, BAND 1//</t>
  </si>
  <si>
    <t>Son de Fiesta, Son de Ignacio Bernal</t>
  </si>
  <si>
    <t>https://folkways.si.edu/ensemble-of-chirimias/son-de-fiesta-son-de-ignacio-bernal/american-indian-world/music/track/smithsonian</t>
  </si>
  <si>
    <t>Procession//FOLKWAYS CATALOGUE # FW04217_202, LINER NOTES PAGE 10, SIDE 2, BAND 2//</t>
  </si>
  <si>
    <t>Music for religious fiestas; Chirimias are generally played at fiesta time in front of the church//FOLKWAYS CATALOGUE # FW04217_202, LINER NOTES PAGE 10, SIDE 2, BAND 2//</t>
  </si>
  <si>
    <t>Alabanza</t>
  </si>
  <si>
    <t>https://folkways.si.edu/voices-harmonium-fireworks/alabanza/american-indian-world/music/track/smithsonian</t>
  </si>
  <si>
    <t>Praise//FOLKWAYS CATALOGUE # FW04217_203, LINER NOTES PAGE 10, SIDE 2, BAND 3//</t>
  </si>
  <si>
    <t>A number of men and women stayed in the church to sing alabanzas, songs of praise and faith//FOLKWAYS CATALOGUE # FW04217_203, LINER NOTES PAGE 10, SIDE 2, BAND 3//</t>
  </si>
  <si>
    <t>Sisona Darchia</t>
  </si>
  <si>
    <t>This is a Gurian song about a hero who fought many enemies and was a patriotic figurehead living in seclusion, "Sisona Darchia, praised by all men, his brother cried when he went away. He was not afraid of the enemy armies." //ON ALEXANDER STREET, IN THE LINER NOTES OF THE ALBUM: Kolkheti Ensemble: Iavnana - Songs from Georgia, PAGE 5, DESCRIPTION OF SONG 13//</t>
  </si>
  <si>
    <t>Kakhuri nana</t>
  </si>
  <si>
    <t>https://search.alexanderstreet.com/preview/work/bibliographic_entity%7Crecorded_cd%7C776444</t>
  </si>
  <si>
    <t>A nana is a lullaby, sung to make children go to sleep quietly. //ON ALEXANDER STREET, IN THE LINER NOTES OF THE ALBUM: Ensemble Kolkheti: Songs from Georgia: Batonebo, PAGE 6, DESCRIPTION OF SONG 5//</t>
  </si>
  <si>
    <t>Batonebo</t>
  </si>
  <si>
    <t>It was believed that such praise songs would calm down and relieve the sick. According to popular belief some songs had the power to cure illnesses like measles, whooping cough, and smallpox. //ON ALEXANDER STREET, IN THE LINER NOTES OF THE ALBUM: Ensemble Kolkheti: Songs from Georgia: Batonebo, PAGE 6, DESCRIPTION OF SONG 8//</t>
  </si>
  <si>
    <t>Kalospiruli</t>
  </si>
  <si>
    <t>A harvest labour song from Kartli-Kakheti in eastern Georgia that is sung during threshing. It is a sort of hymn in which the labour and the meat are being praised. //ON ALEXANDER STREET, IN THE LINER NOTES OF THE ALBUM: Ensemble Kolkheti: Songs from Georgia: Batonebo, PAGE 6, DESCRIPTION OF SONG 9//</t>
  </si>
  <si>
    <t>Let's all get together on the threshing ground. If we all work together, we will have lots of grain. //ON ALEXANDER STREET, IN THE LINER NOTES OF THE ALBUM: Ensemble Kolkheti: Songs from Georgia: Batonebo, PAGE 7, DESCRIPTION OF SONG 9//</t>
  </si>
  <si>
    <t>Megreli nana</t>
  </si>
  <si>
    <t>A nana from Megreli. //ON ALEXANDER STREET, IN THE LINER NOTES OF THE ALBUM: Ensemble Kolkheti: Songs from Georgia: Batonebo, PAGE 7, DESCRIPTION OF SONG 15//</t>
  </si>
  <si>
    <t>Sleep baby, sleep, sleep, sleep. //ON ALEXANDER STREET, IN THE LINER NOTES OF THE ALBUM: Ensemble Kolkheti: Songs from Georgia: Batonebo, PAGE 7, DESCRIPTION OF SONG 15//</t>
  </si>
  <si>
    <t>Kaloskhelkhvavi</t>
  </si>
  <si>
    <t>A 17th century harvest labour song from Guria. //ON ALEXANDER STREET, IN THE LINER NOTES OF THE ALBUM: Ensemble Kolkheti: Songs from Georgia: Batonebo, PAGE 7, DESCRIPTION OF SONG 16//</t>
  </si>
  <si>
    <t>Hindi</t>
  </si>
  <si>
    <t>Aaja Mere Pyare</t>
  </si>
  <si>
    <t>https://sounds.bl.uk/World-and-traditional-music/Young-India-record-label-collection/025M-CEAP190X9X01-088ZV0</t>
  </si>
  <si>
    <t>Aaja Mere Pyare //CODING ID CEAP190/9/88 IN BRITISH LIBRARY, RELEVANT TEXT IS IN THE TITLE//</t>
  </si>
  <si>
    <t>Used google translate for the title</t>
  </si>
  <si>
    <t>western Torres Strait</t>
  </si>
  <si>
    <t>Song in praise of mythical hero Tagai</t>
  </si>
  <si>
    <t>http://www.worldcat.org/oclc/4973632905</t>
  </si>
  <si>
    <t>Praise //WORLDCAT IDENTIFIER: 4973632905//</t>
  </si>
  <si>
    <t>One might plausibly assert that the Melanesians of the western Torres Strait have moved along with the world, turning to new cultural practices and losing interest in the traditions perceived as old and outdated once Western ideas and technologies reached the islands’ shores. The liner notes explain that most of the songs and dances on this recording are documentations of a now extinct tradition that largely disappeared around the turn of the twentieth century, in fact asserting that this recording may have been the last time many of the songs were ever performed. This aside, the legends and folk tales woven into chants and drumming provide a compelling look into the past. //ABSTRACT ON WORLDCAT IDENTIFIER: 4973632905//</t>
  </si>
  <si>
    <t>Wape (not listed in HRAF)</t>
  </si>
  <si>
    <t>oloo1241</t>
  </si>
  <si>
    <t>west2580</t>
  </si>
  <si>
    <t>ong</t>
  </si>
  <si>
    <t>Entrance of the Mani Mask</t>
  </si>
  <si>
    <t>http://media.theglobaljukebox.org/audio/T5615R05.mp3</t>
  </si>
  <si>
    <t>Spirit song; chant; mask dance; ceremonial song; healing song; cries; healing song //CODING ID 9558 IN GLOBAL JUKEBOX, RELEVANT TEXT IS IN THE DESCRIPTION FIELD//</t>
  </si>
  <si>
    <t>Female cries; as the mani demon mask prances into the village from the forest, the women welcome him with a vigorous chant; here women have an important ceremonial and musical role in most of the large curing festivals //Description on Global Jukebox//</t>
  </si>
  <si>
    <t>https://theglobaljukebox.org/?share=Wape-T5615R05</t>
  </si>
  <si>
    <t>Rural Irish</t>
  </si>
  <si>
    <t>Innsin Bhéil Átha'n Ghaorthaidh</t>
  </si>
  <si>
    <t>https://theglobaljukebox.org/?share=Cork-T5589R12</t>
  </si>
  <si>
    <t>Bardic poem</t>
  </si>
  <si>
    <t>Innsin Bhéil Átha'n Ghaorthaidh//CODING ID 9321IN GLOBAL JUKEBOX//</t>
  </si>
  <si>
    <t>9/14/2018 9:42:25</t>
  </si>
  <si>
    <t>REH</t>
  </si>
  <si>
    <t>Leitrim, Northern Ireland</t>
  </si>
  <si>
    <t>The Cruel Mother</t>
  </si>
  <si>
    <t>https://theglobaljukebox.org/?share=Leitrim-T5591R14</t>
  </si>
  <si>
    <t>Ballad; murder ballad //CODING ID 790 GLOBAL JUKEBOX RELAVENT INFO IN TITLE FIELD//</t>
  </si>
  <si>
    <t>9/15/2018 10:05:10</t>
  </si>
  <si>
    <t>Rural Irish, Donegal</t>
  </si>
  <si>
    <t>Keen for a Dead Child</t>
  </si>
  <si>
    <t>https://theglobaljukebox.org/?share=Donegal-T5589R14</t>
  </si>
  <si>
    <t>Lament; mourning song; for the dead //CODING ID 9378 GLOBAL JUKEBOX RELEVANT TEXT IS IN THE DESCRIPTION FIELD//</t>
  </si>
  <si>
    <t>9/15/2018 11:58:32</t>
  </si>
  <si>
    <t>Old Joe's Jig</t>
  </si>
  <si>
    <t>https://theglobaljukebox.org/?share=Donegal-T9528R19</t>
  </si>
  <si>
    <t>Jig; Whistle jig with bodrun accompaniment //CODING ID 9463 GLOBAL JUKEBOX RELEVANT TEXT IS IN THE DESCRIPTION FIELD//</t>
  </si>
  <si>
    <t>9/15/2018 12:04:47</t>
  </si>
  <si>
    <t>Sioux, Nadouessioux was the French name, Bawaan "roasters" is the name given by the Ojibwe</t>
  </si>
  <si>
    <t>siou1252</t>
  </si>
  <si>
    <t>Song of the Bear</t>
  </si>
  <si>
    <t>https://folkways.si.edu/healing-songs-of-the-american-indians/music/album/smithsonian</t>
  </si>
  <si>
    <t>Healing//SMITHSONIAN FOLKWAYS, ''HEALING SONGS OF THE AMERICAN INDIANS,'' LINER NOTES PAGE4, THIS IS UNDER SIDE 1 BAND 5, SONG OF THE BEAR//</t>
  </si>
  <si>
    <t>The singer recorded nine songs used in his treatment of the sick and these songs were received when a bear appeared to him in a dream, taught him the songs and revealed the herb that he used with it in his treatments. //SMITHSONIAN FOLKWAYS, ''HEALING SONGS OF THE AMERICAN INDIANS,'' LINER NOTES PAGE4, THIS IS UNDER SIDE 1 BAND 5, SONG OF THE BEAR//</t>
  </si>
  <si>
    <t>mina pe kin wakan yelo&gt; My paw is sacred, pezi huta 0 ta yelo&gt; herbs are plentiful, mina pe kin wakan yelo&gt;My paw is sacred, ta ku iyu ha 0 ta yelo&gt; all things are sacred//SMITHSONIAN FOLKWAYS, ''HEALING SONGS OF THE AMERICAN INDIANS,'' LINER NOTES PAGE4, THIS IS UNDER SIDE 1 BAND 5, SONG OF THE BEAR//</t>
  </si>
  <si>
    <t>9/16/2018 23:06:52</t>
  </si>
  <si>
    <t>Beaver Medicine Song: Marmot Song / Antelope Song / Black Deer Song (medley)</t>
  </si>
  <si>
    <t>https://folkways.si.edu/an-historical-album-of-blackfoot-indian-music/american-indian/music/album/smithsonian</t>
  </si>
  <si>
    <t>SIDE 1, TRACK 1</t>
  </si>
  <si>
    <t>Healing//FOLKWAYS, AN HISTORICAL ALBUM OF BLACKFOOT INDIAN MUSIC, LINER NOTES PAGE 4. THIS IS UNDER ' BEAVER MEDICINE SONG ' SIDE A, BAND1A-1C//</t>
  </si>
  <si>
    <t>The Beaver Medicine Bundle was the largest and most prominent of the medicine bundle types used by the Blackfoot. Most Beaver Medicine Bundle songs were sung solo, and each object in the bundle had its own song which was sung when the object was taken out of its wrappings. //FOLKWAYS, AN HISTORICAL ALBUM OF BLACKFOOT INDIAN MUSIC, LINER NOTES PAGE 4. THIS IS UNDER ' BEAVER MEDICINE SONG ' SIDE A, BAND1A-1C//</t>
  </si>
  <si>
    <t>There are three songs in a medley that are all part of the Beaver Medicine bundle unwrapping ceremony.</t>
  </si>
  <si>
    <t>9/16/2018 23:24:02</t>
  </si>
  <si>
    <t>Flathead</t>
  </si>
  <si>
    <t>Sweathouse Song</t>
  </si>
  <si>
    <t>Side 1, Track 9</t>
  </si>
  <si>
    <t>Healing//FOLKWAYS, SONGS AND DANCES OF THE FLATHEAD INDIANS, LINER NOTES PAGE 4, THIS IS UNDER SWEATHOUSE SONG//</t>
  </si>
  <si>
    <t>This song, sung by Ellen Big Sam, is one of seven given her uncle by spirits in order to cure an eye affliction//FOLKWAYS, SONGS AND DANCES OF THE FLATHEAD INDIANS, LINER NOTES PAGE 4, THIS IS UNDER SWEATHOUSE SONG//</t>
  </si>
  <si>
    <t>9/16/2018 23:40:07</t>
  </si>
  <si>
    <t>Gujarati</t>
  </si>
  <si>
    <t>guja1252</t>
  </si>
  <si>
    <t>guj</t>
  </si>
  <si>
    <t>Aare holi khele kanho holi khele</t>
  </si>
  <si>
    <t>https://sounds.bl.uk/World-and-traditional-music/Young-India-record-label-collection/025M-CEAP190X4X01-025ZV0</t>
  </si>
  <si>
    <t>Played while performing Holi (technically a religious holiday, but more cultural)</t>
  </si>
  <si>
    <t>Aare holi khele kanho holi khele //CODING ID CEAP190/4/25 IN BRITISH LIBRARY, RELEVANT TEXT IS IN THE TITLE//</t>
  </si>
  <si>
    <t>9/18/2018 12:38:55</t>
  </si>
  <si>
    <t>panj1256</t>
  </si>
  <si>
    <t>Doubleness, mātam, and Muharram drumming in South Asia: Main to Cala Hun</t>
  </si>
  <si>
    <t>https://w.soundcloud.com/player/?url=https%3A//api.soundcloud.com/tracks/150248019&amp;auto_play=false&amp;hide_related=false&amp;show_comments=false&amp;show_user=false&amp;show_reposts=false&amp;visual=false&amp;show_artwork=false</t>
  </si>
  <si>
    <t>http://richardkwolf.com/audiovisual/</t>
  </si>
  <si>
    <t>“Doubleness, mātam, and Muharram drumming in South Asia.” //SOURCE: RICHARD K. WOLF//</t>
  </si>
  <si>
    <t>9/18/2018 12:56:16</t>
  </si>
  <si>
    <t>Kota (this and alternate names not found in eHRAF)</t>
  </si>
  <si>
    <t>kota1274</t>
  </si>
  <si>
    <t>kota1263</t>
  </si>
  <si>
    <t>koq</t>
  </si>
  <si>
    <t>Kota God Song</t>
  </si>
  <si>
    <t>http://richardkwolf.com/kota-god-song/</t>
  </si>
  <si>
    <t>richardkwolf.com</t>
  </si>
  <si>
    <t>Kota God Song //SOURCE: RICHARD K. WOLF, RELEVANT TEXT IS IN THE TITLE//</t>
  </si>
  <si>
    <t>"Please pick up the ball, notice our special language and play" //SOURCE: RICHARD K. WOLF, RELEVANT TEXT IS IN THE ANNOTATED TRACK//</t>
  </si>
  <si>
    <t>9/18/2018 13:39:55</t>
  </si>
  <si>
    <t>Ploiești (not in eHRAF)</t>
  </si>
  <si>
    <t>Ca la Breaza</t>
  </si>
  <si>
    <t>https://theglobaljukebox.org/?share=Ploie%C8%99ti-T5589R19</t>
  </si>
  <si>
    <t>Dance song; dance in pairs //GLOBAL JUKEBOX, CODING ID 9134, RELEVANT INFORMATION IN GENRE//</t>
  </si>
  <si>
    <t>Couple dance //GLOBAL JUKEBOX, CODING ID 9134, RELEVANT INFORMATION IN DESCRIPTION//</t>
  </si>
  <si>
    <t>9/18/2018 13:49:35</t>
  </si>
  <si>
    <t>LXN</t>
  </si>
  <si>
    <t>Banat (not listed in eHRAF)</t>
  </si>
  <si>
    <t>bana1280</t>
  </si>
  <si>
    <t>Să Iei Seamă, Bade, Bine</t>
  </si>
  <si>
    <t>https://theglobaljukebox.org/?share=Banat-T5589R24</t>
  </si>
  <si>
    <t>Love song //CODING ID 9217 IN GLOBAL JUKEBOX, RELEVANT TEXT IS IN THE GENRE FIELD//</t>
  </si>
  <si>
    <t>Love song //CODING ID 9217 IN GLOBAL JUKEBOX, RELEVANT TEXT IS IN THE DESCRIPTION FIELD//</t>
  </si>
  <si>
    <t>9/18/2018 15:17:49</t>
  </si>
  <si>
    <t>Oltenia (not listed in eHRAF)</t>
  </si>
  <si>
    <t>olte1239</t>
  </si>
  <si>
    <t>Haide, Haide, Murgulet</t>
  </si>
  <si>
    <t>https://theglobaljukebox.org/?share=Oltenia-T5466R40</t>
  </si>
  <si>
    <t>Ballad //CODING ID 3953 IN GLOBAL JUKEBOX, RELEVANT TEXT IS IN THE GENRE FIELD//</t>
  </si>
  <si>
    <t>Ballad //CODING ID 3953 IN GLOBAL JUKEBOX, RELEVANT TEXT IS IN THE DESCRIPTION FIELD//</t>
  </si>
  <si>
    <t>9/18/2018 15:28:03</t>
  </si>
  <si>
    <t>Centecul Miresei</t>
  </si>
  <si>
    <t>https://theglobaljukebox.org/?share=Oltenia-T5466R35</t>
  </si>
  <si>
    <t>Wedding song //CODING ID 3960 IN GLOBAL JUKEBOX, RELEVANT TEXT IS IN GENRE FIELD//</t>
  </si>
  <si>
    <t>Bride's song //CODING ID 3960 IN GLOBAL JUKEBOX, RELEVANT TEXT IS IN DESCRIPTION FIELD//</t>
  </si>
  <si>
    <t>Soloist does not begin singing until ~1:02 (note: I did not listen to the audio recording before, but backpedaled in the form to note this)</t>
  </si>
  <si>
    <t>9/18/2018 15:49:08</t>
  </si>
  <si>
    <t>Eu Plec, Mindra, La Amata</t>
  </si>
  <si>
    <t>https://theglobaljukebox.org/?share=Oltenia-T5466R37</t>
  </si>
  <si>
    <t>Love song //CODING ID 3962 IN GLOBAL JUKEBOX, RELEVANT TEXT IS IN GENRE FIELD//</t>
  </si>
  <si>
    <t>I Am Going Proud Lover //CODING ID 3962 IN GLOBAL JUKEBOX, RELEVANT TEXT IS IN DESCRIPTION FIELD//</t>
  </si>
  <si>
    <t>9/18/2018 15:57:31</t>
  </si>
  <si>
    <t>Cluj (not listed in eHRAF)</t>
  </si>
  <si>
    <t>Cântecul Cununii</t>
  </si>
  <si>
    <t>https://theglobaljukebox.org/?share=Cluj-T5469R51</t>
  </si>
  <si>
    <t>Harvest song; processional music //CODING ID 503 IN GLOBAL JUKEBOX, RELEVANT TEXT IS IN GENRE FIELD//</t>
  </si>
  <si>
    <t>Garland procession song for harvest ritual //CODING ID 503 IN GLOBAL JUKEBOX, RELEVANT TEXT IS IN DESCRIPTION FIELD//</t>
  </si>
  <si>
    <t>9/18/2018 16:05:11</t>
  </si>
  <si>
    <t>Cluj</t>
  </si>
  <si>
    <t>Cîntec De Nunta</t>
  </si>
  <si>
    <t>https://theglobaljukebox.org/?share=Cluj-T5466R16</t>
  </si>
  <si>
    <t>Wedding song //CODING ID 3943 IN GLOBAL JUKEBOX, RELEVANT TEXT IS IN GENRE FIELD//</t>
  </si>
  <si>
    <t>Wedding song //CODING ID 3943 IN GLOBAL JUKEBOX, RELEVANT TEXT IS IN DESCRIPTION FIELD//</t>
  </si>
  <si>
    <t>9/18/2018 16:11:15</t>
  </si>
  <si>
    <t>Cancion di Amor</t>
  </si>
  <si>
    <t>https://theglobaljukebox.org/?share=Wayuu-T5404R58</t>
  </si>
  <si>
    <t>Song Title: Cancion di Amor//Descripton: Love Song//Source: Global Jukebox</t>
  </si>
  <si>
    <t>9/18/2018 16:31:28</t>
  </si>
  <si>
    <t>NLC</t>
  </si>
  <si>
    <t>Chant dur trois rivieres</t>
  </si>
  <si>
    <t>https://theglobaljukebox.org/?share=Jivaro-T5402R41</t>
  </si>
  <si>
    <t>Description: The Three Rivers, Love Song// Global Jukebox</t>
  </si>
  <si>
    <t>9/18/2018 17:22:19</t>
  </si>
  <si>
    <t>Chant sur l'oiseau toucan</t>
  </si>
  <si>
    <t>https://theglobaljukebox.org/?share=Jivaro-T5402R40</t>
  </si>
  <si>
    <t>Description: Toucan's Song; Love Song //Global Jukebox</t>
  </si>
  <si>
    <t>9/18/2018 17:40:48</t>
  </si>
  <si>
    <t>Otavalo Quincha</t>
  </si>
  <si>
    <t>quec1384</t>
  </si>
  <si>
    <t>https://theglobaljukebox.org/?share=Otavalo-T5402R83</t>
  </si>
  <si>
    <t>Genre: Healing Song//Global Jukebox</t>
  </si>
  <si>
    <t>9/18/2018 17:54:40</t>
  </si>
  <si>
    <t>Currulao Agua Grande</t>
  </si>
  <si>
    <t>https://theglobaljukebox.org/?share=Afro-Colombian-T5616R02</t>
  </si>
  <si>
    <t>Chigalo (wake song)//CODING ID 3406 GLOBAL JUKEBOX GENRE SECTION</t>
  </si>
  <si>
    <t>"sung during wake for deceased child" //CODING ID 3406 GLOBAL JUKEBOX DESCRIPTION SECTION</t>
  </si>
  <si>
    <t>9/19/2018 14:48:59</t>
  </si>
  <si>
    <t>Alavado</t>
  </si>
  <si>
    <t>Genre: Funeral Song dirge// CODING ID 3887 GLOBAL JUKEBOX, GENRE SECTION</t>
  </si>
  <si>
    <t>"Dirge...sung mostly at funeral wake"//CODING ID 3887 GLOBAL JUKEBOX, DESCRIPTION SECTION</t>
  </si>
  <si>
    <t>9/19/2018 15:21:33</t>
  </si>
  <si>
    <t>Selk'nam (Ona)</t>
  </si>
  <si>
    <t>Laments (No. 43 and 44)</t>
  </si>
  <si>
    <t>https://folkways.si.edu/lola-kiepja/laments-no-43-and-44/american-indian-world/music/track/smithsonian</t>
  </si>
  <si>
    <t>Laments (No. 43 and 44) //CATALOG NUMBER FW04176_406 IN SMITHSONIAN FOLKWAYS, RELEVANT TEXT IS IN THE DESCRIPTION FIELD//</t>
  </si>
  <si>
    <t>NA //CATALOG NUMBER FW04176_406 IN SMITHSONIAN FOLKWAYS, RELEVANT TEXT IS IN THE DESCRIPTION FIELD//</t>
  </si>
  <si>
    <t>Single track refers to multiple 'songs'</t>
  </si>
  <si>
    <t>9/19/2018 18:43:36</t>
  </si>
  <si>
    <t>Lament (No. 33), Shaman Chant No. 34, Shaman Chant No. 35</t>
  </si>
  <si>
    <t>https://folkways.si.edu/lola-kiepja/lament-no-33-shaman-chant-no-34-shaman-chant-no-35/american-indian-world/music/track/smithsonian</t>
  </si>
  <si>
    <t>Lament //CATALOG NUMBER FW04176_402 in SMITHSONIAN FOLKWAYS, RELEVANT TEXT IS IN THE DESCRIPTION FIELD//</t>
  </si>
  <si>
    <t>NA //CATALOG NUMBER FW04176_402 in SMITHSONIAN FOLKWAYS, RELEVANT TEXT IS IN THE DESCRIPTION FIELD//</t>
  </si>
  <si>
    <t>9/19/2018 18:47:50</t>
  </si>
  <si>
    <t>Lament (No. 36), Lament (No. 37)</t>
  </si>
  <si>
    <t>https://folkways.si.edu/lola-kiepja/lament-no-36-lament-no-37/american-indian-world/music/track/smithsonian</t>
  </si>
  <si>
    <t>Disc 2, Track 11</t>
  </si>
  <si>
    <t>Chant</t>
  </si>
  <si>
    <t>Lament //CATALOG NUMBER FW04176_403 IN SMITHSONIAN FOLKWAYS, RELEVANT TEXT IS IN THE DESCRIPTION FIELD//</t>
  </si>
  <si>
    <t>Language: Ona //CATALOG NUMBER FW04176_403 IN SMITHSONIAN FOLKWAYS, RELEVANT TEXT IS IN THE DESCRIPTION FIELD//</t>
  </si>
  <si>
    <t>NA //CATALOG NUMBER FW04176_403 IN SMITHSONIAN FOLKWAYS, RELEVANT TEXT IS IN THE DESCRIPTION FIELD//</t>
  </si>
  <si>
    <t>9/19/2018 18:56:18</t>
  </si>
  <si>
    <t>Laments (No. 38, 39, 40)</t>
  </si>
  <si>
    <t>https://folkways.si.edu/lola-kiepja/laments-no-38-39-40/american-indian-world/music/track/smithsonian</t>
  </si>
  <si>
    <t>Disc 2, Track 12</t>
  </si>
  <si>
    <t>Laments (No. 38, 39, 40) //CATALOG NUMBER FW04176_404 IN SMITHSONIAN FOLKWAYS, RELEVANT TEXT IS IN THE DESCRIPTION FIELD//</t>
  </si>
  <si>
    <t>Language: Ona //CATALOG NUMBER FW04176_404 IN SMITHSONIAN FOLKWAYS, RELEVANT TEXT IS IN THE DESCRIPTION FIELD//</t>
  </si>
  <si>
    <t>NA //CATALOG NUMBER FW04176_404 IN SMITHSONIAN FOLKWAYS, RELEVANT TEXT IS IN THE DESCRIPTION FIELD//</t>
  </si>
  <si>
    <t>9/19/2018 19:03:58</t>
  </si>
  <si>
    <t>Laments (No. 41 and 42)</t>
  </si>
  <si>
    <t>https://folkways.si.edu/lola-kiepja/laments-no-41-and-42/american-indian-world/music/track/smithsonian</t>
  </si>
  <si>
    <t>Disc 2, Track 13</t>
  </si>
  <si>
    <t>Laments (No. 41 and 42) //CATALOG NUMBER FW04176_405 IN SMITHSONIAN FOLKWAYS, RELEVANT TEXT IS IN THE DESCRIPTION FIELD//</t>
  </si>
  <si>
    <t>Language: Ona //CATALOG NUMBER FW04176_405 IN SMITHSONIAN FOLKWAYS, RELEVANT TEXT IS IN THE DESCRIPTION FIELD//</t>
  </si>
  <si>
    <t>NA //CATALOG NUMBER FW04176_405 IN SMITHSONIAN FOLKWAYS, RELEVANT TEXT IS IN THE DESCRIPTION FIELD//</t>
  </si>
  <si>
    <t>9/19/2018 19:13:48</t>
  </si>
  <si>
    <t>Tamil</t>
  </si>
  <si>
    <t>tami1289</t>
  </si>
  <si>
    <t>tam</t>
  </si>
  <si>
    <t>Subramani's Oppāri</t>
  </si>
  <si>
    <t>http://richardkwolf.com/subramanis-oppari/</t>
  </si>
  <si>
    <t>Subramani’s oppāri //CODING ID 92/Kota/D20 IN RICHARDKWOLF.COM, RELEVANT TEXT IS IN THE TITLE//</t>
  </si>
  <si>
    <t>9/20/2018 10:22:46</t>
  </si>
  <si>
    <t>Karuppayi’s oppāri</t>
  </si>
  <si>
    <t>http://richardkwolf.com/karuppayis-oppari/</t>
  </si>
  <si>
    <t>Karuppayi’s oppāri //CODING ID 92/Kota/D20 IN RICHARDKWOLF.COM, RELEVANT TEXT IS IN THE TITLE//</t>
  </si>
  <si>
    <t>9/20/2018 10:25:33</t>
  </si>
  <si>
    <t>Bari. Alternate names: Yuko, Motilones</t>
  </si>
  <si>
    <t>ligo1238</t>
  </si>
  <si>
    <t>bari1284</t>
  </si>
  <si>
    <t>Yenakokiko</t>
  </si>
  <si>
    <t>https://theglobaljukebox.org/?share=Bar%C3%AD-T5404R71m</t>
  </si>
  <si>
    <t>Genre: Funeral song, burial song// CODING ID 2763 GLOBAL JUKEBOX//Relevant text in Genre field</t>
  </si>
  <si>
    <t>Description: Sung when taking an exhumed body to the sacred burial cave// CODING ID 2763 GLOBAL JUKEBOX//Relevant text in Description field</t>
  </si>
  <si>
    <t>9/21/2018 15:47:58</t>
  </si>
  <si>
    <t>Bari, Alternate Names: Yuko, Motilones</t>
  </si>
  <si>
    <t>Maraca Cradle Song</t>
  </si>
  <si>
    <t>https://theglobaljukebox.org/?share=Bar%C3%AD-T5404R72</t>
  </si>
  <si>
    <t>Genre: Lullaby//CODING ID 2764 GLOBAL JUKEBOX// Relevant Info in the genre field</t>
  </si>
  <si>
    <t>9/21/2018 15:57:23</t>
  </si>
  <si>
    <t>Flathead, Bitterroot Salish</t>
  </si>
  <si>
    <t>sali1255</t>
  </si>
  <si>
    <t>Lullaby//SMITHSONIAN FOLKWAYS, SONGS AND DANCES OF THE FLATHEAD INDIANS (ALBUM), LINER NOTES PAGE 5. THIS IS FOUND UNDER THE HEADING- SIDE II BAND 3 LULLABY//</t>
  </si>
  <si>
    <t>The lullaby is not a song type frequently recognized among the Flathead as such; while songs are sung to soothe children there seems to be no direct translation of the word in Salish. This lullaby, sung by Jerome Vanderburg, is one which he learned from his father who in turn learned it from the wild doves//SMITHSONIAN FOLKWAYS, SONGS AND DANCES OF THE FLATHEAD INDIANS (ALBUM), LINER NOTES PAGE 5. THIS IS FOUND UNDER THE HEADING- SIDE II BAND 3 LULLABY//</t>
  </si>
  <si>
    <t>9/22/2018 18:14:29</t>
  </si>
  <si>
    <t>Quechua</t>
  </si>
  <si>
    <t>https://theglobaljukebox.org/?share=Quechua-T5488R12</t>
  </si>
  <si>
    <t>Chant; male soloist tells story of how a llama carrying a load of metal cans tricked the Spanish army into thinking an enemy army approached their camp, and thus ran away, conceding the final battle to the native peoples//Coding ID: 2499 IN GLOBAL JUKEBOX, RELEVANT TEXT IS IN THE DESCRIPTION FIELD//</t>
  </si>
  <si>
    <t>9/23/2018 12:04:36</t>
  </si>
  <si>
    <t>Tonada De La Cruz</t>
  </si>
  <si>
    <t>https://theglobaljukebox.org/?share=Quechua-T5543R47</t>
  </si>
  <si>
    <t>dance song; female chorus in nasal high register in unison and antiphony with mid-range male chorus over charango; whoops and hollers precede and follow interludes of stomping and clapping//Coding ID: 9783 IN GLOBAL JUKEBOX, RELEVANT TEXT IS IN THE DESCRIPTION FIELD//</t>
  </si>
  <si>
    <t>9/23/2018 12:25:04</t>
  </si>
  <si>
    <t>Kinsa Rosas T'ikay: Wayñu</t>
  </si>
  <si>
    <t>https://theglobaljukebox.org/?share=Quechua-T5543R48</t>
  </si>
  <si>
    <t>Dance Song//CODING ID 9784 IN GLOBAL JUKEBOX, RELEVANT TEXT IN GENRE FIELD//</t>
  </si>
  <si>
    <t>Dance song; female chorus in nasal high register unison with male chorus over charango//CODING ID 9784 IN GLOBAL JUKEBOX, RELEVANT TEXT IN DESCRIPTION FIELD//</t>
  </si>
  <si>
    <t>9/23/2018 12:39:07</t>
  </si>
  <si>
    <t>Shipibo</t>
  </si>
  <si>
    <t>shp</t>
  </si>
  <si>
    <t>Shipibo Lullaby</t>
  </si>
  <si>
    <t>https://theglobaljukebox.org/?share=Shipibo-T5402R14</t>
  </si>
  <si>
    <t>Lullaby //CODING ID 763 IN GLOBAL JUKEBOX, RELEVANT TEXT IS IN THE GENRE FIELD//</t>
  </si>
  <si>
    <t>9/23/2018 13:09:35</t>
  </si>
  <si>
    <t>Qulla</t>
  </si>
  <si>
    <t>sout2991</t>
  </si>
  <si>
    <t>quh</t>
  </si>
  <si>
    <t>Dance of the Kollas</t>
  </si>
  <si>
    <t>https://theglobaljukebox.org/?share=Qulla-T5630R14</t>
  </si>
  <si>
    <t>Ritual song; dance song; processional music //CODING ID 124 IN GLOBAL JUKEBOX , RELEVANT TEXT IS IN THE GENRE AND DESCRIPTION FIELD//</t>
  </si>
  <si>
    <t>Processional music played for visiting patrons of the feast from church to town square //CODING ID 124 IN GLOBAL JUKEBOX, RELEVANT TEXT IS IN THE DESCRIPTION FIELD//</t>
  </si>
  <si>
    <t>9/23/2018 13:37:17</t>
  </si>
  <si>
    <t>Teton Sioux, Lakota</t>
  </si>
  <si>
    <t>lako1247</t>
  </si>
  <si>
    <t>lkt</t>
  </si>
  <si>
    <t>Sitting Bull's Medicine Song (a)</t>
  </si>
  <si>
    <t>http://gofile.me/3T2hs/RIygve56J</t>
  </si>
  <si>
    <t>No. 91, Catalogue No. 654</t>
  </si>
  <si>
    <t>Teton Sioux Music by Frances Densmore</t>
  </si>
  <si>
    <t>Healing//TETON SIOUX MUSIC (BOOK) FRANCES DENSMORE FROM [SOURCE OF BOOK HERE], PG 272. PARAGRAPH ABOVE TRACK NO. 91, CATALOGUE NO. 654, "SITTING BULL'S MEDICINE SONG"//</t>
  </si>
  <si>
    <t>It was said to have been used by Sitting Bull in treating the sick//TETON SIOUX MUSIC (BOOK) FRANCES DENSMORE FROM [SOURCE OF BOOK HERE], PG 272. PARAGRAPH ABOVE TRACK NO. 91, CATALOGUE NO. 654, "SITTING BULL'S MEDICINE SONG"//</t>
  </si>
  <si>
    <t>To him I am related, from above, a tribe is my friend, from above, an elk is my friend, from above, a man is my friend//TETON SIOUX MUSIC (BOOK) FRANCES DENSMORE FROM [SOURCE OF BOOK HERE], PG 272. NO. 91, CATALOGUE NO. 654, "SITTING BULL'S MEDICINE SONG"//</t>
  </si>
  <si>
    <t>The book refers to this collection: https://catalog.loc.gov/vwebv/search?searchCode=LCCN&amp;searchArg=2010655203&amp;searchType=1&amp;permalink=y in the library of congress.</t>
  </si>
  <si>
    <t>9/25/2018 14:38:40</t>
  </si>
  <si>
    <t>Song of Little Girls' Play (b)</t>
  </si>
  <si>
    <t>http://gofile.me/3T2hs/Z3Dk75Wcm</t>
  </si>
  <si>
    <t>No. 216 in book, Catalogue No. 681</t>
  </si>
  <si>
    <t>Play//TETON SIOUX MUSIC (BOOK) FRANCES DENSMORE FROM [SOURCE OF BOOK HERE], SONG OF LITTLE GIRLS' PLAY (B), CAT NO. 681 PG 493//</t>
  </si>
  <si>
    <t>The little girls sat in a circle and each girl, putting one hand over the other who sat next to her, lightly pinched the hand near the wrist.The tickling sensation could be endured only a few seconds before little girls fell over in a state of helpless laughter//TETON SIOUX MUSIC (BOOK) FRANCES DENSMORE FROM [SOURCE OF BOOK HERE], SONG OF LITTLE GIRLS' PLAY (B), CAT NO. 681 PG 492-493//</t>
  </si>
  <si>
    <t>Hosisi pa (I catch but cannot hold you)</t>
  </si>
  <si>
    <t>The Densmore collection is in the library of congress here. https://catalog.loc.gov/vwebv/holdingsInfo?searchId=15497&amp;recCount=25&amp;recPointer=3&amp;bibId=16528916&amp;searchType=7&amp;resultPointer=0</t>
  </si>
  <si>
    <t>LOC says it has restricted access to this collection.</t>
  </si>
  <si>
    <t>9/25/2018 16:07:22</t>
  </si>
  <si>
    <t>Teton Sioux</t>
  </si>
  <si>
    <t>http://gofile.me/3T2hs/nDBNoZown</t>
  </si>
  <si>
    <t>No. 217 in book, Catalogue No. 679</t>
  </si>
  <si>
    <t>"The following is said to be the only lullaby used among the Sioux"//TETON SIOUX MUSIC (BOOK) FRANCES DENSMORE FROM [SOURCE OF BOOK HERE], CATALOGUE NO. 679, PG 493//</t>
  </si>
  <si>
    <t>ini la isti mana (be still sleep)//TETON SIOUX MUSIC (BOOK) FRANCES DENSMORE FROM [SOURCE OF BOOK HERE], CATALOGUE NO. 679, PG 493//</t>
  </si>
  <si>
    <t>From the collection in the LOC, https://catalog.loc.gov/vwebv/search?searchCode=LCCN&amp;searchArg=2010655203&amp;searchType=1&amp;permalink=y</t>
  </si>
  <si>
    <t>9/25/2018 16:31:10</t>
  </si>
  <si>
    <t>Mataco and Chorote</t>
  </si>
  <si>
    <t>Burial Song</t>
  </si>
  <si>
    <t>https://www.worldmusicstore.com/products/argentina-the-indians-of-the-gran-chaco</t>
  </si>
  <si>
    <t>Library of Congress (name of CD is listed) and World Music Store (can listen to tracks here)</t>
  </si>
  <si>
    <t>Burial Song //TRACK 30 IN WORLD MUSIC STORE, RELEVANT TEXT IS IN THE DESCRIPTION FIELD AND LINEAR NOTES//</t>
  </si>
  <si>
    <t>NA //TRACK 30 IN WORLD MUSIC STORE, RELEVANT TEXT IS IN THE DESCRIPTION FIELD AND LINEAR NOTES//</t>
  </si>
  <si>
    <t>9/26/2018 13:52:37</t>
  </si>
  <si>
    <t>Mourning //TRACK 31 IN WORLD MUSIC STORE, RELEVANT TEXT IS IN THE DESCRIPTION FIELD AND LINEAR NOTES//</t>
  </si>
  <si>
    <t>NA //TRACK 31 IN WORLD MUSIC STORE, RELEVANT TEXT IS IN THE DESCRIPTION FIELD AND LINEAR NOTES//</t>
  </si>
  <si>
    <t>9/26/2018 13:57:47</t>
  </si>
  <si>
    <t>Dance/Chant Ring of Men</t>
  </si>
  <si>
    <t>Dance/Chant Ring of Men //TRACK 3 IN WORLD MUSIC STORE, RELEVANT TEXT IS IN THE DESCRIPTION FIELD AND LINEAR NOTES//</t>
  </si>
  <si>
    <t>9/26/2018 18:30:03</t>
  </si>
  <si>
    <t>Dance/Chant Ring of Men //TRACK 7 IN WORLD MUSIC STORE, RELEVANT TEXT IS IN THE DESCRIPTION FIELD AND LINEAR NOTES//</t>
  </si>
  <si>
    <t>9/26/2018 18:31:10</t>
  </si>
  <si>
    <t>Dance/Chant Ring of Men //TRACK 33 IN WORLD MUSIC STORE, RELEVANT TEXT IS IN THE DESCRIPTION FIELD AND LINEAR NOTES//</t>
  </si>
  <si>
    <t>NA /</t>
  </si>
  <si>
    <t>9/26/2018 18:32:06</t>
  </si>
  <si>
    <t>Guaraní</t>
  </si>
  <si>
    <t>para1311</t>
  </si>
  <si>
    <t>Cainguáes Canciones 1</t>
  </si>
  <si>
    <t>https://theglobaljukebox.org/?share=Guaran%C3%AD-</t>
  </si>
  <si>
    <t>Propitiatory song //GLOBAL JUKEBOX CODING ID: 3906//</t>
  </si>
  <si>
    <t>Description: Gathering song 1; propitiatory song //GLOBAL JUKEBOX CODING ID: 3906//</t>
  </si>
  <si>
    <t>9/28/2018 9:37:48</t>
  </si>
  <si>
    <t>Dublin</t>
  </si>
  <si>
    <t>Captain Wedderbum's Courtship</t>
  </si>
  <si>
    <t>https://theglobaljukebox.org/?share=Dublin-T9526R14</t>
  </si>
  <si>
    <t>ballad</t>
  </si>
  <si>
    <t>Ballad//CODING ID 9390 IN GLOBAL JUKEBOX, RELEVANT INFO IS IN THE DESCRIPTION FIELD//</t>
  </si>
  <si>
    <t>9/28/2018 9:39:53</t>
  </si>
  <si>
    <t>Cînd Scoate Mireasa Din Casa</t>
  </si>
  <si>
    <t>https://theglobaljukebox.org/?share=Cluj-T5466R17</t>
  </si>
  <si>
    <t>Wedding song //GLOBAL JUKEBOX CODING ID 3944, RELEVANT TEXT IN GENRE FIELD//</t>
  </si>
  <si>
    <t>Wedding song //GLOBAL JUKEBOX CODING ID 3944, RELEVANT TEXT IN DESCRIPTION FIELD//</t>
  </si>
  <si>
    <t>(note: backtracked here to write note, did not listen to song beforehand) vocalist only sings between ~0:45 and 1:20</t>
  </si>
  <si>
    <t>9/28/2018 10:42:03</t>
  </si>
  <si>
    <t>Cununa Secerisului</t>
  </si>
  <si>
    <t>https://theglobaljukebox.org/?share=Cluj-T5466R18</t>
  </si>
  <si>
    <t>Harvest song; festival song //GLOBAL JUKEBOX CODING ID 3945, RELEVANT TEXT IN GENRE FIELD//</t>
  </si>
  <si>
    <t>Harvest festival song //GLOBAL JUKEBOX CODING ID 3945, RELEVANT TEXT IN DESCRIPTION FIELD//</t>
  </si>
  <si>
    <t>9/28/2018 10:48:01</t>
  </si>
  <si>
    <t>Imparate, Imparate</t>
  </si>
  <si>
    <t>https://theglobaljukebox.org/?share=Cluj-T5466R21</t>
  </si>
  <si>
    <t>None of these</t>
  </si>
  <si>
    <t>Song about leadership //GLOBAL JUKEBOX CODING ID 3948, RELEVANT TEXT IN GENRE FIELD//</t>
  </si>
  <si>
    <t>Emperor, Emperor //GLOBAL JUKEBOX CODING ID 3948, RELEVANT TEXT IN DESCRIPTION FIELD//</t>
  </si>
  <si>
    <t>9/28/2018 10:58:19</t>
  </si>
  <si>
    <t>Bucharest Prov. (not listed in eHRAF)</t>
  </si>
  <si>
    <t>Bogatul Ši Săracul</t>
  </si>
  <si>
    <t>https://theglobaljukebox.org/?share=Bucharest%20Prov.-T5469R54</t>
  </si>
  <si>
    <t>Epic song; ballad //GLOBAL JUKEBOX CODING ID 500, RELEVANT TEXT IN GENRE FIELD//</t>
  </si>
  <si>
    <t>Epic ballad //GLOBAL JUKEBOX CODING ID 500, RELEVANT TEXT IN DESCRIPTION FIELD//</t>
  </si>
  <si>
    <t>(note: did not listen to song before!) vocalist begins singing at ~0:30</t>
  </si>
  <si>
    <t>9/28/2018 11:15:36</t>
  </si>
  <si>
    <t>Trandafir De Pe Razor</t>
  </si>
  <si>
    <t>https://theglobaljukebox.org/?share=Bucharest%20Prov.-T5589R22</t>
  </si>
  <si>
    <t>Wedding song //GLOBAL JUKEBOX CODING ID 9223, RELEVANT TEXT IN GENRE FIELD//</t>
  </si>
  <si>
    <t>Wedding song //GLOBAL JUKEBOX CODING ID 9223, RELEVANT TEXT IN DESCRIPTION FIELD//</t>
  </si>
  <si>
    <t>9/28/2018 11:22:45</t>
  </si>
  <si>
    <t>Arges (not listed in eHRAF)</t>
  </si>
  <si>
    <t>La Casa</t>
  </si>
  <si>
    <t>https://theglobaljukebox.org/?share=Arges-T5466R07</t>
  </si>
  <si>
    <t>Ballad //GLOBAL JUKEBOX CODING ID 3955, RELEVANT TEXT IN GENRE FIELD//</t>
  </si>
  <si>
    <t>9/28/2018 11:26:57</t>
  </si>
  <si>
    <t>La Fîntînita</t>
  </si>
  <si>
    <t>https://theglobaljukebox.org/?share=Arges-T5466R08</t>
  </si>
  <si>
    <t>Ballad //GLOBAL JUKEBOX CODING ID 3956, RELEVANT TEXT IN GENRE FIELD//</t>
  </si>
  <si>
    <t>Ballad //GLOBAL JUKEBOX CODING ID 3956, RELEVANT TEXT IN DESCRIPTION FIELD//</t>
  </si>
  <si>
    <t>9/28/2018 11:32:06</t>
  </si>
  <si>
    <t>mace1250</t>
  </si>
  <si>
    <t>Harvest Song</t>
  </si>
  <si>
    <t>https://theglobaljukebox.org/?share=Macedonia-T5467R33</t>
  </si>
  <si>
    <t>Harvest song //GLOBAL JUKEBOX CODING ID 2719, RELEVANT TEXT IN GENRE FIELD//</t>
  </si>
  <si>
    <t>Harvest song //GLOBAL JUKEBOX CODING ID 2719, RELEVANT TEXT IN DESCRIPTION FIELD//</t>
  </si>
  <si>
    <t>9/28/2018 11:44:50</t>
  </si>
  <si>
    <t>https://theglobaljukebox.org/?share=Macedonia-T5467R32</t>
  </si>
  <si>
    <t>Lullaby //GLOBAL JUKEBOX CODING ID 4318, RELEVANT TEXT IN GENRE FIELD//</t>
  </si>
  <si>
    <t>Lullaby //GLOBAL JUKEBOX CODING ID 4318, RELEVANT TEXT IN DESCRIPTION FIELD//</t>
  </si>
  <si>
    <t>9/28/2018 11:47:51</t>
  </si>
  <si>
    <t>Tranos</t>
  </si>
  <si>
    <t>https://theglobaljukebox.org/?share=Macedonia-T5620R10</t>
  </si>
  <si>
    <t>Wedding song; dance song; circle dance //GLOBAL JUKEBOX CODING ID 9157, RELEVANT TEXT IN GENRE FIELD//</t>
  </si>
  <si>
    <t>Wedding dance, large dancing circle, sung by wedding party //GLOBAL JUKEBOX CODING ID 9157, RELEVANT TEXT IN DESCRIPTION FIELD//</t>
  </si>
  <si>
    <t>9/28/2018 11:55:20</t>
  </si>
  <si>
    <t>Spinning Song</t>
  </si>
  <si>
    <t>https://theglobaljukebox.org/?share=Macedonia-T5522R21</t>
  </si>
  <si>
    <t>Work song; spinning song //GLOBAL JUKEBOX CODING ID 9239, RELEVANT TEXT IN GENRE FIELD//</t>
  </si>
  <si>
    <t>Spinning song //GLOBAL JUKEBOX CODING ID 9239, RELEVANT TEXT IN DESCRIPTION FIELD//</t>
  </si>
  <si>
    <t>9/28/2018 12:19:54</t>
  </si>
  <si>
    <t>Go, Maro, to the Well</t>
  </si>
  <si>
    <t>https://theglobaljukebox.org/?share=Macedonia-T5618R09</t>
  </si>
  <si>
    <t>Spinning song; work song; ballad; love song //GLOBAL JUKEBOX CODING ID 9415, RELEVANT TEXT IN GENRE FIELD//</t>
  </si>
  <si>
    <t>Spinning song; ballad; love song //GLOBAL JUKEBOX CODING ID 9415, RELEVANT TEXT IN DESCRIPTION FIELD//</t>
  </si>
  <si>
    <t>"who seduces the girls and beautiful maids"; song belongs to the class of ballads which have love as their theme //SMITHSONIAN FOLKWAYS LINER NOTES, RELEVANT TEXT ON PAGE 10 OF ETHNIC FOLKWAYS LIBRARY FE 4454//</t>
  </si>
  <si>
    <t>https://folkways-media.si.edu/liner_notes/folkways/FW04454.pdf</t>
  </si>
  <si>
    <t>9/28/2018 12:38:17</t>
  </si>
  <si>
    <t>Central Bosnia (not listed in eHRAF)</t>
  </si>
  <si>
    <t>bosn1245</t>
  </si>
  <si>
    <t>bos</t>
  </si>
  <si>
    <t>Svatovska Pjesma</t>
  </si>
  <si>
    <t>https://theglobaljukebox.org/?share=Central%20Bosnia-T5591R03</t>
  </si>
  <si>
    <t>Wedding song //GLOBAL JUKEBOX CODING ID 350, RELEVANT TEXT IN GENRE FIELD//</t>
  </si>
  <si>
    <t>Wedding song //GLOBAL JUKEBOX CODING ID 350, RELEVANT TEXT IN DESCRIPTION FIELD//</t>
  </si>
  <si>
    <t>9/28/2018 12:47:12</t>
  </si>
  <si>
    <t>Oslobodjenje Šipova</t>
  </si>
  <si>
    <t>https://theglobaljukebox.org/?share=Central%20Bosnia-T5591R05</t>
  </si>
  <si>
    <t>Epic song //GLOBAL JUKEBOX CODING ID 351, RELEVANT TEXT IN GENRE FIELD//</t>
  </si>
  <si>
    <t>Epic poem; the Liberation of Šipova //GLOBAL JUKEBOX CODING ID 351, RELEVANT TEXT IN DESCRIPTION FIELD//</t>
  </si>
  <si>
    <t>(note: did not listen to song) Vocalist starts singing ~0:40</t>
  </si>
  <si>
    <t>9/28/2018 12:57:36</t>
  </si>
  <si>
    <t>Woman Singing Into a Bowl</t>
  </si>
  <si>
    <t>https://theglobaljukebox.org/?share=Central%20Bosnia-T5462R63</t>
  </si>
  <si>
    <t>Harvest song; dance song; work song; courtship song //GLOBAL JUKEBOX CODING ID 352, RELEVANT TEXT IN GENRE FIELD//</t>
  </si>
  <si>
    <t>Harvest song; sung when neighbors gather to help in the harvest; the work is accompanied by singing, dancing, and courting //GLOBAL JUKEBOX CODING ID 352, RELEVANT TEXT IN DESCRIPTION FIELD//</t>
  </si>
  <si>
    <t>9/28/2018 13:12:41</t>
  </si>
  <si>
    <t>Ghegs (not listed in eHRAF)</t>
  </si>
  <si>
    <t>gheg1238</t>
  </si>
  <si>
    <t>aln</t>
  </si>
  <si>
    <t>Këngë Djepi</t>
  </si>
  <si>
    <t>https://theglobaljukebox.org/?share=Ghegs-T9517R23</t>
  </si>
  <si>
    <t>Lullaby //GLOBAL JUKEBOX CODING ID 9349, RELEVANT TEXT IN GENRE FIELD//</t>
  </si>
  <si>
    <t>Lullaby //GLOBAL JUKEBOX CODING ID 9349, RELEVANT TEXT IN DESCRIPTION FIELD//</t>
  </si>
  <si>
    <t>NNA</t>
  </si>
  <si>
    <t>9/28/2018 13:29:37</t>
  </si>
  <si>
    <t>Kenga E Cun Mules</t>
  </si>
  <si>
    <t>https://theglobaljukebox.org/?share=Ghegs-T9530R10</t>
  </si>
  <si>
    <t>Ballad //GLOBAL JUKEBOX CODING ID 9475, RELEVANT TEXT IN GENRE FIELD//</t>
  </si>
  <si>
    <t>Ballad //GLOBAL JUKEBOX CODING ID 9475, RELEVANT TEXT IN DESCRIPTION FIELD//</t>
  </si>
  <si>
    <t>9/28/2018 13:32:33</t>
  </si>
  <si>
    <t>Aromanian (not listed in eHRAF)</t>
  </si>
  <si>
    <t>arom1237</t>
  </si>
  <si>
    <t>rup</t>
  </si>
  <si>
    <t>Zora, Eh Zorica</t>
  </si>
  <si>
    <t>https://theglobaljukebox.org/?share=Aromanians-T5546R05</t>
  </si>
  <si>
    <t>Dance song //GLOBAL JUKEBOX CODING ID 9864, RELEVANT TEXT IN GENRE FIELD//</t>
  </si>
  <si>
    <t>Dance song with nonsense lyrics //GLOBAL JUKEBOX CODING ID 9864, RELEVANT TEXT IN DESCRIPTION FIELD//</t>
  </si>
  <si>
    <t>9/28/2018 13:44:28</t>
  </si>
  <si>
    <t>Aromanians (not listed in eHRAF)</t>
  </si>
  <si>
    <t>Economic Hardships of Marriage</t>
  </si>
  <si>
    <t>https://theglobaljukebox.org/?share=Aromanians-T5546R09</t>
  </si>
  <si>
    <t>Wedding song; feast song //GLOBAL JUKEBOX CODING ID 9866, RELEVANT TEXT IN GENRE FIELD//</t>
  </si>
  <si>
    <t>Wedding song; sung during the wedding meal; recorded at wedding //GLOBAL JUKEBOX CODING ID 9866, RELEVANT TEXT IN DESCRIPTION FIELD//</t>
  </si>
  <si>
    <t>9/28/2018 13:48:01</t>
  </si>
  <si>
    <t>Good Wishes to the Newlyweds</t>
  </si>
  <si>
    <t>https://theglobaljukebox.org/?share=Aromanians-T5546R10</t>
  </si>
  <si>
    <t>Wedding, feast song</t>
  </si>
  <si>
    <t>Wedding song; feast song //GLOBAL JUKEBOX CODING ID 9867, RELEVANT TEXT IN GENRE FIELD//</t>
  </si>
  <si>
    <t>Wedding song; sung during the wedding meal //GLOBAL JUKEBOX CODING ID 9867, RELEVANT TEXT IN DESCRIPTION FIELD//</t>
  </si>
  <si>
    <t>9/28/2018 13:50:44</t>
  </si>
  <si>
    <t>Colombia</t>
  </si>
  <si>
    <t>Duerme Nino Pequenito</t>
  </si>
  <si>
    <t>https://search.alexanderstreet.com/view/work/bibliographic_entity%7Crecorded_cd%7C71892?utm_source=aspresolver&amp;utm_medium=MARC&amp;utm_campaign=AlexanderStreet</t>
  </si>
  <si>
    <t>Side 1, Band 8</t>
  </si>
  <si>
    <t>Purpose of album is to revive the practice o singing lullabies around the world// Liner Notes of album "Lullabies of the World" by Lillian Mendelssohn</t>
  </si>
  <si>
    <t>"Duerme Nino Pequenito que la noche viene ya..."//Liner notes of the album</t>
  </si>
  <si>
    <t>Go to related documents and download the pdf to access the liner notes</t>
  </si>
  <si>
    <t>9/28/2018 14:15:02</t>
  </si>
  <si>
    <t>Venezuela</t>
  </si>
  <si>
    <t>Palomita Blanca</t>
  </si>
  <si>
    <t>Side 2, Band 10</t>
  </si>
  <si>
    <t>From a collection of lullabies, usually sung by fathers and younger sisters as the mom was usually th money earner in poorer communities//Liner Notes in album "Lullabies of the World"</t>
  </si>
  <si>
    <t>"Duermete nino chiquito que tu madre no esta aquí" //Liner Notes of the Album</t>
  </si>
  <si>
    <t>9/28/2018 14:29:28</t>
  </si>
  <si>
    <t>Ika</t>
  </si>
  <si>
    <t>arhu1242</t>
  </si>
  <si>
    <t>arh</t>
  </si>
  <si>
    <t>Sacred Ika Incantations and Commentary</t>
  </si>
  <si>
    <t>https://folkways.si.edu/sacred-and-profane-music-of-the-ika/american-indian-world/album/smithsonian</t>
  </si>
  <si>
    <t>Side B, Band 3</t>
  </si>
  <si>
    <t>Sacred Ika Incantations//Liner notes of the album "Sacred and Profane Music of the Ika"</t>
  </si>
  <si>
    <t>"a collection of the sacred medicine songs of don Jose de Jesus", series of spirits// Album liner notes</t>
  </si>
  <si>
    <t>access the liner notes through the album's entry on Smithsonian Walkways</t>
  </si>
  <si>
    <t>Audio does not seem available through the Smithsonian but the same album is available on Spotify. There's Spanish commentary that breaks up the singing in this track</t>
  </si>
  <si>
    <t>9/28/2018 15:49:19</t>
  </si>
  <si>
    <t>Chicote (version 7)</t>
  </si>
  <si>
    <t>Side B band 2</t>
  </si>
  <si>
    <t>a "Chicote", 2 step secular dance music of the culture// Liner notes of the album "Sacred and Profane Music of the Ika"</t>
  </si>
  <si>
    <t>If this album is unavailable through folkways, you can find it on Spotify. Many tracks on this album are interrupted with conversations with the artist</t>
  </si>
  <si>
    <t>9/28/2018 16:00:56</t>
  </si>
  <si>
    <t>Kwakwa̱ka̱’wakw</t>
  </si>
  <si>
    <t>bell1263</t>
  </si>
  <si>
    <t>Headdress Song</t>
  </si>
  <si>
    <t>Festival song; dance song; headdress song//GLOBAL JUKEBOX//Coding ID: 9285</t>
  </si>
  <si>
    <t>Coding ID: 9285</t>
  </si>
  <si>
    <t>Global Jukebox says the audio is pending</t>
  </si>
  <si>
    <t>9/29/2018 0:29:59</t>
  </si>
  <si>
    <t>Siletz</t>
  </si>
  <si>
    <t>till1254</t>
  </si>
  <si>
    <t>Gambling Song</t>
  </si>
  <si>
    <t>Gambling Song//GLOBAL JUKEBOX//Coding ID: 1524</t>
  </si>
  <si>
    <t>Coding ID: 1524</t>
  </si>
  <si>
    <t>9/29/2018 0:34:02</t>
  </si>
  <si>
    <t>Healing song; shaman song; mystical song; medicine song//GLOBAL JUKEBOX//Coding ID: 200</t>
  </si>
  <si>
    <t>Coding ID: 200</t>
  </si>
  <si>
    <t>9/29/2018 0:37:15</t>
  </si>
  <si>
    <t>Yurok; Olekwol</t>
  </si>
  <si>
    <t>yuro1248</t>
  </si>
  <si>
    <t>yur</t>
  </si>
  <si>
    <t>Healing song//GLOBAL JUKEBOX//Coding ID: 9950</t>
  </si>
  <si>
    <t>Coding ID: 9950</t>
  </si>
  <si>
    <t>9/29/2018 0:40:14</t>
  </si>
  <si>
    <t>Salish</t>
  </si>
  <si>
    <t>Bone Game Song</t>
  </si>
  <si>
    <t>Game song; bone game song//GLOBAL JUKEBOX//Coding ID: 9949</t>
  </si>
  <si>
    <t>Coding ID: 9949</t>
  </si>
  <si>
    <t>9/29/2018 0:42:38</t>
  </si>
  <si>
    <t>Nuu-chah-nulth</t>
  </si>
  <si>
    <t>nuuc1236</t>
  </si>
  <si>
    <t>noot1239</t>
  </si>
  <si>
    <t>noot1239 has no classification info</t>
  </si>
  <si>
    <t>nuk</t>
  </si>
  <si>
    <t>Kwekwatela dance</t>
  </si>
  <si>
    <t>Dance song//GLOBAL JUKEBOX//Coding ID: 2965</t>
  </si>
  <si>
    <t>Coding ID: 2965</t>
  </si>
  <si>
    <t>9/29/2018 1:43:47</t>
  </si>
  <si>
    <t>Southern Valley Yokuts</t>
  </si>
  <si>
    <t>vall1251</t>
  </si>
  <si>
    <t>yoku1255</t>
  </si>
  <si>
    <t>Hand Game Song</t>
  </si>
  <si>
    <t>Hand game song; game song//GLOBAL JUKEBOX//Coding ID: 9944</t>
  </si>
  <si>
    <t>Coding ID: 9944</t>
  </si>
  <si>
    <t>9/29/2018 2:15:26</t>
  </si>
  <si>
    <t>Kumeyaay</t>
  </si>
  <si>
    <t>kumi1248</t>
  </si>
  <si>
    <t>ipai1240</t>
  </si>
  <si>
    <t>dih</t>
  </si>
  <si>
    <t>Peon Game Song</t>
  </si>
  <si>
    <t>Game song//GLOBAL JUKEBOX//Coding ID: 9946</t>
  </si>
  <si>
    <t>Coding ID: 9946</t>
  </si>
  <si>
    <t>9/29/2018 2:30:55</t>
  </si>
  <si>
    <t>https://theglobaljukebox.org/?share=Aymara-T5488R02</t>
  </si>
  <si>
    <t>lullaby//GLOBAL JUKEBOX CODING ID: 2867, RELEVANT TEXT IN GENRE//</t>
  </si>
  <si>
    <t>9/30/2018 15:39:07</t>
  </si>
  <si>
    <t>Song of Lake Titicaca</t>
  </si>
  <si>
    <t>https://theglobaljukebox.org/?share=Aymara-T5488R03</t>
  </si>
  <si>
    <t>Coming out of the lake, cutting totora, the waves are almost turning us over//GLOBAL JUKEBOX CODING ID:2868, RELEVANT TEXT IN DESCRIPTION FIELD//</t>
  </si>
  <si>
    <t>9/30/2018 15:50:54</t>
  </si>
  <si>
    <t>Dance Song//GLOBAL JUKEBOX CODING ID:9784, RELEVANT TEXT IN GENRE FIELD//</t>
  </si>
  <si>
    <t>9/30/2018 16:12:13</t>
  </si>
  <si>
    <t>https://theglobaljukebox.org/?share=Q'ero-T5488R08</t>
  </si>
  <si>
    <t>Lullaby//GLOBSL JUKEBOX, CODING ID:2495, RELEVANT DATA IN GENRE FIELD//</t>
  </si>
  <si>
    <t>9/30/2018 16:23:35</t>
  </si>
  <si>
    <t>Bristol</t>
  </si>
  <si>
    <t>Singing Games and Rhymes</t>
  </si>
  <si>
    <t>https://theglobaljukebox.org/?share=Bristol-T5587R10</t>
  </si>
  <si>
    <t>Children's Play Song //CODING ID 564 IN GLOBAL JUKEBOX, RELEVANT INFO FOUND IN DESCRIPTION//</t>
  </si>
  <si>
    <t>The Threshing Machine</t>
  </si>
  <si>
    <t>https://theglobaljukebox.org/?share=Sussex-T5587R08</t>
  </si>
  <si>
    <t>Work Song //CODING ID 560 IN GLOBAL JUKEBOX, RELEVANT INFO IS FOUND IN THE DESCRIPTION FIELD//</t>
  </si>
  <si>
    <t>The Irish Captain</t>
  </si>
  <si>
    <t>https://theglobaljukebox.org/?share=Sussex-T5472R43</t>
  </si>
  <si>
    <t>Sea Ballad</t>
  </si>
  <si>
    <t>Ballad; sailor's song //CODING ID1497 IN GLOBAL JUKEBOX, OTHER RELEVANT INFO FOUND IN DESCRIPTION//</t>
  </si>
  <si>
    <t>Thrace (not listed in eHRAF)</t>
  </si>
  <si>
    <t>thra1250</t>
  </si>
  <si>
    <t>txh</t>
  </si>
  <si>
    <t>Yano Yano Khubava Yano</t>
  </si>
  <si>
    <t>https://theglobaljukebox.org/?share=Thrace-T5464R06</t>
  </si>
  <si>
    <t>Work song; field song; agricultural song //GLOBAL JUKEBOX CODING ID 355, RELEVANT TEXT IN GENRE FIELD//</t>
  </si>
  <si>
    <t>Field work song //GLOBAL JUKEBOX CODING ID 355, RELEVANT TEXT IN DESCRIPTION FIELD//</t>
  </si>
  <si>
    <t>Track 11. Lullaby (Female Solo)</t>
  </si>
  <si>
    <t>https://search.alexanderstreet.com/view/work/bibliographic_entity%7Crecorded_cd%7C71792?utm_source=aspresolver&amp;utm_medium=MARC&amp;utm_campaign=AlexanderStreet</t>
  </si>
  <si>
    <t>Side 2, Band 1 (Track 11 on AlexanderStreet)</t>
  </si>
  <si>
    <t>"Lullaby(Female Solo)"//Track Listing on "Music of the Jivaro of Ecuador" album</t>
  </si>
  <si>
    <t>"Lullaby. sommonly [sic] sung by an older sister of the infant"// Liner Notes of the album listed on Alexander Street</t>
  </si>
  <si>
    <t>Shaman Curing a Bewitched Patient</t>
  </si>
  <si>
    <t>Side 2, Band 6 (Track Number 16 on Alexander Street)</t>
  </si>
  <si>
    <t>"Shaman Healing a Bewitched Patient"// Track Listing on album "Music of the Jivaro of Ecuador"</t>
  </si>
  <si>
    <t>"Solo by a shaman curing a patient of illness caused by a bewitching shaman"// Liner Notes on the album accessible through Alexander Street</t>
  </si>
  <si>
    <t>Kathakali</t>
  </si>
  <si>
    <t>http://gofile.me/3T2hs/Gmzi8g1IY</t>
  </si>
  <si>
    <t>CD: World Library of Folk and Primitive Music: India</t>
  </si>
  <si>
    <t>Kathakali //TRACK 15 IN WORLD LIBRARY OF FOLK AND PRIMITIVE MUSIC: INDIA, RELEVANT TEXT IN THE TITLE//</t>
  </si>
  <si>
    <t>BASED ON THE MAHABHARATA EPIC //TRACK 15 IN WORLD LIBRARY OF FOLK AND PRIMITIVE MUSIC: INDIA, RELEVANT TEXT IN THE DECRIPTION//</t>
  </si>
  <si>
    <t>Bengali (Baul)</t>
  </si>
  <si>
    <t>Baul Song</t>
  </si>
  <si>
    <t>http://gofile.me/3T2hs/QosEgzLGU</t>
  </si>
  <si>
    <t>World Library of Folk and Primitive Music: India</t>
  </si>
  <si>
    <t>Baul Song //TRACK 6 IN WORLD LIBRARY OF FOLK AND PRIMITIVE MUSIC: INDIA, RELEVANT TEXT IS IN THE TITLE//</t>
  </si>
  <si>
    <t>"The mind's helmsman cannot at his fancy guide his own craft. Unaware of the current you start the voyage to the other shore." //TRACK 6 IN WORLD LIBRARY OF FOLK AND PRIMITIVE MUSIC: INDIA, RELEVANT TEXT IS IN THE LYRICS//</t>
  </si>
  <si>
    <t>Ahir (not in eHRAF)</t>
  </si>
  <si>
    <t>ahir1242</t>
  </si>
  <si>
    <t>Viraha (Milkman's Traditional Song)</t>
  </si>
  <si>
    <t>http://gofile.me/3T2hs/GuY5hz8X9</t>
  </si>
  <si>
    <t>CD-- World Library of Folk and Primitive Music: India</t>
  </si>
  <si>
    <t>Viraha (Milkman's Traditional Song) //TRACK 3 IN WORLD LIBRARY OF FOLK AND PRIMITIVE MUSIC: INDIA, RELEVANT TEXT IN THE TITLE//</t>
  </si>
  <si>
    <t>Special style of song developed by the Ahir cowherders ostensibly to communicate with other herders and their distant villages while pasturing their animals. //TRACK 3 IN WORLD LIBRARY OF FOLK AND PRIMITIVE MUSIC: INDIA, RELEVANT TEXT IN THE DESCRIPTION//</t>
  </si>
  <si>
    <t>"It is said-- The horse named Mangara was born in Maurapura City of the king Aliva. But the Ahir was born in the bazar of Gaura. It is said -- Chanava was born in the great city of Kusumipura" //TRACK 3 IN WORLD LIBRARY OF FOLK AND PRIMITIVE MUSIC: INDIA, RELEVANT TEXT IN THE DESCRIPTION//</t>
  </si>
  <si>
    <t>Kannada (not in eHRAF)</t>
  </si>
  <si>
    <t>nucl1305</t>
  </si>
  <si>
    <t>kan</t>
  </si>
  <si>
    <t>https://sounds.bl.uk/World-and-traditional-music/Ethnographic-wax-cylinders/025M-C0072X0876XX-0100V0</t>
  </si>
  <si>
    <t>Lullabies //CODING ID C72/876 BRITISH LIBRARY, RELEVANT TEXT IS IN THE TITLE//</t>
  </si>
  <si>
    <t>Two Lullabies</t>
  </si>
  <si>
    <t>https://sounds.bl.uk/World-and-traditional-music/Ethnographic-wax-cylinders/025M-C0072X0873XX-0100V0</t>
  </si>
  <si>
    <t>Two Lullabies //CODING ID C72/873 IN BRITISH LIBRARY, RELEVANT TEXT IN TITLE//</t>
  </si>
  <si>
    <t>https://sounds.bl.uk/World-and-traditional-music/Ethnographic-wax-cylinders/025M-C0072X0875XX-0100V0</t>
  </si>
  <si>
    <t>Two Lullabies //CODING ID C72/875 IN BRITISH LIBRARY, RELEVANT TEXT IN THE TITLE//</t>
  </si>
  <si>
    <t>There are two distinct audio files in British Library titled "Two Lullabies." I have catalogued both of them.</t>
  </si>
  <si>
    <t>Suffolk</t>
  </si>
  <si>
    <t>The Nuttting Girl</t>
  </si>
  <si>
    <t>https://theglobaljukebox.org/?share=Suffolk-T5592R21</t>
  </si>
  <si>
    <t>Ballad //CODING ID 557 IN GLOBAL JUKEBOX, OTHER RELAVENT TEXT IN THE DESCRIPTION FIELD//</t>
  </si>
  <si>
    <t>Belila Zlata Darove</t>
  </si>
  <si>
    <t>https://theglobaljukebox.org/?share=Thrace-T5464R07</t>
  </si>
  <si>
    <t>Ballad; sedentary song; riddle ballad //GLOBAL JUKEBOX CODING ID 816, RELEVANT TEXT IN GENRE FIELD//</t>
  </si>
  <si>
    <t>Sedenka ballad; paralleling British riddle songs //GLOBAL JUKEBOX CODING ID 816, RELEVANT TEXT IN DESCRIPTION FIELD//</t>
  </si>
  <si>
    <t>Dragano Draganke</t>
  </si>
  <si>
    <t>https://theglobaljukebox.org/?share=Thrace-T5464R09https://theglobaljukebox.org/?share=Thrace-T5464R09</t>
  </si>
  <si>
    <t>Wedding song //GLOBAL JUKEBOX CODING ID 817, RELEVANT TEXT IN GENRE FIELD//</t>
  </si>
  <si>
    <t>A bridesmaid' song; sung to the bride at the moment when the bridegroom's party arrives to take her to church; subject of song refers to ancient custom of marriage by capture //GLOBAL JUKEBOX CODING ID 817, RELEVANT TEXT IN DESCRIPTION FIELD//</t>
  </si>
  <si>
    <t>Mama Na Stoyan Dumashe</t>
  </si>
  <si>
    <t>https://theglobaljukebox.org/?share=Thrace-T5464R10</t>
  </si>
  <si>
    <t>contemporary working-bee song text set to an old melody //GLOBAL JUKEBOX CODING ID 819, RELEVANT TEXT IS IN DESCRIPTION FIELD//</t>
  </si>
  <si>
    <t>"Stoyan's mother said to him: Stoyan, my son Stoyan, come, go out, my son, take father's oxen from the stall and plough the black earth and sow the white wheat. Mother, my old mother, what you say is right enough, but mother, I'm ashamed to plough with oxen. I want to sign up at our new cooperative farm to become a tractor driver and do deep ploughing." //WORLD LIBRARY OF FOLK AND PRIMITIVE MUSIC VOL XVII: BULGARIA PG. 6, #30. MAMA NA STOYAN DUMASHE//</t>
  </si>
  <si>
    <t>Lyrics can be found here on page 6: http://www.folklorediscography.org/Columbia-KL-5378.htm</t>
  </si>
  <si>
    <t>Strpci (not listed in eHRAF)</t>
  </si>
  <si>
    <t>https://theglobaljukebox.org/?share=Strpci-T5463R51</t>
  </si>
  <si>
    <t>Work song; field song; agricultural song //GLOBAL JUKEBOX CODING ID 2364, RELEVANT TEXT IN GENRE FIELD//</t>
  </si>
  <si>
    <t>Field song //GLOBAL JUKEBOX CODING ID 2364, RELEVANT TEXT IN DESCRIPTION FIELD//</t>
  </si>
  <si>
    <t>Ballad About Turks</t>
  </si>
  <si>
    <t>https://theglobaljukebox.org/?share=Strpci-T5463R49</t>
  </si>
  <si>
    <t>Ballad; historical song //GLOBAL JUKEBOX CODING ID 2366, RELEVANT TEXT IN GENRE FIELD//</t>
  </si>
  <si>
    <t>Ballad; recalling the Turks //GLOBAL JUKEBOX CODING ID 2366, RELEVANT TEXT IN DESCRIPTION FIELD//</t>
  </si>
  <si>
    <t>Albanians/Montenegrins</t>
  </si>
  <si>
    <t>Igranje U Dvoje</t>
  </si>
  <si>
    <t>https://theglobaljukebox.org/?share=Montenegro-T5591R06</t>
  </si>
  <si>
    <t>Dang song; dance in pairs //GLOBAL JUKEBOX CODING ID 349, RELEVANT TEXT IN GENRE FIELD//</t>
  </si>
  <si>
    <t>Dance in pairs //GLOBAL JUKEBOX CODING ID 349, RELEVANT TEXT IN DESCRIPTION FIELD//</t>
  </si>
  <si>
    <t>Peace Dance</t>
  </si>
  <si>
    <t>https://folkways.si.edu/kwakiutl-singers/peace-dance/american-indian/music/track/smithsonian</t>
  </si>
  <si>
    <t>SFW40410_114</t>
  </si>
  <si>
    <t>https://folkways.si.edu/kwakiutl-singers/ladies-dance/american-indian/music/track/smithsonian</t>
  </si>
  <si>
    <t>CATALOG NUMBER SFW40410_113</t>
  </si>
  <si>
    <t>https://folkways.si.edu/peter-webster/medicine-man-song/american-indian/music/track/smithsonian</t>
  </si>
  <si>
    <t>CATALOG NUMBER FW04524_104</t>
  </si>
  <si>
    <t>https://folkways.si.edu/jerome-vanderburg/love-songs/american-indian/music/track/smithsonian</t>
  </si>
  <si>
    <t>Disc 1, Track 29</t>
  </si>
  <si>
    <t>CATALOG NUMBER SFW40539_129</t>
  </si>
  <si>
    <t>udm</t>
  </si>
  <si>
    <t>Lyrical (love) song “You were also young…”.</t>
  </si>
  <si>
    <t>https://sounds.bl.uk/World-and-traditional-music/Vanishing-voices-from-the-Uralic-world/025M-CEAP3470122A-05XXV0</t>
  </si>
  <si>
    <t>Lyrical (love) song //BRITISH LIBRARY, VANISHING VOICES FROM RUSSIA &amp;EASTERN EUROPE, SHELF MARK CEAP347/212/12/2//</t>
  </si>
  <si>
    <t>Performing of incantation devoted to a baby's health.</t>
  </si>
  <si>
    <t>https://sounds.bl.uk/World-and-traditional-music/Vanishing-voices-from-the-Uralic-world/025M-CEAP3470185A-21XXV0</t>
  </si>
  <si>
    <t>Incantation (against sickness) //BRITISH LIBRARY, VANISHING VOICES FROM RUSSIA &amp;EASTERN EUROPE, SHELF MARK CEAP347/70/5/21//</t>
  </si>
  <si>
    <t>Children's Game "Where, where is your barn…".</t>
  </si>
  <si>
    <t>https://sounds.bl.uk/World-and-traditional-music/Vanishing-voices-from-the-Uralic-world/025M-CEAP3470579A-22XXV0</t>
  </si>
  <si>
    <t>Children's Game //BRITISH LIBRARY, VANISHING VOICES FROM RUSSIA &amp;EASTERN EUROPE, SHELF MARK CEAP347/226/1/22//</t>
  </si>
  <si>
    <t>Christmas Game "Dunyasha used to go for water quite often…".</t>
  </si>
  <si>
    <t>https://sounds.bl.uk/World-and-traditional-music/Vanishing-voices-from-the-Uralic-world/025M-CEAP3470599B-13XXV0</t>
  </si>
  <si>
    <t>Christmas Game //BRITISH LIBRARY, VANISHING VOICES FROM RUSSIA &amp;EASTERN EUROPE, SHELF MARK CEAP347/234/6/13//</t>
  </si>
  <si>
    <t>Game (playing) song</t>
  </si>
  <si>
    <t>https://sounds.bl.uk/World-and-traditional-music/Vanishing-voices-from-the-Uralic-world/025M-CEAP3470379A-04XXV0</t>
  </si>
  <si>
    <t>Game (playing) song //BRITISH LIBRARY, VANISHING VOICES FROM RUSSIA &amp;EASTERN EUROPE, SHELF MARK CEAP347/147/1/4//</t>
  </si>
  <si>
    <t>Game "And we were sowing millet…".</t>
  </si>
  <si>
    <t>https://sounds.bl.uk/World-and-traditional-music/Vanishing-voices-from-the-Uralic-world/025M-CEAP3470185A-01XXV0</t>
  </si>
  <si>
    <t>Game "And we were sowing millet…" //BRITISH LIBRARY, VANISHING VOICES FROM RUSSIA &amp;EASTERN EUROPE, SHELF MARK //</t>
  </si>
  <si>
    <t>Game "Girls came to play…".</t>
  </si>
  <si>
    <t>https://sounds.bl.uk/World-and-traditional-music/Vanishing-voices-from-the-Uralic-world/025M-CEAP3470380A-04XXV0</t>
  </si>
  <si>
    <t>Game "Girls came to play…" //BRITISH LIBRARY, VANISHING VOICES FROM RUSSIA &amp;EASTERN EUROPE, SHELF MARK CEAP347/147/3/4//</t>
  </si>
  <si>
    <t>Game "Uncle Trifon has seven children.."; Song singing and playing in a ring "We sowed millet…".</t>
  </si>
  <si>
    <t>https://sounds.bl.uk/World-and-traditional-music/Vanishing-voices-from-the-Uralic-world/025M-CEAP3470382A-13XXV0</t>
  </si>
  <si>
    <t>Game, Song singing and playing in a ring //BRITISH LIBRARY, VANISHING VOICES FROM RUSSIA &amp;EASTERN EUROPE, SHELF MARK CEAP347/147/7/13//</t>
  </si>
  <si>
    <t>Commentary and wedding song "My beauty, beauty…".</t>
  </si>
  <si>
    <t>https://sounds.bl.uk/World-and-traditional-music/Vanishing-voices-from-the-Uralic-world/025M-CEAP3470601B-08XXV0</t>
  </si>
  <si>
    <t>wedding song //BRITISH LIBRARY, VANISHING VOICES FROM RUSSIA &amp;EASTERN EUROPE, SHELF MARK CEAP347/236/2/8//</t>
  </si>
  <si>
    <t>"My beauty, beauty…"//BRITISH LIBRARY, VANISHING VOICES FROM RUSSIA &amp;EASTERN EUROPE, SHELF MARK CEAP347/236/2/8//</t>
  </si>
  <si>
    <t>https://theglobaljukebox.org/?share=Quechua-T5488R1</t>
  </si>
  <si>
    <t>Burial Song//CODING ID 2494 IN GLOBAL JUKEBOX, RELENANT TEXT IN GENRE</t>
  </si>
  <si>
    <t>Piñi</t>
  </si>
  <si>
    <t>Why have you come from the banks of the sea//CODING 2502 IN GlOBAL JUKEBOX, RELEVANT TEXT IN DESCRIPTION FIELD//</t>
  </si>
  <si>
    <t>Kios</t>
  </si>
  <si>
    <t>Kios is small bird with wings but no tail//CODING ID 2503 IN GLOBAL JUKEBOX, RELEVANT TEXT IN THE DESCRIPTION FIELD//</t>
  </si>
  <si>
    <t>Song of Christmas</t>
  </si>
  <si>
    <t>https://theglobaljukebox.org/?share=Aymara-T5488R01</t>
  </si>
  <si>
    <t>Sung to Christ child by women as they go to the lake//CODING ID 2865 IN GLOBAL JUKEBOX, RELEVANT TEXT IS IN THE DESCRIPTION FIELD//</t>
  </si>
  <si>
    <t>Entierro De Wawas</t>
  </si>
  <si>
    <t>Burial song for the burial of babies//CODING ID 2870 IN GLOBAL JUKEBOX, RELEVANT TEXT IS IN THE DESCRIPTION FIELD//</t>
  </si>
  <si>
    <t>Fiesta De La Calabaza</t>
  </si>
  <si>
    <t>http://sounds.bl.uk/World-and-traditional-music</t>
  </si>
  <si>
    <t>Procession Song// TITLE IN BRITISH LIBRARY//</t>
  </si>
  <si>
    <t>The hyperlink in General Notes has information on where to find the track.</t>
  </si>
  <si>
    <t>http://sami.bl.uk/uhtbin/cgisirsi/?ps=XmfDIau9CC/WORKS-FILE/195320035/18/X299/XTITLE/Fiesta+De+La+Calabaza^2FAboriginal is the original hyperlink</t>
  </si>
  <si>
    <t>Field Clearing Song</t>
  </si>
  <si>
    <t>http://sami.bl.uk/uhtbin/cgisirsi/?ps=rIb8AXCfG0/WORKS-FILE/164180033/9</t>
  </si>
  <si>
    <t>C664/647 C1is the shelfmark</t>
  </si>
  <si>
    <t>http://sami.bl.uk/uhtbin/cgisirsi/?ps=rIb8AXCfG0/WORKS-FILE/164180033/9 has the link to the original track with electronic access that can only be played at the library.</t>
  </si>
  <si>
    <t>Fiesta de los enfermos</t>
  </si>
  <si>
    <t>Healing Song// TITLE IN BRITISH LIBRARY//</t>
  </si>
  <si>
    <t>1CL0005039 2 LIBRARY OF CONGRESS is the shelfmark for the source of the recording. http://sami.bl.uk/uhtbin/cgisirsi/?ps=WlHdSplsNv/WORKS-FILE/271950011/18/X299/XTITLE/Fiesta+De+Los+Enfermos^2FAboriginal is the original hyperlink where this information can be found.</t>
  </si>
  <si>
    <t>Corn Roasting Song</t>
  </si>
  <si>
    <t>http://sami.bl.uk/uhtbin/cgisirsi/?ps=1lFGKk153C/WORKS-FILE/74680012/9</t>
  </si>
  <si>
    <t>Work Song// TITLE IN BRITISH LIBRARY//</t>
  </si>
  <si>
    <t>C664/605 C1 is the shelfmark and the hyperlink has the electronic access to the track that can only be played at the library.</t>
  </si>
  <si>
    <t>Flor de chicalote</t>
  </si>
  <si>
    <t>http://sami.bl.uk/uhtbin/cgisirsi/?ps=AtaAi5jCGA/WORKS-FILE/57150033/9</t>
  </si>
  <si>
    <t>Praise Song// TITLE IN BRITISH LIBRARY//</t>
  </si>
  <si>
    <t>The hyperlink has the electronic access that can only be activated at the library.</t>
  </si>
  <si>
    <t>1CD0269004 BD15 is the shelfmark for the recording at the UNIVERSITY OF TEXAS</t>
  </si>
  <si>
    <t>N. W. Arnhem Land - culture not listed in EHRAF</t>
  </si>
  <si>
    <t>Borg Song</t>
  </si>
  <si>
    <t>The song is identified as such in its title or label There is text in associated ethnography that states what type of song this is (this could be in liner notes, it could be in an email from an anthropologist, etc)</t>
  </si>
  <si>
    <t>Spirit song //GLOBAL JUKEBOX CODING ID 9370, GENRE FIELD//</t>
  </si>
  <si>
    <t>characteristically learnt from spirits of the dead //GLOBAL JUKEBOX CODING ID 9370, DESCRIPTION FIELD//</t>
  </si>
  <si>
    <t>Global Jukebox states that the recording of Indigenous Australians will not be published on this site without permission from tribal representatives.</t>
  </si>
  <si>
    <t>YJW</t>
  </si>
  <si>
    <t>Klabéli tsïtïki (Flor de clavel)</t>
  </si>
  <si>
    <t>http://sami.bl.uk/uhtbin/cgisirsi/?ps=r7aQ8u3z8p/WORKS-FILE/57150033/9</t>
  </si>
  <si>
    <t>Story Song// TITLE IN BRITISH LIBRARY//</t>
  </si>
  <si>
    <t>The hyperlink has the electronic access to the track that can be activated at the library.</t>
  </si>
  <si>
    <t>Maraian Singing</t>
  </si>
  <si>
    <t>Hawk Song</t>
  </si>
  <si>
    <t>Animal song //CODING ID 1221 IN GLOBAL JUKEBOX, RELEVANT TEXT IS IN THE DESCRIPTION FIELD//</t>
  </si>
  <si>
    <t>Global Jukebox says the recordings of Indigenous Australians will not be published on this site without permission from tribal representatives.</t>
  </si>
  <si>
    <t>Torito para castillo (Castle-burning torito)</t>
  </si>
  <si>
    <t>http://sami.bl.uk/uhtbin/cgisirsi/?ps=tMlCSmESs5/WORKS-FILE/57150033/9</t>
  </si>
  <si>
    <t>Electronic access to the track is available at the library.</t>
  </si>
  <si>
    <t>1CD0269004 BD16 is the shelfmark for the recording at the UNIVERSITY OF TEXAS.</t>
  </si>
  <si>
    <t>Cantares de mi tierra</t>
  </si>
  <si>
    <t>http://sami.bl.uk/uhtbin/cgisirsi/?ps=z5Y8UEheIm/WORKS-FILE/57150033/9</t>
  </si>
  <si>
    <t>Arreola and Carballo</t>
  </si>
  <si>
    <t>http://sami.bl.uk/uhtbin/cgisirsi/?ps=5zqKrlV91Y/WORKS-FILE/285270014/9</t>
  </si>
  <si>
    <t>https://folkways.si.edu/jerome-vanderburg/lullaby/american-indian/music/track/smithsonian</t>
  </si>
  <si>
    <t>CATALOG NUMBER FW04445_203</t>
  </si>
  <si>
    <t>https://folkways.si.edu/paul-finley/love-song/american-indian/music/track/smithsonian</t>
  </si>
  <si>
    <t>CATALOG NUMBER FW04445_104</t>
  </si>
  <si>
    <t>Northern Mexico - no specific culture listed</t>
  </si>
  <si>
    <t>Los Dos Hermanos (The Two Brothers)</t>
  </si>
  <si>
    <t>https://folkways.si.edu/los-pinguinos-del-norte/los-dos-hermanos/latin-world/music/track/smithsonian</t>
  </si>
  <si>
    <t>"Corridos (ballad or story songs) are a relatively small part of the repertoire of the roving conjuntos (groups) which sing and play for their audiences of field workers in cantinas (taverns or bars), dance halls, on the streets, or at picnics."//IN CONJUNTOS NORTENOS CATALOG NUMBER ARH00311_107 IN FOLKWAYS, RELEVANT INFORMATION ON PG 2 OF LINER NOTES//</t>
  </si>
  <si>
    <t>"I'm going to sing to you about two very fine brothers who had to fight eachother" //TRACK 7 IN CONJUNTOS NORTENOS CATALOG NUMBER ARH00311_107 IN FOLKWAYS, RELEVANT INFORMATION ON PG 6 OF LINER NOTES//</t>
  </si>
  <si>
    <t>https://folkways-media.si.edu/liner_notes/arhoolie/ARH00311.pdf</t>
  </si>
  <si>
    <t>The audio is not free. The story is a little negative (lyrics about two dead brothers).</t>
  </si>
  <si>
    <t>MMX</t>
  </si>
  <si>
    <t>Ulithi</t>
  </si>
  <si>
    <t>ulit1238</t>
  </si>
  <si>
    <t>uli</t>
  </si>
  <si>
    <t>Old Mourning Song</t>
  </si>
  <si>
    <t>https://theglobaljukebox.org/?share=Ulithi-T5427R42m</t>
  </si>
  <si>
    <t>Mourning ; Wake //CODING ID 84 IN GLOBAL JUKEBOX, RELEVANT TEXT IS IN THE GENRE FIELD//</t>
  </si>
  <si>
    <t>Wails alternate with declaimed solo passages intoned by men and women singing together during night-long wakes //CODING ID 84 IN GLOBAL JUKEBOX, RELEVANT TEXT IS IN THE DESCRIPTION FIELD//</t>
  </si>
  <si>
    <t>AGP</t>
  </si>
  <si>
    <t>https://theglobaljukebox.org/?share=Tucano-T5402R73</t>
  </si>
  <si>
    <t>"Cocoa Pounding Song"//Title field on Global Jukebox, Coding ID: 3858</t>
  </si>
  <si>
    <t>"Work song"//Genre field on Global Jukebox, Coding ID: 3858</t>
  </si>
  <si>
    <t>Afro-Hispanic Colombian</t>
  </si>
  <si>
    <t>choc1280</t>
  </si>
  <si>
    <t>Alavado "Adios Primo Hermano"</t>
  </si>
  <si>
    <t>https://folkways.si.edu/afro-hispanic-music-from-western-colombia-and-ecuador/african-american-music-latin-world/music/album/smithsonian</t>
  </si>
  <si>
    <t>Side 1 Band 6</t>
  </si>
  <si>
    <t>Un alavado which is a dirge or hymn sung as the last wake for a deceased adult//Liner Notes for the album "Afro-Hispanic Music from Western Colombia and Ecuador"</t>
  </si>
  <si>
    <t>Afro- Hispanic Colombian</t>
  </si>
  <si>
    <t>Alavado "Santa Maria"/"Santo Dios, Santo Fuerte" (medley)</t>
  </si>
  <si>
    <t>Side 1 Band 7</t>
  </si>
  <si>
    <t>Un alavado, a dirge or hymn sung at the first wake of an deceased adult//Liner notes of an album "Afro-Hispanic Music from Western Colombia and Ecuador"</t>
  </si>
  <si>
    <t>Arrullo "Aurora de La Manana"</t>
  </si>
  <si>
    <t>Side 2 Band 3</t>
  </si>
  <si>
    <t>Arrullo (spirtual) often sung at the chigualo (first wake for a deceased child)//Liner Notes for the album "Afro-Hispanic Music from Western Colombia and Ecuador"</t>
  </si>
  <si>
    <t>Celebration Party</t>
  </si>
  <si>
    <t>http://id.lib.harvard.edu/alma/990060640330203941/catalog</t>
  </si>
  <si>
    <t>Celebration Party // Archive of World Music CD 9827, Relevant Info in CD's introductory material</t>
  </si>
  <si>
    <t>The only activity that involves hand and body movements in traditional performances of the Bunun is the malastapan (celebration party). Whether or not this movement can be classified as "dancing" has yet to be determined // CD 9827, Relevant Info in CD's Introductory Material</t>
  </si>
  <si>
    <t>It is not clear whether it is actually a dance song or not.</t>
  </si>
  <si>
    <t>WCS</t>
  </si>
  <si>
    <t>A Song for Healing and Expelling Evil</t>
  </si>
  <si>
    <t>A Song for Healing and Expelling Evil // Archive of World Music CD 9827, Relevant Info in Liner Notes</t>
  </si>
  <si>
    <t>Not specified</t>
  </si>
  <si>
    <t>Dawn at the Temple</t>
  </si>
  <si>
    <t>http://ezp-prod1.hul.harvard.edu/login?url=https://search.alexanderstreet.com/embed/token/05jgioj5e9q7oc9o70rj4c1j</t>
  </si>
  <si>
    <t>Alexander Street: Smithsonian Global Sound</t>
  </si>
  <si>
    <t>Meditation</t>
  </si>
  <si>
    <t>Dawn at the Temple //CODING ID 1887203 IN ALEXANDER STREET, RELEVANT TEXT IN TITLE//</t>
  </si>
  <si>
    <t>Many people listen to this music for relaxation, meditation, soft movement, healing sessions and it is also music that can be listened to while falling asleep. //CODING ID 1887203 IN ALEXANDER STREET, RELEVANT TEXT IN TITLE//</t>
  </si>
  <si>
    <t>Gauri (not found in eHRAF)</t>
  </si>
  <si>
    <t>http://ezp-prod1.hul.harvard.edu/login?url=https://search.alexanderstreet.com/embed/token/04si8oj5e9q7ochj64rjce8</t>
  </si>
  <si>
    <t>Gauri Dance //CODING ID FW04447 IN ALEXANDER STREET, RELEVANT TEXT IN TITLE//</t>
  </si>
  <si>
    <t>Yami (also known as Tao)</t>
  </si>
  <si>
    <t>Song of the big bird which carried away a man</t>
  </si>
  <si>
    <t>http://id.lib.harvard.edu/alma/990049099310203941/catalog</t>
  </si>
  <si>
    <t>Story song //AWM CD 9287, RELEVANT INFORMATION IN LINER NOTES, PAGE 59//</t>
  </si>
  <si>
    <t>This song speaks of a big bird which the Yami call kangkang, 'something like an eagle'. There was a man who went out to work one day, and he had a white shirt on...When the man came back to his village he told the people about his strange adventure.</t>
  </si>
  <si>
    <t>Sedeq-Atayal</t>
  </si>
  <si>
    <t>atay1247</t>
  </si>
  <si>
    <t>tay</t>
  </si>
  <si>
    <t>Amorous dialogue</t>
  </si>
  <si>
    <t>Love song //AWM CD 9287, RELEVANT TEXT IN LINER NOTES, PAGE 60//</t>
  </si>
  <si>
    <t>A crippled man speaks - maybe he has only one eye, maybe only one leg. He climbs up a mountain because he loves the girl living there. In his song he lets all his feeling pour out of his heart. The girl answers: He may not be handsome but he is a good-hearted man.</t>
  </si>
  <si>
    <t>Dance song // AWM CD 9287, RELEVANT INFO IN LINER NOTES, PAGE 61//</t>
  </si>
  <si>
    <t>Amis</t>
  </si>
  <si>
    <t>Paka'ng Dokoro - Buffalo herding song</t>
  </si>
  <si>
    <t>Work song //AWM CD 9287 RELEVANT INFO IN LINER NOTES, PAGE 68//</t>
  </si>
  <si>
    <t>The buffaloes are taken to their grazing place in the plain. The song is sung to while away the time as the buffaloes are grazing.</t>
  </si>
  <si>
    <t>Weeding song</t>
  </si>
  <si>
    <t>When asked what they sang, the singers answered, miasaqor. The verb saqor means 'to follow a group activity'. It refers to certain group activities which everyone must follow even without explicit order.// AWM CD 9287, RELEVANT INFO FOUND IN LINER NOTES PAGE 70//</t>
  </si>
  <si>
    <t>Dialogue between a boy and a girl</t>
  </si>
  <si>
    <t>A young man and a young girl try to find out each other's feelings.// AWM CD 9287, RElEvANT INFO IN LINER NOTES, PAGE 71</t>
  </si>
  <si>
    <t>Zapotec</t>
  </si>
  <si>
    <t>yala1267</t>
  </si>
  <si>
    <t>zpu</t>
  </si>
  <si>
    <t>Son de la danza de los Mixes</t>
  </si>
  <si>
    <t>http://sami.bl.uk/uhtbin/cgisirsi/?ps=UDSpQ2MaMY/WORKS-FILE/93690043/9</t>
  </si>
  <si>
    <t>Dance Song// TITLE IN BRITISH LIBRARY//</t>
  </si>
  <si>
    <t>The hyperlink appears to say that the electronic access to the track is only available at the library.</t>
  </si>
  <si>
    <t>A song from Yamanaka village</t>
  </si>
  <si>
    <t>Ecchû-owara-bushi; Yamanaka-bushi</t>
  </si>
  <si>
    <t>http://id.lib.harvard.edu/alma/990149112040203941/catalog</t>
  </si>
  <si>
    <t>Ecchu-owara-bushi is sung at the Owara kaze no bon, a summer bon dance festival accompanied by shamisen, kokyu (fiddle), and taiko.// AWM CD 19431, RELEVANT INFO IN LINER NOTES ON PAGE 17//</t>
  </si>
  <si>
    <t>Slavonia (not listed in eHRAF)</t>
  </si>
  <si>
    <t>croa1245</t>
  </si>
  <si>
    <t>hrv</t>
  </si>
  <si>
    <t>Sito</t>
  </si>
  <si>
    <t>https://theglobaljukebox.org/?share=Slavonia-T5591R04</t>
  </si>
  <si>
    <t>Harvest song //GLOBAL JUKEBOX CODING ID 9238, RELEVANT TEXT IN GENRE FIELD//</t>
  </si>
  <si>
    <t>The Sieve; harvest song //GLOBAL JUKEBOX CODING ID 9238, RELEVANT TEXT IN DESCRIPTION FIELD//</t>
  </si>
  <si>
    <t>Croatian Istria (not listed in eHRAF)</t>
  </si>
  <si>
    <t>Necu Vise Sprolazit Skroz Selo</t>
  </si>
  <si>
    <t>https://theglobaljukebox.org/?share=Croatian%20Istria-T9536R20</t>
  </si>
  <si>
    <t>Epic song //GLOBAL JUKEBOX CODING ID 9494, RELEVANT TEXT IN GENRE FIELD//</t>
  </si>
  <si>
    <t>Epic folk song //GLOBAL JUKEBOX CODING ID 9494, RELEVANT TEXT IN DESCRIPTION FIELD//</t>
  </si>
  <si>
    <t>N. Croatia (not listed in eHRAF); may be "Croats" in eHRAF if not specifying "N." Croatia</t>
  </si>
  <si>
    <t>Rozgalice</t>
  </si>
  <si>
    <t>https://theglobaljukebox.org/?share=N.%20Croatia-T5591R02</t>
  </si>
  <si>
    <t>Harvest song; dance song; work song; courtship song //GLOBAL JUKEBOX CODING ID 353, RELEVANT TEXT IN GENRE FIELD//</t>
  </si>
  <si>
    <t>Song probably sung when the neighbors gather to help in the harvest; the work is accompanied by singing, dancing, and love-making //GLOBAL JUKEBOX CODING ID 353, RELEVANT TEXT IN DESCRIPTION FIELD//</t>
  </si>
  <si>
    <t>N. Croatia (not listed in eHRAF); if specifying "N." is not important, may be listed as "Croats" in eHRAF</t>
  </si>
  <si>
    <t>Lepo Peva</t>
  </si>
  <si>
    <t>https://theglobaljukebox.org/?share=N.%20Croatia-T5591R01</t>
  </si>
  <si>
    <t>Wedding song //GLOBAL JUKEBOX CODING ID 354, RELEVANT TEXT IN GENRE FIELD//</t>
  </si>
  <si>
    <t>Wedding song //GLOBAL JUKEBOX CODING ID 354, RELEVANT TEXT IN DESCRIPTION FIELD//</t>
  </si>
  <si>
    <t>Croats</t>
  </si>
  <si>
    <t>O mili mi je u selu divjka</t>
  </si>
  <si>
    <t>https://search-alexanderstreet-com.ezp-prod1.hul.harvard.edu/view/work/bibliographic_entity%7Crecorded_cd%7C409883</t>
  </si>
  <si>
    <t>"A village girl is dear to me" //GARLAND ENCYCLOPEDIA OF WORLD MUSIC, VOL. 8: EUROPE AUDIO CD, RELEVANT TEXT IN LINER NOTES #34 UNDER RELATED DOCUMENTS SECTION//</t>
  </si>
  <si>
    <t>Bosnia (not found in eHRAF)</t>
  </si>
  <si>
    <t>"Rest Son, Sleep Son"</t>
  </si>
  <si>
    <t>Resembles urban love song, then moves to lament for singer's love life</t>
  </si>
  <si>
    <t>Lullaby, "Rest Son, Sleep Son" //GARLAND ENCYCLOPEDIA OF WORLD MUSIC, VOL. 8: EUROPE AUDIO CD #37, RELEVANT TEXT IN TITLE AND LINER NOTES//</t>
  </si>
  <si>
    <t>This tune resembles an urban love song, and the singer moves from a description of the cradle to a lament for her love life //GARLAND ENCYCLOPEDIA OF WORLD MUSIC, VOL. 8: EUROPE AUDIO CD #37, RELEVANT TEXT IN LINER NOTES FOR #37, UNDER RELATED DOCUMENTS TAB/</t>
  </si>
  <si>
    <t>Waorani</t>
  </si>
  <si>
    <t>waor1240</t>
  </si>
  <si>
    <t>auc</t>
  </si>
  <si>
    <t>https://folkways.si.edu/lowland-tribes-of-ecuador/american-indian-world/music/album/smithsonian</t>
  </si>
  <si>
    <t>Side 1, Band 1</t>
  </si>
  <si>
    <t>"Narrative Song"//Track Listing on the album "Lowland Tribes of Ecuador"</t>
  </si>
  <si>
    <t>Tells the tale of guiding a couple through the forest and on a canoe//Liner Notes on the album "Lowland Tribes of Ecuador"</t>
  </si>
  <si>
    <t>https://folkways.si.edu/lola-kiepja/hehe/american-indian/music/track/smithsonian</t>
  </si>
  <si>
    <t>Perthshire</t>
  </si>
  <si>
    <t>Tail Toddle</t>
  </si>
  <si>
    <t>https://theglobaljukebox.org/?share=Perthshire-T5590R04</t>
  </si>
  <si>
    <t>Dance, Diddling Song //GLOBAL JUKEBOX, CODING ID 2305, RELEVANT TEXT IS IN THE DESCRIPTION FIELD//</t>
  </si>
  <si>
    <t>10/15/2018 10:13:45</t>
  </si>
  <si>
    <t>Aberdeen</t>
  </si>
  <si>
    <t>dori1248</t>
  </si>
  <si>
    <t>nort3299</t>
  </si>
  <si>
    <t>The Bonny Wee Lassie Who Never Said No</t>
  </si>
  <si>
    <t>https://theglobaljukebox.org/?share=Aberdeen-T5592R17</t>
  </si>
  <si>
    <t>The Folksongs of Britain, Volume II: Songs of Seduction. Caedmon Records. TC-1143, 1961</t>
  </si>
  <si>
    <t>Ballad; Bawdy Song</t>
  </si>
  <si>
    <t>Ballad; Lowland Bawdy Song //GLOBAL JUKEBOX, CODING ID 2304, OTHER RELAVENT INFO IN DESCRITION FIELD//</t>
  </si>
  <si>
    <t>10/15/2018 10:20:17</t>
  </si>
  <si>
    <t>Barra, Barraigh</t>
  </si>
  <si>
    <t>The Reel of Tulloch; Mrs. Maclead of Raasay</t>
  </si>
  <si>
    <t>https://theglobaljukebox.org/?share=Barra-T5590R14</t>
  </si>
  <si>
    <t>Reel and hornpipe //GLOBAL JUKEBOX, CODING ID 9400, RELEVANT TEXT IS IN THE DESCRIPTION FIELD//</t>
  </si>
  <si>
    <t>10/15/2018 10:49:10</t>
  </si>
  <si>
    <t>Pesma uz Ljuljanje</t>
  </si>
  <si>
    <t>https://archives.crem-cnrs.fr/archives/items/CNRSMH_I_1963_006_001_02/</t>
  </si>
  <si>
    <t>Swing song //CREM CODE CNRSMH_I_1963_006_001_02, ITEM NUMBER 2M, RELEVANT TEXT IN TITLE FIELD//</t>
  </si>
  <si>
    <t>10/15/2018 13:24:34</t>
  </si>
  <si>
    <t>Mladio momce, zelen bosioce (zetelacka pesma)</t>
  </si>
  <si>
    <t>https://archives.crem-cnrs.fr/archives/items/CNRSMH_I_1963_006_001_15/</t>
  </si>
  <si>
    <t>Harvest song //CREM CODE CNRSMH_I_1963_006_001_15, ITEM NUMBER 9, RELEVANT TEXT IN TITLE FIELD//</t>
  </si>
  <si>
    <t>Agriculture //CREM CODE CNRSMH_I_1963_006_001_15, ITEM NUMBER 9, RELEVANT TEXT IN KEYWORDS FIELD//</t>
  </si>
  <si>
    <t>10/15/2018 13:53:04</t>
  </si>
  <si>
    <t>Kraljicke Pesme</t>
  </si>
  <si>
    <t>https://archives.crem-cnrs.fr/archives/items/CNRSMH_I_1963_006_001_11/</t>
  </si>
  <si>
    <t>Ritual, worship, dance</t>
  </si>
  <si>
    <t>Traditional festival; worship, dance, party //CREM CODE CNRSMH_I_1963_006_001_11 ITEM NUMBER 5, RELEVANT TEXT IN TITLE AND KEYWORDS FIELDS//</t>
  </si>
  <si>
    <t>The rpocession of queens is carried out by young girls from the village...at Pentecost, they go from house to house and perform the procession for the families they meet. The next day, the procession goes to a nearby town or village...the entire community...helps in the preparations for the processions //CREM CODE CNRSMH_I_1963_006_001_11 ITEM NUMBER 5, RELEVANT TEXT IN ETHNOGRAPHIC CONTEXT FIELD//</t>
  </si>
  <si>
    <t>10/15/2018 14:01:15</t>
  </si>
  <si>
    <t>Zetelacka Pesma</t>
  </si>
  <si>
    <t>https://archives.crem-cnrs.fr/archives/items/CNRSMH_I_1963_006_001_32/</t>
  </si>
  <si>
    <t>Song of harvest //CREM CNRSMH_I_1963_006_00_32 ITEM NUMBER 19, RELEVANT TEXT IN TITLE FIELD//</t>
  </si>
  <si>
    <t>Agriculture //CREM CNRSMH_I_1963_006_00_32 ITEM NUMBER 19, RELEVANT TEXT IN KEYWORDS FIELD//</t>
  </si>
  <si>
    <t>10/15/2018 14:10:42</t>
  </si>
  <si>
    <t>Tuzbalica za ocem</t>
  </si>
  <si>
    <t>https://archives.crem-cnrs.fr/archives/items/CNRSMH_I_1963_006_001_35/</t>
  </si>
  <si>
    <t>Funeral lament for his father //CREM CNRSMH_I_1963_006_001_35 ITEM NUMBER 22, RELEVANT TEXT IN TITLE FIELD//</t>
  </si>
  <si>
    <t>Funeral //CREM CNRSMH_I_1963_006_001_35 ITEM NUMBER 22, RELEVANT TEXT IN KEYWORDS FIELD//</t>
  </si>
  <si>
    <t>10/15/2018 14:13:46</t>
  </si>
  <si>
    <t>Dodolska Pesma</t>
  </si>
  <si>
    <t>https://archives.crem-cnrs.fr/archives/items/CNRSMH_I_1963_006_001_10/</t>
  </si>
  <si>
    <t>Worship, dance, party</t>
  </si>
  <si>
    <t>Song of Dodole (traditional festival) //CREM CNRSMH_I_1963_006_001_10 ITEM NUMBER 4, RELEVANT TEXT IN TITLE FIELD//</t>
  </si>
  <si>
    <t>The songs "Dodoles" are typical ritiual songs accompanied by ritual dances, used during droughts...girls...visit the houses of hte village and perform the ritual "dodole." In response to the ritual, the master of the house comes out of the house and throws water on the dancers. This is an ancient practice used to summon the spirits of the rain //CREM CNRSMH_I_1963_006_001_10 ITEM NUMBER 4, RELEVANT TEXT IN ETHNOGRAPHIC CONTEXT FIELD//</t>
  </si>
  <si>
    <t>10/15/2018 14:23:32</t>
  </si>
  <si>
    <t>Lacondon</t>
  </si>
  <si>
    <t>laca1243</t>
  </si>
  <si>
    <t>lac</t>
  </si>
  <si>
    <t>Canto De Niño</t>
  </si>
  <si>
    <t>https://theglobaljukebox.org/?share=Lacandon-T5404R78</t>
  </si>
  <si>
    <t>Song in Maya; lament; deals with the singer's feelings over the declination of his people; tremendous sobbing, inhaling of breath //CODING ID 3131 IN GLOBAL JUKEBOX, RELEVANT TEXT IS IN THE DESCRIPTION FIELD//</t>
  </si>
  <si>
    <t>10/16/2018 13:28:06</t>
  </si>
  <si>
    <t>Yucatan (Not in eHRAF)</t>
  </si>
  <si>
    <t>Yucatan Maya Dance 1</t>
  </si>
  <si>
    <t>https://theglobaljukebox.org/?share=Yucatan%20Maya-T5486R01</t>
  </si>
  <si>
    <t>Yucatan Maya Dance 1 //CODING ID Murdock Number: 21033; 29118 IN GLOBAL JUKEBOX, RELEVANT TEXT IS IN THE TITLE//</t>
  </si>
  <si>
    <t>10/16/2018 13:29:22</t>
  </si>
  <si>
    <t>Rumania (not listed in eHRAF)</t>
  </si>
  <si>
    <t>Lament for Dead Mother - Bocet</t>
  </si>
  <si>
    <t>https://search.alexanderstreet.com/view/work/bibliographic_entity%7Crecorded_track%7C238683</t>
  </si>
  <si>
    <t>Lament for Dead Mother //ALEXANDER STREET CATALOG NUMBER FW04419 FOLK MUSIC OF RUMANIA TRACK 5, RELEVANT TEXT IN TITLE FIELD//</t>
  </si>
  <si>
    <t>This piece is a bocet, a lament for a dead mother //ALEXANDER STREET CATALOG NUMBER FW04419 FOLK MUSIC OF RUMANIA TRACK 5, RELEVANT TEXT IN LINER NOTES (PG. 3) FOUND UNDER RELATED DOCUMENTS//</t>
  </si>
  <si>
    <t>The refrain translates: "Let the bell toll loudly." //ALEXANDER STREET CATALOG NUMBER FW04419 FOLK MUSIC OF RUMANIA TRACK 5, RELEVANT TEXT IN LINER NOTES (PG. 3) FOUND UNDER RELATED DOCUMENTS//</t>
  </si>
  <si>
    <t>10/16/2018 13:44:49</t>
  </si>
  <si>
    <t>Lament for Dead Husband - Bocet</t>
  </si>
  <si>
    <t>https://search.alexanderstreet.com/view/work/bibliographic_entity%7Crecorded_track%7C238684</t>
  </si>
  <si>
    <t>Lament for dead husband //ALEXANDER STREET CATALOG NUMBER FW04419 TRACK 6, RELEVANT TEXT IN TITLE FIELD//</t>
  </si>
  <si>
    <t>This is a lament for a dead husband //ALEXANDER STREET CATALOG NUMBER FW04419 TRACK 6, RELEVANT TEXT IN LINER NOTES (PG. 4) FOUND UNDER RELATED DOCUMENTS//</t>
  </si>
  <si>
    <t>"How could you do this to me? How can I live in this world when you're not with me, my husband, my brave one?" //ALEXANDER STREET CATALOG NUMBER FW04419 TRACK 6, RELEVANT TEXT IN LINER NOTES (PG. 4) FOUND UNDER RELATED DOCUMENTS//</t>
  </si>
  <si>
    <t>10/16/2018 13:55:08</t>
  </si>
  <si>
    <t>Rumanian (not listed in eHRAF)</t>
  </si>
  <si>
    <t>Lament for Dead Brother - Bocet</t>
  </si>
  <si>
    <t>https://search.alexanderstreet.com/view/work/bibliographic_entity%7Crecorded_track%7C238689</t>
  </si>
  <si>
    <t>Lament for dead brother //ALEXANDER STREET CATALOG NUMBER FW04419 TRACK 11, RELEVANT TEXT IN TITLE FIELD//</t>
  </si>
  <si>
    <t>The singer prays tat the brother may return in a dream //ALEXANDER STREET CATALOG NUMBER FW04419 TRACK 11, RELEVANT TEXT IN LINER NOTES (PG. 4, BAND 7) UNDER RELATED DOCUMENTS//</t>
  </si>
  <si>
    <t>10/16/2018 14:13:42</t>
  </si>
  <si>
    <t>Hora: Girl's Song</t>
  </si>
  <si>
    <t>https://search.alexanderstreet.com/view/work/bibliographic_entity%7Crecorded_track%7C238690</t>
  </si>
  <si>
    <t>This is the song of a girl asking to be given away in marriage to her beloved //ALEXANDER STREET CATALOG NUMBER FW04419 TRACK 12, RELEVANT TEXT IN LINER NOTES (PG. 4, BAND 8) UNDER RELATED DOCUMENTS//</t>
  </si>
  <si>
    <t>10/16/2018 14:17:01</t>
  </si>
  <si>
    <t>Lament for the Dead - Bocet</t>
  </si>
  <si>
    <t>https://search.alexanderstreet.com/view/work/bibliographic_entity%7Crecorded_track%7C238691</t>
  </si>
  <si>
    <t>Lament for the dead //ALEXANDER STREET CATALOG NUMBER FW04419 TRACK 13, RELEVANT TEXT IN TITLE FIELD//</t>
  </si>
  <si>
    <t>Lament for the dead [is] a bocet sung by a professional wailer //ALEXANDER STREET CATALOG NUMBER FW04419 TRACK 13, RELEVANT TEXT IN LINER NOTES (PG. 4, BAND 9) UNDER RELATED DOCUMENTS//</t>
  </si>
  <si>
    <t>10/16/2018 14:25:15</t>
  </si>
  <si>
    <t>Kunwinjku - culture not listed in EHRAF</t>
  </si>
  <si>
    <t>guma1252</t>
  </si>
  <si>
    <t>Spiritual Song</t>
  </si>
  <si>
    <t>https://theglobaljukebox.org/</t>
  </si>
  <si>
    <t>Ritual song; dance song; chant //CODING ID 1225 GENRE FROM GLOBAL JUKEBOX//</t>
  </si>
  <si>
    <t>Kunwinjku land lies in the area famous for traditional Aboriginal rock art. Artists belong to clans and visually represent the ancestral creation stories or ‘Dreamings’ of their clan. Each clan has an estate where they hunt and gather edible plants and other necessities. Ancestral beings are believed to have created the features of the land. Spirits that animate an individual’s life reside there and at their death the spirit goes back to a Dreaming place.//CODING ID 1225 IN GLOBAL JUKEBOX//</t>
  </si>
  <si>
    <t>10/17/2018 16:09:53</t>
  </si>
  <si>
    <t>Iwaidja - culture not listed in EHRAF</t>
  </si>
  <si>
    <t>Sea Song</t>
  </si>
  <si>
    <t>Story Song //LABELED IN GLOBAL JUKEBOX CODING ID 1207//</t>
  </si>
  <si>
    <t>Sea song in the Jiwadja language; describes a salt-water fish swimming along// ID 1207 IN GLOBAL JUKEBOX CODING//</t>
  </si>
  <si>
    <t>Global Juke Box categories as "Animal song" in the genre section</t>
  </si>
  <si>
    <t>10/17/2018 16:26:37</t>
  </si>
  <si>
    <t>El Velorio</t>
  </si>
  <si>
    <t>http://davesoldier.com/mp3s/GuatemalaWorking/13%20Ha%20tzonhulek_%20Yol%20yib_anh%20k_inal%20tik%20%28fiddle%20tune%29.mp3</t>
  </si>
  <si>
    <t>a fiddle tune played at wakes, played by Don Matteo Tomax //http://davesoldier.com/mp3s/GuatemalaWorking/13%20Ha%20tzonhulek_%20Yol%20yib_anh%20k_inal%20tik%20%28fiddle%20tune%29.mp3, relevant text is in the description field//</t>
  </si>
  <si>
    <t>10/17/2018 17:07:20</t>
  </si>
  <si>
    <t>tzel1254</t>
  </si>
  <si>
    <t>tzh</t>
  </si>
  <si>
    <t>Ladies Dance, Tenejapa</t>
  </si>
  <si>
    <t>https://search-alexanderstreet-com.ezp-prod1.hul.harvard.edu/view/work/bibliographic_entity%7Crecorded_cd%7C71784</t>
  </si>
  <si>
    <t>Ladies Dance //CODING ID FW04377 FOLKWAY RECORDS IN ALEXANDER STREET, RELEVANT TEXT IS IN THE TITLE//</t>
  </si>
  <si>
    <t>10/17/2018 17:22:09</t>
  </si>
  <si>
    <t>Ixil (not found in eHRAF)</t>
  </si>
  <si>
    <t>https://search-alexanderstreet-com.ezp-prod1.hul.harvard.edu/view/work/bibliographic_entity%7Crecorded_cd%7C71687</t>
  </si>
  <si>
    <t>Pito, Chirimia and Big Drum in Procession //CODING ID FW04213 IN ALEXANDER STREET, RELEVANT TEXT IS IN THE TITLE//</t>
  </si>
  <si>
    <t>10/17/2018 17:30:49</t>
  </si>
  <si>
    <t>Ixil</t>
  </si>
  <si>
    <t>Two Old Men Singing in Procession</t>
  </si>
  <si>
    <t>Two Old Men Singing in Procession //CODING ID FW04213 IN ALEXANDER STREET, RELEVANT TEXT IS IN THE TITLE//</t>
  </si>
  <si>
    <t>10/17/2018 17:33:51</t>
  </si>
  <si>
    <t>Marimba of the Baile Vaquero - Baile del Torito</t>
  </si>
  <si>
    <t>Marimba of the Baile Vaquero - Baile del Torito //CODING ID FW04213 IN ALEXANDER STREET, RELEVANT TEXT IS IN THE DESCRIPTION FIELD//</t>
  </si>
  <si>
    <t>10/17/2018 17:39:04</t>
  </si>
  <si>
    <t>Korean</t>
  </si>
  <si>
    <t>Arirang</t>
  </si>
  <si>
    <t>http://id.lib.harvard.edu/alma/990150130820203941/catalog</t>
  </si>
  <si>
    <t>Arirang' is a representative song that depicts Korean life as it used to be...In this recording, the song is about entertainment, love with one's beloved and the mind of a woman taunted by a man as well as a refrain of 'Ararang Ararang Arariyo Arirang, Run let's Play (a ship leaves every season). //AWM CD 19539, RELEVANT INFO IN LINER NOTES, PAGE 196-197</t>
  </si>
  <si>
    <t>DISC 2 (restored version)</t>
  </si>
  <si>
    <t>There are a total of 5 'Arirang' songs on this album, and the liner notes do not specify much about the individual songs. I went with the first Arirang, Track 1.</t>
  </si>
  <si>
    <t>10/18/2018 12:55:43</t>
  </si>
  <si>
    <t>Aewonseong</t>
  </si>
  <si>
    <t>http://gofile.me/3T2hs/39QrR6Yn9</t>
  </si>
  <si>
    <t>Disc 2, Track 04</t>
  </si>
  <si>
    <t>It is the most widely sung folk song in Hamgyeong-do. It was usually sung when women played exciting games or weeded fields and it was easily heard even in mountain villages of the region. // AWM CD 19539 RELEVANT INFO IN LINER NOTES ON PAGE 198//</t>
  </si>
  <si>
    <t>10/18/2018 16:00:43</t>
  </si>
  <si>
    <t>Gisaengjeomgo</t>
  </si>
  <si>
    <t>DISC 2, Track 23</t>
  </si>
  <si>
    <t>Harvard Archive World of Music</t>
  </si>
  <si>
    <t>Governmental</t>
  </si>
  <si>
    <t>Gisaengjeomgo' is a passage of the Pansori &lt;Chunhyangga&gt; describing a scene where newly appointed magistrate Byun Hak-Do of Namwon calls gisaengs employed by the town one by one. // AWM CD 19539 RELEVANT INFO IN LINER NOTES PAGE 200</t>
  </si>
  <si>
    <t>The link is to a file in Nas. If the link doesn't work, then you can manually find it: /NHS2/submissions/East Asia/AWM CD 19539 DISC 2 - Songs of Longing (Korean) - Liner Notes and Music</t>
  </si>
  <si>
    <t>10/18/2018 16:08:34</t>
  </si>
  <si>
    <t>Social Dance</t>
  </si>
  <si>
    <t>https://theglobaljukebox.org/?share=Ash%C3%A1ninka-T5402R48</t>
  </si>
  <si>
    <t>Social Dance//GLOBAL JUKEBOX CODING ID 896, RELEVANT TEXT IN GENRE//</t>
  </si>
  <si>
    <t>10/20/2018 19:54:08</t>
  </si>
  <si>
    <t>https://theglobaljukebox.org/?share=Ash%C3%A1ninka-T5402R47</t>
  </si>
  <si>
    <t>Social Dance//CODING 895 IN GLOBAL JUKEBOX&lt; RELEVANT TEXT IN GENRE FIELD//</t>
  </si>
  <si>
    <t>10/20/2018 19:59:39</t>
  </si>
  <si>
    <t>https://theglobaljukebox.org/?share=Ash%C3%A1ninka-T5402R46</t>
  </si>
  <si>
    <t>Manioc song; work song//CODING ID 894 in GLOBAL JUKEBOX, RELEVANT TEXT IN GENRE FIELD//</t>
  </si>
  <si>
    <t>10/20/2018 20:06:06</t>
  </si>
  <si>
    <t>Chipaya</t>
  </si>
  <si>
    <t>chip1262</t>
  </si>
  <si>
    <t>cap</t>
  </si>
  <si>
    <t>K'illpa</t>
  </si>
  <si>
    <t>https://theglobaljukebox.org/?share=Chipaya-T5543R49</t>
  </si>
  <si>
    <t>Pastoral song; shearing song; festival//CODING ID 9785 IN GLOBAL JUKEBOX, RELEVANT TEXT IN DESCRIPTION FIELD//</t>
  </si>
  <si>
    <t>10/20/2018 20:21:55</t>
  </si>
  <si>
    <t>Barra</t>
  </si>
  <si>
    <t>Columbia World Library of Folk and Primitive Music: Scotland. Columbia Records KL 209, 1955</t>
  </si>
  <si>
    <t>Dance, reel and hornpipe //GLOBAL JUKEBOX CODING ID 9400, RELEVANT INFO FOUND IN THE DESCRIPTION FIELD//</t>
  </si>
  <si>
    <t>10/22/2018 10:08:47</t>
  </si>
  <si>
    <t>Fataleka (not listed HRAF)</t>
  </si>
  <si>
    <t>Uunu</t>
  </si>
  <si>
    <t>https://folkways.si.edu/uunu/music/track/smithsonian</t>
  </si>
  <si>
    <t>Track 101</t>
  </si>
  <si>
    <t>DIVINATORY SONGS // SMITHSONIAN FOLKWAYS, CATALOG NUMBER UNES08027//</t>
  </si>
  <si>
    <t>The song tells the story of a two-faced man who is clumsy and feels hot ; he meets a woman who saves him by cooling him down. and he soars up towards the mountain and the sky. // SMITHSONIAN FOLKWAYS, CATALOG NUMBER UNES08027//</t>
  </si>
  <si>
    <t>10/22/2018 17:15:46</t>
  </si>
  <si>
    <t>Baegu (not listed in HRAF)</t>
  </si>
  <si>
    <t>baeg1237</t>
  </si>
  <si>
    <t>bvd</t>
  </si>
  <si>
    <t>Rorogwela Lullaby</t>
  </si>
  <si>
    <t>https://folkways.si.edu/afunakwa/rorogwela-lullaby/music/track/smithsonian</t>
  </si>
  <si>
    <t>Track 108</t>
  </si>
  <si>
    <t>Lullaby //SMITHSONIAN FOLKWAYS, CATALOG NUMBER UNES08027_108/</t>
  </si>
  <si>
    <t>The rorogwela lullabies are often sung not by the mother but by the child's elder sister. The words refer to such a situation: the elder sister asks the baby not to cry because its parents are dead and there is no one else there to hear it. //SMITHSONIAN FOLKWAYS, CATALOG NUMBER UNES08027_108//</t>
  </si>
  <si>
    <t>10/22/2018 17:48:59</t>
  </si>
  <si>
    <t>Ai Ni Mae (Men's Narrative Song)</t>
  </si>
  <si>
    <t>https://folkways.si.edu/ai-ni-mae-mens-narrative-song/music/track/smithsonian</t>
  </si>
  <si>
    <t>Track 112</t>
  </si>
  <si>
    <t>MEN 'S NARRATIVE SONG //SMITHSONIAN FOLKWAYS, UNES08027_112//</t>
  </si>
  <si>
    <t>The 'ai ni mae are narrative songs with texts that relate myths and historical traditions. These narrations, some of which last for several hours, are divided into different sections. Each of which has a particular melody. Each melody is sung several times while the words follow their course. The story told in the present example is about a young man called Molea who, on a dark night, by mistake entered the sacred garden of a young girl named Lalama, who obliges him to marry her.//SMITHSONIAN FOLKWAYS, UNES08027_112//</t>
  </si>
  <si>
    <t>10/22/2018 17:55:44</t>
  </si>
  <si>
    <t>Tzutuhil (not listed in ehraf)</t>
  </si>
  <si>
    <t>tzut1248</t>
  </si>
  <si>
    <t>tzj</t>
  </si>
  <si>
    <t>Chirimia and Drum #2 - San Pedro La Laguna</t>
  </si>
  <si>
    <t>http://gofile.me/3T2hs/bwp1oXXqP</t>
  </si>
  <si>
    <t>"'Music of the 'Baile de los Mexicanos' uses a small marimba played by one musician and clarinet. The dancers have rattles." //CODING ID BAND 4-7 IN MUSIC OF GUATEMALA, VOL. 1, RELEVANT TEXT IS IN THE ETHNOGRAPHIC TEXT//</t>
  </si>
  <si>
    <t>10/23/2018 14:40:51</t>
  </si>
  <si>
    <t>Marimba and Clarinet Songs #2 — San Pedro La Laguna</t>
  </si>
  <si>
    <t>http://gofile.me/3T2hs/MpWclfCac</t>
  </si>
  <si>
    <t>10/23/2018 14:41:11</t>
  </si>
  <si>
    <t>Marimba and Clarinet Songs #1 -- San Pedro La Laguna</t>
  </si>
  <si>
    <t>http://gofile.me/3T2hs/DeY0nFAgU</t>
  </si>
  <si>
    <t>Tracks 4</t>
  </si>
  <si>
    <t>10/23/2018 14:41:20</t>
  </si>
  <si>
    <t>Chirimia and Drum #1 --San Pedro La Laguna</t>
  </si>
  <si>
    <t>http://gofile.me/3T2hs/gIi2Yd9i4</t>
  </si>
  <si>
    <t>10/23/2018 14:41:30</t>
  </si>
  <si>
    <t>Ladino (not found in ehraf)</t>
  </si>
  <si>
    <t>ladi1251</t>
  </si>
  <si>
    <t>could be spanish too--I can't access the file to listen</t>
  </si>
  <si>
    <t>Adios Juanita</t>
  </si>
  <si>
    <t>http://gofile.me/3T2hs/9HMfwkHuC</t>
  </si>
  <si>
    <t>"Yet you know that I love you/ and though I'm poor, I know how to work/ I never lack the few cents/ That I know how to earn honestly./ The cocks crow, I saw good-bye/ Good-bye Juanity, I go now/ Sleep peacefully, dream of me/ And remember our love." //CODING ID TRACK 19 IN MUSIC OF GUATEMALA VOL. 1, RELEVANT TEXT IN LYRICS//</t>
  </si>
  <si>
    <t>10/23/2018 14:59:41</t>
  </si>
  <si>
    <t>Afro-Venezuelan, Barlovento Region</t>
  </si>
  <si>
    <t>El Mampulorio</t>
  </si>
  <si>
    <t>https://archives.crem-cnrs.fr/archives/collections/CNRSMH_E_1950_011_016/</t>
  </si>
  <si>
    <t>Disk 2, Face A01</t>
  </si>
  <si>
    <t>"Death Watch for An Infant"// Liner Notes (Plaquette de Presentation) for the album "Folk Music of Venezuela"</t>
  </si>
  <si>
    <t>"a Negro funeral rite"//Liner Notes (Plaquette de Presentation) for the album "Folk Music of Venezuela"</t>
  </si>
  <si>
    <t>10/24/2018 13:42:00</t>
  </si>
  <si>
    <t>Gunbalang: Culture not listed in eHRAF</t>
  </si>
  <si>
    <t>kunb1251</t>
  </si>
  <si>
    <t>gunw1250</t>
  </si>
  <si>
    <t>wlg</t>
  </si>
  <si>
    <t>Sweetheart Song</t>
  </si>
  <si>
    <t>Gossip song //GENRE ON GLOBAL JUKEBOX//</t>
  </si>
  <si>
    <t>Gunbalang Gossip Song series; lyrics refer to a woman talking about her lover//DESCRIPTION ON GLOBAL JUKEBOX//</t>
  </si>
  <si>
    <t>Global Jukebox shows "Recordings of Indigenous Australians will not be published on this site without permission from tribal representatives."</t>
  </si>
  <si>
    <t>10/24/2018 16:07:16</t>
  </si>
  <si>
    <t>Jawoyn: culture not found in eHRAF</t>
  </si>
  <si>
    <t>djau1244</t>
  </si>
  <si>
    <t>djn</t>
  </si>
  <si>
    <t>Campfire Trading and Sweetheart Song</t>
  </si>
  <si>
    <t>Trading song; love song //GLOBAL JUKEBOX GENRE LABELS, CODING ID: 1218 //</t>
  </si>
  <si>
    <t>Campfire trading and sweetheart song referring to the exchange of goods between tribal or classificatory husband and wife, not actually married //GLOBAL JUKEBOX CODING ID 1218, DESCRIPTION FIELD//</t>
  </si>
  <si>
    <t>10/24/2018 16:15:54</t>
  </si>
  <si>
    <t>Chorti (not found in ehraf)</t>
  </si>
  <si>
    <t>Small Marimba Song -- Jocatan</t>
  </si>
  <si>
    <t>http://gofile.me/3T2hs/8W7Xfw3pu</t>
  </si>
  <si>
    <t>"Music of the 'Baile de los Huastecos" played and danced by Chorti Indians" //TRACK 8 IN MUSIC OF GUATEMALA VOL.1, RELEVANT TEXT IN DESCRIPTION FIELD//</t>
  </si>
  <si>
    <t>10/25/2018 10:43:39</t>
  </si>
  <si>
    <t>K'iche' (not found in ehraf)</t>
  </si>
  <si>
    <t>kich1262</t>
  </si>
  <si>
    <t>quc</t>
  </si>
  <si>
    <t>Rabinal Achi</t>
  </si>
  <si>
    <t>http://gofile.me/3T2hs/Gmsx2E4RH</t>
  </si>
  <si>
    <t>Music for a drama</t>
  </si>
  <si>
    <t>A tragic story of epic proportions, the Rabinal Achi, like other pre-historic dramas employed song, dance, mime, masks, and declamation. //TRACK 1 IN MUSIC OF THE MAYA QUICHES OF GUATEMALA, RELEVANT TEXT FOUND IN DESCRIPTION FIELD//</t>
  </si>
  <si>
    <t>10/25/2018 10:52:09</t>
  </si>
  <si>
    <t>Garifuna (live in Guatemala)</t>
  </si>
  <si>
    <t>Came beyedana</t>
  </si>
  <si>
    <t>http://gofile.me/3T2hs/2f88EWet4</t>
  </si>
  <si>
    <t>"performed in secular and festive contexts, this is a dance associated to the end of a novena (nine days after a person dies)" //TRACK 9 IN IBIMENI, RELEVANT TEXT IS IN THE DESCRIPTION FIELD//</t>
  </si>
  <si>
    <t>10/25/2018 13:58:38</t>
  </si>
  <si>
    <t>Garifuna (living in Guatemala)</t>
  </si>
  <si>
    <t>nati Conde</t>
  </si>
  <si>
    <t>http://gofile.me/3T2hs/VznXzfN6a</t>
  </si>
  <si>
    <t>"performed in secular and festive contexts, this is a dance associated to the end of a novena (nine days after a person dies)" //TRACK 13 IN IBIMENI, RELEVANT TEXT IS IN THE DESCRIPTION FIELD//</t>
  </si>
  <si>
    <t>10/25/2018 14:02:05</t>
  </si>
  <si>
    <t>Garifuna (in Guatemala)</t>
  </si>
  <si>
    <t>baroumuga</t>
  </si>
  <si>
    <t>http://gofile.me/3T2hs/bcbasYYde</t>
  </si>
  <si>
    <t>"Los arrullos (lullabies) are a part of domestic songs of many groups of the world, Garinagu are not the exception. Discrete light-hearted songs whispered and sang by the mother repeatedly and in decrescendo appear to conciliate the dreams of their children." //TRACK 14 IN IBIMENI, RELEVANT TEXT IS IN THE DESCRIPTION FIELD//</t>
  </si>
  <si>
    <t>10/25/2018 14:05:40</t>
  </si>
  <si>
    <t>laguneda</t>
  </si>
  <si>
    <t>http://gofile.me/3T2hs/Jgc1PAcZH</t>
  </si>
  <si>
    <t>"Wanaragua is a warlike dance: it represents the fight against the English." //TRACK 17 IN IBIMENI, RELEVANT TEXT IS IN THE DESCRIPTION FIELD//</t>
  </si>
  <si>
    <t>10/25/2018 14:09:44</t>
  </si>
  <si>
    <t>dodo Fafa</t>
  </si>
  <si>
    <t>http://gofile.me/3T2hs/up0a5SeD1</t>
  </si>
  <si>
    <t>"Los arrullos (lullabies) are a part of domestic songs of many groups of the world, Garinagu are not the exception. Discrete light-hearted songs whispered and sang by the mother repeatedly and in decrescendo appear to conciliate the dreams of their children." //TRACK 18 IN IBIMENI, RELEVANT TEXT IS IN THE DESCRIPTION FIELD//</t>
  </si>
  <si>
    <t>10/25/2018 14:11:15</t>
  </si>
  <si>
    <t>San Francisco</t>
  </si>
  <si>
    <t>http://gofile.me/3T2hs/qrg8KkWV9</t>
  </si>
  <si>
    <t>"San Francisco: processional march" //TRACK 18 IN IBIMENI, RELEVANT TEXT IS IN THE TITLE WITH STYLE OF MUSIC//</t>
  </si>
  <si>
    <t>10/25/2018 14:14:08</t>
  </si>
  <si>
    <t>Wogait: culture not founded in eHRAF</t>
  </si>
  <si>
    <t>Corroboree Song</t>
  </si>
  <si>
    <t>Ceremony</t>
  </si>
  <si>
    <t>Corroboree song; ceremonial song //GENRE OF SONG AS LISTED ON GLOBAL JUKE BOX CDING ID 1214//</t>
  </si>
  <si>
    <t>Passage from the Indi Indi Wonga Corroboree; a corroboree is an event at which Australians interact with the Dreamtime through dance, music, and costume //DESCRIPTION ON GLOBAL JUKE BOX CDING ID 1214//</t>
  </si>
  <si>
    <t>Global Juke Box shows "Recordings of Indigenous Australians will not be published on this site without permission from tribal representatives."</t>
  </si>
  <si>
    <t>10/27/2018 13:45:01</t>
  </si>
  <si>
    <t>Wogait: culture not found in eHRAF</t>
  </si>
  <si>
    <t>Mourning Song //GLOBAL JUKEBOX CODING ID: 1215//</t>
  </si>
  <si>
    <t>Mourning song of the Wogaitj tribe //GLOBAL JUKEBOX CODING ID: 1215//</t>
  </si>
  <si>
    <t>10/27/2018 13:52:46</t>
  </si>
  <si>
    <t>ceremonial song</t>
  </si>
  <si>
    <t>Corroboree song; ceremonial song //GENRE FROM GLOBAL JUKEBOX CODING ID: 1216//</t>
  </si>
  <si>
    <t>Further extract from the Wonga recorded at Delissaville; a corroboree is an event at which Australians interact with the Dreamtime through dance, music, and costume //DESCRIPTION FROM GLOBAL JUKEBOX CODING ID: 1216//</t>
  </si>
  <si>
    <t>10/27/2018 14:21:51</t>
  </si>
  <si>
    <t>Northern Mexico - no specific cultured listed</t>
  </si>
  <si>
    <t>Corrido de Juan Cortina</t>
  </si>
  <si>
    <t>http://gofile.me/3T2hs/dkb7AMMkb</t>
  </si>
  <si>
    <t>Pg 83 in the book: Music in Mexico written by Alejandro L. Madrid, published by Oxford University Press (2013)</t>
  </si>
  <si>
    <t>On pg 83 of the book "corridos celebrating outlaws as rebels aganist what people felt was a growingly authoritarian and marginalizing social structure...El corrido de Juan Cortina...good example of the thin line between heroism and illegality, notions defined by specific social and historical agendas..."</t>
  </si>
  <si>
    <t>"Que viva Juan Nepomuceno, que trae para los gringos, pistol y doble brake" (translation: "Long live Juan Nepomuceno, who brings the gringos to pistol and double reins!") "Juan Nepomuceno Cortina, sabe muy bien the que pasa, es muy hombre entre los hombres, para defender the raza" (translation: Juan Nepomuceno Cortina, knows very well what's going on; he's a man among men, for defending his people.)</t>
  </si>
  <si>
    <t>10/27/2018 23:17:17</t>
  </si>
  <si>
    <t>Northern Mexico: no specific culture listed</t>
  </si>
  <si>
    <t>El Corrido de Gregorio Cortez</t>
  </si>
  <si>
    <t>Pg 83 of the book: Music in Mexico written by Alejandro L. Madrid, published by Oxford University Press (2013)</t>
  </si>
  <si>
    <t>Corrido (Ballad) Source: pg 83 of the book Music in Mexico by Alejandro L. Madrid</t>
  </si>
  <si>
    <t>10/27/2018 23:32:32</t>
  </si>
  <si>
    <t>Corrido Maquina 501</t>
  </si>
  <si>
    <t>pg 84 of the book Music in Mexico written by Alejandro L. Madrid, published by Oxford University Press (2013)</t>
  </si>
  <si>
    <t>pg 84 of the book "... Garcia is still known throughout northern Mexico as Nacozari's Hero... so every November 7 elementary school children throughout Sonora sing this corrido and recite poems written in his honor"</t>
  </si>
  <si>
    <t>"Desde ese día inolvidable, Tú te has ganado la cruz, Tú te has ganado las palmas, Eres un héroe Jesús" Translation: "From that unforgettable day, you've earned the holy cross, you've earned our applause. Jesús, you're our hero."</t>
  </si>
  <si>
    <t>10/28/2018 0:25:04</t>
  </si>
  <si>
    <t>Indo-Carribean</t>
  </si>
  <si>
    <t>Tan Singing (Thumri)</t>
  </si>
  <si>
    <t>http://gofile.me/3T2hs/mDmGdyyQV</t>
  </si>
  <si>
    <t>Sung at wedding and other functions...// AWM CD 13905 RELEVANT INFO FOUND IN LINER NOTES (NO PAGE NUMBERS)//</t>
  </si>
  <si>
    <t>NAS Folder titled AWM 13905</t>
  </si>
  <si>
    <t>10/31/2018 11:22:56</t>
  </si>
  <si>
    <t>Indo-Caribbean</t>
  </si>
  <si>
    <t>Wedding song // AWM 13905 RELEVANT INFO FOUND IN LINER NOTES (NO PAGE NUMBERS) //</t>
  </si>
  <si>
    <t>Hindu weddings are traditionally focal events for music... // AWM 13905 RELEVANT INFO FOUND IN LINER NOTES (NO PAGE NUMBERS)</t>
  </si>
  <si>
    <t>NAS folder entitled AWM 13905</t>
  </si>
  <si>
    <t>10/31/2018 11:29:36</t>
  </si>
  <si>
    <t>Një kengë thëllëze c'me zgjoï (A partridge has awoke me)</t>
  </si>
  <si>
    <t>http://gofile.me/3T2hs/e5cyjEzDh</t>
  </si>
  <si>
    <t>Sound recording: Chants polyphoniques d'Albanie</t>
  </si>
  <si>
    <t>A song in praise of the beauty of the women of Labira //CD HAS ADDITIONAL LINER NOTES BOOKLET, THIS IS ON PAGE 10 http://gofile.me/3T2hs/pDnpGwFrW //</t>
  </si>
  <si>
    <t>...the women of Labira, whose cheeks are red like grenadines, whose eyebrows are delicate, and whose silky hair smells like roses //CD HAS ADDITIONAL LINER NOTES BOOKLET, THIS IS ON PAGE 10 http://gofile.me/3T2hs/pDnpGwFrW//</t>
  </si>
  <si>
    <t>Liner Notes: http://gofile.me/3T2hs/pDnpGwFrW</t>
  </si>
  <si>
    <t>Ninullë (Lullaby)</t>
  </si>
  <si>
    <t>http://gofile.me/3T2hs/jogeGC8Lr</t>
  </si>
  <si>
    <t>"Lullaby" //CD HAS ADDITIONAL LINER NOTES BOOKLET, THIS IS ON PAGE 11 http://gofile.me/3T2hs/pDnpGwFrW//</t>
  </si>
  <si>
    <t>Monophonic lullaby from the region of Saranda //CD HAS ADDITIONAL LINER NOTES BOOKLET, THIS IS ON PAGE 11 http://gofile.me/3T2hs/pDnpGwFrW//</t>
  </si>
  <si>
    <t>Kolonjë, e Bukur Kolonjë</t>
  </si>
  <si>
    <t>http://gofile.me/3T2hs/SugKttlth</t>
  </si>
  <si>
    <t>Sound recording: "Cry You Mountains, Cry You Fields"</t>
  </si>
  <si>
    <t>Kolonja, the beautiful Kolonja //CD HAS ADDITIONAL LINER NOTES BOOKLET, THIS IS ON PAGE 9//</t>
  </si>
  <si>
    <t>Beautiful Kolonja, you had so many good, brave men. You were shot so many times, but you are still alive and beautiful. //CD HAS ADDITIONAL LINER NOTES BOOKLET, THIS IS ON PAGE 9//</t>
  </si>
  <si>
    <t>Liner notes link here: http://gofile.me/3T2hs/CTTCiHaUf</t>
  </si>
  <si>
    <t>Këngë Djepi - Lullaby</t>
  </si>
  <si>
    <t>http://gofile.me/3T2hs/Iwc3MVpJ6</t>
  </si>
  <si>
    <t>Sound recording: Folk music of Albania</t>
  </si>
  <si>
    <t>Lullaby //CD HAS ADDITIONAL LINER NOTES BOOKLET, THIS IS ON PAGE 4//</t>
  </si>
  <si>
    <t>Oh sleep, my son, if you want to grow big. Sleep, my son, and I will rock you. Oh mother's boy is going to sleep. Sleep, my boy, if you want to grow big; sleep, my son, if you want to grow big. Oh, I'm rocking you to sleep. Oh sleep, my son, sleep happily. Oh sleep for mother, sleep happily. //CD HAS ADDITIONAL LINER NOTES BOOKLET, THIS IS ONE PAGE 4//</t>
  </si>
  <si>
    <t>Liner notes can be found here: http://gofile.me/3T2hs/ezVlk1Qvq</t>
  </si>
  <si>
    <t>Pyet Kosova Per Nje Cike</t>
  </si>
  <si>
    <t>http://gofile.me/3T2hs/J1nSbnXMz</t>
  </si>
  <si>
    <t>Sound recording: Kosovo</t>
  </si>
  <si>
    <t>Patriotic song //CD HAS ADDITIONAL LINER NOTES BOOKLET, THIS IS ON PAGE 9//</t>
  </si>
  <si>
    <t>All of Kosovo is asking about a girl. They want to know of her honor...Albania gave birth to her, she is a heroine. She went up into the mountains with her gun at the age of twelve and fought with the guerrillas...[she] shone like lightning //CD HAS ADDITIONAL LINER NOTES BOOKLET, THIS IS ON PAGE 9//</t>
  </si>
  <si>
    <t>Liner notes found here: http://gofile.me/3T2hs/4UzbGi9bn and singing begins after 00:20 in recording (did not listen to before next page)</t>
  </si>
  <si>
    <t>Iovano, Iovanka</t>
  </si>
  <si>
    <t>http://gofile.me/3T2hs/MnZrYSH2B</t>
  </si>
  <si>
    <t>Sound recording: Music of the Balkans, Vol 1.</t>
  </si>
  <si>
    <t>Traditional love song //CD HAS ADDITIONAL LINER NOTES BOOKLET, THIS IS ON PAGE 21//</t>
  </si>
  <si>
    <t>Iovano, I am waiting for you to come home, you are my love, my soul, my heart, Iovano //CD HAS ADDITIONAL LINER NOTES BOOKLET, THIS IS ON PAGE 21//</t>
  </si>
  <si>
    <t>Liner notes found here: http://gofile.me/3T2hs/AFDME3q7p and singing does not begin until after 00:30 (did not listen before last page)</t>
  </si>
  <si>
    <t>Anangu(Culture not found in eHRAF)</t>
  </si>
  <si>
    <t>yann1237</t>
  </si>
  <si>
    <t>wati1241</t>
  </si>
  <si>
    <t>jay</t>
  </si>
  <si>
    <t>Corroboree du kangourou</t>
  </si>
  <si>
    <t>Chant; corroboree song; ceremonial song //GLOBAL JUKEBOX CODING ID: 36//</t>
  </si>
  <si>
    <t>Anangu (Culture not found in eHRAF)</t>
  </si>
  <si>
    <t>Chant rituel du kangourou</t>
  </si>
  <si>
    <t>Genre: Shaman song; ritual song; animal song //GLOBAL JUKEBOX CODING ID: 37//</t>
  </si>
  <si>
    <t>Shaman song; six couplets correspond to six diamonds drawn on the ground that resemble a kangaroo //GLOBAL JUKEBOX CODING ID: 37//</t>
  </si>
  <si>
    <t>Global Jukebox states "Recordings of Indigenous Australians will not be published on this site without permission from tribal representatives."</t>
  </si>
  <si>
    <t>Lancashire, Liverpool</t>
  </si>
  <si>
    <t>Johnny Todd</t>
  </si>
  <si>
    <t>https://folkways.si.edu/audrey-coppard/english-folk-songs/celtic-world/music/album/smithsonian</t>
  </si>
  <si>
    <t>Side 1, Track 2</t>
  </si>
  <si>
    <t>cautionary tale about love</t>
  </si>
  <si>
    <t>Play //SMITHSONIAN FOLKWAYS, CD HAS LINER NOTES W LYRICS, THIS SONG CAN BE FOUND ON PG 5, CATALOG NO FW06917, FW 6917, FP 917//</t>
  </si>
  <si>
    <t>"Lancashire, 19th century. This is a children's skipping song from Liverpool" //SMITHSONIAN FOLKWAYS, CATALOG NO FW06917, FW 6917, FP 917//</t>
  </si>
  <si>
    <t>Surrey</t>
  </si>
  <si>
    <t>The Trees are Getting High</t>
  </si>
  <si>
    <t>Mourning, Story //SMITHSONIAN FOLKWAYS, ALBUM NAME ENGLISH FOLK SONGS BY AUDREY COPPARD, TRACK 6, CATALOG NO FW06917, FW 6917, FP 917//</t>
  </si>
  <si>
    <t>This story is traceable to the young Urquhart of Craigstone who died in 1634 //SMITHSONIAN FOLKWAYS, ALBUM NAME ENGLISH FOLK SONGS BY AUDREY COPPARD, TRACK 6, CATALOG NO FW06917, FW 6917, FP 917//</t>
  </si>
  <si>
    <t>(last verse) "At the age of thirteen he was a married man, and at the age of fourteen, the father of a son, and at the age of fifteen, his grave was growing green, and that put an end to his growing" //SMITHSONIAN FOLKWAYS, ALBUM NAME ENGLISH FOLK SONGS BY AUDREY COPPARD, TRACK 6, CATALOG NO FW06917, FW 6917, FP 917//</t>
  </si>
  <si>
    <t>unknown, Scottish origin</t>
  </si>
  <si>
    <t>Peerie Fairies</t>
  </si>
  <si>
    <t>https://folkways.si.edu/rory-and-alex-mcewen/scottish-songs-and-ballads/celtic-world/music/album/smithsonian</t>
  </si>
  <si>
    <t>Side 2, Band 4</t>
  </si>
  <si>
    <t>Lullaby //SMITHSONIAN FOLKWAYS, ALBUM SCOTTISH SONGG AND BALLADS SUNG BY RORY AND ALEX MCEWEN, SIDE 2 BAND 4, CATALOG NO FW06930, FW 6930//</t>
  </si>
  <si>
    <t>Creole (Grenada)</t>
  </si>
  <si>
    <t>Anto-Gwé-Gwé-No</t>
  </si>
  <si>
    <t>http://gofile.me/3T2hs/fzMyIGR23</t>
  </si>
  <si>
    <t>Harvard Archive of World Musicd</t>
  </si>
  <si>
    <t>Lullaby // AWM CD 11210 RELEVANT INFO FOUND IN LINER NOTES (NO PAGE NUMBERS) //</t>
  </si>
  <si>
    <t>Liner Notes and Tracks on NAS/NHS2/submissions/Caribbean/AWM 11210</t>
  </si>
  <si>
    <t>Little Baby Cryin'</t>
  </si>
  <si>
    <t>Liner Notes and Tracks Found on NAS/NHS2/submissions/Caribbean/AWM 11210</t>
  </si>
  <si>
    <t>John Gone Away (Fishermen's wake song)</t>
  </si>
  <si>
    <t>http://gofile.me/3T2hs/xR9rV8dUc</t>
  </si>
  <si>
    <t>The Grenadian tradition of fishermen's wake songs documented here is similar to what is called "breaking the barrel" in neighboring Carriacou. In both cases, fishermen honor a deceased colleague by walking around a barrel or keg (used to represent a sloop or schooner) and singing sea chanteys, keeping time by hitting the side with sticks or other objects. // AWM CD 11210 RELEVANT INFO FOUND IN LINER NOTES (NO PAGE NUMBERS) //</t>
  </si>
  <si>
    <t>Liner notes and Tracks found at NAS//NHS2/submissions/Caribbean/AWM 11210</t>
  </si>
  <si>
    <t>Yoruba (Grenada)</t>
  </si>
  <si>
    <t>ilaa1245</t>
  </si>
  <si>
    <t>There's No One to Lay Mercy on Me</t>
  </si>
  <si>
    <t>Lullaby // AWM CD 11210 RELEVANT INFO FOUND IN LINER NOTES (NO PAGE NUMBERS)//</t>
  </si>
  <si>
    <t>Liner notes and tracks found at NAS//NHS2/submissions/Caribbean/AWM 11210</t>
  </si>
  <si>
    <t>Yugoslavia (not listed on eHRAF)</t>
  </si>
  <si>
    <t>slov1268</t>
  </si>
  <si>
    <t>Metliski Most (children's game song)</t>
  </si>
  <si>
    <t>http://gofile.me/3T2hs/qUi1ZEeMW</t>
  </si>
  <si>
    <t>Sound recording: World Library of Folk and Primitive Music: Yugoslavia</t>
  </si>
  <si>
    <t>Children's game song //CD HAS ADDITIONAL LINER NOTES BOOKLET, THIS IS TRACK 15//</t>
  </si>
  <si>
    <t>This children's game song, which corresponds closely to "London Bridge," ... //CD HAS ADDITIONAL LINER NOTES BOOKLET, THIS IS TRACK 15//</t>
  </si>
  <si>
    <t>Liner notes can be found here, under #15: http://gofile.me/3T2hs/GJ0WxcDdB</t>
  </si>
  <si>
    <t>Yugoslavia (not listed in eHRAF)</t>
  </si>
  <si>
    <t>Jargavan Me Bojë Për Mall</t>
  </si>
  <si>
    <t>http://gofile.me/3T2hs/qJyRE9w7F</t>
  </si>
  <si>
    <t>Sound recording: Urban Songs from Shkodra</t>
  </si>
  <si>
    <t>Lilac, you light up desire; the bird finds repose in you; you are rarely present in the gardens; everybody knows your value. Fragrant herb that grows in the pot and beautifies the windows, stately flower that blossoms both in summer and in winter. Carnations multiply, everything is surrounded by buds, in parks the fragrance propagates everywhere. The rose is blossoming, it adorns all the courtyards; its perfume intoxicates all the world and fills it with joy //CD HAS ADDITIONAL LINER NOTES BOOKLET, THIS IS TRACK 13//</t>
  </si>
  <si>
    <t>Liner notes found here under Track 13: http://gofile.me/3T2hs/sZrysBuVN</t>
  </si>
  <si>
    <t>Mam Indians</t>
  </si>
  <si>
    <t>Spanish Children's Song #1 (Performed by Juan Ramirez) -- Todos Santos Chuchumatanes</t>
  </si>
  <si>
    <t>http://gofile.me/3T2hs/OTs9uXZGx</t>
  </si>
  <si>
    <t>Spanish Children's Song #1 (Performed by Juan Ramirez) -- Todos Santos Chuchumatanes //TRACK 10 IN MUSIC OF GUATEMALA, RELEVANT TEXT IS IN THE TITLE//</t>
  </si>
  <si>
    <t>Songs that he learned at school //TRACK 10 IN MUSIC OF GUATEMALA, RELEVANT TEXT IS IN THE ETHNOGRAPHIC TEXT//</t>
  </si>
  <si>
    <t>"I would like to be a cat// To enter through your window.// Kitty-cat, kitty-cat of mine,// Catches mice in the corners." //TRACK 10 IN MUSIC OF GUATEMALA, RELEVANT TEXT IS IN THE LYRICS//</t>
  </si>
  <si>
    <t>Spanish Children's Song #2 (Performed By Juan Ramirez) -- Todos Santos Cuchumatanes</t>
  </si>
  <si>
    <t>http://gofile.me/3T2hs/CRiHK35Ln</t>
  </si>
  <si>
    <t>Spanish Children's Song #2 (Performed By Juan Ramirez) -- Todos Santos Cuchumatanes //TRACK 11 IN MUSIC OF GUATEMALA, RELEVANT TEXT IS IN THE TITLE//</t>
  </si>
  <si>
    <t>Songs that he learned in school //TRACK 11 IN MUSIC OF GUATEMALA, RELEVANT TEXT IS IN THE ETHNOGRAPHIC TEXT//</t>
  </si>
  <si>
    <t>"Kitty-cat, kitty-cat, your mother says// That the food is on the table// Well tell Mammy that I shall not eat,// Since there is a party and to the dance I shall go." //TRACK 11 IN MUSIC OF GUATEMALA, RELEVANT TEXT IS IN THE ETHNOGRAPHIC TEXT//</t>
  </si>
  <si>
    <t>Karelia (not listed in HRAF)</t>
  </si>
  <si>
    <t>livv1243</t>
  </si>
  <si>
    <t>kare1335</t>
  </si>
  <si>
    <t>olo</t>
  </si>
  <si>
    <t>http://media.theglobaljukebox.org/audio/T5467R23.mp3</t>
  </si>
  <si>
    <t>Global Jukebox, Finnish Literature Society Archive (Suomalaisen Kirjallisuuden Seuran Arkisto) Helsinki, Finland; Copy in Alan Lomax Collection, American Folklife Center, Library of Congress</t>
  </si>
  <si>
    <t>Lullaby //CODING ID 2387 IN GLOBAL JUKEBOX, RELEVANT TEXT IS IN THE DESCRIPTION FIELD//</t>
  </si>
  <si>
    <t>First link is the audio file, second is metadata: https://theglobaljukebox.org/?share=Karelia-T5467R23</t>
  </si>
  <si>
    <t>Seaman's Song</t>
  </si>
  <si>
    <t>http://media.theglobaljukebox.org/audio/T5467R26.mp3</t>
  </si>
  <si>
    <t>Work song; sailor's song //CODING ID 2428 IN GLOBAL JUKEBOX, RELEVANT TEXT IS IN THE DESCRIPTION FIELD//</t>
  </si>
  <si>
    <t>First link is the audio file, second is metadata: https://theglobaljukebox.org/?share=Karelia-T5467R26</t>
  </si>
  <si>
    <t>Along the Road the Suitors Wander</t>
  </si>
  <si>
    <t>http://media.theglobaljukebox.org/audio/T5467R28.mp3</t>
  </si>
  <si>
    <t>Work song //CODING ID 2766 IN GLOBAL JUKEBOX, RELEVANT TEXT IS IN THE DESCRIPTION FIELD//</t>
  </si>
  <si>
    <t>First link is the audio file, second is metadata: https://theglobaljukebox.org/?share=Karelia-T5467R28</t>
  </si>
  <si>
    <t>Finland</t>
  </si>
  <si>
    <t>finn1318</t>
  </si>
  <si>
    <t>fin</t>
  </si>
  <si>
    <t>The War Song of Duke of Malborough</t>
  </si>
  <si>
    <t>http://media.theglobaljukebox.org/audio/T5467R27.mp3</t>
  </si>
  <si>
    <t>Narrative song; war song; song about leadership //CODING ID 2429 IN GLOBAL JUKEBOX, RELEVANT TEXT IS IN THE DESCRIPTION FIELD//</t>
  </si>
  <si>
    <t>First link is the audio file, second is metadata: https://theglobaljukebox.org/?share=Finland-T5467R27</t>
  </si>
  <si>
    <t>http://media.theglobaljukebox.org/audio/T5467R30.mp3</t>
  </si>
  <si>
    <t>Work song; pile-driving song //CODING ID 2386 IN GLOBAL JUKEBOX, RELEVANT TEXT IS IN THE DESCRIPTION FIELD//</t>
  </si>
  <si>
    <t>First link is the audio file, second is metadata: https://theglobaljukebox.org/?share=Finland-T5467R30</t>
  </si>
  <si>
    <t>The Slene Is Going down into the Water</t>
  </si>
  <si>
    <t>http://media.theglobaljukebox.org/audio/T5467R22.mp3</t>
  </si>
  <si>
    <t>Work song //CODING ID 2389 IN GLOBAL JUKEBOX, RELEVANT TEXT IS IN THE DESCRIPTION FIELD//</t>
  </si>
  <si>
    <t>First link is the audio file, second is metadata: https://theglobaljukebox.org/?share=Finland-T5467R22</t>
  </si>
  <si>
    <t>Ecuador</t>
  </si>
  <si>
    <t>Arroz con Leche</t>
  </si>
  <si>
    <t>https://folkways.si.edu/childrens-songs-and-games-from-ecuador-mexico-and-puerto-rico/latin-world/music/album/smithsonian</t>
  </si>
  <si>
    <t>Side 1, Band 3c</t>
  </si>
  <si>
    <t>"Arroz con Leche"//Liner Notes in album "Children's Songs and Games from Ecuador, Mexico, and Puerto Rico" on Smithsonian Folkways</t>
  </si>
  <si>
    <t>"Holding hands, form a circle and select someone to stand in the center. As the circle moves around the child does the motions of the song"//Liner Notes in album "Children's Songs and Games from Ecuador, Mexico, and Puerto Rico" on Smithsonian Folkways</t>
  </si>
  <si>
    <t>11/13/2018 13:36:18</t>
  </si>
  <si>
    <t>"El Puente de Aviñon"</t>
  </si>
  <si>
    <t>Side 1, Band 4</t>
  </si>
  <si>
    <t>"El Puente de Avinon"//Liner Notes from the album "Children's Songs and Games from Ecuador, Mexico, and Puerto Rico" by Smithsonian Folkways</t>
  </si>
  <si>
    <t>"Ecuadorian version of San Sereni, a popular game song of Spain and Latin America"//Liner Notes from the album "Children's Songs and Games from Ecuador, Mexico, and Puerto Rico" by Smithsonian Folkways</t>
  </si>
  <si>
    <t>11/13/2018 13:51:33</t>
  </si>
  <si>
    <t>Tortitas de Tortones</t>
  </si>
  <si>
    <t>Side 1, Band 5a</t>
  </si>
  <si>
    <t>"Tortitas de Tortones"//Liner Notes from the album "Children's Songs and Games from Ecuador, Mexico, and Puerto Rico" by Smithsonian Folkways</t>
  </si>
  <si>
    <t>"Tortones are large colored beans used not only as food but also for playing games, such as this one"//Liner Notes from the album "Children's Songs and Games from Ecuador, Mexico, and Puerto Rico" by Smithsonian Folkways</t>
  </si>
  <si>
    <t>11/13/2018 14:02:59</t>
  </si>
  <si>
    <t>Liron, Liron</t>
  </si>
  <si>
    <t>Side 1, Band 6b</t>
  </si>
  <si>
    <t>"Liron, Liron"//Liner Notes from the album "Children's Songs and Games from Ecuador, Mexico, and Puerto Rico" by Smithsonian Folkways</t>
  </si>
  <si>
    <t>"This game is a variant of A La Vibora de La Mar, the Spanish equivalent of London Bridge. Two platers, holdings hands high, join hands to form an arc. Before the game begins, each one selects a secret name. The children pass through the arc one at a time as the song is sung. On the last line one player is detained. The two secret names are whispered to him. He selects one and lines up behind the appropriate person. The game proceeds until everyone has been 'captured'. The game ends with a tug of war"//Liner Notes from the album "Children's Songs and Games from Ecuador, Mexico, and Puerto Rico" by Smithsonian Folkways</t>
  </si>
  <si>
    <t>11/13/2018 14:19:51</t>
  </si>
  <si>
    <t>El Patio de Mi casa</t>
  </si>
  <si>
    <t>Side 1, Band 7a</t>
  </si>
  <si>
    <t>"El Patio de Mi Casa"//Liner Notes from the album "Children's Songs and Games from Ecuador, Mexico, and Puerto Rico" by Smithsonian Folkways</t>
  </si>
  <si>
    <t>"Circle Game"//Liner Notes from the album "Children's Songs and Games from Ecuador, Mexico, and Puerto Rico" by Smithsonian Folkways</t>
  </si>
  <si>
    <t>11/13/2018 14:30:08</t>
  </si>
  <si>
    <t>https://theglobaljukebox.org/?share=Toba-T5401R53</t>
  </si>
  <si>
    <t>Danza; dance song //GLOBAL JUKEBOX CODING ID: 3922//</t>
  </si>
  <si>
    <t>11/15/2018 3:30:37</t>
  </si>
  <si>
    <t>Cainguáes Canciones 2</t>
  </si>
  <si>
    <t>Cainguáes Canciones (translates to "Gathering Song") //GLOBAL JUKEBOX CODING ID: 3907//</t>
  </si>
  <si>
    <t>Genre: Propitiatory song //GLOBAL JUKEBOX CODING ID: 3907//</t>
  </si>
  <si>
    <t>11/15/2018 3:44:02</t>
  </si>
  <si>
    <t>Cainguáes Canciones 3</t>
  </si>
  <si>
    <t>Gathering song //GLOBAL JUKEBOX CODING ID: 3908//</t>
  </si>
  <si>
    <t>Description: Gathering song 3; Propitiatory song //GLOBAL JUKEBOX CODING ID: 3908//</t>
  </si>
  <si>
    <t>11/15/2018 3:46:49</t>
  </si>
  <si>
    <t>Miriam: culture not founded in eHARF</t>
  </si>
  <si>
    <t>A99</t>
  </si>
  <si>
    <t>https://folkways.si.edu/songs-of-aboriginal-australia-and-torres-strait/world/music/album/smithsonian</t>
  </si>
  <si>
    <t>Track 139</t>
  </si>
  <si>
    <t>Folkways Records //Smithsonian Folkways CATALOG NUMBER(S) FW04102, FE 4102//</t>
  </si>
  <si>
    <t>The song is calld "A99" after registration number of a pearling lugger. The pearling lugger is spoken to as if were a bird. // Smithsonian Folkways CATALOG NUMBER(S) FW04102, FE 4102. Liner Notes Page 6. https://folkways-media.si.edu/liner_notes/folkways/FW04102.pdf//</t>
  </si>
  <si>
    <t>A ninety- nine our boat, you to deep blue ocean, white water from shoal of fish, having eaten flew, outside Cooktown intended you, middle approach anchorage, get anchored. The you furled your sails near that hill where the waves were braking on the sand, you stop. // Smithsonian Folkways CATALOG NUMBER(S) FW04102, FE 4102. Liner Notes Page 6. https://folkways-media.si.edu/liner_notes/folkways/FW04102.pdf//</t>
  </si>
  <si>
    <t>11/15/2018 15:47:36</t>
  </si>
  <si>
    <t>Miriam</t>
  </si>
  <si>
    <t>Way keriba ged</t>
  </si>
  <si>
    <t>LABEL: Folkways Records //Smithsonian Folkways CATALOG NUMBER(S) FW04102, FE 4102 Liner Notes page 6, https://folkways-media.si.edu/liner_notes/folkways/FW04102.pdf//</t>
  </si>
  <si>
    <t>This is our island, you recline, mist you covers, only we your facial outline we see, this our island reclines//Smithsonian Folkways CATALOG NUMBER(S) FW04102, FE 4102 Liner Notes page 6, https://folkways-media.si.edu/liner_notes/folkways/FW04102.pdf//</t>
  </si>
  <si>
    <t>11/15/2018 16:00:35</t>
  </si>
  <si>
    <t>Kokopera: culture not founded in eHRAF</t>
  </si>
  <si>
    <t>gugu1254</t>
  </si>
  <si>
    <t>kkp</t>
  </si>
  <si>
    <t>Song by Christopher Jeffrey</t>
  </si>
  <si>
    <t>Track 135</t>
  </si>
  <si>
    <t>A man was lying on his back and watching two eaglehawks fighting over a tortoise which they had carried high up into the sky and which they eventually took back to their nest. He decided to compose a song about what he had seen.// Smithsonian Folkways CATALOG NUMBER(S) FW04102, FE 4102. Liner Notes Page 6. https://folkways-media.si.edu/liner_notes/folkways/FW04102.pdf//</t>
  </si>
  <si>
    <t>eaglehawk two were facing each other, (a man) was lying on his back, they both from the west were coming, clear sky high up, they both fought. // Smithsonian Folkways CATALOG NUMBER(S) FW04102, FE 4102. Liner Notes Page 6. https://folkways-media.si.edu/liner_notes/folkways/FW04102.pdf//</t>
  </si>
  <si>
    <t>11/15/2018 16:16:12</t>
  </si>
  <si>
    <t>Worrorra: culture not founed in eHRAF</t>
  </si>
  <si>
    <t>worr1237</t>
  </si>
  <si>
    <t>wro</t>
  </si>
  <si>
    <t>Women's Wu-ungka songs</t>
  </si>
  <si>
    <t>LABEL UNESCO Collection of Traditional Music//Smithsonian Folkways CATALOG NUMBER UNES08040//</t>
  </si>
  <si>
    <t>Love magic rites, wailing and mourning songs are also performed by women of certain groups and in different parts of Australia.//Smithsonian Folkways CATALOG NUMBER UNES08040 Liner Notes PDF Page. 3 https://folkways-media.si.edu/liner_notes/unesco/UNES08040.pdf//</t>
  </si>
  <si>
    <t>11/15/2018 16:33:57</t>
  </si>
  <si>
    <t>Walpiri: culture not founded in eHRAF</t>
  </si>
  <si>
    <t>wika1238</t>
  </si>
  <si>
    <t>wik</t>
  </si>
  <si>
    <t>Rain Dreaming (ngapa) ceremony (excerpts)</t>
  </si>
  <si>
    <t>The Rain Dreaming recordings were made on a "women's night" at the ceremony, also known as nganakudukudu.//Smithsonian Folkways CATALOG NUMBER UNES08040 Liner Notes PDF Page. 3 https://folkways-media.si.edu/liner_notes/unesco/UNES08040.pdf//</t>
  </si>
  <si>
    <t>11/15/2018 16:46:09</t>
  </si>
  <si>
    <t>Central Europe</t>
  </si>
  <si>
    <t>Austria (not listed in eHRAF)</t>
  </si>
  <si>
    <t>uppe1398</t>
  </si>
  <si>
    <t>Prax-Plattler</t>
  </si>
  <si>
    <t>https://theglobaljukebox.org/?share=Austria-T5595R25</t>
  </si>
  <si>
    <t>"Alpine folk dance" //CODING ID 2303 IN GLOBAL JUKEBOX, RELEVANT TEXT IS IN THE DESCRIPTION FIELD//</t>
  </si>
  <si>
    <t>11/19/2018 17:44:29</t>
  </si>
  <si>
    <t>Bavaria (not found in eHRAF)</t>
  </si>
  <si>
    <t>bava1246</t>
  </si>
  <si>
    <t>stan1295</t>
  </si>
  <si>
    <t>bar</t>
  </si>
  <si>
    <t>Holzknechtlied</t>
  </si>
  <si>
    <t>https://theglobaljukebox.org/?share=Bavaria-T5464R21</t>
  </si>
  <si>
    <t>Woodcutter's song; yodelling about the woodcutters' life in Bavarian dialect ///CODING ID 1619 IN GLOBAL JUKEBOX, RELEVANT TEXT IS IN THE DESCRIPTION FIELD//</t>
  </si>
  <si>
    <t>11/19/2018 17:47:36</t>
  </si>
  <si>
    <t>Moravia (not listed in eHRAF)</t>
  </si>
  <si>
    <t>czec1259</t>
  </si>
  <si>
    <t>Volasske Pistaly</t>
  </si>
  <si>
    <t>https://theglobaljukebox.org/?share=Moravia-T9502R20</t>
  </si>
  <si>
    <t>hepherd's song; work song; herding song; pastoral song //CODING ID 9126 IN GLOBAL JUKEBOX, RELEVANT TEXT IS IN THE GENRE FIELD//</t>
  </si>
  <si>
    <t>11/19/2018 17:54:08</t>
  </si>
  <si>
    <t>Warnungamadada: culture not founded in eHRAF</t>
  </si>
  <si>
    <t>aoi</t>
  </si>
  <si>
    <t>Stringray, Dolphin, Curlew, and Shark songs</t>
  </si>
  <si>
    <t>Track 110</t>
  </si>
  <si>
    <t>The words of Groote Eylandt clan songs are poetic improvisations on given themes relating to territorial myths..//Smithsonian Folkways CATALOG NUMBER UNES08040 Liner Notes PDF Page. 4 https://folkways-media.si.edu/liner_notes/unesco/UNES08040.pdf//</t>
  </si>
  <si>
    <t>11/20/2018 4:24:12</t>
  </si>
  <si>
    <t>Rirratjingu: not founded in eHRAF</t>
  </si>
  <si>
    <t>dhan1271</t>
  </si>
  <si>
    <t>https://folkways.si.edu/tribal-music-of-australia/world/album/smithsonian</t>
  </si>
  <si>
    <t>Track 102</t>
  </si>
  <si>
    <t>Folkways Records //Smithsonian Folkways CATALOG NUMBER(S): FW04439, FE 4439//</t>
  </si>
  <si>
    <t>The second of these three songs is about a small bird which lays a little egg, and flies away calling tau tau. The song is a play on the words. //Smithsonian Folkways CATALOG NUMBER(S): FW04439, FE 4439 Liner Notes PDF Page. 4 https://folkways-media.si.edu/liner_notes/folkways/FW04439.pdf//</t>
  </si>
  <si>
    <t>bird egg small small, egg small bird, the bird's call //Smithsonian Folkways CATALOG NUMBER(S): FW04439, FE 4439 Liner Notes PDF Page. 4 https://folkways-media.si.edu/liner_notes/folkways/FW04439.pdf//</t>
  </si>
  <si>
    <t>11/20/2018 4:38:06</t>
  </si>
  <si>
    <t>Wadamiri:cuturre not founded in eHRAF</t>
  </si>
  <si>
    <t>Track 105</t>
  </si>
  <si>
    <t>This is made by the dancers forming a close ring; ll facing in and towards the ground they shout towards the latter, the spirit of "mother earth"</t>
  </si>
  <si>
    <t>11/20/2018 4:53:19</t>
  </si>
  <si>
    <t>Kunwinjku</t>
  </si>
  <si>
    <t>gunw1252</t>
  </si>
  <si>
    <t>gup</t>
  </si>
  <si>
    <t>Maraian Chant</t>
  </si>
  <si>
    <t>Track 106</t>
  </si>
  <si>
    <t>Important secret ceremonies have ended for the afternoon. An old Songman, caught up in the spirit of this Maraian, a kind of "All Souls Festival" commences to sing some sacred chants. //Smithsonian Folkways CATALOG NUMBER(S): FW04439, FE 4439 Liner Notes PDF Page. 5 https://folkways-media.si.edu/liner_notes/folkways/FW04439.pdf//</t>
  </si>
  <si>
    <t>11/20/2018 5:05:49</t>
  </si>
  <si>
    <t>Kunwinjku: not founded in eHRAF</t>
  </si>
  <si>
    <t>Sacred Song</t>
  </si>
  <si>
    <t>https://folkways.si.edu/yirritja-and-dhuwa-moieties/sacred-song/world/music/track/smithsonian</t>
  </si>
  <si>
    <t>Track 114</t>
  </si>
  <si>
    <t>in Maraian Ceremony</t>
  </si>
  <si>
    <t>Folkways Records// Smithsonian Folkways CATALOG NUMBER FW04439_114//</t>
  </si>
  <si>
    <t>This is a sacred song from a series chanted during an all-night session of the Maraian ceremonies of central Arnhem Land. This constitutes a kind of All Souls Festival. //Smithsonian Folkways CATALOG NUMBER FW04439_114 Liner Notes https://folkways-media.si.edu/liner_notes/folkways/FW04439.pdf Page. 9//</t>
  </si>
  <si>
    <t>11/20/2018 7:41:00</t>
  </si>
  <si>
    <t>Tolnau (not found in eHRAF)</t>
  </si>
  <si>
    <t>hung1274</t>
  </si>
  <si>
    <t>deu</t>
  </si>
  <si>
    <t>Erlosungvom Galgen</t>
  </si>
  <si>
    <t>https://theglobaljukebox.org/?share=Tolnau-T5462R56</t>
  </si>
  <si>
    <t>Ancient ballad, called The Brother's Redemption from the Gallows and The Brave Sister, has been found only in the S. E. areas of German settlement, in the 20th century in Hungary and the Banat and in the first half of the 19th century in Kuhländchen and Silesia; the material is related to medieval elevated poetry //CODING ID 1635 IN GLOBAL JUKEBOX, RELEVANT TEXT IS IN THE DESCRIPTION FIELD//</t>
  </si>
  <si>
    <t>11/20/2018 11:57:21</t>
  </si>
  <si>
    <t>Magyars (not found in eHRAF)</t>
  </si>
  <si>
    <t>hun</t>
  </si>
  <si>
    <t>Szerelem, Szerelem</t>
  </si>
  <si>
    <t>https://theglobaljukebox.org/?share=Hungary%20Folk-T5462R33</t>
  </si>
  <si>
    <t>Love song //CODING ID 4072 IN GLOBAL JUKEBOX, RELEVANT TEXT IS IN THE GENRE FIELD//</t>
  </si>
  <si>
    <t>11/20/2018 12:00:29</t>
  </si>
  <si>
    <t>Magyars</t>
  </si>
  <si>
    <t>Szerelem, szerelem, átkozott gyötrelem!</t>
  </si>
  <si>
    <t>https://theglobaljukebox.org/?share=Hungary%20Folk-T5462R38</t>
  </si>
  <si>
    <t>Love, Love, Thou Cursed Torture; lyric song; maiden's roundel //CODING ID 4072 IN GLOBAL JUKEBOX, RELEVANT TEXT IS IN THE DESCRIPTION FIELD//</t>
  </si>
  <si>
    <t>11/20/2018 12:03:29</t>
  </si>
  <si>
    <t>Hej, rozmaring, rozmaring!</t>
  </si>
  <si>
    <t>https://theglobaljukebox.org/?share=Hungary%20Folk-T5462R36</t>
  </si>
  <si>
    <t>Dance song; Ah Rosemary, Rosemary! //CODING ID 4076 IN GLOBAL JUKEBOX, RELEVANT TEXT IS IN THE DESCRIPTION FIELD//</t>
  </si>
  <si>
    <t>11/20/2018 12:05:34</t>
  </si>
  <si>
    <t>Hallorrad-e hirit Bereg vármegyének?</t>
  </si>
  <si>
    <t>https://theglobaljukebox.org/?share=Hungary%20Folk-T5462R37</t>
  </si>
  <si>
    <t>Ballad //CODING ID 4077 IN GLOBAL JUKEBOX, RELEVANT TEXT IS IN THE GENRE FIELD//</t>
  </si>
  <si>
    <t>11/20/2018 12:07:11</t>
  </si>
  <si>
    <t>Jai, jaj énnekem bánatos anyának!</t>
  </si>
  <si>
    <t>https://theglobaljukebox.org/?share=Hungary%20Folk-T5462R40</t>
  </si>
  <si>
    <t>Lament; Alas, alas for Me, for a Grieved Mother! //CODING ID 4079 IN GLOBAL JUKEBOX, RELEVANT TEXT IS IN THE DESCRIPTION FIELD//</t>
  </si>
  <si>
    <t>11/20/2018 12:09:21</t>
  </si>
  <si>
    <t>Elszaladt as aranygulya</t>
  </si>
  <si>
    <t>https://theglobaljukebox.org/?share=Hungary%20Folk-T5462R43</t>
  </si>
  <si>
    <t>Herding song; cattle song; pastoral song //CODING ID 4082 IN GLOBAL JUKEBOX, RELEVANT TEXT IS IN THE DESCRIPTION FIELD//</t>
  </si>
  <si>
    <t>11/20/2018 12:11:43</t>
  </si>
  <si>
    <t>The Black Hen Has Eaten All the Sour Cherry</t>
  </si>
  <si>
    <t>https://theglobaljukebox.org/?share=Hungary%20Folk-T5524R06</t>
  </si>
  <si>
    <t>Slow Csárdás Dance Tune //CODING ID 9172 IN GLOBAL JUKEBOX, RELEVANT TEXT IS IN THE DESCRIPTION FIELD//</t>
  </si>
  <si>
    <t>11/20/2018 12:18:13</t>
  </si>
  <si>
    <t>A Temetőkapu</t>
  </si>
  <si>
    <t>https://theglobaljukebox.org/?share=Hungary%20Folk-T5522R53</t>
  </si>
  <si>
    <t>Funeral song //CODING ID 9414 IN GLOBAL JUKEBOX, RELEVANT TEXT IS IN THE GENRE FIELD//</t>
  </si>
  <si>
    <t>11/20/2018 14:24:59</t>
  </si>
  <si>
    <t>Niedersachsen (Lower Saxony)-- not found in eHRAF</t>
  </si>
  <si>
    <t>Arbeitsgesang Der Holmer Fischer</t>
  </si>
  <si>
    <t>https://theglobaljukebox.org/?share=Lower%20Saxony-T5462R50m</t>
  </si>
  <si>
    <t>Fishermen's song; work song; net hauling song; telling of an encounter with a sailing vessel and the intemperate life of the peasants //CODING ID 1626 IN GLOBAL JUKEBOX, RELEVANT TEXT IS IN THE DESCRIPTION FIELD//</t>
  </si>
  <si>
    <t>11/20/2018 14:29:14</t>
  </si>
  <si>
    <t>Niedersachsen (Lower Saxony)</t>
  </si>
  <si>
    <t>Wiegenlied</t>
  </si>
  <si>
    <t>https://theglobaljukebox.org/?share=Lower%20Saxony-T5465R17m</t>
  </si>
  <si>
    <t>Lullaby //CODING ID 1636 IN GLOBAL JUKEBOX, RELEVANT TEXT IS IN THE GENRE FIELD//</t>
  </si>
  <si>
    <t>11/20/2018 14:31:46</t>
  </si>
  <si>
    <t>Schleswig-Holstein</t>
  </si>
  <si>
    <t>lowg1239</t>
  </si>
  <si>
    <t>Zimmermannslied</t>
  </si>
  <si>
    <t>https://theglobaljukebox.org/?share=Schleswig-Holstein-T5465R12m</t>
  </si>
  <si>
    <t>Well-known artisans' song, popular with carpenters and other trades, and with soldiers; struck up by journeymen carpenters on every occasion //CODING ID 1617 IN GLOBAL JUKEBOX, RELEVANT TEXT IS IN THE DESCRIPTION FIELD//</t>
  </si>
  <si>
    <t>11/20/2018 14:34:05</t>
  </si>
  <si>
    <t>Wenn hier ein Putt mit Bohnen steiht</t>
  </si>
  <si>
    <t>https://theglobaljukebox.org/?share=Schleswig-Holstein-T5465R18m</t>
  </si>
  <si>
    <t>Northern German dance song //CODING ID 1624 IN GLOBAL JUKEBOX, RELEVANT TEXT IS IN THE DESCRIPTION FIELD//</t>
  </si>
  <si>
    <t>11/20/2018 14:35:50</t>
  </si>
  <si>
    <t>Martinslied</t>
  </si>
  <si>
    <t>https://theglobaljukebox.org/?share=Schleswig-Holstein-T5465R15m</t>
  </si>
  <si>
    <t>Children's song with characteristic line-by-line melody dating back to earliest times //CODING ID 1634 IN GLOBAL JUKEBOX, RELEVANT TEXT IS IN THE DESCRIPTION FIELD//</t>
  </si>
  <si>
    <t>11/20/2018 14:37:27</t>
  </si>
  <si>
    <t>Nordrhein-Westfalen (not found in eHRAF)</t>
  </si>
  <si>
    <t>Wechselgesang Zweier Hirten</t>
  </si>
  <si>
    <t>https://theglobaljukebox.org/?share=N.%20Rhine-Westphalia-T5464R19</t>
  </si>
  <si>
    <t>Work song; herding song; pastoral song; cattle song //CODING ID 1621 IN GLOBAL JUKEBOX, RELEVANT TEXT IS IN THE GENRE FIELD//</t>
  </si>
  <si>
    <t>11/20/2018 14:44:25</t>
  </si>
  <si>
    <t>Swabia-Rhineand Palati</t>
  </si>
  <si>
    <t>swab1242</t>
  </si>
  <si>
    <t>Laterne, Laterne; Jetzt Feiern Wir Johannisnacht</t>
  </si>
  <si>
    <t>https://theglobaljukebox.org/?share=Swabia-Rhineand%20Palati-T5465R14</t>
  </si>
  <si>
    <t>A children's song asking for a gift of eggs; sung from door to door by boys on Midsummer's Eve //CODING ID 1632 IN GLOBAL JUKEBOX, RELEVANT TEXT IS IN THE DESCRIPTION FIELD//</t>
  </si>
  <si>
    <t>11/20/2018 14:48:35</t>
  </si>
  <si>
    <t>Baden-Württemberg (not in eHRAF)</t>
  </si>
  <si>
    <t>Zwei Paar Leinene Strumpf</t>
  </si>
  <si>
    <t>https://theglobaljukebox.org/?share=Baden-W%C3%BCrttemberg-T5462R59m</t>
  </si>
  <si>
    <t>This dance-duet was originally performed in mime; predominantly known in Southern Germany and in German-speaking enclaves from Hungary to Switzerland //CODING ID 1625 IN GLOBAL JUKEBOX, RELEVANT TEXT IS IN THE DESCRIPTION FIELD//</t>
  </si>
  <si>
    <t>11/20/2018 14:52:53</t>
  </si>
  <si>
    <t>Baden-Württemberg</t>
  </si>
  <si>
    <t>Graf Und Nonne</t>
  </si>
  <si>
    <t>https://theglobaljukebox.org/?share=Baden-W%C3%BCrttemberg-T5462R57</t>
  </si>
  <si>
    <t>Ballad //CODING ID 1730 IN GLOBAL JUKEBOX, RELEVANT TEXT IS IN THE DESCRIPTION FIELD//</t>
  </si>
  <si>
    <t>11/20/2018 14:54:36</t>
  </si>
  <si>
    <t>Deggendorf</t>
  </si>
  <si>
    <t>Das Häuserl Im Wald</t>
  </si>
  <si>
    <t>https://theglobaljukebox.org/?share=Deggendorf-T5465R16m</t>
  </si>
  <si>
    <t>Schnaderhüpfl dance song with varying lyrics still popular in the Bavarian Forest and iBavarian regions of Southeastern Europe //CODING ID 1633 IN GLOBAL JUKEBOX, RELEVANT TEXT IS IN THE DESCRIPTION FIELD//</t>
  </si>
  <si>
    <t>11/20/2018 14:56:52</t>
  </si>
  <si>
    <t>The Baranquillan Woman, La mujer barranquillera</t>
  </si>
  <si>
    <t>https://ailla.utexas.org/islandora/object/ailla%3A136036</t>
  </si>
  <si>
    <t>Archive of the Indigenous Languages of Latin America</t>
  </si>
  <si>
    <t>The Baranquillan Woman//Wounaan Oral Traditions and Music, Lapovsky Kennedy Collection</t>
  </si>
  <si>
    <t>"The most beautiful thing about mi Colombian land is its blue sea bathing its beaches this landscape is only gifted in Barranquilla, Santa Marta, and Cartagena and how beautiful is the woman of the coast, how beautiful is the land of the coast."//Wounaan Oral Traditions and Music, Lapovsky Kennedy Collection</t>
  </si>
  <si>
    <t>The website says the file name for the audio but I cannot seem to access it.</t>
  </si>
  <si>
    <t>11/20/2018 16:16:34</t>
  </si>
  <si>
    <t>Orinico, Colombia</t>
  </si>
  <si>
    <t>106 Y soy llanero</t>
  </si>
  <si>
    <t>https://folkways.si.edu/grupo-cimarron/si-soy-llanero-joropo-music-from-the-orinoco-plains-of-colombia/latin-world/album/smithsonian</t>
  </si>
  <si>
    <t>Y Soy Llanero// Found on Album "Si, Soy Llanero on Smithsonian Folkways"</t>
  </si>
  <si>
    <t>"Written along the lines of a pasaje tradicional, this song praises the plainsman's values an exalts the memory of the two plains prototypes: Florentino, the mythical hero...and Guadelupe Salcedo, leader of the liberal guerillas."// Found on Album "Si, Soy Llanero on Smithsonian Folkways"</t>
  </si>
  <si>
    <t>11/20/2018 16:39:31</t>
  </si>
  <si>
    <t>Australia, specific culture not mentioned</t>
  </si>
  <si>
    <t>meri1244 or kala1377</t>
  </si>
  <si>
    <t>Hunting song, Kariudo uta, by S. Minami.</t>
  </si>
  <si>
    <t>https://sounds.bl.uk/World-and-traditional-music/Ethnographic-wax-cylinders/025M-C0080X1050XX-0100V0</t>
  </si>
  <si>
    <t>11/22/2018 3:53:05</t>
  </si>
  <si>
    <t>Workman's Song</t>
  </si>
  <si>
    <t>https://sounds.bl.uk/World-and-traditional-music/Ethnographic-wax-cylinders/025M-C0080X1051XX-0100V0</t>
  </si>
  <si>
    <t>11/22/2018 3:59:33</t>
  </si>
  <si>
    <t>Santa Ana Pueblo not found on EHARF</t>
  </si>
  <si>
    <t>kere1287</t>
  </si>
  <si>
    <t>Santa Ana: Drum Dance</t>
  </si>
  <si>
    <t>https://folkways.si.edu/santa-ana-drum-dance/american-indian/music/track/smithsonian</t>
  </si>
  <si>
    <t>disk 1 track 8</t>
  </si>
  <si>
    <t>“Santa Ana: Drum Dance” //CATALOG NUMBER FW088850_201 IN SMITHSONIAN FOLKWAYS, RELEVANT TEXT IS IN THE TITLE FIELD//</t>
  </si>
  <si>
    <t>album: Indian Music of the Southwest languages: keres //CATALOG NUMBER FW088850_201 IN SMITHSONIAN FOLKWAYS, RELEVANT TEXT IS IN THE TRANK INFO//</t>
  </si>
  <si>
    <t>11/22/2018 17:32:24</t>
  </si>
  <si>
    <t>Santa Ana Pueblo</t>
  </si>
  <si>
    <t>Santa Ana: Midnight Dance</t>
  </si>
  <si>
    <t>https://folkways.si.edu/santa-ana-midnight-dance/american-indian/music/track/smithsonian</t>
  </si>
  <si>
    <t>disc 1 track 9</t>
  </si>
  <si>
    <t>“Santa Ana: Midnight Dance” //CATALOG NUMBER FW08850_202 IN SMITHSONIAN FOLKWAYS, RELEVANT TEXT IS IN THE TITLE FIELD//</t>
  </si>
  <si>
    <t>album: indian music of the southwest languages: keres //CATALOG NUMBER FW08850_202 IN SMITHSONIAN FOLKWAYS, RELEVANT TEXT IS IN THE TRACK INFO//</t>
  </si>
  <si>
    <t>11/22/2018 17:36:31</t>
  </si>
  <si>
    <t>Kiowa</t>
  </si>
  <si>
    <t>https://folkways.si.edu/dorothy-whitehorse-delaune/lullaby/american-indian/music/track/smithsonian</t>
  </si>
  <si>
    <t>disk 1 track 19</t>
  </si>
  <si>
    <t>“Lullaby” //CATALOG NUMBER SFW40455_119 IN SMITHSONIAN FOLKWAYS, RELEVANT TEXT IS IN THE TITLE FIELD//</t>
  </si>
  <si>
    <t>search criteria --&gt; Kiowa</t>
  </si>
  <si>
    <t>11/22/2018 17:48:14</t>
  </si>
  <si>
    <t>kiowa</t>
  </si>
  <si>
    <t>buffalo dance</t>
  </si>
  <si>
    <t>https://folkways.si.edu/kenneth-anquoe/buffalo-dance/american-indian/music/track/smithsonian</t>
  </si>
  <si>
    <t>disc 1 track 4</t>
  </si>
  <si>
    <t>Buffalo Dance //CATALOG NUMBER FW04393_104 IN SMITHSONIAN FOLKWAYS, RELEVANT TEXT IS IN THE TITLE FIELD//</t>
  </si>
  <si>
    <t>11/22/2018 18:20:24</t>
  </si>
  <si>
    <t>yaqui</t>
  </si>
  <si>
    <t>Paloma</t>
  </si>
  <si>
    <t>https://folkways.si.edu/paloma/american-indian-world/music/track/smithsonian</t>
  </si>
  <si>
    <t>disk 1 track 2</t>
  </si>
  <si>
    <t>None of these, Smithsonian Folkways</t>
  </si>
  <si>
    <t>Paloma //CATALOG NUMBER FW06957 IN SMITHSONIAN FOLKWAYS, RELEVANT TEXT IS IN THE TRACK FIELD//</t>
  </si>
  <si>
    <t>The Yaqui Dances: Pascola Music of the Yaqui Indians of Northern Mexico //CATALOG NUMBER FW06957 IN SMITHSONIAN FOLKWAYS, RELEVANT TEXT IS IN THE TRACK FIELD//</t>
  </si>
  <si>
    <t>search bar --&gt; yaqui</t>
  </si>
  <si>
    <t>11/23/2018 20:46:55</t>
  </si>
  <si>
    <t>yaqui from mexico not found on EHARF</t>
  </si>
  <si>
    <t>papusa</t>
  </si>
  <si>
    <t>https://folkways.si.edu/papusa/american-indian-world/music/track/smithsonian</t>
  </si>
  <si>
    <t>disk 1 track 3</t>
  </si>
  <si>
    <t>Papusa //CATALOG NUMBER FW06957_103 IN SMITHSONIAN FOLKWAYS, RELEVANT TEXT IS IN THE TRACK INFO//</t>
  </si>
  <si>
    <t>The Yaqui Dances: Pascola Music of the Yaqui Indians of Northern Mexico //CATALOG NUMBER FW06957_103 IN SMITHSONIAN FOLKWAYS, RELEVANT TEXT IS IN THE TRACK INFO//</t>
  </si>
  <si>
    <t>search bar --&gt; yaqui --&gt; the yaqui dances</t>
  </si>
  <si>
    <t>11/23/2018 20:50:45</t>
  </si>
  <si>
    <t>yaqui from mexico, not found on EHARF</t>
  </si>
  <si>
    <t>dance song</t>
  </si>
  <si>
    <t>https://folkways.si.edu/dance-song/american-indian-world/music/track/smithsonian</t>
  </si>
  <si>
    <t>dance song //CATALOG NUMBER FW06957_204 IN SMITHSONIAN FOLKWAYS, RELEVANT TEXT IS IN THE TRANK INFORMATION//</t>
  </si>
  <si>
    <t>The Yaqui Dances: Pascola Music of the Yaqui Indians of Northern Mexico //CATALOG NUMBER FW06957_204 IN SMITHSONIAN FOLKWAYS, RELEVANT TEXT IS IN THE TRANK INFORMATION//</t>
  </si>
  <si>
    <t>11/23/2018 20:55:21</t>
  </si>
  <si>
    <t>cora not found on EHARF</t>
  </si>
  <si>
    <t>cora- harvest chant</t>
  </si>
  <si>
    <t>https://folkways.si.edu/cora-shaman-with-mitote/cora-harvest-chant/american-indian-world/music/track/smithsonian</t>
  </si>
  <si>
    <t>disk 1 track 13</t>
  </si>
  <si>
    <t>Cora - Harvest Chant //CATALOG NUMBER FW04413_206 IN SMITHSONIAN FOLKWAYS, RELEVANT TEXT IS IN THE TITLE FIELD//</t>
  </si>
  <si>
    <t>search bar --&gt; cora --&gt; indian music of mexico</t>
  </si>
  <si>
    <t>11/23/2018 21:02:26</t>
  </si>
  <si>
    <t>akimel o'odham</t>
  </si>
  <si>
    <t>akim1239</t>
  </si>
  <si>
    <t>social dance song</t>
  </si>
  <si>
    <t>https://theglobaljukebox.org/?share=Akimel%20O'odham-T5405R21m</t>
  </si>
  <si>
    <t>no track available Lomax Source: 1B10.B7; CHB6A1.11</t>
  </si>
  <si>
    <t>Social Dance Song //CODING ID 163 IN GLOBAL JUKEBOX, RELEVANT TEXT IS IN THE SONG TITLE//</t>
  </si>
  <si>
    <t>Pima social dance //CODING ID 163 IN GLOBAL JUKEBOX, RELEVANT TEXT IS IN THE DESCRIPTION FIELD//</t>
  </si>
  <si>
    <t>11/23/2018 21:35:04</t>
  </si>
  <si>
    <t>Akimel O'odham</t>
  </si>
  <si>
    <t>Medicine Song- Bird</t>
  </si>
  <si>
    <t>https://theglobaljukebox.org/?share=Akimel%20O'odham-T5405R28</t>
  </si>
  <si>
    <t>no track number available Lomax Source: T1610 .3</t>
  </si>
  <si>
    <t>Medicine Song-Bird //CODING ID 2743 IN GLOBAL JUKEBOX, RELEVANT TEXT IS IN THE SONG TITLE//</t>
  </si>
  <si>
    <t>Healing song; animal song; medicine song //CODING ID 2743 IN GLOBAL JUKEBOX, RELEVANT TEXT IS IN THE DESCRIPTION FIELD//</t>
  </si>
  <si>
    <t>11/23/2018 21:38:29</t>
  </si>
  <si>
    <t>Tohono O'odham</t>
  </si>
  <si>
    <t>toho1246</t>
  </si>
  <si>
    <t>toho1245</t>
  </si>
  <si>
    <t>https://theglobaljukebox.org/?share=Tohono%20O%E2%80%99odham-T5405R14m</t>
  </si>
  <si>
    <t>no track number Lomax Source: 1B10.B5</t>
  </si>
  <si>
    <t>Papago: Medicine Song //CODING ID 161 IN GLOBAL JUKEBOX, RELEVANT TEXT IS IN THE SONG TITLE//</t>
  </si>
  <si>
    <t>Healing song; medicine song //CODING ID 161 IN GLOBAL JUKEBOX, RELEVANT TEXT IS IN THE DESCRIPTION FIELD//</t>
  </si>
  <si>
    <t>11/23/2018 21:44:51</t>
  </si>
  <si>
    <t>Creation Myth 2</t>
  </si>
  <si>
    <t>https://theglobaljukebox.org/?share=Tohono%20O%E2%80%99odham-T5405R16</t>
  </si>
  <si>
    <t>no track number Lomax Source: T1615 .3</t>
  </si>
  <si>
    <t>Creation Myth 2 //CODING ID 1821 IN GLOBAL JUKEBOX, RELEVANT TEXT IS IN THE TITLE FIELD//</t>
  </si>
  <si>
    <t>Creation myth song; unaccompanied male unison duet //CODING ID 1821 IN GLOBAL JUKEBOX, RELEVANT TEXT IS IN THE DESCRIPTION FIELD//</t>
  </si>
  <si>
    <t>11/23/2018 21:48:56</t>
  </si>
  <si>
    <t>Tohono O'odham alt. names papago</t>
  </si>
  <si>
    <t>toho1247</t>
  </si>
  <si>
    <t>Creation Myth 1</t>
  </si>
  <si>
    <t>https://theglobaljukebox.org/?share=Tohono%20O%E2%80%99odham-T5405R17</t>
  </si>
  <si>
    <t>no track number Lomax Source: T1615 .2</t>
  </si>
  <si>
    <t>Creation Myth 1 //CODING ID 1822 IN GLOBAL JUKEBOX, RELEVANT TEXT IS IN THE SONG TITLE//</t>
  </si>
  <si>
    <t>Creation song; mythical song //CODING ID 1822 IN GLOBAL JUKEBOX, RELEVANT TEXT IS IN THE GENRE FIELD//</t>
  </si>
  <si>
    <t>11/23/2018 21:52:22</t>
  </si>
  <si>
    <t>toho1248</t>
  </si>
  <si>
    <t>Devil Medicine Song</t>
  </si>
  <si>
    <t>https://theglobaljukebox.org/?share=Tohono%20O%E2%80%99odham-T5405R19</t>
  </si>
  <si>
    <t>no track number Lomax Source: T1615 .1</t>
  </si>
  <si>
    <t>Devil Medicine Song //CODING ID 3321 IN GLOBAL JUKEBOX, RELEVANT TEXT IS IN THE SONG TITLE FIELD//</t>
  </si>
  <si>
    <t>Medicine song; healing song //CODING ID 3321 IN GLOBAL JUKEBOX, RELEVANT TEXT IS IN THE GENRE FIELD//</t>
  </si>
  <si>
    <t>11/23/2018 21:56:38</t>
  </si>
  <si>
    <t>toho1249</t>
  </si>
  <si>
    <t>https://theglobaljukebox.org/?share=Tohono%20O%E2%80%99odham-T5405R20</t>
  </si>
  <si>
    <t>no track number Lomax Source: T1615 .5</t>
  </si>
  <si>
    <t>Medicine Song //CODING ID 3322 IN GLOBAL JUKEBOX, RELEVANT TEXT IS IN THE SONG TITLE//</t>
  </si>
  <si>
    <t>Healing song; medicine song //CODING ID 3322 IN GLOBAL JUKEBOX, RELEVANT TEXT IS IN THE GENRE//</t>
  </si>
  <si>
    <t>11/23/2018 22:01:12</t>
  </si>
  <si>
    <t>wixaritari; huichol; only huichol found on EHARF</t>
  </si>
  <si>
    <t>no track number Lomax Source: T1738.B44</t>
  </si>
  <si>
    <t>Marriage Song //CODING ID 2754 IN GLOBAL JUKEBOX, RELEVANT TEXT IS IN THE SONG TITLE FIELD//</t>
  </si>
  <si>
    <t>Wedding song; dance song //CODING ID 2754 IN GLOBAL JUKEBOX, RELEVANT TEXT IS IN THE GENRE FIELD//</t>
  </si>
  <si>
    <t>11/23/2018 22:06:36</t>
  </si>
  <si>
    <t>North Mexico - no specific culture listed</t>
  </si>
  <si>
    <t>Ezequiel Rodríguez</t>
  </si>
  <si>
    <t>https://folkways.si.edu/el-palomo-y-el-gorrion/ezequiel-rodriguez/latin-world/music/track/smithsonian</t>
  </si>
  <si>
    <t>In liner notes: "This corrido is based on real events that apparently occurred in 1941, as stated in the first stanza. The murder that ..." //track#: 1/5//album: Ballads and Corridos, 1949-1975//catalog #: ARH00367_105//Smithsonian Folkways</t>
  </si>
  <si>
    <t>liner notes: https://folkways-media.si.edu/liner_notes/arhoolie/ARH00367.pdf</t>
  </si>
  <si>
    <t>Recording is not free</t>
  </si>
  <si>
    <t>11/24/2018 0:10:36</t>
  </si>
  <si>
    <t>Tengo Un Amor</t>
  </si>
  <si>
    <t>https://folkways.si.edu/maya-y-cantu/tengo-un-amor/latin-world/music/track/smithsonian</t>
  </si>
  <si>
    <t>Tengo Un Amor (Love)//disc 1, track 2//album: El Primero Conjunto Norteño Famoso//catalog #ARH09013_102//Smithsonian Folkways</t>
  </si>
  <si>
    <t>liner notes: https://folkways-media.si.edu/liner_notes/arhoolie/ARH09013.pdf</t>
  </si>
  <si>
    <t>11/25/2018 1:27:18</t>
  </si>
  <si>
    <t>Harvest Dance</t>
  </si>
  <si>
    <t>https://folkways.si.edu/harvest-dance/american-indian-world/music/track/smithsonian</t>
  </si>
  <si>
    <t>Harvest Chant (Dance)//Disc 1, Track 4// Album: Anthology of Central and South American Indian Music//Catalog# FW04542_104//Smithsonian Folkways</t>
  </si>
  <si>
    <t>liner notes: https://folkways-media.si.edu/liner_notes/folkways/FW04542.pdf</t>
  </si>
  <si>
    <t>11/25/2018 1:53:07</t>
  </si>
  <si>
    <t>Aymara-Chile-El Floreo</t>
  </si>
  <si>
    <t>https://folkways.si.edu/aymara-chile-el-floreo/american-indian-world/music/track/smithsonian</t>
  </si>
  <si>
    <t>Ceremony for honouring animals</t>
  </si>
  <si>
    <t>CEREMONY //CATALOG NUMBER(S) FW04542, FE 4542 IN SMITHSONIAN FOLKWAYS, RELEVANT TEXT IS IN THE LINEAR NOTES//</t>
  </si>
  <si>
    <t>11/25/2018 17:32:30</t>
  </si>
  <si>
    <t>Danzig (not in eHRAF)</t>
  </si>
  <si>
    <t>kash1274</t>
  </si>
  <si>
    <t>Brummtopflieo</t>
  </si>
  <si>
    <t>https://theglobaljukebox.org/?share=Danzig-T5465R13</t>
  </si>
  <si>
    <t>Congratulations song to the occupants of the house //CODING ID 1631 IN GLOBAL JUKEBOX, RELEVANT TEXT IS IN THE DESCRIPTION FIELD//</t>
  </si>
  <si>
    <t>11/26/2018 16:51:11</t>
  </si>
  <si>
    <t>Polish</t>
  </si>
  <si>
    <t>poli1260</t>
  </si>
  <si>
    <t>pol</t>
  </si>
  <si>
    <t>Polka Prez Noge</t>
  </si>
  <si>
    <t>https://theglobaljukebox.org/?share=Polish%20Folk-T5464R48</t>
  </si>
  <si>
    <t>Where were you, Johnny?; polka, foot dance; an old melody //CODING ID 528 IN GLOBAL JUKEBOX, RELEVANT TEXT IS IN THE DESCRIPTION FIELD//</t>
  </si>
  <si>
    <t>11/26/2018 16:55:13</t>
  </si>
  <si>
    <t>Swiss Alps</t>
  </si>
  <si>
    <t>swis1247</t>
  </si>
  <si>
    <t>Shepherd Song</t>
  </si>
  <si>
    <t>https://theglobaljukebox.org/?share=Swiss%20Alps-T5467R43</t>
  </si>
  <si>
    <t>Shepherd Song //CODING ID 336 IN GLOBAL JUKEBOX, RELEVANT TEXT IS IN THE TITLE//</t>
  </si>
  <si>
    <t>11/26/2018 17:06:22</t>
  </si>
  <si>
    <t>Children's Song</t>
  </si>
  <si>
    <t>https://theglobaljukebox.org/?share=Swiss%20Alps-T5467R41</t>
  </si>
  <si>
    <t>Children's Song //CODING ID 341 IN GLOBAL JUKEBOX, RELEVANT TEXT IS IN THE TITLE//</t>
  </si>
  <si>
    <t>Call and response; sung in French //CODING ID 341 IN GLOBAL JUKEBOX, RELEVANT TEXT IS IN THE DESCRIPTION FIELD//</t>
  </si>
  <si>
    <t>11/26/2018 17:11:35</t>
  </si>
  <si>
    <t>Hugyag</t>
  </si>
  <si>
    <t>O, siralon, o fajdalom (translates to "Oh, misery, oh, suffering, I shall speak about the dead")</t>
  </si>
  <si>
    <t>http://gofile.me/3T2hs/KHfdcOpzp</t>
  </si>
  <si>
    <t>CD: Death is the Reaper of the World</t>
  </si>
  <si>
    <t>O, siralon, o fajdalom (translates to "Oh, misery, oh, suffering, I shall speak about the dead") //TRACK 12 IN "DEATH IS THE REAPER OVER THE WORLD", RELEVANT TEXT IS IN THE TITLE//</t>
  </si>
  <si>
    <t>11/27/2018 14:03:48</t>
  </si>
  <si>
    <t>Gyimeskozeplok</t>
  </si>
  <si>
    <t>O, jaj nekem szomorunak</t>
  </si>
  <si>
    <t>http://gofile.me/3T2hs/GmioLCkAi</t>
  </si>
  <si>
    <t>CD: Death is the Reaper over the World</t>
  </si>
  <si>
    <t>O, jaj nekem szomorunak (translates to "Oh, woe is me, I am sad") //TRACK 26 IN DEATH IS THE REAPER OVER THE WORLD, RELEVANT TEXT IS IN THE TITLE//</t>
  </si>
  <si>
    <t>11/27/2018 14:08:58</t>
  </si>
  <si>
    <t>Recorded in Alsoszina</t>
  </si>
  <si>
    <t>Halotti-indulo</t>
  </si>
  <si>
    <t>http://gofile.me/3T2hs/sS8tVK3BM</t>
  </si>
  <si>
    <t>Halorri-indulo (translates to "Funeral March") //TRACK 27 IN CD 2 OF DEATH IS THE REAPER OVER THE WORLD, RELEVANT TEXT IS IN THE TITLE//</t>
  </si>
  <si>
    <t>11/27/2018 14:22:52</t>
  </si>
  <si>
    <t>Recorded in Gyimeskozeplok</t>
  </si>
  <si>
    <t>Halotti mars, a temetobol visszajovet #1</t>
  </si>
  <si>
    <t>http://gofile.me/3T2hs/bpAPawoNt</t>
  </si>
  <si>
    <t>Halotti mars, a temetobol visszajovet #1 (translates to "Funeral march back from the cemetery") //TRACK 33 IN DEATH IS THE REAPER OVER THE WORLD, RELEVANT TEXT IS IN THE TITLE//</t>
  </si>
  <si>
    <t>11/27/2018 14:31:03</t>
  </si>
  <si>
    <t>Recorded in Feketelak</t>
  </si>
  <si>
    <t>s Fehrer galamb szallt a hazra</t>
  </si>
  <si>
    <t>http://gofile.me/3T2hs/UbFBEhY87</t>
  </si>
  <si>
    <t>CD: Death is the Reaper over the world</t>
  </si>
  <si>
    <t>Funeral (Going to the cemetery)</t>
  </si>
  <si>
    <t>Going to the cemetery; During the singing, you can hear the hammering on the coffin //TRACK 17 IN CD 2 OF DEATH IS THE REAPER OF THE WORLD, RELEVANT TEXT IN THE ETHNOGRAPHY//</t>
  </si>
  <si>
    <t>11/27/2018 14:39:48</t>
  </si>
  <si>
    <t>swe</t>
  </si>
  <si>
    <t>Falkvard Langmansson</t>
  </si>
  <si>
    <t>http://media.theglobaljukebox.org/audio/T9530R38.mp3</t>
  </si>
  <si>
    <t>Ballad //CODING ID 9479 IN GLOBAL JUKEBOX, RELEVANT TEXT IS IN THE DESCRIPTION FIELD//</t>
  </si>
  <si>
    <t>https://theglobaljukebox.org/?share=Sweden-T9530R38</t>
  </si>
  <si>
    <t>11/27/2018 18:35:52</t>
  </si>
  <si>
    <t>Norway</t>
  </si>
  <si>
    <t>norw1258</t>
  </si>
  <si>
    <t>nor</t>
  </si>
  <si>
    <t>Cattle Calls</t>
  </si>
  <si>
    <t>http://media.theglobaljukebox.org/audio/T5465R39.mp3</t>
  </si>
  <si>
    <t>Global Jukebox, Smithsonian Folkways, Ralph Rinzler Folklife Archives and Collections, Smithsonian Center for Folklife and Cultural Heritage.</t>
  </si>
  <si>
    <t>//CODING ID 544 IN GLOBAL JUKEBOX, RELEVANT TEXT IS IN THE DESCRIPTION FIELD//Work song; cattle song; mountain song; pastoral song</t>
  </si>
  <si>
    <t>https://theglobaljukebox.org/?share=Norway-T5465R39</t>
  </si>
  <si>
    <t>11/27/2018 18:42:23</t>
  </si>
  <si>
    <t>norw1259</t>
  </si>
  <si>
    <t>Verses from the Draumkvedet</t>
  </si>
  <si>
    <t>http://media.theglobaljukebox.org/audio/T5464R34.mp3</t>
  </si>
  <si>
    <t>Global Jukebox, Smithsonian Folkways, Ralph Rinzler Folklife Archives and Collections</t>
  </si>
  <si>
    <t>Ballad; heroic song; Christmas song //CODING ID 545 IN GLOBAL JUKEBOX, RELEVANT TEXT IS IN THE DESCRIPTION FIELD//</t>
  </si>
  <si>
    <t>https://theglobaljukebox.org/?share=Norway-T5464R34</t>
  </si>
  <si>
    <t>11/27/2018 18:49:02</t>
  </si>
  <si>
    <t>norw1260</t>
  </si>
  <si>
    <t>Sulla Rulla Gjertrue Mi</t>
  </si>
  <si>
    <t>http://media.theglobaljukebox.org/audio/T5464R32.mp3</t>
  </si>
  <si>
    <t>Lullaby //CODING ID 2516 IN GLOBAL JUKEBOX, RELEVANT TEXT IS IN THE DESCRIPTION FIELD//</t>
  </si>
  <si>
    <t>https://theglobaljukebox.org/?share=Norway-T5464R32</t>
  </si>
  <si>
    <t>11/27/2018 18:53:02</t>
  </si>
  <si>
    <t>norw1261</t>
  </si>
  <si>
    <t>Kjeringji Mae Stav'en</t>
  </si>
  <si>
    <t>http://media.theglobaljukebox.org/audio/T5464R30.mp3</t>
  </si>
  <si>
    <t>Global Jukebox, Smithsonian Folkways, Ralph Rinzler Folklife Archives and Collections,Copy in Alan Lomax Collection, American Folklife Center, Library of Congress</t>
  </si>
  <si>
    <t>Dance song //CODING ID 2517 IN GLOBAL JUKEBOX, RELEVANT TEXT IS IN THE DESCRIPTION FIELD//</t>
  </si>
  <si>
    <t>https://theglobaljukebox.org/?share=Norway-T5464R30</t>
  </si>
  <si>
    <t>11/27/2018 18:58:06</t>
  </si>
  <si>
    <t>norw1262</t>
  </si>
  <si>
    <t>Vassro-Fela</t>
  </si>
  <si>
    <t>http://media.theglobaljukebox.org/audio/T5464R33.mp3</t>
  </si>
  <si>
    <t>Global Jukebox, Ralph Rinzler Folklife Archives and Collections,Copy in Alan Lomax Collection, American Folklife Center, Library of Congress</t>
  </si>
  <si>
    <t>Lullaby //CODING ID 3660 IN GLOBAL JUKEBOX, RELEVANT TEXT IS IN THE DESCRIPTION FIELD//</t>
  </si>
  <si>
    <t>https://theglobaljukebox.org/?share=Norway-T5464R33</t>
  </si>
  <si>
    <t>11/27/2018 19:00:59</t>
  </si>
  <si>
    <t>The album of "a world of kids Australia". No specific culture stated. Multiple songs in aboriginal languages.</t>
  </si>
  <si>
    <t>pama1250</t>
  </si>
  <si>
    <t>Bellin-bellin (The cow)</t>
  </si>
  <si>
    <t>http://www.worldcat.org/title/australia/oclc/50417070?lang=en</t>
  </si>
  <si>
    <t>Children's sound recordings//Genre WorldCat OCLC Number 50417070//</t>
  </si>
  <si>
    <t>11/28/2018 17:47:23</t>
  </si>
  <si>
    <t>Trevor Adamson (singer) is from Pukatja, South Australia. But Pukatja cannot be found in eHRAF</t>
  </si>
  <si>
    <t>Nyanpi Matilda = Waltzing Matilda</t>
  </si>
  <si>
    <t>http://www.worldcat.org/title/world-music/oclc/772956606?lang=en</t>
  </si>
  <si>
    <t>Genre: Juvenile works // WorldCat OCLC Number :772956606//</t>
  </si>
  <si>
    <t>Found the audio on Youtube. https://www.youtube.com/watch?v=0S8ikjTKFa0</t>
  </si>
  <si>
    <t>Got the information from WorldCat and audio from Youtube</t>
  </si>
  <si>
    <t>11/28/2018 17:57:27</t>
  </si>
  <si>
    <t>NA, from the album "Australian playground"</t>
  </si>
  <si>
    <t>Marrtjina (Let's go)(the NEO and Garrangali)</t>
  </si>
  <si>
    <t>http://www.worldcat.org/title/australian-playground/oclc/879251089&amp;referer=brief_results#relatedsubjects</t>
  </si>
  <si>
    <t>Genre: Juvenile works //WorldCat OCLC Number 879251089//</t>
  </si>
  <si>
    <t>11/28/2018 18:09:24</t>
  </si>
  <si>
    <t>German</t>
  </si>
  <si>
    <t>Germany: Die Bluemelein sie schlafen / Ober de stelen straten / Schlaf in suesser Ruh</t>
  </si>
  <si>
    <t>https://search-alexanderstreet-com.ezp-prod1.hul.harvard.edu/view/work/bibliographic_entity%7Crecorded_track%7C237779</t>
  </si>
  <si>
    <t>Alexander Street, Folkways Records, CD: Lullabies of the World</t>
  </si>
  <si>
    <t>Lullabies of the World //TRACK 17 IN LULLABIES OF THE WORLD, RELEVANT TEXT IS IN THE TITLE OF THE CD//</t>
  </si>
  <si>
    <t>11/29/2018 12:39:31</t>
  </si>
  <si>
    <t>Hungary</t>
  </si>
  <si>
    <t>Hungary: Ay, pavo, ay / Oluya baba / Eszeba eszte (medley)</t>
  </si>
  <si>
    <t>https://search-alexanderstreet-com.ezp-prod1.hul.harvard.edu/view/work/237790</t>
  </si>
  <si>
    <t>Lullabies of the World //TRACK 28 IN LULLABIES OF THE WORLD, RELEVANT TEXT IS IN THE TITLE OF THE CD//</t>
  </si>
  <si>
    <t>11/29/2018 12:45:13</t>
  </si>
  <si>
    <t>Czech</t>
  </si>
  <si>
    <t>czec1258</t>
  </si>
  <si>
    <t>ces</t>
  </si>
  <si>
    <t>Czechoslovakia: Tece var</t>
  </si>
  <si>
    <t>https://search-alexanderstreet-com.ezp-prod1.hul.harvard.edu/view/work/237784</t>
  </si>
  <si>
    <t>Lullabies of the World //TRACK 22 IN LULLABIES OF THE WORLD, RELEVANT TEXT IS IN THE TITLE OF THE CD//</t>
  </si>
  <si>
    <t>11/29/2018 12:45:20</t>
  </si>
  <si>
    <t>Slovak</t>
  </si>
  <si>
    <t>slov1269</t>
  </si>
  <si>
    <t>slk</t>
  </si>
  <si>
    <t>Pretel Sokol - Slovak Love Song</t>
  </si>
  <si>
    <t>https://search-alexanderstreet-com.ezp-prod1.hul.harvard.edu/view/work/bibliographic_entity%7Crecorded_track%7C245817</t>
  </si>
  <si>
    <t>Alexander Street, Folkways Records, CD: Folk Songs from Czechoslovakia</t>
  </si>
  <si>
    <t>Pretel Sokol- Slovak Love Song //TRACK 2 IN FOLK SONGS FROM CZECHOSLOVAKIA, RELEVANT TEXT IS IN THE TITLE//</t>
  </si>
  <si>
    <t>11/29/2018 14:50:12</t>
  </si>
  <si>
    <t>Ach Není Tu Není - Czech Love Song</t>
  </si>
  <si>
    <t>https://search-alexanderstreet-com.ezp-prod1.hul.harvard.edu/view/work/245818</t>
  </si>
  <si>
    <t>Ach Není Tu Není - Czech Love Song //TRACK 4 IN FOLK SONGS FROM CZECHOSLOVAKIA, RELEVANT TEXT IS IN THE TITLE//</t>
  </si>
  <si>
    <t>11/29/2018 14:53:21</t>
  </si>
  <si>
    <t>Cuban</t>
  </si>
  <si>
    <t>Punto Libre: Pinar del Rio y el Tabaco</t>
  </si>
  <si>
    <t>http://gofile.me/3T2hs/IG0JDyCu4</t>
  </si>
  <si>
    <t>The province of Pinar del Rio is famous for the quality of its tobacco plantations. Here, two local poets dedicated their free-style decimas to the beauties of the tobacco plant. // AWM CD 13312 RELEVANT INFO IN LINER NOTES PAGE 3 //</t>
  </si>
  <si>
    <t>NAS Folder: /NHS2/submissions/Caribbean/AWM CD 13312 - Folk Music of Cuba</t>
  </si>
  <si>
    <t>11/29/2018 16:51:34</t>
  </si>
  <si>
    <t>Abakua</t>
  </si>
  <si>
    <t>The enkame, a narrative style in the original language, tells the stories and legends on which the Abakua ritual is based. // AWM CD 13312 RELEVANT INFO FOUND IN LINER NOTES PAGE 3 //</t>
  </si>
  <si>
    <t>11/29/2018 16:53:54</t>
  </si>
  <si>
    <t>Mi tierra es asi (guajira-son)</t>
  </si>
  <si>
    <t>The guajira-son is an excellent example of a blend of two Cuban genres: the guajira, which is a song genre; and the son, which is, above all, a dance genre. The usual theme of the guajira is a lyrical allusion to life in the countryside. // AWM CD 13312 RELEVANT INFO FOUND IN LINER NOTES ON PAGE 4 //</t>
  </si>
  <si>
    <t>/NHS2/submissions/Caribbean/AWM CD 13312 - Folk Music of Cuba</t>
  </si>
  <si>
    <t>11/29/2018 17:01:12</t>
  </si>
  <si>
    <t>Selk'ham</t>
  </si>
  <si>
    <t>Selk'ham-Tierra del Fuego - Whale Chant</t>
  </si>
  <si>
    <t>https://folkways.si.edu/selkham-tierra-del-fuego-whale-chant/american-indian-world/music/track/smithsonian</t>
  </si>
  <si>
    <t>"...gave her power to help the tribe through curing and other types of activity."//CATALOGUE # FW04542_406 IN SMITHSONIAN FOLKWAYS, RELEVANT TEXT IS IN THE DESCRIPTION FIELD//</t>
  </si>
  <si>
    <t>11/30/2018 18:02:46</t>
  </si>
  <si>
    <t>Quechua (not listed in eHRAF)</t>
  </si>
  <si>
    <t>Quechua-Collos-Tinka (libation to animals) ceremony</t>
  </si>
  <si>
    <t>https://search-alexanderstreet-com.ezp-prod1.hul.harvard.edu/view/work/235756</t>
  </si>
  <si>
    <t>Libation to animals //SMITHSONIAN FOLKWAYS CATALOG NUMBER FE 4539, ADDITIONAL INFO IN LINER NOTES PG. 6//</t>
  </si>
  <si>
    <t>Most of the daily activity of people revolve around the animals...their cattle are therefore crucial to the wellbeing of the Quechua. Every year the villages hold the T'inka ceremony. Prayers for the fertility and safety of the animals are offered to the spirits (Aukis) of the mountains. Chicha...is poured on the ground and over the ropes and bells used to tie the animals. //SMITHSONIAN FOLKWAYS CATALOG NUMBER FE 4539, LINER NOTES PG. 7//</t>
  </si>
  <si>
    <t>Cuzco (not listed in eHRAF)</t>
  </si>
  <si>
    <t>quz</t>
  </si>
  <si>
    <t>Quechua-Cuzco-Inti Raymi (festival to the Sun)</t>
  </si>
  <si>
    <t>https://search-alexanderstreet-com.ezp-prod1.hul.harvard.edu/view/work/bibliographic_entity%7Crecorded_cd%7C71907</t>
  </si>
  <si>
    <t>worship / religious processional</t>
  </si>
  <si>
    <t>In ancient times, [the festival of the sun] consisted of a pilgrimage to Inti's distant home in the east and ten days of festivities and ceremonies presided over by the Inca emperor in Cuzco. The festivities began before dawn with a great processional led by the emperor; a prayer given up to both the living and dead Inca continued as the sun greeted the people. //SMITHSONIAN FOLKWAYS CATALOG NUMBER FE 4456, LINER NOTES PG. 7//</t>
  </si>
  <si>
    <t>Voices are not heard until the 1:00:00 mark in the CD (very far into the track, **note, did not listen to CD before last Google page)</t>
  </si>
  <si>
    <t>Pisac (not listed in eHRAF)</t>
  </si>
  <si>
    <t>Quechua-Pisac-Conch-shell Blowing</t>
  </si>
  <si>
    <t>The villagers are clothed in llama wool capes, and brilliant red, platter-like hats. They enter, single-file led by their leader bearing a silver-headed mace. //SMITHSONIAN FOLKWAYS CATALOG NUMBER FE 4456, LINER NOTES PG. 7//</t>
  </si>
  <si>
    <t>Ayacucho</t>
  </si>
  <si>
    <t>ayac1239</t>
  </si>
  <si>
    <t>quy</t>
  </si>
  <si>
    <t>Quechua-Ayacucho-Yaravi</t>
  </si>
  <si>
    <t>[Yaravi, meaning sad melody] is a term generally applied to love music //SMITHSONIAN FOLKWAYS CATALOG NUMBER FE4539, LINER NOTES PG. 7//</t>
  </si>
  <si>
    <t>Bata</t>
  </si>
  <si>
    <t>Kicsem, lelkom edesanyam, edesapam! My jewel, my soul, my mother, my father thank you for bringing me up!</t>
  </si>
  <si>
    <t>https://open.spotify.com/track/3QFdvYmkZOhcU0VSpYHgeq</t>
  </si>
  <si>
    <t>CD: Death is the Reaper Over the World</t>
  </si>
  <si>
    <t>Kicsem, lelkom edesanyam, edesapam! My jewel, my soul, my mother, my father thank you for bringing me up! //TRACK 3 IN CD 2 OF DEATH IS THE REAPER OVER THE WORLD, RELEVANT TEXT IS IN THE TITLE//</t>
  </si>
  <si>
    <t>Ayacucho (not listed in eHRAF)</t>
  </si>
  <si>
    <t>Colqueñita</t>
  </si>
  <si>
    <t>https://search-alexanderstreet-com.ezp-prod1.hul.harvard.edu/view/work/bibliographic_entity%7Crecorded_cd%7C73763</t>
  </si>
  <si>
    <t>This song tells of the charms of women from Colca, and speaks at length of their natural grace. //ALEXANDER STREET, TRADITIONAL MUSIC OF PERU 6: THE AYACUCHO REGION, LINER NOTES PG. 5//</t>
  </si>
  <si>
    <t>Harawi</t>
  </si>
  <si>
    <t>Smithsonian Folkways, Alexander Street</t>
  </si>
  <si>
    <t>During the festival of the communal field, three types of harawi are performed...the first is performed before the young men plow the ground. This harawi is sung by a group of elderly women during the main day of the planting of the communal field. The song asks the workers to do a good job, and to ensure that they understand if the plowing is not done well, the seeds could stay outside the soil and thus not grow //ALEXANDER STREET CATALOG NUMBER SFW40449, LINER NOTES PG. 6//</t>
  </si>
  <si>
    <t>Fathers, gentlemen/Plow very well/Children, children, children/As they say, on whatever day/Don't plow too quickly/Children, children, children/It is not just any day/It is the day of starch //ALEXANDER STREET CATALOG NUMBER SFW40449, LINER NOTES PG. 6//</t>
  </si>
  <si>
    <t>Qaqupa</t>
  </si>
  <si>
    <t>The term qaqupa alludes to an "operation consisting of rubbing a sick person with flowers that are later placed in piles along the roadside; they believe--in Ayacucho--that they liberate the sick person by passing [the illness] on to those who touch the flowers." Qaqupa is thus intended for purification. //ALEXANDER STREET CATALOG NUMBER SFW40449, LINER NOTES PG. 6-7//</t>
  </si>
  <si>
    <t>San Gregorio</t>
  </si>
  <si>
    <t>In the Andes, death is marked by elaborate rituals, in which the body of the deceased is prepared for the journey to its final resting place. This track, an excerpt from a funeral song known as "San Gregorio," was recorded in Sara on 14 August 1996. //ALEXANDER STREET CATALOG NUMBER SFW40449, LINER NOTES PG. 13-14//</t>
  </si>
  <si>
    <t>Colorado (Ecuadorian Indians, not listed in eHRAF)</t>
  </si>
  <si>
    <t>Leaf Bundle Healing Technique</t>
  </si>
  <si>
    <t>https://search-alexanderstreet-com.ezp-prod1.hul.harvard.edu/view/work/bibliographic_entity%7Crecorded_cd%7C71782</t>
  </si>
  <si>
    <t>The sounds heard are of a Colorado healing session. This is what one might expect to hear from the shaman, as he enlists the aid of his spirit familiars or patron healing spirit to remedy a stubborn disease. //SMITHSONIAN FOLKWAYS CATALOG NUMBER FE 4375, LINER NOTES PG. 3//</t>
  </si>
  <si>
    <t>Liner notes found: https://folkways-media.si.edu/liner_notes/folkways/FW04375.pdf</t>
  </si>
  <si>
    <t>Healing Segment</t>
  </si>
  <si>
    <t>Healing segment //SMITHSONIAN FOLKWAYS CATALOG NUMBER FE 4375, LINER NOTES PG. 1//</t>
  </si>
  <si>
    <t>Canelos Quichua (found on eHRAF, but many other Ecuadorian cultures could pertain, liner notes were ambiguous about culture)</t>
  </si>
  <si>
    <t>nort2973</t>
  </si>
  <si>
    <t>qvz</t>
  </si>
  <si>
    <t>El Puente de Aviñon</t>
  </si>
  <si>
    <t>https://search-alexanderstreet-com.ezp-prod1.hul.harvard.edu/view/work/bibliographic_entity%7Crecorded_cd%7C72382</t>
  </si>
  <si>
    <t>Title of CD is called: "Children's Song and Games from Ecuador, Mexico, and Puerto Rico" //SMITHSONIAN FOLKWAYS CATALOG NUMBER FC 7854, LINER NOTES PG. 1//</t>
  </si>
  <si>
    <t>The Bridge at Avignon is an Ecuadorian version of San Sereni, a popular game song of Spain and Latin America. Play it as a circle game. Each child gets a chance to do a motion. The others imitate. //SMITHSONIAN FOLKWAYS CATALOG NUMBER FC 7854, LINER NOTES PG. 2//</t>
  </si>
  <si>
    <t>Liner notes: https://d16klsh1z1xre7-cloudfront-net.ezp-prod1.hul.harvard.edu/dorp/liner/0/bf72/7be8/1000355943-liner.pdf</t>
  </si>
  <si>
    <t>Canelos Quichua (found on eHRAF, but could be other Ecuadorian culture, liner notes were ambiguous regarding culture)</t>
  </si>
  <si>
    <t>Los Angelitos / Lirón, Liróon</t>
  </si>
  <si>
    <t>CD label is: "Children's songs and games from Ecuador..." //SMITHSONIAN FOLKWAYS CATALOG NUMBER FC 7854, LINER NOTES PG. 1//</t>
  </si>
  <si>
    <t>This game is a variant of A La Víbora De La Mar, the Spanish equivalent of London Bridge. Two players, holding hands high, join hands to form an arc. Before the game begins, each one selects a secret name. The children pass through the arc one at a time as the song is sung. On the last line one player is detained. The two secret names are whispered to him. He selects one and lines up behind the appropriate person. The game proceeds until everyone has been captured. The game ends with a tug of war. //SMITHSONIAN FOLKWAYS CATALOG NUMBER FC 7854, LINER NOTES PG. 2//</t>
  </si>
  <si>
    <t>Canelos Quichua (found on eHRAF, but could be another Ecuadorian culture, liner notes were ambiguous regarding culture)</t>
  </si>
  <si>
    <t>El Patio de Mi Casa</t>
  </si>
  <si>
    <t>CD label is "Children's song and games from Ecuador..." //SMITHSONIAN FOLKWAYS CATALOG NUMBER FC 7854, LINER NOTES PG. 1//</t>
  </si>
  <si>
    <t>Circle game //SMITHSONIAN FOLKWAYS CATALOG NUMBER FC 7854, LINER NOTES PG. 2//</t>
  </si>
  <si>
    <t>Yagua, Orinoco</t>
  </si>
  <si>
    <t>yagu1244</t>
  </si>
  <si>
    <t>piar1243</t>
  </si>
  <si>
    <t>yad</t>
  </si>
  <si>
    <t>Manioc Scraping Song</t>
  </si>
  <si>
    <t>https://theglobaljukebox.org/?share=Piaroa-T5404R51m</t>
  </si>
  <si>
    <t>"work song; initiation rite; manioc song; preparatory song"// Global Jukebox//Coding ID: 4324</t>
  </si>
  <si>
    <t>"Women prepare manioc beer; men weave stinging ants into basketry for initiation ordeal"//Global Jukebox// Coding ID: 4324</t>
  </si>
  <si>
    <t>Colombian Andean</t>
  </si>
  <si>
    <t>ALPARGATAS DE MI TIERRA</t>
  </si>
  <si>
    <t>https://harvard-naxosmusiclibrary-com.ezp-prod1.hul.harvard.edu/world/catalogue/item.asp?cid=EUCD2676</t>
  </si>
  <si>
    <t>Naxos World Music Library</t>
  </si>
  <si>
    <t>Bambuco//Liner notes for the album COLOMBIA Niyireth: Musica Colombiana Andina (Music from Colombia)</t>
  </si>
  <si>
    <t>"A song praising the good and noble nature of the Indians, as well as their craftsmanship, and how they are exploited ruthlessly by the white man even today."//Liner notes for the album COLOMBIA Niyireth: Musica Colombiana Andina (Music from Colombia)</t>
  </si>
  <si>
    <t>Need access to harvard Hollis to use this link</t>
  </si>
  <si>
    <t>La Tonada</t>
  </si>
  <si>
    <t>https://folkways.si.edu/cimarron/joropo-music-from-the-plains-of-colombia/latin-world/album/smithsonian</t>
  </si>
  <si>
    <t>La tonada (The [Milking] Song) //Liner Notes of the album ¡Cimarrón! Joropo Music from the Plains of Colombia</t>
  </si>
  <si>
    <t>"One of the most important tasks of ranch life is milking the cows. The ordeñadora (milker) may accompany her work by singing verses that calm the animal, mention its name, and tell the helper which cow to bring next from the corral. In this example, Ana Veydó, who milked cows as a girl, sings to cows named Resedá (a flower), Yaguazo (a wild duck), Terciopelo (velvet), and Cunaviche (a region of the Venezuelan plains)."//Liner Notes of the album ¡Cimarrón! Joropo Music from the Plains of Colombia</t>
  </si>
  <si>
    <t>Selk'ham-Tierra del Fuego-Arrow ordeal chant</t>
  </si>
  <si>
    <t>https://folkways.si.edu/selkham-tierra-del-fuego-arrow-ordeal-chant/american-indian-world/music/track/smithsonian</t>
  </si>
  <si>
    <t>chant</t>
  </si>
  <si>
    <t>//CATALOGUE #: FW04542_407 IN SMITHSONIAN FOLKWAYS, RELEVANT TEXT IS IN THE LINEAR NOTES//)</t>
  </si>
  <si>
    <t>Country of Origin is Argentina</t>
  </si>
  <si>
    <t>Argentina: Arroro mi niño / Durmite Changito (medley)</t>
  </si>
  <si>
    <t>https://folkways.si.edu/argentina-arroro-mi-nino/durmite-changito-medley/childrens-world/music/track/smithsonian</t>
  </si>
  <si>
    <t>Lullaby //CATALOG NUMBER FW04511_105 IN SMITHSONIAN FOLKWAYS, RELEVANT TEXT IS IN THE DESCRIPTION FIELD//</t>
  </si>
  <si>
    <t>The singer of this song performs it when a child is about to go to sleep. //CD HAS ADDITIONAL LINER NOTES BOOKLET, THIS IS ON PAGE 4//</t>
  </si>
  <si>
    <t>I am lulling you to sleep. Sleep my little monkey, my joy. Sleep near to my shoulder, because the night is long and Ion the way to go. Sleep, little heart, sleep little dove. //CD HAS ADDITIONAL LINER NOTES BOOKLET, THIS IS ON PAGE 4//</t>
  </si>
  <si>
    <t>Solo on the Pinqalyo</t>
  </si>
  <si>
    <t>https://folkways.si.edu/francisco-challapa-chamaca/solo-on-the-pinqalyo/sumirumansanisa/american-indian-world/music/track/smithsonian</t>
  </si>
  <si>
    <t>Sung during shepherding</t>
  </si>
  <si>
    <t>It is played during shepherding. //CD HAS ADDITIONAL LINER NOTES BOOKLET, THIS IS ON PAGE 3//</t>
  </si>
  <si>
    <t>This track contains 2 separate songs. Only the first track (A1 Solo on the Pinqalyo) is a work song.</t>
  </si>
  <si>
    <t>Solo on the Bandola/ Romero, Romero / Sahsalye</t>
  </si>
  <si>
    <t>https://folkways.si.edu/juan-sequndo-mamani-eugenio-challapa-challapa/solo-on-the-bandola/romero-romero/sahsalye/american-indian-world/music/track/smithsonian</t>
  </si>
  <si>
    <t>Celebration of animals</t>
  </si>
  <si>
    <t>These songs are sung during a celebration called floreo (celebrating animals). //CD HAS ADDITIONAL LINER NOTES BOOKLET, THIS IS ON PAGE 4//</t>
  </si>
  <si>
    <t>These are 3 different songs under the same category (procession).</t>
  </si>
  <si>
    <t>Solo on the tara</t>
  </si>
  <si>
    <t>https://folkways.si.edu/francisco-challapa-chamaca-eugenio-challapa-challapa/solo-on-the-tara/tata-san-juan/american-indian-world/music/track/smithsonian</t>
  </si>
  <si>
    <t>Processions - in celebration of animals</t>
  </si>
  <si>
    <t>Dancing music held during the floreo (celebrating animals) celebration. //CD HAS ADDITIONAL LINER NOTES BOOKLET, THIS IS ON PAGE 5//</t>
  </si>
  <si>
    <t>There is another song called, "Tata San Juan", in the same recording as "Solo on the Tara" which will be submitted as a separate log.</t>
  </si>
  <si>
    <t>Sung during religious fesitvals</t>
  </si>
  <si>
    <t>Song and dance called sikura which is performed in the town of Cariquima during a religious festival. //CD HAS ADDITIONAL LINER NOTES BOOKLET, THIS IS ON PAGE 5//</t>
  </si>
  <si>
    <t>There are two songs in this track. Both of them are procession songs but, "Tata San Juan" is sung for religious festivals and "Solo on the tara" is to celebrate animals.</t>
  </si>
  <si>
    <t>Qawasqar</t>
  </si>
  <si>
    <t>alc</t>
  </si>
  <si>
    <t>The Smoking Pipe</t>
  </si>
  <si>
    <t>https://folkways.si.edu/jose-lopez-margarita-molinari/the-smoking-pipe/carancho/chichili/toyaqa/the-sea-wolf/american-indian-world/music/track/smithsonian</t>
  </si>
  <si>
    <t>It consists in a person who feigns trying to light a pipe with a burning flint. //CD HAS ADDITIONAL LINER NOTES BOOKLET, THIS IS ON PAGE 7//</t>
  </si>
  <si>
    <t>There are 4 different songs in the same track. This catalog refers to the first song in the list, "The Smoking Pipe".</t>
  </si>
  <si>
    <t>Toyaqa</t>
  </si>
  <si>
    <t>Among the onomatopeic repetition a ma ma ma... the words toyaga "baby" and agtalaygar "he is crying" are inserted. //CD HAS ADDITIONAL LINER NOTES BOOKLET, THIS IS ON PAGE 7//</t>
  </si>
  <si>
    <t>I had to listen to the song for a previous log because there are 4 other songs in the same recording</t>
  </si>
  <si>
    <t>There are 5 songs in the same track and this log refers to the fourth song.</t>
  </si>
  <si>
    <t>Tanger Tarmal Falalop</t>
  </si>
  <si>
    <t>https://theglobaljukebox.org/?share=Ulithi-T5427R15</t>
  </si>
  <si>
    <t>Tanger Tarmal Falalop //GLOBAL JUKEBOX CODING ID: 2626, RELEVANT INFORMATION IN THE DESCRIPTION FIELD//</t>
  </si>
  <si>
    <t>Love song; sung on canoe; background noise of rain /GLOBAL JUKEBOX CODING ID: 2626, RELEVANT INFORMATION IN THE DESCRIPTION FIELD//</t>
  </si>
  <si>
    <t>HTD</t>
  </si>
  <si>
    <t>Tangel Paluy</t>
  </si>
  <si>
    <t>https://theglobaljukebox.org/?share=Ulithi-T5427R16</t>
  </si>
  <si>
    <t>Tangel Paluy //GLOBAL JUKEBOX CODING ID: 2627, RELEVANT INFORMATION IN THE DESCRIPTION FIELD//</t>
  </si>
  <si>
    <t>love song; sometimes accompanied by dance //GLOBAL JUKEBOX CODING ID: 2627, RELEVANT INFORMATION IN THE DESCRIPTION FIELD//</t>
  </si>
  <si>
    <t>Efalachid Gelat</t>
  </si>
  <si>
    <t>https://theglobaljukebox.org/?share=Ulithi-T5427R17</t>
  </si>
  <si>
    <t>Efalachid Gelat //GLOBAL JUKEBOX CODING ID: 2628, RELEVANT INFORMATION IN THE DESCRIPTION FIELD//</t>
  </si>
  <si>
    <t>Love song; lullaby //GLOBAL JUKEBOX CODING ID: 2628, RELEVANT INFORMATION IN THE DESCRIPTION FIELD//</t>
  </si>
  <si>
    <t>Maas</t>
  </si>
  <si>
    <t>https://theglobaljukebox.org/?share=Ulithi-T5427R18</t>
  </si>
  <si>
    <t>Maas //GLOBAL JUKEBOX CODING ID: 2629, RELEVANT INFORMATION IN THE DESCRIPTION FIELD//</t>
  </si>
  <si>
    <t>Marching song; dance song; song for community gathering //GLOBAL JUKEBOX CODING ID: 2629, RELEVANT INFORMATION IN THE DESCRIPTION FIELD//</t>
  </si>
  <si>
    <t>Habagol</t>
  </si>
  <si>
    <t>https://theglobaljukebox.org/?share=Ulithi-T5427R20</t>
  </si>
  <si>
    <t>Habagol //GLOBAL JUKEBOX CODING ID: 2631, RELEVANT INFORMATION IN THE DESCRIPTION FIELD//</t>
  </si>
  <si>
    <t>Gasleau; dance song; song for community gathering //GLOBAL JUKEBOX CODING ID: 2631, RELEVANT INFORMATION IN THE DESCRIPTION FIELD//</t>
  </si>
  <si>
    <t>Daktirina</t>
  </si>
  <si>
    <t>https://theglobaljukebox.org/?share=Ulithi-T5427R21</t>
  </si>
  <si>
    <t>Daktirina //GLOBAL JUKEBOX CODING ID: 2632, RELEVANT INFORMATION IN THE DESCRIPTION FIELD//</t>
  </si>
  <si>
    <t>Sitting dance song; women's sitting dance for community gatherings //GLOBAL JUKEBOX CODING ID: 2632, RELEVANT INFORMATION IN THE DESCRIPTION FIELD//</t>
  </si>
  <si>
    <t>Work song</t>
  </si>
  <si>
    <t>https://theglobaljukebox.org/?share=Ulithi-T5427R44m</t>
  </si>
  <si>
    <t>Work song //GLOBAL JUKEBOX CODING ID: 2633, RELEVANT INFORMATION IN THE DESCRIPTION FIELD//</t>
  </si>
  <si>
    <t>Work song or chantey; sung to elicit united action while building canoes or hauling heavy objects //GLOBAL JUKEBOX CODING ID: 2633, RELEVANT INFORMATION IN THE DESCRIPTION FIELD//</t>
  </si>
  <si>
    <t>Ifaluk</t>
  </si>
  <si>
    <t>nucl1479</t>
  </si>
  <si>
    <t>Merikan (American)</t>
  </si>
  <si>
    <t>https://theglobaljukebox.org/?share=Ifaluk-T5427R46m</t>
  </si>
  <si>
    <t>Merikan (American) //GLOBAL JUKEBOX CODING ID: 78, RELEVANT INFORMATION IN THE DESCRIPTION FIELD//</t>
  </si>
  <si>
    <t>Female dance song //GLOBAL JUKEBOX CODING ID: 78, RELEVANT INFORMATION IN THE DESCRIPTION FIELD//</t>
  </si>
  <si>
    <t>Global Jukebox says the song is from the Ifaluk culture, but when I searched it on eHRAF, there was no results for this culture. I googled it instead, but it has quite many versions of names so I just put Ifaluk here like Global Jukebox says</t>
  </si>
  <si>
    <t>Chantey</t>
  </si>
  <si>
    <t>https://theglobaljukebox.org/?share=Ifaluk-T5427R49m</t>
  </si>
  <si>
    <t>Chantey //GLOBAL JUKEBOX CODING ID: 80, RELEVANT INFORMATION IN THE DESCRIPTION FIELD//</t>
  </si>
  <si>
    <t>Work song; chantey //GLOBAL JUKEBOX CODING ID: 80, RELEVANT INFORMATION IN THE DESCRIPTION FIELD//</t>
  </si>
  <si>
    <t>Working song</t>
  </si>
  <si>
    <t>https://archives.crem-cnrs.fr/archives/items/CNRSMH_I_1953_002_001_06/</t>
  </si>
  <si>
    <t>Collection: Songs and music from the Caroline Islands and the Marshall Islands (selection: 1947-1952), Track 6</t>
  </si>
  <si>
    <t>Working song //ITEM NUMBER: 06, RELEVANT TEXT IN THE TRACK INFO//</t>
  </si>
  <si>
    <t>Sung to pull the canoes on the beach //ITEM NUMBER: 06, RELEVANT TEXT IN THE TRACK INFO//</t>
  </si>
  <si>
    <t>Belau</t>
  </si>
  <si>
    <t>pala1344</t>
  </si>
  <si>
    <t>pau</t>
  </si>
  <si>
    <t>Ulerratel</t>
  </si>
  <si>
    <t>https://theglobaljukebox.org/?share=Palau-T5427R08</t>
  </si>
  <si>
    <t>Ulerratel //GLOBAL JUKEBOX CODING ID: 2590, RELEVANT TEXT IN THE DESCRIPTION BOX//</t>
  </si>
  <si>
    <t>Dehl a Ngloik entertainment dance song //GLOBAL JUKEBOX CODING ID: 2590, RELEVANT TEXT IN THE DESCRIPTION BOX//</t>
  </si>
  <si>
    <t>Eldolm</t>
  </si>
  <si>
    <t>https://theglobaljukebox.org/?share=Palau-T5427R13</t>
  </si>
  <si>
    <t>Eldolm //GLOBAL JUKEBOX CODING ID: 2595, RELEVANT TEXT IN THE DESCRIPTION BOX//</t>
  </si>
  <si>
    <t>Funeral song; dirge /GLOBAL JUKEBOX CODING ID: 2595, RELEVANT TEXT IN THE DESCRIPTION BOX//</t>
  </si>
  <si>
    <t>Kesekesesengel Ngirachmerlang</t>
  </si>
  <si>
    <t>https://theglobaljukebox.org/?share=Palau-T5427R14</t>
  </si>
  <si>
    <t>Kesekesesengel Ngirachmerlang //GLOBAL JUKEBOX CODING ID: 2596, RELEVANT TEXT IN THE DESCRIPTION BOX//</t>
  </si>
  <si>
    <t>Kesekes; lullaby //GLOBAL JUKEBOX CODING ID: 2596, RELEVANT TEXT IN THE DESCRIPTION BOX//</t>
  </si>
  <si>
    <t>Belu-lechab</t>
  </si>
  <si>
    <t>https://theglobaljukebox.org/?share=Palau-T5427R09</t>
  </si>
  <si>
    <t>Belu-lechab //GLOBAL JUKEBOX CODING ID: 2591, RELEVANT TEXT IN THE DESCRIPTION BOX//</t>
  </si>
  <si>
    <t>Entertainment song; dance song //GLOBAL JUKEBOX CODING ID: 2591, RELEVANT TEXT IN THE DESCRIPTION BOX//</t>
  </si>
  <si>
    <t>Tebang</t>
  </si>
  <si>
    <t>https://theglobaljukebox.org/?share=Palau-T5427R10</t>
  </si>
  <si>
    <t>Tebang //GLOBAL JUKEBOX CODING ID: 2592, RELEVANT INFORMATION IN THE DESCRIPTION FIELD//</t>
  </si>
  <si>
    <t>entertainment dance; for old style community gatherings //GLOBAL JUKEBOX CODING ID: 2592, RELEVANT INFORMATION IN THE DESCRIPTION FIELD//</t>
  </si>
  <si>
    <t>A feten nge a sach tongom ei ne</t>
  </si>
  <si>
    <t>https://sounds.bl.uk/World-and-traditional-music/Endangered-Micronesian-recordings/025M-CEAP115X1109-001ZV0</t>
  </si>
  <si>
    <t>Collection: Endangered Micronesian recordings</t>
  </si>
  <si>
    <t>A feten nge a sach tongom ei ne //SHELF MARK NUMBER: CEAP115/1/109/1, RELEVANT INFORMATION IN THE DESCRIPTION FIELD//</t>
  </si>
  <si>
    <t>Love song //SHELF MARK NUMBER: CEAP115/1/109/1, RELEVANT INFORMATION IN THE DESCRIPTION FIELD//</t>
  </si>
  <si>
    <t>Woleai Region</t>
  </si>
  <si>
    <t>wole1240</t>
  </si>
  <si>
    <t>woe</t>
  </si>
  <si>
    <t>A lament for a child who died at a very early age</t>
  </si>
  <si>
    <t>https://sounds.bl.uk/World-and-traditional-music/Endangered-Micronesian-recordings/025M-CEAP115X4X86-001ZV0</t>
  </si>
  <si>
    <t>A lament for a child who died at a very early age //SHELF MARK NUMBER: CEAP115/4/86/1, RELEVANT TEXT IN THE DESCRIPTION FIELD//</t>
  </si>
  <si>
    <t>Chant; Funeral lament //SHELF MARK NUMBER: CEAP115/4/86/1, RELEVANT TEXT IN THE DESCRIPTION FIELD//</t>
  </si>
  <si>
    <t>A love song in praise of Fasongtad from Yap</t>
  </si>
  <si>
    <t>https://sounds.bl.uk/World-and-traditional-music/Endangered-Micronesian-recordings/025M-CEAP115X4X85-010ZV0</t>
  </si>
  <si>
    <t>A love song in praise of Fasongtad from Yap //SHELF MARK NUMBER CEAP115/4/85/10, RELEVANT INFORMATION IN THE DESCRIPTION FIELD//</t>
  </si>
  <si>
    <t>A son in praise of the men from Falalop, the southern end of Ifaluk</t>
  </si>
  <si>
    <t>https://sounds.bl.uk/World-and-traditional-music/Endangered-Micronesian-recordings/025M-CEAP115X4X77-003ZV0</t>
  </si>
  <si>
    <t>A son in praise of the men from Falalop, the southern end of Ifaluk ////SHELF MARK NUMBER CEAP115/4/77/3, RELEVANT INFORMATION IN THE DESCRIPTION FIELD//</t>
  </si>
  <si>
    <t>A song in praise of a husband composed by the wife</t>
  </si>
  <si>
    <t>https://sounds.bl.uk/World-and-traditional-music/Endangered-Micronesian-recordings/025M-CEAP115X4X82-015ZV0</t>
  </si>
  <si>
    <t>A song in praise of a husband composed by the wife //SHELF MARK NUMBER CEAP115/4/82/15, RELEVANT INFORMATION IN THE DESCRIPTION FIELD//</t>
  </si>
  <si>
    <t>A song relating the story of people coped in the aftermath of the great typhoon on Woleai in 1907</t>
  </si>
  <si>
    <t>https://sounds.bl.uk/World-and-traditional-music/Endangered-Micronesian-recordings/025M-CEAP115X4X84-002ZV0</t>
  </si>
  <si>
    <t>A song relating the story of people coped in the aftermath of the great typhoon on Woleai in 1907 //SHELF MARK NUMBER CEAP115/4/84/2, RELEVANT INFORMATION IN THE DESCRIPTION FIELD//</t>
  </si>
  <si>
    <t>A song relating the story of how the first clans came to Woleai</t>
  </si>
  <si>
    <t>https://sounds.bl.uk/World-and-traditional-music/Endangered-Micronesian-recordings/025M-CEAP115X4X84-001ZV0</t>
  </si>
  <si>
    <t>A song relating the story of how the first clans came to Woleai //SHELF MARK NUMBER CEAP115/4/84/1, RELEVANT INFORMATION IN THE DESCRIPTION FIELD//</t>
  </si>
  <si>
    <t>Children Teasing Song</t>
  </si>
  <si>
    <t>https://sounds.bl.uk/World-and-traditional-music/Endangered-Micronesian-recordings/025M-CEAP115X4X11-016ZV0</t>
  </si>
  <si>
    <t>Children Teasing Song //SHELF MARK NUMBER CEAP115/4/11/16, RELEVANT INFORMATION IN THE DESCRIPTION FIELD//</t>
  </si>
  <si>
    <t>Modern; Teasing song //SHELF MARK NUMBER CEAP115/4/11/16, RELEVANT INFORMATION IN THE DESCRIPTION FIELD//</t>
  </si>
  <si>
    <t>Unsure, needs further research</t>
  </si>
  <si>
    <t>micr1243</t>
  </si>
  <si>
    <t>A welcome chant for highly respected elder visitors to Balabat (very very old)</t>
  </si>
  <si>
    <t>https://sounds.bl.uk/World-and-traditional-music/Endangered-Micronesian-recordings/025M-CEAP115X4X99-002ZV0</t>
  </si>
  <si>
    <t>A welcome chant for highly respected elder visitors to Balabat (very very old) //SHELF MARK NUMBER CEAP115/4/11/16, RELEVANT INFORMATION IN THE DESCRIPTION FIELD//</t>
  </si>
  <si>
    <t>Chant; Dance//SHELF MARK NUMBER CEAP115/4/11/16, RELEVANT INFORMATION IN THE DESCRIPTION FIELD//</t>
  </si>
  <si>
    <t>A song in praise of the students who first went to Outer Island High School in the early 60's</t>
  </si>
  <si>
    <t>https://sounds.bl.uk/World-and-traditional-music/Endangered-Micronesian-recordings/025M-CEAP115X4X76-001ZV0</t>
  </si>
  <si>
    <t>A song in praise of the students who first went to Outer Island High School in the early 60's //SHELF MARK NUMBER CEAP115/4/76/1, RELEVANT TEXT IN THE DESCRIPTION FIELD//</t>
  </si>
  <si>
    <t>History of Fr. Walter's work in Yap Outer Island</t>
  </si>
  <si>
    <t>https://sounds.bl.uk/World-and-traditional-music/Endangered-Micronesian-recordings/025M-CEAP115X4X19-001ZV0</t>
  </si>
  <si>
    <t>Collection: Endangered Micronesian recordings, Track 1</t>
  </si>
  <si>
    <t>History of Fr. Walter's work in Yap Outer Island //SHELF MARK NUMBER CEAP115/4/19/1, RELEVANT TEXT IN THE DESCRIPTION FIELD//</t>
  </si>
  <si>
    <t>Iloulimwaalu</t>
  </si>
  <si>
    <t>https://sounds.bl.uk/World-and-traditional-music/Endangered-Micronesian-recordings/025M-CEAP115X4X42-002ZV0</t>
  </si>
  <si>
    <t>Iloulimwaalu //SHELF MARK NUMBER CEAP115/4/42/2, RELEVANT TEXT IN THE DESCRIPTION FIELD//</t>
  </si>
  <si>
    <t>Curing chant //SHELF MARK NUMBER CEAP115/4/42/2, RELEVANT TEXT IN THE DESCRIPTION FIELD//</t>
  </si>
  <si>
    <t>The culture is undetermined, but the recording location was in Yap State, Federated States of Micronesia.</t>
  </si>
  <si>
    <t>Mash</t>
  </si>
  <si>
    <t>https://sounds.bl.uk/World-and-traditional-music/Endangered-Micronesian-recordings/025M-CEAP115X4X42-004ZV0</t>
  </si>
  <si>
    <t>Mash //SHELF MARK CEAP115/4/42/4, RELEVANT TEXT IN THE DESCRIPTION FIELD//</t>
  </si>
  <si>
    <t>Curing chant //SHELF MARK CEAP115/4/42/4, RELEVANT TEXT IN THE DESCRIPTION FIELD//</t>
  </si>
  <si>
    <t>Piuriulel</t>
  </si>
  <si>
    <t>https://sounds.bl.uk/World-and-traditional-music/Endangered-Micronesian-recordings/025M-CEAP115X4X42-003ZV0</t>
  </si>
  <si>
    <t>Piuriulel //SHELF MARK 115/4/42/3, RELEVANT TEXT IN THE DESCRIPTION FIELD//</t>
  </si>
  <si>
    <t>Curing chant //SHELF MARK 115/4/42/3, RELEVANT TEXT IN THE DESCRIPTION FIELD//</t>
  </si>
  <si>
    <t>Songs Concerning the Removal of the Seminole to Oklahoma</t>
  </si>
  <si>
    <t>https://folkways.si.edu/susie-tiger/songs-concerning-the-removal-of-the-seminole-to-oklahoma/american-indian/music/track/smithsonian</t>
  </si>
  <si>
    <t>//FW04383_205 IN SMITHSONIAN FOLKWAYS, RELEVANT LABEL IN LINER NOTES//</t>
  </si>
  <si>
    <t>The removal of the seminole to Oklahoma took place in 1836-1840. The songs concerning that event were recorded //FW04383, FE 4383 IN SMITHSONIAN FOLKWAYS, ALBUM TITLE Songs of the Seminole Indians of Florida, RELEVANT INFORMATION IN ALBUM LINER NOTES PAGE 8//</t>
  </si>
  <si>
    <t>They are taking us beyond Miami, They are taking us beyond the Caloosa River, They are taking us to the end of our tribe, They are taking us to Palm Beach, coming back beside Okeechobee Lake, They are taking us to an old town in the west //FW04383, FE 4383 IN SMITHSONIAN FOLKWAYS, ALBUM TITLE Songs of the Seminole Indians of Florida, RELEVANT INFORMATION IN ALBUM LINER NOTES PAGE 8//</t>
  </si>
  <si>
    <t>Treatment of Lumbago / Song for the Dying / Song for Childbirth / Song for Sick Baby (medley)</t>
  </si>
  <si>
    <t>https://folkways.si.edu/susie-tiger/treatment-of-lumbago/song-for-the-dying/song-for-childbirth/song-for-sick-baby-medley/american-indian/music/track/smithsonian</t>
  </si>
  <si>
    <t>Healing //FW04383_204 IN SMITHSONIAN FOLKWAYS, RELEVANT LABEL IN TRACK TITLE//</t>
  </si>
  <si>
    <t>The Seminole sing while treating the sick. There are certain definite melodies for certain ailments or conditions //FW04383, FE 4383 IN SMITHSONIAN FOLKWAYS, ALBUM TITLE Songs of the Seminole Indians of Florida, RELEVANT INFORMATION IN ALBUM LINER NOTES PAGE 7//</t>
  </si>
  <si>
    <t>onei1249</t>
  </si>
  <si>
    <t>one</t>
  </si>
  <si>
    <t>THE TRACKER'S BOASTING CHANT B03</t>
  </si>
  <si>
    <t>https://archives.crem-cnrs.fr/archives/items/27882/</t>
  </si>
  <si>
    <t>Story //DI.1948.001.026B03 IN CREM, RELEVANT LABEL IN LINER NOTES, PAGE 25//</t>
  </si>
  <si>
    <t>The liner notes describe in detail the origins of the story //DI.1948.001.026B03 IN CREM, ALBUM TITLE Songs from the Iroquois Longhouse : from the Archive of American Folk Song, RELEVANT LABEL IN LINER NOTES, PAGE 25//</t>
  </si>
  <si>
    <t>The CREM track has a link to the album and relevant liner notes</t>
  </si>
  <si>
    <t>The liner notes contain lots of information about the culture and music</t>
  </si>
  <si>
    <t>maca1260</t>
  </si>
  <si>
    <t>mca</t>
  </si>
  <si>
    <t>The broken jug and the origin of the birds</t>
  </si>
  <si>
    <t>https://ailla.utexas.org/islandora/object/ailla:140091</t>
  </si>
  <si>
    <t>"Story 8"; Genre: Song //AILLA: HOME » COLLECTIONS » ARGENTINIAN LANGUAGES COLLECTION OF ANA GERZENSTEIN » THE BROKEN JUG AND THE ORIGIN OF THE BIRDS//</t>
  </si>
  <si>
    <t>12/14/2018 23:24:19</t>
  </si>
  <si>
    <t>AHS</t>
  </si>
  <si>
    <t>Kuikuru</t>
  </si>
  <si>
    <t>nucl1656</t>
  </si>
  <si>
    <t>kui</t>
  </si>
  <si>
    <t>Itauguegï &amp; Sakatsuegï</t>
  </si>
  <si>
    <t>https://ailla.utexas.org/islandora/object/ailla%3A125977</t>
  </si>
  <si>
    <t>Genre: Song, Narrative //AILLA: HOME » COLLECTIONS » KALAPALO COLLECTION OF ELLEN BASSO » ITAUGUEGÏ &amp; SAKATSUEGÏ//</t>
  </si>
  <si>
    <t>Access Level 2: According to AILLA, "This type of restriction is reserved for (1) materials that are under curation (by AILLA, by the depositor, or by the depositor's delegate) and (2) materials that must remain restricted for various reasons that must be justified. Level 2 restricted access must be renegotiated with AILLA every five years. (AILLA will contact the depositor at the appropriate time.) If not renegotiated, access levels will be determined by the archive. For extremely sensitive information that must be guarded indefinitely, the depositor must either (1) establish a succession plan for who will make decisions about the materials after his/her death or (2) reconsider if those materials should even be added to the archive."</t>
  </si>
  <si>
    <t>12/15/2018 18:17:16</t>
  </si>
  <si>
    <t>Hebrides</t>
  </si>
  <si>
    <t>Moladh Na Lanndaidh</t>
  </si>
  <si>
    <t>https://theglobaljukebox.org/?share=Hebrides-T5468R18</t>
  </si>
  <si>
    <t>This song is used to tell about the beauty of the singer's home</t>
  </si>
  <si>
    <t>PRAISE SONG //GLOBAL JUKEBOX CODING ID 585, RELEVENT TEXT FOUND IN DESCRIPTION FIELD//</t>
  </si>
  <si>
    <t>12/17/2018 10:15:25</t>
  </si>
  <si>
    <t>Greeting song express Blessings and God's protection, guidance, watching over them until they reach their homes</t>
  </si>
  <si>
    <t>https://sounds.bl.uk/World-and-traditional-music/Endangered-Micronesian-recordings/025M-CEAP115X4X93-001ZV0</t>
  </si>
  <si>
    <t>Expressing Blessings</t>
  </si>
  <si>
    <t>Greeting song express Blessings and God's protection, guidance, watching over them until they reach their homes //SHELF MARK NUMBER CEAP115/4/93/1, RELEVANT TEXT IN THE DESCRIPTION FIELD//</t>
  </si>
  <si>
    <t>12/17/2018 16:51:16</t>
  </si>
  <si>
    <t>A chant for ceremonial occasions</t>
  </si>
  <si>
    <t>https://sounds.bl.uk/World-and-traditional-music/Endangered-Micronesian-recordings/025M-CEAP115X4X99-004ZV0</t>
  </si>
  <si>
    <t>A chant for ceremonial occasions //SHELF MARK NUMBER CEAP115/4/99/4, RELEVANT TEST IN THE DESCRIPTION FIELD//</t>
  </si>
  <si>
    <t>A chant for ceremonial occasions when the men returned from Polan with stone money, celebrating those who returned, many were lost in battle and at sea. //SHELF MARK NUMBER CEAP115/4/99/4, RELEVANT TEST IN THE DESCRIPTION FIELD//</t>
  </si>
  <si>
    <t>The description field indicated that the recording location was from Yap State, Federated States of Micronesia</t>
  </si>
  <si>
    <t>12/17/2018 16:58:31</t>
  </si>
  <si>
    <t>A Love song for men in Eauripik</t>
  </si>
  <si>
    <t>https://sounds.bl.uk/World-and-traditional-music/Endangered-Micronesian-recordings/025M-CEAP115X4X21-001ZV0</t>
  </si>
  <si>
    <t>A love song for men in Eauripik //SHELF MARK NUMBER CEAP115/4/21/1, RELEVANT TEXT IN DESCRIPTION FIELD//</t>
  </si>
  <si>
    <t>12/17/2018 17:55:34</t>
  </si>
  <si>
    <t>https://sounds.bl.uk/World-and-traditional-music/Endangered-Micronesian-recordings/025M-CEAP115X4X83-002ZV0</t>
  </si>
  <si>
    <t>Collection: Endangered Micronesian Recordings</t>
  </si>
  <si>
    <t>A love song //SHELF MARK NUMBER CEAP115/4/83/2, RELEVANT TEXT IN THE DESCRIPTION FIELD//</t>
  </si>
  <si>
    <t>12/17/2018 18:01:31</t>
  </si>
  <si>
    <t>A song in praise of Giyelimware</t>
  </si>
  <si>
    <t>https://sounds.bl.uk/World-and-traditional-music/Endangered-Micronesian-recordings/025M-CEAP115X4X77-008ZV0</t>
  </si>
  <si>
    <t>A song in praise of Giyelimware //SHELF MARK NUMBER CEAP115/4/77/8, RELEVANT TEXT IN THE DESCRIPTION FIELD//</t>
  </si>
  <si>
    <t>12/17/2018 18:08:31</t>
  </si>
  <si>
    <t>A song of a mother for her son</t>
  </si>
  <si>
    <t>https://sounds.bl.uk/World-and-traditional-music/Endangered-Micronesian-recordings/025M-CEAP115X4X83-001ZV0</t>
  </si>
  <si>
    <t>A song of a mother for her son //SHELF MARK NUMBER CEAP115/4/83/1, RELEVANT TEXT IN THE DESCRIPTION FIELD//</t>
  </si>
  <si>
    <t>Love song //SHELF MARK NUMBER CEAP115/4/83/1, RELEVANT TEXT IN THE DESCRIPTION FIELD//</t>
  </si>
  <si>
    <t>12/17/2018 18:17:36</t>
  </si>
  <si>
    <t>A song in praise of Masheye, for having been recruited by the Japanese to work in Palau</t>
  </si>
  <si>
    <t>https://sounds.bl.uk/World-and-traditional-music/Endangered-Micronesian-recordings/025M-CEAP115X4X74-004ZV0</t>
  </si>
  <si>
    <t>A song in praise of Masheye, for having been recruited by the Japanese to work in Palau //SHELF MARK NUMBER CEAP115/4/74/4, RELEVANT TEXT IN DESCRIPTION FIELD//</t>
  </si>
  <si>
    <t>The recording location for the song was from Yap State, Federated States of Micronesia</t>
  </si>
  <si>
    <t>12/17/2018 18:20:50</t>
  </si>
  <si>
    <t>A song in praise of Paimale from Tegaiulape</t>
  </si>
  <si>
    <t>https://sounds.bl.uk/World-and-traditional-music/Endangered-Micronesian-recordings/025M-CEAP115X4X84-003ZV0</t>
  </si>
  <si>
    <t>A song in praise of Paimale from Tegaiulape //SHELF MARK NUMBER CEAP115/4/84/3, RELEVANT TEXT IN THE DESCRIPTION FIELD//</t>
  </si>
  <si>
    <t>Composed by Paimale's wife from Feshaiulap, in praise for his great works. //SHELF MARK NUMBER CEAP115/4/84/3, RELEVANT TEXT IN THE DESCRIPTION FIELD//</t>
  </si>
  <si>
    <t>12/17/2018 18:24:02</t>
  </si>
  <si>
    <t>A song in praise of Saatiwe after he made his first voyage</t>
  </si>
  <si>
    <t>https://sounds.bl.uk/World-and-traditional-music/Endangered-Micronesian-recordings/025M-CEAP115X4X84-004ZV0</t>
  </si>
  <si>
    <t>A song in praise of Saatiwe after he made his first voyage //SHELF MARK NUMBER CEAP115/4/84/4, RELEVANT TEXT IN THE DESCRIPTION FIELD//</t>
  </si>
  <si>
    <t>12/17/2018 18:29:44</t>
  </si>
  <si>
    <t>A song in praise of a great fisherman, who uses torch and net to catch flying fish at night</t>
  </si>
  <si>
    <t>https://sounds.bl.uk/World-and-traditional-music/Endangered-Micronesian-recordings/025M-CEAP115X4X76-014ZV0</t>
  </si>
  <si>
    <t>A song in praise of a great fisherman, who uses torch and net to catch flying fish at night //SHELF MARK NUMBER CEAP115/4/76/14, RELEVANT TEXT IN THE DESCRIPTION FIELD//</t>
  </si>
  <si>
    <t>12/17/2018 18:36:01</t>
  </si>
  <si>
    <t>Pohnpei</t>
  </si>
  <si>
    <t>pohn1238</t>
  </si>
  <si>
    <t>pon</t>
  </si>
  <si>
    <t>Ai mwohn limpoak ia katepehn oamw kin kosoia limpoak</t>
  </si>
  <si>
    <t>https://sounds.bl.uk/World-and-traditional-music/Endangered-Micronesian-recordings/025M-CEAP115X2X65-015ZV0</t>
  </si>
  <si>
    <t>Ai mwohn limpoak ia katepehn oamw kin kosoia limpoak //SHELF MARK NUMBER CEAP115/2/65/15, RELEVANT TEXT IN THE DESCRIPTION FIELD//</t>
  </si>
  <si>
    <t>Love song //SHELF MARK NUMBER CEAP115/2/65/15, RELEVANT TEXT IN THE DESCRIPTION FIELD//</t>
  </si>
  <si>
    <t>The culture is not listed in eHRAF</t>
  </si>
  <si>
    <t>12/17/2018 18:41:27</t>
  </si>
  <si>
    <t>A song in praise of a great chief Rigisou, for his contribution to the island of Woleai</t>
  </si>
  <si>
    <t>https://sounds.bl.uk/World-and-traditional-music/Endangered-Micronesian-recordings/025M-CEAP115X4X77-009ZV0</t>
  </si>
  <si>
    <t>A song in praise of a great chief Rigisou, for his contribution to the island of Woleai //SHELF MARK NUMBER CEAP115/4/77/9, RELEVANT TEXT IN THE DESCRIPTION FIELD//</t>
  </si>
  <si>
    <t>12/17/2018 18:53:05</t>
  </si>
  <si>
    <t>A song in praise of Francisco Mwaiuraali as a great navigator in spite of being physically blind</t>
  </si>
  <si>
    <t>https://sounds.bl.uk/World-and-traditional-music/Endangered-Micronesian-recordings/025M-CEAP115X4X84-005ZV0</t>
  </si>
  <si>
    <t>A song in praise of Francisco Mwaiuraali as a great navigator in spite of being physically blind //SHELF MARK NUMBER CEAP115/4/84/5, RELEVANT TEXT IN THE DESCRIPTION FIELD//</t>
  </si>
  <si>
    <t>12/17/2018 18:56:38</t>
  </si>
  <si>
    <t>Chant for hauling heavy logs from the land or canoes from the ocean</t>
  </si>
  <si>
    <t>https://sounds.bl.uk/World-and-traditional-music/Endangered-Micronesian-recordings/025M-CEAP115X4X74-001ZV0</t>
  </si>
  <si>
    <t>Chant for hauling heavy logs from the land or canoes from the ocean //SHELF MARK NUMBER CEAP115/4/74/1, RELEVANT TEXT IN THE DESCRIPTION FIELD//</t>
  </si>
  <si>
    <t>The recording locations for the song was Yap State, Federated States of Micronesia</t>
  </si>
  <si>
    <t>12/18/2018 19:42:41</t>
  </si>
  <si>
    <t>Maa Bamboo Dance</t>
  </si>
  <si>
    <t>https://sounds.bl.uk/World-and-traditional-music/Endangered-Micronesian-recordings/025M-CEAP115X4X27-017ZV0</t>
  </si>
  <si>
    <t>MAA BAMBOO DANCE //SHELF MARK NUMBER CEAP115/4/27/17, RELEVANT TEXT IN THE DESCRIPTION FIELD//</t>
  </si>
  <si>
    <t>Dance //SHELF MARK NUMBER CEAP115/4/27/17, RELEVANT TEXT IN THE DESCRIPTION FIELD//</t>
  </si>
  <si>
    <t>12/18/2018 19:49:23</t>
  </si>
  <si>
    <t>Marching Song and Dance</t>
  </si>
  <si>
    <t>https://sounds.bl.uk/World-and-traditional-music/Endangered-Micronesian-recordings/025M-CEAP115X4X96-003ZV0</t>
  </si>
  <si>
    <t>Endangered Archives Programme - EAP115: Collection and digitisation of old music in pre-literate Micronesian society</t>
  </si>
  <si>
    <t>Marching Song and Dance //SHELF MARK NUMBER CEAP115/4/96/3, RELEVANT TEXT IN THE DESCRIPTION FIELD//</t>
  </si>
  <si>
    <t>12/18/2018 19:54:19</t>
  </si>
  <si>
    <t>Milew Rutin Manna</t>
  </si>
  <si>
    <t>https://sounds.bl.uk/World-and-traditional-music/Endangered-Micronesian-recordings/025M-CEAP115X4X27-007ZV0</t>
  </si>
  <si>
    <t>Milew Rutin Manna //SHELF MARK NUMBER CEAP115/4/27/7, RELEVANT TEXT IN THE DESCRIPTION FIELD//</t>
  </si>
  <si>
    <t>Dance //SHELF MARK NUMBER CEAP115/4/27/7, RELEVANT TEXT IN THE DESCRIPTION FIELD//</t>
  </si>
  <si>
    <t>12/18/2018 21:48:17</t>
  </si>
  <si>
    <t>Two navigators Taisug and Satiw who sailed Woleai, Ifalik, Faraulep, back to Woleai during bad weather after WW II</t>
  </si>
  <si>
    <t>https://sounds.bl.uk/World-and-traditional-music/Endangered-Micronesian-recordings/025M-CEAP115X4X95-001ZV0</t>
  </si>
  <si>
    <t>Navigating</t>
  </si>
  <si>
    <t>Two navigators Taisug and Satiw who sailed Woleai, Ifalik, Faraulep, back to Woleai during bad weather after WW II //SHELF MARK NUMBER CEAP115/4/95/1, RELEVANT TEXT IN THE DESCRIPTION FIELD//</t>
  </si>
  <si>
    <t>12/18/2018 23:10:45</t>
  </si>
  <si>
    <t>A lement for Liugiulugelaiu, a faithfull and patient fisherman</t>
  </si>
  <si>
    <t>https://sounds.bl.uk/World-and-traditional-music/Endangered-Micronesian-recordings/025M-CEAP115X4X78-015ZV0</t>
  </si>
  <si>
    <t>A lement for Liugiulugelaiu, a faithfull and patient fisherman //SHELF MARK NUMBER CEAP115/4/78/15, RELEVANT TEXT IN DESCRIPTION FIELD//</t>
  </si>
  <si>
    <t>Lament //SHELF MARK NUMBER CEAP115/4/78/15, RELEVANT TEXT IN DESCRIPTION FIELD//</t>
  </si>
  <si>
    <t>12/18/2018 23:34:50</t>
  </si>
  <si>
    <t>Chuuk; Woleai Region</t>
  </si>
  <si>
    <t>A song for sick people, for those people who are about to die, we ask the Lord to be with them</t>
  </si>
  <si>
    <t>https://sounds.bl.uk/World-and-traditional-music/Endangered-Micronesian-recordings/025M-CEAP115X4X94-002ZV0</t>
  </si>
  <si>
    <t>A song for sick people, for those people who are about to die, we ask the Lord to be with them //SHELF MARK NUMBER CEAP115/4/94/2, RELEVANT TEXT IN DESCRIPTION FIELD//</t>
  </si>
  <si>
    <t>12/18/2018 23:40:43</t>
  </si>
  <si>
    <t>Quavering</t>
  </si>
  <si>
    <t xml:space="preserve">Courtship song //T5406R66 IN THE GLOBAL JUKEBOX, RELEVANT LABEL LISTED IN GENRE//
</t>
  </si>
  <si>
    <t>Under the culture "Iroquois"</t>
  </si>
  <si>
    <t>12/19/2018 13:01:19</t>
  </si>
  <si>
    <t>Gane' o' on</t>
  </si>
  <si>
    <t>Thanksgiving song //T5406R75 IN THE GLOBAL JUKEBOX, RELEVANT LABEL IN THE GENRE//</t>
  </si>
  <si>
    <t>Song genre is listed as thanksgiving, dance, and ritual song //T5406R75 IN THE GLOBAL JUKEBOX, RELEVANT INFORMATION IN THE GENRE SECTION//</t>
  </si>
  <si>
    <t>12/19/2018 13:06:33</t>
  </si>
  <si>
    <t>https://folkways.si.edu/mt-edgecumbe-boys-chorus/paddling-song/american-indian/music/track/smithsonian</t>
  </si>
  <si>
    <t>Paddling song //FW37777_101 IN SMITHSONIAN FOLKWAYS, RELEVANT LABEL IN TRACK TITLE//</t>
  </si>
  <si>
    <t xml:space="preserve">Boat song, perhaps originally sung by oarsmen as they travelled among the off-shore islands of southern Alaska //FW37777, FA 37777 IN SMITHSONIAN FOLKWAYS, ALBUM TITLE Cry from the Earth: Music of the North American Indians, RELEVANT INFORMATION IN ALBUM LINER NOTES PAGE 2//
</t>
  </si>
  <si>
    <t>12/19/2018 13:20:20</t>
  </si>
  <si>
    <t>Seneca</t>
  </si>
  <si>
    <t>The Dream Song of Our Two Uncles, The Bigheads</t>
  </si>
  <si>
    <t>https://babel.hathitrust.org/cgi/pt?id=umn.31951d03559167t;view=1up;seq=24</t>
  </si>
  <si>
    <t>None of these, HathiTrust</t>
  </si>
  <si>
    <t>Ceremonial //FOUND ON HAITHTRUST, RELEVANT LABEL IN LINER NOTES, PAGE 15//</t>
  </si>
  <si>
    <t>This is the first of the songs for stirring ashes, the rite which occupies the first two days of the annual Midwinter Festival //FOUND ON HAITHTRUST, ALBUM AND BOOK TITLE Songs from the Iroquois Longhouse, RELEVANT INFORMATION IN ALBUM LINER NOTES PAGE 15//</t>
  </si>
  <si>
    <t>The link goes to a book, which has lots of information about the culture.</t>
  </si>
  <si>
    <t>12/19/2018 13:48:27</t>
  </si>
  <si>
    <t>Death Song of the Cherokee Indians</t>
  </si>
  <si>
    <t>https://www.flutopedia.com/img_Ritson1794_CherokeeSong.htm</t>
  </si>
  <si>
    <t>Flutopedia</t>
  </si>
  <si>
    <t>Mourning //FOLLOWING THE LINK - RELEVANT LABEL IN TRACK TITLE//</t>
  </si>
  <si>
    <t>Remember the arrows he shot from his bow, Remember your chiefs by his hatchet laid low, Why so slow? Do you wait 'till I shrink from the pain? No, the son of Alknomook will never complain. Remember the wood where in ambush we lay, and the scalps which we bore from your nation away, Now the flame rises saft, you exult my pain, But the son of Alknomook can never complain. I go to the land where my father is gone, His ghost shall rejoyce in the fame of his son, Death comes like a friend, he relieves me from pain, And thy son, O Alknomook, has scorn'd to complain //FLUTOPEDIA, RELEVANT INFORMATION FROM THE LINK//</t>
  </si>
  <si>
    <t>12/19/2018 13:58:12</t>
  </si>
  <si>
    <t>Location: Tuvalu</t>
  </si>
  <si>
    <t>tuva1244</t>
  </si>
  <si>
    <t>tvl</t>
  </si>
  <si>
    <t>Tangata Tagata Film 34</t>
  </si>
  <si>
    <t>http://ampm.auckland.ac.nz/handle/id/78050</t>
  </si>
  <si>
    <t>Archive of Maori and Pacific Music (U of Auckland)</t>
  </si>
  <si>
    <t>Nukulaelae // LABEL FROM Archive of maori and Pacific Music (U of Auckland)//</t>
  </si>
  <si>
    <t>School children, song, schoolteacher, lagoon fishing, distribution of catch, chief, children eating// LABEL FROM Archive of maori and Pacific Music (U of Auckland)//</t>
  </si>
  <si>
    <t>12/19/2018 15:20:24</t>
  </si>
  <si>
    <t>Tony Tawerilmang story of his leadership in Yap</t>
  </si>
  <si>
    <t>https://sounds.bl.uk/World-and-traditional-music/Endangered-Micronesian-recordings/025M-CEAP115X4X49-001ZV0</t>
  </si>
  <si>
    <t>Tony Tawerilmang story of his leadership in Yap //SHELF MARK NUMBER CEAP115/4/49/1, RELEVANT TEXT IN DESCRIPTION FIELD//</t>
  </si>
  <si>
    <t>12/19/2018 15:20:57</t>
  </si>
  <si>
    <t>Location: Lavena, Taveuni, Fiji</t>
  </si>
  <si>
    <t>fiji1243</t>
  </si>
  <si>
    <t>Ta ta ta ta veisa veisa</t>
  </si>
  <si>
    <t>http://ampm.auckland.ac.nz/handle/id/87515</t>
  </si>
  <si>
    <t>None of these, Archive of Maori and Pacific Music (U of Auckland)</t>
  </si>
  <si>
    <t>Children's game song //Archive of Maori and Pacific Music (U of Auckland) Accession Number: 86/058.02//</t>
  </si>
  <si>
    <t>Two children sit facing each other and slap hands in various configurations. //Archive of Maori and Pacific Music (U of Auckland) Accession Number: 86/058.02//</t>
  </si>
  <si>
    <t>12/19/2018 15:26:24</t>
  </si>
  <si>
    <t>We Celebrated with song because its Christmas Time</t>
  </si>
  <si>
    <t>https://sounds.bl.uk/World-and-traditional-music/Endangered-Micronesian-recordings/025M-CEAP115X4X11-003ZV0</t>
  </si>
  <si>
    <t>Celebrating Christmas</t>
  </si>
  <si>
    <t>We Celebrated with song because its Christmas Time //SHELF MARK NUMBER CEAP115/4/11/3, RELEVANT TEXT IN DESCRIPTION FIELD//</t>
  </si>
  <si>
    <t>12/19/2018 15:29:16</t>
  </si>
  <si>
    <t>Welcome song, a women's sitting dance</t>
  </si>
  <si>
    <t>https://sounds.bl.uk/World-and-traditional-music/Endangered-Micronesian-recordings/025M-CEAP115X4X99-001ZV0</t>
  </si>
  <si>
    <t>Welcome song, a women's sitting dance //SHELF MARK NUMBER CEAP115/4/99/1, RELEVANT TEXT IN DESCRIPTION FIELD//</t>
  </si>
  <si>
    <t>Chant; Dance //SHELF MARK NUMBER CEAP115/4/99/1, RELEVANT TEXT IN DESCRIPTION FIELD//</t>
  </si>
  <si>
    <t>12/19/2018 15:33:43</t>
  </si>
  <si>
    <t>Shushu</t>
  </si>
  <si>
    <t>https://sounds.bl.uk/World-and-traditional-music/Endangered-Micronesian-recordings/025M-CEAP115X4X42-006ZV0</t>
  </si>
  <si>
    <t>Shushu //SHELF MARK NUMBER CEAP115/4/42/6, RELEVANT TEXT IN THE DESCRIPTION FIELD//</t>
  </si>
  <si>
    <t>Curing chant //SHELF MARK NUMBER CEAP115/4/42/6, RELEVANT TEXT IN THE DESCRIPTION FIELD//</t>
  </si>
  <si>
    <t>The recording locations was in Yap State, Federated States of Micronesia</t>
  </si>
  <si>
    <t>12/19/2018 15:40:25</t>
  </si>
  <si>
    <t>Wag</t>
  </si>
  <si>
    <t>https://sounds.bl.uk/World-and-traditional-music/Endangered-Micronesian-recordings/025M-CEAP115X4X42-010ZV0</t>
  </si>
  <si>
    <t>Wag //SHELF MARK NUMBER CEAP115/4/42/10, RELEVANT TEXT IN THE DESCRIPTION FIELD//</t>
  </si>
  <si>
    <t>Fishing chant //SHELF MARK NUMBER CEAP115/4/42/10, RELEVANT TEXT IN THE DESCRIPTION FIELD//</t>
  </si>
  <si>
    <t>The recording location is from Yap State, Federated States of Micronesia</t>
  </si>
  <si>
    <t>12/19/2018 15:49:42</t>
  </si>
  <si>
    <t>Funeral of Belelai Tomei</t>
  </si>
  <si>
    <t>https://sounds.bl.uk/World-and-traditional-music/Endangered-Micronesian-recordings/025M-CEAP115X5X11-005ZV0</t>
  </si>
  <si>
    <t>Funeral of Belelai Tomei //SHELF MARK NUMBER CEAP115/5/11/5, RELEVANT TEXT IN DESCRIPTION FIELD//</t>
  </si>
  <si>
    <t>Funeral lament //SHELF MARK NUMBER CEAP115/5/11/5, RELEVANT TEXT IN DESCRIPTION FIELD//</t>
  </si>
  <si>
    <t>12/19/2018 16:11:49</t>
  </si>
  <si>
    <t>8 Palauan women perform for the visiting Yap Catholic Community</t>
  </si>
  <si>
    <t>https://sounds.bl.uk/World-and-traditional-music/Endangered-Micronesian-recordings/025M-CEAP115X5X12-002ZV0</t>
  </si>
  <si>
    <t>8 Palauan women perform for the visiting Yap Catholic Community //SHELF MARK NUMBER CEAP115/5/12/2, RELEVANT TEXT IN THE DESCRIPTION FIELD//</t>
  </si>
  <si>
    <t>12/19/2018 16:17:03</t>
  </si>
  <si>
    <t>A song about "Weshaga" a popular fisherman a long time ago</t>
  </si>
  <si>
    <t>https://sounds.bl.uk/World-and-traditional-music/Endangered-Micronesian-recordings/025M-CEAP115X4X93-004ZV0</t>
  </si>
  <si>
    <t>A song about "Weshaga" a popular fisherman a long time ago //SHELF MARK NUMBER CEAP115/4/93/4, RELEVANT TEXT IN DESCRIPTION FIELD//</t>
  </si>
  <si>
    <t>Chants with english translation.</t>
  </si>
  <si>
    <t>12/19/2018 16:29:08</t>
  </si>
  <si>
    <t>A song about a beautiful baby who died of sickness that made people mourn for the loss</t>
  </si>
  <si>
    <t>https://sounds.bl.uk/World-and-traditional-music/Endangered-Micronesian-recordings/025M-CEAP115X4X93-005ZV0</t>
  </si>
  <si>
    <t>A song about a beautiful baby who died of sickness that made people mourn for the loss //SHELF MARK NUMBER CEAP115/4/93/5, RELEVANT TEXT IN THE DESCRIPTION FIELD//</t>
  </si>
  <si>
    <t>Chant; Lament //SHELF MARK NUMBER CEAP115/4/93/5, RELEVANT TEXT IN THE DESCRIPTION FIELD//</t>
  </si>
  <si>
    <t>12/19/2018 16:37:33</t>
  </si>
  <si>
    <t>A song about chief Yalemai during his bravery in fishing when he was young</t>
  </si>
  <si>
    <t>https://sounds.bl.uk/World-and-traditional-music/Endangered-Micronesian-recordings/025M-CEAP115X4X93-006ZV0</t>
  </si>
  <si>
    <t>A song about chief Yalemai during his bravery in fishing when he was young //SHELF MARK NUMBER CEAP115/4/93/6, RELEVANT TEXT IN THE DESCRIPTION FIELD//</t>
  </si>
  <si>
    <t>12/19/2018 16:47:40</t>
  </si>
  <si>
    <t>A song of a woman from Rumung, who had a baby and divorce and married again</t>
  </si>
  <si>
    <t>https://sounds.bl.uk/World-and-traditional-music/Endangered-Micronesian-recordings/025M-CEAP115X4100-004ZV0</t>
  </si>
  <si>
    <t>A song of a woman from Rumung, who had a baby and divorce and married again //SHELF MARK NUMBER CEAP115/4/100/4, RELEVANT TEXT IN THE DESCRIPTION FIELD//</t>
  </si>
  <si>
    <t>The recording location was from Yap State, Federated States of Micronesia</t>
  </si>
  <si>
    <t>12/19/2018 17:00:28</t>
  </si>
  <si>
    <t>A song of Gilgaan describing two societies, one female and one male</t>
  </si>
  <si>
    <t>https://sounds.bl.uk/World-and-traditional-music/Endangered-Micronesian-recordings/025M-CEAP115X4100-001ZV0</t>
  </si>
  <si>
    <t>A song of Gilgaan describing two societies, one female and one male //SHELF MARK NUMBER CEAP115/4/100/1, RELEVANT TEXT IN THE DESCRIPTION FIELD//</t>
  </si>
  <si>
    <t>12/19/2018 17:06:02</t>
  </si>
  <si>
    <t>Chant used in pulling something heavy</t>
  </si>
  <si>
    <t>https://sounds.bl.uk/World-and-traditional-music/Endangered-Micronesian-recordings/025M-CEAP115X4X69-003ZV0</t>
  </si>
  <si>
    <t>Chant used in pulling something heavy //SHELF MARK NUMBER CEAP115/4/69/3, RELEVANT TEXT IN DESCRIPTION FIELD//</t>
  </si>
  <si>
    <t>Chant used in pulling something heavy (eg: like pulling a big outtrigger out of the water). //SHELF MARK NUMBER CEAP115/4/69/3, RELEVANT TEXT IN DESCRIPTION FIELD//</t>
  </si>
  <si>
    <t>12/19/2018 17:36:17</t>
  </si>
  <si>
    <t>Paraguay - no specific culture listed</t>
  </si>
  <si>
    <t>Paraguay</t>
  </si>
  <si>
    <t>https://folkways.si.edu/los-tres-paraguayos/guantanamera/latin-american-hits/world/music/album/smithsonian</t>
  </si>
  <si>
    <t>Paraguay, beloved land, you are like a garden, with your poets, your flowers and love--land of the Guarani and the tropical sun. //SOURCE: Guantanamera!/ Latin American Hits liner notes on Smithsonian Folkways//</t>
  </si>
  <si>
    <t>12/22/2018 3:15:16</t>
  </si>
  <si>
    <t>Paraguay - no specific culture indicated</t>
  </si>
  <si>
    <t>Valencia</t>
  </si>
  <si>
    <t>Land of flowers, sunshine and romance! Famous land of beautiful women, perfumed gardens and great passions! Oh! to find love in Valencia is what I'm hoping for. //SOURCE: Guantanamera!/Latin American Hits liner notes on Smithsonian Folkways//</t>
  </si>
  <si>
    <t>12/22/2018 3:18:22</t>
  </si>
  <si>
    <t>Marinerito de Mi Patria</t>
  </si>
  <si>
    <t>We sing to the trees, to the mountains and the sun, we sing to our country, Paraguay! //SOURCE: Guantanamera!/Latin American Hits liner notes on Smithsonian Folkways//</t>
  </si>
  <si>
    <t>12/22/2018 3:23:14</t>
  </si>
  <si>
    <t>Cielito Lindo</t>
  </si>
  <si>
    <t>The lovely beauty mark close to your mouth belongs to no one but me ... ay ay ay ay, sing and don't cry, dear, because singing Cielito Lindo, hearts can be made happier. //SOURCE: Guantanamera!/Latin American Hits liner notes on Smithsonian Folkways//</t>
  </si>
  <si>
    <t>12/22/2018 3:27:40</t>
  </si>
  <si>
    <t>Pajaro Chogüi</t>
  </si>
  <si>
    <t>There is a legend about a little Guarani Indian boy who climbed a tree but when his mother called to him, he became frightened, fell off the tree and died. While his mother was holding his body in her arms, he turned into a chogüi bird and flew away. Now, the saying goes, whenever the chogüi bird is heard, it's the little Guarani Indian boy singing. //SOURCE: Guantanamera!/Latin American Hits liner notes on Smithsonian Folkways//</t>
  </si>
  <si>
    <t>12/22/2018 3:30:33</t>
  </si>
  <si>
    <t>Amapola</t>
  </si>
  <si>
    <t>My beautiful Amapola, my heart will always be yours. I love you as the sun loves the day. //SOURCE: Guantanamera!/Latin American Hits liner notes on Smithsonian Folkways//</t>
  </si>
  <si>
    <t>12/22/2018 3:35:49</t>
  </si>
  <si>
    <t>Akimel O'odham found on EHARF</t>
  </si>
  <si>
    <t>Ring Dance - Camel Back Mountain</t>
  </si>
  <si>
    <t>https://theglobaljukebox.org/?share=Akimel%20O'odham-T5405R29</t>
  </si>
  <si>
    <t>no track number Lomax Source: T1610 .2</t>
  </si>
  <si>
    <t>Ring Dance -Camel Rock Mountain //CODING ID 2744 IN GLOBAL JUKEBOX, RELEVANT TEXT IS IN THE SONG TITLE FIELD//</t>
  </si>
  <si>
    <t>Dance song; ring dance //CODING ID 2744 IN GLOBAL JUKEBOX, RELEVANT TEXT IS IN THE GENRE FIELD//</t>
  </si>
  <si>
    <t>12/26/2018 16:51:04</t>
  </si>
  <si>
    <t>Ring Dance</t>
  </si>
  <si>
    <t>https://theglobaljukebox.org/?share=Akimel%20O'odham-T5405R30</t>
  </si>
  <si>
    <t>no track number Lomax Source: T1610 .1</t>
  </si>
  <si>
    <t>Ring Dance //CODING ID 2746 IN GLOBAL JUKEBOX, RELEVANT TEXT IS IN THE SONG TITLE FIELD//</t>
  </si>
  <si>
    <t>Dance song; male group in unison over drum; quicker paced //CODING ID 2746 IN GLOBAL JUKEBOX, RELEVANT TEXT IS IN THE DESCRIPTION FIELD//</t>
  </si>
  <si>
    <t>12/26/2018 16:55:20</t>
  </si>
  <si>
    <t>Yaqui from Mexico not found on EHARF</t>
  </si>
  <si>
    <t>Yaqui- Pascola Dance</t>
  </si>
  <si>
    <t>https://folkways.si.edu/yaqui-musician-simultaneously-playing-flute-and-drum/yaqui-pascola-dance/american-indian-world/music/track/smithsonian</t>
  </si>
  <si>
    <t>Yaqi- Pascoa Dance //CATALOG NUMBER FW4413_201 IN SMITHSONIAN FOLKWAYS, RELEVANT TEXT IS IN THE TITLE FIELD//</t>
  </si>
  <si>
    <t>Pascola Dance //CATALOG NUMBER FW04413_201 IN SMITHSONIAN FOLKWAYS, RELEVANT TEXT IS IN THE TITLE FIELD//</t>
  </si>
  <si>
    <t>Search --&gt; Yaqi</t>
  </si>
  <si>
    <t>12/26/2018 18:04:12</t>
  </si>
  <si>
    <t>Hispanic Cultures</t>
  </si>
  <si>
    <t>Amar es Entregarse</t>
  </si>
  <si>
    <t>https://folkways.si.edu/coro-santo-nino/amar-es-entregarse/american-folk-gospel-latin/music/track/smithsonian</t>
  </si>
  <si>
    <t>Amar es Entrgarse //CATALOG NUMBER SFW40409_101 IN SMITHSONIAN FOLKWAYS, RELEVANT TEXT IS IN THE TITLE FIELD//</t>
  </si>
  <si>
    <t>Sacred Hymns, serenades, narrative ballads, and lyric folk //CATALOG NUMBER SFW40409_101 IN SMITHSONIAN FOLKWAYS, RELEVANT TEXT IS IN THE ALBUM DESCRIPTION//</t>
  </si>
  <si>
    <t>Amar es Entrgarse English: Love is to deliver one self //CATALOG NUMBER SFW40409_101 IN SMITHSONIAN FOLKWAYS, RELEVANT TEXT IS IN THE TITLE FIELD//</t>
  </si>
  <si>
    <t>Type in Search bar: Music of New Mexico: Hispanic Traditions</t>
  </si>
  <si>
    <t>12/26/2018 18:24:30</t>
  </si>
  <si>
    <t>Mescalero Apache; Diné (Navajo) both found on eHARF</t>
  </si>
  <si>
    <t>apac1239</t>
  </si>
  <si>
    <t>Moccasin Game Song</t>
  </si>
  <si>
    <t>https://folkways.si.edu/a-paul-ortega-and-sharon-burch/moccasin-game-song/american-indian/music/track/smithsonian</t>
  </si>
  <si>
    <t>Diac 1, Track 13</t>
  </si>
  <si>
    <t>Moccasin Game Song //CATALOG NUMBER SFW40408_113 IN SMITHSONIAN FOLKWAYS, RELEVANT TEXT IS IN THE TITLE FIELD//</t>
  </si>
  <si>
    <t>Search: Norther Mexico --&gt; Music of New Mexico: Native American Traditions</t>
  </si>
  <si>
    <t>12/26/2018 18:30:38</t>
  </si>
  <si>
    <t>Taos not found on eHARF</t>
  </si>
  <si>
    <t>taos1236</t>
  </si>
  <si>
    <t>Courting Song</t>
  </si>
  <si>
    <t>https://folkways.si.edu/john-rainer-jr/courting-song/american-indian/music/track/smithsonian</t>
  </si>
  <si>
    <t xml:space="preserve">Courting Song //CATALOG NUMBER SFW40408_117 IN SMITHSONIAN FOLKWAYS, RELEVANT TEXT IS IN THE TITLE FIELD//
</t>
  </si>
  <si>
    <t>Search --&gt; Northern Mexico --&gt;Music of New Mexico: Native American Traditions</t>
  </si>
  <si>
    <t>12/26/2018 18:40:01</t>
  </si>
  <si>
    <t>Hualapai not found on eHARF</t>
  </si>
  <si>
    <t>hava1248</t>
  </si>
  <si>
    <t>wala1270</t>
  </si>
  <si>
    <t>yuf</t>
  </si>
  <si>
    <t>Walapai: funeral Song</t>
  </si>
  <si>
    <t>https://folkways.si.edu/walapai-funeral-song/american-indian/music/track/smithsonian</t>
  </si>
  <si>
    <t>Walapi: Funeral Song //CATALOG NUMBER FW04420_207 IN SMITHSONIAN FOLKWAYS, RELEVANT TEXT IS IN THE TITLE FIELD//</t>
  </si>
  <si>
    <t>Search --&gt; Hualapai --&gt; Music of the American Indians of the Southwest</t>
  </si>
  <si>
    <t>12/26/2018 18:58:38</t>
  </si>
  <si>
    <t>Taos not found on eAHRF</t>
  </si>
  <si>
    <t>Taos Courting Flute Song</t>
  </si>
  <si>
    <t>https://folkways.si.edu/lillian-rainer/taos-courting-flute-song/american-indian/music/track/smithsonian</t>
  </si>
  <si>
    <t>Disc 6, Track 6</t>
  </si>
  <si>
    <t>Taos Courting Flute Song //CATALOG NUMBER SFW40415_106 IN SMITHSONIAN FOLKWAYS, RELEVANT TEXT IS IN THE TITLE FIELD//</t>
  </si>
  <si>
    <t>Search --&gt; Taos --&gt; Heartbeat: Voices of First Nations Women</t>
  </si>
  <si>
    <t>12/27/2018 3:56:53</t>
  </si>
  <si>
    <t>Wasco not found on eHARF</t>
  </si>
  <si>
    <t>teni1238</t>
  </si>
  <si>
    <t>wasc1239</t>
  </si>
  <si>
    <t>wasc1240</t>
  </si>
  <si>
    <t>tqn</t>
  </si>
  <si>
    <t>Stick Game Song</t>
  </si>
  <si>
    <t>https://folkways.si.edu/mary-ann-meanus-and-verbena-green/stick-game-song/american-indian/music/track/smithsonian</t>
  </si>
  <si>
    <t>Stick Game Song - //CATALOG NUMBER SFW40415_112 IN SMITHSONIAN FOLKWAYS, RELEVANT TEXT IS IN THE TITLE FIELD//</t>
  </si>
  <si>
    <t>Search --&gt; Tenino --&gt; Heartbeat: Voices of First Nations Women</t>
  </si>
  <si>
    <t>12/27/2018 4:04:04</t>
  </si>
  <si>
    <t>Navajo found on eHARF</t>
  </si>
  <si>
    <t>Navajo Riding Song</t>
  </si>
  <si>
    <t>https://folkways.si.edu/lillian-rainer/navajo-riding-song/american-indian/music/track/smithsonian</t>
  </si>
  <si>
    <t>Disck 1, Track 13</t>
  </si>
  <si>
    <t>Navajo Riding Song - //CATALOG NUMBER SFW40415_113 IN SMITHSONIAN FOLKWAYS, RELEVANT TEXT IS IN THE TITLE FIELD//</t>
  </si>
  <si>
    <t>12/27/2018 4:07:30</t>
  </si>
  <si>
    <t>Huichol found on eHARF</t>
  </si>
  <si>
    <t>Search --&gt; Huichol --&gt; Song for Corn Roasting</t>
  </si>
  <si>
    <t>Song for Corn Roasting //CATALOG NUMBER FW4175_309 IN SMITHSONIAN FOLKWAYS, RELEVANT TEXT IS IN THE TITLE FIELD//</t>
  </si>
  <si>
    <t>12/27/2018 4:22:31</t>
  </si>
  <si>
    <t>Hopi found on eHARF</t>
  </si>
  <si>
    <t>Funeral Chant</t>
  </si>
  <si>
    <t>https://folkways.si.edu/male-singers/funeral-chant/islamica-world/music/track/smithsonian</t>
  </si>
  <si>
    <t>Disc 2, Track 8</t>
  </si>
  <si>
    <t>Funeral Chant //CATALOG NUMBER FW404175_308 IN SMITHSONIAN FOLKWAYS, RELEVANT TEXT IS IN THE TITLE FIELD//</t>
  </si>
  <si>
    <t>12/27/2018 4:27:23</t>
  </si>
  <si>
    <t>Zuni found on eHARF</t>
  </si>
  <si>
    <t>zuni1245</t>
  </si>
  <si>
    <t>zun</t>
  </si>
  <si>
    <t>https://folkways.si.edu/laughing-eyes-margaret-eagle/lullaby/american-indian/music/track/smithsonian</t>
  </si>
  <si>
    <t>Lullaby //CATALOG NUMBER FW37777_201 IN SMITHSONIAN FOLKWAYS, RELEVANT TEXT IS IN THE TITLE FIELD//</t>
  </si>
  <si>
    <t>12/27/2018 4:39:48</t>
  </si>
  <si>
    <t>Pawnee, Skidi</t>
  </si>
  <si>
    <t>Mad Chief Mourns for his Grandson</t>
  </si>
  <si>
    <t>http://gofile.me/3T2hs/dzomj9SVm</t>
  </si>
  <si>
    <t>Cat 1096, No. 86</t>
  </si>
  <si>
    <t>Pawnee Music Book</t>
  </si>
  <si>
    <t>Mourning//PAWNEE MUSIC BOOK [SOURCE OF BOOK HERE], PG 119</t>
  </si>
  <si>
    <t>Story is in book, "...people said his heart was like a stone until he sang this song..."///PAWNEE MUSIC BOOK [SOURCE OF BOOK HERE], PG 118</t>
  </si>
  <si>
    <t>Mad Chief sings as he walks, his spirit is glad as he walks, Pushed forward is no longer with us, yet we seem to see him; Yonder he comes ///PAWNEE MUSIC BOOK [SOURCE OF BOOK HERE], PG 119</t>
  </si>
  <si>
    <t xml:space="preserve">https://catalog.loc.gov/vwebv/search?searchCode=LCCN&amp;searchArg=2011655378&amp;searchType=1&amp;permalink=y </t>
  </si>
  <si>
    <t>The collection is part of Densmore collection in library of congress, but access to recording is dependent on tribe according to Judith with Folk Life Center.</t>
  </si>
  <si>
    <t>12/27/2018 16:49:52</t>
  </si>
  <si>
    <t>Culture not mentioned, country is Mexico</t>
  </si>
  <si>
    <t>Al Citron</t>
  </si>
  <si>
    <t>https://folkways.si.edu/al-citron/childrens/music/track/smithsonian</t>
  </si>
  <si>
    <t>Disk 1, Track 1</t>
  </si>
  <si>
    <t>"In Latin America, as indeed throughout the world, there are two kinds of children’s songs: those taught to them by their elders or their teachers, and those learned at play with other children. This collection includes both types..." , title of child ofAlbum, Latin American Children Game Songs
//CATALOG NUMBER FW07851_101 IN SMITHSONIAN FOLKWAYS, RELEVANT TEXT IS IN THE ALBUM DESCRIPTION AND ALBUM TITLE FILD//</t>
  </si>
  <si>
    <t>12/28/2018 0:32:06</t>
  </si>
  <si>
    <t>culture not mentioned, country is Mexico</t>
  </si>
  <si>
    <t>La Bella Hortelana- The Pretty Farmer</t>
  </si>
  <si>
    <t>https://folkways.si.edu/la-bella-hortelana-the-pretty-farmer/childrens/music/track/smithsonian</t>
  </si>
  <si>
    <t>Disk 1, Track 2</t>
  </si>
  <si>
    <t>12/28/2018 0:34:58</t>
  </si>
  <si>
    <t>no culture was mentioned, country is Mexico</t>
  </si>
  <si>
    <t>Arroz con Leche- Rice and Milk; Ring Around the Rosy</t>
  </si>
  <si>
    <t>https://folkways.si.edu/arroz-con-leche-rice-and-milk-ring-around-the-rosy/childrens/music/track/smithsonian</t>
  </si>
  <si>
    <t>Disk 1, Track 3</t>
  </si>
  <si>
    <t>Arroz con Leche- Rice and Milk; Ring Around the Rosy //CATALOG NUMBER FW07851_101 IN SMITHSONIAN FOLKWAYS, RELEVANT TEXT IS IN THE TITLE FILD//</t>
  </si>
  <si>
    <t>12/28/2018 0:38:14</t>
  </si>
  <si>
    <t>no culture was specified country is Mexico</t>
  </si>
  <si>
    <t>A la Vibora de la Mar- To the Serpent of the Sea</t>
  </si>
  <si>
    <t>https://folkways.si.edu/a-la-vibora-de-la-mar-to-the-serpent-of-the-sea/childrens/music/track/smithsonian</t>
  </si>
  <si>
    <t>Disk 1, Track 4</t>
  </si>
  <si>
    <t>A la Vibora de la Mar- To the Serpent of the Sea //CATALOG NUMBER FW07851_101 IN SMITHSONIAN FOLKWAYS, RELEVANT TEXT IS IN THE TITLE FILD//</t>
  </si>
  <si>
    <t>12/28/2018 0:42:34</t>
  </si>
  <si>
    <t>no culture was specified, country is Mexico</t>
  </si>
  <si>
    <t>Arrullo Lullaby</t>
  </si>
  <si>
    <t>https://folkways.si.edu/arrullo-lullaby/childrens/music/track/smithsonian</t>
  </si>
  <si>
    <t>Disk 1, Track 9</t>
  </si>
  <si>
    <t>Arrullo- Lullaby //CATALOG NUMBER FW07851_101 IN SMITHSONIAN FOLKWAYS, RELEVANT TEXT IS IN THE TITLE FILD//</t>
  </si>
  <si>
    <t>12/28/2018 0:47:20</t>
  </si>
  <si>
    <t>Flute Ceremony</t>
  </si>
  <si>
    <t>https://folkways.si.edu/makawatiweh/flute-ceremony/american-indian/music/track/smithsonian</t>
  </si>
  <si>
    <t>Disk 1, Track 20</t>
  </si>
  <si>
    <t>Flute Ceremony //CATALOG NUMBER FW37777_206 IN SMITHSONIAN FOLKWAYS, RELEVANT TEXT IS IN THE TITLE FIELD//</t>
  </si>
  <si>
    <t>12/28/2018 17:48:13</t>
  </si>
  <si>
    <t>Grand Canyon Creation Story</t>
  </si>
  <si>
    <t>https://folkways.si.edu/phyllis-yoyetewa-kachinhongva-hopi/grand-canyon-creation-story/american-folk-american-indian-science-nature/track/smithsonian</t>
  </si>
  <si>
    <t>Disk 1, Track 10</t>
  </si>
  <si>
    <t>Grand Canyon Creation Story //CATALOG NUMBER SFW40167_110 IN SMITHSONIAN FOLKWAYS, RELEVANT TEXT IS IN THE TITLE FIELD//</t>
  </si>
  <si>
    <t>12/28/2018 17:52:49</t>
  </si>
  <si>
    <t>Tohono O'odham not found on eharf</t>
  </si>
  <si>
    <t>ood</t>
  </si>
  <si>
    <t>Papago: Saguaro Song</t>
  </si>
  <si>
    <t>https://folkways.si.edu/papago-saguaro-song/american-indian/music/track/smithsonian</t>
  </si>
  <si>
    <t>Disk 1, Track 11</t>
  </si>
  <si>
    <t>Papago: Saguro Song //CATALOG NUMBER FW4420_206 IN SMITHSONIAN FOLKWAYS, RELEVANT TEXT IS IN THE TITLE FIELD//</t>
  </si>
  <si>
    <t>Every act of the procedure is accompanied with ceremonial singing or oratory describing rain and growth //CATALOG NUMBER FW4420_206 IN SMITHSONIAN FOLKWAYS, RELEVANT TEXT IS IN THE TITLE FIELD//</t>
  </si>
  <si>
    <t>12/28/2018 18:46:32</t>
  </si>
  <si>
    <t>Hopi: Butterfly Dance</t>
  </si>
  <si>
    <t>https://folkways.si.edu/hopi-butterfly-dance/american-indian/music/track/smithsonian</t>
  </si>
  <si>
    <t>Hopi: Butterfly Dance //CATALOG NUMBER FW04420_105 IN SMITHSONIAN FOLKWAYS, RELEVANT TEXT IS IN THE TITLE FIELD//</t>
  </si>
  <si>
    <t>Its a petition for rain and counteous crops //CATALOG NUMBER SFW04420_105 IN SMITHSONIAN FOLKWAYS, RELEVANT TEXT IN THE LINEAR NOTES//</t>
  </si>
  <si>
    <t>12/28/2018 19:04:22</t>
  </si>
  <si>
    <t>Zuni: Rain Dance</t>
  </si>
  <si>
    <t>https://folkways.si.edu/zuni-rain-dance/american-indian/music/track/smithsonian</t>
  </si>
  <si>
    <t>Zuni: Rain Dance //CATALOG NUMBER FW04420_104 IN SMITHSONIAN FOLKWAYS, RELEVANT TEXT IS IN THE TITLE FIELD//</t>
  </si>
  <si>
    <t>The making of the rain is of the primary concern in pueblo religions and most of the ceremonies are directed toward that objective. The dance like their ritual poetry is a monotonous compulsion of natural forces by reiteration. the Tier-less pounding of their feet draws together the mist in the sky and heaps it into the piled rain clouds. It forces out the rain upon the earth. They are bent not at all upon an ecstatic experience, but upon so through-going an identification with nature that the forces of nature will swing to their purposes. //CATALOG NUMBER FW420_104 IN SMITHSONIAN FOLKWAYS, RELEVANT TEXT IS IN LINAR NOTES//</t>
  </si>
  <si>
    <t>12/28/2018 19:12:38</t>
  </si>
  <si>
    <t>Tewa found on eHARF</t>
  </si>
  <si>
    <t>tewa1261</t>
  </si>
  <si>
    <t>San Ildefonso: Eagle Dance</t>
  </si>
  <si>
    <t>https://folkways.si.edu/san-ildefonso-eagle-dance/american-indian/music/track/smithsonian</t>
  </si>
  <si>
    <t>San Ildefonso: Eagle Dance //CATALOG NUMBER FW04420_103 IN SMITHSONIAN FOLKWAYS, RELEVANT TEXT IS IN THE TITLE FIELD//</t>
  </si>
  <si>
    <t>To the American Indian the eagle was a sacred bird venerated for his supernatural power. The eagle dance widely practiced among the pueblos or the southwest reported to be part of an ancient ceremony relating to rain and crops. By some it is thought to be a fragment of an ceremonial commemorating the saving of the pueblos from plague though the intervention of the eagle who with his wings fanned the breeze into rain clouds which descended and washed away the evil disease. //CATALOG NUMBER FW04420_103 IN SMITHSONIAN FOLKWAYS, RELEVANT TEXT IS IN LINAR NOTES//</t>
  </si>
  <si>
    <t>12/28/2018 19:22:02</t>
  </si>
  <si>
    <t>Hualpai alt. Names Hwalbay not found on eHARF</t>
  </si>
  <si>
    <t>https://theglobaljukebox.org/?share=Seri-T5405R43</t>
  </si>
  <si>
    <t>No track number Lomax Source: 1B2.B7; WFS3.10</t>
  </si>
  <si>
    <t>Funeral Song //CODING ID 199 IN GLOBAL JUKEBOX, RELEVANT TEXT IS IN THE TITLE FIELD//</t>
  </si>
  <si>
    <t>Funeral; Mourning Song //CODING ID 199 IN GLOBAL JUKEBOX, RELEVANT TEXT IS IN THE GENRE FIELD//</t>
  </si>
  <si>
    <t>12/28/2018 20:32:59</t>
  </si>
  <si>
    <t>Aha Makhav not found on eHARF</t>
  </si>
  <si>
    <t>moha1256</t>
  </si>
  <si>
    <t>mov</t>
  </si>
  <si>
    <t>Death Song 2</t>
  </si>
  <si>
    <t>No track number Lomax Source: T1618.10</t>
  </si>
  <si>
    <t>Death Song //CODING ID 2015 IN GLOBAL JUKEBOX, RELEVANT TEXT IS IN THE TITLE FIELD//</t>
  </si>
  <si>
    <t>Mourning; Death Song //CODING ID 2015 IN GLOBAL JUKEBOX, RELEVANT TEXT IS IN THE GENRE FIELD//</t>
  </si>
  <si>
    <t>Global Jukebox says the audio is "subject to tribal permission"</t>
  </si>
  <si>
    <t>12/28/2018 20:38:11</t>
  </si>
  <si>
    <t>Death Song 1</t>
  </si>
  <si>
    <t>no track number, Lomax Source: T1618 .9</t>
  </si>
  <si>
    <t>Death Song 1//CODING ID 2021 IN GLOBAL JUKEBOX, RELEVANT TEXT IS IN THE DESCRIPTION FIELD//</t>
  </si>
  <si>
    <t>From the mourning song-cycle; male soloist unaccompanied //CODING ID 2021 IN GLOBAL JUKEBOX, RELEVANT TEXT IS IN THE DESCRIPTION FIELD//</t>
  </si>
  <si>
    <t>Global Jukebox says audio file is "subject to tribal permission"</t>
  </si>
  <si>
    <t>12/28/2018 20:41:22</t>
  </si>
  <si>
    <t>Sumirumansanisa</t>
  </si>
  <si>
    <t>The saying sumirumansanisa is untranslatable although we can synthetize
its meaning as the appreCiation and admiration a shepherd feels for his llamas. //CD HAS ADDITIONAL LINER NOTES BOOKLET, THIS IS ON PAGE 3//</t>
  </si>
  <si>
    <t>There are two songs in this track (Solo on the Pinqalyo / Sumirumansanisa). This catalog refers to the second song.</t>
  </si>
  <si>
    <t>12/30/2018 20:45:46</t>
  </si>
  <si>
    <t>Romero, Romero</t>
  </si>
  <si>
    <t>Song devoted to the female llama. It is sung during the celebration of the floreo. Romero is a proper name for an animal, in this case the llama to which the song is dedicated. //CD HAS ADDITIONAL LINER NOTES BOOKLET, THIS IS ON PAGE 4//</t>
  </si>
  <si>
    <t>There are three songs in this track (Solo on the Bandola/ Romero, Romero/ Sahsalye). This catalog refers to the second song.</t>
  </si>
  <si>
    <t>12/31/2018 0:12:28</t>
  </si>
  <si>
    <t>Sahsalye</t>
  </si>
  <si>
    <t>Song dedicated to the male woolly llama. It is also sung during floreo celebration. //CD HAS ADDITIONAL LINER NOTES BOOKLET, THIS IS ON PAGE 3//</t>
  </si>
  <si>
    <t>This track has three songs (Solo on the Bandola/ Romero, Romero/ Sahsalye). This catalog refers to the third song.</t>
  </si>
  <si>
    <t>12/31/2018 0:22:36</t>
  </si>
  <si>
    <t>Salvador</t>
  </si>
  <si>
    <t>Angola</t>
  </si>
  <si>
    <t>https://folkways.si.edu/grupo-de-capoeira-angola-pelourinho-from-salvador-brazil/african-american-music-latin-world/album/smithsonian</t>
  </si>
  <si>
    <t>The tempo, or speed, of a toque is determined by the musicians ... the tempo of the music will increase as the game continues and the musicians urge the players to play harder //SOURCE: Smithsonian Folkways liner notes for Capoeira Angola from Salvador, Brazil, page 32//</t>
  </si>
  <si>
    <t>12/31/2018 1:31:44</t>
  </si>
  <si>
    <t>Iúna</t>
  </si>
  <si>
    <t>The tempo, or speed, of a toque is determined by the musicians ... the tempo of the music will increase as the game continues and the musicians urge the players to play harder ... Iúna is a rhythm created by Mestre Bimba to be used for games between advanced students. //SOURCE: Smithsonian Folkways liner notes for Capoeira Angola from Salvador, Brazil, page 32//</t>
  </si>
  <si>
    <t>12/31/2018 1:35:19</t>
  </si>
  <si>
    <t>Santa Maria</t>
  </si>
  <si>
    <t>12/31/2018 1:37:00</t>
  </si>
  <si>
    <t>Ceará</t>
  </si>
  <si>
    <t>Canções dos Congos</t>
  </si>
  <si>
    <t>https://folkways.si.edu/l-h-correa-de-azevedo-music-of-ceara-and-minas-gerais/latin-world/music/album/smithsonian</t>
  </si>
  <si>
    <t>introduction of a leader</t>
  </si>
  <si>
    <t>Congos //SOURCE: Smithsonian Folkways liner notes for L. H. Corrêa de Azevedo: Music of Ceará and Minas Gerais, page 5//</t>
  </si>
  <si>
    <t>Variations of the congos ... are usually related in some way to festivals of early black Catholicism that honored Our Lady of the Rosary and Saint Benedict ... includes the coronation of Kongo kings and queens. //SOURCE: Smithsonian Folkways liner notes for L. H. Corrêa de Azevedo: Music of Ceará and Minas Gerais, page 5//</t>
  </si>
  <si>
    <t>This song has the same name as two others, which are also part of the same genre, and all three (including this one) have been catalogued. They are not duplicates.</t>
  </si>
  <si>
    <t>12/31/2018 2:01:30</t>
  </si>
  <si>
    <t>12/31/2018 2:03:37</t>
  </si>
  <si>
    <t>12/31/2018 2:07:53</t>
  </si>
  <si>
    <t>Belém</t>
  </si>
  <si>
    <t>Marajó já teve fama</t>
  </si>
  <si>
    <t>https://folkways.si.edu/the-discoteca-collection-missao-de-pesquisas-folcloricas/world/music/album/smithsonian</t>
  </si>
  <si>
    <t>This curing ritual ... During the healing ceremony, the pajé sits next to a table covered with a white cloth and the ritual objects used in curing his clients ... The pajé sings and invokes spirits known as mestres de cura, or curing masters. In Belém, where these pajelança songs were recorded... //SOURCE: Smithsonian Folkways liner notes for The Discoteca Collection: Missão de Pesquisas Folclóricas, page 5//</t>
  </si>
  <si>
    <t>12/31/2018 2:20:22</t>
  </si>
  <si>
    <t>Esse catú catú</t>
  </si>
  <si>
    <t>12/31/2018 2:22:34</t>
  </si>
  <si>
    <t>Karajá</t>
  </si>
  <si>
    <t>https://theglobaljukebox.org/?share=Karaj%C3%A1-T5403R59</t>
  </si>
  <si>
    <t>Lullaby //SOURCE: Global Jukebox Coding ID 3492//</t>
  </si>
  <si>
    <t>12/31/2018 16:05:12</t>
  </si>
  <si>
    <t>https://theglobaljukebox.org/?share=Karaj%C3%A1-T5403R52</t>
  </si>
  <si>
    <t>Lullaby //SOURCE: Global Jukebox Coding ID 3610//</t>
  </si>
  <si>
    <t>Lullaby sung by mother to her child //SOURCE: Global Jukebox Coding ID 3610//</t>
  </si>
  <si>
    <t>12/31/2018 16:08:03</t>
  </si>
  <si>
    <t>Mourning of a Young Widow</t>
  </si>
  <si>
    <t>https://theglobaljukebox.org/?share=Karaj%C3%A1-T5403R60</t>
  </si>
  <si>
    <t>Mourning song //SOURCE: Global Jukebox Coding ID 3493//</t>
  </si>
  <si>
    <t>Woman sings softly and tells her sad story, embellishing her husband's qualities and pronouncing his name; often repeated after a year or more, suddenly, when she remembers him //SOURCE: Global Jukebox Coding ID 3493//</t>
  </si>
  <si>
    <t>12/31/2018 16:12:11</t>
  </si>
  <si>
    <t>Vaya Con Dios</t>
  </si>
  <si>
    <t>Go with God, my beloved, go with God, my dearest one! The church bells are ringing, because you are departing, yet regardless of how far you may go ... I will always be with you! //SOURCE: Smithsonian Folkways liner notes for Guantanamera!/ Latin American Hits, page 1//</t>
  </si>
  <si>
    <t>12/31/2018 16:46:01</t>
  </si>
  <si>
    <t>Pawnee/ Skidi</t>
  </si>
  <si>
    <t>Story Of The Wolf And The Scalped Man</t>
  </si>
  <si>
    <t>https://folkways.si.edu/mark-evarts/military-society-hatuxka-lance-society/wolf-war-raid/military-society-horse-society/story-of-the-wolf-and-the-scalped-man-medley/american-indian/music/track/smithsonian</t>
  </si>
  <si>
    <t>Band 5, d</t>
  </si>
  <si>
    <t>Story//SMITHSONIAN FOLKWAYS MUSIC OF THE PAWNEE, LINER NOTES PG 11 BAND 5, D//</t>
  </si>
  <si>
    <t>A coyote or wolf story told only in the Winter.The incidents refer to the "trickster" character of the wolf//SMITHSONIAN FOLKWAYS MUSIC OF THE PAWNEE, LINER NOTES PG 11 BAND 5, D//</t>
  </si>
  <si>
    <t>someone is probably in there, here they, willows, are not quite touching • (the bank), He is to bring water for me (the unseen being says)//SMITHSONIAN FOLKWAYS MUSIC OF THE PAWNEE, LINER NOTES PG 11 BAND 5, D//</t>
  </si>
  <si>
    <t>A Pawnee sang this song but there is no indication if it is technically a field recording</t>
  </si>
  <si>
    <t>12/31/2018 22:35:29</t>
  </si>
  <si>
    <t>Cheyenne, Heévâhetaneo'o, Southern Cheyenne</t>
  </si>
  <si>
    <t>chey1247</t>
  </si>
  <si>
    <t>chy</t>
  </si>
  <si>
    <t>Cheyenne Story of the Bogeyman</t>
  </si>
  <si>
    <t>https://www.loc.gov/folklife/LP/AFSL39Plains.pdf</t>
  </si>
  <si>
    <t>Side A, Track 8</t>
  </si>
  <si>
    <t>Library of Congress Catalog Card Number 82-743369</t>
  </si>
  <si>
    <t>Story//MUSIC OF THE AMERICAN INDIANS, LOC, AFS L39, LINER NOTES, PAGE 13, A8//</t>
  </si>
  <si>
    <t>"When there's a gathering together at ceremonials, you know, getting so many parents and the children, they try to keep the children inside. So the bogeyman he goes along allover the camp so he keep them in. Every tipi he stops and
he sings this song to them//MUSIC OF THE AMERICAN INDIANS, LOC, AFS L39, LINER NOTES, PAGE 13, A8//</t>
  </si>
  <si>
    <t xml:space="preserve">Mista Komena, Bogeyman is coming//MUSIC OF THE AMERICAN INDIANS, LOC, AFS L39, LINER NOTES, PAGE 13, A8//
</t>
  </si>
  <si>
    <t>First issued on long-playing record in 1954. Accompanying booklet published 1982.</t>
  </si>
  <si>
    <t>12/31/2018 22:56:19</t>
  </si>
  <si>
    <t>It consists in a person who feigns trying to light a pipe with a burning flint. //CD HAS ADDITIONAL LINER NOTES BOOKLET, THIS IS ON PAGE 6//</t>
  </si>
  <si>
    <t>There are five songs in this track. This catalog refers to the first song.</t>
  </si>
  <si>
    <t>Carancho</t>
  </si>
  <si>
    <t>It refers to the activity of the bird when it digs looking for worms on the beach. //CD HAS ADDITIONAL LINER NOTES BOOKLET, THIS IS ON PAGE 6//</t>
  </si>
  <si>
    <t>There are five songs in this track. This catalog refers to the second song.</t>
  </si>
  <si>
    <t>The Sea Wolf</t>
  </si>
  <si>
    <t>It is called the song of the sea wolf because it is supposed to be about someone cleaning the animal's entrails. //CD HAS ADDITIONAL LINER NOTES BOOKLET, THIS IS ON PAGE 6//</t>
  </si>
  <si>
    <t>There are five songs in this track. This catalog refers to the fifth song.</t>
  </si>
  <si>
    <t>TW40: Thunderbird Song, Hiligyala Song</t>
  </si>
  <si>
    <t>https://folkways.si.edu/tom-willie-kewakhalis/tw40-thunderbird-song-hiligyala-song/american-indian/music/track/smithsonian</t>
  </si>
  <si>
    <t>Kwakwaka'wakw (Kwakiutl); Nuu-chah-nulth</t>
  </si>
  <si>
    <t>Wolf Song</t>
  </si>
  <si>
    <t>https://folkways.si.edu/billy-assu/wolf-song-2/american-indian/music/track/smithsonian</t>
  </si>
  <si>
    <t>Disc 2, Track 1</t>
  </si>
  <si>
    <t>Victory Song</t>
  </si>
  <si>
    <t>https://folkways.si.edu/fred-louis-and-ella-thompson/victory-song/american-indian/music/track/smithsonian</t>
  </si>
  <si>
    <t>Nootka</t>
  </si>
  <si>
    <t>noo</t>
  </si>
  <si>
    <t>Nootka Farewell Song</t>
  </si>
  <si>
    <t>https://folkways.si.edu/george-clutesi/nootka-farewell-song/celtic-world/music/track/smithsonian</t>
  </si>
  <si>
    <t>Invitation Song</t>
  </si>
  <si>
    <t>https://folkways.si.edu/fred-louis-and-ella-thompson/invitation-song/american-indian/music/track/smithsonian</t>
  </si>
  <si>
    <t>Samish</t>
  </si>
  <si>
    <t>sami1249</t>
  </si>
  <si>
    <t>Fall Work Medicine Song (Samish)</t>
  </si>
  <si>
    <t>https://folkways.si.edu/johnny-moses/fall-work-medicine-song-samish</t>
  </si>
  <si>
    <t>Kullan Ylistys (Love Song)</t>
  </si>
  <si>
    <t>https://folkways.si.edu/saga-sjoberg-and-arne-dorumsgaard/kullan-ylistys-love-song/world/music/track/smithsonian</t>
  </si>
  <si>
    <t>Love song //SMITHSONIAN FOLKWAYS, Scandinavian Folk Songs of Sweden, Norway and Finland, CATALOG NUMBER MON00333_201//</t>
  </si>
  <si>
    <t>My girl friend is pretty, but she is hard as nails. Hei, luulia, iIIalLa. Gentle and tender is her face, but somewhat crossed her beautiful eyes. Hei ... Her red lips open with a smile which stretches from ear to ear. Hei ... She does not
frighten me at all although she is almost as large as a dragon. Hei ... //SMITHSONIAN FOLKWAYS, Scandinavian Folk Songs of Sweden, Norway and Finland, Liner notes, CATALOG NUMBER MON00333//</t>
  </si>
  <si>
    <t>Jeg Lagde Mig Så Sildig (Sleep Came Late to Me)</t>
  </si>
  <si>
    <t>https://folkways.si.edu/saga-sjoberg-and-arne-dorumsgaard/jeg-lagde-mig-sa-sildig-sleep-came-late-to-me/world/music/track/smithsonian</t>
  </si>
  <si>
    <t>Disc 1, Track 21 (208)</t>
  </si>
  <si>
    <t>Mourning song //SMITHSONIAN FOLKWAYS, Scandinavian Folk Songs of Sweden, Norway and Finland, CATALOG NUMBER MON00333_208//</t>
  </si>
  <si>
    <t>Sleep came late to me at night. without any sorrow that I know of. Then came a message from my love that I must go to her. No one was ever loved more. Running up to the garret as so often I had before. I found her friends around her, dressing her for the tomb. No one was ever loved more.//SMITHSONIAN FOLKWAYS, Scandinavian Folk Songs of Sweden, Norway and Finland, Liner notes, CATALOG NUMBER MON00333//</t>
  </si>
  <si>
    <t>Tuomi On Virran Reunalla (Besides the Stream)</t>
  </si>
  <si>
    <t>https://folkways.si.edu/adolf-stark-and-aino-karelia/tuomi-on-virran-reunalla-besides-the-stream/world/music/track/smithsonian</t>
  </si>
  <si>
    <t>Mourning song //SMITHSONIAN FOLKWAYS, Tunes &amp; Songs of Finland, CATALOG NUMBER FW06856_101//</t>
  </si>
  <si>
    <t>Here beside the stream I weep Standing sadly beneath a willow, Here beside the stream I weep Standing sadly beneath a willow, For my lover sails the deep, Far away in realms I know not. For my lover sails the deep, Far away in realms I know not. 
Come, Oh death, and hide my tears, Close my eyes and remove my sorrow; Come, Oh death, and hide my tears,. Close my eyes and remove my sorrow; Pity me and be my friend, Visit me before tomorrow. Pity me and be my friend, Visit me before tomorrow. //SMITHSONIAN FOLKWAYS, Tunes &amp; Songs of Finland, CATALOG NUMBER FW06856_101//</t>
  </si>
  <si>
    <t>Bridal March from Askeryd (Brudmarsch fran Askeryd, Smaland)</t>
  </si>
  <si>
    <t>https://folkways.si.edu/ake-karlsson-and-gunnar-andersson/bridal-march-from-askeryd-brudmarsch-fran-askeryd-smaland/world/music/track/smithsonian</t>
  </si>
  <si>
    <t>Disc 1, Track 11 (side B, Band 2)</t>
  </si>
  <si>
    <t>March song</t>
  </si>
  <si>
    <t>Denmark</t>
  </si>
  <si>
    <t>dani1285</t>
  </si>
  <si>
    <t>dan</t>
  </si>
  <si>
    <t>Vort Hjem, du Danske Jord (Our Home, You Danish Earth)</t>
  </si>
  <si>
    <t>https://folkways.si.edu/inger-nielsen/vort-hjem-du-danske-jord-our-home-you-danish-earth/world/music/track/smithsonian</t>
  </si>
  <si>
    <t>Praise song //SMITHSONIAN FOLKWAYS, Inger Nielsen Sings Danish Folk Songs, CATALOG NUMBER FW08819_202//</t>
  </si>
  <si>
    <t>Iceland</t>
  </si>
  <si>
    <t>icel1247</t>
  </si>
  <si>
    <t>isl</t>
  </si>
  <si>
    <t>https://folkways.si.edu/the-icelandic-singers/lullaby/world/music/track/smithsonian</t>
  </si>
  <si>
    <t>Lullaby //SMITHSONIAN FOLKWAYS, The Icelandic Singers, CATALOG NUMBER MON00585_104//</t>
  </si>
  <si>
    <t>Olafr Trygvason (King of Norway)</t>
  </si>
  <si>
    <t>https://folkways.si.edu/the-icelandic-singers/olafr-trygvason-king-of-norway/world/music/track/smithsonian</t>
  </si>
  <si>
    <t>The ships head 'north, the wind is fair, Sun is rising and in the high poop Stands Erlingur Skjalgsson of Jadar Scanning the sea to the south and thinking: "Why tarries Olafr Trygvasnri 7" Fifty were the galleys drifting, Sails all folded. Then, looking at the sea They said, these warriors brave: "Who has news of The Serpent? Why tarries 101afr Trygvason?" As appeared the red glow of dawning next day On the far horizon: no ship yet was sighted Once more like a rising gale resounded: "Who has news of The Serpent? Why tarries Olafr Trygvasoin?" Silence, silence then fell upon all As by each of the ships the icy waves Their lament made known: "On the Serpent man' is no more And Olafr Trygvason is lost!" Sitnce then the sea by Norway resounds, Especially at daybreak: "On The Serpent man is no more And Olafr Trygvason is lost!" //SMITHSONIAN FOLKWAYS, The Icelandic Singers, CATALOG NUMBER MON00585_107//</t>
  </si>
  <si>
    <t>Land Sighting</t>
  </si>
  <si>
    <t>https://folkways.si.edu/the-icelandic-singers/land-sighting/world/music/track/smithsonian</t>
  </si>
  <si>
    <t>Solo: Kristinn Hallsson And it was Olav Trygvason Sailing o'er the North Sea wide, Bearing the hope to found a kingdom Far on the other side. Yonder the cliffs appearing Like a battlement loom, their dark crest rearing. And it was Olav Trygvason, Found he ''e'er a spot to land, E'en like the waves the royal desire Shattered upon the strand. "See," cried the bard upleaping, "Yonder snowcovered peaks o'er cloudbanks peeping And it was Olav Trygvason, Suddenly he seem'd to sight Towering temples, domes and spires, Glist'niog in virgin white. Then vow'd the King undaunted, With his followers to tread that land enchanted. Onward he went, the rushing streams Heralded the coming spring, Swayed the stormy wind, The forest strangely was murmuring, Sounds as of church bells chiming, And then spake the King, spake as tho' dreaming: "Here the spot to found our Kingdom. Hell! these temple walls defy thee! Hearts are swelling, souls are yearning, God to Thee alan'e be glory! Be, my faith, as yonder mountains, Root as deeply, shine as purely, And as these my faith strive upward On to Him, the AllACreator!" Olav's prayer be ours to utter, As we near the Throne of Mercy. Hearts are swelling, souls are yearning, God to Thee alone be glory! Be, my faith, as yonder motklitains, Root as deeply, shine as purely, And as these my soul shine upward, On to Him the All-Creator! On to God! 
//SMITHSONIAN FOLKWAYS, The Icelandic Singers, CATALOG NUMBER MON00585_206//</t>
  </si>
  <si>
    <t>The Myllargutens - Miller Boy's Wedding March</t>
  </si>
  <si>
    <t>https://folkways.si.edu/eivind-groven/the-myllargutens-miller-boys-wedding-march/world/music/track/smithsonian</t>
  </si>
  <si>
    <t>Wedding march</t>
  </si>
  <si>
    <t>Chichili</t>
  </si>
  <si>
    <t>https://folkways.si.edu/teresa-paterito-rosa-ovando-jose-lopez/chichili/arhasi/lile-duck/qorqwa-yerwa/yeqchal/kunchar/american-indian-world/music/track/smithsonian</t>
  </si>
  <si>
    <t>"the lover hugs a woman" //CD HAS ADDITIONAL LINER NOTES BOOKLET, THIS IS ON PAGE 6//</t>
  </si>
  <si>
    <t>There are six songs in this track. The catalog refers to the first song.</t>
  </si>
  <si>
    <t>https://folkways.si.edu/female-singer-male-singer/song-accompanied-with-pantomime-of-the-bird-called-choyke/love-song/american-indian-world/music/track/smithsonian</t>
  </si>
  <si>
    <t>Love //CATALOG NUMBER FW04054_203 IN SMITHSONIAN FOLKWAYS//</t>
  </si>
  <si>
    <t>Palikur; not listed on eHRAF</t>
  </si>
  <si>
    <t>pali1279</t>
  </si>
  <si>
    <t>plu</t>
  </si>
  <si>
    <t>Airs de la danse Wawapna</t>
  </si>
  <si>
    <t>https://archives.crem-cnrs.fr/archives/items/CNRSMH_I_1979_052_002_01/</t>
  </si>
  <si>
    <t>Airs de la danse Wawapna //TITLE ON CREM CODE: CNRSMH_I_1979_052_002_01//</t>
  </si>
  <si>
    <t>"Palikur arawak. Prédominance de femmes. Airs de la danse wawapna - danse de la makara)." // ETHNOGRAPHIC CONTEXT ON CREM CODE: CNRSMH_I_1979_052_002_01//</t>
  </si>
  <si>
    <t>Culture may be Carib. As per Wikipedia, "The Palikur people are also known as the...Karipúna-Palikúr," and on eHRAF (Kariphuna) is identified as "Island Carib." However, the location is in the French Guinea/Guyana region, so this may just be a different Carib culture (https://en.wikipedia.org/wiki/Palikur)</t>
  </si>
  <si>
    <t>Wayampi; not listed in eHRAF</t>
  </si>
  <si>
    <t>waya1270</t>
  </si>
  <si>
    <t>oym</t>
  </si>
  <si>
    <t>Anilasekelelu</t>
  </si>
  <si>
    <t>https://archives.crem-cnrs.fr/archives/items/CNRSMH_I_1980_015_001_01/</t>
  </si>
  <si>
    <t>Danse de bousier "enentule" - suite d'airs //TITLE ON CREM CODE: CNRSMH_I_1980_015_001_01//</t>
  </si>
  <si>
    <t>Telemark, Norway</t>
  </si>
  <si>
    <t>Verses from the Draumkvedet - The Vision of Heaven and Hell</t>
  </si>
  <si>
    <t>https://folkways.si.edu/gudrun-grave-norlund/verses-from-the-draumkvedet-the-vision-of-heaven-and-hell/world/music/track/smithsonian</t>
  </si>
  <si>
    <t>A large number of the Kjempevise-melodier or ancient heroic ballads have been preserved in the Province of Telemark. The most famous of them all is the so-called Draumkvedet -- the Vision of Heaven and Hell --which dates back to the 12th Century. It describes the legendary dream of a man who slept from Christmas Eve to Epiphany and the visions he wit-nessed of souls in purgatory. Most of these old ballads are in the nature of dance songs in which the leader of the group renders the narrative while others join in the refrain. //SMITHSONIAN FOLKWAYS, Songs and Dances of Norway, CATALOG NUMBER FW04008_207//</t>
  </si>
  <si>
    <t>Wayana; not listed on eHRAF</t>
  </si>
  <si>
    <t>Ëlemi kanawa katop ; Kanawa katopo ; Chant Kanawa ; Canção Kanawa ; Kanawa Song</t>
  </si>
  <si>
    <t>https://archives.crem-cnrs.fr/archives/items/CNRSMH_I_2000_004_015_01/</t>
  </si>
  <si>
    <t>Cycle Kalau, danse Kanawa // TITLE ON CREM CODE: CNRSMH_I_2000_004_015_01//</t>
  </si>
  <si>
    <t>Culture may be Carib. As per Wikipedia, "The Wayana...are a Carib-speaking people located in the south-eastern part of the Guiana highlands, a region divided between Brazil, Surinam, and French Guiana."</t>
  </si>
  <si>
    <t>Hist, hvor vejen slår en bugt (Mother and Child)</t>
  </si>
  <si>
    <t>https://folkways.si.edu/inger-nielsen/hist-hvor-vejen-slar-en-bugt-mother-and-child/world/music/track/smithsonian</t>
  </si>
  <si>
    <t>Liner note: shall not attempt to translate the simplicity and beauty of this song by Mr. Andersen about a mother playing with her child as she rocks it to sleep. //SMITHSONIAN FOLKWAYS, Inger Nielsen Sings Danish Folk Songs, CATALOG NUMBER FW08819_105//</t>
  </si>
  <si>
    <t>Wayana; not listed in eHRAF</t>
  </si>
  <si>
    <t>Pilima kalawun ; Pirima karauru ; Suite de danse Kalawu ; Dança Kalawu ; Kalawu Dance</t>
  </si>
  <si>
    <t>https://archives.crem-cnrs.fr/archives/items/CNRSMH_I_2000_004_015_04/</t>
  </si>
  <si>
    <t>Suite de danse Kalau //TITLE ON CREM CODE: CNRSMH_I_2000_004_015_04//</t>
  </si>
  <si>
    <t>Ëlemi maipuli katop ; Maxipuri katopo ; Danse Kanawa et Maipuli ; Dança Kanawa e Maipuli ; Kanawa Dance and Maipuli</t>
  </si>
  <si>
    <t>https://archives.crem-cnrs.fr/archives/items/CNRSMH_I_2000_004_015_07/</t>
  </si>
  <si>
    <t>Keywords: "Danse;" Danse Kanawa et Maipuri //TITLE ON CREM CODE: CNRSMH_I_2000_004_015_07</t>
  </si>
  <si>
    <t>Och Flickan Hon Gár I Dansen (The Maiden Went Out Dancing)</t>
  </si>
  <si>
    <t>https://folkways.si.edu/sven-bertil-taube/och-flickan-hon-gar-i-dansen-the-maiden-went-out-dancing/world/music/track/smithsonian</t>
  </si>
  <si>
    <t>This is a song for a circle dance in which the lyrics are enacted and sung by all the participants except for t17. second verse which is sung by the boy and the last verse, sung h, the girl. To the first verse the dancers do a running step in a circle around a girl who holds a red ribbon in her hand. She ties the ribbon, a symbol of love and marriage, around the wrist of a boy whom she chooses from the ring of dancers. The boy enters the center of the circle and teasingly asks the girl to Ioosen the ribbon. She obliges and he immediately runs away out of the ring and in the opposite direction of the dancers He comes back to the center again and sings alone the last line of the fourth verse. Thereafter, the boy and girl dance together clasping both hands and turning with a springy running step while the girl sings the last verse in a slightly faster tempo than the previous verses. //SMITHSONIAN FOLKWAYS, Swedish Folk Songs and Ballads, CATALOG NUMBER FW08819_202//</t>
  </si>
  <si>
    <t>Ëhjumkatop ; Pyaxi oseximatopo ; Chant médecine pour chasser les mauvais esprits Tamok</t>
  </si>
  <si>
    <t>https://archives.crem-cnrs.fr/archives/items/CNRSMH_I_2000_004_015_16/</t>
  </si>
  <si>
    <t>Chant médecine pour chasser les mauvais esprits Tamok; "Singing medicine to chase evil spirits Tamok" //TITLE ON CREM CODE: CNRSMH_I_2000_004_015_16//</t>
  </si>
  <si>
    <t>"Tamok represents an evil spirit, a powerful man-eating forest monster associated with illness and death." (https://www.maskmuseum.org/mask/tamoko-1/)</t>
  </si>
  <si>
    <t>Ëlemi maipuli katop ; Maxipuri katopo ; Chant Maipuri précédant l'initiation des adolescents ; Canção Maipuli ; Maipuli Song</t>
  </si>
  <si>
    <t>https://archives.crem-cnrs.fr/archives/items/CNRSMH_I_2000_004_014_02/</t>
  </si>
  <si>
    <t>Chant Maipuri précédant l'initiation des adolescents; "Chant Maipuri preceding teenagers initiation" //TITLE ON CREM CODE: CNRSMH_I_2000_004_014_02//</t>
  </si>
  <si>
    <t>Viljen I Veta (Would You Like to Know?)</t>
  </si>
  <si>
    <t>https://folkways.si.edu/sven-bertil-taube/viljen-i-veta-would-you-like-to-know/world/music/track/smithsonian</t>
  </si>
  <si>
    <t>A typical old Swedish folk song that belongs to the group of folk games that was accompanied by song in which the dancers merely enact the lyrics. //SMITHSONIAN FOLKWAYS, Swedish Folk Songs and Ballads, CATALOG NUMBER FW06844_101//</t>
  </si>
  <si>
    <t xml:space="preserve">
Would you like to know and would you like to see
How the farmer sowed the oats. My father, he sowed, he sowed like this; And then he rested his arm. He stamped with his feet. He clapped with his hand. So joyfully ; so joyfully 
And then he turned around in the circle. //SMITHSONIAN FOLKWAYS, Swedish Folk Songs and Ballads, CATALOG NUMBER FW06844_101//
</t>
  </si>
  <si>
    <t>Momasitpë mëkëmëtop po ëlemitop ; ; Période de réclusion des initiés sous le nom de Momai</t>
  </si>
  <si>
    <t>https://archives.crem-cnrs.fr/archives/items/CNRSMH_I_2000_004_014_04/</t>
  </si>
  <si>
    <t>le chant du retour des Momaï au village; "more exactly the song of the return of the Momaï to the village"//ETHNOGRAPHIC CONTEXT ON CREM CODE: CNRSMH_I_2000_004_014_04//</t>
  </si>
  <si>
    <t>According to the Appendix of Wayana languages, "momai" are "neophyte(s) in maraké," and "maraké" is "Wayana ritual performance/stinging ritual." This song is thus for the return of the momai from a Wayana ritual. (http://www.academia.edu/8488647/Appendix_Wayana_Language_some_basics_)</t>
  </si>
  <si>
    <t>Momasitpë mëkëmëtop po ëlemitop ; ; Période de réclusion des initiés Momai</t>
  </si>
  <si>
    <t>https://archives.crem-cnrs.fr/archives/items/CNRSMH_I_2000_004_014_05/</t>
  </si>
  <si>
    <t>La bonne orthographe du titre est "Këlëkë jekë", il s'agit d'un chant pour encourager les Moma ; "The correct spelling of the title is "Këlëkë jekë", it is a song to encourage the Momaïs." //ETHNOGRAPHIC CONTEXT ON CREM CODE: CNRSMH_I_2000_004_014_05//</t>
  </si>
  <si>
    <t>According to the Appendix of Wayana languages, "momai" are "neophyte(s) in maraké," and "maraké" is "Wayana ritual performance/stinging ritual." The "eki" are "1) relatives. 2) pet animal. 3) supporter to momai during maraké." This song is thus sung by relatives/supporters to encourage the momai for the maraké ritual.(http://www.academia.edu/8488647/Appendix_Wayana_Language_some_basics_)</t>
  </si>
  <si>
    <t>Ëhelemikatop ; Oseremikatopo ; Chant médecine par Palanaiwa</t>
  </si>
  <si>
    <t>https://archives.crem-cnrs.fr/archives/items/CNRSMH_I_2000_004_016_14/</t>
  </si>
  <si>
    <t>Chant médecine par Palanaewa; "Singing Medicine by Palanaewa" //TITLE ON CREM CODE: CNRSMH_I_2000_004_016_14//</t>
  </si>
  <si>
    <t>Tule me watop ; Turekoka me watopo ; Danse Tule; Dança Tule ; Tule Dance</t>
  </si>
  <si>
    <t>https://archives.crem-cnrs.fr/archives/items/CNRSMH_I_2000_004_016_20/</t>
  </si>
  <si>
    <t>Danse Tule //TITLE ON CREM CODE: CNRSMH_I_2000_004_016_20//</t>
  </si>
  <si>
    <t>Olok wetkatop ; Danse Taphem Tiwetkai ; Dança Taphem Tiwetkai ; Taphem Tiwetkai Dance</t>
  </si>
  <si>
    <t>https://archives.crem-cnrs.fr/archives/items/CNRSMH_I_2000_004_018_01/</t>
  </si>
  <si>
    <t>Danse Taphem Tiwetkai //TITLE ON CREM CODE: CNRSMH_I_2000_004_018_01//</t>
  </si>
  <si>
    <t>trio1238</t>
  </si>
  <si>
    <t>Ëlemi kanawa katop ; Kanawa katopo ; Chant Kanawa par Tipiti ; Canção Kanawa por par Tïpïtï ; Kanawa Song by Tïpïtï</t>
  </si>
  <si>
    <t>https://archives.crem-cnrs.fr/archives/items/CNRSMH_I_2000_004_018_07/</t>
  </si>
  <si>
    <t>Chant médecine par Pasikili; "Singing medicine by Pasikili" //TITLE ON CREM CODE: CNRSMH_I_2000_004_018_07//</t>
  </si>
  <si>
    <t>Jag Unnar Dig ändå Allt Gott (I Ever Wish You Happiness)</t>
  </si>
  <si>
    <t>https://folkways.si.edu/sven-bertil-taube/jag-unnar-dig-anda-allt-gott-i-ever-wish-you-happiness/world/music/track/smithsonian</t>
  </si>
  <si>
    <t>A very old and typical Swedish love song. //SMITHSONIAN FOLKWAYS, Swedish Folk Songs and Ballads, CATALOG NUMBER FW06844_206//</t>
  </si>
  <si>
    <t>I ever wish you happiness, Thou dearest angel mine; Though I am left to loneliness, My heart is always thine. Therefore I thank you for the love, Thy heart to give me ever strove, Forth from this day and time. //SMITHSONIAN FOLKWAYS, Swedish Folk Songs and Ballads, CATALOG NUMBER FW06844_206//</t>
  </si>
  <si>
    <t>Qorqwa Yerwa</t>
  </si>
  <si>
    <t>Table of contents in liner notes indicate that the song is a children game. //DESCRIPTION IS IN THE LINER NOTES BOOKLET, THIS IS ON PAGE 1//</t>
  </si>
  <si>
    <t>There are six songs in this track. The catalog refers to song four.</t>
  </si>
  <si>
    <t>The Belly</t>
  </si>
  <si>
    <t>https://folkways.si.edu/margarita-molinari-and-jose-lopez/the-belly/myth-of-atqashap/american-indian-world/music/track/smithsonian</t>
  </si>
  <si>
    <t>Children's game . It is so called because it is played with a sea wolf's belly which is inflated like a small ball and then thrown between people. //CD HAS ADDITIONAL LINER NOTES BOOKLET, THIS IS ON PAGE 6//</t>
  </si>
  <si>
    <t>There are two songs in this track. This catalog refers to the first song.</t>
  </si>
  <si>
    <t>Myth of Atqashap</t>
  </si>
  <si>
    <t>Myth</t>
  </si>
  <si>
    <t>Myth //CATALOG NUMBER FW04054_109 IN SMITHSONIAN FOLKWAYS, RELEVANT TEXT IS IN THE LINER NOTES, PAGE 6//</t>
  </si>
  <si>
    <t>The central idea of the myth is the fight between Atgashap and Silum. //CATALOG NUMBER FW04054_109 IN SMITHSONIAN FOLKWAYS, RELEVANT TEXT IS IN THE LINER NOTES, PAGE 6//</t>
  </si>
  <si>
    <t>There are two songs in this track. The catalog refers to the second song.</t>
  </si>
  <si>
    <t>Mythe De Krin-Lune</t>
  </si>
  <si>
    <t>https://archives.crem-cnrs.fr/archives/items/1635/</t>
  </si>
  <si>
    <t>Item number 16-02</t>
  </si>
  <si>
    <t>Myth //CODE BM.1968.039.001/24:16-02 IN CREM, RELEVANT TEXT IS IN THE DESCRIPTION FIELD//</t>
  </si>
  <si>
    <t>Lola Raconte le Mythe de Yoshikaiutl</t>
  </si>
  <si>
    <t>https://archives.crem-cnrs.fr/archives/items/1646/</t>
  </si>
  <si>
    <t>Item number 16-13</t>
  </si>
  <si>
    <t>Myth //CODE BM.1968.039.001/24:16-13 IN CREM, RELEVANT TEXT IS IN THE DESCRIPTION FIELD//</t>
  </si>
  <si>
    <t>id</t>
  </si>
  <si>
    <t>family_id</t>
  </si>
  <si>
    <t>parent_id</t>
  </si>
  <si>
    <t>name</t>
  </si>
  <si>
    <t>bookkeeping</t>
  </si>
  <si>
    <t>level</t>
  </si>
  <si>
    <t>latitude</t>
  </si>
  <si>
    <t>longitude</t>
  </si>
  <si>
    <t>iso639P3code</t>
  </si>
  <si>
    <t>description</t>
  </si>
  <si>
    <t>markup_description</t>
  </si>
  <si>
    <t>child_family_count</t>
  </si>
  <si>
    <t>child_language_count</t>
  </si>
  <si>
    <t>child_dialect_count</t>
  </si>
  <si>
    <t>country_ids</t>
  </si>
  <si>
    <t>3adt1234</t>
  </si>
  <si>
    <t>afro1255</t>
  </si>
  <si>
    <t>nort3292</t>
  </si>
  <si>
    <t>3Ad-Tekles</t>
  </si>
  <si>
    <t>dialect</t>
  </si>
  <si>
    <t>aala1237</t>
  </si>
  <si>
    <t>ramo1244</t>
  </si>
  <si>
    <t>Aalawa</t>
  </si>
  <si>
    <t>aant1238</t>
  </si>
  <si>
    <t>nucl1709</t>
  </si>
  <si>
    <t>nort2920</t>
  </si>
  <si>
    <t>Aantantara</t>
  </si>
  <si>
    <t>aari1238</t>
  </si>
  <si>
    <t>sout2845</t>
  </si>
  <si>
    <t>ahkk1235</t>
  </si>
  <si>
    <t>Aari-Gayil</t>
  </si>
  <si>
    <t>family</t>
  </si>
  <si>
    <t>aiz</t>
  </si>
  <si>
    <t>language</t>
  </si>
  <si>
    <t>ET</t>
  </si>
  <si>
    <t>aari1240</t>
  </si>
  <si>
    <t>book1242</t>
  </si>
  <si>
    <t>Aariya</t>
  </si>
  <si>
    <t>aay</t>
  </si>
  <si>
    <t>IN</t>
  </si>
  <si>
    <t>aasa1238</t>
  </si>
  <si>
    <t>unun9872</t>
  </si>
  <si>
    <t>Aasax</t>
  </si>
  <si>
    <t>aas</t>
  </si>
  <si>
    <t>TZ</t>
  </si>
  <si>
    <t>aasd1234</t>
  </si>
  <si>
    <t>indo1319</t>
  </si>
  <si>
    <t>ferr1240</t>
  </si>
  <si>
    <t>Aasdring</t>
  </si>
  <si>
    <t>aata1238</t>
  </si>
  <si>
    <t>sout2943</t>
  </si>
  <si>
    <t>Aatasaara</t>
  </si>
  <si>
    <t>abaa1238</t>
  </si>
  <si>
    <t>sino1245</t>
  </si>
  <si>
    <t>nort3305</t>
  </si>
  <si>
    <t>Rngaba</t>
  </si>
  <si>
    <t>abab1239</t>
  </si>
  <si>
    <t>beja1238</t>
  </si>
  <si>
    <t>Ababda</t>
  </si>
  <si>
    <t>abab1240</t>
  </si>
  <si>
    <t>Ababuan</t>
  </si>
  <si>
    <t>abad1240</t>
  </si>
  <si>
    <t>abkh1242</t>
  </si>
  <si>
    <t>adyg1241</t>
  </si>
  <si>
    <t>Abadzex</t>
  </si>
  <si>
    <t>abad1241</t>
  </si>
  <si>
    <t>west2850</t>
  </si>
  <si>
    <t>Abadi</t>
  </si>
  <si>
    <t>kbt</t>
  </si>
  <si>
    <t>PG</t>
  </si>
  <si>
    <t>abag1245</t>
  </si>
  <si>
    <t>unun9976</t>
  </si>
  <si>
    <t>Abaga</t>
  </si>
  <si>
    <t>abg</t>
  </si>
  <si>
    <t>abai1239</t>
  </si>
  <si>
    <t>lund1271</t>
  </si>
  <si>
    <t>Abai</t>
  </si>
  <si>
    <t>abai1240</t>
  </si>
  <si>
    <t>pait1248</t>
  </si>
  <si>
    <t>Abai Sungai</t>
  </si>
  <si>
    <t>abf</t>
  </si>
  <si>
    <t>MY</t>
  </si>
  <si>
    <t>abai1241</t>
  </si>
  <si>
    <t>muru1275</t>
  </si>
  <si>
    <t>Abai Tubu-Abai Sembuak</t>
  </si>
  <si>
    <t>abak1242</t>
  </si>
  <si>
    <t>anaa1238</t>
  </si>
  <si>
    <t>Abak</t>
  </si>
  <si>
    <t>abak1243</t>
  </si>
  <si>
    <t>ilon1239</t>
  </si>
  <si>
    <t>Abaka</t>
  </si>
  <si>
    <t>abal1238</t>
  </si>
  <si>
    <t>yele1255</t>
  </si>
  <si>
    <t>Abaletti</t>
  </si>
  <si>
    <t>abam1239</t>
  </si>
  <si>
    <t>east2503</t>
  </si>
  <si>
    <t>wipi1242</t>
  </si>
  <si>
    <t>Abam</t>
  </si>
  <si>
    <t>aban1242</t>
  </si>
  <si>
    <t>aban1244</t>
  </si>
  <si>
    <t>Abanyom</t>
  </si>
  <si>
    <t>abm</t>
  </si>
  <si>
    <t>NG</t>
  </si>
  <si>
    <t>aban1243</t>
  </si>
  <si>
    <t>east2551</t>
  </si>
  <si>
    <t>Abancay</t>
  </si>
  <si>
    <t>bako1254</t>
  </si>
  <si>
    <t>Abanyom-Ekajuk</t>
  </si>
  <si>
    <t>abar1238</t>
  </si>
  <si>
    <t>sout3152</t>
  </si>
  <si>
    <t>Mungbam</t>
  </si>
  <si>
    <t>mij</t>
  </si>
  <si>
    <t>CM</t>
  </si>
  <si>
    <t>abau1245</t>
  </si>
  <si>
    <t>sepi1257</t>
  </si>
  <si>
    <t>Abau</t>
  </si>
  <si>
    <t>aau</t>
  </si>
  <si>
    <t>abaw1238</t>
  </si>
  <si>
    <t>gupa1248</t>
  </si>
  <si>
    <t>Abawa</t>
  </si>
  <si>
    <t>abay1238</t>
  </si>
  <si>
    <t>agwa1247</t>
  </si>
  <si>
    <t>Abayongo</t>
  </si>
  <si>
    <t>abaz1241</t>
  </si>
  <si>
    <t>abkh1243</t>
  </si>
  <si>
    <t>Abaza</t>
  </si>
  <si>
    <t>abq</t>
  </si>
  <si>
    <t>RU TR</t>
  </si>
  <si>
    <t>abbe1238</t>
  </si>
  <si>
    <t>abee1242</t>
  </si>
  <si>
    <t>Abbey-Ve</t>
  </si>
  <si>
    <t>abbr1238</t>
  </si>
  <si>
    <t>sout3309</t>
  </si>
  <si>
    <t>Abbruzzesi</t>
  </si>
  <si>
    <t>abda1238</t>
  </si>
  <si>
    <t>soqo1240</t>
  </si>
  <si>
    <t>'Abd Al-Kuri</t>
  </si>
  <si>
    <t>abed1238</t>
  </si>
  <si>
    <t>cent2225</t>
  </si>
  <si>
    <t>lugb1240</t>
  </si>
  <si>
    <t>Abedju-Azaki</t>
  </si>
  <si>
    <t>agne1238</t>
  </si>
  <si>
    <t>Ab√©</t>
  </si>
  <si>
    <t>aba</t>
  </si>
  <si>
    <t>CI</t>
  </si>
  <si>
    <t>abee1243</t>
  </si>
  <si>
    <t>anyi1245</t>
  </si>
  <si>
    <t>Abe (Anyin)</t>
  </si>
  <si>
    <t>abel1234</t>
  </si>
  <si>
    <t>samb1319</t>
  </si>
  <si>
    <t>Abellen-Botolan</t>
  </si>
  <si>
    <t>aben1247</t>
  </si>
  <si>
    <t>Abeng</t>
  </si>
  <si>
    <t>aben1248</t>
  </si>
  <si>
    <t>A'beng</t>
  </si>
  <si>
    <t>aben1249</t>
  </si>
  <si>
    <t>Abenlen Ayta</t>
  </si>
  <si>
    <t>abp</t>
  </si>
  <si>
    <t>PH</t>
  </si>
  <si>
    <t>abgu1238</t>
  </si>
  <si>
    <t>birg1239</t>
  </si>
  <si>
    <t>Abgue</t>
  </si>
  <si>
    <t>abid1235</t>
  </si>
  <si>
    <t>Abidji</t>
  </si>
  <si>
    <t>abi</t>
  </si>
  <si>
    <t>abie1238</t>
  </si>
  <si>
    <t>nilo1247</t>
  </si>
  <si>
    <t>Abiem</t>
  </si>
  <si>
    <t>abig1238</t>
  </si>
  <si>
    <t>Abigar</t>
  </si>
  <si>
    <t>abil1238</t>
  </si>
  <si>
    <t>Abiliang</t>
  </si>
  <si>
    <t>abin1242</t>
  </si>
  <si>
    <t>Abini</t>
  </si>
  <si>
    <t>abin1243</t>
  </si>
  <si>
    <t>Abinomn</t>
  </si>
  <si>
    <t>bsa</t>
  </si>
  <si>
    <t>ID</t>
  </si>
  <si>
    <t>abip1241</t>
  </si>
  <si>
    <t>guai1249</t>
  </si>
  <si>
    <t>guai1250</t>
  </si>
  <si>
    <t>Abipon</t>
  </si>
  <si>
    <t>axb</t>
  </si>
  <si>
    <t>AR</t>
  </si>
  <si>
    <t>abis1238</t>
  </si>
  <si>
    <t>Aewa</t>
  </si>
  <si>
    <t>ash</t>
  </si>
  <si>
    <t>PE</t>
  </si>
  <si>
    <t>abka1238</t>
  </si>
  <si>
    <t>maba1274</t>
  </si>
  <si>
    <t>maba1277</t>
  </si>
  <si>
    <t>Abkar</t>
  </si>
  <si>
    <t>Abkhaz-Adyge</t>
  </si>
  <si>
    <t>Abkhaz-Abaza</t>
  </si>
  <si>
    <t>Abkhazian</t>
  </si>
  <si>
    <t>GE RU TR</t>
  </si>
  <si>
    <t>able1237</t>
  </si>
  <si>
    <t>lubu1243</t>
  </si>
  <si>
    <t>Ableg-Salegseg</t>
  </si>
  <si>
    <t>abob1234</t>
  </si>
  <si>
    <t>basa1283</t>
  </si>
  <si>
    <t>Abo-Barombi</t>
  </si>
  <si>
    <t>abom1238</t>
  </si>
  <si>
    <t>anim1240</t>
  </si>
  <si>
    <t>tiri1259</t>
  </si>
  <si>
    <t>Abom</t>
  </si>
  <si>
    <t>aob</t>
  </si>
  <si>
    <t>abon1238</t>
  </si>
  <si>
    <t>nort3192</t>
  </si>
  <si>
    <t>Abon</t>
  </si>
  <si>
    <t>abo</t>
  </si>
  <si>
    <t>CM NG</t>
  </si>
  <si>
    <t>aboo1241</t>
  </si>
  <si>
    <t>boky1238</t>
  </si>
  <si>
    <t>Abo (Bokyi)</t>
  </si>
  <si>
    <t>aboo1242</t>
  </si>
  <si>
    <t>ukwu1241</t>
  </si>
  <si>
    <t>Abo</t>
  </si>
  <si>
    <t>abou1238</t>
  </si>
  <si>
    <t>tama1329</t>
  </si>
  <si>
    <t>mara1396</t>
  </si>
  <si>
    <t>Abou Charib</t>
  </si>
  <si>
    <t>abra1237</t>
  </si>
  <si>
    <t>iray1237</t>
  </si>
  <si>
    <t>Abra-De-Ilog</t>
  </si>
  <si>
    <t>abro1238</t>
  </si>
  <si>
    <t>akan1251</t>
  </si>
  <si>
    <t>Abron</t>
  </si>
  <si>
    <t>abr</t>
  </si>
  <si>
    <t>CI GH</t>
  </si>
  <si>
    <t>abru1239</t>
  </si>
  <si>
    <t>balk1252</t>
  </si>
  <si>
    <t>Abruzzese-Calabrian-Molisean Romani</t>
  </si>
  <si>
    <t>absh1238</t>
  </si>
  <si>
    <t>musl1236</t>
  </si>
  <si>
    <t>Absheron</t>
  </si>
  <si>
    <t>abua1243</t>
  </si>
  <si>
    <t>cent2028</t>
  </si>
  <si>
    <t>Abua-Odual</t>
  </si>
  <si>
    <t>abua1244</t>
  </si>
  <si>
    <t>Abua</t>
  </si>
  <si>
    <t>abn</t>
  </si>
  <si>
    <t>abua1245</t>
  </si>
  <si>
    <t>nucl1708</t>
  </si>
  <si>
    <t>buki1250</t>
  </si>
  <si>
    <t>Abu' Arapesh</t>
  </si>
  <si>
    <t>aah</t>
  </si>
  <si>
    <t>abui1241</t>
  </si>
  <si>
    <t>timo1261</t>
  </si>
  <si>
    <t>alor1250</t>
  </si>
  <si>
    <t>Abui</t>
  </si>
  <si>
    <t>abz</t>
  </si>
  <si>
    <t>abuj1237</t>
  </si>
  <si>
    <t>drav1251</t>
  </si>
  <si>
    <t>mari1414</t>
  </si>
  <si>
    <t>Abujmaria</t>
  </si>
  <si>
    <t>abul1238</t>
  </si>
  <si>
    <t>buru1301</t>
  </si>
  <si>
    <t>Abuldugu</t>
  </si>
  <si>
    <t>abun1252</t>
  </si>
  <si>
    <t>Abun</t>
  </si>
  <si>
    <t>kgr</t>
  </si>
  <si>
    <t>abun1253</t>
  </si>
  <si>
    <t>Abun Je</t>
  </si>
  <si>
    <t>abun1254</t>
  </si>
  <si>
    <t>Abun Tat</t>
  </si>
  <si>
    <t>abun1255</t>
  </si>
  <si>
    <t>Abun Ji</t>
  </si>
  <si>
    <t>abur1243</t>
  </si>
  <si>
    <t>west2816</t>
  </si>
  <si>
    <t>Abure</t>
  </si>
  <si>
    <t>abu</t>
  </si>
  <si>
    <t>abur1244</t>
  </si>
  <si>
    <t>kugb1242</t>
  </si>
  <si>
    <t>Abureni</t>
  </si>
  <si>
    <t>mgj</t>
  </si>
  <si>
    <t>abus1238</t>
  </si>
  <si>
    <t>kadu1256</t>
  </si>
  <si>
    <t>kang1288</t>
  </si>
  <si>
    <t>Abu Sinun</t>
  </si>
  <si>
    <t>lowe1437</t>
  </si>
  <si>
    <t>agoa1234</t>
  </si>
  <si>
    <t>Abu</t>
  </si>
  <si>
    <t>abzh1238</t>
  </si>
  <si>
    <t>Abzhui</t>
  </si>
  <si>
    <t>acad1238</t>
  </si>
  <si>
    <t>Acadian</t>
  </si>
  <si>
    <t>acat1239</t>
  </si>
  <si>
    <t>otom1299</t>
  </si>
  <si>
    <t>meph1234</t>
  </si>
  <si>
    <t>Acatepec Me'phaa</t>
  </si>
  <si>
    <t>tpx</t>
  </si>
  <si>
    <t>MX</t>
  </si>
  <si>
    <t>acat1240</t>
  </si>
  <si>
    <t>Acatepec</t>
  </si>
  <si>
    <t>acch1238</t>
  </si>
  <si>
    <t>Acchami</t>
  </si>
  <si>
    <t>acha1249</t>
  </si>
  <si>
    <t>acha1252</t>
  </si>
  <si>
    <t>Longchuan Achang</t>
  </si>
  <si>
    <t>acn</t>
  </si>
  <si>
    <t>CN MM</t>
  </si>
  <si>
    <t>acha1250</t>
  </si>
  <si>
    <t>araw1281</t>
  </si>
  <si>
    <t>piap1247</t>
  </si>
  <si>
    <t>Achagua</t>
  </si>
  <si>
    <t>aca</t>
  </si>
  <si>
    <t>CO</t>
  </si>
  <si>
    <t>high1273</t>
  </si>
  <si>
    <t>Achangic</t>
  </si>
  <si>
    <t>ache1244</t>
  </si>
  <si>
    <t>unun9958</t>
  </si>
  <si>
    <t>Ache</t>
  </si>
  <si>
    <t>yif</t>
  </si>
  <si>
    <t>CN</t>
  </si>
  <si>
    <t>ache1245</t>
  </si>
  <si>
    <t>ache1247</t>
  </si>
  <si>
    <t>Acheron</t>
  </si>
  <si>
    <t>acz</t>
  </si>
  <si>
    <t>SD</t>
  </si>
  <si>
    <t>ache1246</t>
  </si>
  <si>
    <t>tupi1275</t>
  </si>
  <si>
    <t>tupi1277</t>
  </si>
  <si>
    <t>Ach√©</t>
  </si>
  <si>
    <t>guq</t>
  </si>
  <si>
    <t>PY</t>
  </si>
  <si>
    <t>bura1298</t>
  </si>
  <si>
    <t>Acheron-Tocho</t>
  </si>
  <si>
    <t>achi1247</t>
  </si>
  <si>
    <t>Achik</t>
  </si>
  <si>
    <t>achi1255</t>
  </si>
  <si>
    <t>A'chick</t>
  </si>
  <si>
    <t>achi1256</t>
  </si>
  <si>
    <t>quic1275</t>
  </si>
  <si>
    <t>Achi</t>
  </si>
  <si>
    <t>acr</t>
  </si>
  <si>
    <t>GT</t>
  </si>
  <si>
    <t>achi1257</t>
  </si>
  <si>
    <t>cham1327</t>
  </si>
  <si>
    <t>Acehnese</t>
  </si>
  <si>
    <t>ace</t>
  </si>
  <si>
    <t>achi1258</t>
  </si>
  <si>
    <t>Achi', Cubulco</t>
  </si>
  <si>
    <t>acc</t>
  </si>
  <si>
    <t>acht1238</t>
  </si>
  <si>
    <t>west2356</t>
  </si>
  <si>
    <t>Achterhoeks</t>
  </si>
  <si>
    <t>act</t>
  </si>
  <si>
    <t>DE NL</t>
  </si>
  <si>
    <t>achu1247</t>
  </si>
  <si>
    <t>pala1350</t>
  </si>
  <si>
    <t>Achumawi</t>
  </si>
  <si>
    <t>acv</t>
  </si>
  <si>
    <t>US</t>
  </si>
  <si>
    <t>achu1248</t>
  </si>
  <si>
    <t>jiva1245</t>
  </si>
  <si>
    <t>Achuar-Shiwiar</t>
  </si>
  <si>
    <t>acu</t>
  </si>
  <si>
    <t>EC PE</t>
  </si>
  <si>
    <t>achu1249</t>
  </si>
  <si>
    <t>Achuar</t>
  </si>
  <si>
    <t>acii1238</t>
  </si>
  <si>
    <t>apal1256</t>
  </si>
  <si>
    <t>Aci</t>
  </si>
  <si>
    <t>acod1234</t>
  </si>
  <si>
    <t>east2809</t>
  </si>
  <si>
    <t>Acodi</t>
  </si>
  <si>
    <t>sout2831</t>
  </si>
  <si>
    <t>Acoli</t>
  </si>
  <si>
    <t>SD UG</t>
  </si>
  <si>
    <t>acom1246</t>
  </si>
  <si>
    <t>west2632</t>
  </si>
  <si>
    <t>Acoma</t>
  </si>
  <si>
    <t>acro1239</t>
  </si>
  <si>
    <t>nucl1710</t>
  </si>
  <si>
    <t>jece1235</t>
  </si>
  <si>
    <t>Acro√°</t>
  </si>
  <si>
    <t>acs</t>
  </si>
  <si>
    <t>BR</t>
  </si>
  <si>
    <t>adaa1238</t>
  </si>
  <si>
    <t>adan1247</t>
  </si>
  <si>
    <t>Ada</t>
  </si>
  <si>
    <t>adab1235</t>
  </si>
  <si>
    <t>Adabe</t>
  </si>
  <si>
    <t>adb</t>
  </si>
  <si>
    <t>ID TL</t>
  </si>
  <si>
    <t>adai1235</t>
  </si>
  <si>
    <t>Adai</t>
  </si>
  <si>
    <t>xad</t>
  </si>
  <si>
    <t>adam1238</t>
  </si>
  <si>
    <t>sign1238</t>
  </si>
  <si>
    <t>vill1244</t>
  </si>
  <si>
    <t>Adamorobe Sign Language</t>
  </si>
  <si>
    <t>ads</t>
  </si>
  <si>
    <t>GH</t>
  </si>
  <si>
    <t>adam1253</t>
  </si>
  <si>
    <t>adam1260</t>
  </si>
  <si>
    <t>Adamawa Fulfulde</t>
  </si>
  <si>
    <t>fub</t>
  </si>
  <si>
    <t>CM ER ET NG SD TD</t>
  </si>
  <si>
    <t>adam1254</t>
  </si>
  <si>
    <t>unun9902</t>
  </si>
  <si>
    <t>Adamawa Fali</t>
  </si>
  <si>
    <t>adam1257</t>
  </si>
  <si>
    <t>buak1234</t>
  </si>
  <si>
    <t>Adamawa Bua</t>
  </si>
  <si>
    <t>fula1265</t>
  </si>
  <si>
    <t>Adamawa-Bagirmi Fulfulde</t>
  </si>
  <si>
    <t>gada1257</t>
  </si>
  <si>
    <t>Adangme</t>
  </si>
  <si>
    <t>ada</t>
  </si>
  <si>
    <t>adan1248</t>
  </si>
  <si>
    <t>west2802</t>
  </si>
  <si>
    <t>Adangbe</t>
  </si>
  <si>
    <t>adq</t>
  </si>
  <si>
    <t>GH TG</t>
  </si>
  <si>
    <t>adan1249</t>
  </si>
  <si>
    <t>Adan</t>
  </si>
  <si>
    <t>adan1250</t>
  </si>
  <si>
    <t>Adang (Lundayeh)</t>
  </si>
  <si>
    <t>adan1251</t>
  </si>
  <si>
    <t>adan1252</t>
  </si>
  <si>
    <t>Adang</t>
  </si>
  <si>
    <t>adn</t>
  </si>
  <si>
    <t>stra1245</t>
  </si>
  <si>
    <t>Adang-Hamap-Kabola</t>
  </si>
  <si>
    <t>adap1234</t>
  </si>
  <si>
    <t>Adap</t>
  </si>
  <si>
    <t>adp</t>
  </si>
  <si>
    <t>BT</t>
  </si>
  <si>
    <t>adar1242</t>
  </si>
  <si>
    <t>west2719</t>
  </si>
  <si>
    <t>Adarawa</t>
  </si>
  <si>
    <t>adas1235</t>
  </si>
  <si>
    <t>iban1268</t>
  </si>
  <si>
    <t>Adasen</t>
  </si>
  <si>
    <t>tiu</t>
  </si>
  <si>
    <t>adel1244</t>
  </si>
  <si>
    <t>basi1245</t>
  </si>
  <si>
    <t>Adele</t>
  </si>
  <si>
    <t>ade</t>
  </si>
  <si>
    <t>aden1241</t>
  </si>
  <si>
    <t>taiz1242</t>
  </si>
  <si>
    <t>Adeni</t>
  </si>
  <si>
    <t>aden1242</t>
  </si>
  <si>
    <t>'Aden</t>
  </si>
  <si>
    <t>ader1239</t>
  </si>
  <si>
    <t>Aderawa</t>
  </si>
  <si>
    <t>adew1237</t>
  </si>
  <si>
    <t>Adewada</t>
  </si>
  <si>
    <t>adga1237</t>
  </si>
  <si>
    <t>Adgawan</t>
  </si>
  <si>
    <t>adha1237</t>
  </si>
  <si>
    <t>rade1240</t>
  </si>
  <si>
    <t>Adham</t>
  </si>
  <si>
    <t>adha1238</t>
  </si>
  <si>
    <t>tati1243</t>
  </si>
  <si>
    <t>Adhari</t>
  </si>
  <si>
    <t>AZ</t>
  </si>
  <si>
    <t>adho1241</t>
  </si>
  <si>
    <t>Adhola-Alur-Luo</t>
  </si>
  <si>
    <t>adho1242</t>
  </si>
  <si>
    <t>Adhola-Luo</t>
  </si>
  <si>
    <t>adho1243</t>
  </si>
  <si>
    <t>Adhola</t>
  </si>
  <si>
    <t>adh</t>
  </si>
  <si>
    <t>KE UG</t>
  </si>
  <si>
    <t>adib1240</t>
  </si>
  <si>
    <t>odua1238</t>
  </si>
  <si>
    <t>Adibom</t>
  </si>
  <si>
    <t>adid1237</t>
  </si>
  <si>
    <t>Adi Dravida</t>
  </si>
  <si>
    <t>adie1238</t>
  </si>
  <si>
    <t>bako1249</t>
  </si>
  <si>
    <t>Adie</t>
  </si>
  <si>
    <t>adih1238</t>
  </si>
  <si>
    <t>hata1242</t>
  </si>
  <si>
    <t>hata1243</t>
  </si>
  <si>
    <t>Adihup</t>
  </si>
  <si>
    <t>adij1237</t>
  </si>
  <si>
    <t>kowi1239</t>
  </si>
  <si>
    <t>Adijaya</t>
  </si>
  <si>
    <t>adim1238</t>
  </si>
  <si>
    <t>Adim</t>
  </si>
  <si>
    <t>adio1239</t>
  </si>
  <si>
    <t>Adioukrou</t>
  </si>
  <si>
    <t>adj</t>
  </si>
  <si>
    <t>adiv1238</t>
  </si>
  <si>
    <t>wagd1238</t>
  </si>
  <si>
    <t>Adivasi Wagdi</t>
  </si>
  <si>
    <t>adiv1239</t>
  </si>
  <si>
    <t>macr1269</t>
  </si>
  <si>
    <t>Kotia-Adivasi Oriya-Desiya</t>
  </si>
  <si>
    <t>ort</t>
  </si>
  <si>
    <t>adiw1235</t>
  </si>
  <si>
    <t>gara1268</t>
  </si>
  <si>
    <t>Adiwasi Garasia</t>
  </si>
  <si>
    <t>gas</t>
  </si>
  <si>
    <t>adiy1237</t>
  </si>
  <si>
    <t>ravu1237</t>
  </si>
  <si>
    <t>Adiya</t>
  </si>
  <si>
    <t>adja1238</t>
  </si>
  <si>
    <t>naru1238</t>
  </si>
  <si>
    <t>Adjabdurah</t>
  </si>
  <si>
    <t>adju1239</t>
  </si>
  <si>
    <t>Adjumani</t>
  </si>
  <si>
    <t>adku1239</t>
  </si>
  <si>
    <t>halb1244</t>
  </si>
  <si>
    <t>Adkuri</t>
  </si>
  <si>
    <t>admi1239</t>
  </si>
  <si>
    <t>ocea1241</t>
  </si>
  <si>
    <t>Admiralty Islands</t>
  </si>
  <si>
    <t>adny1235</t>
  </si>
  <si>
    <t>nort2752</t>
  </si>
  <si>
    <t>Adnyamathanha</t>
  </si>
  <si>
    <t>adt</t>
  </si>
  <si>
    <t>AU</t>
  </si>
  <si>
    <t>adom1238</t>
  </si>
  <si>
    <t>clel1238</t>
  </si>
  <si>
    <t>Adoma</t>
  </si>
  <si>
    <t>adon1237</t>
  </si>
  <si>
    <t>nort3216</t>
  </si>
  <si>
    <t>Adonara</t>
  </si>
  <si>
    <t>adr</t>
  </si>
  <si>
    <t>adoo1237</t>
  </si>
  <si>
    <t>ledo1238</t>
  </si>
  <si>
    <t>Ado</t>
  </si>
  <si>
    <t>adoy1238</t>
  </si>
  <si>
    <t>anua1242</t>
  </si>
  <si>
    <t>Adoyo</t>
  </si>
  <si>
    <t>adug1238</t>
  </si>
  <si>
    <t>Aduge</t>
  </si>
  <si>
    <t>adu</t>
  </si>
  <si>
    <t>adun1238</t>
  </si>
  <si>
    <t>cros1244</t>
  </si>
  <si>
    <t>Adun</t>
  </si>
  <si>
    <t>adur1234</t>
  </si>
  <si>
    <t>spee1234</t>
  </si>
  <si>
    <t>indo1335</t>
  </si>
  <si>
    <t>Adurgari</t>
  </si>
  <si>
    <t>AF</t>
  </si>
  <si>
    <t>aduu1238</t>
  </si>
  <si>
    <t>nort2923</t>
  </si>
  <si>
    <t>taba1263</t>
  </si>
  <si>
    <t>Adu</t>
  </si>
  <si>
    <t>circ1239</t>
  </si>
  <si>
    <t>Adyghe</t>
  </si>
  <si>
    <t>ady</t>
  </si>
  <si>
    <t>IL JO RU SY TR</t>
  </si>
  <si>
    <t>adze1240</t>
  </si>
  <si>
    <t>uppe1423</t>
  </si>
  <si>
    <t>Adzera</t>
  </si>
  <si>
    <t>adz</t>
  </si>
  <si>
    <t>adze1241</t>
  </si>
  <si>
    <t>Adzera (Retired)</t>
  </si>
  <si>
    <t>azr</t>
  </si>
  <si>
    <t>adzh1238</t>
  </si>
  <si>
    <t>kart1248</t>
  </si>
  <si>
    <t>Adzhar</t>
  </si>
  <si>
    <t>aegi1237</t>
  </si>
  <si>
    <t>sout3279</t>
  </si>
  <si>
    <t>Aegina</t>
  </si>
  <si>
    <t>aeka1244</t>
  </si>
  <si>
    <t>orok1268</t>
  </si>
  <si>
    <t>Aeka</t>
  </si>
  <si>
    <t>aez</t>
  </si>
  <si>
    <t>aeky1238</t>
  </si>
  <si>
    <t>kamu1264</t>
  </si>
  <si>
    <t>awin1249</t>
  </si>
  <si>
    <t>Aekyom</t>
  </si>
  <si>
    <t>awi</t>
  </si>
  <si>
    <t>aeol1234</t>
  </si>
  <si>
    <t>anci1242</t>
  </si>
  <si>
    <t>Aeolic</t>
  </si>
  <si>
    <t>aequ1239</t>
  </si>
  <si>
    <t>umbr1253</t>
  </si>
  <si>
    <t>Aequian</t>
  </si>
  <si>
    <t>aerr1238</t>
  </si>
  <si>
    <t>west2830</t>
  </si>
  <si>
    <t>Aer</t>
  </si>
  <si>
    <t>aeq</t>
  </si>
  <si>
    <t>PK</t>
  </si>
  <si>
    <t>aewa1238</t>
  </si>
  <si>
    <t>kuni1265</t>
  </si>
  <si>
    <t>Aewa (Western Province)</t>
  </si>
  <si>
    <t>afaa1238</t>
  </si>
  <si>
    <t>arig1246</t>
  </si>
  <si>
    <t>Afa</t>
  </si>
  <si>
    <t>afad1236</t>
  </si>
  <si>
    <t>koto1268</t>
  </si>
  <si>
    <t>Afade</t>
  </si>
  <si>
    <t>aal</t>
  </si>
  <si>
    <t>saho1245</t>
  </si>
  <si>
    <t>DJ ER ET</t>
  </si>
  <si>
    <t>afas1238</t>
  </si>
  <si>
    <t>Af-Ashraaf</t>
  </si>
  <si>
    <t>afen1234</t>
  </si>
  <si>
    <t>nort3182</t>
  </si>
  <si>
    <t>Afenmai-Bendel</t>
  </si>
  <si>
    <t>affa1240</t>
  </si>
  <si>
    <t>lagw1237</t>
  </si>
  <si>
    <t>Affade</t>
  </si>
  <si>
    <t>affi1239</t>
  </si>
  <si>
    <t>band1340</t>
  </si>
  <si>
    <t>Affiniam</t>
  </si>
  <si>
    <t>afgh1238</t>
  </si>
  <si>
    <t>east2729</t>
  </si>
  <si>
    <t>Afghanistan-Uzbekistan Arabic</t>
  </si>
  <si>
    <t>afgh1239</t>
  </si>
  <si>
    <t>deaf1237</t>
  </si>
  <si>
    <t>Afghan Sign Language</t>
  </si>
  <si>
    <t>afg</t>
  </si>
  <si>
    <t>afgh1240</t>
  </si>
  <si>
    <t>mixe1287</t>
  </si>
  <si>
    <t>pers1247</t>
  </si>
  <si>
    <t>Afghanistan Gorbat</t>
  </si>
  <si>
    <t>afhe1238</t>
  </si>
  <si>
    <t>maay1238</t>
  </si>
  <si>
    <t>Af-Helledi</t>
  </si>
  <si>
    <t>afik1238</t>
  </si>
  <si>
    <t>nucl1417</t>
  </si>
  <si>
    <t>Afikpo</t>
  </si>
  <si>
    <t>afit1238</t>
  </si>
  <si>
    <t>nyim1244</t>
  </si>
  <si>
    <t>Afitti</t>
  </si>
  <si>
    <t>aft</t>
  </si>
  <si>
    <t>afor1239</t>
  </si>
  <si>
    <t>koia1260</t>
  </si>
  <si>
    <t>esee1247</t>
  </si>
  <si>
    <t>Afore</t>
  </si>
  <si>
    <t>afri1271</t>
  </si>
  <si>
    <t>nort2648</t>
  </si>
  <si>
    <t>Afridi</t>
  </si>
  <si>
    <t>afri1272</t>
  </si>
  <si>
    <t>putu1241</t>
  </si>
  <si>
    <t>Afrike</t>
  </si>
  <si>
    <t>afri1273</t>
  </si>
  <si>
    <t>glob1241</t>
  </si>
  <si>
    <t>Afrikaansic</t>
  </si>
  <si>
    <t>afri1274</t>
  </si>
  <si>
    <t>Afrikaans</t>
  </si>
  <si>
    <t>afr</t>
  </si>
  <si>
    <t>BW MZ NA ZA ZM ZW</t>
  </si>
  <si>
    <t>afro1254</t>
  </si>
  <si>
    <t>gull1243</t>
  </si>
  <si>
    <t>Afro-Seminole Creole</t>
  </si>
  <si>
    <t>afs</t>
  </si>
  <si>
    <t>MX US</t>
  </si>
  <si>
    <t>Afro-Asiatic</t>
  </si>
  <si>
    <t>afro1259</t>
  </si>
  <si>
    <t>unat1236</t>
  </si>
  <si>
    <t>Afro-Asiatic (Unattested)</t>
  </si>
  <si>
    <t>afsh1238</t>
  </si>
  <si>
    <t>sout2697</t>
  </si>
  <si>
    <t>Afshari</t>
  </si>
  <si>
    <t>afud1235</t>
  </si>
  <si>
    <t>unun9911</t>
  </si>
  <si>
    <t>Afudu</t>
  </si>
  <si>
    <t>agaa1241</t>
  </si>
  <si>
    <t>mong1329</t>
  </si>
  <si>
    <t>mong1330</t>
  </si>
  <si>
    <t>Aga</t>
  </si>
  <si>
    <t>agal1241</t>
  </si>
  <si>
    <t>gumu1250</t>
  </si>
  <si>
    <t>gumu1244</t>
  </si>
  <si>
    <t>Agalo</t>
  </si>
  <si>
    <t>agam1238</t>
  </si>
  <si>
    <t>Agam</t>
  </si>
  <si>
    <t>agan1234</t>
  </si>
  <si>
    <t>ural1272</t>
  </si>
  <si>
    <t>surg1248</t>
  </si>
  <si>
    <t>Agan</t>
  </si>
  <si>
    <t>agan1235</t>
  </si>
  <si>
    <t>fore1274</t>
  </si>
  <si>
    <t>Agan Nenets</t>
  </si>
  <si>
    <t>agar1249</t>
  </si>
  <si>
    <t>sout2833</t>
  </si>
  <si>
    <t>Agar</t>
  </si>
  <si>
    <t>agar1250</t>
  </si>
  <si>
    <t>konk1267</t>
  </si>
  <si>
    <t>Agari of Kolaba</t>
  </si>
  <si>
    <t>agar1251</t>
  </si>
  <si>
    <t>drav1252</t>
  </si>
  <si>
    <t>Agariya</t>
  </si>
  <si>
    <t>agi</t>
  </si>
  <si>
    <t>agar1252</t>
  </si>
  <si>
    <t>gads1260</t>
  </si>
  <si>
    <t>Agarabi</t>
  </si>
  <si>
    <t>agd</t>
  </si>
  <si>
    <t>agat1236</t>
  </si>
  <si>
    <t>nucl1732</t>
  </si>
  <si>
    <t>Agatu</t>
  </si>
  <si>
    <t>agc</t>
  </si>
  <si>
    <t>agau1239</t>
  </si>
  <si>
    <t>tsik1238</t>
  </si>
  <si>
    <t>Agaunshe</t>
  </si>
  <si>
    <t>agav1236</t>
  </si>
  <si>
    <t>araw1288</t>
  </si>
  <si>
    <t>Agavotaguerra</t>
  </si>
  <si>
    <t>avo</t>
  </si>
  <si>
    <t>agba1238</t>
  </si>
  <si>
    <t>urho1239</t>
  </si>
  <si>
    <t>Agbarho</t>
  </si>
  <si>
    <t>agbi1234</t>
  </si>
  <si>
    <t>atla1282</t>
  </si>
  <si>
    <t>Agbirigba</t>
  </si>
  <si>
    <t>agbo1241</t>
  </si>
  <si>
    <t>Agbome</t>
  </si>
  <si>
    <t>agbo1242</t>
  </si>
  <si>
    <t>Agbon</t>
  </si>
  <si>
    <t>agee1238</t>
  </si>
  <si>
    <t>Ageer</t>
  </si>
  <si>
    <t>aghe1239</t>
  </si>
  <si>
    <t>west2835</t>
  </si>
  <si>
    <t>Aghem</t>
  </si>
  <si>
    <t>agq</t>
  </si>
  <si>
    <t>agho1238</t>
  </si>
  <si>
    <t>ogbi1239</t>
  </si>
  <si>
    <t>Agholo</t>
  </si>
  <si>
    <t>aghu1253</t>
  </si>
  <si>
    <t>nakh1245</t>
  </si>
  <si>
    <t>aghu1259</t>
  </si>
  <si>
    <t>Aghul</t>
  </si>
  <si>
    <t>agx</t>
  </si>
  <si>
    <t>AZ RU</t>
  </si>
  <si>
    <t>aghu1254</t>
  </si>
  <si>
    <t>thay1250</t>
  </si>
  <si>
    <t>Aghu Tharnggalu</t>
  </si>
  <si>
    <t>ggr</t>
  </si>
  <si>
    <t>aghu1255</t>
  </si>
  <si>
    <t>mapp1234</t>
  </si>
  <si>
    <t>Aghu</t>
  </si>
  <si>
    <t>ahh</t>
  </si>
  <si>
    <t>aghu1256</t>
  </si>
  <si>
    <t>Aghu Tharnggalu (Retired)</t>
  </si>
  <si>
    <t>gtu</t>
  </si>
  <si>
    <t>east2367</t>
  </si>
  <si>
    <t>Aghul-Lezgi</t>
  </si>
  <si>
    <t>aghw1237</t>
  </si>
  <si>
    <t>udia1235</t>
  </si>
  <si>
    <t>Aghwan</t>
  </si>
  <si>
    <t>xag</t>
  </si>
  <si>
    <t>agii1244</t>
  </si>
  <si>
    <t>moru1253</t>
  </si>
  <si>
    <t>Agi (Moru)</t>
  </si>
  <si>
    <t>agii1245</t>
  </si>
  <si>
    <t>agiy1234</t>
  </si>
  <si>
    <t>Agi</t>
  </si>
  <si>
    <t>aif</t>
  </si>
  <si>
    <t>west2788</t>
  </si>
  <si>
    <t>Agi-Yeri</t>
  </si>
  <si>
    <t>nyoa1234</t>
  </si>
  <si>
    <t>Agneby</t>
  </si>
  <si>
    <t>ramu1234</t>
  </si>
  <si>
    <t>Agoan</t>
  </si>
  <si>
    <t>agob1244</t>
  </si>
  <si>
    <t>paho1240</t>
  </si>
  <si>
    <t>Agob-Ende-Kawam</t>
  </si>
  <si>
    <t>kit</t>
  </si>
  <si>
    <t>agob1245</t>
  </si>
  <si>
    <t>Ag√∂b</t>
  </si>
  <si>
    <t>agoi1244</t>
  </si>
  <si>
    <t>genn1243</t>
  </si>
  <si>
    <t>Agoi (Gen)</t>
  </si>
  <si>
    <t>agoi1245</t>
  </si>
  <si>
    <t>uppe1418</t>
  </si>
  <si>
    <t>Agoi-Doko-Iyoniyong</t>
  </si>
  <si>
    <t>agoi1246</t>
  </si>
  <si>
    <t>Agoi</t>
  </si>
  <si>
    <t>ibm</t>
  </si>
  <si>
    <t>agon1238</t>
  </si>
  <si>
    <t>Agona</t>
  </si>
  <si>
    <t>agra1238</t>
  </si>
  <si>
    <t>Agrab</t>
  </si>
  <si>
    <t>agta1234</t>
  </si>
  <si>
    <t>para1320</t>
  </si>
  <si>
    <t>Agta-Pahanan</t>
  </si>
  <si>
    <t>apf</t>
  </si>
  <si>
    <t>agua1251</t>
  </si>
  <si>
    <t>Aguano</t>
  </si>
  <si>
    <t>aga</t>
  </si>
  <si>
    <t>agua1252</t>
  </si>
  <si>
    <t>ixil1250</t>
  </si>
  <si>
    <t>Aguacateco</t>
  </si>
  <si>
    <t>agu</t>
  </si>
  <si>
    <t>agua1253</t>
  </si>
  <si>
    <t>Aguaruna</t>
  </si>
  <si>
    <t>agr</t>
  </si>
  <si>
    <t>agua1254</t>
  </si>
  <si>
    <t>cofa1242</t>
  </si>
  <si>
    <t>Aguarico</t>
  </si>
  <si>
    <t>aguf1237</t>
  </si>
  <si>
    <t>faga1239</t>
  </si>
  <si>
    <t>Agufi</t>
  </si>
  <si>
    <t>agul1243</t>
  </si>
  <si>
    <t>agul1245</t>
  </si>
  <si>
    <t>Agulis</t>
  </si>
  <si>
    <t>agul1244</t>
  </si>
  <si>
    <t>Agul</t>
  </si>
  <si>
    <t>Agulis-Meghri</t>
  </si>
  <si>
    <t>agun1238</t>
  </si>
  <si>
    <t>Aguna</t>
  </si>
  <si>
    <t>aug</t>
  </si>
  <si>
    <t>BJ TG</t>
  </si>
  <si>
    <t>aguo1238</t>
  </si>
  <si>
    <t>Aguok</t>
  </si>
  <si>
    <t>east2478</t>
  </si>
  <si>
    <t>Agusan Manobo</t>
  </si>
  <si>
    <t>agut1237</t>
  </si>
  <si>
    <t>kala1389</t>
  </si>
  <si>
    <t>Agutaynen</t>
  </si>
  <si>
    <t>agn</t>
  </si>
  <si>
    <t>aguu1241</t>
  </si>
  <si>
    <t>rawa1265</t>
  </si>
  <si>
    <t>Agu</t>
  </si>
  <si>
    <t>aguu1242</t>
  </si>
  <si>
    <t>Agu (Ewe)</t>
  </si>
  <si>
    <t>agwa1246</t>
  </si>
  <si>
    <t>alag1242</t>
  </si>
  <si>
    <t>Agwatashi</t>
  </si>
  <si>
    <t>kohu1243</t>
  </si>
  <si>
    <t>Agwagwune</t>
  </si>
  <si>
    <t>yay</t>
  </si>
  <si>
    <t>ahaf1238</t>
  </si>
  <si>
    <t>Ahafo</t>
  </si>
  <si>
    <t>ahan1243</t>
  </si>
  <si>
    <t>sout2779</t>
  </si>
  <si>
    <t>Ahanta</t>
  </si>
  <si>
    <t>aha</t>
  </si>
  <si>
    <t>ahan1244</t>
  </si>
  <si>
    <t>ayer1244</t>
  </si>
  <si>
    <t>√Äh√†n</t>
  </si>
  <si>
    <t>ahn</t>
  </si>
  <si>
    <t>ahea1235</t>
  </si>
  <si>
    <t>nucl1580</t>
  </si>
  <si>
    <t>keor1235</t>
  </si>
  <si>
    <t>Aheave</t>
  </si>
  <si>
    <t>ahea1240</t>
  </si>
  <si>
    <t>Ahe</t>
  </si>
  <si>
    <t>ahe</t>
  </si>
  <si>
    <t>ahei1238</t>
  </si>
  <si>
    <t>ngil1242</t>
  </si>
  <si>
    <t>Aheima</t>
  </si>
  <si>
    <t>aher1237</t>
  </si>
  <si>
    <t>sout2711</t>
  </si>
  <si>
    <t>Aheri</t>
  </si>
  <si>
    <t>aheu1239</t>
  </si>
  <si>
    <t>aust1305</t>
  </si>
  <si>
    <t>chut1252</t>
  </si>
  <si>
    <t>Thavung</t>
  </si>
  <si>
    <t>thm</t>
  </si>
  <si>
    <t>LA TH</t>
  </si>
  <si>
    <t>ahin1234</t>
  </si>
  <si>
    <t>kall1244</t>
  </si>
  <si>
    <t>Ahin-Kayapa Kalanguya</t>
  </si>
  <si>
    <t>kak</t>
  </si>
  <si>
    <t>Ahiri</t>
  </si>
  <si>
    <t>ahir1243</t>
  </si>
  <si>
    <t>Ahirani</t>
  </si>
  <si>
    <t>ahr</t>
  </si>
  <si>
    <t>AHK</t>
  </si>
  <si>
    <t>ahom1240</t>
  </si>
  <si>
    <t>sout2743</t>
  </si>
  <si>
    <t>Ahom</t>
  </si>
  <si>
    <t>aho</t>
  </si>
  <si>
    <t>ahou1236</t>
  </si>
  <si>
    <t>nort3188</t>
  </si>
  <si>
    <t>Ahouic</t>
  </si>
  <si>
    <t>ahte1237</t>
  </si>
  <si>
    <t>atha1245</t>
  </si>
  <si>
    <t>nort2940</t>
  </si>
  <si>
    <t>Ahtena</t>
  </si>
  <si>
    <t>aht</t>
  </si>
  <si>
    <t>ahua1238</t>
  </si>
  <si>
    <t>sant1454</t>
  </si>
  <si>
    <t>Ahuatempan Popoloca</t>
  </si>
  <si>
    <t>ahwa1235</t>
  </si>
  <si>
    <t>benu1248</t>
  </si>
  <si>
    <t>Ndunic</t>
  </si>
  <si>
    <t>nfd</t>
  </si>
  <si>
    <t>ahwa1239</t>
  </si>
  <si>
    <t>nucl1706</t>
  </si>
  <si>
    <t>Ahwaz</t>
  </si>
  <si>
    <t>aial1237</t>
  </si>
  <si>
    <t>moli1248</t>
  </si>
  <si>
    <t>Ai'alu</t>
  </si>
  <si>
    <t>aian1241</t>
  </si>
  <si>
    <t>Aian</t>
  </si>
  <si>
    <t>aibo1237</t>
  </si>
  <si>
    <t>wand1267</t>
  </si>
  <si>
    <t>Aibondeni</t>
  </si>
  <si>
    <t>aich1238</t>
  </si>
  <si>
    <t>maka1300</t>
  </si>
  <si>
    <t>Ai-Cham</t>
  </si>
  <si>
    <t>aih</t>
  </si>
  <si>
    <t>aiew1238</t>
  </si>
  <si>
    <t>anga1289</t>
  </si>
  <si>
    <t>safe1240</t>
  </si>
  <si>
    <t>Aiewomba</t>
  </si>
  <si>
    <t>aigh1235</t>
  </si>
  <si>
    <t>pasi1254</t>
  </si>
  <si>
    <t>Aighon</t>
  </si>
  <si>
    <t>aix</t>
  </si>
  <si>
    <t>aigo1239</t>
  </si>
  <si>
    <t>Aigon</t>
  </si>
  <si>
    <t>aika1237</t>
  </si>
  <si>
    <t>Aikan√£</t>
  </si>
  <si>
    <t>tba</t>
  </si>
  <si>
    <t>aikl1237</t>
  </si>
  <si>
    <t>west2530</t>
  </si>
  <si>
    <t>Aiklep</t>
  </si>
  <si>
    <t>mwg</t>
  </si>
  <si>
    <t>aiko1237</t>
  </si>
  <si>
    <t>mori1269</t>
  </si>
  <si>
    <t>Aikoa</t>
  </si>
  <si>
    <t>aiku1240</t>
  </si>
  <si>
    <t>Aiku</t>
  </si>
  <si>
    <t>mzf</t>
  </si>
  <si>
    <t>aima1241</t>
  </si>
  <si>
    <t>east2745</t>
  </si>
  <si>
    <t>Aimaq</t>
  </si>
  <si>
    <t>aiq</t>
  </si>
  <si>
    <t>AF IR</t>
  </si>
  <si>
    <t>kuna1268</t>
  </si>
  <si>
    <t>Aimara</t>
  </si>
  <si>
    <t>aime1238</t>
  </si>
  <si>
    <t>bosa1246</t>
  </si>
  <si>
    <t>Aimele</t>
  </si>
  <si>
    <t>ail</t>
  </si>
  <si>
    <t>aimo1244</t>
  </si>
  <si>
    <t>aimo1247</t>
  </si>
  <si>
    <t>Aimol</t>
  </si>
  <si>
    <t>aim</t>
  </si>
  <si>
    <t>IN NP</t>
  </si>
  <si>
    <t>aimo1245</t>
  </si>
  <si>
    <t>Aimoli</t>
  </si>
  <si>
    <t>aimo1246</t>
  </si>
  <si>
    <t>Aimore</t>
  </si>
  <si>
    <t>oldk1252</t>
  </si>
  <si>
    <t>Aimol-Syriem</t>
  </si>
  <si>
    <t>ainb1238</t>
  </si>
  <si>
    <t>bord1247</t>
  </si>
  <si>
    <t>pagi1245</t>
  </si>
  <si>
    <t>Ainbai</t>
  </si>
  <si>
    <t>aic</t>
  </si>
  <si>
    <t>aine1237</t>
  </si>
  <si>
    <t>Aine Kuruba</t>
  </si>
  <si>
    <t>Hokkaido Ainu</t>
  </si>
  <si>
    <t>JP</t>
  </si>
  <si>
    <t>ainu1251</t>
  </si>
  <si>
    <t>east2792</t>
  </si>
  <si>
    <t>Ainu (China)</t>
  </si>
  <si>
    <t>aib</t>
  </si>
  <si>
    <t>aiom1240</t>
  </si>
  <si>
    <t>Aiome</t>
  </si>
  <si>
    <t>aki</t>
  </si>
  <si>
    <t>aird1238</t>
  </si>
  <si>
    <t>kibi1239</t>
  </si>
  <si>
    <t>Aird Hills</t>
  </si>
  <si>
    <t>airm1240</t>
  </si>
  <si>
    <t>kupa1239</t>
  </si>
  <si>
    <t>Air Mata</t>
  </si>
  <si>
    <t>airm1241</t>
  </si>
  <si>
    <t>tons1240</t>
  </si>
  <si>
    <t>Airmadidi</t>
  </si>
  <si>
    <t>airo1242</t>
  </si>
  <si>
    <t>kwer1242</t>
  </si>
  <si>
    <t>west1486</t>
  </si>
  <si>
    <t>Airoran</t>
  </si>
  <si>
    <t>air</t>
  </si>
  <si>
    <t>airr1238</t>
  </si>
  <si>
    <t>song1307</t>
  </si>
  <si>
    <t>tagd1238</t>
  </si>
  <si>
    <t>Air</t>
  </si>
  <si>
    <t>airr1242</t>
  </si>
  <si>
    <t>taya1257</t>
  </si>
  <si>
    <t>Air (Berber)</t>
  </si>
  <si>
    <t>airy1239</t>
  </si>
  <si>
    <t>west2924</t>
  </si>
  <si>
    <t>Airym</t>
  </si>
  <si>
    <t>aisi1234</t>
  </si>
  <si>
    <t>east2767</t>
  </si>
  <si>
    <t>Aisian</t>
  </si>
  <si>
    <t>aita1238</t>
  </si>
  <si>
    <t>nort2933</t>
  </si>
  <si>
    <t>roto1249</t>
  </si>
  <si>
    <t>Aita</t>
  </si>
  <si>
    <t>aito1238</t>
  </si>
  <si>
    <t>assa1264</t>
  </si>
  <si>
    <t>Aiton</t>
  </si>
  <si>
    <t>aio</t>
  </si>
  <si>
    <t>aitu1237</t>
  </si>
  <si>
    <t>Aitutaki</t>
  </si>
  <si>
    <t>aiya1239</t>
  </si>
  <si>
    <t>Aiyangar</t>
  </si>
  <si>
    <t>aiya1240</t>
  </si>
  <si>
    <t>Aiyar</t>
  </si>
  <si>
    <t>aiye1241</t>
  </si>
  <si>
    <t>west2472</t>
  </si>
  <si>
    <t>Aiyegunle</t>
  </si>
  <si>
    <t>aiye1242</t>
  </si>
  <si>
    <t>shua1254</t>
  </si>
  <si>
    <t>||'Aiye</t>
  </si>
  <si>
    <t>aizi1248</t>
  </si>
  <si>
    <t>krua1234</t>
  </si>
  <si>
    <t>Aizi</t>
  </si>
  <si>
    <t>aizu1241</t>
  </si>
  <si>
    <t>sout2953</t>
  </si>
  <si>
    <t>Aizu</t>
  </si>
  <si>
    <t>aizu1242</t>
  </si>
  <si>
    <t>omag1248</t>
  </si>
  <si>
    <t>Aizuare</t>
  </si>
  <si>
    <t>ajab1235</t>
  </si>
  <si>
    <t>gbee1241</t>
  </si>
  <si>
    <t>Aja (Benin)</t>
  </si>
  <si>
    <t>ajg</t>
  </si>
  <si>
    <t>ajam1240</t>
  </si>
  <si>
    <t>cent2117</t>
  </si>
  <si>
    <t>Ajam</t>
  </si>
  <si>
    <t>ajas1235</t>
  </si>
  <si>
    <t>kres1240</t>
  </si>
  <si>
    <t>Aja (Sudan)</t>
  </si>
  <si>
    <t>aja</t>
  </si>
  <si>
    <t>ajaw1236</t>
  </si>
  <si>
    <t>west2712</t>
  </si>
  <si>
    <t>Ajawa</t>
  </si>
  <si>
    <t>ajw</t>
  </si>
  <si>
    <t>ajee1238</t>
  </si>
  <si>
    <t>Aje</t>
  </si>
  <si>
    <t>ajie1238</t>
  </si>
  <si>
    <t>houa1234</t>
  </si>
  <si>
    <t>Aji√´</t>
  </si>
  <si>
    <t>aji</t>
  </si>
  <si>
    <t>NC</t>
  </si>
  <si>
    <t>ajir1238</t>
  </si>
  <si>
    <t>guja1253</t>
  </si>
  <si>
    <t>Ajiri of Hazara</t>
  </si>
  <si>
    <t>ajiw1238</t>
  </si>
  <si>
    <t>mpur1239</t>
  </si>
  <si>
    <t>Ajiw</t>
  </si>
  <si>
    <t>ajra1238</t>
  </si>
  <si>
    <t>gunn1250</t>
  </si>
  <si>
    <t>Ajra</t>
  </si>
  <si>
    <t>ajug1238</t>
  </si>
  <si>
    <t>avok1242</t>
  </si>
  <si>
    <t>Ajugu</t>
  </si>
  <si>
    <t>ajuh1237</t>
  </si>
  <si>
    <t>lawa1257</t>
  </si>
  <si>
    <t>Ajuh</t>
  </si>
  <si>
    <t>ajum1239</t>
  </si>
  <si>
    <t>myen1241</t>
  </si>
  <si>
    <t>Ajumba</t>
  </si>
  <si>
    <t>ashe1271</t>
  </si>
  <si>
    <t>Ajy√≠ninka Apurucayali</t>
  </si>
  <si>
    <t>akaa1242</t>
  </si>
  <si>
    <t>east2386</t>
  </si>
  <si>
    <t>akak1254</t>
  </si>
  <si>
    <t>soh</t>
  </si>
  <si>
    <t>akab1248</t>
  </si>
  <si>
    <t>grea1241</t>
  </si>
  <si>
    <t>boca1235</t>
  </si>
  <si>
    <t>Akabo</t>
  </si>
  <si>
    <t>akm</t>
  </si>
  <si>
    <t>akab1249</t>
  </si>
  <si>
    <t>sout2683</t>
  </si>
  <si>
    <t>Akabea</t>
  </si>
  <si>
    <t>abj</t>
  </si>
  <si>
    <t>akab1250</t>
  </si>
  <si>
    <t>Akabafa</t>
  </si>
  <si>
    <t>akac1240</t>
  </si>
  <si>
    <t>Akacari</t>
  </si>
  <si>
    <t>aci</t>
  </si>
  <si>
    <t>akaj1239</t>
  </si>
  <si>
    <t>jeru1239</t>
  </si>
  <si>
    <t>Akajeru</t>
  </si>
  <si>
    <t>akj</t>
  </si>
  <si>
    <t>akak1251</t>
  </si>
  <si>
    <t>Akakora</t>
  </si>
  <si>
    <t>ack</t>
  </si>
  <si>
    <t>akak1252</t>
  </si>
  <si>
    <t>nort3276</t>
  </si>
  <si>
    <t>Akakede</t>
  </si>
  <si>
    <t>akx</t>
  </si>
  <si>
    <t>akak1253</t>
  </si>
  <si>
    <t>okol1242</t>
  </si>
  <si>
    <t>Akakol</t>
  </si>
  <si>
    <t>aky</t>
  </si>
  <si>
    <t>Aka-Kelo-Molo</t>
  </si>
  <si>
    <t>akal1238</t>
  </si>
  <si>
    <t>nyis1236</t>
  </si>
  <si>
    <t>Aka Lel</t>
  </si>
  <si>
    <t>akam1238</t>
  </si>
  <si>
    <t>west2482</t>
  </si>
  <si>
    <t>Akamkpa-Ejagham</t>
  </si>
  <si>
    <t>akan1248</t>
  </si>
  <si>
    <t>tung1282</t>
  </si>
  <si>
    <t>Akani</t>
  </si>
  <si>
    <t>cent2262</t>
  </si>
  <si>
    <t>Akanic</t>
  </si>
  <si>
    <t>akar1243</t>
  </si>
  <si>
    <t>Akarbale</t>
  </si>
  <si>
    <t>acl</t>
  </si>
  <si>
    <t>akar1244</t>
  </si>
  <si>
    <t>east2379</t>
  </si>
  <si>
    <t>Akarre</t>
  </si>
  <si>
    <t>akas1241</t>
  </si>
  <si>
    <t>ijoi1239</t>
  </si>
  <si>
    <t>sout2774</t>
  </si>
  <si>
    <t>Akassa</t>
  </si>
  <si>
    <t>akas1242</t>
  </si>
  <si>
    <t>ntch1241</t>
  </si>
  <si>
    <t>Akaselem</t>
  </si>
  <si>
    <t>aks</t>
  </si>
  <si>
    <t>TG</t>
  </si>
  <si>
    <t>kapo1251</t>
  </si>
  <si>
    <t>BR GY VE</t>
  </si>
  <si>
    <t>akeb1238</t>
  </si>
  <si>
    <t>kebu1246</t>
  </si>
  <si>
    <t>Akebu</t>
  </si>
  <si>
    <t>keu</t>
  </si>
  <si>
    <t>akee1238</t>
  </si>
  <si>
    <t>eggo1240</t>
  </si>
  <si>
    <t>Ake</t>
  </si>
  <si>
    <t>aik</t>
  </si>
  <si>
    <t>akei1237</t>
  </si>
  <si>
    <t>west2845</t>
  </si>
  <si>
    <t>Akei</t>
  </si>
  <si>
    <t>tsr</t>
  </si>
  <si>
    <t>VU</t>
  </si>
  <si>
    <t>aker1238</t>
  </si>
  <si>
    <t>west2441</t>
  </si>
  <si>
    <t>Akerre</t>
  </si>
  <si>
    <t>akeu1235</t>
  </si>
  <si>
    <t>akha1246</t>
  </si>
  <si>
    <t>Akeu</t>
  </si>
  <si>
    <t>aeu</t>
  </si>
  <si>
    <t>CN LA MM TH</t>
  </si>
  <si>
    <t>akha1245</t>
  </si>
  <si>
    <t>Akha</t>
  </si>
  <si>
    <t>ahk</t>
  </si>
  <si>
    <t>CN LA MM TH VN</t>
  </si>
  <si>
    <t>haya1251</t>
  </si>
  <si>
    <t>Akhaic</t>
  </si>
  <si>
    <t>akhm1237</t>
  </si>
  <si>
    <t>uppe1445</t>
  </si>
  <si>
    <t>Akhmimic</t>
  </si>
  <si>
    <t>akho1238</t>
  </si>
  <si>
    <t>kxaa1236</t>
  </si>
  <si>
    <t>kung1261</t>
  </si>
  <si>
    <t>Akhoe</t>
  </si>
  <si>
    <t>akht1238</t>
  </si>
  <si>
    <t>lezg1247</t>
  </si>
  <si>
    <t>Akhty</t>
  </si>
  <si>
    <t>akhv1239</t>
  </si>
  <si>
    <t>andi1254</t>
  </si>
  <si>
    <t>Akhvakh</t>
  </si>
  <si>
    <t>akv</t>
  </si>
  <si>
    <t>RU</t>
  </si>
  <si>
    <t>akii1238</t>
  </si>
  <si>
    <t>Aki</t>
  </si>
  <si>
    <t>utoa1244</t>
  </si>
  <si>
    <t>akit1239</t>
  </si>
  <si>
    <t>keri1250</t>
  </si>
  <si>
    <t>Akit</t>
  </si>
  <si>
    <t>akit1240</t>
  </si>
  <si>
    <t>Akita</t>
  </si>
  <si>
    <t>akka1237</t>
  </si>
  <si>
    <t>main1280</t>
  </si>
  <si>
    <t>Akkala Saami</t>
  </si>
  <si>
    <t>sia</t>
  </si>
  <si>
    <t>akka1240</t>
  </si>
  <si>
    <t>east2678</t>
  </si>
  <si>
    <t>Akkadian</t>
  </si>
  <si>
    <t>akk</t>
  </si>
  <si>
    <t>IQ</t>
  </si>
  <si>
    <t>akkk1240</t>
  </si>
  <si>
    <t>yell1247</t>
  </si>
  <si>
    <t>Ak</t>
  </si>
  <si>
    <t>akq</t>
  </si>
  <si>
    <t>akla1240</t>
  </si>
  <si>
    <t>west2820</t>
  </si>
  <si>
    <t>Aklan</t>
  </si>
  <si>
    <t>akla1241</t>
  </si>
  <si>
    <t>Aklanon</t>
  </si>
  <si>
    <t>akl</t>
  </si>
  <si>
    <t>aknn1239</t>
  </si>
  <si>
    <t>asia1266</t>
  </si>
  <si>
    <t>Akn</t>
  </si>
  <si>
    <t>akol1237</t>
  </si>
  <si>
    <t>east2763</t>
  </si>
  <si>
    <t>Akolet</t>
  </si>
  <si>
    <t>akt</t>
  </si>
  <si>
    <t>akon1238</t>
  </si>
  <si>
    <t>Akono</t>
  </si>
  <si>
    <t>akoo1247</t>
  </si>
  <si>
    <t>Ako</t>
  </si>
  <si>
    <t>akoo1248</t>
  </si>
  <si>
    <t>cent2284</t>
  </si>
  <si>
    <t>Akoose</t>
  </si>
  <si>
    <t>bss</t>
  </si>
  <si>
    <t>akoo1249</t>
  </si>
  <si>
    <t>ekpe1253</t>
  </si>
  <si>
    <t>Ako (Atlantic-Congo)</t>
  </si>
  <si>
    <t>akoo1250</t>
  </si>
  <si>
    <t>bada1261</t>
  </si>
  <si>
    <t>Ako (Indonesia)</t>
  </si>
  <si>
    <t>akoy1238</t>
  </si>
  <si>
    <t>tain1255</t>
  </si>
  <si>
    <t>Akoye</t>
  </si>
  <si>
    <t>miw</t>
  </si>
  <si>
    <t>akpa1238</t>
  </si>
  <si>
    <t>yaty1238</t>
  </si>
  <si>
    <t>Akpa</t>
  </si>
  <si>
    <t>akf</t>
  </si>
  <si>
    <t>akpa1243</t>
  </si>
  <si>
    <t>siwu1238</t>
  </si>
  <si>
    <t>Akpafu</t>
  </si>
  <si>
    <t>akpe1247</t>
  </si>
  <si>
    <t>anii1245</t>
  </si>
  <si>
    <t>Akpe</t>
  </si>
  <si>
    <t>akpe1248</t>
  </si>
  <si>
    <t>akpe1249</t>
  </si>
  <si>
    <t>Akpes</t>
  </si>
  <si>
    <t>ibe</t>
  </si>
  <si>
    <t>benu1247</t>
  </si>
  <si>
    <t>Akpes-Edoid</t>
  </si>
  <si>
    <t>akpo1242</t>
  </si>
  <si>
    <t>ikwe1242</t>
  </si>
  <si>
    <t>Akpo-Mgbu-Tolu</t>
  </si>
  <si>
    <t>akpo1243</t>
  </si>
  <si>
    <t>alum1251</t>
  </si>
  <si>
    <t>Akpondu</t>
  </si>
  <si>
    <t>akre1239</t>
  </si>
  <si>
    <t>nort2641</t>
  </si>
  <si>
    <t>Akre</t>
  </si>
  <si>
    <t>akru1241</t>
  </si>
  <si>
    <t>tamo1242</t>
  </si>
  <si>
    <t>Chini</t>
  </si>
  <si>
    <t>afi</t>
  </si>
  <si>
    <t>aksa1237</t>
  </si>
  <si>
    <t>Aksan√°s</t>
  </si>
  <si>
    <t>akua1239</t>
  </si>
  <si>
    <t>twii1234</t>
  </si>
  <si>
    <t>Akuapem</t>
  </si>
  <si>
    <t>akuk1235</t>
  </si>
  <si>
    <t>okpe1251</t>
  </si>
  <si>
    <t>Akuku</t>
  </si>
  <si>
    <t>ayk</t>
  </si>
  <si>
    <t>akum1238</t>
  </si>
  <si>
    <t>akum1239</t>
  </si>
  <si>
    <t>Akum</t>
  </si>
  <si>
    <t>aku</t>
  </si>
  <si>
    <t>yuku1244</t>
  </si>
  <si>
    <t>Akum-Beezen</t>
  </si>
  <si>
    <t>akun1239</t>
  </si>
  <si>
    <t>Akunnu</t>
  </si>
  <si>
    <t>akun1241</t>
  </si>
  <si>
    <t>akun1243</t>
  </si>
  <si>
    <t>Akuntsu</t>
  </si>
  <si>
    <t>aqz</t>
  </si>
  <si>
    <t>nucl1716</t>
  </si>
  <si>
    <t>Akuntsu-Mekens</t>
  </si>
  <si>
    <t>akur1238</t>
  </si>
  <si>
    <t>tiri1260</t>
  </si>
  <si>
    <t>Akurio</t>
  </si>
  <si>
    <t>ako</t>
  </si>
  <si>
    <t>SR</t>
  </si>
  <si>
    <t>akus1238</t>
  </si>
  <si>
    <t>aqus1234</t>
  </si>
  <si>
    <t>Akusha</t>
  </si>
  <si>
    <t>akwa1247</t>
  </si>
  <si>
    <t>pong1250</t>
  </si>
  <si>
    <t>Akwa (Nigeria)</t>
  </si>
  <si>
    <t>akwa1248</t>
  </si>
  <si>
    <t>koyo1244</t>
  </si>
  <si>
    <t>Akwa</t>
  </si>
  <si>
    <t>akw</t>
  </si>
  <si>
    <t>CG</t>
  </si>
  <si>
    <t>akwa1249</t>
  </si>
  <si>
    <t>mada1282</t>
  </si>
  <si>
    <t>Akwanga</t>
  </si>
  <si>
    <t>akye1239</t>
  </si>
  <si>
    <t>Akyem Bosome</t>
  </si>
  <si>
    <t>alab1237</t>
  </si>
  <si>
    <t>musk1252</t>
  </si>
  <si>
    <t>alab1247</t>
  </si>
  <si>
    <t>Alabama</t>
  </si>
  <si>
    <t>akz</t>
  </si>
  <si>
    <t>alab1246</t>
  </si>
  <si>
    <t>alab1255</t>
  </si>
  <si>
    <t>Alabat Island Agta</t>
  </si>
  <si>
    <t>dul</t>
  </si>
  <si>
    <t>Alabaman-Koasati</t>
  </si>
  <si>
    <t>alab1254</t>
  </si>
  <si>
    <t>kamb1318</t>
  </si>
  <si>
    <t>Alaba-K'abeena</t>
  </si>
  <si>
    <t>alw</t>
  </si>
  <si>
    <t>cent2246</t>
  </si>
  <si>
    <t>Alabat-Manide Agta</t>
  </si>
  <si>
    <t>alab1256</t>
  </si>
  <si>
    <t>noga1249</t>
  </si>
  <si>
    <t>Alabugat Tatar</t>
  </si>
  <si>
    <t>alac1239</t>
  </si>
  <si>
    <t>Alacalufe-Austral</t>
  </si>
  <si>
    <t>CL</t>
  </si>
  <si>
    <t>alac1240</t>
  </si>
  <si>
    <t>Alacalufe-Central</t>
  </si>
  <si>
    <t>alac1244</t>
  </si>
  <si>
    <t>guer1245</t>
  </si>
  <si>
    <t>Alacatlatzala Mixtec</t>
  </si>
  <si>
    <t>mim</t>
  </si>
  <si>
    <t>alad1239</t>
  </si>
  <si>
    <t>Alada</t>
  </si>
  <si>
    <t>Alago</t>
  </si>
  <si>
    <t>ala</t>
  </si>
  <si>
    <t>alag1243</t>
  </si>
  <si>
    <t>Alag-Bako</t>
  </si>
  <si>
    <t>alag1248</t>
  </si>
  <si>
    <t>nort3164</t>
  </si>
  <si>
    <t>Alagwa</t>
  </si>
  <si>
    <t>wbj</t>
  </si>
  <si>
    <t>alag1249</t>
  </si>
  <si>
    <t>Alaguilac</t>
  </si>
  <si>
    <t>alak1252</t>
  </si>
  <si>
    <t>bahn1262</t>
  </si>
  <si>
    <t>Alakong</t>
  </si>
  <si>
    <t>alak1253</t>
  </si>
  <si>
    <t>bahn1264</t>
  </si>
  <si>
    <t>Alak</t>
  </si>
  <si>
    <t>alk</t>
  </si>
  <si>
    <t>LA</t>
  </si>
  <si>
    <t>alak1254</t>
  </si>
  <si>
    <t>Alakaman</t>
  </si>
  <si>
    <t>alam1246</t>
  </si>
  <si>
    <t>east2496</t>
  </si>
  <si>
    <t>Alamblak</t>
  </si>
  <si>
    <t>amp</t>
  </si>
  <si>
    <t>alan1247</t>
  </si>
  <si>
    <t>east2303</t>
  </si>
  <si>
    <t>√Öland Islands Swedish</t>
  </si>
  <si>
    <t>alan1248</t>
  </si>
  <si>
    <t>Alangua</t>
  </si>
  <si>
    <t>alan1249</t>
  </si>
  <si>
    <t>nort2873</t>
  </si>
  <si>
    <t>Alangan</t>
  </si>
  <si>
    <t>alj</t>
  </si>
  <si>
    <t>alan1250</t>
  </si>
  <si>
    <t>sian1257</t>
  </si>
  <si>
    <t>Alango</t>
  </si>
  <si>
    <t>alap1235</t>
  </si>
  <si>
    <t>namb1301</t>
  </si>
  <si>
    <t>Alapmunte</t>
  </si>
  <si>
    <t>apv</t>
  </si>
  <si>
    <t>alar1239</t>
  </si>
  <si>
    <t>Alar</t>
  </si>
  <si>
    <t>alas1253</t>
  </si>
  <si>
    <t>nort2665</t>
  </si>
  <si>
    <t>Alasai</t>
  </si>
  <si>
    <t>alas1254</t>
  </si>
  <si>
    <t>bata1292</t>
  </si>
  <si>
    <t>Alas</t>
  </si>
  <si>
    <t>alas1256</t>
  </si>
  <si>
    <t>kalm1243</t>
  </si>
  <si>
    <t>Alasha Oirad</t>
  </si>
  <si>
    <t>alat1245</t>
  </si>
  <si>
    <t>ngem1255</t>
  </si>
  <si>
    <t>Alatening</t>
  </si>
  <si>
    <t>alat1246</t>
  </si>
  <si>
    <t>namb1299</t>
  </si>
  <si>
    <t>sout2994</t>
  </si>
  <si>
    <t>Alatesu</t>
  </si>
  <si>
    <t>alaw1244</t>
  </si>
  <si>
    <t>mang1423</t>
  </si>
  <si>
    <t>mara1414</t>
  </si>
  <si>
    <t>Alawa</t>
  </si>
  <si>
    <t>alh</t>
  </si>
  <si>
    <t>alay1234</t>
  </si>
  <si>
    <t>pama1251</t>
  </si>
  <si>
    <t>Alaya-Athima</t>
  </si>
  <si>
    <t>Albanian</t>
  </si>
  <si>
    <t>AL</t>
  </si>
  <si>
    <t>alba1268</t>
  </si>
  <si>
    <t>Albanian-Tosk</t>
  </si>
  <si>
    <t>alba1269</t>
  </si>
  <si>
    <t>inla1266</t>
  </si>
  <si>
    <t>Inland-Buhi-Daraga Bikol</t>
  </si>
  <si>
    <t>bhk</t>
  </si>
  <si>
    <t>alba1270</t>
  </si>
  <si>
    <t>algi1248</t>
  </si>
  <si>
    <t>nort2961</t>
  </si>
  <si>
    <t>Albany River Ojibwa</t>
  </si>
  <si>
    <t>alba1271</t>
  </si>
  <si>
    <t>Albanian Sign Language</t>
  </si>
  <si>
    <t>sqk</t>
  </si>
  <si>
    <t>alba1272</t>
  </si>
  <si>
    <t>nort2758</t>
  </si>
  <si>
    <t>Albatross Bay</t>
  </si>
  <si>
    <t>alca1237</t>
  </si>
  <si>
    <t>inon1237</t>
  </si>
  <si>
    <t>Alcantaranon</t>
  </si>
  <si>
    <t>alco1235</t>
  </si>
  <si>
    <t>Alcozauca Mixtec</t>
  </si>
  <si>
    <t>xta</t>
  </si>
  <si>
    <t>alec1238</t>
  </si>
  <si>
    <t>Alechuxa</t>
  </si>
  <si>
    <t>aleg1238</t>
  </si>
  <si>
    <t>bend1256</t>
  </si>
  <si>
    <t>Alege</t>
  </si>
  <si>
    <t>alf</t>
  </si>
  <si>
    <t>alek1238</t>
  </si>
  <si>
    <t>gahu1246</t>
  </si>
  <si>
    <t>Alekano</t>
  </si>
  <si>
    <t>gah</t>
  </si>
  <si>
    <t>alem1243</t>
  </si>
  <si>
    <t>mode1258</t>
  </si>
  <si>
    <t>Alemannic</t>
  </si>
  <si>
    <t>alep1237</t>
  </si>
  <si>
    <t>sina1266</t>
  </si>
  <si>
    <t>Alepa</t>
  </si>
  <si>
    <t>alep1241</t>
  </si>
  <si>
    <t>nort3139</t>
  </si>
  <si>
    <t>Aleppo</t>
  </si>
  <si>
    <t>aleu1260</t>
  </si>
  <si>
    <t>eski1264</t>
  </si>
  <si>
    <t>Aleut</t>
  </si>
  <si>
    <t>ale</t>
  </si>
  <si>
    <t>RU US</t>
  </si>
  <si>
    <t>alew1234</t>
  </si>
  <si>
    <t>hula1239</t>
  </si>
  <si>
    <t>Alewai</t>
  </si>
  <si>
    <t>alfo1240</t>
  </si>
  <si>
    <t>Alfold</t>
  </si>
  <si>
    <t>alga1234</t>
  </si>
  <si>
    <t>'Algaden</t>
  </si>
  <si>
    <t>alge1235</t>
  </si>
  <si>
    <t>lsfi1234</t>
  </si>
  <si>
    <t>Algerian Sign Language</t>
  </si>
  <si>
    <t>asp</t>
  </si>
  <si>
    <t>DZ</t>
  </si>
  <si>
    <t>alge1239</t>
  </si>
  <si>
    <t>nort3191</t>
  </si>
  <si>
    <t>Algerian Arabic</t>
  </si>
  <si>
    <t>arq</t>
  </si>
  <si>
    <t>DZ MA TN</t>
  </si>
  <si>
    <t>alge1240</t>
  </si>
  <si>
    <t>Algerian Saharan Arabic</t>
  </si>
  <si>
    <t>aao</t>
  </si>
  <si>
    <t>DZ LY MA NE</t>
  </si>
  <si>
    <t>algh1238</t>
  </si>
  <si>
    <t>cata1289</t>
  </si>
  <si>
    <t>Algherese</t>
  </si>
  <si>
    <t>algi1247</t>
  </si>
  <si>
    <t>Algiers</t>
  </si>
  <si>
    <t>Algic</t>
  </si>
  <si>
    <t>algo1255</t>
  </si>
  <si>
    <t>seve1242</t>
  </si>
  <si>
    <t>Algonquin</t>
  </si>
  <si>
    <t>alq</t>
  </si>
  <si>
    <t>CA</t>
  </si>
  <si>
    <t>algo1256</t>
  </si>
  <si>
    <t>Algonquian</t>
  </si>
  <si>
    <t>alha1241</t>
  </si>
  <si>
    <t>gulf1241</t>
  </si>
  <si>
    <t>Al-Hasaa</t>
  </si>
  <si>
    <t>alha1242</t>
  </si>
  <si>
    <t>Al-Has√¢</t>
  </si>
  <si>
    <t>alia1238</t>
  </si>
  <si>
    <t>Aliap</t>
  </si>
  <si>
    <t>alif1238</t>
  </si>
  <si>
    <t>yace1238</t>
  </si>
  <si>
    <t>Alifokpa</t>
  </si>
  <si>
    <t>alig1238</t>
  </si>
  <si>
    <t>bund1253</t>
  </si>
  <si>
    <t>Aligarh</t>
  </si>
  <si>
    <t>alii1240</t>
  </si>
  <si>
    <t>ngba1286</t>
  </si>
  <si>
    <t>Ali</t>
  </si>
  <si>
    <t>aiy</t>
  </si>
  <si>
    <t>CD CF</t>
  </si>
  <si>
    <t>alii1241</t>
  </si>
  <si>
    <t>kapp1237</t>
  </si>
  <si>
    <t>Ali (Papua New Guinea)</t>
  </si>
  <si>
    <t>alil1239</t>
  </si>
  <si>
    <t>para1316</t>
  </si>
  <si>
    <t>Alile</t>
  </si>
  <si>
    <t>alin1238</t>
  </si>
  <si>
    <t>sout2672</t>
  </si>
  <si>
    <t>Alingar</t>
  </si>
  <si>
    <t>alip1234</t>
  </si>
  <si>
    <t>Alipur Sign Language</t>
  </si>
  <si>
    <t>alit1234</t>
  </si>
  <si>
    <t>siss1244</t>
  </si>
  <si>
    <t>Ali-Tumleo</t>
  </si>
  <si>
    <t>alla1246</t>
  </si>
  <si>
    <t>osse1243</t>
  </si>
  <si>
    <t>Allagir</t>
  </si>
  <si>
    <t>alla1247</t>
  </si>
  <si>
    <t>mala1541</t>
  </si>
  <si>
    <t>Allar</t>
  </si>
  <si>
    <t>all</t>
  </si>
  <si>
    <t>alla1248</t>
  </si>
  <si>
    <t>avik1242</t>
  </si>
  <si>
    <t>Alladian</t>
  </si>
  <si>
    <t>ald</t>
  </si>
  <si>
    <t>alla1249</t>
  </si>
  <si>
    <t>lari1255</t>
  </si>
  <si>
    <t>Allang</t>
  </si>
  <si>
    <t>alla1250</t>
  </si>
  <si>
    <t>midd1358</t>
  </si>
  <si>
    <t>Allaikha</t>
  </si>
  <si>
    <t>alle1238</t>
  </si>
  <si>
    <t>huar1251</t>
  </si>
  <si>
    <t>Allentiac</t>
  </si>
  <si>
    <t>alll1234</t>
  </si>
  <si>
    <t>neda1234</t>
  </si>
  <si>
    <t>√Öl</t>
  </si>
  <si>
    <t>almu1234</t>
  </si>
  <si>
    <t>sout3119</t>
  </si>
  <si>
    <t>al-Murrah-Ajman</t>
  </si>
  <si>
    <t>alng1239</t>
  </si>
  <si>
    <t>leni1237</t>
  </si>
  <si>
    <t>Alngith</t>
  </si>
  <si>
    <t>aid</t>
  </si>
  <si>
    <t>aloa1235</t>
  </si>
  <si>
    <t>nort2987</t>
  </si>
  <si>
    <t>Alo√°pam Zapotec</t>
  </si>
  <si>
    <t>zaq</t>
  </si>
  <si>
    <t>aloa1239</t>
  </si>
  <si>
    <t>kwan1285</t>
  </si>
  <si>
    <t>Aloa</t>
  </si>
  <si>
    <t>alop1235</t>
  </si>
  <si>
    <t>phol1236</t>
  </si>
  <si>
    <t>Alo Phola</t>
  </si>
  <si>
    <t>ypo</t>
  </si>
  <si>
    <t>alor1246</t>
  </si>
  <si>
    <t>nort2816</t>
  </si>
  <si>
    <t>Alor (Nilotic)</t>
  </si>
  <si>
    <t>alor1247</t>
  </si>
  <si>
    <t>lama1293</t>
  </si>
  <si>
    <t>Alorese</t>
  </si>
  <si>
    <t>aol</t>
  </si>
  <si>
    <t>alor1249</t>
  </si>
  <si>
    <t>Alor-Pantar</t>
  </si>
  <si>
    <t>Alor</t>
  </si>
  <si>
    <t>alpi1238</t>
  </si>
  <si>
    <t>lomb1257</t>
  </si>
  <si>
    <t>Alpine Lombard</t>
  </si>
  <si>
    <t>alqo1238</t>
  </si>
  <si>
    <t>chal1275</t>
  </si>
  <si>
    <t>Alqosh</t>
  </si>
  <si>
    <t>alsa1241</t>
  </si>
  <si>
    <t>lowa1241</t>
  </si>
  <si>
    <t>Alsatian</t>
  </si>
  <si>
    <t>alsa1242</t>
  </si>
  <si>
    <t>Al-Sayyid Bedouin Sign Language</t>
  </si>
  <si>
    <t>syy</t>
  </si>
  <si>
    <t>IL</t>
  </si>
  <si>
    <t>alse1251</t>
  </si>
  <si>
    <t>Alsea-Yaquina</t>
  </si>
  <si>
    <t>aes</t>
  </si>
  <si>
    <t>alse1252</t>
  </si>
  <si>
    <t>Alsea</t>
  </si>
  <si>
    <t>alta1277</t>
  </si>
  <si>
    <t>sout2694</t>
  </si>
  <si>
    <t>Altai Proper</t>
  </si>
  <si>
    <t>alta1279</t>
  </si>
  <si>
    <t>oira1262</t>
  </si>
  <si>
    <t>Altai Torguud</t>
  </si>
  <si>
    <t>alta1280</t>
  </si>
  <si>
    <t>Altai Uriankhai</t>
  </si>
  <si>
    <t>alto1237</t>
  </si>
  <si>
    <t>Alto Navarro Meridional</t>
  </si>
  <si>
    <t>alto1238</t>
  </si>
  <si>
    <t>Alto Navarro Septentrional</t>
  </si>
  <si>
    <t>alto1249</t>
  </si>
  <si>
    <t>nort2990</t>
  </si>
  <si>
    <t>Alto Orinoco</t>
  </si>
  <si>
    <t>alto1250</t>
  </si>
  <si>
    <t>inla1264</t>
  </si>
  <si>
    <t>Alto Negro</t>
  </si>
  <si>
    <t>alts1234</t>
  </si>
  <si>
    <t>nort3175</t>
  </si>
  <si>
    <t>Alts√§chsisch</t>
  </si>
  <si>
    <t>alug1235</t>
  </si>
  <si>
    <t>phup1236</t>
  </si>
  <si>
    <t>Alugu</t>
  </si>
  <si>
    <t>aub</t>
  </si>
  <si>
    <t>aluk1238</t>
  </si>
  <si>
    <t>kann1259</t>
  </si>
  <si>
    <t>Alu Kurumba</t>
  </si>
  <si>
    <t>xua</t>
  </si>
  <si>
    <t>aluk1239</t>
  </si>
  <si>
    <t>ndyu1242</t>
  </si>
  <si>
    <t>Aluku</t>
  </si>
  <si>
    <t>alum1246</t>
  </si>
  <si>
    <t>Alumu-Tesu</t>
  </si>
  <si>
    <t>aab</t>
  </si>
  <si>
    <t>alum1247</t>
  </si>
  <si>
    <t>Alumu</t>
  </si>
  <si>
    <t>alum1248</t>
  </si>
  <si>
    <t>taga1273</t>
  </si>
  <si>
    <t>Alumbis</t>
  </si>
  <si>
    <t>alum1249</t>
  </si>
  <si>
    <t>Alumic</t>
  </si>
  <si>
    <t>alum1250</t>
  </si>
  <si>
    <t>Alumu-Toro</t>
  </si>
  <si>
    <t>Alumu-Akpondu</t>
  </si>
  <si>
    <t>alun1238</t>
  </si>
  <si>
    <t>ulat1237</t>
  </si>
  <si>
    <t>Alune</t>
  </si>
  <si>
    <t>alp</t>
  </si>
  <si>
    <t>aluo1235</t>
  </si>
  <si>
    <t>unun9956</t>
  </si>
  <si>
    <t>Aluo</t>
  </si>
  <si>
    <t>yna</t>
  </si>
  <si>
    <t>alur1249</t>
  </si>
  <si>
    <t>Aluru</t>
  </si>
  <si>
    <t>CD UG</t>
  </si>
  <si>
    <t>alut1245</t>
  </si>
  <si>
    <t>chuk1271</t>
  </si>
  <si>
    <t>kory1247</t>
  </si>
  <si>
    <t>Alutor</t>
  </si>
  <si>
    <t>alr</t>
  </si>
  <si>
    <t>alut1246</t>
  </si>
  <si>
    <t>Alutorskij</t>
  </si>
  <si>
    <t>aluu1242</t>
  </si>
  <si>
    <t>Aluu</t>
  </si>
  <si>
    <t>aluu1243</t>
  </si>
  <si>
    <t>mono1273</t>
  </si>
  <si>
    <t>Alu</t>
  </si>
  <si>
    <t>alvi1241</t>
  </si>
  <si>
    <t>sout3177</t>
  </si>
  <si>
    <t>Alviri-Vidari</t>
  </si>
  <si>
    <t>avd</t>
  </si>
  <si>
    <t>IR</t>
  </si>
  <si>
    <t>alvi1242</t>
  </si>
  <si>
    <t>Alvir</t>
  </si>
  <si>
    <t>alya1239</t>
  </si>
  <si>
    <t>Alyawarr</t>
  </si>
  <si>
    <t>aly</t>
  </si>
  <si>
    <t>alyk1238</t>
  </si>
  <si>
    <t>kryt1240</t>
  </si>
  <si>
    <t>Alyk</t>
  </si>
  <si>
    <t>amad1240</t>
  </si>
  <si>
    <t>Amadiye</t>
  </si>
  <si>
    <t>amad1244</t>
  </si>
  <si>
    <t>lish1247</t>
  </si>
  <si>
    <t>Amadiya</t>
  </si>
  <si>
    <t>amah1245</t>
  </si>
  <si>
    <t>elpa1239</t>
  </si>
  <si>
    <t>Amahai</t>
  </si>
  <si>
    <t>amq</t>
  </si>
  <si>
    <t>amah1246</t>
  </si>
  <si>
    <t>pano1259</t>
  </si>
  <si>
    <t>head1239</t>
  </si>
  <si>
    <t>Amahuaca</t>
  </si>
  <si>
    <t>amc</t>
  </si>
  <si>
    <t>BR PE</t>
  </si>
  <si>
    <t>amai1246</t>
  </si>
  <si>
    <t>croi1234</t>
  </si>
  <si>
    <t>Amaimon</t>
  </si>
  <si>
    <t>ali</t>
  </si>
  <si>
    <t>amai1247</t>
  </si>
  <si>
    <t>dano1240</t>
  </si>
  <si>
    <t>Amaizuho</t>
  </si>
  <si>
    <t>amal1242</t>
  </si>
  <si>
    <t>Amal</t>
  </si>
  <si>
    <t>aad</t>
  </si>
  <si>
    <t>amal1243</t>
  </si>
  <si>
    <t>thre1238</t>
  </si>
  <si>
    <t>Amalumute</t>
  </si>
  <si>
    <t>nort3255</t>
  </si>
  <si>
    <t>amam1246</t>
  </si>
  <si>
    <t>goil1242</t>
  </si>
  <si>
    <t>weri1254</t>
  </si>
  <si>
    <t>Amam</t>
  </si>
  <si>
    <t>amam1247</t>
  </si>
  <si>
    <t>Amami O Shima Sign Language</t>
  </si>
  <si>
    <t>aman1261</t>
  </si>
  <si>
    <t>batu1255</t>
  </si>
  <si>
    <t>Amanda-Afi</t>
  </si>
  <si>
    <t>aman1262</t>
  </si>
  <si>
    <t>eman1238</t>
  </si>
  <si>
    <t>Amanavil</t>
  </si>
  <si>
    <t>aman1263</t>
  </si>
  <si>
    <t>mand1469</t>
  </si>
  <si>
    <t>east2426</t>
  </si>
  <si>
    <t>Amana</t>
  </si>
  <si>
    <t>aman1264</t>
  </si>
  <si>
    <t>uabm1237</t>
  </si>
  <si>
    <t>Amanuban-Amanatun</t>
  </si>
  <si>
    <t>aman1265</t>
  </si>
  <si>
    <t>wari1265</t>
  </si>
  <si>
    <t>Amanab</t>
  </si>
  <si>
    <t>amn</t>
  </si>
  <si>
    <t>aman1266</t>
  </si>
  <si>
    <t>araw1290</t>
  </si>
  <si>
    <t>Amanay√©</t>
  </si>
  <si>
    <t>ama</t>
  </si>
  <si>
    <t>amap1240</t>
  </si>
  <si>
    <t>left1242</t>
  </si>
  <si>
    <t>nucl1244</t>
  </si>
  <si>
    <t>Ama (Papua New Guinea)</t>
  </si>
  <si>
    <t>amm</t>
  </si>
  <si>
    <t>amap1241</t>
  </si>
  <si>
    <t>Amap√° Creole</t>
  </si>
  <si>
    <t>amd</t>
  </si>
  <si>
    <t>amar1241</t>
  </si>
  <si>
    <t>wapi1253</t>
  </si>
  <si>
    <t>Amariba</t>
  </si>
  <si>
    <t>amar1271</t>
  </si>
  <si>
    <t>iwai1246</t>
  </si>
  <si>
    <t>Amurdak</t>
  </si>
  <si>
    <t>amg</t>
  </si>
  <si>
    <t>amar1272</t>
  </si>
  <si>
    <t>sout2874</t>
  </si>
  <si>
    <t>Amara</t>
  </si>
  <si>
    <t>aie</t>
  </si>
  <si>
    <t>amar1273</t>
  </si>
  <si>
    <t>uabm1238</t>
  </si>
  <si>
    <t>Amarasi</t>
  </si>
  <si>
    <t>aaz</t>
  </si>
  <si>
    <t>amar1274</t>
  </si>
  <si>
    <t>hara1260</t>
  </si>
  <si>
    <t>Amarakaeri</t>
  </si>
  <si>
    <t>amr</t>
  </si>
  <si>
    <t>amar1275</t>
  </si>
  <si>
    <t>cuib1242</t>
  </si>
  <si>
    <t>Amaruwa</t>
  </si>
  <si>
    <t>amar1281</t>
  </si>
  <si>
    <t>Amara (Beja)</t>
  </si>
  <si>
    <t>amas1236</t>
  </si>
  <si>
    <t>Ama (Sudan)</t>
  </si>
  <si>
    <t>nyi</t>
  </si>
  <si>
    <t>amat1238</t>
  </si>
  <si>
    <t>sout3003</t>
  </si>
  <si>
    <t>Amatl√°n Zapotec</t>
  </si>
  <si>
    <t>zpo</t>
  </si>
  <si>
    <t>amay1238</t>
  </si>
  <si>
    <t>Amayo</t>
  </si>
  <si>
    <t>amba1263</t>
  </si>
  <si>
    <t>komo1265</t>
  </si>
  <si>
    <t>Amba (Uganda)</t>
  </si>
  <si>
    <t>rwm</t>
  </si>
  <si>
    <t>amba1264</t>
  </si>
  <si>
    <t>kend1254</t>
  </si>
  <si>
    <t>Ambawang</t>
  </si>
  <si>
    <t>amba1265</t>
  </si>
  <si>
    <t>ansu1238</t>
  </si>
  <si>
    <t>Ambai</t>
  </si>
  <si>
    <t>amk</t>
  </si>
  <si>
    <t>amba1266</t>
  </si>
  <si>
    <t>utup1238</t>
  </si>
  <si>
    <t>Amba (Solomon Islands)</t>
  </si>
  <si>
    <t>utp</t>
  </si>
  <si>
    <t>SB</t>
  </si>
  <si>
    <t>amba1267</t>
  </si>
  <si>
    <t>Ambala Ayta</t>
  </si>
  <si>
    <t>abc</t>
  </si>
  <si>
    <t>amba1268</t>
  </si>
  <si>
    <t>bina1277</t>
  </si>
  <si>
    <t>Ambasi</t>
  </si>
  <si>
    <t>amba1269</t>
  </si>
  <si>
    <t>Ambakich</t>
  </si>
  <si>
    <t>aew</t>
  </si>
  <si>
    <t>amba1270</t>
  </si>
  <si>
    <t>nort3205</t>
  </si>
  <si>
    <t>Ambae</t>
  </si>
  <si>
    <t>ambe1246</t>
  </si>
  <si>
    <t>uncl1493</t>
  </si>
  <si>
    <t>Ambermo</t>
  </si>
  <si>
    <t>ambe1247</t>
  </si>
  <si>
    <t>wide1239</t>
  </si>
  <si>
    <t>Ambele</t>
  </si>
  <si>
    <t>ael</t>
  </si>
  <si>
    <t>ambe1248</t>
  </si>
  <si>
    <t>west2817</t>
  </si>
  <si>
    <t>Ambelau</t>
  </si>
  <si>
    <t>amv</t>
  </si>
  <si>
    <t>ambe1249</t>
  </si>
  <si>
    <t>raja1255</t>
  </si>
  <si>
    <t>Ambel-Biga</t>
  </si>
  <si>
    <t>ambl1237</t>
  </si>
  <si>
    <t>sout3194</t>
  </si>
  <si>
    <t>Amblong</t>
  </si>
  <si>
    <t>alm</t>
  </si>
  <si>
    <t>ambo1247</t>
  </si>
  <si>
    <t>vasa1239</t>
  </si>
  <si>
    <t>Ambodi</t>
  </si>
  <si>
    <t>ambo1248</t>
  </si>
  <si>
    <t>Ambo (Lala-Bisa)</t>
  </si>
  <si>
    <t>ambo1249</t>
  </si>
  <si>
    <t>Ambo</t>
  </si>
  <si>
    <t>amb</t>
  </si>
  <si>
    <t>ambo1250</t>
  </si>
  <si>
    <t>ambo1253</t>
  </si>
  <si>
    <t>Ambonese Malay</t>
  </si>
  <si>
    <t>abs</t>
  </si>
  <si>
    <t>ambo1252</t>
  </si>
  <si>
    <t>yaru1256</t>
  </si>
  <si>
    <t>Ambo-Pasco Quechua</t>
  </si>
  <si>
    <t>qva</t>
  </si>
  <si>
    <t>east2743</t>
  </si>
  <si>
    <t>Ambonic Malay</t>
  </si>
  <si>
    <t>ambo1254</t>
  </si>
  <si>
    <t>sera1270</t>
  </si>
  <si>
    <t>Ambonic</t>
  </si>
  <si>
    <t>ambr1239</t>
  </si>
  <si>
    <t>yang1294</t>
  </si>
  <si>
    <t>Ambrak</t>
  </si>
  <si>
    <t>aag</t>
  </si>
  <si>
    <t>ambr1240</t>
  </si>
  <si>
    <t>cent2269</t>
  </si>
  <si>
    <t>Ambrym</t>
  </si>
  <si>
    <t>ambu1244</t>
  </si>
  <si>
    <t>Ambumi</t>
  </si>
  <si>
    <t>ambu1245</t>
  </si>
  <si>
    <t>keni1249</t>
  </si>
  <si>
    <t>Ambual</t>
  </si>
  <si>
    <t>ambu1246</t>
  </si>
  <si>
    <t>nduu1242</t>
  </si>
  <si>
    <t>nucl1642</t>
  </si>
  <si>
    <t>Ambulas-Hanga-Hundi</t>
  </si>
  <si>
    <t>ambu1247</t>
  </si>
  <si>
    <t>Ambulas</t>
  </si>
  <si>
    <t>abt</t>
  </si>
  <si>
    <t>amda1238</t>
  </si>
  <si>
    <t>fura1235</t>
  </si>
  <si>
    <t>Amdang</t>
  </si>
  <si>
    <t>amj</t>
  </si>
  <si>
    <t>TD</t>
  </si>
  <si>
    <t>amdo1237</t>
  </si>
  <si>
    <t>tibe1276</t>
  </si>
  <si>
    <t>Amdo Tibetan</t>
  </si>
  <si>
    <t>adx</t>
  </si>
  <si>
    <t>amdo1238</t>
  </si>
  <si>
    <t>west2413</t>
  </si>
  <si>
    <t>Amdo of Hor</t>
  </si>
  <si>
    <t>amel1241</t>
  </si>
  <si>
    <t>gumm1240</t>
  </si>
  <si>
    <t>Amele</t>
  </si>
  <si>
    <t>aey</t>
  </si>
  <si>
    <t>amem1235</t>
  </si>
  <si>
    <t>west2434</t>
  </si>
  <si>
    <t>waga1259</t>
  </si>
  <si>
    <t>Ame-Manda</t>
  </si>
  <si>
    <t>amen1242</t>
  </si>
  <si>
    <t>wasa1244</t>
  </si>
  <si>
    <t>Amenfi</t>
  </si>
  <si>
    <t>amen1243</t>
  </si>
  <si>
    <t>Amengi</t>
  </si>
  <si>
    <t>amer1248</t>
  </si>
  <si>
    <t>amer1258</t>
  </si>
  <si>
    <t>American Sign Language</t>
  </si>
  <si>
    <t>ase</t>
  </si>
  <si>
    <t>BB BF BJ BO CA CD CF CI CN GA GH JM KE MG MR NG PH SG TD TG US ZW</t>
  </si>
  <si>
    <t>amer1254</t>
  </si>
  <si>
    <t>American Spanish</t>
  </si>
  <si>
    <t>amer1255</t>
  </si>
  <si>
    <t>pidg1258</t>
  </si>
  <si>
    <t>engl1287</t>
  </si>
  <si>
    <t>American Indian Pidgin English</t>
  </si>
  <si>
    <t>amer1256</t>
  </si>
  <si>
    <t>Amerax</t>
  </si>
  <si>
    <t>aex</t>
  </si>
  <si>
    <t>asli1244</t>
  </si>
  <si>
    <t>American Sign</t>
  </si>
  <si>
    <t>amer1259</t>
  </si>
  <si>
    <t>sout3302</t>
  </si>
  <si>
    <t>American Inland South English</t>
  </si>
  <si>
    <t>amfo1237</t>
  </si>
  <si>
    <t>Amfoan-Fatule'u-Amabi</t>
  </si>
  <si>
    <t>amga1235</t>
  </si>
  <si>
    <t>ifug1247</t>
  </si>
  <si>
    <t>Amganad Ifugao</t>
  </si>
  <si>
    <t>ifa</t>
  </si>
  <si>
    <t>amha1244</t>
  </si>
  <si>
    <t>tran1288</t>
  </si>
  <si>
    <t>Amharic-Argobba</t>
  </si>
  <si>
    <t>Amharic</t>
  </si>
  <si>
    <t>DJ ET</t>
  </si>
  <si>
    <t>amie1238</t>
  </si>
  <si>
    <t>pica1241</t>
  </si>
  <si>
    <t>Amienois</t>
  </si>
  <si>
    <t>amii1238</t>
  </si>
  <si>
    <t>amy</t>
  </si>
  <si>
    <t>amik1238</t>
  </si>
  <si>
    <t>Amikoana</t>
  </si>
  <si>
    <t>akn</t>
  </si>
  <si>
    <t>amis1245</t>
  </si>
  <si>
    <t>penn1240</t>
  </si>
  <si>
    <t>Amish Pennsylvania German</t>
  </si>
  <si>
    <t>cent2103</t>
  </si>
  <si>
    <t>TW</t>
  </si>
  <si>
    <t>ammo1234</t>
  </si>
  <si>
    <t>Ammonite</t>
  </si>
  <si>
    <t>qgg</t>
  </si>
  <si>
    <t>JO</t>
  </si>
  <si>
    <t>amoi1234</t>
  </si>
  <si>
    <t>tupi1273</t>
  </si>
  <si>
    <t>Amoipira</t>
  </si>
  <si>
    <t>amol1235</t>
  </si>
  <si>
    <t>brag1241</t>
  </si>
  <si>
    <t>Mol</t>
  </si>
  <si>
    <t>alx</t>
  </si>
  <si>
    <t>amol1236</t>
  </si>
  <si>
    <t>Amoltepec Mixtec</t>
  </si>
  <si>
    <t>mbz</t>
  </si>
  <si>
    <t>amon1239</t>
  </si>
  <si>
    <t>dama1272</t>
  </si>
  <si>
    <t>Amongme</t>
  </si>
  <si>
    <t>amon1240</t>
  </si>
  <si>
    <t>kawa1293</t>
  </si>
  <si>
    <t>Amondava-Uru-Eu-Wau-Wau</t>
  </si>
  <si>
    <t>amoo1242</t>
  </si>
  <si>
    <t>josa1234</t>
  </si>
  <si>
    <t>Amo</t>
  </si>
  <si>
    <t>amo</t>
  </si>
  <si>
    <t>amor1238</t>
  </si>
  <si>
    <t>Amorua</t>
  </si>
  <si>
    <t>amor1239</t>
  </si>
  <si>
    <t>uncl1507</t>
  </si>
  <si>
    <t>Amorite</t>
  </si>
  <si>
    <t>SY</t>
  </si>
  <si>
    <t>amot1239</t>
  </si>
  <si>
    <t>Amotomanco</t>
  </si>
  <si>
    <t>amot1240</t>
  </si>
  <si>
    <t>manu1261</t>
  </si>
  <si>
    <t>mari1438</t>
  </si>
  <si>
    <t>Amota</t>
  </si>
  <si>
    <t>amou1238</t>
  </si>
  <si>
    <t>ikpo1238</t>
  </si>
  <si>
    <t>Amou Oblou</t>
  </si>
  <si>
    <t>ampa1238</t>
  </si>
  <si>
    <t>west2779</t>
  </si>
  <si>
    <t>Ampari Dogon</t>
  </si>
  <si>
    <t>aqd</t>
  </si>
  <si>
    <t>ML</t>
  </si>
  <si>
    <t>ampa1239</t>
  </si>
  <si>
    <t>bari1287</t>
  </si>
  <si>
    <t>Ampanang</t>
  </si>
  <si>
    <t>apg</t>
  </si>
  <si>
    <t>ampe1238</t>
  </si>
  <si>
    <t>ladi1250</t>
  </si>
  <si>
    <t>Ampezzano</t>
  </si>
  <si>
    <t>ampi1237</t>
  </si>
  <si>
    <t>lauj1238</t>
  </si>
  <si>
    <t>Ampibabo</t>
  </si>
  <si>
    <t>amra1237</t>
  </si>
  <si>
    <t>nort2702</t>
  </si>
  <si>
    <t>Amravati</t>
  </si>
  <si>
    <t>amri1238</t>
  </si>
  <si>
    <t>karb1240</t>
  </si>
  <si>
    <t>Amri Karbi</t>
  </si>
  <si>
    <t>ajz</t>
  </si>
  <si>
    <t>amru1234</t>
  </si>
  <si>
    <t>fohr1234</t>
  </si>
  <si>
    <t>Amrum</t>
  </si>
  <si>
    <t>amto1249</t>
  </si>
  <si>
    <t>Amto-Musan</t>
  </si>
  <si>
    <t>amto1250</t>
  </si>
  <si>
    <t>Amto</t>
  </si>
  <si>
    <t>amt</t>
  </si>
  <si>
    <t>amub1238</t>
  </si>
  <si>
    <t>brib1243</t>
  </si>
  <si>
    <t>Amubre-Katsi</t>
  </si>
  <si>
    <t>amug1239</t>
  </si>
  <si>
    <t>onoo1246</t>
  </si>
  <si>
    <t>Amugen</t>
  </si>
  <si>
    <t>amun1244</t>
  </si>
  <si>
    <t>lawu1237</t>
  </si>
  <si>
    <t>Amun</t>
  </si>
  <si>
    <t>amun1245</t>
  </si>
  <si>
    <t>Amung</t>
  </si>
  <si>
    <t>amun1246</t>
  </si>
  <si>
    <t>Amundava</t>
  </si>
  <si>
    <t>adw</t>
  </si>
  <si>
    <t>amur1242</t>
  </si>
  <si>
    <t>Amur</t>
  </si>
  <si>
    <t>amur1243</t>
  </si>
  <si>
    <t>gong1255</t>
  </si>
  <si>
    <t>boro1277</t>
  </si>
  <si>
    <t>Amuru</t>
  </si>
  <si>
    <t>amuu1238</t>
  </si>
  <si>
    <t>swah1253</t>
  </si>
  <si>
    <t>Amu</t>
  </si>
  <si>
    <t>amux1234</t>
  </si>
  <si>
    <t>uppe1463</t>
  </si>
  <si>
    <t>Amux</t>
  </si>
  <si>
    <t>amuz1253</t>
  </si>
  <si>
    <t>east2557</t>
  </si>
  <si>
    <t>Amuzgo-Mixtecan</t>
  </si>
  <si>
    <t>amuz1254</t>
  </si>
  <si>
    <t>Amuzgoan</t>
  </si>
  <si>
    <t>efik1244</t>
  </si>
  <si>
    <t>Anaang</t>
  </si>
  <si>
    <t>anw</t>
  </si>
  <si>
    <t>anaa1239</t>
  </si>
  <si>
    <t>naro1248</t>
  </si>
  <si>
    <t>Ana</t>
  </si>
  <si>
    <t>anak1240</t>
  </si>
  <si>
    <t>cent2307</t>
  </si>
  <si>
    <t>Anakalangu</t>
  </si>
  <si>
    <t>akg</t>
  </si>
  <si>
    <t>anal1239</t>
  </si>
  <si>
    <t>Anal</t>
  </si>
  <si>
    <t>anm</t>
  </si>
  <si>
    <t>IN MM</t>
  </si>
  <si>
    <t>anam1247</t>
  </si>
  <si>
    <t>pomo1272</t>
  </si>
  <si>
    <t>Anam</t>
  </si>
  <si>
    <t>pda</t>
  </si>
  <si>
    <t>anam1248</t>
  </si>
  <si>
    <t>anam1250</t>
  </si>
  <si>
    <t>Anamuxra</t>
  </si>
  <si>
    <t>imi</t>
  </si>
  <si>
    <t>anam1249</t>
  </si>
  <si>
    <t>Anamb√©</t>
  </si>
  <si>
    <t>aan</t>
  </si>
  <si>
    <t>Anamuxric</t>
  </si>
  <si>
    <t>anam1251</t>
  </si>
  <si>
    <t>guaj1256</t>
  </si>
  <si>
    <t>Anambe of Ehrenreich</t>
  </si>
  <si>
    <t>anan1238</t>
  </si>
  <si>
    <t>Ananjubi</t>
  </si>
  <si>
    <t>anar1241</t>
  </si>
  <si>
    <t>nayi1242</t>
  </si>
  <si>
    <t>Anarak</t>
  </si>
  <si>
    <t>anar1243</t>
  </si>
  <si>
    <t>Anarya</t>
  </si>
  <si>
    <t>anas1239</t>
  </si>
  <si>
    <t>Anasi</t>
  </si>
  <si>
    <t>bpo</t>
  </si>
  <si>
    <t>anat1247</t>
  </si>
  <si>
    <t>chuv1255</t>
  </si>
  <si>
    <t>Anatri</t>
  </si>
  <si>
    <t>anat1248</t>
  </si>
  <si>
    <t>yand1256</t>
  </si>
  <si>
    <t>Ana Tinga Dogon</t>
  </si>
  <si>
    <t>dti</t>
  </si>
  <si>
    <t>anat1252</t>
  </si>
  <si>
    <t>nort3098</t>
  </si>
  <si>
    <t>Anatolia</t>
  </si>
  <si>
    <t>anat1256</t>
  </si>
  <si>
    <t>meso1252</t>
  </si>
  <si>
    <t>Anatolian Cluster</t>
  </si>
  <si>
    <t>anat1257</t>
  </si>
  <si>
    <t>Anatolian</t>
  </si>
  <si>
    <t>anat1259</t>
  </si>
  <si>
    <t>Anatolian Turkish</t>
  </si>
  <si>
    <t>anat1260</t>
  </si>
  <si>
    <t>Anatolian Bulgarian</t>
  </si>
  <si>
    <t>anau1242</t>
  </si>
  <si>
    <t>Anauli</t>
  </si>
  <si>
    <t>anau1243</t>
  </si>
  <si>
    <t>Anauy√°</t>
  </si>
  <si>
    <t>anca1236</t>
  </si>
  <si>
    <t>√Ånc√°</t>
  </si>
  <si>
    <t>acb</t>
  </si>
  <si>
    <t>anca1243</t>
  </si>
  <si>
    <t>teng1267</t>
  </si>
  <si>
    <t>Ancalong Kutai</t>
  </si>
  <si>
    <t>anch1238</t>
  </si>
  <si>
    <t>kara1474</t>
  </si>
  <si>
    <t>Anchix</t>
  </si>
  <si>
    <t>anch1239</t>
  </si>
  <si>
    <t>west2532</t>
  </si>
  <si>
    <t>Anchorite</t>
  </si>
  <si>
    <t>anch1240</t>
  </si>
  <si>
    <t>Ancho</t>
  </si>
  <si>
    <t>east2798</t>
  </si>
  <si>
    <t>Ancient Greek</t>
  </si>
  <si>
    <t>grc</t>
  </si>
  <si>
    <t>GR</t>
  </si>
  <si>
    <t>anci1244</t>
  </si>
  <si>
    <t>hebr1246</t>
  </si>
  <si>
    <t>Ancient Hebrew</t>
  </si>
  <si>
    <t>hbo</t>
  </si>
  <si>
    <t>anci1245</t>
  </si>
  <si>
    <t>arab1394</t>
  </si>
  <si>
    <t>Ancient North Arabian</t>
  </si>
  <si>
    <t>xna</t>
  </si>
  <si>
    <t>anci1248</t>
  </si>
  <si>
    <t>Ancient Ligurian</t>
  </si>
  <si>
    <t>xlg</t>
  </si>
  <si>
    <t>IT</t>
  </si>
  <si>
    <t>ancu1238</t>
  </si>
  <si>
    <t>avar1256</t>
  </si>
  <si>
    <t>Ancux</t>
  </si>
  <si>
    <t>anda1279</t>
  </si>
  <si>
    <t>Andalusian</t>
  </si>
  <si>
    <t>anda1280</t>
  </si>
  <si>
    <t>hind1270</t>
  </si>
  <si>
    <t>Andaman Creole Hindi</t>
  </si>
  <si>
    <t>hca</t>
  </si>
  <si>
    <t>anda1281</t>
  </si>
  <si>
    <t>Andalal-Gxdatl</t>
  </si>
  <si>
    <t>anda1282</t>
  </si>
  <si>
    <t>Andadjin</t>
  </si>
  <si>
    <t>anda1283</t>
  </si>
  <si>
    <t>araf1243</t>
  </si>
  <si>
    <t>Andai</t>
  </si>
  <si>
    <t>afd</t>
  </si>
  <si>
    <t>anda1284</t>
  </si>
  <si>
    <t>tang1354</t>
  </si>
  <si>
    <t>Andarum</t>
  </si>
  <si>
    <t>aod</t>
  </si>
  <si>
    <t>anda1285</t>
  </si>
  <si>
    <t>Andahuaylas</t>
  </si>
  <si>
    <t>anda1286</t>
  </si>
  <si>
    <t>Andaqui</t>
  </si>
  <si>
    <t>ana</t>
  </si>
  <si>
    <t>anda1287</t>
  </si>
  <si>
    <t>moro1295</t>
  </si>
  <si>
    <t>Andalusian Arabic</t>
  </si>
  <si>
    <t>xaa</t>
  </si>
  <si>
    <t>ES</t>
  </si>
  <si>
    <t>ande1246</t>
  </si>
  <si>
    <t>korr1238</t>
  </si>
  <si>
    <t>Ande</t>
  </si>
  <si>
    <t>ande1247</t>
  </si>
  <si>
    <t>Andegerebinha</t>
  </si>
  <si>
    <t>adg</t>
  </si>
  <si>
    <t>ande1248</t>
  </si>
  <si>
    <t>Andelale</t>
  </si>
  <si>
    <t>andh1241</t>
  </si>
  <si>
    <t>lamb1269</t>
  </si>
  <si>
    <t>Andhra Pradesh Lamani</t>
  </si>
  <si>
    <t>mara1416</t>
  </si>
  <si>
    <t>anr</t>
  </si>
  <si>
    <t>andi1253</t>
  </si>
  <si>
    <t>nort2645</t>
  </si>
  <si>
    <t>Andimeshki</t>
  </si>
  <si>
    <t>avar1255</t>
  </si>
  <si>
    <t>Andic</t>
  </si>
  <si>
    <t>andi1255</t>
  </si>
  <si>
    <t>Andi</t>
  </si>
  <si>
    <t>ani</t>
  </si>
  <si>
    <t>andi1256</t>
  </si>
  <si>
    <t>mang1396</t>
  </si>
  <si>
    <t>Andinai</t>
  </si>
  <si>
    <t>andi1257</t>
  </si>
  <si>
    <t>west2571</t>
  </si>
  <si>
    <t>Andio</t>
  </si>
  <si>
    <t>bzb</t>
  </si>
  <si>
    <t>ando1254</t>
  </si>
  <si>
    <t>huit1251</t>
  </si>
  <si>
    <t>unun9983</t>
  </si>
  <si>
    <t>Andoquero</t>
  </si>
  <si>
    <t>ando1255</t>
  </si>
  <si>
    <t>zapa1251</t>
  </si>
  <si>
    <t>arab1396</t>
  </si>
  <si>
    <t>Andoa</t>
  </si>
  <si>
    <t>anb</t>
  </si>
  <si>
    <t>ando1256</t>
  </si>
  <si>
    <t>Andoque</t>
  </si>
  <si>
    <t>ano</t>
  </si>
  <si>
    <t>ando1257</t>
  </si>
  <si>
    <t>Andoke</t>
  </si>
  <si>
    <t>andr1245</t>
  </si>
  <si>
    <t>sakk1239</t>
  </si>
  <si>
    <t>Chakpa</t>
  </si>
  <si>
    <t>andr1246</t>
  </si>
  <si>
    <t>Andro</t>
  </si>
  <si>
    <t>andr1247</t>
  </si>
  <si>
    <t>Andri</t>
  </si>
  <si>
    <t>andr1248</t>
  </si>
  <si>
    <t>east2460</t>
  </si>
  <si>
    <t>Andra-Hus</t>
  </si>
  <si>
    <t>anx</t>
  </si>
  <si>
    <t>anee1234</t>
  </si>
  <si>
    <t>bass1258</t>
  </si>
  <si>
    <t>Ane</t>
  </si>
  <si>
    <t>anei1239</t>
  </si>
  <si>
    <t>sout2868</t>
  </si>
  <si>
    <t>Aneityum</t>
  </si>
  <si>
    <t>aty</t>
  </si>
  <si>
    <t>anem1248</t>
  </si>
  <si>
    <t>yare1250</t>
  </si>
  <si>
    <t>dori1247</t>
  </si>
  <si>
    <t>Aneme Wake</t>
  </si>
  <si>
    <t>aby</t>
  </si>
  <si>
    <t>anem1249</t>
  </si>
  <si>
    <t>Anem</t>
  </si>
  <si>
    <t>anz</t>
  </si>
  <si>
    <t>aneu1237</t>
  </si>
  <si>
    <t>Aneuk Jamee</t>
  </si>
  <si>
    <t>anex1238</t>
  </si>
  <si>
    <t>Anexo</t>
  </si>
  <si>
    <t>anfi1235</t>
  </si>
  <si>
    <t>gong1256</t>
  </si>
  <si>
    <t>Anfillo</t>
  </si>
  <si>
    <t>myo</t>
  </si>
  <si>
    <t>anga1244</t>
  </si>
  <si>
    <t>anga1286</t>
  </si>
  <si>
    <t>Angami-Mao</t>
  </si>
  <si>
    <t>anga1312</t>
  </si>
  <si>
    <t>Angami-Pochuri</t>
  </si>
  <si>
    <t>anga1287</t>
  </si>
  <si>
    <t>Angami-Chokri</t>
  </si>
  <si>
    <t>Angami Naga</t>
  </si>
  <si>
    <t>njm</t>
  </si>
  <si>
    <t>Angan</t>
  </si>
  <si>
    <t>anga1290</t>
  </si>
  <si>
    <t>Angaataha</t>
  </si>
  <si>
    <t>agm</t>
  </si>
  <si>
    <t>anga1291</t>
  </si>
  <si>
    <t>kewa1249</t>
  </si>
  <si>
    <t>Sau-Angal-Kewa</t>
  </si>
  <si>
    <t>anga1292</t>
  </si>
  <si>
    <t>anga1314</t>
  </si>
  <si>
    <t>Angal Heneng</t>
  </si>
  <si>
    <t>akh</t>
  </si>
  <si>
    <t>anga1293</t>
  </si>
  <si>
    <t>Angal</t>
  </si>
  <si>
    <t>age</t>
  </si>
  <si>
    <t>anga1294</t>
  </si>
  <si>
    <t>Angal Enen</t>
  </si>
  <si>
    <t>aoe</t>
  </si>
  <si>
    <t>anga1311</t>
  </si>
  <si>
    <t>west2717</t>
  </si>
  <si>
    <t>Goemaic</t>
  </si>
  <si>
    <t>naga1409</t>
  </si>
  <si>
    <t>Angami-Ao</t>
  </si>
  <si>
    <t>anga1313</t>
  </si>
  <si>
    <t>Angal-Kewa</t>
  </si>
  <si>
    <t>Angal Mendi</t>
  </si>
  <si>
    <t>anga1315</t>
  </si>
  <si>
    <t>Angami Naga Sign Language</t>
  </si>
  <si>
    <t>anga1316</t>
  </si>
  <si>
    <t>leng1261</t>
  </si>
  <si>
    <t>leng1263</t>
  </si>
  <si>
    <t>Angait√©</t>
  </si>
  <si>
    <t>aqt</t>
  </si>
  <si>
    <t>ange1244</t>
  </si>
  <si>
    <t>Angevin</t>
  </si>
  <si>
    <t>angg1238</t>
  </si>
  <si>
    <t>yadh1238</t>
  </si>
  <si>
    <t>Angkamuthi</t>
  </si>
  <si>
    <t>avm</t>
  </si>
  <si>
    <t>angg1239</t>
  </si>
  <si>
    <t>yali1257</t>
  </si>
  <si>
    <t>Angguruk Yali</t>
  </si>
  <si>
    <t>yli</t>
  </si>
  <si>
    <t>angi1238</t>
  </si>
  <si>
    <t>mait1255</t>
  </si>
  <si>
    <t>Angika</t>
  </si>
  <si>
    <t>anp</t>
  </si>
  <si>
    <t>angk1246</t>
  </si>
  <si>
    <t>east2331</t>
  </si>
  <si>
    <t>Angkuic</t>
  </si>
  <si>
    <t>angk1247</t>
  </si>
  <si>
    <t>faiw1243</t>
  </si>
  <si>
    <t>Angkiyakmin</t>
  </si>
  <si>
    <t>angk1248</t>
  </si>
  <si>
    <t>sout2849</t>
  </si>
  <si>
    <t>Angkola-Mandailing</t>
  </si>
  <si>
    <t>angl1239</t>
  </si>
  <si>
    <t>roma1330</t>
  </si>
  <si>
    <t>Archaic Angloromani</t>
  </si>
  <si>
    <t>rme</t>
  </si>
  <si>
    <t>AU GB US ZA</t>
  </si>
  <si>
    <t>angl1242</t>
  </si>
  <si>
    <t>mona1241</t>
  </si>
  <si>
    <t>Anglo-Saxon Monastic Sign Language</t>
  </si>
  <si>
    <t>angl1258</t>
  </si>
  <si>
    <t>Anglo-Norman</t>
  </si>
  <si>
    <t>xno</t>
  </si>
  <si>
    <t>angl1262</t>
  </si>
  <si>
    <t>Anlo</t>
  </si>
  <si>
    <t>angl1263</t>
  </si>
  <si>
    <t>umir1236</t>
  </si>
  <si>
    <t>Anglat Agta</t>
  </si>
  <si>
    <t>angl1264</t>
  </si>
  <si>
    <t>Anglo-Frisian</t>
  </si>
  <si>
    <t>angl1265</t>
  </si>
  <si>
    <t>Anglic</t>
  </si>
  <si>
    <t>angl1266</t>
  </si>
  <si>
    <t>hani1248</t>
  </si>
  <si>
    <t>Angluo</t>
  </si>
  <si>
    <t>angl1267</t>
  </si>
  <si>
    <t>olde1238</t>
  </si>
  <si>
    <t>Anglian</t>
  </si>
  <si>
    <t>ango1253</t>
  </si>
  <si>
    <t>kusa1250</t>
  </si>
  <si>
    <t>Angole</t>
  </si>
  <si>
    <t>sena1264</t>
  </si>
  <si>
    <t>Angor</t>
  </si>
  <si>
    <t>ango1255</t>
  </si>
  <si>
    <t>lowe1423</t>
  </si>
  <si>
    <t>Angoram</t>
  </si>
  <si>
    <t>aog</t>
  </si>
  <si>
    <t>ango1256</t>
  </si>
  <si>
    <t>seco1241</t>
  </si>
  <si>
    <t>Angotero</t>
  </si>
  <si>
    <t>ango1257</t>
  </si>
  <si>
    <t>tune1260</t>
  </si>
  <si>
    <t>Angosturas Tunebo</t>
  </si>
  <si>
    <t>tnd</t>
  </si>
  <si>
    <t>ango1258</t>
  </si>
  <si>
    <t>lowe1440</t>
  </si>
  <si>
    <t>Angolar</t>
  </si>
  <si>
    <t>aoa</t>
  </si>
  <si>
    <t>ST</t>
  </si>
  <si>
    <t>angp1238</t>
  </si>
  <si>
    <t>kony1248</t>
  </si>
  <si>
    <t>Angphang</t>
  </si>
  <si>
    <t>angu1242</t>
  </si>
  <si>
    <t>angu1244</t>
  </si>
  <si>
    <t>Anguthimri</t>
  </si>
  <si>
    <t>awg</t>
  </si>
  <si>
    <t>angu1243</t>
  </si>
  <si>
    <t>Anguthimri-Yangathimri-Yuputhimri</t>
  </si>
  <si>
    <t>Anguthimri-Yangathimri</t>
  </si>
  <si>
    <t>angw1241</t>
  </si>
  <si>
    <t>Angwe (Batu)</t>
  </si>
  <si>
    <t>angw1242</t>
  </si>
  <si>
    <t>Angwe</t>
  </si>
  <si>
    <t>anha1238</t>
  </si>
  <si>
    <t>bidy1244</t>
  </si>
  <si>
    <t>Anhaqui</t>
  </si>
  <si>
    <t>anha1242</t>
  </si>
  <si>
    <t>cent2218</t>
  </si>
  <si>
    <t>Anhar</t>
  </si>
  <si>
    <t>anha1243</t>
  </si>
  <si>
    <t>nort3313</t>
  </si>
  <si>
    <t>Anhaltisch</t>
  </si>
  <si>
    <t>anhi1238</t>
  </si>
  <si>
    <t>turo1239</t>
  </si>
  <si>
    <t>Anhil</t>
  </si>
  <si>
    <t>Anii</t>
  </si>
  <si>
    <t>blo</t>
  </si>
  <si>
    <t>anii1246</t>
  </si>
  <si>
    <t>kxoe1242</t>
  </si>
  <si>
    <t>//Ani</t>
  </si>
  <si>
    <t>hnh</t>
  </si>
  <si>
    <t>BW</t>
  </si>
  <si>
    <t>anii1247</t>
  </si>
  <si>
    <t>kxoe1243</t>
  </si>
  <si>
    <t>||Ani</t>
  </si>
  <si>
    <t>anil1235</t>
  </si>
  <si>
    <t>phow1235</t>
  </si>
  <si>
    <t>Ani-Labo</t>
  </si>
  <si>
    <t>anim1239</t>
  </si>
  <si>
    <t>Animere</t>
  </si>
  <si>
    <t>anf</t>
  </si>
  <si>
    <t>Anim</t>
  </si>
  <si>
    <t>wubu1239</t>
  </si>
  <si>
    <t>Anindilyakwa</t>
  </si>
  <si>
    <t>anin1241</t>
  </si>
  <si>
    <t>kina1250</t>
  </si>
  <si>
    <t>Anini-Y</t>
  </si>
  <si>
    <t>anio1238</t>
  </si>
  <si>
    <t>Aniocha</t>
  </si>
  <si>
    <t>anip1235</t>
  </si>
  <si>
    <t>Ani Phowa</t>
  </si>
  <si>
    <t>ypn</t>
  </si>
  <si>
    <t>anir1237</t>
  </si>
  <si>
    <t>niwe1235</t>
  </si>
  <si>
    <t>Warwar Feni</t>
  </si>
  <si>
    <t>hrw</t>
  </si>
  <si>
    <t>aniw1237</t>
  </si>
  <si>
    <t>Aniwa</t>
  </si>
  <si>
    <t>aniz1234</t>
  </si>
  <si>
    <t>cent2224</t>
  </si>
  <si>
    <t>Anizah of the Syrian desert</t>
  </si>
  <si>
    <t>anja1238</t>
  </si>
  <si>
    <t>mind1258</t>
  </si>
  <si>
    <t>Anjam</t>
  </si>
  <si>
    <t>boj</t>
  </si>
  <si>
    <t>anja1239</t>
  </si>
  <si>
    <t>Anjagwa</t>
  </si>
  <si>
    <t>anju1241</t>
  </si>
  <si>
    <t>udih1248</t>
  </si>
  <si>
    <t>Anjuski</t>
  </si>
  <si>
    <t>anka1245</t>
  </si>
  <si>
    <t>saha1256</t>
  </si>
  <si>
    <t>wagi1247</t>
  </si>
  <si>
    <t>Anka</t>
  </si>
  <si>
    <t>anka1246</t>
  </si>
  <si>
    <t>sout3130</t>
  </si>
  <si>
    <t>Ankave</t>
  </si>
  <si>
    <t>aak</t>
  </si>
  <si>
    <t>anka1247</t>
  </si>
  <si>
    <t>Ankai</t>
  </si>
  <si>
    <t>ankp1238</t>
  </si>
  <si>
    <t>igal1242</t>
  </si>
  <si>
    <t>Ankpa</t>
  </si>
  <si>
    <t>anma1239</t>
  </si>
  <si>
    <t>Anmatyerre</t>
  </si>
  <si>
    <t>amx</t>
  </si>
  <si>
    <t>anoo1238</t>
  </si>
  <si>
    <t>Ano</t>
  </si>
  <si>
    <t>anor1241</t>
  </si>
  <si>
    <t>Anor</t>
  </si>
  <si>
    <t>anj</t>
  </si>
  <si>
    <t>ansb1234</t>
  </si>
  <si>
    <t>main1267</t>
  </si>
  <si>
    <t>Ansbacher-Neust√§dter-Coburger Franconian</t>
  </si>
  <si>
    <t>anse1238</t>
  </si>
  <si>
    <t>unun9901</t>
  </si>
  <si>
    <t>Anserma</t>
  </si>
  <si>
    <t>ans</t>
  </si>
  <si>
    <t>ansu1237</t>
  </si>
  <si>
    <t>Ansus</t>
  </si>
  <si>
    <t>and</t>
  </si>
  <si>
    <t>cent2277</t>
  </si>
  <si>
    <t>Ansus-Ambai</t>
  </si>
  <si>
    <t>anta1252</t>
  </si>
  <si>
    <t>braj1242</t>
  </si>
  <si>
    <t>Antarbedi</t>
  </si>
  <si>
    <t>unun9966</t>
  </si>
  <si>
    <t>Antakarinya</t>
  </si>
  <si>
    <t>anta1254</t>
  </si>
  <si>
    <t>more1255</t>
  </si>
  <si>
    <t>wara1294</t>
  </si>
  <si>
    <t>Anta</t>
  </si>
  <si>
    <t>anta1255</t>
  </si>
  <si>
    <t>nort3207</t>
  </si>
  <si>
    <t>Antankarana Malagasy</t>
  </si>
  <si>
    <t>xmv</t>
  </si>
  <si>
    <t>MG</t>
  </si>
  <si>
    <t>anta1256</t>
  </si>
  <si>
    <t>Antabamba</t>
  </si>
  <si>
    <t>anta1257</t>
  </si>
  <si>
    <t>areq1237</t>
  </si>
  <si>
    <t>Antabamba (Arequipa-La Union Quechua)</t>
  </si>
  <si>
    <t>ante1238</t>
  </si>
  <si>
    <t>Antekerrepenh</t>
  </si>
  <si>
    <t>anti1242</t>
  </si>
  <si>
    <t>unun9943</t>
  </si>
  <si>
    <t>Antioquian</t>
  </si>
  <si>
    <t>gull1242</t>
  </si>
  <si>
    <t>Antigua and Barbuda Creole English</t>
  </si>
  <si>
    <t>AG AI DM GB KN MS</t>
  </si>
  <si>
    <t>anti1246</t>
  </si>
  <si>
    <t>homs1234</t>
  </si>
  <si>
    <t>Antioch</t>
  </si>
  <si>
    <t>antw1238</t>
  </si>
  <si>
    <t>cent2353</t>
  </si>
  <si>
    <t>Antwerps</t>
  </si>
  <si>
    <t>nort2814</t>
  </si>
  <si>
    <t>Anuak</t>
  </si>
  <si>
    <t>anu</t>
  </si>
  <si>
    <t>ET SD</t>
  </si>
  <si>
    <t>anuf1239</t>
  </si>
  <si>
    <t>nort2767</t>
  </si>
  <si>
    <t>Anufo</t>
  </si>
  <si>
    <t>cko</t>
  </si>
  <si>
    <t>BJ GH TG</t>
  </si>
  <si>
    <t>anuk1239</t>
  </si>
  <si>
    <t>nort2848</t>
  </si>
  <si>
    <t>Anuki</t>
  </si>
  <si>
    <t>aui</t>
  </si>
  <si>
    <t>anus1237</t>
  </si>
  <si>
    <t>anus1238</t>
  </si>
  <si>
    <t>Anus</t>
  </si>
  <si>
    <t>auq</t>
  </si>
  <si>
    <t>sarm1242</t>
  </si>
  <si>
    <t>Anus-Podena</t>
  </si>
  <si>
    <t>anut1237</t>
  </si>
  <si>
    <t>nucl1485</t>
  </si>
  <si>
    <t>Anuta</t>
  </si>
  <si>
    <t>aud</t>
  </si>
  <si>
    <t>anuu1241</t>
  </si>
  <si>
    <t>mrui1235</t>
  </si>
  <si>
    <t>Anu</t>
  </si>
  <si>
    <t>anl</t>
  </si>
  <si>
    <t>MM</t>
  </si>
  <si>
    <t>anuu1242</t>
  </si>
  <si>
    <t>guaa1238</t>
  </si>
  <si>
    <t>Anu (Ghana)</t>
  </si>
  <si>
    <t>anya1244</t>
  </si>
  <si>
    <t>suii1243</t>
  </si>
  <si>
    <t>Anyang</t>
  </si>
  <si>
    <t>anya1245</t>
  </si>
  <si>
    <t>Anyama</t>
  </si>
  <si>
    <t>anya1246</t>
  </si>
  <si>
    <t>Anyang (Cameroon)</t>
  </si>
  <si>
    <t>anyi1244</t>
  </si>
  <si>
    <t>anyi1246</t>
  </si>
  <si>
    <t>Anyin Morofo</t>
  </si>
  <si>
    <t>mtb</t>
  </si>
  <si>
    <t>Anyin</t>
  </si>
  <si>
    <t>any</t>
  </si>
  <si>
    <t>Anyinic</t>
  </si>
  <si>
    <t>anyi1247</t>
  </si>
  <si>
    <t>chan1317</t>
  </si>
  <si>
    <t>Anyi</t>
  </si>
  <si>
    <t>anyu1238</t>
  </si>
  <si>
    <t>Anyugba</t>
  </si>
  <si>
    <t>anyx1238</t>
  </si>
  <si>
    <t>Anykh</t>
  </si>
  <si>
    <t>aohe1237</t>
  </si>
  <si>
    <t>mull1247</t>
  </si>
  <si>
    <t>Aoheng-Seputan</t>
  </si>
  <si>
    <t>pni</t>
  </si>
  <si>
    <t>aohe1238</t>
  </si>
  <si>
    <t>Aoheng</t>
  </si>
  <si>
    <t>aoic1235</t>
  </si>
  <si>
    <t>Central Naga</t>
  </si>
  <si>
    <t>aola1237</t>
  </si>
  <si>
    <t>leng1259</t>
  </si>
  <si>
    <t>Aola</t>
  </si>
  <si>
    <t>aolu1238</t>
  </si>
  <si>
    <t>Aoluguya</t>
  </si>
  <si>
    <t>aona1235</t>
  </si>
  <si>
    <t>Ao Naga</t>
  </si>
  <si>
    <t>njo</t>
  </si>
  <si>
    <t>aore1237</t>
  </si>
  <si>
    <t>east2754</t>
  </si>
  <si>
    <t>Aore</t>
  </si>
  <si>
    <t>aor</t>
  </si>
  <si>
    <t>aota1239</t>
  </si>
  <si>
    <t>muon1246</t>
  </si>
  <si>
    <t>Ao T√°</t>
  </si>
  <si>
    <t>aoua1234</t>
  </si>
  <si>
    <t>A'ou</t>
  </si>
  <si>
    <t>aou</t>
  </si>
  <si>
    <t>aouu1238</t>
  </si>
  <si>
    <t>Nuclear A'ou</t>
  </si>
  <si>
    <t>aowi1238</t>
  </si>
  <si>
    <t>Aowin</t>
  </si>
  <si>
    <t>apaa1238</t>
  </si>
  <si>
    <t>kpan1246</t>
  </si>
  <si>
    <t>Apa</t>
  </si>
  <si>
    <t>atha1247</t>
  </si>
  <si>
    <t>Apachean</t>
  </si>
  <si>
    <t>apah1238</t>
  </si>
  <si>
    <t>pass1247</t>
  </si>
  <si>
    <t>Apahapsili</t>
  </si>
  <si>
    <t>apal1237</t>
  </si>
  <si>
    <t>Apalachee</t>
  </si>
  <si>
    <t>xap</t>
  </si>
  <si>
    <t>apal1255</t>
  </si>
  <si>
    <t>Apalik</t>
  </si>
  <si>
    <t>apo</t>
  </si>
  <si>
    <t>cent2257</t>
  </si>
  <si>
    <t>Apali</t>
  </si>
  <si>
    <t>ena</t>
  </si>
  <si>
    <t>apal1257</t>
  </si>
  <si>
    <t>Apala√≠</t>
  </si>
  <si>
    <t>apy</t>
  </si>
  <si>
    <t>apam1237</t>
  </si>
  <si>
    <t>cent2141</t>
  </si>
  <si>
    <t>AP-AM-AH</t>
  </si>
  <si>
    <t>apan1242</t>
  </si>
  <si>
    <t>Apani</t>
  </si>
  <si>
    <t>apan1243</t>
  </si>
  <si>
    <t>Apanjekra</t>
  </si>
  <si>
    <t>apap1240</t>
  </si>
  <si>
    <t>chir1286</t>
  </si>
  <si>
    <t>Apapocuva</t>
  </si>
  <si>
    <t>apas1235</t>
  </si>
  <si>
    <t>nort3198</t>
  </si>
  <si>
    <t>Apasco-Apoala Mixtec</t>
  </si>
  <si>
    <t>mip</t>
  </si>
  <si>
    <t>apat1240</t>
  </si>
  <si>
    <t>west2797</t>
  </si>
  <si>
    <t>Apatani</t>
  </si>
  <si>
    <t>apt</t>
  </si>
  <si>
    <t>apia1246</t>
  </si>
  <si>
    <t>Apiapum</t>
  </si>
  <si>
    <t>apia1247</t>
  </si>
  <si>
    <t>xing1247</t>
  </si>
  <si>
    <t>Apiaka-Tocantins</t>
  </si>
  <si>
    <t>apia1248</t>
  </si>
  <si>
    <t>Apiak√°</t>
  </si>
  <si>
    <t>api</t>
  </si>
  <si>
    <t>apin1244</t>
  </si>
  <si>
    <t>core1264</t>
  </si>
  <si>
    <t>Apinay√©</t>
  </si>
  <si>
    <t>apn</t>
  </si>
  <si>
    <t>apma1240</t>
  </si>
  <si>
    <t>sout3188</t>
  </si>
  <si>
    <t>Apma</t>
  </si>
  <si>
    <t>app</t>
  </si>
  <si>
    <t>apma1241</t>
  </si>
  <si>
    <t>Ap Ma</t>
  </si>
  <si>
    <t>kbx</t>
  </si>
  <si>
    <t>apmi1239</t>
  </si>
  <si>
    <t>ngal1298</t>
  </si>
  <si>
    <t>Apmisibil</t>
  </si>
  <si>
    <t>apoi1238</t>
  </si>
  <si>
    <t>izon1238</t>
  </si>
  <si>
    <t>Apoi</t>
  </si>
  <si>
    <t>apok1238</t>
  </si>
  <si>
    <t>Apuka</t>
  </si>
  <si>
    <t>apol1241</t>
  </si>
  <si>
    <t>nort2976</t>
  </si>
  <si>
    <t>Apolo</t>
  </si>
  <si>
    <t>apol1242</t>
  </si>
  <si>
    <t>unun9934</t>
  </si>
  <si>
    <t>Apolista</t>
  </si>
  <si>
    <t>BO</t>
  </si>
  <si>
    <t>apon1238</t>
  </si>
  <si>
    <t>inga1252</t>
  </si>
  <si>
    <t>Aponte Inga</t>
  </si>
  <si>
    <t>apos1239</t>
  </si>
  <si>
    <t>kwan1278</t>
  </si>
  <si>
    <t>Apos</t>
  </si>
  <si>
    <t>apot1235</t>
  </si>
  <si>
    <t>Apoto</t>
  </si>
  <si>
    <t>appe1239</t>
  </si>
  <si>
    <t>nedr1234</t>
  </si>
  <si>
    <t>√Ñppelbo</t>
  </si>
  <si>
    <t>apro1235</t>
  </si>
  <si>
    <t>Aproumu Aizi</t>
  </si>
  <si>
    <t>ahp</t>
  </si>
  <si>
    <t>apso1237</t>
  </si>
  <si>
    <t>Apsokok</t>
  </si>
  <si>
    <t>apuc1241</t>
  </si>
  <si>
    <t>Apucikwar</t>
  </si>
  <si>
    <t>apq</t>
  </si>
  <si>
    <t>apuk1238</t>
  </si>
  <si>
    <t>Apuk</t>
  </si>
  <si>
    <t>apul1236</t>
  </si>
  <si>
    <t>koin1234</t>
  </si>
  <si>
    <t>Apulia-Calabrian Greek</t>
  </si>
  <si>
    <t>apul1237</t>
  </si>
  <si>
    <t>Apulian Greek</t>
  </si>
  <si>
    <t>apur1252</t>
  </si>
  <si>
    <t>blag1240</t>
  </si>
  <si>
    <t>Apur√≠ (Indonesia)</t>
  </si>
  <si>
    <t>apur1253</t>
  </si>
  <si>
    <t>yauy1235</t>
  </si>
  <si>
    <t>Apur√≠</t>
  </si>
  <si>
    <t>apur1254</t>
  </si>
  <si>
    <t>puru1265</t>
  </si>
  <si>
    <t>Apurin√£</t>
  </si>
  <si>
    <t>apu</t>
  </si>
  <si>
    <t>aput1237</t>
  </si>
  <si>
    <t>pera1259</t>
  </si>
  <si>
    <t>Aputai</t>
  </si>
  <si>
    <t>apx</t>
  </si>
  <si>
    <t>aput1239</t>
  </si>
  <si>
    <t>puna1280</t>
  </si>
  <si>
    <t>Aput-Busang-Merah-Kohi</t>
  </si>
  <si>
    <t>nucl1774</t>
  </si>
  <si>
    <t>Aqusha-Uraxi</t>
  </si>
  <si>
    <t>arab1265</t>
  </si>
  <si>
    <t>Arabkir</t>
  </si>
  <si>
    <t>arab1266</t>
  </si>
  <si>
    <t>palk1239</t>
  </si>
  <si>
    <t>Arabana-Wangganguru</t>
  </si>
  <si>
    <t>arab1267</t>
  </si>
  <si>
    <t>Arabana</t>
  </si>
  <si>
    <t>ard</t>
  </si>
  <si>
    <t>arab1268</t>
  </si>
  <si>
    <t>Arabela</t>
  </si>
  <si>
    <t>arl</t>
  </si>
  <si>
    <t>Arabian Peninsula Arabic</t>
  </si>
  <si>
    <t>cent2236</t>
  </si>
  <si>
    <t>Arabian</t>
  </si>
  <si>
    <t>Arabic</t>
  </si>
  <si>
    <t>iqui1244</t>
  </si>
  <si>
    <t>Arabela-Andoa</t>
  </si>
  <si>
    <t>arab1397</t>
  </si>
  <si>
    <t>Arabic-based pidgin</t>
  </si>
  <si>
    <t>arab1398</t>
  </si>
  <si>
    <t>Arab Sign</t>
  </si>
  <si>
    <t>arac1235</t>
  </si>
  <si>
    <t>Aracaju</t>
  </si>
  <si>
    <t>arad1238</t>
  </si>
  <si>
    <t>sapn1238</t>
  </si>
  <si>
    <t>Aradhin</t>
  </si>
  <si>
    <t>Arafundi</t>
  </si>
  <si>
    <t>arf</t>
  </si>
  <si>
    <t>araf1245</t>
  </si>
  <si>
    <t>enga1255</t>
  </si>
  <si>
    <t>Arafundi-Enga Pidgin</t>
  </si>
  <si>
    <t>arag1245</t>
  </si>
  <si>
    <t>unsh1234</t>
  </si>
  <si>
    <t>Aragonese</t>
  </si>
  <si>
    <t>arg</t>
  </si>
  <si>
    <t>ES FR</t>
  </si>
  <si>
    <t>arag1246</t>
  </si>
  <si>
    <t>Modern Castilian of Aragon</t>
  </si>
  <si>
    <t>arai1239</t>
  </si>
  <si>
    <t>juru1258</t>
  </si>
  <si>
    <t>Araicu</t>
  </si>
  <si>
    <t>arak1251</t>
  </si>
  <si>
    <t>west2369</t>
  </si>
  <si>
    <t>Araki (Iran)</t>
  </si>
  <si>
    <t>arak1252</t>
  </si>
  <si>
    <t>Araki</t>
  </si>
  <si>
    <t>akr</t>
  </si>
  <si>
    <t>arak1253</t>
  </si>
  <si>
    <t>obom1235</t>
  </si>
  <si>
    <t>Arakan Manobo</t>
  </si>
  <si>
    <t>arak1254</t>
  </si>
  <si>
    <t>Arakwal</t>
  </si>
  <si>
    <t>rkw</t>
  </si>
  <si>
    <t>arak1255</t>
  </si>
  <si>
    <t>nucl1730</t>
  </si>
  <si>
    <t>Arakanese-Marma</t>
  </si>
  <si>
    <t>arak1256</t>
  </si>
  <si>
    <t>Arakanese</t>
  </si>
  <si>
    <t>mhv</t>
  </si>
  <si>
    <t>aral1243</t>
  </si>
  <si>
    <t>mata1312</t>
  </si>
  <si>
    <t>Aralle-Tabulahan</t>
  </si>
  <si>
    <t>atq</t>
  </si>
  <si>
    <t>aral1244</t>
  </si>
  <si>
    <t>Aralle</t>
  </si>
  <si>
    <t>aram1252</t>
  </si>
  <si>
    <t>Aramanik</t>
  </si>
  <si>
    <t>aam</t>
  </si>
  <si>
    <t>aram1253</t>
  </si>
  <si>
    <t>tond1250</t>
  </si>
  <si>
    <t>Arammba</t>
  </si>
  <si>
    <t>stk</t>
  </si>
  <si>
    <t>aram1254</t>
  </si>
  <si>
    <t>tabo1241</t>
  </si>
  <si>
    <t>Aramia River</t>
  </si>
  <si>
    <t>aram1259</t>
  </si>
  <si>
    <t>nort3165</t>
  </si>
  <si>
    <t>Aramaic</t>
  </si>
  <si>
    <t>aram1260</t>
  </si>
  <si>
    <t>bayo1262</t>
  </si>
  <si>
    <t>Arame-Gubaare</t>
  </si>
  <si>
    <t>GW</t>
  </si>
  <si>
    <t>aran1237</t>
  </si>
  <si>
    <t>sout1516</t>
  </si>
  <si>
    <t>east1439</t>
  </si>
  <si>
    <t>Arandai</t>
  </si>
  <si>
    <t>jbj</t>
  </si>
  <si>
    <t>aran1260</t>
  </si>
  <si>
    <t>gasc1240</t>
  </si>
  <si>
    <t>Aranese</t>
  </si>
  <si>
    <t>aran1261</t>
  </si>
  <si>
    <t>Aranadan</t>
  </si>
  <si>
    <t>aaf</t>
  </si>
  <si>
    <t>aran1267</t>
  </si>
  <si>
    <t>Aranda</t>
  </si>
  <si>
    <t>aran1264</t>
  </si>
  <si>
    <t>tala1285</t>
  </si>
  <si>
    <t>Arangka'a</t>
  </si>
  <si>
    <t>aran1265</t>
  </si>
  <si>
    <t>Aranama</t>
  </si>
  <si>
    <t>xrt</t>
  </si>
  <si>
    <t>aran1266</t>
  </si>
  <si>
    <t>Arandic-Thura-Yura</t>
  </si>
  <si>
    <t>Arandic</t>
  </si>
  <si>
    <t>arao1247</t>
  </si>
  <si>
    <t>taka1268</t>
  </si>
  <si>
    <t>Araona-Toromono</t>
  </si>
  <si>
    <t>arao1248</t>
  </si>
  <si>
    <t>Araona</t>
  </si>
  <si>
    <t>aro</t>
  </si>
  <si>
    <t>arap1273</t>
  </si>
  <si>
    <t>Arapahoic</t>
  </si>
  <si>
    <t>arap1274</t>
  </si>
  <si>
    <t>arap1280</t>
  </si>
  <si>
    <t>Arapaho</t>
  </si>
  <si>
    <t>arp</t>
  </si>
  <si>
    <t>arap1275</t>
  </si>
  <si>
    <t>unun9987</t>
  </si>
  <si>
    <t>Arapaso</t>
  </si>
  <si>
    <t>arj</t>
  </si>
  <si>
    <t>arap1278</t>
  </si>
  <si>
    <t>jara1266</t>
  </si>
  <si>
    <t>Ar√°p</t>
  </si>
  <si>
    <t>arap1279</t>
  </si>
  <si>
    <t>komb1276</t>
  </si>
  <si>
    <t>Arapesh</t>
  </si>
  <si>
    <t>Arapaho-Gros Ventre-Besawunena</t>
  </si>
  <si>
    <t>arar1263</t>
  </si>
  <si>
    <t>pano1254</t>
  </si>
  <si>
    <t>Ararapina</t>
  </si>
  <si>
    <t>arar1264</t>
  </si>
  <si>
    <t>Ararawa</t>
  </si>
  <si>
    <t>arar1265</t>
  </si>
  <si>
    <t>Arara-Shawanawa</t>
  </si>
  <si>
    <t>arar1266</t>
  </si>
  <si>
    <t>Ararat</t>
  </si>
  <si>
    <t>aras1241</t>
  </si>
  <si>
    <t>huac1244</t>
  </si>
  <si>
    <t>Arasairi</t>
  </si>
  <si>
    <t>arau1254</t>
  </si>
  <si>
    <t>Arau-Varosia</t>
  </si>
  <si>
    <t>arau1255</t>
  </si>
  <si>
    <t>Araucanian</t>
  </si>
  <si>
    <t>arav1239</t>
  </si>
  <si>
    <t>Arava</t>
  </si>
  <si>
    <t>arav1240</t>
  </si>
  <si>
    <t>haho1237</t>
  </si>
  <si>
    <t>Aravia</t>
  </si>
  <si>
    <t>araw1269</t>
  </si>
  <si>
    <t>Arawe-Pasismanua</t>
  </si>
  <si>
    <t>araw1271</t>
  </si>
  <si>
    <t>solo1258</t>
  </si>
  <si>
    <t>Nuclear Arawe</t>
  </si>
  <si>
    <t>araw1272</t>
  </si>
  <si>
    <t>kabe1245</t>
  </si>
  <si>
    <t>Arawum</t>
  </si>
  <si>
    <t>awm</t>
  </si>
  <si>
    <t>araw1273</t>
  </si>
  <si>
    <t>Arawet√©</t>
  </si>
  <si>
    <t>awt</t>
  </si>
  <si>
    <t>cari1281</t>
  </si>
  <si>
    <t>Lokono</t>
  </si>
  <si>
    <t>GF GY SR VE</t>
  </si>
  <si>
    <t>araw1280</t>
  </si>
  <si>
    <t>nort3050</t>
  </si>
  <si>
    <t>Arawa</t>
  </si>
  <si>
    <t>Arawakan</t>
  </si>
  <si>
    <t>araw1282</t>
  </si>
  <si>
    <t>Arawan</t>
  </si>
  <si>
    <t>araw1283</t>
  </si>
  <si>
    <t>Arawe</t>
  </si>
  <si>
    <t>Arawakan (Unattested)</t>
  </si>
  <si>
    <t>araw1289</t>
  </si>
  <si>
    <t>Arawan (Unattested)</t>
  </si>
  <si>
    <t>subg1264</t>
  </si>
  <si>
    <t>Arawetic</t>
  </si>
  <si>
    <t>araz1236</t>
  </si>
  <si>
    <t>madr1238</t>
  </si>
  <si>
    <t>Arazaire</t>
  </si>
  <si>
    <t>arba1240</t>
  </si>
  <si>
    <t>nort3295</t>
  </si>
  <si>
    <t>Arbanasi</t>
  </si>
  <si>
    <t>Arb√´resh√´ Albanian</t>
  </si>
  <si>
    <t>aae</t>
  </si>
  <si>
    <t>arbe1239</t>
  </si>
  <si>
    <t>west2766</t>
  </si>
  <si>
    <t>Arbel</t>
  </si>
  <si>
    <t>arbo1235</t>
  </si>
  <si>
    <t>camp1261</t>
  </si>
  <si>
    <t>Arborense</t>
  </si>
  <si>
    <t>arbo1245</t>
  </si>
  <si>
    <t>west2723</t>
  </si>
  <si>
    <t>Arbore</t>
  </si>
  <si>
    <t>arv</t>
  </si>
  <si>
    <t>arca1234</t>
  </si>
  <si>
    <t>Arcadocypriot</t>
  </si>
  <si>
    <t>arch1244</t>
  </si>
  <si>
    <t>lezg1248</t>
  </si>
  <si>
    <t>Archi</t>
  </si>
  <si>
    <t>aqc</t>
  </si>
  <si>
    <t>arch1246</t>
  </si>
  <si>
    <t>narr1283</t>
  </si>
  <si>
    <t>Archaic Norrlandic</t>
  </si>
  <si>
    <t>SE</t>
  </si>
  <si>
    <t>arch1247</t>
  </si>
  <si>
    <t>oldi1245</t>
  </si>
  <si>
    <t>Archaic Irish (7th century)</t>
  </si>
  <si>
    <t>ardv1234</t>
  </si>
  <si>
    <t>Ardvin-Tbilisi</t>
  </si>
  <si>
    <t>area1240</t>
  </si>
  <si>
    <t>sout3198</t>
  </si>
  <si>
    <t>'Are'are</t>
  </si>
  <si>
    <t>alu</t>
  </si>
  <si>
    <t>areb1238</t>
  </si>
  <si>
    <t>ribg1235</t>
  </si>
  <si>
    <t>Areba</t>
  </si>
  <si>
    <t>aea</t>
  </si>
  <si>
    <t>arec1238</t>
  </si>
  <si>
    <t>pemo1248</t>
  </si>
  <si>
    <t>Arecuna</t>
  </si>
  <si>
    <t>aree1239</t>
  </si>
  <si>
    <t>arei1235</t>
  </si>
  <si>
    <t>Are</t>
  </si>
  <si>
    <t>mwc</t>
  </si>
  <si>
    <t>aret1241</t>
  </si>
  <si>
    <t>Are linkage</t>
  </si>
  <si>
    <t>arek1234</t>
  </si>
  <si>
    <t>east2487</t>
  </si>
  <si>
    <t>Arekan</t>
  </si>
  <si>
    <t>arem1240</t>
  </si>
  <si>
    <t>chut1246</t>
  </si>
  <si>
    <t>Arem</t>
  </si>
  <si>
    <t>aem</t>
  </si>
  <si>
    <t>LA VN</t>
  </si>
  <si>
    <t>ayac1238</t>
  </si>
  <si>
    <t>Arequipa-La Uni√≥n Quechua</t>
  </si>
  <si>
    <t>qxu</t>
  </si>
  <si>
    <t>ares1234</t>
  </si>
  <si>
    <t>kara1458</t>
  </si>
  <si>
    <t>Aresh-Havarik</t>
  </si>
  <si>
    <t>aret1240</t>
  </si>
  <si>
    <t>nort2666</t>
  </si>
  <si>
    <t>Aret</t>
  </si>
  <si>
    <t>Are-Taupota linkage</t>
  </si>
  <si>
    <t>arew1238</t>
  </si>
  <si>
    <t>Arewa</t>
  </si>
  <si>
    <t>arge1236</t>
  </si>
  <si>
    <t>Argentine Sign Language</t>
  </si>
  <si>
    <t>aed</t>
  </si>
  <si>
    <t>argo1244</t>
  </si>
  <si>
    <t>Argobba</t>
  </si>
  <si>
    <t>agj</t>
  </si>
  <si>
    <t>argu1237</t>
  </si>
  <si>
    <t>bomb1263</t>
  </si>
  <si>
    <t>Arguni</t>
  </si>
  <si>
    <t>agf</t>
  </si>
  <si>
    <t>arha1237</t>
  </si>
  <si>
    <t>Arh√¢</t>
  </si>
  <si>
    <t>aqr</t>
  </si>
  <si>
    <t>arhe1238</t>
  </si>
  <si>
    <t>ivbi1241</t>
  </si>
  <si>
    <t>Arhe</t>
  </si>
  <si>
    <t>arho1237</t>
  </si>
  <si>
    <t>Arh√∂</t>
  </si>
  <si>
    <t>aok</t>
  </si>
  <si>
    <t>arhu1241</t>
  </si>
  <si>
    <t>nort3000</t>
  </si>
  <si>
    <t>Arhuacic</t>
  </si>
  <si>
    <t>east2571</t>
  </si>
  <si>
    <t>Arhuaco</t>
  </si>
  <si>
    <t>arib1240</t>
  </si>
  <si>
    <t>busu1245</t>
  </si>
  <si>
    <t>Aribwaung</t>
  </si>
  <si>
    <t>ylu</t>
  </si>
  <si>
    <t>arib1241</t>
  </si>
  <si>
    <t>Aribwatsa</t>
  </si>
  <si>
    <t>laz</t>
  </si>
  <si>
    <t>arid1234</t>
  </si>
  <si>
    <t>Arid-Washm-Sudair</t>
  </si>
  <si>
    <t>arie1239</t>
  </si>
  <si>
    <t>nucl1269</t>
  </si>
  <si>
    <t>Ari√©geois</t>
  </si>
  <si>
    <t>arif1239</t>
  </si>
  <si>
    <t>Arifama-Miniafia</t>
  </si>
  <si>
    <t>aai</t>
  </si>
  <si>
    <t>arif1240</t>
  </si>
  <si>
    <t>Arifama</t>
  </si>
  <si>
    <t>defo1239</t>
  </si>
  <si>
    <t>Arigidi</t>
  </si>
  <si>
    <t>aqg</t>
  </si>
  <si>
    <t>arig1247</t>
  </si>
  <si>
    <t>Arigid√≠</t>
  </si>
  <si>
    <t>arig1248</t>
  </si>
  <si>
    <t>kiwa1251</t>
  </si>
  <si>
    <t>nort2930</t>
  </si>
  <si>
    <t>Arigibi</t>
  </si>
  <si>
    <t>arii1243</t>
  </si>
  <si>
    <t>suki1244</t>
  </si>
  <si>
    <t>ariw1234</t>
  </si>
  <si>
    <t>Ari</t>
  </si>
  <si>
    <t>aac</t>
  </si>
  <si>
    <t>arii1244</t>
  </si>
  <si>
    <t>nobo1238</t>
  </si>
  <si>
    <t>Ari (Papua New Guinea)</t>
  </si>
  <si>
    <t>arik1262</t>
  </si>
  <si>
    <t>pawn1253</t>
  </si>
  <si>
    <t>Arikara</t>
  </si>
  <si>
    <t>ari</t>
  </si>
  <si>
    <t>arik1263</t>
  </si>
  <si>
    <t>Arikemic</t>
  </si>
  <si>
    <t>arik1264</t>
  </si>
  <si>
    <t>Arikem</t>
  </si>
  <si>
    <t>ait</t>
  </si>
  <si>
    <t>arik1265</t>
  </si>
  <si>
    <t>jabu1249</t>
  </si>
  <si>
    <t>Arikap√∫</t>
  </si>
  <si>
    <t>ark</t>
  </si>
  <si>
    <t>arik1266</t>
  </si>
  <si>
    <t>nort3304</t>
  </si>
  <si>
    <t>Arik</t>
  </si>
  <si>
    <t>arin1242</t>
  </si>
  <si>
    <t>yeni1252</t>
  </si>
  <si>
    <t>sout2751</t>
  </si>
  <si>
    <t>Arin-Pumpokol</t>
  </si>
  <si>
    <t>arin1243</t>
  </si>
  <si>
    <t>Arin</t>
  </si>
  <si>
    <t>xrn</t>
  </si>
  <si>
    <t>arin1244</t>
  </si>
  <si>
    <t>cent2043</t>
  </si>
  <si>
    <t>Aringa</t>
  </si>
  <si>
    <t>luc</t>
  </si>
  <si>
    <t>ario1238</t>
  </si>
  <si>
    <t>biak1248</t>
  </si>
  <si>
    <t>Ariom</t>
  </si>
  <si>
    <t>arit1239</t>
  </si>
  <si>
    <t>Aritinngitigh</t>
  </si>
  <si>
    <t>dth</t>
  </si>
  <si>
    <t>gogo1264</t>
  </si>
  <si>
    <t>Ari-Waruna</t>
  </si>
  <si>
    <t>ariz1237</t>
  </si>
  <si>
    <t>kiow1265</t>
  </si>
  <si>
    <t>Arizona Tewa</t>
  </si>
  <si>
    <t>arka1238</t>
  </si>
  <si>
    <t>ilia1236</t>
  </si>
  <si>
    <t>Arkan Valley</t>
  </si>
  <si>
    <t>arli1238</t>
  </si>
  <si>
    <t>arli1239</t>
  </si>
  <si>
    <t>Arlija</t>
  </si>
  <si>
    <t>Arli-Dolenjski</t>
  </si>
  <si>
    <t>arma1243</t>
  </si>
  <si>
    <t>even1260</t>
  </si>
  <si>
    <t>Arman</t>
  </si>
  <si>
    <t>arma1244</t>
  </si>
  <si>
    <t>choc1284</t>
  </si>
  <si>
    <t>Arma</t>
  </si>
  <si>
    <t>aoh</t>
  </si>
  <si>
    <t>arma1245</t>
  </si>
  <si>
    <t>Armaneshti</t>
  </si>
  <si>
    <t>Armenic</t>
  </si>
  <si>
    <t>arme1259</t>
  </si>
  <si>
    <t>Armenian Sign Language</t>
  </si>
  <si>
    <t>aen</t>
  </si>
  <si>
    <t>AM</t>
  </si>
  <si>
    <t>arme1260</t>
  </si>
  <si>
    <t>Armeno-Tat</t>
  </si>
  <si>
    <t>arog1238</t>
  </si>
  <si>
    <t>Arogbo</t>
  </si>
  <si>
    <t>aroh1238</t>
  </si>
  <si>
    <t>Arohun</t>
  </si>
  <si>
    <t>arok1238</t>
  </si>
  <si>
    <t>Arokaara</t>
  </si>
  <si>
    <t>macr1262</t>
  </si>
  <si>
    <t>Aromanian</t>
  </si>
  <si>
    <t>AL BG GR MK RS</t>
  </si>
  <si>
    <t>arom1238</t>
  </si>
  <si>
    <t>keap1239</t>
  </si>
  <si>
    <t>Aroma</t>
  </si>
  <si>
    <t>arop1242</t>
  </si>
  <si>
    <t>siss1245</t>
  </si>
  <si>
    <t>Arop-Sissano</t>
  </si>
  <si>
    <t>aps</t>
  </si>
  <si>
    <t>arop1243</t>
  </si>
  <si>
    <t>kora1297</t>
  </si>
  <si>
    <t>Arop-Lokep</t>
  </si>
  <si>
    <t>apr</t>
  </si>
  <si>
    <t>arop1244</t>
  </si>
  <si>
    <t>Arop</t>
  </si>
  <si>
    <t>aros1241</t>
  </si>
  <si>
    <t>sanc1243</t>
  </si>
  <si>
    <t>Arosi</t>
  </si>
  <si>
    <t>aia</t>
  </si>
  <si>
    <t>arsi1238</t>
  </si>
  <si>
    <t>bora1271</t>
  </si>
  <si>
    <t>Arsi</t>
  </si>
  <si>
    <t>arta1239</t>
  </si>
  <si>
    <t>nort3238</t>
  </si>
  <si>
    <t>Arta</t>
  </si>
  <si>
    <t>atz</t>
  </si>
  <si>
    <t>arti1236</t>
  </si>
  <si>
    <t>Artificial Language</t>
  </si>
  <si>
    <t>arti1237</t>
  </si>
  <si>
    <t>Artialic</t>
  </si>
  <si>
    <t>arti1238</t>
  </si>
  <si>
    <t>Artial</t>
  </si>
  <si>
    <t>arto1238</t>
  </si>
  <si>
    <t>Artois</t>
  </si>
  <si>
    <t>artv1238</t>
  </si>
  <si>
    <t>Artvin</t>
  </si>
  <si>
    <t>arua1259</t>
  </si>
  <si>
    <t>Arua</t>
  </si>
  <si>
    <t>arua1260</t>
  </si>
  <si>
    <t>mika1254</t>
  </si>
  <si>
    <t>Aruamu</t>
  </si>
  <si>
    <t>msy</t>
  </si>
  <si>
    <t>arua1261</t>
  </si>
  <si>
    <t>gavi1248</t>
  </si>
  <si>
    <t>Aru√° (Rondonia State)</t>
  </si>
  <si>
    <t>arx</t>
  </si>
  <si>
    <t>arua1262</t>
  </si>
  <si>
    <t>Aru√°shi</t>
  </si>
  <si>
    <t>arua1263</t>
  </si>
  <si>
    <t>Aru√° (Amazonas State)</t>
  </si>
  <si>
    <t>aru</t>
  </si>
  <si>
    <t>arua1264</t>
  </si>
  <si>
    <t>negr1239</t>
  </si>
  <si>
    <t>Aruan</t>
  </si>
  <si>
    <t>arub1238</t>
  </si>
  <si>
    <t>Aruba</t>
  </si>
  <si>
    <t>AW</t>
  </si>
  <si>
    <t>arue1240</t>
  </si>
  <si>
    <t>unun9968</t>
  </si>
  <si>
    <t>Aruek</t>
  </si>
  <si>
    <t>aur</t>
  </si>
  <si>
    <t>arug1238</t>
  </si>
  <si>
    <t>Arughunya</t>
  </si>
  <si>
    <t>arum1242</t>
  </si>
  <si>
    <t>lese1243</t>
  </si>
  <si>
    <t>Arumbi</t>
  </si>
  <si>
    <t>arum1243</t>
  </si>
  <si>
    <t>kula1280</t>
  </si>
  <si>
    <t>Arumaka</t>
  </si>
  <si>
    <t>aruo1240</t>
  </si>
  <si>
    <t>Srenge</t>
  </si>
  <si>
    <t>lsr</t>
  </si>
  <si>
    <t>arup1240</t>
  </si>
  <si>
    <t>mari1442</t>
  </si>
  <si>
    <t>Arupai</t>
  </si>
  <si>
    <t>arus1241</t>
  </si>
  <si>
    <t>Aruskush-Daqqushchu</t>
  </si>
  <si>
    <t>arus1242</t>
  </si>
  <si>
    <t>Arusha</t>
  </si>
  <si>
    <t>arus1243</t>
  </si>
  <si>
    <t>Arusa</t>
  </si>
  <si>
    <t>arut1243</t>
  </si>
  <si>
    <t>mala1480</t>
  </si>
  <si>
    <t>Arut</t>
  </si>
  <si>
    <t>arut1244</t>
  </si>
  <si>
    <t>Arutani</t>
  </si>
  <si>
    <t>atx</t>
  </si>
  <si>
    <t>BR VE</t>
  </si>
  <si>
    <t>aruu1241</t>
  </si>
  <si>
    <t>cent2245</t>
  </si>
  <si>
    <t>Aru</t>
  </si>
  <si>
    <t>arva1236</t>
  </si>
  <si>
    <t>Arvanitika Albanian</t>
  </si>
  <si>
    <t>aat</t>
  </si>
  <si>
    <t>arwa1237</t>
  </si>
  <si>
    <t>tugu1245</t>
  </si>
  <si>
    <t>Arwala</t>
  </si>
  <si>
    <t>arze1238</t>
  </si>
  <si>
    <t>cent2333</t>
  </si>
  <si>
    <t>Arzeu</t>
  </si>
  <si>
    <t>asaa1238</t>
  </si>
  <si>
    <t>iraq1241</t>
  </si>
  <si>
    <t>Asa</t>
  </si>
  <si>
    <t>Asante</t>
  </si>
  <si>
    <t>asap1239</t>
  </si>
  <si>
    <t>omie1241</t>
  </si>
  <si>
    <t>Asapa</t>
  </si>
  <si>
    <t>asar1240</t>
  </si>
  <si>
    <t>mole1240</t>
  </si>
  <si>
    <t>Asaro'o</t>
  </si>
  <si>
    <t>mtv</t>
  </si>
  <si>
    <t>asas1240</t>
  </si>
  <si>
    <t>sins1241</t>
  </si>
  <si>
    <t>Asas</t>
  </si>
  <si>
    <t>asd</t>
  </si>
  <si>
    <t>asba1238</t>
  </si>
  <si>
    <t>tifa1245</t>
  </si>
  <si>
    <t>Asbalmin</t>
  </si>
  <si>
    <t>aseb1238</t>
  </si>
  <si>
    <t>Asebi</t>
  </si>
  <si>
    <t>asee1238</t>
  </si>
  <si>
    <t>Ase</t>
  </si>
  <si>
    <t>asen1242</t>
  </si>
  <si>
    <t>Asen</t>
  </si>
  <si>
    <t>asen1243</t>
  </si>
  <si>
    <t>Asento</t>
  </si>
  <si>
    <t>asen1244</t>
  </si>
  <si>
    <t>elfd1234</t>
  </si>
  <si>
    <t>√Ösen</t>
  </si>
  <si>
    <t>aser1237</t>
  </si>
  <si>
    <t>tola1247</t>
  </si>
  <si>
    <t>Asera</t>
  </si>
  <si>
    <t>aset1235</t>
  </si>
  <si>
    <t>sout2859</t>
  </si>
  <si>
    <t>Ase-Taveak</t>
  </si>
  <si>
    <t>asha1241</t>
  </si>
  <si>
    <t>asha1244</t>
  </si>
  <si>
    <t>Asha-Ashe-Kak</t>
  </si>
  <si>
    <t>asha1242</t>
  </si>
  <si>
    <t>Ashe-Asha</t>
  </si>
  <si>
    <t>Ash√°ninka</t>
  </si>
  <si>
    <t>cni</t>
  </si>
  <si>
    <t>prea1240</t>
  </si>
  <si>
    <t>Asha-Ashe-Kak-Matsi-Nan</t>
  </si>
  <si>
    <t>ashe1269</t>
  </si>
  <si>
    <t>koro1301</t>
  </si>
  <si>
    <t>Ashe</t>
  </si>
  <si>
    <t>ahs</t>
  </si>
  <si>
    <t>ashe1270</t>
  </si>
  <si>
    <t>Ashen</t>
  </si>
  <si>
    <t>Ashe-Asha Norte</t>
  </si>
  <si>
    <t>ashe1272</t>
  </si>
  <si>
    <t>Ash√©ninka Peren√©</t>
  </si>
  <si>
    <t>prq</t>
  </si>
  <si>
    <t>ashe1273</t>
  </si>
  <si>
    <t>ashe1274</t>
  </si>
  <si>
    <t>Ash√©ninka Pajonal</t>
  </si>
  <si>
    <t>cjo</t>
  </si>
  <si>
    <t>Asheninka</t>
  </si>
  <si>
    <t>ashi1242</t>
  </si>
  <si>
    <t>Ashiti</t>
  </si>
  <si>
    <t>ashi1243</t>
  </si>
  <si>
    <t>boka1249</t>
  </si>
  <si>
    <t>Ashing</t>
  </si>
  <si>
    <t>ashk1245</t>
  </si>
  <si>
    <t>Ashkharik</t>
  </si>
  <si>
    <t>ashk1246</t>
  </si>
  <si>
    <t>sout3243</t>
  </si>
  <si>
    <t>Ashkun</t>
  </si>
  <si>
    <t>ask</t>
  </si>
  <si>
    <t>ashk1247</t>
  </si>
  <si>
    <t>Ashkaraua</t>
  </si>
  <si>
    <t>asho1236</t>
  </si>
  <si>
    <t>asho1237</t>
  </si>
  <si>
    <t>Asho Chin</t>
  </si>
  <si>
    <t>csh</t>
  </si>
  <si>
    <t>BD MM</t>
  </si>
  <si>
    <t>sout3160</t>
  </si>
  <si>
    <t>Ashoic</t>
  </si>
  <si>
    <t>ashr1238</t>
  </si>
  <si>
    <t>phal1254</t>
  </si>
  <si>
    <t>Ashreti</t>
  </si>
  <si>
    <t>asht1244</t>
  </si>
  <si>
    <t>vafs1241</t>
  </si>
  <si>
    <t>Ashtiani</t>
  </si>
  <si>
    <t>atn</t>
  </si>
  <si>
    <t>asht1245</t>
  </si>
  <si>
    <t>lakk1252</t>
  </si>
  <si>
    <t>Ashtikulin</t>
  </si>
  <si>
    <t>ashu1242</t>
  </si>
  <si>
    <t>Ashuruveri</t>
  </si>
  <si>
    <t>ashu1243</t>
  </si>
  <si>
    <t>tigo1236</t>
  </si>
  <si>
    <t>Ashuku</t>
  </si>
  <si>
    <t>asia1264</t>
  </si>
  <si>
    <t>mail1249</t>
  </si>
  <si>
    <t>mail1248</t>
  </si>
  <si>
    <t>Asiaoro</t>
  </si>
  <si>
    <t>Asia Minor</t>
  </si>
  <si>
    <t>asif1237</t>
  </si>
  <si>
    <t>sout1549</t>
  </si>
  <si>
    <t>Asifabad</t>
  </si>
  <si>
    <t>asil1242</t>
  </si>
  <si>
    <t>west2843</t>
  </si>
  <si>
    <t>Asilulu</t>
  </si>
  <si>
    <t>asl</t>
  </si>
  <si>
    <t>asko1238</t>
  </si>
  <si>
    <t>roto1248</t>
  </si>
  <si>
    <t>Askopan</t>
  </si>
  <si>
    <t>eiv</t>
  </si>
  <si>
    <t>asla1234</t>
  </si>
  <si>
    <t>Aslanbeck</t>
  </si>
  <si>
    <t>asli1243</t>
  </si>
  <si>
    <t>Aslian</t>
  </si>
  <si>
    <t>ASLic</t>
  </si>
  <si>
    <t>asma1256</t>
  </si>
  <si>
    <t>cent2116</t>
  </si>
  <si>
    <t>Asmat-Kamoro</t>
  </si>
  <si>
    <t>Asmat</t>
  </si>
  <si>
    <t>mang1424</t>
  </si>
  <si>
    <t>Asoa</t>
  </si>
  <si>
    <t>asv</t>
  </si>
  <si>
    <t>CD</t>
  </si>
  <si>
    <t>ason1245</t>
  </si>
  <si>
    <t>Asong</t>
  </si>
  <si>
    <t>ason1246</t>
  </si>
  <si>
    <t>yasa1242</t>
  </si>
  <si>
    <t>Asonga</t>
  </si>
  <si>
    <t>ason1247</t>
  </si>
  <si>
    <t>ngum1255</t>
  </si>
  <si>
    <t>Asonga (Ngumbi)</t>
  </si>
  <si>
    <t>aspr1238</t>
  </si>
  <si>
    <t>Aspromonte</t>
  </si>
  <si>
    <t>assa1262</t>
  </si>
  <si>
    <t>kamt1240</t>
  </si>
  <si>
    <t>Eastern Kamta</t>
  </si>
  <si>
    <t>assa1263</t>
  </si>
  <si>
    <t>Assamese</t>
  </si>
  <si>
    <t>asm</t>
  </si>
  <si>
    <t>BD BT IN</t>
  </si>
  <si>
    <t>shan1276</t>
  </si>
  <si>
    <t>Assam Tai</t>
  </si>
  <si>
    <t>assa1265</t>
  </si>
  <si>
    <t>kham1290</t>
  </si>
  <si>
    <t>Assam Khamti</t>
  </si>
  <si>
    <t>assa1266</t>
  </si>
  <si>
    <t>Assan</t>
  </si>
  <si>
    <t>xss</t>
  </si>
  <si>
    <t>assa1267</t>
  </si>
  <si>
    <t>Assaikio</t>
  </si>
  <si>
    <t>assa1268</t>
  </si>
  <si>
    <t>caka1240</t>
  </si>
  <si>
    <t>Assaka</t>
  </si>
  <si>
    <t>assa1269</t>
  </si>
  <si>
    <t>tama1368</t>
  </si>
  <si>
    <t>Assangori</t>
  </si>
  <si>
    <t>sjg</t>
  </si>
  <si>
    <t>assa1271</t>
  </si>
  <si>
    <t>Assamese-based pidgin</t>
  </si>
  <si>
    <t>assa1272</t>
  </si>
  <si>
    <t>nort3327</t>
  </si>
  <si>
    <t>Assaorta</t>
  </si>
  <si>
    <t>asse1237</t>
  </si>
  <si>
    <t>baub1235</t>
  </si>
  <si>
    <t>Assem</t>
  </si>
  <si>
    <t>assi1246</t>
  </si>
  <si>
    <t>juml1238</t>
  </si>
  <si>
    <t>Assi</t>
  </si>
  <si>
    <t>assi1247</t>
  </si>
  <si>
    <t>dako1257</t>
  </si>
  <si>
    <t>Assiniboine</t>
  </si>
  <si>
    <t>asb</t>
  </si>
  <si>
    <t>CA US</t>
  </si>
  <si>
    <t>asss1237</t>
  </si>
  <si>
    <t>As</t>
  </si>
  <si>
    <t>asz</t>
  </si>
  <si>
    <t>assy1241</t>
  </si>
  <si>
    <t>nort3241</t>
  </si>
  <si>
    <t>Assyrian Neo-Aramaic</t>
  </si>
  <si>
    <t>aii</t>
  </si>
  <si>
    <t>IQ IR SY TR</t>
  </si>
  <si>
    <t>asta1240</t>
  </si>
  <si>
    <t>nort2639</t>
  </si>
  <si>
    <t>Astara</t>
  </si>
  <si>
    <t>asto1242</t>
  </si>
  <si>
    <t>Astori</t>
  </si>
  <si>
    <t>asto1243</t>
  </si>
  <si>
    <t>Astor</t>
  </si>
  <si>
    <t>astr1245</t>
  </si>
  <si>
    <t>Astrakhan Armenian</t>
  </si>
  <si>
    <t>astr1246</t>
  </si>
  <si>
    <t>tata1255</t>
  </si>
  <si>
    <t>Astrakhan Tatar</t>
  </si>
  <si>
    <t>astr1247</t>
  </si>
  <si>
    <t>bell1262</t>
  </si>
  <si>
    <t>Eastern Bel</t>
  </si>
  <si>
    <t>astu1244</t>
  </si>
  <si>
    <t>west2838</t>
  </si>
  <si>
    <t>Asturo-Leonese</t>
  </si>
  <si>
    <t>astu1245</t>
  </si>
  <si>
    <t>Asturian-Leonese-Cantabrian</t>
  </si>
  <si>
    <t>ast</t>
  </si>
  <si>
    <t>ES PT</t>
  </si>
  <si>
    <t>astu1246</t>
  </si>
  <si>
    <t>Asturian</t>
  </si>
  <si>
    <t>asue1235</t>
  </si>
  <si>
    <t>awyu1264</t>
  </si>
  <si>
    <t>Asue Awyu</t>
  </si>
  <si>
    <t>psa</t>
  </si>
  <si>
    <t>asum1237</t>
  </si>
  <si>
    <t>Asumboa</t>
  </si>
  <si>
    <t>aua</t>
  </si>
  <si>
    <t>asun1235</t>
  </si>
  <si>
    <t>nupo1239</t>
  </si>
  <si>
    <t>Asu (Nigeria)</t>
  </si>
  <si>
    <t>aum</t>
  </si>
  <si>
    <t>asun1236</t>
  </si>
  <si>
    <t>cent2146</t>
  </si>
  <si>
    <t>Asunci√≥n Mixtepec Zapotec</t>
  </si>
  <si>
    <t>zoo</t>
  </si>
  <si>
    <t>asur1254</t>
  </si>
  <si>
    <t>asur1255</t>
  </si>
  <si>
    <t>Asuri</t>
  </si>
  <si>
    <t>asr</t>
  </si>
  <si>
    <t>mund1336</t>
  </si>
  <si>
    <t>Asuric</t>
  </si>
  <si>
    <t>asut1235</t>
  </si>
  <si>
    <t>pare1274</t>
  </si>
  <si>
    <t>Asu (Tanzania)</t>
  </si>
  <si>
    <t>asa</t>
  </si>
  <si>
    <t>KE TZ</t>
  </si>
  <si>
    <t>ataa1240</t>
  </si>
  <si>
    <t>unun9997</t>
  </si>
  <si>
    <t>Ata</t>
  </si>
  <si>
    <t>atm</t>
  </si>
  <si>
    <t>ataa1241</t>
  </si>
  <si>
    <t>pele1245</t>
  </si>
  <si>
    <t>Ata (New Britain)</t>
  </si>
  <si>
    <t>atab1238</t>
  </si>
  <si>
    <t>obol1243</t>
  </si>
  <si>
    <t>Ataba</t>
  </si>
  <si>
    <t>atac1235</t>
  </si>
  <si>
    <t>Atacame</t>
  </si>
  <si>
    <t>EC</t>
  </si>
  <si>
    <t>atak1250</t>
  </si>
  <si>
    <t>borg1235</t>
  </si>
  <si>
    <t>Atakora Fulfulde</t>
  </si>
  <si>
    <t>atak1251</t>
  </si>
  <si>
    <t>tyap1238</t>
  </si>
  <si>
    <t>Atakat</t>
  </si>
  <si>
    <t>atak1252</t>
  </si>
  <si>
    <t>Atakapa</t>
  </si>
  <si>
    <t>aqp</t>
  </si>
  <si>
    <t>atal1239</t>
  </si>
  <si>
    <t>dege1246</t>
  </si>
  <si>
    <t>Atala</t>
  </si>
  <si>
    <t>atam1239</t>
  </si>
  <si>
    <t>urad1238</t>
  </si>
  <si>
    <t>Atampaya</t>
  </si>
  <si>
    <t>amz</t>
  </si>
  <si>
    <t>atam1240</t>
  </si>
  <si>
    <t>cent2088</t>
  </si>
  <si>
    <t>Ata Manobo</t>
  </si>
  <si>
    <t>atd</t>
  </si>
  <si>
    <t>atan1241</t>
  </si>
  <si>
    <t>soge1235</t>
  </si>
  <si>
    <t>West Sogeram</t>
  </si>
  <si>
    <t>atar1237</t>
  </si>
  <si>
    <t>malo1243</t>
  </si>
  <si>
    <t>Ataripoe</t>
  </si>
  <si>
    <t>atat1238</t>
  </si>
  <si>
    <t>west2824</t>
  </si>
  <si>
    <t>Atatl√°huca Mixtec</t>
  </si>
  <si>
    <t>mib</t>
  </si>
  <si>
    <t>atay1246</t>
  </si>
  <si>
    <t>Atayalic</t>
  </si>
  <si>
    <t>Atayal</t>
  </si>
  <si>
    <t>atch1238</t>
  </si>
  <si>
    <t>urip1239</t>
  </si>
  <si>
    <t>Atchin</t>
  </si>
  <si>
    <t>atem1241</t>
  </si>
  <si>
    <t>Mand</t>
  </si>
  <si>
    <t>ate</t>
  </si>
  <si>
    <t>ates1238</t>
  </si>
  <si>
    <t>Atesino</t>
  </si>
  <si>
    <t>Athabaskan-Eyak-Tlingit</t>
  </si>
  <si>
    <t>atha1246</t>
  </si>
  <si>
    <t>Athabaskan-Eyak</t>
  </si>
  <si>
    <t>Athabaskan</t>
  </si>
  <si>
    <t>athe1238</t>
  </si>
  <si>
    <t>ioni1242</t>
  </si>
  <si>
    <t>Athens</t>
  </si>
  <si>
    <t>athi1234</t>
  </si>
  <si>
    <t>kunj1248</t>
  </si>
  <si>
    <t>Athima</t>
  </si>
  <si>
    <t>atho1238</t>
  </si>
  <si>
    <t>sout2834</t>
  </si>
  <si>
    <t>Athoc</t>
  </si>
  <si>
    <t>athp1240</t>
  </si>
  <si>
    <t>grea1285</t>
  </si>
  <si>
    <t>Athpariyic</t>
  </si>
  <si>
    <t>athp1241</t>
  </si>
  <si>
    <t>Athpariya</t>
  </si>
  <si>
    <t>aph</t>
  </si>
  <si>
    <t>NP</t>
  </si>
  <si>
    <t>atii1237</t>
  </si>
  <si>
    <t>Ati</t>
  </si>
  <si>
    <t>atk</t>
  </si>
  <si>
    <t>atik1240</t>
  </si>
  <si>
    <t>cree1271</t>
  </si>
  <si>
    <t>Atikamekw</t>
  </si>
  <si>
    <t>atj</t>
  </si>
  <si>
    <t>atim1239</t>
  </si>
  <si>
    <t>Atimelang</t>
  </si>
  <si>
    <t>atin1240</t>
  </si>
  <si>
    <t>lazz1240</t>
  </si>
  <si>
    <t>Atina</t>
  </si>
  <si>
    <t>atin1241</t>
  </si>
  <si>
    <t>bola1252</t>
  </si>
  <si>
    <t>Atinggola</t>
  </si>
  <si>
    <t>atis1238</t>
  </si>
  <si>
    <t>epie1238</t>
  </si>
  <si>
    <t>Atisa</t>
  </si>
  <si>
    <t>atit1238</t>
  </si>
  <si>
    <t>mixe1284</t>
  </si>
  <si>
    <t>nort2939</t>
  </si>
  <si>
    <t>Atitl√≠n Mixe</t>
  </si>
  <si>
    <t>atiu1237</t>
  </si>
  <si>
    <t>Atiu</t>
  </si>
  <si>
    <t>atla1270</t>
  </si>
  <si>
    <t>cent2144</t>
  </si>
  <si>
    <t>Atlacomulco-Temascalcingo</t>
  </si>
  <si>
    <t>atla1271</t>
  </si>
  <si>
    <t>Atlamajalcingo del Monte</t>
  </si>
  <si>
    <t>kaby1244</t>
  </si>
  <si>
    <t>Atlas Berber</t>
  </si>
  <si>
    <t>Atlantic-Congo</t>
  </si>
  <si>
    <t>atla1280</t>
  </si>
  <si>
    <t>Atlantic-Congo (Unattested)</t>
  </si>
  <si>
    <t>Atlantic-Congo Speech Register</t>
  </si>
  <si>
    <t>atla1283</t>
  </si>
  <si>
    <t>cana1268</t>
  </si>
  <si>
    <t>Atlantic Provinces English</t>
  </si>
  <si>
    <t>atoh1238</t>
  </si>
  <si>
    <t>kaya1327</t>
  </si>
  <si>
    <t>Atohwaim</t>
  </si>
  <si>
    <t>aqm</t>
  </si>
  <si>
    <t>aton1241</t>
  </si>
  <si>
    <t>koch1249</t>
  </si>
  <si>
    <t>Atong (India)</t>
  </si>
  <si>
    <t>aot</t>
  </si>
  <si>
    <t>BD IN</t>
  </si>
  <si>
    <t>aton1242</t>
  </si>
  <si>
    <t>menk1239</t>
  </si>
  <si>
    <t>Atong</t>
  </si>
  <si>
    <t>ato</t>
  </si>
  <si>
    <t>ator1243</t>
  </si>
  <si>
    <t>Atorai</t>
  </si>
  <si>
    <t>ator1244</t>
  </si>
  <si>
    <t>wapi1252</t>
  </si>
  <si>
    <t>Atorada</t>
  </si>
  <si>
    <t>aox</t>
  </si>
  <si>
    <t>BR GY</t>
  </si>
  <si>
    <t>atra1235</t>
  </si>
  <si>
    <t>Atrato</t>
  </si>
  <si>
    <t>atru1239</t>
  </si>
  <si>
    <t>waim1253</t>
  </si>
  <si>
    <t>Atruah√≠</t>
  </si>
  <si>
    <t>atru1243</t>
  </si>
  <si>
    <t>Atrush</t>
  </si>
  <si>
    <t>atsa1241</t>
  </si>
  <si>
    <t>piti1242</t>
  </si>
  <si>
    <t>Atsam</t>
  </si>
  <si>
    <t>cch</t>
  </si>
  <si>
    <t>atsa1242</t>
  </si>
  <si>
    <t>Atsahuaca</t>
  </si>
  <si>
    <t>atc</t>
  </si>
  <si>
    <t>atsi1239</t>
  </si>
  <si>
    <t>Atsilima</t>
  </si>
  <si>
    <t>atsu1245</t>
  </si>
  <si>
    <t>Atsugewi</t>
  </si>
  <si>
    <t>atw</t>
  </si>
  <si>
    <t>atta1243</t>
  </si>
  <si>
    <t>mudu1245</t>
  </si>
  <si>
    <t>Attapady Kurumba</t>
  </si>
  <si>
    <t>pkr</t>
  </si>
  <si>
    <t>atta1244</t>
  </si>
  <si>
    <t>Atta</t>
  </si>
  <si>
    <t>atti1239</t>
  </si>
  <si>
    <t>Atti√©</t>
  </si>
  <si>
    <t>ati</t>
  </si>
  <si>
    <t>atti1240</t>
  </si>
  <si>
    <t>Attic</t>
  </si>
  <si>
    <t>atto1238</t>
  </si>
  <si>
    <t>sout2668</t>
  </si>
  <si>
    <t>Attock Hindko</t>
  </si>
  <si>
    <t>atue1238</t>
  </si>
  <si>
    <t>Atuence</t>
  </si>
  <si>
    <t>atf</t>
  </si>
  <si>
    <t>atum1238</t>
  </si>
  <si>
    <t>ligb1244</t>
  </si>
  <si>
    <t>Atumfuor</t>
  </si>
  <si>
    <t>atzi1235</t>
  </si>
  <si>
    <t>matl1258</t>
  </si>
  <si>
    <t>Atzingo Matlatzinca</t>
  </si>
  <si>
    <t>ocu</t>
  </si>
  <si>
    <t>auaa1240</t>
  </si>
  <si>
    <t>pile1238</t>
  </si>
  <si>
    <t>Aua (Pileni)</t>
  </si>
  <si>
    <t>auaa1241</t>
  </si>
  <si>
    <t>wuvu1239</t>
  </si>
  <si>
    <t>Aua</t>
  </si>
  <si>
    <t>hage1248</t>
  </si>
  <si>
    <t>Aua-Gawil</t>
  </si>
  <si>
    <t>auch1238</t>
  </si>
  <si>
    <t>yekh1238</t>
  </si>
  <si>
    <t>Auchi</t>
  </si>
  <si>
    <t>auga1239</t>
  </si>
  <si>
    <t>ukaa1243</t>
  </si>
  <si>
    <t>Auga</t>
  </si>
  <si>
    <t>augu1237</t>
  </si>
  <si>
    <t>Augustinian Sign Language</t>
  </si>
  <si>
    <t>augu1243</t>
  </si>
  <si>
    <t>Augu</t>
  </si>
  <si>
    <t>auhe1237</t>
  </si>
  <si>
    <t>suau1243</t>
  </si>
  <si>
    <t>'Auhelawa</t>
  </si>
  <si>
    <t>kud</t>
  </si>
  <si>
    <t>auia1238</t>
  </si>
  <si>
    <t>pauw1244</t>
  </si>
  <si>
    <t>kark1258</t>
  </si>
  <si>
    <t>Auia-Tarauwi</t>
  </si>
  <si>
    <t>auks1239</t>
  </si>
  <si>
    <t>Aukshtaitish</t>
  </si>
  <si>
    <t>aulu1238</t>
  </si>
  <si>
    <t>cent2315</t>
  </si>
  <si>
    <t>Aulua</t>
  </si>
  <si>
    <t>aul</t>
  </si>
  <si>
    <t>aume1238</t>
  </si>
  <si>
    <t>geel1240</t>
  </si>
  <si>
    <t>bauz1241</t>
  </si>
  <si>
    <t>Aumenefa</t>
  </si>
  <si>
    <t>auni1243</t>
  </si>
  <si>
    <t>tuuu1241</t>
  </si>
  <si>
    <t>nuuu1241</t>
  </si>
  <si>
    <t>|'Au</t>
  </si>
  <si>
    <t>auni1244</t>
  </si>
  <si>
    <t>lowe1407</t>
  </si>
  <si>
    <t>Auni</t>
  </si>
  <si>
    <t>auol1234</t>
  </si>
  <si>
    <t>Au-Olo-Elkei</t>
  </si>
  <si>
    <t>aura1242</t>
  </si>
  <si>
    <t>pawa1255</t>
  </si>
  <si>
    <t>Aurama</t>
  </si>
  <si>
    <t>aura1243</t>
  </si>
  <si>
    <t>guaj1260</t>
  </si>
  <si>
    <t>Aur√™ y Aur√°</t>
  </si>
  <si>
    <t>aux</t>
  </si>
  <si>
    <t>aure1239</t>
  </si>
  <si>
    <t>tebe1251</t>
  </si>
  <si>
    <t>folo1238</t>
  </si>
  <si>
    <t>Aurei</t>
  </si>
  <si>
    <t>bemb1256</t>
  </si>
  <si>
    <t>Aushi</t>
  </si>
  <si>
    <t>CD ZM</t>
  </si>
  <si>
    <t>aush1242</t>
  </si>
  <si>
    <t>zapa1252</t>
  </si>
  <si>
    <t>Aushiri</t>
  </si>
  <si>
    <t>avs</t>
  </si>
  <si>
    <t>auss1240</t>
  </si>
  <si>
    <t>Aussa</t>
  </si>
  <si>
    <t>aust1242</t>
  </si>
  <si>
    <t>hiri1237</t>
  </si>
  <si>
    <t>Austronesian Hiri Motu</t>
  </si>
  <si>
    <t>aust1252</t>
  </si>
  <si>
    <t>Austrian Sign Language</t>
  </si>
  <si>
    <t>asq</t>
  </si>
  <si>
    <t>AT</t>
  </si>
  <si>
    <t>aust1253</t>
  </si>
  <si>
    <t>auxi1235</t>
  </si>
  <si>
    <t>Australian Aborigines Sign Language</t>
  </si>
  <si>
    <t>asw</t>
  </si>
  <si>
    <t>aust1271</t>
  </si>
  <si>
    <t>aust1310</t>
  </si>
  <si>
    <t>Auslan</t>
  </si>
  <si>
    <t>asf</t>
  </si>
  <si>
    <t>aust1304</t>
  </si>
  <si>
    <t>tahi1244</t>
  </si>
  <si>
    <t>Austral</t>
  </si>
  <si>
    <t>aut</t>
  </si>
  <si>
    <t>PF</t>
  </si>
  <si>
    <t>Austroasiatic</t>
  </si>
  <si>
    <t>Austronesian</t>
  </si>
  <si>
    <t>banz1243</t>
  </si>
  <si>
    <t>Auslan-PNG Sign</t>
  </si>
  <si>
    <t>aust1312</t>
  </si>
  <si>
    <t>Austronesian (Unattested)</t>
  </si>
  <si>
    <t>auuu1241</t>
  </si>
  <si>
    <t>Au</t>
  </si>
  <si>
    <t>avt</t>
  </si>
  <si>
    <t>auve1239</t>
  </si>
  <si>
    <t>nort2608</t>
  </si>
  <si>
    <t>Auvergnat Occitan</t>
  </si>
  <si>
    <t>auve1240</t>
  </si>
  <si>
    <t>Auvergnat</t>
  </si>
  <si>
    <t>auv</t>
  </si>
  <si>
    <t>auwa1241</t>
  </si>
  <si>
    <t>Auwaka</t>
  </si>
  <si>
    <t>auwa1242</t>
  </si>
  <si>
    <t>Auwa</t>
  </si>
  <si>
    <t>auwe1239</t>
  </si>
  <si>
    <t>nucl1773</t>
  </si>
  <si>
    <t>Auwe</t>
  </si>
  <si>
    <t>smf</t>
  </si>
  <si>
    <t>Auxiliary Sign Systems</t>
  </si>
  <si>
    <t>auya1234</t>
  </si>
  <si>
    <t>gauw1235</t>
  </si>
  <si>
    <t>Auyana</t>
  </si>
  <si>
    <t>auye1238</t>
  </si>
  <si>
    <t>auye1239</t>
  </si>
  <si>
    <t>Auye</t>
  </si>
  <si>
    <t>auu</t>
  </si>
  <si>
    <t>pani1259</t>
  </si>
  <si>
    <t>Auye-Dao</t>
  </si>
  <si>
    <t>auyo1240</t>
  </si>
  <si>
    <t>shir1276</t>
  </si>
  <si>
    <t>Auyokawa</t>
  </si>
  <si>
    <t>auo</t>
  </si>
  <si>
    <t>avaa1240</t>
  </si>
  <si>
    <t>east2555</t>
  </si>
  <si>
    <t>Ava</t>
  </si>
  <si>
    <t>avac1239</t>
  </si>
  <si>
    <t>guaj1258</t>
  </si>
  <si>
    <t>Av√°-Canoeiro</t>
  </si>
  <si>
    <t>avv</t>
  </si>
  <si>
    <t>aval1237</t>
  </si>
  <si>
    <t>Alavan</t>
  </si>
  <si>
    <t>avam1236</t>
  </si>
  <si>
    <t>Avam</t>
  </si>
  <si>
    <t>dagh1238</t>
  </si>
  <si>
    <t>Avar-Andic-Tsezic</t>
  </si>
  <si>
    <t>Avar</t>
  </si>
  <si>
    <t>ava</t>
  </si>
  <si>
    <t>AZ GE RU TR</t>
  </si>
  <si>
    <t>avar1257</t>
  </si>
  <si>
    <t>ndoo1242</t>
  </si>
  <si>
    <t>Avari</t>
  </si>
  <si>
    <t>avas1237</t>
  </si>
  <si>
    <t>baba1268</t>
  </si>
  <si>
    <t>Avas√∂</t>
  </si>
  <si>
    <t>avat1243</t>
  </si>
  <si>
    <t>kato1245</t>
  </si>
  <si>
    <t>Avatime-Nyangbo</t>
  </si>
  <si>
    <t>avat1244</t>
  </si>
  <si>
    <t>Avatime</t>
  </si>
  <si>
    <t>avn</t>
  </si>
  <si>
    <t>avau1237</t>
  </si>
  <si>
    <t>Avau</t>
  </si>
  <si>
    <t>avb</t>
  </si>
  <si>
    <t>aven1238</t>
  </si>
  <si>
    <t>Aveno</t>
  </si>
  <si>
    <t>aver1239</t>
  </si>
  <si>
    <t>Averi</t>
  </si>
  <si>
    <t>aves1237</t>
  </si>
  <si>
    <t>Avestan</t>
  </si>
  <si>
    <t>ave</t>
  </si>
  <si>
    <t>avia1241</t>
  </si>
  <si>
    <t>Avianwu</t>
  </si>
  <si>
    <t>avia1242</t>
  </si>
  <si>
    <t>isok1239</t>
  </si>
  <si>
    <t>Aviara</t>
  </si>
  <si>
    <t>avie1238</t>
  </si>
  <si>
    <t>Aviele</t>
  </si>
  <si>
    <t>Avikam-Alladian</t>
  </si>
  <si>
    <t>avik1243</t>
  </si>
  <si>
    <t>Avikam</t>
  </si>
  <si>
    <t>avi</t>
  </si>
  <si>
    <t>Avokaya</t>
  </si>
  <si>
    <t>avu</t>
  </si>
  <si>
    <t>CD SD</t>
  </si>
  <si>
    <t>avok1243</t>
  </si>
  <si>
    <t>Avokaya Pur</t>
  </si>
  <si>
    <t>avok1244</t>
  </si>
  <si>
    <t>port1295</t>
  </si>
  <si>
    <t>Avok</t>
  </si>
  <si>
    <t>avun1237</t>
  </si>
  <si>
    <t>Avunatari</t>
  </si>
  <si>
    <t>awaa1246</t>
  </si>
  <si>
    <t>imbo1238</t>
  </si>
  <si>
    <t>Awa</t>
  </si>
  <si>
    <t>awab1243</t>
  </si>
  <si>
    <t>hunt1235</t>
  </si>
  <si>
    <t>Awabakal</t>
  </si>
  <si>
    <t>awk</t>
  </si>
  <si>
    <t>awab1244</t>
  </si>
  <si>
    <t>Awabagal</t>
  </si>
  <si>
    <t>awac1238</t>
  </si>
  <si>
    <t>waaa1245</t>
  </si>
  <si>
    <t>Ximeng-Menglian Awa</t>
  </si>
  <si>
    <t>vwa</t>
  </si>
  <si>
    <t>awac1239</t>
  </si>
  <si>
    <t>barb1265</t>
  </si>
  <si>
    <t>unun9945</t>
  </si>
  <si>
    <t>Awa-Cuaiquer</t>
  </si>
  <si>
    <t>kwi</t>
  </si>
  <si>
    <t>CO EC</t>
  </si>
  <si>
    <t>awad1243</t>
  </si>
  <si>
    <t>east2726</t>
  </si>
  <si>
    <t>Awadhi</t>
  </si>
  <si>
    <t>awa</t>
  </si>
  <si>
    <t>awad1244</t>
  </si>
  <si>
    <t>Awad Bing</t>
  </si>
  <si>
    <t>bcu</t>
  </si>
  <si>
    <t>awag1234</t>
  </si>
  <si>
    <t>Aw√° (Guaj√°)</t>
  </si>
  <si>
    <t>awak1249</t>
  </si>
  <si>
    <t>tula1251</t>
  </si>
  <si>
    <t>Awak-Kamo</t>
  </si>
  <si>
    <t>awak1250</t>
  </si>
  <si>
    <t>Awak</t>
  </si>
  <si>
    <t>awo</t>
  </si>
  <si>
    <t>awal1237</t>
  </si>
  <si>
    <t>diod1237</t>
  </si>
  <si>
    <t>Awale</t>
  </si>
  <si>
    <t>awan1239</t>
  </si>
  <si>
    <t>Awan</t>
  </si>
  <si>
    <t>awao1234</t>
  </si>
  <si>
    <t>Awa-Oweina</t>
  </si>
  <si>
    <t>awap1236</t>
  </si>
  <si>
    <t>Awa (Papua New Guinea)</t>
  </si>
  <si>
    <t>awb</t>
  </si>
  <si>
    <t>awar1248</t>
  </si>
  <si>
    <t>want1253</t>
  </si>
  <si>
    <t>Awara</t>
  </si>
  <si>
    <t>awx</t>
  </si>
  <si>
    <t>awar1249</t>
  </si>
  <si>
    <t>bosn1247</t>
  </si>
  <si>
    <t>Awar</t>
  </si>
  <si>
    <t>aya</t>
  </si>
  <si>
    <t>away1237</t>
  </si>
  <si>
    <t>tawa1275</t>
  </si>
  <si>
    <t>Awayama</t>
  </si>
  <si>
    <t>awbo1238</t>
  </si>
  <si>
    <t>bayo1259</t>
  </si>
  <si>
    <t>Awbono</t>
  </si>
  <si>
    <t>awh</t>
  </si>
  <si>
    <t>awee1240</t>
  </si>
  <si>
    <t>peng1244</t>
  </si>
  <si>
    <t>Awe</t>
  </si>
  <si>
    <t>awee1241</t>
  </si>
  <si>
    <t>A'we</t>
  </si>
  <si>
    <t>awee1242</t>
  </si>
  <si>
    <t>karr1237</t>
  </si>
  <si>
    <t>Aweer</t>
  </si>
  <si>
    <t>bob</t>
  </si>
  <si>
    <t>KE SO</t>
  </si>
  <si>
    <t>aweg1238</t>
  </si>
  <si>
    <t>Awege</t>
  </si>
  <si>
    <t>awem1238</t>
  </si>
  <si>
    <t>moni1261</t>
  </si>
  <si>
    <t>Awembak</t>
  </si>
  <si>
    <t>awer1241</t>
  </si>
  <si>
    <t>lake1255</t>
  </si>
  <si>
    <t>farw1236</t>
  </si>
  <si>
    <t>Awera</t>
  </si>
  <si>
    <t>awr</t>
  </si>
  <si>
    <t>awet1244</t>
  </si>
  <si>
    <t>awet1245</t>
  </si>
  <si>
    <t>Awet√≠</t>
  </si>
  <si>
    <t>awe</t>
  </si>
  <si>
    <t>Aweti-Guarani</t>
  </si>
  <si>
    <t>awin1248</t>
  </si>
  <si>
    <t>ngem1254</t>
  </si>
  <si>
    <t>Awing</t>
  </si>
  <si>
    <t>azo</t>
  </si>
  <si>
    <t>Elevala</t>
  </si>
  <si>
    <t>awit1237</t>
  </si>
  <si>
    <t>Awit</t>
  </si>
  <si>
    <t>awiy1238</t>
  </si>
  <si>
    <t>Awiyaana</t>
  </si>
  <si>
    <t>auy</t>
  </si>
  <si>
    <t>awji1241</t>
  </si>
  <si>
    <t>Awjilah</t>
  </si>
  <si>
    <t>auj</t>
  </si>
  <si>
    <t>LY</t>
  </si>
  <si>
    <t>awng1244</t>
  </si>
  <si>
    <t>cent2193</t>
  </si>
  <si>
    <t>Awngi</t>
  </si>
  <si>
    <t>awn</t>
  </si>
  <si>
    <t>awng1245</t>
  </si>
  <si>
    <t>tyan1235</t>
  </si>
  <si>
    <t>Awngthim</t>
  </si>
  <si>
    <t>gwm</t>
  </si>
  <si>
    <t>awor1241</t>
  </si>
  <si>
    <t>Aworo</t>
  </si>
  <si>
    <t>awor1242</t>
  </si>
  <si>
    <t>Awori</t>
  </si>
  <si>
    <t>awtu1239</t>
  </si>
  <si>
    <t>ramm1241</t>
  </si>
  <si>
    <t>Awtuw</t>
  </si>
  <si>
    <t>kmn</t>
  </si>
  <si>
    <t>awun1244</t>
  </si>
  <si>
    <t>Awuna</t>
  </si>
  <si>
    <t>awun1245</t>
  </si>
  <si>
    <t>Auwon</t>
  </si>
  <si>
    <t>aww</t>
  </si>
  <si>
    <t>awut1241</t>
  </si>
  <si>
    <t>sout2781</t>
  </si>
  <si>
    <t>Awutu</t>
  </si>
  <si>
    <t>afu</t>
  </si>
  <si>
    <t>awuu1235</t>
  </si>
  <si>
    <t>nucl1739</t>
  </si>
  <si>
    <t>Southern Awu (Lope)</t>
  </si>
  <si>
    <t>yiu</t>
  </si>
  <si>
    <t>awyi1241</t>
  </si>
  <si>
    <t>taik1254</t>
  </si>
  <si>
    <t>Awyi</t>
  </si>
  <si>
    <t>auw</t>
  </si>
  <si>
    <t>awyu1263</t>
  </si>
  <si>
    <t>grea1275</t>
  </si>
  <si>
    <t>Awyu-Dumut</t>
  </si>
  <si>
    <t>Awyu</t>
  </si>
  <si>
    <t>awyu1265</t>
  </si>
  <si>
    <t>Awyu-Ok</t>
  </si>
  <si>
    <t>axam1237</t>
  </si>
  <si>
    <t>Axamb</t>
  </si>
  <si>
    <t>ahb</t>
  </si>
  <si>
    <t>axel1238</t>
  </si>
  <si>
    <t>zeeu1238</t>
  </si>
  <si>
    <t>Axels</t>
  </si>
  <si>
    <t>axiy1235</t>
  </si>
  <si>
    <t>sani1275</t>
  </si>
  <si>
    <t>Axi Yi</t>
  </si>
  <si>
    <t>yix</t>
  </si>
  <si>
    <t>ayab1239</t>
  </si>
  <si>
    <t>umbi1242</t>
  </si>
  <si>
    <t>Yintyinka-Ayabadhu</t>
  </si>
  <si>
    <t>ayd</t>
  </si>
  <si>
    <t>quec1389</t>
  </si>
  <si>
    <t>Ayacuchan Quechua</t>
  </si>
  <si>
    <t>Ayacucho Quechua</t>
  </si>
  <si>
    <t>ayan1239</t>
  </si>
  <si>
    <t>bata1298</t>
  </si>
  <si>
    <t>Ayangan Ifugao</t>
  </si>
  <si>
    <t>ayau1235</t>
  </si>
  <si>
    <t>cent2301</t>
  </si>
  <si>
    <t>Ayautla Mazatec</t>
  </si>
  <si>
    <t>vmy</t>
  </si>
  <si>
    <t>Ayere-Ahan</t>
  </si>
  <si>
    <t>ayer1245</t>
  </si>
  <si>
    <t>Ayere</t>
  </si>
  <si>
    <t>aye</t>
  </si>
  <si>
    <t>ayer1246</t>
  </si>
  <si>
    <t>Ayerrerenge</t>
  </si>
  <si>
    <t>axe</t>
  </si>
  <si>
    <t>ayic1234</t>
  </si>
  <si>
    <t>Ayi (China)</t>
  </si>
  <si>
    <t>ayx</t>
  </si>
  <si>
    <t>ayip1235</t>
  </si>
  <si>
    <t>yimi1235</t>
  </si>
  <si>
    <t>Ayi (Papua New Guinea)</t>
  </si>
  <si>
    <t>ayq</t>
  </si>
  <si>
    <t>ayiw1239</t>
  </si>
  <si>
    <t>reef1242</t>
  </si>
  <si>
    <t>√Ñiwoo</t>
  </si>
  <si>
    <t>nfl</t>
  </si>
  <si>
    <t>ayiz1244</t>
  </si>
  <si>
    <t>unun9955</t>
  </si>
  <si>
    <t>Ayizi</t>
  </si>
  <si>
    <t>yyz</t>
  </si>
  <si>
    <t>ayiz1245</t>
  </si>
  <si>
    <t>east2711</t>
  </si>
  <si>
    <t>Ayizo Gbe</t>
  </si>
  <si>
    <t>ayb</t>
  </si>
  <si>
    <t>BJ</t>
  </si>
  <si>
    <t>ayiz1246</t>
  </si>
  <si>
    <t>Ayizo-Seto</t>
  </si>
  <si>
    <t>ayiz1247</t>
  </si>
  <si>
    <t>Ayizo-Tori</t>
  </si>
  <si>
    <t>ayiz1248</t>
  </si>
  <si>
    <t>Ayizo-Kobe</t>
  </si>
  <si>
    <t>Aymaran</t>
  </si>
  <si>
    <t>ayna1239</t>
  </si>
  <si>
    <t>Aynallu</t>
  </si>
  <si>
    <t>aynt1234</t>
  </si>
  <si>
    <t>Ayntab</t>
  </si>
  <si>
    <t>ayom1234</t>
  </si>
  <si>
    <t>jira1235</t>
  </si>
  <si>
    <t>Ayom√°n</t>
  </si>
  <si>
    <t>ayoq1235</t>
  </si>
  <si>
    <t>Ayoquesco Zapotec</t>
  </si>
  <si>
    <t>zaf</t>
  </si>
  <si>
    <t>ayor1240</t>
  </si>
  <si>
    <t>zamu1243</t>
  </si>
  <si>
    <t>zamu1244</t>
  </si>
  <si>
    <t>Ayoreo</t>
  </si>
  <si>
    <t>ayo</t>
  </si>
  <si>
    <t>BO PY</t>
  </si>
  <si>
    <t>ayot1238</t>
  </si>
  <si>
    <t>ozum1235</t>
  </si>
  <si>
    <t>Ayotzintepec</t>
  </si>
  <si>
    <t>ayri1234</t>
  </si>
  <si>
    <t>beto1236</t>
  </si>
  <si>
    <t>situ1240</t>
  </si>
  <si>
    <t>Ayrico</t>
  </si>
  <si>
    <t>ayta1251</t>
  </si>
  <si>
    <t>boto1242</t>
  </si>
  <si>
    <t>Ayta Hambali</t>
  </si>
  <si>
    <t>aytw1238</t>
  </si>
  <si>
    <t>ghad1239</t>
  </si>
  <si>
    <t>Ayt Waziten</t>
  </si>
  <si>
    <t>ayun1238</t>
  </si>
  <si>
    <t>jola1262</t>
  </si>
  <si>
    <t>Ayun</t>
  </si>
  <si>
    <t>ayut1236</t>
  </si>
  <si>
    <t>sout3179</t>
  </si>
  <si>
    <t>Ayutla Mixtec</t>
  </si>
  <si>
    <t>miy</t>
  </si>
  <si>
    <t>ayuu1242</t>
  </si>
  <si>
    <t>ninz1247</t>
  </si>
  <si>
    <t>Ayu</t>
  </si>
  <si>
    <t>ayu</t>
  </si>
  <si>
    <t>azan1238</t>
  </si>
  <si>
    <t>Az√°ngaro-Huang√°scar-Chocos</t>
  </si>
  <si>
    <t>azaw1238</t>
  </si>
  <si>
    <t>Azawagh</t>
  </si>
  <si>
    <t>azer1255</t>
  </si>
  <si>
    <t>nucl1769</t>
  </si>
  <si>
    <t>Central Oghuz</t>
  </si>
  <si>
    <t>azer1256</t>
  </si>
  <si>
    <t>soni1259</t>
  </si>
  <si>
    <t>Azer</t>
  </si>
  <si>
    <t>azha1235</t>
  </si>
  <si>
    <t>sani1266</t>
  </si>
  <si>
    <t>Azha</t>
  </si>
  <si>
    <t>aza</t>
  </si>
  <si>
    <t>azhe1235</t>
  </si>
  <si>
    <t>Azhe</t>
  </si>
  <si>
    <t>yiz</t>
  </si>
  <si>
    <t>azhi1238</t>
  </si>
  <si>
    <t>Azhiga</t>
  </si>
  <si>
    <t>azom1238</t>
  </si>
  <si>
    <t>pomo1271</t>
  </si>
  <si>
    <t>Azom</t>
  </si>
  <si>
    <t>azon1238</t>
  </si>
  <si>
    <t>sout2732</t>
  </si>
  <si>
    <t>Azonyu</t>
  </si>
  <si>
    <t>azoy1236</t>
  </si>
  <si>
    <t>Azoy√∫ Me'phaa</t>
  </si>
  <si>
    <t>tpc</t>
  </si>
  <si>
    <t>cora1261</t>
  </si>
  <si>
    <t>azza1238</t>
  </si>
  <si>
    <t>daza1242</t>
  </si>
  <si>
    <t>Azzaga</t>
  </si>
  <si>
    <t>b10b1234</t>
  </si>
  <si>
    <t>bant1295</t>
  </si>
  <si>
    <t>B10-B30</t>
  </si>
  <si>
    <t>baaa1237</t>
  </si>
  <si>
    <t>lole1239</t>
  </si>
  <si>
    <t>Ba'a</t>
  </si>
  <si>
    <t>baad1239</t>
  </si>
  <si>
    <t>Baadu</t>
  </si>
  <si>
    <t>baag1244</t>
  </si>
  <si>
    <t>bang1347</t>
  </si>
  <si>
    <t>Baagato</t>
  </si>
  <si>
    <t>baal1234</t>
  </si>
  <si>
    <t>surm1244</t>
  </si>
  <si>
    <t>sout2838</t>
  </si>
  <si>
    <t>Baale-Olam</t>
  </si>
  <si>
    <t>baam1237</t>
  </si>
  <si>
    <t>ngaj1237</t>
  </si>
  <si>
    <t>Ba'amang</t>
  </si>
  <si>
    <t>baan1241</t>
  </si>
  <si>
    <t>west2469</t>
  </si>
  <si>
    <t>Baan</t>
  </si>
  <si>
    <t>bvj</t>
  </si>
  <si>
    <t>baan1242</t>
  </si>
  <si>
    <t>east2739</t>
  </si>
  <si>
    <t>Baangi</t>
  </si>
  <si>
    <t>bqx</t>
  </si>
  <si>
    <t>baat1238</t>
  </si>
  <si>
    <t>sout3164</t>
  </si>
  <si>
    <t>Baatonum</t>
  </si>
  <si>
    <t>bba</t>
  </si>
  <si>
    <t>BJ NG</t>
  </si>
  <si>
    <t>baaz1234</t>
  </si>
  <si>
    <t>beez1239</t>
  </si>
  <si>
    <t>Baazem</t>
  </si>
  <si>
    <t>baba1263</t>
  </si>
  <si>
    <t>ngir1251</t>
  </si>
  <si>
    <t>Babango</t>
  </si>
  <si>
    <t>bbm</t>
  </si>
  <si>
    <t>baba1264</t>
  </si>
  <si>
    <t>mung1273</t>
  </si>
  <si>
    <t>Baba</t>
  </si>
  <si>
    <t>bbw</t>
  </si>
  <si>
    <t>baba1265</t>
  </si>
  <si>
    <t>ngom1271</t>
  </si>
  <si>
    <t>Babadjou</t>
  </si>
  <si>
    <t>baba1266</t>
  </si>
  <si>
    <t>cent2275</t>
  </si>
  <si>
    <t>Babanki</t>
  </si>
  <si>
    <t>bbk</t>
  </si>
  <si>
    <t>baba1267</t>
  </si>
  <si>
    <t>vehi1234</t>
  </si>
  <si>
    <t>Baba Malay</t>
  </si>
  <si>
    <t>mbf</t>
  </si>
  <si>
    <t>MY SG</t>
  </si>
  <si>
    <t>sout3208</t>
  </si>
  <si>
    <t>Babatana</t>
  </si>
  <si>
    <t>baa</t>
  </si>
  <si>
    <t>baba1269</t>
  </si>
  <si>
    <t>Babagarupu</t>
  </si>
  <si>
    <t>baba1270</t>
  </si>
  <si>
    <t>Babaga</t>
  </si>
  <si>
    <t>baba1272</t>
  </si>
  <si>
    <t>galo1243</t>
  </si>
  <si>
    <t>Baba (East Timor)</t>
  </si>
  <si>
    <t>baba1273</t>
  </si>
  <si>
    <t>Babalia Creole Arabic</t>
  </si>
  <si>
    <t>bbz</t>
  </si>
  <si>
    <t>baba1274</t>
  </si>
  <si>
    <t>Babar</t>
  </si>
  <si>
    <t>babb1238</t>
  </si>
  <si>
    <t>khan1278</t>
  </si>
  <si>
    <t>Babbe</t>
  </si>
  <si>
    <t>babe1238</t>
  </si>
  <si>
    <t>ngom1272</t>
  </si>
  <si>
    <t>Babete</t>
  </si>
  <si>
    <t>babi1235</t>
  </si>
  <si>
    <t>Babine</t>
  </si>
  <si>
    <t>bcr</t>
  </si>
  <si>
    <t>babo1241</t>
  </si>
  <si>
    <t>baka1273</t>
  </si>
  <si>
    <t>Babong</t>
  </si>
  <si>
    <t>babo1242</t>
  </si>
  <si>
    <t>nyin1250</t>
  </si>
  <si>
    <t>Babon</t>
  </si>
  <si>
    <t>babu1240</t>
  </si>
  <si>
    <t>cent2106</t>
  </si>
  <si>
    <t>Babuza</t>
  </si>
  <si>
    <t>bzg</t>
  </si>
  <si>
    <t>babu1241</t>
  </si>
  <si>
    <t>sout2822</t>
  </si>
  <si>
    <t>Babungoic</t>
  </si>
  <si>
    <t>babu1242</t>
  </si>
  <si>
    <t>ibat1238</t>
  </si>
  <si>
    <t>Babuyan</t>
  </si>
  <si>
    <t>baca1241</t>
  </si>
  <si>
    <t>Bacadin</t>
  </si>
  <si>
    <t>baca1242</t>
  </si>
  <si>
    <t>Baca (South Africa)</t>
  </si>
  <si>
    <t>baca1243</t>
  </si>
  <si>
    <t>brun1246</t>
  </si>
  <si>
    <t>Bacanese Malay</t>
  </si>
  <si>
    <t>btj</t>
  </si>
  <si>
    <t>baca1245</t>
  </si>
  <si>
    <t>bium1271</t>
  </si>
  <si>
    <t>Bacama-Yimburu</t>
  </si>
  <si>
    <t>baca1246</t>
  </si>
  <si>
    <t>Bacama</t>
  </si>
  <si>
    <t>bcy</t>
  </si>
  <si>
    <t>baca1247</t>
  </si>
  <si>
    <t>yamb1256</t>
  </si>
  <si>
    <t>Baca-Nuclear Yambasa</t>
  </si>
  <si>
    <t>baca1248</t>
  </si>
  <si>
    <t>Baca</t>
  </si>
  <si>
    <t>bach1242</t>
  </si>
  <si>
    <t>malv1243</t>
  </si>
  <si>
    <t>Bachadi</t>
  </si>
  <si>
    <t>bach1243</t>
  </si>
  <si>
    <t>bero1242</t>
  </si>
  <si>
    <t>Bachit-Gashish</t>
  </si>
  <si>
    <t>bach1244</t>
  </si>
  <si>
    <t>Bachen of Hor</t>
  </si>
  <si>
    <t>bact1239</t>
  </si>
  <si>
    <t>cent2318</t>
  </si>
  <si>
    <t>Bactrian</t>
  </si>
  <si>
    <t>xbc</t>
  </si>
  <si>
    <t>bada1257</t>
  </si>
  <si>
    <t>bada1263</t>
  </si>
  <si>
    <t>Badaga</t>
  </si>
  <si>
    <t>bfq</t>
  </si>
  <si>
    <t>bada1258</t>
  </si>
  <si>
    <t>jara1275</t>
  </si>
  <si>
    <t>Bada (Nigeria)</t>
  </si>
  <si>
    <t>bau</t>
  </si>
  <si>
    <t>bada1259</t>
  </si>
  <si>
    <t>dugu1249</t>
  </si>
  <si>
    <t>Badara Duguri</t>
  </si>
  <si>
    <t>bada1260</t>
  </si>
  <si>
    <t>sout2926</t>
  </si>
  <si>
    <t>Badaic</t>
  </si>
  <si>
    <t>Bada (Indonesia)</t>
  </si>
  <si>
    <t>bhz</t>
  </si>
  <si>
    <t>bada1262</t>
  </si>
  <si>
    <t>Bada</t>
  </si>
  <si>
    <t>tami1291</t>
  </si>
  <si>
    <t>Badaga-Kannada</t>
  </si>
  <si>
    <t>badd1234</t>
  </si>
  <si>
    <t>nucl1772</t>
  </si>
  <si>
    <t>Baddey Aweer</t>
  </si>
  <si>
    <t>bade1240</t>
  </si>
  <si>
    <t>indo1329</t>
  </si>
  <si>
    <t>Badeshi</t>
  </si>
  <si>
    <t>bdz</t>
  </si>
  <si>
    <t>bade1248</t>
  </si>
  <si>
    <t>shir1274</t>
  </si>
  <si>
    <t>Bade</t>
  </si>
  <si>
    <t>bde</t>
  </si>
  <si>
    <t>badh1238</t>
  </si>
  <si>
    <t>garh1243</t>
  </si>
  <si>
    <t>Badhani</t>
  </si>
  <si>
    <t>badi1244</t>
  </si>
  <si>
    <t>Badiotto</t>
  </si>
  <si>
    <t>badi1245</t>
  </si>
  <si>
    <t>sind1270</t>
  </si>
  <si>
    <t>Badin</t>
  </si>
  <si>
    <t>badi1246</t>
  </si>
  <si>
    <t>kart1250</t>
  </si>
  <si>
    <t>Badimaya</t>
  </si>
  <si>
    <t>bia</t>
  </si>
  <si>
    <t>badi1247</t>
  </si>
  <si>
    <t>ngka1236</t>
  </si>
  <si>
    <t>Ngkontar Baedi</t>
  </si>
  <si>
    <t>khd</t>
  </si>
  <si>
    <t>badj1244</t>
  </si>
  <si>
    <t>ngur1261</t>
  </si>
  <si>
    <t>Badjiri</t>
  </si>
  <si>
    <t>jbi</t>
  </si>
  <si>
    <t>badj1245</t>
  </si>
  <si>
    <t>ewon1239</t>
  </si>
  <si>
    <t>Badjia</t>
  </si>
  <si>
    <t>badu1237</t>
  </si>
  <si>
    <t>sund1251</t>
  </si>
  <si>
    <t>Badui</t>
  </si>
  <si>
    <t>bac</t>
  </si>
  <si>
    <t>badw1238</t>
  </si>
  <si>
    <t>koon1245</t>
  </si>
  <si>
    <t>Badwe'e</t>
  </si>
  <si>
    <t>bady1239</t>
  </si>
  <si>
    <t>jaad1234</t>
  </si>
  <si>
    <t>Jaad-Badyara</t>
  </si>
  <si>
    <t>pbp</t>
  </si>
  <si>
    <t>GN GW SN</t>
  </si>
  <si>
    <t>nort3284</t>
  </si>
  <si>
    <t>Baeggu</t>
  </si>
  <si>
    <t>bael1237</t>
  </si>
  <si>
    <t>Baelelea</t>
  </si>
  <si>
    <t>bvc</t>
  </si>
  <si>
    <t>baen1237</t>
  </si>
  <si>
    <t>Baenan</t>
  </si>
  <si>
    <t>baet1237</t>
  </si>
  <si>
    <t>maew1234</t>
  </si>
  <si>
    <t>Baetora</t>
  </si>
  <si>
    <t>btr</t>
  </si>
  <si>
    <t>bafa1247</t>
  </si>
  <si>
    <t>ngoe1239</t>
  </si>
  <si>
    <t>Bafaw-Balong</t>
  </si>
  <si>
    <t>bwt</t>
  </si>
  <si>
    <t>bafa1248</t>
  </si>
  <si>
    <t>Bafaw</t>
  </si>
  <si>
    <t>bafa1249</t>
  </si>
  <si>
    <t>bamo1241</t>
  </si>
  <si>
    <t>Bafanji</t>
  </si>
  <si>
    <t>bfj</t>
  </si>
  <si>
    <t>bafa1250</t>
  </si>
  <si>
    <t>uppe1455</t>
  </si>
  <si>
    <t>Bafat√° Creole</t>
  </si>
  <si>
    <t>bafe1238</t>
  </si>
  <si>
    <t>Bafeuk</t>
  </si>
  <si>
    <t>baff1240</t>
  </si>
  <si>
    <t>baff1241</t>
  </si>
  <si>
    <t>North Baffin Inuktitut</t>
  </si>
  <si>
    <t>Baffin Inuktitut</t>
  </si>
  <si>
    <t>bafi1243</t>
  </si>
  <si>
    <t>lefa1243</t>
  </si>
  <si>
    <t>Bafia</t>
  </si>
  <si>
    <t>ksf</t>
  </si>
  <si>
    <t>bafi1244</t>
  </si>
  <si>
    <t>Bafia (A.50)</t>
  </si>
  <si>
    <t>bafo1235</t>
  </si>
  <si>
    <t>unun9927</t>
  </si>
  <si>
    <t>Bafoto</t>
  </si>
  <si>
    <t>bafu1245</t>
  </si>
  <si>
    <t>Bafun</t>
  </si>
  <si>
    <t>bafu1247</t>
  </si>
  <si>
    <t>Bafut</t>
  </si>
  <si>
    <t>Bafut-Beba</t>
  </si>
  <si>
    <t>bafw1241</t>
  </si>
  <si>
    <t>budu1250</t>
  </si>
  <si>
    <t>Bafwakoyi</t>
  </si>
  <si>
    <t>bafw1242</t>
  </si>
  <si>
    <t>bali1274</t>
  </si>
  <si>
    <t>Bafwandaka</t>
  </si>
  <si>
    <t>baga1270</t>
  </si>
  <si>
    <t>temn1245</t>
  </si>
  <si>
    <t>Baga Manduri</t>
  </si>
  <si>
    <t>bmd</t>
  </si>
  <si>
    <t>GN</t>
  </si>
  <si>
    <t>baga1271</t>
  </si>
  <si>
    <t>Baga Kaloum</t>
  </si>
  <si>
    <t>bqf</t>
  </si>
  <si>
    <t>baga1272</t>
  </si>
  <si>
    <t>Baga Sitemu</t>
  </si>
  <si>
    <t>bsp</t>
  </si>
  <si>
    <t>baga1273</t>
  </si>
  <si>
    <t>Baga Koga</t>
  </si>
  <si>
    <t>bgo</t>
  </si>
  <si>
    <t>baga1274</t>
  </si>
  <si>
    <t>Baga Soban√©</t>
  </si>
  <si>
    <t>bsv</t>
  </si>
  <si>
    <t>baga1275</t>
  </si>
  <si>
    <t>nalu1241</t>
  </si>
  <si>
    <t>Baga Mboteni-Binari</t>
  </si>
  <si>
    <t>bcg</t>
  </si>
  <si>
    <t>baga1276</t>
  </si>
  <si>
    <t>Baga Mboteni</t>
  </si>
  <si>
    <t>bgm</t>
  </si>
  <si>
    <t>baga1277</t>
  </si>
  <si>
    <t>meng1264</t>
  </si>
  <si>
    <t>Bagam</t>
  </si>
  <si>
    <t>baga1278</t>
  </si>
  <si>
    <t>Bagangu</t>
  </si>
  <si>
    <t>bagd1238</t>
  </si>
  <si>
    <t>hary1238</t>
  </si>
  <si>
    <t>Bagdi</t>
  </si>
  <si>
    <t>bage1238</t>
  </si>
  <si>
    <t>mpon1254</t>
  </si>
  <si>
    <t>Bageto</t>
  </si>
  <si>
    <t>bage1239</t>
  </si>
  <si>
    <t>cent2331</t>
  </si>
  <si>
    <t>Bagelen</t>
  </si>
  <si>
    <t>bagh1249</t>
  </si>
  <si>
    <t>lowe1245</t>
  </si>
  <si>
    <t>Baghati</t>
  </si>
  <si>
    <t>bagh1250</t>
  </si>
  <si>
    <t>Baghliani</t>
  </si>
  <si>
    <t>bagh1251</t>
  </si>
  <si>
    <t>Bagheli</t>
  </si>
  <si>
    <t>bfy</t>
  </si>
  <si>
    <t>bagi1244</t>
  </si>
  <si>
    <t>Bagirmi Fulfulde</t>
  </si>
  <si>
    <t>fui</t>
  </si>
  <si>
    <t>CF TD</t>
  </si>
  <si>
    <t>bagi1246</t>
  </si>
  <si>
    <t>bagi1248</t>
  </si>
  <si>
    <t>Bagirmi</t>
  </si>
  <si>
    <t>bmi</t>
  </si>
  <si>
    <t>NG TD</t>
  </si>
  <si>
    <t>sara1349</t>
  </si>
  <si>
    <t>Bagirmic</t>
  </si>
  <si>
    <t>bagl1238</t>
  </si>
  <si>
    <t>newa1246</t>
  </si>
  <si>
    <t>Baglung</t>
  </si>
  <si>
    <t>bago1245</t>
  </si>
  <si>
    <t>bago1247</t>
  </si>
  <si>
    <t>Bago-Kusuntu</t>
  </si>
  <si>
    <t>bqg</t>
  </si>
  <si>
    <t>bago1246</t>
  </si>
  <si>
    <t>Bago</t>
  </si>
  <si>
    <t>temc1234</t>
  </si>
  <si>
    <t>Bago-Delo-Cala</t>
  </si>
  <si>
    <t>bagr1243</t>
  </si>
  <si>
    <t>bagr1245</t>
  </si>
  <si>
    <t>Bagri</t>
  </si>
  <si>
    <t>bgq</t>
  </si>
  <si>
    <t>IN PK</t>
  </si>
  <si>
    <t>bagr1244</t>
  </si>
  <si>
    <t>gilg1242</t>
  </si>
  <si>
    <t>Bagrote</t>
  </si>
  <si>
    <t>raja1256</t>
  </si>
  <si>
    <t>Bagri-Jandavra</t>
  </si>
  <si>
    <t>bagu1249</t>
  </si>
  <si>
    <t>Bagua</t>
  </si>
  <si>
    <t>bagu1250</t>
  </si>
  <si>
    <t>darl1243</t>
  </si>
  <si>
    <t>Bagundji</t>
  </si>
  <si>
    <t>bagu1251</t>
  </si>
  <si>
    <t>kwer1262</t>
  </si>
  <si>
    <t>Bagusa</t>
  </si>
  <si>
    <t>bqb</t>
  </si>
  <si>
    <t>bagu1252</t>
  </si>
  <si>
    <t>silo1242</t>
  </si>
  <si>
    <t>Bagupi</t>
  </si>
  <si>
    <t>bpi</t>
  </si>
  <si>
    <t>bagv1239</t>
  </si>
  <si>
    <t>bagv1240</t>
  </si>
  <si>
    <t>Bagvalal</t>
  </si>
  <si>
    <t>kva</t>
  </si>
  <si>
    <t>Bagvalal-Tindi</t>
  </si>
  <si>
    <t>bagw1238</t>
  </si>
  <si>
    <t>zima1244</t>
  </si>
  <si>
    <t>Bagwa</t>
  </si>
  <si>
    <t>baha1254</t>
  </si>
  <si>
    <t>sera1259</t>
  </si>
  <si>
    <t>Bahawalpuri</t>
  </si>
  <si>
    <t>baha1255</t>
  </si>
  <si>
    <t>Baharlu</t>
  </si>
  <si>
    <t>baha1256</t>
  </si>
  <si>
    <t>paha1254</t>
  </si>
  <si>
    <t>Baha Buyang</t>
  </si>
  <si>
    <t>yha</t>
  </si>
  <si>
    <t>baha1257</t>
  </si>
  <si>
    <t>kaya1333</t>
  </si>
  <si>
    <t>Bahau</t>
  </si>
  <si>
    <t>bhv</t>
  </si>
  <si>
    <t>baha1258</t>
  </si>
  <si>
    <t>west2604</t>
  </si>
  <si>
    <t>nucl1641</t>
  </si>
  <si>
    <t>Baham</t>
  </si>
  <si>
    <t>bdw</t>
  </si>
  <si>
    <t>baha1259</t>
  </si>
  <si>
    <t>Baharna Arabic</t>
  </si>
  <si>
    <t>abv</t>
  </si>
  <si>
    <t>BH OM</t>
  </si>
  <si>
    <t>baha1260</t>
  </si>
  <si>
    <t>baha1261</t>
  </si>
  <si>
    <t>Bahamas Creole English</t>
  </si>
  <si>
    <t>bah</t>
  </si>
  <si>
    <t>BS</t>
  </si>
  <si>
    <t>Bahamian Gullah</t>
  </si>
  <si>
    <t>baha1262</t>
  </si>
  <si>
    <t>Bahau River Kenyah</t>
  </si>
  <si>
    <t>bwv</t>
  </si>
  <si>
    <t>bahe1242</t>
  </si>
  <si>
    <t>Bahe</t>
  </si>
  <si>
    <t>bahi1252</t>
  </si>
  <si>
    <t>nort2730</t>
  </si>
  <si>
    <t>Bahing</t>
  </si>
  <si>
    <t>bhj</t>
  </si>
  <si>
    <t>bahi1254</t>
  </si>
  <si>
    <t>bahi1255</t>
  </si>
  <si>
    <t>Bahinemo</t>
  </si>
  <si>
    <t>bjh</t>
  </si>
  <si>
    <t>cent2234</t>
  </si>
  <si>
    <t>Bahinemic</t>
  </si>
  <si>
    <t>bahm1237</t>
  </si>
  <si>
    <t>sebo1238</t>
  </si>
  <si>
    <t>Bah Malei</t>
  </si>
  <si>
    <t>bahn1261</t>
  </si>
  <si>
    <t>reng1252</t>
  </si>
  <si>
    <t>Bahnar-Rengao</t>
  </si>
  <si>
    <t>bona1256</t>
  </si>
  <si>
    <t>Bahnar</t>
  </si>
  <si>
    <t>bdq</t>
  </si>
  <si>
    <t>VN</t>
  </si>
  <si>
    <t>bahn1263</t>
  </si>
  <si>
    <t>Bahnar Bonom</t>
  </si>
  <si>
    <t>Bahnaric</t>
  </si>
  <si>
    <t>baho1237</t>
  </si>
  <si>
    <t>east2490</t>
  </si>
  <si>
    <t>Bahonsuai</t>
  </si>
  <si>
    <t>bsu</t>
  </si>
  <si>
    <t>bahr1242</t>
  </si>
  <si>
    <t>torw1241</t>
  </si>
  <si>
    <t>Bahrain</t>
  </si>
  <si>
    <t>bahr1243</t>
  </si>
  <si>
    <t>beli1257</t>
  </si>
  <si>
    <t>Bahri Girinti</t>
  </si>
  <si>
    <t>bahr1247</t>
  </si>
  <si>
    <t>Bahraini Gulf Arabic</t>
  </si>
  <si>
    <t>bahu1238</t>
  </si>
  <si>
    <t>Bahuanaic</t>
  </si>
  <si>
    <t>baib1249</t>
  </si>
  <si>
    <t>Baibara</t>
  </si>
  <si>
    <t>baib1250</t>
  </si>
  <si>
    <t>Baibai-Fas</t>
  </si>
  <si>
    <t>baib1251</t>
  </si>
  <si>
    <t>Baibai</t>
  </si>
  <si>
    <t>bbf</t>
  </si>
  <si>
    <t>caij1235</t>
  </si>
  <si>
    <t>Baic</t>
  </si>
  <si>
    <t>baig1238</t>
  </si>
  <si>
    <t>chha1249</t>
  </si>
  <si>
    <t>Baigani</t>
  </si>
  <si>
    <t>baih1238</t>
  </si>
  <si>
    <t>honi1244</t>
  </si>
  <si>
    <t>Baihong</t>
  </si>
  <si>
    <t>baii1247</t>
  </si>
  <si>
    <t>saka1287</t>
  </si>
  <si>
    <t>Bai (Democratic Republic of Congo)</t>
  </si>
  <si>
    <t>baii1251</t>
  </si>
  <si>
    <t>baiv1238</t>
  </si>
  <si>
    <t>bdj</t>
  </si>
  <si>
    <t>baik1238</t>
  </si>
  <si>
    <t>Baikeno</t>
  </si>
  <si>
    <t>bkx</t>
  </si>
  <si>
    <t>baim1244</t>
  </si>
  <si>
    <t>east2771</t>
  </si>
  <si>
    <t>Baima</t>
  </si>
  <si>
    <t>bqh</t>
  </si>
  <si>
    <t>baim1245</t>
  </si>
  <si>
    <t>garu1247</t>
  </si>
  <si>
    <t>Baimak</t>
  </si>
  <si>
    <t>bmx</t>
  </si>
  <si>
    <t>baim1246</t>
  </si>
  <si>
    <t>yaga1258</t>
  </si>
  <si>
    <t>Bai-Maclay</t>
  </si>
  <si>
    <t>bain1259</t>
  </si>
  <si>
    <t>bain1264</t>
  </si>
  <si>
    <t>Bainounk-Gujaher</t>
  </si>
  <si>
    <t>bab</t>
  </si>
  <si>
    <t>bain1260</t>
  </si>
  <si>
    <t>Bainouk-Samik</t>
  </si>
  <si>
    <t>bcb</t>
  </si>
  <si>
    <t>GW SN</t>
  </si>
  <si>
    <t>bain1261</t>
  </si>
  <si>
    <t>Bainouk-Gunyaamolo-Gutobor</t>
  </si>
  <si>
    <t>bcz</t>
  </si>
  <si>
    <t>GM GW SN</t>
  </si>
  <si>
    <t>bain1263</t>
  </si>
  <si>
    <t>Baining</t>
  </si>
  <si>
    <t>east2703</t>
  </si>
  <si>
    <t>Bainounk</t>
  </si>
  <si>
    <t>baip1234</t>
  </si>
  <si>
    <t>east2807</t>
  </si>
  <si>
    <t>Baipito</t>
  </si>
  <si>
    <t>bais1241</t>
  </si>
  <si>
    <t>Baish Aran√©s</t>
  </si>
  <si>
    <t>bais1242</t>
  </si>
  <si>
    <t>unun9910</t>
  </si>
  <si>
    <t>Baissa Fali</t>
  </si>
  <si>
    <t>fah</t>
  </si>
  <si>
    <t>bais1246</t>
  </si>
  <si>
    <t>bais1247</t>
  </si>
  <si>
    <t>Baiso</t>
  </si>
  <si>
    <t>bsw</t>
  </si>
  <si>
    <t>east2653</t>
  </si>
  <si>
    <t>Baiso-Jiiddu</t>
  </si>
  <si>
    <t>bais1248</t>
  </si>
  <si>
    <t>cakk1238</t>
  </si>
  <si>
    <t>Baishari</t>
  </si>
  <si>
    <t>bait1246</t>
  </si>
  <si>
    <t>Baitadi</t>
  </si>
  <si>
    <t>bait1247</t>
  </si>
  <si>
    <t>thad1238</t>
  </si>
  <si>
    <t>Baite</t>
  </si>
  <si>
    <t>bait1248</t>
  </si>
  <si>
    <t>sout2948</t>
  </si>
  <si>
    <t>siwa1245</t>
  </si>
  <si>
    <t>Baitsi</t>
  </si>
  <si>
    <t>sere1263</t>
  </si>
  <si>
    <t>Bai-Viri</t>
  </si>
  <si>
    <t>baja1258</t>
  </si>
  <si>
    <t>kubu1239</t>
  </si>
  <si>
    <t>Bajat</t>
  </si>
  <si>
    <t>baja1259</t>
  </si>
  <si>
    <t>ngad1261</t>
  </si>
  <si>
    <t>Bajawa</t>
  </si>
  <si>
    <t>baja1260</t>
  </si>
  <si>
    <t>sout2918</t>
  </si>
  <si>
    <t>Bajau Laut</t>
  </si>
  <si>
    <t>baja1261</t>
  </si>
  <si>
    <t>Bajau Darat</t>
  </si>
  <si>
    <t>baja1262</t>
  </si>
  <si>
    <t>Bajau Semporna</t>
  </si>
  <si>
    <t>baja1263</t>
  </si>
  <si>
    <t>Bajau Banaran</t>
  </si>
  <si>
    <t>baja1265</t>
  </si>
  <si>
    <t>barb1267</t>
  </si>
  <si>
    <t>Bajan</t>
  </si>
  <si>
    <t>bjs</t>
  </si>
  <si>
    <t>BB</t>
  </si>
  <si>
    <t>baje1238</t>
  </si>
  <si>
    <t>shab1250</t>
  </si>
  <si>
    <t>Bajelani</t>
  </si>
  <si>
    <t>bjm</t>
  </si>
  <si>
    <t>bajh1238</t>
  </si>
  <si>
    <t>Bajhangi</t>
  </si>
  <si>
    <t>baji1239</t>
  </si>
  <si>
    <t>mama1271</t>
  </si>
  <si>
    <t>B√†jii</t>
  </si>
  <si>
    <t>baju1244</t>
  </si>
  <si>
    <t>Bajurali</t>
  </si>
  <si>
    <t>baju1245</t>
  </si>
  <si>
    <t>Bajuni</t>
  </si>
  <si>
    <t>baju1246</t>
  </si>
  <si>
    <t>dato1239</t>
  </si>
  <si>
    <t>Bajuta of the Eyassi</t>
  </si>
  <si>
    <t>baju1247</t>
  </si>
  <si>
    <t>shug1254</t>
  </si>
  <si>
    <t>Bajui</t>
  </si>
  <si>
    <t>bajw1238</t>
  </si>
  <si>
    <t>deny1238</t>
  </si>
  <si>
    <t>Bajwo</t>
  </si>
  <si>
    <t>baka1270</t>
  </si>
  <si>
    <t>kash1277</t>
  </si>
  <si>
    <t>Bakawali</t>
  </si>
  <si>
    <t>baka1271</t>
  </si>
  <si>
    <t>west2836</t>
  </si>
  <si>
    <t>Baka-Gundi</t>
  </si>
  <si>
    <t>baka1278</t>
  </si>
  <si>
    <t>Baka (Cameroon)</t>
  </si>
  <si>
    <t>CF CG CM GA</t>
  </si>
  <si>
    <t>Bakaka</t>
  </si>
  <si>
    <t>bqz</t>
  </si>
  <si>
    <t>baka1274</t>
  </si>
  <si>
    <t>moro1282</t>
  </si>
  <si>
    <t>Baka (Sudan)</t>
  </si>
  <si>
    <t>bdh</t>
  </si>
  <si>
    <t>baka1275</t>
  </si>
  <si>
    <t>beny1238</t>
  </si>
  <si>
    <t>Bakati'</t>
  </si>
  <si>
    <t>baka1276</t>
  </si>
  <si>
    <t>Bakalang</t>
  </si>
  <si>
    <t>baka1277</t>
  </si>
  <si>
    <t>peko1235</t>
  </si>
  <si>
    <t>Bakair√≠</t>
  </si>
  <si>
    <t>bkq</t>
  </si>
  <si>
    <t>Baka complex</t>
  </si>
  <si>
    <t>bake1241</t>
  </si>
  <si>
    <t>bert1248</t>
  </si>
  <si>
    <t>Bake</t>
  </si>
  <si>
    <t>bake1242</t>
  </si>
  <si>
    <t>basa1284</t>
  </si>
  <si>
    <t>Bakem</t>
  </si>
  <si>
    <t>bakh1245</t>
  </si>
  <si>
    <t>luri1252</t>
  </si>
  <si>
    <t>Bakhtiari</t>
  </si>
  <si>
    <t>bqi</t>
  </si>
  <si>
    <t>bakh1247</t>
  </si>
  <si>
    <t>Bakha</t>
  </si>
  <si>
    <t>bakh1251</t>
  </si>
  <si>
    <t>west2763</t>
  </si>
  <si>
    <t>Bakh'a</t>
  </si>
  <si>
    <t>baki1242</t>
  </si>
  <si>
    <t>kwak1266</t>
  </si>
  <si>
    <t>Baki (Cameroon)</t>
  </si>
  <si>
    <t>baki1243</t>
  </si>
  <si>
    <t>epii1237</t>
  </si>
  <si>
    <t>Baki-Bierebo</t>
  </si>
  <si>
    <t>baki1244</t>
  </si>
  <si>
    <t>Baki</t>
  </si>
  <si>
    <t>bki</t>
  </si>
  <si>
    <t>bakk1238</t>
  </si>
  <si>
    <t>cent2230</t>
  </si>
  <si>
    <t>Bak</t>
  </si>
  <si>
    <t>basa1289</t>
  </si>
  <si>
    <t>Bakoko</t>
  </si>
  <si>
    <t>bkh</t>
  </si>
  <si>
    <t>bako1250</t>
  </si>
  <si>
    <t>kole1239</t>
  </si>
  <si>
    <t>Bakole</t>
  </si>
  <si>
    <t>kme</t>
  </si>
  <si>
    <t>bako1251</t>
  </si>
  <si>
    <t>keny1279</t>
  </si>
  <si>
    <t>Bakoni</t>
  </si>
  <si>
    <t>bako1252</t>
  </si>
  <si>
    <t>ngwo1241</t>
  </si>
  <si>
    <t>Bako</t>
  </si>
  <si>
    <t>bako1253</t>
  </si>
  <si>
    <t>Bakoi</t>
  </si>
  <si>
    <t>ejag1240</t>
  </si>
  <si>
    <t>Bakor</t>
  </si>
  <si>
    <t>bakp1238</t>
  </si>
  <si>
    <t>Bakpinka</t>
  </si>
  <si>
    <t>bbs</t>
  </si>
  <si>
    <t>bakt1238</t>
  </si>
  <si>
    <t>Bhaktapur</t>
  </si>
  <si>
    <t>baku1259</t>
  </si>
  <si>
    <t>east2839</t>
  </si>
  <si>
    <t>Baku</t>
  </si>
  <si>
    <t>baku1260</t>
  </si>
  <si>
    <t>Bakuure</t>
  </si>
  <si>
    <t>baku1261</t>
  </si>
  <si>
    <t>Bakundumu</t>
  </si>
  <si>
    <t>baku1262</t>
  </si>
  <si>
    <t>kank1243</t>
  </si>
  <si>
    <t>Bakun-Kibungan</t>
  </si>
  <si>
    <t>baku1263</t>
  </si>
  <si>
    <t>sout2921</t>
  </si>
  <si>
    <t>Bakumpai</t>
  </si>
  <si>
    <t>bkr</t>
  </si>
  <si>
    <t>baku1264</t>
  </si>
  <si>
    <t>lolo1264</t>
  </si>
  <si>
    <t>Bakun</t>
  </si>
  <si>
    <t>baku1265</t>
  </si>
  <si>
    <t>Bakung Kenyah</t>
  </si>
  <si>
    <t>boc</t>
  </si>
  <si>
    <t>bakw1242</t>
  </si>
  <si>
    <t>east2415</t>
  </si>
  <si>
    <t>Bakwe-Wane</t>
  </si>
  <si>
    <t>bakw1243</t>
  </si>
  <si>
    <t>Bakw√©</t>
  </si>
  <si>
    <t>bjw</t>
  </si>
  <si>
    <t>bala1242</t>
  </si>
  <si>
    <t>Bala (China)</t>
  </si>
  <si>
    <t>bala1297</t>
  </si>
  <si>
    <t>Balakhani</t>
  </si>
  <si>
    <t>bala1298</t>
  </si>
  <si>
    <t>Bala-Gariva'i</t>
  </si>
  <si>
    <t>bala1299</t>
  </si>
  <si>
    <t>west2422</t>
  </si>
  <si>
    <t>Bala</t>
  </si>
  <si>
    <t>bala1300</t>
  </si>
  <si>
    <t>Balanta</t>
  </si>
  <si>
    <t>bala1301</t>
  </si>
  <si>
    <t>Balanta-Kentohe</t>
  </si>
  <si>
    <t>ble</t>
  </si>
  <si>
    <t>bala1302</t>
  </si>
  <si>
    <t>Balanta-Ganja</t>
  </si>
  <si>
    <t>bjt</t>
  </si>
  <si>
    <t>bala1303</t>
  </si>
  <si>
    <t>Balanka</t>
  </si>
  <si>
    <t>bala1304</t>
  </si>
  <si>
    <t>kgal1244</t>
  </si>
  <si>
    <t>Balaongwe</t>
  </si>
  <si>
    <t>bala1305</t>
  </si>
  <si>
    <t>ngie1241</t>
  </si>
  <si>
    <t>Balatchi</t>
  </si>
  <si>
    <t>bala1306</t>
  </si>
  <si>
    <t>Balau</t>
  </si>
  <si>
    <t>blg</t>
  </si>
  <si>
    <t>bala1307</t>
  </si>
  <si>
    <t>Balawaia</t>
  </si>
  <si>
    <t>bala1308</t>
  </si>
  <si>
    <t>beng1287</t>
  </si>
  <si>
    <t>Balakeo</t>
  </si>
  <si>
    <t>bala1309</t>
  </si>
  <si>
    <t>Balatok-Kalinga</t>
  </si>
  <si>
    <t>bala1310</t>
  </si>
  <si>
    <t>nucl1754</t>
  </si>
  <si>
    <t>Balangao</t>
  </si>
  <si>
    <t>blw</t>
  </si>
  <si>
    <t>bala1311</t>
  </si>
  <si>
    <t>inne1244</t>
  </si>
  <si>
    <t>Balangingi</t>
  </si>
  <si>
    <t>sse</t>
  </si>
  <si>
    <t>MY PH</t>
  </si>
  <si>
    <t>bala1312</t>
  </si>
  <si>
    <t>Balait</t>
  </si>
  <si>
    <t>bala1313</t>
  </si>
  <si>
    <t>mand1442</t>
  </si>
  <si>
    <t>Balanipa</t>
  </si>
  <si>
    <t>bala1314</t>
  </si>
  <si>
    <t>sout2925</t>
  </si>
  <si>
    <t>Balaesang</t>
  </si>
  <si>
    <t>bls</t>
  </si>
  <si>
    <t>bala1315</t>
  </si>
  <si>
    <t>east2491</t>
  </si>
  <si>
    <t>Balantak</t>
  </si>
  <si>
    <t>blz</t>
  </si>
  <si>
    <t>bala1316</t>
  </si>
  <si>
    <t>nyal1256</t>
  </si>
  <si>
    <t>Balade</t>
  </si>
  <si>
    <t>bala1317</t>
  </si>
  <si>
    <t>gunt1241</t>
  </si>
  <si>
    <t>Balamuk</t>
  </si>
  <si>
    <t>bala1318</t>
  </si>
  <si>
    <t>Balaybalan</t>
  </si>
  <si>
    <t>TR</t>
  </si>
  <si>
    <t>balb1237</t>
  </si>
  <si>
    <t>Balbalasang</t>
  </si>
  <si>
    <t>bald1241</t>
  </si>
  <si>
    <t>maro1246</t>
  </si>
  <si>
    <t>Baldemu</t>
  </si>
  <si>
    <t>bdn</t>
  </si>
  <si>
    <t>bale1252</t>
  </si>
  <si>
    <t>ghom1249</t>
  </si>
  <si>
    <t>Balessing</t>
  </si>
  <si>
    <t>bale1253</t>
  </si>
  <si>
    <t>ndoe1238</t>
  </si>
  <si>
    <t>Balep</t>
  </si>
  <si>
    <t>bale1254</t>
  </si>
  <si>
    <t>kaci1244</t>
  </si>
  <si>
    <t>Balesi</t>
  </si>
  <si>
    <t>bale1255</t>
  </si>
  <si>
    <t>lend1246</t>
  </si>
  <si>
    <t>Bale</t>
  </si>
  <si>
    <t>bale1256</t>
  </si>
  <si>
    <t>Balear</t>
  </si>
  <si>
    <t>bali1245</t>
  </si>
  <si>
    <t>bali1284</t>
  </si>
  <si>
    <t>Bali (Nigeria)</t>
  </si>
  <si>
    <t>bcn</t>
  </si>
  <si>
    <t>bali1269</t>
  </si>
  <si>
    <t>mung1266</t>
  </si>
  <si>
    <t>Bali Nyonga</t>
  </si>
  <si>
    <t>bali1286</t>
  </si>
  <si>
    <t>Bali (Democratic Republic of Congo)</t>
  </si>
  <si>
    <t>bcp</t>
  </si>
  <si>
    <t>bali1275</t>
  </si>
  <si>
    <t>ibal1241</t>
  </si>
  <si>
    <t>Bali</t>
  </si>
  <si>
    <t>bali1276</t>
  </si>
  <si>
    <t>'Bali'ba</t>
  </si>
  <si>
    <t>bali1277</t>
  </si>
  <si>
    <t>nort3170</t>
  </si>
  <si>
    <t>Bali-Sasak-Sumbawa</t>
  </si>
  <si>
    <t>bali1279</t>
  </si>
  <si>
    <t>indo1326</t>
  </si>
  <si>
    <t>Balinese Malay</t>
  </si>
  <si>
    <t>mhp</t>
  </si>
  <si>
    <t>bali1280</t>
  </si>
  <si>
    <t>meso1253</t>
  </si>
  <si>
    <t>Bali-Vitu</t>
  </si>
  <si>
    <t>bali1281</t>
  </si>
  <si>
    <t>Balimbing</t>
  </si>
  <si>
    <t>bali1282</t>
  </si>
  <si>
    <t>cent2101</t>
  </si>
  <si>
    <t>Balingian</t>
  </si>
  <si>
    <t>bali1283</t>
  </si>
  <si>
    <t>mufi1238</t>
  </si>
  <si>
    <t>Balif</t>
  </si>
  <si>
    <t>yand1260</t>
  </si>
  <si>
    <t>Bali-Kpasam</t>
  </si>
  <si>
    <t>Bali-Beeke</t>
  </si>
  <si>
    <t>roma1329</t>
  </si>
  <si>
    <t>Balkan Romani</t>
  </si>
  <si>
    <t>rmn</t>
  </si>
  <si>
    <t>BG HU MK RO RS SK</t>
  </si>
  <si>
    <t>balk1253</t>
  </si>
  <si>
    <t>kara1465</t>
  </si>
  <si>
    <t>Balkar</t>
  </si>
  <si>
    <t>balk1254</t>
  </si>
  <si>
    <t>west2406</t>
  </si>
  <si>
    <t>Rumelian Turkish</t>
  </si>
  <si>
    <t>bgx</t>
  </si>
  <si>
    <t>GR MK TR</t>
  </si>
  <si>
    <t>balk1255</t>
  </si>
  <si>
    <t>jeru1240</t>
  </si>
  <si>
    <t>Balkhu-Sisneri</t>
  </si>
  <si>
    <t>balk1259</t>
  </si>
  <si>
    <t>Balkh Arabic</t>
  </si>
  <si>
    <t>balk1260</t>
  </si>
  <si>
    <t>east2814</t>
  </si>
  <si>
    <t>Balkan Bulgarian</t>
  </si>
  <si>
    <t>nort3177</t>
  </si>
  <si>
    <t>Balochic</t>
  </si>
  <si>
    <t>balo1261</t>
  </si>
  <si>
    <t>boba1249</t>
  </si>
  <si>
    <t>Loi-Likila</t>
  </si>
  <si>
    <t>biz</t>
  </si>
  <si>
    <t>CD CG</t>
  </si>
  <si>
    <t>balo1262</t>
  </si>
  <si>
    <t>Balondo</t>
  </si>
  <si>
    <t>balo1263</t>
  </si>
  <si>
    <t>Balong</t>
  </si>
  <si>
    <t>balo1264</t>
  </si>
  <si>
    <t>sout3181</t>
  </si>
  <si>
    <t>Balo</t>
  </si>
  <si>
    <t>bqo</t>
  </si>
  <si>
    <t>balt1257</t>
  </si>
  <si>
    <t>Baltic Romani</t>
  </si>
  <si>
    <t>rml</t>
  </si>
  <si>
    <t>BY EE LT LV PL RU UA</t>
  </si>
  <si>
    <t>balt1258</t>
  </si>
  <si>
    <t>sham1282</t>
  </si>
  <si>
    <t>Balti</t>
  </si>
  <si>
    <t>bft</t>
  </si>
  <si>
    <t>balt1262</t>
  </si>
  <si>
    <t>mont1280</t>
  </si>
  <si>
    <t>Baltap-Lalin</t>
  </si>
  <si>
    <t>balt1263</t>
  </si>
  <si>
    <t>Balto-Slavic</t>
  </si>
  <si>
    <t>balu1254</t>
  </si>
  <si>
    <t>djin1253</t>
  </si>
  <si>
    <t>Balurbi</t>
  </si>
  <si>
    <t>balu1255</t>
  </si>
  <si>
    <t>Baluba</t>
  </si>
  <si>
    <t>balu1256</t>
  </si>
  <si>
    <t>Baluombila</t>
  </si>
  <si>
    <t>balu1257</t>
  </si>
  <si>
    <t>loup1244</t>
  </si>
  <si>
    <t>Paluai</t>
  </si>
  <si>
    <t>blq</t>
  </si>
  <si>
    <t>balu1258</t>
  </si>
  <si>
    <t>Baluan</t>
  </si>
  <si>
    <t>balv1238</t>
  </si>
  <si>
    <t>godw1241</t>
  </si>
  <si>
    <t>Balvi</t>
  </si>
  <si>
    <t>bama1249</t>
  </si>
  <si>
    <t>Langue de Signes Malienne</t>
  </si>
  <si>
    <t>bog</t>
  </si>
  <si>
    <t>bama1251</t>
  </si>
  <si>
    <t>Bamali</t>
  </si>
  <si>
    <t>bbq</t>
  </si>
  <si>
    <t>bama1252</t>
  </si>
  <si>
    <t>jams1239</t>
  </si>
  <si>
    <t>Bama</t>
  </si>
  <si>
    <t>bama1253</t>
  </si>
  <si>
    <t>lewo1248</t>
  </si>
  <si>
    <t>Bama Lamaholot</t>
  </si>
  <si>
    <t>bamb1262</t>
  </si>
  <si>
    <t>maoo1243</t>
  </si>
  <si>
    <t>Bambassi</t>
  </si>
  <si>
    <t>myf</t>
  </si>
  <si>
    <t>bamb1263</t>
  </si>
  <si>
    <t>bikw1236</t>
  </si>
  <si>
    <t>Bambuka-Gomu-Leelau</t>
  </si>
  <si>
    <t>yaka1272</t>
  </si>
  <si>
    <t>Bambenzele</t>
  </si>
  <si>
    <t>bamb1265</t>
  </si>
  <si>
    <t>Bambalang</t>
  </si>
  <si>
    <t>bmo</t>
  </si>
  <si>
    <t>bamb1266</t>
  </si>
  <si>
    <t>Bambili-Bambui</t>
  </si>
  <si>
    <t>baw</t>
  </si>
  <si>
    <t>bamb1267</t>
  </si>
  <si>
    <t>Bambili</t>
  </si>
  <si>
    <t>bamb1268</t>
  </si>
  <si>
    <t>Bambui</t>
  </si>
  <si>
    <t>bamb1269</t>
  </si>
  <si>
    <t>east2425</t>
  </si>
  <si>
    <t>Bambara</t>
  </si>
  <si>
    <t>bam</t>
  </si>
  <si>
    <t>CI GN ML SN</t>
  </si>
  <si>
    <t>bamb1270</t>
  </si>
  <si>
    <t>Bambam</t>
  </si>
  <si>
    <t>ptu</t>
  </si>
  <si>
    <t>bamb1271</t>
  </si>
  <si>
    <t>Bambam Hulu</t>
  </si>
  <si>
    <t>bame1260</t>
  </si>
  <si>
    <t>mbam1253</t>
  </si>
  <si>
    <t>Bamenyam</t>
  </si>
  <si>
    <t>bce</t>
  </si>
  <si>
    <t>bame1261</t>
  </si>
  <si>
    <t>Bameka</t>
  </si>
  <si>
    <t>bame1262</t>
  </si>
  <si>
    <t>Bamessingue</t>
  </si>
  <si>
    <t>bame1263</t>
  </si>
  <si>
    <t>Bamendjing</t>
  </si>
  <si>
    <t>bame1264</t>
  </si>
  <si>
    <t>Bamenkumbo</t>
  </si>
  <si>
    <t>bame1265</t>
  </si>
  <si>
    <t>Bamesso</t>
  </si>
  <si>
    <t>bame1266</t>
  </si>
  <si>
    <t>Bamendjo</t>
  </si>
  <si>
    <t>bame1267</t>
  </si>
  <si>
    <t>Bamendjinda</t>
  </si>
  <si>
    <t>bami1239</t>
  </si>
  <si>
    <t>mbam1249</t>
  </si>
  <si>
    <t>Bamileke</t>
  </si>
  <si>
    <t>bamm1240</t>
  </si>
  <si>
    <t>want1252</t>
  </si>
  <si>
    <t>Bam</t>
  </si>
  <si>
    <t>bamm1241</t>
  </si>
  <si>
    <t>mana1294</t>
  </si>
  <si>
    <t>Bam-Manam</t>
  </si>
  <si>
    <t>bamo1240</t>
  </si>
  <si>
    <t>Bamoungong</t>
  </si>
  <si>
    <t>Bamoun</t>
  </si>
  <si>
    <t>Bamun</t>
  </si>
  <si>
    <t>bamu1254</t>
  </si>
  <si>
    <t>Bamukumbit</t>
  </si>
  <si>
    <t>bqt</t>
  </si>
  <si>
    <t>mund1327</t>
  </si>
  <si>
    <t>Bamumbo</t>
  </si>
  <si>
    <t>bamu1256</t>
  </si>
  <si>
    <t>Bamunka</t>
  </si>
  <si>
    <t>bvm</t>
  </si>
  <si>
    <t>bamu1257</t>
  </si>
  <si>
    <t>Bamu</t>
  </si>
  <si>
    <t>bcf</t>
  </si>
  <si>
    <t>bamv1238</t>
  </si>
  <si>
    <t>Bamvele</t>
  </si>
  <si>
    <t>bamw1238</t>
  </si>
  <si>
    <t>bamw1239</t>
  </si>
  <si>
    <t>Bamwe</t>
  </si>
  <si>
    <t>bmg</t>
  </si>
  <si>
    <t>ngir1250</t>
  </si>
  <si>
    <t>Bamweic</t>
  </si>
  <si>
    <t>Banat</t>
  </si>
  <si>
    <t>bana1281</t>
  </si>
  <si>
    <t>Banaphari</t>
  </si>
  <si>
    <t>bana1282</t>
  </si>
  <si>
    <t>Banapari</t>
  </si>
  <si>
    <t>bana1283</t>
  </si>
  <si>
    <t>koch1250</t>
  </si>
  <si>
    <t>Banai</t>
  </si>
  <si>
    <t>bana1284</t>
  </si>
  <si>
    <t>keng1240</t>
  </si>
  <si>
    <t>Banama</t>
  </si>
  <si>
    <t>bana1285</t>
  </si>
  <si>
    <t>Banala</t>
  </si>
  <si>
    <t>bana1286</t>
  </si>
  <si>
    <t>Banana'</t>
  </si>
  <si>
    <t>bana1287</t>
  </si>
  <si>
    <t>gilb1244</t>
  </si>
  <si>
    <t>Banaban</t>
  </si>
  <si>
    <t>bana1288</t>
  </si>
  <si>
    <t>nort3231</t>
  </si>
  <si>
    <t>Banao Itneg</t>
  </si>
  <si>
    <t>bjx</t>
  </si>
  <si>
    <t>bana1289</t>
  </si>
  <si>
    <t>Banao Pikekj</t>
  </si>
  <si>
    <t>bana1290</t>
  </si>
  <si>
    <t>Banaue Ifugao</t>
  </si>
  <si>
    <t>bana1291</t>
  </si>
  <si>
    <t>umaa1242</t>
  </si>
  <si>
    <t>Bana (Austronesian)</t>
  </si>
  <si>
    <t>bana1292</t>
  </si>
  <si>
    <t>Banaro</t>
  </si>
  <si>
    <t>byz</t>
  </si>
  <si>
    <t>bana1304</t>
  </si>
  <si>
    <t>masa1322</t>
  </si>
  <si>
    <t>Banana</t>
  </si>
  <si>
    <t>bana1305</t>
  </si>
  <si>
    <t>nkaf1238</t>
  </si>
  <si>
    <t>Bana</t>
  </si>
  <si>
    <t>bcw</t>
  </si>
  <si>
    <t>bana1306</t>
  </si>
  <si>
    <t>Banaw√°</t>
  </si>
  <si>
    <t>bnh</t>
  </si>
  <si>
    <t>bana1307</t>
  </si>
  <si>
    <t>jama1261</t>
  </si>
  <si>
    <t>Banawa</t>
  </si>
  <si>
    <t>bana1308</t>
  </si>
  <si>
    <t>east2816</t>
  </si>
  <si>
    <t>Banat Bulgarian</t>
  </si>
  <si>
    <t>bana1309</t>
  </si>
  <si>
    <t>bedi1235</t>
  </si>
  <si>
    <t>Banapas</t>
  </si>
  <si>
    <t>banc1237</t>
  </si>
  <si>
    <t>Banchapai</t>
  </si>
  <si>
    <t>band1335</t>
  </si>
  <si>
    <t>Bandari</t>
  </si>
  <si>
    <t>band1336</t>
  </si>
  <si>
    <t>nort2740</t>
  </si>
  <si>
    <t>Bandu</t>
  </si>
  <si>
    <t>band1337</t>
  </si>
  <si>
    <t>Bandjigali</t>
  </si>
  <si>
    <t>bjd</t>
  </si>
  <si>
    <t>band1357</t>
  </si>
  <si>
    <t>Bandjalangic</t>
  </si>
  <si>
    <t>gusi1245</t>
  </si>
  <si>
    <t>Bandial</t>
  </si>
  <si>
    <t>bqj</t>
  </si>
  <si>
    <t>SN</t>
  </si>
  <si>
    <t>band1341</t>
  </si>
  <si>
    <t>uban1244</t>
  </si>
  <si>
    <t>Bandaic</t>
  </si>
  <si>
    <t>band1342</t>
  </si>
  <si>
    <t>cent2022</t>
  </si>
  <si>
    <t>Banda-Mbr√®s</t>
  </si>
  <si>
    <t>bqk</t>
  </si>
  <si>
    <t>CF SD</t>
  </si>
  <si>
    <t>band1343</t>
  </si>
  <si>
    <t>Banda-Banda</t>
  </si>
  <si>
    <t>bpd</t>
  </si>
  <si>
    <t>CD CF SD</t>
  </si>
  <si>
    <t>band1344</t>
  </si>
  <si>
    <t>Banda-Bambari</t>
  </si>
  <si>
    <t>liy</t>
  </si>
  <si>
    <t>CF</t>
  </si>
  <si>
    <t>band1345</t>
  </si>
  <si>
    <t>Banda-Nd√©l√©</t>
  </si>
  <si>
    <t>bfl</t>
  </si>
  <si>
    <t>band1346</t>
  </si>
  <si>
    <t>Nuclear Banda-Nd√©l√©</t>
  </si>
  <si>
    <t>band1347</t>
  </si>
  <si>
    <t>Banda-Kpaya</t>
  </si>
  <si>
    <t>band1348</t>
  </si>
  <si>
    <t>cent2021</t>
  </si>
  <si>
    <t>Banda-Yangere</t>
  </si>
  <si>
    <t>yaj</t>
  </si>
  <si>
    <t>band1349</t>
  </si>
  <si>
    <t>tika1246</t>
  </si>
  <si>
    <t>Bandobo</t>
  </si>
  <si>
    <t>band1350</t>
  </si>
  <si>
    <t>siam1242</t>
  </si>
  <si>
    <t>Bandougou</t>
  </si>
  <si>
    <t>band1351</t>
  </si>
  <si>
    <t>mend1264</t>
  </si>
  <si>
    <t>Bandi-Zialo</t>
  </si>
  <si>
    <t>band1352</t>
  </si>
  <si>
    <t>Bandi</t>
  </si>
  <si>
    <t>bza</t>
  </si>
  <si>
    <t>GN LR SL</t>
  </si>
  <si>
    <t>band1353</t>
  </si>
  <si>
    <t>Banda Malay</t>
  </si>
  <si>
    <t>bpq</t>
  </si>
  <si>
    <t>band1354</t>
  </si>
  <si>
    <t>east2466</t>
  </si>
  <si>
    <t>Banda-Geser</t>
  </si>
  <si>
    <t>band1355</t>
  </si>
  <si>
    <t>Banda (Indonesia)</t>
  </si>
  <si>
    <t>bnd</t>
  </si>
  <si>
    <t>band1356</t>
  </si>
  <si>
    <t>Banda Aceh</t>
  </si>
  <si>
    <t>news1235</t>
  </si>
  <si>
    <t>Greater Bandjalangic</t>
  </si>
  <si>
    <t>band1358</t>
  </si>
  <si>
    <t>lowe1444</t>
  </si>
  <si>
    <t>Bandjalang</t>
  </si>
  <si>
    <t>bane1244</t>
  </si>
  <si>
    <t>Banenge</t>
  </si>
  <si>
    <t>bane1245</t>
  </si>
  <si>
    <t>Baneka</t>
  </si>
  <si>
    <t>bane1246</t>
  </si>
  <si>
    <t>Bane</t>
  </si>
  <si>
    <t>banf1238</t>
  </si>
  <si>
    <t>cerm1238</t>
  </si>
  <si>
    <t>Banfora-Sienena</t>
  </si>
  <si>
    <t>bang1335</t>
  </si>
  <si>
    <t>Bangani</t>
  </si>
  <si>
    <t>bang1336</t>
  </si>
  <si>
    <t>Bangaru Proper</t>
  </si>
  <si>
    <t>bang1337</t>
  </si>
  <si>
    <t>nach1240</t>
  </si>
  <si>
    <t>Bangdale</t>
  </si>
  <si>
    <t>bang1338</t>
  </si>
  <si>
    <t>naaa1245</t>
  </si>
  <si>
    <t>Bangni</t>
  </si>
  <si>
    <t>bang1339</t>
  </si>
  <si>
    <t>Banggarla</t>
  </si>
  <si>
    <t>bjb</t>
  </si>
  <si>
    <t>bang1340</t>
  </si>
  <si>
    <t>koma1266</t>
  </si>
  <si>
    <t>Bangru (Koma)</t>
  </si>
  <si>
    <t>bang1341</t>
  </si>
  <si>
    <t>samb1305</t>
  </si>
  <si>
    <t>Bangla</t>
  </si>
  <si>
    <t>bang1342</t>
  </si>
  <si>
    <t>dayy1236</t>
  </si>
  <si>
    <t>Bangoul</t>
  </si>
  <si>
    <t>bang1343</t>
  </si>
  <si>
    <t>Bang-Were</t>
  </si>
  <si>
    <t>bang1344</t>
  </si>
  <si>
    <t>Bang-Ling</t>
  </si>
  <si>
    <t>bang1345</t>
  </si>
  <si>
    <t>mayo1260</t>
  </si>
  <si>
    <t>Bangba</t>
  </si>
  <si>
    <t>bbe</t>
  </si>
  <si>
    <t>bang1346</t>
  </si>
  <si>
    <t>Banginda</t>
  </si>
  <si>
    <t>gbay1284</t>
  </si>
  <si>
    <t>Ngombe-Bangandu</t>
  </si>
  <si>
    <t>bgf</t>
  </si>
  <si>
    <t>CG CM</t>
  </si>
  <si>
    <t>bang1348</t>
  </si>
  <si>
    <t>nucl1371</t>
  </si>
  <si>
    <t>Bangwinji</t>
  </si>
  <si>
    <t>bsj</t>
  </si>
  <si>
    <t>bang1349</t>
  </si>
  <si>
    <t>mboi1246</t>
  </si>
  <si>
    <t>Banga (Nigeria)</t>
  </si>
  <si>
    <t>bang1350</t>
  </si>
  <si>
    <t>bang1371</t>
  </si>
  <si>
    <t>Bangubangu</t>
  </si>
  <si>
    <t>bnx</t>
  </si>
  <si>
    <t>bang1351</t>
  </si>
  <si>
    <t>nucl1396</t>
  </si>
  <si>
    <t>Bangwe</t>
  </si>
  <si>
    <t>bang1353</t>
  </si>
  <si>
    <t>ling1269</t>
  </si>
  <si>
    <t>Bangala</t>
  </si>
  <si>
    <t>bxg</t>
  </si>
  <si>
    <t>bang1354</t>
  </si>
  <si>
    <t>boba1250</t>
  </si>
  <si>
    <t>Bangi</t>
  </si>
  <si>
    <t>bni</t>
  </si>
  <si>
    <t>CD CF CG</t>
  </si>
  <si>
    <t>bang1355</t>
  </si>
  <si>
    <t>befa1241</t>
  </si>
  <si>
    <t>Bangui</t>
  </si>
  <si>
    <t>bang1356</t>
  </si>
  <si>
    <t>Bangolan</t>
  </si>
  <si>
    <t>bgj</t>
  </si>
  <si>
    <t>bang1357</t>
  </si>
  <si>
    <t>mfum1238</t>
  </si>
  <si>
    <t>Bang</t>
  </si>
  <si>
    <t>bang1358</t>
  </si>
  <si>
    <t>Bangang</t>
  </si>
  <si>
    <t>bang1359</t>
  </si>
  <si>
    <t>sara1321</t>
  </si>
  <si>
    <t>Banga</t>
  </si>
  <si>
    <t>bang1360</t>
  </si>
  <si>
    <t>Bangri</t>
  </si>
  <si>
    <t>bang1362</t>
  </si>
  <si>
    <t>maya1281</t>
  </si>
  <si>
    <t>Bangassogo</t>
  </si>
  <si>
    <t>bang1363</t>
  </si>
  <si>
    <t>Bangime</t>
  </si>
  <si>
    <t>dba</t>
  </si>
  <si>
    <t>bang1364</t>
  </si>
  <si>
    <t>nucl1460</t>
  </si>
  <si>
    <t>Bangkalan</t>
  </si>
  <si>
    <t>bang1365</t>
  </si>
  <si>
    <t>bang1370</t>
  </si>
  <si>
    <t>Bangka</t>
  </si>
  <si>
    <t>mfb</t>
  </si>
  <si>
    <t>bang1366</t>
  </si>
  <si>
    <t>sout2908</t>
  </si>
  <si>
    <t>Nuclear Bangad</t>
  </si>
  <si>
    <t>bang1367</t>
  </si>
  <si>
    <t>west2560</t>
  </si>
  <si>
    <t>Banggi</t>
  </si>
  <si>
    <t>bang1368</t>
  </si>
  <si>
    <t>Banggai</t>
  </si>
  <si>
    <t>bgz</t>
  </si>
  <si>
    <t>bang1369</t>
  </si>
  <si>
    <t>miji1239</t>
  </si>
  <si>
    <t>Bangru</t>
  </si>
  <si>
    <t>Bangka-Belitung Malay</t>
  </si>
  <si>
    <t>luba1255</t>
  </si>
  <si>
    <t>Bangubangu-Kasai</t>
  </si>
  <si>
    <t>bang1372</t>
  </si>
  <si>
    <t>suba1255</t>
  </si>
  <si>
    <t>Bangni-Tagin</t>
  </si>
  <si>
    <t>bang1373</t>
  </si>
  <si>
    <t>indi1237</t>
  </si>
  <si>
    <t>Bangalore-Madras Indian Sign Language</t>
  </si>
  <si>
    <t>bani1254</t>
  </si>
  <si>
    <t>maip1247</t>
  </si>
  <si>
    <t>Avane</t>
  </si>
  <si>
    <t>bvv</t>
  </si>
  <si>
    <t>VE</t>
  </si>
  <si>
    <t>bani1255</t>
  </si>
  <si>
    <t>bani1259</t>
  </si>
  <si>
    <t>Baniwa do Icana</t>
  </si>
  <si>
    <t>bwi</t>
  </si>
  <si>
    <t>BR CO VE</t>
  </si>
  <si>
    <t>bani1258</t>
  </si>
  <si>
    <t>nucl1764</t>
  </si>
  <si>
    <t>Baniwa-Curripaco-Tariano</t>
  </si>
  <si>
    <t>Baniwa-Curripaco</t>
  </si>
  <si>
    <t>bani1260</t>
  </si>
  <si>
    <t>guar1293</t>
  </si>
  <si>
    <t>Baniva de Guainia</t>
  </si>
  <si>
    <t>banj1239</t>
  </si>
  <si>
    <t>banj1241</t>
  </si>
  <si>
    <t>Banjar</t>
  </si>
  <si>
    <t>bjn</t>
  </si>
  <si>
    <t>ID MY</t>
  </si>
  <si>
    <t>banj1240</t>
  </si>
  <si>
    <t>east2755</t>
  </si>
  <si>
    <t>Banjar-Berau-Brunei Malay</t>
  </si>
  <si>
    <t>Banjar-Bukit Malay</t>
  </si>
  <si>
    <t>bank1239</t>
  </si>
  <si>
    <t>dang1260</t>
  </si>
  <si>
    <t>Banke</t>
  </si>
  <si>
    <t>bank1251</t>
  </si>
  <si>
    <t>Ban Khor Sign Language</t>
  </si>
  <si>
    <t>bfk</t>
  </si>
  <si>
    <t>TH</t>
  </si>
  <si>
    <t>bank1256</t>
  </si>
  <si>
    <t>Bankon</t>
  </si>
  <si>
    <t>abb</t>
  </si>
  <si>
    <t>bank1257</t>
  </si>
  <si>
    <t>Bankal</t>
  </si>
  <si>
    <t>bank1258</t>
  </si>
  <si>
    <t>duun1245</t>
  </si>
  <si>
    <t>Bankagooma</t>
  </si>
  <si>
    <t>bxw</t>
  </si>
  <si>
    <t>bank1259</t>
  </si>
  <si>
    <t>nang1263</t>
  </si>
  <si>
    <t>Bankan Tey Dogon</t>
  </si>
  <si>
    <t>dbw</t>
  </si>
  <si>
    <t>banl1237</t>
  </si>
  <si>
    <t>maya1282</t>
  </si>
  <si>
    <t>Banlol</t>
  </si>
  <si>
    <t>bann1246</t>
  </si>
  <si>
    <t>cent1973</t>
  </si>
  <si>
    <t>Bannuchi</t>
  </si>
  <si>
    <t>bann1247</t>
  </si>
  <si>
    <t>piva1237</t>
  </si>
  <si>
    <t>Bannoni</t>
  </si>
  <si>
    <t>bcm</t>
  </si>
  <si>
    <t>bann1248</t>
  </si>
  <si>
    <t>nort2954</t>
  </si>
  <si>
    <t>Bannock</t>
  </si>
  <si>
    <t>bans1246</t>
  </si>
  <si>
    <t>cham1307</t>
  </si>
  <si>
    <t>Bansbali</t>
  </si>
  <si>
    <t>bans1247</t>
  </si>
  <si>
    <t>Bansyari</t>
  </si>
  <si>
    <t>bans1248</t>
  </si>
  <si>
    <t>Bansoa</t>
  </si>
  <si>
    <t>bans1249</t>
  </si>
  <si>
    <t>kink1238</t>
  </si>
  <si>
    <t>Bansh≈´</t>
  </si>
  <si>
    <t>bant1278</t>
  </si>
  <si>
    <t>mait1250</t>
  </si>
  <si>
    <t>Bantar</t>
  </si>
  <si>
    <t>bant1279</t>
  </si>
  <si>
    <t>musa1263</t>
  </si>
  <si>
    <t>Bantar (Nepal)</t>
  </si>
  <si>
    <t>bant1280</t>
  </si>
  <si>
    <t>sout2736</t>
  </si>
  <si>
    <t>Bantawic</t>
  </si>
  <si>
    <t>bant1281</t>
  </si>
  <si>
    <t>Bantawa</t>
  </si>
  <si>
    <t>bap</t>
  </si>
  <si>
    <t>bant1282</t>
  </si>
  <si>
    <t>timn1235</t>
  </si>
  <si>
    <t>Banta</t>
  </si>
  <si>
    <t>bant1284</t>
  </si>
  <si>
    <t>Banti</t>
  </si>
  <si>
    <t>bant1285</t>
  </si>
  <si>
    <t>sund1252</t>
  </si>
  <si>
    <t>Banten</t>
  </si>
  <si>
    <t>bant1286</t>
  </si>
  <si>
    <t>sout3155</t>
  </si>
  <si>
    <t>Bantik</t>
  </si>
  <si>
    <t>bnq</t>
  </si>
  <si>
    <t>bant1287</t>
  </si>
  <si>
    <t>hili1240</t>
  </si>
  <si>
    <t>Bantayan</t>
  </si>
  <si>
    <t>bant1288</t>
  </si>
  <si>
    <t>bisa1268</t>
  </si>
  <si>
    <t>Bantoanon</t>
  </si>
  <si>
    <t>bno</t>
  </si>
  <si>
    <t>bant1289</t>
  </si>
  <si>
    <t>Banton</t>
  </si>
  <si>
    <t>bant1290</t>
  </si>
  <si>
    <t>Bantian</t>
  </si>
  <si>
    <t>bant1291</t>
  </si>
  <si>
    <t>west2565</t>
  </si>
  <si>
    <t>Banten (West Javanese)</t>
  </si>
  <si>
    <t>bant1292</t>
  </si>
  <si>
    <t>coas1295</t>
  </si>
  <si>
    <t>Bantaeng</t>
  </si>
  <si>
    <t>bant1293</t>
  </si>
  <si>
    <t>peri1261</t>
  </si>
  <si>
    <t>Bantayanon</t>
  </si>
  <si>
    <t>bfx</t>
  </si>
  <si>
    <t>bant1294</t>
  </si>
  <si>
    <t>Bantoid</t>
  </si>
  <si>
    <t>Bantu A-B10-B20-B30</t>
  </si>
  <si>
    <t>bant1296</t>
  </si>
  <si>
    <t>west2874</t>
  </si>
  <si>
    <t>Yombe-Vili</t>
  </si>
  <si>
    <t>bant1297</t>
  </si>
  <si>
    <t>Bantu-Cushitic</t>
  </si>
  <si>
    <t>bant1298</t>
  </si>
  <si>
    <t>uncl1502</t>
  </si>
  <si>
    <t>Bantang</t>
  </si>
  <si>
    <t>banu1239</t>
  </si>
  <si>
    <t>Banuwang</t>
  </si>
  <si>
    <t>bany1245</t>
  </si>
  <si>
    <t>Banya</t>
  </si>
  <si>
    <t>bany1246</t>
  </si>
  <si>
    <t>sibu1258</t>
  </si>
  <si>
    <t>Banyok</t>
  </si>
  <si>
    <t>bany1247</t>
  </si>
  <si>
    <t>Banyumas</t>
  </si>
  <si>
    <t>banz1241</t>
  </si>
  <si>
    <t>maba1270</t>
  </si>
  <si>
    <t>Banza</t>
  </si>
  <si>
    <t>banz1242</t>
  </si>
  <si>
    <t>nort2921</t>
  </si>
  <si>
    <t>Banz-Nondugl</t>
  </si>
  <si>
    <t>bsli1234</t>
  </si>
  <si>
    <t>BANZL</t>
  </si>
  <si>
    <t>baoa1237</t>
  </si>
  <si>
    <t>shir1260</t>
  </si>
  <si>
    <t>Baoanic</t>
  </si>
  <si>
    <t>baoj1238</t>
  </si>
  <si>
    <t>nort2732</t>
  </si>
  <si>
    <t>Baojing Tujia</t>
  </si>
  <si>
    <t>baoj1239</t>
  </si>
  <si>
    <t>chen1268</t>
  </si>
  <si>
    <t>Baojing</t>
  </si>
  <si>
    <t>baol1238</t>
  </si>
  <si>
    <t>Baol</t>
  </si>
  <si>
    <t>baoo1237</t>
  </si>
  <si>
    <t>Bao</t>
  </si>
  <si>
    <t>Baoul√©</t>
  </si>
  <si>
    <t>bapa1239</t>
  </si>
  <si>
    <t>yaqa1246</t>
  </si>
  <si>
    <t>Bapai</t>
  </si>
  <si>
    <t>bape1238</t>
  </si>
  <si>
    <t>Bape</t>
  </si>
  <si>
    <t>bape1239</t>
  </si>
  <si>
    <t>bedi1237</t>
  </si>
  <si>
    <t>Bapen</t>
  </si>
  <si>
    <t>bapo1238</t>
  </si>
  <si>
    <t>tepo1239</t>
  </si>
  <si>
    <t>Bapo</t>
  </si>
  <si>
    <t>bara1273</t>
  </si>
  <si>
    <t>east2336</t>
  </si>
  <si>
    <t>Baraba</t>
  </si>
  <si>
    <t>bara1347</t>
  </si>
  <si>
    <t>kemb1235</t>
  </si>
  <si>
    <t>Barau</t>
  </si>
  <si>
    <t>bara1352</t>
  </si>
  <si>
    <t>sout2642</t>
  </si>
  <si>
    <t>Barahuwi</t>
  </si>
  <si>
    <t>bara1353</t>
  </si>
  <si>
    <t>dhat1238</t>
  </si>
  <si>
    <t>Barage</t>
  </si>
  <si>
    <t>bara1354</t>
  </si>
  <si>
    <t>doma1258</t>
  </si>
  <si>
    <t>Barake</t>
  </si>
  <si>
    <t>bara1355</t>
  </si>
  <si>
    <t>jain1238</t>
  </si>
  <si>
    <t>Barato</t>
  </si>
  <si>
    <t>bara1356</t>
  </si>
  <si>
    <t>lowa1242</t>
  </si>
  <si>
    <t>Baragaunle</t>
  </si>
  <si>
    <t>bara1357</t>
  </si>
  <si>
    <t>than1258</t>
  </si>
  <si>
    <t>Baraamu</t>
  </si>
  <si>
    <t>brd</t>
  </si>
  <si>
    <t>CN NP</t>
  </si>
  <si>
    <t>bara1358</t>
  </si>
  <si>
    <t>west2454</t>
  </si>
  <si>
    <t>Barani</t>
  </si>
  <si>
    <t>bara1359</t>
  </si>
  <si>
    <t>Barabo</t>
  </si>
  <si>
    <t>bara1360</t>
  </si>
  <si>
    <t>zand1246</t>
  </si>
  <si>
    <t>Barambo-Pambia</t>
  </si>
  <si>
    <t>bara1361</t>
  </si>
  <si>
    <t>Barambu</t>
  </si>
  <si>
    <t>brm</t>
  </si>
  <si>
    <t>bara1362</t>
  </si>
  <si>
    <t>sira1270</t>
  </si>
  <si>
    <t>Barama</t>
  </si>
  <si>
    <t>bbg</t>
  </si>
  <si>
    <t>GA</t>
  </si>
  <si>
    <t>bara1363</t>
  </si>
  <si>
    <t>Barabayiiga</t>
  </si>
  <si>
    <t>bara1364</t>
  </si>
  <si>
    <t>maho1249</t>
  </si>
  <si>
    <t>Baralaka</t>
  </si>
  <si>
    <t>bara1365</t>
  </si>
  <si>
    <t>biss1248</t>
  </si>
  <si>
    <t>Baraka</t>
  </si>
  <si>
    <t>bara1366</t>
  </si>
  <si>
    <t>buna1276</t>
  </si>
  <si>
    <t>Barabara</t>
  </si>
  <si>
    <t>bara1367</t>
  </si>
  <si>
    <t>kare1350</t>
  </si>
  <si>
    <t>Barakai</t>
  </si>
  <si>
    <t>baj</t>
  </si>
  <si>
    <t>bara1368</t>
  </si>
  <si>
    <t>cala1258</t>
  </si>
  <si>
    <t>Baras (Philipinnes)</t>
  </si>
  <si>
    <t>bara1403</t>
  </si>
  <si>
    <t>Bara Malagasy</t>
  </si>
  <si>
    <t>bara1370</t>
  </si>
  <si>
    <t>Baram Kayan</t>
  </si>
  <si>
    <t>kys</t>
  </si>
  <si>
    <t>bara1371</t>
  </si>
  <si>
    <t>kail1254</t>
  </si>
  <si>
    <t>Baras</t>
  </si>
  <si>
    <t>brs</t>
  </si>
  <si>
    <t>bara1372</t>
  </si>
  <si>
    <t>laiy1246</t>
  </si>
  <si>
    <t>Barang-Barang</t>
  </si>
  <si>
    <t>bara1373</t>
  </si>
  <si>
    <t>toro1256</t>
  </si>
  <si>
    <t>orya1242</t>
  </si>
  <si>
    <t>Barat</t>
  </si>
  <si>
    <t>bara1374</t>
  </si>
  <si>
    <t>Bara (Papua New Guinea)</t>
  </si>
  <si>
    <t>bara1375</t>
  </si>
  <si>
    <t>bara1399</t>
  </si>
  <si>
    <t>Barapasi</t>
  </si>
  <si>
    <t>brp</t>
  </si>
  <si>
    <t>bara1376</t>
  </si>
  <si>
    <t>Baraic</t>
  </si>
  <si>
    <t>bara1377</t>
  </si>
  <si>
    <t>Barai-Namiae</t>
  </si>
  <si>
    <t>bara1378</t>
  </si>
  <si>
    <t>nucl1713</t>
  </si>
  <si>
    <t>Baramu</t>
  </si>
  <si>
    <t>bmz</t>
  </si>
  <si>
    <t>bara1380</t>
  </si>
  <si>
    <t>sout3006</t>
  </si>
  <si>
    <t>Barasana-Eduria</t>
  </si>
  <si>
    <t>bsn</t>
  </si>
  <si>
    <t>bara1394</t>
  </si>
  <si>
    <t>polc1243</t>
  </si>
  <si>
    <t>Baram</t>
  </si>
  <si>
    <t>bara1395</t>
  </si>
  <si>
    <t>daza1244</t>
  </si>
  <si>
    <t>bara1398</t>
  </si>
  <si>
    <t>Barashe</t>
  </si>
  <si>
    <t>Barapasi-Sauri-Kofei</t>
  </si>
  <si>
    <t>bara1401</t>
  </si>
  <si>
    <t>east2707</t>
  </si>
  <si>
    <t>Bara-Tatuyo</t>
  </si>
  <si>
    <t>nort3212</t>
  </si>
  <si>
    <t>Bara-Merina</t>
  </si>
  <si>
    <t>bara1404</t>
  </si>
  <si>
    <t>wemb1242</t>
  </si>
  <si>
    <t>Barababaraba</t>
  </si>
  <si>
    <t>rbp</t>
  </si>
  <si>
    <t>bara1405</t>
  </si>
  <si>
    <t>skoo1245</t>
  </si>
  <si>
    <t>wara1302</t>
  </si>
  <si>
    <t>Barapu-Warapu</t>
  </si>
  <si>
    <t>barb1242</t>
  </si>
  <si>
    <t>barb1268</t>
  </si>
  <si>
    <t>Barbacoas</t>
  </si>
  <si>
    <t>bpb</t>
  </si>
  <si>
    <t>barb1262</t>
  </si>
  <si>
    <t>logu1236</t>
  </si>
  <si>
    <t>Barbaricino</t>
  </si>
  <si>
    <t>barb1263</t>
  </si>
  <si>
    <t>chum1262</t>
  </si>
  <si>
    <t>cent2139</t>
  </si>
  <si>
    <t>Barbare√±o</t>
  </si>
  <si>
    <t>boi</t>
  </si>
  <si>
    <t>Barbacoan</t>
  </si>
  <si>
    <t>barb1266</t>
  </si>
  <si>
    <t>east2759</t>
  </si>
  <si>
    <t>Barbados-Eustatius</t>
  </si>
  <si>
    <t>Barbados-Trinidad</t>
  </si>
  <si>
    <t>Barbacoan (Unattested)</t>
  </si>
  <si>
    <t>barc1235</t>
  </si>
  <si>
    <t>barc1236</t>
  </si>
  <si>
    <t>Barclayville Grebo</t>
  </si>
  <si>
    <t>gry</t>
  </si>
  <si>
    <t>LR</t>
  </si>
  <si>
    <t>nort3193</t>
  </si>
  <si>
    <t>Barclayville-Gboloo-Central Liberian Grebo</t>
  </si>
  <si>
    <t>barc1237</t>
  </si>
  <si>
    <t>nons1235</t>
  </si>
  <si>
    <t>Barcelon√≠</t>
  </si>
  <si>
    <t>bard1252</t>
  </si>
  <si>
    <t>Bardiya</t>
  </si>
  <si>
    <t>bard1253</t>
  </si>
  <si>
    <t>goan1235</t>
  </si>
  <si>
    <t>Bardeskari</t>
  </si>
  <si>
    <t>bard1254</t>
  </si>
  <si>
    <t>nyul1248</t>
  </si>
  <si>
    <t>west2872</t>
  </si>
  <si>
    <t>Bardic</t>
  </si>
  <si>
    <t>bard1255</t>
  </si>
  <si>
    <t>Bardi</t>
  </si>
  <si>
    <t>bcj</t>
  </si>
  <si>
    <t>bard1256</t>
  </si>
  <si>
    <t>daju1249</t>
  </si>
  <si>
    <t>dard1243</t>
  </si>
  <si>
    <t>Bardangal</t>
  </si>
  <si>
    <t>bare1271</t>
  </si>
  <si>
    <t>Barei</t>
  </si>
  <si>
    <t>bare1272</t>
  </si>
  <si>
    <t>mboc1235</t>
  </si>
  <si>
    <t>Bareko</t>
  </si>
  <si>
    <t>bare1273</t>
  </si>
  <si>
    <t>vang1243</t>
  </si>
  <si>
    <t>Bareke</t>
  </si>
  <si>
    <t>bare1274</t>
  </si>
  <si>
    <t>baru1269</t>
  </si>
  <si>
    <t>Bareji</t>
  </si>
  <si>
    <t>bare1275</t>
  </si>
  <si>
    <t>gain1243</t>
  </si>
  <si>
    <t>Bareji (Gaina)</t>
  </si>
  <si>
    <t>bare1276</t>
  </si>
  <si>
    <t>Bar√©</t>
  </si>
  <si>
    <t>bae</t>
  </si>
  <si>
    <t>bare1279</t>
  </si>
  <si>
    <t>east2633</t>
  </si>
  <si>
    <t>Barain</t>
  </si>
  <si>
    <t>bva</t>
  </si>
  <si>
    <t>bare1280</t>
  </si>
  <si>
    <t>east2652</t>
  </si>
  <si>
    <t>Barentu</t>
  </si>
  <si>
    <t>barg1250</t>
  </si>
  <si>
    <t>Barguzin</t>
  </si>
  <si>
    <t>barg1251</t>
  </si>
  <si>
    <t>chin1476</t>
  </si>
  <si>
    <t>Bargu</t>
  </si>
  <si>
    <t>barg1252</t>
  </si>
  <si>
    <t>mugi1234</t>
  </si>
  <si>
    <t>Bargam</t>
  </si>
  <si>
    <t>mlp</t>
  </si>
  <si>
    <t>barh1234</t>
  </si>
  <si>
    <t>sara1318</t>
  </si>
  <si>
    <t>Barh Keita</t>
  </si>
  <si>
    <t>bari1241</t>
  </si>
  <si>
    <t>haus1258</t>
  </si>
  <si>
    <t>Barikanchi</t>
  </si>
  <si>
    <t>bxo</t>
  </si>
  <si>
    <t>bari1281</t>
  </si>
  <si>
    <t>Barik</t>
  </si>
  <si>
    <t>bari1282</t>
  </si>
  <si>
    <t>logo1259</t>
  </si>
  <si>
    <t>Bari (Logo)</t>
  </si>
  <si>
    <t>bari1283</t>
  </si>
  <si>
    <t>east2418</t>
  </si>
  <si>
    <t>Bari-Kakwa-Mandari</t>
  </si>
  <si>
    <t>Bari</t>
  </si>
  <si>
    <t>bfa</t>
  </si>
  <si>
    <t>bari1286</t>
  </si>
  <si>
    <t>east2772</t>
  </si>
  <si>
    <t>Bariai</t>
  </si>
  <si>
    <t>bch</t>
  </si>
  <si>
    <t>grea1283</t>
  </si>
  <si>
    <t>Barito-Mahakam</t>
  </si>
  <si>
    <t>bari1288</t>
  </si>
  <si>
    <t>Bario</t>
  </si>
  <si>
    <t>bari1290</t>
  </si>
  <si>
    <t>yare1251</t>
  </si>
  <si>
    <t>Bariji</t>
  </si>
  <si>
    <t>bjc</t>
  </si>
  <si>
    <t>bari1297</t>
  </si>
  <si>
    <t>sout3015</t>
  </si>
  <si>
    <t>Bar√≠</t>
  </si>
  <si>
    <t>mot</t>
  </si>
  <si>
    <t>CO VE</t>
  </si>
  <si>
    <t>bari1298</t>
  </si>
  <si>
    <t>tura1263</t>
  </si>
  <si>
    <t>tura1264</t>
  </si>
  <si>
    <t>Barikewa</t>
  </si>
  <si>
    <t>jbk</t>
  </si>
  <si>
    <t>bark1244</t>
  </si>
  <si>
    <t>Barkoundouba</t>
  </si>
  <si>
    <t>bark1245</t>
  </si>
  <si>
    <t>Barka (Burkina Faso)</t>
  </si>
  <si>
    <t>bark1246</t>
  </si>
  <si>
    <t>Barka</t>
  </si>
  <si>
    <t>bark1251</t>
  </si>
  <si>
    <t>ngkr1237</t>
  </si>
  <si>
    <t>Barkali</t>
  </si>
  <si>
    <t>barl1240</t>
  </si>
  <si>
    <t>fina1242</t>
  </si>
  <si>
    <t>Barlig</t>
  </si>
  <si>
    <t>barl1241</t>
  </si>
  <si>
    <t>kabu1256</t>
  </si>
  <si>
    <t>Barlavento</t>
  </si>
  <si>
    <t>barm1242</t>
  </si>
  <si>
    <t>marw1260</t>
  </si>
  <si>
    <t>Barmeri</t>
  </si>
  <si>
    <t>barm1243</t>
  </si>
  <si>
    <t>Barmeli</t>
  </si>
  <si>
    <t>baro1252</t>
  </si>
  <si>
    <t>Barombi</t>
  </si>
  <si>
    <t>bbi</t>
  </si>
  <si>
    <t>baro1253</t>
  </si>
  <si>
    <t>mada1284</t>
  </si>
  <si>
    <t>Barok</t>
  </si>
  <si>
    <t>bjk</t>
  </si>
  <si>
    <t>baro1254</t>
  </si>
  <si>
    <t>dupa1235</t>
  </si>
  <si>
    <t>Barongagunay</t>
  </si>
  <si>
    <t>baro1255</t>
  </si>
  <si>
    <t>Barotac Viejo Nagpana</t>
  </si>
  <si>
    <t>barp1238</t>
  </si>
  <si>
    <t>sout2715</t>
  </si>
  <si>
    <t>Barpak</t>
  </si>
  <si>
    <t>barr1247</t>
  </si>
  <si>
    <t>flin1248</t>
  </si>
  <si>
    <t>Barrow Point</t>
  </si>
  <si>
    <t>bpt</t>
  </si>
  <si>
    <t>barr1248</t>
  </si>
  <si>
    <t>kura1250</t>
  </si>
  <si>
    <t>Barrawa</t>
  </si>
  <si>
    <t>barr1249</t>
  </si>
  <si>
    <t>bugi1244</t>
  </si>
  <si>
    <t>Barru</t>
  </si>
  <si>
    <t>barr1251</t>
  </si>
  <si>
    <t>Barro Negro Tunebo</t>
  </si>
  <si>
    <t>tbn</t>
  </si>
  <si>
    <t>barr1252</t>
  </si>
  <si>
    <t>muru1265</t>
  </si>
  <si>
    <t>Barranbinya</t>
  </si>
  <si>
    <t>bart1238</t>
  </si>
  <si>
    <t>bart1243</t>
  </si>
  <si>
    <t>Bartangi</t>
  </si>
  <si>
    <t>bart1242</t>
  </si>
  <si>
    <t>Bartille</t>
  </si>
  <si>
    <t>shug1248</t>
  </si>
  <si>
    <t>Bartangi-Roshorvi</t>
  </si>
  <si>
    <t>baru1265</t>
  </si>
  <si>
    <t>noir1238</t>
  </si>
  <si>
    <t>Barutiya</t>
  </si>
  <si>
    <t>baru1266</t>
  </si>
  <si>
    <t>nige1255</t>
  </si>
  <si>
    <t>Barup</t>
  </si>
  <si>
    <t>baru1267</t>
  </si>
  <si>
    <t>baru1271</t>
  </si>
  <si>
    <t>Baruya</t>
  </si>
  <si>
    <t>byr</t>
  </si>
  <si>
    <t>baru1268</t>
  </si>
  <si>
    <t>coas1297</t>
  </si>
  <si>
    <t>Baruga-Doghoro</t>
  </si>
  <si>
    <t>Baruga</t>
  </si>
  <si>
    <t>bjz</t>
  </si>
  <si>
    <t>baru1270</t>
  </si>
  <si>
    <t>Baruh</t>
  </si>
  <si>
    <t>nucl1763</t>
  </si>
  <si>
    <t>Baruya-Simbari</t>
  </si>
  <si>
    <t>barw1242</t>
  </si>
  <si>
    <t>Barwari Jor</t>
  </si>
  <si>
    <t>barw1243</t>
  </si>
  <si>
    <t>sena1270</t>
  </si>
  <si>
    <t>Barwe</t>
  </si>
  <si>
    <t>bwg</t>
  </si>
  <si>
    <t>MZ</t>
  </si>
  <si>
    <t>barw1244</t>
  </si>
  <si>
    <t>Barwozi</t>
  </si>
  <si>
    <t>bary1234</t>
  </si>
  <si>
    <t>midd1357</t>
  </si>
  <si>
    <t>Baryulgil</t>
  </si>
  <si>
    <t>barz1241</t>
  </si>
  <si>
    <t>nort3242</t>
  </si>
  <si>
    <t>Barzani Jewish Neo-Aramaic</t>
  </si>
  <si>
    <t>bjf</t>
  </si>
  <si>
    <t>barz1242</t>
  </si>
  <si>
    <t>Barzan</t>
  </si>
  <si>
    <t>basa1276</t>
  </si>
  <si>
    <t>Bas-Auvergnat</t>
  </si>
  <si>
    <t>basa1277</t>
  </si>
  <si>
    <t>Basan</t>
  </si>
  <si>
    <t>basa1278</t>
  </si>
  <si>
    <t>oban1244</t>
  </si>
  <si>
    <t>Basang</t>
  </si>
  <si>
    <t>basa1279</t>
  </si>
  <si>
    <t>basa1288</t>
  </si>
  <si>
    <t>Basa</t>
  </si>
  <si>
    <t>basa1280</t>
  </si>
  <si>
    <t>gumn1234</t>
  </si>
  <si>
    <t>Basa-Gumna</t>
  </si>
  <si>
    <t>bsl</t>
  </si>
  <si>
    <t>basa1281</t>
  </si>
  <si>
    <t>kont1247</t>
  </si>
  <si>
    <t>Basa-Gurmana</t>
  </si>
  <si>
    <t>buj</t>
  </si>
  <si>
    <t>basa1282</t>
  </si>
  <si>
    <t>Basa (Nigeria)</t>
  </si>
  <si>
    <t>bzw</t>
  </si>
  <si>
    <t>Basaa (A.40)</t>
  </si>
  <si>
    <t>basa1290</t>
  </si>
  <si>
    <t>Basa (Cameroon)</t>
  </si>
  <si>
    <t>bas</t>
  </si>
  <si>
    <t>basa1285</t>
  </si>
  <si>
    <t>Basa (Ngwo)</t>
  </si>
  <si>
    <t>basa1286</t>
  </si>
  <si>
    <t>basa1291</t>
  </si>
  <si>
    <t>Basap</t>
  </si>
  <si>
    <t>bdb</t>
  </si>
  <si>
    <t>basa1287</t>
  </si>
  <si>
    <t>nort2900</t>
  </si>
  <si>
    <t>Basay</t>
  </si>
  <si>
    <t>byq</t>
  </si>
  <si>
    <t>cent2242</t>
  </si>
  <si>
    <t>Basa-Eastern Kainji</t>
  </si>
  <si>
    <t>Basaa-Bakoko</t>
  </si>
  <si>
    <t>Basaa-Hijuk</t>
  </si>
  <si>
    <t>Basap-Greater Barito</t>
  </si>
  <si>
    <t>basc1238</t>
  </si>
  <si>
    <t>Basco Ivatan</t>
  </si>
  <si>
    <t>base1241</t>
  </si>
  <si>
    <t>Basel German</t>
  </si>
  <si>
    <t>base1242</t>
  </si>
  <si>
    <t>Basese</t>
  </si>
  <si>
    <t>bash1262</t>
  </si>
  <si>
    <t>Bashgaadi</t>
  </si>
  <si>
    <t>bash1263</t>
  </si>
  <si>
    <t>mode1259</t>
  </si>
  <si>
    <t>Bashkardi</t>
  </si>
  <si>
    <t>bsg</t>
  </si>
  <si>
    <t>bash1264</t>
  </si>
  <si>
    <t>nort2696</t>
  </si>
  <si>
    <t>Bashkir</t>
  </si>
  <si>
    <t>bak</t>
  </si>
  <si>
    <t>KZ RU UA</t>
  </si>
  <si>
    <t>bash1265</t>
  </si>
  <si>
    <t>Basho</t>
  </si>
  <si>
    <t>nato1234</t>
  </si>
  <si>
    <t>Basila-Adele</t>
  </si>
  <si>
    <t>basi1246</t>
  </si>
  <si>
    <t>sout2795</t>
  </si>
  <si>
    <t>Basinyari</t>
  </si>
  <si>
    <t>basi1247</t>
  </si>
  <si>
    <t>gale1257</t>
  </si>
  <si>
    <t>Basima</t>
  </si>
  <si>
    <t>basi1248</t>
  </si>
  <si>
    <t>romb1245</t>
  </si>
  <si>
    <t>Basiq</t>
  </si>
  <si>
    <t>bask1236</t>
  </si>
  <si>
    <t>nort3161</t>
  </si>
  <si>
    <t>Basketo</t>
  </si>
  <si>
    <t>bst</t>
  </si>
  <si>
    <t>basl1241</t>
  </si>
  <si>
    <t>lang1309</t>
  </si>
  <si>
    <t>Bas-Languedocien</t>
  </si>
  <si>
    <t>basl1242</t>
  </si>
  <si>
    <t>limo1246</t>
  </si>
  <si>
    <t>Bas-Limousin</t>
  </si>
  <si>
    <t>baso1234</t>
  </si>
  <si>
    <t>sopo1239</t>
  </si>
  <si>
    <t>Basoo</t>
  </si>
  <si>
    <t>basq1236</t>
  </si>
  <si>
    <t>calo1236</t>
  </si>
  <si>
    <t>Galician Calo</t>
  </si>
  <si>
    <t>Basque</t>
  </si>
  <si>
    <t>basq1249</t>
  </si>
  <si>
    <t>Navarro-Labourdin Basque</t>
  </si>
  <si>
    <t>bqe</t>
  </si>
  <si>
    <t>basq1250</t>
  </si>
  <si>
    <t>Basque, Souletin</t>
  </si>
  <si>
    <t>basq1252</t>
  </si>
  <si>
    <t>basq1268</t>
  </si>
  <si>
    <t>Basque-Amerindian Pidgin</t>
  </si>
  <si>
    <t>basq1267</t>
  </si>
  <si>
    <t>Basque-Romani</t>
  </si>
  <si>
    <t>Basque-based pidgin</t>
  </si>
  <si>
    <t>bass1257</t>
  </si>
  <si>
    <t>Basseri</t>
  </si>
  <si>
    <t>bass1263</t>
  </si>
  <si>
    <t>Bassari-Tanda</t>
  </si>
  <si>
    <t>bsc</t>
  </si>
  <si>
    <t>bass1259</t>
  </si>
  <si>
    <t>Bassa-Kontagora</t>
  </si>
  <si>
    <t>bsr</t>
  </si>
  <si>
    <t>bass1260</t>
  </si>
  <si>
    <t>mane1268</t>
  </si>
  <si>
    <t>Bassossi</t>
  </si>
  <si>
    <t>bsi</t>
  </si>
  <si>
    <t>bass1261</t>
  </si>
  <si>
    <t>Basso</t>
  </si>
  <si>
    <t>bass1262</t>
  </si>
  <si>
    <t>west2485</t>
  </si>
  <si>
    <t>Bassaic</t>
  </si>
  <si>
    <t>tend1239</t>
  </si>
  <si>
    <t>Bassari-Bedik-Bapen</t>
  </si>
  <si>
    <t>bass1265</t>
  </si>
  <si>
    <t>Bassarabian Bulgarian</t>
  </si>
  <si>
    <t>bast1244</t>
  </si>
  <si>
    <t>lari1253</t>
  </si>
  <si>
    <t>Bastak</t>
  </si>
  <si>
    <t>bast1245</t>
  </si>
  <si>
    <t>nort2656</t>
  </si>
  <si>
    <t>Basti</t>
  </si>
  <si>
    <t>bast1246</t>
  </si>
  <si>
    <t>Bastari</t>
  </si>
  <si>
    <t>basu1241</t>
  </si>
  <si>
    <t>Basua</t>
  </si>
  <si>
    <t>basu1242</t>
  </si>
  <si>
    <t>epen1239</t>
  </si>
  <si>
    <t>Basurud√≥</t>
  </si>
  <si>
    <t>basu1243</t>
  </si>
  <si>
    <t>unun9962</t>
  </si>
  <si>
    <t>Basum</t>
  </si>
  <si>
    <t>bata1284</t>
  </si>
  <si>
    <t>Batau</t>
  </si>
  <si>
    <t>bata1285</t>
  </si>
  <si>
    <t>beng1289</t>
  </si>
  <si>
    <t>Batanga</t>
  </si>
  <si>
    <t>bnm</t>
  </si>
  <si>
    <t>CM GQ</t>
  </si>
  <si>
    <t>bata1286</t>
  </si>
  <si>
    <t>Batanga (Caka)</t>
  </si>
  <si>
    <t>bata1287</t>
  </si>
  <si>
    <t>Batang Lupar</t>
  </si>
  <si>
    <t>bata1288</t>
  </si>
  <si>
    <t>sout3166</t>
  </si>
  <si>
    <t>Batak Simalungun</t>
  </si>
  <si>
    <t>bts</t>
  </si>
  <si>
    <t>bata1289</t>
  </si>
  <si>
    <t>Batak Toba</t>
  </si>
  <si>
    <t>bbc</t>
  </si>
  <si>
    <t>bata1290</t>
  </si>
  <si>
    <t>Batak Angkola</t>
  </si>
  <si>
    <t>akb</t>
  </si>
  <si>
    <t>bata1291</t>
  </si>
  <si>
    <t>Batak Mandailing</t>
  </si>
  <si>
    <t>btm</t>
  </si>
  <si>
    <t>nort2831</t>
  </si>
  <si>
    <t>Batak Alas-Kluet</t>
  </si>
  <si>
    <t>btz</t>
  </si>
  <si>
    <t>Batak Karo</t>
  </si>
  <si>
    <t>bata1294</t>
  </si>
  <si>
    <t>Batak Dairi</t>
  </si>
  <si>
    <t>btd</t>
  </si>
  <si>
    <t>bata1295</t>
  </si>
  <si>
    <t>raja1258</t>
  </si>
  <si>
    <t>Batanta</t>
  </si>
  <si>
    <t>bata1296</t>
  </si>
  <si>
    <t>Batanta Island</t>
  </si>
  <si>
    <t>bata1297</t>
  </si>
  <si>
    <t>Bataan Ayta</t>
  </si>
  <si>
    <t>ayt</t>
  </si>
  <si>
    <t>bata1319</t>
  </si>
  <si>
    <t>Batad Ifugao</t>
  </si>
  <si>
    <t>ifb</t>
  </si>
  <si>
    <t>bata1299</t>
  </si>
  <si>
    <t>taga1270</t>
  </si>
  <si>
    <t>Bataan</t>
  </si>
  <si>
    <t>bata1300</t>
  </si>
  <si>
    <t>Batangas</t>
  </si>
  <si>
    <t>bata1317</t>
  </si>
  <si>
    <t>bata1314</t>
  </si>
  <si>
    <t>bta</t>
  </si>
  <si>
    <t>bata1315</t>
  </si>
  <si>
    <t>Batanic</t>
  </si>
  <si>
    <t>nort3185</t>
  </si>
  <si>
    <t>Batak-Central Tagbanwa</t>
  </si>
  <si>
    <t>bata1318</t>
  </si>
  <si>
    <t>buhi1244</t>
  </si>
  <si>
    <t>Batangan</t>
  </si>
  <si>
    <t>Batad-Mayoyao</t>
  </si>
  <si>
    <t>batc1238</t>
  </si>
  <si>
    <t>Batcham</t>
  </si>
  <si>
    <t>bate1261</t>
  </si>
  <si>
    <t>bate1269</t>
  </si>
  <si>
    <t>Bateri</t>
  </si>
  <si>
    <t>btv</t>
  </si>
  <si>
    <t>bate1262</t>
  </si>
  <si>
    <t>bate1268</t>
  </si>
  <si>
    <t>Batek</t>
  </si>
  <si>
    <t>btq</t>
  </si>
  <si>
    <t>bate1263</t>
  </si>
  <si>
    <t>Batek Nong</t>
  </si>
  <si>
    <t>bate1266</t>
  </si>
  <si>
    <t>Batek Teq</t>
  </si>
  <si>
    <t>bate1267</t>
  </si>
  <si>
    <t>Batek The</t>
  </si>
  <si>
    <t>menr1235</t>
  </si>
  <si>
    <t>Batekic</t>
  </si>
  <si>
    <t>oute1238</t>
  </si>
  <si>
    <t>Bateri-Mankiyali</t>
  </si>
  <si>
    <t>bath1239</t>
  </si>
  <si>
    <t>Bathi</t>
  </si>
  <si>
    <t>bath1244</t>
  </si>
  <si>
    <t>west2859</t>
  </si>
  <si>
    <t>Bathari</t>
  </si>
  <si>
    <t>bhm</t>
  </si>
  <si>
    <t>OM YE</t>
  </si>
  <si>
    <t>Batha</t>
  </si>
  <si>
    <t>bath1249</t>
  </si>
  <si>
    <t>east2344</t>
  </si>
  <si>
    <t>Bathang (Batang)</t>
  </si>
  <si>
    <t>bati1250</t>
  </si>
  <si>
    <t>bwaa1238</t>
  </si>
  <si>
    <t>Bati</t>
  </si>
  <si>
    <t>bati1251</t>
  </si>
  <si>
    <t>nucl1746</t>
  </si>
  <si>
    <t>Bati (Cameroon)</t>
  </si>
  <si>
    <t>btc</t>
  </si>
  <si>
    <t>bati1252</t>
  </si>
  <si>
    <t>namo1248</t>
  </si>
  <si>
    <t>Batiwai</t>
  </si>
  <si>
    <t>bati1253</t>
  </si>
  <si>
    <t>gese1241</t>
  </si>
  <si>
    <t>Bati (Indonesia)</t>
  </si>
  <si>
    <t>bvt</t>
  </si>
  <si>
    <t>bati1254</t>
  </si>
  <si>
    <t>mbya1239</t>
  </si>
  <si>
    <t>Baticola</t>
  </si>
  <si>
    <t>batl1238</t>
  </si>
  <si>
    <t>Batlux</t>
  </si>
  <si>
    <t>bato1244</t>
  </si>
  <si>
    <t>medu1238</t>
  </si>
  <si>
    <t>Batongtou</t>
  </si>
  <si>
    <t>bato1245</t>
  </si>
  <si>
    <t>ndan1241</t>
  </si>
  <si>
    <t>Batoufam</t>
  </si>
  <si>
    <t>bato1246</t>
  </si>
  <si>
    <t>mesa1245</t>
  </si>
  <si>
    <t>Batomo</t>
  </si>
  <si>
    <t>bats1242</t>
  </si>
  <si>
    <t>nakh1246</t>
  </si>
  <si>
    <t>Bats</t>
  </si>
  <si>
    <t>bbl</t>
  </si>
  <si>
    <t>GE</t>
  </si>
  <si>
    <t>Batu</t>
  </si>
  <si>
    <t>btu</t>
  </si>
  <si>
    <t>batu1256</t>
  </si>
  <si>
    <t>Batu Sangkar-Pariangan</t>
  </si>
  <si>
    <t>batu1257</t>
  </si>
  <si>
    <t>Batu (Indonesia)</t>
  </si>
  <si>
    <t>batu1258</t>
  </si>
  <si>
    <t>batu1262</t>
  </si>
  <si>
    <t>Batuley</t>
  </si>
  <si>
    <t>bay</t>
  </si>
  <si>
    <t>batu1259</t>
  </si>
  <si>
    <t>luhu1243</t>
  </si>
  <si>
    <t>Batu Merah</t>
  </si>
  <si>
    <t>batu1260</t>
  </si>
  <si>
    <t>batu1263</t>
  </si>
  <si>
    <t>Batui</t>
  </si>
  <si>
    <t>zbt</t>
  </si>
  <si>
    <t>batu1261</t>
  </si>
  <si>
    <t>kuii1253</t>
  </si>
  <si>
    <t>Batulolong</t>
  </si>
  <si>
    <t>Batuley-Mariri</t>
  </si>
  <si>
    <t>salu1252</t>
  </si>
  <si>
    <t>Batui-Saluan</t>
  </si>
  <si>
    <t>baty1234</t>
  </si>
  <si>
    <t>Batyala</t>
  </si>
  <si>
    <t>xby</t>
  </si>
  <si>
    <t>bida1237</t>
  </si>
  <si>
    <t>Bau-Jagoi Bidayuh</t>
  </si>
  <si>
    <t>sne</t>
  </si>
  <si>
    <t>bauc1238</t>
  </si>
  <si>
    <t>shir1275</t>
  </si>
  <si>
    <t>Bauchi</t>
  </si>
  <si>
    <t>bsf</t>
  </si>
  <si>
    <t>bauc1239</t>
  </si>
  <si>
    <t>nige1253</t>
  </si>
  <si>
    <t>Bauchi Fulfulde</t>
  </si>
  <si>
    <t>bauk1238</t>
  </si>
  <si>
    <t>book1241</t>
  </si>
  <si>
    <t>Baukan</t>
  </si>
  <si>
    <t>baul1240</t>
  </si>
  <si>
    <t>tula1252</t>
  </si>
  <si>
    <t>Baule</t>
  </si>
  <si>
    <t>baur1251</t>
  </si>
  <si>
    <t>Bauria</t>
  </si>
  <si>
    <t>bge</t>
  </si>
  <si>
    <t>baur1252</t>
  </si>
  <si>
    <t>Bauro</t>
  </si>
  <si>
    <t>bxa</t>
  </si>
  <si>
    <t>baur1253</t>
  </si>
  <si>
    <t>baur1254</t>
  </si>
  <si>
    <t>Baure</t>
  </si>
  <si>
    <t>brg</t>
  </si>
  <si>
    <t>baur1255</t>
  </si>
  <si>
    <t>Baure-Carmelito-Joaquiniano</t>
  </si>
  <si>
    <t>boli1260</t>
  </si>
  <si>
    <t>Baure-Paikoneka</t>
  </si>
  <si>
    <t>baut1239</t>
  </si>
  <si>
    <t>uppe1395</t>
  </si>
  <si>
    <t>Bautzen</t>
  </si>
  <si>
    <t>bauu1243</t>
  </si>
  <si>
    <t>Bau (Fijian)</t>
  </si>
  <si>
    <t>bauu1244</t>
  </si>
  <si>
    <t>pani1263</t>
  </si>
  <si>
    <t>Bau</t>
  </si>
  <si>
    <t>bbd</t>
  </si>
  <si>
    <t>bauw1240</t>
  </si>
  <si>
    <t>bauw1241</t>
  </si>
  <si>
    <t>Bauwaki</t>
  </si>
  <si>
    <t>bwk</t>
  </si>
  <si>
    <t>Bauwakic</t>
  </si>
  <si>
    <t>baux1234</t>
  </si>
  <si>
    <t>fren1279</t>
  </si>
  <si>
    <t>Bauxite Pidgin</t>
  </si>
  <si>
    <t>Bauzi</t>
  </si>
  <si>
    <t>bvz</t>
  </si>
  <si>
    <t>baye1239</t>
  </si>
  <si>
    <t>Bavarian</t>
  </si>
  <si>
    <t>AT CZ DE IT</t>
  </si>
  <si>
    <t>bawe1237</t>
  </si>
  <si>
    <t>Bawean</t>
  </si>
  <si>
    <t>bawm1236</t>
  </si>
  <si>
    <t>fala1242</t>
  </si>
  <si>
    <t>Bawm Chin</t>
  </si>
  <si>
    <t>bgr</t>
  </si>
  <si>
    <t>BD IN MM</t>
  </si>
  <si>
    <t>bawu1237</t>
  </si>
  <si>
    <t>Bawu</t>
  </si>
  <si>
    <t>baya1255</t>
  </si>
  <si>
    <t>Bayash-Rudar</t>
  </si>
  <si>
    <t>baya1256</t>
  </si>
  <si>
    <t>Bayat</t>
  </si>
  <si>
    <t>baya1257</t>
  </si>
  <si>
    <t>rock1234</t>
  </si>
  <si>
    <t>Bayali</t>
  </si>
  <si>
    <t>bjy</t>
  </si>
  <si>
    <t>baya1258</t>
  </si>
  <si>
    <t>isna1241</t>
  </si>
  <si>
    <t>Bayag</t>
  </si>
  <si>
    <t>baya1259</t>
  </si>
  <si>
    <t>dusu1269</t>
  </si>
  <si>
    <t>Bayan</t>
  </si>
  <si>
    <t>baya1263</t>
  </si>
  <si>
    <t>Bayano</t>
  </si>
  <si>
    <t>baya1264</t>
  </si>
  <si>
    <t>Bayazet</t>
  </si>
  <si>
    <t>bayb1234</t>
  </si>
  <si>
    <t>sama1315</t>
  </si>
  <si>
    <t>Baybayanon</t>
  </si>
  <si>
    <t>bvy</t>
  </si>
  <si>
    <t>baye1238</t>
  </si>
  <si>
    <t>Bayezidi</t>
  </si>
  <si>
    <t>Bairisch</t>
  </si>
  <si>
    <t>bayg1239</t>
  </si>
  <si>
    <t>nyal1252</t>
  </si>
  <si>
    <t>Baygo</t>
  </si>
  <si>
    <t>byg</t>
  </si>
  <si>
    <t>bayi1240</t>
  </si>
  <si>
    <t>Bayid</t>
  </si>
  <si>
    <t>baym1237</t>
  </si>
  <si>
    <t>misu1242</t>
  </si>
  <si>
    <t>Baymuna</t>
  </si>
  <si>
    <t>baym1241</t>
  </si>
  <si>
    <t>miwo1274</t>
  </si>
  <si>
    <t>east2546</t>
  </si>
  <si>
    <t>Bay Miwok</t>
  </si>
  <si>
    <t>mkq</t>
  </si>
  <si>
    <t>bayn1237</t>
  </si>
  <si>
    <t>kele1259</t>
  </si>
  <si>
    <t>Bayninan</t>
  </si>
  <si>
    <t>bayo1255</t>
  </si>
  <si>
    <t>Kugere-Kuxinge</t>
  </si>
  <si>
    <t>bda</t>
  </si>
  <si>
    <t>bayo1256</t>
  </si>
  <si>
    <t>ukpe1247</t>
  </si>
  <si>
    <t>Bayobiri</t>
  </si>
  <si>
    <t>bayo1257</t>
  </si>
  <si>
    <t>moro1281</t>
  </si>
  <si>
    <t>Bayo</t>
  </si>
  <si>
    <t>bayo1258</t>
  </si>
  <si>
    <t>Bay of Plenty</t>
  </si>
  <si>
    <t>Bayono-Awbono</t>
  </si>
  <si>
    <t>bayo1260</t>
  </si>
  <si>
    <t>Bayono</t>
  </si>
  <si>
    <t>byl</t>
  </si>
  <si>
    <t>bayo1261</t>
  </si>
  <si>
    <t>moro1296</t>
  </si>
  <si>
    <t>Bayo-Morom</t>
  </si>
  <si>
    <t>jola1264</t>
  </si>
  <si>
    <t>Bayot</t>
  </si>
  <si>
    <t>bayr1238</t>
  </si>
  <si>
    <t>sout2640</t>
  </si>
  <si>
    <t>Bayray</t>
  </si>
  <si>
    <t>bayu1240</t>
  </si>
  <si>
    <t>kany1246</t>
  </si>
  <si>
    <t>Bayungu</t>
  </si>
  <si>
    <t>bxj</t>
  </si>
  <si>
    <t>bayy1237</t>
  </si>
  <si>
    <t>cent2292</t>
  </si>
  <si>
    <t>Bayyu</t>
  </si>
  <si>
    <t>bazi1237</t>
  </si>
  <si>
    <t>Bazigar</t>
  </si>
  <si>
    <t>bfr</t>
  </si>
  <si>
    <t>bazz1238</t>
  </si>
  <si>
    <t>nort3096</t>
  </si>
  <si>
    <t>Baz</t>
  </si>
  <si>
    <t>bbat1238</t>
  </si>
  <si>
    <t>mbay1241</t>
  </si>
  <si>
    <t>Bbate</t>
  </si>
  <si>
    <t>beam1240</t>
  </si>
  <si>
    <t>etor1234</t>
  </si>
  <si>
    <t>Beami</t>
  </si>
  <si>
    <t>beo</t>
  </si>
  <si>
    <t>bear1240</t>
  </si>
  <si>
    <t>B√©arnais</t>
  </si>
  <si>
    <t>beau1239</t>
  </si>
  <si>
    <t>timu1262</t>
  </si>
  <si>
    <t>Beaufort Murut</t>
  </si>
  <si>
    <t>beau1240</t>
  </si>
  <si>
    <t>cent2100</t>
  </si>
  <si>
    <t>Beaufort</t>
  </si>
  <si>
    <t>beav1236</t>
  </si>
  <si>
    <t>Beaver</t>
  </si>
  <si>
    <t>bea</t>
  </si>
  <si>
    <t>beba1238</t>
  </si>
  <si>
    <t>Beba</t>
  </si>
  <si>
    <t>bfp</t>
  </si>
  <si>
    <t>bebe1248</t>
  </si>
  <si>
    <t>ewon1241</t>
  </si>
  <si>
    <t>Bebele</t>
  </si>
  <si>
    <t>beb</t>
  </si>
  <si>
    <t>bebe1249</t>
  </si>
  <si>
    <t>maka1304</t>
  </si>
  <si>
    <t>Bebent</t>
  </si>
  <si>
    <t>bebe1250</t>
  </si>
  <si>
    <t>bebe1253</t>
  </si>
  <si>
    <t>Bebe</t>
  </si>
  <si>
    <t>bzv</t>
  </si>
  <si>
    <t>bebe1251</t>
  </si>
  <si>
    <t>bwai1242</t>
  </si>
  <si>
    <t>Bebebele Ii</t>
  </si>
  <si>
    <t>bebe1252</t>
  </si>
  <si>
    <t>bebe1254</t>
  </si>
  <si>
    <t>Bebeli</t>
  </si>
  <si>
    <t>bek</t>
  </si>
  <si>
    <t>east2730</t>
  </si>
  <si>
    <t>Bebe-Kemezung</t>
  </si>
  <si>
    <t>Bebeli-Mangseng</t>
  </si>
  <si>
    <t>bebi1241</t>
  </si>
  <si>
    <t>Bebi</t>
  </si>
  <si>
    <t>bebi1242</t>
  </si>
  <si>
    <t>Bebil</t>
  </si>
  <si>
    <t>bxp</t>
  </si>
  <si>
    <t>bebo1242</t>
  </si>
  <si>
    <t>bedj1245</t>
  </si>
  <si>
    <t>B√©bote</t>
  </si>
  <si>
    <t>bebo1243</t>
  </si>
  <si>
    <t>Beboid</t>
  </si>
  <si>
    <t>bech1238</t>
  </si>
  <si>
    <t>Bechati</t>
  </si>
  <si>
    <t>bech1239</t>
  </si>
  <si>
    <t>clal1241</t>
  </si>
  <si>
    <t>Becher Bay Klallam</t>
  </si>
  <si>
    <t>beck1235</t>
  </si>
  <si>
    <t>Becking-Dawi</t>
  </si>
  <si>
    <t>beda1245</t>
  </si>
  <si>
    <t>soko1263</t>
  </si>
  <si>
    <t>Bedanga</t>
  </si>
  <si>
    <t>beda1249</t>
  </si>
  <si>
    <t>Beda</t>
  </si>
  <si>
    <t>bede1242</t>
  </si>
  <si>
    <t>yesk1239</t>
  </si>
  <si>
    <t>Bede</t>
  </si>
  <si>
    <t>bede1243</t>
  </si>
  <si>
    <t>B√©d√©gu√©</t>
  </si>
  <si>
    <t>Bedik</t>
  </si>
  <si>
    <t>tnr</t>
  </si>
  <si>
    <t>bedi1236</t>
  </si>
  <si>
    <t>sara1346</t>
  </si>
  <si>
    <t>Bediondo</t>
  </si>
  <si>
    <t>Bedik-Bapen</t>
  </si>
  <si>
    <t>bedj1244</t>
  </si>
  <si>
    <t>B√©djou</t>
  </si>
  <si>
    <t>Nangnda</t>
  </si>
  <si>
    <t>bjv</t>
  </si>
  <si>
    <t>bedo1237</t>
  </si>
  <si>
    <t>Bedoanas</t>
  </si>
  <si>
    <t>bed</t>
  </si>
  <si>
    <t>bedu1242</t>
  </si>
  <si>
    <t>temu1239</t>
  </si>
  <si>
    <t>Beduanda</t>
  </si>
  <si>
    <t>beee1241</t>
  </si>
  <si>
    <t>Be</t>
  </si>
  <si>
    <t>beeg1236</t>
  </si>
  <si>
    <t>munj1246</t>
  </si>
  <si>
    <t>Beege</t>
  </si>
  <si>
    <t>beek1238</t>
  </si>
  <si>
    <t>Beeke</t>
  </si>
  <si>
    <t>bkf</t>
  </si>
  <si>
    <t>beel1236</t>
  </si>
  <si>
    <t>bola1254</t>
  </si>
  <si>
    <t>Beele</t>
  </si>
  <si>
    <t>bxq</t>
  </si>
  <si>
    <t>beem1239</t>
  </si>
  <si>
    <t>kuny1239</t>
  </si>
  <si>
    <t>Beembe</t>
  </si>
  <si>
    <t>beq</t>
  </si>
  <si>
    <t>beez1238</t>
  </si>
  <si>
    <t>Beezen</t>
  </si>
  <si>
    <t>bnz</t>
  </si>
  <si>
    <t>Beezen-Baazem</t>
  </si>
  <si>
    <t>Befang</t>
  </si>
  <si>
    <t>bby</t>
  </si>
  <si>
    <t>bega1240</t>
  </si>
  <si>
    <t>idaa1241</t>
  </si>
  <si>
    <t>Begak</t>
  </si>
  <si>
    <t>begb1241</t>
  </si>
  <si>
    <t>Begbere-Ejar</t>
  </si>
  <si>
    <t>bqv</t>
  </si>
  <si>
    <t>begi1237</t>
  </si>
  <si>
    <t>sema1269</t>
  </si>
  <si>
    <t>Beginci</t>
  </si>
  <si>
    <t>behe1240</t>
  </si>
  <si>
    <t>koii1238</t>
  </si>
  <si>
    <t>Behere</t>
  </si>
  <si>
    <t>beic1238</t>
  </si>
  <si>
    <t>Bei√ßo de Pau</t>
  </si>
  <si>
    <t>beic1239</t>
  </si>
  <si>
    <t>bese1244</t>
  </si>
  <si>
    <t>Beic</t>
  </si>
  <si>
    <t>beij1234</t>
  </si>
  <si>
    <t>beij1235</t>
  </si>
  <si>
    <t>Beijing Mandarin</t>
  </si>
  <si>
    <t>Beijingic</t>
  </si>
  <si>
    <t>beil1238</t>
  </si>
  <si>
    <t>koma1264</t>
  </si>
  <si>
    <t>komo1258</t>
  </si>
  <si>
    <t>Beilla</t>
  </si>
  <si>
    <t>beir1241</t>
  </si>
  <si>
    <t>Beira</t>
  </si>
  <si>
    <t>beir1242</t>
  </si>
  <si>
    <t>Beirut</t>
  </si>
  <si>
    <t>cush1243</t>
  </si>
  <si>
    <t>Beja</t>
  </si>
  <si>
    <t>bej</t>
  </si>
  <si>
    <t>EG ER SD</t>
  </si>
  <si>
    <t>beka1240</t>
  </si>
  <si>
    <t>Beka</t>
  </si>
  <si>
    <t>beka1241</t>
  </si>
  <si>
    <t>Riuk Bekati'</t>
  </si>
  <si>
    <t>bei</t>
  </si>
  <si>
    <t>beke1238</t>
  </si>
  <si>
    <t>Bekeni</t>
  </si>
  <si>
    <t>beku1238</t>
  </si>
  <si>
    <t>Bekuma</t>
  </si>
  <si>
    <t>bekw1241</t>
  </si>
  <si>
    <t>Bekwarra</t>
  </si>
  <si>
    <t>bkv</t>
  </si>
  <si>
    <t>bekw1242</t>
  </si>
  <si>
    <t>bekw1243</t>
  </si>
  <si>
    <t>Bekwil</t>
  </si>
  <si>
    <t>bkw</t>
  </si>
  <si>
    <t>CG CM GA</t>
  </si>
  <si>
    <t>ndze1234</t>
  </si>
  <si>
    <t>Bekwilic</t>
  </si>
  <si>
    <t>beky1238</t>
  </si>
  <si>
    <t>dwan1238</t>
  </si>
  <si>
    <t>Bekye</t>
  </si>
  <si>
    <t>east1426</t>
  </si>
  <si>
    <t>Belarusian</t>
  </si>
  <si>
    <t>BY LT LV PL RU UA</t>
  </si>
  <si>
    <t>bela1255</t>
  </si>
  <si>
    <t>Belanda Viri</t>
  </si>
  <si>
    <t>bvi</t>
  </si>
  <si>
    <t>bela1256</t>
  </si>
  <si>
    <t>Belanda Bor</t>
  </si>
  <si>
    <t>bxb</t>
  </si>
  <si>
    <t>bela1257</t>
  </si>
  <si>
    <t>Belantikan</t>
  </si>
  <si>
    <t>bela1258</t>
  </si>
  <si>
    <t>Belanda</t>
  </si>
  <si>
    <t>bela1259</t>
  </si>
  <si>
    <t>busa1255</t>
  </si>
  <si>
    <t>Belayan</t>
  </si>
  <si>
    <t>bela1260</t>
  </si>
  <si>
    <t>cent2272</t>
  </si>
  <si>
    <t>Lemeting</t>
  </si>
  <si>
    <t>beg</t>
  </si>
  <si>
    <t>BN MY</t>
  </si>
  <si>
    <t>bela1261</t>
  </si>
  <si>
    <t>kawe1241</t>
  </si>
  <si>
    <t>Belang</t>
  </si>
  <si>
    <t>bele1248</t>
  </si>
  <si>
    <t>sout2782</t>
  </si>
  <si>
    <t>Bele</t>
  </si>
  <si>
    <t>bele1249</t>
  </si>
  <si>
    <t>Beledugu</t>
  </si>
  <si>
    <t>bele1250</t>
  </si>
  <si>
    <t>nyal1254</t>
  </si>
  <si>
    <t>Belep Proper</t>
  </si>
  <si>
    <t>bele1251</t>
  </si>
  <si>
    <t>Belebele I</t>
  </si>
  <si>
    <t>bele1252</t>
  </si>
  <si>
    <t>idun1242</t>
  </si>
  <si>
    <t>Belebele</t>
  </si>
  <si>
    <t>belg1240</t>
  </si>
  <si>
    <t>Belgian Picard</t>
  </si>
  <si>
    <t>belg1241</t>
  </si>
  <si>
    <t>Belgian Sign Language</t>
  </si>
  <si>
    <t>bvs</t>
  </si>
  <si>
    <t>belg1242</t>
  </si>
  <si>
    <t>dutc1259</t>
  </si>
  <si>
    <t>Belgian Sign</t>
  </si>
  <si>
    <t>belh1239</t>
  </si>
  <si>
    <t>Belhariya</t>
  </si>
  <si>
    <t>byw</t>
  </si>
  <si>
    <t>moro1293</t>
  </si>
  <si>
    <t>Beli (Sudan)</t>
  </si>
  <si>
    <t>blm</t>
  </si>
  <si>
    <t>beli1258</t>
  </si>
  <si>
    <t>Beli (Papua New Guinea)</t>
  </si>
  <si>
    <t>bey</t>
  </si>
  <si>
    <t>beli1260</t>
  </si>
  <si>
    <t>beli1261</t>
  </si>
  <si>
    <t>Belize Kriol English</t>
  </si>
  <si>
    <t>bzj</t>
  </si>
  <si>
    <t>BZ US</t>
  </si>
  <si>
    <t>misk1243</t>
  </si>
  <si>
    <t>Belize-Miskito Creole English</t>
  </si>
  <si>
    <t>bell1243</t>
  </si>
  <si>
    <t>Bella Coola</t>
  </si>
  <si>
    <t>blc</t>
  </si>
  <si>
    <t>bell1261</t>
  </si>
  <si>
    <t>tulu1262</t>
  </si>
  <si>
    <t>Bellari</t>
  </si>
  <si>
    <t>brw</t>
  </si>
  <si>
    <t>belr1234</t>
  </si>
  <si>
    <t>Bel</t>
  </si>
  <si>
    <t>waka1280</t>
  </si>
  <si>
    <t>heil1246</t>
  </si>
  <si>
    <t>Bella Bella</t>
  </si>
  <si>
    <t>bell1264</t>
  </si>
  <si>
    <t>Belle-Isle Pidgin</t>
  </si>
  <si>
    <t>beln1234</t>
  </si>
  <si>
    <t>ngas1241</t>
  </si>
  <si>
    <t>Belneng</t>
  </si>
  <si>
    <t>viti1243</t>
  </si>
  <si>
    <t>Bel-Roinji-Nenaya</t>
  </si>
  <si>
    <t>belt1239</t>
  </si>
  <si>
    <t>Beltir</t>
  </si>
  <si>
    <t>belu1238</t>
  </si>
  <si>
    <t>Beludji</t>
  </si>
  <si>
    <t>belu1239</t>
  </si>
  <si>
    <t>nyal1255</t>
  </si>
  <si>
    <t>Belueli</t>
  </si>
  <si>
    <t>bema1240</t>
  </si>
  <si>
    <t>ngam1268</t>
  </si>
  <si>
    <t>Bemar</t>
  </si>
  <si>
    <t>bemb1255</t>
  </si>
  <si>
    <t>bemb1260</t>
  </si>
  <si>
    <t>Bembe</t>
  </si>
  <si>
    <t>bmb</t>
  </si>
  <si>
    <t>CD TZ</t>
  </si>
  <si>
    <t>cent2321</t>
  </si>
  <si>
    <t>Bemba (M.40)</t>
  </si>
  <si>
    <t>bemb1257</t>
  </si>
  <si>
    <t>Bemba (Zambia)</t>
  </si>
  <si>
    <t>bem</t>
  </si>
  <si>
    <t>BW CD MW ZM</t>
  </si>
  <si>
    <t>Bemba (Democratic Republic of Congo)</t>
  </si>
  <si>
    <t>bmy</t>
  </si>
  <si>
    <t>bemb1259</t>
  </si>
  <si>
    <t>Bembe (Mabaale)</t>
  </si>
  <si>
    <t>lega1252</t>
  </si>
  <si>
    <t>Bembe-Buyu-Binja</t>
  </si>
  <si>
    <t>bemi1238</t>
  </si>
  <si>
    <t>Bemili</t>
  </si>
  <si>
    <t>bemo1238</t>
  </si>
  <si>
    <t>laka1254</t>
  </si>
  <si>
    <t>B√©mour</t>
  </si>
  <si>
    <t>bena1257</t>
  </si>
  <si>
    <t>west2379</t>
  </si>
  <si>
    <t>Benarsi</t>
  </si>
  <si>
    <t>bena1258</t>
  </si>
  <si>
    <t>waja1258</t>
  </si>
  <si>
    <t>Bena-Mboi</t>
  </si>
  <si>
    <t>bena1259</t>
  </si>
  <si>
    <t>Bena</t>
  </si>
  <si>
    <t>bena1260</t>
  </si>
  <si>
    <t>yung1254</t>
  </si>
  <si>
    <t>Bena (Nigeria)</t>
  </si>
  <si>
    <t>yun</t>
  </si>
  <si>
    <t>bena1262</t>
  </si>
  <si>
    <t>bena1273</t>
  </si>
  <si>
    <t>Bena (Tanzania)</t>
  </si>
  <si>
    <t>bez</t>
  </si>
  <si>
    <t>bena1263</t>
  </si>
  <si>
    <t>Bena Lulua</t>
  </si>
  <si>
    <t>bena1264</t>
  </si>
  <si>
    <t>nucl1756</t>
  </si>
  <si>
    <t>Benabena</t>
  </si>
  <si>
    <t>bef</t>
  </si>
  <si>
    <t>bena1268</t>
  </si>
  <si>
    <t>Benaadir</t>
  </si>
  <si>
    <t>bena1272</t>
  </si>
  <si>
    <t>Benatha</t>
  </si>
  <si>
    <t>sout3185</t>
  </si>
  <si>
    <t>Bena-Hehe</t>
  </si>
  <si>
    <t>benc1235</t>
  </si>
  <si>
    <t>Bench</t>
  </si>
  <si>
    <t>bcq</t>
  </si>
  <si>
    <t>bend1238</t>
  </si>
  <si>
    <t>hlai1239</t>
  </si>
  <si>
    <t>Bendi (China)</t>
  </si>
  <si>
    <t>Bendic</t>
  </si>
  <si>
    <t>bend1257</t>
  </si>
  <si>
    <t>bete1262</t>
  </si>
  <si>
    <t>Bendi (Nigeria)</t>
  </si>
  <si>
    <t>bend1258</t>
  </si>
  <si>
    <t>bend1261</t>
  </si>
  <si>
    <t>Bende</t>
  </si>
  <si>
    <t>bdp</t>
  </si>
  <si>
    <t>bend1259</t>
  </si>
  <si>
    <t>Bendeghe Etung</t>
  </si>
  <si>
    <t>bend1260</t>
  </si>
  <si>
    <t>lese1245</t>
  </si>
  <si>
    <t>Bendi</t>
  </si>
  <si>
    <t>bct</t>
  </si>
  <si>
    <t>uncl1498</t>
  </si>
  <si>
    <t>Bende-Tongwe</t>
  </si>
  <si>
    <t>bene1236</t>
  </si>
  <si>
    <t>Benedictine Sign Language</t>
  </si>
  <si>
    <t>bene1244</t>
  </si>
  <si>
    <t>Bene</t>
  </si>
  <si>
    <t>bene1245</t>
  </si>
  <si>
    <t>moda1244</t>
  </si>
  <si>
    <t>Benehes</t>
  </si>
  <si>
    <t>beng1239</t>
  </si>
  <si>
    <t>Kata Kolok</t>
  </si>
  <si>
    <t>bqy</t>
  </si>
  <si>
    <t>gaud1238</t>
  </si>
  <si>
    <t>BD IN NP</t>
  </si>
  <si>
    <t>beng1281</t>
  </si>
  <si>
    <t>Benge (Congo)</t>
  </si>
  <si>
    <t>beng1282</t>
  </si>
  <si>
    <t>Benga</t>
  </si>
  <si>
    <t>bng</t>
  </si>
  <si>
    <t>GA GQ</t>
  </si>
  <si>
    <t>beng1283</t>
  </si>
  <si>
    <t>sout2840</t>
  </si>
  <si>
    <t>Benge</t>
  </si>
  <si>
    <t>beng1285</t>
  </si>
  <si>
    <t>nwab1239</t>
  </si>
  <si>
    <t>Ben-Gban</t>
  </si>
  <si>
    <t>beng1286</t>
  </si>
  <si>
    <t>beng1291</t>
  </si>
  <si>
    <t>Beng</t>
  </si>
  <si>
    <t>nhb</t>
  </si>
  <si>
    <t>seti1249</t>
  </si>
  <si>
    <t>Benggoi</t>
  </si>
  <si>
    <t>bgy</t>
  </si>
  <si>
    <t>beng1288</t>
  </si>
  <si>
    <t>Benggaulu</t>
  </si>
  <si>
    <t>sawa1251</t>
  </si>
  <si>
    <t>Bengaic</t>
  </si>
  <si>
    <t>beng1290</t>
  </si>
  <si>
    <t>Bengkulu</t>
  </si>
  <si>
    <t>bke</t>
  </si>
  <si>
    <t>Bengic</t>
  </si>
  <si>
    <t>beni1241</t>
  </si>
  <si>
    <t>kelo1246</t>
  </si>
  <si>
    <t>Beni Sheko</t>
  </si>
  <si>
    <t>beni1248</t>
  </si>
  <si>
    <t>Beni-Amir</t>
  </si>
  <si>
    <t>beni1249</t>
  </si>
  <si>
    <t>east2804</t>
  </si>
  <si>
    <t>Beni Iznassen</t>
  </si>
  <si>
    <t>beni1250</t>
  </si>
  <si>
    <t>Beni Touzine</t>
  </si>
  <si>
    <t>beni1251</t>
  </si>
  <si>
    <t>Beni Oulichek</t>
  </si>
  <si>
    <t>beni1252</t>
  </si>
  <si>
    <t>sout3264</t>
  </si>
  <si>
    <t>Beni Bou Yhi</t>
  </si>
  <si>
    <t>beni1253</t>
  </si>
  <si>
    <t>Beni-3Amer Tigre</t>
  </si>
  <si>
    <t>benl1235</t>
  </si>
  <si>
    <t>nort1442</t>
  </si>
  <si>
    <t>Ben-Lomond-Cape-Portland</t>
  </si>
  <si>
    <t>beno1238</t>
  </si>
  <si>
    <t>Benoye</t>
  </si>
  <si>
    <t>bens1234</t>
  </si>
  <si>
    <t>Bensbach</t>
  </si>
  <si>
    <t>bent1237</t>
  </si>
  <si>
    <t>nucl1727</t>
  </si>
  <si>
    <t>Bentong</t>
  </si>
  <si>
    <t>bnu</t>
  </si>
  <si>
    <t>bent1238</t>
  </si>
  <si>
    <t>Ben Tey Dogon</t>
  </si>
  <si>
    <t>dbt</t>
  </si>
  <si>
    <t>benu1246</t>
  </si>
  <si>
    <t>Benua</t>
  </si>
  <si>
    <t>volt1241</t>
  </si>
  <si>
    <t>Benue-Congo</t>
  </si>
  <si>
    <t>Benue-Congo Plateau</t>
  </si>
  <si>
    <t>benu1249</t>
  </si>
  <si>
    <t>Benue-Congo Central Plateau</t>
  </si>
  <si>
    <t>beny1237</t>
  </si>
  <si>
    <t>Benyadu'</t>
  </si>
  <si>
    <t>byd</t>
  </si>
  <si>
    <t>Benyadu-Bekati</t>
  </si>
  <si>
    <t>benz1238</t>
  </si>
  <si>
    <t>lige1238</t>
  </si>
  <si>
    <t>Benza</t>
  </si>
  <si>
    <t>beoo1240</t>
  </si>
  <si>
    <t>ngel1238</t>
  </si>
  <si>
    <t>Beo (Democratic Republic of Congo)</t>
  </si>
  <si>
    <t>beoo1241</t>
  </si>
  <si>
    <t>Beo</t>
  </si>
  <si>
    <t>beot1247</t>
  </si>
  <si>
    <t>Beothuk</t>
  </si>
  <si>
    <t>bue</t>
  </si>
  <si>
    <t>bepo1240</t>
  </si>
  <si>
    <t>kumi1249</t>
  </si>
  <si>
    <t>Bepour</t>
  </si>
  <si>
    <t>bie</t>
  </si>
  <si>
    <t>beqa1238</t>
  </si>
  <si>
    <t>Beqaa Arabic</t>
  </si>
  <si>
    <t>bera1250</t>
  </si>
  <si>
    <t>Berad</t>
  </si>
  <si>
    <t>bera1259</t>
  </si>
  <si>
    <t>Bera</t>
  </si>
  <si>
    <t>brf</t>
  </si>
  <si>
    <t>bera1260</t>
  </si>
  <si>
    <t>kako1242</t>
  </si>
  <si>
    <t>Bera (Cameroon)</t>
  </si>
  <si>
    <t>bera1261</t>
  </si>
  <si>
    <t>naba1258</t>
  </si>
  <si>
    <t>Berakou</t>
  </si>
  <si>
    <t>bxv</t>
  </si>
  <si>
    <t>bera1262</t>
  </si>
  <si>
    <t>bera1266</t>
  </si>
  <si>
    <t>Berau Malay</t>
  </si>
  <si>
    <t>bve</t>
  </si>
  <si>
    <t>bera1263</t>
  </si>
  <si>
    <t>nort3171</t>
  </si>
  <si>
    <t>Berawan-Lower Baram</t>
  </si>
  <si>
    <t>bera1264</t>
  </si>
  <si>
    <t>Berawan</t>
  </si>
  <si>
    <t>lod</t>
  </si>
  <si>
    <t>bera1265</t>
  </si>
  <si>
    <t>Berau</t>
  </si>
  <si>
    <t>Berau-Brunei Malay</t>
  </si>
  <si>
    <t>bera1268</t>
  </si>
  <si>
    <t>Berar-Deccan Marathi</t>
  </si>
  <si>
    <t>berb1238</t>
  </si>
  <si>
    <t>tsoo1241</t>
  </si>
  <si>
    <t>Berbou</t>
  </si>
  <si>
    <t>berb1259</t>
  </si>
  <si>
    <t>dutc1257</t>
  </si>
  <si>
    <t>Berbice Creole Dutch</t>
  </si>
  <si>
    <t>brc</t>
  </si>
  <si>
    <t>GY</t>
  </si>
  <si>
    <t>Berber</t>
  </si>
  <si>
    <t>berb1261</t>
  </si>
  <si>
    <t>fami1234</t>
  </si>
  <si>
    <t>Berbey Sign Language</t>
  </si>
  <si>
    <t>bere1248</t>
  </si>
  <si>
    <t>Bereya</t>
  </si>
  <si>
    <t>bere1249</t>
  </si>
  <si>
    <t>turk1306</t>
  </si>
  <si>
    <t>Beregadougou-Toumousseni</t>
  </si>
  <si>
    <t>bere1250</t>
  </si>
  <si>
    <t>Berembun</t>
  </si>
  <si>
    <t>bere1251</t>
  </si>
  <si>
    <t>Berens River Ojibwa</t>
  </si>
  <si>
    <t>bere1252</t>
  </si>
  <si>
    <t>khan1273</t>
  </si>
  <si>
    <t>Berezover Khanty</t>
  </si>
  <si>
    <t>berg1241</t>
  </si>
  <si>
    <t>Bergamasco</t>
  </si>
  <si>
    <t>beri1253</t>
  </si>
  <si>
    <t>Berinomo</t>
  </si>
  <si>
    <t>bit</t>
  </si>
  <si>
    <t>beri1254</t>
  </si>
  <si>
    <t>tora1268</t>
  </si>
  <si>
    <t>Berik</t>
  </si>
  <si>
    <t>bkl</t>
  </si>
  <si>
    <t>berj1234</t>
  </si>
  <si>
    <t>east2811</t>
  </si>
  <si>
    <t>Berjozovka</t>
  </si>
  <si>
    <t>berk1234</t>
  </si>
  <si>
    <t>sout3286</t>
  </si>
  <si>
    <t>Berkshire</t>
  </si>
  <si>
    <t>berl1235</t>
  </si>
  <si>
    <t>Berlin German</t>
  </si>
  <si>
    <t>berm1242</t>
  </si>
  <si>
    <t>wich1263</t>
  </si>
  <si>
    <t>Bermejo Vejoz</t>
  </si>
  <si>
    <t>bern1242</t>
  </si>
  <si>
    <t>high1290</t>
  </si>
  <si>
    <t>Bernese</t>
  </si>
  <si>
    <t>bero1241</t>
  </si>
  <si>
    <t>Beromic</t>
  </si>
  <si>
    <t>iten1244</t>
  </si>
  <si>
    <t>Berom</t>
  </si>
  <si>
    <t>bom</t>
  </si>
  <si>
    <t>bero1246</t>
  </si>
  <si>
    <t>mesm1239</t>
  </si>
  <si>
    <t>Bero</t>
  </si>
  <si>
    <t>berr1239</t>
  </si>
  <si>
    <t>Berrichon</t>
  </si>
  <si>
    <t>Berta</t>
  </si>
  <si>
    <t>wti</t>
  </si>
  <si>
    <t>bert1249</t>
  </si>
  <si>
    <t>east2432</t>
  </si>
  <si>
    <t>Berti</t>
  </si>
  <si>
    <t>byt</t>
  </si>
  <si>
    <t>besa1242</t>
  </si>
  <si>
    <t>Besali</t>
  </si>
  <si>
    <t>bese1241</t>
  </si>
  <si>
    <t>Besembo</t>
  </si>
  <si>
    <t>bese1242</t>
  </si>
  <si>
    <t>byep1241</t>
  </si>
  <si>
    <t>Besep</t>
  </si>
  <si>
    <t>bese1243</t>
  </si>
  <si>
    <t>Besermyan</t>
  </si>
  <si>
    <t>nort3326</t>
  </si>
  <si>
    <t>Be-Sek</t>
  </si>
  <si>
    <t>besi1244</t>
  </si>
  <si>
    <t>sout2686</t>
  </si>
  <si>
    <t>Besisi</t>
  </si>
  <si>
    <t>mhe</t>
  </si>
  <si>
    <t>besl1239</t>
  </si>
  <si>
    <t>mina1276</t>
  </si>
  <si>
    <t>Besleri</t>
  </si>
  <si>
    <t>besm1235</t>
  </si>
  <si>
    <t>kimb1240</t>
  </si>
  <si>
    <t>Besme</t>
  </si>
  <si>
    <t>bes</t>
  </si>
  <si>
    <t>beso1237</t>
  </si>
  <si>
    <t>Besoa</t>
  </si>
  <si>
    <t>bep</t>
  </si>
  <si>
    <t>bess1237</t>
  </si>
  <si>
    <t>sout2630</t>
  </si>
  <si>
    <t>Bessarabian Yiddish</t>
  </si>
  <si>
    <t>beta1249</t>
  </si>
  <si>
    <t>sema1266</t>
  </si>
  <si>
    <t>Betau</t>
  </si>
  <si>
    <t>beta1252</t>
  </si>
  <si>
    <t>beta1260</t>
  </si>
  <si>
    <t>Betawi</t>
  </si>
  <si>
    <t>bew</t>
  </si>
  <si>
    <t>beta1253</t>
  </si>
  <si>
    <t>beta1259</t>
  </si>
  <si>
    <t>Betaf</t>
  </si>
  <si>
    <t>bfe</t>
  </si>
  <si>
    <t>beta1257</t>
  </si>
  <si>
    <t>B√©tanure</t>
  </si>
  <si>
    <t>coas1312</t>
  </si>
  <si>
    <t>Betaf-Vitou</t>
  </si>
  <si>
    <t>nucl1733</t>
  </si>
  <si>
    <t>Betawic</t>
  </si>
  <si>
    <t>bete1261</t>
  </si>
  <si>
    <t>bete1266</t>
  </si>
  <si>
    <t>Bete (Yukubenic)</t>
  </si>
  <si>
    <t>byf</t>
  </si>
  <si>
    <t>Bete-Bendi</t>
  </si>
  <si>
    <t>btt</t>
  </si>
  <si>
    <t>bete1263</t>
  </si>
  <si>
    <t>Bete</t>
  </si>
  <si>
    <t>bete1264</t>
  </si>
  <si>
    <t>Beten</t>
  </si>
  <si>
    <t>bete1265</t>
  </si>
  <si>
    <t>Beteic</t>
  </si>
  <si>
    <t>Bete-Lufu</t>
  </si>
  <si>
    <t>betg1234</t>
  </si>
  <si>
    <t>cent2338</t>
  </si>
  <si>
    <t>Bet-Guk</t>
  </si>
  <si>
    <t>beti1247</t>
  </si>
  <si>
    <t>Betise'</t>
  </si>
  <si>
    <t>beti1248</t>
  </si>
  <si>
    <t>Beti (C√¥te d'Ivoire)</t>
  </si>
  <si>
    <t>eot</t>
  </si>
  <si>
    <t>beti1249</t>
  </si>
  <si>
    <t>Beti</t>
  </si>
  <si>
    <t>beti1250</t>
  </si>
  <si>
    <t>Beti (Cameroon)</t>
  </si>
  <si>
    <t>btb</t>
  </si>
  <si>
    <t>Betoi-Jirara</t>
  </si>
  <si>
    <t>beto1237</t>
  </si>
  <si>
    <t>nucl1771</t>
  </si>
  <si>
    <t>Betoi</t>
  </si>
  <si>
    <t>plat1254</t>
  </si>
  <si>
    <t>bett1235</t>
  </si>
  <si>
    <t>Betta Kurumba</t>
  </si>
  <si>
    <t>xub</t>
  </si>
  <si>
    <t>betu1237</t>
  </si>
  <si>
    <t>Betul</t>
  </si>
  <si>
    <t>beuu1238</t>
  </si>
  <si>
    <t>weso1238</t>
  </si>
  <si>
    <t>Beu</t>
  </si>
  <si>
    <t>beve1238</t>
  </si>
  <si>
    <t>Bevelands</t>
  </si>
  <si>
    <t>bewa1242</t>
  </si>
  <si>
    <t>Bewani</t>
  </si>
  <si>
    <t>beyi1238</t>
  </si>
  <si>
    <t>eton1253</t>
  </si>
  <si>
    <t>Beyidzolo</t>
  </si>
  <si>
    <t>beyl1234</t>
  </si>
  <si>
    <t>Beylan</t>
  </si>
  <si>
    <t>beza1235</t>
  </si>
  <si>
    <t>Bezanozano</t>
  </si>
  <si>
    <t>bezh1247</t>
  </si>
  <si>
    <t>Bezhedukh</t>
  </si>
  <si>
    <t>bezh1248</t>
  </si>
  <si>
    <t>east2368</t>
  </si>
  <si>
    <t>Bezhta</t>
  </si>
  <si>
    <t>kap</t>
  </si>
  <si>
    <t>GE RU</t>
  </si>
  <si>
    <t>bezs1238</t>
  </si>
  <si>
    <t>Bezshagh</t>
  </si>
  <si>
    <t>bhac1238</t>
  </si>
  <si>
    <t>Bhaca</t>
  </si>
  <si>
    <t>bhad1241</t>
  </si>
  <si>
    <t>bhad1243</t>
  </si>
  <si>
    <t>Bhadrawahi</t>
  </si>
  <si>
    <t>bhd</t>
  </si>
  <si>
    <t>bhad1242</t>
  </si>
  <si>
    <t>Bhadauri</t>
  </si>
  <si>
    <t>cham1331</t>
  </si>
  <si>
    <t>Bhadrawahi-Bhalesi-Curahi</t>
  </si>
  <si>
    <t>bhag1238</t>
  </si>
  <si>
    <t>Bhagira</t>
  </si>
  <si>
    <t>bhal1244</t>
  </si>
  <si>
    <t>Bhalesi</t>
  </si>
  <si>
    <t>bhal1245</t>
  </si>
  <si>
    <t>Bhalay</t>
  </si>
  <si>
    <t>bhx</t>
  </si>
  <si>
    <t>bhal1246</t>
  </si>
  <si>
    <t>samp1249</t>
  </si>
  <si>
    <t>Bhalu</t>
  </si>
  <si>
    <t>bham1239</t>
  </si>
  <si>
    <t>Bhamragarh</t>
  </si>
  <si>
    <t>bham1240</t>
  </si>
  <si>
    <t>Bhamani Maria</t>
  </si>
  <si>
    <t>bhan1240</t>
  </si>
  <si>
    <t>Bhandari</t>
  </si>
  <si>
    <t>bhan1241</t>
  </si>
  <si>
    <t>Bhandara</t>
  </si>
  <si>
    <t>bhar1240</t>
  </si>
  <si>
    <t>gadd1242</t>
  </si>
  <si>
    <t>Bharmauri</t>
  </si>
  <si>
    <t>bhar1241</t>
  </si>
  <si>
    <t>bund1252</t>
  </si>
  <si>
    <t>Bharia</t>
  </si>
  <si>
    <t>bha</t>
  </si>
  <si>
    <t>bhat1237</t>
  </si>
  <si>
    <t>Bhatola</t>
  </si>
  <si>
    <t>btl</t>
  </si>
  <si>
    <t>bhat1261</t>
  </si>
  <si>
    <t>Bhattiani</t>
  </si>
  <si>
    <t>bhat1262</t>
  </si>
  <si>
    <t>dogr1250</t>
  </si>
  <si>
    <t>Bhatbali</t>
  </si>
  <si>
    <t>bhat1263</t>
  </si>
  <si>
    <t>Bhattiyali</t>
  </si>
  <si>
    <t>bht</t>
  </si>
  <si>
    <t>bhat1264</t>
  </si>
  <si>
    <t>Bhatyiana</t>
  </si>
  <si>
    <t>halb1246</t>
  </si>
  <si>
    <t>Bhatri</t>
  </si>
  <si>
    <t>bhat1266</t>
  </si>
  <si>
    <t>Bhatiari</t>
  </si>
  <si>
    <t>bhat1267</t>
  </si>
  <si>
    <t>Bhatia</t>
  </si>
  <si>
    <t>bhay1238</t>
  </si>
  <si>
    <t>west2831</t>
  </si>
  <si>
    <t>Bhaya</t>
  </si>
  <si>
    <t>bhe</t>
  </si>
  <si>
    <t>bhel1238</t>
  </si>
  <si>
    <t>bila1258</t>
  </si>
  <si>
    <t>Bhele</t>
  </si>
  <si>
    <t>bhy</t>
  </si>
  <si>
    <t>Bhili</t>
  </si>
  <si>
    <t>bhil1252</t>
  </si>
  <si>
    <t>Bhilodi</t>
  </si>
  <si>
    <t>bhil1253</t>
  </si>
  <si>
    <t>Bhilali</t>
  </si>
  <si>
    <t>bhi</t>
  </si>
  <si>
    <t>subc1234</t>
  </si>
  <si>
    <t>bhim1238</t>
  </si>
  <si>
    <t>Bhim</t>
  </si>
  <si>
    <t>bhoi1239</t>
  </si>
  <si>
    <t>khas1269</t>
  </si>
  <si>
    <t>Bhoi-Khasi</t>
  </si>
  <si>
    <t>bho</t>
  </si>
  <si>
    <t>bhoj1245</t>
  </si>
  <si>
    <t>Bhojpuri Tharu</t>
  </si>
  <si>
    <t>west2806</t>
  </si>
  <si>
    <t>Bhojpuric</t>
  </si>
  <si>
    <t>bhoo1238</t>
  </si>
  <si>
    <t>yaou1238</t>
  </si>
  <si>
    <t>Bhoo</t>
  </si>
  <si>
    <t>bhot1235</t>
  </si>
  <si>
    <t>laha1255</t>
  </si>
  <si>
    <t>Bhoti Kinnauri</t>
  </si>
  <si>
    <t>nes</t>
  </si>
  <si>
    <t>bhoy1241</t>
  </si>
  <si>
    <t>Bhoyari</t>
  </si>
  <si>
    <t>bhoy1242</t>
  </si>
  <si>
    <t>powa1246</t>
  </si>
  <si>
    <t>Bhoyar Powari</t>
  </si>
  <si>
    <t>bhua1238</t>
  </si>
  <si>
    <t>nima1243</t>
  </si>
  <si>
    <t>Bhuani</t>
  </si>
  <si>
    <t>bhuj1238</t>
  </si>
  <si>
    <t>east2354</t>
  </si>
  <si>
    <t>Bhujel Kham</t>
  </si>
  <si>
    <t>bhuk1238</t>
  </si>
  <si>
    <t>Bhuksa</t>
  </si>
  <si>
    <t>bhul1238</t>
  </si>
  <si>
    <t>Bhulia</t>
  </si>
  <si>
    <t>bhun1241</t>
  </si>
  <si>
    <t>Bhunjia (Halbi)</t>
  </si>
  <si>
    <t>bhun1242</t>
  </si>
  <si>
    <t>Bhunjia</t>
  </si>
  <si>
    <t>bhu</t>
  </si>
  <si>
    <t>biaa1238</t>
  </si>
  <si>
    <t>Bia</t>
  </si>
  <si>
    <t>biab1239</t>
  </si>
  <si>
    <t>gbol1235</t>
  </si>
  <si>
    <t>Biabo</t>
  </si>
  <si>
    <t>biad1234</t>
  </si>
  <si>
    <t>east2794</t>
  </si>
  <si>
    <t>Bia Dan</t>
  </si>
  <si>
    <t>biaf1240</t>
  </si>
  <si>
    <t>Biafada</t>
  </si>
  <si>
    <t>bif</t>
  </si>
  <si>
    <t>biag1234</t>
  </si>
  <si>
    <t>biag1235</t>
  </si>
  <si>
    <t>Biage</t>
  </si>
  <si>
    <t>bdf</t>
  </si>
  <si>
    <t>koia1261</t>
  </si>
  <si>
    <t>Biage-Mountain Koiali</t>
  </si>
  <si>
    <t>biai1238</t>
  </si>
  <si>
    <t>west2488</t>
  </si>
  <si>
    <t>Biai</t>
  </si>
  <si>
    <t>biak1246</t>
  </si>
  <si>
    <t>ubag1245</t>
  </si>
  <si>
    <t>Biakpan</t>
  </si>
  <si>
    <t>biak1250</t>
  </si>
  <si>
    <t>Biak</t>
  </si>
  <si>
    <t>bhw</t>
  </si>
  <si>
    <t>biak1249</t>
  </si>
  <si>
    <t>cend1238</t>
  </si>
  <si>
    <t>Biakic</t>
  </si>
  <si>
    <t>Biak-Roon</t>
  </si>
  <si>
    <t>bial1238</t>
  </si>
  <si>
    <t>otiv1240</t>
  </si>
  <si>
    <t>Biali</t>
  </si>
  <si>
    <t>beh</t>
  </si>
  <si>
    <t>BF BJ TG</t>
  </si>
  <si>
    <t>bian1249</t>
  </si>
  <si>
    <t>geme1247</t>
  </si>
  <si>
    <t>Biyanjiida</t>
  </si>
  <si>
    <t>bian1250</t>
  </si>
  <si>
    <t>lamm1241</t>
  </si>
  <si>
    <t>Biangwala</t>
  </si>
  <si>
    <t>bian1251</t>
  </si>
  <si>
    <t>nucl1621</t>
  </si>
  <si>
    <t>Bian Marind</t>
  </si>
  <si>
    <t>bpv</t>
  </si>
  <si>
    <t>bian1252</t>
  </si>
  <si>
    <t>Biangai</t>
  </si>
  <si>
    <t>big</t>
  </si>
  <si>
    <t>biao1253</t>
  </si>
  <si>
    <t>biao1257</t>
  </si>
  <si>
    <t>Shidong Biao</t>
  </si>
  <si>
    <t>byk</t>
  </si>
  <si>
    <t>biao1254</t>
  </si>
  <si>
    <t>mien1242</t>
  </si>
  <si>
    <t>Biao-Jiao Mien</t>
  </si>
  <si>
    <t>bje</t>
  </si>
  <si>
    <t>biao1255</t>
  </si>
  <si>
    <t>Biao Min</t>
  </si>
  <si>
    <t>biao1256</t>
  </si>
  <si>
    <t>mien1243</t>
  </si>
  <si>
    <t>Biao Mon</t>
  </si>
  <si>
    <t>bmt</t>
  </si>
  <si>
    <t>lakk1237</t>
  </si>
  <si>
    <t>Biaoic</t>
  </si>
  <si>
    <t>biar1240</t>
  </si>
  <si>
    <t>weri1253</t>
  </si>
  <si>
    <t>Biaru-Waria</t>
  </si>
  <si>
    <t>biat1244</t>
  </si>
  <si>
    <t>cent1992</t>
  </si>
  <si>
    <t>Biat</t>
  </si>
  <si>
    <t>biat1246</t>
  </si>
  <si>
    <t>Biatah Bidayuh</t>
  </si>
  <si>
    <t>bth</t>
  </si>
  <si>
    <t>bibb1234</t>
  </si>
  <si>
    <t>nyun1247</t>
  </si>
  <si>
    <t>Bibbulman</t>
  </si>
  <si>
    <t>xbp</t>
  </si>
  <si>
    <t>bibe1238</t>
  </si>
  <si>
    <t>Bibeng</t>
  </si>
  <si>
    <t>bibl1237</t>
  </si>
  <si>
    <t>Bibling</t>
  </si>
  <si>
    <t>bibo1238</t>
  </si>
  <si>
    <t>Biboki-Insana</t>
  </si>
  <si>
    <t>bich1234</t>
  </si>
  <si>
    <t>bugu1246</t>
  </si>
  <si>
    <t>Bichom</t>
  </si>
  <si>
    <t>bida1239</t>
  </si>
  <si>
    <t>Bidayuh-Rejang</t>
  </si>
  <si>
    <t>bida1238</t>
  </si>
  <si>
    <t>Bidai</t>
  </si>
  <si>
    <t>Bidayuh-Southern Land Dayak</t>
  </si>
  <si>
    <t>bidi1241</t>
  </si>
  <si>
    <t>dang1276</t>
  </si>
  <si>
    <t>Bidiyo</t>
  </si>
  <si>
    <t>bid</t>
  </si>
  <si>
    <t>bidj1245</t>
  </si>
  <si>
    <t>Bidjara</t>
  </si>
  <si>
    <t>bidj1246</t>
  </si>
  <si>
    <t>mpie1238</t>
  </si>
  <si>
    <t>Bidjuki</t>
  </si>
  <si>
    <t>bidj1247</t>
  </si>
  <si>
    <t>Bidjir</t>
  </si>
  <si>
    <t>bido1238</t>
  </si>
  <si>
    <t>Bidor</t>
  </si>
  <si>
    <t>bidy1243</t>
  </si>
  <si>
    <t>Bidyara</t>
  </si>
  <si>
    <t>bym</t>
  </si>
  <si>
    <t>bijo1239</t>
  </si>
  <si>
    <t>Kangaki-Kagbaaga-Kajoko Bidyogo</t>
  </si>
  <si>
    <t>bjg</t>
  </si>
  <si>
    <t>biem1237</t>
  </si>
  <si>
    <t>Biem</t>
  </si>
  <si>
    <t>bmc</t>
  </si>
  <si>
    <t>bier1244</t>
  </si>
  <si>
    <t>Bierebo</t>
  </si>
  <si>
    <t>bnk</t>
  </si>
  <si>
    <t>bier1245</t>
  </si>
  <si>
    <t>Bieria-Maii</t>
  </si>
  <si>
    <t>bier1246</t>
  </si>
  <si>
    <t>Bieria</t>
  </si>
  <si>
    <t>brj</t>
  </si>
  <si>
    <t>biet1238</t>
  </si>
  <si>
    <t>hmar1240</t>
  </si>
  <si>
    <t>Biete</t>
  </si>
  <si>
    <t>biu</t>
  </si>
  <si>
    <t>biga1237</t>
  </si>
  <si>
    <t>yuga1243</t>
  </si>
  <si>
    <t>Bigambal</t>
  </si>
  <si>
    <t>xbe</t>
  </si>
  <si>
    <t>biga1238</t>
  </si>
  <si>
    <t>Biga</t>
  </si>
  <si>
    <t>bhc</t>
  </si>
  <si>
    <t>biga1242</t>
  </si>
  <si>
    <t>Bigawguno</t>
  </si>
  <si>
    <t>bign1237</t>
  </si>
  <si>
    <t>nyig1240</t>
  </si>
  <si>
    <t>Big Nykina</t>
  </si>
  <si>
    <t>bign1238</t>
  </si>
  <si>
    <t>nort3261</t>
  </si>
  <si>
    <t>Big Nambas</t>
  </si>
  <si>
    <t>nmb</t>
  </si>
  <si>
    <t>bigt1234</t>
  </si>
  <si>
    <t>seve1240</t>
  </si>
  <si>
    <t>Big Trout Lake Severn Ojibwa</t>
  </si>
  <si>
    <t>bigw1239</t>
  </si>
  <si>
    <t>caju1236</t>
  </si>
  <si>
    <t>Big Woods French</t>
  </si>
  <si>
    <t>biha1244</t>
  </si>
  <si>
    <t>Bihak</t>
  </si>
  <si>
    <t>biha1245</t>
  </si>
  <si>
    <t>indo1321</t>
  </si>
  <si>
    <t>Bihari</t>
  </si>
  <si>
    <t>biha1246</t>
  </si>
  <si>
    <t>rade1241</t>
  </si>
  <si>
    <t>Bih</t>
  </si>
  <si>
    <t>ibh</t>
  </si>
  <si>
    <t>bihi1238</t>
  </si>
  <si>
    <t>kuta1241</t>
  </si>
  <si>
    <t>Bihi</t>
  </si>
  <si>
    <t>bija1243</t>
  </si>
  <si>
    <t>decc1239</t>
  </si>
  <si>
    <t>Bijapuri</t>
  </si>
  <si>
    <t>bija1244</t>
  </si>
  <si>
    <t>Bijapur</t>
  </si>
  <si>
    <t>biji1244</t>
  </si>
  <si>
    <t>wusa1235</t>
  </si>
  <si>
    <t>Bijie</t>
  </si>
  <si>
    <t>biji1245</t>
  </si>
  <si>
    <t>zauz1238</t>
  </si>
  <si>
    <t>Bijilan</t>
  </si>
  <si>
    <t>biji1246</t>
  </si>
  <si>
    <t>vagh1247</t>
  </si>
  <si>
    <t>Bijim</t>
  </si>
  <si>
    <t>biji1250</t>
  </si>
  <si>
    <t>Bijil</t>
  </si>
  <si>
    <t>biji1251</t>
  </si>
  <si>
    <t>nort2724</t>
  </si>
  <si>
    <t>Bijiang Bai</t>
  </si>
  <si>
    <t>bijo1238</t>
  </si>
  <si>
    <t>Bijori</t>
  </si>
  <si>
    <t>bix</t>
  </si>
  <si>
    <t>Bijogo</t>
  </si>
  <si>
    <t>bika1250</t>
  </si>
  <si>
    <t>ukhw1241</t>
  </si>
  <si>
    <t>Bikaka</t>
  </si>
  <si>
    <t>bika1251</t>
  </si>
  <si>
    <t>Bikaru-Bragge</t>
  </si>
  <si>
    <t>bic</t>
  </si>
  <si>
    <t>bika1252</t>
  </si>
  <si>
    <t>hani1250</t>
  </si>
  <si>
    <t>Bi-Ka</t>
  </si>
  <si>
    <t>bike1241</t>
  </si>
  <si>
    <t>kolc1235</t>
  </si>
  <si>
    <t>Bikeng</t>
  </si>
  <si>
    <t>bike1242</t>
  </si>
  <si>
    <t>Bikele</t>
  </si>
  <si>
    <t>bikh1237</t>
  </si>
  <si>
    <t>Bikha</t>
  </si>
  <si>
    <t>biki1239</t>
  </si>
  <si>
    <t>Bikin</t>
  </si>
  <si>
    <t>biko1240</t>
  </si>
  <si>
    <t>Bikol</t>
  </si>
  <si>
    <t>biks1238</t>
  </si>
  <si>
    <t>nort2727</t>
  </si>
  <si>
    <t>Biksit</t>
  </si>
  <si>
    <t>bikw1235</t>
  </si>
  <si>
    <t>Bikwin-Jen</t>
  </si>
  <si>
    <t>Bikwin</t>
  </si>
  <si>
    <t>biky1238</t>
  </si>
  <si>
    <t>Bikya</t>
  </si>
  <si>
    <t>byb</t>
  </si>
  <si>
    <t>bila1253</t>
  </si>
  <si>
    <t>Bilaspuri</t>
  </si>
  <si>
    <t>kfs</t>
  </si>
  <si>
    <t>bila1254</t>
  </si>
  <si>
    <t>Bila (Tsonga)</t>
  </si>
  <si>
    <t>bila1259</t>
  </si>
  <si>
    <t>Bila</t>
  </si>
  <si>
    <t>bila1256</t>
  </si>
  <si>
    <t>naba1253</t>
  </si>
  <si>
    <t>Bilala</t>
  </si>
  <si>
    <t>bila1257</t>
  </si>
  <si>
    <t>yabe1256</t>
  </si>
  <si>
    <t>Bilakura</t>
  </si>
  <si>
    <t>bql</t>
  </si>
  <si>
    <t>Bilaic</t>
  </si>
  <si>
    <t>Bila-Kaiku</t>
  </si>
  <si>
    <t>bilb1241</t>
  </si>
  <si>
    <t>nucl1510</t>
  </si>
  <si>
    <t>Bilibil</t>
  </si>
  <si>
    <t>brz</t>
  </si>
  <si>
    <t>bilb1242</t>
  </si>
  <si>
    <t>nucl1753</t>
  </si>
  <si>
    <t>Bilba</t>
  </si>
  <si>
    <t>bpz</t>
  </si>
  <si>
    <t>bild1234</t>
  </si>
  <si>
    <t>sout3293</t>
  </si>
  <si>
    <t>Bildts</t>
  </si>
  <si>
    <t>bile1243</t>
  </si>
  <si>
    <t>lega1250</t>
  </si>
  <si>
    <t>Bilembo-Mango</t>
  </si>
  <si>
    <t>bile1244</t>
  </si>
  <si>
    <t>numa1256</t>
  </si>
  <si>
    <t>Bile</t>
  </si>
  <si>
    <t>bil</t>
  </si>
  <si>
    <t>bile1245</t>
  </si>
  <si>
    <t>Bileki</t>
  </si>
  <si>
    <t>bili1249</t>
  </si>
  <si>
    <t>paku1238</t>
  </si>
  <si>
    <t>Bilichi</t>
  </si>
  <si>
    <t>bili1250</t>
  </si>
  <si>
    <t>ngar1235</t>
  </si>
  <si>
    <t>Bilinarra</t>
  </si>
  <si>
    <t>bili1251</t>
  </si>
  <si>
    <t>mono1270</t>
  </si>
  <si>
    <t>Bili</t>
  </si>
  <si>
    <t>bili1252</t>
  </si>
  <si>
    <t>Biliau</t>
  </si>
  <si>
    <t>bili1253</t>
  </si>
  <si>
    <t>Bilic</t>
  </si>
  <si>
    <t>bili1259</t>
  </si>
  <si>
    <t>nucl1696</t>
  </si>
  <si>
    <t>Biliri</t>
  </si>
  <si>
    <t>bili1260</t>
  </si>
  <si>
    <t>nort3163</t>
  </si>
  <si>
    <t>Bilin</t>
  </si>
  <si>
    <t>byn</t>
  </si>
  <si>
    <t>ER</t>
  </si>
  <si>
    <t>bilk1238</t>
  </si>
  <si>
    <t>Bilkire Fulani</t>
  </si>
  <si>
    <t>bill1238</t>
  </si>
  <si>
    <t>Bil</t>
  </si>
  <si>
    <t>bilm1238</t>
  </si>
  <si>
    <t>east2718</t>
  </si>
  <si>
    <t>Bilma Kanuri</t>
  </si>
  <si>
    <t>bms</t>
  </si>
  <si>
    <t>NE</t>
  </si>
  <si>
    <t>bilm1239</t>
  </si>
  <si>
    <t>Bilma</t>
  </si>
  <si>
    <t>bilo1248</t>
  </si>
  <si>
    <t>sout2988</t>
  </si>
  <si>
    <t>Biloxi</t>
  </si>
  <si>
    <t>bll</t>
  </si>
  <si>
    <t>bilu1244</t>
  </si>
  <si>
    <t>labe1241</t>
  </si>
  <si>
    <t>Bilur</t>
  </si>
  <si>
    <t>bxf</t>
  </si>
  <si>
    <t>bilu1245</t>
  </si>
  <si>
    <t>Bilua</t>
  </si>
  <si>
    <t>blb</t>
  </si>
  <si>
    <t>bima1245</t>
  </si>
  <si>
    <t>orok1266</t>
  </si>
  <si>
    <t>Bima (oroko)</t>
  </si>
  <si>
    <t>bima1247</t>
  </si>
  <si>
    <t>Bima</t>
  </si>
  <si>
    <t>bhp</t>
  </si>
  <si>
    <t>bime1239</t>
  </si>
  <si>
    <t>kete1254</t>
  </si>
  <si>
    <t>Bime</t>
  </si>
  <si>
    <t>bimi1240</t>
  </si>
  <si>
    <t>moun1253</t>
  </si>
  <si>
    <t>Bimin</t>
  </si>
  <si>
    <t>bhl</t>
  </si>
  <si>
    <t>bimm1238</t>
  </si>
  <si>
    <t>Bim</t>
  </si>
  <si>
    <t>bimo1239</t>
  </si>
  <si>
    <t>moba1243</t>
  </si>
  <si>
    <t>Bimoba</t>
  </si>
  <si>
    <t>bim</t>
  </si>
  <si>
    <t>bina1270</t>
  </si>
  <si>
    <t>kaur1268</t>
  </si>
  <si>
    <t>Bina (Nigeria)</t>
  </si>
  <si>
    <t>byj</t>
  </si>
  <si>
    <t>bina1271</t>
  </si>
  <si>
    <t>mago1247</t>
  </si>
  <si>
    <t>Bina (Papua New Guinea)</t>
  </si>
  <si>
    <t>bmn</t>
  </si>
  <si>
    <t>bina1272</t>
  </si>
  <si>
    <t>Binatang</t>
  </si>
  <si>
    <t>bina1273</t>
  </si>
  <si>
    <t>Binaharic</t>
  </si>
  <si>
    <t>bina1274</t>
  </si>
  <si>
    <t>Binahari-Ma</t>
  </si>
  <si>
    <t>bina1275</t>
  </si>
  <si>
    <t>Binahari-Neme</t>
  </si>
  <si>
    <t>bxz</t>
  </si>
  <si>
    <t>bina1276</t>
  </si>
  <si>
    <t>Greater Binanderean</t>
  </si>
  <si>
    <t>nucl1603</t>
  </si>
  <si>
    <t>Binandere</t>
  </si>
  <si>
    <t>bhg</t>
  </si>
  <si>
    <t>bina1278</t>
  </si>
  <si>
    <t>Binandere Proper</t>
  </si>
  <si>
    <t>bina1279</t>
  </si>
  <si>
    <t>Binanderean</t>
  </si>
  <si>
    <t>binb1242</t>
  </si>
  <si>
    <t>mirn1241</t>
  </si>
  <si>
    <t>wamb1258</t>
  </si>
  <si>
    <t>Binbinka</t>
  </si>
  <si>
    <t>bind1234</t>
  </si>
  <si>
    <t>bind1237</t>
  </si>
  <si>
    <t>Bindal-Cunningham</t>
  </si>
  <si>
    <t>bind1235</t>
  </si>
  <si>
    <t>Bindal-Gorton</t>
  </si>
  <si>
    <t>bind1236</t>
  </si>
  <si>
    <t>Bindal-Mount Elliot</t>
  </si>
  <si>
    <t>unun9965</t>
  </si>
  <si>
    <t>Bindalic</t>
  </si>
  <si>
    <t>Bine</t>
  </si>
  <si>
    <t>bing1247</t>
  </si>
  <si>
    <t>Bingird</t>
  </si>
  <si>
    <t>bing1248</t>
  </si>
  <si>
    <t>yulu1243</t>
  </si>
  <si>
    <t>Binga</t>
  </si>
  <si>
    <t>bing1249</t>
  </si>
  <si>
    <t>Bingsj√∂</t>
  </si>
  <si>
    <t>bini1245</t>
  </si>
  <si>
    <t>Bini (Anyin)</t>
  </si>
  <si>
    <t>bini1246</t>
  </si>
  <si>
    <t>cent2259</t>
  </si>
  <si>
    <t>Bini</t>
  </si>
  <si>
    <t>bin</t>
  </si>
  <si>
    <t>binj1247</t>
  </si>
  <si>
    <t>Binjhwari</t>
  </si>
  <si>
    <t>binj1248</t>
  </si>
  <si>
    <t>zimb1251</t>
  </si>
  <si>
    <t>Binja (Zimba)</t>
  </si>
  <si>
    <t>binj1249</t>
  </si>
  <si>
    <t>mbag1239</t>
  </si>
  <si>
    <t>Binji</t>
  </si>
  <si>
    <t>bpj</t>
  </si>
  <si>
    <t>binj1250</t>
  </si>
  <si>
    <t>ngom1268</t>
  </si>
  <si>
    <t>Binja</t>
  </si>
  <si>
    <t>binl1237</t>
  </si>
  <si>
    <t>Binli</t>
  </si>
  <si>
    <t>bino1237</t>
  </si>
  <si>
    <t>itne1252</t>
  </si>
  <si>
    <t>Binongan Itneg</t>
  </si>
  <si>
    <t>itb</t>
  </si>
  <si>
    <t>bino1238</t>
  </si>
  <si>
    <t>tuka1249</t>
  </si>
  <si>
    <t>Binongko</t>
  </si>
  <si>
    <t>bint1244</t>
  </si>
  <si>
    <t>Bintuni</t>
  </si>
  <si>
    <t>bint1245</t>
  </si>
  <si>
    <t>goro1273</t>
  </si>
  <si>
    <t>Bintauna</t>
  </si>
  <si>
    <t>bne</t>
  </si>
  <si>
    <t>bint1246</t>
  </si>
  <si>
    <t>Bintulu</t>
  </si>
  <si>
    <t>bny</t>
  </si>
  <si>
    <t>binu1244</t>
  </si>
  <si>
    <t>buki1251</t>
  </si>
  <si>
    <t>Talaandig-Binukid</t>
  </si>
  <si>
    <t>bkd</t>
  </si>
  <si>
    <t>binu1245</t>
  </si>
  <si>
    <t>tair1260</t>
  </si>
  <si>
    <t>Binumarien</t>
  </si>
  <si>
    <t>bjr</t>
  </si>
  <si>
    <t>bipi1237</t>
  </si>
  <si>
    <t>west2848</t>
  </si>
  <si>
    <t>Bipi</t>
  </si>
  <si>
    <t>biq</t>
  </si>
  <si>
    <t>bira1250</t>
  </si>
  <si>
    <t>Birar</t>
  </si>
  <si>
    <t>bira1253</t>
  </si>
  <si>
    <t>Ongota</t>
  </si>
  <si>
    <t>bxe</t>
  </si>
  <si>
    <t>bira1254</t>
  </si>
  <si>
    <t>sout2854</t>
  </si>
  <si>
    <t>Birao</t>
  </si>
  <si>
    <t>brr</t>
  </si>
  <si>
    <t>bira1255</t>
  </si>
  <si>
    <t>nucl1630</t>
  </si>
  <si>
    <t>Birarie</t>
  </si>
  <si>
    <t>bire1234</t>
  </si>
  <si>
    <t>sout3265</t>
  </si>
  <si>
    <t>Bireeri Aweer</t>
  </si>
  <si>
    <t>birg1240</t>
  </si>
  <si>
    <t>Birgit</t>
  </si>
  <si>
    <t>btf</t>
  </si>
  <si>
    <t>dang1275</t>
  </si>
  <si>
    <t>Birgit-Mogum-Toram</t>
  </si>
  <si>
    <t>birh1242</t>
  </si>
  <si>
    <t>Birhor</t>
  </si>
  <si>
    <t>biy</t>
  </si>
  <si>
    <t>biri1256</t>
  </si>
  <si>
    <t>east2716</t>
  </si>
  <si>
    <t>Biri</t>
  </si>
  <si>
    <t>bzr</t>
  </si>
  <si>
    <t>biri1257</t>
  </si>
  <si>
    <t>nort3237</t>
  </si>
  <si>
    <t>Birifor</t>
  </si>
  <si>
    <t>biri1258</t>
  </si>
  <si>
    <t>malb1235</t>
  </si>
  <si>
    <t>Northern Birifor</t>
  </si>
  <si>
    <t>biri1259</t>
  </si>
  <si>
    <t>erit1238</t>
  </si>
  <si>
    <t>Biritai</t>
  </si>
  <si>
    <t>bqq</t>
  </si>
  <si>
    <t>biri1260</t>
  </si>
  <si>
    <t>Biriin</t>
  </si>
  <si>
    <t>birk1242</t>
  </si>
  <si>
    <t>cent2232</t>
  </si>
  <si>
    <t>Birked</t>
  </si>
  <si>
    <t>brk</t>
  </si>
  <si>
    <t>birk1246</t>
  </si>
  <si>
    <t>kare1348</t>
  </si>
  <si>
    <t>Birkai</t>
  </si>
  <si>
    <t>birr1240</t>
  </si>
  <si>
    <t>uncl1501</t>
  </si>
  <si>
    <t>Birri</t>
  </si>
  <si>
    <t>bvq</t>
  </si>
  <si>
    <t>birr1241</t>
  </si>
  <si>
    <t>wori1245</t>
  </si>
  <si>
    <t>Birrpayi</t>
  </si>
  <si>
    <t>xbj</t>
  </si>
  <si>
    <t>birw1238</t>
  </si>
  <si>
    <t>nort3233</t>
  </si>
  <si>
    <t>Birwa</t>
  </si>
  <si>
    <t>brl</t>
  </si>
  <si>
    <t>BW ZA ZW</t>
  </si>
  <si>
    <t>bisa1262</t>
  </si>
  <si>
    <t>Bisa-Lamba (M.50)</t>
  </si>
  <si>
    <t>bisa1264</t>
  </si>
  <si>
    <t>Bisa</t>
  </si>
  <si>
    <t>bisa1265</t>
  </si>
  <si>
    <t>east2697</t>
  </si>
  <si>
    <t>Bisa-Busa</t>
  </si>
  <si>
    <t>Bisayan</t>
  </si>
  <si>
    <t>bisa1270</t>
  </si>
  <si>
    <t>grea1293</t>
  </si>
  <si>
    <t>Bisaya-Lotud</t>
  </si>
  <si>
    <t>bisc1236</t>
  </si>
  <si>
    <t>Biscayan</t>
  </si>
  <si>
    <t>bise1238</t>
  </si>
  <si>
    <t>inla1259</t>
  </si>
  <si>
    <t>Biseni</t>
  </si>
  <si>
    <t>ije</t>
  </si>
  <si>
    <t>bish1244</t>
  </si>
  <si>
    <t>Bishnupriya Manipuri</t>
  </si>
  <si>
    <t>bpy</t>
  </si>
  <si>
    <t>bish1245</t>
  </si>
  <si>
    <t>Bishiri</t>
  </si>
  <si>
    <t>bish1246</t>
  </si>
  <si>
    <t>Bishuo</t>
  </si>
  <si>
    <t>bwh</t>
  </si>
  <si>
    <t>bish1251</t>
  </si>
  <si>
    <t>Bisharin</t>
  </si>
  <si>
    <t>bisi1243</t>
  </si>
  <si>
    <t>vene1258</t>
  </si>
  <si>
    <t>Bisiacco</t>
  </si>
  <si>
    <t>bisi1244</t>
  </si>
  <si>
    <t>nucl1586</t>
  </si>
  <si>
    <t>Bisis</t>
  </si>
  <si>
    <t>bnw</t>
  </si>
  <si>
    <t>bisl1239</t>
  </si>
  <si>
    <t>earl1243</t>
  </si>
  <si>
    <t>Bislama</t>
  </si>
  <si>
    <t>bis</t>
  </si>
  <si>
    <t>NC VU</t>
  </si>
  <si>
    <t>biso1241</t>
  </si>
  <si>
    <t>biso1244</t>
  </si>
  <si>
    <t>Bisoid</t>
  </si>
  <si>
    <t>biso1242</t>
  </si>
  <si>
    <t>Bisoo</t>
  </si>
  <si>
    <t>biso1243</t>
  </si>
  <si>
    <t>oute1259</t>
  </si>
  <si>
    <t>Bisorio</t>
  </si>
  <si>
    <t>bir</t>
  </si>
  <si>
    <t>hani1249</t>
  </si>
  <si>
    <t>Bisoid-Hanic</t>
  </si>
  <si>
    <t>biss1247</t>
  </si>
  <si>
    <t>Bissaula</t>
  </si>
  <si>
    <t>Bissa</t>
  </si>
  <si>
    <t>bib</t>
  </si>
  <si>
    <t>BF CI GH TG</t>
  </si>
  <si>
    <t>biss1249</t>
  </si>
  <si>
    <t>Bissau-Bolama Creole</t>
  </si>
  <si>
    <t>bisu1244</t>
  </si>
  <si>
    <t>bisu1246</t>
  </si>
  <si>
    <t>Bisu</t>
  </si>
  <si>
    <t>bzi</t>
  </si>
  <si>
    <t>CN MM TH</t>
  </si>
  <si>
    <t>bisu1245</t>
  </si>
  <si>
    <t>Bisu (Atlantic-Congo)</t>
  </si>
  <si>
    <t>Bisu-Pyen-Laomian</t>
  </si>
  <si>
    <t>bisu1247</t>
  </si>
  <si>
    <t>Bisu (Retired)</t>
  </si>
  <si>
    <t>bii</t>
  </si>
  <si>
    <t>bita1250</t>
  </si>
  <si>
    <t>ntch1242</t>
  </si>
  <si>
    <t>Bitaapul</t>
  </si>
  <si>
    <t>bita1251</t>
  </si>
  <si>
    <t>Bitare</t>
  </si>
  <si>
    <t>brt</t>
  </si>
  <si>
    <t>bita1252</t>
  </si>
  <si>
    <t>Bitama</t>
  </si>
  <si>
    <t>bita1253</t>
  </si>
  <si>
    <t>Bitara</t>
  </si>
  <si>
    <t>biti1244</t>
  </si>
  <si>
    <t>Bitinkoore</t>
  </si>
  <si>
    <t>biti1245</t>
  </si>
  <si>
    <t>Bitieku</t>
  </si>
  <si>
    <t>biti1246</t>
  </si>
  <si>
    <t>moro1284</t>
  </si>
  <si>
    <t>Biti</t>
  </si>
  <si>
    <t>bitt1240</t>
  </si>
  <si>
    <t>khao1243</t>
  </si>
  <si>
    <t>Bit</t>
  </si>
  <si>
    <t>bgk</t>
  </si>
  <si>
    <t>CN LA</t>
  </si>
  <si>
    <t>bitu1241</t>
  </si>
  <si>
    <t>ndak1242</t>
  </si>
  <si>
    <t>Bitui</t>
  </si>
  <si>
    <t>bitu1242</t>
  </si>
  <si>
    <t>Bitur</t>
  </si>
  <si>
    <t>mcc</t>
  </si>
  <si>
    <t>bium1270</t>
  </si>
  <si>
    <t>bura1296</t>
  </si>
  <si>
    <t>Marghic</t>
  </si>
  <si>
    <t>sout3145</t>
  </si>
  <si>
    <t>Bataic</t>
  </si>
  <si>
    <t>bium1274</t>
  </si>
  <si>
    <t>Dabaic</t>
  </si>
  <si>
    <t>bium1275</t>
  </si>
  <si>
    <t>Teraic</t>
  </si>
  <si>
    <t>bium1279</t>
  </si>
  <si>
    <t>nort3156</t>
  </si>
  <si>
    <t>Musguic</t>
  </si>
  <si>
    <t>bium1280</t>
  </si>
  <si>
    <t>chad1250</t>
  </si>
  <si>
    <t>Biu-Mandara</t>
  </si>
  <si>
    <t>biwa1242</t>
  </si>
  <si>
    <t>Biwangan</t>
  </si>
  <si>
    <t>biwa1243</t>
  </si>
  <si>
    <t>yuat1252</t>
  </si>
  <si>
    <t>bunm1234</t>
  </si>
  <si>
    <t>Biwat</t>
  </si>
  <si>
    <t>bwm</t>
  </si>
  <si>
    <t>biwo1234</t>
  </si>
  <si>
    <t>Biwol</t>
  </si>
  <si>
    <t>biya1234</t>
  </si>
  <si>
    <t>semn1249</t>
  </si>
  <si>
    <t>Biyabuneki</t>
  </si>
  <si>
    <t>biyo1243</t>
  </si>
  <si>
    <t>Biyo</t>
  </si>
  <si>
    <t>byo</t>
  </si>
  <si>
    <t>CN LA VN</t>
  </si>
  <si>
    <t>biyo1244</t>
  </si>
  <si>
    <t>unun9972</t>
  </si>
  <si>
    <t>Biyom</t>
  </si>
  <si>
    <t>bpm</t>
  </si>
  <si>
    <t>bjur1234</t>
  </si>
  <si>
    <t>Bjurs√•s</t>
  </si>
  <si>
    <t>blaa1241</t>
  </si>
  <si>
    <t>tbol1241</t>
  </si>
  <si>
    <t>Blaan</t>
  </si>
  <si>
    <t>blab1237</t>
  </si>
  <si>
    <t>zaza1247</t>
  </si>
  <si>
    <t>Blablanga</t>
  </si>
  <si>
    <t>blp</t>
  </si>
  <si>
    <t>blac1266</t>
  </si>
  <si>
    <t>Black Nogai</t>
  </si>
  <si>
    <t>blac1267</t>
  </si>
  <si>
    <t>lisu1250</t>
  </si>
  <si>
    <t>Ninglang-Dechang Lisu</t>
  </si>
  <si>
    <t>blac1268</t>
  </si>
  <si>
    <t>phun1245</t>
  </si>
  <si>
    <t>Black Khoany</t>
  </si>
  <si>
    <t>blac1269</t>
  </si>
  <si>
    <t>Black Tai</t>
  </si>
  <si>
    <t>blac1270</t>
  </si>
  <si>
    <t>bolo1266</t>
  </si>
  <si>
    <t>Black Bolon</t>
  </si>
  <si>
    <t>blaf1238</t>
  </si>
  <si>
    <t>Mblafe-R√°nmo</t>
  </si>
  <si>
    <t>bfh</t>
  </si>
  <si>
    <t>blag1241</t>
  </si>
  <si>
    <t>Blagar</t>
  </si>
  <si>
    <t>beu</t>
  </si>
  <si>
    <t>Blagaric</t>
  </si>
  <si>
    <t>blan1242</t>
  </si>
  <si>
    <t>bula1260</t>
  </si>
  <si>
    <t>Blang</t>
  </si>
  <si>
    <t>blr</t>
  </si>
  <si>
    <t>blek1238</t>
  </si>
  <si>
    <t>scan1238</t>
  </si>
  <si>
    <t>Blekingska</t>
  </si>
  <si>
    <t>blis1238</t>
  </si>
  <si>
    <t>Bliss</t>
  </si>
  <si>
    <t>blit1237</t>
  </si>
  <si>
    <t>cota1241</t>
  </si>
  <si>
    <t>Blit</t>
  </si>
  <si>
    <t>blon1234</t>
  </si>
  <si>
    <t>Blong Dan</t>
  </si>
  <si>
    <t>bloo1239</t>
  </si>
  <si>
    <t>Blood</t>
  </si>
  <si>
    <t>bloo1242</t>
  </si>
  <si>
    <t>Blo</t>
  </si>
  <si>
    <t>blor1234</t>
  </si>
  <si>
    <t>Blora</t>
  </si>
  <si>
    <t>blow1238</t>
  </si>
  <si>
    <t>west2877</t>
  </si>
  <si>
    <t>Blowo</t>
  </si>
  <si>
    <t>blyb1234</t>
  </si>
  <si>
    <t>Blyberg</t>
  </si>
  <si>
    <t>boan1242</t>
  </si>
  <si>
    <t>east2468</t>
  </si>
  <si>
    <t>Boano (Maluku)</t>
  </si>
  <si>
    <t>bzn</t>
  </si>
  <si>
    <t>toli1244</t>
  </si>
  <si>
    <t>Boano (Sulawesi)</t>
  </si>
  <si>
    <t>boan1244</t>
  </si>
  <si>
    <t>tobe1252</t>
  </si>
  <si>
    <t>Bo√´ng</t>
  </si>
  <si>
    <t>boan1245</t>
  </si>
  <si>
    <t>erap1240</t>
  </si>
  <si>
    <t>Boana</t>
  </si>
  <si>
    <t>boaz1244</t>
  </si>
  <si>
    <t>mari1437</t>
  </si>
  <si>
    <t>Boazi</t>
  </si>
  <si>
    <t>boba1246</t>
  </si>
  <si>
    <t>Bobar</t>
  </si>
  <si>
    <t>boba1247</t>
  </si>
  <si>
    <t>gayo1244</t>
  </si>
  <si>
    <t>Bobasan</t>
  </si>
  <si>
    <t>boba1248</t>
  </si>
  <si>
    <t>ngir1254</t>
  </si>
  <si>
    <t>Bobangic</t>
  </si>
  <si>
    <t>Bobangic Riverain</t>
  </si>
  <si>
    <t>Bobangi-Bangala-Lingala</t>
  </si>
  <si>
    <t>bobi1238</t>
  </si>
  <si>
    <t>Bobili</t>
  </si>
  <si>
    <t>bobo1253</t>
  </si>
  <si>
    <t>duun1243</t>
  </si>
  <si>
    <t>Bobo</t>
  </si>
  <si>
    <t>bobo1254</t>
  </si>
  <si>
    <t>east2748</t>
  </si>
  <si>
    <t>Bobot</t>
  </si>
  <si>
    <t>bty</t>
  </si>
  <si>
    <t>bobo1255</t>
  </si>
  <si>
    <t>Bobongko</t>
  </si>
  <si>
    <t>bgb</t>
  </si>
  <si>
    <t>nort2678</t>
  </si>
  <si>
    <t>Bo-Cari</t>
  </si>
  <si>
    <t>boch1238</t>
  </si>
  <si>
    <t>many1258</t>
  </si>
  <si>
    <t>Bocha</t>
  </si>
  <si>
    <t>boda1234</t>
  </si>
  <si>
    <t>Boda</t>
  </si>
  <si>
    <t>bode1245</t>
  </si>
  <si>
    <t>Bodele</t>
  </si>
  <si>
    <t>bode1246</t>
  </si>
  <si>
    <t>coas1301</t>
  </si>
  <si>
    <t>Bodega</t>
  </si>
  <si>
    <t>bodh1239</t>
  </si>
  <si>
    <t>thur1255</t>
  </si>
  <si>
    <t>Bodho</t>
  </si>
  <si>
    <t>bodi1251</t>
  </si>
  <si>
    <t>Bodin</t>
  </si>
  <si>
    <t>bodi1252</t>
  </si>
  <si>
    <t>dual1243</t>
  </si>
  <si>
    <t>Bodiman</t>
  </si>
  <si>
    <t>bodi1253</t>
  </si>
  <si>
    <t>meen1242</t>
  </si>
  <si>
    <t>Bodi</t>
  </si>
  <si>
    <t>bodi1256</t>
  </si>
  <si>
    <t>Bodic</t>
  </si>
  <si>
    <t>bodi1257</t>
  </si>
  <si>
    <t>Bodish</t>
  </si>
  <si>
    <t>Bodo Parja</t>
  </si>
  <si>
    <t>guto1244</t>
  </si>
  <si>
    <t>Bodo Gadaba</t>
  </si>
  <si>
    <t>bodo1269</t>
  </si>
  <si>
    <t>bodo1280</t>
  </si>
  <si>
    <t>Bodo-Mech</t>
  </si>
  <si>
    <t>brx</t>
  </si>
  <si>
    <t>bodo1270</t>
  </si>
  <si>
    <t>Bodoe</t>
  </si>
  <si>
    <t>bodo1271</t>
  </si>
  <si>
    <t>goka1239</t>
  </si>
  <si>
    <t>Bodo (Gokana)</t>
  </si>
  <si>
    <t>bodo1272</t>
  </si>
  <si>
    <t>unun9928</t>
  </si>
  <si>
    <t>Bodo (Central African Republic)</t>
  </si>
  <si>
    <t>boy</t>
  </si>
  <si>
    <t>bodo1273</t>
  </si>
  <si>
    <t>Bodo (Gor)</t>
  </si>
  <si>
    <t>bodo1274</t>
  </si>
  <si>
    <t>woje1238</t>
  </si>
  <si>
    <t>Bodougouka</t>
  </si>
  <si>
    <t>bodo1278</t>
  </si>
  <si>
    <t>mpad1242</t>
  </si>
  <si>
    <t>Bodo (Mpade)</t>
  </si>
  <si>
    <t>bodo1279</t>
  </si>
  <si>
    <t>brah1260</t>
  </si>
  <si>
    <t>Bodo-Garo</t>
  </si>
  <si>
    <t>tiwa1256</t>
  </si>
  <si>
    <t>Bodo-Mech-Kachari</t>
  </si>
  <si>
    <t>boee1238</t>
  </si>
  <si>
    <t>degg1238</t>
  </si>
  <si>
    <t>Boe</t>
  </si>
  <si>
    <t>bofi1238</t>
  </si>
  <si>
    <t>mbod1237</t>
  </si>
  <si>
    <t>Bofi</t>
  </si>
  <si>
    <t>bff</t>
  </si>
  <si>
    <t>boga1246</t>
  </si>
  <si>
    <t>Bogand√©</t>
  </si>
  <si>
    <t>boga1247</t>
  </si>
  <si>
    <t>Bogaya</t>
  </si>
  <si>
    <t>boq</t>
  </si>
  <si>
    <t>boga1251</t>
  </si>
  <si>
    <t>east2649</t>
  </si>
  <si>
    <t>Boga</t>
  </si>
  <si>
    <t>bvw</t>
  </si>
  <si>
    <t>bogh1240</t>
  </si>
  <si>
    <t>sout3161</t>
  </si>
  <si>
    <t>Boghomic</t>
  </si>
  <si>
    <t>bogh1241</t>
  </si>
  <si>
    <t>Boghom</t>
  </si>
  <si>
    <t>bux</t>
  </si>
  <si>
    <t>bogo1240</t>
  </si>
  <si>
    <t>pand1264</t>
  </si>
  <si>
    <t>Bogongo</t>
  </si>
  <si>
    <t>bogo1241</t>
  </si>
  <si>
    <t>Bogor</t>
  </si>
  <si>
    <t>bogu1241</t>
  </si>
  <si>
    <t>Boguru</t>
  </si>
  <si>
    <t>bqu</t>
  </si>
  <si>
    <t>bogu1242</t>
  </si>
  <si>
    <t>Bogur (Mambila)</t>
  </si>
  <si>
    <t>boha1238</t>
  </si>
  <si>
    <t>Bohaan</t>
  </si>
  <si>
    <t>boha1242</t>
  </si>
  <si>
    <t>copt1239</t>
  </si>
  <si>
    <t>Bohairic</t>
  </si>
  <si>
    <t>bohe1240</t>
  </si>
  <si>
    <t>Bohena</t>
  </si>
  <si>
    <t>bohe1241</t>
  </si>
  <si>
    <t>nort3324</t>
  </si>
  <si>
    <t>Bohemian Romani</t>
  </si>
  <si>
    <t>bohi1237</t>
  </si>
  <si>
    <t>Bohilai</t>
  </si>
  <si>
    <t>boho1237</t>
  </si>
  <si>
    <t>cebu1242</t>
  </si>
  <si>
    <t>Boholano</t>
  </si>
  <si>
    <t>boht1238</t>
  </si>
  <si>
    <t>boht1239</t>
  </si>
  <si>
    <t>Gardabani Bohtan Neo-Aramaic</t>
  </si>
  <si>
    <t>bhn</t>
  </si>
  <si>
    <t>cent2217</t>
  </si>
  <si>
    <t>Bohtan</t>
  </si>
  <si>
    <t>bohu1238</t>
  </si>
  <si>
    <t>tulu1259</t>
  </si>
  <si>
    <t>Bohuai</t>
  </si>
  <si>
    <t>boib1239</t>
  </si>
  <si>
    <t>Boi Bi</t>
  </si>
  <si>
    <t>boig1238</t>
  </si>
  <si>
    <t>Boigu</t>
  </si>
  <si>
    <t>boik1241</t>
  </si>
  <si>
    <t>Boikin</t>
  </si>
  <si>
    <t>bzf</t>
  </si>
  <si>
    <t>boin1237</t>
  </si>
  <si>
    <t>Boinelang</t>
  </si>
  <si>
    <t>boin1238</t>
  </si>
  <si>
    <t>Boin</t>
  </si>
  <si>
    <t>boje1238</t>
  </si>
  <si>
    <t>Boje</t>
  </si>
  <si>
    <t>bojp1238</t>
  </si>
  <si>
    <t>Bojpury</t>
  </si>
  <si>
    <t>Bokar-Ramo</t>
  </si>
  <si>
    <t>boka1250</t>
  </si>
  <si>
    <t>gagu1242</t>
  </si>
  <si>
    <t>Bokabo</t>
  </si>
  <si>
    <t>boka1251</t>
  </si>
  <si>
    <t>term1237</t>
  </si>
  <si>
    <t>Bokai</t>
  </si>
  <si>
    <t>bokh1236</t>
  </si>
  <si>
    <t>nucl1309</t>
  </si>
  <si>
    <t>Bokha-Phuma</t>
  </si>
  <si>
    <t>bokh1237</t>
  </si>
  <si>
    <t>Bokha</t>
  </si>
  <si>
    <t>ybk</t>
  </si>
  <si>
    <t>boki1239</t>
  </si>
  <si>
    <t>Boki</t>
  </si>
  <si>
    <t>bokk1238</t>
  </si>
  <si>
    <t>mand1419</t>
  </si>
  <si>
    <t>Bok</t>
  </si>
  <si>
    <t>bokk1242</t>
  </si>
  <si>
    <t>ronn1241</t>
  </si>
  <si>
    <t>Bokkos</t>
  </si>
  <si>
    <t>boko1260</t>
  </si>
  <si>
    <t>gbay1282</t>
  </si>
  <si>
    <t>Bokoto-Gbeya</t>
  </si>
  <si>
    <t>boko1261</t>
  </si>
  <si>
    <t>Bokoto</t>
  </si>
  <si>
    <t>bdt</t>
  </si>
  <si>
    <t>boko1262</t>
  </si>
  <si>
    <t>Bokoy</t>
  </si>
  <si>
    <t>boko1263</t>
  </si>
  <si>
    <t>ngir1253</t>
  </si>
  <si>
    <t>Boko (Democratic Republic of Congo)</t>
  </si>
  <si>
    <t>bkp</t>
  </si>
  <si>
    <t>boko1264</t>
  </si>
  <si>
    <t>bomb1262</t>
  </si>
  <si>
    <t>Bokonzi</t>
  </si>
  <si>
    <t>boko1265</t>
  </si>
  <si>
    <t>busa1252</t>
  </si>
  <si>
    <t>Boko-Busa</t>
  </si>
  <si>
    <t>boko1266</t>
  </si>
  <si>
    <t>Boko (Benin)</t>
  </si>
  <si>
    <t>bqc</t>
  </si>
  <si>
    <t>boko1267</t>
  </si>
  <si>
    <t>Bokobaru</t>
  </si>
  <si>
    <t>bus</t>
  </si>
  <si>
    <t>boko1268</t>
  </si>
  <si>
    <t>ibal1244</t>
  </si>
  <si>
    <t>Bokod</t>
  </si>
  <si>
    <t>boko1272</t>
  </si>
  <si>
    <t>bugl1243</t>
  </si>
  <si>
    <t>Bokot√°</t>
  </si>
  <si>
    <t>bokp1240</t>
  </si>
  <si>
    <t>Bokpan</t>
  </si>
  <si>
    <t>bokp1241</t>
  </si>
  <si>
    <t>west2563</t>
  </si>
  <si>
    <t>Bok Penan</t>
  </si>
  <si>
    <t>boku1237</t>
  </si>
  <si>
    <t>Boku</t>
  </si>
  <si>
    <t>bokw1238</t>
  </si>
  <si>
    <t>Bokwa (Mande)</t>
  </si>
  <si>
    <t>bokw1242</t>
  </si>
  <si>
    <t>glav1244</t>
  </si>
  <si>
    <t>Bokwa</t>
  </si>
  <si>
    <t>Bokyi</t>
  </si>
  <si>
    <t>bky</t>
  </si>
  <si>
    <t>bola1240</t>
  </si>
  <si>
    <t>Bolaghain</t>
  </si>
  <si>
    <t>bola1249</t>
  </si>
  <si>
    <t>muon1245</t>
  </si>
  <si>
    <t>Bo (Laos)</t>
  </si>
  <si>
    <t>bgl</t>
  </si>
  <si>
    <t>bola1250</t>
  </si>
  <si>
    <t>bola1253</t>
  </si>
  <si>
    <t>Bola</t>
  </si>
  <si>
    <t>bnp</t>
  </si>
  <si>
    <t>bola1251</t>
  </si>
  <si>
    <t>kaid1239</t>
  </si>
  <si>
    <t>Bolaang Itang</t>
  </si>
  <si>
    <t>Bolango</t>
  </si>
  <si>
    <t>bld</t>
  </si>
  <si>
    <t>will1243</t>
  </si>
  <si>
    <t>Bola-Bulu</t>
  </si>
  <si>
    <t>ngam1283</t>
  </si>
  <si>
    <t>Bolanci-Bele</t>
  </si>
  <si>
    <t>bole1245</t>
  </si>
  <si>
    <t>vagl1239</t>
  </si>
  <si>
    <t>Bole (Ghana)</t>
  </si>
  <si>
    <t>bole1246</t>
  </si>
  <si>
    <t>mbat1248</t>
  </si>
  <si>
    <t>Bolemba</t>
  </si>
  <si>
    <t>bole1261</t>
  </si>
  <si>
    <t>west2715</t>
  </si>
  <si>
    <t>Boleic</t>
  </si>
  <si>
    <t>bolg1249</t>
  </si>
  <si>
    <t>Bolgar</t>
  </si>
  <si>
    <t>bolg1250</t>
  </si>
  <si>
    <t>Bolgarian</t>
  </si>
  <si>
    <t>xbo</t>
  </si>
  <si>
    <t>bolg1251</t>
  </si>
  <si>
    <t>uncl1499</t>
  </si>
  <si>
    <t>Bolgo</t>
  </si>
  <si>
    <t>bvo</t>
  </si>
  <si>
    <t>bolg1252</t>
  </si>
  <si>
    <t>Bolgo Kubar</t>
  </si>
  <si>
    <t>bolg1253</t>
  </si>
  <si>
    <t>Bolgo Dugag</t>
  </si>
  <si>
    <t>boli1236</t>
  </si>
  <si>
    <t>west2886</t>
  </si>
  <si>
    <t>Bolivian Sign Language</t>
  </si>
  <si>
    <t>bvl</t>
  </si>
  <si>
    <t>boli1255</t>
  </si>
  <si>
    <t>boli1263</t>
  </si>
  <si>
    <t>Bolia</t>
  </si>
  <si>
    <t>bli</t>
  </si>
  <si>
    <t>boli1256</t>
  </si>
  <si>
    <t>tina1255</t>
  </si>
  <si>
    <t>Bolinao</t>
  </si>
  <si>
    <t>smk</t>
  </si>
  <si>
    <t>sout3131</t>
  </si>
  <si>
    <t>Bolivia-Parana</t>
  </si>
  <si>
    <t>boli1261</t>
  </si>
  <si>
    <t>pano1257</t>
  </si>
  <si>
    <t>Bolivian Nawa</t>
  </si>
  <si>
    <t>boli1262</t>
  </si>
  <si>
    <t>Bolivian Quechua IIC</t>
  </si>
  <si>
    <t>kela1261</t>
  </si>
  <si>
    <t>Bolia-Ntomba</t>
  </si>
  <si>
    <t>bolo1260</t>
  </si>
  <si>
    <t>emil1241</t>
  </si>
  <si>
    <t>Bologna Emiliano</t>
  </si>
  <si>
    <t>bolo1261</t>
  </si>
  <si>
    <t>mbun1247</t>
  </si>
  <si>
    <t>Kibala</t>
  </si>
  <si>
    <t>blv</t>
  </si>
  <si>
    <t>AO</t>
  </si>
  <si>
    <t>bolo1262</t>
  </si>
  <si>
    <t>libi1252</t>
  </si>
  <si>
    <t>Boloki</t>
  </si>
  <si>
    <t>bkt</t>
  </si>
  <si>
    <t>bolo1263</t>
  </si>
  <si>
    <t>sawa1252</t>
  </si>
  <si>
    <t>Bolondo</t>
  </si>
  <si>
    <t>bzm</t>
  </si>
  <si>
    <t>bolo1264</t>
  </si>
  <si>
    <t>Bolo Djarma</t>
  </si>
  <si>
    <t>bolo1265</t>
  </si>
  <si>
    <t>Bolong</t>
  </si>
  <si>
    <t>Bolon</t>
  </si>
  <si>
    <t>bof</t>
  </si>
  <si>
    <t>BF</t>
  </si>
  <si>
    <t>bolo1267</t>
  </si>
  <si>
    <t>Bolos Point</t>
  </si>
  <si>
    <t>bolo1268</t>
  </si>
  <si>
    <t>unun9995</t>
  </si>
  <si>
    <t>Bolongan</t>
  </si>
  <si>
    <t>blj</t>
  </si>
  <si>
    <t>bolu1241</t>
  </si>
  <si>
    <t>Bolupi</t>
  </si>
  <si>
    <t>bolu1244</t>
  </si>
  <si>
    <t>geji1246</t>
  </si>
  <si>
    <t>Bolu</t>
  </si>
  <si>
    <t>bolu1245</t>
  </si>
  <si>
    <t>Bolu (Armenian)</t>
  </si>
  <si>
    <t>boly1239</t>
  </si>
  <si>
    <t>boly1240</t>
  </si>
  <si>
    <t>Bolyu</t>
  </si>
  <si>
    <t>ply</t>
  </si>
  <si>
    <t>mang1377</t>
  </si>
  <si>
    <t>Pakanic</t>
  </si>
  <si>
    <t>boma1245</t>
  </si>
  <si>
    <t>Bomang</t>
  </si>
  <si>
    <t>boma1246</t>
  </si>
  <si>
    <t>boma1249</t>
  </si>
  <si>
    <t>Boma</t>
  </si>
  <si>
    <t>boh</t>
  </si>
  <si>
    <t>boma1247</t>
  </si>
  <si>
    <t>murl1244</t>
  </si>
  <si>
    <t>Boma (Surmic)</t>
  </si>
  <si>
    <t>boma1248</t>
  </si>
  <si>
    <t>yanz1243</t>
  </si>
  <si>
    <t>Boma-Tiene-Mpe</t>
  </si>
  <si>
    <t>Boma-Tiene</t>
  </si>
  <si>
    <t>bomb1239</t>
  </si>
  <si>
    <t>katl1246</t>
  </si>
  <si>
    <t>katl1237</t>
  </si>
  <si>
    <t>Bombori</t>
  </si>
  <si>
    <t>bomb1258</t>
  </si>
  <si>
    <t>Bombali</t>
  </si>
  <si>
    <t>bomb1259</t>
  </si>
  <si>
    <t>daha1240</t>
  </si>
  <si>
    <t>Bomborokuy</t>
  </si>
  <si>
    <t>bomb1260</t>
  </si>
  <si>
    <t>Bombi-Ngbanja</t>
  </si>
  <si>
    <t>bomb1261</t>
  </si>
  <si>
    <t>liko1252</t>
  </si>
  <si>
    <t>Bomboli</t>
  </si>
  <si>
    <t>bml</t>
  </si>
  <si>
    <t>Bomboma</t>
  </si>
  <si>
    <t>bws</t>
  </si>
  <si>
    <t>sout3229</t>
  </si>
  <si>
    <t>Bomberai</t>
  </si>
  <si>
    <t>bomb1264</t>
  </si>
  <si>
    <t>Bombay Indian Sign Language</t>
  </si>
  <si>
    <t>bomf1238</t>
  </si>
  <si>
    <t>mamo1239</t>
  </si>
  <si>
    <t>Xeru√£</t>
  </si>
  <si>
    <t>bomi1238</t>
  </si>
  <si>
    <t>liko1251</t>
  </si>
  <si>
    <t>Bomitaba</t>
  </si>
  <si>
    <t>zmx</t>
  </si>
  <si>
    <t>CF CG</t>
  </si>
  <si>
    <t>bomk1234</t>
  </si>
  <si>
    <t>nort3167</t>
  </si>
  <si>
    <t>Bom-Kim</t>
  </si>
  <si>
    <t>bmf</t>
  </si>
  <si>
    <t>SL</t>
  </si>
  <si>
    <t>bomm1240</t>
  </si>
  <si>
    <t>Bom</t>
  </si>
  <si>
    <t>bomo1238</t>
  </si>
  <si>
    <t>kang1286</t>
  </si>
  <si>
    <t>Bomokandi</t>
  </si>
  <si>
    <t>bomp1241</t>
  </si>
  <si>
    <t>tere1272</t>
  </si>
  <si>
    <t>Bompoka</t>
  </si>
  <si>
    <t>bomu1247</t>
  </si>
  <si>
    <t>bwam1247</t>
  </si>
  <si>
    <t>Bomu</t>
  </si>
  <si>
    <t>bmq</t>
  </si>
  <si>
    <t>BF ML</t>
  </si>
  <si>
    <t>bomu1248</t>
  </si>
  <si>
    <t>Bomu (Gokana)</t>
  </si>
  <si>
    <t>bomu1249</t>
  </si>
  <si>
    <t>Bomui</t>
  </si>
  <si>
    <t>bomu1250</t>
  </si>
  <si>
    <t>Bomudi</t>
  </si>
  <si>
    <t>bomv1238</t>
  </si>
  <si>
    <t>Bomvana</t>
  </si>
  <si>
    <t>bomw1238</t>
  </si>
  <si>
    <t>Bomwali</t>
  </si>
  <si>
    <t>bmw</t>
  </si>
  <si>
    <t>bona1250</t>
  </si>
  <si>
    <t>Bonan</t>
  </si>
  <si>
    <t>peh</t>
  </si>
  <si>
    <t>bona1251</t>
  </si>
  <si>
    <t>Bona</t>
  </si>
  <si>
    <t>bona1252</t>
  </si>
  <si>
    <t>suau1242</t>
  </si>
  <si>
    <t>Bonarua</t>
  </si>
  <si>
    <t>bona1253</t>
  </si>
  <si>
    <t>Bona Bona</t>
  </si>
  <si>
    <t>bona1254</t>
  </si>
  <si>
    <t>bumb1241</t>
  </si>
  <si>
    <t>Bonahoi</t>
  </si>
  <si>
    <t>bona1255</t>
  </si>
  <si>
    <t>yawa1262</t>
  </si>
  <si>
    <t>Bonari</t>
  </si>
  <si>
    <t>hres1236</t>
  </si>
  <si>
    <t>Bonam-Monam</t>
  </si>
  <si>
    <t>bona1257</t>
  </si>
  <si>
    <t>mora1274</t>
  </si>
  <si>
    <t>Bon√§s</t>
  </si>
  <si>
    <t>bond1244</t>
  </si>
  <si>
    <t>Bondoy</t>
  </si>
  <si>
    <t>bond1245</t>
  </si>
  <si>
    <t>Bondo</t>
  </si>
  <si>
    <t>bfw</t>
  </si>
  <si>
    <t>bond1246</t>
  </si>
  <si>
    <t>kula1277</t>
  </si>
  <si>
    <t>Bondoukou Kulango</t>
  </si>
  <si>
    <t>kzc</t>
  </si>
  <si>
    <t>bond1247</t>
  </si>
  <si>
    <t>bond1249</t>
  </si>
  <si>
    <t>Bondei</t>
  </si>
  <si>
    <t>bou</t>
  </si>
  <si>
    <t>bond1248</t>
  </si>
  <si>
    <t>yand1255</t>
  </si>
  <si>
    <t>Najamba-Kindige</t>
  </si>
  <si>
    <t>dbu</t>
  </si>
  <si>
    <t>seut1234</t>
  </si>
  <si>
    <t>Bondei-Shambala</t>
  </si>
  <si>
    <t>bond1252</t>
  </si>
  <si>
    <t>Bondum Dom</t>
  </si>
  <si>
    <t>bone1251</t>
  </si>
  <si>
    <t>mato1252</t>
  </si>
  <si>
    <t>Bonea</t>
  </si>
  <si>
    <t>bone1252</t>
  </si>
  <si>
    <t>Bone</t>
  </si>
  <si>
    <t>bone1253</t>
  </si>
  <si>
    <t>kalu1247</t>
  </si>
  <si>
    <t>Bone Hau</t>
  </si>
  <si>
    <t>bone1254</t>
  </si>
  <si>
    <t>tuka1246</t>
  </si>
  <si>
    <t>Bonerate</t>
  </si>
  <si>
    <t>bna</t>
  </si>
  <si>
    <t>bone1255</t>
  </si>
  <si>
    <t>Bonerif</t>
  </si>
  <si>
    <t>bnv</t>
  </si>
  <si>
    <t>bong1282</t>
  </si>
  <si>
    <t>goul1244</t>
  </si>
  <si>
    <t>Bon Gula</t>
  </si>
  <si>
    <t>glc</t>
  </si>
  <si>
    <t>bong1283</t>
  </si>
  <si>
    <t>mids1243</t>
  </si>
  <si>
    <t>Bongo (Mid-Southern Banda)</t>
  </si>
  <si>
    <t>bong1284</t>
  </si>
  <si>
    <t>moki1244</t>
  </si>
  <si>
    <t>Bongili</t>
  </si>
  <si>
    <t>bui</t>
  </si>
  <si>
    <t>bong1285</t>
  </si>
  <si>
    <t>sara1341</t>
  </si>
  <si>
    <t>Bongo</t>
  </si>
  <si>
    <t>bot</t>
  </si>
  <si>
    <t>bong1286</t>
  </si>
  <si>
    <t>saba1262</t>
  </si>
  <si>
    <t>Bong'omeek</t>
  </si>
  <si>
    <t>bong1287</t>
  </si>
  <si>
    <t>Bonggo</t>
  </si>
  <si>
    <t>bpg</t>
  </si>
  <si>
    <t>bong1288</t>
  </si>
  <si>
    <t>Bongao</t>
  </si>
  <si>
    <t>bong1289</t>
  </si>
  <si>
    <t>nort3172</t>
  </si>
  <si>
    <t>Bonggi</t>
  </si>
  <si>
    <t>bdg</t>
  </si>
  <si>
    <t>bong1290</t>
  </si>
  <si>
    <t>Bongos</t>
  </si>
  <si>
    <t>bong1291</t>
  </si>
  <si>
    <t>Bongu</t>
  </si>
  <si>
    <t>bpu</t>
  </si>
  <si>
    <t>bong1298</t>
  </si>
  <si>
    <t>Bongor</t>
  </si>
  <si>
    <t>bong1299</t>
  </si>
  <si>
    <t>muse1242</t>
  </si>
  <si>
    <t>Bongor-Jodo-Tagal-Berem-Gunu</t>
  </si>
  <si>
    <t>bong1300</t>
  </si>
  <si>
    <t>rang1267</t>
  </si>
  <si>
    <t>Bongcher</t>
  </si>
  <si>
    <t>bong1301</t>
  </si>
  <si>
    <t>Bong</t>
  </si>
  <si>
    <t>boni1238</t>
  </si>
  <si>
    <t>libi1244</t>
  </si>
  <si>
    <t>Boniange</t>
  </si>
  <si>
    <t>boni1239</t>
  </si>
  <si>
    <t>Bonin English Pidgin</t>
  </si>
  <si>
    <t>bonj1234</t>
  </si>
  <si>
    <t>Impfondo</t>
  </si>
  <si>
    <t>bok</t>
  </si>
  <si>
    <t>bonk1243</t>
  </si>
  <si>
    <t>lund1274</t>
  </si>
  <si>
    <t>Bonkeng</t>
  </si>
  <si>
    <t>bvg</t>
  </si>
  <si>
    <t>bonk1244</t>
  </si>
  <si>
    <t>kewi1241</t>
  </si>
  <si>
    <t>Bonkiman</t>
  </si>
  <si>
    <t>bop</t>
  </si>
  <si>
    <t>bonn1241</t>
  </si>
  <si>
    <t>Bon</t>
  </si>
  <si>
    <t>bonn1242</t>
  </si>
  <si>
    <t>Bonny-Opobo</t>
  </si>
  <si>
    <t>bont1246</t>
  </si>
  <si>
    <t>Bontok-Kankanay</t>
  </si>
  <si>
    <t>bont1247</t>
  </si>
  <si>
    <t>Bontok</t>
  </si>
  <si>
    <t>bnc</t>
  </si>
  <si>
    <t>bonu1238</t>
  </si>
  <si>
    <t>wamb1257</t>
  </si>
  <si>
    <t>Bonu</t>
  </si>
  <si>
    <t>bonz1238</t>
  </si>
  <si>
    <t>Bonzio</t>
  </si>
  <si>
    <t>book1240</t>
  </si>
  <si>
    <t>Book</t>
  </si>
  <si>
    <t>nort3186</t>
  </si>
  <si>
    <t>Bookan</t>
  </si>
  <si>
    <t>bnb</t>
  </si>
  <si>
    <t>Bookkeeping</t>
  </si>
  <si>
    <t>boon1238</t>
  </si>
  <si>
    <t>fare1241</t>
  </si>
  <si>
    <t>Booni</t>
  </si>
  <si>
    <t>boon1242</t>
  </si>
  <si>
    <t>unun9873</t>
  </si>
  <si>
    <t>Boon</t>
  </si>
  <si>
    <t>bnl</t>
  </si>
  <si>
    <t>SO</t>
  </si>
  <si>
    <t>booo1255</t>
  </si>
  <si>
    <t>boru1244</t>
  </si>
  <si>
    <t>Bo</t>
  </si>
  <si>
    <t>booo1256</t>
  </si>
  <si>
    <t>B√∂</t>
  </si>
  <si>
    <t>booo1257</t>
  </si>
  <si>
    <t>tour1242</t>
  </si>
  <si>
    <t>Boo</t>
  </si>
  <si>
    <t>booo1258</t>
  </si>
  <si>
    <t>Bo'o</t>
  </si>
  <si>
    <t>boor1238</t>
  </si>
  <si>
    <t>Boorim</t>
  </si>
  <si>
    <t>boor1242</t>
  </si>
  <si>
    <t>east2644</t>
  </si>
  <si>
    <t>Boor</t>
  </si>
  <si>
    <t>bvf</t>
  </si>
  <si>
    <t>boow1238</t>
  </si>
  <si>
    <t>diii1241</t>
  </si>
  <si>
    <t>Boow</t>
  </si>
  <si>
    <t>bopa1235</t>
  </si>
  <si>
    <t>iter1240</t>
  </si>
  <si>
    <t>Bo (Papua New Guinea)</t>
  </si>
  <si>
    <t>bpw</t>
  </si>
  <si>
    <t>boqq1234</t>
  </si>
  <si>
    <t>west2882</t>
  </si>
  <si>
    <t>Boqqoya</t>
  </si>
  <si>
    <t>bora1261</t>
  </si>
  <si>
    <t>orao1237</t>
  </si>
  <si>
    <t>Borail Sadri</t>
  </si>
  <si>
    <t>bora1262</t>
  </si>
  <si>
    <t>Boran</t>
  </si>
  <si>
    <t>bora1263</t>
  </si>
  <si>
    <t>Bora</t>
  </si>
  <si>
    <t>boa</t>
  </si>
  <si>
    <t>BR CO PE</t>
  </si>
  <si>
    <t>cent2303</t>
  </si>
  <si>
    <t>Borana-Arsi-Guji Oromo</t>
  </si>
  <si>
    <t>gax</t>
  </si>
  <si>
    <t>ET KE SO</t>
  </si>
  <si>
    <t>bora1272</t>
  </si>
  <si>
    <t>Borana</t>
  </si>
  <si>
    <t>borc1242</t>
  </si>
  <si>
    <t>Borcala</t>
  </si>
  <si>
    <t>borc1243</t>
  </si>
  <si>
    <t>rutu1240</t>
  </si>
  <si>
    <t>Borch</t>
  </si>
  <si>
    <t>bord1246</t>
  </si>
  <si>
    <t>komb1273</t>
  </si>
  <si>
    <t>Border Komba</t>
  </si>
  <si>
    <t>Border</t>
  </si>
  <si>
    <t>Border Kuna</t>
  </si>
  <si>
    <t>CO PA</t>
  </si>
  <si>
    <t>bore1246</t>
  </si>
  <si>
    <t>Borebo</t>
  </si>
  <si>
    <t>bore1247</t>
  </si>
  <si>
    <t>wagg1235</t>
  </si>
  <si>
    <t>Borei</t>
  </si>
  <si>
    <t>gai</t>
  </si>
  <si>
    <t>bore1248</t>
  </si>
  <si>
    <t>Borewar</t>
  </si>
  <si>
    <t>Borgu Fulfulde</t>
  </si>
  <si>
    <t>fue</t>
  </si>
  <si>
    <t>borg1236</t>
  </si>
  <si>
    <t>swed1256</t>
  </si>
  <si>
    <t>Borgarmalet</t>
  </si>
  <si>
    <t>bori1243</t>
  </si>
  <si>
    <t>east2361</t>
  </si>
  <si>
    <t>Bori-Karko</t>
  </si>
  <si>
    <t>adi</t>
  </si>
  <si>
    <t>BT CN IN</t>
  </si>
  <si>
    <t>borm1238</t>
  </si>
  <si>
    <t>wanc1238</t>
  </si>
  <si>
    <t>Bor Muthun</t>
  </si>
  <si>
    <t>born1251</t>
  </si>
  <si>
    <t>Bornholmska</t>
  </si>
  <si>
    <t>born1252</t>
  </si>
  <si>
    <t>Borna (Democratic Republic of Congo)</t>
  </si>
  <si>
    <t>bxx</t>
  </si>
  <si>
    <t>born1254</t>
  </si>
  <si>
    <t>sulu1242</t>
  </si>
  <si>
    <t>Borneo Coast Bajaw</t>
  </si>
  <si>
    <t>born1255</t>
  </si>
  <si>
    <t>Borneo Malay</t>
  </si>
  <si>
    <t>Bororo of Kano and Zaria</t>
  </si>
  <si>
    <t>boro1275</t>
  </si>
  <si>
    <t>east2403</t>
  </si>
  <si>
    <t>Boroma</t>
  </si>
  <si>
    <t>boro1276</t>
  </si>
  <si>
    <t>cent2041</t>
  </si>
  <si>
    <t>Borobo</t>
  </si>
  <si>
    <t>Boro (Ethiopia)</t>
  </si>
  <si>
    <t>bwo</t>
  </si>
  <si>
    <t>boro1278</t>
  </si>
  <si>
    <t>Boro (Papua New Guinea)</t>
  </si>
  <si>
    <t>boro1279</t>
  </si>
  <si>
    <t>koso1246</t>
  </si>
  <si>
    <t>Borong</t>
  </si>
  <si>
    <t>ksr</t>
  </si>
  <si>
    <t>boro1280</t>
  </si>
  <si>
    <t>Boroi</t>
  </si>
  <si>
    <t>boro1281</t>
  </si>
  <si>
    <t>Bororoan</t>
  </si>
  <si>
    <t>boro1285</t>
  </si>
  <si>
    <t>boro1283</t>
  </si>
  <si>
    <t>Boro</t>
  </si>
  <si>
    <t>xxb</t>
  </si>
  <si>
    <t>boro1284</t>
  </si>
  <si>
    <t>Boroic</t>
  </si>
  <si>
    <t>Bororo-Otuke</t>
  </si>
  <si>
    <t>borr1242</t>
  </si>
  <si>
    <t>Bor</t>
  </si>
  <si>
    <t>boru1243</t>
  </si>
  <si>
    <t>Borujerdi</t>
  </si>
  <si>
    <t>sout2800</t>
  </si>
  <si>
    <t>Bo-Rukul</t>
  </si>
  <si>
    <t>mae</t>
  </si>
  <si>
    <t>boru1252</t>
  </si>
  <si>
    <t>west2641</t>
  </si>
  <si>
    <t>Boruca</t>
  </si>
  <si>
    <t>brn</t>
  </si>
  <si>
    <t>CR</t>
  </si>
  <si>
    <t>bosa1244</t>
  </si>
  <si>
    <t>budz1238</t>
  </si>
  <si>
    <t>Bosambi</t>
  </si>
  <si>
    <t>Bosavi</t>
  </si>
  <si>
    <t>Bosavi Watershed</t>
  </si>
  <si>
    <t>bose1237</t>
  </si>
  <si>
    <t>bose1238</t>
  </si>
  <si>
    <t>Boselewa</t>
  </si>
  <si>
    <t>bwf</t>
  </si>
  <si>
    <t>dobu1240</t>
  </si>
  <si>
    <t>Boselewa-Galeya</t>
  </si>
  <si>
    <t>bosh1240</t>
  </si>
  <si>
    <t>mach1266</t>
  </si>
  <si>
    <t>Bosho</t>
  </si>
  <si>
    <t>bosh1241</t>
  </si>
  <si>
    <t>kafa1242</t>
  </si>
  <si>
    <t>Bosha</t>
  </si>
  <si>
    <t>bosh1242</t>
  </si>
  <si>
    <t>west2608</t>
  </si>
  <si>
    <t>B≈çsh≈´</t>
  </si>
  <si>
    <t>bosh1243</t>
  </si>
  <si>
    <t>nkut1239</t>
  </si>
  <si>
    <t>Boshongo</t>
  </si>
  <si>
    <t>east2821</t>
  </si>
  <si>
    <t>Bosnian Standard</t>
  </si>
  <si>
    <t>BA HR ME RS</t>
  </si>
  <si>
    <t>bosn1246</t>
  </si>
  <si>
    <t>Bosnik</t>
  </si>
  <si>
    <t>Bosngun-Awar</t>
  </si>
  <si>
    <t>bosn1248</t>
  </si>
  <si>
    <t>Bosngun</t>
  </si>
  <si>
    <t>bqs</t>
  </si>
  <si>
    <t>boso1244</t>
  </si>
  <si>
    <t>Boso</t>
  </si>
  <si>
    <t>boss1241</t>
  </si>
  <si>
    <t>nort2770</t>
  </si>
  <si>
    <t>Bossoum</t>
  </si>
  <si>
    <t>boss1242</t>
  </si>
  <si>
    <t>gbay1287</t>
  </si>
  <si>
    <t>Bossangoa</t>
  </si>
  <si>
    <t>bost1234</t>
  </si>
  <si>
    <t>east2835</t>
  </si>
  <si>
    <t>Boston English</t>
  </si>
  <si>
    <t>bota1238</t>
  </si>
  <si>
    <t>gbar1246</t>
  </si>
  <si>
    <t>Botai</t>
  </si>
  <si>
    <t>bota1239</t>
  </si>
  <si>
    <t>east2731</t>
  </si>
  <si>
    <t>Botatwe</t>
  </si>
  <si>
    <t>botb1238</t>
  </si>
  <si>
    <t>Botbot</t>
  </si>
  <si>
    <t>bote1238</t>
  </si>
  <si>
    <t>kusw1234</t>
  </si>
  <si>
    <t>Bote-Majhi</t>
  </si>
  <si>
    <t>bmj</t>
  </si>
  <si>
    <t>bote1240</t>
  </si>
  <si>
    <t>noct1238</t>
  </si>
  <si>
    <t>Bote Naga</t>
  </si>
  <si>
    <t>boti1239</t>
  </si>
  <si>
    <t>Boti</t>
  </si>
  <si>
    <t>botl1242</t>
  </si>
  <si>
    <t>botl1243</t>
  </si>
  <si>
    <t>Botlikh</t>
  </si>
  <si>
    <t>bph</t>
  </si>
  <si>
    <t>Botlikh-Godoberi</t>
  </si>
  <si>
    <t>Botolan Sambal</t>
  </si>
  <si>
    <t>sbl</t>
  </si>
  <si>
    <t>boto1248</t>
  </si>
  <si>
    <t>zari1242</t>
  </si>
  <si>
    <t>Boto</t>
  </si>
  <si>
    <t>boto1250</t>
  </si>
  <si>
    <t>nort3230</t>
  </si>
  <si>
    <t>Botovro-Vovo-Vao</t>
  </si>
  <si>
    <t>bott1237</t>
  </si>
  <si>
    <t>ulum1237</t>
  </si>
  <si>
    <t>Botteng</t>
  </si>
  <si>
    <t>botu1238</t>
  </si>
  <si>
    <t>mbol1247</t>
  </si>
  <si>
    <t>Botunga</t>
  </si>
  <si>
    <t>botu1239</t>
  </si>
  <si>
    <t>Botun</t>
  </si>
  <si>
    <t>boue1238</t>
  </si>
  <si>
    <t>Bo√∫e</t>
  </si>
  <si>
    <t>bouf1238</t>
  </si>
  <si>
    <t>kabi1261</t>
  </si>
  <si>
    <t>Boufale</t>
  </si>
  <si>
    <t>bouk1238</t>
  </si>
  <si>
    <t>saaf1238</t>
  </si>
  <si>
    <t>Boukhou</t>
  </si>
  <si>
    <t>boul1236</t>
  </si>
  <si>
    <t>Boulonnais</t>
  </si>
  <si>
    <t>boun1242</t>
  </si>
  <si>
    <t>Bouna</t>
  </si>
  <si>
    <t>boun1243</t>
  </si>
  <si>
    <t>Bouna Kulango</t>
  </si>
  <si>
    <t>nku</t>
  </si>
  <si>
    <t>BF CI GH</t>
  </si>
  <si>
    <t>boun1244</t>
  </si>
  <si>
    <t>Bounou</t>
  </si>
  <si>
    <t>boun1245</t>
  </si>
  <si>
    <t>melp1239</t>
  </si>
  <si>
    <t>Bo-Ung</t>
  </si>
  <si>
    <t>mux</t>
  </si>
  <si>
    <t>boun1246</t>
  </si>
  <si>
    <t>lago1243</t>
  </si>
  <si>
    <t>Bouni-Bobe</t>
  </si>
  <si>
    <t>boun1247</t>
  </si>
  <si>
    <t>Bouni</t>
  </si>
  <si>
    <t>bour1246</t>
  </si>
  <si>
    <t>Bourbonnais</t>
  </si>
  <si>
    <t>bour1247</t>
  </si>
  <si>
    <t>lang1337</t>
  </si>
  <si>
    <t>Bourguignon</t>
  </si>
  <si>
    <t>bour1248</t>
  </si>
  <si>
    <t>Bouriya</t>
  </si>
  <si>
    <t>bouu1238</t>
  </si>
  <si>
    <t>Bou</t>
  </si>
  <si>
    <t>bouy1240</t>
  </si>
  <si>
    <t>nort3189</t>
  </si>
  <si>
    <t>Bouyei</t>
  </si>
  <si>
    <t>pcc</t>
  </si>
  <si>
    <t>CN VN</t>
  </si>
  <si>
    <t>bouy1241</t>
  </si>
  <si>
    <t>pouy1238</t>
  </si>
  <si>
    <t>Bouye</t>
  </si>
  <si>
    <t>bowa1234</t>
  </si>
  <si>
    <t>koro1314</t>
  </si>
  <si>
    <t>Manus Koro</t>
  </si>
  <si>
    <t>bowe1238</t>
  </si>
  <si>
    <t>nort2781</t>
  </si>
  <si>
    <t>Bowena</t>
  </si>
  <si>
    <t>boya1241</t>
  </si>
  <si>
    <t>Boyao</t>
  </si>
  <si>
    <t>boya1242</t>
  </si>
  <si>
    <t>gbay1286</t>
  </si>
  <si>
    <t>Boyali</t>
  </si>
  <si>
    <t>boye1238</t>
  </si>
  <si>
    <t>sout2647</t>
  </si>
  <si>
    <t>Boyerahmadi</t>
  </si>
  <si>
    <t>boza1238</t>
  </si>
  <si>
    <t>Bozaba</t>
  </si>
  <si>
    <t>bzo</t>
  </si>
  <si>
    <t>boze1239</t>
  </si>
  <si>
    <t>Boze-Giringarede</t>
  </si>
  <si>
    <t>boze1240</t>
  </si>
  <si>
    <t>nort3215</t>
  </si>
  <si>
    <t>Boze-Loro</t>
  </si>
  <si>
    <t>bozo1251</t>
  </si>
  <si>
    <t>Bozom</t>
  </si>
  <si>
    <t>bozo1252</t>
  </si>
  <si>
    <t>soni1257</t>
  </si>
  <si>
    <t>Bozo</t>
  </si>
  <si>
    <t>brab1243</t>
  </si>
  <si>
    <t>Brabants</t>
  </si>
  <si>
    <t>brag1240</t>
  </si>
  <si>
    <t>Bragat</t>
  </si>
  <si>
    <t>aof</t>
  </si>
  <si>
    <t>nucl1722</t>
  </si>
  <si>
    <t>Bragat-Aruop-Amol</t>
  </si>
  <si>
    <t>brah1255</t>
  </si>
  <si>
    <t>varh1239</t>
  </si>
  <si>
    <t>Brahmani</t>
  </si>
  <si>
    <t>brah1256</t>
  </si>
  <si>
    <t>nort2698</t>
  </si>
  <si>
    <t>Brahui</t>
  </si>
  <si>
    <t>brh</t>
  </si>
  <si>
    <t>AF IR PK</t>
  </si>
  <si>
    <t>Brahmaputran</t>
  </si>
  <si>
    <t>west2812</t>
  </si>
  <si>
    <t>Braj</t>
  </si>
  <si>
    <t>bra</t>
  </si>
  <si>
    <t>braj1243</t>
  </si>
  <si>
    <t>Braj Bhasha</t>
  </si>
  <si>
    <t>bran1235</t>
  </si>
  <si>
    <t>nort2627</t>
  </si>
  <si>
    <t>M√§rkisch</t>
  </si>
  <si>
    <t>bras1238</t>
  </si>
  <si>
    <t>dumi1241</t>
  </si>
  <si>
    <t>Brasmi</t>
  </si>
  <si>
    <t>braw1237</t>
  </si>
  <si>
    <t>thao1240</t>
  </si>
  <si>
    <t>Brawbaw</t>
  </si>
  <si>
    <t>braz1236</t>
  </si>
  <si>
    <t>Brazilian Sign Language</t>
  </si>
  <si>
    <t>bzs</t>
  </si>
  <si>
    <t>braz1238</t>
  </si>
  <si>
    <t>Brazilian Cal√£o</t>
  </si>
  <si>
    <t>Brazilian Portuguese</t>
  </si>
  <si>
    <t>braz1247</t>
  </si>
  <si>
    <t>macr1272</t>
  </si>
  <si>
    <t>Brazil-Portugal Portuguese</t>
  </si>
  <si>
    <t>brek1238</t>
  </si>
  <si>
    <t>kaya1316</t>
  </si>
  <si>
    <t>Brek Karen</t>
  </si>
  <si>
    <t>kvl</t>
  </si>
  <si>
    <t>brem1238</t>
  </si>
  <si>
    <t>Brem</t>
  </si>
  <si>
    <t>buq</t>
  </si>
  <si>
    <t>brer1240</t>
  </si>
  <si>
    <t>brer1241</t>
  </si>
  <si>
    <t>Breri</t>
  </si>
  <si>
    <t>brq</t>
  </si>
  <si>
    <t>Breri-Romkun</t>
  </si>
  <si>
    <t>bres1234</t>
  </si>
  <si>
    <t>high1271</t>
  </si>
  <si>
    <t>Breslauisch</t>
  </si>
  <si>
    <t>bret1244</t>
  </si>
  <si>
    <t>sout3176</t>
  </si>
  <si>
    <t>Breton</t>
  </si>
  <si>
    <t>bre</t>
  </si>
  <si>
    <t>FR</t>
  </si>
  <si>
    <t>vice1244</t>
  </si>
  <si>
    <t>Bribri</t>
  </si>
  <si>
    <t>bzd</t>
  </si>
  <si>
    <t>CR PA</t>
  </si>
  <si>
    <t>brib1244</t>
  </si>
  <si>
    <t>Bribri Sign Language</t>
  </si>
  <si>
    <t>brij1240</t>
  </si>
  <si>
    <t>Brijia</t>
  </si>
  <si>
    <t>brin1245</t>
  </si>
  <si>
    <t>Bringen</t>
  </si>
  <si>
    <t>brit1235</t>
  </si>
  <si>
    <t>British Sign Language</t>
  </si>
  <si>
    <t>bfi</t>
  </si>
  <si>
    <t>GB</t>
  </si>
  <si>
    <t>brit1243</t>
  </si>
  <si>
    <t>jama1262</t>
  </si>
  <si>
    <t>British Creole</t>
  </si>
  <si>
    <t>brok1247</t>
  </si>
  <si>
    <t>shin1270</t>
  </si>
  <si>
    <t>Brokskat</t>
  </si>
  <si>
    <t>bkk</t>
  </si>
  <si>
    <t>brok1248</t>
  </si>
  <si>
    <t>sout3217</t>
  </si>
  <si>
    <t>Brokpake</t>
  </si>
  <si>
    <t>sgt</t>
  </si>
  <si>
    <t>BT IN</t>
  </si>
  <si>
    <t>brok1249</t>
  </si>
  <si>
    <t>Dur Brokkat</t>
  </si>
  <si>
    <t>bro</t>
  </si>
  <si>
    <t>brok1250</t>
  </si>
  <si>
    <t>slav1256</t>
  </si>
  <si>
    <t>Broken Slavey</t>
  </si>
  <si>
    <t>brok1252</t>
  </si>
  <si>
    <t>otta1243</t>
  </si>
  <si>
    <t>Broken Oghibbeway</t>
  </si>
  <si>
    <t>broo1238</t>
  </si>
  <si>
    <t>mala1547</t>
  </si>
  <si>
    <t>Broome Pearling Lugger Pidgin</t>
  </si>
  <si>
    <t>bpl</t>
  </si>
  <si>
    <t>broo1239</t>
  </si>
  <si>
    <t>broo1240</t>
  </si>
  <si>
    <t>Brooke's Point Palawano</t>
  </si>
  <si>
    <t>plw</t>
  </si>
  <si>
    <t>nucl1738</t>
  </si>
  <si>
    <t>Brooke-Canipaan Palawan</t>
  </si>
  <si>
    <t>brou1236</t>
  </si>
  <si>
    <t>west1492</t>
  </si>
  <si>
    <t>Brou-So</t>
  </si>
  <si>
    <t>brud1238</t>
  </si>
  <si>
    <t>east2332</t>
  </si>
  <si>
    <t>Bru Dong Sen Keo</t>
  </si>
  <si>
    <t>brui1237</t>
  </si>
  <si>
    <t>Bruit</t>
  </si>
  <si>
    <t>bruk1238</t>
  </si>
  <si>
    <t>Bru Kok Sa-At</t>
  </si>
  <si>
    <t>brul1239</t>
  </si>
  <si>
    <t>Brul√©</t>
  </si>
  <si>
    <t>brun1235</t>
  </si>
  <si>
    <t>sout1293</t>
  </si>
  <si>
    <t>Bruny Island</t>
  </si>
  <si>
    <t>brun1242</t>
  </si>
  <si>
    <t>Brunei</t>
  </si>
  <si>
    <t>kxd</t>
  </si>
  <si>
    <t>brun1243</t>
  </si>
  <si>
    <t>Brunei Malay</t>
  </si>
  <si>
    <t>brun1244</t>
  </si>
  <si>
    <t>Brung</t>
  </si>
  <si>
    <t>brun1245</t>
  </si>
  <si>
    <t>Brunei Bisaya</t>
  </si>
  <si>
    <t>bsb</t>
  </si>
  <si>
    <t>Brunei-Bacan Malay</t>
  </si>
  <si>
    <t>brun1247</t>
  </si>
  <si>
    <t>Brunca Sign Language</t>
  </si>
  <si>
    <t>bryt1239</t>
  </si>
  <si>
    <t>insu1254</t>
  </si>
  <si>
    <t>Brythonic</t>
  </si>
  <si>
    <t>BSLic</t>
  </si>
  <si>
    <t>buaa1245</t>
  </si>
  <si>
    <t>buai1235</t>
  </si>
  <si>
    <t>Bua</t>
  </si>
  <si>
    <t>bub</t>
  </si>
  <si>
    <t>buaa1246</t>
  </si>
  <si>
    <t>taee1237</t>
  </si>
  <si>
    <t>Bua (Indonesia)</t>
  </si>
  <si>
    <t>buag1237</t>
  </si>
  <si>
    <t>Buaga</t>
  </si>
  <si>
    <t>bual1236</t>
  </si>
  <si>
    <t>Buaic</t>
  </si>
  <si>
    <t>nort3149</t>
  </si>
  <si>
    <t>Bua-Kim-Day</t>
  </si>
  <si>
    <t>bual1235</t>
  </si>
  <si>
    <t>Bualkhaw Chin</t>
  </si>
  <si>
    <t>cbl</t>
  </si>
  <si>
    <t>buan1246</t>
  </si>
  <si>
    <t>Bua-Lua</t>
  </si>
  <si>
    <t>buam1238</t>
  </si>
  <si>
    <t>nucl1742</t>
  </si>
  <si>
    <t>Buamu</t>
  </si>
  <si>
    <t>box</t>
  </si>
  <si>
    <t>buan1245</t>
  </si>
  <si>
    <t>sout2878</t>
  </si>
  <si>
    <t>Buang linkage</t>
  </si>
  <si>
    <t>Tun-Bua-Lua</t>
  </si>
  <si>
    <t>buba1239</t>
  </si>
  <si>
    <t>Bubanda</t>
  </si>
  <si>
    <t>bube1242</t>
  </si>
  <si>
    <t>Bube</t>
  </si>
  <si>
    <t>bvb</t>
  </si>
  <si>
    <t>GQ</t>
  </si>
  <si>
    <t>bubi1239</t>
  </si>
  <si>
    <t>kele1257</t>
  </si>
  <si>
    <t>Bubi (Kele)</t>
  </si>
  <si>
    <t>bubi1249</t>
  </si>
  <si>
    <t>Bubia</t>
  </si>
  <si>
    <t>bbx</t>
  </si>
  <si>
    <t>bubi1250</t>
  </si>
  <si>
    <t>sout3191</t>
  </si>
  <si>
    <t>Bubi</t>
  </si>
  <si>
    <t>buw</t>
  </si>
  <si>
    <t>bubi1251</t>
  </si>
  <si>
    <t>cita1245</t>
  </si>
  <si>
    <t>Bubis</t>
  </si>
  <si>
    <t>buch1237</t>
  </si>
  <si>
    <t>kheh1237</t>
  </si>
  <si>
    <t>Bucho</t>
  </si>
  <si>
    <t>buda1244</t>
  </si>
  <si>
    <t>hung1263</t>
  </si>
  <si>
    <t>Budapest</t>
  </si>
  <si>
    <t>buda1251</t>
  </si>
  <si>
    <t>Bu Dang</t>
  </si>
  <si>
    <t>buda1252</t>
  </si>
  <si>
    <t>Budai</t>
  </si>
  <si>
    <t>budd1234</t>
  </si>
  <si>
    <t>pali1273</t>
  </si>
  <si>
    <t>Buddhist Hybrid Sanskrit</t>
  </si>
  <si>
    <t>bude1236</t>
  </si>
  <si>
    <t>stie1250</t>
  </si>
  <si>
    <t>Budeh Stieng</t>
  </si>
  <si>
    <t>stt</t>
  </si>
  <si>
    <t>KH VN</t>
  </si>
  <si>
    <t>budi1247</t>
  </si>
  <si>
    <t>bulo1242</t>
  </si>
  <si>
    <t>Budip</t>
  </si>
  <si>
    <t>budi1248</t>
  </si>
  <si>
    <t>gban1260</t>
  </si>
  <si>
    <t>Budigri</t>
  </si>
  <si>
    <t>budi1249</t>
  </si>
  <si>
    <t>kili1266</t>
  </si>
  <si>
    <t>Budibud</t>
  </si>
  <si>
    <t>btp</t>
  </si>
  <si>
    <t>budj1234</t>
  </si>
  <si>
    <t>unun9926</t>
  </si>
  <si>
    <t>Budja (C.37)</t>
  </si>
  <si>
    <t>budo1240</t>
  </si>
  <si>
    <t>kaka1264</t>
  </si>
  <si>
    <t>Budon Kakanda</t>
  </si>
  <si>
    <t>budo1241</t>
  </si>
  <si>
    <t>pana1302</t>
  </si>
  <si>
    <t>Budong-Budong</t>
  </si>
  <si>
    <t>bdx</t>
  </si>
  <si>
    <t>budu1248</t>
  </si>
  <si>
    <t>sout2753</t>
  </si>
  <si>
    <t>Budukh</t>
  </si>
  <si>
    <t>bdk</t>
  </si>
  <si>
    <t>budu1249</t>
  </si>
  <si>
    <t>Budukhi</t>
  </si>
  <si>
    <t>Budu</t>
  </si>
  <si>
    <t>buu</t>
  </si>
  <si>
    <t>budu1264</t>
  </si>
  <si>
    <t>Budugum</t>
  </si>
  <si>
    <t>budu1265</t>
  </si>
  <si>
    <t>koto1267</t>
  </si>
  <si>
    <t>Buduma</t>
  </si>
  <si>
    <t>bdm</t>
  </si>
  <si>
    <t>CM NG TD</t>
  </si>
  <si>
    <t>budy1238</t>
  </si>
  <si>
    <t>kore1281</t>
  </si>
  <si>
    <t>Budya</t>
  </si>
  <si>
    <t>Budza</t>
  </si>
  <si>
    <t>bja</t>
  </si>
  <si>
    <t>buen1244</t>
  </si>
  <si>
    <t>gene1243</t>
  </si>
  <si>
    <t>Buena Vista Yokuts</t>
  </si>
  <si>
    <t>buen1245</t>
  </si>
  <si>
    <t>taba1266</t>
  </si>
  <si>
    <t>Buena Vista Chontal</t>
  </si>
  <si>
    <t>buen1246</t>
  </si>
  <si>
    <t>Bueng</t>
  </si>
  <si>
    <t>bufe1238</t>
  </si>
  <si>
    <t>Bufe</t>
  </si>
  <si>
    <t>bufu1238</t>
  </si>
  <si>
    <t>Bufumbwa</t>
  </si>
  <si>
    <t>buga1247</t>
  </si>
  <si>
    <t>Bugan</t>
  </si>
  <si>
    <t>bbh</t>
  </si>
  <si>
    <t>buga1248</t>
  </si>
  <si>
    <t>Buga-Kxoe</t>
  </si>
  <si>
    <t>buga1249</t>
  </si>
  <si>
    <t>Bugau</t>
  </si>
  <si>
    <t>buga1250</t>
  </si>
  <si>
    <t>nort2858</t>
  </si>
  <si>
    <t>Bugawac</t>
  </si>
  <si>
    <t>buk</t>
  </si>
  <si>
    <t>buga1251</t>
  </si>
  <si>
    <t>Bugan (Retired)</t>
  </si>
  <si>
    <t>bgh</t>
  </si>
  <si>
    <t>buge1238</t>
  </si>
  <si>
    <t>Buge</t>
  </si>
  <si>
    <t>bugh1239</t>
  </si>
  <si>
    <t>ngge1240</t>
  </si>
  <si>
    <t>Bughotu</t>
  </si>
  <si>
    <t>bgt</t>
  </si>
  <si>
    <t>bugi1243</t>
  </si>
  <si>
    <t>sout2923</t>
  </si>
  <si>
    <t>Tamanic-Bugis</t>
  </si>
  <si>
    <t>bugi1245</t>
  </si>
  <si>
    <t>Buginese</t>
  </si>
  <si>
    <t>bug</t>
  </si>
  <si>
    <t>Bugis</t>
  </si>
  <si>
    <t>bugl1238</t>
  </si>
  <si>
    <t>Buglial</t>
  </si>
  <si>
    <t>guay1266</t>
  </si>
  <si>
    <t>Buglere</t>
  </si>
  <si>
    <t>sab</t>
  </si>
  <si>
    <t>PA</t>
  </si>
  <si>
    <t>bugo1238</t>
  </si>
  <si>
    <t>Bugombe</t>
  </si>
  <si>
    <t>bugu1245</t>
  </si>
  <si>
    <t>chay1250</t>
  </si>
  <si>
    <t>Chayangtajo</t>
  </si>
  <si>
    <t>kame1250</t>
  </si>
  <si>
    <t>Bugun</t>
  </si>
  <si>
    <t>bgg</t>
  </si>
  <si>
    <t>bugu1247</t>
  </si>
  <si>
    <t>kuri1259</t>
  </si>
  <si>
    <t>Bugumbe</t>
  </si>
  <si>
    <t>bugu1248</t>
  </si>
  <si>
    <t>Bugudum</t>
  </si>
  <si>
    <t>bugu1249</t>
  </si>
  <si>
    <t>tinn1238</t>
  </si>
  <si>
    <t>Bugurd≈æi</t>
  </si>
  <si>
    <t>buha1234</t>
  </si>
  <si>
    <t>Buhar</t>
  </si>
  <si>
    <t>buhi1243</t>
  </si>
  <si>
    <t>Buhi</t>
  </si>
  <si>
    <t>ubl</t>
  </si>
  <si>
    <t>sout2915</t>
  </si>
  <si>
    <t>Buhid-Taubuid</t>
  </si>
  <si>
    <t>buhi1245</t>
  </si>
  <si>
    <t>Buhid</t>
  </si>
  <si>
    <t>bku</t>
  </si>
  <si>
    <t>buhu1237</t>
  </si>
  <si>
    <t>Buhutu</t>
  </si>
  <si>
    <t>bxh</t>
  </si>
  <si>
    <t>buin1246</t>
  </si>
  <si>
    <t>kumy1244</t>
  </si>
  <si>
    <t>Buinaksk</t>
  </si>
  <si>
    <t>buin1247</t>
  </si>
  <si>
    <t>Buin</t>
  </si>
  <si>
    <t>bujh1238</t>
  </si>
  <si>
    <t>chep1244</t>
  </si>
  <si>
    <t>Bujhyal</t>
  </si>
  <si>
    <t>byh</t>
  </si>
  <si>
    <t>buji1242</t>
  </si>
  <si>
    <t>jere1244</t>
  </si>
  <si>
    <t>Buji</t>
  </si>
  <si>
    <t>buji1243</t>
  </si>
  <si>
    <t>sang1329</t>
  </si>
  <si>
    <t>Bujiyel</t>
  </si>
  <si>
    <t>buka1254</t>
  </si>
  <si>
    <t>Buka (Banda-Mbres)</t>
  </si>
  <si>
    <t>buka1255</t>
  </si>
  <si>
    <t>Bukala</t>
  </si>
  <si>
    <t>buka1257</t>
  </si>
  <si>
    <t>sado1238</t>
  </si>
  <si>
    <t>Bukar-Sadung Bidayuh</t>
  </si>
  <si>
    <t>sdo</t>
  </si>
  <si>
    <t>buka1258</t>
  </si>
  <si>
    <t>Bukar Bidayuh</t>
  </si>
  <si>
    <t>buka1259</t>
  </si>
  <si>
    <t>Bukar Sadong</t>
  </si>
  <si>
    <t>buka1260</t>
  </si>
  <si>
    <t>Bukau</t>
  </si>
  <si>
    <t>buka1261</t>
  </si>
  <si>
    <t>buka1263</t>
  </si>
  <si>
    <t>Bukat</t>
  </si>
  <si>
    <t>bvk</t>
  </si>
  <si>
    <t>buka1262</t>
  </si>
  <si>
    <t>nucl1750</t>
  </si>
  <si>
    <t>Buka</t>
  </si>
  <si>
    <t>Bukat-Ukit-Beketan-Lugat-Lisum</t>
  </si>
  <si>
    <t>taji1250</t>
  </si>
  <si>
    <t>Bukharic</t>
  </si>
  <si>
    <t>UZ</t>
  </si>
  <si>
    <t>buki1246</t>
  </si>
  <si>
    <t>Bukira</t>
  </si>
  <si>
    <t>buki1247</t>
  </si>
  <si>
    <t>Bukit Malay</t>
  </si>
  <si>
    <t>bvu</t>
  </si>
  <si>
    <t>buki1248</t>
  </si>
  <si>
    <t>Bukitan</t>
  </si>
  <si>
    <t>bkn</t>
  </si>
  <si>
    <t>buki1249</t>
  </si>
  <si>
    <t>Bukiyip</t>
  </si>
  <si>
    <t>ape</t>
  </si>
  <si>
    <t>mufi1239</t>
  </si>
  <si>
    <t>Bukiyip-Abu</t>
  </si>
  <si>
    <t>kina1254</t>
  </si>
  <si>
    <t>Bukidnon</t>
  </si>
  <si>
    <t>bukp1238</t>
  </si>
  <si>
    <t>pait1244</t>
  </si>
  <si>
    <t>Bukpi</t>
  </si>
  <si>
    <t>buks1238</t>
  </si>
  <si>
    <t>unun9886</t>
  </si>
  <si>
    <t>Buksa</t>
  </si>
  <si>
    <t>tkb</t>
  </si>
  <si>
    <t>buku1248</t>
  </si>
  <si>
    <t>Bukur</t>
  </si>
  <si>
    <t>buku1249</t>
  </si>
  <si>
    <t>buku1251</t>
  </si>
  <si>
    <t>Bukusu</t>
  </si>
  <si>
    <t>bxk</t>
  </si>
  <si>
    <t>buku1250</t>
  </si>
  <si>
    <t>camp1262</t>
  </si>
  <si>
    <t>Buku</t>
  </si>
  <si>
    <t>saam1284</t>
  </si>
  <si>
    <t>Bukusuic</t>
  </si>
  <si>
    <t>bukw1238</t>
  </si>
  <si>
    <t>naki1240</t>
  </si>
  <si>
    <t>Bukwen</t>
  </si>
  <si>
    <t>buz</t>
  </si>
  <si>
    <t>bula1254</t>
  </si>
  <si>
    <t>Bulagat</t>
  </si>
  <si>
    <t>bula1255</t>
  </si>
  <si>
    <t>thaw1238</t>
  </si>
  <si>
    <t>Bularnu</t>
  </si>
  <si>
    <t>bula1256</t>
  </si>
  <si>
    <t>Bulalakaw</t>
  </si>
  <si>
    <t>bula1257</t>
  </si>
  <si>
    <t>Bulacan</t>
  </si>
  <si>
    <t>bula1259</t>
  </si>
  <si>
    <t>Bulaka River</t>
  </si>
  <si>
    <t>waic1245</t>
  </si>
  <si>
    <t>Bulangic</t>
  </si>
  <si>
    <t>buld1238</t>
  </si>
  <si>
    <t>opuu1239</t>
  </si>
  <si>
    <t>Buldit</t>
  </si>
  <si>
    <t>bule1241</t>
  </si>
  <si>
    <t>ruch1235</t>
  </si>
  <si>
    <t>Bulei</t>
  </si>
  <si>
    <t>bule1242</t>
  </si>
  <si>
    <t>wali1263</t>
  </si>
  <si>
    <t>'Bulengee</t>
  </si>
  <si>
    <t>bulg1240</t>
  </si>
  <si>
    <t>cent2306</t>
  </si>
  <si>
    <t>Bulgarian Sign Language</t>
  </si>
  <si>
    <t>bqn</t>
  </si>
  <si>
    <t>BG</t>
  </si>
  <si>
    <t>mace1252</t>
  </si>
  <si>
    <t>Bulgarian</t>
  </si>
  <si>
    <t>BG GR MD MK RO RS TR UA</t>
  </si>
  <si>
    <t>bulg1263</t>
  </si>
  <si>
    <t>gaga1249</t>
  </si>
  <si>
    <t>Bulgar Gagauz</t>
  </si>
  <si>
    <t>bulg1264</t>
  </si>
  <si>
    <t>Bulgai</t>
  </si>
  <si>
    <t>bulg1265</t>
  </si>
  <si>
    <t>uncl1512</t>
  </si>
  <si>
    <t>Bulgebi</t>
  </si>
  <si>
    <t>bmp</t>
  </si>
  <si>
    <t>buli1253</t>
  </si>
  <si>
    <t>otiv1239</t>
  </si>
  <si>
    <t>Buli-Koma</t>
  </si>
  <si>
    <t>buli1254</t>
  </si>
  <si>
    <t>Buli (Ghana)</t>
  </si>
  <si>
    <t>bwu</t>
  </si>
  <si>
    <t>buli1255</t>
  </si>
  <si>
    <t>cent2270</t>
  </si>
  <si>
    <t>Buli (Indonesia)</t>
  </si>
  <si>
    <t>bzq</t>
  </si>
  <si>
    <t>buli1256</t>
  </si>
  <si>
    <t>Buli</t>
  </si>
  <si>
    <t>buli1260</t>
  </si>
  <si>
    <t>Buli (Polci)</t>
  </si>
  <si>
    <t>bull1245</t>
  </si>
  <si>
    <t>mela1257</t>
  </si>
  <si>
    <t>Southern Mel</t>
  </si>
  <si>
    <t>bull1246</t>
  </si>
  <si>
    <t>Bullom</t>
  </si>
  <si>
    <t>bull1247</t>
  </si>
  <si>
    <t>Bullom So</t>
  </si>
  <si>
    <t>buy</t>
  </si>
  <si>
    <t>GN SL</t>
  </si>
  <si>
    <t>bull1248</t>
  </si>
  <si>
    <t>dizo1235</t>
  </si>
  <si>
    <t>shek1245</t>
  </si>
  <si>
    <t>Bulla</t>
  </si>
  <si>
    <t>Bulo Stieng</t>
  </si>
  <si>
    <t>sti</t>
  </si>
  <si>
    <t>bulo1243</t>
  </si>
  <si>
    <t>Bulo</t>
  </si>
  <si>
    <t>bulo1244</t>
  </si>
  <si>
    <t>pann1239</t>
  </si>
  <si>
    <t>Bulo (Indonesia)</t>
  </si>
  <si>
    <t>bulu1250</t>
  </si>
  <si>
    <t>Buluf</t>
  </si>
  <si>
    <t>yaun1239</t>
  </si>
  <si>
    <t>Bulu (Cameroon)</t>
  </si>
  <si>
    <t>CM GA GQ</t>
  </si>
  <si>
    <t>bulu1252</t>
  </si>
  <si>
    <t>loma1260</t>
  </si>
  <si>
    <t>Buluyiema</t>
  </si>
  <si>
    <t>bulu1253</t>
  </si>
  <si>
    <t>Bulu (Papua New Guinea)</t>
  </si>
  <si>
    <t>bjl</t>
  </si>
  <si>
    <t>bulu1254</t>
  </si>
  <si>
    <t>Bulungan</t>
  </si>
  <si>
    <t>west2873</t>
  </si>
  <si>
    <t>Bulu</t>
  </si>
  <si>
    <t>buma1244</t>
  </si>
  <si>
    <t>Bumaji</t>
  </si>
  <si>
    <t>byp</t>
  </si>
  <si>
    <t>buma1245</t>
  </si>
  <si>
    <t>Buma-Kxoe</t>
  </si>
  <si>
    <t>buma1246</t>
  </si>
  <si>
    <t>Bumal</t>
  </si>
  <si>
    <t>buma1247</t>
  </si>
  <si>
    <t>Bumang</t>
  </si>
  <si>
    <t>bvp</t>
  </si>
  <si>
    <t>bumb1240</t>
  </si>
  <si>
    <t>Bumbira</t>
  </si>
  <si>
    <t>Bumbita Arapesh</t>
  </si>
  <si>
    <t>aon</t>
  </si>
  <si>
    <t>bumd1238</t>
  </si>
  <si>
    <t>Bumdemba</t>
  </si>
  <si>
    <t>bumm1238</t>
  </si>
  <si>
    <t>Bum</t>
  </si>
  <si>
    <t>bmv</t>
  </si>
  <si>
    <t>bumo1235</t>
  </si>
  <si>
    <t>Bumo</t>
  </si>
  <si>
    <t>bumt1238</t>
  </si>
  <si>
    <t>chal1266</t>
  </si>
  <si>
    <t>Bumthangic</t>
  </si>
  <si>
    <t>bumt1240</t>
  </si>
  <si>
    <t>Bumthangkha</t>
  </si>
  <si>
    <t>kjz</t>
  </si>
  <si>
    <t>BT CN</t>
  </si>
  <si>
    <t>bumw1238</t>
  </si>
  <si>
    <t>luse1252</t>
  </si>
  <si>
    <t>Bumwangi</t>
  </si>
  <si>
    <t>buna1272</t>
  </si>
  <si>
    <t>Bu Nar</t>
  </si>
  <si>
    <t>buna1273</t>
  </si>
  <si>
    <t>west2803</t>
  </si>
  <si>
    <t>Bu-Nao Bunu</t>
  </si>
  <si>
    <t>bwx</t>
  </si>
  <si>
    <t>buna1274</t>
  </si>
  <si>
    <t>Bunaban</t>
  </si>
  <si>
    <t>buna1275</t>
  </si>
  <si>
    <t>Bunaba</t>
  </si>
  <si>
    <t>bck</t>
  </si>
  <si>
    <t>buna1279</t>
  </si>
  <si>
    <t>Bunama</t>
  </si>
  <si>
    <t>bdd</t>
  </si>
  <si>
    <t>buna1277</t>
  </si>
  <si>
    <t>mari1433</t>
  </si>
  <si>
    <t>Buna</t>
  </si>
  <si>
    <t>bvn</t>
  </si>
  <si>
    <t>buna1278</t>
  </si>
  <si>
    <t>east2519</t>
  </si>
  <si>
    <t>Bunak</t>
  </si>
  <si>
    <t>bfn</t>
  </si>
  <si>
    <t>Bunama-Mwatebu</t>
  </si>
  <si>
    <t>Bundeli-Bharia</t>
  </si>
  <si>
    <t>Bundeli</t>
  </si>
  <si>
    <t>bns</t>
  </si>
  <si>
    <t>bund1254</t>
  </si>
  <si>
    <t>tuki1240</t>
  </si>
  <si>
    <t>Bundum</t>
  </si>
  <si>
    <t>bund1255</t>
  </si>
  <si>
    <t>Bunde</t>
  </si>
  <si>
    <t>bund1256</t>
  </si>
  <si>
    <t>suwa1241</t>
  </si>
  <si>
    <t>Bunda</t>
  </si>
  <si>
    <t>bund1257</t>
  </si>
  <si>
    <t>Bundu</t>
  </si>
  <si>
    <t>bund1258</t>
  </si>
  <si>
    <t>sawo1235</t>
  </si>
  <si>
    <t>Burui-Gaikundi</t>
  </si>
  <si>
    <t>bung1259</t>
  </si>
  <si>
    <t>konj1252</t>
  </si>
  <si>
    <t>Bung</t>
  </si>
  <si>
    <t>bqd</t>
  </si>
  <si>
    <t>bung1263</t>
  </si>
  <si>
    <t>saam1282</t>
  </si>
  <si>
    <t>Bungla</t>
  </si>
  <si>
    <t>bung1264</t>
  </si>
  <si>
    <t>warr1256</t>
  </si>
  <si>
    <t>Bunganditj</t>
  </si>
  <si>
    <t>xbg</t>
  </si>
  <si>
    <t>bung1265</t>
  </si>
  <si>
    <t>mwik1240</t>
  </si>
  <si>
    <t>Bungu</t>
  </si>
  <si>
    <t>wun</t>
  </si>
  <si>
    <t>bung1266</t>
  </si>
  <si>
    <t>Bungo</t>
  </si>
  <si>
    <t>bung1267</t>
  </si>
  <si>
    <t>Bungase</t>
  </si>
  <si>
    <t>bung1268</t>
  </si>
  <si>
    <t>sout2928</t>
  </si>
  <si>
    <t>Bungku-Tolaki</t>
  </si>
  <si>
    <t>bung1269</t>
  </si>
  <si>
    <t>Bungku</t>
  </si>
  <si>
    <t>bkz</t>
  </si>
  <si>
    <t>bung1270</t>
  </si>
  <si>
    <t>Bungain</t>
  </si>
  <si>
    <t>but</t>
  </si>
  <si>
    <t>buni1245</t>
  </si>
  <si>
    <t>nama1268</t>
  </si>
  <si>
    <t>Buninga (Namakura)</t>
  </si>
  <si>
    <t>buni1246</t>
  </si>
  <si>
    <t>nort2836</t>
  </si>
  <si>
    <t>Buninga</t>
  </si>
  <si>
    <t>buni1247</t>
  </si>
  <si>
    <t>Buniabura</t>
  </si>
  <si>
    <t>bunj1244</t>
  </si>
  <si>
    <t>Bunjwali</t>
  </si>
  <si>
    <t>bunj1245</t>
  </si>
  <si>
    <t>Bunji</t>
  </si>
  <si>
    <t>bunj1246</t>
  </si>
  <si>
    <t>Bunji (Atlantic-Congo)</t>
  </si>
  <si>
    <t>bunj1247</t>
  </si>
  <si>
    <t>news1236</t>
  </si>
  <si>
    <t>Bunjevac</t>
  </si>
  <si>
    <t>miya1267</t>
  </si>
  <si>
    <t>Bun-Mundukumo</t>
  </si>
  <si>
    <t>bunn1240</t>
  </si>
  <si>
    <t>Bun</t>
  </si>
  <si>
    <t>buv</t>
  </si>
  <si>
    <t>buno1240</t>
  </si>
  <si>
    <t>sout2692</t>
  </si>
  <si>
    <t>Bunong</t>
  </si>
  <si>
    <t>buno1241</t>
  </si>
  <si>
    <t>Bunoge Dogon</t>
  </si>
  <si>
    <t>dgb</t>
  </si>
  <si>
    <t>bunu1265</t>
  </si>
  <si>
    <t>Bunuo</t>
  </si>
  <si>
    <t>bunu1266</t>
  </si>
  <si>
    <t>Bunu</t>
  </si>
  <si>
    <t>buol1237</t>
  </si>
  <si>
    <t>Buol</t>
  </si>
  <si>
    <t>blf</t>
  </si>
  <si>
    <t>bura1267</t>
  </si>
  <si>
    <t>mani1293</t>
  </si>
  <si>
    <t>bure1238</t>
  </si>
  <si>
    <t>Burarra</t>
  </si>
  <si>
    <t>bvr</t>
  </si>
  <si>
    <t>bura1268</t>
  </si>
  <si>
    <t>mank1251</t>
  </si>
  <si>
    <t>Burama</t>
  </si>
  <si>
    <t>bura1269</t>
  </si>
  <si>
    <t>Buraka</t>
  </si>
  <si>
    <t>bkg</t>
  </si>
  <si>
    <t>bura1270</t>
  </si>
  <si>
    <t>Burak-Loo</t>
  </si>
  <si>
    <t>bura1271</t>
  </si>
  <si>
    <t>Burak</t>
  </si>
  <si>
    <t>bys</t>
  </si>
  <si>
    <t>bura1272</t>
  </si>
  <si>
    <t>tait1250</t>
  </si>
  <si>
    <t>Bura</t>
  </si>
  <si>
    <t>bura1273</t>
  </si>
  <si>
    <t>nort3277</t>
  </si>
  <si>
    <t>Buraadiiga</t>
  </si>
  <si>
    <t>bura1274</t>
  </si>
  <si>
    <t>wabu1242</t>
  </si>
  <si>
    <t>Burangasi</t>
  </si>
  <si>
    <t>bura1276</t>
  </si>
  <si>
    <t>bura1294</t>
  </si>
  <si>
    <t>Burate</t>
  </si>
  <si>
    <t>bti</t>
  </si>
  <si>
    <t>bura1292</t>
  </si>
  <si>
    <t>bura1297</t>
  </si>
  <si>
    <t>Bura-Pabir</t>
  </si>
  <si>
    <t>bwr</t>
  </si>
  <si>
    <t>bura1293</t>
  </si>
  <si>
    <t>tera1251</t>
  </si>
  <si>
    <t>Bura Kokura</t>
  </si>
  <si>
    <t>Burate-Wate</t>
  </si>
  <si>
    <t>bura1295</t>
  </si>
  <si>
    <t>Bura Sign Language</t>
  </si>
  <si>
    <t>marg1267</t>
  </si>
  <si>
    <t>Bura-Marghi</t>
  </si>
  <si>
    <t>Buraic</t>
  </si>
  <si>
    <t>Buram-Saraf</t>
  </si>
  <si>
    <t>burd1238</t>
  </si>
  <si>
    <t>thal1243</t>
  </si>
  <si>
    <t>Burduna</t>
  </si>
  <si>
    <t>bxn</t>
  </si>
  <si>
    <t>burd1239</t>
  </si>
  <si>
    <t>Burdur</t>
  </si>
  <si>
    <t>bure1237</t>
  </si>
  <si>
    <t>Burera-Nakara</t>
  </si>
  <si>
    <t>Bureran</t>
  </si>
  <si>
    <t>bure1242</t>
  </si>
  <si>
    <t>unun9876</t>
  </si>
  <si>
    <t>Bure</t>
  </si>
  <si>
    <t>bvh</t>
  </si>
  <si>
    <t>burg1244</t>
  </si>
  <si>
    <t>chak1265</t>
  </si>
  <si>
    <t>Burgenland Croatian</t>
  </si>
  <si>
    <t>burg1245</t>
  </si>
  <si>
    <t>Burgandi</t>
  </si>
  <si>
    <t>burg1246</t>
  </si>
  <si>
    <t>vend1247</t>
  </si>
  <si>
    <t>Burgenland Romani</t>
  </si>
  <si>
    <t>buri1257</t>
  </si>
  <si>
    <t>nort2684</t>
  </si>
  <si>
    <t>Buriram</t>
  </si>
  <si>
    <t>khal1273</t>
  </si>
  <si>
    <t>Buriat</t>
  </si>
  <si>
    <t>bua</t>
  </si>
  <si>
    <t>burj1242</t>
  </si>
  <si>
    <t>high1285</t>
  </si>
  <si>
    <t>Burji</t>
  </si>
  <si>
    <t>bji</t>
  </si>
  <si>
    <t>ET KE</t>
  </si>
  <si>
    <t>burk1234</t>
  </si>
  <si>
    <t>Burkina Faso Sign Language</t>
  </si>
  <si>
    <t>burm1258</t>
  </si>
  <si>
    <t>Burma Tamil</t>
  </si>
  <si>
    <t>burm1262</t>
  </si>
  <si>
    <t>uncl1508</t>
  </si>
  <si>
    <t>Burma Pyu</t>
  </si>
  <si>
    <t>pyx</t>
  </si>
  <si>
    <t>burm1263</t>
  </si>
  <si>
    <t>Burmbar</t>
  </si>
  <si>
    <t>vrt</t>
  </si>
  <si>
    <t>burm1264</t>
  </si>
  <si>
    <t>Burmeso</t>
  </si>
  <si>
    <t>bzu</t>
  </si>
  <si>
    <t>burm1265</t>
  </si>
  <si>
    <t>Burmo-Qiangic</t>
  </si>
  <si>
    <t>burm1266</t>
  </si>
  <si>
    <t>lolo1265</t>
  </si>
  <si>
    <t>Burmish</t>
  </si>
  <si>
    <t>burn1237</t>
  </si>
  <si>
    <t>Burnay Ifugao</t>
  </si>
  <si>
    <t>buru1295</t>
  </si>
  <si>
    <t>Bu Rung</t>
  </si>
  <si>
    <t>Burushaski</t>
  </si>
  <si>
    <t>buru1297</t>
  </si>
  <si>
    <t>Buru (Banda-Banda)</t>
  </si>
  <si>
    <t>buru1298</t>
  </si>
  <si>
    <t>Buru</t>
  </si>
  <si>
    <t>buru1299</t>
  </si>
  <si>
    <t>Buru (Nigeria)</t>
  </si>
  <si>
    <t>bqw</t>
  </si>
  <si>
    <t>buru1300</t>
  </si>
  <si>
    <t>Burulo</t>
  </si>
  <si>
    <t>luob1235</t>
  </si>
  <si>
    <t>Burun</t>
  </si>
  <si>
    <t>bdi</t>
  </si>
  <si>
    <t>buru1303</t>
  </si>
  <si>
    <t>buru1322</t>
  </si>
  <si>
    <t>Buru (Indonesia)</t>
  </si>
  <si>
    <t>mhs</t>
  </si>
  <si>
    <t>buru1304</t>
  </si>
  <si>
    <t>tidu1238</t>
  </si>
  <si>
    <t>Burusu</t>
  </si>
  <si>
    <t>bqr</t>
  </si>
  <si>
    <t>buru1305</t>
  </si>
  <si>
    <t>gula1271</t>
  </si>
  <si>
    <t>Burukene</t>
  </si>
  <si>
    <t>buru1306</t>
  </si>
  <si>
    <t>Burum-Mindik</t>
  </si>
  <si>
    <t>bmu</t>
  </si>
  <si>
    <t>buru1307</t>
  </si>
  <si>
    <t>kwer1267</t>
  </si>
  <si>
    <t>Burumakok</t>
  </si>
  <si>
    <t>aip</t>
  </si>
  <si>
    <t>buru1308</t>
  </si>
  <si>
    <t>saba1280</t>
  </si>
  <si>
    <t>Buruwai</t>
  </si>
  <si>
    <t>asi</t>
  </si>
  <si>
    <t>buru1309</t>
  </si>
  <si>
    <t>Burui</t>
  </si>
  <si>
    <t>bry</t>
  </si>
  <si>
    <t>buru1318</t>
  </si>
  <si>
    <t>kimr1241</t>
  </si>
  <si>
    <t>Buruwa</t>
  </si>
  <si>
    <t>buru1320</t>
  </si>
  <si>
    <t>west2720</t>
  </si>
  <si>
    <t>Burunge</t>
  </si>
  <si>
    <t>bds</t>
  </si>
  <si>
    <t>buru1321</t>
  </si>
  <si>
    <t>Buru-Sula-Taliabo</t>
  </si>
  <si>
    <t>sula1247</t>
  </si>
  <si>
    <t>Buruic</t>
  </si>
  <si>
    <t>buru1323</t>
  </si>
  <si>
    <t>Burundi Pidgin French</t>
  </si>
  <si>
    <t>BI</t>
  </si>
  <si>
    <t>burz1239</t>
  </si>
  <si>
    <t>Burzhan</t>
  </si>
  <si>
    <t>busa1251</t>
  </si>
  <si>
    <t>Busam</t>
  </si>
  <si>
    <t>bxs</t>
  </si>
  <si>
    <t>samo1302</t>
  </si>
  <si>
    <t>Busan</t>
  </si>
  <si>
    <t>busa1253</t>
  </si>
  <si>
    <t>Busa</t>
  </si>
  <si>
    <t>bqp</t>
  </si>
  <si>
    <t>busa1254</t>
  </si>
  <si>
    <t>seru1248</t>
  </si>
  <si>
    <t>Busami</t>
  </si>
  <si>
    <t>bsm</t>
  </si>
  <si>
    <t>reja1244</t>
  </si>
  <si>
    <t>Busang Kayan</t>
  </si>
  <si>
    <t>bfg</t>
  </si>
  <si>
    <t>buse1238</t>
  </si>
  <si>
    <t>Busere Bongo</t>
  </si>
  <si>
    <t>bush1247</t>
  </si>
  <si>
    <t>bush1251</t>
  </si>
  <si>
    <t>Bushoong</t>
  </si>
  <si>
    <t>buf</t>
  </si>
  <si>
    <t>bush1248</t>
  </si>
  <si>
    <t>unua1237</t>
  </si>
  <si>
    <t>Bush Unua</t>
  </si>
  <si>
    <t>bush1249</t>
  </si>
  <si>
    <t>meng1267</t>
  </si>
  <si>
    <t>Bush Mengen</t>
  </si>
  <si>
    <t>bush1250</t>
  </si>
  <si>
    <t>nort3281</t>
  </si>
  <si>
    <t>Kibosy Kiantalaotsy-Majunga</t>
  </si>
  <si>
    <t>buc</t>
  </si>
  <si>
    <t>YT</t>
  </si>
  <si>
    <t>Bushoong-Wongo-Lele</t>
  </si>
  <si>
    <t>busi1239</t>
  </si>
  <si>
    <t>Busi</t>
  </si>
  <si>
    <t>buso1238</t>
  </si>
  <si>
    <t>muni1256</t>
  </si>
  <si>
    <t>Busoa</t>
  </si>
  <si>
    <t>bup</t>
  </si>
  <si>
    <t>buso1242</t>
  </si>
  <si>
    <t>Buso</t>
  </si>
  <si>
    <t>bso</t>
  </si>
  <si>
    <t>buss1239</t>
  </si>
  <si>
    <t>gido1236</t>
  </si>
  <si>
    <t>Bussa</t>
  </si>
  <si>
    <t>dox</t>
  </si>
  <si>
    <t>busu1243</t>
  </si>
  <si>
    <t>Busu Djanga</t>
  </si>
  <si>
    <t>busu1244</t>
  </si>
  <si>
    <t>Busuu</t>
  </si>
  <si>
    <t>bju</t>
  </si>
  <si>
    <t>lowe1411</t>
  </si>
  <si>
    <t>Busu</t>
  </si>
  <si>
    <t>buta1242</t>
  </si>
  <si>
    <t>taul1250</t>
  </si>
  <si>
    <t>Butam</t>
  </si>
  <si>
    <t>butb1235</t>
  </si>
  <si>
    <t>sout3203</t>
  </si>
  <si>
    <t>Butbut Kalinga</t>
  </si>
  <si>
    <t>kyb</t>
  </si>
  <si>
    <t>bute1242</t>
  </si>
  <si>
    <t>daur1238</t>
  </si>
  <si>
    <t>Buteha</t>
  </si>
  <si>
    <t>bute1243</t>
  </si>
  <si>
    <t>vute1244</t>
  </si>
  <si>
    <t>Bute Bamnyo</t>
  </si>
  <si>
    <t>butl1235</t>
  </si>
  <si>
    <t>Butler English</t>
  </si>
  <si>
    <t>butm1237</t>
  </si>
  <si>
    <t>sout3220</t>
  </si>
  <si>
    <t>Farafi</t>
  </si>
  <si>
    <t>bnr</t>
  </si>
  <si>
    <t>buto1237</t>
  </si>
  <si>
    <t>nucl1573</t>
  </si>
  <si>
    <t>Butonic</t>
  </si>
  <si>
    <t>butu1242</t>
  </si>
  <si>
    <t>Butuo Yi</t>
  </si>
  <si>
    <t>butu1243</t>
  </si>
  <si>
    <t>sout3175</t>
  </si>
  <si>
    <t>Butuan-Tausug</t>
  </si>
  <si>
    <t>butu1244</t>
  </si>
  <si>
    <t>Butuanon</t>
  </si>
  <si>
    <t>btw</t>
  </si>
  <si>
    <t>buuu1244</t>
  </si>
  <si>
    <t>Bu</t>
  </si>
  <si>
    <t>jid</t>
  </si>
  <si>
    <t>buuu1245</t>
  </si>
  <si>
    <t>Bu'u</t>
  </si>
  <si>
    <t>buwa1239</t>
  </si>
  <si>
    <t>gaam1241</t>
  </si>
  <si>
    <t>Buwahg</t>
  </si>
  <si>
    <t>buwa1243</t>
  </si>
  <si>
    <t>buwa1244</t>
  </si>
  <si>
    <t>Buwal</t>
  </si>
  <si>
    <t>bhs</t>
  </si>
  <si>
    <t>Buwal-Gavar</t>
  </si>
  <si>
    <t>buwe1237</t>
  </si>
  <si>
    <t>mapo1242</t>
  </si>
  <si>
    <t>Buweyeu</t>
  </si>
  <si>
    <t>buxa1234</t>
  </si>
  <si>
    <t>uzbe1248</t>
  </si>
  <si>
    <t>Buxara Arabic</t>
  </si>
  <si>
    <t>buxi1237</t>
  </si>
  <si>
    <t>Buxinhua</t>
  </si>
  <si>
    <t>bxt</t>
  </si>
  <si>
    <t>buya1244</t>
  </si>
  <si>
    <t>east2365</t>
  </si>
  <si>
    <t>Buyang</t>
  </si>
  <si>
    <t>byu</t>
  </si>
  <si>
    <t>buya1245</t>
  </si>
  <si>
    <t>Buya</t>
  </si>
  <si>
    <t>byy</t>
  </si>
  <si>
    <t>buya1246</t>
  </si>
  <si>
    <t>loko1255</t>
  </si>
  <si>
    <t>Buya (Loko)</t>
  </si>
  <si>
    <t>buyu1238</t>
  </si>
  <si>
    <t>jino1236</t>
  </si>
  <si>
    <t>Buyuan Jinuo</t>
  </si>
  <si>
    <t>jiy</t>
  </si>
  <si>
    <t>buyu1239</t>
  </si>
  <si>
    <t>buyu1240</t>
  </si>
  <si>
    <t>Buyu</t>
  </si>
  <si>
    <t>byi</t>
  </si>
  <si>
    <t>Buyu-Holoholo</t>
  </si>
  <si>
    <t>buza1239</t>
  </si>
  <si>
    <t>kalm1244</t>
  </si>
  <si>
    <t>Buzawa</t>
  </si>
  <si>
    <t>buzi1238</t>
  </si>
  <si>
    <t>Buzi</t>
  </si>
  <si>
    <t>bver1238</t>
  </si>
  <si>
    <t>Bveri</t>
  </si>
  <si>
    <t>bvum1238</t>
  </si>
  <si>
    <t>Bvumba</t>
  </si>
  <si>
    <t>paga1238</t>
  </si>
  <si>
    <t>Bwa</t>
  </si>
  <si>
    <t>bww</t>
  </si>
  <si>
    <t>bwai1241</t>
  </si>
  <si>
    <t>Bwaidoga linkage</t>
  </si>
  <si>
    <t>bwai1244</t>
  </si>
  <si>
    <t>Bwaidoka</t>
  </si>
  <si>
    <t>bwd</t>
  </si>
  <si>
    <t>bwai1243</t>
  </si>
  <si>
    <t>Bwaidoga</t>
  </si>
  <si>
    <t>Bwaidoka-Iduna</t>
  </si>
  <si>
    <t>bwak1244</t>
  </si>
  <si>
    <t>rive1263</t>
  </si>
  <si>
    <t>Bwaka</t>
  </si>
  <si>
    <t>bwak1245</t>
  </si>
  <si>
    <t>Bwaka (Mbati)</t>
  </si>
  <si>
    <t>bwak1246</t>
  </si>
  <si>
    <t>sewa1251</t>
  </si>
  <si>
    <t>Bwakera</t>
  </si>
  <si>
    <t>bwam1248</t>
  </si>
  <si>
    <t>Bwamu</t>
  </si>
  <si>
    <t>nort2777</t>
  </si>
  <si>
    <t>Bwamu-Oti-Volta</t>
  </si>
  <si>
    <t>bwam1249</t>
  </si>
  <si>
    <t>Bwamba-Ngondi-Pande-Mbati-Aka</t>
  </si>
  <si>
    <t>bwan1240</t>
  </si>
  <si>
    <t>Bwana</t>
  </si>
  <si>
    <t>bwan1241</t>
  </si>
  <si>
    <t>Bwanabwana</t>
  </si>
  <si>
    <t>tte</t>
  </si>
  <si>
    <t>bwan1242</t>
  </si>
  <si>
    <t>yupn1242</t>
  </si>
  <si>
    <t>Bwana-Moam-Tapen</t>
  </si>
  <si>
    <t>bwat1239</t>
  </si>
  <si>
    <t>Bwatnapni</t>
  </si>
  <si>
    <t>bwat1240</t>
  </si>
  <si>
    <t>haek1241</t>
  </si>
  <si>
    <t>Bwatoo</t>
  </si>
  <si>
    <t>bwa</t>
  </si>
  <si>
    <t>bwat1242</t>
  </si>
  <si>
    <t>vohk1234</t>
  </si>
  <si>
    <t>Bwatooic</t>
  </si>
  <si>
    <t>bwaz1238</t>
  </si>
  <si>
    <t>mbul1260</t>
  </si>
  <si>
    <t>Bwazza</t>
  </si>
  <si>
    <t>bwek1238</t>
  </si>
  <si>
    <t>geba1236</t>
  </si>
  <si>
    <t>Bwe Karen</t>
  </si>
  <si>
    <t>bwe</t>
  </si>
  <si>
    <t>MM TH</t>
  </si>
  <si>
    <t>bwek1239</t>
  </si>
  <si>
    <t>Bweko</t>
  </si>
  <si>
    <t>bwel1238</t>
  </si>
  <si>
    <t>Bwela</t>
  </si>
  <si>
    <t>bwl</t>
  </si>
  <si>
    <t>bwen1238</t>
  </si>
  <si>
    <t>koon1244</t>
  </si>
  <si>
    <t>Bwende</t>
  </si>
  <si>
    <t>bwen1239</t>
  </si>
  <si>
    <t>sout3239</t>
  </si>
  <si>
    <t>Bwenelang</t>
  </si>
  <si>
    <t>bwil1244</t>
  </si>
  <si>
    <t>diji1241</t>
  </si>
  <si>
    <t>Bwilim</t>
  </si>
  <si>
    <t>bwil1245</t>
  </si>
  <si>
    <t>malu1252</t>
  </si>
  <si>
    <t>Bwile</t>
  </si>
  <si>
    <t>bwc</t>
  </si>
  <si>
    <t>bwir1238</t>
  </si>
  <si>
    <t>Bwirege</t>
  </si>
  <si>
    <t>bwis1241</t>
  </si>
  <si>
    <t>Bwisha</t>
  </si>
  <si>
    <t>bwis1242</t>
  </si>
  <si>
    <t>lumb1252</t>
  </si>
  <si>
    <t>Bwisi</t>
  </si>
  <si>
    <t>bwz</t>
  </si>
  <si>
    <t>CG GA</t>
  </si>
  <si>
    <t>bwol1240</t>
  </si>
  <si>
    <t>kofy1242</t>
  </si>
  <si>
    <t>Bwall</t>
  </si>
  <si>
    <t>byab1238</t>
  </si>
  <si>
    <t>nung1282</t>
  </si>
  <si>
    <t>Byabe</t>
  </si>
  <si>
    <t>byan1241</t>
  </si>
  <si>
    <t>darm1242</t>
  </si>
  <si>
    <t>Byangsi</t>
  </si>
  <si>
    <t>bee</t>
  </si>
  <si>
    <t>maka1324</t>
  </si>
  <si>
    <t>Byep</t>
  </si>
  <si>
    <t>mkk</t>
  </si>
  <si>
    <t>bzyb1238</t>
  </si>
  <si>
    <t>Bzyb</t>
  </si>
  <si>
    <t>caaa1238</t>
  </si>
  <si>
    <t>fefe1239</t>
  </si>
  <si>
    <t>Ca'</t>
  </si>
  <si>
    <t>caac1237</t>
  </si>
  <si>
    <t>kumn1236</t>
  </si>
  <si>
    <t>Caac</t>
  </si>
  <si>
    <t>msq</t>
  </si>
  <si>
    <t>cabe1245</t>
  </si>
  <si>
    <t>Cab√©car</t>
  </si>
  <si>
    <t>cjp</t>
  </si>
  <si>
    <t>cabi1241</t>
  </si>
  <si>
    <t>Cabiyar√≠</t>
  </si>
  <si>
    <t>cbb</t>
  </si>
  <si>
    <t>cabi1242</t>
  </si>
  <si>
    <t>Cabixi-Natterer</t>
  </si>
  <si>
    <t>cabo1236</t>
  </si>
  <si>
    <t>Cabo</t>
  </si>
  <si>
    <t>caca1247</t>
  </si>
  <si>
    <t>mata1287</t>
  </si>
  <si>
    <t>Cacaopera</t>
  </si>
  <si>
    <t>ccr</t>
  </si>
  <si>
    <t>SV</t>
  </si>
  <si>
    <t>caca1248</t>
  </si>
  <si>
    <t>cash1251</t>
  </si>
  <si>
    <t>Cacataibo de Sinchi Roca</t>
  </si>
  <si>
    <t>caca1249</t>
  </si>
  <si>
    <t>Cacataibo de Mariscal</t>
  </si>
  <si>
    <t>caca1250</t>
  </si>
  <si>
    <t>nort3200</t>
  </si>
  <si>
    <t>Cacaloxtepec Mixtec</t>
  </si>
  <si>
    <t>miu</t>
  </si>
  <si>
    <t>cacg1235</t>
  </si>
  <si>
    <t>chru1240</t>
  </si>
  <si>
    <t>Cacgia Roglai</t>
  </si>
  <si>
    <t>roc</t>
  </si>
  <si>
    <t>cach1242</t>
  </si>
  <si>
    <t>Cacheu-Ziguinchor Creole</t>
  </si>
  <si>
    <t>cacr1238</t>
  </si>
  <si>
    <t>Cacra-Hongos</t>
  </si>
  <si>
    <t>cacu1241</t>
  </si>
  <si>
    <t>kaku1242</t>
  </si>
  <si>
    <t>Kakua</t>
  </si>
  <si>
    <t>cbv</t>
  </si>
  <si>
    <t>Caddoan</t>
  </si>
  <si>
    <t>cadd1256</t>
  </si>
  <si>
    <t>Caddo</t>
  </si>
  <si>
    <t>cad</t>
  </si>
  <si>
    <t>cado1235</t>
  </si>
  <si>
    <t>Cadorino</t>
  </si>
  <si>
    <t>cafu1238</t>
  </si>
  <si>
    <t>Cafundo</t>
  </si>
  <si>
    <t>ccd</t>
  </si>
  <si>
    <t>caga1240</t>
  </si>
  <si>
    <t>Cagani</t>
  </si>
  <si>
    <t>caga1241</t>
  </si>
  <si>
    <t>Cagayan Valley</t>
  </si>
  <si>
    <t>caga1242</t>
  </si>
  <si>
    <t>gadd1245</t>
  </si>
  <si>
    <t>Cagayan-Baliwon Gaddang</t>
  </si>
  <si>
    <t>cage1238</t>
  </si>
  <si>
    <t>Cagere</t>
  </si>
  <si>
    <t>cagu1236</t>
  </si>
  <si>
    <t>Cagua</t>
  </si>
  <si>
    <t>cbh</t>
  </si>
  <si>
    <t>cahi1243</t>
  </si>
  <si>
    <t>sout3136</t>
  </si>
  <si>
    <t>Cahitan</t>
  </si>
  <si>
    <t>cahu1263</t>
  </si>
  <si>
    <t>cupa1239</t>
  </si>
  <si>
    <t>Cahuilla-Cupeno</t>
  </si>
  <si>
    <t>cahu1264</t>
  </si>
  <si>
    <t>Cahuilla</t>
  </si>
  <si>
    <t>chl</t>
  </si>
  <si>
    <t>cahu1265</t>
  </si>
  <si>
    <t>Cahuapanan</t>
  </si>
  <si>
    <t>cahu1266</t>
  </si>
  <si>
    <t>chay1248</t>
  </si>
  <si>
    <t>Cahuapana</t>
  </si>
  <si>
    <t>cahu1267</t>
  </si>
  <si>
    <t>Cahuarano-Iquito</t>
  </si>
  <si>
    <t>cahu1268</t>
  </si>
  <si>
    <t>Cahuarano</t>
  </si>
  <si>
    <t>cah</t>
  </si>
  <si>
    <t>caia1239</t>
  </si>
  <si>
    <t>Caia</t>
  </si>
  <si>
    <t>caij1234</t>
  </si>
  <si>
    <t>Caijia</t>
  </si>
  <si>
    <t>macr1275</t>
  </si>
  <si>
    <t>Caijia-Baic</t>
  </si>
  <si>
    <t>cail1238</t>
  </si>
  <si>
    <t>puno1238</t>
  </si>
  <si>
    <t>Cailloma Quechua</t>
  </si>
  <si>
    <t>cair1238</t>
  </si>
  <si>
    <t>Cairene Arabic</t>
  </si>
  <si>
    <t>caja1238</t>
  </si>
  <si>
    <t>Cajamarca Quechua</t>
  </si>
  <si>
    <t>qvc</t>
  </si>
  <si>
    <t>caja1239</t>
  </si>
  <si>
    <t>Cajatambo North Lima Quechua</t>
  </si>
  <si>
    <t>qvl</t>
  </si>
  <si>
    <t>cajo1238</t>
  </si>
  <si>
    <t>Cajonos Zapotec</t>
  </si>
  <si>
    <t>zad</t>
  </si>
  <si>
    <t>cent2283</t>
  </si>
  <si>
    <t>Cajun French</t>
  </si>
  <si>
    <t>frc</t>
  </si>
  <si>
    <t>cent2268</t>
  </si>
  <si>
    <t>Caka</t>
  </si>
  <si>
    <t>ckx</t>
  </si>
  <si>
    <t>cakc1235</t>
  </si>
  <si>
    <t>cakc1245</t>
  </si>
  <si>
    <t>Cakchiquel-Quich√© Mixed Language</t>
  </si>
  <si>
    <t>ckz</t>
  </si>
  <si>
    <t>cakc1244</t>
  </si>
  <si>
    <t>core1251</t>
  </si>
  <si>
    <t>Cakchiquel-Tzutujil</t>
  </si>
  <si>
    <t>Cakchiquel-Quiche</t>
  </si>
  <si>
    <t>cakf1236</t>
  </si>
  <si>
    <t>kofy1243</t>
  </si>
  <si>
    <t>Cakfem-Mushere-Jibyal</t>
  </si>
  <si>
    <t>cky</t>
  </si>
  <si>
    <t>cakk1237</t>
  </si>
  <si>
    <t>duri1242</t>
  </si>
  <si>
    <t>Cakke</t>
  </si>
  <si>
    <t>chak1270</t>
  </si>
  <si>
    <t>Cak</t>
  </si>
  <si>
    <t>cala1254</t>
  </si>
  <si>
    <t>Calabrian Albanian</t>
  </si>
  <si>
    <t>cala1255</t>
  </si>
  <si>
    <t>Calaisis</t>
  </si>
  <si>
    <t>cala1256</t>
  </si>
  <si>
    <t>Calanasan</t>
  </si>
  <si>
    <t>cala1257</t>
  </si>
  <si>
    <t>Calatravanhon</t>
  </si>
  <si>
    <t>Calamian Tagbanwa</t>
  </si>
  <si>
    <t>tbk</t>
  </si>
  <si>
    <t>calc1235</t>
  </si>
  <si>
    <t>Calchaqui</t>
  </si>
  <si>
    <t>calc1236</t>
  </si>
  <si>
    <t>Calcutta Indian Sign Language</t>
  </si>
  <si>
    <t>cald1236</t>
  </si>
  <si>
    <t>ecua1248</t>
  </si>
  <si>
    <t>Calder√≥n Highland Quichua</t>
  </si>
  <si>
    <t>qud</t>
  </si>
  <si>
    <t>cali1245</t>
  </si>
  <si>
    <t>paci1277</t>
  </si>
  <si>
    <t>California Athabaskan</t>
  </si>
  <si>
    <t>cali1246</t>
  </si>
  <si>
    <t>nort2953</t>
  </si>
  <si>
    <t>Californian Uto-Aztecan</t>
  </si>
  <si>
    <t>call1235</t>
  </si>
  <si>
    <t>quec1390</t>
  </si>
  <si>
    <t>Callawalla</t>
  </si>
  <si>
    <t>caw</t>
  </si>
  <si>
    <t>calo1235</t>
  </si>
  <si>
    <t>Calo</t>
  </si>
  <si>
    <t>rmr</t>
  </si>
  <si>
    <t>Cal√≥</t>
  </si>
  <si>
    <t>rmq</t>
  </si>
  <si>
    <t>calu1238</t>
  </si>
  <si>
    <t>data1234</t>
  </si>
  <si>
    <t>Caluyanun</t>
  </si>
  <si>
    <t>clu</t>
  </si>
  <si>
    <t>calu1239</t>
  </si>
  <si>
    <t>Calusa</t>
  </si>
  <si>
    <t>cama1248</t>
  </si>
  <si>
    <t>Camajere</t>
  </si>
  <si>
    <t>cama1249</t>
  </si>
  <si>
    <t>lefa1242</t>
  </si>
  <si>
    <t>Cama</t>
  </si>
  <si>
    <t>cama1250</t>
  </si>
  <si>
    <t>Camarines Norte Agta</t>
  </si>
  <si>
    <t>abd</t>
  </si>
  <si>
    <t>cama1251</t>
  </si>
  <si>
    <t>Camaracota</t>
  </si>
  <si>
    <t>cama1252</t>
  </si>
  <si>
    <t>Camaracoto</t>
  </si>
  <si>
    <t>camb1242</t>
  </si>
  <si>
    <t>Cambresis</t>
  </si>
  <si>
    <t>camb1243</t>
  </si>
  <si>
    <t>Camba</t>
  </si>
  <si>
    <t>camb1244</t>
  </si>
  <si>
    <t>Cambodian Sign Language</t>
  </si>
  <si>
    <t>KH</t>
  </si>
  <si>
    <t>camb1245</t>
  </si>
  <si>
    <t>twen1242</t>
  </si>
  <si>
    <t>Cambap</t>
  </si>
  <si>
    <t>came1248</t>
  </si>
  <si>
    <t>tosk1239</t>
  </si>
  <si>
    <t>Cham Tosk</t>
  </si>
  <si>
    <t>came1250</t>
  </si>
  <si>
    <t>Cameron</t>
  </si>
  <si>
    <t>came1251</t>
  </si>
  <si>
    <t>Cameeragal</t>
  </si>
  <si>
    <t>came1252</t>
  </si>
  <si>
    <t>east2806</t>
  </si>
  <si>
    <t>Donga Mambila</t>
  </si>
  <si>
    <t>mcu</t>
  </si>
  <si>
    <t>came1254</t>
  </si>
  <si>
    <t>nige1258</t>
  </si>
  <si>
    <t>Cameroon Pidgin</t>
  </si>
  <si>
    <t>wes</t>
  </si>
  <si>
    <t>came1255</t>
  </si>
  <si>
    <t>Cameroun-Ubangian</t>
  </si>
  <si>
    <t>caml1239</t>
  </si>
  <si>
    <t>Camling</t>
  </si>
  <si>
    <t>rab</t>
  </si>
  <si>
    <t>camo1249</t>
  </si>
  <si>
    <t>cent1990</t>
  </si>
  <si>
    <t>Camorta</t>
  </si>
  <si>
    <t>camo1250</t>
  </si>
  <si>
    <t>kudu1241</t>
  </si>
  <si>
    <t>Camo</t>
  </si>
  <si>
    <t>camo1251</t>
  </si>
  <si>
    <t>Camonayan</t>
  </si>
  <si>
    <t>camo1252</t>
  </si>
  <si>
    <t>coat1238</t>
  </si>
  <si>
    <t>Camotl√≠n Mixe</t>
  </si>
  <si>
    <t>camp1260</t>
  </si>
  <si>
    <t>Campo Marino Albanian</t>
  </si>
  <si>
    <t>Campidanese Sardinian</t>
  </si>
  <si>
    <t>sro</t>
  </si>
  <si>
    <t>Campalagian</t>
  </si>
  <si>
    <t>cml</t>
  </si>
  <si>
    <t>cams1241</t>
  </si>
  <si>
    <t>Cams√°</t>
  </si>
  <si>
    <t>kbh</t>
  </si>
  <si>
    <t>camt1236</t>
  </si>
  <si>
    <t>zulu1249</t>
  </si>
  <si>
    <t>Camtho</t>
  </si>
  <si>
    <t>cmt</t>
  </si>
  <si>
    <t>ZA</t>
  </si>
  <si>
    <t>camu1235</t>
  </si>
  <si>
    <t>Camunic</t>
  </si>
  <si>
    <t>xcc</t>
  </si>
  <si>
    <t>cana1258</t>
  </si>
  <si>
    <t>Canary Islands Spanish</t>
  </si>
  <si>
    <t>cana1260</t>
  </si>
  <si>
    <t>Canari</t>
  </si>
  <si>
    <t>cana1261</t>
  </si>
  <si>
    <t>lamb1276</t>
  </si>
  <si>
    <t>Ca√±aris</t>
  </si>
  <si>
    <t>cana1262</t>
  </si>
  <si>
    <t>ecua1249</t>
  </si>
  <si>
    <t>Ca√±ar Highland Quichua</t>
  </si>
  <si>
    <t>qxr</t>
  </si>
  <si>
    <t>cana1267</t>
  </si>
  <si>
    <t>Canaanite</t>
  </si>
  <si>
    <t>nort3314</t>
  </si>
  <si>
    <t>Canadian English</t>
  </si>
  <si>
    <t>cand1248</t>
  </si>
  <si>
    <t>Candoshi-Shapra</t>
  </si>
  <si>
    <t>cbu</t>
  </si>
  <si>
    <t>cand1249</t>
  </si>
  <si>
    <t>loxi1235</t>
  </si>
  <si>
    <t>Candelaria Loxicha Zapotec</t>
  </si>
  <si>
    <t>sout3244</t>
  </si>
  <si>
    <t>Canela-Krah√¥</t>
  </si>
  <si>
    <t>cang1245</t>
  </si>
  <si>
    <t>nort3146</t>
  </si>
  <si>
    <t>Cangin</t>
  </si>
  <si>
    <t>cang1246</t>
  </si>
  <si>
    <t>noon1242</t>
  </si>
  <si>
    <t>Cangin-Noon</t>
  </si>
  <si>
    <t>cani1243</t>
  </si>
  <si>
    <t>Canichana</t>
  </si>
  <si>
    <t>caz</t>
  </si>
  <si>
    <t>cano1239</t>
  </si>
  <si>
    <t>Ca√±o Padilla-La Laguna</t>
  </si>
  <si>
    <t>cans1238</t>
  </si>
  <si>
    <t>Cansu</t>
  </si>
  <si>
    <t>cant1236</t>
  </si>
  <si>
    <t>yueh1236</t>
  </si>
  <si>
    <t>Cantonese</t>
  </si>
  <si>
    <t>cant1244</t>
  </si>
  <si>
    <t>suri1273</t>
  </si>
  <si>
    <t>Cantilan</t>
  </si>
  <si>
    <t>cant1245</t>
  </si>
  <si>
    <t>Cantabrian</t>
  </si>
  <si>
    <t>caol1238</t>
  </si>
  <si>
    <t>Cao Lan</t>
  </si>
  <si>
    <t>mlc</t>
  </si>
  <si>
    <t>caom1238</t>
  </si>
  <si>
    <t>nort2734</t>
  </si>
  <si>
    <t>Cao Miao</t>
  </si>
  <si>
    <t>cov</t>
  </si>
  <si>
    <t>capa1241</t>
  </si>
  <si>
    <t>ship1253</t>
  </si>
  <si>
    <t>Capanahua</t>
  </si>
  <si>
    <t>kaq</t>
  </si>
  <si>
    <t>cape1241</t>
  </si>
  <si>
    <t>Cape Afrikaans</t>
  </si>
  <si>
    <t>capi1239</t>
  </si>
  <si>
    <t>capi1240</t>
  </si>
  <si>
    <t>Capiznon</t>
  </si>
  <si>
    <t>cps</t>
  </si>
  <si>
    <t>Capiznon-Ilonggo-Kawayan</t>
  </si>
  <si>
    <t>capo1236</t>
  </si>
  <si>
    <t>west2636</t>
  </si>
  <si>
    <t>Capoxo</t>
  </si>
  <si>
    <t>capp1239</t>
  </si>
  <si>
    <t>pont1257</t>
  </si>
  <si>
    <t>Cappadocian Greek</t>
  </si>
  <si>
    <t>cpg</t>
  </si>
  <si>
    <t>caqu1242</t>
  </si>
  <si>
    <t>Caquinte</t>
  </si>
  <si>
    <t>cot</t>
  </si>
  <si>
    <t>cara1245</t>
  </si>
  <si>
    <t>Carabayo</t>
  </si>
  <si>
    <t>cby</t>
  </si>
  <si>
    <t>cara1246</t>
  </si>
  <si>
    <t>Cara (Botswana)</t>
  </si>
  <si>
    <t>cara1270</t>
  </si>
  <si>
    <t>Cara</t>
  </si>
  <si>
    <t>cfd</t>
  </si>
  <si>
    <t>cara1271</t>
  </si>
  <si>
    <t>Caramanta</t>
  </si>
  <si>
    <t>crf</t>
  </si>
  <si>
    <t>cara1272</t>
  </si>
  <si>
    <t>pisa1247</t>
  </si>
  <si>
    <t>Carapana</t>
  </si>
  <si>
    <t>cbc</t>
  </si>
  <si>
    <t>BR CO</t>
  </si>
  <si>
    <t>carg1238</t>
  </si>
  <si>
    <t>mani1304</t>
  </si>
  <si>
    <t>Cargese</t>
  </si>
  <si>
    <t>cari1274</t>
  </si>
  <si>
    <t>luvi1234</t>
  </si>
  <si>
    <t>Carian</t>
  </si>
  <si>
    <t>xcr</t>
  </si>
  <si>
    <t>cari1275</t>
  </si>
  <si>
    <t>Caribbean Hindustani</t>
  </si>
  <si>
    <t>hns</t>
  </si>
  <si>
    <t>GY NL SR TT</t>
  </si>
  <si>
    <t>cari1276</t>
  </si>
  <si>
    <t>mode1251</t>
  </si>
  <si>
    <t>Caribbean Javanese</t>
  </si>
  <si>
    <t>jvn</t>
  </si>
  <si>
    <t>GF SR</t>
  </si>
  <si>
    <t>cari1277</t>
  </si>
  <si>
    <t>Kivalliq</t>
  </si>
  <si>
    <t>cari1279</t>
  </si>
  <si>
    <t>tara1324</t>
  </si>
  <si>
    <t>Carijona</t>
  </si>
  <si>
    <t>cbd</t>
  </si>
  <si>
    <t>cari1280</t>
  </si>
  <si>
    <t>Cariay</t>
  </si>
  <si>
    <t>Caribbean Arawakan</t>
  </si>
  <si>
    <t>Cariban</t>
  </si>
  <si>
    <t>guin1259</t>
  </si>
  <si>
    <t>Caribbean English Creole</t>
  </si>
  <si>
    <t>cari1285</t>
  </si>
  <si>
    <t>Cariban (Unattested)</t>
  </si>
  <si>
    <t>carn1239</t>
  </si>
  <si>
    <t>friu1240</t>
  </si>
  <si>
    <t>Carnico</t>
  </si>
  <si>
    <t>carn1240</t>
  </si>
  <si>
    <t>nico1262</t>
  </si>
  <si>
    <t>Car Nicobarese</t>
  </si>
  <si>
    <t>caq</t>
  </si>
  <si>
    <t>caro1242</t>
  </si>
  <si>
    <t>macr1274</t>
  </si>
  <si>
    <t>Carolinian</t>
  </si>
  <si>
    <t>cal</t>
  </si>
  <si>
    <t>MP</t>
  </si>
  <si>
    <t>caro1243</t>
  </si>
  <si>
    <t>east2700</t>
  </si>
  <si>
    <t>Carolina Algonquian</t>
  </si>
  <si>
    <t>crr</t>
  </si>
  <si>
    <t>carp1235</t>
  </si>
  <si>
    <t>Central Romani</t>
  </si>
  <si>
    <t>rmc</t>
  </si>
  <si>
    <t>HU RO SK UA</t>
  </si>
  <si>
    <t>carr1248</t>
  </si>
  <si>
    <t>Carrier</t>
  </si>
  <si>
    <t>caru1240</t>
  </si>
  <si>
    <t>Car√∫tana</t>
  </si>
  <si>
    <t>cru</t>
  </si>
  <si>
    <t>main1279</t>
  </si>
  <si>
    <t>Cashibo-Cacataibo</t>
  </si>
  <si>
    <t>cbr</t>
  </si>
  <si>
    <t>cash1252</t>
  </si>
  <si>
    <t>Cashibo</t>
  </si>
  <si>
    <t>cash1253</t>
  </si>
  <si>
    <t>Cashinawa of the Tarauac√° river</t>
  </si>
  <si>
    <t>cash1254</t>
  </si>
  <si>
    <t>Cashinahua</t>
  </si>
  <si>
    <t>cbs</t>
  </si>
  <si>
    <t>casi1235</t>
  </si>
  <si>
    <t>nucl1755</t>
  </si>
  <si>
    <t>Casiguran-Nagtipunan Agta</t>
  </si>
  <si>
    <t>dgc</t>
  </si>
  <si>
    <t>casi1237</t>
  </si>
  <si>
    <t>Casino</t>
  </si>
  <si>
    <t>casp1236</t>
  </si>
  <si>
    <t>Caspian</t>
  </si>
  <si>
    <t>casp1241</t>
  </si>
  <si>
    <t>Caspian and eastern Persia Gypsy</t>
  </si>
  <si>
    <t>cast1243</t>
  </si>
  <si>
    <t>Castilic</t>
  </si>
  <si>
    <t>cast1244</t>
  </si>
  <si>
    <t>Castilian</t>
  </si>
  <si>
    <t>cast1245</t>
  </si>
  <si>
    <t>east2714</t>
  </si>
  <si>
    <t>Castelmezzano</t>
  </si>
  <si>
    <t>Casuarina Coast Asmat</t>
  </si>
  <si>
    <t>asc</t>
  </si>
  <si>
    <t>cata1241</t>
  </si>
  <si>
    <t>cata1287</t>
  </si>
  <si>
    <t>Catalan Sign Language</t>
  </si>
  <si>
    <t>csc</t>
  </si>
  <si>
    <t>cata1279</t>
  </si>
  <si>
    <t>Catalonian Calo</t>
  </si>
  <si>
    <t>cata1284</t>
  </si>
  <si>
    <t>Cataelano Mandaya</t>
  </si>
  <si>
    <t>mst</t>
  </si>
  <si>
    <t>cata1285</t>
  </si>
  <si>
    <t>Catawban</t>
  </si>
  <si>
    <t>cata1286</t>
  </si>
  <si>
    <t>Catawba</t>
  </si>
  <si>
    <t>chc</t>
  </si>
  <si>
    <t>Catalan Sign</t>
  </si>
  <si>
    <t>cata1288</t>
  </si>
  <si>
    <t>sant1432</t>
  </si>
  <si>
    <t>Catamarca y La Rioja</t>
  </si>
  <si>
    <t>stan1289</t>
  </si>
  <si>
    <t>Catal√† Oriental</t>
  </si>
  <si>
    <t>cata1290</t>
  </si>
  <si>
    <t>Catal√† Occidental</t>
  </si>
  <si>
    <t>cata1291</t>
  </si>
  <si>
    <t>Catal√† Nord-Occidental</t>
  </si>
  <si>
    <t>cata1292</t>
  </si>
  <si>
    <t>Catal√† Central Septentrional de Transici√≥</t>
  </si>
  <si>
    <t>catu1242</t>
  </si>
  <si>
    <t>Catuquinaru-Bach</t>
  </si>
  <si>
    <t>cauc1241</t>
  </si>
  <si>
    <t>Cauca</t>
  </si>
  <si>
    <t>cca</t>
  </si>
  <si>
    <t>cauc1242</t>
  </si>
  <si>
    <t>fars1254</t>
  </si>
  <si>
    <t>Caucasian Tat</t>
  </si>
  <si>
    <t>cauh1234</t>
  </si>
  <si>
    <t>Cauho</t>
  </si>
  <si>
    <t>caun1238</t>
  </si>
  <si>
    <t>Caundu</t>
  </si>
  <si>
    <t>cauq1239</t>
  </si>
  <si>
    <t>tupe1234</t>
  </si>
  <si>
    <t>Cauqui</t>
  </si>
  <si>
    <t>cavc1238</t>
  </si>
  <si>
    <t>Cavcuvenskij</t>
  </si>
  <si>
    <t>cavi1250</t>
  </si>
  <si>
    <t>taca1255</t>
  </si>
  <si>
    <t>Cavine√±a</t>
  </si>
  <si>
    <t>cav</t>
  </si>
  <si>
    <t>cavi1254</t>
  </si>
  <si>
    <t>chav1241</t>
  </si>
  <si>
    <t>Cavite√±o</t>
  </si>
  <si>
    <t>cawd1238</t>
  </si>
  <si>
    <t>Cawdur</t>
  </si>
  <si>
    <t>Cayapa-Colorado</t>
  </si>
  <si>
    <t>cayl1238</t>
  </si>
  <si>
    <t>Caylloma Quechua</t>
  </si>
  <si>
    <t>cayo1238</t>
  </si>
  <si>
    <t>Cayor</t>
  </si>
  <si>
    <t>cayu1241</t>
  </si>
  <si>
    <t>Cayuse</t>
  </si>
  <si>
    <t>xcy</t>
  </si>
  <si>
    <t>nort2947</t>
  </si>
  <si>
    <t>Cayuga</t>
  </si>
  <si>
    <t>cayu1262</t>
  </si>
  <si>
    <t>Cayubaba</t>
  </si>
  <si>
    <t>cyb</t>
  </si>
  <si>
    <t>ceba1235</t>
  </si>
  <si>
    <t>cent2244</t>
  </si>
  <si>
    <t>Cebaara Senoufo</t>
  </si>
  <si>
    <t>sef</t>
  </si>
  <si>
    <t>BF CI ML</t>
  </si>
  <si>
    <t>Cebuano</t>
  </si>
  <si>
    <t>ceb</t>
  </si>
  <si>
    <t>cebu1243</t>
  </si>
  <si>
    <t>Cebu</t>
  </si>
  <si>
    <t>ceem1238</t>
  </si>
  <si>
    <t>Ceemba</t>
  </si>
  <si>
    <t>cele1241</t>
  </si>
  <si>
    <t>Cele</t>
  </si>
  <si>
    <t>cele1242</t>
  </si>
  <si>
    <t>Celebic</t>
  </si>
  <si>
    <t>cell1238</t>
  </si>
  <si>
    <t>fran1260</t>
  </si>
  <si>
    <t>Celle San Vito</t>
  </si>
  <si>
    <t>celt1247</t>
  </si>
  <si>
    <t>celt1248</t>
  </si>
  <si>
    <t>Celtiberian</t>
  </si>
  <si>
    <t>xce</t>
  </si>
  <si>
    <t>Celtic</t>
  </si>
  <si>
    <t>cemp1235</t>
  </si>
  <si>
    <t>vohk1236</t>
  </si>
  <si>
    <t>Cem-Pac</t>
  </si>
  <si>
    <t>cemu1238</t>
  </si>
  <si>
    <t>Cemuh√Æ</t>
  </si>
  <si>
    <t>cam</t>
  </si>
  <si>
    <t>Cenderawasih Bay</t>
  </si>
  <si>
    <t>ceng1238</t>
  </si>
  <si>
    <t>Cenge</t>
  </si>
  <si>
    <t>cenn1238</t>
  </si>
  <si>
    <t>izer1242</t>
  </si>
  <si>
    <t>Cen</t>
  </si>
  <si>
    <t>cen</t>
  </si>
  <si>
    <t>cenn1239</t>
  </si>
  <si>
    <t>Cen (Berom)</t>
  </si>
  <si>
    <t>cent1317</t>
  </si>
  <si>
    <t>Central Aragonese</t>
  </si>
  <si>
    <t>cent1394</t>
  </si>
  <si>
    <t>mash1238</t>
  </si>
  <si>
    <t>Central Mashan Hmong</t>
  </si>
  <si>
    <t>hmm</t>
  </si>
  <si>
    <t>cent1397</t>
  </si>
  <si>
    <t>toto1251</t>
  </si>
  <si>
    <t>toto1252</t>
  </si>
  <si>
    <t>Central Totonacan</t>
  </si>
  <si>
    <t>cent1812</t>
  </si>
  <si>
    <t>veps1250</t>
  </si>
  <si>
    <t>Central Veps</t>
  </si>
  <si>
    <t>cent1953</t>
  </si>
  <si>
    <t>Central Bohemian</t>
  </si>
  <si>
    <t>cent1954</t>
  </si>
  <si>
    <t>Central Belarusan</t>
  </si>
  <si>
    <t>cent1955</t>
  </si>
  <si>
    <t>Central Mountain Albanian</t>
  </si>
  <si>
    <t>cent1956</t>
  </si>
  <si>
    <t>Central Asturian</t>
  </si>
  <si>
    <t>cent1957</t>
  </si>
  <si>
    <t>Central Extremaduran</t>
  </si>
  <si>
    <t>cent1959</t>
  </si>
  <si>
    <t>Central Emiliano</t>
  </si>
  <si>
    <t>cent1960</t>
  </si>
  <si>
    <t>Central Walloon</t>
  </si>
  <si>
    <t>cent1961</t>
  </si>
  <si>
    <t>Central Campidanese</t>
  </si>
  <si>
    <t>cent1963</t>
  </si>
  <si>
    <t>Central Metafonetica</t>
  </si>
  <si>
    <t>cent1967</t>
  </si>
  <si>
    <t>Central Bavarian</t>
  </si>
  <si>
    <t>cent1970</t>
  </si>
  <si>
    <t>taly1247</t>
  </si>
  <si>
    <t>Central Talyshi</t>
  </si>
  <si>
    <t>Central Kurdish</t>
  </si>
  <si>
    <t>IQ IR</t>
  </si>
  <si>
    <t>Central Pashto</t>
  </si>
  <si>
    <t>pst</t>
  </si>
  <si>
    <t>AF PK</t>
  </si>
  <si>
    <t>cent1974</t>
  </si>
  <si>
    <t>munj1244</t>
  </si>
  <si>
    <t>Central Munji</t>
  </si>
  <si>
    <t>cent1975</t>
  </si>
  <si>
    <t>wakh1245</t>
  </si>
  <si>
    <t>Central Wakhi</t>
  </si>
  <si>
    <t>cent1976</t>
  </si>
  <si>
    <t>pras1239</t>
  </si>
  <si>
    <t>Central Prasun</t>
  </si>
  <si>
    <t>cent1977</t>
  </si>
  <si>
    <t>indo1310</t>
  </si>
  <si>
    <t>Central Pahari</t>
  </si>
  <si>
    <t>cent1978</t>
  </si>
  <si>
    <t>kuma1273</t>
  </si>
  <si>
    <t>Central Kumauni</t>
  </si>
  <si>
    <t>cent1979</t>
  </si>
  <si>
    <t>Central Dhatki</t>
  </si>
  <si>
    <t>cent1980</t>
  </si>
  <si>
    <t>vlax1238</t>
  </si>
  <si>
    <t>Northern Vlax</t>
  </si>
  <si>
    <t>cent1981</t>
  </si>
  <si>
    <t>maga1260</t>
  </si>
  <si>
    <t>Central Magahi</t>
  </si>
  <si>
    <t>cent1982</t>
  </si>
  <si>
    <t>Central Colloquial Maithili</t>
  </si>
  <si>
    <t>cent1983</t>
  </si>
  <si>
    <t>Central Bengali</t>
  </si>
  <si>
    <t>cent1984</t>
  </si>
  <si>
    <t>katk1238</t>
  </si>
  <si>
    <t>Central Katkari</t>
  </si>
  <si>
    <t>cent1985</t>
  </si>
  <si>
    <t>Central and North Pohjanmaa</t>
  </si>
  <si>
    <t>cent1987</t>
  </si>
  <si>
    <t>Central-Northern Aslian</t>
  </si>
  <si>
    <t>cent1988</t>
  </si>
  <si>
    <t>Central Vietnamese</t>
  </si>
  <si>
    <t>Central Khmer</t>
  </si>
  <si>
    <t>KH LA TH VN</t>
  </si>
  <si>
    <t>cent2305</t>
  </si>
  <si>
    <t>Central Nicobarese</t>
  </si>
  <si>
    <t>ncb</t>
  </si>
  <si>
    <t>cent1991</t>
  </si>
  <si>
    <t>seda1262</t>
  </si>
  <si>
    <t>Central Sedang</t>
  </si>
  <si>
    <t>sout2691</t>
  </si>
  <si>
    <t>Central Mnong</t>
  </si>
  <si>
    <t>cmo</t>
  </si>
  <si>
    <t>cent1993</t>
  </si>
  <si>
    <t>Central Tuvin</t>
  </si>
  <si>
    <t>cent1994</t>
  </si>
  <si>
    <t>Central Uyghur</t>
  </si>
  <si>
    <t>cent1995</t>
  </si>
  <si>
    <t>crim1257</t>
  </si>
  <si>
    <t>Central Crimean</t>
  </si>
  <si>
    <t>cent1996</t>
  </si>
  <si>
    <t>Central Nogai</t>
  </si>
  <si>
    <t>cent1998</t>
  </si>
  <si>
    <t>Central Kerala</t>
  </si>
  <si>
    <t>cent1999</t>
  </si>
  <si>
    <t>kare1337</t>
  </si>
  <si>
    <t>Central Karen</t>
  </si>
  <si>
    <t>cent2001</t>
  </si>
  <si>
    <t>east2347</t>
  </si>
  <si>
    <t>Central-Eastern Tamang</t>
  </si>
  <si>
    <t>cent2002</t>
  </si>
  <si>
    <t>patt1248</t>
  </si>
  <si>
    <t>Central Pattani</t>
  </si>
  <si>
    <t>cent2003</t>
  </si>
  <si>
    <t>nusu1239</t>
  </si>
  <si>
    <t>Central Nusu</t>
  </si>
  <si>
    <t>cent2004</t>
  </si>
  <si>
    <t>sout3254</t>
  </si>
  <si>
    <t>Central Bai</t>
  </si>
  <si>
    <t>bca</t>
  </si>
  <si>
    <t>cent2005</t>
  </si>
  <si>
    <t>cent2330</t>
  </si>
  <si>
    <t>Core Central Kuki-Chin</t>
  </si>
  <si>
    <t>cent2007</t>
  </si>
  <si>
    <t>thul1246</t>
  </si>
  <si>
    <t>Central Thulung</t>
  </si>
  <si>
    <t>cent2009</t>
  </si>
  <si>
    <t>Central Hongshuihe Zhuang</t>
  </si>
  <si>
    <t>zch</t>
  </si>
  <si>
    <t>cent2011</t>
  </si>
  <si>
    <t>nort2741</t>
  </si>
  <si>
    <t>Central Isan</t>
  </si>
  <si>
    <t>cent2012</t>
  </si>
  <si>
    <t>tayy1238</t>
  </si>
  <si>
    <t>Central T√†y</t>
  </si>
  <si>
    <t>cent2013</t>
  </si>
  <si>
    <t>huis1239</t>
  </si>
  <si>
    <t>Central Huishui Hmong</t>
  </si>
  <si>
    <t>hmc</t>
  </si>
  <si>
    <t>cent2015</t>
  </si>
  <si>
    <t>Central-northern Warlpiri</t>
  </si>
  <si>
    <t>cent2016</t>
  </si>
  <si>
    <t>karn1253</t>
  </si>
  <si>
    <t>Central Karnic</t>
  </si>
  <si>
    <t>cent2017</t>
  </si>
  <si>
    <t>west2450</t>
  </si>
  <si>
    <t>Central</t>
  </si>
  <si>
    <t>cent2018</t>
  </si>
  <si>
    <t>Central-Eastern Niger Fulfulde</t>
  </si>
  <si>
    <t>fuq</t>
  </si>
  <si>
    <t>ML NE NG TD</t>
  </si>
  <si>
    <t>cent2020</t>
  </si>
  <si>
    <t>mbum1257</t>
  </si>
  <si>
    <t>Central Mbum</t>
  </si>
  <si>
    <t>Central Bandaic</t>
  </si>
  <si>
    <t>Central Core Bandaic</t>
  </si>
  <si>
    <t>cent2024</t>
  </si>
  <si>
    <t>gour1243</t>
  </si>
  <si>
    <t>Central Gourmanchema</t>
  </si>
  <si>
    <t>cent2025</t>
  </si>
  <si>
    <t>lyel1241</t>
  </si>
  <si>
    <t>Central Ly√©l√©</t>
  </si>
  <si>
    <t>cent2027</t>
  </si>
  <si>
    <t>Central Upper Cross</t>
  </si>
  <si>
    <t>delt1251</t>
  </si>
  <si>
    <t>Central Delta</t>
  </si>
  <si>
    <t>cent2029</t>
  </si>
  <si>
    <t>Central Abuan</t>
  </si>
  <si>
    <t>cent2030</t>
  </si>
  <si>
    <t>ibib1240</t>
  </si>
  <si>
    <t>Central Ibibio</t>
  </si>
  <si>
    <t>cent2032</t>
  </si>
  <si>
    <t>Central Kongo</t>
  </si>
  <si>
    <t>cent2033</t>
  </si>
  <si>
    <t>makh1264</t>
  </si>
  <si>
    <t>Central Makua</t>
  </si>
  <si>
    <t>cent2034</t>
  </si>
  <si>
    <t>chuw1238</t>
  </si>
  <si>
    <t>Central Chuwabo</t>
  </si>
  <si>
    <t>cent2035</t>
  </si>
  <si>
    <t>dibo1245</t>
  </si>
  <si>
    <t>Central Dibole</t>
  </si>
  <si>
    <t>cent2036</t>
  </si>
  <si>
    <t>Central Bomitaba</t>
  </si>
  <si>
    <t>cent2037</t>
  </si>
  <si>
    <t>Central Fe'Fe'</t>
  </si>
  <si>
    <t>cent2039</t>
  </si>
  <si>
    <t>klao1243</t>
  </si>
  <si>
    <t>Central Klaoh</t>
  </si>
  <si>
    <t>cent2040</t>
  </si>
  <si>
    <t>nucl1418</t>
  </si>
  <si>
    <t>Central Bassa</t>
  </si>
  <si>
    <t>gbol1236</t>
  </si>
  <si>
    <t>Central Grebo</t>
  </si>
  <si>
    <t>grv</t>
  </si>
  <si>
    <t>moru1252</t>
  </si>
  <si>
    <t>Central Moru-Madi</t>
  </si>
  <si>
    <t>cent2044</t>
  </si>
  <si>
    <t>Sara Central</t>
  </si>
  <si>
    <t>cent2045</t>
  </si>
  <si>
    <t>Jalaa</t>
  </si>
  <si>
    <t>cet</t>
  </si>
  <si>
    <t>cent2046</t>
  </si>
  <si>
    <t>Central Ometo</t>
  </si>
  <si>
    <t>cent2047</t>
  </si>
  <si>
    <t>mand1431</t>
  </si>
  <si>
    <t>Central Mande</t>
  </si>
  <si>
    <t>cent2048</t>
  </si>
  <si>
    <t>kono1268</t>
  </si>
  <si>
    <t>Central Kono</t>
  </si>
  <si>
    <t>cent2049</t>
  </si>
  <si>
    <t>heib1242</t>
  </si>
  <si>
    <t>west2502</t>
  </si>
  <si>
    <t>Central Heibanic</t>
  </si>
  <si>
    <t>cent2050</t>
  </si>
  <si>
    <t>kanu1281</t>
  </si>
  <si>
    <t>Central Kanuri</t>
  </si>
  <si>
    <t>knc</t>
  </si>
  <si>
    <t>CM NE NG SD TD</t>
  </si>
  <si>
    <t>cent2051</t>
  </si>
  <si>
    <t>nama1264</t>
  </si>
  <si>
    <t>Central Damara</t>
  </si>
  <si>
    <t>cent2052</t>
  </si>
  <si>
    <t>yawa1259</t>
  </si>
  <si>
    <t>nucl1454</t>
  </si>
  <si>
    <t>Central Yawa</t>
  </si>
  <si>
    <t>cent2053</t>
  </si>
  <si>
    <t>midd1346</t>
  </si>
  <si>
    <t>Central Malay</t>
  </si>
  <si>
    <t>pse</t>
  </si>
  <si>
    <t>cent2058</t>
  </si>
  <si>
    <t>Central Maewo</t>
  </si>
  <si>
    <t>mwo</t>
  </si>
  <si>
    <t>cent2060</t>
  </si>
  <si>
    <t>Central Pacific linkage</t>
  </si>
  <si>
    <t>cent2061</t>
  </si>
  <si>
    <t>Central Vanua Levu</t>
  </si>
  <si>
    <t>cent2062</t>
  </si>
  <si>
    <t>east2449</t>
  </si>
  <si>
    <t>Central Eastern Polynesian</t>
  </si>
  <si>
    <t>cent2063</t>
  </si>
  <si>
    <t>sant1458</t>
  </si>
  <si>
    <t>Central Santa Isabel</t>
  </si>
  <si>
    <t>cent2064</t>
  </si>
  <si>
    <t>Central Tigak</t>
  </si>
  <si>
    <t>cent2065</t>
  </si>
  <si>
    <t>Central Diodio</t>
  </si>
  <si>
    <t>cent2066</t>
  </si>
  <si>
    <t>Central Vivigani</t>
  </si>
  <si>
    <t>cent2067</t>
  </si>
  <si>
    <t>iama1237</t>
  </si>
  <si>
    <t>Central Yamalele</t>
  </si>
  <si>
    <t>cent2068</t>
  </si>
  <si>
    <t>Central Sewa Bay</t>
  </si>
  <si>
    <t>cent2069</t>
  </si>
  <si>
    <t>dobu1241</t>
  </si>
  <si>
    <t>Central Dobu</t>
  </si>
  <si>
    <t>cent2070</t>
  </si>
  <si>
    <t>peri1258</t>
  </si>
  <si>
    <t>Central Papuan Oceanic</t>
  </si>
  <si>
    <t>cent2072</t>
  </si>
  <si>
    <t>mase1249</t>
  </si>
  <si>
    <t>Central Masela</t>
  </si>
  <si>
    <t>mxz</t>
  </si>
  <si>
    <t>cent2073</t>
  </si>
  <si>
    <t>Central Manggarai</t>
  </si>
  <si>
    <t>cent2074</t>
  </si>
  <si>
    <t>Central Ngada</t>
  </si>
  <si>
    <t>ssq</t>
  </si>
  <si>
    <t>cent2076</t>
  </si>
  <si>
    <t>Central Buru</t>
  </si>
  <si>
    <t>cent2077</t>
  </si>
  <si>
    <t>Central East Alune</t>
  </si>
  <si>
    <t>cent2078</t>
  </si>
  <si>
    <t>Central West Alune</t>
  </si>
  <si>
    <t>cent2079</t>
  </si>
  <si>
    <t>timo1259</t>
  </si>
  <si>
    <t>Central Timoric A</t>
  </si>
  <si>
    <t>cent2080</t>
  </si>
  <si>
    <t>Central Luzon</t>
  </si>
  <si>
    <t>cent2081</t>
  </si>
  <si>
    <t>tbol1240</t>
  </si>
  <si>
    <t>Central Tboli</t>
  </si>
  <si>
    <t>cent2084</t>
  </si>
  <si>
    <t>Central Cagayan Agta</t>
  </si>
  <si>
    <t>agt</t>
  </si>
  <si>
    <t>cent2087</t>
  </si>
  <si>
    <t>coas1315</t>
  </si>
  <si>
    <t>Coastal-Naga Bikol</t>
  </si>
  <si>
    <t>bcl</t>
  </si>
  <si>
    <t>east2742</t>
  </si>
  <si>
    <t>Central Manobo</t>
  </si>
  <si>
    <t>cent2089</t>
  </si>
  <si>
    <t>east2769</t>
  </si>
  <si>
    <t>Central Subanen</t>
  </si>
  <si>
    <t>syb</t>
  </si>
  <si>
    <t>cent2090</t>
  </si>
  <si>
    <t>Central Tagbanwa</t>
  </si>
  <si>
    <t>tgt</t>
  </si>
  <si>
    <t>cent2091</t>
  </si>
  <si>
    <t>Central Palawano</t>
  </si>
  <si>
    <t>plc</t>
  </si>
  <si>
    <t>cent2092</t>
  </si>
  <si>
    <t>Central Sama</t>
  </si>
  <si>
    <t>sml</t>
  </si>
  <si>
    <t>cent2094</t>
  </si>
  <si>
    <t>Lower Baram</t>
  </si>
  <si>
    <t>cent2097</t>
  </si>
  <si>
    <t>Central-East Berawan</t>
  </si>
  <si>
    <t>cent2098</t>
  </si>
  <si>
    <t>Central Berawan</t>
  </si>
  <si>
    <t>zbc</t>
  </si>
  <si>
    <t>kada1292</t>
  </si>
  <si>
    <t>Central Dusun</t>
  </si>
  <si>
    <t>dtp</t>
  </si>
  <si>
    <t>mela1255</t>
  </si>
  <si>
    <t>Central Melanau</t>
  </si>
  <si>
    <t>mel</t>
  </si>
  <si>
    <t>cent2102</t>
  </si>
  <si>
    <t>mama1276</t>
  </si>
  <si>
    <t>Central Mamasa</t>
  </si>
  <si>
    <t>east2493</t>
  </si>
  <si>
    <t>Central East Formosan</t>
  </si>
  <si>
    <t>cent2104</t>
  </si>
  <si>
    <t>Central Amis</t>
  </si>
  <si>
    <t>cent2105</t>
  </si>
  <si>
    <t>Central Bunun</t>
  </si>
  <si>
    <t>west2572</t>
  </si>
  <si>
    <t>Central Western Plains</t>
  </si>
  <si>
    <t>cent2108</t>
  </si>
  <si>
    <t>hewa1241</t>
  </si>
  <si>
    <t>Central Lagaip</t>
  </si>
  <si>
    <t>cent2109</t>
  </si>
  <si>
    <t>molm1235</t>
  </si>
  <si>
    <t>Central Aunalei</t>
  </si>
  <si>
    <t>cent2110</t>
  </si>
  <si>
    <t>tari1255</t>
  </si>
  <si>
    <t>Central Tariku</t>
  </si>
  <si>
    <t>cent2111</t>
  </si>
  <si>
    <t>Central Wantoat</t>
  </si>
  <si>
    <t>cent2112</t>
  </si>
  <si>
    <t>Central Komba</t>
  </si>
  <si>
    <t>cent2113</t>
  </si>
  <si>
    <t>timb1251</t>
  </si>
  <si>
    <t>Central Timbe</t>
  </si>
  <si>
    <t>cent2114</t>
  </si>
  <si>
    <t>miga1241</t>
  </si>
  <si>
    <t>Central Migabac</t>
  </si>
  <si>
    <t>Asmat-Awyu-Ok</t>
  </si>
  <si>
    <t>cent2247</t>
  </si>
  <si>
    <t>Central Asmat</t>
  </si>
  <si>
    <t>cns</t>
  </si>
  <si>
    <t>cent2118</t>
  </si>
  <si>
    <t>Central Awyu</t>
  </si>
  <si>
    <t>awu</t>
  </si>
  <si>
    <t>cent2119</t>
  </si>
  <si>
    <t>komb1274</t>
  </si>
  <si>
    <t>Central Kombai</t>
  </si>
  <si>
    <t>cent2120</t>
  </si>
  <si>
    <t>Chimbu-Wahgi</t>
  </si>
  <si>
    <t>cent2121</t>
  </si>
  <si>
    <t>Central Maring</t>
  </si>
  <si>
    <t>cent2122</t>
  </si>
  <si>
    <t>piaw1238</t>
  </si>
  <si>
    <t>haru1245</t>
  </si>
  <si>
    <t>Central Waibuk</t>
  </si>
  <si>
    <t>cent2123</t>
  </si>
  <si>
    <t>sent1261</t>
  </si>
  <si>
    <t>nucl1632</t>
  </si>
  <si>
    <t>Central Sentani</t>
  </si>
  <si>
    <t>cent2124</t>
  </si>
  <si>
    <t>fuyu1242</t>
  </si>
  <si>
    <t>Central Udab</t>
  </si>
  <si>
    <t>cent2125</t>
  </si>
  <si>
    <t>Central Boikin</t>
  </si>
  <si>
    <t>okin1244</t>
  </si>
  <si>
    <t>Central Okinawan</t>
  </si>
  <si>
    <t>ryu</t>
  </si>
  <si>
    <t>yupi1267</t>
  </si>
  <si>
    <t>Central Alaskan Yupik</t>
  </si>
  <si>
    <t>cent2128</t>
  </si>
  <si>
    <t>Central Siberian Yupik</t>
  </si>
  <si>
    <t>ess</t>
  </si>
  <si>
    <t>cent2129</t>
  </si>
  <si>
    <t>Central Salish</t>
  </si>
  <si>
    <t>cent2130</t>
  </si>
  <si>
    <t>numi1242</t>
  </si>
  <si>
    <t>Central Numic</t>
  </si>
  <si>
    <t>Central Tarahumara</t>
  </si>
  <si>
    <t>cent2132</t>
  </si>
  <si>
    <t>cent2258</t>
  </si>
  <si>
    <t>Tlaxcala-Puebla-Central Nahuatl</t>
  </si>
  <si>
    <t>nhn</t>
  </si>
  <si>
    <t>cent2133</t>
  </si>
  <si>
    <t>tehu1244</t>
  </si>
  <si>
    <t>Central Puebla Nahuatl</t>
  </si>
  <si>
    <t>ncx</t>
  </si>
  <si>
    <t>cent2134</t>
  </si>
  <si>
    <t>huas1257</t>
  </si>
  <si>
    <t>Central Huasteca Nahuatl</t>
  </si>
  <si>
    <t>nch</t>
  </si>
  <si>
    <t>cent2135</t>
  </si>
  <si>
    <t>chip1241</t>
  </si>
  <si>
    <t>Central Minnesota Chippewa</t>
  </si>
  <si>
    <t>cent2136</t>
  </si>
  <si>
    <t>cent2252</t>
  </si>
  <si>
    <t>Central Ojibwa</t>
  </si>
  <si>
    <t>ojc</t>
  </si>
  <si>
    <t>cent2137</t>
  </si>
  <si>
    <t>yana1271</t>
  </si>
  <si>
    <t>Central Yana</t>
  </si>
  <si>
    <t>cent2138</t>
  </si>
  <si>
    <t>pomo1273</t>
  </si>
  <si>
    <t>nort2965</t>
  </si>
  <si>
    <t>Central Pomo</t>
  </si>
  <si>
    <t>poo</t>
  </si>
  <si>
    <t>sout3132</t>
  </si>
  <si>
    <t>Central Chumashan</t>
  </si>
  <si>
    <t>cent2140</t>
  </si>
  <si>
    <t>sier1249</t>
  </si>
  <si>
    <t>Central Sierra Miwok</t>
  </si>
  <si>
    <t>csm</t>
  </si>
  <si>
    <t>quec1386</t>
  </si>
  <si>
    <t>Central Quechua I</t>
  </si>
  <si>
    <t>nucl1667</t>
  </si>
  <si>
    <t>Central Aymara</t>
  </si>
  <si>
    <t>ayr</t>
  </si>
  <si>
    <t>AR BO CL PE</t>
  </si>
  <si>
    <t>cent2143</t>
  </si>
  <si>
    <t>Central Kaingang</t>
  </si>
  <si>
    <t>maza1293</t>
  </si>
  <si>
    <t>Central Mazahua</t>
  </si>
  <si>
    <t>maz</t>
  </si>
  <si>
    <t>cent2145</t>
  </si>
  <si>
    <t>pame1260</t>
  </si>
  <si>
    <t>Central Pame</t>
  </si>
  <si>
    <t>pbs</t>
  </si>
  <si>
    <t>core1259</t>
  </si>
  <si>
    <t>Central Core Zapotec</t>
  </si>
  <si>
    <t>cent2150</t>
  </si>
  <si>
    <t>Central Tunebo</t>
  </si>
  <si>
    <t>tuf</t>
  </si>
  <si>
    <t>cent2187</t>
  </si>
  <si>
    <t>Central Dangaleat</t>
  </si>
  <si>
    <t>cent2188</t>
  </si>
  <si>
    <t>Central Masa</t>
  </si>
  <si>
    <t>cent2189</t>
  </si>
  <si>
    <t>mafa1239</t>
  </si>
  <si>
    <t>Central Mafa</t>
  </si>
  <si>
    <t>cent2190</t>
  </si>
  <si>
    <t>lama1288</t>
  </si>
  <si>
    <t>Central Laamang</t>
  </si>
  <si>
    <t>cent2192</t>
  </si>
  <si>
    <t>Central Afar</t>
  </si>
  <si>
    <t>Agaw</t>
  </si>
  <si>
    <t>Central Moroccan Berber</t>
  </si>
  <si>
    <t>DZ MA</t>
  </si>
  <si>
    <t>cent2195</t>
  </si>
  <si>
    <t>Central Atlas</t>
  </si>
  <si>
    <t>cent2214</t>
  </si>
  <si>
    <t>sheh1240</t>
  </si>
  <si>
    <t>Central Jibbali</t>
  </si>
  <si>
    <t>cent2215</t>
  </si>
  <si>
    <t>Central Soqotri</t>
  </si>
  <si>
    <t>east2680</t>
  </si>
  <si>
    <t>Central Eastern Aramaic</t>
  </si>
  <si>
    <t>Central Group</t>
  </si>
  <si>
    <t>najd1235</t>
  </si>
  <si>
    <t>Central Najdi</t>
  </si>
  <si>
    <t>Central Sudanic</t>
  </si>
  <si>
    <t>cent2226</t>
  </si>
  <si>
    <t>Central Maipuran</t>
  </si>
  <si>
    <t>Central Dravidian</t>
  </si>
  <si>
    <t>cent2228</t>
  </si>
  <si>
    <t>Central Iwaidjic</t>
  </si>
  <si>
    <t>cent2229</t>
  </si>
  <si>
    <t>Central-Western Kadugli-Krongo</t>
  </si>
  <si>
    <t>Central Atlantic</t>
  </si>
  <si>
    <t>cent2231</t>
  </si>
  <si>
    <t>marn1242</t>
  </si>
  <si>
    <t>Central Gunwinyguan</t>
  </si>
  <si>
    <t>west2781</t>
  </si>
  <si>
    <t>Central Nubian</t>
  </si>
  <si>
    <t>cent2233</t>
  </si>
  <si>
    <t>Central Dani</t>
  </si>
  <si>
    <t>sepi1258</t>
  </si>
  <si>
    <t>Central Sepik Hill</t>
  </si>
  <si>
    <t>cent2235</t>
  </si>
  <si>
    <t>east2366</t>
  </si>
  <si>
    <t>Central-Eastern Tungusic</t>
  </si>
  <si>
    <t>west2786</t>
  </si>
  <si>
    <t>Central Semitic</t>
  </si>
  <si>
    <t>cent2237</t>
  </si>
  <si>
    <t>Central-Eastern Malayo-Polynesian</t>
  </si>
  <si>
    <t>cent2238</t>
  </si>
  <si>
    <t>onee1245</t>
  </si>
  <si>
    <t>Central-Northern One</t>
  </si>
  <si>
    <t>cent2240</t>
  </si>
  <si>
    <t>west2390</t>
  </si>
  <si>
    <t>Central Western Saami</t>
  </si>
  <si>
    <t>cent2241</t>
  </si>
  <si>
    <t>juku1257</t>
  </si>
  <si>
    <t>Central Jukunoid</t>
  </si>
  <si>
    <t>kain1275</t>
  </si>
  <si>
    <t>Central Kainji</t>
  </si>
  <si>
    <t>cent2243</t>
  </si>
  <si>
    <t>gura1261</t>
  </si>
  <si>
    <t>Central Gur</t>
  </si>
  <si>
    <t>senu1239</t>
  </si>
  <si>
    <t>Central Senufo</t>
  </si>
  <si>
    <t>Central Malayo-Polynesian</t>
  </si>
  <si>
    <t>grea1284</t>
  </si>
  <si>
    <t>Central Philippine</t>
  </si>
  <si>
    <t>Central-Yaosakor Asmat</t>
  </si>
  <si>
    <t>cent2248</t>
  </si>
  <si>
    <t>ngay1241</t>
  </si>
  <si>
    <t>Central Ngayarda</t>
  </si>
  <si>
    <t>cent2250</t>
  </si>
  <si>
    <t>kira1253</t>
  </si>
  <si>
    <t>Central Kiranti</t>
  </si>
  <si>
    <t>cent2251</t>
  </si>
  <si>
    <t>daic1237</t>
  </si>
  <si>
    <t>Central-Southwestern Tai</t>
  </si>
  <si>
    <t>nucl1723</t>
  </si>
  <si>
    <t>Central-Eastern-Southwestern Ojibwa</t>
  </si>
  <si>
    <t>cent2253</t>
  </si>
  <si>
    <t>obol1242</t>
  </si>
  <si>
    <t>Central Lower Cross</t>
  </si>
  <si>
    <t>cent2254</t>
  </si>
  <si>
    <t>Central Maluku</t>
  </si>
  <si>
    <t>cent2255</t>
  </si>
  <si>
    <t>Central and Southern Manobo</t>
  </si>
  <si>
    <t>Central Sogeram</t>
  </si>
  <si>
    <t>west2809</t>
  </si>
  <si>
    <t>Central Nahuatl</t>
  </si>
  <si>
    <t>Central Plains Edoid</t>
  </si>
  <si>
    <t>cent2260</t>
  </si>
  <si>
    <t>Central-Western Bantu</t>
  </si>
  <si>
    <t>cent2261</t>
  </si>
  <si>
    <t>tivo1239</t>
  </si>
  <si>
    <t>Central Tivoid</t>
  </si>
  <si>
    <t>tano1248</t>
  </si>
  <si>
    <t>Central Tano</t>
  </si>
  <si>
    <t>cent2263</t>
  </si>
  <si>
    <t>Central Bisayan</t>
  </si>
  <si>
    <t>cent2264</t>
  </si>
  <si>
    <t>Central Iran Kermanic</t>
  </si>
  <si>
    <t>cent2265</t>
  </si>
  <si>
    <t>tati1244</t>
  </si>
  <si>
    <t>Central Tatic</t>
  </si>
  <si>
    <t>cent2266</t>
  </si>
  <si>
    <t>Central Baja Mixtec</t>
  </si>
  <si>
    <t>cent2267</t>
  </si>
  <si>
    <t>Central Tivoid A</t>
  </si>
  <si>
    <t>Central Tivoid B</t>
  </si>
  <si>
    <t>nort3195</t>
  </si>
  <si>
    <t>Central Vanuatu</t>
  </si>
  <si>
    <t>sout3231</t>
  </si>
  <si>
    <t>Central-Eastern South Halmahera</t>
  </si>
  <si>
    <t>cent2271</t>
  </si>
  <si>
    <t>nort3196</t>
  </si>
  <si>
    <t>Central Malagasic</t>
  </si>
  <si>
    <t>Central Lower Baram A</t>
  </si>
  <si>
    <t>cent2273</t>
  </si>
  <si>
    <t>Central Lower Baram B</t>
  </si>
  <si>
    <t>cent2274</t>
  </si>
  <si>
    <t>nort3203</t>
  </si>
  <si>
    <t>Central Kenya Bantu</t>
  </si>
  <si>
    <t>ring1243</t>
  </si>
  <si>
    <t>Center Ring</t>
  </si>
  <si>
    <t>cent2276</t>
  </si>
  <si>
    <t>micr1244</t>
  </si>
  <si>
    <t>Central Micronesian</t>
  </si>
  <si>
    <t>yape1249</t>
  </si>
  <si>
    <t>Central-Western Yapen</t>
  </si>
  <si>
    <t>cent2279</t>
  </si>
  <si>
    <t>lenj1247</t>
  </si>
  <si>
    <t>Central Eastern Botatwe</t>
  </si>
  <si>
    <t>cent2280</t>
  </si>
  <si>
    <t>espi1234</t>
  </si>
  <si>
    <t>Central Santo</t>
  </si>
  <si>
    <t>cent2282</t>
  </si>
  <si>
    <t>kali1311</t>
  </si>
  <si>
    <t>Central and South Kalinga</t>
  </si>
  <si>
    <t>oila1234</t>
  </si>
  <si>
    <t>Central Oil</t>
  </si>
  <si>
    <t>Central Manenguba</t>
  </si>
  <si>
    <t>cent2285</t>
  </si>
  <si>
    <t>nyik1249</t>
  </si>
  <si>
    <t>Central and Southern Nyika</t>
  </si>
  <si>
    <t>cent2286</t>
  </si>
  <si>
    <t>Central Kilimanjaro</t>
  </si>
  <si>
    <t>cent2287</t>
  </si>
  <si>
    <t>east2756</t>
  </si>
  <si>
    <t>Central East Ruvu</t>
  </si>
  <si>
    <t>cent2288</t>
  </si>
  <si>
    <t>saam1285</t>
  </si>
  <si>
    <t>Central Luyia</t>
  </si>
  <si>
    <t>cent2289</t>
  </si>
  <si>
    <t>Central Ambon</t>
  </si>
  <si>
    <t>cent2290</t>
  </si>
  <si>
    <t>nucl1749</t>
  </si>
  <si>
    <t>Central Trukic</t>
  </si>
  <si>
    <t>cent2291</t>
  </si>
  <si>
    <t>daga1276</t>
  </si>
  <si>
    <t>Central-South Dagaric</t>
  </si>
  <si>
    <t>Central Bontoc</t>
  </si>
  <si>
    <t>lbk</t>
  </si>
  <si>
    <t>cent2293</t>
  </si>
  <si>
    <t>Central Kalenjin</t>
  </si>
  <si>
    <t>cent2296</t>
  </si>
  <si>
    <t>sout3211</t>
  </si>
  <si>
    <t>Central Cordilleran</t>
  </si>
  <si>
    <t>cent2297</t>
  </si>
  <si>
    <t>core1258</t>
  </si>
  <si>
    <t>Central-Western Lalo</t>
  </si>
  <si>
    <t>cent2298</t>
  </si>
  <si>
    <t>solo1260</t>
  </si>
  <si>
    <t>Central Northern Outlier Polynesian-East Polynesian</t>
  </si>
  <si>
    <t>cent2299</t>
  </si>
  <si>
    <t>Central Northern Outlier Polynesian</t>
  </si>
  <si>
    <t>cent2300</t>
  </si>
  <si>
    <t>juku1256</t>
  </si>
  <si>
    <t>Central Ju</t>
  </si>
  <si>
    <t>maza1308</t>
  </si>
  <si>
    <t>Central East Baja Mazatec</t>
  </si>
  <si>
    <t>cent2302</t>
  </si>
  <si>
    <t>Central-Eastern Oromo</t>
  </si>
  <si>
    <t>Central Oromo</t>
  </si>
  <si>
    <t>cent2304</t>
  </si>
  <si>
    <t>Central-Southern Persian Gypsy</t>
  </si>
  <si>
    <t>nucl1758</t>
  </si>
  <si>
    <t>Central Nicobar</t>
  </si>
  <si>
    <t>Central European Sign</t>
  </si>
  <si>
    <t>Central Sumbanese</t>
  </si>
  <si>
    <t>cent2308</t>
  </si>
  <si>
    <t>Central Yapen</t>
  </si>
  <si>
    <t>cent2309</t>
  </si>
  <si>
    <t>Central Aru</t>
  </si>
  <si>
    <t>cent2310</t>
  </si>
  <si>
    <t>plat1259</t>
  </si>
  <si>
    <t>Central Shona</t>
  </si>
  <si>
    <t>cent2311</t>
  </si>
  <si>
    <t>east2777</t>
  </si>
  <si>
    <t>Central-Eastern West Himalayish</t>
  </si>
  <si>
    <t>cent2312</t>
  </si>
  <si>
    <t>cent2313</t>
  </si>
  <si>
    <t>Central Mfumte</t>
  </si>
  <si>
    <t>mfum1239</t>
  </si>
  <si>
    <t>Central-Southern Mfumte</t>
  </si>
  <si>
    <t>cent2314</t>
  </si>
  <si>
    <t>west2394</t>
  </si>
  <si>
    <t>Central Chong</t>
  </si>
  <si>
    <t>east2753</t>
  </si>
  <si>
    <t>Central-Southeast Malakula</t>
  </si>
  <si>
    <t>cent2316</t>
  </si>
  <si>
    <t>west2871</t>
  </si>
  <si>
    <t>Central-Western Malakula</t>
  </si>
  <si>
    <t>cent2317</t>
  </si>
  <si>
    <t>Central Iranian PBS</t>
  </si>
  <si>
    <t>Central Iranian PB</t>
  </si>
  <si>
    <t>cent2319</t>
  </si>
  <si>
    <t>Central Taurus Sign Language</t>
  </si>
  <si>
    <t>cent2320</t>
  </si>
  <si>
    <t>Central Udmurt</t>
  </si>
  <si>
    <t>Central Sabi</t>
  </si>
  <si>
    <t>cent2322</t>
  </si>
  <si>
    <t>nort3271</t>
  </si>
  <si>
    <t>Central Mansi</t>
  </si>
  <si>
    <t>cent2323</t>
  </si>
  <si>
    <t>Central Bedouin Najdi</t>
  </si>
  <si>
    <t>cent2326</t>
  </si>
  <si>
    <t>comm1245</t>
  </si>
  <si>
    <t>Central Siberian Turkic</t>
  </si>
  <si>
    <t>cent2327</t>
  </si>
  <si>
    <t>miya1259</t>
  </si>
  <si>
    <t>Central Miyako</t>
  </si>
  <si>
    <t>cent2328</t>
  </si>
  <si>
    <t>kety1235</t>
  </si>
  <si>
    <t>Central Selkup</t>
  </si>
  <si>
    <t>cent2329</t>
  </si>
  <si>
    <t>neva1234</t>
  </si>
  <si>
    <t>Central Finnic</t>
  </si>
  <si>
    <t>kuki1246</t>
  </si>
  <si>
    <t>Central Kuki-Chin</t>
  </si>
  <si>
    <t>Central Javanese</t>
  </si>
  <si>
    <t>cent2332</t>
  </si>
  <si>
    <t>nucl1622</t>
  </si>
  <si>
    <t>Central Marind</t>
  </si>
  <si>
    <t>Central Rif</t>
  </si>
  <si>
    <t>cent2334</t>
  </si>
  <si>
    <t>Central Aweer</t>
  </si>
  <si>
    <t>cent2335</t>
  </si>
  <si>
    <t>Central Tundra Nenets</t>
  </si>
  <si>
    <t>cent2336</t>
  </si>
  <si>
    <t>levu1239</t>
  </si>
  <si>
    <t>Central Lembata</t>
  </si>
  <si>
    <t>cent2337</t>
  </si>
  <si>
    <t>Central Alaya-Athima</t>
  </si>
  <si>
    <t>tigr1270</t>
  </si>
  <si>
    <t>Central Tigre</t>
  </si>
  <si>
    <t>cent2339</t>
  </si>
  <si>
    <t>Central Balkan Bulgarian</t>
  </si>
  <si>
    <t>cent2340</t>
  </si>
  <si>
    <t>rupp1234</t>
  </si>
  <si>
    <t>Central Rup</t>
  </si>
  <si>
    <t>cent2341</t>
  </si>
  <si>
    <t>west2336</t>
  </si>
  <si>
    <t>Central Western Macedonian</t>
  </si>
  <si>
    <t>cent2342</t>
  </si>
  <si>
    <t>Central Gheg</t>
  </si>
  <si>
    <t>cent2343</t>
  </si>
  <si>
    <t>Central Russian</t>
  </si>
  <si>
    <t>cent2344</t>
  </si>
  <si>
    <t>sout3281</t>
  </si>
  <si>
    <t>Central English</t>
  </si>
  <si>
    <t>cent2345</t>
  </si>
  <si>
    <t>sout3285</t>
  </si>
  <si>
    <t>Central-East Southeastern English</t>
  </si>
  <si>
    <t>cent2346</t>
  </si>
  <si>
    <t>late1253</t>
  </si>
  <si>
    <t>Central Tibetan</t>
  </si>
  <si>
    <t>cent2347</t>
  </si>
  <si>
    <t>kham1282</t>
  </si>
  <si>
    <t>Central Khams</t>
  </si>
  <si>
    <t>cent2348</t>
  </si>
  <si>
    <t>ngit1239</t>
  </si>
  <si>
    <t>Central Ngiti</t>
  </si>
  <si>
    <t>cent2349</t>
  </si>
  <si>
    <t>lend1245</t>
  </si>
  <si>
    <t>Central Lendu</t>
  </si>
  <si>
    <t>cent2352</t>
  </si>
  <si>
    <t>Central Northern Dutch</t>
  </si>
  <si>
    <t>Central Southern Dutch</t>
  </si>
  <si>
    <t>cent2354</t>
  </si>
  <si>
    <t>thur1252</t>
  </si>
  <si>
    <t>Central Thuringian</t>
  </si>
  <si>
    <t>cent2355</t>
  </si>
  <si>
    <t>nage1237</t>
  </si>
  <si>
    <t>Central Nage</t>
  </si>
  <si>
    <t>cent2356</t>
  </si>
  <si>
    <t>Central Azerbaijani</t>
  </si>
  <si>
    <t>cent2357</t>
  </si>
  <si>
    <t>sout2729</t>
  </si>
  <si>
    <t>Central Pumi</t>
  </si>
  <si>
    <t>cent2358</t>
  </si>
  <si>
    <t>kett1243</t>
  </si>
  <si>
    <t>Central Ket</t>
  </si>
  <si>
    <t>cent2359</t>
  </si>
  <si>
    <t>saho1246</t>
  </si>
  <si>
    <t>Central Saho</t>
  </si>
  <si>
    <t>cepp1238</t>
  </si>
  <si>
    <t>cici1237</t>
  </si>
  <si>
    <t>Cep</t>
  </si>
  <si>
    <t>cerh1234</t>
  </si>
  <si>
    <t>Cerhari</t>
  </si>
  <si>
    <t>kirm1250</t>
  </si>
  <si>
    <t>Cerma</t>
  </si>
  <si>
    <t>cme</t>
  </si>
  <si>
    <t>BF CI</t>
  </si>
  <si>
    <t>cerr1235</t>
  </si>
  <si>
    <t>coyu1235</t>
  </si>
  <si>
    <t>Cerro Grande Totonac</t>
  </si>
  <si>
    <t>ceru1238</t>
  </si>
  <si>
    <t>shwa1239</t>
  </si>
  <si>
    <t>Cerumba</t>
  </si>
  <si>
    <t>chaa1238</t>
  </si>
  <si>
    <t>mmen1238</t>
  </si>
  <si>
    <t>Cha'</t>
  </si>
  <si>
    <t>chab1239</t>
  </si>
  <si>
    <t>east2830</t>
  </si>
  <si>
    <t>Chabcha</t>
  </si>
  <si>
    <t>Cha'palaa</t>
  </si>
  <si>
    <t>chac1250</t>
  </si>
  <si>
    <t>Chachapoyas Quechua</t>
  </si>
  <si>
    <t>quk</t>
  </si>
  <si>
    <t>chac1251</t>
  </si>
  <si>
    <t>Ch√°cobo</t>
  </si>
  <si>
    <t>cao</t>
  </si>
  <si>
    <t>chac1252</t>
  </si>
  <si>
    <t>pila1245</t>
  </si>
  <si>
    <t>Chaco Pilag√°</t>
  </si>
  <si>
    <t>chac1253</t>
  </si>
  <si>
    <t>Chacha</t>
  </si>
  <si>
    <t>chad1238</t>
  </si>
  <si>
    <t>nige1259</t>
  </si>
  <si>
    <t>Chadian Sign Language</t>
  </si>
  <si>
    <t>cds</t>
  </si>
  <si>
    <t>chad1240</t>
  </si>
  <si>
    <t>maon1240</t>
  </si>
  <si>
    <t>Chadong</t>
  </si>
  <si>
    <t>cdy</t>
  </si>
  <si>
    <t>suda1235</t>
  </si>
  <si>
    <t>Chadian Arabic</t>
  </si>
  <si>
    <t>CM NE NG TD</t>
  </si>
  <si>
    <t>Chadic</t>
  </si>
  <si>
    <t>chae1235</t>
  </si>
  <si>
    <t>hain1238</t>
  </si>
  <si>
    <t>Chaenzo</t>
  </si>
  <si>
    <t>chag1247</t>
  </si>
  <si>
    <t>Chagatai</t>
  </si>
  <si>
    <t>chg</t>
  </si>
  <si>
    <t>TM</t>
  </si>
  <si>
    <t>chag1248</t>
  </si>
  <si>
    <t>kili1269</t>
  </si>
  <si>
    <t>Kilimanjaro Bantu</t>
  </si>
  <si>
    <t>Chaga</t>
  </si>
  <si>
    <t>chah1241</t>
  </si>
  <si>
    <t>peri1253</t>
  </si>
  <si>
    <t>Chahar</t>
  </si>
  <si>
    <t>chah1242</t>
  </si>
  <si>
    <t>nyat1246</t>
  </si>
  <si>
    <t>Chahi</t>
  </si>
  <si>
    <t>chah1248</t>
  </si>
  <si>
    <t>seba1251</t>
  </si>
  <si>
    <t>Chaha</t>
  </si>
  <si>
    <t>chai1235</t>
  </si>
  <si>
    <t>hooo1248</t>
  </si>
  <si>
    <t>Chaibasa-Thakurmunda</t>
  </si>
  <si>
    <t>chai1251</t>
  </si>
  <si>
    <t>Chail</t>
  </si>
  <si>
    <t>chai1252</t>
  </si>
  <si>
    <t>suri1267</t>
  </si>
  <si>
    <t>Chai</t>
  </si>
  <si>
    <t>chai1253</t>
  </si>
  <si>
    <t>coas1302</t>
  </si>
  <si>
    <t>Chaima</t>
  </si>
  <si>
    <t>ciy</t>
  </si>
  <si>
    <t>chai1254</t>
  </si>
  <si>
    <t>unun9960</t>
  </si>
  <si>
    <t>Chairel</t>
  </si>
  <si>
    <t>chak1245</t>
  </si>
  <si>
    <t>mbug1240</t>
  </si>
  <si>
    <t>Cha kawaida</t>
  </si>
  <si>
    <t>sout1528</t>
  </si>
  <si>
    <t>Chakavski</t>
  </si>
  <si>
    <t>sout3182</t>
  </si>
  <si>
    <t>chak1267</t>
  </si>
  <si>
    <t>Chak (Nepal)</t>
  </si>
  <si>
    <t>chak1268</t>
  </si>
  <si>
    <t>Chakroma</t>
  </si>
  <si>
    <t>Chak</t>
  </si>
  <si>
    <t>ckh</t>
  </si>
  <si>
    <t>chak1271</t>
  </si>
  <si>
    <t>chak1274</t>
  </si>
  <si>
    <t>Chakali</t>
  </si>
  <si>
    <t>cli</t>
  </si>
  <si>
    <t>chak1272</t>
  </si>
  <si>
    <t>sisa1247</t>
  </si>
  <si>
    <t>Chakalic</t>
  </si>
  <si>
    <t>chak1273</t>
  </si>
  <si>
    <t>Chakali-Tamprusi-Vagala</t>
  </si>
  <si>
    <t>Chakali-Tamprusi</t>
  </si>
  <si>
    <t>chak1275</t>
  </si>
  <si>
    <t>goem1241</t>
  </si>
  <si>
    <t>Chakato</t>
  </si>
  <si>
    <t>chak1276</t>
  </si>
  <si>
    <t>Chakfem</t>
  </si>
  <si>
    <t>chal1263</t>
  </si>
  <si>
    <t>Chalas</t>
  </si>
  <si>
    <t>chal1264</t>
  </si>
  <si>
    <t>chra1242</t>
  </si>
  <si>
    <t>Chalun</t>
  </si>
  <si>
    <t>chal1265</t>
  </si>
  <si>
    <t>Chalah</t>
  </si>
  <si>
    <t>phob1238</t>
  </si>
  <si>
    <t>Chali-Bumthangic</t>
  </si>
  <si>
    <t>chal1267</t>
  </si>
  <si>
    <t>Chalikha</t>
  </si>
  <si>
    <t>tgf</t>
  </si>
  <si>
    <t>chal1268</t>
  </si>
  <si>
    <t>Chali</t>
  </si>
  <si>
    <t>chal1269</t>
  </si>
  <si>
    <t>delo1241</t>
  </si>
  <si>
    <t>Chala</t>
  </si>
  <si>
    <t>cll</t>
  </si>
  <si>
    <t>chal1270</t>
  </si>
  <si>
    <t>nort3252</t>
  </si>
  <si>
    <t>Chalon</t>
  </si>
  <si>
    <t>Chaldean Neo-Aramaic</t>
  </si>
  <si>
    <t>cld</t>
  </si>
  <si>
    <t>IQ SY TR</t>
  </si>
  <si>
    <t>Chambeali</t>
  </si>
  <si>
    <t>cdh</t>
  </si>
  <si>
    <t>cham1308</t>
  </si>
  <si>
    <t>Chamba-Lahuli</t>
  </si>
  <si>
    <t>cham1309</t>
  </si>
  <si>
    <t>Chamalal</t>
  </si>
  <si>
    <t>cji</t>
  </si>
  <si>
    <t>cham1310</t>
  </si>
  <si>
    <t>iumi1238</t>
  </si>
  <si>
    <t>Cham (Hmong-Mien)</t>
  </si>
  <si>
    <t>cham1311</t>
  </si>
  <si>
    <t>samb1315</t>
  </si>
  <si>
    <t>Chamus</t>
  </si>
  <si>
    <t>cham1312</t>
  </si>
  <si>
    <t>Chamorro</t>
  </si>
  <si>
    <t>cha</t>
  </si>
  <si>
    <t>GU MP</t>
  </si>
  <si>
    <t>cham1313</t>
  </si>
  <si>
    <t>Chambri</t>
  </si>
  <si>
    <t>can</t>
  </si>
  <si>
    <t>cham1314</t>
  </si>
  <si>
    <t>Chama subgroup</t>
  </si>
  <si>
    <t>cham1315</t>
  </si>
  <si>
    <t>Chamacoco</t>
  </si>
  <si>
    <t>ceg</t>
  </si>
  <si>
    <t>BO BR PY</t>
  </si>
  <si>
    <t>cham1316</t>
  </si>
  <si>
    <t>Chamacoco Bravo</t>
  </si>
  <si>
    <t>cham1317</t>
  </si>
  <si>
    <t>west2648</t>
  </si>
  <si>
    <t>Chamicuro-Morike</t>
  </si>
  <si>
    <t>cham1318</t>
  </si>
  <si>
    <t>Chamicuro</t>
  </si>
  <si>
    <t>ccc</t>
  </si>
  <si>
    <t>Aceh-Chamic</t>
  </si>
  <si>
    <t>coas1305</t>
  </si>
  <si>
    <t>cham1329</t>
  </si>
  <si>
    <t>Chamari</t>
  </si>
  <si>
    <t>cdg</t>
  </si>
  <si>
    <t>cham1330</t>
  </si>
  <si>
    <t>Chamic</t>
  </si>
  <si>
    <t>kang1292</t>
  </si>
  <si>
    <t>Chamealic</t>
  </si>
  <si>
    <t>cham1332</t>
  </si>
  <si>
    <t>Champenois</t>
  </si>
  <si>
    <t>cham1333</t>
  </si>
  <si>
    <t>Chamdo Tibetan</t>
  </si>
  <si>
    <t>chan1289</t>
  </si>
  <si>
    <t>Cha ndani</t>
  </si>
  <si>
    <t>chan1296</t>
  </si>
  <si>
    <t>char1238</t>
  </si>
  <si>
    <t>Chan√°</t>
  </si>
  <si>
    <t>UY</t>
  </si>
  <si>
    <t>chan1306</t>
  </si>
  <si>
    <t>Chandpuri</t>
  </si>
  <si>
    <t>chan1307</t>
  </si>
  <si>
    <t>Chandari</t>
  </si>
  <si>
    <t>chan1308</t>
  </si>
  <si>
    <t>kuyy1240</t>
  </si>
  <si>
    <t>Chang</t>
  </si>
  <si>
    <t>chan1309</t>
  </si>
  <si>
    <t>lada1242</t>
  </si>
  <si>
    <t>Changthang</t>
  </si>
  <si>
    <t>cna</t>
  </si>
  <si>
    <t>chan1310</t>
  </si>
  <si>
    <t>thak1244</t>
  </si>
  <si>
    <t>Chantyal</t>
  </si>
  <si>
    <t>chx</t>
  </si>
  <si>
    <t>chan1311</t>
  </si>
  <si>
    <t>Changki</t>
  </si>
  <si>
    <t>chan1312</t>
  </si>
  <si>
    <t>Changsen</t>
  </si>
  <si>
    <t>chan1313</t>
  </si>
  <si>
    <t>kony1247</t>
  </si>
  <si>
    <t>Chang Naga</t>
  </si>
  <si>
    <t>nbc</t>
  </si>
  <si>
    <t>chan1314</t>
  </si>
  <si>
    <t>Changnoi</t>
  </si>
  <si>
    <t>chan1315</t>
  </si>
  <si>
    <t>Changnyu</t>
  </si>
  <si>
    <t>chan1316</t>
  </si>
  <si>
    <t>xian1251</t>
  </si>
  <si>
    <t>Changyi</t>
  </si>
  <si>
    <t>ganc1239</t>
  </si>
  <si>
    <t>Chang-Jing</t>
  </si>
  <si>
    <t>chan1318</t>
  </si>
  <si>
    <t>Changana</t>
  </si>
  <si>
    <t>chan1319</t>
  </si>
  <si>
    <t>Changriwa</t>
  </si>
  <si>
    <t>cga</t>
  </si>
  <si>
    <t>chan1320</t>
  </si>
  <si>
    <t>Chanal Cancuc</t>
  </si>
  <si>
    <t>chan1321</t>
  </si>
  <si>
    <t>shar1245</t>
  </si>
  <si>
    <t>Chandinahua</t>
  </si>
  <si>
    <t>chan1322</t>
  </si>
  <si>
    <t>tere1279</t>
  </si>
  <si>
    <t>Chan√©</t>
  </si>
  <si>
    <t>caj</t>
  </si>
  <si>
    <t>chan1324</t>
  </si>
  <si>
    <t>dora1241</t>
  </si>
  <si>
    <t>Changuena</t>
  </si>
  <si>
    <t>chan1325</t>
  </si>
  <si>
    <t>ting1250</t>
  </si>
  <si>
    <t>Changting</t>
  </si>
  <si>
    <t>chan1326</t>
  </si>
  <si>
    <t>Changsha</t>
  </si>
  <si>
    <t>chan1327</t>
  </si>
  <si>
    <t>west2901</t>
  </si>
  <si>
    <t>Channel Islands English</t>
  </si>
  <si>
    <t>chao1238</t>
  </si>
  <si>
    <t>chao1239</t>
  </si>
  <si>
    <t>Chaozhou</t>
  </si>
  <si>
    <t>minn1241</t>
  </si>
  <si>
    <t>Chaoshan</t>
  </si>
  <si>
    <t>chap1265</t>
  </si>
  <si>
    <t>fran1266</t>
  </si>
  <si>
    <t>Chapultenango</t>
  </si>
  <si>
    <t>chap1269</t>
  </si>
  <si>
    <t>chap1271</t>
  </si>
  <si>
    <t>kite1238</t>
  </si>
  <si>
    <t>Chapakura</t>
  </si>
  <si>
    <t>chap1270</t>
  </si>
  <si>
    <t>Chapara</t>
  </si>
  <si>
    <t>Chapacuran</t>
  </si>
  <si>
    <t>Charruan</t>
  </si>
  <si>
    <t>char1240</t>
  </si>
  <si>
    <t>Charr√∫a</t>
  </si>
  <si>
    <t>char1266</t>
  </si>
  <si>
    <t>Charlang</t>
  </si>
  <si>
    <t>char1267</t>
  </si>
  <si>
    <t>Charani</t>
  </si>
  <si>
    <t>char1269</t>
  </si>
  <si>
    <t>omet1238</t>
  </si>
  <si>
    <t>Chara</t>
  </si>
  <si>
    <t>cra</t>
  </si>
  <si>
    <t>char1270</t>
  </si>
  <si>
    <t>Charazani</t>
  </si>
  <si>
    <t>char1283</t>
  </si>
  <si>
    <t>Chari-Baguirmi</t>
  </si>
  <si>
    <t>char1284</t>
  </si>
  <si>
    <t>Charleston English</t>
  </si>
  <si>
    <t>chas1234</t>
  </si>
  <si>
    <t>leqi1234</t>
  </si>
  <si>
    <t>Chashan</t>
  </si>
  <si>
    <t>chat1267</t>
  </si>
  <si>
    <t>limb1266</t>
  </si>
  <si>
    <t>Chattare</t>
  </si>
  <si>
    <t>chat1268</t>
  </si>
  <si>
    <t>zapo1436</t>
  </si>
  <si>
    <t>Chatino</t>
  </si>
  <si>
    <t>chat1269</t>
  </si>
  <si>
    <t>San Juan Quiahije Chatino Sign Language</t>
  </si>
  <si>
    <t>chau1257</t>
  </si>
  <si>
    <t>Chaudhabis</t>
  </si>
  <si>
    <t>chau1258</t>
  </si>
  <si>
    <t>chow1240</t>
  </si>
  <si>
    <t>Chaura</t>
  </si>
  <si>
    <t>crv</t>
  </si>
  <si>
    <t>chau1259</t>
  </si>
  <si>
    <t>darm1241</t>
  </si>
  <si>
    <t>Chaudangsi</t>
  </si>
  <si>
    <t>cdn</t>
  </si>
  <si>
    <t>chau1260</t>
  </si>
  <si>
    <t>west2424</t>
  </si>
  <si>
    <t>Chaurasiya</t>
  </si>
  <si>
    <t>chau1261</t>
  </si>
  <si>
    <t>Chaun</t>
  </si>
  <si>
    <t>chau1262</t>
  </si>
  <si>
    <t>Chaungtha</t>
  </si>
  <si>
    <t>ccq</t>
  </si>
  <si>
    <t>tern1253</t>
  </si>
  <si>
    <t>Chavacano</t>
  </si>
  <si>
    <t>cbk</t>
  </si>
  <si>
    <t>chaw1244</t>
  </si>
  <si>
    <t>Chawia</t>
  </si>
  <si>
    <t>main1277</t>
  </si>
  <si>
    <t>Shawi</t>
  </si>
  <si>
    <t>cbt</t>
  </si>
  <si>
    <t>chay1249</t>
  </si>
  <si>
    <t>east2746</t>
  </si>
  <si>
    <t>Chayuco Mixtec</t>
  </si>
  <si>
    <t>mih</t>
  </si>
  <si>
    <t>sulu1241</t>
  </si>
  <si>
    <t>Chayangtajoic</t>
  </si>
  <si>
    <t>chaz1235</t>
  </si>
  <si>
    <t>Chazumba Mixtec</t>
  </si>
  <si>
    <t>xtb</t>
  </si>
  <si>
    <t>chec1244</t>
  </si>
  <si>
    <t>Chechen-Ingush</t>
  </si>
  <si>
    <t>chec1245</t>
  </si>
  <si>
    <t>Chechen</t>
  </si>
  <si>
    <t>che</t>
  </si>
  <si>
    <t>GE KZ RU</t>
  </si>
  <si>
    <t>ched1238</t>
  </si>
  <si>
    <t>nort2810</t>
  </si>
  <si>
    <t>Chedepo</t>
  </si>
  <si>
    <t>chee1238</t>
  </si>
  <si>
    <t>Che</t>
  </si>
  <si>
    <t>ruk</t>
  </si>
  <si>
    <t>chej1238</t>
  </si>
  <si>
    <t>kore1284</t>
  </si>
  <si>
    <t>Cheju Island</t>
  </si>
  <si>
    <t>chek1238</t>
  </si>
  <si>
    <t>east2452</t>
  </si>
  <si>
    <t>Cheke Holo</t>
  </si>
  <si>
    <t>mrn</t>
  </si>
  <si>
    <t>chel1241</t>
  </si>
  <si>
    <t>Chelgerd</t>
  </si>
  <si>
    <t>chem1251</t>
  </si>
  <si>
    <t>utes1238</t>
  </si>
  <si>
    <t>Chemehuevi</t>
  </si>
  <si>
    <t>chen1255</t>
  </si>
  <si>
    <t>telu1265</t>
  </si>
  <si>
    <t>Chenchu</t>
  </si>
  <si>
    <t>cde</t>
  </si>
  <si>
    <t>chen1256</t>
  </si>
  <si>
    <t>Chen</t>
  </si>
  <si>
    <t>chen1257</t>
  </si>
  <si>
    <t>Chenba'erhu</t>
  </si>
  <si>
    <t>chen1259</t>
  </si>
  <si>
    <t>woga1248</t>
  </si>
  <si>
    <t>Chenapian</t>
  </si>
  <si>
    <t>cjn</t>
  </si>
  <si>
    <t>chen1265</t>
  </si>
  <si>
    <t>gudu1252</t>
  </si>
  <si>
    <t>Chena</t>
  </si>
  <si>
    <t>chen1266</t>
  </si>
  <si>
    <t>zena1250</t>
  </si>
  <si>
    <t>Western Algerian Berber</t>
  </si>
  <si>
    <t>cnu</t>
  </si>
  <si>
    <t>chen1267</t>
  </si>
  <si>
    <t>xina1239</t>
  </si>
  <si>
    <t>Chengdu Mandarin</t>
  </si>
  <si>
    <t>Chen-Xu</t>
  </si>
  <si>
    <t>chen1269</t>
  </si>
  <si>
    <t>Chenxi</t>
  </si>
  <si>
    <t>chep1243</t>
  </si>
  <si>
    <t>Chepya</t>
  </si>
  <si>
    <t>ycp</t>
  </si>
  <si>
    <t>kham1285</t>
  </si>
  <si>
    <t>Chepangic</t>
  </si>
  <si>
    <t>chep1245</t>
  </si>
  <si>
    <t>Chepang</t>
  </si>
  <si>
    <t>cdm</t>
  </si>
  <si>
    <t>cher1270</t>
  </si>
  <si>
    <t>Cherrapunji</t>
  </si>
  <si>
    <t>cher1271</t>
  </si>
  <si>
    <t>guac1241</t>
  </si>
  <si>
    <t>Cherepon</t>
  </si>
  <si>
    <t>cpn</t>
  </si>
  <si>
    <t>cher1272</t>
  </si>
  <si>
    <t>Cherii</t>
  </si>
  <si>
    <t>ches1238</t>
  </si>
  <si>
    <t>Chesu</t>
  </si>
  <si>
    <t>ych</t>
  </si>
  <si>
    <t>chet1237</t>
  </si>
  <si>
    <t>Chetco</t>
  </si>
  <si>
    <t>ctc</t>
  </si>
  <si>
    <t>chew1245</t>
  </si>
  <si>
    <t>nort2682</t>
  </si>
  <si>
    <t>Chewong</t>
  </si>
  <si>
    <t>cwg</t>
  </si>
  <si>
    <t>Cheyenne</t>
  </si>
  <si>
    <t>chha1248</t>
  </si>
  <si>
    <t>Chhatapur</t>
  </si>
  <si>
    <t>Chhattisgarhi</t>
  </si>
  <si>
    <t>hne</t>
  </si>
  <si>
    <t>chha1250</t>
  </si>
  <si>
    <t>Chhattisgarhi Proper</t>
  </si>
  <si>
    <t>chha1251</t>
  </si>
  <si>
    <t>kulu1253</t>
  </si>
  <si>
    <t>Chhapkoa</t>
  </si>
  <si>
    <t>chhi1243</t>
  </si>
  <si>
    <t>Chhindwara Bundeli</t>
  </si>
  <si>
    <t>chhi1244</t>
  </si>
  <si>
    <t>Chhindwara</t>
  </si>
  <si>
    <t>chhi1245</t>
  </si>
  <si>
    <t>Chintang</t>
  </si>
  <si>
    <t>ctn</t>
  </si>
  <si>
    <t>chho1235</t>
  </si>
  <si>
    <t>Chholo</t>
  </si>
  <si>
    <t>chhu1238</t>
  </si>
  <si>
    <t>Chhulung</t>
  </si>
  <si>
    <t>cur</t>
  </si>
  <si>
    <t>chia1237</t>
  </si>
  <si>
    <t>oldc1250</t>
  </si>
  <si>
    <t>Chiangmai Sign Language</t>
  </si>
  <si>
    <t>csd</t>
  </si>
  <si>
    <t>chia1260</t>
  </si>
  <si>
    <t>Chiangrai</t>
  </si>
  <si>
    <t>chia1261</t>
  </si>
  <si>
    <t>zoqu1261</t>
  </si>
  <si>
    <t>Chiapas Zoque</t>
  </si>
  <si>
    <t>chia1262</t>
  </si>
  <si>
    <t>mang1426</t>
  </si>
  <si>
    <t>Chiapanec</t>
  </si>
  <si>
    <t>cip</t>
  </si>
  <si>
    <t>chib1247</t>
  </si>
  <si>
    <t>Chibhali</t>
  </si>
  <si>
    <t>chib1248</t>
  </si>
  <si>
    <t>east2527</t>
  </si>
  <si>
    <t>Chiba</t>
  </si>
  <si>
    <t>Chibchan</t>
  </si>
  <si>
    <t>chib1269</t>
  </si>
  <si>
    <t>Chibcha-Duit</t>
  </si>
  <si>
    <t>chib1270</t>
  </si>
  <si>
    <t>Chibcha</t>
  </si>
  <si>
    <t>chb</t>
  </si>
  <si>
    <t>chib1271</t>
  </si>
  <si>
    <t>lowe1396</t>
  </si>
  <si>
    <t>Chibi</t>
  </si>
  <si>
    <t>chic1269</t>
  </si>
  <si>
    <t>Chichibu</t>
  </si>
  <si>
    <t>chic1270</t>
  </si>
  <si>
    <t>west2614</t>
  </si>
  <si>
    <t>Chickasaw</t>
  </si>
  <si>
    <t>cic</t>
  </si>
  <si>
    <t>chic1271</t>
  </si>
  <si>
    <t>huas1241</t>
  </si>
  <si>
    <t>Chicomuceltec</t>
  </si>
  <si>
    <t>cob</t>
  </si>
  <si>
    <t>GT MX</t>
  </si>
  <si>
    <t>chic1272</t>
  </si>
  <si>
    <t>otop1242</t>
  </si>
  <si>
    <t>Chichimeca-Jonaz</t>
  </si>
  <si>
    <t>pei</t>
  </si>
  <si>
    <t>chic1273</t>
  </si>
  <si>
    <t>triq1251</t>
  </si>
  <si>
    <t>Chicahuaxtla Triqui</t>
  </si>
  <si>
    <t>trs</t>
  </si>
  <si>
    <t>chic1274</t>
  </si>
  <si>
    <t>Chichicapan Zapotec</t>
  </si>
  <si>
    <t>zpv</t>
  </si>
  <si>
    <t>nkor1241</t>
  </si>
  <si>
    <t>Chiga</t>
  </si>
  <si>
    <t>CD RW UG</t>
  </si>
  <si>
    <t>chig1239</t>
  </si>
  <si>
    <t>Chigmecatitl√°n Mixtec</t>
  </si>
  <si>
    <t>mii</t>
  </si>
  <si>
    <t>chih1238</t>
  </si>
  <si>
    <t>pima1248</t>
  </si>
  <si>
    <t>Chihuahua Pima Bajo</t>
  </si>
  <si>
    <t>chii1238</t>
  </si>
  <si>
    <t>makc1235</t>
  </si>
  <si>
    <t>Chi</t>
  </si>
  <si>
    <t>chik1249</t>
  </si>
  <si>
    <t>Chikonono</t>
  </si>
  <si>
    <t>chik1250</t>
  </si>
  <si>
    <t>Chikamanga</t>
  </si>
  <si>
    <t>chik1251</t>
  </si>
  <si>
    <t>hich1237</t>
  </si>
  <si>
    <t>Chikuho-ben</t>
  </si>
  <si>
    <t>chik1252</t>
  </si>
  <si>
    <t>Chikugo-ben</t>
  </si>
  <si>
    <t>chik1255</t>
  </si>
  <si>
    <t>Chikide</t>
  </si>
  <si>
    <t>chil1261</t>
  </si>
  <si>
    <t>fana1235</t>
  </si>
  <si>
    <t>Chilapalapa</t>
  </si>
  <si>
    <t>chil1264</t>
  </si>
  <si>
    <t>chil1284</t>
  </si>
  <si>
    <t>Chilean Sign Language</t>
  </si>
  <si>
    <t>csg</t>
  </si>
  <si>
    <t>chil1275</t>
  </si>
  <si>
    <t>Chilisso</t>
  </si>
  <si>
    <t>clh</t>
  </si>
  <si>
    <t>chil1276</t>
  </si>
  <si>
    <t>Chilasi Kohistani</t>
  </si>
  <si>
    <t>chil1277</t>
  </si>
  <si>
    <t>Chilas</t>
  </si>
  <si>
    <t>chil1278</t>
  </si>
  <si>
    <t>east2333</t>
  </si>
  <si>
    <t>Chil</t>
  </si>
  <si>
    <t>chil1279</t>
  </si>
  <si>
    <t>koho1244</t>
  </si>
  <si>
    <t>Chil (Koho)</t>
  </si>
  <si>
    <t>chil1280</t>
  </si>
  <si>
    <t>Chilcotin</t>
  </si>
  <si>
    <t>clc</t>
  </si>
  <si>
    <t>chil1281</t>
  </si>
  <si>
    <t>halk1245</t>
  </si>
  <si>
    <t>Chiliwack</t>
  </si>
  <si>
    <t>chil1282</t>
  </si>
  <si>
    <t>tlac1238</t>
  </si>
  <si>
    <t>Chiltepec Chinantec</t>
  </si>
  <si>
    <t>csa</t>
  </si>
  <si>
    <t>chil1283</t>
  </si>
  <si>
    <t>Chilean Quechua</t>
  </si>
  <si>
    <t>cqu</t>
  </si>
  <si>
    <t>Chile-Paraguay-Uruguay Sign</t>
  </si>
  <si>
    <t>chim1297</t>
  </si>
  <si>
    <t>waig1243</t>
  </si>
  <si>
    <t>Chima-Nishey</t>
  </si>
  <si>
    <t>chim1298</t>
  </si>
  <si>
    <t>Chimbuluk</t>
  </si>
  <si>
    <t>chim1299</t>
  </si>
  <si>
    <t>Chimona</t>
  </si>
  <si>
    <t>chim1300</t>
  </si>
  <si>
    <t>Chimalapa Zoque</t>
  </si>
  <si>
    <t>zoh</t>
  </si>
  <si>
    <t>chim1301</t>
  </si>
  <si>
    <t>Chimariko</t>
  </si>
  <si>
    <t>cid</t>
  </si>
  <si>
    <t>chim1302</t>
  </si>
  <si>
    <t>Chimborazo Highland Quichua</t>
  </si>
  <si>
    <t>qug</t>
  </si>
  <si>
    <t>chim1309</t>
  </si>
  <si>
    <t>Chimila</t>
  </si>
  <si>
    <t>cbg</t>
  </si>
  <si>
    <t>chim1310</t>
  </si>
  <si>
    <t>chim1311</t>
  </si>
  <si>
    <t>Chimakum</t>
  </si>
  <si>
    <t>xch</t>
  </si>
  <si>
    <t>Chimakuan</t>
  </si>
  <si>
    <t>cmk</t>
  </si>
  <si>
    <t>chim1312</t>
  </si>
  <si>
    <t>swah1254</t>
  </si>
  <si>
    <t>Chimwiini</t>
  </si>
  <si>
    <t>chin1253</t>
  </si>
  <si>
    <t>Chinese Pidgin English</t>
  </si>
  <si>
    <t>cpi</t>
  </si>
  <si>
    <t>chin1272</t>
  </si>
  <si>
    <t>chin1490</t>
  </si>
  <si>
    <t>lowe1438</t>
  </si>
  <si>
    <t>Creolized Grand Ronde Chinook Jargon</t>
  </si>
  <si>
    <t>chn</t>
  </si>
  <si>
    <t>chin1283</t>
  </si>
  <si>
    <t>nucl1761</t>
  </si>
  <si>
    <t>Chinese Sign Language</t>
  </si>
  <si>
    <t>csl</t>
  </si>
  <si>
    <t>CN MY TW</t>
  </si>
  <si>
    <t>chin1286</t>
  </si>
  <si>
    <t>Clatsop-Shoalwater Chinook</t>
  </si>
  <si>
    <t>chh</t>
  </si>
  <si>
    <t>chin1463</t>
  </si>
  <si>
    <t>Ching</t>
  </si>
  <si>
    <t>chin1474</t>
  </si>
  <si>
    <t>Chinghizi</t>
  </si>
  <si>
    <t>chin1475</t>
  </si>
  <si>
    <t>chin1493</t>
  </si>
  <si>
    <t>Chinali</t>
  </si>
  <si>
    <t>cih</t>
  </si>
  <si>
    <t>China Buriat</t>
  </si>
  <si>
    <t>bxu</t>
  </si>
  <si>
    <t>CN MN RU</t>
  </si>
  <si>
    <t>chin1477</t>
  </si>
  <si>
    <t>karb1241</t>
  </si>
  <si>
    <t>Chingthang</t>
  </si>
  <si>
    <t>chin1478</t>
  </si>
  <si>
    <t>choi1241</t>
  </si>
  <si>
    <t>Chinbon Chin</t>
  </si>
  <si>
    <t>cnb</t>
  </si>
  <si>
    <t>chin1479</t>
  </si>
  <si>
    <t>Chingkao</t>
  </si>
  <si>
    <t>chin1480</t>
  </si>
  <si>
    <t>Chinglang</t>
  </si>
  <si>
    <t>chin1481</t>
  </si>
  <si>
    <t>zang1249</t>
  </si>
  <si>
    <t>Chinguil</t>
  </si>
  <si>
    <t>chin1482</t>
  </si>
  <si>
    <t>sout2972</t>
  </si>
  <si>
    <t>Chinat√∫ Tarahumara</t>
  </si>
  <si>
    <t>chin1483</t>
  </si>
  <si>
    <t>Chincha Quechua</t>
  </si>
  <si>
    <t>qxc</t>
  </si>
  <si>
    <t>chin1484</t>
  </si>
  <si>
    <t>otop1241</t>
  </si>
  <si>
    <t>Chinantecan</t>
  </si>
  <si>
    <t>chin1485</t>
  </si>
  <si>
    <t>Chinantec Group III</t>
  </si>
  <si>
    <t>chin1486</t>
  </si>
  <si>
    <t>Chinantec Group I</t>
  </si>
  <si>
    <t>chin1487</t>
  </si>
  <si>
    <t>Chinantec Group II</t>
  </si>
  <si>
    <t>chin1488</t>
  </si>
  <si>
    <t>Chinantec Group V</t>
  </si>
  <si>
    <t>chin1489</t>
  </si>
  <si>
    <t>Chinantec Group IV</t>
  </si>
  <si>
    <t>Chinookan</t>
  </si>
  <si>
    <t>chin1492</t>
  </si>
  <si>
    <t>Chinook-based pidgin</t>
  </si>
  <si>
    <t>unun9882</t>
  </si>
  <si>
    <t>Chinali-Lahul Lohar</t>
  </si>
  <si>
    <t>chip1236</t>
  </si>
  <si>
    <t>Chipiajes</t>
  </si>
  <si>
    <t>cbe</t>
  </si>
  <si>
    <t>Chippewa</t>
  </si>
  <si>
    <t>ciw</t>
  </si>
  <si>
    <t>chip1260</t>
  </si>
  <si>
    <t>Chipoka</t>
  </si>
  <si>
    <t>chip1261</t>
  </si>
  <si>
    <t>Chipewyan</t>
  </si>
  <si>
    <t>chp</t>
  </si>
  <si>
    <t>uruc1242</t>
  </si>
  <si>
    <t>chiq1248</t>
  </si>
  <si>
    <t>Chiquitano</t>
  </si>
  <si>
    <t>cax</t>
  </si>
  <si>
    <t>BO BR</t>
  </si>
  <si>
    <t>chiq1249</t>
  </si>
  <si>
    <t>Chiqui√°n Ancash Quechua</t>
  </si>
  <si>
    <t>qxa</t>
  </si>
  <si>
    <t>chiq1250</t>
  </si>
  <si>
    <t>Chiquihuitl√°n Mazatec</t>
  </si>
  <si>
    <t>maq</t>
  </si>
  <si>
    <t>chir1281</t>
  </si>
  <si>
    <t>Chirmar</t>
  </si>
  <si>
    <t>chir1282</t>
  </si>
  <si>
    <t>yimc1240</t>
  </si>
  <si>
    <t>Chirr</t>
  </si>
  <si>
    <t>chir1283</t>
  </si>
  <si>
    <t>Chiru</t>
  </si>
  <si>
    <t>cdf</t>
  </si>
  <si>
    <t>chir1284</t>
  </si>
  <si>
    <t>darg1242</t>
  </si>
  <si>
    <t>Chirag</t>
  </si>
  <si>
    <t>chir1285</t>
  </si>
  <si>
    <t>Chiroro-Kursi</t>
  </si>
  <si>
    <t>para1319</t>
  </si>
  <si>
    <t>Chirip√°</t>
  </si>
  <si>
    <t>nhd</t>
  </si>
  <si>
    <t>AR BR PY</t>
  </si>
  <si>
    <t>chir1287</t>
  </si>
  <si>
    <t>Chiripo</t>
  </si>
  <si>
    <t>chir1288</t>
  </si>
  <si>
    <t>Chiricoa</t>
  </si>
  <si>
    <t>chir1293</t>
  </si>
  <si>
    <t>Chirrip√≥</t>
  </si>
  <si>
    <t>chir1294</t>
  </si>
  <si>
    <t>unun9985</t>
  </si>
  <si>
    <t>Chiriva</t>
  </si>
  <si>
    <t>chir1295</t>
  </si>
  <si>
    <t>tupi1283</t>
  </si>
  <si>
    <t>Chiriguanic</t>
  </si>
  <si>
    <t>chir1296</t>
  </si>
  <si>
    <t>cost1251</t>
  </si>
  <si>
    <t>Chiriqui Sign Languages</t>
  </si>
  <si>
    <t>chir1297</t>
  </si>
  <si>
    <t>Chirino</t>
  </si>
  <si>
    <t>chis1241</t>
  </si>
  <si>
    <t>Chisak</t>
  </si>
  <si>
    <t>chis1242</t>
  </si>
  <si>
    <t>Chishinga</t>
  </si>
  <si>
    <t>chit1248</t>
  </si>
  <si>
    <t>Chitimacha</t>
  </si>
  <si>
    <t>ctm</t>
  </si>
  <si>
    <t>chit1274</t>
  </si>
  <si>
    <t>east2316</t>
  </si>
  <si>
    <t>Chitwania Tharu</t>
  </si>
  <si>
    <t>the</t>
  </si>
  <si>
    <t>chit1275</t>
  </si>
  <si>
    <t>Chittagonian</t>
  </si>
  <si>
    <t>ctg</t>
  </si>
  <si>
    <t>BD</t>
  </si>
  <si>
    <t>chit1277</t>
  </si>
  <si>
    <t>Chitpavani</t>
  </si>
  <si>
    <t>chit1278</t>
  </si>
  <si>
    <t>indo1324</t>
  </si>
  <si>
    <t>Chitral</t>
  </si>
  <si>
    <t>chit1279</t>
  </si>
  <si>
    <t>kinn1250</t>
  </si>
  <si>
    <t>Chitkuli Kinnauri</t>
  </si>
  <si>
    <t>cik</t>
  </si>
  <si>
    <t>chit1280</t>
  </si>
  <si>
    <t>Chittagong</t>
  </si>
  <si>
    <t>chit1281</t>
  </si>
  <si>
    <t>tong1318</t>
  </si>
  <si>
    <t>Chitonga</t>
  </si>
  <si>
    <t>chit1282</t>
  </si>
  <si>
    <t>Chitumbuka</t>
  </si>
  <si>
    <t>chit1283</t>
  </si>
  <si>
    <t>owar1237</t>
  </si>
  <si>
    <t>Chita</t>
  </si>
  <si>
    <t>chit1284</t>
  </si>
  <si>
    <t>yami1256</t>
  </si>
  <si>
    <t>Chitonahua</t>
  </si>
  <si>
    <t>chit1285</t>
  </si>
  <si>
    <t>Chittagonian (Retired)</t>
  </si>
  <si>
    <t>cit</t>
  </si>
  <si>
    <t>choa1237</t>
  </si>
  <si>
    <t>Choapan Zapotec</t>
  </si>
  <si>
    <t>zpc</t>
  </si>
  <si>
    <t>choc1275</t>
  </si>
  <si>
    <t>dzon1238</t>
  </si>
  <si>
    <t>Chocangacakha</t>
  </si>
  <si>
    <t>cgk</t>
  </si>
  <si>
    <t>choc1276</t>
  </si>
  <si>
    <t>Choctaw</t>
  </si>
  <si>
    <t>cho</t>
  </si>
  <si>
    <t>choc1278</t>
  </si>
  <si>
    <t>popo1293</t>
  </si>
  <si>
    <t>Chocho-Popolocan</t>
  </si>
  <si>
    <t>choc1279</t>
  </si>
  <si>
    <t>Chocholtec</t>
  </si>
  <si>
    <t>coz</t>
  </si>
  <si>
    <t>Chocoan</t>
  </si>
  <si>
    <t>choc1282</t>
  </si>
  <si>
    <t>Choctaw-based pidgin</t>
  </si>
  <si>
    <t>Chocoan (Unattested)</t>
  </si>
  <si>
    <t>chod1238</t>
  </si>
  <si>
    <t>Chodri</t>
  </si>
  <si>
    <t>cdi</t>
  </si>
  <si>
    <t>chog1238</t>
  </si>
  <si>
    <t>Chogor</t>
  </si>
  <si>
    <t>choh1239</t>
  </si>
  <si>
    <t>Choha</t>
  </si>
  <si>
    <t>Choic</t>
  </si>
  <si>
    <t>nort3225</t>
  </si>
  <si>
    <t>Choiseul</t>
  </si>
  <si>
    <t>chok1243</t>
  </si>
  <si>
    <t>Chokri Naga</t>
  </si>
  <si>
    <t>nri</t>
  </si>
  <si>
    <t>chok1244</t>
  </si>
  <si>
    <t>chok1246</t>
  </si>
  <si>
    <t>Chokwe-Ngangela-Nyemba (K.20)</t>
  </si>
  <si>
    <t>chok1247</t>
  </si>
  <si>
    <t>AO CD NA ZM</t>
  </si>
  <si>
    <t>sout3233</t>
  </si>
  <si>
    <t>Chokwe-Lunda</t>
  </si>
  <si>
    <t>Chokwe-Lwena</t>
  </si>
  <si>
    <t>chok1248</t>
  </si>
  <si>
    <t>Chokobo-Lemoro-Sanga</t>
  </si>
  <si>
    <t>chol1277</t>
  </si>
  <si>
    <t>Cholo</t>
  </si>
  <si>
    <t>chol1278</t>
  </si>
  <si>
    <t>Chollado</t>
  </si>
  <si>
    <t>chol1281</t>
  </si>
  <si>
    <t>chol1287</t>
  </si>
  <si>
    <t>Chol-Chontal</t>
  </si>
  <si>
    <t>chol1282</t>
  </si>
  <si>
    <t>Chol</t>
  </si>
  <si>
    <t>ctu</t>
  </si>
  <si>
    <t>chol1283</t>
  </si>
  <si>
    <t>chor1272</t>
  </si>
  <si>
    <t>Cholti</t>
  </si>
  <si>
    <t>chol1284</t>
  </si>
  <si>
    <t>hibi1242</t>
  </si>
  <si>
    <t>Chol√≥n</t>
  </si>
  <si>
    <t>cht</t>
  </si>
  <si>
    <t>chol1285</t>
  </si>
  <si>
    <t>Chol, Tila</t>
  </si>
  <si>
    <t>cti</t>
  </si>
  <si>
    <t>chol1286</t>
  </si>
  <si>
    <t>west2865</t>
  </si>
  <si>
    <t>Cholan-Tzeltalan</t>
  </si>
  <si>
    <t>Cholan</t>
  </si>
  <si>
    <t>chon1248</t>
  </si>
  <si>
    <t>Chono</t>
  </si>
  <si>
    <t>chon1284</t>
  </si>
  <si>
    <t>Chong of Chanthaburi</t>
  </si>
  <si>
    <t>cog</t>
  </si>
  <si>
    <t>KH TH</t>
  </si>
  <si>
    <t>chon1285</t>
  </si>
  <si>
    <t>Choni</t>
  </si>
  <si>
    <t>cda</t>
  </si>
  <si>
    <t>chon1286</t>
  </si>
  <si>
    <t>Chungli</t>
  </si>
  <si>
    <t>chon1287</t>
  </si>
  <si>
    <t>nort3232</t>
  </si>
  <si>
    <t>Chonyi-Dzihana-Kauma</t>
  </si>
  <si>
    <t>coh</t>
  </si>
  <si>
    <t>KE</t>
  </si>
  <si>
    <t>chon1288</t>
  </si>
  <si>
    <t>Chonan</t>
  </si>
  <si>
    <t>chon1289</t>
  </si>
  <si>
    <t>minb1236</t>
  </si>
  <si>
    <t>Chong'an</t>
  </si>
  <si>
    <t>chop1242</t>
  </si>
  <si>
    <t>sout3180</t>
  </si>
  <si>
    <t>Chopi (S.60)</t>
  </si>
  <si>
    <t>cce</t>
  </si>
  <si>
    <t>chor1271</t>
  </si>
  <si>
    <t>gonj1241</t>
  </si>
  <si>
    <t>Choruba</t>
  </si>
  <si>
    <t>Chorti-Cholti</t>
  </si>
  <si>
    <t>Chort√≠</t>
  </si>
  <si>
    <t>GT HN</t>
  </si>
  <si>
    <t>chor1274</t>
  </si>
  <si>
    <t>mata1291</t>
  </si>
  <si>
    <t>Chorote</t>
  </si>
  <si>
    <t>chor1275</t>
  </si>
  <si>
    <t>Chorotega</t>
  </si>
  <si>
    <t>cjr</t>
  </si>
  <si>
    <t>chor1276</t>
  </si>
  <si>
    <t>Chorai</t>
  </si>
  <si>
    <t>chos1238</t>
  </si>
  <si>
    <t>tilu1238</t>
  </si>
  <si>
    <t>Choskule</t>
  </si>
  <si>
    <t>chot1239</t>
  </si>
  <si>
    <t>Chothe</t>
  </si>
  <si>
    <t>nct</t>
  </si>
  <si>
    <t>chot1240</t>
  </si>
  <si>
    <t>Chote</t>
  </si>
  <si>
    <t>Chowra-Teressa</t>
  </si>
  <si>
    <t>mnon1258</t>
  </si>
  <si>
    <t>Chrau</t>
  </si>
  <si>
    <t>crw</t>
  </si>
  <si>
    <t>chru1238</t>
  </si>
  <si>
    <t>high1280</t>
  </si>
  <si>
    <t>Chru-Northern Cham</t>
  </si>
  <si>
    <t>chru1239</t>
  </si>
  <si>
    <t>Chru</t>
  </si>
  <si>
    <t>cje</t>
  </si>
  <si>
    <t>Chruic</t>
  </si>
  <si>
    <t>chua1248</t>
  </si>
  <si>
    <t>grea1295</t>
  </si>
  <si>
    <t>Chuanqiandian</t>
  </si>
  <si>
    <t>chua1249</t>
  </si>
  <si>
    <t>simb1258</t>
  </si>
  <si>
    <t>Chuave-Nomane</t>
  </si>
  <si>
    <t>chua1250</t>
  </si>
  <si>
    <t>Chuave</t>
  </si>
  <si>
    <t>cjv</t>
  </si>
  <si>
    <t>chua1255</t>
  </si>
  <si>
    <t>Chuana</t>
  </si>
  <si>
    <t>chua1256</t>
  </si>
  <si>
    <t>Chuanqiandian Cluster Miao</t>
  </si>
  <si>
    <t>cqd</t>
  </si>
  <si>
    <t>chug1251</t>
  </si>
  <si>
    <t>meyi1234</t>
  </si>
  <si>
    <t>Chug-Lish</t>
  </si>
  <si>
    <t>chug1252</t>
  </si>
  <si>
    <t>Chug</t>
  </si>
  <si>
    <t>cvg</t>
  </si>
  <si>
    <t>chug1253</t>
  </si>
  <si>
    <t>west2607</t>
  </si>
  <si>
    <t>Ch≈´goku</t>
  </si>
  <si>
    <t>chug1254</t>
  </si>
  <si>
    <t>paci1278</t>
  </si>
  <si>
    <t>Chugach</t>
  </si>
  <si>
    <t>chuj1249</t>
  </si>
  <si>
    <t>kanj1261</t>
  </si>
  <si>
    <t>Chujean</t>
  </si>
  <si>
    <t>chuj1250</t>
  </si>
  <si>
    <t>Chuj</t>
  </si>
  <si>
    <t>cac</t>
  </si>
  <si>
    <t>chuj1251</t>
  </si>
  <si>
    <t>Chuj, Ixtat√°n</t>
  </si>
  <si>
    <t>cnm</t>
  </si>
  <si>
    <t>chuk1269</t>
  </si>
  <si>
    <t>seke1240</t>
  </si>
  <si>
    <t>Chuksang</t>
  </si>
  <si>
    <t>chuk1270</t>
  </si>
  <si>
    <t>kulu1252</t>
  </si>
  <si>
    <t>Chukwa</t>
  </si>
  <si>
    <t>cuw</t>
  </si>
  <si>
    <t>Chukotko-Kamchatkan</t>
  </si>
  <si>
    <t>Chukotian</t>
  </si>
  <si>
    <t>Chukchi</t>
  </si>
  <si>
    <t>chuk1274</t>
  </si>
  <si>
    <t>nort3214</t>
  </si>
  <si>
    <t>Chuka</t>
  </si>
  <si>
    <t>cuh</t>
  </si>
  <si>
    <t>chul1246</t>
  </si>
  <si>
    <t>sout2693</t>
  </si>
  <si>
    <t>Chulym Turkic</t>
  </si>
  <si>
    <t>clw</t>
  </si>
  <si>
    <t>chum1261</t>
  </si>
  <si>
    <t>chum1265</t>
  </si>
  <si>
    <t>Chumburung</t>
  </si>
  <si>
    <t>ncu</t>
  </si>
  <si>
    <t>Chumashan</t>
  </si>
  <si>
    <t>chum1263</t>
  </si>
  <si>
    <t>Chuma</t>
  </si>
  <si>
    <t>chum1264</t>
  </si>
  <si>
    <t>Chumash</t>
  </si>
  <si>
    <t>chs</t>
  </si>
  <si>
    <t>rive1262</t>
  </si>
  <si>
    <t>Chumbuli</t>
  </si>
  <si>
    <t>chun1246</t>
  </si>
  <si>
    <t>Chunmat</t>
  </si>
  <si>
    <t>chun1247</t>
  </si>
  <si>
    <t>Ch'ungch'ongdo</t>
  </si>
  <si>
    <t>chuq1241</t>
  </si>
  <si>
    <t>wuch1236</t>
  </si>
  <si>
    <t>Chuqu</t>
  </si>
  <si>
    <t>chuq1242</t>
  </si>
  <si>
    <t>Chuquisaca</t>
  </si>
  <si>
    <t>chur1254</t>
  </si>
  <si>
    <t>Churari</t>
  </si>
  <si>
    <t>chur1257</t>
  </si>
  <si>
    <t>east2269</t>
  </si>
  <si>
    <t>Church Slavic</t>
  </si>
  <si>
    <t>chu</t>
  </si>
  <si>
    <t>chur1258</t>
  </si>
  <si>
    <t>Churahi</t>
  </si>
  <si>
    <t>cdj</t>
  </si>
  <si>
    <t>chur1259</t>
  </si>
  <si>
    <t>Churi-Wali</t>
  </si>
  <si>
    <t>chur1260</t>
  </si>
  <si>
    <t>Church Gaelic</t>
  </si>
  <si>
    <t>chus1237</t>
  </si>
  <si>
    <t>naga1408</t>
  </si>
  <si>
    <t>Ch≈´shin</t>
  </si>
  <si>
    <t>East Chutic</t>
  </si>
  <si>
    <t>chut1247</t>
  </si>
  <si>
    <t>Chut</t>
  </si>
  <si>
    <t>scb</t>
  </si>
  <si>
    <t>chut1248</t>
  </si>
  <si>
    <t>nyen1254</t>
  </si>
  <si>
    <t>Chutobikha</t>
  </si>
  <si>
    <t>chut1251</t>
  </si>
  <si>
    <t>Chuty</t>
  </si>
  <si>
    <t>viet1250</t>
  </si>
  <si>
    <t>Chutic</t>
  </si>
  <si>
    <t>mort1238</t>
  </si>
  <si>
    <t>Chuukese</t>
  </si>
  <si>
    <t>FM</t>
  </si>
  <si>
    <t>Chuvash</t>
  </si>
  <si>
    <t>chv</t>
  </si>
  <si>
    <t>EE KZ RU</t>
  </si>
  <si>
    <t>chuv1256</t>
  </si>
  <si>
    <t>koly1247</t>
  </si>
  <si>
    <t>Chuvantsy</t>
  </si>
  <si>
    <t>xcv</t>
  </si>
  <si>
    <t>chuw1239</t>
  </si>
  <si>
    <t>Chuwabu</t>
  </si>
  <si>
    <t>chw</t>
  </si>
  <si>
    <t>maku1247</t>
  </si>
  <si>
    <t>Chuwaboic</t>
  </si>
  <si>
    <t>chuz1238</t>
  </si>
  <si>
    <t>Quzhou</t>
  </si>
  <si>
    <t>chwa1242</t>
  </si>
  <si>
    <t>giry1241</t>
  </si>
  <si>
    <t>Chwaka</t>
  </si>
  <si>
    <t>chwa1243</t>
  </si>
  <si>
    <t>haio1238</t>
  </si>
  <si>
    <t>Chwagga</t>
  </si>
  <si>
    <t>chxa1238</t>
  </si>
  <si>
    <t>Chxala</t>
  </si>
  <si>
    <t>ciac1237</t>
  </si>
  <si>
    <t>Cia-Cia</t>
  </si>
  <si>
    <t>cia</t>
  </si>
  <si>
    <t>ciba1236</t>
  </si>
  <si>
    <t>Cibak</t>
  </si>
  <si>
    <t>ckl</t>
  </si>
  <si>
    <t>kamb1317</t>
  </si>
  <si>
    <t>Cicipu</t>
  </si>
  <si>
    <t>awc</t>
  </si>
  <si>
    <t>cico1238</t>
  </si>
  <si>
    <t>Cicolano-Reatino-Aquilano</t>
  </si>
  <si>
    <t>ciec1238</t>
  </si>
  <si>
    <t>Ciec</t>
  </si>
  <si>
    <t>cien1238</t>
  </si>
  <si>
    <t>Cien</t>
  </si>
  <si>
    <t>cigb1235</t>
  </si>
  <si>
    <t>Ci Gbe</t>
  </si>
  <si>
    <t>cib</t>
  </si>
  <si>
    <t>cika1238</t>
  </si>
  <si>
    <t>Cikabanga</t>
  </si>
  <si>
    <t>cimb1238</t>
  </si>
  <si>
    <t>glob1242</t>
  </si>
  <si>
    <t>Cimbrian</t>
  </si>
  <si>
    <t>cim</t>
  </si>
  <si>
    <t>cimb1239</t>
  </si>
  <si>
    <t>kune1234</t>
  </si>
  <si>
    <t>Cimbebasia</t>
  </si>
  <si>
    <t>cimu1238</t>
  </si>
  <si>
    <t>nort2722</t>
  </si>
  <si>
    <t>Cimulin</t>
  </si>
  <si>
    <t>cina1236</t>
  </si>
  <si>
    <t>Cinamiguin Manobo</t>
  </si>
  <si>
    <t>mkx</t>
  </si>
  <si>
    <t>cinc1234</t>
  </si>
  <si>
    <t>midl1243</t>
  </si>
  <si>
    <t>Cincinnati English</t>
  </si>
  <si>
    <t>cind1241</t>
  </si>
  <si>
    <t>kamu1262</t>
  </si>
  <si>
    <t>Yara</t>
  </si>
  <si>
    <t>cdr</t>
  </si>
  <si>
    <t>cind1242</t>
  </si>
  <si>
    <t>Cinda</t>
  </si>
  <si>
    <t>cine1238</t>
  </si>
  <si>
    <t>dghw1240</t>
  </si>
  <si>
    <t>Cineni</t>
  </si>
  <si>
    <t>cie</t>
  </si>
  <si>
    <t>cint1239</t>
  </si>
  <si>
    <t>Cinta Larga</t>
  </si>
  <si>
    <t>cin</t>
  </si>
  <si>
    <t>Circassian</t>
  </si>
  <si>
    <t>circ1240</t>
  </si>
  <si>
    <t>macr1273</t>
  </si>
  <si>
    <t>Circum-Caribbean French</t>
  </si>
  <si>
    <t>cire1239</t>
  </si>
  <si>
    <t>Cirebon Sundanese</t>
  </si>
  <si>
    <t>cire1240</t>
  </si>
  <si>
    <t>Cirebon Javanese</t>
  </si>
  <si>
    <t>cisa1237</t>
  </si>
  <si>
    <t>cisa1238</t>
  </si>
  <si>
    <t>Cisalpine Gaulish</t>
  </si>
  <si>
    <t>xcg</t>
  </si>
  <si>
    <t>nucl1715</t>
  </si>
  <si>
    <t>Cisalpine Celtic</t>
  </si>
  <si>
    <t>cish1238</t>
  </si>
  <si>
    <t>west2828</t>
  </si>
  <si>
    <t>Western-Kambari-Cishingini</t>
  </si>
  <si>
    <t>asg</t>
  </si>
  <si>
    <t>cist1236</t>
  </si>
  <si>
    <t>Cistercian Sign Language</t>
  </si>
  <si>
    <t>cita1246</t>
  </si>
  <si>
    <t>Citak</t>
  </si>
  <si>
    <t>txt</t>
  </si>
  <si>
    <t>Citak Asmat</t>
  </si>
  <si>
    <t>citl1238</t>
  </si>
  <si>
    <t>Citlang</t>
  </si>
  <si>
    <t>civi1238</t>
  </si>
  <si>
    <t>Cividale</t>
  </si>
  <si>
    <t>ciwo1236</t>
  </si>
  <si>
    <t>Ciwogai</t>
  </si>
  <si>
    <t>tgd</t>
  </si>
  <si>
    <t>cjin1234</t>
  </si>
  <si>
    <t>Colloquial Jakarta Indonesian</t>
  </si>
  <si>
    <t>clac1236</t>
  </si>
  <si>
    <t>Clackamas</t>
  </si>
  <si>
    <t>stra1246</t>
  </si>
  <si>
    <t>Clallam</t>
  </si>
  <si>
    <t>clm</t>
  </si>
  <si>
    <t>clas1249</t>
  </si>
  <si>
    <t>Classical Armenian</t>
  </si>
  <si>
    <t>xcl</t>
  </si>
  <si>
    <t>Classical Nahuatl</t>
  </si>
  <si>
    <t>clas1251</t>
  </si>
  <si>
    <t>Classical Quechua</t>
  </si>
  <si>
    <t>qwc</t>
  </si>
  <si>
    <t>clas1252</t>
  </si>
  <si>
    <t>Classical Syriac</t>
  </si>
  <si>
    <t>syc</t>
  </si>
  <si>
    <t>clas1253</t>
  </si>
  <si>
    <t>mand1468</t>
  </si>
  <si>
    <t>Classical Mandaic</t>
  </si>
  <si>
    <t>myz</t>
  </si>
  <si>
    <t>clas1254</t>
  </si>
  <si>
    <t>oldm1245</t>
  </si>
  <si>
    <t>Classical Tibetan</t>
  </si>
  <si>
    <t>xct</t>
  </si>
  <si>
    <t>clas1255</t>
  </si>
  <si>
    <t>sini1245</t>
  </si>
  <si>
    <t>Classical-Middle-Modern Sinitic</t>
  </si>
  <si>
    <t>clel1239</t>
  </si>
  <si>
    <t>C'lela</t>
  </si>
  <si>
    <t>dri</t>
  </si>
  <si>
    <t>duka1247</t>
  </si>
  <si>
    <t>Clela-Damakawa</t>
  </si>
  <si>
    <t>coah1252</t>
  </si>
  <si>
    <t>Coahuilteco</t>
  </si>
  <si>
    <t>xcw</t>
  </si>
  <si>
    <t>coas1290</t>
  </si>
  <si>
    <t>Coastal Balochi</t>
  </si>
  <si>
    <t>coas1292</t>
  </si>
  <si>
    <t>makw1236</t>
  </si>
  <si>
    <t>Coastal Makwe</t>
  </si>
  <si>
    <t>coas1294</t>
  </si>
  <si>
    <t>Coastal Kadazan</t>
  </si>
  <si>
    <t>kzj</t>
  </si>
  <si>
    <t>konj1250</t>
  </si>
  <si>
    <t>Coastal Konjo</t>
  </si>
  <si>
    <t>kjc</t>
  </si>
  <si>
    <t>coas1296</t>
  </si>
  <si>
    <t>Coastal Arapesh</t>
  </si>
  <si>
    <t>sout2934</t>
  </si>
  <si>
    <t>Coastal Binanderean</t>
  </si>
  <si>
    <t>coas1298</t>
  </si>
  <si>
    <t>sout2949</t>
  </si>
  <si>
    <t>Coast Kiwai</t>
  </si>
  <si>
    <t>coas1299</t>
  </si>
  <si>
    <t>nort2945</t>
  </si>
  <si>
    <t>Qawiaraq Inupiatun</t>
  </si>
  <si>
    <t>coas1300</t>
  </si>
  <si>
    <t>Coast Tsimshian</t>
  </si>
  <si>
    <t>west2633</t>
  </si>
  <si>
    <t>Coast Miwok</t>
  </si>
  <si>
    <t>csi</t>
  </si>
  <si>
    <t>mapo1244</t>
  </si>
  <si>
    <t>Cumana</t>
  </si>
  <si>
    <t>Coastal Chamic</t>
  </si>
  <si>
    <t>coas1310</t>
  </si>
  <si>
    <t>hija1235</t>
  </si>
  <si>
    <t>Coastal Tihaamah</t>
  </si>
  <si>
    <t>coas1311</t>
  </si>
  <si>
    <t>tsam1241</t>
  </si>
  <si>
    <t>Coastal Tsamosan</t>
  </si>
  <si>
    <t>Coastal Tor</t>
  </si>
  <si>
    <t>coas1313</t>
  </si>
  <si>
    <t>sout3141</t>
  </si>
  <si>
    <t>Coastal Southwest Paman</t>
  </si>
  <si>
    <t>coas1314</t>
  </si>
  <si>
    <t>core1263</t>
  </si>
  <si>
    <t>Coastal Chatino</t>
  </si>
  <si>
    <t>Coastal Bikol</t>
  </si>
  <si>
    <t>coas1316</t>
  </si>
  <si>
    <t>Coast Mixtec</t>
  </si>
  <si>
    <t>coas1317</t>
  </si>
  <si>
    <t>nort3209</t>
  </si>
  <si>
    <t>Coastal NEC Bantu</t>
  </si>
  <si>
    <t>coas1318</t>
  </si>
  <si>
    <t>minn1248</t>
  </si>
  <si>
    <t>Coastal Min</t>
  </si>
  <si>
    <t>coas1319</t>
  </si>
  <si>
    <t>finn1317</t>
  </si>
  <si>
    <t>Coastal Finnic</t>
  </si>
  <si>
    <t>coas1320</t>
  </si>
  <si>
    <t>Coastal Bandjalang</t>
  </si>
  <si>
    <t>coas1321</t>
  </si>
  <si>
    <t>lama1273</t>
  </si>
  <si>
    <t>Coastal Lamalamic</t>
  </si>
  <si>
    <t>lowl1263</t>
  </si>
  <si>
    <t>Coatl√°n Mixe</t>
  </si>
  <si>
    <t>mco</t>
  </si>
  <si>
    <t>coat1239</t>
  </si>
  <si>
    <t>Coatl√≠n Mixe</t>
  </si>
  <si>
    <t>coat1240</t>
  </si>
  <si>
    <t>nort3202</t>
  </si>
  <si>
    <t>Coatepec Nahuatl</t>
  </si>
  <si>
    <t>naz</t>
  </si>
  <si>
    <t>coat1241</t>
  </si>
  <si>
    <t>nort3199</t>
  </si>
  <si>
    <t>Coatzospan Mixtec</t>
  </si>
  <si>
    <t>miz</t>
  </si>
  <si>
    <t>coat1242</t>
  </si>
  <si>
    <t>coat1245</t>
  </si>
  <si>
    <t>Coatlan-Loxicha Zapotec</t>
  </si>
  <si>
    <t>coat1243</t>
  </si>
  <si>
    <t>Coatl√°n Zapotec</t>
  </si>
  <si>
    <t>zps</t>
  </si>
  <si>
    <t>coat1244</t>
  </si>
  <si>
    <t>Coatecas Altas Zapotec</t>
  </si>
  <si>
    <t>zca</t>
  </si>
  <si>
    <t>nucl1765</t>
  </si>
  <si>
    <t>Coatec</t>
  </si>
  <si>
    <t>coba1238</t>
  </si>
  <si>
    <t>yano1268</t>
  </si>
  <si>
    <t>sanu1240</t>
  </si>
  <si>
    <t>Cobari</t>
  </si>
  <si>
    <t>cobe1238</t>
  </si>
  <si>
    <t>tchu1241</t>
  </si>
  <si>
    <t>Cobecha</t>
  </si>
  <si>
    <t>coca1259</t>
  </si>
  <si>
    <t>omag1247</t>
  </si>
  <si>
    <t>Cocama-Cocamilla</t>
  </si>
  <si>
    <t>cod</t>
  </si>
  <si>
    <t>coca1260</t>
  </si>
  <si>
    <t>Cocama</t>
  </si>
  <si>
    <t>coca1261</t>
  </si>
  <si>
    <t>Cocamilla</t>
  </si>
  <si>
    <t>coch1270</t>
  </si>
  <si>
    <t>Cochin</t>
  </si>
  <si>
    <t>coch1271</t>
  </si>
  <si>
    <t>Cochimi-Yuman</t>
  </si>
  <si>
    <t>coch1272</t>
  </si>
  <si>
    <t>Cochimi</t>
  </si>
  <si>
    <t>coj</t>
  </si>
  <si>
    <t>coch1273</t>
  </si>
  <si>
    <t>east1472</t>
  </si>
  <si>
    <t>Cochiti</t>
  </si>
  <si>
    <t>coch1274</t>
  </si>
  <si>
    <t>Cochabamba</t>
  </si>
  <si>
    <t>coco1260</t>
  </si>
  <si>
    <t>Cocos Islands Malay</t>
  </si>
  <si>
    <t>coa</t>
  </si>
  <si>
    <t>coco1261</t>
  </si>
  <si>
    <t>delt1253</t>
  </si>
  <si>
    <t>Cocopa</t>
  </si>
  <si>
    <t>coc</t>
  </si>
  <si>
    <t>coco1262</t>
  </si>
  <si>
    <t>Coconucan</t>
  </si>
  <si>
    <t>coer1236</t>
  </si>
  <si>
    <t>Coeruna</t>
  </si>
  <si>
    <t>coeu1236</t>
  </si>
  <si>
    <t>sout1559</t>
  </si>
  <si>
    <t>Coeur d'Alene</t>
  </si>
  <si>
    <t>crd</t>
  </si>
  <si>
    <t>Cof√°n</t>
  </si>
  <si>
    <t>con</t>
  </si>
  <si>
    <t>Cogui</t>
  </si>
  <si>
    <t>coic1238</t>
  </si>
  <si>
    <t>west2643</t>
  </si>
  <si>
    <t>Coicoy√°n</t>
  </si>
  <si>
    <t>cola1237</t>
  </si>
  <si>
    <t>kuli1251</t>
  </si>
  <si>
    <t>Colac</t>
  </si>
  <si>
    <t>coli1235</t>
  </si>
  <si>
    <t>Colima</t>
  </si>
  <si>
    <t>coll1240</t>
  </si>
  <si>
    <t>Col</t>
  </si>
  <si>
    <t>liw</t>
  </si>
  <si>
    <t>colo1249</t>
  </si>
  <si>
    <t>Colombian Sign Language</t>
  </si>
  <si>
    <t>csn</t>
  </si>
  <si>
    <t>colo1254</t>
  </si>
  <si>
    <t>nort3310</t>
  </si>
  <si>
    <t>Colonia Tovar German</t>
  </si>
  <si>
    <t>gct</t>
  </si>
  <si>
    <t>colo1255</t>
  </si>
  <si>
    <t>Colo</t>
  </si>
  <si>
    <t>colo1256</t>
  </si>
  <si>
    <t>Tsafiki</t>
  </si>
  <si>
    <t>cof</t>
  </si>
  <si>
    <t>Colombia-Ecuador Quechua IIB</t>
  </si>
  <si>
    <t>colu1241</t>
  </si>
  <si>
    <t>Columbia-Wenatchi</t>
  </si>
  <si>
    <t>col</t>
  </si>
  <si>
    <t>colu1250</t>
  </si>
  <si>
    <t>Columbia</t>
  </si>
  <si>
    <t>colv1241</t>
  </si>
  <si>
    <t>okan1243</t>
  </si>
  <si>
    <t>Colville</t>
  </si>
  <si>
    <t>coma1245</t>
  </si>
  <si>
    <t>Comanche</t>
  </si>
  <si>
    <t>com</t>
  </si>
  <si>
    <t>coma1246</t>
  </si>
  <si>
    <t>Comaltepec Chinantec</t>
  </si>
  <si>
    <t>cco</t>
  </si>
  <si>
    <t>come1251</t>
  </si>
  <si>
    <t>Comecrudan</t>
  </si>
  <si>
    <t>xcm</t>
  </si>
  <si>
    <t>come1252</t>
  </si>
  <si>
    <t>Comematsa</t>
  </si>
  <si>
    <t>come1253</t>
  </si>
  <si>
    <t>Comecrudo</t>
  </si>
  <si>
    <t>comm1243</t>
  </si>
  <si>
    <t>sadr1248</t>
  </si>
  <si>
    <t>Common Sadri</t>
  </si>
  <si>
    <t>Common Turkic</t>
  </si>
  <si>
    <t>comm1246</t>
  </si>
  <si>
    <t>dela1253</t>
  </si>
  <si>
    <t>Common Delaware</t>
  </si>
  <si>
    <t>del</t>
  </si>
  <si>
    <t>comm1247</t>
  </si>
  <si>
    <t>midd1344</t>
  </si>
  <si>
    <t>Common Chinese</t>
  </si>
  <si>
    <t>como1258</t>
  </si>
  <si>
    <t>wurb1239</t>
  </si>
  <si>
    <t>Como Karim</t>
  </si>
  <si>
    <t>cfg</t>
  </si>
  <si>
    <t>como1259</t>
  </si>
  <si>
    <t>Comox</t>
  </si>
  <si>
    <t>coo</t>
  </si>
  <si>
    <t>como1260</t>
  </si>
  <si>
    <t>miji1240</t>
  </si>
  <si>
    <t>Comorian Bantu</t>
  </si>
  <si>
    <t>comp1236</t>
  </si>
  <si>
    <t>Compromise Middle Pama</t>
  </si>
  <si>
    <t>cona1234</t>
  </si>
  <si>
    <t>Con</t>
  </si>
  <si>
    <t>cno</t>
  </si>
  <si>
    <t>conc1237</t>
  </si>
  <si>
    <t>Concho</t>
  </si>
  <si>
    <t>conc1244</t>
  </si>
  <si>
    <t>Concepci√≥n</t>
  </si>
  <si>
    <t>conc1245</t>
  </si>
  <si>
    <t>huay1239</t>
  </si>
  <si>
    <t>Conchucos</t>
  </si>
  <si>
    <t>cond1241</t>
  </si>
  <si>
    <t>sout2689</t>
  </si>
  <si>
    <t>Condul</t>
  </si>
  <si>
    <t>cond1242</t>
  </si>
  <si>
    <t>inla1268</t>
  </si>
  <si>
    <t>Condamine-Upper Clarence Bandjalang</t>
  </si>
  <si>
    <t>gih</t>
  </si>
  <si>
    <t>cong1236</t>
  </si>
  <si>
    <t>momb1256</t>
  </si>
  <si>
    <t>Congo Swahili</t>
  </si>
  <si>
    <t>swc</t>
  </si>
  <si>
    <t>coni1241</t>
  </si>
  <si>
    <t>Conibo</t>
  </si>
  <si>
    <t>conn1243</t>
  </si>
  <si>
    <t>Connacht</t>
  </si>
  <si>
    <t>cons1240</t>
  </si>
  <si>
    <t>sout2605</t>
  </si>
  <si>
    <t>Constantinople Greek</t>
  </si>
  <si>
    <t>cons1241</t>
  </si>
  <si>
    <t>Constantinople Armenian</t>
  </si>
  <si>
    <t>cons1245</t>
  </si>
  <si>
    <t>Constantine</t>
  </si>
  <si>
    <t>cont1245</t>
  </si>
  <si>
    <t>Continental Chonan</t>
  </si>
  <si>
    <t>cont1247</t>
  </si>
  <si>
    <t>west2365</t>
  </si>
  <si>
    <t>Continental West Flemish</t>
  </si>
  <si>
    <t>coon1239</t>
  </si>
  <si>
    <t>phun1244</t>
  </si>
  <si>
    <t>C√¥√¥ng</t>
  </si>
  <si>
    <t>cnc</t>
  </si>
  <si>
    <t>coos1248</t>
  </si>
  <si>
    <t>Coosan</t>
  </si>
  <si>
    <t>coos1249</t>
  </si>
  <si>
    <t>Hanis</t>
  </si>
  <si>
    <t>csz</t>
  </si>
  <si>
    <t>copa1236</t>
  </si>
  <si>
    <t>Copainal√° Zoque</t>
  </si>
  <si>
    <t>zoc</t>
  </si>
  <si>
    <t>copa1237</t>
  </si>
  <si>
    <t>Copala Triqui</t>
  </si>
  <si>
    <t>trc</t>
  </si>
  <si>
    <t>copa1238</t>
  </si>
  <si>
    <t>Copallen</t>
  </si>
  <si>
    <t>Copi</t>
  </si>
  <si>
    <t>copp1244</t>
  </si>
  <si>
    <t>Inuinnaqtun</t>
  </si>
  <si>
    <t>egyp1245</t>
  </si>
  <si>
    <t>Coptic</t>
  </si>
  <si>
    <t>cop</t>
  </si>
  <si>
    <t>EG</t>
  </si>
  <si>
    <t>coqu1236</t>
  </si>
  <si>
    <t>rogu1236</t>
  </si>
  <si>
    <t>Coquille</t>
  </si>
  <si>
    <t>coq</t>
  </si>
  <si>
    <t>cora1259</t>
  </si>
  <si>
    <t>Corachol</t>
  </si>
  <si>
    <t>Coran</t>
  </si>
  <si>
    <t>Corachol-Aztecan</t>
  </si>
  <si>
    <t>cord1234</t>
  </si>
  <si>
    <t>wyan1247</t>
  </si>
  <si>
    <t>Cord Huron</t>
  </si>
  <si>
    <t>core1246</t>
  </si>
  <si>
    <t>thop1235</t>
  </si>
  <si>
    <t>Core Muji</t>
  </si>
  <si>
    <t>core1249</t>
  </si>
  <si>
    <t>Core Siouan</t>
  </si>
  <si>
    <t>grea1276</t>
  </si>
  <si>
    <t>Core Quichean</t>
  </si>
  <si>
    <t>core1252</t>
  </si>
  <si>
    <t>Core Chibchan</t>
  </si>
  <si>
    <t>core1254</t>
  </si>
  <si>
    <t>Core Mayan</t>
  </si>
  <si>
    <t>core1255</t>
  </si>
  <si>
    <t>shon1250</t>
  </si>
  <si>
    <t>Core Shona</t>
  </si>
  <si>
    <t>core1256</t>
  </si>
  <si>
    <t>kiko1234</t>
  </si>
  <si>
    <t>Core Kikongo</t>
  </si>
  <si>
    <t>grea1292</t>
  </si>
  <si>
    <t>Core Lalo</t>
  </si>
  <si>
    <t>Core Zapotec</t>
  </si>
  <si>
    <t>core1260</t>
  </si>
  <si>
    <t>thur1253</t>
  </si>
  <si>
    <t>Core Thura Yura</t>
  </si>
  <si>
    <t>core1261</t>
  </si>
  <si>
    <t>west2647</t>
  </si>
  <si>
    <t>Coreguaje-Siona</t>
  </si>
  <si>
    <t>core1262</t>
  </si>
  <si>
    <t>rgya1241</t>
  </si>
  <si>
    <t>Core Gyalrong</t>
  </si>
  <si>
    <t>Core Chatino</t>
  </si>
  <si>
    <t>jese1235</t>
  </si>
  <si>
    <t>Core Northern Je</t>
  </si>
  <si>
    <t>cori1240</t>
  </si>
  <si>
    <t>hyam1246</t>
  </si>
  <si>
    <t>Cori</t>
  </si>
  <si>
    <t>cry</t>
  </si>
  <si>
    <t>corn1250</t>
  </si>
  <si>
    <t>Cornouaillais</t>
  </si>
  <si>
    <t>corn1251</t>
  </si>
  <si>
    <t>Cornish</t>
  </si>
  <si>
    <t>cor</t>
  </si>
  <si>
    <t>coro1246</t>
  </si>
  <si>
    <t>Coro</t>
  </si>
  <si>
    <t>coro1247</t>
  </si>
  <si>
    <t>Corongo Ancash Quechua</t>
  </si>
  <si>
    <t>qwa</t>
  </si>
  <si>
    <t>coro1248</t>
  </si>
  <si>
    <t>unun9898</t>
  </si>
  <si>
    <t>Korop√≥</t>
  </si>
  <si>
    <t>xxr</t>
  </si>
  <si>
    <t>coro1249</t>
  </si>
  <si>
    <t>puri1261</t>
  </si>
  <si>
    <t>Coroado-Puri</t>
  </si>
  <si>
    <t>coro1254</t>
  </si>
  <si>
    <t>Coroma</t>
  </si>
  <si>
    <t>corr1234</t>
  </si>
  <si>
    <t>Corridor Bantu</t>
  </si>
  <si>
    <t>cors1241</t>
  </si>
  <si>
    <t>cors1242</t>
  </si>
  <si>
    <t>Corsican</t>
  </si>
  <si>
    <t>cos</t>
  </si>
  <si>
    <t>FR IT</t>
  </si>
  <si>
    <t>sard1256</t>
  </si>
  <si>
    <t>Corsic</t>
  </si>
  <si>
    <t>cosa1234</t>
  </si>
  <si>
    <t>sila1251</t>
  </si>
  <si>
    <t>Cosao</t>
  </si>
  <si>
    <t>cost1249</t>
  </si>
  <si>
    <t>Costa Rican Sign Language</t>
  </si>
  <si>
    <t>csr</t>
  </si>
  <si>
    <t>cost1250</t>
  </si>
  <si>
    <t>Costanoan</t>
  </si>
  <si>
    <t>Costa Rica-Honduras-Panama Sign</t>
  </si>
  <si>
    <t>sara1347</t>
  </si>
  <si>
    <t>Cotabato Manobo</t>
  </si>
  <si>
    <t>mta</t>
  </si>
  <si>
    <t>cota1242</t>
  </si>
  <si>
    <t>Cotabambas</t>
  </si>
  <si>
    <t>cota1243</t>
  </si>
  <si>
    <t>Cotahuasi</t>
  </si>
  <si>
    <t>coto1237</t>
  </si>
  <si>
    <t>kama1371</t>
  </si>
  <si>
    <t>nucl1661</t>
  </si>
  <si>
    <t>Cotoxo</t>
  </si>
  <si>
    <t>coto1248</t>
  </si>
  <si>
    <t>Cotoname</t>
  </si>
  <si>
    <t>xcn</t>
  </si>
  <si>
    <t>coto1252</t>
  </si>
  <si>
    <t>Cotobato Chavacano</t>
  </si>
  <si>
    <t>cotz1238</t>
  </si>
  <si>
    <t>Cotzoc√≥n Mixe</t>
  </si>
  <si>
    <t>cowi1241</t>
  </si>
  <si>
    <t>Cowichan</t>
  </si>
  <si>
    <t>cowl1242</t>
  </si>
  <si>
    <t>inla1265</t>
  </si>
  <si>
    <t>Cowlitz</t>
  </si>
  <si>
    <t>cow</t>
  </si>
  <si>
    <t>coxi1236</t>
  </si>
  <si>
    <t>Coxima</t>
  </si>
  <si>
    <t>kox</t>
  </si>
  <si>
    <t>coya1241</t>
  </si>
  <si>
    <t>Coyaima</t>
  </si>
  <si>
    <t>coy</t>
  </si>
  <si>
    <t>coyo1236</t>
  </si>
  <si>
    <t>popo1294</t>
  </si>
  <si>
    <t>Coyotepec Popoloca</t>
  </si>
  <si>
    <t>pbf</t>
  </si>
  <si>
    <t>lowl1244</t>
  </si>
  <si>
    <t>Coyutla Totonac</t>
  </si>
  <si>
    <t>toc</t>
  </si>
  <si>
    <t>coyu1239</t>
  </si>
  <si>
    <t>Coyultita</t>
  </si>
  <si>
    <t>cree1270</t>
  </si>
  <si>
    <t>Creek</t>
  </si>
  <si>
    <t>mus</t>
  </si>
  <si>
    <t>Cree-Montagnais-Naskapi</t>
  </si>
  <si>
    <t>Cree</t>
  </si>
  <si>
    <t>creo1235</t>
  </si>
  <si>
    <t>Guyanese Creole English</t>
  </si>
  <si>
    <t>gyn</t>
  </si>
  <si>
    <t>GY SR</t>
  </si>
  <si>
    <t>creq1239</t>
  </si>
  <si>
    <t>hree1244</t>
  </si>
  <si>
    <t>Creq</t>
  </si>
  <si>
    <t>cret1243</t>
  </si>
  <si>
    <t>Cretan-Cycladian</t>
  </si>
  <si>
    <t>cret1244</t>
  </si>
  <si>
    <t>Cretan</t>
  </si>
  <si>
    <t>crim1254</t>
  </si>
  <si>
    <t>Crimea-Nor-Nakhichevan</t>
  </si>
  <si>
    <t>crim1255</t>
  </si>
  <si>
    <t>east2805</t>
  </si>
  <si>
    <t>Crimean Gothic</t>
  </si>
  <si>
    <t>crim1256</t>
  </si>
  <si>
    <t>west1472</t>
  </si>
  <si>
    <t>Crimean Tatar-Urum</t>
  </si>
  <si>
    <t>Crimean Tatar</t>
  </si>
  <si>
    <t>crh</t>
  </si>
  <si>
    <t>BG MD RO UA UZ</t>
  </si>
  <si>
    <t>crim1258</t>
  </si>
  <si>
    <t>Crimean Rom</t>
  </si>
  <si>
    <t>cris1238</t>
  </si>
  <si>
    <t>Crishana</t>
  </si>
  <si>
    <t>croa1242</t>
  </si>
  <si>
    <t>yugo1239</t>
  </si>
  <si>
    <t>Croatia Sign Language</t>
  </si>
  <si>
    <t>csq</t>
  </si>
  <si>
    <t>HR</t>
  </si>
  <si>
    <t>Croatian Standard</t>
  </si>
  <si>
    <t>AT BA HR HU IT ME RS SI</t>
  </si>
  <si>
    <t>mada1298</t>
  </si>
  <si>
    <t>Croisilles</t>
  </si>
  <si>
    <t>mbem1251</t>
  </si>
  <si>
    <t>Cross River Mbembe</t>
  </si>
  <si>
    <t>mfn</t>
  </si>
  <si>
    <t>crow1244</t>
  </si>
  <si>
    <t>miss1252</t>
  </si>
  <si>
    <t>Crow</t>
  </si>
  <si>
    <t>cro</t>
  </si>
  <si>
    <t>cruz1243</t>
  </si>
  <si>
    <t>Cruze√±o</t>
  </si>
  <si>
    <t>crz</t>
  </si>
  <si>
    <t>csan1238</t>
  </si>
  <si>
    <t>Csango</t>
  </si>
  <si>
    <t>csli1234</t>
  </si>
  <si>
    <t>CSLic</t>
  </si>
  <si>
    <t>cuaa1241</t>
  </si>
  <si>
    <t>Cua</t>
  </si>
  <si>
    <t>cua</t>
  </si>
  <si>
    <t>cuat1239</t>
  </si>
  <si>
    <t>Cuatzoquitengo</t>
  </si>
  <si>
    <t>cuba1235</t>
  </si>
  <si>
    <t>unun9986</t>
  </si>
  <si>
    <t>Cuba Sign Language</t>
  </si>
  <si>
    <t>csf</t>
  </si>
  <si>
    <t>CU</t>
  </si>
  <si>
    <t>cuba1236</t>
  </si>
  <si>
    <t>oler1234</t>
  </si>
  <si>
    <t>Cuba</t>
  </si>
  <si>
    <t>cbq</t>
  </si>
  <si>
    <t>cube1242</t>
  </si>
  <si>
    <t>cube1243</t>
  </si>
  <si>
    <t>Cubeo</t>
  </si>
  <si>
    <t>cub</t>
  </si>
  <si>
    <t>west2789</t>
  </si>
  <si>
    <t>Cubeo-Desano</t>
  </si>
  <si>
    <t>cuda1238</t>
  </si>
  <si>
    <t>nort3280</t>
  </si>
  <si>
    <t>Cudaxar</t>
  </si>
  <si>
    <t>cuev1238</t>
  </si>
  <si>
    <t>Cueva</t>
  </si>
  <si>
    <t>guah1253</t>
  </si>
  <si>
    <t>Cuiba</t>
  </si>
  <si>
    <t>cui</t>
  </si>
  <si>
    <t>cuic1234</t>
  </si>
  <si>
    <t>mixt1423</t>
  </si>
  <si>
    <t>Cuicatec</t>
  </si>
  <si>
    <t>cuic1235</t>
  </si>
  <si>
    <t>timo1237</t>
  </si>
  <si>
    <t>Cuica</t>
  </si>
  <si>
    <t>cuit1236</t>
  </si>
  <si>
    <t>Cuitlatec</t>
  </si>
  <si>
    <t>cuy</t>
  </si>
  <si>
    <t>culi1244</t>
  </si>
  <si>
    <t>madi1263</t>
  </si>
  <si>
    <t>Culina</t>
  </si>
  <si>
    <t>cul</t>
  </si>
  <si>
    <t>cull1235</t>
  </si>
  <si>
    <t>Culli</t>
  </si>
  <si>
    <t>cuma1240</t>
  </si>
  <si>
    <t>Cumanagoto</t>
  </si>
  <si>
    <t>cuo</t>
  </si>
  <si>
    <t>cume1234</t>
  </si>
  <si>
    <t>Cumeral</t>
  </si>
  <si>
    <t>cum</t>
  </si>
  <si>
    <t>cune1239</t>
  </si>
  <si>
    <t>luvi1235</t>
  </si>
  <si>
    <t>Cuneiform Luwian</t>
  </si>
  <si>
    <t>xlu</t>
  </si>
  <si>
    <t>cung1238</t>
  </si>
  <si>
    <t>cung1239</t>
  </si>
  <si>
    <t>Chung</t>
  </si>
  <si>
    <t>cug</t>
  </si>
  <si>
    <t>ncan1246</t>
  </si>
  <si>
    <t>Cung-Mbuk</t>
  </si>
  <si>
    <t>cunn1236</t>
  </si>
  <si>
    <t>nucl1241</t>
  </si>
  <si>
    <t>Cun</t>
  </si>
  <si>
    <t>cuq</t>
  </si>
  <si>
    <t>cunu1237</t>
  </si>
  <si>
    <t>kaxu1237</t>
  </si>
  <si>
    <t>Cunuana</t>
  </si>
  <si>
    <t>cuoi1242</t>
  </si>
  <si>
    <t>Cuoi</t>
  </si>
  <si>
    <t>cuoi1243</t>
  </si>
  <si>
    <t>thoo1240</t>
  </si>
  <si>
    <t>Cuoi Cham</t>
  </si>
  <si>
    <t>Cupan</t>
  </si>
  <si>
    <t>cupe1243</t>
  </si>
  <si>
    <t>Cupe√±o</t>
  </si>
  <si>
    <t>cup</t>
  </si>
  <si>
    <t>cura1242</t>
  </si>
  <si>
    <t>yaba1248</t>
  </si>
  <si>
    <t>Curasicana</t>
  </si>
  <si>
    <t>cura1243</t>
  </si>
  <si>
    <t>Curacirari</t>
  </si>
  <si>
    <t>curb1234</t>
  </si>
  <si>
    <t>manj1250</t>
  </si>
  <si>
    <t>Cur-Bok-Cotier</t>
  </si>
  <si>
    <t>cure1236</t>
  </si>
  <si>
    <t>west2784</t>
  </si>
  <si>
    <t>Kueretu</t>
  </si>
  <si>
    <t>curr1242</t>
  </si>
  <si>
    <t>Cur</t>
  </si>
  <si>
    <t>curr1243</t>
  </si>
  <si>
    <t>Curripaco</t>
  </si>
  <si>
    <t>kpc</t>
  </si>
  <si>
    <t>curu1244</t>
  </si>
  <si>
    <t>Curucicuri</t>
  </si>
  <si>
    <t>cusa1237</t>
  </si>
  <si>
    <t>Cusabo</t>
  </si>
  <si>
    <t>Cuscan Quechua</t>
  </si>
  <si>
    <t>Cusco Quechua</t>
  </si>
  <si>
    <t>Cushitic</t>
  </si>
  <si>
    <t>cutc1238</t>
  </si>
  <si>
    <t>Cutchi-Swahili</t>
  </si>
  <si>
    <t>ccl</t>
  </si>
  <si>
    <t>cuti1242</t>
  </si>
  <si>
    <t>kana1291</t>
  </si>
  <si>
    <t>Kanamar√≠ do Juru√°-Japur√°-Xeru√£-Itaqua√≠-Juta√≠</t>
  </si>
  <si>
    <t>cuvo1236</t>
  </si>
  <si>
    <t>mata1311</t>
  </si>
  <si>
    <t>Cuvok</t>
  </si>
  <si>
    <t>cuv</t>
  </si>
  <si>
    <t>cuya1239</t>
  </si>
  <si>
    <t>nuku1263</t>
  </si>
  <si>
    <t>Cuyanawa</t>
  </si>
  <si>
    <t>cuya1240</t>
  </si>
  <si>
    <t>Cuyamecalco Mixtec</t>
  </si>
  <si>
    <t>xtu</t>
  </si>
  <si>
    <t>cuyo1237</t>
  </si>
  <si>
    <t>kuya1251</t>
  </si>
  <si>
    <t>Cuyonon</t>
  </si>
  <si>
    <t>cyo</t>
  </si>
  <si>
    <t>cwib1235</t>
  </si>
  <si>
    <t>Cwi Bwamu</t>
  </si>
  <si>
    <t>bwy</t>
  </si>
  <si>
    <t>cycl1238</t>
  </si>
  <si>
    <t>Cycladian</t>
  </si>
  <si>
    <t>cypr1248</t>
  </si>
  <si>
    <t>Cypriot Arabic</t>
  </si>
  <si>
    <t>acy</t>
  </si>
  <si>
    <t>CY</t>
  </si>
  <si>
    <t>cypr1249</t>
  </si>
  <si>
    <t>Cypriot Greek</t>
  </si>
  <si>
    <t>cypr1251</t>
  </si>
  <si>
    <t>Cypriot Turkish</t>
  </si>
  <si>
    <t>czec1253</t>
  </si>
  <si>
    <t>Czech Sign Language</t>
  </si>
  <si>
    <t>cse</t>
  </si>
  <si>
    <t>CZ</t>
  </si>
  <si>
    <t>czec1261</t>
  </si>
  <si>
    <t>AT CZ PL SK</t>
  </si>
  <si>
    <t>Czecho-Moravian</t>
  </si>
  <si>
    <t>czec1260</t>
  </si>
  <si>
    <t>west2792</t>
  </si>
  <si>
    <t>Czech-Slovak</t>
  </si>
  <si>
    <t>Czech-Lach</t>
  </si>
  <si>
    <t>daaa1238</t>
  </si>
  <si>
    <t>daak1235</t>
  </si>
  <si>
    <t>Da'a</t>
  </si>
  <si>
    <t>daai1235</t>
  </si>
  <si>
    <t>Daai-Muun</t>
  </si>
  <si>
    <t>daai1236</t>
  </si>
  <si>
    <t>Daai Chin</t>
  </si>
  <si>
    <t>dao</t>
  </si>
  <si>
    <t>Da'a Kaili</t>
  </si>
  <si>
    <t>kzf</t>
  </si>
  <si>
    <t>daan1235</t>
  </si>
  <si>
    <t>nasi1247</t>
  </si>
  <si>
    <t>Daantanai'</t>
  </si>
  <si>
    <t>lni</t>
  </si>
  <si>
    <t>daas1238</t>
  </si>
  <si>
    <t>Daasanach</t>
  </si>
  <si>
    <t>dsh</t>
  </si>
  <si>
    <t>daat1234</t>
  </si>
  <si>
    <t>daat1235</t>
  </si>
  <si>
    <t>Daats'iin</t>
  </si>
  <si>
    <t>dtn</t>
  </si>
  <si>
    <t>Daats'iin-Southern Gumuz</t>
  </si>
  <si>
    <t>daba1243</t>
  </si>
  <si>
    <t>kada1282</t>
  </si>
  <si>
    <t>Dabatna</t>
  </si>
  <si>
    <t>daba1244</t>
  </si>
  <si>
    <t>Dabai</t>
  </si>
  <si>
    <t>daba1260</t>
  </si>
  <si>
    <t>daba1261</t>
  </si>
  <si>
    <t>Dabarre</t>
  </si>
  <si>
    <t>dbr</t>
  </si>
  <si>
    <t>Dabarre-Tunni</t>
  </si>
  <si>
    <t>daba1262</t>
  </si>
  <si>
    <t>Daba-Mazagway-Kola</t>
  </si>
  <si>
    <t>daba1263</t>
  </si>
  <si>
    <t>phuz1235</t>
  </si>
  <si>
    <t>Dabaqi</t>
  </si>
  <si>
    <t>dabb1234</t>
  </si>
  <si>
    <t>Dab</t>
  </si>
  <si>
    <t>dabe1239</t>
  </si>
  <si>
    <t>Dabe</t>
  </si>
  <si>
    <t>dbe</t>
  </si>
  <si>
    <t>dabi1239</t>
  </si>
  <si>
    <t>djin1252</t>
  </si>
  <si>
    <t>Dabi</t>
  </si>
  <si>
    <t>dabr1234</t>
  </si>
  <si>
    <t>Dabrimeela</t>
  </si>
  <si>
    <t>dabu1241</t>
  </si>
  <si>
    <t>Dabuso</t>
  </si>
  <si>
    <t>dabu1242</t>
  </si>
  <si>
    <t>Dabugus</t>
  </si>
  <si>
    <t>dacc1238</t>
  </si>
  <si>
    <t>Dacca</t>
  </si>
  <si>
    <t>daci1234</t>
  </si>
  <si>
    <t>Dacian</t>
  </si>
  <si>
    <t>xdc</t>
  </si>
  <si>
    <t>RO</t>
  </si>
  <si>
    <t>dada1236</t>
  </si>
  <si>
    <t>Dadanitic</t>
  </si>
  <si>
    <t>dadi1249</t>
  </si>
  <si>
    <t>Dadiya</t>
  </si>
  <si>
    <t>dbd</t>
  </si>
  <si>
    <t>dadi1250</t>
  </si>
  <si>
    <t>Dadibi</t>
  </si>
  <si>
    <t>mps</t>
  </si>
  <si>
    <t>dadi1251</t>
  </si>
  <si>
    <t>lowe1403</t>
  </si>
  <si>
    <t>Dadi Dadi</t>
  </si>
  <si>
    <t>dda</t>
  </si>
  <si>
    <t>dadj1238</t>
  </si>
  <si>
    <t>ifee1241</t>
  </si>
  <si>
    <t>Dadja</t>
  </si>
  <si>
    <t>dadu1237</t>
  </si>
  <si>
    <t>Dadua</t>
  </si>
  <si>
    <t>dafa1241</t>
  </si>
  <si>
    <t>Dafang</t>
  </si>
  <si>
    <t>dafa1242</t>
  </si>
  <si>
    <t>Dafa</t>
  </si>
  <si>
    <t>daff1239</t>
  </si>
  <si>
    <t>Daffo-Butura</t>
  </si>
  <si>
    <t>daga1272</t>
  </si>
  <si>
    <t>sout3209</t>
  </si>
  <si>
    <t>Dagaari Dioula</t>
  </si>
  <si>
    <t>dgd</t>
  </si>
  <si>
    <t>daga1273</t>
  </si>
  <si>
    <t>mang1399</t>
  </si>
  <si>
    <t>Dagara</t>
  </si>
  <si>
    <t>daga1274</t>
  </si>
  <si>
    <t>Dagan</t>
  </si>
  <si>
    <t>daga1275</t>
  </si>
  <si>
    <t>Daga</t>
  </si>
  <si>
    <t>dgz</t>
  </si>
  <si>
    <t>safa1246</t>
  </si>
  <si>
    <t>Dagaaric</t>
  </si>
  <si>
    <t>daga1277</t>
  </si>
  <si>
    <t>Dagang-Baoshan-Liangcun</t>
  </si>
  <si>
    <t>dagb1246</t>
  </si>
  <si>
    <t>mamp1246</t>
  </si>
  <si>
    <t>Dagbani</t>
  </si>
  <si>
    <t>dag</t>
  </si>
  <si>
    <t>dagb1247</t>
  </si>
  <si>
    <t>okul1238</t>
  </si>
  <si>
    <t>Dagbala</t>
  </si>
  <si>
    <t>dagb1248</t>
  </si>
  <si>
    <t>sido1234</t>
  </si>
  <si>
    <t>Dagba</t>
  </si>
  <si>
    <t>dgk</t>
  </si>
  <si>
    <t>dage1243</t>
  </si>
  <si>
    <t>kibe1241</t>
  </si>
  <si>
    <t>Dagel</t>
  </si>
  <si>
    <t>dage1244</t>
  </si>
  <si>
    <t>yaga1260</t>
  </si>
  <si>
    <t>Dagenava</t>
  </si>
  <si>
    <t>Daghestanian</t>
  </si>
  <si>
    <t>dagi1241</t>
  </si>
  <si>
    <t>ngil1241</t>
  </si>
  <si>
    <t>Dagik</t>
  </si>
  <si>
    <t>dec</t>
  </si>
  <si>
    <t>dagi1242</t>
  </si>
  <si>
    <t>koru1245</t>
  </si>
  <si>
    <t>Dagi</t>
  </si>
  <si>
    <t>dagl1238</t>
  </si>
  <si>
    <t>godi1239</t>
  </si>
  <si>
    <t>Dagli</t>
  </si>
  <si>
    <t>dago1244</t>
  </si>
  <si>
    <t>maru1249</t>
  </si>
  <si>
    <t>Dago' Lawng Bit</t>
  </si>
  <si>
    <t>dago1245</t>
  </si>
  <si>
    <t>yang1287</t>
  </si>
  <si>
    <t>Dagoman</t>
  </si>
  <si>
    <t>dgn</t>
  </si>
  <si>
    <t>dagy1234</t>
  </si>
  <si>
    <t>Dagyab Tibetan</t>
  </si>
  <si>
    <t>Dahanmu</t>
  </si>
  <si>
    <t>daha1245</t>
  </si>
  <si>
    <t>east2699</t>
  </si>
  <si>
    <t>Dahalo</t>
  </si>
  <si>
    <t>dal</t>
  </si>
  <si>
    <t>daha1247</t>
  </si>
  <si>
    <t>tigr1277</t>
  </si>
  <si>
    <t>Dahalik</t>
  </si>
  <si>
    <t>dlk</t>
  </si>
  <si>
    <t>daho1238</t>
  </si>
  <si>
    <t>guer1244</t>
  </si>
  <si>
    <t>Daho-Doo</t>
  </si>
  <si>
    <t>das</t>
  </si>
  <si>
    <t>CI LR</t>
  </si>
  <si>
    <t>dahu1238</t>
  </si>
  <si>
    <t>Dahuni</t>
  </si>
  <si>
    <t>kamt1241</t>
  </si>
  <si>
    <t>Daic</t>
  </si>
  <si>
    <t>daii1239</t>
  </si>
  <si>
    <t>lauu1247</t>
  </si>
  <si>
    <t>Dai (Lau)</t>
  </si>
  <si>
    <t>daii1240</t>
  </si>
  <si>
    <t>nort2859</t>
  </si>
  <si>
    <t>Dai</t>
  </si>
  <si>
    <t>dij</t>
  </si>
  <si>
    <t>dair1239</t>
  </si>
  <si>
    <t>east2715</t>
  </si>
  <si>
    <t>Dair</t>
  </si>
  <si>
    <t>drb</t>
  </si>
  <si>
    <t>daiz1235</t>
  </si>
  <si>
    <t>wenm1239</t>
  </si>
  <si>
    <t>Dai Zhuang</t>
  </si>
  <si>
    <t>zhd</t>
  </si>
  <si>
    <t>daja1240</t>
  </si>
  <si>
    <t>Daja</t>
  </si>
  <si>
    <t>daja1241</t>
  </si>
  <si>
    <t>Daja (Indonesia)</t>
  </si>
  <si>
    <t>daji1238</t>
  </si>
  <si>
    <t>down1240</t>
  </si>
  <si>
    <t>Dajishan</t>
  </si>
  <si>
    <t>Dajuic</t>
  </si>
  <si>
    <t>daka1243</t>
  </si>
  <si>
    <t>port1293</t>
  </si>
  <si>
    <t>Dakaka</t>
  </si>
  <si>
    <t>bpa</t>
  </si>
  <si>
    <t>dakh1243</t>
  </si>
  <si>
    <t>Dakhini</t>
  </si>
  <si>
    <t>dakh1244</t>
  </si>
  <si>
    <t>urdu1245</t>
  </si>
  <si>
    <t>Dakhini (Urdu)</t>
  </si>
  <si>
    <t>dakk1238</t>
  </si>
  <si>
    <t>pitu1237</t>
  </si>
  <si>
    <t>Dakka</t>
  </si>
  <si>
    <t>dkk</t>
  </si>
  <si>
    <t>dakl1237</t>
  </si>
  <si>
    <t>Daklan</t>
  </si>
  <si>
    <t>dako1256</t>
  </si>
  <si>
    <t>nort3168</t>
  </si>
  <si>
    <t>Dakoid</t>
  </si>
  <si>
    <t>miss1254</t>
  </si>
  <si>
    <t>Dakotan</t>
  </si>
  <si>
    <t>siou1253</t>
  </si>
  <si>
    <t>Dakota</t>
  </si>
  <si>
    <t>dako1259</t>
  </si>
  <si>
    <t>Santee-Sisseton</t>
  </si>
  <si>
    <t>dakp1241</t>
  </si>
  <si>
    <t>main1269</t>
  </si>
  <si>
    <t>Dakpa-Dzala</t>
  </si>
  <si>
    <t>dakp1242</t>
  </si>
  <si>
    <t>Dakpakha</t>
  </si>
  <si>
    <t>dka</t>
  </si>
  <si>
    <t>dakp1243</t>
  </si>
  <si>
    <t>Dakpa</t>
  </si>
  <si>
    <t>daks1239</t>
  </si>
  <si>
    <t>Dak Sut Sedang</t>
  </si>
  <si>
    <t>daks1242</t>
  </si>
  <si>
    <t>dass1243</t>
  </si>
  <si>
    <t>Dakshi</t>
  </si>
  <si>
    <t>daku1239</t>
  </si>
  <si>
    <t>Dakunza</t>
  </si>
  <si>
    <t>dala1239</t>
  </si>
  <si>
    <t>Dalat</t>
  </si>
  <si>
    <t>dald1238</t>
  </si>
  <si>
    <t>Daldi</t>
  </si>
  <si>
    <t>dale1238</t>
  </si>
  <si>
    <t>east2780</t>
  </si>
  <si>
    <t>Dalecarlian</t>
  </si>
  <si>
    <t>qer</t>
  </si>
  <si>
    <t>dali1242</t>
  </si>
  <si>
    <t>sout2730</t>
  </si>
  <si>
    <t>Dali</t>
  </si>
  <si>
    <t>dali1243</t>
  </si>
  <si>
    <t>palu1253</t>
  </si>
  <si>
    <t>Dalit Murut</t>
  </si>
  <si>
    <t>dali1244</t>
  </si>
  <si>
    <t>lela1246</t>
  </si>
  <si>
    <t>Dali (Lelak)</t>
  </si>
  <si>
    <t>dall1239</t>
  </si>
  <si>
    <t>Dallol</t>
  </si>
  <si>
    <t>dalm1243</t>
  </si>
  <si>
    <t>dalm1244</t>
  </si>
  <si>
    <t>Dalmatian</t>
  </si>
  <si>
    <t>dlm</t>
  </si>
  <si>
    <t>ital1286</t>
  </si>
  <si>
    <t>Dalmatian Romance</t>
  </si>
  <si>
    <t>dalo1238</t>
  </si>
  <si>
    <t>west2489</t>
  </si>
  <si>
    <t>Daloa B√©t√©</t>
  </si>
  <si>
    <t>bev</t>
  </si>
  <si>
    <t>dalo1239</t>
  </si>
  <si>
    <t>Daloka</t>
  </si>
  <si>
    <t>dama1262</t>
  </si>
  <si>
    <t>Dama (Sierra Leone)</t>
  </si>
  <si>
    <t>dama1266</t>
  </si>
  <si>
    <t>nort2773</t>
  </si>
  <si>
    <t>Dama-Galke</t>
  </si>
  <si>
    <t>dama1267</t>
  </si>
  <si>
    <t>Dama (Cameroon)</t>
  </si>
  <si>
    <t>dmm</t>
  </si>
  <si>
    <t>dama1268</t>
  </si>
  <si>
    <t>Damakawa</t>
  </si>
  <si>
    <t>dam</t>
  </si>
  <si>
    <t>dama1269</t>
  </si>
  <si>
    <t>Damat</t>
  </si>
  <si>
    <t>dama1271</t>
  </si>
  <si>
    <t>mamb1306</t>
  </si>
  <si>
    <t>Damata</t>
  </si>
  <si>
    <t>Damal</t>
  </si>
  <si>
    <t>uhn</t>
  </si>
  <si>
    <t>dama1277</t>
  </si>
  <si>
    <t>Damagaram</t>
  </si>
  <si>
    <t>dama1278</t>
  </si>
  <si>
    <t>nort3243</t>
  </si>
  <si>
    <t>Daman-Diu Portuguese</t>
  </si>
  <si>
    <t>idb</t>
  </si>
  <si>
    <t>damb1244</t>
  </si>
  <si>
    <t>saga1262</t>
  </si>
  <si>
    <t>Dambi (Kenya)</t>
  </si>
  <si>
    <t>damb1245</t>
  </si>
  <si>
    <t>katc1249</t>
  </si>
  <si>
    <t>Damba</t>
  </si>
  <si>
    <t>damb1246</t>
  </si>
  <si>
    <t>mume1239</t>
  </si>
  <si>
    <t>Dambi</t>
  </si>
  <si>
    <t>dac</t>
  </si>
  <si>
    <t>damb1250</t>
  </si>
  <si>
    <t>miga1249</t>
  </si>
  <si>
    <t>Dambiya</t>
  </si>
  <si>
    <t>damb1251</t>
  </si>
  <si>
    <t>Dambi-√ñ√∂ld</t>
  </si>
  <si>
    <t>dame1241</t>
  </si>
  <si>
    <t>kuna1264</t>
  </si>
  <si>
    <t>Dameli</t>
  </si>
  <si>
    <t>dml</t>
  </si>
  <si>
    <t>dami1238</t>
  </si>
  <si>
    <t>Daminyu</t>
  </si>
  <si>
    <t>damm1238</t>
  </si>
  <si>
    <t>Dam</t>
  </si>
  <si>
    <t>damo1238</t>
  </si>
  <si>
    <t>sout2792</t>
  </si>
  <si>
    <t>Damongo</t>
  </si>
  <si>
    <t>damp1237</t>
  </si>
  <si>
    <t>Dampelas</t>
  </si>
  <si>
    <t>dms</t>
  </si>
  <si>
    <t>damu1236</t>
  </si>
  <si>
    <t>damu1237</t>
  </si>
  <si>
    <t>Damu</t>
  </si>
  <si>
    <t>prew1234</t>
  </si>
  <si>
    <t>Damu-Tangam</t>
  </si>
  <si>
    <t>dana1252</t>
  </si>
  <si>
    <t>pala1352</t>
  </si>
  <si>
    <t>Danau</t>
  </si>
  <si>
    <t>dnu</t>
  </si>
  <si>
    <t>dana1253</t>
  </si>
  <si>
    <t>Danaw</t>
  </si>
  <si>
    <t>dana1254</t>
  </si>
  <si>
    <t>urig1241</t>
  </si>
  <si>
    <t>Danaru</t>
  </si>
  <si>
    <t>dnr</t>
  </si>
  <si>
    <t>danc1234</t>
  </si>
  <si>
    <t>siyi1236</t>
  </si>
  <si>
    <t>Dancun</t>
  </si>
  <si>
    <t>dand1238</t>
  </si>
  <si>
    <t>hill1257</t>
  </si>
  <si>
    <t>Dandami Maria</t>
  </si>
  <si>
    <t>daq</t>
  </si>
  <si>
    <t>dand1239</t>
  </si>
  <si>
    <t>Danda</t>
  </si>
  <si>
    <t>dang1258</t>
  </si>
  <si>
    <t>Dangi</t>
  </si>
  <si>
    <t>dang1259</t>
  </si>
  <si>
    <t>khan1272</t>
  </si>
  <si>
    <t>Dangri</t>
  </si>
  <si>
    <t>dang1277</t>
  </si>
  <si>
    <t>Dangaura Tharu</t>
  </si>
  <si>
    <t>thl</t>
  </si>
  <si>
    <t>dang1261</t>
  </si>
  <si>
    <t>Dang</t>
  </si>
  <si>
    <t>dang1262</t>
  </si>
  <si>
    <t>yiry1245</t>
  </si>
  <si>
    <t>Dangedl</t>
  </si>
  <si>
    <t>yrm</t>
  </si>
  <si>
    <t>dang1263</t>
  </si>
  <si>
    <t>sout2877</t>
  </si>
  <si>
    <t>Dangal</t>
  </si>
  <si>
    <t>daa</t>
  </si>
  <si>
    <t>east2709</t>
  </si>
  <si>
    <t>Dangla-Mabire-Birgit</t>
  </si>
  <si>
    <t>Dangla</t>
  </si>
  <si>
    <t>Dangaura-Khuna-Sonaha</t>
  </si>
  <si>
    <t>dani1246</t>
  </si>
  <si>
    <t>dani1289</t>
  </si>
  <si>
    <t>Danish Sign Language</t>
  </si>
  <si>
    <t>dsl</t>
  </si>
  <si>
    <t>DK</t>
  </si>
  <si>
    <t>nucl1782</t>
  </si>
  <si>
    <t>Danish</t>
  </si>
  <si>
    <t>DE DK</t>
  </si>
  <si>
    <t>dani1286</t>
  </si>
  <si>
    <t>Danisi</t>
  </si>
  <si>
    <t>Danish Sign</t>
  </si>
  <si>
    <t>dank1238</t>
  </si>
  <si>
    <t>Dankyira</t>
  </si>
  <si>
    <t>danl1238</t>
  </si>
  <si>
    <t>hung1275</t>
  </si>
  <si>
    <t>Dan Lai</t>
  </si>
  <si>
    <t>danm1238</t>
  </si>
  <si>
    <t>peer1241</t>
  </si>
  <si>
    <t>Dan Muure</t>
  </si>
  <si>
    <t>dann1241</t>
  </si>
  <si>
    <t>dant1235</t>
  </si>
  <si>
    <t>Dan</t>
  </si>
  <si>
    <t>daf</t>
  </si>
  <si>
    <t>CI GN LR</t>
  </si>
  <si>
    <t>Dano</t>
  </si>
  <si>
    <t>aso</t>
  </si>
  <si>
    <t>dans1239</t>
  </si>
  <si>
    <t>zeem1242</t>
  </si>
  <si>
    <t>Danshe</t>
  </si>
  <si>
    <t>guro1246</t>
  </si>
  <si>
    <t>Dan-Toura</t>
  </si>
  <si>
    <t>danu1247</t>
  </si>
  <si>
    <t>Danube-Tisza</t>
  </si>
  <si>
    <t>danu1248</t>
  </si>
  <si>
    <t>Danubian</t>
  </si>
  <si>
    <t>danu1250</t>
  </si>
  <si>
    <t>mada1285</t>
  </si>
  <si>
    <t>Danu (Papua New Guinea)</t>
  </si>
  <si>
    <t>danu1251</t>
  </si>
  <si>
    <t>inth1238</t>
  </si>
  <si>
    <t>Danu</t>
  </si>
  <si>
    <t>dnv</t>
  </si>
  <si>
    <t>daod1238</t>
  </si>
  <si>
    <t>Dao Do</t>
  </si>
  <si>
    <t>daof1238</t>
  </si>
  <si>
    <t>horp1239</t>
  </si>
  <si>
    <t>Rtau</t>
  </si>
  <si>
    <t>daoh1238</t>
  </si>
  <si>
    <t>Dao Ho</t>
  </si>
  <si>
    <t>daoh1239</t>
  </si>
  <si>
    <t>mand1471</t>
  </si>
  <si>
    <t>Daohua</t>
  </si>
  <si>
    <t>daol1241</t>
  </si>
  <si>
    <t>Dao Lan Tien</t>
  </si>
  <si>
    <t>daol1242</t>
  </si>
  <si>
    <t>Dao Lo Gang</t>
  </si>
  <si>
    <t>daon1242</t>
  </si>
  <si>
    <t>Daongdung</t>
  </si>
  <si>
    <t>daon1243</t>
  </si>
  <si>
    <t>Daonda</t>
  </si>
  <si>
    <t>dnd</t>
  </si>
  <si>
    <t>daoo1238</t>
  </si>
  <si>
    <t>Dao</t>
  </si>
  <si>
    <t>daz</t>
  </si>
  <si>
    <t>daoq1238</t>
  </si>
  <si>
    <t>Dao Quan Trang</t>
  </si>
  <si>
    <t>dapa1237</t>
  </si>
  <si>
    <t>Dapalan</t>
  </si>
  <si>
    <t>dapi1237</t>
  </si>
  <si>
    <t>nort2885</t>
  </si>
  <si>
    <t>Dapitan</t>
  </si>
  <si>
    <t>dapo1239</t>
  </si>
  <si>
    <t>Dapo</t>
  </si>
  <si>
    <t>dapz1238</t>
  </si>
  <si>
    <t>Dapzal</t>
  </si>
  <si>
    <t>dara1250</t>
  </si>
  <si>
    <t>Darai</t>
  </si>
  <si>
    <t>dry</t>
  </si>
  <si>
    <t>dara1251</t>
  </si>
  <si>
    <t>Daraga</t>
  </si>
  <si>
    <t>dara1252</t>
  </si>
  <si>
    <t>Darava</t>
  </si>
  <si>
    <t>dara1255</t>
  </si>
  <si>
    <t>Darang Deng</t>
  </si>
  <si>
    <t>dat</t>
  </si>
  <si>
    <t>west2501</t>
  </si>
  <si>
    <t>Dar Daju Daju</t>
  </si>
  <si>
    <t>djc</t>
  </si>
  <si>
    <t>dare1241</t>
  </si>
  <si>
    <t>Darel</t>
  </si>
  <si>
    <t>dare1242</t>
  </si>
  <si>
    <t>tuli1249</t>
  </si>
  <si>
    <t>Dar El Kabira</t>
  </si>
  <si>
    <t>darf1238</t>
  </si>
  <si>
    <t>nucl1440</t>
  </si>
  <si>
    <t>Dar Fur</t>
  </si>
  <si>
    <t>darf1239</t>
  </si>
  <si>
    <t>Dar Fur Daju</t>
  </si>
  <si>
    <t>daj</t>
  </si>
  <si>
    <t>darg1241</t>
  </si>
  <si>
    <t>North-Central Dargwa</t>
  </si>
  <si>
    <t>dar</t>
  </si>
  <si>
    <t>AZ KZ RU UA</t>
  </si>
  <si>
    <t>Dargwic</t>
  </si>
  <si>
    <t>Dari</t>
  </si>
  <si>
    <t>AF IR PK TJ TM</t>
  </si>
  <si>
    <t>dari1250</t>
  </si>
  <si>
    <t>halh1238</t>
  </si>
  <si>
    <t>Dariganga</t>
  </si>
  <si>
    <t>dari1254</t>
  </si>
  <si>
    <t>peve1243</t>
  </si>
  <si>
    <t>Dari (Chadic)</t>
  </si>
  <si>
    <t>darj1238</t>
  </si>
  <si>
    <t>Darjula</t>
  </si>
  <si>
    <t>dark1243</t>
  </si>
  <si>
    <t>oira1261</t>
  </si>
  <si>
    <t>Darkhat</t>
  </si>
  <si>
    <t>drh</t>
  </si>
  <si>
    <t>MN RU</t>
  </si>
  <si>
    <t>darl1242</t>
  </si>
  <si>
    <t>Darlong</t>
  </si>
  <si>
    <t>dln</t>
  </si>
  <si>
    <t>yarl1237</t>
  </si>
  <si>
    <t>Paakantyi</t>
  </si>
  <si>
    <t>drl</t>
  </si>
  <si>
    <t>pith1234</t>
  </si>
  <si>
    <t>Darma-Byangsi-Chaudangsi</t>
  </si>
  <si>
    <t>Darma-Byangsi</t>
  </si>
  <si>
    <t>darm1243</t>
  </si>
  <si>
    <t>Darma</t>
  </si>
  <si>
    <t>drd</t>
  </si>
  <si>
    <t>daro1239</t>
  </si>
  <si>
    <t>Daro-Matu Melanau</t>
  </si>
  <si>
    <t>dro</t>
  </si>
  <si>
    <t>daro1240</t>
  </si>
  <si>
    <t>Daro Melanau</t>
  </si>
  <si>
    <t>darr1238</t>
  </si>
  <si>
    <t>Darrai Nur</t>
  </si>
  <si>
    <t>dars1235</t>
  </si>
  <si>
    <t>Dar Sila Daju</t>
  </si>
  <si>
    <t>dau</t>
  </si>
  <si>
    <t>SD TD</t>
  </si>
  <si>
    <t>dart1238</t>
  </si>
  <si>
    <t>Dartsedo</t>
  </si>
  <si>
    <t>daru1244</t>
  </si>
  <si>
    <t>Darubia</t>
  </si>
  <si>
    <t>daru1245</t>
  </si>
  <si>
    <t>Daru Kiwai</t>
  </si>
  <si>
    <t>darw1234</t>
  </si>
  <si>
    <t>Darwazi</t>
  </si>
  <si>
    <t>drw</t>
  </si>
  <si>
    <t>dasa1237</t>
  </si>
  <si>
    <t>Dasaru</t>
  </si>
  <si>
    <t>dase1237</t>
  </si>
  <si>
    <t>Dasener</t>
  </si>
  <si>
    <t>dash1238</t>
  </si>
  <si>
    <t>kala1373</t>
  </si>
  <si>
    <t>Dashwa</t>
  </si>
  <si>
    <t>dass1239</t>
  </si>
  <si>
    <t>Dassari</t>
  </si>
  <si>
    <t>sout3170</t>
  </si>
  <si>
    <t>Dass</t>
  </si>
  <si>
    <t>dot</t>
  </si>
  <si>
    <t>Datagnon-Santa Teresa-Semirara</t>
  </si>
  <si>
    <t>dati1238</t>
  </si>
  <si>
    <t>Datiwuy</t>
  </si>
  <si>
    <t>dati1239</t>
  </si>
  <si>
    <t>Datian</t>
  </si>
  <si>
    <t>Barabayiiga-Gisamjanga</t>
  </si>
  <si>
    <t>tcc</t>
  </si>
  <si>
    <t>dats1234</t>
  </si>
  <si>
    <t>japh1234</t>
  </si>
  <si>
    <t>Datshang</t>
  </si>
  <si>
    <t>datu1239</t>
  </si>
  <si>
    <t>yahu1241</t>
  </si>
  <si>
    <t>Datuana</t>
  </si>
  <si>
    <t>daud1238</t>
  </si>
  <si>
    <t>Daudiya</t>
  </si>
  <si>
    <t>daui1237</t>
  </si>
  <si>
    <t>Daui</t>
  </si>
  <si>
    <t>daun1234</t>
  </si>
  <si>
    <t>woiw1237</t>
  </si>
  <si>
    <t>Daungwurrung</t>
  </si>
  <si>
    <t>dgw</t>
  </si>
  <si>
    <t>daup1247</t>
  </si>
  <si>
    <t>Dauphinois (Arpitan)</t>
  </si>
  <si>
    <t>daup1248</t>
  </si>
  <si>
    <t>prov1235</t>
  </si>
  <si>
    <t>Dauphinois</t>
  </si>
  <si>
    <t>daup1249</t>
  </si>
  <si>
    <t>ning1274</t>
  </si>
  <si>
    <t>Daupka</t>
  </si>
  <si>
    <t>Dagur</t>
  </si>
  <si>
    <t>dta</t>
  </si>
  <si>
    <t>CN KZ MN</t>
  </si>
  <si>
    <t>dauu1237</t>
  </si>
  <si>
    <t>Dau</t>
  </si>
  <si>
    <t>dava1244</t>
  </si>
  <si>
    <t>varl1238</t>
  </si>
  <si>
    <t>Davari</t>
  </si>
  <si>
    <t>dava1245</t>
  </si>
  <si>
    <t>mans1261</t>
  </si>
  <si>
    <t>Davawenyo</t>
  </si>
  <si>
    <t>daw</t>
  </si>
  <si>
    <t>dava1249</t>
  </si>
  <si>
    <t>Davawenyo Zamboanguenyo</t>
  </si>
  <si>
    <t>dawa1241</t>
  </si>
  <si>
    <t>Dawas</t>
  </si>
  <si>
    <t>dawa1242</t>
  </si>
  <si>
    <t>kaka1266</t>
  </si>
  <si>
    <t>Dawawa</t>
  </si>
  <si>
    <t>dww</t>
  </si>
  <si>
    <t>dawa1243</t>
  </si>
  <si>
    <t>duau1237</t>
  </si>
  <si>
    <t>Dawada</t>
  </si>
  <si>
    <t>dawe1237</t>
  </si>
  <si>
    <t>Dawera-Daweloor</t>
  </si>
  <si>
    <t>ddw</t>
  </si>
  <si>
    <t>dawe1238</t>
  </si>
  <si>
    <t>tavo1242</t>
  </si>
  <si>
    <t>Dawei</t>
  </si>
  <si>
    <t>dawr1235</t>
  </si>
  <si>
    <t>Dawro-Gofa-Gamo</t>
  </si>
  <si>
    <t>dawr1236</t>
  </si>
  <si>
    <t>Dawro</t>
  </si>
  <si>
    <t>dwr</t>
  </si>
  <si>
    <t>dawr1243</t>
  </si>
  <si>
    <t>Dawra</t>
  </si>
  <si>
    <t>daww1239</t>
  </si>
  <si>
    <t>nada1235</t>
  </si>
  <si>
    <t>east2549</t>
  </si>
  <si>
    <t>D√¢w</t>
  </si>
  <si>
    <t>kwa</t>
  </si>
  <si>
    <t>daxe1238</t>
  </si>
  <si>
    <t>saxw1241</t>
  </si>
  <si>
    <t>Daxe</t>
  </si>
  <si>
    <t>daya1244</t>
  </si>
  <si>
    <t>sumi1235</t>
  </si>
  <si>
    <t>Dayang</t>
  </si>
  <si>
    <t>daya1245</t>
  </si>
  <si>
    <t>Dayao Yi</t>
  </si>
  <si>
    <t>yio</t>
  </si>
  <si>
    <t>daya1246</t>
  </si>
  <si>
    <t>west2926</t>
  </si>
  <si>
    <t>Dayang Pumi</t>
  </si>
  <si>
    <t>dayi1243</t>
  </si>
  <si>
    <t>shan1274</t>
  </si>
  <si>
    <t>Dayili</t>
  </si>
  <si>
    <t>dayi1244</t>
  </si>
  <si>
    <t>sout3149</t>
  </si>
  <si>
    <t>Dayi</t>
  </si>
  <si>
    <t>dax</t>
  </si>
  <si>
    <t>Day</t>
  </si>
  <si>
    <t>dai</t>
  </si>
  <si>
    <t>Dazaga</t>
  </si>
  <si>
    <t>dzg</t>
  </si>
  <si>
    <t>LY NE SD TD</t>
  </si>
  <si>
    <t>Daza</t>
  </si>
  <si>
    <t>dzd</t>
  </si>
  <si>
    <t>dazh1234</t>
  </si>
  <si>
    <t>Dazhai</t>
  </si>
  <si>
    <t>dbus1238</t>
  </si>
  <si>
    <t>tibe1272</t>
  </si>
  <si>
    <t>√ú</t>
  </si>
  <si>
    <t>ddra1238</t>
  </si>
  <si>
    <t>ndru1234</t>
  </si>
  <si>
    <t>Ddralo</t>
  </si>
  <si>
    <t>deaa1242</t>
  </si>
  <si>
    <t>Dea</t>
  </si>
  <si>
    <t>deaa1243</t>
  </si>
  <si>
    <t>Dea (Ese)</t>
  </si>
  <si>
    <t>Deaf Sign Language</t>
  </si>
  <si>
    <t>deba1238</t>
  </si>
  <si>
    <t>Debao-Jingxi-Nung</t>
  </si>
  <si>
    <t>debb1238</t>
  </si>
  <si>
    <t>kokb1239</t>
  </si>
  <si>
    <t>Debbarma</t>
  </si>
  <si>
    <t>debo1238</t>
  </si>
  <si>
    <t>jena1242</t>
  </si>
  <si>
    <t>D√©bo</t>
  </si>
  <si>
    <t>debr1240</t>
  </si>
  <si>
    <t>Debrecen</t>
  </si>
  <si>
    <t>debr1242</t>
  </si>
  <si>
    <t>dill1242</t>
  </si>
  <si>
    <t>Debri</t>
  </si>
  <si>
    <t>Deccan</t>
  </si>
  <si>
    <t>dcc</t>
  </si>
  <si>
    <t>dech1234</t>
  </si>
  <si>
    <t>Dechang</t>
  </si>
  <si>
    <t>decu1237</t>
  </si>
  <si>
    <t>De'cuana</t>
  </si>
  <si>
    <t>dede1238</t>
  </si>
  <si>
    <t>nzan1240</t>
  </si>
  <si>
    <t>Dede</t>
  </si>
  <si>
    <t>dedi1238</t>
  </si>
  <si>
    <t>Dediebo</t>
  </si>
  <si>
    <t>dedu1240</t>
  </si>
  <si>
    <t>east2705</t>
  </si>
  <si>
    <t>Dedua</t>
  </si>
  <si>
    <t>ded</t>
  </si>
  <si>
    <t>deed1234</t>
  </si>
  <si>
    <t>Deed Mongol</t>
  </si>
  <si>
    <t>deee1239</t>
  </si>
  <si>
    <t>gola1255</t>
  </si>
  <si>
    <t>De</t>
  </si>
  <si>
    <t>deen1238</t>
  </si>
  <si>
    <t>Deenu</t>
  </si>
  <si>
    <t>deer1234</t>
  </si>
  <si>
    <t>Deer Lake Severn Ojibwa</t>
  </si>
  <si>
    <t>defa1248</t>
  </si>
  <si>
    <t>Defaka</t>
  </si>
  <si>
    <t>afn</t>
  </si>
  <si>
    <t>defa1249</t>
  </si>
  <si>
    <t>lama1275</t>
  </si>
  <si>
    <t>Defale</t>
  </si>
  <si>
    <t>defa1250</t>
  </si>
  <si>
    <t>Defa</t>
  </si>
  <si>
    <t>defi1235</t>
  </si>
  <si>
    <t>Defi Gbe</t>
  </si>
  <si>
    <t>gbh</t>
  </si>
  <si>
    <t>Defoid</t>
  </si>
  <si>
    <t>dega1238</t>
  </si>
  <si>
    <t>Degaru</t>
  </si>
  <si>
    <t>dgu</t>
  </si>
  <si>
    <t>dega1239</t>
  </si>
  <si>
    <t>Dega</t>
  </si>
  <si>
    <t>dege1245</t>
  </si>
  <si>
    <t>Degere</t>
  </si>
  <si>
    <t>dege1249</t>
  </si>
  <si>
    <t>Degema</t>
  </si>
  <si>
    <t>deg</t>
  </si>
  <si>
    <t>dege1247</t>
  </si>
  <si>
    <t>nucl1777</t>
  </si>
  <si>
    <t>Degenan</t>
  </si>
  <si>
    <t>dge</t>
  </si>
  <si>
    <t>dege1248</t>
  </si>
  <si>
    <t>Degexit'an</t>
  </si>
  <si>
    <t>ing</t>
  </si>
  <si>
    <t>delt1252</t>
  </si>
  <si>
    <t>Degema-Engenni</t>
  </si>
  <si>
    <t>Deg</t>
  </si>
  <si>
    <t>mzw</t>
  </si>
  <si>
    <t>dego1238</t>
  </si>
  <si>
    <t>Degodia</t>
  </si>
  <si>
    <t>deha1238</t>
  </si>
  <si>
    <t>Dehati</t>
  </si>
  <si>
    <t>deho1238</t>
  </si>
  <si>
    <t>tain1252</t>
  </si>
  <si>
    <t>Dehong</t>
  </si>
  <si>
    <t>dehu1237</t>
  </si>
  <si>
    <t>loya1239</t>
  </si>
  <si>
    <t>Dehu</t>
  </si>
  <si>
    <t>dhv</t>
  </si>
  <si>
    <t>dehv1238</t>
  </si>
  <si>
    <t>Dehvali</t>
  </si>
  <si>
    <t>dehw1238</t>
  </si>
  <si>
    <t>Dehwari</t>
  </si>
  <si>
    <t>deh</t>
  </si>
  <si>
    <t>deib1238</t>
  </si>
  <si>
    <t>Deibula</t>
  </si>
  <si>
    <t>dein1238</t>
  </si>
  <si>
    <t>teiw1235</t>
  </si>
  <si>
    <t>Deing</t>
  </si>
  <si>
    <t>deir1239</t>
  </si>
  <si>
    <t>taus1252</t>
  </si>
  <si>
    <t>Deirate</t>
  </si>
  <si>
    <t>dejb1238</t>
  </si>
  <si>
    <t>muir1238</t>
  </si>
  <si>
    <t>Dejbuk</t>
  </si>
  <si>
    <t>dekk1240</t>
  </si>
  <si>
    <t>Dek</t>
  </si>
  <si>
    <t>dek</t>
  </si>
  <si>
    <t>deko1238</t>
  </si>
  <si>
    <t>Dekoka</t>
  </si>
  <si>
    <t>dela1250</t>
  </si>
  <si>
    <t>Delang</t>
  </si>
  <si>
    <t>dela1251</t>
  </si>
  <si>
    <t>roti1239</t>
  </si>
  <si>
    <t>Dela-Oenale</t>
  </si>
  <si>
    <t>row</t>
  </si>
  <si>
    <t>dela1252</t>
  </si>
  <si>
    <t>Dela</t>
  </si>
  <si>
    <t>Delawaran</t>
  </si>
  <si>
    <t>delh1234</t>
  </si>
  <si>
    <t>Delhi Indian Sign Language</t>
  </si>
  <si>
    <t>delo1240</t>
  </si>
  <si>
    <t>Delo</t>
  </si>
  <si>
    <t>ntr</t>
  </si>
  <si>
    <t>Delo-Cala</t>
  </si>
  <si>
    <t>Delta Cross</t>
  </si>
  <si>
    <t>edoi1239</t>
  </si>
  <si>
    <t>Delta Edoid</t>
  </si>
  <si>
    <t>gene1244</t>
  </si>
  <si>
    <t>Delta-Californian Yuman</t>
  </si>
  <si>
    <t>delt1254</t>
  </si>
  <si>
    <t>yoku1256</t>
  </si>
  <si>
    <t>Delta Yokuts</t>
  </si>
  <si>
    <t>delw1234</t>
  </si>
  <si>
    <t>Delware-based pidgin</t>
  </si>
  <si>
    <t>dema1235</t>
  </si>
  <si>
    <t>unun9914</t>
  </si>
  <si>
    <t>Dema</t>
  </si>
  <si>
    <t>dmx</t>
  </si>
  <si>
    <t>demb1239</t>
  </si>
  <si>
    <t>qima1242</t>
  </si>
  <si>
    <t>Dembiya</t>
  </si>
  <si>
    <t>demi1241</t>
  </si>
  <si>
    <t>keig1242</t>
  </si>
  <si>
    <t>Demik</t>
  </si>
  <si>
    <t>demi1242</t>
  </si>
  <si>
    <t>Demisa</t>
  </si>
  <si>
    <t>dei</t>
  </si>
  <si>
    <t>demm1245</t>
  </si>
  <si>
    <t>Dem</t>
  </si>
  <si>
    <t>dem</t>
  </si>
  <si>
    <t>dems1242</t>
  </si>
  <si>
    <t>Demsa</t>
  </si>
  <si>
    <t>dems1243</t>
  </si>
  <si>
    <t>miya1266</t>
  </si>
  <si>
    <t>Demshin</t>
  </si>
  <si>
    <t>demt1241</t>
  </si>
  <si>
    <t>Demta</t>
  </si>
  <si>
    <t>dmy</t>
  </si>
  <si>
    <t>demu1235</t>
  </si>
  <si>
    <t>mats1243</t>
  </si>
  <si>
    <t>Demushbo</t>
  </si>
  <si>
    <t>dend1242</t>
  </si>
  <si>
    <t>nucl1737</t>
  </si>
  <si>
    <t>Dendi (Central African Republic)</t>
  </si>
  <si>
    <t>deq</t>
  </si>
  <si>
    <t>dend1243</t>
  </si>
  <si>
    <t>zarm1240</t>
  </si>
  <si>
    <t>Dendi (Benin)</t>
  </si>
  <si>
    <t>ddn</t>
  </si>
  <si>
    <t>BJ NE NG</t>
  </si>
  <si>
    <t>deng1249</t>
  </si>
  <si>
    <t>Deng</t>
  </si>
  <si>
    <t>deng1250</t>
  </si>
  <si>
    <t>Dengese</t>
  </si>
  <si>
    <t>dez</t>
  </si>
  <si>
    <t>deng1251</t>
  </si>
  <si>
    <t>lamj1245</t>
  </si>
  <si>
    <t>Dengsa</t>
  </si>
  <si>
    <t>deng1252</t>
  </si>
  <si>
    <t>pate1247</t>
  </si>
  <si>
    <t>Dengalu</t>
  </si>
  <si>
    <t>deng1253</t>
  </si>
  <si>
    <t>Dengka</t>
  </si>
  <si>
    <t>dnk</t>
  </si>
  <si>
    <t>deni1241</t>
  </si>
  <si>
    <t>Deni</t>
  </si>
  <si>
    <t>dny</t>
  </si>
  <si>
    <t>deno1239</t>
  </si>
  <si>
    <t>kubi1240</t>
  </si>
  <si>
    <t>Deno</t>
  </si>
  <si>
    <t>dbb</t>
  </si>
  <si>
    <t>kend1255</t>
  </si>
  <si>
    <t>Denya</t>
  </si>
  <si>
    <t>anv</t>
  </si>
  <si>
    <t>deok1238</t>
  </si>
  <si>
    <t>Deokhuri</t>
  </si>
  <si>
    <t>deor1238</t>
  </si>
  <si>
    <t>Deori</t>
  </si>
  <si>
    <t>der</t>
  </si>
  <si>
    <t>deot1238</t>
  </si>
  <si>
    <t>Deo Tien</t>
  </si>
  <si>
    <t>depl1238</t>
  </si>
  <si>
    <t>Deple</t>
  </si>
  <si>
    <t>dera1244</t>
  </si>
  <si>
    <t>Derawali</t>
  </si>
  <si>
    <t>dera1245</t>
  </si>
  <si>
    <t>Dera (Indonesia)</t>
  </si>
  <si>
    <t>kbv</t>
  </si>
  <si>
    <t>ID PG</t>
  </si>
  <si>
    <t>dera1248</t>
  </si>
  <si>
    <t>tang1366</t>
  </si>
  <si>
    <t>Dera (Nigeria)</t>
  </si>
  <si>
    <t>kna</t>
  </si>
  <si>
    <t>derb1244</t>
  </si>
  <si>
    <t>jude1256</t>
  </si>
  <si>
    <t>Derbend</t>
  </si>
  <si>
    <t>derb1245</t>
  </si>
  <si>
    <t>Derbend Azerbaijani</t>
  </si>
  <si>
    <t>dere1242</t>
  </si>
  <si>
    <t>Dere</t>
  </si>
  <si>
    <t>dere1243</t>
  </si>
  <si>
    <t>Derebai</t>
  </si>
  <si>
    <t>derg1234</t>
  </si>
  <si>
    <t>Derge (Dege)</t>
  </si>
  <si>
    <t>derm1238</t>
  </si>
  <si>
    <t>Dermuha</t>
  </si>
  <si>
    <t>deru1238</t>
  </si>
  <si>
    <t>waja1259</t>
  </si>
  <si>
    <t>Deruwo</t>
  </si>
  <si>
    <t>desa1247</t>
  </si>
  <si>
    <t>siri1280</t>
  </si>
  <si>
    <t>Desano</t>
  </si>
  <si>
    <t>des</t>
  </si>
  <si>
    <t>dese1234</t>
  </si>
  <si>
    <t>Desert Nyungic</t>
  </si>
  <si>
    <t>desi1235</t>
  </si>
  <si>
    <t>Desiya</t>
  </si>
  <si>
    <t>dso</t>
  </si>
  <si>
    <t>dess1238</t>
  </si>
  <si>
    <t>Dessaulya</t>
  </si>
  <si>
    <t>desw1238</t>
  </si>
  <si>
    <t>Deswali</t>
  </si>
  <si>
    <t>deti1240</t>
  </si>
  <si>
    <t>Deti</t>
  </si>
  <si>
    <t>deve1238</t>
  </si>
  <si>
    <t>Devechi</t>
  </si>
  <si>
    <t>devo1240</t>
  </si>
  <si>
    <t>east2827</t>
  </si>
  <si>
    <t>Devon</t>
  </si>
  <si>
    <t>dewa1234</t>
  </si>
  <si>
    <t>dhan1265</t>
  </si>
  <si>
    <t>Dewas Rai</t>
  </si>
  <si>
    <t>dewi1238</t>
  </si>
  <si>
    <t>Dewiya</t>
  </si>
  <si>
    <t>dewo1238</t>
  </si>
  <si>
    <t>Dewoin</t>
  </si>
  <si>
    <t>dee</t>
  </si>
  <si>
    <t>dezf1238</t>
  </si>
  <si>
    <t>luri1257</t>
  </si>
  <si>
    <t>Dezfuli-Shushtari</t>
  </si>
  <si>
    <t>def</t>
  </si>
  <si>
    <t>dezz1235</t>
  </si>
  <si>
    <t>Dez</t>
  </si>
  <si>
    <t>dgeb1234</t>
  </si>
  <si>
    <t>Dgebshes</t>
  </si>
  <si>
    <t>dger1238</t>
  </si>
  <si>
    <t>Dgernesiais</t>
  </si>
  <si>
    <t>dghw1239</t>
  </si>
  <si>
    <t>Dghwede</t>
  </si>
  <si>
    <t>dgh</t>
  </si>
  <si>
    <t>mand1472</t>
  </si>
  <si>
    <t>Dghwedeic</t>
  </si>
  <si>
    <t>dgsi1234</t>
  </si>
  <si>
    <t>DGSic</t>
  </si>
  <si>
    <t>dhai1238</t>
  </si>
  <si>
    <t>east2749</t>
  </si>
  <si>
    <t>Dhaiso</t>
  </si>
  <si>
    <t>dhs</t>
  </si>
  <si>
    <t>dhal1245</t>
  </si>
  <si>
    <t>Dhalandji</t>
  </si>
  <si>
    <t>dhl</t>
  </si>
  <si>
    <t>dhal1246</t>
  </si>
  <si>
    <t>Dhalwangu</t>
  </si>
  <si>
    <t>dhan1264</t>
  </si>
  <si>
    <t>khan1271</t>
  </si>
  <si>
    <t>Dhanki</t>
  </si>
  <si>
    <t>dhn</t>
  </si>
  <si>
    <t>Dewas-Done Danuwar</t>
  </si>
  <si>
    <t>dwz</t>
  </si>
  <si>
    <t>dhan1266</t>
  </si>
  <si>
    <t>koch1247</t>
  </si>
  <si>
    <t>Dhanusa</t>
  </si>
  <si>
    <t>dhan1267</t>
  </si>
  <si>
    <t>Dhanwar (India)</t>
  </si>
  <si>
    <t>dha</t>
  </si>
  <si>
    <t>dhan1268</t>
  </si>
  <si>
    <t>Dhanagari</t>
  </si>
  <si>
    <t>dhan1269</t>
  </si>
  <si>
    <t>Dhanora</t>
  </si>
  <si>
    <t>dhan1270</t>
  </si>
  <si>
    <t>Dhangu</t>
  </si>
  <si>
    <t>dhg</t>
  </si>
  <si>
    <t>Dhangu-Djangu</t>
  </si>
  <si>
    <t>dhao1237</t>
  </si>
  <si>
    <t>hawu1234</t>
  </si>
  <si>
    <t>Dhao</t>
  </si>
  <si>
    <t>nfa</t>
  </si>
  <si>
    <t>dhar1245</t>
  </si>
  <si>
    <t>sirm1239</t>
  </si>
  <si>
    <t>Dharthi</t>
  </si>
  <si>
    <t>dhar1246</t>
  </si>
  <si>
    <t>Dharba</t>
  </si>
  <si>
    <t>dhar1247</t>
  </si>
  <si>
    <t>wari1270</t>
  </si>
  <si>
    <t>Dhargari</t>
  </si>
  <si>
    <t>dhr</t>
  </si>
  <si>
    <t>dhar1248</t>
  </si>
  <si>
    <t>Dharumbal</t>
  </si>
  <si>
    <t>xgm</t>
  </si>
  <si>
    <t>Dhatki</t>
  </si>
  <si>
    <t>mki</t>
  </si>
  <si>
    <t>dhaw1234</t>
  </si>
  <si>
    <t>Dhawa-Kaber</t>
  </si>
  <si>
    <t>dheg1241</t>
  </si>
  <si>
    <t>Dhegiha</t>
  </si>
  <si>
    <t>dhel1238</t>
  </si>
  <si>
    <t>khar1287</t>
  </si>
  <si>
    <t>Dhelki Kharia</t>
  </si>
  <si>
    <t>dhim1245</t>
  </si>
  <si>
    <t>Dhimalish</t>
  </si>
  <si>
    <t>dhim1246</t>
  </si>
  <si>
    <t>Dhimal</t>
  </si>
  <si>
    <t>dhi</t>
  </si>
  <si>
    <t>dhir1238</t>
  </si>
  <si>
    <t>Dhiraila</t>
  </si>
  <si>
    <t>dhiv1236</t>
  </si>
  <si>
    <t>sinh1245</t>
  </si>
  <si>
    <t>Dhivehi</t>
  </si>
  <si>
    <t>div</t>
  </si>
  <si>
    <t>IN MV</t>
  </si>
  <si>
    <t>dhod1238</t>
  </si>
  <si>
    <t>Dhodia-Kukna</t>
  </si>
  <si>
    <t>dho</t>
  </si>
  <si>
    <t>dhof1235</t>
  </si>
  <si>
    <t>Dhofari Arabic</t>
  </si>
  <si>
    <t>adf</t>
  </si>
  <si>
    <t>OM</t>
  </si>
  <si>
    <t>dhol1238</t>
  </si>
  <si>
    <t>Dholewari</t>
  </si>
  <si>
    <t>dhoo1234</t>
  </si>
  <si>
    <t>Dhoo Dan</t>
  </si>
  <si>
    <t>Dhopaluo</t>
  </si>
  <si>
    <t>dhud1236</t>
  </si>
  <si>
    <t>dhud1237</t>
  </si>
  <si>
    <t>Dhudhuroa</t>
  </si>
  <si>
    <t>ddr</t>
  </si>
  <si>
    <t>east2706</t>
  </si>
  <si>
    <t>Dhudhuroa-Pallanganmiddang</t>
  </si>
  <si>
    <t>dhul1234</t>
  </si>
  <si>
    <t>Dhuleli</t>
  </si>
  <si>
    <t>dhun1238</t>
  </si>
  <si>
    <t>Dhundari</t>
  </si>
  <si>
    <t>dhd</t>
  </si>
  <si>
    <t>dhun1239</t>
  </si>
  <si>
    <t>gure1255</t>
  </si>
  <si>
    <t>Dhungaloo</t>
  </si>
  <si>
    <t>dhx</t>
  </si>
  <si>
    <t>dhur1239</t>
  </si>
  <si>
    <t>nort2761</t>
  </si>
  <si>
    <t>Dhurga</t>
  </si>
  <si>
    <t>dhu</t>
  </si>
  <si>
    <t>dhuw1248</t>
  </si>
  <si>
    <t>Dhuwal-Dhuwala</t>
  </si>
  <si>
    <t>west2439</t>
  </si>
  <si>
    <t>Dhuwal</t>
  </si>
  <si>
    <t>dhuw1250</t>
  </si>
  <si>
    <t>Dhuwaya</t>
  </si>
  <si>
    <t>diaa1238</t>
  </si>
  <si>
    <t>galu1240</t>
  </si>
  <si>
    <t>Alu-Sinagen</t>
  </si>
  <si>
    <t>dia</t>
  </si>
  <si>
    <t>diab1238</t>
  </si>
  <si>
    <t>Diabe</t>
  </si>
  <si>
    <t>diad1234</t>
  </si>
  <si>
    <t>vani1249</t>
  </si>
  <si>
    <t>Diadin</t>
  </si>
  <si>
    <t>diah1239</t>
  </si>
  <si>
    <t>tenh1241</t>
  </si>
  <si>
    <t>Diah√≥i</t>
  </si>
  <si>
    <t>diam1238</t>
  </si>
  <si>
    <t>djim1235</t>
  </si>
  <si>
    <t>Diamala</t>
  </si>
  <si>
    <t>diba1240</t>
  </si>
  <si>
    <t>mand1426</t>
  </si>
  <si>
    <t>Dibate</t>
  </si>
  <si>
    <t>diba1241</t>
  </si>
  <si>
    <t>Dibagat-Kabugao</t>
  </si>
  <si>
    <t>diba1242</t>
  </si>
  <si>
    <t>Dibabawon Manobo</t>
  </si>
  <si>
    <t>mbd</t>
  </si>
  <si>
    <t>dibi1240</t>
  </si>
  <si>
    <t>Dibiyaso</t>
  </si>
  <si>
    <t>dby</t>
  </si>
  <si>
    <t>Dibole</t>
  </si>
  <si>
    <t>bvx</t>
  </si>
  <si>
    <t>dibo1246</t>
  </si>
  <si>
    <t>Diboum</t>
  </si>
  <si>
    <t>dibo1247</t>
  </si>
  <si>
    <t>dibo1250</t>
  </si>
  <si>
    <t>Dibo</t>
  </si>
  <si>
    <t>dio</t>
  </si>
  <si>
    <t>dibo1249</t>
  </si>
  <si>
    <t>Dibo-Kupa</t>
  </si>
  <si>
    <t>Dibo-Kami</t>
  </si>
  <si>
    <t>dibu1238</t>
  </si>
  <si>
    <t>east2357</t>
  </si>
  <si>
    <t>Dibum</t>
  </si>
  <si>
    <t>dica1235</t>
  </si>
  <si>
    <t>unun9992</t>
  </si>
  <si>
    <t>Dicamay Agta</t>
  </si>
  <si>
    <t>duy</t>
  </si>
  <si>
    <t>dida1244</t>
  </si>
  <si>
    <t>Neyo-Dida</t>
  </si>
  <si>
    <t>dida1245</t>
  </si>
  <si>
    <t>Dida</t>
  </si>
  <si>
    <t>didi1255</t>
  </si>
  <si>
    <t>keli1248</t>
  </si>
  <si>
    <t>Didi</t>
  </si>
  <si>
    <t>didi1256</t>
  </si>
  <si>
    <t>Didinga-Murle</t>
  </si>
  <si>
    <t>didi1257</t>
  </si>
  <si>
    <t>Didinga-Longarim</t>
  </si>
  <si>
    <t>didi1258</t>
  </si>
  <si>
    <t>Didinga</t>
  </si>
  <si>
    <t>did</t>
  </si>
  <si>
    <t>didi1259</t>
  </si>
  <si>
    <t>Didigavu</t>
  </si>
  <si>
    <t>didi1260</t>
  </si>
  <si>
    <t>Didigaru</t>
  </si>
  <si>
    <t>dido1241</t>
  </si>
  <si>
    <t>west2429</t>
  </si>
  <si>
    <t>Tsez</t>
  </si>
  <si>
    <t>ddo</t>
  </si>
  <si>
    <t>diee1238</t>
  </si>
  <si>
    <t>Di'e</t>
  </si>
  <si>
    <t>dieg1234</t>
  </si>
  <si>
    <t>Diegueno</t>
  </si>
  <si>
    <t>dier1240</t>
  </si>
  <si>
    <t>pirl1239</t>
  </si>
  <si>
    <t>Dieric</t>
  </si>
  <si>
    <t>dier1241</t>
  </si>
  <si>
    <t>Dieri</t>
  </si>
  <si>
    <t>dif</t>
  </si>
  <si>
    <t>diga1241</t>
  </si>
  <si>
    <t>mish1241</t>
  </si>
  <si>
    <t>Tawra</t>
  </si>
  <si>
    <t>mhu</t>
  </si>
  <si>
    <t>CN IN</t>
  </si>
  <si>
    <t>diga1245</t>
  </si>
  <si>
    <t>Digam</t>
  </si>
  <si>
    <t>digo1242</t>
  </si>
  <si>
    <t>Digor</t>
  </si>
  <si>
    <t>digo1243</t>
  </si>
  <si>
    <t>sout3204</t>
  </si>
  <si>
    <t>Digo</t>
  </si>
  <si>
    <t>dig</t>
  </si>
  <si>
    <t>dihb1240</t>
  </si>
  <si>
    <t>Dih Bri</t>
  </si>
  <si>
    <t>dihi1238</t>
  </si>
  <si>
    <t>gaww1239</t>
  </si>
  <si>
    <t>Dihina</t>
  </si>
  <si>
    <t>diho1238</t>
  </si>
  <si>
    <t>Dihok</t>
  </si>
  <si>
    <t>diic1235</t>
  </si>
  <si>
    <t>sout3238</t>
  </si>
  <si>
    <t>Diic</t>
  </si>
  <si>
    <t>Dii</t>
  </si>
  <si>
    <t>dur</t>
  </si>
  <si>
    <t>Dijim-Bwilim</t>
  </si>
  <si>
    <t>cfa</t>
  </si>
  <si>
    <t>diji1242</t>
  </si>
  <si>
    <t>Dijim</t>
  </si>
  <si>
    <t>dika1237</t>
  </si>
  <si>
    <t>Dikayu</t>
  </si>
  <si>
    <t>dikh1234</t>
  </si>
  <si>
    <t>Dikhyang</t>
  </si>
  <si>
    <t>diki1238</t>
  </si>
  <si>
    <t>mara1373</t>
  </si>
  <si>
    <t>Dikini</t>
  </si>
  <si>
    <t>diko1241</t>
  </si>
  <si>
    <t>ngan1304</t>
  </si>
  <si>
    <t>Dikota</t>
  </si>
  <si>
    <t>diko1242</t>
  </si>
  <si>
    <t>gbag1258</t>
  </si>
  <si>
    <t>Diko</t>
  </si>
  <si>
    <t>diku1238</t>
  </si>
  <si>
    <t>Dikuta</t>
  </si>
  <si>
    <t>dila1238</t>
  </si>
  <si>
    <t>Dilaut-Badjao</t>
  </si>
  <si>
    <t>west2807</t>
  </si>
  <si>
    <t>Dilling</t>
  </si>
  <si>
    <t>dil</t>
  </si>
  <si>
    <t>dima1246</t>
  </si>
  <si>
    <t>Dima-Bottego</t>
  </si>
  <si>
    <t>dima1250</t>
  </si>
  <si>
    <t>Dimali</t>
  </si>
  <si>
    <t>dima1251</t>
  </si>
  <si>
    <t>dima1253</t>
  </si>
  <si>
    <t>Dimasa</t>
  </si>
  <si>
    <t>dis</t>
  </si>
  <si>
    <t>dima1252</t>
  </si>
  <si>
    <t>Dima</t>
  </si>
  <si>
    <t>jma</t>
  </si>
  <si>
    <t>Dimasa-Kokborok</t>
  </si>
  <si>
    <t>dimb1238</t>
  </si>
  <si>
    <t>nucl1740</t>
  </si>
  <si>
    <t>Dimbong</t>
  </si>
  <si>
    <t>dii</t>
  </si>
  <si>
    <t>dime1235</t>
  </si>
  <si>
    <t>Dime</t>
  </si>
  <si>
    <t>dim</t>
  </si>
  <si>
    <t>dime1245</t>
  </si>
  <si>
    <t>mofu1248</t>
  </si>
  <si>
    <t>Dimeo</t>
  </si>
  <si>
    <t>dimi1244</t>
  </si>
  <si>
    <t>dimi1245</t>
  </si>
  <si>
    <t>Dimir</t>
  </si>
  <si>
    <t>dmc</t>
  </si>
  <si>
    <t>Dimir-Malas</t>
  </si>
  <si>
    <t>diml1238</t>
  </si>
  <si>
    <t>zaza1246</t>
  </si>
  <si>
    <t>Dimli</t>
  </si>
  <si>
    <t>diq</t>
  </si>
  <si>
    <t>dimm1239</t>
  </si>
  <si>
    <t>Dim</t>
  </si>
  <si>
    <t>dimm1243</t>
  </si>
  <si>
    <t>Kofyar-Doemak</t>
  </si>
  <si>
    <t>dimo1238</t>
  </si>
  <si>
    <t>Dimotiki</t>
  </si>
  <si>
    <t>dimp1238</t>
  </si>
  <si>
    <t>Dimpi</t>
  </si>
  <si>
    <t>ding1239</t>
  </si>
  <si>
    <t>kwil1235</t>
  </si>
  <si>
    <t>Ding</t>
  </si>
  <si>
    <t>diz</t>
  </si>
  <si>
    <t>ding1240</t>
  </si>
  <si>
    <t>sina1271</t>
  </si>
  <si>
    <t>Dinga</t>
  </si>
  <si>
    <t>ding1241</t>
  </si>
  <si>
    <t>Dinggabal</t>
  </si>
  <si>
    <t>ding1242</t>
  </si>
  <si>
    <t>nort3289</t>
  </si>
  <si>
    <t>Dingga</t>
  </si>
  <si>
    <t>ding1243</t>
  </si>
  <si>
    <t>gtsa1238</t>
  </si>
  <si>
    <t>Dingri</t>
  </si>
  <si>
    <t>dink1261</t>
  </si>
  <si>
    <t>west2493</t>
  </si>
  <si>
    <t>Dinka-Nuer</t>
  </si>
  <si>
    <t>din</t>
  </si>
  <si>
    <t>SS</t>
  </si>
  <si>
    <t>dinl1238</t>
  </si>
  <si>
    <t>Dinler</t>
  </si>
  <si>
    <t>diob1238</t>
  </si>
  <si>
    <t>Diobass</t>
  </si>
  <si>
    <t>Diodio</t>
  </si>
  <si>
    <t>ddi</t>
  </si>
  <si>
    <t>dioo1238</t>
  </si>
  <si>
    <t>Dio</t>
  </si>
  <si>
    <t>diou1238</t>
  </si>
  <si>
    <t>dyul1238</t>
  </si>
  <si>
    <t>Dioula V√©hiculaire</t>
  </si>
  <si>
    <t>dira1238</t>
  </si>
  <si>
    <t>Dirari</t>
  </si>
  <si>
    <t>dit</t>
  </si>
  <si>
    <t>Dirasha</t>
  </si>
  <si>
    <t>diri1252</t>
  </si>
  <si>
    <t>kwan1288</t>
  </si>
  <si>
    <t>Diriku</t>
  </si>
  <si>
    <t>diu</t>
  </si>
  <si>
    <t>AO BW NA</t>
  </si>
  <si>
    <t>diri1253</t>
  </si>
  <si>
    <t>diri1260</t>
  </si>
  <si>
    <t>Dirim</t>
  </si>
  <si>
    <t>dir</t>
  </si>
  <si>
    <t>diri1255</t>
  </si>
  <si>
    <t>moni1237</t>
  </si>
  <si>
    <t>Diria</t>
  </si>
  <si>
    <t>diri1259</t>
  </si>
  <si>
    <t>Diri</t>
  </si>
  <si>
    <t>dwa</t>
  </si>
  <si>
    <t>tara1325</t>
  </si>
  <si>
    <t>Dirim-Nnakenyare</t>
  </si>
  <si>
    <t>dirr1240</t>
  </si>
  <si>
    <t>Dir</t>
  </si>
  <si>
    <t>dirs1236</t>
  </si>
  <si>
    <t>kohi1251</t>
  </si>
  <si>
    <t>Dir-Swat Kohistani</t>
  </si>
  <si>
    <t>disa1239</t>
  </si>
  <si>
    <t>unun9991</t>
  </si>
  <si>
    <t>Disa</t>
  </si>
  <si>
    <t>dsi</t>
  </si>
  <si>
    <t>diso1238</t>
  </si>
  <si>
    <t>Disoha</t>
  </si>
  <si>
    <t>disp1238</t>
  </si>
  <si>
    <t>Dispoholnon</t>
  </si>
  <si>
    <t>dita1238</t>
  </si>
  <si>
    <t>dita1239</t>
  </si>
  <si>
    <t>Ditammari</t>
  </si>
  <si>
    <t>tbz</t>
  </si>
  <si>
    <t>taya1258</t>
  </si>
  <si>
    <t>Ditammaric</t>
  </si>
  <si>
    <t>dith1234</t>
  </si>
  <si>
    <t>nort2628</t>
  </si>
  <si>
    <t>Dithmarsch</t>
  </si>
  <si>
    <t>diti1235</t>
  </si>
  <si>
    <t>noot1238</t>
  </si>
  <si>
    <t>Ditidaht</t>
  </si>
  <si>
    <t>dtd</t>
  </si>
  <si>
    <t>diuu1237</t>
  </si>
  <si>
    <t>Diu</t>
  </si>
  <si>
    <t>diuw1238</t>
  </si>
  <si>
    <t>Diuwe</t>
  </si>
  <si>
    <t>diy</t>
  </si>
  <si>
    <t>diux1235</t>
  </si>
  <si>
    <t>east2735</t>
  </si>
  <si>
    <t>Diuxi-Tilantongo Mixtec</t>
  </si>
  <si>
    <t>xtd</t>
  </si>
  <si>
    <t>divo1238</t>
  </si>
  <si>
    <t>yoco1235</t>
  </si>
  <si>
    <t>Divo</t>
  </si>
  <si>
    <t>diwi1237</t>
  </si>
  <si>
    <t>Diwinai</t>
  </si>
  <si>
    <t>dixo1238</t>
  </si>
  <si>
    <t>sout3240</t>
  </si>
  <si>
    <t>Dixon Reef</t>
  </si>
  <si>
    <t>dix</t>
  </si>
  <si>
    <t>Dizin</t>
  </si>
  <si>
    <t>Dizoid</t>
  </si>
  <si>
    <t>djab1234</t>
  </si>
  <si>
    <t>djad1246</t>
  </si>
  <si>
    <t>Djabwurrung</t>
  </si>
  <si>
    <t>tjw</t>
  </si>
  <si>
    <t>djad1244</t>
  </si>
  <si>
    <t>Djadiwitjibi</t>
  </si>
  <si>
    <t>djad1245</t>
  </si>
  <si>
    <t>sout3289</t>
  </si>
  <si>
    <t>Djadha</t>
  </si>
  <si>
    <t>west2443</t>
  </si>
  <si>
    <t>Djadjawurrungic</t>
  </si>
  <si>
    <t>djaf1238</t>
  </si>
  <si>
    <t>Djafolo</t>
  </si>
  <si>
    <t>djam1254</t>
  </si>
  <si>
    <t>Yirram</t>
  </si>
  <si>
    <t>djam1255</t>
  </si>
  <si>
    <t>Jaminjung-Ngaliwurru</t>
  </si>
  <si>
    <t>djd</t>
  </si>
  <si>
    <t>djam1256</t>
  </si>
  <si>
    <t>east2378</t>
  </si>
  <si>
    <t>Djambarrpuyngu</t>
  </si>
  <si>
    <t>djr</t>
  </si>
  <si>
    <t>djam1257</t>
  </si>
  <si>
    <t>Djama</t>
  </si>
  <si>
    <t>djam1258</t>
  </si>
  <si>
    <t>Djambi</t>
  </si>
  <si>
    <t>djan1238</t>
  </si>
  <si>
    <t>yala1261</t>
  </si>
  <si>
    <t>Djangun</t>
  </si>
  <si>
    <t>djf</t>
  </si>
  <si>
    <t>djar1244</t>
  </si>
  <si>
    <t>jaru1254</t>
  </si>
  <si>
    <t>Djaru</t>
  </si>
  <si>
    <t>djar1245</t>
  </si>
  <si>
    <t>Djarrwark</t>
  </si>
  <si>
    <t>west2432</t>
  </si>
  <si>
    <t>Jawoyn</t>
  </si>
  <si>
    <t>djaw1238</t>
  </si>
  <si>
    <t>Djawi</t>
  </si>
  <si>
    <t>djw</t>
  </si>
  <si>
    <t>djee1236</t>
  </si>
  <si>
    <t>Djeebbana</t>
  </si>
  <si>
    <t>djj</t>
  </si>
  <si>
    <t>djem1238</t>
  </si>
  <si>
    <t>Djembe</t>
  </si>
  <si>
    <t>djen1242</t>
  </si>
  <si>
    <t>koyr1240</t>
  </si>
  <si>
    <t>Djenn√© Chiini</t>
  </si>
  <si>
    <t>djen1243</t>
  </si>
  <si>
    <t>humb1243</t>
  </si>
  <si>
    <t>Djenne Chiini</t>
  </si>
  <si>
    <t>djeo1235</t>
  </si>
  <si>
    <t>Djeoromitx√≠</t>
  </si>
  <si>
    <t>jbt</t>
  </si>
  <si>
    <t>djia1238</t>
  </si>
  <si>
    <t>Djia</t>
  </si>
  <si>
    <t>djid1238</t>
  </si>
  <si>
    <t>tagw1240</t>
  </si>
  <si>
    <t>Djidanan</t>
  </si>
  <si>
    <t>sout3153</t>
  </si>
  <si>
    <t>Djimini Senoufo</t>
  </si>
  <si>
    <t>dyi</t>
  </si>
  <si>
    <t>djim1239</t>
  </si>
  <si>
    <t>jimi1254</t>
  </si>
  <si>
    <t>Djimi</t>
  </si>
  <si>
    <t>djin1251</t>
  </si>
  <si>
    <t>Jingulu</t>
  </si>
  <si>
    <t>jig</t>
  </si>
  <si>
    <t>west2440</t>
  </si>
  <si>
    <t>Djinba</t>
  </si>
  <si>
    <t>djb</t>
  </si>
  <si>
    <t>Djinang</t>
  </si>
  <si>
    <t>dji</t>
  </si>
  <si>
    <t>djiw1240</t>
  </si>
  <si>
    <t>mant1266</t>
  </si>
  <si>
    <t>Djiwarli-Thiin</t>
  </si>
  <si>
    <t>djl</t>
  </si>
  <si>
    <t>djiw1241</t>
  </si>
  <si>
    <t>Djiwarli</t>
  </si>
  <si>
    <t>dze</t>
  </si>
  <si>
    <t>djou1238</t>
  </si>
  <si>
    <t>Djougoure</t>
  </si>
  <si>
    <t>djua1238</t>
  </si>
  <si>
    <t>Djuablin</t>
  </si>
  <si>
    <t>djug1234</t>
  </si>
  <si>
    <t>Djugha</t>
  </si>
  <si>
    <t>djur1234</t>
  </si>
  <si>
    <t>Djura</t>
  </si>
  <si>
    <t>djuw1238</t>
  </si>
  <si>
    <t>walm1241</t>
  </si>
  <si>
    <t>Djuwarliny</t>
  </si>
  <si>
    <t>dlig1238</t>
  </si>
  <si>
    <t>Dlige</t>
  </si>
  <si>
    <t>dlog1238</t>
  </si>
  <si>
    <t>Dlogo</t>
  </si>
  <si>
    <t>doab1238</t>
  </si>
  <si>
    <t>Doab</t>
  </si>
  <si>
    <t>dobe1238</t>
  </si>
  <si>
    <t>dobe1243</t>
  </si>
  <si>
    <t>Dobel</t>
  </si>
  <si>
    <t>kvo</t>
  </si>
  <si>
    <t>dobe1242</t>
  </si>
  <si>
    <t>Dobe</t>
  </si>
  <si>
    <t>Dobel-Koba</t>
  </si>
  <si>
    <t>dobi1240</t>
  </si>
  <si>
    <t>kist1241</t>
  </si>
  <si>
    <t>Dobi</t>
  </si>
  <si>
    <t>dobo1243</t>
  </si>
  <si>
    <t>Dobo Lo</t>
  </si>
  <si>
    <t>dobo1244</t>
  </si>
  <si>
    <t>Dobo Malay</t>
  </si>
  <si>
    <t>Dobu-Duau linkage</t>
  </si>
  <si>
    <t>Dobu</t>
  </si>
  <si>
    <t>dob</t>
  </si>
  <si>
    <t>doch1234</t>
  </si>
  <si>
    <t>Dochari</t>
  </si>
  <si>
    <t>dode1238</t>
  </si>
  <si>
    <t>Dodecanese</t>
  </si>
  <si>
    <t>dodi1239</t>
  </si>
  <si>
    <t>Dodinga</t>
  </si>
  <si>
    <t>dodo1240</t>
  </si>
  <si>
    <t>Dodos</t>
  </si>
  <si>
    <t>doee1238</t>
  </si>
  <si>
    <t>Doe</t>
  </si>
  <si>
    <t>doe</t>
  </si>
  <si>
    <t>doee1242</t>
  </si>
  <si>
    <t>Doe (Chadic)</t>
  </si>
  <si>
    <t>dofa1238</t>
  </si>
  <si>
    <t>Dofana</t>
  </si>
  <si>
    <t>doga1238</t>
  </si>
  <si>
    <t>Doga</t>
  </si>
  <si>
    <t>dgg</t>
  </si>
  <si>
    <t>doga1242</t>
  </si>
  <si>
    <t>Doga (Chad)</t>
  </si>
  <si>
    <t>dogb1238</t>
  </si>
  <si>
    <t>Dogbo</t>
  </si>
  <si>
    <t>dogh1241</t>
  </si>
  <si>
    <t>Doghoro</t>
  </si>
  <si>
    <t>dgx</t>
  </si>
  <si>
    <t>dogo1292</t>
  </si>
  <si>
    <t>Dogo (Benin)</t>
  </si>
  <si>
    <t>dogo1293</t>
  </si>
  <si>
    <t>Dogoso-Khe</t>
  </si>
  <si>
    <t>dogo1294</t>
  </si>
  <si>
    <t>Dogoso</t>
  </si>
  <si>
    <t>dgs</t>
  </si>
  <si>
    <t>dogo1295</t>
  </si>
  <si>
    <t>dogo1300</t>
  </si>
  <si>
    <t>Dogos√©</t>
  </si>
  <si>
    <t>dos</t>
  </si>
  <si>
    <t>dogo1296</t>
  </si>
  <si>
    <t>Dogo</t>
  </si>
  <si>
    <t>dogo1297</t>
  </si>
  <si>
    <t>otor1240</t>
  </si>
  <si>
    <t>Dogoridi</t>
  </si>
  <si>
    <t>gand1254</t>
  </si>
  <si>
    <t>Dogose-Khisa</t>
  </si>
  <si>
    <t>indo1311</t>
  </si>
  <si>
    <t>Dogri</t>
  </si>
  <si>
    <t>dgo</t>
  </si>
  <si>
    <t>dogr1251</t>
  </si>
  <si>
    <t>Dogri (Vasavi)</t>
  </si>
  <si>
    <t>dogr1252</t>
  </si>
  <si>
    <t>hare1243</t>
  </si>
  <si>
    <t>Dogrib</t>
  </si>
  <si>
    <t>dgr</t>
  </si>
  <si>
    <t>dogu1235</t>
  </si>
  <si>
    <t>nort2824</t>
  </si>
  <si>
    <t>Dogul Dom Dogon</t>
  </si>
  <si>
    <t>dbg</t>
  </si>
  <si>
    <t>doho1239</t>
  </si>
  <si>
    <t>otda1235</t>
  </si>
  <si>
    <t>Dohoi</t>
  </si>
  <si>
    <t>dohu1239</t>
  </si>
  <si>
    <t>Dohuk</t>
  </si>
  <si>
    <t>doii1241</t>
  </si>
  <si>
    <t>tail1246</t>
  </si>
  <si>
    <t>Doi</t>
  </si>
  <si>
    <t>doii1242</t>
  </si>
  <si>
    <t>Doi (Indonesia)</t>
  </si>
  <si>
    <t>doka1242</t>
  </si>
  <si>
    <t>nort3169</t>
  </si>
  <si>
    <t>Doka</t>
  </si>
  <si>
    <t>dbi</t>
  </si>
  <si>
    <t>doka1243</t>
  </si>
  <si>
    <t>Doka (Congo)</t>
  </si>
  <si>
    <t>doka1247</t>
  </si>
  <si>
    <t>mish1244</t>
  </si>
  <si>
    <t>Doka (Nigeria)</t>
  </si>
  <si>
    <t>doko1243</t>
  </si>
  <si>
    <t>Doko-Uyanga</t>
  </si>
  <si>
    <t>uya</t>
  </si>
  <si>
    <t>doko1244</t>
  </si>
  <si>
    <t>Doko (Democratic Republic of Congo)</t>
  </si>
  <si>
    <t>dolg1241</t>
  </si>
  <si>
    <t>nort2688</t>
  </si>
  <si>
    <t>Dolgan</t>
  </si>
  <si>
    <t>dlg</t>
  </si>
  <si>
    <t>doli1238</t>
  </si>
  <si>
    <t>'Dolimi</t>
  </si>
  <si>
    <t>doli1242</t>
  </si>
  <si>
    <t>muku1242</t>
  </si>
  <si>
    <t>Doliki</t>
  </si>
  <si>
    <t>dolk1238</t>
  </si>
  <si>
    <t>Dolkhali</t>
  </si>
  <si>
    <t>dolo1238</t>
  </si>
  <si>
    <t>sant1424</t>
  </si>
  <si>
    <t>Dolores Cora</t>
  </si>
  <si>
    <t>dolp1238</t>
  </si>
  <si>
    <t>sout3216</t>
  </si>
  <si>
    <t>Dolpo-Tichurong</t>
  </si>
  <si>
    <t>dolp1239</t>
  </si>
  <si>
    <t>Dolpo</t>
  </si>
  <si>
    <t>dre</t>
  </si>
  <si>
    <t>indo1322</t>
  </si>
  <si>
    <t>Domari</t>
  </si>
  <si>
    <t>rmt</t>
  </si>
  <si>
    <t>EG IL JO PS SY</t>
  </si>
  <si>
    <t>doma1259</t>
  </si>
  <si>
    <t>Domaki</t>
  </si>
  <si>
    <t>doma1260</t>
  </si>
  <si>
    <t>Domaaki</t>
  </si>
  <si>
    <t>dmk</t>
  </si>
  <si>
    <t>doma1261</t>
  </si>
  <si>
    <t>Doma</t>
  </si>
  <si>
    <t>doma1262</t>
  </si>
  <si>
    <t>Domara</t>
  </si>
  <si>
    <t>doma1263</t>
  </si>
  <si>
    <t>Doma (Papua New Guinea)</t>
  </si>
  <si>
    <t>domb1240</t>
  </si>
  <si>
    <t>Dombano</t>
  </si>
  <si>
    <t>domb1245</t>
  </si>
  <si>
    <t>Domba</t>
  </si>
  <si>
    <t>domb1246</t>
  </si>
  <si>
    <t>Toka-Leya-Dombe</t>
  </si>
  <si>
    <t>dov</t>
  </si>
  <si>
    <t>ZW</t>
  </si>
  <si>
    <t>domb1247</t>
  </si>
  <si>
    <t>Dombe</t>
  </si>
  <si>
    <t>domi1236</t>
  </si>
  <si>
    <t>Dominican Sign Language</t>
  </si>
  <si>
    <t>doq</t>
  </si>
  <si>
    <t>DO</t>
  </si>
  <si>
    <t>domk1238</t>
  </si>
  <si>
    <t>gana1274</t>
  </si>
  <si>
    <t>Domkhoe</t>
  </si>
  <si>
    <t>domm1245</t>
  </si>
  <si>
    <t>Dommara</t>
  </si>
  <si>
    <t>domm1246</t>
  </si>
  <si>
    <t>kuma1279</t>
  </si>
  <si>
    <t>Dom</t>
  </si>
  <si>
    <t>doa</t>
  </si>
  <si>
    <t>domn1238</t>
  </si>
  <si>
    <t>Domno</t>
  </si>
  <si>
    <t>domo1238</t>
  </si>
  <si>
    <t>west2705</t>
  </si>
  <si>
    <t>Domo</t>
  </si>
  <si>
    <t>domp1238</t>
  </si>
  <si>
    <t>gonj1242</t>
  </si>
  <si>
    <t>Dompo</t>
  </si>
  <si>
    <t>doy</t>
  </si>
  <si>
    <t>domr1239</t>
  </si>
  <si>
    <t>Domra</t>
  </si>
  <si>
    <t>domu1245</t>
  </si>
  <si>
    <t>Domu</t>
  </si>
  <si>
    <t>dof</t>
  </si>
  <si>
    <t>domu1246</t>
  </si>
  <si>
    <t>Domung</t>
  </si>
  <si>
    <t>dev</t>
  </si>
  <si>
    <t>dond1246</t>
  </si>
  <si>
    <t>Dondo (Ndau)</t>
  </si>
  <si>
    <t>dond1247</t>
  </si>
  <si>
    <t>Dondi</t>
  </si>
  <si>
    <t>dond1248</t>
  </si>
  <si>
    <t>Dondongo</t>
  </si>
  <si>
    <t>dond1249</t>
  </si>
  <si>
    <t>nort2897</t>
  </si>
  <si>
    <t>Dondo</t>
  </si>
  <si>
    <t>dok</t>
  </si>
  <si>
    <t>done1238</t>
  </si>
  <si>
    <t>Donegal</t>
  </si>
  <si>
    <t>done1239</t>
  </si>
  <si>
    <t>Done Danuwar</t>
  </si>
  <si>
    <t>dong1285</t>
  </si>
  <si>
    <t>Dongxiang</t>
  </si>
  <si>
    <t>sce</t>
  </si>
  <si>
    <t>dong1286</t>
  </si>
  <si>
    <t>Dongshanba Lalo</t>
  </si>
  <si>
    <t>yik</t>
  </si>
  <si>
    <t>dong1287</t>
  </si>
  <si>
    <t>Dongnu</t>
  </si>
  <si>
    <t>dong1288</t>
  </si>
  <si>
    <t>Dongola</t>
  </si>
  <si>
    <t>dgl</t>
  </si>
  <si>
    <t>dong1289</t>
  </si>
  <si>
    <t>nucl1240</t>
  </si>
  <si>
    <t>Dong (Nuclear Mumuye)</t>
  </si>
  <si>
    <t>dong1290</t>
  </si>
  <si>
    <t>ndun1247</t>
  </si>
  <si>
    <t>Dongo</t>
  </si>
  <si>
    <t>doo</t>
  </si>
  <si>
    <t>dong1291</t>
  </si>
  <si>
    <t>Donga</t>
  </si>
  <si>
    <t>dong1292</t>
  </si>
  <si>
    <t>juku1254</t>
  </si>
  <si>
    <t>Donga (Jukun Takum)</t>
  </si>
  <si>
    <t>dong1293</t>
  </si>
  <si>
    <t>tiba1234</t>
  </si>
  <si>
    <t>Dong</t>
  </si>
  <si>
    <t>doh</t>
  </si>
  <si>
    <t>dong1294</t>
  </si>
  <si>
    <t>lotu1249</t>
  </si>
  <si>
    <t>Dongotono</t>
  </si>
  <si>
    <t>ddd</t>
  </si>
  <si>
    <t>dong1295</t>
  </si>
  <si>
    <t>Dongjol</t>
  </si>
  <si>
    <t>dong1296</t>
  </si>
  <si>
    <t>gbay1288</t>
  </si>
  <si>
    <t>Dongo (Sudan)</t>
  </si>
  <si>
    <t>dong1297</t>
  </si>
  <si>
    <t>Dongay</t>
  </si>
  <si>
    <t>dong1298</t>
  </si>
  <si>
    <t>yong1285</t>
  </si>
  <si>
    <t>Dong-Qi</t>
  </si>
  <si>
    <t>dong1299</t>
  </si>
  <si>
    <t>nort3268</t>
  </si>
  <si>
    <t>Dong of Xinning</t>
  </si>
  <si>
    <t>donn1239</t>
  </si>
  <si>
    <t>esca1235</t>
  </si>
  <si>
    <t>Donno So Dogon</t>
  </si>
  <si>
    <t>dds</t>
  </si>
  <si>
    <t>dook1241</t>
  </si>
  <si>
    <t>guru1271</t>
  </si>
  <si>
    <t>Dooka</t>
  </si>
  <si>
    <t>doon1238</t>
  </si>
  <si>
    <t>nort3267</t>
  </si>
  <si>
    <t>Doondo</t>
  </si>
  <si>
    <t>dde</t>
  </si>
  <si>
    <t>isth1243</t>
  </si>
  <si>
    <t>Doracic</t>
  </si>
  <si>
    <t>dora1242</t>
  </si>
  <si>
    <t>Dorasque</t>
  </si>
  <si>
    <t>dorb1242</t>
  </si>
  <si>
    <t>D√∂rb√∂t</t>
  </si>
  <si>
    <t>dorb1243</t>
  </si>
  <si>
    <t>gbii1242</t>
  </si>
  <si>
    <t>Dorbor</t>
  </si>
  <si>
    <t>dord1238</t>
  </si>
  <si>
    <t>Dordar</t>
  </si>
  <si>
    <t>dori1246</t>
  </si>
  <si>
    <t>Dori'o</t>
  </si>
  <si>
    <t>dor</t>
  </si>
  <si>
    <t>Doriri-Abia</t>
  </si>
  <si>
    <t>Doric</t>
  </si>
  <si>
    <t>Dorli</t>
  </si>
  <si>
    <t>doro1261</t>
  </si>
  <si>
    <t>Dorobo (Central Grebo)</t>
  </si>
  <si>
    <t>doro1262</t>
  </si>
  <si>
    <t>mosi1247</t>
  </si>
  <si>
    <t>Dorobo</t>
  </si>
  <si>
    <t>doro1263</t>
  </si>
  <si>
    <t>Dorobe</t>
  </si>
  <si>
    <t>doro1264</t>
  </si>
  <si>
    <t>Dorot</t>
  </si>
  <si>
    <t>doro1265</t>
  </si>
  <si>
    <t>Dorogori</t>
  </si>
  <si>
    <t>doro1266</t>
  </si>
  <si>
    <t>Doromu-Koki</t>
  </si>
  <si>
    <t>kqc</t>
  </si>
  <si>
    <t>doro1267</t>
  </si>
  <si>
    <t>Dororo</t>
  </si>
  <si>
    <t>drr</t>
  </si>
  <si>
    <t>dorr1240</t>
  </si>
  <si>
    <t>Dor</t>
  </si>
  <si>
    <t>dorr1248</t>
  </si>
  <si>
    <t>Dor (Chrau)</t>
  </si>
  <si>
    <t>dorr1249</t>
  </si>
  <si>
    <t>Dor (Saharan)</t>
  </si>
  <si>
    <t>dors1239</t>
  </si>
  <si>
    <t>Dorsha</t>
  </si>
  <si>
    <t>dors1240</t>
  </si>
  <si>
    <t>Dorset-Somerset</t>
  </si>
  <si>
    <t>doru1238</t>
  </si>
  <si>
    <t>Dorunkecha</t>
  </si>
  <si>
    <t>dorz1235</t>
  </si>
  <si>
    <t>Dorze</t>
  </si>
  <si>
    <t>doz</t>
  </si>
  <si>
    <t>doso1238</t>
  </si>
  <si>
    <t>Doso-Turumsa</t>
  </si>
  <si>
    <t>doso1239</t>
  </si>
  <si>
    <t>Doso</t>
  </si>
  <si>
    <t>dol</t>
  </si>
  <si>
    <t>dote1238</t>
  </si>
  <si>
    <t>Doteli</t>
  </si>
  <si>
    <t>doty1234</t>
  </si>
  <si>
    <t>east1436</t>
  </si>
  <si>
    <t>Dotyali</t>
  </si>
  <si>
    <t>dty</t>
  </si>
  <si>
    <t>doue1234</t>
  </si>
  <si>
    <t>Douentza Sign Language</t>
  </si>
  <si>
    <t>doug1241</t>
  </si>
  <si>
    <t>jonk1238</t>
  </si>
  <si>
    <t>Dougne</t>
  </si>
  <si>
    <t>doug1242</t>
  </si>
  <si>
    <t>malg1250</t>
  </si>
  <si>
    <t>Douguia</t>
  </si>
  <si>
    <t>douk1234</t>
  </si>
  <si>
    <t>sout2602</t>
  </si>
  <si>
    <t>Doukhobor</t>
  </si>
  <si>
    <t>doum1239</t>
  </si>
  <si>
    <t>Doumori</t>
  </si>
  <si>
    <t>doun1238</t>
  </si>
  <si>
    <t>Douna</t>
  </si>
  <si>
    <t>dour1238</t>
  </si>
  <si>
    <t>Dourbeye</t>
  </si>
  <si>
    <t>dour1242</t>
  </si>
  <si>
    <t>nort3046</t>
  </si>
  <si>
    <t>Douroun</t>
  </si>
  <si>
    <t>dout1239</t>
  </si>
  <si>
    <t>east2502</t>
  </si>
  <si>
    <t>Doutai-Kai-Waritai</t>
  </si>
  <si>
    <t>dout1240</t>
  </si>
  <si>
    <t>Doutai</t>
  </si>
  <si>
    <t>tds</t>
  </si>
  <si>
    <t>down1239</t>
  </si>
  <si>
    <t>rive1256</t>
  </si>
  <si>
    <t>Downriver Riverine Phula</t>
  </si>
  <si>
    <t>sout2728</t>
  </si>
  <si>
    <t>Downward-e Southern Qiang</t>
  </si>
  <si>
    <t>doya1240</t>
  </si>
  <si>
    <t>nort3259</t>
  </si>
  <si>
    <t>Doyayo</t>
  </si>
  <si>
    <t>dow</t>
  </si>
  <si>
    <t>drag1234</t>
  </si>
  <si>
    <t>uncl1511</t>
  </si>
  <si>
    <t>Drag-yab</t>
  </si>
  <si>
    <t>dram1239</t>
  </si>
  <si>
    <t>tief1244</t>
  </si>
  <si>
    <t>Nyarafo</t>
  </si>
  <si>
    <t>dras1242</t>
  </si>
  <si>
    <t>Dras</t>
  </si>
  <si>
    <t>Dravidian</t>
  </si>
  <si>
    <t>Dravidian (Unattested)</t>
  </si>
  <si>
    <t>dree1234</t>
  </si>
  <si>
    <t>nama1270</t>
  </si>
  <si>
    <t>Dre</t>
  </si>
  <si>
    <t>dreh1238</t>
  </si>
  <si>
    <t>Drehet</t>
  </si>
  <si>
    <t>dren1238</t>
  </si>
  <si>
    <t>Drents</t>
  </si>
  <si>
    <t>drt</t>
  </si>
  <si>
    <t>drig1234</t>
  </si>
  <si>
    <t>Drigung</t>
  </si>
  <si>
    <t>droo1238</t>
  </si>
  <si>
    <t>Dro</t>
  </si>
  <si>
    <t>drun1238</t>
  </si>
  <si>
    <t>guno1235</t>
  </si>
  <si>
    <t>Drung</t>
  </si>
  <si>
    <t>duu</t>
  </si>
  <si>
    <t>dual1245</t>
  </si>
  <si>
    <t>Duala</t>
  </si>
  <si>
    <t>dua</t>
  </si>
  <si>
    <t>dual1244</t>
  </si>
  <si>
    <t>Dualaic</t>
  </si>
  <si>
    <t>Duala-Malimba</t>
  </si>
  <si>
    <t>duan1242</t>
  </si>
  <si>
    <t>Duano</t>
  </si>
  <si>
    <t>dup</t>
  </si>
  <si>
    <t>Duau</t>
  </si>
  <si>
    <t>dva</t>
  </si>
  <si>
    <t>dube1239</t>
  </si>
  <si>
    <t>indu1241</t>
  </si>
  <si>
    <t>Duber-Kandia</t>
  </si>
  <si>
    <t>dubl1239</t>
  </si>
  <si>
    <t>guja1256</t>
  </si>
  <si>
    <t>Dubli</t>
  </si>
  <si>
    <t>dub</t>
  </si>
  <si>
    <t>dubu1240</t>
  </si>
  <si>
    <t>west2611</t>
  </si>
  <si>
    <t>Dubu</t>
  </si>
  <si>
    <t>dmu</t>
  </si>
  <si>
    <t>ducl1237</t>
  </si>
  <si>
    <t>Ducligan Ifugao</t>
  </si>
  <si>
    <t>dudh1239</t>
  </si>
  <si>
    <t>Dudh Kharia</t>
  </si>
  <si>
    <t>dudu1240</t>
  </si>
  <si>
    <t>nuru1240</t>
  </si>
  <si>
    <t>Duduela</t>
  </si>
  <si>
    <t>duk</t>
  </si>
  <si>
    <t>dugb1238</t>
  </si>
  <si>
    <t>pyek1235</t>
  </si>
  <si>
    <t>Dugbo</t>
  </si>
  <si>
    <t>dugu1248</t>
  </si>
  <si>
    <t>Dugun</t>
  </si>
  <si>
    <t>ndu</t>
  </si>
  <si>
    <t>Duguri</t>
  </si>
  <si>
    <t>dbm</t>
  </si>
  <si>
    <t>dugu1250</t>
  </si>
  <si>
    <t>Dugujur</t>
  </si>
  <si>
    <t>dugu1257</t>
  </si>
  <si>
    <t>Duguri (Chad)</t>
  </si>
  <si>
    <t>dugu1258</t>
  </si>
  <si>
    <t>mere1246</t>
  </si>
  <si>
    <t>Dugur</t>
  </si>
  <si>
    <t>dugw1239</t>
  </si>
  <si>
    <t>meri1245</t>
  </si>
  <si>
    <t>Dugwor</t>
  </si>
  <si>
    <t>dme</t>
  </si>
  <si>
    <t>duht1237</t>
  </si>
  <si>
    <t>tsou1248</t>
  </si>
  <si>
    <t>Duhtu</t>
  </si>
  <si>
    <t>duhw1236</t>
  </si>
  <si>
    <t>mund1337</t>
  </si>
  <si>
    <t>Duhwa</t>
  </si>
  <si>
    <t>kbz</t>
  </si>
  <si>
    <t>duit1239</t>
  </si>
  <si>
    <t>Duit</t>
  </si>
  <si>
    <t>Northwestern Kainji</t>
  </si>
  <si>
    <t>duka1248</t>
  </si>
  <si>
    <t>Duka-Ekor</t>
  </si>
  <si>
    <t>duka1249</t>
  </si>
  <si>
    <t>ocai1244</t>
  </si>
  <si>
    <t>Dukaiya</t>
  </si>
  <si>
    <t>duka1250</t>
  </si>
  <si>
    <t>Dukaic</t>
  </si>
  <si>
    <t>duke1237</t>
  </si>
  <si>
    <t>west2857</t>
  </si>
  <si>
    <t>Duke</t>
  </si>
  <si>
    <t>nke</t>
  </si>
  <si>
    <t>dukh1234</t>
  </si>
  <si>
    <t>kara1462</t>
  </si>
  <si>
    <t>Dukha</t>
  </si>
  <si>
    <t>dukp1238</t>
  </si>
  <si>
    <t>Dukpu</t>
  </si>
  <si>
    <t>duks1238</t>
  </si>
  <si>
    <t>Dukslinu</t>
  </si>
  <si>
    <t>dukw1238</t>
  </si>
  <si>
    <t>Dukwara</t>
  </si>
  <si>
    <t>dulb1238</t>
  </si>
  <si>
    <t>jaku1245</t>
  </si>
  <si>
    <t>Dulbu</t>
  </si>
  <si>
    <t>dbo</t>
  </si>
  <si>
    <t>dulh1234</t>
  </si>
  <si>
    <t>east2470</t>
  </si>
  <si>
    <t>Dulhi</t>
  </si>
  <si>
    <t>duli1241</t>
  </si>
  <si>
    <t>unun9905</t>
  </si>
  <si>
    <t>Duli-Gewe</t>
  </si>
  <si>
    <t>duz</t>
  </si>
  <si>
    <t>dull1239</t>
  </si>
  <si>
    <t>tran1283</t>
  </si>
  <si>
    <t>Dullay</t>
  </si>
  <si>
    <t>dulo1242</t>
  </si>
  <si>
    <t>Duleng</t>
  </si>
  <si>
    <t>dulo1243</t>
  </si>
  <si>
    <t>Dulong River</t>
  </si>
  <si>
    <t>kara1480</t>
  </si>
  <si>
    <t>Duma (Karanga)</t>
  </si>
  <si>
    <t>ndja1235</t>
  </si>
  <si>
    <t>Duma</t>
  </si>
  <si>
    <t>duma1254</t>
  </si>
  <si>
    <t>Dumaring</t>
  </si>
  <si>
    <t>duma1255</t>
  </si>
  <si>
    <t>Dumaitic</t>
  </si>
  <si>
    <t>dumb1240</t>
  </si>
  <si>
    <t>Dumbuli</t>
  </si>
  <si>
    <t>dumb1241</t>
  </si>
  <si>
    <t>extr1245</t>
  </si>
  <si>
    <t>Dumbea</t>
  </si>
  <si>
    <t>duf</t>
  </si>
  <si>
    <t>dume1236</t>
  </si>
  <si>
    <t>Dume</t>
  </si>
  <si>
    <t>dume1239</t>
  </si>
  <si>
    <t>vame1236</t>
  </si>
  <si>
    <t>Dume (Vame)</t>
  </si>
  <si>
    <t>uppe1413</t>
  </si>
  <si>
    <t>Dumi</t>
  </si>
  <si>
    <t>dus</t>
  </si>
  <si>
    <t>dumo1238</t>
  </si>
  <si>
    <t>mong1342</t>
  </si>
  <si>
    <t>Dumoga</t>
  </si>
  <si>
    <t>Dumo</t>
  </si>
  <si>
    <t>dump1242</t>
  </si>
  <si>
    <t>dump1244</t>
  </si>
  <si>
    <t>Dumpas</t>
  </si>
  <si>
    <t>dmv</t>
  </si>
  <si>
    <t>dump1243</t>
  </si>
  <si>
    <t>evap1240</t>
  </si>
  <si>
    <t>Dumpu</t>
  </si>
  <si>
    <t>wtf</t>
  </si>
  <si>
    <t>rung1260</t>
  </si>
  <si>
    <t>Dumpas-Sukang</t>
  </si>
  <si>
    <t>dumu1246</t>
  </si>
  <si>
    <t>Dumun</t>
  </si>
  <si>
    <t>dui</t>
  </si>
  <si>
    <t>dumu1247</t>
  </si>
  <si>
    <t>Dumut</t>
  </si>
  <si>
    <t>duna1248</t>
  </si>
  <si>
    <t>Duna</t>
  </si>
  <si>
    <t>duc</t>
  </si>
  <si>
    <t>dung1251</t>
  </si>
  <si>
    <t>Dungra Bhil</t>
  </si>
  <si>
    <t>duh</t>
  </si>
  <si>
    <t>dung1252</t>
  </si>
  <si>
    <t>Dungmali</t>
  </si>
  <si>
    <t>raa</t>
  </si>
  <si>
    <t>dung1253</t>
  </si>
  <si>
    <t>zhon1236</t>
  </si>
  <si>
    <t>Dungan</t>
  </si>
  <si>
    <t>dng</t>
  </si>
  <si>
    <t>KG KZ TJ UZ</t>
  </si>
  <si>
    <t>dung1254</t>
  </si>
  <si>
    <t>Dungu</t>
  </si>
  <si>
    <t>dbv</t>
  </si>
  <si>
    <t>dung1255</t>
  </si>
  <si>
    <t>moke1242</t>
  </si>
  <si>
    <t>Dung</t>
  </si>
  <si>
    <t>dunj1238</t>
  </si>
  <si>
    <t>Dunje</t>
  </si>
  <si>
    <t>duol1238</t>
  </si>
  <si>
    <t>whit1267</t>
  </si>
  <si>
    <t>Duoluo</t>
  </si>
  <si>
    <t>duox1238</t>
  </si>
  <si>
    <t>ersu1241</t>
  </si>
  <si>
    <t>Duoxu</t>
  </si>
  <si>
    <t>nort3187</t>
  </si>
  <si>
    <t>Dupaninan Agta</t>
  </si>
  <si>
    <t>duo</t>
  </si>
  <si>
    <t>dura1243</t>
  </si>
  <si>
    <t>nort2646</t>
  </si>
  <si>
    <t>Durani</t>
  </si>
  <si>
    <t>dura1244</t>
  </si>
  <si>
    <t>Dura</t>
  </si>
  <si>
    <t>drq</t>
  </si>
  <si>
    <t>dura1246</t>
  </si>
  <si>
    <t>west2825</t>
  </si>
  <si>
    <t>Durango Nahuatl</t>
  </si>
  <si>
    <t>nln</t>
  </si>
  <si>
    <t>mase1250</t>
  </si>
  <si>
    <t>Duri</t>
  </si>
  <si>
    <t>mvp</t>
  </si>
  <si>
    <t>duri1243</t>
  </si>
  <si>
    <t>inan1242</t>
  </si>
  <si>
    <t>Duriankere</t>
  </si>
  <si>
    <t>dbn</t>
  </si>
  <si>
    <t>duro1238</t>
  </si>
  <si>
    <t>Du-Ropp-Rim</t>
  </si>
  <si>
    <t>durr1240</t>
  </si>
  <si>
    <t>Durr-Baraza</t>
  </si>
  <si>
    <t>Duruwa</t>
  </si>
  <si>
    <t>duru1249</t>
  </si>
  <si>
    <t>Duruma</t>
  </si>
  <si>
    <t>dug</t>
  </si>
  <si>
    <t>dusn1237</t>
  </si>
  <si>
    <t>Dusner</t>
  </si>
  <si>
    <t>dsn</t>
  </si>
  <si>
    <t>dusu1267</t>
  </si>
  <si>
    <t>sout2919</t>
  </si>
  <si>
    <t>Dusun Witu</t>
  </si>
  <si>
    <t>duw</t>
  </si>
  <si>
    <t>dusu1268</t>
  </si>
  <si>
    <t>Dusun Pepas</t>
  </si>
  <si>
    <t>Dusun Malang</t>
  </si>
  <si>
    <t>duq</t>
  </si>
  <si>
    <t>dusu1270</t>
  </si>
  <si>
    <t>maan1238</t>
  </si>
  <si>
    <t>Dusun Balangan</t>
  </si>
  <si>
    <t>dusu1271</t>
  </si>
  <si>
    <t>Dusun Deyah</t>
  </si>
  <si>
    <t>dun</t>
  </si>
  <si>
    <t>dusu1272</t>
  </si>
  <si>
    <t>Dusun Murut</t>
  </si>
  <si>
    <t>dusu1275</t>
  </si>
  <si>
    <t>Dusun Sinulihan</t>
  </si>
  <si>
    <t>dusu1276</t>
  </si>
  <si>
    <t>uppe1427</t>
  </si>
  <si>
    <t>Dusun Segama</t>
  </si>
  <si>
    <t>dusu1277</t>
  </si>
  <si>
    <t>Dusunic</t>
  </si>
  <si>
    <t>dutc1253</t>
  </si>
  <si>
    <t>Dutch Sign Language</t>
  </si>
  <si>
    <t>dse</t>
  </si>
  <si>
    <t>NL</t>
  </si>
  <si>
    <t>Dutch</t>
  </si>
  <si>
    <t>BE BR DE GF GY NL SR</t>
  </si>
  <si>
    <t>Dutch Caribbean Creole</t>
  </si>
  <si>
    <t>dutc1258</t>
  </si>
  <si>
    <t>Dutch-based pidgin</t>
  </si>
  <si>
    <t>Dutch-Belgian Sign</t>
  </si>
  <si>
    <t>duun1241</t>
  </si>
  <si>
    <t>waka1274</t>
  </si>
  <si>
    <t>Duungidjawu</t>
  </si>
  <si>
    <t>duun1242</t>
  </si>
  <si>
    <t>Duungooma</t>
  </si>
  <si>
    <t>dux</t>
  </si>
  <si>
    <t>samo1308</t>
  </si>
  <si>
    <t>Duun-Bobo</t>
  </si>
  <si>
    <t>duun1244</t>
  </si>
  <si>
    <t>Duun-Jo</t>
  </si>
  <si>
    <t>samo1309</t>
  </si>
  <si>
    <t>Duun</t>
  </si>
  <si>
    <t>duup1238</t>
  </si>
  <si>
    <t>Duupa</t>
  </si>
  <si>
    <t>dae</t>
  </si>
  <si>
    <t>duur1238</t>
  </si>
  <si>
    <t>geru1240</t>
  </si>
  <si>
    <t>Duurum</t>
  </si>
  <si>
    <t>duve1239</t>
  </si>
  <si>
    <t>Duvelands</t>
  </si>
  <si>
    <t>duvl1238</t>
  </si>
  <si>
    <t>duvl1243</t>
  </si>
  <si>
    <t>Duvle-Wano-Pidgin</t>
  </si>
  <si>
    <t>duvl1242</t>
  </si>
  <si>
    <t>Duvle</t>
  </si>
  <si>
    <t>duv</t>
  </si>
  <si>
    <t>Duvle-based pidgin</t>
  </si>
  <si>
    <t>duwa1239</t>
  </si>
  <si>
    <t>sout2965</t>
  </si>
  <si>
    <t>Duwamish</t>
  </si>
  <si>
    <t>duwa1244</t>
  </si>
  <si>
    <t>west2710</t>
  </si>
  <si>
    <t>Duwai</t>
  </si>
  <si>
    <t>dbp</t>
  </si>
  <si>
    <t>duwe1237</t>
  </si>
  <si>
    <t>Duwet</t>
  </si>
  <si>
    <t>gve</t>
  </si>
  <si>
    <t>nchu1239</t>
  </si>
  <si>
    <t>Dwang</t>
  </si>
  <si>
    <t>nnu</t>
  </si>
  <si>
    <t>dwar1237</t>
  </si>
  <si>
    <t>Dwar</t>
  </si>
  <si>
    <t>dwem1238</t>
  </si>
  <si>
    <t>Dwemu</t>
  </si>
  <si>
    <t>dwer1238</t>
  </si>
  <si>
    <t>Dwera</t>
  </si>
  <si>
    <t>dyaa1242</t>
  </si>
  <si>
    <t>yidi1249</t>
  </si>
  <si>
    <t>Dyaabugay</t>
  </si>
  <si>
    <t>dyy</t>
  </si>
  <si>
    <t>dyab1238</t>
  </si>
  <si>
    <t>nyul1250</t>
  </si>
  <si>
    <t>Dyaberdyaber</t>
  </si>
  <si>
    <t>dyb</t>
  </si>
  <si>
    <t>dyan1250</t>
  </si>
  <si>
    <t>macl1239</t>
  </si>
  <si>
    <t>Dyangadi</t>
  </si>
  <si>
    <t>dyn</t>
  </si>
  <si>
    <t>dyan1251</t>
  </si>
  <si>
    <t>lobi1246</t>
  </si>
  <si>
    <t>Dyan</t>
  </si>
  <si>
    <t>dya</t>
  </si>
  <si>
    <t>dyar1234</t>
  </si>
  <si>
    <t>zaks1240</t>
  </si>
  <si>
    <t>Dyarim</t>
  </si>
  <si>
    <t>dyeg1238</t>
  </si>
  <si>
    <t>sere1260</t>
  </si>
  <si>
    <t>Dyegueme</t>
  </si>
  <si>
    <t>dyir1250</t>
  </si>
  <si>
    <t>Dyirbal</t>
  </si>
  <si>
    <t>dbl</t>
  </si>
  <si>
    <t>dyir1251</t>
  </si>
  <si>
    <t>Dyiru</t>
  </si>
  <si>
    <t>dyol1239</t>
  </si>
  <si>
    <t>Dyolof</t>
  </si>
  <si>
    <t>dyug1238</t>
  </si>
  <si>
    <t>yawu1243</t>
  </si>
  <si>
    <t>Dyugun</t>
  </si>
  <si>
    <t>dyd</t>
  </si>
  <si>
    <t>Dyula</t>
  </si>
  <si>
    <t>dyu</t>
  </si>
  <si>
    <t>dzaa1238</t>
  </si>
  <si>
    <t>jenn1241</t>
  </si>
  <si>
    <t>Dza</t>
  </si>
  <si>
    <t>jen</t>
  </si>
  <si>
    <t>dzal1238</t>
  </si>
  <si>
    <t>Dzalakha</t>
  </si>
  <si>
    <t>dzl</t>
  </si>
  <si>
    <t>dzam1241</t>
  </si>
  <si>
    <t>sout2658</t>
  </si>
  <si>
    <t>Gurbet-Dzambazi</t>
  </si>
  <si>
    <t>dzam1242</t>
  </si>
  <si>
    <t>Dzamba</t>
  </si>
  <si>
    <t>dzan1238</t>
  </si>
  <si>
    <t>Dzando</t>
  </si>
  <si>
    <t>dzn</t>
  </si>
  <si>
    <t>dzao1238</t>
  </si>
  <si>
    <t>Dzao Min</t>
  </si>
  <si>
    <t>bpn</t>
  </si>
  <si>
    <t>dzei1238</t>
  </si>
  <si>
    <t>Dzeigoc</t>
  </si>
  <si>
    <t>dzhe1238</t>
  </si>
  <si>
    <t>Dzhek</t>
  </si>
  <si>
    <t>dzhu1238</t>
  </si>
  <si>
    <t>Dzhulfa (Azerbaijan)</t>
  </si>
  <si>
    <t>dzil1238</t>
  </si>
  <si>
    <t>kach1280</t>
  </si>
  <si>
    <t>Jil√≠</t>
  </si>
  <si>
    <t>dzod1238</t>
  </si>
  <si>
    <t>nkam1238</t>
  </si>
  <si>
    <t>Dzodinka</t>
  </si>
  <si>
    <t>add</t>
  </si>
  <si>
    <t>Dzongkhic</t>
  </si>
  <si>
    <t>dzon1239</t>
  </si>
  <si>
    <t>nucl1307</t>
  </si>
  <si>
    <t>Dzongkha</t>
  </si>
  <si>
    <t>dzo</t>
  </si>
  <si>
    <t>BT CN IN NP</t>
  </si>
  <si>
    <t>dzub1241</t>
  </si>
  <si>
    <t>kari1254</t>
  </si>
  <si>
    <t>Dzubukua</t>
  </si>
  <si>
    <t>dzub1245</t>
  </si>
  <si>
    <t>nort3048</t>
  </si>
  <si>
    <t>Dzuba</t>
  </si>
  <si>
    <t>dzuk1239</t>
  </si>
  <si>
    <t>Dzukish</t>
  </si>
  <si>
    <t>dzun1241</t>
  </si>
  <si>
    <t>Dzuna</t>
  </si>
  <si>
    <t>dzuo1238</t>
  </si>
  <si>
    <t>Dzu'oasi</t>
  </si>
  <si>
    <t>dzuu1241</t>
  </si>
  <si>
    <t>Dz√π√πngoo</t>
  </si>
  <si>
    <t>dnn</t>
  </si>
  <si>
    <t>dzuu1242</t>
  </si>
  <si>
    <t>Nuclear Dz√π√πngoo</t>
  </si>
  <si>
    <t>dzwa1238</t>
  </si>
  <si>
    <t>Dzwabo</t>
  </si>
  <si>
    <t>paci1280</t>
  </si>
  <si>
    <t>Early Melanesian Pidgin</t>
  </si>
  <si>
    <t>earl1245</t>
  </si>
  <si>
    <t>Early East African Pidgin Arabic</t>
  </si>
  <si>
    <t>UG</t>
  </si>
  <si>
    <t>earl1246</t>
  </si>
  <si>
    <t>Early Goidelic (to 4th century)</t>
  </si>
  <si>
    <t>east1236</t>
  </si>
  <si>
    <t>nucl1297</t>
  </si>
  <si>
    <t>Eastern Katu</t>
  </si>
  <si>
    <t>ktv</t>
  </si>
  <si>
    <t>slav1255</t>
  </si>
  <si>
    <t>East Slavic</t>
  </si>
  <si>
    <t>Eastern Pahari</t>
  </si>
  <si>
    <t>nep</t>
  </si>
  <si>
    <t>BN BT IN NP US</t>
  </si>
  <si>
    <t>East South Bird's Head</t>
  </si>
  <si>
    <t>east1459</t>
  </si>
  <si>
    <t>East Bird's Head</t>
  </si>
  <si>
    <t>east1469</t>
  </si>
  <si>
    <t>tsha1246</t>
  </si>
  <si>
    <t>East Bodish</t>
  </si>
  <si>
    <t>east1470</t>
  </si>
  <si>
    <t>Eastern Low Navarrese</t>
  </si>
  <si>
    <t>Eastern Keres</t>
  </si>
  <si>
    <t>kee</t>
  </si>
  <si>
    <t>east1857</t>
  </si>
  <si>
    <t>isir1237</t>
  </si>
  <si>
    <t>Eastern Isirawa</t>
  </si>
  <si>
    <t>sout3147</t>
  </si>
  <si>
    <t>Eastern South Slavic</t>
  </si>
  <si>
    <t>east2270</t>
  </si>
  <si>
    <t>East Ukrainian</t>
  </si>
  <si>
    <t>east2271</t>
  </si>
  <si>
    <t>East Central Friulian</t>
  </si>
  <si>
    <t>east2272</t>
  </si>
  <si>
    <t>Eastern Asturian</t>
  </si>
  <si>
    <t>east2273</t>
  </si>
  <si>
    <t>Eastern Aragonese</t>
  </si>
  <si>
    <t>east2275</t>
  </si>
  <si>
    <t>Eastern Emiliano</t>
  </si>
  <si>
    <t>east2276</t>
  </si>
  <si>
    <t>Eastern Lombard</t>
  </si>
  <si>
    <t>east2277</t>
  </si>
  <si>
    <t>Eastern Walloon</t>
  </si>
  <si>
    <t>east2279</t>
  </si>
  <si>
    <t>Eastern Nonmetafonetica</t>
  </si>
  <si>
    <t>east2280</t>
  </si>
  <si>
    <t>Eastern Baltic</t>
  </si>
  <si>
    <t>east2281</t>
  </si>
  <si>
    <t>East Auk≈°taitian</t>
  </si>
  <si>
    <t>east2282</t>
  </si>
  <si>
    <t>East Latvian</t>
  </si>
  <si>
    <t>ltg</t>
  </si>
  <si>
    <t>east2288</t>
  </si>
  <si>
    <t>East Frisian Low Saxon</t>
  </si>
  <si>
    <t>DE</t>
  </si>
  <si>
    <t>east2290</t>
  </si>
  <si>
    <t>west2357</t>
  </si>
  <si>
    <t>Eastphalian</t>
  </si>
  <si>
    <t>east2291</t>
  </si>
  <si>
    <t>Greater East Low German</t>
  </si>
  <si>
    <t>east2293</t>
  </si>
  <si>
    <t>Mittelpommersch</t>
  </si>
  <si>
    <t>east2294</t>
  </si>
  <si>
    <t>velu1238</t>
  </si>
  <si>
    <t>East Veluws</t>
  </si>
  <si>
    <t>east2295</t>
  </si>
  <si>
    <t>yidd1255</t>
  </si>
  <si>
    <t>Eastern Yiddish</t>
  </si>
  <si>
    <t>ydd</t>
  </si>
  <si>
    <t>AR AU BE BY CA CR EE HU IL LT LV MD PA PL PR RO RU SE UA US UY ZA</t>
  </si>
  <si>
    <t>east2781</t>
  </si>
  <si>
    <t>Archaic Finnish Swedish</t>
  </si>
  <si>
    <t>east2304</t>
  </si>
  <si>
    <t>Eastern Balochi</t>
  </si>
  <si>
    <t>bgp</t>
  </si>
  <si>
    <t>east2306</t>
  </si>
  <si>
    <t>Eastern Wakhi</t>
  </si>
  <si>
    <t>east2307</t>
  </si>
  <si>
    <t>yagn1238</t>
  </si>
  <si>
    <t>Eastern Yagnobi</t>
  </si>
  <si>
    <t>east2308</t>
  </si>
  <si>
    <t>kati1270</t>
  </si>
  <si>
    <t>Eastern Kativiri</t>
  </si>
  <si>
    <t>east2309</t>
  </si>
  <si>
    <t>East Dogri</t>
  </si>
  <si>
    <t>east2310</t>
  </si>
  <si>
    <t>Eastern Dhatki</t>
  </si>
  <si>
    <t>east2311</t>
  </si>
  <si>
    <t>Eastern Gujari</t>
  </si>
  <si>
    <t>east2314</t>
  </si>
  <si>
    <t>East Slovakian Romani</t>
  </si>
  <si>
    <t>east2315</t>
  </si>
  <si>
    <t>Eastern Maithili</t>
  </si>
  <si>
    <t>thar1284</t>
  </si>
  <si>
    <t>Eastern Tharu</t>
  </si>
  <si>
    <t>east2320</t>
  </si>
  <si>
    <t>Eastern Nihiri</t>
  </si>
  <si>
    <t>east2321</t>
  </si>
  <si>
    <t>East Khowar</t>
  </si>
  <si>
    <t>east2322</t>
  </si>
  <si>
    <t>pash1270</t>
  </si>
  <si>
    <t>Eastern Pashayi</t>
  </si>
  <si>
    <t>east2323</t>
  </si>
  <si>
    <t>East Sutherlandshire</t>
  </si>
  <si>
    <t>east2324</t>
  </si>
  <si>
    <t>Eastern Saami</t>
  </si>
  <si>
    <t>east2325</t>
  </si>
  <si>
    <t>Tromagan</t>
  </si>
  <si>
    <t>east2326</t>
  </si>
  <si>
    <t>livv1244</t>
  </si>
  <si>
    <t>Salaca Livonian</t>
  </si>
  <si>
    <t>east2327</t>
  </si>
  <si>
    <t>voti1245</t>
  </si>
  <si>
    <t>East Vod</t>
  </si>
  <si>
    <t>east2328</t>
  </si>
  <si>
    <t>Eastern Mari</t>
  </si>
  <si>
    <t>mhr</t>
  </si>
  <si>
    <t>KZ RU</t>
  </si>
  <si>
    <t>east2330</t>
  </si>
  <si>
    <t>lawa1256</t>
  </si>
  <si>
    <t>Eastern Lawa</t>
  </si>
  <si>
    <t>lwl</t>
  </si>
  <si>
    <t>East Palaungic</t>
  </si>
  <si>
    <t>east2783</t>
  </si>
  <si>
    <t>Eastern Bru</t>
  </si>
  <si>
    <t>bru</t>
  </si>
  <si>
    <t>mnon1259</t>
  </si>
  <si>
    <t>Eastern Mnong</t>
  </si>
  <si>
    <t>mng</t>
  </si>
  <si>
    <t>east2334</t>
  </si>
  <si>
    <t>East Oghuz</t>
  </si>
  <si>
    <t>east2335</t>
  </si>
  <si>
    <t>kara1464</t>
  </si>
  <si>
    <t>Eastern Karaim</t>
  </si>
  <si>
    <t>Eastern Tatar</t>
  </si>
  <si>
    <t>east2337</t>
  </si>
  <si>
    <t>sout2705</t>
  </si>
  <si>
    <t>East Yugur</t>
  </si>
  <si>
    <t>yuy</t>
  </si>
  <si>
    <t>east2338</t>
  </si>
  <si>
    <t>East Godaweri</t>
  </si>
  <si>
    <t>east2339</t>
  </si>
  <si>
    <t>muth1236</t>
  </si>
  <si>
    <t>Eastern Muthuvan</t>
  </si>
  <si>
    <t>east2340</t>
  </si>
  <si>
    <t>muri1262</t>
  </si>
  <si>
    <t>Eastern Muria</t>
  </si>
  <si>
    <t>emu</t>
  </si>
  <si>
    <t>pwoo1239</t>
  </si>
  <si>
    <t>Eastern-Western Pwo Karen</t>
  </si>
  <si>
    <t>east2342</t>
  </si>
  <si>
    <t>kaya1317</t>
  </si>
  <si>
    <t>Eastern Kayah</t>
  </si>
  <si>
    <t>eky</t>
  </si>
  <si>
    <t>east2343</t>
  </si>
  <si>
    <t>hela1238</t>
  </si>
  <si>
    <t>Eastern Helambu Sherpa</t>
  </si>
  <si>
    <t>Sichuan Khams</t>
  </si>
  <si>
    <t>east2345</t>
  </si>
  <si>
    <t>guru1261</t>
  </si>
  <si>
    <t>Eastern Gurung</t>
  </si>
  <si>
    <t>ggn</t>
  </si>
  <si>
    <t>east2346</t>
  </si>
  <si>
    <t>nucl1729</t>
  </si>
  <si>
    <t>Eastern Gorkha Tamang</t>
  </si>
  <si>
    <t>tge</t>
  </si>
  <si>
    <t>Eastern Tamang</t>
  </si>
  <si>
    <t>taj</t>
  </si>
  <si>
    <t>east2348</t>
  </si>
  <si>
    <t>Eastern Pattani</t>
  </si>
  <si>
    <t>east2349</t>
  </si>
  <si>
    <t>nort2717</t>
  </si>
  <si>
    <t>Eastern Nisu</t>
  </si>
  <si>
    <t>nos</t>
  </si>
  <si>
    <t>east2350</t>
  </si>
  <si>
    <t>namu1246</t>
  </si>
  <si>
    <t>Eastern Namuyi</t>
  </si>
  <si>
    <t>east2351</t>
  </si>
  <si>
    <t>muya1239</t>
  </si>
  <si>
    <t>Eastern Muya</t>
  </si>
  <si>
    <t>east2352</t>
  </si>
  <si>
    <t>maga1261</t>
  </si>
  <si>
    <t>Eastern Magar</t>
  </si>
  <si>
    <t>mgp</t>
  </si>
  <si>
    <t>east2353</t>
  </si>
  <si>
    <t>Eastern Chepang</t>
  </si>
  <si>
    <t>parb1234</t>
  </si>
  <si>
    <t>Eastern Parbate Kham</t>
  </si>
  <si>
    <t>kif</t>
  </si>
  <si>
    <t>east2355</t>
  </si>
  <si>
    <t>than1259</t>
  </si>
  <si>
    <t>Eastern Thami</t>
  </si>
  <si>
    <t>mewa1252</t>
  </si>
  <si>
    <t>Eastern Meohang</t>
  </si>
  <si>
    <t>emg</t>
  </si>
  <si>
    <t>east2358</t>
  </si>
  <si>
    <t>yakk1236</t>
  </si>
  <si>
    <t>Eastern Yakha</t>
  </si>
  <si>
    <t>east2359</t>
  </si>
  <si>
    <t>Eastern Bantawa</t>
  </si>
  <si>
    <t>east2360</t>
  </si>
  <si>
    <t>Eastern Thulung</t>
  </si>
  <si>
    <t>tani1259</t>
  </si>
  <si>
    <t>Eastern Tani</t>
  </si>
  <si>
    <t>east2362</t>
  </si>
  <si>
    <t>Eastern Dhimal</t>
  </si>
  <si>
    <t>east2363</t>
  </si>
  <si>
    <t>Eastern Hongshuihe Zhuang</t>
  </si>
  <si>
    <t>zeh</t>
  </si>
  <si>
    <t>east2364</t>
  </si>
  <si>
    <t>Eastern T√†y</t>
  </si>
  <si>
    <t>kada1291</t>
  </si>
  <si>
    <t>Eastern Kra</t>
  </si>
  <si>
    <t>Central Tungusic</t>
  </si>
  <si>
    <t>east2790</t>
  </si>
  <si>
    <t>Tabasaran-Aghul-Lezgi</t>
  </si>
  <si>
    <t>tsez1239</t>
  </si>
  <si>
    <t>East Tsezic</t>
  </si>
  <si>
    <t>east2369</t>
  </si>
  <si>
    <t>nucl1720</t>
  </si>
  <si>
    <t>East Hmongic</t>
  </si>
  <si>
    <t>east2370</t>
  </si>
  <si>
    <t>Eastern Qiandong Miao</t>
  </si>
  <si>
    <t>hmq</t>
  </si>
  <si>
    <t>east2371</t>
  </si>
  <si>
    <t>nort2748</t>
  </si>
  <si>
    <t>Eastern Xiangxi Miao</t>
  </si>
  <si>
    <t>muq</t>
  </si>
  <si>
    <t>east2372</t>
  </si>
  <si>
    <t>Eastern Huishui Hmong</t>
  </si>
  <si>
    <t>hme</t>
  </si>
  <si>
    <t>east2373</t>
  </si>
  <si>
    <t>East Sakhalin Gilyak</t>
  </si>
  <si>
    <t>east2374</t>
  </si>
  <si>
    <t>Eastern Daly</t>
  </si>
  <si>
    <t>east2375</t>
  </si>
  <si>
    <t>ngar1287</t>
  </si>
  <si>
    <t>East Ngarluma</t>
  </si>
  <si>
    <t>east2376</t>
  </si>
  <si>
    <t>Eastern Ngarinman</t>
  </si>
  <si>
    <t>Eastern Dhuwal-Dhuwala</t>
  </si>
  <si>
    <t>Eastern Arrernte</t>
  </si>
  <si>
    <t>aer</t>
  </si>
  <si>
    <t>east2380</t>
  </si>
  <si>
    <t>Eastern Anmatyerre</t>
  </si>
  <si>
    <t>east2381</t>
  </si>
  <si>
    <t>Eastern Nyulnyulan</t>
  </si>
  <si>
    <t>east2382</t>
  </si>
  <si>
    <t>yawu1244</t>
  </si>
  <si>
    <t>Eastern Inland Yawuru</t>
  </si>
  <si>
    <t>east2383</t>
  </si>
  <si>
    <t>ijoo1239</t>
  </si>
  <si>
    <t>Eastern Ijo</t>
  </si>
  <si>
    <t>east2384</t>
  </si>
  <si>
    <t>East Olodiama</t>
  </si>
  <si>
    <t>east2385</t>
  </si>
  <si>
    <t>East Tarakiri</t>
  </si>
  <si>
    <t>Eastern Jebel</t>
  </si>
  <si>
    <t>east2387</t>
  </si>
  <si>
    <t>limb1267</t>
  </si>
  <si>
    <t>East Limba</t>
  </si>
  <si>
    <t>lma</t>
  </si>
  <si>
    <t>east2389</t>
  </si>
  <si>
    <t>maas1239</t>
  </si>
  <si>
    <t>Eastern Macina</t>
  </si>
  <si>
    <t>east2390</t>
  </si>
  <si>
    <t>Eastern Xwla Gbe</t>
  </si>
  <si>
    <t>gbx</t>
  </si>
  <si>
    <t>east2391</t>
  </si>
  <si>
    <t>Eastern Mundu-Baka</t>
  </si>
  <si>
    <t>east2392</t>
  </si>
  <si>
    <t>koro1298</t>
  </si>
  <si>
    <t>Eastern Koromfe</t>
  </si>
  <si>
    <t>east2394</t>
  </si>
  <si>
    <t>Eastern Ditammari</t>
  </si>
  <si>
    <t>east2395</t>
  </si>
  <si>
    <t>mamp1244</t>
  </si>
  <si>
    <t>Eastern Mampruli</t>
  </si>
  <si>
    <t>east2396</t>
  </si>
  <si>
    <t>kase1253</t>
  </si>
  <si>
    <t>East Kasem</t>
  </si>
  <si>
    <t>east2397</t>
  </si>
  <si>
    <t>east2740</t>
  </si>
  <si>
    <t>Eastern Grusi</t>
  </si>
  <si>
    <t>east2398</t>
  </si>
  <si>
    <t>kara1479</t>
  </si>
  <si>
    <t>Eastern Karaboro</t>
  </si>
  <si>
    <t>xrb</t>
  </si>
  <si>
    <t>east2399</t>
  </si>
  <si>
    <t>Eastern Bokyi</t>
  </si>
  <si>
    <t>east2400</t>
  </si>
  <si>
    <t>East-West Central Delta Cross</t>
  </si>
  <si>
    <t>east2401</t>
  </si>
  <si>
    <t>ogon1240</t>
  </si>
  <si>
    <t>East Ogonoid</t>
  </si>
  <si>
    <t>east2402</t>
  </si>
  <si>
    <t>huns1239</t>
  </si>
  <si>
    <t>Eastern Duka</t>
  </si>
  <si>
    <t>saga1266</t>
  </si>
  <si>
    <t>Eastern Acipa</t>
  </si>
  <si>
    <t>acp</t>
  </si>
  <si>
    <t>east2404</t>
  </si>
  <si>
    <t>Eastern Kainji</t>
  </si>
  <si>
    <t>east2405</t>
  </si>
  <si>
    <t>East Kongo</t>
  </si>
  <si>
    <t>east2406</t>
  </si>
  <si>
    <t>kitu1246</t>
  </si>
  <si>
    <t>Eastern Kituba</t>
  </si>
  <si>
    <t>east2407</t>
  </si>
  <si>
    <t>East Bafwangada</t>
  </si>
  <si>
    <t>east2408</t>
  </si>
  <si>
    <t>song1303</t>
  </si>
  <si>
    <t>Eastern Kalebwe</t>
  </si>
  <si>
    <t>east2409</t>
  </si>
  <si>
    <t>East Nyala</t>
  </si>
  <si>
    <t>nle</t>
  </si>
  <si>
    <t>east2410</t>
  </si>
  <si>
    <t>ruul1235</t>
  </si>
  <si>
    <t>Eastern Ruli</t>
  </si>
  <si>
    <t>east2411</t>
  </si>
  <si>
    <t>ejag1239</t>
  </si>
  <si>
    <t>Eastern Ejagham</t>
  </si>
  <si>
    <t>east2413</t>
  </si>
  <si>
    <t>Eastern Klaoh</t>
  </si>
  <si>
    <t>east2414</t>
  </si>
  <si>
    <t>weea1234</t>
  </si>
  <si>
    <t>Konobo-Eastern Krahn</t>
  </si>
  <si>
    <t>kqo</t>
  </si>
  <si>
    <t>Eastern Kru</t>
  </si>
  <si>
    <t>east2416</t>
  </si>
  <si>
    <t>Eastern Bete</t>
  </si>
  <si>
    <t>east2417</t>
  </si>
  <si>
    <t>Eastern Keliko</t>
  </si>
  <si>
    <t>Eastern Nilotic</t>
  </si>
  <si>
    <t>east2419</t>
  </si>
  <si>
    <t>topo1242</t>
  </si>
  <si>
    <t>Eastern Toposa</t>
  </si>
  <si>
    <t>east2420</t>
  </si>
  <si>
    <t>poko1263</t>
  </si>
  <si>
    <t>East Pokot</t>
  </si>
  <si>
    <t>east2421</t>
  </si>
  <si>
    <t>Eastern Jikany</t>
  </si>
  <si>
    <t>east2422</t>
  </si>
  <si>
    <t>Eastern Nuer</t>
  </si>
  <si>
    <t>east2423</t>
  </si>
  <si>
    <t>East Ometo</t>
  </si>
  <si>
    <t>east2424</t>
  </si>
  <si>
    <t>Krongo-Tumtum</t>
  </si>
  <si>
    <t>mand1435</t>
  </si>
  <si>
    <t>East Manding</t>
  </si>
  <si>
    <t>mane1267</t>
  </si>
  <si>
    <t>Eastern Maninkakan</t>
  </si>
  <si>
    <t>emk</t>
  </si>
  <si>
    <t>CI GN LR ML SL</t>
  </si>
  <si>
    <t>east2428</t>
  </si>
  <si>
    <t>Eastern Dajuic</t>
  </si>
  <si>
    <t>east2429</t>
  </si>
  <si>
    <t>Eastern Heibanic</t>
  </si>
  <si>
    <t>east2430</t>
  </si>
  <si>
    <t>Eastern Acheron</t>
  </si>
  <si>
    <t>east2431</t>
  </si>
  <si>
    <t>Eastern Songhay</t>
  </si>
  <si>
    <t>Eastern Saharan</t>
  </si>
  <si>
    <t>east2433</t>
  </si>
  <si>
    <t>East Strickland</t>
  </si>
  <si>
    <t>east2434</t>
  </si>
  <si>
    <t>East Yawa</t>
  </si>
  <si>
    <t>east2438</t>
  </si>
  <si>
    <t>Eastern Yapen</t>
  </si>
  <si>
    <t>east2439</t>
  </si>
  <si>
    <t>East Makian-Gane</t>
  </si>
  <si>
    <t>east2440</t>
  </si>
  <si>
    <t>East Makian</t>
  </si>
  <si>
    <t>mky</t>
  </si>
  <si>
    <t>east2441</t>
  </si>
  <si>
    <t>East Lagoon</t>
  </si>
  <si>
    <t>east2443</t>
  </si>
  <si>
    <t>East Ambae</t>
  </si>
  <si>
    <t>omb</t>
  </si>
  <si>
    <t>east2445</t>
  </si>
  <si>
    <t>Tokelau-Fijian</t>
  </si>
  <si>
    <t>east2446</t>
  </si>
  <si>
    <t>East Fijian</t>
  </si>
  <si>
    <t>east2447</t>
  </si>
  <si>
    <t>East Futuna</t>
  </si>
  <si>
    <t>fud</t>
  </si>
  <si>
    <t>WF</t>
  </si>
  <si>
    <t>East Polynesian</t>
  </si>
  <si>
    <t>east2450</t>
  </si>
  <si>
    <t>nort2847</t>
  </si>
  <si>
    <t>East Tanna</t>
  </si>
  <si>
    <t>East Santa Isabel</t>
  </si>
  <si>
    <t>east2453</t>
  </si>
  <si>
    <t>East Kara</t>
  </si>
  <si>
    <t>east2454</t>
  </si>
  <si>
    <t>motu1246</t>
  </si>
  <si>
    <t>Eastern Motu</t>
  </si>
  <si>
    <t>east2455</t>
  </si>
  <si>
    <t>East Mekeo</t>
  </si>
  <si>
    <t>east2456</t>
  </si>
  <si>
    <t>sude1239</t>
  </si>
  <si>
    <t>Eastern Point</t>
  </si>
  <si>
    <t>east2457</t>
  </si>
  <si>
    <t>East Inland Kaulong</t>
  </si>
  <si>
    <t>east2459</t>
  </si>
  <si>
    <t>Eastern Admiralty Islands</t>
  </si>
  <si>
    <t>East Manus</t>
  </si>
  <si>
    <t>east2461</t>
  </si>
  <si>
    <t>muss1248</t>
  </si>
  <si>
    <t>Eastern Mussau</t>
  </si>
  <si>
    <t>east2462</t>
  </si>
  <si>
    <t>East Masela</t>
  </si>
  <si>
    <t>vme</t>
  </si>
  <si>
    <t>east2463</t>
  </si>
  <si>
    <t>Eastern Manggarai</t>
  </si>
  <si>
    <t>east2464</t>
  </si>
  <si>
    <t>Eastern Ngad'a</t>
  </si>
  <si>
    <t>nea</t>
  </si>
  <si>
    <t>east2465</t>
  </si>
  <si>
    <t>East Tarangan</t>
  </si>
  <si>
    <t>tre</t>
  </si>
  <si>
    <t>East Central Maluku</t>
  </si>
  <si>
    <t>hoam1238</t>
  </si>
  <si>
    <t>East Hoamoal</t>
  </si>
  <si>
    <t>east2469</t>
  </si>
  <si>
    <t>East Solor</t>
  </si>
  <si>
    <t>East Adonara</t>
  </si>
  <si>
    <t>east2472</t>
  </si>
  <si>
    <t>nort3194</t>
  </si>
  <si>
    <t>East Damar</t>
  </si>
  <si>
    <t>dmr</t>
  </si>
  <si>
    <t>east2473</t>
  </si>
  <si>
    <t>tetu1245</t>
  </si>
  <si>
    <t>Eastern Tetun</t>
  </si>
  <si>
    <t>east2474</t>
  </si>
  <si>
    <t>Eastern Dengka</t>
  </si>
  <si>
    <t>east2476</t>
  </si>
  <si>
    <t>Eastern Addasen</t>
  </si>
  <si>
    <t>east2477</t>
  </si>
  <si>
    <t>Eastern Mansakan</t>
  </si>
  <si>
    <t>East Manobo</t>
  </si>
  <si>
    <t>east2479</t>
  </si>
  <si>
    <t>goro1259</t>
  </si>
  <si>
    <t>East Gorontalo</t>
  </si>
  <si>
    <t>east2481</t>
  </si>
  <si>
    <t>Eastern Kolibugan</t>
  </si>
  <si>
    <t>east2482</t>
  </si>
  <si>
    <t>Eastern Tawbuid</t>
  </si>
  <si>
    <t>bnj</t>
  </si>
  <si>
    <t>east2485</t>
  </si>
  <si>
    <t>pena1271</t>
  </si>
  <si>
    <t>Eastern Penan</t>
  </si>
  <si>
    <t>pez</t>
  </si>
  <si>
    <t>east2486</t>
  </si>
  <si>
    <t>East Berawan</t>
  </si>
  <si>
    <t>zbe</t>
  </si>
  <si>
    <t>East Javanese</t>
  </si>
  <si>
    <t>east2488</t>
  </si>
  <si>
    <t>Eastern Celebic</t>
  </si>
  <si>
    <t>east2489</t>
  </si>
  <si>
    <t>Eastern Bungku-Tolaki</t>
  </si>
  <si>
    <t>East Coast Bungku-Tolaki</t>
  </si>
  <si>
    <t>salu1251</t>
  </si>
  <si>
    <t>Eastern Saluan-Banggai</t>
  </si>
  <si>
    <t>east2492</t>
  </si>
  <si>
    <t>East Banggai</t>
  </si>
  <si>
    <t>East Formosan</t>
  </si>
  <si>
    <t>east2494</t>
  </si>
  <si>
    <t>Eastern Eleman</t>
  </si>
  <si>
    <t>east2495</t>
  </si>
  <si>
    <t>edol1239</t>
  </si>
  <si>
    <t>Eastern Edolo</t>
  </si>
  <si>
    <t>Eastern Sepik Hill</t>
  </si>
  <si>
    <t>east2497</t>
  </si>
  <si>
    <t>yamb1254</t>
  </si>
  <si>
    <t>East Yambes</t>
  </si>
  <si>
    <t>east2498</t>
  </si>
  <si>
    <t>torr1259</t>
  </si>
  <si>
    <t>East Torricelli</t>
  </si>
  <si>
    <t>east2499</t>
  </si>
  <si>
    <t>East Kutubu</t>
  </si>
  <si>
    <t>east2500</t>
  </si>
  <si>
    <t>East Lakes Plain</t>
  </si>
  <si>
    <t>east2501</t>
  </si>
  <si>
    <t>Eastern Duvle</t>
  </si>
  <si>
    <t>East Tariku</t>
  </si>
  <si>
    <t>Eastern Trans-Fly</t>
  </si>
  <si>
    <t>east2504</t>
  </si>
  <si>
    <t>mekk1240</t>
  </si>
  <si>
    <t>Eastern Mek</t>
  </si>
  <si>
    <t>east2505</t>
  </si>
  <si>
    <t>urii1240</t>
  </si>
  <si>
    <t>East Urii</t>
  </si>
  <si>
    <t>east2506</t>
  </si>
  <si>
    <t>nekk1240</t>
  </si>
  <si>
    <t>East Nek</t>
  </si>
  <si>
    <t>east2507</t>
  </si>
  <si>
    <t>numa1254</t>
  </si>
  <si>
    <t>East Numanggang</t>
  </si>
  <si>
    <t>east2508</t>
  </si>
  <si>
    <t>East Komba</t>
  </si>
  <si>
    <t>east2509</t>
  </si>
  <si>
    <t>mese1244</t>
  </si>
  <si>
    <t>East Mese</t>
  </si>
  <si>
    <t>east2513</t>
  </si>
  <si>
    <t>Eastern Maring</t>
  </si>
  <si>
    <t>east2515</t>
  </si>
  <si>
    <t>gimi1243</t>
  </si>
  <si>
    <t>East Gimi</t>
  </si>
  <si>
    <t>east2516</t>
  </si>
  <si>
    <t>sout3252</t>
  </si>
  <si>
    <t>East Kewa</t>
  </si>
  <si>
    <t>kjs</t>
  </si>
  <si>
    <t>east2517</t>
  </si>
  <si>
    <t>koit1244</t>
  </si>
  <si>
    <t>East Koita</t>
  </si>
  <si>
    <t>east2518</t>
  </si>
  <si>
    <t>East Sentani</t>
  </si>
  <si>
    <t>East Timor-Bunaq</t>
  </si>
  <si>
    <t>east2520</t>
  </si>
  <si>
    <t>East Timor</t>
  </si>
  <si>
    <t>east2521</t>
  </si>
  <si>
    <t>Eastern Kiwai</t>
  </si>
  <si>
    <t>east2522</t>
  </si>
  <si>
    <t>East Awin</t>
  </si>
  <si>
    <t>east2523</t>
  </si>
  <si>
    <t>uman1240</t>
  </si>
  <si>
    <t>East Umanakaina</t>
  </si>
  <si>
    <t>east2524</t>
  </si>
  <si>
    <t>fass1245</t>
  </si>
  <si>
    <t>Eastern Fas</t>
  </si>
  <si>
    <t>east2525</t>
  </si>
  <si>
    <t>East Boikin</t>
  </si>
  <si>
    <t>east2526</t>
  </si>
  <si>
    <t>Eastern Japanese</t>
  </si>
  <si>
    <t>kant1251</t>
  </si>
  <si>
    <t>Eastern Kant≈ç</t>
  </si>
  <si>
    <t>east2528</t>
  </si>
  <si>
    <t>mika1255</t>
  </si>
  <si>
    <t>Eastern Mikawa</t>
  </si>
  <si>
    <t>east2529</t>
  </si>
  <si>
    <t>okin1246</t>
  </si>
  <si>
    <t>East Oki-No-Erabu</t>
  </si>
  <si>
    <t>east2530</t>
  </si>
  <si>
    <t>Eastern Pauwasi</t>
  </si>
  <si>
    <t>east2531</t>
  </si>
  <si>
    <t>pagi1244</t>
  </si>
  <si>
    <t>Eastern Pagi</t>
  </si>
  <si>
    <t>east2532</t>
  </si>
  <si>
    <t>kilm1241</t>
  </si>
  <si>
    <t>Eastern Kilmeri</t>
  </si>
  <si>
    <t>east2533</t>
  </si>
  <si>
    <t>Eastern Aleut</t>
  </si>
  <si>
    <t>Eastern Canadian Inuktitut</t>
  </si>
  <si>
    <t>east2536</t>
  </si>
  <si>
    <t>shus1248</t>
  </si>
  <si>
    <t>Eastern Shuswap</t>
  </si>
  <si>
    <t>east2538</t>
  </si>
  <si>
    <t>Eastern Huasteca Nahuatl</t>
  </si>
  <si>
    <t>nhe</t>
  </si>
  <si>
    <t>east2539</t>
  </si>
  <si>
    <t>nask1242</t>
  </si>
  <si>
    <t>Eastern Naskapi</t>
  </si>
  <si>
    <t>east2540</t>
  </si>
  <si>
    <t>mont1268</t>
  </si>
  <si>
    <t>Eastern Montagnais</t>
  </si>
  <si>
    <t>east2541</t>
  </si>
  <si>
    <t>swam1239</t>
  </si>
  <si>
    <t>Eastern Swampy Cree</t>
  </si>
  <si>
    <t>east2542</t>
  </si>
  <si>
    <t>Eastern Ojibwa</t>
  </si>
  <si>
    <t>ojg</t>
  </si>
  <si>
    <t>east2544</t>
  </si>
  <si>
    <t>Eastern Abenaki</t>
  </si>
  <si>
    <t>aaq</t>
  </si>
  <si>
    <t>east2545</t>
  </si>
  <si>
    <t>russ1265</t>
  </si>
  <si>
    <t>Eastern Pomo</t>
  </si>
  <si>
    <t>peb</t>
  </si>
  <si>
    <t>miwo1275</t>
  </si>
  <si>
    <t>Eastern Miwokan</t>
  </si>
  <si>
    <t>east2547</t>
  </si>
  <si>
    <t>Eastern Central Sierra Miwok</t>
  </si>
  <si>
    <t>east2548</t>
  </si>
  <si>
    <t>nort2969</t>
  </si>
  <si>
    <t>East Bay</t>
  </si>
  <si>
    <t>Eastern Nadahup</t>
  </si>
  <si>
    <t>east2550</t>
  </si>
  <si>
    <t>Eastern Cajamarca</t>
  </si>
  <si>
    <t>Eastern Apur√≠mac Quechua</t>
  </si>
  <si>
    <t>qve</t>
  </si>
  <si>
    <t>east2553</t>
  </si>
  <si>
    <t>huay1241</t>
  </si>
  <si>
    <t>East Waylla</t>
  </si>
  <si>
    <t>east2554</t>
  </si>
  <si>
    <t>Eastern Yanomami</t>
  </si>
  <si>
    <t>Eastern Bolivian Guaran√≠</t>
  </si>
  <si>
    <t>gui</t>
  </si>
  <si>
    <t>AR BO PY</t>
  </si>
  <si>
    <t>east2556</t>
  </si>
  <si>
    <t>east2737</t>
  </si>
  <si>
    <t>Eastern Highland Otomi</t>
  </si>
  <si>
    <t>otm</t>
  </si>
  <si>
    <t>Eastern Otomanguean</t>
  </si>
  <si>
    <t>east2558</t>
  </si>
  <si>
    <t>east2736</t>
  </si>
  <si>
    <t>Eastern Highland Chatino</t>
  </si>
  <si>
    <t>cly</t>
  </si>
  <si>
    <t>east2560</t>
  </si>
  <si>
    <t>waim1255</t>
  </si>
  <si>
    <t>Eastern Waimaha</t>
  </si>
  <si>
    <t>east2561</t>
  </si>
  <si>
    <t>Eastern Maipuran</t>
  </si>
  <si>
    <t>east2562</t>
  </si>
  <si>
    <t>Eastern Garifuna</t>
  </si>
  <si>
    <t>Eastern Cham</t>
  </si>
  <si>
    <t>east2569</t>
  </si>
  <si>
    <t>Eastern Isthmic Chibchan</t>
  </si>
  <si>
    <t>east2570</t>
  </si>
  <si>
    <t>ngab1239</t>
  </si>
  <si>
    <t>Eastern Guaym√≠</t>
  </si>
  <si>
    <t>Eastern-Southern Arhuacic</t>
  </si>
  <si>
    <t>east2572</t>
  </si>
  <si>
    <t>Eastern Arhuacic</t>
  </si>
  <si>
    <t>east2632</t>
  </si>
  <si>
    <t>East Chadic</t>
  </si>
  <si>
    <t>East Chadic B</t>
  </si>
  <si>
    <t>east2637</t>
  </si>
  <si>
    <t>East Dangaleat</t>
  </si>
  <si>
    <t>east2639</t>
  </si>
  <si>
    <t>Eastern Birgit</t>
  </si>
  <si>
    <t>east2640</t>
  </si>
  <si>
    <t>East Chadic A</t>
  </si>
  <si>
    <t>east2641</t>
  </si>
  <si>
    <t>East Chadic A.3</t>
  </si>
  <si>
    <t>east2643</t>
  </si>
  <si>
    <t>east2775</t>
  </si>
  <si>
    <t>East Chadic A.1 1</t>
  </si>
  <si>
    <t>East Chadic A.1 2</t>
  </si>
  <si>
    <t>east2645</t>
  </si>
  <si>
    <t>East Chadic A.2</t>
  </si>
  <si>
    <t>east2648</t>
  </si>
  <si>
    <t>East Mafa</t>
  </si>
  <si>
    <t>Eastern Tera</t>
  </si>
  <si>
    <t>east2650</t>
  </si>
  <si>
    <t>Eastern Hausa</t>
  </si>
  <si>
    <t>sout3218</t>
  </si>
  <si>
    <t>Eastern Oromo</t>
  </si>
  <si>
    <t>hae</t>
  </si>
  <si>
    <t>omot1245</t>
  </si>
  <si>
    <t>Eastern Omo-Tana</t>
  </si>
  <si>
    <t>semi1276</t>
  </si>
  <si>
    <t>East Semitic</t>
  </si>
  <si>
    <t>east2679</t>
  </si>
  <si>
    <t>mehr1241</t>
  </si>
  <si>
    <t>Eastern Mehri</t>
  </si>
  <si>
    <t>Eastern Aramaic</t>
  </si>
  <si>
    <t>east2681</t>
  </si>
  <si>
    <t>Eastern Syriac</t>
  </si>
  <si>
    <t>east2682</t>
  </si>
  <si>
    <t>lish1245</t>
  </si>
  <si>
    <t>Eastern cluster</t>
  </si>
  <si>
    <t>east2690</t>
  </si>
  <si>
    <t>egyp1251</t>
  </si>
  <si>
    <t>Eastern Egyptian Bedawi Arabic</t>
  </si>
  <si>
    <t>avl</t>
  </si>
  <si>
    <t>EG IL PS</t>
  </si>
  <si>
    <t>east2691</t>
  </si>
  <si>
    <t>liby1240</t>
  </si>
  <si>
    <t>Eastern Libyan Arabic</t>
  </si>
  <si>
    <t>east2693</t>
  </si>
  <si>
    <t>East Cape Afrikaans</t>
  </si>
  <si>
    <t>east2694</t>
  </si>
  <si>
    <t>Eastern Subanen</t>
  </si>
  <si>
    <t>sfe</t>
  </si>
  <si>
    <t>east2695</t>
  </si>
  <si>
    <t>Eastern Durango Nahuatl</t>
  </si>
  <si>
    <t>azd</t>
  </si>
  <si>
    <t>east2696</t>
  </si>
  <si>
    <t>uncl1503</t>
  </si>
  <si>
    <t>Eastern Lalu</t>
  </si>
  <si>
    <t>yit</t>
  </si>
  <si>
    <t>Eastern Mande</t>
  </si>
  <si>
    <t>east2698</t>
  </si>
  <si>
    <t>Eastern Tucanoan</t>
  </si>
  <si>
    <t>East Cushitic</t>
  </si>
  <si>
    <t>Eastern Algonquian</t>
  </si>
  <si>
    <t>east2701</t>
  </si>
  <si>
    <t>gunw1253</t>
  </si>
  <si>
    <t>Eastern Gunwinyguan</t>
  </si>
  <si>
    <t>east2702</t>
  </si>
  <si>
    <t>Eastern Eastern Tucanoan</t>
  </si>
  <si>
    <t>wolo1248</t>
  </si>
  <si>
    <t>Nyun</t>
  </si>
  <si>
    <t>huon1246</t>
  </si>
  <si>
    <t>Eastern Huon</t>
  </si>
  <si>
    <t>vict1234</t>
  </si>
  <si>
    <t>Eastern Victoria</t>
  </si>
  <si>
    <t>Eastern Eastern Tucanoan I</t>
  </si>
  <si>
    <t>east2708</t>
  </si>
  <si>
    <t>Eastern Eastern Tucanoan II</t>
  </si>
  <si>
    <t>East Chadic B.1</t>
  </si>
  <si>
    <t>east2710</t>
  </si>
  <si>
    <t>East Chadic B.3</t>
  </si>
  <si>
    <t>Eastern Gbe</t>
  </si>
  <si>
    <t>east2712</t>
  </si>
  <si>
    <t>Eastern Malayo-Polynesian</t>
  </si>
  <si>
    <t>roma1334</t>
  </si>
  <si>
    <t>Eastern Romance</t>
  </si>
  <si>
    <t>kord1246</t>
  </si>
  <si>
    <t>Eastern Kordofan Nubian</t>
  </si>
  <si>
    <t>mari1445</t>
  </si>
  <si>
    <t>Eastern Maric</t>
  </si>
  <si>
    <t>east2717</t>
  </si>
  <si>
    <t>waka1283</t>
  </si>
  <si>
    <t>Eastern Waka-Kabic</t>
  </si>
  <si>
    <t>East Kanuri</t>
  </si>
  <si>
    <t>east2719</t>
  </si>
  <si>
    <t>Eastern Kiranti</t>
  </si>
  <si>
    <t>east2720</t>
  </si>
  <si>
    <t>Eastern Nahuatl</t>
  </si>
  <si>
    <t>east2721</t>
  </si>
  <si>
    <t>East Chadic A.2 1</t>
  </si>
  <si>
    <t>east2722</t>
  </si>
  <si>
    <t>East Chadic A.2 2</t>
  </si>
  <si>
    <t>east2723</t>
  </si>
  <si>
    <t>sout3151</t>
  </si>
  <si>
    <t>Eastern Southwestern Apachean</t>
  </si>
  <si>
    <t>east2724</t>
  </si>
  <si>
    <t>Eastern Murutic</t>
  </si>
  <si>
    <t>east2725</t>
  </si>
  <si>
    <t>mait1254</t>
  </si>
  <si>
    <t>Eastern Magahi</t>
  </si>
  <si>
    <t>Eastern Hindi</t>
  </si>
  <si>
    <t>east2727</t>
  </si>
  <si>
    <t>Eastern Panjabic</t>
  </si>
  <si>
    <t>Eastern Arabic</t>
  </si>
  <si>
    <t>Eastern Beboid</t>
  </si>
  <si>
    <t>East Bantu</t>
  </si>
  <si>
    <t>east2732</t>
  </si>
  <si>
    <t>Eastern Timoric A</t>
  </si>
  <si>
    <t>east2733</t>
  </si>
  <si>
    <t>timo1260</t>
  </si>
  <si>
    <t>Eastern Timoric B</t>
  </si>
  <si>
    <t>east2734</t>
  </si>
  <si>
    <t>mode1265</t>
  </si>
  <si>
    <t>Eastern Goidelic</t>
  </si>
  <si>
    <t>Eastern Alta Mixtec</t>
  </si>
  <si>
    <t>Eastern Chatino</t>
  </si>
  <si>
    <t>Eastern Otomi</t>
  </si>
  <si>
    <t>east2738</t>
  </si>
  <si>
    <t>edea1234</t>
  </si>
  <si>
    <t>Eastern Ede</t>
  </si>
  <si>
    <t>kamb1319</t>
  </si>
  <si>
    <t>East Kambaric</t>
  </si>
  <si>
    <t>grus1239</t>
  </si>
  <si>
    <t>East-West Grusi</t>
  </si>
  <si>
    <t>east2741</t>
  </si>
  <si>
    <t>East Seram</t>
  </si>
  <si>
    <t>east2778</t>
  </si>
  <si>
    <t>East and Central Manobo</t>
  </si>
  <si>
    <t>Eastern Indonesia Trade Malay</t>
  </si>
  <si>
    <t>east2744</t>
  </si>
  <si>
    <t>Eastern Bengali</t>
  </si>
  <si>
    <t>fars1255</t>
  </si>
  <si>
    <t>Eastern Farsic</t>
  </si>
  <si>
    <t>East Coast Mixtec</t>
  </si>
  <si>
    <t>east2747</t>
  </si>
  <si>
    <t>grea1287</t>
  </si>
  <si>
    <t>Eastern Greater Luyana</t>
  </si>
  <si>
    <t>East Rivers Seram</t>
  </si>
  <si>
    <t>Eastern Central Kenya Bantu</t>
  </si>
  <si>
    <t>east2750</t>
  </si>
  <si>
    <t>grea1289</t>
  </si>
  <si>
    <t>East Nyanza</t>
  </si>
  <si>
    <t>east2751</t>
  </si>
  <si>
    <t>East Buton</t>
  </si>
  <si>
    <t>east2752</t>
  </si>
  <si>
    <t>piru1243</t>
  </si>
  <si>
    <t>East Piru Bay</t>
  </si>
  <si>
    <t>mala1539</t>
  </si>
  <si>
    <t>Eastern Malakula linkage</t>
  </si>
  <si>
    <t>East Santo</t>
  </si>
  <si>
    <t>sout3190</t>
  </si>
  <si>
    <t>East Borneo Malay</t>
  </si>
  <si>
    <t>ruvu1235</t>
  </si>
  <si>
    <t>East Ruvu</t>
  </si>
  <si>
    <t>east2757</t>
  </si>
  <si>
    <t>Eastern Littoral Piru Bay</t>
  </si>
  <si>
    <t>east2758</t>
  </si>
  <si>
    <t>East Uvean-Niuafo'ou</t>
  </si>
  <si>
    <t>Eastern Caribbean Creole</t>
  </si>
  <si>
    <t>east2760</t>
  </si>
  <si>
    <t>East Choiseul</t>
  </si>
  <si>
    <t>east2761</t>
  </si>
  <si>
    <t>newg1239</t>
  </si>
  <si>
    <t>East New Georgia</t>
  </si>
  <si>
    <t>east2762</t>
  </si>
  <si>
    <t>taup1241</t>
  </si>
  <si>
    <t>Eastern Taupota</t>
  </si>
  <si>
    <t>East Arawe</t>
  </si>
  <si>
    <t>east2764</t>
  </si>
  <si>
    <t>Eastern Trukic</t>
  </si>
  <si>
    <t>east2765</t>
  </si>
  <si>
    <t>Eastern Great Lakes Algonquian</t>
  </si>
  <si>
    <t>east2766</t>
  </si>
  <si>
    <t>mode1252</t>
  </si>
  <si>
    <t>Eastern MSA</t>
  </si>
  <si>
    <t>East Sogeram</t>
  </si>
  <si>
    <t>east2768</t>
  </si>
  <si>
    <t>Eastern-Western Armenian</t>
  </si>
  <si>
    <t>nucl1726</t>
  </si>
  <si>
    <t>East Nuclear Subanen</t>
  </si>
  <si>
    <t>east2770</t>
  </si>
  <si>
    <t>East Queensland Border Pama Nyungan</t>
  </si>
  <si>
    <t>Eastern Tibetic</t>
  </si>
  <si>
    <t>nger1240</t>
  </si>
  <si>
    <t>Eastern Ngero</t>
  </si>
  <si>
    <t>east2773</t>
  </si>
  <si>
    <t>newa1247</t>
  </si>
  <si>
    <t>Eastern Newari</t>
  </si>
  <si>
    <t>east2774</t>
  </si>
  <si>
    <t>khan1279</t>
  </si>
  <si>
    <t>East Khanty</t>
  </si>
  <si>
    <t>East Chadic A.1</t>
  </si>
  <si>
    <t>east2776</t>
  </si>
  <si>
    <t>Eastern Angkuic</t>
  </si>
  <si>
    <t>tibe1275</t>
  </si>
  <si>
    <t>Eastern West Himalayish</t>
  </si>
  <si>
    <t>East-West-Central Manobo</t>
  </si>
  <si>
    <t>east2779</t>
  </si>
  <si>
    <t>khom1240</t>
  </si>
  <si>
    <t>Eastern Khumi Chin</t>
  </si>
  <si>
    <t>cek</t>
  </si>
  <si>
    <t>nort3266</t>
  </si>
  <si>
    <t>East-Central Swedic</t>
  </si>
  <si>
    <t>East Swedic</t>
  </si>
  <si>
    <t>east2782</t>
  </si>
  <si>
    <t>sout3249</t>
  </si>
  <si>
    <t>Eastern Kikongo</t>
  </si>
  <si>
    <t>Eastern Bru-Katang</t>
  </si>
  <si>
    <t>nucl1321</t>
  </si>
  <si>
    <t>Eastern Samur</t>
  </si>
  <si>
    <t>east2791</t>
  </si>
  <si>
    <t>kipc1239</t>
  </si>
  <si>
    <t>East Kipchak</t>
  </si>
  <si>
    <t>yeni1256</t>
  </si>
  <si>
    <t>East Siberian Turkic</t>
  </si>
  <si>
    <t>east2793</t>
  </si>
  <si>
    <t>Eastern Lixian Qiang</t>
  </si>
  <si>
    <t>nucl1770</t>
  </si>
  <si>
    <t>Eastern Dan</t>
  </si>
  <si>
    <t>east2795</t>
  </si>
  <si>
    <t>nara1262</t>
  </si>
  <si>
    <t>Eastern Nara</t>
  </si>
  <si>
    <t>east2796</t>
  </si>
  <si>
    <t>lado1234</t>
  </si>
  <si>
    <t>East Ladoga</t>
  </si>
  <si>
    <t>East Greek</t>
  </si>
  <si>
    <t>east2799</t>
  </si>
  <si>
    <t>Eastern Cantabrian</t>
  </si>
  <si>
    <t>east2800</t>
  </si>
  <si>
    <t>Eastern Jamamadi</t>
  </si>
  <si>
    <t>east2801</t>
  </si>
  <si>
    <t>Eastern North-Coast Javanese</t>
  </si>
  <si>
    <t>east2802</t>
  </si>
  <si>
    <t>Eastern Atakapa</t>
  </si>
  <si>
    <t>east2803</t>
  </si>
  <si>
    <t>tari1263</t>
  </si>
  <si>
    <t>Eastern Middle Atlas Berber</t>
  </si>
  <si>
    <t>Eastern Rif</t>
  </si>
  <si>
    <t>germ1287</t>
  </si>
  <si>
    <t>East Germanic</t>
  </si>
  <si>
    <t>mamb1312</t>
  </si>
  <si>
    <t>Eastern Mambila</t>
  </si>
  <si>
    <t>nucl1534</t>
  </si>
  <si>
    <t>East Lamaholot</t>
  </si>
  <si>
    <t>east2808</t>
  </si>
  <si>
    <t>seto1244</t>
  </si>
  <si>
    <t>Eastern Seto</t>
  </si>
  <si>
    <t>wano1243</t>
  </si>
  <si>
    <t>Eastern Wano</t>
  </si>
  <si>
    <t>east2810</t>
  </si>
  <si>
    <t>olek1239</t>
  </si>
  <si>
    <t>Eastern Black Mountain M√∂npa</t>
  </si>
  <si>
    <t>Eastern Even</t>
  </si>
  <si>
    <t>east2812</t>
  </si>
  <si>
    <t>kamc1243</t>
  </si>
  <si>
    <t>Northeast Itelmen</t>
  </si>
  <si>
    <t>east2813</t>
  </si>
  <si>
    <t>East Itelmen</t>
  </si>
  <si>
    <t>Eastern Bulgarian</t>
  </si>
  <si>
    <t>east2815</t>
  </si>
  <si>
    <t>Eastern Balkan Bulgarian</t>
  </si>
  <si>
    <t>Eastern Rup</t>
  </si>
  <si>
    <t>east2817</t>
  </si>
  <si>
    <t>kols1241</t>
  </si>
  <si>
    <t>East Ripuarian</t>
  </si>
  <si>
    <t>east2818</t>
  </si>
  <si>
    <t>luxe1241</t>
  </si>
  <si>
    <t>East Moselle Franconian</t>
  </si>
  <si>
    <t>east2819</t>
  </si>
  <si>
    <t>nort2595</t>
  </si>
  <si>
    <t>Eastern Northern Macedonian</t>
  </si>
  <si>
    <t>east2820</t>
  </si>
  <si>
    <t>sout2601</t>
  </si>
  <si>
    <t>Eastern Macedonian</t>
  </si>
  <si>
    <t>Eastern Herzegovinian Shtokavian</t>
  </si>
  <si>
    <t>east2822</t>
  </si>
  <si>
    <t>Eastern Bosnian Shtokavian</t>
  </si>
  <si>
    <t>east2823</t>
  </si>
  <si>
    <t>Eastern Klallam</t>
  </si>
  <si>
    <t>east2824</t>
  </si>
  <si>
    <t>saan1246</t>
  </si>
  <si>
    <t>East Saanich</t>
  </si>
  <si>
    <t>east2825</t>
  </si>
  <si>
    <t>Eastern Central English</t>
  </si>
  <si>
    <t>east2826</t>
  </si>
  <si>
    <t>sout3284</t>
  </si>
  <si>
    <t>Eastern Southwestern English</t>
  </si>
  <si>
    <t>East Cornwall-Devon</t>
  </si>
  <si>
    <t>east2828</t>
  </si>
  <si>
    <t>East Cornwall</t>
  </si>
  <si>
    <t>east2829</t>
  </si>
  <si>
    <t>Eastern Counties Southeastern English</t>
  </si>
  <si>
    <t>hbro1238</t>
  </si>
  <si>
    <t>Eastern Qinghai Amdo</t>
  </si>
  <si>
    <t>east2831</t>
  </si>
  <si>
    <t>koch1253</t>
  </si>
  <si>
    <t>East Danuwar</t>
  </si>
  <si>
    <t>east2832</t>
  </si>
  <si>
    <t>fran1268</t>
  </si>
  <si>
    <t>East Middle German</t>
  </si>
  <si>
    <t>east2833</t>
  </si>
  <si>
    <t>East Thuringian</t>
  </si>
  <si>
    <t>east2834</t>
  </si>
  <si>
    <t>sout3298</t>
  </si>
  <si>
    <t>East Coast Irish English</t>
  </si>
  <si>
    <t>Eastern New England English</t>
  </si>
  <si>
    <t>east2836</t>
  </si>
  <si>
    <t>mids1245</t>
  </si>
  <si>
    <t>Eastern Mid Scots</t>
  </si>
  <si>
    <t>east2837</t>
  </si>
  <si>
    <t>sout2620</t>
  </si>
  <si>
    <t>East Dumfries Scots</t>
  </si>
  <si>
    <t>east2838</t>
  </si>
  <si>
    <t>Eastern Nage</t>
  </si>
  <si>
    <t>Eastern Azerbaijani</t>
  </si>
  <si>
    <t>east2840</t>
  </si>
  <si>
    <t>Eastern Li'o</t>
  </si>
  <si>
    <t>east2841</t>
  </si>
  <si>
    <t>Eastern Zealand</t>
  </si>
  <si>
    <t>east2842</t>
  </si>
  <si>
    <t>Eastern Funen</t>
  </si>
  <si>
    <t>eban1241</t>
  </si>
  <si>
    <t>Ebang-Logol</t>
  </si>
  <si>
    <t>eban1242</t>
  </si>
  <si>
    <t>Ebang-Laru</t>
  </si>
  <si>
    <t>ebir1243</t>
  </si>
  <si>
    <t>ebir1244</t>
  </si>
  <si>
    <t>Ebira</t>
  </si>
  <si>
    <t>igb</t>
  </si>
  <si>
    <t>Ebira-Nupoid</t>
  </si>
  <si>
    <t>ebit1237</t>
  </si>
  <si>
    <t>Ebitoso</t>
  </si>
  <si>
    <t>ebla1238</t>
  </si>
  <si>
    <t>Eblaite</t>
  </si>
  <si>
    <t>xeb</t>
  </si>
  <si>
    <t>ebod1238</t>
  </si>
  <si>
    <t>lala1261</t>
  </si>
  <si>
    <t>Ebode</t>
  </si>
  <si>
    <t>ebri1238</t>
  </si>
  <si>
    <t>poto1250</t>
  </si>
  <si>
    <t>Ebri√©</t>
  </si>
  <si>
    <t>ebr</t>
  </si>
  <si>
    <t>ebug1241</t>
  </si>
  <si>
    <t>Ebughu</t>
  </si>
  <si>
    <t>ebg</t>
  </si>
  <si>
    <t>ebuk1238</t>
  </si>
  <si>
    <t>Ebuku</t>
  </si>
  <si>
    <t>ebun1241</t>
  </si>
  <si>
    <t>Ebunn-Ugbo</t>
  </si>
  <si>
    <t>ebun1242</t>
  </si>
  <si>
    <t>Ebunn-Oke</t>
  </si>
  <si>
    <t>ebuu1238</t>
  </si>
  <si>
    <t>Ebu</t>
  </si>
  <si>
    <t>eche1239</t>
  </si>
  <si>
    <t>Eche</t>
  </si>
  <si>
    <t>echi1237</t>
  </si>
  <si>
    <t>toka1245</t>
  </si>
  <si>
    <t>Echigo</t>
  </si>
  <si>
    <t>echo1239</t>
  </si>
  <si>
    <t>guan1268</t>
  </si>
  <si>
    <t>Echoladi</t>
  </si>
  <si>
    <t>ecua1243</t>
  </si>
  <si>
    <t>Ecuadorian Sign Language</t>
  </si>
  <si>
    <t>ecs</t>
  </si>
  <si>
    <t>ecua1247</t>
  </si>
  <si>
    <t>Ecuadorian Siona</t>
  </si>
  <si>
    <t>Ecuadorian Quechua A</t>
  </si>
  <si>
    <t>Ecuadorian Quechua B</t>
  </si>
  <si>
    <t>ecua1250</t>
  </si>
  <si>
    <t>Ecuadorian Lowland Quechua</t>
  </si>
  <si>
    <t>edam1234</t>
  </si>
  <si>
    <t>Edamme</t>
  </si>
  <si>
    <t>edan1238</t>
  </si>
  <si>
    <t>Edangabo</t>
  </si>
  <si>
    <t>edek1238</t>
  </si>
  <si>
    <t>Ede</t>
  </si>
  <si>
    <t>edec1238</t>
  </si>
  <si>
    <t>Ede Cabe</t>
  </si>
  <si>
    <t>cbj</t>
  </si>
  <si>
    <t>edei1244</t>
  </si>
  <si>
    <t>sout3187</t>
  </si>
  <si>
    <t>Ede Idaca</t>
  </si>
  <si>
    <t>idd</t>
  </si>
  <si>
    <t>edei1245</t>
  </si>
  <si>
    <t>sout3186</t>
  </si>
  <si>
    <t>Ede Ije</t>
  </si>
  <si>
    <t>ijj</t>
  </si>
  <si>
    <t>edei1246</t>
  </si>
  <si>
    <t>Ede Ica</t>
  </si>
  <si>
    <t>ica</t>
  </si>
  <si>
    <t>yoru1244</t>
  </si>
  <si>
    <t>Edekiri</t>
  </si>
  <si>
    <t>eden1244</t>
  </si>
  <si>
    <t>Ede Nago</t>
  </si>
  <si>
    <t>nqg</t>
  </si>
  <si>
    <t>eder1237</t>
  </si>
  <si>
    <t>Edera Awyu</t>
  </si>
  <si>
    <t>awy</t>
  </si>
  <si>
    <t>edes1234</t>
  </si>
  <si>
    <t>hams1240</t>
  </si>
  <si>
    <t>Edesa Armenian</t>
  </si>
  <si>
    <t>edii1237</t>
  </si>
  <si>
    <t>Edi</t>
  </si>
  <si>
    <t>edir1241</t>
  </si>
  <si>
    <t>Edirne</t>
  </si>
  <si>
    <t>edir1242</t>
  </si>
  <si>
    <t>enge1239</t>
  </si>
  <si>
    <t>Ediro</t>
  </si>
  <si>
    <t>Edoid</t>
  </si>
  <si>
    <t>Edolo</t>
  </si>
  <si>
    <t>etr</t>
  </si>
  <si>
    <t>edom1234</t>
  </si>
  <si>
    <t>Edomite</t>
  </si>
  <si>
    <t>xdm</t>
  </si>
  <si>
    <t>edoo1240</t>
  </si>
  <si>
    <t>Edo</t>
  </si>
  <si>
    <t>edop1238</t>
  </si>
  <si>
    <t>Edopi</t>
  </si>
  <si>
    <t>dbf</t>
  </si>
  <si>
    <t>eeee1240</t>
  </si>
  <si>
    <t>unun9894</t>
  </si>
  <si>
    <t>E</t>
  </si>
  <si>
    <t>eee</t>
  </si>
  <si>
    <t>efai1241</t>
  </si>
  <si>
    <t>Efai</t>
  </si>
  <si>
    <t>efa</t>
  </si>
  <si>
    <t>efat1235</t>
  </si>
  <si>
    <t>efat1240</t>
  </si>
  <si>
    <t>Efatese</t>
  </si>
  <si>
    <t>efat1236</t>
  </si>
  <si>
    <t>epie1239</t>
  </si>
  <si>
    <t>Efate</t>
  </si>
  <si>
    <t>Efate-group-based Artificial Language</t>
  </si>
  <si>
    <t>Efe</t>
  </si>
  <si>
    <t>efif1238</t>
  </si>
  <si>
    <t>Efifa</t>
  </si>
  <si>
    <t>Efik-Ibibio</t>
  </si>
  <si>
    <t>efik1245</t>
  </si>
  <si>
    <t>Efik</t>
  </si>
  <si>
    <t>efi</t>
  </si>
  <si>
    <t>efta1238</t>
  </si>
  <si>
    <t>west2928</t>
  </si>
  <si>
    <t>Eftawagaria</t>
  </si>
  <si>
    <t>efut1241</t>
  </si>
  <si>
    <t>Efutu</t>
  </si>
  <si>
    <t>efut1242</t>
  </si>
  <si>
    <t>ndee1247</t>
  </si>
  <si>
    <t>Efutop</t>
  </si>
  <si>
    <t>ofu</t>
  </si>
  <si>
    <t>egaa1242</t>
  </si>
  <si>
    <t>Ega</t>
  </si>
  <si>
    <t>ega</t>
  </si>
  <si>
    <t>egab1234</t>
  </si>
  <si>
    <t>Ega Bai</t>
  </si>
  <si>
    <t>egba1238</t>
  </si>
  <si>
    <t>Egba</t>
  </si>
  <si>
    <t>egbe1244</t>
  </si>
  <si>
    <t>Egbema (Ijoid)</t>
  </si>
  <si>
    <t>egbe1245</t>
  </si>
  <si>
    <t>Egbedna</t>
  </si>
  <si>
    <t>egbe1246</t>
  </si>
  <si>
    <t>Egbema</t>
  </si>
  <si>
    <t>egbu1235</t>
  </si>
  <si>
    <t>Egbuta</t>
  </si>
  <si>
    <t>eger1238</t>
  </si>
  <si>
    <t>Eger</t>
  </si>
  <si>
    <t>eggo1239</t>
  </si>
  <si>
    <t>Eggon</t>
  </si>
  <si>
    <t>ego</t>
  </si>
  <si>
    <t>jili1242</t>
  </si>
  <si>
    <t>Eggon-Ake</t>
  </si>
  <si>
    <t>egni1238</t>
  </si>
  <si>
    <t>ogba1241</t>
  </si>
  <si>
    <t>Egnih</t>
  </si>
  <si>
    <t>egon1237</t>
  </si>
  <si>
    <t>Egongot</t>
  </si>
  <si>
    <t>egyp1238</t>
  </si>
  <si>
    <t>Egypt Sign Language</t>
  </si>
  <si>
    <t>esl</t>
  </si>
  <si>
    <t>Egyptian</t>
  </si>
  <si>
    <t>egyp1246</t>
  </si>
  <si>
    <t>Egyptian (Ancient)</t>
  </si>
  <si>
    <t>egy</t>
  </si>
  <si>
    <t>Egyptic Arabic</t>
  </si>
  <si>
    <t>egyp1254</t>
  </si>
  <si>
    <t>Egyptian Arabic</t>
  </si>
  <si>
    <t>EG IL LY</t>
  </si>
  <si>
    <t>Egypto-Sudanic Arabic</t>
  </si>
  <si>
    <t>ehom1238</t>
  </si>
  <si>
    <t>ukpe1249</t>
  </si>
  <si>
    <t>Ehom</t>
  </si>
  <si>
    <t>ehue1238</t>
  </si>
  <si>
    <t>ukue1239</t>
  </si>
  <si>
    <t>Ehueun</t>
  </si>
  <si>
    <t>ehu</t>
  </si>
  <si>
    <t>Eipomek</t>
  </si>
  <si>
    <t>eiti1240</t>
  </si>
  <si>
    <t>komb1275</t>
  </si>
  <si>
    <t>Eitiep</t>
  </si>
  <si>
    <t>eit</t>
  </si>
  <si>
    <t>eivi1239</t>
  </si>
  <si>
    <t>Eivissenc i formenterer</t>
  </si>
  <si>
    <t>Ejagham</t>
  </si>
  <si>
    <t>etu</t>
  </si>
  <si>
    <t>ekoi1236</t>
  </si>
  <si>
    <t>Bakor-Ejagham</t>
  </si>
  <si>
    <t>ejam1238</t>
  </si>
  <si>
    <t>here1250</t>
  </si>
  <si>
    <t>Ejamat</t>
  </si>
  <si>
    <t>eja</t>
  </si>
  <si>
    <t>ejar1238</t>
  </si>
  <si>
    <t>Ejar</t>
  </si>
  <si>
    <t>ejee1238</t>
  </si>
  <si>
    <t>E Je</t>
  </si>
  <si>
    <t>ejin1238</t>
  </si>
  <si>
    <t>Ejine</t>
  </si>
  <si>
    <t>ekaa1234</t>
  </si>
  <si>
    <t>lalo1240</t>
  </si>
  <si>
    <t>Eka</t>
  </si>
  <si>
    <t>ekaj1238</t>
  </si>
  <si>
    <t>Ekajuk</t>
  </si>
  <si>
    <t>eka</t>
  </si>
  <si>
    <t>ekam1238</t>
  </si>
  <si>
    <t>Ekama</t>
  </si>
  <si>
    <t>ekar1243</t>
  </si>
  <si>
    <t>Ekari</t>
  </si>
  <si>
    <t>ekg</t>
  </si>
  <si>
    <t>ekhi1238</t>
  </si>
  <si>
    <t>Ekhirit</t>
  </si>
  <si>
    <t>ekii1241</t>
  </si>
  <si>
    <t>obol1244</t>
  </si>
  <si>
    <t>Eki</t>
  </si>
  <si>
    <t>eki</t>
  </si>
  <si>
    <t>ekii1242</t>
  </si>
  <si>
    <t>Eke (Cameroon)</t>
  </si>
  <si>
    <t>ekis1238</t>
  </si>
  <si>
    <t>nand1264</t>
  </si>
  <si>
    <t>Ekisongoora</t>
  </si>
  <si>
    <t>ekit1244</t>
  </si>
  <si>
    <t>Ekiti</t>
  </si>
  <si>
    <t>ekit1245</t>
  </si>
  <si>
    <t>Ekit-Etebi</t>
  </si>
  <si>
    <t>ekit1246</t>
  </si>
  <si>
    <t>Ekit</t>
  </si>
  <si>
    <t>eke</t>
  </si>
  <si>
    <t>ekiz1238</t>
  </si>
  <si>
    <t>Ekiziba</t>
  </si>
  <si>
    <t>ekoi1237</t>
  </si>
  <si>
    <t>Ekoid</t>
  </si>
  <si>
    <t>Ekoid-Mbe</t>
  </si>
  <si>
    <t>ekom1238</t>
  </si>
  <si>
    <t>Ekombe</t>
  </si>
  <si>
    <t>Ekonda Mongo</t>
  </si>
  <si>
    <t>ekoo1238</t>
  </si>
  <si>
    <t>Eko</t>
  </si>
  <si>
    <t>ekos1238</t>
  </si>
  <si>
    <t>kwom1263</t>
  </si>
  <si>
    <t>nucl1593</t>
  </si>
  <si>
    <t>Ekos-Yenabi-Maragin</t>
  </si>
  <si>
    <t>ekot1239</t>
  </si>
  <si>
    <t>koti1238</t>
  </si>
  <si>
    <t>Ekoti</t>
  </si>
  <si>
    <t>ekpa1238</t>
  </si>
  <si>
    <t>Ekparabong</t>
  </si>
  <si>
    <t>ekpe1250</t>
  </si>
  <si>
    <t>Ekpetiama</t>
  </si>
  <si>
    <t>ekpe1251</t>
  </si>
  <si>
    <t>Ekperi</t>
  </si>
  <si>
    <t>ekpe1252</t>
  </si>
  <si>
    <t>Ekpe</t>
  </si>
  <si>
    <t>igbo1258</t>
  </si>
  <si>
    <t>Ekpeye</t>
  </si>
  <si>
    <t>ekp</t>
  </si>
  <si>
    <t>ekpo1238</t>
  </si>
  <si>
    <t>esan1238</t>
  </si>
  <si>
    <t>Ekpon</t>
  </si>
  <si>
    <t>ekwe1238</t>
  </si>
  <si>
    <t>Ekwe</t>
  </si>
  <si>
    <t>elal1235</t>
  </si>
  <si>
    <t>west2646</t>
  </si>
  <si>
    <t>El Alto Zapotec</t>
  </si>
  <si>
    <t>zpp</t>
  </si>
  <si>
    <t>elam1244</t>
  </si>
  <si>
    <t>Elamite</t>
  </si>
  <si>
    <t>elx</t>
  </si>
  <si>
    <t>elat1240</t>
  </si>
  <si>
    <t>Elat</t>
  </si>
  <si>
    <t>elat1241</t>
  </si>
  <si>
    <t>Elati</t>
  </si>
  <si>
    <t>elbe1234</t>
  </si>
  <si>
    <t>Elbeostf√§lisch</t>
  </si>
  <si>
    <t>elel1238</t>
  </si>
  <si>
    <t>Elele</t>
  </si>
  <si>
    <t>elem1253</t>
  </si>
  <si>
    <t>Eleme</t>
  </si>
  <si>
    <t>elm</t>
  </si>
  <si>
    <t>elem1254</t>
  </si>
  <si>
    <t>nkut1238</t>
  </si>
  <si>
    <t>Elembe</t>
  </si>
  <si>
    <t>elep1240</t>
  </si>
  <si>
    <t>elep1241</t>
  </si>
  <si>
    <t>Elepi</t>
  </si>
  <si>
    <t>ele</t>
  </si>
  <si>
    <t>Elepi-Kamasau-Marienberg</t>
  </si>
  <si>
    <t>ovan1234</t>
  </si>
  <si>
    <t>Elfdalian</t>
  </si>
  <si>
    <t>ovd</t>
  </si>
  <si>
    <t>elgo1240</t>
  </si>
  <si>
    <t>Elgon-Mau Kalenjin</t>
  </si>
  <si>
    <t>elhu1238</t>
  </si>
  <si>
    <t>El Hugeirat</t>
  </si>
  <si>
    <t>elh</t>
  </si>
  <si>
    <t>elii1237</t>
  </si>
  <si>
    <t>Eli</t>
  </si>
  <si>
    <t>elim1239</t>
  </si>
  <si>
    <t>Elimbari</t>
  </si>
  <si>
    <t>elin1239</t>
  </si>
  <si>
    <t>tune1261</t>
  </si>
  <si>
    <t>Eling</t>
  </si>
  <si>
    <t>elip1238</t>
  </si>
  <si>
    <t>elip1239</t>
  </si>
  <si>
    <t>Elip</t>
  </si>
  <si>
    <t>ekm</t>
  </si>
  <si>
    <t>Elip-Maala</t>
  </si>
  <si>
    <t>elke1240</t>
  </si>
  <si>
    <t>oloe1234</t>
  </si>
  <si>
    <t>Elkei</t>
  </si>
  <si>
    <t>elk</t>
  </si>
  <si>
    <t>elli1239</t>
  </si>
  <si>
    <t>Ellicean</t>
  </si>
  <si>
    <t>elmo1238</t>
  </si>
  <si>
    <t>El Molo</t>
  </si>
  <si>
    <t>elo</t>
  </si>
  <si>
    <t>elna1235</t>
  </si>
  <si>
    <t>El Nayar Cora</t>
  </si>
  <si>
    <t>crn</t>
  </si>
  <si>
    <t>elot1235</t>
  </si>
  <si>
    <t>papa1270</t>
  </si>
  <si>
    <t>Elotepec Zapotec</t>
  </si>
  <si>
    <t>zte</t>
  </si>
  <si>
    <t>elow1238</t>
  </si>
  <si>
    <t>Elowa</t>
  </si>
  <si>
    <t>eloy1241</t>
  </si>
  <si>
    <t>Eloyi</t>
  </si>
  <si>
    <t>afo</t>
  </si>
  <si>
    <t>hatu1244</t>
  </si>
  <si>
    <t>Elpaputi</t>
  </si>
  <si>
    <t>elpa1240</t>
  </si>
  <si>
    <t>Elpaputih</t>
  </si>
  <si>
    <t>elp</t>
  </si>
  <si>
    <t>else1239</t>
  </si>
  <si>
    <t>Elseng</t>
  </si>
  <si>
    <t>mrf</t>
  </si>
  <si>
    <t>eltu1238</t>
  </si>
  <si>
    <t>Elt Ulid</t>
  </si>
  <si>
    <t>elun1241</t>
  </si>
  <si>
    <t>Elun</t>
  </si>
  <si>
    <t>elun1242</t>
  </si>
  <si>
    <t>Elung</t>
  </si>
  <si>
    <t>eluu1240</t>
  </si>
  <si>
    <t>Elu (Atlantic-Congo)</t>
  </si>
  <si>
    <t>eluu1241</t>
  </si>
  <si>
    <t>kurt1252</t>
  </si>
  <si>
    <t>Elu</t>
  </si>
  <si>
    <t>elu</t>
  </si>
  <si>
    <t>elym1237</t>
  </si>
  <si>
    <t>Elymian</t>
  </si>
  <si>
    <t>xly</t>
  </si>
  <si>
    <t>emab1235</t>
  </si>
  <si>
    <t>nort2744</t>
  </si>
  <si>
    <t>E'ma Buyang</t>
  </si>
  <si>
    <t>yzg</t>
  </si>
  <si>
    <t>emae1237</t>
  </si>
  <si>
    <t>vanu1245</t>
  </si>
  <si>
    <t>Emae</t>
  </si>
  <si>
    <t>mmw</t>
  </si>
  <si>
    <t>emai1241</t>
  </si>
  <si>
    <t>Emai-Iuleha-Ora</t>
  </si>
  <si>
    <t>ema</t>
  </si>
  <si>
    <t>emai1242</t>
  </si>
  <si>
    <t>Emai</t>
  </si>
  <si>
    <t>Eman</t>
  </si>
  <si>
    <t>emn</t>
  </si>
  <si>
    <t>emau1237</t>
  </si>
  <si>
    <t>Emau</t>
  </si>
  <si>
    <t>emba1238</t>
  </si>
  <si>
    <t>tama1334</t>
  </si>
  <si>
    <t>Embaloh</t>
  </si>
  <si>
    <t>emb</t>
  </si>
  <si>
    <t>Embera</t>
  </si>
  <si>
    <t>embe1259</t>
  </si>
  <si>
    <t>pana1309</t>
  </si>
  <si>
    <t>Ember√°-Baud√≥</t>
  </si>
  <si>
    <t>bdc</t>
  </si>
  <si>
    <t>embe1260</t>
  </si>
  <si>
    <t>Ember√°-Cat√≠o</t>
  </si>
  <si>
    <t>cto</t>
  </si>
  <si>
    <t>embe1261</t>
  </si>
  <si>
    <t>uppe1440</t>
  </si>
  <si>
    <t>Ember√°-Tad√≥</t>
  </si>
  <si>
    <t>tdc</t>
  </si>
  <si>
    <t>embe1262</t>
  </si>
  <si>
    <t>Ember√°-Cham√≠</t>
  </si>
  <si>
    <t>cmi</t>
  </si>
  <si>
    <t>embu1241</t>
  </si>
  <si>
    <t>kiku1241</t>
  </si>
  <si>
    <t>Embu</t>
  </si>
  <si>
    <t>ebu</t>
  </si>
  <si>
    <t>emed1238</t>
  </si>
  <si>
    <t>Emede</t>
  </si>
  <si>
    <t>emer1243</t>
  </si>
  <si>
    <t>zoee1241</t>
  </si>
  <si>
    <t>Teko</t>
  </si>
  <si>
    <t>eme</t>
  </si>
  <si>
    <t>GF</t>
  </si>
  <si>
    <t>emha1238</t>
  </si>
  <si>
    <t>okpa1238</t>
  </si>
  <si>
    <t>Emhalhe</t>
  </si>
  <si>
    <t>emil1243</t>
  </si>
  <si>
    <t>Emiliano</t>
  </si>
  <si>
    <t>egl</t>
  </si>
  <si>
    <t>gall1279</t>
  </si>
  <si>
    <t>Emiliano-Romagnolo</t>
  </si>
  <si>
    <t>eml</t>
  </si>
  <si>
    <t>IT SM</t>
  </si>
  <si>
    <t>emir1237</t>
  </si>
  <si>
    <t>muss1246</t>
  </si>
  <si>
    <t>Emira</t>
  </si>
  <si>
    <t>emok1238</t>
  </si>
  <si>
    <t>Emok</t>
  </si>
  <si>
    <t>emo</t>
  </si>
  <si>
    <t>emow1238</t>
  </si>
  <si>
    <t>Emowhua</t>
  </si>
  <si>
    <t>empa1240</t>
  </si>
  <si>
    <t>Empamela</t>
  </si>
  <si>
    <t>empa1241</t>
  </si>
  <si>
    <t>Empawa</t>
  </si>
  <si>
    <t>empe1239</t>
  </si>
  <si>
    <t>Empesa Poko</t>
  </si>
  <si>
    <t>empl1237</t>
  </si>
  <si>
    <t>sout2882</t>
  </si>
  <si>
    <t>Emplawas</t>
  </si>
  <si>
    <t>emw</t>
  </si>
  <si>
    <t>emsf1235</t>
  </si>
  <si>
    <t>sate1242</t>
  </si>
  <si>
    <t>Ems Frisian</t>
  </si>
  <si>
    <t>emsl1234</t>
  </si>
  <si>
    <t>Emsl√§ndisch</t>
  </si>
  <si>
    <t>emug1238</t>
  </si>
  <si>
    <t>Emughan</t>
  </si>
  <si>
    <t>emum1240</t>
  </si>
  <si>
    <t>Emumu</t>
  </si>
  <si>
    <t>enr</t>
  </si>
  <si>
    <t>emva1238</t>
  </si>
  <si>
    <t>soca1235</t>
  </si>
  <si>
    <t>Emvane So</t>
  </si>
  <si>
    <t>emwa1238</t>
  </si>
  <si>
    <t>Emwaja</t>
  </si>
  <si>
    <t>enah1238</t>
  </si>
  <si>
    <t>Enaharra</t>
  </si>
  <si>
    <t>enap1235</t>
  </si>
  <si>
    <t>pemo1246</t>
  </si>
  <si>
    <t>Panare</t>
  </si>
  <si>
    <t>pbh</t>
  </si>
  <si>
    <t>enat1238</t>
  </si>
  <si>
    <t>Enatthembo</t>
  </si>
  <si>
    <t>enaw1238</t>
  </si>
  <si>
    <t>pare1273</t>
  </si>
  <si>
    <t>Enawen√©-Naw√©</t>
  </si>
  <si>
    <t>unk</t>
  </si>
  <si>
    <t>ende1235</t>
  </si>
  <si>
    <t>Ende (papua New Guinea)</t>
  </si>
  <si>
    <t>ende1245</t>
  </si>
  <si>
    <t>ngad1266</t>
  </si>
  <si>
    <t>Eastern Central Flores</t>
  </si>
  <si>
    <t>ende1246</t>
  </si>
  <si>
    <t>ende1247</t>
  </si>
  <si>
    <t>Ende</t>
  </si>
  <si>
    <t>end</t>
  </si>
  <si>
    <t>Ende-Lio</t>
  </si>
  <si>
    <t>endo1242</t>
  </si>
  <si>
    <t>mark1255</t>
  </si>
  <si>
    <t>Endo</t>
  </si>
  <si>
    <t>endu1237</t>
  </si>
  <si>
    <t>Endu</t>
  </si>
  <si>
    <t>enee1238</t>
  </si>
  <si>
    <t>Eneeme</t>
  </si>
  <si>
    <t>eneg1238</t>
  </si>
  <si>
    <t>inor1238</t>
  </si>
  <si>
    <t>Enegegny</t>
  </si>
  <si>
    <t>enen1239</t>
  </si>
  <si>
    <t>Enenga</t>
  </si>
  <si>
    <t>enet1250</t>
  </si>
  <si>
    <t>enet1251</t>
  </si>
  <si>
    <t>Enets</t>
  </si>
  <si>
    <t>Enets-Nenets</t>
  </si>
  <si>
    <t>enga1251</t>
  </si>
  <si>
    <t>enga1254</t>
  </si>
  <si>
    <t>Engan</t>
  </si>
  <si>
    <t>enga1252</t>
  </si>
  <si>
    <t>Enga</t>
  </si>
  <si>
    <t>enq</t>
  </si>
  <si>
    <t>enga1253</t>
  </si>
  <si>
    <t>Enga Sign Language</t>
  </si>
  <si>
    <t>Enga-Kewa-Huli</t>
  </si>
  <si>
    <t>Enga-based pidgin</t>
  </si>
  <si>
    <t>Engenni</t>
  </si>
  <si>
    <t>enn</t>
  </si>
  <si>
    <t>engg1245</t>
  </si>
  <si>
    <t>Enggano</t>
  </si>
  <si>
    <t>eno</t>
  </si>
  <si>
    <t>engg1246</t>
  </si>
  <si>
    <t>Enggipilu</t>
  </si>
  <si>
    <t>English-based pidgin</t>
  </si>
  <si>
    <t>enhw1238</t>
  </si>
  <si>
    <t>Enhwe</t>
  </si>
  <si>
    <t>enii1238</t>
  </si>
  <si>
    <t>okoe1238</t>
  </si>
  <si>
    <t>Eni</t>
  </si>
  <si>
    <t>enim1238</t>
  </si>
  <si>
    <t>Enim</t>
  </si>
  <si>
    <t>eni</t>
  </si>
  <si>
    <t>enku1238</t>
  </si>
  <si>
    <t>Enkun</t>
  </si>
  <si>
    <t>enla1242</t>
  </si>
  <si>
    <t>Enlai</t>
  </si>
  <si>
    <t>enmy1238</t>
  </si>
  <si>
    <t>Enmylinskij</t>
  </si>
  <si>
    <t>ennn1242</t>
  </si>
  <si>
    <t>nucl1290</t>
  </si>
  <si>
    <t>En (China)</t>
  </si>
  <si>
    <t>ennn1243</t>
  </si>
  <si>
    <t>En</t>
  </si>
  <si>
    <t>enc</t>
  </si>
  <si>
    <t>enoa1238</t>
  </si>
  <si>
    <t>Enoah</t>
  </si>
  <si>
    <t>enqi1234</t>
  </si>
  <si>
    <t>Enqi Bai</t>
  </si>
  <si>
    <t>enre1239</t>
  </si>
  <si>
    <t>Enrekang</t>
  </si>
  <si>
    <t>ptt</t>
  </si>
  <si>
    <t>ensh1237</t>
  </si>
  <si>
    <t>naga1407</t>
  </si>
  <si>
    <t>Ensh≈´</t>
  </si>
  <si>
    <t>enur1238</t>
  </si>
  <si>
    <t>Enurmin</t>
  </si>
  <si>
    <t>enuu1235</t>
  </si>
  <si>
    <t>Enu</t>
  </si>
  <si>
    <t>enu</t>
  </si>
  <si>
    <t>envu1234</t>
  </si>
  <si>
    <t>Envuelto</t>
  </si>
  <si>
    <t>enwa1244</t>
  </si>
  <si>
    <t>Enwang-Uda</t>
  </si>
  <si>
    <t>enwa1245</t>
  </si>
  <si>
    <t>Enwan (Akwa Ibom State)</t>
  </si>
  <si>
    <t>enw</t>
  </si>
  <si>
    <t>enwa1246</t>
  </si>
  <si>
    <t>igwe1239</t>
  </si>
  <si>
    <t>Enwan (Edu State)</t>
  </si>
  <si>
    <t>env</t>
  </si>
  <si>
    <t>enya1245</t>
  </si>
  <si>
    <t>Enyara</t>
  </si>
  <si>
    <t>enya1247</t>
  </si>
  <si>
    <t>enya1248</t>
  </si>
  <si>
    <t>Enya</t>
  </si>
  <si>
    <t>gey</t>
  </si>
  <si>
    <t>Enya (D.10)</t>
  </si>
  <si>
    <t>enye1238</t>
  </si>
  <si>
    <t>Enyembe</t>
  </si>
  <si>
    <t>enyo1238</t>
  </si>
  <si>
    <t>Enyong</t>
  </si>
  <si>
    <t>sanj1278</t>
  </si>
  <si>
    <t>Epena</t>
  </si>
  <si>
    <t>sja</t>
  </si>
  <si>
    <t>CO EC PA</t>
  </si>
  <si>
    <t>Epie</t>
  </si>
  <si>
    <t>epi</t>
  </si>
  <si>
    <t>Epi-Efate</t>
  </si>
  <si>
    <t>epig1240</t>
  </si>
  <si>
    <t>ndum1239</t>
  </si>
  <si>
    <t>Epigi</t>
  </si>
  <si>
    <t>epig1241</t>
  </si>
  <si>
    <t>Epigraphic Mayan</t>
  </si>
  <si>
    <t>emy</t>
  </si>
  <si>
    <t>Epi</t>
  </si>
  <si>
    <t>epir1238</t>
  </si>
  <si>
    <t>nort2600</t>
  </si>
  <si>
    <t>Epirote</t>
  </si>
  <si>
    <t>eraa1239</t>
  </si>
  <si>
    <t>Era</t>
  </si>
  <si>
    <t>fini1245</t>
  </si>
  <si>
    <t>Erap</t>
  </si>
  <si>
    <t>erav1242</t>
  </si>
  <si>
    <t>mala1550</t>
  </si>
  <si>
    <t>Eravallan</t>
  </si>
  <si>
    <t>era</t>
  </si>
  <si>
    <t>erav1243</t>
  </si>
  <si>
    <t>Erave River</t>
  </si>
  <si>
    <t>erav1244</t>
  </si>
  <si>
    <t>Erave</t>
  </si>
  <si>
    <t>kjy</t>
  </si>
  <si>
    <t>eray1237</t>
  </si>
  <si>
    <t>iliu1237</t>
  </si>
  <si>
    <t>Eray</t>
  </si>
  <si>
    <t>eree1240</t>
  </si>
  <si>
    <t>guan1266</t>
  </si>
  <si>
    <t>Ere (China)</t>
  </si>
  <si>
    <t>eree1241</t>
  </si>
  <si>
    <t>kurt1251</t>
  </si>
  <si>
    <t>Ere</t>
  </si>
  <si>
    <t>twp</t>
  </si>
  <si>
    <t>eref1238</t>
  </si>
  <si>
    <t>Eref</t>
  </si>
  <si>
    <t>ereg1239</t>
  </si>
  <si>
    <t>Eregba</t>
  </si>
  <si>
    <t>erei1238</t>
  </si>
  <si>
    <t>Erei</t>
  </si>
  <si>
    <t>eren1239</t>
  </si>
  <si>
    <t>Erenga</t>
  </si>
  <si>
    <t>erev1240</t>
  </si>
  <si>
    <t>Erevan</t>
  </si>
  <si>
    <t>erga1238</t>
  </si>
  <si>
    <t>Ergali</t>
  </si>
  <si>
    <t>erie1238</t>
  </si>
  <si>
    <t>Erie</t>
  </si>
  <si>
    <t>Eritai-Obokuitai-Biritai</t>
  </si>
  <si>
    <t>erit1239</t>
  </si>
  <si>
    <t>Eritai</t>
  </si>
  <si>
    <t>ert</t>
  </si>
  <si>
    <t>erli1234</t>
  </si>
  <si>
    <t>Erli of Sofia</t>
  </si>
  <si>
    <t>ermi1239</t>
  </si>
  <si>
    <t>Ermita√±o</t>
  </si>
  <si>
    <t>erok1237</t>
  </si>
  <si>
    <t>Erokwanas</t>
  </si>
  <si>
    <t>erw</t>
  </si>
  <si>
    <t>erre1238</t>
  </si>
  <si>
    <t>giim1238</t>
  </si>
  <si>
    <t>urni1238</t>
  </si>
  <si>
    <t>Erre</t>
  </si>
  <si>
    <t>err</t>
  </si>
  <si>
    <t>erro1239</t>
  </si>
  <si>
    <t>Erromanga</t>
  </si>
  <si>
    <t>erro1240</t>
  </si>
  <si>
    <t>Erromintxela</t>
  </si>
  <si>
    <t>emx</t>
  </si>
  <si>
    <t>ersu1242</t>
  </si>
  <si>
    <t>Ersu</t>
  </si>
  <si>
    <t>ers</t>
  </si>
  <si>
    <t>naqi1236</t>
  </si>
  <si>
    <t>Ersuic</t>
  </si>
  <si>
    <t>erus1238</t>
  </si>
  <si>
    <t>Er√∫s√∫</t>
  </si>
  <si>
    <t>eruw1238</t>
  </si>
  <si>
    <t>sout2805</t>
  </si>
  <si>
    <t>Eruwa</t>
  </si>
  <si>
    <t>erh</t>
  </si>
  <si>
    <t>eryu1239</t>
  </si>
  <si>
    <t>Eryuan</t>
  </si>
  <si>
    <t>Erzya</t>
  </si>
  <si>
    <t>myv</t>
  </si>
  <si>
    <t>AZ BY EE KZ LT LV RU UA</t>
  </si>
  <si>
    <t>Esan</t>
  </si>
  <si>
    <t>ish</t>
  </si>
  <si>
    <t>esar1239</t>
  </si>
  <si>
    <t>Esari</t>
  </si>
  <si>
    <t>esau1238</t>
  </si>
  <si>
    <t>Esaun</t>
  </si>
  <si>
    <t>Escarpment Dogon</t>
  </si>
  <si>
    <t>esee1246</t>
  </si>
  <si>
    <t>Ese (Arigidi)</t>
  </si>
  <si>
    <t>Ese</t>
  </si>
  <si>
    <t>mcq</t>
  </si>
  <si>
    <t>esee1248</t>
  </si>
  <si>
    <t>taka1267</t>
  </si>
  <si>
    <t>Ese Ejja</t>
  </si>
  <si>
    <t>ese</t>
  </si>
  <si>
    <t>BO PE</t>
  </si>
  <si>
    <t>esel1238</t>
  </si>
  <si>
    <t>Esel</t>
  </si>
  <si>
    <t>esfa1238</t>
  </si>
  <si>
    <t>Esfahani</t>
  </si>
  <si>
    <t>esha1238</t>
  </si>
  <si>
    <t>nort2718</t>
  </si>
  <si>
    <t>Eshan Nasu</t>
  </si>
  <si>
    <t>esht1238</t>
  </si>
  <si>
    <t>rama1272</t>
  </si>
  <si>
    <t>Eshtehardi</t>
  </si>
  <si>
    <t>esh</t>
  </si>
  <si>
    <t>esim1238</t>
  </si>
  <si>
    <t>Esimbi</t>
  </si>
  <si>
    <t>ags</t>
  </si>
  <si>
    <t>eska1234</t>
  </si>
  <si>
    <t>Eskayan</t>
  </si>
  <si>
    <t>esy</t>
  </si>
  <si>
    <t>eski1263</t>
  </si>
  <si>
    <t>Eskisehir</t>
  </si>
  <si>
    <t>Eskimo-Aleut</t>
  </si>
  <si>
    <t>eski1265</t>
  </si>
  <si>
    <t>Eskimo</t>
  </si>
  <si>
    <t>eski1266</t>
  </si>
  <si>
    <t>eski1267</t>
  </si>
  <si>
    <t>Herschel Island Eskimo Trade Jargon</t>
  </si>
  <si>
    <t>Eskimo-based pidgin</t>
  </si>
  <si>
    <t>espe1235</t>
  </si>
  <si>
    <t>Esperanto</t>
  </si>
  <si>
    <t>epo</t>
  </si>
  <si>
    <t>PL</t>
  </si>
  <si>
    <t>Espiritu Santo</t>
  </si>
  <si>
    <t>essa1237</t>
  </si>
  <si>
    <t>Essang</t>
  </si>
  <si>
    <t>esse1238</t>
  </si>
  <si>
    <t>Esselen</t>
  </si>
  <si>
    <t>esq</t>
  </si>
  <si>
    <t>esse1260</t>
  </si>
  <si>
    <t>Essele</t>
  </si>
  <si>
    <t>esse1264</t>
  </si>
  <si>
    <t>skep1238</t>
  </si>
  <si>
    <t>Essequibo</t>
  </si>
  <si>
    <t>esse1265</t>
  </si>
  <si>
    <t>Essex</t>
  </si>
  <si>
    <t>essi1238</t>
  </si>
  <si>
    <t>Essin</t>
  </si>
  <si>
    <t>esta1236</t>
  </si>
  <si>
    <t>sout3168</t>
  </si>
  <si>
    <t>Estado de M√©xico Otomi</t>
  </si>
  <si>
    <t>ots</t>
  </si>
  <si>
    <t>esto1238</t>
  </si>
  <si>
    <t>Estonian Sign Language</t>
  </si>
  <si>
    <t>eso</t>
  </si>
  <si>
    <t>EE</t>
  </si>
  <si>
    <t>esto1257</t>
  </si>
  <si>
    <t>kalo1256</t>
  </si>
  <si>
    <t>Lajenge Roma</t>
  </si>
  <si>
    <t>Estonian</t>
  </si>
  <si>
    <t>EE LV RU</t>
  </si>
  <si>
    <t>esto1259</t>
  </si>
  <si>
    <t>Estonian Swedish</t>
  </si>
  <si>
    <t>estr1243</t>
  </si>
  <si>
    <t>Estremenho</t>
  </si>
  <si>
    <t>estr1244</t>
  </si>
  <si>
    <t>Estracharia</t>
  </si>
  <si>
    <t>estr1249</t>
  </si>
  <si>
    <t>Estrella</t>
  </si>
  <si>
    <t>esuk1238</t>
  </si>
  <si>
    <t>Esuku</t>
  </si>
  <si>
    <t>esul1240</t>
  </si>
  <si>
    <t>Esulalu</t>
  </si>
  <si>
    <t>esul1241</t>
  </si>
  <si>
    <t>Esulit</t>
  </si>
  <si>
    <t>esum1241</t>
  </si>
  <si>
    <t>Esuma</t>
  </si>
  <si>
    <t>esm</t>
  </si>
  <si>
    <t>esum1242</t>
  </si>
  <si>
    <t>Esumbu</t>
  </si>
  <si>
    <t>etap1239</t>
  </si>
  <si>
    <t>Etapally Gondi</t>
  </si>
  <si>
    <t>etap1240</t>
  </si>
  <si>
    <t>Etapally Maria</t>
  </si>
  <si>
    <t>eteb1238</t>
  </si>
  <si>
    <t>Etebi</t>
  </si>
  <si>
    <t>etb</t>
  </si>
  <si>
    <t>eten1239</t>
  </si>
  <si>
    <t>Eten</t>
  </si>
  <si>
    <t>etx</t>
  </si>
  <si>
    <t>eteo1236</t>
  </si>
  <si>
    <t>Eteocretan</t>
  </si>
  <si>
    <t>ecr</t>
  </si>
  <si>
    <t>eteo1240</t>
  </si>
  <si>
    <t>Eteocypriot</t>
  </si>
  <si>
    <t>ecy</t>
  </si>
  <si>
    <t>ethi1238</t>
  </si>
  <si>
    <t>Ethiopian Sign Language</t>
  </si>
  <si>
    <t>eth</t>
  </si>
  <si>
    <t>ethi1244</t>
  </si>
  <si>
    <t>Ethiosemitic</t>
  </si>
  <si>
    <t>etky1238</t>
  </si>
  <si>
    <t>kpan1245</t>
  </si>
  <si>
    <t>Etkywan</t>
  </si>
  <si>
    <t>ich</t>
  </si>
  <si>
    <t>eton1251</t>
  </si>
  <si>
    <t>Etono I</t>
  </si>
  <si>
    <t>eton1252</t>
  </si>
  <si>
    <t>Etono II</t>
  </si>
  <si>
    <t>Eton-Mengisa</t>
  </si>
  <si>
    <t>eto</t>
  </si>
  <si>
    <t>eton1254</t>
  </si>
  <si>
    <t>ipul1238</t>
  </si>
  <si>
    <t>Etongo</t>
  </si>
  <si>
    <t>eton1255</t>
  </si>
  <si>
    <t>sout3196</t>
  </si>
  <si>
    <t>Eton (Vanuatu)</t>
  </si>
  <si>
    <t>etn</t>
  </si>
  <si>
    <t>eton1256</t>
  </si>
  <si>
    <t>Eton</t>
  </si>
  <si>
    <t>Etoro-Bedamini</t>
  </si>
  <si>
    <t>etpt1234</t>
  </si>
  <si>
    <t>kala1404</t>
  </si>
  <si>
    <t>Etp-Ti Kalam</t>
  </si>
  <si>
    <t>etru1241</t>
  </si>
  <si>
    <t>Etruscan</t>
  </si>
  <si>
    <t>ett</t>
  </si>
  <si>
    <t>etul1244</t>
  </si>
  <si>
    <t>idom1262</t>
  </si>
  <si>
    <t>Akweya</t>
  </si>
  <si>
    <t>etul1245</t>
  </si>
  <si>
    <t>etul1246</t>
  </si>
  <si>
    <t>Etulo</t>
  </si>
  <si>
    <t>utr</t>
  </si>
  <si>
    <t>Etulo-Idoma</t>
  </si>
  <si>
    <t>eude1234</t>
  </si>
  <si>
    <t>opat1247</t>
  </si>
  <si>
    <t>Eudeve</t>
  </si>
  <si>
    <t>eund1238</t>
  </si>
  <si>
    <t>Eunda Kolonkadhi</t>
  </si>
  <si>
    <t>euph1238</t>
  </si>
  <si>
    <t>Euphrates Cluster</t>
  </si>
  <si>
    <t>euro1250</t>
  </si>
  <si>
    <t>Europanto</t>
  </si>
  <si>
    <t>eur</t>
  </si>
  <si>
    <t>eval1238</t>
  </si>
  <si>
    <t>nzim1238</t>
  </si>
  <si>
    <t>Evalue</t>
  </si>
  <si>
    <t>evan1238</t>
  </si>
  <si>
    <t>tive1237</t>
  </si>
  <si>
    <t>Evant</t>
  </si>
  <si>
    <t>bzz</t>
  </si>
  <si>
    <t>raic1241</t>
  </si>
  <si>
    <t>Evapia</t>
  </si>
  <si>
    <t>evaz1237</t>
  </si>
  <si>
    <t>Evaz</t>
  </si>
  <si>
    <t>west2427</t>
  </si>
  <si>
    <t>Evenki</t>
  </si>
  <si>
    <t>nort3147</t>
  </si>
  <si>
    <t>Even</t>
  </si>
  <si>
    <t>eve</t>
  </si>
  <si>
    <t>evet1234</t>
  </si>
  <si>
    <t>Evetsberg</t>
  </si>
  <si>
    <t>eviy1235</t>
  </si>
  <si>
    <t>Viya</t>
  </si>
  <si>
    <t>gev</t>
  </si>
  <si>
    <t>evou1238</t>
  </si>
  <si>
    <t>Evouzok</t>
  </si>
  <si>
    <t>ewag1241</t>
  </si>
  <si>
    <t>Ewage-Notu</t>
  </si>
  <si>
    <t>nou</t>
  </si>
  <si>
    <t>ewdo1239</t>
  </si>
  <si>
    <t>Eudokia</t>
  </si>
  <si>
    <t>Ewondo</t>
  </si>
  <si>
    <t>ewo</t>
  </si>
  <si>
    <t>ewon1240</t>
  </si>
  <si>
    <t>ewon1242</t>
  </si>
  <si>
    <t>Ewondo Populaire</t>
  </si>
  <si>
    <t>Ewondo-Bebele</t>
  </si>
  <si>
    <t>Ewondo-based pidgin</t>
  </si>
  <si>
    <t>Extremaduran</t>
  </si>
  <si>
    <t>ext</t>
  </si>
  <si>
    <t>extr1244</t>
  </si>
  <si>
    <t>nort3325</t>
  </si>
  <si>
    <t>Extreme Northern New Caledonian</t>
  </si>
  <si>
    <t>sout3313</t>
  </si>
  <si>
    <t>Extreme Southern New Caledonian</t>
  </si>
  <si>
    <t>extr1247</t>
  </si>
  <si>
    <t>ngbe1239</t>
  </si>
  <si>
    <t>Extreme North Vestigial Suffixes Bantu</t>
  </si>
  <si>
    <t>extr1248</t>
  </si>
  <si>
    <t>Extreme North Cameroon Sign Language</t>
  </si>
  <si>
    <t>eyak1241</t>
  </si>
  <si>
    <t>Eyak</t>
  </si>
  <si>
    <t>eya</t>
  </si>
  <si>
    <t>ezaa1238</t>
  </si>
  <si>
    <t>izie1238</t>
  </si>
  <si>
    <t>Ezaa</t>
  </si>
  <si>
    <t>eza</t>
  </si>
  <si>
    <t>ezha1238</t>
  </si>
  <si>
    <t>Ezha</t>
  </si>
  <si>
    <t>faaa1239</t>
  </si>
  <si>
    <t>Fa'</t>
  </si>
  <si>
    <t>faal1238</t>
  </si>
  <si>
    <t>Faale-Piyew</t>
  </si>
  <si>
    <t>fabl1238</t>
  </si>
  <si>
    <t>Fablas</t>
  </si>
  <si>
    <t>face1237</t>
  </si>
  <si>
    <t>sula1245</t>
  </si>
  <si>
    <t>Facei</t>
  </si>
  <si>
    <t>fach1238</t>
  </si>
  <si>
    <t>Fachi</t>
  </si>
  <si>
    <t>fada1240</t>
  </si>
  <si>
    <t>Fadawa</t>
  </si>
  <si>
    <t>fada1248</t>
  </si>
  <si>
    <t>Fadashi</t>
  </si>
  <si>
    <t>fada1249</t>
  </si>
  <si>
    <t>Fada Ngurma</t>
  </si>
  <si>
    <t>fada1250</t>
  </si>
  <si>
    <t>Annobonese</t>
  </si>
  <si>
    <t>fab</t>
  </si>
  <si>
    <t>fady1238</t>
  </si>
  <si>
    <t>Fadyut-Palmerin</t>
  </si>
  <si>
    <t>faet1239</t>
  </si>
  <si>
    <t>Faeto</t>
  </si>
  <si>
    <t>faet1240</t>
  </si>
  <si>
    <t>fran1269</t>
  </si>
  <si>
    <t>Faeto and Celle San Vito Francoprovencal</t>
  </si>
  <si>
    <t>Fagani</t>
  </si>
  <si>
    <t>faf</t>
  </si>
  <si>
    <t>fagu1237</t>
  </si>
  <si>
    <t>Fagudu</t>
  </si>
  <si>
    <t>faia1238</t>
  </si>
  <si>
    <t>kiri1256</t>
  </si>
  <si>
    <t>Faia</t>
  </si>
  <si>
    <t>fair1237</t>
  </si>
  <si>
    <t>Fairi</t>
  </si>
  <si>
    <t>fair1238</t>
  </si>
  <si>
    <t>Faire Atta</t>
  </si>
  <si>
    <t>azt</t>
  </si>
  <si>
    <t>fais1241</t>
  </si>
  <si>
    <t>Faishang</t>
  </si>
  <si>
    <t>fait1240</t>
  </si>
  <si>
    <t>Kulsab</t>
  </si>
  <si>
    <t>faj</t>
  </si>
  <si>
    <t>Faiwol</t>
  </si>
  <si>
    <t>fai</t>
  </si>
  <si>
    <t>faiw1244</t>
  </si>
  <si>
    <t>Faiwolmin</t>
  </si>
  <si>
    <t>faiy1237</t>
  </si>
  <si>
    <t>Faiyava</t>
  </si>
  <si>
    <t>fala1241</t>
  </si>
  <si>
    <t>gali1263</t>
  </si>
  <si>
    <t>Fala</t>
  </si>
  <si>
    <t>fax</t>
  </si>
  <si>
    <t>laic1236</t>
  </si>
  <si>
    <t>Falamic</t>
  </si>
  <si>
    <t>fala1243</t>
  </si>
  <si>
    <t>Falam Chin</t>
  </si>
  <si>
    <t>cfm</t>
  </si>
  <si>
    <t>fala1244</t>
  </si>
  <si>
    <t>Falahu</t>
  </si>
  <si>
    <t>fala1245</t>
  </si>
  <si>
    <t>Falam Chin (Retired)</t>
  </si>
  <si>
    <t>flm</t>
  </si>
  <si>
    <t>fala1246</t>
  </si>
  <si>
    <t>Falasha</t>
  </si>
  <si>
    <t>fali1264</t>
  </si>
  <si>
    <t>Fali-Tinguelin</t>
  </si>
  <si>
    <t>fali1285</t>
  </si>
  <si>
    <t>fali1290</t>
  </si>
  <si>
    <t>Fali</t>
  </si>
  <si>
    <t>fli</t>
  </si>
  <si>
    <t>fali1286</t>
  </si>
  <si>
    <t>gude1246</t>
  </si>
  <si>
    <t>Fali of Mubi</t>
  </si>
  <si>
    <t>fali1287</t>
  </si>
  <si>
    <t>Fali of Mucella</t>
  </si>
  <si>
    <t>fali1288</t>
  </si>
  <si>
    <t>Fali of Vimtim</t>
  </si>
  <si>
    <t>fali1289</t>
  </si>
  <si>
    <t>Fali of Jilvu</t>
  </si>
  <si>
    <t>gude1248</t>
  </si>
  <si>
    <t>Fali-Gude</t>
  </si>
  <si>
    <t>fali1291</t>
  </si>
  <si>
    <t>lati1262</t>
  </si>
  <si>
    <t>Faliscan</t>
  </si>
  <si>
    <t>xfa</t>
  </si>
  <si>
    <t>fama1238</t>
  </si>
  <si>
    <t>kron1241</t>
  </si>
  <si>
    <t>Fama-Teis-Kua</t>
  </si>
  <si>
    <t>Family Sign Language</t>
  </si>
  <si>
    <t>famm1241</t>
  </si>
  <si>
    <t>unun9931</t>
  </si>
  <si>
    <t>Fam</t>
  </si>
  <si>
    <t>fam</t>
  </si>
  <si>
    <t>zulu1250</t>
  </si>
  <si>
    <t>Fanagalo</t>
  </si>
  <si>
    <t>fng</t>
  </si>
  <si>
    <t>CD NA ZA ZM ZW</t>
  </si>
  <si>
    <t>fanf1238</t>
  </si>
  <si>
    <t>Fan-Foron-Heikpang</t>
  </si>
  <si>
    <t>Fang (Equatorial Guinea)</t>
  </si>
  <si>
    <t>CG CM GA GQ</t>
  </si>
  <si>
    <t>fang1247</t>
  </si>
  <si>
    <t>fang1248</t>
  </si>
  <si>
    <t>Fang (Cameroon)</t>
  </si>
  <si>
    <t>fak</t>
  </si>
  <si>
    <t>fang1249</t>
  </si>
  <si>
    <t>tuam1242</t>
  </si>
  <si>
    <t>Fangatau</t>
  </si>
  <si>
    <t>fani1244</t>
  </si>
  <si>
    <t>kula1285</t>
  </si>
  <si>
    <t>Fania</t>
  </si>
  <si>
    <t>fni</t>
  </si>
  <si>
    <t>fani1245</t>
  </si>
  <si>
    <t>wara1292</t>
  </si>
  <si>
    <t>Faniagara</t>
  </si>
  <si>
    <t>fani1246</t>
  </si>
  <si>
    <t>Fanic</t>
  </si>
  <si>
    <t>fann1238</t>
  </si>
  <si>
    <t>lush1249</t>
  </si>
  <si>
    <t>Fannai</t>
  </si>
  <si>
    <t>fant1241</t>
  </si>
  <si>
    <t>Fante</t>
  </si>
  <si>
    <t>fat</t>
  </si>
  <si>
    <t>fant1242</t>
  </si>
  <si>
    <t>nafa1258</t>
  </si>
  <si>
    <t>Fantera</t>
  </si>
  <si>
    <t>fara1237</t>
  </si>
  <si>
    <t>kend1253</t>
  </si>
  <si>
    <t>Faranga</t>
  </si>
  <si>
    <t>fraf1239</t>
  </si>
  <si>
    <t>Farefare</t>
  </si>
  <si>
    <t>gur</t>
  </si>
  <si>
    <t>BF GH</t>
  </si>
  <si>
    <t>fare1242</t>
  </si>
  <si>
    <t>Fare</t>
  </si>
  <si>
    <t>fare1244</t>
  </si>
  <si>
    <t>Vach-Vasjugan</t>
  </si>
  <si>
    <t>farn1234</t>
  </si>
  <si>
    <t>nisu1238</t>
  </si>
  <si>
    <t>Far Northwestern Nisu</t>
  </si>
  <si>
    <t>nsf</t>
  </si>
  <si>
    <t>farn1235</t>
  </si>
  <si>
    <t>F√§rn√§s</t>
  </si>
  <si>
    <t>faro1244</t>
  </si>
  <si>
    <t>icel1246</t>
  </si>
  <si>
    <t>Faroese</t>
  </si>
  <si>
    <t>fao</t>
  </si>
  <si>
    <t>DK US</t>
  </si>
  <si>
    <t>faro1245</t>
  </si>
  <si>
    <t>gutn1238</t>
  </si>
  <si>
    <t>F√§r√∂m√•l</t>
  </si>
  <si>
    <t>Farsic-Caucasian Tat</t>
  </si>
  <si>
    <t>Farsic</t>
  </si>
  <si>
    <t>farw1235</t>
  </si>
  <si>
    <t>Far Western Muria</t>
  </si>
  <si>
    <t>fmu</t>
  </si>
  <si>
    <t>Far West Lakes Plain</t>
  </si>
  <si>
    <t>fass1244</t>
  </si>
  <si>
    <t>Fassano</t>
  </si>
  <si>
    <t>Momu-Fas</t>
  </si>
  <si>
    <t>fqs</t>
  </si>
  <si>
    <t>fasu1242</t>
  </si>
  <si>
    <t>Fasu</t>
  </si>
  <si>
    <t>faa</t>
  </si>
  <si>
    <t>Fataleka</t>
  </si>
  <si>
    <t>fata1246</t>
  </si>
  <si>
    <t>Fataluku-Oirata</t>
  </si>
  <si>
    <t>fata1247</t>
  </si>
  <si>
    <t>Fataluku</t>
  </si>
  <si>
    <t>ddg</t>
  </si>
  <si>
    <t>TL</t>
  </si>
  <si>
    <t>fatu1237</t>
  </si>
  <si>
    <t>sout2866</t>
  </si>
  <si>
    <t>Fatu Hiva</t>
  </si>
  <si>
    <t>faur1237</t>
  </si>
  <si>
    <t>Fauro</t>
  </si>
  <si>
    <t>favo1235</t>
  </si>
  <si>
    <t>Favorlang</t>
  </si>
  <si>
    <t>faya1237</t>
  </si>
  <si>
    <t>sawa1247</t>
  </si>
  <si>
    <t>Faya-Mafa</t>
  </si>
  <si>
    <t>fayi1237</t>
  </si>
  <si>
    <t>Fayichuck</t>
  </si>
  <si>
    <t>fayj1234</t>
  </si>
  <si>
    <t>Fayjatases</t>
  </si>
  <si>
    <t>fayu1238</t>
  </si>
  <si>
    <t>fayu1239</t>
  </si>
  <si>
    <t>Fayu</t>
  </si>
  <si>
    <t>fau</t>
  </si>
  <si>
    <t>west2582</t>
  </si>
  <si>
    <t>Fayu-Kirikiri</t>
  </si>
  <si>
    <t>fayy1237</t>
  </si>
  <si>
    <t>midd1332</t>
  </si>
  <si>
    <t>Fayyumic</t>
  </si>
  <si>
    <t>fede1238</t>
  </si>
  <si>
    <t>Federe</t>
  </si>
  <si>
    <t>Fe'fe'</t>
  </si>
  <si>
    <t>fmp</t>
  </si>
  <si>
    <t>fell1238</t>
  </si>
  <si>
    <t>sout3123</t>
  </si>
  <si>
    <t>Fellahi</t>
  </si>
  <si>
    <t>femb1238</t>
  </si>
  <si>
    <t>Fembe</t>
  </si>
  <si>
    <t>agl</t>
  </si>
  <si>
    <t>fera1239</t>
  </si>
  <si>
    <t>tele1256</t>
  </si>
  <si>
    <t>Feramin</t>
  </si>
  <si>
    <t>fere1244</t>
  </si>
  <si>
    <t>Fereydan</t>
  </si>
  <si>
    <t>fere1246</t>
  </si>
  <si>
    <t>Fere</t>
  </si>
  <si>
    <t>ferg1237</t>
  </si>
  <si>
    <t>nucl1719</t>
  </si>
  <si>
    <t>Fer-Gula-Koto</t>
  </si>
  <si>
    <t>fern1234</t>
  </si>
  <si>
    <t>west2851</t>
  </si>
  <si>
    <t>Pichi</t>
  </si>
  <si>
    <t>fpe</t>
  </si>
  <si>
    <t>fero1243</t>
  </si>
  <si>
    <t>sere1262</t>
  </si>
  <si>
    <t>Feroge-Mangaya</t>
  </si>
  <si>
    <t>fero1244</t>
  </si>
  <si>
    <t>Feroge</t>
  </si>
  <si>
    <t>fer</t>
  </si>
  <si>
    <t>Ferring</t>
  </si>
  <si>
    <t>ferr1242</t>
  </si>
  <si>
    <t>kagf1238</t>
  </si>
  <si>
    <t>Fer</t>
  </si>
  <si>
    <t>feyl1238</t>
  </si>
  <si>
    <t>Feyli</t>
  </si>
  <si>
    <t>fezm1238</t>
  </si>
  <si>
    <t>moro1292</t>
  </si>
  <si>
    <t>Fez. Meknes</t>
  </si>
  <si>
    <t>fgan1238</t>
  </si>
  <si>
    <t>Fganja</t>
  </si>
  <si>
    <t>fhjo1234</t>
  </si>
  <si>
    <t>FH-Jola</t>
  </si>
  <si>
    <t>fian1238</t>
  </si>
  <si>
    <t>Fianse</t>
  </si>
  <si>
    <t>fier1238</t>
  </si>
  <si>
    <t>moch1255</t>
  </si>
  <si>
    <t>Fierozzo</t>
  </si>
  <si>
    <t>fiji1242</t>
  </si>
  <si>
    <t>Fiji Hindi</t>
  </si>
  <si>
    <t>hif</t>
  </si>
  <si>
    <t>AU FJ US</t>
  </si>
  <si>
    <t>Fijian</t>
  </si>
  <si>
    <t>fij</t>
  </si>
  <si>
    <t>FJ</t>
  </si>
  <si>
    <t>fiji1244</t>
  </si>
  <si>
    <t>Fijian-based pidgin</t>
  </si>
  <si>
    <t>fika1238</t>
  </si>
  <si>
    <t>Fika</t>
  </si>
  <si>
    <t>fika1239</t>
  </si>
  <si>
    <t>nucl1695</t>
  </si>
  <si>
    <t>Fika Bole</t>
  </si>
  <si>
    <t>fiky1238</t>
  </si>
  <si>
    <t>kute1248</t>
  </si>
  <si>
    <t>Fikyu</t>
  </si>
  <si>
    <t>fila1237</t>
  </si>
  <si>
    <t>mele1250</t>
  </si>
  <si>
    <t>Fila</t>
  </si>
  <si>
    <t>fili1243</t>
  </si>
  <si>
    <t>Fililwa</t>
  </si>
  <si>
    <t>fili1244</t>
  </si>
  <si>
    <t>taga1269</t>
  </si>
  <si>
    <t>Filipino</t>
  </si>
  <si>
    <t>fil</t>
  </si>
  <si>
    <t>fili1245</t>
  </si>
  <si>
    <t>Filifita</t>
  </si>
  <si>
    <t>filo1235</t>
  </si>
  <si>
    <t>Filomeno Mata Totonac</t>
  </si>
  <si>
    <t>tlp</t>
  </si>
  <si>
    <t>fina1240</t>
  </si>
  <si>
    <t>Finasleigh Pama</t>
  </si>
  <si>
    <t>fina1241</t>
  </si>
  <si>
    <t>Finanga</t>
  </si>
  <si>
    <t>Finallig</t>
  </si>
  <si>
    <t>bkb</t>
  </si>
  <si>
    <t>fing1234</t>
  </si>
  <si>
    <t>Fingallian</t>
  </si>
  <si>
    <t>fini1244</t>
  </si>
  <si>
    <t>Finisterre-Huon</t>
  </si>
  <si>
    <t>Finisterre-Saruwaged</t>
  </si>
  <si>
    <t>finl1235</t>
  </si>
  <si>
    <t>finn1319</t>
  </si>
  <si>
    <t>Finland-Swedish Sign Language</t>
  </si>
  <si>
    <t>fss</t>
  </si>
  <si>
    <t>FI</t>
  </si>
  <si>
    <t>finn1310</t>
  </si>
  <si>
    <t>Finnish Sign Language</t>
  </si>
  <si>
    <t>fse</t>
  </si>
  <si>
    <t>Finnic</t>
  </si>
  <si>
    <t>nucl1717</t>
  </si>
  <si>
    <t>Finnish</t>
  </si>
  <si>
    <t>EE FI NO RU SE</t>
  </si>
  <si>
    <t>swed1257</t>
  </si>
  <si>
    <t>Finnish Sign</t>
  </si>
  <si>
    <t>fino1238</t>
  </si>
  <si>
    <t>finu1234</t>
  </si>
  <si>
    <t>Finongan</t>
  </si>
  <si>
    <t>fag</t>
  </si>
  <si>
    <t>Finungwan-Mamaa-Gusan</t>
  </si>
  <si>
    <t>fioo1234</t>
  </si>
  <si>
    <t>uncl1497</t>
  </si>
  <si>
    <t>Fio</t>
  </si>
  <si>
    <t>fior1235</t>
  </si>
  <si>
    <t>Fiorentino</t>
  </si>
  <si>
    <t>fior1236</t>
  </si>
  <si>
    <t>Old Italian</t>
  </si>
  <si>
    <t>fipa1238</t>
  </si>
  <si>
    <t>fipa1240</t>
  </si>
  <si>
    <t>Fipa</t>
  </si>
  <si>
    <t>fip</t>
  </si>
  <si>
    <t>MW TZ</t>
  </si>
  <si>
    <t>Fipaic</t>
  </si>
  <si>
    <t>fira1238</t>
  </si>
  <si>
    <t>Firan</t>
  </si>
  <si>
    <t>fir</t>
  </si>
  <si>
    <t>firi1238</t>
  </si>
  <si>
    <t>yalu1240</t>
  </si>
  <si>
    <t>Firia</t>
  </si>
  <si>
    <t>firo1239</t>
  </si>
  <si>
    <t>Firozkohi</t>
  </si>
  <si>
    <t>First Vernacular Hmong</t>
  </si>
  <si>
    <t>fiwa1240</t>
  </si>
  <si>
    <t>Fiwaga</t>
  </si>
  <si>
    <t>fiw</t>
  </si>
  <si>
    <t>fiya1238</t>
  </si>
  <si>
    <t>nobi1240</t>
  </si>
  <si>
    <t>Fiyadikka</t>
  </si>
  <si>
    <t>fjaa1238</t>
  </si>
  <si>
    <t>Fjaalib</t>
  </si>
  <si>
    <t>fkar1237</t>
  </si>
  <si>
    <t>west1493</t>
  </si>
  <si>
    <t>tehi1237</t>
  </si>
  <si>
    <t>Fkar</t>
  </si>
  <si>
    <t>flak1238</t>
  </si>
  <si>
    <t>Flakkees</t>
  </si>
  <si>
    <t>flec1235</t>
  </si>
  <si>
    <t>Flecheiros</t>
  </si>
  <si>
    <t>fleo1238</t>
  </si>
  <si>
    <t>Fleo</t>
  </si>
  <si>
    <t>flin1247</t>
  </si>
  <si>
    <t>Flinders Island</t>
  </si>
  <si>
    <t>fln</t>
  </si>
  <si>
    <t>wika1239</t>
  </si>
  <si>
    <t>Flinders-Barrow</t>
  </si>
  <si>
    <t>flod1234</t>
  </si>
  <si>
    <t>Floda</t>
  </si>
  <si>
    <t>flor1239</t>
  </si>
  <si>
    <t>Flores-Lembata</t>
  </si>
  <si>
    <t>flor1240</t>
  </si>
  <si>
    <t>Flores-Sumba-Hawu</t>
  </si>
  <si>
    <t>flor1241</t>
  </si>
  <si>
    <t>Flores Barat</t>
  </si>
  <si>
    <t>flor1242</t>
  </si>
  <si>
    <t>Flores Lamaholot</t>
  </si>
  <si>
    <t>flor1243</t>
  </si>
  <si>
    <t>sout3300</t>
  </si>
  <si>
    <t>Florida English</t>
  </si>
  <si>
    <t>flup1238</t>
  </si>
  <si>
    <t>Fluplands</t>
  </si>
  <si>
    <t>fluv1238</t>
  </si>
  <si>
    <t>Fluvial</t>
  </si>
  <si>
    <t>flyr1238</t>
  </si>
  <si>
    <t>Fly River</t>
  </si>
  <si>
    <t>fnqi1234</t>
  </si>
  <si>
    <t>Far North Queensland Indigenous Sign Language</t>
  </si>
  <si>
    <t>foau1240</t>
  </si>
  <si>
    <t>Foau</t>
  </si>
  <si>
    <t>flh</t>
  </si>
  <si>
    <t>foda1238</t>
  </si>
  <si>
    <t>Fodara</t>
  </si>
  <si>
    <t>fogi1237</t>
  </si>
  <si>
    <t>Fogi</t>
  </si>
  <si>
    <t>insu1255</t>
  </si>
  <si>
    <t>F√∂hr-Amrum</t>
  </si>
  <si>
    <t>foia1236</t>
  </si>
  <si>
    <t>Foia Foia</t>
  </si>
  <si>
    <t>ffi</t>
  </si>
  <si>
    <t>foii1241</t>
  </si>
  <si>
    <t>Foi</t>
  </si>
  <si>
    <t>foi</t>
  </si>
  <si>
    <t>foii1242</t>
  </si>
  <si>
    <t>iauu1242</t>
  </si>
  <si>
    <t>Foi (Iau)</t>
  </si>
  <si>
    <t>fole1238</t>
  </si>
  <si>
    <t>Folepi</t>
  </si>
  <si>
    <t>Folopa</t>
  </si>
  <si>
    <t>ppo</t>
  </si>
  <si>
    <t>foma1238</t>
  </si>
  <si>
    <t>Foma</t>
  </si>
  <si>
    <t>fom</t>
  </si>
  <si>
    <t>fond1238</t>
  </si>
  <si>
    <t>Fondebougou</t>
  </si>
  <si>
    <t>fong1242</t>
  </si>
  <si>
    <t>Fong</t>
  </si>
  <si>
    <t>fong1243</t>
  </si>
  <si>
    <t>Fongoro</t>
  </si>
  <si>
    <t>fgr</t>
  </si>
  <si>
    <t>CF SD TD</t>
  </si>
  <si>
    <t>fony1238</t>
  </si>
  <si>
    <t>Fonyi</t>
  </si>
  <si>
    <t>food1238</t>
  </si>
  <si>
    <t>giky1241</t>
  </si>
  <si>
    <t>Foodo</t>
  </si>
  <si>
    <t>fod</t>
  </si>
  <si>
    <t>fool1238</t>
  </si>
  <si>
    <t>Foolo</t>
  </si>
  <si>
    <t>fopo1238</t>
  </si>
  <si>
    <t>Fopo-Bua</t>
  </si>
  <si>
    <t>fora1244</t>
  </si>
  <si>
    <t>Fora</t>
  </si>
  <si>
    <t>fora1245</t>
  </si>
  <si>
    <t>Forak</t>
  </si>
  <si>
    <t>frq</t>
  </si>
  <si>
    <t>ford1242</t>
  </si>
  <si>
    <t>keif1237</t>
  </si>
  <si>
    <t>Fordata</t>
  </si>
  <si>
    <t>frd</t>
  </si>
  <si>
    <t>ford1243</t>
  </si>
  <si>
    <t>Fordata-Larat I</t>
  </si>
  <si>
    <t>ford1244</t>
  </si>
  <si>
    <t>Fordata-Larat II</t>
  </si>
  <si>
    <t>fore1265</t>
  </si>
  <si>
    <t>Forest Enets</t>
  </si>
  <si>
    <t>enf</t>
  </si>
  <si>
    <t>fore1266</t>
  </si>
  <si>
    <t>Pur Nenets</t>
  </si>
  <si>
    <t>fore1267</t>
  </si>
  <si>
    <t>yemb1246</t>
  </si>
  <si>
    <t>Foreke Dschan</t>
  </si>
  <si>
    <t>fore1268</t>
  </si>
  <si>
    <t>Forest Maninka</t>
  </si>
  <si>
    <t>myq</t>
  </si>
  <si>
    <t>fore1270</t>
  </si>
  <si>
    <t>fore1273</t>
  </si>
  <si>
    <t>Fore</t>
  </si>
  <si>
    <t>for</t>
  </si>
  <si>
    <t>fore1271</t>
  </si>
  <si>
    <t>niva1238</t>
  </si>
  <si>
    <t>Forest Nivacl√©</t>
  </si>
  <si>
    <t>fore1272</t>
  </si>
  <si>
    <t>kivu1239</t>
  </si>
  <si>
    <t>Forest Kivu</t>
  </si>
  <si>
    <t>nucl1760</t>
  </si>
  <si>
    <t>Fore-Gimi</t>
  </si>
  <si>
    <t>nene1251</t>
  </si>
  <si>
    <t>Forest Nenets</t>
  </si>
  <si>
    <t>forr1234</t>
  </si>
  <si>
    <t>nort2751</t>
  </si>
  <si>
    <t>Forrest River</t>
  </si>
  <si>
    <t>fort1240</t>
  </si>
  <si>
    <t>Kiai</t>
  </si>
  <si>
    <t>frt</t>
  </si>
  <si>
    <t>four1238</t>
  </si>
  <si>
    <t>Fourgoula</t>
  </si>
  <si>
    <t>fowe1238</t>
  </si>
  <si>
    <t>Fowe</t>
  </si>
  <si>
    <t>foxx1245</t>
  </si>
  <si>
    <t>Fox</t>
  </si>
  <si>
    <t>fraf1238</t>
  </si>
  <si>
    <t>Frafra</t>
  </si>
  <si>
    <t>moss1237</t>
  </si>
  <si>
    <t>Farefareic</t>
  </si>
  <si>
    <t>Arpitan</t>
  </si>
  <si>
    <t>frp</t>
  </si>
  <si>
    <t>CH FR IT</t>
  </si>
  <si>
    <t>fran1262</t>
  </si>
  <si>
    <t>Franche-Comtois</t>
  </si>
  <si>
    <t>fran1263</t>
  </si>
  <si>
    <t>Franco-Ontarien</t>
  </si>
  <si>
    <t>fran1264</t>
  </si>
  <si>
    <t>oldd1237</t>
  </si>
  <si>
    <t>Old Frankish</t>
  </si>
  <si>
    <t>frk</t>
  </si>
  <si>
    <t>fran1265</t>
  </si>
  <si>
    <t>vlaa1240</t>
  </si>
  <si>
    <t>Frans-Westhoek Vlaams</t>
  </si>
  <si>
    <t>Francisco Le√≥n Zoque</t>
  </si>
  <si>
    <t>zos</t>
  </si>
  <si>
    <t>fran1267</t>
  </si>
  <si>
    <t>Francais Tirailleur</t>
  </si>
  <si>
    <t>high1289</t>
  </si>
  <si>
    <t>Middle German</t>
  </si>
  <si>
    <t>Francoprovencalic</t>
  </si>
  <si>
    <t>fran1270</t>
  </si>
  <si>
    <t>Franc-Comtois</t>
  </si>
  <si>
    <t>fran1271</t>
  </si>
  <si>
    <t>Frans Vlaams</t>
  </si>
  <si>
    <t>fras1238</t>
  </si>
  <si>
    <t>Frassilongo</t>
  </si>
  <si>
    <t>fren1243</t>
  </si>
  <si>
    <t>French Sign Language</t>
  </si>
  <si>
    <t>fsl</t>
  </si>
  <si>
    <t>FR TG</t>
  </si>
  <si>
    <t>fren1278</t>
  </si>
  <si>
    <t>French-Cree</t>
  </si>
  <si>
    <t>French-based pidgin</t>
  </si>
  <si>
    <t>fren1280</t>
  </si>
  <si>
    <t>French Harbour Sign Language</t>
  </si>
  <si>
    <t>frib1234</t>
  </si>
  <si>
    <t>Fribourg German</t>
  </si>
  <si>
    <t>fris1239</t>
  </si>
  <si>
    <t>Frisian</t>
  </si>
  <si>
    <t>gall1280</t>
  </si>
  <si>
    <t>Friulian</t>
  </si>
  <si>
    <t>fur</t>
  </si>
  <si>
    <t>AT IT</t>
  </si>
  <si>
    <t>fufu1238</t>
  </si>
  <si>
    <t>Fufula</t>
  </si>
  <si>
    <t>fuga1235</t>
  </si>
  <si>
    <t>yems1235</t>
  </si>
  <si>
    <t>Fuga of Jimma</t>
  </si>
  <si>
    <t>fugu1238</t>
  </si>
  <si>
    <t>Fu-Guang</t>
  </si>
  <si>
    <t>fuji1236</t>
  </si>
  <si>
    <t>hokk1242</t>
  </si>
  <si>
    <t>Zhangzhou</t>
  </si>
  <si>
    <t>fuka1239</t>
  </si>
  <si>
    <t>mape1249</t>
  </si>
  <si>
    <t>Fukac</t>
  </si>
  <si>
    <t>fuku1241</t>
  </si>
  <si>
    <t>hoku1242</t>
  </si>
  <si>
    <t>Fukui</t>
  </si>
  <si>
    <t>fuku1242</t>
  </si>
  <si>
    <t>Fukuyama</t>
  </si>
  <si>
    <t>fuku1243</t>
  </si>
  <si>
    <t>Fukushima</t>
  </si>
  <si>
    <t>peul1234</t>
  </si>
  <si>
    <t>Fula</t>
  </si>
  <si>
    <t>Eastern Fula</t>
  </si>
  <si>
    <t>fula1267</t>
  </si>
  <si>
    <t>pula1262</t>
  </si>
  <si>
    <t>Fula Peta</t>
  </si>
  <si>
    <t>fula1268</t>
  </si>
  <si>
    <t>pula1263</t>
  </si>
  <si>
    <t>Fulacunda</t>
  </si>
  <si>
    <t>fula1270</t>
  </si>
  <si>
    <t>kita1249</t>
  </si>
  <si>
    <t>Fulanke</t>
  </si>
  <si>
    <t>fuli1240</t>
  </si>
  <si>
    <t>fuli1242</t>
  </si>
  <si>
    <t>Fuliiru</t>
  </si>
  <si>
    <t>flr</t>
  </si>
  <si>
    <t>BI CD</t>
  </si>
  <si>
    <t>fuli1241</t>
  </si>
  <si>
    <t>Fuliiric</t>
  </si>
  <si>
    <t>Fuliiru-Vira</t>
  </si>
  <si>
    <t>fuln1247</t>
  </si>
  <si>
    <t>Fulni√¥</t>
  </si>
  <si>
    <t>fun</t>
  </si>
  <si>
    <t>fuln1248</t>
  </si>
  <si>
    <t>Fulni√¥ Proper</t>
  </si>
  <si>
    <t>fumm1238</t>
  </si>
  <si>
    <t>Fum</t>
  </si>
  <si>
    <t>fum</t>
  </si>
  <si>
    <t>funa1237</t>
  </si>
  <si>
    <t>helo1243</t>
  </si>
  <si>
    <t>Funai</t>
  </si>
  <si>
    <t>fund1238</t>
  </si>
  <si>
    <t>Fundi</t>
  </si>
  <si>
    <t>fung1245</t>
  </si>
  <si>
    <t>Fungwa</t>
  </si>
  <si>
    <t>ula</t>
  </si>
  <si>
    <t>fung1246</t>
  </si>
  <si>
    <t>Fungwe</t>
  </si>
  <si>
    <t>fung1247</t>
  </si>
  <si>
    <t>Fungom</t>
  </si>
  <si>
    <t>Furan</t>
  </si>
  <si>
    <t>Fur</t>
  </si>
  <si>
    <t>furs1241</t>
  </si>
  <si>
    <t>Fursum</t>
  </si>
  <si>
    <t>furu1238</t>
  </si>
  <si>
    <t>Furupagha</t>
  </si>
  <si>
    <t>furu1242</t>
  </si>
  <si>
    <t>Furu</t>
  </si>
  <si>
    <t>fuu</t>
  </si>
  <si>
    <t>mele1252</t>
  </si>
  <si>
    <t>Futuna-Aniwa</t>
  </si>
  <si>
    <t>fut</t>
  </si>
  <si>
    <t>fuum1238</t>
  </si>
  <si>
    <t>teke1274</t>
  </si>
  <si>
    <t>Fuumu</t>
  </si>
  <si>
    <t>Fuyug</t>
  </si>
  <si>
    <t>fuy</t>
  </si>
  <si>
    <t>fuzh1239</t>
  </si>
  <si>
    <t>mind1253</t>
  </si>
  <si>
    <t>Fuzhou</t>
  </si>
  <si>
    <t>fwai1237</t>
  </si>
  <si>
    <t>hyen1234</t>
  </si>
  <si>
    <t>Fw√¢i</t>
  </si>
  <si>
    <t>fwa</t>
  </si>
  <si>
    <t>fwee1238</t>
  </si>
  <si>
    <t>zamb1244</t>
  </si>
  <si>
    <t>Fwe</t>
  </si>
  <si>
    <t>fwe</t>
  </si>
  <si>
    <t>BW NA ZM</t>
  </si>
  <si>
    <t>fyam1238</t>
  </si>
  <si>
    <t>horo1248</t>
  </si>
  <si>
    <t>Fyam</t>
  </si>
  <si>
    <t>pym</t>
  </si>
  <si>
    <t>fyer1240</t>
  </si>
  <si>
    <t>west2716</t>
  </si>
  <si>
    <t>Fyer-Tambas</t>
  </si>
  <si>
    <t>fyer1241</t>
  </si>
  <si>
    <t>Fyer</t>
  </si>
  <si>
    <t>fie</t>
  </si>
  <si>
    <t>gaaa1244</t>
  </si>
  <si>
    <t>Ga</t>
  </si>
  <si>
    <t>gaa</t>
  </si>
  <si>
    <t>gaaa1245</t>
  </si>
  <si>
    <t>Gaa</t>
  </si>
  <si>
    <t>ttb</t>
  </si>
  <si>
    <t>gaak1238</t>
  </si>
  <si>
    <t>G||aakhwe</t>
  </si>
  <si>
    <t>gaal1238</t>
  </si>
  <si>
    <t>Gaalpu</t>
  </si>
  <si>
    <t>Gaam</t>
  </si>
  <si>
    <t>tbi</t>
  </si>
  <si>
    <t>gaan1243</t>
  </si>
  <si>
    <t>Ga'anda</t>
  </si>
  <si>
    <t>gqa</t>
  </si>
  <si>
    <t>gaan1244</t>
  </si>
  <si>
    <t>Gaan Dan</t>
  </si>
  <si>
    <t>gabi1241</t>
  </si>
  <si>
    <t>niks1238</t>
  </si>
  <si>
    <t>Gabiano</t>
  </si>
  <si>
    <t>gabi1247</t>
  </si>
  <si>
    <t>Gabin</t>
  </si>
  <si>
    <t>gabi1248</t>
  </si>
  <si>
    <t>Gabigabi</t>
  </si>
  <si>
    <t>gabl1238</t>
  </si>
  <si>
    <t>kaba1292</t>
  </si>
  <si>
    <t>Gablai</t>
  </si>
  <si>
    <t>gabo1234</t>
  </si>
  <si>
    <t>gueb1239</t>
  </si>
  <si>
    <t>Gabogbo</t>
  </si>
  <si>
    <t>gie</t>
  </si>
  <si>
    <t>gabr1253</t>
  </si>
  <si>
    <t>gabr1256</t>
  </si>
  <si>
    <t>Gabri</t>
  </si>
  <si>
    <t>gab</t>
  </si>
  <si>
    <t>gabr1254</t>
  </si>
  <si>
    <t>toba1280</t>
  </si>
  <si>
    <t>Gabri-North</t>
  </si>
  <si>
    <t>gabr1255</t>
  </si>
  <si>
    <t>Gabra</t>
  </si>
  <si>
    <t>Gabri-Kimre</t>
  </si>
  <si>
    <t>gabu1246</t>
  </si>
  <si>
    <t>iged1239</t>
  </si>
  <si>
    <t>Gabu</t>
  </si>
  <si>
    <t>gabu1247</t>
  </si>
  <si>
    <t>Gabula</t>
  </si>
  <si>
    <t>gabu1248</t>
  </si>
  <si>
    <t>Gabutamon</t>
  </si>
  <si>
    <t>gav</t>
  </si>
  <si>
    <t>gach1239</t>
  </si>
  <si>
    <t>Gachikolo</t>
  </si>
  <si>
    <t>kwav1236</t>
  </si>
  <si>
    <t>Ga-Dangme</t>
  </si>
  <si>
    <t>gada1258</t>
  </si>
  <si>
    <t>Ga'dang</t>
  </si>
  <si>
    <t>gdg</t>
  </si>
  <si>
    <t>gada1262</t>
  </si>
  <si>
    <t>Gadang</t>
  </si>
  <si>
    <t>gdk</t>
  </si>
  <si>
    <t>gada1263</t>
  </si>
  <si>
    <t>Gadam-Bara</t>
  </si>
  <si>
    <t>Gaddi</t>
  </si>
  <si>
    <t>gbk</t>
  </si>
  <si>
    <t>gadd1244</t>
  </si>
  <si>
    <t>Gaddang</t>
  </si>
  <si>
    <t>gad</t>
  </si>
  <si>
    <t>Gaddangic</t>
  </si>
  <si>
    <t>gade1236</t>
  </si>
  <si>
    <t>mewa1253</t>
  </si>
  <si>
    <t>Gade Lohar</t>
  </si>
  <si>
    <t>gda</t>
  </si>
  <si>
    <t>gade1242</t>
  </si>
  <si>
    <t>Gade</t>
  </si>
  <si>
    <t>ged</t>
  </si>
  <si>
    <t>gadi1238</t>
  </si>
  <si>
    <t>Gadi Chameali</t>
  </si>
  <si>
    <t>gadj1243</t>
  </si>
  <si>
    <t>Gajirrabeng</t>
  </si>
  <si>
    <t>gdh</t>
  </si>
  <si>
    <t>gadj1244</t>
  </si>
  <si>
    <t>Gadjira</t>
  </si>
  <si>
    <t>gads1256</t>
  </si>
  <si>
    <t>sint1235</t>
  </si>
  <si>
    <t>Gadschkene</t>
  </si>
  <si>
    <t>gads1258</t>
  </si>
  <si>
    <t>Gadsup</t>
  </si>
  <si>
    <t>gaj</t>
  </si>
  <si>
    <t>Gadsup-Agarabi</t>
  </si>
  <si>
    <t>gady1241</t>
  </si>
  <si>
    <t>Gadyri</t>
  </si>
  <si>
    <t>gady1242</t>
  </si>
  <si>
    <t>Gadyaga</t>
  </si>
  <si>
    <t>gaee1238</t>
  </si>
  <si>
    <t>ghar1239</t>
  </si>
  <si>
    <t>Gae</t>
  </si>
  <si>
    <t>gaen1235</t>
  </si>
  <si>
    <t>Gaena-Korafe</t>
  </si>
  <si>
    <t>gafa1240</t>
  </si>
  <si>
    <t>ngro1237</t>
  </si>
  <si>
    <t>Gafat</t>
  </si>
  <si>
    <t>gft</t>
  </si>
  <si>
    <t>Gagauz</t>
  </si>
  <si>
    <t>gag</t>
  </si>
  <si>
    <t>BG MD RO UA</t>
  </si>
  <si>
    <t>gaga1250</t>
  </si>
  <si>
    <t>Gagatl</t>
  </si>
  <si>
    <t>gaga1251</t>
  </si>
  <si>
    <t>Gaagudju</t>
  </si>
  <si>
    <t>gbu</t>
  </si>
  <si>
    <t>gagn1235</t>
  </si>
  <si>
    <t>Gagnoa B√©t√©</t>
  </si>
  <si>
    <t>btg</t>
  </si>
  <si>
    <t>gagn1236</t>
  </si>
  <si>
    <t>Gagnef</t>
  </si>
  <si>
    <t>Gban</t>
  </si>
  <si>
    <t>ggu</t>
  </si>
  <si>
    <t>gaho1238</t>
  </si>
  <si>
    <t>Gahore</t>
  </si>
  <si>
    <t>gahr1239</t>
  </si>
  <si>
    <t>Bunan</t>
  </si>
  <si>
    <t>bfu</t>
  </si>
  <si>
    <t>Gahuku</t>
  </si>
  <si>
    <t>gaik1241</t>
  </si>
  <si>
    <t>Gaika</t>
  </si>
  <si>
    <t>gaik1242</t>
  </si>
  <si>
    <t>Gaikundi</t>
  </si>
  <si>
    <t>gbf</t>
  </si>
  <si>
    <t>gail1235</t>
  </si>
  <si>
    <t>Gail</t>
  </si>
  <si>
    <t>gic</t>
  </si>
  <si>
    <t>Gaina</t>
  </si>
  <si>
    <t>gcn</t>
  </si>
  <si>
    <t>gair1238</t>
  </si>
  <si>
    <t>maiw1251</t>
  </si>
  <si>
    <t>Gairen</t>
  </si>
  <si>
    <t>gaji1238</t>
  </si>
  <si>
    <t>Gajili</t>
  </si>
  <si>
    <t>gajo1239</t>
  </si>
  <si>
    <t>Gajol</t>
  </si>
  <si>
    <t>gakv1238</t>
  </si>
  <si>
    <t>Gakvari</t>
  </si>
  <si>
    <t>gala1252</t>
  </si>
  <si>
    <t>Galatian</t>
  </si>
  <si>
    <t>xga</t>
  </si>
  <si>
    <t>gala1253</t>
  </si>
  <si>
    <t>Galaba</t>
  </si>
  <si>
    <t>gala1254</t>
  </si>
  <si>
    <t>jibu1239</t>
  </si>
  <si>
    <t>Galamjina</t>
  </si>
  <si>
    <t>gala1263</t>
  </si>
  <si>
    <t>Gala</t>
  </si>
  <si>
    <t>gala1264</t>
  </si>
  <si>
    <t>gala1265</t>
  </si>
  <si>
    <t>Galambu</t>
  </si>
  <si>
    <t>glo</t>
  </si>
  <si>
    <t>nucl1735</t>
  </si>
  <si>
    <t>Galambu-Bele</t>
  </si>
  <si>
    <t>gala1266</t>
  </si>
  <si>
    <t>Galamkya</t>
  </si>
  <si>
    <t>gale1256</t>
  </si>
  <si>
    <t>gila1241</t>
  </si>
  <si>
    <t>Galeshi</t>
  </si>
  <si>
    <t>Galeya</t>
  </si>
  <si>
    <t>gar</t>
  </si>
  <si>
    <t>gale1258</t>
  </si>
  <si>
    <t>Galeg</t>
  </si>
  <si>
    <t>gale1259</t>
  </si>
  <si>
    <t>gale1261</t>
  </si>
  <si>
    <t>Galela</t>
  </si>
  <si>
    <t>gbi</t>
  </si>
  <si>
    <t>gale1260</t>
  </si>
  <si>
    <t>Galera</t>
  </si>
  <si>
    <t>main1282</t>
  </si>
  <si>
    <t>Galela-Loloda</t>
  </si>
  <si>
    <t>galg1238</t>
  </si>
  <si>
    <t>Kalkatungic</t>
  </si>
  <si>
    <t>gali1257</t>
  </si>
  <si>
    <t>Galician Portuguese</t>
  </si>
  <si>
    <t>Galician</t>
  </si>
  <si>
    <t>glg</t>
  </si>
  <si>
    <t>gali1259</t>
  </si>
  <si>
    <t>Galician Romani</t>
  </si>
  <si>
    <t>gali1260</t>
  </si>
  <si>
    <t>sout3266</t>
  </si>
  <si>
    <t>Halych Karaim</t>
  </si>
  <si>
    <t>gali1261</t>
  </si>
  <si>
    <t>Galice</t>
  </si>
  <si>
    <t>gce</t>
  </si>
  <si>
    <t>Galibi Carib</t>
  </si>
  <si>
    <t>BR GF GY SR VE</t>
  </si>
  <si>
    <t>Galician Romance</t>
  </si>
  <si>
    <t>gali1266</t>
  </si>
  <si>
    <t>Galibi-based pidgin</t>
  </si>
  <si>
    <t>gali1267</t>
  </si>
  <si>
    <t>Galibal</t>
  </si>
  <si>
    <t>gall1275</t>
  </si>
  <si>
    <t>Gallo</t>
  </si>
  <si>
    <t>gall1276</t>
  </si>
  <si>
    <t>Gallurese Sardinian</t>
  </si>
  <si>
    <t>sdn</t>
  </si>
  <si>
    <t>gall1277</t>
  </si>
  <si>
    <t>torn1244</t>
  </si>
  <si>
    <t>G√§llivare Finnish</t>
  </si>
  <si>
    <t>gall1278</t>
  </si>
  <si>
    <t>Gal</t>
  </si>
  <si>
    <t>gap</t>
  </si>
  <si>
    <t>nort3208</t>
  </si>
  <si>
    <t>Gallo-Italian</t>
  </si>
  <si>
    <t>Gallo-Rhaetian</t>
  </si>
  <si>
    <t>galo1242</t>
  </si>
  <si>
    <t>Galo</t>
  </si>
  <si>
    <t>adl</t>
  </si>
  <si>
    <t>Galoli-Talur</t>
  </si>
  <si>
    <t>gal</t>
  </si>
  <si>
    <t>galu1239</t>
  </si>
  <si>
    <t>Galubwa</t>
  </si>
  <si>
    <t>Galu-Alu</t>
  </si>
  <si>
    <t>galw1238</t>
  </si>
  <si>
    <t>Galwa</t>
  </si>
  <si>
    <t>gama1250</t>
  </si>
  <si>
    <t>Gamadia</t>
  </si>
  <si>
    <t>gama1251</t>
  </si>
  <si>
    <t>kham1286</t>
  </si>
  <si>
    <t>Gamale Kham</t>
  </si>
  <si>
    <t>kgj</t>
  </si>
  <si>
    <t>gama1252</t>
  </si>
  <si>
    <t>waga1268</t>
  </si>
  <si>
    <t>Gamadoudou</t>
  </si>
  <si>
    <t>gama1253</t>
  </si>
  <si>
    <t>Gamaewe</t>
  </si>
  <si>
    <t>gama1254</t>
  </si>
  <si>
    <t>Gama</t>
  </si>
  <si>
    <t>gama1258</t>
  </si>
  <si>
    <t>wand1278</t>
  </si>
  <si>
    <t>Gamargu</t>
  </si>
  <si>
    <t>gama1259</t>
  </si>
  <si>
    <t>Gama Dan</t>
  </si>
  <si>
    <t>gamb1251</t>
  </si>
  <si>
    <t>Gambera</t>
  </si>
  <si>
    <t>gma</t>
  </si>
  <si>
    <t>gamb1252</t>
  </si>
  <si>
    <t>wolo1247</t>
  </si>
  <si>
    <t>Gambian Wolof</t>
  </si>
  <si>
    <t>wof</t>
  </si>
  <si>
    <t>GM SN</t>
  </si>
  <si>
    <t>gamb1253</t>
  </si>
  <si>
    <t>Gambai</t>
  </si>
  <si>
    <t>gamb1258</t>
  </si>
  <si>
    <t>Gamboura</t>
  </si>
  <si>
    <t>gamb1259</t>
  </si>
  <si>
    <t>Gambian Sign Language</t>
  </si>
  <si>
    <t>GM</t>
  </si>
  <si>
    <t>gamd1238</t>
  </si>
  <si>
    <t>Gamdugun</t>
  </si>
  <si>
    <t>game1240</t>
  </si>
  <si>
    <t>Gamela of Viana</t>
  </si>
  <si>
    <t>game1243</t>
  </si>
  <si>
    <t>Gameta</t>
  </si>
  <si>
    <t>gami1242</t>
  </si>
  <si>
    <t>Gamit</t>
  </si>
  <si>
    <t>gbl</t>
  </si>
  <si>
    <t>gami1243</t>
  </si>
  <si>
    <t>wira1261</t>
  </si>
  <si>
    <t>Yuwaalaraay-Gamilaraay</t>
  </si>
  <si>
    <t>kld</t>
  </si>
  <si>
    <t>gami1244</t>
  </si>
  <si>
    <t>Gamila</t>
  </si>
  <si>
    <t>gami1251</t>
  </si>
  <si>
    <t>Gamiya</t>
  </si>
  <si>
    <t>gamk1238</t>
  </si>
  <si>
    <t>nucl1759</t>
  </si>
  <si>
    <t>Gamkonora</t>
  </si>
  <si>
    <t>gak</t>
  </si>
  <si>
    <t>gamo1241</t>
  </si>
  <si>
    <t>ning1277</t>
  </si>
  <si>
    <t>Gamo-Ningi</t>
  </si>
  <si>
    <t>bte</t>
  </si>
  <si>
    <t>gamo1242</t>
  </si>
  <si>
    <t>Gamo (Nigeria)</t>
  </si>
  <si>
    <t>gamo1244</t>
  </si>
  <si>
    <t>Gamo-Gofa-Dawro</t>
  </si>
  <si>
    <t>gmo</t>
  </si>
  <si>
    <t>gams1239</t>
  </si>
  <si>
    <t>Gamsawa</t>
  </si>
  <si>
    <t>gamt1238</t>
  </si>
  <si>
    <t>mawc1242</t>
  </si>
  <si>
    <t>Gamti</t>
  </si>
  <si>
    <t>gana1267</t>
  </si>
  <si>
    <t>kado1242</t>
  </si>
  <si>
    <t>Ganaan</t>
  </si>
  <si>
    <t>zkn</t>
  </si>
  <si>
    <t>gana1268</t>
  </si>
  <si>
    <t>gana1279</t>
  </si>
  <si>
    <t>Birrdhawal</t>
  </si>
  <si>
    <t>ihw</t>
  </si>
  <si>
    <t>gana1269</t>
  </si>
  <si>
    <t>Ganalbingu</t>
  </si>
  <si>
    <t>gana1270</t>
  </si>
  <si>
    <t>Ganang</t>
  </si>
  <si>
    <t>gne</t>
  </si>
  <si>
    <t>gana1271</t>
  </si>
  <si>
    <t>lere1241</t>
  </si>
  <si>
    <t>Gana (Nigeria)</t>
  </si>
  <si>
    <t>gana1272</t>
  </si>
  <si>
    <t>Gananwa</t>
  </si>
  <si>
    <t>gana1273</t>
  </si>
  <si>
    <t>Ganadugu</t>
  </si>
  <si>
    <t>//Gana</t>
  </si>
  <si>
    <t>gnk</t>
  </si>
  <si>
    <t>gana1275</t>
  </si>
  <si>
    <t>G||anakhwe</t>
  </si>
  <si>
    <t>gana1276</t>
  </si>
  <si>
    <t>Gan√°di</t>
  </si>
  <si>
    <t>gana1277</t>
  </si>
  <si>
    <t>Gana</t>
  </si>
  <si>
    <t>gnq</t>
  </si>
  <si>
    <t>gana1278</t>
  </si>
  <si>
    <t>Ganai</t>
  </si>
  <si>
    <t>unn</t>
  </si>
  <si>
    <t>Ganaic</t>
  </si>
  <si>
    <t>ganc1238</t>
  </si>
  <si>
    <t>Ganching</t>
  </si>
  <si>
    <t>midd1354</t>
  </si>
  <si>
    <t>Gan Chinese</t>
  </si>
  <si>
    <t>gan</t>
  </si>
  <si>
    <t>gand1253</t>
  </si>
  <si>
    <t>Ganda (Bengali)</t>
  </si>
  <si>
    <t>Kaansa-Dogose</t>
  </si>
  <si>
    <t>nort3220</t>
  </si>
  <si>
    <t>gand1256</t>
  </si>
  <si>
    <t>Ganda-Kiaka</t>
  </si>
  <si>
    <t>gand1257</t>
  </si>
  <si>
    <t>wawa1246</t>
  </si>
  <si>
    <t>Gandua</t>
  </si>
  <si>
    <t>gane1237</t>
  </si>
  <si>
    <t>Gane</t>
  </si>
  <si>
    <t>gzn</t>
  </si>
  <si>
    <t>gang1264</t>
  </si>
  <si>
    <t>Gangadi</t>
  </si>
  <si>
    <t>gang1265</t>
  </si>
  <si>
    <t>Gangapari</t>
  </si>
  <si>
    <t>gang1266</t>
  </si>
  <si>
    <t>gang1271</t>
  </si>
  <si>
    <t>Gangte</t>
  </si>
  <si>
    <t>gnb</t>
  </si>
  <si>
    <t>gang1267</t>
  </si>
  <si>
    <t>tang1340</t>
  </si>
  <si>
    <t>sout2758</t>
  </si>
  <si>
    <t>Ganggalida</t>
  </si>
  <si>
    <t>gcd</t>
  </si>
  <si>
    <t>gang1268</t>
  </si>
  <si>
    <t>Gangulu</t>
  </si>
  <si>
    <t>gnl</t>
  </si>
  <si>
    <t>gang1269</t>
  </si>
  <si>
    <t>sero1239</t>
  </si>
  <si>
    <t>!G√£!nge</t>
  </si>
  <si>
    <t>gang1270</t>
  </si>
  <si>
    <t>Ganglau</t>
  </si>
  <si>
    <t>ggl</t>
  </si>
  <si>
    <t>siza1239</t>
  </si>
  <si>
    <t>Gangte-Vaiphei</t>
  </si>
  <si>
    <t>gang1272</t>
  </si>
  <si>
    <t>Gangou</t>
  </si>
  <si>
    <t>ganj1240</t>
  </si>
  <si>
    <t>Ganja</t>
  </si>
  <si>
    <t>ganj1241</t>
  </si>
  <si>
    <t>kach1284</t>
  </si>
  <si>
    <t>Ganjule</t>
  </si>
  <si>
    <t>gank1239</t>
  </si>
  <si>
    <t>oroq1238</t>
  </si>
  <si>
    <t>Gankui</t>
  </si>
  <si>
    <t>gano1234</t>
  </si>
  <si>
    <t>ghan1242</t>
  </si>
  <si>
    <t>Ganoqa</t>
  </si>
  <si>
    <t>gant1243</t>
  </si>
  <si>
    <t>Ganta</t>
  </si>
  <si>
    <t>gant1244</t>
  </si>
  <si>
    <t>Gants</t>
  </si>
  <si>
    <t>gao</t>
  </si>
  <si>
    <t>ganz1245</t>
  </si>
  <si>
    <t>Ganzu</t>
  </si>
  <si>
    <t>ganz1246</t>
  </si>
  <si>
    <t>west2445</t>
  </si>
  <si>
    <t>Ganza</t>
  </si>
  <si>
    <t>gza</t>
  </si>
  <si>
    <t>ganz1247</t>
  </si>
  <si>
    <t>Ganzi</t>
  </si>
  <si>
    <t>gnz</t>
  </si>
  <si>
    <t>gaol1235</t>
  </si>
  <si>
    <t>yuec1235</t>
  </si>
  <si>
    <t>Gaoyang</t>
  </si>
  <si>
    <t>gaol1242</t>
  </si>
  <si>
    <t>Gaoli</t>
  </si>
  <si>
    <t>gaoo1237</t>
  </si>
  <si>
    <t>Gao</t>
  </si>
  <si>
    <t>gga</t>
  </si>
  <si>
    <t>gaoz1234</t>
  </si>
  <si>
    <t>Gaozhou</t>
  </si>
  <si>
    <t>gapa1238</t>
  </si>
  <si>
    <t>Gapapaiwa</t>
  </si>
  <si>
    <t>pwg</t>
  </si>
  <si>
    <t>gaps1234</t>
  </si>
  <si>
    <t>Gapshin-Butrin</t>
  </si>
  <si>
    <t>gara1260</t>
  </si>
  <si>
    <t>kapi1250</t>
  </si>
  <si>
    <t>Garawa (Papua New Guinea)</t>
  </si>
  <si>
    <t>gara1262</t>
  </si>
  <si>
    <t>Garandala</t>
  </si>
  <si>
    <t>gara1263</t>
  </si>
  <si>
    <t>kimm1246</t>
  </si>
  <si>
    <t>Garap</t>
  </si>
  <si>
    <t>gara1267</t>
  </si>
  <si>
    <t>Garawgino</t>
  </si>
  <si>
    <t>Garasia Bhil</t>
  </si>
  <si>
    <t>gara1269</t>
  </si>
  <si>
    <t>garr1260</t>
  </si>
  <si>
    <t>Garrwa</t>
  </si>
  <si>
    <t>wrk</t>
  </si>
  <si>
    <t>garb1238</t>
  </si>
  <si>
    <t>Garbabi</t>
  </si>
  <si>
    <t>gard1241</t>
  </si>
  <si>
    <t>Gardenese</t>
  </si>
  <si>
    <t>gard1242</t>
  </si>
  <si>
    <t>Gar Duguri</t>
  </si>
  <si>
    <t>gard1245</t>
  </si>
  <si>
    <t>occi1240</t>
  </si>
  <si>
    <t>Gardiol</t>
  </si>
  <si>
    <t>gare1237</t>
  </si>
  <si>
    <t>Garea</t>
  </si>
  <si>
    <t>Garhwali</t>
  </si>
  <si>
    <t>gbm</t>
  </si>
  <si>
    <t>gari1253</t>
  </si>
  <si>
    <t>Garig-Ilgar</t>
  </si>
  <si>
    <t>ilg</t>
  </si>
  <si>
    <t>gari1254</t>
  </si>
  <si>
    <t>Garig</t>
  </si>
  <si>
    <t>gari1255</t>
  </si>
  <si>
    <t>kwal1257</t>
  </si>
  <si>
    <t>uare1241</t>
  </si>
  <si>
    <t>Garihe</t>
  </si>
  <si>
    <t>isla1279</t>
  </si>
  <si>
    <t>BZ GT HN NI</t>
  </si>
  <si>
    <t>gark1239</t>
  </si>
  <si>
    <t>Garkin</t>
  </si>
  <si>
    <t>garm1241</t>
  </si>
  <si>
    <t>Garmiyani</t>
  </si>
  <si>
    <t>garm1242</t>
  </si>
  <si>
    <t>Garmalangga</t>
  </si>
  <si>
    <t>garo1248</t>
  </si>
  <si>
    <t>Garoua</t>
  </si>
  <si>
    <t>garo1255</t>
  </si>
  <si>
    <t>Garoua (Bata)</t>
  </si>
  <si>
    <t>garr1238</t>
  </si>
  <si>
    <t>Gar</t>
  </si>
  <si>
    <t>garr1245</t>
  </si>
  <si>
    <t>Garrusi</t>
  </si>
  <si>
    <t>garr1259</t>
  </si>
  <si>
    <t>Garre</t>
  </si>
  <si>
    <t>gex</t>
  </si>
  <si>
    <t>Garrwan</t>
  </si>
  <si>
    <t>gbc</t>
  </si>
  <si>
    <t>garr1261</t>
  </si>
  <si>
    <t>Garreh-Ajuran</t>
  </si>
  <si>
    <t>ggh</t>
  </si>
  <si>
    <t>gart1234</t>
  </si>
  <si>
    <t>mnga1238</t>
  </si>
  <si>
    <t>Gar Tibetan</t>
  </si>
  <si>
    <t>garu1246</t>
  </si>
  <si>
    <t>remp1242</t>
  </si>
  <si>
    <t>Garus</t>
  </si>
  <si>
    <t>gyb</t>
  </si>
  <si>
    <t>hans1243</t>
  </si>
  <si>
    <t>Garuh-Foran</t>
  </si>
  <si>
    <t>garw1238</t>
  </si>
  <si>
    <t>Garwe</t>
  </si>
  <si>
    <t>garz1234</t>
  </si>
  <si>
    <t>Garza</t>
  </si>
  <si>
    <t>xgr</t>
  </si>
  <si>
    <t>Gascon</t>
  </si>
  <si>
    <t>gasc1241</t>
  </si>
  <si>
    <t>Gascon (Retired)</t>
  </si>
  <si>
    <t>gsc</t>
  </si>
  <si>
    <t>gash1245</t>
  </si>
  <si>
    <t>tase1235</t>
  </si>
  <si>
    <t>Gashan</t>
  </si>
  <si>
    <t>gash1250</t>
  </si>
  <si>
    <t>Gashua Bade</t>
  </si>
  <si>
    <t>gash1251</t>
  </si>
  <si>
    <t>Gashowu</t>
  </si>
  <si>
    <t>gasi1239</t>
  </si>
  <si>
    <t>Gasi</t>
  </si>
  <si>
    <t>gasm1237</t>
  </si>
  <si>
    <t>Gasmata</t>
  </si>
  <si>
    <t>gass1238</t>
  </si>
  <si>
    <t>mark1256</t>
  </si>
  <si>
    <t>Gassan</t>
  </si>
  <si>
    <t>gata1239</t>
  </si>
  <si>
    <t>sout3137</t>
  </si>
  <si>
    <t>Gata'</t>
  </si>
  <si>
    <t>gaq</t>
  </si>
  <si>
    <t>gath1234</t>
  </si>
  <si>
    <t>Gathang</t>
  </si>
  <si>
    <t>gatu1238</t>
  </si>
  <si>
    <t>thar1283</t>
  </si>
  <si>
    <t>Gatue</t>
  </si>
  <si>
    <t>gaud1237</t>
  </si>
  <si>
    <t>oriy1254</t>
  </si>
  <si>
    <t>Gauda-Kamrupa</t>
  </si>
  <si>
    <t>Gauda-Banga</t>
  </si>
  <si>
    <t>gaur1239</t>
  </si>
  <si>
    <t>mbul1263</t>
  </si>
  <si>
    <t>Gauru</t>
  </si>
  <si>
    <t>gaur1240</t>
  </si>
  <si>
    <t>teor1240</t>
  </si>
  <si>
    <t>Gaur Kristen</t>
  </si>
  <si>
    <t>kain1274</t>
  </si>
  <si>
    <t>Gauwa</t>
  </si>
  <si>
    <t>gava1240</t>
  </si>
  <si>
    <t>Gava</t>
  </si>
  <si>
    <t>gava1241</t>
  </si>
  <si>
    <t>Gavar</t>
  </si>
  <si>
    <t>gou</t>
  </si>
  <si>
    <t>gava1245</t>
  </si>
  <si>
    <t>Gavar (Aramaic)</t>
  </si>
  <si>
    <t>gavi1246</t>
  </si>
  <si>
    <t>Gavi√£o Do Jiparan√°</t>
  </si>
  <si>
    <t>gvo</t>
  </si>
  <si>
    <t>gavi1247</t>
  </si>
  <si>
    <t>Gavi√£o</t>
  </si>
  <si>
    <t>gavi1250</t>
  </si>
  <si>
    <t>Nuclear Gavianic</t>
  </si>
  <si>
    <t>mond1266</t>
  </si>
  <si>
    <t>Gavianic</t>
  </si>
  <si>
    <t>gavo1238</t>
  </si>
  <si>
    <t>Gavot</t>
  </si>
  <si>
    <t>gawa1246</t>
  </si>
  <si>
    <t>Pech Kunar</t>
  </si>
  <si>
    <t>gawa1247</t>
  </si>
  <si>
    <t>Gawar-Bati</t>
  </si>
  <si>
    <t>gwt</t>
  </si>
  <si>
    <t>gawa1248</t>
  </si>
  <si>
    <t>Gawan Naw'</t>
  </si>
  <si>
    <t>gawa1249</t>
  </si>
  <si>
    <t>Gawambaraay</t>
  </si>
  <si>
    <t>gawd1238</t>
  </si>
  <si>
    <t>Gawdi of Goa</t>
  </si>
  <si>
    <t>gawh1238</t>
  </si>
  <si>
    <t>gura1251</t>
  </si>
  <si>
    <t>Gawhara</t>
  </si>
  <si>
    <t>gawi1240</t>
  </si>
  <si>
    <t>hali1245</t>
  </si>
  <si>
    <t>Gawir</t>
  </si>
  <si>
    <t>gawi1244</t>
  </si>
  <si>
    <t>mser1242</t>
  </si>
  <si>
    <t>Gawi</t>
  </si>
  <si>
    <t>Ale-Gawwada</t>
  </si>
  <si>
    <t>gwd</t>
  </si>
  <si>
    <t>gaya1240</t>
  </si>
  <si>
    <t>Gayam</t>
  </si>
  <si>
    <t>gaya1250</t>
  </si>
  <si>
    <t>Gaya (East Chadic)</t>
  </si>
  <si>
    <t>gaya1251</t>
  </si>
  <si>
    <t>Gayar</t>
  </si>
  <si>
    <t>gaya1252</t>
  </si>
  <si>
    <t>Gaya</t>
  </si>
  <si>
    <t>gaye1238</t>
  </si>
  <si>
    <t>Gayegi</t>
  </si>
  <si>
    <t>gayi1237</t>
  </si>
  <si>
    <t>Gayil</t>
  </si>
  <si>
    <t>gyl</t>
  </si>
  <si>
    <t>gaym1238</t>
  </si>
  <si>
    <t>Gaymona</t>
  </si>
  <si>
    <t>nort2829</t>
  </si>
  <si>
    <t>Gayo</t>
  </si>
  <si>
    <t>gay</t>
  </si>
  <si>
    <t>gayo1245</t>
  </si>
  <si>
    <t>Gay√≥n</t>
  </si>
  <si>
    <t>gazi1243</t>
  </si>
  <si>
    <t>Gazi</t>
  </si>
  <si>
    <t>gzi</t>
  </si>
  <si>
    <t>gazi1244</t>
  </si>
  <si>
    <t>Gaziantep</t>
  </si>
  <si>
    <t>gbab1238</t>
  </si>
  <si>
    <t>Gbabana</t>
  </si>
  <si>
    <t>gbad1235</t>
  </si>
  <si>
    <t>mban1263</t>
  </si>
  <si>
    <t>Gbado</t>
  </si>
  <si>
    <t>gbad1242</t>
  </si>
  <si>
    <t>Gbadi</t>
  </si>
  <si>
    <t>gbae1238</t>
  </si>
  <si>
    <t>Gbaeson</t>
  </si>
  <si>
    <t>gbag1253</t>
  </si>
  <si>
    <t>Gbagiri</t>
  </si>
  <si>
    <t>gbag1254</t>
  </si>
  <si>
    <t>Gbaga-Nord</t>
  </si>
  <si>
    <t>gbag1255</t>
  </si>
  <si>
    <t>Gbaga-South</t>
  </si>
  <si>
    <t>gbag1256</t>
  </si>
  <si>
    <t>nupe1252</t>
  </si>
  <si>
    <t>Gbagyi-Gbari</t>
  </si>
  <si>
    <t>gbag1257</t>
  </si>
  <si>
    <t>Gbagyi Nkwa</t>
  </si>
  <si>
    <t>Gbagyi</t>
  </si>
  <si>
    <t>gbr</t>
  </si>
  <si>
    <t>gbam1238</t>
  </si>
  <si>
    <t>Gbambiya</t>
  </si>
  <si>
    <t>gban1258</t>
  </si>
  <si>
    <t>Gbanziri-Boraka</t>
  </si>
  <si>
    <t>gbg</t>
  </si>
  <si>
    <t>gban1259</t>
  </si>
  <si>
    <t>gbay1280</t>
  </si>
  <si>
    <t>Gbanu-Manza-Ngbaka</t>
  </si>
  <si>
    <t>Gbanu</t>
  </si>
  <si>
    <t>gbv</t>
  </si>
  <si>
    <t>gban1261</t>
  </si>
  <si>
    <t>numa1252</t>
  </si>
  <si>
    <t>Gbantu</t>
  </si>
  <si>
    <t>gban1262</t>
  </si>
  <si>
    <t>Gbanmi-Sokun Kakanda</t>
  </si>
  <si>
    <t>gbap1234</t>
  </si>
  <si>
    <t>Gbapen</t>
  </si>
  <si>
    <t>gbar1235</t>
  </si>
  <si>
    <t>Gbarain</t>
  </si>
  <si>
    <t>Gbari</t>
  </si>
  <si>
    <t>gby</t>
  </si>
  <si>
    <t>gbar1247</t>
  </si>
  <si>
    <t>Gbarbo</t>
  </si>
  <si>
    <t>gbas1238</t>
  </si>
  <si>
    <t>Gba Sor</t>
  </si>
  <si>
    <t>gbat1238</t>
  </si>
  <si>
    <t>Gbati-ri</t>
  </si>
  <si>
    <t>gti</t>
  </si>
  <si>
    <t>gbay1278</t>
  </si>
  <si>
    <t>ngba1280</t>
  </si>
  <si>
    <t>Gbayi</t>
  </si>
  <si>
    <t>gyg</t>
  </si>
  <si>
    <t>Gbaya-Manza-Ngbaka</t>
  </si>
  <si>
    <t>Gbaya Oriental</t>
  </si>
  <si>
    <t>gbay1281</t>
  </si>
  <si>
    <t>Gbaya-Mbodomo</t>
  </si>
  <si>
    <t>gmm</t>
  </si>
  <si>
    <t>CF CM</t>
  </si>
  <si>
    <t>Gbaya Meridional-Occidental</t>
  </si>
  <si>
    <t>gbay1283</t>
  </si>
  <si>
    <t>Gbaya Kara</t>
  </si>
  <si>
    <t>Gbaya Meridional</t>
  </si>
  <si>
    <t>gbay1285</t>
  </si>
  <si>
    <t>Gbaya of Boda</t>
  </si>
  <si>
    <t>gbey1243</t>
  </si>
  <si>
    <t>Gbaya-Bozoum</t>
  </si>
  <si>
    <t>gbq</t>
  </si>
  <si>
    <t>gbey1244</t>
  </si>
  <si>
    <t>Gbaya-Bossangoa</t>
  </si>
  <si>
    <t>gbp</t>
  </si>
  <si>
    <t>Gbaya (Sudan)</t>
  </si>
  <si>
    <t>krs</t>
  </si>
  <si>
    <t>gbay1289</t>
  </si>
  <si>
    <t>Gbaya-Ndogo</t>
  </si>
  <si>
    <t>gbay1290</t>
  </si>
  <si>
    <t>Gbaya-Gboko</t>
  </si>
  <si>
    <t>gbay1291</t>
  </si>
  <si>
    <t>Gbaya-Ngbongbo</t>
  </si>
  <si>
    <t>gbay1292</t>
  </si>
  <si>
    <t>Gbaya-Dara</t>
  </si>
  <si>
    <t>gbed1241</t>
  </si>
  <si>
    <t>Gbedde</t>
  </si>
  <si>
    <t>Gbe</t>
  </si>
  <si>
    <t>gbek1244</t>
  </si>
  <si>
    <t>wudu1238</t>
  </si>
  <si>
    <t>Gbekon</t>
  </si>
  <si>
    <t>gben1241</t>
  </si>
  <si>
    <t>Gbende</t>
  </si>
  <si>
    <t>gben1242</t>
  </si>
  <si>
    <t>Gbendembu</t>
  </si>
  <si>
    <t>gbep1238</t>
  </si>
  <si>
    <t>Gbepo</t>
  </si>
  <si>
    <t>gber1234</t>
  </si>
  <si>
    <t>Gberi-Morokodo-Mittu</t>
  </si>
  <si>
    <t>gbes1238</t>
  </si>
  <si>
    <t>Gbesi Gbe</t>
  </si>
  <si>
    <t>gbs</t>
  </si>
  <si>
    <t>gbet1241</t>
  </si>
  <si>
    <t>mbum1254</t>
  </si>
  <si>
    <t>Gbete</t>
  </si>
  <si>
    <t>Gbeya</t>
  </si>
  <si>
    <t>Gbeya-Suma</t>
  </si>
  <si>
    <t>gbey1245</t>
  </si>
  <si>
    <t>Gbey√£se</t>
  </si>
  <si>
    <t>gbii1241</t>
  </si>
  <si>
    <t>Gbi</t>
  </si>
  <si>
    <t>Gbii</t>
  </si>
  <si>
    <t>ggb</t>
  </si>
  <si>
    <t>gbin1238</t>
  </si>
  <si>
    <t>Gbin (Ewe)</t>
  </si>
  <si>
    <t>gbin1239</t>
  </si>
  <si>
    <t>unun9970</t>
  </si>
  <si>
    <t>Gbin</t>
  </si>
  <si>
    <t>xgb</t>
  </si>
  <si>
    <t>gbir1241</t>
  </si>
  <si>
    <t>Gbiri-Niragu</t>
  </si>
  <si>
    <t>grh</t>
  </si>
  <si>
    <t>gbir1242</t>
  </si>
  <si>
    <t>Gbiri</t>
  </si>
  <si>
    <t>gble1234</t>
  </si>
  <si>
    <t>Gblee Dan</t>
  </si>
  <si>
    <t>gbog1238</t>
  </si>
  <si>
    <t>Gbogorose</t>
  </si>
  <si>
    <t>gbok1238</t>
  </si>
  <si>
    <t>Gbokpa</t>
  </si>
  <si>
    <t>Gboloo Grebo</t>
  </si>
  <si>
    <t>gec</t>
  </si>
  <si>
    <t>Gboloo-Central Grebo</t>
  </si>
  <si>
    <t>gboo1244</t>
  </si>
  <si>
    <t>Gbo</t>
  </si>
  <si>
    <t>gboo1245</t>
  </si>
  <si>
    <t>Gbo (Western Krahn)</t>
  </si>
  <si>
    <t>gboo1246</t>
  </si>
  <si>
    <t>Gboo</t>
  </si>
  <si>
    <t>gbor1241</t>
  </si>
  <si>
    <t>Gbor</t>
  </si>
  <si>
    <t>gbor1242</t>
  </si>
  <si>
    <t>Gborbo</t>
  </si>
  <si>
    <t>gbow1238</t>
  </si>
  <si>
    <t>Gbowe-Hran</t>
  </si>
  <si>
    <t>gbug1238</t>
  </si>
  <si>
    <t>Gbugbla</t>
  </si>
  <si>
    <t>gbug1239</t>
  </si>
  <si>
    <t>Gbugyar</t>
  </si>
  <si>
    <t>gdon1234</t>
  </si>
  <si>
    <t>Gdongbrgyad-Kamnyu</t>
  </si>
  <si>
    <t>geag1239</t>
  </si>
  <si>
    <t>Geagea</t>
  </si>
  <si>
    <t>geal1238</t>
  </si>
  <si>
    <t>Gcaleka</t>
  </si>
  <si>
    <t>Geba-Bwe</t>
  </si>
  <si>
    <t>geba1237</t>
  </si>
  <si>
    <t>Geba Karen</t>
  </si>
  <si>
    <t>kvq</t>
  </si>
  <si>
    <t>gebe1237</t>
  </si>
  <si>
    <t>Gebe</t>
  </si>
  <si>
    <t>gei</t>
  </si>
  <si>
    <t>gebi1241</t>
  </si>
  <si>
    <t>Gebi</t>
  </si>
  <si>
    <t>gebi1242</t>
  </si>
  <si>
    <t>lowe1388</t>
  </si>
  <si>
    <t>Gebirgsschlesische</t>
  </si>
  <si>
    <t>geda1237</t>
  </si>
  <si>
    <t>Gedaged</t>
  </si>
  <si>
    <t>gdd</t>
  </si>
  <si>
    <t>gede1241</t>
  </si>
  <si>
    <t>Gedegede</t>
  </si>
  <si>
    <t>gede1242</t>
  </si>
  <si>
    <t>Gederobo</t>
  </si>
  <si>
    <t>gede1246</t>
  </si>
  <si>
    <t>sida1248</t>
  </si>
  <si>
    <t>Gedeo</t>
  </si>
  <si>
    <t>drs</t>
  </si>
  <si>
    <t>geed1237</t>
  </si>
  <si>
    <t>Geedam</t>
  </si>
  <si>
    <t>geee1239</t>
  </si>
  <si>
    <t>Ge</t>
  </si>
  <si>
    <t>hmj</t>
  </si>
  <si>
    <t>Geelvink Bay</t>
  </si>
  <si>
    <t>geez1241</t>
  </si>
  <si>
    <t>Geez</t>
  </si>
  <si>
    <t>gez</t>
  </si>
  <si>
    <t>ER ET</t>
  </si>
  <si>
    <t>gehu1234</t>
  </si>
  <si>
    <t>Gehuo</t>
  </si>
  <si>
    <t>geic1236</t>
  </si>
  <si>
    <t>jeee1236</t>
  </si>
  <si>
    <t>Geico</t>
  </si>
  <si>
    <t>geji1239</t>
  </si>
  <si>
    <t>Gejiahua</t>
  </si>
  <si>
    <t>nort3190</t>
  </si>
  <si>
    <t>Geji</t>
  </si>
  <si>
    <t>gji</t>
  </si>
  <si>
    <t>geko1235</t>
  </si>
  <si>
    <t>Geko Karen</t>
  </si>
  <si>
    <t>ghk</t>
  </si>
  <si>
    <t>gekx1238</t>
  </si>
  <si>
    <t>Gekxun</t>
  </si>
  <si>
    <t>gela1261</t>
  </si>
  <si>
    <t>Gelao</t>
  </si>
  <si>
    <t>gio</t>
  </si>
  <si>
    <t>gela1262</t>
  </si>
  <si>
    <t>mund1325</t>
  </si>
  <si>
    <t>Gelama</t>
  </si>
  <si>
    <t>gela1263</t>
  </si>
  <si>
    <t>Gela</t>
  </si>
  <si>
    <t>nlg</t>
  </si>
  <si>
    <t>gela1264</t>
  </si>
  <si>
    <t>Gelao Mulao</t>
  </si>
  <si>
    <t>giu</t>
  </si>
  <si>
    <t>gela1265</t>
  </si>
  <si>
    <t>west2798</t>
  </si>
  <si>
    <t>Gelaoic</t>
  </si>
  <si>
    <t>gele1238</t>
  </si>
  <si>
    <t>Gelekidoria</t>
  </si>
  <si>
    <t>geli1237</t>
  </si>
  <si>
    <t>lesi1239</t>
  </si>
  <si>
    <t>Gelimi</t>
  </si>
  <si>
    <t>gema1234</t>
  </si>
  <si>
    <t>Kman-Meyor</t>
  </si>
  <si>
    <t>gema1236</t>
  </si>
  <si>
    <t>Geman Deng</t>
  </si>
  <si>
    <t>gen</t>
  </si>
  <si>
    <t>geme1244</t>
  </si>
  <si>
    <t>zand1247</t>
  </si>
  <si>
    <t>Geme</t>
  </si>
  <si>
    <t>geq</t>
  </si>
  <si>
    <t>geme1245</t>
  </si>
  <si>
    <t>Geme Kulagbolu</t>
  </si>
  <si>
    <t>geme1246</t>
  </si>
  <si>
    <t>Geme Tulu</t>
  </si>
  <si>
    <t>tato1241</t>
  </si>
  <si>
    <t>Gemein Datooga</t>
  </si>
  <si>
    <t>gemz1238</t>
  </si>
  <si>
    <t>zulg1242</t>
  </si>
  <si>
    <t>Gemzek</t>
  </si>
  <si>
    <t>gend1248</t>
  </si>
  <si>
    <t>kelo1247</t>
  </si>
  <si>
    <t>Gendok</t>
  </si>
  <si>
    <t>gend1249</t>
  </si>
  <si>
    <t>goro1272</t>
  </si>
  <si>
    <t>Gende</t>
  </si>
  <si>
    <t>gaf</t>
  </si>
  <si>
    <t>gend1251</t>
  </si>
  <si>
    <t>sout3273</t>
  </si>
  <si>
    <t>Genda3</t>
  </si>
  <si>
    <t>General Yokuts</t>
  </si>
  <si>
    <t>yuma1250</t>
  </si>
  <si>
    <t>General Yuman</t>
  </si>
  <si>
    <t>gene1245</t>
  </si>
  <si>
    <t>sout3234</t>
  </si>
  <si>
    <t>General Southeast Gondi</t>
  </si>
  <si>
    <t>geng1243</t>
  </si>
  <si>
    <t>Gengle</t>
  </si>
  <si>
    <t>geg</t>
  </si>
  <si>
    <t>geng1244</t>
  </si>
  <si>
    <t>song1300</t>
  </si>
  <si>
    <t>Gengele</t>
  </si>
  <si>
    <t>Gen</t>
  </si>
  <si>
    <t>gej</t>
  </si>
  <si>
    <t>geno1240</t>
  </si>
  <si>
    <t>ligu1248</t>
  </si>
  <si>
    <t>Genoese</t>
  </si>
  <si>
    <t>geor1252</t>
  </si>
  <si>
    <t>Georgian-Zan</t>
  </si>
  <si>
    <t>geor1253</t>
  </si>
  <si>
    <t>Georgic</t>
  </si>
  <si>
    <t>geor1254</t>
  </si>
  <si>
    <t>russ1270</t>
  </si>
  <si>
    <t>Georgian Sign Language</t>
  </si>
  <si>
    <t>gepo1234</t>
  </si>
  <si>
    <t>nasu1237</t>
  </si>
  <si>
    <t>Gepo</t>
  </si>
  <si>
    <t>ygp</t>
  </si>
  <si>
    <t>gera1240</t>
  </si>
  <si>
    <t>Gerash</t>
  </si>
  <si>
    <t>gera1241</t>
  </si>
  <si>
    <t>Gerai</t>
  </si>
  <si>
    <t>gera1246</t>
  </si>
  <si>
    <t>gera1248</t>
  </si>
  <si>
    <t>Gera</t>
  </si>
  <si>
    <t>gew</t>
  </si>
  <si>
    <t>gera1247</t>
  </si>
  <si>
    <t>Gera-Geruma-Kubi-Deno</t>
  </si>
  <si>
    <t>Gera-Geruma</t>
  </si>
  <si>
    <t>gere1238</t>
  </si>
  <si>
    <t>Gerep</t>
  </si>
  <si>
    <t>gerg1238</t>
  </si>
  <si>
    <t>Gergere</t>
  </si>
  <si>
    <t>gerg1239</t>
  </si>
  <si>
    <t>Gergye</t>
  </si>
  <si>
    <t>geri1237</t>
  </si>
  <si>
    <t>Geri</t>
  </si>
  <si>
    <t>gerl1239</t>
  </si>
  <si>
    <t>Gerlovo Turks</t>
  </si>
  <si>
    <t>germ1281</t>
  </si>
  <si>
    <t>German Sign Language</t>
  </si>
  <si>
    <t>gsg</t>
  </si>
  <si>
    <t>Germanic</t>
  </si>
  <si>
    <t>germ1288</t>
  </si>
  <si>
    <t>German-Yiddish-Romani-Rotwelsch</t>
  </si>
  <si>
    <t>germ1289</t>
  </si>
  <si>
    <t>German-based pidgin</t>
  </si>
  <si>
    <t>gert1234</t>
  </si>
  <si>
    <t>Gertse</t>
  </si>
  <si>
    <t>Geruma</t>
  </si>
  <si>
    <t>gea</t>
  </si>
  <si>
    <t>gesd1238</t>
  </si>
  <si>
    <t>Gesda Dae</t>
  </si>
  <si>
    <t>gese1239</t>
  </si>
  <si>
    <t>Seran Laut</t>
  </si>
  <si>
    <t>gese1240</t>
  </si>
  <si>
    <t>Geser-Gorom</t>
  </si>
  <si>
    <t>ges</t>
  </si>
  <si>
    <t>Geser-Gorom-Bati</t>
  </si>
  <si>
    <t>gesh1238</t>
  </si>
  <si>
    <t>Geshiza</t>
  </si>
  <si>
    <t>gess1238</t>
  </si>
  <si>
    <t>sout2734</t>
  </si>
  <si>
    <t>Gess</t>
  </si>
  <si>
    <t>gete1234</t>
  </si>
  <si>
    <t>limb1263</t>
  </si>
  <si>
    <t>Getelands</t>
  </si>
  <si>
    <t>geya1234</t>
  </si>
  <si>
    <t>Gey</t>
  </si>
  <si>
    <t>guv</t>
  </si>
  <si>
    <t>ghaa1238</t>
  </si>
  <si>
    <t>laar1238</t>
  </si>
  <si>
    <t>Ghaangala</t>
  </si>
  <si>
    <t>Ghadames</t>
  </si>
  <si>
    <t>gha</t>
  </si>
  <si>
    <t>DZ LY TN</t>
  </si>
  <si>
    <t>ghag1238</t>
  </si>
  <si>
    <t>Ghagar of Egypt</t>
  </si>
  <si>
    <t>ghai1237</t>
  </si>
  <si>
    <t>Ghaimuta</t>
  </si>
  <si>
    <t>ghal1246</t>
  </si>
  <si>
    <t>ghal1247</t>
  </si>
  <si>
    <t>Ghale</t>
  </si>
  <si>
    <t>kaik1248</t>
  </si>
  <si>
    <t>Ghale-Tamangic</t>
  </si>
  <si>
    <t>ghan1235</t>
  </si>
  <si>
    <t>Ghanaian Sign Language</t>
  </si>
  <si>
    <t>gse</t>
  </si>
  <si>
    <t>ghan1246</t>
  </si>
  <si>
    <t>Ghanongga</t>
  </si>
  <si>
    <t>ghn</t>
  </si>
  <si>
    <t>ghan1244</t>
  </si>
  <si>
    <t>Ghanaian Pidgin English</t>
  </si>
  <si>
    <t>gpe</t>
  </si>
  <si>
    <t>ghan1245</t>
  </si>
  <si>
    <t>Ghandruk Sign Language</t>
  </si>
  <si>
    <t>gds</t>
  </si>
  <si>
    <t>simb1260</t>
  </si>
  <si>
    <t>Ghanongga-Lungga</t>
  </si>
  <si>
    <t>nort2832</t>
  </si>
  <si>
    <t>Ghari</t>
  </si>
  <si>
    <t>gri</t>
  </si>
  <si>
    <t>ghar1240</t>
  </si>
  <si>
    <t>Ghardaia Sign Language</t>
  </si>
  <si>
    <t>ghat1238</t>
  </si>
  <si>
    <t>Ghati</t>
  </si>
  <si>
    <t>ghat1242</t>
  </si>
  <si>
    <t>Ghat</t>
  </si>
  <si>
    <t>ghay1237</t>
  </si>
  <si>
    <t>Ghayavi</t>
  </si>
  <si>
    <t>bmk</t>
  </si>
  <si>
    <t>Gheg Albanian</t>
  </si>
  <si>
    <t>AL BG ME MK RO RS</t>
  </si>
  <si>
    <t>gher1238</t>
  </si>
  <si>
    <t>gher1240</t>
  </si>
  <si>
    <t>Ghera</t>
  </si>
  <si>
    <t>ghr</t>
  </si>
  <si>
    <t>unun9883</t>
  </si>
  <si>
    <t>Ghera-Gurgula</t>
  </si>
  <si>
    <t>ghil1238</t>
  </si>
  <si>
    <t>Ghilzai</t>
  </si>
  <si>
    <t>ghin1238</t>
  </si>
  <si>
    <t>kama1367</t>
  </si>
  <si>
    <t>Ghini</t>
  </si>
  <si>
    <t>ghod1238</t>
  </si>
  <si>
    <t>Godoberi</t>
  </si>
  <si>
    <t>gdo</t>
  </si>
  <si>
    <t>ghol1238</t>
  </si>
  <si>
    <t>Ghol</t>
  </si>
  <si>
    <t>ghom1247</t>
  </si>
  <si>
    <t>Ghom√°l√°'</t>
  </si>
  <si>
    <t>bbj</t>
  </si>
  <si>
    <t>ghom1248</t>
  </si>
  <si>
    <t>Ghom√°l√° North</t>
  </si>
  <si>
    <t>Ghom√°l√° South</t>
  </si>
  <si>
    <t>ghom1250</t>
  </si>
  <si>
    <t>Ghom√°l√° Central</t>
  </si>
  <si>
    <t>ghom1257</t>
  </si>
  <si>
    <t>nort3248</t>
  </si>
  <si>
    <t>Ghomara</t>
  </si>
  <si>
    <t>gho</t>
  </si>
  <si>
    <t>MA</t>
  </si>
  <si>
    <t>ghon1237</t>
  </si>
  <si>
    <t>vari1239</t>
  </si>
  <si>
    <t>Ghone</t>
  </si>
  <si>
    <t>ghot1243</t>
  </si>
  <si>
    <t>Ghotuo</t>
  </si>
  <si>
    <t>aaa</t>
  </si>
  <si>
    <t>ghud1238</t>
  </si>
  <si>
    <t>Ghudavan</t>
  </si>
  <si>
    <t>ghuj1238</t>
  </si>
  <si>
    <t>para1299</t>
  </si>
  <si>
    <t>Ghujulan</t>
  </si>
  <si>
    <t>ghul1238</t>
  </si>
  <si>
    <t>Uncunwee</t>
  </si>
  <si>
    <t>ghl</t>
  </si>
  <si>
    <t>ghun1234</t>
  </si>
  <si>
    <t>Ghund Valley</t>
  </si>
  <si>
    <t>ghus1238</t>
  </si>
  <si>
    <t>Ghusbanggi</t>
  </si>
  <si>
    <t>gian1240</t>
  </si>
  <si>
    <t>nung1283</t>
  </si>
  <si>
    <t>Giang</t>
  </si>
  <si>
    <t>gian1241</t>
  </si>
  <si>
    <t>Giangan</t>
  </si>
  <si>
    <t>bgi</t>
  </si>
  <si>
    <t>giba1240</t>
  </si>
  <si>
    <t>Gibanawa</t>
  </si>
  <si>
    <t>gib</t>
  </si>
  <si>
    <t>giba1246</t>
  </si>
  <si>
    <t>Gibaio</t>
  </si>
  <si>
    <t>giba1247</t>
  </si>
  <si>
    <t>kere1286</t>
  </si>
  <si>
    <t>Gibario</t>
  </si>
  <si>
    <t>gich1238</t>
  </si>
  <si>
    <t>kiku1240</t>
  </si>
  <si>
    <t>Gichugu</t>
  </si>
  <si>
    <t>gida1240</t>
  </si>
  <si>
    <t>Gidabal</t>
  </si>
  <si>
    <t>gida1247</t>
  </si>
  <si>
    <t>Gidar</t>
  </si>
  <si>
    <t>gid</t>
  </si>
  <si>
    <t>CM TD</t>
  </si>
  <si>
    <t>gida1248</t>
  </si>
  <si>
    <t>Gidang'oodiga of Simhha</t>
  </si>
  <si>
    <t>kons1242</t>
  </si>
  <si>
    <t>Gidole-Bussa</t>
  </si>
  <si>
    <t>gifu1238</t>
  </si>
  <si>
    <t>Gifu-Aichi</t>
  </si>
  <si>
    <t>giga1238</t>
  </si>
  <si>
    <t>Gigatl</t>
  </si>
  <si>
    <t>Giimbiyu</t>
  </si>
  <si>
    <t>giiw1236</t>
  </si>
  <si>
    <t>kirf1234</t>
  </si>
  <si>
    <t>Giiwo</t>
  </si>
  <si>
    <t>kks</t>
  </si>
  <si>
    <t>giko1238</t>
  </si>
  <si>
    <t>Gikolodjya</t>
  </si>
  <si>
    <t>giky1238</t>
  </si>
  <si>
    <t>Gikyode</t>
  </si>
  <si>
    <t>acd</t>
  </si>
  <si>
    <t>giky1239</t>
  </si>
  <si>
    <t>moun1254</t>
  </si>
  <si>
    <t>Gikyode-Ginyanga</t>
  </si>
  <si>
    <t>Gikyode-Foodo</t>
  </si>
  <si>
    <t>gila1242</t>
  </si>
  <si>
    <t>Gilaki</t>
  </si>
  <si>
    <t>glk</t>
  </si>
  <si>
    <t>Gilaki-Rudbari</t>
  </si>
  <si>
    <t>gilb1242</t>
  </si>
  <si>
    <t>paas1238</t>
  </si>
  <si>
    <t>Gilbagala</t>
  </si>
  <si>
    <t>gilb1243</t>
  </si>
  <si>
    <t>tumu1242</t>
  </si>
  <si>
    <t>Gil Bagale</t>
  </si>
  <si>
    <t>Gilbertese</t>
  </si>
  <si>
    <t>gil</t>
  </si>
  <si>
    <t>KI SB</t>
  </si>
  <si>
    <t>gile1238</t>
  </si>
  <si>
    <t>Gilempla</t>
  </si>
  <si>
    <t>Gilgiti</t>
  </si>
  <si>
    <t>gilg1243</t>
  </si>
  <si>
    <t>Gilgit</t>
  </si>
  <si>
    <t>gili1241</t>
  </si>
  <si>
    <t>Gilima</t>
  </si>
  <si>
    <t>gix</t>
  </si>
  <si>
    <t>gili1242</t>
  </si>
  <si>
    <t>kosa1249</t>
  </si>
  <si>
    <t>Gilika</t>
  </si>
  <si>
    <t>gili1246</t>
  </si>
  <si>
    <t>Gili</t>
  </si>
  <si>
    <t>gimb1238</t>
  </si>
  <si>
    <t>Gimba</t>
  </si>
  <si>
    <t>gimi1242</t>
  </si>
  <si>
    <t>Gimi (West New Britain)</t>
  </si>
  <si>
    <t>gip</t>
  </si>
  <si>
    <t>Gimi (Eastern Highlands)</t>
  </si>
  <si>
    <t>gim</t>
  </si>
  <si>
    <t>gimm1241</t>
  </si>
  <si>
    <t>koma1268</t>
  </si>
  <si>
    <t>Gimme</t>
  </si>
  <si>
    <t>kmp</t>
  </si>
  <si>
    <t>gimn1238</t>
  </si>
  <si>
    <t>Gimnime</t>
  </si>
  <si>
    <t>gmn</t>
  </si>
  <si>
    <t>gims1238</t>
  </si>
  <si>
    <t>Gimsbok Nama</t>
  </si>
  <si>
    <t>gina1239</t>
  </si>
  <si>
    <t>nati1243</t>
  </si>
  <si>
    <t>Ginaourou</t>
  </si>
  <si>
    <t>ging1241</t>
  </si>
  <si>
    <t>Gingwak</t>
  </si>
  <si>
    <t>ging1242</t>
  </si>
  <si>
    <t>Nharo</t>
  </si>
  <si>
    <t>ginu1240</t>
  </si>
  <si>
    <t>Ginuman</t>
  </si>
  <si>
    <t>gnm</t>
  </si>
  <si>
    <t>giny1241</t>
  </si>
  <si>
    <t>Ginyanga</t>
  </si>
  <si>
    <t>ayg</t>
  </si>
  <si>
    <t>giny1242</t>
  </si>
  <si>
    <t>Ginyamunyinganyi</t>
  </si>
  <si>
    <t>gion1237</t>
  </si>
  <si>
    <t>kyot1238</t>
  </si>
  <si>
    <t>Gion</t>
  </si>
  <si>
    <t>gira1246</t>
  </si>
  <si>
    <t>zana1238</t>
  </si>
  <si>
    <t>Girango</t>
  </si>
  <si>
    <t>gira1247</t>
  </si>
  <si>
    <t>koko1271</t>
  </si>
  <si>
    <t>Girawa</t>
  </si>
  <si>
    <t>bbr</t>
  </si>
  <si>
    <t>gira1248</t>
  </si>
  <si>
    <t>gusa1245</t>
  </si>
  <si>
    <t>Gira-Neko-Nekgini</t>
  </si>
  <si>
    <t>girg1241</t>
  </si>
  <si>
    <t>Girga (Assangori)</t>
  </si>
  <si>
    <t>girg1242</t>
  </si>
  <si>
    <t>tama1331</t>
  </si>
  <si>
    <t>Girga</t>
  </si>
  <si>
    <t>giri1243</t>
  </si>
  <si>
    <t>Giripari</t>
  </si>
  <si>
    <t>giri1244</t>
  </si>
  <si>
    <t>maka1315</t>
  </si>
  <si>
    <t>Giribam</t>
  </si>
  <si>
    <t>giri1245</t>
  </si>
  <si>
    <t>Girirra</t>
  </si>
  <si>
    <t>girr1240</t>
  </si>
  <si>
    <t>Girramy</t>
  </si>
  <si>
    <t>girw1238</t>
  </si>
  <si>
    <t>Girwana</t>
  </si>
  <si>
    <t>Giryama</t>
  </si>
  <si>
    <t>nyf</t>
  </si>
  <si>
    <t>gisa1238</t>
  </si>
  <si>
    <t>Gisamjanga</t>
  </si>
  <si>
    <t>gise1241</t>
  </si>
  <si>
    <t>Giseda</t>
  </si>
  <si>
    <t>gise1242</t>
  </si>
  <si>
    <t>Gis√®me</t>
  </si>
  <si>
    <t>gito1238</t>
  </si>
  <si>
    <t>Gitonga</t>
  </si>
  <si>
    <t>toh</t>
  </si>
  <si>
    <t>gito1239</t>
  </si>
  <si>
    <t>Gitonga Gy Khogani</t>
  </si>
  <si>
    <t>gits1238</t>
  </si>
  <si>
    <t>gitx1241</t>
  </si>
  <si>
    <t>Gitsken</t>
  </si>
  <si>
    <t>gitu1237</t>
  </si>
  <si>
    <t>tuam1243</t>
  </si>
  <si>
    <t>Gitua</t>
  </si>
  <si>
    <t>ggt</t>
  </si>
  <si>
    <t>nish1242</t>
  </si>
  <si>
    <t>Gitxsan</t>
  </si>
  <si>
    <t>git</t>
  </si>
  <si>
    <t>giya1234</t>
  </si>
  <si>
    <t>Giya</t>
  </si>
  <si>
    <t>giyu1238</t>
  </si>
  <si>
    <t>Giyug</t>
  </si>
  <si>
    <t>giy</t>
  </si>
  <si>
    <t>giza1238</t>
  </si>
  <si>
    <t>Gizay</t>
  </si>
  <si>
    <t>gize1234</t>
  </si>
  <si>
    <t>masa1324</t>
  </si>
  <si>
    <t>Gizey</t>
  </si>
  <si>
    <t>gizi1238</t>
  </si>
  <si>
    <t>Gizima</t>
  </si>
  <si>
    <t>gizr1240</t>
  </si>
  <si>
    <t>Gizrra</t>
  </si>
  <si>
    <t>tof</t>
  </si>
  <si>
    <t>gjun1238</t>
  </si>
  <si>
    <t>Gjunej</t>
  </si>
  <si>
    <t>glar1241</t>
  </si>
  <si>
    <t>Glaro-Twabo</t>
  </si>
  <si>
    <t>glr</t>
  </si>
  <si>
    <t>glar1242</t>
  </si>
  <si>
    <t>Glaro</t>
  </si>
  <si>
    <t>wand1280</t>
  </si>
  <si>
    <t>Glavda</t>
  </si>
  <si>
    <t>glw</t>
  </si>
  <si>
    <t>glaw1238</t>
  </si>
  <si>
    <t>Glawlo</t>
  </si>
  <si>
    <t>gleb1238</t>
  </si>
  <si>
    <t>sout2826</t>
  </si>
  <si>
    <t>Glebo</t>
  </si>
  <si>
    <t>glib1238</t>
  </si>
  <si>
    <t>Glibe</t>
  </si>
  <si>
    <t>glij1238</t>
  </si>
  <si>
    <t>Gliji</t>
  </si>
  <si>
    <t>glio1241</t>
  </si>
  <si>
    <t>Glio-Oubi</t>
  </si>
  <si>
    <t>oub</t>
  </si>
  <si>
    <t>glob1238</t>
  </si>
  <si>
    <t>Globo</t>
  </si>
  <si>
    <t>glob1239</t>
  </si>
  <si>
    <t>Global French</t>
  </si>
  <si>
    <t>mode1257</t>
  </si>
  <si>
    <t>Global Dutch</t>
  </si>
  <si>
    <t>Global South Bavarian</t>
  </si>
  <si>
    <t>glob1243</t>
  </si>
  <si>
    <t>uppe1464</t>
  </si>
  <si>
    <t>Global German</t>
  </si>
  <si>
    <t>gnau1240</t>
  </si>
  <si>
    <t>unun9969</t>
  </si>
  <si>
    <t>Gnau</t>
  </si>
  <si>
    <t>gnu</t>
  </si>
  <si>
    <t>gnoo1238</t>
  </si>
  <si>
    <t>Gnoore</t>
  </si>
  <si>
    <t>goam1234</t>
  </si>
  <si>
    <t>Goam</t>
  </si>
  <si>
    <t>konk1270</t>
  </si>
  <si>
    <t>Goan Konkani</t>
  </si>
  <si>
    <t>gom</t>
  </si>
  <si>
    <t>goar1239</t>
  </si>
  <si>
    <t>Goaria</t>
  </si>
  <si>
    <t>gig</t>
  </si>
  <si>
    <t>goba1245</t>
  </si>
  <si>
    <t>Gobato</t>
  </si>
  <si>
    <t>goba1246</t>
  </si>
  <si>
    <t>kubo1241</t>
  </si>
  <si>
    <t>Gobasi</t>
  </si>
  <si>
    <t>goi</t>
  </si>
  <si>
    <t>gobe1239</t>
  </si>
  <si>
    <t>Gobeze</t>
  </si>
  <si>
    <t>gobi1238</t>
  </si>
  <si>
    <t>Gobirawa</t>
  </si>
  <si>
    <t>gobu1238</t>
  </si>
  <si>
    <t>mids1242</t>
  </si>
  <si>
    <t>Gobu</t>
  </si>
  <si>
    <t>gox</t>
  </si>
  <si>
    <t>godd1237</t>
  </si>
  <si>
    <t>saur1249</t>
  </si>
  <si>
    <t>Godda</t>
  </si>
  <si>
    <t>Godi√©</t>
  </si>
  <si>
    <t>god</t>
  </si>
  <si>
    <t>mewa1254</t>
  </si>
  <si>
    <t>Godwari</t>
  </si>
  <si>
    <t>gdx</t>
  </si>
  <si>
    <t>godw1242</t>
  </si>
  <si>
    <t>Godwani</t>
  </si>
  <si>
    <t>goem1240</t>
  </si>
  <si>
    <t>Goemai</t>
  </si>
  <si>
    <t>ank</t>
  </si>
  <si>
    <t>Goemai-Chakato</t>
  </si>
  <si>
    <t>goer1238</t>
  </si>
  <si>
    <t>Goerees</t>
  </si>
  <si>
    <t>gofa1235</t>
  </si>
  <si>
    <t>Gofa</t>
  </si>
  <si>
    <t>gof</t>
  </si>
  <si>
    <t>gogo1263</t>
  </si>
  <si>
    <t>west2846</t>
  </si>
  <si>
    <t>Gogo</t>
  </si>
  <si>
    <t>gog</t>
  </si>
  <si>
    <t>Gogodalic</t>
  </si>
  <si>
    <t>gogo1265</t>
  </si>
  <si>
    <t>Gogodala</t>
  </si>
  <si>
    <t>ggw</t>
  </si>
  <si>
    <t>gohi1234</t>
  </si>
  <si>
    <t>gwah1244</t>
  </si>
  <si>
    <t>Gohing</t>
  </si>
  <si>
    <t>goia1237</t>
  </si>
  <si>
    <t>Goiala</t>
  </si>
  <si>
    <t>goid1240</t>
  </si>
  <si>
    <t>Goidelic</t>
  </si>
  <si>
    <t>Goilalan</t>
  </si>
  <si>
    <t>goja1238</t>
  </si>
  <si>
    <t>Gojal</t>
  </si>
  <si>
    <t>Gokana</t>
  </si>
  <si>
    <t>gkn</t>
  </si>
  <si>
    <t>gokk1238</t>
  </si>
  <si>
    <t>Gok</t>
  </si>
  <si>
    <t>gokl1239</t>
  </si>
  <si>
    <t>Goklen</t>
  </si>
  <si>
    <t>gola1244</t>
  </si>
  <si>
    <t>Golari</t>
  </si>
  <si>
    <t>gola1254</t>
  </si>
  <si>
    <t>Golar (Austroasiatic)</t>
  </si>
  <si>
    <t>Gola</t>
  </si>
  <si>
    <t>gol</t>
  </si>
  <si>
    <t>LR SL</t>
  </si>
  <si>
    <t>gola1256</t>
  </si>
  <si>
    <t>Gola (Nigeria)</t>
  </si>
  <si>
    <t>gola1259</t>
  </si>
  <si>
    <t>Golar</t>
  </si>
  <si>
    <t>goli1246</t>
  </si>
  <si>
    <t>nucl1617</t>
  </si>
  <si>
    <t>Golinic</t>
  </si>
  <si>
    <t>goli1247</t>
  </si>
  <si>
    <t>Golin</t>
  </si>
  <si>
    <t>gvf</t>
  </si>
  <si>
    <t>goll1238</t>
  </si>
  <si>
    <t>Gol</t>
  </si>
  <si>
    <t>goll1242</t>
  </si>
  <si>
    <t>Gollango</t>
  </si>
  <si>
    <t>golu1238</t>
  </si>
  <si>
    <t>Golumala</t>
  </si>
  <si>
    <t>gomb1248</t>
  </si>
  <si>
    <t>Gombe</t>
  </si>
  <si>
    <t>gomb1249</t>
  </si>
  <si>
    <t>Gombe (Sena)</t>
  </si>
  <si>
    <t>gomb1250</t>
  </si>
  <si>
    <t>Gombo</t>
  </si>
  <si>
    <t>gomb1251</t>
  </si>
  <si>
    <t>Gomboro</t>
  </si>
  <si>
    <t>gomi1239</t>
  </si>
  <si>
    <t>Gomia</t>
  </si>
  <si>
    <t>gomm1238</t>
  </si>
  <si>
    <t>Gomme</t>
  </si>
  <si>
    <t>gomn1238</t>
  </si>
  <si>
    <t>Gomnome</t>
  </si>
  <si>
    <t>sout3139</t>
  </si>
  <si>
    <t>Gondi</t>
  </si>
  <si>
    <t>gone1237</t>
  </si>
  <si>
    <t>Gone Dau</t>
  </si>
  <si>
    <t>goo</t>
  </si>
  <si>
    <t>gong1240</t>
  </si>
  <si>
    <t>pana1293</t>
  </si>
  <si>
    <t>Gonge</t>
  </si>
  <si>
    <t>gong1251</t>
  </si>
  <si>
    <t>Gongduk</t>
  </si>
  <si>
    <t>goe</t>
  </si>
  <si>
    <t>gong1252</t>
  </si>
  <si>
    <t>Gongla</t>
  </si>
  <si>
    <t>gong1254</t>
  </si>
  <si>
    <t>lobi1245</t>
  </si>
  <si>
    <t>Gongon Lobi</t>
  </si>
  <si>
    <t>Ta-Ne-Omotic</t>
  </si>
  <si>
    <t>Kefoid</t>
  </si>
  <si>
    <t>Gonja</t>
  </si>
  <si>
    <t>gjn</t>
  </si>
  <si>
    <t>nort3204</t>
  </si>
  <si>
    <t>Gonja-Dompo</t>
  </si>
  <si>
    <t>gono1238</t>
  </si>
  <si>
    <t>Gono</t>
  </si>
  <si>
    <t>gons1237</t>
  </si>
  <si>
    <t>rung1259</t>
  </si>
  <si>
    <t>Gonsomon</t>
  </si>
  <si>
    <t>gooa1234</t>
  </si>
  <si>
    <t>tour1245</t>
  </si>
  <si>
    <t>Goo</t>
  </si>
  <si>
    <t>goom1239</t>
  </si>
  <si>
    <t>Goom</t>
  </si>
  <si>
    <t>goon1238</t>
  </si>
  <si>
    <t>Gooniyandi</t>
  </si>
  <si>
    <t>gni</t>
  </si>
  <si>
    <t>gora1259</t>
  </si>
  <si>
    <t>mewa1249</t>
  </si>
  <si>
    <t>Gorawati</t>
  </si>
  <si>
    <t>gora1260</t>
  </si>
  <si>
    <t>Gorakhpuri</t>
  </si>
  <si>
    <t>gora1261</t>
  </si>
  <si>
    <t>unun9996</t>
  </si>
  <si>
    <t>Gorap</t>
  </si>
  <si>
    <t>goq</t>
  </si>
  <si>
    <t>gora1262</t>
  </si>
  <si>
    <t>Gorakor</t>
  </si>
  <si>
    <t>goc</t>
  </si>
  <si>
    <t>gora1263</t>
  </si>
  <si>
    <t>Goram Laut</t>
  </si>
  <si>
    <t>gora1264</t>
  </si>
  <si>
    <t>Gora</t>
  </si>
  <si>
    <t>gora1265</t>
  </si>
  <si>
    <t>ikob1240</t>
  </si>
  <si>
    <t>Gorau</t>
  </si>
  <si>
    <t>gora1266</t>
  </si>
  <si>
    <t>Gora-Bomahouji</t>
  </si>
  <si>
    <t>gora1267</t>
  </si>
  <si>
    <t>Gorani</t>
  </si>
  <si>
    <t>gora1268</t>
  </si>
  <si>
    <t>west2893</t>
  </si>
  <si>
    <t>Gora (Serbian-Macedonian)</t>
  </si>
  <si>
    <t>gorb1238</t>
  </si>
  <si>
    <t>Gorbo</t>
  </si>
  <si>
    <t>gore1234</t>
  </si>
  <si>
    <t>sara1345</t>
  </si>
  <si>
    <t>Gore</t>
  </si>
  <si>
    <t>gore1235</t>
  </si>
  <si>
    <t>Goreng</t>
  </si>
  <si>
    <t>xgg</t>
  </si>
  <si>
    <t>gorg1240</t>
  </si>
  <si>
    <t>maza1291</t>
  </si>
  <si>
    <t>Gorgani</t>
  </si>
  <si>
    <t>gori1239</t>
  </si>
  <si>
    <t>Gori</t>
  </si>
  <si>
    <t>gork1241</t>
  </si>
  <si>
    <t>Gorkhali</t>
  </si>
  <si>
    <t>gork1242</t>
  </si>
  <si>
    <t>Gorkha Gurung</t>
  </si>
  <si>
    <t>gorm1238</t>
  </si>
  <si>
    <t>Gorminang</t>
  </si>
  <si>
    <t>goro1256</t>
  </si>
  <si>
    <t>Gorongosa</t>
  </si>
  <si>
    <t>goro1257</t>
  </si>
  <si>
    <t>Gorontalo-Mongondow</t>
  </si>
  <si>
    <t>Gorontalo</t>
  </si>
  <si>
    <t>gor</t>
  </si>
  <si>
    <t>goro1260</t>
  </si>
  <si>
    <t>Gorontalo Kota</t>
  </si>
  <si>
    <t>goro1261</t>
  </si>
  <si>
    <t>Gorovu</t>
  </si>
  <si>
    <t>grq</t>
  </si>
  <si>
    <t>goro1270</t>
  </si>
  <si>
    <t>iraq1240</t>
  </si>
  <si>
    <t>Gorowa</t>
  </si>
  <si>
    <t>gow</t>
  </si>
  <si>
    <t>goro1271</t>
  </si>
  <si>
    <t>Gorose</t>
  </si>
  <si>
    <t>kain1273</t>
  </si>
  <si>
    <t>Goroka</t>
  </si>
  <si>
    <t>Gorontalic</t>
  </si>
  <si>
    <t>gqr</t>
  </si>
  <si>
    <t>gosh1237</t>
  </si>
  <si>
    <t>Gosho</t>
  </si>
  <si>
    <t>gosi1242</t>
  </si>
  <si>
    <t>shos1248</t>
  </si>
  <si>
    <t>Gosiute</t>
  </si>
  <si>
    <t>gota1234</t>
  </si>
  <si>
    <t>G√∂tam√•l</t>
  </si>
  <si>
    <t>goth1244</t>
  </si>
  <si>
    <t>Gothic</t>
  </si>
  <si>
    <t>got</t>
  </si>
  <si>
    <t>MD</t>
  </si>
  <si>
    <t>gott1234</t>
  </si>
  <si>
    <t>sout2632</t>
  </si>
  <si>
    <t>Gottscheerisch</t>
  </si>
  <si>
    <t>gott1235</t>
  </si>
  <si>
    <t>G√∂ttingen-Grubenhagensch</t>
  </si>
  <si>
    <t>goua1238</t>
  </si>
  <si>
    <t>Gouande</t>
  </si>
  <si>
    <t>goui1239</t>
  </si>
  <si>
    <t>Gouindougouba</t>
  </si>
  <si>
    <t>gouk1234</t>
  </si>
  <si>
    <t>sout3257</t>
  </si>
  <si>
    <t>Goukou Qiang</t>
  </si>
  <si>
    <t>goul1238</t>
  </si>
  <si>
    <t>Goula</t>
  </si>
  <si>
    <t>goul1242</t>
  </si>
  <si>
    <t>Goulfey</t>
  </si>
  <si>
    <t>goul1243</t>
  </si>
  <si>
    <t>Goula-Melfi</t>
  </si>
  <si>
    <t>Goulaic</t>
  </si>
  <si>
    <t>goun1238</t>
  </si>
  <si>
    <t>Goundo</t>
  </si>
  <si>
    <t>goy</t>
  </si>
  <si>
    <t>gour1242</t>
  </si>
  <si>
    <t>Gourmantche</t>
  </si>
  <si>
    <t>gour1248</t>
  </si>
  <si>
    <t>Gourmanch√©ma</t>
  </si>
  <si>
    <t>gux</t>
  </si>
  <si>
    <t>BF BJ NE TG</t>
  </si>
  <si>
    <t>tazn1238</t>
  </si>
  <si>
    <t>gurm1250</t>
  </si>
  <si>
    <t>Gourmantche-Moba</t>
  </si>
  <si>
    <t>gova1250</t>
  </si>
  <si>
    <t>Govari of Seoni</t>
  </si>
  <si>
    <t>gova1251</t>
  </si>
  <si>
    <t>Govari</t>
  </si>
  <si>
    <t>gova1253</t>
  </si>
  <si>
    <t>Gova</t>
  </si>
  <si>
    <t>gove1240</t>
  </si>
  <si>
    <t>Govera</t>
  </si>
  <si>
    <t>gove1241</t>
  </si>
  <si>
    <t>sara1327</t>
  </si>
  <si>
    <t>Governor Generoso Manobo</t>
  </si>
  <si>
    <t>govo1238</t>
  </si>
  <si>
    <t>Govoro</t>
  </si>
  <si>
    <t>gowa1239</t>
  </si>
  <si>
    <t>Gowa</t>
  </si>
  <si>
    <t>gowl1241</t>
  </si>
  <si>
    <t>Gowli</t>
  </si>
  <si>
    <t>gok</t>
  </si>
  <si>
    <t>gowl1242</t>
  </si>
  <si>
    <t>Gowlan</t>
  </si>
  <si>
    <t>goj</t>
  </si>
  <si>
    <t>gowr1239</t>
  </si>
  <si>
    <t>Gowro</t>
  </si>
  <si>
    <t>gwf</t>
  </si>
  <si>
    <t>goza1238</t>
  </si>
  <si>
    <t>qazv1240</t>
  </si>
  <si>
    <t>Gozarkhani</t>
  </si>
  <si>
    <t>goz</t>
  </si>
  <si>
    <t>gozo1238</t>
  </si>
  <si>
    <t>malt1254</t>
  </si>
  <si>
    <t>Gozo</t>
  </si>
  <si>
    <t>grae1234</t>
  </si>
  <si>
    <t>Graeco-Phrygian</t>
  </si>
  <si>
    <t>gram1239</t>
  </si>
  <si>
    <t>Gramsukraviri</t>
  </si>
  <si>
    <t>gran1245</t>
  </si>
  <si>
    <t>Grangali</t>
  </si>
  <si>
    <t>nli</t>
  </si>
  <si>
    <t>gran1246</t>
  </si>
  <si>
    <t>Grand Valley Dani</t>
  </si>
  <si>
    <t>gras1239</t>
  </si>
  <si>
    <t>Grassland Mari</t>
  </si>
  <si>
    <t>gras1249</t>
  </si>
  <si>
    <t>koit1243</t>
  </si>
  <si>
    <t>Grass Koiari</t>
  </si>
  <si>
    <t>kbk</t>
  </si>
  <si>
    <t>grau1238</t>
  </si>
  <si>
    <t>Graubenden-Grisons</t>
  </si>
  <si>
    <t>Great Andamanese</t>
  </si>
  <si>
    <t>grea1267</t>
  </si>
  <si>
    <t>Great Nicobar</t>
  </si>
  <si>
    <t>grea1268</t>
  </si>
  <si>
    <t>Greater Sedang</t>
  </si>
  <si>
    <t>grea1271</t>
  </si>
  <si>
    <t>Greater Kabardian</t>
  </si>
  <si>
    <t>Greater Awyu</t>
  </si>
  <si>
    <t>quic1274</t>
  </si>
  <si>
    <t>Greater Quichean</t>
  </si>
  <si>
    <t>grea1277</t>
  </si>
  <si>
    <t>Greater Mamean</t>
  </si>
  <si>
    <t>grea1281</t>
  </si>
  <si>
    <t>kaby1243</t>
  </si>
  <si>
    <t>Western Kabyle</t>
  </si>
  <si>
    <t>grea1282</t>
  </si>
  <si>
    <t>Greater Maric</t>
  </si>
  <si>
    <t>Greater Barito linkage</t>
  </si>
  <si>
    <t>Greater Central Philippine</t>
  </si>
  <si>
    <t>Greater Yakkha</t>
  </si>
  <si>
    <t>grea1286</t>
  </si>
  <si>
    <t>Greater Bangi-Ntomba</t>
  </si>
  <si>
    <t>Greater Luyana</t>
  </si>
  <si>
    <t>grea1288</t>
  </si>
  <si>
    <t>kele1260</t>
  </si>
  <si>
    <t>Greater Kota</t>
  </si>
  <si>
    <t>Great Lakes Bantu</t>
  </si>
  <si>
    <t>grea1290</t>
  </si>
  <si>
    <t>kele1262</t>
  </si>
  <si>
    <t>Greater Sake</t>
  </si>
  <si>
    <t>grea1291</t>
  </si>
  <si>
    <t>Greater Luyia</t>
  </si>
  <si>
    <t>Greater Lalo</t>
  </si>
  <si>
    <t>sout3154</t>
  </si>
  <si>
    <t>Greater Dusunic</t>
  </si>
  <si>
    <t>grea1294</t>
  </si>
  <si>
    <t>Greater Murutic</t>
  </si>
  <si>
    <t>Greater Chuanqiandian</t>
  </si>
  <si>
    <t>greb1256</t>
  </si>
  <si>
    <t>greb1257</t>
  </si>
  <si>
    <t>Liberian Grebo</t>
  </si>
  <si>
    <t>grb</t>
  </si>
  <si>
    <t>Grebo</t>
  </si>
  <si>
    <t>gree1271</t>
  </si>
  <si>
    <t>Greek Sign Language</t>
  </si>
  <si>
    <t>gss</t>
  </si>
  <si>
    <t>gree1277</t>
  </si>
  <si>
    <t>Pyrgos-Peloponnese Romani</t>
  </si>
  <si>
    <t>gree1278</t>
  </si>
  <si>
    <t>sout2749</t>
  </si>
  <si>
    <t>Hagei Gelao</t>
  </si>
  <si>
    <t>giq</t>
  </si>
  <si>
    <t>Greenlandic Inuit</t>
  </si>
  <si>
    <t>grek1238</t>
  </si>
  <si>
    <t>Kalpazea-Filipidz√≠a-Xandurja</t>
  </si>
  <si>
    <t>gren1245</t>
  </si>
  <si>
    <t>Grenada-Mendoza</t>
  </si>
  <si>
    <t>gren1248</t>
  </si>
  <si>
    <t>Grenadian Creole English</t>
  </si>
  <si>
    <t>GD</t>
  </si>
  <si>
    <t>vinc1244</t>
  </si>
  <si>
    <t>Grenada-Tobago Creole</t>
  </si>
  <si>
    <t>gres1240</t>
  </si>
  <si>
    <t>nimb1257</t>
  </si>
  <si>
    <t>gres1241</t>
  </si>
  <si>
    <t>Gresi</t>
  </si>
  <si>
    <t>grs</t>
  </si>
  <si>
    <t>mlap1239</t>
  </si>
  <si>
    <t>Gresi-Kemtuik</t>
  </si>
  <si>
    <t>grif1237</t>
  </si>
  <si>
    <t>Griffin Point</t>
  </si>
  <si>
    <t>grik1245</t>
  </si>
  <si>
    <t>Grik</t>
  </si>
  <si>
    <t>grog1237</t>
  </si>
  <si>
    <t>Grogo</t>
  </si>
  <si>
    <t>grom1238</t>
  </si>
  <si>
    <t>Groma</t>
  </si>
  <si>
    <t>gro</t>
  </si>
  <si>
    <t>gron1242</t>
  </si>
  <si>
    <t>ostf1234</t>
  </si>
  <si>
    <t>Gronings</t>
  </si>
  <si>
    <t>gos</t>
  </si>
  <si>
    <t>gron1243</t>
  </si>
  <si>
    <t>Groningen-East Frisian</t>
  </si>
  <si>
    <t>gros1243</t>
  </si>
  <si>
    <t>Gros Ventre</t>
  </si>
  <si>
    <t>ats</t>
  </si>
  <si>
    <t>Grusi</t>
  </si>
  <si>
    <t>Tsang</t>
  </si>
  <si>
    <t>Gua</t>
  </si>
  <si>
    <t>gwx</t>
  </si>
  <si>
    <t>guac1239</t>
  </si>
  <si>
    <t>Guachi</t>
  </si>
  <si>
    <t>guac1240</t>
  </si>
  <si>
    <t>Guachipas</t>
  </si>
  <si>
    <t>hill1256</t>
  </si>
  <si>
    <t>Gua-Cherepon</t>
  </si>
  <si>
    <t>guad1241</t>
  </si>
  <si>
    <t>sout2853</t>
  </si>
  <si>
    <t>Guadalcanal-Nggelic</t>
  </si>
  <si>
    <t>Guadeloupean Creole French</t>
  </si>
  <si>
    <t>GP MQ</t>
  </si>
  <si>
    <t>Guahiboan</t>
  </si>
  <si>
    <t>Guahibo-Cuiva</t>
  </si>
  <si>
    <t>guah1254</t>
  </si>
  <si>
    <t>Guahibo-Playero</t>
  </si>
  <si>
    <t>guh</t>
  </si>
  <si>
    <t>guai1237</t>
  </si>
  <si>
    <t>Guaicurian</t>
  </si>
  <si>
    <t>guai1246</t>
  </si>
  <si>
    <t>Guaicaro</t>
  </si>
  <si>
    <t>Guaicuruan</t>
  </si>
  <si>
    <t>Guaicuru del Sur</t>
  </si>
  <si>
    <t>guaj1255</t>
  </si>
  <si>
    <t>temb1276</t>
  </si>
  <si>
    <t>Guajaj√°ra</t>
  </si>
  <si>
    <t>gub</t>
  </si>
  <si>
    <t>Guaj√°</t>
  </si>
  <si>
    <t>gvj</t>
  </si>
  <si>
    <t>Guajiro-Paraujano</t>
  </si>
  <si>
    <t>tupi1281</t>
  </si>
  <si>
    <t>Guaja-Kaapor-Ava</t>
  </si>
  <si>
    <t>Guaja-Aure-Aura</t>
  </si>
  <si>
    <t>gual1239</t>
  </si>
  <si>
    <t>Guale</t>
  </si>
  <si>
    <t>guam1236</t>
  </si>
  <si>
    <t>Guamo</t>
  </si>
  <si>
    <t>guam1248</t>
  </si>
  <si>
    <t>Guambiano</t>
  </si>
  <si>
    <t>gum</t>
  </si>
  <si>
    <t>guan1252</t>
  </si>
  <si>
    <t>Guanyingqiao</t>
  </si>
  <si>
    <t>horp1241</t>
  </si>
  <si>
    <t>Khroskyabs</t>
  </si>
  <si>
    <t>jiq</t>
  </si>
  <si>
    <t>Guana (Paraguay)</t>
  </si>
  <si>
    <t>gva</t>
  </si>
  <si>
    <t>BR PY</t>
  </si>
  <si>
    <t>wana1272</t>
  </si>
  <si>
    <t>Kotiria</t>
  </si>
  <si>
    <t>guan1270</t>
  </si>
  <si>
    <t>Kinikinao</t>
  </si>
  <si>
    <t>gqn</t>
  </si>
  <si>
    <t>guan1277</t>
  </si>
  <si>
    <t>unun9880</t>
  </si>
  <si>
    <t>Guanche</t>
  </si>
  <si>
    <t>gnc</t>
  </si>
  <si>
    <t>guan1278</t>
  </si>
  <si>
    <t>Guang</t>
  </si>
  <si>
    <t>guan1279</t>
  </si>
  <si>
    <t>Guangzhou</t>
  </si>
  <si>
    <t>guan1280</t>
  </si>
  <si>
    <t>Guan-Bao</t>
  </si>
  <si>
    <t>guar1292</t>
  </si>
  <si>
    <t>tupi1278</t>
  </si>
  <si>
    <t>Guarayu</t>
  </si>
  <si>
    <t>gyr</t>
  </si>
  <si>
    <t>pare1275</t>
  </si>
  <si>
    <t>Baniva de Maroa</t>
  </si>
  <si>
    <t>gae</t>
  </si>
  <si>
    <t>guar1294</t>
  </si>
  <si>
    <t>yucu1252</t>
  </si>
  <si>
    <t>Guaru</t>
  </si>
  <si>
    <t>guat1249</t>
  </si>
  <si>
    <t>Guatemalan Sign Language</t>
  </si>
  <si>
    <t>gsm</t>
  </si>
  <si>
    <t>guat1253</t>
  </si>
  <si>
    <t>Guat√≥</t>
  </si>
  <si>
    <t>gta</t>
  </si>
  <si>
    <t>guay1256</t>
  </si>
  <si>
    <t>jung1240</t>
  </si>
  <si>
    <t>Guayuyaco</t>
  </si>
  <si>
    <t>guay1257</t>
  </si>
  <si>
    <t>Guayabero</t>
  </si>
  <si>
    <t>guo</t>
  </si>
  <si>
    <t>Guaymiic</t>
  </si>
  <si>
    <t>guaz1234</t>
  </si>
  <si>
    <t>tara1326</t>
  </si>
  <si>
    <t>Guazapar</t>
  </si>
  <si>
    <t>guba1244</t>
  </si>
  <si>
    <t>Guba (Ethiopia)</t>
  </si>
  <si>
    <t>guba1245</t>
  </si>
  <si>
    <t>Guba</t>
  </si>
  <si>
    <t>guba1246</t>
  </si>
  <si>
    <t>Gubang Itneg</t>
  </si>
  <si>
    <t>guba1248</t>
  </si>
  <si>
    <t>Gubaare</t>
  </si>
  <si>
    <t>gube1234</t>
  </si>
  <si>
    <t>Gubeeher-Gufangor-Gubelor</t>
  </si>
  <si>
    <t>gubi1238</t>
  </si>
  <si>
    <t>shik1242</t>
  </si>
  <si>
    <t>Gubi</t>
  </si>
  <si>
    <t>guda1242</t>
  </si>
  <si>
    <t>Wambaya-Gudanji</t>
  </si>
  <si>
    <t>guda1243</t>
  </si>
  <si>
    <t>Gudanji</t>
  </si>
  <si>
    <t>guda1244</t>
  </si>
  <si>
    <t>guda1246</t>
  </si>
  <si>
    <t>Gudang</t>
  </si>
  <si>
    <t>xgd</t>
  </si>
  <si>
    <t>guda1245</t>
  </si>
  <si>
    <t>Ngurlun</t>
  </si>
  <si>
    <t>Gudang-Northeast Paman</t>
  </si>
  <si>
    <t>gude1239</t>
  </si>
  <si>
    <t>Gudeni</t>
  </si>
  <si>
    <t>Gude</t>
  </si>
  <si>
    <t>gde</t>
  </si>
  <si>
    <t>gude1247</t>
  </si>
  <si>
    <t>Gudeic</t>
  </si>
  <si>
    <t>Gude-Jimi-Zizilivakan</t>
  </si>
  <si>
    <t>gudi1238</t>
  </si>
  <si>
    <t>nung1292</t>
  </si>
  <si>
    <t>Gudi</t>
  </si>
  <si>
    <t>gudj1237</t>
  </si>
  <si>
    <t>nort2757</t>
  </si>
  <si>
    <t>Gudjal</t>
  </si>
  <si>
    <t>gudu1250</t>
  </si>
  <si>
    <t>Gudu</t>
  </si>
  <si>
    <t>gdu</t>
  </si>
  <si>
    <t>gudu1251</t>
  </si>
  <si>
    <t>Gudur</t>
  </si>
  <si>
    <t>Guduf-Gava</t>
  </si>
  <si>
    <t>gdf</t>
  </si>
  <si>
    <t>Guebie-Lakota Dida</t>
  </si>
  <si>
    <t>guel1234</t>
  </si>
  <si>
    <t>Guelaya</t>
  </si>
  <si>
    <t>guen1235</t>
  </si>
  <si>
    <t>G√ºenoa</t>
  </si>
  <si>
    <t>guer1240</t>
  </si>
  <si>
    <t>Guere</t>
  </si>
  <si>
    <t>guer1241</t>
  </si>
  <si>
    <t>Central Guerrero Nahuatl</t>
  </si>
  <si>
    <t>ngu</t>
  </si>
  <si>
    <t>guer1242</t>
  </si>
  <si>
    <t>Gueren</t>
  </si>
  <si>
    <t>guer1243</t>
  </si>
  <si>
    <t>Guerrero Amuzgo</t>
  </si>
  <si>
    <t>amu</t>
  </si>
  <si>
    <t>Guere-Krahn</t>
  </si>
  <si>
    <t>Guerrero Mixtec</t>
  </si>
  <si>
    <t>guev1238</t>
  </si>
  <si>
    <t>Guevea De Humboldt Zapotec</t>
  </si>
  <si>
    <t>zpg</t>
  </si>
  <si>
    <t>guga1239</t>
  </si>
  <si>
    <t>Gugadj</t>
  </si>
  <si>
    <t>ggd</t>
  </si>
  <si>
    <t>gugi1238</t>
  </si>
  <si>
    <t>Gugiko</t>
  </si>
  <si>
    <t>gugu1253</t>
  </si>
  <si>
    <t>waru1263</t>
  </si>
  <si>
    <t>Gugu Badhun</t>
  </si>
  <si>
    <t>gdc</t>
  </si>
  <si>
    <t>Gugubera</t>
  </si>
  <si>
    <t>gugu1255</t>
  </si>
  <si>
    <t>yimi1234</t>
  </si>
  <si>
    <t>Guugu Yimidhirr</t>
  </si>
  <si>
    <t>kky</t>
  </si>
  <si>
    <t>gugu1256</t>
  </si>
  <si>
    <t>unun9964</t>
  </si>
  <si>
    <t>Roth's Gugu Warra</t>
  </si>
  <si>
    <t>wrw</t>
  </si>
  <si>
    <t>gugu1257</t>
  </si>
  <si>
    <t>Gugu Mini</t>
  </si>
  <si>
    <t>ggm</t>
  </si>
  <si>
    <t>guhu1244</t>
  </si>
  <si>
    <t>Guhu-Samane</t>
  </si>
  <si>
    <t>ghs</t>
  </si>
  <si>
    <t>guia1241</t>
  </si>
  <si>
    <t>Guiam</t>
  </si>
  <si>
    <t>Guianan</t>
  </si>
  <si>
    <t>guia1246</t>
  </si>
  <si>
    <t>guya1252</t>
  </si>
  <si>
    <t>Guianese Creole French</t>
  </si>
  <si>
    <t>gcr</t>
  </si>
  <si>
    <t>BR GF</t>
  </si>
  <si>
    <t>guib1244</t>
  </si>
  <si>
    <t>Guibian Zhuang</t>
  </si>
  <si>
    <t>zgn</t>
  </si>
  <si>
    <t>guib1245</t>
  </si>
  <si>
    <t>Guibei Zhuang</t>
  </si>
  <si>
    <t>zgb</t>
  </si>
  <si>
    <t>guib1246</t>
  </si>
  <si>
    <t>Guiberoua B√©te</t>
  </si>
  <si>
    <t>bet</t>
  </si>
  <si>
    <t>guib1247</t>
  </si>
  <si>
    <t>Guiberoua</t>
  </si>
  <si>
    <t>guid1240</t>
  </si>
  <si>
    <t>nort2966</t>
  </si>
  <si>
    <t>Guidiville</t>
  </si>
  <si>
    <t>guil1236</t>
  </si>
  <si>
    <t>G√ºil√° Zapotec</t>
  </si>
  <si>
    <t>ztu</t>
  </si>
  <si>
    <t>guil1240</t>
  </si>
  <si>
    <t>Guilia</t>
  </si>
  <si>
    <t>guil1241</t>
  </si>
  <si>
    <t>Guilin Pinghua</t>
  </si>
  <si>
    <t>guim1240</t>
  </si>
  <si>
    <t>tene1248</t>
  </si>
  <si>
    <t>Gimri Kan</t>
  </si>
  <si>
    <t>guim1241</t>
  </si>
  <si>
    <t>Guimaras Island</t>
  </si>
  <si>
    <t>guin1237</t>
  </si>
  <si>
    <t>Goulou</t>
  </si>
  <si>
    <t>guin1250</t>
  </si>
  <si>
    <t>Guinean Sign Language</t>
  </si>
  <si>
    <t>gus</t>
  </si>
  <si>
    <t>guin1254</t>
  </si>
  <si>
    <t>kpel1252</t>
  </si>
  <si>
    <t>Guinea Kpelle</t>
  </si>
  <si>
    <t>gkp</t>
  </si>
  <si>
    <t>GN LR</t>
  </si>
  <si>
    <t>guin1255</t>
  </si>
  <si>
    <t>Guinaang</t>
  </si>
  <si>
    <t>guin1256</t>
  </si>
  <si>
    <t>Guinaang Bontoc</t>
  </si>
  <si>
    <t>guin1257</t>
  </si>
  <si>
    <t>Guinzadan</t>
  </si>
  <si>
    <t>guin1258</t>
  </si>
  <si>
    <t>Guinau</t>
  </si>
  <si>
    <t>Guinea Coast Creole English</t>
  </si>
  <si>
    <t>guin1260</t>
  </si>
  <si>
    <t>Guinea-Bissau Sign Language</t>
  </si>
  <si>
    <t>guip1235</t>
  </si>
  <si>
    <t>Guipuzcoan</t>
  </si>
  <si>
    <t>guiq1238</t>
  </si>
  <si>
    <t>Guiqiong</t>
  </si>
  <si>
    <t>gqi</t>
  </si>
  <si>
    <t>guiy1235</t>
  </si>
  <si>
    <t>Guiyang</t>
  </si>
  <si>
    <t>guiy1236</t>
  </si>
  <si>
    <t>Guiyang Mandarin</t>
  </si>
  <si>
    <t>BD IN PK</t>
  </si>
  <si>
    <t>Gujari</t>
  </si>
  <si>
    <t>gju</t>
  </si>
  <si>
    <t>AF IN PK</t>
  </si>
  <si>
    <t>guja1254</t>
  </si>
  <si>
    <t>Gujaaxet</t>
  </si>
  <si>
    <t>guja1255</t>
  </si>
  <si>
    <t>Gujarati-Rajasthani</t>
  </si>
  <si>
    <t>Gujaratic</t>
  </si>
  <si>
    <t>guji1239</t>
  </si>
  <si>
    <t>Guji</t>
  </si>
  <si>
    <t>gula1264</t>
  </si>
  <si>
    <t>Gulay (Dyaabugay)</t>
  </si>
  <si>
    <t>gula1265</t>
  </si>
  <si>
    <t>Gula Iro</t>
  </si>
  <si>
    <t>glj</t>
  </si>
  <si>
    <t>gula1266</t>
  </si>
  <si>
    <t>Gula (Central African Republic)</t>
  </si>
  <si>
    <t>kcm</t>
  </si>
  <si>
    <t>gula1267</t>
  </si>
  <si>
    <t>Gula</t>
  </si>
  <si>
    <t>gula1268</t>
  </si>
  <si>
    <t>sara1344</t>
  </si>
  <si>
    <t>Gulay</t>
  </si>
  <si>
    <t>gvl</t>
  </si>
  <si>
    <t>gula1269</t>
  </si>
  <si>
    <t>Gula (Chad)</t>
  </si>
  <si>
    <t>glu</t>
  </si>
  <si>
    <t>gula1270</t>
  </si>
  <si>
    <t>nort2833</t>
  </si>
  <si>
    <t>Gula'alaa</t>
  </si>
  <si>
    <t>gmb</t>
  </si>
  <si>
    <t>muna1247</t>
  </si>
  <si>
    <t>Gulamas</t>
  </si>
  <si>
    <t>gula1275</t>
  </si>
  <si>
    <t>marg1265</t>
  </si>
  <si>
    <t>Gulak</t>
  </si>
  <si>
    <t>gulb1238</t>
  </si>
  <si>
    <t>Gulbahar</t>
  </si>
  <si>
    <t>gule1241</t>
  </si>
  <si>
    <t>Gule</t>
  </si>
  <si>
    <t>gly</t>
  </si>
  <si>
    <t>gule1242</t>
  </si>
  <si>
    <t>Guleguleu</t>
  </si>
  <si>
    <t>gulf1238</t>
  </si>
  <si>
    <t>Gulf Zoque</t>
  </si>
  <si>
    <t>Gulf Arabic</t>
  </si>
  <si>
    <t>afb</t>
  </si>
  <si>
    <t>AE BH IQ IR KW OM QA SA YE</t>
  </si>
  <si>
    <t>gulf1242</t>
  </si>
  <si>
    <t>Gulf Coast French</t>
  </si>
  <si>
    <t>guli1243</t>
  </si>
  <si>
    <t>Gulicha</t>
  </si>
  <si>
    <t>guli1244</t>
  </si>
  <si>
    <t>Guliguli</t>
  </si>
  <si>
    <t>gli</t>
  </si>
  <si>
    <t>gull1240</t>
  </si>
  <si>
    <t>Gulli</t>
  </si>
  <si>
    <t>gull1241</t>
  </si>
  <si>
    <t>Sea Island Creole English</t>
  </si>
  <si>
    <t>gul</t>
  </si>
  <si>
    <t>Gullah-Nevis-Antigua</t>
  </si>
  <si>
    <t>Gullah</t>
  </si>
  <si>
    <t>guln1239</t>
  </si>
  <si>
    <t>Gulnguy</t>
  </si>
  <si>
    <t>gulu1236</t>
  </si>
  <si>
    <t>worr1238</t>
  </si>
  <si>
    <t>Gulunggulu</t>
  </si>
  <si>
    <t>guma1253</t>
  </si>
  <si>
    <t>Gumatj</t>
  </si>
  <si>
    <t>gnn</t>
  </si>
  <si>
    <t>guma1254</t>
  </si>
  <si>
    <t>Gumawana</t>
  </si>
  <si>
    <t>gvs</t>
  </si>
  <si>
    <t>guma1255</t>
  </si>
  <si>
    <t>Gumalu</t>
  </si>
  <si>
    <t>gmu</t>
  </si>
  <si>
    <t>guma1259</t>
  </si>
  <si>
    <t>Gumay</t>
  </si>
  <si>
    <t>gumb1242</t>
  </si>
  <si>
    <t>nort3154</t>
  </si>
  <si>
    <t>Gumbaynggiric</t>
  </si>
  <si>
    <t>gumb1243</t>
  </si>
  <si>
    <t>Gumbang</t>
  </si>
  <si>
    <t>gume1239</t>
  </si>
  <si>
    <t>Gumer</t>
  </si>
  <si>
    <t>mabu1247</t>
  </si>
  <si>
    <t>Gum</t>
  </si>
  <si>
    <t>Gumna-Kontagora</t>
  </si>
  <si>
    <t>gums1237</t>
  </si>
  <si>
    <t>kuii1252</t>
  </si>
  <si>
    <t>Gumsai</t>
  </si>
  <si>
    <t>Northern Gumuz</t>
  </si>
  <si>
    <t>guk</t>
  </si>
  <si>
    <t>Gumuz</t>
  </si>
  <si>
    <t>guna1242</t>
  </si>
  <si>
    <t>Gunangi</t>
  </si>
  <si>
    <t>gund1246</t>
  </si>
  <si>
    <t>Kundjeyhmi</t>
  </si>
  <si>
    <t>gund1247</t>
  </si>
  <si>
    <t>Gundi</t>
  </si>
  <si>
    <t>gdi</t>
  </si>
  <si>
    <t>gund1248</t>
  </si>
  <si>
    <t>nort2760</t>
  </si>
  <si>
    <t>Gundungurra</t>
  </si>
  <si>
    <t>xrd</t>
  </si>
  <si>
    <t>gund1249</t>
  </si>
  <si>
    <t>warr1257</t>
  </si>
  <si>
    <t>Kurnkopanut</t>
  </si>
  <si>
    <t>gune1238</t>
  </si>
  <si>
    <t>Kune</t>
  </si>
  <si>
    <t>gung1248</t>
  </si>
  <si>
    <t>Gungabula</t>
  </si>
  <si>
    <t>gyf</t>
  </si>
  <si>
    <t>gung1249</t>
  </si>
  <si>
    <t>yidi1250</t>
  </si>
  <si>
    <t>Gunggay</t>
  </si>
  <si>
    <t>gung1250</t>
  </si>
  <si>
    <t>Gungu</t>
  </si>
  <si>
    <t>rub</t>
  </si>
  <si>
    <t>gunm1237</t>
  </si>
  <si>
    <t>Gunma</t>
  </si>
  <si>
    <t>gunn1247</t>
  </si>
  <si>
    <t>Gun-narta</t>
  </si>
  <si>
    <t>gunn1248</t>
  </si>
  <si>
    <t>Gun-narda</t>
  </si>
  <si>
    <t>gunn1249</t>
  </si>
  <si>
    <t>Gun-nartpa</t>
  </si>
  <si>
    <t>Gun</t>
  </si>
  <si>
    <t>guw</t>
  </si>
  <si>
    <t>nung1293</t>
  </si>
  <si>
    <t>Gunong</t>
  </si>
  <si>
    <t>gunt1240</t>
  </si>
  <si>
    <t>Guntur</t>
  </si>
  <si>
    <t>Warta Thuntai</t>
  </si>
  <si>
    <t>gnt</t>
  </si>
  <si>
    <t>Gunwinyguan</t>
  </si>
  <si>
    <t>Bininj Kun-Wok</t>
  </si>
  <si>
    <t>Gunwinyguan Bak</t>
  </si>
  <si>
    <t>guny1241</t>
  </si>
  <si>
    <t>marg1252</t>
  </si>
  <si>
    <t>Gunya</t>
  </si>
  <si>
    <t>gyy</t>
  </si>
  <si>
    <t>guny1242</t>
  </si>
  <si>
    <t>Gunyamoolo</t>
  </si>
  <si>
    <t>guoh1234</t>
  </si>
  <si>
    <t>Guohue</t>
  </si>
  <si>
    <t>guoz1234</t>
  </si>
  <si>
    <t>Guozuo</t>
  </si>
  <si>
    <t>gupa1247</t>
  </si>
  <si>
    <t>Gupapuyngu</t>
  </si>
  <si>
    <t>guf</t>
  </si>
  <si>
    <t>kami1262</t>
  </si>
  <si>
    <t>Gupa-Abawa</t>
  </si>
  <si>
    <t>gpa</t>
  </si>
  <si>
    <t>gupa1249</t>
  </si>
  <si>
    <t>Gupa</t>
  </si>
  <si>
    <t>Gurani</t>
  </si>
  <si>
    <t>hac</t>
  </si>
  <si>
    <t>gura1252</t>
  </si>
  <si>
    <t>Guragone</t>
  </si>
  <si>
    <t>gge</t>
  </si>
  <si>
    <t>gura1253</t>
  </si>
  <si>
    <t>lame1257</t>
  </si>
  <si>
    <t>Gura</t>
  </si>
  <si>
    <t>gura1254</t>
  </si>
  <si>
    <t>mini1257</t>
  </si>
  <si>
    <t>Guramalum</t>
  </si>
  <si>
    <t>grz</t>
  </si>
  <si>
    <t>gura1260</t>
  </si>
  <si>
    <t>Gura (Semitic)</t>
  </si>
  <si>
    <t>Gur</t>
  </si>
  <si>
    <t>gurd1238</t>
  </si>
  <si>
    <t>Gurdjar</t>
  </si>
  <si>
    <t>gdj</t>
  </si>
  <si>
    <t>gure1252</t>
  </si>
  <si>
    <t>Gurezi</t>
  </si>
  <si>
    <t>Gureng Gureng</t>
  </si>
  <si>
    <t>gnr</t>
  </si>
  <si>
    <t>gurg1240</t>
  </si>
  <si>
    <t>Gurgula</t>
  </si>
  <si>
    <t>ggg</t>
  </si>
  <si>
    <t>gurg1241</t>
  </si>
  <si>
    <t>Gurgani</t>
  </si>
  <si>
    <t>Gurian</t>
  </si>
  <si>
    <t>guri1247</t>
  </si>
  <si>
    <t>guri1250</t>
  </si>
  <si>
    <t>Gurindji</t>
  </si>
  <si>
    <t>gue</t>
  </si>
  <si>
    <t>guri1248</t>
  </si>
  <si>
    <t>Guriaso</t>
  </si>
  <si>
    <t>grx</t>
  </si>
  <si>
    <t>guri1249</t>
  </si>
  <si>
    <t>guri1251</t>
  </si>
  <si>
    <t>Gurindji Kriol</t>
  </si>
  <si>
    <t>gjr</t>
  </si>
  <si>
    <t>ngum1256</t>
  </si>
  <si>
    <t>Gurindjic</t>
  </si>
  <si>
    <t>Gurindji-Kriol</t>
  </si>
  <si>
    <t>gurj1238</t>
  </si>
  <si>
    <t>Gurjindi</t>
  </si>
  <si>
    <t>gurm1246</t>
  </si>
  <si>
    <t>Gurmana</t>
  </si>
  <si>
    <t>gvm</t>
  </si>
  <si>
    <t>gurm1247</t>
  </si>
  <si>
    <t>nucl1743</t>
  </si>
  <si>
    <t>Gurma-Yom-Oti-Volta Occidental</t>
  </si>
  <si>
    <t>gurm1248</t>
  </si>
  <si>
    <t>Gurma-Yom-Naudem</t>
  </si>
  <si>
    <t>gurm1249</t>
  </si>
  <si>
    <t>Gurma</t>
  </si>
  <si>
    <t>Gurma B</t>
  </si>
  <si>
    <t>guro1245</t>
  </si>
  <si>
    <t>sout3140</t>
  </si>
  <si>
    <t>Mano-Dan</t>
  </si>
  <si>
    <t>Guro-Dan</t>
  </si>
  <si>
    <t>guro1247</t>
  </si>
  <si>
    <t>Guro-Yaoure</t>
  </si>
  <si>
    <t>guro1248</t>
  </si>
  <si>
    <t>Guro</t>
  </si>
  <si>
    <t>goa</t>
  </si>
  <si>
    <t>guru1260</t>
  </si>
  <si>
    <t>tama1367</t>
  </si>
  <si>
    <t>Gurungic</t>
  </si>
  <si>
    <t>Gurung</t>
  </si>
  <si>
    <t>gvr</t>
  </si>
  <si>
    <t>BT IN NP</t>
  </si>
  <si>
    <t>guru1262</t>
  </si>
  <si>
    <t>Gurune</t>
  </si>
  <si>
    <t>guru1263</t>
  </si>
  <si>
    <t>safw1238</t>
  </si>
  <si>
    <t>Guruka</t>
  </si>
  <si>
    <t>guru1264</t>
  </si>
  <si>
    <t>Guru</t>
  </si>
  <si>
    <t>guru1265</t>
  </si>
  <si>
    <t>Guru (Mali)</t>
  </si>
  <si>
    <t>guru1272</t>
  </si>
  <si>
    <t>Guruntum-Mbaaru</t>
  </si>
  <si>
    <t>grd</t>
  </si>
  <si>
    <t>Guruntumic</t>
  </si>
  <si>
    <t>gurv1234</t>
  </si>
  <si>
    <t>Gurvari</t>
  </si>
  <si>
    <t>Gusap-Mot</t>
  </si>
  <si>
    <t>gusa1246</t>
  </si>
  <si>
    <t>Gusan</t>
  </si>
  <si>
    <t>gsn</t>
  </si>
  <si>
    <t>guse1238</t>
  </si>
  <si>
    <t>Guse</t>
  </si>
  <si>
    <t>Gusilay-Bandial</t>
  </si>
  <si>
    <t>gusi1246</t>
  </si>
  <si>
    <t>Gusilay</t>
  </si>
  <si>
    <t>gsl</t>
  </si>
  <si>
    <t>gusi1247</t>
  </si>
  <si>
    <t>nort3227</t>
  </si>
  <si>
    <t>Gusii</t>
  </si>
  <si>
    <t>guz</t>
  </si>
  <si>
    <t>gusu1241</t>
  </si>
  <si>
    <t>Gusubou</t>
  </si>
  <si>
    <t>gusu1242</t>
  </si>
  <si>
    <t>Gusu</t>
  </si>
  <si>
    <t>guta1238</t>
  </si>
  <si>
    <t>Guta</t>
  </si>
  <si>
    <t>guti1235</t>
  </si>
  <si>
    <t>Gutian</t>
  </si>
  <si>
    <t>Archaic Gutnish</t>
  </si>
  <si>
    <t>Gutob-Remo</t>
  </si>
  <si>
    <t>guuu1237</t>
  </si>
  <si>
    <t>Gu</t>
  </si>
  <si>
    <t>guvh1238</t>
  </si>
  <si>
    <t>Guvhu</t>
  </si>
  <si>
    <t>guvj1238</t>
  </si>
  <si>
    <t>Guvja</t>
  </si>
  <si>
    <t>guwa1241</t>
  </si>
  <si>
    <t>guwa1245</t>
  </si>
  <si>
    <t>Guwa-Yanda</t>
  </si>
  <si>
    <t>guwa1242</t>
  </si>
  <si>
    <t>Guwa</t>
  </si>
  <si>
    <t>xgw</t>
  </si>
  <si>
    <t>guwa1243</t>
  </si>
  <si>
    <t>Guwamu</t>
  </si>
  <si>
    <t>gwu</t>
  </si>
  <si>
    <t>guwa1244</t>
  </si>
  <si>
    <t>Guwar</t>
  </si>
  <si>
    <t>Guwa-Maric</t>
  </si>
  <si>
    <t>guwi1238</t>
  </si>
  <si>
    <t>Guwidj</t>
  </si>
  <si>
    <t>guya1249</t>
  </si>
  <si>
    <t>Guyani</t>
  </si>
  <si>
    <t>gvy</t>
  </si>
  <si>
    <t>guya1250</t>
  </si>
  <si>
    <t>yuga1242</t>
  </si>
  <si>
    <t>Guyambal</t>
  </si>
  <si>
    <t>guya1251</t>
  </si>
  <si>
    <t>Guya</t>
  </si>
  <si>
    <t>gka</t>
  </si>
  <si>
    <t>Guyanic Creole French</t>
  </si>
  <si>
    <t>guya1253</t>
  </si>
  <si>
    <t>Guyana Sign Language</t>
  </si>
  <si>
    <t>guye1238</t>
  </si>
  <si>
    <t>Guyennais</t>
  </si>
  <si>
    <t>guyi1237</t>
  </si>
  <si>
    <t>Guyinbaraay</t>
  </si>
  <si>
    <t>guzh1234</t>
  </si>
  <si>
    <t>Guzhang</t>
  </si>
  <si>
    <t>gvok1239</t>
  </si>
  <si>
    <t>Gvoko</t>
  </si>
  <si>
    <t>ngs</t>
  </si>
  <si>
    <t>gwaa1239</t>
  </si>
  <si>
    <t>unun9929</t>
  </si>
  <si>
    <t>Gwa</t>
  </si>
  <si>
    <t>gwb</t>
  </si>
  <si>
    <t>gwaa1240</t>
  </si>
  <si>
    <t>Gwaan Dan</t>
  </si>
  <si>
    <t>gwab1237</t>
  </si>
  <si>
    <t>Gwabegwabe</t>
  </si>
  <si>
    <t>waru1269</t>
  </si>
  <si>
    <t>Gwahatike</t>
  </si>
  <si>
    <t>dah</t>
  </si>
  <si>
    <t>gwah1245</t>
  </si>
  <si>
    <t>Gwahamere</t>
  </si>
  <si>
    <t>gwam1244</t>
  </si>
  <si>
    <t>main1281</t>
  </si>
  <si>
    <t>Gwamhi-Wuri</t>
  </si>
  <si>
    <t>bga</t>
  </si>
  <si>
    <t>gwam1245</t>
  </si>
  <si>
    <t>Gwamhi</t>
  </si>
  <si>
    <t>gwam1246</t>
  </si>
  <si>
    <t>Gwamba</t>
  </si>
  <si>
    <t>gwan1242</t>
  </si>
  <si>
    <t>hone1235</t>
  </si>
  <si>
    <t>Gwana</t>
  </si>
  <si>
    <t>gwan1243</t>
  </si>
  <si>
    <t>poko1261</t>
  </si>
  <si>
    <t>Gwano</t>
  </si>
  <si>
    <t>gwan1267</t>
  </si>
  <si>
    <t>Gwanje</t>
  </si>
  <si>
    <t>gwan1268</t>
  </si>
  <si>
    <t>west2718</t>
  </si>
  <si>
    <t>Gwandara</t>
  </si>
  <si>
    <t>gwn</t>
  </si>
  <si>
    <t>gwan1269</t>
  </si>
  <si>
    <t>Gwandara Southern</t>
  </si>
  <si>
    <t>gwan1270</t>
  </si>
  <si>
    <t>Gwandara Karashi</t>
  </si>
  <si>
    <t>gwan1271</t>
  </si>
  <si>
    <t>Gwandara Eastern</t>
  </si>
  <si>
    <t>gwan1272</t>
  </si>
  <si>
    <t>Gwandara Gitata</t>
  </si>
  <si>
    <t>gwan1273</t>
  </si>
  <si>
    <t>Gwandara Koro</t>
  </si>
  <si>
    <t>gwap1238</t>
  </si>
  <si>
    <t>Dahating</t>
  </si>
  <si>
    <t>gwar1240</t>
  </si>
  <si>
    <t>Gwara</t>
  </si>
  <si>
    <t>gwar1241</t>
  </si>
  <si>
    <t>Gwareta</t>
  </si>
  <si>
    <t>gwar1244</t>
  </si>
  <si>
    <t>Gwara (Marghi)</t>
  </si>
  <si>
    <t>gwaz1238</t>
  </si>
  <si>
    <t>Gwaza</t>
  </si>
  <si>
    <t>gwed1239</t>
  </si>
  <si>
    <t>Gweda</t>
  </si>
  <si>
    <t>grw</t>
  </si>
  <si>
    <t>gwee1241</t>
  </si>
  <si>
    <t>suku1261</t>
  </si>
  <si>
    <t>Gwe</t>
  </si>
  <si>
    <t>gwee1242</t>
  </si>
  <si>
    <t>Gweetaawu</t>
  </si>
  <si>
    <t>gwen1239</t>
  </si>
  <si>
    <t>Gweno</t>
  </si>
  <si>
    <t>gwe</t>
  </si>
  <si>
    <t>gwen1242</t>
  </si>
  <si>
    <t>Pelasla</t>
  </si>
  <si>
    <t>gweo1238</t>
  </si>
  <si>
    <t>Gw√©√≤</t>
  </si>
  <si>
    <t>gwer1238</t>
  </si>
  <si>
    <t>Gwere</t>
  </si>
  <si>
    <t>gwr</t>
  </si>
  <si>
    <t>gwic1235</t>
  </si>
  <si>
    <t>Gwich'in</t>
  </si>
  <si>
    <t>gwi</t>
  </si>
  <si>
    <t>gwii1239</t>
  </si>
  <si>
    <t>/Gwi</t>
  </si>
  <si>
    <t>gwj</t>
  </si>
  <si>
    <t>gwor1239</t>
  </si>
  <si>
    <t>Gworam</t>
  </si>
  <si>
    <t>gwoz1239</t>
  </si>
  <si>
    <t>Gwoza</t>
  </si>
  <si>
    <t>gyak1238</t>
  </si>
  <si>
    <t>kwaa1262</t>
  </si>
  <si>
    <t>Gyakan</t>
  </si>
  <si>
    <t>gyal1235</t>
  </si>
  <si>
    <t>kyir1235</t>
  </si>
  <si>
    <t>Gyalsumdo-Nubri-Kyirong</t>
  </si>
  <si>
    <t>gyal1236</t>
  </si>
  <si>
    <t>nubr1241</t>
  </si>
  <si>
    <t>Gyalsumdo</t>
  </si>
  <si>
    <t>gyo</t>
  </si>
  <si>
    <t>gyel1241</t>
  </si>
  <si>
    <t>Gyell-Kuru-Vwang</t>
  </si>
  <si>
    <t>gyel1242</t>
  </si>
  <si>
    <t>mvum1239</t>
  </si>
  <si>
    <t>Gyele</t>
  </si>
  <si>
    <t>gyi</t>
  </si>
  <si>
    <t>gyem1238</t>
  </si>
  <si>
    <t>lame1269</t>
  </si>
  <si>
    <t>Gyem</t>
  </si>
  <si>
    <t>gye</t>
  </si>
  <si>
    <t>gyet1240</t>
  </si>
  <si>
    <t>Gyeto (Sebat Bet Gurage)</t>
  </si>
  <si>
    <t>gyet1241</t>
  </si>
  <si>
    <t>Gyeto</t>
  </si>
  <si>
    <t>gyog1238</t>
  </si>
  <si>
    <t>Gyogo</t>
  </si>
  <si>
    <t>gyon1234</t>
  </si>
  <si>
    <t>nort3184</t>
  </si>
  <si>
    <t>Gyong-Kamantan</t>
  </si>
  <si>
    <t>haaa1237</t>
  </si>
  <si>
    <t>Ha (China)</t>
  </si>
  <si>
    <t>haaa1250</t>
  </si>
  <si>
    <t>uppe1406</t>
  </si>
  <si>
    <t>Ha'aang</t>
  </si>
  <si>
    <t>haaa1251</t>
  </si>
  <si>
    <t>Ha (Bhutan)</t>
  </si>
  <si>
    <t>haaa1252</t>
  </si>
  <si>
    <t>rwan1241</t>
  </si>
  <si>
    <t>Ha</t>
  </si>
  <si>
    <t>haq</t>
  </si>
  <si>
    <t>BI TZ</t>
  </si>
  <si>
    <t>haav1238</t>
  </si>
  <si>
    <t>Haaviqinra-Oraura</t>
  </si>
  <si>
    <t>haba1238</t>
  </si>
  <si>
    <t>Habau</t>
  </si>
  <si>
    <t>haba1239</t>
  </si>
  <si>
    <t>Habab Tigre</t>
  </si>
  <si>
    <t>habb1238</t>
  </si>
  <si>
    <t>Habban</t>
  </si>
  <si>
    <t>habu1240</t>
  </si>
  <si>
    <t>Habura</t>
  </si>
  <si>
    <t>habu1241</t>
  </si>
  <si>
    <t>Habu</t>
  </si>
  <si>
    <t>hbu</t>
  </si>
  <si>
    <t>hach1238</t>
  </si>
  <si>
    <t>Hachij≈ç</t>
  </si>
  <si>
    <t>hach1239</t>
  </si>
  <si>
    <t>Hachijo</t>
  </si>
  <si>
    <t>hada1239</t>
  </si>
  <si>
    <t>Hadareb</t>
  </si>
  <si>
    <t>hade1238</t>
  </si>
  <si>
    <t>hran1239</t>
  </si>
  <si>
    <t>Hadem</t>
  </si>
  <si>
    <t>hade1247</t>
  </si>
  <si>
    <t>Hadejiya</t>
  </si>
  <si>
    <t>hade1248</t>
  </si>
  <si>
    <t>Hadendoa</t>
  </si>
  <si>
    <t>hadi1240</t>
  </si>
  <si>
    <t>hadi1242</t>
  </si>
  <si>
    <t>Hadiyya</t>
  </si>
  <si>
    <t>hdy</t>
  </si>
  <si>
    <t>hadi1241</t>
  </si>
  <si>
    <t>sida1247</t>
  </si>
  <si>
    <t>Hadiyya-Kambaata</t>
  </si>
  <si>
    <t>Hadiyyaic</t>
  </si>
  <si>
    <t>hado1235</t>
  </si>
  <si>
    <t>Hadothi</t>
  </si>
  <si>
    <t>hoj</t>
  </si>
  <si>
    <t>hadr1235</t>
  </si>
  <si>
    <t>sayh1236</t>
  </si>
  <si>
    <t>Hadrami</t>
  </si>
  <si>
    <t>xhd</t>
  </si>
  <si>
    <t>YE</t>
  </si>
  <si>
    <t>hadr1236</t>
  </si>
  <si>
    <t>Hadrami Arabic</t>
  </si>
  <si>
    <t>ayh</t>
  </si>
  <si>
    <t>SA YE</t>
  </si>
  <si>
    <t>hady1238</t>
  </si>
  <si>
    <t>nyol1238</t>
  </si>
  <si>
    <t>Hadyo</t>
  </si>
  <si>
    <t>haek1239</t>
  </si>
  <si>
    <t>Haeke</t>
  </si>
  <si>
    <t>aek</t>
  </si>
  <si>
    <t>Haeke-Bwatoo</t>
  </si>
  <si>
    <t>haer1234</t>
  </si>
  <si>
    <t>nort3283</t>
  </si>
  <si>
    <t>Ha'erbin Mandarin</t>
  </si>
  <si>
    <t>haft1238</t>
  </si>
  <si>
    <t>Haft-Lang</t>
  </si>
  <si>
    <t>hage1247</t>
  </si>
  <si>
    <t>Hageulu</t>
  </si>
  <si>
    <t>Hagen</t>
  </si>
  <si>
    <t>hagi1238</t>
  </si>
  <si>
    <t>Hagi</t>
  </si>
  <si>
    <t>haha1243</t>
  </si>
  <si>
    <t>Hahak</t>
  </si>
  <si>
    <t>haha1244</t>
  </si>
  <si>
    <t>Hahaintesu</t>
  </si>
  <si>
    <t>tinp1238</t>
  </si>
  <si>
    <t>Hahon</t>
  </si>
  <si>
    <t>hah</t>
  </si>
  <si>
    <t>haho1238</t>
  </si>
  <si>
    <t>Ha-Hoic</t>
  </si>
  <si>
    <t>haig1237</t>
  </si>
  <si>
    <t>Haigwai</t>
  </si>
  <si>
    <t>hgw</t>
  </si>
  <si>
    <t>haii1241</t>
  </si>
  <si>
    <t>Hai</t>
  </si>
  <si>
    <t>haii1242</t>
  </si>
  <si>
    <t>Hai (Tanzania)</t>
  </si>
  <si>
    <t>haij1242</t>
  </si>
  <si>
    <t>Haija</t>
  </si>
  <si>
    <t>hail1246</t>
  </si>
  <si>
    <t>Haila'er Dagur</t>
  </si>
  <si>
    <t>hail1247</t>
  </si>
  <si>
    <t>hakk1236</t>
  </si>
  <si>
    <t>Hailu</t>
  </si>
  <si>
    <t>hail1248</t>
  </si>
  <si>
    <t>Haila'er Evenki</t>
  </si>
  <si>
    <t>hain1237</t>
  </si>
  <si>
    <t>Haikou</t>
  </si>
  <si>
    <t>qion1239</t>
  </si>
  <si>
    <t>Hainan</t>
  </si>
  <si>
    <t>hain1252</t>
  </si>
  <si>
    <t>Hainaut</t>
  </si>
  <si>
    <t>hain1253</t>
  </si>
  <si>
    <t>Hainyaxo Bozo</t>
  </si>
  <si>
    <t>bzx</t>
  </si>
  <si>
    <t>hain1254</t>
  </si>
  <si>
    <t>Hain||um</t>
  </si>
  <si>
    <t>nort3245</t>
  </si>
  <si>
    <t>Hai//om</t>
  </si>
  <si>
    <t>hgm</t>
  </si>
  <si>
    <t>BW NA ZA</t>
  </si>
  <si>
    <t>haip1238</t>
  </si>
  <si>
    <t>oldc1249</t>
  </si>
  <si>
    <t>Haiphong Sign Language</t>
  </si>
  <si>
    <t>haf</t>
  </si>
  <si>
    <t>hais1244</t>
  </si>
  <si>
    <t>nort2964</t>
  </si>
  <si>
    <t>Haisla</t>
  </si>
  <si>
    <t>has</t>
  </si>
  <si>
    <t>hait1241</t>
  </si>
  <si>
    <t>Haitian Vodoun Culture Language</t>
  </si>
  <si>
    <t>hvc</t>
  </si>
  <si>
    <t>HT</t>
  </si>
  <si>
    <t>Haitian</t>
  </si>
  <si>
    <t>DO HT</t>
  </si>
  <si>
    <t>haji1235</t>
  </si>
  <si>
    <t>Haji</t>
  </si>
  <si>
    <t>hji</t>
  </si>
  <si>
    <t>haji1236</t>
  </si>
  <si>
    <t>kili1262</t>
  </si>
  <si>
    <t>Hajin</t>
  </si>
  <si>
    <t>hajo1238</t>
  </si>
  <si>
    <t>Hajong</t>
  </si>
  <si>
    <t>haj</t>
  </si>
  <si>
    <t>haka1240</t>
  </si>
  <si>
    <t>Haka Chin</t>
  </si>
  <si>
    <t>cnh</t>
  </si>
  <si>
    <t>haka1241</t>
  </si>
  <si>
    <t>Hakata-ben</t>
  </si>
  <si>
    <t>hakh1236</t>
  </si>
  <si>
    <t>Hakhun</t>
  </si>
  <si>
    <t>hakh1237</t>
  </si>
  <si>
    <t>Hakhi Naga</t>
  </si>
  <si>
    <t>Hakka Chinese</t>
  </si>
  <si>
    <t>hak</t>
  </si>
  <si>
    <t>CN TW</t>
  </si>
  <si>
    <t>hako1237</t>
  </si>
  <si>
    <t>hali1243</t>
  </si>
  <si>
    <t>Hak√∂</t>
  </si>
  <si>
    <t>hao</t>
  </si>
  <si>
    <t>hala1252</t>
  </si>
  <si>
    <t>jehh1246</t>
  </si>
  <si>
    <t>Halang</t>
  </si>
  <si>
    <t>hal</t>
  </si>
  <si>
    <t>hala1253</t>
  </si>
  <si>
    <t>unun9941</t>
  </si>
  <si>
    <t>Halang Doan</t>
  </si>
  <si>
    <t>hld</t>
  </si>
  <si>
    <t>hala1254</t>
  </si>
  <si>
    <t>Riang (Bru)</t>
  </si>
  <si>
    <t>Halbi</t>
  </si>
  <si>
    <t>hlb</t>
  </si>
  <si>
    <t>halb1245</t>
  </si>
  <si>
    <t>oriy1255</t>
  </si>
  <si>
    <t>Halbi (Nuclear Oriya)</t>
  </si>
  <si>
    <t>indo1323</t>
  </si>
  <si>
    <t>Halbic</t>
  </si>
  <si>
    <t>hale1239</t>
  </si>
  <si>
    <t>Halerman</t>
  </si>
  <si>
    <t>mong1331</t>
  </si>
  <si>
    <t>Halh Mongolian</t>
  </si>
  <si>
    <t>khk</t>
  </si>
  <si>
    <t>halh1239</t>
  </si>
  <si>
    <t>Halh</t>
  </si>
  <si>
    <t>Haliaic</t>
  </si>
  <si>
    <t>hali1244</t>
  </si>
  <si>
    <t>Halia</t>
  </si>
  <si>
    <t>hla</t>
  </si>
  <si>
    <t>Coastal Marind</t>
  </si>
  <si>
    <t>Halkomelem</t>
  </si>
  <si>
    <t>hur</t>
  </si>
  <si>
    <t>hall1240</t>
  </si>
  <si>
    <t>Hall√§ndska</t>
  </si>
  <si>
    <t>hall1241</t>
  </si>
  <si>
    <t>main1285</t>
  </si>
  <si>
    <t>Hallingen</t>
  </si>
  <si>
    <t>halo1239</t>
  </si>
  <si>
    <t>Halotesu</t>
  </si>
  <si>
    <t>halt1238</t>
  </si>
  <si>
    <t>ngal1291</t>
  </si>
  <si>
    <t>Haltu</t>
  </si>
  <si>
    <t>halu1238</t>
  </si>
  <si>
    <t>Halumbung</t>
  </si>
  <si>
    <t>hama1240</t>
  </si>
  <si>
    <t>Hamap</t>
  </si>
  <si>
    <t>hmu</t>
  </si>
  <si>
    <t>hama1241</t>
  </si>
  <si>
    <t>marb1244</t>
  </si>
  <si>
    <t>Ham</t>
  </si>
  <si>
    <t>hamb1239</t>
  </si>
  <si>
    <t>Hamba NW of Nachingwea south of Mbemkuru River</t>
  </si>
  <si>
    <t>hamb1245</t>
  </si>
  <si>
    <t>tete1254</t>
  </si>
  <si>
    <t>Hamba de Lomela</t>
  </si>
  <si>
    <t>hba</t>
  </si>
  <si>
    <t>hamb1246</t>
  </si>
  <si>
    <t>Hamba (Haya)</t>
  </si>
  <si>
    <t>hame1240</t>
  </si>
  <si>
    <t>H√§me</t>
  </si>
  <si>
    <t>hame1241</t>
  </si>
  <si>
    <t>Hamer-Karo</t>
  </si>
  <si>
    <t>Hamer-Banna</t>
  </si>
  <si>
    <t>hame1244</t>
  </si>
  <si>
    <t>Hame Naga</t>
  </si>
  <si>
    <t>hamg1238</t>
  </si>
  <si>
    <t>Hamgyongdo</t>
  </si>
  <si>
    <t>hami1240</t>
  </si>
  <si>
    <t>kang1280</t>
  </si>
  <si>
    <t>Hamirpuri</t>
  </si>
  <si>
    <t>hams1239</t>
  </si>
  <si>
    <t>Hamshen</t>
  </si>
  <si>
    <t>Hamshenic</t>
  </si>
  <si>
    <t>hamt1247</t>
  </si>
  <si>
    <t>kapa1251</t>
  </si>
  <si>
    <t>Hamtai</t>
  </si>
  <si>
    <t>hmt</t>
  </si>
  <si>
    <t>hamt1248</t>
  </si>
  <si>
    <t>Hamtik</t>
  </si>
  <si>
    <t>hana1242</t>
  </si>
  <si>
    <t>Hanak</t>
  </si>
  <si>
    <t>hana1243</t>
  </si>
  <si>
    <t>Hanahan</t>
  </si>
  <si>
    <t>hand1239</t>
  </si>
  <si>
    <t>Handa</t>
  </si>
  <si>
    <t>hang1257</t>
  </si>
  <si>
    <t>nort3274</t>
  </si>
  <si>
    <t>Hangzhou</t>
  </si>
  <si>
    <t>hang1258</t>
  </si>
  <si>
    <t>kama1375</t>
  </si>
  <si>
    <t>Hanga</t>
  </si>
  <si>
    <t>hag</t>
  </si>
  <si>
    <t>hang1259</t>
  </si>
  <si>
    <t>Hangiro</t>
  </si>
  <si>
    <t>hang1260</t>
  </si>
  <si>
    <t>hang1264</t>
  </si>
  <si>
    <t>Hangaza</t>
  </si>
  <si>
    <t>han</t>
  </si>
  <si>
    <t>hang1261</t>
  </si>
  <si>
    <t>Hanga (Democratic Republic of Congo)</t>
  </si>
  <si>
    <t>hang1262</t>
  </si>
  <si>
    <t>Hangan</t>
  </si>
  <si>
    <t>hang1263</t>
  </si>
  <si>
    <t>Hanga Hundi</t>
  </si>
  <si>
    <t>wos</t>
  </si>
  <si>
    <t>Hangaza-Shubi</t>
  </si>
  <si>
    <t>Hani</t>
  </si>
  <si>
    <t>hni</t>
  </si>
  <si>
    <t>lolo1267</t>
  </si>
  <si>
    <t>Hani-Jino</t>
  </si>
  <si>
    <t>Hanic</t>
  </si>
  <si>
    <t>hann1239</t>
  </si>
  <si>
    <t>Hannover German</t>
  </si>
  <si>
    <t>hann1241</t>
  </si>
  <si>
    <t>Han</t>
  </si>
  <si>
    <t>haa</t>
  </si>
  <si>
    <t>hano1243</t>
  </si>
  <si>
    <t>Hanoi Sign Language</t>
  </si>
  <si>
    <t>hab</t>
  </si>
  <si>
    <t>hano1246</t>
  </si>
  <si>
    <t>Hano</t>
  </si>
  <si>
    <t>lml</t>
  </si>
  <si>
    <t>hano1247</t>
  </si>
  <si>
    <t>Hano (USA)</t>
  </si>
  <si>
    <t>hans1242</t>
  </si>
  <si>
    <t>Hansen River Warlpiri</t>
  </si>
  <si>
    <t>Hanseman</t>
  </si>
  <si>
    <t>hans1244</t>
  </si>
  <si>
    <t>orsa1234</t>
  </si>
  <si>
    <t>Hansj√∂</t>
  </si>
  <si>
    <t>hant1239</t>
  </si>
  <si>
    <t>lowe1395</t>
  </si>
  <si>
    <t>Hantong'</t>
  </si>
  <si>
    <t>Hanunoo</t>
  </si>
  <si>
    <t>hapa1237</t>
  </si>
  <si>
    <t>tuwa1243</t>
  </si>
  <si>
    <t>Hapao Ifugao</t>
  </si>
  <si>
    <t>haqu1237</t>
  </si>
  <si>
    <t>Haquetiya</t>
  </si>
  <si>
    <t>hara1256</t>
  </si>
  <si>
    <t>Harauti</t>
  </si>
  <si>
    <t>hara1257</t>
  </si>
  <si>
    <t>Haramosh</t>
  </si>
  <si>
    <t>hara1258</t>
  </si>
  <si>
    <t>unun9942</t>
  </si>
  <si>
    <t>Haraza</t>
  </si>
  <si>
    <t>hara1259</t>
  </si>
  <si>
    <t>Harava</t>
  </si>
  <si>
    <t>Harakmbut</t>
  </si>
  <si>
    <t>hara1270</t>
  </si>
  <si>
    <t>Harari-East Gurage</t>
  </si>
  <si>
    <t>hara1271</t>
  </si>
  <si>
    <t>Harari</t>
  </si>
  <si>
    <t>har</t>
  </si>
  <si>
    <t>hara1272</t>
  </si>
  <si>
    <t>Harappan</t>
  </si>
  <si>
    <t>xiv</t>
  </si>
  <si>
    <t>harb1238</t>
  </si>
  <si>
    <t>Harban</t>
  </si>
  <si>
    <t>hare1241</t>
  </si>
  <si>
    <t>male1282</t>
  </si>
  <si>
    <t>Hareme</t>
  </si>
  <si>
    <t>hare1242</t>
  </si>
  <si>
    <t>sori1242</t>
  </si>
  <si>
    <t>Harengan</t>
  </si>
  <si>
    <t>Hare-Slavey</t>
  </si>
  <si>
    <t>hari1246</t>
  </si>
  <si>
    <t>nucl1728</t>
  </si>
  <si>
    <t>Indo-Aryan Kinnauri</t>
  </si>
  <si>
    <t>kjo</t>
  </si>
  <si>
    <t>hari1247</t>
  </si>
  <si>
    <t>Harijan</t>
  </si>
  <si>
    <t>hari1248</t>
  </si>
  <si>
    <t>Harigaya</t>
  </si>
  <si>
    <t>hari1249</t>
  </si>
  <si>
    <t>Hariamba</t>
  </si>
  <si>
    <t>hari1250</t>
  </si>
  <si>
    <t>Haripmor</t>
  </si>
  <si>
    <t>haro1237</t>
  </si>
  <si>
    <t>Haroi</t>
  </si>
  <si>
    <t>hro</t>
  </si>
  <si>
    <t>hars1238</t>
  </si>
  <si>
    <t>Harso</t>
  </si>
  <si>
    <t>hars1241</t>
  </si>
  <si>
    <t>Harsusi</t>
  </si>
  <si>
    <t>hss</t>
  </si>
  <si>
    <t>haru1243</t>
  </si>
  <si>
    <t>Harua</t>
  </si>
  <si>
    <t>haru1244</t>
  </si>
  <si>
    <t>hatu1247</t>
  </si>
  <si>
    <t>Haruku</t>
  </si>
  <si>
    <t>hrk</t>
  </si>
  <si>
    <t>Haruai</t>
  </si>
  <si>
    <t>tmd</t>
  </si>
  <si>
    <t>Haryanvi</t>
  </si>
  <si>
    <t>bgc</t>
  </si>
  <si>
    <t>harz1239</t>
  </si>
  <si>
    <t>nort2642</t>
  </si>
  <si>
    <t>Harzani</t>
  </si>
  <si>
    <t>hrz</t>
  </si>
  <si>
    <t>hasa1247</t>
  </si>
  <si>
    <t>Hasab</t>
  </si>
  <si>
    <t>hasa1248</t>
  </si>
  <si>
    <t>Hasala</t>
  </si>
  <si>
    <t>hasa1249</t>
  </si>
  <si>
    <t>Hasaitic</t>
  </si>
  <si>
    <t>hash1238</t>
  </si>
  <si>
    <t>hash1239</t>
  </si>
  <si>
    <t>Hasha</t>
  </si>
  <si>
    <t>ybj</t>
  </si>
  <si>
    <t>Hasha-Sambe</t>
  </si>
  <si>
    <t>hasi1235</t>
  </si>
  <si>
    <t>Hasik Naga</t>
  </si>
  <si>
    <t>haso1241</t>
  </si>
  <si>
    <t>wadi1248</t>
  </si>
  <si>
    <t>Hasoria Bhil</t>
  </si>
  <si>
    <t>haso1242</t>
  </si>
  <si>
    <t>Hasoria Koli</t>
  </si>
  <si>
    <t>Hassaniyya</t>
  </si>
  <si>
    <t>DZ EH MA ML MR NE SN</t>
  </si>
  <si>
    <t>Hatam-Mansim</t>
  </si>
  <si>
    <t>Hatam</t>
  </si>
  <si>
    <t>had</t>
  </si>
  <si>
    <t>hata1244</t>
  </si>
  <si>
    <t>shik1243</t>
  </si>
  <si>
    <t>Hata-ben</t>
  </si>
  <si>
    <t>hate1238</t>
  </si>
  <si>
    <t>yaey1239</t>
  </si>
  <si>
    <t>Hateruma</t>
  </si>
  <si>
    <t>hate1239</t>
  </si>
  <si>
    <t>Hate (Upper Kunimaipa)</t>
  </si>
  <si>
    <t>hath1235</t>
  </si>
  <si>
    <t>Hathim Naga</t>
  </si>
  <si>
    <t>hato1238</t>
  </si>
  <si>
    <t>Hatoma</t>
  </si>
  <si>
    <t>hatt1237</t>
  </si>
  <si>
    <t>khmu1256</t>
  </si>
  <si>
    <t>Hat</t>
  </si>
  <si>
    <t>hatt1246</t>
  </si>
  <si>
    <t>Hattic</t>
  </si>
  <si>
    <t>xht</t>
  </si>
  <si>
    <t>hatu1243</t>
  </si>
  <si>
    <t>Hatutu</t>
  </si>
  <si>
    <t>Saparuan</t>
  </si>
  <si>
    <t>hatu1245</t>
  </si>
  <si>
    <t>kaib1244</t>
  </si>
  <si>
    <t>Hatusua</t>
  </si>
  <si>
    <t>hatu1246</t>
  </si>
  <si>
    <t>manu1258</t>
  </si>
  <si>
    <t>Hatuolu</t>
  </si>
  <si>
    <t>ulia1238</t>
  </si>
  <si>
    <t>Hatuhaha</t>
  </si>
  <si>
    <t>haub1238</t>
  </si>
  <si>
    <t>lang1320</t>
  </si>
  <si>
    <t>Haubi</t>
  </si>
  <si>
    <t>haun1237</t>
  </si>
  <si>
    <t>Haununu</t>
  </si>
  <si>
    <t>haun1238</t>
  </si>
  <si>
    <t>sepi1259</t>
  </si>
  <si>
    <t>Hauna Trade Language</t>
  </si>
  <si>
    <t>haur1242</t>
  </si>
  <si>
    <t>Haura</t>
  </si>
  <si>
    <t>haur1243</t>
  </si>
  <si>
    <t>Hauruha</t>
  </si>
  <si>
    <t>haus1240</t>
  </si>
  <si>
    <t>insu1253</t>
  </si>
  <si>
    <t>Haush</t>
  </si>
  <si>
    <t>haus1246</t>
  </si>
  <si>
    <t>Hausa Sign Language</t>
  </si>
  <si>
    <t>hsl</t>
  </si>
  <si>
    <t>BF BJ CM NE NG TD</t>
  </si>
  <si>
    <t>Hausa-based pidgin</t>
  </si>
  <si>
    <t>haut1244</t>
  </si>
  <si>
    <t>Haut-Languedocien</t>
  </si>
  <si>
    <t>haut1245</t>
  </si>
  <si>
    <t>Haut-Auvergnat</t>
  </si>
  <si>
    <t>haut1246</t>
  </si>
  <si>
    <t>Haut-Limousin</t>
  </si>
  <si>
    <t>paii1252</t>
  </si>
  <si>
    <t>Havasupai-Walapai-Yavapai</t>
  </si>
  <si>
    <t>hava1249</t>
  </si>
  <si>
    <t>Havasupai</t>
  </si>
  <si>
    <t>have1240</t>
  </si>
  <si>
    <t>Have</t>
  </si>
  <si>
    <t>have1241</t>
  </si>
  <si>
    <t>Haveke</t>
  </si>
  <si>
    <t>hvk</t>
  </si>
  <si>
    <t>havu1238</t>
  </si>
  <si>
    <t>hund1240</t>
  </si>
  <si>
    <t>Havu</t>
  </si>
  <si>
    <t>hav</t>
  </si>
  <si>
    <t>hawa1235</t>
  </si>
  <si>
    <t>Hawai'i Pidgin Sign Language</t>
  </si>
  <si>
    <t>hps</t>
  </si>
  <si>
    <t>Hawaiian</t>
  </si>
  <si>
    <t>hawa1247</t>
  </si>
  <si>
    <t>Hawai'i Creole English</t>
  </si>
  <si>
    <t>hwc</t>
  </si>
  <si>
    <t>hawa1248</t>
  </si>
  <si>
    <t>Hawaiian-based pidgin</t>
  </si>
  <si>
    <t>hawk1238</t>
  </si>
  <si>
    <t>Hawkip</t>
  </si>
  <si>
    <t>hawk1239</t>
  </si>
  <si>
    <t>sydn1235</t>
  </si>
  <si>
    <t>Hawkesbury</t>
  </si>
  <si>
    <t>xda</t>
  </si>
  <si>
    <t>hawr1242</t>
  </si>
  <si>
    <t>Hawraman-I Luhon</t>
  </si>
  <si>
    <t>hawr1243</t>
  </si>
  <si>
    <t>Hawraman-I Taxt</t>
  </si>
  <si>
    <t>sumb1242</t>
  </si>
  <si>
    <t>Hawu-Dhao</t>
  </si>
  <si>
    <t>sout3202</t>
  </si>
  <si>
    <t>TZ UG</t>
  </si>
  <si>
    <t>Ha-Ya</t>
  </si>
  <si>
    <t>haza1239</t>
  </si>
  <si>
    <t>Hazaragi</t>
  </si>
  <si>
    <t>haz</t>
  </si>
  <si>
    <t>AF IR PK TJ</t>
  </si>
  <si>
    <t>hazz1238</t>
  </si>
  <si>
    <t>Hazzu</t>
  </si>
  <si>
    <t>Conservative Amdo Nomad</t>
  </si>
  <si>
    <t>hbru1241</t>
  </si>
  <si>
    <t>Hbrugchu</t>
  </si>
  <si>
    <t>hdii1240</t>
  </si>
  <si>
    <t>lama1287</t>
  </si>
  <si>
    <t>Hdi</t>
  </si>
  <si>
    <t>xed</t>
  </si>
  <si>
    <t>head1238</t>
  </si>
  <si>
    <t>yaum1237</t>
  </si>
  <si>
    <t>Headwaters Yau</t>
  </si>
  <si>
    <t>Headwaters Pano</t>
  </si>
  <si>
    <t>hebb1237</t>
  </si>
  <si>
    <t>Hebbar</t>
  </si>
  <si>
    <t>hebr1245</t>
  </si>
  <si>
    <t>Modern Hebrew</t>
  </si>
  <si>
    <t>heb</t>
  </si>
  <si>
    <t>IL JO LB PS SY</t>
  </si>
  <si>
    <t>Hebrewic</t>
  </si>
  <si>
    <t>heda1238</t>
  </si>
  <si>
    <t>Hedangpa</t>
  </si>
  <si>
    <t>hedk1239</t>
  </si>
  <si>
    <t>Hedkala</t>
  </si>
  <si>
    <t>hedo1238</t>
  </si>
  <si>
    <t>tenn1245</t>
  </si>
  <si>
    <t>Hedong</t>
  </si>
  <si>
    <t>hefe1234</t>
  </si>
  <si>
    <t>jing1262</t>
  </si>
  <si>
    <t>Hefei Mandarin</t>
  </si>
  <si>
    <t>Heibanic</t>
  </si>
  <si>
    <t>heib1243</t>
  </si>
  <si>
    <t>Ebang</t>
  </si>
  <si>
    <t>hbn</t>
  </si>
  <si>
    <t>heid1234</t>
  </si>
  <si>
    <t>Heideostf√§lisch</t>
  </si>
  <si>
    <t>heih1238</t>
  </si>
  <si>
    <t>Heihu</t>
  </si>
  <si>
    <t>heil1245</t>
  </si>
  <si>
    <t>Heilongjiang Oroqen</t>
  </si>
  <si>
    <t>Heiltsuk-Oowekyala</t>
  </si>
  <si>
    <t>hei</t>
  </si>
  <si>
    <t>heka1238</t>
  </si>
  <si>
    <t>Hekari</t>
  </si>
  <si>
    <t>yolm1234</t>
  </si>
  <si>
    <t>Lamjung-Melamchi Yolmo</t>
  </si>
  <si>
    <t>scp</t>
  </si>
  <si>
    <t>hele1238</t>
  </si>
  <si>
    <t>Helebi</t>
  </si>
  <si>
    <t>hele1239</t>
  </si>
  <si>
    <t>umbu1257</t>
  </si>
  <si>
    <t>Hele</t>
  </si>
  <si>
    <t>helg1238</t>
  </si>
  <si>
    <t>Helgoland</t>
  </si>
  <si>
    <t>west2545</t>
  </si>
  <si>
    <t>Helong</t>
  </si>
  <si>
    <t>heg</t>
  </si>
  <si>
    <t>helo1244</t>
  </si>
  <si>
    <t>Helong Darat</t>
  </si>
  <si>
    <t>helo1245</t>
  </si>
  <si>
    <t>Helong Pulau</t>
  </si>
  <si>
    <t>nort3228</t>
  </si>
  <si>
    <t>Hema</t>
  </si>
  <si>
    <t>hemb1242</t>
  </si>
  <si>
    <t>Hemba-Yazi</t>
  </si>
  <si>
    <t>hem</t>
  </si>
  <si>
    <t>hemb1243</t>
  </si>
  <si>
    <t>Hembeh</t>
  </si>
  <si>
    <t>hemi1234</t>
  </si>
  <si>
    <t>osca1245</t>
  </si>
  <si>
    <t>Hernican</t>
  </si>
  <si>
    <t>xhr</t>
  </si>
  <si>
    <t>heng1238</t>
  </si>
  <si>
    <t>puxi1243</t>
  </si>
  <si>
    <t>Henghua</t>
  </si>
  <si>
    <t>heng1239</t>
  </si>
  <si>
    <t>Hengzhou</t>
  </si>
  <si>
    <t>henk1238</t>
  </si>
  <si>
    <t>wume1235</t>
  </si>
  <si>
    <t>Hen-Ke Yi</t>
  </si>
  <si>
    <t>henn1234</t>
  </si>
  <si>
    <t>lowe1447</t>
  </si>
  <si>
    <t>Henneberg Franconian</t>
  </si>
  <si>
    <t>heqi1238</t>
  </si>
  <si>
    <t>Heqing</t>
  </si>
  <si>
    <t>herd1236</t>
  </si>
  <si>
    <t>sout3146</t>
  </si>
  <si>
    <t>Herde</t>
  </si>
  <si>
    <t>hed</t>
  </si>
  <si>
    <t>pfjo1234</t>
  </si>
  <si>
    <t>Her-Ejamat</t>
  </si>
  <si>
    <t>here1251</t>
  </si>
  <si>
    <t>Here</t>
  </si>
  <si>
    <t>here1252</t>
  </si>
  <si>
    <t>Herero (R.30)</t>
  </si>
  <si>
    <t>BW NA</t>
  </si>
  <si>
    <t>here1255</t>
  </si>
  <si>
    <t>Hereve (Lower Kunimaipa)</t>
  </si>
  <si>
    <t>herm1237</t>
  </si>
  <si>
    <t>Hermit</t>
  </si>
  <si>
    <t>llf</t>
  </si>
  <si>
    <t>hert1241</t>
  </si>
  <si>
    <t>Hertevin</t>
  </si>
  <si>
    <t>hrt</t>
  </si>
  <si>
    <t>hert1242</t>
  </si>
  <si>
    <t>H√©rtevin Proper</t>
  </si>
  <si>
    <t>hess1238</t>
  </si>
  <si>
    <t>Hessian</t>
  </si>
  <si>
    <t>hewa1240</t>
  </si>
  <si>
    <t>west2576</t>
  </si>
  <si>
    <t>Hewa-April River</t>
  </si>
  <si>
    <t>Hewa</t>
  </si>
  <si>
    <t>ham</t>
  </si>
  <si>
    <t>hewe1238</t>
  </si>
  <si>
    <t>Hewe</t>
  </si>
  <si>
    <t>hewl1238</t>
  </si>
  <si>
    <t>Hewleri</t>
  </si>
  <si>
    <t>hexi1238</t>
  </si>
  <si>
    <t>Hexi</t>
  </si>
  <si>
    <t>heyo1240</t>
  </si>
  <si>
    <t>heyo1241</t>
  </si>
  <si>
    <t>Heyo</t>
  </si>
  <si>
    <t>auk</t>
  </si>
  <si>
    <t>nucl1590</t>
  </si>
  <si>
    <t>Heyo-Yahang</t>
  </si>
  <si>
    <t>hezh1242</t>
  </si>
  <si>
    <t>Hezhang Yi</t>
  </si>
  <si>
    <t>hezh1244</t>
  </si>
  <si>
    <t>Hezhou</t>
  </si>
  <si>
    <t>hiay1237</t>
  </si>
  <si>
    <t>talu1239</t>
  </si>
  <si>
    <t>Hiay</t>
  </si>
  <si>
    <t>hibe1235</t>
  </si>
  <si>
    <t>Hiberno-Scottish Gaelic</t>
  </si>
  <si>
    <t>ghc</t>
  </si>
  <si>
    <t>Hibito-Cholon</t>
  </si>
  <si>
    <t>hibi1243</t>
  </si>
  <si>
    <t>Hibito</t>
  </si>
  <si>
    <t>hib</t>
  </si>
  <si>
    <t>kyus1238</t>
  </si>
  <si>
    <t>Hichiku</t>
  </si>
  <si>
    <t>hida1245</t>
  </si>
  <si>
    <t>Hida</t>
  </si>
  <si>
    <t>hida1246</t>
  </si>
  <si>
    <t>Hidatsa</t>
  </si>
  <si>
    <t>hid</t>
  </si>
  <si>
    <t>hidd1238</t>
  </si>
  <si>
    <t>Hid</t>
  </si>
  <si>
    <t>hier1240</t>
  </si>
  <si>
    <t>Hieroglyphic Luwian</t>
  </si>
  <si>
    <t>hlu</t>
  </si>
  <si>
    <t>higa1237</t>
  </si>
  <si>
    <t>Higaonon</t>
  </si>
  <si>
    <t>mba</t>
  </si>
  <si>
    <t>high1242</t>
  </si>
  <si>
    <t>tequ1244</t>
  </si>
  <si>
    <t>Highland Oaxaca Chontal</t>
  </si>
  <si>
    <t>chd</t>
  </si>
  <si>
    <t>high1243</t>
  </si>
  <si>
    <t>Highland Totonac</t>
  </si>
  <si>
    <t>tos</t>
  </si>
  <si>
    <t>high1267</t>
  </si>
  <si>
    <t>High Piemontese</t>
  </si>
  <si>
    <t>uppe1400</t>
  </si>
  <si>
    <t>High East Prussian</t>
  </si>
  <si>
    <t>high1272</t>
  </si>
  <si>
    <t>sout3212</t>
  </si>
  <si>
    <t>Highland Phula</t>
  </si>
  <si>
    <t>nort2720</t>
  </si>
  <si>
    <t>High Northern Burmish</t>
  </si>
  <si>
    <t>high1274</t>
  </si>
  <si>
    <t>Highland Bali</t>
  </si>
  <si>
    <t>high1275</t>
  </si>
  <si>
    <t>Highland Konjo</t>
  </si>
  <si>
    <t>kjk</t>
  </si>
  <si>
    <t>high1276</t>
  </si>
  <si>
    <t>Highland Popoluca</t>
  </si>
  <si>
    <t>poi</t>
  </si>
  <si>
    <t>high1277</t>
  </si>
  <si>
    <t>huar1255</t>
  </si>
  <si>
    <t>Highland Huarij√≠o</t>
  </si>
  <si>
    <t>high1278</t>
  </si>
  <si>
    <t>Highland Puebla Nahuatl</t>
  </si>
  <si>
    <t>azz</t>
  </si>
  <si>
    <t>high1279</t>
  </si>
  <si>
    <t>Highland Arequipa</t>
  </si>
  <si>
    <t>Highlands Chamic</t>
  </si>
  <si>
    <t>Highland East Cushitic</t>
  </si>
  <si>
    <t>high1286</t>
  </si>
  <si>
    <t>Upper German</t>
  </si>
  <si>
    <t>high1287</t>
  </si>
  <si>
    <t>West Middle German</t>
  </si>
  <si>
    <t>high1288</t>
  </si>
  <si>
    <t>keny1280</t>
  </si>
  <si>
    <t>Highland Kenyah</t>
  </si>
  <si>
    <t>west2793</t>
  </si>
  <si>
    <t>High German</t>
  </si>
  <si>
    <t>High Alemannic</t>
  </si>
  <si>
    <t>higi1240</t>
  </si>
  <si>
    <t>Higir</t>
  </si>
  <si>
    <t>higi1241</t>
  </si>
  <si>
    <t>Higic</t>
  </si>
  <si>
    <t>higi1242</t>
  </si>
  <si>
    <t>Nkafa-Kirya</t>
  </si>
  <si>
    <t>higs1238</t>
  </si>
  <si>
    <t>Higsho</t>
  </si>
  <si>
    <t>higt1238</t>
  </si>
  <si>
    <t>Higtsii</t>
  </si>
  <si>
    <t>Hijazi Arabic</t>
  </si>
  <si>
    <t>acw</t>
  </si>
  <si>
    <t>hiju1238</t>
  </si>
  <si>
    <t>Hijuk</t>
  </si>
  <si>
    <t>hij</t>
  </si>
  <si>
    <t>hila1237</t>
  </si>
  <si>
    <t>hitu1239</t>
  </si>
  <si>
    <t>Hila</t>
  </si>
  <si>
    <t>Hiligaynon</t>
  </si>
  <si>
    <t>hil</t>
  </si>
  <si>
    <t>hill1251</t>
  </si>
  <si>
    <t>Hill Geta'</t>
  </si>
  <si>
    <t>hill1255</t>
  </si>
  <si>
    <t>ngas1240</t>
  </si>
  <si>
    <t>Hill Angas</t>
  </si>
  <si>
    <t>Hill South Guang</t>
  </si>
  <si>
    <t>South Bastar Gondi-Koya</t>
  </si>
  <si>
    <t>hill1258</t>
  </si>
  <si>
    <t>Hill Miri</t>
  </si>
  <si>
    <t>hima1247</t>
  </si>
  <si>
    <t>Himarim√£</t>
  </si>
  <si>
    <t>hir</t>
  </si>
  <si>
    <t>hima1248</t>
  </si>
  <si>
    <t>nyan1307</t>
  </si>
  <si>
    <t>Hima</t>
  </si>
  <si>
    <t>hima1249</t>
  </si>
  <si>
    <t>Himalayish</t>
  </si>
  <si>
    <t>hima1250</t>
  </si>
  <si>
    <t>Himachali</t>
  </si>
  <si>
    <t>hina1234</t>
  </si>
  <si>
    <t>pamo1253</t>
  </si>
  <si>
    <t>Hinangave</t>
  </si>
  <si>
    <t>hind1267</t>
  </si>
  <si>
    <t>Hinduri</t>
  </si>
  <si>
    <t>hii</t>
  </si>
  <si>
    <t>BD BT IN NP</t>
  </si>
  <si>
    <t>Hindustani</t>
  </si>
  <si>
    <t>hind1271</t>
  </si>
  <si>
    <t>lahn1241</t>
  </si>
  <si>
    <t>Hindko</t>
  </si>
  <si>
    <t>hind1272</t>
  </si>
  <si>
    <t>Hindustani-based pidgin</t>
  </si>
  <si>
    <t>hind1273</t>
  </si>
  <si>
    <t>mode1264</t>
  </si>
  <si>
    <t>Hindeloopen-Molkwerum Frisian</t>
  </si>
  <si>
    <t>hini1234</t>
  </si>
  <si>
    <t>Hinihon</t>
  </si>
  <si>
    <t>hinu1240</t>
  </si>
  <si>
    <t>Hinuq</t>
  </si>
  <si>
    <t>gin</t>
  </si>
  <si>
    <t>hira1245</t>
  </si>
  <si>
    <t>Hiranpur</t>
  </si>
  <si>
    <t>hira1246</t>
  </si>
  <si>
    <t>Hira</t>
  </si>
  <si>
    <t>hira1247</t>
  </si>
  <si>
    <t>naga1405</t>
  </si>
  <si>
    <t>Hirado-ben</t>
  </si>
  <si>
    <t>hiri1235</t>
  </si>
  <si>
    <t>motu1248</t>
  </si>
  <si>
    <t>Trading Eleman</t>
  </si>
  <si>
    <t>hiri1236</t>
  </si>
  <si>
    <t>Trading Koriki</t>
  </si>
  <si>
    <t>Hiri Motu</t>
  </si>
  <si>
    <t>hmo</t>
  </si>
  <si>
    <t>hiro1237</t>
  </si>
  <si>
    <t>Hiroshima</t>
  </si>
  <si>
    <t>hism1236</t>
  </si>
  <si>
    <t>Hismaic</t>
  </si>
  <si>
    <t>hita1242</t>
  </si>
  <si>
    <t>peta1245</t>
  </si>
  <si>
    <t>Hitau-Pororan</t>
  </si>
  <si>
    <t>hita1243</t>
  </si>
  <si>
    <t>ndug1245</t>
  </si>
  <si>
    <t>Hitadipa Nduga</t>
  </si>
  <si>
    <t>hita1244</t>
  </si>
  <si>
    <t>Hita-ben</t>
  </si>
  <si>
    <t>hitc1239</t>
  </si>
  <si>
    <t>Hitchiti</t>
  </si>
  <si>
    <t>hitt1242</t>
  </si>
  <si>
    <t>Hittite</t>
  </si>
  <si>
    <t>hit</t>
  </si>
  <si>
    <t>nort3236</t>
  </si>
  <si>
    <t>Hitu</t>
  </si>
  <si>
    <t>htu</t>
  </si>
  <si>
    <t>hiva1242</t>
  </si>
  <si>
    <t>Hiva Oa</t>
  </si>
  <si>
    <t>hiwl1234</t>
  </si>
  <si>
    <t>torr1262</t>
  </si>
  <si>
    <t>Hiw-Lo-Toga</t>
  </si>
  <si>
    <t>hiww1237</t>
  </si>
  <si>
    <t>Hiw</t>
  </si>
  <si>
    <t>hiw</t>
  </si>
  <si>
    <t>hixk1239</t>
  </si>
  <si>
    <t>waiw1245</t>
  </si>
  <si>
    <t>Hixkary√°na</t>
  </si>
  <si>
    <t>hix</t>
  </si>
  <si>
    <t>hiyo1238</t>
  </si>
  <si>
    <t>sani1270</t>
  </si>
  <si>
    <t>Hiyowe</t>
  </si>
  <si>
    <t>hkak1238</t>
  </si>
  <si>
    <t>Hkaku</t>
  </si>
  <si>
    <t>hkal1241</t>
  </si>
  <si>
    <t>Hkaluk</t>
  </si>
  <si>
    <t>hlai1238</t>
  </si>
  <si>
    <t>Hlaic</t>
  </si>
  <si>
    <t>Hlai</t>
  </si>
  <si>
    <t>lic</t>
  </si>
  <si>
    <t>hlav1238</t>
  </si>
  <si>
    <t>Hlave</t>
  </si>
  <si>
    <t>hlaw1238</t>
  </si>
  <si>
    <t>mara1382</t>
  </si>
  <si>
    <t>Hlawthai</t>
  </si>
  <si>
    <t>hlen1238</t>
  </si>
  <si>
    <t>tswa1255</t>
  </si>
  <si>
    <t>Hlengwe</t>
  </si>
  <si>
    <t>hlep1235</t>
  </si>
  <si>
    <t>Hlepho-Phukha</t>
  </si>
  <si>
    <t>hlep1236</t>
  </si>
  <si>
    <t>Hlepho Phowa</t>
  </si>
  <si>
    <t>yhl</t>
  </si>
  <si>
    <t>hler1235</t>
  </si>
  <si>
    <t>unun9959</t>
  </si>
  <si>
    <t>Hlersu</t>
  </si>
  <si>
    <t>hle</t>
  </si>
  <si>
    <t>hlol1236</t>
  </si>
  <si>
    <t>Hlo'lan</t>
  </si>
  <si>
    <t>hlub1242</t>
  </si>
  <si>
    <t>Hlubi</t>
  </si>
  <si>
    <t>mizo1244</t>
  </si>
  <si>
    <t>Hmaric</t>
  </si>
  <si>
    <t>hmar1241</t>
  </si>
  <si>
    <t>Hmar</t>
  </si>
  <si>
    <t>hmr</t>
  </si>
  <si>
    <t>hmon1263</t>
  </si>
  <si>
    <t>unun9990</t>
  </si>
  <si>
    <t>Hmong Don</t>
  </si>
  <si>
    <t>hmf</t>
  </si>
  <si>
    <t>hmon1264</t>
  </si>
  <si>
    <t>huam1250</t>
  </si>
  <si>
    <t>Hmong Njua</t>
  </si>
  <si>
    <t>hnj</t>
  </si>
  <si>
    <t>hmon1331</t>
  </si>
  <si>
    <t>Sinicized Miao</t>
  </si>
  <si>
    <t>hmz</t>
  </si>
  <si>
    <t>hmon1332</t>
  </si>
  <si>
    <t>Hmong D√¥</t>
  </si>
  <si>
    <t>hmv</t>
  </si>
  <si>
    <t>hmon1333</t>
  </si>
  <si>
    <t>Hmong Daw</t>
  </si>
  <si>
    <t>mww</t>
  </si>
  <si>
    <t>CN LA TH VN</t>
  </si>
  <si>
    <t>hmon1334</t>
  </si>
  <si>
    <t>Hmong Gu Mba</t>
  </si>
  <si>
    <t>hmon1335</t>
  </si>
  <si>
    <t>Hmong Xi</t>
  </si>
  <si>
    <t>Hmong-Mien</t>
  </si>
  <si>
    <t>hmon1337</t>
  </si>
  <si>
    <t>Hmongic</t>
  </si>
  <si>
    <t>hmon1338</t>
  </si>
  <si>
    <t>Hmong Njua (Retired)</t>
  </si>
  <si>
    <t>blu</t>
  </si>
  <si>
    <t>hmwa1241</t>
  </si>
  <si>
    <t>vama1243</t>
  </si>
  <si>
    <t>Hmwaeke</t>
  </si>
  <si>
    <t>hmwa1243</t>
  </si>
  <si>
    <t>Hmwaveke</t>
  </si>
  <si>
    <t>mrk</t>
  </si>
  <si>
    <t>hoaa1235</t>
  </si>
  <si>
    <t>Amkoe</t>
  </si>
  <si>
    <t>huc</t>
  </si>
  <si>
    <t>Hoamoal</t>
  </si>
  <si>
    <t>hoan1238</t>
  </si>
  <si>
    <t>papo1239</t>
  </si>
  <si>
    <t>Hoanya</t>
  </si>
  <si>
    <t>hoav1238</t>
  </si>
  <si>
    <t>hoav1239</t>
  </si>
  <si>
    <t>Hoava</t>
  </si>
  <si>
    <t>hoa</t>
  </si>
  <si>
    <t>rovi1239</t>
  </si>
  <si>
    <t>Hoava-Kusaghe</t>
  </si>
  <si>
    <t>hoby1242</t>
  </si>
  <si>
    <t>hoby1243</t>
  </si>
  <si>
    <t>Hoby√≥t</t>
  </si>
  <si>
    <t>hoh</t>
  </si>
  <si>
    <t>Hobyot-Western MSA</t>
  </si>
  <si>
    <t>hoch1237</t>
  </si>
  <si>
    <t>Ho Chi Minh City Sign Language</t>
  </si>
  <si>
    <t>hos</t>
  </si>
  <si>
    <t>hoch1243</t>
  </si>
  <si>
    <t>winn1245</t>
  </si>
  <si>
    <t>Ho-Chunk</t>
  </si>
  <si>
    <t>win</t>
  </si>
  <si>
    <t>hodr1237</t>
  </si>
  <si>
    <t>Hodrung</t>
  </si>
  <si>
    <t>hofb1234</t>
  </si>
  <si>
    <t>uppe1466</t>
  </si>
  <si>
    <t>Hof-Bayreuther</t>
  </si>
  <si>
    <t>hoge1238</t>
  </si>
  <si>
    <t>Hogeri</t>
  </si>
  <si>
    <t>Hoggar</t>
  </si>
  <si>
    <t>hogh1234</t>
  </si>
  <si>
    <t>saka1289</t>
  </si>
  <si>
    <t>Nkep</t>
  </si>
  <si>
    <t>hogr1237</t>
  </si>
  <si>
    <t>Hograno</t>
  </si>
  <si>
    <t>hohh1236</t>
  </si>
  <si>
    <t>quil1240</t>
  </si>
  <si>
    <t>Hoh</t>
  </si>
  <si>
    <t>hoho1238</t>
  </si>
  <si>
    <t>Hohoden√©</t>
  </si>
  <si>
    <t>hoia1235</t>
  </si>
  <si>
    <t>hoya1236</t>
  </si>
  <si>
    <t>Hoia Hoia-Ukusi-Koperami</t>
  </si>
  <si>
    <t>hhi</t>
  </si>
  <si>
    <t>Quanzhang</t>
  </si>
  <si>
    <t>hokk1243</t>
  </si>
  <si>
    <t>Hokkaido</t>
  </si>
  <si>
    <t>hokk1249</t>
  </si>
  <si>
    <t>Hokkaid≈ç</t>
  </si>
  <si>
    <t>Hokkaido-Kuril Ainu</t>
  </si>
  <si>
    <t>Hokuriku</t>
  </si>
  <si>
    <t>hoku1243</t>
  </si>
  <si>
    <t>Hokushin</t>
  </si>
  <si>
    <t>holi1239</t>
  </si>
  <si>
    <t>Holiya</t>
  </si>
  <si>
    <t>hoy</t>
  </si>
  <si>
    <t>holi1240</t>
  </si>
  <si>
    <t>Holimombo</t>
  </si>
  <si>
    <t>holi1241</t>
  </si>
  <si>
    <t>Holikachuk</t>
  </si>
  <si>
    <t>hoi</t>
  </si>
  <si>
    <t>holm1236</t>
  </si>
  <si>
    <t>norw1255</t>
  </si>
  <si>
    <t>Holmestrand</t>
  </si>
  <si>
    <t>holm1250</t>
  </si>
  <si>
    <t>nzan1241</t>
  </si>
  <si>
    <t>Holma</t>
  </si>
  <si>
    <t>hod</t>
  </si>
  <si>
    <t>holo1240</t>
  </si>
  <si>
    <t>Holoholo</t>
  </si>
  <si>
    <t>hoo</t>
  </si>
  <si>
    <t>hols1234</t>
  </si>
  <si>
    <t>Holsteinisch</t>
  </si>
  <si>
    <t>holu1245</t>
  </si>
  <si>
    <t>holu1246</t>
  </si>
  <si>
    <t>Holu</t>
  </si>
  <si>
    <t>hol</t>
  </si>
  <si>
    <t>AO CD</t>
  </si>
  <si>
    <t>mbal1259</t>
  </si>
  <si>
    <t>Holu (K.10)</t>
  </si>
  <si>
    <t>homa1239</t>
  </si>
  <si>
    <t>ngen1255</t>
  </si>
  <si>
    <t>Homa</t>
  </si>
  <si>
    <t>hom</t>
  </si>
  <si>
    <t>homb1238</t>
  </si>
  <si>
    <t>Hombo</t>
  </si>
  <si>
    <t>home1245</t>
  </si>
  <si>
    <t>Home</t>
  </si>
  <si>
    <t>home1246</t>
  </si>
  <si>
    <t>Hometwoli</t>
  </si>
  <si>
    <t>Western Armenian</t>
  </si>
  <si>
    <t>hyw</t>
  </si>
  <si>
    <t>homu1234</t>
  </si>
  <si>
    <t>Ho-Mundari</t>
  </si>
  <si>
    <t>hond1239</t>
  </si>
  <si>
    <t>Honduras Sign Language</t>
  </si>
  <si>
    <t>hds</t>
  </si>
  <si>
    <t>HN</t>
  </si>
  <si>
    <t>hond1244</t>
  </si>
  <si>
    <t>Honduran M√≠skito</t>
  </si>
  <si>
    <t>juku1259</t>
  </si>
  <si>
    <t>H√µne</t>
  </si>
  <si>
    <t>juh</t>
  </si>
  <si>
    <t>hone1239</t>
  </si>
  <si>
    <t>jion1235</t>
  </si>
  <si>
    <t>Ho Neic</t>
  </si>
  <si>
    <t>hong1241</t>
  </si>
  <si>
    <t>Hong Kong-Macau Sign Language</t>
  </si>
  <si>
    <t>hks</t>
  </si>
  <si>
    <t>hong1242</t>
  </si>
  <si>
    <t>Hongfeng Gelao</t>
  </si>
  <si>
    <t>hong1243</t>
  </si>
  <si>
    <t>jixi1238</t>
  </si>
  <si>
    <t>Hongchuan</t>
  </si>
  <si>
    <t>hong1244</t>
  </si>
  <si>
    <t>Hongmen</t>
  </si>
  <si>
    <t>Honi</t>
  </si>
  <si>
    <t>how</t>
  </si>
  <si>
    <t>honi1245</t>
  </si>
  <si>
    <t>Honibo</t>
  </si>
  <si>
    <t>honi1246</t>
  </si>
  <si>
    <t>H≈çnichi</t>
  </si>
  <si>
    <t>hono1237</t>
  </si>
  <si>
    <t>seko1243</t>
  </si>
  <si>
    <t>Hono'</t>
  </si>
  <si>
    <t>honp1238</t>
  </si>
  <si>
    <t>Honpo</t>
  </si>
  <si>
    <t>hood1240</t>
  </si>
  <si>
    <t>Hoode</t>
  </si>
  <si>
    <t>Ho</t>
  </si>
  <si>
    <t>hoc</t>
  </si>
  <si>
    <t>hooo1250</t>
  </si>
  <si>
    <t>Ho (Ghana)</t>
  </si>
  <si>
    <t>hoop1234</t>
  </si>
  <si>
    <t>Hooper Bay-Chevak</t>
  </si>
  <si>
    <t>hopa1238</t>
  </si>
  <si>
    <t>Hopao</t>
  </si>
  <si>
    <t>hopl1239</t>
  </si>
  <si>
    <t>Hopland</t>
  </si>
  <si>
    <t>hora1237</t>
  </si>
  <si>
    <t>nort2864</t>
  </si>
  <si>
    <t>Horale</t>
  </si>
  <si>
    <t>hora1238</t>
  </si>
  <si>
    <t>tobi1240</t>
  </si>
  <si>
    <t>Horace Holden's Pidgin Tobi</t>
  </si>
  <si>
    <t>PW</t>
  </si>
  <si>
    <t>Horned Miao</t>
  </si>
  <si>
    <t>horo1245</t>
  </si>
  <si>
    <t>Horom</t>
  </si>
  <si>
    <t>hoe</t>
  </si>
  <si>
    <t>horo1246</t>
  </si>
  <si>
    <t>Hororo</t>
  </si>
  <si>
    <t>horo1247</t>
  </si>
  <si>
    <t>Horo</t>
  </si>
  <si>
    <t>hor</t>
  </si>
  <si>
    <t>Horom-Fyem</t>
  </si>
  <si>
    <t>horo1249</t>
  </si>
  <si>
    <t>west2544</t>
  </si>
  <si>
    <t>Horowura</t>
  </si>
  <si>
    <t>horo1250</t>
  </si>
  <si>
    <t>Hor of Hor</t>
  </si>
  <si>
    <t>horp1240</t>
  </si>
  <si>
    <t>Stau-Dgebshes</t>
  </si>
  <si>
    <t>ero</t>
  </si>
  <si>
    <t>Horpa</t>
  </si>
  <si>
    <t>Horpa-Khroskyabs</t>
  </si>
  <si>
    <t>horu1240</t>
  </si>
  <si>
    <t>Horu Muthun</t>
  </si>
  <si>
    <t>horu1241</t>
  </si>
  <si>
    <t>Horuru</t>
  </si>
  <si>
    <t>hrr</t>
  </si>
  <si>
    <t>hosh1238</t>
  </si>
  <si>
    <t>Hoshangabad</t>
  </si>
  <si>
    <t>hoss1238</t>
  </si>
  <si>
    <t>Hoss</t>
  </si>
  <si>
    <t>hote1244</t>
  </si>
  <si>
    <t>Misim-Yamap</t>
  </si>
  <si>
    <t>hote1245</t>
  </si>
  <si>
    <t>Hote</t>
  </si>
  <si>
    <t>hot</t>
  </si>
  <si>
    <t>hoti1237</t>
  </si>
  <si>
    <t>Hoti of East Seram</t>
  </si>
  <si>
    <t>hti</t>
  </si>
  <si>
    <t>hott1234</t>
  </si>
  <si>
    <t>Hottentot Dutch</t>
  </si>
  <si>
    <t>mids1246</t>
  </si>
  <si>
    <t>Houailou</t>
  </si>
  <si>
    <t>houl1238</t>
  </si>
  <si>
    <t>Houlouf</t>
  </si>
  <si>
    <t>hovo1239</t>
  </si>
  <si>
    <t>Hobongan</t>
  </si>
  <si>
    <t>hov</t>
  </si>
  <si>
    <t>howi1238</t>
  </si>
  <si>
    <t>Howi</t>
  </si>
  <si>
    <t>hoxa1234</t>
  </si>
  <si>
    <t>Hoxa</t>
  </si>
  <si>
    <t>hoya1235</t>
  </si>
  <si>
    <t>Hoyahoya-Matakaia</t>
  </si>
  <si>
    <t>hhy</t>
  </si>
  <si>
    <t>west2867</t>
  </si>
  <si>
    <t>Hoyaic</t>
  </si>
  <si>
    <t>hozo1235</t>
  </si>
  <si>
    <t>Hozo-Seze</t>
  </si>
  <si>
    <t>hozo1236</t>
  </si>
  <si>
    <t>Hozo</t>
  </si>
  <si>
    <t>hoz</t>
  </si>
  <si>
    <t>hpon1238</t>
  </si>
  <si>
    <t>Hpon</t>
  </si>
  <si>
    <t>hpo</t>
  </si>
  <si>
    <t>hpun1238</t>
  </si>
  <si>
    <t>Hpungsi</t>
  </si>
  <si>
    <t>Hrangkhol</t>
  </si>
  <si>
    <t>hra</t>
  </si>
  <si>
    <t>hran1240</t>
  </si>
  <si>
    <t>Hrangkhol (Halam)</t>
  </si>
  <si>
    <t>hres1237</t>
  </si>
  <si>
    <t>Hre</t>
  </si>
  <si>
    <t>hre</t>
  </si>
  <si>
    <t>nort3150</t>
  </si>
  <si>
    <t>Hre-Sedang-Todrah-Monam</t>
  </si>
  <si>
    <t>Hre-Sedang</t>
  </si>
  <si>
    <t>hrus1242</t>
  </si>
  <si>
    <t>Hruso</t>
  </si>
  <si>
    <t>hru</t>
  </si>
  <si>
    <t>htis1238</t>
  </si>
  <si>
    <t>Htiselwang</t>
  </si>
  <si>
    <t>huaa1247</t>
  </si>
  <si>
    <t>Hua</t>
  </si>
  <si>
    <t>huaa1248</t>
  </si>
  <si>
    <t>taaa1242</t>
  </si>
  <si>
    <t>East Taa</t>
  </si>
  <si>
    <t>nmn</t>
  </si>
  <si>
    <t>huaa1249</t>
  </si>
  <si>
    <t>«ÇHua</t>
  </si>
  <si>
    <t>huaa1250</t>
  </si>
  <si>
    <t>Hua (Yagaria)</t>
  </si>
  <si>
    <t>huab1238</t>
  </si>
  <si>
    <t>Central Plain Guanhua</t>
  </si>
  <si>
    <t>Huachipaeri</t>
  </si>
  <si>
    <t>hug</t>
  </si>
  <si>
    <t>huac1245</t>
  </si>
  <si>
    <t>Huachipaire</t>
  </si>
  <si>
    <t>huai1241</t>
  </si>
  <si>
    <t>huay1240</t>
  </si>
  <si>
    <t>Huailas</t>
  </si>
  <si>
    <t>hual1240</t>
  </si>
  <si>
    <t>Central Lisu</t>
  </si>
  <si>
    <t>hual1241</t>
  </si>
  <si>
    <t>Huallaga Hu√°nuco Quechua</t>
  </si>
  <si>
    <t>qub</t>
  </si>
  <si>
    <t>huam1247</t>
  </si>
  <si>
    <t>Huambisa</t>
  </si>
  <si>
    <t>hub</t>
  </si>
  <si>
    <t>huam1248</t>
  </si>
  <si>
    <t>Huamal√≠es-Dos de Mayo Hu√°nuco Quechua</t>
  </si>
  <si>
    <t>qvh</t>
  </si>
  <si>
    <t>huam1249</t>
  </si>
  <si>
    <t>Huamal√≠es</t>
  </si>
  <si>
    <t>Hua Miao</t>
  </si>
  <si>
    <t>huan1249</t>
  </si>
  <si>
    <t>Huancavelica</t>
  </si>
  <si>
    <t>huan1250</t>
  </si>
  <si>
    <t>Huancaya-Vitis</t>
  </si>
  <si>
    <t>huan1251</t>
  </si>
  <si>
    <t>xiuy1238</t>
  </si>
  <si>
    <t>Huangshan</t>
  </si>
  <si>
    <t>huan1252</t>
  </si>
  <si>
    <t>muri1259</t>
  </si>
  <si>
    <t>Huang Bau</t>
  </si>
  <si>
    <t>huan1253</t>
  </si>
  <si>
    <t>rong1262</t>
  </si>
  <si>
    <t>Huang-chung-hsien</t>
  </si>
  <si>
    <t>Huarpean</t>
  </si>
  <si>
    <t>huar1254</t>
  </si>
  <si>
    <t>Huar</t>
  </si>
  <si>
    <t>Huarijio</t>
  </si>
  <si>
    <t>var</t>
  </si>
  <si>
    <t>huar1256</t>
  </si>
  <si>
    <t>Huaraz</t>
  </si>
  <si>
    <t>Huastecan Mayan</t>
  </si>
  <si>
    <t>huas1242</t>
  </si>
  <si>
    <t>Huastec</t>
  </si>
  <si>
    <t>hus</t>
  </si>
  <si>
    <t>huas1255</t>
  </si>
  <si>
    <t>Huastec, San Lu√≠s Potos√≠</t>
  </si>
  <si>
    <t>hva</t>
  </si>
  <si>
    <t>huas1256</t>
  </si>
  <si>
    <t>Huastec, Southeastern</t>
  </si>
  <si>
    <t>hsf</t>
  </si>
  <si>
    <t>Huasteca Nahuatl</t>
  </si>
  <si>
    <t>huau1237</t>
  </si>
  <si>
    <t>manu1263</t>
  </si>
  <si>
    <t>Huaulu</t>
  </si>
  <si>
    <t>hud</t>
  </si>
  <si>
    <t>maza1309</t>
  </si>
  <si>
    <t>Huautla Mazatec</t>
  </si>
  <si>
    <t>huav1256</t>
  </si>
  <si>
    <t>Huavean</t>
  </si>
  <si>
    <t>huax1236</t>
  </si>
  <si>
    <t>Huaxcaleca Nahuatl</t>
  </si>
  <si>
    <t>nhq</t>
  </si>
  <si>
    <t>Huaylay</t>
  </si>
  <si>
    <t>Huaylas Ancash Quechua</t>
  </si>
  <si>
    <t>qwh</t>
  </si>
  <si>
    <t>jauj1237</t>
  </si>
  <si>
    <t>Huaylla Wanca Quechua</t>
  </si>
  <si>
    <t>qvw</t>
  </si>
  <si>
    <t>huay1242</t>
  </si>
  <si>
    <t>Huayuan</t>
  </si>
  <si>
    <t>huba1236</t>
  </si>
  <si>
    <t>kilb1234</t>
  </si>
  <si>
    <t>Huba</t>
  </si>
  <si>
    <t>hbb</t>
  </si>
  <si>
    <t>hudu1238</t>
  </si>
  <si>
    <t>Hudu</t>
  </si>
  <si>
    <t>hueh1236</t>
  </si>
  <si>
    <t>tepe1243</t>
  </si>
  <si>
    <t>Huehuetla Tepehua</t>
  </si>
  <si>
    <t>tee</t>
  </si>
  <si>
    <t>huej1238</t>
  </si>
  <si>
    <t>sanf1264</t>
  </si>
  <si>
    <t>Huejonapan</t>
  </si>
  <si>
    <t>huet1235</t>
  </si>
  <si>
    <t>voti1248</t>
  </si>
  <si>
    <t>Huetar</t>
  </si>
  <si>
    <t>huhe1234</t>
  </si>
  <si>
    <t>jiny1235</t>
  </si>
  <si>
    <t>Huhehaote</t>
  </si>
  <si>
    <t>huhu1237</t>
  </si>
  <si>
    <t>Huhuna</t>
  </si>
  <si>
    <t>huih1238</t>
  </si>
  <si>
    <t>Huihe</t>
  </si>
  <si>
    <t>huil1243</t>
  </si>
  <si>
    <t>Huili Yi</t>
  </si>
  <si>
    <t>huil1244</t>
  </si>
  <si>
    <t>Huilliche</t>
  </si>
  <si>
    <t>huh</t>
  </si>
  <si>
    <t>AR CL</t>
  </si>
  <si>
    <t>huim1238</t>
  </si>
  <si>
    <t>Huimen</t>
  </si>
  <si>
    <t>huis1238</t>
  </si>
  <si>
    <t>Huishi (China)</t>
  </si>
  <si>
    <t>Huishui</t>
  </si>
  <si>
    <t>Huitotoan</t>
  </si>
  <si>
    <t>huit1252</t>
  </si>
  <si>
    <t>teoz1234</t>
  </si>
  <si>
    <t>Huitepec Mixtec</t>
  </si>
  <si>
    <t>mxs</t>
  </si>
  <si>
    <t>huiz1242</t>
  </si>
  <si>
    <t>wuhu1234</t>
  </si>
  <si>
    <t>Hui Chinese</t>
  </si>
  <si>
    <t>czh</t>
  </si>
  <si>
    <t>huiz1243</t>
  </si>
  <si>
    <t>Huizhou</t>
  </si>
  <si>
    <t>huiz1244</t>
  </si>
  <si>
    <t>mali1285</t>
  </si>
  <si>
    <t>Huizapula-Zapotitl√°n Tablas</t>
  </si>
  <si>
    <t>huku1237</t>
  </si>
  <si>
    <t>Hukumina</t>
  </si>
  <si>
    <t>huw</t>
  </si>
  <si>
    <t>hula1245</t>
  </si>
  <si>
    <t>Hula</t>
  </si>
  <si>
    <t>hul</t>
  </si>
  <si>
    <t>hula1240</t>
  </si>
  <si>
    <t>Hulaliu</t>
  </si>
  <si>
    <t>hula1244</t>
  </si>
  <si>
    <t>sout3219</t>
  </si>
  <si>
    <t>Hulaul√°</t>
  </si>
  <si>
    <t>huy</t>
  </si>
  <si>
    <t>IL IR US</t>
  </si>
  <si>
    <t>sina1272</t>
  </si>
  <si>
    <t>Hula-Keapara</t>
  </si>
  <si>
    <t>huli1244</t>
  </si>
  <si>
    <t>Huli</t>
  </si>
  <si>
    <t>hui</t>
  </si>
  <si>
    <t>hulu1244</t>
  </si>
  <si>
    <t>Huluf</t>
  </si>
  <si>
    <t>hulu1245</t>
  </si>
  <si>
    <t>Hulu</t>
  </si>
  <si>
    <t>hulu1246</t>
  </si>
  <si>
    <t>nort3221</t>
  </si>
  <si>
    <t>Hulung</t>
  </si>
  <si>
    <t>huk</t>
  </si>
  <si>
    <t>humb1241</t>
  </si>
  <si>
    <t>nyan1305</t>
  </si>
  <si>
    <t>Humbe</t>
  </si>
  <si>
    <t>humb1242</t>
  </si>
  <si>
    <t>Humbu</t>
  </si>
  <si>
    <t>Humburi Senni Songhay</t>
  </si>
  <si>
    <t>hmb</t>
  </si>
  <si>
    <t>hume1245</t>
  </si>
  <si>
    <t>Humene-Kwale</t>
  </si>
  <si>
    <t>hume1246</t>
  </si>
  <si>
    <t>Humene</t>
  </si>
  <si>
    <t>huf</t>
  </si>
  <si>
    <t>huml1238</t>
  </si>
  <si>
    <t>Humla</t>
  </si>
  <si>
    <t>hut</t>
  </si>
  <si>
    <t>hund1239</t>
  </si>
  <si>
    <t>Hunde</t>
  </si>
  <si>
    <t>hke</t>
  </si>
  <si>
    <t>Hunde-Havu</t>
  </si>
  <si>
    <t>Hungarian Sign Language</t>
  </si>
  <si>
    <t>hsh</t>
  </si>
  <si>
    <t>HU</t>
  </si>
  <si>
    <t>Hungarian</t>
  </si>
  <si>
    <t>AT HR HU RO RS SI SK UA</t>
  </si>
  <si>
    <t>Hung</t>
  </si>
  <si>
    <t>hnu</t>
  </si>
  <si>
    <t>hung1276</t>
  </si>
  <si>
    <t>kamu1261</t>
  </si>
  <si>
    <t>Hungworo</t>
  </si>
  <si>
    <t>nat</t>
  </si>
  <si>
    <t>hung1277</t>
  </si>
  <si>
    <t>Hungwe</t>
  </si>
  <si>
    <t>hung1278</t>
  </si>
  <si>
    <t>kong1295</t>
  </si>
  <si>
    <t>Hungana-Saamba</t>
  </si>
  <si>
    <t>hum</t>
  </si>
  <si>
    <t>hung1279</t>
  </si>
  <si>
    <t>Hungduan Ifugao</t>
  </si>
  <si>
    <t>hung1280</t>
  </si>
  <si>
    <t>yaka1278</t>
  </si>
  <si>
    <t>Hungu</t>
  </si>
  <si>
    <t>hunj1241</t>
  </si>
  <si>
    <t>Hunjara-Kaina Ke</t>
  </si>
  <si>
    <t>hkk</t>
  </si>
  <si>
    <t>Hun-Saare</t>
  </si>
  <si>
    <t>dud</t>
  </si>
  <si>
    <t>kuri1270</t>
  </si>
  <si>
    <t>Hunter-Hastings</t>
  </si>
  <si>
    <t>hunz1246</t>
  </si>
  <si>
    <t>Hunza-Nagar</t>
  </si>
  <si>
    <t>hunz1247</t>
  </si>
  <si>
    <t>Hunzib</t>
  </si>
  <si>
    <t>huz</t>
  </si>
  <si>
    <t>hunz1248</t>
  </si>
  <si>
    <t>Hunza</t>
  </si>
  <si>
    <t>hunz1249</t>
  </si>
  <si>
    <t>Hunza Domaaki</t>
  </si>
  <si>
    <t>huon1245</t>
  </si>
  <si>
    <t>nort3206</t>
  </si>
  <si>
    <t>Huon Gulf</t>
  </si>
  <si>
    <t>Huon</t>
  </si>
  <si>
    <t>hupa1239</t>
  </si>
  <si>
    <t>Hupa</t>
  </si>
  <si>
    <t>hup</t>
  </si>
  <si>
    <t>hupd1244</t>
  </si>
  <si>
    <t>hupy1235</t>
  </si>
  <si>
    <t>Hupd√´</t>
  </si>
  <si>
    <t>jup</t>
  </si>
  <si>
    <t>hupd1245</t>
  </si>
  <si>
    <t>Nuclear Hupd√´</t>
  </si>
  <si>
    <t>hupl1238</t>
  </si>
  <si>
    <t>Hupla</t>
  </si>
  <si>
    <t>hap</t>
  </si>
  <si>
    <t>Hup-Yuhup</t>
  </si>
  <si>
    <t>huro1249</t>
  </si>
  <si>
    <t>Lorette Huron</t>
  </si>
  <si>
    <t>hurr1239</t>
  </si>
  <si>
    <t>Hurro-Urartian</t>
  </si>
  <si>
    <t>hurr1240</t>
  </si>
  <si>
    <t>Hurrian</t>
  </si>
  <si>
    <t>xhu</t>
  </si>
  <si>
    <t>huru1238</t>
  </si>
  <si>
    <t>Hurutshe</t>
  </si>
  <si>
    <t>hurz1242</t>
  </si>
  <si>
    <t>Hurza</t>
  </si>
  <si>
    <t>hurz1243</t>
  </si>
  <si>
    <t>Hurzo</t>
  </si>
  <si>
    <t>hush1234</t>
  </si>
  <si>
    <t>Hush√º√±</t>
  </si>
  <si>
    <t>hutt1235</t>
  </si>
  <si>
    <t>Hutterite German</t>
  </si>
  <si>
    <t>geh</t>
  </si>
  <si>
    <t>hutu1238</t>
  </si>
  <si>
    <t>Hutu</t>
  </si>
  <si>
    <t>huut1238</t>
  </si>
  <si>
    <t>Huuti</t>
  </si>
  <si>
    <t>huuu1240</t>
  </si>
  <si>
    <t>sout3232</t>
  </si>
  <si>
    <t>Hu</t>
  </si>
  <si>
    <t>huo</t>
  </si>
  <si>
    <t>huzh1238</t>
  </si>
  <si>
    <t>tuuu1240</t>
  </si>
  <si>
    <t>Huzhu</t>
  </si>
  <si>
    <t>huzh1239</t>
  </si>
  <si>
    <t>tiao1238</t>
  </si>
  <si>
    <t>Huzhou</t>
  </si>
  <si>
    <t>hwaa1238</t>
  </si>
  <si>
    <t>Hwa</t>
  </si>
  <si>
    <t>hwal1242</t>
  </si>
  <si>
    <t>maje1243</t>
  </si>
  <si>
    <t>Hwalem</t>
  </si>
  <si>
    <t>hwan1238</t>
  </si>
  <si>
    <t>Hwanghaedo</t>
  </si>
  <si>
    <t>hwan1240</t>
  </si>
  <si>
    <t>Hwana</t>
  </si>
  <si>
    <t>hwo</t>
  </si>
  <si>
    <t>hwar1238</t>
  </si>
  <si>
    <t>Qwara</t>
  </si>
  <si>
    <t>hwee1238</t>
  </si>
  <si>
    <t>Hwe</t>
  </si>
  <si>
    <t>hwel1241</t>
  </si>
  <si>
    <t>Hwela</t>
  </si>
  <si>
    <t>hwen1238</t>
  </si>
  <si>
    <t>Hwen Gba Kon</t>
  </si>
  <si>
    <t>hwes1238</t>
  </si>
  <si>
    <t>Hwesa</t>
  </si>
  <si>
    <t>hwet1239</t>
  </si>
  <si>
    <t>Hwethom</t>
  </si>
  <si>
    <t>hwin1238</t>
  </si>
  <si>
    <t>shii1238</t>
  </si>
  <si>
    <t>Hwindja</t>
  </si>
  <si>
    <t>hyaa1239</t>
  </si>
  <si>
    <t>Hya</t>
  </si>
  <si>
    <t>hya</t>
  </si>
  <si>
    <t>hyam1245</t>
  </si>
  <si>
    <t>Hyam</t>
  </si>
  <si>
    <t>jab</t>
  </si>
  <si>
    <t>Hyamic</t>
  </si>
  <si>
    <t>nmif1235</t>
  </si>
  <si>
    <t>Hyenghene</t>
  </si>
  <si>
    <t>hyil1238</t>
  </si>
  <si>
    <t>Hyil Hawul</t>
  </si>
  <si>
    <t>hyoj1237</t>
  </si>
  <si>
    <t>toky1238</t>
  </si>
  <si>
    <t>Hy≈çjungo</t>
  </si>
  <si>
    <t>iaai1238</t>
  </si>
  <si>
    <t>Iaai</t>
  </si>
  <si>
    <t>iai</t>
  </si>
  <si>
    <t>iaib1239</t>
  </si>
  <si>
    <t>mula1254</t>
  </si>
  <si>
    <t>Iaibu</t>
  </si>
  <si>
    <t>iaii1238</t>
  </si>
  <si>
    <t>pura1257</t>
  </si>
  <si>
    <t>Iai</t>
  </si>
  <si>
    <t>iama1238</t>
  </si>
  <si>
    <t>Iamalele</t>
  </si>
  <si>
    <t>yml</t>
  </si>
  <si>
    <t>Iamalelic</t>
  </si>
  <si>
    <t>iamb1238</t>
  </si>
  <si>
    <t>nila1242</t>
  </si>
  <si>
    <t>Iambi</t>
  </si>
  <si>
    <t>iame1239</t>
  </si>
  <si>
    <t>Iamega</t>
  </si>
  <si>
    <t>iapa1241</t>
  </si>
  <si>
    <t>Iapama</t>
  </si>
  <si>
    <t>iap</t>
  </si>
  <si>
    <t>sawo1234</t>
  </si>
  <si>
    <t>Iatmul</t>
  </si>
  <si>
    <t>iaui1237</t>
  </si>
  <si>
    <t>Iauiaula</t>
  </si>
  <si>
    <t>Iau</t>
  </si>
  <si>
    <t>tmu</t>
  </si>
  <si>
    <t>ibaa1240</t>
  </si>
  <si>
    <t>Ibaa</t>
  </si>
  <si>
    <t>ibaa1241</t>
  </si>
  <si>
    <t>tina1248</t>
  </si>
  <si>
    <t>Iba</t>
  </si>
  <si>
    <t>ibaj1238</t>
  </si>
  <si>
    <t>Ibaji</t>
  </si>
  <si>
    <t>teke1283</t>
  </si>
  <si>
    <t>Ibali Teke</t>
  </si>
  <si>
    <t>tek</t>
  </si>
  <si>
    <t>ibal1242</t>
  </si>
  <si>
    <t>Ibalao</t>
  </si>
  <si>
    <t>nucl1542</t>
  </si>
  <si>
    <t>Ibaloi</t>
  </si>
  <si>
    <t>ibl</t>
  </si>
  <si>
    <t>iban1261</t>
  </si>
  <si>
    <t>kaki1246</t>
  </si>
  <si>
    <t>Ibani</t>
  </si>
  <si>
    <t>iby</t>
  </si>
  <si>
    <t>iban1262</t>
  </si>
  <si>
    <t>Ibanda</t>
  </si>
  <si>
    <t>iban1263</t>
  </si>
  <si>
    <t>Ibanic</t>
  </si>
  <si>
    <t>Iban</t>
  </si>
  <si>
    <t>BN ID MY</t>
  </si>
  <si>
    <t>iban1265</t>
  </si>
  <si>
    <t>lamo1244</t>
  </si>
  <si>
    <t>Ibanga</t>
  </si>
  <si>
    <t>iban1267</t>
  </si>
  <si>
    <t>Ibanag</t>
  </si>
  <si>
    <t>ibg</t>
  </si>
  <si>
    <t>Ibanagic</t>
  </si>
  <si>
    <t>ibar1241</t>
  </si>
  <si>
    <t>Ibaram</t>
  </si>
  <si>
    <t>ibar1242</t>
  </si>
  <si>
    <t>Ibaraki</t>
  </si>
  <si>
    <t>Ibatan</t>
  </si>
  <si>
    <t>ivb</t>
  </si>
  <si>
    <t>iber1250</t>
  </si>
  <si>
    <t>Iberian</t>
  </si>
  <si>
    <t>xib</t>
  </si>
  <si>
    <t>ibet1238</t>
  </si>
  <si>
    <t>tsis1238</t>
  </si>
  <si>
    <t>Ibeto</t>
  </si>
  <si>
    <t>Ibibio</t>
  </si>
  <si>
    <t>ibb</t>
  </si>
  <si>
    <t>ibie1238</t>
  </si>
  <si>
    <t>Ibiede</t>
  </si>
  <si>
    <t>ibil1238</t>
  </si>
  <si>
    <t>Ibilo</t>
  </si>
  <si>
    <t>ibi</t>
  </si>
  <si>
    <t>ibin1241</t>
  </si>
  <si>
    <t>Ibino</t>
  </si>
  <si>
    <t>ibn</t>
  </si>
  <si>
    <t>ibis1234</t>
  </si>
  <si>
    <t>toro1252</t>
  </si>
  <si>
    <t>Ibi So</t>
  </si>
  <si>
    <t>ibot1241</t>
  </si>
  <si>
    <t>Ibot Obolo</t>
  </si>
  <si>
    <t>ibot1242</t>
  </si>
  <si>
    <t>Ibo'tsa</t>
  </si>
  <si>
    <t>ibuo1241</t>
  </si>
  <si>
    <t>Ibuoro-Nkari</t>
  </si>
  <si>
    <t>ibuo1242</t>
  </si>
  <si>
    <t>Ibuoro</t>
  </si>
  <si>
    <t>ibr</t>
  </si>
  <si>
    <t>ibuu1240</t>
  </si>
  <si>
    <t>sahu1244</t>
  </si>
  <si>
    <t>Ibu</t>
  </si>
  <si>
    <t>ibu</t>
  </si>
  <si>
    <t>icaa1240</t>
  </si>
  <si>
    <t>Ica</t>
  </si>
  <si>
    <t>icar1234</t>
  </si>
  <si>
    <t>sanz1247</t>
  </si>
  <si>
    <t>Icari</t>
  </si>
  <si>
    <t>icel1236</t>
  </si>
  <si>
    <t>Icelandic Sign Language</t>
  </si>
  <si>
    <t>icl</t>
  </si>
  <si>
    <t>IS</t>
  </si>
  <si>
    <t>west2805</t>
  </si>
  <si>
    <t>Icelandic-Faroese</t>
  </si>
  <si>
    <t>Icelandic</t>
  </si>
  <si>
    <t>icel1248</t>
  </si>
  <si>
    <t>icel1249</t>
  </si>
  <si>
    <t>Icelandic-Basque Pidgin</t>
  </si>
  <si>
    <t>Icelandic-based pidgin</t>
  </si>
  <si>
    <t>icev1238</t>
  </si>
  <si>
    <t>Iceve-Maci</t>
  </si>
  <si>
    <t>bec</t>
  </si>
  <si>
    <t>iche1238</t>
  </si>
  <si>
    <t>Icheve</t>
  </si>
  <si>
    <t>icon1234</t>
  </si>
  <si>
    <t>tivv1240</t>
  </si>
  <si>
    <t>Icongo</t>
  </si>
  <si>
    <t>Ida'an</t>
  </si>
  <si>
    <t>dbj</t>
  </si>
  <si>
    <t>idab1234</t>
  </si>
  <si>
    <t>Idabaez</t>
  </si>
  <si>
    <t>idah1238</t>
  </si>
  <si>
    <t>Idah</t>
  </si>
  <si>
    <t>idak1243</t>
  </si>
  <si>
    <t>Idakho-Isukha-Tiriki</t>
  </si>
  <si>
    <t>ida</t>
  </si>
  <si>
    <t>idak1244</t>
  </si>
  <si>
    <t>Idakho</t>
  </si>
  <si>
    <t>idak1245</t>
  </si>
  <si>
    <t>Idakamenai</t>
  </si>
  <si>
    <t>idat1237</t>
  </si>
  <si>
    <t>Idat√©</t>
  </si>
  <si>
    <t>idt</t>
  </si>
  <si>
    <t>ider1238</t>
  </si>
  <si>
    <t>Idere</t>
  </si>
  <si>
    <t>ide</t>
  </si>
  <si>
    <t>ides1238</t>
  </si>
  <si>
    <t>Idesa</t>
  </si>
  <si>
    <t>ids</t>
  </si>
  <si>
    <t>idii1243</t>
  </si>
  <si>
    <t>Idi-Taeme</t>
  </si>
  <si>
    <t>idi</t>
  </si>
  <si>
    <t>idom1241</t>
  </si>
  <si>
    <t>Idoma</t>
  </si>
  <si>
    <t>idu</t>
  </si>
  <si>
    <t>idom1259</t>
  </si>
  <si>
    <t>Idoma South</t>
  </si>
  <si>
    <t>idom1260</t>
  </si>
  <si>
    <t>Idoma West</t>
  </si>
  <si>
    <t>idom1261</t>
  </si>
  <si>
    <t>Idoma Central</t>
  </si>
  <si>
    <t>Idomoid</t>
  </si>
  <si>
    <t>idon1238</t>
  </si>
  <si>
    <t>Idon</t>
  </si>
  <si>
    <t>idc</t>
  </si>
  <si>
    <t>idum1241</t>
  </si>
  <si>
    <t>Idu</t>
  </si>
  <si>
    <t>clk</t>
  </si>
  <si>
    <t>idum1242</t>
  </si>
  <si>
    <t>mbee1249</t>
  </si>
  <si>
    <t>Idum</t>
  </si>
  <si>
    <t>idun1241</t>
  </si>
  <si>
    <t>Idun</t>
  </si>
  <si>
    <t>ldb</t>
  </si>
  <si>
    <t>Iduna</t>
  </si>
  <si>
    <t>viv</t>
  </si>
  <si>
    <t>iduw1238</t>
  </si>
  <si>
    <t>Iduwini</t>
  </si>
  <si>
    <t>If√®</t>
  </si>
  <si>
    <t>ife</t>
  </si>
  <si>
    <t>ifee1242</t>
  </si>
  <si>
    <t>Ife (Nigeria)</t>
  </si>
  <si>
    <t>ifig1238</t>
  </si>
  <si>
    <t>Ifigi</t>
  </si>
  <si>
    <t>ifoo1237</t>
  </si>
  <si>
    <t>Ifo</t>
  </si>
  <si>
    <t>iff</t>
  </si>
  <si>
    <t>Ifugaw</t>
  </si>
  <si>
    <t>ifun1238</t>
  </si>
  <si>
    <t>nyan1304</t>
  </si>
  <si>
    <t>Ifuna</t>
  </si>
  <si>
    <t>igaa1237</t>
  </si>
  <si>
    <t>miee1237</t>
  </si>
  <si>
    <t>Iga</t>
  </si>
  <si>
    <t>Igala</t>
  </si>
  <si>
    <t>igl</t>
  </si>
  <si>
    <t>igan1242</t>
  </si>
  <si>
    <t>Igan</t>
  </si>
  <si>
    <t>igan1243</t>
  </si>
  <si>
    <t>unun9900</t>
  </si>
  <si>
    <t>Igana</t>
  </si>
  <si>
    <t>igg</t>
  </si>
  <si>
    <t>igar1238</t>
  </si>
  <si>
    <t>Igara</t>
  </si>
  <si>
    <t>igas1238</t>
  </si>
  <si>
    <t>Igasi</t>
  </si>
  <si>
    <t>igbo1255</t>
  </si>
  <si>
    <t>Igbonna</t>
  </si>
  <si>
    <t>igbo1256</t>
  </si>
  <si>
    <t>Igbo-Ola-Sale</t>
  </si>
  <si>
    <t>igbo1257</t>
  </si>
  <si>
    <t>Igbo-Ola-Oke</t>
  </si>
  <si>
    <t>Igboid</t>
  </si>
  <si>
    <t>igbo1259</t>
  </si>
  <si>
    <t>Nuclear Igboid</t>
  </si>
  <si>
    <t>igbu1241</t>
  </si>
  <si>
    <t>Igbuduya</t>
  </si>
  <si>
    <t>igbu1242</t>
  </si>
  <si>
    <t>Igburu-Usomini</t>
  </si>
  <si>
    <t>Igede</t>
  </si>
  <si>
    <t>ige</t>
  </si>
  <si>
    <t>igem1238</t>
  </si>
  <si>
    <t>meru1245</t>
  </si>
  <si>
    <t>Igembe</t>
  </si>
  <si>
    <t>igik1238</t>
  </si>
  <si>
    <t>Igikiga</t>
  </si>
  <si>
    <t>iglu1234</t>
  </si>
  <si>
    <t>Iglulingmiut</t>
  </si>
  <si>
    <t>igna1246</t>
  </si>
  <si>
    <t>moxo1234</t>
  </si>
  <si>
    <t>Ignaciano</t>
  </si>
  <si>
    <t>ign</t>
  </si>
  <si>
    <t>igoj1238</t>
  </si>
  <si>
    <t>Igoji</t>
  </si>
  <si>
    <t>igoo1238</t>
  </si>
  <si>
    <t>kpos1239</t>
  </si>
  <si>
    <t>Igo</t>
  </si>
  <si>
    <t>ahl</t>
  </si>
  <si>
    <t>igua1238</t>
  </si>
  <si>
    <t>Iguambo</t>
  </si>
  <si>
    <t>igue1238</t>
  </si>
  <si>
    <t>Igueben</t>
  </si>
  <si>
    <t>igut1238</t>
  </si>
  <si>
    <t>Iguta</t>
  </si>
  <si>
    <t>nar</t>
  </si>
  <si>
    <t>igwe1238</t>
  </si>
  <si>
    <t>Igwe</t>
  </si>
  <si>
    <t>igw</t>
  </si>
  <si>
    <t>unun9932</t>
  </si>
  <si>
    <t>Igwe-Enwa-Sasaru</t>
  </si>
  <si>
    <t>igwu1238</t>
  </si>
  <si>
    <t>Igwuruta</t>
  </si>
  <si>
    <t>igya1238</t>
  </si>
  <si>
    <t>taro1263</t>
  </si>
  <si>
    <t>Igyang</t>
  </si>
  <si>
    <t>igze1238</t>
  </si>
  <si>
    <t>Igzennaian</t>
  </si>
  <si>
    <t>ihaa1241</t>
  </si>
  <si>
    <t>Iha</t>
  </si>
  <si>
    <t>ihp</t>
  </si>
  <si>
    <t>ihab1241</t>
  </si>
  <si>
    <t>ihab1242</t>
  </si>
  <si>
    <t>Iha-based Pidgin</t>
  </si>
  <si>
    <t>ihb</t>
  </si>
  <si>
    <t>Iha-based pidgin</t>
  </si>
  <si>
    <t>ihan1234</t>
  </si>
  <si>
    <t>Ihanja</t>
  </si>
  <si>
    <t>ihas1239</t>
  </si>
  <si>
    <t>sapa1251</t>
  </si>
  <si>
    <t>Iha-Seram</t>
  </si>
  <si>
    <t>ihas1240</t>
  </si>
  <si>
    <t>Iha-Saparua</t>
  </si>
  <si>
    <t>ihie1238</t>
  </si>
  <si>
    <t>Ihievbe</t>
  </si>
  <si>
    <t>ihi</t>
  </si>
  <si>
    <t>ihur1237</t>
  </si>
  <si>
    <t>Ihuruana</t>
  </si>
  <si>
    <t>iimu1237</t>
  </si>
  <si>
    <t>Iimutsu</t>
  </si>
  <si>
    <t>ijaa1237</t>
  </si>
  <si>
    <t>Ija</t>
  </si>
  <si>
    <t>ijaz1238</t>
  </si>
  <si>
    <t>jili1243</t>
  </si>
  <si>
    <t>Ija-Zuba</t>
  </si>
  <si>
    <t>vki</t>
  </si>
  <si>
    <t>ijeb1238</t>
  </si>
  <si>
    <t>Ijebu</t>
  </si>
  <si>
    <t>ijes1238</t>
  </si>
  <si>
    <t>Ijesha</t>
  </si>
  <si>
    <t>ijie1238</t>
  </si>
  <si>
    <t>Ijiegu</t>
  </si>
  <si>
    <t>ijoh1239</t>
  </si>
  <si>
    <t>kens1248</t>
  </si>
  <si>
    <t>Ijoh</t>
  </si>
  <si>
    <t>Ijoid</t>
  </si>
  <si>
    <t>Ijo</t>
  </si>
  <si>
    <t>ikaa1238</t>
  </si>
  <si>
    <t>ikk</t>
  </si>
  <si>
    <t>ikal1241</t>
  </si>
  <si>
    <t>Ikale</t>
  </si>
  <si>
    <t>ikal1242</t>
  </si>
  <si>
    <t>kala1384</t>
  </si>
  <si>
    <t>Ikalanga</t>
  </si>
  <si>
    <t>ikar1241</t>
  </si>
  <si>
    <t>Ikaran-Ele</t>
  </si>
  <si>
    <t>ikar1242</t>
  </si>
  <si>
    <t>Ikaran-Oke</t>
  </si>
  <si>
    <t>ikar1243</t>
  </si>
  <si>
    <t>Ikaranggal</t>
  </si>
  <si>
    <t>ikr</t>
  </si>
  <si>
    <t>ikeg1236</t>
  </si>
  <si>
    <t>Ikega</t>
  </si>
  <si>
    <t>ikel1238</t>
  </si>
  <si>
    <t>Ikeleve</t>
  </si>
  <si>
    <t>ikem1234</t>
  </si>
  <si>
    <t>Ikema-Irabu</t>
  </si>
  <si>
    <t>ikem1235</t>
  </si>
  <si>
    <t>Ikema-Jima</t>
  </si>
  <si>
    <t>ikib1238</t>
  </si>
  <si>
    <t>Ikibiri</t>
  </si>
  <si>
    <t>ikiz1238</t>
  </si>
  <si>
    <t>sout3201</t>
  </si>
  <si>
    <t>Ikizu</t>
  </si>
  <si>
    <t>ikz</t>
  </si>
  <si>
    <t>ikkk1242</t>
  </si>
  <si>
    <t>kuli1252</t>
  </si>
  <si>
    <t>Ik</t>
  </si>
  <si>
    <t>ikx</t>
  </si>
  <si>
    <t>ikng1238</t>
  </si>
  <si>
    <t>Ikngerripenhe</t>
  </si>
  <si>
    <t>Ikobi</t>
  </si>
  <si>
    <t>meb</t>
  </si>
  <si>
    <t>ikol1237</t>
  </si>
  <si>
    <t>Ikolu</t>
  </si>
  <si>
    <t>ikom1244</t>
  </si>
  <si>
    <t>olul1245</t>
  </si>
  <si>
    <t>Ikom</t>
  </si>
  <si>
    <t>ikom1245</t>
  </si>
  <si>
    <t>Ikoma-Nata-Isenye</t>
  </si>
  <si>
    <t>ntk</t>
  </si>
  <si>
    <t>ikoo1244</t>
  </si>
  <si>
    <t>Iko (Agoi)</t>
  </si>
  <si>
    <t>ikoo1245</t>
  </si>
  <si>
    <t>Iko</t>
  </si>
  <si>
    <t>iki</t>
  </si>
  <si>
    <t>ikor1238</t>
  </si>
  <si>
    <t>Ikorom</t>
  </si>
  <si>
    <t>ikot1238</t>
  </si>
  <si>
    <t>Ikot Ekpene</t>
  </si>
  <si>
    <t>ikpe1243</t>
  </si>
  <si>
    <t>Ikpeshi</t>
  </si>
  <si>
    <t>ikp</t>
  </si>
  <si>
    <t>ikpe1244</t>
  </si>
  <si>
    <t>Ikpesa</t>
  </si>
  <si>
    <t>ikpe1245</t>
  </si>
  <si>
    <t>Ikpeng</t>
  </si>
  <si>
    <t>txi</t>
  </si>
  <si>
    <t>Ikposo</t>
  </si>
  <si>
    <t>kpo</t>
  </si>
  <si>
    <t>ikpo1239</t>
  </si>
  <si>
    <t>Ikponu</t>
  </si>
  <si>
    <t>ikug1238</t>
  </si>
  <si>
    <t>Iku-Gora-Ankwa</t>
  </si>
  <si>
    <t>ikv</t>
  </si>
  <si>
    <t>ikul1238</t>
  </si>
  <si>
    <t>unun9912</t>
  </si>
  <si>
    <t>Ikulu</t>
  </si>
  <si>
    <t>ikl</t>
  </si>
  <si>
    <t>ikum1241</t>
  </si>
  <si>
    <t>Ikumbure</t>
  </si>
  <si>
    <t>ikum1242</t>
  </si>
  <si>
    <t>Ikumtale</t>
  </si>
  <si>
    <t>ikun1240</t>
  </si>
  <si>
    <t>Ikun</t>
  </si>
  <si>
    <t>ikun1241</t>
  </si>
  <si>
    <t>Ikuna</t>
  </si>
  <si>
    <t>ikwe1241</t>
  </si>
  <si>
    <t>Ikweri</t>
  </si>
  <si>
    <t>Ikwere</t>
  </si>
  <si>
    <t>ikw</t>
  </si>
  <si>
    <t>ikwo1238</t>
  </si>
  <si>
    <t>Ikwo</t>
  </si>
  <si>
    <t>iqw</t>
  </si>
  <si>
    <t>ikyo1237</t>
  </si>
  <si>
    <t>lena1238</t>
  </si>
  <si>
    <t>Ikyoo</t>
  </si>
  <si>
    <t>Ila (Yoruba)</t>
  </si>
  <si>
    <t>ilaa1246</t>
  </si>
  <si>
    <t>kafu1239</t>
  </si>
  <si>
    <t>Ila</t>
  </si>
  <si>
    <t>ilb</t>
  </si>
  <si>
    <t>ZM</t>
  </si>
  <si>
    <t>ilaf1238</t>
  </si>
  <si>
    <t>Ilafuri</t>
  </si>
  <si>
    <t>ilai1239</t>
  </si>
  <si>
    <t>Ilai</t>
  </si>
  <si>
    <t>ilaj1238</t>
  </si>
  <si>
    <t>Ilaje</t>
  </si>
  <si>
    <t>ilak1239</t>
  </si>
  <si>
    <t>Ilakia</t>
  </si>
  <si>
    <t>ilam1238</t>
  </si>
  <si>
    <t>lepc1244</t>
  </si>
  <si>
    <t>Ilammu</t>
  </si>
  <si>
    <t>ilam1239</t>
  </si>
  <si>
    <t>Ilam Yolmo</t>
  </si>
  <si>
    <t>ilea1237</t>
  </si>
  <si>
    <t>Ile Ape</t>
  </si>
  <si>
    <t>ila</t>
  </si>
  <si>
    <t>ilen1237</t>
  </si>
  <si>
    <t>west2555</t>
  </si>
  <si>
    <t>Ilentungen</t>
  </si>
  <si>
    <t>ilga1238</t>
  </si>
  <si>
    <t>Ilgar</t>
  </si>
  <si>
    <t>west2554</t>
  </si>
  <si>
    <t>Ilianen Manobo</t>
  </si>
  <si>
    <t>mbi</t>
  </si>
  <si>
    <t>ilii1241</t>
  </si>
  <si>
    <t>Ili</t>
  </si>
  <si>
    <t>ilik1238</t>
  </si>
  <si>
    <t>Iliku</t>
  </si>
  <si>
    <t>ilir1237</t>
  </si>
  <si>
    <t>jamb1236</t>
  </si>
  <si>
    <t>Ilir</t>
  </si>
  <si>
    <t>ilit1241</t>
  </si>
  <si>
    <t>uigh1243</t>
  </si>
  <si>
    <t>Ili Turki</t>
  </si>
  <si>
    <t>ili</t>
  </si>
  <si>
    <t>CN KZ</t>
  </si>
  <si>
    <t>ilit1242</t>
  </si>
  <si>
    <t>Ilit</t>
  </si>
  <si>
    <t>weta1245</t>
  </si>
  <si>
    <t>Ili'uun</t>
  </si>
  <si>
    <t>ilu</t>
  </si>
  <si>
    <t>illo1238</t>
  </si>
  <si>
    <t>Illo</t>
  </si>
  <si>
    <t>illy1234</t>
  </si>
  <si>
    <t>Illyrian</t>
  </si>
  <si>
    <t>xil</t>
  </si>
  <si>
    <t>ilma1240</t>
  </si>
  <si>
    <t>Ilmaumau</t>
  </si>
  <si>
    <t>ilmt1234</t>
  </si>
  <si>
    <t>Ilm Thuringian</t>
  </si>
  <si>
    <t>ilod1238</t>
  </si>
  <si>
    <t>Ilodji</t>
  </si>
  <si>
    <t>ilok1237</t>
  </si>
  <si>
    <t>Iloko</t>
  </si>
  <si>
    <t>ilo</t>
  </si>
  <si>
    <t>sout2907</t>
  </si>
  <si>
    <t>Ilongot</t>
  </si>
  <si>
    <t>ilk</t>
  </si>
  <si>
    <t>iloo1238</t>
  </si>
  <si>
    <t>Iloodokilani</t>
  </si>
  <si>
    <t>ilpo1237</t>
  </si>
  <si>
    <t>Ilpokil</t>
  </si>
  <si>
    <t>ilpu1239</t>
  </si>
  <si>
    <t>Ilputih (Aputai)</t>
  </si>
  <si>
    <t>ilpu1240</t>
  </si>
  <si>
    <t>Ilputih (Talur)</t>
  </si>
  <si>
    <t>ilud1237</t>
  </si>
  <si>
    <t>Ilud</t>
  </si>
  <si>
    <t>ilue1241</t>
  </si>
  <si>
    <t>Ilue</t>
  </si>
  <si>
    <t>ilv</t>
  </si>
  <si>
    <t>ilwa1237</t>
  </si>
  <si>
    <t>saba1282</t>
  </si>
  <si>
    <t>Ilwana</t>
  </si>
  <si>
    <t>mlk</t>
  </si>
  <si>
    <t>ilwa1238</t>
  </si>
  <si>
    <t>Ilwaki</t>
  </si>
  <si>
    <t>imaf1237</t>
  </si>
  <si>
    <t>Imafin</t>
  </si>
  <si>
    <t>iman1239</t>
  </si>
  <si>
    <t>Iman</t>
  </si>
  <si>
    <t>imba1237</t>
  </si>
  <si>
    <t>Imbabura</t>
  </si>
  <si>
    <t>imba1239</t>
  </si>
  <si>
    <t>Imbana</t>
  </si>
  <si>
    <t>imba1240</t>
  </si>
  <si>
    <t>Imbabura Highland Quichua</t>
  </si>
  <si>
    <t>qvi</t>
  </si>
  <si>
    <t>Imbongu</t>
  </si>
  <si>
    <t>imo</t>
  </si>
  <si>
    <t>imen1238</t>
  </si>
  <si>
    <t>Imenti</t>
  </si>
  <si>
    <t>imer1236</t>
  </si>
  <si>
    <t>Imeraguen</t>
  </si>
  <si>
    <t>ime</t>
  </si>
  <si>
    <t>MR</t>
  </si>
  <si>
    <t>imer1247</t>
  </si>
  <si>
    <t>Imerxev Kartlian</t>
  </si>
  <si>
    <t>imer1248</t>
  </si>
  <si>
    <t>Imeretian</t>
  </si>
  <si>
    <t>imer1249</t>
  </si>
  <si>
    <t>Imerxev</t>
  </si>
  <si>
    <t>imil1242</t>
  </si>
  <si>
    <t>sima1258</t>
  </si>
  <si>
    <t>Imilangu</t>
  </si>
  <si>
    <t>imil1243</t>
  </si>
  <si>
    <t>Imila</t>
  </si>
  <si>
    <t>imiv1238</t>
  </si>
  <si>
    <t>Imiv</t>
  </si>
  <si>
    <t>imog1238</t>
  </si>
  <si>
    <t>Imoga</t>
  </si>
  <si>
    <t>imon1244</t>
  </si>
  <si>
    <t>ntom1248</t>
  </si>
  <si>
    <t>Imona</t>
  </si>
  <si>
    <t>imon1245</t>
  </si>
  <si>
    <t>Imonda</t>
  </si>
  <si>
    <t>imn</t>
  </si>
  <si>
    <t>impe1234</t>
  </si>
  <si>
    <t>lati1263</t>
  </si>
  <si>
    <t>Imperial Latin</t>
  </si>
  <si>
    <t>imro1237</t>
  </si>
  <si>
    <t>Imroing</t>
  </si>
  <si>
    <t>imr</t>
  </si>
  <si>
    <t>imul1234</t>
  </si>
  <si>
    <t>laba1242</t>
  </si>
  <si>
    <t>Imulolo</t>
  </si>
  <si>
    <t>imun1234</t>
  </si>
  <si>
    <t>meke1244</t>
  </si>
  <si>
    <t>Imunga Trade Language</t>
  </si>
  <si>
    <t>imya1235</t>
  </si>
  <si>
    <t>Imyan</t>
  </si>
  <si>
    <t>inab1237</t>
  </si>
  <si>
    <t>sama1302</t>
  </si>
  <si>
    <t>Inabaknon</t>
  </si>
  <si>
    <t>abx</t>
  </si>
  <si>
    <t>inag1234</t>
  </si>
  <si>
    <t>Inagta Bikol</t>
  </si>
  <si>
    <t>Inanwatan</t>
  </si>
  <si>
    <t>inap1241</t>
  </si>
  <si>
    <t>Itutang-Inapang</t>
  </si>
  <si>
    <t>mzu</t>
  </si>
  <si>
    <t>inap1242</t>
  </si>
  <si>
    <t>Inaparic</t>
  </si>
  <si>
    <t>inap1243</t>
  </si>
  <si>
    <t>I√±apari</t>
  </si>
  <si>
    <t>inp</t>
  </si>
  <si>
    <t>inar1241</t>
  </si>
  <si>
    <t>Inari Saami</t>
  </si>
  <si>
    <t>smn</t>
  </si>
  <si>
    <t>FI NO</t>
  </si>
  <si>
    <t>inau1238</t>
  </si>
  <si>
    <t>Cuniu√°</t>
  </si>
  <si>
    <t>inca1238</t>
  </si>
  <si>
    <t>Incahuasi</t>
  </si>
  <si>
    <t>inde1240</t>
  </si>
  <si>
    <t>Indenie</t>
  </si>
  <si>
    <t>inde1241</t>
  </si>
  <si>
    <t>Inde</t>
  </si>
  <si>
    <t>indo1332</t>
  </si>
  <si>
    <t>Indian Sign Language</t>
  </si>
  <si>
    <t>ins</t>
  </si>
  <si>
    <t>Indian English</t>
  </si>
  <si>
    <t>indi1256</t>
  </si>
  <si>
    <t>Indi</t>
  </si>
  <si>
    <t>indi1257</t>
  </si>
  <si>
    <t>west2887</t>
  </si>
  <si>
    <t>Indigirka</t>
  </si>
  <si>
    <t>indo1291</t>
  </si>
  <si>
    <t>indo1333</t>
  </si>
  <si>
    <t>Jakartan Sign Language</t>
  </si>
  <si>
    <t>inl</t>
  </si>
  <si>
    <t>Indo-Aryan Northern zone</t>
  </si>
  <si>
    <t>Kangri-Dogri</t>
  </si>
  <si>
    <t>doi</t>
  </si>
  <si>
    <t>Indonesian</t>
  </si>
  <si>
    <t>ID NL PH SA SG US</t>
  </si>
  <si>
    <t>Indonesian Bajau</t>
  </si>
  <si>
    <t>Indo-European</t>
  </si>
  <si>
    <t>Indo-Iranian</t>
  </si>
  <si>
    <t>Indo-Aryan</t>
  </si>
  <si>
    <t>Indo-Aryan Central zone</t>
  </si>
  <si>
    <t>Indo-Aryan Eastern zone</t>
  </si>
  <si>
    <t>Indo-Aryan Northwestern zone</t>
  </si>
  <si>
    <t>indo1325</t>
  </si>
  <si>
    <t>Indo-Aryan Southern zone</t>
  </si>
  <si>
    <t>Indonesian Archipelago Malay</t>
  </si>
  <si>
    <t>indo1327</t>
  </si>
  <si>
    <t>Indo-Portuguesic</t>
  </si>
  <si>
    <t>Indo-European (Unattested)</t>
  </si>
  <si>
    <t>indo1331</t>
  </si>
  <si>
    <t>Indo-Pakistani-Nepalese Sign</t>
  </si>
  <si>
    <t>Indo-Pakistani Sign</t>
  </si>
  <si>
    <t>mala1548</t>
  </si>
  <si>
    <t>Indonesian Sign</t>
  </si>
  <si>
    <t>Indo-European Speech Register</t>
  </si>
  <si>
    <t>indr1246</t>
  </si>
  <si>
    <t>sere1266</t>
  </si>
  <si>
    <t>Indri-Togoyo</t>
  </si>
  <si>
    <t>indr1247</t>
  </si>
  <si>
    <t>Indri</t>
  </si>
  <si>
    <t>idr</t>
  </si>
  <si>
    <t>indr1248</t>
  </si>
  <si>
    <t>Indramayu</t>
  </si>
  <si>
    <t>indu1240</t>
  </si>
  <si>
    <t>Indus Kohistanic</t>
  </si>
  <si>
    <t>Indus Kohistani</t>
  </si>
  <si>
    <t>mvy</t>
  </si>
  <si>
    <t>indu1242</t>
  </si>
  <si>
    <t>Indus</t>
  </si>
  <si>
    <t>ineb1235</t>
  </si>
  <si>
    <t>Inebu One</t>
  </si>
  <si>
    <t>oin</t>
  </si>
  <si>
    <t>ined1238</t>
  </si>
  <si>
    <t>Inedua</t>
  </si>
  <si>
    <t>ines1240</t>
  </si>
  <si>
    <t>Inese√±o</t>
  </si>
  <si>
    <t>inz</t>
  </si>
  <si>
    <t>inet1238</t>
  </si>
  <si>
    <t>Ineta</t>
  </si>
  <si>
    <t>inga1250</t>
  </si>
  <si>
    <t>Ingariko</t>
  </si>
  <si>
    <t>inga1251</t>
  </si>
  <si>
    <t>Ingan Quechua IIB</t>
  </si>
  <si>
    <t>Inga</t>
  </si>
  <si>
    <t>inb</t>
  </si>
  <si>
    <t>inga1253</t>
  </si>
  <si>
    <t>jeme1246</t>
  </si>
  <si>
    <t>Ingain-Kimda</t>
  </si>
  <si>
    <t>inga1254</t>
  </si>
  <si>
    <t>Ingain</t>
  </si>
  <si>
    <t>ingi1240</t>
  </si>
  <si>
    <t>Ingilo</t>
  </si>
  <si>
    <t>ingi1242</t>
  </si>
  <si>
    <t>Ingias</t>
  </si>
  <si>
    <t>ingr1248</t>
  </si>
  <si>
    <t>Ingrian</t>
  </si>
  <si>
    <t>izh</t>
  </si>
  <si>
    <t>EE RU</t>
  </si>
  <si>
    <t>ingu1240</t>
  </si>
  <si>
    <t>Ingush</t>
  </si>
  <si>
    <t>inh</t>
  </si>
  <si>
    <t>inis1238</t>
  </si>
  <si>
    <t>Inishke</t>
  </si>
  <si>
    <t>inja1238</t>
  </si>
  <si>
    <t>Inja</t>
  </si>
  <si>
    <t>west2446</t>
  </si>
  <si>
    <t>Inland Ijo</t>
  </si>
  <si>
    <t>inla1260</t>
  </si>
  <si>
    <t>Inlaod Itneg</t>
  </si>
  <si>
    <t>iti</t>
  </si>
  <si>
    <t>inla1262</t>
  </si>
  <si>
    <t>Inland Gulf of Papua</t>
  </si>
  <si>
    <t>Inland Northern Maipuran</t>
  </si>
  <si>
    <t>Inland Tsamosan</t>
  </si>
  <si>
    <t>Inland Bikol</t>
  </si>
  <si>
    <t>inla1267</t>
  </si>
  <si>
    <t>Inland Min</t>
  </si>
  <si>
    <t>Inland Bandjalang</t>
  </si>
  <si>
    <t>inla1269</t>
  </si>
  <si>
    <t>nort3316</t>
  </si>
  <si>
    <t>Inland North English</t>
  </si>
  <si>
    <t>inma1234</t>
  </si>
  <si>
    <t>peru1236</t>
  </si>
  <si>
    <t>Inmaculada Sign Language</t>
  </si>
  <si>
    <t>inne1243</t>
  </si>
  <si>
    <t>Inner Siraji</t>
  </si>
  <si>
    <t>Inner Sulu Sama</t>
  </si>
  <si>
    <t>inno1234</t>
  </si>
  <si>
    <t>Innovative Amdo Farmer</t>
  </si>
  <si>
    <t>innt1238</t>
  </si>
  <si>
    <t>oyyy1238</t>
  </si>
  <si>
    <t>Inn Tea</t>
  </si>
  <si>
    <t>inok1238</t>
  </si>
  <si>
    <t>kama1374</t>
  </si>
  <si>
    <t>Inoke-Yate</t>
  </si>
  <si>
    <t>ino</t>
  </si>
  <si>
    <t>Inonhan</t>
  </si>
  <si>
    <t>loc</t>
  </si>
  <si>
    <t>inor1239</t>
  </si>
  <si>
    <t>Inor</t>
  </si>
  <si>
    <t>ior</t>
  </si>
  <si>
    <t>ttgr1237</t>
  </si>
  <si>
    <t>Inoric</t>
  </si>
  <si>
    <t>inpu1234</t>
  </si>
  <si>
    <t>Inpui Naga</t>
  </si>
  <si>
    <t>nkf</t>
  </si>
  <si>
    <t>insu1250</t>
  </si>
  <si>
    <t>Insubric</t>
  </si>
  <si>
    <t>insu1251</t>
  </si>
  <si>
    <t>scot1243</t>
  </si>
  <si>
    <t>Insular Scots</t>
  </si>
  <si>
    <t>Insular Chonan</t>
  </si>
  <si>
    <t>tgbc1234</t>
  </si>
  <si>
    <t>Insular Celtic</t>
  </si>
  <si>
    <t>nort2626</t>
  </si>
  <si>
    <t>Insular Northern Frisian</t>
  </si>
  <si>
    <t>inte1239</t>
  </si>
  <si>
    <t>Interlingua (International Auxiliary Language Association)</t>
  </si>
  <si>
    <t>ina</t>
  </si>
  <si>
    <t>inte1241</t>
  </si>
  <si>
    <t>Interior Salish</t>
  </si>
  <si>
    <t>inte1256</t>
  </si>
  <si>
    <t>Intermediate Bantawa</t>
  </si>
  <si>
    <t>inte1257</t>
  </si>
  <si>
    <t>Interior Makwe</t>
  </si>
  <si>
    <t>inte1258</t>
  </si>
  <si>
    <t>west2566</t>
  </si>
  <si>
    <t>Interior Bungku-Tolaki</t>
  </si>
  <si>
    <t>inte1259</t>
  </si>
  <si>
    <t>pidg1253</t>
  </si>
  <si>
    <t>International Sign</t>
  </si>
  <si>
    <t>ils</t>
  </si>
  <si>
    <t>inte1260</t>
  </si>
  <si>
    <t>Interlingue (Occidental)</t>
  </si>
  <si>
    <t>ile</t>
  </si>
  <si>
    <t>sout3159</t>
  </si>
  <si>
    <t>Intha-Danu</t>
  </si>
  <si>
    <t>int</t>
  </si>
  <si>
    <t>inth1239</t>
  </si>
  <si>
    <t>Intha</t>
  </si>
  <si>
    <t>inui1247</t>
  </si>
  <si>
    <t>Inuit Sign Language</t>
  </si>
  <si>
    <t>iks</t>
  </si>
  <si>
    <t>Alaskan Inupiaq</t>
  </si>
  <si>
    <t>ipk</t>
  </si>
  <si>
    <t>inuv1238</t>
  </si>
  <si>
    <t>Inuvaken</t>
  </si>
  <si>
    <t>inwa1234</t>
  </si>
  <si>
    <t>Inward-ji Southern Qiang</t>
  </si>
  <si>
    <t>inxo1238</t>
  </si>
  <si>
    <t>khva1239</t>
  </si>
  <si>
    <t>Inxokvari</t>
  </si>
  <si>
    <t>inya1238</t>
  </si>
  <si>
    <t>Inyanga</t>
  </si>
  <si>
    <t>ioit1234</t>
  </si>
  <si>
    <t>Ioi Trade Jargon</t>
  </si>
  <si>
    <t>Ionian-Peleponnesian-Attic</t>
  </si>
  <si>
    <t>ioni1243</t>
  </si>
  <si>
    <t>Ionian Islands</t>
  </si>
  <si>
    <t>ioni1244</t>
  </si>
  <si>
    <t>Ionic</t>
  </si>
  <si>
    <t>iooo1234</t>
  </si>
  <si>
    <t>natu1246</t>
  </si>
  <si>
    <t>Io</t>
  </si>
  <si>
    <t>ioul1238</t>
  </si>
  <si>
    <t>tawa1286</t>
  </si>
  <si>
    <t>Ioullemmeden</t>
  </si>
  <si>
    <t>iowa1245</t>
  </si>
  <si>
    <t>Iowa-Oto</t>
  </si>
  <si>
    <t>iow</t>
  </si>
  <si>
    <t>iowa1246</t>
  </si>
  <si>
    <t>Iowa</t>
  </si>
  <si>
    <t>Ipai</t>
  </si>
  <si>
    <t>ipal1235</t>
  </si>
  <si>
    <t>Ipalapa Amuzgo</t>
  </si>
  <si>
    <t>azm</t>
  </si>
  <si>
    <t>ipek1240</t>
  </si>
  <si>
    <t>Ipeka-Tapuia</t>
  </si>
  <si>
    <t>paj</t>
  </si>
  <si>
    <t>ipik1244</t>
  </si>
  <si>
    <t>Ipiko</t>
  </si>
  <si>
    <t>ipo</t>
  </si>
  <si>
    <t>ipil1240</t>
  </si>
  <si>
    <t>Ipili</t>
  </si>
  <si>
    <t>ipi</t>
  </si>
  <si>
    <t>ipoo1238</t>
  </si>
  <si>
    <t>Ipo</t>
  </si>
  <si>
    <t>Ipulo-Olulu</t>
  </si>
  <si>
    <t>ass</t>
  </si>
  <si>
    <t>ipus1234</t>
  </si>
  <si>
    <t>Ipusu</t>
  </si>
  <si>
    <t>iqli1238</t>
  </si>
  <si>
    <t>Iqlim-Al-Kharrub Sunni Arabic</t>
  </si>
  <si>
    <t>iqui1243</t>
  </si>
  <si>
    <t>Iquito</t>
  </si>
  <si>
    <t>iqu</t>
  </si>
  <si>
    <t>Iquito-Arabela</t>
  </si>
  <si>
    <t>irab1238</t>
  </si>
  <si>
    <t>Irabu-Jima</t>
  </si>
  <si>
    <t>iram1238</t>
  </si>
  <si>
    <t>Iramang</t>
  </si>
  <si>
    <t>iran1262</t>
  </si>
  <si>
    <t>Iranun</t>
  </si>
  <si>
    <t>ill</t>
  </si>
  <si>
    <t>iran1263</t>
  </si>
  <si>
    <t>Ir√°ntxe-M√ºnk√º</t>
  </si>
  <si>
    <t>irn</t>
  </si>
  <si>
    <t>iran1264</t>
  </si>
  <si>
    <t>Ir√°ntxe</t>
  </si>
  <si>
    <t>iran1268</t>
  </si>
  <si>
    <t>Iranian Koine</t>
  </si>
  <si>
    <t>Iranian</t>
  </si>
  <si>
    <t>Iraqwoid</t>
  </si>
  <si>
    <t>Iraqw</t>
  </si>
  <si>
    <t>irk</t>
  </si>
  <si>
    <t>iraq1245</t>
  </si>
  <si>
    <t>Iraqi Neo-Mandaic</t>
  </si>
  <si>
    <t>iraq1246</t>
  </si>
  <si>
    <t>leva1240</t>
  </si>
  <si>
    <t>Iraqi Sign Language</t>
  </si>
  <si>
    <t>irar1238</t>
  </si>
  <si>
    <t>nabi1238</t>
  </si>
  <si>
    <t>Irarutu</t>
  </si>
  <si>
    <t>irh</t>
  </si>
  <si>
    <t>Iraya</t>
  </si>
  <si>
    <t>iry</t>
  </si>
  <si>
    <t>irel1234</t>
  </si>
  <si>
    <t>Ireli</t>
  </si>
  <si>
    <t>ires1239</t>
  </si>
  <si>
    <t>yaur1240</t>
  </si>
  <si>
    <t>Yerisiam</t>
  </si>
  <si>
    <t>ire</t>
  </si>
  <si>
    <t>irig1241</t>
  </si>
  <si>
    <t>sout3163</t>
  </si>
  <si>
    <t>Irigwe</t>
  </si>
  <si>
    <t>iri</t>
  </si>
  <si>
    <t>irig1242</t>
  </si>
  <si>
    <t>Iriga Bicolano</t>
  </si>
  <si>
    <t>bto</t>
  </si>
  <si>
    <t>irii1238</t>
  </si>
  <si>
    <t>kada1284</t>
  </si>
  <si>
    <t>Iri</t>
  </si>
  <si>
    <t>iris1235</t>
  </si>
  <si>
    <t>Irish Sign Language</t>
  </si>
  <si>
    <t>isg</t>
  </si>
  <si>
    <t>IE</t>
  </si>
  <si>
    <t>Irish</t>
  </si>
  <si>
    <t>GB IE</t>
  </si>
  <si>
    <t>iris1254</t>
  </si>
  <si>
    <t>Irish-undocumented</t>
  </si>
  <si>
    <t>iris1255</t>
  </si>
  <si>
    <t>Irish English</t>
  </si>
  <si>
    <t>irob1238</t>
  </si>
  <si>
    <t>sout3314</t>
  </si>
  <si>
    <t>Irob</t>
  </si>
  <si>
    <t>iron1242</t>
  </si>
  <si>
    <t>Iron</t>
  </si>
  <si>
    <t>iron1243</t>
  </si>
  <si>
    <t>Valachia-Muntenia-Northeastern Bulgaria</t>
  </si>
  <si>
    <t>iroo1238</t>
  </si>
  <si>
    <t>Iroole</t>
  </si>
  <si>
    <t>Iroquoian</t>
  </si>
  <si>
    <t>irri1238</t>
  </si>
  <si>
    <t>Irri</t>
  </si>
  <si>
    <t>irrr1240</t>
  </si>
  <si>
    <t>Ir</t>
  </si>
  <si>
    <t>irr</t>
  </si>
  <si>
    <t>irru1238</t>
  </si>
  <si>
    <t>Irruan</t>
  </si>
  <si>
    <t>irua1238</t>
  </si>
  <si>
    <t>Iruan</t>
  </si>
  <si>
    <t>irul1243</t>
  </si>
  <si>
    <t>irul1245</t>
  </si>
  <si>
    <t>Irula of the Nilgiri</t>
  </si>
  <si>
    <t>iru</t>
  </si>
  <si>
    <t>irul1244</t>
  </si>
  <si>
    <t>Urali Irula</t>
  </si>
  <si>
    <t>tami1294</t>
  </si>
  <si>
    <t>Irula-Muduga</t>
  </si>
  <si>
    <t>irup1239</t>
  </si>
  <si>
    <t>Irupi-Drageli</t>
  </si>
  <si>
    <t>irup1240</t>
  </si>
  <si>
    <t>Irupara</t>
  </si>
  <si>
    <t>isab1240</t>
  </si>
  <si>
    <t>unun9977</t>
  </si>
  <si>
    <t>Isabi</t>
  </si>
  <si>
    <t>isa</t>
  </si>
  <si>
    <t>isal1239</t>
  </si>
  <si>
    <t>Isala</t>
  </si>
  <si>
    <t>isam1242</t>
  </si>
  <si>
    <t>kala1388</t>
  </si>
  <si>
    <t>Isamal</t>
  </si>
  <si>
    <t>isam1243</t>
  </si>
  <si>
    <t>pagu1249</t>
  </si>
  <si>
    <t>Isam</t>
  </si>
  <si>
    <t>isan1243</t>
  </si>
  <si>
    <t>nyat1247</t>
  </si>
  <si>
    <t>Isanzu</t>
  </si>
  <si>
    <t>isn</t>
  </si>
  <si>
    <t>isan1244</t>
  </si>
  <si>
    <t>yopn1238</t>
  </si>
  <si>
    <t>Isan</t>
  </si>
  <si>
    <t>isar1235</t>
  </si>
  <si>
    <t>Isarog Agta</t>
  </si>
  <si>
    <t>agk</t>
  </si>
  <si>
    <t>isco1239</t>
  </si>
  <si>
    <t>poya1240</t>
  </si>
  <si>
    <t>Isconahua</t>
  </si>
  <si>
    <t>isc</t>
  </si>
  <si>
    <t>iseb1246</t>
  </si>
  <si>
    <t>Isebe</t>
  </si>
  <si>
    <t>igo</t>
  </si>
  <si>
    <t>isee1237</t>
  </si>
  <si>
    <t>Ise</t>
  </si>
  <si>
    <t>isek1239</t>
  </si>
  <si>
    <t>Isekiri</t>
  </si>
  <si>
    <t>its</t>
  </si>
  <si>
    <t>ishe1239</t>
  </si>
  <si>
    <t>Ishe</t>
  </si>
  <si>
    <t>ishi1240</t>
  </si>
  <si>
    <t>Ishigaki</t>
  </si>
  <si>
    <t>ishk1244</t>
  </si>
  <si>
    <t>ishk1246</t>
  </si>
  <si>
    <t>Nuclear Ishkashimi</t>
  </si>
  <si>
    <t>ishk1245</t>
  </si>
  <si>
    <t>Ishkoman</t>
  </si>
  <si>
    <t>sang1343</t>
  </si>
  <si>
    <t>Ishkashimi</t>
  </si>
  <si>
    <t>isk</t>
  </si>
  <si>
    <t>ishp1238</t>
  </si>
  <si>
    <t>sout2671</t>
  </si>
  <si>
    <t>Ishpi</t>
  </si>
  <si>
    <t>isim1234</t>
  </si>
  <si>
    <t>Isimjeega-Rootigaanga</t>
  </si>
  <si>
    <t>isin1239</t>
  </si>
  <si>
    <t>Isinai</t>
  </si>
  <si>
    <t>inn</t>
  </si>
  <si>
    <t>isin1240</t>
  </si>
  <si>
    <t>sout3270</t>
  </si>
  <si>
    <t>Isindzundza</t>
  </si>
  <si>
    <t>isio1238</t>
  </si>
  <si>
    <t>Isiokpo</t>
  </si>
  <si>
    <t>Isirawa</t>
  </si>
  <si>
    <t>srl</t>
  </si>
  <si>
    <t>iske1238</t>
  </si>
  <si>
    <t>Isken</t>
  </si>
  <si>
    <t>isla1272</t>
  </si>
  <si>
    <t>Island Tigak</t>
  </si>
  <si>
    <t>isla1273</t>
  </si>
  <si>
    <t>Island</t>
  </si>
  <si>
    <t>isla1274</t>
  </si>
  <si>
    <t>Island Kiwai</t>
  </si>
  <si>
    <t>isla1275</t>
  </si>
  <si>
    <t>Island Boikin</t>
  </si>
  <si>
    <t>isla1276</t>
  </si>
  <si>
    <t>Island Comox</t>
  </si>
  <si>
    <t>isla1277</t>
  </si>
  <si>
    <t>unun9949</t>
  </si>
  <si>
    <t>Island Takic</t>
  </si>
  <si>
    <t>Island Carib</t>
  </si>
  <si>
    <t>crb</t>
  </si>
  <si>
    <t>Island Carib-Garifuna</t>
  </si>
  <si>
    <t>isle1245</t>
  </si>
  <si>
    <t>sout2961</t>
  </si>
  <si>
    <t>Isleta</t>
  </si>
  <si>
    <t>isle1246</t>
  </si>
  <si>
    <t>Isle-de-France Creole</t>
  </si>
  <si>
    <t>Isnag</t>
  </si>
  <si>
    <t>isd</t>
  </si>
  <si>
    <t>Isoko</t>
  </si>
  <si>
    <t>iso</t>
  </si>
  <si>
    <t>isol1238</t>
  </si>
  <si>
    <t>Isole Eolie</t>
  </si>
  <si>
    <t>isop1238</t>
  </si>
  <si>
    <t>Isopo</t>
  </si>
  <si>
    <t>isra1236</t>
  </si>
  <si>
    <t>Israeli Sign Language</t>
  </si>
  <si>
    <t>isr</t>
  </si>
  <si>
    <t>isse1238</t>
  </si>
  <si>
    <t>Issenyi</t>
  </si>
  <si>
    <t>issi1237</t>
  </si>
  <si>
    <t>Issilita'</t>
  </si>
  <si>
    <t>isth1238</t>
  </si>
  <si>
    <t>Isthmus Mixe</t>
  </si>
  <si>
    <t>mir</t>
  </si>
  <si>
    <t>isth1240</t>
  </si>
  <si>
    <t>isth1245</t>
  </si>
  <si>
    <t>Isthmus-Cosoleacaque Nahuatl</t>
  </si>
  <si>
    <t>nhk</t>
  </si>
  <si>
    <t>isth1241</t>
  </si>
  <si>
    <t>Isthmus-Pajapan Nahuatl</t>
  </si>
  <si>
    <t>nhp</t>
  </si>
  <si>
    <t>isth1242</t>
  </si>
  <si>
    <t>Isthmus-Mecayapan Nahuatl</t>
  </si>
  <si>
    <t>nhx</t>
  </si>
  <si>
    <t>Isthmic Chibchan</t>
  </si>
  <si>
    <t>isth1244</t>
  </si>
  <si>
    <t>Isthmus Zapotec</t>
  </si>
  <si>
    <t>zai</t>
  </si>
  <si>
    <t>Isthmus Nahuatl</t>
  </si>
  <si>
    <t>istr1244</t>
  </si>
  <si>
    <t>Istriot</t>
  </si>
  <si>
    <t>ist</t>
  </si>
  <si>
    <t>istr1245</t>
  </si>
  <si>
    <t>Istro Romanian</t>
  </si>
  <si>
    <t>ruo</t>
  </si>
  <si>
    <t>istr1246</t>
  </si>
  <si>
    <t>Istrian</t>
  </si>
  <si>
    <t>istr1247</t>
  </si>
  <si>
    <t>Istra Albanian</t>
  </si>
  <si>
    <t>isuf1235</t>
  </si>
  <si>
    <t>Isu (Fako Division)</t>
  </si>
  <si>
    <t>szv</t>
  </si>
  <si>
    <t>isuk1238</t>
  </si>
  <si>
    <t>Isukha</t>
  </si>
  <si>
    <t>isum1240</t>
  </si>
  <si>
    <t>Isu (Menchum Division)</t>
  </si>
  <si>
    <t>isu</t>
  </si>
  <si>
    <t>itak1238</t>
  </si>
  <si>
    <t>Itak</t>
  </si>
  <si>
    <t>ital1275</t>
  </si>
  <si>
    <t>ital1288</t>
  </si>
  <si>
    <t>Italian Sign Language</t>
  </si>
  <si>
    <t>ise</t>
  </si>
  <si>
    <t>ital1287</t>
  </si>
  <si>
    <t>Italian</t>
  </si>
  <si>
    <t>AT CH FR HR IT SI SM VA</t>
  </si>
  <si>
    <t>ital1283</t>
  </si>
  <si>
    <t>Italon</t>
  </si>
  <si>
    <t>ital1284</t>
  </si>
  <si>
    <t>Italic</t>
  </si>
  <si>
    <t>ital1285</t>
  </si>
  <si>
    <t>Italo-Western Romance</t>
  </si>
  <si>
    <t>Italo-Dalmatian</t>
  </si>
  <si>
    <t>Italian Romance</t>
  </si>
  <si>
    <t>Italian Sign</t>
  </si>
  <si>
    <t>itam1234</t>
  </si>
  <si>
    <t>Itambo</t>
  </si>
  <si>
    <t>itar1241</t>
  </si>
  <si>
    <t>Itarok Oga Asa</t>
  </si>
  <si>
    <t>itar1242</t>
  </si>
  <si>
    <t>Itarok</t>
  </si>
  <si>
    <t>itaw1240</t>
  </si>
  <si>
    <t>Itawit</t>
  </si>
  <si>
    <t>itv</t>
  </si>
  <si>
    <t>iteb1238</t>
  </si>
  <si>
    <t>Itebiege</t>
  </si>
  <si>
    <t>itee1238</t>
  </si>
  <si>
    <t>kuke1242</t>
  </si>
  <si>
    <t>Iteeji</t>
  </si>
  <si>
    <t>itel1242</t>
  </si>
  <si>
    <t>West Itelmen</t>
  </si>
  <si>
    <t>itl</t>
  </si>
  <si>
    <t>iten1243</t>
  </si>
  <si>
    <t>nucl1662</t>
  </si>
  <si>
    <t>Itene</t>
  </si>
  <si>
    <t>ite</t>
  </si>
  <si>
    <t>Iten-Cara-Berom</t>
  </si>
  <si>
    <t>Iteri-Bo</t>
  </si>
  <si>
    <t>iter1241</t>
  </si>
  <si>
    <t>Iteri</t>
  </si>
  <si>
    <t>itr</t>
  </si>
  <si>
    <t>itik1240</t>
  </si>
  <si>
    <t>Itik</t>
  </si>
  <si>
    <t>itx</t>
  </si>
  <si>
    <t>itip1234</t>
  </si>
  <si>
    <t>Itipula</t>
  </si>
  <si>
    <t>itir1238</t>
  </si>
  <si>
    <t>Itiri</t>
  </si>
  <si>
    <t>itka1238</t>
  </si>
  <si>
    <t>Itkan</t>
  </si>
  <si>
    <t>kali1310</t>
  </si>
  <si>
    <t>Itneg</t>
  </si>
  <si>
    <t>iton1249</t>
  </si>
  <si>
    <t>Itonga</t>
  </si>
  <si>
    <t>iton1250</t>
  </si>
  <si>
    <t>Itonama</t>
  </si>
  <si>
    <t>ito</t>
  </si>
  <si>
    <t>itoo1241</t>
  </si>
  <si>
    <t>Ito (Igede)</t>
  </si>
  <si>
    <t>itoo1242</t>
  </si>
  <si>
    <t>Ito</t>
  </si>
  <si>
    <t>itw</t>
  </si>
  <si>
    <t>itor1239</t>
  </si>
  <si>
    <t>Itoreauhip</t>
  </si>
  <si>
    <t>itti1241</t>
  </si>
  <si>
    <t>Ittik</t>
  </si>
  <si>
    <t>itti1242</t>
  </si>
  <si>
    <t>Ittik-Tor</t>
  </si>
  <si>
    <t>itum1244</t>
  </si>
  <si>
    <t>Itumkala</t>
  </si>
  <si>
    <t>itum1245</t>
  </si>
  <si>
    <t>Itu Mbon Uzo</t>
  </si>
  <si>
    <t>itm</t>
  </si>
  <si>
    <t>itum1246</t>
  </si>
  <si>
    <t>saga1256</t>
  </si>
  <si>
    <t>Itumba</t>
  </si>
  <si>
    <t>itun1238</t>
  </si>
  <si>
    <t>Itundu</t>
  </si>
  <si>
    <t>itun1239</t>
  </si>
  <si>
    <t>Itundujia Mixtec</t>
  </si>
  <si>
    <t>mce</t>
  </si>
  <si>
    <t>itur1238</t>
  </si>
  <si>
    <t>Ituri Kingwana</t>
  </si>
  <si>
    <t>itut1240</t>
  </si>
  <si>
    <t>Itutang</t>
  </si>
  <si>
    <t>itu</t>
  </si>
  <si>
    <t>itza1241</t>
  </si>
  <si>
    <t>mopa1242</t>
  </si>
  <si>
    <t>Itz√°</t>
  </si>
  <si>
    <t>itz</t>
  </si>
  <si>
    <t>iule1238</t>
  </si>
  <si>
    <t>Iuleha</t>
  </si>
  <si>
    <t>Iu Mien</t>
  </si>
  <si>
    <t>ium</t>
  </si>
  <si>
    <t>ivat1242</t>
  </si>
  <si>
    <t>yami1257</t>
  </si>
  <si>
    <t>Itbayat</t>
  </si>
  <si>
    <t>ivv</t>
  </si>
  <si>
    <t>Ivbie North-Okpela-Arhe</t>
  </si>
  <si>
    <t>atg</t>
  </si>
  <si>
    <t>ivbi1242</t>
  </si>
  <si>
    <t>Ivbie North</t>
  </si>
  <si>
    <t>ivhi1241</t>
  </si>
  <si>
    <t>Ivhiadaobi</t>
  </si>
  <si>
    <t>ivhi1242</t>
  </si>
  <si>
    <t>Ivhimion</t>
  </si>
  <si>
    <t>ivor1240</t>
  </si>
  <si>
    <t>Ivorian Grebo</t>
  </si>
  <si>
    <t>iwaa1242</t>
  </si>
  <si>
    <t>nyam1275</t>
  </si>
  <si>
    <t>Iwa</t>
  </si>
  <si>
    <t>iwaa1243</t>
  </si>
  <si>
    <t>muyu1244</t>
  </si>
  <si>
    <t>Iwa (Papua New Guinea)</t>
  </si>
  <si>
    <t>Iwaidjan Proper</t>
  </si>
  <si>
    <t>iwai1249</t>
  </si>
  <si>
    <t>Iwaidjan Proper (Unattested)</t>
  </si>
  <si>
    <t>iwak1237</t>
  </si>
  <si>
    <t>I-Wak</t>
  </si>
  <si>
    <t>iwk</t>
  </si>
  <si>
    <t>iwal1237</t>
  </si>
  <si>
    <t>Iwal</t>
  </si>
  <si>
    <t>kbm</t>
  </si>
  <si>
    <t>iwam1256</t>
  </si>
  <si>
    <t>iwam1260</t>
  </si>
  <si>
    <t>Iwam</t>
  </si>
  <si>
    <t>iwm</t>
  </si>
  <si>
    <t>iwam1257</t>
  </si>
  <si>
    <t>Iwam-Nagalemb</t>
  </si>
  <si>
    <t>iwam1258</t>
  </si>
  <si>
    <t>Iwami</t>
  </si>
  <si>
    <t>iwam1259</t>
  </si>
  <si>
    <t>Iwam-Wogamus</t>
  </si>
  <si>
    <t>Iwamic</t>
  </si>
  <si>
    <t>iwar1238</t>
  </si>
  <si>
    <t>Iwardo</t>
  </si>
  <si>
    <t>iway1238</t>
  </si>
  <si>
    <t>Iwaydja</t>
  </si>
  <si>
    <t>iwii1238</t>
  </si>
  <si>
    <t>Iwi</t>
  </si>
  <si>
    <t>iwir1238</t>
  </si>
  <si>
    <t>Iwire</t>
  </si>
  <si>
    <t>iwor1239</t>
  </si>
  <si>
    <t>Iworro</t>
  </si>
  <si>
    <t>iwur1240</t>
  </si>
  <si>
    <t>lowl1259</t>
  </si>
  <si>
    <t>Morop-Dintere</t>
  </si>
  <si>
    <t>iwo</t>
  </si>
  <si>
    <t>ixca1245</t>
  </si>
  <si>
    <t>Ixcatec</t>
  </si>
  <si>
    <t>ixc</t>
  </si>
  <si>
    <t>ixca1246</t>
  </si>
  <si>
    <t>Ixcatl√°n Mazatec</t>
  </si>
  <si>
    <t>mzi</t>
  </si>
  <si>
    <t>ixhu1238</t>
  </si>
  <si>
    <t>oriz1235</t>
  </si>
  <si>
    <t>Ixhuatlancillo Nahuatl</t>
  </si>
  <si>
    <t>Ixilan</t>
  </si>
  <si>
    <t>ixil1252</t>
  </si>
  <si>
    <t>Ixil, Chajul</t>
  </si>
  <si>
    <t>ixj</t>
  </si>
  <si>
    <t>ixil1253</t>
  </si>
  <si>
    <t>Ixil, Nebaj</t>
  </si>
  <si>
    <t>ixi</t>
  </si>
  <si>
    <t>ixre1238</t>
  </si>
  <si>
    <t>Ixreko-Muxrek</t>
  </si>
  <si>
    <t>ixta1235</t>
  </si>
  <si>
    <t>Ixtayutla Mixtec</t>
  </si>
  <si>
    <t>vmj</t>
  </si>
  <si>
    <t>ixte1237</t>
  </si>
  <si>
    <t>sout3245</t>
  </si>
  <si>
    <t>Ixtenco Otomi</t>
  </si>
  <si>
    <t>otz</t>
  </si>
  <si>
    <t>iyan1238</t>
  </si>
  <si>
    <t>Iyani</t>
  </si>
  <si>
    <t>iyas1238</t>
  </si>
  <si>
    <t>Iyasa</t>
  </si>
  <si>
    <t>iyay1238</t>
  </si>
  <si>
    <t>osse1244</t>
  </si>
  <si>
    <t>Iyayu</t>
  </si>
  <si>
    <t>iya</t>
  </si>
  <si>
    <t>iyed1241</t>
  </si>
  <si>
    <t>Iyede-Ami</t>
  </si>
  <si>
    <t>iyed1242</t>
  </si>
  <si>
    <t>Iyede</t>
  </si>
  <si>
    <t>iyiv1238</t>
  </si>
  <si>
    <t>tivi1234</t>
  </si>
  <si>
    <t>Iyive</t>
  </si>
  <si>
    <t>uiv</t>
  </si>
  <si>
    <t>iyob1237</t>
  </si>
  <si>
    <t>Iyo-ben</t>
  </si>
  <si>
    <t>iyoj1235</t>
  </si>
  <si>
    <t>Iyojwa'ja Chorote</t>
  </si>
  <si>
    <t>crt</t>
  </si>
  <si>
    <t>iyok1238</t>
  </si>
  <si>
    <t>Iyoko</t>
  </si>
  <si>
    <t>iyon1237</t>
  </si>
  <si>
    <t>Iyongut</t>
  </si>
  <si>
    <t>iyoo1238</t>
  </si>
  <si>
    <t>ufim1241</t>
  </si>
  <si>
    <t>Iyo</t>
  </si>
  <si>
    <t>nca</t>
  </si>
  <si>
    <t>iyow1238</t>
  </si>
  <si>
    <t>Iyowo</t>
  </si>
  <si>
    <t>iyow1239</t>
  </si>
  <si>
    <t>Iyo'wujwa Chorote</t>
  </si>
  <si>
    <t>crq</t>
  </si>
  <si>
    <t>izem1238</t>
  </si>
  <si>
    <t>Izem</t>
  </si>
  <si>
    <t>izer1241</t>
  </si>
  <si>
    <t>Izere</t>
  </si>
  <si>
    <t>izr</t>
  </si>
  <si>
    <t>Izeric</t>
  </si>
  <si>
    <t>izer1243</t>
  </si>
  <si>
    <t>Izere (Retired)</t>
  </si>
  <si>
    <t>fiz</t>
  </si>
  <si>
    <t>Izi-Ezaa-Ikwo-Mgbo</t>
  </si>
  <si>
    <t>izi</t>
  </si>
  <si>
    <t>izii1239</t>
  </si>
  <si>
    <t>Izi</t>
  </si>
  <si>
    <t>izz</t>
  </si>
  <si>
    <t>izin1238</t>
  </si>
  <si>
    <t>Izini</t>
  </si>
  <si>
    <t>izoc1240</t>
  </si>
  <si>
    <t>Izoce√±o</t>
  </si>
  <si>
    <t>Izon</t>
  </si>
  <si>
    <t>ijc</t>
  </si>
  <si>
    <t>izor1238</t>
  </si>
  <si>
    <t>Izora</t>
  </si>
  <si>
    <t>cbo</t>
  </si>
  <si>
    <t>izum1237</t>
  </si>
  <si>
    <t>umpa1238</t>
  </si>
  <si>
    <t>Izumo-ben</t>
  </si>
  <si>
    <t>izuu1237</t>
  </si>
  <si>
    <t>Izu</t>
  </si>
  <si>
    <t>Jaad</t>
  </si>
  <si>
    <t>jaal1238</t>
  </si>
  <si>
    <t>Ja'ali</t>
  </si>
  <si>
    <t>jaba1234</t>
  </si>
  <si>
    <t>Jabal Razih</t>
  </si>
  <si>
    <t>rzh</t>
  </si>
  <si>
    <t>jabo1238</t>
  </si>
  <si>
    <t>Jabo</t>
  </si>
  <si>
    <t>jabu1247</t>
  </si>
  <si>
    <t>Jaburarra</t>
  </si>
  <si>
    <t>jabu1248</t>
  </si>
  <si>
    <t>lamp1242</t>
  </si>
  <si>
    <t>Jabung</t>
  </si>
  <si>
    <t>Jabuti</t>
  </si>
  <si>
    <t>jadd1242</t>
  </si>
  <si>
    <t>jadd1243</t>
  </si>
  <si>
    <t>Jadthang</t>
  </si>
  <si>
    <t>spit1239</t>
  </si>
  <si>
    <t>Jad</t>
  </si>
  <si>
    <t>jda</t>
  </si>
  <si>
    <t>jade1242</t>
  </si>
  <si>
    <t>Jadeji</t>
  </si>
  <si>
    <t>jadg1238</t>
  </si>
  <si>
    <t>lasi1244</t>
  </si>
  <si>
    <t>Jadgali</t>
  </si>
  <si>
    <t>jdg</t>
  </si>
  <si>
    <t>IR PK</t>
  </si>
  <si>
    <t>jado1238</t>
  </si>
  <si>
    <t>Jadobafi</t>
  </si>
  <si>
    <t>jafr1238</t>
  </si>
  <si>
    <t>Jafri</t>
  </si>
  <si>
    <t>jaga1245</t>
  </si>
  <si>
    <t>Jaganathapuram Koya</t>
  </si>
  <si>
    <t>jaga1246</t>
  </si>
  <si>
    <t>nort2709</t>
  </si>
  <si>
    <t>Jagat</t>
  </si>
  <si>
    <t>jaga1247</t>
  </si>
  <si>
    <t>Jagahala</t>
  </si>
  <si>
    <t>jaha1245</t>
  </si>
  <si>
    <t>xaso1239</t>
  </si>
  <si>
    <t>Jahanka</t>
  </si>
  <si>
    <t>jad</t>
  </si>
  <si>
    <t>GN ML</t>
  </si>
  <si>
    <t>jahh1242</t>
  </si>
  <si>
    <t>Jah Hut</t>
  </si>
  <si>
    <t>jah</t>
  </si>
  <si>
    <t>pnar1238</t>
  </si>
  <si>
    <t>Jaintia</t>
  </si>
  <si>
    <t>jair1235</t>
  </si>
  <si>
    <t>Kia River Awyu</t>
  </si>
  <si>
    <t>awv</t>
  </si>
  <si>
    <t>jait1238</t>
  </si>
  <si>
    <t>Ja-It</t>
  </si>
  <si>
    <t>jait1239</t>
  </si>
  <si>
    <t>sout2770</t>
  </si>
  <si>
    <t>Jaitmatang</t>
  </si>
  <si>
    <t>xjt</t>
  </si>
  <si>
    <t>jaka1245</t>
  </si>
  <si>
    <t>Inku</t>
  </si>
  <si>
    <t>jat</t>
  </si>
  <si>
    <t>AF UA</t>
  </si>
  <si>
    <t>jaka1246</t>
  </si>
  <si>
    <t>Jakalteko, Western</t>
  </si>
  <si>
    <t>jai</t>
  </si>
  <si>
    <t>jakp1238</t>
  </si>
  <si>
    <t>Jakphang</t>
  </si>
  <si>
    <t>jaku1244</t>
  </si>
  <si>
    <t>sing1270</t>
  </si>
  <si>
    <t>Jakun</t>
  </si>
  <si>
    <t>jak</t>
  </si>
  <si>
    <t>nige1254</t>
  </si>
  <si>
    <t>Jaku-Gubi</t>
  </si>
  <si>
    <t>jala1236</t>
  </si>
  <si>
    <t>Jala</t>
  </si>
  <si>
    <t>jala1237</t>
  </si>
  <si>
    <t>Jalapa De D√≠az Mazatec</t>
  </si>
  <si>
    <t>maj</t>
  </si>
  <si>
    <t>jala1241</t>
  </si>
  <si>
    <t>Jalalam</t>
  </si>
  <si>
    <t>jali1243</t>
  </si>
  <si>
    <t>Jalingo</t>
  </si>
  <si>
    <t>jali1244</t>
  </si>
  <si>
    <t>sanj1284</t>
  </si>
  <si>
    <t>Jalieza Zapotec</t>
  </si>
  <si>
    <t>jalk1241</t>
  </si>
  <si>
    <t>kohi1248</t>
  </si>
  <si>
    <t>Jalkoti</t>
  </si>
  <si>
    <t>jalk1242</t>
  </si>
  <si>
    <t>jeri1241</t>
  </si>
  <si>
    <t>Jalkunan</t>
  </si>
  <si>
    <t>bxl</t>
  </si>
  <si>
    <t>jalk1246</t>
  </si>
  <si>
    <t>Jalkia</t>
  </si>
  <si>
    <t>jama1256</t>
  </si>
  <si>
    <t>Jamaican Country Sign Language</t>
  </si>
  <si>
    <t>jcs</t>
  </si>
  <si>
    <t>JM</t>
  </si>
  <si>
    <t>jama1260</t>
  </si>
  <si>
    <t>Jamatia</t>
  </si>
  <si>
    <t>madi1262</t>
  </si>
  <si>
    <t>Madi</t>
  </si>
  <si>
    <t>jaa</t>
  </si>
  <si>
    <t>Jamaican Creole English</t>
  </si>
  <si>
    <t>jam</t>
  </si>
  <si>
    <t>DO PA</t>
  </si>
  <si>
    <t>jama1263</t>
  </si>
  <si>
    <t>Jamaican Sign Language</t>
  </si>
  <si>
    <t>jls</t>
  </si>
  <si>
    <t>west2854</t>
  </si>
  <si>
    <t>Jamaicanic</t>
  </si>
  <si>
    <t>Jambi Malay</t>
  </si>
  <si>
    <t>jax</t>
  </si>
  <si>
    <t>jame1238</t>
  </si>
  <si>
    <t>Jamesabad Aer</t>
  </si>
  <si>
    <t>jami1235</t>
  </si>
  <si>
    <t>Jamiltepec Mixtec</t>
  </si>
  <si>
    <t>mxt</t>
  </si>
  <si>
    <t>jami1236</t>
  </si>
  <si>
    <t>Jaminjung</t>
  </si>
  <si>
    <t>jamp1237</t>
  </si>
  <si>
    <t>Jampea</t>
  </si>
  <si>
    <t>jamp1241</t>
  </si>
  <si>
    <t>Jampalam</t>
  </si>
  <si>
    <t>jamr1238</t>
  </si>
  <si>
    <t>Jamral</t>
  </si>
  <si>
    <t>jams1238</t>
  </si>
  <si>
    <t>Jamshidi</t>
  </si>
  <si>
    <t>plai1257</t>
  </si>
  <si>
    <t>Jamsay Dogon</t>
  </si>
  <si>
    <t>djm</t>
  </si>
  <si>
    <t>jamt1238</t>
  </si>
  <si>
    <t>Jamtska</t>
  </si>
  <si>
    <t>jana1236</t>
  </si>
  <si>
    <t>Jan-Awei</t>
  </si>
  <si>
    <t>jand1246</t>
  </si>
  <si>
    <t>Jandavra</t>
  </si>
  <si>
    <t>jnd</t>
  </si>
  <si>
    <t>jand1247</t>
  </si>
  <si>
    <t>Jander</t>
  </si>
  <si>
    <t>jand1248</t>
  </si>
  <si>
    <t>yaga1256</t>
  </si>
  <si>
    <t>Jandai</t>
  </si>
  <si>
    <t>jan</t>
  </si>
  <si>
    <t>jand1249</t>
  </si>
  <si>
    <t>Janda</t>
  </si>
  <si>
    <t>jane1236</t>
  </si>
  <si>
    <t>Janera</t>
  </si>
  <si>
    <t>jang1253</t>
  </si>
  <si>
    <t>Jangli</t>
  </si>
  <si>
    <t>jang1254</t>
  </si>
  <si>
    <t>theb1237</t>
  </si>
  <si>
    <t>Jangshung</t>
  </si>
  <si>
    <t>jna</t>
  </si>
  <si>
    <t>jang1255</t>
  </si>
  <si>
    <t>Jangshen</t>
  </si>
  <si>
    <t>jang1256</t>
  </si>
  <si>
    <t>shes1236</t>
  </si>
  <si>
    <t>Jangkoti</t>
  </si>
  <si>
    <t>jang1257</t>
  </si>
  <si>
    <t>sout2922</t>
  </si>
  <si>
    <t>Jangkang</t>
  </si>
  <si>
    <t>djo</t>
  </si>
  <si>
    <t>janj1240</t>
  </si>
  <si>
    <t>Janji</t>
  </si>
  <si>
    <t>jni</t>
  </si>
  <si>
    <t>japa1238</t>
  </si>
  <si>
    <t>jsli1234</t>
  </si>
  <si>
    <t>Japanese Sign Language</t>
  </si>
  <si>
    <t>jsl</t>
  </si>
  <si>
    <t>japa1256</t>
  </si>
  <si>
    <t>Japanesic</t>
  </si>
  <si>
    <t>japa1257</t>
  </si>
  <si>
    <t>Japanese-based pidgin</t>
  </si>
  <si>
    <t>japa1258</t>
  </si>
  <si>
    <t>Japan-Taiwan Japanese</t>
  </si>
  <si>
    <t>jiar1240</t>
  </si>
  <si>
    <t>Japhug</t>
  </si>
  <si>
    <t>Japonic</t>
  </si>
  <si>
    <t>japr1238</t>
  </si>
  <si>
    <t>yukp1243</t>
  </si>
  <si>
    <t>Japrer√≠a</t>
  </si>
  <si>
    <t>jru</t>
  </si>
  <si>
    <t>japu1236</t>
  </si>
  <si>
    <t>Japura-Colombia</t>
  </si>
  <si>
    <t>jaqa1244</t>
  </si>
  <si>
    <t>Jaqaru</t>
  </si>
  <si>
    <t>jqr</t>
  </si>
  <si>
    <t>jara1244</t>
  </si>
  <si>
    <t>Jarawa-Onge</t>
  </si>
  <si>
    <t>jara1245</t>
  </si>
  <si>
    <t>Jarawa (India)</t>
  </si>
  <si>
    <t>anq</t>
  </si>
  <si>
    <t>jara1262</t>
  </si>
  <si>
    <t>Jarawan</t>
  </si>
  <si>
    <t>Jarawa (Nigeria)</t>
  </si>
  <si>
    <t>Jarai</t>
  </si>
  <si>
    <t>jra</t>
  </si>
  <si>
    <t>jara1273</t>
  </si>
  <si>
    <t>Jaraw-Domo</t>
  </si>
  <si>
    <t>jara1274</t>
  </si>
  <si>
    <t>west2707</t>
  </si>
  <si>
    <t>Jara</t>
  </si>
  <si>
    <t>jaf</t>
  </si>
  <si>
    <t>Jarawaic</t>
  </si>
  <si>
    <t>jara1276</t>
  </si>
  <si>
    <t>Jarawara</t>
  </si>
  <si>
    <t>jara1277</t>
  </si>
  <si>
    <t>Jara Aweer</t>
  </si>
  <si>
    <t>jarg1234</t>
  </si>
  <si>
    <t>Jargon Loucheux</t>
  </si>
  <si>
    <t>jari1243</t>
  </si>
  <si>
    <t>Jari</t>
  </si>
  <si>
    <t>jarn1234</t>
  </si>
  <si>
    <t>J√§rna</t>
  </si>
  <si>
    <t>Jarrakan</t>
  </si>
  <si>
    <t>jaru1253</t>
  </si>
  <si>
    <t>Jarum</t>
  </si>
  <si>
    <t>jaru1256</t>
  </si>
  <si>
    <t>Jaru</t>
  </si>
  <si>
    <t>ddj</t>
  </si>
  <si>
    <t>jaru1255</t>
  </si>
  <si>
    <t>Jaru (Papua New Guinea)</t>
  </si>
  <si>
    <t>Jaru-Ngardi</t>
  </si>
  <si>
    <t>jaru1257</t>
  </si>
  <si>
    <t>Jaru√°ra</t>
  </si>
  <si>
    <t>jap</t>
  </si>
  <si>
    <t>jaso1238</t>
  </si>
  <si>
    <t>Jasoa</t>
  </si>
  <si>
    <t>jass1238</t>
  </si>
  <si>
    <t>Jassic</t>
  </si>
  <si>
    <t>jatk1238</t>
  </si>
  <si>
    <t>Jatki</t>
  </si>
  <si>
    <t>jaua1242</t>
  </si>
  <si>
    <t>yano1262</t>
  </si>
  <si>
    <t>Jauari</t>
  </si>
  <si>
    <t>Jauja-Huanca</t>
  </si>
  <si>
    <t>jauj1238</t>
  </si>
  <si>
    <t>Jauja Wanca Quechua</t>
  </si>
  <si>
    <t>qxw</t>
  </si>
  <si>
    <t>jaul1239</t>
  </si>
  <si>
    <t>Jaule</t>
  </si>
  <si>
    <t>jaun1244</t>
  </si>
  <si>
    <t>Jaunpuri</t>
  </si>
  <si>
    <t>jaun1245</t>
  </si>
  <si>
    <t>Jaun-Jaun</t>
  </si>
  <si>
    <t>java1253</t>
  </si>
  <si>
    <t>Javanesic</t>
  </si>
  <si>
    <t>Java√©</t>
  </si>
  <si>
    <t>javi1237</t>
  </si>
  <si>
    <t>Javindo</t>
  </si>
  <si>
    <t>jvd</t>
  </si>
  <si>
    <t>javi1240</t>
  </si>
  <si>
    <t>trin1274</t>
  </si>
  <si>
    <t>Javierano</t>
  </si>
  <si>
    <t>jawa1239</t>
  </si>
  <si>
    <t>Jawa Halus</t>
  </si>
  <si>
    <t>jawa1240</t>
  </si>
  <si>
    <t>Jawaperi</t>
  </si>
  <si>
    <t>jawe1237</t>
  </si>
  <si>
    <t>nort3211</t>
  </si>
  <si>
    <t>Jawe</t>
  </si>
  <si>
    <t>jaz</t>
  </si>
  <si>
    <t>jawi1238</t>
  </si>
  <si>
    <t>Jawi</t>
  </si>
  <si>
    <t>jaya1242</t>
  </si>
  <si>
    <t>Jaya</t>
  </si>
  <si>
    <t>jyy</t>
  </si>
  <si>
    <t>jaya1243</t>
  </si>
  <si>
    <t>sarm1241</t>
  </si>
  <si>
    <t>Jayapura Bay</t>
  </si>
  <si>
    <t>jaya1244</t>
  </si>
  <si>
    <t>Jaya Bakti</t>
  </si>
  <si>
    <t>jbal1238</t>
  </si>
  <si>
    <t>nafu1238</t>
  </si>
  <si>
    <t>Jbali-Tamezret</t>
  </si>
  <si>
    <t>jdai1238</t>
  </si>
  <si>
    <t>Jdaideh Arabic</t>
  </si>
  <si>
    <t>jebe1248</t>
  </si>
  <si>
    <t>lafo1243</t>
  </si>
  <si>
    <t>Jebel El Amira</t>
  </si>
  <si>
    <t>jebe1249</t>
  </si>
  <si>
    <t>Jebel Tekeim</t>
  </si>
  <si>
    <t>jebe1250</t>
  </si>
  <si>
    <t>Jebero</t>
  </si>
  <si>
    <t>jeb</t>
  </si>
  <si>
    <t>jebl1238</t>
  </si>
  <si>
    <t>Jebli</t>
  </si>
  <si>
    <t>Je Central</t>
  </si>
  <si>
    <t>jede1238</t>
  </si>
  <si>
    <t>Jedepo</t>
  </si>
  <si>
    <t>jede1239</t>
  </si>
  <si>
    <t>Jedek</t>
  </si>
  <si>
    <t>Je</t>
  </si>
  <si>
    <t>jega1239</t>
  </si>
  <si>
    <t>pang1286</t>
  </si>
  <si>
    <t>Jega</t>
  </si>
  <si>
    <t>Jehai</t>
  </si>
  <si>
    <t>MY TH</t>
  </si>
  <si>
    <t>jehb1240</t>
  </si>
  <si>
    <t>jehh1245</t>
  </si>
  <si>
    <t>Jeh Bri La</t>
  </si>
  <si>
    <t>jehe1240</t>
  </si>
  <si>
    <t>Jeher</t>
  </si>
  <si>
    <t>jehh1244</t>
  </si>
  <si>
    <t>Kayong-Jeh-Halang</t>
  </si>
  <si>
    <t>Jeh</t>
  </si>
  <si>
    <t>jeh</t>
  </si>
  <si>
    <t>Jeh-Halang</t>
  </si>
  <si>
    <t>jehm1239</t>
  </si>
  <si>
    <t>Jeh Mang Ram</t>
  </si>
  <si>
    <t>jein1237</t>
  </si>
  <si>
    <t>Jeinu Kuruba</t>
  </si>
  <si>
    <t>jeju1234</t>
  </si>
  <si>
    <t>Jejueo</t>
  </si>
  <si>
    <t>jje</t>
  </si>
  <si>
    <t>KR</t>
  </si>
  <si>
    <t>jekk1238</t>
  </si>
  <si>
    <t>Jekkino</t>
  </si>
  <si>
    <t>jela1244</t>
  </si>
  <si>
    <t>Jelai</t>
  </si>
  <si>
    <t>jela1245</t>
  </si>
  <si>
    <t>Jelalong Penan</t>
  </si>
  <si>
    <t>jele1237</t>
  </si>
  <si>
    <t>Jelewaga</t>
  </si>
  <si>
    <t>jelg1238</t>
  </si>
  <si>
    <t>Jelgoore</t>
  </si>
  <si>
    <t>jemb1237</t>
  </si>
  <si>
    <t>Jembayan</t>
  </si>
  <si>
    <t>jeme1245</t>
  </si>
  <si>
    <t>Towa</t>
  </si>
  <si>
    <t>tow</t>
  </si>
  <si>
    <t>Je Meridional</t>
  </si>
  <si>
    <t>jemh1238</t>
  </si>
  <si>
    <t>Jemhwa</t>
  </si>
  <si>
    <t>jena1241</t>
  </si>
  <si>
    <t>Jena</t>
  </si>
  <si>
    <t>nucl1444</t>
  </si>
  <si>
    <t>Jenaama Bozo</t>
  </si>
  <si>
    <t>bze</t>
  </si>
  <si>
    <t>jeng1241</t>
  </si>
  <si>
    <t>Jeng</t>
  </si>
  <si>
    <t>jeg</t>
  </si>
  <si>
    <t>jeng1242</t>
  </si>
  <si>
    <t>Jeng Mumuye</t>
  </si>
  <si>
    <t>jeni1237</t>
  </si>
  <si>
    <t>Jenipapo-Kanind√©</t>
  </si>
  <si>
    <t>jenn1240</t>
  </si>
  <si>
    <t>Jennu Kurumba</t>
  </si>
  <si>
    <t>xuj</t>
  </si>
  <si>
    <t>Jen</t>
  </si>
  <si>
    <t>jenu1240</t>
  </si>
  <si>
    <t>Jenuwa</t>
  </si>
  <si>
    <t>jenu1241</t>
  </si>
  <si>
    <t>Jenures</t>
  </si>
  <si>
    <t>jerb1241</t>
  </si>
  <si>
    <t>Jerba</t>
  </si>
  <si>
    <t>jerb1242</t>
  </si>
  <si>
    <t>Jerbi</t>
  </si>
  <si>
    <t>Jere</t>
  </si>
  <si>
    <t>jer</t>
  </si>
  <si>
    <t>jere1245</t>
  </si>
  <si>
    <t>nort2819</t>
  </si>
  <si>
    <t>J√®r√®</t>
  </si>
  <si>
    <t>jogo1241</t>
  </si>
  <si>
    <t>Jeri</t>
  </si>
  <si>
    <t>jeri1242</t>
  </si>
  <si>
    <t>Jeli</t>
  </si>
  <si>
    <t>jek</t>
  </si>
  <si>
    <t>jeri1243</t>
  </si>
  <si>
    <t>sart1249</t>
  </si>
  <si>
    <t>Jerigaon</t>
  </si>
  <si>
    <t>jerr1238</t>
  </si>
  <si>
    <t>Jerriais</t>
  </si>
  <si>
    <t>nrf</t>
  </si>
  <si>
    <t>Jeru-Kora</t>
  </si>
  <si>
    <t>Jerung</t>
  </si>
  <si>
    <t>jee</t>
  </si>
  <si>
    <t>Je Setentrional</t>
  </si>
  <si>
    <t>jesu1238</t>
  </si>
  <si>
    <t>Jes√∫s Mar√≠a Cora</t>
  </si>
  <si>
    <t>jesu1239</t>
  </si>
  <si>
    <t>Jesuit-Maynas</t>
  </si>
  <si>
    <t>jewi1240</t>
  </si>
  <si>
    <t>Jewish Babylonian Aramaic (ca. 200-1200 CE)</t>
  </si>
  <si>
    <t>tmr</t>
  </si>
  <si>
    <t>jewi1241</t>
  </si>
  <si>
    <t>Jewish Malayalam</t>
  </si>
  <si>
    <t>jezh1238</t>
  </si>
  <si>
    <t>Jezhu</t>
  </si>
  <si>
    <t>jhad1238</t>
  </si>
  <si>
    <t>Jhadpi</t>
  </si>
  <si>
    <t>jhan1234</t>
  </si>
  <si>
    <t>Jhankot Sign Language</t>
  </si>
  <si>
    <t>jhs</t>
  </si>
  <si>
    <t>jhar1240</t>
  </si>
  <si>
    <t>Jharwa</t>
  </si>
  <si>
    <t>jhar1241</t>
  </si>
  <si>
    <t>Jharawan</t>
  </si>
  <si>
    <t>jhue1237</t>
  </si>
  <si>
    <t>Jhue</t>
  </si>
  <si>
    <t>jhun1238</t>
  </si>
  <si>
    <t>Jhunjhunu-Churu</t>
  </si>
  <si>
    <t>jiam1236</t>
  </si>
  <si>
    <t>Jiamao</t>
  </si>
  <si>
    <t>jio</t>
  </si>
  <si>
    <t>jian1239</t>
  </si>
  <si>
    <t>Jianchuan</t>
  </si>
  <si>
    <t>jian1240</t>
  </si>
  <si>
    <t>Jian'ou</t>
  </si>
  <si>
    <t>jian1241</t>
  </si>
  <si>
    <t>Jianyang</t>
  </si>
  <si>
    <t>jian1242</t>
  </si>
  <si>
    <t>shao1234</t>
  </si>
  <si>
    <t>Jiangle</t>
  </si>
  <si>
    <t>jian1243</t>
  </si>
  <si>
    <t>Jiangyong</t>
  </si>
  <si>
    <t>jian1244</t>
  </si>
  <si>
    <t>Jiangmen</t>
  </si>
  <si>
    <t>jiao1241</t>
  </si>
  <si>
    <t>Jiaochang</t>
  </si>
  <si>
    <t>jiao1242</t>
  </si>
  <si>
    <t>Jiaogong Mian</t>
  </si>
  <si>
    <t>Northern Gyalrong</t>
  </si>
  <si>
    <t>jya</t>
  </si>
  <si>
    <t>jiar1242</t>
  </si>
  <si>
    <t>Jiarong</t>
  </si>
  <si>
    <t>jiax1234</t>
  </si>
  <si>
    <t>suhu1238</t>
  </si>
  <si>
    <t>Jiaxing</t>
  </si>
  <si>
    <t>jiba1237</t>
  </si>
  <si>
    <t>Jiba</t>
  </si>
  <si>
    <t>juo</t>
  </si>
  <si>
    <t>jiba1245</t>
  </si>
  <si>
    <t>Jibana</t>
  </si>
  <si>
    <t>Jibu</t>
  </si>
  <si>
    <t>jib</t>
  </si>
  <si>
    <t>jiby1234</t>
  </si>
  <si>
    <t>Jibyal</t>
  </si>
  <si>
    <t>jica1244</t>
  </si>
  <si>
    <t>Jicarilla Apache</t>
  </si>
  <si>
    <t>apj</t>
  </si>
  <si>
    <t>jica1245</t>
  </si>
  <si>
    <t>Jicaquean</t>
  </si>
  <si>
    <t>jich1238</t>
  </si>
  <si>
    <t>Ji-Cha</t>
  </si>
  <si>
    <t>jiez1238</t>
  </si>
  <si>
    <t>sala1264</t>
  </si>
  <si>
    <t>Jiezi</t>
  </si>
  <si>
    <t>jiid1238</t>
  </si>
  <si>
    <t>Jiiddu</t>
  </si>
  <si>
    <t>jii</t>
  </si>
  <si>
    <t>jiir1238</t>
  </si>
  <si>
    <t>Jiir</t>
  </si>
  <si>
    <t>jikr1238</t>
  </si>
  <si>
    <t>Jikrio Goth Aer</t>
  </si>
  <si>
    <t>jilb1238</t>
  </si>
  <si>
    <t>unun9878</t>
  </si>
  <si>
    <t>Jilbe</t>
  </si>
  <si>
    <t>jie</t>
  </si>
  <si>
    <t>jili1241</t>
  </si>
  <si>
    <t>Jilim</t>
  </si>
  <si>
    <t>jil</t>
  </si>
  <si>
    <t>Jilic-Eggonic</t>
  </si>
  <si>
    <t>Jilic</t>
  </si>
  <si>
    <t>jilu1238</t>
  </si>
  <si>
    <t>Jilu</t>
  </si>
  <si>
    <t>jilu1239</t>
  </si>
  <si>
    <t>Jilu Guanhua</t>
  </si>
  <si>
    <t>jimi1245</t>
  </si>
  <si>
    <t>Jimi</t>
  </si>
  <si>
    <t>Jimi (Cameroon)</t>
  </si>
  <si>
    <t>jim</t>
  </si>
  <si>
    <t>jimi1255</t>
  </si>
  <si>
    <t>Jimi (Nigeria)</t>
  </si>
  <si>
    <t>jmi</t>
  </si>
  <si>
    <t>jimo1235</t>
  </si>
  <si>
    <t>Jimo</t>
  </si>
  <si>
    <t>jimu1237</t>
  </si>
  <si>
    <t>Jimuni</t>
  </si>
  <si>
    <t>jina1243</t>
  </si>
  <si>
    <t>Kotoko Meridional</t>
  </si>
  <si>
    <t>jina1244</t>
  </si>
  <si>
    <t>Jina</t>
  </si>
  <si>
    <t>jia</t>
  </si>
  <si>
    <t>jina1245</t>
  </si>
  <si>
    <t>Jinan Mandarin</t>
  </si>
  <si>
    <t>jinc1238</t>
  </si>
  <si>
    <t>situ1238</t>
  </si>
  <si>
    <t>Jinchuan</t>
  </si>
  <si>
    <t>jind1239</t>
  </si>
  <si>
    <t>Jindwi</t>
  </si>
  <si>
    <t>jine1238</t>
  </si>
  <si>
    <t>Jinet</t>
  </si>
  <si>
    <t>jing1259</t>
  </si>
  <si>
    <t>Jingpho-Luish</t>
  </si>
  <si>
    <t>jing1260</t>
  </si>
  <si>
    <t>Jingpho</t>
  </si>
  <si>
    <t>jing1261</t>
  </si>
  <si>
    <t>Jingzhan</t>
  </si>
  <si>
    <t>Jianghuai Guanhua</t>
  </si>
  <si>
    <t>jing1263</t>
  </si>
  <si>
    <t>Jing</t>
  </si>
  <si>
    <t>jing1267</t>
  </si>
  <si>
    <t>Jingjing</t>
  </si>
  <si>
    <t>jinh1238</t>
  </si>
  <si>
    <t>Jinhua</t>
  </si>
  <si>
    <t>jinj1238</t>
  </si>
  <si>
    <t>Jinjo</t>
  </si>
  <si>
    <t>Jino</t>
  </si>
  <si>
    <t>nort3155</t>
  </si>
  <si>
    <t>Jinyu Chinese</t>
  </si>
  <si>
    <t>cjy</t>
  </si>
  <si>
    <t>nucl1714</t>
  </si>
  <si>
    <t>Jiongnai-Ho Ne</t>
  </si>
  <si>
    <t>jion1236</t>
  </si>
  <si>
    <t>Jiongnai Bunu</t>
  </si>
  <si>
    <t>pnu</t>
  </si>
  <si>
    <t>jipa1239</t>
  </si>
  <si>
    <t>Jipal</t>
  </si>
  <si>
    <t>Jirajaran</t>
  </si>
  <si>
    <t>jira1247</t>
  </si>
  <si>
    <t>Jirai</t>
  </si>
  <si>
    <t>jira1248</t>
  </si>
  <si>
    <t>Jirara</t>
  </si>
  <si>
    <t>jira1249</t>
  </si>
  <si>
    <t>Jirajara</t>
  </si>
  <si>
    <t>jire1238</t>
  </si>
  <si>
    <t>sher1254</t>
  </si>
  <si>
    <t>Jirel</t>
  </si>
  <si>
    <t>jul</t>
  </si>
  <si>
    <t>jiri1239</t>
  </si>
  <si>
    <t>Jirim</t>
  </si>
  <si>
    <t>jirj1239</t>
  </si>
  <si>
    <t>Jir'jorond</t>
  </si>
  <si>
    <t>yyr</t>
  </si>
  <si>
    <t>jiru1238</t>
  </si>
  <si>
    <t>Jiru</t>
  </si>
  <si>
    <t>jrr</t>
  </si>
  <si>
    <t>jish1241</t>
  </si>
  <si>
    <t>Jishishan</t>
  </si>
  <si>
    <t>jish1242</t>
  </si>
  <si>
    <t>Jishu</t>
  </si>
  <si>
    <t>jisu1234</t>
  </si>
  <si>
    <t>nort2723</t>
  </si>
  <si>
    <t>Jƒ´s≈´</t>
  </si>
  <si>
    <t>jita1239</t>
  </si>
  <si>
    <t>sugu1245</t>
  </si>
  <si>
    <t>Jita</t>
  </si>
  <si>
    <t>jit</t>
  </si>
  <si>
    <t>jito1235</t>
  </si>
  <si>
    <t>Jitotolteco</t>
  </si>
  <si>
    <t>Chicham</t>
  </si>
  <si>
    <t>Jixi</t>
  </si>
  <si>
    <t>jiye1239</t>
  </si>
  <si>
    <t>Jiye</t>
  </si>
  <si>
    <t>jizh1234</t>
  </si>
  <si>
    <t>Jizhao</t>
  </si>
  <si>
    <t>jjuu1238</t>
  </si>
  <si>
    <t>kata1275</t>
  </si>
  <si>
    <t>Jju</t>
  </si>
  <si>
    <t>kaj</t>
  </si>
  <si>
    <t>jluk1238</t>
  </si>
  <si>
    <t>Jluko</t>
  </si>
  <si>
    <t>joaq1235</t>
  </si>
  <si>
    <t>Joaquiniano</t>
  </si>
  <si>
    <t>joba1238</t>
  </si>
  <si>
    <t>Joba</t>
  </si>
  <si>
    <t>job</t>
  </si>
  <si>
    <t>jobi1237</t>
  </si>
  <si>
    <t>pomm1237</t>
  </si>
  <si>
    <t>Jobi</t>
  </si>
  <si>
    <t>jodi1234</t>
  </si>
  <si>
    <t>Jodi-Saliban</t>
  </si>
  <si>
    <t>joek1234</t>
  </si>
  <si>
    <t>Joeka-Oajana Pidgin</t>
  </si>
  <si>
    <t>joet1237</t>
  </si>
  <si>
    <t>J≈çetsu</t>
  </si>
  <si>
    <t>jofo1235</t>
  </si>
  <si>
    <t>Jofotek-Bromnya</t>
  </si>
  <si>
    <t>jbr</t>
  </si>
  <si>
    <t>mand1432</t>
  </si>
  <si>
    <t>Jogo-Jeri</t>
  </si>
  <si>
    <t>jogo1242</t>
  </si>
  <si>
    <t>Jogo</t>
  </si>
  <si>
    <t>joko1238</t>
  </si>
  <si>
    <t>Jokot</t>
  </si>
  <si>
    <t>jola1259</t>
  </si>
  <si>
    <t>Jolaha</t>
  </si>
  <si>
    <t>Jola-Esulalu</t>
  </si>
  <si>
    <t>csk</t>
  </si>
  <si>
    <t>Jola-Fonyi</t>
  </si>
  <si>
    <t>jool1234</t>
  </si>
  <si>
    <t>Jola</t>
  </si>
  <si>
    <t>jolf1238</t>
  </si>
  <si>
    <t>Jolf√¢ (Iran)</t>
  </si>
  <si>
    <t>jolo1240</t>
  </si>
  <si>
    <t>Jolong</t>
  </si>
  <si>
    <t>jomb1234</t>
  </si>
  <si>
    <t>Jombang</t>
  </si>
  <si>
    <t>Jonam</t>
  </si>
  <si>
    <t>jong1238</t>
  </si>
  <si>
    <t>Jonga</t>
  </si>
  <si>
    <t>unun9877</t>
  </si>
  <si>
    <t>Jonkor Bourmataguil</t>
  </si>
  <si>
    <t>jeu</t>
  </si>
  <si>
    <t>Joola-Manjaku</t>
  </si>
  <si>
    <t>jopa1240</t>
  </si>
  <si>
    <t>Jopar√°</t>
  </si>
  <si>
    <t>jora1240</t>
  </si>
  <si>
    <t>siri1279</t>
  </si>
  <si>
    <t>Jor√°</t>
  </si>
  <si>
    <t>jor</t>
  </si>
  <si>
    <t>jord1238</t>
  </si>
  <si>
    <t>Levantine Arabic Sign Language</t>
  </si>
  <si>
    <t>jos</t>
  </si>
  <si>
    <t>jord1239</t>
  </si>
  <si>
    <t>Jordanian Bengali Pidgin Arabic</t>
  </si>
  <si>
    <t>jort1240</t>
  </si>
  <si>
    <t>Jorto</t>
  </si>
  <si>
    <t>jrt</t>
  </si>
  <si>
    <t>Jos</t>
  </si>
  <si>
    <t>jost1238</t>
  </si>
  <si>
    <t>Jostu</t>
  </si>
  <si>
    <t>joto1238</t>
  </si>
  <si>
    <t>Joto</t>
  </si>
  <si>
    <t>joud1238</t>
  </si>
  <si>
    <t>Jo-Uda</t>
  </si>
  <si>
    <t>jova1234</t>
  </si>
  <si>
    <t>unun9947</t>
  </si>
  <si>
    <t>Jova</t>
  </si>
  <si>
    <t>jowa1238</t>
  </si>
  <si>
    <t>Jowai</t>
  </si>
  <si>
    <t>jowu1238</t>
  </si>
  <si>
    <t>Jowulu</t>
  </si>
  <si>
    <t>jow</t>
  </si>
  <si>
    <t>jroo1240</t>
  </si>
  <si>
    <t>Jro</t>
  </si>
  <si>
    <t>JSLic</t>
  </si>
  <si>
    <t>juan1238</t>
  </si>
  <si>
    <t>Juang</t>
  </si>
  <si>
    <t>jun</t>
  </si>
  <si>
    <t>juan1250</t>
  </si>
  <si>
    <t>yuag1237</t>
  </si>
  <si>
    <t>Juanga</t>
  </si>
  <si>
    <t>juan1251</t>
  </si>
  <si>
    <t>luis1253</t>
  </si>
  <si>
    <t>Juane√±o</t>
  </si>
  <si>
    <t>juar1239</t>
  </si>
  <si>
    <t>sapo1251</t>
  </si>
  <si>
    <t>Juarzon</t>
  </si>
  <si>
    <t>juba1238</t>
  </si>
  <si>
    <t>Ba</t>
  </si>
  <si>
    <t>juba1242</t>
  </si>
  <si>
    <t>Jub-'adin</t>
  </si>
  <si>
    <t>jude1254</t>
  </si>
  <si>
    <t>Judezmo</t>
  </si>
  <si>
    <t>jude1255</t>
  </si>
  <si>
    <t>Judeo-Italian</t>
  </si>
  <si>
    <t>itk</t>
  </si>
  <si>
    <t>Judeo-Tat</t>
  </si>
  <si>
    <t>jdt</t>
  </si>
  <si>
    <t>jude1257</t>
  </si>
  <si>
    <t>Judeo-Persian</t>
  </si>
  <si>
    <t>jpr</t>
  </si>
  <si>
    <t>IL IR</t>
  </si>
  <si>
    <t>jude1258</t>
  </si>
  <si>
    <t>Judeo-Georgian</t>
  </si>
  <si>
    <t>jge</t>
  </si>
  <si>
    <t>GE IL</t>
  </si>
  <si>
    <t>jude1262</t>
  </si>
  <si>
    <t>Judeo-Berber</t>
  </si>
  <si>
    <t>jbe</t>
  </si>
  <si>
    <t>jude1263</t>
  </si>
  <si>
    <t>Judeo-Tunisian Arabic</t>
  </si>
  <si>
    <t>ajt</t>
  </si>
  <si>
    <t>ES FR IL IT TN US</t>
  </si>
  <si>
    <t>jude1264</t>
  </si>
  <si>
    <t>Judeo-Tripolitanian Arabic</t>
  </si>
  <si>
    <t>yud</t>
  </si>
  <si>
    <t>IL IT</t>
  </si>
  <si>
    <t>jude1265</t>
  </si>
  <si>
    <t>Judeo-Moroccan Arabic</t>
  </si>
  <si>
    <t>aju</t>
  </si>
  <si>
    <t>jude1266</t>
  </si>
  <si>
    <t>qelt1235</t>
  </si>
  <si>
    <t>Judeo-Iraqi Arabic</t>
  </si>
  <si>
    <t>yhd</t>
  </si>
  <si>
    <t>GB IL IN IQ</t>
  </si>
  <si>
    <t>Judeo-Yemeni Arabic</t>
  </si>
  <si>
    <t>IL YE</t>
  </si>
  <si>
    <t>jude1268</t>
  </si>
  <si>
    <t>Judeo-Hamadani</t>
  </si>
  <si>
    <t>judu1234</t>
  </si>
  <si>
    <t>Judu Gelao</t>
  </si>
  <si>
    <t>juga1234</t>
  </si>
  <si>
    <t>Jugan</t>
  </si>
  <si>
    <t>South-Eastern Ju</t>
  </si>
  <si>
    <t>juii1238</t>
  </si>
  <si>
    <t>Jui</t>
  </si>
  <si>
    <t>Jukun Takum</t>
  </si>
  <si>
    <t>jbu</t>
  </si>
  <si>
    <t>Ju-Kung</t>
  </si>
  <si>
    <t>Jukunoid</t>
  </si>
  <si>
    <t>juku1258</t>
  </si>
  <si>
    <t>Jukun-Mbembe-Wurbo</t>
  </si>
  <si>
    <t>Jukun</t>
  </si>
  <si>
    <t>julu1237</t>
  </si>
  <si>
    <t>katl1236</t>
  </si>
  <si>
    <t>Julud</t>
  </si>
  <si>
    <t>juma1248</t>
  </si>
  <si>
    <t>Jumano</t>
  </si>
  <si>
    <t>juma1249</t>
  </si>
  <si>
    <t>kawa1292</t>
  </si>
  <si>
    <t>J√∫ma</t>
  </si>
  <si>
    <t>jua</t>
  </si>
  <si>
    <t>juma1250</t>
  </si>
  <si>
    <t>unun9933</t>
  </si>
  <si>
    <t>Jumana</t>
  </si>
  <si>
    <t>jumj1238</t>
  </si>
  <si>
    <t>maba1272</t>
  </si>
  <si>
    <t>Jumjum</t>
  </si>
  <si>
    <t>jum</t>
  </si>
  <si>
    <t>Jumli</t>
  </si>
  <si>
    <t>jml</t>
  </si>
  <si>
    <t>juml1239</t>
  </si>
  <si>
    <t>Jumla Sign Language</t>
  </si>
  <si>
    <t>jus</t>
  </si>
  <si>
    <t>jumu1239</t>
  </si>
  <si>
    <t>Jumu</t>
  </si>
  <si>
    <t>juna1238</t>
  </si>
  <si>
    <t>Tungba</t>
  </si>
  <si>
    <t>jung1239</t>
  </si>
  <si>
    <t>Junguru</t>
  </si>
  <si>
    <t>Jungle Inga</t>
  </si>
  <si>
    <t>inj</t>
  </si>
  <si>
    <t>jung1241</t>
  </si>
  <si>
    <t>Jungarian Oirat</t>
  </si>
  <si>
    <t>jupu1235</t>
  </si>
  <si>
    <t>yupu1234</t>
  </si>
  <si>
    <t>Yupua</t>
  </si>
  <si>
    <t>juqu1238</t>
  </si>
  <si>
    <t>midl1241</t>
  </si>
  <si>
    <t>Juquila Mixe</t>
  </si>
  <si>
    <t>mxq</t>
  </si>
  <si>
    <t>jura1242</t>
  </si>
  <si>
    <t>sora1256</t>
  </si>
  <si>
    <t>Juray</t>
  </si>
  <si>
    <t>juy</t>
  </si>
  <si>
    <t>jurc1239</t>
  </si>
  <si>
    <t>manc1250</t>
  </si>
  <si>
    <t>Jurchen</t>
  </si>
  <si>
    <t>juc</t>
  </si>
  <si>
    <t>juri1235</t>
  </si>
  <si>
    <t>ticu1244</t>
  </si>
  <si>
    <t>Juri</t>
  </si>
  <si>
    <t>jurm1239</t>
  </si>
  <si>
    <t>lori1239</t>
  </si>
  <si>
    <t>Jur Modo</t>
  </si>
  <si>
    <t>bex</t>
  </si>
  <si>
    <t>yuru1262</t>
  </si>
  <si>
    <t>Jur√∫na</t>
  </si>
  <si>
    <t>jur</t>
  </si>
  <si>
    <t>juru1257</t>
  </si>
  <si>
    <t>Juru√°-Juta√≠</t>
  </si>
  <si>
    <t>Jurua-Jutai</t>
  </si>
  <si>
    <t>juti1236</t>
  </si>
  <si>
    <t>sout3248</t>
  </si>
  <si>
    <t>Jutish</t>
  </si>
  <si>
    <t>jut</t>
  </si>
  <si>
    <t>juuu1243</t>
  </si>
  <si>
    <t>tala1296</t>
  </si>
  <si>
    <t>Ju</t>
  </si>
  <si>
    <t>juu</t>
  </si>
  <si>
    <t>juwa1238</t>
  </si>
  <si>
    <t>mand1470</t>
  </si>
  <si>
    <t>Juwal</t>
  </si>
  <si>
    <t>mwb</t>
  </si>
  <si>
    <t>Juxtlahuaca Mixtec</t>
  </si>
  <si>
    <t>jwir1241</t>
  </si>
  <si>
    <t>jwir1243</t>
  </si>
  <si>
    <t>Jwira-Pepesa</t>
  </si>
  <si>
    <t>jwi</t>
  </si>
  <si>
    <t>jwir1242</t>
  </si>
  <si>
    <t>Jwira</t>
  </si>
  <si>
    <t>Jwira-Nzima</t>
  </si>
  <si>
    <t>kaaa1238</t>
  </si>
  <si>
    <t>Ka</t>
  </si>
  <si>
    <t>kaad1238</t>
  </si>
  <si>
    <t>zarm1239</t>
  </si>
  <si>
    <t>Kaado</t>
  </si>
  <si>
    <t>kaad1239</t>
  </si>
  <si>
    <t>Kaa Dan</t>
  </si>
  <si>
    <t>kaag1238</t>
  </si>
  <si>
    <t>mido1240</t>
  </si>
  <si>
    <t>Kaageddi</t>
  </si>
  <si>
    <t>kaal1239</t>
  </si>
  <si>
    <t>Kaalo</t>
  </si>
  <si>
    <t>kaal1240</t>
  </si>
  <si>
    <t>Kaale</t>
  </si>
  <si>
    <t>kaam1238</t>
  </si>
  <si>
    <t>Kaamba</t>
  </si>
  <si>
    <t>xku</t>
  </si>
  <si>
    <t>kaan1246</t>
  </si>
  <si>
    <t>Kaansa</t>
  </si>
  <si>
    <t>gna</t>
  </si>
  <si>
    <t>kaan1247</t>
  </si>
  <si>
    <t>Kaan</t>
  </si>
  <si>
    <t>ldl</t>
  </si>
  <si>
    <t>kaba1276</t>
  </si>
  <si>
    <t>taro1267</t>
  </si>
  <si>
    <t>Kabatei</t>
  </si>
  <si>
    <t>xkp</t>
  </si>
  <si>
    <t>kaba1277</t>
  </si>
  <si>
    <t>Kabate</t>
  </si>
  <si>
    <t>Kabardian</t>
  </si>
  <si>
    <t>kaba1279</t>
  </si>
  <si>
    <t>Ka-Ban</t>
  </si>
  <si>
    <t>kaba1280</t>
  </si>
  <si>
    <t>Kabade</t>
  </si>
  <si>
    <t>kaba1281</t>
  </si>
  <si>
    <t>Kaba</t>
  </si>
  <si>
    <t>ksp</t>
  </si>
  <si>
    <t>kaba1282</t>
  </si>
  <si>
    <t>Kabari</t>
  </si>
  <si>
    <t>kaba1283</t>
  </si>
  <si>
    <t>Kabakada</t>
  </si>
  <si>
    <t>kaba1284</t>
  </si>
  <si>
    <t>Kabayan</t>
  </si>
  <si>
    <t>kaba1285</t>
  </si>
  <si>
    <t>moro1287</t>
  </si>
  <si>
    <t>Kabaena</t>
  </si>
  <si>
    <t>kaba1286</t>
  </si>
  <si>
    <t>stan1308</t>
  </si>
  <si>
    <t>Kabawo</t>
  </si>
  <si>
    <t>Kabalai</t>
  </si>
  <si>
    <t>kvf</t>
  </si>
  <si>
    <t>kabe1244</t>
  </si>
  <si>
    <t>Kabende</t>
  </si>
  <si>
    <t>Kabenau</t>
  </si>
  <si>
    <t>kabe1249</t>
  </si>
  <si>
    <t>Kabe</t>
  </si>
  <si>
    <t>Kabikabi</t>
  </si>
  <si>
    <t>gbw</t>
  </si>
  <si>
    <t>kabi1265</t>
  </si>
  <si>
    <t>Kabiy√©</t>
  </si>
  <si>
    <t>kbp</t>
  </si>
  <si>
    <t>kabi1262</t>
  </si>
  <si>
    <t>Kabinga'an</t>
  </si>
  <si>
    <t>kabi1263</t>
  </si>
  <si>
    <t>Kabira</t>
  </si>
  <si>
    <t>kabi1264</t>
  </si>
  <si>
    <t>Kabix√≠</t>
  </si>
  <si>
    <t>xbx</t>
  </si>
  <si>
    <t>Kabiyeic</t>
  </si>
  <si>
    <t>kabo1240</t>
  </si>
  <si>
    <t>Kabo</t>
  </si>
  <si>
    <t>kabo1247</t>
  </si>
  <si>
    <t>Kabola</t>
  </si>
  <si>
    <t>klz</t>
  </si>
  <si>
    <t>kabo1248</t>
  </si>
  <si>
    <t>Kabore One</t>
  </si>
  <si>
    <t>onk</t>
  </si>
  <si>
    <t>kabo1249</t>
  </si>
  <si>
    <t>Kaboru</t>
  </si>
  <si>
    <t>kabr1240</t>
  </si>
  <si>
    <t>Kabras</t>
  </si>
  <si>
    <t>lkb</t>
  </si>
  <si>
    <t>kabr1241</t>
  </si>
  <si>
    <t>Kabri</t>
  </si>
  <si>
    <t>kabu1249</t>
  </si>
  <si>
    <t>Kaburi</t>
  </si>
  <si>
    <t>uka</t>
  </si>
  <si>
    <t>kabu1254</t>
  </si>
  <si>
    <t>Kabutra</t>
  </si>
  <si>
    <t>kbu</t>
  </si>
  <si>
    <t>kabu1255</t>
  </si>
  <si>
    <t>Kaburuang</t>
  </si>
  <si>
    <t>uppe1458</t>
  </si>
  <si>
    <t>Kabuverdianu</t>
  </si>
  <si>
    <t>kea</t>
  </si>
  <si>
    <t>CV</t>
  </si>
  <si>
    <t>kabu1257</t>
  </si>
  <si>
    <t>Kabuverdianu Sotavento</t>
  </si>
  <si>
    <t>kabw1241</t>
  </si>
  <si>
    <t>unun9920</t>
  </si>
  <si>
    <t>Kabwa</t>
  </si>
  <si>
    <t>cwa</t>
  </si>
  <si>
    <t>kabw1242</t>
  </si>
  <si>
    <t>west2842</t>
  </si>
  <si>
    <t>Kabwari</t>
  </si>
  <si>
    <t>kcw</t>
  </si>
  <si>
    <t>Kabyle</t>
  </si>
  <si>
    <t>kab</t>
  </si>
  <si>
    <t>Kabyle-Atlas Berber</t>
  </si>
  <si>
    <t>kach1272</t>
  </si>
  <si>
    <t>Kachi Koli</t>
  </si>
  <si>
    <t>gjk</t>
  </si>
  <si>
    <t>kach1273</t>
  </si>
  <si>
    <t>Kachi Bhil</t>
  </si>
  <si>
    <t>kach1274</t>
  </si>
  <si>
    <t>Kachi</t>
  </si>
  <si>
    <t>kach1275</t>
  </si>
  <si>
    <t>Kachari-Bengali</t>
  </si>
  <si>
    <t>sind1279</t>
  </si>
  <si>
    <t>Kachchi</t>
  </si>
  <si>
    <t>kach1278</t>
  </si>
  <si>
    <t>Kacha</t>
  </si>
  <si>
    <t>kach1279</t>
  </si>
  <si>
    <t>Kachari</t>
  </si>
  <si>
    <t>xac</t>
  </si>
  <si>
    <t>Southern Jinghpaw</t>
  </si>
  <si>
    <t>kac</t>
  </si>
  <si>
    <t>kach1281</t>
  </si>
  <si>
    <t>Kachichere</t>
  </si>
  <si>
    <t>kach1282</t>
  </si>
  <si>
    <t>Kachia</t>
  </si>
  <si>
    <t>kach1283</t>
  </si>
  <si>
    <t>Kachikwakwa</t>
  </si>
  <si>
    <t>Kachama-Ganjule-Haro</t>
  </si>
  <si>
    <t>kcx</t>
  </si>
  <si>
    <t>kach1285</t>
  </si>
  <si>
    <t>Kachama</t>
  </si>
  <si>
    <t>Kacipo-Balesi</t>
  </si>
  <si>
    <t>koe</t>
  </si>
  <si>
    <t>kaci1245</t>
  </si>
  <si>
    <t>Kacipo</t>
  </si>
  <si>
    <t>kaco1239</t>
  </si>
  <si>
    <t>lama1291</t>
  </si>
  <si>
    <t>Kaco'</t>
  </si>
  <si>
    <t>xkk</t>
  </si>
  <si>
    <t>kada1242</t>
  </si>
  <si>
    <t>Kadar</t>
  </si>
  <si>
    <t>kej</t>
  </si>
  <si>
    <t>Kadaru</t>
  </si>
  <si>
    <t>kdu</t>
  </si>
  <si>
    <t>kada1283</t>
  </si>
  <si>
    <t>Kadagbe</t>
  </si>
  <si>
    <t>Kadara</t>
  </si>
  <si>
    <t>kad</t>
  </si>
  <si>
    <t>kada1285</t>
  </si>
  <si>
    <t>Kadavu</t>
  </si>
  <si>
    <t>kada1286</t>
  </si>
  <si>
    <t>tali1261</t>
  </si>
  <si>
    <t>Kadai</t>
  </si>
  <si>
    <t>kzd</t>
  </si>
  <si>
    <t>kada1287</t>
  </si>
  <si>
    <t>Kadaklan</t>
  </si>
  <si>
    <t>kada1288</t>
  </si>
  <si>
    <t>Kadazan-Tagaro</t>
  </si>
  <si>
    <t>kada1289</t>
  </si>
  <si>
    <t>Kadatua</t>
  </si>
  <si>
    <t>kada1290</t>
  </si>
  <si>
    <t>Kadai (Galela)</t>
  </si>
  <si>
    <t>Kadaic</t>
  </si>
  <si>
    <t>Kadazan-Dusun</t>
  </si>
  <si>
    <t>kada1293</t>
  </si>
  <si>
    <t>Ka Dan</t>
  </si>
  <si>
    <t>kada1294</t>
  </si>
  <si>
    <t>Kadarskij</t>
  </si>
  <si>
    <t>kadi1246</t>
  </si>
  <si>
    <t>Kadiro</t>
  </si>
  <si>
    <t>kadi1247</t>
  </si>
  <si>
    <t>Kadina</t>
  </si>
  <si>
    <t>kadi1248</t>
  </si>
  <si>
    <t>Kadiw√©u</t>
  </si>
  <si>
    <t>kbc</t>
  </si>
  <si>
    <t>kadj1238</t>
  </si>
  <si>
    <t>Kadjala</t>
  </si>
  <si>
    <t>Kado</t>
  </si>
  <si>
    <t>kdv</t>
  </si>
  <si>
    <t>kado1243</t>
  </si>
  <si>
    <t>Kadorih</t>
  </si>
  <si>
    <t>kadu1253</t>
  </si>
  <si>
    <t>Kaduo</t>
  </si>
  <si>
    <t>ktp</t>
  </si>
  <si>
    <t>kadu1254</t>
  </si>
  <si>
    <t>Kadu</t>
  </si>
  <si>
    <t>zkd</t>
  </si>
  <si>
    <t>kadu1255</t>
  </si>
  <si>
    <t>Kaduna</t>
  </si>
  <si>
    <t>Kadugli-Krongo</t>
  </si>
  <si>
    <t>kadu1257</t>
  </si>
  <si>
    <t>Kadugli</t>
  </si>
  <si>
    <t>kaer1234</t>
  </si>
  <si>
    <t>Kaera</t>
  </si>
  <si>
    <t>jka</t>
  </si>
  <si>
    <t>kaes1237</t>
  </si>
  <si>
    <t>Kaesabu</t>
  </si>
  <si>
    <t>kaet1234</t>
  </si>
  <si>
    <t>Kaet√©</t>
  </si>
  <si>
    <t>kafa1241</t>
  </si>
  <si>
    <t>Kafanchan</t>
  </si>
  <si>
    <t>sout2835</t>
  </si>
  <si>
    <t>Kafa</t>
  </si>
  <si>
    <t>kbr</t>
  </si>
  <si>
    <t>kafa1243</t>
  </si>
  <si>
    <t>Kafa (Papua New Guinea)</t>
  </si>
  <si>
    <t>kafi1242</t>
  </si>
  <si>
    <t>Kafir</t>
  </si>
  <si>
    <t>kafi1243</t>
  </si>
  <si>
    <t>Kafire</t>
  </si>
  <si>
    <t>kafo1240</t>
  </si>
  <si>
    <t>klon1234</t>
  </si>
  <si>
    <t>Kafoa</t>
  </si>
  <si>
    <t>kpu</t>
  </si>
  <si>
    <t>kafr1234</t>
  </si>
  <si>
    <t>Kafr Qasem Sign Language</t>
  </si>
  <si>
    <t>kafu1238</t>
  </si>
  <si>
    <t>Kafu</t>
  </si>
  <si>
    <t>Kafue</t>
  </si>
  <si>
    <t>kaga1252</t>
  </si>
  <si>
    <t>Kagate</t>
  </si>
  <si>
    <t>syw</t>
  </si>
  <si>
    <t>kaga1253</t>
  </si>
  <si>
    <t>Kaga (Democratic Republic of Congo)</t>
  </si>
  <si>
    <t>kaga1254</t>
  </si>
  <si>
    <t>Kaga</t>
  </si>
  <si>
    <t>kaga1255</t>
  </si>
  <si>
    <t>kaga1259</t>
  </si>
  <si>
    <t>Kagan Kalagan</t>
  </si>
  <si>
    <t>kll</t>
  </si>
  <si>
    <t>kaga1256</t>
  </si>
  <si>
    <t>nort2884</t>
  </si>
  <si>
    <t>Kagayanen</t>
  </si>
  <si>
    <t>cgc</t>
  </si>
  <si>
    <t>kaga1257</t>
  </si>
  <si>
    <t>Kagankan</t>
  </si>
  <si>
    <t>kaga1258</t>
  </si>
  <si>
    <t>Kagawa-ben</t>
  </si>
  <si>
    <t>west2552</t>
  </si>
  <si>
    <t>Kagan-Kalagan</t>
  </si>
  <si>
    <t>kagb1241</t>
  </si>
  <si>
    <t>Kagbaaga</t>
  </si>
  <si>
    <t>kagb1242</t>
  </si>
  <si>
    <t>Kagbo</t>
  </si>
  <si>
    <t>Ut-Main</t>
  </si>
  <si>
    <t>gel</t>
  </si>
  <si>
    <t>kagg1238</t>
  </si>
  <si>
    <t>Kag</t>
  </si>
  <si>
    <t>kago1246</t>
  </si>
  <si>
    <t>Kagoro (Nigeria)</t>
  </si>
  <si>
    <t>kago1247</t>
  </si>
  <si>
    <t>Kagoma</t>
  </si>
  <si>
    <t>kdm</t>
  </si>
  <si>
    <t>kago1248</t>
  </si>
  <si>
    <t>kita1248</t>
  </si>
  <si>
    <t>Kagoro</t>
  </si>
  <si>
    <t>xkg</t>
  </si>
  <si>
    <t>kagu1239</t>
  </si>
  <si>
    <t>Kagulu</t>
  </si>
  <si>
    <t>kki</t>
  </si>
  <si>
    <t>kaha1239</t>
  </si>
  <si>
    <t>Kahailin Ilway</t>
  </si>
  <si>
    <t>kaha1240</t>
  </si>
  <si>
    <t>Kahayan</t>
  </si>
  <si>
    <t>xah</t>
  </si>
  <si>
    <t>kahe1238</t>
  </si>
  <si>
    <t>Kahe</t>
  </si>
  <si>
    <t>hka</t>
  </si>
  <si>
    <t>kahe1239</t>
  </si>
  <si>
    <t>ruun1238</t>
  </si>
  <si>
    <t>Kahemba</t>
  </si>
  <si>
    <t>kahu1241</t>
  </si>
  <si>
    <t>Kahua</t>
  </si>
  <si>
    <t>agw</t>
  </si>
  <si>
    <t>kahu1242</t>
  </si>
  <si>
    <t>Kahumamahon Saluan</t>
  </si>
  <si>
    <t>slb</t>
  </si>
  <si>
    <t>kaia1244</t>
  </si>
  <si>
    <t>Kaiama</t>
  </si>
  <si>
    <t>kaia1245</t>
  </si>
  <si>
    <t>wata1252</t>
  </si>
  <si>
    <t>Kaian</t>
  </si>
  <si>
    <t>kct</t>
  </si>
  <si>
    <t>kaib1243</t>
  </si>
  <si>
    <t>Kaibu</t>
  </si>
  <si>
    <t>Kaibobo</t>
  </si>
  <si>
    <t>kzb</t>
  </si>
  <si>
    <t>Kaidipang</t>
  </si>
  <si>
    <t>kzp</t>
  </si>
  <si>
    <t>kaid1240</t>
  </si>
  <si>
    <t>Kaidipan</t>
  </si>
  <si>
    <t>kaie1237</t>
  </si>
  <si>
    <t>kaie1238</t>
  </si>
  <si>
    <t>Kaiep</t>
  </si>
  <si>
    <t>kbw</t>
  </si>
  <si>
    <t>kair1262</t>
  </si>
  <si>
    <t>Kaiep-Terebu</t>
  </si>
  <si>
    <t>kaig1239</t>
  </si>
  <si>
    <t>Kaigama</t>
  </si>
  <si>
    <t>kaik1244</t>
  </si>
  <si>
    <t>yeru1242</t>
  </si>
  <si>
    <t>Kaikadi</t>
  </si>
  <si>
    <t>kep</t>
  </si>
  <si>
    <t>kaik1246</t>
  </si>
  <si>
    <t>Kaike</t>
  </si>
  <si>
    <t>kzq</t>
  </si>
  <si>
    <t>kaik1247</t>
  </si>
  <si>
    <t>Kaiku</t>
  </si>
  <si>
    <t>kkq</t>
  </si>
  <si>
    <t>Kaike-Ghale-Tamangic</t>
  </si>
  <si>
    <t>kail1251</t>
  </si>
  <si>
    <t>Kailali</t>
  </si>
  <si>
    <t>kail1252</t>
  </si>
  <si>
    <t>Kailolo</t>
  </si>
  <si>
    <t>kail1253</t>
  </si>
  <si>
    <t>kail1255</t>
  </si>
  <si>
    <t>Kaili-Pamona</t>
  </si>
  <si>
    <t>nort2898</t>
  </si>
  <si>
    <t>Kaili</t>
  </si>
  <si>
    <t>Kaili-Pamona-Wotu-Wolio</t>
  </si>
  <si>
    <t>kail1256</t>
  </si>
  <si>
    <t>Kailge Sign Language</t>
  </si>
  <si>
    <t>kaim1235</t>
  </si>
  <si>
    <t>Kaimb√©</t>
  </si>
  <si>
    <t>xai</t>
  </si>
  <si>
    <t>kaim1241</t>
  </si>
  <si>
    <t>muni1259</t>
  </si>
  <si>
    <t>Kaimbulawa</t>
  </si>
  <si>
    <t>zka</t>
  </si>
  <si>
    <t>kaim1242</t>
  </si>
  <si>
    <t>mong1343</t>
  </si>
  <si>
    <t>mong1344</t>
  </si>
  <si>
    <t>Kaimbal</t>
  </si>
  <si>
    <t>kain1268</t>
  </si>
  <si>
    <t>Kaintiba</t>
  </si>
  <si>
    <t>kain1269</t>
  </si>
  <si>
    <t>Kaina</t>
  </si>
  <si>
    <t>kain1270</t>
  </si>
  <si>
    <t>Kaingang-Xokleng</t>
  </si>
  <si>
    <t>kain1271</t>
  </si>
  <si>
    <t>Kaingangic</t>
  </si>
  <si>
    <t>Kaingang</t>
  </si>
  <si>
    <t>kgp</t>
  </si>
  <si>
    <t>Kainantu-Goroka</t>
  </si>
  <si>
    <t>Kainantu</t>
  </si>
  <si>
    <t>Kainji</t>
  </si>
  <si>
    <t>kain1276</t>
  </si>
  <si>
    <t>Kainji Lake</t>
  </si>
  <si>
    <t>kain1277</t>
  </si>
  <si>
    <t>Kainuu Saami</t>
  </si>
  <si>
    <t>kaip1241</t>
  </si>
  <si>
    <t>toar1246</t>
  </si>
  <si>
    <t>Kaipi</t>
  </si>
  <si>
    <t>kaip1242</t>
  </si>
  <si>
    <t>Kaipeng</t>
  </si>
  <si>
    <t>kair1261</t>
  </si>
  <si>
    <t>scho1242</t>
  </si>
  <si>
    <t>Kairiru-Manam</t>
  </si>
  <si>
    <t>Kairiruic linkage</t>
  </si>
  <si>
    <t>kair1263</t>
  </si>
  <si>
    <t>Kairiru</t>
  </si>
  <si>
    <t>kxa</t>
  </si>
  <si>
    <t>kair1264</t>
  </si>
  <si>
    <t>Kairatu</t>
  </si>
  <si>
    <t>kair1265</t>
  </si>
  <si>
    <t>kawa1289</t>
  </si>
  <si>
    <t>Kairui-Midiki</t>
  </si>
  <si>
    <t>krd</t>
  </si>
  <si>
    <t>kair1266</t>
  </si>
  <si>
    <t>Kairui</t>
  </si>
  <si>
    <t>kair1267</t>
  </si>
  <si>
    <t>Kairak</t>
  </si>
  <si>
    <t>ckr</t>
  </si>
  <si>
    <t>kais1235</t>
  </si>
  <si>
    <t>Kais</t>
  </si>
  <si>
    <t>kzm</t>
  </si>
  <si>
    <t>kais1241</t>
  </si>
  <si>
    <t>Kais Metan</t>
  </si>
  <si>
    <t>kais1242</t>
  </si>
  <si>
    <t>Kaishana</t>
  </si>
  <si>
    <t>kait1239</t>
  </si>
  <si>
    <t>seit1239</t>
  </si>
  <si>
    <t>Kaitetu</t>
  </si>
  <si>
    <t>kaiv1238</t>
  </si>
  <si>
    <t>Kaivi</t>
  </si>
  <si>
    <t>kce</t>
  </si>
  <si>
    <t>kaiw1246</t>
  </si>
  <si>
    <t>Kaiw√°</t>
  </si>
  <si>
    <t>kgk</t>
  </si>
  <si>
    <t>kaiw1247</t>
  </si>
  <si>
    <t>Nuclear Kaiw√°</t>
  </si>
  <si>
    <t>kaiy1239</t>
  </si>
  <si>
    <t>Kaiy</t>
  </si>
  <si>
    <t>tcq</t>
  </si>
  <si>
    <t>kaja1247</t>
  </si>
  <si>
    <t>khal1276</t>
  </si>
  <si>
    <t>Kajali</t>
  </si>
  <si>
    <t>xkj</t>
  </si>
  <si>
    <t>kaja1248</t>
  </si>
  <si>
    <t>Kajanga</t>
  </si>
  <si>
    <t>kaja1250</t>
  </si>
  <si>
    <t>kaja1256</t>
  </si>
  <si>
    <t>Kajaman</t>
  </si>
  <si>
    <t>kag</t>
  </si>
  <si>
    <t>kaja1254</t>
  </si>
  <si>
    <t>mubi1247</t>
  </si>
  <si>
    <t>Kajakse</t>
  </si>
  <si>
    <t>ckq</t>
  </si>
  <si>
    <t>kaja1255</t>
  </si>
  <si>
    <t>sara1342</t>
  </si>
  <si>
    <t>Kajang</t>
  </si>
  <si>
    <t>Kajaman-Lahanan</t>
  </si>
  <si>
    <t>kaja1257</t>
  </si>
  <si>
    <t>Kajana Sign Language</t>
  </si>
  <si>
    <t>kaji1238</t>
  </si>
  <si>
    <t>Kajire-'dulo</t>
  </si>
  <si>
    <t>kajk1237</t>
  </si>
  <si>
    <t>west2804</t>
  </si>
  <si>
    <t>Kajkavian</t>
  </si>
  <si>
    <t>kjv</t>
  </si>
  <si>
    <t>kajk1238</t>
  </si>
  <si>
    <t>Kajkavski</t>
  </si>
  <si>
    <t>kajo1240</t>
  </si>
  <si>
    <t>Kajoko</t>
  </si>
  <si>
    <t>kajo1241</t>
  </si>
  <si>
    <t>Kajoa</t>
  </si>
  <si>
    <t>kajt1238</t>
  </si>
  <si>
    <t>sout3260</t>
  </si>
  <si>
    <t>Kajtak</t>
  </si>
  <si>
    <t>kaju1238</t>
  </si>
  <si>
    <t>Kajuru</t>
  </si>
  <si>
    <t>kaka1262</t>
  </si>
  <si>
    <t>Kakai</t>
  </si>
  <si>
    <t>kaka1263</t>
  </si>
  <si>
    <t>Kakari</t>
  </si>
  <si>
    <t>Kakanda</t>
  </si>
  <si>
    <t>kka</t>
  </si>
  <si>
    <t>kaka1265</t>
  </si>
  <si>
    <t>nucl1445</t>
  </si>
  <si>
    <t>Kakabe</t>
  </si>
  <si>
    <t>kke</t>
  </si>
  <si>
    <t>Kakabai linkage</t>
  </si>
  <si>
    <t>kaka1267</t>
  </si>
  <si>
    <t>Kakabai</t>
  </si>
  <si>
    <t>kqf</t>
  </si>
  <si>
    <t>kaka1268</t>
  </si>
  <si>
    <t>tond1251</t>
  </si>
  <si>
    <t>Kakas</t>
  </si>
  <si>
    <t>kaka1269</t>
  </si>
  <si>
    <t>Kakauhua</t>
  </si>
  <si>
    <t>kbf</t>
  </si>
  <si>
    <t>kake1234</t>
  </si>
  <si>
    <t>Kakesio Dorobo</t>
  </si>
  <si>
    <t>kaki1245</t>
  </si>
  <si>
    <t>KaKiBa-Nkoroo</t>
  </si>
  <si>
    <t>KaKiBa</t>
  </si>
  <si>
    <t>kaki1247</t>
  </si>
  <si>
    <t>Kakihum</t>
  </si>
  <si>
    <t>kxe</t>
  </si>
  <si>
    <t>kaki1249</t>
  </si>
  <si>
    <t>Kaki Ae</t>
  </si>
  <si>
    <t>tbd</t>
  </si>
  <si>
    <t>kakk1234</t>
  </si>
  <si>
    <t>uncl1509</t>
  </si>
  <si>
    <t>Kakkala</t>
  </si>
  <si>
    <t>kako1241</t>
  </si>
  <si>
    <t>pomo1274</t>
  </si>
  <si>
    <t>Kako (A.90)</t>
  </si>
  <si>
    <t>Kako</t>
  </si>
  <si>
    <t>kkj</t>
  </si>
  <si>
    <t>CF CG CM</t>
  </si>
  <si>
    <t>kaku1240</t>
  </si>
  <si>
    <t>Kakumo</t>
  </si>
  <si>
    <t>kaku1241</t>
  </si>
  <si>
    <t>umal1239</t>
  </si>
  <si>
    <t>Kakus Penan</t>
  </si>
  <si>
    <t>Kakua-Nukak</t>
  </si>
  <si>
    <t>kakw1240</t>
  </si>
  <si>
    <t>Kakwa</t>
  </si>
  <si>
    <t>keo</t>
  </si>
  <si>
    <t>CD SD UG</t>
  </si>
  <si>
    <t>kala1255</t>
  </si>
  <si>
    <t>kala1406</t>
  </si>
  <si>
    <t>Kalanadi</t>
  </si>
  <si>
    <t>wkl</t>
  </si>
  <si>
    <t>kala1256</t>
  </si>
  <si>
    <t>sout1499</t>
  </si>
  <si>
    <t>Kalabra</t>
  </si>
  <si>
    <t>kzz</t>
  </si>
  <si>
    <t>kala1370</t>
  </si>
  <si>
    <t>Kalas</t>
  </si>
  <si>
    <t>kala1371</t>
  </si>
  <si>
    <t>Kalanga (Indo-European)</t>
  </si>
  <si>
    <t>Kalasha</t>
  </si>
  <si>
    <t>Kalami</t>
  </si>
  <si>
    <t>gwc</t>
  </si>
  <si>
    <t>kala1374</t>
  </si>
  <si>
    <t>Kalam (Pakistan)</t>
  </si>
  <si>
    <t>kala1375</t>
  </si>
  <si>
    <t>Kalat</t>
  </si>
  <si>
    <t>tsha1247</t>
  </si>
  <si>
    <t>Kalaktang Monpa</t>
  </si>
  <si>
    <t>kkf</t>
  </si>
  <si>
    <t>kala1377</t>
  </si>
  <si>
    <t>Kala Lagaw Ya</t>
  </si>
  <si>
    <t>mwp</t>
  </si>
  <si>
    <t>kala1378</t>
  </si>
  <si>
    <t>Kalaw Kawaw</t>
  </si>
  <si>
    <t>kala1379</t>
  </si>
  <si>
    <t>mirn1243</t>
  </si>
  <si>
    <t>Kalarko</t>
  </si>
  <si>
    <t>kba</t>
  </si>
  <si>
    <t>kala1380</t>
  </si>
  <si>
    <t>Kalali</t>
  </si>
  <si>
    <t>gll</t>
  </si>
  <si>
    <t>kala1381</t>
  </si>
  <si>
    <t>Kalabari</t>
  </si>
  <si>
    <t>ijn</t>
  </si>
  <si>
    <t>kala1382</t>
  </si>
  <si>
    <t>Kala</t>
  </si>
  <si>
    <t>kala1383</t>
  </si>
  <si>
    <t>nort2782</t>
  </si>
  <si>
    <t>Kalams√©</t>
  </si>
  <si>
    <t>knz</t>
  </si>
  <si>
    <t>kala1405</t>
  </si>
  <si>
    <t>Kalanga</t>
  </si>
  <si>
    <t>kck</t>
  </si>
  <si>
    <t>kala1385</t>
  </si>
  <si>
    <t>rong1268</t>
  </si>
  <si>
    <t>Kalanga (Ronga)</t>
  </si>
  <si>
    <t>kala1387</t>
  </si>
  <si>
    <t>Kalauna</t>
  </si>
  <si>
    <t>Kalagan</t>
  </si>
  <si>
    <t>kqe</t>
  </si>
  <si>
    <t>Kalamian</t>
  </si>
  <si>
    <t>kala1390</t>
  </si>
  <si>
    <t>Kalabat Atas</t>
  </si>
  <si>
    <t>kala1391</t>
  </si>
  <si>
    <t>Kalabakan</t>
  </si>
  <si>
    <t>kve</t>
  </si>
  <si>
    <t>kala1392</t>
  </si>
  <si>
    <t>Kalabuan</t>
  </si>
  <si>
    <t>kala1393</t>
  </si>
  <si>
    <t>wotu1239</t>
  </si>
  <si>
    <t>Kalao-Laiyolo</t>
  </si>
  <si>
    <t>kala1394</t>
  </si>
  <si>
    <t>Kalao</t>
  </si>
  <si>
    <t>kly</t>
  </si>
  <si>
    <t>kala1397</t>
  </si>
  <si>
    <t>Kalam</t>
  </si>
  <si>
    <t>kmh</t>
  </si>
  <si>
    <t>kala1398</t>
  </si>
  <si>
    <t>Kala (Papua New Guinea)</t>
  </si>
  <si>
    <t>Kalaallisut</t>
  </si>
  <si>
    <t>GL</t>
  </si>
  <si>
    <t>kala1400</t>
  </si>
  <si>
    <t>kala1402</t>
  </si>
  <si>
    <t>Central Kalapuya</t>
  </si>
  <si>
    <t>kyl</t>
  </si>
  <si>
    <t>kala1401</t>
  </si>
  <si>
    <t>Kalaamaya</t>
  </si>
  <si>
    <t>lkm</t>
  </si>
  <si>
    <t>Kalapuyan</t>
  </si>
  <si>
    <t>kala1403</t>
  </si>
  <si>
    <t>Kalamic-South Adelbert</t>
  </si>
  <si>
    <t>Kalam-Kobon</t>
  </si>
  <si>
    <t>Kalanga-Nambya</t>
  </si>
  <si>
    <t>Kalanadic</t>
  </si>
  <si>
    <t>kala1407</t>
  </si>
  <si>
    <t>Kalamb</t>
  </si>
  <si>
    <t>kala1408</t>
  </si>
  <si>
    <t>Kalajd≈æi</t>
  </si>
  <si>
    <t>kald1238</t>
  </si>
  <si>
    <t>Kalderash</t>
  </si>
  <si>
    <t>sout2830</t>
  </si>
  <si>
    <t>Kalenjin</t>
  </si>
  <si>
    <t>kale1247</t>
  </si>
  <si>
    <t>panc1247</t>
  </si>
  <si>
    <t>Kalende</t>
  </si>
  <si>
    <t>kale1248</t>
  </si>
  <si>
    <t>tuka1248</t>
  </si>
  <si>
    <t>Kaledupa</t>
  </si>
  <si>
    <t>kalh1240</t>
  </si>
  <si>
    <t>Kalhori</t>
  </si>
  <si>
    <t>kali1298</t>
  </si>
  <si>
    <t>Kaliai-Kove</t>
  </si>
  <si>
    <t>kali1299</t>
  </si>
  <si>
    <t>lusi1240</t>
  </si>
  <si>
    <t>Kaliai</t>
  </si>
  <si>
    <t>kali1300</t>
  </si>
  <si>
    <t>Kalikasa</t>
  </si>
  <si>
    <t>kali1303</t>
  </si>
  <si>
    <t>Kali</t>
  </si>
  <si>
    <t>kali1304</t>
  </si>
  <si>
    <t>Kalis</t>
  </si>
  <si>
    <t>kali1305</t>
  </si>
  <si>
    <t>Kalia-Lia</t>
  </si>
  <si>
    <t>Kalispel-Spokane</t>
  </si>
  <si>
    <t>Kalispel-Pend d'Oreille</t>
  </si>
  <si>
    <t>kali1309</t>
  </si>
  <si>
    <t>Kalispel</t>
  </si>
  <si>
    <t>nort3240</t>
  </si>
  <si>
    <t>Kalinga-Itneg</t>
  </si>
  <si>
    <t>Kalinga</t>
  </si>
  <si>
    <t>kali1312</t>
  </si>
  <si>
    <t>Kalikoic</t>
  </si>
  <si>
    <t>kalk1245</t>
  </si>
  <si>
    <t>palu1255</t>
  </si>
  <si>
    <t>Kalkoti</t>
  </si>
  <si>
    <t>xka</t>
  </si>
  <si>
    <t>kalk1246</t>
  </si>
  <si>
    <t>Kalkutung</t>
  </si>
  <si>
    <t>ktg</t>
  </si>
  <si>
    <t>Kalanguya</t>
  </si>
  <si>
    <t>Oirad-Kalmyk</t>
  </si>
  <si>
    <t>xal</t>
  </si>
  <si>
    <t>CN KZ MN RU</t>
  </si>
  <si>
    <t>Kalmyk</t>
  </si>
  <si>
    <t>nort3197</t>
  </si>
  <si>
    <t>Kalo Finnish Romani</t>
  </si>
  <si>
    <t>rmf</t>
  </si>
  <si>
    <t>FI SE</t>
  </si>
  <si>
    <t>kalo1257</t>
  </si>
  <si>
    <t>Kalop</t>
  </si>
  <si>
    <t>kalo1258</t>
  </si>
  <si>
    <t>Kalounaye</t>
  </si>
  <si>
    <t>kalo1259</t>
  </si>
  <si>
    <t>Kalo (Keapara)</t>
  </si>
  <si>
    <t>kalo1260</t>
  </si>
  <si>
    <t>Kalosi</t>
  </si>
  <si>
    <t>kalo1261</t>
  </si>
  <si>
    <t>Kalondama</t>
  </si>
  <si>
    <t>kalo1262</t>
  </si>
  <si>
    <t>Kalou</t>
  </si>
  <si>
    <t>ywa</t>
  </si>
  <si>
    <t>kalo1266</t>
  </si>
  <si>
    <t>Kalo</t>
  </si>
  <si>
    <t>kalo1267</t>
  </si>
  <si>
    <t>Kaloi</t>
  </si>
  <si>
    <t>kalt1239</t>
  </si>
  <si>
    <t>Kaltungo</t>
  </si>
  <si>
    <t>tora1260</t>
  </si>
  <si>
    <t>Kalumpang</t>
  </si>
  <si>
    <t>kli</t>
  </si>
  <si>
    <t>kalu1249</t>
  </si>
  <si>
    <t>Kaluli</t>
  </si>
  <si>
    <t>bco</t>
  </si>
  <si>
    <t>Kaluli-Sunia</t>
  </si>
  <si>
    <t>kalv1238</t>
  </si>
  <si>
    <t>Kalvadi</t>
  </si>
  <si>
    <t>kama1350</t>
  </si>
  <si>
    <t>Kamar</t>
  </si>
  <si>
    <t>keq</t>
  </si>
  <si>
    <t>kama1351</t>
  </si>
  <si>
    <t>kama1376</t>
  </si>
  <si>
    <t>Kamas-Koibal</t>
  </si>
  <si>
    <t>xas</t>
  </si>
  <si>
    <t>kama1353</t>
  </si>
  <si>
    <t>sant1410</t>
  </si>
  <si>
    <t>Kamari-Santali</t>
  </si>
  <si>
    <t>kama1354</t>
  </si>
  <si>
    <t>Kamassian (Turkic)</t>
  </si>
  <si>
    <t>kama1355</t>
  </si>
  <si>
    <t>Kamathi</t>
  </si>
  <si>
    <t>kama1356</t>
  </si>
  <si>
    <t>nort2765</t>
  </si>
  <si>
    <t>Kama</t>
  </si>
  <si>
    <t>kama1357</t>
  </si>
  <si>
    <t>Kamara</t>
  </si>
  <si>
    <t>jmr</t>
  </si>
  <si>
    <t>kama1358</t>
  </si>
  <si>
    <t>Kamantan</t>
  </si>
  <si>
    <t>kci</t>
  </si>
  <si>
    <t>kama1359</t>
  </si>
  <si>
    <t>nort3145</t>
  </si>
  <si>
    <t>Kamasa-Susuami</t>
  </si>
  <si>
    <t>kama1360</t>
  </si>
  <si>
    <t>Kamasa</t>
  </si>
  <si>
    <t>klp</t>
  </si>
  <si>
    <t>kama1361</t>
  </si>
  <si>
    <t>K√©m√§</t>
  </si>
  <si>
    <t>kama1362</t>
  </si>
  <si>
    <t>Kamarian</t>
  </si>
  <si>
    <t>kzx</t>
  </si>
  <si>
    <t>kama1363</t>
  </si>
  <si>
    <t>Kamayo</t>
  </si>
  <si>
    <t>kyk</t>
  </si>
  <si>
    <t>kama1364</t>
  </si>
  <si>
    <t>woli1240</t>
  </si>
  <si>
    <t>Kamaru</t>
  </si>
  <si>
    <t>kgx</t>
  </si>
  <si>
    <t>kama1365</t>
  </si>
  <si>
    <t>Kamang</t>
  </si>
  <si>
    <t>woi</t>
  </si>
  <si>
    <t>kama1366</t>
  </si>
  <si>
    <t>Kamana-Kamang</t>
  </si>
  <si>
    <t>Kamasau</t>
  </si>
  <si>
    <t>kms</t>
  </si>
  <si>
    <t>kama1369</t>
  </si>
  <si>
    <t>Kamate</t>
  </si>
  <si>
    <t>kama1370</t>
  </si>
  <si>
    <t>Kamano</t>
  </si>
  <si>
    <t>kbq</t>
  </si>
  <si>
    <t>Kamakanan</t>
  </si>
  <si>
    <t>kama1372</t>
  </si>
  <si>
    <t>Kamakan</t>
  </si>
  <si>
    <t>vkm</t>
  </si>
  <si>
    <t>tupi1276</t>
  </si>
  <si>
    <t>Kamayur√°</t>
  </si>
  <si>
    <t>Kamano-Yagaria</t>
  </si>
  <si>
    <t>sout3205</t>
  </si>
  <si>
    <t>Kamara-Hanga</t>
  </si>
  <si>
    <t>Kamas-Selkup</t>
  </si>
  <si>
    <t>kama1378</t>
  </si>
  <si>
    <t>Kamas (Uralic)</t>
  </si>
  <si>
    <t>kamb1239</t>
  </si>
  <si>
    <t>Kambiw√°</t>
  </si>
  <si>
    <t>xbw</t>
  </si>
  <si>
    <t>kamb1287</t>
  </si>
  <si>
    <t>Kamba (Brazil)</t>
  </si>
  <si>
    <t>xba</t>
  </si>
  <si>
    <t>kamb1295</t>
  </si>
  <si>
    <t>Kambariire</t>
  </si>
  <si>
    <t>kamb1297</t>
  </si>
  <si>
    <t>Kamba (Kenya)</t>
  </si>
  <si>
    <t>kam</t>
  </si>
  <si>
    <t>kamb1298</t>
  </si>
  <si>
    <t>Kambe</t>
  </si>
  <si>
    <t>Kambera</t>
  </si>
  <si>
    <t>kamb1300</t>
  </si>
  <si>
    <t>kiok1239</t>
  </si>
  <si>
    <t>Kambowa</t>
  </si>
  <si>
    <t>kamb1301</t>
  </si>
  <si>
    <t>Kambe-Kambero</t>
  </si>
  <si>
    <t>kamb1302</t>
  </si>
  <si>
    <t>Kamberau</t>
  </si>
  <si>
    <t>irx</t>
  </si>
  <si>
    <t>kamb1303</t>
  </si>
  <si>
    <t>unun9975</t>
  </si>
  <si>
    <t>Kambaira</t>
  </si>
  <si>
    <t>kyy</t>
  </si>
  <si>
    <t>kamb1304</t>
  </si>
  <si>
    <t>Kambegl</t>
  </si>
  <si>
    <t>kamb1305</t>
  </si>
  <si>
    <t>nucl1620</t>
  </si>
  <si>
    <t>Kambia</t>
  </si>
  <si>
    <t>kamb1306</t>
  </si>
  <si>
    <t>Kambaramba</t>
  </si>
  <si>
    <t>kamb1315</t>
  </si>
  <si>
    <t>Kamburwama</t>
  </si>
  <si>
    <t>kamb1316</t>
  </si>
  <si>
    <t>Kambaata</t>
  </si>
  <si>
    <t>ktb</t>
  </si>
  <si>
    <t>Kambari-Cicipu</t>
  </si>
  <si>
    <t>Kambaataic</t>
  </si>
  <si>
    <t>Kambaric</t>
  </si>
  <si>
    <t>Central-East Sumbanese</t>
  </si>
  <si>
    <t>kamc1242</t>
  </si>
  <si>
    <t>Kamchatka</t>
  </si>
  <si>
    <t>Kamchatkan</t>
  </si>
  <si>
    <t>kamd1238</t>
  </si>
  <si>
    <t>Kamda</t>
  </si>
  <si>
    <t>kame1249</t>
  </si>
  <si>
    <t>Kamenz</t>
  </si>
  <si>
    <t>khob1235</t>
  </si>
  <si>
    <t>Kamengic</t>
  </si>
  <si>
    <t>kame1251</t>
  </si>
  <si>
    <t>Kamen</t>
  </si>
  <si>
    <t>kame1252</t>
  </si>
  <si>
    <t>Kamer</t>
  </si>
  <si>
    <t>kame1253</t>
  </si>
  <si>
    <t>toku1246</t>
  </si>
  <si>
    <t>Kametsu</t>
  </si>
  <si>
    <t>kamh1239</t>
  </si>
  <si>
    <t>tedi1235</t>
  </si>
  <si>
    <t>Kamhau</t>
  </si>
  <si>
    <t>kami1254</t>
  </si>
  <si>
    <t>khum1248</t>
  </si>
  <si>
    <t>Kami</t>
  </si>
  <si>
    <t>kami1255</t>
  </si>
  <si>
    <t>mula1252</t>
  </si>
  <si>
    <t>Kamic</t>
  </si>
  <si>
    <t>kami1256</t>
  </si>
  <si>
    <t>Kami (Tanzania)</t>
  </si>
  <si>
    <t>kcu</t>
  </si>
  <si>
    <t>kami1257</t>
  </si>
  <si>
    <t>Kamino</t>
  </si>
  <si>
    <t>kami1258</t>
  </si>
  <si>
    <t>Kami (Nigeria)</t>
  </si>
  <si>
    <t>kmi</t>
  </si>
  <si>
    <t>kami1259</t>
  </si>
  <si>
    <t>Kami-Kulaka</t>
  </si>
  <si>
    <t>Kami-Abawa</t>
  </si>
  <si>
    <t>kamm1249</t>
  </si>
  <si>
    <t>Kam</t>
  </si>
  <si>
    <t>kdx</t>
  </si>
  <si>
    <t>kamo1253</t>
  </si>
  <si>
    <t>Kamona</t>
  </si>
  <si>
    <t>kamo1254</t>
  </si>
  <si>
    <t>Kamo</t>
  </si>
  <si>
    <t>kcq</t>
  </si>
  <si>
    <t>kamo1255</t>
  </si>
  <si>
    <t>Kamoro</t>
  </si>
  <si>
    <t>kgq</t>
  </si>
  <si>
    <t>kamo1256</t>
  </si>
  <si>
    <t>Kamona Bijogo</t>
  </si>
  <si>
    <t>kamp1243</t>
  </si>
  <si>
    <t>Kampong Ayer</t>
  </si>
  <si>
    <t>kamr1239</t>
  </si>
  <si>
    <t>Kamrup</t>
  </si>
  <si>
    <t>kams1241</t>
  </si>
  <si>
    <t>Kam-Sui</t>
  </si>
  <si>
    <t>kams1242</t>
  </si>
  <si>
    <t>Kamsili</t>
  </si>
  <si>
    <t>Kamrupa</t>
  </si>
  <si>
    <t>Kam-Tai</t>
  </si>
  <si>
    <t>kamu1237</t>
  </si>
  <si>
    <t>Kamur√∫</t>
  </si>
  <si>
    <t>kamu1257</t>
  </si>
  <si>
    <t>Kamuan'</t>
  </si>
  <si>
    <t>kamu1258</t>
  </si>
  <si>
    <t>Kamu</t>
  </si>
  <si>
    <t>xmu</t>
  </si>
  <si>
    <t>kamu1260</t>
  </si>
  <si>
    <t>Kamula</t>
  </si>
  <si>
    <t>xla</t>
  </si>
  <si>
    <t>shir1273</t>
  </si>
  <si>
    <t>Kamuku-Hungwarya</t>
  </si>
  <si>
    <t>Kamuku</t>
  </si>
  <si>
    <t>Kamula-Elevala</t>
  </si>
  <si>
    <t>kamv1242</t>
  </si>
  <si>
    <t>kati1241</t>
  </si>
  <si>
    <t>Kamviri</t>
  </si>
  <si>
    <t>xvi</t>
  </si>
  <si>
    <t>kamw1239</t>
  </si>
  <si>
    <t>Kamwe</t>
  </si>
  <si>
    <t>hig</t>
  </si>
  <si>
    <t>kamw1240</t>
  </si>
  <si>
    <t>kule1247</t>
  </si>
  <si>
    <t>Kamwai-Marhai</t>
  </si>
  <si>
    <t>kana1281</t>
  </si>
  <si>
    <t>Kanauji</t>
  </si>
  <si>
    <t>bjj</t>
  </si>
  <si>
    <t>kana1282</t>
  </si>
  <si>
    <t>Kanauji Proper</t>
  </si>
  <si>
    <t>kana1283</t>
  </si>
  <si>
    <t>Kanashi</t>
  </si>
  <si>
    <t>xns</t>
  </si>
  <si>
    <t>kana1284</t>
  </si>
  <si>
    <t>Kanandjoho</t>
  </si>
  <si>
    <t>kana1285</t>
  </si>
  <si>
    <t>Kanam</t>
  </si>
  <si>
    <t>kana1286</t>
  </si>
  <si>
    <t>kana1292</t>
  </si>
  <si>
    <t>Kanakanavu</t>
  </si>
  <si>
    <t>xnb</t>
  </si>
  <si>
    <t>kana1287</t>
  </si>
  <si>
    <t>Kanatang</t>
  </si>
  <si>
    <t>kana1288</t>
  </si>
  <si>
    <t>Kanasi</t>
  </si>
  <si>
    <t>soq</t>
  </si>
  <si>
    <t>kana1289</t>
  </si>
  <si>
    <t>Kanazawa</t>
  </si>
  <si>
    <t>kana1290</t>
  </si>
  <si>
    <t>Kanagawa</t>
  </si>
  <si>
    <t>Katuk√≠na-Kanamar√≠</t>
  </si>
  <si>
    <t>knm</t>
  </si>
  <si>
    <t>tsou1250</t>
  </si>
  <si>
    <t>Kanakanavu-Saaroa</t>
  </si>
  <si>
    <t>kana1293</t>
  </si>
  <si>
    <t>Kanamalenga</t>
  </si>
  <si>
    <t>kanc1244</t>
  </si>
  <si>
    <t>Kanchanpur</t>
  </si>
  <si>
    <t>kanc1245</t>
  </si>
  <si>
    <t>pwoe1235</t>
  </si>
  <si>
    <t>Kanchanaburi Pwo Karen</t>
  </si>
  <si>
    <t>kand1290</t>
  </si>
  <si>
    <t>Kandula</t>
  </si>
  <si>
    <t>kand1291</t>
  </si>
  <si>
    <t>sout2649</t>
  </si>
  <si>
    <t>Kandahar Pashto</t>
  </si>
  <si>
    <t>kand1292</t>
  </si>
  <si>
    <t>Kandiali</t>
  </si>
  <si>
    <t>kand1293</t>
  </si>
  <si>
    <t>Kandak</t>
  </si>
  <si>
    <t>kand1294</t>
  </si>
  <si>
    <t>Kand√©r√©</t>
  </si>
  <si>
    <t>kand1295</t>
  </si>
  <si>
    <t>Kande (Togo)</t>
  </si>
  <si>
    <t>kand1296</t>
  </si>
  <si>
    <t>Kandere</t>
  </si>
  <si>
    <t>kand1297</t>
  </si>
  <si>
    <t>Kande (Tsonga)</t>
  </si>
  <si>
    <t>kand1298</t>
  </si>
  <si>
    <t>Kandaasi</t>
  </si>
  <si>
    <t>kand1299</t>
  </si>
  <si>
    <t>Kandawire</t>
  </si>
  <si>
    <t>nort3213</t>
  </si>
  <si>
    <t>Kande</t>
  </si>
  <si>
    <t>kbs</t>
  </si>
  <si>
    <t>kand1301</t>
  </si>
  <si>
    <t>kand1307</t>
  </si>
  <si>
    <t>Kandas</t>
  </si>
  <si>
    <t>kqw</t>
  </si>
  <si>
    <t>kand1302</t>
  </si>
  <si>
    <t>sela1259</t>
  </si>
  <si>
    <t>Kandar</t>
  </si>
  <si>
    <t>kand1303</t>
  </si>
  <si>
    <t>kand1306</t>
  </si>
  <si>
    <t>Kandawo</t>
  </si>
  <si>
    <t>gam</t>
  </si>
  <si>
    <t>kand1304</t>
  </si>
  <si>
    <t>Kandepe</t>
  </si>
  <si>
    <t>kand1305</t>
  </si>
  <si>
    <t>Kandoashi</t>
  </si>
  <si>
    <t>Kandawo-Narak</t>
  </si>
  <si>
    <t>stge1234</t>
  </si>
  <si>
    <t>Kandas-Duke of York</t>
  </si>
  <si>
    <t>kane1243</t>
  </si>
  <si>
    <t>kane1244</t>
  </si>
  <si>
    <t>Kanembu</t>
  </si>
  <si>
    <t>kbl</t>
  </si>
  <si>
    <t>NE TD</t>
  </si>
  <si>
    <t>kanu1279</t>
  </si>
  <si>
    <t>Kanembuic</t>
  </si>
  <si>
    <t>Kangri</t>
  </si>
  <si>
    <t>xnr</t>
  </si>
  <si>
    <t>kang1281</t>
  </si>
  <si>
    <t>Kangjia</t>
  </si>
  <si>
    <t>kxs</t>
  </si>
  <si>
    <t>kang1282</t>
  </si>
  <si>
    <t>Kang</t>
  </si>
  <si>
    <t>kyp</t>
  </si>
  <si>
    <t>kang1283</t>
  </si>
  <si>
    <t>Kangkalita</t>
  </si>
  <si>
    <t>kang1284</t>
  </si>
  <si>
    <t>Kangou</t>
  </si>
  <si>
    <t>kang1285</t>
  </si>
  <si>
    <t>Kango (Tshopo District)</t>
  </si>
  <si>
    <t>kzy</t>
  </si>
  <si>
    <t>late1250</t>
  </si>
  <si>
    <t>Kango (Bas-U√©l√© District)</t>
  </si>
  <si>
    <t>kty</t>
  </si>
  <si>
    <t>kang1287</t>
  </si>
  <si>
    <t>Kangana</t>
  </si>
  <si>
    <t>katc1251</t>
  </si>
  <si>
    <t>Kanga</t>
  </si>
  <si>
    <t>kcp</t>
  </si>
  <si>
    <t>kang1289</t>
  </si>
  <si>
    <t>madu1247</t>
  </si>
  <si>
    <t>Kangean</t>
  </si>
  <si>
    <t>kkv</t>
  </si>
  <si>
    <t>kang1290</t>
  </si>
  <si>
    <t>nort2916</t>
  </si>
  <si>
    <t>Kanggewot</t>
  </si>
  <si>
    <t>kang1291</t>
  </si>
  <si>
    <t>tang1375</t>
  </si>
  <si>
    <t>Kanggape</t>
  </si>
  <si>
    <t>igm</t>
  </si>
  <si>
    <t>Kangric-Chamealic-Bhattiyali</t>
  </si>
  <si>
    <t>kani1241</t>
  </si>
  <si>
    <t>ormu1247</t>
  </si>
  <si>
    <t>Kanigurami</t>
  </si>
  <si>
    <t>kani1275</t>
  </si>
  <si>
    <t>Kanikkaran</t>
  </si>
  <si>
    <t>kev</t>
  </si>
  <si>
    <t>kani1276</t>
  </si>
  <si>
    <t>Kaniyang</t>
  </si>
  <si>
    <t>kani1277</t>
  </si>
  <si>
    <t>kanu1282</t>
  </si>
  <si>
    <t>Kaningdon-Nindem</t>
  </si>
  <si>
    <t>kdp</t>
  </si>
  <si>
    <t>kani1278</t>
  </si>
  <si>
    <t>Kaningdom</t>
  </si>
  <si>
    <t>kani1279</t>
  </si>
  <si>
    <t>ndum1240</t>
  </si>
  <si>
    <t>Kaningi</t>
  </si>
  <si>
    <t>kzo</t>
  </si>
  <si>
    <t>kani1280</t>
  </si>
  <si>
    <t>woro1256</t>
  </si>
  <si>
    <t>Kanika</t>
  </si>
  <si>
    <t>kani1281</t>
  </si>
  <si>
    <t>Kaninuwa</t>
  </si>
  <si>
    <t>wat</t>
  </si>
  <si>
    <t>kani1282</t>
  </si>
  <si>
    <t>Kaniet</t>
  </si>
  <si>
    <t>ktk</t>
  </si>
  <si>
    <t>kani1283</t>
  </si>
  <si>
    <t>Kaniet-Dempwolff</t>
  </si>
  <si>
    <t>kani1284</t>
  </si>
  <si>
    <t>Kanikeh</t>
  </si>
  <si>
    <t>kani1285</t>
  </si>
  <si>
    <t>Kaningra</t>
  </si>
  <si>
    <t>knr</t>
  </si>
  <si>
    <t>kani1286</t>
  </si>
  <si>
    <t>Kanite</t>
  </si>
  <si>
    <t>kmu</t>
  </si>
  <si>
    <t>kanj1259</t>
  </si>
  <si>
    <t>Kanjari</t>
  </si>
  <si>
    <t>kft</t>
  </si>
  <si>
    <t>kanj1260</t>
  </si>
  <si>
    <t>nort2759</t>
  </si>
  <si>
    <t>Kanju</t>
  </si>
  <si>
    <t>kbe</t>
  </si>
  <si>
    <t>Kanjobalan-Chujean</t>
  </si>
  <si>
    <t>kanj1262</t>
  </si>
  <si>
    <t>Kanjobalan</t>
  </si>
  <si>
    <t>kanj1263</t>
  </si>
  <si>
    <t>Kanjobal-Jacaltec</t>
  </si>
  <si>
    <t>kank1245</t>
  </si>
  <si>
    <t>Kankanaey</t>
  </si>
  <si>
    <t>kne</t>
  </si>
  <si>
    <t>kank1244</t>
  </si>
  <si>
    <t>Kankuamo</t>
  </si>
  <si>
    <t>Kankanay</t>
  </si>
  <si>
    <t>kann1253</t>
  </si>
  <si>
    <t>Kurumba, Kannada</t>
  </si>
  <si>
    <t>kfi</t>
  </si>
  <si>
    <t>kann1255</t>
  </si>
  <si>
    <t>Nuclear Kannaoid</t>
  </si>
  <si>
    <t>kann1256</t>
  </si>
  <si>
    <t>Kanneh</t>
  </si>
  <si>
    <t>kann1257</t>
  </si>
  <si>
    <t>Kan (Mbay)</t>
  </si>
  <si>
    <t>kann1258</t>
  </si>
  <si>
    <t>Wando (Kan)</t>
  </si>
  <si>
    <t>Kannadoid</t>
  </si>
  <si>
    <t>kano1242</t>
  </si>
  <si>
    <t>Kano-Katsina</t>
  </si>
  <si>
    <t>kano1244</t>
  </si>
  <si>
    <t>sibu1259</t>
  </si>
  <si>
    <t>Kanowit-Tanjong Melanau</t>
  </si>
  <si>
    <t>kxn</t>
  </si>
  <si>
    <t>kano1245</t>
  </si>
  <si>
    <t>Kano√™</t>
  </si>
  <si>
    <t>kxo</t>
  </si>
  <si>
    <t>kano1249</t>
  </si>
  <si>
    <t>Kano</t>
  </si>
  <si>
    <t>kanp1238</t>
  </si>
  <si>
    <t>Kanpetiet Daai</t>
  </si>
  <si>
    <t>kans1243</t>
  </si>
  <si>
    <t>osag1244</t>
  </si>
  <si>
    <t>Kansa</t>
  </si>
  <si>
    <t>ksk</t>
  </si>
  <si>
    <t>kant1247</t>
  </si>
  <si>
    <t>Kantarure</t>
  </si>
  <si>
    <t>kant1248</t>
  </si>
  <si>
    <t>Kantohe</t>
  </si>
  <si>
    <t>kant1249</t>
  </si>
  <si>
    <t>moss1238</t>
  </si>
  <si>
    <t>Kantosi</t>
  </si>
  <si>
    <t>xkt</t>
  </si>
  <si>
    <t>kant1250</t>
  </si>
  <si>
    <t>Kantewu</t>
  </si>
  <si>
    <t>Kant≈ç</t>
  </si>
  <si>
    <t>kanu1277</t>
  </si>
  <si>
    <t>Kanufi</t>
  </si>
  <si>
    <t>kni</t>
  </si>
  <si>
    <t>kanu1278</t>
  </si>
  <si>
    <t>west2869</t>
  </si>
  <si>
    <t>Kanu</t>
  </si>
  <si>
    <t>khx</t>
  </si>
  <si>
    <t>west2505</t>
  </si>
  <si>
    <t>Kanuri-Kanembu</t>
  </si>
  <si>
    <t>kanu1280</t>
  </si>
  <si>
    <t>Kanum</t>
  </si>
  <si>
    <t>Kanuric</t>
  </si>
  <si>
    <t>Kanufi-Ninkyob-Angan</t>
  </si>
  <si>
    <t>pilb1234</t>
  </si>
  <si>
    <t>Kanyara</t>
  </si>
  <si>
    <t>Kanyok</t>
  </si>
  <si>
    <t>kaoh1238</t>
  </si>
  <si>
    <t>taiw1241</t>
  </si>
  <si>
    <t>Kaohsiung</t>
  </si>
  <si>
    <t>kaok1238</t>
  </si>
  <si>
    <t>Kaokeep</t>
  </si>
  <si>
    <t>kaon1241</t>
  </si>
  <si>
    <t>kaon1242</t>
  </si>
  <si>
    <t>Kaonde</t>
  </si>
  <si>
    <t>kqn</t>
  </si>
  <si>
    <t>luba1254</t>
  </si>
  <si>
    <t>Kaonde-Shaba-Sanga</t>
  </si>
  <si>
    <t>kaoo1238</t>
  </si>
  <si>
    <t>pagu1251</t>
  </si>
  <si>
    <t>Kao</t>
  </si>
  <si>
    <t>kax</t>
  </si>
  <si>
    <t>kaor1241</t>
  </si>
  <si>
    <t>wewe1238</t>
  </si>
  <si>
    <t>Kaoro</t>
  </si>
  <si>
    <t>kaor1242</t>
  </si>
  <si>
    <t>Kao River</t>
  </si>
  <si>
    <t>kaou1238</t>
  </si>
  <si>
    <t>Kaouara-Timba-Sindou-Koroni</t>
  </si>
  <si>
    <t>Kapau-Menya</t>
  </si>
  <si>
    <t>kapa1252</t>
  </si>
  <si>
    <t>Kapari</t>
  </si>
  <si>
    <t>kapa1253</t>
  </si>
  <si>
    <t>Kapangan</t>
  </si>
  <si>
    <t>kapa1254</t>
  </si>
  <si>
    <t>Kapagalan</t>
  </si>
  <si>
    <t>kapa1255</t>
  </si>
  <si>
    <t>Kapal</t>
  </si>
  <si>
    <t>kapi1248</t>
  </si>
  <si>
    <t>Kapinaw√°</t>
  </si>
  <si>
    <t>xpn</t>
  </si>
  <si>
    <t>kapi1249</t>
  </si>
  <si>
    <t>nort3235</t>
  </si>
  <si>
    <t>Kapingamarangi</t>
  </si>
  <si>
    <t>kpg</t>
  </si>
  <si>
    <t>Kapin</t>
  </si>
  <si>
    <t>tbx</t>
  </si>
  <si>
    <t>kapo1248</t>
  </si>
  <si>
    <t>Kapontori</t>
  </si>
  <si>
    <t>kapo1249</t>
  </si>
  <si>
    <t>Kapona</t>
  </si>
  <si>
    <t>kapo1250</t>
  </si>
  <si>
    <t>Kapori</t>
  </si>
  <si>
    <t>khp</t>
  </si>
  <si>
    <t>pemo1247</t>
  </si>
  <si>
    <t>Kapong</t>
  </si>
  <si>
    <t>kapo1252</t>
  </si>
  <si>
    <t>Kaporoko</t>
  </si>
  <si>
    <t>Kap</t>
  </si>
  <si>
    <t>ykm</t>
  </si>
  <si>
    <t>kapr1244</t>
  </si>
  <si>
    <t>Kapriman-Watakataui</t>
  </si>
  <si>
    <t>kapr1245</t>
  </si>
  <si>
    <t>Kapriman</t>
  </si>
  <si>
    <t>dju</t>
  </si>
  <si>
    <t>kapt1235</t>
  </si>
  <si>
    <t>Kaptiau</t>
  </si>
  <si>
    <t>kbi</t>
  </si>
  <si>
    <t>kapu1243</t>
  </si>
  <si>
    <t>Kaputiei</t>
  </si>
  <si>
    <t>kapu1244</t>
  </si>
  <si>
    <t>Kapulika</t>
  </si>
  <si>
    <t>kapy1238</t>
  </si>
  <si>
    <t>Kapya</t>
  </si>
  <si>
    <t>klo</t>
  </si>
  <si>
    <t>kaqc1270</t>
  </si>
  <si>
    <t>Kaqchikel</t>
  </si>
  <si>
    <t>cak</t>
  </si>
  <si>
    <t>kaqc1271</t>
  </si>
  <si>
    <t>Kaqchikel, Yepocapa Southwestern</t>
  </si>
  <si>
    <t>cbm</t>
  </si>
  <si>
    <t>kaqc1272</t>
  </si>
  <si>
    <t>Kaqchikel, South Central</t>
  </si>
  <si>
    <t>ckd</t>
  </si>
  <si>
    <t>kaqc1273</t>
  </si>
  <si>
    <t>Kaqchikel, Eastern</t>
  </si>
  <si>
    <t>cke</t>
  </si>
  <si>
    <t>kaqc1274</t>
  </si>
  <si>
    <t>Kaqchikel, Southern</t>
  </si>
  <si>
    <t>ckf</t>
  </si>
  <si>
    <t>kaqc1275</t>
  </si>
  <si>
    <t>Kaqchikel, Northern</t>
  </si>
  <si>
    <t>ckc</t>
  </si>
  <si>
    <t>kaqc1276</t>
  </si>
  <si>
    <t>Kaqchikel, Santa Mar√≠a de Jes√∫s</t>
  </si>
  <si>
    <t>cki</t>
  </si>
  <si>
    <t>kaqc1277</t>
  </si>
  <si>
    <t>Kaqchikel, Akatenango Southwestern</t>
  </si>
  <si>
    <t>ckk</t>
  </si>
  <si>
    <t>kaqc1278</t>
  </si>
  <si>
    <t>Kaqchikel, Santo Domingo Xenacoj</t>
  </si>
  <si>
    <t>ckj</t>
  </si>
  <si>
    <t>kaqc1279</t>
  </si>
  <si>
    <t>Kaqchikel, Western</t>
  </si>
  <si>
    <t>ckw</t>
  </si>
  <si>
    <t>kara1289</t>
  </si>
  <si>
    <t>Karankawa</t>
  </si>
  <si>
    <t>zkk</t>
  </si>
  <si>
    <t>Gharabagh-Shamakhi</t>
  </si>
  <si>
    <t>kara1459</t>
  </si>
  <si>
    <t>Gharabagh</t>
  </si>
  <si>
    <t>kara1460</t>
  </si>
  <si>
    <t>Karachi</t>
  </si>
  <si>
    <t>kara1461</t>
  </si>
  <si>
    <t>mato1250</t>
  </si>
  <si>
    <t>Karagas (Mator)</t>
  </si>
  <si>
    <t>saya1244</t>
  </si>
  <si>
    <t>Taiga Sayan Turkic</t>
  </si>
  <si>
    <t>kim</t>
  </si>
  <si>
    <t>Karaim</t>
  </si>
  <si>
    <t>kdr</t>
  </si>
  <si>
    <t>LT</t>
  </si>
  <si>
    <t>Karachay-Balkar</t>
  </si>
  <si>
    <t>krc</t>
  </si>
  <si>
    <t>AZ GE KZ RU</t>
  </si>
  <si>
    <t>kara1466</t>
  </si>
  <si>
    <t>Karachay</t>
  </si>
  <si>
    <t>sout2701</t>
  </si>
  <si>
    <t>Kara-Kalpak</t>
  </si>
  <si>
    <t>AF KG KZ TM UZ</t>
  </si>
  <si>
    <t>kara1469</t>
  </si>
  <si>
    <t>Karamanli</t>
  </si>
  <si>
    <t>kara1470</t>
  </si>
  <si>
    <t>sout3306</t>
  </si>
  <si>
    <t>Karapapak</t>
  </si>
  <si>
    <t>kara1471</t>
  </si>
  <si>
    <t>mugo1238</t>
  </si>
  <si>
    <t>Karani</t>
  </si>
  <si>
    <t>kara1472</t>
  </si>
  <si>
    <t>Karaginskij</t>
  </si>
  <si>
    <t>kara1473</t>
  </si>
  <si>
    <t>Karax</t>
  </si>
  <si>
    <t>Karata</t>
  </si>
  <si>
    <t>kpt</t>
  </si>
  <si>
    <t>kara1475</t>
  </si>
  <si>
    <t>Karahawyana</t>
  </si>
  <si>
    <t>xkh</t>
  </si>
  <si>
    <t>kara1476</t>
  </si>
  <si>
    <t>marr1265</t>
  </si>
  <si>
    <t>Karadjeri</t>
  </si>
  <si>
    <t>gbd</t>
  </si>
  <si>
    <t>kara1477</t>
  </si>
  <si>
    <t>Karangic</t>
  </si>
  <si>
    <t>kara1478</t>
  </si>
  <si>
    <t>Karang</t>
  </si>
  <si>
    <t>kzr</t>
  </si>
  <si>
    <t>Karaboro</t>
  </si>
  <si>
    <t>Karanga (Atlantic-Congo)</t>
  </si>
  <si>
    <t>Kara (Tanzania)</t>
  </si>
  <si>
    <t>kara1482</t>
  </si>
  <si>
    <t>Kara (Central African Republic)</t>
  </si>
  <si>
    <t>kah</t>
  </si>
  <si>
    <t>turk1307</t>
  </si>
  <si>
    <t>kdj</t>
  </si>
  <si>
    <t>KE SD UG</t>
  </si>
  <si>
    <t>nucl1441</t>
  </si>
  <si>
    <t>kara1485</t>
  </si>
  <si>
    <t>Karanjan</t>
  </si>
  <si>
    <t>tung1294</t>
  </si>
  <si>
    <t>Kara (Papua New Guinea)</t>
  </si>
  <si>
    <t>leu</t>
  </si>
  <si>
    <t>kara1487</t>
  </si>
  <si>
    <t>Karao</t>
  </si>
  <si>
    <t>kyj</t>
  </si>
  <si>
    <t>kara1488</t>
  </si>
  <si>
    <t>Karagawan</t>
  </si>
  <si>
    <t>kara1489</t>
  </si>
  <si>
    <t>Mandaya</t>
  </si>
  <si>
    <t>mry</t>
  </si>
  <si>
    <t>kara1490</t>
  </si>
  <si>
    <t>Karau</t>
  </si>
  <si>
    <t>kara1491</t>
  </si>
  <si>
    <t>Karangan</t>
  </si>
  <si>
    <t>kara1492</t>
  </si>
  <si>
    <t>Karataun</t>
  </si>
  <si>
    <t>kara1493</t>
  </si>
  <si>
    <t>Karambit</t>
  </si>
  <si>
    <t>kara1494</t>
  </si>
  <si>
    <t>Karawari</t>
  </si>
  <si>
    <t>kara1495</t>
  </si>
  <si>
    <t>pouy1239</t>
  </si>
  <si>
    <t>Karawa</t>
  </si>
  <si>
    <t>xrw</t>
  </si>
  <si>
    <t>kara1496</t>
  </si>
  <si>
    <t>Karamba</t>
  </si>
  <si>
    <t>kara1497</t>
  </si>
  <si>
    <t>Karami</t>
  </si>
  <si>
    <t>xar</t>
  </si>
  <si>
    <t>kara1498</t>
  </si>
  <si>
    <t>Karawarian</t>
  </si>
  <si>
    <t>kara1499</t>
  </si>
  <si>
    <t>Kalamang</t>
  </si>
  <si>
    <t>kgv</t>
  </si>
  <si>
    <t>Karaj√°</t>
  </si>
  <si>
    <t>kara1501</t>
  </si>
  <si>
    <t>Karara√≥</t>
  </si>
  <si>
    <t>kara1505</t>
  </si>
  <si>
    <t>Karakara</t>
  </si>
  <si>
    <t>kara1506</t>
  </si>
  <si>
    <t>kara1507</t>
  </si>
  <si>
    <t>Karashevski</t>
  </si>
  <si>
    <t>kara1508</t>
  </si>
  <si>
    <t>ngam1265</t>
  </si>
  <si>
    <t>Karangura</t>
  </si>
  <si>
    <t>kara1509</t>
  </si>
  <si>
    <t>Karagash</t>
  </si>
  <si>
    <t>kara1510</t>
  </si>
  <si>
    <t>Kara (Mambila)</t>
  </si>
  <si>
    <t>Karbic</t>
  </si>
  <si>
    <t>Hills Karbi</t>
  </si>
  <si>
    <t>mjw</t>
  </si>
  <si>
    <t>karb1242</t>
  </si>
  <si>
    <t>Karbubu</t>
  </si>
  <si>
    <t>kard1234</t>
  </si>
  <si>
    <t>Kardze (Ganzi)</t>
  </si>
  <si>
    <t>Karelian</t>
  </si>
  <si>
    <t>krl</t>
  </si>
  <si>
    <t>FI RU</t>
  </si>
  <si>
    <t>kare1336</t>
  </si>
  <si>
    <t>mogh1245</t>
  </si>
  <si>
    <t>Karez-I-Mulla</t>
  </si>
  <si>
    <t>Karenic</t>
  </si>
  <si>
    <t>kare1338</t>
  </si>
  <si>
    <t>kare1351</t>
  </si>
  <si>
    <t>Kare (Central African Republic)</t>
  </si>
  <si>
    <t>kbn</t>
  </si>
  <si>
    <t>kare1339</t>
  </si>
  <si>
    <t>Karey</t>
  </si>
  <si>
    <t>kyd</t>
  </si>
  <si>
    <t>kare1340</t>
  </si>
  <si>
    <t>kava1241</t>
  </si>
  <si>
    <t>Kareovan</t>
  </si>
  <si>
    <t>kare1341</t>
  </si>
  <si>
    <t>Kare (Papua New Guinea)</t>
  </si>
  <si>
    <t>kmf</t>
  </si>
  <si>
    <t>Karekare</t>
  </si>
  <si>
    <t>kai</t>
  </si>
  <si>
    <t>Karey-Barakai</t>
  </si>
  <si>
    <t>Kare-Pana</t>
  </si>
  <si>
    <t>karh1238</t>
  </si>
  <si>
    <t>Karhadi</t>
  </si>
  <si>
    <t>Kariri</t>
  </si>
  <si>
    <t>kari1255</t>
  </si>
  <si>
    <t>Karir√≠-Xoc√≥</t>
  </si>
  <si>
    <t>kzw</t>
  </si>
  <si>
    <t>kari1301</t>
  </si>
  <si>
    <t>Karip√∫na Creole French</t>
  </si>
  <si>
    <t>kmv</t>
  </si>
  <si>
    <t>kari1302</t>
  </si>
  <si>
    <t>Karin</t>
  </si>
  <si>
    <t>kari1303</t>
  </si>
  <si>
    <t>Karingani</t>
  </si>
  <si>
    <t>kgn</t>
  </si>
  <si>
    <t>kari1304</t>
  </si>
  <si>
    <t>ngar1293</t>
  </si>
  <si>
    <t>Kariyarra</t>
  </si>
  <si>
    <t>vka</t>
  </si>
  <si>
    <t>kari1305</t>
  </si>
  <si>
    <t>Kari (Central African Republic)</t>
  </si>
  <si>
    <t>kari1306</t>
  </si>
  <si>
    <t>Kari</t>
  </si>
  <si>
    <t>kbj</t>
  </si>
  <si>
    <t>kari1307</t>
  </si>
  <si>
    <t>Kari (Austronesian)</t>
  </si>
  <si>
    <t>kari1308</t>
  </si>
  <si>
    <t>Karira</t>
  </si>
  <si>
    <t>kari1309</t>
  </si>
  <si>
    <t>Karipuna do Amapa</t>
  </si>
  <si>
    <t>kgm</t>
  </si>
  <si>
    <t>kari1311</t>
  </si>
  <si>
    <t>Kariti√¢na</t>
  </si>
  <si>
    <t>ktn</t>
  </si>
  <si>
    <t>kari1312</t>
  </si>
  <si>
    <t>Karipuna</t>
  </si>
  <si>
    <t>kari1316</t>
  </si>
  <si>
    <t>warj1254</t>
  </si>
  <si>
    <t>Kariya</t>
  </si>
  <si>
    <t>kil</t>
  </si>
  <si>
    <t>kari1317</t>
  </si>
  <si>
    <t>Karip√∫na</t>
  </si>
  <si>
    <t>kuq</t>
  </si>
  <si>
    <t>kark1255</t>
  </si>
  <si>
    <t>Karko (India)</t>
  </si>
  <si>
    <t>kark1256</t>
  </si>
  <si>
    <t>Karko</t>
  </si>
  <si>
    <t>kko</t>
  </si>
  <si>
    <t>kark1257</t>
  </si>
  <si>
    <t>Karkawu</t>
  </si>
  <si>
    <t>Karkar-Yuri</t>
  </si>
  <si>
    <t>yuj</t>
  </si>
  <si>
    <t>kark1259</t>
  </si>
  <si>
    <t>Karkin</t>
  </si>
  <si>
    <t>krb</t>
  </si>
  <si>
    <t>karl1243</t>
  </si>
  <si>
    <t>Turkestan Turkic</t>
  </si>
  <si>
    <t>karm1240</t>
  </si>
  <si>
    <t>Karmali</t>
  </si>
  <si>
    <t>karn1250</t>
  </si>
  <si>
    <t>Karnataka Lamani</t>
  </si>
  <si>
    <t>karn1252</t>
  </si>
  <si>
    <t>Karnai</t>
  </si>
  <si>
    <t>bbv</t>
  </si>
  <si>
    <t>Karnic</t>
  </si>
  <si>
    <t>karo1251</t>
  </si>
  <si>
    <t>Karoka</t>
  </si>
  <si>
    <t>karo1293</t>
  </si>
  <si>
    <t>kwat1245</t>
  </si>
  <si>
    <t>Karon-Mlomp</t>
  </si>
  <si>
    <t>karo1294</t>
  </si>
  <si>
    <t>Karon</t>
  </si>
  <si>
    <t>krx</t>
  </si>
  <si>
    <t>karo1295</t>
  </si>
  <si>
    <t>Karombe</t>
  </si>
  <si>
    <t>karo1296</t>
  </si>
  <si>
    <t>tumt1243</t>
  </si>
  <si>
    <t>Karondi</t>
  </si>
  <si>
    <t>karo1297</t>
  </si>
  <si>
    <t>Karo (Ethiopia)</t>
  </si>
  <si>
    <t>kxh</t>
  </si>
  <si>
    <t>karo1298</t>
  </si>
  <si>
    <t>Karore</t>
  </si>
  <si>
    <t>xkx</t>
  </si>
  <si>
    <t>karo1299</t>
  </si>
  <si>
    <t>negr1236</t>
  </si>
  <si>
    <t>Northern Binukidnon</t>
  </si>
  <si>
    <t>kyn</t>
  </si>
  <si>
    <t>karo1300</t>
  </si>
  <si>
    <t>mori1268</t>
  </si>
  <si>
    <t>Karonsie</t>
  </si>
  <si>
    <t>karo1301</t>
  </si>
  <si>
    <t>Karompa</t>
  </si>
  <si>
    <t>karo1302</t>
  </si>
  <si>
    <t>rawa1267</t>
  </si>
  <si>
    <t>Karo (Papua New Guinea)</t>
  </si>
  <si>
    <t>karo1303</t>
  </si>
  <si>
    <t>maib1239</t>
  </si>
  <si>
    <t>Karon Dori</t>
  </si>
  <si>
    <t>kgw</t>
  </si>
  <si>
    <t>karo1304</t>
  </si>
  <si>
    <t>Karok</t>
  </si>
  <si>
    <t>kyh</t>
  </si>
  <si>
    <t>karo1305</t>
  </si>
  <si>
    <t>rama1257</t>
  </si>
  <si>
    <t>Karo (Brazil)</t>
  </si>
  <si>
    <t>arr</t>
  </si>
  <si>
    <t>karo1306</t>
  </si>
  <si>
    <t>Karo</t>
  </si>
  <si>
    <t>karr1236</t>
  </si>
  <si>
    <t>mith1235</t>
  </si>
  <si>
    <t>Karruwali</t>
  </si>
  <si>
    <t>rxw</t>
  </si>
  <si>
    <t>Karre-Boni</t>
  </si>
  <si>
    <t>karr1238</t>
  </si>
  <si>
    <t>Karrharde</t>
  </si>
  <si>
    <t>kars1238</t>
  </si>
  <si>
    <t>Kars</t>
  </si>
  <si>
    <t>kart1247</t>
  </si>
  <si>
    <t>mart1256</t>
  </si>
  <si>
    <t>Kartujarra</t>
  </si>
  <si>
    <t>Kartvelian</t>
  </si>
  <si>
    <t>kart1249</t>
  </si>
  <si>
    <t>sout3134</t>
  </si>
  <si>
    <t>Kartu-Nhanda</t>
  </si>
  <si>
    <t>Kartu</t>
  </si>
  <si>
    <t>karu1252</t>
  </si>
  <si>
    <t>Karungu</t>
  </si>
  <si>
    <t>karu1253</t>
  </si>
  <si>
    <t>Karu</t>
  </si>
  <si>
    <t>karu1254</t>
  </si>
  <si>
    <t>Karuama</t>
  </si>
  <si>
    <t>kasa1247</t>
  </si>
  <si>
    <t>Kasargod</t>
  </si>
  <si>
    <t>kasa1248</t>
  </si>
  <si>
    <t>kobi1240</t>
  </si>
  <si>
    <t>Kasanga</t>
  </si>
  <si>
    <t>ccj</t>
  </si>
  <si>
    <t>kasa1249</t>
  </si>
  <si>
    <t>Kasaa</t>
  </si>
  <si>
    <t>kasa1250</t>
  </si>
  <si>
    <t>Kasara</t>
  </si>
  <si>
    <t>nuna1234</t>
  </si>
  <si>
    <t>Kasem</t>
  </si>
  <si>
    <t>xsm</t>
  </si>
  <si>
    <t>kase1254</t>
  </si>
  <si>
    <t>Kasenga</t>
  </si>
  <si>
    <t>lech1241</t>
  </si>
  <si>
    <t>Kashubian</t>
  </si>
  <si>
    <t>csb</t>
  </si>
  <si>
    <t>kash1275</t>
  </si>
  <si>
    <t>Kashubian Proper</t>
  </si>
  <si>
    <t>kash1276</t>
  </si>
  <si>
    <t>Kashani</t>
  </si>
  <si>
    <t>Kashmiri</t>
  </si>
  <si>
    <t>kas</t>
  </si>
  <si>
    <t>kash1278</t>
  </si>
  <si>
    <t>Kashgar-Atush</t>
  </si>
  <si>
    <t>kash1279</t>
  </si>
  <si>
    <t>Kashmere</t>
  </si>
  <si>
    <t>kash1280</t>
  </si>
  <si>
    <t>sout2983</t>
  </si>
  <si>
    <t>Kashaya</t>
  </si>
  <si>
    <t>kju</t>
  </si>
  <si>
    <t>kash1282</t>
  </si>
  <si>
    <t>Kashani-Natanzi</t>
  </si>
  <si>
    <t>kasi1251</t>
  </si>
  <si>
    <t>Kasimov</t>
  </si>
  <si>
    <t>kasi1252</t>
  </si>
  <si>
    <t>Kasigaon</t>
  </si>
  <si>
    <t>kasi1253</t>
  </si>
  <si>
    <t>Kasigau</t>
  </si>
  <si>
    <t>kasi1254</t>
  </si>
  <si>
    <t>Kasikasi</t>
  </si>
  <si>
    <t>kasi1255</t>
  </si>
  <si>
    <t>Kasieh</t>
  </si>
  <si>
    <t>kasi1256</t>
  </si>
  <si>
    <t>taga1280</t>
  </si>
  <si>
    <t>Kasiguranin</t>
  </si>
  <si>
    <t>ksn</t>
  </si>
  <si>
    <t>kask1239</t>
  </si>
  <si>
    <t>tahl1238</t>
  </si>
  <si>
    <t>Kaska</t>
  </si>
  <si>
    <t>kkz</t>
  </si>
  <si>
    <t>kasm1239</t>
  </si>
  <si>
    <t>Kasmin</t>
  </si>
  <si>
    <t>kaso1238</t>
  </si>
  <si>
    <t>Kasoma</t>
  </si>
  <si>
    <t>kasp1234</t>
  </si>
  <si>
    <t>Kaspi</t>
  </si>
  <si>
    <t>kass1244</t>
  </si>
  <si>
    <t>Kassite</t>
  </si>
  <si>
    <t>kass1249</t>
  </si>
  <si>
    <t>lele1266</t>
  </si>
  <si>
    <t>Kassadou Lele</t>
  </si>
  <si>
    <t>kasu1243</t>
  </si>
  <si>
    <t>koko1265</t>
  </si>
  <si>
    <t>Kasuweri</t>
  </si>
  <si>
    <t>kasu1251</t>
  </si>
  <si>
    <t>Kasua</t>
  </si>
  <si>
    <t>khs</t>
  </si>
  <si>
    <t>kasu1252</t>
  </si>
  <si>
    <t>Kasuwa</t>
  </si>
  <si>
    <t>kata1263</t>
  </si>
  <si>
    <t>Katai Meghwar</t>
  </si>
  <si>
    <t>kata1264</t>
  </si>
  <si>
    <t>Katang</t>
  </si>
  <si>
    <t>kgd</t>
  </si>
  <si>
    <t>kata1265</t>
  </si>
  <si>
    <t>Katab</t>
  </si>
  <si>
    <t>kata1266</t>
  </si>
  <si>
    <t>Katanga Swahili</t>
  </si>
  <si>
    <t>kata1267</t>
  </si>
  <si>
    <t>Katazi</t>
  </si>
  <si>
    <t>kata1268</t>
  </si>
  <si>
    <t>Katabaga</t>
  </si>
  <si>
    <t>ktq</t>
  </si>
  <si>
    <t>kata1269</t>
  </si>
  <si>
    <t>waiw1244</t>
  </si>
  <si>
    <t>Katawian</t>
  </si>
  <si>
    <t>kata1270</t>
  </si>
  <si>
    <t>Katawixi</t>
  </si>
  <si>
    <t>xat</t>
  </si>
  <si>
    <t>kata1274</t>
  </si>
  <si>
    <t>Katagum</t>
  </si>
  <si>
    <t>Katabic</t>
  </si>
  <si>
    <t>katb1237</t>
  </si>
  <si>
    <t>Avava</t>
  </si>
  <si>
    <t>tmb</t>
  </si>
  <si>
    <t>katc1248</t>
  </si>
  <si>
    <t>Katchal</t>
  </si>
  <si>
    <t>Katcha-Kadugli-Miri</t>
  </si>
  <si>
    <t>xtc</t>
  </si>
  <si>
    <t>katc1250</t>
  </si>
  <si>
    <t>Katcha</t>
  </si>
  <si>
    <t>Katcha-Kadugli-Miri-Kanga</t>
  </si>
  <si>
    <t>kate1235</t>
  </si>
  <si>
    <t>Kateik</t>
  </si>
  <si>
    <t>kate1252</t>
  </si>
  <si>
    <t>teke1275</t>
  </si>
  <si>
    <t>Kateghe</t>
  </si>
  <si>
    <t>kate1253</t>
  </si>
  <si>
    <t>kate1254</t>
  </si>
  <si>
    <t>K√¢te</t>
  </si>
  <si>
    <t>kmg</t>
  </si>
  <si>
    <t>Kate-Mape-Sene</t>
  </si>
  <si>
    <t>kath1248</t>
  </si>
  <si>
    <t>Katharevousa</t>
  </si>
  <si>
    <t>kath1249</t>
  </si>
  <si>
    <t>Kathiyawadi</t>
  </si>
  <si>
    <t>kath1250</t>
  </si>
  <si>
    <t>Kathoriya Tharu</t>
  </si>
  <si>
    <t>tkt</t>
  </si>
  <si>
    <t>kath1251</t>
  </si>
  <si>
    <t>mond1269</t>
  </si>
  <si>
    <t>Thou-Kathu</t>
  </si>
  <si>
    <t>ykt</t>
  </si>
  <si>
    <t>kath1252</t>
  </si>
  <si>
    <t>Kathmandu-Patan-Kirtipur</t>
  </si>
  <si>
    <t>kath1253</t>
  </si>
  <si>
    <t>Kathlamet</t>
  </si>
  <si>
    <t>nort3263</t>
  </si>
  <si>
    <t>Kati-Kamviri</t>
  </si>
  <si>
    <t>Kati</t>
  </si>
  <si>
    <t>bsh</t>
  </si>
  <si>
    <t>kati1271</t>
  </si>
  <si>
    <t>Katiyai</t>
  </si>
  <si>
    <t>kati1272</t>
  </si>
  <si>
    <t>Katia</t>
  </si>
  <si>
    <t>kati1273</t>
  </si>
  <si>
    <t>Katiola</t>
  </si>
  <si>
    <t>kati1274</t>
  </si>
  <si>
    <t>Katiara</t>
  </si>
  <si>
    <t>kati1275</t>
  </si>
  <si>
    <t>Katingan (Papua New Guinea)</t>
  </si>
  <si>
    <t>kati1278</t>
  </si>
  <si>
    <t>Katingan</t>
  </si>
  <si>
    <t>kxg</t>
  </si>
  <si>
    <t>Katkari</t>
  </si>
  <si>
    <t>kfu</t>
  </si>
  <si>
    <t>Katla-Julud</t>
  </si>
  <si>
    <t>Katla</t>
  </si>
  <si>
    <t>kcr</t>
  </si>
  <si>
    <t>Katla-Tima</t>
  </si>
  <si>
    <t>kato1242</t>
  </si>
  <si>
    <t>Katobu</t>
  </si>
  <si>
    <t>kato1243</t>
  </si>
  <si>
    <t>Katobengke</t>
  </si>
  <si>
    <t>kato1244</t>
  </si>
  <si>
    <t>Kato</t>
  </si>
  <si>
    <t>ktw</t>
  </si>
  <si>
    <t>Ka-Togo</t>
  </si>
  <si>
    <t>kats1235</t>
  </si>
  <si>
    <t>kazh1234</t>
  </si>
  <si>
    <t>Katso</t>
  </si>
  <si>
    <t>kaf</t>
  </si>
  <si>
    <t>kats1239</t>
  </si>
  <si>
    <t>Katsina</t>
  </si>
  <si>
    <t>katt1234</t>
  </si>
  <si>
    <t>west2391</t>
  </si>
  <si>
    <t>Kattila</t>
  </si>
  <si>
    <t>katu1271</t>
  </si>
  <si>
    <t>Katuic</t>
  </si>
  <si>
    <t>katu1272</t>
  </si>
  <si>
    <t>Katu</t>
  </si>
  <si>
    <t>katu1273</t>
  </si>
  <si>
    <t>Katua</t>
  </si>
  <si>
    <t>kta</t>
  </si>
  <si>
    <t>Katukinan</t>
  </si>
  <si>
    <t>katu1276</t>
  </si>
  <si>
    <t>Katuk√≠na do Bi√°-Ipixuna</t>
  </si>
  <si>
    <t>kaud1237</t>
  </si>
  <si>
    <t>Kauditan</t>
  </si>
  <si>
    <t>kauk1240</t>
  </si>
  <si>
    <t>Kaukombaran</t>
  </si>
  <si>
    <t>Kaulong</t>
  </si>
  <si>
    <t>kaum1238</t>
  </si>
  <si>
    <t>Kauma</t>
  </si>
  <si>
    <t>Kauri</t>
  </si>
  <si>
    <t>kaur1267</t>
  </si>
  <si>
    <t>sout2760</t>
  </si>
  <si>
    <t>Kaurna</t>
  </si>
  <si>
    <t>zku</t>
  </si>
  <si>
    <t>Kauru</t>
  </si>
  <si>
    <t>kaur1269</t>
  </si>
  <si>
    <t>Kaur</t>
  </si>
  <si>
    <t>vkk</t>
  </si>
  <si>
    <t>kaur1271</t>
  </si>
  <si>
    <t>Kaure-Narau</t>
  </si>
  <si>
    <t>bpp</t>
  </si>
  <si>
    <t>kaur1273</t>
  </si>
  <si>
    <t>Kaurna-based pidgin</t>
  </si>
  <si>
    <t>kauu1239</t>
  </si>
  <si>
    <t>kooo1244</t>
  </si>
  <si>
    <t>Kau</t>
  </si>
  <si>
    <t>kauw1242</t>
  </si>
  <si>
    <t>Kauwera</t>
  </si>
  <si>
    <t>xau</t>
  </si>
  <si>
    <t>kava1240</t>
  </si>
  <si>
    <t>Kavardi</t>
  </si>
  <si>
    <t>Kavalan</t>
  </si>
  <si>
    <t>ckv</t>
  </si>
  <si>
    <t>kave1238</t>
  </si>
  <si>
    <t>lave1238</t>
  </si>
  <si>
    <t>Kavet</t>
  </si>
  <si>
    <t>krv</t>
  </si>
  <si>
    <t>KH LA</t>
  </si>
  <si>
    <t>kawa1274</t>
  </si>
  <si>
    <t>Kawar</t>
  </si>
  <si>
    <t>kawa1275</t>
  </si>
  <si>
    <t>Kawari</t>
  </si>
  <si>
    <t>kawa1276</t>
  </si>
  <si>
    <t>Kawacha</t>
  </si>
  <si>
    <t>kcb</t>
  </si>
  <si>
    <t>kawa1277</t>
  </si>
  <si>
    <t>made1253</t>
  </si>
  <si>
    <t>Kawait</t>
  </si>
  <si>
    <t>kawa1278</t>
  </si>
  <si>
    <t>lisa1239</t>
  </si>
  <si>
    <t>Kawa</t>
  </si>
  <si>
    <t>kawa1279</t>
  </si>
  <si>
    <t>Kawayan</t>
  </si>
  <si>
    <t>kawa1280</t>
  </si>
  <si>
    <t>Kawang</t>
  </si>
  <si>
    <t>kawa1281</t>
  </si>
  <si>
    <t>Kawam</t>
  </si>
  <si>
    <t>kawa1282</t>
  </si>
  <si>
    <t>osak1237</t>
  </si>
  <si>
    <t>Kawachi</t>
  </si>
  <si>
    <t>kawa1283</t>
  </si>
  <si>
    <t>sout2968</t>
  </si>
  <si>
    <t>Kawaiisu</t>
  </si>
  <si>
    <t>xaw</t>
  </si>
  <si>
    <t>kawa1287</t>
  </si>
  <si>
    <t>Kawalk√©</t>
  </si>
  <si>
    <t>Kawaimina</t>
  </si>
  <si>
    <t>kawa1290</t>
  </si>
  <si>
    <t>Kawarrang-Ogh Undjan</t>
  </si>
  <si>
    <t>kawa1291</t>
  </si>
  <si>
    <t>Kawaway</t>
  </si>
  <si>
    <t>tupi1280</t>
  </si>
  <si>
    <t>Kawahiwa Setentrionais</t>
  </si>
  <si>
    <t>Kawahiwa Meridionais</t>
  </si>
  <si>
    <t>Kawesqar</t>
  </si>
  <si>
    <t>kawe1240</t>
  </si>
  <si>
    <t>Kawe</t>
  </si>
  <si>
    <t>kgb</t>
  </si>
  <si>
    <t>lama1278</t>
  </si>
  <si>
    <t>Kawela</t>
  </si>
  <si>
    <t>kawi1240</t>
  </si>
  <si>
    <t>Kawiku</t>
  </si>
  <si>
    <t>kawi1241</t>
  </si>
  <si>
    <t>Kawi</t>
  </si>
  <si>
    <t>kaw</t>
  </si>
  <si>
    <t>kawk1239</t>
  </si>
  <si>
    <t>Kawkareik</t>
  </si>
  <si>
    <t>kaxa1239</t>
  </si>
  <si>
    <t>Kaxarar√≠</t>
  </si>
  <si>
    <t>ktx</t>
  </si>
  <si>
    <t>kaxe1238</t>
  </si>
  <si>
    <t>Kaxetian</t>
  </si>
  <si>
    <t>kaxi1241</t>
  </si>
  <si>
    <t>Kaxib</t>
  </si>
  <si>
    <t>paru1239</t>
  </si>
  <si>
    <t>Kaxui√¢na</t>
  </si>
  <si>
    <t>kbb</t>
  </si>
  <si>
    <t>kaya1313</t>
  </si>
  <si>
    <t>Kayasthi</t>
  </si>
  <si>
    <t>kaya1314</t>
  </si>
  <si>
    <t>Kayavar</t>
  </si>
  <si>
    <t>kaya1315</t>
  </si>
  <si>
    <t>nort2703</t>
  </si>
  <si>
    <t>Kayan Lahwi</t>
  </si>
  <si>
    <t>pdu</t>
  </si>
  <si>
    <t>Kayaw-Manu</t>
  </si>
  <si>
    <t>Kayah</t>
  </si>
  <si>
    <t>kaya1318</t>
  </si>
  <si>
    <t>Kayardild-Yangkaal</t>
  </si>
  <si>
    <t>kaya1319</t>
  </si>
  <si>
    <t>Kayardild</t>
  </si>
  <si>
    <t>gyd</t>
  </si>
  <si>
    <t>kaya1320</t>
  </si>
  <si>
    <t>Kayapa Kallahan</t>
  </si>
  <si>
    <t>kaya1324</t>
  </si>
  <si>
    <t>Kayan Mahakam</t>
  </si>
  <si>
    <t>xay</t>
  </si>
  <si>
    <t>kaya1325</t>
  </si>
  <si>
    <t>Kayan River Kayan</t>
  </si>
  <si>
    <t>xkn</t>
  </si>
  <si>
    <t>kaya1326</t>
  </si>
  <si>
    <t>Kayaniyut Kayan</t>
  </si>
  <si>
    <t>Kayagaric</t>
  </si>
  <si>
    <t>kaya1328</t>
  </si>
  <si>
    <t>kayg1237</t>
  </si>
  <si>
    <t>Kayagar</t>
  </si>
  <si>
    <t>kyt</t>
  </si>
  <si>
    <t>kaya1329</t>
  </si>
  <si>
    <t>Kayab√≠</t>
  </si>
  <si>
    <t>kyz</t>
  </si>
  <si>
    <t>Kayap√≥</t>
  </si>
  <si>
    <t>kaya1331</t>
  </si>
  <si>
    <t>Kayap√≥-Krada√∫</t>
  </si>
  <si>
    <t>kaya1336</t>
  </si>
  <si>
    <t>Kayanic</t>
  </si>
  <si>
    <t>kaya1334</t>
  </si>
  <si>
    <t>Kayan River Kenyah</t>
  </si>
  <si>
    <t>knh</t>
  </si>
  <si>
    <t>kaya1335</t>
  </si>
  <si>
    <t>nort3253</t>
  </si>
  <si>
    <t>Kayan-Murik-Modang</t>
  </si>
  <si>
    <t>Kayan-Murik</t>
  </si>
  <si>
    <t>kaye1241</t>
  </si>
  <si>
    <t>nunu1252</t>
  </si>
  <si>
    <t>Kayeli</t>
  </si>
  <si>
    <t>kzl</t>
  </si>
  <si>
    <t>Kaygir-Tamagario</t>
  </si>
  <si>
    <t>kayl1240</t>
  </si>
  <si>
    <t>tran1295</t>
  </si>
  <si>
    <t>Kailina</t>
  </si>
  <si>
    <t>kayo1245</t>
  </si>
  <si>
    <t>Kayong</t>
  </si>
  <si>
    <t>kxy</t>
  </si>
  <si>
    <t>kayo1246</t>
  </si>
  <si>
    <t>Kayoa</t>
  </si>
  <si>
    <t>kayo1247</t>
  </si>
  <si>
    <t>Kayort</t>
  </si>
  <si>
    <t>kyv</t>
  </si>
  <si>
    <t>kayt1238</t>
  </si>
  <si>
    <t>Kaytetye</t>
  </si>
  <si>
    <t>gbb</t>
  </si>
  <si>
    <t>kayu1242</t>
  </si>
  <si>
    <t>Kayung</t>
  </si>
  <si>
    <t>kayu1243</t>
  </si>
  <si>
    <t>Kayupulau</t>
  </si>
  <si>
    <t>kzu</t>
  </si>
  <si>
    <t>kayu1244</t>
  </si>
  <si>
    <t>Kayu Agung</t>
  </si>
  <si>
    <t>vky</t>
  </si>
  <si>
    <t>Kazakh</t>
  </si>
  <si>
    <t>AF CN IR KG KZ MN RU TJ TM UZ</t>
  </si>
  <si>
    <t>kaza1249</t>
  </si>
  <si>
    <t>Kazakh-Kirovabad</t>
  </si>
  <si>
    <t>nili1235</t>
  </si>
  <si>
    <t>Kazhouish</t>
  </si>
  <si>
    <t>kazu1245</t>
  </si>
  <si>
    <t>Kazukuru</t>
  </si>
  <si>
    <t>kzk</t>
  </si>
  <si>
    <t>keak1238</t>
  </si>
  <si>
    <t>Keaka</t>
  </si>
  <si>
    <t>keak1239</t>
  </si>
  <si>
    <t>Keak</t>
  </si>
  <si>
    <t>keh</t>
  </si>
  <si>
    <t>kean1238</t>
  </si>
  <si>
    <t>Keana</t>
  </si>
  <si>
    <t>Keapara</t>
  </si>
  <si>
    <t>khz</t>
  </si>
  <si>
    <t>keba1250</t>
  </si>
  <si>
    <t>reja1240</t>
  </si>
  <si>
    <t>Kebanagung</t>
  </si>
  <si>
    <t>keba1251</t>
  </si>
  <si>
    <t>Keba-Wopasali</t>
  </si>
  <si>
    <t>keba1252</t>
  </si>
  <si>
    <t>Kebai</t>
  </si>
  <si>
    <t>keba1253</t>
  </si>
  <si>
    <t>Kebai (Sinasina)</t>
  </si>
  <si>
    <t>kebb1238</t>
  </si>
  <si>
    <t>Kebbawa</t>
  </si>
  <si>
    <t>kebd1234</t>
  </si>
  <si>
    <t>Kebdana</t>
  </si>
  <si>
    <t>kebe1238</t>
  </si>
  <si>
    <t>nort2787</t>
  </si>
  <si>
    <t>Kebeenton</t>
  </si>
  <si>
    <t>kebu1245</t>
  </si>
  <si>
    <t>Kebu Fula</t>
  </si>
  <si>
    <t>Kebu-Animere</t>
  </si>
  <si>
    <t>kebu1247</t>
  </si>
  <si>
    <t>Kebun Kopi</t>
  </si>
  <si>
    <t>kech1244</t>
  </si>
  <si>
    <t>Kechi</t>
  </si>
  <si>
    <t>kech1245</t>
  </si>
  <si>
    <t>Kecherda</t>
  </si>
  <si>
    <t>keda1249</t>
  </si>
  <si>
    <t>Kedah</t>
  </si>
  <si>
    <t>keda1250</t>
  </si>
  <si>
    <t>Kedayan</t>
  </si>
  <si>
    <t>keda1251</t>
  </si>
  <si>
    <t>Kedah Malay</t>
  </si>
  <si>
    <t>meo</t>
  </si>
  <si>
    <t>keda1252</t>
  </si>
  <si>
    <t>Kedang</t>
  </si>
  <si>
    <t>ksx</t>
  </si>
  <si>
    <t>kedd1234</t>
  </si>
  <si>
    <t>Ked</t>
  </si>
  <si>
    <t>kede1239</t>
  </si>
  <si>
    <t>Keder</t>
  </si>
  <si>
    <t>kdy</t>
  </si>
  <si>
    <t>kedi1239</t>
  </si>
  <si>
    <t>Kedi</t>
  </si>
  <si>
    <t>kedu1234</t>
  </si>
  <si>
    <t>Kedu</t>
  </si>
  <si>
    <t>keek1238</t>
  </si>
  <si>
    <t>Keekonyokie</t>
  </si>
  <si>
    <t>keem1238</t>
  </si>
  <si>
    <t>Keembo</t>
  </si>
  <si>
    <t>keen1240</t>
  </si>
  <si>
    <t>Keenge</t>
  </si>
  <si>
    <t>keha1237</t>
  </si>
  <si>
    <t>tuku1254</t>
  </si>
  <si>
    <t>Keha</t>
  </si>
  <si>
    <t>kehe1240</t>
  </si>
  <si>
    <t>Kehena</t>
  </si>
  <si>
    <t>kehe1241</t>
  </si>
  <si>
    <t>Kehelala</t>
  </si>
  <si>
    <t>kehu1238</t>
  </si>
  <si>
    <t>Kehu</t>
  </si>
  <si>
    <t>khh</t>
  </si>
  <si>
    <t>keib1237</t>
  </si>
  <si>
    <t>keii1239</t>
  </si>
  <si>
    <t>Kei Besar</t>
  </si>
  <si>
    <t>keit1238</t>
  </si>
  <si>
    <t>Kei-Fordata</t>
  </si>
  <si>
    <t>Keiga</t>
  </si>
  <si>
    <t>kec</t>
  </si>
  <si>
    <t>Kei</t>
  </si>
  <si>
    <t>kei</t>
  </si>
  <si>
    <t>keik1237</t>
  </si>
  <si>
    <t>Kei Kecil</t>
  </si>
  <si>
    <t>kein1239</t>
  </si>
  <si>
    <t>Kein</t>
  </si>
  <si>
    <t>bmh</t>
  </si>
  <si>
    <t>Kei-Tanimbar</t>
  </si>
  <si>
    <t>keiy1238</t>
  </si>
  <si>
    <t>plat1260</t>
  </si>
  <si>
    <t>Keiyo</t>
  </si>
  <si>
    <t>eyo</t>
  </si>
  <si>
    <t>Kekch√≠</t>
  </si>
  <si>
    <t>BZ GT SV</t>
  </si>
  <si>
    <t>keke1238</t>
  </si>
  <si>
    <t>Kekem</t>
  </si>
  <si>
    <t>kela1254</t>
  </si>
  <si>
    <t>yela1238</t>
  </si>
  <si>
    <t>Kela (Democratic Republic of Congo)</t>
  </si>
  <si>
    <t>kel</t>
  </si>
  <si>
    <t>kela1255</t>
  </si>
  <si>
    <t>Kela (Papua New Guinea)</t>
  </si>
  <si>
    <t>kcl</t>
  </si>
  <si>
    <t>kela1256</t>
  </si>
  <si>
    <t>Kelang</t>
  </si>
  <si>
    <t>kela1257</t>
  </si>
  <si>
    <t>Dayic</t>
  </si>
  <si>
    <t>kela1260</t>
  </si>
  <si>
    <t>kela1259</t>
  </si>
  <si>
    <t>sega1243</t>
  </si>
  <si>
    <t>Kelai</t>
  </si>
  <si>
    <t>Kelabitic</t>
  </si>
  <si>
    <t>Kela-Ntomba</t>
  </si>
  <si>
    <t>kele1253</t>
  </si>
  <si>
    <t>Keleb</t>
  </si>
  <si>
    <t>kele1255</t>
  </si>
  <si>
    <t>kele1265</t>
  </si>
  <si>
    <t>Kele-Foma</t>
  </si>
  <si>
    <t>khy</t>
  </si>
  <si>
    <t>kele1264</t>
  </si>
  <si>
    <t>K√©l√©</t>
  </si>
  <si>
    <t>keb</t>
  </si>
  <si>
    <t>kele1258</t>
  </si>
  <si>
    <t>Kele (Papua New Guinea)</t>
  </si>
  <si>
    <t>sbc</t>
  </si>
  <si>
    <t>Keley-i Kallahan</t>
  </si>
  <si>
    <t>ify</t>
  </si>
  <si>
    <t>Keleic</t>
  </si>
  <si>
    <t>kele1261</t>
  </si>
  <si>
    <t>Kele (C.60)</t>
  </si>
  <si>
    <t>Kele-Sake</t>
  </si>
  <si>
    <t>kele1263</t>
  </si>
  <si>
    <t>Kele-Poke</t>
  </si>
  <si>
    <t>Kele-Tombidi</t>
  </si>
  <si>
    <t>Kele-Lombo</t>
  </si>
  <si>
    <t>Keliko</t>
  </si>
  <si>
    <t>kbo</t>
  </si>
  <si>
    <t>keli1249</t>
  </si>
  <si>
    <t>Kelingan</t>
  </si>
  <si>
    <t>keli1250</t>
  </si>
  <si>
    <t>Keli</t>
  </si>
  <si>
    <t>keli1251</t>
  </si>
  <si>
    <t>Kelimuri</t>
  </si>
  <si>
    <t>keli1252</t>
  </si>
  <si>
    <t>Kelingan (Indonesia)</t>
  </si>
  <si>
    <t>Kelo</t>
  </si>
  <si>
    <t>xel</t>
  </si>
  <si>
    <t>Klon</t>
  </si>
  <si>
    <t>kyo</t>
  </si>
  <si>
    <t>west2547</t>
  </si>
  <si>
    <t>Kemak</t>
  </si>
  <si>
    <t>kem</t>
  </si>
  <si>
    <t>kema1244</t>
  </si>
  <si>
    <t>Kemanimowe</t>
  </si>
  <si>
    <t>Kemberano</t>
  </si>
  <si>
    <t>bzp</t>
  </si>
  <si>
    <t>kemb1249</t>
  </si>
  <si>
    <t>Mateq</t>
  </si>
  <si>
    <t>xem</t>
  </si>
  <si>
    <t>kemb1250</t>
  </si>
  <si>
    <t>Kembra</t>
  </si>
  <si>
    <t>xkw</t>
  </si>
  <si>
    <t>kemd1239</t>
  </si>
  <si>
    <t>Kem Degne</t>
  </si>
  <si>
    <t>keme1240</t>
  </si>
  <si>
    <t>naki1239</t>
  </si>
  <si>
    <t>Kemezung</t>
  </si>
  <si>
    <t>dmo</t>
  </si>
  <si>
    <t>keme1241</t>
  </si>
  <si>
    <t>Kemena Penan</t>
  </si>
  <si>
    <t>kemi1239</t>
  </si>
  <si>
    <t>Kemi Saami</t>
  </si>
  <si>
    <t>sjk</t>
  </si>
  <si>
    <t>kemi1240</t>
  </si>
  <si>
    <t>Kemiehua</t>
  </si>
  <si>
    <t>kfj</t>
  </si>
  <si>
    <t>kemp1234</t>
  </si>
  <si>
    <t>Kempee</t>
  </si>
  <si>
    <t>kemt1242</t>
  </si>
  <si>
    <t>Kemtuik</t>
  </si>
  <si>
    <t>kmt</t>
  </si>
  <si>
    <t>kemu1238</t>
  </si>
  <si>
    <t>wann1242</t>
  </si>
  <si>
    <t>Kemu</t>
  </si>
  <si>
    <t>kena1236</t>
  </si>
  <si>
    <t>Kenaboi</t>
  </si>
  <si>
    <t>xbn</t>
  </si>
  <si>
    <t>kena1250</t>
  </si>
  <si>
    <t>unun9974</t>
  </si>
  <si>
    <t>Kenati</t>
  </si>
  <si>
    <t>gat</t>
  </si>
  <si>
    <t>kend1251</t>
  </si>
  <si>
    <t>Kenderong</t>
  </si>
  <si>
    <t>kend1252</t>
  </si>
  <si>
    <t>Kendem</t>
  </si>
  <si>
    <t>kvm</t>
  </si>
  <si>
    <t>Kendeje</t>
  </si>
  <si>
    <t>klf</t>
  </si>
  <si>
    <t>west2821</t>
  </si>
  <si>
    <t>Kendayan</t>
  </si>
  <si>
    <t>knx</t>
  </si>
  <si>
    <t>mamf1238</t>
  </si>
  <si>
    <t>Kendem-Denya</t>
  </si>
  <si>
    <t>kene1242</t>
  </si>
  <si>
    <t>Kenering</t>
  </si>
  <si>
    <t>Kenga</t>
  </si>
  <si>
    <t>kyq</t>
  </si>
  <si>
    <t>kenh1234</t>
  </si>
  <si>
    <t>Kenhatic</t>
  </si>
  <si>
    <t>keni1245</t>
  </si>
  <si>
    <t>romb1244</t>
  </si>
  <si>
    <t>Keni</t>
  </si>
  <si>
    <t>keni1246</t>
  </si>
  <si>
    <t>west2500</t>
  </si>
  <si>
    <t>Kenieba Maninka</t>
  </si>
  <si>
    <t>keni1248</t>
  </si>
  <si>
    <t>Keninjal</t>
  </si>
  <si>
    <t>knl</t>
  </si>
  <si>
    <t>Keningau Murut</t>
  </si>
  <si>
    <t>kxi</t>
  </si>
  <si>
    <t>kenk1238</t>
  </si>
  <si>
    <t>Ken-Khana</t>
  </si>
  <si>
    <t>mani1291</t>
  </si>
  <si>
    <t>Kensiu</t>
  </si>
  <si>
    <t>kns</t>
  </si>
  <si>
    <t>kens1249</t>
  </si>
  <si>
    <t>Kensiu Batu</t>
  </si>
  <si>
    <t>kens1250</t>
  </si>
  <si>
    <t>Kensiu Siong</t>
  </si>
  <si>
    <t>kens1251</t>
  </si>
  <si>
    <t>Kenswei Nsei</t>
  </si>
  <si>
    <t>ndb</t>
  </si>
  <si>
    <t>kent1253</t>
  </si>
  <si>
    <t>Kentish</t>
  </si>
  <si>
    <t>kent1254</t>
  </si>
  <si>
    <t>Kentung Wa</t>
  </si>
  <si>
    <t>kent1255</t>
  </si>
  <si>
    <t>Kentaq Nakil</t>
  </si>
  <si>
    <t>kent1256</t>
  </si>
  <si>
    <t>Kente</t>
  </si>
  <si>
    <t>kent1257</t>
  </si>
  <si>
    <t>Kentin</t>
  </si>
  <si>
    <t>kent1258</t>
  </si>
  <si>
    <t>lowe1446</t>
  </si>
  <si>
    <t>Kent-Surrey</t>
  </si>
  <si>
    <t>Kenuzi-Dongola</t>
  </si>
  <si>
    <t>EG SD</t>
  </si>
  <si>
    <t>kenu1243</t>
  </si>
  <si>
    <t>Kenuzi</t>
  </si>
  <si>
    <t>xnz</t>
  </si>
  <si>
    <t>keny1241</t>
  </si>
  <si>
    <t>Kenya-Somali Sign Language</t>
  </si>
  <si>
    <t>xki</t>
  </si>
  <si>
    <t>keny1276</t>
  </si>
  <si>
    <t>Kenyen</t>
  </si>
  <si>
    <t>keny1277</t>
  </si>
  <si>
    <t>Kenyi (Kgalagadi)</t>
  </si>
  <si>
    <t>keny1278</t>
  </si>
  <si>
    <t>soga1244</t>
  </si>
  <si>
    <t>Kenyi</t>
  </si>
  <si>
    <t>lke</t>
  </si>
  <si>
    <t>Kenyang</t>
  </si>
  <si>
    <t>ken</t>
  </si>
  <si>
    <t>Kenyahic</t>
  </si>
  <si>
    <t>keoo1238</t>
  </si>
  <si>
    <t>nage1238</t>
  </si>
  <si>
    <t>K√©o</t>
  </si>
  <si>
    <t>xxk</t>
  </si>
  <si>
    <t>west2573</t>
  </si>
  <si>
    <t>Keoru-Ahia</t>
  </si>
  <si>
    <t>xeu</t>
  </si>
  <si>
    <t>kepk1241</t>
  </si>
  <si>
    <t>Kepkiriw√°t</t>
  </si>
  <si>
    <t>kpn</t>
  </si>
  <si>
    <t>kepo1237</t>
  </si>
  <si>
    <t>mang1430</t>
  </si>
  <si>
    <t>Kepo'</t>
  </si>
  <si>
    <t>kuk</t>
  </si>
  <si>
    <t>kera1248</t>
  </si>
  <si>
    <t>Keerak</t>
  </si>
  <si>
    <t>hhr</t>
  </si>
  <si>
    <t>kera1255</t>
  </si>
  <si>
    <t>Kera</t>
  </si>
  <si>
    <t>ker</t>
  </si>
  <si>
    <t>kera1256</t>
  </si>
  <si>
    <t>nort2756</t>
  </si>
  <si>
    <t>Keramin</t>
  </si>
  <si>
    <t>kerd1240</t>
  </si>
  <si>
    <t>Kerdau</t>
  </si>
  <si>
    <t>kere1280</t>
  </si>
  <si>
    <t>Kerek</t>
  </si>
  <si>
    <t>krk</t>
  </si>
  <si>
    <t>kere1281</t>
  </si>
  <si>
    <t>Keren</t>
  </si>
  <si>
    <t>kere1282</t>
  </si>
  <si>
    <t>Kere (Ethiopia)</t>
  </si>
  <si>
    <t>kere1283</t>
  </si>
  <si>
    <t>west2841</t>
  </si>
  <si>
    <t>Kerewe</t>
  </si>
  <si>
    <t>ked</t>
  </si>
  <si>
    <t>kere1284</t>
  </si>
  <si>
    <t>Kere</t>
  </si>
  <si>
    <t>kere1285</t>
  </si>
  <si>
    <t>Kereho</t>
  </si>
  <si>
    <t>xke</t>
  </si>
  <si>
    <t>tura1266</t>
  </si>
  <si>
    <t>Kerewo</t>
  </si>
  <si>
    <t>kxz</t>
  </si>
  <si>
    <t>Keresan</t>
  </si>
  <si>
    <t>kere1294</t>
  </si>
  <si>
    <t>Kereyu</t>
  </si>
  <si>
    <t>kere1298</t>
  </si>
  <si>
    <t>Kerend</t>
  </si>
  <si>
    <t>kere1299</t>
  </si>
  <si>
    <t>Keresan Pueblo Indian Sign Language</t>
  </si>
  <si>
    <t>kere1300</t>
  </si>
  <si>
    <t>Kere (Sinasina)</t>
  </si>
  <si>
    <t>keri1249</t>
  </si>
  <si>
    <t>Kerinci-Minangkabau</t>
  </si>
  <si>
    <t>Kerinci</t>
  </si>
  <si>
    <t>kvr</t>
  </si>
  <si>
    <t>keri1251</t>
  </si>
  <si>
    <t>Keri</t>
  </si>
  <si>
    <t>kerk1238</t>
  </si>
  <si>
    <t>Kerkuki</t>
  </si>
  <si>
    <t>kerm1244</t>
  </si>
  <si>
    <t>Kermanshahi</t>
  </si>
  <si>
    <t>kerm1245</t>
  </si>
  <si>
    <t>Kermani</t>
  </si>
  <si>
    <t>kern1234</t>
  </si>
  <si>
    <t>Kernostf√§lisch</t>
  </si>
  <si>
    <t>kero1242</t>
  </si>
  <si>
    <t>Kerounja</t>
  </si>
  <si>
    <t>kero1243</t>
  </si>
  <si>
    <t>Kerorogea</t>
  </si>
  <si>
    <t>kero1244</t>
  </si>
  <si>
    <t>Keroi</t>
  </si>
  <si>
    <t>kesa1243</t>
  </si>
  <si>
    <t>Kesari</t>
  </si>
  <si>
    <t>kesa1244</t>
  </si>
  <si>
    <t>kesa1245</t>
  </si>
  <si>
    <t>Kesawai</t>
  </si>
  <si>
    <t>xes</t>
  </si>
  <si>
    <t>Kesawai-Sausi</t>
  </si>
  <si>
    <t>kesa1246</t>
  </si>
  <si>
    <t>Kesab-Svedia</t>
  </si>
  <si>
    <t>kesa1247</t>
  </si>
  <si>
    <t>Kesaria</t>
  </si>
  <si>
    <t>kese1237</t>
  </si>
  <si>
    <t>Kesen</t>
  </si>
  <si>
    <t>keta1242</t>
  </si>
  <si>
    <t>Ketabi</t>
  </si>
  <si>
    <t>keta1243</t>
  </si>
  <si>
    <t>Ketangalan</t>
  </si>
  <si>
    <t>kae</t>
  </si>
  <si>
    <t>kete1251</t>
  </si>
  <si>
    <t>Keteneneyu</t>
  </si>
  <si>
    <t>kete1252</t>
  </si>
  <si>
    <t>ruun1240</t>
  </si>
  <si>
    <t>Kete</t>
  </si>
  <si>
    <t>kcv</t>
  </si>
  <si>
    <t>kete1253</t>
  </si>
  <si>
    <t>Keteghe</t>
  </si>
  <si>
    <t>Ketengban</t>
  </si>
  <si>
    <t>xte</t>
  </si>
  <si>
    <t>keti1244</t>
  </si>
  <si>
    <t>Ketiar Krau</t>
  </si>
  <si>
    <t>keti1245</t>
  </si>
  <si>
    <t>Ketin</t>
  </si>
  <si>
    <t>keti1246</t>
  </si>
  <si>
    <t>nort2811</t>
  </si>
  <si>
    <t>Ketiepo</t>
  </si>
  <si>
    <t>keto1238</t>
  </si>
  <si>
    <t>Keto</t>
  </si>
  <si>
    <t>kets1234</t>
  </si>
  <si>
    <t>Ketsik</t>
  </si>
  <si>
    <t>nort2746</t>
  </si>
  <si>
    <t>Ket</t>
  </si>
  <si>
    <t>ket</t>
  </si>
  <si>
    <t>ketu1238</t>
  </si>
  <si>
    <t>ketu1239</t>
  </si>
  <si>
    <t>Ketum</t>
  </si>
  <si>
    <t>ktt</t>
  </si>
  <si>
    <t>Ketum-Wambon</t>
  </si>
  <si>
    <t>kety1234</t>
  </si>
  <si>
    <t>Kety-Central-Southern Selkup</t>
  </si>
  <si>
    <t>Kety-Central Selkup</t>
  </si>
  <si>
    <t>kewa1247</t>
  </si>
  <si>
    <t>Kewah</t>
  </si>
  <si>
    <t>Kewa-Huli</t>
  </si>
  <si>
    <t>kewa1250</t>
  </si>
  <si>
    <t>Kewa</t>
  </si>
  <si>
    <t>kewe1235</t>
  </si>
  <si>
    <t>Kewe</t>
  </si>
  <si>
    <t>kewi1240</t>
  </si>
  <si>
    <t>Kewieng</t>
  </si>
  <si>
    <t>Kewieng-Bonkiman-Nokopo</t>
  </si>
  <si>
    <t>keya1238</t>
  </si>
  <si>
    <t>Keyagana</t>
  </si>
  <si>
    <t>kyg</t>
  </si>
  <si>
    <t>keza1236</t>
  </si>
  <si>
    <t>Kezands</t>
  </si>
  <si>
    <t>kfar1238</t>
  </si>
  <si>
    <t>Kfarze</t>
  </si>
  <si>
    <t>kgag1238</t>
  </si>
  <si>
    <t>Kgaga</t>
  </si>
  <si>
    <t>tswa1256</t>
  </si>
  <si>
    <t>Kgalagadi</t>
  </si>
  <si>
    <t>xkv</t>
  </si>
  <si>
    <t>kgat1238</t>
  </si>
  <si>
    <t>Kgatla</t>
  </si>
  <si>
    <t>khab1234</t>
  </si>
  <si>
    <t>Khabi</t>
  </si>
  <si>
    <t>khad1239</t>
  </si>
  <si>
    <t>Khadar</t>
  </si>
  <si>
    <t>khai1246</t>
  </si>
  <si>
    <t>Khairari</t>
  </si>
  <si>
    <t>khai1247</t>
  </si>
  <si>
    <t>Khairagarhi</t>
  </si>
  <si>
    <t>khai1248</t>
  </si>
  <si>
    <t>Khaikent</t>
  </si>
  <si>
    <t>yeni1251</t>
  </si>
  <si>
    <t>Khakas</t>
  </si>
  <si>
    <t>CN RU</t>
  </si>
  <si>
    <t>khak1249</t>
  </si>
  <si>
    <t>Khakhae</t>
  </si>
  <si>
    <t>khal1270</t>
  </si>
  <si>
    <t>Khalaj</t>
  </si>
  <si>
    <t>kjf</t>
  </si>
  <si>
    <t>AZ IR</t>
  </si>
  <si>
    <t>khal1271</t>
  </si>
  <si>
    <t>take1255</t>
  </si>
  <si>
    <t>Khalkhal</t>
  </si>
  <si>
    <t>khal1272</t>
  </si>
  <si>
    <t>Khalari</t>
  </si>
  <si>
    <t>oira1264</t>
  </si>
  <si>
    <t>Khalkha-Buriat</t>
  </si>
  <si>
    <t>khal1275</t>
  </si>
  <si>
    <t>Khaling</t>
  </si>
  <si>
    <t>klr</t>
  </si>
  <si>
    <t>Khalkhalic</t>
  </si>
  <si>
    <t>kham1280</t>
  </si>
  <si>
    <t>Khamla</t>
  </si>
  <si>
    <t>kham1281</t>
  </si>
  <si>
    <t>oira1260</t>
  </si>
  <si>
    <t>Khamnigan Mongol</t>
  </si>
  <si>
    <t>kham1299</t>
  </si>
  <si>
    <t>Khams Tibetan</t>
  </si>
  <si>
    <t>khg</t>
  </si>
  <si>
    <t>CN IN MM</t>
  </si>
  <si>
    <t>kham1283</t>
  </si>
  <si>
    <t>uncl1513</t>
  </si>
  <si>
    <t>Khamba</t>
  </si>
  <si>
    <t>kbg</t>
  </si>
  <si>
    <t>kham1284</t>
  </si>
  <si>
    <t>Khami</t>
  </si>
  <si>
    <t>maha1306</t>
  </si>
  <si>
    <t>Kham-Magar-Chepang</t>
  </si>
  <si>
    <t>Kham</t>
  </si>
  <si>
    <t>kham1288</t>
  </si>
  <si>
    <t>Khambu (Kulung)</t>
  </si>
  <si>
    <t>kham1289</t>
  </si>
  <si>
    <t>saek1240</t>
  </si>
  <si>
    <t>Khammouan</t>
  </si>
  <si>
    <t>Khamti</t>
  </si>
  <si>
    <t>kht</t>
  </si>
  <si>
    <t>kham1291</t>
  </si>
  <si>
    <t>Khamyang</t>
  </si>
  <si>
    <t>ksu</t>
  </si>
  <si>
    <t>kham1292</t>
  </si>
  <si>
    <t>Khambani</t>
  </si>
  <si>
    <t>kham1298</t>
  </si>
  <si>
    <t>Khamseh</t>
  </si>
  <si>
    <t>Kham-Hor</t>
  </si>
  <si>
    <t>kham1300</t>
  </si>
  <si>
    <t>Khambu</t>
  </si>
  <si>
    <t>kham1301</t>
  </si>
  <si>
    <t>xamt1239</t>
  </si>
  <si>
    <t>Khamir</t>
  </si>
  <si>
    <t>Khandesic</t>
  </si>
  <si>
    <t>Khandesi</t>
  </si>
  <si>
    <t>khn</t>
  </si>
  <si>
    <t>nort3264</t>
  </si>
  <si>
    <t>Kazym-Berezover-Suryskarer Khanty</t>
  </si>
  <si>
    <t>kca</t>
  </si>
  <si>
    <t>khan1274</t>
  </si>
  <si>
    <t>Kh√°ng</t>
  </si>
  <si>
    <t>kjm</t>
  </si>
  <si>
    <t>khan1275</t>
  </si>
  <si>
    <t>Kh√°ng Ai</t>
  </si>
  <si>
    <t>khan1276</t>
  </si>
  <si>
    <t>Kh√°ng Clau</t>
  </si>
  <si>
    <t>khan1277</t>
  </si>
  <si>
    <t>sino1246</t>
  </si>
  <si>
    <t>Southern Tangkhul Naga</t>
  </si>
  <si>
    <t>taik1252</t>
  </si>
  <si>
    <t>Khana</t>
  </si>
  <si>
    <t>ogo</t>
  </si>
  <si>
    <t>Khantyic</t>
  </si>
  <si>
    <t>Khao-Bit</t>
  </si>
  <si>
    <t>khao1244</t>
  </si>
  <si>
    <t>Khao</t>
  </si>
  <si>
    <t>xao</t>
  </si>
  <si>
    <t>khap1242</t>
  </si>
  <si>
    <t>Kha Phong</t>
  </si>
  <si>
    <t>khap1243</t>
  </si>
  <si>
    <t>Khapa</t>
  </si>
  <si>
    <t>khar1280</t>
  </si>
  <si>
    <t>Kharberd-Erznkad</t>
  </si>
  <si>
    <t>khar1281</t>
  </si>
  <si>
    <t>Kharaqan</t>
  </si>
  <si>
    <t>khar1282</t>
  </si>
  <si>
    <t>Kharwa</t>
  </si>
  <si>
    <t>khar1283</t>
  </si>
  <si>
    <t>Kharia Thar</t>
  </si>
  <si>
    <t>ksy</t>
  </si>
  <si>
    <t>khar1285</t>
  </si>
  <si>
    <t>Kharmangi</t>
  </si>
  <si>
    <t>Kharia</t>
  </si>
  <si>
    <t>khr</t>
  </si>
  <si>
    <t>khar1288</t>
  </si>
  <si>
    <t>thad1239</t>
  </si>
  <si>
    <t>Kharam Naga</t>
  </si>
  <si>
    <t>kfw</t>
  </si>
  <si>
    <t>khar1289</t>
  </si>
  <si>
    <t>Kharlali</t>
  </si>
  <si>
    <t>khar1290</t>
  </si>
  <si>
    <t>Khartamche</t>
  </si>
  <si>
    <t>khar1291</t>
  </si>
  <si>
    <t>Kharbari</t>
  </si>
  <si>
    <t>khar1296</t>
  </si>
  <si>
    <t>Khartoum</t>
  </si>
  <si>
    <t>khas1268</t>
  </si>
  <si>
    <t>khas1273</t>
  </si>
  <si>
    <t>Khasian</t>
  </si>
  <si>
    <t>khas1275</t>
  </si>
  <si>
    <t>Khasi</t>
  </si>
  <si>
    <t>kha</t>
  </si>
  <si>
    <t>khas1270</t>
  </si>
  <si>
    <t>Khasarli</t>
  </si>
  <si>
    <t>khas1271</t>
  </si>
  <si>
    <t>Khasavyurt</t>
  </si>
  <si>
    <t>khas1272</t>
  </si>
  <si>
    <t>Khaskhong</t>
  </si>
  <si>
    <t>Khasi-Palaung</t>
  </si>
  <si>
    <t>khas1274</t>
  </si>
  <si>
    <t>Khasi-Pnar-Lyngngam</t>
  </si>
  <si>
    <t>Khasi-Pnar</t>
  </si>
  <si>
    <t>khat1247</t>
  </si>
  <si>
    <t>Khatalia</t>
  </si>
  <si>
    <t>khat1248</t>
  </si>
  <si>
    <t>Khatola</t>
  </si>
  <si>
    <t>khat1249</t>
  </si>
  <si>
    <t>Vadezev</t>
  </si>
  <si>
    <t>khat1250</t>
  </si>
  <si>
    <t>Khatyrka</t>
  </si>
  <si>
    <t>khav1238</t>
  </si>
  <si>
    <t>Hevaha</t>
  </si>
  <si>
    <t>khay1238</t>
  </si>
  <si>
    <t>west2858</t>
  </si>
  <si>
    <t>Khayo</t>
  </si>
  <si>
    <t>lko</t>
  </si>
  <si>
    <t>khee1238</t>
  </si>
  <si>
    <t>Khe</t>
  </si>
  <si>
    <t>kqg</t>
  </si>
  <si>
    <t>west2849</t>
  </si>
  <si>
    <t>Khehek</t>
  </si>
  <si>
    <t>tlx</t>
  </si>
  <si>
    <t>khel1238</t>
  </si>
  <si>
    <t>saka1283</t>
  </si>
  <si>
    <t>Khelma</t>
  </si>
  <si>
    <t>khen1241</t>
  </si>
  <si>
    <t>Khengkha</t>
  </si>
  <si>
    <t>xkf</t>
  </si>
  <si>
    <t>khen1242</t>
  </si>
  <si>
    <t>Khen L√†i</t>
  </si>
  <si>
    <t>kher1243</t>
  </si>
  <si>
    <t>Kherwara</t>
  </si>
  <si>
    <t>kher1245</t>
  </si>
  <si>
    <t>nort3151</t>
  </si>
  <si>
    <t>Kherwarian</t>
  </si>
  <si>
    <t>khes1241</t>
  </si>
  <si>
    <t>Khesang</t>
  </si>
  <si>
    <t>khes1242</t>
  </si>
  <si>
    <t>|Khess√°khoe</t>
  </si>
  <si>
    <t>khet1238</t>
  </si>
  <si>
    <t>Khetrani</t>
  </si>
  <si>
    <t>xhe</t>
  </si>
  <si>
    <t>khez1235</t>
  </si>
  <si>
    <t>Khezha Naga</t>
  </si>
  <si>
    <t>nkh</t>
  </si>
  <si>
    <t>khia1235</t>
  </si>
  <si>
    <t>Khiamniungic</t>
  </si>
  <si>
    <t>khia1236</t>
  </si>
  <si>
    <t>Khiamniungan Naga</t>
  </si>
  <si>
    <t>kix</t>
  </si>
  <si>
    <t>khia1237</t>
  </si>
  <si>
    <t>Khiamniungan Naga (Retired)</t>
  </si>
  <si>
    <t>nky</t>
  </si>
  <si>
    <t>khim1238</t>
  </si>
  <si>
    <t>Khimi</t>
  </si>
  <si>
    <t>khin1240</t>
  </si>
  <si>
    <t>Khinalugh</t>
  </si>
  <si>
    <t>kjj</t>
  </si>
  <si>
    <t>khir1237</t>
  </si>
  <si>
    <t>unun9890</t>
  </si>
  <si>
    <t>Khirwar</t>
  </si>
  <si>
    <t>kwx</t>
  </si>
  <si>
    <t>khis1238</t>
  </si>
  <si>
    <t>Khisa</t>
  </si>
  <si>
    <t>kqm</t>
  </si>
  <si>
    <t>khit1238</t>
  </si>
  <si>
    <t>Khithaulhu</t>
  </si>
  <si>
    <t>khlo1239</t>
  </si>
  <si>
    <t>Khlor</t>
  </si>
  <si>
    <t>llo</t>
  </si>
  <si>
    <t>khlu1235</t>
  </si>
  <si>
    <t>Khlula-Zokhuo</t>
  </si>
  <si>
    <t>khlu1236</t>
  </si>
  <si>
    <t>Khlula</t>
  </si>
  <si>
    <t>ykl</t>
  </si>
  <si>
    <t>Khmeric</t>
  </si>
  <si>
    <t>khmu1236</t>
  </si>
  <si>
    <t>Khmuic</t>
  </si>
  <si>
    <t>khmu1255</t>
  </si>
  <si>
    <t>Khmu'</t>
  </si>
  <si>
    <t>Khmu</t>
  </si>
  <si>
    <t>kjg</t>
  </si>
  <si>
    <t>khoa1239</t>
  </si>
  <si>
    <t>Khoamak</t>
  </si>
  <si>
    <t>Kho-Bwa</t>
  </si>
  <si>
    <t>khoc1238</t>
  </si>
  <si>
    <t>Khocharkhotin</t>
  </si>
  <si>
    <t>Khoe-Kwadi</t>
  </si>
  <si>
    <t>Khoe</t>
  </si>
  <si>
    <t>Khoekhoe</t>
  </si>
  <si>
    <t>khoi1249</t>
  </si>
  <si>
    <t>Khoy-Maragha</t>
  </si>
  <si>
    <t>khoi1250</t>
  </si>
  <si>
    <t>Kho'ini</t>
  </si>
  <si>
    <t>xkc</t>
  </si>
  <si>
    <t>khoi1251</t>
  </si>
  <si>
    <t>mari1415</t>
  </si>
  <si>
    <t>Khoibu</t>
  </si>
  <si>
    <t>nkb</t>
  </si>
  <si>
    <t>khoi1252</t>
  </si>
  <si>
    <t>Khoitam</t>
  </si>
  <si>
    <t>khoi1253</t>
  </si>
  <si>
    <t>Khoina</t>
  </si>
  <si>
    <t>khok1238</t>
  </si>
  <si>
    <t>stod1241</t>
  </si>
  <si>
    <t>Khoksar</t>
  </si>
  <si>
    <t>khol1238</t>
  </si>
  <si>
    <t>Kholifa</t>
  </si>
  <si>
    <t>khol1240</t>
  </si>
  <si>
    <t>Kholok</t>
  </si>
  <si>
    <t>ktc</t>
  </si>
  <si>
    <t>khol1241</t>
  </si>
  <si>
    <t>uncl1504</t>
  </si>
  <si>
    <t>Kholosi</t>
  </si>
  <si>
    <t>khom1239</t>
  </si>
  <si>
    <t>Khomakha</t>
  </si>
  <si>
    <t>peri1260</t>
  </si>
  <si>
    <t>Khomic</t>
  </si>
  <si>
    <t>khon1237</t>
  </si>
  <si>
    <t>Khongzai</t>
  </si>
  <si>
    <t>khon1246</t>
  </si>
  <si>
    <t>Khonj</t>
  </si>
  <si>
    <t>khon1247</t>
  </si>
  <si>
    <t>Khondi</t>
  </si>
  <si>
    <t>khon1248</t>
  </si>
  <si>
    <t>Khonoma</t>
  </si>
  <si>
    <t>khor1243</t>
  </si>
  <si>
    <t>Khorla</t>
  </si>
  <si>
    <t>khor1267</t>
  </si>
  <si>
    <t>Khorasani Kurmanji</t>
  </si>
  <si>
    <t>khor1268</t>
  </si>
  <si>
    <t>Khorramabadi</t>
  </si>
  <si>
    <t>khor1269</t>
  </si>
  <si>
    <t>Khorasani Turkish</t>
  </si>
  <si>
    <t>kmz</t>
  </si>
  <si>
    <t>khor1270</t>
  </si>
  <si>
    <t>Khori</t>
  </si>
  <si>
    <t>khor1272</t>
  </si>
  <si>
    <t>Khorat Thai</t>
  </si>
  <si>
    <t>khor1273</t>
  </si>
  <si>
    <t>Khor</t>
  </si>
  <si>
    <t>khor1274</t>
  </si>
  <si>
    <t>Khorasan Arabic</t>
  </si>
  <si>
    <t>khos1234</t>
  </si>
  <si>
    <t>Khoshuud</t>
  </si>
  <si>
    <t>khot1251</t>
  </si>
  <si>
    <t>saka1298</t>
  </si>
  <si>
    <t>Khotanese</t>
  </si>
  <si>
    <t>kho</t>
  </si>
  <si>
    <t>khot1252</t>
  </si>
  <si>
    <t>Khotan</t>
  </si>
  <si>
    <t>khot1253</t>
  </si>
  <si>
    <t>Khotogoit</t>
  </si>
  <si>
    <t>khot1254</t>
  </si>
  <si>
    <t>Khotang</t>
  </si>
  <si>
    <t>khot1255</t>
  </si>
  <si>
    <t>Khoton</t>
  </si>
  <si>
    <t>Khowar</t>
  </si>
  <si>
    <t>khow1243</t>
  </si>
  <si>
    <t>Khowd D√∂rw√∂d</t>
  </si>
  <si>
    <t>khro1239</t>
  </si>
  <si>
    <t>Khroong</t>
  </si>
  <si>
    <t>khua1243</t>
  </si>
  <si>
    <t>Khua</t>
  </si>
  <si>
    <t>xhv</t>
  </si>
  <si>
    <t>khua1244</t>
  </si>
  <si>
    <t>Khuai</t>
  </si>
  <si>
    <t>khud1234</t>
  </si>
  <si>
    <t>Khuduts</t>
  </si>
  <si>
    <t>khue1238</t>
  </si>
  <si>
    <t>Khuen</t>
  </si>
  <si>
    <t>khf</t>
  </si>
  <si>
    <t>khuf1238</t>
  </si>
  <si>
    <t>rosh1238</t>
  </si>
  <si>
    <t>Khufi</t>
  </si>
  <si>
    <t>khum1246</t>
  </si>
  <si>
    <t>sher1255</t>
  </si>
  <si>
    <t>Khumbu</t>
  </si>
  <si>
    <t>Khumi Chin</t>
  </si>
  <si>
    <t>cnk</t>
  </si>
  <si>
    <t>khum1249</t>
  </si>
  <si>
    <t>Khumi</t>
  </si>
  <si>
    <t>khum1250</t>
  </si>
  <si>
    <t>Khumi Awa Chin</t>
  </si>
  <si>
    <t>cka</t>
  </si>
  <si>
    <t>khun1255</t>
  </si>
  <si>
    <t>Khunsari</t>
  </si>
  <si>
    <t>kfm</t>
  </si>
  <si>
    <t>khun1256</t>
  </si>
  <si>
    <t>Khuni</t>
  </si>
  <si>
    <t>khun1258</t>
  </si>
  <si>
    <t>Khuni (Kumi Chin)</t>
  </si>
  <si>
    <t>khun1259</t>
  </si>
  <si>
    <t>sout2744</t>
  </si>
  <si>
    <t>Kh√ºn</t>
  </si>
  <si>
    <t>kkh</t>
  </si>
  <si>
    <t>LA MM TH</t>
  </si>
  <si>
    <t>khun1260</t>
  </si>
  <si>
    <t>Khungari</t>
  </si>
  <si>
    <t>khur1237</t>
  </si>
  <si>
    <t>Khuri</t>
  </si>
  <si>
    <t>khut1241</t>
  </si>
  <si>
    <t>Khutswe</t>
  </si>
  <si>
    <t>khut1242</t>
  </si>
  <si>
    <t>Khute</t>
  </si>
  <si>
    <t>Khwarshi-Inkhoqwari</t>
  </si>
  <si>
    <t>khv</t>
  </si>
  <si>
    <t>khwa1238</t>
  </si>
  <si>
    <t>sogd1248</t>
  </si>
  <si>
    <t>Khwarezmian</t>
  </si>
  <si>
    <t>xco</t>
  </si>
  <si>
    <t>khwe1238</t>
  </si>
  <si>
    <t>Khweymi</t>
  </si>
  <si>
    <t>khya1239</t>
  </si>
  <si>
    <t>Khyang</t>
  </si>
  <si>
    <t>khyn1238</t>
  </si>
  <si>
    <t>Khynrium</t>
  </si>
  <si>
    <t>kiaa1241</t>
  </si>
  <si>
    <t>Kia</t>
  </si>
  <si>
    <t>kiag1234</t>
  </si>
  <si>
    <t>Kiagai</t>
  </si>
  <si>
    <t>kian1236</t>
  </si>
  <si>
    <t>Kiantalaotse</t>
  </si>
  <si>
    <t>kiar1239</t>
  </si>
  <si>
    <t>noma1262</t>
  </si>
  <si>
    <t>Kiari</t>
  </si>
  <si>
    <t>kiau1234</t>
  </si>
  <si>
    <t>Kiautschou Pidgin German</t>
  </si>
  <si>
    <t>kiba1244</t>
  </si>
  <si>
    <t>Kibangha</t>
  </si>
  <si>
    <t>kiba1245</t>
  </si>
  <si>
    <t>Kiba</t>
  </si>
  <si>
    <t>kiba1246</t>
  </si>
  <si>
    <t>Kibar</t>
  </si>
  <si>
    <t>rung1257</t>
  </si>
  <si>
    <t>Kibet</t>
  </si>
  <si>
    <t>kie</t>
  </si>
  <si>
    <t>Kibiri</t>
  </si>
  <si>
    <t>prm</t>
  </si>
  <si>
    <t>kibu1236</t>
  </si>
  <si>
    <t>Kibushi-Kimaore</t>
  </si>
  <si>
    <t>kich1261</t>
  </si>
  <si>
    <t>Kichepo</t>
  </si>
  <si>
    <t>K'iche'</t>
  </si>
  <si>
    <t>kich1263</t>
  </si>
  <si>
    <t>K'iche', San Andr√©s</t>
  </si>
  <si>
    <t>qxi</t>
  </si>
  <si>
    <t>kich1264</t>
  </si>
  <si>
    <t>K'iche', Cun√©n</t>
  </si>
  <si>
    <t>cun</t>
  </si>
  <si>
    <t>kich1265</t>
  </si>
  <si>
    <t>K'iche', Eastern</t>
  </si>
  <si>
    <t>quu</t>
  </si>
  <si>
    <t>kich1266</t>
  </si>
  <si>
    <t>K'iche', West Central</t>
  </si>
  <si>
    <t>qut</t>
  </si>
  <si>
    <t>kich1267</t>
  </si>
  <si>
    <t>K'iche', Joyabaj</t>
  </si>
  <si>
    <t>quj</t>
  </si>
  <si>
    <t>kick1244</t>
  </si>
  <si>
    <t>Kickapoo</t>
  </si>
  <si>
    <t>kic</t>
  </si>
  <si>
    <t>kida1237</t>
  </si>
  <si>
    <t>Kidapawan Manobo</t>
  </si>
  <si>
    <t>kidd1235</t>
  </si>
  <si>
    <t>Kiddu</t>
  </si>
  <si>
    <t>kiem1238</t>
  </si>
  <si>
    <t>Kiembara</t>
  </si>
  <si>
    <t>kiga1238</t>
  </si>
  <si>
    <t>lega1249</t>
  </si>
  <si>
    <t>Kigala</t>
  </si>
  <si>
    <t>kigu1238</t>
  </si>
  <si>
    <t>Kigumu</t>
  </si>
  <si>
    <t>kigy1238</t>
  </si>
  <si>
    <t>Kigyoma</t>
  </si>
  <si>
    <t>kiha1240</t>
  </si>
  <si>
    <t>Ki|hazi</t>
  </si>
  <si>
    <t>kiha1242</t>
  </si>
  <si>
    <t>rwaa1238</t>
  </si>
  <si>
    <t>Kihai</t>
  </si>
  <si>
    <t>kija1238</t>
  </si>
  <si>
    <t>Kijang</t>
  </si>
  <si>
    <t>kije1234</t>
  </si>
  <si>
    <t>Kijee Aweer</t>
  </si>
  <si>
    <t>kika1239</t>
  </si>
  <si>
    <t>Kikai</t>
  </si>
  <si>
    <t>kzg</t>
  </si>
  <si>
    <t>kika1240</t>
  </si>
  <si>
    <t>swah1255</t>
  </si>
  <si>
    <t>KiKAR</t>
  </si>
  <si>
    <t>kong1296</t>
  </si>
  <si>
    <t>Kikongoic</t>
  </si>
  <si>
    <t>Kikuyu</t>
  </si>
  <si>
    <t>kik</t>
  </si>
  <si>
    <t>west2840</t>
  </si>
  <si>
    <t>Kikuyu-Embu</t>
  </si>
  <si>
    <t>kila1238</t>
  </si>
  <si>
    <t>Kila</t>
  </si>
  <si>
    <t>Kilba-South Margi</t>
  </si>
  <si>
    <t>kild1236</t>
  </si>
  <si>
    <t>peni1240</t>
  </si>
  <si>
    <t>Kildin Saami</t>
  </si>
  <si>
    <t>sjd</t>
  </si>
  <si>
    <t>kile1242</t>
  </si>
  <si>
    <t>male1289</t>
  </si>
  <si>
    <t>Kilenge</t>
  </si>
  <si>
    <t>kile1243</t>
  </si>
  <si>
    <t>Kilen</t>
  </si>
  <si>
    <t>Kilikien</t>
  </si>
  <si>
    <t>kili1263</t>
  </si>
  <si>
    <t>Kilia</t>
  </si>
  <si>
    <t>kili1264</t>
  </si>
  <si>
    <t>Kiliva</t>
  </si>
  <si>
    <t>kili1270</t>
  </si>
  <si>
    <t>Kilivilic</t>
  </si>
  <si>
    <t>kili1267</t>
  </si>
  <si>
    <t>kili1271</t>
  </si>
  <si>
    <t>Kilivila</t>
  </si>
  <si>
    <t>kij</t>
  </si>
  <si>
    <t>kili1268</t>
  </si>
  <si>
    <t>Kiliwa</t>
  </si>
  <si>
    <t>klb</t>
  </si>
  <si>
    <t>Kilimanjaro-Taita</t>
  </si>
  <si>
    <t>Kilivila-Misima</t>
  </si>
  <si>
    <t>Kilivila-Muyuw</t>
  </si>
  <si>
    <t>kili1272</t>
  </si>
  <si>
    <t>Kilii</t>
  </si>
  <si>
    <t>Kilmeri</t>
  </si>
  <si>
    <t>kih</t>
  </si>
  <si>
    <t>kima1244</t>
  </si>
  <si>
    <t>Kimaragang</t>
  </si>
  <si>
    <t>kqr</t>
  </si>
  <si>
    <t>kima1245</t>
  </si>
  <si>
    <t>kolo1268</t>
  </si>
  <si>
    <t>Kimaama-Riantana</t>
  </si>
  <si>
    <t>kima1246</t>
  </si>
  <si>
    <t>Kimaama</t>
  </si>
  <si>
    <t>kig</t>
  </si>
  <si>
    <t>Kim-Besme-Goundo</t>
  </si>
  <si>
    <t>kimb1241</t>
  </si>
  <si>
    <t>Kimbundu</t>
  </si>
  <si>
    <t>kmb</t>
  </si>
  <si>
    <t>kimb1242</t>
  </si>
  <si>
    <t>nyam1286</t>
  </si>
  <si>
    <t>Kimbu</t>
  </si>
  <si>
    <t>kiv</t>
  </si>
  <si>
    <t>kimd1235</t>
  </si>
  <si>
    <t>Kimda</t>
  </si>
  <si>
    <t>kimk1238</t>
  </si>
  <si>
    <t>Kimki</t>
  </si>
  <si>
    <t>sbt</t>
  </si>
  <si>
    <t>Kim Mun</t>
  </si>
  <si>
    <t>Kim</t>
  </si>
  <si>
    <t>kia</t>
  </si>
  <si>
    <t>Kimre</t>
  </si>
  <si>
    <t>kqp</t>
  </si>
  <si>
    <t>kimr1242</t>
  </si>
  <si>
    <t>Kimruwa</t>
  </si>
  <si>
    <t>kims1240</t>
  </si>
  <si>
    <t>Kimsin</t>
  </si>
  <si>
    <t>kimw1238</t>
  </si>
  <si>
    <t>pang1287</t>
  </si>
  <si>
    <t>Kimwela</t>
  </si>
  <si>
    <t>kina1249</t>
  </si>
  <si>
    <t>Kinakomba</t>
  </si>
  <si>
    <t>kina1255</t>
  </si>
  <si>
    <t>Kinaray-a</t>
  </si>
  <si>
    <t>krj</t>
  </si>
  <si>
    <t>kina1251</t>
  </si>
  <si>
    <t>kina1253</t>
  </si>
  <si>
    <t>Kinalakna</t>
  </si>
  <si>
    <t>kco</t>
  </si>
  <si>
    <t>kina1252</t>
  </si>
  <si>
    <t>Kinabalian</t>
  </si>
  <si>
    <t>cbw</t>
  </si>
  <si>
    <t>west2795</t>
  </si>
  <si>
    <t>Kinalakna-Kumukio</t>
  </si>
  <si>
    <t>Kinamiguin-Bukidnon</t>
  </si>
  <si>
    <t>Kinarayan</t>
  </si>
  <si>
    <t>kinb1238</t>
  </si>
  <si>
    <t>Kinbakka</t>
  </si>
  <si>
    <t>kind1236</t>
  </si>
  <si>
    <t>tira1254</t>
  </si>
  <si>
    <t>Kinderma</t>
  </si>
  <si>
    <t>kind1242</t>
  </si>
  <si>
    <t>Kindige</t>
  </si>
  <si>
    <t>king1257</t>
  </si>
  <si>
    <t>King's Pass Hungarian</t>
  </si>
  <si>
    <t>king1258</t>
  </si>
  <si>
    <t>Kinga-Magoma</t>
  </si>
  <si>
    <t>king1259</t>
  </si>
  <si>
    <t>Bering Strait Inupiatun</t>
  </si>
  <si>
    <t>king1260</t>
  </si>
  <si>
    <t>Kings River</t>
  </si>
  <si>
    <t>kini1237</t>
  </si>
  <si>
    <t>Kininanggunan</t>
  </si>
  <si>
    <t>Kinki</t>
  </si>
  <si>
    <t>kinn1249</t>
  </si>
  <si>
    <t>Kinnauri</t>
  </si>
  <si>
    <t>kfk</t>
  </si>
  <si>
    <t>west2868</t>
  </si>
  <si>
    <t>Kinnauric</t>
  </si>
  <si>
    <t>kint1239</t>
  </si>
  <si>
    <t>Kintaq</t>
  </si>
  <si>
    <t>knq</t>
  </si>
  <si>
    <t>kinu1239</t>
  </si>
  <si>
    <t>Kinuku</t>
  </si>
  <si>
    <t>kkd</t>
  </si>
  <si>
    <t>kiny1242</t>
  </si>
  <si>
    <t>Kinyabanga</t>
  </si>
  <si>
    <t>kiny1243</t>
  </si>
  <si>
    <t>Kinyamunsange</t>
  </si>
  <si>
    <t>Kinyarwanda</t>
  </si>
  <si>
    <t>BI CD RW TZ UG</t>
  </si>
  <si>
    <t>west2847</t>
  </si>
  <si>
    <t>Kioko</t>
  </si>
  <si>
    <t>ues</t>
  </si>
  <si>
    <t>kion1241</t>
  </si>
  <si>
    <t>Kiong-Korop</t>
  </si>
  <si>
    <t>kion1242</t>
  </si>
  <si>
    <t>Kiong</t>
  </si>
  <si>
    <t>kkm</t>
  </si>
  <si>
    <t>kior1239</t>
  </si>
  <si>
    <t>Kiorr</t>
  </si>
  <si>
    <t>xko</t>
  </si>
  <si>
    <t>LA MM</t>
  </si>
  <si>
    <t>Kiowa Apache</t>
  </si>
  <si>
    <t>Kiowa-Tanoan</t>
  </si>
  <si>
    <t>Kipchak</t>
  </si>
  <si>
    <t>kipe1235</t>
  </si>
  <si>
    <t>Kipea</t>
  </si>
  <si>
    <t>kipg1238</t>
  </si>
  <si>
    <t>Kipgen</t>
  </si>
  <si>
    <t>kipu1237</t>
  </si>
  <si>
    <t>Kiput</t>
  </si>
  <si>
    <t>kyi</t>
  </si>
  <si>
    <t>kira1246</t>
  </si>
  <si>
    <t>Kirari</t>
  </si>
  <si>
    <t>kira1248</t>
  </si>
  <si>
    <t>Kiramang</t>
  </si>
  <si>
    <t>kira1252</t>
  </si>
  <si>
    <t>Kirawa</t>
  </si>
  <si>
    <t>Kiranti</t>
  </si>
  <si>
    <t>kirb1236</t>
  </si>
  <si>
    <t>kirm1251</t>
  </si>
  <si>
    <t>Kir-Balar</t>
  </si>
  <si>
    <t>kkr</t>
  </si>
  <si>
    <t>kire1239</t>
  </si>
  <si>
    <t>lowe1439</t>
  </si>
  <si>
    <t>Ruboni</t>
  </si>
  <si>
    <t>kire1240</t>
  </si>
  <si>
    <t>Kire</t>
  </si>
  <si>
    <t>geb</t>
  </si>
  <si>
    <t>Kirfi-Bele</t>
  </si>
  <si>
    <t>Kirghiz</t>
  </si>
  <si>
    <t>AF CN KG KZ TJ UZ</t>
  </si>
  <si>
    <t>kiri1253</t>
  </si>
  <si>
    <t>Kiristav</t>
  </si>
  <si>
    <t>kiri1254</t>
  </si>
  <si>
    <t>Kirike</t>
  </si>
  <si>
    <t>okr</t>
  </si>
  <si>
    <t>kiri1255</t>
  </si>
  <si>
    <t>Kiriyenteken</t>
  </si>
  <si>
    <t>Kirikiri</t>
  </si>
  <si>
    <t>kiy</t>
  </si>
  <si>
    <t>kirk1236</t>
  </si>
  <si>
    <t>Kirkpong</t>
  </si>
  <si>
    <t>kirk1242</t>
  </si>
  <si>
    <t>Kirkuk</t>
  </si>
  <si>
    <t>kirm1248</t>
  </si>
  <si>
    <t>Kirmanjki</t>
  </si>
  <si>
    <t>kiu</t>
  </si>
  <si>
    <t>kirm1249</t>
  </si>
  <si>
    <t>tsak1249</t>
  </si>
  <si>
    <t>Kirmico-Lek</t>
  </si>
  <si>
    <t>Kirma-Tyurama</t>
  </si>
  <si>
    <t>Kir-Mangas</t>
  </si>
  <si>
    <t>kiro1241</t>
  </si>
  <si>
    <t>Kiroba</t>
  </si>
  <si>
    <t>kiry1234</t>
  </si>
  <si>
    <t>Kirya-Konzel</t>
  </si>
  <si>
    <t>fkk</t>
  </si>
  <si>
    <t>kisa1260</t>
  </si>
  <si>
    <t>Kisan</t>
  </si>
  <si>
    <t>kisa1261</t>
  </si>
  <si>
    <t>kuru1302</t>
  </si>
  <si>
    <t>Kisan (Dravidian)</t>
  </si>
  <si>
    <t>xis</t>
  </si>
  <si>
    <t>kisa1262</t>
  </si>
  <si>
    <t>mwan1247</t>
  </si>
  <si>
    <t>Kisanga</t>
  </si>
  <si>
    <t>kisa1263</t>
  </si>
  <si>
    <t>Kisa</t>
  </si>
  <si>
    <t>lks</t>
  </si>
  <si>
    <t>kisa1264</t>
  </si>
  <si>
    <t>Kisankasa</t>
  </si>
  <si>
    <t>kqh</t>
  </si>
  <si>
    <t>kisa1265</t>
  </si>
  <si>
    <t>luan1261</t>
  </si>
  <si>
    <t>Kisaric</t>
  </si>
  <si>
    <t>kisa1266</t>
  </si>
  <si>
    <t>Kisar</t>
  </si>
  <si>
    <t>kje</t>
  </si>
  <si>
    <t>kisa1267</t>
  </si>
  <si>
    <t>Kisambaeri</t>
  </si>
  <si>
    <t>kise1238</t>
  </si>
  <si>
    <t>Kisede</t>
  </si>
  <si>
    <t>kish1245</t>
  </si>
  <si>
    <t>Kishtwari</t>
  </si>
  <si>
    <t>kish1246</t>
  </si>
  <si>
    <t>Kishamba</t>
  </si>
  <si>
    <t>kisi1243</t>
  </si>
  <si>
    <t>kisi1244</t>
  </si>
  <si>
    <t>Kisi</t>
  </si>
  <si>
    <t>kiz</t>
  </si>
  <si>
    <t>Kisi-Pangwa</t>
  </si>
  <si>
    <t>kiso1238</t>
  </si>
  <si>
    <t>Kisonko</t>
  </si>
  <si>
    <t>kiss1245</t>
  </si>
  <si>
    <t>Kissi</t>
  </si>
  <si>
    <t>kiss1246</t>
  </si>
  <si>
    <t>kisw1234</t>
  </si>
  <si>
    <t>Kis</t>
  </si>
  <si>
    <t>kis</t>
  </si>
  <si>
    <t>Kistane</t>
  </si>
  <si>
    <t>gru</t>
  </si>
  <si>
    <t>Kis-Wogeo</t>
  </si>
  <si>
    <t>kita1247</t>
  </si>
  <si>
    <t>unun9946</t>
  </si>
  <si>
    <t>Kitan</t>
  </si>
  <si>
    <t>zkt</t>
  </si>
  <si>
    <t>west2499</t>
  </si>
  <si>
    <t>Kita-Kagoro</t>
  </si>
  <si>
    <t>Kita Maninkakan</t>
  </si>
  <si>
    <t>mwk</t>
  </si>
  <si>
    <t>kita1250</t>
  </si>
  <si>
    <t>Kitava</t>
  </si>
  <si>
    <t>kita1251</t>
  </si>
  <si>
    <t>Kitaky≈´sh≈´-ben</t>
  </si>
  <si>
    <t>kite1237</t>
  </si>
  <si>
    <t>Kitemoka</t>
  </si>
  <si>
    <t>Kitemoka-Tapakura</t>
  </si>
  <si>
    <t>kiti1240</t>
  </si>
  <si>
    <t>Kiti</t>
  </si>
  <si>
    <t>kiti1241</t>
  </si>
  <si>
    <t>Kitimat</t>
  </si>
  <si>
    <t>kitj1240</t>
  </si>
  <si>
    <t>Kitja</t>
  </si>
  <si>
    <t>gia</t>
  </si>
  <si>
    <t>kits1249</t>
  </si>
  <si>
    <t>pawn1252</t>
  </si>
  <si>
    <t>Kitsai</t>
  </si>
  <si>
    <t>kii</t>
  </si>
  <si>
    <t>kitu1245</t>
  </si>
  <si>
    <t>koon1247</t>
  </si>
  <si>
    <t>Kituba (Congo)</t>
  </si>
  <si>
    <t>mkw</t>
  </si>
  <si>
    <t>Kituba (Democratic Republic of Congo)</t>
  </si>
  <si>
    <t>ktu</t>
  </si>
  <si>
    <t>kitu1247</t>
  </si>
  <si>
    <t>Kituhwa</t>
  </si>
  <si>
    <t>kiun1241</t>
  </si>
  <si>
    <t>Kiunthali</t>
  </si>
  <si>
    <t>kiun1242</t>
  </si>
  <si>
    <t>Kiundu</t>
  </si>
  <si>
    <t>kiur1238</t>
  </si>
  <si>
    <t>Kiuri</t>
  </si>
  <si>
    <t>kivu1238</t>
  </si>
  <si>
    <t>Kivu Swahili</t>
  </si>
  <si>
    <t>Kivu</t>
  </si>
  <si>
    <t>Kiwaian</t>
  </si>
  <si>
    <t>kiwa1252</t>
  </si>
  <si>
    <t>Kiwangona</t>
  </si>
  <si>
    <t>kiya1238</t>
  </si>
  <si>
    <t>Kiya</t>
  </si>
  <si>
    <t>kiza1238</t>
  </si>
  <si>
    <t>sang1321</t>
  </si>
  <si>
    <t>Kizare</t>
  </si>
  <si>
    <t>kizi1242</t>
  </si>
  <si>
    <t>Kiziere</t>
  </si>
  <si>
    <t>kizo1238</t>
  </si>
  <si>
    <t>Kizolo</t>
  </si>
  <si>
    <t>kjac1234</t>
  </si>
  <si>
    <t>russ1269</t>
  </si>
  <si>
    <t>Chinese Pidgin Russian</t>
  </si>
  <si>
    <t>kjak1239</t>
  </si>
  <si>
    <t>oroc1248</t>
  </si>
  <si>
    <t>Kjakela</t>
  </si>
  <si>
    <t>klaa1238</t>
  </si>
  <si>
    <t>west2354</t>
  </si>
  <si>
    <t>Klaaifrysk</t>
  </si>
  <si>
    <t>klad1234</t>
  </si>
  <si>
    <t>Kla-Dan</t>
  </si>
  <si>
    <t>lda</t>
  </si>
  <si>
    <t>klam1253</t>
  </si>
  <si>
    <t>Klamaasise</t>
  </si>
  <si>
    <t>klam1254</t>
  </si>
  <si>
    <t>Klamath-Modoc</t>
  </si>
  <si>
    <t>kla</t>
  </si>
  <si>
    <t>klan1242</t>
  </si>
  <si>
    <t>Klangklang</t>
  </si>
  <si>
    <t>klan1243</t>
  </si>
  <si>
    <t>Klan</t>
  </si>
  <si>
    <t>klao1242</t>
  </si>
  <si>
    <t>Klao-Tajuasohn</t>
  </si>
  <si>
    <t>Klao</t>
  </si>
  <si>
    <t>klu</t>
  </si>
  <si>
    <t>klat1237</t>
  </si>
  <si>
    <t>Klatsop</t>
  </si>
  <si>
    <t>klee1238</t>
  </si>
  <si>
    <t>ngam1269</t>
  </si>
  <si>
    <t>Kle</t>
  </si>
  <si>
    <t>klen1239</t>
  </si>
  <si>
    <t>Kle Noehm√µ</t>
  </si>
  <si>
    <t>klep1238</t>
  </si>
  <si>
    <t>Klepo</t>
  </si>
  <si>
    <t>klev1234</t>
  </si>
  <si>
    <t>nord1242</t>
  </si>
  <si>
    <t>Kleverl√§ndisch</t>
  </si>
  <si>
    <t>klia1235</t>
  </si>
  <si>
    <t>Klias River Kadazan</t>
  </si>
  <si>
    <t>kqt</t>
  </si>
  <si>
    <t>klik1240</t>
  </si>
  <si>
    <t>saha1239</t>
  </si>
  <si>
    <t>yaki1237</t>
  </si>
  <si>
    <t>Klikitat</t>
  </si>
  <si>
    <t>klin1234</t>
  </si>
  <si>
    <t>Klingon</t>
  </si>
  <si>
    <t>tlh</t>
  </si>
  <si>
    <t>klis1237</t>
  </si>
  <si>
    <t>Klishatu</t>
  </si>
  <si>
    <t>kllu1238</t>
  </si>
  <si>
    <t>Kullui</t>
  </si>
  <si>
    <t>west2787</t>
  </si>
  <si>
    <t>Klon-Kafoa</t>
  </si>
  <si>
    <t>koal1240</t>
  </si>
  <si>
    <t>Koalib-Rere</t>
  </si>
  <si>
    <t>kib</t>
  </si>
  <si>
    <t>koas1236</t>
  </si>
  <si>
    <t>Koasati</t>
  </si>
  <si>
    <t>cku</t>
  </si>
  <si>
    <t>koba1239</t>
  </si>
  <si>
    <t>Ko Bashai</t>
  </si>
  <si>
    <t>koba1240</t>
  </si>
  <si>
    <t>Koba</t>
  </si>
  <si>
    <t>kpd</t>
  </si>
  <si>
    <t>kobe1242</t>
  </si>
  <si>
    <t>Kobe</t>
  </si>
  <si>
    <t>kobe1243</t>
  </si>
  <si>
    <t>Kobe (Indonesia)</t>
  </si>
  <si>
    <t>kobe1244</t>
  </si>
  <si>
    <t>Kobe (Japonic)</t>
  </si>
  <si>
    <t>Buy</t>
  </si>
  <si>
    <t>kobi1241</t>
  </si>
  <si>
    <t>Kobiana</t>
  </si>
  <si>
    <t>kcj</t>
  </si>
  <si>
    <t>kobi1242</t>
  </si>
  <si>
    <t>lian1255</t>
  </si>
  <si>
    <t>Kobi</t>
  </si>
  <si>
    <t>kobo1247</t>
  </si>
  <si>
    <t>Kobola</t>
  </si>
  <si>
    <t>kobo1248</t>
  </si>
  <si>
    <t>omos1240</t>
  </si>
  <si>
    <t>Kobol</t>
  </si>
  <si>
    <t>kgu</t>
  </si>
  <si>
    <t>kobo1249</t>
  </si>
  <si>
    <t>Kobon</t>
  </si>
  <si>
    <t>kpw</t>
  </si>
  <si>
    <t>kobo1254</t>
  </si>
  <si>
    <t>Kobotachi</t>
  </si>
  <si>
    <t>kobu1239</t>
  </si>
  <si>
    <t>mali1289</t>
  </si>
  <si>
    <t>Kobuk River Inupiatun</t>
  </si>
  <si>
    <t>Kochila Tharu</t>
  </si>
  <si>
    <t>thq</t>
  </si>
  <si>
    <t>koch1248</t>
  </si>
  <si>
    <t>nort2658</t>
  </si>
  <si>
    <t>Koch (Northern Bengali)</t>
  </si>
  <si>
    <t>Kochic</t>
  </si>
  <si>
    <t>Koch</t>
  </si>
  <si>
    <t>kdq</t>
  </si>
  <si>
    <t>koch1252</t>
  </si>
  <si>
    <t>Kochariya</t>
  </si>
  <si>
    <t>Kochariya-East Danuwar</t>
  </si>
  <si>
    <t>dhw</t>
  </si>
  <si>
    <t>koda1236</t>
  </si>
  <si>
    <t>Koda</t>
  </si>
  <si>
    <t>cdz</t>
  </si>
  <si>
    <t>koda1254</t>
  </si>
  <si>
    <t>koda1256</t>
  </si>
  <si>
    <t>Kodaku</t>
  </si>
  <si>
    <t>ksz</t>
  </si>
  <si>
    <t>koda1255</t>
  </si>
  <si>
    <t>tami1297</t>
  </si>
  <si>
    <t>Kodava</t>
  </si>
  <si>
    <t>kfa</t>
  </si>
  <si>
    <t>Kodaku-Korwa</t>
  </si>
  <si>
    <t>kode1237</t>
  </si>
  <si>
    <t>west2567</t>
  </si>
  <si>
    <t>Kodeoha</t>
  </si>
  <si>
    <t>vko</t>
  </si>
  <si>
    <t>kodi1246</t>
  </si>
  <si>
    <t>unun9909</t>
  </si>
  <si>
    <t>Kodia</t>
  </si>
  <si>
    <t>kwp</t>
  </si>
  <si>
    <t>kodi1247</t>
  </si>
  <si>
    <t>Kodi-Gaura</t>
  </si>
  <si>
    <t>kod</t>
  </si>
  <si>
    <t>kodi1248</t>
  </si>
  <si>
    <t>Kodi Bokol</t>
  </si>
  <si>
    <t>kodi1249</t>
  </si>
  <si>
    <t>Kodi Bangedo</t>
  </si>
  <si>
    <t>kodo1238</t>
  </si>
  <si>
    <t>Kodoo</t>
  </si>
  <si>
    <t>kodr1238</t>
  </si>
  <si>
    <t>Kodrao</t>
  </si>
  <si>
    <t>kodu1239</t>
  </si>
  <si>
    <t>Kodu</t>
  </si>
  <si>
    <t>koen1239</t>
  </si>
  <si>
    <t>tali1264</t>
  </si>
  <si>
    <t>Koenoem</t>
  </si>
  <si>
    <t>kcs</t>
  </si>
  <si>
    <t>kofa1236</t>
  </si>
  <si>
    <t>Kofa</t>
  </si>
  <si>
    <t>kso</t>
  </si>
  <si>
    <t>kofe1239</t>
  </si>
  <si>
    <t>saur1250</t>
  </si>
  <si>
    <t>Kofei</t>
  </si>
  <si>
    <t>kpi</t>
  </si>
  <si>
    <t>koff1238</t>
  </si>
  <si>
    <t>Koffa (Mfumte)</t>
  </si>
  <si>
    <t>koff1242</t>
  </si>
  <si>
    <t>mogu1251</t>
  </si>
  <si>
    <t>Koffa</t>
  </si>
  <si>
    <t>Pan</t>
  </si>
  <si>
    <t>kwl</t>
  </si>
  <si>
    <t>Kofyar-Mushere-Chip</t>
  </si>
  <si>
    <t>kogu1234</t>
  </si>
  <si>
    <t>Koguryo</t>
  </si>
  <si>
    <t>zkg</t>
  </si>
  <si>
    <t>koha1244</t>
  </si>
  <si>
    <t>Kohat</t>
  </si>
  <si>
    <t>koha1245</t>
  </si>
  <si>
    <t>Kohat Hindko</t>
  </si>
  <si>
    <t>koha1246</t>
  </si>
  <si>
    <t>Kohama</t>
  </si>
  <si>
    <t>kohg1238</t>
  </si>
  <si>
    <t>Kohgiluyeh</t>
  </si>
  <si>
    <t>kohi1247</t>
  </si>
  <si>
    <t>Kohistanic Shina</t>
  </si>
  <si>
    <t>Kohistani Shina</t>
  </si>
  <si>
    <t>plk</t>
  </si>
  <si>
    <t>kohi1249</t>
  </si>
  <si>
    <t>Kohima</t>
  </si>
  <si>
    <t>kohi1250</t>
  </si>
  <si>
    <t>nort2891</t>
  </si>
  <si>
    <t>Kohin</t>
  </si>
  <si>
    <t>kkx</t>
  </si>
  <si>
    <t>Kohistani</t>
  </si>
  <si>
    <t>kohn1238</t>
  </si>
  <si>
    <t>Kohnadeh</t>
  </si>
  <si>
    <t>koho1243</t>
  </si>
  <si>
    <t>sout2690</t>
  </si>
  <si>
    <t>Koho-Maa</t>
  </si>
  <si>
    <t>Koho</t>
  </si>
  <si>
    <t>kpm</t>
  </si>
  <si>
    <t>koho1245</t>
  </si>
  <si>
    <t>Kohoroxitari</t>
  </si>
  <si>
    <t>kob</t>
  </si>
  <si>
    <t>ubag1244</t>
  </si>
  <si>
    <t>Kohumonoic</t>
  </si>
  <si>
    <t>kohu1244</t>
  </si>
  <si>
    <t>Kohumono</t>
  </si>
  <si>
    <t>bcs</t>
  </si>
  <si>
    <t>Koiarian</t>
  </si>
  <si>
    <t>Koiaric</t>
  </si>
  <si>
    <t>koia1262</t>
  </si>
  <si>
    <t>koro1313</t>
  </si>
  <si>
    <t>Koianu</t>
  </si>
  <si>
    <t>Koi</t>
  </si>
  <si>
    <t>kkt</t>
  </si>
  <si>
    <t>Koineic Greek</t>
  </si>
  <si>
    <t>koir1240</t>
  </si>
  <si>
    <t>Koireng</t>
  </si>
  <si>
    <t>nkd</t>
  </si>
  <si>
    <t>Koita-Koiari</t>
  </si>
  <si>
    <t>Koitabu</t>
  </si>
  <si>
    <t>kqi</t>
  </si>
  <si>
    <t>koiw1243</t>
  </si>
  <si>
    <t>Koiwat</t>
  </si>
  <si>
    <t>kxt</t>
  </si>
  <si>
    <t>kojo1234</t>
  </si>
  <si>
    <t>Kojo Rojo</t>
  </si>
  <si>
    <t>koka1237</t>
  </si>
  <si>
    <t>shan1277</t>
  </si>
  <si>
    <t>Kokant Shan</t>
  </si>
  <si>
    <t>koka1244</t>
  </si>
  <si>
    <t>Kokata</t>
  </si>
  <si>
    <t>ktd</t>
  </si>
  <si>
    <t>tipp1238</t>
  </si>
  <si>
    <t>Kok Borok</t>
  </si>
  <si>
    <t>trp</t>
  </si>
  <si>
    <t>kokc1239</t>
  </si>
  <si>
    <t>ugon1239</t>
  </si>
  <si>
    <t>Kok Chiang</t>
  </si>
  <si>
    <t>koke1240</t>
  </si>
  <si>
    <t>Koke</t>
  </si>
  <si>
    <t>kou</t>
  </si>
  <si>
    <t>koke1241</t>
  </si>
  <si>
    <t>mand1473</t>
  </si>
  <si>
    <t>Kokenop Mandobo</t>
  </si>
  <si>
    <t>koki1243</t>
  </si>
  <si>
    <t>Kokila</t>
  </si>
  <si>
    <t>koki1244</t>
  </si>
  <si>
    <t>Koki</t>
  </si>
  <si>
    <t>kokn1236</t>
  </si>
  <si>
    <t>norm1247</t>
  </si>
  <si>
    <t>Kok-Nar</t>
  </si>
  <si>
    <t>gko</t>
  </si>
  <si>
    <t>Kokoda</t>
  </si>
  <si>
    <t>xod</t>
  </si>
  <si>
    <t>koko1267</t>
  </si>
  <si>
    <t>Kokola</t>
  </si>
  <si>
    <t>kzn</t>
  </si>
  <si>
    <t>MW MZ</t>
  </si>
  <si>
    <t>koko1268</t>
  </si>
  <si>
    <t>Kokopo</t>
  </si>
  <si>
    <t>koko1269</t>
  </si>
  <si>
    <t>Kokota</t>
  </si>
  <si>
    <t>kkk</t>
  </si>
  <si>
    <t>koko1270</t>
  </si>
  <si>
    <t>Kokoroton Murut</t>
  </si>
  <si>
    <t>Kokon</t>
  </si>
  <si>
    <t>koko1272</t>
  </si>
  <si>
    <t>Koko Dhawa</t>
  </si>
  <si>
    <t>koko1273</t>
  </si>
  <si>
    <t>Koko Babangk</t>
  </si>
  <si>
    <t>okg</t>
  </si>
  <si>
    <t>kola1242</t>
  </si>
  <si>
    <t>Kolami-Naiki</t>
  </si>
  <si>
    <t>kola1284</t>
  </si>
  <si>
    <t>Kolai</t>
  </si>
  <si>
    <t>kola1285</t>
  </si>
  <si>
    <t>kola1292</t>
  </si>
  <si>
    <t>Kola</t>
  </si>
  <si>
    <t>kvv</t>
  </si>
  <si>
    <t>kola1286</t>
  </si>
  <si>
    <t>East Alor</t>
  </si>
  <si>
    <t>kola1287</t>
  </si>
  <si>
    <t>wers1238</t>
  </si>
  <si>
    <t>Kolana</t>
  </si>
  <si>
    <t>kola1291</t>
  </si>
  <si>
    <t>maza1304</t>
  </si>
  <si>
    <t>Kola (Mazagway)</t>
  </si>
  <si>
    <t>ujir1238</t>
  </si>
  <si>
    <t>Kola-Kompane</t>
  </si>
  <si>
    <t>kolb1240</t>
  </si>
  <si>
    <t>leko1246</t>
  </si>
  <si>
    <t>Kolbila</t>
  </si>
  <si>
    <t>klc</t>
  </si>
  <si>
    <t>kolb1241</t>
  </si>
  <si>
    <t>sant1457</t>
  </si>
  <si>
    <t>Kol (Bangladesh)</t>
  </si>
  <si>
    <t>ekl</t>
  </si>
  <si>
    <t>Kol (Cameroon)</t>
  </si>
  <si>
    <t>biw</t>
  </si>
  <si>
    <t>kold1235</t>
  </si>
  <si>
    <t>Koldrong</t>
  </si>
  <si>
    <t>kole1238</t>
  </si>
  <si>
    <t>Kolepa</t>
  </si>
  <si>
    <t>Kole-Isubu</t>
  </si>
  <si>
    <t>kolh1240</t>
  </si>
  <si>
    <t>komi1270</t>
  </si>
  <si>
    <t>Kolhreng</t>
  </si>
  <si>
    <t>koli1251</t>
  </si>
  <si>
    <t>Koli</t>
  </si>
  <si>
    <t>koli1252</t>
  </si>
  <si>
    <t>Koli (Konkani)</t>
  </si>
  <si>
    <t>koli1253</t>
  </si>
  <si>
    <t>west2811</t>
  </si>
  <si>
    <t>Kolibugan Subanon</t>
  </si>
  <si>
    <t>skn</t>
  </si>
  <si>
    <t>kolk1234</t>
  </si>
  <si>
    <t>Kolkata Indian Sign Language</t>
  </si>
  <si>
    <t>wbs</t>
  </si>
  <si>
    <t>koll1253</t>
  </si>
  <si>
    <t>Kol (Vietnam)</t>
  </si>
  <si>
    <t>koll1254</t>
  </si>
  <si>
    <t>kolp1236</t>
  </si>
  <si>
    <t>Kol</t>
  </si>
  <si>
    <t>koln1238</t>
  </si>
  <si>
    <t>Kol North</t>
  </si>
  <si>
    <t>kolo1262</t>
  </si>
  <si>
    <t>Kolokuma-Opokuma</t>
  </si>
  <si>
    <t>kolo1263</t>
  </si>
  <si>
    <t>Kolop</t>
  </si>
  <si>
    <t>kolo1264</t>
  </si>
  <si>
    <t>Koloo</t>
  </si>
  <si>
    <t>kolo1265</t>
  </si>
  <si>
    <t>Kolo</t>
  </si>
  <si>
    <t>kolo1266</t>
  </si>
  <si>
    <t>Kolo (Indonesia)</t>
  </si>
  <si>
    <t>kolo1267</t>
  </si>
  <si>
    <t>Kolom</t>
  </si>
  <si>
    <t>klm</t>
  </si>
  <si>
    <t>Kolopom</t>
  </si>
  <si>
    <t>Kol (Papua New Guinea)</t>
  </si>
  <si>
    <t>kol</t>
  </si>
  <si>
    <t>ripu1236</t>
  </si>
  <si>
    <t>K√∂lsch</t>
  </si>
  <si>
    <t>ksh</t>
  </si>
  <si>
    <t>kols1242</t>
  </si>
  <si>
    <t>Kol South</t>
  </si>
  <si>
    <t>kolu1244</t>
  </si>
  <si>
    <t>Koluama</t>
  </si>
  <si>
    <t>kolu1245</t>
  </si>
  <si>
    <t>Koluwawa</t>
  </si>
  <si>
    <t>klx</t>
  </si>
  <si>
    <t>kolu1246</t>
  </si>
  <si>
    <t>Kolur</t>
  </si>
  <si>
    <t>kolu1247</t>
  </si>
  <si>
    <t>Kolum So Dogon</t>
  </si>
  <si>
    <t>dkl</t>
  </si>
  <si>
    <t>koly1245</t>
  </si>
  <si>
    <t>Kolyai</t>
  </si>
  <si>
    <t>koly1246</t>
  </si>
  <si>
    <t>Kolyma-Omolon</t>
  </si>
  <si>
    <t>Kolymic</t>
  </si>
  <si>
    <t>koma1255</t>
  </si>
  <si>
    <t>Koma of Daga</t>
  </si>
  <si>
    <t>Koman</t>
  </si>
  <si>
    <t>koma1265</t>
  </si>
  <si>
    <t>Koma of Begi</t>
  </si>
  <si>
    <t>vere1250</t>
  </si>
  <si>
    <t>Koma Ndera</t>
  </si>
  <si>
    <t>kmy</t>
  </si>
  <si>
    <t>koma1267</t>
  </si>
  <si>
    <t>Koma Damti</t>
  </si>
  <si>
    <t>vere1249</t>
  </si>
  <si>
    <t>Koma Alantika</t>
  </si>
  <si>
    <t>koma1269</t>
  </si>
  <si>
    <t>Koma</t>
  </si>
  <si>
    <t>koma1270</t>
  </si>
  <si>
    <t>Komasma</t>
  </si>
  <si>
    <t>komb1268</t>
  </si>
  <si>
    <t>Kombo</t>
  </si>
  <si>
    <t>komb1269</t>
  </si>
  <si>
    <t>Kombe</t>
  </si>
  <si>
    <t>komb1271</t>
  </si>
  <si>
    <t>Kombio-Yambes</t>
  </si>
  <si>
    <t>komb1272</t>
  </si>
  <si>
    <t>Kombio</t>
  </si>
  <si>
    <t>xbi</t>
  </si>
  <si>
    <t>sele1251</t>
  </si>
  <si>
    <t>Komba</t>
  </si>
  <si>
    <t>kpf</t>
  </si>
  <si>
    <t>ndei1235</t>
  </si>
  <si>
    <t>Kombai</t>
  </si>
  <si>
    <t>tyn</t>
  </si>
  <si>
    <t>Kombioic</t>
  </si>
  <si>
    <t>Kombio-Arapesh-Urat</t>
  </si>
  <si>
    <t>komc1235</t>
  </si>
  <si>
    <t>Kom (Cameroon)</t>
  </si>
  <si>
    <t>bkm</t>
  </si>
  <si>
    <t>kome1238</t>
  </si>
  <si>
    <t>lamp1241</t>
  </si>
  <si>
    <t>Komering</t>
  </si>
  <si>
    <t>kge</t>
  </si>
  <si>
    <t>perm1256</t>
  </si>
  <si>
    <t>Komi</t>
  </si>
  <si>
    <t>komi1268</t>
  </si>
  <si>
    <t>Komi-Zyrian</t>
  </si>
  <si>
    <t>kpv</t>
  </si>
  <si>
    <t>Komi-Permyak</t>
  </si>
  <si>
    <t>koi</t>
  </si>
  <si>
    <t>Kom (India)</t>
  </si>
  <si>
    <t>kmm</t>
  </si>
  <si>
    <t>komi1271</t>
  </si>
  <si>
    <t>Kominimung</t>
  </si>
  <si>
    <t>xoi</t>
  </si>
  <si>
    <t>komi1275</t>
  </si>
  <si>
    <t>Komi (Chad)</t>
  </si>
  <si>
    <t>komi1276</t>
  </si>
  <si>
    <t>Komisenian</t>
  </si>
  <si>
    <t>komi1277</t>
  </si>
  <si>
    <t>Komi-Yazva</t>
  </si>
  <si>
    <t>komk1238</t>
  </si>
  <si>
    <t>Komkar</t>
  </si>
  <si>
    <t>komm1247</t>
  </si>
  <si>
    <t>Kom</t>
  </si>
  <si>
    <t>komn1238</t>
  </si>
  <si>
    <t>K√≥mnjo</t>
  </si>
  <si>
    <t>twam1235</t>
  </si>
  <si>
    <t>Komo (Sudan)</t>
  </si>
  <si>
    <t>xom</t>
  </si>
  <si>
    <t>komo1259</t>
  </si>
  <si>
    <t>Komo</t>
  </si>
  <si>
    <t>komo1260</t>
  </si>
  <si>
    <t>Komo (Democratic Republic of Congo)</t>
  </si>
  <si>
    <t>kmw</t>
  </si>
  <si>
    <t>komo1261</t>
  </si>
  <si>
    <t>Komodo</t>
  </si>
  <si>
    <t>kvh</t>
  </si>
  <si>
    <t>komo1262</t>
  </si>
  <si>
    <t>Komofio</t>
  </si>
  <si>
    <t>komo1263</t>
  </si>
  <si>
    <t>Komongu</t>
  </si>
  <si>
    <t>komo1264</t>
  </si>
  <si>
    <t>Komoigaleka</t>
  </si>
  <si>
    <t>oldb1234</t>
  </si>
  <si>
    <t>Komoic</t>
  </si>
  <si>
    <t>komp1237</t>
  </si>
  <si>
    <t>Kompane</t>
  </si>
  <si>
    <t>kvp</t>
  </si>
  <si>
    <t>komt1237</t>
  </si>
  <si>
    <t>Komta</t>
  </si>
  <si>
    <t>komt1238</t>
  </si>
  <si>
    <t>Komtao</t>
  </si>
  <si>
    <t>komy1238</t>
  </si>
  <si>
    <t>tsak1251</t>
  </si>
  <si>
    <t>Komyandaret</t>
  </si>
  <si>
    <t>kzv</t>
  </si>
  <si>
    <t>kona1242</t>
  </si>
  <si>
    <t>Konai</t>
  </si>
  <si>
    <t>kxw</t>
  </si>
  <si>
    <t>kona1243</t>
  </si>
  <si>
    <t>Konawe</t>
  </si>
  <si>
    <t>kond1293</t>
  </si>
  <si>
    <t>shor1247</t>
  </si>
  <si>
    <t>Kondoma</t>
  </si>
  <si>
    <t>kond1294</t>
  </si>
  <si>
    <t>Konda-Kui</t>
  </si>
  <si>
    <t>kond1295</t>
  </si>
  <si>
    <t>Konda-Dora</t>
  </si>
  <si>
    <t>kfc</t>
  </si>
  <si>
    <t>kond1296</t>
  </si>
  <si>
    <t>Konde</t>
  </si>
  <si>
    <t>kond1297</t>
  </si>
  <si>
    <t>Kondoa (Sagala)</t>
  </si>
  <si>
    <t>kond1298</t>
  </si>
  <si>
    <t>Kondoa</t>
  </si>
  <si>
    <t>kond1299</t>
  </si>
  <si>
    <t>Konda (Mongo)</t>
  </si>
  <si>
    <t>kond1300</t>
  </si>
  <si>
    <t>Konda (Ngwo)</t>
  </si>
  <si>
    <t>kond1301</t>
  </si>
  <si>
    <t>Kondowa</t>
  </si>
  <si>
    <t>kond1302</t>
  </si>
  <si>
    <t>Konda-Yahadian</t>
  </si>
  <si>
    <t>kond1303</t>
  </si>
  <si>
    <t>Konda</t>
  </si>
  <si>
    <t>knd</t>
  </si>
  <si>
    <t>kond1304</t>
  </si>
  <si>
    <t>Kondo</t>
  </si>
  <si>
    <t>kone1241</t>
  </si>
  <si>
    <t>momb1255</t>
  </si>
  <si>
    <t>Koneraw</t>
  </si>
  <si>
    <t>kdw</t>
  </si>
  <si>
    <t>kong1282</t>
  </si>
  <si>
    <t>Kongar</t>
  </si>
  <si>
    <t>kong1283</t>
  </si>
  <si>
    <t>Kongbo</t>
  </si>
  <si>
    <t>kong1284</t>
  </si>
  <si>
    <t>Kongon</t>
  </si>
  <si>
    <t>kong1285</t>
  </si>
  <si>
    <t>Kongbaa</t>
  </si>
  <si>
    <t>kong1286</t>
  </si>
  <si>
    <t>Kongba</t>
  </si>
  <si>
    <t>kong1288</t>
  </si>
  <si>
    <t>Kongola-Meno</t>
  </si>
  <si>
    <t>kong1289</t>
  </si>
  <si>
    <t>Kong (Cameroon)</t>
  </si>
  <si>
    <t>kong1290</t>
  </si>
  <si>
    <t>Kong</t>
  </si>
  <si>
    <t>kong1291</t>
  </si>
  <si>
    <t>luto1241</t>
  </si>
  <si>
    <t>Konga</t>
  </si>
  <si>
    <t>kong1292</t>
  </si>
  <si>
    <t>Kong Jula</t>
  </si>
  <si>
    <t>kong1293</t>
  </si>
  <si>
    <t>Kongi</t>
  </si>
  <si>
    <t>kong1294</t>
  </si>
  <si>
    <t>naas1242</t>
  </si>
  <si>
    <t>Kongara</t>
  </si>
  <si>
    <t>Kongo-Yaka-Suku-Hungan</t>
  </si>
  <si>
    <t>Kongo-Yaka-Suku</t>
  </si>
  <si>
    <t>konh1238</t>
  </si>
  <si>
    <t>Kon Hring Sedang</t>
  </si>
  <si>
    <t>koni1257</t>
  </si>
  <si>
    <t>Konike</t>
  </si>
  <si>
    <t>koni1258</t>
  </si>
  <si>
    <t>Koniko</t>
  </si>
  <si>
    <t>koni1259</t>
  </si>
  <si>
    <t>Koni</t>
  </si>
  <si>
    <t>koni1260</t>
  </si>
  <si>
    <t>Koni√©r√©</t>
  </si>
  <si>
    <t>koni1261</t>
  </si>
  <si>
    <t>Konio</t>
  </si>
  <si>
    <t>koni1262</t>
  </si>
  <si>
    <t>Koniag</t>
  </si>
  <si>
    <t>konj1249</t>
  </si>
  <si>
    <t>Konjo Pesisir</t>
  </si>
  <si>
    <t>Konjo</t>
  </si>
  <si>
    <t>konj1251</t>
  </si>
  <si>
    <t>niza1234</t>
  </si>
  <si>
    <t>Konja-Mambila-Vute</t>
  </si>
  <si>
    <t>Konja</t>
  </si>
  <si>
    <t>konk1265</t>
  </si>
  <si>
    <t>Konkani (Bhili)</t>
  </si>
  <si>
    <t>Maharashtrian Konkani</t>
  </si>
  <si>
    <t>knn</t>
  </si>
  <si>
    <t>konk1268</t>
  </si>
  <si>
    <t>Kon Keu</t>
  </si>
  <si>
    <t>kkn</t>
  </si>
  <si>
    <t>konk1269</t>
  </si>
  <si>
    <t>konk1271</t>
  </si>
  <si>
    <t>Konkomba</t>
  </si>
  <si>
    <t>xon</t>
  </si>
  <si>
    <t>Konkanic</t>
  </si>
  <si>
    <t>kok</t>
  </si>
  <si>
    <t>Konkomba-Gangam</t>
  </si>
  <si>
    <t>konn1242</t>
  </si>
  <si>
    <t>Konni</t>
  </si>
  <si>
    <t>kma</t>
  </si>
  <si>
    <t>konn1243</t>
  </si>
  <si>
    <t>Kon Ngam</t>
  </si>
  <si>
    <t>kono1241</t>
  </si>
  <si>
    <t>shas1238</t>
  </si>
  <si>
    <t>Konomihu</t>
  </si>
  <si>
    <t>kono1264</t>
  </si>
  <si>
    <t>Kono (Nigeria)</t>
  </si>
  <si>
    <t>klk</t>
  </si>
  <si>
    <t>kono1265</t>
  </si>
  <si>
    <t>Konongo</t>
  </si>
  <si>
    <t>kcz</t>
  </si>
  <si>
    <t>kono1266</t>
  </si>
  <si>
    <t>Konobo</t>
  </si>
  <si>
    <t>kono1267</t>
  </si>
  <si>
    <t>Kono (Guinea)</t>
  </si>
  <si>
    <t>knu</t>
  </si>
  <si>
    <t>CI GN</t>
  </si>
  <si>
    <t>vaik1238</t>
  </si>
  <si>
    <t>Kono (Sierra Leone)</t>
  </si>
  <si>
    <t>kno</t>
  </si>
  <si>
    <t>kono1269</t>
  </si>
  <si>
    <t>Konomala</t>
  </si>
  <si>
    <t>koa</t>
  </si>
  <si>
    <t>nucl1701</t>
  </si>
  <si>
    <t>Konsoid</t>
  </si>
  <si>
    <t>kons1243</t>
  </si>
  <si>
    <t>Konso</t>
  </si>
  <si>
    <t>kxc</t>
  </si>
  <si>
    <t>kont1244</t>
  </si>
  <si>
    <t>Kontum</t>
  </si>
  <si>
    <t>kont1245</t>
  </si>
  <si>
    <t>lava1239</t>
  </si>
  <si>
    <t>Kontu</t>
  </si>
  <si>
    <t>kont1246</t>
  </si>
  <si>
    <t>pano1260</t>
  </si>
  <si>
    <t>Kontan√°wa</t>
  </si>
  <si>
    <t>Kontagora-Gumna-Koromba</t>
  </si>
  <si>
    <t>kony1246</t>
  </si>
  <si>
    <t>Konyak</t>
  </si>
  <si>
    <t>Konyak I</t>
  </si>
  <si>
    <t>Konyak Naga</t>
  </si>
  <si>
    <t>nbe</t>
  </si>
  <si>
    <t>kony1249</t>
  </si>
  <si>
    <t>Konyak II</t>
  </si>
  <si>
    <t>kony1250</t>
  </si>
  <si>
    <t>Konyanka Maninka</t>
  </si>
  <si>
    <t>mku</t>
  </si>
  <si>
    <t>konz1238</t>
  </si>
  <si>
    <t>Rwenzori</t>
  </si>
  <si>
    <t>konz1239</t>
  </si>
  <si>
    <t>Konzo</t>
  </si>
  <si>
    <t>koo</t>
  </si>
  <si>
    <t>kook1241</t>
  </si>
  <si>
    <t>Kookwila</t>
  </si>
  <si>
    <t>kook1242</t>
  </si>
  <si>
    <t>Kooki</t>
  </si>
  <si>
    <t>South-Central Kikongo</t>
  </si>
  <si>
    <t>kng</t>
  </si>
  <si>
    <t>AO CD CG</t>
  </si>
  <si>
    <t>njem1234</t>
  </si>
  <si>
    <t>Koonzime</t>
  </si>
  <si>
    <t>ozm</t>
  </si>
  <si>
    <t>koon1246</t>
  </si>
  <si>
    <t>Koony</t>
  </si>
  <si>
    <t>Koongo-Kituba</t>
  </si>
  <si>
    <t>kooo1243</t>
  </si>
  <si>
    <t>Ko (Sierra Leone)</t>
  </si>
  <si>
    <t>Ko</t>
  </si>
  <si>
    <t>fuj</t>
  </si>
  <si>
    <t>kooo1245</t>
  </si>
  <si>
    <t>tali1259</t>
  </si>
  <si>
    <t>Koo</t>
  </si>
  <si>
    <t>koop1238</t>
  </si>
  <si>
    <t>sime1242</t>
  </si>
  <si>
    <t>Koopei</t>
  </si>
  <si>
    <t>koor1238</t>
  </si>
  <si>
    <t>Koor</t>
  </si>
  <si>
    <t>koor1239</t>
  </si>
  <si>
    <t>Koorete</t>
  </si>
  <si>
    <t>kqy</t>
  </si>
  <si>
    <t>kopa1246</t>
  </si>
  <si>
    <t>Kopa (Bangba)</t>
  </si>
  <si>
    <t>kopa1247</t>
  </si>
  <si>
    <t>Kopa</t>
  </si>
  <si>
    <t>kopa1248</t>
  </si>
  <si>
    <t>norr1244</t>
  </si>
  <si>
    <t>Kopar</t>
  </si>
  <si>
    <t>xop</t>
  </si>
  <si>
    <t>kope1239</t>
  </si>
  <si>
    <t>Kope</t>
  </si>
  <si>
    <t>kopk1238</t>
  </si>
  <si>
    <t>kwer1266</t>
  </si>
  <si>
    <t>Kopkaka</t>
  </si>
  <si>
    <t>opk</t>
  </si>
  <si>
    <t>kora1289</t>
  </si>
  <si>
    <t>tulu1261</t>
  </si>
  <si>
    <t>Koraga</t>
  </si>
  <si>
    <t>kora1290</t>
  </si>
  <si>
    <t>Korakuure</t>
  </si>
  <si>
    <t>kora1291</t>
  </si>
  <si>
    <t>nort2823</t>
  </si>
  <si>
    <t>Korandje</t>
  </si>
  <si>
    <t>kcy</t>
  </si>
  <si>
    <t>kora1292</t>
  </si>
  <si>
    <t>sout3214</t>
  </si>
  <si>
    <t>Korana</t>
  </si>
  <si>
    <t>kqz</t>
  </si>
  <si>
    <t>kora1294</t>
  </si>
  <si>
    <t>Korafe-Yegha</t>
  </si>
  <si>
    <t>kpr</t>
  </si>
  <si>
    <t>kora1295</t>
  </si>
  <si>
    <t>Korafe</t>
  </si>
  <si>
    <t>kora1296</t>
  </si>
  <si>
    <t>kowa1247</t>
  </si>
  <si>
    <t>Korak</t>
  </si>
  <si>
    <t>koz</t>
  </si>
  <si>
    <t>Korap linkage</t>
  </si>
  <si>
    <t>kora1298</t>
  </si>
  <si>
    <t>west2585</t>
  </si>
  <si>
    <t>Korapun-Bromley</t>
  </si>
  <si>
    <t>korb1237</t>
  </si>
  <si>
    <t>Korbafo</t>
  </si>
  <si>
    <t>korc1239</t>
  </si>
  <si>
    <t>Eastern Northern Tosk</t>
  </si>
  <si>
    <t>kord1245</t>
  </si>
  <si>
    <t>Kordali</t>
  </si>
  <si>
    <t>Kordofan Nubian</t>
  </si>
  <si>
    <t>kore1273</t>
  </si>
  <si>
    <t>Korean Sign Language</t>
  </si>
  <si>
    <t>kvk</t>
  </si>
  <si>
    <t>kore1279</t>
  </si>
  <si>
    <t>Khoresh-e Rostam</t>
  </si>
  <si>
    <t>okh</t>
  </si>
  <si>
    <t>CN KP KR RU</t>
  </si>
  <si>
    <t>Korekore</t>
  </si>
  <si>
    <t>kore1282</t>
  </si>
  <si>
    <t>Kore</t>
  </si>
  <si>
    <t>kore1283</t>
  </si>
  <si>
    <t>Koreguaje</t>
  </si>
  <si>
    <t>coe</t>
  </si>
  <si>
    <t>Koreanic</t>
  </si>
  <si>
    <t>kori1257</t>
  </si>
  <si>
    <t>Kori</t>
  </si>
  <si>
    <t>kori1258</t>
  </si>
  <si>
    <t>Korintal</t>
  </si>
  <si>
    <t>kori1259</t>
  </si>
  <si>
    <t>nort2790</t>
  </si>
  <si>
    <t>Koring-Kukele</t>
  </si>
  <si>
    <t>kori1260</t>
  </si>
  <si>
    <t>otuh1238</t>
  </si>
  <si>
    <t>Koriok</t>
  </si>
  <si>
    <t>kori1261</t>
  </si>
  <si>
    <t>Korido</t>
  </si>
  <si>
    <t>kori1262</t>
  </si>
  <si>
    <t>Korim</t>
  </si>
  <si>
    <t>kori1263</t>
  </si>
  <si>
    <t>Koriko</t>
  </si>
  <si>
    <t>kfq</t>
  </si>
  <si>
    <t>korl1238</t>
  </si>
  <si>
    <t>Korlai Portuguese</t>
  </si>
  <si>
    <t>vkp</t>
  </si>
  <si>
    <t>koro1296</t>
  </si>
  <si>
    <t>Koroshi</t>
  </si>
  <si>
    <t>ktl</t>
  </si>
  <si>
    <t>Koromf√©</t>
  </si>
  <si>
    <t>kfz</t>
  </si>
  <si>
    <t>Koroic</t>
  </si>
  <si>
    <t>koro1302</t>
  </si>
  <si>
    <t>Koron Ache</t>
  </si>
  <si>
    <t>koro1303</t>
  </si>
  <si>
    <t>Koron Panda</t>
  </si>
  <si>
    <t>koro1304</t>
  </si>
  <si>
    <t>Korop</t>
  </si>
  <si>
    <t>krp</t>
  </si>
  <si>
    <t>koro1305</t>
  </si>
  <si>
    <t>Korondougou</t>
  </si>
  <si>
    <t>koro1306</t>
  </si>
  <si>
    <t>koro1315</t>
  </si>
  <si>
    <t>Koro (C√¥te d'Ivoire)</t>
  </si>
  <si>
    <t>kfo</t>
  </si>
  <si>
    <t>koro1307</t>
  </si>
  <si>
    <t>Koroka</t>
  </si>
  <si>
    <t>koro1308</t>
  </si>
  <si>
    <t>koto1266</t>
  </si>
  <si>
    <t>Koro-Olrat</t>
  </si>
  <si>
    <t>krf</t>
  </si>
  <si>
    <t>koro1309</t>
  </si>
  <si>
    <t>Lopohan</t>
  </si>
  <si>
    <t>kxr</t>
  </si>
  <si>
    <t>koro1310</t>
  </si>
  <si>
    <t>Koronadal Blaan</t>
  </si>
  <si>
    <t>bpr</t>
  </si>
  <si>
    <t>koro1311</t>
  </si>
  <si>
    <t>Koroni</t>
  </si>
  <si>
    <t>xkq</t>
  </si>
  <si>
    <t>koro1312</t>
  </si>
  <si>
    <t>Korowai</t>
  </si>
  <si>
    <t>khe</t>
  </si>
  <si>
    <t>Koromira</t>
  </si>
  <si>
    <t>kqj</t>
  </si>
  <si>
    <t>Koro-Lele-Nali-Titan</t>
  </si>
  <si>
    <t>mani1303</t>
  </si>
  <si>
    <t>Koro-Koyaga</t>
  </si>
  <si>
    <t>koro1316</t>
  </si>
  <si>
    <t>koro1317</t>
  </si>
  <si>
    <t>Koro</t>
  </si>
  <si>
    <t>jkr</t>
  </si>
  <si>
    <t>macr1268</t>
  </si>
  <si>
    <t>Koro-Holon</t>
  </si>
  <si>
    <t>koro1318</t>
  </si>
  <si>
    <t>Koro (Vanuatu)</t>
  </si>
  <si>
    <t>koro1319</t>
  </si>
  <si>
    <t>Korombo 1</t>
  </si>
  <si>
    <t>koro1320</t>
  </si>
  <si>
    <t>Korombo 2</t>
  </si>
  <si>
    <t>koro1321</t>
  </si>
  <si>
    <t>sham1280</t>
  </si>
  <si>
    <t>Korogwe</t>
  </si>
  <si>
    <t>Korra Koraga</t>
  </si>
  <si>
    <t>kfd</t>
  </si>
  <si>
    <t>korr1239</t>
  </si>
  <si>
    <t>Korripako</t>
  </si>
  <si>
    <t>Korupun-Sela</t>
  </si>
  <si>
    <t>kpq</t>
  </si>
  <si>
    <t>koru1246</t>
  </si>
  <si>
    <t>Korupun</t>
  </si>
  <si>
    <t>koru1247</t>
  </si>
  <si>
    <t>Korubo</t>
  </si>
  <si>
    <t>xor</t>
  </si>
  <si>
    <t>korw1242</t>
  </si>
  <si>
    <t>Korwa</t>
  </si>
  <si>
    <t>kfp</t>
  </si>
  <si>
    <t>Koryak</t>
  </si>
  <si>
    <t>Koryakic</t>
  </si>
  <si>
    <t>kosa1248</t>
  </si>
  <si>
    <t>Kosa</t>
  </si>
  <si>
    <t>Kosarek Yale</t>
  </si>
  <si>
    <t>kkl</t>
  </si>
  <si>
    <t>kosa1250</t>
  </si>
  <si>
    <t>Kosarek</t>
  </si>
  <si>
    <t>kosa1251</t>
  </si>
  <si>
    <t>Kosadle</t>
  </si>
  <si>
    <t>kiq</t>
  </si>
  <si>
    <t>kose1239</t>
  </si>
  <si>
    <t>Kosena</t>
  </si>
  <si>
    <t>kze</t>
  </si>
  <si>
    <t>kosh1244</t>
  </si>
  <si>
    <t>Koshti</t>
  </si>
  <si>
    <t>kosh1245</t>
  </si>
  <si>
    <t>Koshan</t>
  </si>
  <si>
    <t>kosh1246</t>
  </si>
  <si>
    <t>Koshin</t>
  </si>
  <si>
    <t>kid</t>
  </si>
  <si>
    <t>kosi1238</t>
  </si>
  <si>
    <t>mais1250</t>
  </si>
  <si>
    <t>Kosirava</t>
  </si>
  <si>
    <t>koso1244</t>
  </si>
  <si>
    <t>Kosop</t>
  </si>
  <si>
    <t>koso1245</t>
  </si>
  <si>
    <t>Kosorong</t>
  </si>
  <si>
    <t>Kosorong-Burum-Mindik</t>
  </si>
  <si>
    <t>koso1247</t>
  </si>
  <si>
    <t>Kosovo-Resava</t>
  </si>
  <si>
    <t>kosr1238</t>
  </si>
  <si>
    <t>Kosraean</t>
  </si>
  <si>
    <t>kos</t>
  </si>
  <si>
    <t>koss1238</t>
  </si>
  <si>
    <t>Kos</t>
  </si>
  <si>
    <t>kost1244</t>
  </si>
  <si>
    <t>Kosti (Marathi)</t>
  </si>
  <si>
    <t>kost1245</t>
  </si>
  <si>
    <t>Kosti</t>
  </si>
  <si>
    <t>tami1292</t>
  </si>
  <si>
    <t>Kota (India)</t>
  </si>
  <si>
    <t>kfe</t>
  </si>
  <si>
    <t>kota1270</t>
  </si>
  <si>
    <t>Kotali</t>
  </si>
  <si>
    <t>kota1271</t>
  </si>
  <si>
    <t>Kotali Bhil</t>
  </si>
  <si>
    <t>kota1272</t>
  </si>
  <si>
    <t>Kotafon Gbe</t>
  </si>
  <si>
    <t>kqk</t>
  </si>
  <si>
    <t>kota1273</t>
  </si>
  <si>
    <t>Kotafoa</t>
  </si>
  <si>
    <t>kota1281</t>
  </si>
  <si>
    <t>Kota (Gabon)</t>
  </si>
  <si>
    <t>kota1275</t>
  </si>
  <si>
    <t>Kota Bangun Kutai Malay</t>
  </si>
  <si>
    <t>mqg</t>
  </si>
  <si>
    <t>kota1276</t>
  </si>
  <si>
    <t>Kota Belud</t>
  </si>
  <si>
    <t>kota1277</t>
  </si>
  <si>
    <t>Kota Bumi</t>
  </si>
  <si>
    <t>kota1278</t>
  </si>
  <si>
    <t>sugu1244</t>
  </si>
  <si>
    <t>Kota Marudu Tinagas</t>
  </si>
  <si>
    <t>ktr</t>
  </si>
  <si>
    <t>kota1279</t>
  </si>
  <si>
    <t>Kota Marudu Talantang</t>
  </si>
  <si>
    <t>grm</t>
  </si>
  <si>
    <t>kota1280</t>
  </si>
  <si>
    <t>Kotava</t>
  </si>
  <si>
    <t>avk</t>
  </si>
  <si>
    <t>Kota-Mahongwe</t>
  </si>
  <si>
    <t>Koti</t>
  </si>
  <si>
    <t>eko</t>
  </si>
  <si>
    <t>kotn1238</t>
  </si>
  <si>
    <t>Kotni</t>
  </si>
  <si>
    <t>koto1250</t>
  </si>
  <si>
    <t>Koto</t>
  </si>
  <si>
    <t>koto1251</t>
  </si>
  <si>
    <t>Kotos</t>
  </si>
  <si>
    <t>koto1252</t>
  </si>
  <si>
    <t>Kotom</t>
  </si>
  <si>
    <t>koto1263</t>
  </si>
  <si>
    <t>Kotoko Central</t>
  </si>
  <si>
    <t>koto1265</t>
  </si>
  <si>
    <t>Kotoko Septentrional</t>
  </si>
  <si>
    <t>Koto-Olrat-Lakon</t>
  </si>
  <si>
    <t>Kotoko-Buduma</t>
  </si>
  <si>
    <t>Kotoko Septentrional 1</t>
  </si>
  <si>
    <t>koto1269</t>
  </si>
  <si>
    <t>Kotoko Septentrional 2</t>
  </si>
  <si>
    <t>kott1239</t>
  </si>
  <si>
    <t>Kott-Assan</t>
  </si>
  <si>
    <t>zko</t>
  </si>
  <si>
    <t>kotu1238</t>
  </si>
  <si>
    <t>Kotua Sedang</t>
  </si>
  <si>
    <t>koty1238</t>
  </si>
  <si>
    <t>Kotya</t>
  </si>
  <si>
    <t>kotz1238</t>
  </si>
  <si>
    <t>Kotzebue Sound Inupiatun</t>
  </si>
  <si>
    <t>koul1238</t>
  </si>
  <si>
    <t>Koulounkalan</t>
  </si>
  <si>
    <t>koum1238</t>
  </si>
  <si>
    <t>ngan1299</t>
  </si>
  <si>
    <t>Koumongou</t>
  </si>
  <si>
    <t>koun1238</t>
  </si>
  <si>
    <t>Kounte Lele</t>
  </si>
  <si>
    <t>kouy1238</t>
  </si>
  <si>
    <t>Kouya</t>
  </si>
  <si>
    <t>kyf</t>
  </si>
  <si>
    <t>Kovai</t>
  </si>
  <si>
    <t>kqb</t>
  </si>
  <si>
    <t>kove1237</t>
  </si>
  <si>
    <t>Kove</t>
  </si>
  <si>
    <t>kvc</t>
  </si>
  <si>
    <t>kowa1245</t>
  </si>
  <si>
    <t>tibo1243</t>
  </si>
  <si>
    <t>Kowaki</t>
  </si>
  <si>
    <t>xow</t>
  </si>
  <si>
    <t>unun9971</t>
  </si>
  <si>
    <t>Kowan</t>
  </si>
  <si>
    <t>Kowiai</t>
  </si>
  <si>
    <t>kwh</t>
  </si>
  <si>
    <t>koya1250</t>
  </si>
  <si>
    <t>Koya (Mande)</t>
  </si>
  <si>
    <t>Koya</t>
  </si>
  <si>
    <t>koya1252</t>
  </si>
  <si>
    <t>Koya (Sierra Leone)</t>
  </si>
  <si>
    <t>koya1253</t>
  </si>
  <si>
    <t>Koyaga</t>
  </si>
  <si>
    <t>kga</t>
  </si>
  <si>
    <t>Koyo</t>
  </si>
  <si>
    <t>koyo1243</t>
  </si>
  <si>
    <t>Koyo (Cote d'Ivoire)</t>
  </si>
  <si>
    <t>Koyo-Mboshi</t>
  </si>
  <si>
    <t>nort2822</t>
  </si>
  <si>
    <t>Koyra Chiini Songhay</t>
  </si>
  <si>
    <t>khq</t>
  </si>
  <si>
    <t>ML MR</t>
  </si>
  <si>
    <t>koyr1241</t>
  </si>
  <si>
    <t>Koyra Chiini</t>
  </si>
  <si>
    <t>koyr1242</t>
  </si>
  <si>
    <t>Koyraboro Senni Songhai</t>
  </si>
  <si>
    <t>ses</t>
  </si>
  <si>
    <t>ML NE</t>
  </si>
  <si>
    <t>koys1241</t>
  </si>
  <si>
    <t>sout3076</t>
  </si>
  <si>
    <t>Koy Sanjaq</t>
  </si>
  <si>
    <t>koys1242</t>
  </si>
  <si>
    <t>sout3213</t>
  </si>
  <si>
    <t>Koy Sanjaq Surat</t>
  </si>
  <si>
    <t>kqd</t>
  </si>
  <si>
    <t>koyt1238</t>
  </si>
  <si>
    <t>west2879</t>
  </si>
  <si>
    <t>Koyta</t>
  </si>
  <si>
    <t>koyu1237</t>
  </si>
  <si>
    <t>Koyukon</t>
  </si>
  <si>
    <t>koy</t>
  </si>
  <si>
    <t>koza1239</t>
  </si>
  <si>
    <t>Koza</t>
  </si>
  <si>
    <t>kozy1238</t>
  </si>
  <si>
    <t>west2392</t>
  </si>
  <si>
    <t>Kozymodemyan</t>
  </si>
  <si>
    <t>kpaa1242</t>
  </si>
  <si>
    <t>Kpa</t>
  </si>
  <si>
    <t>kpaa1243</t>
  </si>
  <si>
    <t>Kpa (Sierra Leone)</t>
  </si>
  <si>
    <t>kpag1238</t>
  </si>
  <si>
    <t>Kpagua</t>
  </si>
  <si>
    <t>kuw</t>
  </si>
  <si>
    <t>kpak1238</t>
  </si>
  <si>
    <t>Kpakolo</t>
  </si>
  <si>
    <t>kpal1241</t>
  </si>
  <si>
    <t>kpal1242</t>
  </si>
  <si>
    <t>Kpala</t>
  </si>
  <si>
    <t>kpl</t>
  </si>
  <si>
    <t>monz1253</t>
  </si>
  <si>
    <t>Kpala-Bakpa</t>
  </si>
  <si>
    <t>Kpan-Icen</t>
  </si>
  <si>
    <t>Kpan</t>
  </si>
  <si>
    <t>kpk</t>
  </si>
  <si>
    <t>kpan1247</t>
  </si>
  <si>
    <t>Kpango</t>
  </si>
  <si>
    <t>kpar1234</t>
  </si>
  <si>
    <t>Kparev</t>
  </si>
  <si>
    <t>kpas1241</t>
  </si>
  <si>
    <t>Kpase</t>
  </si>
  <si>
    <t>kpas1242</t>
  </si>
  <si>
    <t>Kpasam</t>
  </si>
  <si>
    <t>pbn</t>
  </si>
  <si>
    <t>kpat1244</t>
  </si>
  <si>
    <t>Kpatili</t>
  </si>
  <si>
    <t>kym</t>
  </si>
  <si>
    <t>kpat1245</t>
  </si>
  <si>
    <t>Kpatogo</t>
  </si>
  <si>
    <t>kpat1246</t>
  </si>
  <si>
    <t>Kpati</t>
  </si>
  <si>
    <t>koc</t>
  </si>
  <si>
    <t>kpea1238</t>
  </si>
  <si>
    <t>Kpeaply</t>
  </si>
  <si>
    <t>kpee1234</t>
  </si>
  <si>
    <t>Kpeego</t>
  </si>
  <si>
    <t>cpo</t>
  </si>
  <si>
    <t>kpel1251</t>
  </si>
  <si>
    <t>Kpelen</t>
  </si>
  <si>
    <t>sout2842</t>
  </si>
  <si>
    <t>Kpelle</t>
  </si>
  <si>
    <t>kpes1238</t>
  </si>
  <si>
    <t>Kpessi</t>
  </si>
  <si>
    <t>kef</t>
  </si>
  <si>
    <t>kpla1238</t>
  </si>
  <si>
    <t>Kplang</t>
  </si>
  <si>
    <t>kph</t>
  </si>
  <si>
    <t>kple1238</t>
  </si>
  <si>
    <t>Kplebo</t>
  </si>
  <si>
    <t>kplo1238</t>
  </si>
  <si>
    <t>Kplor</t>
  </si>
  <si>
    <t>kpoo1238</t>
  </si>
  <si>
    <t>Kpo</t>
  </si>
  <si>
    <t>kpor1238</t>
  </si>
  <si>
    <t>Kporo</t>
  </si>
  <si>
    <t>Kposo-Ahlo-Bowili</t>
  </si>
  <si>
    <t>kpwe1234</t>
  </si>
  <si>
    <t>Kpwe</t>
  </si>
  <si>
    <t>kraa1234</t>
  </si>
  <si>
    <t>seto1243</t>
  </si>
  <si>
    <t>Kraasna</t>
  </si>
  <si>
    <t>krac1238</t>
  </si>
  <si>
    <t>Krache</t>
  </si>
  <si>
    <t>kye</t>
  </si>
  <si>
    <t>Krah√¥</t>
  </si>
  <si>
    <t>xra</t>
  </si>
  <si>
    <t>kran1245</t>
  </si>
  <si>
    <t>lomb1263</t>
  </si>
  <si>
    <t>Kranaria</t>
  </si>
  <si>
    <t>kran1246</t>
  </si>
  <si>
    <t>Krantiki</t>
  </si>
  <si>
    <t>kran1247</t>
  </si>
  <si>
    <t>Kranyeu</t>
  </si>
  <si>
    <t>krao1238</t>
  </si>
  <si>
    <t>Kraol</t>
  </si>
  <si>
    <t>rka</t>
  </si>
  <si>
    <t>krat1234</t>
  </si>
  <si>
    <t>Kratovo</t>
  </si>
  <si>
    <t>krau1243</t>
  </si>
  <si>
    <t>Krau</t>
  </si>
  <si>
    <t>krem1240</t>
  </si>
  <si>
    <t>Krem</t>
  </si>
  <si>
    <t>kren1239</t>
  </si>
  <si>
    <t>Krenak</t>
  </si>
  <si>
    <t>kqq</t>
  </si>
  <si>
    <t>Kresh-Aja</t>
  </si>
  <si>
    <t>krev1234</t>
  </si>
  <si>
    <t>Krevin</t>
  </si>
  <si>
    <t>krey1238</t>
  </si>
  <si>
    <t>timb1253</t>
  </si>
  <si>
    <t>Northeastern Timbira</t>
  </si>
  <si>
    <t>xre</t>
  </si>
  <si>
    <t>krik1239</t>
  </si>
  <si>
    <t>para1315</t>
  </si>
  <si>
    <t>Krikati-Timbira</t>
  </si>
  <si>
    <t>xri</t>
  </si>
  <si>
    <t>krim1238</t>
  </si>
  <si>
    <t>Krim</t>
  </si>
  <si>
    <t>krm</t>
  </si>
  <si>
    <t>krin1238</t>
  </si>
  <si>
    <t>Krinkati</t>
  </si>
  <si>
    <t>krio1246</t>
  </si>
  <si>
    <t>Krio Fula</t>
  </si>
  <si>
    <t>krio1252</t>
  </si>
  <si>
    <t>Kriol</t>
  </si>
  <si>
    <t>rop</t>
  </si>
  <si>
    <t>krio1253</t>
  </si>
  <si>
    <t>Krio</t>
  </si>
  <si>
    <t>kri</t>
  </si>
  <si>
    <t>GM GN SL SN US</t>
  </si>
  <si>
    <t>kris1246</t>
  </si>
  <si>
    <t>I'saka</t>
  </si>
  <si>
    <t>ksi</t>
  </si>
  <si>
    <t>kriv1234</t>
  </si>
  <si>
    <t>Kriva Palanka</t>
  </si>
  <si>
    <t>krob1243</t>
  </si>
  <si>
    <t>Krobo</t>
  </si>
  <si>
    <t>krob1245</t>
  </si>
  <si>
    <t>Krobu</t>
  </si>
  <si>
    <t>kxb</t>
  </si>
  <si>
    <t>krok1237</t>
  </si>
  <si>
    <t>Krokong</t>
  </si>
  <si>
    <t>Krongo</t>
  </si>
  <si>
    <t>kgo</t>
  </si>
  <si>
    <t>kron1244</t>
  </si>
  <si>
    <t>Krongo Abdalla</t>
  </si>
  <si>
    <t>Kru</t>
  </si>
  <si>
    <t>krui1237</t>
  </si>
  <si>
    <t>Krui</t>
  </si>
  <si>
    <t>krq</t>
  </si>
  <si>
    <t>krun1240</t>
  </si>
  <si>
    <t>Krung</t>
  </si>
  <si>
    <t>krr</t>
  </si>
  <si>
    <t>krun1243</t>
  </si>
  <si>
    <t>Krung 1</t>
  </si>
  <si>
    <t>krym1236</t>
  </si>
  <si>
    <t>Krymchak</t>
  </si>
  <si>
    <t>jct</t>
  </si>
  <si>
    <t>UA</t>
  </si>
  <si>
    <t>Kryz</t>
  </si>
  <si>
    <t>kry</t>
  </si>
  <si>
    <t>kryz1238</t>
  </si>
  <si>
    <t>Kryts</t>
  </si>
  <si>
    <t>krze1234</t>
  </si>
  <si>
    <t>Krzen</t>
  </si>
  <si>
    <t>kuaa1238</t>
  </si>
  <si>
    <t>tshw1239</t>
  </si>
  <si>
    <t>Kua</t>
  </si>
  <si>
    <t>tyu</t>
  </si>
  <si>
    <t>kual1250</t>
  </si>
  <si>
    <t>Kuala Langot Besisi</t>
  </si>
  <si>
    <t>kual1251</t>
  </si>
  <si>
    <t>Kuala Tembeling</t>
  </si>
  <si>
    <t>kual1252</t>
  </si>
  <si>
    <t>Kuala</t>
  </si>
  <si>
    <t>kual1253</t>
  </si>
  <si>
    <t>Kuala Monsok Dusun</t>
  </si>
  <si>
    <t>kuam1234</t>
  </si>
  <si>
    <t>kuan1252</t>
  </si>
  <si>
    <t>Kuamasi</t>
  </si>
  <si>
    <t>yku</t>
  </si>
  <si>
    <t>kuan1246</t>
  </si>
  <si>
    <t>Kuan</t>
  </si>
  <si>
    <t>uan</t>
  </si>
  <si>
    <t>kuan1247</t>
  </si>
  <si>
    <t>ndon1253</t>
  </si>
  <si>
    <t>Kuanyama</t>
  </si>
  <si>
    <t>kua</t>
  </si>
  <si>
    <t>AO NA</t>
  </si>
  <si>
    <t>Kuanua</t>
  </si>
  <si>
    <t>kuan1249</t>
  </si>
  <si>
    <t>Kua-nsi</t>
  </si>
  <si>
    <t>ykn</t>
  </si>
  <si>
    <t>kuan1250</t>
  </si>
  <si>
    <t>Kuanhua</t>
  </si>
  <si>
    <t>xnh</t>
  </si>
  <si>
    <t>kuan1251</t>
  </si>
  <si>
    <t>lalu1234</t>
  </si>
  <si>
    <t>Kuansi-Kuamasi-Sonaga</t>
  </si>
  <si>
    <t>Kuansi-Kuamasi</t>
  </si>
  <si>
    <t>kuar1234</t>
  </si>
  <si>
    <t>K√º√§rik</t>
  </si>
  <si>
    <t>kuay1244</t>
  </si>
  <si>
    <t>Kuay</t>
  </si>
  <si>
    <t>kuba1248</t>
  </si>
  <si>
    <t>Kubachi</t>
  </si>
  <si>
    <t>kuba1249</t>
  </si>
  <si>
    <t>Kubachi (Lezgian)</t>
  </si>
  <si>
    <t>kuba1250</t>
  </si>
  <si>
    <t>tuma1248</t>
  </si>
  <si>
    <t>Kubari</t>
  </si>
  <si>
    <t>kube1243</t>
  </si>
  <si>
    <t>Kube</t>
  </si>
  <si>
    <t>kube1244</t>
  </si>
  <si>
    <t>Kulungtfu-Yuanggeng-Tobo</t>
  </si>
  <si>
    <t>kgf</t>
  </si>
  <si>
    <t>kubi1237</t>
  </si>
  <si>
    <t>Kubi (India)</t>
  </si>
  <si>
    <t>kubi1239</t>
  </si>
  <si>
    <t>Kubi</t>
  </si>
  <si>
    <t>kof</t>
  </si>
  <si>
    <t>Kubi-Deno</t>
  </si>
  <si>
    <t>Kubo-Samo-Bibo</t>
  </si>
  <si>
    <t>kubo1242</t>
  </si>
  <si>
    <t>Kubo</t>
  </si>
  <si>
    <t>jko</t>
  </si>
  <si>
    <t>kubo1243</t>
  </si>
  <si>
    <t>Kuboro</t>
  </si>
  <si>
    <t>kubo1244</t>
  </si>
  <si>
    <t>Kubokota</t>
  </si>
  <si>
    <t>Kubu</t>
  </si>
  <si>
    <t>kvb</t>
  </si>
  <si>
    <t>kubu1240</t>
  </si>
  <si>
    <t>Kubuli</t>
  </si>
  <si>
    <t>kuch1246</t>
  </si>
  <si>
    <t>Kuchbandhi</t>
  </si>
  <si>
    <t>kuch1247</t>
  </si>
  <si>
    <t>tari1267</t>
  </si>
  <si>
    <t>Kucha</t>
  </si>
  <si>
    <t>kuch1248</t>
  </si>
  <si>
    <t>matu1259</t>
  </si>
  <si>
    <t>Kuchi</t>
  </si>
  <si>
    <t>kuco1235</t>
  </si>
  <si>
    <t>laho1234</t>
  </si>
  <si>
    <t>Kucong</t>
  </si>
  <si>
    <t>lkc</t>
  </si>
  <si>
    <t>kuda1247</t>
  </si>
  <si>
    <t>Kudali (Marathi)</t>
  </si>
  <si>
    <t>kuda1248</t>
  </si>
  <si>
    <t>Kudali</t>
  </si>
  <si>
    <t>kuda1249</t>
  </si>
  <si>
    <t>Kudaka</t>
  </si>
  <si>
    <t>kudi1237</t>
  </si>
  <si>
    <t>Kudiya</t>
  </si>
  <si>
    <t>kfg</t>
  </si>
  <si>
    <t>kudm1238</t>
  </si>
  <si>
    <t>Kudmali</t>
  </si>
  <si>
    <t>kyw</t>
  </si>
  <si>
    <t>Kudu-Camo</t>
  </si>
  <si>
    <t>kov</t>
  </si>
  <si>
    <t>kudu1242</t>
  </si>
  <si>
    <t>Kudu</t>
  </si>
  <si>
    <t>kuee1238</t>
  </si>
  <si>
    <t>||Ku||e</t>
  </si>
  <si>
    <t>kufa1238</t>
  </si>
  <si>
    <t>Kufa-Lima</t>
  </si>
  <si>
    <t>kufu1238</t>
  </si>
  <si>
    <t>Kufuru</t>
  </si>
  <si>
    <t>kuga1239</t>
  </si>
  <si>
    <t>mumu1249</t>
  </si>
  <si>
    <t>Gengle-Kugama</t>
  </si>
  <si>
    <t>kow</t>
  </si>
  <si>
    <t>kugb1241</t>
  </si>
  <si>
    <t>Kugbo</t>
  </si>
  <si>
    <t>kes</t>
  </si>
  <si>
    <t>Kugboic</t>
  </si>
  <si>
    <t>kuge1238</t>
  </si>
  <si>
    <t>Kugenesi</t>
  </si>
  <si>
    <t>kuge1239</t>
  </si>
  <si>
    <t>Kugere</t>
  </si>
  <si>
    <t>kugo1238</t>
  </si>
  <si>
    <t>Kugong</t>
  </si>
  <si>
    <t>kuhr1238</t>
  </si>
  <si>
    <t>Kuhrang</t>
  </si>
  <si>
    <t>kuik1244</t>
  </si>
  <si>
    <t>Kui (India)</t>
  </si>
  <si>
    <t>kxu</t>
  </si>
  <si>
    <t>Kui (Indonesia)</t>
  </si>
  <si>
    <t>kvd</t>
  </si>
  <si>
    <t>kuii1254</t>
  </si>
  <si>
    <t>Kui</t>
  </si>
  <si>
    <t>kuij1237</t>
  </si>
  <si>
    <t>Kuijau</t>
  </si>
  <si>
    <t>dkr</t>
  </si>
  <si>
    <t>mand1411</t>
  </si>
  <si>
    <t>Kui-Kuvi</t>
  </si>
  <si>
    <t>Kuikuroan</t>
  </si>
  <si>
    <t>Kuik√∫ro-Kalap√°lo</t>
  </si>
  <si>
    <t>kuja1239</t>
  </si>
  <si>
    <t>Kujarge</t>
  </si>
  <si>
    <t>vkj</t>
  </si>
  <si>
    <t>kuja1240</t>
  </si>
  <si>
    <t>Kujaa</t>
  </si>
  <si>
    <t>kuji1238</t>
  </si>
  <si>
    <t>Kujinga</t>
  </si>
  <si>
    <t>kuka1245</t>
  </si>
  <si>
    <t>Kukanar</t>
  </si>
  <si>
    <t>kuka1246</t>
  </si>
  <si>
    <t>pint1254</t>
  </si>
  <si>
    <t>Kukatja</t>
  </si>
  <si>
    <t>kux</t>
  </si>
  <si>
    <t>kuka1247</t>
  </si>
  <si>
    <t>Kuka</t>
  </si>
  <si>
    <t>kuke1241</t>
  </si>
  <si>
    <t>Kukele-Uzekwe</t>
  </si>
  <si>
    <t>Kukele</t>
  </si>
  <si>
    <t>kez</t>
  </si>
  <si>
    <t>kuki1245</t>
  </si>
  <si>
    <t>Kuki-Chin-Naga</t>
  </si>
  <si>
    <t>Kuki-Chin</t>
  </si>
  <si>
    <t>kukk1239</t>
  </si>
  <si>
    <t>Kuk</t>
  </si>
  <si>
    <t>kfn</t>
  </si>
  <si>
    <t>kukk1240</t>
  </si>
  <si>
    <t>Kukkuzi</t>
  </si>
  <si>
    <t>kukn1238</t>
  </si>
  <si>
    <t>Kukna</t>
  </si>
  <si>
    <t>kex</t>
  </si>
  <si>
    <t>kuko1238</t>
  </si>
  <si>
    <t>Kukoma</t>
  </si>
  <si>
    <t>kukr1239</t>
  </si>
  <si>
    <t>ulwa1239</t>
  </si>
  <si>
    <t>Kukra</t>
  </si>
  <si>
    <t>kuku1273</t>
  </si>
  <si>
    <t>Kuku-Yalanji</t>
  </si>
  <si>
    <t>gvn</t>
  </si>
  <si>
    <t>kuku1274</t>
  </si>
  <si>
    <t>Kuku-Nyungkul</t>
  </si>
  <si>
    <t>kuku1275</t>
  </si>
  <si>
    <t>Kuku-Biraji</t>
  </si>
  <si>
    <t>kuku1276</t>
  </si>
  <si>
    <t>Kuku-Wik-Ep</t>
  </si>
  <si>
    <t>kuku1277</t>
  </si>
  <si>
    <t>Kuku-Wik</t>
  </si>
  <si>
    <t>kuku1279</t>
  </si>
  <si>
    <t>Kuku-Mangk</t>
  </si>
  <si>
    <t>xmq</t>
  </si>
  <si>
    <t>kuku1280</t>
  </si>
  <si>
    <t>pama1253</t>
  </si>
  <si>
    <t>Kuku-Uwanh</t>
  </si>
  <si>
    <t>uwa</t>
  </si>
  <si>
    <t>kuku1281</t>
  </si>
  <si>
    <t>Kuku-Ugbanh</t>
  </si>
  <si>
    <t>ugb</t>
  </si>
  <si>
    <t>kuku1282</t>
  </si>
  <si>
    <t>Kuku-Mu'inh</t>
  </si>
  <si>
    <t>xmp</t>
  </si>
  <si>
    <t>kuku1283</t>
  </si>
  <si>
    <t>Kuku-Muminh</t>
  </si>
  <si>
    <t>xmh</t>
  </si>
  <si>
    <t>kuku1284</t>
  </si>
  <si>
    <t>Kukur</t>
  </si>
  <si>
    <t>kuku1285</t>
  </si>
  <si>
    <t>Kuku</t>
  </si>
  <si>
    <t>kuku1286</t>
  </si>
  <si>
    <t>Kukura</t>
  </si>
  <si>
    <t>kukw1235</t>
  </si>
  <si>
    <t>Kukwaya</t>
  </si>
  <si>
    <t>kukw1245</t>
  </si>
  <si>
    <t>nyak1260</t>
  </si>
  <si>
    <t>Kukwe</t>
  </si>
  <si>
    <t>kukw1246</t>
  </si>
  <si>
    <t>urim1252</t>
  </si>
  <si>
    <t>Kukwo</t>
  </si>
  <si>
    <t>kula1275</t>
  </si>
  <si>
    <t>Kula (Australia)</t>
  </si>
  <si>
    <t>kula1276</t>
  </si>
  <si>
    <t>Kulang</t>
  </si>
  <si>
    <t>kula1283</t>
  </si>
  <si>
    <t>Kulango</t>
  </si>
  <si>
    <t>kula1278</t>
  </si>
  <si>
    <t>zinz1238</t>
  </si>
  <si>
    <t>Kula (Tanzania)</t>
  </si>
  <si>
    <t>kula1279</t>
  </si>
  <si>
    <t>mati1250</t>
  </si>
  <si>
    <t>Kulamanen</t>
  </si>
  <si>
    <t>tang1352</t>
  </si>
  <si>
    <t>Kula (Indonesia)</t>
  </si>
  <si>
    <t>tpg</t>
  </si>
  <si>
    <t>kula1281</t>
  </si>
  <si>
    <t>Kulatela</t>
  </si>
  <si>
    <t>kula1282</t>
  </si>
  <si>
    <t>Kula Watena</t>
  </si>
  <si>
    <t>Kulango-Lorom</t>
  </si>
  <si>
    <t>kula1284</t>
  </si>
  <si>
    <t>Kulawi</t>
  </si>
  <si>
    <t>zank1234</t>
  </si>
  <si>
    <t>Kulaalic</t>
  </si>
  <si>
    <t>kuld1238</t>
  </si>
  <si>
    <t>Kuldaji</t>
  </si>
  <si>
    <t>kule1242</t>
  </si>
  <si>
    <t>Kulere (Cote d'Ivoire)</t>
  </si>
  <si>
    <t>roni1235</t>
  </si>
  <si>
    <t>Kulere</t>
  </si>
  <si>
    <t>kul</t>
  </si>
  <si>
    <t>kulf1238</t>
  </si>
  <si>
    <t>Kulfa</t>
  </si>
  <si>
    <t>kxj</t>
  </si>
  <si>
    <t>kuli1256</t>
  </si>
  <si>
    <t>Kulin</t>
  </si>
  <si>
    <t>Kuliak</t>
  </si>
  <si>
    <t>kuli1254</t>
  </si>
  <si>
    <t>Kulisusu</t>
  </si>
  <si>
    <t>vkl</t>
  </si>
  <si>
    <t>kuli1255</t>
  </si>
  <si>
    <t>Kulina Pano</t>
  </si>
  <si>
    <t>xpk</t>
  </si>
  <si>
    <t>Kulin-Bunganditj</t>
  </si>
  <si>
    <t>Kullu Pahari</t>
  </si>
  <si>
    <t>kulo1237</t>
  </si>
  <si>
    <t>nort2899</t>
  </si>
  <si>
    <t>Kulon-Pazeh</t>
  </si>
  <si>
    <t>uun</t>
  </si>
  <si>
    <t>Kulungic</t>
  </si>
  <si>
    <t>Kulung (Nepal)</t>
  </si>
  <si>
    <t>kle</t>
  </si>
  <si>
    <t>kulu1254</t>
  </si>
  <si>
    <t>Kulung Muthun</t>
  </si>
  <si>
    <t>kulu1255</t>
  </si>
  <si>
    <t>Kulung (Nigeria)</t>
  </si>
  <si>
    <t>bbu</t>
  </si>
  <si>
    <t>kulu1256</t>
  </si>
  <si>
    <t>Kulur</t>
  </si>
  <si>
    <t>kulu1257</t>
  </si>
  <si>
    <t>saru1242</t>
  </si>
  <si>
    <t>Kulu</t>
  </si>
  <si>
    <t>Kumaoni</t>
  </si>
  <si>
    <t>kfy</t>
  </si>
  <si>
    <t>kuma1274</t>
  </si>
  <si>
    <t>malt1248</t>
  </si>
  <si>
    <t>Kumarbhag Paharia</t>
  </si>
  <si>
    <t>kmj</t>
  </si>
  <si>
    <t>kuma1275</t>
  </si>
  <si>
    <t>lang1323</t>
  </si>
  <si>
    <t>Kumam</t>
  </si>
  <si>
    <t>kdi</t>
  </si>
  <si>
    <t>kuma1276</t>
  </si>
  <si>
    <t>kumn1237</t>
  </si>
  <si>
    <t>N√™l√™mwa-Nixumwak</t>
  </si>
  <si>
    <t>nee</t>
  </si>
  <si>
    <t>kuma1277</t>
  </si>
  <si>
    <t>Kumalahu</t>
  </si>
  <si>
    <t>kuma1278</t>
  </si>
  <si>
    <t>Kumalu</t>
  </si>
  <si>
    <t>ksl</t>
  </si>
  <si>
    <t>Kuman-Dom-Gunaa</t>
  </si>
  <si>
    <t>Kuman</t>
  </si>
  <si>
    <t>kue</t>
  </si>
  <si>
    <t>kuma1281</t>
  </si>
  <si>
    <t>Kumamoto-ben</t>
  </si>
  <si>
    <t>kuma1282</t>
  </si>
  <si>
    <t>tari1256</t>
  </si>
  <si>
    <t>Kumandene Tariana</t>
  </si>
  <si>
    <t>kuma1283</t>
  </si>
  <si>
    <t>Kumanovo</t>
  </si>
  <si>
    <t>kumb1238</t>
  </si>
  <si>
    <t>Kumba</t>
  </si>
  <si>
    <t>ksm</t>
  </si>
  <si>
    <t>kumb1266</t>
  </si>
  <si>
    <t>Kumbhari</t>
  </si>
  <si>
    <t>kumb1267</t>
  </si>
  <si>
    <t>Kumbaran</t>
  </si>
  <si>
    <t>wkb</t>
  </si>
  <si>
    <t>kumb1268</t>
  </si>
  <si>
    <t>Kumbainggar</t>
  </si>
  <si>
    <t>kgs</t>
  </si>
  <si>
    <t>kumb1269</t>
  </si>
  <si>
    <t>Kumbo (Ijoid)</t>
  </si>
  <si>
    <t>kumb1270</t>
  </si>
  <si>
    <t>Kumbo</t>
  </si>
  <si>
    <t>kumb1271</t>
  </si>
  <si>
    <t>Kumbule</t>
  </si>
  <si>
    <t>kumb1272</t>
  </si>
  <si>
    <t>Kumba (Democratic Republic of Congo)</t>
  </si>
  <si>
    <t>kumb1273</t>
  </si>
  <si>
    <t>Kumbere</t>
  </si>
  <si>
    <t>kumb1274</t>
  </si>
  <si>
    <t>Kumbewaha</t>
  </si>
  <si>
    <t>xks</t>
  </si>
  <si>
    <t>kumb1278</t>
  </si>
  <si>
    <t>Kumbi</t>
  </si>
  <si>
    <t>kumh1238</t>
  </si>
  <si>
    <t>unun9885</t>
  </si>
  <si>
    <t>Kumhali</t>
  </si>
  <si>
    <t>kra</t>
  </si>
  <si>
    <t>kumi1246</t>
  </si>
  <si>
    <t>Kumi</t>
  </si>
  <si>
    <t>Tipai</t>
  </si>
  <si>
    <t>Kumilan</t>
  </si>
  <si>
    <t>Kum-Nel-Yua-Cac</t>
  </si>
  <si>
    <t>Kum-Nel-Yua</t>
  </si>
  <si>
    <t>kumu1246</t>
  </si>
  <si>
    <t>Kumux</t>
  </si>
  <si>
    <t>kumu1247</t>
  </si>
  <si>
    <t>Kumukio</t>
  </si>
  <si>
    <t>kuo</t>
  </si>
  <si>
    <t>Kumyk</t>
  </si>
  <si>
    <t>kum</t>
  </si>
  <si>
    <t>kumz1235</t>
  </si>
  <si>
    <t>Kumzari</t>
  </si>
  <si>
    <t>zum</t>
  </si>
  <si>
    <t>kuna1263</t>
  </si>
  <si>
    <t>Kunai</t>
  </si>
  <si>
    <t>Kunar</t>
  </si>
  <si>
    <t>kuna1265</t>
  </si>
  <si>
    <t>Kunar (Southeast Pashayi)</t>
  </si>
  <si>
    <t>kuna1266</t>
  </si>
  <si>
    <t>Kunabe</t>
  </si>
  <si>
    <t>kuna1267</t>
  </si>
  <si>
    <t>Kunabembe</t>
  </si>
  <si>
    <t>Kunama</t>
  </si>
  <si>
    <t>kun</t>
  </si>
  <si>
    <t>ER ET SD</t>
  </si>
  <si>
    <t>kunb1248</t>
  </si>
  <si>
    <t>Kundi (Khandesi)</t>
  </si>
  <si>
    <t>kunb1249</t>
  </si>
  <si>
    <t>Kunban</t>
  </si>
  <si>
    <t>kunb1250</t>
  </si>
  <si>
    <t>Kunbi</t>
  </si>
  <si>
    <t>Kunbarlang</t>
  </si>
  <si>
    <t>kund1251</t>
  </si>
  <si>
    <t>Kundri</t>
  </si>
  <si>
    <t>kund1252</t>
  </si>
  <si>
    <t>Kundur</t>
  </si>
  <si>
    <t>kund1253</t>
  </si>
  <si>
    <t>Kunduvadi</t>
  </si>
  <si>
    <t>wku</t>
  </si>
  <si>
    <t>kund1254</t>
  </si>
  <si>
    <t>Kunda</t>
  </si>
  <si>
    <t>kund1255</t>
  </si>
  <si>
    <t>sena1271</t>
  </si>
  <si>
    <t>Chikunda</t>
  </si>
  <si>
    <t>kdn</t>
  </si>
  <si>
    <t>MZ ZM ZW</t>
  </si>
  <si>
    <t>kund1256</t>
  </si>
  <si>
    <t>Kunda (Democratic Republic of Congo)</t>
  </si>
  <si>
    <t>kund1257</t>
  </si>
  <si>
    <t>Kundal Shahi</t>
  </si>
  <si>
    <t>shd</t>
  </si>
  <si>
    <t>kund1258</t>
  </si>
  <si>
    <t>Kundedjnjenghmi</t>
  </si>
  <si>
    <t>Kunene</t>
  </si>
  <si>
    <t>kune1235</t>
  </si>
  <si>
    <t>Kune Dulerayek</t>
  </si>
  <si>
    <t>kune1236</t>
  </si>
  <si>
    <t>Kune Narayek</t>
  </si>
  <si>
    <t>kunf1238</t>
  </si>
  <si>
    <t>Kunfal</t>
  </si>
  <si>
    <t>xuf</t>
  </si>
  <si>
    <t>kunf1239</t>
  </si>
  <si>
    <t>Kunf√§l</t>
  </si>
  <si>
    <t>kung1258</t>
  </si>
  <si>
    <t>Kunggari</t>
  </si>
  <si>
    <t>kgl</t>
  </si>
  <si>
    <t>kung1259</t>
  </si>
  <si>
    <t>Kungarakany</t>
  </si>
  <si>
    <t>ggk</t>
  </si>
  <si>
    <t>Kung</t>
  </si>
  <si>
    <t>kfl</t>
  </si>
  <si>
    <t>North-Central Ju</t>
  </si>
  <si>
    <t>knw</t>
  </si>
  <si>
    <t>AO NA ZA</t>
  </si>
  <si>
    <t>kung1262</t>
  </si>
  <si>
    <t>Kunggara</t>
  </si>
  <si>
    <t>kvs</t>
  </si>
  <si>
    <t>kuni1263</t>
  </si>
  <si>
    <t>nucl1506</t>
  </si>
  <si>
    <t>Kuni</t>
  </si>
  <si>
    <t>kse</t>
  </si>
  <si>
    <t>kuni1264</t>
  </si>
  <si>
    <t>Kunini</t>
  </si>
  <si>
    <t>Kuni-Boazi</t>
  </si>
  <si>
    <t>kvg</t>
  </si>
  <si>
    <t>kuni1266</t>
  </si>
  <si>
    <t>Kuni (Western Province)</t>
  </si>
  <si>
    <t>Kunimaipa</t>
  </si>
  <si>
    <t>kuni1268</t>
  </si>
  <si>
    <t>Kunigami</t>
  </si>
  <si>
    <t>xug</t>
  </si>
  <si>
    <t>kuni1269</t>
  </si>
  <si>
    <t>Kunindirri</t>
  </si>
  <si>
    <t>kunj1245</t>
  </si>
  <si>
    <t>Kunjen</t>
  </si>
  <si>
    <t>kjn</t>
  </si>
  <si>
    <t>kunj1246</t>
  </si>
  <si>
    <t>wara1293</t>
  </si>
  <si>
    <t>K√°nch√°</t>
  </si>
  <si>
    <t>pep</t>
  </si>
  <si>
    <t>kunj1247</t>
  </si>
  <si>
    <t>Kunjip</t>
  </si>
  <si>
    <t>Southwestern Alaya-Athima</t>
  </si>
  <si>
    <t>kunl1238</t>
  </si>
  <si>
    <t>Kunlang</t>
  </si>
  <si>
    <t>kunm1234</t>
  </si>
  <si>
    <t>Kunming Chinese</t>
  </si>
  <si>
    <t>kuns1242</t>
  </si>
  <si>
    <t>Kunshenu</t>
  </si>
  <si>
    <t>kunt1238</t>
  </si>
  <si>
    <t>nate1242</t>
  </si>
  <si>
    <t>Kunteni</t>
  </si>
  <si>
    <t>kuny1238</t>
  </si>
  <si>
    <t>Kunyi</t>
  </si>
  <si>
    <t>njx</t>
  </si>
  <si>
    <t>AO CG</t>
  </si>
  <si>
    <t>Kunyi-Beembe</t>
  </si>
  <si>
    <t>kunz1243</t>
  </si>
  <si>
    <t>Kunzakh</t>
  </si>
  <si>
    <t>kunz1244</t>
  </si>
  <si>
    <t>Kunza</t>
  </si>
  <si>
    <t>kuz</t>
  </si>
  <si>
    <t>kuoo1238</t>
  </si>
  <si>
    <t>Kuo</t>
  </si>
  <si>
    <t>xuo</t>
  </si>
  <si>
    <t>kuot1243</t>
  </si>
  <si>
    <t>Kuot</t>
  </si>
  <si>
    <t>kto</t>
  </si>
  <si>
    <t>kupa1238</t>
  </si>
  <si>
    <t>Kupa</t>
  </si>
  <si>
    <t>kug</t>
  </si>
  <si>
    <t>Kupang Malay</t>
  </si>
  <si>
    <t>mkn</t>
  </si>
  <si>
    <t>kupi1238</t>
  </si>
  <si>
    <t>Kupia</t>
  </si>
  <si>
    <t>key</t>
  </si>
  <si>
    <t>kupm1238</t>
  </si>
  <si>
    <t>Kup-Minj</t>
  </si>
  <si>
    <t>kupo1240</t>
  </si>
  <si>
    <t>tang1336</t>
  </si>
  <si>
    <t>Kupome</t>
  </si>
  <si>
    <t>Kupsabiny</t>
  </si>
  <si>
    <t>kura1247</t>
  </si>
  <si>
    <t>Kurangal</t>
  </si>
  <si>
    <t>kura1248</t>
  </si>
  <si>
    <t>west2827</t>
  </si>
  <si>
    <t>Kura Ede Nago</t>
  </si>
  <si>
    <t>nqk</t>
  </si>
  <si>
    <t>kura1249</t>
  </si>
  <si>
    <t>Kurama</t>
  </si>
  <si>
    <t>krh</t>
  </si>
  <si>
    <t>Kuranko</t>
  </si>
  <si>
    <t>knk</t>
  </si>
  <si>
    <t>kurb1242</t>
  </si>
  <si>
    <t>Kurbat</t>
  </si>
  <si>
    <t>kurd1258</t>
  </si>
  <si>
    <t>Kurdar</t>
  </si>
  <si>
    <t>laki1246</t>
  </si>
  <si>
    <t>Kurdish</t>
  </si>
  <si>
    <t>kurd1260</t>
  </si>
  <si>
    <t>Kurdish Sign Language</t>
  </si>
  <si>
    <t>kure1239</t>
  </si>
  <si>
    <t>Kure</t>
  </si>
  <si>
    <t>kure1240</t>
  </si>
  <si>
    <t>Kureinji</t>
  </si>
  <si>
    <t>kurf1238</t>
  </si>
  <si>
    <t>Kurfey</t>
  </si>
  <si>
    <t>kuri1256</t>
  </si>
  <si>
    <t>Kurichiya</t>
  </si>
  <si>
    <t>kfh</t>
  </si>
  <si>
    <t>Kuria</t>
  </si>
  <si>
    <t>kuj</t>
  </si>
  <si>
    <t>kuri1260</t>
  </si>
  <si>
    <t>Nabi</t>
  </si>
  <si>
    <t>nbn</t>
  </si>
  <si>
    <t>kuri1265</t>
  </si>
  <si>
    <t>Kuri (Buduma)</t>
  </si>
  <si>
    <t>kuri1269</t>
  </si>
  <si>
    <t>Kuria Muria</t>
  </si>
  <si>
    <t>yuin1243</t>
  </si>
  <si>
    <t>Kuri</t>
  </si>
  <si>
    <t>kuri1271</t>
  </si>
  <si>
    <t>Kuril Ainu</t>
  </si>
  <si>
    <t>kuri1272</t>
  </si>
  <si>
    <t>Kurima</t>
  </si>
  <si>
    <t>kurm1243</t>
  </si>
  <si>
    <t>uncl1515</t>
  </si>
  <si>
    <t>Kurmukar</t>
  </si>
  <si>
    <t>kfv</t>
  </si>
  <si>
    <t>kurm1244</t>
  </si>
  <si>
    <t>Kurmi</t>
  </si>
  <si>
    <t>kurm1245</t>
  </si>
  <si>
    <t>Kurmin Dangana</t>
  </si>
  <si>
    <t>kuro1242</t>
  </si>
  <si>
    <t>Kuro-Urmi</t>
  </si>
  <si>
    <t>kuro1243</t>
  </si>
  <si>
    <t>Kuroshima</t>
  </si>
  <si>
    <t>kurr1243</t>
  </si>
  <si>
    <t>yind1249</t>
  </si>
  <si>
    <t>Kurrama</t>
  </si>
  <si>
    <t>vku</t>
  </si>
  <si>
    <t>kurr1244</t>
  </si>
  <si>
    <t>Kur (Nigeria)</t>
  </si>
  <si>
    <t>kurr1245</t>
  </si>
  <si>
    <t>teor1239</t>
  </si>
  <si>
    <t>Kur</t>
  </si>
  <si>
    <t>kuv</t>
  </si>
  <si>
    <t>kurt1247</t>
  </si>
  <si>
    <t>Kurtat</t>
  </si>
  <si>
    <t>kurt1248</t>
  </si>
  <si>
    <t>Kurtokha</t>
  </si>
  <si>
    <t>xkz</t>
  </si>
  <si>
    <t>kurt1249</t>
  </si>
  <si>
    <t>Kurtala</t>
  </si>
  <si>
    <t>kurt1250</t>
  </si>
  <si>
    <t>Kurti</t>
  </si>
  <si>
    <t>ktm</t>
  </si>
  <si>
    <t>Kurti-Kele-Ere</t>
  </si>
  <si>
    <t>Kurti-Elu</t>
  </si>
  <si>
    <t>kuru1300</t>
  </si>
  <si>
    <t>Kurux-Malto</t>
  </si>
  <si>
    <t>kuru1301</t>
  </si>
  <si>
    <t>Kurux</t>
  </si>
  <si>
    <t>Kurukh</t>
  </si>
  <si>
    <t>kru</t>
  </si>
  <si>
    <t>kuru1303</t>
  </si>
  <si>
    <t>Kururu</t>
  </si>
  <si>
    <t>kuru1304</t>
  </si>
  <si>
    <t>sara1322</t>
  </si>
  <si>
    <t>Kuruwer</t>
  </si>
  <si>
    <t>kuru1305</t>
  </si>
  <si>
    <t>Kurudu</t>
  </si>
  <si>
    <t>kjr</t>
  </si>
  <si>
    <t>kuru1306</t>
  </si>
  <si>
    <t>Kurur</t>
  </si>
  <si>
    <t>kuru1307</t>
  </si>
  <si>
    <t>Kuru</t>
  </si>
  <si>
    <t>kuru1308</t>
  </si>
  <si>
    <t>Kurungtufu</t>
  </si>
  <si>
    <t>kuru1309</t>
  </si>
  <si>
    <t>mund1329</t>
  </si>
  <si>
    <t>Kuru√°ya</t>
  </si>
  <si>
    <t>kyr</t>
  </si>
  <si>
    <t>kuru1310</t>
  </si>
  <si>
    <t>paum1247</t>
  </si>
  <si>
    <t>Purus Paumari</t>
  </si>
  <si>
    <t>kuru1311</t>
  </si>
  <si>
    <t>Kurung Kumey</t>
  </si>
  <si>
    <t>Kusaal</t>
  </si>
  <si>
    <t>kus</t>
  </si>
  <si>
    <t>BF GH TG</t>
  </si>
  <si>
    <t>kusa1251</t>
  </si>
  <si>
    <t>Kusaghe-Njela</t>
  </si>
  <si>
    <t>ksg</t>
  </si>
  <si>
    <t>kusa1252</t>
  </si>
  <si>
    <t>Kusa-Manlea</t>
  </si>
  <si>
    <t>kusa1253</t>
  </si>
  <si>
    <t>Kusaghe</t>
  </si>
  <si>
    <t>kuse1238</t>
  </si>
  <si>
    <t>yend1241</t>
  </si>
  <si>
    <t>Kuseki</t>
  </si>
  <si>
    <t>kusg1238</t>
  </si>
  <si>
    <t>Kusgilo</t>
  </si>
  <si>
    <t>kush1236</t>
  </si>
  <si>
    <t>tang1367</t>
  </si>
  <si>
    <t>Kushi</t>
  </si>
  <si>
    <t>kuh</t>
  </si>
  <si>
    <t>kusk1241</t>
  </si>
  <si>
    <t>General Central Yup'ik</t>
  </si>
  <si>
    <t>kust1238</t>
  </si>
  <si>
    <t>waur1246</t>
  </si>
  <si>
    <t>Kustenau</t>
  </si>
  <si>
    <t>kusu1250</t>
  </si>
  <si>
    <t>Kusunda</t>
  </si>
  <si>
    <t>kgg</t>
  </si>
  <si>
    <t>kusu1251</t>
  </si>
  <si>
    <t>Kusuntu</t>
  </si>
  <si>
    <t>kusu1252</t>
  </si>
  <si>
    <t>Kusu</t>
  </si>
  <si>
    <t>ksv</t>
  </si>
  <si>
    <t>kusu1253</t>
  </si>
  <si>
    <t>tugu1246</t>
  </si>
  <si>
    <t>Kusuri</t>
  </si>
  <si>
    <t>Kuswaric</t>
  </si>
  <si>
    <t>Kutang Ghale</t>
  </si>
  <si>
    <t>ght</t>
  </si>
  <si>
    <t>kuta1242</t>
  </si>
  <si>
    <t>Kuta</t>
  </si>
  <si>
    <t>Kutep</t>
  </si>
  <si>
    <t>kub</t>
  </si>
  <si>
    <t>kute1249</t>
  </si>
  <si>
    <t>Kutenai</t>
  </si>
  <si>
    <t>kut</t>
  </si>
  <si>
    <t>kuth1239</t>
  </si>
  <si>
    <t>Kuthant-Gurdjar</t>
  </si>
  <si>
    <t>kuth1240</t>
  </si>
  <si>
    <t>Kuthant</t>
  </si>
  <si>
    <t>xut</t>
  </si>
  <si>
    <t>kuti1243</t>
  </si>
  <si>
    <t>Kuti</t>
  </si>
  <si>
    <t>kuto1237</t>
  </si>
  <si>
    <t>sasa1249</t>
  </si>
  <si>
    <t>Kuto-Kute</t>
  </si>
  <si>
    <t>kutt1236</t>
  </si>
  <si>
    <t>kwam1256</t>
  </si>
  <si>
    <t>Kutto</t>
  </si>
  <si>
    <t>kpa</t>
  </si>
  <si>
    <t>kutu1261</t>
  </si>
  <si>
    <t>Kutule</t>
  </si>
  <si>
    <t>kutu1262</t>
  </si>
  <si>
    <t>Kuturmi</t>
  </si>
  <si>
    <t>khj</t>
  </si>
  <si>
    <t>kutu1263</t>
  </si>
  <si>
    <t>kutu1267</t>
  </si>
  <si>
    <t>Kutu</t>
  </si>
  <si>
    <t>kdc</t>
  </si>
  <si>
    <t>kutu1264</t>
  </si>
  <si>
    <t>Kutu (Mongo)</t>
  </si>
  <si>
    <t>kutu1265</t>
  </si>
  <si>
    <t>Kutu (Libinza)</t>
  </si>
  <si>
    <t>kutu1266</t>
  </si>
  <si>
    <t>Kutubu</t>
  </si>
  <si>
    <t>Kutu-Zaramo</t>
  </si>
  <si>
    <t>kuuk1238</t>
  </si>
  <si>
    <t>Kuuku-Ya'u</t>
  </si>
  <si>
    <t>kuy</t>
  </si>
  <si>
    <t>kuuk1242</t>
  </si>
  <si>
    <t>Kuuku</t>
  </si>
  <si>
    <t>kuuk1243</t>
  </si>
  <si>
    <t>uppe1456</t>
  </si>
  <si>
    <t>Kuuk-Yak</t>
  </si>
  <si>
    <t>uky</t>
  </si>
  <si>
    <t>kuun1236</t>
  </si>
  <si>
    <t>pirr1239</t>
  </si>
  <si>
    <t>Kuungkari of Barcoo River</t>
  </si>
  <si>
    <t>lku</t>
  </si>
  <si>
    <t>kuva1242</t>
  </si>
  <si>
    <t>Kuvakan</t>
  </si>
  <si>
    <t>kuva1244</t>
  </si>
  <si>
    <t>Kuvale</t>
  </si>
  <si>
    <t>olu</t>
  </si>
  <si>
    <t>kuve1239</t>
  </si>
  <si>
    <t>Kuvenmas</t>
  </si>
  <si>
    <t>kuvi1243</t>
  </si>
  <si>
    <t>Kuvi</t>
  </si>
  <si>
    <t>kxv</t>
  </si>
  <si>
    <t>kuwa1246</t>
  </si>
  <si>
    <t>Kuwaataay</t>
  </si>
  <si>
    <t>cwt</t>
  </si>
  <si>
    <t>kuwa1247</t>
  </si>
  <si>
    <t>Kuwaa</t>
  </si>
  <si>
    <t>blh</t>
  </si>
  <si>
    <t>Kuwaiti Hadari Arabic</t>
  </si>
  <si>
    <t>kuwa1252</t>
  </si>
  <si>
    <t>Kuwaiti Sign Language</t>
  </si>
  <si>
    <t>KW</t>
  </si>
  <si>
    <t>kuya1247</t>
  </si>
  <si>
    <t>Kuy Antra</t>
  </si>
  <si>
    <t>kuya1248</t>
  </si>
  <si>
    <t>Kuy Anthua</t>
  </si>
  <si>
    <t>kuya1249</t>
  </si>
  <si>
    <t>Kuya</t>
  </si>
  <si>
    <t>Kuyan</t>
  </si>
  <si>
    <t>kuym1241</t>
  </si>
  <si>
    <t>Kuy Mlor</t>
  </si>
  <si>
    <t>kuym1242</t>
  </si>
  <si>
    <t>Kuy May</t>
  </si>
  <si>
    <t>kuys1235</t>
  </si>
  <si>
    <t>Kuy-Souei</t>
  </si>
  <si>
    <t>kuyu1236</t>
  </si>
  <si>
    <t>Kuyubi</t>
  </si>
  <si>
    <t>Kuy</t>
  </si>
  <si>
    <t>kdt</t>
  </si>
  <si>
    <t>KH LA TH</t>
  </si>
  <si>
    <t>kvan1238</t>
  </si>
  <si>
    <t>Kvanxidatl</t>
  </si>
  <si>
    <t>kven1236</t>
  </si>
  <si>
    <t>Kven Finnish</t>
  </si>
  <si>
    <t>fkv</t>
  </si>
  <si>
    <t>FI NO RU</t>
  </si>
  <si>
    <t>unun9903</t>
  </si>
  <si>
    <t>Baa</t>
  </si>
  <si>
    <t>kwb</t>
  </si>
  <si>
    <t>kwaa1263</t>
  </si>
  <si>
    <t>Kwaafi</t>
  </si>
  <si>
    <t>kwaa1264</t>
  </si>
  <si>
    <t>Kwa (Fipa)</t>
  </si>
  <si>
    <t>kwaa1265</t>
  </si>
  <si>
    <t>Kwa'</t>
  </si>
  <si>
    <t>bko</t>
  </si>
  <si>
    <t>kwaa1269</t>
  </si>
  <si>
    <t>Kwaami</t>
  </si>
  <si>
    <t>ksq</t>
  </si>
  <si>
    <t>kwad1244</t>
  </si>
  <si>
    <t>Kwadi</t>
  </si>
  <si>
    <t>kwz</t>
  </si>
  <si>
    <t>kwad1248</t>
  </si>
  <si>
    <t>Kw'adza</t>
  </si>
  <si>
    <t>wka</t>
  </si>
  <si>
    <t>kwag1238</t>
  </si>
  <si>
    <t>Kwagallak</t>
  </si>
  <si>
    <t>kwai1243</t>
  </si>
  <si>
    <t>Kwaio</t>
  </si>
  <si>
    <t>kwd</t>
  </si>
  <si>
    <t>kwai1244</t>
  </si>
  <si>
    <t>Kwaibida</t>
  </si>
  <si>
    <t>kwai1245</t>
  </si>
  <si>
    <t>Kwaibo</t>
  </si>
  <si>
    <t>kwaj1241</t>
  </si>
  <si>
    <t>Kwaji</t>
  </si>
  <si>
    <t>kwaj1242</t>
  </si>
  <si>
    <t>Kwaja-Ndaktup</t>
  </si>
  <si>
    <t>kdz</t>
  </si>
  <si>
    <t>kwaj1243</t>
  </si>
  <si>
    <t>Kwaja</t>
  </si>
  <si>
    <t>kwak1264</t>
  </si>
  <si>
    <t>Kwak</t>
  </si>
  <si>
    <t>kwq</t>
  </si>
  <si>
    <t>kwak1265</t>
  </si>
  <si>
    <t>Kwakwagom</t>
  </si>
  <si>
    <t>Kwakum</t>
  </si>
  <si>
    <t>kwu</t>
  </si>
  <si>
    <t>kwak1267</t>
  </si>
  <si>
    <t>yamb1251</t>
  </si>
  <si>
    <t>Kwak (Yamba)</t>
  </si>
  <si>
    <t>Kwakiutlan</t>
  </si>
  <si>
    <t>Kwak'wala</t>
  </si>
  <si>
    <t>kwal1254</t>
  </si>
  <si>
    <t>Kwaludhi</t>
  </si>
  <si>
    <t>kwal1255</t>
  </si>
  <si>
    <t>Kwali</t>
  </si>
  <si>
    <t>kwal1256</t>
  </si>
  <si>
    <t>Kwalaiwa</t>
  </si>
  <si>
    <t>Kwalean</t>
  </si>
  <si>
    <t>kwam1249</t>
  </si>
  <si>
    <t>Kwama</t>
  </si>
  <si>
    <t>kmq</t>
  </si>
  <si>
    <t>kwam1250</t>
  </si>
  <si>
    <t>unun9918</t>
  </si>
  <si>
    <t>Kwami</t>
  </si>
  <si>
    <t>ktf</t>
  </si>
  <si>
    <t>kwam1251</t>
  </si>
  <si>
    <t>kwam1257</t>
  </si>
  <si>
    <t>Kwambi</t>
  </si>
  <si>
    <t>kwm</t>
  </si>
  <si>
    <t>kwam1252</t>
  </si>
  <si>
    <t>sout3195</t>
  </si>
  <si>
    <t>Kwamera</t>
  </si>
  <si>
    <t>tnk</t>
  </si>
  <si>
    <t>kwam1253</t>
  </si>
  <si>
    <t>weda1241</t>
  </si>
  <si>
    <t>Kwamana</t>
  </si>
  <si>
    <t>kwam1254</t>
  </si>
  <si>
    <t>Kwamtim One</t>
  </si>
  <si>
    <t>okk</t>
  </si>
  <si>
    <t>tang1378</t>
  </si>
  <si>
    <t>Kwami-Kupto</t>
  </si>
  <si>
    <t>Kwambi-Ndonga</t>
  </si>
  <si>
    <t>kwan1271</t>
  </si>
  <si>
    <t>Kwange</t>
  </si>
  <si>
    <t>kwan1273</t>
  </si>
  <si>
    <t>Kwangali</t>
  </si>
  <si>
    <t>kwn</t>
  </si>
  <si>
    <t>kwan1274</t>
  </si>
  <si>
    <t>luya1241</t>
  </si>
  <si>
    <t>Kwandi</t>
  </si>
  <si>
    <t>kwan1275</t>
  </si>
  <si>
    <t>Kwangwa</t>
  </si>
  <si>
    <t>kwan1276</t>
  </si>
  <si>
    <t>Kwanja</t>
  </si>
  <si>
    <t>knp</t>
  </si>
  <si>
    <t>kwan1277</t>
  </si>
  <si>
    <t>Kwange (Nigeria)</t>
  </si>
  <si>
    <t>kwan1286</t>
  </si>
  <si>
    <t>Kwanga</t>
  </si>
  <si>
    <t>kwj</t>
  </si>
  <si>
    <t>Kwang</t>
  </si>
  <si>
    <t>kvi</t>
  </si>
  <si>
    <t>nuku1256</t>
  </si>
  <si>
    <t>Kwanga-Mende</t>
  </si>
  <si>
    <t>kwan1287</t>
  </si>
  <si>
    <t>taro1265</t>
  </si>
  <si>
    <t>Kwanka-Sur</t>
  </si>
  <si>
    <t>Kwangali-Diriku</t>
  </si>
  <si>
    <t>kwan1289</t>
  </si>
  <si>
    <t>Kwandu</t>
  </si>
  <si>
    <t>xdo</t>
  </si>
  <si>
    <t>kwar1239</t>
  </si>
  <si>
    <t>Kwara'ae</t>
  </si>
  <si>
    <t>kwf</t>
  </si>
  <si>
    <t>kwar1243</t>
  </si>
  <si>
    <t>Kwarta Mataci</t>
  </si>
  <si>
    <t>kwas1243</t>
  </si>
  <si>
    <t>Kwasio</t>
  </si>
  <si>
    <t>nmg</t>
  </si>
  <si>
    <t>kwas1244</t>
  </si>
  <si>
    <t>mang1404</t>
  </si>
  <si>
    <t>Kwasang</t>
  </si>
  <si>
    <t>kwat1244</t>
  </si>
  <si>
    <t>Kwato</t>
  </si>
  <si>
    <t>kop</t>
  </si>
  <si>
    <t>Kwatay-Karon-Mlomp</t>
  </si>
  <si>
    <t>kwat1246</t>
  </si>
  <si>
    <t>Kwatl</t>
  </si>
  <si>
    <t>Kwa Volta-Congo</t>
  </si>
  <si>
    <t>kwaw1238</t>
  </si>
  <si>
    <t>Kwawu</t>
  </si>
  <si>
    <t>kway1241</t>
  </si>
  <si>
    <t>Kwaya</t>
  </si>
  <si>
    <t>kya</t>
  </si>
  <si>
    <t>kway1242</t>
  </si>
  <si>
    <t>Kwayam</t>
  </si>
  <si>
    <t>kwaz1242</t>
  </si>
  <si>
    <t>Kwazwimba</t>
  </si>
  <si>
    <t>kwaz1243</t>
  </si>
  <si>
    <t>Kwaza</t>
  </si>
  <si>
    <t>xwa</t>
  </si>
  <si>
    <t>kweg1241</t>
  </si>
  <si>
    <t>sout2837</t>
  </si>
  <si>
    <t>Kwegu</t>
  </si>
  <si>
    <t>xwg</t>
  </si>
  <si>
    <t>kwen1245</t>
  </si>
  <si>
    <t>Kwena</t>
  </si>
  <si>
    <t>kwen1246</t>
  </si>
  <si>
    <t>Kweny</t>
  </si>
  <si>
    <t>kwen1247</t>
  </si>
  <si>
    <t>nume1242</t>
  </si>
  <si>
    <t>Kwenyii</t>
  </si>
  <si>
    <t>kwer1240</t>
  </si>
  <si>
    <t>Kwerba-Samarokena</t>
  </si>
  <si>
    <t>Greater Kwerba</t>
  </si>
  <si>
    <t>kwer1261</t>
  </si>
  <si>
    <t>Kwere</t>
  </si>
  <si>
    <t>cwe</t>
  </si>
  <si>
    <t>Kwerbaic</t>
  </si>
  <si>
    <t>kwer1263</t>
  </si>
  <si>
    <t>Kwerba Mamberamo</t>
  </si>
  <si>
    <t>xwr</t>
  </si>
  <si>
    <t>kwer1264</t>
  </si>
  <si>
    <t>Kwerisa</t>
  </si>
  <si>
    <t>kkb</t>
  </si>
  <si>
    <t>kwer1265</t>
  </si>
  <si>
    <t>Kwer</t>
  </si>
  <si>
    <t>kwr</t>
  </si>
  <si>
    <t>okkk1242</t>
  </si>
  <si>
    <t>Kwer-Kopkaka-Burumakok</t>
  </si>
  <si>
    <t>Kwer-Burumakok</t>
  </si>
  <si>
    <t>kwes1244</t>
  </si>
  <si>
    <t>phee1234</t>
  </si>
  <si>
    <t>Kwese</t>
  </si>
  <si>
    <t>kws</t>
  </si>
  <si>
    <t>kwes1245</t>
  </si>
  <si>
    <t>Kwesten</t>
  </si>
  <si>
    <t>kwt</t>
  </si>
  <si>
    <t>kwii1241</t>
  </si>
  <si>
    <t>!Kwi</t>
  </si>
  <si>
    <t>Kwilu-Umlaut</t>
  </si>
  <si>
    <t>kwil1237</t>
  </si>
  <si>
    <t>Kwilu-Nsong</t>
  </si>
  <si>
    <t>kwin1241</t>
  </si>
  <si>
    <t>Kwini</t>
  </si>
  <si>
    <t>gww</t>
  </si>
  <si>
    <t>kwin1242</t>
  </si>
  <si>
    <t>Kwinsu</t>
  </si>
  <si>
    <t>kuc</t>
  </si>
  <si>
    <t>kwin1243</t>
  </si>
  <si>
    <t>suri1272</t>
  </si>
  <si>
    <t>Kwinti</t>
  </si>
  <si>
    <t>kww</t>
  </si>
  <si>
    <t>kwis1235</t>
  </si>
  <si>
    <t>Kwisi</t>
  </si>
  <si>
    <t>kwol1241</t>
  </si>
  <si>
    <t>Kwolla</t>
  </si>
  <si>
    <t>kwom1262</t>
  </si>
  <si>
    <t>Kwoma</t>
  </si>
  <si>
    <t>kmo</t>
  </si>
  <si>
    <t>Kwomtari-Nai</t>
  </si>
  <si>
    <t>kwom1264</t>
  </si>
  <si>
    <t>mana1302</t>
  </si>
  <si>
    <t>Kwoma-Manambu Pidgin</t>
  </si>
  <si>
    <t>kwon1238</t>
  </si>
  <si>
    <t>piya1245</t>
  </si>
  <si>
    <t>Kwonci</t>
  </si>
  <si>
    <t>kwus1239</t>
  </si>
  <si>
    <t>Kwusaun</t>
  </si>
  <si>
    <t>Kxa</t>
  </si>
  <si>
    <t>kxau1241</t>
  </si>
  <si>
    <t>=/Kx'au//'ein</t>
  </si>
  <si>
    <t>aue</t>
  </si>
  <si>
    <t>kxau1242</t>
  </si>
  <si>
    <t>||Kxau</t>
  </si>
  <si>
    <t>west2506</t>
  </si>
  <si>
    <t>Kxoe-Ani</t>
  </si>
  <si>
    <t>Kxoe</t>
  </si>
  <si>
    <t>xuu</t>
  </si>
  <si>
    <t>AO BW NA ZM</t>
  </si>
  <si>
    <t>kxoe1244</t>
  </si>
  <si>
    <t>Kxoedam</t>
  </si>
  <si>
    <t>kyab1238</t>
  </si>
  <si>
    <t>Kyabrat</t>
  </si>
  <si>
    <t>kyak1243</t>
  </si>
  <si>
    <t>Kyak</t>
  </si>
  <si>
    <t>bka</t>
  </si>
  <si>
    <t>kyak1244</t>
  </si>
  <si>
    <t>Kyaka</t>
  </si>
  <si>
    <t>kyc</t>
  </si>
  <si>
    <t>kyan1239</t>
  </si>
  <si>
    <t>Kyanzi</t>
  </si>
  <si>
    <t>kyau1238</t>
  </si>
  <si>
    <t>Kyaura</t>
  </si>
  <si>
    <t>kyen1241</t>
  </si>
  <si>
    <t>Kyenga-Shanga</t>
  </si>
  <si>
    <t>kyen1242</t>
  </si>
  <si>
    <t>Kyenga</t>
  </si>
  <si>
    <t>tye</t>
  </si>
  <si>
    <t>kyen1243</t>
  </si>
  <si>
    <t>Kyenele</t>
  </si>
  <si>
    <t>kql</t>
  </si>
  <si>
    <t>kyer1238</t>
  </si>
  <si>
    <t>Kyerung</t>
  </si>
  <si>
    <t>kgy</t>
  </si>
  <si>
    <t>Kyirong-Kagate</t>
  </si>
  <si>
    <t>kyir1236</t>
  </si>
  <si>
    <t>Kyirong</t>
  </si>
  <si>
    <t>kyon1245</t>
  </si>
  <si>
    <t>loth1237</t>
  </si>
  <si>
    <t>Kyon</t>
  </si>
  <si>
    <t>kyon1246</t>
  </si>
  <si>
    <t>Kyong</t>
  </si>
  <si>
    <t>kyon1247</t>
  </si>
  <si>
    <t>Kyongsangdo</t>
  </si>
  <si>
    <t>kyoo1238</t>
  </si>
  <si>
    <t>Kyo</t>
  </si>
  <si>
    <t>Kyoto</t>
  </si>
  <si>
    <t>kyou1238</t>
  </si>
  <si>
    <t>Kyou</t>
  </si>
  <si>
    <t>kyur1234</t>
  </si>
  <si>
    <t>Kyurav</t>
  </si>
  <si>
    <t>kyur1235</t>
  </si>
  <si>
    <t>Kyurin</t>
  </si>
  <si>
    <t>Ky≈´sh≈´</t>
  </si>
  <si>
    <t>kyzy1244</t>
  </si>
  <si>
    <t>Kyzyl</t>
  </si>
  <si>
    <t>kyzy1245</t>
  </si>
  <si>
    <t>Kyzylbash</t>
  </si>
  <si>
    <t>laaa1238</t>
  </si>
  <si>
    <t>La</t>
  </si>
  <si>
    <t>laab1237</t>
  </si>
  <si>
    <t>laal1242</t>
  </si>
  <si>
    <t>Laabe</t>
  </si>
  <si>
    <t>laal1241</t>
  </si>
  <si>
    <t>L√°√° L√°√° Bwamu</t>
  </si>
  <si>
    <t>bwj</t>
  </si>
  <si>
    <t>Laal</t>
  </si>
  <si>
    <t>gdm</t>
  </si>
  <si>
    <t>laal1243</t>
  </si>
  <si>
    <t>west2839</t>
  </si>
  <si>
    <t>Laali-Tsaayi-Yaka</t>
  </si>
  <si>
    <t>laal1244</t>
  </si>
  <si>
    <t>Laali-Yaa</t>
  </si>
  <si>
    <t>Laari</t>
  </si>
  <si>
    <t>ldi</t>
  </si>
  <si>
    <t>laba1241</t>
  </si>
  <si>
    <t>Laba</t>
  </si>
  <si>
    <t>lau</t>
  </si>
  <si>
    <t>west2541</t>
  </si>
  <si>
    <t>Labalekan</t>
  </si>
  <si>
    <t>labe1239</t>
  </si>
  <si>
    <t>Label</t>
  </si>
  <si>
    <t>lbb</t>
  </si>
  <si>
    <t>labe1240</t>
  </si>
  <si>
    <t>Labe</t>
  </si>
  <si>
    <t>Label-Bilur</t>
  </si>
  <si>
    <t>labi1244</t>
  </si>
  <si>
    <t>La'bi</t>
  </si>
  <si>
    <t>lbi</t>
  </si>
  <si>
    <t>labi1245</t>
  </si>
  <si>
    <t>Labir</t>
  </si>
  <si>
    <t>jku</t>
  </si>
  <si>
    <t>labo1236</t>
  </si>
  <si>
    <t>Labourdin</t>
  </si>
  <si>
    <t>labo1243</t>
  </si>
  <si>
    <t>Labo Phowa</t>
  </si>
  <si>
    <t>ypb</t>
  </si>
  <si>
    <t>labo1244</t>
  </si>
  <si>
    <t>nind1243</t>
  </si>
  <si>
    <t>Ninde</t>
  </si>
  <si>
    <t>mwi</t>
  </si>
  <si>
    <t>labo1245</t>
  </si>
  <si>
    <t>LƒÅb√≥ Pumi</t>
  </si>
  <si>
    <t>labr1244</t>
  </si>
  <si>
    <t>nuna1235</t>
  </si>
  <si>
    <t>North Labrador Eskimo</t>
  </si>
  <si>
    <t>labt1234</t>
  </si>
  <si>
    <t>Lab Tosk</t>
  </si>
  <si>
    <t>labu1248</t>
  </si>
  <si>
    <t>Labu</t>
  </si>
  <si>
    <t>lbu</t>
  </si>
  <si>
    <t>labu1249</t>
  </si>
  <si>
    <t>Labuk-Kinabatangan Kadazan</t>
  </si>
  <si>
    <t>dtb</t>
  </si>
  <si>
    <t>labu1250</t>
  </si>
  <si>
    <t>Labuk (Kadazan)</t>
  </si>
  <si>
    <t>labu1251</t>
  </si>
  <si>
    <t>Labuandiri</t>
  </si>
  <si>
    <t>labu1252</t>
  </si>
  <si>
    <t>Labuan</t>
  </si>
  <si>
    <t>labu1253</t>
  </si>
  <si>
    <t>nort3262</t>
  </si>
  <si>
    <t>Labuk (Tidund)</t>
  </si>
  <si>
    <t>labw1238</t>
  </si>
  <si>
    <t>Labwor</t>
  </si>
  <si>
    <t>lth</t>
  </si>
  <si>
    <t>yuca1253</t>
  </si>
  <si>
    <t>Lacandon</t>
  </si>
  <si>
    <t>laca1244</t>
  </si>
  <si>
    <t>Lacanj√°</t>
  </si>
  <si>
    <t>lacc1239</t>
  </si>
  <si>
    <t>Lac</t>
  </si>
  <si>
    <t>lach1246</t>
  </si>
  <si>
    <t>Lach</t>
  </si>
  <si>
    <t>lach1247</t>
  </si>
  <si>
    <t>Lachic</t>
  </si>
  <si>
    <t>lach1248</t>
  </si>
  <si>
    <t>Lachi</t>
  </si>
  <si>
    <t>lbt</t>
  </si>
  <si>
    <t>lach1249</t>
  </si>
  <si>
    <t>Lachix√≠o Zapotec</t>
  </si>
  <si>
    <t>zpl</t>
  </si>
  <si>
    <t>lach1250</t>
  </si>
  <si>
    <t>Lachiguiri Zapotec</t>
  </si>
  <si>
    <t>zpa</t>
  </si>
  <si>
    <t>lach1251</t>
  </si>
  <si>
    <t>Lachirioag Zapotec</t>
  </si>
  <si>
    <t>ztc</t>
  </si>
  <si>
    <t>laco1243</t>
  </si>
  <si>
    <t>La Conception</t>
  </si>
  <si>
    <t>lacs1238</t>
  </si>
  <si>
    <t>Lac Seul Ojibwa</t>
  </si>
  <si>
    <t>lact1237</t>
  </si>
  <si>
    <t>Lactan</t>
  </si>
  <si>
    <t>Western Archaic Tibetan</t>
  </si>
  <si>
    <t>lada1244</t>
  </si>
  <si>
    <t>Leh-Kenhat</t>
  </si>
  <si>
    <t>lbj</t>
  </si>
  <si>
    <t>lada1245</t>
  </si>
  <si>
    <t>Ladakhi Sign</t>
  </si>
  <si>
    <t>Ladin</t>
  </si>
  <si>
    <t>lld</t>
  </si>
  <si>
    <t>sout3200</t>
  </si>
  <si>
    <t>Ladino</t>
  </si>
  <si>
    <t>lad</t>
  </si>
  <si>
    <t>GR TR</t>
  </si>
  <si>
    <t>ladj1234</t>
  </si>
  <si>
    <t>Ladji Ladji</t>
  </si>
  <si>
    <t>llj</t>
  </si>
  <si>
    <t>nort3282</t>
  </si>
  <si>
    <t>Ladogan</t>
  </si>
  <si>
    <t>laek1243</t>
  </si>
  <si>
    <t>Laeko-Libuat</t>
  </si>
  <si>
    <t>lkl</t>
  </si>
  <si>
    <t>lafi1238</t>
  </si>
  <si>
    <t>nort2806</t>
  </si>
  <si>
    <t>La'fi</t>
  </si>
  <si>
    <t>Lafofa</t>
  </si>
  <si>
    <t>laf</t>
  </si>
  <si>
    <t>laga1241</t>
  </si>
  <si>
    <t>Lagarteiru</t>
  </si>
  <si>
    <t>laga1242</t>
  </si>
  <si>
    <t>Lagawe Ifugao</t>
  </si>
  <si>
    <t>lagh1243</t>
  </si>
  <si>
    <t>Laghman</t>
  </si>
  <si>
    <t>lagh1244</t>
  </si>
  <si>
    <t>muji1235</t>
  </si>
  <si>
    <t>Laghuu-Core Muji</t>
  </si>
  <si>
    <t>lagh1245</t>
  </si>
  <si>
    <t>Laghuu</t>
  </si>
  <si>
    <t>lgh</t>
  </si>
  <si>
    <t>lagh1246</t>
  </si>
  <si>
    <t>west2523</t>
  </si>
  <si>
    <t>Laghu</t>
  </si>
  <si>
    <t>lgb</t>
  </si>
  <si>
    <t>lagi1237</t>
  </si>
  <si>
    <t>Lagis</t>
  </si>
  <si>
    <t>lago1242</t>
  </si>
  <si>
    <t>Lagowa</t>
  </si>
  <si>
    <t>skou1238</t>
  </si>
  <si>
    <t>Barupu Lagoon</t>
  </si>
  <si>
    <t>lagu1249</t>
  </si>
  <si>
    <t>Lagume</t>
  </si>
  <si>
    <t>lagu1250</t>
  </si>
  <si>
    <t>Laguna</t>
  </si>
  <si>
    <t>Lagwan</t>
  </si>
  <si>
    <t>kot</t>
  </si>
  <si>
    <t>laha1249</t>
  </si>
  <si>
    <t>Lahaulic</t>
  </si>
  <si>
    <t>laha1250</t>
  </si>
  <si>
    <t>Laha (Viet Nam)</t>
  </si>
  <si>
    <t>lha</t>
  </si>
  <si>
    <t>laha1251</t>
  </si>
  <si>
    <t>Laha (Indonesia)</t>
  </si>
  <si>
    <t>lhh</t>
  </si>
  <si>
    <t>laha1252</t>
  </si>
  <si>
    <t>telu1263</t>
  </si>
  <si>
    <t>Laha Serani</t>
  </si>
  <si>
    <t>laha1253</t>
  </si>
  <si>
    <t>Lahanan</t>
  </si>
  <si>
    <t>lhn</t>
  </si>
  <si>
    <t>laha1254</t>
  </si>
  <si>
    <t>Lahada</t>
  </si>
  <si>
    <t>Lahauli-Spiti</t>
  </si>
  <si>
    <t>Lahnda</t>
  </si>
  <si>
    <t>Lahoid</t>
  </si>
  <si>
    <t>laht1236</t>
  </si>
  <si>
    <t>Lahta Karen</t>
  </si>
  <si>
    <t>kvt</t>
  </si>
  <si>
    <t>lahu1250</t>
  </si>
  <si>
    <t>Lahul Lohar</t>
  </si>
  <si>
    <t>lhl</t>
  </si>
  <si>
    <t>lahu1252</t>
  </si>
  <si>
    <t>Lahu Shi</t>
  </si>
  <si>
    <t>lhi</t>
  </si>
  <si>
    <t>lahu1253</t>
  </si>
  <si>
    <t>Lahu</t>
  </si>
  <si>
    <t>lhu</t>
  </si>
  <si>
    <t>lahu1254</t>
  </si>
  <si>
    <t>Lahu Phung</t>
  </si>
  <si>
    <t>lahu1255</t>
  </si>
  <si>
    <t>Lahu Shi (Retired)</t>
  </si>
  <si>
    <t>kds</t>
  </si>
  <si>
    <t>lahy1238</t>
  </si>
  <si>
    <t>Lahyj</t>
  </si>
  <si>
    <t>laia1241</t>
  </si>
  <si>
    <t>Laia</t>
  </si>
  <si>
    <t>laia1242</t>
  </si>
  <si>
    <t>Laiagam</t>
  </si>
  <si>
    <t>Lai Chin</t>
  </si>
  <si>
    <t>laii1239</t>
  </si>
  <si>
    <t>Lai</t>
  </si>
  <si>
    <t>laim1240</t>
  </si>
  <si>
    <t>Laimbue</t>
  </si>
  <si>
    <t>lmx</t>
  </si>
  <si>
    <t>lait1238</t>
  </si>
  <si>
    <t>Laitokitok</t>
  </si>
  <si>
    <t>laiw1239</t>
  </si>
  <si>
    <t>Laiwui</t>
  </si>
  <si>
    <t>laiy1245</t>
  </si>
  <si>
    <t>moro1285</t>
  </si>
  <si>
    <t>Laiyen</t>
  </si>
  <si>
    <t>Laiyolo</t>
  </si>
  <si>
    <t>lji</t>
  </si>
  <si>
    <t>laiy1247</t>
  </si>
  <si>
    <t>Laiya</t>
  </si>
  <si>
    <t>laiz1241</t>
  </si>
  <si>
    <t>Laizo</t>
  </si>
  <si>
    <t>laja1238</t>
  </si>
  <si>
    <t>La Jalca</t>
  </si>
  <si>
    <t>laju1238</t>
  </si>
  <si>
    <t>Laju</t>
  </si>
  <si>
    <t>laka1251</t>
  </si>
  <si>
    <t>Lakadong</t>
  </si>
  <si>
    <t>laka1252</t>
  </si>
  <si>
    <t>unun9907</t>
  </si>
  <si>
    <t>Laka (Nigeria)</t>
  </si>
  <si>
    <t>lak</t>
  </si>
  <si>
    <t>laka1253</t>
  </si>
  <si>
    <t>Lakama'di</t>
  </si>
  <si>
    <t>Laka (Chad)</t>
  </si>
  <si>
    <t>lap</t>
  </si>
  <si>
    <t>laka1255</t>
  </si>
  <si>
    <t>Lakalei</t>
  </si>
  <si>
    <t>lka</t>
  </si>
  <si>
    <t>lake1254</t>
  </si>
  <si>
    <t>Laket</t>
  </si>
  <si>
    <t>Lakes Plain</t>
  </si>
  <si>
    <t>lake1256</t>
  </si>
  <si>
    <t>Lake</t>
  </si>
  <si>
    <t>lake1257</t>
  </si>
  <si>
    <t>Lake of the Woods Ojibwa</t>
  </si>
  <si>
    <t>lake1258</t>
  </si>
  <si>
    <t>Lake Miwok</t>
  </si>
  <si>
    <t>lmw</t>
  </si>
  <si>
    <t>lake1259</t>
  </si>
  <si>
    <t>Lake Constance Alemannic</t>
  </si>
  <si>
    <t>lakh1240</t>
  </si>
  <si>
    <t>Lakha</t>
  </si>
  <si>
    <t>lkh</t>
  </si>
  <si>
    <t>laki1244</t>
  </si>
  <si>
    <t>Laki</t>
  </si>
  <si>
    <t>lki</t>
  </si>
  <si>
    <t>laki1245</t>
  </si>
  <si>
    <t>Laking</t>
  </si>
  <si>
    <t>Laki-Kurdish</t>
  </si>
  <si>
    <t>Lakkia-Biao</t>
  </si>
  <si>
    <t>lakk1238</t>
  </si>
  <si>
    <t>Lakkia</t>
  </si>
  <si>
    <t>lbc</t>
  </si>
  <si>
    <t>Lak</t>
  </si>
  <si>
    <t>lbe</t>
  </si>
  <si>
    <t>AZ GE KZ RU UA</t>
  </si>
  <si>
    <t>lako1244</t>
  </si>
  <si>
    <t>Lakota Dida</t>
  </si>
  <si>
    <t>dic</t>
  </si>
  <si>
    <t>lako1245</t>
  </si>
  <si>
    <t>Lakon</t>
  </si>
  <si>
    <t>lkn</t>
  </si>
  <si>
    <t>lako1246</t>
  </si>
  <si>
    <t>nucl1536</t>
  </si>
  <si>
    <t>Lakor</t>
  </si>
  <si>
    <t>Lakota</t>
  </si>
  <si>
    <t>lako1248</t>
  </si>
  <si>
    <t>roos1235</t>
  </si>
  <si>
    <t>Lakond√™</t>
  </si>
  <si>
    <t>lkd</t>
  </si>
  <si>
    <t>laku1237</t>
  </si>
  <si>
    <t>Lakudo</t>
  </si>
  <si>
    <t>laku1238</t>
  </si>
  <si>
    <t>Lakuramau</t>
  </si>
  <si>
    <t>Lala-Roba</t>
  </si>
  <si>
    <t>lla</t>
  </si>
  <si>
    <t>lala1262</t>
  </si>
  <si>
    <t>Lala (Nigeria)</t>
  </si>
  <si>
    <t>lala1263</t>
  </si>
  <si>
    <t>Lala (Zulu)</t>
  </si>
  <si>
    <t>Lala-Bisa</t>
  </si>
  <si>
    <t>lala1265</t>
  </si>
  <si>
    <t>Lala (Lala-Bisa)</t>
  </si>
  <si>
    <t>lala1266</t>
  </si>
  <si>
    <t>Lalang</t>
  </si>
  <si>
    <t>lala1267</t>
  </si>
  <si>
    <t>Lalaura</t>
  </si>
  <si>
    <t>nrz</t>
  </si>
  <si>
    <t>lala1269</t>
  </si>
  <si>
    <t>sawi1256</t>
  </si>
  <si>
    <t>Lalamana</t>
  </si>
  <si>
    <t>lala1270</t>
  </si>
  <si>
    <t>Lalana Chinantec</t>
  </si>
  <si>
    <t>cnl</t>
  </si>
  <si>
    <t>lali1241</t>
  </si>
  <si>
    <t>Lalin</t>
  </si>
  <si>
    <t>lali1242</t>
  </si>
  <si>
    <t>ngan1302</t>
  </si>
  <si>
    <t>Lalia</t>
  </si>
  <si>
    <t>lal</t>
  </si>
  <si>
    <t>lall1238</t>
  </si>
  <si>
    <t>Lallere</t>
  </si>
  <si>
    <t>lalo1239</t>
  </si>
  <si>
    <t>waru1266</t>
  </si>
  <si>
    <t>Lalomerui</t>
  </si>
  <si>
    <t>Lalo</t>
  </si>
  <si>
    <t>lisu1252</t>
  </si>
  <si>
    <t>Laluba-Lavu</t>
  </si>
  <si>
    <t>Lamalamic</t>
  </si>
  <si>
    <t>lama1274</t>
  </si>
  <si>
    <t>Lama-Tissi</t>
  </si>
  <si>
    <t>Lama (Togo)</t>
  </si>
  <si>
    <t>las</t>
  </si>
  <si>
    <t>lama1276</t>
  </si>
  <si>
    <t>Lamandau</t>
  </si>
  <si>
    <t>lama1277</t>
  </si>
  <si>
    <t>Lamaholot</t>
  </si>
  <si>
    <t>slp</t>
  </si>
  <si>
    <t>Peripheral Lembata</t>
  </si>
  <si>
    <t>lmr</t>
  </si>
  <si>
    <t>lama1279</t>
  </si>
  <si>
    <t>lama1297</t>
  </si>
  <si>
    <t>Lamatuka</t>
  </si>
  <si>
    <t>lmq</t>
  </si>
  <si>
    <t>lama1280</t>
  </si>
  <si>
    <t>Lamag Sungai</t>
  </si>
  <si>
    <t>lama1281</t>
  </si>
  <si>
    <t>sira1267</t>
  </si>
  <si>
    <t>Lamai</t>
  </si>
  <si>
    <t>Lamang-Hdi</t>
  </si>
  <si>
    <t>Lamang</t>
  </si>
  <si>
    <t>hia</t>
  </si>
  <si>
    <t>lama1289</t>
  </si>
  <si>
    <t>Lama (Myanmar)</t>
  </si>
  <si>
    <t>lay</t>
  </si>
  <si>
    <t>lama1290</t>
  </si>
  <si>
    <t>Lamam</t>
  </si>
  <si>
    <t>lmm</t>
  </si>
  <si>
    <t>Lamamic</t>
  </si>
  <si>
    <t>lama1292</t>
  </si>
  <si>
    <t>sika1265</t>
  </si>
  <si>
    <t>Lamaholotic</t>
  </si>
  <si>
    <t>Lamaholot Barat</t>
  </si>
  <si>
    <t>lama1294</t>
  </si>
  <si>
    <t>Lamaholot Tengah</t>
  </si>
  <si>
    <t>lama1296</t>
  </si>
  <si>
    <t>Lama Naga</t>
  </si>
  <si>
    <t>Lamaholot Timur</t>
  </si>
  <si>
    <t>lama1298</t>
  </si>
  <si>
    <t>Lamakera</t>
  </si>
  <si>
    <t>lama1299</t>
  </si>
  <si>
    <t>sout3267</t>
  </si>
  <si>
    <t>Lamalera</t>
  </si>
  <si>
    <t>lama1300</t>
  </si>
  <si>
    <t>leba1240</t>
  </si>
  <si>
    <t>Lamahora</t>
  </si>
  <si>
    <t>Lambadi</t>
  </si>
  <si>
    <t>lmn</t>
  </si>
  <si>
    <t>lamb1270</t>
  </si>
  <si>
    <t>Lambwe</t>
  </si>
  <si>
    <t>lamb1271</t>
  </si>
  <si>
    <t>Lamba</t>
  </si>
  <si>
    <t>lam</t>
  </si>
  <si>
    <t>lamb1272</t>
  </si>
  <si>
    <t>nyik1250</t>
  </si>
  <si>
    <t>Lambya</t>
  </si>
  <si>
    <t>lai</t>
  </si>
  <si>
    <t>MW TZ ZM</t>
  </si>
  <si>
    <t>lamb1273</t>
  </si>
  <si>
    <t>wewe1239</t>
  </si>
  <si>
    <t>Lamboya</t>
  </si>
  <si>
    <t>lmy</t>
  </si>
  <si>
    <t>lamb1274</t>
  </si>
  <si>
    <t>Lambunao</t>
  </si>
  <si>
    <t>lamb1275</t>
  </si>
  <si>
    <t>Lambau</t>
  </si>
  <si>
    <t>Lambayeque Quechua</t>
  </si>
  <si>
    <t>quf</t>
  </si>
  <si>
    <t>lamb1277</t>
  </si>
  <si>
    <t>Lambichhong</t>
  </si>
  <si>
    <t>lmh</t>
  </si>
  <si>
    <t>lamd1238</t>
  </si>
  <si>
    <t>Lamdija</t>
  </si>
  <si>
    <t>lame1256</t>
  </si>
  <si>
    <t>Lamet</t>
  </si>
  <si>
    <t>lbn</t>
  </si>
  <si>
    <t>Lame</t>
  </si>
  <si>
    <t>bma</t>
  </si>
  <si>
    <t>lame1259</t>
  </si>
  <si>
    <t>Lamenu-Lewo</t>
  </si>
  <si>
    <t>lame1260</t>
  </si>
  <si>
    <t>Lamenu</t>
  </si>
  <si>
    <t>lmu</t>
  </si>
  <si>
    <t>lame1261</t>
  </si>
  <si>
    <t>La Mesa del Nayar Cora</t>
  </si>
  <si>
    <t>lame1268</t>
  </si>
  <si>
    <t>Lam√©</t>
  </si>
  <si>
    <t>nort3210</t>
  </si>
  <si>
    <t>Lameic</t>
  </si>
  <si>
    <t>lami1238</t>
  </si>
  <si>
    <t>Laminusa</t>
  </si>
  <si>
    <t>lami1239</t>
  </si>
  <si>
    <t>Lami</t>
  </si>
  <si>
    <t>lamj1244</t>
  </si>
  <si>
    <t>Lamjung Gurung</t>
  </si>
  <si>
    <t>Lamja-Dengsa-Tola</t>
  </si>
  <si>
    <t>ldh</t>
  </si>
  <si>
    <t>lamj1246</t>
  </si>
  <si>
    <t>Lamja</t>
  </si>
  <si>
    <t>lamj1247</t>
  </si>
  <si>
    <t>Lamjung Yolmo</t>
  </si>
  <si>
    <t>lamk1238</t>
  </si>
  <si>
    <t>Lamkang</t>
  </si>
  <si>
    <t>lmk</t>
  </si>
  <si>
    <t>Western Pantar</t>
  </si>
  <si>
    <t>lev</t>
  </si>
  <si>
    <t>lamm1244</t>
  </si>
  <si>
    <t>Lam</t>
  </si>
  <si>
    <t>lamn1239</t>
  </si>
  <si>
    <t>Lamnso'</t>
  </si>
  <si>
    <t>lns</t>
  </si>
  <si>
    <t>lamo1242</t>
  </si>
  <si>
    <t>Lamogi</t>
  </si>
  <si>
    <t>lamo1243</t>
  </si>
  <si>
    <t>Lamotrek</t>
  </si>
  <si>
    <t>Lamogai</t>
  </si>
  <si>
    <t>lmg</t>
  </si>
  <si>
    <t>lamo1245</t>
  </si>
  <si>
    <t>Lamo</t>
  </si>
  <si>
    <t>Lampungic</t>
  </si>
  <si>
    <t>Lampung Nyo</t>
  </si>
  <si>
    <t>abl</t>
  </si>
  <si>
    <t>lamp1243</t>
  </si>
  <si>
    <t>Lampung Api</t>
  </si>
  <si>
    <t>ljp</t>
  </si>
  <si>
    <t>lamu1252</t>
  </si>
  <si>
    <t>Lamuti</t>
  </si>
  <si>
    <t>lamu1253</t>
  </si>
  <si>
    <t>Lamunkhin</t>
  </si>
  <si>
    <t>lamu1254</t>
  </si>
  <si>
    <t>Lamalama</t>
  </si>
  <si>
    <t>lby</t>
  </si>
  <si>
    <t>lamu1255</t>
  </si>
  <si>
    <t>Lamusong</t>
  </si>
  <si>
    <t>lamu1256</t>
  </si>
  <si>
    <t>Lamud</t>
  </si>
  <si>
    <t>lamu1257</t>
  </si>
  <si>
    <t>Lamu</t>
  </si>
  <si>
    <t>llh</t>
  </si>
  <si>
    <t>lamz1238</t>
  </si>
  <si>
    <t>Lamzang</t>
  </si>
  <si>
    <t>lana1236</t>
  </si>
  <si>
    <t>uppe1426</t>
  </si>
  <si>
    <t>Lanas Lobu</t>
  </si>
  <si>
    <t>ruu</t>
  </si>
  <si>
    <t>lanc1236</t>
  </si>
  <si>
    <t>west2900</t>
  </si>
  <si>
    <t>Lancashire English</t>
  </si>
  <si>
    <t>land1254</t>
  </si>
  <si>
    <t>Landais</t>
  </si>
  <si>
    <t>land1255</t>
  </si>
  <si>
    <t>Lander River Warlpiri</t>
  </si>
  <si>
    <t>land1256</t>
  </si>
  <si>
    <t>Landoma</t>
  </si>
  <si>
    <t>ldm</t>
  </si>
  <si>
    <t>land1257</t>
  </si>
  <si>
    <t>ring1244</t>
  </si>
  <si>
    <t>Landu</t>
  </si>
  <si>
    <t>land1259</t>
  </si>
  <si>
    <t>Landawe</t>
  </si>
  <si>
    <t>land1260</t>
  </si>
  <si>
    <t>Landikma</t>
  </si>
  <si>
    <t>Land Dayak</t>
  </si>
  <si>
    <t>land1262</t>
  </si>
  <si>
    <t>Land Dayak (Retired)</t>
  </si>
  <si>
    <t>dyk</t>
  </si>
  <si>
    <t>land1263</t>
  </si>
  <si>
    <t>Landler</t>
  </si>
  <si>
    <t>lang1248</t>
  </si>
  <si>
    <t>Langue des signes de Belgique Francophone</t>
  </si>
  <si>
    <t>sfb</t>
  </si>
  <si>
    <t>BE</t>
  </si>
  <si>
    <t>sout2612</t>
  </si>
  <si>
    <t>Languedocian Occitan</t>
  </si>
  <si>
    <t>lang1310</t>
  </si>
  <si>
    <t>Languedocien Moyen</t>
  </si>
  <si>
    <t>lang1311</t>
  </si>
  <si>
    <t>zaiw1241</t>
  </si>
  <si>
    <t>Langwa</t>
  </si>
  <si>
    <t>lang1312</t>
  </si>
  <si>
    <t>Langrong</t>
  </si>
  <si>
    <t>lang1313</t>
  </si>
  <si>
    <t>Langiung</t>
  </si>
  <si>
    <t>lang1315</t>
  </si>
  <si>
    <t>Langshin</t>
  </si>
  <si>
    <t>lang1316</t>
  </si>
  <si>
    <t>Langnian Buyang</t>
  </si>
  <si>
    <t>yln</t>
  </si>
  <si>
    <t>lang1317</t>
  </si>
  <si>
    <t>sout2787</t>
  </si>
  <si>
    <t>Langba</t>
  </si>
  <si>
    <t>lang1318</t>
  </si>
  <si>
    <t>sout2786</t>
  </si>
  <si>
    <t>Langbashe</t>
  </si>
  <si>
    <t>lna</t>
  </si>
  <si>
    <t>lang1319</t>
  </si>
  <si>
    <t>Langantere</t>
  </si>
  <si>
    <t>mbug1243</t>
  </si>
  <si>
    <t>Langi</t>
  </si>
  <si>
    <t>lag</t>
  </si>
  <si>
    <t>lang1321</t>
  </si>
  <si>
    <t>Langa</t>
  </si>
  <si>
    <t>lang1322</t>
  </si>
  <si>
    <t>Lango (Sudan)</t>
  </si>
  <si>
    <t>lno</t>
  </si>
  <si>
    <t>Lango-Kumam</t>
  </si>
  <si>
    <t>lang1324</t>
  </si>
  <si>
    <t>Lango (Uganda)</t>
  </si>
  <si>
    <t>laj</t>
  </si>
  <si>
    <t>lang1325</t>
  </si>
  <si>
    <t>tont1239</t>
  </si>
  <si>
    <t>Langoan</t>
  </si>
  <si>
    <t>lang1326</t>
  </si>
  <si>
    <t>Languyan</t>
  </si>
  <si>
    <t>lang1327</t>
  </si>
  <si>
    <t>Langkuru</t>
  </si>
  <si>
    <t>lang1328</t>
  </si>
  <si>
    <t>Pondi</t>
  </si>
  <si>
    <t>lnm</t>
  </si>
  <si>
    <t>lang1332</t>
  </si>
  <si>
    <t>Langas</t>
  </si>
  <si>
    <t>lang1333</t>
  </si>
  <si>
    <t>Lang'e</t>
  </si>
  <si>
    <t>yne</t>
  </si>
  <si>
    <t>lang1334</t>
  </si>
  <si>
    <t>Languedocien</t>
  </si>
  <si>
    <t>lnc</t>
  </si>
  <si>
    <t>lang1335</t>
  </si>
  <si>
    <t>Langue des Signes Zairoise</t>
  </si>
  <si>
    <t>lang1336</t>
  </si>
  <si>
    <t>Langue des Signes de Bouakako</t>
  </si>
  <si>
    <t>Langues d'Oil</t>
  </si>
  <si>
    <t>lanj1237</t>
  </si>
  <si>
    <t>Lanjoda</t>
  </si>
  <si>
    <t>lank1241</t>
  </si>
  <si>
    <t>Lankaviri</t>
  </si>
  <si>
    <t>lank1242</t>
  </si>
  <si>
    <t>Lankpese</t>
  </si>
  <si>
    <t>lank1243</t>
  </si>
  <si>
    <t>Lankai</t>
  </si>
  <si>
    <t>lann1238</t>
  </si>
  <si>
    <t>Lannachyo</t>
  </si>
  <si>
    <t>lano1244</t>
  </si>
  <si>
    <t>seno1278</t>
  </si>
  <si>
    <t>Lanoh-Semnam-Temiar</t>
  </si>
  <si>
    <t>lano1245</t>
  </si>
  <si>
    <t>Lanoh Kobak</t>
  </si>
  <si>
    <t>lano1246</t>
  </si>
  <si>
    <t>Lanoh-Semnam</t>
  </si>
  <si>
    <t>lano1247</t>
  </si>
  <si>
    <t>Lanohic</t>
  </si>
  <si>
    <t>lano1248</t>
  </si>
  <si>
    <t>Lanoh</t>
  </si>
  <si>
    <t>lnh</t>
  </si>
  <si>
    <t>lanp1241</t>
  </si>
  <si>
    <t>Lanping</t>
  </si>
  <si>
    <t>lant1240</t>
  </si>
  <si>
    <t>Lantoi</t>
  </si>
  <si>
    <t>lanz1234</t>
  </si>
  <si>
    <t>xibe1241</t>
  </si>
  <si>
    <t>Lanzhou Mandarin</t>
  </si>
  <si>
    <t>laok1241</t>
  </si>
  <si>
    <t>Lao-Khrang</t>
  </si>
  <si>
    <t>laok1242</t>
  </si>
  <si>
    <t>Lao-Kao</t>
  </si>
  <si>
    <t>laom1237</t>
  </si>
  <si>
    <t>Laomian</t>
  </si>
  <si>
    <t>lwm</t>
  </si>
  <si>
    <t>laom1238</t>
  </si>
  <si>
    <t>Laompo</t>
  </si>
  <si>
    <t>laoo1243</t>
  </si>
  <si>
    <t>La-Oor</t>
  </si>
  <si>
    <t>laot1235</t>
  </si>
  <si>
    <t>Lao</t>
  </si>
  <si>
    <t>laop1234</t>
  </si>
  <si>
    <t>Laopang</t>
  </si>
  <si>
    <t>lbg</t>
  </si>
  <si>
    <t>laos1235</t>
  </si>
  <si>
    <t>Laos Sign Language</t>
  </si>
  <si>
    <t>lso</t>
  </si>
  <si>
    <t>sput1235</t>
  </si>
  <si>
    <t>Lao-Thai</t>
  </si>
  <si>
    <t>lapa1246</t>
  </si>
  <si>
    <t>naxi1245</t>
  </si>
  <si>
    <t>Lapao</t>
  </si>
  <si>
    <t>lapa1247</t>
  </si>
  <si>
    <t>Lapalama 1</t>
  </si>
  <si>
    <t>lapa1248</t>
  </si>
  <si>
    <t>Lapalama 2</t>
  </si>
  <si>
    <t>lapa1249</t>
  </si>
  <si>
    <t>Lapagu√≠a-Guivini Zapotec</t>
  </si>
  <si>
    <t>ztl</t>
  </si>
  <si>
    <t>lapr1238</t>
  </si>
  <si>
    <t>Laprak</t>
  </si>
  <si>
    <t>lapu1236</t>
  </si>
  <si>
    <t>Lapuyan Subanun</t>
  </si>
  <si>
    <t>laa</t>
  </si>
  <si>
    <t>lara1258</t>
  </si>
  <si>
    <t>Laragia</t>
  </si>
  <si>
    <t>lrg</t>
  </si>
  <si>
    <t>lara1259</t>
  </si>
  <si>
    <t>Lara</t>
  </si>
  <si>
    <t>lara1260</t>
  </si>
  <si>
    <t>Larantuka Malay</t>
  </si>
  <si>
    <t>lrt</t>
  </si>
  <si>
    <t>lara1261</t>
  </si>
  <si>
    <t>Laraos</t>
  </si>
  <si>
    <t>lare1247</t>
  </si>
  <si>
    <t>Laredo</t>
  </si>
  <si>
    <t>lare1248</t>
  </si>
  <si>
    <t>Lare</t>
  </si>
  <si>
    <t>lare1249</t>
  </si>
  <si>
    <t>Larevat</t>
  </si>
  <si>
    <t>lrv</t>
  </si>
  <si>
    <t>lare1250</t>
  </si>
  <si>
    <t>Larena</t>
  </si>
  <si>
    <t>larg1235</t>
  </si>
  <si>
    <t>Diandongbei-Large Flowery Miao</t>
  </si>
  <si>
    <t>hmd</t>
  </si>
  <si>
    <t>Lari</t>
  </si>
  <si>
    <t>lrl</t>
  </si>
  <si>
    <t>lari1254</t>
  </si>
  <si>
    <t>Lari (Sindhi)</t>
  </si>
  <si>
    <t>Larike-Wakasihu</t>
  </si>
  <si>
    <t>alo</t>
  </si>
  <si>
    <t>lari1256</t>
  </si>
  <si>
    <t>Larike</t>
  </si>
  <si>
    <t>laro1243</t>
  </si>
  <si>
    <t>Laru (North Sudan)</t>
  </si>
  <si>
    <t>lro</t>
  </si>
  <si>
    <t>lart1238</t>
  </si>
  <si>
    <t>Larteh</t>
  </si>
  <si>
    <t>lar</t>
  </si>
  <si>
    <t>laru1238</t>
  </si>
  <si>
    <t>uppe1457</t>
  </si>
  <si>
    <t>Laru (Nigeria)</t>
  </si>
  <si>
    <t>lan</t>
  </si>
  <si>
    <t>lasa1237</t>
  </si>
  <si>
    <t>Lasalimu</t>
  </si>
  <si>
    <t>llm</t>
  </si>
  <si>
    <t>lasg1238</t>
  </si>
  <si>
    <t>Lasgerdi</t>
  </si>
  <si>
    <t>lsa</t>
  </si>
  <si>
    <t>lash1242</t>
  </si>
  <si>
    <t>svan1243</t>
  </si>
  <si>
    <t>Lashx</t>
  </si>
  <si>
    <t>lash1243</t>
  </si>
  <si>
    <t>Lashi</t>
  </si>
  <si>
    <t>lsi</t>
  </si>
  <si>
    <t>lasi1242</t>
  </si>
  <si>
    <t>Lasi</t>
  </si>
  <si>
    <t>lss</t>
  </si>
  <si>
    <t>Lasi-Jadgali</t>
  </si>
  <si>
    <t>lass1239</t>
  </si>
  <si>
    <t>Lassa</t>
  </si>
  <si>
    <t>lasu1234</t>
  </si>
  <si>
    <t>Lasumpatte</t>
  </si>
  <si>
    <t>late1249</t>
  </si>
  <si>
    <t>zena1237</t>
  </si>
  <si>
    <t>Latep</t>
  </si>
  <si>
    <t>midd1348</t>
  </si>
  <si>
    <t>Late Bomokandian</t>
  </si>
  <si>
    <t>late1251</t>
  </si>
  <si>
    <t>oldc1244</t>
  </si>
  <si>
    <t>Late Han Chinese</t>
  </si>
  <si>
    <t>late1252</t>
  </si>
  <si>
    <t>lati1261</t>
  </si>
  <si>
    <t>Late Latin</t>
  </si>
  <si>
    <t>Late Old Tibetan</t>
  </si>
  <si>
    <t>late1254</t>
  </si>
  <si>
    <t>Later Anglic</t>
  </si>
  <si>
    <t>lati1259</t>
  </si>
  <si>
    <t>Latin Anaunico</t>
  </si>
  <si>
    <t>lati1260</t>
  </si>
  <si>
    <t>Latin Fiamazzo</t>
  </si>
  <si>
    <t>Latin</t>
  </si>
  <si>
    <t>lat</t>
  </si>
  <si>
    <t>VA</t>
  </si>
  <si>
    <t>Latino-Faliscan</t>
  </si>
  <si>
    <t>Latinic</t>
  </si>
  <si>
    <t>latt1234</t>
  </si>
  <si>
    <t>saja1241</t>
  </si>
  <si>
    <t>Latti</t>
  </si>
  <si>
    <t>latu1237</t>
  </si>
  <si>
    <t>sapa1250</t>
  </si>
  <si>
    <t>Latu</t>
  </si>
  <si>
    <t>ltu</t>
  </si>
  <si>
    <t>latu1238</t>
  </si>
  <si>
    <t>Latund√™</t>
  </si>
  <si>
    <t>ltn</t>
  </si>
  <si>
    <t>latv1245</t>
  </si>
  <si>
    <t>Latvian Sign Language</t>
  </si>
  <si>
    <t>lsl</t>
  </si>
  <si>
    <t>LV</t>
  </si>
  <si>
    <t>Latvian</t>
  </si>
  <si>
    <t>BY EE LT LV RU</t>
  </si>
  <si>
    <t>latv1250</t>
  </si>
  <si>
    <t>Chuxny</t>
  </si>
  <si>
    <t>laua1243</t>
  </si>
  <si>
    <t>Lauan</t>
  </si>
  <si>
    <t>llx</t>
  </si>
  <si>
    <t>laua1244</t>
  </si>
  <si>
    <t>Lauan-Nonopai</t>
  </si>
  <si>
    <t>laua1245</t>
  </si>
  <si>
    <t>Laua</t>
  </si>
  <si>
    <t>luf</t>
  </si>
  <si>
    <t>Lauje</t>
  </si>
  <si>
    <t>law</t>
  </si>
  <si>
    <t>laul1237</t>
  </si>
  <si>
    <t>weje1237</t>
  </si>
  <si>
    <t>Lauli</t>
  </si>
  <si>
    <t>laum1238</t>
  </si>
  <si>
    <t>Laum√•l</t>
  </si>
  <si>
    <t>laur1248</t>
  </si>
  <si>
    <t>Laurowan</t>
  </si>
  <si>
    <t>laur1249</t>
  </si>
  <si>
    <t>Laura</t>
  </si>
  <si>
    <t>lur</t>
  </si>
  <si>
    <t>laur1250</t>
  </si>
  <si>
    <t>Laurentian</t>
  </si>
  <si>
    <t>lre</t>
  </si>
  <si>
    <t>laut1236</t>
  </si>
  <si>
    <t>nucl1757</t>
  </si>
  <si>
    <t>Lautu</t>
  </si>
  <si>
    <t>clt</t>
  </si>
  <si>
    <t>lauu1246</t>
  </si>
  <si>
    <t>Lau (Nilotic)</t>
  </si>
  <si>
    <t>Lau</t>
  </si>
  <si>
    <t>llu</t>
  </si>
  <si>
    <t>lauu1248</t>
  </si>
  <si>
    <t>Lau Island</t>
  </si>
  <si>
    <t>lauw1238</t>
  </si>
  <si>
    <t>Lauwela</t>
  </si>
  <si>
    <t>Lavatbura-Lamusong</t>
  </si>
  <si>
    <t>lbv</t>
  </si>
  <si>
    <t>lava1240</t>
  </si>
  <si>
    <t>Lavatbura</t>
  </si>
  <si>
    <t>nucl1299</t>
  </si>
  <si>
    <t>Laveh-Brao</t>
  </si>
  <si>
    <t>lave1248</t>
  </si>
  <si>
    <t>love1237</t>
  </si>
  <si>
    <t>Laven</t>
  </si>
  <si>
    <t>lbo</t>
  </si>
  <si>
    <t>lave1249</t>
  </si>
  <si>
    <t>Brao</t>
  </si>
  <si>
    <t>brb</t>
  </si>
  <si>
    <t>KH LA VN</t>
  </si>
  <si>
    <t>lavo1235</t>
  </si>
  <si>
    <t>Lavora</t>
  </si>
  <si>
    <t>lavu1241</t>
  </si>
  <si>
    <t>Lavukaleve</t>
  </si>
  <si>
    <t>lvk</t>
  </si>
  <si>
    <t>wala1271</t>
  </si>
  <si>
    <t>Lawa</t>
  </si>
  <si>
    <t>nort2888</t>
  </si>
  <si>
    <t>Lawangan</t>
  </si>
  <si>
    <t>lbx</t>
  </si>
  <si>
    <t>lawa1258</t>
  </si>
  <si>
    <t>Lawa (Lawangan)</t>
  </si>
  <si>
    <t>lawa1259</t>
  </si>
  <si>
    <t>Lawa (Standard Muna)</t>
  </si>
  <si>
    <t>lawa1260</t>
  </si>
  <si>
    <t>Lawama</t>
  </si>
  <si>
    <t>lawe1237</t>
  </si>
  <si>
    <t>Lawela</t>
  </si>
  <si>
    <t>lawi1235</t>
  </si>
  <si>
    <t>west2399</t>
  </si>
  <si>
    <t>Lawi</t>
  </si>
  <si>
    <t>lawn1238</t>
  </si>
  <si>
    <t>Lawng Hsu</t>
  </si>
  <si>
    <t>lawo1234</t>
  </si>
  <si>
    <t>Lawoish</t>
  </si>
  <si>
    <t>Lawunuia</t>
  </si>
  <si>
    <t>tgi</t>
  </si>
  <si>
    <t>lawu1238</t>
  </si>
  <si>
    <t>Lawu</t>
  </si>
  <si>
    <t>lwu</t>
  </si>
  <si>
    <t>laya1252</t>
  </si>
  <si>
    <t>Laya (Austroasiatic)</t>
  </si>
  <si>
    <t>laya1253</t>
  </si>
  <si>
    <t>Layakha</t>
  </si>
  <si>
    <t>lya</t>
  </si>
  <si>
    <t>laya1254</t>
  </si>
  <si>
    <t>Laya</t>
  </si>
  <si>
    <t>laya1255</t>
  </si>
  <si>
    <t>Layapo</t>
  </si>
  <si>
    <t>laya1256</t>
  </si>
  <si>
    <t>Layana</t>
  </si>
  <si>
    <t>laze1238</t>
  </si>
  <si>
    <t>nais1236</t>
  </si>
  <si>
    <t>Laze</t>
  </si>
  <si>
    <t>laze1239</t>
  </si>
  <si>
    <t>Lazemi</t>
  </si>
  <si>
    <t>lazi1238</t>
  </si>
  <si>
    <t>Laziale</t>
  </si>
  <si>
    <t>zann1245</t>
  </si>
  <si>
    <t>Laz</t>
  </si>
  <si>
    <t>lzz</t>
  </si>
  <si>
    <t>GE TR</t>
  </si>
  <si>
    <t>lbee1237</t>
  </si>
  <si>
    <t>L'be</t>
  </si>
  <si>
    <t>ldam1238</t>
  </si>
  <si>
    <t>Ldamtsai</t>
  </si>
  <si>
    <t>leal1235</t>
  </si>
  <si>
    <t>Lealao Chinantec</t>
  </si>
  <si>
    <t>cle</t>
  </si>
  <si>
    <t>leba1239</t>
  </si>
  <si>
    <t>Lebang</t>
  </si>
  <si>
    <t>Lebatukan</t>
  </si>
  <si>
    <t>lebi1240</t>
  </si>
  <si>
    <t>Lebir</t>
  </si>
  <si>
    <t>lebo1243</t>
  </si>
  <si>
    <t>Lebou</t>
  </si>
  <si>
    <t>lebo1244</t>
  </si>
  <si>
    <t>Leboa-Le</t>
  </si>
  <si>
    <t>lebo1245</t>
  </si>
  <si>
    <t>Lebong</t>
  </si>
  <si>
    <t>lebo1246</t>
  </si>
  <si>
    <t>Lebonya</t>
  </si>
  <si>
    <t>lebu1234</t>
  </si>
  <si>
    <t>Lebu Wolof</t>
  </si>
  <si>
    <t>Lechitic</t>
  </si>
  <si>
    <t>leco1242</t>
  </si>
  <si>
    <t>Leco</t>
  </si>
  <si>
    <t>lec</t>
  </si>
  <si>
    <t>ledo1237</t>
  </si>
  <si>
    <t>Ledo</t>
  </si>
  <si>
    <t>Ledo Kaili</t>
  </si>
  <si>
    <t>lew</t>
  </si>
  <si>
    <t>leee1238</t>
  </si>
  <si>
    <t>Le</t>
  </si>
  <si>
    <t>leel1241</t>
  </si>
  <si>
    <t>Leelu</t>
  </si>
  <si>
    <t>leel1242</t>
  </si>
  <si>
    <t>Leelau</t>
  </si>
  <si>
    <t>ldk</t>
  </si>
  <si>
    <t>leem1238</t>
  </si>
  <si>
    <t>Leem</t>
  </si>
  <si>
    <t>leem1242</t>
  </si>
  <si>
    <t>Leemo</t>
  </si>
  <si>
    <t>leet1234</t>
  </si>
  <si>
    <t>Leetugal Niger Fulfulde</t>
  </si>
  <si>
    <t>Lefa</t>
  </si>
  <si>
    <t>lfa</t>
  </si>
  <si>
    <t>Lefa-Bafia</t>
  </si>
  <si>
    <t>Left May</t>
  </si>
  <si>
    <t>Lega-Shabunda</t>
  </si>
  <si>
    <t>lea</t>
  </si>
  <si>
    <t>lega1253</t>
  </si>
  <si>
    <t>Lega-Mwenga</t>
  </si>
  <si>
    <t>lgm</t>
  </si>
  <si>
    <t>lega1251</t>
  </si>
  <si>
    <t>Legaspi</t>
  </si>
  <si>
    <t>mitu1241</t>
  </si>
  <si>
    <t>Lega Complex</t>
  </si>
  <si>
    <t>Lega</t>
  </si>
  <si>
    <t>legb1241</t>
  </si>
  <si>
    <t>Legboic</t>
  </si>
  <si>
    <t>legb1242</t>
  </si>
  <si>
    <t>Legbo</t>
  </si>
  <si>
    <t>agb</t>
  </si>
  <si>
    <t>lege1240</t>
  </si>
  <si>
    <t>Legeri</t>
  </si>
  <si>
    <t>lege1241</t>
  </si>
  <si>
    <t>Legenyem</t>
  </si>
  <si>
    <t>lcc</t>
  </si>
  <si>
    <t>legh1238</t>
  </si>
  <si>
    <t>Leghva</t>
  </si>
  <si>
    <t>leha1242</t>
  </si>
  <si>
    <t>noon1244</t>
  </si>
  <si>
    <t>Lehar</t>
  </si>
  <si>
    <t>cae</t>
  </si>
  <si>
    <t>leha1243</t>
  </si>
  <si>
    <t>Lehali</t>
  </si>
  <si>
    <t>tql</t>
  </si>
  <si>
    <t>leha1244</t>
  </si>
  <si>
    <t>Lehalurup</t>
  </si>
  <si>
    <t>urr</t>
  </si>
  <si>
    <t>lehh1238</t>
  </si>
  <si>
    <t>Leh</t>
  </si>
  <si>
    <t>leic1234</t>
  </si>
  <si>
    <t>Leicestershire English</t>
  </si>
  <si>
    <t>leil1237</t>
  </si>
  <si>
    <t>Leileiafa</t>
  </si>
  <si>
    <t>lein1236</t>
  </si>
  <si>
    <t>Leinong-Makyan</t>
  </si>
  <si>
    <t>lein1237</t>
  </si>
  <si>
    <t>Leinong Naga</t>
  </si>
  <si>
    <t>lzn</t>
  </si>
  <si>
    <t>leip1237</t>
  </si>
  <si>
    <t>Leipon</t>
  </si>
  <si>
    <t>lek</t>
  </si>
  <si>
    <t>leiv1234</t>
  </si>
  <si>
    <t>sout2679</t>
  </si>
  <si>
    <t>Leivu-Lutsi</t>
  </si>
  <si>
    <t>leiv1235</t>
  </si>
  <si>
    <t>Leivu</t>
  </si>
  <si>
    <t>leiz1236</t>
  </si>
  <si>
    <t>Leizhou</t>
  </si>
  <si>
    <t>Sambaic</t>
  </si>
  <si>
    <t>leko1247</t>
  </si>
  <si>
    <t>siku1242</t>
  </si>
  <si>
    <t>Lekon</t>
  </si>
  <si>
    <t>leko1248</t>
  </si>
  <si>
    <t>Lekongo-Manenguba</t>
  </si>
  <si>
    <t>leks1234</t>
  </si>
  <si>
    <t>Leksand</t>
  </si>
  <si>
    <t>lela1244</t>
  </si>
  <si>
    <t>Lela</t>
  </si>
  <si>
    <t>lela1245</t>
  </si>
  <si>
    <t>Lelain</t>
  </si>
  <si>
    <t>Lelak</t>
  </si>
  <si>
    <t>llk</t>
  </si>
  <si>
    <t>lele1262</t>
  </si>
  <si>
    <t>Lelemic</t>
  </si>
  <si>
    <t>lele1263</t>
  </si>
  <si>
    <t>Lelemi-Akpafu</t>
  </si>
  <si>
    <t>lele1264</t>
  </si>
  <si>
    <t>Lelemi</t>
  </si>
  <si>
    <t>lef</t>
  </si>
  <si>
    <t>lele1265</t>
  </si>
  <si>
    <t>Lele (Democratic Republic of Congo)</t>
  </si>
  <si>
    <t>lel</t>
  </si>
  <si>
    <t>Lele (Guinea)</t>
  </si>
  <si>
    <t>llc</t>
  </si>
  <si>
    <t>lele1267</t>
  </si>
  <si>
    <t>nort3222</t>
  </si>
  <si>
    <t>Lelepa</t>
  </si>
  <si>
    <t>lpa</t>
  </si>
  <si>
    <t>lele1268</t>
  </si>
  <si>
    <t>Lelet</t>
  </si>
  <si>
    <t>lele1269</t>
  </si>
  <si>
    <t>Lelehudi</t>
  </si>
  <si>
    <t>Lele (Papua New Guinea)</t>
  </si>
  <si>
    <t>lele1271</t>
  </si>
  <si>
    <t>Lelenuk</t>
  </si>
  <si>
    <t>lele1276</t>
  </si>
  <si>
    <t>Lele (Chad)</t>
  </si>
  <si>
    <t>lln</t>
  </si>
  <si>
    <t>leli1237</t>
  </si>
  <si>
    <t>Leliali</t>
  </si>
  <si>
    <t>lelu1237</t>
  </si>
  <si>
    <t>Lelu-Tafunsak</t>
  </si>
  <si>
    <t>lema1242</t>
  </si>
  <si>
    <t>vunj1238</t>
  </si>
  <si>
    <t>Lema</t>
  </si>
  <si>
    <t>lema1243</t>
  </si>
  <si>
    <t>Lemanak</t>
  </si>
  <si>
    <t>lema1244</t>
  </si>
  <si>
    <t>Lematang</t>
  </si>
  <si>
    <t>lmt</t>
  </si>
  <si>
    <t>lemb1261</t>
  </si>
  <si>
    <t>Lembetu</t>
  </si>
  <si>
    <t>lemb1262</t>
  </si>
  <si>
    <t>Lembue</t>
  </si>
  <si>
    <t>lemb1263</t>
  </si>
  <si>
    <t>Lembak Bliti</t>
  </si>
  <si>
    <t>lemb1264</t>
  </si>
  <si>
    <t>Lembak Sindang</t>
  </si>
  <si>
    <t>lemb1265</t>
  </si>
  <si>
    <t>Lembur</t>
  </si>
  <si>
    <t>lemb1266</t>
  </si>
  <si>
    <t>Lembena</t>
  </si>
  <si>
    <t>leq</t>
  </si>
  <si>
    <t>leme1238</t>
  </si>
  <si>
    <t>leme1240</t>
  </si>
  <si>
    <t>Lemerig</t>
  </si>
  <si>
    <t>lrz</t>
  </si>
  <si>
    <t>leme1239</t>
  </si>
  <si>
    <t>reja1241</t>
  </si>
  <si>
    <t>Lemena</t>
  </si>
  <si>
    <t>Lemerig-Veraa</t>
  </si>
  <si>
    <t>leme1241</t>
  </si>
  <si>
    <t>Lemel</t>
  </si>
  <si>
    <t>lemi1242</t>
  </si>
  <si>
    <t>Lemiting</t>
  </si>
  <si>
    <t>lemi1243</t>
  </si>
  <si>
    <t>Lemio</t>
  </si>
  <si>
    <t>lei</t>
  </si>
  <si>
    <t>lemk1239</t>
  </si>
  <si>
    <t>rusy1239</t>
  </si>
  <si>
    <t>Lemko</t>
  </si>
  <si>
    <t>lemn1237</t>
  </si>
  <si>
    <t>Lemnian</t>
  </si>
  <si>
    <t>xle</t>
  </si>
  <si>
    <t>lemo1242</t>
  </si>
  <si>
    <t>lemo1244</t>
  </si>
  <si>
    <t>Lemoro</t>
  </si>
  <si>
    <t>ldj</t>
  </si>
  <si>
    <t>lemo1243</t>
  </si>
  <si>
    <t>Lemolang</t>
  </si>
  <si>
    <t>ley</t>
  </si>
  <si>
    <t>Lemoro-Sanga</t>
  </si>
  <si>
    <t>lemy1239</t>
  </si>
  <si>
    <t>Lemyo</t>
  </si>
  <si>
    <t>nort3218</t>
  </si>
  <si>
    <t>Lenakel</t>
  </si>
  <si>
    <t>tnl</t>
  </si>
  <si>
    <t>lenc1239</t>
  </si>
  <si>
    <t>Lencan</t>
  </si>
  <si>
    <t>lenc1242</t>
  </si>
  <si>
    <t>Lenca-Honduras</t>
  </si>
  <si>
    <t>lenc1243</t>
  </si>
  <si>
    <t>Lenca-Salvador</t>
  </si>
  <si>
    <t>lenc1244</t>
  </si>
  <si>
    <t>Lenca</t>
  </si>
  <si>
    <t>len</t>
  </si>
  <si>
    <t>HN SV</t>
  </si>
  <si>
    <t>Lendu</t>
  </si>
  <si>
    <t>led</t>
  </si>
  <si>
    <t>Lenduic</t>
  </si>
  <si>
    <t>leng1257</t>
  </si>
  <si>
    <t>Lengue</t>
  </si>
  <si>
    <t>leng1258</t>
  </si>
  <si>
    <t>Lengola</t>
  </si>
  <si>
    <t>lej</t>
  </si>
  <si>
    <t>Lengo</t>
  </si>
  <si>
    <t>lgr</t>
  </si>
  <si>
    <t>leng1260</t>
  </si>
  <si>
    <t>Lengilu</t>
  </si>
  <si>
    <t>lgi</t>
  </si>
  <si>
    <t>Lengua-Mascoy</t>
  </si>
  <si>
    <t>leng1262</t>
  </si>
  <si>
    <t>Lengua</t>
  </si>
  <si>
    <t>leg</t>
  </si>
  <si>
    <t>Lengua-Sanapana-Angaite</t>
  </si>
  <si>
    <t>Linngithigh-Alngith</t>
  </si>
  <si>
    <t>leni1238</t>
  </si>
  <si>
    <t>Linngithigh</t>
  </si>
  <si>
    <t>lnj</t>
  </si>
  <si>
    <t>Greater Eastern Botatwe</t>
  </si>
  <si>
    <t>lenj1248</t>
  </si>
  <si>
    <t>Lenje</t>
  </si>
  <si>
    <t>leh</t>
  </si>
  <si>
    <t>lenk1245</t>
  </si>
  <si>
    <t>Lenkoran</t>
  </si>
  <si>
    <t>lenk1246</t>
  </si>
  <si>
    <t>Lenkaran</t>
  </si>
  <si>
    <t>lenk1247</t>
  </si>
  <si>
    <t>sout2879</t>
  </si>
  <si>
    <t>Lenkau</t>
  </si>
  <si>
    <t>ler</t>
  </si>
  <si>
    <t>lenm1234</t>
  </si>
  <si>
    <t>Len (Mambila)</t>
  </si>
  <si>
    <t>lenn1234</t>
  </si>
  <si>
    <t>namo1249</t>
  </si>
  <si>
    <t>Len</t>
  </si>
  <si>
    <t>lent1241</t>
  </si>
  <si>
    <t>Lentex</t>
  </si>
  <si>
    <t>leny1238</t>
  </si>
  <si>
    <t>leny1239</t>
  </si>
  <si>
    <t>Lenyima</t>
  </si>
  <si>
    <t>ldg</t>
  </si>
  <si>
    <t>Lenyima-Leyigha</t>
  </si>
  <si>
    <t>leon1250</t>
  </si>
  <si>
    <t>Leonese</t>
  </si>
  <si>
    <t>leon1251</t>
  </si>
  <si>
    <t>Leonais</t>
  </si>
  <si>
    <t>leon1252</t>
  </si>
  <si>
    <t>vera1241</t>
  </si>
  <si>
    <t>Leon</t>
  </si>
  <si>
    <t>Lepcha</t>
  </si>
  <si>
    <t>lep</t>
  </si>
  <si>
    <t>lepk1238</t>
  </si>
  <si>
    <t>lepk1239</t>
  </si>
  <si>
    <t>Lepki</t>
  </si>
  <si>
    <t>lpe</t>
  </si>
  <si>
    <t>Lepki-Murkim</t>
  </si>
  <si>
    <t>lepo1240</t>
  </si>
  <si>
    <t>Lepontic</t>
  </si>
  <si>
    <t>xlp</t>
  </si>
  <si>
    <t>lepo1241</t>
  </si>
  <si>
    <t>main1275</t>
  </si>
  <si>
    <t>Lepo' Kulit</t>
  </si>
  <si>
    <t>lepu1239</t>
  </si>
  <si>
    <t>Lepu Potong (Lundayeh)</t>
  </si>
  <si>
    <t>lepu1240</t>
  </si>
  <si>
    <t>Lepu Potong</t>
  </si>
  <si>
    <t>Leqic</t>
  </si>
  <si>
    <t>Lere</t>
  </si>
  <si>
    <t>gnh</t>
  </si>
  <si>
    <t>lere1242</t>
  </si>
  <si>
    <t>Lere (Burkina Faso)</t>
  </si>
  <si>
    <t>leri1235</t>
  </si>
  <si>
    <t>Lerik</t>
  </si>
  <si>
    <t>lesa1237</t>
  </si>
  <si>
    <t>Lesa</t>
  </si>
  <si>
    <t>Lese</t>
  </si>
  <si>
    <t>les</t>
  </si>
  <si>
    <t>lese1244</t>
  </si>
  <si>
    <t>Lese Karo</t>
  </si>
  <si>
    <t>mang1425</t>
  </si>
  <si>
    <t>Leseic</t>
  </si>
  <si>
    <t>Lesing-Gelimi</t>
  </si>
  <si>
    <t>let</t>
  </si>
  <si>
    <t>lesi1240</t>
  </si>
  <si>
    <t>Lesing</t>
  </si>
  <si>
    <t>leso1234</t>
  </si>
  <si>
    <t>sout3228</t>
  </si>
  <si>
    <t>Lesotho Sign Language</t>
  </si>
  <si>
    <t>LS</t>
  </si>
  <si>
    <t>less1241</t>
  </si>
  <si>
    <t>Eastern Kabyle</t>
  </si>
  <si>
    <t>Lesser Antillean French Creole</t>
  </si>
  <si>
    <t>lete1240</t>
  </si>
  <si>
    <t>Lete</t>
  </si>
  <si>
    <t>lete1241</t>
  </si>
  <si>
    <t>Letemboi-Repanbitip</t>
  </si>
  <si>
    <t>nms</t>
  </si>
  <si>
    <t>lete1242</t>
  </si>
  <si>
    <t>Letemboi</t>
  </si>
  <si>
    <t>leti1244</t>
  </si>
  <si>
    <t>Letia</t>
  </si>
  <si>
    <t>leti1245</t>
  </si>
  <si>
    <t>sana1278</t>
  </si>
  <si>
    <t>Leti (Cameroon)</t>
  </si>
  <si>
    <t>leo</t>
  </si>
  <si>
    <t>leti1246</t>
  </si>
  <si>
    <t>luan1262</t>
  </si>
  <si>
    <t>Leti (Indonesia)</t>
  </si>
  <si>
    <t>lti</t>
  </si>
  <si>
    <t>leva1238</t>
  </si>
  <si>
    <t>Levai</t>
  </si>
  <si>
    <t>Levantine Arabic</t>
  </si>
  <si>
    <t>Levantine-Iraqi Sign</t>
  </si>
  <si>
    <t>leve1237</t>
  </si>
  <si>
    <t>Levei</t>
  </si>
  <si>
    <t>levu1240</t>
  </si>
  <si>
    <t>Central Lembata-Lewokukun</t>
  </si>
  <si>
    <t>lvu</t>
  </si>
  <si>
    <t>Southeast Lembata</t>
  </si>
  <si>
    <t>lewa1240</t>
  </si>
  <si>
    <t>Lewa</t>
  </si>
  <si>
    <t>lewi1238</t>
  </si>
  <si>
    <t>west2765</t>
  </si>
  <si>
    <t>Lewin</t>
  </si>
  <si>
    <t>lewo1242</t>
  </si>
  <si>
    <t>Lewo</t>
  </si>
  <si>
    <t>lww</t>
  </si>
  <si>
    <t>lewo1243</t>
  </si>
  <si>
    <t>Lewo Eleng</t>
  </si>
  <si>
    <t>lwe</t>
  </si>
  <si>
    <t>lewo1244</t>
  </si>
  <si>
    <t>Lewotobi</t>
  </si>
  <si>
    <t>lwt</t>
  </si>
  <si>
    <t>lewo1245</t>
  </si>
  <si>
    <t>Lewopenutu</t>
  </si>
  <si>
    <t>lewo1246</t>
  </si>
  <si>
    <t>Lewotala</t>
  </si>
  <si>
    <t>lewo1247</t>
  </si>
  <si>
    <t>Lewokukun</t>
  </si>
  <si>
    <t>west2542</t>
  </si>
  <si>
    <t>Lewolaga-Bama</t>
  </si>
  <si>
    <t>lewo1249</t>
  </si>
  <si>
    <t>Lewolaga</t>
  </si>
  <si>
    <t>lewo1250</t>
  </si>
  <si>
    <t>Lewolema-Waibalun</t>
  </si>
  <si>
    <t>lewo1251</t>
  </si>
  <si>
    <t>Lewolema</t>
  </si>
  <si>
    <t>leww1238</t>
  </si>
  <si>
    <t>Lew</t>
  </si>
  <si>
    <t>leya1238</t>
  </si>
  <si>
    <t>Leya</t>
  </si>
  <si>
    <t>leyi1238</t>
  </si>
  <si>
    <t>Leyigha</t>
  </si>
  <si>
    <t>ayi</t>
  </si>
  <si>
    <t>leyt1237</t>
  </si>
  <si>
    <t>Leyte</t>
  </si>
  <si>
    <t>Lezgian</t>
  </si>
  <si>
    <t>lez</t>
  </si>
  <si>
    <t>Lezgic</t>
  </si>
  <si>
    <t>lhok1238</t>
  </si>
  <si>
    <t>Lhokpu</t>
  </si>
  <si>
    <t>lhp</t>
  </si>
  <si>
    <t>lhok1239</t>
  </si>
  <si>
    <t>Lhoka</t>
  </si>
  <si>
    <t>lhom1239</t>
  </si>
  <si>
    <t>Lhomi</t>
  </si>
  <si>
    <t>lhm</t>
  </si>
  <si>
    <t>CN IN NP</t>
  </si>
  <si>
    <t>lhoo1238</t>
  </si>
  <si>
    <t>nubr1243</t>
  </si>
  <si>
    <t>Lho</t>
  </si>
  <si>
    <t>liab1237</t>
  </si>
  <si>
    <t>Liabuku</t>
  </si>
  <si>
    <t>lix</t>
  </si>
  <si>
    <t>liae1237</t>
  </si>
  <si>
    <t>sabu1255</t>
  </si>
  <si>
    <t>Liae</t>
  </si>
  <si>
    <t>liah1237</t>
  </si>
  <si>
    <t>Liah Bing</t>
  </si>
  <si>
    <t>lian1251</t>
  </si>
  <si>
    <t>nucl1313</t>
  </si>
  <si>
    <t>Liangmai Naga</t>
  </si>
  <si>
    <t>njn</t>
  </si>
  <si>
    <t>lian1252</t>
  </si>
  <si>
    <t>Lianshan Zhuang</t>
  </si>
  <si>
    <t>zln</t>
  </si>
  <si>
    <t>lian1253</t>
  </si>
  <si>
    <t>shee1238</t>
  </si>
  <si>
    <t>Lianhua</t>
  </si>
  <si>
    <t>lian1254</t>
  </si>
  <si>
    <t>tule1244</t>
  </si>
  <si>
    <t>Liang</t>
  </si>
  <si>
    <t>Liana-Seti</t>
  </si>
  <si>
    <t>ste</t>
  </si>
  <si>
    <t>lian1256</t>
  </si>
  <si>
    <t>Lianmin Yao</t>
  </si>
  <si>
    <t>lian1258</t>
  </si>
  <si>
    <t>Lianghe Achang</t>
  </si>
  <si>
    <t>lian1259</t>
  </si>
  <si>
    <t>Liancheng</t>
  </si>
  <si>
    <t>liar1238</t>
  </si>
  <si>
    <t>Liaro</t>
  </si>
  <si>
    <t>lias1237</t>
  </si>
  <si>
    <t>Lias</t>
  </si>
  <si>
    <t>libb1237</t>
  </si>
  <si>
    <t>Libbung</t>
  </si>
  <si>
    <t>libe1240</t>
  </si>
  <si>
    <t>Kru Pidgin English</t>
  </si>
  <si>
    <t>lir</t>
  </si>
  <si>
    <t>libe1247</t>
  </si>
  <si>
    <t>Liberia Kpelle</t>
  </si>
  <si>
    <t>xpe</t>
  </si>
  <si>
    <t>libi1242</t>
  </si>
  <si>
    <t>libi1251</t>
  </si>
  <si>
    <t>Libinza Fleuve</t>
  </si>
  <si>
    <t>Libinza</t>
  </si>
  <si>
    <t>liz</t>
  </si>
  <si>
    <t>libi1245</t>
  </si>
  <si>
    <t>Libisegahun</t>
  </si>
  <si>
    <t>libi1250</t>
  </si>
  <si>
    <t>Libido</t>
  </si>
  <si>
    <t>liq</t>
  </si>
  <si>
    <t>Libinzic</t>
  </si>
  <si>
    <t>Libinza Ngiri</t>
  </si>
  <si>
    <t>libo1242</t>
  </si>
  <si>
    <t>Libon</t>
  </si>
  <si>
    <t>lbl</t>
  </si>
  <si>
    <t>liby1235</t>
  </si>
  <si>
    <t>Libyan Sign Language</t>
  </si>
  <si>
    <t>lbs</t>
  </si>
  <si>
    <t>Libyan Arabic</t>
  </si>
  <si>
    <t>ayl</t>
  </si>
  <si>
    <t>EG LY NE</t>
  </si>
  <si>
    <t>lich1241</t>
  </si>
  <si>
    <t>Lichiang</t>
  </si>
  <si>
    <t>lich1242</t>
  </si>
  <si>
    <t>Lichabool-Nalong</t>
  </si>
  <si>
    <t>liec1234</t>
  </si>
  <si>
    <t>Liechtensteinisch</t>
  </si>
  <si>
    <t>liga1237</t>
  </si>
  <si>
    <t>Ligao</t>
  </si>
  <si>
    <t>ligb1243</t>
  </si>
  <si>
    <t>Ligbeln</t>
  </si>
  <si>
    <t>Ligbi</t>
  </si>
  <si>
    <t>lig</t>
  </si>
  <si>
    <t>ngom1274</t>
  </si>
  <si>
    <t>Ligenza</t>
  </si>
  <si>
    <t>lgz</t>
  </si>
  <si>
    <t>ligh1234</t>
  </si>
  <si>
    <t>warl1257</t>
  </si>
  <si>
    <t>Light Warlpiri</t>
  </si>
  <si>
    <t>Ligo</t>
  </si>
  <si>
    <t>ligr1238</t>
  </si>
  <si>
    <t>Ligri</t>
  </si>
  <si>
    <t>Ligurian</t>
  </si>
  <si>
    <t>lij</t>
  </si>
  <si>
    <t>FR IT MC</t>
  </si>
  <si>
    <t>ligu1250</t>
  </si>
  <si>
    <t>logo1261</t>
  </si>
  <si>
    <t>Liguri</t>
  </si>
  <si>
    <t>lihe1238</t>
  </si>
  <si>
    <t>Lihen</t>
  </si>
  <si>
    <t>lihi1237</t>
  </si>
  <si>
    <t>taba1270</t>
  </si>
  <si>
    <t>Lihir</t>
  </si>
  <si>
    <t>lih</t>
  </si>
  <si>
    <t>liji1238</t>
  </si>
  <si>
    <t>Lijili</t>
  </si>
  <si>
    <t>mgi</t>
  </si>
  <si>
    <t>lika1243</t>
  </si>
  <si>
    <t>Liko</t>
  </si>
  <si>
    <t>lik</t>
  </si>
  <si>
    <t>lika1244</t>
  </si>
  <si>
    <t>Likaw</t>
  </si>
  <si>
    <t>like1238</t>
  </si>
  <si>
    <t>Likes-Utsia</t>
  </si>
  <si>
    <t>liki1240</t>
  </si>
  <si>
    <t>Balobo</t>
  </si>
  <si>
    <t>lie</t>
  </si>
  <si>
    <t>liki1241</t>
  </si>
  <si>
    <t>sobe1240</t>
  </si>
  <si>
    <t>Liki</t>
  </si>
  <si>
    <t>lio</t>
  </si>
  <si>
    <t>liki1242</t>
  </si>
  <si>
    <t>Likisovskoje</t>
  </si>
  <si>
    <t>liko1247</t>
  </si>
  <si>
    <t>Likoonli</t>
  </si>
  <si>
    <t>liko1248</t>
  </si>
  <si>
    <t>Lik√≥</t>
  </si>
  <si>
    <t>liko1250</t>
  </si>
  <si>
    <t>Likolo</t>
  </si>
  <si>
    <t>Likouala-Sangha</t>
  </si>
  <si>
    <t>Likoka</t>
  </si>
  <si>
    <t>likp1239</t>
  </si>
  <si>
    <t>Likpe-Santrokofi</t>
  </si>
  <si>
    <t>liku1242</t>
  </si>
  <si>
    <t>likw1240</t>
  </si>
  <si>
    <t>Likuba</t>
  </si>
  <si>
    <t>kxx</t>
  </si>
  <si>
    <t>liku1243</t>
  </si>
  <si>
    <t>Likum</t>
  </si>
  <si>
    <t>lib</t>
  </si>
  <si>
    <t>liku1244</t>
  </si>
  <si>
    <t>Likupang</t>
  </si>
  <si>
    <t>likw1239</t>
  </si>
  <si>
    <t>Likwala</t>
  </si>
  <si>
    <t>kwc</t>
  </si>
  <si>
    <t>Likwala-Likuba</t>
  </si>
  <si>
    <t>lila1245</t>
  </si>
  <si>
    <t>Lila</t>
  </si>
  <si>
    <t>lila1246</t>
  </si>
  <si>
    <t>monu1249</t>
  </si>
  <si>
    <t>Lilau</t>
  </si>
  <si>
    <t>lll</t>
  </si>
  <si>
    <t>lili1247</t>
  </si>
  <si>
    <t>Lilima</t>
  </si>
  <si>
    <t>lili1248</t>
  </si>
  <si>
    <t>Liliga</t>
  </si>
  <si>
    <t>lili1249</t>
  </si>
  <si>
    <t>Lilik√°</t>
  </si>
  <si>
    <t>lili1250</t>
  </si>
  <si>
    <t>Lilik√≥</t>
  </si>
  <si>
    <t>lill1247</t>
  </si>
  <si>
    <t>Lillois</t>
  </si>
  <si>
    <t>lill1248</t>
  </si>
  <si>
    <t>nort2948</t>
  </si>
  <si>
    <t>Lillooet</t>
  </si>
  <si>
    <t>lil</t>
  </si>
  <si>
    <t>lima1246</t>
  </si>
  <si>
    <t>Limassa</t>
  </si>
  <si>
    <t>bme</t>
  </si>
  <si>
    <t>lima1247</t>
  </si>
  <si>
    <t>Lima</t>
  </si>
  <si>
    <t>lima1248</t>
  </si>
  <si>
    <t>Limarahing</t>
  </si>
  <si>
    <t>lima1249</t>
  </si>
  <si>
    <t>ovre1234</t>
  </si>
  <si>
    <t>Lima (V√§sterdalm√•l)</t>
  </si>
  <si>
    <t>Limburgan</t>
  </si>
  <si>
    <t>lim</t>
  </si>
  <si>
    <t>BE DE NL</t>
  </si>
  <si>
    <t>Limbu</t>
  </si>
  <si>
    <t>lif</t>
  </si>
  <si>
    <t>Limba</t>
  </si>
  <si>
    <t>limb1268</t>
  </si>
  <si>
    <t>Limbum</t>
  </si>
  <si>
    <t>lmp</t>
  </si>
  <si>
    <t>limb1269</t>
  </si>
  <si>
    <t>Limboto</t>
  </si>
  <si>
    <t>limi1242</t>
  </si>
  <si>
    <t>Limilngan-Wulna</t>
  </si>
  <si>
    <t>limi1243</t>
  </si>
  <si>
    <t>Limi</t>
  </si>
  <si>
    <t>ylm</t>
  </si>
  <si>
    <t>Limousin Occitan</t>
  </si>
  <si>
    <t>limo1247</t>
  </si>
  <si>
    <t>Limonkpel</t>
  </si>
  <si>
    <t>limo1248</t>
  </si>
  <si>
    <t>nort3226</t>
  </si>
  <si>
    <t>Limos Kalinga</t>
  </si>
  <si>
    <t>kmk</t>
  </si>
  <si>
    <t>limo1249</t>
  </si>
  <si>
    <t>Limonese Creole</t>
  </si>
  <si>
    <t>qlm</t>
  </si>
  <si>
    <t>limo1250</t>
  </si>
  <si>
    <t>Limousin</t>
  </si>
  <si>
    <t>lms</t>
  </si>
  <si>
    <t>limp1238</t>
  </si>
  <si>
    <t>Limpesa</t>
  </si>
  <si>
    <t>lina1243</t>
  </si>
  <si>
    <t>Linangmanli</t>
  </si>
  <si>
    <t>lina1244</t>
  </si>
  <si>
    <t>Linafiel</t>
  </si>
  <si>
    <t>lina1245</t>
  </si>
  <si>
    <t>Linaw-Qauqaut</t>
  </si>
  <si>
    <t>linc1241</t>
  </si>
  <si>
    <t>ling1262</t>
  </si>
  <si>
    <t>Lincheng</t>
  </si>
  <si>
    <t>linc1242</t>
  </si>
  <si>
    <t>Lincolnshire English</t>
  </si>
  <si>
    <t>lind1246</t>
  </si>
  <si>
    <t>Linda</t>
  </si>
  <si>
    <t>lind1247</t>
  </si>
  <si>
    <t>Lindja</t>
  </si>
  <si>
    <t>lind1248</t>
  </si>
  <si>
    <t>Tado-Lindu</t>
  </si>
  <si>
    <t>klw</t>
  </si>
  <si>
    <t>lind1249</t>
  </si>
  <si>
    <t>Linduan</t>
  </si>
  <si>
    <t>ling1242</t>
  </si>
  <si>
    <t>roma1335</t>
  </si>
  <si>
    <t>Mediterranean Lingua Franca</t>
  </si>
  <si>
    <t>pml</t>
  </si>
  <si>
    <t>TN</t>
  </si>
  <si>
    <t>ling1261</t>
  </si>
  <si>
    <t>Lingaayat</t>
  </si>
  <si>
    <t>Lingao</t>
  </si>
  <si>
    <t>onb</t>
  </si>
  <si>
    <t>ling1263</t>
  </si>
  <si>
    <t>Lingala</t>
  </si>
  <si>
    <t>lin</t>
  </si>
  <si>
    <t>ling1264</t>
  </si>
  <si>
    <t>Lingonda</t>
  </si>
  <si>
    <t>ling1265</t>
  </si>
  <si>
    <t>Neverver</t>
  </si>
  <si>
    <t>lgk</t>
  </si>
  <si>
    <t>ling1266</t>
  </si>
  <si>
    <t>tomb1244</t>
  </si>
  <si>
    <t>Lingkabau Sugut</t>
  </si>
  <si>
    <t>ling1267</t>
  </si>
  <si>
    <t>Lingua Franca Nova</t>
  </si>
  <si>
    <t>lfn</t>
  </si>
  <si>
    <t>ling1268</t>
  </si>
  <si>
    <t>Lingkhim</t>
  </si>
  <si>
    <t>lii</t>
  </si>
  <si>
    <t>Lingala-Bangala</t>
  </si>
  <si>
    <t>lins1238</t>
  </si>
  <si>
    <t>nort3273</t>
  </si>
  <si>
    <t>Lin-Shao</t>
  </si>
  <si>
    <t>lint1237</t>
  </si>
  <si>
    <t>Lintang</t>
  </si>
  <si>
    <t>lnt</t>
  </si>
  <si>
    <t>Li'o</t>
  </si>
  <si>
    <t>lioo1241</t>
  </si>
  <si>
    <t>raoo1244</t>
  </si>
  <si>
    <t>Li'o (Papua New Guinea)</t>
  </si>
  <si>
    <t>lipa1240</t>
  </si>
  <si>
    <t>Lipanja</t>
  </si>
  <si>
    <t>lipa1241</t>
  </si>
  <si>
    <t>Lipan Apache</t>
  </si>
  <si>
    <t>apl</t>
  </si>
  <si>
    <t>lipi1238</t>
  </si>
  <si>
    <t>Lipis</t>
  </si>
  <si>
    <t>lipo1239</t>
  </si>
  <si>
    <t>Lipoto</t>
  </si>
  <si>
    <t>lipo1242</t>
  </si>
  <si>
    <t>lipo1244</t>
  </si>
  <si>
    <t>Lipo</t>
  </si>
  <si>
    <t>lpo</t>
  </si>
  <si>
    <t>lipo1243</t>
  </si>
  <si>
    <t>liso1234</t>
  </si>
  <si>
    <t>Lipo-Lolopo</t>
  </si>
  <si>
    <t>Lipo-Micha</t>
  </si>
  <si>
    <t>lipo1245</t>
  </si>
  <si>
    <t>Lipovan</t>
  </si>
  <si>
    <t>lipt1238</t>
  </si>
  <si>
    <t>Liptaakoore</t>
  </si>
  <si>
    <t>lipu1241</t>
  </si>
  <si>
    <t>Liputi√µ</t>
  </si>
  <si>
    <t>lipu1242</t>
  </si>
  <si>
    <t>Lipupi</t>
  </si>
  <si>
    <t>lira1237</t>
  </si>
  <si>
    <t>Lirang</t>
  </si>
  <si>
    <t>liro1237</t>
  </si>
  <si>
    <t>Lirong</t>
  </si>
  <si>
    <t>Lisabata-Nuniali</t>
  </si>
  <si>
    <t>lcs</t>
  </si>
  <si>
    <t>lisa1240</t>
  </si>
  <si>
    <t>Lisabata-Timur</t>
  </si>
  <si>
    <t>lisb1236</t>
  </si>
  <si>
    <t>port1277</t>
  </si>
  <si>
    <t>lise1239</t>
  </si>
  <si>
    <t>Lisela</t>
  </si>
  <si>
    <t>lcl</t>
  </si>
  <si>
    <t>lish1235</t>
  </si>
  <si>
    <t>Lish</t>
  </si>
  <si>
    <t>lsh</t>
  </si>
  <si>
    <t>Lishanid Noshan</t>
  </si>
  <si>
    <t>aij</t>
  </si>
  <si>
    <t>lish1246</t>
  </si>
  <si>
    <t>tran1290</t>
  </si>
  <si>
    <t>Lish√°n Did√°n</t>
  </si>
  <si>
    <t>trg</t>
  </si>
  <si>
    <t>AZ GE IL</t>
  </si>
  <si>
    <t>Lishana Deni</t>
  </si>
  <si>
    <t>lsd</t>
  </si>
  <si>
    <t>Lisoid</t>
  </si>
  <si>
    <t>liss1238</t>
  </si>
  <si>
    <t>Lissam</t>
  </si>
  <si>
    <t>lisu1245</t>
  </si>
  <si>
    <t>Lisu (Ersu)</t>
  </si>
  <si>
    <t>Lisu</t>
  </si>
  <si>
    <t>lis</t>
  </si>
  <si>
    <t>CN IN MM TH</t>
  </si>
  <si>
    <t>lisu1251</t>
  </si>
  <si>
    <t>Lisum</t>
  </si>
  <si>
    <t>nucl1734</t>
  </si>
  <si>
    <t>Lisu-Laluba-Lavu</t>
  </si>
  <si>
    <t>lite1247</t>
  </si>
  <si>
    <t>Literary Hindi</t>
  </si>
  <si>
    <t>lite1248</t>
  </si>
  <si>
    <t>Literary Chinese</t>
  </si>
  <si>
    <t>lzh</t>
  </si>
  <si>
    <t>lith1236</t>
  </si>
  <si>
    <t>Lithuanian Sign Language</t>
  </si>
  <si>
    <t>lls</t>
  </si>
  <si>
    <t>Lithuanian</t>
  </si>
  <si>
    <t>BY LT LV PL RU</t>
  </si>
  <si>
    <t>lith1252</t>
  </si>
  <si>
    <t>Eastern Latvia-Lithuanian Romani</t>
  </si>
  <si>
    <t>lith1253</t>
  </si>
  <si>
    <t>Lithang (Litang)</t>
  </si>
  <si>
    <t>liti1240</t>
  </si>
  <si>
    <t>Litipara</t>
  </si>
  <si>
    <t>liti1241</t>
  </si>
  <si>
    <t>Litime</t>
  </si>
  <si>
    <t>Litoka</t>
  </si>
  <si>
    <t>litt1242</t>
  </si>
  <si>
    <t>Little Nicobar</t>
  </si>
  <si>
    <t>litv1235</t>
  </si>
  <si>
    <t>nort2632</t>
  </si>
  <si>
    <t>Litvish</t>
  </si>
  <si>
    <t>litz1237</t>
  </si>
  <si>
    <t>Naman</t>
  </si>
  <si>
    <t>lzl</t>
  </si>
  <si>
    <t>liud1234</t>
  </si>
  <si>
    <t>sanh1239</t>
  </si>
  <si>
    <t>Liudui-Pingtung</t>
  </si>
  <si>
    <t>liuj1238</t>
  </si>
  <si>
    <t>Liujiang Zhuang</t>
  </si>
  <si>
    <t>zlj</t>
  </si>
  <si>
    <t>liuq1235</t>
  </si>
  <si>
    <t>Liuqian Zhuang</t>
  </si>
  <si>
    <t>zlq</t>
  </si>
  <si>
    <t>liut1238</t>
  </si>
  <si>
    <t>Liutwa</t>
  </si>
  <si>
    <t>liuu1238</t>
  </si>
  <si>
    <t>Liu</t>
  </si>
  <si>
    <t>liva1239</t>
  </si>
  <si>
    <t>Livara</t>
  </si>
  <si>
    <t>live1239</t>
  </si>
  <si>
    <t>Live</t>
  </si>
  <si>
    <t>livi1241</t>
  </si>
  <si>
    <t>Livinallese</t>
  </si>
  <si>
    <t>livu1239</t>
  </si>
  <si>
    <t>Livuan</t>
  </si>
  <si>
    <t>livu1240</t>
  </si>
  <si>
    <t>Livunganen</t>
  </si>
  <si>
    <t>Livvi</t>
  </si>
  <si>
    <t>Liv</t>
  </si>
  <si>
    <t>liv</t>
  </si>
  <si>
    <t>liwe1234</t>
  </si>
  <si>
    <t>Liwengi</t>
  </si>
  <si>
    <t>lixi1238</t>
  </si>
  <si>
    <t>Lixian</t>
  </si>
  <si>
    <t>liya1241</t>
  </si>
  <si>
    <t>Liyagalawumirr</t>
  </si>
  <si>
    <t>liya1242</t>
  </si>
  <si>
    <t>Liyagawumirr</t>
  </si>
  <si>
    <t>liyu1238</t>
  </si>
  <si>
    <t>Liyuwa</t>
  </si>
  <si>
    <t>lizu1234</t>
  </si>
  <si>
    <t>Lizu</t>
  </si>
  <si>
    <t>llak1238</t>
  </si>
  <si>
    <t>Llakwash Chachapoyas</t>
  </si>
  <si>
    <t>loan1237</t>
  </si>
  <si>
    <t>Loanatit</t>
  </si>
  <si>
    <t>loar1234</t>
  </si>
  <si>
    <t>Loarki</t>
  </si>
  <si>
    <t>lrk</t>
  </si>
  <si>
    <t>loba1239</t>
  </si>
  <si>
    <t>Lobala</t>
  </si>
  <si>
    <t>loq</t>
  </si>
  <si>
    <t>lobe1241</t>
  </si>
  <si>
    <t>nort2780</t>
  </si>
  <si>
    <t>Lober</t>
  </si>
  <si>
    <t>lobe1242</t>
  </si>
  <si>
    <t>Lobedu</t>
  </si>
  <si>
    <t>Lobi</t>
  </si>
  <si>
    <t>lob</t>
  </si>
  <si>
    <t>Lobiri-Jaane</t>
  </si>
  <si>
    <t>lobo1240</t>
  </si>
  <si>
    <t>Lobo</t>
  </si>
  <si>
    <t>lobo1241</t>
  </si>
  <si>
    <t>Loboda</t>
  </si>
  <si>
    <t>lobu1241</t>
  </si>
  <si>
    <t>Lobu</t>
  </si>
  <si>
    <t>loda1240</t>
  </si>
  <si>
    <t>Lodang</t>
  </si>
  <si>
    <t>lodh1244</t>
  </si>
  <si>
    <t>Lodhanti</t>
  </si>
  <si>
    <t>lodh1245</t>
  </si>
  <si>
    <t>Lodhi (Indo-European)</t>
  </si>
  <si>
    <t>lodh1246</t>
  </si>
  <si>
    <t>Lodhi</t>
  </si>
  <si>
    <t>lbm</t>
  </si>
  <si>
    <t>lodz1235</t>
  </si>
  <si>
    <t>mide1238</t>
  </si>
  <si>
    <t>Lodz Yiddish</t>
  </si>
  <si>
    <t>loga1242</t>
  </si>
  <si>
    <t>Logar</t>
  </si>
  <si>
    <t>loga1243</t>
  </si>
  <si>
    <t>Logananga</t>
  </si>
  <si>
    <t>logb1245</t>
  </si>
  <si>
    <t>Logba</t>
  </si>
  <si>
    <t>lgq</t>
  </si>
  <si>
    <t>logb1246</t>
  </si>
  <si>
    <t>Logbo</t>
  </si>
  <si>
    <t>loge1237</t>
  </si>
  <si>
    <t>sali1295</t>
  </si>
  <si>
    <t>Logeya</t>
  </si>
  <si>
    <t>logg1238</t>
  </si>
  <si>
    <t>Log</t>
  </si>
  <si>
    <t>logi1238</t>
  </si>
  <si>
    <t>Logiri</t>
  </si>
  <si>
    <t>logo1258</t>
  </si>
  <si>
    <t>Logooli</t>
  </si>
  <si>
    <t>rag</t>
  </si>
  <si>
    <t>Logo</t>
  </si>
  <si>
    <t>log</t>
  </si>
  <si>
    <t>logo1260</t>
  </si>
  <si>
    <t>Logotok</t>
  </si>
  <si>
    <t>Logorik</t>
  </si>
  <si>
    <t>liu</t>
  </si>
  <si>
    <t>logo1262</t>
  </si>
  <si>
    <t>Logol</t>
  </si>
  <si>
    <t>lof</t>
  </si>
  <si>
    <t>logo1273</t>
  </si>
  <si>
    <t>Logone-Gana</t>
  </si>
  <si>
    <t>logo1274</t>
  </si>
  <si>
    <t>Logone-Birni</t>
  </si>
  <si>
    <t>logr1238</t>
  </si>
  <si>
    <t>Logremma</t>
  </si>
  <si>
    <t>Logudorese Sardinian</t>
  </si>
  <si>
    <t>src</t>
  </si>
  <si>
    <t>loha1251</t>
  </si>
  <si>
    <t>Lohara</t>
  </si>
  <si>
    <t>loha1252</t>
  </si>
  <si>
    <t>Lohari-Santali</t>
  </si>
  <si>
    <t>lohb1238</t>
  </si>
  <si>
    <t>Lohbya</t>
  </si>
  <si>
    <t>loho1238</t>
  </si>
  <si>
    <t>uppe1412</t>
  </si>
  <si>
    <t>Lohorung-Yamphu</t>
  </si>
  <si>
    <t>loii1241</t>
  </si>
  <si>
    <t>Loi</t>
  </si>
  <si>
    <t>loii1242</t>
  </si>
  <si>
    <t>Loi (Congo)</t>
  </si>
  <si>
    <t>loit1238</t>
  </si>
  <si>
    <t>Loitai</t>
  </si>
  <si>
    <t>loja1235</t>
  </si>
  <si>
    <t>Loja Highland Quichua</t>
  </si>
  <si>
    <t>qvj</t>
  </si>
  <si>
    <t>loka1252</t>
  </si>
  <si>
    <t>loko1252</t>
  </si>
  <si>
    <t>Lokaa</t>
  </si>
  <si>
    <t>yaz</t>
  </si>
  <si>
    <t>loka1253</t>
  </si>
  <si>
    <t>Lokalo</t>
  </si>
  <si>
    <t>loka1254</t>
  </si>
  <si>
    <t>Lokay</t>
  </si>
  <si>
    <t>loka1255</t>
  </si>
  <si>
    <t>Lokai</t>
  </si>
  <si>
    <t>loka1256</t>
  </si>
  <si>
    <t>teso1249</t>
  </si>
  <si>
    <t>Lokathan</t>
  </si>
  <si>
    <t>loke1237</t>
  </si>
  <si>
    <t>Lokep</t>
  </si>
  <si>
    <t>Lokoic</t>
  </si>
  <si>
    <t>loko1253</t>
  </si>
  <si>
    <t>Lokoko</t>
  </si>
  <si>
    <t>loko1254</t>
  </si>
  <si>
    <t>Lokoya</t>
  </si>
  <si>
    <t>lky</t>
  </si>
  <si>
    <t>mend1265</t>
  </si>
  <si>
    <t>Loko</t>
  </si>
  <si>
    <t>lok</t>
  </si>
  <si>
    <t>loku1238</t>
  </si>
  <si>
    <t>Lokundu</t>
  </si>
  <si>
    <t>lola1247</t>
  </si>
  <si>
    <t>saaa1241</t>
  </si>
  <si>
    <t>Lolatavola</t>
  </si>
  <si>
    <t>lola1248</t>
  </si>
  <si>
    <t>Lola</t>
  </si>
  <si>
    <t>lcd</t>
  </si>
  <si>
    <t>lola1249</t>
  </si>
  <si>
    <t>Lolayan</t>
  </si>
  <si>
    <t>lola1250</t>
  </si>
  <si>
    <t>Lolak</t>
  </si>
  <si>
    <t>llq</t>
  </si>
  <si>
    <t>lola1251</t>
  </si>
  <si>
    <t>Lolang</t>
  </si>
  <si>
    <t>lola1252</t>
  </si>
  <si>
    <t>Lolaca</t>
  </si>
  <si>
    <t>Lole</t>
  </si>
  <si>
    <t>llg</t>
  </si>
  <si>
    <t>lole1240</t>
  </si>
  <si>
    <t>Lolei</t>
  </si>
  <si>
    <t>lolo1259</t>
  </si>
  <si>
    <t>Lolopo</t>
  </si>
  <si>
    <t>ycl</t>
  </si>
  <si>
    <t>lolo1260</t>
  </si>
  <si>
    <t>Lolobi</t>
  </si>
  <si>
    <t>lolo1261</t>
  </si>
  <si>
    <t>Lolo</t>
  </si>
  <si>
    <t>llb</t>
  </si>
  <si>
    <t>lolo1262</t>
  </si>
  <si>
    <t>Lolokaro</t>
  </si>
  <si>
    <t>lolo1263</t>
  </si>
  <si>
    <t>mera1242</t>
  </si>
  <si>
    <t>Lolobao</t>
  </si>
  <si>
    <t>Loloda-Laba</t>
  </si>
  <si>
    <t>loa</t>
  </si>
  <si>
    <t>Lolo-Burmese</t>
  </si>
  <si>
    <t>Loloish</t>
  </si>
  <si>
    <t>lolt1237</t>
  </si>
  <si>
    <t>Loltong</t>
  </si>
  <si>
    <t>lolu1238</t>
  </si>
  <si>
    <t>Lolue</t>
  </si>
  <si>
    <t>loly1238</t>
  </si>
  <si>
    <t>Lolya</t>
  </si>
  <si>
    <t>loma1235</t>
  </si>
  <si>
    <t>Lomavren</t>
  </si>
  <si>
    <t>rmi</t>
  </si>
  <si>
    <t>AM AZ RU SY</t>
  </si>
  <si>
    <t>loma1258</t>
  </si>
  <si>
    <t>teen1241</t>
  </si>
  <si>
    <t>Loma (C√¥te d'Ivoire)</t>
  </si>
  <si>
    <t>loi</t>
  </si>
  <si>
    <t>mend1263</t>
  </si>
  <si>
    <t>Loma</t>
  </si>
  <si>
    <t>Loma (Liberia)</t>
  </si>
  <si>
    <t>lom</t>
  </si>
  <si>
    <t>loma1261</t>
  </si>
  <si>
    <t>Lomaiviti</t>
  </si>
  <si>
    <t>lmv</t>
  </si>
  <si>
    <t>loma1262</t>
  </si>
  <si>
    <t>L√∂maumbi</t>
  </si>
  <si>
    <t>loma1263</t>
  </si>
  <si>
    <t>maza1296</t>
  </si>
  <si>
    <t>Loma Grande</t>
  </si>
  <si>
    <t>lomb1254</t>
  </si>
  <si>
    <t>mang1393</t>
  </si>
  <si>
    <t>Lombi</t>
  </si>
  <si>
    <t>lmi</t>
  </si>
  <si>
    <t>piem1239</t>
  </si>
  <si>
    <t>Lombard</t>
  </si>
  <si>
    <t>lmo</t>
  </si>
  <si>
    <t>CH IT</t>
  </si>
  <si>
    <t>lomb1259</t>
  </si>
  <si>
    <t>Lombu</t>
  </si>
  <si>
    <t>lomb1260</t>
  </si>
  <si>
    <t>Lombo</t>
  </si>
  <si>
    <t>loo</t>
  </si>
  <si>
    <t>lomb1261</t>
  </si>
  <si>
    <t>Lombooki</t>
  </si>
  <si>
    <t>lomb1262</t>
  </si>
  <si>
    <t>Lombaha</t>
  </si>
  <si>
    <t>Lombard-Venetian Sinti</t>
  </si>
  <si>
    <t>lome1237</t>
  </si>
  <si>
    <t>whit1269</t>
  </si>
  <si>
    <t>Lometimeti</t>
  </si>
  <si>
    <t>lomi1237</t>
  </si>
  <si>
    <t>Lomitawa</t>
  </si>
  <si>
    <t>lomo1240</t>
  </si>
  <si>
    <t>Lomotua</t>
  </si>
  <si>
    <t>lomo1241</t>
  </si>
  <si>
    <t>Lomogai</t>
  </si>
  <si>
    <t>lomo1242</t>
  </si>
  <si>
    <t>vieu1234</t>
  </si>
  <si>
    <t>Lomongo</t>
  </si>
  <si>
    <t>lomw1241</t>
  </si>
  <si>
    <t>lomw1242</t>
  </si>
  <si>
    <t>Mozambique Lomwe</t>
  </si>
  <si>
    <t>ngl</t>
  </si>
  <si>
    <t>maku1279</t>
  </si>
  <si>
    <t>Lomweic</t>
  </si>
  <si>
    <t>lomy1239</t>
  </si>
  <si>
    <t>Lomya</t>
  </si>
  <si>
    <t>lona1239</t>
  </si>
  <si>
    <t>Lona</t>
  </si>
  <si>
    <t>lonb1237</t>
  </si>
  <si>
    <t>Lon Bangag</t>
  </si>
  <si>
    <t>lonc1237</t>
  </si>
  <si>
    <t>Loncong</t>
  </si>
  <si>
    <t>lce</t>
  </si>
  <si>
    <t>lond1243</t>
  </si>
  <si>
    <t>Londo</t>
  </si>
  <si>
    <t>long1252</t>
  </si>
  <si>
    <t>zhon1238</t>
  </si>
  <si>
    <t>Longdu</t>
  </si>
  <si>
    <t>long1373</t>
  </si>
  <si>
    <t>Longchuan</t>
  </si>
  <si>
    <t>long1374</t>
  </si>
  <si>
    <t>Longxi Qiang</t>
  </si>
  <si>
    <t>long1375</t>
  </si>
  <si>
    <t>maku1272</t>
  </si>
  <si>
    <t>Long Phuri Naga</t>
  </si>
  <si>
    <t>lpn</t>
  </si>
  <si>
    <t>long1376</t>
  </si>
  <si>
    <t>Longla</t>
  </si>
  <si>
    <t>long1377</t>
  </si>
  <si>
    <t>Longshan Tujia</t>
  </si>
  <si>
    <t>long1378</t>
  </si>
  <si>
    <t>Longmein</t>
  </si>
  <si>
    <t>long1379</t>
  </si>
  <si>
    <t>Longching</t>
  </si>
  <si>
    <t>long1380</t>
  </si>
  <si>
    <t>Longkhai</t>
  </si>
  <si>
    <t>long1381</t>
  </si>
  <si>
    <t>Longwa</t>
  </si>
  <si>
    <t>long1382</t>
  </si>
  <si>
    <t>Longri</t>
  </si>
  <si>
    <t>long1383</t>
  </si>
  <si>
    <t>Longphi</t>
  </si>
  <si>
    <t>long1385</t>
  </si>
  <si>
    <t>Longmi</t>
  </si>
  <si>
    <t>long1386</t>
  </si>
  <si>
    <t>Jiangshan</t>
  </si>
  <si>
    <t>long1387</t>
  </si>
  <si>
    <t>Longto</t>
  </si>
  <si>
    <t>wok</t>
  </si>
  <si>
    <t>long1388</t>
  </si>
  <si>
    <t>Longoro</t>
  </si>
  <si>
    <t>long1389</t>
  </si>
  <si>
    <t>Longuda</t>
  </si>
  <si>
    <t>lnu</t>
  </si>
  <si>
    <t>long1390</t>
  </si>
  <si>
    <t>Longo</t>
  </si>
  <si>
    <t>long1391</t>
  </si>
  <si>
    <t>Longe-Longe</t>
  </si>
  <si>
    <t>long1392</t>
  </si>
  <si>
    <t>Longombe</t>
  </si>
  <si>
    <t>long1393</t>
  </si>
  <si>
    <t>Longo (Democratic Republic of Congo)</t>
  </si>
  <si>
    <t>long1394</t>
  </si>
  <si>
    <t>Longolo</t>
  </si>
  <si>
    <t>long1395</t>
  </si>
  <si>
    <t>mala1485</t>
  </si>
  <si>
    <t>Longgu</t>
  </si>
  <si>
    <t>lgu</t>
  </si>
  <si>
    <t>long1396</t>
  </si>
  <si>
    <t>Longana</t>
  </si>
  <si>
    <t>long1397</t>
  </si>
  <si>
    <t>Long Luyang</t>
  </si>
  <si>
    <t>long1398</t>
  </si>
  <si>
    <t>Long Atun</t>
  </si>
  <si>
    <t>long1399</t>
  </si>
  <si>
    <t>Long Pokun</t>
  </si>
  <si>
    <t>long1400</t>
  </si>
  <si>
    <t>Long Ekang</t>
  </si>
  <si>
    <t>long1401</t>
  </si>
  <si>
    <t>Long Bangan</t>
  </si>
  <si>
    <t>long1402</t>
  </si>
  <si>
    <t>ngor1244</t>
  </si>
  <si>
    <t>Long Semiang</t>
  </si>
  <si>
    <t>long1403</t>
  </si>
  <si>
    <t>Long Banyuq</t>
  </si>
  <si>
    <t>long1404</t>
  </si>
  <si>
    <t>Long Bento'</t>
  </si>
  <si>
    <t>long1405</t>
  </si>
  <si>
    <t>Long Glat</t>
  </si>
  <si>
    <t>long1406</t>
  </si>
  <si>
    <t>west2875</t>
  </si>
  <si>
    <t>Western Lowland Kenyah</t>
  </si>
  <si>
    <t>ttw</t>
  </si>
  <si>
    <t>long1407</t>
  </si>
  <si>
    <t>Long Labid</t>
  </si>
  <si>
    <t>long1408</t>
  </si>
  <si>
    <t>Long Badan</t>
  </si>
  <si>
    <t>long1409</t>
  </si>
  <si>
    <t>Long Murun</t>
  </si>
  <si>
    <t>long1410</t>
  </si>
  <si>
    <t>Long Geng</t>
  </si>
  <si>
    <t>long1411</t>
  </si>
  <si>
    <t>Long Kehobo</t>
  </si>
  <si>
    <t>long1412</t>
  </si>
  <si>
    <t>Long Akahsemuka</t>
  </si>
  <si>
    <t>long1413</t>
  </si>
  <si>
    <t>Long Atip</t>
  </si>
  <si>
    <t>long1414</t>
  </si>
  <si>
    <t>Long Bleh</t>
  </si>
  <si>
    <t>long1415</t>
  </si>
  <si>
    <t>Long Kiput</t>
  </si>
  <si>
    <t>long1416</t>
  </si>
  <si>
    <t>Long Tutoh</t>
  </si>
  <si>
    <t>long1417</t>
  </si>
  <si>
    <t>Longjia</t>
  </si>
  <si>
    <t>loni1238</t>
  </si>
  <si>
    <t>moko1244</t>
  </si>
  <si>
    <t>Loniu</t>
  </si>
  <si>
    <t>los</t>
  </si>
  <si>
    <t>lont1237</t>
  </si>
  <si>
    <t>Lontes</t>
  </si>
  <si>
    <t>lonw1238</t>
  </si>
  <si>
    <t>Lonwolwol</t>
  </si>
  <si>
    <t>crc</t>
  </si>
  <si>
    <t>lonz1238</t>
  </si>
  <si>
    <t>yaka1269</t>
  </si>
  <si>
    <t>Lonzo</t>
  </si>
  <si>
    <t>lnz</t>
  </si>
  <si>
    <t>lood1234</t>
  </si>
  <si>
    <t>Loo Dan</t>
  </si>
  <si>
    <t>loof1241</t>
  </si>
  <si>
    <t>Loofiyo</t>
  </si>
  <si>
    <t>loof1242</t>
  </si>
  <si>
    <t>Loofaa</t>
  </si>
  <si>
    <t>look1237</t>
  </si>
  <si>
    <t>Looknon</t>
  </si>
  <si>
    <t>looo1238</t>
  </si>
  <si>
    <t>Loo</t>
  </si>
  <si>
    <t>ldo</t>
  </si>
  <si>
    <t>lopa1238</t>
  </si>
  <si>
    <t>Lopa</t>
  </si>
  <si>
    <t>lop</t>
  </si>
  <si>
    <t>lopi1242</t>
  </si>
  <si>
    <t>Lopit</t>
  </si>
  <si>
    <t>lpx</t>
  </si>
  <si>
    <t>lopi1243</t>
  </si>
  <si>
    <t>Lopi</t>
  </si>
  <si>
    <t>lov</t>
  </si>
  <si>
    <t>lopn1238</t>
  </si>
  <si>
    <t>Lopnor</t>
  </si>
  <si>
    <t>lora1237</t>
  </si>
  <si>
    <t>Lorang</t>
  </si>
  <si>
    <t>lrn</t>
  </si>
  <si>
    <t>lore1243</t>
  </si>
  <si>
    <t>Loreto-Ucayali Spanish</t>
  </si>
  <si>
    <t>spq</t>
  </si>
  <si>
    <t>lore1244</t>
  </si>
  <si>
    <t>Nethalp</t>
  </si>
  <si>
    <t>lnn</t>
  </si>
  <si>
    <t>lore1245</t>
  </si>
  <si>
    <t>Loreto</t>
  </si>
  <si>
    <t>Lori</t>
  </si>
  <si>
    <t>lorr1242</t>
  </si>
  <si>
    <t>Lorraine</t>
  </si>
  <si>
    <t>lorr1243</t>
  </si>
  <si>
    <t>luxe1244</t>
  </si>
  <si>
    <t>Thionville-Merzig</t>
  </si>
  <si>
    <t>lorw1238</t>
  </si>
  <si>
    <t>Lorwama</t>
  </si>
  <si>
    <t>losa1236</t>
  </si>
  <si>
    <t>Losa</t>
  </si>
  <si>
    <t>losi1239</t>
  </si>
  <si>
    <t>Losi</t>
  </si>
  <si>
    <t>losi1240</t>
  </si>
  <si>
    <t>teop1238</t>
  </si>
  <si>
    <t>Losiara</t>
  </si>
  <si>
    <t>lota1238</t>
  </si>
  <si>
    <t>Lotanga</t>
  </si>
  <si>
    <t>lote1237</t>
  </si>
  <si>
    <t>meng1266</t>
  </si>
  <si>
    <t>Lote</t>
  </si>
  <si>
    <t>uvl</t>
  </si>
  <si>
    <t>Lotha Naga</t>
  </si>
  <si>
    <t>njh</t>
  </si>
  <si>
    <t>loth1238</t>
  </si>
  <si>
    <t>pala1330</t>
  </si>
  <si>
    <t>Lothringisch</t>
  </si>
  <si>
    <t>loti1239</t>
  </si>
  <si>
    <t>Lotilla</t>
  </si>
  <si>
    <t>loto1239</t>
  </si>
  <si>
    <t>Lotora</t>
  </si>
  <si>
    <t>loto1240</t>
  </si>
  <si>
    <t>Lo-Toga</t>
  </si>
  <si>
    <t>lht</t>
  </si>
  <si>
    <t>lotu1248</t>
  </si>
  <si>
    <t>teso1247</t>
  </si>
  <si>
    <t>Lotuxo-Maa</t>
  </si>
  <si>
    <t>Lotuxo</t>
  </si>
  <si>
    <t>lotu1250</t>
  </si>
  <si>
    <t>Lotud</t>
  </si>
  <si>
    <t>dtr</t>
  </si>
  <si>
    <t>loud1234</t>
  </si>
  <si>
    <t>luos1238</t>
  </si>
  <si>
    <t>Loudi</t>
  </si>
  <si>
    <t>loug1237</t>
  </si>
  <si>
    <t>Lougaw</t>
  </si>
  <si>
    <t>loui1240</t>
  </si>
  <si>
    <t>Louisiana Creole French</t>
  </si>
  <si>
    <t>lou</t>
  </si>
  <si>
    <t>loui1241</t>
  </si>
  <si>
    <t>Louisiana Spanish</t>
  </si>
  <si>
    <t>loun1239</t>
  </si>
  <si>
    <t>Loun</t>
  </si>
  <si>
    <t>lox</t>
  </si>
  <si>
    <t>louo1238</t>
  </si>
  <si>
    <t>Louome</t>
  </si>
  <si>
    <t>loup1243</t>
  </si>
  <si>
    <t>sout3237</t>
  </si>
  <si>
    <t>Loup A</t>
  </si>
  <si>
    <t>xlo</t>
  </si>
  <si>
    <t>Lou-Paluai</t>
  </si>
  <si>
    <t>lous1238</t>
  </si>
  <si>
    <t>Lousau</t>
  </si>
  <si>
    <t>louu1244</t>
  </si>
  <si>
    <t>Lou (Nilotic)</t>
  </si>
  <si>
    <t>louu1245</t>
  </si>
  <si>
    <t>Lou</t>
  </si>
  <si>
    <t>loj</t>
  </si>
  <si>
    <t>lova1240</t>
  </si>
  <si>
    <t>Lovari</t>
  </si>
  <si>
    <t>Loven-Suq</t>
  </si>
  <si>
    <t>lovi1238</t>
  </si>
  <si>
    <t>Lovi</t>
  </si>
  <si>
    <t>Low Alemannic</t>
  </si>
  <si>
    <t>Lowa</t>
  </si>
  <si>
    <t>loy</t>
  </si>
  <si>
    <t>maha1287</t>
  </si>
  <si>
    <t>Lower Mahasu Pahari</t>
  </si>
  <si>
    <t>lowe1384</t>
  </si>
  <si>
    <t>Lower Carniola</t>
  </si>
  <si>
    <t>lowe1385</t>
  </si>
  <si>
    <t>sorb1249</t>
  </si>
  <si>
    <t>Lower Sorbian</t>
  </si>
  <si>
    <t>dsb</t>
  </si>
  <si>
    <t>lowe1386</t>
  </si>
  <si>
    <t>roma1326</t>
  </si>
  <si>
    <t>Lower Engadine</t>
  </si>
  <si>
    <t>lowe1387</t>
  </si>
  <si>
    <t>Niederprussisch</t>
  </si>
  <si>
    <t>schl1237</t>
  </si>
  <si>
    <t>Lower Silesian</t>
  </si>
  <si>
    <t>sli</t>
  </si>
  <si>
    <t>CZ PL</t>
  </si>
  <si>
    <t>lowe1389</t>
  </si>
  <si>
    <t>yazg1240</t>
  </si>
  <si>
    <t>Lower Yazgulyam</t>
  </si>
  <si>
    <t>lowe1390</t>
  </si>
  <si>
    <t>Lower Prasun</t>
  </si>
  <si>
    <t>lowe1391</t>
  </si>
  <si>
    <t>Lower Sadri</t>
  </si>
  <si>
    <t>lowe1392</t>
  </si>
  <si>
    <t>Lower Luga</t>
  </si>
  <si>
    <t>lowe1393</t>
  </si>
  <si>
    <t>Lower Lamet</t>
  </si>
  <si>
    <t>lowe1394</t>
  </si>
  <si>
    <t>Lower Bondo</t>
  </si>
  <si>
    <t>ongt1234</t>
  </si>
  <si>
    <t>Lower Ta'oih</t>
  </si>
  <si>
    <t>tto</t>
  </si>
  <si>
    <t>Lower Chulym Turkic</t>
  </si>
  <si>
    <t>lowe1397</t>
  </si>
  <si>
    <t>Lower Bal</t>
  </si>
  <si>
    <t>lowe1398</t>
  </si>
  <si>
    <t>Lower Groma</t>
  </si>
  <si>
    <t>lowe1399</t>
  </si>
  <si>
    <t>Lower Kheng</t>
  </si>
  <si>
    <t>lowe1400</t>
  </si>
  <si>
    <t>zyph1238</t>
  </si>
  <si>
    <t>Lower Zyphe</t>
  </si>
  <si>
    <t>lowe1401</t>
  </si>
  <si>
    <t>Lower Murray</t>
  </si>
  <si>
    <t>lowe1402</t>
  </si>
  <si>
    <t>Lower Riverland</t>
  </si>
  <si>
    <t>yara1253</t>
  </si>
  <si>
    <t>Lower Darling-Lower Lachlan</t>
  </si>
  <si>
    <t>lowe1404</t>
  </si>
  <si>
    <t>Lower Adele</t>
  </si>
  <si>
    <t>lowe1405</t>
  </si>
  <si>
    <t>Lower Kenyang</t>
  </si>
  <si>
    <t>lowe1406</t>
  </si>
  <si>
    <t>Lower Gio</t>
  </si>
  <si>
    <t>Lower-Nosop</t>
  </si>
  <si>
    <t>lowe1408</t>
  </si>
  <si>
    <t>yeii1239</t>
  </si>
  <si>
    <t>Lower Yei</t>
  </si>
  <si>
    <t>lowe1409</t>
  </si>
  <si>
    <t>Lower Mamberamo</t>
  </si>
  <si>
    <t>lowe1410</t>
  </si>
  <si>
    <t>mort1237</t>
  </si>
  <si>
    <t>Lower Mortlock</t>
  </si>
  <si>
    <t>Lower Markham</t>
  </si>
  <si>
    <t>lowe1412</t>
  </si>
  <si>
    <t>sout3207</t>
  </si>
  <si>
    <t>Tanudan Kalinga</t>
  </si>
  <si>
    <t>kml</t>
  </si>
  <si>
    <t>lowe1413</t>
  </si>
  <si>
    <t>Lower Murut</t>
  </si>
  <si>
    <t>lowe1414</t>
  </si>
  <si>
    <t>Lower Lagaip</t>
  </si>
  <si>
    <t>lowe1415</t>
  </si>
  <si>
    <t>Lower Grand Valley Dani</t>
  </si>
  <si>
    <t>dni</t>
  </si>
  <si>
    <t>lowe1416</t>
  </si>
  <si>
    <t>Lower Grand Valley Hitigima</t>
  </si>
  <si>
    <t>lowe1417</t>
  </si>
  <si>
    <t>Lower Kimbin</t>
  </si>
  <si>
    <t>lowe1418</t>
  </si>
  <si>
    <t>Lower Bele</t>
  </si>
  <si>
    <t>lowe1419</t>
  </si>
  <si>
    <t>sili1249</t>
  </si>
  <si>
    <t>Lower Samenage</t>
  </si>
  <si>
    <t>lowe1420</t>
  </si>
  <si>
    <t>toka1244</t>
  </si>
  <si>
    <t>Lower Asaro</t>
  </si>
  <si>
    <t>lowe1421</t>
  </si>
  <si>
    <t>Lower Bamu</t>
  </si>
  <si>
    <t>Lower Sepik</t>
  </si>
  <si>
    <t>lowe1425</t>
  </si>
  <si>
    <t>Lower Tanana</t>
  </si>
  <si>
    <t>taa</t>
  </si>
  <si>
    <t>lowe1426</t>
  </si>
  <si>
    <t>quin1251</t>
  </si>
  <si>
    <t>Lower Chehalis (Quinault)</t>
  </si>
  <si>
    <t>lowe1427</t>
  </si>
  <si>
    <t>Lower Chehalis</t>
  </si>
  <si>
    <t>cea</t>
  </si>
  <si>
    <t>lowe1435</t>
  </si>
  <si>
    <t>Lower Barwari</t>
  </si>
  <si>
    <t>lowe1436</t>
  </si>
  <si>
    <t>Lower Southern Aranda</t>
  </si>
  <si>
    <t>axl</t>
  </si>
  <si>
    <t>Lower Sepik-Ramu</t>
  </si>
  <si>
    <t>Lower Chinookan</t>
  </si>
  <si>
    <t>Lower Ramu</t>
  </si>
  <si>
    <t>Lower Guinea Portuguese</t>
  </si>
  <si>
    <t>lowe1441</t>
  </si>
  <si>
    <t>Lower Pokomo</t>
  </si>
  <si>
    <t>poj</t>
  </si>
  <si>
    <t>lowe1443</t>
  </si>
  <si>
    <t>Lower Luga Votic</t>
  </si>
  <si>
    <t>Lower Richmond</t>
  </si>
  <si>
    <t>lowe1445</t>
  </si>
  <si>
    <t>Lower Northern English</t>
  </si>
  <si>
    <t>Lower Southeastern Southwestern English</t>
  </si>
  <si>
    <t>Lower East Franconian</t>
  </si>
  <si>
    <t>midd1345</t>
  </si>
  <si>
    <t>Low German</t>
  </si>
  <si>
    <t>lowl1271</t>
  </si>
  <si>
    <t>Sierra Totonacan</t>
  </si>
  <si>
    <t>lowl1258</t>
  </si>
  <si>
    <t>Lowland Bali</t>
  </si>
  <si>
    <t>Lowland Ok</t>
  </si>
  <si>
    <t>lowl1260</t>
  </si>
  <si>
    <t>Lowland Oaxaca Chontal</t>
  </si>
  <si>
    <t>clo</t>
  </si>
  <si>
    <t>lowl1269</t>
  </si>
  <si>
    <t>Lowland Mixe</t>
  </si>
  <si>
    <t>lowl1264</t>
  </si>
  <si>
    <t>Lowland Huarij√≠o</t>
  </si>
  <si>
    <t>lowl1265</t>
  </si>
  <si>
    <t>Lowland Tarahumara</t>
  </si>
  <si>
    <t>tac</t>
  </si>
  <si>
    <t>lowl1267</t>
  </si>
  <si>
    <t>Lowland East Cushitic</t>
  </si>
  <si>
    <t>lowl1268</t>
  </si>
  <si>
    <t>oaxa1241</t>
  </si>
  <si>
    <t>Lowland-Midland-South Highland Mixe</t>
  </si>
  <si>
    <t>Lowland-Midland Mixe</t>
  </si>
  <si>
    <t>lowl1270</t>
  </si>
  <si>
    <t>Lowland Kenyah</t>
  </si>
  <si>
    <t>Lowland-Sierra Totonacan</t>
  </si>
  <si>
    <t>lowp1238</t>
  </si>
  <si>
    <t>Low Piemontese</t>
  </si>
  <si>
    <t>lowu1240</t>
  </si>
  <si>
    <t>Lowudo</t>
  </si>
  <si>
    <t>lowu1241</t>
  </si>
  <si>
    <t>Lowu-Lowu</t>
  </si>
  <si>
    <t>miah1236</t>
  </si>
  <si>
    <t>Loxicha Zapotec</t>
  </si>
  <si>
    <t>ztp</t>
  </si>
  <si>
    <t>Loyalty Islands</t>
  </si>
  <si>
    <t>seso1234</t>
  </si>
  <si>
    <t>BW NA ZM ZW</t>
  </si>
  <si>
    <t>lozo1238</t>
  </si>
  <si>
    <t>Lozoua</t>
  </si>
  <si>
    <t>LSFic</t>
  </si>
  <si>
    <t>Lua'</t>
  </si>
  <si>
    <t>prb</t>
  </si>
  <si>
    <t>luac1241</t>
  </si>
  <si>
    <t>Luac</t>
  </si>
  <si>
    <t>luac1242</t>
  </si>
  <si>
    <t>Luac (Southwestern Dinka)</t>
  </si>
  <si>
    <t>lual1238</t>
  </si>
  <si>
    <t>Lualaba Kingwana</t>
  </si>
  <si>
    <t>luan1256</t>
  </si>
  <si>
    <t>Luang Prabang (Laos)</t>
  </si>
  <si>
    <t>luan1257</t>
  </si>
  <si>
    <t>Luang Prabang</t>
  </si>
  <si>
    <t>luan1258</t>
  </si>
  <si>
    <t>sout2778</t>
  </si>
  <si>
    <t>Luangkori</t>
  </si>
  <si>
    <t>luan1259</t>
  </si>
  <si>
    <t>Luano</t>
  </si>
  <si>
    <t>luan1260</t>
  </si>
  <si>
    <t>onto1237</t>
  </si>
  <si>
    <t>Nuclear Luangiua</t>
  </si>
  <si>
    <t>Luangic-Kisaric</t>
  </si>
  <si>
    <t>Luangic</t>
  </si>
  <si>
    <t>luan1263</t>
  </si>
  <si>
    <t>Luang</t>
  </si>
  <si>
    <t>lex</t>
  </si>
  <si>
    <t>luan1264</t>
  </si>
  <si>
    <t>Luang island</t>
  </si>
  <si>
    <t>Luba-Lulua</t>
  </si>
  <si>
    <t>lua</t>
  </si>
  <si>
    <t>Luba-Katanga</t>
  </si>
  <si>
    <t>luba1251</t>
  </si>
  <si>
    <t>Lubang</t>
  </si>
  <si>
    <t>luba1252</t>
  </si>
  <si>
    <t>luba1253</t>
  </si>
  <si>
    <t>Luban</t>
  </si>
  <si>
    <t>Luba-Kaonde</t>
  </si>
  <si>
    <t>Lubaic</t>
  </si>
  <si>
    <t>lubi1238</t>
  </si>
  <si>
    <t>lubi1239</t>
  </si>
  <si>
    <t>Lubila</t>
  </si>
  <si>
    <t>kcc</t>
  </si>
  <si>
    <t>Lubila-Lokaa</t>
  </si>
  <si>
    <t>lubu1241</t>
  </si>
  <si>
    <t>mina1280</t>
  </si>
  <si>
    <t>Lubu</t>
  </si>
  <si>
    <t>lcf</t>
  </si>
  <si>
    <t>lubu1242</t>
  </si>
  <si>
    <t>Luburua</t>
  </si>
  <si>
    <t>Lubuagan Kalinga</t>
  </si>
  <si>
    <t>knb</t>
  </si>
  <si>
    <t>lubu1244</t>
  </si>
  <si>
    <t>Lubuagan</t>
  </si>
  <si>
    <t>luce1238</t>
  </si>
  <si>
    <t>Luzern German</t>
  </si>
  <si>
    <t>luch1239</t>
  </si>
  <si>
    <t>ngan1306</t>
  </si>
  <si>
    <t>Luchazi</t>
  </si>
  <si>
    <t>lch</t>
  </si>
  <si>
    <t>AO NA ZM</t>
  </si>
  <si>
    <t>luci1234</t>
  </si>
  <si>
    <t>Lucia-Miguel Creole French</t>
  </si>
  <si>
    <t>lucu1238</t>
  </si>
  <si>
    <t>lucu1239</t>
  </si>
  <si>
    <t>Lucumi</t>
  </si>
  <si>
    <t>luq</t>
  </si>
  <si>
    <t>nucl1747</t>
  </si>
  <si>
    <t>Lucumi-Yoruba</t>
  </si>
  <si>
    <t>ludi1246</t>
  </si>
  <si>
    <t>Ludian</t>
  </si>
  <si>
    <t>lud</t>
  </si>
  <si>
    <t>ludi1247</t>
  </si>
  <si>
    <t>Ludiopa</t>
  </si>
  <si>
    <t>luey1235</t>
  </si>
  <si>
    <t>Lue-Yong</t>
  </si>
  <si>
    <t>lufu1237</t>
  </si>
  <si>
    <t>Lufu</t>
  </si>
  <si>
    <t>ldq</t>
  </si>
  <si>
    <t>luga1238</t>
  </si>
  <si>
    <t>Lugat</t>
  </si>
  <si>
    <t>Lugbara</t>
  </si>
  <si>
    <t>lgg</t>
  </si>
  <si>
    <t>lugi1238</t>
  </si>
  <si>
    <t>masa1299</t>
  </si>
  <si>
    <t>Lugisu</t>
  </si>
  <si>
    <t>lugu1238</t>
  </si>
  <si>
    <t>Luguru</t>
  </si>
  <si>
    <t>ruf</t>
  </si>
  <si>
    <t>luht1237</t>
  </si>
  <si>
    <t>Luhtu</t>
  </si>
  <si>
    <t>luhu1242</t>
  </si>
  <si>
    <t>Luhua</t>
  </si>
  <si>
    <t>west2853</t>
  </si>
  <si>
    <t>Luhu-Piru</t>
  </si>
  <si>
    <t>lcq</t>
  </si>
  <si>
    <t>luia1234</t>
  </si>
  <si>
    <t>Lui</t>
  </si>
  <si>
    <t>lba</t>
  </si>
  <si>
    <t>luim1238</t>
  </si>
  <si>
    <t>mbwe1239</t>
  </si>
  <si>
    <t>Luimbi</t>
  </si>
  <si>
    <t>lum</t>
  </si>
  <si>
    <t>Luiseno</t>
  </si>
  <si>
    <t>lui</t>
  </si>
  <si>
    <t>luis1254</t>
  </si>
  <si>
    <t>Luise√±o</t>
  </si>
  <si>
    <t>luka1238</t>
  </si>
  <si>
    <t>Lukasa</t>
  </si>
  <si>
    <t>luko1238</t>
  </si>
  <si>
    <t>nkoy1244</t>
  </si>
  <si>
    <t>Lukolwe</t>
  </si>
  <si>
    <t>lukp1238</t>
  </si>
  <si>
    <t>Lukpa</t>
  </si>
  <si>
    <t>dop</t>
  </si>
  <si>
    <t>luku1238</t>
  </si>
  <si>
    <t>west2420</t>
  </si>
  <si>
    <t>Lukumel</t>
  </si>
  <si>
    <t>lule1238</t>
  </si>
  <si>
    <t>Lule</t>
  </si>
  <si>
    <t>ule</t>
  </si>
  <si>
    <t>lule1254</t>
  </si>
  <si>
    <t>Lule Saami</t>
  </si>
  <si>
    <t>smj</t>
  </si>
  <si>
    <t>NO SE</t>
  </si>
  <si>
    <t>lule1255</t>
  </si>
  <si>
    <t>Luleke</t>
  </si>
  <si>
    <t>luli1238</t>
  </si>
  <si>
    <t>Luli</t>
  </si>
  <si>
    <t>lull1238</t>
  </si>
  <si>
    <t>Lul</t>
  </si>
  <si>
    <t>luma1237</t>
  </si>
  <si>
    <t>Lumaete</t>
  </si>
  <si>
    <t>lumb1237</t>
  </si>
  <si>
    <t>Lumbee</t>
  </si>
  <si>
    <t>lmz</t>
  </si>
  <si>
    <t>lumb1248</t>
  </si>
  <si>
    <t>Lumbu (Ila)</t>
  </si>
  <si>
    <t>lumb1249</t>
  </si>
  <si>
    <t>Lumbu</t>
  </si>
  <si>
    <t>lup</t>
  </si>
  <si>
    <t>lumb1250</t>
  </si>
  <si>
    <t>Lumba-Yakkha</t>
  </si>
  <si>
    <t>luu</t>
  </si>
  <si>
    <t>lumb1251</t>
  </si>
  <si>
    <t>Lumbuic</t>
  </si>
  <si>
    <t>Lumbu-Bwisi</t>
  </si>
  <si>
    <t>lumm1243</t>
  </si>
  <si>
    <t>stra1244</t>
  </si>
  <si>
    <t>Lummi</t>
  </si>
  <si>
    <t>lumu1239</t>
  </si>
  <si>
    <t>lumu1240</t>
  </si>
  <si>
    <t>Lumun</t>
  </si>
  <si>
    <t>lmd</t>
  </si>
  <si>
    <t>Lumun-Torona</t>
  </si>
  <si>
    <t>luna1243</t>
  </si>
  <si>
    <t>Lunanakha</t>
  </si>
  <si>
    <t>luk</t>
  </si>
  <si>
    <t>luna1244</t>
  </si>
  <si>
    <t>Luna</t>
  </si>
  <si>
    <t>luj</t>
  </si>
  <si>
    <t>luna1245</t>
  </si>
  <si>
    <t>Lunan</t>
  </si>
  <si>
    <t>lunb1237</t>
  </si>
  <si>
    <t>Lun Bawang</t>
  </si>
  <si>
    <t>lund1264</t>
  </si>
  <si>
    <t>Lund</t>
  </si>
  <si>
    <t>lund1265</t>
  </si>
  <si>
    <t>Lundwe</t>
  </si>
  <si>
    <t>lund1275</t>
  </si>
  <si>
    <t>AO CD ZM</t>
  </si>
  <si>
    <t>lund1267</t>
  </si>
  <si>
    <t>Lunda Kalunda</t>
  </si>
  <si>
    <t>lund1268</t>
  </si>
  <si>
    <t>Lunda Ndembu</t>
  </si>
  <si>
    <t>lund1269</t>
  </si>
  <si>
    <t>Lunda Kambove</t>
  </si>
  <si>
    <t>Lundayeh</t>
  </si>
  <si>
    <t>lnd</t>
  </si>
  <si>
    <t>lund1272</t>
  </si>
  <si>
    <t>Lun Daye</t>
  </si>
  <si>
    <t>lund1273</t>
  </si>
  <si>
    <t>Lun Dayah</t>
  </si>
  <si>
    <t>Lundu-Balong (A.10)</t>
  </si>
  <si>
    <t>ruun1239</t>
  </si>
  <si>
    <t>Lunda-Ruund-Kete</t>
  </si>
  <si>
    <t>lung1247</t>
  </si>
  <si>
    <t>Lungri</t>
  </si>
  <si>
    <t>lung1248</t>
  </si>
  <si>
    <t>Lungchang</t>
  </si>
  <si>
    <t>lung1249</t>
  </si>
  <si>
    <t>Lungga</t>
  </si>
  <si>
    <t>lga</t>
  </si>
  <si>
    <t>lung1252</t>
  </si>
  <si>
    <t>Lungu</t>
  </si>
  <si>
    <t>luni1238</t>
  </si>
  <si>
    <t>Lunigiano</t>
  </si>
  <si>
    <t>lunt1238</t>
  </si>
  <si>
    <t>sala1268</t>
  </si>
  <si>
    <t>Luntu</t>
  </si>
  <si>
    <t>lunu1238</t>
  </si>
  <si>
    <t>Lunube Mado</t>
  </si>
  <si>
    <t>Luo-Burun</t>
  </si>
  <si>
    <t>luob1236</t>
  </si>
  <si>
    <t>Luobenzhuo Bai</t>
  </si>
  <si>
    <t>luob1237</t>
  </si>
  <si>
    <t>Luobi</t>
  </si>
  <si>
    <t>luoc1235</t>
  </si>
  <si>
    <t>njer1241</t>
  </si>
  <si>
    <t>Luo (Cameroon)</t>
  </si>
  <si>
    <t>luw</t>
  </si>
  <si>
    <t>luof1238</t>
  </si>
  <si>
    <t>Luofu</t>
  </si>
  <si>
    <t>Luo (Kenya and Tanzania)</t>
  </si>
  <si>
    <t>luom1234</t>
  </si>
  <si>
    <t>Luomian</t>
  </si>
  <si>
    <t>luop1235</t>
  </si>
  <si>
    <t>Luopohe Hmong</t>
  </si>
  <si>
    <t>hml</t>
  </si>
  <si>
    <t>Luoshao</t>
  </si>
  <si>
    <t>luqu1238</t>
  </si>
  <si>
    <t>wudi1238</t>
  </si>
  <si>
    <t>Luquan Naso</t>
  </si>
  <si>
    <t>lura1237</t>
  </si>
  <si>
    <t>Lurang</t>
  </si>
  <si>
    <t>lure1234</t>
  </si>
  <si>
    <t>unun9951</t>
  </si>
  <si>
    <t>Luren</t>
  </si>
  <si>
    <t>Luric</t>
  </si>
  <si>
    <t>luri1256</t>
  </si>
  <si>
    <t>nyam1284</t>
  </si>
  <si>
    <t>Luri</t>
  </si>
  <si>
    <t>ldd</t>
  </si>
  <si>
    <t>Luric-Dezfulic</t>
  </si>
  <si>
    <t>luse1250</t>
  </si>
  <si>
    <t>Lusernese Cimbrian</t>
  </si>
  <si>
    <t>luse1251</t>
  </si>
  <si>
    <t>Lusenge</t>
  </si>
  <si>
    <t>ngir1248</t>
  </si>
  <si>
    <t>Lusengo</t>
  </si>
  <si>
    <t>lse</t>
  </si>
  <si>
    <t>luse1253</t>
  </si>
  <si>
    <t>Lusengo Poto</t>
  </si>
  <si>
    <t>lush1248</t>
  </si>
  <si>
    <t>Southern Lisu</t>
  </si>
  <si>
    <t>Mizo</t>
  </si>
  <si>
    <t>lus</t>
  </si>
  <si>
    <t>lush1250</t>
  </si>
  <si>
    <t>Lushangi</t>
  </si>
  <si>
    <t>lush1251</t>
  </si>
  <si>
    <t>Lushootseed-Puget</t>
  </si>
  <si>
    <t>lush1252</t>
  </si>
  <si>
    <t>Northern Lushootseed</t>
  </si>
  <si>
    <t>lut</t>
  </si>
  <si>
    <t>lush1256</t>
  </si>
  <si>
    <t>Lushi</t>
  </si>
  <si>
    <t>lush1257</t>
  </si>
  <si>
    <t>Lushoto</t>
  </si>
  <si>
    <t>lusi1235</t>
  </si>
  <si>
    <t>Lusitanian</t>
  </si>
  <si>
    <t>xls</t>
  </si>
  <si>
    <t>Lusi</t>
  </si>
  <si>
    <t>khl</t>
  </si>
  <si>
    <t>luso1234</t>
  </si>
  <si>
    <t>Luso-Asian Creole</t>
  </si>
  <si>
    <t>luss1238</t>
  </si>
  <si>
    <t>Lus</t>
  </si>
  <si>
    <t>luta1238</t>
  </si>
  <si>
    <t>Lutangan</t>
  </si>
  <si>
    <t>luth1234</t>
  </si>
  <si>
    <t>mpal1237</t>
  </si>
  <si>
    <t>Luthigh</t>
  </si>
  <si>
    <t>luti1241</t>
  </si>
  <si>
    <t>Lutien</t>
  </si>
  <si>
    <t>luti1242</t>
  </si>
  <si>
    <t>Lutise</t>
  </si>
  <si>
    <t>ndug1243</t>
  </si>
  <si>
    <t>Lutos</t>
  </si>
  <si>
    <t>ndy</t>
  </si>
  <si>
    <t>luts1234</t>
  </si>
  <si>
    <t>Lutsk Karaim</t>
  </si>
  <si>
    <t>luts1235</t>
  </si>
  <si>
    <t>Lutsi</t>
  </si>
  <si>
    <t>luun1238</t>
  </si>
  <si>
    <t>Luunda</t>
  </si>
  <si>
    <t>luuu1242</t>
  </si>
  <si>
    <t>L√º</t>
  </si>
  <si>
    <t>khb</t>
  </si>
  <si>
    <t>luuu1243</t>
  </si>
  <si>
    <t>Lu (Uganda)</t>
  </si>
  <si>
    <t>luva1239</t>
  </si>
  <si>
    <t>Luvale</t>
  </si>
  <si>
    <t>lue</t>
  </si>
  <si>
    <t>AO ZM</t>
  </si>
  <si>
    <t>Luvic</t>
  </si>
  <si>
    <t>Luvian</t>
  </si>
  <si>
    <t>luvu1238</t>
  </si>
  <si>
    <t>Luvuma</t>
  </si>
  <si>
    <t>luwa1238</t>
  </si>
  <si>
    <t>Luwati</t>
  </si>
  <si>
    <t>luv</t>
  </si>
  <si>
    <t>luwa1242</t>
  </si>
  <si>
    <t>Luwa</t>
  </si>
  <si>
    <t>luwo1239</t>
  </si>
  <si>
    <t>Luwo</t>
  </si>
  <si>
    <t>lwo</t>
  </si>
  <si>
    <t>luwu1237</t>
  </si>
  <si>
    <t>Luwu</t>
  </si>
  <si>
    <t>midd1319</t>
  </si>
  <si>
    <t>Moselle Franconian</t>
  </si>
  <si>
    <t>ltz</t>
  </si>
  <si>
    <t>BE DE FR LU</t>
  </si>
  <si>
    <t>luxe1243</t>
  </si>
  <si>
    <t>Luxemburgish</t>
  </si>
  <si>
    <t>west2891</t>
  </si>
  <si>
    <t>Luxemburgic</t>
  </si>
  <si>
    <t>luxi1238</t>
  </si>
  <si>
    <t>Luxi Achang</t>
  </si>
  <si>
    <t>luxi1239</t>
  </si>
  <si>
    <t>Luxi</t>
  </si>
  <si>
    <t>Luyi</t>
  </si>
  <si>
    <t>lyn</t>
  </si>
  <si>
    <t>luya1242</t>
  </si>
  <si>
    <t>pina1252</t>
  </si>
  <si>
    <t>Luya-Ginam-Mamusi</t>
  </si>
  <si>
    <t>Luyia</t>
  </si>
  <si>
    <t>lwal1238</t>
  </si>
  <si>
    <t>Lwalu</t>
  </si>
  <si>
    <t>lwa</t>
  </si>
  <si>
    <t>lwan1234</t>
  </si>
  <si>
    <t>Lwanzali</t>
  </si>
  <si>
    <t>lwel1234</t>
  </si>
  <si>
    <t>Lwel</t>
  </si>
  <si>
    <t>lyam1234</t>
  </si>
  <si>
    <t>Lyamin Nenets</t>
  </si>
  <si>
    <t>lyci1241</t>
  </si>
  <si>
    <t>lyci1242</t>
  </si>
  <si>
    <t>Lycian A</t>
  </si>
  <si>
    <t>xlc</t>
  </si>
  <si>
    <t>Lycian-Milyan</t>
  </si>
  <si>
    <t>lyco1237</t>
  </si>
  <si>
    <t>Lycopolitan</t>
  </si>
  <si>
    <t>lydi1241</t>
  </si>
  <si>
    <t>unun9888</t>
  </si>
  <si>
    <t>Lydian</t>
  </si>
  <si>
    <t>xld</t>
  </si>
  <si>
    <t>Ly√©l√©</t>
  </si>
  <si>
    <t>lee</t>
  </si>
  <si>
    <t>lyha1238</t>
  </si>
  <si>
    <t>Ly Ha</t>
  </si>
  <si>
    <t>lyng1240</t>
  </si>
  <si>
    <t>Lyngngamic</t>
  </si>
  <si>
    <t>lyng1241</t>
  </si>
  <si>
    <t>India Lyngam</t>
  </si>
  <si>
    <t>lyg</t>
  </si>
  <si>
    <t>lyon1239</t>
  </si>
  <si>
    <t>Lyons Sign Language</t>
  </si>
  <si>
    <t>lsg</t>
  </si>
  <si>
    <t>lyon1243</t>
  </si>
  <si>
    <t>Lyonnais</t>
  </si>
  <si>
    <t>lyoo1238</t>
  </si>
  <si>
    <t>Lyo</t>
  </si>
  <si>
    <t>lyyy1238</t>
  </si>
  <si>
    <t>Lyy</t>
  </si>
  <si>
    <t>maaa1253</t>
  </si>
  <si>
    <t>Maa</t>
  </si>
  <si>
    <t>cma</t>
  </si>
  <si>
    <t>maag1237</t>
  </si>
  <si>
    <t>Ma'aging</t>
  </si>
  <si>
    <t>maak1236</t>
  </si>
  <si>
    <t>Maaka</t>
  </si>
  <si>
    <t>mew</t>
  </si>
  <si>
    <t>maan1240</t>
  </si>
  <si>
    <t>Ma'anyan</t>
  </si>
  <si>
    <t>mhy</t>
  </si>
  <si>
    <t>maan1239</t>
  </si>
  <si>
    <t>mond1268</t>
  </si>
  <si>
    <t>Maang</t>
  </si>
  <si>
    <t>Maanyan-Paku</t>
  </si>
  <si>
    <t>Maasina Fulfulde</t>
  </si>
  <si>
    <t>ffm</t>
  </si>
  <si>
    <t>BF CI GH ML MR NE</t>
  </si>
  <si>
    <t>Maay</t>
  </si>
  <si>
    <t>ymm</t>
  </si>
  <si>
    <t>Mabaale</t>
  </si>
  <si>
    <t>mmz</t>
  </si>
  <si>
    <t>maba1271</t>
  </si>
  <si>
    <t>Mabahn</t>
  </si>
  <si>
    <t>Mabaan-Jumjum</t>
  </si>
  <si>
    <t>maba1273</t>
  </si>
  <si>
    <t>Mabaan</t>
  </si>
  <si>
    <t>mfz</t>
  </si>
  <si>
    <t>Maban</t>
  </si>
  <si>
    <t>maba1275</t>
  </si>
  <si>
    <t>Mabang</t>
  </si>
  <si>
    <t>maba1276</t>
  </si>
  <si>
    <t>Maba-Masalit</t>
  </si>
  <si>
    <t>Maba (Chad)</t>
  </si>
  <si>
    <t>mde</t>
  </si>
  <si>
    <t>maba1278</t>
  </si>
  <si>
    <t>Maba (Indonesia)</t>
  </si>
  <si>
    <t>mqa</t>
  </si>
  <si>
    <t>maba1279</t>
  </si>
  <si>
    <t>Mabaka Valley Kalinga</t>
  </si>
  <si>
    <t>kkg</t>
  </si>
  <si>
    <t>mabe1235</t>
  </si>
  <si>
    <t>unun9984</t>
  </si>
  <si>
    <t>Mabenaro</t>
  </si>
  <si>
    <t>mabi1238</t>
  </si>
  <si>
    <t>Mabi</t>
  </si>
  <si>
    <t>mabi1242</t>
  </si>
  <si>
    <t>Mabire</t>
  </si>
  <si>
    <t>muj</t>
  </si>
  <si>
    <t>mabl1237</t>
  </si>
  <si>
    <t>Mablei</t>
  </si>
  <si>
    <t>mabo1238</t>
  </si>
  <si>
    <t>Maboko</t>
  </si>
  <si>
    <t>Mabuso</t>
  </si>
  <si>
    <t>maca1259</t>
  </si>
  <si>
    <t>Macagu√°n</t>
  </si>
  <si>
    <t>mbn</t>
  </si>
  <si>
    <t>mata1290</t>
  </si>
  <si>
    <t>Maca</t>
  </si>
  <si>
    <t>maca1261</t>
  </si>
  <si>
    <t>sion1248</t>
  </si>
  <si>
    <t>Macaguaje</t>
  </si>
  <si>
    <t>mcl</t>
  </si>
  <si>
    <t>maca1262</t>
  </si>
  <si>
    <t>Macanese</t>
  </si>
  <si>
    <t>mzs</t>
  </si>
  <si>
    <t>maca1263</t>
  </si>
  <si>
    <t>timo1258</t>
  </si>
  <si>
    <t>Maca√≠sta</t>
  </si>
  <si>
    <t>maca1264</t>
  </si>
  <si>
    <t>port1294</t>
  </si>
  <si>
    <t>Macao Pidgin Portuguese</t>
  </si>
  <si>
    <t>Macedonian</t>
  </si>
  <si>
    <t>mkd</t>
  </si>
  <si>
    <t>mace1251</t>
  </si>
  <si>
    <t>Macedonian Greek</t>
  </si>
  <si>
    <t>Macedo-Bulgarian</t>
  </si>
  <si>
    <t>mach1262</t>
  </si>
  <si>
    <t>Machvano</t>
  </si>
  <si>
    <t>mach1263</t>
  </si>
  <si>
    <t>Macharia</t>
  </si>
  <si>
    <t>mach1265</t>
  </si>
  <si>
    <t>unun9916</t>
  </si>
  <si>
    <t>Machinga</t>
  </si>
  <si>
    <t>mvw</t>
  </si>
  <si>
    <t>west2852</t>
  </si>
  <si>
    <t>Machame</t>
  </si>
  <si>
    <t>jmc</t>
  </si>
  <si>
    <t>mach1267</t>
  </si>
  <si>
    <t>mats1245</t>
  </si>
  <si>
    <t>Machiguenga</t>
  </si>
  <si>
    <t>mcb</t>
  </si>
  <si>
    <t>mach1268</t>
  </si>
  <si>
    <t>yine1239</t>
  </si>
  <si>
    <t>Machinere</t>
  </si>
  <si>
    <t>mpd</t>
  </si>
  <si>
    <t>mach1269</t>
  </si>
  <si>
    <t>west2834</t>
  </si>
  <si>
    <t>Machili</t>
  </si>
  <si>
    <t>macl1238</t>
  </si>
  <si>
    <t>Macleod Ganj</t>
  </si>
  <si>
    <t>Macleay-New England</t>
  </si>
  <si>
    <t>maco1238</t>
  </si>
  <si>
    <t>sali1297</t>
  </si>
  <si>
    <t>Maco-Piaroa</t>
  </si>
  <si>
    <t>maco1239</t>
  </si>
  <si>
    <t>Maco</t>
  </si>
  <si>
    <t>wpc</t>
  </si>
  <si>
    <t>Balkan Romance</t>
  </si>
  <si>
    <t>macr1267</t>
  </si>
  <si>
    <t>ryuk1244</t>
  </si>
  <si>
    <t>Macro-Yaeyama</t>
  </si>
  <si>
    <t>Macro-Tani</t>
  </si>
  <si>
    <t>Macro-Oriya</t>
  </si>
  <si>
    <t>macr1270</t>
  </si>
  <si>
    <t>Macro-Dutch</t>
  </si>
  <si>
    <t>merc1242</t>
  </si>
  <si>
    <t>Macro-English</t>
  </si>
  <si>
    <t>Macro-Portuguese</t>
  </si>
  <si>
    <t>Macro-French</t>
  </si>
  <si>
    <t>sata1238</t>
  </si>
  <si>
    <t>Macro-Carolinian</t>
  </si>
  <si>
    <t>Macro-Bai</t>
  </si>
  <si>
    <t>macu1258</t>
  </si>
  <si>
    <t>Macuni</t>
  </si>
  <si>
    <t>macu1259</t>
  </si>
  <si>
    <t>Macushi</t>
  </si>
  <si>
    <t>mbc</t>
  </si>
  <si>
    <t>macu1260</t>
  </si>
  <si>
    <t>Macuna</t>
  </si>
  <si>
    <t>myy</t>
  </si>
  <si>
    <t>macu1261</t>
  </si>
  <si>
    <t>Mac√∫-Paran√° Cacua</t>
  </si>
  <si>
    <t>mada1244</t>
  </si>
  <si>
    <t>Madahaddi</t>
  </si>
  <si>
    <t>mada1271</t>
  </si>
  <si>
    <t>Madagascar Sign Language</t>
  </si>
  <si>
    <t>mzc</t>
  </si>
  <si>
    <t>mada1280</t>
  </si>
  <si>
    <t>Madai Gang</t>
  </si>
  <si>
    <t>mada1281</t>
  </si>
  <si>
    <t>Madarrpa</t>
  </si>
  <si>
    <t>Mada (Nigeria)</t>
  </si>
  <si>
    <t>mda</t>
  </si>
  <si>
    <t>mada1283</t>
  </si>
  <si>
    <t>Madaka</t>
  </si>
  <si>
    <t>newi1242</t>
  </si>
  <si>
    <t>Madak linkage</t>
  </si>
  <si>
    <t>Madak</t>
  </si>
  <si>
    <t>mmx</t>
  </si>
  <si>
    <t>mada1286</t>
  </si>
  <si>
    <t>Madar</t>
  </si>
  <si>
    <t>mada1293</t>
  </si>
  <si>
    <t>toko1243</t>
  </si>
  <si>
    <t>Mada (Cameroon)</t>
  </si>
  <si>
    <t>mxu</t>
  </si>
  <si>
    <t>mada1297</t>
  </si>
  <si>
    <t>Madani</t>
  </si>
  <si>
    <t>Madang</t>
  </si>
  <si>
    <t>mada1299</t>
  </si>
  <si>
    <t>Madang (Malaysia)</t>
  </si>
  <si>
    <t>mqd</t>
  </si>
  <si>
    <t>made1251</t>
  </si>
  <si>
    <t>Madeira-Azores</t>
  </si>
  <si>
    <t>made1252</t>
  </si>
  <si>
    <t>mbai1246</t>
  </si>
  <si>
    <t>Ma (Democratic Republic of Congo)</t>
  </si>
  <si>
    <t>msj</t>
  </si>
  <si>
    <t>Maden</t>
  </si>
  <si>
    <t>xmx</t>
  </si>
  <si>
    <t>made1254</t>
  </si>
  <si>
    <t>Madean-Vi√±ac</t>
  </si>
  <si>
    <t>madh1242</t>
  </si>
  <si>
    <t>Madhesi</t>
  </si>
  <si>
    <t>madh1243</t>
  </si>
  <si>
    <t>Madhavpur</t>
  </si>
  <si>
    <t>madh1244</t>
  </si>
  <si>
    <t>Madhi Madhi</t>
  </si>
  <si>
    <t>dmd</t>
  </si>
  <si>
    <t>madi1258</t>
  </si>
  <si>
    <t>Madipia</t>
  </si>
  <si>
    <t>madi1259</t>
  </si>
  <si>
    <t>Madimadoko</t>
  </si>
  <si>
    <t>sout2827</t>
  </si>
  <si>
    <t>madi1261</t>
  </si>
  <si>
    <t>Madi (Papua New Guinea)</t>
  </si>
  <si>
    <t>grg</t>
  </si>
  <si>
    <t>Madi-Madiha</t>
  </si>
  <si>
    <t>Madiha</t>
  </si>
  <si>
    <t>madi1264</t>
  </si>
  <si>
    <t>Madiunan</t>
  </si>
  <si>
    <t>madk1237</t>
  </si>
  <si>
    <t>nort2699</t>
  </si>
  <si>
    <t>Madka-Kinwat</t>
  </si>
  <si>
    <t>madn1237</t>
  </si>
  <si>
    <t>Madngele</t>
  </si>
  <si>
    <t>zml</t>
  </si>
  <si>
    <t>mado1239</t>
  </si>
  <si>
    <t>Mado</t>
  </si>
  <si>
    <t>madr1237</t>
  </si>
  <si>
    <t>Madrasi</t>
  </si>
  <si>
    <t>Madre de Dios Pano</t>
  </si>
  <si>
    <t>madr1239</t>
  </si>
  <si>
    <t>yine1238</t>
  </si>
  <si>
    <t>Madre de Dios Yine</t>
  </si>
  <si>
    <t>madu1246</t>
  </si>
  <si>
    <t>Ma'du</t>
  </si>
  <si>
    <t>mala1536</t>
  </si>
  <si>
    <t>Maduresic</t>
  </si>
  <si>
    <t>madu1248</t>
  </si>
  <si>
    <t>Madukayang Kalinga</t>
  </si>
  <si>
    <t>kmd</t>
  </si>
  <si>
    <t>mady1238</t>
  </si>
  <si>
    <t>Madyay</t>
  </si>
  <si>
    <t>maee1241</t>
  </si>
  <si>
    <t>Tirax</t>
  </si>
  <si>
    <t>mme</t>
  </si>
  <si>
    <t>maee1242</t>
  </si>
  <si>
    <t>Mae</t>
  </si>
  <si>
    <t>maen1235</t>
  </si>
  <si>
    <t>maen1236</t>
  </si>
  <si>
    <t>Maeng Itneg</t>
  </si>
  <si>
    <t>itt</t>
  </si>
  <si>
    <t>Maeng-Northern Kankanay</t>
  </si>
  <si>
    <t>maep1238</t>
  </si>
  <si>
    <t>pwon1235</t>
  </si>
  <si>
    <t>Mae Ping</t>
  </si>
  <si>
    <t>maer1238</t>
  </si>
  <si>
    <t>Maerkang</t>
  </si>
  <si>
    <t>maes1238</t>
  </si>
  <si>
    <t>Mae Sarieng</t>
  </si>
  <si>
    <t>Maewo</t>
  </si>
  <si>
    <t>Mafa</t>
  </si>
  <si>
    <t>maf</t>
  </si>
  <si>
    <t>mafe1237</t>
  </si>
  <si>
    <t>mafe1238</t>
  </si>
  <si>
    <t>Mafea</t>
  </si>
  <si>
    <t>mkv</t>
  </si>
  <si>
    <t>Mafea-Tutuba</t>
  </si>
  <si>
    <t>mafi1234</t>
  </si>
  <si>
    <t>Mafilito</t>
  </si>
  <si>
    <t>Magahi</t>
  </si>
  <si>
    <t>mag</t>
  </si>
  <si>
    <t>Magar</t>
  </si>
  <si>
    <t>maga1262</t>
  </si>
  <si>
    <t>nort2839</t>
  </si>
  <si>
    <t>Magam</t>
  </si>
  <si>
    <t>maga1263</t>
  </si>
  <si>
    <t>maga1270</t>
  </si>
  <si>
    <t>Mag-Anchi Ayta</t>
  </si>
  <si>
    <t>sgb</t>
  </si>
  <si>
    <t>maga1264</t>
  </si>
  <si>
    <t>Southern Binukidnon</t>
  </si>
  <si>
    <t>mtw</t>
  </si>
  <si>
    <t>maga1265</t>
  </si>
  <si>
    <t>Maga</t>
  </si>
  <si>
    <t>maga1269</t>
  </si>
  <si>
    <t>Magara</t>
  </si>
  <si>
    <t>Mag-Ayta</t>
  </si>
  <si>
    <t>maga1271</t>
  </si>
  <si>
    <t>Magati</t>
  </si>
  <si>
    <t>maga1272</t>
  </si>
  <si>
    <t>Magadhan Pali</t>
  </si>
  <si>
    <t>magb1238</t>
  </si>
  <si>
    <t>Magbiambo</t>
  </si>
  <si>
    <t>magd1235</t>
  </si>
  <si>
    <t>Magdalena Pe√±asco Mixtec</t>
  </si>
  <si>
    <t>xtm</t>
  </si>
  <si>
    <t>magd1236</t>
  </si>
  <si>
    <t>Magdalenic</t>
  </si>
  <si>
    <t>magh1238</t>
  </si>
  <si>
    <t>makt1234</t>
  </si>
  <si>
    <t>M√°ghd√¨</t>
  </si>
  <si>
    <t>gmd</t>
  </si>
  <si>
    <t>magi1241</t>
  </si>
  <si>
    <t>Mag-Indi Ayta</t>
  </si>
  <si>
    <t>blx</t>
  </si>
  <si>
    <t>magi1242</t>
  </si>
  <si>
    <t>Magiana</t>
  </si>
  <si>
    <t>magi1243</t>
  </si>
  <si>
    <t>Magi</t>
  </si>
  <si>
    <t>gkd</t>
  </si>
  <si>
    <t>mago1246</t>
  </si>
  <si>
    <t>Magoma</t>
  </si>
  <si>
    <t>gmx</t>
  </si>
  <si>
    <t>oumi1237</t>
  </si>
  <si>
    <t>Magoric</t>
  </si>
  <si>
    <t>mago1248</t>
  </si>
  <si>
    <t>Magori</t>
  </si>
  <si>
    <t>zgr</t>
  </si>
  <si>
    <t>mago1249</t>
  </si>
  <si>
    <t>Magobineng</t>
  </si>
  <si>
    <t>mago1253</t>
  </si>
  <si>
    <t>west2706</t>
  </si>
  <si>
    <t>Magoumaz</t>
  </si>
  <si>
    <t>magp1237</t>
  </si>
  <si>
    <t>Magpet Manobo</t>
  </si>
  <si>
    <t>magr1238</t>
  </si>
  <si>
    <t>Magra Ki Boli</t>
  </si>
  <si>
    <t>maha1285</t>
  </si>
  <si>
    <t>Mahalhamadani</t>
  </si>
  <si>
    <t>maha1286</t>
  </si>
  <si>
    <t>Mahali (Iran)</t>
  </si>
  <si>
    <t>Mahasu Pahari</t>
  </si>
  <si>
    <t>bfz</t>
  </si>
  <si>
    <t>maha1288</t>
  </si>
  <si>
    <t>Maharashtra Lamani</t>
  </si>
  <si>
    <t>maha1289</t>
  </si>
  <si>
    <t>Mahari</t>
  </si>
  <si>
    <t>maha1290</t>
  </si>
  <si>
    <t>Mahari (Konkani)</t>
  </si>
  <si>
    <t>maha1291</t>
  </si>
  <si>
    <t>Mahali</t>
  </si>
  <si>
    <t>mjx</t>
  </si>
  <si>
    <t>maha1292</t>
  </si>
  <si>
    <t>Mahali (Santali)</t>
  </si>
  <si>
    <t>maha1294</t>
  </si>
  <si>
    <t>Mahakulung</t>
  </si>
  <si>
    <t>maha1295</t>
  </si>
  <si>
    <t>Mahas</t>
  </si>
  <si>
    <t>maha1296</t>
  </si>
  <si>
    <t>nucl1379</t>
  </si>
  <si>
    <t>Mahanji</t>
  </si>
  <si>
    <t>maha1297</t>
  </si>
  <si>
    <t>Mahaa</t>
  </si>
  <si>
    <t>maha1298</t>
  </si>
  <si>
    <t>Mahakam Busang</t>
  </si>
  <si>
    <t>maha1304</t>
  </si>
  <si>
    <t>sout3077</t>
  </si>
  <si>
    <t>Mahabad</t>
  </si>
  <si>
    <t>maha1305</t>
  </si>
  <si>
    <t>Maharastri Prakrit</t>
  </si>
  <si>
    <t>pmh</t>
  </si>
  <si>
    <t>Mahakiranti</t>
  </si>
  <si>
    <t>maha1308</t>
  </si>
  <si>
    <t>Mahakam Kenyah</t>
  </si>
  <si>
    <t>xkm</t>
  </si>
  <si>
    <t>sout3174</t>
  </si>
  <si>
    <t>Mahafaly Malagasy</t>
  </si>
  <si>
    <t>mahe1238</t>
  </si>
  <si>
    <t>Mahei</t>
  </si>
  <si>
    <t>mja</t>
  </si>
  <si>
    <t>mahi1248</t>
  </si>
  <si>
    <t>Mahican</t>
  </si>
  <si>
    <t>mjy</t>
  </si>
  <si>
    <t>mahi1249</t>
  </si>
  <si>
    <t>Mahigi</t>
  </si>
  <si>
    <t>maho1247</t>
  </si>
  <si>
    <t>Mahottari</t>
  </si>
  <si>
    <t>maho1248</t>
  </si>
  <si>
    <t>Mahongwe</t>
  </si>
  <si>
    <t>mhb</t>
  </si>
  <si>
    <t>Mahou</t>
  </si>
  <si>
    <t>mxx</t>
  </si>
  <si>
    <t>maho1250</t>
  </si>
  <si>
    <t>Mahouka</t>
  </si>
  <si>
    <t>mahu1237</t>
  </si>
  <si>
    <t>Mahuan</t>
  </si>
  <si>
    <t>maia1240</t>
  </si>
  <si>
    <t>Maiak</t>
  </si>
  <si>
    <t>maia1251</t>
  </si>
  <si>
    <t>Maiadomu</t>
  </si>
  <si>
    <t>mzz</t>
  </si>
  <si>
    <t>maia1252</t>
  </si>
  <si>
    <t>Maiabare</t>
  </si>
  <si>
    <t>maia1253</t>
  </si>
  <si>
    <t>Maiani</t>
  </si>
  <si>
    <t>tnh</t>
  </si>
  <si>
    <t>maia1254</t>
  </si>
  <si>
    <t>Maia</t>
  </si>
  <si>
    <t>sks</t>
  </si>
  <si>
    <t>Maybrat-Karon</t>
  </si>
  <si>
    <t>ayz</t>
  </si>
  <si>
    <t>maid1261</t>
  </si>
  <si>
    <t>Maiduguri</t>
  </si>
  <si>
    <t>maid1262</t>
  </si>
  <si>
    <t>Maiduan</t>
  </si>
  <si>
    <t>maih1239</t>
  </si>
  <si>
    <t>Maiha</t>
  </si>
  <si>
    <t>maii1238</t>
  </si>
  <si>
    <t>Maii</t>
  </si>
  <si>
    <t>mmm</t>
  </si>
  <si>
    <t>Mailu</t>
  </si>
  <si>
    <t>mgu</t>
  </si>
  <si>
    <t>Mailuan</t>
  </si>
  <si>
    <t>maim1251</t>
  </si>
  <si>
    <t>Maimaka</t>
  </si>
  <si>
    <t>Ostfr√§nkisch</t>
  </si>
  <si>
    <t>vmf</t>
  </si>
  <si>
    <t>Mainstream East Bodish</t>
  </si>
  <si>
    <t>main1270</t>
  </si>
  <si>
    <t>Maingtha</t>
  </si>
  <si>
    <t>main1271</t>
  </si>
  <si>
    <t>Mainypilgino</t>
  </si>
  <si>
    <t>main1272</t>
  </si>
  <si>
    <t>Maindo</t>
  </si>
  <si>
    <t>cwb</t>
  </si>
  <si>
    <t>main1274</t>
  </si>
  <si>
    <t>Ma√Øngao</t>
  </si>
  <si>
    <t>Usun Apau Kenyah</t>
  </si>
  <si>
    <t>xkl</t>
  </si>
  <si>
    <t>main1276</t>
  </si>
  <si>
    <t>Mainoki</t>
  </si>
  <si>
    <t>Maina-Chawi</t>
  </si>
  <si>
    <t>pano1256</t>
  </si>
  <si>
    <t>Mainline Pano</t>
  </si>
  <si>
    <t>Mainland Eastern Saami</t>
  </si>
  <si>
    <t>Main-Gwamhi</t>
  </si>
  <si>
    <t>nort2924</t>
  </si>
  <si>
    <t>Mainland North Halmaheran</t>
  </si>
  <si>
    <t>main1283</t>
  </si>
  <si>
    <t>sout3055</t>
  </si>
  <si>
    <t>Mainstream Lowland East Cushitic</t>
  </si>
  <si>
    <t>main1284</t>
  </si>
  <si>
    <t>Mainland Antankarana</t>
  </si>
  <si>
    <t>Mainland Northern Frisian</t>
  </si>
  <si>
    <t>main1286</t>
  </si>
  <si>
    <t>Mainland New Caledonian</t>
  </si>
  <si>
    <t>maip1246</t>
  </si>
  <si>
    <t>Maipure</t>
  </si>
  <si>
    <t>Maipure-Avane</t>
  </si>
  <si>
    <t>mair1253</t>
  </si>
  <si>
    <t>Mairasic</t>
  </si>
  <si>
    <t>nucl1744</t>
  </si>
  <si>
    <t>Maisin</t>
  </si>
  <si>
    <t>mbq</t>
  </si>
  <si>
    <t>mais1251</t>
  </si>
  <si>
    <t>Maisawiet</t>
  </si>
  <si>
    <t>mais1252</t>
  </si>
  <si>
    <t>Maisefa</t>
  </si>
  <si>
    <t>Maithili</t>
  </si>
  <si>
    <t>mai</t>
  </si>
  <si>
    <t>mait1251</t>
  </si>
  <si>
    <t>rabh1238</t>
  </si>
  <si>
    <t>Maitaria</t>
  </si>
  <si>
    <t>mait1252</t>
  </si>
  <si>
    <t>Maite</t>
  </si>
  <si>
    <t>mait1253</t>
  </si>
  <si>
    <t>Maitsi</t>
  </si>
  <si>
    <t>Maithili-Magahi</t>
  </si>
  <si>
    <t>Maithilic</t>
  </si>
  <si>
    <t>maiw1249</t>
  </si>
  <si>
    <t>Maiwala</t>
  </si>
  <si>
    <t>mum</t>
  </si>
  <si>
    <t>maiw1250</t>
  </si>
  <si>
    <t>Maiwa (Indonesia)</t>
  </si>
  <si>
    <t>wmm</t>
  </si>
  <si>
    <t>Maiwa (Papua New Guinea)</t>
  </si>
  <si>
    <t>mti</t>
  </si>
  <si>
    <t>maiw1252</t>
  </si>
  <si>
    <t>Maiwa</t>
  </si>
  <si>
    <t>maiy1240</t>
  </si>
  <si>
    <t>Maiyah</t>
  </si>
  <si>
    <t>maiz1237</t>
  </si>
  <si>
    <t>Maizuru</t>
  </si>
  <si>
    <t>maja1242</t>
  </si>
  <si>
    <t>Majang</t>
  </si>
  <si>
    <t>mpe</t>
  </si>
  <si>
    <t>maje1237</t>
  </si>
  <si>
    <t>Majene</t>
  </si>
  <si>
    <t>Majera</t>
  </si>
  <si>
    <t>xmj</t>
  </si>
  <si>
    <t>majh1236</t>
  </si>
  <si>
    <t>Majhwar</t>
  </si>
  <si>
    <t>mmj</t>
  </si>
  <si>
    <t>majh1251</t>
  </si>
  <si>
    <t>Majh-Kumaiya</t>
  </si>
  <si>
    <t>majh1252</t>
  </si>
  <si>
    <t>Majhi (Panjabi)</t>
  </si>
  <si>
    <t>majh1253</t>
  </si>
  <si>
    <t>Majhi</t>
  </si>
  <si>
    <t>mjz</t>
  </si>
  <si>
    <t>majh1254</t>
  </si>
  <si>
    <t>Majhi-Korwa</t>
  </si>
  <si>
    <t>maji1238</t>
  </si>
  <si>
    <t>Majingai</t>
  </si>
  <si>
    <t>majn1234</t>
  </si>
  <si>
    <t>Majngapilgino</t>
  </si>
  <si>
    <t>maju1234</t>
  </si>
  <si>
    <t>Majunga</t>
  </si>
  <si>
    <t>maon1239</t>
  </si>
  <si>
    <t>Mak-Ai-Cham</t>
  </si>
  <si>
    <t>maka1301</t>
  </si>
  <si>
    <t>Makaraka</t>
  </si>
  <si>
    <t>maka1302</t>
  </si>
  <si>
    <t>Makale</t>
  </si>
  <si>
    <t>Makaa</t>
  </si>
  <si>
    <t>mcp</t>
  </si>
  <si>
    <t>maka1305</t>
  </si>
  <si>
    <t>Makassar Malay</t>
  </si>
  <si>
    <t>mfp</t>
  </si>
  <si>
    <t>maka1306</t>
  </si>
  <si>
    <t>Makada</t>
  </si>
  <si>
    <t>maka1307</t>
  </si>
  <si>
    <t>selu1242</t>
  </si>
  <si>
    <t>Makatian</t>
  </si>
  <si>
    <t>maka1308</t>
  </si>
  <si>
    <t>Makariki</t>
  </si>
  <si>
    <t>maka1309</t>
  </si>
  <si>
    <t>Makaheeliga</t>
  </si>
  <si>
    <t>Makassaric</t>
  </si>
  <si>
    <t>Makasar</t>
  </si>
  <si>
    <t>maka1312</t>
  </si>
  <si>
    <t>tora1261</t>
  </si>
  <si>
    <t>Makale (Indonesia)</t>
  </si>
  <si>
    <t>maka1313</t>
  </si>
  <si>
    <t>Makatao</t>
  </si>
  <si>
    <t>Makayam</t>
  </si>
  <si>
    <t>aup</t>
  </si>
  <si>
    <t>maka1316</t>
  </si>
  <si>
    <t>Makasae-Makalero</t>
  </si>
  <si>
    <t>mkz</t>
  </si>
  <si>
    <t>maka1317</t>
  </si>
  <si>
    <t>Makasai</t>
  </si>
  <si>
    <t>maka1318</t>
  </si>
  <si>
    <t>sout2981</t>
  </si>
  <si>
    <t>Makah</t>
  </si>
  <si>
    <t>myh</t>
  </si>
  <si>
    <t>maka1322</t>
  </si>
  <si>
    <t>Makari</t>
  </si>
  <si>
    <t>maka1323</t>
  </si>
  <si>
    <t>Makaa-Njem (A.80)</t>
  </si>
  <si>
    <t>Makaaic</t>
  </si>
  <si>
    <t>maka1325</t>
  </si>
  <si>
    <t>Makanjaula</t>
  </si>
  <si>
    <t>Mak (China)</t>
  </si>
  <si>
    <t>mkg</t>
  </si>
  <si>
    <t>make1248</t>
  </si>
  <si>
    <t>Makeke</t>
  </si>
  <si>
    <t>make1249</t>
  </si>
  <si>
    <t>Make</t>
  </si>
  <si>
    <t>make1250</t>
  </si>
  <si>
    <t>mang1394</t>
  </si>
  <si>
    <t>Makere</t>
  </si>
  <si>
    <t>make1251</t>
  </si>
  <si>
    <t>tang1348</t>
  </si>
  <si>
    <t>Fanamaket</t>
  </si>
  <si>
    <t>bjp</t>
  </si>
  <si>
    <t>makh1260</t>
  </si>
  <si>
    <t>Makhuwa-Shirima</t>
  </si>
  <si>
    <t>vmk</t>
  </si>
  <si>
    <t>makh1261</t>
  </si>
  <si>
    <t>Makhuwa-Meetto</t>
  </si>
  <si>
    <t>mgh</t>
  </si>
  <si>
    <t>MZ TZ</t>
  </si>
  <si>
    <t>makh1262</t>
  </si>
  <si>
    <t>Makhuwa-Marrevone</t>
  </si>
  <si>
    <t>xmc</t>
  </si>
  <si>
    <t>makh1263</t>
  </si>
  <si>
    <t>Makhuwana</t>
  </si>
  <si>
    <t>Makhuwa</t>
  </si>
  <si>
    <t>vmw</t>
  </si>
  <si>
    <t>makh1265</t>
  </si>
  <si>
    <t>Makhuwa-Moniga</t>
  </si>
  <si>
    <t>mhm</t>
  </si>
  <si>
    <t>makh1266</t>
  </si>
  <si>
    <t>Makhuwa-Saka</t>
  </si>
  <si>
    <t>xsq</t>
  </si>
  <si>
    <t>maki1248</t>
  </si>
  <si>
    <t>Makiang</t>
  </si>
  <si>
    <t>makk1244</t>
  </si>
  <si>
    <t>Mak</t>
  </si>
  <si>
    <t>makl1245</t>
  </si>
  <si>
    <t>Maklere</t>
  </si>
  <si>
    <t>mjb</t>
  </si>
  <si>
    <t>makl1246</t>
  </si>
  <si>
    <t>Maklew</t>
  </si>
  <si>
    <t>mgf</t>
  </si>
  <si>
    <t>makn1235</t>
  </si>
  <si>
    <t>Mak (Nigeria)</t>
  </si>
  <si>
    <t>pbl</t>
  </si>
  <si>
    <t>unun9989</t>
  </si>
  <si>
    <t>Makolkol</t>
  </si>
  <si>
    <t>mako1251</t>
  </si>
  <si>
    <t>mako1254</t>
  </si>
  <si>
    <t>Makonde</t>
  </si>
  <si>
    <t>kde</t>
  </si>
  <si>
    <t>mako1252</t>
  </si>
  <si>
    <t>Makoda</t>
  </si>
  <si>
    <t>mako1253</t>
  </si>
  <si>
    <t>Makoma</t>
  </si>
  <si>
    <t>ruvu1234</t>
  </si>
  <si>
    <t>Makonde-Makwe</t>
  </si>
  <si>
    <t>makp1238</t>
  </si>
  <si>
    <t>Makpa</t>
  </si>
  <si>
    <t>makr1243</t>
  </si>
  <si>
    <t>Makrani</t>
  </si>
  <si>
    <t>makr1244</t>
  </si>
  <si>
    <t>Makrana</t>
  </si>
  <si>
    <t>Mak-Tal</t>
  </si>
  <si>
    <t>M√°ku</t>
  </si>
  <si>
    <t>xak</t>
  </si>
  <si>
    <t>soth1251</t>
  </si>
  <si>
    <t>North Mozambique Bantu</t>
  </si>
  <si>
    <t>yimc1239</t>
  </si>
  <si>
    <t>Makuric</t>
  </si>
  <si>
    <t>maku1273</t>
  </si>
  <si>
    <t>Makuri Naga</t>
  </si>
  <si>
    <t>jmn</t>
  </si>
  <si>
    <t>maku1274</t>
  </si>
  <si>
    <t>Makutu</t>
  </si>
  <si>
    <t>maku1275</t>
  </si>
  <si>
    <t>Makutana</t>
  </si>
  <si>
    <t>maku1276</t>
  </si>
  <si>
    <t>Makura</t>
  </si>
  <si>
    <t>maku1277</t>
  </si>
  <si>
    <t>Maku'a</t>
  </si>
  <si>
    <t>lva</t>
  </si>
  <si>
    <t>maku1278</t>
  </si>
  <si>
    <t>tupa1251</t>
  </si>
  <si>
    <t>Makur√°p</t>
  </si>
  <si>
    <t>mpu</t>
  </si>
  <si>
    <t>Makua-Lomwe</t>
  </si>
  <si>
    <t>Makwe</t>
  </si>
  <si>
    <t>ymk</t>
  </si>
  <si>
    <t>maky1235</t>
  </si>
  <si>
    <t>Makyan Naga</t>
  </si>
  <si>
    <t>umn</t>
  </si>
  <si>
    <t>mala1256</t>
  </si>
  <si>
    <t>Malawi Lomwe</t>
  </si>
  <si>
    <t>lon</t>
  </si>
  <si>
    <t>mala1389</t>
  </si>
  <si>
    <t>Malanga</t>
  </si>
  <si>
    <t>mala1412</t>
  </si>
  <si>
    <t>Malaysian Sign Language</t>
  </si>
  <si>
    <t>xml</t>
  </si>
  <si>
    <t>mala1431</t>
  </si>
  <si>
    <t>Malakhel</t>
  </si>
  <si>
    <t>mld</t>
  </si>
  <si>
    <t>mala1432</t>
  </si>
  <si>
    <t>maxa1246</t>
  </si>
  <si>
    <t>Malali</t>
  </si>
  <si>
    <t>mala1453</t>
  </si>
  <si>
    <t>Malatya</t>
  </si>
  <si>
    <t>mala1455</t>
  </si>
  <si>
    <t>Malakka Besisi</t>
  </si>
  <si>
    <t>mala1456</t>
  </si>
  <si>
    <t>Malang</t>
  </si>
  <si>
    <t>mala1457</t>
  </si>
  <si>
    <t>tami1299</t>
  </si>
  <si>
    <t>Mala Malasar</t>
  </si>
  <si>
    <t>ima</t>
  </si>
  <si>
    <t>mala1458</t>
  </si>
  <si>
    <t>Malasar</t>
  </si>
  <si>
    <t>ymr</t>
  </si>
  <si>
    <t>mala1459</t>
  </si>
  <si>
    <t>Malankuravan</t>
  </si>
  <si>
    <t>mjo</t>
  </si>
  <si>
    <t>mala1460</t>
  </si>
  <si>
    <t>Malayadiars</t>
  </si>
  <si>
    <t>mala1462</t>
  </si>
  <si>
    <t>pali1274</t>
  </si>
  <si>
    <t>Mala Pulayan</t>
  </si>
  <si>
    <t>mala1463</t>
  </si>
  <si>
    <t>Malavedan</t>
  </si>
  <si>
    <t>mjr</t>
  </si>
  <si>
    <t>Malayalam</t>
  </si>
  <si>
    <t>mala1465</t>
  </si>
  <si>
    <t>Malabar</t>
  </si>
  <si>
    <t>mala1466</t>
  </si>
  <si>
    <t>Malaryan</t>
  </si>
  <si>
    <t>mjq</t>
  </si>
  <si>
    <t>mala1467</t>
  </si>
  <si>
    <t>Malaya Tamil</t>
  </si>
  <si>
    <t>mala1468</t>
  </si>
  <si>
    <t>Malapandaram</t>
  </si>
  <si>
    <t>mjp</t>
  </si>
  <si>
    <t>mala1469</t>
  </si>
  <si>
    <t>Malakanagiri Koya</t>
  </si>
  <si>
    <t>mala1470</t>
  </si>
  <si>
    <t>Malal</t>
  </si>
  <si>
    <t>mala1471</t>
  </si>
  <si>
    <t>Mala (Nigeria)</t>
  </si>
  <si>
    <t>ruy</t>
  </si>
  <si>
    <t>mala1472</t>
  </si>
  <si>
    <t>Malamba</t>
  </si>
  <si>
    <t>mala1473</t>
  </si>
  <si>
    <t>Mala</t>
  </si>
  <si>
    <t>mala1474</t>
  </si>
  <si>
    <t>Malalulu</t>
  </si>
  <si>
    <t>mala1475</t>
  </si>
  <si>
    <t>Malawi Sena</t>
  </si>
  <si>
    <t>swk</t>
  </si>
  <si>
    <t>Colloquial Malay</t>
  </si>
  <si>
    <t>ID MY SG TH</t>
  </si>
  <si>
    <t>Malayic Dayak</t>
  </si>
  <si>
    <t>xdy</t>
  </si>
  <si>
    <t>mala1481</t>
  </si>
  <si>
    <t>mana1300</t>
  </si>
  <si>
    <t>Manado Malay</t>
  </si>
  <si>
    <t>xmm</t>
  </si>
  <si>
    <t>mala1482</t>
  </si>
  <si>
    <t>Malaccan Creole Malay</t>
  </si>
  <si>
    <t>ccm</t>
  </si>
  <si>
    <t>mala1483</t>
  </si>
  <si>
    <t>Malagheti</t>
  </si>
  <si>
    <t>mala1484</t>
  </si>
  <si>
    <t>Malango</t>
  </si>
  <si>
    <t>mln</t>
  </si>
  <si>
    <t>Longgu-Malaita-Makira</t>
  </si>
  <si>
    <t>mala1487</t>
  </si>
  <si>
    <t>Malasanga</t>
  </si>
  <si>
    <t>mqz</t>
  </si>
  <si>
    <t>mala1488</t>
  </si>
  <si>
    <t>mutu1242</t>
  </si>
  <si>
    <t>Malai</t>
  </si>
  <si>
    <t>mala1489</t>
  </si>
  <si>
    <t>west2862</t>
  </si>
  <si>
    <t>Malalamai</t>
  </si>
  <si>
    <t>mmt</t>
  </si>
  <si>
    <t>mala1491</t>
  </si>
  <si>
    <t>Malaynon</t>
  </si>
  <si>
    <t>mlz</t>
  </si>
  <si>
    <t>mala1492</t>
  </si>
  <si>
    <t>Malay (Ati)</t>
  </si>
  <si>
    <t>mala1493</t>
  </si>
  <si>
    <t>Malang-Pasuruan</t>
  </si>
  <si>
    <t>mala1494</t>
  </si>
  <si>
    <t>Mala (Papua New Guinea)</t>
  </si>
  <si>
    <t>ped</t>
  </si>
  <si>
    <t>mala1495</t>
  </si>
  <si>
    <t>Malas</t>
  </si>
  <si>
    <t>mkr</t>
  </si>
  <si>
    <t>mala1522</t>
  </si>
  <si>
    <t>Malayo</t>
  </si>
  <si>
    <t>mbp</t>
  </si>
  <si>
    <t>mala1531</t>
  </si>
  <si>
    <t>Malabu (Bata)</t>
  </si>
  <si>
    <t>mala1532</t>
  </si>
  <si>
    <t>Malabu</t>
  </si>
  <si>
    <t>mala1533</t>
  </si>
  <si>
    <t>Malacca-Batavia Portuguese Creole</t>
  </si>
  <si>
    <t>mcm</t>
  </si>
  <si>
    <t>mala1534</t>
  </si>
  <si>
    <t>Malaweg</t>
  </si>
  <si>
    <t>Malayo-Sumbawan</t>
  </si>
  <si>
    <t>Malagasic</t>
  </si>
  <si>
    <t>Malayic</t>
  </si>
  <si>
    <t>Malakula</t>
  </si>
  <si>
    <t>mala1540</t>
  </si>
  <si>
    <t>Malaita-Makira</t>
  </si>
  <si>
    <t>tami1298</t>
  </si>
  <si>
    <t>Malayalamoid</t>
  </si>
  <si>
    <t>mala1542</t>
  </si>
  <si>
    <t>Malaita</t>
  </si>
  <si>
    <t>mala1544</t>
  </si>
  <si>
    <t>Malabar-Sri Lanka Portuguese</t>
  </si>
  <si>
    <t>IN LK</t>
  </si>
  <si>
    <t>Malayo-Polynesian</t>
  </si>
  <si>
    <t>mala1546</t>
  </si>
  <si>
    <t>Malay (individual language)</t>
  </si>
  <si>
    <t>mly</t>
  </si>
  <si>
    <t>Malay-based pidgin</t>
  </si>
  <si>
    <t>Malaysian Sign</t>
  </si>
  <si>
    <t>mala1549</t>
  </si>
  <si>
    <t>Malawian Sign Language</t>
  </si>
  <si>
    <t>lws</t>
  </si>
  <si>
    <t>MW</t>
  </si>
  <si>
    <t>Malasa-Eravallan</t>
  </si>
  <si>
    <t>Malba Birifor</t>
  </si>
  <si>
    <t>bfo</t>
  </si>
  <si>
    <t>male1280</t>
  </si>
  <si>
    <t>Malekshahi</t>
  </si>
  <si>
    <t>male1281</t>
  </si>
  <si>
    <t>Maleksh ahi</t>
  </si>
  <si>
    <t>Maleng</t>
  </si>
  <si>
    <t>pkt</t>
  </si>
  <si>
    <t>male1283</t>
  </si>
  <si>
    <t>Malele</t>
  </si>
  <si>
    <t>male1284</t>
  </si>
  <si>
    <t>Male (Ethiopia)</t>
  </si>
  <si>
    <t>mdy</t>
  </si>
  <si>
    <t>male1285</t>
  </si>
  <si>
    <t>Malen-Utwe</t>
  </si>
  <si>
    <t>Maleu-Kilenge</t>
  </si>
  <si>
    <t>mgl</t>
  </si>
  <si>
    <t>male1290</t>
  </si>
  <si>
    <t>Maleu</t>
  </si>
  <si>
    <t>male1291</t>
  </si>
  <si>
    <t>Male (Papua New Guinea)</t>
  </si>
  <si>
    <t>mdc</t>
  </si>
  <si>
    <t>male1292</t>
  </si>
  <si>
    <t>Malecite-Passamaquoddy</t>
  </si>
  <si>
    <t>pqm</t>
  </si>
  <si>
    <t>male1293</t>
  </si>
  <si>
    <t>Malecite</t>
  </si>
  <si>
    <t>male1297</t>
  </si>
  <si>
    <t>Mal√©ku Ja√≠ka</t>
  </si>
  <si>
    <t>gut</t>
  </si>
  <si>
    <t>malf1237</t>
  </si>
  <si>
    <t>sout3197</t>
  </si>
  <si>
    <t>Na'ahai</t>
  </si>
  <si>
    <t>mlx</t>
  </si>
  <si>
    <t>malg1242</t>
  </si>
  <si>
    <t>Malgana</t>
  </si>
  <si>
    <t>vml</t>
  </si>
  <si>
    <t>Malgbe</t>
  </si>
  <si>
    <t>mxf</t>
  </si>
  <si>
    <t>malg1251</t>
  </si>
  <si>
    <t>wand1281</t>
  </si>
  <si>
    <t>Malgwa</t>
  </si>
  <si>
    <t>malh1241</t>
  </si>
  <si>
    <t>Malham</t>
  </si>
  <si>
    <t>malh1242</t>
  </si>
  <si>
    <t>Malhi</t>
  </si>
  <si>
    <t>mali1242</t>
  </si>
  <si>
    <t>Malibu</t>
  </si>
  <si>
    <t>mali1277</t>
  </si>
  <si>
    <t>Maliki</t>
  </si>
  <si>
    <t>mali1278</t>
  </si>
  <si>
    <t>Malieng</t>
  </si>
  <si>
    <t>mali1279</t>
  </si>
  <si>
    <t>mbey1234</t>
  </si>
  <si>
    <t>Malila</t>
  </si>
  <si>
    <t>mgq</t>
  </si>
  <si>
    <t>mali1280</t>
  </si>
  <si>
    <t>Malimba</t>
  </si>
  <si>
    <t>mzd</t>
  </si>
  <si>
    <t>mali1281</t>
  </si>
  <si>
    <t>Malibcong Banao</t>
  </si>
  <si>
    <t>mali1282</t>
  </si>
  <si>
    <t>Maligan</t>
  </si>
  <si>
    <t>mali1283</t>
  </si>
  <si>
    <t>Malimpung</t>
  </si>
  <si>
    <t>mli</t>
  </si>
  <si>
    <t>mali1284</t>
  </si>
  <si>
    <t>gcc</t>
  </si>
  <si>
    <t>Malinaltepec Me'phaa</t>
  </si>
  <si>
    <t>tcf</t>
  </si>
  <si>
    <t>mali1286</t>
  </si>
  <si>
    <t>Malinaltepec</t>
  </si>
  <si>
    <t>mali1287</t>
  </si>
  <si>
    <t>Maligo</t>
  </si>
  <si>
    <t>mwj</t>
  </si>
  <si>
    <t>mali1288</t>
  </si>
  <si>
    <t>Malinguat</t>
  </si>
  <si>
    <t>sic</t>
  </si>
  <si>
    <t>Malimiutun</t>
  </si>
  <si>
    <t>mall1246</t>
  </si>
  <si>
    <t>tinn1239</t>
  </si>
  <si>
    <t>Mal</t>
  </si>
  <si>
    <t>mlf</t>
  </si>
  <si>
    <t>mall1247</t>
  </si>
  <si>
    <t>Mallango</t>
  </si>
  <si>
    <t>mall1248</t>
  </si>
  <si>
    <t>Mallorqu√≠</t>
  </si>
  <si>
    <t>maln1239</t>
  </si>
  <si>
    <t>Malngin</t>
  </si>
  <si>
    <t>Tamambo</t>
  </si>
  <si>
    <t>mla</t>
  </si>
  <si>
    <t>malo1244</t>
  </si>
  <si>
    <t>Malom</t>
  </si>
  <si>
    <t>malo1245</t>
  </si>
  <si>
    <t>Malol</t>
  </si>
  <si>
    <t>mbk</t>
  </si>
  <si>
    <t>malo1246</t>
  </si>
  <si>
    <t>Malo</t>
  </si>
  <si>
    <t>malp1246</t>
  </si>
  <si>
    <t>Mar Paharia of Dumka</t>
  </si>
  <si>
    <t>mkb</t>
  </si>
  <si>
    <t>malt1238</t>
  </si>
  <si>
    <t>Maltese Sign Language</t>
  </si>
  <si>
    <t>mdl</t>
  </si>
  <si>
    <t>MT</t>
  </si>
  <si>
    <t>malt1247</t>
  </si>
  <si>
    <t>Maltese English</t>
  </si>
  <si>
    <t>Malto</t>
  </si>
  <si>
    <t>Maltese</t>
  </si>
  <si>
    <t>mlt</t>
  </si>
  <si>
    <t>malu1244</t>
  </si>
  <si>
    <t>Malual</t>
  </si>
  <si>
    <t>malu1245</t>
  </si>
  <si>
    <t>nort3223</t>
  </si>
  <si>
    <t>Malua Bay</t>
  </si>
  <si>
    <t>mll</t>
  </si>
  <si>
    <t>malu1246</t>
  </si>
  <si>
    <t>Malunda</t>
  </si>
  <si>
    <t>malu1250</t>
  </si>
  <si>
    <t>Maaloula</t>
  </si>
  <si>
    <t>malu1251</t>
  </si>
  <si>
    <t>Maluwawaru</t>
  </si>
  <si>
    <t>sabi1248</t>
  </si>
  <si>
    <t>Malungu-Central Sabi</t>
  </si>
  <si>
    <t>malu1253</t>
  </si>
  <si>
    <t>Malung</t>
  </si>
  <si>
    <t>Malvi</t>
  </si>
  <si>
    <t>mup</t>
  </si>
  <si>
    <t>malv1244</t>
  </si>
  <si>
    <t>Malvi Proper</t>
  </si>
  <si>
    <t>malw1235</t>
  </si>
  <si>
    <t>Malwa</t>
  </si>
  <si>
    <t>maly1234</t>
  </si>
  <si>
    <t>yarl1236</t>
  </si>
  <si>
    <t>Malyangapa</t>
  </si>
  <si>
    <t>yga</t>
  </si>
  <si>
    <t>mama1269</t>
  </si>
  <si>
    <t>Mamasani</t>
  </si>
  <si>
    <t>mama1270</t>
  </si>
  <si>
    <t>Mamalgha Munji</t>
  </si>
  <si>
    <t>nort3254</t>
  </si>
  <si>
    <t>Mamara Senoufo</t>
  </si>
  <si>
    <t>myk</t>
  </si>
  <si>
    <t>mama1272</t>
  </si>
  <si>
    <t>Mama</t>
  </si>
  <si>
    <t>mma</t>
  </si>
  <si>
    <t>mama1273</t>
  </si>
  <si>
    <t>Mamaq</t>
  </si>
  <si>
    <t>mama1274</t>
  </si>
  <si>
    <t>Mamala</t>
  </si>
  <si>
    <t>mama1275</t>
  </si>
  <si>
    <t>Mamanwa</t>
  </si>
  <si>
    <t>mmn</t>
  </si>
  <si>
    <t>Mamasa</t>
  </si>
  <si>
    <t>mqj</t>
  </si>
  <si>
    <t>mama1277</t>
  </si>
  <si>
    <t>Mamaa</t>
  </si>
  <si>
    <t>mhf</t>
  </si>
  <si>
    <t>mama1278</t>
  </si>
  <si>
    <t>nort3153</t>
  </si>
  <si>
    <t>Mamaind√©</t>
  </si>
  <si>
    <t>wmd</t>
  </si>
  <si>
    <t>mamb1292</t>
  </si>
  <si>
    <t>Mambangura</t>
  </si>
  <si>
    <t>mamb1293</t>
  </si>
  <si>
    <t>Mambe'</t>
  </si>
  <si>
    <t>mamb1294</t>
  </si>
  <si>
    <t>tupu1245</t>
  </si>
  <si>
    <t>Mambai</t>
  </si>
  <si>
    <t>mcs</t>
  </si>
  <si>
    <t>mamb1295</t>
  </si>
  <si>
    <t>Mamba (Democratic Republic of Congo)</t>
  </si>
  <si>
    <t>mamb1296</t>
  </si>
  <si>
    <t>Mambwe-Lungu</t>
  </si>
  <si>
    <t>mgr</t>
  </si>
  <si>
    <t>TZ ZM</t>
  </si>
  <si>
    <t>mamb1297</t>
  </si>
  <si>
    <t>Mambwe</t>
  </si>
  <si>
    <t>mamb1298</t>
  </si>
  <si>
    <t>Mamba</t>
  </si>
  <si>
    <t>mamb1299</t>
  </si>
  <si>
    <t>Mambaya</t>
  </si>
  <si>
    <t>mamb1303</t>
  </si>
  <si>
    <t>Mambisa</t>
  </si>
  <si>
    <t>mamb1304</t>
  </si>
  <si>
    <t>Mambump</t>
  </si>
  <si>
    <t>mamb1305</t>
  </si>
  <si>
    <t>Mamboru</t>
  </si>
  <si>
    <t>mvd</t>
  </si>
  <si>
    <t>Mambae</t>
  </si>
  <si>
    <t>mgm</t>
  </si>
  <si>
    <t>mamb1307</t>
  </si>
  <si>
    <t>Mambai (East Timor)</t>
  </si>
  <si>
    <t>mamb1308</t>
  </si>
  <si>
    <t>Mambi</t>
  </si>
  <si>
    <t>mamb1309</t>
  </si>
  <si>
    <t>Mambiloid</t>
  </si>
  <si>
    <t>mamb1310</t>
  </si>
  <si>
    <t>Mambila-Vute</t>
  </si>
  <si>
    <t>mamb1311</t>
  </si>
  <si>
    <t>Mambila-Mbongno</t>
  </si>
  <si>
    <t>Mambila</t>
  </si>
  <si>
    <t>mamc1234</t>
  </si>
  <si>
    <t>Mam, Central</t>
  </si>
  <si>
    <t>mvc</t>
  </si>
  <si>
    <t>mame1240</t>
  </si>
  <si>
    <t>Mamean</t>
  </si>
  <si>
    <t>Mamfe</t>
  </si>
  <si>
    <t>Mam</t>
  </si>
  <si>
    <t>mamn1243</t>
  </si>
  <si>
    <t>Mamna'a</t>
  </si>
  <si>
    <t>mamn1244</t>
  </si>
  <si>
    <t>Mamngayt</t>
  </si>
  <si>
    <t>Nuclear Deni</t>
  </si>
  <si>
    <t>Mampruli</t>
  </si>
  <si>
    <t>maw</t>
  </si>
  <si>
    <t>mamp1245</t>
  </si>
  <si>
    <t>Mampoko</t>
  </si>
  <si>
    <t>Mampruli-Dagbani</t>
  </si>
  <si>
    <t>mams1234</t>
  </si>
  <si>
    <t>Mam, Southern</t>
  </si>
  <si>
    <t>mms</t>
  </si>
  <si>
    <t>mamt1234</t>
  </si>
  <si>
    <t>Mam, Tajumulco</t>
  </si>
  <si>
    <t>mpf</t>
  </si>
  <si>
    <t>mamt1235</t>
  </si>
  <si>
    <t>Mam, Todos Santos Cuchumat√°n</t>
  </si>
  <si>
    <t>mvj</t>
  </si>
  <si>
    <t>mamu1253</t>
  </si>
  <si>
    <t>Mamu</t>
  </si>
  <si>
    <t>mamu1254</t>
  </si>
  <si>
    <t>mamu1256</t>
  </si>
  <si>
    <t>Mamusi</t>
  </si>
  <si>
    <t>kdf</t>
  </si>
  <si>
    <t>mamu1255</t>
  </si>
  <si>
    <t>nort2894</t>
  </si>
  <si>
    <t>Mamuju</t>
  </si>
  <si>
    <t>mqx</t>
  </si>
  <si>
    <t>Mamusa-Mengen</t>
  </si>
  <si>
    <t>mamu1257</t>
  </si>
  <si>
    <t>Mamulique</t>
  </si>
  <si>
    <t>Mamvu</t>
  </si>
  <si>
    <t>mana1248</t>
  </si>
  <si>
    <t>Manangkari</t>
  </si>
  <si>
    <t>znk</t>
  </si>
  <si>
    <t>mana1287</t>
  </si>
  <si>
    <t>Manangba-Nar-Phu</t>
  </si>
  <si>
    <t>mana1288</t>
  </si>
  <si>
    <t>Manange</t>
  </si>
  <si>
    <t>nmm</t>
  </si>
  <si>
    <t>mana1289</t>
  </si>
  <si>
    <t>Managobla</t>
  </si>
  <si>
    <t>mana1290</t>
  </si>
  <si>
    <t>Manang</t>
  </si>
  <si>
    <t>mana1291</t>
  </si>
  <si>
    <t>Manawadji</t>
  </si>
  <si>
    <t>mana1292</t>
  </si>
  <si>
    <t>Manangeer</t>
  </si>
  <si>
    <t>mana1293</t>
  </si>
  <si>
    <t>Manawi</t>
  </si>
  <si>
    <t>Manamic linkage</t>
  </si>
  <si>
    <t>mana1295</t>
  </si>
  <si>
    <t>mana1301</t>
  </si>
  <si>
    <t>Manam</t>
  </si>
  <si>
    <t>mva</t>
  </si>
  <si>
    <t>mana1296</t>
  </si>
  <si>
    <t>tali1262</t>
  </si>
  <si>
    <t>Mananga</t>
  </si>
  <si>
    <t>mana1298</t>
  </si>
  <si>
    <t>mana1303</t>
  </si>
  <si>
    <t>Manambu</t>
  </si>
  <si>
    <t>mle</t>
  </si>
  <si>
    <t>mana1299</t>
  </si>
  <si>
    <t>Manao</t>
  </si>
  <si>
    <t>Manadoic Malay</t>
  </si>
  <si>
    <t>Manam-Sepa</t>
  </si>
  <si>
    <t>Manambu-based pidgin</t>
  </si>
  <si>
    <t>Manambu-Yalaku</t>
  </si>
  <si>
    <t>mana1304</t>
  </si>
  <si>
    <t>Manala</t>
  </si>
  <si>
    <t>Manchu-Jurchen</t>
  </si>
  <si>
    <t>manc1251</t>
  </si>
  <si>
    <t>Manchu-Xibe</t>
  </si>
  <si>
    <t>mand1409</t>
  </si>
  <si>
    <t>Mandeali</t>
  </si>
  <si>
    <t>mjl</t>
  </si>
  <si>
    <t>mand1410</t>
  </si>
  <si>
    <t>Mandyam Brahmin</t>
  </si>
  <si>
    <t>Manda-Kui</t>
  </si>
  <si>
    <t>mand1412</t>
  </si>
  <si>
    <t>Manda-Pengo</t>
  </si>
  <si>
    <t>mand1413</t>
  </si>
  <si>
    <t>Manda (India)</t>
  </si>
  <si>
    <t>mha</t>
  </si>
  <si>
    <t>mand1414</t>
  </si>
  <si>
    <t>Mandla (Dravidian)</t>
  </si>
  <si>
    <t>Mandarin Chinese</t>
  </si>
  <si>
    <t>CN KP LA MM MN RU TW VN</t>
  </si>
  <si>
    <t>mand1416</t>
  </si>
  <si>
    <t>Manda (Australia)</t>
  </si>
  <si>
    <t>zma</t>
  </si>
  <si>
    <t>mand1417</t>
  </si>
  <si>
    <t>Mandandanyi</t>
  </si>
  <si>
    <t>zmk</t>
  </si>
  <si>
    <t>mand1418</t>
  </si>
  <si>
    <t>Mandjalpingu</t>
  </si>
  <si>
    <t>Mandjak</t>
  </si>
  <si>
    <t>mfv</t>
  </si>
  <si>
    <t>mand1420</t>
  </si>
  <si>
    <t>Mandiakuy</t>
  </si>
  <si>
    <t>mand1421</t>
  </si>
  <si>
    <t>Manda</t>
  </si>
  <si>
    <t>mand1422</t>
  </si>
  <si>
    <t>Mandla</t>
  </si>
  <si>
    <t>mand1423</t>
  </si>
  <si>
    <t>mand1475</t>
  </si>
  <si>
    <t>Manda-Matumba</t>
  </si>
  <si>
    <t>mgs</t>
  </si>
  <si>
    <t>mand1425</t>
  </si>
  <si>
    <t>Mandari</t>
  </si>
  <si>
    <t>mqu</t>
  </si>
  <si>
    <t>Mandura-Dibate-Metemma</t>
  </si>
  <si>
    <t>mand1427</t>
  </si>
  <si>
    <t>Mandura</t>
  </si>
  <si>
    <t>mand1428</t>
  </si>
  <si>
    <t>Mandala</t>
  </si>
  <si>
    <t>mand1429</t>
  </si>
  <si>
    <t>Mandaba</t>
  </si>
  <si>
    <t>west2780</t>
  </si>
  <si>
    <t>Manding-Kpelle</t>
  </si>
  <si>
    <t>Manding-Jogo</t>
  </si>
  <si>
    <t>mand1433</t>
  </si>
  <si>
    <t>Manding-Vai</t>
  </si>
  <si>
    <t>mand1434</t>
  </si>
  <si>
    <t>Manding-Mokole</t>
  </si>
  <si>
    <t>Manding</t>
  </si>
  <si>
    <t>mand1436</t>
  </si>
  <si>
    <t>Mandinka</t>
  </si>
  <si>
    <t>mnk</t>
  </si>
  <si>
    <t>GM GN GW SN</t>
  </si>
  <si>
    <t>mand1437</t>
  </si>
  <si>
    <t>Mande Samo</t>
  </si>
  <si>
    <t>mand1438</t>
  </si>
  <si>
    <t>Mando</t>
  </si>
  <si>
    <t>mand1439</t>
  </si>
  <si>
    <t>Mandusir</t>
  </si>
  <si>
    <t>mand1440</t>
  </si>
  <si>
    <t>Mandara</t>
  </si>
  <si>
    <t>tbf</t>
  </si>
  <si>
    <t>Mandar</t>
  </si>
  <si>
    <t>mdr</t>
  </si>
  <si>
    <t>mand1443</t>
  </si>
  <si>
    <t>Mander</t>
  </si>
  <si>
    <t>mqr</t>
  </si>
  <si>
    <t>mand1444</t>
  </si>
  <si>
    <t>Mandobo Atas</t>
  </si>
  <si>
    <t>aax</t>
  </si>
  <si>
    <t>mand1445</t>
  </si>
  <si>
    <t>Mandobo Bawah</t>
  </si>
  <si>
    <t>bwp</t>
  </si>
  <si>
    <t>mand1446</t>
  </si>
  <si>
    <t>Mandan</t>
  </si>
  <si>
    <t>mhq</t>
  </si>
  <si>
    <t>mand1447</t>
  </si>
  <si>
    <t>Manduka</t>
  </si>
  <si>
    <t>mand1448</t>
  </si>
  <si>
    <t>ware1256</t>
  </si>
  <si>
    <t>Mandahuaca</t>
  </si>
  <si>
    <t>mht</t>
  </si>
  <si>
    <t>Macro-Mandaic</t>
  </si>
  <si>
    <t>Mande</t>
  </si>
  <si>
    <t>Mandi-Muniwara</t>
  </si>
  <si>
    <t>Mandarinic</t>
  </si>
  <si>
    <t>Mandaraic</t>
  </si>
  <si>
    <t>Mandobo</t>
  </si>
  <si>
    <t>mand1474</t>
  </si>
  <si>
    <t>west2826</t>
  </si>
  <si>
    <t>Mandi-Nyokon</t>
  </si>
  <si>
    <t>Manda-Ngoni</t>
  </si>
  <si>
    <t>mand1476</t>
  </si>
  <si>
    <t>Mandalay-Yangon</t>
  </si>
  <si>
    <t>mane1239</t>
  </si>
  <si>
    <t>Mane</t>
  </si>
  <si>
    <t>mane1261</t>
  </si>
  <si>
    <t>Ma√±egu</t>
  </si>
  <si>
    <t>mane1262</t>
  </si>
  <si>
    <t>Manehas</t>
  </si>
  <si>
    <t>mane1264</t>
  </si>
  <si>
    <t>Maneo</t>
  </si>
  <si>
    <t>mane1265</t>
  </si>
  <si>
    <t>Maneta</t>
  </si>
  <si>
    <t>mane1266</t>
  </si>
  <si>
    <t>Manem</t>
  </si>
  <si>
    <t>jet</t>
  </si>
  <si>
    <t>Manenkan</t>
  </si>
  <si>
    <t>Manenguba</t>
  </si>
  <si>
    <t>mang1364</t>
  </si>
  <si>
    <t>Mangio</t>
  </si>
  <si>
    <t>mang1376</t>
  </si>
  <si>
    <t>Mangalore</t>
  </si>
  <si>
    <t>Mangic</t>
  </si>
  <si>
    <t>mang1378</t>
  </si>
  <si>
    <t>Mang</t>
  </si>
  <si>
    <t>zng</t>
  </si>
  <si>
    <t>CN TH VN</t>
  </si>
  <si>
    <t>mang1379</t>
  </si>
  <si>
    <t>Mangkong</t>
  </si>
  <si>
    <t>mang1381</t>
  </si>
  <si>
    <t>Mangarrayi</t>
  </si>
  <si>
    <t>mpc</t>
  </si>
  <si>
    <t>mang1382</t>
  </si>
  <si>
    <t>Mangerr</t>
  </si>
  <si>
    <t>zme</t>
  </si>
  <si>
    <t>mang1383</t>
  </si>
  <si>
    <t>Mangala</t>
  </si>
  <si>
    <t>mem</t>
  </si>
  <si>
    <t>mang1384</t>
  </si>
  <si>
    <t>Mangalili</t>
  </si>
  <si>
    <t>mang1385</t>
  </si>
  <si>
    <t>Manggalili</t>
  </si>
  <si>
    <t>mang1386</t>
  </si>
  <si>
    <t>Mang (Nigeria)</t>
  </si>
  <si>
    <t>mang1387</t>
  </si>
  <si>
    <t>Mangayat</t>
  </si>
  <si>
    <t>myj</t>
  </si>
  <si>
    <t>mang1388</t>
  </si>
  <si>
    <t>Mangum</t>
  </si>
  <si>
    <t>mang1389</t>
  </si>
  <si>
    <t>Mangehele</t>
  </si>
  <si>
    <t>mang1390</t>
  </si>
  <si>
    <t>Mangoche</t>
  </si>
  <si>
    <t>mang1391</t>
  </si>
  <si>
    <t>Manganja</t>
  </si>
  <si>
    <t>mang1392</t>
  </si>
  <si>
    <t>Mangkunge</t>
  </si>
  <si>
    <t>Mangbetu-Asua</t>
  </si>
  <si>
    <t>Mangbetu</t>
  </si>
  <si>
    <t>mdj</t>
  </si>
  <si>
    <t>Mangbutu</t>
  </si>
  <si>
    <t>mdk</t>
  </si>
  <si>
    <t>mang1397</t>
  </si>
  <si>
    <t>Mang (Chad)</t>
  </si>
  <si>
    <t>mang1398</t>
  </si>
  <si>
    <t>Mango</t>
  </si>
  <si>
    <t>mge</t>
  </si>
  <si>
    <t>Manga Kanuri</t>
  </si>
  <si>
    <t>kby</t>
  </si>
  <si>
    <t>NE NG</t>
  </si>
  <si>
    <t>mang1400</t>
  </si>
  <si>
    <t>Manga</t>
  </si>
  <si>
    <t>mang1402</t>
  </si>
  <si>
    <t>Mangaia</t>
  </si>
  <si>
    <t>mang1403</t>
  </si>
  <si>
    <t>Mangseng</t>
  </si>
  <si>
    <t>mbh</t>
  </si>
  <si>
    <t>Mangga Buang</t>
  </si>
  <si>
    <t>mmo</t>
  </si>
  <si>
    <t>mang1436</t>
  </si>
  <si>
    <t>mang1406</t>
  </si>
  <si>
    <t>Mangili-Waijelo</t>
  </si>
  <si>
    <t>mang1407</t>
  </si>
  <si>
    <t>Mangei</t>
  </si>
  <si>
    <t>mang1408</t>
  </si>
  <si>
    <t>sula1248</t>
  </si>
  <si>
    <t>Mangole</t>
  </si>
  <si>
    <t>mqc</t>
  </si>
  <si>
    <t>mang1409</t>
  </si>
  <si>
    <t>sang1336</t>
  </si>
  <si>
    <t>Manganitu</t>
  </si>
  <si>
    <t>mang1410</t>
  </si>
  <si>
    <t>Mangkaak</t>
  </si>
  <si>
    <t>mang1411</t>
  </si>
  <si>
    <t>Mangki</t>
  </si>
  <si>
    <t>mang1416</t>
  </si>
  <si>
    <t>Mangas</t>
  </si>
  <si>
    <t>zns</t>
  </si>
  <si>
    <t>mang1417</t>
  </si>
  <si>
    <t>Mangar</t>
  </si>
  <si>
    <t>mang1421</t>
  </si>
  <si>
    <t>Mangesh</t>
  </si>
  <si>
    <t>mang1422</t>
  </si>
  <si>
    <t>Mangree</t>
  </si>
  <si>
    <t>Mangarrayi-Maran</t>
  </si>
  <si>
    <t>Mangbetuic</t>
  </si>
  <si>
    <t>memb1239</t>
  </si>
  <si>
    <t>Mangbutu-Efe</t>
  </si>
  <si>
    <t>tlap1252</t>
  </si>
  <si>
    <t>Manguean</t>
  </si>
  <si>
    <t>mang1429</t>
  </si>
  <si>
    <t>Mango (China)</t>
  </si>
  <si>
    <t>Manggaraiic</t>
  </si>
  <si>
    <t>mang1433</t>
  </si>
  <si>
    <t>Mangaia-Old Rapa</t>
  </si>
  <si>
    <t>mang1435</t>
  </si>
  <si>
    <t>Mangarrayi-Maran (Unattested)</t>
  </si>
  <si>
    <t>Manggarai Khusus</t>
  </si>
  <si>
    <t>mani1235</t>
  </si>
  <si>
    <t>Sougb</t>
  </si>
  <si>
    <t>mnx</t>
  </si>
  <si>
    <t>mani1245</t>
  </si>
  <si>
    <t>Manila</t>
  </si>
  <si>
    <t>mani1290</t>
  </si>
  <si>
    <t>Maniq-Menraq-Batek</t>
  </si>
  <si>
    <t>Maniqic</t>
  </si>
  <si>
    <t>Manipuri</t>
  </si>
  <si>
    <t>Maningrida</t>
  </si>
  <si>
    <t>mani1294</t>
  </si>
  <si>
    <t>Manigri-Kambol√© Ede Nago</t>
  </si>
  <si>
    <t>xkb</t>
  </si>
  <si>
    <t>mani1297</t>
  </si>
  <si>
    <t>Manipa</t>
  </si>
  <si>
    <t>mqp</t>
  </si>
  <si>
    <t>mani1298</t>
  </si>
  <si>
    <t>Manigara</t>
  </si>
  <si>
    <t>Maninka-Mori</t>
  </si>
  <si>
    <t>Maniot-Cargese Greek</t>
  </si>
  <si>
    <t>mani1305</t>
  </si>
  <si>
    <t>Maniot Greek</t>
  </si>
  <si>
    <t>mani1306</t>
  </si>
  <si>
    <t>zimb1247</t>
  </si>
  <si>
    <t>Manicaland Zimbabwe Sign</t>
  </si>
  <si>
    <t>manj1248</t>
  </si>
  <si>
    <t>Manjhi</t>
  </si>
  <si>
    <t>manj1249</t>
  </si>
  <si>
    <t>Manjhi (Santali)</t>
  </si>
  <si>
    <t>Manjaku-Mankanya-Pepel</t>
  </si>
  <si>
    <t>Mankanya</t>
  </si>
  <si>
    <t>knf</t>
  </si>
  <si>
    <t>mank1252</t>
  </si>
  <si>
    <t>Mankim</t>
  </si>
  <si>
    <t>mank1253</t>
  </si>
  <si>
    <t>Mankon</t>
  </si>
  <si>
    <t>mank1254</t>
  </si>
  <si>
    <t>Mankaliya</t>
  </si>
  <si>
    <t>mank1255</t>
  </si>
  <si>
    <t>Mankayan-Buguias</t>
  </si>
  <si>
    <t>mank1256</t>
  </si>
  <si>
    <t>Mankiyali</t>
  </si>
  <si>
    <t>nlm</t>
  </si>
  <si>
    <t>manm1238</t>
  </si>
  <si>
    <t>Man Met</t>
  </si>
  <si>
    <t>mml</t>
  </si>
  <si>
    <t>mann1245</t>
  </si>
  <si>
    <t>Manna-Dora</t>
  </si>
  <si>
    <t>mju</t>
  </si>
  <si>
    <t>mann1246</t>
  </si>
  <si>
    <t>muth1243</t>
  </si>
  <si>
    <t>Mannan</t>
  </si>
  <si>
    <t>mjv</t>
  </si>
  <si>
    <t>mann1247</t>
  </si>
  <si>
    <t>Man</t>
  </si>
  <si>
    <t>mann1248</t>
  </si>
  <si>
    <t>Mann</t>
  </si>
  <si>
    <t>mev</t>
  </si>
  <si>
    <t>mano1274</t>
  </si>
  <si>
    <t>Manouche</t>
  </si>
  <si>
    <t>mano1275</t>
  </si>
  <si>
    <t>Manombai</t>
  </si>
  <si>
    <t>woo</t>
  </si>
  <si>
    <t>mans1257</t>
  </si>
  <si>
    <t>Mansfeld German</t>
  </si>
  <si>
    <t>mans1258</t>
  </si>
  <si>
    <t>Northern Mansi</t>
  </si>
  <si>
    <t>mns</t>
  </si>
  <si>
    <t>mans1259</t>
  </si>
  <si>
    <t>Mansoanka</t>
  </si>
  <si>
    <t>msw</t>
  </si>
  <si>
    <t>GM GW</t>
  </si>
  <si>
    <t>mans1260</t>
  </si>
  <si>
    <t>Mansim</t>
  </si>
  <si>
    <t>Mansakan</t>
  </si>
  <si>
    <t>mans1262</t>
  </si>
  <si>
    <t>Mansaka</t>
  </si>
  <si>
    <t>msk</t>
  </si>
  <si>
    <t>mans1263</t>
  </si>
  <si>
    <t>yura1255</t>
  </si>
  <si>
    <t>Mansinyo</t>
  </si>
  <si>
    <t>mans1267</t>
  </si>
  <si>
    <t>Mansa'</t>
  </si>
  <si>
    <t>mans1269</t>
  </si>
  <si>
    <t>Mansic</t>
  </si>
  <si>
    <t>mant1264</t>
  </si>
  <si>
    <t>Mantovano</t>
  </si>
  <si>
    <t>mant1265</t>
  </si>
  <si>
    <t>Mantsi</t>
  </si>
  <si>
    <t>nty</t>
  </si>
  <si>
    <t>Mantharta</t>
  </si>
  <si>
    <t>mant1267</t>
  </si>
  <si>
    <t>Manta</t>
  </si>
  <si>
    <t>myg</t>
  </si>
  <si>
    <t>mant1268</t>
  </si>
  <si>
    <t>Mantra</t>
  </si>
  <si>
    <t>mant1269</t>
  </si>
  <si>
    <t>Mantararen</t>
  </si>
  <si>
    <t>mant1270</t>
  </si>
  <si>
    <t>Mantangai</t>
  </si>
  <si>
    <t>mant1271</t>
  </si>
  <si>
    <t>Mantauran</t>
  </si>
  <si>
    <t>manu1255</t>
  </si>
  <si>
    <t>Manumanaw Karen</t>
  </si>
  <si>
    <t>kxf</t>
  </si>
  <si>
    <t>Manusela</t>
  </si>
  <si>
    <t>wha</t>
  </si>
  <si>
    <t>manu1259</t>
  </si>
  <si>
    <t>Manua</t>
  </si>
  <si>
    <t>Manubaran</t>
  </si>
  <si>
    <t>pata1263</t>
  </si>
  <si>
    <t>Manusela-Huaulu</t>
  </si>
  <si>
    <t>manu1264</t>
  </si>
  <si>
    <t>yaul1241</t>
  </si>
  <si>
    <t>Manu</t>
  </si>
  <si>
    <t>manx1243</t>
  </si>
  <si>
    <t>Manx</t>
  </si>
  <si>
    <t>glv</t>
  </si>
  <si>
    <t>many1256</t>
  </si>
  <si>
    <t>Manyjilyjara</t>
  </si>
  <si>
    <t>many1257</t>
  </si>
  <si>
    <t>Manyarring</t>
  </si>
  <si>
    <t>Manyika</t>
  </si>
  <si>
    <t>mxc</t>
  </si>
  <si>
    <t>MZ ZW</t>
  </si>
  <si>
    <t>many1259</t>
  </si>
  <si>
    <t>Manyawa</t>
  </si>
  <si>
    <t>mny</t>
  </si>
  <si>
    <t>many1260</t>
  </si>
  <si>
    <t>Manyok</t>
  </si>
  <si>
    <t>many1261</t>
  </si>
  <si>
    <t>Manya</t>
  </si>
  <si>
    <t>mzj</t>
  </si>
  <si>
    <t>manz1241</t>
  </si>
  <si>
    <t>Manza-Ngbaka</t>
  </si>
  <si>
    <t>manz1242</t>
  </si>
  <si>
    <t>Manzaic</t>
  </si>
  <si>
    <t>manz1243</t>
  </si>
  <si>
    <t>Manza</t>
  </si>
  <si>
    <t>mzv</t>
  </si>
  <si>
    <t>maon1238</t>
  </si>
  <si>
    <t>naga1397</t>
  </si>
  <si>
    <t>Mao Naga</t>
  </si>
  <si>
    <t>nbi</t>
  </si>
  <si>
    <t>then1235</t>
  </si>
  <si>
    <t>Maonan-Mak-Sui</t>
  </si>
  <si>
    <t>Maonan-Chadong</t>
  </si>
  <si>
    <t>maon1241</t>
  </si>
  <si>
    <t>Maonan</t>
  </si>
  <si>
    <t>mmd</t>
  </si>
  <si>
    <t>Blue Nile Mao</t>
  </si>
  <si>
    <t>maoo1244</t>
  </si>
  <si>
    <t>Mao</t>
  </si>
  <si>
    <t>maoo1245</t>
  </si>
  <si>
    <t>Mao (Nigeria)</t>
  </si>
  <si>
    <t>Maopa</t>
  </si>
  <si>
    <t>maor1244</t>
  </si>
  <si>
    <t>shin1269</t>
  </si>
  <si>
    <t>Maore Comorian</t>
  </si>
  <si>
    <t>swb</t>
  </si>
  <si>
    <t>maor1245</t>
  </si>
  <si>
    <t>Maore</t>
  </si>
  <si>
    <t>NZ</t>
  </si>
  <si>
    <t>mapa1243</t>
  </si>
  <si>
    <t>Mapanga</t>
  </si>
  <si>
    <t>mapa1244</t>
  </si>
  <si>
    <t>Ma (Papua New Guinea)</t>
  </si>
  <si>
    <t>mjn</t>
  </si>
  <si>
    <t>Mape</t>
  </si>
  <si>
    <t>mlh</t>
  </si>
  <si>
    <t>mape1250</t>
  </si>
  <si>
    <t>Mapena</t>
  </si>
  <si>
    <t>mnm</t>
  </si>
  <si>
    <t>mapi1249</t>
  </si>
  <si>
    <t>Mapia (Biak)</t>
  </si>
  <si>
    <t>mapi1250</t>
  </si>
  <si>
    <t>Mapia</t>
  </si>
  <si>
    <t>mpy</t>
  </si>
  <si>
    <t>mapi1251</t>
  </si>
  <si>
    <t>Mapiya-Kegata</t>
  </si>
  <si>
    <t>mapi1252</t>
  </si>
  <si>
    <t>Mapidian-Mawayana</t>
  </si>
  <si>
    <t>mpw</t>
  </si>
  <si>
    <t>Mapos Buang</t>
  </si>
  <si>
    <t>bzh</t>
  </si>
  <si>
    <t>mapo1243</t>
  </si>
  <si>
    <t>Mapos</t>
  </si>
  <si>
    <t>vene1261</t>
  </si>
  <si>
    <t>Mapoyo-Tamanaku</t>
  </si>
  <si>
    <t>mapo1245</t>
  </si>
  <si>
    <t>Mapoyo-Yawarana</t>
  </si>
  <si>
    <t>mapo1246</t>
  </si>
  <si>
    <t>Mapoyo</t>
  </si>
  <si>
    <t>mcg</t>
  </si>
  <si>
    <t>Mappi-Digul Awyu</t>
  </si>
  <si>
    <t>mapr1240</t>
  </si>
  <si>
    <t>Maprik</t>
  </si>
  <si>
    <t>mapu1244</t>
  </si>
  <si>
    <t>Mapun</t>
  </si>
  <si>
    <t>sjm</t>
  </si>
  <si>
    <t>Mapudungun</t>
  </si>
  <si>
    <t>maqu1239</t>
  </si>
  <si>
    <t>Maquiritari</t>
  </si>
  <si>
    <t>Maquiritari-Wayumara</t>
  </si>
  <si>
    <t>mara1266</t>
  </si>
  <si>
    <t>Maratino</t>
  </si>
  <si>
    <t>mara1372</t>
  </si>
  <si>
    <t>Maramuresh</t>
  </si>
  <si>
    <t>Maraghei</t>
  </si>
  <si>
    <t>vmh</t>
  </si>
  <si>
    <t>mara1374</t>
  </si>
  <si>
    <t>Marashi (Northern Kurdish)</t>
  </si>
  <si>
    <t>mara1375</t>
  </si>
  <si>
    <t>Marashi</t>
  </si>
  <si>
    <t>mara1376</t>
  </si>
  <si>
    <t>Marari</t>
  </si>
  <si>
    <t>mara1379</t>
  </si>
  <si>
    <t>zeme1241</t>
  </si>
  <si>
    <t>Maram Naga</t>
  </si>
  <si>
    <t>nma</t>
  </si>
  <si>
    <t>mara1380</t>
  </si>
  <si>
    <t>Maram Khullen Circle</t>
  </si>
  <si>
    <t>mara1381</t>
  </si>
  <si>
    <t>Maraic</t>
  </si>
  <si>
    <t>Mara Chin</t>
  </si>
  <si>
    <t>mrh</t>
  </si>
  <si>
    <t>mara1385</t>
  </si>
  <si>
    <t>Marra</t>
  </si>
  <si>
    <t>mec</t>
  </si>
  <si>
    <t>mara1386</t>
  </si>
  <si>
    <t>Maranunggu</t>
  </si>
  <si>
    <t>zmr</t>
  </si>
  <si>
    <t>mara1388</t>
  </si>
  <si>
    <t>Marara</t>
  </si>
  <si>
    <t>mara1389</t>
  </si>
  <si>
    <t>Maraba</t>
  </si>
  <si>
    <t>mara1390</t>
  </si>
  <si>
    <t>Marale</t>
  </si>
  <si>
    <t>mara1391</t>
  </si>
  <si>
    <t>Marangu</t>
  </si>
  <si>
    <t>mara1392</t>
  </si>
  <si>
    <t>Marama</t>
  </si>
  <si>
    <t>lrm</t>
  </si>
  <si>
    <t>mara1393</t>
  </si>
  <si>
    <t>Marachi</t>
  </si>
  <si>
    <t>lri</t>
  </si>
  <si>
    <t>mara1394</t>
  </si>
  <si>
    <t>Maracha</t>
  </si>
  <si>
    <t>mara1395</t>
  </si>
  <si>
    <t>Mara (Central Sudanic)</t>
  </si>
  <si>
    <t>Mararit</t>
  </si>
  <si>
    <t>mgb</t>
  </si>
  <si>
    <t>mara1397</t>
  </si>
  <si>
    <t>Marau</t>
  </si>
  <si>
    <t>mvr</t>
  </si>
  <si>
    <t>mara1398</t>
  </si>
  <si>
    <t>Marau Sound</t>
  </si>
  <si>
    <t>mara1399</t>
  </si>
  <si>
    <t>Maragus</t>
  </si>
  <si>
    <t>mrs</t>
  </si>
  <si>
    <t>mara1400</t>
  </si>
  <si>
    <t>Marangai</t>
  </si>
  <si>
    <t>mara1401</t>
  </si>
  <si>
    <t>Marapu</t>
  </si>
  <si>
    <t>mara1402</t>
  </si>
  <si>
    <t>Maralango</t>
  </si>
  <si>
    <t>mara1404</t>
  </si>
  <si>
    <t>Maranao</t>
  </si>
  <si>
    <t>mrw</t>
  </si>
  <si>
    <t>mara1405</t>
  </si>
  <si>
    <t>Mara-Gomu</t>
  </si>
  <si>
    <t>mara1406</t>
  </si>
  <si>
    <t>Maramuni</t>
  </si>
  <si>
    <t>mara1407</t>
  </si>
  <si>
    <t>Maramba</t>
  </si>
  <si>
    <t>myd</t>
  </si>
  <si>
    <t>mara1408</t>
  </si>
  <si>
    <t>Marawan</t>
  </si>
  <si>
    <t>mara1409</t>
  </si>
  <si>
    <t>Maragua</t>
  </si>
  <si>
    <t>mara1413</t>
  </si>
  <si>
    <t>Mara (Malgbe)</t>
  </si>
  <si>
    <t>Maran</t>
  </si>
  <si>
    <t>Marathic</t>
  </si>
  <si>
    <t>mara1417</t>
  </si>
  <si>
    <t>Marau Wawa</t>
  </si>
  <si>
    <t>mara1418</t>
  </si>
  <si>
    <t>Marajo Sign Language</t>
  </si>
  <si>
    <t>mara1419</t>
  </si>
  <si>
    <t>Marash-Zeytun</t>
  </si>
  <si>
    <t>marb1239</t>
  </si>
  <si>
    <t>Marba</t>
  </si>
  <si>
    <t>mpg</t>
  </si>
  <si>
    <t>marb1243</t>
  </si>
  <si>
    <t>Mar Bishu</t>
  </si>
  <si>
    <t>nort3157</t>
  </si>
  <si>
    <t>Marba-Musey-Ham</t>
  </si>
  <si>
    <t>marc1245</t>
  </si>
  <si>
    <t>rong1264</t>
  </si>
  <si>
    <t>Marchha (India)</t>
  </si>
  <si>
    <t>mard1244</t>
  </si>
  <si>
    <t>Marda</t>
  </si>
  <si>
    <t>mard1245</t>
  </si>
  <si>
    <t>Mardin Sign Language</t>
  </si>
  <si>
    <t>mare1239</t>
  </si>
  <si>
    <t>mari1424</t>
  </si>
  <si>
    <t>Mare-Ammu</t>
  </si>
  <si>
    <t>mare1257</t>
  </si>
  <si>
    <t>Marens√©</t>
  </si>
  <si>
    <t>mare1258</t>
  </si>
  <si>
    <t>Marebbano</t>
  </si>
  <si>
    <t>mare1259</t>
  </si>
  <si>
    <t>Maregaon</t>
  </si>
  <si>
    <t>mare1260</t>
  </si>
  <si>
    <t>Marenje</t>
  </si>
  <si>
    <t>vmr</t>
  </si>
  <si>
    <t>mare1261</t>
  </si>
  <si>
    <t>Maremgi</t>
  </si>
  <si>
    <t>mrx</t>
  </si>
  <si>
    <t>marf1238</t>
  </si>
  <si>
    <t>Marfa</t>
  </si>
  <si>
    <t>mvu</t>
  </si>
  <si>
    <t>marg1251</t>
  </si>
  <si>
    <t>marr1257</t>
  </si>
  <si>
    <t>Margu</t>
  </si>
  <si>
    <t>mhg</t>
  </si>
  <si>
    <t>Margany-Gunya</t>
  </si>
  <si>
    <t>marg1253</t>
  </si>
  <si>
    <t>Margany</t>
  </si>
  <si>
    <t>zmc</t>
  </si>
  <si>
    <t>marg1254</t>
  </si>
  <si>
    <t>Margos-Yarowilca-Lauricocha Quechua</t>
  </si>
  <si>
    <t>qvm</t>
  </si>
  <si>
    <t>Marghi Central</t>
  </si>
  <si>
    <t>mrt</t>
  </si>
  <si>
    <t>marg1266</t>
  </si>
  <si>
    <t>Marghi South</t>
  </si>
  <si>
    <t>mfm</t>
  </si>
  <si>
    <t>Margi-Mandara-Mofu</t>
  </si>
  <si>
    <t>marh1238</t>
  </si>
  <si>
    <t>Marheti</t>
  </si>
  <si>
    <t>mari1381</t>
  </si>
  <si>
    <t>Maritime Sign Language</t>
  </si>
  <si>
    <t>nsr</t>
  </si>
  <si>
    <t>mari1411</t>
  </si>
  <si>
    <t>Mariupol Greek</t>
  </si>
  <si>
    <t>mari1412</t>
  </si>
  <si>
    <t>Maritime Proven√ßal</t>
  </si>
  <si>
    <t>mari1413</t>
  </si>
  <si>
    <t>Maritime Gagauzi</t>
  </si>
  <si>
    <t>Maria (India)</t>
  </si>
  <si>
    <t>mrr</t>
  </si>
  <si>
    <t>tang1335</t>
  </si>
  <si>
    <t>Maringic</t>
  </si>
  <si>
    <t>mari1416</t>
  </si>
  <si>
    <t>Maring Naga</t>
  </si>
  <si>
    <t>nng</t>
  </si>
  <si>
    <t>mari1417</t>
  </si>
  <si>
    <t>Marimanindji</t>
  </si>
  <si>
    <t>zmm</t>
  </si>
  <si>
    <t>mari1418</t>
  </si>
  <si>
    <t>Maringarr-Matige</t>
  </si>
  <si>
    <t>mari1419</t>
  </si>
  <si>
    <t>Maringarr</t>
  </si>
  <si>
    <t>zmt</t>
  </si>
  <si>
    <t>mari1420</t>
  </si>
  <si>
    <t>Marithielic</t>
  </si>
  <si>
    <t>mari1421</t>
  </si>
  <si>
    <t>Maridjabin</t>
  </si>
  <si>
    <t>zmj</t>
  </si>
  <si>
    <t>mari1422</t>
  </si>
  <si>
    <t>Maridan</t>
  </si>
  <si>
    <t>zmd</t>
  </si>
  <si>
    <t>mari1423</t>
  </si>
  <si>
    <t>Mariyedi</t>
  </si>
  <si>
    <t>zmy</t>
  </si>
  <si>
    <t>Marithiel</t>
  </si>
  <si>
    <t>mfr</t>
  </si>
  <si>
    <t>mari1426</t>
  </si>
  <si>
    <t>Sunwadia</t>
  </si>
  <si>
    <t>mrb</t>
  </si>
  <si>
    <t>mari1427</t>
  </si>
  <si>
    <t>Maringe</t>
  </si>
  <si>
    <t>mari1428</t>
  </si>
  <si>
    <t>Marik</t>
  </si>
  <si>
    <t>dad</t>
  </si>
  <si>
    <t>mari1429</t>
  </si>
  <si>
    <t>moun1250</t>
  </si>
  <si>
    <t>Mari (Madang Province)</t>
  </si>
  <si>
    <t>hob</t>
  </si>
  <si>
    <t>mari1430</t>
  </si>
  <si>
    <t>Mariri</t>
  </si>
  <si>
    <t>mqi</t>
  </si>
  <si>
    <t>mari1431</t>
  </si>
  <si>
    <t>Marinduque</t>
  </si>
  <si>
    <t>mari1432</t>
  </si>
  <si>
    <t>Mari (East Sepik Province)</t>
  </si>
  <si>
    <t>mbx</t>
  </si>
  <si>
    <t>Marienberg</t>
  </si>
  <si>
    <t>mari1434</t>
  </si>
  <si>
    <t>Marikai</t>
  </si>
  <si>
    <t>mari1436</t>
  </si>
  <si>
    <t>Marigl</t>
  </si>
  <si>
    <t>Marind-Boazi-Yaqai</t>
  </si>
  <si>
    <t>Maria (Papua New Guinea)</t>
  </si>
  <si>
    <t>mds</t>
  </si>
  <si>
    <t>mari1439</t>
  </si>
  <si>
    <t>Maria</t>
  </si>
  <si>
    <t>mari1440</t>
  </si>
  <si>
    <t>rive1260</t>
  </si>
  <si>
    <t>Maricopa</t>
  </si>
  <si>
    <t>mrc</t>
  </si>
  <si>
    <t>mari1441</t>
  </si>
  <si>
    <t>Marin Miwok</t>
  </si>
  <si>
    <t>unun9935</t>
  </si>
  <si>
    <t>Maritsau√°</t>
  </si>
  <si>
    <t>msp</t>
  </si>
  <si>
    <t>mari1443</t>
  </si>
  <si>
    <t>Marinahua</t>
  </si>
  <si>
    <t>mari1444</t>
  </si>
  <si>
    <t>Marie Galante Creole French</t>
  </si>
  <si>
    <t>Maric</t>
  </si>
  <si>
    <t>mari1446</t>
  </si>
  <si>
    <t>tahi1243</t>
  </si>
  <si>
    <t>Maritime Polynesian Pidgin</t>
  </si>
  <si>
    <t>mark1254</t>
  </si>
  <si>
    <t>Marke</t>
  </si>
  <si>
    <t>nort3239</t>
  </si>
  <si>
    <t>Markweeta</t>
  </si>
  <si>
    <t>enb</t>
  </si>
  <si>
    <t>Marka</t>
  </si>
  <si>
    <t>rkm</t>
  </si>
  <si>
    <t>Markham</t>
  </si>
  <si>
    <t>marm1234</t>
  </si>
  <si>
    <t>Marma</t>
  </si>
  <si>
    <t>rmz</t>
  </si>
  <si>
    <t>Marne</t>
  </si>
  <si>
    <t>maro1243</t>
  </si>
  <si>
    <t>Maroua Fulfulde</t>
  </si>
  <si>
    <t>maro1244</t>
  </si>
  <si>
    <t>maro1247</t>
  </si>
  <si>
    <t>Marovo</t>
  </si>
  <si>
    <t>mvo</t>
  </si>
  <si>
    <t>maro1245</t>
  </si>
  <si>
    <t>Maros-Pangkep</t>
  </si>
  <si>
    <t>Maroua</t>
  </si>
  <si>
    <t>Marovo-Vangunu</t>
  </si>
  <si>
    <t>marp1238</t>
  </si>
  <si>
    <t>Marpha</t>
  </si>
  <si>
    <t>Marquesan</t>
  </si>
  <si>
    <t>marr1240</t>
  </si>
  <si>
    <t>Marritjabin</t>
  </si>
  <si>
    <t>marr1241</t>
  </si>
  <si>
    <t>Marri Yedi</t>
  </si>
  <si>
    <t>marr1256</t>
  </si>
  <si>
    <t>Marriammu</t>
  </si>
  <si>
    <t>xru</t>
  </si>
  <si>
    <t>Marrku-Wurrugu</t>
  </si>
  <si>
    <t>marr1258</t>
  </si>
  <si>
    <t>Marrakulu</t>
  </si>
  <si>
    <t>marr1259</t>
  </si>
  <si>
    <t>Marrangu</t>
  </si>
  <si>
    <t>marr1260</t>
  </si>
  <si>
    <t>Marry</t>
  </si>
  <si>
    <t>marr1264</t>
  </si>
  <si>
    <t>Marrakech</t>
  </si>
  <si>
    <t>Marrngu</t>
  </si>
  <si>
    <t>marr1267</t>
  </si>
  <si>
    <t>Marrucinian</t>
  </si>
  <si>
    <t>mars1235</t>
  </si>
  <si>
    <t>Marseille Sign Language</t>
  </si>
  <si>
    <t>mars1252</t>
  </si>
  <si>
    <t>Marsh French</t>
  </si>
  <si>
    <t>mars1253</t>
  </si>
  <si>
    <t>Marsian</t>
  </si>
  <si>
    <t>mars1254</t>
  </si>
  <si>
    <t>west2844</t>
  </si>
  <si>
    <t>Marshallese</t>
  </si>
  <si>
    <t>mah</t>
  </si>
  <si>
    <t>MH</t>
  </si>
  <si>
    <t>mart1251</t>
  </si>
  <si>
    <t>Martha's Vineyard Sign Language</t>
  </si>
  <si>
    <t>mre</t>
  </si>
  <si>
    <t>mart1253</t>
  </si>
  <si>
    <t>Martiang</t>
  </si>
  <si>
    <t>mart1254</t>
  </si>
  <si>
    <t>Marti Ke</t>
  </si>
  <si>
    <t>zmg</t>
  </si>
  <si>
    <t>mart1255</t>
  </si>
  <si>
    <t>Martuthunira</t>
  </si>
  <si>
    <t>vma</t>
  </si>
  <si>
    <t>warn1245</t>
  </si>
  <si>
    <t>Martu Wangka</t>
  </si>
  <si>
    <t>mpj</t>
  </si>
  <si>
    <t>mart1257</t>
  </si>
  <si>
    <t>Martuwangkic</t>
  </si>
  <si>
    <t>midn1240</t>
  </si>
  <si>
    <t>Maru</t>
  </si>
  <si>
    <t>mhx</t>
  </si>
  <si>
    <t>maru1250</t>
  </si>
  <si>
    <t>Marub</t>
  </si>
  <si>
    <t>maru1251</t>
  </si>
  <si>
    <t>Marubo Subgroup</t>
  </si>
  <si>
    <t>maru1252</t>
  </si>
  <si>
    <t>Mar√∫bo</t>
  </si>
  <si>
    <t>mzr</t>
  </si>
  <si>
    <t>maru1253</t>
  </si>
  <si>
    <t>Maruat-Dimiri-Yaul</t>
  </si>
  <si>
    <t>marw1256</t>
  </si>
  <si>
    <t>Marwari (Pakistan)</t>
  </si>
  <si>
    <t>mve</t>
  </si>
  <si>
    <t>marw1257</t>
  </si>
  <si>
    <t>Marwari Meghwar</t>
  </si>
  <si>
    <t>marw1258</t>
  </si>
  <si>
    <t>Marwari Bhat</t>
  </si>
  <si>
    <t>marw1259</t>
  </si>
  <si>
    <t>Marwari Bhil</t>
  </si>
  <si>
    <t>Marwari (India)</t>
  </si>
  <si>
    <t>rwr</t>
  </si>
  <si>
    <t>IN NP PK</t>
  </si>
  <si>
    <t>mary1234</t>
  </si>
  <si>
    <t>Marya Qayah</t>
  </si>
  <si>
    <t>mary1235</t>
  </si>
  <si>
    <t>Marya Sallam</t>
  </si>
  <si>
    <t>marz1234</t>
  </si>
  <si>
    <t>Marzvan-Amasia</t>
  </si>
  <si>
    <t>masa1295</t>
  </si>
  <si>
    <t>Masaku</t>
  </si>
  <si>
    <t>masa1296</t>
  </si>
  <si>
    <t>Masama</t>
  </si>
  <si>
    <t>Masaaba</t>
  </si>
  <si>
    <t>myx</t>
  </si>
  <si>
    <t>nucl1431</t>
  </si>
  <si>
    <t>Masai</t>
  </si>
  <si>
    <t>masa1301</t>
  </si>
  <si>
    <t>Macro-Masalit</t>
  </si>
  <si>
    <t>masa1302</t>
  </si>
  <si>
    <t>Masakin Gusar</t>
  </si>
  <si>
    <t>masa1303</t>
  </si>
  <si>
    <t>Masakin Tuwal</t>
  </si>
  <si>
    <t>masa1304</t>
  </si>
  <si>
    <t>Masawa</t>
  </si>
  <si>
    <t>masa1305</t>
  </si>
  <si>
    <t>Masarete</t>
  </si>
  <si>
    <t>masa1306</t>
  </si>
  <si>
    <t>Masapua</t>
  </si>
  <si>
    <t>masa1307</t>
  </si>
  <si>
    <t>masa1325</t>
  </si>
  <si>
    <t>Masadiit Itneg</t>
  </si>
  <si>
    <t>tis</t>
  </si>
  <si>
    <t>masa1308</t>
  </si>
  <si>
    <t>Masadiit Boliney</t>
  </si>
  <si>
    <t>masa1309</t>
  </si>
  <si>
    <t>Masadiit Sallapadan</t>
  </si>
  <si>
    <t>masa1310</t>
  </si>
  <si>
    <t>Masan</t>
  </si>
  <si>
    <t>masa1311</t>
  </si>
  <si>
    <t>Masacara</t>
  </si>
  <si>
    <t>masa1312</t>
  </si>
  <si>
    <t>Masak√°</t>
  </si>
  <si>
    <t>Masana</t>
  </si>
  <si>
    <t>mcn</t>
  </si>
  <si>
    <t>masa1323</t>
  </si>
  <si>
    <t>Masa</t>
  </si>
  <si>
    <t>Masa-Gizey-Zumaya</t>
  </si>
  <si>
    <t>Masadiit</t>
  </si>
  <si>
    <t>masb1237</t>
  </si>
  <si>
    <t>masb1239</t>
  </si>
  <si>
    <t>Masbate Sorsogon</t>
  </si>
  <si>
    <t>bks</t>
  </si>
  <si>
    <t>masb1238</t>
  </si>
  <si>
    <t>Masbatenyo</t>
  </si>
  <si>
    <t>msb</t>
  </si>
  <si>
    <t>Masbate-Sorsogon</t>
  </si>
  <si>
    <t>mase1248</t>
  </si>
  <si>
    <t>Masemola</t>
  </si>
  <si>
    <t>sout2881</t>
  </si>
  <si>
    <t>Masela-South Babar</t>
  </si>
  <si>
    <t>Masenrempulu</t>
  </si>
  <si>
    <t>mase1251</t>
  </si>
  <si>
    <t>Masev-Hyarev</t>
  </si>
  <si>
    <t>masf1235</t>
  </si>
  <si>
    <t>Masfeima</t>
  </si>
  <si>
    <t>Mashan</t>
  </si>
  <si>
    <t>mash1264</t>
  </si>
  <si>
    <t>Mashadi</t>
  </si>
  <si>
    <t>mash1265</t>
  </si>
  <si>
    <t>Mashasha</t>
  </si>
  <si>
    <t>mash1266</t>
  </si>
  <si>
    <t>Mashati</t>
  </si>
  <si>
    <t>mash1267</t>
  </si>
  <si>
    <t>mash1271</t>
  </si>
  <si>
    <t>Mashi (Zambia)</t>
  </si>
  <si>
    <t>mho</t>
  </si>
  <si>
    <t>mash1268</t>
  </si>
  <si>
    <t>Mashi</t>
  </si>
  <si>
    <t>mash1269</t>
  </si>
  <si>
    <t>Mashi (Nigeria)</t>
  </si>
  <si>
    <t>jms</t>
  </si>
  <si>
    <t>mash1270</t>
  </si>
  <si>
    <t>piro1249</t>
  </si>
  <si>
    <t>Mashco Piro</t>
  </si>
  <si>
    <t>cuj</t>
  </si>
  <si>
    <t>west2833</t>
  </si>
  <si>
    <t>Mashi-Mbukushi</t>
  </si>
  <si>
    <t>mash1272</t>
  </si>
  <si>
    <t>Mashonaland Zimbabwe Sign</t>
  </si>
  <si>
    <t>mash1273</t>
  </si>
  <si>
    <t>Mashalit</t>
  </si>
  <si>
    <t>masi1263</t>
  </si>
  <si>
    <t>Masingbi</t>
  </si>
  <si>
    <t>masi1264</t>
  </si>
  <si>
    <t>Masimasi (Yamalele)</t>
  </si>
  <si>
    <t>masi1265</t>
  </si>
  <si>
    <t>Masimasi</t>
  </si>
  <si>
    <t>ism</t>
  </si>
  <si>
    <t>masi1266</t>
  </si>
  <si>
    <t>Masiwang</t>
  </si>
  <si>
    <t>bnf</t>
  </si>
  <si>
    <t>masi1267</t>
  </si>
  <si>
    <t>Masinloc</t>
  </si>
  <si>
    <t>saka1299</t>
  </si>
  <si>
    <t>Masikoro Malagasy</t>
  </si>
  <si>
    <t>masi1269</t>
  </si>
  <si>
    <t>Masiri</t>
  </si>
  <si>
    <t>masi1270</t>
  </si>
  <si>
    <t>Masingle</t>
  </si>
  <si>
    <t>masi1271</t>
  </si>
  <si>
    <t>Masiware</t>
  </si>
  <si>
    <t>masi1272</t>
  </si>
  <si>
    <t>Masiguare</t>
  </si>
  <si>
    <t>masi1273</t>
  </si>
  <si>
    <t>Masikoro-Miary</t>
  </si>
  <si>
    <t>mask1241</t>
  </si>
  <si>
    <t>Maskoy Pidgin</t>
  </si>
  <si>
    <t>mhh</t>
  </si>
  <si>
    <t>mask1242</t>
  </si>
  <si>
    <t>Maskelynes</t>
  </si>
  <si>
    <t>klv</t>
  </si>
  <si>
    <t>masl1241</t>
  </si>
  <si>
    <t>Maslam</t>
  </si>
  <si>
    <t>msv</t>
  </si>
  <si>
    <t>masm1239</t>
  </si>
  <si>
    <t>Masmaje</t>
  </si>
  <si>
    <t>mes</t>
  </si>
  <si>
    <t>mass1260</t>
  </si>
  <si>
    <t>sout2639</t>
  </si>
  <si>
    <t>Massali</t>
  </si>
  <si>
    <t>mass1261</t>
  </si>
  <si>
    <t>Massaninga</t>
  </si>
  <si>
    <t>mass1262</t>
  </si>
  <si>
    <t>Massalat</t>
  </si>
  <si>
    <t>mdg</t>
  </si>
  <si>
    <t>mass1263</t>
  </si>
  <si>
    <t>Massep</t>
  </si>
  <si>
    <t>mvs</t>
  </si>
  <si>
    <t>mass1267</t>
  </si>
  <si>
    <t>Massagal</t>
  </si>
  <si>
    <t>mass1268</t>
  </si>
  <si>
    <t>Massawa</t>
  </si>
  <si>
    <t>mast1238</t>
  </si>
  <si>
    <t>Mastanahua</t>
  </si>
  <si>
    <t>masv1236</t>
  </si>
  <si>
    <t>Masvingo School Sign</t>
  </si>
  <si>
    <t>mata1250</t>
  </si>
  <si>
    <t>Mataso</t>
  </si>
  <si>
    <t>mata1275</t>
  </si>
  <si>
    <t>Matanaw√≠</t>
  </si>
  <si>
    <t>mata1282</t>
  </si>
  <si>
    <t>monn1252</t>
  </si>
  <si>
    <t>Mataban-Moulmein</t>
  </si>
  <si>
    <t>mata1283</t>
  </si>
  <si>
    <t>Matapo</t>
  </si>
  <si>
    <t>mata1284</t>
  </si>
  <si>
    <t>Mataitai</t>
  </si>
  <si>
    <t>mata1285</t>
  </si>
  <si>
    <t>Matalaang</t>
  </si>
  <si>
    <t>mata1286</t>
  </si>
  <si>
    <t>Matangnga</t>
  </si>
  <si>
    <t>suma1272</t>
  </si>
  <si>
    <t>Matagalpan</t>
  </si>
  <si>
    <t>mata1288</t>
  </si>
  <si>
    <t>Matagalpa</t>
  </si>
  <si>
    <t>mtn</t>
  </si>
  <si>
    <t>NI</t>
  </si>
  <si>
    <t>Matacoan</t>
  </si>
  <si>
    <t>Mataguayo I</t>
  </si>
  <si>
    <t>Mataguayo II</t>
  </si>
  <si>
    <t>mata1306</t>
  </si>
  <si>
    <t>podo1243</t>
  </si>
  <si>
    <t>Matal</t>
  </si>
  <si>
    <t>mfh</t>
  </si>
  <si>
    <t>mata1310</t>
  </si>
  <si>
    <t>Matawai</t>
  </si>
  <si>
    <t>Matakam</t>
  </si>
  <si>
    <t>Matangnga-Aralle-Tabulahan</t>
  </si>
  <si>
    <t>matb1237</t>
  </si>
  <si>
    <t>maya1288</t>
  </si>
  <si>
    <t>Matbat</t>
  </si>
  <si>
    <t>xmt</t>
  </si>
  <si>
    <t>matc1241</t>
  </si>
  <si>
    <t>Matchi</t>
  </si>
  <si>
    <t>mate1237</t>
  </si>
  <si>
    <t>Matema</t>
  </si>
  <si>
    <t>mate1256</t>
  </si>
  <si>
    <t>Materi</t>
  </si>
  <si>
    <t>mate1257</t>
  </si>
  <si>
    <t>Mate</t>
  </si>
  <si>
    <t>mate1258</t>
  </si>
  <si>
    <t>mate1261</t>
  </si>
  <si>
    <t>Matengo</t>
  </si>
  <si>
    <t>mgv</t>
  </si>
  <si>
    <t>mate1259</t>
  </si>
  <si>
    <t>Mate-Nul-Filakara</t>
  </si>
  <si>
    <t>mate1260</t>
  </si>
  <si>
    <t>uncl1506</t>
  </si>
  <si>
    <t>Matepi</t>
  </si>
  <si>
    <t>mqe</t>
  </si>
  <si>
    <t>rufi1236</t>
  </si>
  <si>
    <t>Matengic</t>
  </si>
  <si>
    <t>mate1262</t>
  </si>
  <si>
    <t>Matebeleland Zimbabwe Sign</t>
  </si>
  <si>
    <t>math1238</t>
  </si>
  <si>
    <t>Mathira</t>
  </si>
  <si>
    <t>Matigsalug Manobo</t>
  </si>
  <si>
    <t>mbt</t>
  </si>
  <si>
    <t>mati1251</t>
  </si>
  <si>
    <t>Matig-Salud</t>
  </si>
  <si>
    <t>mati1252</t>
  </si>
  <si>
    <t>Matia</t>
  </si>
  <si>
    <t>mati1253</t>
  </si>
  <si>
    <t>Matipuhy</t>
  </si>
  <si>
    <t>mzo</t>
  </si>
  <si>
    <t>mati1254</t>
  </si>
  <si>
    <t>mayo1269</t>
  </si>
  <si>
    <t>Matis subgroup</t>
  </si>
  <si>
    <t>mati1255</t>
  </si>
  <si>
    <t>Mat√≠s</t>
  </si>
  <si>
    <t>mpq</t>
  </si>
  <si>
    <t>matl1238</t>
  </si>
  <si>
    <t>merl1237</t>
  </si>
  <si>
    <t>Matliwag</t>
  </si>
  <si>
    <t>matl1257</t>
  </si>
  <si>
    <t>Matlala-Moletshi</t>
  </si>
  <si>
    <t>Matlatzincan</t>
  </si>
  <si>
    <t>Mator-Taigi-Karagas</t>
  </si>
  <si>
    <t>mtm</t>
  </si>
  <si>
    <t>mato1251</t>
  </si>
  <si>
    <t>Matondoni</t>
  </si>
  <si>
    <t>Mato</t>
  </si>
  <si>
    <t>met</t>
  </si>
  <si>
    <t>mato1253</t>
  </si>
  <si>
    <t>Mato Grosso Ar√°ra</t>
  </si>
  <si>
    <t>axg</t>
  </si>
  <si>
    <t>mats1242</t>
  </si>
  <si>
    <t>Matsungan</t>
  </si>
  <si>
    <t>Matses subgroup</t>
  </si>
  <si>
    <t>mats1244</t>
  </si>
  <si>
    <t>Mats√©s</t>
  </si>
  <si>
    <t>mcf</t>
  </si>
  <si>
    <t>Matsi-Nan</t>
  </si>
  <si>
    <t>matt1238</t>
  </si>
  <si>
    <t>Mattole</t>
  </si>
  <si>
    <t>mvb</t>
  </si>
  <si>
    <t>matu1256</t>
  </si>
  <si>
    <t>Matupi Daai</t>
  </si>
  <si>
    <t>matu1257</t>
  </si>
  <si>
    <t>Matumba</t>
  </si>
  <si>
    <t>matu1263</t>
  </si>
  <si>
    <t>Matumbi</t>
  </si>
  <si>
    <t>mgw</t>
  </si>
  <si>
    <t>matu1260</t>
  </si>
  <si>
    <t>Matupit</t>
  </si>
  <si>
    <t>matu1261</t>
  </si>
  <si>
    <t>Matukar</t>
  </si>
  <si>
    <t>mjk</t>
  </si>
  <si>
    <t>matu1262</t>
  </si>
  <si>
    <t>Matu Melanau</t>
  </si>
  <si>
    <t>Matumbic</t>
  </si>
  <si>
    <t>matu1264</t>
  </si>
  <si>
    <t>Matu</t>
  </si>
  <si>
    <t>matw1238</t>
  </si>
  <si>
    <t>Matwanly</t>
  </si>
  <si>
    <t>maty1235</t>
  </si>
  <si>
    <t>Matya Samo</t>
  </si>
  <si>
    <t>stj</t>
  </si>
  <si>
    <t>maub1238</t>
  </si>
  <si>
    <t>pwow1235</t>
  </si>
  <si>
    <t>Maubin</t>
  </si>
  <si>
    <t>mauk1238</t>
  </si>
  <si>
    <t>Mauke</t>
  </si>
  <si>
    <t>maum1238</t>
  </si>
  <si>
    <t>Maumbi</t>
  </si>
  <si>
    <t>maun1240</t>
  </si>
  <si>
    <t>Mawng</t>
  </si>
  <si>
    <t>mph</t>
  </si>
  <si>
    <t>maur1239</t>
  </si>
  <si>
    <t>Mauritian Bhojpuri</t>
  </si>
  <si>
    <t>maur1240</t>
  </si>
  <si>
    <t>Mauritian Sign Language</t>
  </si>
  <si>
    <t>lsy</t>
  </si>
  <si>
    <t>MU</t>
  </si>
  <si>
    <t>maur1241</t>
  </si>
  <si>
    <t>Maurom</t>
  </si>
  <si>
    <t>maut1237</t>
  </si>
  <si>
    <t>Maututu</t>
  </si>
  <si>
    <t>mauw1238</t>
  </si>
  <si>
    <t>Mauwake</t>
  </si>
  <si>
    <t>mhl</t>
  </si>
  <si>
    <t>mavi1238</t>
  </si>
  <si>
    <t>Maviha</t>
  </si>
  <si>
    <t>mavo1238</t>
  </si>
  <si>
    <t>Mavoumay</t>
  </si>
  <si>
    <t>mawa1236</t>
  </si>
  <si>
    <t>Mawa (Nigeria)</t>
  </si>
  <si>
    <t>wma</t>
  </si>
  <si>
    <t>mawa1263</t>
  </si>
  <si>
    <t>Mawasi</t>
  </si>
  <si>
    <t>mawa1264</t>
  </si>
  <si>
    <t>Mawasangka</t>
  </si>
  <si>
    <t>mawa1265</t>
  </si>
  <si>
    <t>ziaa1250</t>
  </si>
  <si>
    <t>Mawae</t>
  </si>
  <si>
    <t>mawa1266</t>
  </si>
  <si>
    <t>Mawak</t>
  </si>
  <si>
    <t>mjj</t>
  </si>
  <si>
    <t>mawa1267</t>
  </si>
  <si>
    <t>Mawan</t>
  </si>
  <si>
    <t>mcz</t>
  </si>
  <si>
    <t>mawa1268</t>
  </si>
  <si>
    <t>Mawakwa</t>
  </si>
  <si>
    <t>mawa1270</t>
  </si>
  <si>
    <t>Mawa (Chad)</t>
  </si>
  <si>
    <t>mcw</t>
  </si>
  <si>
    <t>mawa1271</t>
  </si>
  <si>
    <t>Mawayana</t>
  </si>
  <si>
    <t>mzx</t>
  </si>
  <si>
    <t>Mawchi</t>
  </si>
  <si>
    <t>mke</t>
  </si>
  <si>
    <t>mawe1251</t>
  </si>
  <si>
    <t>Mawes</t>
  </si>
  <si>
    <t>mgk</t>
  </si>
  <si>
    <t>Maweti-Guarani</t>
  </si>
  <si>
    <t>mawr1238</t>
  </si>
  <si>
    <t>Mawrang</t>
  </si>
  <si>
    <t>Maxakalian</t>
  </si>
  <si>
    <t>maxa1247</t>
  </si>
  <si>
    <t>Maxakal√≠</t>
  </si>
  <si>
    <t>mbl</t>
  </si>
  <si>
    <t>maxa1248</t>
  </si>
  <si>
    <t>Maxakali Sign Language</t>
  </si>
  <si>
    <t>maxi1236</t>
  </si>
  <si>
    <t>Maxi Gbe</t>
  </si>
  <si>
    <t>mxl</t>
  </si>
  <si>
    <t>maya1277</t>
  </si>
  <si>
    <t>Mayang</t>
  </si>
  <si>
    <t>maya1278</t>
  </si>
  <si>
    <t>Mayar</t>
  </si>
  <si>
    <t>maya1279</t>
  </si>
  <si>
    <t>Mayabic</t>
  </si>
  <si>
    <t>maya1280</t>
  </si>
  <si>
    <t>Mayaguduna</t>
  </si>
  <si>
    <t>xmy</t>
  </si>
  <si>
    <t>Maya Samo</t>
  </si>
  <si>
    <t>sym</t>
  </si>
  <si>
    <t>Misool-Salawati Ma'ya</t>
  </si>
  <si>
    <t>slz</t>
  </si>
  <si>
    <t>maya1284</t>
  </si>
  <si>
    <t>Mayayero</t>
  </si>
  <si>
    <t>maya1285</t>
  </si>
  <si>
    <t>sumu1234</t>
  </si>
  <si>
    <t>Mayangna</t>
  </si>
  <si>
    <t>yan</t>
  </si>
  <si>
    <t>maya1286</t>
  </si>
  <si>
    <t>Maya, Chan Santa Cruz</t>
  </si>
  <si>
    <t>yus</t>
  </si>
  <si>
    <t>Mayan</t>
  </si>
  <si>
    <t>Maya-Matbat</t>
  </si>
  <si>
    <t>maye1238</t>
  </si>
  <si>
    <t>ngbi1239</t>
  </si>
  <si>
    <t>Mayeka</t>
  </si>
  <si>
    <t>myc</t>
  </si>
  <si>
    <t>mayi1234</t>
  </si>
  <si>
    <t>mayk1239</t>
  </si>
  <si>
    <t>Mayi-Thakurti</t>
  </si>
  <si>
    <t>xyt</t>
  </si>
  <si>
    <t>mayi1235</t>
  </si>
  <si>
    <t>Mayi-Yapi</t>
  </si>
  <si>
    <t>xyj</t>
  </si>
  <si>
    <t>mayi1236</t>
  </si>
  <si>
    <t>Mayi-Kulan</t>
  </si>
  <si>
    <t>xyk</t>
  </si>
  <si>
    <t>nucl1332</t>
  </si>
  <si>
    <t>Maykulan</t>
  </si>
  <si>
    <t>mnt</t>
  </si>
  <si>
    <t>Mayogo-Bangba</t>
  </si>
  <si>
    <t>mayo1262</t>
  </si>
  <si>
    <t>Mayoyao Ifugao</t>
  </si>
  <si>
    <t>ifu</t>
  </si>
  <si>
    <t>mayo1263</t>
  </si>
  <si>
    <t>yess1239</t>
  </si>
  <si>
    <t>Mayo-Yessan</t>
  </si>
  <si>
    <t>mfy</t>
  </si>
  <si>
    <t>mayo1265</t>
  </si>
  <si>
    <t>Mayongong</t>
  </si>
  <si>
    <t>mayo1267</t>
  </si>
  <si>
    <t>Mayo (Brazil)</t>
  </si>
  <si>
    <t>mayo1277</t>
  </si>
  <si>
    <t>Mayo Group</t>
  </si>
  <si>
    <t>mayo1270</t>
  </si>
  <si>
    <t>Mayoruna-Jandiatuba</t>
  </si>
  <si>
    <t>mayo1271</t>
  </si>
  <si>
    <t>Mayoruna-Amazon</t>
  </si>
  <si>
    <t>mayo1272</t>
  </si>
  <si>
    <t>Mayoruna-Tabatinga</t>
  </si>
  <si>
    <t>Mayoruna Branch</t>
  </si>
  <si>
    <t>mayo1278</t>
  </si>
  <si>
    <t>sepi1256</t>
  </si>
  <si>
    <t>Mayo-Pasi</t>
  </si>
  <si>
    <t>mayr1237</t>
  </si>
  <si>
    <t>Mayrinax</t>
  </si>
  <si>
    <t>mayu1240</t>
  </si>
  <si>
    <t>Mayu</t>
  </si>
  <si>
    <t>mayy1239</t>
  </si>
  <si>
    <t>May</t>
  </si>
  <si>
    <t>maza1305</t>
  </si>
  <si>
    <t>Mazanderani</t>
  </si>
  <si>
    <t>mzn</t>
  </si>
  <si>
    <t>maza1292</t>
  </si>
  <si>
    <t>Mazatl√°n Mixe</t>
  </si>
  <si>
    <t>mzl</t>
  </si>
  <si>
    <t>otom1297</t>
  </si>
  <si>
    <t>Mazahua</t>
  </si>
  <si>
    <t>maza1294</t>
  </si>
  <si>
    <t>Mazaltepec Zapotec</t>
  </si>
  <si>
    <t>zpy</t>
  </si>
  <si>
    <t>maza1295</t>
  </si>
  <si>
    <t>Mazatecan</t>
  </si>
  <si>
    <t>Mazatl√°n Mazatec</t>
  </si>
  <si>
    <t>vmz</t>
  </si>
  <si>
    <t>maza1303</t>
  </si>
  <si>
    <t>Mazagwa</t>
  </si>
  <si>
    <t>Mazagway</t>
  </si>
  <si>
    <t>dkx</t>
  </si>
  <si>
    <t>Mazanderani-Shahmirzadi</t>
  </si>
  <si>
    <t>maza1306</t>
  </si>
  <si>
    <t>Maza</t>
  </si>
  <si>
    <t>maza1307</t>
  </si>
  <si>
    <t>Mazatec A</t>
  </si>
  <si>
    <t>Mazatec B</t>
  </si>
  <si>
    <t>Mazatec C</t>
  </si>
  <si>
    <t>mazn1238</t>
  </si>
  <si>
    <t>Maznoug</t>
  </si>
  <si>
    <t>mbaa1245</t>
  </si>
  <si>
    <t>ndun1248</t>
  </si>
  <si>
    <t>Mba</t>
  </si>
  <si>
    <t>mfc</t>
  </si>
  <si>
    <t>mbaa1246</t>
  </si>
  <si>
    <t>trin1271</t>
  </si>
  <si>
    <t>Mbaan</t>
  </si>
  <si>
    <t>mbaa1250</t>
  </si>
  <si>
    <t>Mbaaru</t>
  </si>
  <si>
    <t>mbab1239</t>
  </si>
  <si>
    <t>Mbabaram</t>
  </si>
  <si>
    <t>vmb</t>
  </si>
  <si>
    <t>mbag1238</t>
  </si>
  <si>
    <t>Mbagani</t>
  </si>
  <si>
    <t>Mbagani-Lwalwa</t>
  </si>
  <si>
    <t>mbah1238</t>
  </si>
  <si>
    <t>Mbah</t>
  </si>
  <si>
    <t>ngba1291</t>
  </si>
  <si>
    <t>Mbaic</t>
  </si>
  <si>
    <t>mbai1247</t>
  </si>
  <si>
    <t>Mbai (Northwest Gbaya)</t>
  </si>
  <si>
    <t>mbai1248</t>
  </si>
  <si>
    <t>Mbaise</t>
  </si>
  <si>
    <t>mbai1249</t>
  </si>
  <si>
    <t>Mbai</t>
  </si>
  <si>
    <t>mbak1242</t>
  </si>
  <si>
    <t>Mbaka</t>
  </si>
  <si>
    <t>mbal1254</t>
  </si>
  <si>
    <t>yomb1244</t>
  </si>
  <si>
    <t>Mbala (Yombe)</t>
  </si>
  <si>
    <t>mbal1255</t>
  </si>
  <si>
    <t>Mbalanhu</t>
  </si>
  <si>
    <t>lnb</t>
  </si>
  <si>
    <t>mbal1256</t>
  </si>
  <si>
    <t>Mbale</t>
  </si>
  <si>
    <t>mbal1257</t>
  </si>
  <si>
    <t>mbal1260</t>
  </si>
  <si>
    <t>Mbala</t>
  </si>
  <si>
    <t>mdp</t>
  </si>
  <si>
    <t>mbal1258</t>
  </si>
  <si>
    <t>Mballa</t>
  </si>
  <si>
    <t>nort3257</t>
  </si>
  <si>
    <t>Mbala-Holu-Sondi (K.10)</t>
  </si>
  <si>
    <t>Mbala-Sondi</t>
  </si>
  <si>
    <t>mbal1261</t>
  </si>
  <si>
    <t>Mbalundu</t>
  </si>
  <si>
    <t>mbam1247</t>
  </si>
  <si>
    <t>Mbamu</t>
  </si>
  <si>
    <t>mbam1248</t>
  </si>
  <si>
    <t>Mbamba</t>
  </si>
  <si>
    <t>narr1282</t>
  </si>
  <si>
    <t>Mbam-Nkam</t>
  </si>
  <si>
    <t>mbam1252</t>
  </si>
  <si>
    <t>Mbam</t>
  </si>
  <si>
    <t>nkaa1239</t>
  </si>
  <si>
    <t>Mbam-Nkam Nun</t>
  </si>
  <si>
    <t>mban1262</t>
  </si>
  <si>
    <t>Mbangi</t>
  </si>
  <si>
    <t>mgn</t>
  </si>
  <si>
    <t>Mbandja</t>
  </si>
  <si>
    <t>zmz</t>
  </si>
  <si>
    <t>mban1264</t>
  </si>
  <si>
    <t>Mbangala</t>
  </si>
  <si>
    <t>mxg</t>
  </si>
  <si>
    <t>mban1265</t>
  </si>
  <si>
    <t>Mbandieru</t>
  </si>
  <si>
    <t>mban1266</t>
  </si>
  <si>
    <t>Mbang</t>
  </si>
  <si>
    <t>mban1268</t>
  </si>
  <si>
    <t>ngom1273</t>
  </si>
  <si>
    <t>Mbangwe</t>
  </si>
  <si>
    <t>zmn</t>
  </si>
  <si>
    <t>mban1269</t>
  </si>
  <si>
    <t>nalo1235</t>
  </si>
  <si>
    <t>Mbany√∂</t>
  </si>
  <si>
    <t>mban1270</t>
  </si>
  <si>
    <t>Mbanua</t>
  </si>
  <si>
    <t>mbar1253</t>
  </si>
  <si>
    <t>Rimanggudhinma</t>
  </si>
  <si>
    <t>zmv</t>
  </si>
  <si>
    <t>mbar1254</t>
  </si>
  <si>
    <t>Mbara-Yanga</t>
  </si>
  <si>
    <t>mvl</t>
  </si>
  <si>
    <t>mbar1255</t>
  </si>
  <si>
    <t>Mbaru</t>
  </si>
  <si>
    <t>mbar1260</t>
  </si>
  <si>
    <t>musg1256</t>
  </si>
  <si>
    <t>Mbara (Chad)</t>
  </si>
  <si>
    <t>mpk</t>
  </si>
  <si>
    <t>mbar1261</t>
  </si>
  <si>
    <t>Mbara (Australia)</t>
  </si>
  <si>
    <t>mbar1262</t>
  </si>
  <si>
    <t>Mbar</t>
  </si>
  <si>
    <t>mbat1247</t>
  </si>
  <si>
    <t>Mbato</t>
  </si>
  <si>
    <t>gwa</t>
  </si>
  <si>
    <t>Mbati</t>
  </si>
  <si>
    <t>mdn</t>
  </si>
  <si>
    <t>mbat1249</t>
  </si>
  <si>
    <t>Mbati of Mba√Øki</t>
  </si>
  <si>
    <t>mbat1250</t>
  </si>
  <si>
    <t>Mbat</t>
  </si>
  <si>
    <t>mbat1251</t>
  </si>
  <si>
    <t>Mbat (Nigeria)</t>
  </si>
  <si>
    <t>Mbay</t>
  </si>
  <si>
    <t>myb</t>
  </si>
  <si>
    <t>CF NG TD</t>
  </si>
  <si>
    <t>mbec1238</t>
  </si>
  <si>
    <t>Mbeci</t>
  </si>
  <si>
    <t>mbed1238</t>
  </si>
  <si>
    <t>Mbedzi</t>
  </si>
  <si>
    <t>mbed1242</t>
  </si>
  <si>
    <t>Mbedam</t>
  </si>
  <si>
    <t>xmd</t>
  </si>
  <si>
    <t>mbee1248</t>
  </si>
  <si>
    <t>Mbeere</t>
  </si>
  <si>
    <t>Mbe</t>
  </si>
  <si>
    <t>mfo</t>
  </si>
  <si>
    <t>mbee1250</t>
  </si>
  <si>
    <t>Mbe'</t>
  </si>
  <si>
    <t>mtk</t>
  </si>
  <si>
    <t>mbej1238</t>
  </si>
  <si>
    <t>Mbeji</t>
  </si>
  <si>
    <t>mbel1240</t>
  </si>
  <si>
    <t>Mbelime</t>
  </si>
  <si>
    <t>mql</t>
  </si>
  <si>
    <t>Mbembe-Legbo</t>
  </si>
  <si>
    <t>mber1254</t>
  </si>
  <si>
    <t>Mbere (Karang)</t>
  </si>
  <si>
    <t>mber1255</t>
  </si>
  <si>
    <t>Mbere (Northwest Gbaya)</t>
  </si>
  <si>
    <t>mber1257</t>
  </si>
  <si>
    <t>omba1243</t>
  </si>
  <si>
    <t>Mbere</t>
  </si>
  <si>
    <t>mdt</t>
  </si>
  <si>
    <t>mber1258</t>
  </si>
  <si>
    <t>Mbere (Cameroon)</t>
  </si>
  <si>
    <t>mber1261</t>
  </si>
  <si>
    <t>Mberem</t>
  </si>
  <si>
    <t>mber1262</t>
  </si>
  <si>
    <t>njeb1243</t>
  </si>
  <si>
    <t>Mbere (B.60)</t>
  </si>
  <si>
    <t>mbes1238</t>
  </si>
  <si>
    <t>Mbesa</t>
  </si>
  <si>
    <t>zms</t>
  </si>
  <si>
    <t>mboz1235</t>
  </si>
  <si>
    <t>Mbeya</t>
  </si>
  <si>
    <t>mbib1238</t>
  </si>
  <si>
    <t>Mbibji</t>
  </si>
  <si>
    <t>mbid1238</t>
  </si>
  <si>
    <t>Mbida-Bani</t>
  </si>
  <si>
    <t>mbii1238</t>
  </si>
  <si>
    <t>Mbi</t>
  </si>
  <si>
    <t>mbil1239</t>
  </si>
  <si>
    <t>Mbila</t>
  </si>
  <si>
    <t>mbin1238</t>
  </si>
  <si>
    <t>Mbinga</t>
  </si>
  <si>
    <t>mbir1238</t>
  </si>
  <si>
    <t>Mbire</t>
  </si>
  <si>
    <t>mbiy1238</t>
  </si>
  <si>
    <t>Mbiywom</t>
  </si>
  <si>
    <t>mbiz1238</t>
  </si>
  <si>
    <t>Mbizenaku</t>
  </si>
  <si>
    <t>mbla1238</t>
  </si>
  <si>
    <t>Mblafe</t>
  </si>
  <si>
    <t>mbob1238</t>
  </si>
  <si>
    <t>Mbobyeng</t>
  </si>
  <si>
    <t>Mbo (Cameroon)</t>
  </si>
  <si>
    <t>mbo</t>
  </si>
  <si>
    <t>Mbodomo-Bofi</t>
  </si>
  <si>
    <t>mbod1238</t>
  </si>
  <si>
    <t>ndak1244</t>
  </si>
  <si>
    <t>Mbo (Democratic Republic of Congo)</t>
  </si>
  <si>
    <t>zmw</t>
  </si>
  <si>
    <t>Mboi</t>
  </si>
  <si>
    <t>moi</t>
  </si>
  <si>
    <t>mboj1237</t>
  </si>
  <si>
    <t>Mbojo</t>
  </si>
  <si>
    <t>mbok1242</t>
  </si>
  <si>
    <t>Mboka</t>
  </si>
  <si>
    <t>mbok1243</t>
  </si>
  <si>
    <t>Mboko</t>
  </si>
  <si>
    <t>mdu</t>
  </si>
  <si>
    <t>mbol1235</t>
  </si>
  <si>
    <t>Mbol Fle</t>
  </si>
  <si>
    <t>Mbole</t>
  </si>
  <si>
    <t>mdq</t>
  </si>
  <si>
    <t>mbol1248</t>
  </si>
  <si>
    <t>Mbololo</t>
  </si>
  <si>
    <t>mbon1250</t>
  </si>
  <si>
    <t>Mbonge</t>
  </si>
  <si>
    <t>mbon1251</t>
  </si>
  <si>
    <t>Mbonjoku</t>
  </si>
  <si>
    <t>mbon1252</t>
  </si>
  <si>
    <t>Mbonga</t>
  </si>
  <si>
    <t>xmb</t>
  </si>
  <si>
    <t>mbon1253</t>
  </si>
  <si>
    <t>mbon1254</t>
  </si>
  <si>
    <t>Mbongno</t>
  </si>
  <si>
    <t>bgu</t>
  </si>
  <si>
    <t>Mbongno-Mvano</t>
  </si>
  <si>
    <t>mbos1242</t>
  </si>
  <si>
    <t>Mbosi</t>
  </si>
  <si>
    <t>mdw</t>
  </si>
  <si>
    <t>mbot1238</t>
  </si>
  <si>
    <t>Mboto</t>
  </si>
  <si>
    <t>mbou1244</t>
  </si>
  <si>
    <t>Mboum</t>
  </si>
  <si>
    <t>mbou1245</t>
  </si>
  <si>
    <t>Mbour Sign Language</t>
  </si>
  <si>
    <t>mbow1244</t>
  </si>
  <si>
    <t>Mbowela</t>
  </si>
  <si>
    <t>mbow1246</t>
  </si>
  <si>
    <t>Mbowe</t>
  </si>
  <si>
    <t>mxo</t>
  </si>
  <si>
    <t>mbow1247</t>
  </si>
  <si>
    <t>west2885</t>
  </si>
  <si>
    <t>Mbowid</t>
  </si>
  <si>
    <t>mboz1234</t>
  </si>
  <si>
    <t>Mbozi-Malawi Nyika</t>
  </si>
  <si>
    <t>Mbozi</t>
  </si>
  <si>
    <t>mbre1244</t>
  </si>
  <si>
    <t>Mbre</t>
  </si>
  <si>
    <t>mka</t>
  </si>
  <si>
    <t>mbre1245</t>
  </si>
  <si>
    <t>Mbre (Banda-Mbres)</t>
  </si>
  <si>
    <t>mbre1246</t>
  </si>
  <si>
    <t>Mbrerewi</t>
  </si>
  <si>
    <t>Mbugu</t>
  </si>
  <si>
    <t>mhd</t>
  </si>
  <si>
    <t>mbug1242</t>
  </si>
  <si>
    <t>Mbugwe</t>
  </si>
  <si>
    <t>mgz</t>
  </si>
  <si>
    <t>Mbugwe-Langi</t>
  </si>
  <si>
    <t>Mbukushu</t>
  </si>
  <si>
    <t>mbuk1241</t>
  </si>
  <si>
    <t>Mbukambero</t>
  </si>
  <si>
    <t>mbuk1243</t>
  </si>
  <si>
    <t>Mbuko</t>
  </si>
  <si>
    <t>mqb</t>
  </si>
  <si>
    <t>mbuk1244</t>
  </si>
  <si>
    <t>Mbuk</t>
  </si>
  <si>
    <t>mbul1258</t>
  </si>
  <si>
    <t>Mbulungish</t>
  </si>
  <si>
    <t>mbv</t>
  </si>
  <si>
    <t>mbul1259</t>
  </si>
  <si>
    <t>ombo1238</t>
  </si>
  <si>
    <t>Mbuli</t>
  </si>
  <si>
    <t>Mbula-Bwazza</t>
  </si>
  <si>
    <t>mbu</t>
  </si>
  <si>
    <t>mbul1261</t>
  </si>
  <si>
    <t>Mbula (Atlantic-Congo)</t>
  </si>
  <si>
    <t>mbul1262</t>
  </si>
  <si>
    <t>Mbule</t>
  </si>
  <si>
    <t>mlb</t>
  </si>
  <si>
    <t>Mbula</t>
  </si>
  <si>
    <t>mna</t>
  </si>
  <si>
    <t>Mbum</t>
  </si>
  <si>
    <t>mdd</t>
  </si>
  <si>
    <t>mbum1255</t>
  </si>
  <si>
    <t>Mbumi</t>
  </si>
  <si>
    <t>Mbumic</t>
  </si>
  <si>
    <t>Mbundu (H.20)</t>
  </si>
  <si>
    <t>mbun1248</t>
  </si>
  <si>
    <t>Mbunga</t>
  </si>
  <si>
    <t>mgy</t>
  </si>
  <si>
    <t>mbun1249</t>
  </si>
  <si>
    <t>Mbunda</t>
  </si>
  <si>
    <t>mck</t>
  </si>
  <si>
    <t>mbur1239</t>
  </si>
  <si>
    <t>Mburku</t>
  </si>
  <si>
    <t>bbt</t>
  </si>
  <si>
    <t>mbut1238</t>
  </si>
  <si>
    <t>Mbutu</t>
  </si>
  <si>
    <t>mbuu1238</t>
  </si>
  <si>
    <t>Ajumbu</t>
  </si>
  <si>
    <t>muc</t>
  </si>
  <si>
    <t>mbwa1238</t>
  </si>
  <si>
    <t>Mbwaanz</t>
  </si>
  <si>
    <t>mbwe1238</t>
  </si>
  <si>
    <t>Mbwela</t>
  </si>
  <si>
    <t>mfu</t>
  </si>
  <si>
    <t>Mbwela-Mbunda</t>
  </si>
  <si>
    <t>mbwi1238</t>
  </si>
  <si>
    <t>Mbwila</t>
  </si>
  <si>
    <t>mbya1238</t>
  </si>
  <si>
    <t>Mbyam</t>
  </si>
  <si>
    <t>tupi1282</t>
  </si>
  <si>
    <t>Mby√° Guaran√≠</t>
  </si>
  <si>
    <t>gun</t>
  </si>
  <si>
    <t>AR BR PY UY</t>
  </si>
  <si>
    <t>mdun1238</t>
  </si>
  <si>
    <t>Mdundulu</t>
  </si>
  <si>
    <t>mdzo1234</t>
  </si>
  <si>
    <t>Mdzorganrabar</t>
  </si>
  <si>
    <t>meaa1237</t>
  </si>
  <si>
    <t>tiri1258</t>
  </si>
  <si>
    <t>Mea</t>
  </si>
  <si>
    <t>meg</t>
  </si>
  <si>
    <t>meak1234</t>
  </si>
  <si>
    <t>uncl1510</t>
  </si>
  <si>
    <t>Meakambut</t>
  </si>
  <si>
    <t>mear1240</t>
  </si>
  <si>
    <t>Guajaj√°ra of Mearim</t>
  </si>
  <si>
    <t>meax1236</t>
  </si>
  <si>
    <t>Meax</t>
  </si>
  <si>
    <t>mech1238</t>
  </si>
  <si>
    <t>Mech</t>
  </si>
  <si>
    <t>mech1243</t>
  </si>
  <si>
    <t>west2721</t>
  </si>
  <si>
    <t>Mecha</t>
  </si>
  <si>
    <t>meck1238</t>
  </si>
  <si>
    <t>Mecklenburg-Vorpommern</t>
  </si>
  <si>
    <t>meck1239</t>
  </si>
  <si>
    <t>Mecklenburgish</t>
  </si>
  <si>
    <t>mede1237</t>
  </si>
  <si>
    <t>Medebur</t>
  </si>
  <si>
    <t>mjm</t>
  </si>
  <si>
    <t>mede1238</t>
  </si>
  <si>
    <t>Medefidrin</t>
  </si>
  <si>
    <t>medi1245</t>
  </si>
  <si>
    <t>span1267</t>
  </si>
  <si>
    <t>Media Lengua</t>
  </si>
  <si>
    <t>mue</t>
  </si>
  <si>
    <t>medi1249</t>
  </si>
  <si>
    <t>Mediak</t>
  </si>
  <si>
    <t>mwx</t>
  </si>
  <si>
    <t>medi1250</t>
  </si>
  <si>
    <t>Medieval Latin</t>
  </si>
  <si>
    <t>medn1235</t>
  </si>
  <si>
    <t>russ1268</t>
  </si>
  <si>
    <t>Mednyj Aleut</t>
  </si>
  <si>
    <t>mud</t>
  </si>
  <si>
    <t>medo1241</t>
  </si>
  <si>
    <t>Medo</t>
  </si>
  <si>
    <t>medo1242</t>
  </si>
  <si>
    <t>Medogo</t>
  </si>
  <si>
    <t>Medumba</t>
  </si>
  <si>
    <t>byv</t>
  </si>
  <si>
    <t>meee1238</t>
  </si>
  <si>
    <t>Mee</t>
  </si>
  <si>
    <t>meek1238</t>
  </si>
  <si>
    <t>Meeka</t>
  </si>
  <si>
    <t>past1248</t>
  </si>
  <si>
    <t>Me'en</t>
  </si>
  <si>
    <t>mym</t>
  </si>
  <si>
    <t>mefe1242</t>
  </si>
  <si>
    <t>Mefele</t>
  </si>
  <si>
    <t>mfj</t>
  </si>
  <si>
    <t>mega1242</t>
  </si>
  <si>
    <t>Megara</t>
  </si>
  <si>
    <t>mega1243</t>
  </si>
  <si>
    <t>Bangladesh Lyngam</t>
  </si>
  <si>
    <t>mef</t>
  </si>
  <si>
    <t>mege1234</t>
  </si>
  <si>
    <t>Megeb</t>
  </si>
  <si>
    <t>megh1234</t>
  </si>
  <si>
    <t>Meghri</t>
  </si>
  <si>
    <t>megi1245</t>
  </si>
  <si>
    <t>taki1248</t>
  </si>
  <si>
    <t>Megiar</t>
  </si>
  <si>
    <t>megi1246</t>
  </si>
  <si>
    <t>Megi</t>
  </si>
  <si>
    <t>megl1237</t>
  </si>
  <si>
    <t>Megleno Romanian</t>
  </si>
  <si>
    <t>ruq</t>
  </si>
  <si>
    <t>GR MK</t>
  </si>
  <si>
    <t>meha1241</t>
  </si>
  <si>
    <t>Mehari</t>
  </si>
  <si>
    <t>meha1242</t>
  </si>
  <si>
    <t>Mehalaan</t>
  </si>
  <si>
    <t>mehe1242</t>
  </si>
  <si>
    <t>Meherrin</t>
  </si>
  <si>
    <t>mehe1243</t>
  </si>
  <si>
    <t>mehe1244</t>
  </si>
  <si>
    <t>Mehek</t>
  </si>
  <si>
    <t>nux</t>
  </si>
  <si>
    <t>Mehek-Pahi</t>
  </si>
  <si>
    <t>mehe1245</t>
  </si>
  <si>
    <t>Mehek Sign Language</t>
  </si>
  <si>
    <t>mehi1240</t>
  </si>
  <si>
    <t>waur1245</t>
  </si>
  <si>
    <t>Mehin√°ku</t>
  </si>
  <si>
    <t>mmh</t>
  </si>
  <si>
    <t>Mehri</t>
  </si>
  <si>
    <t>gdq</t>
  </si>
  <si>
    <t>KW OM YE</t>
  </si>
  <si>
    <t>meht1234</t>
  </si>
  <si>
    <t>Mehtishen</t>
  </si>
  <si>
    <t>meib1238</t>
  </si>
  <si>
    <t>Meibuil</t>
  </si>
  <si>
    <t>meif1236</t>
  </si>
  <si>
    <t>Meifu</t>
  </si>
  <si>
    <t>mein1238</t>
  </si>
  <si>
    <t>Mein</t>
  </si>
  <si>
    <t>meis1234</t>
  </si>
  <si>
    <t>Meissnisch</t>
  </si>
  <si>
    <t>meit1246</t>
  </si>
  <si>
    <t>meiy1238</t>
  </si>
  <si>
    <t>Meiyari</t>
  </si>
  <si>
    <t>meje1239</t>
  </si>
  <si>
    <t>Meje</t>
  </si>
  <si>
    <t>Mekeo-based pidgin</t>
  </si>
  <si>
    <t>Mek</t>
  </si>
  <si>
    <t>mekm1240</t>
  </si>
  <si>
    <t>Mekmek</t>
  </si>
  <si>
    <t>mvk</t>
  </si>
  <si>
    <t>meko1237</t>
  </si>
  <si>
    <t>Mekongga</t>
  </si>
  <si>
    <t>mekw1241</t>
  </si>
  <si>
    <t>oute1261</t>
  </si>
  <si>
    <t>Mekwei</t>
  </si>
  <si>
    <t>msf</t>
  </si>
  <si>
    <t>mela1253</t>
  </si>
  <si>
    <t>Melan So</t>
  </si>
  <si>
    <t>Melanau</t>
  </si>
  <si>
    <t>Mel</t>
  </si>
  <si>
    <t>mele1247</t>
  </si>
  <si>
    <t>sout3259</t>
  </si>
  <si>
    <t>Mele Nadu Irula</t>
  </si>
  <si>
    <t>mele1248</t>
  </si>
  <si>
    <t>Melete</t>
  </si>
  <si>
    <t>mele1249</t>
  </si>
  <si>
    <t>Mele (Central African Republic)</t>
  </si>
  <si>
    <t>Mele-Fila</t>
  </si>
  <si>
    <t>mxe</t>
  </si>
  <si>
    <t>mele1251</t>
  </si>
  <si>
    <t>Mele</t>
  </si>
  <si>
    <t>Mele-Futuna</t>
  </si>
  <si>
    <t>mele1253</t>
  </si>
  <si>
    <t>midd1324</t>
  </si>
  <si>
    <t>Melet</t>
  </si>
  <si>
    <t>mele1255</t>
  </si>
  <si>
    <t>Mele Maat</t>
  </si>
  <si>
    <t>meli1237</t>
  </si>
  <si>
    <t>Melilup</t>
  </si>
  <si>
    <t>melk1240</t>
  </si>
  <si>
    <t>Melkhin</t>
  </si>
  <si>
    <t>melk1241</t>
  </si>
  <si>
    <t>Melkoi</t>
  </si>
  <si>
    <t>melo1241</t>
  </si>
  <si>
    <t>Melong</t>
  </si>
  <si>
    <t>melo1242</t>
  </si>
  <si>
    <t>Melo</t>
  </si>
  <si>
    <t>mfx</t>
  </si>
  <si>
    <t>melo1243</t>
  </si>
  <si>
    <t>Melolo</t>
  </si>
  <si>
    <t>Melpa-Tembagla</t>
  </si>
  <si>
    <t>mels1237</t>
  </si>
  <si>
    <t>Melsisi</t>
  </si>
  <si>
    <t>memb1238</t>
  </si>
  <si>
    <t>Membi</t>
  </si>
  <si>
    <t>Membi-Mangbutu-Efe</t>
  </si>
  <si>
    <t>memo1238</t>
  </si>
  <si>
    <t>Memoni</t>
  </si>
  <si>
    <t>mby</t>
  </si>
  <si>
    <t>mena1240</t>
  </si>
  <si>
    <t>Mena</t>
  </si>
  <si>
    <t>mend1261</t>
  </si>
  <si>
    <t>Mendankwe-Nkwen</t>
  </si>
  <si>
    <t>mfd</t>
  </si>
  <si>
    <t>mend1262</t>
  </si>
  <si>
    <t>Mendankwe</t>
  </si>
  <si>
    <t>Mende-Loma</t>
  </si>
  <si>
    <t>Mende-Bandi</t>
  </si>
  <si>
    <t>Mende-Loko</t>
  </si>
  <si>
    <t>Mende (Sierra Leone)</t>
  </si>
  <si>
    <t>mend1267</t>
  </si>
  <si>
    <t>Mendalam Kayan</t>
  </si>
  <si>
    <t>xkd</t>
  </si>
  <si>
    <t>mend1268</t>
  </si>
  <si>
    <t>Mende (Papua New Guinea)</t>
  </si>
  <si>
    <t>sim</t>
  </si>
  <si>
    <t>mene1239</t>
  </si>
  <si>
    <t>meta1238</t>
  </si>
  <si>
    <t>Menemo</t>
  </si>
  <si>
    <t>meng1262</t>
  </si>
  <si>
    <t>Mengda</t>
  </si>
  <si>
    <t>meng1263</t>
  </si>
  <si>
    <t>Mengisa</t>
  </si>
  <si>
    <t>mct</t>
  </si>
  <si>
    <t>Mengaka</t>
  </si>
  <si>
    <t>xmg</t>
  </si>
  <si>
    <t>meng1265</t>
  </si>
  <si>
    <t>ngie1242</t>
  </si>
  <si>
    <t>Mengum</t>
  </si>
  <si>
    <t>Mengenic</t>
  </si>
  <si>
    <t>Mengen</t>
  </si>
  <si>
    <t>mee</t>
  </si>
  <si>
    <t>meng1268</t>
  </si>
  <si>
    <t>Mengkatip</t>
  </si>
  <si>
    <t>meng1269</t>
  </si>
  <si>
    <t>Menggala</t>
  </si>
  <si>
    <t>meng1270</t>
  </si>
  <si>
    <t>Menggatal</t>
  </si>
  <si>
    <t>meng1271</t>
  </si>
  <si>
    <t>Mengau</t>
  </si>
  <si>
    <t>meni1246</t>
  </si>
  <si>
    <t>Meni</t>
  </si>
  <si>
    <t>meni1247</t>
  </si>
  <si>
    <t>Menien</t>
  </si>
  <si>
    <t>menk1238</t>
  </si>
  <si>
    <t>Menka</t>
  </si>
  <si>
    <t>mea</t>
  </si>
  <si>
    <t>Menka-Atong</t>
  </si>
  <si>
    <t>meno1251</t>
  </si>
  <si>
    <t>Meno-Mene</t>
  </si>
  <si>
    <t>meno1252</t>
  </si>
  <si>
    <t>Menominee</t>
  </si>
  <si>
    <t>mez</t>
  </si>
  <si>
    <t>meno1253</t>
  </si>
  <si>
    <t>Menorqu√≠</t>
  </si>
  <si>
    <t>Menraq-Batek</t>
  </si>
  <si>
    <t>ment1247</t>
  </si>
  <si>
    <t>Mentebah-Suruk</t>
  </si>
  <si>
    <t>ment1248</t>
  </si>
  <si>
    <t>nucl1463</t>
  </si>
  <si>
    <t>Mentawai-Nias-Sikule</t>
  </si>
  <si>
    <t>ment1250</t>
  </si>
  <si>
    <t>Mentuh Tapuh</t>
  </si>
  <si>
    <t>ment1251</t>
  </si>
  <si>
    <t>Menterap</t>
  </si>
  <si>
    <t>menu1237</t>
  </si>
  <si>
    <t>wawo1239</t>
  </si>
  <si>
    <t>Menui</t>
  </si>
  <si>
    <t>meny1244</t>
  </si>
  <si>
    <t>Menya (Uganda)</t>
  </si>
  <si>
    <t>meny1245</t>
  </si>
  <si>
    <t>Menya</t>
  </si>
  <si>
    <t>mcr</t>
  </si>
  <si>
    <t>menz1238</t>
  </si>
  <si>
    <t>Menzime</t>
  </si>
  <si>
    <t>meos1237</t>
  </si>
  <si>
    <t>Meoswar</t>
  </si>
  <si>
    <t>mvx</t>
  </si>
  <si>
    <t>subt1249</t>
  </si>
  <si>
    <t>Mephaa</t>
  </si>
  <si>
    <t>naka1266</t>
  </si>
  <si>
    <t>Meramera</t>
  </si>
  <si>
    <t>mxm</t>
  </si>
  <si>
    <t>Middle-Modern English</t>
  </si>
  <si>
    <t>merc1243</t>
  </si>
  <si>
    <t>Mercian</t>
  </si>
  <si>
    <t>merd1234</t>
  </si>
  <si>
    <t>Merdeka</t>
  </si>
  <si>
    <t>mere1241</t>
  </si>
  <si>
    <t>Mere</t>
  </si>
  <si>
    <t>mere1242</t>
  </si>
  <si>
    <t>tial1241</t>
  </si>
  <si>
    <t>Merei</t>
  </si>
  <si>
    <t>lmb</t>
  </si>
  <si>
    <t>Merey</t>
  </si>
  <si>
    <t>meq</t>
  </si>
  <si>
    <t>merg1238</t>
  </si>
  <si>
    <t>Myeik</t>
  </si>
  <si>
    <t>meri1242</t>
  </si>
  <si>
    <t>Meridionale</t>
  </si>
  <si>
    <t>Meriam</t>
  </si>
  <si>
    <t>mofu1249</t>
  </si>
  <si>
    <t>Meri</t>
  </si>
  <si>
    <t>Merlav</t>
  </si>
  <si>
    <t>mrm</t>
  </si>
  <si>
    <t>mero1237</t>
  </si>
  <si>
    <t>Meroitic</t>
  </si>
  <si>
    <t>xmr</t>
  </si>
  <si>
    <t>merr1238</t>
  </si>
  <si>
    <t>Mer (Bench)</t>
  </si>
  <si>
    <t>merr1239</t>
  </si>
  <si>
    <t>Mer</t>
  </si>
  <si>
    <t>mnu</t>
  </si>
  <si>
    <t>Meru</t>
  </si>
  <si>
    <t>mer</t>
  </si>
  <si>
    <t>merw1238</t>
  </si>
  <si>
    <t>Merwari</t>
  </si>
  <si>
    <t>wry</t>
  </si>
  <si>
    <t>Mesaka</t>
  </si>
  <si>
    <t>iyo</t>
  </si>
  <si>
    <t>mesa1246</t>
  </si>
  <si>
    <t>Mesara</t>
  </si>
  <si>
    <t>mesa1247</t>
  </si>
  <si>
    <t>Mesari</t>
  </si>
  <si>
    <t>mesc1238</t>
  </si>
  <si>
    <t>west2810</t>
  </si>
  <si>
    <t>Mescalero-Chiricahua Apache</t>
  </si>
  <si>
    <t>apm</t>
  </si>
  <si>
    <t>mese1243</t>
  </si>
  <si>
    <t>Mese (Cameroon)</t>
  </si>
  <si>
    <t>naba1257</t>
  </si>
  <si>
    <t>Mese</t>
  </si>
  <si>
    <t>mci</t>
  </si>
  <si>
    <t>mese1245</t>
  </si>
  <si>
    <t>Mesekol</t>
  </si>
  <si>
    <t>mesi1242</t>
  </si>
  <si>
    <t>Mesise</t>
  </si>
  <si>
    <t>mesi1243</t>
  </si>
  <si>
    <t>Mesi</t>
  </si>
  <si>
    <t>mesi1244</t>
  </si>
  <si>
    <t>Mesiang</t>
  </si>
  <si>
    <t>mesk1241</t>
  </si>
  <si>
    <t>Meskhur-Javakhuri</t>
  </si>
  <si>
    <t>mesk1242</t>
  </si>
  <si>
    <t>Meskwaki</t>
  </si>
  <si>
    <t>sac</t>
  </si>
  <si>
    <t>mesk1243</t>
  </si>
  <si>
    <t>Meskwakie</t>
  </si>
  <si>
    <t>Mesme</t>
  </si>
  <si>
    <t>zim</t>
  </si>
  <si>
    <t>mesm1243</t>
  </si>
  <si>
    <t>Mesmes</t>
  </si>
  <si>
    <t>mys</t>
  </si>
  <si>
    <t>Gilit Mesopotamian Arabic</t>
  </si>
  <si>
    <t>acm</t>
  </si>
  <si>
    <t>IQ IR JO SY TR</t>
  </si>
  <si>
    <t>west2818</t>
  </si>
  <si>
    <t>Meso Melanesian linkage</t>
  </si>
  <si>
    <t>meso1254</t>
  </si>
  <si>
    <t>Meso-Cordilleran</t>
  </si>
  <si>
    <t>mesq1240</t>
  </si>
  <si>
    <t>Mesqan</t>
  </si>
  <si>
    <t>mvz</t>
  </si>
  <si>
    <t>mess1244</t>
  </si>
  <si>
    <t>Messapic</t>
  </si>
  <si>
    <t>cms</t>
  </si>
  <si>
    <t>mess1247</t>
  </si>
  <si>
    <t>Messinese</t>
  </si>
  <si>
    <t>mess1248</t>
  </si>
  <si>
    <t>Messa-Dote</t>
  </si>
  <si>
    <t>widi1234</t>
  </si>
  <si>
    <t>Meta'</t>
  </si>
  <si>
    <t>mgo</t>
  </si>
  <si>
    <t>meta1239</t>
  </si>
  <si>
    <t>Metalsa</t>
  </si>
  <si>
    <t>mete1238</t>
  </si>
  <si>
    <t>Metemma</t>
  </si>
  <si>
    <t>metl1237</t>
  </si>
  <si>
    <t>Metla-Kinwat</t>
  </si>
  <si>
    <t>metl1238</t>
  </si>
  <si>
    <t>Metlat√≥noc Mixtec</t>
  </si>
  <si>
    <t>mxv</t>
  </si>
  <si>
    <t>metn1237</t>
  </si>
  <si>
    <t>waig1244</t>
  </si>
  <si>
    <t>Metnyo</t>
  </si>
  <si>
    <t>meto1239</t>
  </si>
  <si>
    <t>sout2940</t>
  </si>
  <si>
    <t>Metomka</t>
  </si>
  <si>
    <t>mets1238</t>
  </si>
  <si>
    <t>Metsam</t>
  </si>
  <si>
    <t>meud1237</t>
  </si>
  <si>
    <t>Meudana</t>
  </si>
  <si>
    <t>mewa1248</t>
  </si>
  <si>
    <t>Mewasi</t>
  </si>
  <si>
    <t>Mewari</t>
  </si>
  <si>
    <t>mtr</t>
  </si>
  <si>
    <t>mewa1250</t>
  </si>
  <si>
    <t>Mewati</t>
  </si>
  <si>
    <t>wtm</t>
  </si>
  <si>
    <t>mewa1251</t>
  </si>
  <si>
    <t>Mewati (Haryanvi)</t>
  </si>
  <si>
    <t>Mewahang</t>
  </si>
  <si>
    <t>Mewari-Gade Lohar</t>
  </si>
  <si>
    <t>Mewati-Gojri</t>
  </si>
  <si>
    <t>mexi1237</t>
  </si>
  <si>
    <t>span1269</t>
  </si>
  <si>
    <t>Mexican Sign Language</t>
  </si>
  <si>
    <t>mfs</t>
  </si>
  <si>
    <t>meya1236</t>
  </si>
  <si>
    <t>Meyah</t>
  </si>
  <si>
    <t>mej</t>
  </si>
  <si>
    <t>Meyic</t>
  </si>
  <si>
    <t>mezi1238</t>
  </si>
  <si>
    <t>Mezimko</t>
  </si>
  <si>
    <t>mezo1235</t>
  </si>
  <si>
    <t>Mezontla Popoloca</t>
  </si>
  <si>
    <t>pbe</t>
  </si>
  <si>
    <t>nort3201</t>
  </si>
  <si>
    <t>Mezquital Otomi</t>
  </si>
  <si>
    <t>mfee1238</t>
  </si>
  <si>
    <t>Mfe</t>
  </si>
  <si>
    <t>mfen1238</t>
  </si>
  <si>
    <t>Mfengu</t>
  </si>
  <si>
    <t>mfin1238</t>
  </si>
  <si>
    <t>Mfinu</t>
  </si>
  <si>
    <t>zmf</t>
  </si>
  <si>
    <t>Southern Mfumte</t>
  </si>
  <si>
    <t>nfu</t>
  </si>
  <si>
    <t>Mfumteic</t>
  </si>
  <si>
    <t>mgao1238</t>
  </si>
  <si>
    <t>Mgao</t>
  </si>
  <si>
    <t>mgbo1238</t>
  </si>
  <si>
    <t>Mgbo</t>
  </si>
  <si>
    <t>gmz</t>
  </si>
  <si>
    <t>mhal1238</t>
  </si>
  <si>
    <t>Mhallami</t>
  </si>
  <si>
    <t>mhar1238</t>
  </si>
  <si>
    <t>Mhari</t>
  </si>
  <si>
    <t>miad1237</t>
  </si>
  <si>
    <t>Miadeba</t>
  </si>
  <si>
    <t>miag1237</t>
  </si>
  <si>
    <t>Miag-Ao</t>
  </si>
  <si>
    <t>miah1235</t>
  </si>
  <si>
    <t>Cuixtla-Xitla Zapotec</t>
  </si>
  <si>
    <t>zam</t>
  </si>
  <si>
    <t>Miahuatec</t>
  </si>
  <si>
    <t>miam1251</t>
  </si>
  <si>
    <t>Miamu</t>
  </si>
  <si>
    <t>miam1252</t>
  </si>
  <si>
    <t>Miami</t>
  </si>
  <si>
    <t>mia</t>
  </si>
  <si>
    <t>mian1253</t>
  </si>
  <si>
    <t>Mianchi Qiang</t>
  </si>
  <si>
    <t>mian1254</t>
  </si>
  <si>
    <t>Miani</t>
  </si>
  <si>
    <t>pla</t>
  </si>
  <si>
    <t>mian1255</t>
  </si>
  <si>
    <t>Mianic</t>
  </si>
  <si>
    <t>mian1256</t>
  </si>
  <si>
    <t>Mian</t>
  </si>
  <si>
    <t>mpt</t>
  </si>
  <si>
    <t>mian1257</t>
  </si>
  <si>
    <t>Mianmin</t>
  </si>
  <si>
    <t>miao1234</t>
  </si>
  <si>
    <t>Miao-Dong</t>
  </si>
  <si>
    <t>miar1236</t>
  </si>
  <si>
    <t>Miarr√£</t>
  </si>
  <si>
    <t>xmi</t>
  </si>
  <si>
    <t>mica1242</t>
  </si>
  <si>
    <t>Micari</t>
  </si>
  <si>
    <t>mica1243</t>
  </si>
  <si>
    <t>muru1274</t>
  </si>
  <si>
    <t>Mica</t>
  </si>
  <si>
    <t>mich1243</t>
  </si>
  <si>
    <t>Michif</t>
  </si>
  <si>
    <t>crg</t>
  </si>
  <si>
    <t>mich1245</t>
  </si>
  <si>
    <t>Michoac√°n Nahuatl</t>
  </si>
  <si>
    <t>ncl</t>
  </si>
  <si>
    <t>mich1246</t>
  </si>
  <si>
    <t>Michoac√°n Mazahua</t>
  </si>
  <si>
    <t>mmc</t>
  </si>
  <si>
    <t>Micronesian</t>
  </si>
  <si>
    <t>Nuclear Micronesian</t>
  </si>
  <si>
    <t>mida1234</t>
  </si>
  <si>
    <t>Mid-Atlantic American English</t>
  </si>
  <si>
    <t>midd1316</t>
  </si>
  <si>
    <t>Middle French</t>
  </si>
  <si>
    <t>frm</t>
  </si>
  <si>
    <t>midd1317</t>
  </si>
  <si>
    <t>Middle English</t>
  </si>
  <si>
    <t>enm</t>
  </si>
  <si>
    <t>midd1318</t>
  </si>
  <si>
    <t>Middle Low German</t>
  </si>
  <si>
    <t>gml</t>
  </si>
  <si>
    <t>Middle Franconian</t>
  </si>
  <si>
    <t>midd1321</t>
  </si>
  <si>
    <t>midd1347</t>
  </si>
  <si>
    <t>Middle Dutch</t>
  </si>
  <si>
    <t>dum</t>
  </si>
  <si>
    <t>midd1322</t>
  </si>
  <si>
    <t>Middle Estonian</t>
  </si>
  <si>
    <t>midd1323</t>
  </si>
  <si>
    <t>midd1356</t>
  </si>
  <si>
    <t>Middle Great Andamanese</t>
  </si>
  <si>
    <t>Middle Chulym Turkic</t>
  </si>
  <si>
    <t>midd1325</t>
  </si>
  <si>
    <t>Middle Tatar</t>
  </si>
  <si>
    <t>midd1326</t>
  </si>
  <si>
    <t>Middle Kheng</t>
  </si>
  <si>
    <t>midd1327</t>
  </si>
  <si>
    <t>watu1246</t>
  </si>
  <si>
    <t>Middle Watut</t>
  </si>
  <si>
    <t>mpl</t>
  </si>
  <si>
    <t>Middle Egypt</t>
  </si>
  <si>
    <t>midd1342</t>
  </si>
  <si>
    <t>said1239</t>
  </si>
  <si>
    <t>Middle Egypt Arabic</t>
  </si>
  <si>
    <t>midd1343</t>
  </si>
  <si>
    <t>midd1349</t>
  </si>
  <si>
    <t>Middle High German</t>
  </si>
  <si>
    <t>gmh</t>
  </si>
  <si>
    <t>Middle Chinese</t>
  </si>
  <si>
    <t>ltc</t>
  </si>
  <si>
    <t>Middle-Modern Low German</t>
  </si>
  <si>
    <t>Middle Sumatra Malay</t>
  </si>
  <si>
    <t>Middle-Modern Dutch</t>
  </si>
  <si>
    <t>Middle Bomokandian</t>
  </si>
  <si>
    <t>Middle-Modern High German</t>
  </si>
  <si>
    <t>midd1350</t>
  </si>
  <si>
    <t>Middle Indo-Aryan</t>
  </si>
  <si>
    <t>midd1351</t>
  </si>
  <si>
    <t>Middle Mongol</t>
  </si>
  <si>
    <t>xng</t>
  </si>
  <si>
    <t>MN</t>
  </si>
  <si>
    <t>midd1352</t>
  </si>
  <si>
    <t>sout3157</t>
  </si>
  <si>
    <t>Middle-Modern Persian</t>
  </si>
  <si>
    <t>midd1353</t>
  </si>
  <si>
    <t>Middle Ob Khanty</t>
  </si>
  <si>
    <t>Middle-Modern Sinitic</t>
  </si>
  <si>
    <t>Middle-South Andamanese</t>
  </si>
  <si>
    <t>Middle Clarence Bandjalang</t>
  </si>
  <si>
    <t>bdy</t>
  </si>
  <si>
    <t>Middle Even</t>
  </si>
  <si>
    <t>midd1359</t>
  </si>
  <si>
    <t>Middle Breton</t>
  </si>
  <si>
    <t>midd1360</t>
  </si>
  <si>
    <t>Middle Irish (10-12th century)</t>
  </si>
  <si>
    <t>mga</t>
  </si>
  <si>
    <t>midd1361</t>
  </si>
  <si>
    <t>Mid Dumfries Scots</t>
  </si>
  <si>
    <t>midd1362</t>
  </si>
  <si>
    <t>Middle Greek</t>
  </si>
  <si>
    <t>midd1363</t>
  </si>
  <si>
    <t>oldw1239</t>
  </si>
  <si>
    <t>Middle Welsh</t>
  </si>
  <si>
    <t>Mideastern Yiddish</t>
  </si>
  <si>
    <t>Mid Grand Valley Dani</t>
  </si>
  <si>
    <t>midi1237</t>
  </si>
  <si>
    <t>Midiki</t>
  </si>
  <si>
    <t>midi1241</t>
  </si>
  <si>
    <t>Midin</t>
  </si>
  <si>
    <t>Midland Mixe</t>
  </si>
  <si>
    <t>midl1242</t>
  </si>
  <si>
    <t>Midlands Zimbabwe Sign</t>
  </si>
  <si>
    <t>Midland American English</t>
  </si>
  <si>
    <t>midm1238</t>
  </si>
  <si>
    <t>Mid Mortlock</t>
  </si>
  <si>
    <t>midn1239</t>
  </si>
  <si>
    <t>Midnapore Oriya</t>
  </si>
  <si>
    <t>Mid Northern Burmish</t>
  </si>
  <si>
    <t>midn1241</t>
  </si>
  <si>
    <t>Mid-North Lower East Franconian</t>
  </si>
  <si>
    <t>midn1242</t>
  </si>
  <si>
    <t>nort2617</t>
  </si>
  <si>
    <t>Mid Northern Scots</t>
  </si>
  <si>
    <t>Midob</t>
  </si>
  <si>
    <t>mei</t>
  </si>
  <si>
    <t>Mid-Southern Central Core Bandaic</t>
  </si>
  <si>
    <t>Mid-Southern Banda</t>
  </si>
  <si>
    <t>bjo</t>
  </si>
  <si>
    <t>mids1244</t>
  </si>
  <si>
    <t>Mid-South Welsh English</t>
  </si>
  <si>
    <t>Mid Scots</t>
  </si>
  <si>
    <t>Mid-Southern New Caledonian</t>
  </si>
  <si>
    <t>midw1242</t>
  </si>
  <si>
    <t>west2361</t>
  </si>
  <si>
    <t>Midwestern Yiddish</t>
  </si>
  <si>
    <t>midw1243</t>
  </si>
  <si>
    <t>Mid-Wahgi</t>
  </si>
  <si>
    <t>midy1238</t>
  </si>
  <si>
    <t>Midyat</t>
  </si>
  <si>
    <t>Mie</t>
  </si>
  <si>
    <t>Mienic</t>
  </si>
  <si>
    <t>Mien-Mun</t>
  </si>
  <si>
    <t>mien1244</t>
  </si>
  <si>
    <t>Mienge</t>
  </si>
  <si>
    <t>moma1244</t>
  </si>
  <si>
    <t>Migabac</t>
  </si>
  <si>
    <t>mpp</t>
  </si>
  <si>
    <t>Migaama</t>
  </si>
  <si>
    <t>mmy</t>
  </si>
  <si>
    <t>migu1234</t>
  </si>
  <si>
    <t>timo1263</t>
  </si>
  <si>
    <t>Miguri</t>
  </si>
  <si>
    <t>miis1236</t>
  </si>
  <si>
    <t>tama1330</t>
  </si>
  <si>
    <t>Miisiirii</t>
  </si>
  <si>
    <t>mija1240</t>
  </si>
  <si>
    <t>Mijaran√©s Aran√©s</t>
  </si>
  <si>
    <t>mija1241</t>
  </si>
  <si>
    <t>pany1241</t>
  </si>
  <si>
    <t>Mijaranypa</t>
  </si>
  <si>
    <t>miji1238</t>
  </si>
  <si>
    <t>Mijikenda</t>
  </si>
  <si>
    <t>Miji</t>
  </si>
  <si>
    <t>Mijikenda-Pokomo-Comorian</t>
  </si>
  <si>
    <t>miju1243</t>
  </si>
  <si>
    <t>Kman</t>
  </si>
  <si>
    <t>mxj</t>
  </si>
  <si>
    <t>miju1244</t>
  </si>
  <si>
    <t>M√¨juu</t>
  </si>
  <si>
    <t>Mikasuki</t>
  </si>
  <si>
    <t>Mikarewan</t>
  </si>
  <si>
    <t>Mikawa</t>
  </si>
  <si>
    <t>mika1256</t>
  </si>
  <si>
    <t>Mikaya-Bambengangale-Baluma</t>
  </si>
  <si>
    <t>mike1238</t>
  </si>
  <si>
    <t>Mikebwe</t>
  </si>
  <si>
    <t>mike1242</t>
  </si>
  <si>
    <t>Mikere</t>
  </si>
  <si>
    <t>miki1243</t>
  </si>
  <si>
    <t>Mikik</t>
  </si>
  <si>
    <t>miko1239</t>
  </si>
  <si>
    <t>Miko</t>
  </si>
  <si>
    <t>mila1243</t>
  </si>
  <si>
    <t>Milanese</t>
  </si>
  <si>
    <t>mila1245</t>
  </si>
  <si>
    <t>Milang</t>
  </si>
  <si>
    <t>mild1238</t>
  </si>
  <si>
    <t>Mildjingi</t>
  </si>
  <si>
    <t>mili1235</t>
  </si>
  <si>
    <t>Mili</t>
  </si>
  <si>
    <t>ymh</t>
  </si>
  <si>
    <t>mili1236</t>
  </si>
  <si>
    <t>Mili Tibetan</t>
  </si>
  <si>
    <t>mill1237</t>
  </si>
  <si>
    <t>Millcayac</t>
  </si>
  <si>
    <t>milo1241</t>
  </si>
  <si>
    <t>Milo</t>
  </si>
  <si>
    <t>milt1241</t>
  </si>
  <si>
    <t>Miltu</t>
  </si>
  <si>
    <t>mlj</t>
  </si>
  <si>
    <t>milu1241</t>
  </si>
  <si>
    <t>Miluk</t>
  </si>
  <si>
    <t>iml</t>
  </si>
  <si>
    <t>mily1238</t>
  </si>
  <si>
    <t>Milyan</t>
  </si>
  <si>
    <t>imy</t>
  </si>
  <si>
    <t>mima1238</t>
  </si>
  <si>
    <t>Mima</t>
  </si>
  <si>
    <t>mimi1240</t>
  </si>
  <si>
    <t>Mimi-Gaudefroy</t>
  </si>
  <si>
    <t>mimi1241</t>
  </si>
  <si>
    <t>Mimi-Nachtigal</t>
  </si>
  <si>
    <t>mimi1245</t>
  </si>
  <si>
    <t>sout3051</t>
  </si>
  <si>
    <t>Mi Mijivin</t>
  </si>
  <si>
    <t>mimi1246</t>
  </si>
  <si>
    <t>Mimi</t>
  </si>
  <si>
    <t>miv</t>
  </si>
  <si>
    <t>mina1267</t>
  </si>
  <si>
    <t>Mina (India)</t>
  </si>
  <si>
    <t>myi</t>
  </si>
  <si>
    <t>mina1269</t>
  </si>
  <si>
    <t>Minaveha</t>
  </si>
  <si>
    <t>mvn</t>
  </si>
  <si>
    <t>mina1270</t>
  </si>
  <si>
    <t>Mina Mina Gorong</t>
  </si>
  <si>
    <t>mina1271</t>
  </si>
  <si>
    <t>Minangali</t>
  </si>
  <si>
    <t>mina1272</t>
  </si>
  <si>
    <t>Minahasan</t>
  </si>
  <si>
    <t>mina1273</t>
  </si>
  <si>
    <t>Mina</t>
  </si>
  <si>
    <t>mina1274</t>
  </si>
  <si>
    <t>Minanibai-Foia Foia</t>
  </si>
  <si>
    <t>mcv</t>
  </si>
  <si>
    <t>Mina (Cameroon)</t>
  </si>
  <si>
    <t>hna</t>
  </si>
  <si>
    <t>mina1279</t>
  </si>
  <si>
    <t>Minaean</t>
  </si>
  <si>
    <t>inm</t>
  </si>
  <si>
    <t>Minangkabauic</t>
  </si>
  <si>
    <t>minb1244</t>
  </si>
  <si>
    <t>Northwestern Min Bei</t>
  </si>
  <si>
    <t>minb1243</t>
  </si>
  <si>
    <t>Minbu</t>
  </si>
  <si>
    <t>Min Bei Chinese</t>
  </si>
  <si>
    <t>mnp</t>
  </si>
  <si>
    <t>Min Dong Chinese</t>
  </si>
  <si>
    <t>cdo</t>
  </si>
  <si>
    <t>mind1254</t>
  </si>
  <si>
    <t>shoo1247</t>
  </si>
  <si>
    <t>Minda</t>
  </si>
  <si>
    <t>mind1255</t>
  </si>
  <si>
    <t>Mindiri</t>
  </si>
  <si>
    <t>mpn</t>
  </si>
  <si>
    <t>mind1256</t>
  </si>
  <si>
    <t>sang1337</t>
  </si>
  <si>
    <t>Mindanao</t>
  </si>
  <si>
    <t>mind1257</t>
  </si>
  <si>
    <t>Mindanao Visayan</t>
  </si>
  <si>
    <t>Mindjim</t>
  </si>
  <si>
    <t>mind1262</t>
  </si>
  <si>
    <t>Mind√©ra</t>
  </si>
  <si>
    <t>mind1263</t>
  </si>
  <si>
    <t>Minderico</t>
  </si>
  <si>
    <t>drc</t>
  </si>
  <si>
    <t>PT</t>
  </si>
  <si>
    <t>mine1239</t>
  </si>
  <si>
    <t>Mineo</t>
  </si>
  <si>
    <t>ming1252</t>
  </si>
  <si>
    <t>Mingrelian</t>
  </si>
  <si>
    <t>xmf</t>
  </si>
  <si>
    <t>ming1253</t>
  </si>
  <si>
    <t>Mingbari</t>
  </si>
  <si>
    <t>ming1254</t>
  </si>
  <si>
    <t>Mingang Doso</t>
  </si>
  <si>
    <t>mko</t>
  </si>
  <si>
    <t>ming1255</t>
  </si>
  <si>
    <t>Mingxi</t>
  </si>
  <si>
    <t>ming1256</t>
  </si>
  <si>
    <t>Mingar</t>
  </si>
  <si>
    <t>ming1257</t>
  </si>
  <si>
    <t>Mingad</t>
  </si>
  <si>
    <t>minh1238</t>
  </si>
  <si>
    <t>Minhe</t>
  </si>
  <si>
    <t>mini1250</t>
  </si>
  <si>
    <t>sout2731</t>
  </si>
  <si>
    <t>Minir</t>
  </si>
  <si>
    <t>mini1251</t>
  </si>
  <si>
    <t>Minigir</t>
  </si>
  <si>
    <t>vmg</t>
  </si>
  <si>
    <t>mini1252</t>
  </si>
  <si>
    <t>Miniafia</t>
  </si>
  <si>
    <t>mini1253</t>
  </si>
  <si>
    <t>Minidien</t>
  </si>
  <si>
    <t>wii</t>
  </si>
  <si>
    <t>mini1254</t>
  </si>
  <si>
    <t>Nipissing</t>
  </si>
  <si>
    <t>mini1255</t>
  </si>
  <si>
    <t>nucl1659</t>
  </si>
  <si>
    <t>Minica-Murui</t>
  </si>
  <si>
    <t>mini1256</t>
  </si>
  <si>
    <t>Minica Huitoto</t>
  </si>
  <si>
    <t>hto</t>
  </si>
  <si>
    <t>patp1244</t>
  </si>
  <si>
    <t>Minigir-Tolai</t>
  </si>
  <si>
    <t>mini1258</t>
  </si>
  <si>
    <t>Minigir-based pidgin</t>
  </si>
  <si>
    <t>mini1259</t>
  </si>
  <si>
    <t>Minifire</t>
  </si>
  <si>
    <t>minj1241</t>
  </si>
  <si>
    <t>Minjori</t>
  </si>
  <si>
    <t>minj1242</t>
  </si>
  <si>
    <t>twee1234</t>
  </si>
  <si>
    <t>Minjangbal</t>
  </si>
  <si>
    <t>mink1237</t>
  </si>
  <si>
    <t>Minkin</t>
  </si>
  <si>
    <t>xxm</t>
  </si>
  <si>
    <t>Min Nan Chinese</t>
  </si>
  <si>
    <t>nan</t>
  </si>
  <si>
    <t>Min</t>
  </si>
  <si>
    <t>minn1249</t>
  </si>
  <si>
    <t>Minna</t>
  </si>
  <si>
    <t>minn1250</t>
  </si>
  <si>
    <t>Minnesota Border Chippewa</t>
  </si>
  <si>
    <t>mino1236</t>
  </si>
  <si>
    <t>Minoan</t>
  </si>
  <si>
    <t>omn</t>
  </si>
  <si>
    <t>mino1243</t>
  </si>
  <si>
    <t>Minokok</t>
  </si>
  <si>
    <t>mqq</t>
  </si>
  <si>
    <t>mino1244</t>
  </si>
  <si>
    <t>Mino</t>
  </si>
  <si>
    <t>minr1238</t>
  </si>
  <si>
    <t>Minriq</t>
  </si>
  <si>
    <t>mnq</t>
  </si>
  <si>
    <t>mint1239</t>
  </si>
  <si>
    <t>Mintil</t>
  </si>
  <si>
    <t>mzt</t>
  </si>
  <si>
    <t>minu1238</t>
  </si>
  <si>
    <t>Minungo</t>
  </si>
  <si>
    <t>miny1239</t>
  </si>
  <si>
    <t>misi1242</t>
  </si>
  <si>
    <t>Minyong</t>
  </si>
  <si>
    <t>miny1240</t>
  </si>
  <si>
    <t>Mising</t>
  </si>
  <si>
    <t>minz1235</t>
  </si>
  <si>
    <t>Min Zhong Chinese</t>
  </si>
  <si>
    <t>czo</t>
  </si>
  <si>
    <t>minz1236</t>
  </si>
  <si>
    <t>Minz Zhuang</t>
  </si>
  <si>
    <t>zgm</t>
  </si>
  <si>
    <t>mios1237</t>
  </si>
  <si>
    <t>Mios Num</t>
  </si>
  <si>
    <t>miqi1235</t>
  </si>
  <si>
    <t>Miqie</t>
  </si>
  <si>
    <t>yiq</t>
  </si>
  <si>
    <t>mira1251</t>
  </si>
  <si>
    <t>Mirandese</t>
  </si>
  <si>
    <t>mwl</t>
  </si>
  <si>
    <t>mira1252</t>
  </si>
  <si>
    <t>Miraski</t>
  </si>
  <si>
    <t>mira1253</t>
  </si>
  <si>
    <t>Miramar Chontal</t>
  </si>
  <si>
    <t>mira1254</t>
  </si>
  <si>
    <t>Mira√±a</t>
  </si>
  <si>
    <t>mird1238</t>
  </si>
  <si>
    <t>Mirdha-Kharia</t>
  </si>
  <si>
    <t>mire1238</t>
  </si>
  <si>
    <t>Mire</t>
  </si>
  <si>
    <t>mvh</t>
  </si>
  <si>
    <t>mirg1238</t>
  </si>
  <si>
    <t>Mirgan</t>
  </si>
  <si>
    <t>zrg</t>
  </si>
  <si>
    <t>miri1266</t>
  </si>
  <si>
    <t>Miriwung</t>
  </si>
  <si>
    <t>mep</t>
  </si>
  <si>
    <t>Miri</t>
  </si>
  <si>
    <t>miri1268</t>
  </si>
  <si>
    <t>Miriei</t>
  </si>
  <si>
    <t>miri1269</t>
  </si>
  <si>
    <t>naro1251</t>
  </si>
  <si>
    <t>Miri (Malaysia)</t>
  </si>
  <si>
    <t>miri1270</t>
  </si>
  <si>
    <t>Miriti</t>
  </si>
  <si>
    <t>mmv</t>
  </si>
  <si>
    <t>miri1271</t>
  </si>
  <si>
    <t>Miri (Arunachal Pradesh)</t>
  </si>
  <si>
    <t>miri1272</t>
  </si>
  <si>
    <t>Miringi</t>
  </si>
  <si>
    <t>mirk1238</t>
  </si>
  <si>
    <t>Mirkuk</t>
  </si>
  <si>
    <t>mirl1238</t>
  </si>
  <si>
    <t>Mirlong</t>
  </si>
  <si>
    <t>Mirndi</t>
  </si>
  <si>
    <t>Mirning</t>
  </si>
  <si>
    <t>mirp1238</t>
  </si>
  <si>
    <t>panj1259</t>
  </si>
  <si>
    <t>Mirpur Panjabi</t>
  </si>
  <si>
    <t>pmu</t>
  </si>
  <si>
    <t>GB IN</t>
  </si>
  <si>
    <t>mirp1239</t>
  </si>
  <si>
    <t>Mirpuri</t>
  </si>
  <si>
    <t>mirr1240</t>
  </si>
  <si>
    <t>Mernyang</t>
  </si>
  <si>
    <t>mirr1241</t>
  </si>
  <si>
    <t>Mirripu</t>
  </si>
  <si>
    <t>mirz1238</t>
  </si>
  <si>
    <t>Mirzapuri</t>
  </si>
  <si>
    <t>Digarish</t>
  </si>
  <si>
    <t>mish1242</t>
  </si>
  <si>
    <t>Mishulundu</t>
  </si>
  <si>
    <t>Miship</t>
  </si>
  <si>
    <t>mjs</t>
  </si>
  <si>
    <t>Mising-Padam-Miri-Minyong</t>
  </si>
  <si>
    <t>mrg</t>
  </si>
  <si>
    <t>misi1243</t>
  </si>
  <si>
    <t>Misima-Paneati</t>
  </si>
  <si>
    <t>mpx</t>
  </si>
  <si>
    <t>misi1244</t>
  </si>
  <si>
    <t>Misim</t>
  </si>
  <si>
    <t>M√≠skito</t>
  </si>
  <si>
    <t>HN NI</t>
  </si>
  <si>
    <t>misk1242</t>
  </si>
  <si>
    <t>Miskolc</t>
  </si>
  <si>
    <t>Miskitoic Creole English</t>
  </si>
  <si>
    <t>misl1238</t>
  </si>
  <si>
    <t>Misles</t>
  </si>
  <si>
    <t>mism1239</t>
  </si>
  <si>
    <t>Misman</t>
  </si>
  <si>
    <t>miss1249</t>
  </si>
  <si>
    <t>Missouria</t>
  </si>
  <si>
    <t>Missouri River Siouan</t>
  </si>
  <si>
    <t>Mississippi Valley</t>
  </si>
  <si>
    <t>Misumalpan</t>
  </si>
  <si>
    <t>Mithaka-Karuwali</t>
  </si>
  <si>
    <t>mith1236</t>
  </si>
  <si>
    <t>Mithaka</t>
  </si>
  <si>
    <t>miti1241</t>
  </si>
  <si>
    <t>Miti</t>
  </si>
  <si>
    <t>miti1242</t>
  </si>
  <si>
    <t>Mitiaro</t>
  </si>
  <si>
    <t>mitl1235</t>
  </si>
  <si>
    <t>Mitlatongo Mixtec</t>
  </si>
  <si>
    <t>vmm</t>
  </si>
  <si>
    <t>mitl1236</t>
  </si>
  <si>
    <t>Mitla Zapotec</t>
  </si>
  <si>
    <t>zaw</t>
  </si>
  <si>
    <t>mitt1253</t>
  </si>
  <si>
    <t>Mittu</t>
  </si>
  <si>
    <t>mwu</t>
  </si>
  <si>
    <t>mitt1254</t>
  </si>
  <si>
    <t>Mittelschlesische</t>
  </si>
  <si>
    <t>mitt1255</t>
  </si>
  <si>
    <t>Mittelm√§rkisch</t>
  </si>
  <si>
    <t>mitu1240</t>
  </si>
  <si>
    <t>mitu1242</t>
  </si>
  <si>
    <t>Mituku</t>
  </si>
  <si>
    <t>zmq</t>
  </si>
  <si>
    <t>nyan1317</t>
  </si>
  <si>
    <t>Mituku-Lega</t>
  </si>
  <si>
    <t>Mitukuic</t>
  </si>
  <si>
    <t>miut1238</t>
  </si>
  <si>
    <t>Miutini</t>
  </si>
  <si>
    <t>miuu1237</t>
  </si>
  <si>
    <t>Miu</t>
  </si>
  <si>
    <t>mpo</t>
  </si>
  <si>
    <t>miwa1242</t>
  </si>
  <si>
    <t>Miwa</t>
  </si>
  <si>
    <t>vmi</t>
  </si>
  <si>
    <t>Miwok-Costanoan</t>
  </si>
  <si>
    <t>Miwokan</t>
  </si>
  <si>
    <t>mixe1283</t>
  </si>
  <si>
    <t>Mixe de San Juan Cotzoc√≥n</t>
  </si>
  <si>
    <t>Mixe-Zoque</t>
  </si>
  <si>
    <t>mixe1286</t>
  </si>
  <si>
    <t>Mixe</t>
  </si>
  <si>
    <t>Mixed Language</t>
  </si>
  <si>
    <t>mixe1288</t>
  </si>
  <si>
    <t>Mixed Great Andamanese</t>
  </si>
  <si>
    <t>gac</t>
  </si>
  <si>
    <t>mixi1241</t>
  </si>
  <si>
    <t>Mixifore</t>
  </si>
  <si>
    <t>mfg</t>
  </si>
  <si>
    <t>mixi1242</t>
  </si>
  <si>
    <t>Mixistlan</t>
  </si>
  <si>
    <t>mixt1422</t>
  </si>
  <si>
    <t>Mixtecan</t>
  </si>
  <si>
    <t>Mixtec-Cuicatec</t>
  </si>
  <si>
    <t>mixt1425</t>
  </si>
  <si>
    <t>Mixtepec Mixtec</t>
  </si>
  <si>
    <t>mix</t>
  </si>
  <si>
    <t>mixt1426</t>
  </si>
  <si>
    <t>mixt1428</t>
  </si>
  <si>
    <t>Mixtepec Zapotec</t>
  </si>
  <si>
    <t>zpm</t>
  </si>
  <si>
    <t>Mixtepec-Quioquitani-Quieri Zapotec</t>
  </si>
  <si>
    <t>miya1257</t>
  </si>
  <si>
    <t>Miyatnu</t>
  </si>
  <si>
    <t>miya1258</t>
  </si>
  <si>
    <t>Miyazaki-ben</t>
  </si>
  <si>
    <t>Miyako</t>
  </si>
  <si>
    <t>mvi</t>
  </si>
  <si>
    <t>miya1260</t>
  </si>
  <si>
    <t>Miyako-Jima</t>
  </si>
  <si>
    <t>Miya</t>
  </si>
  <si>
    <t>mkf</t>
  </si>
  <si>
    <t>Miyak-Bun-Biwat</t>
  </si>
  <si>
    <t>miya1268</t>
  </si>
  <si>
    <t>Miyakubo Sign Language</t>
  </si>
  <si>
    <t>miye1238</t>
  </si>
  <si>
    <t>Miyemu</t>
  </si>
  <si>
    <t>miyo1238</t>
  </si>
  <si>
    <t>unun9904</t>
  </si>
  <si>
    <t>Miyobe</t>
  </si>
  <si>
    <t>soy</t>
  </si>
  <si>
    <t>miza1238</t>
  </si>
  <si>
    <t>Miza</t>
  </si>
  <si>
    <t>mizm1238</t>
  </si>
  <si>
    <t>Mizmast</t>
  </si>
  <si>
    <t>Mizoic</t>
  </si>
  <si>
    <t>mizo1245</t>
  </si>
  <si>
    <t>Lusei</t>
  </si>
  <si>
    <t>mizu1238</t>
  </si>
  <si>
    <t>Mizulo</t>
  </si>
  <si>
    <t>mkha1234</t>
  </si>
  <si>
    <t>Mkharmar</t>
  </si>
  <si>
    <t>mkuu1238</t>
  </si>
  <si>
    <t>Mkuu</t>
  </si>
  <si>
    <t>mkwe1238</t>
  </si>
  <si>
    <t>Mkwet</t>
  </si>
  <si>
    <t>mlab1235</t>
  </si>
  <si>
    <t>Mlabri</t>
  </si>
  <si>
    <t>mra</t>
  </si>
  <si>
    <t>mlah1239</t>
  </si>
  <si>
    <t>turo1240</t>
  </si>
  <si>
    <t>Mlahs√¥</t>
  </si>
  <si>
    <t>lhs</t>
  </si>
  <si>
    <t>mlal1234</t>
  </si>
  <si>
    <t>Mlalo</t>
  </si>
  <si>
    <t>mlap1238</t>
  </si>
  <si>
    <t>Mlap</t>
  </si>
  <si>
    <t>kja</t>
  </si>
  <si>
    <t>Mlap-Gresi-Kemtuik</t>
  </si>
  <si>
    <t>mlom1238</t>
  </si>
  <si>
    <t>Mlomp</t>
  </si>
  <si>
    <t>mlo</t>
  </si>
  <si>
    <t>mmaa1238</t>
  </si>
  <si>
    <t>Mmaala</t>
  </si>
  <si>
    <t>mmu</t>
  </si>
  <si>
    <t>mman1238</t>
  </si>
  <si>
    <t>Mmani</t>
  </si>
  <si>
    <t>Mmen</t>
  </si>
  <si>
    <t>bfm</t>
  </si>
  <si>
    <t>Ngari (Tibetan Autonomous Region)</t>
  </si>
  <si>
    <t>Mnong-Stieng-Chrau</t>
  </si>
  <si>
    <t>Mnong</t>
  </si>
  <si>
    <t>mnon1260</t>
  </si>
  <si>
    <t>Mnong Kwanh</t>
  </si>
  <si>
    <t>mnon1261</t>
  </si>
  <si>
    <t>Mnong Gar</t>
  </si>
  <si>
    <t>mnon1262</t>
  </si>
  <si>
    <t>Mnong Rolom</t>
  </si>
  <si>
    <t>moaa1237</t>
  </si>
  <si>
    <t>Moa</t>
  </si>
  <si>
    <t>moab1234</t>
  </si>
  <si>
    <t>Moabite</t>
  </si>
  <si>
    <t>obm</t>
  </si>
  <si>
    <t>Moba-Bimoba</t>
  </si>
  <si>
    <t>moba1244</t>
  </si>
  <si>
    <t>Moba</t>
  </si>
  <si>
    <t>mfq</t>
  </si>
  <si>
    <t>mobi1236</t>
  </si>
  <si>
    <t>Mobilian</t>
  </si>
  <si>
    <t>mod</t>
  </si>
  <si>
    <t>mobo1238</t>
  </si>
  <si>
    <t>Mobou</t>
  </si>
  <si>
    <t>mobu1235</t>
  </si>
  <si>
    <t>Mobumrin Aizi</t>
  </si>
  <si>
    <t>ahm</t>
  </si>
  <si>
    <t>mobw1234</t>
  </si>
  <si>
    <t>paku1240</t>
  </si>
  <si>
    <t>Mobwa Karen</t>
  </si>
  <si>
    <t>jkm</t>
  </si>
  <si>
    <t>M√≤cheno</t>
  </si>
  <si>
    <t>mhn</t>
  </si>
  <si>
    <t>Mochi</t>
  </si>
  <si>
    <t>moch1257</t>
  </si>
  <si>
    <t>Mocho</t>
  </si>
  <si>
    <t>mhc</t>
  </si>
  <si>
    <t>moch1258</t>
  </si>
  <si>
    <t>Mochuelo-Casanare-Cuiba</t>
  </si>
  <si>
    <t>moch1259</t>
  </si>
  <si>
    <t>Mochica</t>
  </si>
  <si>
    <t>omc</t>
  </si>
  <si>
    <t>mock1234</t>
  </si>
  <si>
    <t>Mockfj√§rd</t>
  </si>
  <si>
    <t>moco1246</t>
  </si>
  <si>
    <t>qomm1235</t>
  </si>
  <si>
    <t>Mocov√≠</t>
  </si>
  <si>
    <t>moc</t>
  </si>
  <si>
    <t>moda1242</t>
  </si>
  <si>
    <t>Mo'da</t>
  </si>
  <si>
    <t>gbn</t>
  </si>
  <si>
    <t>moda1243</t>
  </si>
  <si>
    <t>Modang-Segai</t>
  </si>
  <si>
    <t>Modang</t>
  </si>
  <si>
    <t>mxd</t>
  </si>
  <si>
    <t>modd1238</t>
  </si>
  <si>
    <t>tuma1260</t>
  </si>
  <si>
    <t>Mod</t>
  </si>
  <si>
    <t>nucl1783</t>
  </si>
  <si>
    <t>Modern Greek</t>
  </si>
  <si>
    <t>AL BG CY EG GR IT MK RO TR UA</t>
  </si>
  <si>
    <t>mode1249</t>
  </si>
  <si>
    <t>Modele</t>
  </si>
  <si>
    <t>mode1250</t>
  </si>
  <si>
    <t>Modea</t>
  </si>
  <si>
    <t>Modern Javanese</t>
  </si>
  <si>
    <t>Modern South Arabian</t>
  </si>
  <si>
    <t>Modern Dutch</t>
  </si>
  <si>
    <t>Modern High German</t>
  </si>
  <si>
    <t>Modern Southwestern Iranian</t>
  </si>
  <si>
    <t>Modern Azeric</t>
  </si>
  <si>
    <t>mode1263</t>
  </si>
  <si>
    <t>Modern Cornish</t>
  </si>
  <si>
    <t>Modern West Frisian</t>
  </si>
  <si>
    <t>Modern Goidelic</t>
  </si>
  <si>
    <t>modo1248</t>
  </si>
  <si>
    <t>Modo</t>
  </si>
  <si>
    <t>modo1249</t>
  </si>
  <si>
    <t>Modole</t>
  </si>
  <si>
    <t>mqo</t>
  </si>
  <si>
    <t>moee1234</t>
  </si>
  <si>
    <t>Mo'e</t>
  </si>
  <si>
    <t>moer1240</t>
  </si>
  <si>
    <t>Moere</t>
  </si>
  <si>
    <t>mvq</t>
  </si>
  <si>
    <t>moes1234</t>
  </si>
  <si>
    <t>Moesian</t>
  </si>
  <si>
    <t>mofu1239</t>
  </si>
  <si>
    <t>Mofu (Biak)</t>
  </si>
  <si>
    <t>mofu1250</t>
  </si>
  <si>
    <t>Mofu-Gudur</t>
  </si>
  <si>
    <t>mif</t>
  </si>
  <si>
    <t>Mofuic</t>
  </si>
  <si>
    <t>Mofu</t>
  </si>
  <si>
    <t>mofu1251</t>
  </si>
  <si>
    <t>Mofu-Gudur Sign Language</t>
  </si>
  <si>
    <t>moga1246</t>
  </si>
  <si>
    <t>Mogana</t>
  </si>
  <si>
    <t>moga1247</t>
  </si>
  <si>
    <t>Moganda</t>
  </si>
  <si>
    <t>moga1248</t>
  </si>
  <si>
    <t>Mogareb</t>
  </si>
  <si>
    <t>moga1249</t>
  </si>
  <si>
    <t>Mogami</t>
  </si>
  <si>
    <t>Mogholi</t>
  </si>
  <si>
    <t>mhj</t>
  </si>
  <si>
    <t>mogh1246</t>
  </si>
  <si>
    <t>Moghamo</t>
  </si>
  <si>
    <t>mogh1248</t>
  </si>
  <si>
    <t>Moghal</t>
  </si>
  <si>
    <t>Mogum</t>
  </si>
  <si>
    <t>mou</t>
  </si>
  <si>
    <t>mogu1252</t>
  </si>
  <si>
    <t>Mogum Urmi</t>
  </si>
  <si>
    <t>mogu1253</t>
  </si>
  <si>
    <t>Mogum D√©le</t>
  </si>
  <si>
    <t>mogu1254</t>
  </si>
  <si>
    <t>Mogum Diguimi</t>
  </si>
  <si>
    <t>Mohave</t>
  </si>
  <si>
    <t>moha1257</t>
  </si>
  <si>
    <t>Mohawk-Oneida</t>
  </si>
  <si>
    <t>moha1258</t>
  </si>
  <si>
    <t>Mohawk</t>
  </si>
  <si>
    <t>moh</t>
  </si>
  <si>
    <t>mohe1244</t>
  </si>
  <si>
    <t>Mohegan-Montauk-Narragansett</t>
  </si>
  <si>
    <t>mof</t>
  </si>
  <si>
    <t>mohm1238</t>
  </si>
  <si>
    <t>Mohmand</t>
  </si>
  <si>
    <t>mohr1238</t>
  </si>
  <si>
    <t>Mohrano</t>
  </si>
  <si>
    <t>mohu1238</t>
  </si>
  <si>
    <t>Mohung</t>
  </si>
  <si>
    <t>moia1234</t>
  </si>
  <si>
    <t>moii1235</t>
  </si>
  <si>
    <t>Moi Asli</t>
  </si>
  <si>
    <t>moic1236</t>
  </si>
  <si>
    <t>Moi (Congo)</t>
  </si>
  <si>
    <t>mow</t>
  </si>
  <si>
    <t>sege1236</t>
  </si>
  <si>
    <t>Moi (Indonesia)</t>
  </si>
  <si>
    <t>mxn</t>
  </si>
  <si>
    <t>moii1253</t>
  </si>
  <si>
    <t>Moi 1</t>
  </si>
  <si>
    <t>moii1254</t>
  </si>
  <si>
    <t>Moi</t>
  </si>
  <si>
    <t>moik1239</t>
  </si>
  <si>
    <t>Moikodi</t>
  </si>
  <si>
    <t>mkp</t>
  </si>
  <si>
    <t>moin1241</t>
  </si>
  <si>
    <t>Moingi</t>
  </si>
  <si>
    <t>mwz</t>
  </si>
  <si>
    <t>moin1242</t>
  </si>
  <si>
    <t>Moinba</t>
  </si>
  <si>
    <t>mob</t>
  </si>
  <si>
    <t>mois1234</t>
  </si>
  <si>
    <t>Moi Segin</t>
  </si>
  <si>
    <t>moit1238</t>
  </si>
  <si>
    <t>Moitanik</t>
  </si>
  <si>
    <t>moji1238</t>
  </si>
  <si>
    <t>Moji</t>
  </si>
  <si>
    <t>ymi</t>
  </si>
  <si>
    <t>moke1240</t>
  </si>
  <si>
    <t>Mokerang</t>
  </si>
  <si>
    <t>mft</t>
  </si>
  <si>
    <t>moke1241</t>
  </si>
  <si>
    <t>Moken-Moklen</t>
  </si>
  <si>
    <t>Moken</t>
  </si>
  <si>
    <t>mwt</t>
  </si>
  <si>
    <t>moki1238</t>
  </si>
  <si>
    <t>pona1248</t>
  </si>
  <si>
    <t>Mokilese</t>
  </si>
  <si>
    <t>mkj</t>
  </si>
  <si>
    <t>moki1243</t>
  </si>
  <si>
    <t>Mokilko</t>
  </si>
  <si>
    <t>Mokiba-Ngando</t>
  </si>
  <si>
    <t>mokk1242</t>
  </si>
  <si>
    <t>Mokkan Tila Sadri</t>
  </si>
  <si>
    <t>mokk1243</t>
  </si>
  <si>
    <t>Mok</t>
  </si>
  <si>
    <t>mqt</t>
  </si>
  <si>
    <t>mokl1243</t>
  </si>
  <si>
    <t>Moklen</t>
  </si>
  <si>
    <t>mkm</t>
  </si>
  <si>
    <t>moko1243</t>
  </si>
  <si>
    <t>Mokole</t>
  </si>
  <si>
    <t>mkl</t>
  </si>
  <si>
    <t>Mokoreng-Loniu</t>
  </si>
  <si>
    <t>moko1254</t>
  </si>
  <si>
    <t>Mokong</t>
  </si>
  <si>
    <t>moko1255</t>
  </si>
  <si>
    <t>Mokola</t>
  </si>
  <si>
    <t>moko1256</t>
  </si>
  <si>
    <t>Mokolo</t>
  </si>
  <si>
    <t>mokp1238</t>
  </si>
  <si>
    <t>Mokpa</t>
  </si>
  <si>
    <t>mokp1239</t>
  </si>
  <si>
    <t>Mokpwe</t>
  </si>
  <si>
    <t>bri</t>
  </si>
  <si>
    <t>Moksha</t>
  </si>
  <si>
    <t>moks1249</t>
  </si>
  <si>
    <t>Moksela</t>
  </si>
  <si>
    <t>vms</t>
  </si>
  <si>
    <t>mola1238</t>
  </si>
  <si>
    <t>Molale</t>
  </si>
  <si>
    <t>mbe</t>
  </si>
  <si>
    <t>molb1237</t>
  </si>
  <si>
    <t>molb1238</t>
  </si>
  <si>
    <t>Molbog</t>
  </si>
  <si>
    <t>pwm</t>
  </si>
  <si>
    <t>sout3165</t>
  </si>
  <si>
    <t>Molbog-Palawan</t>
  </si>
  <si>
    <t>mold1243</t>
  </si>
  <si>
    <t>Moldova Sign Language</t>
  </si>
  <si>
    <t>vsi</t>
  </si>
  <si>
    <t>mold1248</t>
  </si>
  <si>
    <t>Moldavian</t>
  </si>
  <si>
    <t>mol</t>
  </si>
  <si>
    <t>mole1238</t>
  </si>
  <si>
    <t>shek1247</t>
  </si>
  <si>
    <t>Molengue</t>
  </si>
  <si>
    <t>bxc</t>
  </si>
  <si>
    <t>mole1239</t>
  </si>
  <si>
    <t>Molet</t>
  </si>
  <si>
    <t>Molet-Asaroo</t>
  </si>
  <si>
    <t>moli1245</t>
  </si>
  <si>
    <t>neap1235</t>
  </si>
  <si>
    <t>Molisano</t>
  </si>
  <si>
    <t>moli1246</t>
  </si>
  <si>
    <t>Moliba</t>
  </si>
  <si>
    <t>moli1247</t>
  </si>
  <si>
    <t>Moli</t>
  </si>
  <si>
    <t>Molima</t>
  </si>
  <si>
    <t>mox</t>
  </si>
  <si>
    <t>moll1241</t>
  </si>
  <si>
    <t>Mol (Vietnam)</t>
  </si>
  <si>
    <t>moll1242</t>
  </si>
  <si>
    <t>Mollo-Miomafo</t>
  </si>
  <si>
    <t>Molmo One</t>
  </si>
  <si>
    <t>aun</t>
  </si>
  <si>
    <t>molo1257</t>
  </si>
  <si>
    <t>Molo</t>
  </si>
  <si>
    <t>zmo</t>
  </si>
  <si>
    <t>molo1258</t>
  </si>
  <si>
    <t>Molo (Central African Republic)</t>
  </si>
  <si>
    <t>molo1259</t>
  </si>
  <si>
    <t>nyam1279</t>
  </si>
  <si>
    <t>Molo (Nyamusa-Molo)</t>
  </si>
  <si>
    <t>molo1260</t>
  </si>
  <si>
    <t>Molot</t>
  </si>
  <si>
    <t>molo1261</t>
  </si>
  <si>
    <t>Molo (Indonesia)</t>
  </si>
  <si>
    <t>molo1262</t>
  </si>
  <si>
    <t>Molof</t>
  </si>
  <si>
    <t>msl</t>
  </si>
  <si>
    <t>molo1266</t>
  </si>
  <si>
    <t>Moloko</t>
  </si>
  <si>
    <t>mlw</t>
  </si>
  <si>
    <t>molo1267</t>
  </si>
  <si>
    <t>Molokan</t>
  </si>
  <si>
    <t>mols1234</t>
  </si>
  <si>
    <t>Molsom</t>
  </si>
  <si>
    <t>molu1244</t>
  </si>
  <si>
    <t>Molunga</t>
  </si>
  <si>
    <t>molu1245</t>
  </si>
  <si>
    <t>Moluche</t>
  </si>
  <si>
    <t>moma1242</t>
  </si>
  <si>
    <t>Moma</t>
  </si>
  <si>
    <t>myl</t>
  </si>
  <si>
    <t>moma1243</t>
  </si>
  <si>
    <t>Momare</t>
  </si>
  <si>
    <t>msz</t>
  </si>
  <si>
    <t>Momare-Migabac</t>
  </si>
  <si>
    <t>moma1245</t>
  </si>
  <si>
    <t>Moma Even</t>
  </si>
  <si>
    <t>momb1253</t>
  </si>
  <si>
    <t>Mombe</t>
  </si>
  <si>
    <t>momb1254</t>
  </si>
  <si>
    <t>Mombo Dogon</t>
  </si>
  <si>
    <t>dmb</t>
  </si>
  <si>
    <t>Mombum-Koneraw</t>
  </si>
  <si>
    <t>Mombasa-Lamu-Inland Swahili</t>
  </si>
  <si>
    <t>momi1241</t>
  </si>
  <si>
    <t>momj1237</t>
  </si>
  <si>
    <t>Momi</t>
  </si>
  <si>
    <t>momi1242</t>
  </si>
  <si>
    <t>soma1242</t>
  </si>
  <si>
    <t>Momina</t>
  </si>
  <si>
    <t>mmb</t>
  </si>
  <si>
    <t>Mom Jango</t>
  </si>
  <si>
    <t>ver</t>
  </si>
  <si>
    <t>momo1242</t>
  </si>
  <si>
    <t>Momo</t>
  </si>
  <si>
    <t>momu1241</t>
  </si>
  <si>
    <t>Momuna</t>
  </si>
  <si>
    <t>mqf</t>
  </si>
  <si>
    <t>momv1238</t>
  </si>
  <si>
    <t>pagi1243</t>
  </si>
  <si>
    <t>Momveda</t>
  </si>
  <si>
    <t>Monastic Sign Language</t>
  </si>
  <si>
    <t>mzg</t>
  </si>
  <si>
    <t>mond1263</t>
  </si>
  <si>
    <t>Mondo</t>
  </si>
  <si>
    <t>mond1264</t>
  </si>
  <si>
    <t>Mondogossou</t>
  </si>
  <si>
    <t>mond1265</t>
  </si>
  <si>
    <t>Mondropolon</t>
  </si>
  <si>
    <t>npn</t>
  </si>
  <si>
    <t>Monde</t>
  </si>
  <si>
    <t>mond1267</t>
  </si>
  <si>
    <t>Mondzi</t>
  </si>
  <si>
    <t>Nuclear Mondzish</t>
  </si>
  <si>
    <t>Mondzish</t>
  </si>
  <si>
    <t>mone1238</t>
  </si>
  <si>
    <t>Mon√©gasque</t>
  </si>
  <si>
    <t>mong1264</t>
  </si>
  <si>
    <t>Mongolian Sign Language</t>
  </si>
  <si>
    <t>msr</t>
  </si>
  <si>
    <t>Mongolic</t>
  </si>
  <si>
    <t>Mongolia Buriat</t>
  </si>
  <si>
    <t>bxm</t>
  </si>
  <si>
    <t>Mongolian</t>
  </si>
  <si>
    <t>mon</t>
  </si>
  <si>
    <t>mong1332</t>
  </si>
  <si>
    <t>Mongsen</t>
  </si>
  <si>
    <t>mong1333</t>
  </si>
  <si>
    <t>Mong Leng</t>
  </si>
  <si>
    <t>mong1334</t>
  </si>
  <si>
    <t>Mongbapele</t>
  </si>
  <si>
    <t>mong1336</t>
  </si>
  <si>
    <t>Mongo (Lusengo)</t>
  </si>
  <si>
    <t>mong1337</t>
  </si>
  <si>
    <t>Mongala Poto</t>
  </si>
  <si>
    <t>Mongo</t>
  </si>
  <si>
    <t>lol</t>
  </si>
  <si>
    <t>mong1339</t>
  </si>
  <si>
    <t>Mongo (Kuranko)</t>
  </si>
  <si>
    <t>mong1340</t>
  </si>
  <si>
    <t>Mongo (Daju)</t>
  </si>
  <si>
    <t>mong1346</t>
  </si>
  <si>
    <t>Mongondow</t>
  </si>
  <si>
    <t>mog</t>
  </si>
  <si>
    <t>Ulmapo</t>
  </si>
  <si>
    <t>Mwakai</t>
  </si>
  <si>
    <t>mgt</t>
  </si>
  <si>
    <t>mong1345</t>
  </si>
  <si>
    <t>ngba1290</t>
  </si>
  <si>
    <t>Mongoba-Kazibati</t>
  </si>
  <si>
    <t>Mongondowic</t>
  </si>
  <si>
    <t>mong1348</t>
  </si>
  <si>
    <t>Mongol (Papua New Guinea)</t>
  </si>
  <si>
    <t>Mangue</t>
  </si>
  <si>
    <t>mom</t>
  </si>
  <si>
    <t>moni1258</t>
  </si>
  <si>
    <t>Monic</t>
  </si>
  <si>
    <t>moni1259</t>
  </si>
  <si>
    <t>Monia</t>
  </si>
  <si>
    <t>moni1260</t>
  </si>
  <si>
    <t>pera1257</t>
  </si>
  <si>
    <t>Moning</t>
  </si>
  <si>
    <t>Moni</t>
  </si>
  <si>
    <t>mnz</t>
  </si>
  <si>
    <t>monn1251</t>
  </si>
  <si>
    <t>Mon (Vietnam)</t>
  </si>
  <si>
    <t>Mon</t>
  </si>
  <si>
    <t>mnw</t>
  </si>
  <si>
    <t>monn1253</t>
  </si>
  <si>
    <t>Mon (India)</t>
  </si>
  <si>
    <t>mono1268</t>
  </si>
  <si>
    <t>Monom</t>
  </si>
  <si>
    <t>moo</t>
  </si>
  <si>
    <t>mono1269</t>
  </si>
  <si>
    <t>mund1324</t>
  </si>
  <si>
    <t>Mono (Cameroon)</t>
  </si>
  <si>
    <t>mru</t>
  </si>
  <si>
    <t>Mono (Democratic Republic of Congo)</t>
  </si>
  <si>
    <t>mnh</t>
  </si>
  <si>
    <t>mono1271</t>
  </si>
  <si>
    <t>Monoarfu</t>
  </si>
  <si>
    <t>mono1280</t>
  </si>
  <si>
    <t>Mono-Alu</t>
  </si>
  <si>
    <t>mte</t>
  </si>
  <si>
    <t>mono1274</t>
  </si>
  <si>
    <t>Mono</t>
  </si>
  <si>
    <t>mono1275</t>
  </si>
  <si>
    <t>west2621</t>
  </si>
  <si>
    <t>Mono (USA)</t>
  </si>
  <si>
    <t>mnr</t>
  </si>
  <si>
    <t>mono1279</t>
  </si>
  <si>
    <t>Monogoy</t>
  </si>
  <si>
    <t>Mono-Uruavan</t>
  </si>
  <si>
    <t>monq1236</t>
  </si>
  <si>
    <t>Monqui</t>
  </si>
  <si>
    <t>mons1234</t>
  </si>
  <si>
    <t>moyo1240</t>
  </si>
  <si>
    <t>Monsang Naga</t>
  </si>
  <si>
    <t>nmh</t>
  </si>
  <si>
    <t>Montagnais</t>
  </si>
  <si>
    <t>moe</t>
  </si>
  <si>
    <t>mont1269</t>
  </si>
  <si>
    <t>Montauk</t>
  </si>
  <si>
    <t>mont1270</t>
  </si>
  <si>
    <t>sout2986</t>
  </si>
  <si>
    <t>Monterey</t>
  </si>
  <si>
    <t>mont1271</t>
  </si>
  <si>
    <t>nort2985</t>
  </si>
  <si>
    <t>Monte Verde Mixtec</t>
  </si>
  <si>
    <t>Montol</t>
  </si>
  <si>
    <t>mtl</t>
  </si>
  <si>
    <t>Montenegrin Standard</t>
  </si>
  <si>
    <t>cnr</t>
  </si>
  <si>
    <t>ME</t>
  </si>
  <si>
    <t>Bogia</t>
  </si>
  <si>
    <t>monz1249</t>
  </si>
  <si>
    <t>Monzombo</t>
  </si>
  <si>
    <t>moj</t>
  </si>
  <si>
    <t>monz1250</t>
  </si>
  <si>
    <t>Monzamboli</t>
  </si>
  <si>
    <t>monz1251</t>
  </si>
  <si>
    <t>Monz√≥n</t>
  </si>
  <si>
    <t>Monzomboic</t>
  </si>
  <si>
    <t>moom1238</t>
  </si>
  <si>
    <t>Mooma</t>
  </si>
  <si>
    <t>moon1238</t>
  </si>
  <si>
    <t>Moonde</t>
  </si>
  <si>
    <t>mooo1239</t>
  </si>
  <si>
    <t>Moo</t>
  </si>
  <si>
    <t>gwg</t>
  </si>
  <si>
    <t>moor1245</t>
  </si>
  <si>
    <t>B√∂kingharde</t>
  </si>
  <si>
    <t>moor1246</t>
  </si>
  <si>
    <t>waro1242</t>
  </si>
  <si>
    <t>Mo'or</t>
  </si>
  <si>
    <t>moos1236</t>
  </si>
  <si>
    <t>Moose Cree</t>
  </si>
  <si>
    <t>crm</t>
  </si>
  <si>
    <t>Mopan-Itza</t>
  </si>
  <si>
    <t>mopa1243</t>
  </si>
  <si>
    <t>Mop√°n Maya</t>
  </si>
  <si>
    <t>mop</t>
  </si>
  <si>
    <t>BZ GT</t>
  </si>
  <si>
    <t>mopl1237</t>
  </si>
  <si>
    <t>Moplah</t>
  </si>
  <si>
    <t>moqa1238</t>
  </si>
  <si>
    <t>Moqaddam</t>
  </si>
  <si>
    <t>mora1239</t>
  </si>
  <si>
    <t>Moraid</t>
  </si>
  <si>
    <t>msg</t>
  </si>
  <si>
    <t>mora1270</t>
  </si>
  <si>
    <t>Moravian Romani</t>
  </si>
  <si>
    <t>mora1271</t>
  </si>
  <si>
    <t>Morangiya</t>
  </si>
  <si>
    <t>mora1272</t>
  </si>
  <si>
    <t>Morangia</t>
  </si>
  <si>
    <t>mora1273</t>
  </si>
  <si>
    <t>Morawa</t>
  </si>
  <si>
    <t>mze</t>
  </si>
  <si>
    <t>Moram√•l</t>
  </si>
  <si>
    <t>morb1238</t>
  </si>
  <si>
    <t>Morbo</t>
  </si>
  <si>
    <t>morb1239</t>
  </si>
  <si>
    <t>Mor (Bomberai Peninsula)</t>
  </si>
  <si>
    <t>moq</t>
  </si>
  <si>
    <t>Mordvin</t>
  </si>
  <si>
    <t>more1254</t>
  </si>
  <si>
    <t>rash1249</t>
  </si>
  <si>
    <t>tago1246</t>
  </si>
  <si>
    <t>Moreb</t>
  </si>
  <si>
    <t>Morehead-Wasur</t>
  </si>
  <si>
    <t>more1256</t>
  </si>
  <si>
    <t>Morehead-Maro</t>
  </si>
  <si>
    <t>more1257</t>
  </si>
  <si>
    <t>Morela</t>
  </si>
  <si>
    <t>more1258</t>
  </si>
  <si>
    <t>Moresada</t>
  </si>
  <si>
    <t>msx</t>
  </si>
  <si>
    <t>more1259</t>
  </si>
  <si>
    <t>Morelos Nahuatl</t>
  </si>
  <si>
    <t>nhm</t>
  </si>
  <si>
    <t>more1262</t>
  </si>
  <si>
    <t>tupi1286</t>
  </si>
  <si>
    <t>Morerebi</t>
  </si>
  <si>
    <t>xmo</t>
  </si>
  <si>
    <t>more1263</t>
  </si>
  <si>
    <t>Moreic-Waric</t>
  </si>
  <si>
    <t>more1264</t>
  </si>
  <si>
    <t>Moreic-Tora</t>
  </si>
  <si>
    <t>mori1265</t>
  </si>
  <si>
    <t>Morigele</t>
  </si>
  <si>
    <t>mori1266</t>
  </si>
  <si>
    <t>Morie</t>
  </si>
  <si>
    <t>mori1267</t>
  </si>
  <si>
    <t>Moriori</t>
  </si>
  <si>
    <t>Mori Bawah</t>
  </si>
  <si>
    <t>xmz</t>
  </si>
  <si>
    <t>Mori Atas</t>
  </si>
  <si>
    <t>mzq</t>
  </si>
  <si>
    <t>mori1270</t>
  </si>
  <si>
    <t>Mori</t>
  </si>
  <si>
    <t>mori1271</t>
  </si>
  <si>
    <t>Morigi</t>
  </si>
  <si>
    <t>mdb</t>
  </si>
  <si>
    <t>mori1272</t>
  </si>
  <si>
    <t>Morioka</t>
  </si>
  <si>
    <t>mori1273</t>
  </si>
  <si>
    <t>Morike</t>
  </si>
  <si>
    <t>mori1277</t>
  </si>
  <si>
    <t>Moriko</t>
  </si>
  <si>
    <t>mori1278</t>
  </si>
  <si>
    <t>Morisyen</t>
  </si>
  <si>
    <t>mfe</t>
  </si>
  <si>
    <t>morm1235</t>
  </si>
  <si>
    <t>Mor (Mor Islands)</t>
  </si>
  <si>
    <t>mhz</t>
  </si>
  <si>
    <t>moro1242</t>
  </si>
  <si>
    <t>Moroccan Sign Language</t>
  </si>
  <si>
    <t>xms</t>
  </si>
  <si>
    <t>moro1280</t>
  </si>
  <si>
    <t>Moronou</t>
  </si>
  <si>
    <t>Morom</t>
  </si>
  <si>
    <t>bdo</t>
  </si>
  <si>
    <t>Baka-Beli</t>
  </si>
  <si>
    <t>Morokodo</t>
  </si>
  <si>
    <t>mgc</t>
  </si>
  <si>
    <t>west2503</t>
  </si>
  <si>
    <t>Moro</t>
  </si>
  <si>
    <t>mor</t>
  </si>
  <si>
    <t>moro1286</t>
  </si>
  <si>
    <t>Morouas</t>
  </si>
  <si>
    <t>mrp</t>
  </si>
  <si>
    <t>Moronene</t>
  </si>
  <si>
    <t>mqn</t>
  </si>
  <si>
    <t>moro1289</t>
  </si>
  <si>
    <t>Marori</t>
  </si>
  <si>
    <t>mok</t>
  </si>
  <si>
    <t>moro1290</t>
  </si>
  <si>
    <t>Morotai</t>
  </si>
  <si>
    <t>moro1291</t>
  </si>
  <si>
    <t>sats1241</t>
  </si>
  <si>
    <t>Morogata</t>
  </si>
  <si>
    <t>Moroccan Arabic</t>
  </si>
  <si>
    <t>ary</t>
  </si>
  <si>
    <t>DZ EH MA</t>
  </si>
  <si>
    <t>Morokodo-Beli</t>
  </si>
  <si>
    <t>Moroccan-Andalusian Arabic</t>
  </si>
  <si>
    <t>Morom-Jaya-Naba</t>
  </si>
  <si>
    <t>mors1234</t>
  </si>
  <si>
    <t>Morsephang</t>
  </si>
  <si>
    <t>Mortlockese</t>
  </si>
  <si>
    <t>mrl</t>
  </si>
  <si>
    <t>Mortlockese-Trukese</t>
  </si>
  <si>
    <t>moru1251</t>
  </si>
  <si>
    <t>Moruba</t>
  </si>
  <si>
    <t>Moru-Madi</t>
  </si>
  <si>
    <t>Moru</t>
  </si>
  <si>
    <t>mgd</t>
  </si>
  <si>
    <t>moru1254</t>
  </si>
  <si>
    <t>Moruwa'di</t>
  </si>
  <si>
    <t>mosa1240</t>
  </si>
  <si>
    <t>Mosang</t>
  </si>
  <si>
    <t>mose1249</t>
  </si>
  <si>
    <t>Moset√©n-Chiman√©</t>
  </si>
  <si>
    <t>cas</t>
  </si>
  <si>
    <t>mosi1246</t>
  </si>
  <si>
    <t>Mosieno</t>
  </si>
  <si>
    <t>okie1247</t>
  </si>
  <si>
    <t>Akie</t>
  </si>
  <si>
    <t>mwy</t>
  </si>
  <si>
    <t>mosi1248</t>
  </si>
  <si>
    <t>wama1249</t>
  </si>
  <si>
    <t>Mosimo</t>
  </si>
  <si>
    <t>mqv</t>
  </si>
  <si>
    <t>mosk1236</t>
  </si>
  <si>
    <t>Moskona</t>
  </si>
  <si>
    <t>mtj</t>
  </si>
  <si>
    <t>moss1236</t>
  </si>
  <si>
    <t>Mossi</t>
  </si>
  <si>
    <t>mos</t>
  </si>
  <si>
    <t>BF CI GH ML TG</t>
  </si>
  <si>
    <t>nort3234</t>
  </si>
  <si>
    <t>Mossi-Farefare</t>
  </si>
  <si>
    <t>Mossic</t>
  </si>
  <si>
    <t>mota1237</t>
  </si>
  <si>
    <t>Mota</t>
  </si>
  <si>
    <t>mtt</t>
  </si>
  <si>
    <t>moti1240</t>
  </si>
  <si>
    <t>Motiem</t>
  </si>
  <si>
    <t>motk1236</t>
  </si>
  <si>
    <t>Motki</t>
  </si>
  <si>
    <t>motl1237</t>
  </si>
  <si>
    <t>Mwotlap</t>
  </si>
  <si>
    <t>mlv</t>
  </si>
  <si>
    <t>motm1238</t>
  </si>
  <si>
    <t>Mot-Mar</t>
  </si>
  <si>
    <t>moto1243</t>
  </si>
  <si>
    <t>Motozintleco</t>
  </si>
  <si>
    <t>Motu</t>
  </si>
  <si>
    <t>meu</t>
  </si>
  <si>
    <t>Motu-based pidgin</t>
  </si>
  <si>
    <t>moug1238</t>
  </si>
  <si>
    <t>Mougo</t>
  </si>
  <si>
    <t>mouk1239</t>
  </si>
  <si>
    <t>Mouk-Aria</t>
  </si>
  <si>
    <t>mwh</t>
  </si>
  <si>
    <t>mouk1240</t>
  </si>
  <si>
    <t>Mouk</t>
  </si>
  <si>
    <t>Mountain Upper Markham</t>
  </si>
  <si>
    <t>moun1252</t>
  </si>
  <si>
    <t>Mountain Koiali</t>
  </si>
  <si>
    <t>kpx</t>
  </si>
  <si>
    <t>Mountain Ok</t>
  </si>
  <si>
    <t>otin1234</t>
  </si>
  <si>
    <t>Mountain Oti North Guang</t>
  </si>
  <si>
    <t>moun1255</t>
  </si>
  <si>
    <t>Mount Avejaha Sign Language</t>
  </si>
  <si>
    <t>mouw1234</t>
  </si>
  <si>
    <t>Mouwase</t>
  </si>
  <si>
    <t>jmw</t>
  </si>
  <si>
    <t>mova1237</t>
  </si>
  <si>
    <t>Movar</t>
  </si>
  <si>
    <t>move1241</t>
  </si>
  <si>
    <t>Move</t>
  </si>
  <si>
    <t>movi1243</t>
  </si>
  <si>
    <t>Movima</t>
  </si>
  <si>
    <t>mzp</t>
  </si>
  <si>
    <t>mowo1238</t>
  </si>
  <si>
    <t>Mowor</t>
  </si>
  <si>
    <t>moxe1238</t>
  </si>
  <si>
    <t>Moxev</t>
  </si>
  <si>
    <t>moxo1235</t>
  </si>
  <si>
    <t>Moxo</t>
  </si>
  <si>
    <t>Moxo-Paunaca</t>
  </si>
  <si>
    <t>moya1235</t>
  </si>
  <si>
    <t>Moyadan Itneg</t>
  </si>
  <si>
    <t>ity</t>
  </si>
  <si>
    <t>moyo1238</t>
  </si>
  <si>
    <t>Moyon</t>
  </si>
  <si>
    <t>nmo</t>
  </si>
  <si>
    <t>moyo1239</t>
  </si>
  <si>
    <t>Moyo</t>
  </si>
  <si>
    <t>Moyon-Monsang Naga</t>
  </si>
  <si>
    <t>moza1235</t>
  </si>
  <si>
    <t>Mozambican Sign Language</t>
  </si>
  <si>
    <t>mzy</t>
  </si>
  <si>
    <t>moza1249</t>
  </si>
  <si>
    <t>Mozarabic</t>
  </si>
  <si>
    <t>mxi</t>
  </si>
  <si>
    <t>moza1250</t>
  </si>
  <si>
    <t>Northern Saharan Oasis Berber</t>
  </si>
  <si>
    <t>mozo1238</t>
  </si>
  <si>
    <t>Mozome</t>
  </si>
  <si>
    <t>Mpade</t>
  </si>
  <si>
    <t>mpi</t>
  </si>
  <si>
    <t>mpak1240</t>
  </si>
  <si>
    <t>Mpaka</t>
  </si>
  <si>
    <t>Mpalityanh-Luthigh</t>
  </si>
  <si>
    <t>mpal1238</t>
  </si>
  <si>
    <t>Mpalitjanh</t>
  </si>
  <si>
    <t>xpj</t>
  </si>
  <si>
    <t>mpam1238</t>
  </si>
  <si>
    <t>Mpama (Mongo)</t>
  </si>
  <si>
    <t>mpam1239</t>
  </si>
  <si>
    <t>Mpama</t>
  </si>
  <si>
    <t>mpar1238</t>
  </si>
  <si>
    <t>Mparntwe Arrernte</t>
  </si>
  <si>
    <t>mpie1239</t>
  </si>
  <si>
    <t>Mpiemo</t>
  </si>
  <si>
    <t>mcx</t>
  </si>
  <si>
    <t>Mpiemo-Ukhwejo</t>
  </si>
  <si>
    <t>mpii1239</t>
  </si>
  <si>
    <t>Mpi</t>
  </si>
  <si>
    <t>mpz</t>
  </si>
  <si>
    <t>mpin1234</t>
  </si>
  <si>
    <t>Mpinda</t>
  </si>
  <si>
    <t>mpom1238</t>
  </si>
  <si>
    <t>Mpomam</t>
  </si>
  <si>
    <t>mpon1251</t>
  </si>
  <si>
    <t>Mpondomise</t>
  </si>
  <si>
    <t>Mpondo</t>
  </si>
  <si>
    <t>mpon1253</t>
  </si>
  <si>
    <t>Mpongo</t>
  </si>
  <si>
    <t>Mpongmpong</t>
  </si>
  <si>
    <t>mgg</t>
  </si>
  <si>
    <t>mpon1255</t>
  </si>
  <si>
    <t>Mpongwe</t>
  </si>
  <si>
    <t>mpoo1238</t>
  </si>
  <si>
    <t>Mpo</t>
  </si>
  <si>
    <t>mpot1240</t>
  </si>
  <si>
    <t>Mpoto</t>
  </si>
  <si>
    <t>mpa</t>
  </si>
  <si>
    <t>mpot1241</t>
  </si>
  <si>
    <t>Mpotovoro</t>
  </si>
  <si>
    <t>mvt</t>
  </si>
  <si>
    <t>mpra1235</t>
  </si>
  <si>
    <t>Mpra</t>
  </si>
  <si>
    <t>mpuo1241</t>
  </si>
  <si>
    <t>Mbuun</t>
  </si>
  <si>
    <t>zmp</t>
  </si>
  <si>
    <t>Mpur</t>
  </si>
  <si>
    <t>akc</t>
  </si>
  <si>
    <t>mpus1238</t>
  </si>
  <si>
    <t>Mpus</t>
  </si>
  <si>
    <t>mpuu1241</t>
  </si>
  <si>
    <t>ngun1272</t>
  </si>
  <si>
    <t>Mpu</t>
  </si>
  <si>
    <t>mpuu1242</t>
  </si>
  <si>
    <t>Mpuun</t>
  </si>
  <si>
    <t>mpye1238</t>
  </si>
  <si>
    <t>Mpyemo</t>
  </si>
  <si>
    <t>mras1239</t>
  </si>
  <si>
    <t>Mrassa</t>
  </si>
  <si>
    <t>mria1237</t>
  </si>
  <si>
    <t>Mriak-Mriku</t>
  </si>
  <si>
    <t>mrim1238</t>
  </si>
  <si>
    <t>Mrima</t>
  </si>
  <si>
    <t>mroc1235</t>
  </si>
  <si>
    <t>Mro Chin</t>
  </si>
  <si>
    <t>cmr</t>
  </si>
  <si>
    <t>mroo1239</t>
  </si>
  <si>
    <t>Mro</t>
  </si>
  <si>
    <t>Mruic</t>
  </si>
  <si>
    <t>mruu1242</t>
  </si>
  <si>
    <t>Mru</t>
  </si>
  <si>
    <t>mro</t>
  </si>
  <si>
    <t>Mser</t>
  </si>
  <si>
    <t>kqx</t>
  </si>
  <si>
    <t>mtez1238</t>
  </si>
  <si>
    <t>Mtezi</t>
  </si>
  <si>
    <t>mtir1235</t>
  </si>
  <si>
    <t>Mt. Iriga Agta</t>
  </si>
  <si>
    <t>agz</t>
  </si>
  <si>
    <t>mtir1236</t>
  </si>
  <si>
    <t>Mt. Iraya Agta</t>
  </si>
  <si>
    <t>atl</t>
  </si>
  <si>
    <t>mtiu1238</t>
  </si>
  <si>
    <t>Mtiul</t>
  </si>
  <si>
    <t>mual1240</t>
  </si>
  <si>
    <t>Mual</t>
  </si>
  <si>
    <t>mual1241</t>
  </si>
  <si>
    <t>Mualang</t>
  </si>
  <si>
    <t>mtd</t>
  </si>
  <si>
    <t>muan1234</t>
  </si>
  <si>
    <t>Muangphe</t>
  </si>
  <si>
    <t>muat1238</t>
  </si>
  <si>
    <t>Muaturaina</t>
  </si>
  <si>
    <t>muba1238</t>
  </si>
  <si>
    <t>Mubami</t>
  </si>
  <si>
    <t>tsx</t>
  </si>
  <si>
    <t>mubi1239</t>
  </si>
  <si>
    <t>Mubi (Foi)</t>
  </si>
  <si>
    <t>mubi1246</t>
  </si>
  <si>
    <t>Mubi</t>
  </si>
  <si>
    <t>mub</t>
  </si>
  <si>
    <t>Mubic</t>
  </si>
  <si>
    <t>muck1238</t>
  </si>
  <si>
    <t>Muckleshoot</t>
  </si>
  <si>
    <t>mucu1234</t>
  </si>
  <si>
    <t>Mucunchi</t>
  </si>
  <si>
    <t>muda1235</t>
  </si>
  <si>
    <t>Muda</t>
  </si>
  <si>
    <t>ymd</t>
  </si>
  <si>
    <t>mudb1240</t>
  </si>
  <si>
    <t>Mudburra</t>
  </si>
  <si>
    <t>mwd</t>
  </si>
  <si>
    <t>mudh1235</t>
  </si>
  <si>
    <t>Mudhili Gadaba</t>
  </si>
  <si>
    <t>gau</t>
  </si>
  <si>
    <t>mudi1234</t>
  </si>
  <si>
    <t>M√πd«êqƒ´ng Pumi</t>
  </si>
  <si>
    <t>mudu1239</t>
  </si>
  <si>
    <t>Muduga</t>
  </si>
  <si>
    <t>udg</t>
  </si>
  <si>
    <t>mudu1240</t>
  </si>
  <si>
    <t>Mudu</t>
  </si>
  <si>
    <t>mudu1241</t>
  </si>
  <si>
    <t>Mudu Koraga</t>
  </si>
  <si>
    <t>vmd</t>
  </si>
  <si>
    <t>mudu1242</t>
  </si>
  <si>
    <t>Muduapa</t>
  </si>
  <si>
    <t>wiv</t>
  </si>
  <si>
    <t>Muduga-Palu</t>
  </si>
  <si>
    <t>muel1234</t>
  </si>
  <si>
    <t>Muellamues</t>
  </si>
  <si>
    <t>muer1238</t>
  </si>
  <si>
    <t>Muerzong</t>
  </si>
  <si>
    <t>Mufian</t>
  </si>
  <si>
    <t>aoj</t>
  </si>
  <si>
    <t>Mufian-Bukiyip-Abu</t>
  </si>
  <si>
    <t>mufw1238</t>
  </si>
  <si>
    <t>Mufwa</t>
  </si>
  <si>
    <t>muga1241</t>
  </si>
  <si>
    <t>Mugali</t>
  </si>
  <si>
    <t>muga1242</t>
  </si>
  <si>
    <t>Mugange</t>
  </si>
  <si>
    <t>mugh1242</t>
  </si>
  <si>
    <t>Mughalbandi</t>
  </si>
  <si>
    <t>mugh1243</t>
  </si>
  <si>
    <t>Mughaja</t>
  </si>
  <si>
    <t>Mugil-Kaukombaran</t>
  </si>
  <si>
    <t>mugi1235</t>
  </si>
  <si>
    <t>Mugin</t>
  </si>
  <si>
    <t>Mugom</t>
  </si>
  <si>
    <t>muk</t>
  </si>
  <si>
    <t>mugu1242</t>
  </si>
  <si>
    <t>Muguji</t>
  </si>
  <si>
    <t>mugu1243</t>
  </si>
  <si>
    <t>Muguani</t>
  </si>
  <si>
    <t>muhu1241</t>
  </si>
  <si>
    <t>Muhura</t>
  </si>
  <si>
    <t>muhu1242</t>
  </si>
  <si>
    <t>Muhulu</t>
  </si>
  <si>
    <t>muin1242</t>
  </si>
  <si>
    <t>Muinane</t>
  </si>
  <si>
    <t>bmr</t>
  </si>
  <si>
    <t>Muirin</t>
  </si>
  <si>
    <t>Muji</t>
  </si>
  <si>
    <t>muji1236</t>
  </si>
  <si>
    <t>Muji Yi</t>
  </si>
  <si>
    <t>ymj</t>
  </si>
  <si>
    <t>muka1237</t>
  </si>
  <si>
    <t>Mukah-Oya</t>
  </si>
  <si>
    <t>mukh1238</t>
  </si>
  <si>
    <t>Mukha-Dora</t>
  </si>
  <si>
    <t>mmk</t>
  </si>
  <si>
    <t>mukl1234</t>
  </si>
  <si>
    <t>tang1379</t>
  </si>
  <si>
    <t>Muklom</t>
  </si>
  <si>
    <t>muko1237</t>
  </si>
  <si>
    <t>Muko-Muko</t>
  </si>
  <si>
    <t>vmo</t>
  </si>
  <si>
    <t>mukr1239</t>
  </si>
  <si>
    <t>Mukri</t>
  </si>
  <si>
    <t>muku1240</t>
  </si>
  <si>
    <t>Mukula (Zambia)</t>
  </si>
  <si>
    <t>Mukulu</t>
  </si>
  <si>
    <t>moz</t>
  </si>
  <si>
    <t>Mulam-Kam</t>
  </si>
  <si>
    <t>mula1253</t>
  </si>
  <si>
    <t>Mulam</t>
  </si>
  <si>
    <t>mlm</t>
  </si>
  <si>
    <t>Mulaha</t>
  </si>
  <si>
    <t>mfw</t>
  </si>
  <si>
    <t>mula1255</t>
  </si>
  <si>
    <t>Mulan</t>
  </si>
  <si>
    <t>mule1238</t>
  </si>
  <si>
    <t>Mulenge</t>
  </si>
  <si>
    <t>mulg1243</t>
  </si>
  <si>
    <t>Mulgaon-Wangtang</t>
  </si>
  <si>
    <t>mull1237</t>
  </si>
  <si>
    <t>nort1547</t>
  </si>
  <si>
    <t>Mullukmulluk</t>
  </si>
  <si>
    <t>mpb</t>
  </si>
  <si>
    <t>mull1244</t>
  </si>
  <si>
    <t>Mullu Kurumba</t>
  </si>
  <si>
    <t>kpb</t>
  </si>
  <si>
    <t>puna1279</t>
  </si>
  <si>
    <t>Muller-Schwaner</t>
  </si>
  <si>
    <t>mulo1238</t>
  </si>
  <si>
    <t>Mulonga</t>
  </si>
  <si>
    <t>muls1238</t>
  </si>
  <si>
    <t>Mulsom</t>
  </si>
  <si>
    <t>mult1243</t>
  </si>
  <si>
    <t>Multani</t>
  </si>
  <si>
    <t>mulu1242</t>
  </si>
  <si>
    <t>Mulung</t>
  </si>
  <si>
    <t>mulu1243</t>
  </si>
  <si>
    <t>Muluridyi</t>
  </si>
  <si>
    <t>vmu</t>
  </si>
  <si>
    <t>muly1238</t>
  </si>
  <si>
    <t>Mulyen</t>
  </si>
  <si>
    <t>Mumeng</t>
  </si>
  <si>
    <t>mumm1238</t>
  </si>
  <si>
    <t>sika1264</t>
  </si>
  <si>
    <t>Mum</t>
  </si>
  <si>
    <t>kqa</t>
  </si>
  <si>
    <t>mumo1239</t>
  </si>
  <si>
    <t>Mumoni</t>
  </si>
  <si>
    <t>samb1322</t>
  </si>
  <si>
    <t>Mumuye-Yandang</t>
  </si>
  <si>
    <t>mumu1250</t>
  </si>
  <si>
    <t>Mumuyic</t>
  </si>
  <si>
    <t>mumv1239</t>
  </si>
  <si>
    <t>Mumviri</t>
  </si>
  <si>
    <t>muna1238</t>
  </si>
  <si>
    <t>Munaseli Pandai</t>
  </si>
  <si>
    <t>muna1246</t>
  </si>
  <si>
    <t>Muna-Buton</t>
  </si>
  <si>
    <t>Muna</t>
  </si>
  <si>
    <t>mnb</t>
  </si>
  <si>
    <t>munc1235</t>
  </si>
  <si>
    <t>M√ºn Chin</t>
  </si>
  <si>
    <t>mwq</t>
  </si>
  <si>
    <t>mund1320</t>
  </si>
  <si>
    <t>Mundari</t>
  </si>
  <si>
    <t>unr</t>
  </si>
  <si>
    <t>mund1321</t>
  </si>
  <si>
    <t>Munda</t>
  </si>
  <si>
    <t>unx</t>
  </si>
  <si>
    <t>mund1322</t>
  </si>
  <si>
    <t>Munda Andhra Pradesh Gadaba</t>
  </si>
  <si>
    <t>mund1323</t>
  </si>
  <si>
    <t>Munda Orissa Gadaba</t>
  </si>
  <si>
    <t>Mundangic</t>
  </si>
  <si>
    <t>Mundang</t>
  </si>
  <si>
    <t>mua</t>
  </si>
  <si>
    <t>mund1326</t>
  </si>
  <si>
    <t>M√ºnd√º</t>
  </si>
  <si>
    <t>muh</t>
  </si>
  <si>
    <t>mund1338</t>
  </si>
  <si>
    <t>Mundani</t>
  </si>
  <si>
    <t>mnf</t>
  </si>
  <si>
    <t>mund1328</t>
  </si>
  <si>
    <t>Mundabli</t>
  </si>
  <si>
    <t>boe</t>
  </si>
  <si>
    <t>Mundurukuic</t>
  </si>
  <si>
    <t>mund1330</t>
  </si>
  <si>
    <t>Munduruk√∫</t>
  </si>
  <si>
    <t>myu</t>
  </si>
  <si>
    <t>mund1334</t>
  </si>
  <si>
    <t>Mundat</t>
  </si>
  <si>
    <t>mmf</t>
  </si>
  <si>
    <t>mund1335</t>
  </si>
  <si>
    <t>Mundaic</t>
  </si>
  <si>
    <t>Mundaric</t>
  </si>
  <si>
    <t>Mundat-Karfa</t>
  </si>
  <si>
    <t>Mundani-Njen</t>
  </si>
  <si>
    <t>mund1339</t>
  </si>
  <si>
    <t>Mundari (Retired)</t>
  </si>
  <si>
    <t>muw</t>
  </si>
  <si>
    <t>mung1263</t>
  </si>
  <si>
    <t>Mung</t>
  </si>
  <si>
    <t>mung1264</t>
  </si>
  <si>
    <t>Mungray</t>
  </si>
  <si>
    <t>mung1265</t>
  </si>
  <si>
    <t>Mungo</t>
  </si>
  <si>
    <t>Mungaka</t>
  </si>
  <si>
    <t>mhk</t>
  </si>
  <si>
    <t>mung1267</t>
  </si>
  <si>
    <t>ncan1245</t>
  </si>
  <si>
    <t>Mungong</t>
  </si>
  <si>
    <t>mung1268</t>
  </si>
  <si>
    <t>Munga</t>
  </si>
  <si>
    <t>mung1269</t>
  </si>
  <si>
    <t>Munggui</t>
  </si>
  <si>
    <t>mth</t>
  </si>
  <si>
    <t>mung1270</t>
  </si>
  <si>
    <t>renn1242</t>
  </si>
  <si>
    <t>Mungiki</t>
  </si>
  <si>
    <t>mung1271</t>
  </si>
  <si>
    <t>Munggava</t>
  </si>
  <si>
    <t>mung1272</t>
  </si>
  <si>
    <t>Mungkip</t>
  </si>
  <si>
    <t>mpv</t>
  </si>
  <si>
    <t>Mungakaic</t>
  </si>
  <si>
    <t>muni1255</t>
  </si>
  <si>
    <t>Munin</t>
  </si>
  <si>
    <t>Munan</t>
  </si>
  <si>
    <t>muni1257</t>
  </si>
  <si>
    <t>Munit</t>
  </si>
  <si>
    <t>mtc</t>
  </si>
  <si>
    <t>muni1258</t>
  </si>
  <si>
    <t>Muniche</t>
  </si>
  <si>
    <t>myr</t>
  </si>
  <si>
    <t>Munic</t>
  </si>
  <si>
    <t>yidg1239</t>
  </si>
  <si>
    <t>Munji</t>
  </si>
  <si>
    <t>mnj</t>
  </si>
  <si>
    <t>munj1245</t>
  </si>
  <si>
    <t>Munji (Papua New Guinea)</t>
  </si>
  <si>
    <t>musg1254</t>
  </si>
  <si>
    <t>Munjuk-Nord</t>
  </si>
  <si>
    <t>munj1247</t>
  </si>
  <si>
    <t>Munjuk-Sud</t>
  </si>
  <si>
    <t>munk1243</t>
  </si>
  <si>
    <t>M√ºnk√º</t>
  </si>
  <si>
    <t>muns1250</t>
  </si>
  <si>
    <t>Munster-Leinster</t>
  </si>
  <si>
    <t>muns1251</t>
  </si>
  <si>
    <t>Munsee</t>
  </si>
  <si>
    <t>umu</t>
  </si>
  <si>
    <t>muns1252</t>
  </si>
  <si>
    <t>M√ºnsterlandisch</t>
  </si>
  <si>
    <t>munt1238</t>
  </si>
  <si>
    <t>Muntenian</t>
  </si>
  <si>
    <t>munu1238</t>
  </si>
  <si>
    <t>Munumburru</t>
  </si>
  <si>
    <t>muny1238</t>
  </si>
  <si>
    <t>Munyuku</t>
  </si>
  <si>
    <t>muny1242</t>
  </si>
  <si>
    <t>orma1241</t>
  </si>
  <si>
    <t>Munyo</t>
  </si>
  <si>
    <t>viet1251</t>
  </si>
  <si>
    <t>Muongic</t>
  </si>
  <si>
    <t>Muong</t>
  </si>
  <si>
    <t>mtq</t>
  </si>
  <si>
    <t>mupu1234</t>
  </si>
  <si>
    <t>mwag1236</t>
  </si>
  <si>
    <t>Mupun</t>
  </si>
  <si>
    <t>mura1269</t>
  </si>
  <si>
    <t>Kuninjku</t>
  </si>
  <si>
    <t>mura1270</t>
  </si>
  <si>
    <t>Murasi</t>
  </si>
  <si>
    <t>mura1271</t>
  </si>
  <si>
    <t>Muratayak</t>
  </si>
  <si>
    <t>asx</t>
  </si>
  <si>
    <t>mura1272</t>
  </si>
  <si>
    <t>Murato</t>
  </si>
  <si>
    <t>mura1273</t>
  </si>
  <si>
    <t>pira1253</t>
  </si>
  <si>
    <t>M√∫ra</t>
  </si>
  <si>
    <t>mura1277</t>
  </si>
  <si>
    <t>Mura</t>
  </si>
  <si>
    <t>murc1238</t>
  </si>
  <si>
    <t>Murcian</t>
  </si>
  <si>
    <t>mure1235</t>
  </si>
  <si>
    <t>Mure</t>
  </si>
  <si>
    <t>mure1236</t>
  </si>
  <si>
    <t>Murego-Gubden</t>
  </si>
  <si>
    <t>muri1258</t>
  </si>
  <si>
    <t>Muri</t>
  </si>
  <si>
    <t>Murik (Malaysia)</t>
  </si>
  <si>
    <t>mxr</t>
  </si>
  <si>
    <t>muri1260</t>
  </si>
  <si>
    <t>Murik (Papua New Guinea)</t>
  </si>
  <si>
    <t>mtf</t>
  </si>
  <si>
    <t>muri1261</t>
  </si>
  <si>
    <t>Murilo-Fanapanges</t>
  </si>
  <si>
    <t>Muria</t>
  </si>
  <si>
    <t>murk1238</t>
  </si>
  <si>
    <t>Murkim</t>
  </si>
  <si>
    <t>rmh</t>
  </si>
  <si>
    <t>Murle</t>
  </si>
  <si>
    <t>mur</t>
  </si>
  <si>
    <t>muro1241</t>
  </si>
  <si>
    <t>Muromachi</t>
  </si>
  <si>
    <t>murp1234</t>
  </si>
  <si>
    <t>Mur Pano</t>
  </si>
  <si>
    <t>tkv</t>
  </si>
  <si>
    <t>murr1257</t>
  </si>
  <si>
    <t>Murrungun</t>
  </si>
  <si>
    <t>murr1258</t>
  </si>
  <si>
    <t>sout2772</t>
  </si>
  <si>
    <t>Murriny Patha</t>
  </si>
  <si>
    <t>mwf</t>
  </si>
  <si>
    <t>murr1259</t>
  </si>
  <si>
    <t>Murrinhpatha</t>
  </si>
  <si>
    <t>murr1260</t>
  </si>
  <si>
    <t>Murrinhdiminin</t>
  </si>
  <si>
    <t>murr1261</t>
  </si>
  <si>
    <t>Murrinhkura</t>
  </si>
  <si>
    <t>murr1262</t>
  </si>
  <si>
    <t>Murru</t>
  </si>
  <si>
    <t>murs1242</t>
  </si>
  <si>
    <t>suri1266</t>
  </si>
  <si>
    <t>Mursi</t>
  </si>
  <si>
    <t>muz</t>
  </si>
  <si>
    <t>Muruwaric</t>
  </si>
  <si>
    <t>muru1266</t>
  </si>
  <si>
    <t>Muruwari</t>
  </si>
  <si>
    <t>zmu</t>
  </si>
  <si>
    <t>muru1267</t>
  </si>
  <si>
    <t>Murugu</t>
  </si>
  <si>
    <t>muru1268</t>
  </si>
  <si>
    <t>Murum</t>
  </si>
  <si>
    <t>muru1269</t>
  </si>
  <si>
    <t>sian1254</t>
  </si>
  <si>
    <t>Murung 2</t>
  </si>
  <si>
    <t>muru1272</t>
  </si>
  <si>
    <t>Murut Padas</t>
  </si>
  <si>
    <t>muru1273</t>
  </si>
  <si>
    <t>Murupi</t>
  </si>
  <si>
    <t>mqw</t>
  </si>
  <si>
    <t>Murui Huitoto</t>
  </si>
  <si>
    <t>huu</t>
  </si>
  <si>
    <t>CO PE</t>
  </si>
  <si>
    <t>Murutic</t>
  </si>
  <si>
    <t>musa1261</t>
  </si>
  <si>
    <t>Musahari</t>
  </si>
  <si>
    <t>musa1262</t>
  </si>
  <si>
    <t>Musar (Maithili)</t>
  </si>
  <si>
    <t>Musasa</t>
  </si>
  <si>
    <t>smm</t>
  </si>
  <si>
    <t>musa1264</t>
  </si>
  <si>
    <t>Musaia</t>
  </si>
  <si>
    <t>musa1265</t>
  </si>
  <si>
    <t>Musar</t>
  </si>
  <si>
    <t>mmi</t>
  </si>
  <si>
    <t>musa1266</t>
  </si>
  <si>
    <t>Aisi</t>
  </si>
  <si>
    <t>mmq</t>
  </si>
  <si>
    <t>muse1238</t>
  </si>
  <si>
    <t>Musen</t>
  </si>
  <si>
    <t>Musey</t>
  </si>
  <si>
    <t>mse</t>
  </si>
  <si>
    <t>musg1253</t>
  </si>
  <si>
    <t>Musgoi</t>
  </si>
  <si>
    <t>Musgu</t>
  </si>
  <si>
    <t>mug</t>
  </si>
  <si>
    <t>Musgu-Mbara</t>
  </si>
  <si>
    <t>mush1238</t>
  </si>
  <si>
    <t>zigu1244</t>
  </si>
  <si>
    <t>Mushungulu</t>
  </si>
  <si>
    <t>xma</t>
  </si>
  <si>
    <t>mush1239</t>
  </si>
  <si>
    <t>Mushere</t>
  </si>
  <si>
    <t>mush1240</t>
  </si>
  <si>
    <t>Mush-Tigranakert</t>
  </si>
  <si>
    <t>musi1241</t>
  </si>
  <si>
    <t>Musi</t>
  </si>
  <si>
    <t>mui</t>
  </si>
  <si>
    <t>musi1242</t>
  </si>
  <si>
    <t>Rejang Musi</t>
  </si>
  <si>
    <t>Muskogean</t>
  </si>
  <si>
    <t>musk1256</t>
  </si>
  <si>
    <t>Muskum</t>
  </si>
  <si>
    <t>mje</t>
  </si>
  <si>
    <t>Muslim Tat</t>
  </si>
  <si>
    <t>ttt</t>
  </si>
  <si>
    <t>muso1238</t>
  </si>
  <si>
    <t>Musom</t>
  </si>
  <si>
    <t>msu</t>
  </si>
  <si>
    <t>musq1240</t>
  </si>
  <si>
    <t>Musqueam</t>
  </si>
  <si>
    <t>muss1244</t>
  </si>
  <si>
    <t>Mush</t>
  </si>
  <si>
    <t>muss1245</t>
  </si>
  <si>
    <t>Musselmani</t>
  </si>
  <si>
    <t>stma1240</t>
  </si>
  <si>
    <t>Mussau-Emira</t>
  </si>
  <si>
    <t>emi</t>
  </si>
  <si>
    <t>Mussau</t>
  </si>
  <si>
    <t>musu1240</t>
  </si>
  <si>
    <t>Musunye</t>
  </si>
  <si>
    <t>musu1241</t>
  </si>
  <si>
    <t>Musumb</t>
  </si>
  <si>
    <t>Muthuvan</t>
  </si>
  <si>
    <t>muv</t>
  </si>
  <si>
    <t>muth1242</t>
  </si>
  <si>
    <t>mwim1241</t>
  </si>
  <si>
    <t>Muthambi</t>
  </si>
  <si>
    <t>Muthuvan-Mannan</t>
  </si>
  <si>
    <t>muti1238</t>
  </si>
  <si>
    <t>Mutidi</t>
  </si>
  <si>
    <t>muts1243</t>
  </si>
  <si>
    <t>Mutsun</t>
  </si>
  <si>
    <t>Mutu</t>
  </si>
  <si>
    <t>tuc</t>
  </si>
  <si>
    <t>mutu1250</t>
  </si>
  <si>
    <t>nort3047</t>
  </si>
  <si>
    <t>Muturuwa</t>
  </si>
  <si>
    <t>mutu1251</t>
  </si>
  <si>
    <t>Muturami</t>
  </si>
  <si>
    <t>mutw1238</t>
  </si>
  <si>
    <t>Mutwang</t>
  </si>
  <si>
    <t>qian1263</t>
  </si>
  <si>
    <t>Muya</t>
  </si>
  <si>
    <t>mvm</t>
  </si>
  <si>
    <t>muya1243</t>
  </si>
  <si>
    <t>Muyang</t>
  </si>
  <si>
    <t>muy</t>
  </si>
  <si>
    <t>Muyuw</t>
  </si>
  <si>
    <t>myw</t>
  </si>
  <si>
    <t>muzi1235</t>
  </si>
  <si>
    <t>Muzi</t>
  </si>
  <si>
    <t>ymz</t>
  </si>
  <si>
    <t>muzo1235</t>
  </si>
  <si>
    <t>Muzo</t>
  </si>
  <si>
    <t>muzu1238</t>
  </si>
  <si>
    <t>Muzuk</t>
  </si>
  <si>
    <t>mvae1238</t>
  </si>
  <si>
    <t>Mvae</t>
  </si>
  <si>
    <t>mvan1238</t>
  </si>
  <si>
    <t>mvan1239</t>
  </si>
  <si>
    <t>Mvano</t>
  </si>
  <si>
    <t>mcj</t>
  </si>
  <si>
    <t>Mvano-Ndunda</t>
  </si>
  <si>
    <t>mvet1238</t>
  </si>
  <si>
    <t>Mvete</t>
  </si>
  <si>
    <t>mvit1238</t>
  </si>
  <si>
    <t>Mvita</t>
  </si>
  <si>
    <t>mvog1240</t>
  </si>
  <si>
    <t>Mvog-Namve</t>
  </si>
  <si>
    <t>mvog1242</t>
  </si>
  <si>
    <t>Mvog-Niengue</t>
  </si>
  <si>
    <t>mvon1238</t>
  </si>
  <si>
    <t>Mvo-Nangkok</t>
  </si>
  <si>
    <t>mvub1239</t>
  </si>
  <si>
    <t>Mvuba</t>
  </si>
  <si>
    <t>mxh</t>
  </si>
  <si>
    <t>mvum1238</t>
  </si>
  <si>
    <t>Mvumbo</t>
  </si>
  <si>
    <t>Mvumboic</t>
  </si>
  <si>
    <t>Mwaghavul</t>
  </si>
  <si>
    <t>sur</t>
  </si>
  <si>
    <t>mwal1237</t>
  </si>
  <si>
    <t>Mwali Comorian</t>
  </si>
  <si>
    <t>wlc</t>
  </si>
  <si>
    <t>KM</t>
  </si>
  <si>
    <t>mwal1238</t>
  </si>
  <si>
    <t>Mwalukwasia</t>
  </si>
  <si>
    <t>mwam1244</t>
  </si>
  <si>
    <t>Mwamba</t>
  </si>
  <si>
    <t>mwam1245</t>
  </si>
  <si>
    <t>Mwamenam</t>
  </si>
  <si>
    <t>mwam1246</t>
  </si>
  <si>
    <t>Mwambong</t>
  </si>
  <si>
    <t>Mwani</t>
  </si>
  <si>
    <t>wmw</t>
  </si>
  <si>
    <t>mwan1248</t>
  </si>
  <si>
    <t>Mwanda</t>
  </si>
  <si>
    <t>mwan1249</t>
  </si>
  <si>
    <t>Mwani (Haya)</t>
  </si>
  <si>
    <t>mwan1250</t>
  </si>
  <si>
    <t>wanm1243</t>
  </si>
  <si>
    <t>Mwan</t>
  </si>
  <si>
    <t>moa</t>
  </si>
  <si>
    <t>mwat1237</t>
  </si>
  <si>
    <t>Mwatebu</t>
  </si>
  <si>
    <t>mwa</t>
  </si>
  <si>
    <t>mwen1238</t>
  </si>
  <si>
    <t>Mwenyi</t>
  </si>
  <si>
    <t>mwer1247</t>
  </si>
  <si>
    <t>nyan1319</t>
  </si>
  <si>
    <t>Mwera (Nyasa)</t>
  </si>
  <si>
    <t>mjh</t>
  </si>
  <si>
    <t>mwer1248</t>
  </si>
  <si>
    <t>yaoi1234</t>
  </si>
  <si>
    <t>Mwera (Chimwera)</t>
  </si>
  <si>
    <t>mwe</t>
  </si>
  <si>
    <t>mwer1249</t>
  </si>
  <si>
    <t>nyam1276</t>
  </si>
  <si>
    <t>Mweri</t>
  </si>
  <si>
    <t>mwer1250</t>
  </si>
  <si>
    <t>Mwerig</t>
  </si>
  <si>
    <t>mwes1234</t>
  </si>
  <si>
    <t>ngom1275</t>
  </si>
  <si>
    <t>Mwesa</t>
  </si>
  <si>
    <t>mwik1238</t>
  </si>
  <si>
    <t>Mwika (Vunjo)</t>
  </si>
  <si>
    <t>Mwika</t>
  </si>
  <si>
    <t>mwil1238</t>
  </si>
  <si>
    <t>Mwila</t>
  </si>
  <si>
    <t>Mwimbi-Muthambi</t>
  </si>
  <si>
    <t>mws</t>
  </si>
  <si>
    <t>mwim1242</t>
  </si>
  <si>
    <t>Mwimbi</t>
  </si>
  <si>
    <t>mwin1241</t>
  </si>
  <si>
    <t>Mwini</t>
  </si>
  <si>
    <t>myce1241</t>
  </si>
  <si>
    <t>Mycenaean Greek</t>
  </si>
  <si>
    <t>gmy</t>
  </si>
  <si>
    <t>Myene</t>
  </si>
  <si>
    <t>mye</t>
  </si>
  <si>
    <t>myim1242</t>
  </si>
  <si>
    <t>Myimu</t>
  </si>
  <si>
    <t>myns1238</t>
  </si>
  <si>
    <t>Mynso</t>
  </si>
  <si>
    <t>mysi1239</t>
  </si>
  <si>
    <t>phry1239</t>
  </si>
  <si>
    <t>Mysian</t>
  </si>
  <si>
    <t>yms</t>
  </si>
  <si>
    <t>mzie1235</t>
  </si>
  <si>
    <t>Mzieme Naga</t>
  </si>
  <si>
    <t>nme</t>
  </si>
  <si>
    <t>naaa1244</t>
  </si>
  <si>
    <t>Na (Lahu)</t>
  </si>
  <si>
    <t>nbt</t>
  </si>
  <si>
    <t>naaa1246</t>
  </si>
  <si>
    <t>Na (Sara)</t>
  </si>
  <si>
    <t>naab1241</t>
  </si>
  <si>
    <t>sher1260</t>
  </si>
  <si>
    <t>Naaba</t>
  </si>
  <si>
    <t>nao</t>
  </si>
  <si>
    <t>naab1242</t>
  </si>
  <si>
    <t>Naaban</t>
  </si>
  <si>
    <t>naan1239</t>
  </si>
  <si>
    <t>Naan</t>
  </si>
  <si>
    <t>Naasioi</t>
  </si>
  <si>
    <t>nas</t>
  </si>
  <si>
    <t>naba1252</t>
  </si>
  <si>
    <t>Nabanj</t>
  </si>
  <si>
    <t>Naba</t>
  </si>
  <si>
    <t>mne</t>
  </si>
  <si>
    <t>naba1254</t>
  </si>
  <si>
    <t>Nabar</t>
  </si>
  <si>
    <t>naba1255</t>
  </si>
  <si>
    <t>Nabay</t>
  </si>
  <si>
    <t>naba1256</t>
  </si>
  <si>
    <t>Nabak</t>
  </si>
  <si>
    <t>naf</t>
  </si>
  <si>
    <t>Nabak-Momolili</t>
  </si>
  <si>
    <t>Naba-Berakou</t>
  </si>
  <si>
    <t>sout2850</t>
  </si>
  <si>
    <t>Nabi-Irarutu</t>
  </si>
  <si>
    <t>nabi1239</t>
  </si>
  <si>
    <t>Nabi-Metan</t>
  </si>
  <si>
    <t>mty</t>
  </si>
  <si>
    <t>nabi1240</t>
  </si>
  <si>
    <t>Nabit</t>
  </si>
  <si>
    <t>nabl1238</t>
  </si>
  <si>
    <t>Nablos</t>
  </si>
  <si>
    <t>Nachering</t>
  </si>
  <si>
    <t>ncd</t>
  </si>
  <si>
    <t>Nadahup</t>
  </si>
  <si>
    <t>nade1244</t>
  </si>
  <si>
    <t>Nad√´b</t>
  </si>
  <si>
    <t>mbj</t>
  </si>
  <si>
    <t>nadj1238</t>
  </si>
  <si>
    <t>Najamba</t>
  </si>
  <si>
    <t>nady1234</t>
  </si>
  <si>
    <t>Nadym Nenets</t>
  </si>
  <si>
    <t>nafa1255</t>
  </si>
  <si>
    <t>Nafar</t>
  </si>
  <si>
    <t>nafa1256</t>
  </si>
  <si>
    <t>Nafara</t>
  </si>
  <si>
    <t>nafa1257</t>
  </si>
  <si>
    <t>Naf√£√£</t>
  </si>
  <si>
    <t>Nafaanra</t>
  </si>
  <si>
    <t>nfr</t>
  </si>
  <si>
    <t>nafa1259</t>
  </si>
  <si>
    <t>Nafana</t>
  </si>
  <si>
    <t>nafi1237</t>
  </si>
  <si>
    <t>Nafi</t>
  </si>
  <si>
    <t>srf</t>
  </si>
  <si>
    <t>nafr1241</t>
  </si>
  <si>
    <t>nucl1631</t>
  </si>
  <si>
    <t>Nafri</t>
  </si>
  <si>
    <t>nxx</t>
  </si>
  <si>
    <t>Nafusi</t>
  </si>
  <si>
    <t>jbn</t>
  </si>
  <si>
    <t>LY TN</t>
  </si>
  <si>
    <t>naga1394</t>
  </si>
  <si>
    <t>Naga Pidgin</t>
  </si>
  <si>
    <t>nag</t>
  </si>
  <si>
    <t>naga1395</t>
  </si>
  <si>
    <t>Nagari-Malayalam</t>
  </si>
  <si>
    <t>Naga Maoic</t>
  </si>
  <si>
    <t>naga1398</t>
  </si>
  <si>
    <t>Nagar</t>
  </si>
  <si>
    <t>naga1399</t>
  </si>
  <si>
    <t>Nagarchal</t>
  </si>
  <si>
    <t>nbg</t>
  </si>
  <si>
    <t>naga1400</t>
  </si>
  <si>
    <t>Naga (Balanta)</t>
  </si>
  <si>
    <t>naga1402</t>
  </si>
  <si>
    <t>Naga (Bikolano)</t>
  </si>
  <si>
    <t>naga1403</t>
  </si>
  <si>
    <t>Naga (Mape)</t>
  </si>
  <si>
    <t>naga1404</t>
  </si>
  <si>
    <t>Nagane</t>
  </si>
  <si>
    <t>Nagasaki-ben</t>
  </si>
  <si>
    <t>naga1406</t>
  </si>
  <si>
    <t>Nagaoka</t>
  </si>
  <si>
    <t>Nagano-Yamanashi-Shizuoka</t>
  </si>
  <si>
    <t>Nagano</t>
  </si>
  <si>
    <t>Naga</t>
  </si>
  <si>
    <t>nagb1238</t>
  </si>
  <si>
    <t>Nagbanmba</t>
  </si>
  <si>
    <t>nagd1238</t>
  </si>
  <si>
    <t>Nagdi</t>
  </si>
  <si>
    <t>nxe</t>
  </si>
  <si>
    <t>Nage-Keo</t>
  </si>
  <si>
    <t>nage1239</t>
  </si>
  <si>
    <t>Nager Domaaki</t>
  </si>
  <si>
    <t>nagh1238</t>
  </si>
  <si>
    <t>Naghada</t>
  </si>
  <si>
    <t>nagi1238</t>
  </si>
  <si>
    <t>Nagipaem</t>
  </si>
  <si>
    <t>nago1242</t>
  </si>
  <si>
    <t>Nagoya</t>
  </si>
  <si>
    <t>nago1243</t>
  </si>
  <si>
    <t>Nago</t>
  </si>
  <si>
    <t>nagp1247</t>
  </si>
  <si>
    <t>Nagpuriya</t>
  </si>
  <si>
    <t>nagp1248</t>
  </si>
  <si>
    <t>Nagpuri Hindi</t>
  </si>
  <si>
    <t>nagp1249</t>
  </si>
  <si>
    <t>Nagpuri Marati</t>
  </si>
  <si>
    <t>nagp1250</t>
  </si>
  <si>
    <t>Nagpur</t>
  </si>
  <si>
    <t>nagr1240</t>
  </si>
  <si>
    <t>Nagrandan</t>
  </si>
  <si>
    <t>nagu1244</t>
  </si>
  <si>
    <t>Nagumi</t>
  </si>
  <si>
    <t>ngv</t>
  </si>
  <si>
    <t>naha1259</t>
  </si>
  <si>
    <t>Nahavandi</t>
  </si>
  <si>
    <t>naha1260</t>
  </si>
  <si>
    <t>Nahari (Bhili)</t>
  </si>
  <si>
    <t>naha1261</t>
  </si>
  <si>
    <t>paur1240</t>
  </si>
  <si>
    <t>Nahali-Baglani</t>
  </si>
  <si>
    <t>nlx</t>
  </si>
  <si>
    <t>naha1262</t>
  </si>
  <si>
    <t>Nahari</t>
  </si>
  <si>
    <t>nhh</t>
  </si>
  <si>
    <t>naha1263</t>
  </si>
  <si>
    <t>Naharra</t>
  </si>
  <si>
    <t>naha1264</t>
  </si>
  <si>
    <t>Naha</t>
  </si>
  <si>
    <t>nahe1237</t>
  </si>
  <si>
    <t>Nahes</t>
  </si>
  <si>
    <t>nahi1237</t>
  </si>
  <si>
    <t>Nahina</t>
  </si>
  <si>
    <t>nahu1343</t>
  </si>
  <si>
    <t>Nahuku√°</t>
  </si>
  <si>
    <t>naia1238</t>
  </si>
  <si>
    <t>Manyallaluk Mayali</t>
  </si>
  <si>
    <t>naic1235</t>
  </si>
  <si>
    <t>Naic</t>
  </si>
  <si>
    <t>naii1241</t>
  </si>
  <si>
    <t>Nai</t>
  </si>
  <si>
    <t>bio</t>
  </si>
  <si>
    <t>naii1242</t>
  </si>
  <si>
    <t>Nai (Angor)</t>
  </si>
  <si>
    <t>naik1249</t>
  </si>
  <si>
    <t>Naikdi</t>
  </si>
  <si>
    <t>naik1250</t>
  </si>
  <si>
    <t>Naiki</t>
  </si>
  <si>
    <t>naik1251</t>
  </si>
  <si>
    <t>Naikhyongchari</t>
  </si>
  <si>
    <t>nail1234</t>
  </si>
  <si>
    <t>Nailaer</t>
  </si>
  <si>
    <t>nain1239</t>
  </si>
  <si>
    <t>Naindin</t>
  </si>
  <si>
    <t>nair1238</t>
  </si>
  <si>
    <t>Nairya Koli</t>
  </si>
  <si>
    <t>Naish</t>
  </si>
  <si>
    <t>naja1241</t>
  </si>
  <si>
    <t>Najanaja</t>
  </si>
  <si>
    <t>naja1242</t>
  </si>
  <si>
    <t>Naj√°</t>
  </si>
  <si>
    <t>Najdi Arabic</t>
  </si>
  <si>
    <t>ars</t>
  </si>
  <si>
    <t>AE IL IQ JO KW LB SA SY TR YE</t>
  </si>
  <si>
    <t>naji1238</t>
  </si>
  <si>
    <t>Najil</t>
  </si>
  <si>
    <t>najr1234</t>
  </si>
  <si>
    <t>Najran-Ghatan</t>
  </si>
  <si>
    <t>naka1259</t>
  </si>
  <si>
    <t>Na Kadok</t>
  </si>
  <si>
    <t>naka1260</t>
  </si>
  <si>
    <t>Nakara</t>
  </si>
  <si>
    <t>nck</t>
  </si>
  <si>
    <t>naka1261</t>
  </si>
  <si>
    <t>Naka</t>
  </si>
  <si>
    <t>Nakanai</t>
  </si>
  <si>
    <t>naka1263</t>
  </si>
  <si>
    <t>Naka'ela</t>
  </si>
  <si>
    <t>nae</t>
  </si>
  <si>
    <t>naka1264</t>
  </si>
  <si>
    <t>Nakama</t>
  </si>
  <si>
    <t>nib</t>
  </si>
  <si>
    <t>naka1265</t>
  </si>
  <si>
    <t>tang1376</t>
  </si>
  <si>
    <t>Nakai</t>
  </si>
  <si>
    <t>nkj</t>
  </si>
  <si>
    <t>Nakanai-Meramera</t>
  </si>
  <si>
    <t>nakc1234</t>
  </si>
  <si>
    <t>Nakchu of Hor</t>
  </si>
  <si>
    <t>nake1240</t>
  </si>
  <si>
    <t>Nake</t>
  </si>
  <si>
    <t>nbk</t>
  </si>
  <si>
    <t>nakh1244</t>
  </si>
  <si>
    <t>Nakhchivan</t>
  </si>
  <si>
    <t>Nakh-Daghestanian</t>
  </si>
  <si>
    <t>Nakh</t>
  </si>
  <si>
    <t>naki1238</t>
  </si>
  <si>
    <t>Naki</t>
  </si>
  <si>
    <t>mff</t>
  </si>
  <si>
    <t>Naki-Kemezung</t>
  </si>
  <si>
    <t>Nakic</t>
  </si>
  <si>
    <t>nako1239</t>
  </si>
  <si>
    <t>Yankton-Yanktonai</t>
  </si>
  <si>
    <t>nakw1240</t>
  </si>
  <si>
    <t>Nakwi</t>
  </si>
  <si>
    <t>nax</t>
  </si>
  <si>
    <t>nalc1240</t>
  </si>
  <si>
    <t>Nalca</t>
  </si>
  <si>
    <t>nlc</t>
  </si>
  <si>
    <t>nale1237</t>
  </si>
  <si>
    <t>Nalea</t>
  </si>
  <si>
    <t>nalg1238</t>
  </si>
  <si>
    <t>Nalguno</t>
  </si>
  <si>
    <t>nali1243</t>
  </si>
  <si>
    <t>Nali (India)</t>
  </si>
  <si>
    <t>Nalik</t>
  </si>
  <si>
    <t>nali1245</t>
  </si>
  <si>
    <t>Nali</t>
  </si>
  <si>
    <t>nss</t>
  </si>
  <si>
    <t>natu1250</t>
  </si>
  <si>
    <t>Nal√∂go</t>
  </si>
  <si>
    <t>nlz</t>
  </si>
  <si>
    <t>nalu1239</t>
  </si>
  <si>
    <t>Naluo Yi</t>
  </si>
  <si>
    <t>ylo</t>
  </si>
  <si>
    <t>nalu1240</t>
  </si>
  <si>
    <t>Nalu</t>
  </si>
  <si>
    <t>naj</t>
  </si>
  <si>
    <t>GN GW</t>
  </si>
  <si>
    <t>Naluic</t>
  </si>
  <si>
    <t>nama1263</t>
  </si>
  <si>
    <t>Nama (Tigon Mbembe)</t>
  </si>
  <si>
    <t>Nama (Namibia)</t>
  </si>
  <si>
    <t>naq</t>
  </si>
  <si>
    <t>nama1265</t>
  </si>
  <si>
    <t>Nama</t>
  </si>
  <si>
    <t>nama1266</t>
  </si>
  <si>
    <t>Nama (Papua New Guinea)</t>
  </si>
  <si>
    <t>nmx</t>
  </si>
  <si>
    <t>nama1267</t>
  </si>
  <si>
    <t>namb1292</t>
  </si>
  <si>
    <t>Namat</t>
  </si>
  <si>
    <t>nkm</t>
  </si>
  <si>
    <t>Namakura</t>
  </si>
  <si>
    <t>nmk</t>
  </si>
  <si>
    <t>nama1269</t>
  </si>
  <si>
    <t>Namatota</t>
  </si>
  <si>
    <t>Nama-Dre</t>
  </si>
  <si>
    <t>namb1289</t>
  </si>
  <si>
    <t>Namboodiri</t>
  </si>
  <si>
    <t>namb1290</t>
  </si>
  <si>
    <t>Namber Sacha</t>
  </si>
  <si>
    <t>namb1291</t>
  </si>
  <si>
    <t>Nambya</t>
  </si>
  <si>
    <t>nmq</t>
  </si>
  <si>
    <t>Nambu</t>
  </si>
  <si>
    <t>namb1293</t>
  </si>
  <si>
    <t>Nambo</t>
  </si>
  <si>
    <t>ncm</t>
  </si>
  <si>
    <t>namb1294</t>
  </si>
  <si>
    <t>Nambiomon-Mabur</t>
  </si>
  <si>
    <t>namb1295</t>
  </si>
  <si>
    <t>Nambu (Japanese)</t>
  </si>
  <si>
    <t>namb1296</t>
  </si>
  <si>
    <t>tewa1260</t>
  </si>
  <si>
    <t>Nambe</t>
  </si>
  <si>
    <t>Nambiquaran</t>
  </si>
  <si>
    <t>namb1300</t>
  </si>
  <si>
    <t>Nambikwara Complex</t>
  </si>
  <si>
    <t>Nambiquaran (Unattested)</t>
  </si>
  <si>
    <t>name1237</t>
  </si>
  <si>
    <t>N√°-Meo</t>
  </si>
  <si>
    <t>neo</t>
  </si>
  <si>
    <t>nami1249</t>
  </si>
  <si>
    <t>Namibian Sign Language</t>
  </si>
  <si>
    <t>nbs</t>
  </si>
  <si>
    <t>nami1255</t>
  </si>
  <si>
    <t>Namidama</t>
  </si>
  <si>
    <t>nami1256</t>
  </si>
  <si>
    <t>Namia</t>
  </si>
  <si>
    <t>nnm</t>
  </si>
  <si>
    <t>nami1257</t>
  </si>
  <si>
    <t>Nami</t>
  </si>
  <si>
    <t>nami1258</t>
  </si>
  <si>
    <t>Namiae</t>
  </si>
  <si>
    <t>nvm</t>
  </si>
  <si>
    <t>naml1238</t>
  </si>
  <si>
    <t>Namlung</t>
  </si>
  <si>
    <t>naml1239</t>
  </si>
  <si>
    <t>Namla-Tofanma</t>
  </si>
  <si>
    <t>naml1240</t>
  </si>
  <si>
    <t>Namla</t>
  </si>
  <si>
    <t>naa</t>
  </si>
  <si>
    <t>namm1235</t>
  </si>
  <si>
    <t>Nam</t>
  </si>
  <si>
    <t>namn1239</t>
  </si>
  <si>
    <t>Namna</t>
  </si>
  <si>
    <t>namo1245</t>
  </si>
  <si>
    <t>Namome</t>
  </si>
  <si>
    <t>namo1246</t>
  </si>
  <si>
    <t>Namo</t>
  </si>
  <si>
    <t>mxw</t>
  </si>
  <si>
    <t>namo1247</t>
  </si>
  <si>
    <t>Namonuito</t>
  </si>
  <si>
    <t>nmt</t>
  </si>
  <si>
    <t>west2518</t>
  </si>
  <si>
    <t>Namosi-Naitasiri-Serua</t>
  </si>
  <si>
    <t>bwb</t>
  </si>
  <si>
    <t>Namo-Len</t>
  </si>
  <si>
    <t>namp1238</t>
  </si>
  <si>
    <t>Nampamela</t>
  </si>
  <si>
    <t>namp1239</t>
  </si>
  <si>
    <t>Namphri</t>
  </si>
  <si>
    <t>namr1238</t>
  </si>
  <si>
    <t>Namrung</t>
  </si>
  <si>
    <t>Namuyi</t>
  </si>
  <si>
    <t>nmy</t>
  </si>
  <si>
    <t>namu1247</t>
  </si>
  <si>
    <t>Namunka</t>
  </si>
  <si>
    <t>namu1248</t>
  </si>
  <si>
    <t>remb1250</t>
  </si>
  <si>
    <t>Namu</t>
  </si>
  <si>
    <t>orok1264</t>
  </si>
  <si>
    <t>nana1258</t>
  </si>
  <si>
    <t>Nanaya</t>
  </si>
  <si>
    <t>nana1259</t>
  </si>
  <si>
    <t>Na Nahek</t>
  </si>
  <si>
    <t>nana1260</t>
  </si>
  <si>
    <t>Nanaimo</t>
  </si>
  <si>
    <t>nana1261</t>
  </si>
  <si>
    <t>Nanabin Sign Language</t>
  </si>
  <si>
    <t>nanc1247</t>
  </si>
  <si>
    <t>Nancowry</t>
  </si>
  <si>
    <t>nanc1253</t>
  </si>
  <si>
    <t>Nancere</t>
  </si>
  <si>
    <t>nnc</t>
  </si>
  <si>
    <t>nanc1254</t>
  </si>
  <si>
    <t>Nanchang</t>
  </si>
  <si>
    <t>nand1263</t>
  </si>
  <si>
    <t>Nand</t>
  </si>
  <si>
    <t>Nande</t>
  </si>
  <si>
    <t>nnb</t>
  </si>
  <si>
    <t>niq</t>
  </si>
  <si>
    <t>nane1238</t>
  </si>
  <si>
    <t>Nanerig√© S√©noufo</t>
  </si>
  <si>
    <t>sen</t>
  </si>
  <si>
    <t>nane1239</t>
  </si>
  <si>
    <t>Nanesa</t>
  </si>
  <si>
    <t>nang1256</t>
  </si>
  <si>
    <t>Nangalami</t>
  </si>
  <si>
    <t>nang1257</t>
  </si>
  <si>
    <t>Nangarach</t>
  </si>
  <si>
    <t>nang1258</t>
  </si>
  <si>
    <t>Nangu</t>
  </si>
  <si>
    <t>nang1259</t>
  </si>
  <si>
    <t>Nangikurrunggurr</t>
  </si>
  <si>
    <t>nam</t>
  </si>
  <si>
    <t>nang1261</t>
  </si>
  <si>
    <t>Nanga</t>
  </si>
  <si>
    <t>nzz</t>
  </si>
  <si>
    <t>nang1262</t>
  </si>
  <si>
    <t>Nanggu</t>
  </si>
  <si>
    <t>ngr</t>
  </si>
  <si>
    <t>Nangan Dogon</t>
  </si>
  <si>
    <t>nanh1240</t>
  </si>
  <si>
    <t>Nanhua Lolopho</t>
  </si>
  <si>
    <t>nanj1234</t>
  </si>
  <si>
    <t>Nanjing Mandarin</t>
  </si>
  <si>
    <t>nank1248</t>
  </si>
  <si>
    <t>Nankani</t>
  </si>
  <si>
    <t>nank1249</t>
  </si>
  <si>
    <t>Nankana</t>
  </si>
  <si>
    <t>nank1250</t>
  </si>
  <si>
    <t>Nankina</t>
  </si>
  <si>
    <t>nnk</t>
  </si>
  <si>
    <t>nanl1234</t>
  </si>
  <si>
    <t>Nanlang</t>
  </si>
  <si>
    <t>nann1238</t>
  </si>
  <si>
    <t>Nan</t>
  </si>
  <si>
    <t>nann1239</t>
  </si>
  <si>
    <t>sout3250</t>
  </si>
  <si>
    <t>Nanning Pinghua</t>
  </si>
  <si>
    <t>nann1240</t>
  </si>
  <si>
    <t>Nanning-Liuzhou Road Pinghua</t>
  </si>
  <si>
    <t>nano1240</t>
  </si>
  <si>
    <t>Nanomam</t>
  </si>
  <si>
    <t>nans1238</t>
  </si>
  <si>
    <t>Nanshin</t>
  </si>
  <si>
    <t>nant1248</t>
  </si>
  <si>
    <t>Nanticoke-Conoy</t>
  </si>
  <si>
    <t>nant1249</t>
  </si>
  <si>
    <t>Nanticoke</t>
  </si>
  <si>
    <t>nnt</t>
  </si>
  <si>
    <t>nant1250</t>
  </si>
  <si>
    <t>Nanti</t>
  </si>
  <si>
    <t>cox</t>
  </si>
  <si>
    <t>nanu1239</t>
  </si>
  <si>
    <t>Nanuni</t>
  </si>
  <si>
    <t>nanu1240</t>
  </si>
  <si>
    <t>Nanubae</t>
  </si>
  <si>
    <t>afk</t>
  </si>
  <si>
    <t>nanw1237</t>
  </si>
  <si>
    <t>Nanwang</t>
  </si>
  <si>
    <t>naog1238</t>
  </si>
  <si>
    <t>Naogelao</t>
  </si>
  <si>
    <t>naol1234</t>
  </si>
  <si>
    <t>Naolan</t>
  </si>
  <si>
    <t>naoo1238</t>
  </si>
  <si>
    <t>Na√≤</t>
  </si>
  <si>
    <t>napa1243</t>
  </si>
  <si>
    <t>Napan</t>
  </si>
  <si>
    <t>nape1237</t>
  </si>
  <si>
    <t>unun9892</t>
  </si>
  <si>
    <t>Napeca</t>
  </si>
  <si>
    <t>Napoletano</t>
  </si>
  <si>
    <t>napo1242</t>
  </si>
  <si>
    <t>Napo Lowland Quechua</t>
  </si>
  <si>
    <t>qvo</t>
  </si>
  <si>
    <t>CO EC PE</t>
  </si>
  <si>
    <t>napu1240</t>
  </si>
  <si>
    <t>Napuka</t>
  </si>
  <si>
    <t>napu1241</t>
  </si>
  <si>
    <t>Napu</t>
  </si>
  <si>
    <t>npy</t>
  </si>
  <si>
    <t>Na-Qiangic</t>
  </si>
  <si>
    <t>nara1261</t>
  </si>
  <si>
    <t>Narang</t>
  </si>
  <si>
    <t>Nara</t>
  </si>
  <si>
    <t>nrb</t>
  </si>
  <si>
    <t>nara1263</t>
  </si>
  <si>
    <t>Narango</t>
  </si>
  <si>
    <t>nrg</t>
  </si>
  <si>
    <t>nara1264</t>
  </si>
  <si>
    <t>Narak</t>
  </si>
  <si>
    <t>nac</t>
  </si>
  <si>
    <t>nara1265</t>
  </si>
  <si>
    <t>Narau</t>
  </si>
  <si>
    <t>nxu</t>
  </si>
  <si>
    <t>nari1240</t>
  </si>
  <si>
    <t>Narim</t>
  </si>
  <si>
    <t>loh</t>
  </si>
  <si>
    <t>nari1241</t>
  </si>
  <si>
    <t>Nari Nari</t>
  </si>
  <si>
    <t>rnr</t>
  </si>
  <si>
    <t>Naro-Ana</t>
  </si>
  <si>
    <t>Naro</t>
  </si>
  <si>
    <t>naro1250</t>
  </si>
  <si>
    <t>Narovorovo</t>
  </si>
  <si>
    <t>Narom</t>
  </si>
  <si>
    <t>nrm</t>
  </si>
  <si>
    <t>narp1239</t>
  </si>
  <si>
    <t>Nar Phu</t>
  </si>
  <si>
    <t>npa</t>
  </si>
  <si>
    <t>narr1258</t>
  </si>
  <si>
    <t>Nar</t>
  </si>
  <si>
    <t>narr1259</t>
  </si>
  <si>
    <t>Narrinyeri</t>
  </si>
  <si>
    <t>nay</t>
  </si>
  <si>
    <t>narr1278</t>
  </si>
  <si>
    <t>Nar (Chad)</t>
  </si>
  <si>
    <t>Narrow Talodi</t>
  </si>
  <si>
    <t>narr1280</t>
  </si>
  <si>
    <t>Narrangansett</t>
  </si>
  <si>
    <t>xnt</t>
  </si>
  <si>
    <t>Narrow Bantu</t>
  </si>
  <si>
    <t>Narrow Grassfields</t>
  </si>
  <si>
    <t>Narrow North Scandinavian</t>
  </si>
  <si>
    <t>Narungga</t>
  </si>
  <si>
    <t>nnr</t>
  </si>
  <si>
    <t>nary1239</t>
  </si>
  <si>
    <t>Narym</t>
  </si>
  <si>
    <t>nasa1239</t>
  </si>
  <si>
    <t>Nasal</t>
  </si>
  <si>
    <t>nsy</t>
  </si>
  <si>
    <t>nasa1240</t>
  </si>
  <si>
    <t>Nasarian</t>
  </si>
  <si>
    <t>nvh</t>
  </si>
  <si>
    <t>nasa1241</t>
  </si>
  <si>
    <t>Nasawa</t>
  </si>
  <si>
    <t>nasi1246</t>
  </si>
  <si>
    <t>Nasikwabw</t>
  </si>
  <si>
    <t>Nasioi</t>
  </si>
  <si>
    <t>Naskapi</t>
  </si>
  <si>
    <t>nsk</t>
  </si>
  <si>
    <t>nasr1237</t>
  </si>
  <si>
    <t>Nasrani</t>
  </si>
  <si>
    <t>nass1234</t>
  </si>
  <si>
    <t>N√•s</t>
  </si>
  <si>
    <t>nasu1236</t>
  </si>
  <si>
    <t>Nasu-Nosu</t>
  </si>
  <si>
    <t>nesu1234</t>
  </si>
  <si>
    <t>Nasu-Gepu</t>
  </si>
  <si>
    <t>nasv1234</t>
  </si>
  <si>
    <t>nasv1235</t>
  </si>
  <si>
    <t>Nasvang</t>
  </si>
  <si>
    <t>Nasvang-Nisvai</t>
  </si>
  <si>
    <t>nata1238</t>
  </si>
  <si>
    <t>Natagaimas</t>
  </si>
  <si>
    <t>nts</t>
  </si>
  <si>
    <t>nata1252</t>
  </si>
  <si>
    <t>Natanzi</t>
  </si>
  <si>
    <t>ntz</t>
  </si>
  <si>
    <t>nata1253</t>
  </si>
  <si>
    <t>Natakani</t>
  </si>
  <si>
    <t>nata1254</t>
  </si>
  <si>
    <t>Northern Amis</t>
  </si>
  <si>
    <t>ais</t>
  </si>
  <si>
    <t>natc1248</t>
  </si>
  <si>
    <t>Natchaba</t>
  </si>
  <si>
    <t>natc1249</t>
  </si>
  <si>
    <t>Natchez</t>
  </si>
  <si>
    <t>ncz</t>
  </si>
  <si>
    <t>Nateni</t>
  </si>
  <si>
    <t>ntm</t>
  </si>
  <si>
    <t>nath1238</t>
  </si>
  <si>
    <t>Nathembo</t>
  </si>
  <si>
    <t>nte</t>
  </si>
  <si>
    <t>samu1243</t>
  </si>
  <si>
    <t>Natioro</t>
  </si>
  <si>
    <t>nti</t>
  </si>
  <si>
    <t>nati1244</t>
  </si>
  <si>
    <t>Nati</t>
  </si>
  <si>
    <t>Na-Togo</t>
  </si>
  <si>
    <t>natu1243</t>
  </si>
  <si>
    <t>Natuzaj</t>
  </si>
  <si>
    <t>Nat√ºgu</t>
  </si>
  <si>
    <t>ntu</t>
  </si>
  <si>
    <t>natu1247</t>
  </si>
  <si>
    <t>tand1258</t>
  </si>
  <si>
    <t>Naturalis</t>
  </si>
  <si>
    <t>natu1248</t>
  </si>
  <si>
    <t>Nat√∫</t>
  </si>
  <si>
    <t>natu1249</t>
  </si>
  <si>
    <t>Nat√ºgu (Retired)</t>
  </si>
  <si>
    <t>stc</t>
  </si>
  <si>
    <t>Natugu-Nalogo</t>
  </si>
  <si>
    <t>naue1237</t>
  </si>
  <si>
    <t>Nauete</t>
  </si>
  <si>
    <t>nxa</t>
  </si>
  <si>
    <t>nauk1242</t>
  </si>
  <si>
    <t>Naukan Yupik</t>
  </si>
  <si>
    <t>ynk</t>
  </si>
  <si>
    <t>naum1237</t>
  </si>
  <si>
    <t>Naumik</t>
  </si>
  <si>
    <t>naun1237</t>
  </si>
  <si>
    <t>Nauna</t>
  </si>
  <si>
    <t>ncn</t>
  </si>
  <si>
    <t>nauo1235</t>
  </si>
  <si>
    <t>unun9967</t>
  </si>
  <si>
    <t>Nauo</t>
  </si>
  <si>
    <t>nwo</t>
  </si>
  <si>
    <t>naur1243</t>
  </si>
  <si>
    <t>Nauru</t>
  </si>
  <si>
    <t>nau</t>
  </si>
  <si>
    <t>NR</t>
  </si>
  <si>
    <t>naur1244</t>
  </si>
  <si>
    <t>Naura</t>
  </si>
  <si>
    <t>naut1238</t>
  </si>
  <si>
    <t>Naut Aran√©s</t>
  </si>
  <si>
    <t>nava1242</t>
  </si>
  <si>
    <t>Navarrese</t>
  </si>
  <si>
    <t>navu1237</t>
  </si>
  <si>
    <t>Navut</t>
  </si>
  <si>
    <t>nsw</t>
  </si>
  <si>
    <t>navw1234</t>
  </si>
  <si>
    <t>Navwien</t>
  </si>
  <si>
    <t>nawa1239</t>
  </si>
  <si>
    <t>Nawa</t>
  </si>
  <si>
    <t>nawa1257</t>
  </si>
  <si>
    <t>Nawar</t>
  </si>
  <si>
    <t>nawa1258</t>
  </si>
  <si>
    <t>Nawaru</t>
  </si>
  <si>
    <t>nwr</t>
  </si>
  <si>
    <t>nawa1259</t>
  </si>
  <si>
    <t>Nawathinehena</t>
  </si>
  <si>
    <t>nwa</t>
  </si>
  <si>
    <t>nawd1238</t>
  </si>
  <si>
    <t>yomn1239</t>
  </si>
  <si>
    <t>Nawdm</t>
  </si>
  <si>
    <t>nmz</t>
  </si>
  <si>
    <t>nawu1241</t>
  </si>
  <si>
    <t>Nawurtu</t>
  </si>
  <si>
    <t>nawu1242</t>
  </si>
  <si>
    <t>Nawuri</t>
  </si>
  <si>
    <t>naw</t>
  </si>
  <si>
    <t>nawy1237</t>
  </si>
  <si>
    <t>Nawyem</t>
  </si>
  <si>
    <t>Naxi</t>
  </si>
  <si>
    <t>nxq</t>
  </si>
  <si>
    <t>naxi1246</t>
  </si>
  <si>
    <t>Naxi (Retired)</t>
  </si>
  <si>
    <t>nbf</t>
  </si>
  <si>
    <t>naxi1247</t>
  </si>
  <si>
    <t>Nuoxi Yao</t>
  </si>
  <si>
    <t>naya1237</t>
  </si>
  <si>
    <t>Nayar</t>
  </si>
  <si>
    <t>yazd1241</t>
  </si>
  <si>
    <t>Nayini</t>
  </si>
  <si>
    <t>nyq</t>
  </si>
  <si>
    <t>nayi1243</t>
  </si>
  <si>
    <t>Nayi</t>
  </si>
  <si>
    <t>noz</t>
  </si>
  <si>
    <t>naze1238</t>
  </si>
  <si>
    <t>nort2935</t>
  </si>
  <si>
    <t>Naze</t>
  </si>
  <si>
    <t>ncan1244</t>
  </si>
  <si>
    <t>Ncanm</t>
  </si>
  <si>
    <t>Ncane</t>
  </si>
  <si>
    <t>ncr</t>
  </si>
  <si>
    <t>noon1245</t>
  </si>
  <si>
    <t>Ncane-Cung</t>
  </si>
  <si>
    <t>ncha1238</t>
  </si>
  <si>
    <t>Ncha</t>
  </si>
  <si>
    <t>nchu1238</t>
  </si>
  <si>
    <t>Nchumbulu</t>
  </si>
  <si>
    <t>nlu</t>
  </si>
  <si>
    <t>Nchumbulu-Dwang</t>
  </si>
  <si>
    <t>ndaa1238</t>
  </si>
  <si>
    <t>N'da</t>
  </si>
  <si>
    <t>ndai1238</t>
  </si>
  <si>
    <t>Ndai</t>
  </si>
  <si>
    <t>gke</t>
  </si>
  <si>
    <t>ndak1241</t>
  </si>
  <si>
    <t>Ndaka</t>
  </si>
  <si>
    <t>ndk</t>
  </si>
  <si>
    <t>Ndaktup</t>
  </si>
  <si>
    <t>ncp</t>
  </si>
  <si>
    <t>Ndaka-Mbo</t>
  </si>
  <si>
    <t>ndal1241</t>
  </si>
  <si>
    <t>nyak1264</t>
  </si>
  <si>
    <t>Ndali</t>
  </si>
  <si>
    <t>ndh</t>
  </si>
  <si>
    <t>ndal1242</t>
  </si>
  <si>
    <t>Ndali (Zanaki)</t>
  </si>
  <si>
    <t>ndam1239</t>
  </si>
  <si>
    <t>pogo1242</t>
  </si>
  <si>
    <t>Ndamba</t>
  </si>
  <si>
    <t>ndj</t>
  </si>
  <si>
    <t>ndam1251</t>
  </si>
  <si>
    <t>Ndam</t>
  </si>
  <si>
    <t>ndm</t>
  </si>
  <si>
    <t>ndam1252</t>
  </si>
  <si>
    <t>Ndam Dik</t>
  </si>
  <si>
    <t>ndam1253</t>
  </si>
  <si>
    <t>Ndam-Ndam</t>
  </si>
  <si>
    <t>ndam1254</t>
  </si>
  <si>
    <t>sake1249</t>
  </si>
  <si>
    <t>Ndambomo</t>
  </si>
  <si>
    <t>nxo</t>
  </si>
  <si>
    <t>Nda'nda'</t>
  </si>
  <si>
    <t>nnz</t>
  </si>
  <si>
    <t>ndan1242</t>
  </si>
  <si>
    <t>Ndano</t>
  </si>
  <si>
    <t>ndas1238</t>
  </si>
  <si>
    <t>ndas1240</t>
  </si>
  <si>
    <t>Ndasa</t>
  </si>
  <si>
    <t>nda</t>
  </si>
  <si>
    <t>ndas1239</t>
  </si>
  <si>
    <t>Ndasa-Wumbvu-Samay</t>
  </si>
  <si>
    <t>Ndasa-Wumbvu</t>
  </si>
  <si>
    <t>ndee1241</t>
  </si>
  <si>
    <t>Nde (Mungaka)</t>
  </si>
  <si>
    <t>ndee1242</t>
  </si>
  <si>
    <t>nden1250</t>
  </si>
  <si>
    <t>Nde</t>
  </si>
  <si>
    <t>ndee1246</t>
  </si>
  <si>
    <t>Ndeewe</t>
  </si>
  <si>
    <t>Nde-Efutop</t>
  </si>
  <si>
    <t>ndeg1238</t>
  </si>
  <si>
    <t>Nde-Gbite</t>
  </si>
  <si>
    <t>ned</t>
  </si>
  <si>
    <t>Ndeiram</t>
  </si>
  <si>
    <t>ndel1238</t>
  </si>
  <si>
    <t>Ndele</t>
  </si>
  <si>
    <t>ndem1247</t>
  </si>
  <si>
    <t>sher1258</t>
  </si>
  <si>
    <t>Ndema Sherbro</t>
  </si>
  <si>
    <t>ndem1248</t>
  </si>
  <si>
    <t>Ndembu</t>
  </si>
  <si>
    <t>ndem1249</t>
  </si>
  <si>
    <t>Ndemli</t>
  </si>
  <si>
    <t>nml</t>
  </si>
  <si>
    <t>nden1248</t>
  </si>
  <si>
    <t>Ndengereko</t>
  </si>
  <si>
    <t>ndg</t>
  </si>
  <si>
    <t>nden1249</t>
  </si>
  <si>
    <t>nden1251</t>
  </si>
  <si>
    <t>Ndendeule</t>
  </si>
  <si>
    <t>dne</t>
  </si>
  <si>
    <t>Nde-Nsele-Nta</t>
  </si>
  <si>
    <t>ndd</t>
  </si>
  <si>
    <t>Ndendeule-Ngindo</t>
  </si>
  <si>
    <t>nder1244</t>
  </si>
  <si>
    <t>Ndera</t>
  </si>
  <si>
    <t>nder1245</t>
  </si>
  <si>
    <t>Ndera (Pokomo)</t>
  </si>
  <si>
    <t>nder1246</t>
  </si>
  <si>
    <t>Nderre</t>
  </si>
  <si>
    <t>ndes1238</t>
  </si>
  <si>
    <t>Ndese</t>
  </si>
  <si>
    <t>ndhu1237</t>
  </si>
  <si>
    <t>Ndhur</t>
  </si>
  <si>
    <t>ndia1238</t>
  </si>
  <si>
    <t>Ndia</t>
  </si>
  <si>
    <t>ndii1240</t>
  </si>
  <si>
    <t>Ndi</t>
  </si>
  <si>
    <t>ndii1241</t>
  </si>
  <si>
    <t>Ndi (Solomon Islands)</t>
  </si>
  <si>
    <t>ndin1244</t>
  </si>
  <si>
    <t>Ndingi</t>
  </si>
  <si>
    <t>ndin1245</t>
  </si>
  <si>
    <t>ndin1246</t>
  </si>
  <si>
    <t>Nding</t>
  </si>
  <si>
    <t>eli</t>
  </si>
  <si>
    <t>Nding-Tasomi</t>
  </si>
  <si>
    <t>ndit1238</t>
  </si>
  <si>
    <t>Nditam</t>
  </si>
  <si>
    <t>ndja1234</t>
  </si>
  <si>
    <t>njeb1244</t>
  </si>
  <si>
    <t>Ndjavi A</t>
  </si>
  <si>
    <t>Ndjavi B</t>
  </si>
  <si>
    <t>ndla1238</t>
  </si>
  <si>
    <t>Ndlambe</t>
  </si>
  <si>
    <t>ndob1238</t>
  </si>
  <si>
    <t>Ndobo</t>
  </si>
  <si>
    <t>ndw</t>
  </si>
  <si>
    <t>Ndoe</t>
  </si>
  <si>
    <t>nbb</t>
  </si>
  <si>
    <t>ndog1247</t>
  </si>
  <si>
    <t>Ndogo-Sere</t>
  </si>
  <si>
    <t>ndog1248</t>
  </si>
  <si>
    <t>Ndogo</t>
  </si>
  <si>
    <t>ndz</t>
  </si>
  <si>
    <t>ndog1249</t>
  </si>
  <si>
    <t>Ndogbang</t>
  </si>
  <si>
    <t>ndok1253</t>
  </si>
  <si>
    <t>Ndokpa</t>
  </si>
  <si>
    <t>ndok1254</t>
  </si>
  <si>
    <t>Ndokama</t>
  </si>
  <si>
    <t>ndok1255</t>
  </si>
  <si>
    <t>Ndokpenda</t>
  </si>
  <si>
    <t>ndok1256</t>
  </si>
  <si>
    <t>Ndokbele</t>
  </si>
  <si>
    <t>ndok1257</t>
  </si>
  <si>
    <t>Ndokbiakat</t>
  </si>
  <si>
    <t>ndok1258</t>
  </si>
  <si>
    <t>Ndoktuna</t>
  </si>
  <si>
    <t>ndol1238</t>
  </si>
  <si>
    <t>Ndolo</t>
  </si>
  <si>
    <t>ndl</t>
  </si>
  <si>
    <t>ndom1244</t>
  </si>
  <si>
    <t>unun9922</t>
  </si>
  <si>
    <t>Ndombe</t>
  </si>
  <si>
    <t>ndq</t>
  </si>
  <si>
    <t>ndom1245</t>
  </si>
  <si>
    <t>Ndom</t>
  </si>
  <si>
    <t>nqm</t>
  </si>
  <si>
    <t>ndon1251</t>
  </si>
  <si>
    <t>Ndonge</t>
  </si>
  <si>
    <t>ndon1252</t>
  </si>
  <si>
    <t>Ndonde Hamba</t>
  </si>
  <si>
    <t>njd</t>
  </si>
  <si>
    <t>Ndonga (R.20)</t>
  </si>
  <si>
    <t>Ndonga</t>
  </si>
  <si>
    <t>ndon1255</t>
  </si>
  <si>
    <t>Ndoni</t>
  </si>
  <si>
    <t>ndoo1241</t>
  </si>
  <si>
    <t>Ndoola</t>
  </si>
  <si>
    <t>ndr</t>
  </si>
  <si>
    <t>Ndo</t>
  </si>
  <si>
    <t>ndp</t>
  </si>
  <si>
    <t>ndra1238</t>
  </si>
  <si>
    <t>Ndramini'o</t>
  </si>
  <si>
    <t>ndra1239</t>
  </si>
  <si>
    <t>Ndra'ngith</t>
  </si>
  <si>
    <t>dgt</t>
  </si>
  <si>
    <t>ndre1238</t>
  </si>
  <si>
    <t>Ndreng</t>
  </si>
  <si>
    <t>ndre1239</t>
  </si>
  <si>
    <t>Ndreme</t>
  </si>
  <si>
    <t>Ndrulo</t>
  </si>
  <si>
    <t>dno</t>
  </si>
  <si>
    <t>Nduga-Luto</t>
  </si>
  <si>
    <t>ngal1299</t>
  </si>
  <si>
    <t>Nduga</t>
  </si>
  <si>
    <t>ndx</t>
  </si>
  <si>
    <t>ndui1237</t>
  </si>
  <si>
    <t>west2513</t>
  </si>
  <si>
    <t>Nduindui</t>
  </si>
  <si>
    <t>nduk1240</t>
  </si>
  <si>
    <t>Nduka</t>
  </si>
  <si>
    <t>Ndumu</t>
  </si>
  <si>
    <t>nmd</t>
  </si>
  <si>
    <t>Ndumu-Bakanike</t>
  </si>
  <si>
    <t>Ndunga-Mba-Dongo</t>
  </si>
  <si>
    <t>Ndunga-Mba</t>
  </si>
  <si>
    <t>ndun1249</t>
  </si>
  <si>
    <t>Ndunga</t>
  </si>
  <si>
    <t>ndt</t>
  </si>
  <si>
    <t>ndun1250</t>
  </si>
  <si>
    <t>Ndundusana</t>
  </si>
  <si>
    <t>ndun1251</t>
  </si>
  <si>
    <t>Ndunda</t>
  </si>
  <si>
    <t>nuh</t>
  </si>
  <si>
    <t>ndur1238</t>
  </si>
  <si>
    <t>Ndura</t>
  </si>
  <si>
    <t>ndut1239</t>
  </si>
  <si>
    <t>palo1244</t>
  </si>
  <si>
    <t>Ndut</t>
  </si>
  <si>
    <t>ndv</t>
  </si>
  <si>
    <t>Ndu</t>
  </si>
  <si>
    <t>nduv1238</t>
  </si>
  <si>
    <t>Nduvum</t>
  </si>
  <si>
    <t>ndxh1238</t>
  </si>
  <si>
    <t>Ndxhonge</t>
  </si>
  <si>
    <t>ndya1238</t>
  </si>
  <si>
    <t>Ndyanger</t>
  </si>
  <si>
    <t>ndyu1241</t>
  </si>
  <si>
    <t>trio1239</t>
  </si>
  <si>
    <t>Ndyuka-Trio Pidgin</t>
  </si>
  <si>
    <t>njt</t>
  </si>
  <si>
    <t>Aukan</t>
  </si>
  <si>
    <t>djk</t>
  </si>
  <si>
    <t>Ndzem-Bomwali</t>
  </si>
  <si>
    <t>ndzo1234</t>
  </si>
  <si>
    <t>Ndzorge</t>
  </si>
  <si>
    <t>ndzw1235</t>
  </si>
  <si>
    <t>Ndzwani Comorian</t>
  </si>
  <si>
    <t>wni</t>
  </si>
  <si>
    <t>neaa1234</t>
  </si>
  <si>
    <t>Nea</t>
  </si>
  <si>
    <t>neao1241</t>
  </si>
  <si>
    <t>Neao</t>
  </si>
  <si>
    <t>neao1242</t>
  </si>
  <si>
    <t>Neao (Indonesia)</t>
  </si>
  <si>
    <t>Continental Southern Italian</t>
  </si>
  <si>
    <t>nap</t>
  </si>
  <si>
    <t>neba1238</t>
  </si>
  <si>
    <t>orej1242</t>
  </si>
  <si>
    <t>Nebaji</t>
  </si>
  <si>
    <t>nebr1238</t>
  </si>
  <si>
    <t>Nebraska</t>
  </si>
  <si>
    <t>oste1242</t>
  </si>
  <si>
    <t>Nedansiljan</t>
  </si>
  <si>
    <t>nede1244</t>
  </si>
  <si>
    <t>yamb1252</t>
  </si>
  <si>
    <t>Nedek</t>
  </si>
  <si>
    <t>nede1245</t>
  </si>
  <si>
    <t>Klamu</t>
  </si>
  <si>
    <t>nec</t>
  </si>
  <si>
    <t>vast1234</t>
  </si>
  <si>
    <t>Nedre V√§sterdalm√•l</t>
  </si>
  <si>
    <t>neee1239</t>
  </si>
  <si>
    <t>Nee</t>
  </si>
  <si>
    <t>neel1238</t>
  </si>
  <si>
    <t>pard1243</t>
  </si>
  <si>
    <t>Neelishikari</t>
  </si>
  <si>
    <t>nefa1235</t>
  </si>
  <si>
    <t>Nefamese</t>
  </si>
  <si>
    <t>nef</t>
  </si>
  <si>
    <t>nege1240</t>
  </si>
  <si>
    <t>Negeri Sembilan Malay</t>
  </si>
  <si>
    <t>zmi</t>
  </si>
  <si>
    <t>nege1241</t>
  </si>
  <si>
    <t>Negeri Lima</t>
  </si>
  <si>
    <t>nege1244</t>
  </si>
  <si>
    <t>Negerhollands</t>
  </si>
  <si>
    <t>dcr</t>
  </si>
  <si>
    <t>VI</t>
  </si>
  <si>
    <t>negi1245</t>
  </si>
  <si>
    <t>Negidal</t>
  </si>
  <si>
    <t>neg</t>
  </si>
  <si>
    <t>negr1235</t>
  </si>
  <si>
    <t>Negri Besar</t>
  </si>
  <si>
    <t>Negrosanon</t>
  </si>
  <si>
    <t>Negro-Roraima</t>
  </si>
  <si>
    <t>negu1238</t>
  </si>
  <si>
    <t>Negueni-Klani</t>
  </si>
  <si>
    <t>neha1246</t>
  </si>
  <si>
    <t>North Bougainville Oceanic</t>
  </si>
  <si>
    <t>neha1247</t>
  </si>
  <si>
    <t>Nehan</t>
  </si>
  <si>
    <t>nsn</t>
  </si>
  <si>
    <t>nehu1238</t>
  </si>
  <si>
    <t>N√´hup</t>
  </si>
  <si>
    <t>neid1234</t>
  </si>
  <si>
    <t>Neiderl√§ndische</t>
  </si>
  <si>
    <t>neju1238</t>
  </si>
  <si>
    <t>Nejuu</t>
  </si>
  <si>
    <t>neke1238</t>
  </si>
  <si>
    <t>Nekedi</t>
  </si>
  <si>
    <t>nekg1240</t>
  </si>
  <si>
    <t>Nekgini</t>
  </si>
  <si>
    <t>nkg</t>
  </si>
  <si>
    <t>nekn1234</t>
  </si>
  <si>
    <t>Nek</t>
  </si>
  <si>
    <t>nif</t>
  </si>
  <si>
    <t>Nek-Nuk</t>
  </si>
  <si>
    <t>neko1240</t>
  </si>
  <si>
    <t>Neko</t>
  </si>
  <si>
    <t>nej</t>
  </si>
  <si>
    <t>neku1237</t>
  </si>
  <si>
    <t>Neku</t>
  </si>
  <si>
    <t>nek</t>
  </si>
  <si>
    <t>nell1237</t>
  </si>
  <si>
    <t>Nellore</t>
  </si>
  <si>
    <t>nemb1238</t>
  </si>
  <si>
    <t>Nembe</t>
  </si>
  <si>
    <t>nemb1239</t>
  </si>
  <si>
    <t>Nemba</t>
  </si>
  <si>
    <t>neme1244</t>
  </si>
  <si>
    <t>Neme</t>
  </si>
  <si>
    <t>nex</t>
  </si>
  <si>
    <t>nemi1240</t>
  </si>
  <si>
    <t>Nemi</t>
  </si>
  <si>
    <t>nem</t>
  </si>
  <si>
    <t>nend1239</t>
  </si>
  <si>
    <t>Nend</t>
  </si>
  <si>
    <t>anh</t>
  </si>
  <si>
    <t>Tundra Nenets</t>
  </si>
  <si>
    <t>nene1250</t>
  </si>
  <si>
    <t>Nenema</t>
  </si>
  <si>
    <t>Nenets</t>
  </si>
  <si>
    <t>neng1238</t>
  </si>
  <si>
    <t>Nengone</t>
  </si>
  <si>
    <t>nen</t>
  </si>
  <si>
    <t>nenn1238</t>
  </si>
  <si>
    <t>Nen</t>
  </si>
  <si>
    <t>nqn</t>
  </si>
  <si>
    <t>nenu1237</t>
  </si>
  <si>
    <t>Nenusa-Maingas</t>
  </si>
  <si>
    <t>neny1238</t>
  </si>
  <si>
    <t>Nenya</t>
  </si>
  <si>
    <t>neoa1234</t>
  </si>
  <si>
    <t>Neo (Artificial Language)</t>
  </si>
  <si>
    <t>neu</t>
  </si>
  <si>
    <t>neoo1234</t>
  </si>
  <si>
    <t>Neo</t>
  </si>
  <si>
    <t>neop1239</t>
  </si>
  <si>
    <t>puni1241</t>
  </si>
  <si>
    <t>Neo-Punic</t>
  </si>
  <si>
    <t>nepa1250</t>
  </si>
  <si>
    <t>Nepalese Sign Language</t>
  </si>
  <si>
    <t>nsp</t>
  </si>
  <si>
    <t>nepa1253</t>
  </si>
  <si>
    <t>Nepali Kurux</t>
  </si>
  <si>
    <t>kxl</t>
  </si>
  <si>
    <t>Nepali</t>
  </si>
  <si>
    <t>nepa1255</t>
  </si>
  <si>
    <t>Nepa</t>
  </si>
  <si>
    <t>nera1237</t>
  </si>
  <si>
    <t>Nerauya</t>
  </si>
  <si>
    <t>nere1239</t>
  </si>
  <si>
    <t>Nerezim</t>
  </si>
  <si>
    <t>nerw1238</t>
  </si>
  <si>
    <t>Nerwa</t>
  </si>
  <si>
    <t>nese1235</t>
  </si>
  <si>
    <t>Nese</t>
  </si>
  <si>
    <t>Nesu-Nasu</t>
  </si>
  <si>
    <t>nesu1235</t>
  </si>
  <si>
    <t>Nesu</t>
  </si>
  <si>
    <t>neta1235</t>
  </si>
  <si>
    <t>NE Tasmanian Dialect Chain</t>
  </si>
  <si>
    <t>nete1240</t>
  </si>
  <si>
    <t>Nete</t>
  </si>
  <si>
    <t>net</t>
  </si>
  <si>
    <t>neth1239</t>
  </si>
  <si>
    <t>Nethanar</t>
  </si>
  <si>
    <t>nets1241</t>
  </si>
  <si>
    <t>Natsilingmiutut</t>
  </si>
  <si>
    <t>neuc1242</t>
  </si>
  <si>
    <t>Neuch-Telois</t>
  </si>
  <si>
    <t>neuc1243</t>
  </si>
  <si>
    <t>Neuchatelais</t>
  </si>
  <si>
    <t>neut1237</t>
  </si>
  <si>
    <t>Neutral-Atiouandaronk</t>
  </si>
  <si>
    <t>Neva</t>
  </si>
  <si>
    <t>newa1245</t>
  </si>
  <si>
    <t>Newaric</t>
  </si>
  <si>
    <t>Kathmandu Valley Newari</t>
  </si>
  <si>
    <t>new</t>
  </si>
  <si>
    <t>Newar</t>
  </si>
  <si>
    <t>newb1246</t>
  </si>
  <si>
    <t>New Busa</t>
  </si>
  <si>
    <t>sout3173</t>
  </si>
  <si>
    <t>New Caledonian</t>
  </si>
  <si>
    <t>newc1244</t>
  </si>
  <si>
    <t>New Caledonian Javanese</t>
  </si>
  <si>
    <t>jas</t>
  </si>
  <si>
    <t>newc1245</t>
  </si>
  <si>
    <t>New Caledonian Pidgin French</t>
  </si>
  <si>
    <t>New Georgia</t>
  </si>
  <si>
    <t>New Ireland-Northwest Solomonic linkage</t>
  </si>
  <si>
    <t>newr1237</t>
  </si>
  <si>
    <t>New River Shasta</t>
  </si>
  <si>
    <t>news1234</t>
  </si>
  <si>
    <t>New South Wales Pidgin</t>
  </si>
  <si>
    <t>sout3135</t>
  </si>
  <si>
    <t>New South Wales Pama-Nyungan</t>
  </si>
  <si>
    <t>shto1241</t>
  </si>
  <si>
    <t>New Shtokavian</t>
  </si>
  <si>
    <t>newy1234</t>
  </si>
  <si>
    <t>New York City English</t>
  </si>
  <si>
    <t>newz1236</t>
  </si>
  <si>
    <t>New Zealand Sign Language</t>
  </si>
  <si>
    <t>nzs</t>
  </si>
  <si>
    <t>newz1240</t>
  </si>
  <si>
    <t>New Zealand English</t>
  </si>
  <si>
    <t>neyo1238</t>
  </si>
  <si>
    <t>Neyo</t>
  </si>
  <si>
    <t>ney</t>
  </si>
  <si>
    <t>neyy1238</t>
  </si>
  <si>
    <t>Ney</t>
  </si>
  <si>
    <t>nezp1238</t>
  </si>
  <si>
    <t>Nez Perce</t>
  </si>
  <si>
    <t>nez</t>
  </si>
  <si>
    <t>ngaa1240</t>
  </si>
  <si>
    <t>tjar1234</t>
  </si>
  <si>
    <t>Ngaanyatjarra</t>
  </si>
  <si>
    <t>ntj</t>
  </si>
  <si>
    <t>ngaa1241</t>
  </si>
  <si>
    <t>Ngaalam</t>
  </si>
  <si>
    <t>Ng√§bere</t>
  </si>
  <si>
    <t>gym</t>
  </si>
  <si>
    <t>ngad1257</t>
  </si>
  <si>
    <t>Ngadjuri</t>
  </si>
  <si>
    <t>ngad1258</t>
  </si>
  <si>
    <t>Ngadjunmaya</t>
  </si>
  <si>
    <t>nju</t>
  </si>
  <si>
    <t>ngad1259</t>
  </si>
  <si>
    <t>Ngadanja</t>
  </si>
  <si>
    <t>ngad1260</t>
  </si>
  <si>
    <t>Ngadjan</t>
  </si>
  <si>
    <t>ngad1267</t>
  </si>
  <si>
    <t>Ngad'a</t>
  </si>
  <si>
    <t>nxg</t>
  </si>
  <si>
    <t>ngad1265</t>
  </si>
  <si>
    <t>Central Flores-Paluqe</t>
  </si>
  <si>
    <t>Central Flores</t>
  </si>
  <si>
    <t>Ngada</t>
  </si>
  <si>
    <t>ngai1241</t>
  </si>
  <si>
    <t>unun9980</t>
  </si>
  <si>
    <t>Ngaing</t>
  </si>
  <si>
    <t>nnf</t>
  </si>
  <si>
    <t>Ngaju</t>
  </si>
  <si>
    <t>nij</t>
  </si>
  <si>
    <t>ngal1290</t>
  </si>
  <si>
    <t>Ngala (Kumi Chin)</t>
  </si>
  <si>
    <t>Nga La</t>
  </si>
  <si>
    <t>hlt</t>
  </si>
  <si>
    <t>ngal1292</t>
  </si>
  <si>
    <t>Ngalkbun</t>
  </si>
  <si>
    <t>ngk</t>
  </si>
  <si>
    <t>ngal1293</t>
  </si>
  <si>
    <t>Ngalakgan</t>
  </si>
  <si>
    <t>nig</t>
  </si>
  <si>
    <t>ngal1294</t>
  </si>
  <si>
    <t>Ngaliwurru</t>
  </si>
  <si>
    <t>ngal1295</t>
  </si>
  <si>
    <t>Ngalo</t>
  </si>
  <si>
    <t>ngal1296</t>
  </si>
  <si>
    <t>Ngala-Santandrea</t>
  </si>
  <si>
    <t>ngal1297</t>
  </si>
  <si>
    <t>Ngalabo</t>
  </si>
  <si>
    <t>Ngalum</t>
  </si>
  <si>
    <t>szb</t>
  </si>
  <si>
    <t>Ngalik-Nduga</t>
  </si>
  <si>
    <t>ngal1300</t>
  </si>
  <si>
    <t>Ngala</t>
  </si>
  <si>
    <t>nud</t>
  </si>
  <si>
    <t>ngal1301</t>
  </si>
  <si>
    <t>Ngala of Lake Chad</t>
  </si>
  <si>
    <t>Ngamini-Yarluyandi-Karangura</t>
  </si>
  <si>
    <t>nmv</t>
  </si>
  <si>
    <t>ngam1266</t>
  </si>
  <si>
    <t>Ngam (Cameroon)</t>
  </si>
  <si>
    <t>ngam1267</t>
  </si>
  <si>
    <t>Ngamambo</t>
  </si>
  <si>
    <t>nbv</t>
  </si>
  <si>
    <t>Ngambay</t>
  </si>
  <si>
    <t>sba</t>
  </si>
  <si>
    <t>Ngam</t>
  </si>
  <si>
    <t>nmc</t>
  </si>
  <si>
    <t>ngam1270</t>
  </si>
  <si>
    <t>Ngam Tel</t>
  </si>
  <si>
    <t>ngam1271</t>
  </si>
  <si>
    <t>Ngam Gir Bor</t>
  </si>
  <si>
    <t>ngam1272</t>
  </si>
  <si>
    <t>Ngam Tira</t>
  </si>
  <si>
    <t>ngam1281</t>
  </si>
  <si>
    <t>Ngam (Chad)</t>
  </si>
  <si>
    <t>ngam1282</t>
  </si>
  <si>
    <t>Ngamo</t>
  </si>
  <si>
    <t>nbh</t>
  </si>
  <si>
    <t>Ngamo-Bele</t>
  </si>
  <si>
    <t>ngam1284</t>
  </si>
  <si>
    <t>Ngamini</t>
  </si>
  <si>
    <t>Nganasan</t>
  </si>
  <si>
    <t>ngan1293</t>
  </si>
  <si>
    <t>Ngangching</t>
  </si>
  <si>
    <t>ngan1295</t>
  </si>
  <si>
    <t>Ngandi</t>
  </si>
  <si>
    <t>nid</t>
  </si>
  <si>
    <t>ngan1296</t>
  </si>
  <si>
    <t>Nganyaywana</t>
  </si>
  <si>
    <t>nyx</t>
  </si>
  <si>
    <t>ngan1297</t>
  </si>
  <si>
    <t>Ngangi-Wumeri</t>
  </si>
  <si>
    <t>ngan1298</t>
  </si>
  <si>
    <t>Ngangi-Tjemerri</t>
  </si>
  <si>
    <t>Ngangam</t>
  </si>
  <si>
    <t>gng</t>
  </si>
  <si>
    <t>ngan1300</t>
  </si>
  <si>
    <t>unun9923</t>
  </si>
  <si>
    <t>Ngandyera</t>
  </si>
  <si>
    <t>nne</t>
  </si>
  <si>
    <t>Ngando-Lalia</t>
  </si>
  <si>
    <t>nxd</t>
  </si>
  <si>
    <t>Ngando (Central African Republic)</t>
  </si>
  <si>
    <t>ngd</t>
  </si>
  <si>
    <t>ngan1305</t>
  </si>
  <si>
    <t>Ngangea-So</t>
  </si>
  <si>
    <t>Ngangela-Nyemba</t>
  </si>
  <si>
    <t>ngan1308</t>
  </si>
  <si>
    <t>Ngando (Democratic Republic of Congo)</t>
  </si>
  <si>
    <t>ngan1309</t>
  </si>
  <si>
    <t>Nganduwal</t>
  </si>
  <si>
    <t>ngao1243</t>
  </si>
  <si>
    <t>Ngaond√©r√©</t>
  </si>
  <si>
    <t>ngao1244</t>
  </si>
  <si>
    <t>Ngao</t>
  </si>
  <si>
    <t>ngao1245</t>
  </si>
  <si>
    <t>Nga'o</t>
  </si>
  <si>
    <t>ngap1238</t>
  </si>
  <si>
    <t>Ngapo</t>
  </si>
  <si>
    <t>Ngarinman</t>
  </si>
  <si>
    <t>nbj</t>
  </si>
  <si>
    <t>ngar1283</t>
  </si>
  <si>
    <t>Ngarnka</t>
  </si>
  <si>
    <t>nji</t>
  </si>
  <si>
    <t>Ngarinyin</t>
  </si>
  <si>
    <t>ngar1285</t>
  </si>
  <si>
    <t>Ngarnawu</t>
  </si>
  <si>
    <t>ngar1286</t>
  </si>
  <si>
    <t>Ngarla on the Ashburton river south of the Hamersley range</t>
  </si>
  <si>
    <t>nlr</t>
  </si>
  <si>
    <t>Ngarluma</t>
  </si>
  <si>
    <t>nrl</t>
  </si>
  <si>
    <t>ngar1288</t>
  </si>
  <si>
    <t>Ngardi</t>
  </si>
  <si>
    <t>rxd</t>
  </si>
  <si>
    <t>ngar1289</t>
  </si>
  <si>
    <t>ngum1251</t>
  </si>
  <si>
    <t>Yapa</t>
  </si>
  <si>
    <t>ngar1290</t>
  </si>
  <si>
    <t>Ngarna</t>
  </si>
  <si>
    <t>ngar1291</t>
  </si>
  <si>
    <t>sout2766</t>
  </si>
  <si>
    <t>Ngarru</t>
  </si>
  <si>
    <t>ngar1292</t>
  </si>
  <si>
    <t>Ngare</t>
  </si>
  <si>
    <t>Ngarluma-Kariyarra</t>
  </si>
  <si>
    <t>ngar1294</t>
  </si>
  <si>
    <t>Ngarluma-based pidgin</t>
  </si>
  <si>
    <t>ngar1296</t>
  </si>
  <si>
    <t>nort3178</t>
  </si>
  <si>
    <t>Ngarla</t>
  </si>
  <si>
    <t>nrk</t>
  </si>
  <si>
    <t>ngar1297</t>
  </si>
  <si>
    <t>Ngarigu</t>
  </si>
  <si>
    <t>xni</t>
  </si>
  <si>
    <t>ngar1298</t>
  </si>
  <si>
    <t>Ngaraangbal</t>
  </si>
  <si>
    <t>ngas1238</t>
  </si>
  <si>
    <t>onga1238</t>
  </si>
  <si>
    <t>Ngasa</t>
  </si>
  <si>
    <t>nsg</t>
  </si>
  <si>
    <t>Ngas</t>
  </si>
  <si>
    <t>anc</t>
  </si>
  <si>
    <t>Ngas-Belneng</t>
  </si>
  <si>
    <t>ngat1245</t>
  </si>
  <si>
    <t>Ngatan</t>
  </si>
  <si>
    <t>ngat1246</t>
  </si>
  <si>
    <t>Ngatharra-Ngathana-Iinychanya</t>
  </si>
  <si>
    <t>ngat1248</t>
  </si>
  <si>
    <t>Ngatik Men's Creole</t>
  </si>
  <si>
    <t>ngm</t>
  </si>
  <si>
    <t>ngav1237</t>
  </si>
  <si>
    <t>Ngavalus-Lossuk</t>
  </si>
  <si>
    <t>ngaw1239</t>
  </si>
  <si>
    <t>Ngawn Chin</t>
  </si>
  <si>
    <t>cnw</t>
  </si>
  <si>
    <t>ngaw1240</t>
  </si>
  <si>
    <t>Ngawun</t>
  </si>
  <si>
    <t>nxn</t>
  </si>
  <si>
    <t>Ngayarda</t>
  </si>
  <si>
    <t>ngay1242</t>
  </si>
  <si>
    <t>Ngaymil</t>
  </si>
  <si>
    <t>ngaz1238</t>
  </si>
  <si>
    <t>Ngazidja Comorian</t>
  </si>
  <si>
    <t>zdj</t>
  </si>
  <si>
    <t>ngaz1239</t>
  </si>
  <si>
    <t>Ngazar</t>
  </si>
  <si>
    <t>ngba1279</t>
  </si>
  <si>
    <t>Ngbang</t>
  </si>
  <si>
    <t>Ngbandic</t>
  </si>
  <si>
    <t>ngba1284</t>
  </si>
  <si>
    <t>Ngbaka Ma'bo</t>
  </si>
  <si>
    <t>nbm</t>
  </si>
  <si>
    <t>ngba1285</t>
  </si>
  <si>
    <t>Ngbaka Minagende</t>
  </si>
  <si>
    <t>nga</t>
  </si>
  <si>
    <t>Ngbaka-Manza-Ali</t>
  </si>
  <si>
    <t>ngba1287</t>
  </si>
  <si>
    <t>Ngbaka Manza</t>
  </si>
  <si>
    <t>ngg</t>
  </si>
  <si>
    <t>ngba1288</t>
  </si>
  <si>
    <t>Ngbala</t>
  </si>
  <si>
    <t>ngba1289</t>
  </si>
  <si>
    <t>Ngbako</t>
  </si>
  <si>
    <t>Ngbandi-Mongoba-Kazibati</t>
  </si>
  <si>
    <t>sere1265</t>
  </si>
  <si>
    <t>Ngbaka-Mba</t>
  </si>
  <si>
    <t>Mundu-Baka</t>
  </si>
  <si>
    <t>ngbe1238</t>
  </si>
  <si>
    <t>Ngbee</t>
  </si>
  <si>
    <t>jgb</t>
  </si>
  <si>
    <t>Ngbele-Ngenda</t>
  </si>
  <si>
    <t>ngbi1238</t>
  </si>
  <si>
    <t>Ngbinda</t>
  </si>
  <si>
    <t>nbd</t>
  </si>
  <si>
    <t>Ngbinda-Mayeka</t>
  </si>
  <si>
    <t>ngbu1241</t>
  </si>
  <si>
    <t>Ngbundu</t>
  </si>
  <si>
    <t>nuu</t>
  </si>
  <si>
    <t>ngbu1242</t>
  </si>
  <si>
    <t>Ngbugu</t>
  </si>
  <si>
    <t>ngee1239</t>
  </si>
  <si>
    <t>Ngee</t>
  </si>
  <si>
    <t>Ngelima</t>
  </si>
  <si>
    <t>agh</t>
  </si>
  <si>
    <t>ngem1252</t>
  </si>
  <si>
    <t>Ngemu</t>
  </si>
  <si>
    <t>ngem1253</t>
  </si>
  <si>
    <t>Ngemba (Ghomala')</t>
  </si>
  <si>
    <t>Ngembaic</t>
  </si>
  <si>
    <t>Ngemba</t>
  </si>
  <si>
    <t>nge</t>
  </si>
  <si>
    <t>ngem1256</t>
  </si>
  <si>
    <t>Ngemere</t>
  </si>
  <si>
    <t>ngen1250</t>
  </si>
  <si>
    <t>Ngente</t>
  </si>
  <si>
    <t>ngen1251</t>
  </si>
  <si>
    <t>Ngenkiwumerri</t>
  </si>
  <si>
    <t>ngen1252</t>
  </si>
  <si>
    <t>Ngende</t>
  </si>
  <si>
    <t>ngen1253</t>
  </si>
  <si>
    <t>Ngenge</t>
  </si>
  <si>
    <t>ngen1254</t>
  </si>
  <si>
    <t>Ngeno-Ngene</t>
  </si>
  <si>
    <t>Ngendan</t>
  </si>
  <si>
    <t>ngen1256</t>
  </si>
  <si>
    <t>Ngen of Djonkro</t>
  </si>
  <si>
    <t>gnj</t>
  </si>
  <si>
    <t>ngen1257</t>
  </si>
  <si>
    <t>Ngendelengo</t>
  </si>
  <si>
    <t>nql</t>
  </si>
  <si>
    <t>ngeq1245</t>
  </si>
  <si>
    <t>taoi1247</t>
  </si>
  <si>
    <t>Kriang-Khlor</t>
  </si>
  <si>
    <t>ngt</t>
  </si>
  <si>
    <t>nger1241</t>
  </si>
  <si>
    <t>Ngero</t>
  </si>
  <si>
    <t>Ngero-Vitiaz linkage</t>
  </si>
  <si>
    <t>nget1237</t>
  </si>
  <si>
    <t>Ngeto-Ngete</t>
  </si>
  <si>
    <t>nget1241</t>
  </si>
  <si>
    <t>Ngete</t>
  </si>
  <si>
    <t>nnn</t>
  </si>
  <si>
    <t>ngga1239</t>
  </si>
  <si>
    <t>Nggaura</t>
  </si>
  <si>
    <t>nucl1470</t>
  </si>
  <si>
    <t>Nggelic</t>
  </si>
  <si>
    <t>ngge1241</t>
  </si>
  <si>
    <t>Nggem</t>
  </si>
  <si>
    <t>nbq</t>
  </si>
  <si>
    <t>nggw1242</t>
  </si>
  <si>
    <t>Nggwahyi</t>
  </si>
  <si>
    <t>ngx</t>
  </si>
  <si>
    <t>nggw1243</t>
  </si>
  <si>
    <t>Nggwoli</t>
  </si>
  <si>
    <t>Ngiemboon</t>
  </si>
  <si>
    <t>nnh</t>
  </si>
  <si>
    <t>ngie1243</t>
  </si>
  <si>
    <t>Ngie</t>
  </si>
  <si>
    <t>ngj</t>
  </si>
  <si>
    <t>Ngie-Oshie</t>
  </si>
  <si>
    <t>Buram Hill Chain</t>
  </si>
  <si>
    <t>Ngile</t>
  </si>
  <si>
    <t>jle</t>
  </si>
  <si>
    <t>ngin1244</t>
  </si>
  <si>
    <t>Ngindo</t>
  </si>
  <si>
    <t>nnq</t>
  </si>
  <si>
    <t>ngin1245</t>
  </si>
  <si>
    <t>Nginyukwur</t>
  </si>
  <si>
    <t>ngin1246</t>
  </si>
  <si>
    <t>Nginia</t>
  </si>
  <si>
    <t>ngin1247</t>
  </si>
  <si>
    <t>uppe1415</t>
  </si>
  <si>
    <t>Ngindadj</t>
  </si>
  <si>
    <t>ngir1247</t>
  </si>
  <si>
    <t>Ngirere</t>
  </si>
  <si>
    <t>Ngiri</t>
  </si>
  <si>
    <t>ngir1249</t>
  </si>
  <si>
    <t>Ngiri Riverain</t>
  </si>
  <si>
    <t>Ngiri Terrien</t>
  </si>
  <si>
    <t>Ngiri Riverain Mongala</t>
  </si>
  <si>
    <t>ngir1252</t>
  </si>
  <si>
    <t>Ngiri Riverain Ubangi</t>
  </si>
  <si>
    <t>Ngiri Riverain Ubangi-Interieur</t>
  </si>
  <si>
    <t>Ngiri Riverain Ubangi-Ripuaire</t>
  </si>
  <si>
    <t>Ngiti</t>
  </si>
  <si>
    <t>niy</t>
  </si>
  <si>
    <t>ngiz1242</t>
  </si>
  <si>
    <t>ngiz1243</t>
  </si>
  <si>
    <t>Ngizim</t>
  </si>
  <si>
    <t>ngi</t>
  </si>
  <si>
    <t>Ngizim-Southwestern Bade</t>
  </si>
  <si>
    <t>ngka1235</t>
  </si>
  <si>
    <t>Ngkontar Ngkolmpu</t>
  </si>
  <si>
    <t>kcd</t>
  </si>
  <si>
    <t>ngkr1234</t>
  </si>
  <si>
    <t>Ngkantr</t>
  </si>
  <si>
    <t>ngka1237</t>
  </si>
  <si>
    <t>smar1235</t>
  </si>
  <si>
    <t>Ngkantia</t>
  </si>
  <si>
    <t>ngke1238</t>
  </si>
  <si>
    <t>||Ng!ke</t>
  </si>
  <si>
    <t>ngko1236</t>
  </si>
  <si>
    <t>Ngkoth</t>
  </si>
  <si>
    <t>Ngkrn-Ngkantr</t>
  </si>
  <si>
    <t>ngkr1235</t>
  </si>
  <si>
    <t>Ngkrnc of Rawa Biru</t>
  </si>
  <si>
    <t>ngkr1236</t>
  </si>
  <si>
    <t>Ngkrnc</t>
  </si>
  <si>
    <t>Ngkrnc of Tomerau and Rawa Biru</t>
  </si>
  <si>
    <t>ngkr1238</t>
  </si>
  <si>
    <t>Ngkrnc of Tomerau</t>
  </si>
  <si>
    <t>ngoa1238</t>
  </si>
  <si>
    <t>Ngoahu</t>
  </si>
  <si>
    <t>ngoc1235</t>
  </si>
  <si>
    <t>Ngochang</t>
  </si>
  <si>
    <t>Bafaw-Balong-Manenguba</t>
  </si>
  <si>
    <t>ngok1244</t>
  </si>
  <si>
    <t>Ngoka</t>
  </si>
  <si>
    <t>ngok1245</t>
  </si>
  <si>
    <t>Ngok-Sobat</t>
  </si>
  <si>
    <t>ngok1246</t>
  </si>
  <si>
    <t>Ngok-Kordofan</t>
  </si>
  <si>
    <t>ngol1244</t>
  </si>
  <si>
    <t>Ngola (Banda-Banda)</t>
  </si>
  <si>
    <t>ngol1245</t>
  </si>
  <si>
    <t>Ngologa</t>
  </si>
  <si>
    <t>ngol1246</t>
  </si>
  <si>
    <t>Ngola</t>
  </si>
  <si>
    <t>ngom1264</t>
  </si>
  <si>
    <t>Ngomi</t>
  </si>
  <si>
    <t>ngom1265</t>
  </si>
  <si>
    <t>Ngombe (Central African Republic)</t>
  </si>
  <si>
    <t>nmj</t>
  </si>
  <si>
    <t>ngom1266</t>
  </si>
  <si>
    <t>Ngoma</t>
  </si>
  <si>
    <t>Ngombe (Democratic Republic of Congo)</t>
  </si>
  <si>
    <t>ngc</t>
  </si>
  <si>
    <t>ngom1269</t>
  </si>
  <si>
    <t>Ngombe</t>
  </si>
  <si>
    <t>ngom1270</t>
  </si>
  <si>
    <t>Ngom</t>
  </si>
  <si>
    <t>nra</t>
  </si>
  <si>
    <t>Ngombale</t>
  </si>
  <si>
    <t>nla</t>
  </si>
  <si>
    <t>Ngomba</t>
  </si>
  <si>
    <t>jgo</t>
  </si>
  <si>
    <t>Ngom-Mwesa-Mbangwe</t>
  </si>
  <si>
    <t>Ngombe-Genja</t>
  </si>
  <si>
    <t>Ngom-Mwesa</t>
  </si>
  <si>
    <t>ngon1266</t>
  </si>
  <si>
    <t>Ngoni (Zulu)</t>
  </si>
  <si>
    <t>ngon1267</t>
  </si>
  <si>
    <t>nson1239</t>
  </si>
  <si>
    <t>Ngongo</t>
  </si>
  <si>
    <t>noq</t>
  </si>
  <si>
    <t>ngon1268</t>
  </si>
  <si>
    <t>Ngonde</t>
  </si>
  <si>
    <t>ngon1270</t>
  </si>
  <si>
    <t>Ngoni (Nyanja)</t>
  </si>
  <si>
    <t>ngon1271</t>
  </si>
  <si>
    <t>Ngoni (Nsenga)</t>
  </si>
  <si>
    <t>ngon1272</t>
  </si>
  <si>
    <t>Ngoni (Tumbuka)</t>
  </si>
  <si>
    <t>ngon1273</t>
  </si>
  <si>
    <t>Ngongo (Nkutu)</t>
  </si>
  <si>
    <t>ngon1274</t>
  </si>
  <si>
    <t>Ngongo (Buushong)</t>
  </si>
  <si>
    <t>ngon1275</t>
  </si>
  <si>
    <t>Ngong</t>
  </si>
  <si>
    <t>nnx</t>
  </si>
  <si>
    <t>ngoo1241</t>
  </si>
  <si>
    <t>Ngo</t>
  </si>
  <si>
    <t>ngoo1242</t>
  </si>
  <si>
    <t>Ngoongo</t>
  </si>
  <si>
    <t>ngor1242</t>
  </si>
  <si>
    <t>Ngoro (Tuki)</t>
  </si>
  <si>
    <t>ngor1243</t>
  </si>
  <si>
    <t>Ngoro</t>
  </si>
  <si>
    <t>Ngorek</t>
  </si>
  <si>
    <t>ngos1238</t>
  </si>
  <si>
    <t>Ngoshie</t>
  </si>
  <si>
    <t>nsh</t>
  </si>
  <si>
    <t>ngos1242</t>
  </si>
  <si>
    <t>Ngoshie (Glavda)</t>
  </si>
  <si>
    <t>ngov1238</t>
  </si>
  <si>
    <t>Ngova</t>
  </si>
  <si>
    <t>ngow1239</t>
  </si>
  <si>
    <t>Ngowiye</t>
  </si>
  <si>
    <t>oute1258</t>
  </si>
  <si>
    <t>N-Group</t>
  </si>
  <si>
    <t>ngub1238</t>
  </si>
  <si>
    <t>Nguburindi</t>
  </si>
  <si>
    <t>ngub1239</t>
  </si>
  <si>
    <t>ngub1240</t>
  </si>
  <si>
    <t>Ngubi</t>
  </si>
  <si>
    <t>Ngubi-Sangu-Sira-Punu</t>
  </si>
  <si>
    <t>ngub1241</t>
  </si>
  <si>
    <t>Ngubin</t>
  </si>
  <si>
    <t>ngue1242</t>
  </si>
  <si>
    <t>xooo1239</t>
  </si>
  <si>
    <t>Ng|u||en</t>
  </si>
  <si>
    <t>ngul1236</t>
  </si>
  <si>
    <t>yape1250</t>
  </si>
  <si>
    <t>Nguluwan</t>
  </si>
  <si>
    <t>nuw</t>
  </si>
  <si>
    <t>ngul1246</t>
  </si>
  <si>
    <t>zigu1243</t>
  </si>
  <si>
    <t>Ngulu</t>
  </si>
  <si>
    <t>ngp</t>
  </si>
  <si>
    <t>ngul1247</t>
  </si>
  <si>
    <t>Ngul</t>
  </si>
  <si>
    <t>nlo</t>
  </si>
  <si>
    <t>Ngumpin-Yapa</t>
  </si>
  <si>
    <t>ngum1253</t>
  </si>
  <si>
    <t>unun9988</t>
  </si>
  <si>
    <t>Ngumbarl</t>
  </si>
  <si>
    <t>ngum1254</t>
  </si>
  <si>
    <t>Ng'umbo</t>
  </si>
  <si>
    <t>yasa1241</t>
  </si>
  <si>
    <t>Ngumbi</t>
  </si>
  <si>
    <t>nui</t>
  </si>
  <si>
    <t>Ngumpin</t>
  </si>
  <si>
    <t>ngun1266</t>
  </si>
  <si>
    <t>Ngundu</t>
  </si>
  <si>
    <t>nue</t>
  </si>
  <si>
    <t>ngun1267</t>
  </si>
  <si>
    <t>ngun1276</t>
  </si>
  <si>
    <t>Southern Ndebele-Lowland</t>
  </si>
  <si>
    <t>ngun1268</t>
  </si>
  <si>
    <t>Ng'uni</t>
  </si>
  <si>
    <t>ngun1270</t>
  </si>
  <si>
    <t>Ngundi</t>
  </si>
  <si>
    <t>ndn</t>
  </si>
  <si>
    <t>ngun1271</t>
  </si>
  <si>
    <t>Ngundi (DRC)</t>
  </si>
  <si>
    <t>ngun1278</t>
  </si>
  <si>
    <t>Ngungwel</t>
  </si>
  <si>
    <t>ngz</t>
  </si>
  <si>
    <t>ngun1273</t>
  </si>
  <si>
    <t>Ngunduna</t>
  </si>
  <si>
    <t>ngun1274</t>
  </si>
  <si>
    <t>Nguna</t>
  </si>
  <si>
    <t>ngun1275</t>
  </si>
  <si>
    <t>Nguni-Tsonga</t>
  </si>
  <si>
    <t>Nguni (S.40)</t>
  </si>
  <si>
    <t>ngun1277</t>
  </si>
  <si>
    <t>Ngunawal</t>
  </si>
  <si>
    <t>xul</t>
  </si>
  <si>
    <t>Ngungwel-Eboo</t>
  </si>
  <si>
    <t>nguo1239</t>
  </si>
  <si>
    <t>Ngu√¥n</t>
  </si>
  <si>
    <t>nuo</t>
  </si>
  <si>
    <t>nguq1238</t>
  </si>
  <si>
    <t>Nguqwurang</t>
  </si>
  <si>
    <t>ngur1260</t>
  </si>
  <si>
    <t>umbu1259</t>
  </si>
  <si>
    <t>Ngurmbur</t>
  </si>
  <si>
    <t>nrx</t>
  </si>
  <si>
    <t>Ngura</t>
  </si>
  <si>
    <t>nbx</t>
  </si>
  <si>
    <t>ngur1262</t>
  </si>
  <si>
    <t>Ngurawarla</t>
  </si>
  <si>
    <t>ngur1263</t>
  </si>
  <si>
    <t>Ngurimi</t>
  </si>
  <si>
    <t>ngq</t>
  </si>
  <si>
    <t>ngur1264</t>
  </si>
  <si>
    <t>Nguru</t>
  </si>
  <si>
    <t>ngur1265</t>
  </si>
  <si>
    <t>Nguri</t>
  </si>
  <si>
    <t>ngwa1245</t>
  </si>
  <si>
    <t>Ngwaketse</t>
  </si>
  <si>
    <t>ngwa1246</t>
  </si>
  <si>
    <t>Ngwatu</t>
  </si>
  <si>
    <t>ngwa1247</t>
  </si>
  <si>
    <t>Ngwa</t>
  </si>
  <si>
    <t>ngwa1251</t>
  </si>
  <si>
    <t>Ngwaba</t>
  </si>
  <si>
    <t>ngw</t>
  </si>
  <si>
    <t>ngwe1238</t>
  </si>
  <si>
    <t>Ngwe</t>
  </si>
  <si>
    <t>nwe</t>
  </si>
  <si>
    <t>ngwi1238</t>
  </si>
  <si>
    <t>Ngwii</t>
  </si>
  <si>
    <t>Ngwo</t>
  </si>
  <si>
    <t>ngn</t>
  </si>
  <si>
    <t>nhan1238</t>
  </si>
  <si>
    <t>Nhanda</t>
  </si>
  <si>
    <t>nha</t>
  </si>
  <si>
    <t>nhay1238</t>
  </si>
  <si>
    <t>Nhayi</t>
  </si>
  <si>
    <t>nhen1239</t>
  </si>
  <si>
    <t>tupi1287</t>
  </si>
  <si>
    <t>Nhengatu</t>
  </si>
  <si>
    <t>yrl</t>
  </si>
  <si>
    <t>nheu1239</t>
  </si>
  <si>
    <t>Nheu</t>
  </si>
  <si>
    <t>nhir1234</t>
  </si>
  <si>
    <t>yand1253</t>
  </si>
  <si>
    <t>Nhirrpi</t>
  </si>
  <si>
    <t>hrp</t>
  </si>
  <si>
    <t>nhla1238</t>
  </si>
  <si>
    <t>Nhlanganu</t>
  </si>
  <si>
    <t>nhuw1239</t>
  </si>
  <si>
    <t>Nhuwala</t>
  </si>
  <si>
    <t>nhf</t>
  </si>
  <si>
    <t>niab1238</t>
  </si>
  <si>
    <t>Niabre</t>
  </si>
  <si>
    <t>niak1239</t>
  </si>
  <si>
    <t>Niakaramadougou</t>
  </si>
  <si>
    <t>nian1243</t>
  </si>
  <si>
    <t>Niangoloko-Diarabakoko</t>
  </si>
  <si>
    <t>nian1244</t>
  </si>
  <si>
    <t>Niangbo</t>
  </si>
  <si>
    <t>nias1241</t>
  </si>
  <si>
    <t>Nias-Sikule</t>
  </si>
  <si>
    <t>nibh1238</t>
  </si>
  <si>
    <t>Nibhatta</t>
  </si>
  <si>
    <t>nibo1237</t>
  </si>
  <si>
    <t>Nibong</t>
  </si>
  <si>
    <t>nica1238</t>
  </si>
  <si>
    <t>Nicaraguan Sign Language</t>
  </si>
  <si>
    <t>ncs</t>
  </si>
  <si>
    <t>nica1249</t>
  </si>
  <si>
    <t>Ni√ßard</t>
  </si>
  <si>
    <t>nica1250</t>
  </si>
  <si>
    <t>Twahka-Bawihka</t>
  </si>
  <si>
    <t>nica1252</t>
  </si>
  <si>
    <t>Nicaragua Creole English</t>
  </si>
  <si>
    <t>bzk</t>
  </si>
  <si>
    <t>Nicobaric</t>
  </si>
  <si>
    <t>nico1263</t>
  </si>
  <si>
    <t>Nicoya</t>
  </si>
  <si>
    <t>nidr1238</t>
  </si>
  <si>
    <t>Nidrou</t>
  </si>
  <si>
    <t>nidz1238</t>
  </si>
  <si>
    <t>udii1243</t>
  </si>
  <si>
    <t>Nidzh</t>
  </si>
  <si>
    <t>nied1239</t>
  </si>
  <si>
    <t>Niediekaha</t>
  </si>
  <si>
    <t>niel1243</t>
  </si>
  <si>
    <t>Niellim</t>
  </si>
  <si>
    <t>nie</t>
  </si>
  <si>
    <t>nien1238</t>
  </si>
  <si>
    <t>Nieni</t>
  </si>
  <si>
    <t>niga1242</t>
  </si>
  <si>
    <t>Nigagba</t>
  </si>
  <si>
    <t>niga1243</t>
  </si>
  <si>
    <t>Nigac</t>
  </si>
  <si>
    <t>nigb1238</t>
  </si>
  <si>
    <t>Nigbi</t>
  </si>
  <si>
    <t>nige1240</t>
  </si>
  <si>
    <t>Nigerian Sign Language</t>
  </si>
  <si>
    <t>nsi</t>
  </si>
  <si>
    <t>Hausa States Fulfulde</t>
  </si>
  <si>
    <t>fuv</t>
  </si>
  <si>
    <t>Nigerian Jarawan</t>
  </si>
  <si>
    <t>Western Mambila</t>
  </si>
  <si>
    <t>mzk</t>
  </si>
  <si>
    <t>nige1257</t>
  </si>
  <si>
    <t>Nigerian Pidgin</t>
  </si>
  <si>
    <t>pcm</t>
  </si>
  <si>
    <t>Nigeria-Cameroon Creole English</t>
  </si>
  <si>
    <t>Nigerian Sign</t>
  </si>
  <si>
    <t>nigi1240</t>
  </si>
  <si>
    <t>Nigii</t>
  </si>
  <si>
    <t>nigi1241</t>
  </si>
  <si>
    <t>Nigilu</t>
  </si>
  <si>
    <t>niha1238</t>
  </si>
  <si>
    <t>Nihali</t>
  </si>
  <si>
    <t>nll</t>
  </si>
  <si>
    <t>niig1237</t>
  </si>
  <si>
    <t>Niigata</t>
  </si>
  <si>
    <t>niii1240</t>
  </si>
  <si>
    <t>wahg1249</t>
  </si>
  <si>
    <t>Nii</t>
  </si>
  <si>
    <t>nii</t>
  </si>
  <si>
    <t>nija1241</t>
  </si>
  <si>
    <t>Nyiyaparli</t>
  </si>
  <si>
    <t>xny</t>
  </si>
  <si>
    <t>nija1242</t>
  </si>
  <si>
    <t>Nijadali</t>
  </si>
  <si>
    <t>nad</t>
  </si>
  <si>
    <t>nijr1238</t>
  </si>
  <si>
    <t>Nijrau</t>
  </si>
  <si>
    <t>niki1238</t>
  </si>
  <si>
    <t>Nikiyama</t>
  </si>
  <si>
    <t>Niksek</t>
  </si>
  <si>
    <t>gbe</t>
  </si>
  <si>
    <t>niku1237</t>
  </si>
  <si>
    <t>onin1245</t>
  </si>
  <si>
    <t>Nikuda</t>
  </si>
  <si>
    <t>Nilamba</t>
  </si>
  <si>
    <t>nim</t>
  </si>
  <si>
    <t>nila1243</t>
  </si>
  <si>
    <t>teun1242</t>
  </si>
  <si>
    <t>Nila-Serua</t>
  </si>
  <si>
    <t>nila1244</t>
  </si>
  <si>
    <t>Nila</t>
  </si>
  <si>
    <t>nil</t>
  </si>
  <si>
    <t>nila1245</t>
  </si>
  <si>
    <t>Nilang</t>
  </si>
  <si>
    <t>Ni-Li-Kazhouish</t>
  </si>
  <si>
    <t>Nilotic</t>
  </si>
  <si>
    <t>Nimadi</t>
  </si>
  <si>
    <t>noe</t>
  </si>
  <si>
    <t>nima1245</t>
  </si>
  <si>
    <t>Nimanbur</t>
  </si>
  <si>
    <t>nmp</t>
  </si>
  <si>
    <t>nima1246</t>
  </si>
  <si>
    <t>Nimai</t>
  </si>
  <si>
    <t>nimb1256</t>
  </si>
  <si>
    <t>Nimbari</t>
  </si>
  <si>
    <t>nmr</t>
  </si>
  <si>
    <t>Nimboranic</t>
  </si>
  <si>
    <t>nimb1261</t>
  </si>
  <si>
    <t>Nimbia</t>
  </si>
  <si>
    <t>nimi1240</t>
  </si>
  <si>
    <t>sauk1253</t>
  </si>
  <si>
    <t>Nimi</t>
  </si>
  <si>
    <t>nis</t>
  </si>
  <si>
    <t>nimo1245</t>
  </si>
  <si>
    <t>Nimoa-Sudest</t>
  </si>
  <si>
    <t>nimo1246</t>
  </si>
  <si>
    <t>Nimoa</t>
  </si>
  <si>
    <t>nmw</t>
  </si>
  <si>
    <t>nimo1247</t>
  </si>
  <si>
    <t>Nimo</t>
  </si>
  <si>
    <t>niw</t>
  </si>
  <si>
    <t>nimt1238</t>
  </si>
  <si>
    <t>Nimtep Weng</t>
  </si>
  <si>
    <t>nimy1236</t>
  </si>
  <si>
    <t>Nim Yokuts</t>
  </si>
  <si>
    <t>nina1238</t>
  </si>
  <si>
    <t>nina1239</t>
  </si>
  <si>
    <t>Ninam</t>
  </si>
  <si>
    <t>shb</t>
  </si>
  <si>
    <t>Ninam-Yanomam-Yaroame</t>
  </si>
  <si>
    <t>nind1241</t>
  </si>
  <si>
    <t>Nindem</t>
  </si>
  <si>
    <t>nind1242</t>
  </si>
  <si>
    <t>unun9917</t>
  </si>
  <si>
    <t>Nindi</t>
  </si>
  <si>
    <t>nxi</t>
  </si>
  <si>
    <t>peri1262</t>
  </si>
  <si>
    <t>Ninde-Nati</t>
  </si>
  <si>
    <t>nine1237</t>
  </si>
  <si>
    <t>Ninebulo</t>
  </si>
  <si>
    <t>ning1268</t>
  </si>
  <si>
    <t>Ningraharian Pashto</t>
  </si>
  <si>
    <t>ning1269</t>
  </si>
  <si>
    <t>Ning-Long</t>
  </si>
  <si>
    <t>ning1270</t>
  </si>
  <si>
    <t>Ningo</t>
  </si>
  <si>
    <t>ning1271</t>
  </si>
  <si>
    <t>Ningye</t>
  </si>
  <si>
    <t>nns</t>
  </si>
  <si>
    <t>ning1272</t>
  </si>
  <si>
    <t>Ningi</t>
  </si>
  <si>
    <t>ning1273</t>
  </si>
  <si>
    <t>ning1276</t>
  </si>
  <si>
    <t>Ningil</t>
  </si>
  <si>
    <t>niz</t>
  </si>
  <si>
    <t>Ninggerum</t>
  </si>
  <si>
    <t>nxr</t>
  </si>
  <si>
    <t>ning1275</t>
  </si>
  <si>
    <t>Ningera</t>
  </si>
  <si>
    <t>nby</t>
  </si>
  <si>
    <t>Ningil-Yil</t>
  </si>
  <si>
    <t>Ningic</t>
  </si>
  <si>
    <t>ning1278</t>
  </si>
  <si>
    <t>Ninghua</t>
  </si>
  <si>
    <t>ning1279</t>
  </si>
  <si>
    <t>Ningxia Mandarin</t>
  </si>
  <si>
    <t>ning1280</t>
  </si>
  <si>
    <t>yong1273</t>
  </si>
  <si>
    <t>Ningbo</t>
  </si>
  <si>
    <t>ning1281</t>
  </si>
  <si>
    <t>Ninglang</t>
  </si>
  <si>
    <t>ning1282</t>
  </si>
  <si>
    <t>Ningo (Mada)</t>
  </si>
  <si>
    <t>nini1235</t>
  </si>
  <si>
    <t>Ninia Yali</t>
  </si>
  <si>
    <t>nlk</t>
  </si>
  <si>
    <t>nini1236</t>
  </si>
  <si>
    <t>Ninilchik</t>
  </si>
  <si>
    <t>nink1238</t>
  </si>
  <si>
    <t>Ninkada</t>
  </si>
  <si>
    <t>nino1238</t>
  </si>
  <si>
    <t>Ninong</t>
  </si>
  <si>
    <t>niny1238</t>
  </si>
  <si>
    <t>Ni Nyo'o</t>
  </si>
  <si>
    <t>ninz1245</t>
  </si>
  <si>
    <t>Ninzne-Udinsk</t>
  </si>
  <si>
    <t>ninz1246</t>
  </si>
  <si>
    <t>Ninzo</t>
  </si>
  <si>
    <t>nin</t>
  </si>
  <si>
    <t>west2801</t>
  </si>
  <si>
    <t>Ninzic</t>
  </si>
  <si>
    <t>niom1238</t>
  </si>
  <si>
    <t>Niominka</t>
  </si>
  <si>
    <t>nioo1239</t>
  </si>
  <si>
    <t>Nio</t>
  </si>
  <si>
    <t>niou1238</t>
  </si>
  <si>
    <t>Niou</t>
  </si>
  <si>
    <t>nipa1239</t>
  </si>
  <si>
    <t>Nipa</t>
  </si>
  <si>
    <t>nips1240</t>
  </si>
  <si>
    <t>Nipsan</t>
  </si>
  <si>
    <t>nps</t>
  </si>
  <si>
    <t>nira1238</t>
  </si>
  <si>
    <t>Niragu</t>
  </si>
  <si>
    <t>nirm1237</t>
  </si>
  <si>
    <t>Nirmal</t>
  </si>
  <si>
    <t>nisa1239</t>
  </si>
  <si>
    <t>Nisa-Anasi</t>
  </si>
  <si>
    <t>njs</t>
  </si>
  <si>
    <t>nise1244</t>
  </si>
  <si>
    <t>Nisenan</t>
  </si>
  <si>
    <t>nsz</t>
  </si>
  <si>
    <t>nisg1240</t>
  </si>
  <si>
    <t>Nisga'a</t>
  </si>
  <si>
    <t>ncg</t>
  </si>
  <si>
    <t>nish1241</t>
  </si>
  <si>
    <t>Nishang</t>
  </si>
  <si>
    <t>Nishga-Gitxsan</t>
  </si>
  <si>
    <t>nisi1238</t>
  </si>
  <si>
    <t>unun9957</t>
  </si>
  <si>
    <t>Nisi (China)</t>
  </si>
  <si>
    <t>yso</t>
  </si>
  <si>
    <t>nisi1239</t>
  </si>
  <si>
    <t>Dafla</t>
  </si>
  <si>
    <t>dap</t>
  </si>
  <si>
    <t>niso1234</t>
  </si>
  <si>
    <t>Nisoid</t>
  </si>
  <si>
    <t>nisq1242</t>
  </si>
  <si>
    <t>Nisqually</t>
  </si>
  <si>
    <t>nisu1237</t>
  </si>
  <si>
    <t>Nisu-Nyisu</t>
  </si>
  <si>
    <t>Nisu</t>
  </si>
  <si>
    <t>nisv1234</t>
  </si>
  <si>
    <t>Nisvai</t>
  </si>
  <si>
    <t>niti1248</t>
  </si>
  <si>
    <t>Nitiabo</t>
  </si>
  <si>
    <t>niti1249</t>
  </si>
  <si>
    <t>niti1250</t>
  </si>
  <si>
    <t>Nitita</t>
  </si>
  <si>
    <t>uncl1500</t>
  </si>
  <si>
    <t>Nititi-Vivti</t>
  </si>
  <si>
    <t>nitu1238</t>
  </si>
  <si>
    <t>Nitu</t>
  </si>
  <si>
    <t>niua1240</t>
  </si>
  <si>
    <t>Niuafo'ou</t>
  </si>
  <si>
    <t>num</t>
  </si>
  <si>
    <t>TO</t>
  </si>
  <si>
    <t>niua1241</t>
  </si>
  <si>
    <t>Niuatoputapu</t>
  </si>
  <si>
    <t>nkp</t>
  </si>
  <si>
    <t>tong1324</t>
  </si>
  <si>
    <t>NU</t>
  </si>
  <si>
    <t>Nivacl√©</t>
  </si>
  <si>
    <t>cag</t>
  </si>
  <si>
    <t>nive1238</t>
  </si>
  <si>
    <t>nucl1683</t>
  </si>
  <si>
    <t>Nive</t>
  </si>
  <si>
    <t>niwe1234</t>
  </si>
  <si>
    <t>Niwer Mil</t>
  </si>
  <si>
    <t>hrc</t>
  </si>
  <si>
    <t>Niwer Mil-Warwar Feni</t>
  </si>
  <si>
    <t>Nizaa-Mambila-Vute</t>
  </si>
  <si>
    <t>nizo1239</t>
  </si>
  <si>
    <t>Nizovsk</t>
  </si>
  <si>
    <t>njak1238</t>
  </si>
  <si>
    <t>Njakali</t>
  </si>
  <si>
    <t>njal1239</t>
  </si>
  <si>
    <t>Njalgulgule</t>
  </si>
  <si>
    <t>njl</t>
  </si>
  <si>
    <t>njan1239</t>
  </si>
  <si>
    <t>Njanja</t>
  </si>
  <si>
    <t>njan1240</t>
  </si>
  <si>
    <t>Njanga</t>
  </si>
  <si>
    <t>njan1241</t>
  </si>
  <si>
    <t>Njangbal</t>
  </si>
  <si>
    <t>njau1238</t>
  </si>
  <si>
    <t>zeme1240</t>
  </si>
  <si>
    <t>Njauna</t>
  </si>
  <si>
    <t>njaw1238</t>
  </si>
  <si>
    <t>Njawlo</t>
  </si>
  <si>
    <t>njeb1242</t>
  </si>
  <si>
    <t>Njebi</t>
  </si>
  <si>
    <t>nzb</t>
  </si>
  <si>
    <t>Njebe-Mbete-Teke</t>
  </si>
  <si>
    <t>sigu1234</t>
  </si>
  <si>
    <t>Njebi (B.50)</t>
  </si>
  <si>
    <t>njee1238</t>
  </si>
  <si>
    <t>Njee-Poantu</t>
  </si>
  <si>
    <t>njel1238</t>
  </si>
  <si>
    <t>Njeleng</t>
  </si>
  <si>
    <t>njel1239</t>
  </si>
  <si>
    <t>Njela</t>
  </si>
  <si>
    <t>Njemic</t>
  </si>
  <si>
    <t>njen1238</t>
  </si>
  <si>
    <t>Njen</t>
  </si>
  <si>
    <t>njj</t>
  </si>
  <si>
    <t>Njerup</t>
  </si>
  <si>
    <t>njer1242</t>
  </si>
  <si>
    <t>Njerep</t>
  </si>
  <si>
    <t>njr</t>
  </si>
  <si>
    <t>njes1238</t>
  </si>
  <si>
    <t>Njesko</t>
  </si>
  <si>
    <t>njil1234</t>
  </si>
  <si>
    <t>Njila</t>
  </si>
  <si>
    <t>njin1241</t>
  </si>
  <si>
    <t>Njinga</t>
  </si>
  <si>
    <t>njin1242</t>
  </si>
  <si>
    <t>Njiningi</t>
  </si>
  <si>
    <t>njon1238</t>
  </si>
  <si>
    <t>Njong</t>
  </si>
  <si>
    <t>njum1237</t>
  </si>
  <si>
    <t>Njumit</t>
  </si>
  <si>
    <t>njye1238</t>
  </si>
  <si>
    <t>Njyem</t>
  </si>
  <si>
    <t>njy</t>
  </si>
  <si>
    <t>nkaa1238</t>
  </si>
  <si>
    <t>Nka'</t>
  </si>
  <si>
    <t>Nka</t>
  </si>
  <si>
    <t>Nkafa-Kirya-Bana</t>
  </si>
  <si>
    <t>Nkambe</t>
  </si>
  <si>
    <t>nkam1239</t>
  </si>
  <si>
    <t>nkon1245</t>
  </si>
  <si>
    <t>Nkami</t>
  </si>
  <si>
    <t>nkq</t>
  </si>
  <si>
    <t>nkan1238</t>
  </si>
  <si>
    <t>Nkangala</t>
  </si>
  <si>
    <t>nkn</t>
  </si>
  <si>
    <t>nkar1238</t>
  </si>
  <si>
    <t>Nkari</t>
  </si>
  <si>
    <t>nkz</t>
  </si>
  <si>
    <t>nkem1242</t>
  </si>
  <si>
    <t>Nkem-Nkum</t>
  </si>
  <si>
    <t>isi</t>
  </si>
  <si>
    <t>nkem1243</t>
  </si>
  <si>
    <t>Nkem</t>
  </si>
  <si>
    <t>nkhu1238</t>
  </si>
  <si>
    <t>nyan1320</t>
  </si>
  <si>
    <t>Nkhumbi</t>
  </si>
  <si>
    <t>khu</t>
  </si>
  <si>
    <t>nkim1238</t>
  </si>
  <si>
    <t>Nkimbe</t>
  </si>
  <si>
    <t>nkoa1234</t>
  </si>
  <si>
    <t>N'Ko</t>
  </si>
  <si>
    <t>nqo</t>
  </si>
  <si>
    <t>BF CI GM GN GW LR ML SL SN</t>
  </si>
  <si>
    <t>nkoj1238</t>
  </si>
  <si>
    <t>Nkojo</t>
  </si>
  <si>
    <t>nkol1238</t>
  </si>
  <si>
    <t>Nkole</t>
  </si>
  <si>
    <t>nkom1238</t>
  </si>
  <si>
    <t>Nkomi</t>
  </si>
  <si>
    <t>Nkonya-Nkami</t>
  </si>
  <si>
    <t>nkon1246</t>
  </si>
  <si>
    <t>Nkonde</t>
  </si>
  <si>
    <t>nkon1247</t>
  </si>
  <si>
    <t>Nkongho</t>
  </si>
  <si>
    <t>nkc</t>
  </si>
  <si>
    <t>nkon1248</t>
  </si>
  <si>
    <t>Nkonya</t>
  </si>
  <si>
    <t>nko</t>
  </si>
  <si>
    <t>nkoo1238</t>
  </si>
  <si>
    <t>Nko</t>
  </si>
  <si>
    <t>nkor1239</t>
  </si>
  <si>
    <t>Nkoroo</t>
  </si>
  <si>
    <t>nkx</t>
  </si>
  <si>
    <t>nkor1240</t>
  </si>
  <si>
    <t>Nkore-Kiga-Nyoro-Tooro</t>
  </si>
  <si>
    <t>Nkore-Kiga</t>
  </si>
  <si>
    <t>nkot1238</t>
  </si>
  <si>
    <t>Nkot</t>
  </si>
  <si>
    <t>Nkoya</t>
  </si>
  <si>
    <t>nka</t>
  </si>
  <si>
    <t>nkpa1238</t>
  </si>
  <si>
    <t>Nkpam</t>
  </si>
  <si>
    <t>nkuk1238</t>
  </si>
  <si>
    <t>Nkukoli</t>
  </si>
  <si>
    <t>nbo</t>
  </si>
  <si>
    <t>nkum1247</t>
  </si>
  <si>
    <t>yala1263</t>
  </si>
  <si>
    <t>Nkum Akpambe</t>
  </si>
  <si>
    <t>nkum1248</t>
  </si>
  <si>
    <t>Nkum (Yala)</t>
  </si>
  <si>
    <t>nkum1249</t>
  </si>
  <si>
    <t>Nkuma</t>
  </si>
  <si>
    <t>nkum1250</t>
  </si>
  <si>
    <t>Nkum</t>
  </si>
  <si>
    <t>nkun1238</t>
  </si>
  <si>
    <t>Nkundo</t>
  </si>
  <si>
    <t>Nkutu</t>
  </si>
  <si>
    <t>nkw</t>
  </si>
  <si>
    <t>Nkutsuic</t>
  </si>
  <si>
    <t>nkwa1238</t>
  </si>
  <si>
    <t>Nkwaamba</t>
  </si>
  <si>
    <t>nkwe1238</t>
  </si>
  <si>
    <t>Nkwen</t>
  </si>
  <si>
    <t>nkwi1238</t>
  </si>
  <si>
    <t>Nkwifiya</t>
  </si>
  <si>
    <t>nmip1235</t>
  </si>
  <si>
    <t>Nmi-Fij-Fwa</t>
  </si>
  <si>
    <t>Nmi-Pij-Fwa-Pam-Pap</t>
  </si>
  <si>
    <t>nnam1238</t>
  </si>
  <si>
    <t>Nnam</t>
  </si>
  <si>
    <t>nbp</t>
  </si>
  <si>
    <t>noan1238</t>
  </si>
  <si>
    <t>Noang</t>
  </si>
  <si>
    <t>noat1238</t>
  </si>
  <si>
    <t>Noatia</t>
  </si>
  <si>
    <t>nobi1239</t>
  </si>
  <si>
    <t>Nobiin Nubian</t>
  </si>
  <si>
    <t>Nobiin</t>
  </si>
  <si>
    <t>fia</t>
  </si>
  <si>
    <t>Nobonob</t>
  </si>
  <si>
    <t>gaw</t>
  </si>
  <si>
    <t>nobv1238</t>
  </si>
  <si>
    <t>Nobvu</t>
  </si>
  <si>
    <t>noca1240</t>
  </si>
  <si>
    <t>Nocam√°n</t>
  </si>
  <si>
    <t>nom</t>
  </si>
  <si>
    <t>noch1239</t>
  </si>
  <si>
    <t>Nochiya</t>
  </si>
  <si>
    <t>Nocte Naga</t>
  </si>
  <si>
    <t>njb</t>
  </si>
  <si>
    <t>nodu1236</t>
  </si>
  <si>
    <t>Nodup</t>
  </si>
  <si>
    <t>noep1234</t>
  </si>
  <si>
    <t>Noepe</t>
  </si>
  <si>
    <t>npx</t>
  </si>
  <si>
    <t>Nogai</t>
  </si>
  <si>
    <t>nog</t>
  </si>
  <si>
    <t>noga1250</t>
  </si>
  <si>
    <t>Nogau</t>
  </si>
  <si>
    <t>nogo1237</t>
  </si>
  <si>
    <t>Nogo</t>
  </si>
  <si>
    <t>nogu1238</t>
  </si>
  <si>
    <t>nucl1595</t>
  </si>
  <si>
    <t>Nogukwabai</t>
  </si>
  <si>
    <t>nohw1238</t>
  </si>
  <si>
    <t>Nohwe</t>
  </si>
  <si>
    <t>vasa1240</t>
  </si>
  <si>
    <t>Noiri</t>
  </si>
  <si>
    <t>noi</t>
  </si>
  <si>
    <t>noka1234</t>
  </si>
  <si>
    <t>Noka</t>
  </si>
  <si>
    <t>nokh1239</t>
  </si>
  <si>
    <t>Nokhurli</t>
  </si>
  <si>
    <t>noko1240</t>
  </si>
  <si>
    <t>Nokopo</t>
  </si>
  <si>
    <t>noku1237</t>
  </si>
  <si>
    <t>nort3217</t>
  </si>
  <si>
    <t>Nokuku</t>
  </si>
  <si>
    <t>nkk</t>
  </si>
  <si>
    <t>noma1259</t>
  </si>
  <si>
    <t>Nomadic Fulfulde</t>
  </si>
  <si>
    <t>noma1260</t>
  </si>
  <si>
    <t>Nomaande</t>
  </si>
  <si>
    <t>lem</t>
  </si>
  <si>
    <t>noma1261</t>
  </si>
  <si>
    <t>Nomadic Kubu</t>
  </si>
  <si>
    <t>Nomane</t>
  </si>
  <si>
    <t>nof</t>
  </si>
  <si>
    <t>noma1263</t>
  </si>
  <si>
    <t>Nomatsiguenga</t>
  </si>
  <si>
    <t>not</t>
  </si>
  <si>
    <t>noml1242</t>
  </si>
  <si>
    <t>wint1258</t>
  </si>
  <si>
    <t>wint1259</t>
  </si>
  <si>
    <t>Nomlaki</t>
  </si>
  <si>
    <t>nol</t>
  </si>
  <si>
    <t>nomo1238</t>
  </si>
  <si>
    <t>Nomopo</t>
  </si>
  <si>
    <t>nomu1240</t>
  </si>
  <si>
    <t>Nomu</t>
  </si>
  <si>
    <t>noh</t>
  </si>
  <si>
    <t>nona1239</t>
  </si>
  <si>
    <t>Non-Amish Pennsylvania German</t>
  </si>
  <si>
    <t>nond1239</t>
  </si>
  <si>
    <t>Nonda</t>
  </si>
  <si>
    <t>none1236</t>
  </si>
  <si>
    <t>Nones</t>
  </si>
  <si>
    <t>nong1245</t>
  </si>
  <si>
    <t>Nongtung</t>
  </si>
  <si>
    <t>nong1246</t>
  </si>
  <si>
    <t>Nongtalang</t>
  </si>
  <si>
    <t>nong1247</t>
  </si>
  <si>
    <t>Nong Zhuang</t>
  </si>
  <si>
    <t>zhn</t>
  </si>
  <si>
    <t>nong1248</t>
  </si>
  <si>
    <t>Nongov</t>
  </si>
  <si>
    <t>nonk1236</t>
  </si>
  <si>
    <t>Non-Khoekhoe</t>
  </si>
  <si>
    <t>Central Catalan</t>
  </si>
  <si>
    <t>nonu1239</t>
  </si>
  <si>
    <t>sout3241</t>
  </si>
  <si>
    <t>Nonukan</t>
  </si>
  <si>
    <t>nonu1240</t>
  </si>
  <si>
    <t>Nonuya-Ocaina</t>
  </si>
  <si>
    <t>nonu1241</t>
  </si>
  <si>
    <t>Nonuya</t>
  </si>
  <si>
    <t>noj</t>
  </si>
  <si>
    <t>nook1246</t>
  </si>
  <si>
    <t>N|oo-Khwe</t>
  </si>
  <si>
    <t>nook1247</t>
  </si>
  <si>
    <t>Nooksack</t>
  </si>
  <si>
    <t>nok</t>
  </si>
  <si>
    <t>nool1234</t>
  </si>
  <si>
    <t>Nooli</t>
  </si>
  <si>
    <t>nool1235</t>
  </si>
  <si>
    <t>N√∂√∂le</t>
  </si>
  <si>
    <t>Noon</t>
  </si>
  <si>
    <t>snf</t>
  </si>
  <si>
    <t>noon1243</t>
  </si>
  <si>
    <t>Noone</t>
  </si>
  <si>
    <t>nhu</t>
  </si>
  <si>
    <t>saaf1239</t>
  </si>
  <si>
    <t>Noon-Lehar</t>
  </si>
  <si>
    <t>nsar1239</t>
  </si>
  <si>
    <t>Nooni-Ncane</t>
  </si>
  <si>
    <t>nooo1238</t>
  </si>
  <si>
    <t>Nootkan</t>
  </si>
  <si>
    <t>nopa1235</t>
  </si>
  <si>
    <t>Nopala Chatino</t>
  </si>
  <si>
    <t>cya</t>
  </si>
  <si>
    <t>nope1238</t>
  </si>
  <si>
    <t>No-Penge</t>
  </si>
  <si>
    <t>nopp1240</t>
  </si>
  <si>
    <t>Nop</t>
  </si>
  <si>
    <t>nora1239</t>
  </si>
  <si>
    <t>Nora</t>
  </si>
  <si>
    <t>nord1234</t>
  </si>
  <si>
    <t>Nordostb√∂hmische</t>
  </si>
  <si>
    <t>nord1235</t>
  </si>
  <si>
    <t>Nordnorsk</t>
  </si>
  <si>
    <t>nord1236</t>
  </si>
  <si>
    <t>Nordm√§rkisch</t>
  </si>
  <si>
    <t>nord1237</t>
  </si>
  <si>
    <t>Norder-Mittelgoesharde</t>
  </si>
  <si>
    <t>nord1238</t>
  </si>
  <si>
    <t>Nordpf√§lzisch</t>
  </si>
  <si>
    <t>nord1239</t>
  </si>
  <si>
    <t>Nordobers√§chsisch-S√ºdm√§rkisch</t>
  </si>
  <si>
    <t>nord1240</t>
  </si>
  <si>
    <t>Nordmeissnisch</t>
  </si>
  <si>
    <t>nord1241</t>
  </si>
  <si>
    <t>sout3296</t>
  </si>
  <si>
    <t>Nordwestb√∂hmisch</t>
  </si>
  <si>
    <t>Nordniederfr√§nkisch</t>
  </si>
  <si>
    <t>nord1243</t>
  </si>
  <si>
    <t>Nordhessisch</t>
  </si>
  <si>
    <t>nori1240</t>
  </si>
  <si>
    <t>unun9887</t>
  </si>
  <si>
    <t>Noric</t>
  </si>
  <si>
    <t>nrc</t>
  </si>
  <si>
    <t>SI</t>
  </si>
  <si>
    <t>nori1241</t>
  </si>
  <si>
    <t>Norio</t>
  </si>
  <si>
    <t>nori1242</t>
  </si>
  <si>
    <t>Bobe</t>
  </si>
  <si>
    <t>nork1238</t>
  </si>
  <si>
    <t>Norkhana</t>
  </si>
  <si>
    <t>norm1245</t>
  </si>
  <si>
    <t>Normand</t>
  </si>
  <si>
    <t>Norman Pama</t>
  </si>
  <si>
    <t>norr1243</t>
  </si>
  <si>
    <t>Norra</t>
  </si>
  <si>
    <t>nrr</t>
  </si>
  <si>
    <t>Nor</t>
  </si>
  <si>
    <t>norr1245</t>
  </si>
  <si>
    <t>Norra Venjan</t>
  </si>
  <si>
    <t>nort1401</t>
  </si>
  <si>
    <t>North Picene</t>
  </si>
  <si>
    <t>nrp</t>
  </si>
  <si>
    <t>North-Eastern Tasmanian</t>
  </si>
  <si>
    <t>North Central Alacufan</t>
  </si>
  <si>
    <t>nort1527</t>
  </si>
  <si>
    <t>saha1240</t>
  </si>
  <si>
    <t>Northern Sahaptin</t>
  </si>
  <si>
    <t>nort1545</t>
  </si>
  <si>
    <t>Northern Guiyang Hmong</t>
  </si>
  <si>
    <t>huj</t>
  </si>
  <si>
    <t>nort1546</t>
  </si>
  <si>
    <t>Northern Mashan Hmong</t>
  </si>
  <si>
    <t>hmp</t>
  </si>
  <si>
    <t>Northern Daly</t>
  </si>
  <si>
    <t>nort1550</t>
  </si>
  <si>
    <t>taos1246</t>
  </si>
  <si>
    <t>Taos Northern Tiwa</t>
  </si>
  <si>
    <t>twf</t>
  </si>
  <si>
    <t>nort1551</t>
  </si>
  <si>
    <t>North Northern Paiute</t>
  </si>
  <si>
    <t>nort1552</t>
  </si>
  <si>
    <t>Northern East Cree</t>
  </si>
  <si>
    <t>crl</t>
  </si>
  <si>
    <t>nort1624</t>
  </si>
  <si>
    <t>North Dogri</t>
  </si>
  <si>
    <t>nort2244</t>
  </si>
  <si>
    <t>North Permyak</t>
  </si>
  <si>
    <t>nort2406</t>
  </si>
  <si>
    <t>Northeastern Coastal Estonian</t>
  </si>
  <si>
    <t>Northern Macedonian</t>
  </si>
  <si>
    <t>nort2596</t>
  </si>
  <si>
    <t>Northeast Bohemian</t>
  </si>
  <si>
    <t>nort2597</t>
  </si>
  <si>
    <t>North Russian</t>
  </si>
  <si>
    <t>nort2598</t>
  </si>
  <si>
    <t>Northeast Belarusan</t>
  </si>
  <si>
    <t>nort2599</t>
  </si>
  <si>
    <t>Northwest Ukrainian</t>
  </si>
  <si>
    <t>Northern Greek</t>
  </si>
  <si>
    <t>nort2601</t>
  </si>
  <si>
    <t>Northern Epirus</t>
  </si>
  <si>
    <t>nort2602</t>
  </si>
  <si>
    <t>tsak1248</t>
  </si>
  <si>
    <t>Northern Tsakonian</t>
  </si>
  <si>
    <t>nort2603</t>
  </si>
  <si>
    <t>Northwestern Arvanitika</t>
  </si>
  <si>
    <t>nort2604</t>
  </si>
  <si>
    <t>Northern Extremaduran</t>
  </si>
  <si>
    <t>nort2607</t>
  </si>
  <si>
    <t>Northern Romagnolo</t>
  </si>
  <si>
    <t>Northen Occitan</t>
  </si>
  <si>
    <t>nort2610</t>
  </si>
  <si>
    <t>Northern Logudorese</t>
  </si>
  <si>
    <t>nort2611</t>
  </si>
  <si>
    <t>Northern Corsican</t>
  </si>
  <si>
    <t>nort2612</t>
  </si>
  <si>
    <t>Northern Calabrese-Lucano</t>
  </si>
  <si>
    <t>nort2613</t>
  </si>
  <si>
    <t>samo1265</t>
  </si>
  <si>
    <t>North Samogitian</t>
  </si>
  <si>
    <t>nort2614</t>
  </si>
  <si>
    <t>North Komedia</t>
  </si>
  <si>
    <t>Northern Scots</t>
  </si>
  <si>
    <t>Northern Frisian</t>
  </si>
  <si>
    <t>frr</t>
  </si>
  <si>
    <t>Eastern Low German</t>
  </si>
  <si>
    <t>nds</t>
  </si>
  <si>
    <t>German Northern Low Saxon</t>
  </si>
  <si>
    <t>frs</t>
  </si>
  <si>
    <t>nort2629</t>
  </si>
  <si>
    <t>North Drente</t>
  </si>
  <si>
    <t>nort2630</t>
  </si>
  <si>
    <t>North Veluws</t>
  </si>
  <si>
    <t>nort2631</t>
  </si>
  <si>
    <t>Northwestern Yiddish</t>
  </si>
  <si>
    <t>Northeastern Yiddish</t>
  </si>
  <si>
    <t>nort2634</t>
  </si>
  <si>
    <t>North Bavarian</t>
  </si>
  <si>
    <t>nort2636</t>
  </si>
  <si>
    <t>North Hollandish</t>
  </si>
  <si>
    <t>Northern Talyshi</t>
  </si>
  <si>
    <t>nort2640</t>
  </si>
  <si>
    <t>Northwestern Fars</t>
  </si>
  <si>
    <t>faz</t>
  </si>
  <si>
    <t>Northern Kurdish</t>
  </si>
  <si>
    <t>kmr</t>
  </si>
  <si>
    <t>AM AZ IQ IR JO KW SY TM TR</t>
  </si>
  <si>
    <t>Northern Tatic</t>
  </si>
  <si>
    <t>nort2643</t>
  </si>
  <si>
    <t>Northern Tats</t>
  </si>
  <si>
    <t>nort2644</t>
  </si>
  <si>
    <t>Northern Bashaka</t>
  </si>
  <si>
    <t>Northern Luri</t>
  </si>
  <si>
    <t>lrc</t>
  </si>
  <si>
    <t>Northern Pashto</t>
  </si>
  <si>
    <t>pbu</t>
  </si>
  <si>
    <t>nort2647</t>
  </si>
  <si>
    <t>Northwestern Pakhto</t>
  </si>
  <si>
    <t>Northeastern Pashto</t>
  </si>
  <si>
    <t>nort2649</t>
  </si>
  <si>
    <t>Northern Munji</t>
  </si>
  <si>
    <t>nort2651</t>
  </si>
  <si>
    <t>Northeastern Kumauni</t>
  </si>
  <si>
    <t>nort2652</t>
  </si>
  <si>
    <t>saur1248</t>
  </si>
  <si>
    <t>Northern Saurashtra</t>
  </si>
  <si>
    <t>nort2653</t>
  </si>
  <si>
    <t>Northern Marwari</t>
  </si>
  <si>
    <t>nort2654</t>
  </si>
  <si>
    <t>North Albanian Vlax</t>
  </si>
  <si>
    <t>nort2655</t>
  </si>
  <si>
    <t>North Russian Romani</t>
  </si>
  <si>
    <t>Northern Standard Bhojpuri</t>
  </si>
  <si>
    <t>nort2657</t>
  </si>
  <si>
    <t>Northern Magahi</t>
  </si>
  <si>
    <t>Northern Bengali</t>
  </si>
  <si>
    <t>nort2659</t>
  </si>
  <si>
    <t>Northwestern Oriya</t>
  </si>
  <si>
    <t>nort2660</t>
  </si>
  <si>
    <t>North Balasore Oriya</t>
  </si>
  <si>
    <t>nort2661</t>
  </si>
  <si>
    <t>Northern Katkari</t>
  </si>
  <si>
    <t>nort2662</t>
  </si>
  <si>
    <t>Northern Hindko</t>
  </si>
  <si>
    <t>hno</t>
  </si>
  <si>
    <t>nort2663</t>
  </si>
  <si>
    <t>Northern Kalasha</t>
  </si>
  <si>
    <t>nort2664</t>
  </si>
  <si>
    <t>North Khowar</t>
  </si>
  <si>
    <t>west2387</t>
  </si>
  <si>
    <t>Northwest Pashayi</t>
  </si>
  <si>
    <t>glh</t>
  </si>
  <si>
    <t>Northeast Pashayi</t>
  </si>
  <si>
    <t>aee</t>
  </si>
  <si>
    <t>nort2667</t>
  </si>
  <si>
    <t>Northern Phalura</t>
  </si>
  <si>
    <t>nort2668</t>
  </si>
  <si>
    <t>Northern Welsh</t>
  </si>
  <si>
    <t>nort2669</t>
  </si>
  <si>
    <t>Northeast Hungarian</t>
  </si>
  <si>
    <t>nort2670</t>
  </si>
  <si>
    <t>Northwest Hungarian</t>
  </si>
  <si>
    <t>nort2671</t>
  </si>
  <si>
    <t>North Saami</t>
  </si>
  <si>
    <t>sme</t>
  </si>
  <si>
    <t>FI NO SE</t>
  </si>
  <si>
    <t>nort2672</t>
  </si>
  <si>
    <t>Kazym Khanty</t>
  </si>
  <si>
    <t>nort2673</t>
  </si>
  <si>
    <t>Northern Karelian</t>
  </si>
  <si>
    <t>nort2674</t>
  </si>
  <si>
    <t>North Estonian</t>
  </si>
  <si>
    <t>nort2676</t>
  </si>
  <si>
    <t>North Udmurt</t>
  </si>
  <si>
    <t>nort2677</t>
  </si>
  <si>
    <t>Sosva Mansi</t>
  </si>
  <si>
    <t>Northern Great Andamanese</t>
  </si>
  <si>
    <t>North Aslian</t>
  </si>
  <si>
    <t>nort2683</t>
  </si>
  <si>
    <t>Northern Vietnamese</t>
  </si>
  <si>
    <t>Northern Khmer</t>
  </si>
  <si>
    <t>kxm</t>
  </si>
  <si>
    <t>nort2686</t>
  </si>
  <si>
    <t>Northern Altai</t>
  </si>
  <si>
    <t>atv</t>
  </si>
  <si>
    <t>nort2687</t>
  </si>
  <si>
    <t>Northeastern Tuvin</t>
  </si>
  <si>
    <t>North Siberian Turkic</t>
  </si>
  <si>
    <t>nort2689</t>
  </si>
  <si>
    <t>North Quchani</t>
  </si>
  <si>
    <t>Northern Uzbek</t>
  </si>
  <si>
    <t>AF CN KG KZ TJ TM UZ</t>
  </si>
  <si>
    <t>nort2691</t>
  </si>
  <si>
    <t>west2883</t>
  </si>
  <si>
    <t>Northwestern Karaim</t>
  </si>
  <si>
    <t>nort2692</t>
  </si>
  <si>
    <t>Northern Crimean</t>
  </si>
  <si>
    <t>nort2693</t>
  </si>
  <si>
    <t>Northern Kirghiz</t>
  </si>
  <si>
    <t>nort2694</t>
  </si>
  <si>
    <t>Northeastern Karakalpak</t>
  </si>
  <si>
    <t>nort2695</t>
  </si>
  <si>
    <t>Northeastern Kazakh</t>
  </si>
  <si>
    <t>North Kipchak</t>
  </si>
  <si>
    <t>North Azerbaijani</t>
  </si>
  <si>
    <t>azj</t>
  </si>
  <si>
    <t>AM AZ GE IR RU TR</t>
  </si>
  <si>
    <t>North Dravidian</t>
  </si>
  <si>
    <t>Northwestern Kolami</t>
  </si>
  <si>
    <t>kfb</t>
  </si>
  <si>
    <t>nort2700</t>
  </si>
  <si>
    <t>North Kerala</t>
  </si>
  <si>
    <t>nort2701</t>
  </si>
  <si>
    <t>nort3279</t>
  </si>
  <si>
    <t>Kasaba</t>
  </si>
  <si>
    <t>nort3258</t>
  </si>
  <si>
    <t>Northern Gondi</t>
  </si>
  <si>
    <t>gno</t>
  </si>
  <si>
    <t>Northern Karen</t>
  </si>
  <si>
    <t>nort2704</t>
  </si>
  <si>
    <t>Northern Pwo Karen</t>
  </si>
  <si>
    <t>nort2705</t>
  </si>
  <si>
    <t>paok1235</t>
  </si>
  <si>
    <t>Northern Pa'o</t>
  </si>
  <si>
    <t>nort2706</t>
  </si>
  <si>
    <t>Northern Baima</t>
  </si>
  <si>
    <t>nort2707</t>
  </si>
  <si>
    <t>Nangchen Tibetan</t>
  </si>
  <si>
    <t>nort2708</t>
  </si>
  <si>
    <t>Northern Thimphu</t>
  </si>
  <si>
    <t>Northern Ghale</t>
  </si>
  <si>
    <t>ghh</t>
  </si>
  <si>
    <t>nort2710</t>
  </si>
  <si>
    <t>west2414</t>
  </si>
  <si>
    <t>Northwestern Gurung</t>
  </si>
  <si>
    <t>nort2711</t>
  </si>
  <si>
    <t>west2415</t>
  </si>
  <si>
    <t>Northwestern</t>
  </si>
  <si>
    <t>nort2713</t>
  </si>
  <si>
    <t>Northern Awu Yi</t>
  </si>
  <si>
    <t>nort2714</t>
  </si>
  <si>
    <t>sani1269</t>
  </si>
  <si>
    <t>Northern Sani</t>
  </si>
  <si>
    <t>nort2715</t>
  </si>
  <si>
    <t>Northern-Southern Muji</t>
  </si>
  <si>
    <t>nort2716</t>
  </si>
  <si>
    <t>Northern Muji</t>
  </si>
  <si>
    <t>ymx</t>
  </si>
  <si>
    <t>North Nisu</t>
  </si>
  <si>
    <t>Northern Nisu</t>
  </si>
  <si>
    <t>yiv</t>
  </si>
  <si>
    <t>nort2719</t>
  </si>
  <si>
    <t>Northern Nusu</t>
  </si>
  <si>
    <t>Northern Burmish</t>
  </si>
  <si>
    <t>nort2721</t>
  </si>
  <si>
    <t>North Hpon</t>
  </si>
  <si>
    <t>upst1234</t>
  </si>
  <si>
    <t>Northern Qiang</t>
  </si>
  <si>
    <t>cng</t>
  </si>
  <si>
    <t>Northern Pumi</t>
  </si>
  <si>
    <t>pmi</t>
  </si>
  <si>
    <t>Northern Bai</t>
  </si>
  <si>
    <t>bfc</t>
  </si>
  <si>
    <t>nort2725</t>
  </si>
  <si>
    <t>poch1242</t>
  </si>
  <si>
    <t>Northern Rengma Naga</t>
  </si>
  <si>
    <t>nnl</t>
  </si>
  <si>
    <t>Lohorung</t>
  </si>
  <si>
    <t>lbr</t>
  </si>
  <si>
    <t>nort2728</t>
  </si>
  <si>
    <t>Northern Yakha</t>
  </si>
  <si>
    <t>nort2729</t>
  </si>
  <si>
    <t>Northern Bantawa</t>
  </si>
  <si>
    <t>Northwestern Kiranti</t>
  </si>
  <si>
    <t>nort2731</t>
  </si>
  <si>
    <t>Northern Thulung</t>
  </si>
  <si>
    <t>tuji1244</t>
  </si>
  <si>
    <t>Northern Tujia</t>
  </si>
  <si>
    <t>tji</t>
  </si>
  <si>
    <t>Northern Kam</t>
  </si>
  <si>
    <t>nort2735</t>
  </si>
  <si>
    <t>Northern Dong</t>
  </si>
  <si>
    <t>doc</t>
  </si>
  <si>
    <t>nort2738</t>
  </si>
  <si>
    <t>North Burma Khamti</t>
  </si>
  <si>
    <t>nort2739</t>
  </si>
  <si>
    <t>Northern Shan</t>
  </si>
  <si>
    <t>Northern Thai</t>
  </si>
  <si>
    <t>nod</t>
  </si>
  <si>
    <t>sako1234</t>
  </si>
  <si>
    <t>Northeastern Thai</t>
  </si>
  <si>
    <t>tts</t>
  </si>
  <si>
    <t>nort2742</t>
  </si>
  <si>
    <t>Northern Isan</t>
  </si>
  <si>
    <t>nort2743</t>
  </si>
  <si>
    <t>Northern T√†y</t>
  </si>
  <si>
    <t>Northern Buyang</t>
  </si>
  <si>
    <t>Northern Yukaghir</t>
  </si>
  <si>
    <t>Northern Yeniseian</t>
  </si>
  <si>
    <t>nort2747</t>
  </si>
  <si>
    <t>Northern Qiandong Miao</t>
  </si>
  <si>
    <t>hea</t>
  </si>
  <si>
    <t>North Hmongic</t>
  </si>
  <si>
    <t>nort2749</t>
  </si>
  <si>
    <t>Northern Huishui Hmong</t>
  </si>
  <si>
    <t>hmi</t>
  </si>
  <si>
    <t>nort2750</t>
  </si>
  <si>
    <t>North Sakhalin Gilyak</t>
  </si>
  <si>
    <t>Northern Worrorran</t>
  </si>
  <si>
    <t>Northern Thura-Yura</t>
  </si>
  <si>
    <t>nort2753</t>
  </si>
  <si>
    <t>North-western Warlpiri</t>
  </si>
  <si>
    <t>nort2754</t>
  </si>
  <si>
    <t>nyan1301</t>
  </si>
  <si>
    <t>Northern Coastal Nyangumarta</t>
  </si>
  <si>
    <t>nort2755</t>
  </si>
  <si>
    <t>ying1247</t>
  </si>
  <si>
    <t>Northern Inggarda</t>
  </si>
  <si>
    <t>Northern Sunraysia</t>
  </si>
  <si>
    <t>Northern Maric</t>
  </si>
  <si>
    <t>Northern Pama</t>
  </si>
  <si>
    <t>nort3256</t>
  </si>
  <si>
    <t>Umpilaic</t>
  </si>
  <si>
    <t>yuin1242</t>
  </si>
  <si>
    <t>Northern Inland Yuin</t>
  </si>
  <si>
    <t>Northern Costal Yuin</t>
  </si>
  <si>
    <t>nort2762</t>
  </si>
  <si>
    <t>Northern Yawuru</t>
  </si>
  <si>
    <t>nort2763</t>
  </si>
  <si>
    <t>Northern Limba</t>
  </si>
  <si>
    <t>Northern Kissi</t>
  </si>
  <si>
    <t>kqs</t>
  </si>
  <si>
    <t>Northern Bia</t>
  </si>
  <si>
    <t>nort2769</t>
  </si>
  <si>
    <t>Northern Chumburung</t>
  </si>
  <si>
    <t>North Fali</t>
  </si>
  <si>
    <t>fll</t>
  </si>
  <si>
    <t>nort2772</t>
  </si>
  <si>
    <t>Northern Fania</t>
  </si>
  <si>
    <t>Northern Mbum</t>
  </si>
  <si>
    <t>nort2774</t>
  </si>
  <si>
    <t>Northern Ngbandi</t>
  </si>
  <si>
    <t>ngb</t>
  </si>
  <si>
    <t>Northwest Gbaya</t>
  </si>
  <si>
    <t>CF CG CM NG</t>
  </si>
  <si>
    <t>nort2776</t>
  </si>
  <si>
    <t>North Bangato</t>
  </si>
  <si>
    <t>Northern Central Gur</t>
  </si>
  <si>
    <t>nort2778</t>
  </si>
  <si>
    <t>Northern Gourmanchema</t>
  </si>
  <si>
    <t>Northern Dagara</t>
  </si>
  <si>
    <t>dgi</t>
  </si>
  <si>
    <t>Northern Hanga</t>
  </si>
  <si>
    <t>Northern Grusi</t>
  </si>
  <si>
    <t>nort2783</t>
  </si>
  <si>
    <t>Northern Ly√©l√©</t>
  </si>
  <si>
    <t>nort2784</t>
  </si>
  <si>
    <t>nuni1253</t>
  </si>
  <si>
    <t>Northern Nuni</t>
  </si>
  <si>
    <t>nuv</t>
  </si>
  <si>
    <t>nort2785</t>
  </si>
  <si>
    <t>Northwestern Nuni</t>
  </si>
  <si>
    <t>nort2786</t>
  </si>
  <si>
    <t>Northeastern Nuni</t>
  </si>
  <si>
    <t>tusi1238</t>
  </si>
  <si>
    <t>Northern Toussian</t>
  </si>
  <si>
    <t>tsp</t>
  </si>
  <si>
    <t>North-South Central Delta Cross</t>
  </si>
  <si>
    <t>Zimbabwean Ndebele</t>
  </si>
  <si>
    <t>BW ZM ZW</t>
  </si>
  <si>
    <t>nort2796</t>
  </si>
  <si>
    <t>North Binja</t>
  </si>
  <si>
    <t>nort2797</t>
  </si>
  <si>
    <t>Northern Gikuyu</t>
  </si>
  <si>
    <t>nort2798</t>
  </si>
  <si>
    <t>North Kitui</t>
  </si>
  <si>
    <t>nort2799</t>
  </si>
  <si>
    <t>North Kwandu</t>
  </si>
  <si>
    <t>nort2801</t>
  </si>
  <si>
    <t>Northern Dibole</t>
  </si>
  <si>
    <t>nort2802</t>
  </si>
  <si>
    <t>Northern Bomitaba</t>
  </si>
  <si>
    <t>nort2803</t>
  </si>
  <si>
    <t>Northern Bakossi</t>
  </si>
  <si>
    <t>nort2804</t>
  </si>
  <si>
    <t>North Bobe</t>
  </si>
  <si>
    <t>nort2805</t>
  </si>
  <si>
    <t>Northeast Duguri</t>
  </si>
  <si>
    <t>North Fe'Fe'</t>
  </si>
  <si>
    <t>nort2807</t>
  </si>
  <si>
    <t>Northern Etung</t>
  </si>
  <si>
    <t>nort2808</t>
  </si>
  <si>
    <t>nugu1242</t>
  </si>
  <si>
    <t>Northern Gunu</t>
  </si>
  <si>
    <t>Northern Grebo</t>
  </si>
  <si>
    <t>gbo</t>
  </si>
  <si>
    <t>Northeastern Grebo</t>
  </si>
  <si>
    <t>nort2812</t>
  </si>
  <si>
    <t>Northern Ogambi</t>
  </si>
  <si>
    <t>nort2813</t>
  </si>
  <si>
    <t>turk1308</t>
  </si>
  <si>
    <t>Northern Turkana</t>
  </si>
  <si>
    <t>Northern Lwoo</t>
  </si>
  <si>
    <t>Northeastern Dinka</t>
  </si>
  <si>
    <t>dip</t>
  </si>
  <si>
    <t>Northwestern Dinka</t>
  </si>
  <si>
    <t>diw</t>
  </si>
  <si>
    <t>nort2818</t>
  </si>
  <si>
    <t>Northern Masalit</t>
  </si>
  <si>
    <t>Northern Bobo Madar√©</t>
  </si>
  <si>
    <t>bbo</t>
  </si>
  <si>
    <t>nort2820</t>
  </si>
  <si>
    <t>seek1238</t>
  </si>
  <si>
    <t>Northern Seeku</t>
  </si>
  <si>
    <t>nort2821</t>
  </si>
  <si>
    <t>Northern Kono</t>
  </si>
  <si>
    <t>Northwest Songhay</t>
  </si>
  <si>
    <t>Northern Songhay</t>
  </si>
  <si>
    <t>North Plateau Dogon</t>
  </si>
  <si>
    <t>nort2825</t>
  </si>
  <si>
    <t>North Yawa</t>
  </si>
  <si>
    <t>nort2827</t>
  </si>
  <si>
    <t>Northern Kutai</t>
  </si>
  <si>
    <t>nort2828</t>
  </si>
  <si>
    <t>North Moluccan Malay</t>
  </si>
  <si>
    <t>max</t>
  </si>
  <si>
    <t>Northwest Sumatra-Barrier Islands</t>
  </si>
  <si>
    <t>nort2830</t>
  </si>
  <si>
    <t>North Siberut</t>
  </si>
  <si>
    <t>toba1265</t>
  </si>
  <si>
    <t>Northern Batak</t>
  </si>
  <si>
    <t>North and West Guadalcanal</t>
  </si>
  <si>
    <t>Central-Northern Malaita</t>
  </si>
  <si>
    <t>North Efate</t>
  </si>
  <si>
    <t>llp</t>
  </si>
  <si>
    <t>nort2837</t>
  </si>
  <si>
    <t>North Small Nambas</t>
  </si>
  <si>
    <t>nort2838</t>
  </si>
  <si>
    <t>paam1238</t>
  </si>
  <si>
    <t>North Paama</t>
  </si>
  <si>
    <t>North Ambrym</t>
  </si>
  <si>
    <t>mmg</t>
  </si>
  <si>
    <t>nort2842</t>
  </si>
  <si>
    <t>Northeast Viti Levu</t>
  </si>
  <si>
    <t>nort2843</t>
  </si>
  <si>
    <t>Northeast Vanua Levu</t>
  </si>
  <si>
    <t>nort2844</t>
  </si>
  <si>
    <t>North Tuvaluan</t>
  </si>
  <si>
    <t>North Marquesan</t>
  </si>
  <si>
    <t>nort2846</t>
  </si>
  <si>
    <t>North Auckland</t>
  </si>
  <si>
    <t>whit1270</t>
  </si>
  <si>
    <t>North Tanna</t>
  </si>
  <si>
    <t>tnn</t>
  </si>
  <si>
    <t>North Papuan Mainland-D'Entrecasteaux linkage</t>
  </si>
  <si>
    <t>nort2849</t>
  </si>
  <si>
    <t>North Kakabai</t>
  </si>
  <si>
    <t>nort2850</t>
  </si>
  <si>
    <t>North Mekeo</t>
  </si>
  <si>
    <t>nort2851</t>
  </si>
  <si>
    <t>Northwest Mekeo</t>
  </si>
  <si>
    <t>nort2853</t>
  </si>
  <si>
    <t>Northern Marik</t>
  </si>
  <si>
    <t>nort2855</t>
  </si>
  <si>
    <t>North Coast Mengen</t>
  </si>
  <si>
    <t>nort2856</t>
  </si>
  <si>
    <t>Northern Mbula</t>
  </si>
  <si>
    <t>nort2857</t>
  </si>
  <si>
    <t>North Watut</t>
  </si>
  <si>
    <t>una</t>
  </si>
  <si>
    <t>North Huon Gulf linkage</t>
  </si>
  <si>
    <t>North Babaric</t>
  </si>
  <si>
    <t>nort2860</t>
  </si>
  <si>
    <t>North Babar</t>
  </si>
  <si>
    <t>bcd</t>
  </si>
  <si>
    <t>nort2861</t>
  </si>
  <si>
    <t>west2538</t>
  </si>
  <si>
    <t>North Central Tarangan</t>
  </si>
  <si>
    <t>nort2862</t>
  </si>
  <si>
    <t>Northern Dobel</t>
  </si>
  <si>
    <t>nort2863</t>
  </si>
  <si>
    <t>yamd1240</t>
  </si>
  <si>
    <t>North Yamdena</t>
  </si>
  <si>
    <t>Wemale</t>
  </si>
  <si>
    <t>weo</t>
  </si>
  <si>
    <t>nort2866</t>
  </si>
  <si>
    <t>North Coastal Alune</t>
  </si>
  <si>
    <t>nort2867</t>
  </si>
  <si>
    <t>nuau1240</t>
  </si>
  <si>
    <t>North Nuaulu</t>
  </si>
  <si>
    <t>nni</t>
  </si>
  <si>
    <t>nort2868</t>
  </si>
  <si>
    <t>North Ile Ape</t>
  </si>
  <si>
    <t>nort2869</t>
  </si>
  <si>
    <t>Northern Tetun</t>
  </si>
  <si>
    <t>nort2870</t>
  </si>
  <si>
    <t>North Lole</t>
  </si>
  <si>
    <t>nort2871</t>
  </si>
  <si>
    <t>nort3174</t>
  </si>
  <si>
    <t>Sangil-Sangir</t>
  </si>
  <si>
    <t>nort2872</t>
  </si>
  <si>
    <t>North Tabukang</t>
  </si>
  <si>
    <t>North Mangyan</t>
  </si>
  <si>
    <t>nort2875</t>
  </si>
  <si>
    <t>Northern Alta</t>
  </si>
  <si>
    <t>aqn</t>
  </si>
  <si>
    <t>nort2877</t>
  </si>
  <si>
    <t>Northern Kankanay</t>
  </si>
  <si>
    <t>xnn</t>
  </si>
  <si>
    <t>nort2880</t>
  </si>
  <si>
    <t>North Ibanag</t>
  </si>
  <si>
    <t>nort2881</t>
  </si>
  <si>
    <t>North Kamayo</t>
  </si>
  <si>
    <t>nort2882</t>
  </si>
  <si>
    <t>wara1300</t>
  </si>
  <si>
    <t>Northern Samar</t>
  </si>
  <si>
    <t>nort2883</t>
  </si>
  <si>
    <t>Northern Catanduanes Bicolano</t>
  </si>
  <si>
    <t>cts</t>
  </si>
  <si>
    <t>North Manobo</t>
  </si>
  <si>
    <t>Northern Subanen</t>
  </si>
  <si>
    <t>stb</t>
  </si>
  <si>
    <t>nort2886</t>
  </si>
  <si>
    <t>North Minahasan</t>
  </si>
  <si>
    <t>nort2887</t>
  </si>
  <si>
    <t>Northeast Minahasan</t>
  </si>
  <si>
    <t>North East Greater Barito</t>
  </si>
  <si>
    <t>nort2890</t>
  </si>
  <si>
    <t>tsim1259</t>
  </si>
  <si>
    <t>Northern Betsimisaraka Malagasy</t>
  </si>
  <si>
    <t>bmm</t>
  </si>
  <si>
    <t>North West Greater Barito</t>
  </si>
  <si>
    <t>Northern South Sulawesi</t>
  </si>
  <si>
    <t>nort2895</t>
  </si>
  <si>
    <t>Northeast Luwu</t>
  </si>
  <si>
    <t>nort2896</t>
  </si>
  <si>
    <t>Northern Mamasa</t>
  </si>
  <si>
    <t>tomi1242</t>
  </si>
  <si>
    <t>Northern Tomini</t>
  </si>
  <si>
    <t>Northern Kaili-Pamona</t>
  </si>
  <si>
    <t>Northwest Formosan</t>
  </si>
  <si>
    <t>Northern East Formosan</t>
  </si>
  <si>
    <t>nort2902</t>
  </si>
  <si>
    <t>North Bunun</t>
  </si>
  <si>
    <t>nort2903</t>
  </si>
  <si>
    <t>North Beami</t>
  </si>
  <si>
    <t>nort2904</t>
  </si>
  <si>
    <t>North Hewa</t>
  </si>
  <si>
    <t>nort2905</t>
  </si>
  <si>
    <t>Akwun</t>
  </si>
  <si>
    <t>nort2906</t>
  </si>
  <si>
    <t>North Aunalei</t>
  </si>
  <si>
    <t>nort2907</t>
  </si>
  <si>
    <t>Northern One</t>
  </si>
  <si>
    <t>onr</t>
  </si>
  <si>
    <t>nort2908</t>
  </si>
  <si>
    <t>nucl1594</t>
  </si>
  <si>
    <t>Northeastern Mairasi</t>
  </si>
  <si>
    <t>nort2909</t>
  </si>
  <si>
    <t>North Binanderean</t>
  </si>
  <si>
    <t>nort2910</t>
  </si>
  <si>
    <t>Northern Yau</t>
  </si>
  <si>
    <t>nort2911</t>
  </si>
  <si>
    <t>nukk1240</t>
  </si>
  <si>
    <t>North Nuk</t>
  </si>
  <si>
    <t>nort2912</t>
  </si>
  <si>
    <t>North Nakama</t>
  </si>
  <si>
    <t>nort2913</t>
  </si>
  <si>
    <t>sele1250</t>
  </si>
  <si>
    <t>North Selepet</t>
  </si>
  <si>
    <t>nort2914</t>
  </si>
  <si>
    <t>North Timbe</t>
  </si>
  <si>
    <t>nort2915</t>
  </si>
  <si>
    <t>North Migabac</t>
  </si>
  <si>
    <t>North Muyu</t>
  </si>
  <si>
    <t>kti</t>
  </si>
  <si>
    <t>nort2917</t>
  </si>
  <si>
    <t>Momogo-Pupis-Irogo</t>
  </si>
  <si>
    <t>nks</t>
  </si>
  <si>
    <t>nort2918</t>
  </si>
  <si>
    <t>North Awyu</t>
  </si>
  <si>
    <t>yir</t>
  </si>
  <si>
    <t>nort2919</t>
  </si>
  <si>
    <t>Northeast Awa</t>
  </si>
  <si>
    <t>North Tairora</t>
  </si>
  <si>
    <t>tbg</t>
  </si>
  <si>
    <t>North Wahgi</t>
  </si>
  <si>
    <t>whg</t>
  </si>
  <si>
    <t>nort2922</t>
  </si>
  <si>
    <t>North Central Fore</t>
  </si>
  <si>
    <t>North Halmahera</t>
  </si>
  <si>
    <t>Northern North Halmahera</t>
  </si>
  <si>
    <t>nort2925</t>
  </si>
  <si>
    <t>North Modole</t>
  </si>
  <si>
    <t>nort2926</t>
  </si>
  <si>
    <t>North Waibuk</t>
  </si>
  <si>
    <t>nort2927</t>
  </si>
  <si>
    <t>North Kamberataro</t>
  </si>
  <si>
    <t>nort2928</t>
  </si>
  <si>
    <t>North-South Udab</t>
  </si>
  <si>
    <t>nort2929</t>
  </si>
  <si>
    <t>Northeast Fuyug</t>
  </si>
  <si>
    <t>Northeast Kiwai</t>
  </si>
  <si>
    <t>kiw</t>
  </si>
  <si>
    <t>nort2931</t>
  </si>
  <si>
    <t>Northern Ambakich</t>
  </si>
  <si>
    <t>nort2932</t>
  </si>
  <si>
    <t>North Awin</t>
  </si>
  <si>
    <t>North Bougainville</t>
  </si>
  <si>
    <t>toho1244</t>
  </si>
  <si>
    <t>Northern T≈çhoku</t>
  </si>
  <si>
    <t>Northern Amami-Oshima</t>
  </si>
  <si>
    <t>ryn</t>
  </si>
  <si>
    <t>nort2936</t>
  </si>
  <si>
    <t>North Central Yuri</t>
  </si>
  <si>
    <t>nort2937</t>
  </si>
  <si>
    <t>Northern Hill/Valley Yokuts</t>
  </si>
  <si>
    <t>nort2938</t>
  </si>
  <si>
    <t>Northern Haida</t>
  </si>
  <si>
    <t>hdn</t>
  </si>
  <si>
    <t>North Central Mixe</t>
  </si>
  <si>
    <t>neq</t>
  </si>
  <si>
    <t>Northern Athabaskan</t>
  </si>
  <si>
    <t>nort2941</t>
  </si>
  <si>
    <t>tutc1236</t>
  </si>
  <si>
    <t>Northern Tutchone</t>
  </si>
  <si>
    <t>ttm</t>
  </si>
  <si>
    <t>North Slavey</t>
  </si>
  <si>
    <t>North Alaskan Inupiatun</t>
  </si>
  <si>
    <t>nort2944</t>
  </si>
  <si>
    <t>North Slope Inupiatun</t>
  </si>
  <si>
    <t>Seward Alaska Inupiatun</t>
  </si>
  <si>
    <t>esk</t>
  </si>
  <si>
    <t>Northern Iroquoian</t>
  </si>
  <si>
    <t>Northern Interior Salish</t>
  </si>
  <si>
    <t>nort2950</t>
  </si>
  <si>
    <t>Northern Caddoan</t>
  </si>
  <si>
    <t>nort2951</t>
  </si>
  <si>
    <t>Northwest Maidu</t>
  </si>
  <si>
    <t>mjd</t>
  </si>
  <si>
    <t>nort2952</t>
  </si>
  <si>
    <t>Northeast Maidu</t>
  </si>
  <si>
    <t>nmu</t>
  </si>
  <si>
    <t>Northern Uto-Aztecan</t>
  </si>
  <si>
    <t>Northern Paiute</t>
  </si>
  <si>
    <t>pao</t>
  </si>
  <si>
    <t>nort2955</t>
  </si>
  <si>
    <t>Northern Shoshoni</t>
  </si>
  <si>
    <t>nort2956</t>
  </si>
  <si>
    <t>Northern Tarahumara</t>
  </si>
  <si>
    <t>thh</t>
  </si>
  <si>
    <t>nort2957</t>
  </si>
  <si>
    <t>Northern Puebla Nahuatl</t>
  </si>
  <si>
    <t>ncj</t>
  </si>
  <si>
    <t>nort2958</t>
  </si>
  <si>
    <t>Northern Oaxaca Nahuatl</t>
  </si>
  <si>
    <t>nhy</t>
  </si>
  <si>
    <t>nort2959</t>
  </si>
  <si>
    <t>Northern Tepehuan</t>
  </si>
  <si>
    <t>ntp</t>
  </si>
  <si>
    <t>nort2960</t>
  </si>
  <si>
    <t>plai1258</t>
  </si>
  <si>
    <t>Northern Alberta Cree</t>
  </si>
  <si>
    <t>nort3181</t>
  </si>
  <si>
    <t>Northwestern Ojibwa</t>
  </si>
  <si>
    <t>ojb</t>
  </si>
  <si>
    <t>nort2962</t>
  </si>
  <si>
    <t>Northern Micmac</t>
  </si>
  <si>
    <t>nort2963</t>
  </si>
  <si>
    <t>Northern Yana</t>
  </si>
  <si>
    <t>Northern Wakashan</t>
  </si>
  <si>
    <t>russ1266</t>
  </si>
  <si>
    <t>Northern-Central Pomoan</t>
  </si>
  <si>
    <t>Northern Pomo</t>
  </si>
  <si>
    <t>pej</t>
  </si>
  <si>
    <t>nort2967</t>
  </si>
  <si>
    <t>Northeastern Russian River Pomo</t>
  </si>
  <si>
    <t>pef</t>
  </si>
  <si>
    <t>nort2968</t>
  </si>
  <si>
    <t>Northern Sierra Miwok</t>
  </si>
  <si>
    <t>nsq</t>
  </si>
  <si>
    <t>Northern Ohlone</t>
  </si>
  <si>
    <t>cst</t>
  </si>
  <si>
    <t>nort2970</t>
  </si>
  <si>
    <t>ston1242</t>
  </si>
  <si>
    <t>Alexis-Paul Stoney</t>
  </si>
  <si>
    <t>nort2971</t>
  </si>
  <si>
    <t>Northern Lengua</t>
  </si>
  <si>
    <t>Northern Ember√°</t>
  </si>
  <si>
    <t>Northern Pastaza Quichua</t>
  </si>
  <si>
    <t>nort2975</t>
  </si>
  <si>
    <t>Northwest Jujuy</t>
  </si>
  <si>
    <t>North Bolivian Quechua</t>
  </si>
  <si>
    <t>qul</t>
  </si>
  <si>
    <t>nort2977</t>
  </si>
  <si>
    <t>Northern Arequipa</t>
  </si>
  <si>
    <t>nort2978</t>
  </si>
  <si>
    <t>Northern Dos de Mayo</t>
  </si>
  <si>
    <t>nort2979</t>
  </si>
  <si>
    <t>Northern Conchucos Ancash Quechua</t>
  </si>
  <si>
    <t>qxn</t>
  </si>
  <si>
    <t>nort2980</t>
  </si>
  <si>
    <t>North Jun√≠n Quechua</t>
  </si>
  <si>
    <t>qvn</t>
  </si>
  <si>
    <t>nort2981</t>
  </si>
  <si>
    <t>Northern Ninam</t>
  </si>
  <si>
    <t>nort2983</t>
  </si>
  <si>
    <t>Northern Toba</t>
  </si>
  <si>
    <t>nort2984</t>
  </si>
  <si>
    <t>Northern Pame</t>
  </si>
  <si>
    <t>pmq</t>
  </si>
  <si>
    <t>Northern Tlaxiaco Mixtec</t>
  </si>
  <si>
    <t>xtn</t>
  </si>
  <si>
    <t>nort2986</t>
  </si>
  <si>
    <t>Northwest Oaxaca Mixtec</t>
  </si>
  <si>
    <t>mxa</t>
  </si>
  <si>
    <t>Northern Core Zapotec</t>
  </si>
  <si>
    <t>Northern Maipuran</t>
  </si>
  <si>
    <t>nort2994</t>
  </si>
  <si>
    <t>nort3219</t>
  </si>
  <si>
    <t>Northern Roglai</t>
  </si>
  <si>
    <t>rog</t>
  </si>
  <si>
    <t>Northern Magdalenic</t>
  </si>
  <si>
    <t>North Mofu</t>
  </si>
  <si>
    <t>mfk</t>
  </si>
  <si>
    <t>North Giziga</t>
  </si>
  <si>
    <t>gis</t>
  </si>
  <si>
    <t>North Laamang</t>
  </si>
  <si>
    <t>nort3049</t>
  </si>
  <si>
    <t>Northern Buduma</t>
  </si>
  <si>
    <t>North Hausa</t>
  </si>
  <si>
    <t>Northern Somali</t>
  </si>
  <si>
    <t>nort3052</t>
  </si>
  <si>
    <t>Northern Afar</t>
  </si>
  <si>
    <t>nort3090</t>
  </si>
  <si>
    <t>Northern Soqotri</t>
  </si>
  <si>
    <t>nort3091</t>
  </si>
  <si>
    <t>Northwest Central Soqotri</t>
  </si>
  <si>
    <t>nort3092</t>
  </si>
  <si>
    <t>North Central Soqotri</t>
  </si>
  <si>
    <t>Northern Group</t>
  </si>
  <si>
    <t>nort3097</t>
  </si>
  <si>
    <t>Northeastern varieties</t>
  </si>
  <si>
    <t>Northern Cluster Lish√°n Did√°n</t>
  </si>
  <si>
    <t>nort3130</t>
  </si>
  <si>
    <t>North Levantine Bedawi Arabic</t>
  </si>
  <si>
    <t>nort3131</t>
  </si>
  <si>
    <t>Northeast Egyptian Bedawi Arabic</t>
  </si>
  <si>
    <t>nort3132</t>
  </si>
  <si>
    <t>North Delta Arabic</t>
  </si>
  <si>
    <t>nort3133</t>
  </si>
  <si>
    <t>North Kordofan Arabic</t>
  </si>
  <si>
    <t>nort3135</t>
  </si>
  <si>
    <t>tuni1259</t>
  </si>
  <si>
    <t>North-Western Tunisian</t>
  </si>
  <si>
    <t>nort3136</t>
  </si>
  <si>
    <t>North Hijazi</t>
  </si>
  <si>
    <t>nort3137</t>
  </si>
  <si>
    <t>North Najdi</t>
  </si>
  <si>
    <t>nort3138</t>
  </si>
  <si>
    <t>North Qatari Arabic</t>
  </si>
  <si>
    <t>North Levantine Arabic</t>
  </si>
  <si>
    <t>apc</t>
  </si>
  <si>
    <t>IL LB SY TR</t>
  </si>
  <si>
    <t>nort3140</t>
  </si>
  <si>
    <t>North Lebanese Arabic</t>
  </si>
  <si>
    <t>nort3141</t>
  </si>
  <si>
    <t>North-Central Lebanese Arabic</t>
  </si>
  <si>
    <t>nort3142</t>
  </si>
  <si>
    <t>North Mesopotamian Arabic</t>
  </si>
  <si>
    <t>ayp</t>
  </si>
  <si>
    <t>IQ JO SY TR</t>
  </si>
  <si>
    <t>nort3144</t>
  </si>
  <si>
    <t>Northwestern Tamang</t>
  </si>
  <si>
    <t>tmk</t>
  </si>
  <si>
    <t>Wojokesic</t>
  </si>
  <si>
    <t>North-Central Atlantic</t>
  </si>
  <si>
    <t>Northern Tungusic</t>
  </si>
  <si>
    <t>North Volta-Congo</t>
  </si>
  <si>
    <t>North Bahnaric</t>
  </si>
  <si>
    <t>North Munda</t>
  </si>
  <si>
    <t>nort3152</t>
  </si>
  <si>
    <t>Northwest Germanic</t>
  </si>
  <si>
    <t>Northern Nambiquaran</t>
  </si>
  <si>
    <t>North Coast Pama-Nyungan</t>
  </si>
  <si>
    <t>Northern Chinese</t>
  </si>
  <si>
    <t>North Biu-Mandara</t>
  </si>
  <si>
    <t>North Masa</t>
  </si>
  <si>
    <t>nort3158</t>
  </si>
  <si>
    <t>Northern-Eastern-Western Agaw</t>
  </si>
  <si>
    <t>nort3160</t>
  </si>
  <si>
    <t>North Germanic</t>
  </si>
  <si>
    <t>North-West Ometo</t>
  </si>
  <si>
    <t>Northeastern Agaw</t>
  </si>
  <si>
    <t>Northern West Rift South Cushitic</t>
  </si>
  <si>
    <t>Northwest Semitic</t>
  </si>
  <si>
    <t>Northern Bullom</t>
  </si>
  <si>
    <t>Northern Bantoid</t>
  </si>
  <si>
    <t>Northern Benue-Congo Plateau</t>
  </si>
  <si>
    <t>North and East Malayo-Sumbawan</t>
  </si>
  <si>
    <t>North Sarawakan</t>
  </si>
  <si>
    <t>Northeast Sabahan</t>
  </si>
  <si>
    <t>sang1335</t>
  </si>
  <si>
    <t>Northern Sangiric</t>
  </si>
  <si>
    <t>North Sea Germanic</t>
  </si>
  <si>
    <t>Northwestern Iranian</t>
  </si>
  <si>
    <t>Northern Ngayarda</t>
  </si>
  <si>
    <t>nort3179</t>
  </si>
  <si>
    <t>Northeastern Kuki-Chin</t>
  </si>
  <si>
    <t>nort3180</t>
  </si>
  <si>
    <t>Northern Daic</t>
  </si>
  <si>
    <t>zha</t>
  </si>
  <si>
    <t>Northwestern-Saulteaux Ojibwa</t>
  </si>
  <si>
    <t>North-Central Edoid</t>
  </si>
  <si>
    <t>nort3183</t>
  </si>
  <si>
    <t>Northwestern Edoid</t>
  </si>
  <si>
    <t>Northwestern Benue-Congo Plateau</t>
  </si>
  <si>
    <t>Northern Palawanic</t>
  </si>
  <si>
    <t>Northern Murutic</t>
  </si>
  <si>
    <t>Northeastern Luzon</t>
  </si>
  <si>
    <t>Northern Gelao</t>
  </si>
  <si>
    <t>Northern Tai</t>
  </si>
  <si>
    <t>sout3162</t>
  </si>
  <si>
    <t>Northwest South Bauchi</t>
  </si>
  <si>
    <t>North African Arabic</t>
  </si>
  <si>
    <t>North Tivoid</t>
  </si>
  <si>
    <t>North-Central Liberian Grebo</t>
  </si>
  <si>
    <t>Northern Timoric A</t>
  </si>
  <si>
    <t>North and Central Vanuatu</t>
  </si>
  <si>
    <t>North-Central Malagasic</t>
  </si>
  <si>
    <t>Northwestern Romani</t>
  </si>
  <si>
    <t>Northeastern Alta Mixtec</t>
  </si>
  <si>
    <t>Northern Alta Mixtec</t>
  </si>
  <si>
    <t>Northern Baja Mixtec</t>
  </si>
  <si>
    <t>Northwestern Otomi</t>
  </si>
  <si>
    <t>west2814</t>
  </si>
  <si>
    <t>North Guerrero Nahuatl</t>
  </si>
  <si>
    <t>Northeast Savanna Bantu</t>
  </si>
  <si>
    <t>North Guang</t>
  </si>
  <si>
    <t>Northern Vanuatu</t>
  </si>
  <si>
    <t>North New Guinea linkage</t>
  </si>
  <si>
    <t>Northern Malagasic</t>
  </si>
  <si>
    <t>shif1234</t>
  </si>
  <si>
    <t>Northwestern Shifted Romance</t>
  </si>
  <si>
    <t>Northeast Coastal Bantu</t>
  </si>
  <si>
    <t>Northern Jos</t>
  </si>
  <si>
    <t>Mid-Northern New Caledonian</t>
  </si>
  <si>
    <t>Northeast Central Malagasic</t>
  </si>
  <si>
    <t>tsog1242</t>
  </si>
  <si>
    <t>Northern Okani</t>
  </si>
  <si>
    <t>Northern Central Kenya Bantu</t>
  </si>
  <si>
    <t>North-Central Jos</t>
  </si>
  <si>
    <t>North Lembata-Adonara</t>
  </si>
  <si>
    <t>North-West Santo</t>
  </si>
  <si>
    <t>tann1242</t>
  </si>
  <si>
    <t>Northern Tanna linkage</t>
  </si>
  <si>
    <t>Northern Cham</t>
  </si>
  <si>
    <t>North Nyanza</t>
  </si>
  <si>
    <t>Northwest Seram</t>
  </si>
  <si>
    <t>North Efatic</t>
  </si>
  <si>
    <t>Northern Malakula</t>
  </si>
  <si>
    <t>Northwest Solomonic</t>
  </si>
  <si>
    <t>Northern Kalinga</t>
  </si>
  <si>
    <t>nyan1318</t>
  </si>
  <si>
    <t>North Mara</t>
  </si>
  <si>
    <t>ruta1242</t>
  </si>
  <si>
    <t>North Rutara</t>
  </si>
  <si>
    <t>nort3229</t>
  </si>
  <si>
    <t>sisa1248</t>
  </si>
  <si>
    <t>Northwestern Sisaala</t>
  </si>
  <si>
    <t>North Coast Malakula</t>
  </si>
  <si>
    <t>Northwest Kalinga</t>
  </si>
  <si>
    <t>Northern Mijikenda</t>
  </si>
  <si>
    <t>Northern Sotho</t>
  </si>
  <si>
    <t>nucl1748</t>
  </si>
  <si>
    <t>Northwest Oti-Volta</t>
  </si>
  <si>
    <t>nort3246</t>
  </si>
  <si>
    <t>Carolinean Outlier Polynesian</t>
  </si>
  <si>
    <t>Northeast Ambon</t>
  </si>
  <si>
    <t>North-West Dagaric</t>
  </si>
  <si>
    <t>Northern Luzon</t>
  </si>
  <si>
    <t>Northern Kalenjin</t>
  </si>
  <si>
    <t>North Central Cordilleran</t>
  </si>
  <si>
    <t>North-Eastern Neo-Aramaic</t>
  </si>
  <si>
    <t>Northwestern Jewish Neo-Aramaic</t>
  </si>
  <si>
    <t>Northern Indo-Portuguesic</t>
  </si>
  <si>
    <t>nort3244</t>
  </si>
  <si>
    <t>Northern Hmong</t>
  </si>
  <si>
    <t>North Khoekhoe</t>
  </si>
  <si>
    <t>Northern Outlier Polynesian-East Polynesian</t>
  </si>
  <si>
    <t>nort3247</t>
  </si>
  <si>
    <t>Northeast Bainounk</t>
  </si>
  <si>
    <t>Northwestern Moroccan Berber</t>
  </si>
  <si>
    <t>nort3249</t>
  </si>
  <si>
    <t>Northern Zhuang</t>
  </si>
  <si>
    <t>ccx</t>
  </si>
  <si>
    <t>nort3250</t>
  </si>
  <si>
    <t>North Korowai</t>
  </si>
  <si>
    <t>krg</t>
  </si>
  <si>
    <t>nort3251</t>
  </si>
  <si>
    <t>Northern Nambiku√°ra</t>
  </si>
  <si>
    <t>mbg</t>
  </si>
  <si>
    <t>Northern Costanoan</t>
  </si>
  <si>
    <t>North Borneo Malayo-Polynesian</t>
  </si>
  <si>
    <t>North Senufo</t>
  </si>
  <si>
    <t>ryuk1243</t>
  </si>
  <si>
    <t>Northern Ryukyuan</t>
  </si>
  <si>
    <t>Northeastern Pama</t>
  </si>
  <si>
    <t>Northern Njila</t>
  </si>
  <si>
    <t>Northwest Gondi</t>
  </si>
  <si>
    <t>gon</t>
  </si>
  <si>
    <t>samb1323</t>
  </si>
  <si>
    <t>Northern Samba Duru</t>
  </si>
  <si>
    <t>nort3260</t>
  </si>
  <si>
    <t>Northern Alantika Vere</t>
  </si>
  <si>
    <t>Northwestern Malakula</t>
  </si>
  <si>
    <t>tidu1239</t>
  </si>
  <si>
    <t>Northern Tidung</t>
  </si>
  <si>
    <t>ntd</t>
  </si>
  <si>
    <t>nuri1243</t>
  </si>
  <si>
    <t>Northern Nuristani</t>
  </si>
  <si>
    <t>west2866</t>
  </si>
  <si>
    <t>Northern Khanty</t>
  </si>
  <si>
    <t>nort3265</t>
  </si>
  <si>
    <t>Northern Totonacan</t>
  </si>
  <si>
    <t>North Scandinavian</t>
  </si>
  <si>
    <t>Northern Kikongo</t>
  </si>
  <si>
    <t>ping1245</t>
  </si>
  <si>
    <t>Northern Pinghua</t>
  </si>
  <si>
    <t>nort3269</t>
  </si>
  <si>
    <t>Northwestern Ancient Greek</t>
  </si>
  <si>
    <t>nort3270</t>
  </si>
  <si>
    <t>Northern Katang</t>
  </si>
  <si>
    <t>ncq</t>
  </si>
  <si>
    <t>North-Central Mansi</t>
  </si>
  <si>
    <t>nort3272</t>
  </si>
  <si>
    <t>Northern Oromo</t>
  </si>
  <si>
    <t>taih1244</t>
  </si>
  <si>
    <t>Northern Zhejiang</t>
  </si>
  <si>
    <t>Northwestern Wu</t>
  </si>
  <si>
    <t>North Andamanese-Akakede</t>
  </si>
  <si>
    <t>North-Central Datooga</t>
  </si>
  <si>
    <t>nort3278</t>
  </si>
  <si>
    <t>Northeast Paman</t>
  </si>
  <si>
    <t>North-South Irula</t>
  </si>
  <si>
    <t>North Dargwa</t>
  </si>
  <si>
    <t>Northern Central Malagasic</t>
  </si>
  <si>
    <t>North Finnic</t>
  </si>
  <si>
    <t>Northeastern Mandarin</t>
  </si>
  <si>
    <t>North Malaitan</t>
  </si>
  <si>
    <t>nort3285</t>
  </si>
  <si>
    <t>Northern Seto</t>
  </si>
  <si>
    <t>nort3286</t>
  </si>
  <si>
    <t>Northern Tangkhul Naga</t>
  </si>
  <si>
    <t>nort3287</t>
  </si>
  <si>
    <t>North-Central Tangkhul Naga</t>
  </si>
  <si>
    <t>nort3288</t>
  </si>
  <si>
    <t>sing1264</t>
  </si>
  <si>
    <t>Northwestern Jinghpaw</t>
  </si>
  <si>
    <t>Northeastern Jinghpaw</t>
  </si>
  <si>
    <t>nort3290</t>
  </si>
  <si>
    <t>Northern Algonquin</t>
  </si>
  <si>
    <t>nort3291</t>
  </si>
  <si>
    <t>Northeastern Olekha</t>
  </si>
  <si>
    <t>North-Western Tigre</t>
  </si>
  <si>
    <t>nort3294</t>
  </si>
  <si>
    <t>west2888</t>
  </si>
  <si>
    <t>Northwestern Bulgarian</t>
  </si>
  <si>
    <t>Northwest Gheg</t>
  </si>
  <si>
    <t>nort3296</t>
  </si>
  <si>
    <t>Northeast Gheg</t>
  </si>
  <si>
    <t>nort3297</t>
  </si>
  <si>
    <t>Northern Ukraine Yiddish</t>
  </si>
  <si>
    <t>nort3298</t>
  </si>
  <si>
    <t>Northern Lisu</t>
  </si>
  <si>
    <t>Northern English</t>
  </si>
  <si>
    <t>nort3300</t>
  </si>
  <si>
    <t>Northumberland English</t>
  </si>
  <si>
    <t>nort3301</t>
  </si>
  <si>
    <t>Northern Southwestern English</t>
  </si>
  <si>
    <t>nort3302</t>
  </si>
  <si>
    <t>Northamptonshire-Cambridgeshire</t>
  </si>
  <si>
    <t>nort3303</t>
  </si>
  <si>
    <t>Northern Bear Huron</t>
  </si>
  <si>
    <t>North Eastern Qinghai Amdo</t>
  </si>
  <si>
    <t>Northern Sichuan Amdo</t>
  </si>
  <si>
    <t>nort3306</t>
  </si>
  <si>
    <t>Northern Ngiti</t>
  </si>
  <si>
    <t>nort3307</t>
  </si>
  <si>
    <t>North Hanoveranian</t>
  </si>
  <si>
    <t>nort3309</t>
  </si>
  <si>
    <t>Northern Maritime West Flemish</t>
  </si>
  <si>
    <t>North Alemannic</t>
  </si>
  <si>
    <t>nort3311</t>
  </si>
  <si>
    <t>North Thuringian</t>
  </si>
  <si>
    <t>nort3312</t>
  </si>
  <si>
    <t>Northeast Thuringian</t>
  </si>
  <si>
    <t>uppe1465</t>
  </si>
  <si>
    <t>North Upper Saxon</t>
  </si>
  <si>
    <t>North American English</t>
  </si>
  <si>
    <t>nort3315</t>
  </si>
  <si>
    <t>North-West Irish English</t>
  </si>
  <si>
    <t>Northern North American English</t>
  </si>
  <si>
    <t>nort3317</t>
  </si>
  <si>
    <t>North Central American English</t>
  </si>
  <si>
    <t>nort3318</t>
  </si>
  <si>
    <t>Northern Canadian English</t>
  </si>
  <si>
    <t>nort3319</t>
  </si>
  <si>
    <t>North-West Welsh English</t>
  </si>
  <si>
    <t>nort3320</t>
  </si>
  <si>
    <t>Northumbrian</t>
  </si>
  <si>
    <t>nort3321</t>
  </si>
  <si>
    <t>North Northern Scots</t>
  </si>
  <si>
    <t>nort3322</t>
  </si>
  <si>
    <t>Northern Azerbaijani</t>
  </si>
  <si>
    <t>nort3323</t>
  </si>
  <si>
    <t>Northern Ket</t>
  </si>
  <si>
    <t>North Central Romani</t>
  </si>
  <si>
    <t>Northern New Caledonian</t>
  </si>
  <si>
    <t>Northern Daic-Be-Sek</t>
  </si>
  <si>
    <t>Northern Saho</t>
  </si>
  <si>
    <t>Norwegian Sign Language</t>
  </si>
  <si>
    <t>nsl</t>
  </si>
  <si>
    <t>NO</t>
  </si>
  <si>
    <t>Norwegian</t>
  </si>
  <si>
    <t>FI NO RU SE</t>
  </si>
  <si>
    <t>Norwegian Bokm√•l</t>
  </si>
  <si>
    <t>nob</t>
  </si>
  <si>
    <t>Norwegian Sign</t>
  </si>
  <si>
    <t>Norwegian Nynorsk</t>
  </si>
  <si>
    <t>nno</t>
  </si>
  <si>
    <t>noto1238</t>
  </si>
  <si>
    <t>skol1241</t>
  </si>
  <si>
    <t>Notozer</t>
  </si>
  <si>
    <t>noto1243</t>
  </si>
  <si>
    <t>Noto</t>
  </si>
  <si>
    <t>notr1240</t>
  </si>
  <si>
    <t>west2461</t>
  </si>
  <si>
    <t>Notre</t>
  </si>
  <si>
    <t>bly</t>
  </si>
  <si>
    <t>nott1246</t>
  </si>
  <si>
    <t>tusc1256</t>
  </si>
  <si>
    <t>Nottoway</t>
  </si>
  <si>
    <t>ntw</t>
  </si>
  <si>
    <t>nouc1234</t>
  </si>
  <si>
    <t>Nouchi</t>
  </si>
  <si>
    <t>noum1238</t>
  </si>
  <si>
    <t>Noumoudara-Koumoudara</t>
  </si>
  <si>
    <t>noun1238</t>
  </si>
  <si>
    <t>Nouna</t>
  </si>
  <si>
    <t>nova1239</t>
  </si>
  <si>
    <t>Novarese Lombard</t>
  </si>
  <si>
    <t>novg1240</t>
  </si>
  <si>
    <t>Novgorod</t>
  </si>
  <si>
    <t>novi1234</t>
  </si>
  <si>
    <t>Novial</t>
  </si>
  <si>
    <t>nov</t>
  </si>
  <si>
    <t>nowa1237</t>
  </si>
  <si>
    <t>sout2869</t>
  </si>
  <si>
    <t>Nowai</t>
  </si>
  <si>
    <t>noyy1238</t>
  </si>
  <si>
    <t>uncl1505</t>
  </si>
  <si>
    <t>Noy</t>
  </si>
  <si>
    <t>noy</t>
  </si>
  <si>
    <t>nrum1234</t>
  </si>
  <si>
    <t>Nrumee</t>
  </si>
  <si>
    <t>nsaa1238</t>
  </si>
  <si>
    <t>Nsa</t>
  </si>
  <si>
    <t>nsad1238</t>
  </si>
  <si>
    <t>Nsadop</t>
  </si>
  <si>
    <t>nsar1238</t>
  </si>
  <si>
    <t>Nsari</t>
  </si>
  <si>
    <t>asj</t>
  </si>
  <si>
    <t>Nsari-Nooni-Ncane</t>
  </si>
  <si>
    <t>nsel1238</t>
  </si>
  <si>
    <t>Nsele</t>
  </si>
  <si>
    <t>nshi1235</t>
  </si>
  <si>
    <t>Nshi</t>
  </si>
  <si>
    <t>nsc</t>
  </si>
  <si>
    <t>nsih1238</t>
  </si>
  <si>
    <t>Nsihaa</t>
  </si>
  <si>
    <t>nsim1238</t>
  </si>
  <si>
    <t>Nsimbwa</t>
  </si>
  <si>
    <t>nsit1238</t>
  </si>
  <si>
    <t>Nsit</t>
  </si>
  <si>
    <t>nson1238</t>
  </si>
  <si>
    <t>Nsongo</t>
  </si>
  <si>
    <t>nsx</t>
  </si>
  <si>
    <t>Nsong-Mpiin-Ngong</t>
  </si>
  <si>
    <t>nsuk1238</t>
  </si>
  <si>
    <t>Nsuka</t>
  </si>
  <si>
    <t>ntaa1241</t>
  </si>
  <si>
    <t>Ntaapum</t>
  </si>
  <si>
    <t>ntaa1242</t>
  </si>
  <si>
    <t>Nta</t>
  </si>
  <si>
    <t>Gurma A</t>
  </si>
  <si>
    <t>Ntcham</t>
  </si>
  <si>
    <t>bud</t>
  </si>
  <si>
    <t>ntem1238</t>
  </si>
  <si>
    <t>Ntem</t>
  </si>
  <si>
    <t>nter1234</t>
  </si>
  <si>
    <t>Nterato</t>
  </si>
  <si>
    <t>ntha1238</t>
  </si>
  <si>
    <t>Nthali</t>
  </si>
  <si>
    <t>ntii1238</t>
  </si>
  <si>
    <t>Ntii</t>
  </si>
  <si>
    <t>ntil1238</t>
  </si>
  <si>
    <t>Ntili</t>
  </si>
  <si>
    <t>ntol1238</t>
  </si>
  <si>
    <t>Ntoleh</t>
  </si>
  <si>
    <t>Ntomba</t>
  </si>
  <si>
    <t>nto</t>
  </si>
  <si>
    <t>ntom1249</t>
  </si>
  <si>
    <t>Ntomba-Inongo</t>
  </si>
  <si>
    <t>ntom1250</t>
  </si>
  <si>
    <t>Ntomba-Bikoro</t>
  </si>
  <si>
    <t>nton1238</t>
  </si>
  <si>
    <t>Ntong</t>
  </si>
  <si>
    <t>ntrw1234</t>
  </si>
  <si>
    <t>Ntrwangayt</t>
  </si>
  <si>
    <t>ntsi1238</t>
  </si>
  <si>
    <t>Ntsiam</t>
  </si>
  <si>
    <t>ntsw1238</t>
  </si>
  <si>
    <t>Ntswar</t>
  </si>
  <si>
    <t>ntug1238</t>
  </si>
  <si>
    <t>Ntugi</t>
  </si>
  <si>
    <t>ntum1238</t>
  </si>
  <si>
    <t>Ntum</t>
  </si>
  <si>
    <t>Patakai</t>
  </si>
  <si>
    <t>nuba1241</t>
  </si>
  <si>
    <t>Nubaca</t>
  </si>
  <si>
    <t>baf</t>
  </si>
  <si>
    <t>Nubian</t>
  </si>
  <si>
    <t>nubi1252</t>
  </si>
  <si>
    <t>Nubia</t>
  </si>
  <si>
    <t>nubi1253</t>
  </si>
  <si>
    <t>Nubi</t>
  </si>
  <si>
    <t>kcn</t>
  </si>
  <si>
    <t>KE UG US</t>
  </si>
  <si>
    <t>Gyalsumdo-Nubri</t>
  </si>
  <si>
    <t>kte</t>
  </si>
  <si>
    <t>nubr1242</t>
  </si>
  <si>
    <t>Nubra Ladakhi</t>
  </si>
  <si>
    <t>Nubri</t>
  </si>
  <si>
    <t>nubw1238</t>
  </si>
  <si>
    <t>Nubwa</t>
  </si>
  <si>
    <t>Eastern Armenian</t>
  </si>
  <si>
    <t>AM AZ GE IR SY TR</t>
  </si>
  <si>
    <t>nucl1237</t>
  </si>
  <si>
    <t>Nuclear Yakima</t>
  </si>
  <si>
    <t>nucl1239</t>
  </si>
  <si>
    <t>shug1255</t>
  </si>
  <si>
    <t>Nuclear Shughni</t>
  </si>
  <si>
    <t>Mumuye</t>
  </si>
  <si>
    <t>mzm</t>
  </si>
  <si>
    <t>Nuclear Hlaic</t>
  </si>
  <si>
    <t>nucl1242</t>
  </si>
  <si>
    <t>Nuclear Marithiel</t>
  </si>
  <si>
    <t>nucl1243</t>
  </si>
  <si>
    <t>tega1236</t>
  </si>
  <si>
    <t>Nuclear Tegali</t>
  </si>
  <si>
    <t>Western Left May</t>
  </si>
  <si>
    <t>nucl1245</t>
  </si>
  <si>
    <t>Nuclear Mikasuki</t>
  </si>
  <si>
    <t>nucl1246</t>
  </si>
  <si>
    <t>Nuclear Quileute</t>
  </si>
  <si>
    <t>nucl1265</t>
  </si>
  <si>
    <t>Nuclear Nepali</t>
  </si>
  <si>
    <t>nucl1268</t>
  </si>
  <si>
    <t>Nuclear Ladino</t>
  </si>
  <si>
    <t>Nuclear Gascon</t>
  </si>
  <si>
    <t>nucl1270</t>
  </si>
  <si>
    <t>Nuclear Mazanderani</t>
  </si>
  <si>
    <t>nucl1271</t>
  </si>
  <si>
    <t>Nuclear Gurani</t>
  </si>
  <si>
    <t>nucl1272</t>
  </si>
  <si>
    <t>Nuclear Nayini</t>
  </si>
  <si>
    <t>nucl1273</t>
  </si>
  <si>
    <t>Nuclear Ashtiani</t>
  </si>
  <si>
    <t>nucl1274</t>
  </si>
  <si>
    <t>Nuclear Lari</t>
  </si>
  <si>
    <t>nucl1275</t>
  </si>
  <si>
    <t>Nuclear Dari</t>
  </si>
  <si>
    <t>Nuclear Pashto</t>
  </si>
  <si>
    <t>nucl1277</t>
  </si>
  <si>
    <t>Nuclear Kamviri</t>
  </si>
  <si>
    <t>nucl1279</t>
  </si>
  <si>
    <t>Nuclear Dogri</t>
  </si>
  <si>
    <t>nucl1280</t>
  </si>
  <si>
    <t>Nuclear Wadiyara Koli</t>
  </si>
  <si>
    <t>nucl1281</t>
  </si>
  <si>
    <t>Nuclear Hindi</t>
  </si>
  <si>
    <t>nucl1282</t>
  </si>
  <si>
    <t>Nuclear Mawchi</t>
  </si>
  <si>
    <t>nucl1283</t>
  </si>
  <si>
    <t>Nuclear Khandesi</t>
  </si>
  <si>
    <t>nucl1285</t>
  </si>
  <si>
    <t>Nuclear Grangali</t>
  </si>
  <si>
    <t>nucl1286</t>
  </si>
  <si>
    <t>Nuclear Sindhi Bhil</t>
  </si>
  <si>
    <t>nucl1287</t>
  </si>
  <si>
    <t>ƒúusso</t>
  </si>
  <si>
    <t>nucl1288</t>
  </si>
  <si>
    <t>Nuclear Mator</t>
  </si>
  <si>
    <t>nucl1289</t>
  </si>
  <si>
    <t>Nuclear Tai Loi</t>
  </si>
  <si>
    <t>Zhenkang Wa</t>
  </si>
  <si>
    <t>wbm</t>
  </si>
  <si>
    <t>nucl1292</t>
  </si>
  <si>
    <t>warj1242</t>
  </si>
  <si>
    <t>Nuclear War-Jaintia</t>
  </si>
  <si>
    <t>nucl1293</t>
  </si>
  <si>
    <t>Nuclear Khasi</t>
  </si>
  <si>
    <t>nucl1294</t>
  </si>
  <si>
    <t>Nuclear Jehai</t>
  </si>
  <si>
    <t>nucl1295</t>
  </si>
  <si>
    <t>Nuclear Maleng</t>
  </si>
  <si>
    <t>Nuclear Katu</t>
  </si>
  <si>
    <t>nucl1298</t>
  </si>
  <si>
    <t>Nuclear Central Khmer</t>
  </si>
  <si>
    <t>Nuclear West Bahnaric</t>
  </si>
  <si>
    <t>nucl1300</t>
  </si>
  <si>
    <t>Nuclear Hre</t>
  </si>
  <si>
    <t>Turkish</t>
  </si>
  <si>
    <t>AL AM AZ BG CY GE GR IQ IR MK SY TR</t>
  </si>
  <si>
    <t>nucl1303</t>
  </si>
  <si>
    <t>Nuclear Malayalam</t>
  </si>
  <si>
    <t>nucl1304</t>
  </si>
  <si>
    <t>Nuclear Tamil</t>
  </si>
  <si>
    <t>Kannada</t>
  </si>
  <si>
    <t>nucl1306</t>
  </si>
  <si>
    <t>Nuclear Konda-Dora</t>
  </si>
  <si>
    <t>Nuclear Dzongkhic</t>
  </si>
  <si>
    <t>Nuclear Core Muji</t>
  </si>
  <si>
    <t>oldm1246</t>
  </si>
  <si>
    <t>BD MM TH</t>
  </si>
  <si>
    <t>nucl1311</t>
  </si>
  <si>
    <t>Nuclear Zaiwa</t>
  </si>
  <si>
    <t>nucl1312</t>
  </si>
  <si>
    <t>Nuclear Ersu</t>
  </si>
  <si>
    <t>Nuclear Zemeic</t>
  </si>
  <si>
    <t>nucl1318</t>
  </si>
  <si>
    <t>Nuclear Dimasa</t>
  </si>
  <si>
    <t>nucl1319</t>
  </si>
  <si>
    <t>Nuclear Rawang</t>
  </si>
  <si>
    <t>Samur</t>
  </si>
  <si>
    <t>nucl1322</t>
  </si>
  <si>
    <t>Nuclear Bezhta</t>
  </si>
  <si>
    <t>nucl1323</t>
  </si>
  <si>
    <t>Nuclear Botlikh</t>
  </si>
  <si>
    <t>nucl1324</t>
  </si>
  <si>
    <t>Nuclear Biao Mon</t>
  </si>
  <si>
    <t>nucl1327</t>
  </si>
  <si>
    <t>Limilngan</t>
  </si>
  <si>
    <t>lmc</t>
  </si>
  <si>
    <t>nucl1328</t>
  </si>
  <si>
    <t>Wambaya</t>
  </si>
  <si>
    <t>Nuclear Mayabic</t>
  </si>
  <si>
    <t>nucl1333</t>
  </si>
  <si>
    <t>Nuclear Dhuwal</t>
  </si>
  <si>
    <t>nucl1334</t>
  </si>
  <si>
    <t>Nuclear Gupapuyngu</t>
  </si>
  <si>
    <t>nucl1335</t>
  </si>
  <si>
    <t>Nuclear Kulin</t>
  </si>
  <si>
    <t>nucl1336</t>
  </si>
  <si>
    <t>Nuclear Dyaabugay</t>
  </si>
  <si>
    <t>nucl1337</t>
  </si>
  <si>
    <t>Nuclear Yidiny</t>
  </si>
  <si>
    <t>nucl1338</t>
  </si>
  <si>
    <t>Nuclear Bardi</t>
  </si>
  <si>
    <t>nucl1339</t>
  </si>
  <si>
    <t>teme1251</t>
  </si>
  <si>
    <t>Temein</t>
  </si>
  <si>
    <t>teq</t>
  </si>
  <si>
    <t>nucl1340</t>
  </si>
  <si>
    <t>Nuclear Lafofa</t>
  </si>
  <si>
    <t>nucl1341</t>
  </si>
  <si>
    <t>Nuclear Bambassi</t>
  </si>
  <si>
    <t>nucl1342</t>
  </si>
  <si>
    <t>Nuclear Kelo</t>
  </si>
  <si>
    <t>nucl1343</t>
  </si>
  <si>
    <t>Nuclear Kadaru</t>
  </si>
  <si>
    <t>nucl1344</t>
  </si>
  <si>
    <t>Nuclear Dilling</t>
  </si>
  <si>
    <t>nucl1346</t>
  </si>
  <si>
    <t>Nuclear Bandial</t>
  </si>
  <si>
    <t>Wolof</t>
  </si>
  <si>
    <t>wol</t>
  </si>
  <si>
    <t>GM GW ML MR SN</t>
  </si>
  <si>
    <t>nucl1348</t>
  </si>
  <si>
    <t>sekp1241</t>
  </si>
  <si>
    <t>Nuclear Sekpele</t>
  </si>
  <si>
    <t>nucl1349</t>
  </si>
  <si>
    <t>Nuclear Tchumbuli</t>
  </si>
  <si>
    <t>nucl1350</t>
  </si>
  <si>
    <t>Nuclear Gonja</t>
  </si>
  <si>
    <t>nucl1351</t>
  </si>
  <si>
    <t>Nuclear Awutu</t>
  </si>
  <si>
    <t>nucl1352</t>
  </si>
  <si>
    <t>Nuclear Gun</t>
  </si>
  <si>
    <t>nucl1353</t>
  </si>
  <si>
    <t>Nuclear Gen</t>
  </si>
  <si>
    <t>nucl1354</t>
  </si>
  <si>
    <t>Nuclear Koma Ndera</t>
  </si>
  <si>
    <t>nucl1355</t>
  </si>
  <si>
    <t>Nuclear Mom Jango</t>
  </si>
  <si>
    <t>nucl1356</t>
  </si>
  <si>
    <t>Nuclear Pangseng</t>
  </si>
  <si>
    <t>nucl1357</t>
  </si>
  <si>
    <t>Nuclear Samba Leko</t>
  </si>
  <si>
    <t>nucl1358</t>
  </si>
  <si>
    <t>Nuclear Niellim</t>
  </si>
  <si>
    <t>nucl1359</t>
  </si>
  <si>
    <t>Nuclear Karang</t>
  </si>
  <si>
    <t>nucl1360</t>
  </si>
  <si>
    <t>nzak1246</t>
  </si>
  <si>
    <t>Nuclear Nzakambay</t>
  </si>
  <si>
    <t>nucl1363</t>
  </si>
  <si>
    <t>Nuclear Gbanu</t>
  </si>
  <si>
    <t>nucl1364</t>
  </si>
  <si>
    <t>Nuclear Bokoto</t>
  </si>
  <si>
    <t>nucl1365</t>
  </si>
  <si>
    <t>Nuclear Banda-Banda</t>
  </si>
  <si>
    <t>nucl1366</t>
  </si>
  <si>
    <t>Nuclear Nateni</t>
  </si>
  <si>
    <t>nucl1367</t>
  </si>
  <si>
    <t>waam1244</t>
  </si>
  <si>
    <t>Nuclear Waama</t>
  </si>
  <si>
    <t>nucl1368</t>
  </si>
  <si>
    <t>Nuclear Kasem</t>
  </si>
  <si>
    <t>nucl1369</t>
  </si>
  <si>
    <t>Nuclear Kaansa</t>
  </si>
  <si>
    <t>nucl1370</t>
  </si>
  <si>
    <t>Nuclear Waja</t>
  </si>
  <si>
    <t>Nuclear Tulaic</t>
  </si>
  <si>
    <t>nucl1372</t>
  </si>
  <si>
    <t>Nuclear Kwa</t>
  </si>
  <si>
    <t>nucl1373</t>
  </si>
  <si>
    <t>Nuclear Mboi</t>
  </si>
  <si>
    <t>nucl1374</t>
  </si>
  <si>
    <t>Nuclear Bu</t>
  </si>
  <si>
    <t>nucl1375</t>
  </si>
  <si>
    <t>Nuclear Agwagwune</t>
  </si>
  <si>
    <t>nucl1376</t>
  </si>
  <si>
    <t>Nuclear Jere</t>
  </si>
  <si>
    <t>nucl1377</t>
  </si>
  <si>
    <t>Nuclear Kgalagadi</t>
  </si>
  <si>
    <t>nucl1378</t>
  </si>
  <si>
    <t>Nuclear Ndau</t>
  </si>
  <si>
    <t>Kinga</t>
  </si>
  <si>
    <t>zga</t>
  </si>
  <si>
    <t>nucl1380</t>
  </si>
  <si>
    <t>Nuclear Mbangala</t>
  </si>
  <si>
    <t>nucl1381</t>
  </si>
  <si>
    <t>Nuclear Boguru</t>
  </si>
  <si>
    <t>nucl1382</t>
  </si>
  <si>
    <t>Nuclear Ila</t>
  </si>
  <si>
    <t>nucl1383</t>
  </si>
  <si>
    <t>Nuclear Lenje</t>
  </si>
  <si>
    <t>nucl1384</t>
  </si>
  <si>
    <t>Nuclear Lamba</t>
  </si>
  <si>
    <t>nucl1385</t>
  </si>
  <si>
    <t>Nuclear Nkoya</t>
  </si>
  <si>
    <t>nucl1386</t>
  </si>
  <si>
    <t>Nuclear Bangubangu</t>
  </si>
  <si>
    <t>nucl1387</t>
  </si>
  <si>
    <t>Nuclear Meru</t>
  </si>
  <si>
    <t>nucl1388</t>
  </si>
  <si>
    <t>Nuclear Tharaka</t>
  </si>
  <si>
    <t>nucl1389</t>
  </si>
  <si>
    <t>Nuclear Embu</t>
  </si>
  <si>
    <t>nucl1390</t>
  </si>
  <si>
    <t>Nuclear Giryama</t>
  </si>
  <si>
    <t>nucl1391</t>
  </si>
  <si>
    <t>Nuclear Bukusu</t>
  </si>
  <si>
    <t>nucl1392</t>
  </si>
  <si>
    <t>Nuclear Nande</t>
  </si>
  <si>
    <t>nucl1393</t>
  </si>
  <si>
    <t>Nuclear Holu</t>
  </si>
  <si>
    <t>nucl1394</t>
  </si>
  <si>
    <t>Nuclear Simaa</t>
  </si>
  <si>
    <t>Nuclear Nyanja</t>
  </si>
  <si>
    <t>Sena</t>
  </si>
  <si>
    <t>seh</t>
  </si>
  <si>
    <t>nucl1397</t>
  </si>
  <si>
    <t>Nuclear Nsenga</t>
  </si>
  <si>
    <t>nucl1398</t>
  </si>
  <si>
    <t>Nuclear Pande</t>
  </si>
  <si>
    <t>nucl1399</t>
  </si>
  <si>
    <t>Nuclear Ntomba</t>
  </si>
  <si>
    <t>nucl1401</t>
  </si>
  <si>
    <t>Nuclear Sakata</t>
  </si>
  <si>
    <t>nucl1402</t>
  </si>
  <si>
    <t>Nuclear Bakaka</t>
  </si>
  <si>
    <t>nucl1403</t>
  </si>
  <si>
    <t>Nuclear Kwakum</t>
  </si>
  <si>
    <t>nucl1404</t>
  </si>
  <si>
    <t>Nuclear Lefa</t>
  </si>
  <si>
    <t>nucl1406</t>
  </si>
  <si>
    <t>Nuclear Kwasio</t>
  </si>
  <si>
    <t>nucl1407</t>
  </si>
  <si>
    <t>Nuclear Byep</t>
  </si>
  <si>
    <t>nucl1408</t>
  </si>
  <si>
    <t>Nuclear Ukhwejo</t>
  </si>
  <si>
    <t>nucl1409</t>
  </si>
  <si>
    <t>Nuclear Mpuono</t>
  </si>
  <si>
    <t>nucl1410</t>
  </si>
  <si>
    <t>Nuclear Befang</t>
  </si>
  <si>
    <t>nucl1411</t>
  </si>
  <si>
    <t>Nuclear Yemba</t>
  </si>
  <si>
    <t>nucl1412</t>
  </si>
  <si>
    <t>Nuclear Kwa'</t>
  </si>
  <si>
    <t>nucl1413</t>
  </si>
  <si>
    <t>Nuclear Bafut</t>
  </si>
  <si>
    <t>nucl1414</t>
  </si>
  <si>
    <t>Nuclear Ngwo</t>
  </si>
  <si>
    <t>nucl1415</t>
  </si>
  <si>
    <t>Nuclear Ncane</t>
  </si>
  <si>
    <t>nucl1416</t>
  </si>
  <si>
    <t>samb1311</t>
  </si>
  <si>
    <t>Nuclear Samba Daka</t>
  </si>
  <si>
    <t>Igbo</t>
  </si>
  <si>
    <t>ibo</t>
  </si>
  <si>
    <t>Bassa</t>
  </si>
  <si>
    <t>bsq</t>
  </si>
  <si>
    <t>nucl1419</t>
  </si>
  <si>
    <t>nyab1255</t>
  </si>
  <si>
    <t>Nuclear Nyabwa</t>
  </si>
  <si>
    <t>nucl1420</t>
  </si>
  <si>
    <t>Nuclear Mangbetu</t>
  </si>
  <si>
    <t>nucl1421</t>
  </si>
  <si>
    <t>Nuclear Mamvu</t>
  </si>
  <si>
    <t>nucl1422</t>
  </si>
  <si>
    <t>vale1250</t>
  </si>
  <si>
    <t>Nuclear Vale</t>
  </si>
  <si>
    <t>nucl1423</t>
  </si>
  <si>
    <t>Nuclear Lutos</t>
  </si>
  <si>
    <t>nucl1424</t>
  </si>
  <si>
    <t>Nuclear Gulay</t>
  </si>
  <si>
    <t>nucl1425</t>
  </si>
  <si>
    <t>Nuclear Bedjond</t>
  </si>
  <si>
    <t>nucl1426</t>
  </si>
  <si>
    <t>Nuclear Morom</t>
  </si>
  <si>
    <t>nucl1427</t>
  </si>
  <si>
    <t>Nuclear Yulu</t>
  </si>
  <si>
    <t>nucl1428</t>
  </si>
  <si>
    <t>Nuclear Morokodo</t>
  </si>
  <si>
    <t>nucl1429</t>
  </si>
  <si>
    <t>Nuclear Laal</t>
  </si>
  <si>
    <t>Nuclear Karamojong</t>
  </si>
  <si>
    <t>Nuclear Maa</t>
  </si>
  <si>
    <t>nucl1432</t>
  </si>
  <si>
    <t>okie1245</t>
  </si>
  <si>
    <t>Nuclear Okiek</t>
  </si>
  <si>
    <t>nucl1433</t>
  </si>
  <si>
    <t>Nuclear Bench</t>
  </si>
  <si>
    <t>nucl1434</t>
  </si>
  <si>
    <t>Nuclear Kafa</t>
  </si>
  <si>
    <t>nucl1435</t>
  </si>
  <si>
    <t>Nuclear Keiga</t>
  </si>
  <si>
    <t>nucl1436</t>
  </si>
  <si>
    <t>Nuclear Kanga</t>
  </si>
  <si>
    <t>nucl1437</t>
  </si>
  <si>
    <t>Nuclear Tulishi</t>
  </si>
  <si>
    <t>nucl1438</t>
  </si>
  <si>
    <t>Nuclear Tumtum</t>
  </si>
  <si>
    <t>nucl1439</t>
  </si>
  <si>
    <t>Nuclear Kibet</t>
  </si>
  <si>
    <t>Masalit</t>
  </si>
  <si>
    <t>mls</t>
  </si>
  <si>
    <t>Macro-Maba</t>
  </si>
  <si>
    <t>nucl1442</t>
  </si>
  <si>
    <t>Nuclear Karanga</t>
  </si>
  <si>
    <t>Nuclear Bozo</t>
  </si>
  <si>
    <t>Nuclear Mokole</t>
  </si>
  <si>
    <t>nucl1446</t>
  </si>
  <si>
    <t>Nuclear Koyaga</t>
  </si>
  <si>
    <t>nucl1447</t>
  </si>
  <si>
    <t>Nuclear Mararit</t>
  </si>
  <si>
    <t>nucl1448</t>
  </si>
  <si>
    <t>Nuclear Laro</t>
  </si>
  <si>
    <t>nucl1449</t>
  </si>
  <si>
    <t>Goy</t>
  </si>
  <si>
    <t>nucl1450</t>
  </si>
  <si>
    <t>Nuclear Dazaga</t>
  </si>
  <si>
    <t>nucl1451</t>
  </si>
  <si>
    <t>Nuclear Gobasi</t>
  </si>
  <si>
    <t>nucl1452</t>
  </si>
  <si>
    <t>Mombum</t>
  </si>
  <si>
    <t>mso</t>
  </si>
  <si>
    <t>nucl1453</t>
  </si>
  <si>
    <t>wali1264</t>
  </si>
  <si>
    <t>pais1239</t>
  </si>
  <si>
    <t>Walio</t>
  </si>
  <si>
    <t>wla</t>
  </si>
  <si>
    <t>Yawa</t>
  </si>
  <si>
    <t>yva</t>
  </si>
  <si>
    <t>nucl1456</t>
  </si>
  <si>
    <t>Nuclear Hamtai</t>
  </si>
  <si>
    <t>nucl1457</t>
  </si>
  <si>
    <t>Nuclear Baruya</t>
  </si>
  <si>
    <t>nucl1458</t>
  </si>
  <si>
    <t>Monumbo</t>
  </si>
  <si>
    <t>mxk</t>
  </si>
  <si>
    <t>nucl1459</t>
  </si>
  <si>
    <t>Nuclear Nambo</t>
  </si>
  <si>
    <t>Madurese</t>
  </si>
  <si>
    <t>mad</t>
  </si>
  <si>
    <t>nucl1461</t>
  </si>
  <si>
    <t>Nuclear Kendayan</t>
  </si>
  <si>
    <t>nucl1462</t>
  </si>
  <si>
    <t>Nuclear Temuan</t>
  </si>
  <si>
    <t>Nuclear Barrier Islands</t>
  </si>
  <si>
    <t>nucl1464</t>
  </si>
  <si>
    <t>Nuclear Nias</t>
  </si>
  <si>
    <t>nucl1465</t>
  </si>
  <si>
    <t>Nuclear Ma'ya</t>
  </si>
  <si>
    <t>nucl1466</t>
  </si>
  <si>
    <t>Nuclear Ambai</t>
  </si>
  <si>
    <t>nucl1467</t>
  </si>
  <si>
    <t>Nuclear Sawai</t>
  </si>
  <si>
    <t>nucl1468</t>
  </si>
  <si>
    <t>Nuclear East Makian</t>
  </si>
  <si>
    <t>nucl1469</t>
  </si>
  <si>
    <t>Nuclear Talise</t>
  </si>
  <si>
    <t>Nuclear Guadalcanal-Nggelic</t>
  </si>
  <si>
    <t>nucl1471</t>
  </si>
  <si>
    <t>Nuclear Ghari</t>
  </si>
  <si>
    <t>nucl1472</t>
  </si>
  <si>
    <t>Nuclear Lengo</t>
  </si>
  <si>
    <t>nucl1473</t>
  </si>
  <si>
    <t>Nuclear Arosi</t>
  </si>
  <si>
    <t>nucl1474</t>
  </si>
  <si>
    <t>Nuclear Fagani</t>
  </si>
  <si>
    <t>nucl1475</t>
  </si>
  <si>
    <t>Nuclear Bauro</t>
  </si>
  <si>
    <t>nucl1476</t>
  </si>
  <si>
    <t>Nuclear 'Are'are</t>
  </si>
  <si>
    <t>nucl1477</t>
  </si>
  <si>
    <t>Nuclear Lau</t>
  </si>
  <si>
    <t>nucl1478</t>
  </si>
  <si>
    <t>pulu1242</t>
  </si>
  <si>
    <t>Nuclear Puluwatese</t>
  </si>
  <si>
    <t>Nuclear Woleaian</t>
  </si>
  <si>
    <t>nucl1480</t>
  </si>
  <si>
    <t>Nuclear Bieria</t>
  </si>
  <si>
    <t>nucl1481</t>
  </si>
  <si>
    <t>vure1239</t>
  </si>
  <si>
    <t>Nuclear Vures</t>
  </si>
  <si>
    <t>nucl1482</t>
  </si>
  <si>
    <t>Nuclear Vamale</t>
  </si>
  <si>
    <t>nucl1483</t>
  </si>
  <si>
    <t>Kumak</t>
  </si>
  <si>
    <t>nucl1484</t>
  </si>
  <si>
    <t>Nuclear Numee</t>
  </si>
  <si>
    <t>poly1242</t>
  </si>
  <si>
    <t>Nuclear Polynesian</t>
  </si>
  <si>
    <t>nucl1486</t>
  </si>
  <si>
    <t>Nuclear Pileni</t>
  </si>
  <si>
    <t>nucl1487</t>
  </si>
  <si>
    <t>west2519</t>
  </si>
  <si>
    <t>Nuclear Western Fijian</t>
  </si>
  <si>
    <t>nucl1488</t>
  </si>
  <si>
    <t>siee1239</t>
  </si>
  <si>
    <t>Nuclear Sie</t>
  </si>
  <si>
    <t>nucl1489</t>
  </si>
  <si>
    <t>Nuclear Barok</t>
  </si>
  <si>
    <t>nucl1490</t>
  </si>
  <si>
    <t>patp1243</t>
  </si>
  <si>
    <t>Nuclear Patpatar</t>
  </si>
  <si>
    <t>nucl1491</t>
  </si>
  <si>
    <t>Nuclear Konomala</t>
  </si>
  <si>
    <t>nucl1492</t>
  </si>
  <si>
    <t>Nuclear Vangunu</t>
  </si>
  <si>
    <t>nucl1493</t>
  </si>
  <si>
    <t>Nuclear Varisi</t>
  </si>
  <si>
    <t>nucl1494</t>
  </si>
  <si>
    <t>Nuclear Babatana</t>
  </si>
  <si>
    <t>nucl1495</t>
  </si>
  <si>
    <t>sapo1253</t>
  </si>
  <si>
    <t>Nuclear Saposa</t>
  </si>
  <si>
    <t>nucl1496</t>
  </si>
  <si>
    <t>Nuclear Nehan</t>
  </si>
  <si>
    <t>nucl1497</t>
  </si>
  <si>
    <t>Nuclear Bola</t>
  </si>
  <si>
    <t>nucl1499</t>
  </si>
  <si>
    <t>Nuclear Maisin</t>
  </si>
  <si>
    <t>nucl1500</t>
  </si>
  <si>
    <t>Nuclear Suau</t>
  </si>
  <si>
    <t>nucl1501</t>
  </si>
  <si>
    <t>Nuclear Wagawaga</t>
  </si>
  <si>
    <t>nucl1502</t>
  </si>
  <si>
    <t>Nuclear Saliba</t>
  </si>
  <si>
    <t>nucl1504</t>
  </si>
  <si>
    <t>Nuclear Bunama</t>
  </si>
  <si>
    <t>nucl1505</t>
  </si>
  <si>
    <t>Nuclear Keapara</t>
  </si>
  <si>
    <t>Nuclear West Central Papuan linkage</t>
  </si>
  <si>
    <t>nucl1507</t>
  </si>
  <si>
    <t>waim1251</t>
  </si>
  <si>
    <t>Nuclear Waima</t>
  </si>
  <si>
    <t>nucl1508</t>
  </si>
  <si>
    <t>Nuclear Kaulong</t>
  </si>
  <si>
    <t>nucl1509</t>
  </si>
  <si>
    <t>Nuclear Malasanga</t>
  </si>
  <si>
    <t>Western Bel</t>
  </si>
  <si>
    <t>nucl1511</t>
  </si>
  <si>
    <t>Nuclear Mamusi</t>
  </si>
  <si>
    <t>nucl1512</t>
  </si>
  <si>
    <t>Nuclear Mbula</t>
  </si>
  <si>
    <t>nucl1513</t>
  </si>
  <si>
    <t>Nuclear Mutu</t>
  </si>
  <si>
    <t>nucl1514</t>
  </si>
  <si>
    <t>Nuclear Kapin</t>
  </si>
  <si>
    <t>nucl1515</t>
  </si>
  <si>
    <t>Nuclear Hote</t>
  </si>
  <si>
    <t>nucl1516</t>
  </si>
  <si>
    <t>Rembong</t>
  </si>
  <si>
    <t>nucl1518</t>
  </si>
  <si>
    <t>Nuclear Bima</t>
  </si>
  <si>
    <t>nucl1519</t>
  </si>
  <si>
    <t>Nuclear Laura</t>
  </si>
  <si>
    <t>nucl1520</t>
  </si>
  <si>
    <t>wanu1241</t>
  </si>
  <si>
    <t>Nuclear Wanukaka</t>
  </si>
  <si>
    <t>nucl1521</t>
  </si>
  <si>
    <t>Nuclear Kambera</t>
  </si>
  <si>
    <t>nucl1523</t>
  </si>
  <si>
    <t>Nuclear Barakai</t>
  </si>
  <si>
    <t>nucl1524</t>
  </si>
  <si>
    <t>Nuclear Lola</t>
  </si>
  <si>
    <t>nucl1525</t>
  </si>
  <si>
    <t>Nuclear Seluwasan</t>
  </si>
  <si>
    <t>nucl1526</t>
  </si>
  <si>
    <t>Nuclear Lisela</t>
  </si>
  <si>
    <t>nucl1527</t>
  </si>
  <si>
    <t>Nuclear Kayeli</t>
  </si>
  <si>
    <t>nucl1528</t>
  </si>
  <si>
    <t>Nuclear Tulehu</t>
  </si>
  <si>
    <t>nucl1529</t>
  </si>
  <si>
    <t>Nuclear Hitu</t>
  </si>
  <si>
    <t>nucl1530</t>
  </si>
  <si>
    <t>Nuclear Kaibobo</t>
  </si>
  <si>
    <t>nucl1531</t>
  </si>
  <si>
    <t>Nuclear Asilulu</t>
  </si>
  <si>
    <t>nucl1532</t>
  </si>
  <si>
    <t>Nuclear Luhu</t>
  </si>
  <si>
    <t>nucl1533</t>
  </si>
  <si>
    <t>Nuclear Benggoi</t>
  </si>
  <si>
    <t>Ile Mandiri</t>
  </si>
  <si>
    <t>nucl1535</t>
  </si>
  <si>
    <t>Lewuka</t>
  </si>
  <si>
    <t>Nuclear Luang</t>
  </si>
  <si>
    <t>nucl1537</t>
  </si>
  <si>
    <t>Nuclear Bilba</t>
  </si>
  <si>
    <t>nucl1538</t>
  </si>
  <si>
    <t>Nuclear Ringgou</t>
  </si>
  <si>
    <t>nucl1539</t>
  </si>
  <si>
    <t>Nuclear Tukudede</t>
  </si>
  <si>
    <t>nucl1540</t>
  </si>
  <si>
    <t>Nuclear Kemak</t>
  </si>
  <si>
    <t>nucl1541</t>
  </si>
  <si>
    <t>Nuclear Galoli</t>
  </si>
  <si>
    <t>west2550</t>
  </si>
  <si>
    <t>Nuclear Southern Cordilleran</t>
  </si>
  <si>
    <t>nucl1544</t>
  </si>
  <si>
    <t>Nuclear Batad Ifugao</t>
  </si>
  <si>
    <t>nucl1545</t>
  </si>
  <si>
    <t>rata1245</t>
  </si>
  <si>
    <t>Nuclear Ratagnon</t>
  </si>
  <si>
    <t>nucl1546</t>
  </si>
  <si>
    <t>Nuclear Hiligaynon</t>
  </si>
  <si>
    <t>nucl1547</t>
  </si>
  <si>
    <t>Nuclear Surigaonon</t>
  </si>
  <si>
    <t>nucl1549</t>
  </si>
  <si>
    <t>Nuclear Bolango</t>
  </si>
  <si>
    <t>nucl1550</t>
  </si>
  <si>
    <t>Nuclear Tondano</t>
  </si>
  <si>
    <t>nucl1551</t>
  </si>
  <si>
    <t>tunj1244</t>
  </si>
  <si>
    <t>Nuclear Tunjung</t>
  </si>
  <si>
    <t>nucl1552</t>
  </si>
  <si>
    <t>Nuclear Balangingi</t>
  </si>
  <si>
    <t>nucl1553</t>
  </si>
  <si>
    <t>Nuclear Dusun Witu</t>
  </si>
  <si>
    <t>nucl1554</t>
  </si>
  <si>
    <t>Nuclear Dusun Malang</t>
  </si>
  <si>
    <t>nucl1555</t>
  </si>
  <si>
    <t>Nuclear Bakumpai</t>
  </si>
  <si>
    <t>nucl1556</t>
  </si>
  <si>
    <t>Nuclear Siang</t>
  </si>
  <si>
    <t>nucl1557</t>
  </si>
  <si>
    <t>Samandang</t>
  </si>
  <si>
    <t>nucl1558</t>
  </si>
  <si>
    <t>Nuclear Paluan</t>
  </si>
  <si>
    <t>nucl1559</t>
  </si>
  <si>
    <t>Nuclear Hovongan</t>
  </si>
  <si>
    <t>nucl1560</t>
  </si>
  <si>
    <t>Nuclear Long Wat</t>
  </si>
  <si>
    <t>nucl1561</t>
  </si>
  <si>
    <t>Nuclear Lelak</t>
  </si>
  <si>
    <t>nucl1562</t>
  </si>
  <si>
    <t>Nuclear Narom</t>
  </si>
  <si>
    <t>nucl1563</t>
  </si>
  <si>
    <t>Nuclear Rungus</t>
  </si>
  <si>
    <t>nucl1564</t>
  </si>
  <si>
    <t>Nuclear Ida'an</t>
  </si>
  <si>
    <t>nucl1565</t>
  </si>
  <si>
    <t>Nuclear Chamorro</t>
  </si>
  <si>
    <t>nucl1566</t>
  </si>
  <si>
    <t>Nuclear Campalagian</t>
  </si>
  <si>
    <t>nucl1567</t>
  </si>
  <si>
    <t>Nuclear Mamuju</t>
  </si>
  <si>
    <t>nucl1568</t>
  </si>
  <si>
    <t>Nuclear Enrekang</t>
  </si>
  <si>
    <t>nucl1569</t>
  </si>
  <si>
    <t>ramp1243</t>
  </si>
  <si>
    <t>Nuclear Rampi</t>
  </si>
  <si>
    <t>nucl1570</t>
  </si>
  <si>
    <t>Nuclear Wawonii</t>
  </si>
  <si>
    <t>nucl1571</t>
  </si>
  <si>
    <t>Nuclear Bungku</t>
  </si>
  <si>
    <t>nucl1572</t>
  </si>
  <si>
    <t>Nuclear Waru</t>
  </si>
  <si>
    <t>Nuclear Muna-Buton</t>
  </si>
  <si>
    <t>nucl1574</t>
  </si>
  <si>
    <t>Nuclear Kioko</t>
  </si>
  <si>
    <t>nucl1575</t>
  </si>
  <si>
    <t>Nuclear Wabula</t>
  </si>
  <si>
    <t>nucl1576</t>
  </si>
  <si>
    <t>Nuclear Bonerate</t>
  </si>
  <si>
    <t>nucl1577</t>
  </si>
  <si>
    <t>Nuclear Laiyolo</t>
  </si>
  <si>
    <t>nucl1578</t>
  </si>
  <si>
    <t>Siraya</t>
  </si>
  <si>
    <t>nucl1579</t>
  </si>
  <si>
    <t>Papora</t>
  </si>
  <si>
    <t>Eleman</t>
  </si>
  <si>
    <t>nucl1581</t>
  </si>
  <si>
    <t>Nuclear Toaripi</t>
  </si>
  <si>
    <t>nucl1582</t>
  </si>
  <si>
    <t>Nuclear Kaluli</t>
  </si>
  <si>
    <t>nucl1583</t>
  </si>
  <si>
    <t>Nuclear Kamang</t>
  </si>
  <si>
    <t>nucl1584</t>
  </si>
  <si>
    <t>Nuclear Kula</t>
  </si>
  <si>
    <t>nucl1585</t>
  </si>
  <si>
    <t>Nuclear Sawila</t>
  </si>
  <si>
    <t>Nuclear Central Sepik Hill</t>
  </si>
  <si>
    <t>nucl1587</t>
  </si>
  <si>
    <t>Nuclear Kapriman</t>
  </si>
  <si>
    <t>Nuclear Maimai</t>
  </si>
  <si>
    <t>nucl1592</t>
  </si>
  <si>
    <t>Nuclear Bukiyip</t>
  </si>
  <si>
    <t>Kwomtari</t>
  </si>
  <si>
    <t>kwo</t>
  </si>
  <si>
    <t>Mairasi</t>
  </si>
  <si>
    <t>zrs</t>
  </si>
  <si>
    <t>Kwerba</t>
  </si>
  <si>
    <t>kwe</t>
  </si>
  <si>
    <t>nucl1597</t>
  </si>
  <si>
    <t>Idi</t>
  </si>
  <si>
    <t>nucl1598</t>
  </si>
  <si>
    <t>Nuclear Tause</t>
  </si>
  <si>
    <t>nucl1599</t>
  </si>
  <si>
    <t>Nuclear Kirikiri</t>
  </si>
  <si>
    <t>nucl1600</t>
  </si>
  <si>
    <t>Nuclear Iau</t>
  </si>
  <si>
    <t>nucl1602</t>
  </si>
  <si>
    <t>Nuclear Zia</t>
  </si>
  <si>
    <t>Nuclear Binanderean</t>
  </si>
  <si>
    <t>nucl1604</t>
  </si>
  <si>
    <t>Nuclear Baruga</t>
  </si>
  <si>
    <t>nucl1605</t>
  </si>
  <si>
    <t>Nuclear Gaina</t>
  </si>
  <si>
    <t>nucl1606</t>
  </si>
  <si>
    <t>Nuclear Ewage-Notu</t>
  </si>
  <si>
    <t>nucl1607</t>
  </si>
  <si>
    <t>Nuclear Isebe</t>
  </si>
  <si>
    <t>nucl1608</t>
  </si>
  <si>
    <t>Nuclear Gwahatike</t>
  </si>
  <si>
    <t>nucl1609</t>
  </si>
  <si>
    <t>Nuclear Rawa</t>
  </si>
  <si>
    <t>nucl1610</t>
  </si>
  <si>
    <t>Nuclear Mape</t>
  </si>
  <si>
    <t>nucl1611</t>
  </si>
  <si>
    <t>Nuclear Telefol</t>
  </si>
  <si>
    <t>nucl1612</t>
  </si>
  <si>
    <t>Nuclear Tifal</t>
  </si>
  <si>
    <t>nucl1613</t>
  </si>
  <si>
    <t>Nuclear Ngalum</t>
  </si>
  <si>
    <t>nucl1614</t>
  </si>
  <si>
    <t>Nuclear Gadsup</t>
  </si>
  <si>
    <t>nucl1615</t>
  </si>
  <si>
    <t>Nuclear Chuave</t>
  </si>
  <si>
    <t>nucl1616</t>
  </si>
  <si>
    <t>Nuclear Nomane</t>
  </si>
  <si>
    <t>Nuclear Simbu</t>
  </si>
  <si>
    <t>nucl1618</t>
  </si>
  <si>
    <t>Nuclear Kuman</t>
  </si>
  <si>
    <t>nucl1619</t>
  </si>
  <si>
    <t>Nuclear Golin</t>
  </si>
  <si>
    <t>Wahgi</t>
  </si>
  <si>
    <t>wgi</t>
  </si>
  <si>
    <t>Marindic</t>
  </si>
  <si>
    <t>Marind</t>
  </si>
  <si>
    <t>mrz</t>
  </si>
  <si>
    <t>nucl1623</t>
  </si>
  <si>
    <t>Nuclear Zimakani</t>
  </si>
  <si>
    <t>nucl1624</t>
  </si>
  <si>
    <t>Nuclear Mulaha</t>
  </si>
  <si>
    <t>nucl1625</t>
  </si>
  <si>
    <t>Nuclear Humene</t>
  </si>
  <si>
    <t>nucl1626</t>
  </si>
  <si>
    <t>Nuclear Uare</t>
  </si>
  <si>
    <t>nucl1627</t>
  </si>
  <si>
    <t>Nuclear Pagu</t>
  </si>
  <si>
    <t>nucl1628</t>
  </si>
  <si>
    <t>Nuclear Tobelo</t>
  </si>
  <si>
    <t>Barai</t>
  </si>
  <si>
    <t>bbb</t>
  </si>
  <si>
    <t>Nuclear Sentanic</t>
  </si>
  <si>
    <t>Sentani</t>
  </si>
  <si>
    <t>set</t>
  </si>
  <si>
    <t>nucl1633</t>
  </si>
  <si>
    <t>Nimboran</t>
  </si>
  <si>
    <t>nir</t>
  </si>
  <si>
    <t>nucl1634</t>
  </si>
  <si>
    <t>skou1239</t>
  </si>
  <si>
    <t>Skou</t>
  </si>
  <si>
    <t>skv</t>
  </si>
  <si>
    <t>nucl1635</t>
  </si>
  <si>
    <t>Nuclear Koromira</t>
  </si>
  <si>
    <t>nucl1636</t>
  </si>
  <si>
    <t>Nuclear Naasioi</t>
  </si>
  <si>
    <t>nucl1638</t>
  </si>
  <si>
    <t>Nuclear Damal</t>
  </si>
  <si>
    <t>nucl1639</t>
  </si>
  <si>
    <t>Nuclear Awar</t>
  </si>
  <si>
    <t>nucl1640</t>
  </si>
  <si>
    <t>Nuclear Abu</t>
  </si>
  <si>
    <t>Nuclear West Bomberai</t>
  </si>
  <si>
    <t>Nuclear Ndu</t>
  </si>
  <si>
    <t>Japanese</t>
  </si>
  <si>
    <t>nucl1644</t>
  </si>
  <si>
    <t>Nuclear Amami</t>
  </si>
  <si>
    <t>nucl1645</t>
  </si>
  <si>
    <t>Nuclear Creek</t>
  </si>
  <si>
    <t>nucl1646</t>
  </si>
  <si>
    <t>Nuclear Juquila Mixe</t>
  </si>
  <si>
    <t>nucl1648</t>
  </si>
  <si>
    <t>petu1234</t>
  </si>
  <si>
    <t>Wyandot</t>
  </si>
  <si>
    <t>Southern-Coastal Tsimshian</t>
  </si>
  <si>
    <t>nucl1650</t>
  </si>
  <si>
    <t>Nuclear Gitxsan</t>
  </si>
  <si>
    <t>nucl1651</t>
  </si>
  <si>
    <t>Nuclear Wintu</t>
  </si>
  <si>
    <t>wnw</t>
  </si>
  <si>
    <t>nucl1652</t>
  </si>
  <si>
    <t>Nuclear Santa Teresa Cora</t>
  </si>
  <si>
    <t>Nuclear Miami</t>
  </si>
  <si>
    <t>nucl1654</t>
  </si>
  <si>
    <t>Nuclear Plains Cree</t>
  </si>
  <si>
    <t>Nuclear Kuikuroan</t>
  </si>
  <si>
    <t>nucl1657</t>
  </si>
  <si>
    <t>Nuclear Matipuhy</t>
  </si>
  <si>
    <t>Nuclear Witotoan</t>
  </si>
  <si>
    <t>nucl1660</t>
  </si>
  <si>
    <t>Nuclear Bora</t>
  </si>
  <si>
    <t>Nuclear Kamakanan</t>
  </si>
  <si>
    <t>Kujubim-More</t>
  </si>
  <si>
    <t>nucl1663</t>
  </si>
  <si>
    <t>Tenharim</t>
  </si>
  <si>
    <t>nucl1664</t>
  </si>
  <si>
    <t>Nuclear Chayahuita</t>
  </si>
  <si>
    <t>nucl1665</t>
  </si>
  <si>
    <t>Nuclear Guahibo</t>
  </si>
  <si>
    <t>nucl1666</t>
  </si>
  <si>
    <t>Nuclear Yaminahua</t>
  </si>
  <si>
    <t>Central-Southern Aymara</t>
  </si>
  <si>
    <t>aym</t>
  </si>
  <si>
    <t>Katuk√≠na</t>
  </si>
  <si>
    <t>nucl1669</t>
  </si>
  <si>
    <t>Jinotepe-Nindir√≠</t>
  </si>
  <si>
    <t>nucl1670</t>
  </si>
  <si>
    <t>Nuclear Cajonos Zapotec</t>
  </si>
  <si>
    <t>nucl1671</t>
  </si>
  <si>
    <t>Baniva-Avani</t>
  </si>
  <si>
    <t>nucl1673</t>
  </si>
  <si>
    <t>Nuclear Sokoro</t>
  </si>
  <si>
    <t>nucl1674</t>
  </si>
  <si>
    <t>Nuclear Migaama</t>
  </si>
  <si>
    <t>nucl1675</t>
  </si>
  <si>
    <t>Nuclear Kwang</t>
  </si>
  <si>
    <t>nucl1676</t>
  </si>
  <si>
    <t>Nuclear Tumak</t>
  </si>
  <si>
    <t>nucl1677</t>
  </si>
  <si>
    <t>Nuclear Tobanga</t>
  </si>
  <si>
    <t>nucl1678</t>
  </si>
  <si>
    <t>Nuclear Mafa</t>
  </si>
  <si>
    <t>nucl1679</t>
  </si>
  <si>
    <t>Nuclear Mefele</t>
  </si>
  <si>
    <t>nucl1680</t>
  </si>
  <si>
    <t>Nuclear Glavda</t>
  </si>
  <si>
    <t>nucl1682</t>
  </si>
  <si>
    <t>Nuclear Wandala</t>
  </si>
  <si>
    <t>Daba</t>
  </si>
  <si>
    <t>dbq</t>
  </si>
  <si>
    <t>nucl1684</t>
  </si>
  <si>
    <t>Nuclear Ga'anda</t>
  </si>
  <si>
    <t>nucl1685</t>
  </si>
  <si>
    <t>psik1239</t>
  </si>
  <si>
    <t>Nuclear Psikye</t>
  </si>
  <si>
    <t>nucl1686</t>
  </si>
  <si>
    <t>Nuclear Buduma</t>
  </si>
  <si>
    <t>nucl1687</t>
  </si>
  <si>
    <t>Nuclear Majera</t>
  </si>
  <si>
    <t>nucl1688</t>
  </si>
  <si>
    <t>Nuclear Malgbe</t>
  </si>
  <si>
    <t>nucl1689</t>
  </si>
  <si>
    <t>Nuclear Maslam</t>
  </si>
  <si>
    <t>nucl1690</t>
  </si>
  <si>
    <t>Nuclear Mpade</t>
  </si>
  <si>
    <t>nucl1691</t>
  </si>
  <si>
    <t>Nuclear Mser</t>
  </si>
  <si>
    <t>nucl1692</t>
  </si>
  <si>
    <t>Nuclear Geji</t>
  </si>
  <si>
    <t>nucl1693</t>
  </si>
  <si>
    <t>Nuclear Zeem</t>
  </si>
  <si>
    <t>nucl1694</t>
  </si>
  <si>
    <t>Nuclear Zari</t>
  </si>
  <si>
    <t>Bole</t>
  </si>
  <si>
    <t>bol</t>
  </si>
  <si>
    <t>Tangale</t>
  </si>
  <si>
    <t>tan</t>
  </si>
  <si>
    <t>nucl1698</t>
  </si>
  <si>
    <t>Nteng</t>
  </si>
  <si>
    <t>nucl1699</t>
  </si>
  <si>
    <t>Nuclear Montol</t>
  </si>
  <si>
    <t>Oromoid</t>
  </si>
  <si>
    <t>nucl1702</t>
  </si>
  <si>
    <t>Nuclear Orma</t>
  </si>
  <si>
    <t>nucl1703</t>
  </si>
  <si>
    <t>Nuclear Dabarre</t>
  </si>
  <si>
    <t>nucl1704</t>
  </si>
  <si>
    <t>Kimant</t>
  </si>
  <si>
    <t>nucl1705</t>
  </si>
  <si>
    <t>sene1271</t>
  </si>
  <si>
    <t>Nuclear Sened</t>
  </si>
  <si>
    <t>Mandaic</t>
  </si>
  <si>
    <t>mid</t>
  </si>
  <si>
    <t>AU IQ IR US</t>
  </si>
  <si>
    <t>nucl1707</t>
  </si>
  <si>
    <t>Nuclear Eastern Egyptian Bedawi Arabic</t>
  </si>
  <si>
    <t>Nuclear Torricelli</t>
  </si>
  <si>
    <t>Nuclear Trans New Guinea</t>
  </si>
  <si>
    <t>Nuclear-Macro-Je</t>
  </si>
  <si>
    <t>Nuclear Tirio</t>
  </si>
  <si>
    <t>Nuclear Hmongic-Ho Ne</t>
  </si>
  <si>
    <t>Nuclear Celtic</t>
  </si>
  <si>
    <t>Nuclear Tuparic</t>
  </si>
  <si>
    <t>Nuclear Finnish</t>
  </si>
  <si>
    <t>sbbo1237</t>
  </si>
  <si>
    <t>Nuclear SBB Occidental</t>
  </si>
  <si>
    <t>Nuclear Hmongic</t>
  </si>
  <si>
    <t>Nuclear Palai</t>
  </si>
  <si>
    <t>Nuclear Ojibwe</t>
  </si>
  <si>
    <t>nucl1724</t>
  </si>
  <si>
    <t>Nuclear Pintupic</t>
  </si>
  <si>
    <t>suba1253</t>
  </si>
  <si>
    <t>Nuclear Subanen</t>
  </si>
  <si>
    <t>Nuclear Makassaric</t>
  </si>
  <si>
    <t>Nuclear Himachali</t>
  </si>
  <si>
    <t>Nuclear Tamang</t>
  </si>
  <si>
    <t>Nuclear Southern Burmish</t>
  </si>
  <si>
    <t>Nuclear Idoma</t>
  </si>
  <si>
    <t>Nuclear Malayic</t>
  </si>
  <si>
    <t>Nuclear Lisoid</t>
  </si>
  <si>
    <t>Nuclear Boleic</t>
  </si>
  <si>
    <t>Nuclear Oromo</t>
  </si>
  <si>
    <t>Nuclear Ngbandic</t>
  </si>
  <si>
    <t>Nuclear Palawan</t>
  </si>
  <si>
    <t>Nuclear Nisoid</t>
  </si>
  <si>
    <t>Nuclear Bafia (A.50)</t>
  </si>
  <si>
    <t>Nuclear Bwamu</t>
  </si>
  <si>
    <t>Nuclear Oti-Volta</t>
  </si>
  <si>
    <t>papu1253</t>
  </si>
  <si>
    <t>Nuclear Papuan Tip linkage</t>
  </si>
  <si>
    <t>Nuclear Yambasa</t>
  </si>
  <si>
    <t>Nuclear Yoruba</t>
  </si>
  <si>
    <t>Nuclear Oti-Volta Occidental</t>
  </si>
  <si>
    <t>truk1243</t>
  </si>
  <si>
    <t>Nuclear Trukic</t>
  </si>
  <si>
    <t>Nuclear North Bougainville Oceanic</t>
  </si>
  <si>
    <t>Nuclear Rotinese</t>
  </si>
  <si>
    <t>Nuclear Cordilleran</t>
  </si>
  <si>
    <t>Nuclear Northeastern Luzon</t>
  </si>
  <si>
    <t>Siane-Yagaria</t>
  </si>
  <si>
    <t>Nuclear Maraic</t>
  </si>
  <si>
    <t>Nuclear Nicobaric</t>
  </si>
  <si>
    <t>Nuclear Sahuan</t>
  </si>
  <si>
    <t>Nuclear Goroka</t>
  </si>
  <si>
    <t>Nuclear CSLic</t>
  </si>
  <si>
    <t>Nuclear Angan</t>
  </si>
  <si>
    <t>Nuclear Japura-Colombia</t>
  </si>
  <si>
    <t>zapo1437</t>
  </si>
  <si>
    <t>Nuclear Zapotec</t>
  </si>
  <si>
    <t>oghu1243</t>
  </si>
  <si>
    <t>Nuclear Oghuz</t>
  </si>
  <si>
    <t>Nuclear Dan</t>
  </si>
  <si>
    <t>dnj</t>
  </si>
  <si>
    <t>Nuclear Betoi-Jirara</t>
  </si>
  <si>
    <t>Nuclear Aweer</t>
  </si>
  <si>
    <t>Nuclear Warisic</t>
  </si>
  <si>
    <t>Nuclear North Dargwa</t>
  </si>
  <si>
    <t>nucl1775</t>
  </si>
  <si>
    <t>Nuclear South Russian</t>
  </si>
  <si>
    <t>nucl1776</t>
  </si>
  <si>
    <t>Nuclear Chakavian</t>
  </si>
  <si>
    <t>Nuclear Warup</t>
  </si>
  <si>
    <t>nucl1778</t>
  </si>
  <si>
    <t>Nuclear Oscan</t>
  </si>
  <si>
    <t>nucl1779</t>
  </si>
  <si>
    <t>Nuclear Umbrian</t>
  </si>
  <si>
    <t>nucl1781</t>
  </si>
  <si>
    <t>Nuclear South Hollandish</t>
  </si>
  <si>
    <t>Nuclear Danish</t>
  </si>
  <si>
    <t>Nuclear Modern Greek</t>
  </si>
  <si>
    <t>nudo1238</t>
  </si>
  <si>
    <t>Nudoo</t>
  </si>
  <si>
    <t>nuer1245</t>
  </si>
  <si>
    <t>Nuer-Reel</t>
  </si>
  <si>
    <t>nuga1239</t>
  </si>
  <si>
    <t>Nugane</t>
  </si>
  <si>
    <t>nugb1238</t>
  </si>
  <si>
    <t>Nugbo</t>
  </si>
  <si>
    <t>nugu1241</t>
  </si>
  <si>
    <t>Nugunu (Australia)</t>
  </si>
  <si>
    <t>nnv</t>
  </si>
  <si>
    <t>Nugunu (Cameroon)</t>
  </si>
  <si>
    <t>yas</t>
  </si>
  <si>
    <t>nuhi1238</t>
  </si>
  <si>
    <t>Nuhiro</t>
  </si>
  <si>
    <t>nuii1237</t>
  </si>
  <si>
    <t>Nui</t>
  </si>
  <si>
    <t>nuji1238</t>
  </si>
  <si>
    <t>Jinman Bai</t>
  </si>
  <si>
    <t>nuju1238</t>
  </si>
  <si>
    <t>Nujum</t>
  </si>
  <si>
    <t>nuka1241</t>
  </si>
  <si>
    <t>Nukapu</t>
  </si>
  <si>
    <t>nuka1242</t>
  </si>
  <si>
    <t>Nukak Mak√∫</t>
  </si>
  <si>
    <t>mbr</t>
  </si>
  <si>
    <t>nukh1239</t>
  </si>
  <si>
    <t>Nukha</t>
  </si>
  <si>
    <t>Nuk</t>
  </si>
  <si>
    <t>noc</t>
  </si>
  <si>
    <t>nukn1238</t>
  </si>
  <si>
    <t>uruw1240</t>
  </si>
  <si>
    <t>Nukna</t>
  </si>
  <si>
    <t>klt</t>
  </si>
  <si>
    <t>Nukuma</t>
  </si>
  <si>
    <t>nuku1258</t>
  </si>
  <si>
    <t>taku1258</t>
  </si>
  <si>
    <t>Nukumanu</t>
  </si>
  <si>
    <t>nuq</t>
  </si>
  <si>
    <t>nuku1259</t>
  </si>
  <si>
    <t>Nukuria</t>
  </si>
  <si>
    <t>nur</t>
  </si>
  <si>
    <t>nuku1260</t>
  </si>
  <si>
    <t>Nukuoro</t>
  </si>
  <si>
    <t>nkr</t>
  </si>
  <si>
    <t>nuku1261</t>
  </si>
  <si>
    <t>Nuku Hiva</t>
  </si>
  <si>
    <t>Nukuini</t>
  </si>
  <si>
    <t>nuc</t>
  </si>
  <si>
    <t>nulu1237</t>
  </si>
  <si>
    <t>Nulu</t>
  </si>
  <si>
    <t>numa1251</t>
  </si>
  <si>
    <t>Numao</t>
  </si>
  <si>
    <t>Numana</t>
  </si>
  <si>
    <t>nbr</t>
  </si>
  <si>
    <t>Numanggang</t>
  </si>
  <si>
    <t>nop</t>
  </si>
  <si>
    <t>Numan</t>
  </si>
  <si>
    <t>numb1246</t>
  </si>
  <si>
    <t>Numbu</t>
  </si>
  <si>
    <t>numb1247</t>
  </si>
  <si>
    <t>Numbami</t>
  </si>
  <si>
    <t>sij</t>
  </si>
  <si>
    <t>numb1248</t>
  </si>
  <si>
    <t>Numba</t>
  </si>
  <si>
    <t>nume1241</t>
  </si>
  <si>
    <t>Nume</t>
  </si>
  <si>
    <t>tgs</t>
  </si>
  <si>
    <t>Numee</t>
  </si>
  <si>
    <t>kdk</t>
  </si>
  <si>
    <t>numi1241</t>
  </si>
  <si>
    <t>Numidian</t>
  </si>
  <si>
    <t>nxm</t>
  </si>
  <si>
    <t>Numic</t>
  </si>
  <si>
    <t>nump1234</t>
  </si>
  <si>
    <t>Numphuk</t>
  </si>
  <si>
    <t>numu1240</t>
  </si>
  <si>
    <t>Numugenan</t>
  </si>
  <si>
    <t>Nuna-Kasem</t>
  </si>
  <si>
    <t>queb1249</t>
  </si>
  <si>
    <t>Nunatsiavut</t>
  </si>
  <si>
    <t>Nung (Myanmar)</t>
  </si>
  <si>
    <t>nun</t>
  </si>
  <si>
    <t>Nung (Viet Nam)</t>
  </si>
  <si>
    <t>nut</t>
  </si>
  <si>
    <t>nung1284</t>
  </si>
  <si>
    <t>N√πng An</t>
  </si>
  <si>
    <t>nung1285</t>
  </si>
  <si>
    <t>N√πng Inh</t>
  </si>
  <si>
    <t>nung1286</t>
  </si>
  <si>
    <t>N√πng Phan Sl√¨nh</t>
  </si>
  <si>
    <t>nung1287</t>
  </si>
  <si>
    <t>N√πng Ch√°o</t>
  </si>
  <si>
    <t>nung1288</t>
  </si>
  <si>
    <t>N√πng Q√∫y Rin</t>
  </si>
  <si>
    <t>nung1289</t>
  </si>
  <si>
    <t>N√πng L√≤i</t>
  </si>
  <si>
    <t>nung1290</t>
  </si>
  <si>
    <t>Wubuy</t>
  </si>
  <si>
    <t>nuy</t>
  </si>
  <si>
    <t>nung1291</t>
  </si>
  <si>
    <t>Nungali</t>
  </si>
  <si>
    <t>nug</t>
  </si>
  <si>
    <t>Nungu</t>
  </si>
  <si>
    <t>rin</t>
  </si>
  <si>
    <t>Nungish</t>
  </si>
  <si>
    <t>nuni1252</t>
  </si>
  <si>
    <t>Nuniali</t>
  </si>
  <si>
    <t>Nuni</t>
  </si>
  <si>
    <t>nuni1254</t>
  </si>
  <si>
    <t>Nunivak</t>
  </si>
  <si>
    <t>nunk1238</t>
  </si>
  <si>
    <t>Nunku</t>
  </si>
  <si>
    <t>nunl1238</t>
  </si>
  <si>
    <t>Nunligranskij</t>
  </si>
  <si>
    <t>nunu1247</t>
  </si>
  <si>
    <t>Nunu</t>
  </si>
  <si>
    <t>nunu1249</t>
  </si>
  <si>
    <t>Nunuma</t>
  </si>
  <si>
    <t>nunu1251</t>
  </si>
  <si>
    <t>Nunu'</t>
  </si>
  <si>
    <t>Nunusaku</t>
  </si>
  <si>
    <t>nuor1238</t>
  </si>
  <si>
    <t>Nuorese</t>
  </si>
  <si>
    <t>nupa1238</t>
  </si>
  <si>
    <t>Nupani</t>
  </si>
  <si>
    <t>nupb1238</t>
  </si>
  <si>
    <t>Nupbikha</t>
  </si>
  <si>
    <t>npb</t>
  </si>
  <si>
    <t>Macro-Nupoid</t>
  </si>
  <si>
    <t>nupe1254</t>
  </si>
  <si>
    <t>Nupe-Nupe-Tako</t>
  </si>
  <si>
    <t>nup</t>
  </si>
  <si>
    <t>nupe1255</t>
  </si>
  <si>
    <t>Nupe Tako</t>
  </si>
  <si>
    <t>nupe1256</t>
  </si>
  <si>
    <t>Nupe Central</t>
  </si>
  <si>
    <t>Nupoid</t>
  </si>
  <si>
    <t>nupo1240</t>
  </si>
  <si>
    <t>N√ºpode Huitoto</t>
  </si>
  <si>
    <t>hux</t>
  </si>
  <si>
    <t>nura1238</t>
  </si>
  <si>
    <t>Nura</t>
  </si>
  <si>
    <t>Nuristani</t>
  </si>
  <si>
    <t>nuri1244</t>
  </si>
  <si>
    <t>Nu River</t>
  </si>
  <si>
    <t>nurp1238</t>
  </si>
  <si>
    <t>Nurpur Sadri</t>
  </si>
  <si>
    <t>Nuru</t>
  </si>
  <si>
    <t>nusa1244</t>
  </si>
  <si>
    <t>Nusa Penida</t>
  </si>
  <si>
    <t>nusa1245</t>
  </si>
  <si>
    <t>Nusa Laut</t>
  </si>
  <si>
    <t>nul</t>
  </si>
  <si>
    <t>nuso1234</t>
  </si>
  <si>
    <t>Nusoish</t>
  </si>
  <si>
    <t>Nusu</t>
  </si>
  <si>
    <t>nuf</t>
  </si>
  <si>
    <t>N||ng</t>
  </si>
  <si>
    <t>ngh</t>
  </si>
  <si>
    <t>nuuu1242</t>
  </si>
  <si>
    <t>N|u</t>
  </si>
  <si>
    <t>nuyo1238</t>
  </si>
  <si>
    <t>sout3000</t>
  </si>
  <si>
    <t>Nuyoo</t>
  </si>
  <si>
    <t>nvha1237</t>
  </si>
  <si>
    <t>Nvhal</t>
  </si>
  <si>
    <t>Nwa-Ben</t>
  </si>
  <si>
    <t>nwal1238</t>
  </si>
  <si>
    <t>N'walungu</t>
  </si>
  <si>
    <t>nwes1238</t>
  </si>
  <si>
    <t>Nwesi</t>
  </si>
  <si>
    <t>nyaa1241</t>
  </si>
  <si>
    <t>Nyaaja</t>
  </si>
  <si>
    <t>nyaa1242</t>
  </si>
  <si>
    <t>Nyaanga</t>
  </si>
  <si>
    <t>nyab1253</t>
  </si>
  <si>
    <t>Nyabasi</t>
  </si>
  <si>
    <t>nyab1254</t>
  </si>
  <si>
    <t>Nyabo</t>
  </si>
  <si>
    <t>Nyabwa</t>
  </si>
  <si>
    <t>nwb</t>
  </si>
  <si>
    <t>nyab1256</t>
  </si>
  <si>
    <t>Nyabadan</t>
  </si>
  <si>
    <t>nyac1238</t>
  </si>
  <si>
    <t>Nya Ceriya</t>
  </si>
  <si>
    <t>nyad1240</t>
  </si>
  <si>
    <t>Nya Dele</t>
  </si>
  <si>
    <t>nyad1241</t>
  </si>
  <si>
    <t>Nyadu</t>
  </si>
  <si>
    <t>nxj</t>
  </si>
  <si>
    <t>nyag1244</t>
  </si>
  <si>
    <t>Nya Guyuwa</t>
  </si>
  <si>
    <t>nyag1245</t>
  </si>
  <si>
    <t>Nya Gwanda</t>
  </si>
  <si>
    <t>nyag1246</t>
  </si>
  <si>
    <t>Nyago</t>
  </si>
  <si>
    <t>nyah1249</t>
  </si>
  <si>
    <t>Nyaheun</t>
  </si>
  <si>
    <t>nev</t>
  </si>
  <si>
    <t>nyah1250</t>
  </si>
  <si>
    <t>Nyahkur</t>
  </si>
  <si>
    <t>cbn</t>
  </si>
  <si>
    <t>nyai1238</t>
  </si>
  <si>
    <t>Nyai</t>
  </si>
  <si>
    <t>nyak1258</t>
  </si>
  <si>
    <t>Nyak</t>
  </si>
  <si>
    <t>nyak1259</t>
  </si>
  <si>
    <t>Nyaku</t>
  </si>
  <si>
    <t>Nyakyusa-Ngonde</t>
  </si>
  <si>
    <t>nyy</t>
  </si>
  <si>
    <t>nyak1261</t>
  </si>
  <si>
    <t>Nyakyusa</t>
  </si>
  <si>
    <t>nyak1262</t>
  </si>
  <si>
    <t>Nyakisisa</t>
  </si>
  <si>
    <t>nyak1263</t>
  </si>
  <si>
    <t>Nyakwai</t>
  </si>
  <si>
    <t>Nyakyusa-Ndali</t>
  </si>
  <si>
    <t>nyal1250</t>
  </si>
  <si>
    <t>vanu1247</t>
  </si>
  <si>
    <t>Nyali</t>
  </si>
  <si>
    <t>nlj</t>
  </si>
  <si>
    <t>nyal1251</t>
  </si>
  <si>
    <t>Nyala</t>
  </si>
  <si>
    <t>Nyala Dajuic</t>
  </si>
  <si>
    <t>nyal1253</t>
  </si>
  <si>
    <t>Nyala (Dar Fur Dajo)</t>
  </si>
  <si>
    <t>Belep</t>
  </si>
  <si>
    <t>yly</t>
  </si>
  <si>
    <t>Nyali-Ndaka-Mbo-Budu-Vanuma</t>
  </si>
  <si>
    <t>Nyalayu</t>
  </si>
  <si>
    <t>nyam1271</t>
  </si>
  <si>
    <t>Nyamal</t>
  </si>
  <si>
    <t>nly</t>
  </si>
  <si>
    <t>nyam1272</t>
  </si>
  <si>
    <t>Nyambe</t>
  </si>
  <si>
    <t>nyam1273</t>
  </si>
  <si>
    <t>Nyamuka</t>
  </si>
  <si>
    <t>nyam1274</t>
  </si>
  <si>
    <t>Nyambwa</t>
  </si>
  <si>
    <t>Nyamwanga</t>
  </si>
  <si>
    <t>mwn</t>
  </si>
  <si>
    <t>Nyamwezi</t>
  </si>
  <si>
    <t>nym</t>
  </si>
  <si>
    <t>nyam1277</t>
  </si>
  <si>
    <t>Nyambo</t>
  </si>
  <si>
    <t>now</t>
  </si>
  <si>
    <t>RW TZ UG</t>
  </si>
  <si>
    <t>nyam1278</t>
  </si>
  <si>
    <t>Nyamtam</t>
  </si>
  <si>
    <t>Nyamusa-Molo</t>
  </si>
  <si>
    <t>nwm</t>
  </si>
  <si>
    <t>nyam1280</t>
  </si>
  <si>
    <t>Nyamusa</t>
  </si>
  <si>
    <t>Polcic</t>
  </si>
  <si>
    <t>nyam1285</t>
  </si>
  <si>
    <t>Nyam</t>
  </si>
  <si>
    <t>nmi</t>
  </si>
  <si>
    <t>suku1274</t>
  </si>
  <si>
    <t>Nyamwezic</t>
  </si>
  <si>
    <t>nyan1300</t>
  </si>
  <si>
    <t>Yangkaal</t>
  </si>
  <si>
    <t>nny</t>
  </si>
  <si>
    <t>Nyangumarta</t>
  </si>
  <si>
    <t>nna</t>
  </si>
  <si>
    <t>nyan1302</t>
  </si>
  <si>
    <t>nyan1316</t>
  </si>
  <si>
    <t>Nyangbo</t>
  </si>
  <si>
    <t>nyb</t>
  </si>
  <si>
    <t>nyan1303</t>
  </si>
  <si>
    <t>Nyanga-li</t>
  </si>
  <si>
    <t>nyc</t>
  </si>
  <si>
    <t>Nyanga</t>
  </si>
  <si>
    <t>nyj</t>
  </si>
  <si>
    <t>Nyaneka</t>
  </si>
  <si>
    <t>nyk</t>
  </si>
  <si>
    <t>nyan1306</t>
  </si>
  <si>
    <t>Nyanyembe</t>
  </si>
  <si>
    <t>Nyankole</t>
  </si>
  <si>
    <t>nyn</t>
  </si>
  <si>
    <t>nya</t>
  </si>
  <si>
    <t>MW MZ SZ TZ ZM ZW</t>
  </si>
  <si>
    <t>nyan1309</t>
  </si>
  <si>
    <t>Nyani</t>
  </si>
  <si>
    <t>nyan1310</t>
  </si>
  <si>
    <t>Nyandung</t>
  </si>
  <si>
    <t>nyan1311</t>
  </si>
  <si>
    <t>Nyanjang</t>
  </si>
  <si>
    <t>nyan1312</t>
  </si>
  <si>
    <t>Nyanoun</t>
  </si>
  <si>
    <t>nyan1313</t>
  </si>
  <si>
    <t>Nyang'i</t>
  </si>
  <si>
    <t>nyp</t>
  </si>
  <si>
    <t>nyan1314</t>
  </si>
  <si>
    <t>Nyangbara</t>
  </si>
  <si>
    <t>Nyangbo-Tafi</t>
  </si>
  <si>
    <t>Nyanga-Mituku-Lega</t>
  </si>
  <si>
    <t>Nyanza Mara</t>
  </si>
  <si>
    <t>Nyanjaic</t>
  </si>
  <si>
    <t>Nyaneka-Nkhumbi</t>
  </si>
  <si>
    <t>nyar1245</t>
  </si>
  <si>
    <t>Nyarafolo Senoufo</t>
  </si>
  <si>
    <t>sev</t>
  </si>
  <si>
    <t>nyar1246</t>
  </si>
  <si>
    <t>Nyaringa</t>
  </si>
  <si>
    <t>nyar1247</t>
  </si>
  <si>
    <t>Nyarweng</t>
  </si>
  <si>
    <t>nyar1248</t>
  </si>
  <si>
    <t>Nyaro</t>
  </si>
  <si>
    <t>nyar1249</t>
  </si>
  <si>
    <t>Nyarong (Xinlong)</t>
  </si>
  <si>
    <t>nyas1241</t>
  </si>
  <si>
    <t>Nyasa</t>
  </si>
  <si>
    <t>nyas1242</t>
  </si>
  <si>
    <t>Nyasunda</t>
  </si>
  <si>
    <t>nyat1244</t>
  </si>
  <si>
    <t>Nya Tariya</t>
  </si>
  <si>
    <t>nyat1245</t>
  </si>
  <si>
    <t>Nyatwe</t>
  </si>
  <si>
    <t>Nyaturu</t>
  </si>
  <si>
    <t>rim</t>
  </si>
  <si>
    <t>Nyaturu-Nilamba</t>
  </si>
  <si>
    <t>nyau1243</t>
  </si>
  <si>
    <t>Nyaugogo</t>
  </si>
  <si>
    <t>nyau1244</t>
  </si>
  <si>
    <t>Nyaura</t>
  </si>
  <si>
    <t>nyaw1245</t>
  </si>
  <si>
    <t>taid1248</t>
  </si>
  <si>
    <t>Nyaw</t>
  </si>
  <si>
    <t>nyw</t>
  </si>
  <si>
    <t>nyaw1247</t>
  </si>
  <si>
    <t>nyaw1248</t>
  </si>
  <si>
    <t>Nyawaygi</t>
  </si>
  <si>
    <t>nyt</t>
  </si>
  <si>
    <t>Nyawaygic</t>
  </si>
  <si>
    <t>nyed1238</t>
  </si>
  <si>
    <t>Nyedebwa</t>
  </si>
  <si>
    <t>nyee1238</t>
  </si>
  <si>
    <t>Nye</t>
  </si>
  <si>
    <t>nyek1238</t>
  </si>
  <si>
    <t>Nyeku</t>
  </si>
  <si>
    <t>nyem1238</t>
  </si>
  <si>
    <t>Nyemba</t>
  </si>
  <si>
    <t>nba</t>
  </si>
  <si>
    <t>Nyenkha</t>
  </si>
  <si>
    <t>neh</t>
  </si>
  <si>
    <t>nyen1255</t>
  </si>
  <si>
    <t>Nyeng</t>
  </si>
  <si>
    <t>nfg</t>
  </si>
  <si>
    <t>nyen1256</t>
  </si>
  <si>
    <t>Nyenkpa</t>
  </si>
  <si>
    <t>nyen1257</t>
  </si>
  <si>
    <t>sima1262</t>
  </si>
  <si>
    <t>Nyengo</t>
  </si>
  <si>
    <t>nye</t>
  </si>
  <si>
    <t>nyen1258</t>
  </si>
  <si>
    <t>Nyengo (Simaa)</t>
  </si>
  <si>
    <t>nyen1259</t>
  </si>
  <si>
    <t>Nyenebo</t>
  </si>
  <si>
    <t>nyeo1239</t>
  </si>
  <si>
    <t>Nyeo</t>
  </si>
  <si>
    <t>nyep1239</t>
  </si>
  <si>
    <t>Nyepu</t>
  </si>
  <si>
    <t>nyeu1238</t>
  </si>
  <si>
    <t>Nyeu</t>
  </si>
  <si>
    <t>nyl</t>
  </si>
  <si>
    <t>nyik1244</t>
  </si>
  <si>
    <t>Nyigina</t>
  </si>
  <si>
    <t>nyh</t>
  </si>
  <si>
    <t>nyih1239</t>
  </si>
  <si>
    <t>Nyiha (Malawi)</t>
  </si>
  <si>
    <t>nyr</t>
  </si>
  <si>
    <t>nyih1240</t>
  </si>
  <si>
    <t>Nyiha (Tanzania)</t>
  </si>
  <si>
    <t>nih</t>
  </si>
  <si>
    <t>nyii1239</t>
  </si>
  <si>
    <t>Nyi</t>
  </si>
  <si>
    <t>Nyikinic</t>
  </si>
  <si>
    <t>nyik1246</t>
  </si>
  <si>
    <t>Nyika (Malawi and Zambia)</t>
  </si>
  <si>
    <t>nkv</t>
  </si>
  <si>
    <t>MW ZM</t>
  </si>
  <si>
    <t>nyik1247</t>
  </si>
  <si>
    <t>Nyika (Tanzania)</t>
  </si>
  <si>
    <t>nkt</t>
  </si>
  <si>
    <t>Nyika</t>
  </si>
  <si>
    <t>Nyika-Lambya</t>
  </si>
  <si>
    <t>Nyimang</t>
  </si>
  <si>
    <t>nyim1250</t>
  </si>
  <si>
    <t>Nyimathli</t>
  </si>
  <si>
    <t>nyim1251</t>
  </si>
  <si>
    <t>Nyimatli</t>
  </si>
  <si>
    <t>nyin1247</t>
  </si>
  <si>
    <t>Nyininy</t>
  </si>
  <si>
    <t>nyin1248</t>
  </si>
  <si>
    <t>Nyindu</t>
  </si>
  <si>
    <t>nyg</t>
  </si>
  <si>
    <t>nyin1249</t>
  </si>
  <si>
    <t>Nyinagbi</t>
  </si>
  <si>
    <t>Nyindrou</t>
  </si>
  <si>
    <t>lid</t>
  </si>
  <si>
    <t>nyis1235</t>
  </si>
  <si>
    <t>Nyisu</t>
  </si>
  <si>
    <t>Nyishi-Hill Miri</t>
  </si>
  <si>
    <t>njz</t>
  </si>
  <si>
    <t>nyla1238</t>
  </si>
  <si>
    <t>Nyland Swedish</t>
  </si>
  <si>
    <t>Nyo</t>
  </si>
  <si>
    <t>nyok1241</t>
  </si>
  <si>
    <t>Nyok</t>
  </si>
  <si>
    <t>nyok1242</t>
  </si>
  <si>
    <t>Nyo-Kana</t>
  </si>
  <si>
    <t>nyok1243</t>
  </si>
  <si>
    <t>Nyokon</t>
  </si>
  <si>
    <t>nvo</t>
  </si>
  <si>
    <t>unun9919</t>
  </si>
  <si>
    <t>Nyole</t>
  </si>
  <si>
    <t>nuj</t>
  </si>
  <si>
    <t>nyol1239</t>
  </si>
  <si>
    <t>Nyolo</t>
  </si>
  <si>
    <t>nyon1241</t>
  </si>
  <si>
    <t>pere1234</t>
  </si>
  <si>
    <t>Nyong</t>
  </si>
  <si>
    <t>muo</t>
  </si>
  <si>
    <t>nyon1242</t>
  </si>
  <si>
    <t>Nyongwe</t>
  </si>
  <si>
    <t>nyor1244</t>
  </si>
  <si>
    <t>Nyore</t>
  </si>
  <si>
    <t>nyd</t>
  </si>
  <si>
    <t>nyor1246</t>
  </si>
  <si>
    <t>nyor1247</t>
  </si>
  <si>
    <t>Nyoro</t>
  </si>
  <si>
    <t>nyo</t>
  </si>
  <si>
    <t>Nyoro-Tooro</t>
  </si>
  <si>
    <t>nyos1238</t>
  </si>
  <si>
    <t>Nyos</t>
  </si>
  <si>
    <t>nyox1238</t>
  </si>
  <si>
    <t>Nyoxolonkan</t>
  </si>
  <si>
    <t>nyub1238</t>
  </si>
  <si>
    <t>Nyubi</t>
  </si>
  <si>
    <t>Nyulnyulan</t>
  </si>
  <si>
    <t>Nyulnyulic</t>
  </si>
  <si>
    <t>Nyunga</t>
  </si>
  <si>
    <t>nys</t>
  </si>
  <si>
    <t>nyun1248</t>
  </si>
  <si>
    <t>Nyungwe</t>
  </si>
  <si>
    <t>nyu</t>
  </si>
  <si>
    <t>MW MZ ZW</t>
  </si>
  <si>
    <t>nyuo1238</t>
  </si>
  <si>
    <t>Nyuong</t>
  </si>
  <si>
    <t>nzad1234</t>
  </si>
  <si>
    <t>Nzadi</t>
  </si>
  <si>
    <t>nzd</t>
  </si>
  <si>
    <t>Nzakambay</t>
  </si>
  <si>
    <t>nzy</t>
  </si>
  <si>
    <t>CF CM TD</t>
  </si>
  <si>
    <t>nzak1247</t>
  </si>
  <si>
    <t>Nzakara</t>
  </si>
  <si>
    <t>nzk</t>
  </si>
  <si>
    <t>nzam1238</t>
  </si>
  <si>
    <t>Nzamba</t>
  </si>
  <si>
    <t>Nzanyi</t>
  </si>
  <si>
    <t>nja</t>
  </si>
  <si>
    <t>Nzanyic</t>
  </si>
  <si>
    <t>nzar1241</t>
  </si>
  <si>
    <t>Nzare</t>
  </si>
  <si>
    <t>nzar1242</t>
  </si>
  <si>
    <t>Nzari</t>
  </si>
  <si>
    <t>Nzima</t>
  </si>
  <si>
    <t>nzi</t>
  </si>
  <si>
    <t>nzim1239</t>
  </si>
  <si>
    <t>Nzime</t>
  </si>
  <si>
    <t>oass1237</t>
  </si>
  <si>
    <t>Oas</t>
  </si>
  <si>
    <t>Oaxaca Mixe</t>
  </si>
  <si>
    <t>obam1239</t>
  </si>
  <si>
    <t>Oba-Miwamon</t>
  </si>
  <si>
    <t>Obanliku</t>
  </si>
  <si>
    <t>bzy</t>
  </si>
  <si>
    <t>oban1245</t>
  </si>
  <si>
    <t>Obang (Befang)</t>
  </si>
  <si>
    <t>oban1246</t>
  </si>
  <si>
    <t>Obang</t>
  </si>
  <si>
    <t>obdo1234</t>
  </si>
  <si>
    <t>Obdorsk Khanty</t>
  </si>
  <si>
    <t>obee1238</t>
  </si>
  <si>
    <t>Obe</t>
  </si>
  <si>
    <t>ober1242</t>
  </si>
  <si>
    <t>Oberwart</t>
  </si>
  <si>
    <t>ober1243</t>
  </si>
  <si>
    <t>Oberl√§ndisch</t>
  </si>
  <si>
    <t>ober1244</t>
  </si>
  <si>
    <t>Obermain</t>
  </si>
  <si>
    <t>obia1237</t>
  </si>
  <si>
    <t>Obian</t>
  </si>
  <si>
    <t>obil1238</t>
  </si>
  <si>
    <t>Obilebha</t>
  </si>
  <si>
    <t>obio1238</t>
  </si>
  <si>
    <t>Obio</t>
  </si>
  <si>
    <t>obis1242</t>
  </si>
  <si>
    <t>Obispe√±o</t>
  </si>
  <si>
    <t>obi</t>
  </si>
  <si>
    <t>oblo1238</t>
  </si>
  <si>
    <t>unun9906</t>
  </si>
  <si>
    <t>Oblo</t>
  </si>
  <si>
    <t>obl</t>
  </si>
  <si>
    <t>obma1234</t>
  </si>
  <si>
    <t>Ob Mansi</t>
  </si>
  <si>
    <t>obok1239</t>
  </si>
  <si>
    <t>Obokuitai</t>
  </si>
  <si>
    <t>afz</t>
  </si>
  <si>
    <t>Lower Cross</t>
  </si>
  <si>
    <t>Obolo</t>
  </si>
  <si>
    <t>ann</t>
  </si>
  <si>
    <t>Oboloic</t>
  </si>
  <si>
    <t>west2829</t>
  </si>
  <si>
    <t>Obo Manobo</t>
  </si>
  <si>
    <t>obo</t>
  </si>
  <si>
    <t>obos1238</t>
  </si>
  <si>
    <t>Oboso</t>
  </si>
  <si>
    <t>oboy1238</t>
  </si>
  <si>
    <t>Oboyguno</t>
  </si>
  <si>
    <t>obul1238</t>
  </si>
  <si>
    <t>obul1239</t>
  </si>
  <si>
    <t>Obulom</t>
  </si>
  <si>
    <t>obu</t>
  </si>
  <si>
    <t>Obulomic</t>
  </si>
  <si>
    <t>obwa1238</t>
  </si>
  <si>
    <t>Obwald</t>
  </si>
  <si>
    <t>Ocaina</t>
  </si>
  <si>
    <t>oca</t>
  </si>
  <si>
    <t>Occitan</t>
  </si>
  <si>
    <t>oci</t>
  </si>
  <si>
    <t>AD ES FR IT MC</t>
  </si>
  <si>
    <t>Occitanic</t>
  </si>
  <si>
    <t>occi1241</t>
  </si>
  <si>
    <t>Occidental</t>
  </si>
  <si>
    <t>occ</t>
  </si>
  <si>
    <t>Oceanic</t>
  </si>
  <si>
    <t>oche1235</t>
  </si>
  <si>
    <t>West Ripuarian</t>
  </si>
  <si>
    <t>ochi1235</t>
  </si>
  <si>
    <t>O'chi'chi'</t>
  </si>
  <si>
    <t>xoc</t>
  </si>
  <si>
    <t>ocot1241</t>
  </si>
  <si>
    <t>Ocotepec Mixe</t>
  </si>
  <si>
    <t>ocot1242</t>
  </si>
  <si>
    <t>Ocotepec</t>
  </si>
  <si>
    <t>ocot1243</t>
  </si>
  <si>
    <t>Ocotepec Mixtec</t>
  </si>
  <si>
    <t>mie</t>
  </si>
  <si>
    <t>ocot1244</t>
  </si>
  <si>
    <t>Ocotl√°n Zapotec</t>
  </si>
  <si>
    <t>zac</t>
  </si>
  <si>
    <t>odaj1238</t>
  </si>
  <si>
    <t>Odaje</t>
  </si>
  <si>
    <t>oddd1238</t>
  </si>
  <si>
    <t>Od</t>
  </si>
  <si>
    <t>odk</t>
  </si>
  <si>
    <t>odia1239</t>
  </si>
  <si>
    <t>Odiai</t>
  </si>
  <si>
    <t>bhf</t>
  </si>
  <si>
    <t>odie1238</t>
  </si>
  <si>
    <t>Odienneka</t>
  </si>
  <si>
    <t>odio1237</t>
  </si>
  <si>
    <t>Odionganon</t>
  </si>
  <si>
    <t>odoo1238</t>
  </si>
  <si>
    <t>Odoodee</t>
  </si>
  <si>
    <t>kkc</t>
  </si>
  <si>
    <t>Odual</t>
  </si>
  <si>
    <t>odu</t>
  </si>
  <si>
    <t>odut1238</t>
  </si>
  <si>
    <t>Odut</t>
  </si>
  <si>
    <t>oda</t>
  </si>
  <si>
    <t>oduu1239</t>
  </si>
  <si>
    <t>pram1235</t>
  </si>
  <si>
    <t>O'du</t>
  </si>
  <si>
    <t>tyh</t>
  </si>
  <si>
    <t>oena1237</t>
  </si>
  <si>
    <t>Oenale</t>
  </si>
  <si>
    <t>oepa1237</t>
  </si>
  <si>
    <t>Oe Pao</t>
  </si>
  <si>
    <t>ofag1238</t>
  </si>
  <si>
    <t>Ofagbe</t>
  </si>
  <si>
    <t>ofay1240</t>
  </si>
  <si>
    <t>Ofay√©</t>
  </si>
  <si>
    <t>opy</t>
  </si>
  <si>
    <t>ofer1238</t>
  </si>
  <si>
    <t>Oferikpe</t>
  </si>
  <si>
    <t>ofom1238</t>
  </si>
  <si>
    <t>Ofombonga</t>
  </si>
  <si>
    <t>ofon1238</t>
  </si>
  <si>
    <t>Ofonokpan</t>
  </si>
  <si>
    <t>ofoo1242</t>
  </si>
  <si>
    <t>Ofo</t>
  </si>
  <si>
    <t>ofo</t>
  </si>
  <si>
    <t>ogad1238</t>
  </si>
  <si>
    <t>Ogaden</t>
  </si>
  <si>
    <t>ogam1238</t>
  </si>
  <si>
    <t>Ogambi</t>
  </si>
  <si>
    <t>ogam1239</t>
  </si>
  <si>
    <t>Ogami</t>
  </si>
  <si>
    <t>ogan1237</t>
  </si>
  <si>
    <t>Ogan</t>
  </si>
  <si>
    <t>ogn</t>
  </si>
  <si>
    <t>ogar1237</t>
  </si>
  <si>
    <t>Ogar</t>
  </si>
  <si>
    <t>Ogbah</t>
  </si>
  <si>
    <t>ogc</t>
  </si>
  <si>
    <t>ogba1242</t>
  </si>
  <si>
    <t>Ogbakiri</t>
  </si>
  <si>
    <t>ogbe1244</t>
  </si>
  <si>
    <t>Ogbe Ijo</t>
  </si>
  <si>
    <t>ogbe1245</t>
  </si>
  <si>
    <t>Ogbe-Sale</t>
  </si>
  <si>
    <t>ogbe1246</t>
  </si>
  <si>
    <t>Ogbe-Oke</t>
  </si>
  <si>
    <t>Ogbia</t>
  </si>
  <si>
    <t>ogb</t>
  </si>
  <si>
    <t>ogbo1241</t>
  </si>
  <si>
    <t>Ogboin</t>
  </si>
  <si>
    <t>ogbo1242</t>
  </si>
  <si>
    <t>Ogbogolo</t>
  </si>
  <si>
    <t>ogg</t>
  </si>
  <si>
    <t>ogbr1242</t>
  </si>
  <si>
    <t>Ogbru</t>
  </si>
  <si>
    <t>ogbr1243</t>
  </si>
  <si>
    <t>Ogbronuagum</t>
  </si>
  <si>
    <t>ogu</t>
  </si>
  <si>
    <t>ogea1238</t>
  </si>
  <si>
    <t>Ogea</t>
  </si>
  <si>
    <t>eri</t>
  </si>
  <si>
    <t>ogee1238</t>
  </si>
  <si>
    <t>√íge</t>
  </si>
  <si>
    <t>ogha1238</t>
  </si>
  <si>
    <t>Ogh Awarrangg</t>
  </si>
  <si>
    <t>Oghuz</t>
  </si>
  <si>
    <t>oghu1245</t>
  </si>
  <si>
    <t>Oghuz (Udi)</t>
  </si>
  <si>
    <t>ogli1238</t>
  </si>
  <si>
    <t>Ogliastrino</t>
  </si>
  <si>
    <t>ogok1238</t>
  </si>
  <si>
    <t>sout2828</t>
  </si>
  <si>
    <t>Ogoko</t>
  </si>
  <si>
    <t>Ogonoid</t>
  </si>
  <si>
    <t>ogow1238</t>
  </si>
  <si>
    <t>Ogowe</t>
  </si>
  <si>
    <t>ogua1239</t>
  </si>
  <si>
    <t>Ogua</t>
  </si>
  <si>
    <t>ogug1241</t>
  </si>
  <si>
    <t>Ogugu</t>
  </si>
  <si>
    <t>ogug1242</t>
  </si>
  <si>
    <t>Ogugu (Western Okpamheri)</t>
  </si>
  <si>
    <t>ogul1238</t>
  </si>
  <si>
    <t>Ogulagha</t>
  </si>
  <si>
    <t>ogut1238</t>
  </si>
  <si>
    <t>Oguta</t>
  </si>
  <si>
    <t>ohio1234</t>
  </si>
  <si>
    <t>Ohio Valley Siouan</t>
  </si>
  <si>
    <t>ohuh1238</t>
  </si>
  <si>
    <t>Ohuhu</t>
  </si>
  <si>
    <t>oiba1238</t>
  </si>
  <si>
    <t>Oiba</t>
  </si>
  <si>
    <t>oibu1239</t>
  </si>
  <si>
    <t>Oibu</t>
  </si>
  <si>
    <t>Oil</t>
  </si>
  <si>
    <t>Eastern Mongolic</t>
  </si>
  <si>
    <t>Oirat-Kalmyk-Darkhat</t>
  </si>
  <si>
    <t>Altai Oirat</t>
  </si>
  <si>
    <t>oira1263</t>
  </si>
  <si>
    <t>Oirata</t>
  </si>
  <si>
    <t>oia</t>
  </si>
  <si>
    <t>Oirat-Khalkha</t>
  </si>
  <si>
    <t>oita1237</t>
  </si>
  <si>
    <t>≈åita-ben</t>
  </si>
  <si>
    <t>oiya1239</t>
  </si>
  <si>
    <t>Oiyapoque</t>
  </si>
  <si>
    <t>ojaa1238</t>
  </si>
  <si>
    <t>Oja</t>
  </si>
  <si>
    <t>ojhi1238</t>
  </si>
  <si>
    <t>Ojhi</t>
  </si>
  <si>
    <t>ojib1240</t>
  </si>
  <si>
    <t>Ojibwa-Potawatomi</t>
  </si>
  <si>
    <t>ojil1238</t>
  </si>
  <si>
    <t>Ojila</t>
  </si>
  <si>
    <t>ojir1238</t>
  </si>
  <si>
    <t>Ojirami</t>
  </si>
  <si>
    <t>ojit1237</t>
  </si>
  <si>
    <t>Ojitl√°n Chinantec</t>
  </si>
  <si>
    <t>chj</t>
  </si>
  <si>
    <t>ojoo1238</t>
  </si>
  <si>
    <t>Ojo</t>
  </si>
  <si>
    <t>ojuu1238</t>
  </si>
  <si>
    <t>Oju</t>
  </si>
  <si>
    <t>okaa1242</t>
  </si>
  <si>
    <t>Oka</t>
  </si>
  <si>
    <t>okaa1243</t>
  </si>
  <si>
    <t>Oka (Nigeria)</t>
  </si>
  <si>
    <t>Okanagan</t>
  </si>
  <si>
    <t>oka</t>
  </si>
  <si>
    <t>Okayama</t>
  </si>
  <si>
    <t>okba1239</t>
  </si>
  <si>
    <t>Okbap</t>
  </si>
  <si>
    <t>okeb1238</t>
  </si>
  <si>
    <t>Oke'bu</t>
  </si>
  <si>
    <t>oken1238</t>
  </si>
  <si>
    <t>Okene</t>
  </si>
  <si>
    <t>okho1239</t>
  </si>
  <si>
    <t>Okhotsk</t>
  </si>
  <si>
    <t>Okiek</t>
  </si>
  <si>
    <t>oki</t>
  </si>
  <si>
    <t>Okiek-Akie</t>
  </si>
  <si>
    <t>Okinawa</t>
  </si>
  <si>
    <t>okin1245</t>
  </si>
  <si>
    <t>Okinoerabu-Tokunoshima</t>
  </si>
  <si>
    <t>Oki-No-Erabu</t>
  </si>
  <si>
    <t>okn</t>
  </si>
  <si>
    <t>okok1235</t>
  </si>
  <si>
    <t>Ok</t>
  </si>
  <si>
    <t>okob1241</t>
  </si>
  <si>
    <t>Okobo</t>
  </si>
  <si>
    <t>okb</t>
  </si>
  <si>
    <t>okod1238</t>
  </si>
  <si>
    <t>Okodia</t>
  </si>
  <si>
    <t>okd</t>
  </si>
  <si>
    <t>Oko-Eni-Osayen</t>
  </si>
  <si>
    <t>oks</t>
  </si>
  <si>
    <t>okoj1239</t>
  </si>
  <si>
    <t>Okojuwoi</t>
  </si>
  <si>
    <t>okj</t>
  </si>
  <si>
    <t>Ok-Oksapmin</t>
  </si>
  <si>
    <t>okol1240</t>
  </si>
  <si>
    <t>Okollo</t>
  </si>
  <si>
    <t>okol1241</t>
  </si>
  <si>
    <t>Okolod</t>
  </si>
  <si>
    <t>kqv</t>
  </si>
  <si>
    <t>Okol-Opucikwar</t>
  </si>
  <si>
    <t>okom1241</t>
  </si>
  <si>
    <t>Okom</t>
  </si>
  <si>
    <t>okom1242</t>
  </si>
  <si>
    <t>Okomanjang</t>
  </si>
  <si>
    <t>okon1238</t>
  </si>
  <si>
    <t>Okoni</t>
  </si>
  <si>
    <t>okoo1245</t>
  </si>
  <si>
    <t>okoo1246</t>
  </si>
  <si>
    <t>Oko (Papua New Guinea)</t>
  </si>
  <si>
    <t>okor1247</t>
  </si>
  <si>
    <t>Okorogung</t>
  </si>
  <si>
    <t>okor1248</t>
  </si>
  <si>
    <t>Okorotung</t>
  </si>
  <si>
    <t>okor1249</t>
  </si>
  <si>
    <t>Okoroete</t>
  </si>
  <si>
    <t>okor1250</t>
  </si>
  <si>
    <t>Okorobi</t>
  </si>
  <si>
    <t>sout3171</t>
  </si>
  <si>
    <t>Okpamheri</t>
  </si>
  <si>
    <t>opa</t>
  </si>
  <si>
    <t>okpe1247</t>
  </si>
  <si>
    <t>Okpeden</t>
  </si>
  <si>
    <t>okpe1248</t>
  </si>
  <si>
    <t>Okpela</t>
  </si>
  <si>
    <t>okpe1249</t>
  </si>
  <si>
    <t>Okpe (Northwestern Edo)</t>
  </si>
  <si>
    <t>okx</t>
  </si>
  <si>
    <t>okpe1250</t>
  </si>
  <si>
    <t>Okpe (Southwestern Edo)</t>
  </si>
  <si>
    <t>oke</t>
  </si>
  <si>
    <t>Okpe-Akuku-Idesa</t>
  </si>
  <si>
    <t>okpo1242</t>
  </si>
  <si>
    <t>Okpogu</t>
  </si>
  <si>
    <t>okpo1243</t>
  </si>
  <si>
    <t>orin1239</t>
  </si>
  <si>
    <t>Okpoto</t>
  </si>
  <si>
    <t>okro1237</t>
  </si>
  <si>
    <t>Okro</t>
  </si>
  <si>
    <t>oksa1245</t>
  </si>
  <si>
    <t>Oksapmin</t>
  </si>
  <si>
    <t>opm</t>
  </si>
  <si>
    <t>okto1238</t>
  </si>
  <si>
    <t>Oktomberi</t>
  </si>
  <si>
    <t>Okulosho</t>
  </si>
  <si>
    <t>okun1240</t>
  </si>
  <si>
    <t>Okuni</t>
  </si>
  <si>
    <t>okus1237</t>
  </si>
  <si>
    <t>Okushin</t>
  </si>
  <si>
    <t>okuu1242</t>
  </si>
  <si>
    <t>Oku (Bokyi)</t>
  </si>
  <si>
    <t>okuu1243</t>
  </si>
  <si>
    <t>Oku</t>
  </si>
  <si>
    <t>oku</t>
  </si>
  <si>
    <t>okuy1237</t>
  </si>
  <si>
    <t>Oku-yoshino</t>
  </si>
  <si>
    <t>okwa1235</t>
  </si>
  <si>
    <t>Okwanuchu</t>
  </si>
  <si>
    <t>okwa1236</t>
  </si>
  <si>
    <t>Okwa</t>
  </si>
  <si>
    <t>olaa1239</t>
  </si>
  <si>
    <t>Ola</t>
  </si>
  <si>
    <t>olal1237</t>
  </si>
  <si>
    <t>Olal</t>
  </si>
  <si>
    <t>olam1240</t>
  </si>
  <si>
    <t>Olam</t>
  </si>
  <si>
    <t>olda1245</t>
  </si>
  <si>
    <t>Old Aramaic (up to 700 BCE)</t>
  </si>
  <si>
    <t>oar</t>
  </si>
  <si>
    <t>Old Bomokandian</t>
  </si>
  <si>
    <t>oldb1235</t>
  </si>
  <si>
    <t>Old Burmese</t>
  </si>
  <si>
    <t>obr</t>
  </si>
  <si>
    <t>oldb1247</t>
  </si>
  <si>
    <t>Old Bangkok Sign Language</t>
  </si>
  <si>
    <t>oldb1248</t>
  </si>
  <si>
    <t>Old Breton</t>
  </si>
  <si>
    <t>Old Chinese</t>
  </si>
  <si>
    <t>och</t>
  </si>
  <si>
    <t>oldc1247</t>
  </si>
  <si>
    <t>Old Coptic</t>
  </si>
  <si>
    <t>oldc1248</t>
  </si>
  <si>
    <t>prov1248</t>
  </si>
  <si>
    <t>Old Cayman Sign Language</t>
  </si>
  <si>
    <t>KY</t>
  </si>
  <si>
    <t>Old Chiangmai-Bangkok-Haiphong Sign</t>
  </si>
  <si>
    <t>Old Chiangmai-Bangkok Sign</t>
  </si>
  <si>
    <t>oldc1251</t>
  </si>
  <si>
    <t>Old Catalan</t>
  </si>
  <si>
    <t>oldc1252</t>
  </si>
  <si>
    <t>Old Cornish</t>
  </si>
  <si>
    <t>oco</t>
  </si>
  <si>
    <t>oldc1253</t>
  </si>
  <si>
    <t>Old Czech</t>
  </si>
  <si>
    <t>Old Dutch-Old Frankish</t>
  </si>
  <si>
    <t>odt</t>
  </si>
  <si>
    <t>oldd1238</t>
  </si>
  <si>
    <t>Old Dutch</t>
  </si>
  <si>
    <t>oldd1239</t>
  </si>
  <si>
    <t>Old Danish</t>
  </si>
  <si>
    <t>Old English (ca. 450-1100)</t>
  </si>
  <si>
    <t>ang</t>
  </si>
  <si>
    <t>olde1239</t>
  </si>
  <si>
    <t>Older Runic</t>
  </si>
  <si>
    <t>olde1240</t>
  </si>
  <si>
    <t>oldn1244</t>
  </si>
  <si>
    <t>Old East Norse</t>
  </si>
  <si>
    <t>olde1241</t>
  </si>
  <si>
    <t>Oldenburgisch</t>
  </si>
  <si>
    <t>oldf1239</t>
  </si>
  <si>
    <t>Old French (842-ca. 1400)</t>
  </si>
  <si>
    <t>fro</t>
  </si>
  <si>
    <t>oldf1241</t>
  </si>
  <si>
    <t>Old Frisian</t>
  </si>
  <si>
    <t>ofs</t>
  </si>
  <si>
    <t>oldg1234</t>
  </si>
  <si>
    <t>Old Georgian</t>
  </si>
  <si>
    <t>oge</t>
  </si>
  <si>
    <t>oldh1241</t>
  </si>
  <si>
    <t>Old High German (ca. 750-1050)</t>
  </si>
  <si>
    <t>goh</t>
  </si>
  <si>
    <t>oldi1244</t>
  </si>
  <si>
    <t>Old Indic</t>
  </si>
  <si>
    <t>qmx</t>
  </si>
  <si>
    <t>Early Irish</t>
  </si>
  <si>
    <t>sga</t>
  </si>
  <si>
    <t>oldi1246</t>
  </si>
  <si>
    <t>Old Irish (8-9th century)</t>
  </si>
  <si>
    <t>oldj1239</t>
  </si>
  <si>
    <t>Old Japanese</t>
  </si>
  <si>
    <t>ojp</t>
  </si>
  <si>
    <t>oldk1238</t>
  </si>
  <si>
    <t>Old Kentish Sign Language</t>
  </si>
  <si>
    <t>okl</t>
  </si>
  <si>
    <t>oldk1249</t>
  </si>
  <si>
    <t>Old Khmer</t>
  </si>
  <si>
    <t>qok</t>
  </si>
  <si>
    <t>oldk1250</t>
  </si>
  <si>
    <t>Old Kannada</t>
  </si>
  <si>
    <t>qkn</t>
  </si>
  <si>
    <t>Northwestern Kuki-Chin</t>
  </si>
  <si>
    <t>oldl1238</t>
  </si>
  <si>
    <t>Old Latin</t>
  </si>
  <si>
    <t>qbb</t>
  </si>
  <si>
    <t>oldl1240</t>
  </si>
  <si>
    <t>Old Lithuanian</t>
  </si>
  <si>
    <t>olt</t>
  </si>
  <si>
    <t>oldm1242</t>
  </si>
  <si>
    <t>Old Mon</t>
  </si>
  <si>
    <t>omx</t>
  </si>
  <si>
    <t>oldm1243</t>
  </si>
  <si>
    <t>Old Malay</t>
  </si>
  <si>
    <t>oldm1244</t>
  </si>
  <si>
    <t>Old Marathi</t>
  </si>
  <si>
    <t>omr</t>
  </si>
  <si>
    <t>Early Old Tibetan</t>
  </si>
  <si>
    <t>Old-Modern Burmese</t>
  </si>
  <si>
    <t>oldm1247</t>
  </si>
  <si>
    <t>Old-Modern Welsh</t>
  </si>
  <si>
    <t>Old Norse</t>
  </si>
  <si>
    <t>non</t>
  </si>
  <si>
    <t>oldn1245</t>
  </si>
  <si>
    <t>Old Nubian</t>
  </si>
  <si>
    <t>onw</t>
  </si>
  <si>
    <t>oldn1246</t>
  </si>
  <si>
    <t>Old Norn</t>
  </si>
  <si>
    <t>nrn</t>
  </si>
  <si>
    <t>oldo1234</t>
  </si>
  <si>
    <t>osse1245</t>
  </si>
  <si>
    <t>Old Ossetic</t>
  </si>
  <si>
    <t>oos</t>
  </si>
  <si>
    <t>oldp1253</t>
  </si>
  <si>
    <t>Old Proven√ßal</t>
  </si>
  <si>
    <t>pro</t>
  </si>
  <si>
    <t>oldp1254</t>
  </si>
  <si>
    <t>Old Persian (ca. 600-400 B.C.)</t>
  </si>
  <si>
    <t>peo</t>
  </si>
  <si>
    <t>oldp1255</t>
  </si>
  <si>
    <t>Old Persian</t>
  </si>
  <si>
    <t>ope</t>
  </si>
  <si>
    <t>oldp1256</t>
  </si>
  <si>
    <t>Old Polish</t>
  </si>
  <si>
    <t>oldp1257</t>
  </si>
  <si>
    <t>Old Portuguese</t>
  </si>
  <si>
    <t>oldr1238</t>
  </si>
  <si>
    <t>Old Russian</t>
  </si>
  <si>
    <t>orv</t>
  </si>
  <si>
    <t>olds1249</t>
  </si>
  <si>
    <t>Old Spanish</t>
  </si>
  <si>
    <t>osp</t>
  </si>
  <si>
    <t>olds1250</t>
  </si>
  <si>
    <t>Old Saxon</t>
  </si>
  <si>
    <t>osx</t>
  </si>
  <si>
    <t>olds1251</t>
  </si>
  <si>
    <t>Old Shirazi</t>
  </si>
  <si>
    <t>olds1252</t>
  </si>
  <si>
    <t>Old Swedish</t>
  </si>
  <si>
    <t>olds1253</t>
  </si>
  <si>
    <t>Old Shtokavian</t>
  </si>
  <si>
    <t>oldt1247</t>
  </si>
  <si>
    <t>Old Turkish</t>
  </si>
  <si>
    <t>otk</t>
  </si>
  <si>
    <t>oldt1248</t>
  </si>
  <si>
    <t>Old Tamil</t>
  </si>
  <si>
    <t>oty</t>
  </si>
  <si>
    <t>oldt1249</t>
  </si>
  <si>
    <t>Old Telugu</t>
  </si>
  <si>
    <t>oldu1238</t>
  </si>
  <si>
    <t>Old Turkic</t>
  </si>
  <si>
    <t>oui</t>
  </si>
  <si>
    <t>oldw1238</t>
  </si>
  <si>
    <t>shug1253</t>
  </si>
  <si>
    <t>Old Wanji</t>
  </si>
  <si>
    <t>Old-Middle Welsh</t>
  </si>
  <si>
    <t>owl</t>
  </si>
  <si>
    <t>oldw1240</t>
  </si>
  <si>
    <t>Old West Norse</t>
  </si>
  <si>
    <t>oldw1241</t>
  </si>
  <si>
    <t>Old Welsh</t>
  </si>
  <si>
    <t>oldz1234</t>
  </si>
  <si>
    <t>Old Zipser</t>
  </si>
  <si>
    <t>olee1238</t>
  </si>
  <si>
    <t>Ole</t>
  </si>
  <si>
    <t>olee1239</t>
  </si>
  <si>
    <t>'Ole</t>
  </si>
  <si>
    <t>Olekha</t>
  </si>
  <si>
    <t>ole</t>
  </si>
  <si>
    <t>Oleran</t>
  </si>
  <si>
    <t>olib1234</t>
  </si>
  <si>
    <t>Oli-Bidiman</t>
  </si>
  <si>
    <t>olii1238</t>
  </si>
  <si>
    <t>Oli</t>
  </si>
  <si>
    <t>olit1238</t>
  </si>
  <si>
    <t>Oliti</t>
  </si>
  <si>
    <t>olko1234</t>
  </si>
  <si>
    <t>Olkol</t>
  </si>
  <si>
    <t>olk</t>
  </si>
  <si>
    <t>olmo1234</t>
  </si>
  <si>
    <t>sech1236</t>
  </si>
  <si>
    <t>Olmos</t>
  </si>
  <si>
    <t>Olo-Elkei</t>
  </si>
  <si>
    <t>olog1242</t>
  </si>
  <si>
    <t>Ologo</t>
  </si>
  <si>
    <t>olog1243</t>
  </si>
  <si>
    <t>Ologuti</t>
  </si>
  <si>
    <t>oloi1238</t>
  </si>
  <si>
    <t>Oloibiri</t>
  </si>
  <si>
    <t>olom1241</t>
  </si>
  <si>
    <t>Oloma</t>
  </si>
  <si>
    <t>olm</t>
  </si>
  <si>
    <t>olom1242</t>
  </si>
  <si>
    <t>Olomoro</t>
  </si>
  <si>
    <t>Olo</t>
  </si>
  <si>
    <t>olot1240</t>
  </si>
  <si>
    <t>Olotepec</t>
  </si>
  <si>
    <t>olra1234</t>
  </si>
  <si>
    <t>Olrat</t>
  </si>
  <si>
    <t>olr</t>
  </si>
  <si>
    <t>Oltenia-Lesser Wallachia</t>
  </si>
  <si>
    <t>olub1238</t>
  </si>
  <si>
    <t>Olu'bo</t>
  </si>
  <si>
    <t>lul</t>
  </si>
  <si>
    <t>Olulumo-Ikom</t>
  </si>
  <si>
    <t>iko</t>
  </si>
  <si>
    <t>olul1246</t>
  </si>
  <si>
    <t>Olulumo</t>
  </si>
  <si>
    <t>olul1247</t>
  </si>
  <si>
    <t>Olulu</t>
  </si>
  <si>
    <t>olum1238</t>
  </si>
  <si>
    <t>Olumba</t>
  </si>
  <si>
    <t>olut1240</t>
  </si>
  <si>
    <t>Oluta Popoluca</t>
  </si>
  <si>
    <t>plo</t>
  </si>
  <si>
    <t>omaa1238</t>
  </si>
  <si>
    <t>Oma</t>
  </si>
  <si>
    <t>omag1246</t>
  </si>
  <si>
    <t>Omagwna</t>
  </si>
  <si>
    <t>Omagua-Kokama</t>
  </si>
  <si>
    <t>Omagua</t>
  </si>
  <si>
    <t>omg</t>
  </si>
  <si>
    <t>omah1247</t>
  </si>
  <si>
    <t>Omaha-Ponca</t>
  </si>
  <si>
    <t>oma</t>
  </si>
  <si>
    <t>omah1248</t>
  </si>
  <si>
    <t>Omaha</t>
  </si>
  <si>
    <t>oman1238</t>
  </si>
  <si>
    <t>Omani</t>
  </si>
  <si>
    <t>oman1239</t>
  </si>
  <si>
    <t>Omani Arabic</t>
  </si>
  <si>
    <t>acx</t>
  </si>
  <si>
    <t>AE OM</t>
  </si>
  <si>
    <t>omat1240</t>
  </si>
  <si>
    <t>Omati</t>
  </si>
  <si>
    <t>mgx</t>
  </si>
  <si>
    <t>omba1241</t>
  </si>
  <si>
    <t>Ombamba</t>
  </si>
  <si>
    <t>mbm</t>
  </si>
  <si>
    <t>omba1242</t>
  </si>
  <si>
    <t>Omban</t>
  </si>
  <si>
    <t>tsit1234</t>
  </si>
  <si>
    <t>Ombambaic</t>
  </si>
  <si>
    <t>Ombo</t>
  </si>
  <si>
    <t>oml</t>
  </si>
  <si>
    <t>omej1234</t>
  </si>
  <si>
    <t>Omejes</t>
  </si>
  <si>
    <t>ome</t>
  </si>
  <si>
    <t>omen1237</t>
  </si>
  <si>
    <t>Omene</t>
  </si>
  <si>
    <t>omer1238</t>
  </si>
  <si>
    <t>Omerelu</t>
  </si>
  <si>
    <t>omet1237</t>
  </si>
  <si>
    <t>Ometepec Nahuatl</t>
  </si>
  <si>
    <t>nht</t>
  </si>
  <si>
    <t>Ometo</t>
  </si>
  <si>
    <t>√ñmie</t>
  </si>
  <si>
    <t>aom</t>
  </si>
  <si>
    <t>omii1238</t>
  </si>
  <si>
    <t>Omi</t>
  </si>
  <si>
    <t>omi</t>
  </si>
  <si>
    <t>omko1238</t>
  </si>
  <si>
    <t>Omkoi</t>
  </si>
  <si>
    <t>omom1235</t>
  </si>
  <si>
    <t>unun9948</t>
  </si>
  <si>
    <t>Omomil</t>
  </si>
  <si>
    <t>tibo1242</t>
  </si>
  <si>
    <t>Omosan</t>
  </si>
  <si>
    <t>omot1239</t>
  </si>
  <si>
    <t>Omotik</t>
  </si>
  <si>
    <t>omt</t>
  </si>
  <si>
    <t>Omo-Tana</t>
  </si>
  <si>
    <t>omud1238</t>
  </si>
  <si>
    <t>Omudioga</t>
  </si>
  <si>
    <t>omur1241</t>
  </si>
  <si>
    <t>Omurano</t>
  </si>
  <si>
    <t>omu</t>
  </si>
  <si>
    <t>omut1237</t>
  </si>
  <si>
    <t>≈åmuta-ben</t>
  </si>
  <si>
    <t>omva1238</t>
  </si>
  <si>
    <t>Omvang</t>
  </si>
  <si>
    <t>omwu1238</t>
  </si>
  <si>
    <t>Omwunra-Toqura</t>
  </si>
  <si>
    <t>onaa1244</t>
  </si>
  <si>
    <t>Ona (Papua New Guinea)</t>
  </si>
  <si>
    <t>ondo1239</t>
  </si>
  <si>
    <t>Ondo</t>
  </si>
  <si>
    <t>onee1244</t>
  </si>
  <si>
    <t>One (Yasa)</t>
  </si>
  <si>
    <t>One</t>
  </si>
  <si>
    <t>Oneida</t>
  </si>
  <si>
    <t>ones1240</t>
  </si>
  <si>
    <t>Onesso</t>
  </si>
  <si>
    <t>Ongamo-Maa</t>
  </si>
  <si>
    <t>onge1236</t>
  </si>
  <si>
    <t>√ñnge</t>
  </si>
  <si>
    <t>oon</t>
  </si>
  <si>
    <t>ongg1239</t>
  </si>
  <si>
    <t>Ong-Ir</t>
  </si>
  <si>
    <t>oog</t>
  </si>
  <si>
    <t>Ong-Ta'oih</t>
  </si>
  <si>
    <t>onin1237</t>
  </si>
  <si>
    <t>onin1246</t>
  </si>
  <si>
    <t>Onin Pidgin</t>
  </si>
  <si>
    <t>onx</t>
  </si>
  <si>
    <t>onin1244</t>
  </si>
  <si>
    <t>yamd1241</t>
  </si>
  <si>
    <t>Oninic</t>
  </si>
  <si>
    <t>Onin</t>
  </si>
  <si>
    <t>oni</t>
  </si>
  <si>
    <t>Onin-based pidgin</t>
  </si>
  <si>
    <t>onit1238</t>
  </si>
  <si>
    <t>Onitsha</t>
  </si>
  <si>
    <t>onjo1240</t>
  </si>
  <si>
    <t>Onjob</t>
  </si>
  <si>
    <t>onj</t>
  </si>
  <si>
    <t>onob1238</t>
  </si>
  <si>
    <t>Onobasulu</t>
  </si>
  <si>
    <t>onn</t>
  </si>
  <si>
    <t>Onondaga</t>
  </si>
  <si>
    <t>Ono</t>
  </si>
  <si>
    <t>ons</t>
  </si>
  <si>
    <t>onoo1247</t>
  </si>
  <si>
    <t>Ono (weri)</t>
  </si>
  <si>
    <t>onot1238</t>
  </si>
  <si>
    <t>Onotsu</t>
  </si>
  <si>
    <t>onte1239</t>
  </si>
  <si>
    <t>Ontenu</t>
  </si>
  <si>
    <t>ont</t>
  </si>
  <si>
    <t>onti1237</t>
  </si>
  <si>
    <t>Onti</t>
  </si>
  <si>
    <t>Luangiua</t>
  </si>
  <si>
    <t>ojv</t>
  </si>
  <si>
    <t>onum1238</t>
  </si>
  <si>
    <t>Onumo</t>
  </si>
  <si>
    <t>onya1238</t>
  </si>
  <si>
    <t>Onya</t>
  </si>
  <si>
    <t>ooku1235</t>
  </si>
  <si>
    <t>Ooku</t>
  </si>
  <si>
    <t>oorl1238</t>
  </si>
  <si>
    <t>Oorlams</t>
  </si>
  <si>
    <t>oor</t>
  </si>
  <si>
    <t>oost1241</t>
  </si>
  <si>
    <t>Oost-Vlaams</t>
  </si>
  <si>
    <t>oost1243</t>
  </si>
  <si>
    <t>ters1236</t>
  </si>
  <si>
    <t>Oosterend</t>
  </si>
  <si>
    <t>oowe1239</t>
  </si>
  <si>
    <t>Ooweekeeno</t>
  </si>
  <si>
    <t>opai1241</t>
  </si>
  <si>
    <t>Opaina</t>
  </si>
  <si>
    <t>opal1238</t>
  </si>
  <si>
    <t>Opalo</t>
  </si>
  <si>
    <t>opao1240</t>
  </si>
  <si>
    <t>Opao</t>
  </si>
  <si>
    <t>opo</t>
  </si>
  <si>
    <t>opat1246</t>
  </si>
  <si>
    <t>Teguima</t>
  </si>
  <si>
    <t>opt</t>
  </si>
  <si>
    <t>Opata-Eudeve</t>
  </si>
  <si>
    <t>open1238</t>
  </si>
  <si>
    <t>Op√´no</t>
  </si>
  <si>
    <t>oper1238</t>
  </si>
  <si>
    <t>Operemo</t>
  </si>
  <si>
    <t>opif1237</t>
  </si>
  <si>
    <t>Opif</t>
  </si>
  <si>
    <t>opon1234</t>
  </si>
  <si>
    <t>yukp1242</t>
  </si>
  <si>
    <t>Op√≥n-Carare</t>
  </si>
  <si>
    <t>opor1243</t>
  </si>
  <si>
    <t>Oporto</t>
  </si>
  <si>
    <t>opor1245</t>
  </si>
  <si>
    <t>Oporoza</t>
  </si>
  <si>
    <t>opor1246</t>
  </si>
  <si>
    <t>Oporomo</t>
  </si>
  <si>
    <t>opuu1238</t>
  </si>
  <si>
    <t>Opuuo-Twampa-Komo</t>
  </si>
  <si>
    <t>T'apo</t>
  </si>
  <si>
    <t>lgn</t>
  </si>
  <si>
    <t>oraa1239</t>
  </si>
  <si>
    <t>Ora</t>
  </si>
  <si>
    <t>oram1238</t>
  </si>
  <si>
    <t>Orami</t>
  </si>
  <si>
    <t>oran1236</t>
  </si>
  <si>
    <t>Oran</t>
  </si>
  <si>
    <t>oran1256</t>
  </si>
  <si>
    <t>Orang Tanjong of Ulu Langat</t>
  </si>
  <si>
    <t>oran1257</t>
  </si>
  <si>
    <t>Orang Mamak</t>
  </si>
  <si>
    <t>oran1258</t>
  </si>
  <si>
    <t>Orang Kanaq</t>
  </si>
  <si>
    <t>orn</t>
  </si>
  <si>
    <t>oran1259</t>
  </si>
  <si>
    <t>Orang Seletar</t>
  </si>
  <si>
    <t>ors</t>
  </si>
  <si>
    <t>oran1263</t>
  </si>
  <si>
    <t>Orange River Afrikaans</t>
  </si>
  <si>
    <t>sada1242</t>
  </si>
  <si>
    <t>Oraon Sadri</t>
  </si>
  <si>
    <t>sdr</t>
  </si>
  <si>
    <t>orao1238</t>
  </si>
  <si>
    <t>Oraon</t>
  </si>
  <si>
    <t>ordo1245</t>
  </si>
  <si>
    <t>Ordos</t>
  </si>
  <si>
    <t>ordu1239</t>
  </si>
  <si>
    <t>Ordubad</t>
  </si>
  <si>
    <t>ored1238</t>
  </si>
  <si>
    <t>Oredezhi</t>
  </si>
  <si>
    <t>oree1238</t>
  </si>
  <si>
    <t>|Oree-Khwe</t>
  </si>
  <si>
    <t>oree1239</t>
  </si>
  <si>
    <t>Ore</t>
  </si>
  <si>
    <t>oreg1242</t>
  </si>
  <si>
    <t>Oregon Athabaskan</t>
  </si>
  <si>
    <t>Maijiki</t>
  </si>
  <si>
    <t>ore</t>
  </si>
  <si>
    <t>oren1238</t>
  </si>
  <si>
    <t>Oren</t>
  </si>
  <si>
    <t>oren1239</t>
  </si>
  <si>
    <t>torg1245</t>
  </si>
  <si>
    <t>Orenburgian Torguud</t>
  </si>
  <si>
    <t>oric1239</t>
  </si>
  <si>
    <t>Orichen</t>
  </si>
  <si>
    <t>orie1237</t>
  </si>
  <si>
    <t>Orierh</t>
  </si>
  <si>
    <t>orie1241</t>
  </si>
  <si>
    <t>Oriental Hebrew</t>
  </si>
  <si>
    <t>orig1234</t>
  </si>
  <si>
    <t>Original Costa Rican Sign Language</t>
  </si>
  <si>
    <t>orig1235</t>
  </si>
  <si>
    <t>Orig</t>
  </si>
  <si>
    <t>Oring</t>
  </si>
  <si>
    <t>org</t>
  </si>
  <si>
    <t>oris1240</t>
  </si>
  <si>
    <t>Orisi</t>
  </si>
  <si>
    <t>Oriya-Gauda-Kamrupa</t>
  </si>
  <si>
    <t>Odia</t>
  </si>
  <si>
    <t>ory</t>
  </si>
  <si>
    <t>tehu1243</t>
  </si>
  <si>
    <t>Orizaba Nahuatl</t>
  </si>
  <si>
    <t>nlv</t>
  </si>
  <si>
    <t>orkh1234</t>
  </si>
  <si>
    <t>Orkhon Turkic</t>
  </si>
  <si>
    <t>orkn1236</t>
  </si>
  <si>
    <t>Orkney Scots</t>
  </si>
  <si>
    <t>orko1234</t>
  </si>
  <si>
    <t>port1292</t>
  </si>
  <si>
    <t>Orkon-Fanbak</t>
  </si>
  <si>
    <t>fnb</t>
  </si>
  <si>
    <t>orlo1238</t>
  </si>
  <si>
    <t>Orlo</t>
  </si>
  <si>
    <t>orlu1238</t>
  </si>
  <si>
    <t>Orlu</t>
  </si>
  <si>
    <t>Orma</t>
  </si>
  <si>
    <t>orc</t>
  </si>
  <si>
    <t>ormu1249</t>
  </si>
  <si>
    <t>Ormuri</t>
  </si>
  <si>
    <t>oru</t>
  </si>
  <si>
    <t>ormu1248</t>
  </si>
  <si>
    <t>Ormu</t>
  </si>
  <si>
    <t>orz</t>
  </si>
  <si>
    <t>Ormuri-Parachi</t>
  </si>
  <si>
    <t>Oroch</t>
  </si>
  <si>
    <t>oac</t>
  </si>
  <si>
    <t>oroh1237</t>
  </si>
  <si>
    <t>Oroha</t>
  </si>
  <si>
    <t>ora</t>
  </si>
  <si>
    <t>Central-Western Tungusic</t>
  </si>
  <si>
    <t>ulch1242</t>
  </si>
  <si>
    <t>Orok</t>
  </si>
  <si>
    <t>Oroko</t>
  </si>
  <si>
    <t>bdu</t>
  </si>
  <si>
    <t>orok1267</t>
  </si>
  <si>
    <t>Orokolo</t>
  </si>
  <si>
    <t>oro</t>
  </si>
  <si>
    <t>Orokaivic</t>
  </si>
  <si>
    <t>orok1269</t>
  </si>
  <si>
    <t>Orokaiva</t>
  </si>
  <si>
    <t>okv</t>
  </si>
  <si>
    <t>orok1270</t>
  </si>
  <si>
    <t>Orokaiva (Retired)</t>
  </si>
  <si>
    <t>ork</t>
  </si>
  <si>
    <t>orok1271</t>
  </si>
  <si>
    <t>unii1234</t>
  </si>
  <si>
    <t>Oro Kuku-Oro Raumo</t>
  </si>
  <si>
    <t>orom1239</t>
  </si>
  <si>
    <t>Orom</t>
  </si>
  <si>
    <t>oroo1241</t>
  </si>
  <si>
    <t>Oro</t>
  </si>
  <si>
    <t>orx</t>
  </si>
  <si>
    <t>orop1234</t>
  </si>
  <si>
    <t>Oropom</t>
  </si>
  <si>
    <t>Oroqen</t>
  </si>
  <si>
    <t>orh</t>
  </si>
  <si>
    <t>oros1238</t>
  </si>
  <si>
    <t>Oroshor</t>
  </si>
  <si>
    <t>orot1239</t>
  </si>
  <si>
    <t>Oroti√±a</t>
  </si>
  <si>
    <t>orot1240</t>
  </si>
  <si>
    <t>Oro Toma</t>
  </si>
  <si>
    <t>orow1242</t>
  </si>
  <si>
    <t>Orowe</t>
  </si>
  <si>
    <t>bpk</t>
  </si>
  <si>
    <t>orow1243</t>
  </si>
  <si>
    <t>wari1267</t>
  </si>
  <si>
    <t>Oro Win</t>
  </si>
  <si>
    <t>orw</t>
  </si>
  <si>
    <t>orra1238</t>
  </si>
  <si>
    <t>Orra</t>
  </si>
  <si>
    <t>Orsam√•l</t>
  </si>
  <si>
    <t>orum1241</t>
  </si>
  <si>
    <t>Oruma</t>
  </si>
  <si>
    <t>orr</t>
  </si>
  <si>
    <t>orum1242</t>
  </si>
  <si>
    <t>Orum</t>
  </si>
  <si>
    <t>orun1241</t>
  </si>
  <si>
    <t>Orunyoro</t>
  </si>
  <si>
    <t>orun1242</t>
  </si>
  <si>
    <t>Orungu</t>
  </si>
  <si>
    <t>oruo1237</t>
  </si>
  <si>
    <t>Oruone</t>
  </si>
  <si>
    <t>orur1238</t>
  </si>
  <si>
    <t>Oruro</t>
  </si>
  <si>
    <t>orut1238</t>
  </si>
  <si>
    <t>Orutagwenda</t>
  </si>
  <si>
    <t>Orya</t>
  </si>
  <si>
    <t>ury</t>
  </si>
  <si>
    <t>osag1243</t>
  </si>
  <si>
    <t>Osage</t>
  </si>
  <si>
    <t>osa</t>
  </si>
  <si>
    <t>Osage-Kansa</t>
  </si>
  <si>
    <t>≈åsaka</t>
  </si>
  <si>
    <t>osam1235</t>
  </si>
  <si>
    <t>Osamayi</t>
  </si>
  <si>
    <t>syx</t>
  </si>
  <si>
    <t>osat1238</t>
  </si>
  <si>
    <t>Osatu</t>
  </si>
  <si>
    <t>ost</t>
  </si>
  <si>
    <t>osay1238</t>
  </si>
  <si>
    <t>Osayen</t>
  </si>
  <si>
    <t>sabe1249</t>
  </si>
  <si>
    <t>Oscan</t>
  </si>
  <si>
    <t>osc</t>
  </si>
  <si>
    <t>Oshima</t>
  </si>
  <si>
    <t>osin1237</t>
  </si>
  <si>
    <t>Osing</t>
  </si>
  <si>
    <t>osi</t>
  </si>
  <si>
    <t>oslo1237</t>
  </si>
  <si>
    <t>Oslo</t>
  </si>
  <si>
    <t>osok1238</t>
  </si>
  <si>
    <t>Osokom</t>
  </si>
  <si>
    <t>osom1237</t>
  </si>
  <si>
    <t>Oso Moko</t>
  </si>
  <si>
    <t>osop1238</t>
  </si>
  <si>
    <t>Osopong</t>
  </si>
  <si>
    <t>osos1238</t>
  </si>
  <si>
    <t>Ososo</t>
  </si>
  <si>
    <t>oso</t>
  </si>
  <si>
    <t>Ossetian</t>
  </si>
  <si>
    <t>oss</t>
  </si>
  <si>
    <t>Osse</t>
  </si>
  <si>
    <t>sogd1247</t>
  </si>
  <si>
    <t>Ossetic</t>
  </si>
  <si>
    <t>ostb1234</t>
  </si>
  <si>
    <t>Ostbergisch</t>
  </si>
  <si>
    <t>oste1241</t>
  </si>
  <si>
    <t>√ñsterbotten</t>
  </si>
  <si>
    <t>√ñsterdalarna</t>
  </si>
  <si>
    <t>oste1243</t>
  </si>
  <si>
    <t>Ostermooring</t>
  </si>
  <si>
    <t>oste1244</t>
  </si>
  <si>
    <t>Osterl√§ndisch</t>
  </si>
  <si>
    <t>oste1245</t>
  </si>
  <si>
    <t>Osterzgebirgisch</t>
  </si>
  <si>
    <t>North Low Saxon</t>
  </si>
  <si>
    <t>osth1234</t>
  </si>
  <si>
    <t>Osthessisch</t>
  </si>
  <si>
    <t>ostk1235</t>
  </si>
  <si>
    <t>Ost-Kxoe</t>
  </si>
  <si>
    <t>ostl1234</t>
  </si>
  <si>
    <t>Ost-Limburgisch</t>
  </si>
  <si>
    <t>ostm1234</t>
  </si>
  <si>
    <t>Ostmeissnisch</t>
  </si>
  <si>
    <t>ostn1234</t>
  </si>
  <si>
    <t>√ñstnor</t>
  </si>
  <si>
    <t>ostp1234</t>
  </si>
  <si>
    <t>Ostpf√§lzisch</t>
  </si>
  <si>
    <t>ostr1239</t>
  </si>
  <si>
    <t>Ostrogoth</t>
  </si>
  <si>
    <t>ostu1241</t>
  </si>
  <si>
    <t>Ostuac√≠n</t>
  </si>
  <si>
    <t>ostw1234</t>
  </si>
  <si>
    <t>Ostwestfalisch</t>
  </si>
  <si>
    <t>osum1242</t>
  </si>
  <si>
    <t>Osumi-ben</t>
  </si>
  <si>
    <t>osum1243</t>
  </si>
  <si>
    <t>sout3148</t>
  </si>
  <si>
    <t>Osum-Wadaginam-Pomoikan</t>
  </si>
  <si>
    <t>osuu1238</t>
  </si>
  <si>
    <t>Osu</t>
  </si>
  <si>
    <t>otal1238</t>
  </si>
  <si>
    <t>Otali</t>
  </si>
  <si>
    <t>otan1238</t>
  </si>
  <si>
    <t>Otank</t>
  </si>
  <si>
    <t>uta</t>
  </si>
  <si>
    <t>otap1238</t>
  </si>
  <si>
    <t>Otapha</t>
  </si>
  <si>
    <t>otba1239</t>
  </si>
  <si>
    <t>Ot Banu'u</t>
  </si>
  <si>
    <t>otba1240</t>
  </si>
  <si>
    <t>Ot Balawan</t>
  </si>
  <si>
    <t>Ot Danum</t>
  </si>
  <si>
    <t>otd</t>
  </si>
  <si>
    <t>otii1244</t>
  </si>
  <si>
    <t>Oti</t>
  </si>
  <si>
    <t>oti</t>
  </si>
  <si>
    <t>Oti North Guang</t>
  </si>
  <si>
    <t>Oti-Volta</t>
  </si>
  <si>
    <t>Oti-Volta Oriental</t>
  </si>
  <si>
    <t>otmu1237</t>
  </si>
  <si>
    <t>Ot Murung 1</t>
  </si>
  <si>
    <t>otol1237</t>
  </si>
  <si>
    <t>Ot Olang</t>
  </si>
  <si>
    <t>otom1276</t>
  </si>
  <si>
    <t>Otomaco-Taparita</t>
  </si>
  <si>
    <t>Otomian</t>
  </si>
  <si>
    <t>Otomanguean</t>
  </si>
  <si>
    <t>otom1301</t>
  </si>
  <si>
    <t>Otomaco</t>
  </si>
  <si>
    <t>otoo1241</t>
  </si>
  <si>
    <t>Oto</t>
  </si>
  <si>
    <t>west2783</t>
  </si>
  <si>
    <t>Otopame-Chinantecan</t>
  </si>
  <si>
    <t>Otopamean</t>
  </si>
  <si>
    <t>Otoro</t>
  </si>
  <si>
    <t>otr</t>
  </si>
  <si>
    <t>otsh1238</t>
  </si>
  <si>
    <t>Otsho</t>
  </si>
  <si>
    <t>otta1242</t>
  </si>
  <si>
    <t>Ottawa</t>
  </si>
  <si>
    <t>otw</t>
  </si>
  <si>
    <t>Ottawa-based pidgin</t>
  </si>
  <si>
    <t>ottu1237</t>
  </si>
  <si>
    <t>Ot Tuhup</t>
  </si>
  <si>
    <t>Otuho</t>
  </si>
  <si>
    <t>lot</t>
  </si>
  <si>
    <t>otuk1240</t>
  </si>
  <si>
    <t>Otuke</t>
  </si>
  <si>
    <t>otu</t>
  </si>
  <si>
    <t>otva1238</t>
  </si>
  <si>
    <t>Otvai</t>
  </si>
  <si>
    <t>ouap1235</t>
  </si>
  <si>
    <t>Ouapadoupou</t>
  </si>
  <si>
    <t>ouar1238</t>
  </si>
  <si>
    <t>Ouarkoye</t>
  </si>
  <si>
    <t>ouar1239</t>
  </si>
  <si>
    <t>Ouargli-Oued Righ</t>
  </si>
  <si>
    <t>ouat1238</t>
  </si>
  <si>
    <t>Ouatourou-Niasogoni</t>
  </si>
  <si>
    <t>oued1238</t>
  </si>
  <si>
    <t>taga1278</t>
  </si>
  <si>
    <t>Ouedghir</t>
  </si>
  <si>
    <t>ouen1237</t>
  </si>
  <si>
    <t>Ouen</t>
  </si>
  <si>
    <t>ouhi1238</t>
  </si>
  <si>
    <t>Ouhiguyua</t>
  </si>
  <si>
    <t>oujd1238</t>
  </si>
  <si>
    <t>Oujda</t>
  </si>
  <si>
    <t>ouji1238</t>
  </si>
  <si>
    <t>Wenzhou</t>
  </si>
  <si>
    <t>oule1238</t>
  </si>
  <si>
    <t>Ouled Djemma</t>
  </si>
  <si>
    <t>ouma1237</t>
  </si>
  <si>
    <t>Ouma</t>
  </si>
  <si>
    <t>oum</t>
  </si>
  <si>
    <t>Oumic</t>
  </si>
  <si>
    <t>oung1238</t>
  </si>
  <si>
    <t>!O!ung</t>
  </si>
  <si>
    <t>oun</t>
  </si>
  <si>
    <t>oung1239</t>
  </si>
  <si>
    <t>Ounge</t>
  </si>
  <si>
    <t>oue</t>
  </si>
  <si>
    <t>Outer Indus Kohistani</t>
  </si>
  <si>
    <t>oute1246</t>
  </si>
  <si>
    <t>uppe1403</t>
  </si>
  <si>
    <t>Outer Siraji</t>
  </si>
  <si>
    <t>oute1247</t>
  </si>
  <si>
    <t>Outer-Eastern Tamang</t>
  </si>
  <si>
    <t>sout3078</t>
  </si>
  <si>
    <t>Outer South Ethiopic</t>
  </si>
  <si>
    <t>Outer Enga</t>
  </si>
  <si>
    <t>Outer Nimboranic</t>
  </si>
  <si>
    <t>ouza1238</t>
  </si>
  <si>
    <t>Ouzal</t>
  </si>
  <si>
    <t>Ovansiljan</t>
  </si>
  <si>
    <t>ovce1234</t>
  </si>
  <si>
    <t>Ovce Pole</t>
  </si>
  <si>
    <t>over1238</t>
  </si>
  <si>
    <t>Overhill-Middle Cherokee</t>
  </si>
  <si>
    <t>√ñvre V√§sterdalm√•l</t>
  </si>
  <si>
    <t>owaa1237</t>
  </si>
  <si>
    <t>Owa</t>
  </si>
  <si>
    <t>stn</t>
  </si>
  <si>
    <t>Owari</t>
  </si>
  <si>
    <t>owee1241</t>
  </si>
  <si>
    <t>Owe</t>
  </si>
  <si>
    <t>owee1242</t>
  </si>
  <si>
    <t>Owe (Isoko)</t>
  </si>
  <si>
    <t>owen1244</t>
  </si>
  <si>
    <t>Oweina</t>
  </si>
  <si>
    <t>wsr</t>
  </si>
  <si>
    <t>ower1238</t>
  </si>
  <si>
    <t>Owerri</t>
  </si>
  <si>
    <t>owin1240</t>
  </si>
  <si>
    <t>Owiniga</t>
  </si>
  <si>
    <t>owi</t>
  </si>
  <si>
    <t>oxal1234</t>
  </si>
  <si>
    <t>Oxalac</t>
  </si>
  <si>
    <t>oxyr1237</t>
  </si>
  <si>
    <t>Oxyrhynchite</t>
  </si>
  <si>
    <t>oyan1240</t>
  </si>
  <si>
    <t>Oyana</t>
  </si>
  <si>
    <t>oyao1237</t>
  </si>
  <si>
    <t>Oya'oya</t>
  </si>
  <si>
    <t>oyy</t>
  </si>
  <si>
    <t>oyda1235</t>
  </si>
  <si>
    <t>Oyda</t>
  </si>
  <si>
    <t>oyd</t>
  </si>
  <si>
    <t>oyed1238</t>
  </si>
  <si>
    <t>Oyede</t>
  </si>
  <si>
    <t>oyia1238</t>
  </si>
  <si>
    <t>Oyiakiri</t>
  </si>
  <si>
    <t>oyin1238</t>
  </si>
  <si>
    <t>Oyin</t>
  </si>
  <si>
    <t>oyka1239</t>
  </si>
  <si>
    <t>Oykangand</t>
  </si>
  <si>
    <t>oyok1238</t>
  </si>
  <si>
    <t>Oyokom</t>
  </si>
  <si>
    <t>oyoo1238</t>
  </si>
  <si>
    <t>Oyo</t>
  </si>
  <si>
    <t>oyst1235</t>
  </si>
  <si>
    <t>Oyster Bay-Big River-Little Swanport</t>
  </si>
  <si>
    <t>Oy</t>
  </si>
  <si>
    <t>oyb</t>
  </si>
  <si>
    <t>ozol1235</t>
  </si>
  <si>
    <t>Ozolotepec Zapotec</t>
  </si>
  <si>
    <t>zao</t>
  </si>
  <si>
    <t>ozor1238</t>
  </si>
  <si>
    <t>Ozoro</t>
  </si>
  <si>
    <t>Ozumac√≠n Chinantec</t>
  </si>
  <si>
    <t>chz</t>
  </si>
  <si>
    <t>paaa1242</t>
  </si>
  <si>
    <t>Pa'a</t>
  </si>
  <si>
    <t>pqa</t>
  </si>
  <si>
    <t>paac1238</t>
  </si>
  <si>
    <t>Paachsai</t>
  </si>
  <si>
    <t>paaf1237</t>
  </si>
  <si>
    <t>P√°√°fang</t>
  </si>
  <si>
    <t>pfa</t>
  </si>
  <si>
    <t>Paama</t>
  </si>
  <si>
    <t>pma</t>
  </si>
  <si>
    <t>paan1239</t>
  </si>
  <si>
    <t>Pa'an</t>
  </si>
  <si>
    <t>Paasaal</t>
  </si>
  <si>
    <t>sig</t>
  </si>
  <si>
    <t>pabi1240</t>
  </si>
  <si>
    <t>Pabir</t>
  </si>
  <si>
    <t>paca1243</t>
  </si>
  <si>
    <t>Pacahuaras-Castillo</t>
  </si>
  <si>
    <t>paca1245</t>
  </si>
  <si>
    <t>Pacaraos Quechua</t>
  </si>
  <si>
    <t>qvp</t>
  </si>
  <si>
    <t>paca1246</t>
  </si>
  <si>
    <t>Pacahuara</t>
  </si>
  <si>
    <t>pcp</t>
  </si>
  <si>
    <t>paca1247</t>
  </si>
  <si>
    <t>Pacaguara-Mercier</t>
  </si>
  <si>
    <t>pach1239</t>
  </si>
  <si>
    <t>Pachagan</t>
  </si>
  <si>
    <t>Pacific Coast Athabaskan</t>
  </si>
  <si>
    <t>Pacific Gulf Yupik</t>
  </si>
  <si>
    <t>ems</t>
  </si>
  <si>
    <t>Pacific Creole English</t>
  </si>
  <si>
    <t>paco1243</t>
  </si>
  <si>
    <t>Pacoh</t>
  </si>
  <si>
    <t>pac</t>
  </si>
  <si>
    <t>pada1255</t>
  </si>
  <si>
    <t>Padar</t>
  </si>
  <si>
    <t>pada1256</t>
  </si>
  <si>
    <t>Padari</t>
  </si>
  <si>
    <t>pada1257</t>
  </si>
  <si>
    <t>Padam</t>
  </si>
  <si>
    <t>pada1258</t>
  </si>
  <si>
    <t>Padang (Taliabu)</t>
  </si>
  <si>
    <t>pada1259</t>
  </si>
  <si>
    <t>Pa'da</t>
  </si>
  <si>
    <t>pada1260</t>
  </si>
  <si>
    <t>Pa'da Kona</t>
  </si>
  <si>
    <t>pada1261</t>
  </si>
  <si>
    <t>Padas</t>
  </si>
  <si>
    <t>pada1262</t>
  </si>
  <si>
    <t>Padang</t>
  </si>
  <si>
    <t>pade1238</t>
  </si>
  <si>
    <t>Padee</t>
  </si>
  <si>
    <t>padi1241</t>
  </si>
  <si>
    <t>whit1265</t>
  </si>
  <si>
    <t>Pa Di</t>
  </si>
  <si>
    <t>pdi</t>
  </si>
  <si>
    <t>padi1242</t>
  </si>
  <si>
    <t>sahu1245</t>
  </si>
  <si>
    <t>Pa'disua</t>
  </si>
  <si>
    <t>padm1234</t>
  </si>
  <si>
    <t>Padma</t>
  </si>
  <si>
    <t>pado1241</t>
  </si>
  <si>
    <t>Padoa</t>
  </si>
  <si>
    <t>pado1242</t>
  </si>
  <si>
    <t>Padoe</t>
  </si>
  <si>
    <t>pdo</t>
  </si>
  <si>
    <t>padv1238</t>
  </si>
  <si>
    <t>Padvi</t>
  </si>
  <si>
    <t>paek1234</t>
  </si>
  <si>
    <t>Paekche</t>
  </si>
  <si>
    <t>pkc</t>
  </si>
  <si>
    <t>pael1234</t>
  </si>
  <si>
    <t>Paelignian</t>
  </si>
  <si>
    <t>paez1247</t>
  </si>
  <si>
    <t>P√°ez</t>
  </si>
  <si>
    <t>pbb</t>
  </si>
  <si>
    <t>paga1237</t>
  </si>
  <si>
    <t>Pagai</t>
  </si>
  <si>
    <t>Pagabeteic</t>
  </si>
  <si>
    <t>pagb1237</t>
  </si>
  <si>
    <t>Pagbahan</t>
  </si>
  <si>
    <t>Pagibete</t>
  </si>
  <si>
    <t>pae</t>
  </si>
  <si>
    <t>Pagi</t>
  </si>
  <si>
    <t>pgi</t>
  </si>
  <si>
    <t>Pagi-Kilmeri</t>
  </si>
  <si>
    <t>Pagu</t>
  </si>
  <si>
    <t>pgu</t>
  </si>
  <si>
    <t>pagu1250</t>
  </si>
  <si>
    <t>Paguana</t>
  </si>
  <si>
    <t>Paguic</t>
  </si>
  <si>
    <t>Pahari Potwari</t>
  </si>
  <si>
    <t>phr</t>
  </si>
  <si>
    <t>Pahari</t>
  </si>
  <si>
    <t>paha1253</t>
  </si>
  <si>
    <t>Paharia</t>
  </si>
  <si>
    <t>sout3143</t>
  </si>
  <si>
    <t>Southern Kra</t>
  </si>
  <si>
    <t>pahe1238</t>
  </si>
  <si>
    <t>Pahenbaquebo</t>
  </si>
  <si>
    <t>pahe1239</t>
  </si>
  <si>
    <t>Paheng</t>
  </si>
  <si>
    <t>pahi1245</t>
  </si>
  <si>
    <t>Pahi (Austroasiatic)</t>
  </si>
  <si>
    <t>pahi1246</t>
  </si>
  <si>
    <t>Pahi</t>
  </si>
  <si>
    <t>lgt</t>
  </si>
  <si>
    <t>pahl1240</t>
  </si>
  <si>
    <t>Pahlavani</t>
  </si>
  <si>
    <t>phv</t>
  </si>
  <si>
    <t>pahl1241</t>
  </si>
  <si>
    <t>Pahlavi</t>
  </si>
  <si>
    <t>pal</t>
  </si>
  <si>
    <t>pahn1237</t>
  </si>
  <si>
    <t>Pa-Hng</t>
  </si>
  <si>
    <t>pha</t>
  </si>
  <si>
    <t>Pahoturi</t>
  </si>
  <si>
    <t>pahu1239</t>
  </si>
  <si>
    <t>Pahu</t>
  </si>
  <si>
    <t>pahu1240</t>
  </si>
  <si>
    <t>Pahu'</t>
  </si>
  <si>
    <t>paic1239</t>
  </si>
  <si>
    <t>Paic√Æ</t>
  </si>
  <si>
    <t>pri</t>
  </si>
  <si>
    <t>paic1240</t>
  </si>
  <si>
    <t>Paiconeca</t>
  </si>
  <si>
    <t>paie1238</t>
  </si>
  <si>
    <t>Paiela</t>
  </si>
  <si>
    <t>paii1250</t>
  </si>
  <si>
    <t>Pai (Pedi)</t>
  </si>
  <si>
    <t>paii1251</t>
  </si>
  <si>
    <t>Pa√Ø (Laka)</t>
  </si>
  <si>
    <t>Pai</t>
  </si>
  <si>
    <t>paik1238</t>
  </si>
  <si>
    <t>Paiko</t>
  </si>
  <si>
    <t>pail1243</t>
  </si>
  <si>
    <t>Pailibo</t>
  </si>
  <si>
    <t>pail1244</t>
  </si>
  <si>
    <t>unun9953</t>
  </si>
  <si>
    <t>Pai-lang</t>
  </si>
  <si>
    <t>paip1241</t>
  </si>
  <si>
    <t>Paipai</t>
  </si>
  <si>
    <t>ppi</t>
  </si>
  <si>
    <t>pais1238</t>
  </si>
  <si>
    <t>Paisaci Prakrit</t>
  </si>
  <si>
    <t>qpp</t>
  </si>
  <si>
    <t>Pai-Sinen-Walio</t>
  </si>
  <si>
    <t>Paite Chin</t>
  </si>
  <si>
    <t>pck</t>
  </si>
  <si>
    <t>pait1245</t>
  </si>
  <si>
    <t>Paitana</t>
  </si>
  <si>
    <t>pait1247</t>
  </si>
  <si>
    <t>Pai Tavytera</t>
  </si>
  <si>
    <t>pta</t>
  </si>
  <si>
    <t>Paitanic</t>
  </si>
  <si>
    <t>pait1249</t>
  </si>
  <si>
    <t>Paita-Unya</t>
  </si>
  <si>
    <t>pajo1237</t>
  </si>
  <si>
    <t>Pajokumbuh</t>
  </si>
  <si>
    <t>paka1250</t>
  </si>
  <si>
    <t>Pakatan</t>
  </si>
  <si>
    <t>paka1251</t>
  </si>
  <si>
    <t>Pakanha</t>
  </si>
  <si>
    <t>pkn</t>
  </si>
  <si>
    <t>paka1255</t>
  </si>
  <si>
    <t>Paka</t>
  </si>
  <si>
    <t>pake1237</t>
  </si>
  <si>
    <t>Pa Kembaloh</t>
  </si>
  <si>
    <t>paki1242</t>
  </si>
  <si>
    <t>Pakistan Sign Language</t>
  </si>
  <si>
    <t>pks</t>
  </si>
  <si>
    <t>paki1244</t>
  </si>
  <si>
    <t>Pakistani English</t>
  </si>
  <si>
    <t>paki1245</t>
  </si>
  <si>
    <t>Pakia-Sideronsi</t>
  </si>
  <si>
    <t>pakk1241</t>
  </si>
  <si>
    <t>Pak (Vatrata)</t>
  </si>
  <si>
    <t>pakk1242</t>
  </si>
  <si>
    <t>pakt1239</t>
  </si>
  <si>
    <t>Pak</t>
  </si>
  <si>
    <t>pakk1243</t>
  </si>
  <si>
    <t>Pakkau</t>
  </si>
  <si>
    <t>paks1238</t>
  </si>
  <si>
    <t>Pakse</t>
  </si>
  <si>
    <t>Pak-Tong</t>
  </si>
  <si>
    <t>pkg</t>
  </si>
  <si>
    <t>Paku Karen</t>
  </si>
  <si>
    <t>kpp</t>
  </si>
  <si>
    <t>paku1239</t>
  </si>
  <si>
    <t>Paku</t>
  </si>
  <si>
    <t>pku</t>
  </si>
  <si>
    <t>sout1554</t>
  </si>
  <si>
    <t>Paku-Mobwa</t>
  </si>
  <si>
    <t>pala1355</t>
  </si>
  <si>
    <t>Pfaelzisch-Lothringisch</t>
  </si>
  <si>
    <t>pfl</t>
  </si>
  <si>
    <t>pala1331</t>
  </si>
  <si>
    <t>Palaic</t>
  </si>
  <si>
    <t>plq</t>
  </si>
  <si>
    <t>pala1332</t>
  </si>
  <si>
    <t>Palampuri</t>
  </si>
  <si>
    <t>pala1333</t>
  </si>
  <si>
    <t>Palasi</t>
  </si>
  <si>
    <t>pala1336</t>
  </si>
  <si>
    <t>west2791</t>
  </si>
  <si>
    <t>Palaung</t>
  </si>
  <si>
    <t>pala1337</t>
  </si>
  <si>
    <t>Palau</t>
  </si>
  <si>
    <t>pala1338</t>
  </si>
  <si>
    <t>sgaw1245</t>
  </si>
  <si>
    <t>Palakhi</t>
  </si>
  <si>
    <t>pala1339</t>
  </si>
  <si>
    <t>Palaw</t>
  </si>
  <si>
    <t>pala1340</t>
  </si>
  <si>
    <t>Palanskij</t>
  </si>
  <si>
    <t>pala1342</t>
  </si>
  <si>
    <t>Palaka Senoufo</t>
  </si>
  <si>
    <t>plr</t>
  </si>
  <si>
    <t>pala1343</t>
  </si>
  <si>
    <t>Pala</t>
  </si>
  <si>
    <t>Palauan</t>
  </si>
  <si>
    <t>pala1345</t>
  </si>
  <si>
    <t>Palauan-Calavite</t>
  </si>
  <si>
    <t>pala1346</t>
  </si>
  <si>
    <t>Palaui Island</t>
  </si>
  <si>
    <t>pala1347</t>
  </si>
  <si>
    <t>para1306</t>
  </si>
  <si>
    <t>Palanan Dumagat</t>
  </si>
  <si>
    <t>pala1348</t>
  </si>
  <si>
    <t>Palaui Island Agta</t>
  </si>
  <si>
    <t>Palaihnihan</t>
  </si>
  <si>
    <t>pala1351</t>
  </si>
  <si>
    <t>Palantla Chinantec</t>
  </si>
  <si>
    <t>cpa</t>
  </si>
  <si>
    <t>Palaungic</t>
  </si>
  <si>
    <t>Palawanic</t>
  </si>
  <si>
    <t>rhin1244</t>
  </si>
  <si>
    <t>Palatinate</t>
  </si>
  <si>
    <t>pale1251</t>
  </si>
  <si>
    <t>Palee'n</t>
  </si>
  <si>
    <t>pale1252</t>
  </si>
  <si>
    <t>Paletwa Daai</t>
  </si>
  <si>
    <t>pale1254</t>
  </si>
  <si>
    <t>Palewyami Yokuts</t>
  </si>
  <si>
    <t>pale1260</t>
  </si>
  <si>
    <t>Palenquero</t>
  </si>
  <si>
    <t>pln</t>
  </si>
  <si>
    <t>pale1261</t>
  </si>
  <si>
    <t>west2815</t>
  </si>
  <si>
    <t>Palestinian Jewish Aramaic</t>
  </si>
  <si>
    <t>jpa</t>
  </si>
  <si>
    <t>pale1262</t>
  </si>
  <si>
    <t>Palen</t>
  </si>
  <si>
    <t>pnl</t>
  </si>
  <si>
    <t>pale1264</t>
  </si>
  <si>
    <t>Palembang</t>
  </si>
  <si>
    <t>plm</t>
  </si>
  <si>
    <t>pali1272</t>
  </si>
  <si>
    <t>Paulician</t>
  </si>
  <si>
    <t>Pali</t>
  </si>
  <si>
    <t>pli</t>
  </si>
  <si>
    <t>tami1300</t>
  </si>
  <si>
    <t>Paliyan</t>
  </si>
  <si>
    <t>pcf</t>
  </si>
  <si>
    <t>pali1275</t>
  </si>
  <si>
    <t>Palipo</t>
  </si>
  <si>
    <t>pali1276</t>
  </si>
  <si>
    <t>Palioupiny</t>
  </si>
  <si>
    <t>pali1277</t>
  </si>
  <si>
    <t>Paliet</t>
  </si>
  <si>
    <t>pali1278</t>
  </si>
  <si>
    <t>Palimbei</t>
  </si>
  <si>
    <t>Palik√∫r</t>
  </si>
  <si>
    <t>Palku</t>
  </si>
  <si>
    <t>pall1243</t>
  </si>
  <si>
    <t>Pallanganmiddang</t>
  </si>
  <si>
    <t>pmd</t>
  </si>
  <si>
    <t>pall1244</t>
  </si>
  <si>
    <t>Pal</t>
  </si>
  <si>
    <t>abw</t>
  </si>
  <si>
    <t>pall1245</t>
  </si>
  <si>
    <t>Pallar√®s</t>
  </si>
  <si>
    <t>palm1241</t>
  </si>
  <si>
    <t>Palmela</t>
  </si>
  <si>
    <t>palo1243</t>
  </si>
  <si>
    <t>Palor</t>
  </si>
  <si>
    <t>fap</t>
  </si>
  <si>
    <t>Palor-Ndut</t>
  </si>
  <si>
    <t>palp1242</t>
  </si>
  <si>
    <t>Palpa</t>
  </si>
  <si>
    <t>plp</t>
  </si>
  <si>
    <t>palu1237</t>
  </si>
  <si>
    <t>Palumata</t>
  </si>
  <si>
    <t>pmc</t>
  </si>
  <si>
    <t>palu1250</t>
  </si>
  <si>
    <t>Pal√∫</t>
  </si>
  <si>
    <t>palu1252</t>
  </si>
  <si>
    <t>Palu'e</t>
  </si>
  <si>
    <t>ple</t>
  </si>
  <si>
    <t>Paluan</t>
  </si>
  <si>
    <t>plz</t>
  </si>
  <si>
    <t>palu1254</t>
  </si>
  <si>
    <t>Palu</t>
  </si>
  <si>
    <t>pbz</t>
  </si>
  <si>
    <t>west2860</t>
  </si>
  <si>
    <t>Dangari</t>
  </si>
  <si>
    <t>paly1238</t>
  </si>
  <si>
    <t>unun9884</t>
  </si>
  <si>
    <t>Palya Bareli</t>
  </si>
  <si>
    <t>bpx</t>
  </si>
  <si>
    <t>Pama-Nyungan</t>
  </si>
  <si>
    <t>Paman</t>
  </si>
  <si>
    <t>Paman Kuku</t>
  </si>
  <si>
    <t>pama1255</t>
  </si>
  <si>
    <t>Pama-Nyungan (Unattested)</t>
  </si>
  <si>
    <t>pamb1243</t>
  </si>
  <si>
    <t>Pambia</t>
  </si>
  <si>
    <t>pmb</t>
  </si>
  <si>
    <t>pamb1244</t>
  </si>
  <si>
    <t>Pambuhan</t>
  </si>
  <si>
    <t>pamb1245</t>
  </si>
  <si>
    <t>Pamboang</t>
  </si>
  <si>
    <t>pame1258</t>
  </si>
  <si>
    <t>Pamekesan</t>
  </si>
  <si>
    <t>pame1259</t>
  </si>
  <si>
    <t>Pamela</t>
  </si>
  <si>
    <t>Pamean</t>
  </si>
  <si>
    <t>pami1248</t>
  </si>
  <si>
    <t>tini1245</t>
  </si>
  <si>
    <t>Pamigua</t>
  </si>
  <si>
    <t>pamm1242</t>
  </si>
  <si>
    <t>Pam (Cameroon)</t>
  </si>
  <si>
    <t>pmn</t>
  </si>
  <si>
    <t>pamm1243</t>
  </si>
  <si>
    <t>Pam</t>
  </si>
  <si>
    <t>pamo1251</t>
  </si>
  <si>
    <t>Pamona-Tombelala</t>
  </si>
  <si>
    <t>pamo1252</t>
  </si>
  <si>
    <t>Pamona</t>
  </si>
  <si>
    <t>pmf</t>
  </si>
  <si>
    <t>Pamosu</t>
  </si>
  <si>
    <t>hih</t>
  </si>
  <si>
    <t>pamo1254</t>
  </si>
  <si>
    <t>Pamoa Bara</t>
  </si>
  <si>
    <t>pamo1255</t>
  </si>
  <si>
    <t>Pamona (Retired)</t>
  </si>
  <si>
    <t>bcx</t>
  </si>
  <si>
    <t>pamp1243</t>
  </si>
  <si>
    <t>Pampanga</t>
  </si>
  <si>
    <t>pam</t>
  </si>
  <si>
    <t>pamp1244</t>
  </si>
  <si>
    <t>Pamplona Atta</t>
  </si>
  <si>
    <t>att</t>
  </si>
  <si>
    <t>pamu1239</t>
  </si>
  <si>
    <t>Pamusa</t>
  </si>
  <si>
    <t>pamu1240</t>
  </si>
  <si>
    <t>Pamunkey</t>
  </si>
  <si>
    <t>pana1290</t>
  </si>
  <si>
    <t>Panapu</t>
  </si>
  <si>
    <t>pana1292</t>
  </si>
  <si>
    <t>Panang</t>
  </si>
  <si>
    <t>pcr</t>
  </si>
  <si>
    <t>Pana (Central African Republic)</t>
  </si>
  <si>
    <t>pnz</t>
  </si>
  <si>
    <t>CF CM NG TD</t>
  </si>
  <si>
    <t>pana1294</t>
  </si>
  <si>
    <t>Pana</t>
  </si>
  <si>
    <t>pana1295</t>
  </si>
  <si>
    <t>Pana (Burkina Faso)</t>
  </si>
  <si>
    <t>pnq</t>
  </si>
  <si>
    <t>pana1296</t>
  </si>
  <si>
    <t>Pana South</t>
  </si>
  <si>
    <t>pana1297</t>
  </si>
  <si>
    <t>Pana North</t>
  </si>
  <si>
    <t>pana1298</t>
  </si>
  <si>
    <t>Panawa</t>
  </si>
  <si>
    <t>pwb</t>
  </si>
  <si>
    <t>pana1299</t>
  </si>
  <si>
    <t>Pan Aru</t>
  </si>
  <si>
    <t>pana1300</t>
  </si>
  <si>
    <t>Panatinani</t>
  </si>
  <si>
    <t>pana1301</t>
  </si>
  <si>
    <t>Panawina</t>
  </si>
  <si>
    <t>seko1241</t>
  </si>
  <si>
    <t>Panasuanic</t>
  </si>
  <si>
    <t>pana1303</t>
  </si>
  <si>
    <t>Panasuan</t>
  </si>
  <si>
    <t>psn</t>
  </si>
  <si>
    <t>pana1304</t>
  </si>
  <si>
    <t>Panamahka</t>
  </si>
  <si>
    <t>pana1305</t>
  </si>
  <si>
    <t>Panamint</t>
  </si>
  <si>
    <t>par</t>
  </si>
  <si>
    <t>pana1306</t>
  </si>
  <si>
    <t>Panao Hu√°nuco Quechua</t>
  </si>
  <si>
    <t>qxh</t>
  </si>
  <si>
    <t>pana1307</t>
  </si>
  <si>
    <t>Panar√°</t>
  </si>
  <si>
    <t>kre</t>
  </si>
  <si>
    <t>pana1308</t>
  </si>
  <si>
    <t>Panamanian Sign Language</t>
  </si>
  <si>
    <t>lsp</t>
  </si>
  <si>
    <t>Panama-Baudo-Atrato</t>
  </si>
  <si>
    <t>pana1310</t>
  </si>
  <si>
    <t>Pa Na</t>
  </si>
  <si>
    <t>pana1311</t>
  </si>
  <si>
    <t>span1268</t>
  </si>
  <si>
    <t>Panare Trade Spanish</t>
  </si>
  <si>
    <t>panc1242</t>
  </si>
  <si>
    <t>Panche</t>
  </si>
  <si>
    <t>panc1245</t>
  </si>
  <si>
    <t>Panchali</t>
  </si>
  <si>
    <t>panc1246</t>
  </si>
  <si>
    <t>Panchpargania</t>
  </si>
  <si>
    <t>tdb</t>
  </si>
  <si>
    <t>Pancana</t>
  </si>
  <si>
    <t>pnp</t>
  </si>
  <si>
    <t>pand1261</t>
  </si>
  <si>
    <t>Pandau</t>
  </si>
  <si>
    <t>pand1262</t>
  </si>
  <si>
    <t>Pandong</t>
  </si>
  <si>
    <t>pand1263</t>
  </si>
  <si>
    <t>Panda</t>
  </si>
  <si>
    <t>Pande</t>
  </si>
  <si>
    <t>bkj</t>
  </si>
  <si>
    <t>pand1265</t>
  </si>
  <si>
    <t>Pandikeri</t>
  </si>
  <si>
    <t>pand1266</t>
  </si>
  <si>
    <t>Pandan</t>
  </si>
  <si>
    <t>pand1267</t>
  </si>
  <si>
    <t>Pandewan</t>
  </si>
  <si>
    <t>pang1282</t>
  </si>
  <si>
    <t>Pangwali</t>
  </si>
  <si>
    <t>pgg</t>
  </si>
  <si>
    <t>pang1283</t>
  </si>
  <si>
    <t>Pangjungkho Boli</t>
  </si>
  <si>
    <t>pang1284</t>
  </si>
  <si>
    <t>Pangal</t>
  </si>
  <si>
    <t>pang1285</t>
  </si>
  <si>
    <t>Pangi</t>
  </si>
  <si>
    <t>Pangseng</t>
  </si>
  <si>
    <t>pgs</t>
  </si>
  <si>
    <t>Pangwa</t>
  </si>
  <si>
    <t>pbr</t>
  </si>
  <si>
    <t>pang1288</t>
  </si>
  <si>
    <t>Panga</t>
  </si>
  <si>
    <t>pang1289</t>
  </si>
  <si>
    <t>Pang Pang</t>
  </si>
  <si>
    <t>pang1290</t>
  </si>
  <si>
    <t>Pangasinan</t>
  </si>
  <si>
    <t>pag</t>
  </si>
  <si>
    <t>pang1291</t>
  </si>
  <si>
    <t>Pangutaran Sama</t>
  </si>
  <si>
    <t>slm</t>
  </si>
  <si>
    <t>pang1292</t>
  </si>
  <si>
    <t>Pangkep</t>
  </si>
  <si>
    <t>pang1293</t>
  </si>
  <si>
    <t>Pangsoia-Dolatok</t>
  </si>
  <si>
    <t>pang1294</t>
  </si>
  <si>
    <t>Panggar</t>
  </si>
  <si>
    <t>pani1256</t>
  </si>
  <si>
    <t>ravu1238</t>
  </si>
  <si>
    <t>Paniya</t>
  </si>
  <si>
    <t>pcg</t>
  </si>
  <si>
    <t>pani1257</t>
  </si>
  <si>
    <t>Pani Yerava</t>
  </si>
  <si>
    <t>pani1258</t>
  </si>
  <si>
    <t>Panim</t>
  </si>
  <si>
    <t>pnr</t>
  </si>
  <si>
    <t>Paniai Lakes</t>
  </si>
  <si>
    <t>pani1260</t>
  </si>
  <si>
    <t>Paniquita</t>
  </si>
  <si>
    <t>pani1261</t>
  </si>
  <si>
    <t>west2644</t>
  </si>
  <si>
    <t>Panixtlahuaca Chatino</t>
  </si>
  <si>
    <t>Panim-Isebe-Bau</t>
  </si>
  <si>
    <t>Eastern Panjabi</t>
  </si>
  <si>
    <t>pan</t>
  </si>
  <si>
    <t>panj1257</t>
  </si>
  <si>
    <t>Panjabi Proper</t>
  </si>
  <si>
    <t>panj1258</t>
  </si>
  <si>
    <t>Panjiri Yerava</t>
  </si>
  <si>
    <t>Panjabic</t>
  </si>
  <si>
    <t>pank1235</t>
  </si>
  <si>
    <t>Pankarar√©</t>
  </si>
  <si>
    <t>pax</t>
  </si>
  <si>
    <t>pank1249</t>
  </si>
  <si>
    <t>Pankhu</t>
  </si>
  <si>
    <t>pkh</t>
  </si>
  <si>
    <t>pank1250</t>
  </si>
  <si>
    <t>Pankarar√∫</t>
  </si>
  <si>
    <t>paz</t>
  </si>
  <si>
    <t>Pannei</t>
  </si>
  <si>
    <t>pnc</t>
  </si>
  <si>
    <t>Panoan Katuk√≠na</t>
  </si>
  <si>
    <t>knt</t>
  </si>
  <si>
    <t>pano1255</t>
  </si>
  <si>
    <t>Panobo</t>
  </si>
  <si>
    <t>pno</t>
  </si>
  <si>
    <t>Panoan</t>
  </si>
  <si>
    <t>Pano Nawa</t>
  </si>
  <si>
    <t>Pano-Tacanan</t>
  </si>
  <si>
    <t>Pano-Tacanan (Unattested)</t>
  </si>
  <si>
    <t>pant1252</t>
  </si>
  <si>
    <t>Pantesco</t>
  </si>
  <si>
    <t>pant1253</t>
  </si>
  <si>
    <t>Panthare</t>
  </si>
  <si>
    <t>pant1254</t>
  </si>
  <si>
    <t>Pantikura</t>
  </si>
  <si>
    <t>pant1255</t>
  </si>
  <si>
    <t>Pantera</t>
  </si>
  <si>
    <t>pany1247</t>
  </si>
  <si>
    <t>Panytyima</t>
  </si>
  <si>
    <t>pnw</t>
  </si>
  <si>
    <t>pany1242</t>
  </si>
  <si>
    <t>Panya</t>
  </si>
  <si>
    <t>pany1246</t>
  </si>
  <si>
    <t>Panyam</t>
  </si>
  <si>
    <t>Panytyima-Yinhawangka</t>
  </si>
  <si>
    <t>panz1235</t>
  </si>
  <si>
    <t>Panzaleo</t>
  </si>
  <si>
    <t>Pa'o Karen</t>
  </si>
  <si>
    <t>blk</t>
  </si>
  <si>
    <t>paom1238</t>
  </si>
  <si>
    <t>Paomata</t>
  </si>
  <si>
    <t>paoo1245</t>
  </si>
  <si>
    <t>Pao</t>
  </si>
  <si>
    <t>ppa</t>
  </si>
  <si>
    <t>paoo1246</t>
  </si>
  <si>
    <t>Pa-O Yamphe</t>
  </si>
  <si>
    <t>Papantla Totonac</t>
  </si>
  <si>
    <t>papa1263</t>
  </si>
  <si>
    <t>Papav√¥</t>
  </si>
  <si>
    <t>ppv</t>
  </si>
  <si>
    <t>papa1264</t>
  </si>
  <si>
    <t>Papara</t>
  </si>
  <si>
    <t>papa1265</t>
  </si>
  <si>
    <t>Papapana</t>
  </si>
  <si>
    <t>ppn</t>
  </si>
  <si>
    <t>papa1266</t>
  </si>
  <si>
    <t>Papakene</t>
  </si>
  <si>
    <t>papa1267</t>
  </si>
  <si>
    <t>Papar (West Coast Bajau)</t>
  </si>
  <si>
    <t>papa1268</t>
  </si>
  <si>
    <t>Papar</t>
  </si>
  <si>
    <t>dpp</t>
  </si>
  <si>
    <t>papa1269</t>
  </si>
  <si>
    <t>Papasena</t>
  </si>
  <si>
    <t>pas</t>
  </si>
  <si>
    <t>Papabuco</t>
  </si>
  <si>
    <t>pape1239</t>
  </si>
  <si>
    <t>Papel</t>
  </si>
  <si>
    <t>pbo</t>
  </si>
  <si>
    <t>papi1253</t>
  </si>
  <si>
    <t>Papiamento</t>
  </si>
  <si>
    <t>pap</t>
  </si>
  <si>
    <t>papi1254</t>
  </si>
  <si>
    <t>Papitalai</t>
  </si>
  <si>
    <t>pat</t>
  </si>
  <si>
    <t>papi1255</t>
  </si>
  <si>
    <t>Papi</t>
  </si>
  <si>
    <t>ppe</t>
  </si>
  <si>
    <t>Papora-Hoanya</t>
  </si>
  <si>
    <t>ppu</t>
  </si>
  <si>
    <t>papu1235</t>
  </si>
  <si>
    <t>Papuan Hiri Motu</t>
  </si>
  <si>
    <t>Papuan Malay</t>
  </si>
  <si>
    <t>papu1251</t>
  </si>
  <si>
    <t>Papuma</t>
  </si>
  <si>
    <t>ppm</t>
  </si>
  <si>
    <t>Papuan Tip linkage</t>
  </si>
  <si>
    <t>papu1254</t>
  </si>
  <si>
    <t>Papuan Pidgin English</t>
  </si>
  <si>
    <t>papu1255</t>
  </si>
  <si>
    <t>Papua New Guinean Sign Language</t>
  </si>
  <si>
    <t>pgz</t>
  </si>
  <si>
    <t>para1288</t>
  </si>
  <si>
    <t>Parabhi</t>
  </si>
  <si>
    <t>Parachi</t>
  </si>
  <si>
    <t>prc</t>
  </si>
  <si>
    <t>para1300</t>
  </si>
  <si>
    <t>Parazhghan</t>
  </si>
  <si>
    <t>para1301</t>
  </si>
  <si>
    <t>South Wa</t>
  </si>
  <si>
    <t>prk</t>
  </si>
  <si>
    <t>para1302</t>
  </si>
  <si>
    <t>Para Naga</t>
  </si>
  <si>
    <t>pzn</t>
  </si>
  <si>
    <t>para1303</t>
  </si>
  <si>
    <t>Parali</t>
  </si>
  <si>
    <t>para1304</t>
  </si>
  <si>
    <t>Parakuyo</t>
  </si>
  <si>
    <t>para1305</t>
  </si>
  <si>
    <t>Parata</t>
  </si>
  <si>
    <t>Paranan</t>
  </si>
  <si>
    <t>prf</t>
  </si>
  <si>
    <t>para1307</t>
  </si>
  <si>
    <t>yara1252</t>
  </si>
  <si>
    <t>Parawen</t>
  </si>
  <si>
    <t>prw</t>
  </si>
  <si>
    <t>para1308</t>
  </si>
  <si>
    <t>Paravilhana-Pauxiana</t>
  </si>
  <si>
    <t>para1309</t>
  </si>
  <si>
    <t>Paravilhana</t>
  </si>
  <si>
    <t>para1310</t>
  </si>
  <si>
    <t>Par√° Ar√°ra</t>
  </si>
  <si>
    <t>aap</t>
  </si>
  <si>
    <t>Paraguayan Guaran√≠</t>
  </si>
  <si>
    <t>gug</t>
  </si>
  <si>
    <t>AR PY</t>
  </si>
  <si>
    <t>para1312</t>
  </si>
  <si>
    <t>tupi1284</t>
  </si>
  <si>
    <t>Parakan√£</t>
  </si>
  <si>
    <t>pak</t>
  </si>
  <si>
    <t>para1313</t>
  </si>
  <si>
    <t>Paranaw√°t</t>
  </si>
  <si>
    <t>paf</t>
  </si>
  <si>
    <t>para1314</t>
  </si>
  <si>
    <t>Paran√° Kaingang</t>
  </si>
  <si>
    <t>Par√° Gavi√£o</t>
  </si>
  <si>
    <t>gvp</t>
  </si>
  <si>
    <t>Paraujano</t>
  </si>
  <si>
    <t>pbg</t>
  </si>
  <si>
    <t>para1317</t>
  </si>
  <si>
    <t>Paramaccan</t>
  </si>
  <si>
    <t>para1318</t>
  </si>
  <si>
    <t>para1321</t>
  </si>
  <si>
    <t>Paraguayan Sign Language</t>
  </si>
  <si>
    <t>pys</t>
  </si>
  <si>
    <t>Paraguay-Brazil Guarani</t>
  </si>
  <si>
    <t>Paranan-Pahanan</t>
  </si>
  <si>
    <t>agp</t>
  </si>
  <si>
    <t>Paraguay-Uruguay Sign</t>
  </si>
  <si>
    <t>para1322</t>
  </si>
  <si>
    <t>xuku1239</t>
  </si>
  <si>
    <t>Paratio</t>
  </si>
  <si>
    <t>Parbate Kham</t>
  </si>
  <si>
    <t>Pardhi</t>
  </si>
  <si>
    <t>pcl</t>
  </si>
  <si>
    <t>pard1244</t>
  </si>
  <si>
    <t>Pardesi</t>
  </si>
  <si>
    <t>pard1245</t>
  </si>
  <si>
    <t>Pardhan</t>
  </si>
  <si>
    <t>pch</t>
  </si>
  <si>
    <t>pare1266</t>
  </si>
  <si>
    <t>Gorum-Parenga</t>
  </si>
  <si>
    <t>pcj</t>
  </si>
  <si>
    <t>pare1267</t>
  </si>
  <si>
    <t>Paren</t>
  </si>
  <si>
    <t>pare1268</t>
  </si>
  <si>
    <t>Paren (Koryak)</t>
  </si>
  <si>
    <t>pare1269</t>
  </si>
  <si>
    <t>Paret</t>
  </si>
  <si>
    <t>pare1270</t>
  </si>
  <si>
    <t>Parec</t>
  </si>
  <si>
    <t>pare1271</t>
  </si>
  <si>
    <t>Pare</t>
  </si>
  <si>
    <t>ppt</t>
  </si>
  <si>
    <t>pare1272</t>
  </si>
  <si>
    <t>Parec√≠s</t>
  </si>
  <si>
    <t>pab</t>
  </si>
  <si>
    <t>Paresi-Saraveka-Saluma</t>
  </si>
  <si>
    <t>Pare-Taveta</t>
  </si>
  <si>
    <t>Pareni</t>
  </si>
  <si>
    <t>pari1255</t>
  </si>
  <si>
    <t>yeru1240</t>
  </si>
  <si>
    <t>Parikala</t>
  </si>
  <si>
    <t>P√§ri</t>
  </si>
  <si>
    <t>pari1257</t>
  </si>
  <si>
    <t>Paripao</t>
  </si>
  <si>
    <t>pari1258</t>
  </si>
  <si>
    <t>Parintint√≠n</t>
  </si>
  <si>
    <t>Parji-Ollari-Gadaba</t>
  </si>
  <si>
    <t>park1237</t>
  </si>
  <si>
    <t>Parkari Koli</t>
  </si>
  <si>
    <t>kvx</t>
  </si>
  <si>
    <t>park1239</t>
  </si>
  <si>
    <t>Parkwa</t>
  </si>
  <si>
    <t>pbi</t>
  </si>
  <si>
    <t>pars1250</t>
  </si>
  <si>
    <t>Parsiwan</t>
  </si>
  <si>
    <t>pars1251</t>
  </si>
  <si>
    <t>Parsi</t>
  </si>
  <si>
    <t>prp</t>
  </si>
  <si>
    <t>CN GB IN PK US</t>
  </si>
  <si>
    <t>pars1252</t>
  </si>
  <si>
    <t>Parsi-Dari</t>
  </si>
  <si>
    <t>prd</t>
  </si>
  <si>
    <t>part1239</t>
  </si>
  <si>
    <t>Parthian</t>
  </si>
  <si>
    <t>xpr</t>
  </si>
  <si>
    <t>Parukotoan</t>
  </si>
  <si>
    <t>parv1238</t>
  </si>
  <si>
    <t>Parvati</t>
  </si>
  <si>
    <t>pary1242</t>
  </si>
  <si>
    <t>Parya</t>
  </si>
  <si>
    <t>paq</t>
  </si>
  <si>
    <t>AF TJ UZ</t>
  </si>
  <si>
    <t>pary1243</t>
  </si>
  <si>
    <t>Parya Bhilali</t>
  </si>
  <si>
    <t>pasa1241</t>
  </si>
  <si>
    <t>Pasaali</t>
  </si>
  <si>
    <t>pasa1242</t>
  </si>
  <si>
    <t>Pasangkayu</t>
  </si>
  <si>
    <t>pase1241</t>
  </si>
  <si>
    <t>Pase</t>
  </si>
  <si>
    <t>Pashto</t>
  </si>
  <si>
    <t>Pashayi</t>
  </si>
  <si>
    <t>pash1271</t>
  </si>
  <si>
    <t>Pashagar</t>
  </si>
  <si>
    <t>pasi1253</t>
  </si>
  <si>
    <t>Pasi (India)</t>
  </si>
  <si>
    <t>Pasismanua</t>
  </si>
  <si>
    <t>pasi1255</t>
  </si>
  <si>
    <t>Pasisir</t>
  </si>
  <si>
    <t>pasi1256</t>
  </si>
  <si>
    <t>Pasia (Indonesia)</t>
  </si>
  <si>
    <t>pasi1257</t>
  </si>
  <si>
    <t>Pasir</t>
  </si>
  <si>
    <t>pasi1258</t>
  </si>
  <si>
    <t>Pesisir Lor</t>
  </si>
  <si>
    <t>pasi1259</t>
  </si>
  <si>
    <t>Pasi</t>
  </si>
  <si>
    <t>psq</t>
  </si>
  <si>
    <t>paso1238</t>
  </si>
  <si>
    <t>Pasoom</t>
  </si>
  <si>
    <t>pasp1238</t>
  </si>
  <si>
    <t>Rumelian Romani</t>
  </si>
  <si>
    <t>Pass Valley Yali</t>
  </si>
  <si>
    <t>yac</t>
  </si>
  <si>
    <t>pass1248</t>
  </si>
  <si>
    <t>Pass Valley</t>
  </si>
  <si>
    <t>pass1249</t>
  </si>
  <si>
    <t>Passamaquoddy</t>
  </si>
  <si>
    <t>pass1250</t>
  </si>
  <si>
    <t>Passe</t>
  </si>
  <si>
    <t>past1243</t>
  </si>
  <si>
    <t>Pasto</t>
  </si>
  <si>
    <t>Pastoral Surmic</t>
  </si>
  <si>
    <t>pata1255</t>
  </si>
  <si>
    <t>Patagon</t>
  </si>
  <si>
    <t>pata1258</t>
  </si>
  <si>
    <t>Patagonian Welsh</t>
  </si>
  <si>
    <t>pata1259</t>
  </si>
  <si>
    <t>Patara</t>
  </si>
  <si>
    <t>pata1260</t>
  </si>
  <si>
    <t>Patani</t>
  </si>
  <si>
    <t>ptn</t>
  </si>
  <si>
    <t>pata1261</t>
  </si>
  <si>
    <t>Patax√≥ H√£-Ha-H√£e</t>
  </si>
  <si>
    <t>pth</t>
  </si>
  <si>
    <t>pata1262</t>
  </si>
  <si>
    <t>Patamona</t>
  </si>
  <si>
    <t>pbc</t>
  </si>
  <si>
    <t>Patakai-Manusela</t>
  </si>
  <si>
    <t>pate1245</t>
  </si>
  <si>
    <t>Patelia</t>
  </si>
  <si>
    <t>pate1246</t>
  </si>
  <si>
    <t>Pate</t>
  </si>
  <si>
    <t>Patep</t>
  </si>
  <si>
    <t>ptp</t>
  </si>
  <si>
    <t>path1235</t>
  </si>
  <si>
    <t>Pathiya</t>
  </si>
  <si>
    <t>pty</t>
  </si>
  <si>
    <t>pati1239</t>
  </si>
  <si>
    <t>Patipi</t>
  </si>
  <si>
    <t>patl1234</t>
  </si>
  <si>
    <t>Patla-Chicontla Totonac</t>
  </si>
  <si>
    <t>tot</t>
  </si>
  <si>
    <t>pato1242</t>
  </si>
  <si>
    <t>Patool</t>
  </si>
  <si>
    <t>Patois</t>
  </si>
  <si>
    <t>Patpatar</t>
  </si>
  <si>
    <t>gfk</t>
  </si>
  <si>
    <t>Patpatar-Minigir-Tolai</t>
  </si>
  <si>
    <t>patt1247</t>
  </si>
  <si>
    <t>Pattapu Bhasha</t>
  </si>
  <si>
    <t>Pattani</t>
  </si>
  <si>
    <t>lae</t>
  </si>
  <si>
    <t>patt1249</t>
  </si>
  <si>
    <t>Kelantan-Pattani Malay</t>
  </si>
  <si>
    <t>mfa</t>
  </si>
  <si>
    <t>patt1250</t>
  </si>
  <si>
    <t>Pattae'</t>
  </si>
  <si>
    <t>patt1251</t>
  </si>
  <si>
    <t>Pattinjo</t>
  </si>
  <si>
    <t>patv1238</t>
  </si>
  <si>
    <t>Patvi</t>
  </si>
  <si>
    <t>patw1249</t>
  </si>
  <si>
    <t>Patwa</t>
  </si>
  <si>
    <t>patw1250</t>
  </si>
  <si>
    <t>Patwin</t>
  </si>
  <si>
    <t>pwi</t>
  </si>
  <si>
    <t>paui1240</t>
  </si>
  <si>
    <t>Western Jamamadi</t>
  </si>
  <si>
    <t>paul1238</t>
  </si>
  <si>
    <t>sole1243</t>
  </si>
  <si>
    <t>Paulohi</t>
  </si>
  <si>
    <t>plh</t>
  </si>
  <si>
    <t>Paumari</t>
  </si>
  <si>
    <t>pad</t>
  </si>
  <si>
    <t>paum1248</t>
  </si>
  <si>
    <t>Ituxi Paumari</t>
  </si>
  <si>
    <t>paun1240</t>
  </si>
  <si>
    <t>Paunangis</t>
  </si>
  <si>
    <t>paun1241</t>
  </si>
  <si>
    <t>Paunaca</t>
  </si>
  <si>
    <t>pnk</t>
  </si>
  <si>
    <t>paur1238</t>
  </si>
  <si>
    <t>Pauri Bareli</t>
  </si>
  <si>
    <t>bfb</t>
  </si>
  <si>
    <t>Pauri-Nahali</t>
  </si>
  <si>
    <t>paus1244</t>
  </si>
  <si>
    <t>wara1305</t>
  </si>
  <si>
    <t>War√°zu</t>
  </si>
  <si>
    <t>psm</t>
  </si>
  <si>
    <t>pauw1243</t>
  </si>
  <si>
    <t>yoke1239</t>
  </si>
  <si>
    <t>Pauwi</t>
  </si>
  <si>
    <t>Pauwasi</t>
  </si>
  <si>
    <t>paux1235</t>
  </si>
  <si>
    <t>Pauxi</t>
  </si>
  <si>
    <t>paux1236</t>
  </si>
  <si>
    <t>Pauxiana</t>
  </si>
  <si>
    <t>pawa1253</t>
  </si>
  <si>
    <t>Pawari</t>
  </si>
  <si>
    <t>pawa1254</t>
  </si>
  <si>
    <t>Pawany</t>
  </si>
  <si>
    <t>Pawaia</t>
  </si>
  <si>
    <t>pwa</t>
  </si>
  <si>
    <t>pawi1238</t>
  </si>
  <si>
    <t>Pawiyana</t>
  </si>
  <si>
    <t>Pawnee-Kitsai</t>
  </si>
  <si>
    <t>Pawnee-Arikara</t>
  </si>
  <si>
    <t>paya1236</t>
  </si>
  <si>
    <t>Payagua</t>
  </si>
  <si>
    <t>paya1237</t>
  </si>
  <si>
    <t>Payaya</t>
  </si>
  <si>
    <t>payi1239</t>
  </si>
  <si>
    <t>Payi</t>
  </si>
  <si>
    <t>payn1244</t>
  </si>
  <si>
    <t>Manat</t>
  </si>
  <si>
    <t>pmr</t>
  </si>
  <si>
    <t>pear1246</t>
  </si>
  <si>
    <t>Pearic</t>
  </si>
  <si>
    <t>pear1247</t>
  </si>
  <si>
    <t>Pear</t>
  </si>
  <si>
    <t>pcb</t>
  </si>
  <si>
    <t>peaw1239</t>
  </si>
  <si>
    <t>Peawa</t>
  </si>
  <si>
    <t>peba1241</t>
  </si>
  <si>
    <t>Peba-Yagua</t>
  </si>
  <si>
    <t>peba1242</t>
  </si>
  <si>
    <t>Peba-Yameo</t>
  </si>
  <si>
    <t>peba1243</t>
  </si>
  <si>
    <t>Peba</t>
  </si>
  <si>
    <t>pech1241</t>
  </si>
  <si>
    <t>Pech</t>
  </si>
  <si>
    <t>pay</t>
  </si>
  <si>
    <t>pech1242</t>
  </si>
  <si>
    <t>unun9944</t>
  </si>
  <si>
    <t>Pecheneg</t>
  </si>
  <si>
    <t>xpc</t>
  </si>
  <si>
    <t>sepe1241</t>
  </si>
  <si>
    <t>nso</t>
  </si>
  <si>
    <t>BW ZA</t>
  </si>
  <si>
    <t>peee1238</t>
  </si>
  <si>
    <t>taro1266</t>
  </si>
  <si>
    <t>Pe</t>
  </si>
  <si>
    <t>pai</t>
  </si>
  <si>
    <t>peee1242</t>
  </si>
  <si>
    <t>Pe (Chadic)</t>
  </si>
  <si>
    <t>peem1238</t>
  </si>
  <si>
    <t>Peemba</t>
  </si>
  <si>
    <t>Peere</t>
  </si>
  <si>
    <t>pfe</t>
  </si>
  <si>
    <t>peer1242</t>
  </si>
  <si>
    <t>Peer Muure</t>
  </si>
  <si>
    <t>pegu1239</t>
  </si>
  <si>
    <t>Pegu</t>
  </si>
  <si>
    <t>peho1238</t>
  </si>
  <si>
    <t>Pe-Holom-Gam√©</t>
  </si>
  <si>
    <t>pehu1241</t>
  </si>
  <si>
    <t>Pehuenche</t>
  </si>
  <si>
    <t>peii1238</t>
  </si>
  <si>
    <t>Pei</t>
  </si>
  <si>
    <t>ppq</t>
  </si>
  <si>
    <t>peka1242</t>
  </si>
  <si>
    <t>Pekal</t>
  </si>
  <si>
    <t>pel</t>
  </si>
  <si>
    <t>peka1243</t>
  </si>
  <si>
    <t>Peka</t>
  </si>
  <si>
    <t>peka1244</t>
  </si>
  <si>
    <t>Pekalongan</t>
  </si>
  <si>
    <t>Pekodian</t>
  </si>
  <si>
    <t>pela1242</t>
  </si>
  <si>
    <t>Pela</t>
  </si>
  <si>
    <t>bxd</t>
  </si>
  <si>
    <t>pela1243</t>
  </si>
  <si>
    <t>Pelau</t>
  </si>
  <si>
    <t>pela1244</t>
  </si>
  <si>
    <t>Pelauw</t>
  </si>
  <si>
    <t>pela1248</t>
  </si>
  <si>
    <t>Pela (Nigeria)</t>
  </si>
  <si>
    <t>pele1244</t>
  </si>
  <si>
    <t>Pelende</t>
  </si>
  <si>
    <t>ppp</t>
  </si>
  <si>
    <t>Pele-Ata</t>
  </si>
  <si>
    <t>ata</t>
  </si>
  <si>
    <t>pele1246</t>
  </si>
  <si>
    <t>Pele (New Britain)</t>
  </si>
  <si>
    <t>pelm1238</t>
  </si>
  <si>
    <t>Pelmung</t>
  </si>
  <si>
    <t>pelo1238</t>
  </si>
  <si>
    <t>Peloponnese</t>
  </si>
  <si>
    <t>pema1234</t>
  </si>
  <si>
    <t>Pemalang</t>
  </si>
  <si>
    <t>pemb1239</t>
  </si>
  <si>
    <t>Pemba</t>
  </si>
  <si>
    <t>pemo1245</t>
  </si>
  <si>
    <t>P√©mono</t>
  </si>
  <si>
    <t>pev</t>
  </si>
  <si>
    <t>Pemong-Panare</t>
  </si>
  <si>
    <t>Pemongan</t>
  </si>
  <si>
    <t>Pemon</t>
  </si>
  <si>
    <t>aoc</t>
  </si>
  <si>
    <t>pena1248</t>
  </si>
  <si>
    <t>Penang Sign Language</t>
  </si>
  <si>
    <t>psg</t>
  </si>
  <si>
    <t>pena1261</t>
  </si>
  <si>
    <t>Penasifu</t>
  </si>
  <si>
    <t>pena1262</t>
  </si>
  <si>
    <t>Penapo</t>
  </si>
  <si>
    <t>pena1263</t>
  </si>
  <si>
    <t>Pe√±ablanca</t>
  </si>
  <si>
    <t>pena1264</t>
  </si>
  <si>
    <t>Penan Gang</t>
  </si>
  <si>
    <t>pena1265</t>
  </si>
  <si>
    <t>Penan Lusong</t>
  </si>
  <si>
    <t>pena1266</t>
  </si>
  <si>
    <t>Penan Apo</t>
  </si>
  <si>
    <t>pena1267</t>
  </si>
  <si>
    <t>Penan Lanying</t>
  </si>
  <si>
    <t>pena1268</t>
  </si>
  <si>
    <t>Penan Silat</t>
  </si>
  <si>
    <t>pena1269</t>
  </si>
  <si>
    <t>Penan Apoh</t>
  </si>
  <si>
    <t>pena1270</t>
  </si>
  <si>
    <t>Penange</t>
  </si>
  <si>
    <t>Penan</t>
  </si>
  <si>
    <t>penc1239</t>
  </si>
  <si>
    <t>Penchal</t>
  </si>
  <si>
    <t>pek</t>
  </si>
  <si>
    <t>penc1240</t>
  </si>
  <si>
    <t>Penchangan</t>
  </si>
  <si>
    <t>pend1242</t>
  </si>
  <si>
    <t>Pendau</t>
  </si>
  <si>
    <t>ums</t>
  </si>
  <si>
    <t>pend1243</t>
  </si>
  <si>
    <t>Pend D'oreille</t>
  </si>
  <si>
    <t>pene1237</t>
  </si>
  <si>
    <t>Penesak</t>
  </si>
  <si>
    <t>pen</t>
  </si>
  <si>
    <t>Pengo</t>
  </si>
  <si>
    <t>peg</t>
  </si>
  <si>
    <t>peng1245</t>
  </si>
  <si>
    <t>Penghulu</t>
  </si>
  <si>
    <t>peni1239</t>
  </si>
  <si>
    <t>Peninsula Sherbro</t>
  </si>
  <si>
    <t>Peninsular Eastern Saami</t>
  </si>
  <si>
    <t>Pennsylvania German</t>
  </si>
  <si>
    <t>pdc</t>
  </si>
  <si>
    <t>penn1241</t>
  </si>
  <si>
    <t>Pen</t>
  </si>
  <si>
    <t>peno1243</t>
  </si>
  <si>
    <t>Penobscot</t>
  </si>
  <si>
    <t>peno1244</t>
  </si>
  <si>
    <t>Pe√±oles Mixtec</t>
  </si>
  <si>
    <t>mil</t>
  </si>
  <si>
    <t>penr1237</t>
  </si>
  <si>
    <t>MƒÅngarongaro</t>
  </si>
  <si>
    <t>pnh</t>
  </si>
  <si>
    <t>CK</t>
  </si>
  <si>
    <t>pens1238</t>
  </si>
  <si>
    <t>Pensiangan Murut</t>
  </si>
  <si>
    <t>pent1242</t>
  </si>
  <si>
    <t>Pentlatch</t>
  </si>
  <si>
    <t>ptw</t>
  </si>
  <si>
    <t>peom1238</t>
  </si>
  <si>
    <t>weno1238</t>
  </si>
  <si>
    <t>P√©om√©</t>
  </si>
  <si>
    <t>peor1238</t>
  </si>
  <si>
    <t>Peoria</t>
  </si>
  <si>
    <t>pepe1238</t>
  </si>
  <si>
    <t>Pepesa</t>
  </si>
  <si>
    <t>pequ1242</t>
  </si>
  <si>
    <t>Pequot-Mohegan</t>
  </si>
  <si>
    <t>xpq</t>
  </si>
  <si>
    <t>pera1253</t>
  </si>
  <si>
    <t>Per√§pohja</t>
  </si>
  <si>
    <t>pera1254</t>
  </si>
  <si>
    <t>Perak II</t>
  </si>
  <si>
    <t>pera1255</t>
  </si>
  <si>
    <t>Perak I</t>
  </si>
  <si>
    <t>pera1256</t>
  </si>
  <si>
    <t>Peranakan Indonesian</t>
  </si>
  <si>
    <t>pea</t>
  </si>
  <si>
    <t>Perai</t>
  </si>
  <si>
    <t>wet</t>
  </si>
  <si>
    <t>pera1258</t>
  </si>
  <si>
    <t>Perai-Tugun-Aputai</t>
  </si>
  <si>
    <t>Perai-Aputai</t>
  </si>
  <si>
    <t>samb1324</t>
  </si>
  <si>
    <t>Perema-Mumbake</t>
  </si>
  <si>
    <t>pere1235</t>
  </si>
  <si>
    <t>Perene</t>
  </si>
  <si>
    <t>perg1234</t>
  </si>
  <si>
    <t>Perge Tegu</t>
  </si>
  <si>
    <t>peri1250</t>
  </si>
  <si>
    <t>Peric√∫</t>
  </si>
  <si>
    <t>Peripheral Mongolian</t>
  </si>
  <si>
    <t>mvf</t>
  </si>
  <si>
    <t>CN MN</t>
  </si>
  <si>
    <t>Peripheral Karen</t>
  </si>
  <si>
    <t>peri1256</t>
  </si>
  <si>
    <t>tuni1251</t>
  </si>
  <si>
    <t>Perim</t>
  </si>
  <si>
    <t>peri1257</t>
  </si>
  <si>
    <t>Peri</t>
  </si>
  <si>
    <t>Peripheral Papuan Tip linkage</t>
  </si>
  <si>
    <t>Peripheral Kuki-Chin</t>
  </si>
  <si>
    <t>Peripheral Central Bisayan</t>
  </si>
  <si>
    <t>Peripheral Western Malakula</t>
  </si>
  <si>
    <t>peri1263</t>
  </si>
  <si>
    <t>Peripheral South Udmurt</t>
  </si>
  <si>
    <t>peri1264</t>
  </si>
  <si>
    <t>Periquitos-Santa Rosa Tariana</t>
  </si>
  <si>
    <t>peri1265</t>
  </si>
  <si>
    <t>Periquitos Tariana</t>
  </si>
  <si>
    <t>Permian</t>
  </si>
  <si>
    <t>pero1241</t>
  </si>
  <si>
    <t>Pero</t>
  </si>
  <si>
    <t>pip</t>
  </si>
  <si>
    <t>pers1244</t>
  </si>
  <si>
    <t>Zaban Eshareh Irani</t>
  </si>
  <si>
    <t>psc</t>
  </si>
  <si>
    <t>Persian-Indic</t>
  </si>
  <si>
    <t>peru1235</t>
  </si>
  <si>
    <t>Peruvian Sign Language</t>
  </si>
  <si>
    <t>prl</t>
  </si>
  <si>
    <t>Peruvian-Inmaculada Sign</t>
  </si>
  <si>
    <t>pesh1239</t>
  </si>
  <si>
    <t>Peshawar Hindko</t>
  </si>
  <si>
    <t>peta1244</t>
  </si>
  <si>
    <t>Peta</t>
  </si>
  <si>
    <t>Petats</t>
  </si>
  <si>
    <t>pex</t>
  </si>
  <si>
    <t>peta1246</t>
  </si>
  <si>
    <t>Petasia</t>
  </si>
  <si>
    <t>peta1247</t>
  </si>
  <si>
    <t>Petapa Zapotec</t>
  </si>
  <si>
    <t>zpe</t>
  </si>
  <si>
    <t>petc1238</t>
  </si>
  <si>
    <t>Petchabun Miao</t>
  </si>
  <si>
    <t>pete1237</t>
  </si>
  <si>
    <t>Peterara</t>
  </si>
  <si>
    <t>petj1238</t>
  </si>
  <si>
    <t>Petjo</t>
  </si>
  <si>
    <t>pey</t>
  </si>
  <si>
    <t>petl1238</t>
  </si>
  <si>
    <t>Petlacalancingo Mixtec</t>
  </si>
  <si>
    <t>pets1237</t>
  </si>
  <si>
    <t>Petspets</t>
  </si>
  <si>
    <t>Petun-Wyandot</t>
  </si>
  <si>
    <t>petu1235</t>
  </si>
  <si>
    <t>Petun</t>
  </si>
  <si>
    <t>Fula-Sereer</t>
  </si>
  <si>
    <t>peve1239</t>
  </si>
  <si>
    <t>Pevekskij</t>
  </si>
  <si>
    <t>Peve</t>
  </si>
  <si>
    <t>lme</t>
  </si>
  <si>
    <t>pewa1238</t>
  </si>
  <si>
    <t>Pewa</t>
  </si>
  <si>
    <t>PF-Jola</t>
  </si>
  <si>
    <t>pfun1238</t>
  </si>
  <si>
    <t>Pfunde</t>
  </si>
  <si>
    <t>phad1238</t>
  </si>
  <si>
    <t>Phadang</t>
  </si>
  <si>
    <t>phai1238</t>
  </si>
  <si>
    <t>Prai</t>
  </si>
  <si>
    <t>prt</t>
  </si>
  <si>
    <t>phak1238</t>
  </si>
  <si>
    <t>Phake</t>
  </si>
  <si>
    <t>phk</t>
  </si>
  <si>
    <t>Phalura</t>
  </si>
  <si>
    <t>phl</t>
  </si>
  <si>
    <t>phal1255</t>
  </si>
  <si>
    <t>Phalo</t>
  </si>
  <si>
    <t>phal1256</t>
  </si>
  <si>
    <t>upri1239</t>
  </si>
  <si>
    <t>Phala</t>
  </si>
  <si>
    <t>ypa</t>
  </si>
  <si>
    <t>phal1257</t>
  </si>
  <si>
    <t>Phali</t>
  </si>
  <si>
    <t>phal1258</t>
  </si>
  <si>
    <t>Phalaborwa</t>
  </si>
  <si>
    <t>phal1259</t>
  </si>
  <si>
    <t>Phaleng</t>
  </si>
  <si>
    <t>phan1252</t>
  </si>
  <si>
    <t>Phang</t>
  </si>
  <si>
    <t>phan1254</t>
  </si>
  <si>
    <t>Phana'</t>
  </si>
  <si>
    <t>phq</t>
  </si>
  <si>
    <t>phan1255</t>
  </si>
  <si>
    <t>Phani</t>
  </si>
  <si>
    <t>phan1256</t>
  </si>
  <si>
    <t>Phangduwali</t>
  </si>
  <si>
    <t>phw</t>
  </si>
  <si>
    <t>phar1238</t>
  </si>
  <si>
    <t>Pharasa</t>
  </si>
  <si>
    <t>phay1241</t>
  </si>
  <si>
    <t>Phayeng</t>
  </si>
  <si>
    <t>phay1242</t>
  </si>
  <si>
    <t>Phay-Pram</t>
  </si>
  <si>
    <t>phed1238</t>
  </si>
  <si>
    <t>Phedappe</t>
  </si>
  <si>
    <t>Pheende-Kwezo</t>
  </si>
  <si>
    <t>phel1241</t>
  </si>
  <si>
    <t>Phelongre</t>
  </si>
  <si>
    <t>phel1242</t>
  </si>
  <si>
    <t>Phela</t>
  </si>
  <si>
    <t>Phende</t>
  </si>
  <si>
    <t>pher1238</t>
  </si>
  <si>
    <t>Pherrongre</t>
  </si>
  <si>
    <t>phil1239</t>
  </si>
  <si>
    <t>Philippine Sign Language</t>
  </si>
  <si>
    <t>psp</t>
  </si>
  <si>
    <t>phil1244</t>
  </si>
  <si>
    <t>Philim</t>
  </si>
  <si>
    <t>phim1238</t>
  </si>
  <si>
    <t>Phimbi</t>
  </si>
  <si>
    <t>phm</t>
  </si>
  <si>
    <t>Phobjib-Chali-Bumthangic</t>
  </si>
  <si>
    <t>phob1239</t>
  </si>
  <si>
    <t>Phobjikha</t>
  </si>
  <si>
    <t>phoe1238</t>
  </si>
  <si>
    <t>Phoenician-Punic</t>
  </si>
  <si>
    <t>phoe1239</t>
  </si>
  <si>
    <t>Phoenician</t>
  </si>
  <si>
    <t>phn</t>
  </si>
  <si>
    <t>phol1235</t>
  </si>
  <si>
    <t>Pholo</t>
  </si>
  <si>
    <t>yip</t>
  </si>
  <si>
    <t>Pholic</t>
  </si>
  <si>
    <t>phol1237</t>
  </si>
  <si>
    <t>Phola</t>
  </si>
  <si>
    <t>ypg</t>
  </si>
  <si>
    <t>phom1236</t>
  </si>
  <si>
    <t>Phom Naga</t>
  </si>
  <si>
    <t>nph</t>
  </si>
  <si>
    <t>phon1243</t>
  </si>
  <si>
    <t>Phong</t>
  </si>
  <si>
    <t>phon1246</t>
  </si>
  <si>
    <t>Phong-Kniang</t>
  </si>
  <si>
    <t>pnx</t>
  </si>
  <si>
    <t>phos1234</t>
  </si>
  <si>
    <t>Phosul</t>
  </si>
  <si>
    <t>phot1238</t>
  </si>
  <si>
    <t>Photsimi</t>
  </si>
  <si>
    <t>Phowa</t>
  </si>
  <si>
    <t>phra1235</t>
  </si>
  <si>
    <t>Phrae Pwo Karen</t>
  </si>
  <si>
    <t>kjt</t>
  </si>
  <si>
    <t>Phrygian</t>
  </si>
  <si>
    <t>xpg</t>
  </si>
  <si>
    <t>phua1239</t>
  </si>
  <si>
    <t>siam1241</t>
  </si>
  <si>
    <t>Phuan</t>
  </si>
  <si>
    <t>phu</t>
  </si>
  <si>
    <t>phud1238</t>
  </si>
  <si>
    <t>Phudagi</t>
  </si>
  <si>
    <t>phd</t>
  </si>
  <si>
    <t>phui1238</t>
  </si>
  <si>
    <t>west2837</t>
  </si>
  <si>
    <t>Phuie</t>
  </si>
  <si>
    <t>pug</t>
  </si>
  <si>
    <t>phuk1235</t>
  </si>
  <si>
    <t>Phukha</t>
  </si>
  <si>
    <t>phh</t>
  </si>
  <si>
    <t>phum1235</t>
  </si>
  <si>
    <t>Phuma</t>
  </si>
  <si>
    <t>ypm</t>
  </si>
  <si>
    <t>Phunoi-Coong</t>
  </si>
  <si>
    <t>pho</t>
  </si>
  <si>
    <t>phuo1238</t>
  </si>
  <si>
    <t>Phuong</t>
  </si>
  <si>
    <t>phg</t>
  </si>
  <si>
    <t>Phupha-Alugu</t>
  </si>
  <si>
    <t>phup1237</t>
  </si>
  <si>
    <t>Phupha</t>
  </si>
  <si>
    <t>yph</t>
  </si>
  <si>
    <t>phup1238</t>
  </si>
  <si>
    <t>Phupa-Phuza</t>
  </si>
  <si>
    <t>phup1239</t>
  </si>
  <si>
    <t>Phupa</t>
  </si>
  <si>
    <t>ypp</t>
  </si>
  <si>
    <t>phut1244</t>
  </si>
  <si>
    <t>Phu Thai</t>
  </si>
  <si>
    <t>pht</t>
  </si>
  <si>
    <t>LA TH VN</t>
  </si>
  <si>
    <t>phut1245</t>
  </si>
  <si>
    <t>Phuthi (Southern Sotho)</t>
  </si>
  <si>
    <t>phut1246</t>
  </si>
  <si>
    <t>Phuthi</t>
  </si>
  <si>
    <t>phuu1238</t>
  </si>
  <si>
    <t>Phu</t>
  </si>
  <si>
    <t>Phuza</t>
  </si>
  <si>
    <t>ypz</t>
  </si>
  <si>
    <t>piam1242</t>
  </si>
  <si>
    <t>Piamatsina</t>
  </si>
  <si>
    <t>ptr</t>
  </si>
  <si>
    <t>piam1243</t>
  </si>
  <si>
    <t>Piame</t>
  </si>
  <si>
    <t>pin</t>
  </si>
  <si>
    <t>pian1241</t>
  </si>
  <si>
    <t>Pianga</t>
  </si>
  <si>
    <t>pian1242</t>
  </si>
  <si>
    <t>Pianocot√≥</t>
  </si>
  <si>
    <t>piap1246</t>
  </si>
  <si>
    <t>Piapoco</t>
  </si>
  <si>
    <t>pio</t>
  </si>
  <si>
    <t>Piapoco-Achagua</t>
  </si>
  <si>
    <t>Piaroa</t>
  </si>
  <si>
    <t>pid</t>
  </si>
  <si>
    <t>Piawi</t>
  </si>
  <si>
    <t>Picard</t>
  </si>
  <si>
    <t>pcd</t>
  </si>
  <si>
    <t>BE FR</t>
  </si>
  <si>
    <t>pich1237</t>
  </si>
  <si>
    <t>Pichis Ash√©ninka</t>
  </si>
  <si>
    <t>cpu</t>
  </si>
  <si>
    <t>pict1238</t>
  </si>
  <si>
    <t>Pictish</t>
  </si>
  <si>
    <t>xpi</t>
  </si>
  <si>
    <t>picu1247</t>
  </si>
  <si>
    <t>Picunche</t>
  </si>
  <si>
    <t>picu1248</t>
  </si>
  <si>
    <t>Picuris Northern Tiwa</t>
  </si>
  <si>
    <t>pidg1237</t>
  </si>
  <si>
    <t>Pidgin Fijian</t>
  </si>
  <si>
    <t>pidg1246</t>
  </si>
  <si>
    <t>Pidgin Delaware</t>
  </si>
  <si>
    <t>dep</t>
  </si>
  <si>
    <t>pidg1247</t>
  </si>
  <si>
    <t>Pidgin Ngarluma</t>
  </si>
  <si>
    <t>pidg1248</t>
  </si>
  <si>
    <t>Pidgin Gulf Arabic</t>
  </si>
  <si>
    <t>SA</t>
  </si>
  <si>
    <t>pidg1249</t>
  </si>
  <si>
    <t>Pidgin Hawaiian</t>
  </si>
  <si>
    <t>pidg1251</t>
  </si>
  <si>
    <t>Pidgin Hindustani</t>
  </si>
  <si>
    <t>pidg1252</t>
  </si>
  <si>
    <t>Pidgin Madam</t>
  </si>
  <si>
    <t>LB</t>
  </si>
  <si>
    <t>Pidgin Sign Language</t>
  </si>
  <si>
    <t>pidg1254</t>
  </si>
  <si>
    <t>Pidgin Chinook Jargon</t>
  </si>
  <si>
    <t>pidg1255</t>
  </si>
  <si>
    <t>Pidgin Kaurna</t>
  </si>
  <si>
    <t>pidg1256</t>
  </si>
  <si>
    <t>Pidgin Carib</t>
  </si>
  <si>
    <t>pidg1257</t>
  </si>
  <si>
    <t>tuka1250</t>
  </si>
  <si>
    <t>Pidgin Tukang Besi</t>
  </si>
  <si>
    <t>Pidgin</t>
  </si>
  <si>
    <t>pidh1238</t>
  </si>
  <si>
    <t>Pidha</t>
  </si>
  <si>
    <t>pidi1240</t>
  </si>
  <si>
    <t>Pidisoi</t>
  </si>
  <si>
    <t>pidi1241</t>
  </si>
  <si>
    <t>Pidie</t>
  </si>
  <si>
    <t>pidl1239</t>
  </si>
  <si>
    <t>Pidlimndi</t>
  </si>
  <si>
    <t>pied1241</t>
  </si>
  <si>
    <t>Piedmont Sint√≠</t>
  </si>
  <si>
    <t>piee1238</t>
  </si>
  <si>
    <t>Pie</t>
  </si>
  <si>
    <t>Piegan</t>
  </si>
  <si>
    <t>Piemontese</t>
  </si>
  <si>
    <t>pms</t>
  </si>
  <si>
    <t>AU IT US</t>
  </si>
  <si>
    <t>Piemontese-Lombard</t>
  </si>
  <si>
    <t>piig1238</t>
  </si>
  <si>
    <t>Piiga</t>
  </si>
  <si>
    <t>pija1235</t>
  </si>
  <si>
    <t>Pijao</t>
  </si>
  <si>
    <t>pij</t>
  </si>
  <si>
    <t>pijd1238</t>
  </si>
  <si>
    <t>Pijdari</t>
  </si>
  <si>
    <t>pije1237</t>
  </si>
  <si>
    <t>Pije</t>
  </si>
  <si>
    <t>piz</t>
  </si>
  <si>
    <t>piji1239</t>
  </si>
  <si>
    <t>Pijin</t>
  </si>
  <si>
    <t>pis</t>
  </si>
  <si>
    <t>pika1238</t>
  </si>
  <si>
    <t>Pikaru</t>
  </si>
  <si>
    <t>pikw1234</t>
  </si>
  <si>
    <t>Pikwurrung</t>
  </si>
  <si>
    <t>pila1244</t>
  </si>
  <si>
    <t>Pilaga-Toba</t>
  </si>
  <si>
    <t>Pilag√°</t>
  </si>
  <si>
    <t>plg</t>
  </si>
  <si>
    <t>pila1246</t>
  </si>
  <si>
    <t>Pila</t>
  </si>
  <si>
    <t>Pilbara</t>
  </si>
  <si>
    <t>Vaeakau-Taumako</t>
  </si>
  <si>
    <t>piv</t>
  </si>
  <si>
    <t>pili1238</t>
  </si>
  <si>
    <t>Piling</t>
  </si>
  <si>
    <t>pima1249</t>
  </si>
  <si>
    <t>Pima Bajo</t>
  </si>
  <si>
    <t>pia</t>
  </si>
  <si>
    <t>tepi1240</t>
  </si>
  <si>
    <t>Piman</t>
  </si>
  <si>
    <t>pimb1238</t>
  </si>
  <si>
    <t>Pimbwe</t>
  </si>
  <si>
    <t>piw</t>
  </si>
  <si>
    <t>pime1237</t>
  </si>
  <si>
    <t>Pimenteira</t>
  </si>
  <si>
    <t>pimm1234</t>
  </si>
  <si>
    <t>Pim</t>
  </si>
  <si>
    <t>pimp1234</t>
  </si>
  <si>
    <t>Pimpama</t>
  </si>
  <si>
    <t>pimu1238</t>
  </si>
  <si>
    <t>Pimuru</t>
  </si>
  <si>
    <t>pina1250</t>
  </si>
  <si>
    <t>Pinangol</t>
  </si>
  <si>
    <t>pina1251</t>
  </si>
  <si>
    <t>Pinan</t>
  </si>
  <si>
    <t>Pinai-Hagahai</t>
  </si>
  <si>
    <t>pnn</t>
  </si>
  <si>
    <t>pina1253</t>
  </si>
  <si>
    <t>Pinai</t>
  </si>
  <si>
    <t>pind1243</t>
  </si>
  <si>
    <t>Pindiga</t>
  </si>
  <si>
    <t>pind1244</t>
  </si>
  <si>
    <t>Guajaj√°ra of Pindare</t>
  </si>
  <si>
    <t>ping1242</t>
  </si>
  <si>
    <t>Pingou</t>
  </si>
  <si>
    <t>ping1243</t>
  </si>
  <si>
    <t>Pingelapese</t>
  </si>
  <si>
    <t>pif</t>
  </si>
  <si>
    <t>FM GU US</t>
  </si>
  <si>
    <t>yuep1234</t>
  </si>
  <si>
    <t>Pinghua</t>
  </si>
  <si>
    <t>ping1246</t>
  </si>
  <si>
    <t>Pingjiang</t>
  </si>
  <si>
    <t>ping1247</t>
  </si>
  <si>
    <t>Pingyao</t>
  </si>
  <si>
    <t>pini1244</t>
  </si>
  <si>
    <t>Pinigura</t>
  </si>
  <si>
    <t>pnv</t>
  </si>
  <si>
    <t>pini1245</t>
  </si>
  <si>
    <t>Pini</t>
  </si>
  <si>
    <t>pii</t>
  </si>
  <si>
    <t>pini1246</t>
  </si>
  <si>
    <t>Pinipel</t>
  </si>
  <si>
    <t>pinj1242</t>
  </si>
  <si>
    <t>Pinjari</t>
  </si>
  <si>
    <t>pinj1243</t>
  </si>
  <si>
    <t>Pinji</t>
  </si>
  <si>
    <t>pic</t>
  </si>
  <si>
    <t>pinj1244</t>
  </si>
  <si>
    <t>Pinjarup</t>
  </si>
  <si>
    <t>pnj</t>
  </si>
  <si>
    <t>pino1237</t>
  </si>
  <si>
    <t>west2832</t>
  </si>
  <si>
    <t>Pinotepa Nacional Mixtec</t>
  </si>
  <si>
    <t>mio</t>
  </si>
  <si>
    <t>pint1250</t>
  </si>
  <si>
    <t>Pintupi-Luritja</t>
  </si>
  <si>
    <t>piu</t>
  </si>
  <si>
    <t>pint1251</t>
  </si>
  <si>
    <t>wang1300</t>
  </si>
  <si>
    <t>Pintiini</t>
  </si>
  <si>
    <t>pti</t>
  </si>
  <si>
    <t>pint1252</t>
  </si>
  <si>
    <t>Pintumbang</t>
  </si>
  <si>
    <t>pint1253</t>
  </si>
  <si>
    <t>Pintuyacu</t>
  </si>
  <si>
    <t>Pintupic</t>
  </si>
  <si>
    <t>piny1238</t>
  </si>
  <si>
    <t>Pinyin</t>
  </si>
  <si>
    <t>pny</t>
  </si>
  <si>
    <t>pipi1249</t>
  </si>
  <si>
    <t>Pipipaia</t>
  </si>
  <si>
    <t>pira1252</t>
  </si>
  <si>
    <t>Pirabanak</t>
  </si>
  <si>
    <t>Pirah√£</t>
  </si>
  <si>
    <t>myp</t>
  </si>
  <si>
    <t>pira1254</t>
  </si>
  <si>
    <t>Wa'ikhana</t>
  </si>
  <si>
    <t>pir</t>
  </si>
  <si>
    <t>piri1234</t>
  </si>
  <si>
    <t>Pirin-Malashevo</t>
  </si>
  <si>
    <t>pirl1238</t>
  </si>
  <si>
    <t>Pirlatapa</t>
  </si>
  <si>
    <t>bxi</t>
  </si>
  <si>
    <t>west2438</t>
  </si>
  <si>
    <t>Pirlatapa-Dieric</t>
  </si>
  <si>
    <t>piro1248</t>
  </si>
  <si>
    <t>tiwa1254</t>
  </si>
  <si>
    <t>Piro</t>
  </si>
  <si>
    <t>pie</t>
  </si>
  <si>
    <t>Western Yineic</t>
  </si>
  <si>
    <t>pirr1238</t>
  </si>
  <si>
    <t>Pirr</t>
  </si>
  <si>
    <t>Pirriya-Kungkari</t>
  </si>
  <si>
    <t>pirr1240</t>
  </si>
  <si>
    <t>Pirriya</t>
  </si>
  <si>
    <t>xpa</t>
  </si>
  <si>
    <t>piru1241</t>
  </si>
  <si>
    <t>Piru</t>
  </si>
  <si>
    <t>ppr</t>
  </si>
  <si>
    <t>Piru Bay</t>
  </si>
  <si>
    <t>pisa1237</t>
  </si>
  <si>
    <t>Pisaflores Tepehua</t>
  </si>
  <si>
    <t>tpp</t>
  </si>
  <si>
    <t>pisa1244</t>
  </si>
  <si>
    <t>Pisabo</t>
  </si>
  <si>
    <t>pig</t>
  </si>
  <si>
    <t>pisa1245</t>
  </si>
  <si>
    <t>Pisamira</t>
  </si>
  <si>
    <t>pisa1246</t>
  </si>
  <si>
    <t>Pisamira-Yuruti</t>
  </si>
  <si>
    <t>Pisamira-Carapana</t>
  </si>
  <si>
    <t>pisc1239</t>
  </si>
  <si>
    <t>Piscataway</t>
  </si>
  <si>
    <t>psy</t>
  </si>
  <si>
    <t>pish1238</t>
  </si>
  <si>
    <t>Pishagchi</t>
  </si>
  <si>
    <t>pisi1234</t>
  </si>
  <si>
    <t>uncl1514</t>
  </si>
  <si>
    <t>Pisidian</t>
  </si>
  <si>
    <t>xps</t>
  </si>
  <si>
    <t>piso1238</t>
  </si>
  <si>
    <t>Piso</t>
  </si>
  <si>
    <t>pisq1240</t>
  </si>
  <si>
    <t>Pisquibo</t>
  </si>
  <si>
    <t>pita1243</t>
  </si>
  <si>
    <t>Pitaguary</t>
  </si>
  <si>
    <t>pita1245</t>
  </si>
  <si>
    <t>Pitas Bajau</t>
  </si>
  <si>
    <t>pita1246</t>
  </si>
  <si>
    <t>Pitas Kimaragang</t>
  </si>
  <si>
    <t>pita1247</t>
  </si>
  <si>
    <t>Pitayo</t>
  </si>
  <si>
    <t>pitc1234</t>
  </si>
  <si>
    <t>Pitcairn-Norfolk</t>
  </si>
  <si>
    <t>pih</t>
  </si>
  <si>
    <t>AU FJ NF NZ PN</t>
  </si>
  <si>
    <t>pite1240</t>
  </si>
  <si>
    <t>Pite Saami</t>
  </si>
  <si>
    <t>sje</t>
  </si>
  <si>
    <t>Pithauragarh</t>
  </si>
  <si>
    <t>Piti-Atsam</t>
  </si>
  <si>
    <t>piti1243</t>
  </si>
  <si>
    <t>Piti</t>
  </si>
  <si>
    <t>pcn</t>
  </si>
  <si>
    <t>Pitjantjatjara</t>
  </si>
  <si>
    <t>pitt1245</t>
  </si>
  <si>
    <t>Pittala Bhasha</t>
  </si>
  <si>
    <t>pitt1246</t>
  </si>
  <si>
    <t>Pitta-Pitta</t>
  </si>
  <si>
    <t>pitt1247</t>
  </si>
  <si>
    <t>Pitta Pitta</t>
  </si>
  <si>
    <t>pit</t>
  </si>
  <si>
    <t>Pitu Ulunna Salu</t>
  </si>
  <si>
    <t>piuu1237</t>
  </si>
  <si>
    <t>Piu</t>
  </si>
  <si>
    <t>pix</t>
  </si>
  <si>
    <t>Banoni-Piva</t>
  </si>
  <si>
    <t>Piya-Kwonci</t>
  </si>
  <si>
    <t>piy</t>
  </si>
  <si>
    <t>piya1246</t>
  </si>
  <si>
    <t>Piya</t>
  </si>
  <si>
    <t>pizh1238</t>
  </si>
  <si>
    <t>Pizhdar</t>
  </si>
  <si>
    <t>plai1235</t>
  </si>
  <si>
    <t>Plains Indian Sign Language</t>
  </si>
  <si>
    <t>psd</t>
  </si>
  <si>
    <t>plai1256</t>
  </si>
  <si>
    <t>Plains Geta'</t>
  </si>
  <si>
    <t>Plains Dogon</t>
  </si>
  <si>
    <t>Plains Cree</t>
  </si>
  <si>
    <t>crk</t>
  </si>
  <si>
    <t>plai1259</t>
  </si>
  <si>
    <t>Plains Miwok</t>
  </si>
  <si>
    <t>pmw</t>
  </si>
  <si>
    <t>plai1263</t>
  </si>
  <si>
    <t>Plain Angas</t>
  </si>
  <si>
    <t>plan1238</t>
  </si>
  <si>
    <t>Plan de Guadalupe</t>
  </si>
  <si>
    <t>plap1238</t>
  </si>
  <si>
    <t>Plapo</t>
  </si>
  <si>
    <t>plap1239</t>
  </si>
  <si>
    <t>tepo1241</t>
  </si>
  <si>
    <t>Plapo Krumen</t>
  </si>
  <si>
    <t>ktj</t>
  </si>
  <si>
    <t>Plateau Malagasy</t>
  </si>
  <si>
    <t>plt</t>
  </si>
  <si>
    <t>plat1255</t>
  </si>
  <si>
    <t>Platanillo</t>
  </si>
  <si>
    <t>Plateau Haitian Creole</t>
  </si>
  <si>
    <t>Plateau Shona</t>
  </si>
  <si>
    <t>Plateau Central Kalenjin</t>
  </si>
  <si>
    <t>plau1238</t>
  </si>
  <si>
    <t>Plautdietsch</t>
  </si>
  <si>
    <t>pdt</t>
  </si>
  <si>
    <t>BZ MX PY</t>
  </si>
  <si>
    <t>play1240</t>
  </si>
  <si>
    <t>Playero</t>
  </si>
  <si>
    <t>gob</t>
  </si>
  <si>
    <t>plei1237</t>
  </si>
  <si>
    <t>Pleikly</t>
  </si>
  <si>
    <t>ploo1238</t>
  </si>
  <si>
    <t>Plo</t>
  </si>
  <si>
    <t>plos1238</t>
  </si>
  <si>
    <t>Ploskost</t>
  </si>
  <si>
    <t>plus1242</t>
  </si>
  <si>
    <t>Plus</t>
  </si>
  <si>
    <t>pmas1239</t>
  </si>
  <si>
    <t>Pmasa'a</t>
  </si>
  <si>
    <t>Pnar</t>
  </si>
  <si>
    <t>pbv</t>
  </si>
  <si>
    <t>poav1237</t>
  </si>
  <si>
    <t>Poavosa</t>
  </si>
  <si>
    <t>Pochuri-Northern Rengma</t>
  </si>
  <si>
    <t>poch1243</t>
  </si>
  <si>
    <t>Pochuri Naga</t>
  </si>
  <si>
    <t>npo</t>
  </si>
  <si>
    <t>poch1244</t>
  </si>
  <si>
    <t>Pochutec</t>
  </si>
  <si>
    <t>xpo</t>
  </si>
  <si>
    <t>poco1241</t>
  </si>
  <si>
    <t>Poqom</t>
  </si>
  <si>
    <t>poda1239</t>
  </si>
  <si>
    <t>Podari</t>
  </si>
  <si>
    <t>pode1237</t>
  </si>
  <si>
    <t>Podena</t>
  </si>
  <si>
    <t>pdn</t>
  </si>
  <si>
    <t>podi1238</t>
  </si>
  <si>
    <t>Podia Koya</t>
  </si>
  <si>
    <t>podo1242</t>
  </si>
  <si>
    <t>Podokge</t>
  </si>
  <si>
    <t>Podoko</t>
  </si>
  <si>
    <t>podz1238</t>
  </si>
  <si>
    <t>Podzo</t>
  </si>
  <si>
    <t>poga1239</t>
  </si>
  <si>
    <t>Pogara</t>
  </si>
  <si>
    <t>Kilombero</t>
  </si>
  <si>
    <t>pogo1243</t>
  </si>
  <si>
    <t>Pogolo</t>
  </si>
  <si>
    <t>poy</t>
  </si>
  <si>
    <t>pogu1238</t>
  </si>
  <si>
    <t>Poguli</t>
  </si>
  <si>
    <t>Pohnpeian</t>
  </si>
  <si>
    <t>poin1246</t>
  </si>
  <si>
    <t>Point Arena</t>
  </si>
  <si>
    <t>poit1240</t>
  </si>
  <si>
    <t>Poitevin</t>
  </si>
  <si>
    <t>pojo1241</t>
  </si>
  <si>
    <t>Pojoaque</t>
  </si>
  <si>
    <t>poju1239</t>
  </si>
  <si>
    <t>P√∂julu</t>
  </si>
  <si>
    <t>poka1241</t>
  </si>
  <si>
    <t>Poka</t>
  </si>
  <si>
    <t>poka1242</t>
  </si>
  <si>
    <t>Pokang√°</t>
  </si>
  <si>
    <t>pok</t>
  </si>
  <si>
    <t>Poke</t>
  </si>
  <si>
    <t>pokl1241</t>
  </si>
  <si>
    <t>Po-Klo</t>
  </si>
  <si>
    <t>Pokomo</t>
  </si>
  <si>
    <t>pkb</t>
  </si>
  <si>
    <t>poko1262</t>
  </si>
  <si>
    <t>Poko</t>
  </si>
  <si>
    <t>P√∂koot</t>
  </si>
  <si>
    <t>pko</t>
  </si>
  <si>
    <t>pola1249</t>
  </si>
  <si>
    <t>Polari</t>
  </si>
  <si>
    <t>pld</t>
  </si>
  <si>
    <t>pola1254</t>
  </si>
  <si>
    <t>Polar Eskimo</t>
  </si>
  <si>
    <t>pola1255</t>
  </si>
  <si>
    <t>Polabian</t>
  </si>
  <si>
    <t>pox</t>
  </si>
  <si>
    <t>Polci</t>
  </si>
  <si>
    <t>plj</t>
  </si>
  <si>
    <t>polc1244</t>
  </si>
  <si>
    <t>Polchi</t>
  </si>
  <si>
    <t>pole1240</t>
  </si>
  <si>
    <t>Poleo</t>
  </si>
  <si>
    <t>pole1241</t>
  </si>
  <si>
    <t>wita1237</t>
  </si>
  <si>
    <t>Poleang</t>
  </si>
  <si>
    <t>poli1239</t>
  </si>
  <si>
    <t>Poli</t>
  </si>
  <si>
    <t>poli1259</t>
  </si>
  <si>
    <t>Polish Sign Language</t>
  </si>
  <si>
    <t>pso</t>
  </si>
  <si>
    <t>BY CZ DE LT PL RU SK UA</t>
  </si>
  <si>
    <t>poli1261</t>
  </si>
  <si>
    <t>Polish Romani</t>
  </si>
  <si>
    <t>poll1238</t>
  </si>
  <si>
    <t>pulu1244</t>
  </si>
  <si>
    <t>Pollapese</t>
  </si>
  <si>
    <t>polo1241</t>
  </si>
  <si>
    <t>Polo</t>
  </si>
  <si>
    <t>polo1242</t>
  </si>
  <si>
    <t>Polonombauk</t>
  </si>
  <si>
    <t>plb</t>
  </si>
  <si>
    <t>polo1246</t>
  </si>
  <si>
    <t>Pologozom</t>
  </si>
  <si>
    <t>Polynesian</t>
  </si>
  <si>
    <t>poma1238</t>
  </si>
  <si>
    <t>Pomak</t>
  </si>
  <si>
    <t>Pom</t>
  </si>
  <si>
    <t>pmo</t>
  </si>
  <si>
    <t>Pomo</t>
  </si>
  <si>
    <t>pmm</t>
  </si>
  <si>
    <t>Pomoikan</t>
  </si>
  <si>
    <t>Pomoan</t>
  </si>
  <si>
    <t>Pomo-Bomwali</t>
  </si>
  <si>
    <t>pona1247</t>
  </si>
  <si>
    <t>Chuukic-Ponapeic</t>
  </si>
  <si>
    <t>Ponapeic</t>
  </si>
  <si>
    <t>pona1249</t>
  </si>
  <si>
    <t>Ponapean</t>
  </si>
  <si>
    <t>pona1250</t>
  </si>
  <si>
    <t>Ponam</t>
  </si>
  <si>
    <t>ncc</t>
  </si>
  <si>
    <t>pona1251</t>
  </si>
  <si>
    <t>Ponares</t>
  </si>
  <si>
    <t>pod</t>
  </si>
  <si>
    <t>ponc1241</t>
  </si>
  <si>
    <t>Ponca</t>
  </si>
  <si>
    <t>pond1250</t>
  </si>
  <si>
    <t>Pondori</t>
  </si>
  <si>
    <t>pong1244</t>
  </si>
  <si>
    <t>Pongaal</t>
  </si>
  <si>
    <t>Pongu</t>
  </si>
  <si>
    <t>png</t>
  </si>
  <si>
    <t>pong1251</t>
  </si>
  <si>
    <t>Pongo</t>
  </si>
  <si>
    <t>pong1252</t>
  </si>
  <si>
    <t>Pongyong</t>
  </si>
  <si>
    <t>pgy</t>
  </si>
  <si>
    <t>pono1239</t>
  </si>
  <si>
    <t>Ponorwal</t>
  </si>
  <si>
    <t>pono1240</t>
  </si>
  <si>
    <t>Ponosakan</t>
  </si>
  <si>
    <t>pns</t>
  </si>
  <si>
    <t>pont1253</t>
  </si>
  <si>
    <t>Pontic</t>
  </si>
  <si>
    <t>pnt</t>
  </si>
  <si>
    <t>BG GR MK TR</t>
  </si>
  <si>
    <t>pont1254</t>
  </si>
  <si>
    <t>Ponthieu</t>
  </si>
  <si>
    <t>Pontic-Cappadocian Greek</t>
  </si>
  <si>
    <t>pont1258</t>
  </si>
  <si>
    <t>Ponthai</t>
  </si>
  <si>
    <t>popo1291</t>
  </si>
  <si>
    <t>Popoi</t>
  </si>
  <si>
    <t>popo1292</t>
  </si>
  <si>
    <t>Popoloca-Zapotecan</t>
  </si>
  <si>
    <t>Popolocan-Mazatecan</t>
  </si>
  <si>
    <t>Popolocan</t>
  </si>
  <si>
    <t>popt1235</t>
  </si>
  <si>
    <t>Popti'</t>
  </si>
  <si>
    <t>jac</t>
  </si>
  <si>
    <t>poqo1253</t>
  </si>
  <si>
    <t>Poqomam</t>
  </si>
  <si>
    <t>poc</t>
  </si>
  <si>
    <t>GT SV</t>
  </si>
  <si>
    <t>poqo1254</t>
  </si>
  <si>
    <t>Poqomchi'</t>
  </si>
  <si>
    <t>poh</t>
  </si>
  <si>
    <t>poqo1255</t>
  </si>
  <si>
    <t>Poqomam, Southern</t>
  </si>
  <si>
    <t>pou</t>
  </si>
  <si>
    <t>poqo1256</t>
  </si>
  <si>
    <t>Poqomchi', Western</t>
  </si>
  <si>
    <t>pob</t>
  </si>
  <si>
    <t>poqo1257</t>
  </si>
  <si>
    <t>Poqomam, Eastern</t>
  </si>
  <si>
    <t>poa</t>
  </si>
  <si>
    <t>porg1241</t>
  </si>
  <si>
    <t>Porga</t>
  </si>
  <si>
    <t>porg1242</t>
  </si>
  <si>
    <t>Porgera</t>
  </si>
  <si>
    <t>pori1238</t>
  </si>
  <si>
    <t>Pori Kinda</t>
  </si>
  <si>
    <t>poro1251</t>
  </si>
  <si>
    <t>Poronaisk</t>
  </si>
  <si>
    <t>poro1252</t>
  </si>
  <si>
    <t>Poroto</t>
  </si>
  <si>
    <t>poro1253</t>
  </si>
  <si>
    <t>Porohanon</t>
  </si>
  <si>
    <t>prh</t>
  </si>
  <si>
    <t>poro1254</t>
  </si>
  <si>
    <t>Poros</t>
  </si>
  <si>
    <t>poro1255</t>
  </si>
  <si>
    <t>Porome</t>
  </si>
  <si>
    <t>port1238</t>
  </si>
  <si>
    <t>Portuguese Cal√£o</t>
  </si>
  <si>
    <t>Portuguese Sign Language</t>
  </si>
  <si>
    <t>psr</t>
  </si>
  <si>
    <t>port1278</t>
  </si>
  <si>
    <t>west1503</t>
  </si>
  <si>
    <t>Port Sorell</t>
  </si>
  <si>
    <t>Portuguese</t>
  </si>
  <si>
    <t>AD AR BO BR CO ES FR GF GY PE PT PY SR UY VE</t>
  </si>
  <si>
    <t>port1285</t>
  </si>
  <si>
    <t>Port Sandwich</t>
  </si>
  <si>
    <t>psw</t>
  </si>
  <si>
    <t>port1286</t>
  </si>
  <si>
    <t>Daakie</t>
  </si>
  <si>
    <t>ptv</t>
  </si>
  <si>
    <t>port1290</t>
  </si>
  <si>
    <t>Port Maltese</t>
  </si>
  <si>
    <t>port1291</t>
  </si>
  <si>
    <t>Portugu√™s de Bidau</t>
  </si>
  <si>
    <t>Orkon-Port Vato-Dakaka</t>
  </si>
  <si>
    <t>Port Vato-Dakaka</t>
  </si>
  <si>
    <t>Portuguese-based pidgin</t>
  </si>
  <si>
    <t>Port Sandwich-Axamb-Avok</t>
  </si>
  <si>
    <t>port1296</t>
  </si>
  <si>
    <t>Sakao</t>
  </si>
  <si>
    <t>poso1238</t>
  </si>
  <si>
    <t>Poso</t>
  </si>
  <si>
    <t>pota1247</t>
  </si>
  <si>
    <t>Potawatomi</t>
  </si>
  <si>
    <t>pot</t>
  </si>
  <si>
    <t>poth1238</t>
  </si>
  <si>
    <t>Pothwari</t>
  </si>
  <si>
    <t>poti1237</t>
  </si>
  <si>
    <t>Potigu√°ra</t>
  </si>
  <si>
    <t>pog</t>
  </si>
  <si>
    <t>potn1237</t>
  </si>
  <si>
    <t>Potnariven</t>
  </si>
  <si>
    <t>poto1254</t>
  </si>
  <si>
    <t>Potou</t>
  </si>
  <si>
    <t>poto1251</t>
  </si>
  <si>
    <t>Pototan</t>
  </si>
  <si>
    <t>poto1252</t>
  </si>
  <si>
    <t>Potos√≠</t>
  </si>
  <si>
    <t>poto1253</t>
  </si>
  <si>
    <t>Potoichan</t>
  </si>
  <si>
    <t>Potou-Tano</t>
  </si>
  <si>
    <t>pott1240</t>
  </si>
  <si>
    <t>Pottangi Ollar Gadaba</t>
  </si>
  <si>
    <t>gdb</t>
  </si>
  <si>
    <t>potu1239</t>
  </si>
  <si>
    <t>Potule</t>
  </si>
  <si>
    <t>poue1237</t>
  </si>
  <si>
    <t>Pou√©bo</t>
  </si>
  <si>
    <t>poum1235</t>
  </si>
  <si>
    <t>Poumei Naga</t>
  </si>
  <si>
    <t>pmx</t>
  </si>
  <si>
    <t>pouu1234</t>
  </si>
  <si>
    <t>Pou</t>
  </si>
  <si>
    <t>Pouye</t>
  </si>
  <si>
    <t>bye</t>
  </si>
  <si>
    <t>Pouye-Karawa</t>
  </si>
  <si>
    <t>powa1244</t>
  </si>
  <si>
    <t>Powadhi</t>
  </si>
  <si>
    <t>Powari</t>
  </si>
  <si>
    <t>pwr</t>
  </si>
  <si>
    <t>powh1243</t>
  </si>
  <si>
    <t>Powhatan</t>
  </si>
  <si>
    <t>pim</t>
  </si>
  <si>
    <t>poya1239</t>
  </si>
  <si>
    <t>Poya</t>
  </si>
  <si>
    <t>Poyanawa Subgroup</t>
  </si>
  <si>
    <t>poya1241</t>
  </si>
  <si>
    <t>Poyan√°wa</t>
  </si>
  <si>
    <t>pyn</t>
  </si>
  <si>
    <t>poyl1235</t>
  </si>
  <si>
    <t>Poylish</t>
  </si>
  <si>
    <t>prai1242</t>
  </si>
  <si>
    <t>Prairie French</t>
  </si>
  <si>
    <t>prai1243</t>
  </si>
  <si>
    <t>Praistiki</t>
  </si>
  <si>
    <t>prak1243</t>
  </si>
  <si>
    <t>Prakaa</t>
  </si>
  <si>
    <t>Pramic</t>
  </si>
  <si>
    <t>pran1244</t>
  </si>
  <si>
    <t>Prang</t>
  </si>
  <si>
    <t>pran1245</t>
  </si>
  <si>
    <t>Prang (Southern Mnong)</t>
  </si>
  <si>
    <t>Prasuni</t>
  </si>
  <si>
    <t>prn</t>
  </si>
  <si>
    <t>pray1239</t>
  </si>
  <si>
    <t>Pray 3</t>
  </si>
  <si>
    <t>pry</t>
  </si>
  <si>
    <t>Pre-Andine Maipuran</t>
  </si>
  <si>
    <t>preh1242</t>
  </si>
  <si>
    <t>Pr√©h</t>
  </si>
  <si>
    <t>preh1243</t>
  </si>
  <si>
    <t>Prehan</t>
  </si>
  <si>
    <t>prek1239</t>
  </si>
  <si>
    <t>Prekmurski</t>
  </si>
  <si>
    <t>prek1240</t>
  </si>
  <si>
    <t>Prekmurje Romani</t>
  </si>
  <si>
    <t>pres1239</t>
  </si>
  <si>
    <t>Presidio de los Reyes Cora</t>
  </si>
  <si>
    <t>Pre-Western Tani</t>
  </si>
  <si>
    <t>pril1234</t>
  </si>
  <si>
    <t>Prilep-Prizren-Serres</t>
  </si>
  <si>
    <t>prim1242</t>
  </si>
  <si>
    <t>Primorski</t>
  </si>
  <si>
    <t>prim1243</t>
  </si>
  <si>
    <t>Primitive Irish (4-6th century)</t>
  </si>
  <si>
    <t>prin1241</t>
  </si>
  <si>
    <t>Pringan</t>
  </si>
  <si>
    <t>prin1242</t>
  </si>
  <si>
    <t>saot1240</t>
  </si>
  <si>
    <t>Principense</t>
  </si>
  <si>
    <t>pre</t>
  </si>
  <si>
    <t>prio1238</t>
  </si>
  <si>
    <t>Prionezh</t>
  </si>
  <si>
    <t>priz1234</t>
  </si>
  <si>
    <t>Prizren-South Morava</t>
  </si>
  <si>
    <t>prob1239</t>
  </si>
  <si>
    <t>Probur</t>
  </si>
  <si>
    <t>proc1238</t>
  </si>
  <si>
    <t>Proca Lo</t>
  </si>
  <si>
    <t>prok1238</t>
  </si>
  <si>
    <t>Prok</t>
  </si>
  <si>
    <t>prop1240</t>
  </si>
  <si>
    <t>Propontis Tsakonian</t>
  </si>
  <si>
    <t>Proven√ßal</t>
  </si>
  <si>
    <t>prov1243</t>
  </si>
  <si>
    <t>Providencia Sign Language</t>
  </si>
  <si>
    <t>prz</t>
  </si>
  <si>
    <t>prov1247</t>
  </si>
  <si>
    <t>Proven√ßal (Retired)</t>
  </si>
  <si>
    <t>prv</t>
  </si>
  <si>
    <t>Providencia-Cayman Sign</t>
  </si>
  <si>
    <t>prov1249</t>
  </si>
  <si>
    <t>Providence English</t>
  </si>
  <si>
    <t>prus1238</t>
  </si>
  <si>
    <t>Old Prussian</t>
  </si>
  <si>
    <t>prg</t>
  </si>
  <si>
    <t>pruu1239</t>
  </si>
  <si>
    <t>Pru</t>
  </si>
  <si>
    <t>psha1238</t>
  </si>
  <si>
    <t>Pshav</t>
  </si>
  <si>
    <t>Psikye</t>
  </si>
  <si>
    <t>kvj</t>
  </si>
  <si>
    <t>puaa1234</t>
  </si>
  <si>
    <t>Pua'</t>
  </si>
  <si>
    <t>puan1237</t>
  </si>
  <si>
    <t>Puan</t>
  </si>
  <si>
    <t>puar1240</t>
  </si>
  <si>
    <t>serr1253</t>
  </si>
  <si>
    <t>Puare</t>
  </si>
  <si>
    <t>pux</t>
  </si>
  <si>
    <t>pubi1237</t>
  </si>
  <si>
    <t>Pubian</t>
  </si>
  <si>
    <t>pun</t>
  </si>
  <si>
    <t>pudi1238</t>
  </si>
  <si>
    <t>Puditara</t>
  </si>
  <si>
    <t>pudt1235</t>
  </si>
  <si>
    <t>Pudtol Atta</t>
  </si>
  <si>
    <t>atp</t>
  </si>
  <si>
    <t>pudu1234</t>
  </si>
  <si>
    <t>Puduk</t>
  </si>
  <si>
    <t>puel1244</t>
  </si>
  <si>
    <t>Puelche</t>
  </si>
  <si>
    <t>pue</t>
  </si>
  <si>
    <t>puer1237</t>
  </si>
  <si>
    <t>Puerto Rican Sign Language</t>
  </si>
  <si>
    <t>psl</t>
  </si>
  <si>
    <t>PR</t>
  </si>
  <si>
    <t>pugl1238</t>
  </si>
  <si>
    <t>Pugliese</t>
  </si>
  <si>
    <t>puim1234</t>
  </si>
  <si>
    <t>Puimei Naga</t>
  </si>
  <si>
    <t>npu</t>
  </si>
  <si>
    <t>puin1248</t>
  </si>
  <si>
    <t>Puinave</t>
  </si>
  <si>
    <t>pui</t>
  </si>
  <si>
    <t>puka1242</t>
  </si>
  <si>
    <t>Pukapuka</t>
  </si>
  <si>
    <t>pkp</t>
  </si>
  <si>
    <t>puka1243</t>
  </si>
  <si>
    <t>Pukamigl-Andegabu</t>
  </si>
  <si>
    <t>puka1244</t>
  </si>
  <si>
    <t>Pukaunu</t>
  </si>
  <si>
    <t>puko1234</t>
  </si>
  <si>
    <t>Pu Ko</t>
  </si>
  <si>
    <t>puk</t>
  </si>
  <si>
    <t>pula1260</t>
  </si>
  <si>
    <t>Pulau Guai</t>
  </si>
  <si>
    <t>pula1261</t>
  </si>
  <si>
    <t>Pulaya</t>
  </si>
  <si>
    <t>Pular</t>
  </si>
  <si>
    <t>fuf</t>
  </si>
  <si>
    <t>GN GW ML SL SN</t>
  </si>
  <si>
    <t>Pulaar</t>
  </si>
  <si>
    <t>fuc</t>
  </si>
  <si>
    <t>GM GN GW ML MR SN</t>
  </si>
  <si>
    <t>pula1264</t>
  </si>
  <si>
    <t>Pulana</t>
  </si>
  <si>
    <t>pula1265</t>
  </si>
  <si>
    <t>Pulapese</t>
  </si>
  <si>
    <t>pula1266</t>
  </si>
  <si>
    <t>Pulangiyen</t>
  </si>
  <si>
    <t>pula1267</t>
  </si>
  <si>
    <t>Pulabu</t>
  </si>
  <si>
    <t>pup</t>
  </si>
  <si>
    <t>pula1268</t>
  </si>
  <si>
    <t>Pula Yi</t>
  </si>
  <si>
    <t>ypl</t>
  </si>
  <si>
    <t>pule1237</t>
  </si>
  <si>
    <t>Puleniyan</t>
  </si>
  <si>
    <t>pulg1238</t>
  </si>
  <si>
    <t>Pulgaon</t>
  </si>
  <si>
    <t>puli1237</t>
  </si>
  <si>
    <t>Pulie-Rauto</t>
  </si>
  <si>
    <t>pulo1240</t>
  </si>
  <si>
    <t>sons1242</t>
  </si>
  <si>
    <t>Pulo Anna</t>
  </si>
  <si>
    <t>pulo1241</t>
  </si>
  <si>
    <t>Pulopetak</t>
  </si>
  <si>
    <t>Puluwatese</t>
  </si>
  <si>
    <t>puw</t>
  </si>
  <si>
    <t>pulu1243</t>
  </si>
  <si>
    <t>Pulusukese</t>
  </si>
  <si>
    <t>Puluwatese-Pollapese</t>
  </si>
  <si>
    <t>puma1239</t>
  </si>
  <si>
    <t>Puma</t>
  </si>
  <si>
    <t>pum</t>
  </si>
  <si>
    <t>Pum√©</t>
  </si>
  <si>
    <t>pump1237</t>
  </si>
  <si>
    <t>Pumpokol</t>
  </si>
  <si>
    <t>xpm</t>
  </si>
  <si>
    <t>puna1266</t>
  </si>
  <si>
    <t>puna1281</t>
  </si>
  <si>
    <t>Punan Tubu</t>
  </si>
  <si>
    <t>puj</t>
  </si>
  <si>
    <t>puna1267</t>
  </si>
  <si>
    <t>Punan Aput</t>
  </si>
  <si>
    <t>pud</t>
  </si>
  <si>
    <t>puna1268</t>
  </si>
  <si>
    <t>Punan Merah</t>
  </si>
  <si>
    <t>puf</t>
  </si>
  <si>
    <t>puna1269</t>
  </si>
  <si>
    <t>Punan Busang</t>
  </si>
  <si>
    <t>puna1270</t>
  </si>
  <si>
    <t>Punan Ukit</t>
  </si>
  <si>
    <t>puna1271</t>
  </si>
  <si>
    <t>Punan Sajau</t>
  </si>
  <si>
    <t>puna1272</t>
  </si>
  <si>
    <t>Punan Batu 2</t>
  </si>
  <si>
    <t>puna1273</t>
  </si>
  <si>
    <t>Punan Basap</t>
  </si>
  <si>
    <t>puna1274</t>
  </si>
  <si>
    <t>Punan Merap</t>
  </si>
  <si>
    <t>puc</t>
  </si>
  <si>
    <t>puna1275</t>
  </si>
  <si>
    <t>Punan Bah-Biau</t>
  </si>
  <si>
    <t>pna</t>
  </si>
  <si>
    <t>puna1276</t>
  </si>
  <si>
    <t>Punan Bah</t>
  </si>
  <si>
    <t>puna1277</t>
  </si>
  <si>
    <t>Punan Biau</t>
  </si>
  <si>
    <t>puna1278</t>
  </si>
  <si>
    <t>Punan Batu 1</t>
  </si>
  <si>
    <t>pnm</t>
  </si>
  <si>
    <t>Punan-Muller-Schwaner</t>
  </si>
  <si>
    <t>Punan</t>
  </si>
  <si>
    <t>Punan Tubu-Bah</t>
  </si>
  <si>
    <t>punc1239</t>
  </si>
  <si>
    <t>Punchhi</t>
  </si>
  <si>
    <t>pund1238</t>
  </si>
  <si>
    <t>umed1238</t>
  </si>
  <si>
    <t>Punda</t>
  </si>
  <si>
    <t>pung1239</t>
  </si>
  <si>
    <t>Pungupungu</t>
  </si>
  <si>
    <t>puni1238</t>
  </si>
  <si>
    <t>Punial</t>
  </si>
  <si>
    <t>Punic</t>
  </si>
  <si>
    <t>xpu</t>
  </si>
  <si>
    <t>Puno Quechua</t>
  </si>
  <si>
    <t>qxp</t>
  </si>
  <si>
    <t>punt1240</t>
  </si>
  <si>
    <t>Punthamara</t>
  </si>
  <si>
    <t>xpt</t>
  </si>
  <si>
    <t>punu1239</t>
  </si>
  <si>
    <t>punu1240</t>
  </si>
  <si>
    <t>Punu</t>
  </si>
  <si>
    <t>puu</t>
  </si>
  <si>
    <t>sang1341</t>
  </si>
  <si>
    <t>Punu-Vungu</t>
  </si>
  <si>
    <t>puoc1238</t>
  </si>
  <si>
    <t>Ksingmul</t>
  </si>
  <si>
    <t>puo</t>
  </si>
  <si>
    <t>pupi1239</t>
  </si>
  <si>
    <t>Pupitau</t>
  </si>
  <si>
    <t>puqu1242</t>
  </si>
  <si>
    <t>Puquina</t>
  </si>
  <si>
    <t>puq</t>
  </si>
  <si>
    <t>pura1253</t>
  </si>
  <si>
    <t>Puragi</t>
  </si>
  <si>
    <t>pru</t>
  </si>
  <si>
    <t>pura1256</t>
  </si>
  <si>
    <t>Purai</t>
  </si>
  <si>
    <t>Purari</t>
  </si>
  <si>
    <t>iar</t>
  </si>
  <si>
    <t>pura1258</t>
  </si>
  <si>
    <t>Pura</t>
  </si>
  <si>
    <t>pura1259</t>
  </si>
  <si>
    <t>Purang</t>
  </si>
  <si>
    <t>purb1238</t>
  </si>
  <si>
    <t>Purbi</t>
  </si>
  <si>
    <t>tara1323</t>
  </si>
  <si>
    <t>Purepecha</t>
  </si>
  <si>
    <t>puri1258</t>
  </si>
  <si>
    <t>Purik-Sham-Nubra</t>
  </si>
  <si>
    <t>prx</t>
  </si>
  <si>
    <t>puri1259</t>
  </si>
  <si>
    <t>Purisime√±o</t>
  </si>
  <si>
    <t>puy</t>
  </si>
  <si>
    <t>Puri-Coroado</t>
  </si>
  <si>
    <t>puri1262</t>
  </si>
  <si>
    <t>Puri</t>
  </si>
  <si>
    <t>prr</t>
  </si>
  <si>
    <t>purk1239</t>
  </si>
  <si>
    <t>Purko</t>
  </si>
  <si>
    <t>puro1234</t>
  </si>
  <si>
    <t>Puroikic</t>
  </si>
  <si>
    <t>purr1238</t>
  </si>
  <si>
    <t>Purr</t>
  </si>
  <si>
    <t>puru1262</t>
  </si>
  <si>
    <t>Purum (Retired)</t>
  </si>
  <si>
    <t>puz</t>
  </si>
  <si>
    <t>puru1263</t>
  </si>
  <si>
    <t>Purung</t>
  </si>
  <si>
    <t>puru1264</t>
  </si>
  <si>
    <t>puru1268</t>
  </si>
  <si>
    <t>Purubor√°</t>
  </si>
  <si>
    <t>pur</t>
  </si>
  <si>
    <t>Purus</t>
  </si>
  <si>
    <t>puru1266</t>
  </si>
  <si>
    <t>Purum</t>
  </si>
  <si>
    <t>pub</t>
  </si>
  <si>
    <t>puru1267</t>
  </si>
  <si>
    <t>Puruguay</t>
  </si>
  <si>
    <t>Purubora-Ramarama</t>
  </si>
  <si>
    <t>puta1239</t>
  </si>
  <si>
    <t>Putatan</t>
  </si>
  <si>
    <t>puta1243</t>
  </si>
  <si>
    <t>Putai</t>
  </si>
  <si>
    <t>mfl</t>
  </si>
  <si>
    <t>puti1238</t>
  </si>
  <si>
    <t>Putian</t>
  </si>
  <si>
    <t>puto1237</t>
  </si>
  <si>
    <t>Putoh</t>
  </si>
  <si>
    <t>put</t>
  </si>
  <si>
    <t>putr1238</t>
  </si>
  <si>
    <t>Putru</t>
  </si>
  <si>
    <t>Putukwam</t>
  </si>
  <si>
    <t>afe</t>
  </si>
  <si>
    <t>putu1242</t>
  </si>
  <si>
    <t>Putu</t>
  </si>
  <si>
    <t>puwa1234</t>
  </si>
  <si>
    <t>Puwa Yi</t>
  </si>
  <si>
    <t>ypw</t>
  </si>
  <si>
    <t>puxi1242</t>
  </si>
  <si>
    <t>Puxi</t>
  </si>
  <si>
    <t>Pu-Xian Chinese</t>
  </si>
  <si>
    <t>cpx</t>
  </si>
  <si>
    <t>puxm1238</t>
  </si>
  <si>
    <t>Puxmetec√≠n</t>
  </si>
  <si>
    <t>puya1240</t>
  </si>
  <si>
    <t>Puyallup</t>
  </si>
  <si>
    <t>pwaa1237</t>
  </si>
  <si>
    <t>Pwaamei</t>
  </si>
  <si>
    <t>pme</t>
  </si>
  <si>
    <t>pwap1237</t>
  </si>
  <si>
    <t>Pwapwa</t>
  </si>
  <si>
    <t>pop</t>
  </si>
  <si>
    <t>Pwo Eastern Karen</t>
  </si>
  <si>
    <t>kjp</t>
  </si>
  <si>
    <t>Pwo Northern Karen</t>
  </si>
  <si>
    <t>pww</t>
  </si>
  <si>
    <t>Pwo</t>
  </si>
  <si>
    <t>Pwo Western Karen</t>
  </si>
  <si>
    <t>pwo</t>
  </si>
  <si>
    <t>pyap1239</t>
  </si>
  <si>
    <t>Pyapun</t>
  </si>
  <si>
    <t>pcw</t>
  </si>
  <si>
    <t>Pye Krumen</t>
  </si>
  <si>
    <t>pye</t>
  </si>
  <si>
    <t>pyen1239</t>
  </si>
  <si>
    <t>Pyen</t>
  </si>
  <si>
    <t>pyy</t>
  </si>
  <si>
    <t>pyon1239</t>
  </si>
  <si>
    <t>P'yong'ando</t>
  </si>
  <si>
    <t>pyra1234</t>
  </si>
  <si>
    <t>Pyramid-Swart Valley</t>
  </si>
  <si>
    <t>pyuu1245</t>
  </si>
  <si>
    <t>Pyu</t>
  </si>
  <si>
    <t>pby</t>
  </si>
  <si>
    <t>qaba1238</t>
  </si>
  <si>
    <t>Qabala</t>
  </si>
  <si>
    <t>qabe1238</t>
  </si>
  <si>
    <t>/=Haba</t>
  </si>
  <si>
    <t>qabi1235</t>
  </si>
  <si>
    <t>Pubiao-Qabiao</t>
  </si>
  <si>
    <t>laq</t>
  </si>
  <si>
    <t>qaja1238</t>
  </si>
  <si>
    <t>Qajar</t>
  </si>
  <si>
    <t>qala1238</t>
  </si>
  <si>
    <t>Qaladze</t>
  </si>
  <si>
    <t>qanj1241</t>
  </si>
  <si>
    <t>Q'anjob'al</t>
  </si>
  <si>
    <t>kjb</t>
  </si>
  <si>
    <t>qaqe1238</t>
  </si>
  <si>
    <t>Qaqet</t>
  </si>
  <si>
    <t>byx</t>
  </si>
  <si>
    <t>qara1243</t>
  </si>
  <si>
    <t>Qaragozlu</t>
  </si>
  <si>
    <t>qara1244</t>
  </si>
  <si>
    <t>Qarakhanid</t>
  </si>
  <si>
    <t>qash1240</t>
  </si>
  <si>
    <t>Qashqa'i</t>
  </si>
  <si>
    <t>qxq</t>
  </si>
  <si>
    <t>qash1241</t>
  </si>
  <si>
    <t>Qashqa-Darya Arabic</t>
  </si>
  <si>
    <t>qasi1234</t>
  </si>
  <si>
    <t>Qasim-Dhafir</t>
  </si>
  <si>
    <t>qata1238</t>
  </si>
  <si>
    <t>Qatabanian</t>
  </si>
  <si>
    <t>xqt</t>
  </si>
  <si>
    <t>qaua1234</t>
  </si>
  <si>
    <t>Central Gelao-Qau</t>
  </si>
  <si>
    <t>gqu</t>
  </si>
  <si>
    <t>qauu1238</t>
  </si>
  <si>
    <t>Qau</t>
  </si>
  <si>
    <t>qaza1238</t>
  </si>
  <si>
    <t>Qazakh</t>
  </si>
  <si>
    <t>qazv1239</t>
  </si>
  <si>
    <t>Qazvini</t>
  </si>
  <si>
    <t>unun9881</t>
  </si>
  <si>
    <t>Qazvinic</t>
  </si>
  <si>
    <t>qebe1239</t>
  </si>
  <si>
    <t>Qebena</t>
  </si>
  <si>
    <t>Qeltu</t>
  </si>
  <si>
    <t>qian1260</t>
  </si>
  <si>
    <t>Qianxi</t>
  </si>
  <si>
    <t>qian1262</t>
  </si>
  <si>
    <t>Qian Xi</t>
  </si>
  <si>
    <t>Qiangic</t>
  </si>
  <si>
    <t>qian1264</t>
  </si>
  <si>
    <t>Qiang</t>
  </si>
  <si>
    <t>qian1265</t>
  </si>
  <si>
    <t>Qiannan</t>
  </si>
  <si>
    <t>qian1266</t>
  </si>
  <si>
    <t>Qianzhong</t>
  </si>
  <si>
    <t>qide1238</t>
  </si>
  <si>
    <t>Qide</t>
  </si>
  <si>
    <t>qiii1237</t>
  </si>
  <si>
    <t>Qi</t>
  </si>
  <si>
    <t>qila1235</t>
  </si>
  <si>
    <t>Qila Muji</t>
  </si>
  <si>
    <t>ymq</t>
  </si>
  <si>
    <t>qili1234</t>
  </si>
  <si>
    <t>Qiliqiao</t>
  </si>
  <si>
    <t>Qimant</t>
  </si>
  <si>
    <t>ahg</t>
  </si>
  <si>
    <t>qina1238</t>
  </si>
  <si>
    <t>Qinati</t>
  </si>
  <si>
    <t>qing1238</t>
  </si>
  <si>
    <t>Qinghua Pumi</t>
  </si>
  <si>
    <t>qing1239</t>
  </si>
  <si>
    <t>Qingliu</t>
  </si>
  <si>
    <t>qing1240</t>
  </si>
  <si>
    <t>Qingdao Mandarin</t>
  </si>
  <si>
    <t>qing1241</t>
  </si>
  <si>
    <t>Qingtian</t>
  </si>
  <si>
    <t>qinl1235</t>
  </si>
  <si>
    <t>Qinlian</t>
  </si>
  <si>
    <t>qion1238</t>
  </si>
  <si>
    <t>Qiongshan</t>
  </si>
  <si>
    <t>Qiong-Lei</t>
  </si>
  <si>
    <t>qiqi1238</t>
  </si>
  <si>
    <t>Qiqiha'er</t>
  </si>
  <si>
    <t>qiub1238</t>
  </si>
  <si>
    <t>Qiubei Zhuang</t>
  </si>
  <si>
    <t>zqe</t>
  </si>
  <si>
    <t>Qom</t>
  </si>
  <si>
    <t>qomu1235</t>
  </si>
  <si>
    <t>Qomul</t>
  </si>
  <si>
    <t>qona1238</t>
  </si>
  <si>
    <t>Qonaqkend</t>
  </si>
  <si>
    <t>quan1241</t>
  </si>
  <si>
    <t>Quan Chet</t>
  </si>
  <si>
    <t>quan1242</t>
  </si>
  <si>
    <t>Quan Trang</t>
  </si>
  <si>
    <t>quan1243</t>
  </si>
  <si>
    <t>Quan-Zi</t>
  </si>
  <si>
    <t>quap1242</t>
  </si>
  <si>
    <t>Quapaw</t>
  </si>
  <si>
    <t>qua</t>
  </si>
  <si>
    <t>quba1239</t>
  </si>
  <si>
    <t>Quba (Indo-European)</t>
  </si>
  <si>
    <t>quba1245</t>
  </si>
  <si>
    <t>Quba (Turkic)</t>
  </si>
  <si>
    <t>quba1246</t>
  </si>
  <si>
    <t>Quba (Lezgian)</t>
  </si>
  <si>
    <t>quds1238</t>
  </si>
  <si>
    <t>Qudshanis</t>
  </si>
  <si>
    <t>queb1245</t>
  </si>
  <si>
    <t>Quebec Sign Language</t>
  </si>
  <si>
    <t>fcs</t>
  </si>
  <si>
    <t>queb1247</t>
  </si>
  <si>
    <t>Qu√©b√©cois</t>
  </si>
  <si>
    <t>queb1248</t>
  </si>
  <si>
    <t>Nunavik</t>
  </si>
  <si>
    <t>Quebec-Labrador Inuktitut</t>
  </si>
  <si>
    <t>Quechua IIB</t>
  </si>
  <si>
    <t>Quechua I</t>
  </si>
  <si>
    <t>Quechuan</t>
  </si>
  <si>
    <t>Quechua II</t>
  </si>
  <si>
    <t>Quechua IIC</t>
  </si>
  <si>
    <t>Quechua-Puquina</t>
  </si>
  <si>
    <t>quee1234</t>
  </si>
  <si>
    <t>Queensland Kanaka English</t>
  </si>
  <si>
    <t>quep1238</t>
  </si>
  <si>
    <t>Quepos</t>
  </si>
  <si>
    <t>quer1236</t>
  </si>
  <si>
    <t>Quer√©taro Otomi</t>
  </si>
  <si>
    <t>otq</t>
  </si>
  <si>
    <t>quer1237</t>
  </si>
  <si>
    <t>Querandi</t>
  </si>
  <si>
    <t>quet1238</t>
  </si>
  <si>
    <t>Quetta Pashto</t>
  </si>
  <si>
    <t>quet1239</t>
  </si>
  <si>
    <t>Quetzaltepec Mixe</t>
  </si>
  <si>
    <t>pxm</t>
  </si>
  <si>
    <t>quey1238</t>
  </si>
  <si>
    <t>Queyu</t>
  </si>
  <si>
    <t>qvy</t>
  </si>
  <si>
    <t>quia1235</t>
  </si>
  <si>
    <t>Quiavicuzas Zapotec</t>
  </si>
  <si>
    <t>zpj</t>
  </si>
  <si>
    <t>Quichean-Mamean</t>
  </si>
  <si>
    <t>Quiche-Achi</t>
  </si>
  <si>
    <t>quie1238</t>
  </si>
  <si>
    <t>quio1241</t>
  </si>
  <si>
    <t>Quier√≠ Zapotec</t>
  </si>
  <si>
    <t>quig1235</t>
  </si>
  <si>
    <t>Quignam</t>
  </si>
  <si>
    <t>Quileute</t>
  </si>
  <si>
    <t>qui</t>
  </si>
  <si>
    <t>quil1251</t>
  </si>
  <si>
    <t>Quillacinga</t>
  </si>
  <si>
    <t>quil1256</t>
  </si>
  <si>
    <t>twan1247</t>
  </si>
  <si>
    <t>Quilcene</t>
  </si>
  <si>
    <t>quil1257</t>
  </si>
  <si>
    <t>Quilifay</t>
  </si>
  <si>
    <t>quin1236</t>
  </si>
  <si>
    <t>Quinqui</t>
  </si>
  <si>
    <t>quq</t>
  </si>
  <si>
    <t>Quinault</t>
  </si>
  <si>
    <t>qun</t>
  </si>
  <si>
    <t>quin1252</t>
  </si>
  <si>
    <t>Quinigua</t>
  </si>
  <si>
    <t>quio1240</t>
  </si>
  <si>
    <t>Quiotepec Chinantec</t>
  </si>
  <si>
    <t>chq</t>
  </si>
  <si>
    <t>Quioquitani-Quieri Zapotec</t>
  </si>
  <si>
    <t>ztq</t>
  </si>
  <si>
    <t>quio1242</t>
  </si>
  <si>
    <t>Quioquitani Zapotec</t>
  </si>
  <si>
    <t>quir1245</t>
  </si>
  <si>
    <t>Quirruba</t>
  </si>
  <si>
    <t>quji1234</t>
  </si>
  <si>
    <t>Qujiang Hakka-Shibei Shaoguan Tuhua</t>
  </si>
  <si>
    <t>qunq1234</t>
  </si>
  <si>
    <t>Qunqi</t>
  </si>
  <si>
    <t>qwab1238</t>
  </si>
  <si>
    <t>Qwabe</t>
  </si>
  <si>
    <t>qyzy1236</t>
  </si>
  <si>
    <t>Qyzylbash</t>
  </si>
  <si>
    <t>qyzy1242</t>
  </si>
  <si>
    <t>Qyzyl Qazma</t>
  </si>
  <si>
    <t>raba1246</t>
  </si>
  <si>
    <t>Rabari</t>
  </si>
  <si>
    <t>raba1247</t>
  </si>
  <si>
    <t>Rabah</t>
  </si>
  <si>
    <t>raba1248</t>
  </si>
  <si>
    <t>Rabai</t>
  </si>
  <si>
    <t>raba1252</t>
  </si>
  <si>
    <t>Rabat-Casablanca Arabic</t>
  </si>
  <si>
    <t>Rabha</t>
  </si>
  <si>
    <t>rah</t>
  </si>
  <si>
    <t>rach1238</t>
  </si>
  <si>
    <t>Racha-Lexchxum</t>
  </si>
  <si>
    <t>Rade</t>
  </si>
  <si>
    <t>rad</t>
  </si>
  <si>
    <t>Rade-Jarai</t>
  </si>
  <si>
    <t>raet1238</t>
  </si>
  <si>
    <t>Raetic</t>
  </si>
  <si>
    <t>xrr</t>
  </si>
  <si>
    <t>ragh1238</t>
  </si>
  <si>
    <t>Raghobansi</t>
  </si>
  <si>
    <t>ragr1238</t>
  </si>
  <si>
    <t>Ragreig</t>
  </si>
  <si>
    <t>raha1237</t>
  </si>
  <si>
    <t>Rahambuu</t>
  </si>
  <si>
    <t>raz</t>
  </si>
  <si>
    <t>rahu1234</t>
  </si>
  <si>
    <t>Rahung</t>
  </si>
  <si>
    <t>Rai Coast</t>
  </si>
  <si>
    <t>raig1237</t>
  </si>
  <si>
    <t>Raigarh</t>
  </si>
  <si>
    <t>raii1238</t>
  </si>
  <si>
    <t>Rai (Ledo Kaili)</t>
  </si>
  <si>
    <t>raii1243</t>
  </si>
  <si>
    <t>Rai</t>
  </si>
  <si>
    <t>raii1244</t>
  </si>
  <si>
    <t>sout3010</t>
  </si>
  <si>
    <t>Rai (Southern Roglai)</t>
  </si>
  <si>
    <t>raij1237</t>
  </si>
  <si>
    <t>Raijua</t>
  </si>
  <si>
    <t>rain1239</t>
  </si>
  <si>
    <t>Rainy River Ojibwa</t>
  </si>
  <si>
    <t>raio1237</t>
  </si>
  <si>
    <t>Raio</t>
  </si>
  <si>
    <t>raip1238</t>
  </si>
  <si>
    <t>Raipur</t>
  </si>
  <si>
    <t>rait1238</t>
  </si>
  <si>
    <t>Raite</t>
  </si>
  <si>
    <t>raiv1237</t>
  </si>
  <si>
    <t>Raivavae</t>
  </si>
  <si>
    <t>raja1250</t>
  </si>
  <si>
    <t>Rajawadi</t>
  </si>
  <si>
    <t>raja1252</t>
  </si>
  <si>
    <t>Rajar Gang</t>
  </si>
  <si>
    <t>raja1254</t>
  </si>
  <si>
    <t>Rajah Kabunsuwan Manobo</t>
  </si>
  <si>
    <t>mqk</t>
  </si>
  <si>
    <t>Raja Ampat-South Halmahera</t>
  </si>
  <si>
    <t>Rajasthani</t>
  </si>
  <si>
    <t>Raja Ampat Maya</t>
  </si>
  <si>
    <t>rajb1243</t>
  </si>
  <si>
    <t>west2382</t>
  </si>
  <si>
    <t>Rajbanshi</t>
  </si>
  <si>
    <t>rjs</t>
  </si>
  <si>
    <t>rajb1244</t>
  </si>
  <si>
    <t>Rajbanshi (Retired)</t>
  </si>
  <si>
    <t>rjb</t>
  </si>
  <si>
    <t>raji1239</t>
  </si>
  <si>
    <t>Raji-Raute</t>
  </si>
  <si>
    <t>raji1240</t>
  </si>
  <si>
    <t>Raji</t>
  </si>
  <si>
    <t>rji</t>
  </si>
  <si>
    <t>rajk1238</t>
  </si>
  <si>
    <t>Rajkoti</t>
  </si>
  <si>
    <t>rajo1237</t>
  </si>
  <si>
    <t>waer1238</t>
  </si>
  <si>
    <t>Rajong</t>
  </si>
  <si>
    <t>rjg</t>
  </si>
  <si>
    <t>rajp1235</t>
  </si>
  <si>
    <t>Rajput Garasia</t>
  </si>
  <si>
    <t>gra</t>
  </si>
  <si>
    <t>rajs1238</t>
  </si>
  <si>
    <t>Rajshahi</t>
  </si>
  <si>
    <t>raju1237</t>
  </si>
  <si>
    <t>Rajura</t>
  </si>
  <si>
    <t>raka1237</t>
  </si>
  <si>
    <t>Rakahanga-Manihiki</t>
  </si>
  <si>
    <t>rkh</t>
  </si>
  <si>
    <t>rakh1244</t>
  </si>
  <si>
    <t>west2368</t>
  </si>
  <si>
    <t>Rakhshani</t>
  </si>
  <si>
    <t>rakh1245</t>
  </si>
  <si>
    <t>Rakhine</t>
  </si>
  <si>
    <t>rki</t>
  </si>
  <si>
    <t>rakh1246</t>
  </si>
  <si>
    <t>Rakheli</t>
  </si>
  <si>
    <t>raku1237</t>
  </si>
  <si>
    <t>Rakunei</t>
  </si>
  <si>
    <t>rali1240</t>
  </si>
  <si>
    <t>Raliang</t>
  </si>
  <si>
    <t>rali1241</t>
  </si>
  <si>
    <t>R√§lik</t>
  </si>
  <si>
    <t>ralt1242</t>
  </si>
  <si>
    <t>Ralte</t>
  </si>
  <si>
    <t>ral</t>
  </si>
  <si>
    <t>ralt1243</t>
  </si>
  <si>
    <t>Ralte (Lushai)</t>
  </si>
  <si>
    <t>ralu1237</t>
  </si>
  <si>
    <t>Raluana</t>
  </si>
  <si>
    <t>rama1256</t>
  </si>
  <si>
    <t>Ramand</t>
  </si>
  <si>
    <t>Ramarama</t>
  </si>
  <si>
    <t>rama1270</t>
  </si>
  <si>
    <t>Rama</t>
  </si>
  <si>
    <t>rma</t>
  </si>
  <si>
    <t>rama1271</t>
  </si>
  <si>
    <t>Ramanos</t>
  </si>
  <si>
    <t>Ramand-Karaj</t>
  </si>
  <si>
    <t>ramb1240</t>
  </si>
  <si>
    <t>Rambani</t>
  </si>
  <si>
    <t>ramb1241</t>
  </si>
  <si>
    <t>Rambuso</t>
  </si>
  <si>
    <t>rame1238</t>
  </si>
  <si>
    <t>Ramechap</t>
  </si>
  <si>
    <t>ramk1239</t>
  </si>
  <si>
    <t>Ramkokamekra</t>
  </si>
  <si>
    <t>Ram</t>
  </si>
  <si>
    <t>ramo1243</t>
  </si>
  <si>
    <t>Ramo</t>
  </si>
  <si>
    <t>Ramoaaina</t>
  </si>
  <si>
    <t>rai</t>
  </si>
  <si>
    <t>ramo1245</t>
  </si>
  <si>
    <t>Ramopa</t>
  </si>
  <si>
    <t>kjx</t>
  </si>
  <si>
    <t>ramp1242</t>
  </si>
  <si>
    <t>Rampuri</t>
  </si>
  <si>
    <t>Rampi</t>
  </si>
  <si>
    <t>lje</t>
  </si>
  <si>
    <t>Ramu</t>
  </si>
  <si>
    <t>rana1245</t>
  </si>
  <si>
    <t>Ranawat</t>
  </si>
  <si>
    <t>rana1246</t>
  </si>
  <si>
    <t>Rana Tharu</t>
  </si>
  <si>
    <t>thr</t>
  </si>
  <si>
    <t>rana1247</t>
  </si>
  <si>
    <t>Rana</t>
  </si>
  <si>
    <t>rana1248</t>
  </si>
  <si>
    <t>Ranau</t>
  </si>
  <si>
    <t>rana1249</t>
  </si>
  <si>
    <t>Ranau (Retired)</t>
  </si>
  <si>
    <t>rae</t>
  </si>
  <si>
    <t>rand1239</t>
  </si>
  <si>
    <t>Randawaya</t>
  </si>
  <si>
    <t>rang1262</t>
  </si>
  <si>
    <t>Rangari (Malvi)</t>
  </si>
  <si>
    <t>rang1263</t>
  </si>
  <si>
    <t>Rangri</t>
  </si>
  <si>
    <t>rang1264</t>
  </si>
  <si>
    <t>Rangari</t>
  </si>
  <si>
    <t>rang1265</t>
  </si>
  <si>
    <t>Rangpuri</t>
  </si>
  <si>
    <t>rkt</t>
  </si>
  <si>
    <t>rang1266</t>
  </si>
  <si>
    <t>Rangkas</t>
  </si>
  <si>
    <t>rgk</t>
  </si>
  <si>
    <t>Halam</t>
  </si>
  <si>
    <t>rnl</t>
  </si>
  <si>
    <t>rang1268</t>
  </si>
  <si>
    <t>Rangdania</t>
  </si>
  <si>
    <t>rang1269</t>
  </si>
  <si>
    <t>Rang</t>
  </si>
  <si>
    <t>rax</t>
  </si>
  <si>
    <t>rang1270</t>
  </si>
  <si>
    <t>Ranga</t>
  </si>
  <si>
    <t>rang1271</t>
  </si>
  <si>
    <t>Ranglong</t>
  </si>
  <si>
    <t>rani1238</t>
  </si>
  <si>
    <t>Rani Bhil</t>
  </si>
  <si>
    <t>ranm1238</t>
  </si>
  <si>
    <t>R√°nmo</t>
  </si>
  <si>
    <t>rant1238</t>
  </si>
  <si>
    <t>Rantepao</t>
  </si>
  <si>
    <t>rany1238</t>
  </si>
  <si>
    <t>Ranya</t>
  </si>
  <si>
    <t>rany1242</t>
  </si>
  <si>
    <t>Ranye</t>
  </si>
  <si>
    <t>raoj1238</t>
  </si>
  <si>
    <t>Raojin</t>
  </si>
  <si>
    <t>Rao</t>
  </si>
  <si>
    <t>rao</t>
  </si>
  <si>
    <t>rapa1244</t>
  </si>
  <si>
    <t>Rapanui</t>
  </si>
  <si>
    <t>rap</t>
  </si>
  <si>
    <t>rapa1245</t>
  </si>
  <si>
    <t>Old Rapa</t>
  </si>
  <si>
    <t>ray</t>
  </si>
  <si>
    <t>rapi1237</t>
  </si>
  <si>
    <t>Rapitok</t>
  </si>
  <si>
    <t>rapo1238</t>
  </si>
  <si>
    <t>Rapoisi</t>
  </si>
  <si>
    <t>kyx</t>
  </si>
  <si>
    <t>rapt1240</t>
  </si>
  <si>
    <t>Rapting</t>
  </si>
  <si>
    <t>rpt</t>
  </si>
  <si>
    <t>rara1235</t>
  </si>
  <si>
    <t>rara1236</t>
  </si>
  <si>
    <t>Rara Bakati'</t>
  </si>
  <si>
    <t>lra</t>
  </si>
  <si>
    <t>Rara-Sara Bakati'</t>
  </si>
  <si>
    <t>rard1238</t>
  </si>
  <si>
    <t>Rardro Bhil</t>
  </si>
  <si>
    <t>Southern Cook Island Maori</t>
  </si>
  <si>
    <t>rar</t>
  </si>
  <si>
    <t>raro1242</t>
  </si>
  <si>
    <t>Rarotonga</t>
  </si>
  <si>
    <t>rasa1242</t>
  </si>
  <si>
    <t>Rasawa-Saponi</t>
  </si>
  <si>
    <t>rasa1243</t>
  </si>
  <si>
    <t>Rasawa</t>
  </si>
  <si>
    <t>rac</t>
  </si>
  <si>
    <t>rash1246</t>
  </si>
  <si>
    <t>Rashti</t>
  </si>
  <si>
    <t>rash1248</t>
  </si>
  <si>
    <t>Rashad Town-Hills</t>
  </si>
  <si>
    <t>Rashad</t>
  </si>
  <si>
    <t>rasu1238</t>
  </si>
  <si>
    <t>Rasuwa</t>
  </si>
  <si>
    <t>rata1243</t>
  </si>
  <si>
    <t>Ratak</t>
  </si>
  <si>
    <t>rata1244</t>
  </si>
  <si>
    <t>Ratahan</t>
  </si>
  <si>
    <t>rth</t>
  </si>
  <si>
    <t>Ratagnon</t>
  </si>
  <si>
    <t>btn</t>
  </si>
  <si>
    <t>ratc1238</t>
  </si>
  <si>
    <t>Ratchaburi Pwo Karen</t>
  </si>
  <si>
    <t>rath1241</t>
  </si>
  <si>
    <t>Rathi</t>
  </si>
  <si>
    <t>rath1242</t>
  </si>
  <si>
    <t>Rathwi Bareli</t>
  </si>
  <si>
    <t>bgd</t>
  </si>
  <si>
    <t>rath1243</t>
  </si>
  <si>
    <t>Rathawi</t>
  </si>
  <si>
    <t>rtw</t>
  </si>
  <si>
    <t>rati1238</t>
  </si>
  <si>
    <t>Rati</t>
  </si>
  <si>
    <t>ratn1236</t>
  </si>
  <si>
    <t>Ratnawati</t>
  </si>
  <si>
    <t>rato1237</t>
  </si>
  <si>
    <t>Rato</t>
  </si>
  <si>
    <t>rats1237</t>
  </si>
  <si>
    <t>Ratsua</t>
  </si>
  <si>
    <t>ratt1234</t>
  </si>
  <si>
    <t>R√§ttvik</t>
  </si>
  <si>
    <t>raut1239</t>
  </si>
  <si>
    <t>raut1240</t>
  </si>
  <si>
    <t>Raute</t>
  </si>
  <si>
    <t>rau</t>
  </si>
  <si>
    <t>Raute-Rawat</t>
  </si>
  <si>
    <t>rava1238</t>
  </si>
  <si>
    <t>Ravai</t>
  </si>
  <si>
    <t>Ravula</t>
  </si>
  <si>
    <t>yea</t>
  </si>
  <si>
    <t>Ravulic</t>
  </si>
  <si>
    <t>rawa1264</t>
  </si>
  <si>
    <t>Rawat</t>
  </si>
  <si>
    <t>jnl</t>
  </si>
  <si>
    <t>Rawang</t>
  </si>
  <si>
    <t>raw</t>
  </si>
  <si>
    <t>rawa1266</t>
  </si>
  <si>
    <t>Rawas</t>
  </si>
  <si>
    <t>Rawa</t>
  </si>
  <si>
    <t>rwo</t>
  </si>
  <si>
    <t>rawa1268</t>
  </si>
  <si>
    <t>Rawas (Retired)</t>
  </si>
  <si>
    <t>rws</t>
  </si>
  <si>
    <t>rawa1269</t>
  </si>
  <si>
    <t>Rawa (Puroik)</t>
  </si>
  <si>
    <t>rawo1242</t>
  </si>
  <si>
    <t>Rawo (Bauro)</t>
  </si>
  <si>
    <t>rawo1243</t>
  </si>
  <si>
    <t>Rawo-Main Serra</t>
  </si>
  <si>
    <t>rawo1244</t>
  </si>
  <si>
    <t>Rawo</t>
  </si>
  <si>
    <t>rwa</t>
  </si>
  <si>
    <t>raya1237</t>
  </si>
  <si>
    <t>Rayalseema</t>
  </si>
  <si>
    <t>raya1242</t>
  </si>
  <si>
    <t>Raya</t>
  </si>
  <si>
    <t>rayo1235</t>
  </si>
  <si>
    <t>Ray√≥n Zoque</t>
  </si>
  <si>
    <t>zor</t>
  </si>
  <si>
    <t>raza1238</t>
  </si>
  <si>
    <t>Razajerdi</t>
  </si>
  <si>
    <t>rat</t>
  </si>
  <si>
    <t>razg1238</t>
  </si>
  <si>
    <t>Razgrad</t>
  </si>
  <si>
    <t>rdek1237</t>
  </si>
  <si>
    <t>Rde Kpa</t>
  </si>
  <si>
    <t>reao1237</t>
  </si>
  <si>
    <t>Reao</t>
  </si>
  <si>
    <t>reba1237</t>
  </si>
  <si>
    <t>Rebar</t>
  </si>
  <si>
    <t>rebk1234</t>
  </si>
  <si>
    <t>Rebkong</t>
  </si>
  <si>
    <t>redg1235</t>
  </si>
  <si>
    <t>Red Gelao</t>
  </si>
  <si>
    <t>gir</t>
  </si>
  <si>
    <t>redl1238</t>
  </si>
  <si>
    <t>Red Lake Chippewa</t>
  </si>
  <si>
    <t>redt1235</t>
  </si>
  <si>
    <t>Red Tai</t>
  </si>
  <si>
    <t>temo1244</t>
  </si>
  <si>
    <t>Reefs-Santa Cruz</t>
  </si>
  <si>
    <t>reel1238</t>
  </si>
  <si>
    <t>Reel</t>
  </si>
  <si>
    <t>atu</t>
  </si>
  <si>
    <t>regi1238</t>
  </si>
  <si>
    <t>Regi</t>
  </si>
  <si>
    <t>regn1234</t>
  </si>
  <si>
    <t>Regnitz</t>
  </si>
  <si>
    <t>reii1237</t>
  </si>
  <si>
    <t>Rei</t>
  </si>
  <si>
    <t>Rejang</t>
  </si>
  <si>
    <t>rej</t>
  </si>
  <si>
    <t>Rejang Kayan</t>
  </si>
  <si>
    <t>ree</t>
  </si>
  <si>
    <t>Rejang-Makaham Kayan</t>
  </si>
  <si>
    <t>rekh1239</t>
  </si>
  <si>
    <t>Rekhta</t>
  </si>
  <si>
    <t>rekk1238</t>
  </si>
  <si>
    <t>Rek</t>
  </si>
  <si>
    <t>reli1238</t>
  </si>
  <si>
    <t>Reli</t>
  </si>
  <si>
    <t>rei</t>
  </si>
  <si>
    <t>rema1238</t>
  </si>
  <si>
    <t>Rema</t>
  </si>
  <si>
    <t>bow</t>
  </si>
  <si>
    <t>remb1249</t>
  </si>
  <si>
    <t>Rembarrnga</t>
  </si>
  <si>
    <t>rmb</t>
  </si>
  <si>
    <t>Rembong-Wangka</t>
  </si>
  <si>
    <t>reb</t>
  </si>
  <si>
    <t>remb1251</t>
  </si>
  <si>
    <t>Remboken</t>
  </si>
  <si>
    <t>remo1247</t>
  </si>
  <si>
    <t>Hatang Kayi</t>
  </si>
  <si>
    <t>agv</t>
  </si>
  <si>
    <t>remo1248</t>
  </si>
  <si>
    <t>Remo of the Moa river</t>
  </si>
  <si>
    <t>rem</t>
  </si>
  <si>
    <t>remo1249</t>
  </si>
  <si>
    <t>Remo of the Jaquirana river</t>
  </si>
  <si>
    <t>remo1250</t>
  </si>
  <si>
    <t>Remo of the Blanco river</t>
  </si>
  <si>
    <t>remp1241</t>
  </si>
  <si>
    <t>Rempi</t>
  </si>
  <si>
    <t>rmp</t>
  </si>
  <si>
    <t>Rempic</t>
  </si>
  <si>
    <t>remu1237</t>
  </si>
  <si>
    <t>Remun</t>
  </si>
  <si>
    <t>lkj</t>
  </si>
  <si>
    <t>rend1243</t>
  </si>
  <si>
    <t>Rendille</t>
  </si>
  <si>
    <t>rel</t>
  </si>
  <si>
    <t>Rengao</t>
  </si>
  <si>
    <t>ren</t>
  </si>
  <si>
    <t>reng1253</t>
  </si>
  <si>
    <t>Rengma-Simi</t>
  </si>
  <si>
    <t>reng1254</t>
  </si>
  <si>
    <t>Rengjongmu</t>
  </si>
  <si>
    <t>reng1255</t>
  </si>
  <si>
    <t>Rengmitca</t>
  </si>
  <si>
    <t>renh1234</t>
  </si>
  <si>
    <t>Renhe Pumi</t>
  </si>
  <si>
    <t>renn1236</t>
  </si>
  <si>
    <t>Rennellese Sign Language</t>
  </si>
  <si>
    <t>rsi</t>
  </si>
  <si>
    <t>Rennell-Bellona</t>
  </si>
  <si>
    <t>mnv</t>
  </si>
  <si>
    <t>repa1237</t>
  </si>
  <si>
    <t>Repanbitip</t>
  </si>
  <si>
    <t>rpn</t>
  </si>
  <si>
    <t>rera1240</t>
  </si>
  <si>
    <t>Rerau</t>
  </si>
  <si>
    <t>rea</t>
  </si>
  <si>
    <t>rerb1235</t>
  </si>
  <si>
    <t>Rer Bare</t>
  </si>
  <si>
    <t>rer</t>
  </si>
  <si>
    <t>rere1240</t>
  </si>
  <si>
    <t>unua1238</t>
  </si>
  <si>
    <t>Rerep</t>
  </si>
  <si>
    <t>pgk</t>
  </si>
  <si>
    <t>resh1242</t>
  </si>
  <si>
    <t>Reshe</t>
  </si>
  <si>
    <t>res</t>
  </si>
  <si>
    <t>resi1246</t>
  </si>
  <si>
    <t>Resia</t>
  </si>
  <si>
    <t>resi1247</t>
  </si>
  <si>
    <t>Res√≠garo</t>
  </si>
  <si>
    <t>rgr</t>
  </si>
  <si>
    <t>rett1240</t>
  </si>
  <si>
    <t>Reta</t>
  </si>
  <si>
    <t>ret</t>
  </si>
  <si>
    <t>retu1239</t>
  </si>
  <si>
    <t>tani1257</t>
  </si>
  <si>
    <t>Retuar√£</t>
  </si>
  <si>
    <t>reun1238</t>
  </si>
  <si>
    <t>R√©union Creole French</t>
  </si>
  <si>
    <t>rcf</t>
  </si>
  <si>
    <t>RE</t>
  </si>
  <si>
    <t>rewa1238</t>
  </si>
  <si>
    <t>Rewandiz</t>
  </si>
  <si>
    <t>reye1240</t>
  </si>
  <si>
    <t>Reyesano</t>
  </si>
  <si>
    <t>rey</t>
  </si>
  <si>
    <t>Gyalrongic</t>
  </si>
  <si>
    <t>rhat1239</t>
  </si>
  <si>
    <t>Rhathabe</t>
  </si>
  <si>
    <t>rhin1241</t>
  </si>
  <si>
    <t>temb1270</t>
  </si>
  <si>
    <t>Rhinyihinyi</t>
  </si>
  <si>
    <t>Rhenish Franconian</t>
  </si>
  <si>
    <t>rhit1238</t>
  </si>
  <si>
    <t>Rhiti</t>
  </si>
  <si>
    <t>rhod1240</t>
  </si>
  <si>
    <t>Rhodanien</t>
  </si>
  <si>
    <t>riam1237</t>
  </si>
  <si>
    <t>Riam</t>
  </si>
  <si>
    <t>rian1260</t>
  </si>
  <si>
    <t>Riang</t>
  </si>
  <si>
    <t>rian1261</t>
  </si>
  <si>
    <t>Riang (Myanmar)</t>
  </si>
  <si>
    <t>ril</t>
  </si>
  <si>
    <t>rian1262</t>
  </si>
  <si>
    <t>Riang (India)</t>
  </si>
  <si>
    <t>ria</t>
  </si>
  <si>
    <t>rian1263</t>
  </si>
  <si>
    <t>Riantana</t>
  </si>
  <si>
    <t>ran</t>
  </si>
  <si>
    <t>rias1235</t>
  </si>
  <si>
    <t>Riasi</t>
  </si>
  <si>
    <t>riba1245</t>
  </si>
  <si>
    <t>Ribah</t>
  </si>
  <si>
    <t>riba1246</t>
  </si>
  <si>
    <t>Riban</t>
  </si>
  <si>
    <t>riba1250</t>
  </si>
  <si>
    <t>Ribaw</t>
  </si>
  <si>
    <t>riba1251</t>
  </si>
  <si>
    <t>Ribagor√ß√†</t>
  </si>
  <si>
    <t>ribb1238</t>
  </si>
  <si>
    <t>Ribbi</t>
  </si>
  <si>
    <t>ribe1238</t>
  </si>
  <si>
    <t>Ribe</t>
  </si>
  <si>
    <t>Rib-Gurdjar</t>
  </si>
  <si>
    <t>ribi1242</t>
  </si>
  <si>
    <t>Ribia</t>
  </si>
  <si>
    <t>ribi1243</t>
  </si>
  <si>
    <t>Ribina</t>
  </si>
  <si>
    <t>ribu1241</t>
  </si>
  <si>
    <t>Ribun</t>
  </si>
  <si>
    <t>rir</t>
  </si>
  <si>
    <t>rich1238</t>
  </si>
  <si>
    <t>Richa</t>
  </si>
  <si>
    <t>rida1239</t>
  </si>
  <si>
    <t>Ridan</t>
  </si>
  <si>
    <t>rien1238</t>
  </si>
  <si>
    <t>Rien</t>
  </si>
  <si>
    <t>rie</t>
  </si>
  <si>
    <t>Riffian</t>
  </si>
  <si>
    <t>rigb1238</t>
  </si>
  <si>
    <t>Rigbo</t>
  </si>
  <si>
    <t>rigo1234</t>
  </si>
  <si>
    <t>Rigolet Inuktitut</t>
  </si>
  <si>
    <t>rihu1237</t>
  </si>
  <si>
    <t>Rihu'a</t>
  </si>
  <si>
    <t>rija1234</t>
  </si>
  <si>
    <t>Rija</t>
  </si>
  <si>
    <t>rikb1245</t>
  </si>
  <si>
    <t>Rikbaktsa</t>
  </si>
  <si>
    <t>rkb</t>
  </si>
  <si>
    <t>rikv1238</t>
  </si>
  <si>
    <t>Rikvani</t>
  </si>
  <si>
    <t>rima1237</t>
  </si>
  <si>
    <t>Rimatara</t>
  </si>
  <si>
    <t>rinc1236</t>
  </si>
  <si>
    <t>Rinc√≥n Zapotec</t>
  </si>
  <si>
    <t>zar</t>
  </si>
  <si>
    <t>rind1238</t>
  </si>
  <si>
    <t>Rindre</t>
  </si>
  <si>
    <t>Ring</t>
  </si>
  <si>
    <t>Ringgou</t>
  </si>
  <si>
    <t>rgu</t>
  </si>
  <si>
    <t>rioc1237</t>
  </si>
  <si>
    <t>R√≠o Casacar√°</t>
  </si>
  <si>
    <t>riog1239</t>
  </si>
  <si>
    <t>Hunsrik</t>
  </si>
  <si>
    <t>hrx</t>
  </si>
  <si>
    <t>riom1237</t>
  </si>
  <si>
    <t>R√≠o Maracas</t>
  </si>
  <si>
    <t>rion1244</t>
  </si>
  <si>
    <t>Rion</t>
  </si>
  <si>
    <t>rion1245</t>
  </si>
  <si>
    <t>Rio Negro</t>
  </si>
  <si>
    <t>Ripuarian</t>
  </si>
  <si>
    <t>riri1237</t>
  </si>
  <si>
    <t>Ririo</t>
  </si>
  <si>
    <t>rri</t>
  </si>
  <si>
    <t>rirr1238</t>
  </si>
  <si>
    <t>Rirratjingu</t>
  </si>
  <si>
    <t>rita1239</t>
  </si>
  <si>
    <t>sout3142</t>
  </si>
  <si>
    <t>Ritarungo</t>
  </si>
  <si>
    <t>rit</t>
  </si>
  <si>
    <t>riti1238</t>
  </si>
  <si>
    <t>Ritime</t>
  </si>
  <si>
    <t>riun1237</t>
  </si>
  <si>
    <t>Riung</t>
  </si>
  <si>
    <t>riu</t>
  </si>
  <si>
    <t>Riverine Phula</t>
  </si>
  <si>
    <t>rive1257</t>
  </si>
  <si>
    <t>sang1327</t>
  </si>
  <si>
    <t>Riverain Sango</t>
  </si>
  <si>
    <t>snj</t>
  </si>
  <si>
    <t>rive1258</t>
  </si>
  <si>
    <t>Rivercess Bassa</t>
  </si>
  <si>
    <t>rive1259</t>
  </si>
  <si>
    <t>River Cess Gio</t>
  </si>
  <si>
    <t>River Yuman</t>
  </si>
  <si>
    <t>rive1261</t>
  </si>
  <si>
    <t>River Nivacl√©</t>
  </si>
  <si>
    <t>River Oti North Guang</t>
  </si>
  <si>
    <t>River Western Mundu-Baka</t>
  </si>
  <si>
    <t>riya1238</t>
  </si>
  <si>
    <t>Riyao</t>
  </si>
  <si>
    <t>rkan1234</t>
  </si>
  <si>
    <t>Rkangtsha</t>
  </si>
  <si>
    <t>rmag1234</t>
  </si>
  <si>
    <t>Rmagsar</t>
  </si>
  <si>
    <t>rmas1234</t>
  </si>
  <si>
    <t>Rmastod</t>
  </si>
  <si>
    <t>roba1240</t>
  </si>
  <si>
    <t>Roba</t>
  </si>
  <si>
    <t>Rockhampton-Gladstone</t>
  </si>
  <si>
    <t>rock1235</t>
  </si>
  <si>
    <t>Rock Huron</t>
  </si>
  <si>
    <t>roco1235</t>
  </si>
  <si>
    <t>Rocorona</t>
  </si>
  <si>
    <t>rodi1239</t>
  </si>
  <si>
    <t>sinh1246</t>
  </si>
  <si>
    <t>Rodiya</t>
  </si>
  <si>
    <t>rodo1240</t>
  </si>
  <si>
    <t>Rodosto</t>
  </si>
  <si>
    <t>rofi1238</t>
  </si>
  <si>
    <t>Rofia</t>
  </si>
  <si>
    <t>roge1238</t>
  </si>
  <si>
    <t>Rogede</t>
  </si>
  <si>
    <t>rogo1238</t>
  </si>
  <si>
    <t>rogo1239</t>
  </si>
  <si>
    <t>Rogo</t>
  </si>
  <si>
    <t>rod</t>
  </si>
  <si>
    <t>Rogo-Sagamuk-Sama-Sambuga</t>
  </si>
  <si>
    <t>Rogue River</t>
  </si>
  <si>
    <t>rohi1238</t>
  </si>
  <si>
    <t>Rohingya</t>
  </si>
  <si>
    <t>rhg</t>
  </si>
  <si>
    <t>roho1238</t>
  </si>
  <si>
    <t>Rohomoni</t>
  </si>
  <si>
    <t>rohr1238</t>
  </si>
  <si>
    <t>Rohruri</t>
  </si>
  <si>
    <t>rois1241</t>
  </si>
  <si>
    <t>Ro'is</t>
  </si>
  <si>
    <t>rois1242</t>
  </si>
  <si>
    <t>Ro'is Tais Nonof</t>
  </si>
  <si>
    <t>rois1243</t>
  </si>
  <si>
    <t>Ro'is Hero</t>
  </si>
  <si>
    <t>rokh1238</t>
  </si>
  <si>
    <t>Rokhung</t>
  </si>
  <si>
    <t>rokk1238</t>
  </si>
  <si>
    <t>Rok</t>
  </si>
  <si>
    <t>rolo1241</t>
  </si>
  <si>
    <t>Rolong</t>
  </si>
  <si>
    <t>roma1240</t>
  </si>
  <si>
    <t>Romano-Greek</t>
  </si>
  <si>
    <t>rge</t>
  </si>
  <si>
    <t>roma1241</t>
  </si>
  <si>
    <t>serb1269</t>
  </si>
  <si>
    <t>Romano-Serbian</t>
  </si>
  <si>
    <t>rsb</t>
  </si>
  <si>
    <t>RS</t>
  </si>
  <si>
    <t>roma1324</t>
  </si>
  <si>
    <t>Romanian Sign Language</t>
  </si>
  <si>
    <t>rms</t>
  </si>
  <si>
    <t>Romansh</t>
  </si>
  <si>
    <t>roh</t>
  </si>
  <si>
    <t>AT CH IT</t>
  </si>
  <si>
    <t>Romanian</t>
  </si>
  <si>
    <t>BG HU MD RO RS UA</t>
  </si>
  <si>
    <t>Romagnol</t>
  </si>
  <si>
    <t>rgn</t>
  </si>
  <si>
    <t>Romani</t>
  </si>
  <si>
    <t>rom</t>
  </si>
  <si>
    <t>Northern Romani</t>
  </si>
  <si>
    <t>roma1331</t>
  </si>
  <si>
    <t>Romam</t>
  </si>
  <si>
    <t>rmx</t>
  </si>
  <si>
    <t>roma1332</t>
  </si>
  <si>
    <t>Roma</t>
  </si>
  <si>
    <t>rmm</t>
  </si>
  <si>
    <t>roma1333</t>
  </si>
  <si>
    <t>Romanian Pidgin Arabic</t>
  </si>
  <si>
    <t>Romance</t>
  </si>
  <si>
    <t>Romance-based pidgin</t>
  </si>
  <si>
    <t>roma1336</t>
  </si>
  <si>
    <t>Romacilikanes</t>
  </si>
  <si>
    <t>roma1337</t>
  </si>
  <si>
    <t>Romano</t>
  </si>
  <si>
    <t>Rombo</t>
  </si>
  <si>
    <t>rof</t>
  </si>
  <si>
    <t>Romblomanon</t>
  </si>
  <si>
    <t>rol</t>
  </si>
  <si>
    <t>romb1246</t>
  </si>
  <si>
    <t>Romblon</t>
  </si>
  <si>
    <t>romk1240</t>
  </si>
  <si>
    <t>Romkun</t>
  </si>
  <si>
    <t>rmk</t>
  </si>
  <si>
    <t>ronc1236</t>
  </si>
  <si>
    <t>Roncalese</t>
  </si>
  <si>
    <t>rond1238</t>
  </si>
  <si>
    <t>Rondu</t>
  </si>
  <si>
    <t>rong1261</t>
  </si>
  <si>
    <t>Labrang</t>
  </si>
  <si>
    <t>Conservative Amdo Farmer</t>
  </si>
  <si>
    <t>Rongpo</t>
  </si>
  <si>
    <t>rnp</t>
  </si>
  <si>
    <t>rong1265</t>
  </si>
  <si>
    <t>Rong Kethang</t>
  </si>
  <si>
    <t>rong1266</t>
  </si>
  <si>
    <t>Rongmei Naga</t>
  </si>
  <si>
    <t>nbu</t>
  </si>
  <si>
    <t>rong1267</t>
  </si>
  <si>
    <t>Rongrang</t>
  </si>
  <si>
    <t>tswa1254</t>
  </si>
  <si>
    <t>Ronga</t>
  </si>
  <si>
    <t>rng</t>
  </si>
  <si>
    <t>MZ ZA</t>
  </si>
  <si>
    <t>rong1269</t>
  </si>
  <si>
    <t>Rongga</t>
  </si>
  <si>
    <t>ror</t>
  </si>
  <si>
    <t>rong1270</t>
  </si>
  <si>
    <t>Rongkong</t>
  </si>
  <si>
    <t>rong1271</t>
  </si>
  <si>
    <t>Rongcheng Mandarin</t>
  </si>
  <si>
    <t>Ronic</t>
  </si>
  <si>
    <t>ronj1237</t>
  </si>
  <si>
    <t>Ronji</t>
  </si>
  <si>
    <t>roe</t>
  </si>
  <si>
    <t>Ron</t>
  </si>
  <si>
    <t>cla</t>
  </si>
  <si>
    <t>ronr1238</t>
  </si>
  <si>
    <t>Ronrang</t>
  </si>
  <si>
    <t>roon1237</t>
  </si>
  <si>
    <t>Roon</t>
  </si>
  <si>
    <t>rnn</t>
  </si>
  <si>
    <t>rooo1240</t>
  </si>
  <si>
    <t>Ro</t>
  </si>
  <si>
    <t>Roosevelt</t>
  </si>
  <si>
    <t>root1238</t>
  </si>
  <si>
    <t>Rootigaanga</t>
  </si>
  <si>
    <t>roqu1234</t>
  </si>
  <si>
    <t>Roquetas Pidgin Spanish</t>
  </si>
  <si>
    <t>rori1237</t>
  </si>
  <si>
    <t>Mores</t>
  </si>
  <si>
    <t>rga</t>
  </si>
  <si>
    <t>roro1238</t>
  </si>
  <si>
    <t>Roro</t>
  </si>
  <si>
    <t>rorr1238</t>
  </si>
  <si>
    <t>Ror</t>
  </si>
  <si>
    <t>rosa1238</t>
  </si>
  <si>
    <t>Rosarito Cora</t>
  </si>
  <si>
    <t>Roshani-Khufi</t>
  </si>
  <si>
    <t>roso1237</t>
  </si>
  <si>
    <t>Roso</t>
  </si>
  <si>
    <t>ross1234</t>
  </si>
  <si>
    <t>Rossellon√®s</t>
  </si>
  <si>
    <t>rota1237</t>
  </si>
  <si>
    <t>Rotanese Chamorro</t>
  </si>
  <si>
    <t>roti1238</t>
  </si>
  <si>
    <t>Roti</t>
  </si>
  <si>
    <t>Rotinese</t>
  </si>
  <si>
    <t>roto1247</t>
  </si>
  <si>
    <t>Rotorua-Taupo</t>
  </si>
  <si>
    <t>Rotokas-Askopan</t>
  </si>
  <si>
    <t>Rotokas</t>
  </si>
  <si>
    <t>roo</t>
  </si>
  <si>
    <t>rotu1241</t>
  </si>
  <si>
    <t>Rotuman</t>
  </si>
  <si>
    <t>rtm</t>
  </si>
  <si>
    <t>roua1238</t>
  </si>
  <si>
    <t>Roua</t>
  </si>
  <si>
    <t>rout1237</t>
  </si>
  <si>
    <t>Routa</t>
  </si>
  <si>
    <t>rovi1238</t>
  </si>
  <si>
    <t>Roviana</t>
  </si>
  <si>
    <t>rug</t>
  </si>
  <si>
    <t>Rovianic</t>
  </si>
  <si>
    <t>roxb1234</t>
  </si>
  <si>
    <t>Roxburgh Scots</t>
  </si>
  <si>
    <t>rram1234</t>
  </si>
  <si>
    <t>Rramaneshti</t>
  </si>
  <si>
    <t>rrkp1234</t>
  </si>
  <si>
    <t>Rrkphadha</t>
  </si>
  <si>
    <t>rtse1234</t>
  </si>
  <si>
    <t>Rtsekhog</t>
  </si>
  <si>
    <t>ruaa1237</t>
  </si>
  <si>
    <t>Rua</t>
  </si>
  <si>
    <t>rual1239</t>
  </si>
  <si>
    <t>Rual</t>
  </si>
  <si>
    <t>rucc1239</t>
  </si>
  <si>
    <t>Ruc</t>
  </si>
  <si>
    <t>Ruching Palaung</t>
  </si>
  <si>
    <t>pce</t>
  </si>
  <si>
    <t>rucu1237</t>
  </si>
  <si>
    <t>Rucuyen</t>
  </si>
  <si>
    <t>rudb1238</t>
  </si>
  <si>
    <t>Rudbari</t>
  </si>
  <si>
    <t>rdb</t>
  </si>
  <si>
    <t>ruee1238</t>
  </si>
  <si>
    <t>Rue</t>
  </si>
  <si>
    <t>rufi1234</t>
  </si>
  <si>
    <t>Rufiji</t>
  </si>
  <si>
    <t>rui</t>
  </si>
  <si>
    <t>rufi1235</t>
  </si>
  <si>
    <t>Rufiji-Ruvuma</t>
  </si>
  <si>
    <t>Rufijic</t>
  </si>
  <si>
    <t>rufu1238</t>
  </si>
  <si>
    <t>Rufumbira</t>
  </si>
  <si>
    <t>ruga1238</t>
  </si>
  <si>
    <t>Ruga</t>
  </si>
  <si>
    <t>ruh</t>
  </si>
  <si>
    <t>ruhu1238</t>
  </si>
  <si>
    <t>Ruhu</t>
  </si>
  <si>
    <t>ruko1238</t>
  </si>
  <si>
    <t>Rukonjo</t>
  </si>
  <si>
    <t>ruku1239</t>
  </si>
  <si>
    <t>Rukul</t>
  </si>
  <si>
    <t>ruma1247</t>
  </si>
  <si>
    <t>Rumantsch Grischun</t>
  </si>
  <si>
    <t>ruma1248</t>
  </si>
  <si>
    <t>Rumai Palaung</t>
  </si>
  <si>
    <t>rbb</t>
  </si>
  <si>
    <t>ruma1249</t>
  </si>
  <si>
    <t>Ruma (Korku)</t>
  </si>
  <si>
    <t>ruma1250</t>
  </si>
  <si>
    <t>Ruma</t>
  </si>
  <si>
    <t>ruz</t>
  </si>
  <si>
    <t>ruma1251</t>
  </si>
  <si>
    <t>Rumanau</t>
  </si>
  <si>
    <t>rumb1239</t>
  </si>
  <si>
    <t>Rumberpon</t>
  </si>
  <si>
    <t>rumb1240</t>
  </si>
  <si>
    <t>Rumbia</t>
  </si>
  <si>
    <t>rume1240</t>
  </si>
  <si>
    <t>Rumelian</t>
  </si>
  <si>
    <t>rumm1238</t>
  </si>
  <si>
    <t>Rum</t>
  </si>
  <si>
    <t>rums1243</t>
  </si>
  <si>
    <t>Rumsen</t>
  </si>
  <si>
    <t>rumu1242</t>
  </si>
  <si>
    <t>Rumuji</t>
  </si>
  <si>
    <t>rumu1243</t>
  </si>
  <si>
    <t>Rumu</t>
  </si>
  <si>
    <t>klq</t>
  </si>
  <si>
    <t>runa1235</t>
  </si>
  <si>
    <t>Runa</t>
  </si>
  <si>
    <t>rna</t>
  </si>
  <si>
    <t>rund1241</t>
  </si>
  <si>
    <t>Rundi-Kitwa</t>
  </si>
  <si>
    <t>RW</t>
  </si>
  <si>
    <t>rund1242</t>
  </si>
  <si>
    <t>Rundi</t>
  </si>
  <si>
    <t>run</t>
  </si>
  <si>
    <t>rund1243</t>
  </si>
  <si>
    <t>Rundum</t>
  </si>
  <si>
    <t>rung1255</t>
  </si>
  <si>
    <t>Rungwa</t>
  </si>
  <si>
    <t>rnw</t>
  </si>
  <si>
    <t>rung1256</t>
  </si>
  <si>
    <t>Rungu</t>
  </si>
  <si>
    <t>Runga-Kibet</t>
  </si>
  <si>
    <t>rung1258</t>
  </si>
  <si>
    <t>Runga</t>
  </si>
  <si>
    <t>rou</t>
  </si>
  <si>
    <t>Rungus</t>
  </si>
  <si>
    <t>drg</t>
  </si>
  <si>
    <t>Rungus-Mangkaak-Labuk</t>
  </si>
  <si>
    <t>rupa1234</t>
  </si>
  <si>
    <t>sher1257</t>
  </si>
  <si>
    <t>Rupa</t>
  </si>
  <si>
    <t>rupi1234</t>
  </si>
  <si>
    <t>Rupini</t>
  </si>
  <si>
    <t>Rup</t>
  </si>
  <si>
    <t>rura1239</t>
  </si>
  <si>
    <t>Rural Peshawar Hindko</t>
  </si>
  <si>
    <t>rura1249</t>
  </si>
  <si>
    <t>Rural West Maltese</t>
  </si>
  <si>
    <t>rura1250</t>
  </si>
  <si>
    <t>Rural Central Maltese</t>
  </si>
  <si>
    <t>rura1251</t>
  </si>
  <si>
    <t>Rural East Maltese</t>
  </si>
  <si>
    <t>ruri1238</t>
  </si>
  <si>
    <t>Ruri</t>
  </si>
  <si>
    <t>ruru1237</t>
  </si>
  <si>
    <t>Rurutu</t>
  </si>
  <si>
    <t>rush1239</t>
  </si>
  <si>
    <t>Rushani</t>
  </si>
  <si>
    <t>russ1255</t>
  </si>
  <si>
    <t>Russian-Tajik Sign Language</t>
  </si>
  <si>
    <t>rsl</t>
  </si>
  <si>
    <t>BG RU</t>
  </si>
  <si>
    <t>BY CN EE FI GE KG KP KZ LT LV MD MN NO PL RO RU TM UA UZ</t>
  </si>
  <si>
    <t>Russia Buriat</t>
  </si>
  <si>
    <t>Russian River and Eastern</t>
  </si>
  <si>
    <t>Russian River</t>
  </si>
  <si>
    <t>russ1267</t>
  </si>
  <si>
    <t>Russenorsk</t>
  </si>
  <si>
    <t>Russian-Aleut</t>
  </si>
  <si>
    <t>Russian-based pidgin</t>
  </si>
  <si>
    <t>Russian Sign</t>
  </si>
  <si>
    <t>rust1238</t>
  </si>
  <si>
    <t>Rustaqa</t>
  </si>
  <si>
    <t>ukra1257</t>
  </si>
  <si>
    <t>Rusyn</t>
  </si>
  <si>
    <t>rue</t>
  </si>
  <si>
    <t>BY HU PL RO SK UA</t>
  </si>
  <si>
    <t>ruta1240</t>
  </si>
  <si>
    <t>Rutagwenda</t>
  </si>
  <si>
    <t>ruta1241</t>
  </si>
  <si>
    <t>Rutah</t>
  </si>
  <si>
    <t>Rutara</t>
  </si>
  <si>
    <t>ruth1234</t>
  </si>
  <si>
    <t>Ruthok</t>
  </si>
  <si>
    <t>rutt1238</t>
  </si>
  <si>
    <t>Rut</t>
  </si>
  <si>
    <t>west2428</t>
  </si>
  <si>
    <t>Rutul</t>
  </si>
  <si>
    <t>rut</t>
  </si>
  <si>
    <t>rutw1238</t>
  </si>
  <si>
    <t>Rutwa</t>
  </si>
  <si>
    <t>Ruuli</t>
  </si>
  <si>
    <t>ruc</t>
  </si>
  <si>
    <t>Ruund</t>
  </si>
  <si>
    <t>rnd</t>
  </si>
  <si>
    <t>Ruund-Salampasu</t>
  </si>
  <si>
    <t>Ruund-Kete</t>
  </si>
  <si>
    <t>Ruvuma</t>
  </si>
  <si>
    <t>Ruvu</t>
  </si>
  <si>
    <t>Rwa</t>
  </si>
  <si>
    <t>rwk</t>
  </si>
  <si>
    <t>West Highlands Kivu</t>
  </si>
  <si>
    <t>rwan1245</t>
  </si>
  <si>
    <t>Rwanduz</t>
  </si>
  <si>
    <t>rymb1238</t>
  </si>
  <si>
    <t>Rymbai</t>
  </si>
  <si>
    <t>Ryukyuan</t>
  </si>
  <si>
    <t>Southern Ryukyu</t>
  </si>
  <si>
    <t>saaa1240</t>
  </si>
  <si>
    <t>Sa'a</t>
  </si>
  <si>
    <t>apb</t>
  </si>
  <si>
    <t>Sa</t>
  </si>
  <si>
    <t>sax</t>
  </si>
  <si>
    <t>Saafi-Saafi</t>
  </si>
  <si>
    <t>sav</t>
  </si>
  <si>
    <t>Saafi-Noon-Lehar</t>
  </si>
  <si>
    <t>Saam</t>
  </si>
  <si>
    <t>raq</t>
  </si>
  <si>
    <t>saam1283</t>
  </si>
  <si>
    <t>Saamia</t>
  </si>
  <si>
    <t>lsm</t>
  </si>
  <si>
    <t>Saamia-Wanga-Bukusu</t>
  </si>
  <si>
    <t>Saamia-Wanga</t>
  </si>
  <si>
    <t>saan1245</t>
  </si>
  <si>
    <t>Saan</t>
  </si>
  <si>
    <t>Saanich</t>
  </si>
  <si>
    <t>saan1247</t>
  </si>
  <si>
    <t>Saan Dan</t>
  </si>
  <si>
    <t>saar1237</t>
  </si>
  <si>
    <t>Saaroa</t>
  </si>
  <si>
    <t>sxr</t>
  </si>
  <si>
    <t>saar1238</t>
  </si>
  <si>
    <t>Saarlouis-Koblenz</t>
  </si>
  <si>
    <t>saar1239</t>
  </si>
  <si>
    <t>Saarburg-Pr√ºm</t>
  </si>
  <si>
    <t>saaw1241</t>
  </si>
  <si>
    <t>Saawii</t>
  </si>
  <si>
    <t>saaw1242</t>
  </si>
  <si>
    <t>Saawa</t>
  </si>
  <si>
    <t>saba1261</t>
  </si>
  <si>
    <t>Sabanga</t>
  </si>
  <si>
    <t>Sabaot</t>
  </si>
  <si>
    <t>spy</t>
  </si>
  <si>
    <t>saba1263</t>
  </si>
  <si>
    <t>Brunei-Sabah Malay</t>
  </si>
  <si>
    <t>msi</t>
  </si>
  <si>
    <t>saba1264</t>
  </si>
  <si>
    <t>Sabari</t>
  </si>
  <si>
    <t>saba1265</t>
  </si>
  <si>
    <t>Sa'ban</t>
  </si>
  <si>
    <t>snv</t>
  </si>
  <si>
    <t>saba1267</t>
  </si>
  <si>
    <t>Sabah Bisaya</t>
  </si>
  <si>
    <t>bsy</t>
  </si>
  <si>
    <t>saba1268</t>
  </si>
  <si>
    <t>Saban√™</t>
  </si>
  <si>
    <t>sae</t>
  </si>
  <si>
    <t>saba1272</t>
  </si>
  <si>
    <t>Sabanero</t>
  </si>
  <si>
    <t>saba1276</t>
  </si>
  <si>
    <t>saba1281</t>
  </si>
  <si>
    <t>Saba</t>
  </si>
  <si>
    <t>saa</t>
  </si>
  <si>
    <t>saba1279</t>
  </si>
  <si>
    <t>Sabaic</t>
  </si>
  <si>
    <t>xsa</t>
  </si>
  <si>
    <t>Sabakor</t>
  </si>
  <si>
    <t>Saba-Sokoro-Tamki</t>
  </si>
  <si>
    <t>Sabaki-Swahili</t>
  </si>
  <si>
    <t>sabe1248</t>
  </si>
  <si>
    <t>Old Sabellic</t>
  </si>
  <si>
    <t>qhr</t>
  </si>
  <si>
    <t>Sabellic</t>
  </si>
  <si>
    <t>sabi1245</t>
  </si>
  <si>
    <t>Sabine</t>
  </si>
  <si>
    <t>sbv</t>
  </si>
  <si>
    <t>sabi1246</t>
  </si>
  <si>
    <t>Sabi (Uganda)</t>
  </si>
  <si>
    <t>sabi1247</t>
  </si>
  <si>
    <t>Sabiny</t>
  </si>
  <si>
    <t>Sabi</t>
  </si>
  <si>
    <t>sabo1240</t>
  </si>
  <si>
    <t>Sabo</t>
  </si>
  <si>
    <t>sabo1241</t>
  </si>
  <si>
    <t>Sabon</t>
  </si>
  <si>
    <t>sabu1246</t>
  </si>
  <si>
    <t>Sabuj√°</t>
  </si>
  <si>
    <t>sabu1253</t>
  </si>
  <si>
    <t>Sab√ºm</t>
  </si>
  <si>
    <t>sbo</t>
  </si>
  <si>
    <t>sabu1254</t>
  </si>
  <si>
    <t>Saburi</t>
  </si>
  <si>
    <t>Hawu</t>
  </si>
  <si>
    <t>hvn</t>
  </si>
  <si>
    <t>sabu1256</t>
  </si>
  <si>
    <t>Sabu (Papua New Guinea)</t>
  </si>
  <si>
    <t>saca1238</t>
  </si>
  <si>
    <t>Sacapulteco</t>
  </si>
  <si>
    <t>quv</t>
  </si>
  <si>
    <t>saca1239</t>
  </si>
  <si>
    <t>Sacata</t>
  </si>
  <si>
    <t>sacc1239</t>
  </si>
  <si>
    <t>Sac</t>
  </si>
  <si>
    <t>sach1240</t>
  </si>
  <si>
    <t>Sach</t>
  </si>
  <si>
    <t>sada1241</t>
  </si>
  <si>
    <t>Sadanga</t>
  </si>
  <si>
    <t>Sadani</t>
  </si>
  <si>
    <t>sado1237</t>
  </si>
  <si>
    <t>Sado</t>
  </si>
  <si>
    <t>Sadong-Rejang</t>
  </si>
  <si>
    <t>sadr1247</t>
  </si>
  <si>
    <t>Sadri (Maithili)</t>
  </si>
  <si>
    <t>Sadri</t>
  </si>
  <si>
    <t>sck</t>
  </si>
  <si>
    <t>sadr1249</t>
  </si>
  <si>
    <t>Sadri Korwa</t>
  </si>
  <si>
    <t>sadu1234</t>
  </si>
  <si>
    <t>Sadu</t>
  </si>
  <si>
    <t>Saek</t>
  </si>
  <si>
    <t>skb</t>
  </si>
  <si>
    <t>saep1240</t>
  </si>
  <si>
    <t>Saep</t>
  </si>
  <si>
    <t>spd</t>
  </si>
  <si>
    <t>safa1243</t>
  </si>
  <si>
    <t>Safaliba</t>
  </si>
  <si>
    <t>saf</t>
  </si>
  <si>
    <t>safa1244</t>
  </si>
  <si>
    <t>Safan√©</t>
  </si>
  <si>
    <t>safa1245</t>
  </si>
  <si>
    <t>Safaitic</t>
  </si>
  <si>
    <t>Safaliba-Dagaare</t>
  </si>
  <si>
    <t>safa1247</t>
  </si>
  <si>
    <t>Safaree Aweer</t>
  </si>
  <si>
    <t>Safeyoka</t>
  </si>
  <si>
    <t>apz</t>
  </si>
  <si>
    <t>Safwa</t>
  </si>
  <si>
    <t>sbk</t>
  </si>
  <si>
    <t>vidu1239</t>
  </si>
  <si>
    <t>Sagala</t>
  </si>
  <si>
    <t>sbm</t>
  </si>
  <si>
    <t>saga1260</t>
  </si>
  <si>
    <t>Sagai</t>
  </si>
  <si>
    <t>saga1261</t>
  </si>
  <si>
    <t>Sagadin</t>
  </si>
  <si>
    <t>tait1249</t>
  </si>
  <si>
    <t>Sagalla</t>
  </si>
  <si>
    <t>tga</t>
  </si>
  <si>
    <t>saga1263</t>
  </si>
  <si>
    <t>Sagaka</t>
  </si>
  <si>
    <t>saga1265</t>
  </si>
  <si>
    <t>Saga-ben</t>
  </si>
  <si>
    <t>Sagamuk-Sama-Sambuga</t>
  </si>
  <si>
    <t>sagb1238</t>
  </si>
  <si>
    <t>Sagbee</t>
  </si>
  <si>
    <t>sagw1238</t>
  </si>
  <si>
    <t>Sagwara</t>
  </si>
  <si>
    <t>sagz1238</t>
  </si>
  <si>
    <t>Sagzee</t>
  </si>
  <si>
    <t>Sahaptian</t>
  </si>
  <si>
    <t>Sahaptin</t>
  </si>
  <si>
    <t>Saharan</t>
  </si>
  <si>
    <t>sahi1237</t>
  </si>
  <si>
    <t>Sahibganj</t>
  </si>
  <si>
    <t>sahi1241</t>
  </si>
  <si>
    <t>Sahidic</t>
  </si>
  <si>
    <t>sahi1245</t>
  </si>
  <si>
    <t>Sahil</t>
  </si>
  <si>
    <t>Saho-Afar</t>
  </si>
  <si>
    <t>Saho</t>
  </si>
  <si>
    <t>ssy</t>
  </si>
  <si>
    <t>Sahuan</t>
  </si>
  <si>
    <t>sahu1246</t>
  </si>
  <si>
    <t>Sahu</t>
  </si>
  <si>
    <t>saj</t>
  </si>
  <si>
    <t>Sahu-Waioli</t>
  </si>
  <si>
    <t>Saidi Arabic</t>
  </si>
  <si>
    <t>aec</t>
  </si>
  <si>
    <t>said1240</t>
  </si>
  <si>
    <t>Saida Sunni Arabic</t>
  </si>
  <si>
    <t>saif1237</t>
  </si>
  <si>
    <t>Saifi</t>
  </si>
  <si>
    <t>saii1240</t>
  </si>
  <si>
    <t>Sai</t>
  </si>
  <si>
    <t>sain1244</t>
  </si>
  <si>
    <t>Saingbaun</t>
  </si>
  <si>
    <t>Saint Lucian Creole French</t>
  </si>
  <si>
    <t>DM TT</t>
  </si>
  <si>
    <t>saip1238</t>
  </si>
  <si>
    <t>Saipa</t>
  </si>
  <si>
    <t>saiq1238</t>
  </si>
  <si>
    <t>Saiqora</t>
  </si>
  <si>
    <t>sair1238</t>
  </si>
  <si>
    <t>Sairang</t>
  </si>
  <si>
    <t>saja1240</t>
  </si>
  <si>
    <t>Sajolang</t>
  </si>
  <si>
    <t>sjl</t>
  </si>
  <si>
    <t>Sajau-Latti</t>
  </si>
  <si>
    <t>sjb</t>
  </si>
  <si>
    <t>saka1282</t>
  </si>
  <si>
    <t>Sakai of Plus Korbu</t>
  </si>
  <si>
    <t>Sakachep</t>
  </si>
  <si>
    <t>sch</t>
  </si>
  <si>
    <t>saka1284</t>
  </si>
  <si>
    <t>Saaka</t>
  </si>
  <si>
    <t>saka1285</t>
  </si>
  <si>
    <t>Saka (DRC)</t>
  </si>
  <si>
    <t>saka1286</t>
  </si>
  <si>
    <t>Sakanyi</t>
  </si>
  <si>
    <t>Sakata</t>
  </si>
  <si>
    <t>skt</t>
  </si>
  <si>
    <t>saka1288</t>
  </si>
  <si>
    <t>Sakalagan</t>
  </si>
  <si>
    <t>Wanohe</t>
  </si>
  <si>
    <t>sku</t>
  </si>
  <si>
    <t>saka1290</t>
  </si>
  <si>
    <t>Sakar</t>
  </si>
  <si>
    <t>West Malagasy Sakalava</t>
  </si>
  <si>
    <t>saka1292</t>
  </si>
  <si>
    <t>saka1297</t>
  </si>
  <si>
    <t>Sakam</t>
  </si>
  <si>
    <t>skm</t>
  </si>
  <si>
    <t>saka1296</t>
  </si>
  <si>
    <t>Sakaya</t>
  </si>
  <si>
    <t>Sakam-Som</t>
  </si>
  <si>
    <t>Saka</t>
  </si>
  <si>
    <t>Western Malagasic</t>
  </si>
  <si>
    <t>saka1300</t>
  </si>
  <si>
    <t>Sakan</t>
  </si>
  <si>
    <t>xsk</t>
  </si>
  <si>
    <t>sake1246</t>
  </si>
  <si>
    <t>Sakechep</t>
  </si>
  <si>
    <t>sake1247</t>
  </si>
  <si>
    <t>Sake</t>
  </si>
  <si>
    <t>sak</t>
  </si>
  <si>
    <t>sake1248</t>
  </si>
  <si>
    <t>Sakei</t>
  </si>
  <si>
    <t>Sake-Ndambomo</t>
  </si>
  <si>
    <t>sakh1245</t>
  </si>
  <si>
    <t>Sakhalin Ainu</t>
  </si>
  <si>
    <t>saki1247</t>
  </si>
  <si>
    <t>Sakizaya</t>
  </si>
  <si>
    <t>saki1248</t>
  </si>
  <si>
    <t>Mekens</t>
  </si>
  <si>
    <t>skf</t>
  </si>
  <si>
    <t>saki1249</t>
  </si>
  <si>
    <t>Saki</t>
  </si>
  <si>
    <t>Luish</t>
  </si>
  <si>
    <t>sakk1240</t>
  </si>
  <si>
    <t>Sakkyryr</t>
  </si>
  <si>
    <t>sakm1234</t>
  </si>
  <si>
    <t>Sak (Myanmar)</t>
  </si>
  <si>
    <t>Sakon Nakhon</t>
  </si>
  <si>
    <t>sakp1238</t>
  </si>
  <si>
    <t>Sakpu</t>
  </si>
  <si>
    <t>saku1238</t>
  </si>
  <si>
    <t>Sakuye</t>
  </si>
  <si>
    <t>sala1263</t>
  </si>
  <si>
    <t>Salani</t>
  </si>
  <si>
    <t>slr</t>
  </si>
  <si>
    <t>sala1265</t>
  </si>
  <si>
    <t>Salatav</t>
  </si>
  <si>
    <t>sala1266</t>
  </si>
  <si>
    <t>Sala</t>
  </si>
  <si>
    <t>shq</t>
  </si>
  <si>
    <t>Salampasu</t>
  </si>
  <si>
    <t>slx</t>
  </si>
  <si>
    <t>sala1269</t>
  </si>
  <si>
    <t>Salas</t>
  </si>
  <si>
    <t>sgu</t>
  </si>
  <si>
    <t>sala1270</t>
  </si>
  <si>
    <t>Salalir</t>
  </si>
  <si>
    <t>sala1271</t>
  </si>
  <si>
    <t>Salaa</t>
  </si>
  <si>
    <t>sala1272</t>
  </si>
  <si>
    <t>Salasaca Highland Quichua</t>
  </si>
  <si>
    <t>qxl</t>
  </si>
  <si>
    <t>sala1273</t>
  </si>
  <si>
    <t>Salam√£i</t>
  </si>
  <si>
    <t>mnd</t>
  </si>
  <si>
    <t>sala1277</t>
  </si>
  <si>
    <t>Salale</t>
  </si>
  <si>
    <t>sala1281</t>
  </si>
  <si>
    <t>Salamas</t>
  </si>
  <si>
    <t>sala1282</t>
  </si>
  <si>
    <t>Salat (Catal√†)</t>
  </si>
  <si>
    <t>salc1238</t>
  </si>
  <si>
    <t>Salchuq</t>
  </si>
  <si>
    <t>slq</t>
  </si>
  <si>
    <t>sale1243</t>
  </si>
  <si>
    <t>Salewari</t>
  </si>
  <si>
    <t>sale1244</t>
  </si>
  <si>
    <t>Saleman</t>
  </si>
  <si>
    <t>sau</t>
  </si>
  <si>
    <t>sali1253</t>
  </si>
  <si>
    <t>Salinan</t>
  </si>
  <si>
    <t>sln</t>
  </si>
  <si>
    <t>Salishan</t>
  </si>
  <si>
    <t>suau1244</t>
  </si>
  <si>
    <t>Saliba</t>
  </si>
  <si>
    <t>sbe</t>
  </si>
  <si>
    <t>sali1296</t>
  </si>
  <si>
    <t>Salimana</t>
  </si>
  <si>
    <t>Saliban</t>
  </si>
  <si>
    <t>sali1298</t>
  </si>
  <si>
    <t>S√°liba</t>
  </si>
  <si>
    <t>slc</t>
  </si>
  <si>
    <t>sali1302</t>
  </si>
  <si>
    <t>Salitre-Cabagra</t>
  </si>
  <si>
    <t>sall1238</t>
  </si>
  <si>
    <t>Sallands</t>
  </si>
  <si>
    <t>sdz</t>
  </si>
  <si>
    <t>salm1240</t>
  </si>
  <si>
    <t>Salmas</t>
  </si>
  <si>
    <t>salo1238</t>
  </si>
  <si>
    <t>Salog</t>
  </si>
  <si>
    <t>salt1242</t>
  </si>
  <si>
    <t>Salt-Yui</t>
  </si>
  <si>
    <t>sll</t>
  </si>
  <si>
    <t>salu1250</t>
  </si>
  <si>
    <t>Salu Mokanam</t>
  </si>
  <si>
    <t>Saluan-Banggai</t>
  </si>
  <si>
    <t>Saluanic</t>
  </si>
  <si>
    <t>salu1253</t>
  </si>
  <si>
    <t>Saluan</t>
  </si>
  <si>
    <t>loe</t>
  </si>
  <si>
    <t>salu1254</t>
  </si>
  <si>
    <t>Salum√°</t>
  </si>
  <si>
    <t>slj</t>
  </si>
  <si>
    <t>salv1237</t>
  </si>
  <si>
    <t>Salvadoran Sign Language</t>
  </si>
  <si>
    <t>esn</t>
  </si>
  <si>
    <t>saly1244</t>
  </si>
  <si>
    <t>Salyr</t>
  </si>
  <si>
    <t>saly1245</t>
  </si>
  <si>
    <t>Salyan</t>
  </si>
  <si>
    <t>saly1246</t>
  </si>
  <si>
    <t>Salym Khanty</t>
  </si>
  <si>
    <t>sama1240</t>
  </si>
  <si>
    <t>Samarokena</t>
  </si>
  <si>
    <t>tmj</t>
  </si>
  <si>
    <t>sama1293</t>
  </si>
  <si>
    <t>Samaria</t>
  </si>
  <si>
    <t>sama1294</t>
  </si>
  <si>
    <t>Sama (Nepal)</t>
  </si>
  <si>
    <t>sama1295</t>
  </si>
  <si>
    <t>Samatao</t>
  </si>
  <si>
    <t>ysd</t>
  </si>
  <si>
    <t>sama1296</t>
  </si>
  <si>
    <t>Samatu</t>
  </si>
  <si>
    <t>sama1297</t>
  </si>
  <si>
    <t>Samarung</t>
  </si>
  <si>
    <t>sama1298</t>
  </si>
  <si>
    <t>Samargin</t>
  </si>
  <si>
    <t>sama1299</t>
  </si>
  <si>
    <t>Samagir</t>
  </si>
  <si>
    <t>sama1300</t>
  </si>
  <si>
    <t>Sama</t>
  </si>
  <si>
    <t>smd</t>
  </si>
  <si>
    <t>sama1301</t>
  </si>
  <si>
    <t>Samar-Leyte</t>
  </si>
  <si>
    <t>Sama-Bajaw</t>
  </si>
  <si>
    <t>sama1303</t>
  </si>
  <si>
    <t>Sama (Malaysia-Philippines)</t>
  </si>
  <si>
    <t>sama1304</t>
  </si>
  <si>
    <t>Samanai</t>
  </si>
  <si>
    <t>sama1313</t>
  </si>
  <si>
    <t>Samaritan</t>
  </si>
  <si>
    <t>smp</t>
  </si>
  <si>
    <t>IL PS</t>
  </si>
  <si>
    <t>sama1314</t>
  </si>
  <si>
    <t>Samaritan Aramaic</t>
  </si>
  <si>
    <t>sam</t>
  </si>
  <si>
    <t>wara1304</t>
  </si>
  <si>
    <t>Samar-Waray</t>
  </si>
  <si>
    <t>samb1303</t>
  </si>
  <si>
    <t>Sambelong</t>
  </si>
  <si>
    <t>samb1304</t>
  </si>
  <si>
    <t>Sambya</t>
  </si>
  <si>
    <t>Samba Leko</t>
  </si>
  <si>
    <t>ndi</t>
  </si>
  <si>
    <t>samb1306</t>
  </si>
  <si>
    <t>Samba de Wangai</t>
  </si>
  <si>
    <t>samb1307</t>
  </si>
  <si>
    <t>Sambe</t>
  </si>
  <si>
    <t>xab</t>
  </si>
  <si>
    <t>samb1308</t>
  </si>
  <si>
    <t>sham1278</t>
  </si>
  <si>
    <t>Sambuga</t>
  </si>
  <si>
    <t>samb1309</t>
  </si>
  <si>
    <t>yans1240</t>
  </si>
  <si>
    <t>Ntsambaan</t>
  </si>
  <si>
    <t>smx</t>
  </si>
  <si>
    <t>samb1310</t>
  </si>
  <si>
    <t>Sambyu</t>
  </si>
  <si>
    <t>Samba Daka</t>
  </si>
  <si>
    <t>ccg</t>
  </si>
  <si>
    <t>samb1312</t>
  </si>
  <si>
    <t>Samba of Mapeo</t>
  </si>
  <si>
    <t>samb1313</t>
  </si>
  <si>
    <t>Samba Nnakenyare</t>
  </si>
  <si>
    <t>samb1314</t>
  </si>
  <si>
    <t>Samba Jangani</t>
  </si>
  <si>
    <t>Samburu</t>
  </si>
  <si>
    <t>saq</t>
  </si>
  <si>
    <t>samb1316</t>
  </si>
  <si>
    <t>Sambirir</t>
  </si>
  <si>
    <t>samb1317</t>
  </si>
  <si>
    <t>Sambaya</t>
  </si>
  <si>
    <t>samb1318</t>
  </si>
  <si>
    <t>Samberi</t>
  </si>
  <si>
    <t>Sambalic</t>
  </si>
  <si>
    <t>samb1320</t>
  </si>
  <si>
    <t>Sambali Botolan</t>
  </si>
  <si>
    <t>samb1321</t>
  </si>
  <si>
    <t>Samberigi</t>
  </si>
  <si>
    <t>ssx</t>
  </si>
  <si>
    <t>Central Adamawa</t>
  </si>
  <si>
    <t>Samba Duru</t>
  </si>
  <si>
    <t>Samba-Leko-Perema-Mumbake</t>
  </si>
  <si>
    <t>samb1325</t>
  </si>
  <si>
    <t>Sambalpuri</t>
  </si>
  <si>
    <t>spv</t>
  </si>
  <si>
    <t>same1240</t>
  </si>
  <si>
    <t>Samei</t>
  </si>
  <si>
    <t>smh</t>
  </si>
  <si>
    <t>same1241</t>
  </si>
  <si>
    <t>Same'</t>
  </si>
  <si>
    <t>sami1248</t>
  </si>
  <si>
    <t>Samihim</t>
  </si>
  <si>
    <t>samm1243</t>
  </si>
  <si>
    <t>Sammarinese</t>
  </si>
  <si>
    <t>samm1244</t>
  </si>
  <si>
    <t>Sam</t>
  </si>
  <si>
    <t>snx</t>
  </si>
  <si>
    <t>Samogitian</t>
  </si>
  <si>
    <t>sgs</t>
  </si>
  <si>
    <t>Samoyedic</t>
  </si>
  <si>
    <t>samo1299</t>
  </si>
  <si>
    <t>Samoyed Koibal</t>
  </si>
  <si>
    <t>zkb</t>
  </si>
  <si>
    <t>Samo-Busa</t>
  </si>
  <si>
    <t>samo1303</t>
  </si>
  <si>
    <t>Samo</t>
  </si>
  <si>
    <t>smq</t>
  </si>
  <si>
    <t>samo1310</t>
  </si>
  <si>
    <t>AS WS</t>
  </si>
  <si>
    <t>samo1306</t>
  </si>
  <si>
    <t>Samosa</t>
  </si>
  <si>
    <t>swm</t>
  </si>
  <si>
    <t>samo1307</t>
  </si>
  <si>
    <t>Samoan Plantation Pidgin</t>
  </si>
  <si>
    <t>WS</t>
  </si>
  <si>
    <t>Northwestern Mande</t>
  </si>
  <si>
    <t>Duun-Seenku</t>
  </si>
  <si>
    <t>Samoan-Tokelauan</t>
  </si>
  <si>
    <t>Sampang</t>
  </si>
  <si>
    <t>rav</t>
  </si>
  <si>
    <t>samp1250</t>
  </si>
  <si>
    <t>Sampara</t>
  </si>
  <si>
    <t>samp1251</t>
  </si>
  <si>
    <t>Sampang (Indonesia)</t>
  </si>
  <si>
    <t>samp1252</t>
  </si>
  <si>
    <t>Sampori</t>
  </si>
  <si>
    <t>samp1253</t>
  </si>
  <si>
    <t>Sampolawa</t>
  </si>
  <si>
    <t>samr1245</t>
  </si>
  <si>
    <t>Samre of Siem Reap</t>
  </si>
  <si>
    <t>sxm</t>
  </si>
  <si>
    <t>samt1238</t>
  </si>
  <si>
    <t>Samtao</t>
  </si>
  <si>
    <t>stu</t>
  </si>
  <si>
    <t>samu1241</t>
  </si>
  <si>
    <t>Samurzakan-Zugdidi</t>
  </si>
  <si>
    <t>samu1242</t>
  </si>
  <si>
    <t>Samurzakan</t>
  </si>
  <si>
    <t>Samu</t>
  </si>
  <si>
    <t>samv1238</t>
  </si>
  <si>
    <t>Samvedi</t>
  </si>
  <si>
    <t>smv</t>
  </si>
  <si>
    <t>samy1234</t>
  </si>
  <si>
    <t>Samyap</t>
  </si>
  <si>
    <t>sana1277</t>
  </si>
  <si>
    <t>Sanandaji</t>
  </si>
  <si>
    <t>Sanaga (A.60)</t>
  </si>
  <si>
    <t>sana1279</t>
  </si>
  <si>
    <t>Sanaroa</t>
  </si>
  <si>
    <t>sana1280</t>
  </si>
  <si>
    <t>San Andr√©s Cohamiata</t>
  </si>
  <si>
    <t>sana1281</t>
  </si>
  <si>
    <t>Sanapan√° (Retired)</t>
  </si>
  <si>
    <t>sap</t>
  </si>
  <si>
    <t>sana1282</t>
  </si>
  <si>
    <t>San Andr√©s Inga</t>
  </si>
  <si>
    <t>sana1283</t>
  </si>
  <si>
    <t>Sanainawa</t>
  </si>
  <si>
    <t>sana1284</t>
  </si>
  <si>
    <t>San Agust√≠n Tlacotepec</t>
  </si>
  <si>
    <t>sana1285</t>
  </si>
  <si>
    <t>San Agust√≠n Loxicha Zapotec</t>
  </si>
  <si>
    <t>sana1286</t>
  </si>
  <si>
    <t>San Agust√≠n Mixtepec Zapotec</t>
  </si>
  <si>
    <t>ztm</t>
  </si>
  <si>
    <t>sana1287</t>
  </si>
  <si>
    <t>sanj1286</t>
  </si>
  <si>
    <t>San Antonio Eloxochitl√°n Mazatec</t>
  </si>
  <si>
    <t>sana1291</t>
  </si>
  <si>
    <t>Sanandaj</t>
  </si>
  <si>
    <t>sana1295</t>
  </si>
  <si>
    <t>Sanaani Arabic</t>
  </si>
  <si>
    <t>ayn</t>
  </si>
  <si>
    <t>sana1296</t>
  </si>
  <si>
    <t>San'a</t>
  </si>
  <si>
    <t>sana1297</t>
  </si>
  <si>
    <t>San Andres Creole English</t>
  </si>
  <si>
    <t>icr</t>
  </si>
  <si>
    <t>sana1298</t>
  </si>
  <si>
    <t>Sanapan√°</t>
  </si>
  <si>
    <t>spn</t>
  </si>
  <si>
    <t>sanb1240</t>
  </si>
  <si>
    <t>San Blasito Cora</t>
  </si>
  <si>
    <t>sanb1241</t>
  </si>
  <si>
    <t>San Baltazar Loxicha Zapotec</t>
  </si>
  <si>
    <t>zpx</t>
  </si>
  <si>
    <t>San Blas Kuna</t>
  </si>
  <si>
    <t>Makira</t>
  </si>
  <si>
    <t>sanc1244</t>
  </si>
  <si>
    <t>San Crist√≥bal Amoltepec Mixtec</t>
  </si>
  <si>
    <t>sanc1245</t>
  </si>
  <si>
    <t>Sanchong Gelao</t>
  </si>
  <si>
    <t>sand1269</t>
  </si>
  <si>
    <t>Sandoway</t>
  </si>
  <si>
    <t>sand1270</t>
  </si>
  <si>
    <t>Sandong</t>
  </si>
  <si>
    <t>sand1271</t>
  </si>
  <si>
    <t>Sanda (Loko)</t>
  </si>
  <si>
    <t>sand1272</t>
  </si>
  <si>
    <t>Sanda</t>
  </si>
  <si>
    <t>sand1273</t>
  </si>
  <si>
    <t>Sandawe</t>
  </si>
  <si>
    <t>sad</t>
  </si>
  <si>
    <t>sand1274</t>
  </si>
  <si>
    <t>Sandakan Bajau</t>
  </si>
  <si>
    <t>sand1275</t>
  </si>
  <si>
    <t>Sandiwar</t>
  </si>
  <si>
    <t>sand1276</t>
  </si>
  <si>
    <t>Sandayo</t>
  </si>
  <si>
    <t>sand1277</t>
  </si>
  <si>
    <t>Sandia</t>
  </si>
  <si>
    <t>sand1278</t>
  </si>
  <si>
    <t>sand1283</t>
  </si>
  <si>
    <t>San Dionisio del Mar Huave</t>
  </si>
  <si>
    <t>hve</t>
  </si>
  <si>
    <t>sand1282</t>
  </si>
  <si>
    <t>Sandu</t>
  </si>
  <si>
    <t>San Dionisio-San Mateo Huave</t>
  </si>
  <si>
    <t>sanf1258</t>
  </si>
  <si>
    <t>sanf1267</t>
  </si>
  <si>
    <t>San Francisco del Mar Huave</t>
  </si>
  <si>
    <t>hue</t>
  </si>
  <si>
    <t>sanf1259</t>
  </si>
  <si>
    <t>San Francisco Cora</t>
  </si>
  <si>
    <t>sanf1260</t>
  </si>
  <si>
    <t>San Felipe</t>
  </si>
  <si>
    <t>sanf1261</t>
  </si>
  <si>
    <t>sanf1262</t>
  </si>
  <si>
    <t>San Francisco Matlatzinca</t>
  </si>
  <si>
    <t>mat</t>
  </si>
  <si>
    <t>sanf1263</t>
  </si>
  <si>
    <t>San Felipe Santiago Otom√≠</t>
  </si>
  <si>
    <t>San Felipe Otlaltepec Popoloca</t>
  </si>
  <si>
    <t>pow</t>
  </si>
  <si>
    <t>sanf1265</t>
  </si>
  <si>
    <t>San Francisco Huehuetl√°n Mazatec</t>
  </si>
  <si>
    <t>sanf1266</t>
  </si>
  <si>
    <t>San Francisco Solano</t>
  </si>
  <si>
    <t>xso</t>
  </si>
  <si>
    <t>San Francisco-Santa Mar√≠a Huave</t>
  </si>
  <si>
    <t>sang1315</t>
  </si>
  <si>
    <t>Sangisari</t>
  </si>
  <si>
    <t>sgr</t>
  </si>
  <si>
    <t>sang1319</t>
  </si>
  <si>
    <t>Sangamesvari</t>
  </si>
  <si>
    <t>sang1320</t>
  </si>
  <si>
    <t>Sangkong</t>
  </si>
  <si>
    <t>sgk</t>
  </si>
  <si>
    <t>Sangtam Naga</t>
  </si>
  <si>
    <t>nsa</t>
  </si>
  <si>
    <t>sang1322</t>
  </si>
  <si>
    <t>Sang</t>
  </si>
  <si>
    <t>sang1323</t>
  </si>
  <si>
    <t>Sangtai</t>
  </si>
  <si>
    <t>sang1324</t>
  </si>
  <si>
    <t>Sangche</t>
  </si>
  <si>
    <t>sang1326</t>
  </si>
  <si>
    <t>Sangwal</t>
  </si>
  <si>
    <t>Sangoic</t>
  </si>
  <si>
    <t>sang1328</t>
  </si>
  <si>
    <t>Sango</t>
  </si>
  <si>
    <t>sag</t>
  </si>
  <si>
    <t>CD CF CG TD</t>
  </si>
  <si>
    <t>Sanga (Nigeria)</t>
  </si>
  <si>
    <t>xsn</t>
  </si>
  <si>
    <t>sang1330</t>
  </si>
  <si>
    <t>wanj1243</t>
  </si>
  <si>
    <t>Sangu (Tanzania)</t>
  </si>
  <si>
    <t>sbp</t>
  </si>
  <si>
    <t>sang1331</t>
  </si>
  <si>
    <t>Sanga (Democratic Republic of Congo)</t>
  </si>
  <si>
    <t>sng</t>
  </si>
  <si>
    <t>sang1332</t>
  </si>
  <si>
    <t>Sangwe</t>
  </si>
  <si>
    <t>sang1333</t>
  </si>
  <si>
    <t>sang1345</t>
  </si>
  <si>
    <t>Sangu (Gabon)</t>
  </si>
  <si>
    <t>snq</t>
  </si>
  <si>
    <t>sang1334</t>
  </si>
  <si>
    <t>Sangar</t>
  </si>
  <si>
    <t>Sangiric</t>
  </si>
  <si>
    <t>Sangir</t>
  </si>
  <si>
    <t>sxn</t>
  </si>
  <si>
    <t>ID PH</t>
  </si>
  <si>
    <t>Sangil</t>
  </si>
  <si>
    <t>snl</t>
  </si>
  <si>
    <t>sang1338</t>
  </si>
  <si>
    <t>Sangab Mandaya</t>
  </si>
  <si>
    <t>myt</t>
  </si>
  <si>
    <t>sang1339</t>
  </si>
  <si>
    <t>Sanggau</t>
  </si>
  <si>
    <t>scg</t>
  </si>
  <si>
    <t>sang1340</t>
  </si>
  <si>
    <t>San Gregorio Ozolotepec Zapotec</t>
  </si>
  <si>
    <t>Sangu-Sira-Punu</t>
  </si>
  <si>
    <t>sang1342</t>
  </si>
  <si>
    <t>Sangha So</t>
  </si>
  <si>
    <t>Sanglechi-Ishkashimi</t>
  </si>
  <si>
    <t>sgl</t>
  </si>
  <si>
    <t>AF TJ</t>
  </si>
  <si>
    <t>sang1344</t>
  </si>
  <si>
    <t>Sanglechi</t>
  </si>
  <si>
    <t>sgy</t>
  </si>
  <si>
    <t>Sangu-Sira</t>
  </si>
  <si>
    <t>Sixian</t>
  </si>
  <si>
    <t>sani1265</t>
  </si>
  <si>
    <t>Sanie</t>
  </si>
  <si>
    <t>ysy</t>
  </si>
  <si>
    <t>Axioid</t>
  </si>
  <si>
    <t>sani1267</t>
  </si>
  <si>
    <t>Sani-Axi-Azhe</t>
  </si>
  <si>
    <t>Sani</t>
  </si>
  <si>
    <t>ysn</t>
  </si>
  <si>
    <t>Saniyo-Hiyewe</t>
  </si>
  <si>
    <t>sny</t>
  </si>
  <si>
    <t>sani1271</t>
  </si>
  <si>
    <t>Saniyo</t>
  </si>
  <si>
    <t>sani1272</t>
  </si>
  <si>
    <t>Sani (Japonic)</t>
  </si>
  <si>
    <t>sani1273</t>
  </si>
  <si>
    <t>San Ildefonso</t>
  </si>
  <si>
    <t>sani1274</t>
  </si>
  <si>
    <t>San Ignacio de Velazco</t>
  </si>
  <si>
    <t>Sani-Axi</t>
  </si>
  <si>
    <t>sanj1274</t>
  </si>
  <si>
    <t>Sanjabi</t>
  </si>
  <si>
    <t>sanj1275</t>
  </si>
  <si>
    <t>Sanjan</t>
  </si>
  <si>
    <t>sanj1276</t>
  </si>
  <si>
    <t>San Juan (USA)</t>
  </si>
  <si>
    <t>sanj1277</t>
  </si>
  <si>
    <t>San Juan Corapan Cora</t>
  </si>
  <si>
    <t>San Juan</t>
  </si>
  <si>
    <t>sanj1279</t>
  </si>
  <si>
    <t>San Javier</t>
  </si>
  <si>
    <t>sanj1280</t>
  </si>
  <si>
    <t>San Juan Pi√±as</t>
  </si>
  <si>
    <t>sanj1281</t>
  </si>
  <si>
    <t>San Juan Colorado Mixtec</t>
  </si>
  <si>
    <t>mjc</t>
  </si>
  <si>
    <t>sanj1282</t>
  </si>
  <si>
    <t>San Juan Teita Mixtec</t>
  </si>
  <si>
    <t>xtj</t>
  </si>
  <si>
    <t>sanj1283</t>
  </si>
  <si>
    <t>San Juan Quiahije Chatino</t>
  </si>
  <si>
    <t>San Juan Guelav√≠a Zapotec</t>
  </si>
  <si>
    <t>zab</t>
  </si>
  <si>
    <t>sanj1285</t>
  </si>
  <si>
    <t>San Juan Atzingo Popoloca</t>
  </si>
  <si>
    <t>poe</t>
  </si>
  <si>
    <t>San Jer√≥nimo Tec√≥atl Mazatec</t>
  </si>
  <si>
    <t>maa</t>
  </si>
  <si>
    <t>sanj1287</t>
  </si>
  <si>
    <t>San Jos√© Guamo</t>
  </si>
  <si>
    <t>sank1248</t>
  </si>
  <si>
    <t>Sankara-Yerukala</t>
  </si>
  <si>
    <t>sank1249</t>
  </si>
  <si>
    <t>Sanketi</t>
  </si>
  <si>
    <t>sank1250</t>
  </si>
  <si>
    <t>Sanke</t>
  </si>
  <si>
    <t>sank1251</t>
  </si>
  <si>
    <t>Sankura</t>
  </si>
  <si>
    <t>sank1252</t>
  </si>
  <si>
    <t>Sankuma</t>
  </si>
  <si>
    <t>sank1253</t>
  </si>
  <si>
    <t>Sankaran Maninka</t>
  </si>
  <si>
    <t>msc</t>
  </si>
  <si>
    <t>sanl1247</t>
  </si>
  <si>
    <t>west2876</t>
  </si>
  <si>
    <t>Sanlong</t>
  </si>
  <si>
    <t>sanl1248</t>
  </si>
  <si>
    <t>San Lu√≠s Temalacayuca Popoloca</t>
  </si>
  <si>
    <t>pps</t>
  </si>
  <si>
    <t>sanl1249</t>
  </si>
  <si>
    <t>San Lucas Zoquiapan Mazatec</t>
  </si>
  <si>
    <t>sanl1250</t>
  </si>
  <si>
    <t>San Lorenzo Cuanecuiltitla Mazatec</t>
  </si>
  <si>
    <t>sanm1287</t>
  </si>
  <si>
    <t>San Mateo del Mar Huave</t>
  </si>
  <si>
    <t>huv</t>
  </si>
  <si>
    <t>sanm1288</t>
  </si>
  <si>
    <t>San Miguel (Bolivia)</t>
  </si>
  <si>
    <t>sanm1289</t>
  </si>
  <si>
    <t>San Mart√≠n Quechua</t>
  </si>
  <si>
    <t>qvs</t>
  </si>
  <si>
    <t>sanm1290</t>
  </si>
  <si>
    <t>San Miguel Tenoxtitl√°n</t>
  </si>
  <si>
    <t>sanm1291</t>
  </si>
  <si>
    <t>San Mart√≠n Peras</t>
  </si>
  <si>
    <t>sanm1292</t>
  </si>
  <si>
    <t>San Miguel Achiutla Mixtec</t>
  </si>
  <si>
    <t>sanm1293</t>
  </si>
  <si>
    <t>San Mateo Pe√±asco Mixtec</t>
  </si>
  <si>
    <t>sanm1294</t>
  </si>
  <si>
    <t>San Miguel Piedras Mixtec</t>
  </si>
  <si>
    <t>xtp</t>
  </si>
  <si>
    <t>sanm1295</t>
  </si>
  <si>
    <t>San Miguel El Grande Mixtec</t>
  </si>
  <si>
    <t>mig</t>
  </si>
  <si>
    <t>sanm1296</t>
  </si>
  <si>
    <t>San Miguel Chalcatongo</t>
  </si>
  <si>
    <t>sanm1297</t>
  </si>
  <si>
    <t>San Mateo Tepantepec</t>
  </si>
  <si>
    <t>sanm1298</t>
  </si>
  <si>
    <t>San Mart√≠n Itunyoso Triqui</t>
  </si>
  <si>
    <t>trq</t>
  </si>
  <si>
    <t>sanm1299</t>
  </si>
  <si>
    <t>San Mart√≠n Tilcajete Zapotec</t>
  </si>
  <si>
    <t>sanm1300</t>
  </si>
  <si>
    <t>San Marcial Ozolotepec Zapotec</t>
  </si>
  <si>
    <t>sanm1301</t>
  </si>
  <si>
    <t>San Marcos Tlalcoyalco Popoloca</t>
  </si>
  <si>
    <t>pls</t>
  </si>
  <si>
    <t>sanm1302</t>
  </si>
  <si>
    <t>San Mateo Zoyamazalco Popoloca</t>
  </si>
  <si>
    <t>sanm1303</t>
  </si>
  <si>
    <t>San Mateo</t>
  </si>
  <si>
    <t>sanm1304</t>
  </si>
  <si>
    <t>San Miguel</t>
  </si>
  <si>
    <t>sanm1305</t>
  </si>
  <si>
    <t>San Miguel Creole French</t>
  </si>
  <si>
    <t>scf</t>
  </si>
  <si>
    <t>sann1238</t>
  </si>
  <si>
    <t>San</t>
  </si>
  <si>
    <t>sanp1256</t>
  </si>
  <si>
    <t>San Pedro Yaspac</t>
  </si>
  <si>
    <t>sanp1257</t>
  </si>
  <si>
    <t>Sanpoil</t>
  </si>
  <si>
    <t>sanp1258</t>
  </si>
  <si>
    <t>San Pedro de Huacarpana</t>
  </si>
  <si>
    <t>sanp1259</t>
  </si>
  <si>
    <t>San Pedro Molinos</t>
  </si>
  <si>
    <t>sanp1260</t>
  </si>
  <si>
    <t>San Pedro Amuzgos Amuzgo</t>
  </si>
  <si>
    <t>azg</t>
  </si>
  <si>
    <t>sanp1261</t>
  </si>
  <si>
    <t>San Pedro Quiatoni Zapotec</t>
  </si>
  <si>
    <t>zpf</t>
  </si>
  <si>
    <t>sanq1234</t>
  </si>
  <si>
    <t>Sanqiao</t>
  </si>
  <si>
    <t>sans1256</t>
  </si>
  <si>
    <t>Sanso</t>
  </si>
  <si>
    <t>sans1265</t>
  </si>
  <si>
    <t>Sansimoniano</t>
  </si>
  <si>
    <t>Sanskrit</t>
  </si>
  <si>
    <t>san</t>
  </si>
  <si>
    <t>sans1271</t>
  </si>
  <si>
    <t>Sansi</t>
  </si>
  <si>
    <t>ssi</t>
  </si>
  <si>
    <t>sans1272</t>
  </si>
  <si>
    <t>Cimbala-Cizali</t>
  </si>
  <si>
    <t>kwy</t>
  </si>
  <si>
    <t>sans1273</t>
  </si>
  <si>
    <t>San Sebasti√°n-Santa Catarina</t>
  </si>
  <si>
    <t>sans1274</t>
  </si>
  <si>
    <t>sila1250</t>
  </si>
  <si>
    <t>San Sim√≥n Zahuatl√°n</t>
  </si>
  <si>
    <t>sans1275</t>
  </si>
  <si>
    <t>San San Jer√≥nimo Mazatec</t>
  </si>
  <si>
    <t>sans1276</t>
  </si>
  <si>
    <t>Sansu</t>
  </si>
  <si>
    <t>sca</t>
  </si>
  <si>
    <t>sant1407</t>
  </si>
  <si>
    <t>Santongeais</t>
  </si>
  <si>
    <t>sant1408</t>
  </si>
  <si>
    <t>Santerre</t>
  </si>
  <si>
    <t>Santali</t>
  </si>
  <si>
    <t>sat</t>
  </si>
  <si>
    <t>sant1411</t>
  </si>
  <si>
    <t>Santchou</t>
  </si>
  <si>
    <t>sant1412</t>
  </si>
  <si>
    <t>Santora</t>
  </si>
  <si>
    <t>sant1413</t>
  </si>
  <si>
    <t>Santa Catalina</t>
  </si>
  <si>
    <t>sant1414</t>
  </si>
  <si>
    <t>Santa Ana (Solomon Islands)</t>
  </si>
  <si>
    <t>sant1416</t>
  </si>
  <si>
    <t>Santa Cruz (Tina Sambal)</t>
  </si>
  <si>
    <t>sant1417</t>
  </si>
  <si>
    <t>Santa Cruz (Iraya)</t>
  </si>
  <si>
    <t>sant1418</t>
  </si>
  <si>
    <t>Santa Margarita</t>
  </si>
  <si>
    <t>sant1419</t>
  </si>
  <si>
    <t>Santa Ana-Gonzaga</t>
  </si>
  <si>
    <t>sant1420</t>
  </si>
  <si>
    <t>Santa Teresa</t>
  </si>
  <si>
    <t>sant1421</t>
  </si>
  <si>
    <t>Santa Clara</t>
  </si>
  <si>
    <t>sant1422</t>
  </si>
  <si>
    <t>Santa Mar√≠a del Mar Huave</t>
  </si>
  <si>
    <t>hvv</t>
  </si>
  <si>
    <t>sant1423</t>
  </si>
  <si>
    <t>Santa Mar√≠a La Alta Nahuatl</t>
  </si>
  <si>
    <t>nhz</t>
  </si>
  <si>
    <t>Santa Teresa Cora</t>
  </si>
  <si>
    <t>cok</t>
  </si>
  <si>
    <t>sant1425</t>
  </si>
  <si>
    <t>Santo Domingo</t>
  </si>
  <si>
    <t>sant1426</t>
  </si>
  <si>
    <t>Santa Ana</t>
  </si>
  <si>
    <t>sant1427</t>
  </si>
  <si>
    <t>Santa Clara (Miwok-Costanoan)</t>
  </si>
  <si>
    <t>sant1428</t>
  </si>
  <si>
    <t>Santa Cruz (Northern Ohlone)</t>
  </si>
  <si>
    <t>sant1429</t>
  </si>
  <si>
    <t>Santiago</t>
  </si>
  <si>
    <t>sant1430</t>
  </si>
  <si>
    <t>Santa Rosa Quechua</t>
  </si>
  <si>
    <t>sant1431</t>
  </si>
  <si>
    <t>Santiago Inga</t>
  </si>
  <si>
    <t>Santiago del Estero Quichua</t>
  </si>
  <si>
    <t>qus</t>
  </si>
  <si>
    <t>sant1433</t>
  </si>
  <si>
    <t>Santa Ana de Tusi Pasco Quechua</t>
  </si>
  <si>
    <t>qxt</t>
  </si>
  <si>
    <t>sant1434</t>
  </si>
  <si>
    <t>Santa Rosa</t>
  </si>
  <si>
    <t>sant1435</t>
  </si>
  <si>
    <t>Santa Mar√≠a Citendej√©-Banos</t>
  </si>
  <si>
    <t>sant1436</t>
  </si>
  <si>
    <t>Santa Mar√≠a Zacatepec Mixtec</t>
  </si>
  <si>
    <t>mza</t>
  </si>
  <si>
    <t>sant1437</t>
  </si>
  <si>
    <t>tepe1280</t>
  </si>
  <si>
    <t>Santa Mar√≠a P√°palo</t>
  </si>
  <si>
    <t>sant1438</t>
  </si>
  <si>
    <t>Santa Catarina Yosonotu</t>
  </si>
  <si>
    <t>sant1439</t>
  </si>
  <si>
    <t>Santa Luc√≠a Monteverde Mixtec</t>
  </si>
  <si>
    <t>mdv</t>
  </si>
  <si>
    <t>sant1440</t>
  </si>
  <si>
    <t>Santo Domingo Heund√≠o Mixtec</t>
  </si>
  <si>
    <t>sant1441</t>
  </si>
  <si>
    <t>tutu1243</t>
  </si>
  <si>
    <t>Santa Mar√≠a Acatepec</t>
  </si>
  <si>
    <t>sant1442</t>
  </si>
  <si>
    <t>Santa Mar√≠a Yosoy√∫a</t>
  </si>
  <si>
    <t>sant1443</t>
  </si>
  <si>
    <t>Santa Catarina Ticu√°</t>
  </si>
  <si>
    <t>sant1444</t>
  </si>
  <si>
    <t>Santa Maria Tataltepec</t>
  </si>
  <si>
    <t>sant1445</t>
  </si>
  <si>
    <t>Santa Mar√≠a Pe√±oles</t>
  </si>
  <si>
    <t>sant1446</t>
  </si>
  <si>
    <t>Santiago Tlazoyaltepec</t>
  </si>
  <si>
    <t>sant1447</t>
  </si>
  <si>
    <t>Santa In√©s Yatzechi Zapotec</t>
  </si>
  <si>
    <t>zpn</t>
  </si>
  <si>
    <t>sant1448</t>
  </si>
  <si>
    <t>Santa Catarina Albarradas Zapotec</t>
  </si>
  <si>
    <t>ztn</t>
  </si>
  <si>
    <t>sant1449</t>
  </si>
  <si>
    <t>Santiago Matatl√°n Zapotec</t>
  </si>
  <si>
    <t>sant1450</t>
  </si>
  <si>
    <t>Santo Domingo Albarradas Zapotec</t>
  </si>
  <si>
    <t>zas</t>
  </si>
  <si>
    <t>sant1451</t>
  </si>
  <si>
    <t>Santa Mar√≠a Quiegolani Zapotec</t>
  </si>
  <si>
    <t>zpi</t>
  </si>
  <si>
    <t>sant1452</t>
  </si>
  <si>
    <t>Santiago Xanica Zapotec</t>
  </si>
  <si>
    <t>zpr</t>
  </si>
  <si>
    <t>sant1453</t>
  </si>
  <si>
    <t>Santa Mar√≠a Nativitas</t>
  </si>
  <si>
    <t>Santa In√©s Ahuatempan Popoloca</t>
  </si>
  <si>
    <t>pca</t>
  </si>
  <si>
    <t>sant1455</t>
  </si>
  <si>
    <t>Santa Cruz Ocopetatillo Mazatec</t>
  </si>
  <si>
    <t>sant1456</t>
  </si>
  <si>
    <t>Santa Ana Ateixtlahuaca Mazatec</t>
  </si>
  <si>
    <t>Santalic</t>
  </si>
  <si>
    <t>Santa Isabel</t>
  </si>
  <si>
    <t>sant1459</t>
  </si>
  <si>
    <t>Santa Rosa Tariana</t>
  </si>
  <si>
    <t>sant1460</t>
  </si>
  <si>
    <t>Santiago del Estero</t>
  </si>
  <si>
    <t>sant1461</t>
  </si>
  <si>
    <t>Santa Rosa Guamo</t>
  </si>
  <si>
    <t>Sanum√°</t>
  </si>
  <si>
    <t>xsu</t>
  </si>
  <si>
    <t>sanv1241</t>
  </si>
  <si>
    <t>Sanvi</t>
  </si>
  <si>
    <t>sanv1242</t>
  </si>
  <si>
    <t>San Vicente Coatl√°n Zapotec</t>
  </si>
  <si>
    <t>zpt</t>
  </si>
  <si>
    <t>sanv1243</t>
  </si>
  <si>
    <t>San Vicente Coyotepec Popoloca</t>
  </si>
  <si>
    <t>sanx1234</t>
  </si>
  <si>
    <t>Sanxiang</t>
  </si>
  <si>
    <t>sany1234</t>
  </si>
  <si>
    <t>SƒÅny«énl√≥ng</t>
  </si>
  <si>
    <t>sanz1244</t>
  </si>
  <si>
    <t>Sanzi</t>
  </si>
  <si>
    <t>sanz1246</t>
  </si>
  <si>
    <t>Sanza</t>
  </si>
  <si>
    <t>sout3261</t>
  </si>
  <si>
    <t>Sanzhi-Icari</t>
  </si>
  <si>
    <t>sanz1248</t>
  </si>
  <si>
    <t>Sanzhi</t>
  </si>
  <si>
    <t>saoc1239</t>
  </si>
  <si>
    <t>sout2684</t>
  </si>
  <si>
    <t>Sa'och</t>
  </si>
  <si>
    <t>scq</t>
  </si>
  <si>
    <t>saof1235</t>
  </si>
  <si>
    <t>Sao (Formosan)</t>
  </si>
  <si>
    <t>saoo1238</t>
  </si>
  <si>
    <t>Sao</t>
  </si>
  <si>
    <t>saop1235</t>
  </si>
  <si>
    <t>S√£o Paulo Kaing√°ng</t>
  </si>
  <si>
    <t>zkp</t>
  </si>
  <si>
    <t>saot1239</t>
  </si>
  <si>
    <t>S√£otomense</t>
  </si>
  <si>
    <t>cri</t>
  </si>
  <si>
    <t>Saotomense-Principense</t>
  </si>
  <si>
    <t>Saparua-Latu</t>
  </si>
  <si>
    <t>Saparua</t>
  </si>
  <si>
    <t>spr</t>
  </si>
  <si>
    <t>sapa1252</t>
  </si>
  <si>
    <t>Sapa-Sapa</t>
  </si>
  <si>
    <t>sapa1253</t>
  </si>
  <si>
    <t>Sapan</t>
  </si>
  <si>
    <t>sapa1254</t>
  </si>
  <si>
    <t>Sapara</t>
  </si>
  <si>
    <t>sapa1255</t>
  </si>
  <si>
    <t>Sapa-Southwestern Tai</t>
  </si>
  <si>
    <t>sape1238</t>
  </si>
  <si>
    <t>Sap√©</t>
  </si>
  <si>
    <t>spc</t>
  </si>
  <si>
    <t>sapi1239</t>
  </si>
  <si>
    <t>Sapiteri</t>
  </si>
  <si>
    <t>Sapna cluster</t>
  </si>
  <si>
    <t>Sapo</t>
  </si>
  <si>
    <t>krn</t>
  </si>
  <si>
    <t>sapo1252</t>
  </si>
  <si>
    <t>Saposa-Tinputz</t>
  </si>
  <si>
    <t>Saposa</t>
  </si>
  <si>
    <t>sps</t>
  </si>
  <si>
    <t>sapo1254</t>
  </si>
  <si>
    <t>Saponi</t>
  </si>
  <si>
    <t>spi</t>
  </si>
  <si>
    <t>sapt1238</t>
  </si>
  <si>
    <t>Saptari</t>
  </si>
  <si>
    <t>sapu1248</t>
  </si>
  <si>
    <t>Sapuan</t>
  </si>
  <si>
    <t>spu</t>
  </si>
  <si>
    <t>sapu1249</t>
  </si>
  <si>
    <t>Sapudi</t>
  </si>
  <si>
    <t>sapu1250</t>
  </si>
  <si>
    <t>Sapulot Murut</t>
  </si>
  <si>
    <t>sapw1237</t>
  </si>
  <si>
    <t>Sapwuahfik</t>
  </si>
  <si>
    <t>saqi1238</t>
  </si>
  <si>
    <t>Saqiz</t>
  </si>
  <si>
    <t>sara1308</t>
  </si>
  <si>
    <t>Saracatsan</t>
  </si>
  <si>
    <t>sara1309</t>
  </si>
  <si>
    <t>Sarawani</t>
  </si>
  <si>
    <t>sara1310</t>
  </si>
  <si>
    <t>Sarawaria</t>
  </si>
  <si>
    <t>sara1311</t>
  </si>
  <si>
    <t>Saraki</t>
  </si>
  <si>
    <t>sara1313</t>
  </si>
  <si>
    <t>Sarasvat Brahmin</t>
  </si>
  <si>
    <t>sara1314</t>
  </si>
  <si>
    <t>Sarawan</t>
  </si>
  <si>
    <t>sara1315</t>
  </si>
  <si>
    <t>Sarar</t>
  </si>
  <si>
    <t>Sara Peripherique</t>
  </si>
  <si>
    <t>sara1319</t>
  </si>
  <si>
    <t>sara1348</t>
  </si>
  <si>
    <t>Sara Kaba</t>
  </si>
  <si>
    <t>sbz</t>
  </si>
  <si>
    <t>sara1320</t>
  </si>
  <si>
    <t>Sara Dunjo</t>
  </si>
  <si>
    <t>koj</t>
  </si>
  <si>
    <t>Sara Kaba N√°√†</t>
  </si>
  <si>
    <t>kwv</t>
  </si>
  <si>
    <t>Sara Kaba Deme</t>
  </si>
  <si>
    <t>kwg</t>
  </si>
  <si>
    <t>sara1323</t>
  </si>
  <si>
    <t>Sarasira</t>
  </si>
  <si>
    <t>zsa</t>
  </si>
  <si>
    <t>sara1324</t>
  </si>
  <si>
    <t>Sara Krowe</t>
  </si>
  <si>
    <t>sara1325</t>
  </si>
  <si>
    <t>Sarangani</t>
  </si>
  <si>
    <t>sara1326</t>
  </si>
  <si>
    <t>Sarangani Blaan</t>
  </si>
  <si>
    <t>bps</t>
  </si>
  <si>
    <t>Sarangani Manobo</t>
  </si>
  <si>
    <t>mbs</t>
  </si>
  <si>
    <t>sara1328</t>
  </si>
  <si>
    <t>Sarawai</t>
  </si>
  <si>
    <t>sara1329</t>
  </si>
  <si>
    <t>Sara Bakati'</t>
  </si>
  <si>
    <t>sre</t>
  </si>
  <si>
    <t>sara1330</t>
  </si>
  <si>
    <t>Sarare</t>
  </si>
  <si>
    <t>sara1331</t>
  </si>
  <si>
    <t>Saraveca</t>
  </si>
  <si>
    <t>sar</t>
  </si>
  <si>
    <t>sara1339</t>
  </si>
  <si>
    <t>Nuclear Saramaccan</t>
  </si>
  <si>
    <t>suri1275</t>
  </si>
  <si>
    <t>Saramaccan</t>
  </si>
  <si>
    <t>Sara-Bongo-Bagirmi</t>
  </si>
  <si>
    <t>Sarawak-Melanau-Kajang</t>
  </si>
  <si>
    <t>Sara Central Chari</t>
  </si>
  <si>
    <t>Sara Central Logone</t>
  </si>
  <si>
    <t>Sara Central Logone-Chari</t>
  </si>
  <si>
    <t>sout2913</t>
  </si>
  <si>
    <t>Sarangani-Tasaday-Cotabato</t>
  </si>
  <si>
    <t>Sara-Kaba</t>
  </si>
  <si>
    <t>Saraic</t>
  </si>
  <si>
    <t>sara1350</t>
  </si>
  <si>
    <t>Sarawak Bisaya</t>
  </si>
  <si>
    <t>bsd</t>
  </si>
  <si>
    <t>sout3158</t>
  </si>
  <si>
    <t>Sardo-Corsican</t>
  </si>
  <si>
    <t>sare1239</t>
  </si>
  <si>
    <t>Saremd√©</t>
  </si>
  <si>
    <t>sari1246</t>
  </si>
  <si>
    <t>Sarikoli</t>
  </si>
  <si>
    <t>srh</t>
  </si>
  <si>
    <t>sari1247</t>
  </si>
  <si>
    <t>Sarikei</t>
  </si>
  <si>
    <t>sari1248</t>
  </si>
  <si>
    <t>Sari</t>
  </si>
  <si>
    <t>sari1249</t>
  </si>
  <si>
    <t>Sario Saria</t>
  </si>
  <si>
    <t>sarl1241</t>
  </si>
  <si>
    <t>Sarli</t>
  </si>
  <si>
    <t>sdf</t>
  </si>
  <si>
    <t>sarl1242</t>
  </si>
  <si>
    <t>Sarlahi</t>
  </si>
  <si>
    <t>Sarmi-Jayapura Bay</t>
  </si>
  <si>
    <t>Sarmi</t>
  </si>
  <si>
    <t>sarn1238</t>
  </si>
  <si>
    <t>Sarnami Hindustani</t>
  </si>
  <si>
    <t>saro1238</t>
  </si>
  <si>
    <t>Saroa</t>
  </si>
  <si>
    <t>sarr1244</t>
  </si>
  <si>
    <t>Sarrabense</t>
  </si>
  <si>
    <t>sarr1245</t>
  </si>
  <si>
    <t>Sar Gula</t>
  </si>
  <si>
    <t>Sar</t>
  </si>
  <si>
    <t>sarr1247</t>
  </si>
  <si>
    <t>teiw1236</t>
  </si>
  <si>
    <t>Sar (Indonesia)</t>
  </si>
  <si>
    <t>sars1236</t>
  </si>
  <si>
    <t>Sarsi</t>
  </si>
  <si>
    <t>srs</t>
  </si>
  <si>
    <t>sart1246</t>
  </si>
  <si>
    <t>Sartenais</t>
  </si>
  <si>
    <t>sart1247</t>
  </si>
  <si>
    <t>Sart Qalmaq</t>
  </si>
  <si>
    <t>sart1248</t>
  </si>
  <si>
    <t>Sartul</t>
  </si>
  <si>
    <t>sher1256</t>
  </si>
  <si>
    <t>Sartang</t>
  </si>
  <si>
    <t>onp</t>
  </si>
  <si>
    <t>Sarudu</t>
  </si>
  <si>
    <t>sdu</t>
  </si>
  <si>
    <t>saru1243</t>
  </si>
  <si>
    <t>Saruga</t>
  </si>
  <si>
    <t>sra</t>
  </si>
  <si>
    <t>saru1245</t>
  </si>
  <si>
    <t>Sarua</t>
  </si>
  <si>
    <t>swy</t>
  </si>
  <si>
    <t>sarw1239</t>
  </si>
  <si>
    <t>Sarwari</t>
  </si>
  <si>
    <t>sary1240</t>
  </si>
  <si>
    <t>Saryq</t>
  </si>
  <si>
    <t>sasa1247</t>
  </si>
  <si>
    <t>Sasaru</t>
  </si>
  <si>
    <t>sxs</t>
  </si>
  <si>
    <t>sasa1248</t>
  </si>
  <si>
    <t>Sasak-Sumbawa</t>
  </si>
  <si>
    <t>Sasak</t>
  </si>
  <si>
    <t>sas</t>
  </si>
  <si>
    <t>sasa1250</t>
  </si>
  <si>
    <t>Sasar</t>
  </si>
  <si>
    <t>sasa1251</t>
  </si>
  <si>
    <t>Sasawa</t>
  </si>
  <si>
    <t>sase1237</t>
  </si>
  <si>
    <t>Sasebo-ben</t>
  </si>
  <si>
    <t>sasi1238</t>
  </si>
  <si>
    <t>Sasi</t>
  </si>
  <si>
    <t>sass1235</t>
  </si>
  <si>
    <t>Sassarese Sardinian</t>
  </si>
  <si>
    <t>sdc</t>
  </si>
  <si>
    <t>sast1234</t>
  </si>
  <si>
    <t>Sastike</t>
  </si>
  <si>
    <t>sasu1234</t>
  </si>
  <si>
    <t>Sasun</t>
  </si>
  <si>
    <t>sata1237</t>
  </si>
  <si>
    <t>Satawalese</t>
  </si>
  <si>
    <t>stw</t>
  </si>
  <si>
    <t>Satawalese-Carolinian</t>
  </si>
  <si>
    <t>Ems-Weser Frisian</t>
  </si>
  <si>
    <t>stq</t>
  </si>
  <si>
    <t>sate1243</t>
  </si>
  <si>
    <t>Sater√©-Maw√©</t>
  </si>
  <si>
    <t>mav</t>
  </si>
  <si>
    <t>satp1241</t>
  </si>
  <si>
    <t>Satpara</t>
  </si>
  <si>
    <t>satp1242</t>
  </si>
  <si>
    <t>Satpariya</t>
  </si>
  <si>
    <t>Satsug≈´</t>
  </si>
  <si>
    <t>sats1242</t>
  </si>
  <si>
    <t>Satsuma-ben</t>
  </si>
  <si>
    <t>satu1239</t>
  </si>
  <si>
    <t>tong1308</t>
  </si>
  <si>
    <t>Satun</t>
  </si>
  <si>
    <t>saud1238</t>
  </si>
  <si>
    <t>Saudi Arabian Sign Language</t>
  </si>
  <si>
    <t>sdl</t>
  </si>
  <si>
    <t>sauk1251</t>
  </si>
  <si>
    <t>Saukrang</t>
  </si>
  <si>
    <t>sauk1252</t>
  </si>
  <si>
    <t>Ma Manda</t>
  </si>
  <si>
    <t>skc</t>
  </si>
  <si>
    <t>Sauk-Nimi</t>
  </si>
  <si>
    <t>saum1237</t>
  </si>
  <si>
    <t>Saumanganja</t>
  </si>
  <si>
    <t>Saurashtra</t>
  </si>
  <si>
    <t>saz</t>
  </si>
  <si>
    <t>Sauria Paharia</t>
  </si>
  <si>
    <t>mjt</t>
  </si>
  <si>
    <t>Sauri-Kofei</t>
  </si>
  <si>
    <t>saur1251</t>
  </si>
  <si>
    <t>Sauri</t>
  </si>
  <si>
    <t>srt</t>
  </si>
  <si>
    <t>saur1252</t>
  </si>
  <si>
    <t>Sauraseni Prakrit</t>
  </si>
  <si>
    <t>psu</t>
  </si>
  <si>
    <t>saus1246</t>
  </si>
  <si>
    <t>Sausi</t>
  </si>
  <si>
    <t>ssj</t>
  </si>
  <si>
    <t>saus1247</t>
  </si>
  <si>
    <t>Sause</t>
  </si>
  <si>
    <t>sao</t>
  </si>
  <si>
    <t>sauu1244</t>
  </si>
  <si>
    <t>Sau</t>
  </si>
  <si>
    <t>sava1243</t>
  </si>
  <si>
    <t>Savannakhet</t>
  </si>
  <si>
    <t>sava1244</t>
  </si>
  <si>
    <t>Savara</t>
  </si>
  <si>
    <t>svr</t>
  </si>
  <si>
    <t>savi1242</t>
  </si>
  <si>
    <t>Savi</t>
  </si>
  <si>
    <t>sdg</t>
  </si>
  <si>
    <t>savi1243</t>
  </si>
  <si>
    <t>Savi (Atlantic-Congo)</t>
  </si>
  <si>
    <t>savo1253</t>
  </si>
  <si>
    <t>Savoyard</t>
  </si>
  <si>
    <t>savo1254</t>
  </si>
  <si>
    <t>Savo</t>
  </si>
  <si>
    <t>Savosavo</t>
  </si>
  <si>
    <t>Sawai</t>
  </si>
  <si>
    <t>szw</t>
  </si>
  <si>
    <t>sawa1248</t>
  </si>
  <si>
    <t>Sawabwala</t>
  </si>
  <si>
    <t>sawa1249</t>
  </si>
  <si>
    <t>Sawatupwa</t>
  </si>
  <si>
    <t>Sawabantu</t>
  </si>
  <si>
    <t>Saw</t>
  </si>
  <si>
    <t>sawe1240</t>
  </si>
  <si>
    <t>Saweru</t>
  </si>
  <si>
    <t>swr</t>
  </si>
  <si>
    <t>sawi1235</t>
  </si>
  <si>
    <t>Sawiat Salmeit</t>
  </si>
  <si>
    <t>sawi1255</t>
  </si>
  <si>
    <t>Sawitto</t>
  </si>
  <si>
    <t>Sawila</t>
  </si>
  <si>
    <t>swt</t>
  </si>
  <si>
    <t>sawi1257</t>
  </si>
  <si>
    <t>unun9981</t>
  </si>
  <si>
    <t>Sawi</t>
  </si>
  <si>
    <t>saw</t>
  </si>
  <si>
    <t>sawk1238</t>
  </si>
  <si>
    <t>siwi1238</t>
  </si>
  <si>
    <t>Sawknah-Fogaha</t>
  </si>
  <si>
    <t>swn</t>
  </si>
  <si>
    <t>Iatmulic</t>
  </si>
  <si>
    <t>Sawosic</t>
  </si>
  <si>
    <t>sawu1242</t>
  </si>
  <si>
    <t>Sawuve</t>
  </si>
  <si>
    <t>saww1238</t>
  </si>
  <si>
    <t>Saw (Ntomba)</t>
  </si>
  <si>
    <t>Saxwe Gbe</t>
  </si>
  <si>
    <t>sxw</t>
  </si>
  <si>
    <t>saxw1242</t>
  </si>
  <si>
    <t>Saxwe</t>
  </si>
  <si>
    <t>saxw1243</t>
  </si>
  <si>
    <t>Saxwentesu</t>
  </si>
  <si>
    <t>saya1243</t>
  </si>
  <si>
    <t>Sayabury</t>
  </si>
  <si>
    <t>Sayan</t>
  </si>
  <si>
    <t>saya1246</t>
  </si>
  <si>
    <t>Saya</t>
  </si>
  <si>
    <t>say</t>
  </si>
  <si>
    <t>Sayhadic</t>
  </si>
  <si>
    <t>sayu1241</t>
  </si>
  <si>
    <t>Sayula Popoluca</t>
  </si>
  <si>
    <t>pos</t>
  </si>
  <si>
    <t>sazi1238</t>
  </si>
  <si>
    <t>Sazin</t>
  </si>
  <si>
    <t>SBB Occidental</t>
  </si>
  <si>
    <t>East Danish</t>
  </si>
  <si>
    <t>scan1239</t>
  </si>
  <si>
    <t>Scandinavian Romani</t>
  </si>
  <si>
    <t>scha1237</t>
  </si>
  <si>
    <t>suts1235</t>
  </si>
  <si>
    <t>Scharans Sutsilvan</t>
  </si>
  <si>
    <t>schi1234</t>
  </si>
  <si>
    <t>Schiermonnikoog Frisian</t>
  </si>
  <si>
    <t>schl1236</t>
  </si>
  <si>
    <t>Schleswigsch</t>
  </si>
  <si>
    <t>Schlesisch-Wilmesau</t>
  </si>
  <si>
    <t>scho1241</t>
  </si>
  <si>
    <t>Schouws</t>
  </si>
  <si>
    <t>Schouten linkage</t>
  </si>
  <si>
    <t>schw1234</t>
  </si>
  <si>
    <t>Schwarzwald Low Alemannic</t>
  </si>
  <si>
    <t>Scots</t>
  </si>
  <si>
    <t>sco</t>
  </si>
  <si>
    <t>Scottish Gaelic</t>
  </si>
  <si>
    <t>seal1238</t>
  </si>
  <si>
    <t>Sea Lappish</t>
  </si>
  <si>
    <t>seba1246</t>
  </si>
  <si>
    <t>Sebastia</t>
  </si>
  <si>
    <t>seba1247</t>
  </si>
  <si>
    <t>Seba</t>
  </si>
  <si>
    <t>kdg</t>
  </si>
  <si>
    <t>seba1248</t>
  </si>
  <si>
    <t>Seba (Indonesia)</t>
  </si>
  <si>
    <t>seba1249</t>
  </si>
  <si>
    <t>Sebaung</t>
  </si>
  <si>
    <t>Sebat Bet Gurage</t>
  </si>
  <si>
    <t>sgw</t>
  </si>
  <si>
    <t>sebe1242</t>
  </si>
  <si>
    <t>Seberuang</t>
  </si>
  <si>
    <t>sbx</t>
  </si>
  <si>
    <t>sebe1243</t>
  </si>
  <si>
    <t>Sebe</t>
  </si>
  <si>
    <t>sebi1238</t>
  </si>
  <si>
    <t>Sebikotane</t>
  </si>
  <si>
    <t>west2562</t>
  </si>
  <si>
    <t>Sebop</t>
  </si>
  <si>
    <t>sib</t>
  </si>
  <si>
    <t>sebs1234</t>
  </si>
  <si>
    <t>Seb Seliyer</t>
  </si>
  <si>
    <t>sebu1242</t>
  </si>
  <si>
    <t>Sebunkik</t>
  </si>
  <si>
    <t>sebu1243</t>
  </si>
  <si>
    <t>Sebuyau</t>
  </si>
  <si>
    <t>snb</t>
  </si>
  <si>
    <t>sebu1244</t>
  </si>
  <si>
    <t>Sebutuia</t>
  </si>
  <si>
    <t>secc1234</t>
  </si>
  <si>
    <t>Sec</t>
  </si>
  <si>
    <t>Sechuran</t>
  </si>
  <si>
    <t>sech1246</t>
  </si>
  <si>
    <t>Sechelt</t>
  </si>
  <si>
    <t>sec</t>
  </si>
  <si>
    <t>Secoya</t>
  </si>
  <si>
    <t>sey</t>
  </si>
  <si>
    <t>secu1237</t>
  </si>
  <si>
    <t>Secunderabad Brahmin</t>
  </si>
  <si>
    <t>seda1260</t>
  </si>
  <si>
    <t>Sedang-Rengao</t>
  </si>
  <si>
    <t>Sedang</t>
  </si>
  <si>
    <t>sed</t>
  </si>
  <si>
    <t>seda1263</t>
  </si>
  <si>
    <t>Sedanka</t>
  </si>
  <si>
    <t>seda1264</t>
  </si>
  <si>
    <t>Sedalir</t>
  </si>
  <si>
    <t>sede1245</t>
  </si>
  <si>
    <t>Sedehi</t>
  </si>
  <si>
    <t>sede1246</t>
  </si>
  <si>
    <t>Sedentary Romania</t>
  </si>
  <si>
    <t>sede1247</t>
  </si>
  <si>
    <t>Sedentary Bulgaria</t>
  </si>
  <si>
    <t>sedo1237</t>
  </si>
  <si>
    <t>Sedoa</t>
  </si>
  <si>
    <t>tvw</t>
  </si>
  <si>
    <t>sedu1237</t>
  </si>
  <si>
    <t>Seduan</t>
  </si>
  <si>
    <t>seeb1238</t>
  </si>
  <si>
    <t>Seeba-Yaga</t>
  </si>
  <si>
    <t>seee1238</t>
  </si>
  <si>
    <t>Se</t>
  </si>
  <si>
    <t>Seeku</t>
  </si>
  <si>
    <t>sos</t>
  </si>
  <si>
    <t>Segai</t>
  </si>
  <si>
    <t>sge</t>
  </si>
  <si>
    <t>sega1244</t>
  </si>
  <si>
    <t>Segah</t>
  </si>
  <si>
    <t>sega1245</t>
  </si>
  <si>
    <t>Segalang</t>
  </si>
  <si>
    <t>sega1246</t>
  </si>
  <si>
    <t>Segahan</t>
  </si>
  <si>
    <t>sege1235</t>
  </si>
  <si>
    <t>Seget</t>
  </si>
  <si>
    <t>sbg</t>
  </si>
  <si>
    <t>Seget-Moi</t>
  </si>
  <si>
    <t>sege1246</t>
  </si>
  <si>
    <t>Segeju</t>
  </si>
  <si>
    <t>seg</t>
  </si>
  <si>
    <t>segi1238</t>
  </si>
  <si>
    <t>Segi</t>
  </si>
  <si>
    <t>segi1242</t>
  </si>
  <si>
    <t>Seginki</t>
  </si>
  <si>
    <t>sego1238</t>
  </si>
  <si>
    <t>Segou</t>
  </si>
  <si>
    <t>segu1238</t>
  </si>
  <si>
    <t>Segum</t>
  </si>
  <si>
    <t>sehw1238</t>
  </si>
  <si>
    <t>Sehwi</t>
  </si>
  <si>
    <t>sfw</t>
  </si>
  <si>
    <t>seim1238</t>
  </si>
  <si>
    <t>Seimat</t>
  </si>
  <si>
    <t>ssg</t>
  </si>
  <si>
    <t>Seit-Kaitetu</t>
  </si>
  <si>
    <t>hik</t>
  </si>
  <si>
    <t>seit1240</t>
  </si>
  <si>
    <t>Seit</t>
  </si>
  <si>
    <t>seka1246</t>
  </si>
  <si>
    <t>Sekayu Malay</t>
  </si>
  <si>
    <t>seka1247</t>
  </si>
  <si>
    <t>Sekar</t>
  </si>
  <si>
    <t>skz</t>
  </si>
  <si>
    <t>seka1248</t>
  </si>
  <si>
    <t>Sekapan</t>
  </si>
  <si>
    <t>skp</t>
  </si>
  <si>
    <t>seka1249</t>
  </si>
  <si>
    <t>Sekare</t>
  </si>
  <si>
    <t>seka1250</t>
  </si>
  <si>
    <t>Sekani</t>
  </si>
  <si>
    <t>sek</t>
  </si>
  <si>
    <t>Seke (Nepal)</t>
  </si>
  <si>
    <t>skj</t>
  </si>
  <si>
    <t>seke1241</t>
  </si>
  <si>
    <t>seke1242</t>
  </si>
  <si>
    <t>Seke (Vanuatu)</t>
  </si>
  <si>
    <t>ske</t>
  </si>
  <si>
    <t>Seke-Sowa</t>
  </si>
  <si>
    <t>seki1238</t>
  </si>
  <si>
    <t>Seki</t>
  </si>
  <si>
    <t>syi</t>
  </si>
  <si>
    <t>Seko</t>
  </si>
  <si>
    <t>seko1242</t>
  </si>
  <si>
    <t>Seko Tengah</t>
  </si>
  <si>
    <t>sko</t>
  </si>
  <si>
    <t>Seko Padang</t>
  </si>
  <si>
    <t>skx</t>
  </si>
  <si>
    <t>Sekpele</t>
  </si>
  <si>
    <t>lip</t>
  </si>
  <si>
    <t>seku1238</t>
  </si>
  <si>
    <t>Sekunda</t>
  </si>
  <si>
    <t>sekw1241</t>
  </si>
  <si>
    <t>Sekwa</t>
  </si>
  <si>
    <t>sekw1242</t>
  </si>
  <si>
    <t>Sekwa (Bouna Kulango)</t>
  </si>
  <si>
    <t>sela1253</t>
  </si>
  <si>
    <t>Selangor Sign Language</t>
  </si>
  <si>
    <t>kgi</t>
  </si>
  <si>
    <t>sela1257</t>
  </si>
  <si>
    <t>Selangor Sakai</t>
  </si>
  <si>
    <t>sela1258</t>
  </si>
  <si>
    <t>Selau</t>
  </si>
  <si>
    <t>sout2890</t>
  </si>
  <si>
    <t>Selaru</t>
  </si>
  <si>
    <t>slu</t>
  </si>
  <si>
    <t>sela1260</t>
  </si>
  <si>
    <t>Selayar</t>
  </si>
  <si>
    <t>sly</t>
  </si>
  <si>
    <t>sela1261</t>
  </si>
  <si>
    <t>Sela</t>
  </si>
  <si>
    <t>sela1262</t>
  </si>
  <si>
    <t>Selako</t>
  </si>
  <si>
    <t>skl</t>
  </si>
  <si>
    <t>sele1248</t>
  </si>
  <si>
    <t>Selek</t>
  </si>
  <si>
    <t>sele1249</t>
  </si>
  <si>
    <t>Selee</t>
  </si>
  <si>
    <t>snw</t>
  </si>
  <si>
    <t>Selepet</t>
  </si>
  <si>
    <t>spl</t>
  </si>
  <si>
    <t>timb1264</t>
  </si>
  <si>
    <t>Selepet-Komba</t>
  </si>
  <si>
    <t>Selkup</t>
  </si>
  <si>
    <t>selk1254</t>
  </si>
  <si>
    <t>Selkirk Scots</t>
  </si>
  <si>
    <t>Seluwasan</t>
  </si>
  <si>
    <t>sws</t>
  </si>
  <si>
    <t>selu1243</t>
  </si>
  <si>
    <t>selu1244</t>
  </si>
  <si>
    <t>Selungai Murut</t>
  </si>
  <si>
    <t>slg</t>
  </si>
  <si>
    <t>Selungai-Sembakung Murut</t>
  </si>
  <si>
    <t>sely1241</t>
  </si>
  <si>
    <t>Selyer</t>
  </si>
  <si>
    <t>sely1242</t>
  </si>
  <si>
    <t>Selya</t>
  </si>
  <si>
    <t>sema1265</t>
  </si>
  <si>
    <t>seme1246</t>
  </si>
  <si>
    <t>Semaq Beri</t>
  </si>
  <si>
    <t>szc</t>
  </si>
  <si>
    <t>Semai</t>
  </si>
  <si>
    <t>sea</t>
  </si>
  <si>
    <t>sema1267</t>
  </si>
  <si>
    <t>Semalinga</t>
  </si>
  <si>
    <t>Onya Darat</t>
  </si>
  <si>
    <t>sdm</t>
  </si>
  <si>
    <t>sema1270</t>
  </si>
  <si>
    <t>Semarang (Central Javanese)</t>
  </si>
  <si>
    <t>semb1240</t>
  </si>
  <si>
    <t>Sembakung Murut</t>
  </si>
  <si>
    <t>sbr</t>
  </si>
  <si>
    <t>semb1241</t>
  </si>
  <si>
    <t>Semba</t>
  </si>
  <si>
    <t>semb1242</t>
  </si>
  <si>
    <t>Sembakung</t>
  </si>
  <si>
    <t>Semelai-Semaq</t>
  </si>
  <si>
    <t>seme1247</t>
  </si>
  <si>
    <t>Semelai</t>
  </si>
  <si>
    <t>sza</t>
  </si>
  <si>
    <t>seme1248</t>
  </si>
  <si>
    <t>Semendo</t>
  </si>
  <si>
    <t>sdd</t>
  </si>
  <si>
    <t>semi1261</t>
  </si>
  <si>
    <t>S√©mien</t>
  </si>
  <si>
    <t>semi1262</t>
  </si>
  <si>
    <t>Semitau</t>
  </si>
  <si>
    <t>semi1263</t>
  </si>
  <si>
    <t>Semirara</t>
  </si>
  <si>
    <t>semi1264</t>
  </si>
  <si>
    <t>Semimi</t>
  </si>
  <si>
    <t>etz</t>
  </si>
  <si>
    <t>semi1266</t>
  </si>
  <si>
    <t>Semiahmoo</t>
  </si>
  <si>
    <t>Semitic</t>
  </si>
  <si>
    <t>Semnani-Biyabuneki</t>
  </si>
  <si>
    <t>smy</t>
  </si>
  <si>
    <t>semn1250</t>
  </si>
  <si>
    <t>Semnam</t>
  </si>
  <si>
    <t>ssm</t>
  </si>
  <si>
    <t>semn1251</t>
  </si>
  <si>
    <t>Semnan</t>
  </si>
  <si>
    <t>semp1241</t>
  </si>
  <si>
    <t>Sempan</t>
  </si>
  <si>
    <t>xse</t>
  </si>
  <si>
    <t>semu1240</t>
  </si>
  <si>
    <t>Semulu</t>
  </si>
  <si>
    <t>semu1241</t>
  </si>
  <si>
    <t>Semukung Uheng</t>
  </si>
  <si>
    <t>semy1238</t>
  </si>
  <si>
    <t>Semen Agaw</t>
  </si>
  <si>
    <t>sena1260</t>
  </si>
  <si>
    <t>Senaki</t>
  </si>
  <si>
    <t>sena1262</t>
  </si>
  <si>
    <t>Senara S√©noufo</t>
  </si>
  <si>
    <t>seq</t>
  </si>
  <si>
    <t>Senagi</t>
  </si>
  <si>
    <t>sena1268</t>
  </si>
  <si>
    <t>Senaya</t>
  </si>
  <si>
    <t>syn</t>
  </si>
  <si>
    <t>AU IR US</t>
  </si>
  <si>
    <t>Senaic</t>
  </si>
  <si>
    <t>tumb1253</t>
  </si>
  <si>
    <t>Sena-Nyanja</t>
  </si>
  <si>
    <t>send1239</t>
  </si>
  <si>
    <t>Sendana</t>
  </si>
  <si>
    <t>send1240</t>
  </si>
  <si>
    <t>Sendai</t>
  </si>
  <si>
    <t>sene1263</t>
  </si>
  <si>
    <t>Sene</t>
  </si>
  <si>
    <t>sej</t>
  </si>
  <si>
    <t>Sened</t>
  </si>
  <si>
    <t>sds</t>
  </si>
  <si>
    <t>seng1275</t>
  </si>
  <si>
    <t>Sengmai</t>
  </si>
  <si>
    <t>seng1277</t>
  </si>
  <si>
    <t>Senga</t>
  </si>
  <si>
    <t>seng1278</t>
  </si>
  <si>
    <t>Sengele</t>
  </si>
  <si>
    <t>szg</t>
  </si>
  <si>
    <t>seng1279</t>
  </si>
  <si>
    <t>Sengbe</t>
  </si>
  <si>
    <t>seng1280</t>
  </si>
  <si>
    <t>Sengan</t>
  </si>
  <si>
    <t>seng1281</t>
  </si>
  <si>
    <t>Sengseng</t>
  </si>
  <si>
    <t>ssz</t>
  </si>
  <si>
    <t>seng1282</t>
  </si>
  <si>
    <t>Senggo</t>
  </si>
  <si>
    <t>seng1283</t>
  </si>
  <si>
    <t>Sengeze</t>
  </si>
  <si>
    <t>seng1284</t>
  </si>
  <si>
    <t>Sengo</t>
  </si>
  <si>
    <t>spk</t>
  </si>
  <si>
    <t>seng1285</t>
  </si>
  <si>
    <t>Senggi</t>
  </si>
  <si>
    <t>snu</t>
  </si>
  <si>
    <t>senh1238</t>
  </si>
  <si>
    <t>Senhaja De Srair</t>
  </si>
  <si>
    <t>sjs</t>
  </si>
  <si>
    <t>senj1238</t>
  </si>
  <si>
    <t>Senje</t>
  </si>
  <si>
    <t>Senoic</t>
  </si>
  <si>
    <t>sens1241</t>
  </si>
  <si>
    <t>Sensh≈´</t>
  </si>
  <si>
    <t>sens1242</t>
  </si>
  <si>
    <t>Sensi</t>
  </si>
  <si>
    <t>sni</t>
  </si>
  <si>
    <t>sent1241</t>
  </si>
  <si>
    <t>Sentinel</t>
  </si>
  <si>
    <t>std</t>
  </si>
  <si>
    <t>sent1260</t>
  </si>
  <si>
    <t>Senthang Chin</t>
  </si>
  <si>
    <t>sez</t>
  </si>
  <si>
    <t>Sentanic</t>
  </si>
  <si>
    <t>Senufo</t>
  </si>
  <si>
    <t>seny1238</t>
  </si>
  <si>
    <t>Senya</t>
  </si>
  <si>
    <t>seon1237</t>
  </si>
  <si>
    <t>Seoni</t>
  </si>
  <si>
    <t>seou1239</t>
  </si>
  <si>
    <t>Seoul</t>
  </si>
  <si>
    <t>sepa1241</t>
  </si>
  <si>
    <t>Sepa (Papua New Guinea)</t>
  </si>
  <si>
    <t>spe</t>
  </si>
  <si>
    <t>sepa1242</t>
  </si>
  <si>
    <t>Sepa (Indonesia)</t>
  </si>
  <si>
    <t>spb</t>
  </si>
  <si>
    <t>sepa1243</t>
  </si>
  <si>
    <t>Sepa</t>
  </si>
  <si>
    <t>sepe1240</t>
  </si>
  <si>
    <t>Sepen</t>
  </si>
  <si>
    <t>spm</t>
  </si>
  <si>
    <t>Sepedic</t>
  </si>
  <si>
    <t>sepe1242</t>
  </si>
  <si>
    <t>Sepeƒçides</t>
  </si>
  <si>
    <t>sepi1255</t>
  </si>
  <si>
    <t>Sepik Iwam</t>
  </si>
  <si>
    <t>iws</t>
  </si>
  <si>
    <t>Sepik Tama</t>
  </si>
  <si>
    <t>Sepik</t>
  </si>
  <si>
    <t>Sepik Hill</t>
  </si>
  <si>
    <t>Sepik Iwam-based pidgin</t>
  </si>
  <si>
    <t>sepo1239</t>
  </si>
  <si>
    <t>Sepoe</t>
  </si>
  <si>
    <t>sepu1237</t>
  </si>
  <si>
    <t>Seputan</t>
  </si>
  <si>
    <t>Saraiki</t>
  </si>
  <si>
    <t>skr</t>
  </si>
  <si>
    <t>sera1260</t>
  </si>
  <si>
    <t>sera1271</t>
  </si>
  <si>
    <t>Sera</t>
  </si>
  <si>
    <t>sry</t>
  </si>
  <si>
    <t>sera1261</t>
  </si>
  <si>
    <t>Serang</t>
  </si>
  <si>
    <t>sera1262</t>
  </si>
  <si>
    <t>Sera (Indonesia)</t>
  </si>
  <si>
    <t>sera1265</t>
  </si>
  <si>
    <t>Serambau</t>
  </si>
  <si>
    <t>sera1269</t>
  </si>
  <si>
    <t>Serak</t>
  </si>
  <si>
    <t>Seram Straits</t>
  </si>
  <si>
    <t>Sera-Sissano</t>
  </si>
  <si>
    <t>sera1272</t>
  </si>
  <si>
    <t>Serawai</t>
  </si>
  <si>
    <t>srj</t>
  </si>
  <si>
    <t>Serbian Standard</t>
  </si>
  <si>
    <t>AL BA BG HR HU ME MK RO RS</t>
  </si>
  <si>
    <t>serb1266</t>
  </si>
  <si>
    <t>Serbo-Bosnian Vlax</t>
  </si>
  <si>
    <t>serb1268</t>
  </si>
  <si>
    <t>Serbodjadi</t>
  </si>
  <si>
    <t>Serbian-Romani</t>
  </si>
  <si>
    <t>sere1258</t>
  </si>
  <si>
    <t>Serengeti Dorobo</t>
  </si>
  <si>
    <t>Sereer</t>
  </si>
  <si>
    <t>srr</t>
  </si>
  <si>
    <t>Sereic</t>
  </si>
  <si>
    <t>Sere-Bviri</t>
  </si>
  <si>
    <t>sere1264</t>
  </si>
  <si>
    <t>Sere</t>
  </si>
  <si>
    <t>swf</t>
  </si>
  <si>
    <t>Sere-Ngbaka-Mba</t>
  </si>
  <si>
    <t>Sere-Indri</t>
  </si>
  <si>
    <t>serh1238</t>
  </si>
  <si>
    <t>Serhta</t>
  </si>
  <si>
    <t>seri1255</t>
  </si>
  <si>
    <t>Serili</t>
  </si>
  <si>
    <t>sve</t>
  </si>
  <si>
    <t>seri1256</t>
  </si>
  <si>
    <t>Serikenam</t>
  </si>
  <si>
    <t>serm1234</t>
  </si>
  <si>
    <t>Sermata</t>
  </si>
  <si>
    <t>Seroa</t>
  </si>
  <si>
    <t>kqu</t>
  </si>
  <si>
    <t>Serra Hills</t>
  </si>
  <si>
    <t>serr1254</t>
  </si>
  <si>
    <t>Serran</t>
  </si>
  <si>
    <t>serr1255</t>
  </si>
  <si>
    <t>Serrano</t>
  </si>
  <si>
    <t>ser</t>
  </si>
  <si>
    <t>serr1256</t>
  </si>
  <si>
    <t>Serra Azul</t>
  </si>
  <si>
    <t>serr1257</t>
  </si>
  <si>
    <t>Serres-Sechidou Romani</t>
  </si>
  <si>
    <t>sert1234</t>
  </si>
  <si>
    <t>Sertha/Golok</t>
  </si>
  <si>
    <t>seru1244</t>
  </si>
  <si>
    <t>Serui-Laut</t>
  </si>
  <si>
    <t>seu</t>
  </si>
  <si>
    <t>seru1245</t>
  </si>
  <si>
    <t>Serua</t>
  </si>
  <si>
    <t>srw</t>
  </si>
  <si>
    <t>seru1246</t>
  </si>
  <si>
    <t>Serudung Murut</t>
  </si>
  <si>
    <t>srk</t>
  </si>
  <si>
    <t>seru1247</t>
  </si>
  <si>
    <t>Seru</t>
  </si>
  <si>
    <t>szd</t>
  </si>
  <si>
    <t>Serui-Busami</t>
  </si>
  <si>
    <t>serw1238</t>
  </si>
  <si>
    <t>Serwang</t>
  </si>
  <si>
    <t>sesa1243</t>
  </si>
  <si>
    <t>Sesake</t>
  </si>
  <si>
    <t>sesa1244</t>
  </si>
  <si>
    <t>Sesayap</t>
  </si>
  <si>
    <t>sesa1245</t>
  </si>
  <si>
    <t>Sesa</t>
  </si>
  <si>
    <t>sesa1248</t>
  </si>
  <si>
    <t>Sesan</t>
  </si>
  <si>
    <t>sese1244</t>
  </si>
  <si>
    <t>Sese</t>
  </si>
  <si>
    <t>sese1245</t>
  </si>
  <si>
    <t>Sese (Gumuz)</t>
  </si>
  <si>
    <t>sese1246</t>
  </si>
  <si>
    <t>Seselwa Creole French</t>
  </si>
  <si>
    <t>crs</t>
  </si>
  <si>
    <t>SC</t>
  </si>
  <si>
    <t>sesf1238</t>
  </si>
  <si>
    <t>Sesfontein Damara</t>
  </si>
  <si>
    <t>sesi1237</t>
  </si>
  <si>
    <t>Sesivi</t>
  </si>
  <si>
    <t>Sesotho-Lozi</t>
  </si>
  <si>
    <t>seta1245</t>
  </si>
  <si>
    <t>Seta</t>
  </si>
  <si>
    <t>stf</t>
  </si>
  <si>
    <t>seta1246</t>
  </si>
  <si>
    <t>Setaman</t>
  </si>
  <si>
    <t>stm</t>
  </si>
  <si>
    <t>seti1246</t>
  </si>
  <si>
    <t>Seti (Indonesian)</t>
  </si>
  <si>
    <t>seti1247</t>
  </si>
  <si>
    <t>Setiali</t>
  </si>
  <si>
    <t>seti1248</t>
  </si>
  <si>
    <t>Seti</t>
  </si>
  <si>
    <t>sbi</t>
  </si>
  <si>
    <t>Setic</t>
  </si>
  <si>
    <t>seto1242</t>
  </si>
  <si>
    <t>Seto (Gun)</t>
  </si>
  <si>
    <t>Seto-Kraasna</t>
  </si>
  <si>
    <t>Seto</t>
  </si>
  <si>
    <t>sett1235</t>
  </si>
  <si>
    <t>KiSetla</t>
  </si>
  <si>
    <t>sta</t>
  </si>
  <si>
    <t>sett1242</t>
  </si>
  <si>
    <t>Sette Comuni Cimbrian</t>
  </si>
  <si>
    <t>Seuta</t>
  </si>
  <si>
    <t>Severn Ojibwa</t>
  </si>
  <si>
    <t>ojs</t>
  </si>
  <si>
    <t>seve1241</t>
  </si>
  <si>
    <t>Severn River Ojibwa</t>
  </si>
  <si>
    <t>Severn-Algonquin</t>
  </si>
  <si>
    <t>sewa1250</t>
  </si>
  <si>
    <t>Sewawa</t>
  </si>
  <si>
    <t>Sewa Bay</t>
  </si>
  <si>
    <t>sew</t>
  </si>
  <si>
    <t>sewa1252</t>
  </si>
  <si>
    <t>Sewataitai</t>
  </si>
  <si>
    <t>sewe1240</t>
  </si>
  <si>
    <t>Sewe</t>
  </si>
  <si>
    <t>sewi1238</t>
  </si>
  <si>
    <t>Sewi</t>
  </si>
  <si>
    <t>seze1235</t>
  </si>
  <si>
    <t>Seze</t>
  </si>
  <si>
    <t>sze</t>
  </si>
  <si>
    <t>sfar1238</t>
  </si>
  <si>
    <t>Sfa Riere</t>
  </si>
  <si>
    <t>sfax1238</t>
  </si>
  <si>
    <t>Sfax</t>
  </si>
  <si>
    <t>sgaw1244</t>
  </si>
  <si>
    <t>Sgaw</t>
  </si>
  <si>
    <t>S'gaw Karen</t>
  </si>
  <si>
    <t>ksw</t>
  </si>
  <si>
    <t>shaa1242</t>
  </si>
  <si>
    <t>Shaanxi</t>
  </si>
  <si>
    <t>shaa1243</t>
  </si>
  <si>
    <t>Shaari</t>
  </si>
  <si>
    <t>shaa1247</t>
  </si>
  <si>
    <t>Sha</t>
  </si>
  <si>
    <t>scw</t>
  </si>
  <si>
    <t>shab1249</t>
  </si>
  <si>
    <t>Shapin-Karahisar</t>
  </si>
  <si>
    <t>Shabak-Bajalani</t>
  </si>
  <si>
    <t>shab1251</t>
  </si>
  <si>
    <t>Shabak</t>
  </si>
  <si>
    <t>sdb</t>
  </si>
  <si>
    <t>shab1252</t>
  </si>
  <si>
    <t>Shabo</t>
  </si>
  <si>
    <t>sbf</t>
  </si>
  <si>
    <t>shab1253</t>
  </si>
  <si>
    <t>Shabun</t>
  </si>
  <si>
    <t>shad1238</t>
  </si>
  <si>
    <t>Shadal</t>
  </si>
  <si>
    <t>shag1239</t>
  </si>
  <si>
    <t>Shaga</t>
  </si>
  <si>
    <t>shah1253</t>
  </si>
  <si>
    <t>Shahmirzadi</t>
  </si>
  <si>
    <t>srz</t>
  </si>
  <si>
    <t>shah1254</t>
  </si>
  <si>
    <t>Shahrudi</t>
  </si>
  <si>
    <t>shm</t>
  </si>
  <si>
    <t>shah1255</t>
  </si>
  <si>
    <t>Shahrudi Kazeruni</t>
  </si>
  <si>
    <t>shah1256</t>
  </si>
  <si>
    <t>Shah-Mansuri</t>
  </si>
  <si>
    <t>shah1257</t>
  </si>
  <si>
    <t>Shahsavani</t>
  </si>
  <si>
    <t>shah1261</t>
  </si>
  <si>
    <t>Shahe</t>
  </si>
  <si>
    <t>shah1262</t>
  </si>
  <si>
    <t>Shahdara</t>
  </si>
  <si>
    <t>shai1238</t>
  </si>
  <si>
    <t>Shai</t>
  </si>
  <si>
    <t>shak1238</t>
  </si>
  <si>
    <t>Shakara</t>
  </si>
  <si>
    <t>nfk</t>
  </si>
  <si>
    <t>shal1238</t>
  </si>
  <si>
    <t>shal1242</t>
  </si>
  <si>
    <t>Shall</t>
  </si>
  <si>
    <t>Shall-Zwall</t>
  </si>
  <si>
    <t>sha</t>
  </si>
  <si>
    <t>sham1243</t>
  </si>
  <si>
    <t>Shama</t>
  </si>
  <si>
    <t>sham1264</t>
  </si>
  <si>
    <t>Shamma</t>
  </si>
  <si>
    <t>sham1273</t>
  </si>
  <si>
    <t>Shamakhi (Armenian)</t>
  </si>
  <si>
    <t>sham1274</t>
  </si>
  <si>
    <t>Shamakot</t>
  </si>
  <si>
    <t>sham1275</t>
  </si>
  <si>
    <t>Shamakhi</t>
  </si>
  <si>
    <t>sham1276</t>
  </si>
  <si>
    <t>Shamnyuyanga</t>
  </si>
  <si>
    <t>sham1277</t>
  </si>
  <si>
    <t>Shamang</t>
  </si>
  <si>
    <t>xsh</t>
  </si>
  <si>
    <t>Shama-Sambuga</t>
  </si>
  <si>
    <t>sqa</t>
  </si>
  <si>
    <t>Shambala</t>
  </si>
  <si>
    <t>ksb</t>
  </si>
  <si>
    <t>sham1281</t>
  </si>
  <si>
    <t>Shamba</t>
  </si>
  <si>
    <t>Shamskatic</t>
  </si>
  <si>
    <t>shan1244</t>
  </si>
  <si>
    <t>Shantou</t>
  </si>
  <si>
    <t>shan1269</t>
  </si>
  <si>
    <t>Shanghai Sign Language</t>
  </si>
  <si>
    <t>shan1273</t>
  </si>
  <si>
    <t>Shangpung</t>
  </si>
  <si>
    <t>Stodsde</t>
  </si>
  <si>
    <t>jih</t>
  </si>
  <si>
    <t>shan1275</t>
  </si>
  <si>
    <t>Shanlang</t>
  </si>
  <si>
    <t>Shan Tai</t>
  </si>
  <si>
    <t>Shan</t>
  </si>
  <si>
    <t>shn</t>
  </si>
  <si>
    <t>shan1278</t>
  </si>
  <si>
    <t>Shang</t>
  </si>
  <si>
    <t>shan1279</t>
  </si>
  <si>
    <t>Shanga (Mozambique)</t>
  </si>
  <si>
    <t>shan1280</t>
  </si>
  <si>
    <t>Shan Gwe</t>
  </si>
  <si>
    <t>shan1282</t>
  </si>
  <si>
    <t>Shanga</t>
  </si>
  <si>
    <t>sho</t>
  </si>
  <si>
    <t>shan1283</t>
  </si>
  <si>
    <t>yami1255</t>
  </si>
  <si>
    <t>Shanenawa</t>
  </si>
  <si>
    <t>swo</t>
  </si>
  <si>
    <t>shan1290</t>
  </si>
  <si>
    <t>Shani</t>
  </si>
  <si>
    <t>shan1291</t>
  </si>
  <si>
    <t>Shanjo</t>
  </si>
  <si>
    <t>shan1292</t>
  </si>
  <si>
    <t>Shanghang</t>
  </si>
  <si>
    <t>shan1293</t>
  </si>
  <si>
    <t>Shanghainese</t>
  </si>
  <si>
    <t>shan1294</t>
  </si>
  <si>
    <t>Shanggu Hanyu</t>
  </si>
  <si>
    <t>shan1295</t>
  </si>
  <si>
    <t>Shando</t>
  </si>
  <si>
    <t>Shaojiang</t>
  </si>
  <si>
    <t>shao1235</t>
  </si>
  <si>
    <t>Shaowu</t>
  </si>
  <si>
    <t>shap1240</t>
  </si>
  <si>
    <t>Shapsug</t>
  </si>
  <si>
    <t>shaq1238</t>
  </si>
  <si>
    <t>Shaqlawa</t>
  </si>
  <si>
    <t>shar1244</t>
  </si>
  <si>
    <t>Ngen</t>
  </si>
  <si>
    <t>ssv</t>
  </si>
  <si>
    <t>Sharanahua</t>
  </si>
  <si>
    <t>mcd</t>
  </si>
  <si>
    <t>shar1249</t>
  </si>
  <si>
    <t>shar1250</t>
  </si>
  <si>
    <t>Sharwa</t>
  </si>
  <si>
    <t>swq</t>
  </si>
  <si>
    <t>Sharwa-Tsuvan</t>
  </si>
  <si>
    <t>Shastan</t>
  </si>
  <si>
    <t>shas1239</t>
  </si>
  <si>
    <t>Shasta</t>
  </si>
  <si>
    <t>sht</t>
  </si>
  <si>
    <t>shas1264</t>
  </si>
  <si>
    <t>Shasha</t>
  </si>
  <si>
    <t>shat1243</t>
  </si>
  <si>
    <t>Shatt (Mundu)</t>
  </si>
  <si>
    <t>shat1244</t>
  </si>
  <si>
    <t>Shatt</t>
  </si>
  <si>
    <t>shj</t>
  </si>
  <si>
    <t>shau1238</t>
  </si>
  <si>
    <t>Shau</t>
  </si>
  <si>
    <t>sqh</t>
  </si>
  <si>
    <t>shaw1248</t>
  </si>
  <si>
    <t>Shawasha</t>
  </si>
  <si>
    <t>shaw1249</t>
  </si>
  <si>
    <t>Shawnee</t>
  </si>
  <si>
    <t>sjw</t>
  </si>
  <si>
    <t>She</t>
  </si>
  <si>
    <t>shx</t>
  </si>
  <si>
    <t>shee1239</t>
  </si>
  <si>
    <t>She (Ethiopia)</t>
  </si>
  <si>
    <t>sheh1238</t>
  </si>
  <si>
    <t>Shehleh</t>
  </si>
  <si>
    <t>Jibbali</t>
  </si>
  <si>
    <t>shv</t>
  </si>
  <si>
    <t>shei1239</t>
  </si>
  <si>
    <t>Sheikhan</t>
  </si>
  <si>
    <t>shek1242</t>
  </si>
  <si>
    <t>Shekhani</t>
  </si>
  <si>
    <t>Shekhawati</t>
  </si>
  <si>
    <t>swv</t>
  </si>
  <si>
    <t>shek1244</t>
  </si>
  <si>
    <t>Shekkacho</t>
  </si>
  <si>
    <t>moy</t>
  </si>
  <si>
    <t>Sheko</t>
  </si>
  <si>
    <t>she</t>
  </si>
  <si>
    <t>Sheke</t>
  </si>
  <si>
    <t>shel1236</t>
  </si>
  <si>
    <t>Shelta</t>
  </si>
  <si>
    <t>sth</t>
  </si>
  <si>
    <t>GB IE US</t>
  </si>
  <si>
    <t>shel1243</t>
  </si>
  <si>
    <t>Shelkota</t>
  </si>
  <si>
    <t>shel1247</t>
  </si>
  <si>
    <t>Shellen</t>
  </si>
  <si>
    <t>shem1238</t>
  </si>
  <si>
    <t>Shemdinani</t>
  </si>
  <si>
    <t>shem1239</t>
  </si>
  <si>
    <t>Shempire Senoufo</t>
  </si>
  <si>
    <t>seb</t>
  </si>
  <si>
    <t>CI ML</t>
  </si>
  <si>
    <t>shen1247</t>
  </si>
  <si>
    <t>Shendu</t>
  </si>
  <si>
    <t>shl</t>
  </si>
  <si>
    <t>shen1248</t>
  </si>
  <si>
    <t>Shengha</t>
  </si>
  <si>
    <t>shen1249</t>
  </si>
  <si>
    <t>Shenge Sherbro</t>
  </si>
  <si>
    <t>shen1250</t>
  </si>
  <si>
    <t>shen1251</t>
  </si>
  <si>
    <t>Sheni</t>
  </si>
  <si>
    <t>scv</t>
  </si>
  <si>
    <t>Shenic</t>
  </si>
  <si>
    <t>shen1252</t>
  </si>
  <si>
    <t>Shenyang Mandarin</t>
  </si>
  <si>
    <t>Sherpa-Jirel</t>
  </si>
  <si>
    <t>Solu-Khumbu Sherpa</t>
  </si>
  <si>
    <t>xsr</t>
  </si>
  <si>
    <t>Sherdukpen-Sartang</t>
  </si>
  <si>
    <t>Mey</t>
  </si>
  <si>
    <t>sdp</t>
  </si>
  <si>
    <t>Sherbro</t>
  </si>
  <si>
    <t>bun</t>
  </si>
  <si>
    <t>sher1259</t>
  </si>
  <si>
    <t>Sherwood Valley</t>
  </si>
  <si>
    <t>Sherpaic</t>
  </si>
  <si>
    <t>sher1261</t>
  </si>
  <si>
    <t>Shergaon</t>
  </si>
  <si>
    <t>Sheshi Kham</t>
  </si>
  <si>
    <t>kip</t>
  </si>
  <si>
    <t>shet1240</t>
  </si>
  <si>
    <t>Shetebo</t>
  </si>
  <si>
    <t>shet1241</t>
  </si>
  <si>
    <t>Shetland Scots</t>
  </si>
  <si>
    <t>shex1234</t>
  </si>
  <si>
    <t>Shexian</t>
  </si>
  <si>
    <t>shid1239</t>
  </si>
  <si>
    <t>Shidan</t>
  </si>
  <si>
    <t>west2813</t>
  </si>
  <si>
    <t>Shifted Western Romance</t>
  </si>
  <si>
    <t>shig1237</t>
  </si>
  <si>
    <t>Shiga</t>
  </si>
  <si>
    <t>shig1238</t>
  </si>
  <si>
    <t>Shigatse</t>
  </si>
  <si>
    <t>shih1239</t>
  </si>
  <si>
    <t>Shihhi Arabic</t>
  </si>
  <si>
    <t>ssh</t>
  </si>
  <si>
    <t>Shi</t>
  </si>
  <si>
    <t>shr</t>
  </si>
  <si>
    <t>BI CD RW</t>
  </si>
  <si>
    <t>Shiki</t>
  </si>
  <si>
    <t>gua</t>
  </si>
  <si>
    <t>shil1260</t>
  </si>
  <si>
    <t>Shilmani</t>
  </si>
  <si>
    <t>shil1261</t>
  </si>
  <si>
    <t>Shilingol</t>
  </si>
  <si>
    <t>shil1262</t>
  </si>
  <si>
    <t>xuan1238</t>
  </si>
  <si>
    <t>Shiling</t>
  </si>
  <si>
    <t>shil1264</t>
  </si>
  <si>
    <t>taab1238</t>
  </si>
  <si>
    <t>Shila</t>
  </si>
  <si>
    <t>shil1266</t>
  </si>
  <si>
    <t>Shillong Indian Sign Language</t>
  </si>
  <si>
    <t>shim1249</t>
  </si>
  <si>
    <t>Shimla Siraji</t>
  </si>
  <si>
    <t>shim1250</t>
  </si>
  <si>
    <t>Shimong</t>
  </si>
  <si>
    <t>shim1251</t>
  </si>
  <si>
    <t>Shi Mun</t>
  </si>
  <si>
    <t>shim1252</t>
  </si>
  <si>
    <t>Shima</t>
  </si>
  <si>
    <t>shim1253</t>
  </si>
  <si>
    <t>Shimokita</t>
  </si>
  <si>
    <t>shin1262</t>
  </si>
  <si>
    <t>Shinwari</t>
  </si>
  <si>
    <t>Shina</t>
  </si>
  <si>
    <t>scl</t>
  </si>
  <si>
    <t>shin1265</t>
  </si>
  <si>
    <t>Shina (Nakh-Daghestan)</t>
  </si>
  <si>
    <t>shin1266</t>
  </si>
  <si>
    <t>Shindzwani</t>
  </si>
  <si>
    <t>shin1267</t>
  </si>
  <si>
    <t>Shinabo</t>
  </si>
  <si>
    <t>snh</t>
  </si>
  <si>
    <t>Shindzwani-Shimaore</t>
  </si>
  <si>
    <t>Shinaic</t>
  </si>
  <si>
    <t>Shipibo-Konibo-Kapanawa</t>
  </si>
  <si>
    <t>ship1256</t>
  </si>
  <si>
    <t>Shipibo del Madre de Dios</t>
  </si>
  <si>
    <t>shir1258</t>
  </si>
  <si>
    <t>Shirazi</t>
  </si>
  <si>
    <t>shir1259</t>
  </si>
  <si>
    <t>Shirazjahromi</t>
  </si>
  <si>
    <t>Shirongol</t>
  </si>
  <si>
    <t>shir1261</t>
  </si>
  <si>
    <t>yeyi1239</t>
  </si>
  <si>
    <t>Shirwanga</t>
  </si>
  <si>
    <t>shir1262</t>
  </si>
  <si>
    <t>Shiraho</t>
  </si>
  <si>
    <t>shir1268</t>
  </si>
  <si>
    <t>Shirawa</t>
  </si>
  <si>
    <t>shir1272</t>
  </si>
  <si>
    <t>Shirnak-Chizre</t>
  </si>
  <si>
    <t>Shiroro-Kamuku</t>
  </si>
  <si>
    <t>Shira-Southwestern Bade</t>
  </si>
  <si>
    <t>Shiroro</t>
  </si>
  <si>
    <t>Shira</t>
  </si>
  <si>
    <t>shit1241</t>
  </si>
  <si>
    <t>Shithlou</t>
  </si>
  <si>
    <t>shit1242</t>
  </si>
  <si>
    <t>Shitamachi</t>
  </si>
  <si>
    <t>shit1243</t>
  </si>
  <si>
    <t>Shitile</t>
  </si>
  <si>
    <t>shiw1234</t>
  </si>
  <si>
    <t>Shiwa</t>
  </si>
  <si>
    <t>shiw1235</t>
  </si>
  <si>
    <t>Shiwiar</t>
  </si>
  <si>
    <t>shix1238</t>
  </si>
  <si>
    <t>Shixing</t>
  </si>
  <si>
    <t>sxg</t>
  </si>
  <si>
    <t>shiz1237</t>
  </si>
  <si>
    <t>Shizuoka</t>
  </si>
  <si>
    <t>shoa1234</t>
  </si>
  <si>
    <t>Shoalwater</t>
  </si>
  <si>
    <t>shoe1243</t>
  </si>
  <si>
    <t>Shoe</t>
  </si>
  <si>
    <t>shol1240</t>
  </si>
  <si>
    <t>Sholaga</t>
  </si>
  <si>
    <t>sle</t>
  </si>
  <si>
    <t>shol1241</t>
  </si>
  <si>
    <t>Sholio</t>
  </si>
  <si>
    <t>shom1245</t>
  </si>
  <si>
    <t>Shom Peng</t>
  </si>
  <si>
    <t>sii</t>
  </si>
  <si>
    <t>shom1246</t>
  </si>
  <si>
    <t>Shomba</t>
  </si>
  <si>
    <t>shon1249</t>
  </si>
  <si>
    <t>Shonshe</t>
  </si>
  <si>
    <t>Shona (S.10)</t>
  </si>
  <si>
    <t>Shona</t>
  </si>
  <si>
    <t>BW ZA ZM ZW</t>
  </si>
  <si>
    <t>shon1252</t>
  </si>
  <si>
    <t>Sh≈çnai</t>
  </si>
  <si>
    <t>shon1256</t>
  </si>
  <si>
    <t>Shongom</t>
  </si>
  <si>
    <t>Shoo-Minda-Nye</t>
  </si>
  <si>
    <t>bcv</t>
  </si>
  <si>
    <t>shoo1248</t>
  </si>
  <si>
    <t>Shoo</t>
  </si>
  <si>
    <t>Shor</t>
  </si>
  <si>
    <t>cjs</t>
  </si>
  <si>
    <t>Shoshoni</t>
  </si>
  <si>
    <t>shh</t>
  </si>
  <si>
    <t>shta1237</t>
  </si>
  <si>
    <t>Shtafari</t>
  </si>
  <si>
    <t>Shtokavski</t>
  </si>
  <si>
    <t>shua1252</t>
  </si>
  <si>
    <t>Shuadit</t>
  </si>
  <si>
    <t>sdt</t>
  </si>
  <si>
    <t>shua1253</t>
  </si>
  <si>
    <t>Shuangbo Lolopho</t>
  </si>
  <si>
    <t>Shua</t>
  </si>
  <si>
    <t>shg</t>
  </si>
  <si>
    <t>BW ZW</t>
  </si>
  <si>
    <t>shua1255</t>
  </si>
  <si>
    <t>Shua-Khwe</t>
  </si>
  <si>
    <t>Shuaric</t>
  </si>
  <si>
    <t>Shuar</t>
  </si>
  <si>
    <t>jiv</t>
  </si>
  <si>
    <t>shua1258</t>
  </si>
  <si>
    <t>Shuangfeng</t>
  </si>
  <si>
    <t>shub1238</t>
  </si>
  <si>
    <t>Shubi</t>
  </si>
  <si>
    <t>suj</t>
  </si>
  <si>
    <t>shug1237</t>
  </si>
  <si>
    <t>Shughni-Yazgulami</t>
  </si>
  <si>
    <t>Shughni</t>
  </si>
  <si>
    <t>sgh</t>
  </si>
  <si>
    <t>shug1252</t>
  </si>
  <si>
    <t>Shugule</t>
  </si>
  <si>
    <t>Shughnic</t>
  </si>
  <si>
    <t>Shughni-Shahdara-Bajui</t>
  </si>
  <si>
    <t>Shughni-Shahdara</t>
  </si>
  <si>
    <t>shug1256</t>
  </si>
  <si>
    <t>Shugbu</t>
  </si>
  <si>
    <t>shuk1240</t>
  </si>
  <si>
    <t>Shukho</t>
  </si>
  <si>
    <t>shuk1244</t>
  </si>
  <si>
    <t>Shukri</t>
  </si>
  <si>
    <t>shul1241</t>
  </si>
  <si>
    <t>Shuli</t>
  </si>
  <si>
    <t>shul1242</t>
  </si>
  <si>
    <t>Shulanin</t>
  </si>
  <si>
    <t>shum1235</t>
  </si>
  <si>
    <t>Shumashti</t>
  </si>
  <si>
    <t>sts</t>
  </si>
  <si>
    <t>shum1243</t>
  </si>
  <si>
    <t>Shumcho</t>
  </si>
  <si>
    <t>scu</t>
  </si>
  <si>
    <t>shun1238</t>
  </si>
  <si>
    <t>Shunyuo</t>
  </si>
  <si>
    <t>shun1239</t>
  </si>
  <si>
    <t>Shunchang</t>
  </si>
  <si>
    <t>shur1242</t>
  </si>
  <si>
    <t>Shuru</t>
  </si>
  <si>
    <t>shur1243</t>
  </si>
  <si>
    <t>Shuri</t>
  </si>
  <si>
    <t>shus1247</t>
  </si>
  <si>
    <t>Shusha</t>
  </si>
  <si>
    <t>Shuswap</t>
  </si>
  <si>
    <t>shs</t>
  </si>
  <si>
    <t>shus1252</t>
  </si>
  <si>
    <t>Shushtar</t>
  </si>
  <si>
    <t>shut1241</t>
  </si>
  <si>
    <t>Shutul</t>
  </si>
  <si>
    <t>shut1242</t>
  </si>
  <si>
    <t>Shutul (Northwest Pashayi)</t>
  </si>
  <si>
    <t>shuu1237</t>
  </si>
  <si>
    <t>Shu</t>
  </si>
  <si>
    <t>shuw1238</t>
  </si>
  <si>
    <t>Shuwa-Zamani</t>
  </si>
  <si>
    <t>ksa</t>
  </si>
  <si>
    <t>Shwai</t>
  </si>
  <si>
    <t>shw</t>
  </si>
  <si>
    <t>shwe1236</t>
  </si>
  <si>
    <t>Shwe Palaung</t>
  </si>
  <si>
    <t>pll</t>
  </si>
  <si>
    <t>siak1238</t>
  </si>
  <si>
    <t>Siaka</t>
  </si>
  <si>
    <t>sial1240</t>
  </si>
  <si>
    <t>Sialum</t>
  </si>
  <si>
    <t>slw</t>
  </si>
  <si>
    <t>Siamese</t>
  </si>
  <si>
    <t>Siamou</t>
  </si>
  <si>
    <t>sif</t>
  </si>
  <si>
    <t>Siang</t>
  </si>
  <si>
    <t>sya</t>
  </si>
  <si>
    <t>sian1255</t>
  </si>
  <si>
    <t>Sihan</t>
  </si>
  <si>
    <t>spg</t>
  </si>
  <si>
    <t>Siane</t>
  </si>
  <si>
    <t>snp</t>
  </si>
  <si>
    <t>siar1238</t>
  </si>
  <si>
    <t>Siar-Lak</t>
  </si>
  <si>
    <t>sjr</t>
  </si>
  <si>
    <t>siau1242</t>
  </si>
  <si>
    <t>Siausi</t>
  </si>
  <si>
    <t>siau1243</t>
  </si>
  <si>
    <t>Siau</t>
  </si>
  <si>
    <t>siau1244</t>
  </si>
  <si>
    <t>Siau (Sangir)</t>
  </si>
  <si>
    <t>siaw1242</t>
  </si>
  <si>
    <t>Siawari</t>
  </si>
  <si>
    <t>siaw1243</t>
  </si>
  <si>
    <t>Siawi</t>
  </si>
  <si>
    <t>mmp</t>
  </si>
  <si>
    <t>siba1240</t>
  </si>
  <si>
    <t>Sibao Yamphe</t>
  </si>
  <si>
    <t>siba1241</t>
  </si>
  <si>
    <t>Sibalenhon</t>
  </si>
  <si>
    <t>sibe1248</t>
  </si>
  <si>
    <t>Sibe</t>
  </si>
  <si>
    <t>nco</t>
  </si>
  <si>
    <t>sibe1250</t>
  </si>
  <si>
    <t>Siberian Tatar</t>
  </si>
  <si>
    <t>sty</t>
  </si>
  <si>
    <t>sibi1239</t>
  </si>
  <si>
    <t>Sibil</t>
  </si>
  <si>
    <t>sibo1241</t>
  </si>
  <si>
    <t>Sibonai</t>
  </si>
  <si>
    <t>sibo1242</t>
  </si>
  <si>
    <t>Sibo</t>
  </si>
  <si>
    <t>sibu1251</t>
  </si>
  <si>
    <t>Sibuyan</t>
  </si>
  <si>
    <t>sibu1252</t>
  </si>
  <si>
    <t>Sibugay</t>
  </si>
  <si>
    <t>sibu1253</t>
  </si>
  <si>
    <t>Sibuguey</t>
  </si>
  <si>
    <t>sibu1254</t>
  </si>
  <si>
    <t>Sibuco-Vitali</t>
  </si>
  <si>
    <t>sibu1255</t>
  </si>
  <si>
    <t>Sibutu'</t>
  </si>
  <si>
    <t>sibu1256</t>
  </si>
  <si>
    <t>Siburan</t>
  </si>
  <si>
    <t>Sibu Melanau</t>
  </si>
  <si>
    <t>sdx</t>
  </si>
  <si>
    <t>Sibu-Kanowit-Tanjong</t>
  </si>
  <si>
    <t>sica1234</t>
  </si>
  <si>
    <t>Sicana</t>
  </si>
  <si>
    <t>sxc</t>
  </si>
  <si>
    <t>Sichuan Yi</t>
  </si>
  <si>
    <t>sich1239</t>
  </si>
  <si>
    <t>wand1264</t>
  </si>
  <si>
    <t>Sichela</t>
  </si>
  <si>
    <t>sici1247</t>
  </si>
  <si>
    <t>Sicilian Albanian</t>
  </si>
  <si>
    <t>scn</t>
  </si>
  <si>
    <t>sici1249</t>
  </si>
  <si>
    <t>supy1238</t>
  </si>
  <si>
    <t>S√¨c√¨t√© S√©noufo</t>
  </si>
  <si>
    <t>sep</t>
  </si>
  <si>
    <t>sicu1234</t>
  </si>
  <si>
    <t>Sicula</t>
  </si>
  <si>
    <t>scx</t>
  </si>
  <si>
    <t>sida1238</t>
  </si>
  <si>
    <t>zbua1234</t>
  </si>
  <si>
    <t>Sidaba</t>
  </si>
  <si>
    <t>Sidamo</t>
  </si>
  <si>
    <t>Sidaama-Hadiyya-Kambaata</t>
  </si>
  <si>
    <t>Sidaama-Gedeo</t>
  </si>
  <si>
    <t>side1239</t>
  </si>
  <si>
    <t>Sideya</t>
  </si>
  <si>
    <t>side1240</t>
  </si>
  <si>
    <t>Sidetic</t>
  </si>
  <si>
    <t>xsd</t>
  </si>
  <si>
    <t>Sido</t>
  </si>
  <si>
    <t>sidr1237</t>
  </si>
  <si>
    <t>Sidrap</t>
  </si>
  <si>
    <t>Sie</t>
  </si>
  <si>
    <t>erg</t>
  </si>
  <si>
    <t>sien1239</t>
  </si>
  <si>
    <t>Sienkoka</t>
  </si>
  <si>
    <t>sier1246</t>
  </si>
  <si>
    <t>Sierra Leone Sign Language</t>
  </si>
  <si>
    <t>sgx</t>
  </si>
  <si>
    <t>sier1248</t>
  </si>
  <si>
    <t>Sierra Negra Nahuatl</t>
  </si>
  <si>
    <t>nsu</t>
  </si>
  <si>
    <t>Sierra Miwokan</t>
  </si>
  <si>
    <t>sier1250</t>
  </si>
  <si>
    <t>Sierra de Ju√°rez Zapotec</t>
  </si>
  <si>
    <t>zaa</t>
  </si>
  <si>
    <t>sigh1238</t>
  </si>
  <si>
    <t>Sighu</t>
  </si>
  <si>
    <t>sxe</t>
  </si>
  <si>
    <t>sigl1242</t>
  </si>
  <si>
    <t>Siglitun</t>
  </si>
  <si>
    <t>Sign Language</t>
  </si>
  <si>
    <t>Sigu-Njebi</t>
  </si>
  <si>
    <t>siha1242</t>
  </si>
  <si>
    <t>Siha</t>
  </si>
  <si>
    <t>siha1244</t>
  </si>
  <si>
    <t>Sihanaka</t>
  </si>
  <si>
    <t>siha1245</t>
  </si>
  <si>
    <t>Sihan (Gum)</t>
  </si>
  <si>
    <t>snr</t>
  </si>
  <si>
    <t>siho1237</t>
  </si>
  <si>
    <t>Sihong</t>
  </si>
  <si>
    <t>sihu1235</t>
  </si>
  <si>
    <t>Sihuas Ancash Quechua</t>
  </si>
  <si>
    <t>qws</t>
  </si>
  <si>
    <t>siii1238</t>
  </si>
  <si>
    <t>Si</t>
  </si>
  <si>
    <t>siim1238</t>
  </si>
  <si>
    <t>Siime</t>
  </si>
  <si>
    <t>siiw1238</t>
  </si>
  <si>
    <t>Siiwa</t>
  </si>
  <si>
    <t>siji1238</t>
  </si>
  <si>
    <t>Sijiaji</t>
  </si>
  <si>
    <t>siju1237</t>
  </si>
  <si>
    <t>Si Junjung</t>
  </si>
  <si>
    <t>sika1258</t>
  </si>
  <si>
    <t>Sikar</t>
  </si>
  <si>
    <t>sika1259</t>
  </si>
  <si>
    <t>Sikarwari</t>
  </si>
  <si>
    <t>sika1260</t>
  </si>
  <si>
    <t>Sikasso</t>
  </si>
  <si>
    <t>sika1261</t>
  </si>
  <si>
    <t>Sikaiana</t>
  </si>
  <si>
    <t>sky</t>
  </si>
  <si>
    <t>Sika</t>
  </si>
  <si>
    <t>ski</t>
  </si>
  <si>
    <t>sika1263</t>
  </si>
  <si>
    <t>Sikaritai</t>
  </si>
  <si>
    <t>tty</t>
  </si>
  <si>
    <t>North Central Sogeram</t>
  </si>
  <si>
    <t>Sika-Lamaholot</t>
  </si>
  <si>
    <t>sikh1239</t>
  </si>
  <si>
    <t>Sikhota Alin</t>
  </si>
  <si>
    <t>siki1239</t>
  </si>
  <si>
    <t>Sikiana</t>
  </si>
  <si>
    <t>sik</t>
  </si>
  <si>
    <t>BR SR VE</t>
  </si>
  <si>
    <t>sikk1242</t>
  </si>
  <si>
    <t>Sikkimese</t>
  </si>
  <si>
    <t>sip</t>
  </si>
  <si>
    <t>sikk1243</t>
  </si>
  <si>
    <t>Sikka Natar</t>
  </si>
  <si>
    <t>sikp1238</t>
  </si>
  <si>
    <t>Sikpi</t>
  </si>
  <si>
    <t>Siksika</t>
  </si>
  <si>
    <t>Sikule</t>
  </si>
  <si>
    <t>skh</t>
  </si>
  <si>
    <t>siku1243</t>
  </si>
  <si>
    <t>Sikubung</t>
  </si>
  <si>
    <t>sila1247</t>
  </si>
  <si>
    <t>Sila</t>
  </si>
  <si>
    <t>slt</t>
  </si>
  <si>
    <t>sila1248</t>
  </si>
  <si>
    <t>Sila (Daju)</t>
  </si>
  <si>
    <t>sila1249</t>
  </si>
  <si>
    <t>Silabu</t>
  </si>
  <si>
    <t>Silacayoapan Mixtec</t>
  </si>
  <si>
    <t>mks</t>
  </si>
  <si>
    <t>Sila-Wanya-Cosao</t>
  </si>
  <si>
    <t>sile1253</t>
  </si>
  <si>
    <t>Silesian</t>
  </si>
  <si>
    <t>szl</t>
  </si>
  <si>
    <t>sile1254</t>
  </si>
  <si>
    <t>Sileba</t>
  </si>
  <si>
    <t>sile1255</t>
  </si>
  <si>
    <t>Sirva</t>
  </si>
  <si>
    <t>sbq</t>
  </si>
  <si>
    <t>sili1247</t>
  </si>
  <si>
    <t>Siliput</t>
  </si>
  <si>
    <t>mkc</t>
  </si>
  <si>
    <t>sili1248</t>
  </si>
  <si>
    <t>Siligi</t>
  </si>
  <si>
    <t>Silimo</t>
  </si>
  <si>
    <t>wul</t>
  </si>
  <si>
    <t>silj1234</t>
  </si>
  <si>
    <t>Siljansn√§s</t>
  </si>
  <si>
    <t>sill1239</t>
  </si>
  <si>
    <t>Sille</t>
  </si>
  <si>
    <t>sill1240</t>
  </si>
  <si>
    <t>Silla</t>
  </si>
  <si>
    <t>silo1240</t>
  </si>
  <si>
    <t>silo1241</t>
  </si>
  <si>
    <t>Silopi</t>
  </si>
  <si>
    <t>xsp</t>
  </si>
  <si>
    <t>Silopi-Utu</t>
  </si>
  <si>
    <t>Silopic</t>
  </si>
  <si>
    <t>silt1239</t>
  </si>
  <si>
    <t>Silte-Wolane</t>
  </si>
  <si>
    <t>silt1240</t>
  </si>
  <si>
    <t>Silt'e</t>
  </si>
  <si>
    <t>stv</t>
  </si>
  <si>
    <t>silt1241</t>
  </si>
  <si>
    <t>Silt'e (Retired)</t>
  </si>
  <si>
    <t>xst</t>
  </si>
  <si>
    <t>sima1257</t>
  </si>
  <si>
    <t>Sima</t>
  </si>
  <si>
    <t>Simaa</t>
  </si>
  <si>
    <t>sie</t>
  </si>
  <si>
    <t>sima1259</t>
  </si>
  <si>
    <t>Simalegi</t>
  </si>
  <si>
    <t>sima1260</t>
  </si>
  <si>
    <t>Simaranhon</t>
  </si>
  <si>
    <t>sima1261</t>
  </si>
  <si>
    <t>Simai</t>
  </si>
  <si>
    <t>Simaaic</t>
  </si>
  <si>
    <t>simb1253</t>
  </si>
  <si>
    <t>Simbiti</t>
  </si>
  <si>
    <t>simb1254</t>
  </si>
  <si>
    <t>Simba</t>
  </si>
  <si>
    <t>sbw</t>
  </si>
  <si>
    <t>simb1255</t>
  </si>
  <si>
    <t>Simbari</t>
  </si>
  <si>
    <t>smb</t>
  </si>
  <si>
    <t>simb1256</t>
  </si>
  <si>
    <t>Simbo</t>
  </si>
  <si>
    <t>sbb</t>
  </si>
  <si>
    <t>simb1257</t>
  </si>
  <si>
    <t>Simberi</t>
  </si>
  <si>
    <t>Simbu</t>
  </si>
  <si>
    <t>simb1259</t>
  </si>
  <si>
    <t>Simbali</t>
  </si>
  <si>
    <t>smg</t>
  </si>
  <si>
    <t>Simboic</t>
  </si>
  <si>
    <t>sime1241</t>
  </si>
  <si>
    <t>Simeulue</t>
  </si>
  <si>
    <t>smr</t>
  </si>
  <si>
    <t>Simeku</t>
  </si>
  <si>
    <t>smz</t>
  </si>
  <si>
    <t>simm1238</t>
  </si>
  <si>
    <t>Sim</t>
  </si>
  <si>
    <t>simo1241</t>
  </si>
  <si>
    <t>Simori</t>
  </si>
  <si>
    <t>simt1238</t>
  </si>
  <si>
    <t>Simte</t>
  </si>
  <si>
    <t>smt</t>
  </si>
  <si>
    <t>simu1237</t>
  </si>
  <si>
    <t>Simunul</t>
  </si>
  <si>
    <t>sina1264</t>
  </si>
  <si>
    <t>Sinaki</t>
  </si>
  <si>
    <t>Sinaugoro</t>
  </si>
  <si>
    <t>snc</t>
  </si>
  <si>
    <t>sina1267</t>
  </si>
  <si>
    <t>Sinaketa</t>
  </si>
  <si>
    <t>sina1268</t>
  </si>
  <si>
    <t>Sinabu'</t>
  </si>
  <si>
    <t>sina1269</t>
  </si>
  <si>
    <t>Galu</t>
  </si>
  <si>
    <t>siu</t>
  </si>
  <si>
    <t>sina1270</t>
  </si>
  <si>
    <t>Sinak Nduga</t>
  </si>
  <si>
    <t>Sinasina</t>
  </si>
  <si>
    <t>sst</t>
  </si>
  <si>
    <t>Sinagoro-Keapara</t>
  </si>
  <si>
    <t>sina1273</t>
  </si>
  <si>
    <t>Sinasina Sign Language</t>
  </si>
  <si>
    <t>Sindhi Bhil</t>
  </si>
  <si>
    <t>sbn</t>
  </si>
  <si>
    <t>sind1271</t>
  </si>
  <si>
    <t>Sindhi Meghwar</t>
  </si>
  <si>
    <t>sind1273</t>
  </si>
  <si>
    <t>Sindhi Musalmani</t>
  </si>
  <si>
    <t>sind1274</t>
  </si>
  <si>
    <t>Sindhupalcok</t>
  </si>
  <si>
    <t>sind1275</t>
  </si>
  <si>
    <t>Sindhupalchok Pahri</t>
  </si>
  <si>
    <t>sind1276</t>
  </si>
  <si>
    <t>Sindia</t>
  </si>
  <si>
    <t>sind1277</t>
  </si>
  <si>
    <t>Sindihui Mixtec</t>
  </si>
  <si>
    <t>xts</t>
  </si>
  <si>
    <t>Sindhi-Lahnda</t>
  </si>
  <si>
    <t>Sindhic</t>
  </si>
  <si>
    <t>sind1280</t>
  </si>
  <si>
    <t>Sindang Kelingi</t>
  </si>
  <si>
    <t>sdi</t>
  </si>
  <si>
    <t>sine1238</t>
  </si>
  <si>
    <t>Sine</t>
  </si>
  <si>
    <t>sing1237</t>
  </si>
  <si>
    <t>Singapore Sign Language</t>
  </si>
  <si>
    <t>sls</t>
  </si>
  <si>
    <t>SG</t>
  </si>
  <si>
    <t>sing1240</t>
  </si>
  <si>
    <t>Singkil</t>
  </si>
  <si>
    <t>sing1263</t>
  </si>
  <si>
    <t>Singson</t>
  </si>
  <si>
    <t>Northern Jinghpaw</t>
  </si>
  <si>
    <t>sgp</t>
  </si>
  <si>
    <t>sing1265</t>
  </si>
  <si>
    <t>Singala</t>
  </si>
  <si>
    <t>sing1266</t>
  </si>
  <si>
    <t>Singa</t>
  </si>
  <si>
    <t>sgm</t>
  </si>
  <si>
    <t>sing1267</t>
  </si>
  <si>
    <t>Singkarak</t>
  </si>
  <si>
    <t>sing1268</t>
  </si>
  <si>
    <t>Singorokai</t>
  </si>
  <si>
    <t>sing1269</t>
  </si>
  <si>
    <t>Singge</t>
  </si>
  <si>
    <t>Singapore Archipelago Malay</t>
  </si>
  <si>
    <t>sing1271</t>
  </si>
  <si>
    <t>Singchung</t>
  </si>
  <si>
    <t>sing1272</t>
  </si>
  <si>
    <t>Singlish</t>
  </si>
  <si>
    <t>Dhivehi-Sinhala</t>
  </si>
  <si>
    <t>sinh1247</t>
  </si>
  <si>
    <t>Sinhala</t>
  </si>
  <si>
    <t>sin</t>
  </si>
  <si>
    <t>LK</t>
  </si>
  <si>
    <t>Sinhalaic</t>
  </si>
  <si>
    <t>sini1242</t>
  </si>
  <si>
    <t>soni1258</t>
  </si>
  <si>
    <t>Sininkere</t>
  </si>
  <si>
    <t>skq</t>
  </si>
  <si>
    <t>sini1243</t>
  </si>
  <si>
    <t>Sinicahua Mixtec</t>
  </si>
  <si>
    <t>xti</t>
  </si>
  <si>
    <t>Sinitic</t>
  </si>
  <si>
    <t>sinj1240</t>
  </si>
  <si>
    <t>Sinja</t>
  </si>
  <si>
    <t>sinj1241</t>
  </si>
  <si>
    <t>Sinjai</t>
  </si>
  <si>
    <t>sink1243</t>
  </si>
  <si>
    <t>Sinkaling Hkamti</t>
  </si>
  <si>
    <t>sink1244</t>
  </si>
  <si>
    <t>Sinkon</t>
  </si>
  <si>
    <t>Sino-Tibetan</t>
  </si>
  <si>
    <t>Tangkhulic</t>
  </si>
  <si>
    <t>Kou</t>
  </si>
  <si>
    <t>snz</t>
  </si>
  <si>
    <t>Sinte Romani</t>
  </si>
  <si>
    <t>rmo</t>
  </si>
  <si>
    <t>AT CH CZ DE FR HR IT KZ ME NL PL RS SI</t>
  </si>
  <si>
    <t>siny1243</t>
  </si>
  <si>
    <t>Sinyar</t>
  </si>
  <si>
    <t>sys</t>
  </si>
  <si>
    <t>siny1244</t>
  </si>
  <si>
    <t>Sinyonyoi</t>
  </si>
  <si>
    <t>siom1237</t>
  </si>
  <si>
    <t>Siompu</t>
  </si>
  <si>
    <t>sion1247</t>
  </si>
  <si>
    <t>Siona-Tetete</t>
  </si>
  <si>
    <t>snn</t>
  </si>
  <si>
    <t>Siona-Secoya</t>
  </si>
  <si>
    <t>sioo1240</t>
  </si>
  <si>
    <t>xsi</t>
  </si>
  <si>
    <t>sior1238</t>
  </si>
  <si>
    <t>Siora</t>
  </si>
  <si>
    <t>Siouan</t>
  </si>
  <si>
    <t>Sioux</t>
  </si>
  <si>
    <t>sipa1246</t>
  </si>
  <si>
    <t>Sipari</t>
  </si>
  <si>
    <t>sipa1247</t>
  </si>
  <si>
    <t>Sipacapense</t>
  </si>
  <si>
    <t>qum</t>
  </si>
  <si>
    <t>sipe1237</t>
  </si>
  <si>
    <t>Sipeng</t>
  </si>
  <si>
    <t>sipi1238</t>
  </si>
  <si>
    <t>Sipisi</t>
  </si>
  <si>
    <t>sipu1239</t>
  </si>
  <si>
    <t>Sipura</t>
  </si>
  <si>
    <t>sipu1240</t>
  </si>
  <si>
    <t>Sipupu</t>
  </si>
  <si>
    <t>sipu1244</t>
  </si>
  <si>
    <t>urmi1249</t>
  </si>
  <si>
    <t>Sipurghan</t>
  </si>
  <si>
    <t>sira1261</t>
  </si>
  <si>
    <t>Siraha</t>
  </si>
  <si>
    <t>sira1262</t>
  </si>
  <si>
    <t>Siraiki Hindki</t>
  </si>
  <si>
    <t>sira1263</t>
  </si>
  <si>
    <t>Siraji-Kashmiri</t>
  </si>
  <si>
    <t>sira1264</t>
  </si>
  <si>
    <t>Siraji of Doda</t>
  </si>
  <si>
    <t>sira1266</t>
  </si>
  <si>
    <t>Sira</t>
  </si>
  <si>
    <t>swj</t>
  </si>
  <si>
    <t>Sirayaic</t>
  </si>
  <si>
    <t>fos</t>
  </si>
  <si>
    <t>Sira-Barama</t>
  </si>
  <si>
    <t>Siraikic</t>
  </si>
  <si>
    <t>sirb1238</t>
  </si>
  <si>
    <t>Sirba</t>
  </si>
  <si>
    <t>sire1246</t>
  </si>
  <si>
    <t>Old Sirenik</t>
  </si>
  <si>
    <t>ysr</t>
  </si>
  <si>
    <t>sirh1234</t>
  </si>
  <si>
    <t>Sirhwa-Tanty</t>
  </si>
  <si>
    <t>siri1268</t>
  </si>
  <si>
    <t>Siripuria</t>
  </si>
  <si>
    <t>siri1270</t>
  </si>
  <si>
    <t>Siria</t>
  </si>
  <si>
    <t>siri1271</t>
  </si>
  <si>
    <t>Siri-Sori</t>
  </si>
  <si>
    <t>siri1272</t>
  </si>
  <si>
    <t>Sirir</t>
  </si>
  <si>
    <t>siri1273</t>
  </si>
  <si>
    <t>Sirion√≥</t>
  </si>
  <si>
    <t>srq</t>
  </si>
  <si>
    <t>siri1274</t>
  </si>
  <si>
    <t>Siriano</t>
  </si>
  <si>
    <t>sri</t>
  </si>
  <si>
    <t>siri1278</t>
  </si>
  <si>
    <t>Siri</t>
  </si>
  <si>
    <t>sir</t>
  </si>
  <si>
    <t>Sirionoid</t>
  </si>
  <si>
    <t>Siriano-Desano</t>
  </si>
  <si>
    <t>Sirmauri</t>
  </si>
  <si>
    <t>srx</t>
  </si>
  <si>
    <t>siro1247</t>
  </si>
  <si>
    <t>Sirohi</t>
  </si>
  <si>
    <t>siro1248</t>
  </si>
  <si>
    <t>Sironcha</t>
  </si>
  <si>
    <t>siro1249</t>
  </si>
  <si>
    <t>Siroi</t>
  </si>
  <si>
    <t>ssd</t>
  </si>
  <si>
    <t>sirz1237</t>
  </si>
  <si>
    <t>Amuzgu-Shiri</t>
  </si>
  <si>
    <t>sisa1246</t>
  </si>
  <si>
    <t>Sisaket</t>
  </si>
  <si>
    <t>Sisaala-Chakali</t>
  </si>
  <si>
    <t>Sisaala</t>
  </si>
  <si>
    <t>sisi1247</t>
  </si>
  <si>
    <t>Sisi</t>
  </si>
  <si>
    <t>sisi1248</t>
  </si>
  <si>
    <t>Sisibna</t>
  </si>
  <si>
    <t>sisi1249</t>
  </si>
  <si>
    <t>Sisiame</t>
  </si>
  <si>
    <t>sisi1250</t>
  </si>
  <si>
    <t>Sisiqa</t>
  </si>
  <si>
    <t>siss1242</t>
  </si>
  <si>
    <t>Sissala of Burkina Faso</t>
  </si>
  <si>
    <t>sld</t>
  </si>
  <si>
    <t>siss1243</t>
  </si>
  <si>
    <t>Sissano</t>
  </si>
  <si>
    <t>sso</t>
  </si>
  <si>
    <t>Sissano-Tumleo</t>
  </si>
  <si>
    <t>Sissanoic</t>
  </si>
  <si>
    <t>sita1237</t>
  </si>
  <si>
    <t>Sitangkai</t>
  </si>
  <si>
    <t>site1237</t>
  </si>
  <si>
    <t>Siteng</t>
  </si>
  <si>
    <t>siti1240</t>
  </si>
  <si>
    <t>Sitia Sherbro</t>
  </si>
  <si>
    <t>siti1241</t>
  </si>
  <si>
    <t>Siti</t>
  </si>
  <si>
    <t>Situ</t>
  </si>
  <si>
    <t>Situfa-Ayrico</t>
  </si>
  <si>
    <t>situ1241</t>
  </si>
  <si>
    <t>Situfa</t>
  </si>
  <si>
    <t>sius1254</t>
  </si>
  <si>
    <t>Siuslaw</t>
  </si>
  <si>
    <t>sis</t>
  </si>
  <si>
    <t>sius1255</t>
  </si>
  <si>
    <t>Siusy-Tapuya</t>
  </si>
  <si>
    <t>siuu1238</t>
  </si>
  <si>
    <t>Siu</t>
  </si>
  <si>
    <t>siva1239</t>
  </si>
  <si>
    <t>Sivandi</t>
  </si>
  <si>
    <t>siy</t>
  </si>
  <si>
    <t>sive1238</t>
  </si>
  <si>
    <t>Sivereki</t>
  </si>
  <si>
    <t>sivi1235</t>
  </si>
  <si>
    <t>Sivia Sign Language</t>
  </si>
  <si>
    <t>sivr1234</t>
  </si>
  <si>
    <t>Sivrihisar</t>
  </si>
  <si>
    <t>siwa1244</t>
  </si>
  <si>
    <t>Siwane</t>
  </si>
  <si>
    <t>Siwai</t>
  </si>
  <si>
    <t>siw</t>
  </si>
  <si>
    <t>Libyan-Egyptian Oases Berber</t>
  </si>
  <si>
    <t>siwi1239</t>
  </si>
  <si>
    <t>Siwi</t>
  </si>
  <si>
    <t>siz</t>
  </si>
  <si>
    <t>Siwu</t>
  </si>
  <si>
    <t>akp</t>
  </si>
  <si>
    <t>siya1241</t>
  </si>
  <si>
    <t>Siyalgir</t>
  </si>
  <si>
    <t>siya1242</t>
  </si>
  <si>
    <t>Siyaowu</t>
  </si>
  <si>
    <t>Siyi</t>
  </si>
  <si>
    <t>siyi1240</t>
  </si>
  <si>
    <t>Sizang Chin</t>
  </si>
  <si>
    <t>csy</t>
  </si>
  <si>
    <t>Sizangic</t>
  </si>
  <si>
    <t>siza1240</t>
  </si>
  <si>
    <t>Sizaki</t>
  </si>
  <si>
    <t>szk</t>
  </si>
  <si>
    <t>skag1239</t>
  </si>
  <si>
    <t>Skagit</t>
  </si>
  <si>
    <t>ska</t>
  </si>
  <si>
    <t>skan1239</t>
  </si>
  <si>
    <t>Sk√•nska</t>
  </si>
  <si>
    <t>skat1234</t>
  </si>
  <si>
    <t>Skattungbyn</t>
  </si>
  <si>
    <t>Skepi Creole Dutch</t>
  </si>
  <si>
    <t>skw</t>
  </si>
  <si>
    <t>skir1238</t>
  </si>
  <si>
    <t>Skiri</t>
  </si>
  <si>
    <t>skok1240</t>
  </si>
  <si>
    <t>Skokomish</t>
  </si>
  <si>
    <t>Skolt Saami</t>
  </si>
  <si>
    <t>sms</t>
  </si>
  <si>
    <t>Sko</t>
  </si>
  <si>
    <t>skop1234</t>
  </si>
  <si>
    <t>Skopska Crna Gora</t>
  </si>
  <si>
    <t>Skou-Serra-Piore</t>
  </si>
  <si>
    <t>Nuclear Skou-Serra-Piore</t>
  </si>
  <si>
    <t>skra1237</t>
  </si>
  <si>
    <t>Skrang</t>
  </si>
  <si>
    <t>Slave</t>
  </si>
  <si>
    <t>den</t>
  </si>
  <si>
    <t>slav1254</t>
  </si>
  <si>
    <t>Slavomolisano</t>
  </si>
  <si>
    <t>svm</t>
  </si>
  <si>
    <t>Slavic</t>
  </si>
  <si>
    <t>Slavey-French-based pidgin</t>
  </si>
  <si>
    <t>slav1257</t>
  </si>
  <si>
    <t>Slavonian Shtokavian</t>
  </si>
  <si>
    <t>slen1234</t>
  </si>
  <si>
    <t>Sleng Dan</t>
  </si>
  <si>
    <t>slia1241</t>
  </si>
  <si>
    <t>Sliammon</t>
  </si>
  <si>
    <t>slov1263</t>
  </si>
  <si>
    <t>Slovakian Sign Language</t>
  </si>
  <si>
    <t>svk</t>
  </si>
  <si>
    <t>SK</t>
  </si>
  <si>
    <t>Slovenian</t>
  </si>
  <si>
    <t>slv</t>
  </si>
  <si>
    <t>AT HR HU IT SI</t>
  </si>
  <si>
    <t>AT CZ HU PL RS SK UA</t>
  </si>
  <si>
    <t>slov1270</t>
  </si>
  <si>
    <t>Slovincian</t>
  </si>
  <si>
    <t>slov1272</t>
  </si>
  <si>
    <t>Slovenian-Croatian Romani</t>
  </si>
  <si>
    <t>smal1236</t>
  </si>
  <si>
    <t>Gha-mu</t>
  </si>
  <si>
    <t>sfm</t>
  </si>
  <si>
    <t>smal1240</t>
  </si>
  <si>
    <t>Small Nyikina</t>
  </si>
  <si>
    <t>Sm√§rky Kanum</t>
  </si>
  <si>
    <t>kxq</t>
  </si>
  <si>
    <t>smed1234</t>
  </si>
  <si>
    <t>Smederevo-Vr≈°ac</t>
  </si>
  <si>
    <t>smyr1240</t>
  </si>
  <si>
    <t>Smyrna Greek</t>
  </si>
  <si>
    <t>smyr1241</t>
  </si>
  <si>
    <t>Smyrna Armenian</t>
  </si>
  <si>
    <t>snoh1241</t>
  </si>
  <si>
    <t>Snohomish</t>
  </si>
  <si>
    <t>sno</t>
  </si>
  <si>
    <t>snoq1240</t>
  </si>
  <si>
    <t>Snoqualmie</t>
  </si>
  <si>
    <t>soah1237</t>
  </si>
  <si>
    <t>Soahuku</t>
  </si>
  <si>
    <t>sobe1238</t>
  </si>
  <si>
    <t>Sobei</t>
  </si>
  <si>
    <t>sob</t>
  </si>
  <si>
    <t>sobe1239</t>
  </si>
  <si>
    <t>Sobei-Liki-Wakde</t>
  </si>
  <si>
    <t>Sobei-Liki</t>
  </si>
  <si>
    <t>So (Cameroon)</t>
  </si>
  <si>
    <t>sox</t>
  </si>
  <si>
    <t>soch1238</t>
  </si>
  <si>
    <t>Sochi</t>
  </si>
  <si>
    <t>soch1239</t>
  </si>
  <si>
    <t>Sochiapam Chinantec</t>
  </si>
  <si>
    <t>cso</t>
  </si>
  <si>
    <t>soda1238</t>
  </si>
  <si>
    <t>Soda</t>
  </si>
  <si>
    <t>sodd1242</t>
  </si>
  <si>
    <t>Soddo</t>
  </si>
  <si>
    <t>sode1235</t>
  </si>
  <si>
    <t>So (Democratic Republic of Congo)</t>
  </si>
  <si>
    <t>soc</t>
  </si>
  <si>
    <t>sodo1238</t>
  </si>
  <si>
    <t>Sodochi</t>
  </si>
  <si>
    <t>sodr1234</t>
  </si>
  <si>
    <t>S√∂dra Venjan</t>
  </si>
  <si>
    <t>soga1243</t>
  </si>
  <si>
    <t>Sogal</t>
  </si>
  <si>
    <t>Soga-Kenyi</t>
  </si>
  <si>
    <t>sogd1245</t>
  </si>
  <si>
    <t>sogd1246</t>
  </si>
  <si>
    <t>Sogdian</t>
  </si>
  <si>
    <t>sog</t>
  </si>
  <si>
    <t>Sogdian-Yagnobi</t>
  </si>
  <si>
    <t>Sogdic-Ossetic</t>
  </si>
  <si>
    <t>Sogdic</t>
  </si>
  <si>
    <t>Sogeram</t>
  </si>
  <si>
    <t>sogh1238</t>
  </si>
  <si>
    <t>S√µghoo</t>
  </si>
  <si>
    <t>sogo1244</t>
  </si>
  <si>
    <t>Sogoo</t>
  </si>
  <si>
    <t>sogo1245</t>
  </si>
  <si>
    <t>Sogokir√©</t>
  </si>
  <si>
    <t>soii1239</t>
  </si>
  <si>
    <t>Soi</t>
  </si>
  <si>
    <t>soj</t>
  </si>
  <si>
    <t>soki1239</t>
  </si>
  <si>
    <t>Sokirik</t>
  </si>
  <si>
    <t>soki1240</t>
  </si>
  <si>
    <t>Sokid</t>
  </si>
  <si>
    <t>sokk1239</t>
  </si>
  <si>
    <t>Sok</t>
  </si>
  <si>
    <t>skk</t>
  </si>
  <si>
    <t>soko1247</t>
  </si>
  <si>
    <t>Sokoto</t>
  </si>
  <si>
    <t>soko1248</t>
  </si>
  <si>
    <t>Soko</t>
  </si>
  <si>
    <t>soko1249</t>
  </si>
  <si>
    <t>Sokodasa</t>
  </si>
  <si>
    <t>Sokoro</t>
  </si>
  <si>
    <t>sok</t>
  </si>
  <si>
    <t>soko1264</t>
  </si>
  <si>
    <t>Sokoto (Hausa)</t>
  </si>
  <si>
    <t>sokt1238</t>
  </si>
  <si>
    <t>Sokte</t>
  </si>
  <si>
    <t>sold1238</t>
  </si>
  <si>
    <t>Solduz</t>
  </si>
  <si>
    <t>sole1242</t>
  </si>
  <si>
    <t>Soledad</t>
  </si>
  <si>
    <t>Solehua</t>
  </si>
  <si>
    <t>soli1239</t>
  </si>
  <si>
    <t>Soli</t>
  </si>
  <si>
    <t>sby</t>
  </si>
  <si>
    <t>soll1234</t>
  </si>
  <si>
    <t>Soller√∂m√•l</t>
  </si>
  <si>
    <t>solo1241</t>
  </si>
  <si>
    <t>Soloto</t>
  </si>
  <si>
    <t>solo1257</t>
  </si>
  <si>
    <t>Solos</t>
  </si>
  <si>
    <t>sol</t>
  </si>
  <si>
    <t>Solong</t>
  </si>
  <si>
    <t>aaw</t>
  </si>
  <si>
    <t>solo1259</t>
  </si>
  <si>
    <t>Solo</t>
  </si>
  <si>
    <t>Solomons Northern Outlier Polynesian-East Polynesian</t>
  </si>
  <si>
    <t>solo1261</t>
  </si>
  <si>
    <t>Solombala English</t>
  </si>
  <si>
    <t>solo1262</t>
  </si>
  <si>
    <t>Solomon Islands Sign Language</t>
  </si>
  <si>
    <t>szs</t>
  </si>
  <si>
    <t>solr1238</t>
  </si>
  <si>
    <t>S√∂lreng</t>
  </si>
  <si>
    <t>solt1234</t>
  </si>
  <si>
    <t>Soltec</t>
  </si>
  <si>
    <t>solu1238</t>
  </si>
  <si>
    <t>Solu</t>
  </si>
  <si>
    <t>soma1241</t>
  </si>
  <si>
    <t>sooo1254</t>
  </si>
  <si>
    <t>So Makon</t>
  </si>
  <si>
    <t>Somahai</t>
  </si>
  <si>
    <t>Somali</t>
  </si>
  <si>
    <t>som</t>
  </si>
  <si>
    <t>DJ ET KE SO</t>
  </si>
  <si>
    <t>somb1238</t>
  </si>
  <si>
    <t>Somba</t>
  </si>
  <si>
    <t>some1244</t>
  </si>
  <si>
    <t>Some</t>
  </si>
  <si>
    <t>somm1240</t>
  </si>
  <si>
    <t>Som</t>
  </si>
  <si>
    <t>smc</t>
  </si>
  <si>
    <t>somo1238</t>
  </si>
  <si>
    <t>Somono</t>
  </si>
  <si>
    <t>somr1240</t>
  </si>
  <si>
    <t>Somray of Battambang-Somre of Siem Reap</t>
  </si>
  <si>
    <t>smu</t>
  </si>
  <si>
    <t>somr1248</t>
  </si>
  <si>
    <t>Somrai</t>
  </si>
  <si>
    <t>sor</t>
  </si>
  <si>
    <t>somw1237</t>
  </si>
  <si>
    <t>Somwadina</t>
  </si>
  <si>
    <t>somy1238</t>
  </si>
  <si>
    <t>vuti1235</t>
  </si>
  <si>
    <t>Somyev</t>
  </si>
  <si>
    <t>kgt</t>
  </si>
  <si>
    <t>sona1242</t>
  </si>
  <si>
    <t>Sonapal</t>
  </si>
  <si>
    <t>sona1243</t>
  </si>
  <si>
    <t>Sonai</t>
  </si>
  <si>
    <t>sona1244</t>
  </si>
  <si>
    <t>Sonaga</t>
  </si>
  <si>
    <t>ysg</t>
  </si>
  <si>
    <t>sond1248</t>
  </si>
  <si>
    <t>Sondwari</t>
  </si>
  <si>
    <t>sond1249</t>
  </si>
  <si>
    <t>Sondhwadi</t>
  </si>
  <si>
    <t>sond1250</t>
  </si>
  <si>
    <t>Sonde</t>
  </si>
  <si>
    <t>shc</t>
  </si>
  <si>
    <t>sond1251</t>
  </si>
  <si>
    <t>Sonder</t>
  </si>
  <si>
    <t>sond1252</t>
  </si>
  <si>
    <t>Sondoang</t>
  </si>
  <si>
    <t>song1297</t>
  </si>
  <si>
    <t>Songbu</t>
  </si>
  <si>
    <t>song1299</t>
  </si>
  <si>
    <t>Nsong</t>
  </si>
  <si>
    <t>soo</t>
  </si>
  <si>
    <t>Songoora</t>
  </si>
  <si>
    <t>sod</t>
  </si>
  <si>
    <t>song1301</t>
  </si>
  <si>
    <t>Songwe</t>
  </si>
  <si>
    <t>Songe</t>
  </si>
  <si>
    <t>sop</t>
  </si>
  <si>
    <t>song1304</t>
  </si>
  <si>
    <t>Songa</t>
  </si>
  <si>
    <t>sgo</t>
  </si>
  <si>
    <t>song1305</t>
  </si>
  <si>
    <t>Ohendo</t>
  </si>
  <si>
    <t>soe</t>
  </si>
  <si>
    <t>song1306</t>
  </si>
  <si>
    <t>Songwa</t>
  </si>
  <si>
    <t>Songhay</t>
  </si>
  <si>
    <t>song1308</t>
  </si>
  <si>
    <t>Songish</t>
  </si>
  <si>
    <t>song1309</t>
  </si>
  <si>
    <t>Songxi</t>
  </si>
  <si>
    <t>sonh1238</t>
  </si>
  <si>
    <t>Sonha</t>
  </si>
  <si>
    <t>soi</t>
  </si>
  <si>
    <t>Soninke-Bozo</t>
  </si>
  <si>
    <t>Soninkean</t>
  </si>
  <si>
    <t>Soninke</t>
  </si>
  <si>
    <t>snk</t>
  </si>
  <si>
    <t>soni1260</t>
  </si>
  <si>
    <t>Sonia</t>
  </si>
  <si>
    <t>siq</t>
  </si>
  <si>
    <t>sonn1238</t>
  </si>
  <si>
    <t>Son</t>
  </si>
  <si>
    <t>sono1245</t>
  </si>
  <si>
    <t>Sonora Pima Bajo</t>
  </si>
  <si>
    <t>sonp1238</t>
  </si>
  <si>
    <t>Sonpari</t>
  </si>
  <si>
    <t>sons1245</t>
  </si>
  <si>
    <t>Sonsorol</t>
  </si>
  <si>
    <t>sov</t>
  </si>
  <si>
    <t>sons1243</t>
  </si>
  <si>
    <t>Sonsorolese</t>
  </si>
  <si>
    <t>sons1244</t>
  </si>
  <si>
    <t>Sonsogon</t>
  </si>
  <si>
    <t>west2855</t>
  </si>
  <si>
    <t>Sonsorol-Tobi</t>
  </si>
  <si>
    <t>sook1243</t>
  </si>
  <si>
    <t>Sook Murut</t>
  </si>
  <si>
    <t>sook1244</t>
  </si>
  <si>
    <t>Sooke</t>
  </si>
  <si>
    <t>west2870</t>
  </si>
  <si>
    <t>S√¥</t>
  </si>
  <si>
    <t>sss</t>
  </si>
  <si>
    <t>sooo1255</t>
  </si>
  <si>
    <t>So (Chad)</t>
  </si>
  <si>
    <t>sooo1256</t>
  </si>
  <si>
    <t>Soo</t>
  </si>
  <si>
    <t>teu</t>
  </si>
  <si>
    <t>sope1239</t>
  </si>
  <si>
    <t>Sopese</t>
  </si>
  <si>
    <t>soph1238</t>
  </si>
  <si>
    <t>So Phong</t>
  </si>
  <si>
    <t>sopi1241</t>
  </si>
  <si>
    <t>Sopi (Sudan)</t>
  </si>
  <si>
    <t>sopi1242</t>
  </si>
  <si>
    <t>Sopi</t>
  </si>
  <si>
    <t>sopm1234</t>
  </si>
  <si>
    <t>Sopmirek</t>
  </si>
  <si>
    <t>So-Poke</t>
  </si>
  <si>
    <t>sopp1245</t>
  </si>
  <si>
    <t>Sop (Austroasiatic)</t>
  </si>
  <si>
    <t>sopp1246</t>
  </si>
  <si>
    <t>Soppeng</t>
  </si>
  <si>
    <t>sopp1247</t>
  </si>
  <si>
    <t>Sop</t>
  </si>
  <si>
    <t>urw</t>
  </si>
  <si>
    <t>sopr1238</t>
  </si>
  <si>
    <t>Sopron</t>
  </si>
  <si>
    <t>Soqotri</t>
  </si>
  <si>
    <t>sqt</t>
  </si>
  <si>
    <t>sora1251</t>
  </si>
  <si>
    <t>Soradi</t>
  </si>
  <si>
    <t>Sora-Juray-Gorum</t>
  </si>
  <si>
    <t>Sora-Juray</t>
  </si>
  <si>
    <t>Sorbian</t>
  </si>
  <si>
    <t>sorb1250</t>
  </si>
  <si>
    <t>Sorbung</t>
  </si>
  <si>
    <t>sore1238</t>
  </si>
  <si>
    <t>Sorendidori</t>
  </si>
  <si>
    <t>sori1241</t>
  </si>
  <si>
    <t>Sorido</t>
  </si>
  <si>
    <t>Sori-Harengan</t>
  </si>
  <si>
    <t>sbh</t>
  </si>
  <si>
    <t>sori1243</t>
  </si>
  <si>
    <t>Sori</t>
  </si>
  <si>
    <t>sork1239</t>
  </si>
  <si>
    <t>Sorkhei</t>
  </si>
  <si>
    <t>sqo</t>
  </si>
  <si>
    <t>soro1239</t>
  </si>
  <si>
    <t>Soroako</t>
  </si>
  <si>
    <t>soro1243</t>
  </si>
  <si>
    <t>Soro</t>
  </si>
  <si>
    <t>sorr1240</t>
  </si>
  <si>
    <t>Sor</t>
  </si>
  <si>
    <t>sorr1241</t>
  </si>
  <si>
    <t>Sor (Papua, Indonesia)</t>
  </si>
  <si>
    <t>sors1239</t>
  </si>
  <si>
    <t>Sorsogon Ayta</t>
  </si>
  <si>
    <t>ays</t>
  </si>
  <si>
    <t>sosk1235</t>
  </si>
  <si>
    <t>Sos Kundi</t>
  </si>
  <si>
    <t>sdk</t>
  </si>
  <si>
    <t>sosl1238</t>
  </si>
  <si>
    <t>So Slouy</t>
  </si>
  <si>
    <t>sota1241</t>
  </si>
  <si>
    <t>Sotang</t>
  </si>
  <si>
    <t>sota1242</t>
  </si>
  <si>
    <t>Sota Kanum</t>
  </si>
  <si>
    <t>krz</t>
  </si>
  <si>
    <t>sota1243</t>
  </si>
  <si>
    <t>Sotavento</t>
  </si>
  <si>
    <t>soth1248</t>
  </si>
  <si>
    <t>Sotho-Tswana (S.30)</t>
  </si>
  <si>
    <t>soth1250</t>
  </si>
  <si>
    <t>Sotho-Makua-Venda</t>
  </si>
  <si>
    <t>Sotho-Makua</t>
  </si>
  <si>
    <t>sotr1238</t>
  </si>
  <si>
    <t>So Trong</t>
  </si>
  <si>
    <t>soub1241</t>
  </si>
  <si>
    <t>Soubakanedougou</t>
  </si>
  <si>
    <t>soub1242</t>
  </si>
  <si>
    <t>Soubr√©</t>
  </si>
  <si>
    <t>soul1238</t>
  </si>
  <si>
    <t>Soulani</t>
  </si>
  <si>
    <t>soul1242</t>
  </si>
  <si>
    <t>Soulede</t>
  </si>
  <si>
    <t>soul1243</t>
  </si>
  <si>
    <t>Souletin Basque</t>
  </si>
  <si>
    <t>bsz</t>
  </si>
  <si>
    <t>South-Eastern Tasmanian</t>
  </si>
  <si>
    <t>sout1404</t>
  </si>
  <si>
    <t>South African Sign Language</t>
  </si>
  <si>
    <t>sfs</t>
  </si>
  <si>
    <t>sout1439</t>
  </si>
  <si>
    <t>South-Eastern-Tasmanian-Hinterland</t>
  </si>
  <si>
    <t>South West Bird's Head</t>
  </si>
  <si>
    <t>sout1502</t>
  </si>
  <si>
    <t>Southern Sahaptin</t>
  </si>
  <si>
    <t>South Bird's Head Family</t>
  </si>
  <si>
    <t>Serbian-Croatian-Bosnian</t>
  </si>
  <si>
    <t>hbs</t>
  </si>
  <si>
    <t>Southeastern Kolami</t>
  </si>
  <si>
    <t>nit</t>
  </si>
  <si>
    <t>Southern Karen</t>
  </si>
  <si>
    <t>sout1555</t>
  </si>
  <si>
    <t>Southern Guiyang Hmong</t>
  </si>
  <si>
    <t>hmy</t>
  </si>
  <si>
    <t>sout1556</t>
  </si>
  <si>
    <t>Southern Mashan Hmong</t>
  </si>
  <si>
    <t>hma</t>
  </si>
  <si>
    <t>Southern Interior Salish</t>
  </si>
  <si>
    <t>sout1722</t>
  </si>
  <si>
    <t>Southwest Bohemian</t>
  </si>
  <si>
    <t>sout1743</t>
  </si>
  <si>
    <t>Southeastern Finnish</t>
  </si>
  <si>
    <t>sout2436</t>
  </si>
  <si>
    <t>Southwestern Pashto</t>
  </si>
  <si>
    <t>sout2463</t>
  </si>
  <si>
    <t>South Permyak</t>
  </si>
  <si>
    <t>sout2466</t>
  </si>
  <si>
    <t>South-Arabian-Unknown-k</t>
  </si>
  <si>
    <t>Eastern and Southern Macedonian</t>
  </si>
  <si>
    <t>South Russian</t>
  </si>
  <si>
    <t>sout2603</t>
  </si>
  <si>
    <t>Southwest Belarusan</t>
  </si>
  <si>
    <t>sout2604</t>
  </si>
  <si>
    <t>Southwest Ukrainian</t>
  </si>
  <si>
    <t>Southern Greek</t>
  </si>
  <si>
    <t>sout2607</t>
  </si>
  <si>
    <t>Southern Tsakonian</t>
  </si>
  <si>
    <t>sout2608</t>
  </si>
  <si>
    <t>South Central Arvanitika</t>
  </si>
  <si>
    <t>sout2609</t>
  </si>
  <si>
    <t>Southern Aragonese</t>
  </si>
  <si>
    <t>sout2610</t>
  </si>
  <si>
    <t>Southern Extremaduran</t>
  </si>
  <si>
    <t>sout2611</t>
  </si>
  <si>
    <t>Southern Romagnolo</t>
  </si>
  <si>
    <t>Southern Occitan</t>
  </si>
  <si>
    <t>sout2613</t>
  </si>
  <si>
    <t>Southern Walloon</t>
  </si>
  <si>
    <t>sout2614</t>
  </si>
  <si>
    <t>Southwestern Logudorese</t>
  </si>
  <si>
    <t>sout2616</t>
  </si>
  <si>
    <t>Southern Calabro</t>
  </si>
  <si>
    <t>sout2617</t>
  </si>
  <si>
    <t>Southeast Metafonetica</t>
  </si>
  <si>
    <t>sout2618</t>
  </si>
  <si>
    <t>South Picene</t>
  </si>
  <si>
    <t>spx</t>
  </si>
  <si>
    <t>sout2619</t>
  </si>
  <si>
    <t>South Samogitian</t>
  </si>
  <si>
    <t>Southern Scots</t>
  </si>
  <si>
    <t>sout2628</t>
  </si>
  <si>
    <t>South Drente</t>
  </si>
  <si>
    <t>sout2629</t>
  </si>
  <si>
    <t>Southwestern Yiddish</t>
  </si>
  <si>
    <t>Southeastern Yiddish</t>
  </si>
  <si>
    <t>South Bavarian</t>
  </si>
  <si>
    <t>sout2637</t>
  </si>
  <si>
    <t>South Guelderish</t>
  </si>
  <si>
    <t>sout2638</t>
  </si>
  <si>
    <t>Southwest Finland Swedish</t>
  </si>
  <si>
    <t>Southern Talyshi</t>
  </si>
  <si>
    <t>Southern Kurdish</t>
  </si>
  <si>
    <t>sdh</t>
  </si>
  <si>
    <t>sout2641</t>
  </si>
  <si>
    <t>Southern Jafi</t>
  </si>
  <si>
    <t>sout3242</t>
  </si>
  <si>
    <t>Southern Balochi</t>
  </si>
  <si>
    <t>bcc</t>
  </si>
  <si>
    <t>IR OM PK</t>
  </si>
  <si>
    <t>sout2644</t>
  </si>
  <si>
    <t>Southern Bashaka</t>
  </si>
  <si>
    <t>sout2645</t>
  </si>
  <si>
    <t>Fars Dialects</t>
  </si>
  <si>
    <t>fay</t>
  </si>
  <si>
    <t>Southern Luri</t>
  </si>
  <si>
    <t>luz</t>
  </si>
  <si>
    <t>Southern Pashto</t>
  </si>
  <si>
    <t>pbt</t>
  </si>
  <si>
    <t>sout2650</t>
  </si>
  <si>
    <t>Southeastern Pashto</t>
  </si>
  <si>
    <t>sout2651</t>
  </si>
  <si>
    <t>Southern Munji</t>
  </si>
  <si>
    <t>sout2652</t>
  </si>
  <si>
    <t>Southeastern Kumauni</t>
  </si>
  <si>
    <t>sout2653</t>
  </si>
  <si>
    <t>Southern Saurashtra</t>
  </si>
  <si>
    <t>sout2654</t>
  </si>
  <si>
    <t>Southern Dhatki</t>
  </si>
  <si>
    <t>sout2655</t>
  </si>
  <si>
    <t>Southern Marwari</t>
  </si>
  <si>
    <t>sout2656</t>
  </si>
  <si>
    <t>South Albanian Vlax</t>
  </si>
  <si>
    <t>Southern Vlax</t>
  </si>
  <si>
    <t>sout2659</t>
  </si>
  <si>
    <t>Southern Morena</t>
  </si>
  <si>
    <t>sout2660</t>
  </si>
  <si>
    <t>Southern Bharatpur</t>
  </si>
  <si>
    <t>sout2661</t>
  </si>
  <si>
    <t>Southern Standard Bhojpuri</t>
  </si>
  <si>
    <t>sout2662</t>
  </si>
  <si>
    <t>Southern Magahi</t>
  </si>
  <si>
    <t>sout2663</t>
  </si>
  <si>
    <t>Southern Standard Maithili</t>
  </si>
  <si>
    <t>sout2666</t>
  </si>
  <si>
    <t>Southern Oriya</t>
  </si>
  <si>
    <t>sout2667</t>
  </si>
  <si>
    <t>Southern Katkari</t>
  </si>
  <si>
    <t>Southern Hindko</t>
  </si>
  <si>
    <t>hnd</t>
  </si>
  <si>
    <t>sout2669</t>
  </si>
  <si>
    <t>Southern Kalasha</t>
  </si>
  <si>
    <t>sout2670</t>
  </si>
  <si>
    <t>South Khowar</t>
  </si>
  <si>
    <t>Southwest Pashayi</t>
  </si>
  <si>
    <t>psh</t>
  </si>
  <si>
    <t>Southeast Pashayi</t>
  </si>
  <si>
    <t>psi</t>
  </si>
  <si>
    <t>sout2673</t>
  </si>
  <si>
    <t>Southern Welsh</t>
  </si>
  <si>
    <t>sout3150</t>
  </si>
  <si>
    <t>South Saami</t>
  </si>
  <si>
    <t>sma</t>
  </si>
  <si>
    <t>sout2675</t>
  </si>
  <si>
    <t>sout3226</t>
  </si>
  <si>
    <t>Irtysh Khanty</t>
  </si>
  <si>
    <t>sout2676</t>
  </si>
  <si>
    <t>Southern Karelian</t>
  </si>
  <si>
    <t>sout2677</t>
  </si>
  <si>
    <t>Southwestern Finnish</t>
  </si>
  <si>
    <t>sout2678</t>
  </si>
  <si>
    <t>South Pohjanmaa</t>
  </si>
  <si>
    <t>South Estonian</t>
  </si>
  <si>
    <t>vro</t>
  </si>
  <si>
    <t>sout2680</t>
  </si>
  <si>
    <t>Southern Veps</t>
  </si>
  <si>
    <t>South Udmurt</t>
  </si>
  <si>
    <t>South Great Andamanese</t>
  </si>
  <si>
    <t>Southern Chong</t>
  </si>
  <si>
    <t>South Aslian</t>
  </si>
  <si>
    <t>sout2687</t>
  </si>
  <si>
    <t>Southern Vietnamese</t>
  </si>
  <si>
    <t>sout2688</t>
  </si>
  <si>
    <t>Southern Khmer</t>
  </si>
  <si>
    <t>Southern Nicobarese</t>
  </si>
  <si>
    <t>nik</t>
  </si>
  <si>
    <t>South Bahnaric</t>
  </si>
  <si>
    <t>Southern-Central Mnong</t>
  </si>
  <si>
    <t>Southern Mnong</t>
  </si>
  <si>
    <t>mnn</t>
  </si>
  <si>
    <t>South Siberian Turkic</t>
  </si>
  <si>
    <t>Southern Altai</t>
  </si>
  <si>
    <t>alt</t>
  </si>
  <si>
    <t>sout2695</t>
  </si>
  <si>
    <t>Southeastern Tuvin</t>
  </si>
  <si>
    <t>South Azerbaijani</t>
  </si>
  <si>
    <t>azb</t>
  </si>
  <si>
    <t>AF AZ IQ IR TR</t>
  </si>
  <si>
    <t>sout2698</t>
  </si>
  <si>
    <t>South Quchani</t>
  </si>
  <si>
    <t>sout2699</t>
  </si>
  <si>
    <t>Southern Uzbek</t>
  </si>
  <si>
    <t>uzs</t>
  </si>
  <si>
    <t>AF PK TJ TR UZ</t>
  </si>
  <si>
    <t>sout2700</t>
  </si>
  <si>
    <t>Southern Crimean</t>
  </si>
  <si>
    <t>South Kipchak</t>
  </si>
  <si>
    <t>sout2702</t>
  </si>
  <si>
    <t>Southern Kirghiz</t>
  </si>
  <si>
    <t>sout2703</t>
  </si>
  <si>
    <t>Southeastern Karakalpak</t>
  </si>
  <si>
    <t>sout2704</t>
  </si>
  <si>
    <t>Southern Kazakh</t>
  </si>
  <si>
    <t>Southern Periphery Mongolic</t>
  </si>
  <si>
    <t>sout2708</t>
  </si>
  <si>
    <t>South Kerala</t>
  </si>
  <si>
    <t>sout2709</t>
  </si>
  <si>
    <t>South Africa Tamil</t>
  </si>
  <si>
    <t>Southern Gondi</t>
  </si>
  <si>
    <t>ggo</t>
  </si>
  <si>
    <t>sout2712</t>
  </si>
  <si>
    <t>Southern Pa'o</t>
  </si>
  <si>
    <t>sout2713</t>
  </si>
  <si>
    <t>Southern Baima</t>
  </si>
  <si>
    <t>sout2714</t>
  </si>
  <si>
    <t>Southern Khams</t>
  </si>
  <si>
    <t>Southern Ghale</t>
  </si>
  <si>
    <t>ghe</t>
  </si>
  <si>
    <t>sout2716</t>
  </si>
  <si>
    <t>Southern Gurung</t>
  </si>
  <si>
    <t>sout2717</t>
  </si>
  <si>
    <t>Southwestern</t>
  </si>
  <si>
    <t>sout2718</t>
  </si>
  <si>
    <t>Southwestern Tamang</t>
  </si>
  <si>
    <t>tsf</t>
  </si>
  <si>
    <t>sout2719</t>
  </si>
  <si>
    <t>Awu</t>
  </si>
  <si>
    <t>sout2721</t>
  </si>
  <si>
    <t>Southern Sani</t>
  </si>
  <si>
    <t>sout2722</t>
  </si>
  <si>
    <t>Southern Muji</t>
  </si>
  <si>
    <t>ymc</t>
  </si>
  <si>
    <t>sout2723</t>
  </si>
  <si>
    <t>Southern Nisu</t>
  </si>
  <si>
    <t>nsd</t>
  </si>
  <si>
    <t>sout2724</t>
  </si>
  <si>
    <t>Southern Nusu</t>
  </si>
  <si>
    <t>sout2727</t>
  </si>
  <si>
    <t>South Hpon</t>
  </si>
  <si>
    <t>Southern Qiang</t>
  </si>
  <si>
    <t>qxs</t>
  </si>
  <si>
    <t>Southern Pumi</t>
  </si>
  <si>
    <t>pmj</t>
  </si>
  <si>
    <t>Southern Bai</t>
  </si>
  <si>
    <t>bfs</t>
  </si>
  <si>
    <t>Southern</t>
  </si>
  <si>
    <t>Southern Rengma Naga</t>
  </si>
  <si>
    <t>nre</t>
  </si>
  <si>
    <t>yamp1244</t>
  </si>
  <si>
    <t>Southern Yamphu</t>
  </si>
  <si>
    <t>lrr</t>
  </si>
  <si>
    <t>sout2735</t>
  </si>
  <si>
    <t>Southern Yakha</t>
  </si>
  <si>
    <t>Southern Central Kiranti</t>
  </si>
  <si>
    <t>sout2737</t>
  </si>
  <si>
    <t>Southern Bantawa</t>
  </si>
  <si>
    <t>sout2738</t>
  </si>
  <si>
    <t>Southern Thulung</t>
  </si>
  <si>
    <t>sout2739</t>
  </si>
  <si>
    <t>Southern Tujia</t>
  </si>
  <si>
    <t>tjs</t>
  </si>
  <si>
    <t>sout2741</t>
  </si>
  <si>
    <t>Southern Dong</t>
  </si>
  <si>
    <t>kmc</t>
  </si>
  <si>
    <t>sout3184</t>
  </si>
  <si>
    <t>Southwestern Tai P</t>
  </si>
  <si>
    <t>Southern Shan</t>
  </si>
  <si>
    <t>sout2745</t>
  </si>
  <si>
    <t>Southern Isan</t>
  </si>
  <si>
    <t>sout2746</t>
  </si>
  <si>
    <t>Southern Thai</t>
  </si>
  <si>
    <t>sou</t>
  </si>
  <si>
    <t>MM MY TH</t>
  </si>
  <si>
    <t>sout2747</t>
  </si>
  <si>
    <t>Southern T√†y</t>
  </si>
  <si>
    <t>Southwestern Gelao</t>
  </si>
  <si>
    <t>sout2750</t>
  </si>
  <si>
    <t>Southern Yukaghir</t>
  </si>
  <si>
    <t>yux</t>
  </si>
  <si>
    <t>Southern Yeniseian</t>
  </si>
  <si>
    <t>sout2752</t>
  </si>
  <si>
    <t>taba1259</t>
  </si>
  <si>
    <t>South Tabasaran</t>
  </si>
  <si>
    <t>Southern Samur</t>
  </si>
  <si>
    <t>sout2754</t>
  </si>
  <si>
    <t>Southern Qiandong Miao</t>
  </si>
  <si>
    <t>hms</t>
  </si>
  <si>
    <t>sout2755</t>
  </si>
  <si>
    <t>Southwestern Huishui Hmong</t>
  </si>
  <si>
    <t>hmh</t>
  </si>
  <si>
    <t>sout2756</t>
  </si>
  <si>
    <t>Southwestern Guiyang Hmong</t>
  </si>
  <si>
    <t>hmg</t>
  </si>
  <si>
    <t>Southern Tangkic</t>
  </si>
  <si>
    <t>Southern Thura-Yura</t>
  </si>
  <si>
    <t>sout2761</t>
  </si>
  <si>
    <t>South-western Warlpiri</t>
  </si>
  <si>
    <t>sout2762</t>
  </si>
  <si>
    <t>Southern Warlpiri</t>
  </si>
  <si>
    <t>sout2763</t>
  </si>
  <si>
    <t>Southern inland Nyangumarta</t>
  </si>
  <si>
    <t>sout2764</t>
  </si>
  <si>
    <t>Southern Inggarda</t>
  </si>
  <si>
    <t>Southern Maric</t>
  </si>
  <si>
    <t>Southern Ngarna</t>
  </si>
  <si>
    <t>Southern Inland Yuin</t>
  </si>
  <si>
    <t>sout2771</t>
  </si>
  <si>
    <t>Southern Coastal Yuin</t>
  </si>
  <si>
    <t>xtv</t>
  </si>
  <si>
    <t>Southern Daly</t>
  </si>
  <si>
    <t>sout2773</t>
  </si>
  <si>
    <t>Southern Coastal Yawuru</t>
  </si>
  <si>
    <t>Southeast Ijo</t>
  </si>
  <si>
    <t>ijs</t>
  </si>
  <si>
    <t>sout2776</t>
  </si>
  <si>
    <t>Southern Limba</t>
  </si>
  <si>
    <t>Southern Kisi</t>
  </si>
  <si>
    <t>kss</t>
  </si>
  <si>
    <t>Southern Bia</t>
  </si>
  <si>
    <t>sout2780</t>
  </si>
  <si>
    <t>Southern Chumburung</t>
  </si>
  <si>
    <t>South Guang</t>
  </si>
  <si>
    <t>South Fali</t>
  </si>
  <si>
    <t>fal</t>
  </si>
  <si>
    <t>sout2783</t>
  </si>
  <si>
    <t>Southern Fania</t>
  </si>
  <si>
    <t>sout2784</t>
  </si>
  <si>
    <t>Southern Ngbandi</t>
  </si>
  <si>
    <t>nbw</t>
  </si>
  <si>
    <t>sout2785</t>
  </si>
  <si>
    <t>Southwest Gbaya</t>
  </si>
  <si>
    <t>gso</t>
  </si>
  <si>
    <t>Ngbugu-Langbasi</t>
  </si>
  <si>
    <t>South Central Banda</t>
  </si>
  <si>
    <t>lnl</t>
  </si>
  <si>
    <t>sout2788</t>
  </si>
  <si>
    <t>Southern Gourmanchema</t>
  </si>
  <si>
    <t>sout2789</t>
  </si>
  <si>
    <t>Central Dagaare</t>
  </si>
  <si>
    <t>dga</t>
  </si>
  <si>
    <t>sout2790</t>
  </si>
  <si>
    <t>Southern Birifor</t>
  </si>
  <si>
    <t>biv</t>
  </si>
  <si>
    <t>Southern Hanga</t>
  </si>
  <si>
    <t>sout2794</t>
  </si>
  <si>
    <t>Southern Ly√©l√©</t>
  </si>
  <si>
    <t>Southern Nuni</t>
  </si>
  <si>
    <t>nnw</t>
  </si>
  <si>
    <t>sout2796</t>
  </si>
  <si>
    <t>Southwest Senari</t>
  </si>
  <si>
    <t>sout2797</t>
  </si>
  <si>
    <t>Southern Toussian</t>
  </si>
  <si>
    <t>wib</t>
  </si>
  <si>
    <t>Southeastern Benue-Congo Plateau</t>
  </si>
  <si>
    <t>sout2804</t>
  </si>
  <si>
    <t>South Ibie</t>
  </si>
  <si>
    <t>Southwestern Edoid</t>
  </si>
  <si>
    <t>Southern Sotho</t>
  </si>
  <si>
    <t>LS ZA</t>
  </si>
  <si>
    <t>sout2808</t>
  </si>
  <si>
    <t>Sumayela Ndebele</t>
  </si>
  <si>
    <t>nbl</t>
  </si>
  <si>
    <t>sout2809</t>
  </si>
  <si>
    <t>South Congo</t>
  </si>
  <si>
    <t>sout2810</t>
  </si>
  <si>
    <t>South East Kongo</t>
  </si>
  <si>
    <t>sout2811</t>
  </si>
  <si>
    <t>South Binja</t>
  </si>
  <si>
    <t>sout2813</t>
  </si>
  <si>
    <t>Southern Gikuyu</t>
  </si>
  <si>
    <t>sout2814</t>
  </si>
  <si>
    <t>South Kitui</t>
  </si>
  <si>
    <t>sout2815</t>
  </si>
  <si>
    <t>South Kwandu</t>
  </si>
  <si>
    <t>sout2816</t>
  </si>
  <si>
    <t>Southern Dibole</t>
  </si>
  <si>
    <t>sout2817</t>
  </si>
  <si>
    <t>South Lobala</t>
  </si>
  <si>
    <t>sout2818</t>
  </si>
  <si>
    <t>Southern Bakossi</t>
  </si>
  <si>
    <t>sout2819</t>
  </si>
  <si>
    <t>Southwest Bobe</t>
  </si>
  <si>
    <t>sout2820</t>
  </si>
  <si>
    <t>Southeast Bobe</t>
  </si>
  <si>
    <t>sout2821</t>
  </si>
  <si>
    <t>Southwest Duguri</t>
  </si>
  <si>
    <t>South Ring</t>
  </si>
  <si>
    <t>sout2823</t>
  </si>
  <si>
    <t>Southern Ejagham</t>
  </si>
  <si>
    <t>sout2824</t>
  </si>
  <si>
    <t>Southern Etung</t>
  </si>
  <si>
    <t>sout2825</t>
  </si>
  <si>
    <t>Southern Gunu</t>
  </si>
  <si>
    <t>Southern Grebo</t>
  </si>
  <si>
    <t>grj</t>
  </si>
  <si>
    <t>Southern Moru-Madi</t>
  </si>
  <si>
    <t>Southern Ma'di</t>
  </si>
  <si>
    <t>snm</t>
  </si>
  <si>
    <t>sout2829</t>
  </si>
  <si>
    <t>Southern Turkana</t>
  </si>
  <si>
    <t>Southern Nilotic</t>
  </si>
  <si>
    <t>Southern Lwoo</t>
  </si>
  <si>
    <t>Southwestern Dinka</t>
  </si>
  <si>
    <t>South Central Dinka</t>
  </si>
  <si>
    <t>dib</t>
  </si>
  <si>
    <t>Southeastern Dinka</t>
  </si>
  <si>
    <t>dks</t>
  </si>
  <si>
    <t>South Gonga</t>
  </si>
  <si>
    <t>sout2836</t>
  </si>
  <si>
    <t>South Surmic</t>
  </si>
  <si>
    <t>Southeast Surmic</t>
  </si>
  <si>
    <t>Southwest Surmic</t>
  </si>
  <si>
    <t>sout2839</t>
  </si>
  <si>
    <t>Southern Masalit</t>
  </si>
  <si>
    <t>Southern Bobo Madar√©</t>
  </si>
  <si>
    <t>bwq</t>
  </si>
  <si>
    <t>sout2841</t>
  </si>
  <si>
    <t>Southern Seeku</t>
  </si>
  <si>
    <t>Southwest Mande</t>
  </si>
  <si>
    <t>sout2844</t>
  </si>
  <si>
    <t>Southern Samo</t>
  </si>
  <si>
    <t>sbd</t>
  </si>
  <si>
    <t>South Omotic</t>
  </si>
  <si>
    <t>sout2846</t>
  </si>
  <si>
    <t>South Yawa</t>
  </si>
  <si>
    <t>sout2848</t>
  </si>
  <si>
    <t>South Siberut</t>
  </si>
  <si>
    <t>Tobaic</t>
  </si>
  <si>
    <t>Greater SHWNG</t>
  </si>
  <si>
    <t>Southeast Solomonic</t>
  </si>
  <si>
    <t>Southeast Guadalcanal</t>
  </si>
  <si>
    <t>sout2856</t>
  </si>
  <si>
    <t>South Efate</t>
  </si>
  <si>
    <t>erk</t>
  </si>
  <si>
    <t>sout2857</t>
  </si>
  <si>
    <t>Nahavaq</t>
  </si>
  <si>
    <t>sns</t>
  </si>
  <si>
    <t>sout2858</t>
  </si>
  <si>
    <t>South Paama</t>
  </si>
  <si>
    <t>Southeast Ambrym</t>
  </si>
  <si>
    <t>tvk</t>
  </si>
  <si>
    <t>sout2863</t>
  </si>
  <si>
    <t>Southeast Vanua Levu</t>
  </si>
  <si>
    <t>sout2864</t>
  </si>
  <si>
    <t>Southeast Viti Levu</t>
  </si>
  <si>
    <t>sout2865</t>
  </si>
  <si>
    <t>South Tuvaluan</t>
  </si>
  <si>
    <t>South Marquesan</t>
  </si>
  <si>
    <t>mqm</t>
  </si>
  <si>
    <t>sout2867</t>
  </si>
  <si>
    <t>South Island</t>
  </si>
  <si>
    <t>Southern Vanuatu</t>
  </si>
  <si>
    <t>Southwest Tanna</t>
  </si>
  <si>
    <t>nwi</t>
  </si>
  <si>
    <t>sout2871</t>
  </si>
  <si>
    <t>South Tigak</t>
  </si>
  <si>
    <t>sout2872</t>
  </si>
  <si>
    <t>South Kakabai</t>
  </si>
  <si>
    <t>sout2873</t>
  </si>
  <si>
    <t>Southern Yamalele</t>
  </si>
  <si>
    <t>Southwest New Britain linkage</t>
  </si>
  <si>
    <t>sout2875</t>
  </si>
  <si>
    <t>Southern Marik</t>
  </si>
  <si>
    <t>sout2876</t>
  </si>
  <si>
    <t>South Coast Mengen</t>
  </si>
  <si>
    <t>South Watut</t>
  </si>
  <si>
    <t>mcy</t>
  </si>
  <si>
    <t>South Huon Gulf linkage</t>
  </si>
  <si>
    <t>South-East Admiralty</t>
  </si>
  <si>
    <t>sout2880</t>
  </si>
  <si>
    <t>Southern Mussau</t>
  </si>
  <si>
    <t>South Babar</t>
  </si>
  <si>
    <t>Southwest Babar</t>
  </si>
  <si>
    <t>sout2883</t>
  </si>
  <si>
    <t>Southeast Babar</t>
  </si>
  <si>
    <t>vbb</t>
  </si>
  <si>
    <t>sout2884</t>
  </si>
  <si>
    <t>South Ngada</t>
  </si>
  <si>
    <t>sout2885</t>
  </si>
  <si>
    <t>Southern Sumba</t>
  </si>
  <si>
    <t>sout2886</t>
  </si>
  <si>
    <t>Southwestern Tarangan</t>
  </si>
  <si>
    <t>sout2887</t>
  </si>
  <si>
    <t>Southeast Koba</t>
  </si>
  <si>
    <t>sout2888</t>
  </si>
  <si>
    <t>Southeast Dobel</t>
  </si>
  <si>
    <t>South Tanimbar</t>
  </si>
  <si>
    <t>sout2891</t>
  </si>
  <si>
    <t>South Yamdena</t>
  </si>
  <si>
    <t>sout2892</t>
  </si>
  <si>
    <t>South Wemale</t>
  </si>
  <si>
    <t>tlw</t>
  </si>
  <si>
    <t>sout2893</t>
  </si>
  <si>
    <t>South Alune</t>
  </si>
  <si>
    <t>sout2894</t>
  </si>
  <si>
    <t>South Manusela</t>
  </si>
  <si>
    <t>sout2895</t>
  </si>
  <si>
    <t>South Nuaulu</t>
  </si>
  <si>
    <t>nxl</t>
  </si>
  <si>
    <t>sout2896</t>
  </si>
  <si>
    <t>Eastern Atadei</t>
  </si>
  <si>
    <t>lmf</t>
  </si>
  <si>
    <t>sout2897</t>
  </si>
  <si>
    <t>South Ile Ape</t>
  </si>
  <si>
    <t>sout2898</t>
  </si>
  <si>
    <t>Southern Tetun</t>
  </si>
  <si>
    <t>sout2899</t>
  </si>
  <si>
    <t>South Lole</t>
  </si>
  <si>
    <t>sout2900</t>
  </si>
  <si>
    <t>South Tabukang</t>
  </si>
  <si>
    <t>sout2902</t>
  </si>
  <si>
    <t>South Karakelong</t>
  </si>
  <si>
    <t>sout2903</t>
  </si>
  <si>
    <t>Southern Ivatan</t>
  </si>
  <si>
    <t>sout2904</t>
  </si>
  <si>
    <t>Southern Tboli</t>
  </si>
  <si>
    <t>sout2905</t>
  </si>
  <si>
    <t>Southern Alta</t>
  </si>
  <si>
    <t>agy</t>
  </si>
  <si>
    <t>Southern Cordilleran</t>
  </si>
  <si>
    <t>Bangad</t>
  </si>
  <si>
    <t>ksc</t>
  </si>
  <si>
    <t>sout2909</t>
  </si>
  <si>
    <t>South Ibanag</t>
  </si>
  <si>
    <t>sout2910</t>
  </si>
  <si>
    <t>South Kamayo</t>
  </si>
  <si>
    <t>sout2912</t>
  </si>
  <si>
    <t>Coastal-Virac Bikol</t>
  </si>
  <si>
    <t>bln</t>
  </si>
  <si>
    <t>South Manobo</t>
  </si>
  <si>
    <t>South Mangyan</t>
  </si>
  <si>
    <t>sout2916</t>
  </si>
  <si>
    <t>Southwest Palawano</t>
  </si>
  <si>
    <t>plv</t>
  </si>
  <si>
    <t>sout2917</t>
  </si>
  <si>
    <t>South Palawano</t>
  </si>
  <si>
    <t>Southern Sama</t>
  </si>
  <si>
    <t>ssb</t>
  </si>
  <si>
    <t>ID MY PH</t>
  </si>
  <si>
    <t>Southeast Barito</t>
  </si>
  <si>
    <t>sout2920</t>
  </si>
  <si>
    <t>Southern Betsimisaraka Malagasy</t>
  </si>
  <si>
    <t>bzc</t>
  </si>
  <si>
    <t>South West Greater Barito</t>
  </si>
  <si>
    <t>Southern Land Dayak</t>
  </si>
  <si>
    <t>South Sulawesi</t>
  </si>
  <si>
    <t>sout2924</t>
  </si>
  <si>
    <t>South Luwu</t>
  </si>
  <si>
    <t>Southern Tomini</t>
  </si>
  <si>
    <t>Southern Kaili-Pamona</t>
  </si>
  <si>
    <t>sout2927</t>
  </si>
  <si>
    <t>Southern Uma</t>
  </si>
  <si>
    <t>Southeastern Celebic</t>
  </si>
  <si>
    <t>sout2929</t>
  </si>
  <si>
    <t>Southern Amis</t>
  </si>
  <si>
    <t>sout2930</t>
  </si>
  <si>
    <t>South Bunun</t>
  </si>
  <si>
    <t>sout2931</t>
  </si>
  <si>
    <t>Yanimoi</t>
  </si>
  <si>
    <t>sout2932</t>
  </si>
  <si>
    <t>Southern One</t>
  </si>
  <si>
    <t>osu</t>
  </si>
  <si>
    <t>sout2933</t>
  </si>
  <si>
    <t>South Aunalei</t>
  </si>
  <si>
    <t>South Binanderean</t>
  </si>
  <si>
    <t>sout2935</t>
  </si>
  <si>
    <t>South Nuk</t>
  </si>
  <si>
    <t>sout2936</t>
  </si>
  <si>
    <t>South Nakama</t>
  </si>
  <si>
    <t>sout2937</t>
  </si>
  <si>
    <t>South Selepet</t>
  </si>
  <si>
    <t>sout2938</t>
  </si>
  <si>
    <t>South Timbe</t>
  </si>
  <si>
    <t>sout2939</t>
  </si>
  <si>
    <t>South Migabac</t>
  </si>
  <si>
    <t>South Muyu</t>
  </si>
  <si>
    <t>kts</t>
  </si>
  <si>
    <t>sout2941</t>
  </si>
  <si>
    <t>South Awyu</t>
  </si>
  <si>
    <t>aws</t>
  </si>
  <si>
    <t>sout2942</t>
  </si>
  <si>
    <t>South Awa</t>
  </si>
  <si>
    <t>South Tairora</t>
  </si>
  <si>
    <t>omw</t>
  </si>
  <si>
    <t>sout2944</t>
  </si>
  <si>
    <t>Southeast Marind</t>
  </si>
  <si>
    <t>sout2945</t>
  </si>
  <si>
    <t>South Modole</t>
  </si>
  <si>
    <t>sout2946</t>
  </si>
  <si>
    <t>South Waibuk</t>
  </si>
  <si>
    <t>sout2947</t>
  </si>
  <si>
    <t>South Kamberataro</t>
  </si>
  <si>
    <t>South Bougainville</t>
  </si>
  <si>
    <t>Southern Kiwai</t>
  </si>
  <si>
    <t>kjd</t>
  </si>
  <si>
    <t>sout2950</t>
  </si>
  <si>
    <t>Southern Coast Kiwai</t>
  </si>
  <si>
    <t>sout2951</t>
  </si>
  <si>
    <t>Southern Ambakich</t>
  </si>
  <si>
    <t>sout2952</t>
  </si>
  <si>
    <t>South Awin</t>
  </si>
  <si>
    <t>Southern T≈çhoku</t>
  </si>
  <si>
    <t>sout2954</t>
  </si>
  <si>
    <t>Southern Amami-Oshima</t>
  </si>
  <si>
    <t>ams</t>
  </si>
  <si>
    <t>sout2955</t>
  </si>
  <si>
    <t>sout2956</t>
  </si>
  <si>
    <t>Southern Haida</t>
  </si>
  <si>
    <t>hax</t>
  </si>
  <si>
    <t>sout2957</t>
  </si>
  <si>
    <t>Southern Tutchone</t>
  </si>
  <si>
    <t>tce</t>
  </si>
  <si>
    <t>sout2958</t>
  </si>
  <si>
    <t>Southern Carrier</t>
  </si>
  <si>
    <t>caf</t>
  </si>
  <si>
    <t>sout2959</t>
  </si>
  <si>
    <t>South Slavey</t>
  </si>
  <si>
    <t>xsl</t>
  </si>
  <si>
    <t>tiwa1255</t>
  </si>
  <si>
    <t>Southern Tiwa</t>
  </si>
  <si>
    <t>tix</t>
  </si>
  <si>
    <t>sout2962</t>
  </si>
  <si>
    <t>Southern Tsimshian</t>
  </si>
  <si>
    <t>sout2963</t>
  </si>
  <si>
    <t>Southern Okanogan</t>
  </si>
  <si>
    <t>Southern Puget Sound Salish</t>
  </si>
  <si>
    <t>slh</t>
  </si>
  <si>
    <t>sout2966</t>
  </si>
  <si>
    <t>South Band</t>
  </si>
  <si>
    <t>sout2967</t>
  </si>
  <si>
    <t>South Northern Paiute</t>
  </si>
  <si>
    <t>Southern Numic</t>
  </si>
  <si>
    <t>sout2969</t>
  </si>
  <si>
    <t>Southern Paiute</t>
  </si>
  <si>
    <t>sout2971</t>
  </si>
  <si>
    <t>Southwestern Tarahumara</t>
  </si>
  <si>
    <t>twr</t>
  </si>
  <si>
    <t>Southeastern Tarahumara</t>
  </si>
  <si>
    <t>tcu</t>
  </si>
  <si>
    <t>sout2973</t>
  </si>
  <si>
    <t>Nahuatl, Southeastern Puebla</t>
  </si>
  <si>
    <t>npl</t>
  </si>
  <si>
    <t>sout2974</t>
  </si>
  <si>
    <t>Southeastern Huasteca Nahuatl</t>
  </si>
  <si>
    <t>sout2975</t>
  </si>
  <si>
    <t>Southern Tepehuan</t>
  </si>
  <si>
    <t>sout2976</t>
  </si>
  <si>
    <t>Southeastern Tepehuan</t>
  </si>
  <si>
    <t>stp</t>
  </si>
  <si>
    <t>sout2977</t>
  </si>
  <si>
    <t>Southwestern Tepehuan</t>
  </si>
  <si>
    <t>tla</t>
  </si>
  <si>
    <t>sout2978</t>
  </si>
  <si>
    <t>Southern East Cree</t>
  </si>
  <si>
    <t>crj</t>
  </si>
  <si>
    <t>sout2979</t>
  </si>
  <si>
    <t>Southern Micmac</t>
  </si>
  <si>
    <t>sout2980</t>
  </si>
  <si>
    <t>Southern Yana</t>
  </si>
  <si>
    <t>Southern Wakashan</t>
  </si>
  <si>
    <t>sout2982</t>
  </si>
  <si>
    <t>Southeastern Pomo</t>
  </si>
  <si>
    <t>pom</t>
  </si>
  <si>
    <t>Southern Pomoan-Kashaya</t>
  </si>
  <si>
    <t>sout2984</t>
  </si>
  <si>
    <t>Southern Pomo</t>
  </si>
  <si>
    <t>peq</t>
  </si>
  <si>
    <t>sout2985</t>
  </si>
  <si>
    <t>Southern Sierra Miwok</t>
  </si>
  <si>
    <t>skd</t>
  </si>
  <si>
    <t>Southern Ohlone</t>
  </si>
  <si>
    <t>css</t>
  </si>
  <si>
    <t>sout2987</t>
  </si>
  <si>
    <t>Morley Stoney</t>
  </si>
  <si>
    <t>Southeastern Siouan</t>
  </si>
  <si>
    <t>sout2989</t>
  </si>
  <si>
    <t>Southern Lengua</t>
  </si>
  <si>
    <t>sout2990</t>
  </si>
  <si>
    <t>Southern Pastaza Quechua</t>
  </si>
  <si>
    <t>qup</t>
  </si>
  <si>
    <t>South Bolivian Quechua</t>
  </si>
  <si>
    <t>AR BO CL</t>
  </si>
  <si>
    <t>sout2992</t>
  </si>
  <si>
    <t>Southern Conchucos Ancash Quechua</t>
  </si>
  <si>
    <t>qxo</t>
  </si>
  <si>
    <t>sout2993</t>
  </si>
  <si>
    <t>Southern Ninam</t>
  </si>
  <si>
    <t>Southern Nambiku√°ra</t>
  </si>
  <si>
    <t>nab</t>
  </si>
  <si>
    <t>sout2995</t>
  </si>
  <si>
    <t>Southeast Toba</t>
  </si>
  <si>
    <t>sout2996</t>
  </si>
  <si>
    <t>Southern Aymara</t>
  </si>
  <si>
    <t>ayc</t>
  </si>
  <si>
    <t>CL PE</t>
  </si>
  <si>
    <t>sout2997</t>
  </si>
  <si>
    <t>Southeast Kaingang</t>
  </si>
  <si>
    <t>sout2998</t>
  </si>
  <si>
    <t>Southwest Kaingang</t>
  </si>
  <si>
    <t>sout2999</t>
  </si>
  <si>
    <t>Southern Pame</t>
  </si>
  <si>
    <t>pmz</t>
  </si>
  <si>
    <t>Southwestern Tlaxiaco Mixtec</t>
  </si>
  <si>
    <t>meh</t>
  </si>
  <si>
    <t>sout3001</t>
  </si>
  <si>
    <t>Southern Puebla Mixtec</t>
  </si>
  <si>
    <t>mit</t>
  </si>
  <si>
    <t>sout3002</t>
  </si>
  <si>
    <t>Southeastern Nochixtl√°n Mixtec</t>
  </si>
  <si>
    <t>mxy</t>
  </si>
  <si>
    <t>Southern Core Zapotec</t>
  </si>
  <si>
    <t>sout3004</t>
  </si>
  <si>
    <t>Southern Rincon Zapotec</t>
  </si>
  <si>
    <t>zsr</t>
  </si>
  <si>
    <t>sout3005</t>
  </si>
  <si>
    <t>Southeastern Ixtl√°n Zapotec</t>
  </si>
  <si>
    <t>zpd</t>
  </si>
  <si>
    <t>Barasano-Eduria-Macuna</t>
  </si>
  <si>
    <t>Southern Roglai</t>
  </si>
  <si>
    <t>rgs</t>
  </si>
  <si>
    <t>Southern Magdalenic</t>
  </si>
  <si>
    <t>South Giziga</t>
  </si>
  <si>
    <t>giz</t>
  </si>
  <si>
    <t>sout3052</t>
  </si>
  <si>
    <t>Southern Buduma</t>
  </si>
  <si>
    <t>sout3053</t>
  </si>
  <si>
    <t>Southern Bade</t>
  </si>
  <si>
    <t>sout3054</t>
  </si>
  <si>
    <t>South Cushitic</t>
  </si>
  <si>
    <t>Southern Lowland East Cushitic</t>
  </si>
  <si>
    <t>sout3056</t>
  </si>
  <si>
    <t>South Oran</t>
  </si>
  <si>
    <t>sout3075</t>
  </si>
  <si>
    <t>Southern Soqotri</t>
  </si>
  <si>
    <t>Southeastern varieties</t>
  </si>
  <si>
    <t>Southern Cluster Lish√°n Did√°n</t>
  </si>
  <si>
    <t>South Ethiopic</t>
  </si>
  <si>
    <t>sout3112</t>
  </si>
  <si>
    <t>South Levantine Bedawi Arabic</t>
  </si>
  <si>
    <t>sout3113</t>
  </si>
  <si>
    <t>South Central Delta Arabic</t>
  </si>
  <si>
    <t>sout3114</t>
  </si>
  <si>
    <t>South-Western Tunisian</t>
  </si>
  <si>
    <t>sout3115</t>
  </si>
  <si>
    <t>South-Eastern Tunisian</t>
  </si>
  <si>
    <t>sout3116</t>
  </si>
  <si>
    <t>Southern Libyan Arabic</t>
  </si>
  <si>
    <t>sout3117</t>
  </si>
  <si>
    <t>Southern Morocco Arabic</t>
  </si>
  <si>
    <t>sout3118</t>
  </si>
  <si>
    <t>South Hijazi</t>
  </si>
  <si>
    <t>South Najdi</t>
  </si>
  <si>
    <t>sout3120</t>
  </si>
  <si>
    <t>South Qatari Arabic</t>
  </si>
  <si>
    <t>sout3121</t>
  </si>
  <si>
    <t>South-Central Lebanese Arabic</t>
  </si>
  <si>
    <t>sout3122</t>
  </si>
  <si>
    <t>South Lebanese Arabic</t>
  </si>
  <si>
    <t>South Levantine Arabic</t>
  </si>
  <si>
    <t>ajp</t>
  </si>
  <si>
    <t>IL JO KW PS SA SY</t>
  </si>
  <si>
    <t>sout3125</t>
  </si>
  <si>
    <t>Southern Betsimisaraka Malagasy (Retired)</t>
  </si>
  <si>
    <t>bjq</t>
  </si>
  <si>
    <t>South Lucanian</t>
  </si>
  <si>
    <t>sout3127</t>
  </si>
  <si>
    <t>South Ucayali Ash√©ninka</t>
  </si>
  <si>
    <t>cpy</t>
  </si>
  <si>
    <t>sout3128</t>
  </si>
  <si>
    <t>Southwestern Nisu</t>
  </si>
  <si>
    <t>nsv</t>
  </si>
  <si>
    <t>sout3129</t>
  </si>
  <si>
    <t>Southern Lolopo</t>
  </si>
  <si>
    <t>ysp</t>
  </si>
  <si>
    <t>Ankave-Tainae-Akoye</t>
  </si>
  <si>
    <t>Southern Maipuran</t>
  </si>
  <si>
    <t>Southern Chumashan</t>
  </si>
  <si>
    <t>sout3133</t>
  </si>
  <si>
    <t>South Dravidian</t>
  </si>
  <si>
    <t>South-West Pama-Nyungan</t>
  </si>
  <si>
    <t>Southeastern Pama-Nyungan</t>
  </si>
  <si>
    <t>Southern Uto-Aztecan</t>
  </si>
  <si>
    <t>South Munda</t>
  </si>
  <si>
    <t>sout3138</t>
  </si>
  <si>
    <t>South Dravidian I</t>
  </si>
  <si>
    <t>South Dravidian II</t>
  </si>
  <si>
    <t>Southeastern Mande</t>
  </si>
  <si>
    <t>Southwest Pama</t>
  </si>
  <si>
    <t>Southern Yolngu</t>
  </si>
  <si>
    <t>Southwestern Kra</t>
  </si>
  <si>
    <t>sout3144</t>
  </si>
  <si>
    <t>South Eastern Tucanoan</t>
  </si>
  <si>
    <t>South Biu-Mandara</t>
  </si>
  <si>
    <t>South Masa</t>
  </si>
  <si>
    <t>South Slavic</t>
  </si>
  <si>
    <t>South Adelbert</t>
  </si>
  <si>
    <t>Southern-Eastern Yolngu</t>
  </si>
  <si>
    <t>Southwestern Saami</t>
  </si>
  <si>
    <t>Southwestern Apachean</t>
  </si>
  <si>
    <t>Southern Bantoid</t>
  </si>
  <si>
    <t>South Senufo</t>
  </si>
  <si>
    <t>Southwest Sabahan</t>
  </si>
  <si>
    <t>Southern Sangiric</t>
  </si>
  <si>
    <t>Southwestern Iranian</t>
  </si>
  <si>
    <t>Southern Romance</t>
  </si>
  <si>
    <t>Southern Burmish</t>
  </si>
  <si>
    <t>South Peripheral Kuki-Chin</t>
  </si>
  <si>
    <t>west2800</t>
  </si>
  <si>
    <t>South Bauchi East</t>
  </si>
  <si>
    <t>South Bauchi West</t>
  </si>
  <si>
    <t>South-Central Benue-Congo Plateau</t>
  </si>
  <si>
    <t>Southern Central Gur</t>
  </si>
  <si>
    <t>Southern Palawanic</t>
  </si>
  <si>
    <t>Southern Batak</t>
  </si>
  <si>
    <t>Southwestern Otomi</t>
  </si>
  <si>
    <t>Southwest South Bauchi</t>
  </si>
  <si>
    <t>Southern Northwestern Edoid</t>
  </si>
  <si>
    <t>Southern Melanesian</t>
  </si>
  <si>
    <t>Southwestern Malagasic</t>
  </si>
  <si>
    <t>South Bisayan</t>
  </si>
  <si>
    <t>Southwestern Brythonic</t>
  </si>
  <si>
    <t>Southern Tatic</t>
  </si>
  <si>
    <t>Southern Baja Mixtec</t>
  </si>
  <si>
    <t>Southern Bantu-Makua</t>
  </si>
  <si>
    <t>Southwest Grassfields</t>
  </si>
  <si>
    <t>Southeastern Bengali</t>
  </si>
  <si>
    <t>Southwestern Shifted Romance</t>
  </si>
  <si>
    <t>Southwestern Tai</t>
  </si>
  <si>
    <t>Southern Tanzania Highlands Bantu</t>
  </si>
  <si>
    <t>Southeastern Ede</t>
  </si>
  <si>
    <t>Southwestern Ede</t>
  </si>
  <si>
    <t>South Pentecost</t>
  </si>
  <si>
    <t>Southeast Borneo Malay</t>
  </si>
  <si>
    <t>Southern Okani</t>
  </si>
  <si>
    <t>sout3192</t>
  </si>
  <si>
    <t>South Teke</t>
  </si>
  <si>
    <t>South Santo</t>
  </si>
  <si>
    <t>Southern Tanna</t>
  </si>
  <si>
    <t>South Efatic</t>
  </si>
  <si>
    <t>Southwest Coastal Malekula</t>
  </si>
  <si>
    <t>Southern Malaita</t>
  </si>
  <si>
    <t>South Castilic</t>
  </si>
  <si>
    <t>South Mara</t>
  </si>
  <si>
    <t>South Rutara</t>
  </si>
  <si>
    <t>South Kalinga</t>
  </si>
  <si>
    <t>Southern Mijikenda</t>
  </si>
  <si>
    <t>Southeast Western Oti-Volta</t>
  </si>
  <si>
    <t>Southeastern Kalinga</t>
  </si>
  <si>
    <t>Southeast Choiseul</t>
  </si>
  <si>
    <t>South Dagaric</t>
  </si>
  <si>
    <t>sout3210</t>
  </si>
  <si>
    <t>Southern Lalo</t>
  </si>
  <si>
    <t>South-Central Cordilleran</t>
  </si>
  <si>
    <t>Southeastern Ngwi</t>
  </si>
  <si>
    <t>Western Trans-Zab</t>
  </si>
  <si>
    <t>South Khoekhoe</t>
  </si>
  <si>
    <t>South-Western Tibetic</t>
  </si>
  <si>
    <t>Southern Tibetic</t>
  </si>
  <si>
    <t>South-East-North Oromo</t>
  </si>
  <si>
    <t>South-Eastern Trans-Zab</t>
  </si>
  <si>
    <t>Southeast Santo</t>
  </si>
  <si>
    <t>sout3221</t>
  </si>
  <si>
    <t>Southern Zhuang</t>
  </si>
  <si>
    <t>ccy</t>
  </si>
  <si>
    <t>sout3222</t>
  </si>
  <si>
    <t>Southwest Gbaya (Retired)</t>
  </si>
  <si>
    <t>mdo</t>
  </si>
  <si>
    <t>sout3223</t>
  </si>
  <si>
    <t>Southeastern Puebla Nahuatl</t>
  </si>
  <si>
    <t>nhs</t>
  </si>
  <si>
    <t>sout3224</t>
  </si>
  <si>
    <t>Southern Pesisir</t>
  </si>
  <si>
    <t>pec</t>
  </si>
  <si>
    <t>sout3225</t>
  </si>
  <si>
    <t>Southern Marakwet</t>
  </si>
  <si>
    <t>tle</t>
  </si>
  <si>
    <t>Southern Khanty</t>
  </si>
  <si>
    <t>sout3227</t>
  </si>
  <si>
    <t>South Australian Pidgin English</t>
  </si>
  <si>
    <t>South African Sign</t>
  </si>
  <si>
    <t>South Halmahera-West New Guinea</t>
  </si>
  <si>
    <t>sout3230</t>
  </si>
  <si>
    <t>Southwest Cenderawasih Bay</t>
  </si>
  <si>
    <t>South Halmahera</t>
  </si>
  <si>
    <t>Southern Angkuic</t>
  </si>
  <si>
    <t>Southern Njila</t>
  </si>
  <si>
    <t>Southeast Gondi</t>
  </si>
  <si>
    <t>sout3236</t>
  </si>
  <si>
    <t>Southern Gumuz</t>
  </si>
  <si>
    <t>Southern New England Algonquian</t>
  </si>
  <si>
    <t>Southern Samba Duru</t>
  </si>
  <si>
    <t>Southeastern Malakula linkage</t>
  </si>
  <si>
    <t>Southwestern Malakula</t>
  </si>
  <si>
    <t>Southern Tidung</t>
  </si>
  <si>
    <t>itd</t>
  </si>
  <si>
    <t>Southern-Western Balochi</t>
  </si>
  <si>
    <t>Southern Nuristani</t>
  </si>
  <si>
    <t>Southeastern Timbira</t>
  </si>
  <si>
    <t>Southern Otomi</t>
  </si>
  <si>
    <t>South Scandinavian</t>
  </si>
  <si>
    <t>South-Central-East Kikongo</t>
  </si>
  <si>
    <t>Southern Pinghua</t>
  </si>
  <si>
    <t>sout3251</t>
  </si>
  <si>
    <t>Southern Katang</t>
  </si>
  <si>
    <t>sct</t>
  </si>
  <si>
    <t>Southeast Kewa</t>
  </si>
  <si>
    <t>sout3253</t>
  </si>
  <si>
    <t>Southern Mansi</t>
  </si>
  <si>
    <t>South-Central Bai</t>
  </si>
  <si>
    <t>sout3255</t>
  </si>
  <si>
    <t>Southeastern Qimen</t>
  </si>
  <si>
    <t>sout3256</t>
  </si>
  <si>
    <t>Southeast Guangde</t>
  </si>
  <si>
    <t>Southeast Maoxian Qiang</t>
  </si>
  <si>
    <t>sout3258</t>
  </si>
  <si>
    <t>South Songpan</t>
  </si>
  <si>
    <t>South Irula</t>
  </si>
  <si>
    <t>South Dargwa</t>
  </si>
  <si>
    <t>Southwestern Dargwa</t>
  </si>
  <si>
    <t>sout3262</t>
  </si>
  <si>
    <t>Southern Selkup</t>
  </si>
  <si>
    <t>sout3263</t>
  </si>
  <si>
    <t>Southern Tuareg</t>
  </si>
  <si>
    <t>Southern Rif</t>
  </si>
  <si>
    <t>South Aweer</t>
  </si>
  <si>
    <t>Southwestern Karaim</t>
  </si>
  <si>
    <t>South Coast Lembata</t>
  </si>
  <si>
    <t>sout3268</t>
  </si>
  <si>
    <t>Southern Seto</t>
  </si>
  <si>
    <t>sout3269</t>
  </si>
  <si>
    <t>South Baffin Inuktitut</t>
  </si>
  <si>
    <t>South Transvaal Ndebele</t>
  </si>
  <si>
    <t>sout3271</t>
  </si>
  <si>
    <t>Southern Tupi-Guarani</t>
  </si>
  <si>
    <t>sout3272</t>
  </si>
  <si>
    <t>Southeastern Olekha</t>
  </si>
  <si>
    <t>South-Eastern Tigre</t>
  </si>
  <si>
    <t>sout3274</t>
  </si>
  <si>
    <t>South Itelmen</t>
  </si>
  <si>
    <t>sout3276</t>
  </si>
  <si>
    <t>Southwestern Bulgarian</t>
  </si>
  <si>
    <t>sout3277</t>
  </si>
  <si>
    <t>Southwestern Macedonian</t>
  </si>
  <si>
    <t>sout3278</t>
  </si>
  <si>
    <t>Southeastern Macedonian</t>
  </si>
  <si>
    <t>Southern Euboea</t>
  </si>
  <si>
    <t>sout3280</t>
  </si>
  <si>
    <t>Southern Gheg</t>
  </si>
  <si>
    <t>South-Central English</t>
  </si>
  <si>
    <t>sout3282</t>
  </si>
  <si>
    <t>Southern English</t>
  </si>
  <si>
    <t>sout3283</t>
  </si>
  <si>
    <t>South Yorkshire English</t>
  </si>
  <si>
    <t>Southwestern English</t>
  </si>
  <si>
    <t>Southeastern English</t>
  </si>
  <si>
    <t>Southeastern Southwestern English</t>
  </si>
  <si>
    <t>sout3287</t>
  </si>
  <si>
    <t>Southern Bear Huron</t>
  </si>
  <si>
    <t>sout3288</t>
  </si>
  <si>
    <t>Southern Ngiti</t>
  </si>
  <si>
    <t>Southern Lendu</t>
  </si>
  <si>
    <t>sout3292</t>
  </si>
  <si>
    <t>Southwestern Dutch</t>
  </si>
  <si>
    <t>South Hollandish</t>
  </si>
  <si>
    <t>sout3294</t>
  </si>
  <si>
    <t>South Alemannic</t>
  </si>
  <si>
    <t>sout3295</t>
  </si>
  <si>
    <t>Southeast Thuringian</t>
  </si>
  <si>
    <t>South Upper Saxon</t>
  </si>
  <si>
    <t>sout3297</t>
  </si>
  <si>
    <t>Southwest Lower East Franconian</t>
  </si>
  <si>
    <t>Southern Irish English</t>
  </si>
  <si>
    <t>sout3299</t>
  </si>
  <si>
    <t>South-West Irish English</t>
  </si>
  <si>
    <t>Southeast American English</t>
  </si>
  <si>
    <t>sout3301</t>
  </si>
  <si>
    <t>Southern Canadian English</t>
  </si>
  <si>
    <t>Southern American English</t>
  </si>
  <si>
    <t>sout3303</t>
  </si>
  <si>
    <t>Southern Mid Scots</t>
  </si>
  <si>
    <t>sout3304</t>
  </si>
  <si>
    <t>South Northern Scots</t>
  </si>
  <si>
    <t>sout3305</t>
  </si>
  <si>
    <t>South Rupununi Sign</t>
  </si>
  <si>
    <t>Southern Azerbaijani</t>
  </si>
  <si>
    <t>sout3307</t>
  </si>
  <si>
    <t>Southern Ket</t>
  </si>
  <si>
    <t>sout3308</t>
  </si>
  <si>
    <t>South Central Romani</t>
  </si>
  <si>
    <t>Southern Sinti</t>
  </si>
  <si>
    <t>sout3310</t>
  </si>
  <si>
    <t>Southern Zealand</t>
  </si>
  <si>
    <t>sout3311</t>
  </si>
  <si>
    <t>Southern Islands Danish</t>
  </si>
  <si>
    <t>sout3312</t>
  </si>
  <si>
    <t>Southern Funen Islands</t>
  </si>
  <si>
    <t>Southern New Caledonian</t>
  </si>
  <si>
    <t>Southern Saho</t>
  </si>
  <si>
    <t>souu1238</t>
  </si>
  <si>
    <t>Sou</t>
  </si>
  <si>
    <t>sqq</t>
  </si>
  <si>
    <t>sowa1243</t>
  </si>
  <si>
    <t>Sowa Naga</t>
  </si>
  <si>
    <t>sowa1244</t>
  </si>
  <si>
    <t>Sowa</t>
  </si>
  <si>
    <t>sww</t>
  </si>
  <si>
    <t>sowa1245</t>
  </si>
  <si>
    <t>wain1248</t>
  </si>
  <si>
    <t>Sowanda</t>
  </si>
  <si>
    <t>sow</t>
  </si>
  <si>
    <t>soya1236</t>
  </si>
  <si>
    <t>Soyaltepec Mixtec</t>
  </si>
  <si>
    <t>vmq</t>
  </si>
  <si>
    <t>soya1237</t>
  </si>
  <si>
    <t>Soyaltepec Mazatec</t>
  </si>
  <si>
    <t>vmp</t>
  </si>
  <si>
    <t>soyk1238</t>
  </si>
  <si>
    <t>Soikkola</t>
  </si>
  <si>
    <t>soyo1234</t>
  </si>
  <si>
    <t>Soyot</t>
  </si>
  <si>
    <t>span1238</t>
  </si>
  <si>
    <t>Spanish Cal√≥</t>
  </si>
  <si>
    <t>span1263</t>
  </si>
  <si>
    <t>Spanish Sign Language</t>
  </si>
  <si>
    <t>ssp</t>
  </si>
  <si>
    <t>Spanish-Quechua</t>
  </si>
  <si>
    <t>Spanish-based pidgin</t>
  </si>
  <si>
    <t>Spanish Sign</t>
  </si>
  <si>
    <t>Speech Register</t>
  </si>
  <si>
    <t>Spiti-Jad</t>
  </si>
  <si>
    <t>spit1240</t>
  </si>
  <si>
    <t>Spiti Bhoti</t>
  </si>
  <si>
    <t>spt</t>
  </si>
  <si>
    <t>spok1245</t>
  </si>
  <si>
    <t>Spokane</t>
  </si>
  <si>
    <t>spo</t>
  </si>
  <si>
    <t>Southwestern Thai PH</t>
  </si>
  <si>
    <t>sqol1237</t>
  </si>
  <si>
    <t>Sqoleq</t>
  </si>
  <si>
    <t>squa1248</t>
  </si>
  <si>
    <t>Squamish</t>
  </si>
  <si>
    <t>squ</t>
  </si>
  <si>
    <t>sran1240</t>
  </si>
  <si>
    <t>Sranan Tongo</t>
  </si>
  <si>
    <t>srn</t>
  </si>
  <si>
    <t>AW NL SR</t>
  </si>
  <si>
    <t>Eastern Maroons</t>
  </si>
  <si>
    <t>sred1238</t>
  </si>
  <si>
    <t>Srednyaya Ob-Ket</t>
  </si>
  <si>
    <t>sree1244</t>
  </si>
  <si>
    <t>Sre</t>
  </si>
  <si>
    <t>srem1242</t>
  </si>
  <si>
    <t>Srem</t>
  </si>
  <si>
    <t>srik1237</t>
  </si>
  <si>
    <t>Srikakula</t>
  </si>
  <si>
    <t>sril1237</t>
  </si>
  <si>
    <t>Sri Lankan Sign Language</t>
  </si>
  <si>
    <t>sqs</t>
  </si>
  <si>
    <t>sril1243</t>
  </si>
  <si>
    <t>Sri Lankan English</t>
  </si>
  <si>
    <t>sril1244</t>
  </si>
  <si>
    <t>Sri Lanka Tamil</t>
  </si>
  <si>
    <t>sril1245</t>
  </si>
  <si>
    <t>Sri Lanka Malay</t>
  </si>
  <si>
    <t>sci</t>
  </si>
  <si>
    <t>srin1238</t>
  </si>
  <si>
    <t>Srinagaria</t>
  </si>
  <si>
    <t>staf1234</t>
  </si>
  <si>
    <t>Staffordshire English</t>
  </si>
  <si>
    <t>staj1239</t>
  </si>
  <si>
    <t>Stajerski</t>
  </si>
  <si>
    <t>stal1238</t>
  </si>
  <si>
    <t>Stal</t>
  </si>
  <si>
    <t>stan1279</t>
  </si>
  <si>
    <t>Standard Swedish</t>
  </si>
  <si>
    <t>Spanish</t>
  </si>
  <si>
    <t>AD AR BO BR BZ CL CO CR CU DO EC ES FR GI GT GY HN HT MA MX NI PA PE PR PT PY SV US UY VE</t>
  </si>
  <si>
    <t>Catalan</t>
  </si>
  <si>
    <t>cat</t>
  </si>
  <si>
    <t>AD ES FR IT</t>
  </si>
  <si>
    <t>French</t>
  </si>
  <si>
    <t>AD BE CA CH FR GF IT LU MC PM US</t>
  </si>
  <si>
    <t>English</t>
  </si>
  <si>
    <t>AU BM BR BZ CA CK CU DO FK GB GI GP GT GY HN IE KY LR MX NF PN SH SR US VE ZA</t>
  </si>
  <si>
    <t>AT BE CH CZ DE DK FR HU IT LI LU NL PL RO SI SK</t>
  </si>
  <si>
    <t>stan1296</t>
  </si>
  <si>
    <t>Standard Gujarati</t>
  </si>
  <si>
    <t>stan1297</t>
  </si>
  <si>
    <t>Standard Braj of Bulandshahr</t>
  </si>
  <si>
    <t>stan1298</t>
  </si>
  <si>
    <t>Standard Braj of Mathura</t>
  </si>
  <si>
    <t>stan1299</t>
  </si>
  <si>
    <t>Standard Bundeli</t>
  </si>
  <si>
    <t>stan1300</t>
  </si>
  <si>
    <t>Standard Braj of Eastern Agra</t>
  </si>
  <si>
    <t>stan1301</t>
  </si>
  <si>
    <t>Standard Maithili</t>
  </si>
  <si>
    <t>stan1302</t>
  </si>
  <si>
    <t>Standard Assamese</t>
  </si>
  <si>
    <t>stan1303</t>
  </si>
  <si>
    <t>Standard Konkani</t>
  </si>
  <si>
    <t>stan1304</t>
  </si>
  <si>
    <t>Standard Kashmiri</t>
  </si>
  <si>
    <t>stan1305</t>
  </si>
  <si>
    <t>Standard Bambara</t>
  </si>
  <si>
    <t>stan1306</t>
  </si>
  <si>
    <t>Standard Malay</t>
  </si>
  <si>
    <t>zsm</t>
  </si>
  <si>
    <t>BN MY SG</t>
  </si>
  <si>
    <t>stan1307</t>
  </si>
  <si>
    <t>Stang</t>
  </si>
  <si>
    <t>Standard Muna</t>
  </si>
  <si>
    <t>stan1314</t>
  </si>
  <si>
    <t>Standard Hebrew</t>
  </si>
  <si>
    <t>Standard Arabic</t>
  </si>
  <si>
    <t>arb</t>
  </si>
  <si>
    <t>AE BH DJ DZ EG ER IL IQ JO KM KW LB LY MA OM PS QA SA SD SO SY TD TN TZ YE</t>
  </si>
  <si>
    <t>stan1322</t>
  </si>
  <si>
    <t>Standard Maltese</t>
  </si>
  <si>
    <t>stan1323</t>
  </si>
  <si>
    <t>Standard Lebanese Arabic</t>
  </si>
  <si>
    <t>stan1324</t>
  </si>
  <si>
    <t>Standard Moroccan Tamazight</t>
  </si>
  <si>
    <t>zgh</t>
  </si>
  <si>
    <t>stan1325</t>
  </si>
  <si>
    <t>Standard Latvian</t>
  </si>
  <si>
    <t>lvs</t>
  </si>
  <si>
    <t>stan1326</t>
  </si>
  <si>
    <t>Stanoz</t>
  </si>
  <si>
    <t>stba1239</t>
  </si>
  <si>
    <t>St. Barth Creole French</t>
  </si>
  <si>
    <t>stel1238</t>
  </si>
  <si>
    <t>Stellingwerfs</t>
  </si>
  <si>
    <t>stl</t>
  </si>
  <si>
    <t>sten1237</t>
  </si>
  <si>
    <t>Stenggang Jagoi</t>
  </si>
  <si>
    <t>stga1238</t>
  </si>
  <si>
    <t>St. Gallen</t>
  </si>
  <si>
    <t>St George linkage</t>
  </si>
  <si>
    <t>Stieng</t>
  </si>
  <si>
    <t>stin1234</t>
  </si>
  <si>
    <t>Standard Indonesian</t>
  </si>
  <si>
    <t>stlo1234</t>
  </si>
  <si>
    <t>St. Louis English</t>
  </si>
  <si>
    <t>stlo1235</t>
  </si>
  <si>
    <t>St. Louis Corridor English</t>
  </si>
  <si>
    <t>St. Matthias</t>
  </si>
  <si>
    <t>stno1234</t>
  </si>
  <si>
    <t>√òstnorsk</t>
  </si>
  <si>
    <t>stoc1240</t>
  </si>
  <si>
    <t>Stockbridge</t>
  </si>
  <si>
    <t>Stod Bhoti</t>
  </si>
  <si>
    <t>sbu</t>
  </si>
  <si>
    <t>stod1242</t>
  </si>
  <si>
    <t>Stod</t>
  </si>
  <si>
    <t>Stoney</t>
  </si>
  <si>
    <t>sto</t>
  </si>
  <si>
    <t>stra1243</t>
  </si>
  <si>
    <t>Straits Dobel</t>
  </si>
  <si>
    <t>Northern Straits Salish</t>
  </si>
  <si>
    <t>str</t>
  </si>
  <si>
    <t>Straits West Alor</t>
  </si>
  <si>
    <t>Straits Salish</t>
  </si>
  <si>
    <t>stre1234</t>
  </si>
  <si>
    <t>Strelitzsch</t>
  </si>
  <si>
    <t>suaa1241</t>
  </si>
  <si>
    <t>Sua</t>
  </si>
  <si>
    <t>suab1238</t>
  </si>
  <si>
    <t>Suabo</t>
  </si>
  <si>
    <t>szp</t>
  </si>
  <si>
    <t>suaf1237</t>
  </si>
  <si>
    <t>Suafa</t>
  </si>
  <si>
    <t>suar1238</t>
  </si>
  <si>
    <t>Asabano</t>
  </si>
  <si>
    <t>seo</t>
  </si>
  <si>
    <t>Suau</t>
  </si>
  <si>
    <t>swp</t>
  </si>
  <si>
    <t>Suauic</t>
  </si>
  <si>
    <t>Suau chain</t>
  </si>
  <si>
    <t>suba1238</t>
  </si>
  <si>
    <t>Suba</t>
  </si>
  <si>
    <t>sxb</t>
  </si>
  <si>
    <t>suba1252</t>
  </si>
  <si>
    <t>Suba-Simbiti</t>
  </si>
  <si>
    <t>ssc</t>
  </si>
  <si>
    <t>Subanen</t>
  </si>
  <si>
    <t>suba1254</t>
  </si>
  <si>
    <t>Suba (Retired)</t>
  </si>
  <si>
    <t>suh</t>
  </si>
  <si>
    <t>Subansiri</t>
  </si>
  <si>
    <t>subb1238</t>
  </si>
  <si>
    <t>Sub-Barbaricino</t>
  </si>
  <si>
    <t>Subcontinental Central Indo-Aryan</t>
  </si>
  <si>
    <t>Tupi-Guarani Subgroup V</t>
  </si>
  <si>
    <t>subi1246</t>
  </si>
  <si>
    <t>Subiya</t>
  </si>
  <si>
    <t>sbs</t>
  </si>
  <si>
    <t>subi1247</t>
  </si>
  <si>
    <t>Subi</t>
  </si>
  <si>
    <t>xsj</t>
  </si>
  <si>
    <t>subp1237</t>
  </si>
  <si>
    <t>Subpan</t>
  </si>
  <si>
    <t>Subtiaba-Tlapanec</t>
  </si>
  <si>
    <t>subt1250</t>
  </si>
  <si>
    <t>Subtiaba</t>
  </si>
  <si>
    <t>sut</t>
  </si>
  <si>
    <t>sucr1238</t>
  </si>
  <si>
    <t>Sucre</t>
  </si>
  <si>
    <t>Sudanese-Chadian Arabic</t>
  </si>
  <si>
    <t>Sudanese Arabic</t>
  </si>
  <si>
    <t>apd</t>
  </si>
  <si>
    <t>CF EG ER ET LY SD TD</t>
  </si>
  <si>
    <t>suda1237</t>
  </si>
  <si>
    <t>Sudanese Creole Arabic</t>
  </si>
  <si>
    <t>pga</t>
  </si>
  <si>
    <t>Sudest</t>
  </si>
  <si>
    <t>tgo</t>
  </si>
  <si>
    <t>sudh1238</t>
  </si>
  <si>
    <t>S√∫dhoeksk</t>
  </si>
  <si>
    <t>sudh1239</t>
  </si>
  <si>
    <t>S√ºdhessisch</t>
  </si>
  <si>
    <t>sudm1234</t>
  </si>
  <si>
    <t>S√ºdm√§rkisch</t>
  </si>
  <si>
    <t>sudm1235</t>
  </si>
  <si>
    <t>S√ºdmeissnisch</t>
  </si>
  <si>
    <t>sudn1234</t>
  </si>
  <si>
    <t>S√ºdniederfr√§nkisch</t>
  </si>
  <si>
    <t>sudo1234</t>
  </si>
  <si>
    <t>S√ºdostschlesische</t>
  </si>
  <si>
    <t>sudo1235</t>
  </si>
  <si>
    <t>S√ºdost-Limburgisch</t>
  </si>
  <si>
    <t>sudr1234</t>
  </si>
  <si>
    <t>S√ºdreinfr√§nkisch</t>
  </si>
  <si>
    <t>sudw1234</t>
  </si>
  <si>
    <t>S√ºdwestfalisch</t>
  </si>
  <si>
    <t>suen1241</t>
  </si>
  <si>
    <t>Suena</t>
  </si>
  <si>
    <t>sue</t>
  </si>
  <si>
    <t>suga1248</t>
  </si>
  <si>
    <t>Nizaa</t>
  </si>
  <si>
    <t>sgi</t>
  </si>
  <si>
    <t>suga1249</t>
  </si>
  <si>
    <t>Suganga</t>
  </si>
  <si>
    <t>sug</t>
  </si>
  <si>
    <t>sugu1242</t>
  </si>
  <si>
    <t>Sugurti</t>
  </si>
  <si>
    <t>sugu1243</t>
  </si>
  <si>
    <t>Sugut Dusun</t>
  </si>
  <si>
    <t>kzs</t>
  </si>
  <si>
    <t>Sugut Kadazan</t>
  </si>
  <si>
    <t>Suguti</t>
  </si>
  <si>
    <t>suha1237</t>
  </si>
  <si>
    <t>Suhaid</t>
  </si>
  <si>
    <t>Su-Hu-Jia</t>
  </si>
  <si>
    <t>suie1241</t>
  </si>
  <si>
    <t>Suiei (Okiek)</t>
  </si>
  <si>
    <t>suie1242</t>
  </si>
  <si>
    <t>Suiei</t>
  </si>
  <si>
    <t>Sui</t>
  </si>
  <si>
    <t>swi</t>
  </si>
  <si>
    <t>suii1244</t>
  </si>
  <si>
    <t>Sui (Papua New Guinea)</t>
  </si>
  <si>
    <t>suit1237</t>
  </si>
  <si>
    <t>Suit</t>
  </si>
  <si>
    <t>suka1243</t>
  </si>
  <si>
    <t>Sukamara</t>
  </si>
  <si>
    <t>suka1244</t>
  </si>
  <si>
    <t>Sukaraja</t>
  </si>
  <si>
    <t>suka1245</t>
  </si>
  <si>
    <t>Sukang</t>
  </si>
  <si>
    <t>Suki-Gogodala</t>
  </si>
  <si>
    <t>suki1245</t>
  </si>
  <si>
    <t>Suki</t>
  </si>
  <si>
    <t>sui</t>
  </si>
  <si>
    <t>sukm1237</t>
  </si>
  <si>
    <t>Sukma</t>
  </si>
  <si>
    <t>suku1258</t>
  </si>
  <si>
    <t>Sukurase</t>
  </si>
  <si>
    <t>suku1259</t>
  </si>
  <si>
    <t>Suku</t>
  </si>
  <si>
    <t>sub</t>
  </si>
  <si>
    <t>Sukuma</t>
  </si>
  <si>
    <t>suk</t>
  </si>
  <si>
    <t>suku1262</t>
  </si>
  <si>
    <t>Sukuuma</t>
  </si>
  <si>
    <t>suku1263</t>
  </si>
  <si>
    <t>Suku Batin</t>
  </si>
  <si>
    <t>suku1264</t>
  </si>
  <si>
    <t>Sukurum</t>
  </si>
  <si>
    <t>zsu</t>
  </si>
  <si>
    <t>suku1272</t>
  </si>
  <si>
    <t>Sukur</t>
  </si>
  <si>
    <t>syk</t>
  </si>
  <si>
    <t>Sukuma-Nyamwezi (F.20)</t>
  </si>
  <si>
    <t>sukw1242</t>
  </si>
  <si>
    <t>Sukwa</t>
  </si>
  <si>
    <t>Sula</t>
  </si>
  <si>
    <t>szn</t>
  </si>
  <si>
    <t>sula1246</t>
  </si>
  <si>
    <t>Sulamu</t>
  </si>
  <si>
    <t>Sula-Buru</t>
  </si>
  <si>
    <t>Sulaic</t>
  </si>
  <si>
    <t>sulc1238</t>
  </si>
  <si>
    <t>Sulcitano</t>
  </si>
  <si>
    <t>sule1239</t>
  </si>
  <si>
    <t>Suleimani</t>
  </si>
  <si>
    <t>sule1243</t>
  </si>
  <si>
    <t>Suleimaniya</t>
  </si>
  <si>
    <t>suli1238</t>
  </si>
  <si>
    <t>Sulima</t>
  </si>
  <si>
    <t>sulk1246</t>
  </si>
  <si>
    <t>Sulka</t>
  </si>
  <si>
    <t>sua</t>
  </si>
  <si>
    <t>sulm1237</t>
  </si>
  <si>
    <t>watu1247</t>
  </si>
  <si>
    <t>Sulmelang</t>
  </si>
  <si>
    <t>sulo1237</t>
  </si>
  <si>
    <t>Sulod</t>
  </si>
  <si>
    <t>srg</t>
  </si>
  <si>
    <t>Eastern Puroik</t>
  </si>
  <si>
    <t>suv</t>
  </si>
  <si>
    <t>Sulu-Borneo</t>
  </si>
  <si>
    <t>suma1264</t>
  </si>
  <si>
    <t>Suma</t>
  </si>
  <si>
    <t>sqm</t>
  </si>
  <si>
    <t>suma1265</t>
  </si>
  <si>
    <t>Sumadel</t>
  </si>
  <si>
    <t>suma1266</t>
  </si>
  <si>
    <t>Sumambu</t>
  </si>
  <si>
    <t>suma1267</t>
  </si>
  <si>
    <t>Sumare-Rangas</t>
  </si>
  <si>
    <t>suma1268</t>
  </si>
  <si>
    <t>Sumang</t>
  </si>
  <si>
    <t>suma1269</t>
  </si>
  <si>
    <t>Sumariup</t>
  </si>
  <si>
    <t>siv</t>
  </si>
  <si>
    <t>suma1270</t>
  </si>
  <si>
    <t>Sumau</t>
  </si>
  <si>
    <t>six</t>
  </si>
  <si>
    <t>Sumalpan</t>
  </si>
  <si>
    <t>suma1273</t>
  </si>
  <si>
    <t>Sumambu-Tagal</t>
  </si>
  <si>
    <t>suma1274</t>
  </si>
  <si>
    <t>womo1238</t>
  </si>
  <si>
    <t>Sumararu</t>
  </si>
  <si>
    <t>suma1275</t>
  </si>
  <si>
    <t>≈†umadija-Vojvodina</t>
  </si>
  <si>
    <t>sumb1240</t>
  </si>
  <si>
    <t>Sumbwa</t>
  </si>
  <si>
    <t>suw</t>
  </si>
  <si>
    <t>sumb1241</t>
  </si>
  <si>
    <t>Sumbawa</t>
  </si>
  <si>
    <t>smw</t>
  </si>
  <si>
    <t>Sumba-Hawu</t>
  </si>
  <si>
    <t>Sumba</t>
  </si>
  <si>
    <t>sume1240</t>
  </si>
  <si>
    <t>Sumer</t>
  </si>
  <si>
    <t>sume1241</t>
  </si>
  <si>
    <t>Sumerian</t>
  </si>
  <si>
    <t>sux</t>
  </si>
  <si>
    <t>sume1242</t>
  </si>
  <si>
    <t>Sumenep</t>
  </si>
  <si>
    <t>Sumi Naga</t>
  </si>
  <si>
    <t>nsm</t>
  </si>
  <si>
    <t>summ1239</t>
  </si>
  <si>
    <t>Sum</t>
  </si>
  <si>
    <t>sumo1242</t>
  </si>
  <si>
    <t>Sumoun</t>
  </si>
  <si>
    <t>sumt1234</t>
  </si>
  <si>
    <t>Sumtu Chin</t>
  </si>
  <si>
    <t>csv</t>
  </si>
  <si>
    <t>Sumuic</t>
  </si>
  <si>
    <t>sum</t>
  </si>
  <si>
    <t>suna1241</t>
  </si>
  <si>
    <t>Sunam</t>
  </si>
  <si>
    <t>ssk</t>
  </si>
  <si>
    <t>sund1250</t>
  </si>
  <si>
    <t>Sundi</t>
  </si>
  <si>
    <t>Sundanese-Badui</t>
  </si>
  <si>
    <t>Sundanese</t>
  </si>
  <si>
    <t>sun</t>
  </si>
  <si>
    <t>sund1253</t>
  </si>
  <si>
    <t>Sundei</t>
  </si>
  <si>
    <t>sung1266</t>
  </si>
  <si>
    <t>Sungai Piah</t>
  </si>
  <si>
    <t>sung1267</t>
  </si>
  <si>
    <t>Sungkai</t>
  </si>
  <si>
    <t>sung1268</t>
  </si>
  <si>
    <t>Sungdel</t>
  </si>
  <si>
    <t>sung1269</t>
  </si>
  <si>
    <t>Sunggari</t>
  </si>
  <si>
    <t>sung1270</t>
  </si>
  <si>
    <t>Sungor</t>
  </si>
  <si>
    <t>sung1271</t>
  </si>
  <si>
    <t>Sungkai (Indonesia)</t>
  </si>
  <si>
    <t>suu</t>
  </si>
  <si>
    <t>Sunni Beiruti Arabic</t>
  </si>
  <si>
    <t>suns1241</t>
  </si>
  <si>
    <t>Sunsari (Nepal)</t>
  </si>
  <si>
    <t>suns1242</t>
  </si>
  <si>
    <t>Sunsari</t>
  </si>
  <si>
    <t>sunu1238</t>
  </si>
  <si>
    <t>Maberem</t>
  </si>
  <si>
    <t>sunw1242</t>
  </si>
  <si>
    <t>Sunwar</t>
  </si>
  <si>
    <t>suz</t>
  </si>
  <si>
    <t>suob1234</t>
  </si>
  <si>
    <t>Suobendi</t>
  </si>
  <si>
    <t>suon1238</t>
  </si>
  <si>
    <t>Suonanba</t>
  </si>
  <si>
    <t>suoo1238</t>
  </si>
  <si>
    <t>Su√µ√µ</t>
  </si>
  <si>
    <t>suoy1242</t>
  </si>
  <si>
    <t>Suoy</t>
  </si>
  <si>
    <t>syo</t>
  </si>
  <si>
    <t>supa1245</t>
  </si>
  <si>
    <t>Supana</t>
  </si>
  <si>
    <t>supa1246</t>
  </si>
  <si>
    <t>Supat</t>
  </si>
  <si>
    <t>supa1247</t>
  </si>
  <si>
    <t>Supari</t>
  </si>
  <si>
    <t>suph1238</t>
  </si>
  <si>
    <t>Suphanburi</t>
  </si>
  <si>
    <t>supy1237</t>
  </si>
  <si>
    <t>Supyire Senoufo</t>
  </si>
  <si>
    <t>spp</t>
  </si>
  <si>
    <t>Supyiric</t>
  </si>
  <si>
    <t>suqu1238</t>
  </si>
  <si>
    <t>Suquh</t>
  </si>
  <si>
    <t>sura1244</t>
  </si>
  <si>
    <t>Surakhani</t>
  </si>
  <si>
    <t>sura1245</t>
  </si>
  <si>
    <t>Surabaya</t>
  </si>
  <si>
    <t>surb1238</t>
  </si>
  <si>
    <t>Surbakhal</t>
  </si>
  <si>
    <t>sbj</t>
  </si>
  <si>
    <t>surc1239</t>
  </si>
  <si>
    <t>Surchi</t>
  </si>
  <si>
    <t>sure1238</t>
  </si>
  <si>
    <t>Surel</t>
  </si>
  <si>
    <t>surg1246</t>
  </si>
  <si>
    <t>Surgujia</t>
  </si>
  <si>
    <t>sgj</t>
  </si>
  <si>
    <t>surg1247</t>
  </si>
  <si>
    <t>Surguch</t>
  </si>
  <si>
    <t>Surgut Khanty</t>
  </si>
  <si>
    <t>suri1265</t>
  </si>
  <si>
    <t>Surin</t>
  </si>
  <si>
    <t>Tirma-Chai-Mursi</t>
  </si>
  <si>
    <t>Tirma-Chai</t>
  </si>
  <si>
    <t>suq</t>
  </si>
  <si>
    <t>suri1268</t>
  </si>
  <si>
    <t>Suri (Kacipo-Balesi)</t>
  </si>
  <si>
    <t>suri1270</t>
  </si>
  <si>
    <t>Surigao Manobo</t>
  </si>
  <si>
    <t>suri1271</t>
  </si>
  <si>
    <t>Suri (Papua New Guinea)</t>
  </si>
  <si>
    <t>Ndyuka</t>
  </si>
  <si>
    <t>suri1274</t>
  </si>
  <si>
    <t>Surigaonon</t>
  </si>
  <si>
    <t>sgd</t>
  </si>
  <si>
    <t>Surigao</t>
  </si>
  <si>
    <t>sul</t>
  </si>
  <si>
    <t>Surinamese Creole English</t>
  </si>
  <si>
    <t>surj1235</t>
  </si>
  <si>
    <t>Surjapuri</t>
  </si>
  <si>
    <t>sjp</t>
  </si>
  <si>
    <t>surk1238</t>
  </si>
  <si>
    <t>Surkhet</t>
  </si>
  <si>
    <t>surm1243</t>
  </si>
  <si>
    <t>Surmiran-Albula</t>
  </si>
  <si>
    <t>Surmic</t>
  </si>
  <si>
    <t>surr1238</t>
  </si>
  <si>
    <t>Sur</t>
  </si>
  <si>
    <t>tdl</t>
  </si>
  <si>
    <t>surs1244</t>
  </si>
  <si>
    <t>Sursilvan</t>
  </si>
  <si>
    <t>surs1245</t>
  </si>
  <si>
    <t>Sursilvan-Oberland</t>
  </si>
  <si>
    <t>surs1246</t>
  </si>
  <si>
    <t>Sursurunga</t>
  </si>
  <si>
    <t>sgz</t>
  </si>
  <si>
    <t>suru1257</t>
  </si>
  <si>
    <t>Suruviri</t>
  </si>
  <si>
    <t>suru1258</t>
  </si>
  <si>
    <t>Vori</t>
  </si>
  <si>
    <t>sde</t>
  </si>
  <si>
    <t>suru1259</t>
  </si>
  <si>
    <t>Suru-Marani</t>
  </si>
  <si>
    <t>suru1260</t>
  </si>
  <si>
    <t>Suru-Bo</t>
  </si>
  <si>
    <t>suru1261</t>
  </si>
  <si>
    <t>Suru√≠ Do Par√°</t>
  </si>
  <si>
    <t>mdz</t>
  </si>
  <si>
    <t>suru1262</t>
  </si>
  <si>
    <t>Suru√≠</t>
  </si>
  <si>
    <t>sru</t>
  </si>
  <si>
    <t>suru1263</t>
  </si>
  <si>
    <t>Suruah√°</t>
  </si>
  <si>
    <t>swx</t>
  </si>
  <si>
    <t>sury1234</t>
  </si>
  <si>
    <t>Suryskarer Khanty</t>
  </si>
  <si>
    <t>susi1238</t>
  </si>
  <si>
    <t>tach1250</t>
  </si>
  <si>
    <t>Susiua</t>
  </si>
  <si>
    <t>susq1241</t>
  </si>
  <si>
    <t>Susquehannock</t>
  </si>
  <si>
    <t>sqn</t>
  </si>
  <si>
    <t>suss1239</t>
  </si>
  <si>
    <t>susu1249</t>
  </si>
  <si>
    <t>Susu-Yalunka</t>
  </si>
  <si>
    <t>susu1250</t>
  </si>
  <si>
    <t>Susu</t>
  </si>
  <si>
    <t>sus</t>
  </si>
  <si>
    <t>GN GW SL SN</t>
  </si>
  <si>
    <t>susu1251</t>
  </si>
  <si>
    <t>Susuami</t>
  </si>
  <si>
    <t>ssu</t>
  </si>
  <si>
    <t>suti1238</t>
  </si>
  <si>
    <t>Suti</t>
  </si>
  <si>
    <t>sutn1238</t>
  </si>
  <si>
    <t>Sutnga</t>
  </si>
  <si>
    <t>Sutsilvan</t>
  </si>
  <si>
    <t>suun1239</t>
  </si>
  <si>
    <t>Suundi</t>
  </si>
  <si>
    <t>sdj</t>
  </si>
  <si>
    <t>suva1238</t>
  </si>
  <si>
    <t>Suvalkietiskai</t>
  </si>
  <si>
    <t>suwa1240</t>
  </si>
  <si>
    <t>Suwa</t>
  </si>
  <si>
    <t>Suwawa</t>
  </si>
  <si>
    <t>swu</t>
  </si>
  <si>
    <t>Suy√°</t>
  </si>
  <si>
    <t>suzh1234</t>
  </si>
  <si>
    <t>Suzhou</t>
  </si>
  <si>
    <t>Svan</t>
  </si>
  <si>
    <t>sva</t>
  </si>
  <si>
    <t>svea1239</t>
  </si>
  <si>
    <t>Sveam√•l</t>
  </si>
  <si>
    <t>Swabian</t>
  </si>
  <si>
    <t>swg</t>
  </si>
  <si>
    <t>swab1243</t>
  </si>
  <si>
    <t>Swabou</t>
  </si>
  <si>
    <t>swag1238</t>
  </si>
  <si>
    <t>Swaga</t>
  </si>
  <si>
    <t>Swahili</t>
  </si>
  <si>
    <t>swh</t>
  </si>
  <si>
    <t>BI KE MZ RW SO TZ UG</t>
  </si>
  <si>
    <t>Swahili (G.40)</t>
  </si>
  <si>
    <t>Swahili-based pidgin</t>
  </si>
  <si>
    <t>Swampy Cree</t>
  </si>
  <si>
    <t>csw</t>
  </si>
  <si>
    <t>swat1242</t>
  </si>
  <si>
    <t>Swat Khowar</t>
  </si>
  <si>
    <t>Swati</t>
  </si>
  <si>
    <t>LS MZ SZ ZA</t>
  </si>
  <si>
    <t>swed1236</t>
  </si>
  <si>
    <t>Swedish Sign Language</t>
  </si>
  <si>
    <t>swl</t>
  </si>
  <si>
    <t>Swedish</t>
  </si>
  <si>
    <t>DK FI NO SE</t>
  </si>
  <si>
    <t>Swedish-based pidgin</t>
  </si>
  <si>
    <t>Swedish Sign</t>
  </si>
  <si>
    <t>swet1238</t>
  </si>
  <si>
    <t>Sweta</t>
  </si>
  <si>
    <t>swis1235</t>
  </si>
  <si>
    <t>Swiss-Italian Sign Language</t>
  </si>
  <si>
    <t>slf</t>
  </si>
  <si>
    <t>CH</t>
  </si>
  <si>
    <t>swis1240</t>
  </si>
  <si>
    <t>Swiss-German Sign Language</t>
  </si>
  <si>
    <t>sgg</t>
  </si>
  <si>
    <t>swis1241</t>
  </si>
  <si>
    <t>Swiss-French Sign Language</t>
  </si>
  <si>
    <t>ssr</t>
  </si>
  <si>
    <t>Central Alemannic</t>
  </si>
  <si>
    <t>gsw</t>
  </si>
  <si>
    <t>AT CH DE FR IT LI</t>
  </si>
  <si>
    <t>syaa1239</t>
  </si>
  <si>
    <t>Sya</t>
  </si>
  <si>
    <t>syab1238</t>
  </si>
  <si>
    <t>Syab√©r√©</t>
  </si>
  <si>
    <t>syan1241</t>
  </si>
  <si>
    <t>Syang</t>
  </si>
  <si>
    <t>syan1242</t>
  </si>
  <si>
    <t>Syan</t>
  </si>
  <si>
    <t>Sydney-Hawkesbury</t>
  </si>
  <si>
    <t>sydn1236</t>
  </si>
  <si>
    <t>Sydney</t>
  </si>
  <si>
    <t>xdk</t>
  </si>
  <si>
    <t>syen1235</t>
  </si>
  <si>
    <t>Syenara Senoufo</t>
  </si>
  <si>
    <t>shz</t>
  </si>
  <si>
    <t>syer1236</t>
  </si>
  <si>
    <t>west2466</t>
  </si>
  <si>
    <t>Syer</t>
  </si>
  <si>
    <t>sygv1234</t>
  </si>
  <si>
    <t>Sygva Mansi</t>
  </si>
  <si>
    <t>sylh1242</t>
  </si>
  <si>
    <t>Sylheti</t>
  </si>
  <si>
    <t>syl</t>
  </si>
  <si>
    <t>syol1234</t>
  </si>
  <si>
    <t>Syolyoz</t>
  </si>
  <si>
    <t>syri1241</t>
  </si>
  <si>
    <t>Kessab-Latakia-Jisr-al-Shughur</t>
  </si>
  <si>
    <t>syri1242</t>
  </si>
  <si>
    <t>Syriem</t>
  </si>
  <si>
    <t>syri1244</t>
  </si>
  <si>
    <t>Syrian Turkmen Turkish</t>
  </si>
  <si>
    <t>szeg1238</t>
  </si>
  <si>
    <t>Szeged</t>
  </si>
  <si>
    <t>szek1241</t>
  </si>
  <si>
    <t>Sz√©kely</t>
  </si>
  <si>
    <t>Taa</t>
  </si>
  <si>
    <t>taaa1243</t>
  </si>
  <si>
    <t>Taa (Indonesia)</t>
  </si>
  <si>
    <t>Taabwa</t>
  </si>
  <si>
    <t>tap</t>
  </si>
  <si>
    <t>taai1237</t>
  </si>
  <si>
    <t>Taai</t>
  </si>
  <si>
    <t>taam1237</t>
  </si>
  <si>
    <t>Ta'am</t>
  </si>
  <si>
    <t>taan1239</t>
  </si>
  <si>
    <t>Taan</t>
  </si>
  <si>
    <t>Tabasaran</t>
  </si>
  <si>
    <t>tab</t>
  </si>
  <si>
    <t>AZ KZ RU</t>
  </si>
  <si>
    <t>taba1261</t>
  </si>
  <si>
    <t>Big Tabar</t>
  </si>
  <si>
    <t>taba1262</t>
  </si>
  <si>
    <t>Tabare</t>
  </si>
  <si>
    <t>Tabaru</t>
  </si>
  <si>
    <t>tby</t>
  </si>
  <si>
    <t>taba1264</t>
  </si>
  <si>
    <t>Tabasco Zoque</t>
  </si>
  <si>
    <t>zoq</t>
  </si>
  <si>
    <t>taba1265</t>
  </si>
  <si>
    <t>Tabasco Nahuatl</t>
  </si>
  <si>
    <t>nhc</t>
  </si>
  <si>
    <t>Tabasco Chontal</t>
  </si>
  <si>
    <t>chf</t>
  </si>
  <si>
    <t>taba1267</t>
  </si>
  <si>
    <t>Tabajari</t>
  </si>
  <si>
    <t>taba1268</t>
  </si>
  <si>
    <t>Tabaa Zapotec</t>
  </si>
  <si>
    <t>zat</t>
  </si>
  <si>
    <t>taba1269</t>
  </si>
  <si>
    <t>Tabancal</t>
  </si>
  <si>
    <t>Tabar linkage</t>
  </si>
  <si>
    <t>taba1271</t>
  </si>
  <si>
    <t>Tabaiara-Tobajara</t>
  </si>
  <si>
    <t>tabe1238</t>
  </si>
  <si>
    <t>zoog1238</t>
  </si>
  <si>
    <t>Tabehua</t>
  </si>
  <si>
    <t>tabl1242</t>
  </si>
  <si>
    <t>Tableng</t>
  </si>
  <si>
    <t>tabl1243</t>
  </si>
  <si>
    <t>Tabla</t>
  </si>
  <si>
    <t>tnm</t>
  </si>
  <si>
    <t>tabo1240</t>
  </si>
  <si>
    <t>Taboro</t>
  </si>
  <si>
    <t>Tabo</t>
  </si>
  <si>
    <t>knv</t>
  </si>
  <si>
    <t>tabr1242</t>
  </si>
  <si>
    <t>Tabriz</t>
  </si>
  <si>
    <t>tabr1243</t>
  </si>
  <si>
    <t>Tabriak</t>
  </si>
  <si>
    <t>tzx</t>
  </si>
  <si>
    <t>tabu1242</t>
  </si>
  <si>
    <t>Tabu</t>
  </si>
  <si>
    <t>tabu1243</t>
  </si>
  <si>
    <t>Tabulahan</t>
  </si>
  <si>
    <t>Tacanan</t>
  </si>
  <si>
    <t>taca1256</t>
  </si>
  <si>
    <t>Tacana</t>
  </si>
  <si>
    <t>tna</t>
  </si>
  <si>
    <t>taca1257</t>
  </si>
  <si>
    <t>Tacahua-Yolotepec Mixtec</t>
  </si>
  <si>
    <t>xtt</t>
  </si>
  <si>
    <t>taca1258</t>
  </si>
  <si>
    <t>Tacanec</t>
  </si>
  <si>
    <t>mtz</t>
  </si>
  <si>
    <t>tach1241</t>
  </si>
  <si>
    <t>Tachoni (Bukusu)</t>
  </si>
  <si>
    <t>tach1242</t>
  </si>
  <si>
    <t>Tachoni</t>
  </si>
  <si>
    <t>lts</t>
  </si>
  <si>
    <t>tach1249</t>
  </si>
  <si>
    <t>Chaouia of the Aures</t>
  </si>
  <si>
    <t>shy</t>
  </si>
  <si>
    <t>DZ TN</t>
  </si>
  <si>
    <t>Tachelhit</t>
  </si>
  <si>
    <t>shi</t>
  </si>
  <si>
    <t>tacu1234</t>
  </si>
  <si>
    <t>unun9936</t>
  </si>
  <si>
    <t>Tacunyape</t>
  </si>
  <si>
    <t>tada1238</t>
  </si>
  <si>
    <t>Tadaksahak</t>
  </si>
  <si>
    <t>dsq</t>
  </si>
  <si>
    <t>DZ ML</t>
  </si>
  <si>
    <t>tadg1238</t>
  </si>
  <si>
    <t>Tadghaq</t>
  </si>
  <si>
    <t>tadh1238</t>
  </si>
  <si>
    <t>Tadha</t>
  </si>
  <si>
    <t>tadh1242</t>
  </si>
  <si>
    <t>Tadhaq</t>
  </si>
  <si>
    <t>tado1245</t>
  </si>
  <si>
    <t>Tado (Benin)</t>
  </si>
  <si>
    <t>tado1246</t>
  </si>
  <si>
    <t>Tado</t>
  </si>
  <si>
    <t>tado1247</t>
  </si>
  <si>
    <t>Tado (Ledo Kaili)</t>
  </si>
  <si>
    <t>tady1237</t>
  </si>
  <si>
    <t>Tadyawan</t>
  </si>
  <si>
    <t>tdy</t>
  </si>
  <si>
    <t>Tae'</t>
  </si>
  <si>
    <t>rob</t>
  </si>
  <si>
    <t>taem1237</t>
  </si>
  <si>
    <t>tami1290</t>
  </si>
  <si>
    <t>Taemi</t>
  </si>
  <si>
    <t>taen1234</t>
  </si>
  <si>
    <t>Taensa</t>
  </si>
  <si>
    <t>tafi1243</t>
  </si>
  <si>
    <t>Tafi</t>
  </si>
  <si>
    <t>tcd</t>
  </si>
  <si>
    <t>tafi1244</t>
  </si>
  <si>
    <t>Tafire</t>
  </si>
  <si>
    <t>tafo1238</t>
  </si>
  <si>
    <t>Tafota Baruga</t>
  </si>
  <si>
    <t>tafr1239</t>
  </si>
  <si>
    <t>Tafresh</t>
  </si>
  <si>
    <t>tafw1239</t>
  </si>
  <si>
    <t>Tafwap</t>
  </si>
  <si>
    <t>taga1264</t>
  </si>
  <si>
    <t>Tagaur</t>
  </si>
  <si>
    <t>taga1265</t>
  </si>
  <si>
    <t>Tagau</t>
  </si>
  <si>
    <t>taga1266</t>
  </si>
  <si>
    <t>Tagara</t>
  </si>
  <si>
    <t>taga1267</t>
  </si>
  <si>
    <t>Tagalisa</t>
  </si>
  <si>
    <t>taga1268</t>
  </si>
  <si>
    <t>Tagakaulu Kalagan</t>
  </si>
  <si>
    <t>klg</t>
  </si>
  <si>
    <t>Tagalog-Filipino</t>
  </si>
  <si>
    <t>Tagalog</t>
  </si>
  <si>
    <t>tgl</t>
  </si>
  <si>
    <t>taga1271</t>
  </si>
  <si>
    <t>Tagakawanan</t>
  </si>
  <si>
    <t>taga1272</t>
  </si>
  <si>
    <t>Tagabawa</t>
  </si>
  <si>
    <t>bgs</t>
  </si>
  <si>
    <t>Tagal Murut</t>
  </si>
  <si>
    <t>mvv</t>
  </si>
  <si>
    <t>taga1274</t>
  </si>
  <si>
    <t>Tagal</t>
  </si>
  <si>
    <t>Ouargli</t>
  </si>
  <si>
    <t>oua</t>
  </si>
  <si>
    <t>taga1279</t>
  </si>
  <si>
    <t>Tagalaka</t>
  </si>
  <si>
    <t>tgz</t>
  </si>
  <si>
    <t>Tagalogic</t>
  </si>
  <si>
    <t>tagb1255</t>
  </si>
  <si>
    <t>Tagbu</t>
  </si>
  <si>
    <t>tbm</t>
  </si>
  <si>
    <t>tagb1256</t>
  </si>
  <si>
    <t>Tagbari</t>
  </si>
  <si>
    <t>tagb1257</t>
  </si>
  <si>
    <t>Tagboussikan</t>
  </si>
  <si>
    <t>tagb1258</t>
  </si>
  <si>
    <t>Tagbanwa</t>
  </si>
  <si>
    <t>tbw</t>
  </si>
  <si>
    <t>Tagdal</t>
  </si>
  <si>
    <t>tda</t>
  </si>
  <si>
    <t>tagi1240</t>
  </si>
  <si>
    <t>Tagish</t>
  </si>
  <si>
    <t>tgx</t>
  </si>
  <si>
    <t>tagi1241</t>
  </si>
  <si>
    <t>Tagin</t>
  </si>
  <si>
    <t>tgj</t>
  </si>
  <si>
    <t>Tagoi</t>
  </si>
  <si>
    <t>tag</t>
  </si>
  <si>
    <t>tago1247</t>
  </si>
  <si>
    <t>Tagota</t>
  </si>
  <si>
    <t>Tagwana Senoufo</t>
  </si>
  <si>
    <t>tgw</t>
  </si>
  <si>
    <t>taha1240</t>
  </si>
  <si>
    <t>Tahamba</t>
  </si>
  <si>
    <t>Tahaggart Tamahaq</t>
  </si>
  <si>
    <t>DZ LY ML NE</t>
  </si>
  <si>
    <t>tahi1242</t>
  </si>
  <si>
    <t>Tahitian</t>
  </si>
  <si>
    <t>tah</t>
  </si>
  <si>
    <t>Tahitian-based pidgin</t>
  </si>
  <si>
    <t>Tahitian-Austral</t>
  </si>
  <si>
    <t>Tahltan-Kaska</t>
  </si>
  <si>
    <t>tahl1239</t>
  </si>
  <si>
    <t>Tahltan</t>
  </si>
  <si>
    <t>tht</t>
  </si>
  <si>
    <t>tahu1239</t>
  </si>
  <si>
    <t>Tahuta</t>
  </si>
  <si>
    <t>taia1239</t>
  </si>
  <si>
    <t>Taiap</t>
  </si>
  <si>
    <t>gpn</t>
  </si>
  <si>
    <t>taib1240</t>
  </si>
  <si>
    <t>Taibei Mandarin</t>
  </si>
  <si>
    <t>taib1241</t>
  </si>
  <si>
    <t>Tai Boko</t>
  </si>
  <si>
    <t>taib1242</t>
  </si>
  <si>
    <t>Taibei Hokkien</t>
  </si>
  <si>
    <t>taid1247</t>
  </si>
  <si>
    <t>Tai Dam</t>
  </si>
  <si>
    <t>blt</t>
  </si>
  <si>
    <t>taim1254</t>
  </si>
  <si>
    <t>Tai Do-Mene-Yo</t>
  </si>
  <si>
    <t>tyj</t>
  </si>
  <si>
    <t>taid1249</t>
  </si>
  <si>
    <t>Tai Daeng</t>
  </si>
  <si>
    <t>tyr</t>
  </si>
  <si>
    <t>taid1250</t>
  </si>
  <si>
    <t>Tai D√≥n</t>
  </si>
  <si>
    <t>twh</t>
  </si>
  <si>
    <t>taid1252</t>
  </si>
  <si>
    <t>Tai Do</t>
  </si>
  <si>
    <t>taig1245</t>
  </si>
  <si>
    <t>Taigi</t>
  </si>
  <si>
    <t>taig1246</t>
  </si>
  <si>
    <t>Taigao</t>
  </si>
  <si>
    <t>Taihu</t>
  </si>
  <si>
    <t>taih1245</t>
  </si>
  <si>
    <t>Tai Pao (Retired)</t>
  </si>
  <si>
    <t>thc</t>
  </si>
  <si>
    <t>taih1246</t>
  </si>
  <si>
    <t>unun9896</t>
  </si>
  <si>
    <t>Tai Hongjin</t>
  </si>
  <si>
    <t>tiz</t>
  </si>
  <si>
    <t>taii1241</t>
  </si>
  <si>
    <t>Tai</t>
  </si>
  <si>
    <t>taw</t>
  </si>
  <si>
    <t>Tai-Kana</t>
  </si>
  <si>
    <t>taik1253</t>
  </si>
  <si>
    <t>Taikaku</t>
  </si>
  <si>
    <t>Taikat-Awyi</t>
  </si>
  <si>
    <t>taik1255</t>
  </si>
  <si>
    <t>Taikat</t>
  </si>
  <si>
    <t>aos</t>
  </si>
  <si>
    <t>Tai-Kadai</t>
  </si>
  <si>
    <t>Muak</t>
  </si>
  <si>
    <t>tlq</t>
  </si>
  <si>
    <t>tail1247</t>
  </si>
  <si>
    <t>Tai Long</t>
  </si>
  <si>
    <t>thi</t>
  </si>
  <si>
    <t>tail1248</t>
  </si>
  <si>
    <t>Tai Laing</t>
  </si>
  <si>
    <t>tjl</t>
  </si>
  <si>
    <t>taim1248</t>
  </si>
  <si>
    <t>Taimuri</t>
  </si>
  <si>
    <t>taim1249</t>
  </si>
  <si>
    <t>Taimani</t>
  </si>
  <si>
    <t>taim1250</t>
  </si>
  <si>
    <t>Tai M√®ne</t>
  </si>
  <si>
    <t>tmp</t>
  </si>
  <si>
    <t>taim1251</t>
  </si>
  <si>
    <t>Tai Mao</t>
  </si>
  <si>
    <t>taim1252</t>
  </si>
  <si>
    <t>Taimyr Pidgin Russian</t>
  </si>
  <si>
    <t>Tai Muong</t>
  </si>
  <si>
    <t>tain1241</t>
  </si>
  <si>
    <t>Tainan</t>
  </si>
  <si>
    <t>Tai N√ºa</t>
  </si>
  <si>
    <t>tdd</t>
  </si>
  <si>
    <t>tain1253</t>
  </si>
  <si>
    <t>Tainae</t>
  </si>
  <si>
    <t>ago</t>
  </si>
  <si>
    <t>tain1254</t>
  </si>
  <si>
    <t>Taino</t>
  </si>
  <si>
    <t>tnq</t>
  </si>
  <si>
    <t>Tainae-Akoye</t>
  </si>
  <si>
    <t>taio1240</t>
  </si>
  <si>
    <t>Taiof</t>
  </si>
  <si>
    <t>taip1235</t>
  </si>
  <si>
    <t>Taipei</t>
  </si>
  <si>
    <t>taip1248</t>
  </si>
  <si>
    <t>Taipi</t>
  </si>
  <si>
    <t>taip1249</t>
  </si>
  <si>
    <t>Tai Pong</t>
  </si>
  <si>
    <t>taip1250</t>
  </si>
  <si>
    <t>Tai Pao</t>
  </si>
  <si>
    <t>tpo</t>
  </si>
  <si>
    <t>tair1256</t>
  </si>
  <si>
    <t>Tairuma</t>
  </si>
  <si>
    <t>uar</t>
  </si>
  <si>
    <t>Tairora</t>
  </si>
  <si>
    <t>tait1247</t>
  </si>
  <si>
    <t>Cushitic Taita</t>
  </si>
  <si>
    <t>tait1248</t>
  </si>
  <si>
    <t>Tai Thanh</t>
  </si>
  <si>
    <t>tmm</t>
  </si>
  <si>
    <t>Taita-Sagalla</t>
  </si>
  <si>
    <t>Taita</t>
  </si>
  <si>
    <t>dav</t>
  </si>
  <si>
    <t>taiv1237</t>
  </si>
  <si>
    <t>Taivoan</t>
  </si>
  <si>
    <t>Taiwan Sign Language</t>
  </si>
  <si>
    <t>tss</t>
  </si>
  <si>
    <t>taiw1246</t>
  </si>
  <si>
    <t>Tai Wang</t>
  </si>
  <si>
    <t>taiw1247</t>
  </si>
  <si>
    <t>Taiwano</t>
  </si>
  <si>
    <t>taiy1241</t>
  </si>
  <si>
    <t>Taiyanghe</t>
  </si>
  <si>
    <t>taiy1242</t>
  </si>
  <si>
    <t>Tai Ya</t>
  </si>
  <si>
    <t>cuu</t>
  </si>
  <si>
    <t>taiy1243</t>
  </si>
  <si>
    <t>Taiyuan</t>
  </si>
  <si>
    <t>taiz1238</t>
  </si>
  <si>
    <t>Taizhou</t>
  </si>
  <si>
    <t>Ta'izzi-Adeni Arabic</t>
  </si>
  <si>
    <t>acq</t>
  </si>
  <si>
    <t>ER SA YE</t>
  </si>
  <si>
    <t>taiz1243</t>
  </si>
  <si>
    <t>Ta'izzi</t>
  </si>
  <si>
    <t>taje1237</t>
  </si>
  <si>
    <t>Taje</t>
  </si>
  <si>
    <t>pee</t>
  </si>
  <si>
    <t>Tajik</t>
  </si>
  <si>
    <t>AF CN KG TJ UZ</t>
  </si>
  <si>
    <t>taji1246</t>
  </si>
  <si>
    <t>Tajio</t>
  </si>
  <si>
    <t>tdj</t>
  </si>
  <si>
    <t>taji1247</t>
  </si>
  <si>
    <t>Tajima</t>
  </si>
  <si>
    <t>Tajiki Arabic</t>
  </si>
  <si>
    <t>abh</t>
  </si>
  <si>
    <t>Tajikic</t>
  </si>
  <si>
    <t>taju1238</t>
  </si>
  <si>
    <t>Tajuasohn</t>
  </si>
  <si>
    <t>tja</t>
  </si>
  <si>
    <t>taka1239</t>
  </si>
  <si>
    <t>Takama</t>
  </si>
  <si>
    <t>taka1260</t>
  </si>
  <si>
    <t>Takari</t>
  </si>
  <si>
    <t>taka1261</t>
  </si>
  <si>
    <t>Takale</t>
  </si>
  <si>
    <t>taka1262</t>
  </si>
  <si>
    <t>Takawa-B√©ngoro</t>
  </si>
  <si>
    <t>taka1263</t>
  </si>
  <si>
    <t>Takaya</t>
  </si>
  <si>
    <t>taka1264</t>
  </si>
  <si>
    <t>Takamanda</t>
  </si>
  <si>
    <t>taka1265</t>
  </si>
  <si>
    <t>Takazze-Setiit</t>
  </si>
  <si>
    <t>taka1266</t>
  </si>
  <si>
    <t>Takapan</t>
  </si>
  <si>
    <t>Takanik-Chamik</t>
  </si>
  <si>
    <t>Takanik</t>
  </si>
  <si>
    <t>taka1269</t>
  </si>
  <si>
    <t>Takas</t>
  </si>
  <si>
    <t>takb1238</t>
  </si>
  <si>
    <t>Tak Bai</t>
  </si>
  <si>
    <t>Takestani</t>
  </si>
  <si>
    <t>tks</t>
  </si>
  <si>
    <t>take1256</t>
  </si>
  <si>
    <t>Taketomi</t>
  </si>
  <si>
    <t>take1257</t>
  </si>
  <si>
    <t>Takelma</t>
  </si>
  <si>
    <t>tkm</t>
  </si>
  <si>
    <t>Takia</t>
  </si>
  <si>
    <t>tbc</t>
  </si>
  <si>
    <t>taki1249</t>
  </si>
  <si>
    <t>Takimpo</t>
  </si>
  <si>
    <t>taki1251</t>
  </si>
  <si>
    <t>Takivatan</t>
  </si>
  <si>
    <t>taki1252</t>
  </si>
  <si>
    <t>Takibakha</t>
  </si>
  <si>
    <t>taki1253</t>
  </si>
  <si>
    <t>Takituduh</t>
  </si>
  <si>
    <t>tako1237</t>
  </si>
  <si>
    <t>Takbanuaz</t>
  </si>
  <si>
    <t>takp1245</t>
  </si>
  <si>
    <t>Takpasyeeri</t>
  </si>
  <si>
    <t>takp1246</t>
  </si>
  <si>
    <t>Takpa (Retired)</t>
  </si>
  <si>
    <t>tkk</t>
  </si>
  <si>
    <t>taku1254</t>
  </si>
  <si>
    <t>Takua</t>
  </si>
  <si>
    <t>tkz</t>
  </si>
  <si>
    <t>taku1255</t>
  </si>
  <si>
    <t>Takum (Kpan)</t>
  </si>
  <si>
    <t>taku1256</t>
  </si>
  <si>
    <t>Takum</t>
  </si>
  <si>
    <t>taku1257</t>
  </si>
  <si>
    <t>Takuu</t>
  </si>
  <si>
    <t>nho</t>
  </si>
  <si>
    <t>Takuuic</t>
  </si>
  <si>
    <t>takw1238</t>
  </si>
  <si>
    <t>Takwane</t>
  </si>
  <si>
    <t>tke</t>
  </si>
  <si>
    <t>tala1278</t>
  </si>
  <si>
    <t>Tala (Vietnam)</t>
  </si>
  <si>
    <t>tala1279</t>
  </si>
  <si>
    <t>Talangit</t>
  </si>
  <si>
    <t>tala1280</t>
  </si>
  <si>
    <t>Tala (Benin)</t>
  </si>
  <si>
    <t>tala1281</t>
  </si>
  <si>
    <t>Talahundra</t>
  </si>
  <si>
    <t>tala1282</t>
  </si>
  <si>
    <t>Talassa</t>
  </si>
  <si>
    <t>tala1283</t>
  </si>
  <si>
    <t>Talang</t>
  </si>
  <si>
    <t>tala1284</t>
  </si>
  <si>
    <t>Tala'ai</t>
  </si>
  <si>
    <t>Talaud</t>
  </si>
  <si>
    <t>tld</t>
  </si>
  <si>
    <t>tala1286</t>
  </si>
  <si>
    <t>Tala Ingod</t>
  </si>
  <si>
    <t>tala1287</t>
  </si>
  <si>
    <t>Talantang</t>
  </si>
  <si>
    <t>tala1288</t>
  </si>
  <si>
    <t>Tala'i</t>
  </si>
  <si>
    <t>tala1295</t>
  </si>
  <si>
    <t>Tala</t>
  </si>
  <si>
    <t>tak</t>
  </si>
  <si>
    <t>Tala-Sho-Zangwal</t>
  </si>
  <si>
    <t>tale1239</t>
  </si>
  <si>
    <t>Tale</t>
  </si>
  <si>
    <t>tali1257</t>
  </si>
  <si>
    <t>Talieng</t>
  </si>
  <si>
    <t>tdf</t>
  </si>
  <si>
    <t>tali1258</t>
  </si>
  <si>
    <t>Talinga-Bwisi</t>
  </si>
  <si>
    <t>tlj</t>
  </si>
  <si>
    <t>Talise</t>
  </si>
  <si>
    <t>tlr</t>
  </si>
  <si>
    <t>tali1260</t>
  </si>
  <si>
    <t>Talise (Vanuatu)</t>
  </si>
  <si>
    <t>Taliaboic</t>
  </si>
  <si>
    <t>Taliabu</t>
  </si>
  <si>
    <t>tlv</t>
  </si>
  <si>
    <t>tali1263</t>
  </si>
  <si>
    <t>Talifugu-Ripang</t>
  </si>
  <si>
    <t>Talic</t>
  </si>
  <si>
    <t>tall1235</t>
  </si>
  <si>
    <t>Tall√°n</t>
  </si>
  <si>
    <t>tall1245</t>
  </si>
  <si>
    <t>Tallau</t>
  </si>
  <si>
    <t>tall1250</t>
  </si>
  <si>
    <t>Tal</t>
  </si>
  <si>
    <t>tal</t>
  </si>
  <si>
    <t>tall1254</t>
  </si>
  <si>
    <t>Tal (Aramaic)</t>
  </si>
  <si>
    <t>taln1239</t>
  </si>
  <si>
    <t>Talni</t>
  </si>
  <si>
    <t>Tasomi-Tata</t>
  </si>
  <si>
    <t>tlo</t>
  </si>
  <si>
    <t>talo1251</t>
  </si>
  <si>
    <t>Talondo'</t>
  </si>
  <si>
    <t>tln</t>
  </si>
  <si>
    <t>talo1252</t>
  </si>
  <si>
    <t>Taloki</t>
  </si>
  <si>
    <t>tlk</t>
  </si>
  <si>
    <t>talo1253</t>
  </si>
  <si>
    <t>Talossan</t>
  </si>
  <si>
    <t>tzl</t>
  </si>
  <si>
    <t>talu1238</t>
  </si>
  <si>
    <t>Lavu-Yongsheng-Talu</t>
  </si>
  <si>
    <t>yta</t>
  </si>
  <si>
    <t>Talur</t>
  </si>
  <si>
    <t>ilw</t>
  </si>
  <si>
    <t>talv1234</t>
  </si>
  <si>
    <t>Talverik-Motkan</t>
  </si>
  <si>
    <t>North-Central Talysh</t>
  </si>
  <si>
    <t>tly</t>
  </si>
  <si>
    <t>AZ IR RU</t>
  </si>
  <si>
    <t>tama1324</t>
  </si>
  <si>
    <t>Tamal Euy</t>
  </si>
  <si>
    <t>tama1326</t>
  </si>
  <si>
    <t>Tamali</t>
  </si>
  <si>
    <t>tama1327</t>
  </si>
  <si>
    <t>Tamachhang</t>
  </si>
  <si>
    <t>tama1328</t>
  </si>
  <si>
    <t>Taman (Myanmar)</t>
  </si>
  <si>
    <t>tcl</t>
  </si>
  <si>
    <t>Tamaic</t>
  </si>
  <si>
    <t>Tama-Sungor-Miisiirii</t>
  </si>
  <si>
    <t>Tama (Chad)</t>
  </si>
  <si>
    <t>tma</t>
  </si>
  <si>
    <t>tama1332</t>
  </si>
  <si>
    <t>Tama</t>
  </si>
  <si>
    <t>tama1333</t>
  </si>
  <si>
    <t>Tamako</t>
  </si>
  <si>
    <t>Tamanic</t>
  </si>
  <si>
    <t>tama1335</t>
  </si>
  <si>
    <t>Taman (Indonesia)</t>
  </si>
  <si>
    <t>tmn</t>
  </si>
  <si>
    <t>tama1336</t>
  </si>
  <si>
    <t>Tamagario</t>
  </si>
  <si>
    <t>tcg</t>
  </si>
  <si>
    <t>tama1337</t>
  </si>
  <si>
    <t>Tama (Japonic)</t>
  </si>
  <si>
    <t>tama1338</t>
  </si>
  <si>
    <t>Tamanaku</t>
  </si>
  <si>
    <t>tmz</t>
  </si>
  <si>
    <t>tama1339</t>
  </si>
  <si>
    <t>Tamazola Mixtec</t>
  </si>
  <si>
    <t>vmx</t>
  </si>
  <si>
    <t>tama1340</t>
  </si>
  <si>
    <t>Tama (Colombia)</t>
  </si>
  <si>
    <t>ten</t>
  </si>
  <si>
    <t>Tamasheq</t>
  </si>
  <si>
    <t>Tamangic</t>
  </si>
  <si>
    <t>Tama-Sungor</t>
  </si>
  <si>
    <t>tamb1252</t>
  </si>
  <si>
    <t>Tambo</t>
  </si>
  <si>
    <t>tamb1253</t>
  </si>
  <si>
    <t>Tambotalo</t>
  </si>
  <si>
    <t>tls</t>
  </si>
  <si>
    <t>tamb1254</t>
  </si>
  <si>
    <t>Tambunan Dusun</t>
  </si>
  <si>
    <t>kzt</t>
  </si>
  <si>
    <t>tamb1255</t>
  </si>
  <si>
    <t>Tambe'e</t>
  </si>
  <si>
    <t>tamb1256</t>
  </si>
  <si>
    <t>Tamboki</t>
  </si>
  <si>
    <t>tamb1257</t>
  </si>
  <si>
    <t>Tambora</t>
  </si>
  <si>
    <t>xxt</t>
  </si>
  <si>
    <t>tamb1258</t>
  </si>
  <si>
    <t>Tamb√©op√©</t>
  </si>
  <si>
    <t>tamb1267</t>
  </si>
  <si>
    <t>Tambas</t>
  </si>
  <si>
    <t>tdk</t>
  </si>
  <si>
    <t>tamb1268</t>
  </si>
  <si>
    <t>Tambaro</t>
  </si>
  <si>
    <t>tame1238</t>
  </si>
  <si>
    <t>Taeme</t>
  </si>
  <si>
    <t>tame1243</t>
  </si>
  <si>
    <t>Tamezret</t>
  </si>
  <si>
    <t>tamh1237</t>
  </si>
  <si>
    <t>Tamher Timur</t>
  </si>
  <si>
    <t>tami1283</t>
  </si>
  <si>
    <t>Tamian</t>
  </si>
  <si>
    <t>Tami</t>
  </si>
  <si>
    <t>tmy</t>
  </si>
  <si>
    <t>Tamil-Kannada</t>
  </si>
  <si>
    <t>Tamil-Kota</t>
  </si>
  <si>
    <t>tami1293</t>
  </si>
  <si>
    <t>Tamil-Toda</t>
  </si>
  <si>
    <t>Tamil-Irula</t>
  </si>
  <si>
    <t>Tamil-Kodagu</t>
  </si>
  <si>
    <t>Tamil-Malayalam</t>
  </si>
  <si>
    <t>Tamiloid</t>
  </si>
  <si>
    <t>Tamil-Paliyan</t>
  </si>
  <si>
    <t>tamk1238</t>
  </si>
  <si>
    <t>Tamkhungnyuo</t>
  </si>
  <si>
    <t>tamk1242</t>
  </si>
  <si>
    <t>Tamki</t>
  </si>
  <si>
    <t>tax</t>
  </si>
  <si>
    <t>tamn1235</t>
  </si>
  <si>
    <t>Tamnim Citak</t>
  </si>
  <si>
    <t>tml</t>
  </si>
  <si>
    <t>Tamolan</t>
  </si>
  <si>
    <t>tamp1251</t>
  </si>
  <si>
    <t>Tampuan</t>
  </si>
  <si>
    <t>tpu</t>
  </si>
  <si>
    <t>tamp1252</t>
  </si>
  <si>
    <t>Tampulma</t>
  </si>
  <si>
    <t>tpm</t>
  </si>
  <si>
    <t>tamp1253</t>
  </si>
  <si>
    <t>Tampur</t>
  </si>
  <si>
    <t>tamp1254</t>
  </si>
  <si>
    <t>Tampias Lobu</t>
  </si>
  <si>
    <t>low</t>
  </si>
  <si>
    <t>tamp1255</t>
  </si>
  <si>
    <t>Tampiwi</t>
  </si>
  <si>
    <t>tams1238</t>
  </si>
  <si>
    <t>Tamsangmu</t>
  </si>
  <si>
    <t>tamu1245</t>
  </si>
  <si>
    <t>Tamun</t>
  </si>
  <si>
    <t>tamu1246</t>
  </si>
  <si>
    <t>Tamu Kyi</t>
  </si>
  <si>
    <t>tamu1247</t>
  </si>
  <si>
    <t>Tamult√© de las S√°banas Chontal</t>
  </si>
  <si>
    <t>tana1278</t>
  </si>
  <si>
    <t>Tana (Nepal)</t>
  </si>
  <si>
    <t>tana1279</t>
  </si>
  <si>
    <t>Tana</t>
  </si>
  <si>
    <t>tana1280</t>
  </si>
  <si>
    <t>Tanah</t>
  </si>
  <si>
    <t>tana1281</t>
  </si>
  <si>
    <t>Tanapag</t>
  </si>
  <si>
    <t>tpv</t>
  </si>
  <si>
    <t>tana1282</t>
  </si>
  <si>
    <t>Tana Righu</t>
  </si>
  <si>
    <t>tana1283</t>
  </si>
  <si>
    <t>Tana Ai</t>
  </si>
  <si>
    <t>tana1284</t>
  </si>
  <si>
    <t>Tanay-Paete</t>
  </si>
  <si>
    <t>tana1286</t>
  </si>
  <si>
    <t>Tana Toa</t>
  </si>
  <si>
    <t>tana1287</t>
  </si>
  <si>
    <t>Tanan</t>
  </si>
  <si>
    <t>tana1288</t>
  </si>
  <si>
    <t>Tanahmerah</t>
  </si>
  <si>
    <t>tcm</t>
  </si>
  <si>
    <t>tana1289</t>
  </si>
  <si>
    <t>Tanaina</t>
  </si>
  <si>
    <t>tfn</t>
  </si>
  <si>
    <t>tana1290</t>
  </si>
  <si>
    <t>Tanacross</t>
  </si>
  <si>
    <t>tcb</t>
  </si>
  <si>
    <t>tana1291</t>
  </si>
  <si>
    <t>Tana-Lincha</t>
  </si>
  <si>
    <t>tana1297</t>
  </si>
  <si>
    <t>Tanassfarwat</t>
  </si>
  <si>
    <t>tand1251</t>
  </si>
  <si>
    <t>Tande</t>
  </si>
  <si>
    <t>tand1252</t>
  </si>
  <si>
    <t>Tanda</t>
  </si>
  <si>
    <t>tand1253</t>
  </si>
  <si>
    <t>Tandia</t>
  </si>
  <si>
    <t>tni</t>
  </si>
  <si>
    <t>tand1254</t>
  </si>
  <si>
    <t>Tandai-Nggaria</t>
  </si>
  <si>
    <t>tand1255</t>
  </si>
  <si>
    <t>Tandubas</t>
  </si>
  <si>
    <t>Tandroy Malagasy</t>
  </si>
  <si>
    <t>tand1257</t>
  </si>
  <si>
    <t>Tandek</t>
  </si>
  <si>
    <t>Tandaganon</t>
  </si>
  <si>
    <t>tgn</t>
  </si>
  <si>
    <t>tane1237</t>
  </si>
  <si>
    <t>utup1237</t>
  </si>
  <si>
    <t>Tanema</t>
  </si>
  <si>
    <t>tnx</t>
  </si>
  <si>
    <t>tang1330</t>
  </si>
  <si>
    <t>Tangchangya</t>
  </si>
  <si>
    <t>tnv</t>
  </si>
  <si>
    <t>tang1331</t>
  </si>
  <si>
    <t>Tangir</t>
  </si>
  <si>
    <t>tang1332</t>
  </si>
  <si>
    <t>Tang (Bhutan)</t>
  </si>
  <si>
    <t>tang1333</t>
  </si>
  <si>
    <t>Tangbe</t>
  </si>
  <si>
    <t>tang1334</t>
  </si>
  <si>
    <t>Tangut</t>
  </si>
  <si>
    <t>txg</t>
  </si>
  <si>
    <t>Tangkhul-Maring</t>
  </si>
  <si>
    <t>East-Central Tangkhul Naga</t>
  </si>
  <si>
    <t>nmf</t>
  </si>
  <si>
    <t>tang1338</t>
  </si>
  <si>
    <t>Tang (India)</t>
  </si>
  <si>
    <t>tang1339</t>
  </si>
  <si>
    <t>Tangsarr</t>
  </si>
  <si>
    <t>Tangkic</t>
  </si>
  <si>
    <t>tang1341</t>
  </si>
  <si>
    <t>Tangbago</t>
  </si>
  <si>
    <t>tang1342</t>
  </si>
  <si>
    <t>Tangamma</t>
  </si>
  <si>
    <t>tang1343</t>
  </si>
  <si>
    <t>Tangeta</t>
  </si>
  <si>
    <t>tang1344</t>
  </si>
  <si>
    <t>Tangi</t>
  </si>
  <si>
    <t>tang1345</t>
  </si>
  <si>
    <t>Tang</t>
  </si>
  <si>
    <t>tang1346</t>
  </si>
  <si>
    <t>Tangalto Lele</t>
  </si>
  <si>
    <t>tang1347</t>
  </si>
  <si>
    <t>Movono</t>
  </si>
  <si>
    <t>tgp</t>
  </si>
  <si>
    <t>Tangga</t>
  </si>
  <si>
    <t>tgg</t>
  </si>
  <si>
    <t>tang1350</t>
  </si>
  <si>
    <t>Tanglagan</t>
  </si>
  <si>
    <t>tang1351</t>
  </si>
  <si>
    <t>Tang'ala</t>
  </si>
  <si>
    <t>East Alor Montane</t>
  </si>
  <si>
    <t>tang1353</t>
  </si>
  <si>
    <t>Tangko</t>
  </si>
  <si>
    <t>tkx</t>
  </si>
  <si>
    <t>Ataitan</t>
  </si>
  <si>
    <t>tang1355</t>
  </si>
  <si>
    <t>Tanggu</t>
  </si>
  <si>
    <t>tgu</t>
  </si>
  <si>
    <t>tang1356</t>
  </si>
  <si>
    <t>Tanguat</t>
  </si>
  <si>
    <t>tbs</t>
  </si>
  <si>
    <t>tang1357</t>
  </si>
  <si>
    <t>Tango</t>
  </si>
  <si>
    <t>Tangalic</t>
  </si>
  <si>
    <t>Nuclear Tangalic</t>
  </si>
  <si>
    <t>tang1371</t>
  </si>
  <si>
    <t>Tangier</t>
  </si>
  <si>
    <t>tang1372</t>
  </si>
  <si>
    <t>Tanglang-Toloza</t>
  </si>
  <si>
    <t>ytl</t>
  </si>
  <si>
    <t>tang1373</t>
  </si>
  <si>
    <t>Tangwang</t>
  </si>
  <si>
    <t>tang1374</t>
  </si>
  <si>
    <t>Tangshewi</t>
  </si>
  <si>
    <t>tnf</t>
  </si>
  <si>
    <t>Tangu-Igom</t>
  </si>
  <si>
    <t>Tangko-Nakai</t>
  </si>
  <si>
    <t>tang1377</t>
  </si>
  <si>
    <t>Tangam</t>
  </si>
  <si>
    <t>Tangale-Kwami-Kupto</t>
  </si>
  <si>
    <t>Tangsa</t>
  </si>
  <si>
    <t>tang1380</t>
  </si>
  <si>
    <t>Tangcun</t>
  </si>
  <si>
    <t>tang1381</t>
  </si>
  <si>
    <t>Tangani</t>
  </si>
  <si>
    <t>tani1255</t>
  </si>
  <si>
    <t>Tanimbili</t>
  </si>
  <si>
    <t>tbe</t>
  </si>
  <si>
    <t>tani1256</t>
  </si>
  <si>
    <t>Tanimbar Kei</t>
  </si>
  <si>
    <t>Tanimuca-Retuar√£</t>
  </si>
  <si>
    <t>tnc</t>
  </si>
  <si>
    <t>tani1258</t>
  </si>
  <si>
    <t>Tanimuca</t>
  </si>
  <si>
    <t>Tani</t>
  </si>
  <si>
    <t>tanj1246</t>
  </si>
  <si>
    <t>Tanjong Rambutan</t>
  </si>
  <si>
    <t>tanj1247</t>
  </si>
  <si>
    <t>Tanjijili</t>
  </si>
  <si>
    <t>uji</t>
  </si>
  <si>
    <t>tanj1248</t>
  </si>
  <si>
    <t>Tanjong</t>
  </si>
  <si>
    <t>tnj</t>
  </si>
  <si>
    <t>tanj1249</t>
  </si>
  <si>
    <t>Tanjung Aru</t>
  </si>
  <si>
    <t>tanj1250</t>
  </si>
  <si>
    <t>Tanjung Bunga</t>
  </si>
  <si>
    <t>tank1238</t>
  </si>
  <si>
    <t>Tankri</t>
  </si>
  <si>
    <t>tank1239</t>
  </si>
  <si>
    <t>Tanka Cantonese</t>
  </si>
  <si>
    <t>Tanna</t>
  </si>
  <si>
    <t>tano1245</t>
  </si>
  <si>
    <t>Tanoriki</t>
  </si>
  <si>
    <t>tano1246</t>
  </si>
  <si>
    <t>Tanosy Malagasy</t>
  </si>
  <si>
    <t>txy</t>
  </si>
  <si>
    <t>Tano</t>
  </si>
  <si>
    <t>tanp1235</t>
  </si>
  <si>
    <t>Tanpachoa</t>
  </si>
  <si>
    <t>tanz1238</t>
  </si>
  <si>
    <t>Tanzanian Sign Language</t>
  </si>
  <si>
    <t>tza</t>
  </si>
  <si>
    <t>taob1238</t>
  </si>
  <si>
    <t>Taoba</t>
  </si>
  <si>
    <t>taob1239</t>
  </si>
  <si>
    <t>T√°obƒÅ</t>
  </si>
  <si>
    <t>Ta'oihic</t>
  </si>
  <si>
    <t>taok1237</t>
  </si>
  <si>
    <t>Taokas</t>
  </si>
  <si>
    <t>taol1236</t>
  </si>
  <si>
    <t>Taolend√©</t>
  </si>
  <si>
    <t>taoo1239</t>
  </si>
  <si>
    <t>Tao</t>
  </si>
  <si>
    <t>taop1238</t>
  </si>
  <si>
    <t>Taoping Qiang</t>
  </si>
  <si>
    <t>Taos</t>
  </si>
  <si>
    <t>Taos-Picuris</t>
  </si>
  <si>
    <t>taoy1234</t>
  </si>
  <si>
    <t>Taoyuan-Miaoli</t>
  </si>
  <si>
    <t>tapa1256</t>
  </si>
  <si>
    <t>Tapanta</t>
  </si>
  <si>
    <t>tapa1257</t>
  </si>
  <si>
    <t>Tapangu</t>
  </si>
  <si>
    <t>tapa1258</t>
  </si>
  <si>
    <t>Tapah</t>
  </si>
  <si>
    <t>tapa1259</t>
  </si>
  <si>
    <t>Tapango</t>
  </si>
  <si>
    <t>tapa1260</t>
  </si>
  <si>
    <t>Tapachultec</t>
  </si>
  <si>
    <t>qcs</t>
  </si>
  <si>
    <t>tapa1261</t>
  </si>
  <si>
    <t>Tapaj√≥</t>
  </si>
  <si>
    <t>tapa1262</t>
  </si>
  <si>
    <t>Taparita</t>
  </si>
  <si>
    <t>tape1236</t>
  </si>
  <si>
    <t>Tapeba</t>
  </si>
  <si>
    <t>tbb</t>
  </si>
  <si>
    <t>tape1242</t>
  </si>
  <si>
    <t>Tapei</t>
  </si>
  <si>
    <t>afp</t>
  </si>
  <si>
    <t>tapi1252</t>
  </si>
  <si>
    <t>Tapitn</t>
  </si>
  <si>
    <t>tapi1253</t>
  </si>
  <si>
    <t>Tapiet√©</t>
  </si>
  <si>
    <t>tpj</t>
  </si>
  <si>
    <t>tapi1254</t>
  </si>
  <si>
    <t>tupi1279</t>
  </si>
  <si>
    <t>Tapirap√©</t>
  </si>
  <si>
    <t>taf</t>
  </si>
  <si>
    <t>tapl1238</t>
  </si>
  <si>
    <t>Taplejunge</t>
  </si>
  <si>
    <t>tapn1238</t>
  </si>
  <si>
    <t>Tapnanggi</t>
  </si>
  <si>
    <t>tapp1239</t>
  </si>
  <si>
    <t>Tappu</t>
  </si>
  <si>
    <t>tapp1240</t>
  </si>
  <si>
    <t>Tappalang</t>
  </si>
  <si>
    <t>tapu1238</t>
  </si>
  <si>
    <t>Tapuhoe</t>
  </si>
  <si>
    <t>tara1248</t>
  </si>
  <si>
    <t>Taraika</t>
  </si>
  <si>
    <t>tara1303</t>
  </si>
  <si>
    <t>Tarairiu</t>
  </si>
  <si>
    <t>tara1312</t>
  </si>
  <si>
    <t>tobo1249</t>
  </si>
  <si>
    <t>Tara (Turkic)</t>
  </si>
  <si>
    <t>tara1313</t>
  </si>
  <si>
    <t>Tarao</t>
  </si>
  <si>
    <t>tro</t>
  </si>
  <si>
    <t>tara1314</t>
  </si>
  <si>
    <t>Taram</t>
  </si>
  <si>
    <t>tara1315</t>
  </si>
  <si>
    <t>Taranaki</t>
  </si>
  <si>
    <t>tara1316</t>
  </si>
  <si>
    <t>tomb1243</t>
  </si>
  <si>
    <t>Taratara</t>
  </si>
  <si>
    <t>tara1317</t>
  </si>
  <si>
    <t>Tarakan</t>
  </si>
  <si>
    <t>tara1318</t>
  </si>
  <si>
    <t>Tara</t>
  </si>
  <si>
    <t>tara1319</t>
  </si>
  <si>
    <t>Tarama-Minna</t>
  </si>
  <si>
    <t>Tarahumaran</t>
  </si>
  <si>
    <t>Tarascan</t>
  </si>
  <si>
    <t>Taranoan</t>
  </si>
  <si>
    <t>Taram-Dirim-Nnakenyare</t>
  </si>
  <si>
    <t>Tarahumara-Guarijio</t>
  </si>
  <si>
    <t>tare1239</t>
  </si>
  <si>
    <t>Tareng</t>
  </si>
  <si>
    <t>tgr</t>
  </si>
  <si>
    <t>tari1254</t>
  </si>
  <si>
    <t>Tarimuki</t>
  </si>
  <si>
    <t>Tariku</t>
  </si>
  <si>
    <t>Tariana</t>
  </si>
  <si>
    <t>tae</t>
  </si>
  <si>
    <t>Tarifiyt-Beni-Iznasen-Eastern Middle Atlas Berber</t>
  </si>
  <si>
    <t>rif</t>
  </si>
  <si>
    <t>DZ ES MA</t>
  </si>
  <si>
    <t>tari1264</t>
  </si>
  <si>
    <t>Tariyit</t>
  </si>
  <si>
    <t>Tarim-Moghal-Kucha</t>
  </si>
  <si>
    <t>tari1268</t>
  </si>
  <si>
    <t>Tarim</t>
  </si>
  <si>
    <t>tarj1235</t>
  </si>
  <si>
    <t>Tarjumo</t>
  </si>
  <si>
    <t>txj</t>
  </si>
  <si>
    <t>taro1259</t>
  </si>
  <si>
    <t>Tarof</t>
  </si>
  <si>
    <t>taro1260</t>
  </si>
  <si>
    <t>Tarom</t>
  </si>
  <si>
    <t>taro1261</t>
  </si>
  <si>
    <t>Taron</t>
  </si>
  <si>
    <t>Tarok</t>
  </si>
  <si>
    <t>yer</t>
  </si>
  <si>
    <t>taro1264</t>
  </si>
  <si>
    <t>Seediq</t>
  </si>
  <si>
    <t>trv</t>
  </si>
  <si>
    <t>Tarokoid</t>
  </si>
  <si>
    <t>yang1302</t>
  </si>
  <si>
    <t>Tarok-Pe</t>
  </si>
  <si>
    <t>Taromic</t>
  </si>
  <si>
    <t>tarp1240</t>
  </si>
  <si>
    <t>Tarpia</t>
  </si>
  <si>
    <t>tpf</t>
  </si>
  <si>
    <t>tarp1241</t>
  </si>
  <si>
    <t>Sufrai</t>
  </si>
  <si>
    <t>suf</t>
  </si>
  <si>
    <t>tarr1234</t>
  </si>
  <si>
    <t>Tarragon√≠</t>
  </si>
  <si>
    <t>tart1237</t>
  </si>
  <si>
    <t>Tartessian</t>
  </si>
  <si>
    <t>txr</t>
  </si>
  <si>
    <t>taru1236</t>
  </si>
  <si>
    <t>Taruma</t>
  </si>
  <si>
    <t>tdm</t>
  </si>
  <si>
    <t>tary1239</t>
  </si>
  <si>
    <t>Tarya</t>
  </si>
  <si>
    <t>tasa1240</t>
  </si>
  <si>
    <t>Tasawaq</t>
  </si>
  <si>
    <t>twq</t>
  </si>
  <si>
    <t>tasa1241</t>
  </si>
  <si>
    <t>Tasaday</t>
  </si>
  <si>
    <t>Pangwa Naga</t>
  </si>
  <si>
    <t>nst</t>
  </si>
  <si>
    <t>tasi1237</t>
  </si>
  <si>
    <t>Tasiko</t>
  </si>
  <si>
    <t>tasm1246</t>
  </si>
  <si>
    <t>Tasmate</t>
  </si>
  <si>
    <t>tmt</t>
  </si>
  <si>
    <t>tasm1247</t>
  </si>
  <si>
    <t>Tasmanian</t>
  </si>
  <si>
    <t>xtz</t>
  </si>
  <si>
    <t>Tatar</t>
  </si>
  <si>
    <t>tat</t>
  </si>
  <si>
    <t>AZ BY CN EE FI GE KZ LT LV RU UA</t>
  </si>
  <si>
    <t>tata1256</t>
  </si>
  <si>
    <t>Tatau</t>
  </si>
  <si>
    <t>tata1257</t>
  </si>
  <si>
    <t>Tatana</t>
  </si>
  <si>
    <t>txx</t>
  </si>
  <si>
    <t>tata1258</t>
  </si>
  <si>
    <t>Tataltepec Chatino</t>
  </si>
  <si>
    <t>cta</t>
  </si>
  <si>
    <t>tate1244</t>
  </si>
  <si>
    <t>Tate</t>
  </si>
  <si>
    <t>tati1242</t>
  </si>
  <si>
    <t>Tati</t>
  </si>
  <si>
    <t>Adharic</t>
  </si>
  <si>
    <t>Tatic</t>
  </si>
  <si>
    <t>Tatoga-Omotik</t>
  </si>
  <si>
    <t>tatt1243</t>
  </si>
  <si>
    <t>Tattara</t>
  </si>
  <si>
    <t>tatu1247</t>
  </si>
  <si>
    <t>Tatuyo</t>
  </si>
  <si>
    <t>tav</t>
  </si>
  <si>
    <t>taua1242</t>
  </si>
  <si>
    <t>Tauade</t>
  </si>
  <si>
    <t>ttd</t>
  </si>
  <si>
    <t>Taulil-Butam</t>
  </si>
  <si>
    <t>taul1251</t>
  </si>
  <si>
    <t>Taulil</t>
  </si>
  <si>
    <t>tuh</t>
  </si>
  <si>
    <t>taul1252</t>
  </si>
  <si>
    <t>Taulipang</t>
  </si>
  <si>
    <t>taum1237</t>
  </si>
  <si>
    <t>Taumako</t>
  </si>
  <si>
    <t>taun1248</t>
  </si>
  <si>
    <t>Taungyo</t>
  </si>
  <si>
    <t>tco</t>
  </si>
  <si>
    <t>taun1249</t>
  </si>
  <si>
    <t>Taung</t>
  </si>
  <si>
    <t>taun1250</t>
  </si>
  <si>
    <t>Taunita</t>
  </si>
  <si>
    <t>taun1251</t>
  </si>
  <si>
    <t>Tauna</t>
  </si>
  <si>
    <t>Taupota linkage</t>
  </si>
  <si>
    <t>taup1242</t>
  </si>
  <si>
    <t>Taupota</t>
  </si>
  <si>
    <t>tpa</t>
  </si>
  <si>
    <t>taup1243</t>
  </si>
  <si>
    <t>Taup</t>
  </si>
  <si>
    <t>taur1239</t>
  </si>
  <si>
    <t>Taurepan</t>
  </si>
  <si>
    <t>taus1251</t>
  </si>
  <si>
    <t>Tausug</t>
  </si>
  <si>
    <t>tsg</t>
  </si>
  <si>
    <t>Tause</t>
  </si>
  <si>
    <t>tad</t>
  </si>
  <si>
    <t>taus1253</t>
  </si>
  <si>
    <t>Taushiro</t>
  </si>
  <si>
    <t>trr</t>
  </si>
  <si>
    <t>taut1234</t>
  </si>
  <si>
    <t>Taut Batu</t>
  </si>
  <si>
    <t>tauu1239</t>
  </si>
  <si>
    <t>Tau</t>
  </si>
  <si>
    <t>tauy1241</t>
  </si>
  <si>
    <t>Tauya</t>
  </si>
  <si>
    <t>tya</t>
  </si>
  <si>
    <t>tava1240</t>
  </si>
  <si>
    <t>Tavara</t>
  </si>
  <si>
    <t>tava1241</t>
  </si>
  <si>
    <t>Tavalong-Vataan</t>
  </si>
  <si>
    <t>tave1240</t>
  </si>
  <si>
    <t>Taveta</t>
  </si>
  <si>
    <t>tvs</t>
  </si>
  <si>
    <t>tave1241</t>
  </si>
  <si>
    <t>Taveak</t>
  </si>
  <si>
    <t>tavh1238</t>
  </si>
  <si>
    <t>Tavha-Tsindi</t>
  </si>
  <si>
    <t>tavo1241</t>
  </si>
  <si>
    <t>Tavoy</t>
  </si>
  <si>
    <t>Tavoyan</t>
  </si>
  <si>
    <t>tvn</t>
  </si>
  <si>
    <t>tavr1235</t>
  </si>
  <si>
    <t>Tavringer Romani</t>
  </si>
  <si>
    <t>rmu</t>
  </si>
  <si>
    <t>tawa1269</t>
  </si>
  <si>
    <t>Tawana</t>
  </si>
  <si>
    <t>tawa1270</t>
  </si>
  <si>
    <t>Tawara</t>
  </si>
  <si>
    <t>twl</t>
  </si>
  <si>
    <t>tawa1271</t>
  </si>
  <si>
    <t>Tawara-Daque</t>
  </si>
  <si>
    <t>tawa1272</t>
  </si>
  <si>
    <t>Tawara-Chioco</t>
  </si>
  <si>
    <t>tawa1273</t>
  </si>
  <si>
    <t>Tawari</t>
  </si>
  <si>
    <t>tawa1274</t>
  </si>
  <si>
    <t>Tawarafa</t>
  </si>
  <si>
    <t>Tawala</t>
  </si>
  <si>
    <t>tbo</t>
  </si>
  <si>
    <t>tawa1276</t>
  </si>
  <si>
    <t>Tawan</t>
  </si>
  <si>
    <t>tawa1277</t>
  </si>
  <si>
    <t>wich1260</t>
  </si>
  <si>
    <t>Tawakoni</t>
  </si>
  <si>
    <t>tawa1278</t>
  </si>
  <si>
    <t>Tawand√™</t>
  </si>
  <si>
    <t>xtw</t>
  </si>
  <si>
    <t>Tawallammat Tamajaq</t>
  </si>
  <si>
    <t>ttq</t>
  </si>
  <si>
    <t>BF ML NE NG</t>
  </si>
  <si>
    <t>tawa1287</t>
  </si>
  <si>
    <t>Tawallammat Tan Ataram</t>
  </si>
  <si>
    <t>tawa1288</t>
  </si>
  <si>
    <t>Tawallammat Tan Dannag</t>
  </si>
  <si>
    <t>Tawang Monpa</t>
  </si>
  <si>
    <t>tawa1290</t>
  </si>
  <si>
    <t>timu1245</t>
  </si>
  <si>
    <t>Tawasa</t>
  </si>
  <si>
    <t>tawe1235</t>
  </si>
  <si>
    <t>Tawend√™</t>
  </si>
  <si>
    <t>tawi1239</t>
  </si>
  <si>
    <t>Tawira</t>
  </si>
  <si>
    <t>tawo1243</t>
  </si>
  <si>
    <t>Tawoyan</t>
  </si>
  <si>
    <t>twy</t>
  </si>
  <si>
    <t>tawo1244</t>
  </si>
  <si>
    <t>Taworta</t>
  </si>
  <si>
    <t>tbp</t>
  </si>
  <si>
    <t>tawr1235</t>
  </si>
  <si>
    <t>Laamtuk Thet</t>
  </si>
  <si>
    <t>tcp</t>
  </si>
  <si>
    <t>taya1251</t>
  </si>
  <si>
    <t>Tayari</t>
  </si>
  <si>
    <t>taya1252</t>
  </si>
  <si>
    <t>Tayando</t>
  </si>
  <si>
    <t>taya1253</t>
  </si>
  <si>
    <t>Tayabas</t>
  </si>
  <si>
    <t>taya1254</t>
  </si>
  <si>
    <t>Tayan</t>
  </si>
  <si>
    <t>taya1255</t>
  </si>
  <si>
    <t>Tayato</t>
  </si>
  <si>
    <t>taya1256</t>
  </si>
  <si>
    <t>Tayabas Ayta near Lucena City in Western Quezon</t>
  </si>
  <si>
    <t>ayy</t>
  </si>
  <si>
    <t>Tayart Tamajeq</t>
  </si>
  <si>
    <t>thz</t>
  </si>
  <si>
    <t>waam1245</t>
  </si>
  <si>
    <t>Tayari-Ditammari</t>
  </si>
  <si>
    <t>tayb1240</t>
  </si>
  <si>
    <t>Tay Boi</t>
  </si>
  <si>
    <t>tas</t>
  </si>
  <si>
    <t>tayb1242</t>
  </si>
  <si>
    <t>T√†y Bao Lac</t>
  </si>
  <si>
    <t>tayk1238</t>
  </si>
  <si>
    <t>Tay Khang</t>
  </si>
  <si>
    <t>tnu</t>
  </si>
  <si>
    <t>taym1239</t>
  </si>
  <si>
    <t>T√°y Mu'√≤'i</t>
  </si>
  <si>
    <t>taym1240</t>
  </si>
  <si>
    <t>Taymanitic</t>
  </si>
  <si>
    <t>tayo1238</t>
  </si>
  <si>
    <t>Tayo</t>
  </si>
  <si>
    <t>cks</t>
  </si>
  <si>
    <t>tays1238</t>
  </si>
  <si>
    <t>T√†y Sa Pa</t>
  </si>
  <si>
    <t>tys</t>
  </si>
  <si>
    <t>tayt1241</t>
  </si>
  <si>
    <t>T√†y Tac</t>
  </si>
  <si>
    <t>tyt</t>
  </si>
  <si>
    <t>tayt1242</t>
  </si>
  <si>
    <t>T√†y Trung Khanh</t>
  </si>
  <si>
    <t>T√†y</t>
  </si>
  <si>
    <t>tyz</t>
  </si>
  <si>
    <t>tazh1234</t>
  </si>
  <si>
    <t>Tazhi</t>
  </si>
  <si>
    <t>Sud Oranais-Gourara</t>
  </si>
  <si>
    <t>grr</t>
  </si>
  <si>
    <t>tazz1244</t>
  </si>
  <si>
    <t>Taz-Turukhan</t>
  </si>
  <si>
    <t>tbil1238</t>
  </si>
  <si>
    <t>Tbilisi</t>
  </si>
  <si>
    <t>Tboli</t>
  </si>
  <si>
    <t>tbl</t>
  </si>
  <si>
    <t>Tboli-Blaan</t>
  </si>
  <si>
    <t>tcha1240</t>
  </si>
  <si>
    <t>Tchabankeere</t>
  </si>
  <si>
    <t>tcha1244</t>
  </si>
  <si>
    <t>Tchagin</t>
  </si>
  <si>
    <t>tchi1244</t>
  </si>
  <si>
    <t>Tchini</t>
  </si>
  <si>
    <t>tchi1245</t>
  </si>
  <si>
    <t>Tchitchege</t>
  </si>
  <si>
    <t>tck</t>
  </si>
  <si>
    <t>tchi1246</t>
  </si>
  <si>
    <t>Tchien</t>
  </si>
  <si>
    <t>tchi1253</t>
  </si>
  <si>
    <t>Tchire</t>
  </si>
  <si>
    <t>Tchumbuli</t>
  </si>
  <si>
    <t>bqa</t>
  </si>
  <si>
    <t>tean1237</t>
  </si>
  <si>
    <t>Teanu</t>
  </si>
  <si>
    <t>tkw</t>
  </si>
  <si>
    <t>Teberan</t>
  </si>
  <si>
    <t>tebe1252</t>
  </si>
  <si>
    <t>Tebera</t>
  </si>
  <si>
    <t>Tebu</t>
  </si>
  <si>
    <t>tebu1239</t>
  </si>
  <si>
    <t>Tebul Ure Dogon</t>
  </si>
  <si>
    <t>dtu</t>
  </si>
  <si>
    <t>tebu1240</t>
  </si>
  <si>
    <t>Tebul Sign Language</t>
  </si>
  <si>
    <t>tsy</t>
  </si>
  <si>
    <t>tecp1235</t>
  </si>
  <si>
    <t>Tecpatl√°n Totonac</t>
  </si>
  <si>
    <t>tcw</t>
  </si>
  <si>
    <t>Tedaga</t>
  </si>
  <si>
    <t>LY NE NG TD</t>
  </si>
  <si>
    <t>Tedim Chin</t>
  </si>
  <si>
    <t>ctd</t>
  </si>
  <si>
    <t>teed1234</t>
  </si>
  <si>
    <t>Tee Dan</t>
  </si>
  <si>
    <t>teee1241</t>
  </si>
  <si>
    <t>Tee (Gola)</t>
  </si>
  <si>
    <t>teee1242</t>
  </si>
  <si>
    <t>Tee</t>
  </si>
  <si>
    <t>tkq</t>
  </si>
  <si>
    <t>Teenic</t>
  </si>
  <si>
    <t>teen1242</t>
  </si>
  <si>
    <t>T√©√©n</t>
  </si>
  <si>
    <t>lor</t>
  </si>
  <si>
    <t>teer1238</t>
  </si>
  <si>
    <t>Teere</t>
  </si>
  <si>
    <t>tefa1238</t>
  </si>
  <si>
    <t>Tefaro</t>
  </si>
  <si>
    <t>tfo</t>
  </si>
  <si>
    <t>Tegali</t>
  </si>
  <si>
    <t>ras</t>
  </si>
  <si>
    <t>tega1246</t>
  </si>
  <si>
    <t>Tegal</t>
  </si>
  <si>
    <t>tege1243</t>
  </si>
  <si>
    <t>Tegekali</t>
  </si>
  <si>
    <t>Tehit</t>
  </si>
  <si>
    <t>kps</t>
  </si>
  <si>
    <t>tehi1239</t>
  </si>
  <si>
    <t>Tehit Jit</t>
  </si>
  <si>
    <t>Tehrani</t>
  </si>
  <si>
    <t>tehr1243</t>
  </si>
  <si>
    <t>Tehri</t>
  </si>
  <si>
    <t>tehu1242</t>
  </si>
  <si>
    <t>Tehuelche</t>
  </si>
  <si>
    <t>teh</t>
  </si>
  <si>
    <t>Tehuacan-Zongolica Nahuatl</t>
  </si>
  <si>
    <t>Tehuacanic</t>
  </si>
  <si>
    <t>teim1238</t>
  </si>
  <si>
    <t>Teimuri</t>
  </si>
  <si>
    <t>Teiwa</t>
  </si>
  <si>
    <t>twe</t>
  </si>
  <si>
    <t>Teiwa-Sar</t>
  </si>
  <si>
    <t>teix1238</t>
  </si>
  <si>
    <t>Teixeira Pinto</t>
  </si>
  <si>
    <t>teja1235</t>
  </si>
  <si>
    <t>Tejalapan Zapotec</t>
  </si>
  <si>
    <t>ztt</t>
  </si>
  <si>
    <t>teke1272</t>
  </si>
  <si>
    <t>Teke</t>
  </si>
  <si>
    <t>Teke-Fuumu</t>
  </si>
  <si>
    <t>ifm</t>
  </si>
  <si>
    <t>Teke-Tege</t>
  </si>
  <si>
    <t>teg</t>
  </si>
  <si>
    <t>teke1276</t>
  </si>
  <si>
    <t>Teke-Tyee</t>
  </si>
  <si>
    <t>tyx</t>
  </si>
  <si>
    <t>teke1277</t>
  </si>
  <si>
    <t>Teke-Laali</t>
  </si>
  <si>
    <t>lli</t>
  </si>
  <si>
    <t>teke1278</t>
  </si>
  <si>
    <t>Teke-Eboo-Nzikou</t>
  </si>
  <si>
    <t>ebo</t>
  </si>
  <si>
    <t>teke1279</t>
  </si>
  <si>
    <t>Teke-Nzikou</t>
  </si>
  <si>
    <t>nzu</t>
  </si>
  <si>
    <t>teke1280</t>
  </si>
  <si>
    <t>Teke-Kukuya</t>
  </si>
  <si>
    <t>kkw</t>
  </si>
  <si>
    <t>teke1281</t>
  </si>
  <si>
    <t>Teke-Tsaayi</t>
  </si>
  <si>
    <t>tyi</t>
  </si>
  <si>
    <t>teke1282</t>
  </si>
  <si>
    <t>Tekedaya</t>
  </si>
  <si>
    <t>Teke (B.70)</t>
  </si>
  <si>
    <t>tekt1235</t>
  </si>
  <si>
    <t>Tektiteko</t>
  </si>
  <si>
    <t>ttc</t>
  </si>
  <si>
    <t>tela1240</t>
  </si>
  <si>
    <t>Telangana</t>
  </si>
  <si>
    <t>tela1241</t>
  </si>
  <si>
    <t>Tela-Masbuar</t>
  </si>
  <si>
    <t>tvm</t>
  </si>
  <si>
    <t>tele1255</t>
  </si>
  <si>
    <t>Telemar</t>
  </si>
  <si>
    <t>Telefol</t>
  </si>
  <si>
    <t>tlf</t>
  </si>
  <si>
    <t>teli1241</t>
  </si>
  <si>
    <t>Teli</t>
  </si>
  <si>
    <t>teli1245</t>
  </si>
  <si>
    <t>Telire</t>
  </si>
  <si>
    <t>telk1238</t>
  </si>
  <si>
    <t>Tel Kepe</t>
  </si>
  <si>
    <t>telo1238</t>
  </si>
  <si>
    <t>Telom</t>
  </si>
  <si>
    <t>Teluti</t>
  </si>
  <si>
    <t>tlt</t>
  </si>
  <si>
    <t>telu1264</t>
  </si>
  <si>
    <t>Teluk Lili</t>
  </si>
  <si>
    <t>Teluguic</t>
  </si>
  <si>
    <t>telz1238</t>
  </si>
  <si>
    <t>Telzang</t>
  </si>
  <si>
    <t>tema1238</t>
  </si>
  <si>
    <t>Temageri</t>
  </si>
  <si>
    <t>tema1239</t>
  </si>
  <si>
    <t>Temascaltepec Nahuatl</t>
  </si>
  <si>
    <t>nhv</t>
  </si>
  <si>
    <t>tema1243</t>
  </si>
  <si>
    <t>Oued Righ</t>
  </si>
  <si>
    <t>tjo</t>
  </si>
  <si>
    <t>tema1244</t>
  </si>
  <si>
    <t>Temacin</t>
  </si>
  <si>
    <t>temb1269</t>
  </si>
  <si>
    <t>Tembe'</t>
  </si>
  <si>
    <t>Tembo (Kitembo)</t>
  </si>
  <si>
    <t>tbt</t>
  </si>
  <si>
    <t>temb1271</t>
  </si>
  <si>
    <t>Tembo</t>
  </si>
  <si>
    <t>temb1272</t>
  </si>
  <si>
    <t>Motembo-Kunda-Buja</t>
  </si>
  <si>
    <t>tmv</t>
  </si>
  <si>
    <t>temb1273</t>
  </si>
  <si>
    <t>Mataraman</t>
  </si>
  <si>
    <t>temb1274</t>
  </si>
  <si>
    <t>Tembagla</t>
  </si>
  <si>
    <t>temb1275</t>
  </si>
  <si>
    <t>Tembeku√°</t>
  </si>
  <si>
    <t>tupi1285</t>
  </si>
  <si>
    <t>Tenetehara</t>
  </si>
  <si>
    <t>tqb</t>
  </si>
  <si>
    <t>temb1277</t>
  </si>
  <si>
    <t>temb1279</t>
  </si>
  <si>
    <t>Tembe of Gurupi</t>
  </si>
  <si>
    <t>temb1278</t>
  </si>
  <si>
    <t>Tembey</t>
  </si>
  <si>
    <t>Tembe</t>
  </si>
  <si>
    <t>temb1280</t>
  </si>
  <si>
    <t>Tembe of Guama</t>
  </si>
  <si>
    <t>temb1281</t>
  </si>
  <si>
    <t>Tembe of Capim</t>
  </si>
  <si>
    <t>Tem-Chala</t>
  </si>
  <si>
    <t>Temeinic</t>
  </si>
  <si>
    <t>teme1252</t>
  </si>
  <si>
    <t>waka1284</t>
  </si>
  <si>
    <t>Teme</t>
  </si>
  <si>
    <t>tdo</t>
  </si>
  <si>
    <t>temi1247</t>
  </si>
  <si>
    <t>Temi</t>
  </si>
  <si>
    <t>soz</t>
  </si>
  <si>
    <t>temi1248</t>
  </si>
  <si>
    <t>Temimin√≥</t>
  </si>
  <si>
    <t>temm1241</t>
  </si>
  <si>
    <t>Tem</t>
  </si>
  <si>
    <t>kdh</t>
  </si>
  <si>
    <t>Northern Mel</t>
  </si>
  <si>
    <t>temo1243</t>
  </si>
  <si>
    <t>Temoq</t>
  </si>
  <si>
    <t>tmo</t>
  </si>
  <si>
    <t>Temotu</t>
  </si>
  <si>
    <t>temo1245</t>
  </si>
  <si>
    <t>Temoaya Otomi</t>
  </si>
  <si>
    <t>ott</t>
  </si>
  <si>
    <t>temp1235</t>
  </si>
  <si>
    <t>Tempasuk Dusun</t>
  </si>
  <si>
    <t>tdu</t>
  </si>
  <si>
    <t>tems1234</t>
  </si>
  <si>
    <t>Temsamane</t>
  </si>
  <si>
    <t>Temuan</t>
  </si>
  <si>
    <t>tmw</t>
  </si>
  <si>
    <t>tena1239</t>
  </si>
  <si>
    <t>Tenango</t>
  </si>
  <si>
    <t>tena1240</t>
  </si>
  <si>
    <t>Tena Lowland Quichua</t>
  </si>
  <si>
    <t>quw</t>
  </si>
  <si>
    <t>tena1241</t>
  </si>
  <si>
    <t>Tenango Otomi</t>
  </si>
  <si>
    <t>otn</t>
  </si>
  <si>
    <t>Tenda</t>
  </si>
  <si>
    <t>tene1246</t>
  </si>
  <si>
    <t>Tenere</t>
  </si>
  <si>
    <t>tene1247</t>
  </si>
  <si>
    <t>Tenenga</t>
  </si>
  <si>
    <t>west2508</t>
  </si>
  <si>
    <t>Tengou-Togo Dogon</t>
  </si>
  <si>
    <t>dtk</t>
  </si>
  <si>
    <t>teng1262</t>
  </si>
  <si>
    <t>Tengima</t>
  </si>
  <si>
    <t>teng1263</t>
  </si>
  <si>
    <t>Teng</t>
  </si>
  <si>
    <t>teng1264</t>
  </si>
  <si>
    <t>Tengia</t>
  </si>
  <si>
    <t>teng1265</t>
  </si>
  <si>
    <t>Tenga</t>
  </si>
  <si>
    <t>teng1266</t>
  </si>
  <si>
    <t>Tengu Kan</t>
  </si>
  <si>
    <t>Tenggarong Kutai Malay</t>
  </si>
  <si>
    <t>vkt</t>
  </si>
  <si>
    <t>teng1268</t>
  </si>
  <si>
    <t>Tenggarong Kutai</t>
  </si>
  <si>
    <t>teng1269</t>
  </si>
  <si>
    <t>Tengah-Tengah</t>
  </si>
  <si>
    <t>teng1270</t>
  </si>
  <si>
    <t>Tengoh</t>
  </si>
  <si>
    <t>teng1271</t>
  </si>
  <si>
    <t>Tengara</t>
  </si>
  <si>
    <t>teng1272</t>
  </si>
  <si>
    <t>Tengger</t>
  </si>
  <si>
    <t>tes</t>
  </si>
  <si>
    <t>teng1273</t>
  </si>
  <si>
    <t>yach1234</t>
  </si>
  <si>
    <t>Tengsa</t>
  </si>
  <si>
    <t>Tenharim-Parintintin-Diahoi</t>
  </si>
  <si>
    <t>pah</t>
  </si>
  <si>
    <t>Tenino</t>
  </si>
  <si>
    <t>teni1244</t>
  </si>
  <si>
    <t>Tenis</t>
  </si>
  <si>
    <t>tns</t>
  </si>
  <si>
    <t>T'en</t>
  </si>
  <si>
    <t>tct</t>
  </si>
  <si>
    <t>tenn1246</t>
  </si>
  <si>
    <t>Tennet</t>
  </si>
  <si>
    <t>tex</t>
  </si>
  <si>
    <t>tenu1234</t>
  </si>
  <si>
    <t>Tenu Kan</t>
  </si>
  <si>
    <t>teny1242</t>
  </si>
  <si>
    <t>Tenyidie</t>
  </si>
  <si>
    <t>teny1243</t>
  </si>
  <si>
    <t>Tenyer</t>
  </si>
  <si>
    <t>teoj1234</t>
  </si>
  <si>
    <t>Teojomulco Chatino</t>
  </si>
  <si>
    <t>Teop</t>
  </si>
  <si>
    <t>tio</t>
  </si>
  <si>
    <t>Teor-Kur</t>
  </si>
  <si>
    <t>Teor</t>
  </si>
  <si>
    <t>tev</t>
  </si>
  <si>
    <t>teot1238</t>
  </si>
  <si>
    <t>Teotitl√°n del Valle Zapotec</t>
  </si>
  <si>
    <t>Teozacoalco Mixtec</t>
  </si>
  <si>
    <t>Tepehua</t>
  </si>
  <si>
    <t>tepe1277</t>
  </si>
  <si>
    <t>Tepera</t>
  </si>
  <si>
    <t>tepe1278</t>
  </si>
  <si>
    <t>Tepecano</t>
  </si>
  <si>
    <t>tep</t>
  </si>
  <si>
    <t>tepe1279</t>
  </si>
  <si>
    <t>Tepetotutla Chinantec</t>
  </si>
  <si>
    <t>cnt</t>
  </si>
  <si>
    <t>Tepeuxila Cuicatec</t>
  </si>
  <si>
    <t>cux</t>
  </si>
  <si>
    <t>Tepiman</t>
  </si>
  <si>
    <t>tepi1241</t>
  </si>
  <si>
    <t>Tepinapa Chinantec</t>
  </si>
  <si>
    <t>cte</t>
  </si>
  <si>
    <t>Tepo Krumen</t>
  </si>
  <si>
    <t>ted</t>
  </si>
  <si>
    <t>tepo1240</t>
  </si>
  <si>
    <t>Tepo</t>
  </si>
  <si>
    <t>Tepo-Plapo</t>
  </si>
  <si>
    <t>tepp1235</t>
  </si>
  <si>
    <t>Tep</t>
  </si>
  <si>
    <t>tept1239</t>
  </si>
  <si>
    <t>Tepter</t>
  </si>
  <si>
    <t>Tequistlatecan</t>
  </si>
  <si>
    <t>tequ1245</t>
  </si>
  <si>
    <t>Tequistlateco Chontal</t>
  </si>
  <si>
    <t>Tera</t>
  </si>
  <si>
    <t>ttr</t>
  </si>
  <si>
    <t>Teressa</t>
  </si>
  <si>
    <t>tef</t>
  </si>
  <si>
    <t>tere1273</t>
  </si>
  <si>
    <t>Terekeme</t>
  </si>
  <si>
    <t>tere1274</t>
  </si>
  <si>
    <t>Terekongo</t>
  </si>
  <si>
    <t>tere1275</t>
  </si>
  <si>
    <t>Terego</t>
  </si>
  <si>
    <t>tere1276</t>
  </si>
  <si>
    <t>Terebu</t>
  </si>
  <si>
    <t>trb</t>
  </si>
  <si>
    <t>tere1277</t>
  </si>
  <si>
    <t>Tereweng</t>
  </si>
  <si>
    <t>twg</t>
  </si>
  <si>
    <t>tere1278</t>
  </si>
  <si>
    <t>Terei</t>
  </si>
  <si>
    <t>buo</t>
  </si>
  <si>
    <t>Terena-Kinikinao-Chane</t>
  </si>
  <si>
    <t>ter</t>
  </si>
  <si>
    <t>tere1281</t>
  </si>
  <si>
    <t>Terena</t>
  </si>
  <si>
    <t>terg1238</t>
  </si>
  <si>
    <t>Tergawar</t>
  </si>
  <si>
    <t>teri1243</t>
  </si>
  <si>
    <t>Teri</t>
  </si>
  <si>
    <t>teri1244</t>
  </si>
  <si>
    <t>Terik</t>
  </si>
  <si>
    <t>tec</t>
  </si>
  <si>
    <t>teri1250</t>
  </si>
  <si>
    <t>Teribe</t>
  </si>
  <si>
    <t>tfr</t>
  </si>
  <si>
    <t>Termanu</t>
  </si>
  <si>
    <t>twu</t>
  </si>
  <si>
    <t>tern1246</t>
  </si>
  <si>
    <t>Ternatean</t>
  </si>
  <si>
    <t>tern1247</t>
  </si>
  <si>
    <t>Ternate</t>
  </si>
  <si>
    <t>tft</t>
  </si>
  <si>
    <t>tern1248</t>
  </si>
  <si>
    <t>Ternate√±o</t>
  </si>
  <si>
    <t>tmg</t>
  </si>
  <si>
    <t>Ternate-Zamboanga-Cavite</t>
  </si>
  <si>
    <t>terr1239</t>
  </si>
  <si>
    <t>Ter</t>
  </si>
  <si>
    <t>ters1235</t>
  </si>
  <si>
    <t>Ter Saami</t>
  </si>
  <si>
    <t>sjt</t>
  </si>
  <si>
    <t>west2902</t>
  </si>
  <si>
    <t>Terschelling Frisian</t>
  </si>
  <si>
    <t>teru1237</t>
  </si>
  <si>
    <t>Teruku</t>
  </si>
  <si>
    <t>tesa1236</t>
  </si>
  <si>
    <t>Tesaka Malagasy</t>
  </si>
  <si>
    <t>tkg</t>
  </si>
  <si>
    <t>tese1238</t>
  </si>
  <si>
    <t>Tese</t>
  </si>
  <si>
    <t>keg</t>
  </si>
  <si>
    <t>tesh1239</t>
  </si>
  <si>
    <t>Teshenawa</t>
  </si>
  <si>
    <t>twc</t>
  </si>
  <si>
    <t>Teso-Lotuxo-Maa</t>
  </si>
  <si>
    <t>teso1248</t>
  </si>
  <si>
    <t>Teso-Turkana</t>
  </si>
  <si>
    <t>Teso</t>
  </si>
  <si>
    <t>teo</t>
  </si>
  <si>
    <t>tesu1244</t>
  </si>
  <si>
    <t>Tesu</t>
  </si>
  <si>
    <t>tesu1245</t>
  </si>
  <si>
    <t>Tesuque</t>
  </si>
  <si>
    <t>teta1238</t>
  </si>
  <si>
    <t>Tetang</t>
  </si>
  <si>
    <t>tete1250</t>
  </si>
  <si>
    <t>Tetela</t>
  </si>
  <si>
    <t>tll</t>
  </si>
  <si>
    <t>tete1251</t>
  </si>
  <si>
    <t>Tetelcingo Nahuatl</t>
  </si>
  <si>
    <t>nhg</t>
  </si>
  <si>
    <t>tete1252</t>
  </si>
  <si>
    <t>Tetete</t>
  </si>
  <si>
    <t>teb</t>
  </si>
  <si>
    <t>Tetelaic</t>
  </si>
  <si>
    <t>teto1234</t>
  </si>
  <si>
    <t>Tetovo</t>
  </si>
  <si>
    <t>tets1235</t>
  </si>
  <si>
    <t>west2724</t>
  </si>
  <si>
    <t>Tetserret</t>
  </si>
  <si>
    <t>tez</t>
  </si>
  <si>
    <t>tetu1244</t>
  </si>
  <si>
    <t>Tetunic</t>
  </si>
  <si>
    <t>Tetum</t>
  </si>
  <si>
    <t>tet</t>
  </si>
  <si>
    <t>tetu1246</t>
  </si>
  <si>
    <t>Tetun Dili</t>
  </si>
  <si>
    <t>tdt</t>
  </si>
  <si>
    <t>teud1237</t>
  </si>
  <si>
    <t>Te'uda</t>
  </si>
  <si>
    <t>teui1238</t>
  </si>
  <si>
    <t>Te√ºi</t>
  </si>
  <si>
    <t>teun1241</t>
  </si>
  <si>
    <t>Te'un</t>
  </si>
  <si>
    <t>tve</t>
  </si>
  <si>
    <t>Teun-Nila-Serua</t>
  </si>
  <si>
    <t>teus1236</t>
  </si>
  <si>
    <t>Teushen</t>
  </si>
  <si>
    <t>teut1235</t>
  </si>
  <si>
    <t>Teutila Cuicatec</t>
  </si>
  <si>
    <t>cut</t>
  </si>
  <si>
    <t>tevr1238</t>
  </si>
  <si>
    <t>Tevriz</t>
  </si>
  <si>
    <t>tewa1259</t>
  </si>
  <si>
    <t>Tewatewa</t>
  </si>
  <si>
    <t>Rio Grande Tewa</t>
  </si>
  <si>
    <t>tew</t>
  </si>
  <si>
    <t>Tewa</t>
  </si>
  <si>
    <t>tewe1238</t>
  </si>
  <si>
    <t>Tewe</t>
  </si>
  <si>
    <t>twx</t>
  </si>
  <si>
    <t>texa1234</t>
  </si>
  <si>
    <t>Texas South English</t>
  </si>
  <si>
    <t>texc1235</t>
  </si>
  <si>
    <t>Texcatepec Otomi</t>
  </si>
  <si>
    <t>otx</t>
  </si>
  <si>
    <t>texi1237</t>
  </si>
  <si>
    <t>Texistepec Popoluca</t>
  </si>
  <si>
    <t>poq</t>
  </si>
  <si>
    <t>texm1235</t>
  </si>
  <si>
    <t>Texmelucan Zapotec</t>
  </si>
  <si>
    <t>zpz</t>
  </si>
  <si>
    <t>tezo1238</t>
  </si>
  <si>
    <t>Tezoatl√°n Mixtec</t>
  </si>
  <si>
    <t>mxb</t>
  </si>
  <si>
    <t>tezo1239</t>
  </si>
  <si>
    <t>Tezoatl√°n</t>
  </si>
  <si>
    <t>tezz1239</t>
  </si>
  <si>
    <t>Tez</t>
  </si>
  <si>
    <t>tfue1237</t>
  </si>
  <si>
    <t>Tfuea</t>
  </si>
  <si>
    <t>TGB Celtic</t>
  </si>
  <si>
    <t>thaa1239</t>
  </si>
  <si>
    <t>Tha</t>
  </si>
  <si>
    <t>thy</t>
  </si>
  <si>
    <t>thab1238</t>
  </si>
  <si>
    <t>Thabanggi</t>
  </si>
  <si>
    <t>thac1235</t>
  </si>
  <si>
    <t>Thachanadan</t>
  </si>
  <si>
    <t>thn</t>
  </si>
  <si>
    <t>Thado Chin</t>
  </si>
  <si>
    <t>tcz</t>
  </si>
  <si>
    <t>Thadoic</t>
  </si>
  <si>
    <t>thag1240</t>
  </si>
  <si>
    <t>Thagichu</t>
  </si>
  <si>
    <t>thai1240</t>
  </si>
  <si>
    <t>Thai Sign Language</t>
  </si>
  <si>
    <t>tsq</t>
  </si>
  <si>
    <t>thai1259</t>
  </si>
  <si>
    <t>Thai Song</t>
  </si>
  <si>
    <t>soa</t>
  </si>
  <si>
    <t>thai1260</t>
  </si>
  <si>
    <t>Thai Malay</t>
  </si>
  <si>
    <t>Thai</t>
  </si>
  <si>
    <t>tha</t>
  </si>
  <si>
    <t>KH MM TH</t>
  </si>
  <si>
    <t>thak1243</t>
  </si>
  <si>
    <t>Thakuri</t>
  </si>
  <si>
    <t>Thakali-Chantyal</t>
  </si>
  <si>
    <t>ths</t>
  </si>
  <si>
    <t>thal1241</t>
  </si>
  <si>
    <t>Thali</t>
  </si>
  <si>
    <t>thal1242</t>
  </si>
  <si>
    <t>Thal</t>
  </si>
  <si>
    <t>Thalanyji-Burduna</t>
  </si>
  <si>
    <t>than1254</t>
  </si>
  <si>
    <t>Thang</t>
  </si>
  <si>
    <t>than1255</t>
  </si>
  <si>
    <t>Thangal Naga</t>
  </si>
  <si>
    <t>nki</t>
  </si>
  <si>
    <t>than1256</t>
  </si>
  <si>
    <t>Thangngen</t>
  </si>
  <si>
    <t>than1257</t>
  </si>
  <si>
    <t>Thangkachep</t>
  </si>
  <si>
    <t>Thangmi-Baram</t>
  </si>
  <si>
    <t>Thangmi</t>
  </si>
  <si>
    <t>thf</t>
  </si>
  <si>
    <t>Thao</t>
  </si>
  <si>
    <t>ssf</t>
  </si>
  <si>
    <t>thar1276</t>
  </si>
  <si>
    <t>Tharadari Koli</t>
  </si>
  <si>
    <t>thar1277</t>
  </si>
  <si>
    <t>Tharadari Bhil</t>
  </si>
  <si>
    <t>thar1278</t>
  </si>
  <si>
    <t>Tharu (Bhojpuri)</t>
  </si>
  <si>
    <t>thar1280</t>
  </si>
  <si>
    <t>Tharu</t>
  </si>
  <si>
    <t>thar1281</t>
  </si>
  <si>
    <t>Thareli</t>
  </si>
  <si>
    <t>thar1282</t>
  </si>
  <si>
    <t>Thari</t>
  </si>
  <si>
    <t>Tharaka</t>
  </si>
  <si>
    <t>thk</t>
  </si>
  <si>
    <t>Tharuic</t>
  </si>
  <si>
    <t>thar1285</t>
  </si>
  <si>
    <t>Tharuuca</t>
  </si>
  <si>
    <t>Thawa</t>
  </si>
  <si>
    <t>thay1247</t>
  </si>
  <si>
    <t>Thayetmyo</t>
  </si>
  <si>
    <t>thay1248</t>
  </si>
  <si>
    <t>Thaypan</t>
  </si>
  <si>
    <t>typ</t>
  </si>
  <si>
    <t>thay1249</t>
  </si>
  <si>
    <t>Thayore</t>
  </si>
  <si>
    <t>thd</t>
  </si>
  <si>
    <t>Thaypanic</t>
  </si>
  <si>
    <t>Thebor</t>
  </si>
  <si>
    <t>thee1239</t>
  </si>
  <si>
    <t>Theen</t>
  </si>
  <si>
    <t>thee1240</t>
  </si>
  <si>
    <t>The</t>
  </si>
  <si>
    <t>thx</t>
  </si>
  <si>
    <t>them1241</t>
  </si>
  <si>
    <t>Thembu</t>
  </si>
  <si>
    <t>them1242</t>
  </si>
  <si>
    <t>Themchen</t>
  </si>
  <si>
    <t>Then-MMS</t>
  </si>
  <si>
    <t>thia1238</t>
  </si>
  <si>
    <t>Thiang</t>
  </si>
  <si>
    <t>thii1234</t>
  </si>
  <si>
    <t>Thiin</t>
  </si>
  <si>
    <t>iin</t>
  </si>
  <si>
    <t>thla1238</t>
  </si>
  <si>
    <t>Thlaro</t>
  </si>
  <si>
    <t>thog1238</t>
  </si>
  <si>
    <t>Thognaath</t>
  </si>
  <si>
    <t>thoi1238</t>
  </si>
  <si>
    <t>Thoi</t>
  </si>
  <si>
    <t>thom1243</t>
  </si>
  <si>
    <t>Thompson</t>
  </si>
  <si>
    <t>thp</t>
  </si>
  <si>
    <t>Tho</t>
  </si>
  <si>
    <t>tou</t>
  </si>
  <si>
    <t>Thopho-Core Muji</t>
  </si>
  <si>
    <t>thop1236</t>
  </si>
  <si>
    <t>Thopho</t>
  </si>
  <si>
    <t>ytp</t>
  </si>
  <si>
    <t>thra1248</t>
  </si>
  <si>
    <t>Thracian Greek</t>
  </si>
  <si>
    <t>thra1249</t>
  </si>
  <si>
    <t>Thracian Arvanitika</t>
  </si>
  <si>
    <t>Thracian</t>
  </si>
  <si>
    <t>Three Rivers</t>
  </si>
  <si>
    <t>thua1237</t>
  </si>
  <si>
    <t>Thuanga</t>
  </si>
  <si>
    <t>thud1238</t>
  </si>
  <si>
    <t>Thudam</t>
  </si>
  <si>
    <t>thw</t>
  </si>
  <si>
    <t>thui1238</t>
  </si>
  <si>
    <t>Thui Phum</t>
  </si>
  <si>
    <t>thuk1239</t>
  </si>
  <si>
    <t>Thukumi</t>
  </si>
  <si>
    <t>Thulung</t>
  </si>
  <si>
    <t>tdh</t>
  </si>
  <si>
    <t>thul1247</t>
  </si>
  <si>
    <t>Thu Lao</t>
  </si>
  <si>
    <t>tyl</t>
  </si>
  <si>
    <t>Thuringian</t>
  </si>
  <si>
    <t>Thura-Yura</t>
  </si>
  <si>
    <t>thur1254</t>
  </si>
  <si>
    <t>Thurawal</t>
  </si>
  <si>
    <t>tbh</t>
  </si>
  <si>
    <t>Thuri</t>
  </si>
  <si>
    <t>thu</t>
  </si>
  <si>
    <t>tiaa1238</t>
  </si>
  <si>
    <t>Tiaala</t>
  </si>
  <si>
    <t>tiag1235</t>
  </si>
  <si>
    <t>Tiagbamrin Aizi</t>
  </si>
  <si>
    <t>ahi</t>
  </si>
  <si>
    <t>tial1239</t>
  </si>
  <si>
    <t>Tiale</t>
  </si>
  <si>
    <t>mnl</t>
  </si>
  <si>
    <t>tial1240</t>
  </si>
  <si>
    <t>Tial</t>
  </si>
  <si>
    <t>Tiale-Merei-Navut</t>
  </si>
  <si>
    <t>tian1237</t>
  </si>
  <si>
    <t>Tiang</t>
  </si>
  <si>
    <t>tbj</t>
  </si>
  <si>
    <t>tian1238</t>
  </si>
  <si>
    <t>Tianjin Mandarin</t>
  </si>
  <si>
    <t>Tiaoxi</t>
  </si>
  <si>
    <t>tiap1238</t>
  </si>
  <si>
    <t>Tiapi</t>
  </si>
  <si>
    <t>tiau1238</t>
  </si>
  <si>
    <t>Tiau</t>
  </si>
  <si>
    <t>tiay1238</t>
  </si>
  <si>
    <t>Tiayai</t>
  </si>
  <si>
    <t>Tiba-Dong</t>
  </si>
  <si>
    <t>Tibetan</t>
  </si>
  <si>
    <t>bod</t>
  </si>
  <si>
    <t>tibe1274</t>
  </si>
  <si>
    <t>Tibea</t>
  </si>
  <si>
    <t>ngy</t>
  </si>
  <si>
    <t>West Himalayish</t>
  </si>
  <si>
    <t>Middle Old Tibetan</t>
  </si>
  <si>
    <t>tibe1277</t>
  </si>
  <si>
    <t>Tibetan Sign Language</t>
  </si>
  <si>
    <t>tibi1237</t>
  </si>
  <si>
    <t>Tibia</t>
  </si>
  <si>
    <t>tibo1240</t>
  </si>
  <si>
    <t>Ti-Bozo</t>
  </si>
  <si>
    <t>Tibor-Omosa</t>
  </si>
  <si>
    <t>Tiboran</t>
  </si>
  <si>
    <t>tich1238</t>
  </si>
  <si>
    <t>Tichurong</t>
  </si>
  <si>
    <t>tcn</t>
  </si>
  <si>
    <t>tici1238</t>
  </si>
  <si>
    <t>Ticinese</t>
  </si>
  <si>
    <t>Ticuna-Yuri</t>
  </si>
  <si>
    <t>ticu1245</t>
  </si>
  <si>
    <t>Ticuna</t>
  </si>
  <si>
    <t>tca</t>
  </si>
  <si>
    <t>tida1235</t>
  </si>
  <si>
    <t>Tida√° Mixtec</t>
  </si>
  <si>
    <t>mtx</t>
  </si>
  <si>
    <t>tidi1241</t>
  </si>
  <si>
    <t>Tidikelt-Tuat Tamazight</t>
  </si>
  <si>
    <t>tia</t>
  </si>
  <si>
    <t>tidi1242</t>
  </si>
  <si>
    <t>Tidikelt</t>
  </si>
  <si>
    <t>tido1248</t>
  </si>
  <si>
    <t>Tidore</t>
  </si>
  <si>
    <t>tvo</t>
  </si>
  <si>
    <t>Tidung-Bulusu</t>
  </si>
  <si>
    <t>Tidung</t>
  </si>
  <si>
    <t>tid</t>
  </si>
  <si>
    <t>tiee1238</t>
  </si>
  <si>
    <t>Tie</t>
  </si>
  <si>
    <t>tief1242</t>
  </si>
  <si>
    <t>tief1243</t>
  </si>
  <si>
    <t>Tiefo-Daramandugu</t>
  </si>
  <si>
    <t>tiq</t>
  </si>
  <si>
    <t>Tiefoic</t>
  </si>
  <si>
    <t>Tiefo-Nyafogo-Numudara</t>
  </si>
  <si>
    <t>tiem1235</t>
  </si>
  <si>
    <t>Tiemac√®w√® Bozo</t>
  </si>
  <si>
    <t>boo</t>
  </si>
  <si>
    <t>tien1242</t>
  </si>
  <si>
    <t>Tiene</t>
  </si>
  <si>
    <t>tii</t>
  </si>
  <si>
    <t>tien1243</t>
  </si>
  <si>
    <t>Tienpo</t>
  </si>
  <si>
    <t>tiey1235</t>
  </si>
  <si>
    <t>Ti√©yaxo Bozo</t>
  </si>
  <si>
    <t>boz</t>
  </si>
  <si>
    <t>Tifal</t>
  </si>
  <si>
    <t>tif</t>
  </si>
  <si>
    <t>tiga1243</t>
  </si>
  <si>
    <t>Tigalu</t>
  </si>
  <si>
    <t>tiga1244</t>
  </si>
  <si>
    <t>Tigania</t>
  </si>
  <si>
    <t>Tigak</t>
  </si>
  <si>
    <t>tgc</t>
  </si>
  <si>
    <t>tige1238</t>
  </si>
  <si>
    <t>Tige</t>
  </si>
  <si>
    <t>tigl1238</t>
  </si>
  <si>
    <t>Tiglu</t>
  </si>
  <si>
    <t>Tigon Mbembe</t>
  </si>
  <si>
    <t>nza</t>
  </si>
  <si>
    <t>tigr1251</t>
  </si>
  <si>
    <t>Tigranakert</t>
  </si>
  <si>
    <t>tigr1252</t>
  </si>
  <si>
    <t>Tigray</t>
  </si>
  <si>
    <t>tigr1253</t>
  </si>
  <si>
    <t>Tigre Quechua</t>
  </si>
  <si>
    <t>tigr1254</t>
  </si>
  <si>
    <t>Tigrero</t>
  </si>
  <si>
    <t>Tigre</t>
  </si>
  <si>
    <t>tig</t>
  </si>
  <si>
    <t>ER SD</t>
  </si>
  <si>
    <t>tigr1271</t>
  </si>
  <si>
    <t>tigr1276</t>
  </si>
  <si>
    <t>Tigrinya</t>
  </si>
  <si>
    <t>tir</t>
  </si>
  <si>
    <t>DJ ER ET SD</t>
  </si>
  <si>
    <t>tigr1275</t>
  </si>
  <si>
    <t>Tigris Cluster</t>
  </si>
  <si>
    <t>Tigre-Tigrinya</t>
  </si>
  <si>
    <t>Tigre-Dahalik</t>
  </si>
  <si>
    <t>tigw1237</t>
  </si>
  <si>
    <t>Tigwa</t>
  </si>
  <si>
    <t>tiho1238</t>
  </si>
  <si>
    <t>Tihoun</t>
  </si>
  <si>
    <t>tiii1240</t>
  </si>
  <si>
    <t>Ti</t>
  </si>
  <si>
    <t>tiii1241</t>
  </si>
  <si>
    <t>Tii</t>
  </si>
  <si>
    <t>txq</t>
  </si>
  <si>
    <t>tiit1238</t>
  </si>
  <si>
    <t>Tiitaal</t>
  </si>
  <si>
    <t>tija1235</t>
  </si>
  <si>
    <t>Tijaltepec Mixtec</t>
  </si>
  <si>
    <t>xtl</t>
  </si>
  <si>
    <t>tiju1234</t>
  </si>
  <si>
    <t>Tijuana Sign Language</t>
  </si>
  <si>
    <t>tika1245</t>
  </si>
  <si>
    <t>Tika</t>
  </si>
  <si>
    <t>Tikar</t>
  </si>
  <si>
    <t>tik</t>
  </si>
  <si>
    <t>tikh1241</t>
  </si>
  <si>
    <t>Tikhir</t>
  </si>
  <si>
    <t>tikh1243</t>
  </si>
  <si>
    <t>Tikhak</t>
  </si>
  <si>
    <t>tila1238</t>
  </si>
  <si>
    <t>Tilamuta</t>
  </si>
  <si>
    <t>tila1239</t>
  </si>
  <si>
    <t>Tilapa Otomi</t>
  </si>
  <si>
    <t>otl</t>
  </si>
  <si>
    <t>till1253</t>
  </si>
  <si>
    <t>Til</t>
  </si>
  <si>
    <t>Tillamook</t>
  </si>
  <si>
    <t>til</t>
  </si>
  <si>
    <t>tilq1235</t>
  </si>
  <si>
    <t>Tilquiapan Zapotec</t>
  </si>
  <si>
    <t>zts</t>
  </si>
  <si>
    <t>Tilung</t>
  </si>
  <si>
    <t>tij</t>
  </si>
  <si>
    <t>tima1241</t>
  </si>
  <si>
    <t>Tima</t>
  </si>
  <si>
    <t>tms</t>
  </si>
  <si>
    <t>Timbe</t>
  </si>
  <si>
    <t>tim</t>
  </si>
  <si>
    <t>timb1252</t>
  </si>
  <si>
    <t>Timbunki</t>
  </si>
  <si>
    <t>Eastern Timbira</t>
  </si>
  <si>
    <t>timb1254</t>
  </si>
  <si>
    <t>Timbira</t>
  </si>
  <si>
    <t>timb1262</t>
  </si>
  <si>
    <t>Timbaro</t>
  </si>
  <si>
    <t>timb1263</t>
  </si>
  <si>
    <t>Timbuktu</t>
  </si>
  <si>
    <t>Timbe-Selepet-Komba</t>
  </si>
  <si>
    <t>timi1241</t>
  </si>
  <si>
    <t>Timingir</t>
  </si>
  <si>
    <t>Timne</t>
  </si>
  <si>
    <t>tem</t>
  </si>
  <si>
    <t>Timote-Cuica</t>
  </si>
  <si>
    <t>Timor Pidgin</t>
  </si>
  <si>
    <t>tvy</t>
  </si>
  <si>
    <t>Timoric A</t>
  </si>
  <si>
    <t>Timoric B</t>
  </si>
  <si>
    <t>Timor-Alor-Pantar</t>
  </si>
  <si>
    <t>timo1262</t>
  </si>
  <si>
    <t>Timok Vlach</t>
  </si>
  <si>
    <t>Timote</t>
  </si>
  <si>
    <t>timo1264</t>
  </si>
  <si>
    <t>Timok</t>
  </si>
  <si>
    <t>Timucua</t>
  </si>
  <si>
    <t>tjm</t>
  </si>
  <si>
    <t>timu1261</t>
  </si>
  <si>
    <t>Timu</t>
  </si>
  <si>
    <t>Timugon Murut</t>
  </si>
  <si>
    <t>tih</t>
  </si>
  <si>
    <t>timu1263</t>
  </si>
  <si>
    <t>Timugon</t>
  </si>
  <si>
    <t>timu1264</t>
  </si>
  <si>
    <t>Timur</t>
  </si>
  <si>
    <t>timu1265</t>
  </si>
  <si>
    <t>Timuqva</t>
  </si>
  <si>
    <t>tina1246</t>
  </si>
  <si>
    <t>Tinani</t>
  </si>
  <si>
    <t>lbf</t>
  </si>
  <si>
    <t>tina1247</t>
  </si>
  <si>
    <t>Tinam</t>
  </si>
  <si>
    <t>Tin√† Sambal</t>
  </si>
  <si>
    <t>xsb</t>
  </si>
  <si>
    <t>tina1249</t>
  </si>
  <si>
    <t>Tinaloctoc</t>
  </si>
  <si>
    <t>tina1250</t>
  </si>
  <si>
    <t>Tinagas</t>
  </si>
  <si>
    <t>tina1254</t>
  </si>
  <si>
    <t>Tina</t>
  </si>
  <si>
    <t>Tina-Bolinao</t>
  </si>
  <si>
    <t>tind1238</t>
  </si>
  <si>
    <t>Tindi</t>
  </si>
  <si>
    <t>tin</t>
  </si>
  <si>
    <t>tind1242</t>
  </si>
  <si>
    <t>Tindal</t>
  </si>
  <si>
    <t>ting1238</t>
  </si>
  <si>
    <t>Tingui-Boto</t>
  </si>
  <si>
    <t>tgv</t>
  </si>
  <si>
    <t>Tingzhou</t>
  </si>
  <si>
    <t>ting1251</t>
  </si>
  <si>
    <t>Tingong</t>
  </si>
  <si>
    <t>ting1252</t>
  </si>
  <si>
    <t>Tinglayan</t>
  </si>
  <si>
    <t>ting1253</t>
  </si>
  <si>
    <t>Tingal</t>
  </si>
  <si>
    <t>tie</t>
  </si>
  <si>
    <t>Tinigua</t>
  </si>
  <si>
    <t>tit</t>
  </si>
  <si>
    <t>tini1247</t>
  </si>
  <si>
    <t>Tinigua Proper</t>
  </si>
  <si>
    <t>tinj1237</t>
  </si>
  <si>
    <t>Tinjar Sibop</t>
  </si>
  <si>
    <t>Drindari‚ÄìKalajd≈æi‚ÄìBugurd≈æi</t>
  </si>
  <si>
    <t>Tin</t>
  </si>
  <si>
    <t>tino1235</t>
  </si>
  <si>
    <t>Tinoc Kallahan</t>
  </si>
  <si>
    <t>tne</t>
  </si>
  <si>
    <t>tinp1237</t>
  </si>
  <si>
    <t>Tinputz</t>
  </si>
  <si>
    <t>tpz</t>
  </si>
  <si>
    <t>Tinputzic</t>
  </si>
  <si>
    <t>tins1238</t>
  </si>
  <si>
    <t>Drindari</t>
  </si>
  <si>
    <t>tint1241</t>
  </si>
  <si>
    <t>Tintekiya</t>
  </si>
  <si>
    <t>tint1242</t>
  </si>
  <si>
    <t>Tinta</t>
  </si>
  <si>
    <t>tiof1238</t>
  </si>
  <si>
    <t>Tioffo</t>
  </si>
  <si>
    <t>tipi1239</t>
  </si>
  <si>
    <t>Tipinini</t>
  </si>
  <si>
    <t>tipl1238</t>
  </si>
  <si>
    <t>Tiple</t>
  </si>
  <si>
    <t>Tipperic</t>
  </si>
  <si>
    <t>tipp1239</t>
  </si>
  <si>
    <t>Tippera</t>
  </si>
  <si>
    <t>tpe</t>
  </si>
  <si>
    <t>tira1253</t>
  </si>
  <si>
    <t>Tirahi</t>
  </si>
  <si>
    <t>tra</t>
  </si>
  <si>
    <t>Tira</t>
  </si>
  <si>
    <t>tic</t>
  </si>
  <si>
    <t>tira1255</t>
  </si>
  <si>
    <t>Tira El Akhdar</t>
  </si>
  <si>
    <t>tira1256</t>
  </si>
  <si>
    <t>Tira Mandi</t>
  </si>
  <si>
    <t>tira1257</t>
  </si>
  <si>
    <t>Tira Lumum</t>
  </si>
  <si>
    <t>tira1258</t>
  </si>
  <si>
    <t>Tiranige Diga Dogon</t>
  </si>
  <si>
    <t>tde</t>
  </si>
  <si>
    <t>tirh1244</t>
  </si>
  <si>
    <t>Tirhari (Kanauji)</t>
  </si>
  <si>
    <t>tirh1245</t>
  </si>
  <si>
    <t>Tirhari (Bundeli)</t>
  </si>
  <si>
    <t>tirh1246</t>
  </si>
  <si>
    <t>Tirhari</t>
  </si>
  <si>
    <t>tiri1256</t>
  </si>
  <si>
    <t>Tiriya</t>
  </si>
  <si>
    <t>tiri1257</t>
  </si>
  <si>
    <t>Tiriki</t>
  </si>
  <si>
    <t>Tiri-Mea</t>
  </si>
  <si>
    <t>cir</t>
  </si>
  <si>
    <t>Tirio</t>
  </si>
  <si>
    <t>Tiriyoan</t>
  </si>
  <si>
    <t>tiri1261</t>
  </si>
  <si>
    <t>Tiri</t>
  </si>
  <si>
    <t>tirm1240</t>
  </si>
  <si>
    <t>Tirma</t>
  </si>
  <si>
    <t>tiru1241</t>
  </si>
  <si>
    <t>Tiruray</t>
  </si>
  <si>
    <t>tiy</t>
  </si>
  <si>
    <t>tish1239</t>
  </si>
  <si>
    <t>Tishena</t>
  </si>
  <si>
    <t>tism1237</t>
  </si>
  <si>
    <t>Tisman</t>
  </si>
  <si>
    <t>tisq1238</t>
  </si>
  <si>
    <t>Tisqopa</t>
  </si>
  <si>
    <t>tita1240</t>
  </si>
  <si>
    <t>Tita</t>
  </si>
  <si>
    <t>tdq</t>
  </si>
  <si>
    <t>Titan</t>
  </si>
  <si>
    <t>tito1234</t>
  </si>
  <si>
    <t>Titong</t>
  </si>
  <si>
    <t>titt1238</t>
  </si>
  <si>
    <t>Tit</t>
  </si>
  <si>
    <t>tive1236</t>
  </si>
  <si>
    <t>waya1272</t>
  </si>
  <si>
    <t>Tiverighotto</t>
  </si>
  <si>
    <t>Tiv-Evand</t>
  </si>
  <si>
    <t>Tiv-Iyive-Otanga</t>
  </si>
  <si>
    <t>Tivoid</t>
  </si>
  <si>
    <t>Tiv</t>
  </si>
  <si>
    <t>tiv</t>
  </si>
  <si>
    <t>tiwa1253</t>
  </si>
  <si>
    <t>Tiwa (India)</t>
  </si>
  <si>
    <t>lax</t>
  </si>
  <si>
    <t>Tiwa-Piro</t>
  </si>
  <si>
    <t>Tiwa</t>
  </si>
  <si>
    <t>Tiwa-Boro</t>
  </si>
  <si>
    <t>tiwi1244</t>
  </si>
  <si>
    <t>Tiwi</t>
  </si>
  <si>
    <t>tiw</t>
  </si>
  <si>
    <t>tiwo1237</t>
  </si>
  <si>
    <t>Tiworo</t>
  </si>
  <si>
    <t>tiya1238</t>
  </si>
  <si>
    <t>Tiyal</t>
  </si>
  <si>
    <t>tjak1234</t>
  </si>
  <si>
    <t>Tjakut</t>
  </si>
  <si>
    <t>Tjarra</t>
  </si>
  <si>
    <t>tjug1234</t>
  </si>
  <si>
    <t>Tjugasjir</t>
  </si>
  <si>
    <t>tjur1240</t>
  </si>
  <si>
    <t>Tjurruru</t>
  </si>
  <si>
    <t>tju</t>
  </si>
  <si>
    <t>tkhu1238</t>
  </si>
  <si>
    <t>T. Khullen</t>
  </si>
  <si>
    <t>tkhu1242</t>
  </si>
  <si>
    <t>Tkhuma</t>
  </si>
  <si>
    <t>tlac1235</t>
  </si>
  <si>
    <t>Tlachichilco Tepehua</t>
  </si>
  <si>
    <t>tpt</t>
  </si>
  <si>
    <t>tlac1237</t>
  </si>
  <si>
    <t>Tlacoapa Me'phaa</t>
  </si>
  <si>
    <t>tpl</t>
  </si>
  <si>
    <t>Tlacoatzintepec-Chiltepec</t>
  </si>
  <si>
    <t>tlac1239</t>
  </si>
  <si>
    <t>Tlacoatzintepec Chinantec</t>
  </si>
  <si>
    <t>ctl</t>
  </si>
  <si>
    <t>tlac1240</t>
  </si>
  <si>
    <t>Tlacolulita Zapotec</t>
  </si>
  <si>
    <t>zpk</t>
  </si>
  <si>
    <t>tlah1238</t>
  </si>
  <si>
    <t>Tlahaping</t>
  </si>
  <si>
    <t>tlah1239</t>
  </si>
  <si>
    <t>Tlahuitoltepec Mixe</t>
  </si>
  <si>
    <t>mxp</t>
  </si>
  <si>
    <t>tlal1234</t>
  </si>
  <si>
    <t>Tlalitzlipa Nahuatl</t>
  </si>
  <si>
    <t>nhj</t>
  </si>
  <si>
    <t>tlam1238</t>
  </si>
  <si>
    <t>Tlam Tlaih</t>
  </si>
  <si>
    <t>tlam1239</t>
  </si>
  <si>
    <t>Tlamacazapa Nahuatl</t>
  </si>
  <si>
    <t>nuz</t>
  </si>
  <si>
    <t>Tlapanec-Manguean</t>
  </si>
  <si>
    <t>tlau1238</t>
  </si>
  <si>
    <t>Tlau</t>
  </si>
  <si>
    <t>tlaz1235</t>
  </si>
  <si>
    <t>Tlazoyaltepec Mixtec</t>
  </si>
  <si>
    <t>mqh</t>
  </si>
  <si>
    <t>tlha1241</t>
  </si>
  <si>
    <t>Tlhaping</t>
  </si>
  <si>
    <t>tlha1242</t>
  </si>
  <si>
    <t>Tlharo</t>
  </si>
  <si>
    <t>tlis1238</t>
  </si>
  <si>
    <t>Tlisi</t>
  </si>
  <si>
    <t>tlok1241</t>
  </si>
  <si>
    <t>Tlokwa</t>
  </si>
  <si>
    <t>tlon1239</t>
  </si>
  <si>
    <t>Tlongsai</t>
  </si>
  <si>
    <t>tlya1238</t>
  </si>
  <si>
    <t>Tlyadaly</t>
  </si>
  <si>
    <t>tmag1238</t>
  </si>
  <si>
    <t>Tmagourt</t>
  </si>
  <si>
    <t>toaa1239</t>
  </si>
  <si>
    <t>Toa</t>
  </si>
  <si>
    <t>toab1237</t>
  </si>
  <si>
    <t>To'abaita</t>
  </si>
  <si>
    <t>mlu</t>
  </si>
  <si>
    <t>toak1237</t>
  </si>
  <si>
    <t>Toak</t>
  </si>
  <si>
    <t>toal1234</t>
  </si>
  <si>
    <t>Toala'</t>
  </si>
  <si>
    <t>tlz</t>
  </si>
  <si>
    <t>Toaripi</t>
  </si>
  <si>
    <t>tqo</t>
  </si>
  <si>
    <t>toba1264</t>
  </si>
  <si>
    <t>Toba (Ethiopia)</t>
  </si>
  <si>
    <t>Batakic</t>
  </si>
  <si>
    <t>toba1266</t>
  </si>
  <si>
    <t>Tobati</t>
  </si>
  <si>
    <t>tti</t>
  </si>
  <si>
    <t>toba1267</t>
  </si>
  <si>
    <t>Tobaku</t>
  </si>
  <si>
    <t>toba1268</t>
  </si>
  <si>
    <t>Toba-Maskoy</t>
  </si>
  <si>
    <t>tmf</t>
  </si>
  <si>
    <t>toba1270</t>
  </si>
  <si>
    <t>Toba-Pilag√°</t>
  </si>
  <si>
    <t>Tobanga</t>
  </si>
  <si>
    <t>tng</t>
  </si>
  <si>
    <t>toba1282</t>
  </si>
  <si>
    <t>Tobagonian Creole English</t>
  </si>
  <si>
    <t>tgh</t>
  </si>
  <si>
    <t>TT</t>
  </si>
  <si>
    <t>tobe1250</t>
  </si>
  <si>
    <t>Tobea Besar</t>
  </si>
  <si>
    <t>tobe1251</t>
  </si>
  <si>
    <t>Tobelo-Tugutil</t>
  </si>
  <si>
    <t>Tobelo</t>
  </si>
  <si>
    <t>tlb</t>
  </si>
  <si>
    <t>tobi1238</t>
  </si>
  <si>
    <t>Tobian</t>
  </si>
  <si>
    <t>tox</t>
  </si>
  <si>
    <t>tobi1239</t>
  </si>
  <si>
    <t>Tobilung</t>
  </si>
  <si>
    <t>tgb</t>
  </si>
  <si>
    <t>Tobi-based pidgin</t>
  </si>
  <si>
    <t>Tobol-Irtysh</t>
  </si>
  <si>
    <t>tobo1250</t>
  </si>
  <si>
    <t>Tobol</t>
  </si>
  <si>
    <t>tobo1251</t>
  </si>
  <si>
    <t>Tobo</t>
  </si>
  <si>
    <t>tbv</t>
  </si>
  <si>
    <t>tobu1238</t>
  </si>
  <si>
    <t>Tobunyuo</t>
  </si>
  <si>
    <t>tobu1241</t>
  </si>
  <si>
    <t>To-Buan</t>
  </si>
  <si>
    <t>toca1235</t>
  </si>
  <si>
    <t>Tocantins Asurini</t>
  </si>
  <si>
    <t>asu</t>
  </si>
  <si>
    <t>toce1238</t>
  </si>
  <si>
    <t>Tocenga</t>
  </si>
  <si>
    <t>toch1257</t>
  </si>
  <si>
    <t>Tocho</t>
  </si>
  <si>
    <t>taz</t>
  </si>
  <si>
    <t>toch1258</t>
  </si>
  <si>
    <t>Tochigi</t>
  </si>
  <si>
    <t>todj1234</t>
  </si>
  <si>
    <t>Todja</t>
  </si>
  <si>
    <t>todo1238</t>
  </si>
  <si>
    <t>Todos Santos Almolonga Popoloca</t>
  </si>
  <si>
    <t>todr1244</t>
  </si>
  <si>
    <t>Todrah</t>
  </si>
  <si>
    <t>tdr</t>
  </si>
  <si>
    <t>toem1238</t>
  </si>
  <si>
    <t>Toemoetoe</t>
  </si>
  <si>
    <t>toen1238</t>
  </si>
  <si>
    <t>Toende</t>
  </si>
  <si>
    <t>tofa1246</t>
  </si>
  <si>
    <t>Tofanma</t>
  </si>
  <si>
    <t>tlg</t>
  </si>
  <si>
    <t>tofa1248</t>
  </si>
  <si>
    <t>Tofa</t>
  </si>
  <si>
    <t>toff1238</t>
  </si>
  <si>
    <t>Tof</t>
  </si>
  <si>
    <t>tofi1235</t>
  </si>
  <si>
    <t>Tofin Gbe</t>
  </si>
  <si>
    <t>tfi</t>
  </si>
  <si>
    <t>togb1241</t>
  </si>
  <si>
    <t>Togbo-Vara Banda</t>
  </si>
  <si>
    <t>tor</t>
  </si>
  <si>
    <t>togb1242</t>
  </si>
  <si>
    <t>Togbo</t>
  </si>
  <si>
    <t>togo1251</t>
  </si>
  <si>
    <t>Togo (Ewe)</t>
  </si>
  <si>
    <t>togo1252</t>
  </si>
  <si>
    <t>Togoyo</t>
  </si>
  <si>
    <t>tgy</t>
  </si>
  <si>
    <t>togo1253</t>
  </si>
  <si>
    <t>Togo</t>
  </si>
  <si>
    <t>togo1254</t>
  </si>
  <si>
    <t>Togo Kan</t>
  </si>
  <si>
    <t>T≈çhoku</t>
  </si>
  <si>
    <t>Tohono O'odam</t>
  </si>
  <si>
    <t>tois1237</t>
  </si>
  <si>
    <t>Toishanese</t>
  </si>
  <si>
    <t>tojo1241</t>
  </si>
  <si>
    <t>Tojolabal</t>
  </si>
  <si>
    <t>toj</t>
  </si>
  <si>
    <t>toka1243</t>
  </si>
  <si>
    <t>Toka</t>
  </si>
  <si>
    <t>Tokano</t>
  </si>
  <si>
    <t>zuh</t>
  </si>
  <si>
    <t>T≈çkai-T≈çsan</t>
  </si>
  <si>
    <t>toke1240</t>
  </si>
  <si>
    <t>tkl</t>
  </si>
  <si>
    <t>TK</t>
  </si>
  <si>
    <t>tokh1241</t>
  </si>
  <si>
    <t>Tokharian</t>
  </si>
  <si>
    <t>tokh1242</t>
  </si>
  <si>
    <t>Tokharian A</t>
  </si>
  <si>
    <t>xto</t>
  </si>
  <si>
    <t>tokh1243</t>
  </si>
  <si>
    <t>Tokharian B</t>
  </si>
  <si>
    <t>txb</t>
  </si>
  <si>
    <t>toki1238</t>
  </si>
  <si>
    <t>Tokita</t>
  </si>
  <si>
    <t>toko1242</t>
  </si>
  <si>
    <t>Toko</t>
  </si>
  <si>
    <t>Tokombere</t>
  </si>
  <si>
    <t>tokp1240</t>
  </si>
  <si>
    <t>Tok Pisin</t>
  </si>
  <si>
    <t>tpi</t>
  </si>
  <si>
    <t>toku1244</t>
  </si>
  <si>
    <t>Tokuni</t>
  </si>
  <si>
    <t>toku1245</t>
  </si>
  <si>
    <t>Tokushima-ben</t>
  </si>
  <si>
    <t>Toku-No-Shima</t>
  </si>
  <si>
    <t>tkn</t>
  </si>
  <si>
    <t>T≈çky≈ç</t>
  </si>
  <si>
    <t>tola1236</t>
  </si>
  <si>
    <t>Tolai-Nakanai-Trade</t>
  </si>
  <si>
    <t>tola1237</t>
  </si>
  <si>
    <t>Tola</t>
  </si>
  <si>
    <t>tola1246</t>
  </si>
  <si>
    <t>Tolamleinyua</t>
  </si>
  <si>
    <t>Tolaki</t>
  </si>
  <si>
    <t>lbw</t>
  </si>
  <si>
    <t>tolc1238</t>
  </si>
  <si>
    <t>Tolchha</t>
  </si>
  <si>
    <t>told1238</t>
  </si>
  <si>
    <t>Toldil</t>
  </si>
  <si>
    <t>tole1238</t>
  </si>
  <si>
    <t>Tolee'</t>
  </si>
  <si>
    <t>toli1243</t>
  </si>
  <si>
    <t>Toli</t>
  </si>
  <si>
    <t>tomi1241</t>
  </si>
  <si>
    <t>Tolitoli</t>
  </si>
  <si>
    <t>toli1245</t>
  </si>
  <si>
    <t>Toliwiku</t>
  </si>
  <si>
    <t>toll1241</t>
  </si>
  <si>
    <t>Tol</t>
  </si>
  <si>
    <t>jic</t>
  </si>
  <si>
    <t>tolo1253</t>
  </si>
  <si>
    <t>Tolo</t>
  </si>
  <si>
    <t>tolo1254</t>
  </si>
  <si>
    <t>Tolo (Solomon Islands)</t>
  </si>
  <si>
    <t>tolo1255</t>
  </si>
  <si>
    <t>Tolomako</t>
  </si>
  <si>
    <t>tlm</t>
  </si>
  <si>
    <t>tolo1256</t>
  </si>
  <si>
    <t>Toloweri</t>
  </si>
  <si>
    <t>tolo1257</t>
  </si>
  <si>
    <t>Tolokoson</t>
  </si>
  <si>
    <t>tolo1259</t>
  </si>
  <si>
    <t>Tolowa-Chetco</t>
  </si>
  <si>
    <t>tol</t>
  </si>
  <si>
    <t>Toma</t>
  </si>
  <si>
    <t>tod</t>
  </si>
  <si>
    <t>toma1246</t>
  </si>
  <si>
    <t>Toma (Eastern Mande)</t>
  </si>
  <si>
    <t>toma1247</t>
  </si>
  <si>
    <t>Tomani</t>
  </si>
  <si>
    <t>toma1248</t>
  </si>
  <si>
    <t>Tomadino</t>
  </si>
  <si>
    <t>tdi</t>
  </si>
  <si>
    <t>Tombulu</t>
  </si>
  <si>
    <t>tom</t>
  </si>
  <si>
    <t>Tombonuo</t>
  </si>
  <si>
    <t>txa</t>
  </si>
  <si>
    <t>tomb1245</t>
  </si>
  <si>
    <t>Tombelala</t>
  </si>
  <si>
    <t>ttp</t>
  </si>
  <si>
    <t>tomb1246</t>
  </si>
  <si>
    <t>Tombidi</t>
  </si>
  <si>
    <t>tome1238</t>
  </si>
  <si>
    <t>Tomea</t>
  </si>
  <si>
    <t>tome1239</t>
  </si>
  <si>
    <t>Tomedes</t>
  </si>
  <si>
    <t>toe</t>
  </si>
  <si>
    <t>Tomini-Tolitoli</t>
  </si>
  <si>
    <t>Tominic</t>
  </si>
  <si>
    <t>tomi1243</t>
  </si>
  <si>
    <t>Tomini</t>
  </si>
  <si>
    <t>txm</t>
  </si>
  <si>
    <t>toml1237</t>
  </si>
  <si>
    <t>Tomliapat</t>
  </si>
  <si>
    <t>tomm1241</t>
  </si>
  <si>
    <t>Tom</t>
  </si>
  <si>
    <t>tomm1242</t>
  </si>
  <si>
    <t>Tommo So Dogon</t>
  </si>
  <si>
    <t>dto</t>
  </si>
  <si>
    <t>tomn1238</t>
  </si>
  <si>
    <t>Tom√±s-Alis</t>
  </si>
  <si>
    <t>tomo1243</t>
  </si>
  <si>
    <t>Tomo Kan Dogon</t>
  </si>
  <si>
    <t>dtm</t>
  </si>
  <si>
    <t>tomo1244</t>
  </si>
  <si>
    <t>Tomoip</t>
  </si>
  <si>
    <t>tqp</t>
  </si>
  <si>
    <t>tomo1245</t>
  </si>
  <si>
    <t>Tomohon</t>
  </si>
  <si>
    <t>tomp1241</t>
  </si>
  <si>
    <t>Tompon</t>
  </si>
  <si>
    <t>tomp1242</t>
  </si>
  <si>
    <t>Tompaso</t>
  </si>
  <si>
    <t>tomy1239</t>
  </si>
  <si>
    <t>Tomyang</t>
  </si>
  <si>
    <t>tmx</t>
  </si>
  <si>
    <t>tona1238</t>
  </si>
  <si>
    <t>Tona</t>
  </si>
  <si>
    <t>tond1249</t>
  </si>
  <si>
    <t>Tondi Songway Kiini</t>
  </si>
  <si>
    <t>tst</t>
  </si>
  <si>
    <t>Tonda</t>
  </si>
  <si>
    <t>Tondano</t>
  </si>
  <si>
    <t>tdn</t>
  </si>
  <si>
    <t>Maniq</t>
  </si>
  <si>
    <t>tnz</t>
  </si>
  <si>
    <t>tong1309</t>
  </si>
  <si>
    <t>Tong (Laos)</t>
  </si>
  <si>
    <t>tong1310</t>
  </si>
  <si>
    <t>Tongren</t>
  </si>
  <si>
    <t>tong1311</t>
  </si>
  <si>
    <t>Tongeccha</t>
  </si>
  <si>
    <t>tong1312</t>
  </si>
  <si>
    <t>Tonglim</t>
  </si>
  <si>
    <t>tong1313</t>
  </si>
  <si>
    <t>Tongjing</t>
  </si>
  <si>
    <t>tong1314</t>
  </si>
  <si>
    <t>Tonggu</t>
  </si>
  <si>
    <t>tong1315</t>
  </si>
  <si>
    <t>Tonga (Chopi)</t>
  </si>
  <si>
    <t>Tonga (Zambia)</t>
  </si>
  <si>
    <t>toi</t>
  </si>
  <si>
    <t>NA ZM ZW</t>
  </si>
  <si>
    <t>tong1320</t>
  </si>
  <si>
    <t>Tongwe</t>
  </si>
  <si>
    <t>tny</t>
  </si>
  <si>
    <t>tong1321</t>
  </si>
  <si>
    <t>tumb1252</t>
  </si>
  <si>
    <t>Tonga (Nyasa)</t>
  </si>
  <si>
    <t>tog</t>
  </si>
  <si>
    <t>tong1322</t>
  </si>
  <si>
    <t>Tongariki Island</t>
  </si>
  <si>
    <t>tong1323</t>
  </si>
  <si>
    <t>Tongoa Island</t>
  </si>
  <si>
    <t>Tongic</t>
  </si>
  <si>
    <t>Tonga (Tonga Islands)</t>
  </si>
  <si>
    <t>Tong</t>
  </si>
  <si>
    <t>tong1327</t>
  </si>
  <si>
    <t>Togian 2</t>
  </si>
  <si>
    <t>tong1328</t>
  </si>
  <si>
    <t>Togian 1</t>
  </si>
  <si>
    <t>tong1329</t>
  </si>
  <si>
    <t>Tongva</t>
  </si>
  <si>
    <t>xgf</t>
  </si>
  <si>
    <t>tong1330</t>
  </si>
  <si>
    <t>Tonghua Qiang</t>
  </si>
  <si>
    <t>tong1331</t>
  </si>
  <si>
    <t>Tongov</t>
  </si>
  <si>
    <t>tong1332</t>
  </si>
  <si>
    <t>Tong (Kombio)</t>
  </si>
  <si>
    <t>tonj1244</t>
  </si>
  <si>
    <t>Tonjo</t>
  </si>
  <si>
    <t>tonj1245</t>
  </si>
  <si>
    <t>Tonj Bongo</t>
  </si>
  <si>
    <t>tonj1246</t>
  </si>
  <si>
    <t>Tonjon</t>
  </si>
  <si>
    <t>tjn</t>
  </si>
  <si>
    <t>tonk1249</t>
  </si>
  <si>
    <t>Tonkawa</t>
  </si>
  <si>
    <t>tqw</t>
  </si>
  <si>
    <t>tons1239</t>
  </si>
  <si>
    <t>Tonsawang</t>
  </si>
  <si>
    <t>tnw</t>
  </si>
  <si>
    <t>Tonsea</t>
  </si>
  <si>
    <t>txs</t>
  </si>
  <si>
    <t>Tontemboan</t>
  </si>
  <si>
    <t>tnt</t>
  </si>
  <si>
    <t>tooo1238</t>
  </si>
  <si>
    <t>To</t>
  </si>
  <si>
    <t>toz</t>
  </si>
  <si>
    <t>toor1238</t>
  </si>
  <si>
    <t>Tooro</t>
  </si>
  <si>
    <t>ttj</t>
  </si>
  <si>
    <t>topa1240</t>
  </si>
  <si>
    <t>Topa</t>
  </si>
  <si>
    <t>Toposa</t>
  </si>
  <si>
    <t>toq</t>
  </si>
  <si>
    <t>topo1243</t>
  </si>
  <si>
    <t>Topoiyo</t>
  </si>
  <si>
    <t>toy</t>
  </si>
  <si>
    <t>topu1237</t>
  </si>
  <si>
    <t>Topura</t>
  </si>
  <si>
    <t>tora1258</t>
  </si>
  <si>
    <t>Tora (Bangba)</t>
  </si>
  <si>
    <t>tora1259</t>
  </si>
  <si>
    <t>Torau</t>
  </si>
  <si>
    <t>ttu</t>
  </si>
  <si>
    <t>Torajic</t>
  </si>
  <si>
    <t>Toraja-Sa'dan</t>
  </si>
  <si>
    <t>sda</t>
  </si>
  <si>
    <t>tora1262</t>
  </si>
  <si>
    <t>Toraja Barat</t>
  </si>
  <si>
    <t>tora1263</t>
  </si>
  <si>
    <t>Tor√°</t>
  </si>
  <si>
    <t>trz</t>
  </si>
  <si>
    <t>tora1267</t>
  </si>
  <si>
    <t>Toram</t>
  </si>
  <si>
    <t>trj</t>
  </si>
  <si>
    <t>Tor</t>
  </si>
  <si>
    <t>tore1237</t>
  </si>
  <si>
    <t>Torete</t>
  </si>
  <si>
    <t>Torgut</t>
  </si>
  <si>
    <t>torg1246</t>
  </si>
  <si>
    <t>Torgon</t>
  </si>
  <si>
    <t>tori1242</t>
  </si>
  <si>
    <t>Torishima</t>
  </si>
  <si>
    <t>torn1243</t>
  </si>
  <si>
    <t>Torne</t>
  </si>
  <si>
    <t>Tornedalen Finnish</t>
  </si>
  <si>
    <t>fit</t>
  </si>
  <si>
    <t>torn1245</t>
  </si>
  <si>
    <t>Torne Valley Finnish</t>
  </si>
  <si>
    <t>toro1249</t>
  </si>
  <si>
    <t>Toro</t>
  </si>
  <si>
    <t>tdv</t>
  </si>
  <si>
    <t>toro1251</t>
  </si>
  <si>
    <t>Torona</t>
  </si>
  <si>
    <t>tqr</t>
  </si>
  <si>
    <t>Toro So Dogon</t>
  </si>
  <si>
    <t>dts</t>
  </si>
  <si>
    <t>toro1253</t>
  </si>
  <si>
    <t>Toro Tegu Dogon</t>
  </si>
  <si>
    <t>dtt</t>
  </si>
  <si>
    <t>toro1255</t>
  </si>
  <si>
    <t>Toromono</t>
  </si>
  <si>
    <t>tno</t>
  </si>
  <si>
    <t>Tor-Orya</t>
  </si>
  <si>
    <t>toro1259</t>
  </si>
  <si>
    <t>Tor-Orya (Unattested)</t>
  </si>
  <si>
    <t>torr1258</t>
  </si>
  <si>
    <t>Torrock-Ka√©l√©</t>
  </si>
  <si>
    <t>Aro</t>
  </si>
  <si>
    <t>tei</t>
  </si>
  <si>
    <t>torr1261</t>
  </si>
  <si>
    <t>Torres Strait Creole</t>
  </si>
  <si>
    <t>tcs</t>
  </si>
  <si>
    <t>Torres-Banks linkage</t>
  </si>
  <si>
    <t>tort1234</t>
  </si>
  <si>
    <t>Tortos√¨</t>
  </si>
  <si>
    <t>Torwali</t>
  </si>
  <si>
    <t>trw</t>
  </si>
  <si>
    <t>tosh1237</t>
  </si>
  <si>
    <t>T≈çshin</t>
  </si>
  <si>
    <t>tosi1237</t>
  </si>
  <si>
    <t>Tosila'ai</t>
  </si>
  <si>
    <t>Northern Tosk Albanian</t>
  </si>
  <si>
    <t>als</t>
  </si>
  <si>
    <t>AL GR MK</t>
  </si>
  <si>
    <t>tosu1234</t>
  </si>
  <si>
    <t>Tosu</t>
  </si>
  <si>
    <t>tota1238</t>
  </si>
  <si>
    <t>Totali</t>
  </si>
  <si>
    <t>tote1238</t>
  </si>
  <si>
    <t>Totela</t>
  </si>
  <si>
    <t>ttl</t>
  </si>
  <si>
    <t>NA ZM</t>
  </si>
  <si>
    <t>Totonacan</t>
  </si>
  <si>
    <t>toto1302</t>
  </si>
  <si>
    <t>Toto</t>
  </si>
  <si>
    <t>txo</t>
  </si>
  <si>
    <t>toto1303</t>
  </si>
  <si>
    <t>Totok</t>
  </si>
  <si>
    <t>toto1304</t>
  </si>
  <si>
    <t>Totoli</t>
  </si>
  <si>
    <t>txe</t>
  </si>
  <si>
    <t>toto1305</t>
  </si>
  <si>
    <t>Totontepec Mixe</t>
  </si>
  <si>
    <t>mto</t>
  </si>
  <si>
    <t>toto1306</t>
  </si>
  <si>
    <t>Totoro</t>
  </si>
  <si>
    <t>ttk</t>
  </si>
  <si>
    <t>toto1307</t>
  </si>
  <si>
    <t>Tototepec</t>
  </si>
  <si>
    <t>toto1308</t>
  </si>
  <si>
    <t>west2645</t>
  </si>
  <si>
    <t>Totomachapan Zapotec</t>
  </si>
  <si>
    <t>zph</t>
  </si>
  <si>
    <t>tott1237</t>
  </si>
  <si>
    <t>Tottori</t>
  </si>
  <si>
    <t>toua1238</t>
  </si>
  <si>
    <t>Touat</t>
  </si>
  <si>
    <t>touc1238</t>
  </si>
  <si>
    <t>Toucouleur</t>
  </si>
  <si>
    <t>toud1238</t>
  </si>
  <si>
    <t>Toudougouka</t>
  </si>
  <si>
    <t>toul1237</t>
  </si>
  <si>
    <t>Touloun</t>
  </si>
  <si>
    <t>toum1239</t>
  </si>
  <si>
    <t>Toum</t>
  </si>
  <si>
    <t>touo1238</t>
  </si>
  <si>
    <t>Touo</t>
  </si>
  <si>
    <t>tqu</t>
  </si>
  <si>
    <t>Toura (C√¥te d'Ivoire)</t>
  </si>
  <si>
    <t>neb</t>
  </si>
  <si>
    <t>tour1243</t>
  </si>
  <si>
    <t>Toura (Papua New Guinea)</t>
  </si>
  <si>
    <t>don</t>
  </si>
  <si>
    <t>tour1244</t>
  </si>
  <si>
    <t>Tourai</t>
  </si>
  <si>
    <t>Toura-Goo</t>
  </si>
  <si>
    <t>towe1240</t>
  </si>
  <si>
    <t>Towei</t>
  </si>
  <si>
    <t>ttn</t>
  </si>
  <si>
    <t>Town Bemba</t>
  </si>
  <si>
    <t>town1239</t>
  </si>
  <si>
    <t>Town Frisian</t>
  </si>
  <si>
    <t>toya1237</t>
  </si>
  <si>
    <t>Toyama</t>
  </si>
  <si>
    <t>toye1240</t>
  </si>
  <si>
    <t>Toyeri</t>
  </si>
  <si>
    <t>tozl1239</t>
  </si>
  <si>
    <t>Tozluk Turks</t>
  </si>
  <si>
    <t>trab1239</t>
  </si>
  <si>
    <t>Trabzon</t>
  </si>
  <si>
    <t>tran1277</t>
  </si>
  <si>
    <t>Transylvanian</t>
  </si>
  <si>
    <t>tran1278</t>
  </si>
  <si>
    <t>Transalpin</t>
  </si>
  <si>
    <t>tran1280</t>
  </si>
  <si>
    <t>Romungro</t>
  </si>
  <si>
    <t>tran1281</t>
  </si>
  <si>
    <t>Transitional Kanauji</t>
  </si>
  <si>
    <t>tran1282</t>
  </si>
  <si>
    <t>Transalpine Gaulish</t>
  </si>
  <si>
    <t>xtg</t>
  </si>
  <si>
    <t>Transversal Lowland East Cushitic</t>
  </si>
  <si>
    <t>Transversal South Ethiopic</t>
  </si>
  <si>
    <t>Trans-Zab</t>
  </si>
  <si>
    <t>tran1291</t>
  </si>
  <si>
    <t>Transtrand</t>
  </si>
  <si>
    <t>tran1292</t>
  </si>
  <si>
    <t>Transitional Bulgarian</t>
  </si>
  <si>
    <t>tran1293</t>
  </si>
  <si>
    <t>Transylvanian Bulgarian</t>
  </si>
  <si>
    <t>tran1294</t>
  </si>
  <si>
    <t>Transylvanian Saxon</t>
  </si>
  <si>
    <t>Transitional Eastern Agaw</t>
  </si>
  <si>
    <t>trap1238</t>
  </si>
  <si>
    <t>Trappist Sign Language</t>
  </si>
  <si>
    <t>trav1235</t>
  </si>
  <si>
    <t>Traveller Scottish</t>
  </si>
  <si>
    <t>trl</t>
  </si>
  <si>
    <t>AU GB US</t>
  </si>
  <si>
    <t>trav1236</t>
  </si>
  <si>
    <t>Traveller Norwegian</t>
  </si>
  <si>
    <t>rmg</t>
  </si>
  <si>
    <t>trav1237</t>
  </si>
  <si>
    <t>Traveller Danish</t>
  </si>
  <si>
    <t>rmd</t>
  </si>
  <si>
    <t>traw1239</t>
  </si>
  <si>
    <t>Traw</t>
  </si>
  <si>
    <t>tred1238</t>
  </si>
  <si>
    <t>Tredici Communi Cimbrian</t>
  </si>
  <si>
    <t>treg1243</t>
  </si>
  <si>
    <t>waig1246</t>
  </si>
  <si>
    <t>Tregami</t>
  </si>
  <si>
    <t>trm</t>
  </si>
  <si>
    <t>treg1244</t>
  </si>
  <si>
    <t>Tregorrois</t>
  </si>
  <si>
    <t>trem1235</t>
  </si>
  <si>
    <t>Trememb√©</t>
  </si>
  <si>
    <t>tme</t>
  </si>
  <si>
    <t>trem1243</t>
  </si>
  <si>
    <t>Trembo</t>
  </si>
  <si>
    <t>tren1240</t>
  </si>
  <si>
    <t>Trentino Western</t>
  </si>
  <si>
    <t>trep1238</t>
  </si>
  <si>
    <t>Trepo</t>
  </si>
  <si>
    <t>tret1239</t>
  </si>
  <si>
    <t>Tretine</t>
  </si>
  <si>
    <t>trie1242</t>
  </si>
  <si>
    <t>Triestine</t>
  </si>
  <si>
    <t>trie1243</t>
  </si>
  <si>
    <t>unun9940</t>
  </si>
  <si>
    <t>Trieng</t>
  </si>
  <si>
    <t>stg</t>
  </si>
  <si>
    <t>trie1244</t>
  </si>
  <si>
    <t>Trierish</t>
  </si>
  <si>
    <t>trii1240</t>
  </si>
  <si>
    <t>Tri</t>
  </si>
  <si>
    <t>trim1239</t>
  </si>
  <si>
    <t>Trimuris</t>
  </si>
  <si>
    <t>tip</t>
  </si>
  <si>
    <t>trin1268</t>
  </si>
  <si>
    <t>Trinidad Bhojpuri</t>
  </si>
  <si>
    <t>trin1269</t>
  </si>
  <si>
    <t>Trinkut</t>
  </si>
  <si>
    <t>trin1270</t>
  </si>
  <si>
    <t>Tring (Austroasiatic)</t>
  </si>
  <si>
    <t>Tringgus-Sembaan Bidayuh</t>
  </si>
  <si>
    <t>trx</t>
  </si>
  <si>
    <t>trin1272</t>
  </si>
  <si>
    <t>Tringgus</t>
  </si>
  <si>
    <t>trin1273</t>
  </si>
  <si>
    <t>Tring</t>
  </si>
  <si>
    <t>tgq</t>
  </si>
  <si>
    <t>Trinitario</t>
  </si>
  <si>
    <t>trn</t>
  </si>
  <si>
    <t>Trinidadian Creole English</t>
  </si>
  <si>
    <t>trin1277</t>
  </si>
  <si>
    <t>Trinidad and Tobago Sign Language</t>
  </si>
  <si>
    <t>lst</t>
  </si>
  <si>
    <t>Tri√≥</t>
  </si>
  <si>
    <t>tri</t>
  </si>
  <si>
    <t>BR SR</t>
  </si>
  <si>
    <t>Trio-based pidgin</t>
  </si>
  <si>
    <t>trip1239</t>
  </si>
  <si>
    <t>Tripolitanian Arabic</t>
  </si>
  <si>
    <t>Trique</t>
  </si>
  <si>
    <t>tris1240</t>
  </si>
  <si>
    <t>Trisuli</t>
  </si>
  <si>
    <t>trnd1234</t>
  </si>
  <si>
    <t>Tr√∏ndersk</t>
  </si>
  <si>
    <t>trob1237</t>
  </si>
  <si>
    <t>Trobiawan</t>
  </si>
  <si>
    <t>tron1237</t>
  </si>
  <si>
    <t>Trondheim</t>
  </si>
  <si>
    <t>truk1242</t>
  </si>
  <si>
    <t>Truk√°</t>
  </si>
  <si>
    <t>tka</t>
  </si>
  <si>
    <t>Trukic</t>
  </si>
  <si>
    <t>trum1247</t>
  </si>
  <si>
    <t>Trumai</t>
  </si>
  <si>
    <t>tpy</t>
  </si>
  <si>
    <t>trus1237</t>
  </si>
  <si>
    <t>Trusan</t>
  </si>
  <si>
    <t>truu1238</t>
  </si>
  <si>
    <t>Tru</t>
  </si>
  <si>
    <t>tsaa1241</t>
  </si>
  <si>
    <t>Tsaamo</t>
  </si>
  <si>
    <t>tsaa1242</t>
  </si>
  <si>
    <t>Tsaangi</t>
  </si>
  <si>
    <t>tsa</t>
  </si>
  <si>
    <t>Tsakonian</t>
  </si>
  <si>
    <t>tsd</t>
  </si>
  <si>
    <t>Tsakhur</t>
  </si>
  <si>
    <t>tkr</t>
  </si>
  <si>
    <t>tsak1250</t>
  </si>
  <si>
    <t>Tsaukambo</t>
  </si>
  <si>
    <t>kvz</t>
  </si>
  <si>
    <t>Tsakwambo-Komyandaret</t>
  </si>
  <si>
    <t>Tsamosan</t>
  </si>
  <si>
    <t>tsam1247</t>
  </si>
  <si>
    <t>Tsamai</t>
  </si>
  <si>
    <t>tsb</t>
  </si>
  <si>
    <t>tsao1238</t>
  </si>
  <si>
    <t>Ts'aokhoe</t>
  </si>
  <si>
    <t>tsat1238</t>
  </si>
  <si>
    <t>Tsat</t>
  </si>
  <si>
    <t>huq</t>
  </si>
  <si>
    <t>tsch1248</t>
  </si>
  <si>
    <t>Tschetti</t>
  </si>
  <si>
    <t>tsek1238</t>
  </si>
  <si>
    <t>Tseku</t>
  </si>
  <si>
    <t>tsk</t>
  </si>
  <si>
    <t>BT CN NP</t>
  </si>
  <si>
    <t>tses1238</t>
  </si>
  <si>
    <t>Tsesung√∫n</t>
  </si>
  <si>
    <t>tset1236</t>
  </si>
  <si>
    <t>Tsetsaut</t>
  </si>
  <si>
    <t>txc</t>
  </si>
  <si>
    <t>Tsezic</t>
  </si>
  <si>
    <t>tsha1245</t>
  </si>
  <si>
    <t>Tshangla</t>
  </si>
  <si>
    <t>tsj</t>
  </si>
  <si>
    <t>Tshangla-East Bodish</t>
  </si>
  <si>
    <t>Tshanglic</t>
  </si>
  <si>
    <t>tshi1238</t>
  </si>
  <si>
    <t>Tshidi-Khwe</t>
  </si>
  <si>
    <t>tsho1239</t>
  </si>
  <si>
    <t>Tshom-Djapa</t>
  </si>
  <si>
    <t>tsho1240</t>
  </si>
  <si>
    <t>Tshobdun</t>
  </si>
  <si>
    <t>tsho1241</t>
  </si>
  <si>
    <t>Tshochen</t>
  </si>
  <si>
    <t>tshw1238</t>
  </si>
  <si>
    <t>Tshwa</t>
  </si>
  <si>
    <t>Tshwa Khoe</t>
  </si>
  <si>
    <t>Tsikimba</t>
  </si>
  <si>
    <t>kdl</t>
  </si>
  <si>
    <t>tsim1256</t>
  </si>
  <si>
    <t>Isimjeega</t>
  </si>
  <si>
    <t>tsim1257</t>
  </si>
  <si>
    <t>Tsimihety Malagasy</t>
  </si>
  <si>
    <t>xmw</t>
  </si>
  <si>
    <t>Tsimihety-Betsimisaraka</t>
  </si>
  <si>
    <t>tsin1239</t>
  </si>
  <si>
    <t>Tsinga</t>
  </si>
  <si>
    <t>tsir1238</t>
  </si>
  <si>
    <t>Tsiracua</t>
  </si>
  <si>
    <t>Salka-Tsishingini</t>
  </si>
  <si>
    <t>tsw</t>
  </si>
  <si>
    <t>Tsitsege-Ombamba</t>
  </si>
  <si>
    <t>tsix1234</t>
  </si>
  <si>
    <t>Ts'ixa</t>
  </si>
  <si>
    <t>tsoa1238</t>
  </si>
  <si>
    <t>Tsoa</t>
  </si>
  <si>
    <t>hio</t>
  </si>
  <si>
    <t>Okani (B.30)</t>
  </si>
  <si>
    <t>tsog1243</t>
  </si>
  <si>
    <t>Tsogo</t>
  </si>
  <si>
    <t>tsv</t>
  </si>
  <si>
    <t>tsol1243</t>
  </si>
  <si>
    <t>tuyu1244</t>
  </si>
  <si>
    <t>Tsola</t>
  </si>
  <si>
    <t>tson1247</t>
  </si>
  <si>
    <t>Tsongol</t>
  </si>
  <si>
    <t>tson1248</t>
  </si>
  <si>
    <t>Tsontsu</t>
  </si>
  <si>
    <t>Tsonga</t>
  </si>
  <si>
    <t>MZ SZ ZA ZW</t>
  </si>
  <si>
    <t>Tso</t>
  </si>
  <si>
    <t>ldp</t>
  </si>
  <si>
    <t>tsot1241</t>
  </si>
  <si>
    <t>Tsotso</t>
  </si>
  <si>
    <t>lto</t>
  </si>
  <si>
    <t>tsot1242</t>
  </si>
  <si>
    <t>Tsotsitaal</t>
  </si>
  <si>
    <t>fly</t>
  </si>
  <si>
    <t>Tsou</t>
  </si>
  <si>
    <t>tsu</t>
  </si>
  <si>
    <t>Tsouic</t>
  </si>
  <si>
    <t>tsug1237</t>
  </si>
  <si>
    <t>Tsugaru</t>
  </si>
  <si>
    <t>tsum1240</t>
  </si>
  <si>
    <t>Tsum</t>
  </si>
  <si>
    <t>ttz</t>
  </si>
  <si>
    <t>tsun1242</t>
  </si>
  <si>
    <t>Ts'√ºn-Lao</t>
  </si>
  <si>
    <t>tsl</t>
  </si>
  <si>
    <t>tsun1243</t>
  </si>
  <si>
    <t>Tsunga</t>
  </si>
  <si>
    <t>tsus1237</t>
  </si>
  <si>
    <t>Tsushima-ben</t>
  </si>
  <si>
    <t>tsuv1239</t>
  </si>
  <si>
    <t>Tsuvadi</t>
  </si>
  <si>
    <t>tvd</t>
  </si>
  <si>
    <t>tsuv1243</t>
  </si>
  <si>
    <t>Tsuvan</t>
  </si>
  <si>
    <t>tsh</t>
  </si>
  <si>
    <t>tsuw1238</t>
  </si>
  <si>
    <t>Tsuwenki</t>
  </si>
  <si>
    <t>tswa1237</t>
  </si>
  <si>
    <t>Tswapong</t>
  </si>
  <si>
    <t>two</t>
  </si>
  <si>
    <t>BW NA ZA ZM ZW</t>
  </si>
  <si>
    <t>Tswa-Ronga (S.50)</t>
  </si>
  <si>
    <t>Tswa</t>
  </si>
  <si>
    <t>tsc</t>
  </si>
  <si>
    <t>MZ ZA ZW</t>
  </si>
  <si>
    <t>Tswanaic</t>
  </si>
  <si>
    <t>Tswene</t>
  </si>
  <si>
    <t>TT-Group</t>
  </si>
  <si>
    <t>tual1241</t>
  </si>
  <si>
    <t>Tual</t>
  </si>
  <si>
    <t>tual1242</t>
  </si>
  <si>
    <t>Tualatin-Yamhill</t>
  </si>
  <si>
    <t>nrt</t>
  </si>
  <si>
    <t>Tuamotuan</t>
  </si>
  <si>
    <t>pmt</t>
  </si>
  <si>
    <t>Tuam</t>
  </si>
  <si>
    <t>tuan1238</t>
  </si>
  <si>
    <t>Tuan Tet</t>
  </si>
  <si>
    <t>tuba1274</t>
  </si>
  <si>
    <t>Tuba-Kizhi</t>
  </si>
  <si>
    <t>tuba1275</t>
  </si>
  <si>
    <t>Tuba</t>
  </si>
  <si>
    <t>tuba1276</t>
  </si>
  <si>
    <t>Tubai</t>
  </si>
  <si>
    <t>tuba1277</t>
  </si>
  <si>
    <t>Tubal</t>
  </si>
  <si>
    <t>tuba1278</t>
  </si>
  <si>
    <t>T√ºbatulabal</t>
  </si>
  <si>
    <t>tub</t>
  </si>
  <si>
    <t>tuba1279</t>
  </si>
  <si>
    <t>Tubar</t>
  </si>
  <si>
    <t>tbu</t>
  </si>
  <si>
    <t>tubu1240</t>
  </si>
  <si>
    <t>Tubuai</t>
  </si>
  <si>
    <t>tubu1241</t>
  </si>
  <si>
    <t>Tubulamo</t>
  </si>
  <si>
    <t>Tucanoan</t>
  </si>
  <si>
    <t>tuge1241</t>
  </si>
  <si>
    <t>Tugen</t>
  </si>
  <si>
    <t>tuy</t>
  </si>
  <si>
    <t>tuge1242</t>
  </si>
  <si>
    <t>Tugeri</t>
  </si>
  <si>
    <t>Tugun</t>
  </si>
  <si>
    <t>tzn</t>
  </si>
  <si>
    <t>Tugutil</t>
  </si>
  <si>
    <t>tuj</t>
  </si>
  <si>
    <t>tuha1234</t>
  </si>
  <si>
    <t>Tuha</t>
  </si>
  <si>
    <t>tuhu1238</t>
  </si>
  <si>
    <t>Tuhup</t>
  </si>
  <si>
    <t>tuic1245</t>
  </si>
  <si>
    <t>Tuichiap</t>
  </si>
  <si>
    <t>tuic1246</t>
  </si>
  <si>
    <t>Tuic (Southwestern Dinka)</t>
  </si>
  <si>
    <t>tuic1247</t>
  </si>
  <si>
    <t>Tuic</t>
  </si>
  <si>
    <t>Tujia</t>
  </si>
  <si>
    <t>tuka1245</t>
  </si>
  <si>
    <t>Tuka</t>
  </si>
  <si>
    <t>Tukangbesi-Bonerate</t>
  </si>
  <si>
    <t>tuka1247</t>
  </si>
  <si>
    <t>Tukang Besi</t>
  </si>
  <si>
    <t>Tukang Besi North</t>
  </si>
  <si>
    <t>khc</t>
  </si>
  <si>
    <t>Tukang Besi South</t>
  </si>
  <si>
    <t>bhq</t>
  </si>
  <si>
    <t>Tukang Besi-based pidgin</t>
  </si>
  <si>
    <t>tukc1238</t>
  </si>
  <si>
    <t>Tukche</t>
  </si>
  <si>
    <t>Tuki</t>
  </si>
  <si>
    <t>bag</t>
  </si>
  <si>
    <t>tukp1239</t>
  </si>
  <si>
    <t>Tukpa</t>
  </si>
  <si>
    <t>tpq</t>
  </si>
  <si>
    <t>tuku1240</t>
  </si>
  <si>
    <t>Tukumanf√©d</t>
  </si>
  <si>
    <t>tkf</t>
  </si>
  <si>
    <t>tuku1253</t>
  </si>
  <si>
    <t>Tuku</t>
  </si>
  <si>
    <t>Tukudede</t>
  </si>
  <si>
    <t>tkd</t>
  </si>
  <si>
    <t>tuku1255</t>
  </si>
  <si>
    <t>Purus-Envira</t>
  </si>
  <si>
    <t>tula1250</t>
  </si>
  <si>
    <t>Tula-Waja</t>
  </si>
  <si>
    <t>Tulaic</t>
  </si>
  <si>
    <t>Tula</t>
  </si>
  <si>
    <t>tul</t>
  </si>
  <si>
    <t>tula1253</t>
  </si>
  <si>
    <t>Tulambatu</t>
  </si>
  <si>
    <t>tula1254</t>
  </si>
  <si>
    <t>Tulamni</t>
  </si>
  <si>
    <t>tula1255</t>
  </si>
  <si>
    <t>Tulan</t>
  </si>
  <si>
    <t>Tulehu</t>
  </si>
  <si>
    <t>tlu</t>
  </si>
  <si>
    <t>tule1245</t>
  </si>
  <si>
    <t>Tule-Kaweah Yokuts</t>
  </si>
  <si>
    <t>tule1250</t>
  </si>
  <si>
    <t>Tulema</t>
  </si>
  <si>
    <t>tuli1247</t>
  </si>
  <si>
    <t>Tulim</t>
  </si>
  <si>
    <t>Tulishi</t>
  </si>
  <si>
    <t>tey</t>
  </si>
  <si>
    <t>Tulu</t>
  </si>
  <si>
    <t>tcy</t>
  </si>
  <si>
    <t>Tulu-Bohuai</t>
  </si>
  <si>
    <t>rak</t>
  </si>
  <si>
    <t>tulu1260</t>
  </si>
  <si>
    <t>Tulu (Papua New Guinea)</t>
  </si>
  <si>
    <t>Tulu-Koraga</t>
  </si>
  <si>
    <t>Tulu-Bellari</t>
  </si>
  <si>
    <t>tuma1247</t>
  </si>
  <si>
    <t>Tumale</t>
  </si>
  <si>
    <t>Tumari Kanuri</t>
  </si>
  <si>
    <t>krt</t>
  </si>
  <si>
    <t>tuma1249</t>
  </si>
  <si>
    <t>Tumari</t>
  </si>
  <si>
    <t>tuma1250</t>
  </si>
  <si>
    <t>want1251</t>
  </si>
  <si>
    <t>Tuma-Irumu</t>
  </si>
  <si>
    <t>iou</t>
  </si>
  <si>
    <t>Tumak</t>
  </si>
  <si>
    <t>tmc</t>
  </si>
  <si>
    <t>tumb1248</t>
  </si>
  <si>
    <t>Nongwe-Mamboya-Berega</t>
  </si>
  <si>
    <t>Tumbukic</t>
  </si>
  <si>
    <t>Tumbuka-Sena-Nyanja</t>
  </si>
  <si>
    <t>tumi1238</t>
  </si>
  <si>
    <t>Tumi</t>
  </si>
  <si>
    <t>kku</t>
  </si>
  <si>
    <t>tuml1238</t>
  </si>
  <si>
    <t>Tumleo</t>
  </si>
  <si>
    <t>tmq</t>
  </si>
  <si>
    <t>tumm1238</t>
  </si>
  <si>
    <t>Tumma</t>
  </si>
  <si>
    <t>tums1237</t>
  </si>
  <si>
    <t>Tumshuqese</t>
  </si>
  <si>
    <t>xtq</t>
  </si>
  <si>
    <t>Tumtum</t>
  </si>
  <si>
    <t>tbr</t>
  </si>
  <si>
    <t>tumu1241</t>
  </si>
  <si>
    <t>Tumut</t>
  </si>
  <si>
    <t>Tumulung Sisaala</t>
  </si>
  <si>
    <t>sil</t>
  </si>
  <si>
    <t>tumu1243</t>
  </si>
  <si>
    <t>Tumuaong</t>
  </si>
  <si>
    <t>tumz1238</t>
  </si>
  <si>
    <t>Tumzabt</t>
  </si>
  <si>
    <t>mzb</t>
  </si>
  <si>
    <t>tunc1238</t>
  </si>
  <si>
    <t>Tunceli</t>
  </si>
  <si>
    <t>tund1254</t>
  </si>
  <si>
    <t>Tundra Enets</t>
  </si>
  <si>
    <t>enh</t>
  </si>
  <si>
    <t>tund1255</t>
  </si>
  <si>
    <t>Eastern Tundra Nenets</t>
  </si>
  <si>
    <t>tund1256</t>
  </si>
  <si>
    <t>Tunduru Yao</t>
  </si>
  <si>
    <t>tund1257</t>
  </si>
  <si>
    <t>Tunduli</t>
  </si>
  <si>
    <t>tune1241</t>
  </si>
  <si>
    <t>Tunen (Retired)</t>
  </si>
  <si>
    <t>baz</t>
  </si>
  <si>
    <t>Tunebo</t>
  </si>
  <si>
    <t>Tunen</t>
  </si>
  <si>
    <t>tvu</t>
  </si>
  <si>
    <t>Tungusic</t>
  </si>
  <si>
    <t>tung1284</t>
  </si>
  <si>
    <t>Tung</t>
  </si>
  <si>
    <t>tung1285</t>
  </si>
  <si>
    <t>Tunga</t>
  </si>
  <si>
    <t>tung1286</t>
  </si>
  <si>
    <t>Tungu</t>
  </si>
  <si>
    <t>tung1287</t>
  </si>
  <si>
    <t>Tungi'</t>
  </si>
  <si>
    <t>tung1288</t>
  </si>
  <si>
    <t>Tungkal</t>
  </si>
  <si>
    <t>tung1289</t>
  </si>
  <si>
    <t>Tungkal Ilir</t>
  </si>
  <si>
    <t>tung1290</t>
  </si>
  <si>
    <t>Tungag</t>
  </si>
  <si>
    <t>lcm</t>
  </si>
  <si>
    <t>tung1291</t>
  </si>
  <si>
    <t>Tungkuno</t>
  </si>
  <si>
    <t>tung1292</t>
  </si>
  <si>
    <t>Tungho</t>
  </si>
  <si>
    <t>tung1293</t>
  </si>
  <si>
    <t>Tunggare</t>
  </si>
  <si>
    <t>trt</t>
  </si>
  <si>
    <t>Tungak-Nalik</t>
  </si>
  <si>
    <t>tuni1249</t>
  </si>
  <si>
    <t>Tunisian Sign Language</t>
  </si>
  <si>
    <t>tse</t>
  </si>
  <si>
    <t>Tunia</t>
  </si>
  <si>
    <t>tug</t>
  </si>
  <si>
    <t>tuni1252</t>
  </si>
  <si>
    <t>Tunica</t>
  </si>
  <si>
    <t>tun</t>
  </si>
  <si>
    <t>Tunisian Arabic</t>
  </si>
  <si>
    <t>aeb</t>
  </si>
  <si>
    <t>Tunis (Tunisian Arabic)</t>
  </si>
  <si>
    <t>tuni1261</t>
  </si>
  <si>
    <t>Tunis</t>
  </si>
  <si>
    <t>tuni1262</t>
  </si>
  <si>
    <t>Tunisian-Zuwara Berber</t>
  </si>
  <si>
    <t>Tunjung</t>
  </si>
  <si>
    <t>tjg</t>
  </si>
  <si>
    <t>tunj1245</t>
  </si>
  <si>
    <t>Tunjung Linggang</t>
  </si>
  <si>
    <t>tunj1246</t>
  </si>
  <si>
    <t>Tunjung Londong</t>
  </si>
  <si>
    <t>tunk1240</t>
  </si>
  <si>
    <t>Tunka</t>
  </si>
  <si>
    <t>tunn1238</t>
  </si>
  <si>
    <t>Tunni</t>
  </si>
  <si>
    <t>tqq</t>
  </si>
  <si>
    <t>tuno1237</t>
  </si>
  <si>
    <t>Tunong</t>
  </si>
  <si>
    <t>Tunumiisiut</t>
  </si>
  <si>
    <t>DK GL</t>
  </si>
  <si>
    <t>tunu1235</t>
  </si>
  <si>
    <t>Tununitmiut</t>
  </si>
  <si>
    <t>tunx1234</t>
  </si>
  <si>
    <t>Tunxi</t>
  </si>
  <si>
    <t>tuny1239</t>
  </si>
  <si>
    <t>Tunya</t>
  </si>
  <si>
    <t>tunz1235</t>
  </si>
  <si>
    <t>Tunzu</t>
  </si>
  <si>
    <t>dza</t>
  </si>
  <si>
    <t>tuob1242</t>
  </si>
  <si>
    <t>Tuobo</t>
  </si>
  <si>
    <t>tuol1234</t>
  </si>
  <si>
    <t>Tuoluo Bai</t>
  </si>
  <si>
    <t>tuom1235</t>
  </si>
  <si>
    <t>Tuomo</t>
  </si>
  <si>
    <t>tuoq1234</t>
  </si>
  <si>
    <t>Tu≈çqƒ´ Pumi</t>
  </si>
  <si>
    <t>tuot1238</t>
  </si>
  <si>
    <t>Tuotomb</t>
  </si>
  <si>
    <t>ttf</t>
  </si>
  <si>
    <t>tupa1250</t>
  </si>
  <si>
    <t>Tupar√≠</t>
  </si>
  <si>
    <t>tpr</t>
  </si>
  <si>
    <t>Tuparic</t>
  </si>
  <si>
    <t>Tupe</t>
  </si>
  <si>
    <t>tupi1272</t>
  </si>
  <si>
    <t>Tupinikin</t>
  </si>
  <si>
    <t>tpk</t>
  </si>
  <si>
    <t>Tupinamb√°</t>
  </si>
  <si>
    <t>tpn</t>
  </si>
  <si>
    <t>tupi1274</t>
  </si>
  <si>
    <t>Lingua Geral Paulista</t>
  </si>
  <si>
    <t>tpw</t>
  </si>
  <si>
    <t>Tupian</t>
  </si>
  <si>
    <t>Tupi-Guarani</t>
  </si>
  <si>
    <t>Tupi-Guarani Subgroup I</t>
  </si>
  <si>
    <t>Tupi-Guarani Subgroup II</t>
  </si>
  <si>
    <t>Tupi-Guarani Subgroup IV</t>
  </si>
  <si>
    <t>Tupi-Guarani Subgroup VI</t>
  </si>
  <si>
    <t>Tupi-Guarani Subgroup VIII</t>
  </si>
  <si>
    <t>Tupi-Guarani Subgroup I.A</t>
  </si>
  <si>
    <t>Tupi-Guarani Subgroup I.B</t>
  </si>
  <si>
    <t>Tupi-Guarani Subgroup IV.A</t>
  </si>
  <si>
    <t>Tupi-Guarani Subgroup IV.B</t>
  </si>
  <si>
    <t>Tupian (Unattested)</t>
  </si>
  <si>
    <t>Tupi-Guarani Subgroup III</t>
  </si>
  <si>
    <t>tupi1288</t>
  </si>
  <si>
    <t>Tupinamb√° Tocantins-Paranaiba</t>
  </si>
  <si>
    <t>tupi1289</t>
  </si>
  <si>
    <t>Tupinamb√° S√£o Francisco-Camamu</t>
  </si>
  <si>
    <t>tupi1290</t>
  </si>
  <si>
    <t>Tupinamb√°-Tamoio Kap S√£o Tom√©-Angra dos Reis</t>
  </si>
  <si>
    <t>tupi1291</t>
  </si>
  <si>
    <t>Tupinakin-Tupi-Tabajara Angra dos Reis-Canan√©ia</t>
  </si>
  <si>
    <t>tupi1292</t>
  </si>
  <si>
    <t>Tupina</t>
  </si>
  <si>
    <t>Tupuri-Mundang-Mambai</t>
  </si>
  <si>
    <t>tura1262</t>
  </si>
  <si>
    <t>Turatea</t>
  </si>
  <si>
    <t>Turama-Kikori</t>
  </si>
  <si>
    <t>Turama-Omatian</t>
  </si>
  <si>
    <t>tura1265</t>
  </si>
  <si>
    <t>Turaka</t>
  </si>
  <si>
    <t>trh</t>
  </si>
  <si>
    <t>Turama-Kerewo</t>
  </si>
  <si>
    <t>ture1239</t>
  </si>
  <si>
    <t>Ture</t>
  </si>
  <si>
    <t>turf1238</t>
  </si>
  <si>
    <t>Turfan</t>
  </si>
  <si>
    <t>turi1245</t>
  </si>
  <si>
    <t>Turinese</t>
  </si>
  <si>
    <t>turi1246</t>
  </si>
  <si>
    <t>Turi</t>
  </si>
  <si>
    <t>trd</t>
  </si>
  <si>
    <t>turi1247</t>
  </si>
  <si>
    <t>Turiw√°ra</t>
  </si>
  <si>
    <t>twt</t>
  </si>
  <si>
    <t>turk1244</t>
  </si>
  <si>
    <t>Turku</t>
  </si>
  <si>
    <t>turk1288</t>
  </si>
  <si>
    <t>Turkish Sign Language</t>
  </si>
  <si>
    <t>tsm</t>
  </si>
  <si>
    <t>turk1303</t>
  </si>
  <si>
    <t>Turkic Khalaj</t>
  </si>
  <si>
    <t>klj</t>
  </si>
  <si>
    <t>AF IQ IR PK TJ TM TR UZ</t>
  </si>
  <si>
    <t>Turka</t>
  </si>
  <si>
    <t>tuz</t>
  </si>
  <si>
    <t>Turkanic</t>
  </si>
  <si>
    <t>Turkana</t>
  </si>
  <si>
    <t>tuv</t>
  </si>
  <si>
    <t>ET KE SD UG</t>
  </si>
  <si>
    <t>turk1310</t>
  </si>
  <si>
    <t>Turks And Caicos Creole English</t>
  </si>
  <si>
    <t>tch</t>
  </si>
  <si>
    <t>TC</t>
  </si>
  <si>
    <t>Turkic</t>
  </si>
  <si>
    <t>Turoyo</t>
  </si>
  <si>
    <t>tru</t>
  </si>
  <si>
    <t>IQ LB SY TR</t>
  </si>
  <si>
    <t>Turoyo-Mlahso</t>
  </si>
  <si>
    <t>turr1239</t>
  </si>
  <si>
    <t>Turra</t>
  </si>
  <si>
    <t>turr1244</t>
  </si>
  <si>
    <t>Tur</t>
  </si>
  <si>
    <t>turt1236</t>
  </si>
  <si>
    <t>Turtle Mountain Chippewa</t>
  </si>
  <si>
    <t>turu1249</t>
  </si>
  <si>
    <t>Turung</t>
  </si>
  <si>
    <t>try</t>
  </si>
  <si>
    <t>turu1250</t>
  </si>
  <si>
    <t>Turumsa</t>
  </si>
  <si>
    <t>tqm</t>
  </si>
  <si>
    <t>turu1251</t>
  </si>
  <si>
    <t>Turu</t>
  </si>
  <si>
    <t>turu1252</t>
  </si>
  <si>
    <t>Turung (Jinghpaw)</t>
  </si>
  <si>
    <t>Tuscarora-Nottoway</t>
  </si>
  <si>
    <t>tusc1257</t>
  </si>
  <si>
    <t>Tuscarora</t>
  </si>
  <si>
    <t>tus</t>
  </si>
  <si>
    <t>tush1241</t>
  </si>
  <si>
    <t>Tush</t>
  </si>
  <si>
    <t>tush1243</t>
  </si>
  <si>
    <t>Tushan Names</t>
  </si>
  <si>
    <t>Tusia</t>
  </si>
  <si>
    <t>tuta1234</t>
  </si>
  <si>
    <t>Tutal</t>
  </si>
  <si>
    <t>Tutchone</t>
  </si>
  <si>
    <t>tute1247</t>
  </si>
  <si>
    <t>Tutelo</t>
  </si>
  <si>
    <t>tta</t>
  </si>
  <si>
    <t>tuto1241</t>
  </si>
  <si>
    <t>Tutong</t>
  </si>
  <si>
    <t>ttg</t>
  </si>
  <si>
    <t>BN</t>
  </si>
  <si>
    <t>tuto1242</t>
  </si>
  <si>
    <t>Tutong 1</t>
  </si>
  <si>
    <t>ttx</t>
  </si>
  <si>
    <t>tuts1235</t>
  </si>
  <si>
    <t>Tutsa Naga</t>
  </si>
  <si>
    <t>tvt</t>
  </si>
  <si>
    <t>tutu1241</t>
  </si>
  <si>
    <t>Tutuba</t>
  </si>
  <si>
    <t>tmi</t>
  </si>
  <si>
    <t>tutu1242</t>
  </si>
  <si>
    <t>Tututni</t>
  </si>
  <si>
    <t>tuu</t>
  </si>
  <si>
    <t>Tututepec Mixtec</t>
  </si>
  <si>
    <t>mtu</t>
  </si>
  <si>
    <t>Tu</t>
  </si>
  <si>
    <t>mjg</t>
  </si>
  <si>
    <t>Tuu</t>
  </si>
  <si>
    <t>Tuvalu</t>
  </si>
  <si>
    <t>TV</t>
  </si>
  <si>
    <t>Tuvinian</t>
  </si>
  <si>
    <t>tuwa1242</t>
  </si>
  <si>
    <t>Tuwari</t>
  </si>
  <si>
    <t>tww</t>
  </si>
  <si>
    <t>Tuwali Ifugao</t>
  </si>
  <si>
    <t>ifk</t>
  </si>
  <si>
    <t>tuwa1244</t>
  </si>
  <si>
    <t>Tuwang</t>
  </si>
  <si>
    <t>tuwu1238</t>
  </si>
  <si>
    <t>Tuwuli</t>
  </si>
  <si>
    <t>bov</t>
  </si>
  <si>
    <t>tuxa1239</t>
  </si>
  <si>
    <t>Tux√°</t>
  </si>
  <si>
    <t>tud</t>
  </si>
  <si>
    <t>tuxi1238</t>
  </si>
  <si>
    <t>Tuxin√°wa</t>
  </si>
  <si>
    <t>tux</t>
  </si>
  <si>
    <t>tuyu1245</t>
  </si>
  <si>
    <t>Tuyuca</t>
  </si>
  <si>
    <t>tue</t>
  </si>
  <si>
    <t>Tuyuca-Yuruti</t>
  </si>
  <si>
    <t>tuza1238</t>
  </si>
  <si>
    <t>Tuzanteco</t>
  </si>
  <si>
    <t>tver1240</t>
  </si>
  <si>
    <t>Tver</t>
  </si>
  <si>
    <t>twaa1238</t>
  </si>
  <si>
    <t>Twa</t>
  </si>
  <si>
    <t>twab1238</t>
  </si>
  <si>
    <t>Twabo</t>
  </si>
  <si>
    <t>Twampa-Komo</t>
  </si>
  <si>
    <t>Twana</t>
  </si>
  <si>
    <t>twa</t>
  </si>
  <si>
    <t>twao1242</t>
  </si>
  <si>
    <t>Twa of Bangweulu</t>
  </si>
  <si>
    <t>twao1243</t>
  </si>
  <si>
    <t>Twa of the Kafue</t>
  </si>
  <si>
    <t>Tweed-Albert</t>
  </si>
  <si>
    <t>xjb</t>
  </si>
  <si>
    <t>twen1241</t>
  </si>
  <si>
    <t>Twents</t>
  </si>
  <si>
    <t>twd</t>
  </si>
  <si>
    <t>Cambap-Langa</t>
  </si>
  <si>
    <t>twn</t>
  </si>
  <si>
    <t>Twi</t>
  </si>
  <si>
    <t>twi</t>
  </si>
  <si>
    <t>twum1238</t>
  </si>
  <si>
    <t>Twumwu</t>
  </si>
  <si>
    <t>Tyanngayt-Mamngayt-Ntrwangayt-Ntrangit</t>
  </si>
  <si>
    <t>tyan1236</t>
  </si>
  <si>
    <t>Tyanngayt</t>
  </si>
  <si>
    <t>Tyap</t>
  </si>
  <si>
    <t>kcg</t>
  </si>
  <si>
    <t>tyar1236</t>
  </si>
  <si>
    <t>Tyaraity</t>
  </si>
  <si>
    <t>woa</t>
  </si>
  <si>
    <t>tyeb1238</t>
  </si>
  <si>
    <t>Tyebara</t>
  </si>
  <si>
    <t>tyem1238</t>
  </si>
  <si>
    <t>Tyemeri</t>
  </si>
  <si>
    <t>tymm1241</t>
  </si>
  <si>
    <t>Tym</t>
  </si>
  <si>
    <t>tyre1237</t>
  </si>
  <si>
    <t>Tyrewuju</t>
  </si>
  <si>
    <t>tyum1239</t>
  </si>
  <si>
    <t>Tyumen</t>
  </si>
  <si>
    <t>tzel1253</t>
  </si>
  <si>
    <t>Tzeltalan</t>
  </si>
  <si>
    <t>tzel1255</t>
  </si>
  <si>
    <t>Tzeltal, Bachaj√≥n</t>
  </si>
  <si>
    <t>tzb</t>
  </si>
  <si>
    <t>Tzotzil</t>
  </si>
  <si>
    <t>tzot1260</t>
  </si>
  <si>
    <t>Tzotzil, San Andr√©s Larrainzar</t>
  </si>
  <si>
    <t>tzs</t>
  </si>
  <si>
    <t>tzot1261</t>
  </si>
  <si>
    <t>Tzotzil, Huixt√°n</t>
  </si>
  <si>
    <t>tzu</t>
  </si>
  <si>
    <t>tzot1262</t>
  </si>
  <si>
    <t>Tzotzil, Chamula</t>
  </si>
  <si>
    <t>tzc</t>
  </si>
  <si>
    <t>tzot1263</t>
  </si>
  <si>
    <t>Tzotzil, Chenalh√≥</t>
  </si>
  <si>
    <t>tze</t>
  </si>
  <si>
    <t>tzot1264</t>
  </si>
  <si>
    <t>Tzotzil, Zinacant√°n</t>
  </si>
  <si>
    <t>tzz</t>
  </si>
  <si>
    <t>Tz'utujil</t>
  </si>
  <si>
    <t>tzut1249</t>
  </si>
  <si>
    <t>Tz'utujil, Western</t>
  </si>
  <si>
    <t>tzt</t>
  </si>
  <si>
    <t>Uab Meto</t>
  </si>
  <si>
    <t>aoz</t>
  </si>
  <si>
    <t>Uab Metoic</t>
  </si>
  <si>
    <t>uahu1237</t>
  </si>
  <si>
    <t>Ua Huka</t>
  </si>
  <si>
    <t>uaia1240</t>
  </si>
  <si>
    <t>Tapau√° Paumari</t>
  </si>
  <si>
    <t>uain1239</t>
  </si>
  <si>
    <t>Uainuma-Mariate</t>
  </si>
  <si>
    <t>uamu1236</t>
  </si>
  <si>
    <t>Uamu√©</t>
  </si>
  <si>
    <t>uam</t>
  </si>
  <si>
    <t>uapo1237</t>
  </si>
  <si>
    <t>Ua Pou</t>
  </si>
  <si>
    <t>Uare</t>
  </si>
  <si>
    <t>ksj</t>
  </si>
  <si>
    <t>ubae1237</t>
  </si>
  <si>
    <t>Ubae</t>
  </si>
  <si>
    <t>Ubaghara-Kohumono</t>
  </si>
  <si>
    <t>Ubaghara</t>
  </si>
  <si>
    <t>byc</t>
  </si>
  <si>
    <t>uban1243</t>
  </si>
  <si>
    <t>Ubang</t>
  </si>
  <si>
    <t>uba</t>
  </si>
  <si>
    <t>Ubangi</t>
  </si>
  <si>
    <t>ubia1237</t>
  </si>
  <si>
    <t>Ubian</t>
  </si>
  <si>
    <t>ubii1238</t>
  </si>
  <si>
    <t>Ubi</t>
  </si>
  <si>
    <t>ubi</t>
  </si>
  <si>
    <t>ubim1238</t>
  </si>
  <si>
    <t>Ubima</t>
  </si>
  <si>
    <t>ubir1237</t>
  </si>
  <si>
    <t>Ubir</t>
  </si>
  <si>
    <t>ubr</t>
  </si>
  <si>
    <t>ubui1237</t>
  </si>
  <si>
    <t>Ubuia</t>
  </si>
  <si>
    <t>ubuu1238</t>
  </si>
  <si>
    <t>Ubu</t>
  </si>
  <si>
    <t>ubwe1238</t>
  </si>
  <si>
    <t>Ubwebwe</t>
  </si>
  <si>
    <t>ubye1238</t>
  </si>
  <si>
    <t>Ubye</t>
  </si>
  <si>
    <t>ubyk1235</t>
  </si>
  <si>
    <t>Ubykh</t>
  </si>
  <si>
    <t>uby</t>
  </si>
  <si>
    <t>ucay1237</t>
  </si>
  <si>
    <t>Ucayali-Yur√∫a Ash√©ninka</t>
  </si>
  <si>
    <t>cpb</t>
  </si>
  <si>
    <t>ucha1239</t>
  </si>
  <si>
    <t>Uchai Sadri</t>
  </si>
  <si>
    <t>udaa1238</t>
  </si>
  <si>
    <t>Uda</t>
  </si>
  <si>
    <t>uda</t>
  </si>
  <si>
    <t>udai1237</t>
  </si>
  <si>
    <t>Udai</t>
  </si>
  <si>
    <t>uday1238</t>
  </si>
  <si>
    <t>Udayapur</t>
  </si>
  <si>
    <t>uder1239</t>
  </si>
  <si>
    <t>Uderi</t>
  </si>
  <si>
    <t>Udi-Aghwan</t>
  </si>
  <si>
    <t>Udihe</t>
  </si>
  <si>
    <t>ude</t>
  </si>
  <si>
    <t>Udi</t>
  </si>
  <si>
    <t>udi</t>
  </si>
  <si>
    <t>AZ GE RU</t>
  </si>
  <si>
    <t>udoo1238</t>
  </si>
  <si>
    <t>Udo</t>
  </si>
  <si>
    <t>uduk1239</t>
  </si>
  <si>
    <t>Uduk</t>
  </si>
  <si>
    <t>udu</t>
  </si>
  <si>
    <t>uduu1238</t>
  </si>
  <si>
    <t>Udu</t>
  </si>
  <si>
    <t>uele1238</t>
  </si>
  <si>
    <t>U√©l√©</t>
  </si>
  <si>
    <t>uell1238</t>
  </si>
  <si>
    <t>Uellanskij</t>
  </si>
  <si>
    <t>ufau1237</t>
  </si>
  <si>
    <t>Ufaufa</t>
  </si>
  <si>
    <t>ufia1239</t>
  </si>
  <si>
    <t>Ufia</t>
  </si>
  <si>
    <t>ufim1240</t>
  </si>
  <si>
    <t>Ufim</t>
  </si>
  <si>
    <t>ufi</t>
  </si>
  <si>
    <t>Ufim-Rawa-Nahu</t>
  </si>
  <si>
    <t>ufio1238</t>
  </si>
  <si>
    <t>Ufiom</t>
  </si>
  <si>
    <t>ufuf1237</t>
  </si>
  <si>
    <t>Ufufu</t>
  </si>
  <si>
    <t>ugan1238</t>
  </si>
  <si>
    <t>Ugandan Sign Language</t>
  </si>
  <si>
    <t>ugn</t>
  </si>
  <si>
    <t>ugan1242</t>
  </si>
  <si>
    <t>Ugana</t>
  </si>
  <si>
    <t>ugar1238</t>
  </si>
  <si>
    <t>Ugaritic</t>
  </si>
  <si>
    <t>uga</t>
  </si>
  <si>
    <t>ugba1238</t>
  </si>
  <si>
    <t>Ugbala</t>
  </si>
  <si>
    <t>ugbe1238</t>
  </si>
  <si>
    <t>Ugbem</t>
  </si>
  <si>
    <t>ugep1238</t>
  </si>
  <si>
    <t>Ugep</t>
  </si>
  <si>
    <t>ughe1237</t>
  </si>
  <si>
    <t>Ughele</t>
  </si>
  <si>
    <t>uge</t>
  </si>
  <si>
    <t>Ugong</t>
  </si>
  <si>
    <t>ugo</t>
  </si>
  <si>
    <t>ugon1240</t>
  </si>
  <si>
    <t>Ugondo</t>
  </si>
  <si>
    <t>uhak1237</t>
  </si>
  <si>
    <t>Uhak</t>
  </si>
  <si>
    <t>uham1238</t>
  </si>
  <si>
    <t>Uhami</t>
  </si>
  <si>
    <t>uha</t>
  </si>
  <si>
    <t>Uighur</t>
  </si>
  <si>
    <t>CN IN KG KZ MN PK UZ</t>
  </si>
  <si>
    <t>uygh1240</t>
  </si>
  <si>
    <t>Uighur-Ili</t>
  </si>
  <si>
    <t>uiri1238</t>
  </si>
  <si>
    <t>Uirina</t>
  </si>
  <si>
    <t>uisa1238</t>
  </si>
  <si>
    <t>Uisai</t>
  </si>
  <si>
    <t>uis</t>
  </si>
  <si>
    <t>uist1237</t>
  </si>
  <si>
    <t>Uis Tasae</t>
  </si>
  <si>
    <t>uiya1236</t>
  </si>
  <si>
    <t>Uiya</t>
  </si>
  <si>
    <t>ujar1238</t>
  </si>
  <si>
    <t>Ujarr√°s</t>
  </si>
  <si>
    <t>ujev1238</t>
  </si>
  <si>
    <t>Ujevwe</t>
  </si>
  <si>
    <t>ujin1234</t>
  </si>
  <si>
    <t>Ujindile</t>
  </si>
  <si>
    <t>ujir1237</t>
  </si>
  <si>
    <t>Ujir</t>
  </si>
  <si>
    <t>udj</t>
  </si>
  <si>
    <t>Ujir-Kola-Kompane</t>
  </si>
  <si>
    <t>ujja1238</t>
  </si>
  <si>
    <t>Ujjaini</t>
  </si>
  <si>
    <t>Ukaan</t>
  </si>
  <si>
    <t>kcf</t>
  </si>
  <si>
    <t>ukaa1244</t>
  </si>
  <si>
    <t>Uka</t>
  </si>
  <si>
    <t>ukal1234</t>
  </si>
  <si>
    <t>Ukalawa</t>
  </si>
  <si>
    <t>ukan1238</t>
  </si>
  <si>
    <t>Ukanafun</t>
  </si>
  <si>
    <t>ukhr1238</t>
  </si>
  <si>
    <t>Ukhrul</t>
  </si>
  <si>
    <t>Ukhwejo</t>
  </si>
  <si>
    <t>ukh</t>
  </si>
  <si>
    <t>ukia1238</t>
  </si>
  <si>
    <t>Ukiah</t>
  </si>
  <si>
    <t>ukin1237</t>
  </si>
  <si>
    <t>Uki Ni Masi</t>
  </si>
  <si>
    <t>ukit1237</t>
  </si>
  <si>
    <t>Ukit</t>
  </si>
  <si>
    <t>umi</t>
  </si>
  <si>
    <t>Ukpe-Bayobiri</t>
  </si>
  <si>
    <t>ukp</t>
  </si>
  <si>
    <t>ukpe1248</t>
  </si>
  <si>
    <t>Ukpe</t>
  </si>
  <si>
    <t>Ukpet-Ehom</t>
  </si>
  <si>
    <t>akd</t>
  </si>
  <si>
    <t>ukpe1250</t>
  </si>
  <si>
    <t>Ukpet</t>
  </si>
  <si>
    <t>ukra1235</t>
  </si>
  <si>
    <t>Ukrainian Sign Language</t>
  </si>
  <si>
    <t>ukl</t>
  </si>
  <si>
    <t>Ukrainian</t>
  </si>
  <si>
    <t>BY HU MD PL RO RU SK UA</t>
  </si>
  <si>
    <t>ukra1254</t>
  </si>
  <si>
    <t>Ukrainish</t>
  </si>
  <si>
    <t>ukra1255</t>
  </si>
  <si>
    <t>Southeastern Ukraine Vlax</t>
  </si>
  <si>
    <t>Ukrainian-Rusyn</t>
  </si>
  <si>
    <t>ukue1238</t>
  </si>
  <si>
    <t>Ukue</t>
  </si>
  <si>
    <t>uku</t>
  </si>
  <si>
    <t>Ukue-Ehueun</t>
  </si>
  <si>
    <t>ukum1234</t>
  </si>
  <si>
    <t>Ukum</t>
  </si>
  <si>
    <t>ukur1240</t>
  </si>
  <si>
    <t>Ukuriguma</t>
  </si>
  <si>
    <t>ukg</t>
  </si>
  <si>
    <t>ukwa1238</t>
  </si>
  <si>
    <t>Ukwa</t>
  </si>
  <si>
    <t>ukq</t>
  </si>
  <si>
    <t>Ukwuani-Aboh-Ndoni</t>
  </si>
  <si>
    <t>ukw</t>
  </si>
  <si>
    <t>ukwu1242</t>
  </si>
  <si>
    <t>Ukwuani</t>
  </si>
  <si>
    <t>ulan1238</t>
  </si>
  <si>
    <t>Ulanchab</t>
  </si>
  <si>
    <t>Ulat Inai</t>
  </si>
  <si>
    <t>ulau1237</t>
  </si>
  <si>
    <t>Ulau-Suain</t>
  </si>
  <si>
    <t>svb</t>
  </si>
  <si>
    <t>ulaw1237</t>
  </si>
  <si>
    <t>Ulawa</t>
  </si>
  <si>
    <t>ulba1238</t>
  </si>
  <si>
    <t>Ulba</t>
  </si>
  <si>
    <t>ulch1241</t>
  </si>
  <si>
    <t>Ulch</t>
  </si>
  <si>
    <t>ulc</t>
  </si>
  <si>
    <t>Ulchaic</t>
  </si>
  <si>
    <t>Uliase</t>
  </si>
  <si>
    <t>Ulithian</t>
  </si>
  <si>
    <t>ulku1238</t>
  </si>
  <si>
    <t>Ulkulu</t>
  </si>
  <si>
    <t>ulla1237</t>
  </si>
  <si>
    <t>Ullatan</t>
  </si>
  <si>
    <t>ull</t>
  </si>
  <si>
    <t>ulst1241</t>
  </si>
  <si>
    <t>Ulster English</t>
  </si>
  <si>
    <t>ulte1235</t>
  </si>
  <si>
    <t>Ulterior-Mixe</t>
  </si>
  <si>
    <t>ulua1242</t>
  </si>
  <si>
    <t>Ulu Ai</t>
  </si>
  <si>
    <t>ulua1243</t>
  </si>
  <si>
    <t>Ulu Ai'</t>
  </si>
  <si>
    <t>ulub1244</t>
  </si>
  <si>
    <t>Ulubuya</t>
  </si>
  <si>
    <t>ulub1245</t>
  </si>
  <si>
    <t>Ulubukusu</t>
  </si>
  <si>
    <t>uluc1240</t>
  </si>
  <si>
    <t>Ulu Ceres</t>
  </si>
  <si>
    <t>ulud1238</t>
  </si>
  <si>
    <t>Uludadiri</t>
  </si>
  <si>
    <t>uluk1255</t>
  </si>
  <si>
    <t>Ulu Kinta</t>
  </si>
  <si>
    <t>uluk1256</t>
  </si>
  <si>
    <t>Ulu Kampar</t>
  </si>
  <si>
    <t>uluk1257</t>
  </si>
  <si>
    <t>Ulukwumi</t>
  </si>
  <si>
    <t>ulb</t>
  </si>
  <si>
    <t>uluk1258</t>
  </si>
  <si>
    <t>Ulukisu</t>
  </si>
  <si>
    <t>ulul1240</t>
  </si>
  <si>
    <t>Ulu Langat Orang Bukit</t>
  </si>
  <si>
    <t>ulul1241</t>
  </si>
  <si>
    <t>Ulu Lako</t>
  </si>
  <si>
    <t>Ulumanda'</t>
  </si>
  <si>
    <t>ulm</t>
  </si>
  <si>
    <t>ulus1242</t>
  </si>
  <si>
    <t>Ulu Selama</t>
  </si>
  <si>
    <t>ulut1240</t>
  </si>
  <si>
    <t>Ulu Tembeling</t>
  </si>
  <si>
    <t>uluu1244</t>
  </si>
  <si>
    <t>Ulu</t>
  </si>
  <si>
    <t>uluu1245</t>
  </si>
  <si>
    <t>Ulu (Jambi Malay)</t>
  </si>
  <si>
    <t>uluu1246</t>
  </si>
  <si>
    <t>Ulu (Kerinci)</t>
  </si>
  <si>
    <t>ulwa1238</t>
  </si>
  <si>
    <t>Nuclear Ulwa</t>
  </si>
  <si>
    <t>Ulwa</t>
  </si>
  <si>
    <t>ulw</t>
  </si>
  <si>
    <t>umaa1241</t>
  </si>
  <si>
    <t>Uma (Ikposo)</t>
  </si>
  <si>
    <t>Uma</t>
  </si>
  <si>
    <t>ppk</t>
  </si>
  <si>
    <t>umab1239</t>
  </si>
  <si>
    <t>Uma Bem</t>
  </si>
  <si>
    <t>umab1240</t>
  </si>
  <si>
    <t>Uma Bakah</t>
  </si>
  <si>
    <t>umad1240</t>
  </si>
  <si>
    <t>Umadwadi</t>
  </si>
  <si>
    <t>umad1241</t>
  </si>
  <si>
    <t>Uma Daro</t>
  </si>
  <si>
    <t>umaj1239</t>
  </si>
  <si>
    <t>Uma Jalam</t>
  </si>
  <si>
    <t>umaj1240</t>
  </si>
  <si>
    <t>Uma Juman</t>
  </si>
  <si>
    <t>umal1238</t>
  </si>
  <si>
    <t>uppe1425</t>
  </si>
  <si>
    <t>Uma' Lung</t>
  </si>
  <si>
    <t>ulu</t>
  </si>
  <si>
    <t>Uma' Lasan</t>
  </si>
  <si>
    <t>xky</t>
  </si>
  <si>
    <t>umal1240</t>
  </si>
  <si>
    <t>Uma Lakan</t>
  </si>
  <si>
    <t>Umanakaina</t>
  </si>
  <si>
    <t>gdn</t>
  </si>
  <si>
    <t>umar1237</t>
  </si>
  <si>
    <t>Umbu Ratu Nggai</t>
  </si>
  <si>
    <t>umat1237</t>
  </si>
  <si>
    <t>Umatilla</t>
  </si>
  <si>
    <t>uma</t>
  </si>
  <si>
    <t>umat1246</t>
  </si>
  <si>
    <t>Uma Tau</t>
  </si>
  <si>
    <t>umat1247</t>
  </si>
  <si>
    <t>waha1238</t>
  </si>
  <si>
    <t>Uma Timai</t>
  </si>
  <si>
    <t>umay1237</t>
  </si>
  <si>
    <t>Umayam</t>
  </si>
  <si>
    <t>Umbindhamuic</t>
  </si>
  <si>
    <t>umbi1243</t>
  </si>
  <si>
    <t>Umbindhamu</t>
  </si>
  <si>
    <t>umd</t>
  </si>
  <si>
    <t>Umbrian</t>
  </si>
  <si>
    <t>xum</t>
  </si>
  <si>
    <t>umbu1235</t>
  </si>
  <si>
    <t>Umbugarla</t>
  </si>
  <si>
    <t>umr</t>
  </si>
  <si>
    <t>umbu1256</t>
  </si>
  <si>
    <t>Umbuygamu</t>
  </si>
  <si>
    <t>umg</t>
  </si>
  <si>
    <t>Umbundu</t>
  </si>
  <si>
    <t>umb</t>
  </si>
  <si>
    <t>Umbu-Ungu</t>
  </si>
  <si>
    <t>Umbugarla (Unattested)</t>
  </si>
  <si>
    <t>Umeda-Punda</t>
  </si>
  <si>
    <t>upi</t>
  </si>
  <si>
    <t>umed1239</t>
  </si>
  <si>
    <t>Umeda</t>
  </si>
  <si>
    <t>umee1242</t>
  </si>
  <si>
    <t>Ume</t>
  </si>
  <si>
    <t>umee1243</t>
  </si>
  <si>
    <t>Ume (Papua New Guinea)</t>
  </si>
  <si>
    <t>umer1237</t>
  </si>
  <si>
    <t>Umera</t>
  </si>
  <si>
    <t>umes1235</t>
  </si>
  <si>
    <t>Ume Saami</t>
  </si>
  <si>
    <t>sju</t>
  </si>
  <si>
    <t>umii1235</t>
  </si>
  <si>
    <t>west2435</t>
  </si>
  <si>
    <t>Umiida-Unggarangu</t>
  </si>
  <si>
    <t>umii1236</t>
  </si>
  <si>
    <t>Umiida</t>
  </si>
  <si>
    <t>xud</t>
  </si>
  <si>
    <t>Umiray Dumaget Agta</t>
  </si>
  <si>
    <t>due</t>
  </si>
  <si>
    <t>ummd1238</t>
  </si>
  <si>
    <t>Umm Dorein</t>
  </si>
  <si>
    <t>ummg1238</t>
  </si>
  <si>
    <t>Umm Gabralla</t>
  </si>
  <si>
    <t>umon1238</t>
  </si>
  <si>
    <t>Umon</t>
  </si>
  <si>
    <t>umm</t>
  </si>
  <si>
    <t>umot1240</t>
  </si>
  <si>
    <t>Umot√≠na</t>
  </si>
  <si>
    <t>umo</t>
  </si>
  <si>
    <t>Umpaku</t>
  </si>
  <si>
    <t>umpi1239</t>
  </si>
  <si>
    <t>Umpila</t>
  </si>
  <si>
    <t>ump</t>
  </si>
  <si>
    <t>umra1238</t>
  </si>
  <si>
    <t>Umraya</t>
  </si>
  <si>
    <t>umua1240</t>
  </si>
  <si>
    <t>Umuahia</t>
  </si>
  <si>
    <t>umua1241</t>
  </si>
  <si>
    <t>Umua</t>
  </si>
  <si>
    <t>umur1238</t>
  </si>
  <si>
    <t>Umuruta</t>
  </si>
  <si>
    <t>unaa1239</t>
  </si>
  <si>
    <t>Una</t>
  </si>
  <si>
    <t>mtg</t>
  </si>
  <si>
    <t>unai1234</t>
  </si>
  <si>
    <t>Unainuman</t>
  </si>
  <si>
    <t>unal1234</t>
  </si>
  <si>
    <t>Unaliq</t>
  </si>
  <si>
    <t>unam1242</t>
  </si>
  <si>
    <t>Unami</t>
  </si>
  <si>
    <t>unm</t>
  </si>
  <si>
    <t>Unattested</t>
  </si>
  <si>
    <t>Unclassifiable</t>
  </si>
  <si>
    <t>Unclassified Eastern Beboid</t>
  </si>
  <si>
    <t>Unclassified Northeast Savanna Bantu</t>
  </si>
  <si>
    <t>Bolgo-Koke</t>
  </si>
  <si>
    <t>Unclassified Southwestern Malakula</t>
  </si>
  <si>
    <t>Unclassified Membi-Mangbutu-Efe</t>
  </si>
  <si>
    <t>Unclassified Bisoid</t>
  </si>
  <si>
    <t>Unclassified Core Lalu</t>
  </si>
  <si>
    <t>Unclassified Sindhic</t>
  </si>
  <si>
    <t>Unclassified Tun-Bua-Lua</t>
  </si>
  <si>
    <t>Unclassified Hanseman</t>
  </si>
  <si>
    <t>Unclassified Semitic</t>
  </si>
  <si>
    <t>Unclassified Luish</t>
  </si>
  <si>
    <t>Unclassified Tamil-Malayalam</t>
  </si>
  <si>
    <t>Unclassified Arafundi</t>
  </si>
  <si>
    <t>Unclassified Qiangic</t>
  </si>
  <si>
    <t>Unclassified Nuclear Warup</t>
  </si>
  <si>
    <t>Unclassified Southern Tibetic</t>
  </si>
  <si>
    <t>Unclassified Luvic</t>
  </si>
  <si>
    <t>Unclassified Gauda-Banga</t>
  </si>
  <si>
    <t>unde1235</t>
  </si>
  <si>
    <t>Unde Kaili</t>
  </si>
  <si>
    <t>unz</t>
  </si>
  <si>
    <t>undu1236</t>
  </si>
  <si>
    <t>Undu</t>
  </si>
  <si>
    <t>undu1241</t>
  </si>
  <si>
    <t>Undup</t>
  </si>
  <si>
    <t>unea1237</t>
  </si>
  <si>
    <t>Uneapa</t>
  </si>
  <si>
    <t>bbn</t>
  </si>
  <si>
    <t>unem1238</t>
  </si>
  <si>
    <t>unem1239</t>
  </si>
  <si>
    <t>Uneme</t>
  </si>
  <si>
    <t>une</t>
  </si>
  <si>
    <t>Uneme-Yekhee</t>
  </si>
  <si>
    <t>unga1252</t>
  </si>
  <si>
    <t>Unga</t>
  </si>
  <si>
    <t>unga1253</t>
  </si>
  <si>
    <t>Unga (Zambia)</t>
  </si>
  <si>
    <t>unga1254</t>
  </si>
  <si>
    <t>Ungameha</t>
  </si>
  <si>
    <t>ungg1243</t>
  </si>
  <si>
    <t>Unggumi</t>
  </si>
  <si>
    <t>xgu</t>
  </si>
  <si>
    <t>ungg1244</t>
  </si>
  <si>
    <t>Unggaranggu</t>
  </si>
  <si>
    <t>xun</t>
  </si>
  <si>
    <t>ungu1238</t>
  </si>
  <si>
    <t>Unguja</t>
  </si>
  <si>
    <t>ungw1234</t>
  </si>
  <si>
    <t>Ungwar Zaria</t>
  </si>
  <si>
    <t>unhu1238</t>
  </si>
  <si>
    <t>Unhun</t>
  </si>
  <si>
    <t>Uni</t>
  </si>
  <si>
    <t>unog1238</t>
  </si>
  <si>
    <t>Unogboko</t>
  </si>
  <si>
    <t>unse1236</t>
  </si>
  <si>
    <t>Unserdeutsch</t>
  </si>
  <si>
    <t>uln</t>
  </si>
  <si>
    <t>AU PG</t>
  </si>
  <si>
    <t>Unshifted Western Romance</t>
  </si>
  <si>
    <t>unti1238</t>
  </si>
  <si>
    <t>Untib</t>
  </si>
  <si>
    <t>Unua</t>
  </si>
  <si>
    <t>onu</t>
  </si>
  <si>
    <t>Unua-Pangkumu</t>
  </si>
  <si>
    <t>unub1234</t>
  </si>
  <si>
    <t>Unubahe</t>
  </si>
  <si>
    <t>unu</t>
  </si>
  <si>
    <t>Unclassified South Cushitic</t>
  </si>
  <si>
    <t>Unclassified East Cushitic</t>
  </si>
  <si>
    <t>Unclassified Boleic</t>
  </si>
  <si>
    <t>Unclassified Dangla</t>
  </si>
  <si>
    <t>Unclassified Biu-Mandara</t>
  </si>
  <si>
    <t>Unclassified Berber</t>
  </si>
  <si>
    <t>Unclassified Tatic</t>
  </si>
  <si>
    <t>Unclassified Indo-Aryan</t>
  </si>
  <si>
    <t>Unclassified Western Hindi</t>
  </si>
  <si>
    <t>Unclassified Bhil</t>
  </si>
  <si>
    <t>Unclassified Bihari</t>
  </si>
  <si>
    <t>Unclassified Tharu</t>
  </si>
  <si>
    <t>Unclassified Nuclear Celtic</t>
  </si>
  <si>
    <t>Unclassified Anatolian</t>
  </si>
  <si>
    <t>Unclassified Dravidian</t>
  </si>
  <si>
    <t>unun9891</t>
  </si>
  <si>
    <t>warr1259</t>
  </si>
  <si>
    <t>Unclassified Warrayic</t>
  </si>
  <si>
    <t>Unclassified Chapakura</t>
  </si>
  <si>
    <t>Unclassified Northern Tai</t>
  </si>
  <si>
    <t>Unclassified Shan</t>
  </si>
  <si>
    <t>Unclassified Maxakalian</t>
  </si>
  <si>
    <t>Unclassified Tamolan</t>
  </si>
  <si>
    <t>Unclassified Chocoan</t>
  </si>
  <si>
    <t>Unclassified Volta-Congo</t>
  </si>
  <si>
    <t>Unclassified Bikwin-Jen</t>
  </si>
  <si>
    <t>Unclassified Nuclear Oti Volta</t>
  </si>
  <si>
    <t>Unclassified Samba Duru</t>
  </si>
  <si>
    <t>Unclassified Cameroun-Ubangian</t>
  </si>
  <si>
    <t>Unclassified Mbum</t>
  </si>
  <si>
    <t>Unclassified Eastern Kru</t>
  </si>
  <si>
    <t>Unclassified Benue-Congo</t>
  </si>
  <si>
    <t>Unclassified Yukubenic</t>
  </si>
  <si>
    <t>Unclassified Benue-Congo Plateau</t>
  </si>
  <si>
    <t>unun9913</t>
  </si>
  <si>
    <t>Unclassified Narrow Grassfields</t>
  </si>
  <si>
    <t>Unclassified Shona (S. 10)</t>
  </si>
  <si>
    <t>Unclassified Ruvuma</t>
  </si>
  <si>
    <t>Unclassified Rufijic</t>
  </si>
  <si>
    <t>Unclassified Nyanga-Mituku-Lega</t>
  </si>
  <si>
    <t>Unclassified Greater Luyia</t>
  </si>
  <si>
    <t>Unclassified Mara</t>
  </si>
  <si>
    <t>Unclassified Kunene</t>
  </si>
  <si>
    <t>Unclassified Ndonga (R.20)</t>
  </si>
  <si>
    <t>Unclassified Ngiri</t>
  </si>
  <si>
    <t>Unclassified Greater Bangi-Ntomba</t>
  </si>
  <si>
    <t>Unclassified Ngendan</t>
  </si>
  <si>
    <t>Unclassified Nigerian Jarawan</t>
  </si>
  <si>
    <t>Unclassified Bantoid</t>
  </si>
  <si>
    <t>Unclassified North-Central Edoid</t>
  </si>
  <si>
    <t>Unclassified Japura-Colombia</t>
  </si>
  <si>
    <t>Unclassified Northern Maipuran</t>
  </si>
  <si>
    <t>Unclassified Yuruna</t>
  </si>
  <si>
    <t>Unclassified Guaja-Kaapor-Ava</t>
  </si>
  <si>
    <t>unun9938</t>
  </si>
  <si>
    <t>xinc1237</t>
  </si>
  <si>
    <t>Unclassified Xincan</t>
  </si>
  <si>
    <t>Unclassified West Bahnaric</t>
  </si>
  <si>
    <t>Unclassified Kayong-Jeh-Halang</t>
  </si>
  <si>
    <t>Unclassified Central Nubian</t>
  </si>
  <si>
    <t>Unclassified Chibchan</t>
  </si>
  <si>
    <t>Unclassified Kipchak</t>
  </si>
  <si>
    <t>Unclassified Barbacoan</t>
  </si>
  <si>
    <t>Unclassified Mongolic</t>
  </si>
  <si>
    <t>Unclassified Southern Uto-Aztecan</t>
  </si>
  <si>
    <t>Unclassified Northern Uto-Aztecan</t>
  </si>
  <si>
    <t>Unclassified Cupan</t>
  </si>
  <si>
    <t>Unclassified Sino-Tibetan</t>
  </si>
  <si>
    <t>Unclassified Lolo-Burmese</t>
  </si>
  <si>
    <t>Unclassified Nasu-Gepu</t>
  </si>
  <si>
    <t>Unclassified Nuclear Nisoid</t>
  </si>
  <si>
    <t>Unclassified Southeastern Ngwi</t>
  </si>
  <si>
    <t>Unclassified Lisoid</t>
  </si>
  <si>
    <t>Unclassified Lipo-Lolopo</t>
  </si>
  <si>
    <t>Unclassified Brahmaputran</t>
  </si>
  <si>
    <t>unun9961</t>
  </si>
  <si>
    <t>Unclassified Central-Eastern West Himalayish</t>
  </si>
  <si>
    <t>Unclassified Bodish</t>
  </si>
  <si>
    <t>Unclassified Pama-Nyungan</t>
  </si>
  <si>
    <t>Unclassified Greater Maric</t>
  </si>
  <si>
    <t>Unclassified Wati</t>
  </si>
  <si>
    <t>Unclassified Core Thura-Yura</t>
  </si>
  <si>
    <t>Unclassified Kombio-Yambes</t>
  </si>
  <si>
    <t>Unclassified Nuclear Torricelli</t>
  </si>
  <si>
    <t>Unclassified Nwa-Ben</t>
  </si>
  <si>
    <t>Unclassified Madang</t>
  </si>
  <si>
    <t>Unclassified Rai Coast</t>
  </si>
  <si>
    <t>Unclassified Kainantu-Goroka</t>
  </si>
  <si>
    <t>Unclassified Kainantu</t>
  </si>
  <si>
    <t>Unclassified Kamano-Yagaria</t>
  </si>
  <si>
    <t>Unclassified Goroka</t>
  </si>
  <si>
    <t>unun9978</t>
  </si>
  <si>
    <t>Unclassified Yupna</t>
  </si>
  <si>
    <t>unun9979</t>
  </si>
  <si>
    <t>Unclassified Uruwa</t>
  </si>
  <si>
    <t>Unclassified Gusap-Mot</t>
  </si>
  <si>
    <t>Unclassified Awyu-Dumut</t>
  </si>
  <si>
    <t>Unclassified Huitotoan</t>
  </si>
  <si>
    <t>Unclassified Tacanan</t>
  </si>
  <si>
    <t>Unclassified Bolivian Nawa</t>
  </si>
  <si>
    <t>Unclassified Deaf Sign Language</t>
  </si>
  <si>
    <t>Unclassified Tucanoan</t>
  </si>
  <si>
    <t>Unclassified Eastern Nyulnyulan</t>
  </si>
  <si>
    <t>Unclassified Baining</t>
  </si>
  <si>
    <t>Unclassified First Vernacular Hmong</t>
  </si>
  <si>
    <t>Unclassified Bagirmic</t>
  </si>
  <si>
    <t>Unclassified Northern Luzon</t>
  </si>
  <si>
    <t>Unclassified North Borneo Malayo-Polynesian</t>
  </si>
  <si>
    <t>Unclassified Malayic</t>
  </si>
  <si>
    <t>Unclassified Bisayan</t>
  </si>
  <si>
    <t>unwa1238</t>
  </si>
  <si>
    <t>Unwana</t>
  </si>
  <si>
    <t>unya1238</t>
  </si>
  <si>
    <t>Unyama</t>
  </si>
  <si>
    <t>unye1238</t>
  </si>
  <si>
    <t>Unyeada</t>
  </si>
  <si>
    <t>uokh1238</t>
  </si>
  <si>
    <t>Uokha</t>
  </si>
  <si>
    <t>uok</t>
  </si>
  <si>
    <t>uonu1237</t>
  </si>
  <si>
    <t>Uonuma</t>
  </si>
  <si>
    <t>upat1238</t>
  </si>
  <si>
    <t>Upata</t>
  </si>
  <si>
    <t>uppe1235</t>
  </si>
  <si>
    <t>Upper Taromi</t>
  </si>
  <si>
    <t>tov</t>
  </si>
  <si>
    <t>uppe1274</t>
  </si>
  <si>
    <t>Upper Michigan-Wisconsin Chippewa</t>
  </si>
  <si>
    <t>uppe1275</t>
  </si>
  <si>
    <t>Upper Necaxa Totonac</t>
  </si>
  <si>
    <t>tku</t>
  </si>
  <si>
    <t>uppe1393</t>
  </si>
  <si>
    <t>Upper Carniola</t>
  </si>
  <si>
    <t>Upper Sorbian</t>
  </si>
  <si>
    <t>hsb</t>
  </si>
  <si>
    <t>uppe1396</t>
  </si>
  <si>
    <t>Upper Engadine</t>
  </si>
  <si>
    <t>Upper Austrian german</t>
  </si>
  <si>
    <t>Central East Middle German</t>
  </si>
  <si>
    <t>sxu</t>
  </si>
  <si>
    <t>uppe1401</t>
  </si>
  <si>
    <t>Upper Yazgulyam</t>
  </si>
  <si>
    <t>uppe1402</t>
  </si>
  <si>
    <t>Upper Wasi-Weri</t>
  </si>
  <si>
    <t>Upper Mahasu Pahari</t>
  </si>
  <si>
    <t>uppe1404</t>
  </si>
  <si>
    <t>Upper Lamet</t>
  </si>
  <si>
    <t>uppe1405</t>
  </si>
  <si>
    <t>Upper Bondo</t>
  </si>
  <si>
    <t>Upper Ta'oih</t>
  </si>
  <si>
    <t>tth</t>
  </si>
  <si>
    <t>uppe1407</t>
  </si>
  <si>
    <t>Upper Bal</t>
  </si>
  <si>
    <t>uppe1408</t>
  </si>
  <si>
    <t>Upper Mustang</t>
  </si>
  <si>
    <t>uppe1409</t>
  </si>
  <si>
    <t>Upper Groma</t>
  </si>
  <si>
    <t>uppe1410</t>
  </si>
  <si>
    <t>Upper Kheng</t>
  </si>
  <si>
    <t>uppe1411</t>
  </si>
  <si>
    <t>Upper Zyphe</t>
  </si>
  <si>
    <t>Upper Arun</t>
  </si>
  <si>
    <t>Upper Dudhkosi</t>
  </si>
  <si>
    <t>uppe1414</t>
  </si>
  <si>
    <t>Upper Kolyma</t>
  </si>
  <si>
    <t>Upper Riverland</t>
  </si>
  <si>
    <t>uppe1417</t>
  </si>
  <si>
    <t>Upper Adele</t>
  </si>
  <si>
    <t>Upper Cross</t>
  </si>
  <si>
    <t>uppe1419</t>
  </si>
  <si>
    <t>Upper Kenyang</t>
  </si>
  <si>
    <t>uppe1420</t>
  </si>
  <si>
    <t>Upper Gio</t>
  </si>
  <si>
    <t>uppe1421</t>
  </si>
  <si>
    <t>Upper Yei</t>
  </si>
  <si>
    <t>uppe1422</t>
  </si>
  <si>
    <t>Upper Mortlock</t>
  </si>
  <si>
    <t>Upper Markham</t>
  </si>
  <si>
    <t>uppe1424</t>
  </si>
  <si>
    <t>Upper Tanudan Kalinga</t>
  </si>
  <si>
    <t>kgh</t>
  </si>
  <si>
    <t>Upper Pujungan</t>
  </si>
  <si>
    <t>Upper Kinabatangan-Lobu</t>
  </si>
  <si>
    <t>Upper Kinabatangan</t>
  </si>
  <si>
    <t>dmg</t>
  </si>
  <si>
    <t>uppe1428</t>
  </si>
  <si>
    <t>Upper Lagaip</t>
  </si>
  <si>
    <t>uppe1429</t>
  </si>
  <si>
    <t>Upper August River</t>
  </si>
  <si>
    <t>uppe1430</t>
  </si>
  <si>
    <t>Upper Grand Valley Dani</t>
  </si>
  <si>
    <t>dna</t>
  </si>
  <si>
    <t>uppe1431</t>
  </si>
  <si>
    <t>Upper Bele</t>
  </si>
  <si>
    <t>uppe1432</t>
  </si>
  <si>
    <t>Upper Pyramid</t>
  </si>
  <si>
    <t>uppe1433</t>
  </si>
  <si>
    <t>Upper Asaro</t>
  </si>
  <si>
    <t>uppe1434</t>
  </si>
  <si>
    <t>Upper Bamu</t>
  </si>
  <si>
    <t>uppe1435</t>
  </si>
  <si>
    <t>Upper Ugu River</t>
  </si>
  <si>
    <t>uppe1436</t>
  </si>
  <si>
    <t>Upper Umpqua</t>
  </si>
  <si>
    <t>xup</t>
  </si>
  <si>
    <t>uppe1437</t>
  </si>
  <si>
    <t>Upper Tanana</t>
  </si>
  <si>
    <t>tau</t>
  </si>
  <si>
    <t>uppe1438</t>
  </si>
  <si>
    <t>Upper Kuskokwim</t>
  </si>
  <si>
    <t>kuu</t>
  </si>
  <si>
    <t>uppe1439</t>
  </si>
  <si>
    <t>Upper Chehalis</t>
  </si>
  <si>
    <t>cjh</t>
  </si>
  <si>
    <t>Upper San Juan</t>
  </si>
  <si>
    <t>Upper Egyptian</t>
  </si>
  <si>
    <t>uppe1449</t>
  </si>
  <si>
    <t>Upper Barwari</t>
  </si>
  <si>
    <t>uppe1453</t>
  </si>
  <si>
    <t>Upper Egypt Arabic</t>
  </si>
  <si>
    <t>Upper Guinea Crioulo</t>
  </si>
  <si>
    <t>pov</t>
  </si>
  <si>
    <t>GM GW SN US</t>
  </si>
  <si>
    <t>Upper Southwest Paman</t>
  </si>
  <si>
    <t>Upper Niger Kainji</t>
  </si>
  <si>
    <t>Upper Guinea Portuguese</t>
  </si>
  <si>
    <t>uppe1459</t>
  </si>
  <si>
    <t>Upper Baram Kenyah</t>
  </si>
  <si>
    <t>ubm</t>
  </si>
  <si>
    <t>uppe1461</t>
  </si>
  <si>
    <t>Upper Loz'va Mansi</t>
  </si>
  <si>
    <t>uppe1462</t>
  </si>
  <si>
    <t>Upper Mulebki</t>
  </si>
  <si>
    <t>Upper-Vurqri</t>
  </si>
  <si>
    <t>Upper Franconian</t>
  </si>
  <si>
    <t>Upper Saxon</t>
  </si>
  <si>
    <t>Upper East Franconian</t>
  </si>
  <si>
    <t>uppe1467</t>
  </si>
  <si>
    <t>Upper-Rhine Alemannic</t>
  </si>
  <si>
    <t>Upriver Riverine Phula</t>
  </si>
  <si>
    <t>upri1240</t>
  </si>
  <si>
    <t>Upriver Liuzhou Pinghua</t>
  </si>
  <si>
    <t>Upstream-Nu Qiang</t>
  </si>
  <si>
    <t>uraa1244</t>
  </si>
  <si>
    <t>Ura</t>
  </si>
  <si>
    <t>Uradhic</t>
  </si>
  <si>
    <t>urad1239</t>
  </si>
  <si>
    <t>Uradhi</t>
  </si>
  <si>
    <t>urf</t>
  </si>
  <si>
    <t>urak1238</t>
  </si>
  <si>
    <t>Urak Lawoi'</t>
  </si>
  <si>
    <t>urk</t>
  </si>
  <si>
    <t>Uralic</t>
  </si>
  <si>
    <t>ural1273</t>
  </si>
  <si>
    <t>Ural</t>
  </si>
  <si>
    <t>ural1274</t>
  </si>
  <si>
    <t>Urali of Idukki</t>
  </si>
  <si>
    <t>url</t>
  </si>
  <si>
    <t>ural1276</t>
  </si>
  <si>
    <t>Uralian Torguud</t>
  </si>
  <si>
    <t>uram1241</t>
  </si>
  <si>
    <t>Urama</t>
  </si>
  <si>
    <t>uran1238</t>
  </si>
  <si>
    <t>Uran</t>
  </si>
  <si>
    <t>urap1239</t>
  </si>
  <si>
    <t>Urapmin</t>
  </si>
  <si>
    <t>urm</t>
  </si>
  <si>
    <t>urap1240</t>
  </si>
  <si>
    <t>Ura (Papua New Guinea)</t>
  </si>
  <si>
    <t>uro</t>
  </si>
  <si>
    <t>urar1245</t>
  </si>
  <si>
    <t>Urartian</t>
  </si>
  <si>
    <t>xur</t>
  </si>
  <si>
    <t>urar1246</t>
  </si>
  <si>
    <t>Urarina</t>
  </si>
  <si>
    <t>ura</t>
  </si>
  <si>
    <t>urat1244</t>
  </si>
  <si>
    <t>Urat</t>
  </si>
  <si>
    <t>urt</t>
  </si>
  <si>
    <t>urav1235</t>
  </si>
  <si>
    <t>Ura (Vanuatu)</t>
  </si>
  <si>
    <t>uur</t>
  </si>
  <si>
    <t>urax1238</t>
  </si>
  <si>
    <t>Uraxa</t>
  </si>
  <si>
    <t>Urdu</t>
  </si>
  <si>
    <t>urd</t>
  </si>
  <si>
    <t>AF BD IN PK</t>
  </si>
  <si>
    <t>urek1234</t>
  </si>
  <si>
    <t>Urekena</t>
  </si>
  <si>
    <t>uren1238</t>
  </si>
  <si>
    <t>Ureng</t>
  </si>
  <si>
    <t>urfa1238</t>
  </si>
  <si>
    <t>Urfa</t>
  </si>
  <si>
    <t>Urhobo</t>
  </si>
  <si>
    <t>urh</t>
  </si>
  <si>
    <t>urig1240</t>
  </si>
  <si>
    <t>Urigina</t>
  </si>
  <si>
    <t>urg</t>
  </si>
  <si>
    <t>Urigina-Danaru</t>
  </si>
  <si>
    <t>Uri</t>
  </si>
  <si>
    <t>uvh</t>
  </si>
  <si>
    <t>urim1251</t>
  </si>
  <si>
    <t>Urimo</t>
  </si>
  <si>
    <t>urx</t>
  </si>
  <si>
    <t>Urim</t>
  </si>
  <si>
    <t>uri</t>
  </si>
  <si>
    <t>Uripiv-Wala-Rano-Atchin</t>
  </si>
  <si>
    <t>upv</t>
  </si>
  <si>
    <t>urip1240</t>
  </si>
  <si>
    <t>Uripiv</t>
  </si>
  <si>
    <t>urit1239</t>
  </si>
  <si>
    <t>Urita</t>
  </si>
  <si>
    <t>urke1234</t>
  </si>
  <si>
    <t>Urkers</t>
  </si>
  <si>
    <t>Urmian group</t>
  </si>
  <si>
    <t>urmi1250</t>
  </si>
  <si>
    <t>Urmi</t>
  </si>
  <si>
    <t>Urninganggic</t>
  </si>
  <si>
    <t>urni1239</t>
  </si>
  <si>
    <t>Urningangg</t>
  </si>
  <si>
    <t>urc</t>
  </si>
  <si>
    <t>uroo1240</t>
  </si>
  <si>
    <t>Uro</t>
  </si>
  <si>
    <t>urri1238</t>
  </si>
  <si>
    <t>Urrighel</t>
  </si>
  <si>
    <t>urrt1238</t>
  </si>
  <si>
    <t>Urrti</t>
  </si>
  <si>
    <t>ursa1238</t>
  </si>
  <si>
    <t>Urs√°ri</t>
  </si>
  <si>
    <t>urua1242</t>
  </si>
  <si>
    <t>Uruava</t>
  </si>
  <si>
    <t>urv</t>
  </si>
  <si>
    <t>urua1243</t>
  </si>
  <si>
    <t>Urua</t>
  </si>
  <si>
    <t>urua1244</t>
  </si>
  <si>
    <t>Uruangnirin</t>
  </si>
  <si>
    <t>urn</t>
  </si>
  <si>
    <t>urub1243</t>
  </si>
  <si>
    <t>Urub√∫-Kaapor Sign Language</t>
  </si>
  <si>
    <t>uks</t>
  </si>
  <si>
    <t>urub1250</t>
  </si>
  <si>
    <t>Urub√∫-Kaapor</t>
  </si>
  <si>
    <t>urb</t>
  </si>
  <si>
    <t>urub1251</t>
  </si>
  <si>
    <t>Urubamba Yine</t>
  </si>
  <si>
    <t>uruc1241</t>
  </si>
  <si>
    <t>Urucuiana</t>
  </si>
  <si>
    <t>Uru-Chipaya</t>
  </si>
  <si>
    <t>uruc1243</t>
  </si>
  <si>
    <t>Urucuc√∫s</t>
  </si>
  <si>
    <t>urue1240</t>
  </si>
  <si>
    <t>Uru-Eu-Wau-Wau</t>
  </si>
  <si>
    <t>urz</t>
  </si>
  <si>
    <t>urug1238</t>
  </si>
  <si>
    <t>Uruguayan Sign Language</t>
  </si>
  <si>
    <t>ugy</t>
  </si>
  <si>
    <t>uruk1240</t>
  </si>
  <si>
    <t>Urukun</t>
  </si>
  <si>
    <t>urum1248</t>
  </si>
  <si>
    <t>Urumqi</t>
  </si>
  <si>
    <t>urum1249</t>
  </si>
  <si>
    <t>Urum</t>
  </si>
  <si>
    <t>uum</t>
  </si>
  <si>
    <t>GE UA</t>
  </si>
  <si>
    <t>urum1250</t>
  </si>
  <si>
    <t>Urumi</t>
  </si>
  <si>
    <t>uru</t>
  </si>
  <si>
    <t>urup1235</t>
  </si>
  <si>
    <t>Uru-Pa-In</t>
  </si>
  <si>
    <t>urp</t>
  </si>
  <si>
    <t>urup1244</t>
  </si>
  <si>
    <t>wari1269</t>
  </si>
  <si>
    <t>Urupa-Yaru</t>
  </si>
  <si>
    <t>urup1245</t>
  </si>
  <si>
    <t>Urupa</t>
  </si>
  <si>
    <t>uruu1243</t>
  </si>
  <si>
    <t>Uru (Mochi)</t>
  </si>
  <si>
    <t>uruu1244</t>
  </si>
  <si>
    <t>Uru</t>
  </si>
  <si>
    <t>ure</t>
  </si>
  <si>
    <t>Uruwa</t>
  </si>
  <si>
    <t>usag1244</t>
  </si>
  <si>
    <t>Usaghade</t>
  </si>
  <si>
    <t>usk</t>
  </si>
  <si>
    <t>usag1245</t>
  </si>
  <si>
    <t>Usage</t>
  </si>
  <si>
    <t>usan1239</t>
  </si>
  <si>
    <t>Usan</t>
  </si>
  <si>
    <t>wnu</t>
  </si>
  <si>
    <t>usar1243</t>
  </si>
  <si>
    <t>Usarufa</t>
  </si>
  <si>
    <t>usa</t>
  </si>
  <si>
    <t>usar1244</t>
  </si>
  <si>
    <t>Usari</t>
  </si>
  <si>
    <t>usen1237</t>
  </si>
  <si>
    <t>Usen</t>
  </si>
  <si>
    <t>usha1238</t>
  </si>
  <si>
    <t>Ushaku</t>
  </si>
  <si>
    <t>ushn1238</t>
  </si>
  <si>
    <t>Ushno</t>
  </si>
  <si>
    <t>usho1238</t>
  </si>
  <si>
    <t>Ushojo</t>
  </si>
  <si>
    <t>ush</t>
  </si>
  <si>
    <t>ushu1238</t>
  </si>
  <si>
    <t>Ushu</t>
  </si>
  <si>
    <t>usil1237</t>
  </si>
  <si>
    <t>Usila Chinantec</t>
  </si>
  <si>
    <t>cuc</t>
  </si>
  <si>
    <t>usir1238</t>
  </si>
  <si>
    <t>Usirampia</t>
  </si>
  <si>
    <t>usku1243</t>
  </si>
  <si>
    <t>Usku</t>
  </si>
  <si>
    <t>ulf</t>
  </si>
  <si>
    <t>usok1238</t>
  </si>
  <si>
    <t>Usokun</t>
  </si>
  <si>
    <t>uspa1245</t>
  </si>
  <si>
    <t>Uspanteco</t>
  </si>
  <si>
    <t>usp</t>
  </si>
  <si>
    <t>usse1238</t>
  </si>
  <si>
    <t>Usseri</t>
  </si>
  <si>
    <t>usss1238</t>
  </si>
  <si>
    <t>Us</t>
  </si>
  <si>
    <t>ussu1239</t>
  </si>
  <si>
    <t>Ussuri</t>
  </si>
  <si>
    <t>ustu1237</t>
  </si>
  <si>
    <t>Ustutun</t>
  </si>
  <si>
    <t>usui1238</t>
  </si>
  <si>
    <t>Usui</t>
  </si>
  <si>
    <t>usi</t>
  </si>
  <si>
    <t>utab1238</t>
  </si>
  <si>
    <t>Utabi</t>
  </si>
  <si>
    <t>utal1237</t>
  </si>
  <si>
    <t>Utalo</t>
  </si>
  <si>
    <t>utal1238</t>
  </si>
  <si>
    <t>Utalingoro</t>
  </si>
  <si>
    <t>utar1238</t>
  </si>
  <si>
    <t>Utarmbung</t>
  </si>
  <si>
    <t>omo</t>
  </si>
  <si>
    <t>utee1244</t>
  </si>
  <si>
    <t>uten1234</t>
  </si>
  <si>
    <t>Utengule</t>
  </si>
  <si>
    <t>Ute-Southern Paiute</t>
  </si>
  <si>
    <t>ute</t>
  </si>
  <si>
    <t>utii1238</t>
  </si>
  <si>
    <t>Uti</t>
  </si>
  <si>
    <t>utno1237</t>
  </si>
  <si>
    <t>Utnoor</t>
  </si>
  <si>
    <t>utnu1237</t>
  </si>
  <si>
    <t>Utnur</t>
  </si>
  <si>
    <t>Uto-Aztecan</t>
  </si>
  <si>
    <t>utre1235</t>
  </si>
  <si>
    <t>Utrechts</t>
  </si>
  <si>
    <t>utsa1239</t>
  </si>
  <si>
    <t>Lhasa Tibetan</t>
  </si>
  <si>
    <t>utta1238</t>
  </si>
  <si>
    <t>Uttari</t>
  </si>
  <si>
    <t>uttt1237</t>
  </si>
  <si>
    <t>Ut</t>
  </si>
  <si>
    <t>utug1238</t>
  </si>
  <si>
    <t>Utugwang</t>
  </si>
  <si>
    <t>utum1238</t>
  </si>
  <si>
    <t>Utuma</t>
  </si>
  <si>
    <t>Utupua-Vanikoro</t>
  </si>
  <si>
    <t>Utupua</t>
  </si>
  <si>
    <t>utuu1240</t>
  </si>
  <si>
    <t>Utu</t>
  </si>
  <si>
    <t>utu</t>
  </si>
  <si>
    <t>uuuu1242</t>
  </si>
  <si>
    <t>U (Khmu)</t>
  </si>
  <si>
    <t>uuuu1243</t>
  </si>
  <si>
    <t>U</t>
  </si>
  <si>
    <t>uuu</t>
  </si>
  <si>
    <t>uvbi1238</t>
  </si>
  <si>
    <t>Uvbie</t>
  </si>
  <si>
    <t>evh</t>
  </si>
  <si>
    <t>uwen1237</t>
  </si>
  <si>
    <t>Uwenpantai</t>
  </si>
  <si>
    <t>uwep1238</t>
  </si>
  <si>
    <t>Uwepa-Uwano</t>
  </si>
  <si>
    <t>uwin1234</t>
  </si>
  <si>
    <t>Uwinymil</t>
  </si>
  <si>
    <t>uyaa1238</t>
  </si>
  <si>
    <t>Uya</t>
  </si>
  <si>
    <t>usu</t>
  </si>
  <si>
    <t>Modern Uyghur-Uzbek</t>
  </si>
  <si>
    <t>Uyghur-Uzbek</t>
  </si>
  <si>
    <t>uzai1238</t>
  </si>
  <si>
    <t>Uzairue</t>
  </si>
  <si>
    <t>Uzbek</t>
  </si>
  <si>
    <t>Uzbeki Arabic</t>
  </si>
  <si>
    <t>auz</t>
  </si>
  <si>
    <t>uzbi1238</t>
  </si>
  <si>
    <t>Uzbin</t>
  </si>
  <si>
    <t>uzek1238</t>
  </si>
  <si>
    <t>Uzekwe</t>
  </si>
  <si>
    <t>eze</t>
  </si>
  <si>
    <t>uzer1238</t>
  </si>
  <si>
    <t>Uzere</t>
  </si>
  <si>
    <t>uzic1234</t>
  </si>
  <si>
    <t>U≈æican</t>
  </si>
  <si>
    <t>vaag1238</t>
  </si>
  <si>
    <t>Vaagri Booli</t>
  </si>
  <si>
    <t>vaa</t>
  </si>
  <si>
    <t>vaal1235</t>
  </si>
  <si>
    <t>Vaal-Orange</t>
  </si>
  <si>
    <t>gku</t>
  </si>
  <si>
    <t>vaaz1238</t>
  </si>
  <si>
    <t>Vaazin</t>
  </si>
  <si>
    <t>vach1239</t>
  </si>
  <si>
    <t>Vach Khanty</t>
  </si>
  <si>
    <t>vada1239</t>
  </si>
  <si>
    <t>Vadari</t>
  </si>
  <si>
    <t>vada1240</t>
  </si>
  <si>
    <t>Vadaga</t>
  </si>
  <si>
    <t>vado1243</t>
  </si>
  <si>
    <t>Vadonde</t>
  </si>
  <si>
    <t>vado1244</t>
  </si>
  <si>
    <t>Vado</t>
  </si>
  <si>
    <t>vado1245</t>
  </si>
  <si>
    <t>Vado-Vaene'</t>
  </si>
  <si>
    <t>vaen1237</t>
  </si>
  <si>
    <t>Vaene'</t>
  </si>
  <si>
    <t>vafs1240</t>
  </si>
  <si>
    <t>Vafsi</t>
  </si>
  <si>
    <t>vaf</t>
  </si>
  <si>
    <t>Vafsic</t>
  </si>
  <si>
    <t>vagh1246</t>
  </si>
  <si>
    <t>Vaghri</t>
  </si>
  <si>
    <t>vgr</t>
  </si>
  <si>
    <t>Vaghat-Ya-Bijim-Legeri</t>
  </si>
  <si>
    <t>bij</t>
  </si>
  <si>
    <t>vagh1248</t>
  </si>
  <si>
    <t>Vaghat</t>
  </si>
  <si>
    <t>west2856</t>
  </si>
  <si>
    <t>Vaghua</t>
  </si>
  <si>
    <t>Vagla</t>
  </si>
  <si>
    <t>vag</t>
  </si>
  <si>
    <t>vagr1238</t>
  </si>
  <si>
    <t>Vagri</t>
  </si>
  <si>
    <t>vahi1237</t>
  </si>
  <si>
    <t>Vahitu</t>
  </si>
  <si>
    <t>vaii1241</t>
  </si>
  <si>
    <t>Vai</t>
  </si>
  <si>
    <t>vai</t>
  </si>
  <si>
    <t>Vai-Kono</t>
  </si>
  <si>
    <t>vain1234</t>
  </si>
  <si>
    <t>Vain Dan</t>
  </si>
  <si>
    <t>vaip1239</t>
  </si>
  <si>
    <t>Vaiphei</t>
  </si>
  <si>
    <t>vap</t>
  </si>
  <si>
    <t>vair1238</t>
  </si>
  <si>
    <t>Vaira-Ntosara</t>
  </si>
  <si>
    <t>vaji1239</t>
  </si>
  <si>
    <t>Vajieng</t>
  </si>
  <si>
    <t>vaka1238</t>
  </si>
  <si>
    <t>Vakam</t>
  </si>
  <si>
    <t>vaku1237</t>
  </si>
  <si>
    <t>Vakuta</t>
  </si>
  <si>
    <t>vala1242</t>
  </si>
  <si>
    <t>Valaisan</t>
  </si>
  <si>
    <t>vala1243</t>
  </si>
  <si>
    <t>Va Lang</t>
  </si>
  <si>
    <t>Vale</t>
  </si>
  <si>
    <t>vae</t>
  </si>
  <si>
    <t>vale1251</t>
  </si>
  <si>
    <t>Valencian Sign Language</t>
  </si>
  <si>
    <t>vsv</t>
  </si>
  <si>
    <t>vale1252</t>
  </si>
  <si>
    <t>Valenci√†</t>
  </si>
  <si>
    <t>vale1253</t>
  </si>
  <si>
    <t>Valenci√† Septentrional</t>
  </si>
  <si>
    <t>vale1254</t>
  </si>
  <si>
    <t>Valenci√† Apitxat</t>
  </si>
  <si>
    <t>vale1255</t>
  </si>
  <si>
    <t>Valenci√† Meridional</t>
  </si>
  <si>
    <t>vali1239</t>
  </si>
  <si>
    <t>Valiente</t>
  </si>
  <si>
    <t>vall1249</t>
  </si>
  <si>
    <t>Valle D'aosta</t>
  </si>
  <si>
    <t>vall1250</t>
  </si>
  <si>
    <t>Valley Cove</t>
  </si>
  <si>
    <t>Valley Yokuts</t>
  </si>
  <si>
    <t>vall1252</t>
  </si>
  <si>
    <t>Valley Maidu</t>
  </si>
  <si>
    <t>vmv</t>
  </si>
  <si>
    <t>vall1253</t>
  </si>
  <si>
    <t>Valle Nacional Chinantec</t>
  </si>
  <si>
    <t>cvn</t>
  </si>
  <si>
    <t>vall1257</t>
  </si>
  <si>
    <t>Valley Tihaamah</t>
  </si>
  <si>
    <t>valm1241</t>
  </si>
  <si>
    <t>Walman</t>
  </si>
  <si>
    <t>van</t>
  </si>
  <si>
    <t>valn1238</t>
  </si>
  <si>
    <t>Val-Nogliki</t>
  </si>
  <si>
    <t>valp1237</t>
  </si>
  <si>
    <t>Valpei</t>
  </si>
  <si>
    <t>vlp</t>
  </si>
  <si>
    <t>valv1238</t>
  </si>
  <si>
    <t>Valvideiru</t>
  </si>
  <si>
    <t>vama1242</t>
  </si>
  <si>
    <t>Vamakonde</t>
  </si>
  <si>
    <t>Vamale</t>
  </si>
  <si>
    <t>mkt</t>
  </si>
  <si>
    <t>Vame</t>
  </si>
  <si>
    <t>mlr</t>
  </si>
  <si>
    <t>vamh1234</t>
  </si>
  <si>
    <t>V√•mhus</t>
  </si>
  <si>
    <t>vamw1241</t>
  </si>
  <si>
    <t>Vamwambe</t>
  </si>
  <si>
    <t>vamw1242</t>
  </si>
  <si>
    <t>Vamwalu</t>
  </si>
  <si>
    <t>vanc1237</t>
  </si>
  <si>
    <t>Vancouver Cantonese</t>
  </si>
  <si>
    <t>vand1244</t>
  </si>
  <si>
    <t>Vandougouka</t>
  </si>
  <si>
    <t>vand1245</t>
  </si>
  <si>
    <t>Vandal</t>
  </si>
  <si>
    <t>vang1242</t>
  </si>
  <si>
    <t>Vanga</t>
  </si>
  <si>
    <t>Vangunu</t>
  </si>
  <si>
    <t>mpr</t>
  </si>
  <si>
    <t>vani1248</t>
  </si>
  <si>
    <t>Vanimo</t>
  </si>
  <si>
    <t>vam</t>
  </si>
  <si>
    <t>Vanic</t>
  </si>
  <si>
    <t>vann1243</t>
  </si>
  <si>
    <t>Van</t>
  </si>
  <si>
    <t>vann1244</t>
  </si>
  <si>
    <t>Vannetais</t>
  </si>
  <si>
    <t>vann1248</t>
  </si>
  <si>
    <t>Van (Aramaic)</t>
  </si>
  <si>
    <t>vano1237</t>
  </si>
  <si>
    <t>Lovono</t>
  </si>
  <si>
    <t>vnk</t>
  </si>
  <si>
    <t>vanu1242</t>
  </si>
  <si>
    <t>Vanuma</t>
  </si>
  <si>
    <t>vau</t>
  </si>
  <si>
    <t>vanu1243</t>
  </si>
  <si>
    <t>Vanua Balavu</t>
  </si>
  <si>
    <t>vanu1244</t>
  </si>
  <si>
    <t>Vanumami</t>
  </si>
  <si>
    <t>Vanuatu-Loyalty Outliers</t>
  </si>
  <si>
    <t>Vanuma-Nyali</t>
  </si>
  <si>
    <t>vaoo1237</t>
  </si>
  <si>
    <t>Vao</t>
  </si>
  <si>
    <t>vao</t>
  </si>
  <si>
    <t>vapo1239</t>
  </si>
  <si>
    <t>Vapopeo'</t>
  </si>
  <si>
    <t>vapo1240</t>
  </si>
  <si>
    <t>Vapopeo'-Rausaura</t>
  </si>
  <si>
    <t>vara1239</t>
  </si>
  <si>
    <t>Vara</t>
  </si>
  <si>
    <t>Varhadi-Nagpuri</t>
  </si>
  <si>
    <t>vah</t>
  </si>
  <si>
    <t>Varisi</t>
  </si>
  <si>
    <t>vrs</t>
  </si>
  <si>
    <t>varj1239</t>
  </si>
  <si>
    <t>Varjan</t>
  </si>
  <si>
    <t>Varli</t>
  </si>
  <si>
    <t>vav</t>
  </si>
  <si>
    <t>vart1238</t>
  </si>
  <si>
    <t>Varto</t>
  </si>
  <si>
    <t>Vasavi</t>
  </si>
  <si>
    <t>vas</t>
  </si>
  <si>
    <t>Vasave-Noiri</t>
  </si>
  <si>
    <t>vase1234</t>
  </si>
  <si>
    <t>Northern Ju</t>
  </si>
  <si>
    <t>vaj</t>
  </si>
  <si>
    <t>vasj1234</t>
  </si>
  <si>
    <t>Vasjugan Khanty</t>
  </si>
  <si>
    <t>V√§sterdalarna</t>
  </si>
  <si>
    <t>vasu1237</t>
  </si>
  <si>
    <t>Vasui</t>
  </si>
  <si>
    <t>vasy1234</t>
  </si>
  <si>
    <t>Vasyugan Selkup</t>
  </si>
  <si>
    <t>vata1239</t>
  </si>
  <si>
    <t>Vata</t>
  </si>
  <si>
    <t>vatr1237</t>
  </si>
  <si>
    <t>Vatrata</t>
  </si>
  <si>
    <t>vlr</t>
  </si>
  <si>
    <t>vaud1238</t>
  </si>
  <si>
    <t>Vaudois</t>
  </si>
  <si>
    <t>vaup1239</t>
  </si>
  <si>
    <t>Vaup√©s Cacua</t>
  </si>
  <si>
    <t>vavo1237</t>
  </si>
  <si>
    <t>Vavoehpoa'</t>
  </si>
  <si>
    <t>vazi1234</t>
  </si>
  <si>
    <t>Vazimba</t>
  </si>
  <si>
    <t>vedd1240</t>
  </si>
  <si>
    <t>Veddah</t>
  </si>
  <si>
    <t>ved</t>
  </si>
  <si>
    <t>veen1238</t>
  </si>
  <si>
    <t>Veenkoloniaals</t>
  </si>
  <si>
    <t>vehe1237</t>
  </si>
  <si>
    <t>Vehes</t>
  </si>
  <si>
    <t>val</t>
  </si>
  <si>
    <t>Vehicular Malay</t>
  </si>
  <si>
    <t>Veluws</t>
  </si>
  <si>
    <t>vel</t>
  </si>
  <si>
    <t>velu1239</t>
  </si>
  <si>
    <t>Ve Luri</t>
  </si>
  <si>
    <t>vemg1240</t>
  </si>
  <si>
    <t>Vemgo-Mabas</t>
  </si>
  <si>
    <t>vem</t>
  </si>
  <si>
    <t>vemg1241</t>
  </si>
  <si>
    <t>Vemgo</t>
  </si>
  <si>
    <t>vena1238</t>
  </si>
  <si>
    <t>Venaco</t>
  </si>
  <si>
    <t>vend1246</t>
  </si>
  <si>
    <t>Vendo</t>
  </si>
  <si>
    <t>Vend</t>
  </si>
  <si>
    <t>vene1237</t>
  </si>
  <si>
    <t>Venezuelan Sign Language</t>
  </si>
  <si>
    <t>vsl</t>
  </si>
  <si>
    <t>vene1257</t>
  </si>
  <si>
    <t>Venetic</t>
  </si>
  <si>
    <t>xve</t>
  </si>
  <si>
    <t>Venetian</t>
  </si>
  <si>
    <t>vec</t>
  </si>
  <si>
    <t>vene1259</t>
  </si>
  <si>
    <t>Venetian Proper</t>
  </si>
  <si>
    <t>Venezuelan Cariban</t>
  </si>
  <si>
    <t>veng1238</t>
  </si>
  <si>
    <t>Vengo</t>
  </si>
  <si>
    <t>bav</t>
  </si>
  <si>
    <t>veng1239</t>
  </si>
  <si>
    <t>Venga</t>
  </si>
  <si>
    <t>vent1242</t>
  </si>
  <si>
    <t>Venture√±o</t>
  </si>
  <si>
    <t>veo</t>
  </si>
  <si>
    <t>Veps</t>
  </si>
  <si>
    <t>vep</t>
  </si>
  <si>
    <t>veqa1238</t>
  </si>
  <si>
    <t>Veqaura</t>
  </si>
  <si>
    <t>Vera'a</t>
  </si>
  <si>
    <t>vra</t>
  </si>
  <si>
    <t>Vere-Gimme</t>
  </si>
  <si>
    <t>Vere</t>
  </si>
  <si>
    <t>vere1251</t>
  </si>
  <si>
    <t>Vere (Papua New Guinea)</t>
  </si>
  <si>
    <t>vere1252</t>
  </si>
  <si>
    <t>Vere Kaadam</t>
  </si>
  <si>
    <t>verk1237</t>
  </si>
  <si>
    <t>Verkhovsk</t>
  </si>
  <si>
    <t>verm1238</t>
  </si>
  <si>
    <t>Vermandois</t>
  </si>
  <si>
    <t>vest1239</t>
  </si>
  <si>
    <t>Vestinian</t>
  </si>
  <si>
    <t>vest1240</t>
  </si>
  <si>
    <t>Vestnorsk</t>
  </si>
  <si>
    <t>veta1237</t>
  </si>
  <si>
    <t>Vetan</t>
  </si>
  <si>
    <t>vett1239</t>
  </si>
  <si>
    <t>Vettuvan</t>
  </si>
  <si>
    <t>vett1240</t>
  </si>
  <si>
    <t>Vette Kada Irula</t>
  </si>
  <si>
    <t>vetu1237</t>
  </si>
  <si>
    <t>Vetumboso</t>
  </si>
  <si>
    <t>vezo1235</t>
  </si>
  <si>
    <t>Vezo</t>
  </si>
  <si>
    <t>vicc1238</t>
  </si>
  <si>
    <t>Viccholi</t>
  </si>
  <si>
    <t>vice1240</t>
  </si>
  <si>
    <t>Vice-Arxava</t>
  </si>
  <si>
    <t>Viceitic</t>
  </si>
  <si>
    <t>vico1238</t>
  </si>
  <si>
    <t>Vico-Ajaccio</t>
  </si>
  <si>
    <t>Victorian Pama-Nyungan</t>
  </si>
  <si>
    <t>vicx1238</t>
  </si>
  <si>
    <t>Vicxin</t>
  </si>
  <si>
    <t>vida1238</t>
  </si>
  <si>
    <t>Vidar</t>
  </si>
  <si>
    <t>vidi1238</t>
  </si>
  <si>
    <t>Vidiri</t>
  </si>
  <si>
    <t>vidu1238</t>
  </si>
  <si>
    <t>Vidunda</t>
  </si>
  <si>
    <t>vid</t>
  </si>
  <si>
    <t>Vidunda-Sagala</t>
  </si>
  <si>
    <t>viem1243</t>
  </si>
  <si>
    <t>Viemo</t>
  </si>
  <si>
    <t>vig</t>
  </si>
  <si>
    <t>vien1238</t>
  </si>
  <si>
    <t>Viennese German</t>
  </si>
  <si>
    <t>vien1239</t>
  </si>
  <si>
    <t>Vientiane</t>
  </si>
  <si>
    <t>Vietic</t>
  </si>
  <si>
    <t>Viet-Muong</t>
  </si>
  <si>
    <t>Vieux Mongo</t>
  </si>
  <si>
    <t>vika1234</t>
  </si>
  <si>
    <t>Vika</t>
  </si>
  <si>
    <t>vile1241</t>
  </si>
  <si>
    <t>Vilela</t>
  </si>
  <si>
    <t>vil</t>
  </si>
  <si>
    <t>vili1238</t>
  </si>
  <si>
    <t>Vili</t>
  </si>
  <si>
    <t>vif</t>
  </si>
  <si>
    <t>AO CG GA</t>
  </si>
  <si>
    <t>vili1239</t>
  </si>
  <si>
    <t>Vili of Ngounie</t>
  </si>
  <si>
    <t>vill1241</t>
  </si>
  <si>
    <t>Village Bokobaru</t>
  </si>
  <si>
    <t>vill1242</t>
  </si>
  <si>
    <t>Villa Viciosa Agta</t>
  </si>
  <si>
    <t>dyg</t>
  </si>
  <si>
    <t>Village Sign Language</t>
  </si>
  <si>
    <t>vime1238</t>
  </si>
  <si>
    <t>Vimeu</t>
  </si>
  <si>
    <t>vina1238</t>
  </si>
  <si>
    <t>Vinaata-Konkompira</t>
  </si>
  <si>
    <t>vinc1241</t>
  </si>
  <si>
    <t>Vincentian</t>
  </si>
  <si>
    <t>vinc1243</t>
  </si>
  <si>
    <t>Vincentian Creole English</t>
  </si>
  <si>
    <t>svc</t>
  </si>
  <si>
    <t>VC</t>
  </si>
  <si>
    <t>Vincent-Grenadian Creole</t>
  </si>
  <si>
    <t>vinm1237</t>
  </si>
  <si>
    <t>Neve'ei</t>
  </si>
  <si>
    <t>vnm</t>
  </si>
  <si>
    <t>vinz1238</t>
  </si>
  <si>
    <t>Vinza</t>
  </si>
  <si>
    <t>vin</t>
  </si>
  <si>
    <t>virg1240</t>
  </si>
  <si>
    <t>Virgin Islands Creole English</t>
  </si>
  <si>
    <t>vic</t>
  </si>
  <si>
    <t>VG</t>
  </si>
  <si>
    <t>viry1239</t>
  </si>
  <si>
    <t>Viryal</t>
  </si>
  <si>
    <t>vish1243</t>
  </si>
  <si>
    <t>Vishavan</t>
  </si>
  <si>
    <t>vis</t>
  </si>
  <si>
    <t>vish1244</t>
  </si>
  <si>
    <t>Vishakhapatnam</t>
  </si>
  <si>
    <t>visi1239</t>
  </si>
  <si>
    <t>Visigoth</t>
  </si>
  <si>
    <t>visi1243</t>
  </si>
  <si>
    <t>Visik</t>
  </si>
  <si>
    <t>vita1238</t>
  </si>
  <si>
    <t>Vita</t>
  </si>
  <si>
    <t>viti1241</t>
  </si>
  <si>
    <t>Viti</t>
  </si>
  <si>
    <t>vit</t>
  </si>
  <si>
    <t>Vitiaz linkage</t>
  </si>
  <si>
    <t>vito1235</t>
  </si>
  <si>
    <t>Vitou</t>
  </si>
  <si>
    <t>vto</t>
  </si>
  <si>
    <t>vitt1238</t>
  </si>
  <si>
    <t>Vittangi Finnish</t>
  </si>
  <si>
    <t>viva1235</t>
  </si>
  <si>
    <t>Vivaro-Alpine Occitan</t>
  </si>
  <si>
    <t>vivt1234</t>
  </si>
  <si>
    <t>Vivti</t>
  </si>
  <si>
    <t>viwi1238</t>
  </si>
  <si>
    <t>Viwivakeu</t>
  </si>
  <si>
    <t>vixl1238</t>
  </si>
  <si>
    <t>Vixlin</t>
  </si>
  <si>
    <t>vlaa1235</t>
  </si>
  <si>
    <t>Vlaamse Gebarentaal</t>
  </si>
  <si>
    <t>vgt</t>
  </si>
  <si>
    <t>Western Flemish</t>
  </si>
  <si>
    <t>vls</t>
  </si>
  <si>
    <t>BE FR NL</t>
  </si>
  <si>
    <t>Vlax Romani</t>
  </si>
  <si>
    <t>rmy</t>
  </si>
  <si>
    <t>BA DE IT SK</t>
  </si>
  <si>
    <t>vlin1238</t>
  </si>
  <si>
    <t>Vlin</t>
  </si>
  <si>
    <t>voge1237</t>
  </si>
  <si>
    <t>Vogelkop</t>
  </si>
  <si>
    <t>vogh1238</t>
  </si>
  <si>
    <t>Vogherese-Pavese</t>
  </si>
  <si>
    <t>vogt1234</t>
  </si>
  <si>
    <t>Vogtlandish</t>
  </si>
  <si>
    <t>Voh-Kone</t>
  </si>
  <si>
    <t>Voh-Kone-Cem-Pac</t>
  </si>
  <si>
    <t>vola1234</t>
  </si>
  <si>
    <t>Volap√ºk</t>
  </si>
  <si>
    <t>vol</t>
  </si>
  <si>
    <t>volo1238</t>
  </si>
  <si>
    <t>Volow</t>
  </si>
  <si>
    <t>vols1237</t>
  </si>
  <si>
    <t>Volscian</t>
  </si>
  <si>
    <t>xvo</t>
  </si>
  <si>
    <t>Volta-Congo</t>
  </si>
  <si>
    <t>vono1238</t>
  </si>
  <si>
    <t>Vono</t>
  </si>
  <si>
    <t>kch</t>
  </si>
  <si>
    <t>vooo1238</t>
  </si>
  <si>
    <t>Vo</t>
  </si>
  <si>
    <t>voqt1239</t>
  </si>
  <si>
    <t>Voqtwaq</t>
  </si>
  <si>
    <t>vora1237</t>
  </si>
  <si>
    <t>Vora</t>
  </si>
  <si>
    <t>vora1238</t>
  </si>
  <si>
    <t>Vorarlbergisch</t>
  </si>
  <si>
    <t>vord1234</t>
  </si>
  <si>
    <t>Vorderpf√§lzisch</t>
  </si>
  <si>
    <t>vore1241</t>
  </si>
  <si>
    <t>Vor√©</t>
  </si>
  <si>
    <t>vore1243</t>
  </si>
  <si>
    <t>Vorerzgebirgisch</t>
  </si>
  <si>
    <t>voro1240</t>
  </si>
  <si>
    <t>Voro</t>
  </si>
  <si>
    <t>vor</t>
  </si>
  <si>
    <t>voro1241</t>
  </si>
  <si>
    <t>V√µro-Mulgi-Tartu</t>
  </si>
  <si>
    <t>vorv1234</t>
  </si>
  <si>
    <t>Vorvogtl√§ndisch</t>
  </si>
  <si>
    <t>Votic</t>
  </si>
  <si>
    <t>vot</t>
  </si>
  <si>
    <t>Votic Chibchan</t>
  </si>
  <si>
    <t>vovo1238</t>
  </si>
  <si>
    <t>Vovo</t>
  </si>
  <si>
    <t>vuku1238</t>
  </si>
  <si>
    <t>Vukutu</t>
  </si>
  <si>
    <t>vula1237</t>
  </si>
  <si>
    <t>Vulava</t>
  </si>
  <si>
    <t>vula1238</t>
  </si>
  <si>
    <t>Vula</t>
  </si>
  <si>
    <t>vulg1234</t>
  </si>
  <si>
    <t>Vulgar Latin</t>
  </si>
  <si>
    <t>vulu1239</t>
  </si>
  <si>
    <t>Vulum</t>
  </si>
  <si>
    <t>vumb1238</t>
  </si>
  <si>
    <t>Vumbu</t>
  </si>
  <si>
    <t>vum</t>
  </si>
  <si>
    <t>vuna1239</t>
  </si>
  <si>
    <t>Vunapu</t>
  </si>
  <si>
    <t>vnp</t>
  </si>
  <si>
    <t>vuna1240</t>
  </si>
  <si>
    <t>Vunadidir</t>
  </si>
  <si>
    <t>vung1238</t>
  </si>
  <si>
    <t>Vungunya</t>
  </si>
  <si>
    <t>Vunjo</t>
  </si>
  <si>
    <t>vun</t>
  </si>
  <si>
    <t>Vur√´s</t>
  </si>
  <si>
    <t>msn</t>
  </si>
  <si>
    <t>vute1246</t>
  </si>
  <si>
    <t>Vute</t>
  </si>
  <si>
    <t>vut</t>
  </si>
  <si>
    <t>vute1245</t>
  </si>
  <si>
    <t>Vute Mbanjo</t>
  </si>
  <si>
    <t>Vute-Wawa</t>
  </si>
  <si>
    <t>Vutic</t>
  </si>
  <si>
    <t>vwan1235</t>
  </si>
  <si>
    <t>Vwanji</t>
  </si>
  <si>
    <t>wbi</t>
  </si>
  <si>
    <t>vwez1238</t>
  </si>
  <si>
    <t>Vwezhi</t>
  </si>
  <si>
    <t>vyne1238</t>
  </si>
  <si>
    <t>Vyneganga Powari</t>
  </si>
  <si>
    <t>Nuclear Waic</t>
  </si>
  <si>
    <t>waad1238</t>
  </si>
  <si>
    <t>W√°√°d√∫</t>
  </si>
  <si>
    <t>waal1237</t>
  </si>
  <si>
    <t>Waalaraay</t>
  </si>
  <si>
    <t>waal1238</t>
  </si>
  <si>
    <t>Waalubal</t>
  </si>
  <si>
    <t>waam1236</t>
  </si>
  <si>
    <t>Waamwang</t>
  </si>
  <si>
    <t>wmn</t>
  </si>
  <si>
    <t>Waama</t>
  </si>
  <si>
    <t>wwa</t>
  </si>
  <si>
    <t>Waama-Tayari-Ditammari</t>
  </si>
  <si>
    <t>waan1239</t>
  </si>
  <si>
    <t>Waanjama</t>
  </si>
  <si>
    <t>waat1238</t>
  </si>
  <si>
    <t>Waata</t>
  </si>
  <si>
    <t>ssn</t>
  </si>
  <si>
    <t>waat1239</t>
  </si>
  <si>
    <t>Orma (Kenya)</t>
  </si>
  <si>
    <t>wabb1237</t>
  </si>
  <si>
    <t>Wab</t>
  </si>
  <si>
    <t>wab</t>
  </si>
  <si>
    <t>wabo1240</t>
  </si>
  <si>
    <t>Wabo</t>
  </si>
  <si>
    <t>wbb</t>
  </si>
  <si>
    <t>wabo1241</t>
  </si>
  <si>
    <t>Waboda</t>
  </si>
  <si>
    <t>kmx</t>
  </si>
  <si>
    <t>Wabula</t>
  </si>
  <si>
    <t>waci1238</t>
  </si>
  <si>
    <t>Waciri</t>
  </si>
  <si>
    <t>waci1239</t>
  </si>
  <si>
    <t>Waci Gbe</t>
  </si>
  <si>
    <t>wci</t>
  </si>
  <si>
    <t>waco1239</t>
  </si>
  <si>
    <t>Waco</t>
  </si>
  <si>
    <t>wada1258</t>
  </si>
  <si>
    <t>Wadau</t>
  </si>
  <si>
    <t>wada1259</t>
  </si>
  <si>
    <t>Wadamkong</t>
  </si>
  <si>
    <t>wada1260</t>
  </si>
  <si>
    <t>Wada</t>
  </si>
  <si>
    <t>wada1261</t>
  </si>
  <si>
    <t>Wada (Central Sudanic)</t>
  </si>
  <si>
    <t>wada1262</t>
  </si>
  <si>
    <t>Wadalei</t>
  </si>
  <si>
    <t>wada1263</t>
  </si>
  <si>
    <t>Wadaginam</t>
  </si>
  <si>
    <t>wdg</t>
  </si>
  <si>
    <t>wadd1237</t>
  </si>
  <si>
    <t>Waddar</t>
  </si>
  <si>
    <t>wbq</t>
  </si>
  <si>
    <t>Wadiyara Koli</t>
  </si>
  <si>
    <t>kxp</t>
  </si>
  <si>
    <t>wadi1249</t>
  </si>
  <si>
    <t>Wadiwadi</t>
  </si>
  <si>
    <t>wadi1250</t>
  </si>
  <si>
    <t>Wadimbisa</t>
  </si>
  <si>
    <t>wadi1251</t>
  </si>
  <si>
    <t>Wadibu</t>
  </si>
  <si>
    <t>wadi1258</t>
  </si>
  <si>
    <t>Wadi (Bata)</t>
  </si>
  <si>
    <t>wadi1259</t>
  </si>
  <si>
    <t>Wadi</t>
  </si>
  <si>
    <t>wadi1260</t>
  </si>
  <si>
    <t>Wadi Wadi</t>
  </si>
  <si>
    <t>xwd</t>
  </si>
  <si>
    <t>wadi1261</t>
  </si>
  <si>
    <t>Wadikali</t>
  </si>
  <si>
    <t>wdk</t>
  </si>
  <si>
    <t>wadj1255</t>
  </si>
  <si>
    <t>Wadjigu</t>
  </si>
  <si>
    <t>wdu</t>
  </si>
  <si>
    <t>wadu1238</t>
  </si>
  <si>
    <t>Wa-Duku</t>
  </si>
  <si>
    <t>waem1237</t>
  </si>
  <si>
    <t>Wa'ema</t>
  </si>
  <si>
    <t>wag</t>
  </si>
  <si>
    <t>waer1237</t>
  </si>
  <si>
    <t>Kolor</t>
  </si>
  <si>
    <t>wrx</t>
  </si>
  <si>
    <t>Waerana-Razong</t>
  </si>
  <si>
    <t>waes1237</t>
  </si>
  <si>
    <t>Wae Sama</t>
  </si>
  <si>
    <t>waff1241</t>
  </si>
  <si>
    <t>Waffa</t>
  </si>
  <si>
    <t>waj</t>
  </si>
  <si>
    <t>Maranunggu-Ame-Manda</t>
  </si>
  <si>
    <t>waga1260</t>
  </si>
  <si>
    <t>Wagaya</t>
  </si>
  <si>
    <t>wga</t>
  </si>
  <si>
    <t>waga1261</t>
  </si>
  <si>
    <t>Wagawaga (Australia)</t>
  </si>
  <si>
    <t>waga1262</t>
  </si>
  <si>
    <t>Wagawaga (Retired)</t>
  </si>
  <si>
    <t>wgw</t>
  </si>
  <si>
    <t>waga1263</t>
  </si>
  <si>
    <t>Wagau</t>
  </si>
  <si>
    <t>waga1267</t>
  </si>
  <si>
    <t>Waga</t>
  </si>
  <si>
    <t>Wagawaga</t>
  </si>
  <si>
    <t>wgb</t>
  </si>
  <si>
    <t>Wagdi</t>
  </si>
  <si>
    <t>wbr</t>
  </si>
  <si>
    <t>wage1238</t>
  </si>
  <si>
    <t>Wageman</t>
  </si>
  <si>
    <t>waq</t>
  </si>
  <si>
    <t>Ottilien</t>
  </si>
  <si>
    <t>Wagi</t>
  </si>
  <si>
    <t>wagi1248</t>
  </si>
  <si>
    <t>Wagifa</t>
  </si>
  <si>
    <t>wagi1249</t>
  </si>
  <si>
    <t>Wagi (Papua New Guinea)</t>
  </si>
  <si>
    <t>fad</t>
  </si>
  <si>
    <t>wagu1234</t>
  </si>
  <si>
    <t>Wagu</t>
  </si>
  <si>
    <t>waha1237</t>
  </si>
  <si>
    <t>Wahakaim</t>
  </si>
  <si>
    <t>Eastern Lowland Kenyah</t>
  </si>
  <si>
    <t>whk</t>
  </si>
  <si>
    <t>waha1239</t>
  </si>
  <si>
    <t>Wahau Kayan</t>
  </si>
  <si>
    <t>whu</t>
  </si>
  <si>
    <t>wahe1238</t>
  </si>
  <si>
    <t>Wahe</t>
  </si>
  <si>
    <t>Wahgic</t>
  </si>
  <si>
    <t>wahk1238</t>
  </si>
  <si>
    <t>Wahke</t>
  </si>
  <si>
    <t>wahu1238</t>
  </si>
  <si>
    <t>Wahu</t>
  </si>
  <si>
    <t>waia1242</t>
  </si>
  <si>
    <t>Waia (Bungku)</t>
  </si>
  <si>
    <t>waib1244</t>
  </si>
  <si>
    <t>Waibula</t>
  </si>
  <si>
    <t>waib1245</t>
  </si>
  <si>
    <t>Wai Bangga</t>
  </si>
  <si>
    <t>waib1246</t>
  </si>
  <si>
    <t>Waibalun</t>
  </si>
  <si>
    <t>Waic</t>
  </si>
  <si>
    <t>waid1239</t>
  </si>
  <si>
    <t>Waidoro</t>
  </si>
  <si>
    <t>Waigali</t>
  </si>
  <si>
    <t>wbk</t>
  </si>
  <si>
    <t>Waigeo</t>
  </si>
  <si>
    <t>wgo</t>
  </si>
  <si>
    <t>waig1245</t>
  </si>
  <si>
    <t>Waigan</t>
  </si>
  <si>
    <t>Waigali-Tregami</t>
  </si>
  <si>
    <t>waii1241</t>
  </si>
  <si>
    <t>Wai</t>
  </si>
  <si>
    <t>waik1244</t>
  </si>
  <si>
    <t>Waikala</t>
  </si>
  <si>
    <t>waik1245</t>
  </si>
  <si>
    <t>Waikisu</t>
  </si>
  <si>
    <t>wail1242</t>
  </si>
  <si>
    <t>Ale</t>
  </si>
  <si>
    <t>wlr</t>
  </si>
  <si>
    <t>wail1244</t>
  </si>
  <si>
    <t>Wailaki</t>
  </si>
  <si>
    <t>wlk</t>
  </si>
  <si>
    <t>Waima</t>
  </si>
  <si>
    <t>rro</t>
  </si>
  <si>
    <t>waim1252</t>
  </si>
  <si>
    <t>Waima'a</t>
  </si>
  <si>
    <t>wmh</t>
  </si>
  <si>
    <t>Waimiri-Atroari</t>
  </si>
  <si>
    <t>atr</t>
  </si>
  <si>
    <t>waim1254</t>
  </si>
  <si>
    <t>Waimiri</t>
  </si>
  <si>
    <t>Waimaha</t>
  </si>
  <si>
    <t>bao</t>
  </si>
  <si>
    <t>wain1246</t>
  </si>
  <si>
    <t>Wainanana</t>
  </si>
  <si>
    <t>Waina-Punda</t>
  </si>
  <si>
    <t>waio1238</t>
  </si>
  <si>
    <t>Waioli</t>
  </si>
  <si>
    <t>wli</t>
  </si>
  <si>
    <t>Waiwai</t>
  </si>
  <si>
    <t>waw</t>
  </si>
  <si>
    <t>Waiwaian</t>
  </si>
  <si>
    <t>waiw1246</t>
  </si>
  <si>
    <t>Waiwadan</t>
  </si>
  <si>
    <t>waja1257</t>
  </si>
  <si>
    <t>Wajarri</t>
  </si>
  <si>
    <t>wbv</t>
  </si>
  <si>
    <t>Waja-Jen</t>
  </si>
  <si>
    <t>Waja</t>
  </si>
  <si>
    <t>wja</t>
  </si>
  <si>
    <t>waja1260</t>
  </si>
  <si>
    <t>Wajakes</t>
  </si>
  <si>
    <t>waja1261</t>
  </si>
  <si>
    <t>Wajapuku</t>
  </si>
  <si>
    <t>wajo1237</t>
  </si>
  <si>
    <t>Wajo</t>
  </si>
  <si>
    <t>waju1234</t>
  </si>
  <si>
    <t>Wajuk</t>
  </si>
  <si>
    <t>xwj</t>
  </si>
  <si>
    <t>west2808</t>
  </si>
  <si>
    <t>Wakawaka</t>
  </si>
  <si>
    <t>wkw</t>
  </si>
  <si>
    <t>waka1275</t>
  </si>
  <si>
    <t>waka1285</t>
  </si>
  <si>
    <t>Waka</t>
  </si>
  <si>
    <t>wav</t>
  </si>
  <si>
    <t>waka1276</t>
  </si>
  <si>
    <t>Wakal</t>
  </si>
  <si>
    <t>waka1277</t>
  </si>
  <si>
    <t>Wakasihu</t>
  </si>
  <si>
    <t>waka1278</t>
  </si>
  <si>
    <t>Wakasa</t>
  </si>
  <si>
    <t>waka1279</t>
  </si>
  <si>
    <t>Wakayama</t>
  </si>
  <si>
    <t>Wakashan</t>
  </si>
  <si>
    <t>waka1281</t>
  </si>
  <si>
    <t>Wakalitesu</t>
  </si>
  <si>
    <t>waka1282</t>
  </si>
  <si>
    <t>Wakabunga</t>
  </si>
  <si>
    <t>wwb</t>
  </si>
  <si>
    <t>Waka-Kabic</t>
  </si>
  <si>
    <t>Waka-Yendang-Teme</t>
  </si>
  <si>
    <t>Waka-Yandang</t>
  </si>
  <si>
    <t>wakd1237</t>
  </si>
  <si>
    <t>Wakde</t>
  </si>
  <si>
    <t>wkd</t>
  </si>
  <si>
    <t>Wakhi</t>
  </si>
  <si>
    <t>wbl</t>
  </si>
  <si>
    <t>AF CN PK TJ</t>
  </si>
  <si>
    <t>wakh1246</t>
  </si>
  <si>
    <t>Wa Khawk</t>
  </si>
  <si>
    <t>wako1235</t>
  </si>
  <si>
    <t>Wakon√°</t>
  </si>
  <si>
    <t>waf</t>
  </si>
  <si>
    <t>waku1239</t>
  </si>
  <si>
    <t>Wakue</t>
  </si>
  <si>
    <t>wala1263</t>
  </si>
  <si>
    <t>Walangama</t>
  </si>
  <si>
    <t>wala1264</t>
  </si>
  <si>
    <t>Walangu</t>
  </si>
  <si>
    <t>wala1265</t>
  </si>
  <si>
    <t>Walad Dulla</t>
  </si>
  <si>
    <t>wala1266</t>
  </si>
  <si>
    <t>Wala</t>
  </si>
  <si>
    <t>lgl</t>
  </si>
  <si>
    <t>wala1267</t>
  </si>
  <si>
    <t>Wala-Rano</t>
  </si>
  <si>
    <t>wala1268</t>
  </si>
  <si>
    <t>Walaha</t>
  </si>
  <si>
    <t>wala1269</t>
  </si>
  <si>
    <t>Walak</t>
  </si>
  <si>
    <t>wlw</t>
  </si>
  <si>
    <t>Walapai</t>
  </si>
  <si>
    <t>Wa-Lawa</t>
  </si>
  <si>
    <t>wala1272</t>
  </si>
  <si>
    <t>Waladja</t>
  </si>
  <si>
    <t>walc1238</t>
  </si>
  <si>
    <t>Walchers</t>
  </si>
  <si>
    <t>wald1238</t>
  </si>
  <si>
    <t>W√¢ldfrysk</t>
  </si>
  <si>
    <t>wale1244</t>
  </si>
  <si>
    <t>Wale (Nepal)</t>
  </si>
  <si>
    <t>wale1245</t>
  </si>
  <si>
    <t>Wale</t>
  </si>
  <si>
    <t>wale1246</t>
  </si>
  <si>
    <t>Wale-Ale</t>
  </si>
  <si>
    <t>wali1261</t>
  </si>
  <si>
    <t>Waling</t>
  </si>
  <si>
    <t>wly</t>
  </si>
  <si>
    <t>wali1262</t>
  </si>
  <si>
    <t>Wali (Sudan)</t>
  </si>
  <si>
    <t>wll</t>
  </si>
  <si>
    <t>Wali (Ghana)</t>
  </si>
  <si>
    <t>wlx</t>
  </si>
  <si>
    <t>Walioic</t>
  </si>
  <si>
    <t>wali1265</t>
  </si>
  <si>
    <t>Wali</t>
  </si>
  <si>
    <t>wali1272</t>
  </si>
  <si>
    <t>Walia</t>
  </si>
  <si>
    <t>wali1273</t>
  </si>
  <si>
    <t>Walia (Malgbe)</t>
  </si>
  <si>
    <t>wall1238</t>
  </si>
  <si>
    <t>Northeast Sahaptin</t>
  </si>
  <si>
    <t>waa</t>
  </si>
  <si>
    <t>BE FR LU</t>
  </si>
  <si>
    <t>wall1256</t>
  </si>
  <si>
    <t>Lower Wallis</t>
  </si>
  <si>
    <t>wall1257</t>
  </si>
  <si>
    <t>East Uvean</t>
  </si>
  <si>
    <t>wls</t>
  </si>
  <si>
    <t>wall1258</t>
  </si>
  <si>
    <t>Wallace</t>
  </si>
  <si>
    <t>wall1259</t>
  </si>
  <si>
    <t>Wallon</t>
  </si>
  <si>
    <t>wall1260</t>
  </si>
  <si>
    <t>Wallachian Bulgarian</t>
  </si>
  <si>
    <t>Walmajarri</t>
  </si>
  <si>
    <t>wmt</t>
  </si>
  <si>
    <t>walo1238</t>
  </si>
  <si>
    <t>Wa Lon</t>
  </si>
  <si>
    <t>walo1239</t>
  </si>
  <si>
    <t>Walo Kumbe Dogon</t>
  </si>
  <si>
    <t>dwl</t>
  </si>
  <si>
    <t>wals1238</t>
  </si>
  <si>
    <t>Walser</t>
  </si>
  <si>
    <t>wae</t>
  </si>
  <si>
    <t>AT CH IT LI</t>
  </si>
  <si>
    <t>walu1241</t>
  </si>
  <si>
    <t>Walungge</t>
  </si>
  <si>
    <t>ola</t>
  </si>
  <si>
    <t>walu1242</t>
  </si>
  <si>
    <t>Walulu</t>
  </si>
  <si>
    <t>wama1247</t>
  </si>
  <si>
    <t>Wamas</t>
  </si>
  <si>
    <t>wmc</t>
  </si>
  <si>
    <t>wama1248</t>
  </si>
  <si>
    <t>Wamak</t>
  </si>
  <si>
    <t>Wamas-Samosa-Murupi-Mosimo</t>
  </si>
  <si>
    <t>Wambule</t>
  </si>
  <si>
    <t>wme</t>
  </si>
  <si>
    <t>Wambayan</t>
  </si>
  <si>
    <t>wmb</t>
  </si>
  <si>
    <t>wamb1259</t>
  </si>
  <si>
    <t>Wambon</t>
  </si>
  <si>
    <t>wms</t>
  </si>
  <si>
    <t>wame1240</t>
  </si>
  <si>
    <t>Wamey</t>
  </si>
  <si>
    <t>cou</t>
  </si>
  <si>
    <t>GN SN</t>
  </si>
  <si>
    <t>wame1241</t>
  </si>
  <si>
    <t>Wamesa</t>
  </si>
  <si>
    <t>wami1239</t>
  </si>
  <si>
    <t>Wamin</t>
  </si>
  <si>
    <t>wmi</t>
  </si>
  <si>
    <t>wamo1241</t>
  </si>
  <si>
    <t>Wamora</t>
  </si>
  <si>
    <t>wamp1247</t>
  </si>
  <si>
    <t>Wampar</t>
  </si>
  <si>
    <t>lbq</t>
  </si>
  <si>
    <t>wamp1248</t>
  </si>
  <si>
    <t>Wampur</t>
  </si>
  <si>
    <t>waz</t>
  </si>
  <si>
    <t>wamp1249</t>
  </si>
  <si>
    <t>Wampanoag</t>
  </si>
  <si>
    <t>wam</t>
  </si>
  <si>
    <t>wamp1250</t>
  </si>
  <si>
    <t>Wampano</t>
  </si>
  <si>
    <t>qyp</t>
  </si>
  <si>
    <t>wamp1251</t>
  </si>
  <si>
    <t>Wampurun</t>
  </si>
  <si>
    <t>wamw1237</t>
  </si>
  <si>
    <t>Wamwan</t>
  </si>
  <si>
    <t>wana1265</t>
  </si>
  <si>
    <t>Wanang (India)</t>
  </si>
  <si>
    <t>wana1266</t>
  </si>
  <si>
    <t>Wanami</t>
  </si>
  <si>
    <t>wana1267</t>
  </si>
  <si>
    <t>Wanam</t>
  </si>
  <si>
    <t>wana1268</t>
  </si>
  <si>
    <t>Wanap</t>
  </si>
  <si>
    <t>wnp</t>
  </si>
  <si>
    <t>wana1269</t>
  </si>
  <si>
    <t>Wanambre</t>
  </si>
  <si>
    <t>wnb</t>
  </si>
  <si>
    <t>wana1271</t>
  </si>
  <si>
    <t>Wana</t>
  </si>
  <si>
    <t>Kotiria-Piratapuyo</t>
  </si>
  <si>
    <t>Wancho Naga</t>
  </si>
  <si>
    <t>nnp</t>
  </si>
  <si>
    <t>wanc1239</t>
  </si>
  <si>
    <t>Wanci</t>
  </si>
  <si>
    <t>wand1263</t>
  </si>
  <si>
    <t>Wandarang</t>
  </si>
  <si>
    <t>wnd</t>
  </si>
  <si>
    <t>Wanda</t>
  </si>
  <si>
    <t>wbh</t>
  </si>
  <si>
    <t>wand1265</t>
  </si>
  <si>
    <t>Wandya</t>
  </si>
  <si>
    <t>wand1266</t>
  </si>
  <si>
    <t>Wandji</t>
  </si>
  <si>
    <t>wdd</t>
  </si>
  <si>
    <t>Wandamen</t>
  </si>
  <si>
    <t>wad</t>
  </si>
  <si>
    <t>wand1268</t>
  </si>
  <si>
    <t>Wandabong</t>
  </si>
  <si>
    <t>wand1269</t>
  </si>
  <si>
    <t>Wando</t>
  </si>
  <si>
    <t>Wandala</t>
  </si>
  <si>
    <t>mfi</t>
  </si>
  <si>
    <t>wand1279</t>
  </si>
  <si>
    <t>Wandi</t>
  </si>
  <si>
    <t>Wandala-Malgwa-Glavda</t>
  </si>
  <si>
    <t>Wandala-Malgwa</t>
  </si>
  <si>
    <t>wane1241</t>
  </si>
  <si>
    <t>Waneci</t>
  </si>
  <si>
    <t>wne</t>
  </si>
  <si>
    <t>wane1242</t>
  </si>
  <si>
    <t>Wan√©</t>
  </si>
  <si>
    <t>hwa</t>
  </si>
  <si>
    <t>wang1256</t>
  </si>
  <si>
    <t>Wangjiaji</t>
  </si>
  <si>
    <t>wang1286</t>
  </si>
  <si>
    <t>Wang</t>
  </si>
  <si>
    <t>wang1287</t>
  </si>
  <si>
    <t>Wang-The</t>
  </si>
  <si>
    <t>wang1288</t>
  </si>
  <si>
    <t>Wangkajunga</t>
  </si>
  <si>
    <t>wang1289</t>
  </si>
  <si>
    <t>Wanggamala</t>
  </si>
  <si>
    <t>wnm</t>
  </si>
  <si>
    <t>wang1290</t>
  </si>
  <si>
    <t>Wangganguru</t>
  </si>
  <si>
    <t>wgg</t>
  </si>
  <si>
    <t>wang1291</t>
  </si>
  <si>
    <t>Ngiyambaa</t>
  </si>
  <si>
    <t>wyb</t>
  </si>
  <si>
    <t>wang1292</t>
  </si>
  <si>
    <t>Wangaaybuwan</t>
  </si>
  <si>
    <t>wang1293</t>
  </si>
  <si>
    <t>Wangurri</t>
  </si>
  <si>
    <t>wang1294</t>
  </si>
  <si>
    <t>Wanga</t>
  </si>
  <si>
    <t>lwg</t>
  </si>
  <si>
    <t>wang1295</t>
  </si>
  <si>
    <t>Wangata</t>
  </si>
  <si>
    <t>wang1296</t>
  </si>
  <si>
    <t>Wango</t>
  </si>
  <si>
    <t>wang1297</t>
  </si>
  <si>
    <t>Wanganui</t>
  </si>
  <si>
    <t>wang1298</t>
  </si>
  <si>
    <t>Wangka</t>
  </si>
  <si>
    <t>wang1299</t>
  </si>
  <si>
    <t>Wanggom</t>
  </si>
  <si>
    <t>wng</t>
  </si>
  <si>
    <t>Wangkatja-Tjarra</t>
  </si>
  <si>
    <t>wang1301</t>
  </si>
  <si>
    <t>Wangho</t>
  </si>
  <si>
    <t>wang1302</t>
  </si>
  <si>
    <t>Wangama</t>
  </si>
  <si>
    <t>wanh1234</t>
  </si>
  <si>
    <t>Wanham-Wari-Oro Win</t>
  </si>
  <si>
    <t>wani1241</t>
  </si>
  <si>
    <t>Wani</t>
  </si>
  <si>
    <t>wani1242</t>
  </si>
  <si>
    <t>Wanigela</t>
  </si>
  <si>
    <t>wani1243</t>
  </si>
  <si>
    <t>Wanib Sign Language</t>
  </si>
  <si>
    <t>Wanji-Sangu</t>
  </si>
  <si>
    <t>wank1238</t>
  </si>
  <si>
    <t>Wanki</t>
  </si>
  <si>
    <t>wanm1242</t>
  </si>
  <si>
    <t>Wanman</t>
  </si>
  <si>
    <t>wbt</t>
  </si>
  <si>
    <t>Wan-Mwan</t>
  </si>
  <si>
    <t>wann1241</t>
  </si>
  <si>
    <t>Wannu</t>
  </si>
  <si>
    <t>jub</t>
  </si>
  <si>
    <t>Wan</t>
  </si>
  <si>
    <t>wan</t>
  </si>
  <si>
    <t>Wano</t>
  </si>
  <si>
    <t>wno</t>
  </si>
  <si>
    <t>want1250</t>
  </si>
  <si>
    <t>Wantakia</t>
  </si>
  <si>
    <t>Wantoatic</t>
  </si>
  <si>
    <t>Wantoat</t>
  </si>
  <si>
    <t>wnc</t>
  </si>
  <si>
    <t>Wantoat-Awara</t>
  </si>
  <si>
    <t>Wanukaka</t>
  </si>
  <si>
    <t>wnk</t>
  </si>
  <si>
    <t>wany1244</t>
  </si>
  <si>
    <t>Wanyjirra</t>
  </si>
  <si>
    <t>wany1245</t>
  </si>
  <si>
    <t>Wanyoro</t>
  </si>
  <si>
    <t>wany1246</t>
  </si>
  <si>
    <t>Wanyam</t>
  </si>
  <si>
    <t>wany1247</t>
  </si>
  <si>
    <t>Wanyi</t>
  </si>
  <si>
    <t>wny</t>
  </si>
  <si>
    <t>wanz1234</t>
  </si>
  <si>
    <t>Wanzi Gelao</t>
  </si>
  <si>
    <t>waod1234</t>
  </si>
  <si>
    <t>Wao Dan</t>
  </si>
  <si>
    <t>waol1238</t>
  </si>
  <si>
    <t>Waola</t>
  </si>
  <si>
    <t>wapa1235</t>
  </si>
  <si>
    <t>Wapan</t>
  </si>
  <si>
    <t>juk</t>
  </si>
  <si>
    <t>waph1238</t>
  </si>
  <si>
    <t>W√£pha</t>
  </si>
  <si>
    <t>juw</t>
  </si>
  <si>
    <t>wapi1251</t>
  </si>
  <si>
    <t>Wapi</t>
  </si>
  <si>
    <t>Wapishanan</t>
  </si>
  <si>
    <t>Wapishana</t>
  </si>
  <si>
    <t>wap</t>
  </si>
  <si>
    <t>wapp1239</t>
  </si>
  <si>
    <t>yuki1242</t>
  </si>
  <si>
    <t>Wappo</t>
  </si>
  <si>
    <t>wao</t>
  </si>
  <si>
    <t>wapu1240</t>
  </si>
  <si>
    <t>Wapu</t>
  </si>
  <si>
    <t>wara1247</t>
  </si>
  <si>
    <t>Waray</t>
  </si>
  <si>
    <t>wara1290</t>
  </si>
  <si>
    <t>Warray</t>
  </si>
  <si>
    <t>wrz</t>
  </si>
  <si>
    <t>Samue</t>
  </si>
  <si>
    <t>wbf</t>
  </si>
  <si>
    <t>Eastern Tonda</t>
  </si>
  <si>
    <t>Anta-Komnzo-W√°ra-W√©r√®-K√©m√§</t>
  </si>
  <si>
    <t>tci</t>
  </si>
  <si>
    <t>wara1295</t>
  </si>
  <si>
    <t>W√°ra</t>
  </si>
  <si>
    <t>wara1296</t>
  </si>
  <si>
    <t>Warabori</t>
  </si>
  <si>
    <t>wara1297</t>
  </si>
  <si>
    <t>Warabal</t>
  </si>
  <si>
    <t>wara1299</t>
  </si>
  <si>
    <t>Waray Sorsogon</t>
  </si>
  <si>
    <t>srv</t>
  </si>
  <si>
    <t>Waray (Philippines)</t>
  </si>
  <si>
    <t>war</t>
  </si>
  <si>
    <t>wara1301</t>
  </si>
  <si>
    <t>Waraga</t>
  </si>
  <si>
    <t>Bauni</t>
  </si>
  <si>
    <t>wra</t>
  </si>
  <si>
    <t>GY SR VE</t>
  </si>
  <si>
    <t>Warayan</t>
  </si>
  <si>
    <t>Warazu-Sirionoid</t>
  </si>
  <si>
    <t>ward1243</t>
  </si>
  <si>
    <t>Warduji</t>
  </si>
  <si>
    <t>wrd</t>
  </si>
  <si>
    <t>ward1246</t>
  </si>
  <si>
    <t>Wardaman</t>
  </si>
  <si>
    <t>wrr</t>
  </si>
  <si>
    <t>ward1247</t>
  </si>
  <si>
    <t>Wardo</t>
  </si>
  <si>
    <t>ward1248</t>
  </si>
  <si>
    <t>Wardandi</t>
  </si>
  <si>
    <t>wxw</t>
  </si>
  <si>
    <t>ware1252</t>
  </si>
  <si>
    <t>Ware</t>
  </si>
  <si>
    <t>wre</t>
  </si>
  <si>
    <t>ware1253</t>
  </si>
  <si>
    <t>Warembori</t>
  </si>
  <si>
    <t>wsa</t>
  </si>
  <si>
    <t>ware1254</t>
  </si>
  <si>
    <t>Wares</t>
  </si>
  <si>
    <t>wai</t>
  </si>
  <si>
    <t>ware1255</t>
  </si>
  <si>
    <t>Warekena Velha</t>
  </si>
  <si>
    <t>Warekena-Mandahuaca</t>
  </si>
  <si>
    <t>ware1257</t>
  </si>
  <si>
    <t>Warek√©na do Xi√™</t>
  </si>
  <si>
    <t>wari1262</t>
  </si>
  <si>
    <t>Wariyangga</t>
  </si>
  <si>
    <t>wri</t>
  </si>
  <si>
    <t>wari1263</t>
  </si>
  <si>
    <t>Wari (Indonesia)</t>
  </si>
  <si>
    <t>wari1264</t>
  </si>
  <si>
    <t>Waritai</t>
  </si>
  <si>
    <t>wbe</t>
  </si>
  <si>
    <t>Warisic</t>
  </si>
  <si>
    <t>wari1266</t>
  </si>
  <si>
    <t>Waris</t>
  </si>
  <si>
    <t>wrs</t>
  </si>
  <si>
    <t>Wari-Oro Win</t>
  </si>
  <si>
    <t>wari1268</t>
  </si>
  <si>
    <t>Wari'</t>
  </si>
  <si>
    <t>pav</t>
  </si>
  <si>
    <t>Waric</t>
  </si>
  <si>
    <t>Wariyangga-Dhargari</t>
  </si>
  <si>
    <t>War-Jaintia</t>
  </si>
  <si>
    <t>aml</t>
  </si>
  <si>
    <t>warj1253</t>
  </si>
  <si>
    <t>Warji</t>
  </si>
  <si>
    <t>wji</t>
  </si>
  <si>
    <t>Warji-Gala-Kariya</t>
  </si>
  <si>
    <t>wark1246</t>
  </si>
  <si>
    <t>War-Khasi</t>
  </si>
  <si>
    <t>wark1247</t>
  </si>
  <si>
    <t>yaqa1245</t>
  </si>
  <si>
    <t>Warkay-Bipim</t>
  </si>
  <si>
    <t>bgv</t>
  </si>
  <si>
    <t>Warlpiri</t>
  </si>
  <si>
    <t>warl1255</t>
  </si>
  <si>
    <t>Warlmanpa</t>
  </si>
  <si>
    <t>wrl</t>
  </si>
  <si>
    <t>warl1256</t>
  </si>
  <si>
    <t>Warluwara</t>
  </si>
  <si>
    <t>wrb</t>
  </si>
  <si>
    <t>Warlpiri-Kriol</t>
  </si>
  <si>
    <t>warm1239</t>
  </si>
  <si>
    <t>Warmawa</t>
  </si>
  <si>
    <t>warn1243</t>
  </si>
  <si>
    <t>Warn</t>
  </si>
  <si>
    <t>warn1244</t>
  </si>
  <si>
    <t>Warnang</t>
  </si>
  <si>
    <t>wrn</t>
  </si>
  <si>
    <t>Warnman-Wangka</t>
  </si>
  <si>
    <t>Waropen</t>
  </si>
  <si>
    <t>wrp</t>
  </si>
  <si>
    <t>waro1243</t>
  </si>
  <si>
    <t>Waropen Kai</t>
  </si>
  <si>
    <t>warr1255</t>
  </si>
  <si>
    <t>Warrgamay</t>
  </si>
  <si>
    <t>wgy</t>
  </si>
  <si>
    <t>Warrnambool-Bunganditj</t>
  </si>
  <si>
    <t>Warrnambool</t>
  </si>
  <si>
    <t>gjm</t>
  </si>
  <si>
    <t>warr1258</t>
  </si>
  <si>
    <t>Warrwa</t>
  </si>
  <si>
    <t>wwr</t>
  </si>
  <si>
    <t>Warrayic</t>
  </si>
  <si>
    <t>wars1237</t>
  </si>
  <si>
    <t>Warsa</t>
  </si>
  <si>
    <t>Warungu-Gugu Badhun</t>
  </si>
  <si>
    <t>waru1264</t>
  </si>
  <si>
    <t>Warrongo</t>
  </si>
  <si>
    <t>wrg</t>
  </si>
  <si>
    <t>waru1265</t>
  </si>
  <si>
    <t>Warumungu</t>
  </si>
  <si>
    <t>wrm</t>
  </si>
  <si>
    <t>Waru</t>
  </si>
  <si>
    <t>wru</t>
  </si>
  <si>
    <t>waru1267</t>
  </si>
  <si>
    <t>Waruna</t>
  </si>
  <si>
    <t>wrv</t>
  </si>
  <si>
    <t>Warup</t>
  </si>
  <si>
    <t>warw1234</t>
  </si>
  <si>
    <t>Warwick</t>
  </si>
  <si>
    <t>warw1235</t>
  </si>
  <si>
    <t>Warwar</t>
  </si>
  <si>
    <t>Wasa</t>
  </si>
  <si>
    <t>wss</t>
  </si>
  <si>
    <t>wasa1245</t>
  </si>
  <si>
    <t>Wasa (Mid-Southern Banda)</t>
  </si>
  <si>
    <t>wasa1246</t>
  </si>
  <si>
    <t>Wasambu</t>
  </si>
  <si>
    <t>Upper Chinook</t>
  </si>
  <si>
    <t>wac</t>
  </si>
  <si>
    <t>Wasco-Wishram</t>
  </si>
  <si>
    <t>wase1250</t>
  </si>
  <si>
    <t>Wasep Nau</t>
  </si>
  <si>
    <t>wase1251</t>
  </si>
  <si>
    <t>Wasep Yam</t>
  </si>
  <si>
    <t>wase1252</t>
  </si>
  <si>
    <t>Wasembo</t>
  </si>
  <si>
    <t>gsp</t>
  </si>
  <si>
    <t>wash1253</t>
  </si>
  <si>
    <t>Washo</t>
  </si>
  <si>
    <t>was</t>
  </si>
  <si>
    <t>wasi1244</t>
  </si>
  <si>
    <t>Wasior</t>
  </si>
  <si>
    <t>wask1241</t>
  </si>
  <si>
    <t>Waskia</t>
  </si>
  <si>
    <t>wsk</t>
  </si>
  <si>
    <t>waso1238</t>
  </si>
  <si>
    <t>Wasona</t>
  </si>
  <si>
    <t>wasu1238</t>
  </si>
  <si>
    <t>Wasu</t>
  </si>
  <si>
    <t>wsu</t>
  </si>
  <si>
    <t>wasu1254</t>
  </si>
  <si>
    <t>Wasulu</t>
  </si>
  <si>
    <t>wasu1256</t>
  </si>
  <si>
    <t>Wasulu (Retired)</t>
  </si>
  <si>
    <t>wasu1257</t>
  </si>
  <si>
    <t>Wasulu (Wojenaka)</t>
  </si>
  <si>
    <t>wasu1258</t>
  </si>
  <si>
    <t>Wasusu</t>
  </si>
  <si>
    <t>wata1250</t>
  </si>
  <si>
    <t>Watang</t>
  </si>
  <si>
    <t>wata1251</t>
  </si>
  <si>
    <t>Watakataui</t>
  </si>
  <si>
    <t>wtk</t>
  </si>
  <si>
    <t>Watam-Kaian</t>
  </si>
  <si>
    <t>wata1253</t>
  </si>
  <si>
    <t>Watam</t>
  </si>
  <si>
    <t>wax</t>
  </si>
  <si>
    <t>wata1254</t>
  </si>
  <si>
    <t>Watan</t>
  </si>
  <si>
    <t>wate1238</t>
  </si>
  <si>
    <t>Watena</t>
  </si>
  <si>
    <t>wath1238</t>
  </si>
  <si>
    <t>Wathawurrung</t>
  </si>
  <si>
    <t>wth</t>
  </si>
  <si>
    <t>Wati</t>
  </si>
  <si>
    <t>wato1237</t>
  </si>
  <si>
    <t>Watom</t>
  </si>
  <si>
    <t>watt1238</t>
  </si>
  <si>
    <t>Wat</t>
  </si>
  <si>
    <t>Watut</t>
  </si>
  <si>
    <t>Watubela</t>
  </si>
  <si>
    <t>wah</t>
  </si>
  <si>
    <t>Waur√°</t>
  </si>
  <si>
    <t>Waura-Mehinaku</t>
  </si>
  <si>
    <t>xing1249</t>
  </si>
  <si>
    <t>Waura-Mehinaku-Kustenau</t>
  </si>
  <si>
    <t>wauy1237</t>
  </si>
  <si>
    <t>Wauyai</t>
  </si>
  <si>
    <t>wuy</t>
  </si>
  <si>
    <t>wavu1234</t>
  </si>
  <si>
    <t>Wawu-II</t>
  </si>
  <si>
    <t>Wawa</t>
  </si>
  <si>
    <t>www</t>
  </si>
  <si>
    <t>wawa1247</t>
  </si>
  <si>
    <t>Wawana</t>
  </si>
  <si>
    <t>wawa1248</t>
  </si>
  <si>
    <t>Wawa (Nigeria)</t>
  </si>
  <si>
    <t>wawa1249</t>
  </si>
  <si>
    <t>Wawan</t>
  </si>
  <si>
    <t>Wawonii</t>
  </si>
  <si>
    <t>wow</t>
  </si>
  <si>
    <t>waxi1236</t>
  </si>
  <si>
    <t>Waxianghua</t>
  </si>
  <si>
    <t>wxa</t>
  </si>
  <si>
    <t>waya1264</t>
  </si>
  <si>
    <t>Wayanad Chetti</t>
  </si>
  <si>
    <t>ctt</t>
  </si>
  <si>
    <t>waya1265</t>
  </si>
  <si>
    <t>Wayam-Rubu</t>
  </si>
  <si>
    <t>waya1266</t>
  </si>
  <si>
    <t>Waya</t>
  </si>
  <si>
    <t>waya1267</t>
  </si>
  <si>
    <t>Wayamli</t>
  </si>
  <si>
    <t>waya1268</t>
  </si>
  <si>
    <t>Waya (Western Fijian)</t>
  </si>
  <si>
    <t>BR GF SR</t>
  </si>
  <si>
    <t>waya1271</t>
  </si>
  <si>
    <t>Wayampi</t>
  </si>
  <si>
    <t>Wayampi-Zoe-Emerillon</t>
  </si>
  <si>
    <t>Wayanaic</t>
  </si>
  <si>
    <t>wayc1238</t>
  </si>
  <si>
    <t>Waycha</t>
  </si>
  <si>
    <t>wayi1238</t>
  </si>
  <si>
    <t>Wayilwan</t>
  </si>
  <si>
    <t>wayo1238</t>
  </si>
  <si>
    <t>Wayor√≥</t>
  </si>
  <si>
    <t>wyr</t>
  </si>
  <si>
    <t>wayu1241</t>
  </si>
  <si>
    <t>Wayu</t>
  </si>
  <si>
    <t>vay</t>
  </si>
  <si>
    <t>wayu1242</t>
  </si>
  <si>
    <t>Wayumara</t>
  </si>
  <si>
    <t>Wayuu</t>
  </si>
  <si>
    <t>guc</t>
  </si>
  <si>
    <t>waza1238</t>
  </si>
  <si>
    <t>Wazan</t>
  </si>
  <si>
    <t>weas1237</t>
  </si>
  <si>
    <t>Weasisi</t>
  </si>
  <si>
    <t>webo1238</t>
  </si>
  <si>
    <t>Webo</t>
  </si>
  <si>
    <t>weda1240</t>
  </si>
  <si>
    <t>Weda</t>
  </si>
  <si>
    <t>Wedau</t>
  </si>
  <si>
    <t>wed</t>
  </si>
  <si>
    <t>wede1238</t>
  </si>
  <si>
    <t>Wedebo</t>
  </si>
  <si>
    <t>Wee</t>
  </si>
  <si>
    <t>weee1241</t>
  </si>
  <si>
    <t>We</t>
  </si>
  <si>
    <t>wees1234</t>
  </si>
  <si>
    <t>Weesdring</t>
  </si>
  <si>
    <t>wega1238</t>
  </si>
  <si>
    <t>Wegal</t>
  </si>
  <si>
    <t>wehh1238</t>
  </si>
  <si>
    <t>Weh</t>
  </si>
  <si>
    <t>weh</t>
  </si>
  <si>
    <t>weig1238</t>
  </si>
  <si>
    <t>Weigu</t>
  </si>
  <si>
    <t>wein1239</t>
  </si>
  <si>
    <t>Weining Yi</t>
  </si>
  <si>
    <t>weir1238</t>
  </si>
  <si>
    <t>Weirate</t>
  </si>
  <si>
    <t>Wewewa</t>
  </si>
  <si>
    <t>wew</t>
  </si>
  <si>
    <t>wela1234</t>
  </si>
  <si>
    <t>Welaung</t>
  </si>
  <si>
    <t>weu</t>
  </si>
  <si>
    <t>wele1238</t>
  </si>
  <si>
    <t>Welemur</t>
  </si>
  <si>
    <t>weli1239</t>
  </si>
  <si>
    <t>Weliki</t>
  </si>
  <si>
    <t>klh</t>
  </si>
  <si>
    <t>well1239</t>
  </si>
  <si>
    <t>Wolo</t>
  </si>
  <si>
    <t>wels1246</t>
  </si>
  <si>
    <t>Welsh Romani</t>
  </si>
  <si>
    <t>rmw</t>
  </si>
  <si>
    <t>Welsh</t>
  </si>
  <si>
    <t>wels1248</t>
  </si>
  <si>
    <t>Welsh English</t>
  </si>
  <si>
    <t>wemb1240</t>
  </si>
  <si>
    <t>Wembera</t>
  </si>
  <si>
    <t>wemb1241</t>
  </si>
  <si>
    <t>Wemba Wemba</t>
  </si>
  <si>
    <t>xww</t>
  </si>
  <si>
    <t>Wembawembic</t>
  </si>
  <si>
    <t>weme1239</t>
  </si>
  <si>
    <t>Weme Gbe</t>
  </si>
  <si>
    <t>wem</t>
  </si>
  <si>
    <t>weme1240</t>
  </si>
  <si>
    <t>Weme</t>
  </si>
  <si>
    <t>wemo1239</t>
  </si>
  <si>
    <t>Wemo</t>
  </si>
  <si>
    <t>wena1241</t>
  </si>
  <si>
    <t>Wenatchi</t>
  </si>
  <si>
    <t>wenb1238</t>
  </si>
  <si>
    <t>Wenbera</t>
  </si>
  <si>
    <t>Wenma-Southwestern Tai</t>
  </si>
  <si>
    <t>Wobe-W√® Northern</t>
  </si>
  <si>
    <t>wob</t>
  </si>
  <si>
    <t>wenr1236</t>
  </si>
  <si>
    <t>Wenro</t>
  </si>
  <si>
    <t>went1241</t>
  </si>
  <si>
    <t>Wenteene</t>
  </si>
  <si>
    <t>went1242</t>
  </si>
  <si>
    <t>Wenta</t>
  </si>
  <si>
    <t>weny1238</t>
  </si>
  <si>
    <t>Wenya</t>
  </si>
  <si>
    <t>weny1239</t>
  </si>
  <si>
    <t>Wenyii</t>
  </si>
  <si>
    <t>were1243</t>
  </si>
  <si>
    <t>W√®r√©</t>
  </si>
  <si>
    <t>were1244</t>
  </si>
  <si>
    <t>Were</t>
  </si>
  <si>
    <t>wei</t>
  </si>
  <si>
    <t>werg1234</t>
  </si>
  <si>
    <t>Wergaia</t>
  </si>
  <si>
    <t>weg</t>
  </si>
  <si>
    <t>weri1246</t>
  </si>
  <si>
    <t>Weriagar</t>
  </si>
  <si>
    <t>weri1251</t>
  </si>
  <si>
    <t>Weril</t>
  </si>
  <si>
    <t>weri1252</t>
  </si>
  <si>
    <t>Werir</t>
  </si>
  <si>
    <t>Weri</t>
  </si>
  <si>
    <t>wer</t>
  </si>
  <si>
    <t>Weric</t>
  </si>
  <si>
    <t>werr1238</t>
  </si>
  <si>
    <t>Werria</t>
  </si>
  <si>
    <t>Wersing</t>
  </si>
  <si>
    <t>kvw</t>
  </si>
  <si>
    <t>weru1238</t>
  </si>
  <si>
    <t>Werugha</t>
  </si>
  <si>
    <t>wesa1238</t>
  </si>
  <si>
    <t>Wesa</t>
  </si>
  <si>
    <t>wese1237</t>
  </si>
  <si>
    <t>Weser Frisian</t>
  </si>
  <si>
    <t>W√® Southern</t>
  </si>
  <si>
    <t>gxx</t>
  </si>
  <si>
    <t>west1399</t>
  </si>
  <si>
    <t>Western Isirawa</t>
  </si>
  <si>
    <t>West Kipchak</t>
  </si>
  <si>
    <t>Samarokena-Airoran</t>
  </si>
  <si>
    <t>West Katuic</t>
  </si>
  <si>
    <t>West Bird's Head</t>
  </si>
  <si>
    <t>Western Tasmanian</t>
  </si>
  <si>
    <t>west1506</t>
  </si>
  <si>
    <t>Western Lalu</t>
  </si>
  <si>
    <t>ywl</t>
  </si>
  <si>
    <t>west1507</t>
  </si>
  <si>
    <t>Western Mashan Hmong</t>
  </si>
  <si>
    <t>hmw</t>
  </si>
  <si>
    <t>west1508</t>
  </si>
  <si>
    <t>Western Low Navarrese</t>
  </si>
  <si>
    <t>west1510</t>
  </si>
  <si>
    <t>Western Ojibwa</t>
  </si>
  <si>
    <t>ojw</t>
  </si>
  <si>
    <t>west1511</t>
  </si>
  <si>
    <t>Western Totonac</t>
  </si>
  <si>
    <t>tqt</t>
  </si>
  <si>
    <t>west1760</t>
  </si>
  <si>
    <t>Courland Livonian</t>
  </si>
  <si>
    <t>west2036</t>
  </si>
  <si>
    <t>Western Dhimal</t>
  </si>
  <si>
    <t>west2205</t>
  </si>
  <si>
    <t>Western Coastal Tasmanian</t>
  </si>
  <si>
    <t>Western Macedonian</t>
  </si>
  <si>
    <t>west2337</t>
  </si>
  <si>
    <t>Western Cappadocian</t>
  </si>
  <si>
    <t>west2338</t>
  </si>
  <si>
    <t>Western Friulian</t>
  </si>
  <si>
    <t>west2339</t>
  </si>
  <si>
    <t>Western Asturian</t>
  </si>
  <si>
    <t>west2340</t>
  </si>
  <si>
    <t>Western Aragonese</t>
  </si>
  <si>
    <t>west2342</t>
  </si>
  <si>
    <t>Western Emiliano</t>
  </si>
  <si>
    <t>west2343</t>
  </si>
  <si>
    <t>Western Lombard</t>
  </si>
  <si>
    <t>west2344</t>
  </si>
  <si>
    <t>Western Walloon</t>
  </si>
  <si>
    <t>west2345</t>
  </si>
  <si>
    <t>Western Campidenese</t>
  </si>
  <si>
    <t>west2346</t>
  </si>
  <si>
    <t>Western Sicilian</t>
  </si>
  <si>
    <t>west2347</t>
  </si>
  <si>
    <t>West Samogitian</t>
  </si>
  <si>
    <t>Western Frisian</t>
  </si>
  <si>
    <t>fry</t>
  </si>
  <si>
    <t>Westphalic</t>
  </si>
  <si>
    <t>wep</t>
  </si>
  <si>
    <t>West Low German</t>
  </si>
  <si>
    <t>west2358</t>
  </si>
  <si>
    <t>Voorpommerisch</t>
  </si>
  <si>
    <t>west2359</t>
  </si>
  <si>
    <t>Westerwolds</t>
  </si>
  <si>
    <t>west2360</t>
  </si>
  <si>
    <t>West Groningen</t>
  </si>
  <si>
    <t>Western Yiddish</t>
  </si>
  <si>
    <t>yih</t>
  </si>
  <si>
    <t>BE CH DE FR HU IL NL</t>
  </si>
  <si>
    <t>Westvlaams</t>
  </si>
  <si>
    <t>Western Balochi</t>
  </si>
  <si>
    <t>bgn</t>
  </si>
  <si>
    <t>AF IR PK TM</t>
  </si>
  <si>
    <t>Western Farsi</t>
  </si>
  <si>
    <t>pes</t>
  </si>
  <si>
    <t>AF AZ IQ IR TM TR</t>
  </si>
  <si>
    <t>west2370</t>
  </si>
  <si>
    <t>Western Wakhi</t>
  </si>
  <si>
    <t>west2371</t>
  </si>
  <si>
    <t>Western Yagnobi</t>
  </si>
  <si>
    <t>west2372</t>
  </si>
  <si>
    <t>Western Kativiri</t>
  </si>
  <si>
    <t>west2373</t>
  </si>
  <si>
    <t>Western Kumauni</t>
  </si>
  <si>
    <t>west2375</t>
  </si>
  <si>
    <t>Western Gujari</t>
  </si>
  <si>
    <t>west2376</t>
  </si>
  <si>
    <t>West Slovakian Romani</t>
  </si>
  <si>
    <t>west2378</t>
  </si>
  <si>
    <t>Western Agra</t>
  </si>
  <si>
    <t>Western Standard Bhojpuri</t>
  </si>
  <si>
    <t>west2380</t>
  </si>
  <si>
    <t>Western Maithili</t>
  </si>
  <si>
    <t>Western Kamta</t>
  </si>
  <si>
    <t>west2383</t>
  </si>
  <si>
    <t>Western Assamese</t>
  </si>
  <si>
    <t>west2384</t>
  </si>
  <si>
    <t>Western Oriya</t>
  </si>
  <si>
    <t>west2385</t>
  </si>
  <si>
    <t>Western Nihiri</t>
  </si>
  <si>
    <t>Western Panjabi</t>
  </si>
  <si>
    <t>Western Pashayi</t>
  </si>
  <si>
    <t>west2388</t>
  </si>
  <si>
    <t>West Hungarian</t>
  </si>
  <si>
    <t>west2389</t>
  </si>
  <si>
    <t>West Danube</t>
  </si>
  <si>
    <t>Western Saami</t>
  </si>
  <si>
    <t>West Vod</t>
  </si>
  <si>
    <t>Western Mari</t>
  </si>
  <si>
    <t>mrj</t>
  </si>
  <si>
    <t>Western Pearic</t>
  </si>
  <si>
    <t>Western Lawa</t>
  </si>
  <si>
    <t>west2397</t>
  </si>
  <si>
    <t>Western Bru</t>
  </si>
  <si>
    <t>brv</t>
  </si>
  <si>
    <t>west2398</t>
  </si>
  <si>
    <t>Western Katu</t>
  </si>
  <si>
    <t>kuf</t>
  </si>
  <si>
    <t>West Bahnaric</t>
  </si>
  <si>
    <t>west2400</t>
  </si>
  <si>
    <t>Western Rengao</t>
  </si>
  <si>
    <t>west2401</t>
  </si>
  <si>
    <t>Western Tuvin</t>
  </si>
  <si>
    <t>west2402</t>
  </si>
  <si>
    <t>West Yugur</t>
  </si>
  <si>
    <t>ybe</t>
  </si>
  <si>
    <t>west2403</t>
  </si>
  <si>
    <t>West Quchani</t>
  </si>
  <si>
    <t>west2404</t>
  </si>
  <si>
    <t>Western Kazakh</t>
  </si>
  <si>
    <t>west2405</t>
  </si>
  <si>
    <t>Western Tatar</t>
  </si>
  <si>
    <t>West Oghuz</t>
  </si>
  <si>
    <t>west2407</t>
  </si>
  <si>
    <t>Western Muthuvan</t>
  </si>
  <si>
    <t>Western Muria</t>
  </si>
  <si>
    <t>west2409</t>
  </si>
  <si>
    <t>Western Kayah</t>
  </si>
  <si>
    <t>kyu</t>
  </si>
  <si>
    <t>west2411</t>
  </si>
  <si>
    <t>Western Helambu Sherpa</t>
  </si>
  <si>
    <t>west2412</t>
  </si>
  <si>
    <t>Western Baima</t>
  </si>
  <si>
    <t>Hor</t>
  </si>
  <si>
    <t>Western Gurung</t>
  </si>
  <si>
    <t>Western Tamang</t>
  </si>
  <si>
    <t>tdg</t>
  </si>
  <si>
    <t>west2416</t>
  </si>
  <si>
    <t>Western Namuyi</t>
  </si>
  <si>
    <t>west2417</t>
  </si>
  <si>
    <t>Western Muya</t>
  </si>
  <si>
    <t>west2418</t>
  </si>
  <si>
    <t>Western Magar</t>
  </si>
  <si>
    <t>mrd</t>
  </si>
  <si>
    <t>west2419</t>
  </si>
  <si>
    <t>Western Chepang</t>
  </si>
  <si>
    <t>Western Parbate Kham</t>
  </si>
  <si>
    <t>kjl</t>
  </si>
  <si>
    <t>west2421</t>
  </si>
  <si>
    <t>Western Thami</t>
  </si>
  <si>
    <t>Western Meohang</t>
  </si>
  <si>
    <t>raf</t>
  </si>
  <si>
    <t>west2423</t>
  </si>
  <si>
    <t>Western Bantawa</t>
  </si>
  <si>
    <t>Western Kiranti</t>
  </si>
  <si>
    <t>Northwestern Tungusic</t>
  </si>
  <si>
    <t>Western Samur</t>
  </si>
  <si>
    <t>West Tsezic</t>
  </si>
  <si>
    <t>west2430</t>
  </si>
  <si>
    <t>Western Xiangxi Miao</t>
  </si>
  <si>
    <t>mmr</t>
  </si>
  <si>
    <t>Western Gunwinyguan</t>
  </si>
  <si>
    <t>Western Daly</t>
  </si>
  <si>
    <t>Western Worrorran</t>
  </si>
  <si>
    <t>unp</t>
  </si>
  <si>
    <t>west2436</t>
  </si>
  <si>
    <t>West Ngarluma</t>
  </si>
  <si>
    <t>west2437</t>
  </si>
  <si>
    <t>Western Warlpiri</t>
  </si>
  <si>
    <t>Western Central Karnic</t>
  </si>
  <si>
    <t>Western Dhuwal-Dhuwala</t>
  </si>
  <si>
    <t>Western-Inland Yolngu</t>
  </si>
  <si>
    <t>Western Arrarnta</t>
  </si>
  <si>
    <t>are</t>
  </si>
  <si>
    <t>west2442</t>
  </si>
  <si>
    <t>Western Anmatyerre</t>
  </si>
  <si>
    <t>Western Victoria</t>
  </si>
  <si>
    <t>West Mao</t>
  </si>
  <si>
    <t>Western Ijo</t>
  </si>
  <si>
    <t>west2447</t>
  </si>
  <si>
    <t>West Olodiama</t>
  </si>
  <si>
    <t>west2448</t>
  </si>
  <si>
    <t>West Tarakiri</t>
  </si>
  <si>
    <t>West-Central Limba</t>
  </si>
  <si>
    <t>lia</t>
  </si>
  <si>
    <t>west2451</t>
  </si>
  <si>
    <t>Western Limba</t>
  </si>
  <si>
    <t>west2452</t>
  </si>
  <si>
    <t>Western Temne</t>
  </si>
  <si>
    <t>west2453</t>
  </si>
  <si>
    <t>Western Macina</t>
  </si>
  <si>
    <t>Western Niger Fulfulde</t>
  </si>
  <si>
    <t>fuh</t>
  </si>
  <si>
    <t>BF BJ ML NE NG</t>
  </si>
  <si>
    <t>west2456</t>
  </si>
  <si>
    <t>Western Xwla Gbe</t>
  </si>
  <si>
    <t>xwl</t>
  </si>
  <si>
    <t>West Central Banda</t>
  </si>
  <si>
    <t>west2459</t>
  </si>
  <si>
    <t>Western Koromfe</t>
  </si>
  <si>
    <t>west2460</t>
  </si>
  <si>
    <t>Western Ditammari</t>
  </si>
  <si>
    <t>Oti-Volta Occidental</t>
  </si>
  <si>
    <t>west2462</t>
  </si>
  <si>
    <t>Western Mampruli</t>
  </si>
  <si>
    <t>west2463</t>
  </si>
  <si>
    <t>West Kasem</t>
  </si>
  <si>
    <t>west2465</t>
  </si>
  <si>
    <t>Western Sisaala</t>
  </si>
  <si>
    <t>ssl</t>
  </si>
  <si>
    <t>Western Karaboro</t>
  </si>
  <si>
    <t>kza</t>
  </si>
  <si>
    <t>West Ogonoid</t>
  </si>
  <si>
    <t>west2471</t>
  </si>
  <si>
    <t>Western Duka</t>
  </si>
  <si>
    <t>Western Okpamheri</t>
  </si>
  <si>
    <t>west2473</t>
  </si>
  <si>
    <t>West Kongo</t>
  </si>
  <si>
    <t>west2474</t>
  </si>
  <si>
    <t>Western Kituba</t>
  </si>
  <si>
    <t>west2475</t>
  </si>
  <si>
    <t>West Bafwangada</t>
  </si>
  <si>
    <t>west2476</t>
  </si>
  <si>
    <t>Western Kalebwe</t>
  </si>
  <si>
    <t>west2477</t>
  </si>
  <si>
    <t>Western Ruli</t>
  </si>
  <si>
    <t>west2478</t>
  </si>
  <si>
    <t>Western Bakossi</t>
  </si>
  <si>
    <t>west2479</t>
  </si>
  <si>
    <t>Western Kele</t>
  </si>
  <si>
    <t>Western Ejagham</t>
  </si>
  <si>
    <t>Western Kru</t>
  </si>
  <si>
    <t>west2486</t>
  </si>
  <si>
    <t>Western Klaoh</t>
  </si>
  <si>
    <t>west2487</t>
  </si>
  <si>
    <t>West Central Klaoh</t>
  </si>
  <si>
    <t>Western Krahn</t>
  </si>
  <si>
    <t>krw</t>
  </si>
  <si>
    <t>Western Bete</t>
  </si>
  <si>
    <t>west2490</t>
  </si>
  <si>
    <t>Western Keliko</t>
  </si>
  <si>
    <t>west2491</t>
  </si>
  <si>
    <t>Western Toposa</t>
  </si>
  <si>
    <t>west2492</t>
  </si>
  <si>
    <t>West Pokot</t>
  </si>
  <si>
    <t>Western Nilotic</t>
  </si>
  <si>
    <t>west2494</t>
  </si>
  <si>
    <t>Western Jikany</t>
  </si>
  <si>
    <t>west2496</t>
  </si>
  <si>
    <t>Western Suri</t>
  </si>
  <si>
    <t>west2497</t>
  </si>
  <si>
    <t>Western Masalit</t>
  </si>
  <si>
    <t>West Manding</t>
  </si>
  <si>
    <t>Western Maninkakan</t>
  </si>
  <si>
    <t>mlq</t>
  </si>
  <si>
    <t>Western Dajuic</t>
  </si>
  <si>
    <t>West-Central Heibanic</t>
  </si>
  <si>
    <t>Western Heibanic</t>
  </si>
  <si>
    <t>west2504</t>
  </si>
  <si>
    <t>Western Acheron</t>
  </si>
  <si>
    <t>Western Saharan</t>
  </si>
  <si>
    <t>West-Kxoe</t>
  </si>
  <si>
    <t>Western Plains Dogon</t>
  </si>
  <si>
    <t>west2509</t>
  </si>
  <si>
    <t>West Yawa</t>
  </si>
  <si>
    <t>west2512</t>
  </si>
  <si>
    <t>West Mwerelawa</t>
  </si>
  <si>
    <t>West Ambae</t>
  </si>
  <si>
    <t>nnd</t>
  </si>
  <si>
    <t>west2514</t>
  </si>
  <si>
    <t>West Vanua Levu</t>
  </si>
  <si>
    <t>west2515</t>
  </si>
  <si>
    <t>West Futuna</t>
  </si>
  <si>
    <t>west2516</t>
  </si>
  <si>
    <t>West Uvean</t>
  </si>
  <si>
    <t>uve</t>
  </si>
  <si>
    <t>West Fijian</t>
  </si>
  <si>
    <t>Western Fijian</t>
  </si>
  <si>
    <t>wyy</t>
  </si>
  <si>
    <t>west2520</t>
  </si>
  <si>
    <t>West Tanna</t>
  </si>
  <si>
    <t>West Santa Isabel</t>
  </si>
  <si>
    <t>west2524</t>
  </si>
  <si>
    <t>West Kara</t>
  </si>
  <si>
    <t>west2525</t>
  </si>
  <si>
    <t>West Tigak</t>
  </si>
  <si>
    <t>west2526</t>
  </si>
  <si>
    <t>Western Motu</t>
  </si>
  <si>
    <t>west2528</t>
  </si>
  <si>
    <t>West Mekeo</t>
  </si>
  <si>
    <t>west2529</t>
  </si>
  <si>
    <t>Western Point</t>
  </si>
  <si>
    <t>West Arawe</t>
  </si>
  <si>
    <t>west2531</t>
  </si>
  <si>
    <t>Western Marik</t>
  </si>
  <si>
    <t>Western Admiralty Islands</t>
  </si>
  <si>
    <t>west2533</t>
  </si>
  <si>
    <t>West Manus</t>
  </si>
  <si>
    <t>west2534</t>
  </si>
  <si>
    <t>Western Mussau</t>
  </si>
  <si>
    <t>west2535</t>
  </si>
  <si>
    <t>West Masela</t>
  </si>
  <si>
    <t>mss</t>
  </si>
  <si>
    <t>west2536</t>
  </si>
  <si>
    <t>West-Central Manggarai</t>
  </si>
  <si>
    <t>west2537</t>
  </si>
  <si>
    <t>Western Manggarai</t>
  </si>
  <si>
    <t>West Tarangan</t>
  </si>
  <si>
    <t>txn</t>
  </si>
  <si>
    <t>west2539</t>
  </si>
  <si>
    <t>West Teluti</t>
  </si>
  <si>
    <t>West Lembata</t>
  </si>
  <si>
    <t>lmj</t>
  </si>
  <si>
    <t>West Lamaholot</t>
  </si>
  <si>
    <t>west2543</t>
  </si>
  <si>
    <t>Ritaebang</t>
  </si>
  <si>
    <t>West Adonara</t>
  </si>
  <si>
    <t>Western Timoric A</t>
  </si>
  <si>
    <t>west2546</t>
  </si>
  <si>
    <t>Western Dengka</t>
  </si>
  <si>
    <t>Western Timoric B</t>
  </si>
  <si>
    <t>west2548</t>
  </si>
  <si>
    <t>West Damar</t>
  </si>
  <si>
    <t>drn</t>
  </si>
  <si>
    <t>west2549</t>
  </si>
  <si>
    <t>Western Tboli</t>
  </si>
  <si>
    <t>West Southern Cordilleran</t>
  </si>
  <si>
    <t>west2551</t>
  </si>
  <si>
    <t>Western Addasen</t>
  </si>
  <si>
    <t>Western Mansakan</t>
  </si>
  <si>
    <t>WBM-Livunganen-Ilianen</t>
  </si>
  <si>
    <t>Western Bukidnon Manobo</t>
  </si>
  <si>
    <t>mbb</t>
  </si>
  <si>
    <t>west2556</t>
  </si>
  <si>
    <t>West Gorontalo</t>
  </si>
  <si>
    <t>west2557</t>
  </si>
  <si>
    <t>Western Subanon</t>
  </si>
  <si>
    <t>suc</t>
  </si>
  <si>
    <t>west2558</t>
  </si>
  <si>
    <t>Western Kolibugan</t>
  </si>
  <si>
    <t>west2559</t>
  </si>
  <si>
    <t>Western Tawbuid</t>
  </si>
  <si>
    <t>twb</t>
  </si>
  <si>
    <t>West Coast Bajau</t>
  </si>
  <si>
    <t>bdr</t>
  </si>
  <si>
    <t>Western Penan-Sebop</t>
  </si>
  <si>
    <t>Western Penan</t>
  </si>
  <si>
    <t>pne</t>
  </si>
  <si>
    <t>west2564</t>
  </si>
  <si>
    <t>West Berawan</t>
  </si>
  <si>
    <t>zbw</t>
  </si>
  <si>
    <t>West Javanese</t>
  </si>
  <si>
    <t>Western Bungku-Tolaki</t>
  </si>
  <si>
    <t>West Coast Bungku-Tolaki</t>
  </si>
  <si>
    <t>west2570</t>
  </si>
  <si>
    <t>West Banggai</t>
  </si>
  <si>
    <t>Western Saluan-Banggai</t>
  </si>
  <si>
    <t>Western Plains Austronesian</t>
  </si>
  <si>
    <t>Western Eleman</t>
  </si>
  <si>
    <t>west2574</t>
  </si>
  <si>
    <t>Western Edolo</t>
  </si>
  <si>
    <t>Western Sepik Hill</t>
  </si>
  <si>
    <t>west2577</t>
  </si>
  <si>
    <t>West Yambes</t>
  </si>
  <si>
    <t>west2578</t>
  </si>
  <si>
    <t>Wampukuamp</t>
  </si>
  <si>
    <t>west2579</t>
  </si>
  <si>
    <t>West Torricelli</t>
  </si>
  <si>
    <t>West Wapei</t>
  </si>
  <si>
    <t>west2581</t>
  </si>
  <si>
    <t>West Central Kwomtari</t>
  </si>
  <si>
    <t>West Tariku</t>
  </si>
  <si>
    <t>west2583</t>
  </si>
  <si>
    <t>Western Duvle</t>
  </si>
  <si>
    <t>west2584</t>
  </si>
  <si>
    <t>Western Gizra</t>
  </si>
  <si>
    <t>Western Mek</t>
  </si>
  <si>
    <t>west2586</t>
  </si>
  <si>
    <t>West Urii</t>
  </si>
  <si>
    <t>west2587</t>
  </si>
  <si>
    <t>West Nek</t>
  </si>
  <si>
    <t>west2588</t>
  </si>
  <si>
    <t>West Numanggang</t>
  </si>
  <si>
    <t>west2590</t>
  </si>
  <si>
    <t>West Central Komba</t>
  </si>
  <si>
    <t>west2591</t>
  </si>
  <si>
    <t>West Komba</t>
  </si>
  <si>
    <t>west2592</t>
  </si>
  <si>
    <t>West-Central Mese</t>
  </si>
  <si>
    <t>west2594</t>
  </si>
  <si>
    <t>Western Dani</t>
  </si>
  <si>
    <t>dnw</t>
  </si>
  <si>
    <t>west2595</t>
  </si>
  <si>
    <t>Western Dani of Pyramid</t>
  </si>
  <si>
    <t>west2596</t>
  </si>
  <si>
    <t>Western Dani of Bokondini</t>
  </si>
  <si>
    <t>west2597</t>
  </si>
  <si>
    <t>West Gimi</t>
  </si>
  <si>
    <t>west2599</t>
  </si>
  <si>
    <t>West Kewa</t>
  </si>
  <si>
    <t>kew</t>
  </si>
  <si>
    <t>west2600</t>
  </si>
  <si>
    <t>West Makian</t>
  </si>
  <si>
    <t>mqs</t>
  </si>
  <si>
    <t>west2601</t>
  </si>
  <si>
    <t>West Koita</t>
  </si>
  <si>
    <t>west2602</t>
  </si>
  <si>
    <t>West Sentani</t>
  </si>
  <si>
    <t>west2603</t>
  </si>
  <si>
    <t>West Fuyug</t>
  </si>
  <si>
    <t>West Bomberai</t>
  </si>
  <si>
    <t>west2605</t>
  </si>
  <si>
    <t>Western Fas</t>
  </si>
  <si>
    <t>west2606</t>
  </si>
  <si>
    <t>West Boikin</t>
  </si>
  <si>
    <t>Western Japanese</t>
  </si>
  <si>
    <t>Western Kant≈ç</t>
  </si>
  <si>
    <t>west2609</t>
  </si>
  <si>
    <t>Western Mikawa</t>
  </si>
  <si>
    <t>west2610</t>
  </si>
  <si>
    <t>West Oki-No-Erabu</t>
  </si>
  <si>
    <t>Western Pauwasi</t>
  </si>
  <si>
    <t>west2612</t>
  </si>
  <si>
    <t>Western Pagi</t>
  </si>
  <si>
    <t>west2613</t>
  </si>
  <si>
    <t>Western Kilmeri</t>
  </si>
  <si>
    <t>Western Muskogean</t>
  </si>
  <si>
    <t>west2615</t>
  </si>
  <si>
    <t>Western Apache</t>
  </si>
  <si>
    <t>apw</t>
  </si>
  <si>
    <t>west2616</t>
  </si>
  <si>
    <t>Western Aleut</t>
  </si>
  <si>
    <t>Western Canadian Inuktitut</t>
  </si>
  <si>
    <t>west2620</t>
  </si>
  <si>
    <t>Western Shuswap</t>
  </si>
  <si>
    <t>Western Numic</t>
  </si>
  <si>
    <t>west2622</t>
  </si>
  <si>
    <t>Western Shoshoni</t>
  </si>
  <si>
    <t>west2624</t>
  </si>
  <si>
    <t>Western Huasteca Nahuatl</t>
  </si>
  <si>
    <t>nhw</t>
  </si>
  <si>
    <t>west2625</t>
  </si>
  <si>
    <t>Western Huasteca N√°huatl</t>
  </si>
  <si>
    <t>west2626</t>
  </si>
  <si>
    <t>Western Naskapi</t>
  </si>
  <si>
    <t>west2627</t>
  </si>
  <si>
    <t>Western Montagnais</t>
  </si>
  <si>
    <t>west2628</t>
  </si>
  <si>
    <t>Western Swampy Cree</t>
  </si>
  <si>
    <t>west2629</t>
  </si>
  <si>
    <t>Western York Cree</t>
  </si>
  <si>
    <t>west2630</t>
  </si>
  <si>
    <t>Western Abenaki</t>
  </si>
  <si>
    <t>abe</t>
  </si>
  <si>
    <t>west2631</t>
  </si>
  <si>
    <t>Western Highland Purepecha</t>
  </si>
  <si>
    <t>pua</t>
  </si>
  <si>
    <t>Western Keres</t>
  </si>
  <si>
    <t>kjq</t>
  </si>
  <si>
    <t>Western Miwokan</t>
  </si>
  <si>
    <t>west2634</t>
  </si>
  <si>
    <t>Western Central Sierra Miwok</t>
  </si>
  <si>
    <t>west2635</t>
  </si>
  <si>
    <t>Akateko</t>
  </si>
  <si>
    <t>knj</t>
  </si>
  <si>
    <t>Western Maxakali</t>
  </si>
  <si>
    <t>west2637</t>
  </si>
  <si>
    <t>Western Cajamarca</t>
  </si>
  <si>
    <t>west2638</t>
  </si>
  <si>
    <t>West Waylla</t>
  </si>
  <si>
    <t>west2639</t>
  </si>
  <si>
    <t>Western Yanomami</t>
  </si>
  <si>
    <t>west2640</t>
  </si>
  <si>
    <t>Western Bolivian Guaran√≠</t>
  </si>
  <si>
    <t>gnw</t>
  </si>
  <si>
    <t>Western Isthmic Chibchan</t>
  </si>
  <si>
    <t>Western Juxtlahuaca Mixtec</t>
  </si>
  <si>
    <t>jmx</t>
  </si>
  <si>
    <t>Western Highland Chatino</t>
  </si>
  <si>
    <t>ctp</t>
  </si>
  <si>
    <t>West Zapotec</t>
  </si>
  <si>
    <t>West-Central West Zapotec</t>
  </si>
  <si>
    <t>Maijiki-Siona</t>
  </si>
  <si>
    <t>Western Maipuran</t>
  </si>
  <si>
    <t>west2649</t>
  </si>
  <si>
    <t>Western Garifuna</t>
  </si>
  <si>
    <t>west2650</t>
  </si>
  <si>
    <t>Western Cham</t>
  </si>
  <si>
    <t>cja</t>
  </si>
  <si>
    <t>KH TH VN</t>
  </si>
  <si>
    <t>west2651</t>
  </si>
  <si>
    <t>Western Tunebo</t>
  </si>
  <si>
    <t>tnb</t>
  </si>
  <si>
    <t>west2704</t>
  </si>
  <si>
    <t>West Dangal√©at</t>
  </si>
  <si>
    <t>West Masa</t>
  </si>
  <si>
    <t>West Mafa</t>
  </si>
  <si>
    <t>Western Tera</t>
  </si>
  <si>
    <t>west2790</t>
  </si>
  <si>
    <t>West Chadic B.1</t>
  </si>
  <si>
    <t>west2711</t>
  </si>
  <si>
    <t>Western Bade</t>
  </si>
  <si>
    <t>West Chadic B.2</t>
  </si>
  <si>
    <t>west2714</t>
  </si>
  <si>
    <t>west2785</t>
  </si>
  <si>
    <t>West Chadic A</t>
  </si>
  <si>
    <t>west2799</t>
  </si>
  <si>
    <t>West Chadic A.2</t>
  </si>
  <si>
    <t>West Chadic A.4</t>
  </si>
  <si>
    <t>West Chadic A.3</t>
  </si>
  <si>
    <t>West Chadic A.1</t>
  </si>
  <si>
    <t>Western Hausa</t>
  </si>
  <si>
    <t>West Rift South Cushitic</t>
  </si>
  <si>
    <t>West Central Oromo</t>
  </si>
  <si>
    <t>gaz</t>
  </si>
  <si>
    <t>west2722</t>
  </si>
  <si>
    <t>Western Oromo</t>
  </si>
  <si>
    <t>Western Omo-Tana</t>
  </si>
  <si>
    <t>Western Berber</t>
  </si>
  <si>
    <t>west2759</t>
  </si>
  <si>
    <t>Western Jibbali</t>
  </si>
  <si>
    <t>west2760</t>
  </si>
  <si>
    <t>Western Soqotri</t>
  </si>
  <si>
    <t>west2761</t>
  </si>
  <si>
    <t>Western Mehri</t>
  </si>
  <si>
    <t>Western Neo-Aramaic</t>
  </si>
  <si>
    <t>amw</t>
  </si>
  <si>
    <t>west2764</t>
  </si>
  <si>
    <t>Western Syriac</t>
  </si>
  <si>
    <t>Western Group</t>
  </si>
  <si>
    <t>Western cluster</t>
  </si>
  <si>
    <t>west2773</t>
  </si>
  <si>
    <t>Western Sudanese</t>
  </si>
  <si>
    <t>west2774</t>
  </si>
  <si>
    <t>Western Egyptian Bedawi Arabic</t>
  </si>
  <si>
    <t>west2777</t>
  </si>
  <si>
    <t>Western Jicaque</t>
  </si>
  <si>
    <t>west2778</t>
  </si>
  <si>
    <t>Western Durango Nahuatl</t>
  </si>
  <si>
    <t>azn</t>
  </si>
  <si>
    <t>West Dogon</t>
  </si>
  <si>
    <t>Western Mande</t>
  </si>
  <si>
    <t>West-Central Nubian</t>
  </si>
  <si>
    <t>Western Otomanguean</t>
  </si>
  <si>
    <t>Western Tucanoan</t>
  </si>
  <si>
    <t>West Chadic</t>
  </si>
  <si>
    <t>West Semitic</t>
  </si>
  <si>
    <t>West Alor</t>
  </si>
  <si>
    <t>West Palai</t>
  </si>
  <si>
    <t>Western Eastern Tucanoan</t>
  </si>
  <si>
    <t>West Chadic B</t>
  </si>
  <si>
    <t>West Palaungic</t>
  </si>
  <si>
    <t>West Slavic</t>
  </si>
  <si>
    <t>West Germanic</t>
  </si>
  <si>
    <t>Western Huon</t>
  </si>
  <si>
    <t>Western Tani</t>
  </si>
  <si>
    <t>Western Kra</t>
  </si>
  <si>
    <t>West Chadic A.2-3</t>
  </si>
  <si>
    <t>West Chadic B.3</t>
  </si>
  <si>
    <t>Western Benue-Congo Plateau</t>
  </si>
  <si>
    <t>Western Gbe</t>
  </si>
  <si>
    <t>West Hmongic</t>
  </si>
  <si>
    <t>Western South Slavic</t>
  </si>
  <si>
    <t>West Scandinavian</t>
  </si>
  <si>
    <t>Western Magadhan</t>
  </si>
  <si>
    <t>Western Kordofan Nubian</t>
  </si>
  <si>
    <t>Western Waka-Kabic</t>
  </si>
  <si>
    <t>Western Nahuatl</t>
  </si>
  <si>
    <t>Western Southwestern Apachean</t>
  </si>
  <si>
    <t>Western Subanen</t>
  </si>
  <si>
    <t>Western Hindi</t>
  </si>
  <si>
    <t>Western Romance</t>
  </si>
  <si>
    <t>Western Periphery-North Guerrero Nahuatl</t>
  </si>
  <si>
    <t>Western Aramaic</t>
  </si>
  <si>
    <t>Western Tano</t>
  </si>
  <si>
    <t>West Central Maluku</t>
  </si>
  <si>
    <t>Western Oceanic linkage</t>
  </si>
  <si>
    <t>West Bisayan</t>
  </si>
  <si>
    <t>Western Malayic Dayak</t>
  </si>
  <si>
    <t>Western Alta Mixtec</t>
  </si>
  <si>
    <t>Western Periphery Nahuatl</t>
  </si>
  <si>
    <t>West Mbam (A.40)</t>
  </si>
  <si>
    <t>Western Ede</t>
  </si>
  <si>
    <t>West Kambaric</t>
  </si>
  <si>
    <t>West Manobo</t>
  </si>
  <si>
    <t>Western Gujaratic</t>
  </si>
  <si>
    <t>Western Rajasthani</t>
  </si>
  <si>
    <t>West Coast Mixtec</t>
  </si>
  <si>
    <t>Western Greater Luyana</t>
  </si>
  <si>
    <t>Western Botatwe</t>
  </si>
  <si>
    <t>West Ring</t>
  </si>
  <si>
    <t>Western Mundu-Baka</t>
  </si>
  <si>
    <t>Western Grusi</t>
  </si>
  <si>
    <t>West Ibero-Romance</t>
  </si>
  <si>
    <t>West Teke</t>
  </si>
  <si>
    <t>Western Central Kenya Bantu</t>
  </si>
  <si>
    <t>West Nyanza</t>
  </si>
  <si>
    <t>Western Lakes Bantu</t>
  </si>
  <si>
    <t>West Piru Bay</t>
  </si>
  <si>
    <t>Western Micronesian</t>
  </si>
  <si>
    <t>West Santo</t>
  </si>
  <si>
    <t>West Ruvu</t>
  </si>
  <si>
    <t>Western Munic</t>
  </si>
  <si>
    <t>West Manus I</t>
  </si>
  <si>
    <t>West Manus II</t>
  </si>
  <si>
    <t>West Central Papuan linkage</t>
  </si>
  <si>
    <t>West African Creole English</t>
  </si>
  <si>
    <t>West Kilimanjaro</t>
  </si>
  <si>
    <t>West Hoamoal</t>
  </si>
  <si>
    <t>Western Caribbean Creole</t>
  </si>
  <si>
    <t>Western Trukic</t>
  </si>
  <si>
    <t>West Choiseul</t>
  </si>
  <si>
    <t>West New Georgia</t>
  </si>
  <si>
    <t>Western Luyia</t>
  </si>
  <si>
    <t>Western MSA</t>
  </si>
  <si>
    <t>Western Shinaic</t>
  </si>
  <si>
    <t>west2861</t>
  </si>
  <si>
    <t>West Nyala</t>
  </si>
  <si>
    <t>Western Ngero</t>
  </si>
  <si>
    <t>west2863</t>
  </si>
  <si>
    <t>Western Frisian (Retired)</t>
  </si>
  <si>
    <t>fri</t>
  </si>
  <si>
    <t>west2864</t>
  </si>
  <si>
    <t>West Greenlandic Eskimo Pidgin</t>
  </si>
  <si>
    <t>Western Mayan</t>
  </si>
  <si>
    <t>West Khanty</t>
  </si>
  <si>
    <t>West Inland Gulf of Papua</t>
  </si>
  <si>
    <t>Western West Himalayish</t>
  </si>
  <si>
    <t>Western Lega</t>
  </si>
  <si>
    <t>Western Bru-So</t>
  </si>
  <si>
    <t>Western Malakula linkage</t>
  </si>
  <si>
    <t>Western Nyulnyulan</t>
  </si>
  <si>
    <t>Western Puroik</t>
  </si>
  <si>
    <t>West Kikongo</t>
  </si>
  <si>
    <t>Western Lowland Kenyah-Penan</t>
  </si>
  <si>
    <t>West Maoxian-South Heishui Qiang</t>
  </si>
  <si>
    <t>Western Dan</t>
  </si>
  <si>
    <t>west2878</t>
  </si>
  <si>
    <t>West Yacouba Dan</t>
  </si>
  <si>
    <t>Western Nara</t>
  </si>
  <si>
    <t>west2880</t>
  </si>
  <si>
    <t>Western Cantabrian</t>
  </si>
  <si>
    <t>west2881</t>
  </si>
  <si>
    <t>Western Atakapa</t>
  </si>
  <si>
    <t>Western Rif</t>
  </si>
  <si>
    <t>Western Karaim</t>
  </si>
  <si>
    <t>west2884</t>
  </si>
  <si>
    <t>Western Tundra Nenets</t>
  </si>
  <si>
    <t>Western Wano</t>
  </si>
  <si>
    <t>West-Central South American Sign</t>
  </si>
  <si>
    <t>Western Even</t>
  </si>
  <si>
    <t>Western Bulgarian</t>
  </si>
  <si>
    <t>west2889</t>
  </si>
  <si>
    <t>Western Balkan Bulgarian</t>
  </si>
  <si>
    <t>west2890</t>
  </si>
  <si>
    <t>Western Rup</t>
  </si>
  <si>
    <t>West Moselle Franconian</t>
  </si>
  <si>
    <t>west2892</t>
  </si>
  <si>
    <t>Westerw√§ldisch</t>
  </si>
  <si>
    <t>Western Northern Macedonian</t>
  </si>
  <si>
    <t>west2894</t>
  </si>
  <si>
    <t>Western and Northwestern Macedonian</t>
  </si>
  <si>
    <t>west2895</t>
  </si>
  <si>
    <t>Western Northern Tosk</t>
  </si>
  <si>
    <t>west2896</t>
  </si>
  <si>
    <t>Westschlesische</t>
  </si>
  <si>
    <t>west2897</t>
  </si>
  <si>
    <t>Western Klallam</t>
  </si>
  <si>
    <t>west2898</t>
  </si>
  <si>
    <t>West Saanich</t>
  </si>
  <si>
    <t>west2899</t>
  </si>
  <si>
    <t>Western Galician Yiddish</t>
  </si>
  <si>
    <t>Western Central English</t>
  </si>
  <si>
    <t>Western Southwestern English</t>
  </si>
  <si>
    <t>Westlauwers-Terschelling Frisian</t>
  </si>
  <si>
    <t>west2903</t>
  </si>
  <si>
    <t>West-Terschelling</t>
  </si>
  <si>
    <t>west2904</t>
  </si>
  <si>
    <t>Western Garrwa</t>
  </si>
  <si>
    <t>west2905</t>
  </si>
  <si>
    <t>Western Drokpas</t>
  </si>
  <si>
    <t>west2906</t>
  </si>
  <si>
    <t>Westm√ºnsterlandisch</t>
  </si>
  <si>
    <t>west2908</t>
  </si>
  <si>
    <t>Westhoek</t>
  </si>
  <si>
    <t>west2909</t>
  </si>
  <si>
    <t>Western Maritime West Flemish</t>
  </si>
  <si>
    <t>west2910</t>
  </si>
  <si>
    <t>Westermooring</t>
  </si>
  <si>
    <t>west2911</t>
  </si>
  <si>
    <t>Westpf√§lzisch</t>
  </si>
  <si>
    <t>west2912</t>
  </si>
  <si>
    <t>West Thuringian</t>
  </si>
  <si>
    <t>west2913</t>
  </si>
  <si>
    <t>Westlausitzisch</t>
  </si>
  <si>
    <t>west2914</t>
  </si>
  <si>
    <t>Westmeissnisch</t>
  </si>
  <si>
    <t>west2915</t>
  </si>
  <si>
    <t>Westerzgebirgisch</t>
  </si>
  <si>
    <t>west2916</t>
  </si>
  <si>
    <t>Westlich Nordb√∂hmisch</t>
  </si>
  <si>
    <t>west2917</t>
  </si>
  <si>
    <t>West-Limburgisch</t>
  </si>
  <si>
    <t>west2918</t>
  </si>
  <si>
    <t>West Irish English</t>
  </si>
  <si>
    <t>west2919</t>
  </si>
  <si>
    <t>Western Pennsylvania English</t>
  </si>
  <si>
    <t>west2920</t>
  </si>
  <si>
    <t>Western American English</t>
  </si>
  <si>
    <t>west2921</t>
  </si>
  <si>
    <t>Western New England English</t>
  </si>
  <si>
    <t>west2922</t>
  </si>
  <si>
    <t>West Saxon</t>
  </si>
  <si>
    <t>west2923</t>
  </si>
  <si>
    <t>Western Mid Scots</t>
  </si>
  <si>
    <t>Western Azerbaijani</t>
  </si>
  <si>
    <t>west2925</t>
  </si>
  <si>
    <t>Western Li'o</t>
  </si>
  <si>
    <t>Western Pumi</t>
  </si>
  <si>
    <t>west2927</t>
  </si>
  <si>
    <t>Western Hungarian Vend</t>
  </si>
  <si>
    <t>Western Gadschkene</t>
  </si>
  <si>
    <t>west2929</t>
  </si>
  <si>
    <t>Western Zealand</t>
  </si>
  <si>
    <t>west2930</t>
  </si>
  <si>
    <t>Western Funen</t>
  </si>
  <si>
    <t>weta1242</t>
  </si>
  <si>
    <t>Dorig</t>
  </si>
  <si>
    <t>wwo</t>
  </si>
  <si>
    <t>weta1243</t>
  </si>
  <si>
    <t>Wetan</t>
  </si>
  <si>
    <t>Wetar</t>
  </si>
  <si>
    <t>wete1237</t>
  </si>
  <si>
    <t>Wete</t>
  </si>
  <si>
    <t>wetu1238</t>
  </si>
  <si>
    <t>Wetu</t>
  </si>
  <si>
    <t>wewa1238</t>
  </si>
  <si>
    <t>Wewaw</t>
  </si>
  <si>
    <t>wea</t>
  </si>
  <si>
    <t>W√® Western</t>
  </si>
  <si>
    <t>wec</t>
  </si>
  <si>
    <t>Wewewa-Laboya</t>
  </si>
  <si>
    <t>weye1237</t>
  </si>
  <si>
    <t>Weyewa</t>
  </si>
  <si>
    <t>weyo1238</t>
  </si>
  <si>
    <t>Weyoko</t>
  </si>
  <si>
    <t>whit1261</t>
  </si>
  <si>
    <t>White Russian Romani</t>
  </si>
  <si>
    <t>whit1262</t>
  </si>
  <si>
    <t>White Nogai</t>
  </si>
  <si>
    <t>whit1264</t>
  </si>
  <si>
    <t>White Khoany</t>
  </si>
  <si>
    <t>White Tai</t>
  </si>
  <si>
    <t>whit1266</t>
  </si>
  <si>
    <t>White Lachi</t>
  </si>
  <si>
    <t>lwh</t>
  </si>
  <si>
    <t>Duoluo Gelao</t>
  </si>
  <si>
    <t>giw</t>
  </si>
  <si>
    <t>whit1268</t>
  </si>
  <si>
    <t>White Bolon</t>
  </si>
  <si>
    <t>Whitesands</t>
  </si>
  <si>
    <t>tnp</t>
  </si>
  <si>
    <t>Whitesands-North Tanna linkage</t>
  </si>
  <si>
    <t>wiar1238</t>
  </si>
  <si>
    <t>Wiarumus</t>
  </si>
  <si>
    <t>tua</t>
  </si>
  <si>
    <t>wias1238</t>
  </si>
  <si>
    <t>Wiase</t>
  </si>
  <si>
    <t>wibo1238</t>
  </si>
  <si>
    <t>Wibo</t>
  </si>
  <si>
    <t>Wichita</t>
  </si>
  <si>
    <t>wic</t>
  </si>
  <si>
    <t>Wichi</t>
  </si>
  <si>
    <t>wich1262</t>
  </si>
  <si>
    <t>Wich√≠ Lhamt√©s Nocten</t>
  </si>
  <si>
    <t>mtp</t>
  </si>
  <si>
    <t>AR BO</t>
  </si>
  <si>
    <t>Wich√≠ Lhamt√©s Vejoz</t>
  </si>
  <si>
    <t>wlv</t>
  </si>
  <si>
    <t>Wich√≠ Lhamt√©s G√ºisnay</t>
  </si>
  <si>
    <t>Wide Grassfields</t>
  </si>
  <si>
    <t>Widikum-Tadkon</t>
  </si>
  <si>
    <t>wied1234</t>
  </si>
  <si>
    <t>Wiedingharde</t>
  </si>
  <si>
    <t>wiga1237</t>
  </si>
  <si>
    <t>Wiga</t>
  </si>
  <si>
    <t>wiin1238</t>
  </si>
  <si>
    <t>Wiindza-Baali</t>
  </si>
  <si>
    <t>wiin1239</t>
  </si>
  <si>
    <t>Wiin-Kaninciin</t>
  </si>
  <si>
    <t>Wikalkan</t>
  </si>
  <si>
    <t>Wik</t>
  </si>
  <si>
    <t>wikc1234</t>
  </si>
  <si>
    <t>Wikchamni</t>
  </si>
  <si>
    <t>wike1239</t>
  </si>
  <si>
    <t>Wik-Epa</t>
  </si>
  <si>
    <t>wie</t>
  </si>
  <si>
    <t>wiki1239</t>
  </si>
  <si>
    <t>Wik-Iiyanh</t>
  </si>
  <si>
    <t>wij</t>
  </si>
  <si>
    <t>wikk1239</t>
  </si>
  <si>
    <t>Wik-Keyangan</t>
  </si>
  <si>
    <t>wif</t>
  </si>
  <si>
    <t>wikm1246</t>
  </si>
  <si>
    <t>Wik-Me'anha</t>
  </si>
  <si>
    <t>wih</t>
  </si>
  <si>
    <t>wikm1247</t>
  </si>
  <si>
    <t>Wik-Mungkan</t>
  </si>
  <si>
    <t>wim</t>
  </si>
  <si>
    <t>wikn1244</t>
  </si>
  <si>
    <t>Wik-Ngandjara</t>
  </si>
  <si>
    <t>wikn1245</t>
  </si>
  <si>
    <t>Wik-Ngathana</t>
  </si>
  <si>
    <t>wig</t>
  </si>
  <si>
    <t>wikn1246</t>
  </si>
  <si>
    <t>Wikngenchera</t>
  </si>
  <si>
    <t>wua</t>
  </si>
  <si>
    <t>wila1240</t>
  </si>
  <si>
    <t>Wilawila</t>
  </si>
  <si>
    <t>wil</t>
  </si>
  <si>
    <t>wile1238</t>
  </si>
  <si>
    <t>Wile</t>
  </si>
  <si>
    <t>wilj1239</t>
  </si>
  <si>
    <t>Wiljakali</t>
  </si>
  <si>
    <t>will1242</t>
  </si>
  <si>
    <t>Willong Circle</t>
  </si>
  <si>
    <t>Willaumez linkage</t>
  </si>
  <si>
    <t>wilt1234</t>
  </si>
  <si>
    <t>Wiltshire-Hampshire</t>
  </si>
  <si>
    <t>wina1237</t>
  </si>
  <si>
    <t>Winatu</t>
  </si>
  <si>
    <t>wina1241</t>
  </si>
  <si>
    <t>Wina</t>
  </si>
  <si>
    <t>wind1243</t>
  </si>
  <si>
    <t>Windisch</t>
  </si>
  <si>
    <t>wind1244</t>
  </si>
  <si>
    <t>Windesi</t>
  </si>
  <si>
    <t>wing1239</t>
  </si>
  <si>
    <t>Wingei</t>
  </si>
  <si>
    <t>wini1242</t>
  </si>
  <si>
    <t>Winiv (Vinmavis)</t>
  </si>
  <si>
    <t>wini1243</t>
  </si>
  <si>
    <t>Winiv (Merei)</t>
  </si>
  <si>
    <t>wini1244</t>
  </si>
  <si>
    <t>Winisk River Ojibwa</t>
  </si>
  <si>
    <t>winj1235</t>
  </si>
  <si>
    <t>Winjarumi</t>
  </si>
  <si>
    <t>Winnebago-Chiwere</t>
  </si>
  <si>
    <t>wins1237</t>
  </si>
  <si>
    <t>Wins</t>
  </si>
  <si>
    <t>Wintuan</t>
  </si>
  <si>
    <t>Wintu</t>
  </si>
  <si>
    <t>wit</t>
  </si>
  <si>
    <t>winy1241</t>
  </si>
  <si>
    <t>Winy√©</t>
  </si>
  <si>
    <t>kst</t>
  </si>
  <si>
    <t>Wipi</t>
  </si>
  <si>
    <t>gdr</t>
  </si>
  <si>
    <t>wipi1243</t>
  </si>
  <si>
    <t>Wipim</t>
  </si>
  <si>
    <t>wira1260</t>
  </si>
  <si>
    <t>Wirangu-Nauo</t>
  </si>
  <si>
    <t>wiw</t>
  </si>
  <si>
    <t>Wiradhuric</t>
  </si>
  <si>
    <t>wira1262</t>
  </si>
  <si>
    <t>Wiradhuri</t>
  </si>
  <si>
    <t>wrh</t>
  </si>
  <si>
    <t>wira1263</t>
  </si>
  <si>
    <t>Wira</t>
  </si>
  <si>
    <t>wira1264</t>
  </si>
  <si>
    <t>Wiraf√©d</t>
  </si>
  <si>
    <t>wir</t>
  </si>
  <si>
    <t>wira1265</t>
  </si>
  <si>
    <t>Wirangu</t>
  </si>
  <si>
    <t>wgu</t>
  </si>
  <si>
    <t>wirr1237</t>
  </si>
  <si>
    <t>Wirriyaraay</t>
  </si>
  <si>
    <t>wiru1244</t>
  </si>
  <si>
    <t>Wiru</t>
  </si>
  <si>
    <t>wiu</t>
  </si>
  <si>
    <t>wisc1238</t>
  </si>
  <si>
    <t>Wisconsin</t>
  </si>
  <si>
    <t>Wita Ea</t>
  </si>
  <si>
    <t>wite1234</t>
  </si>
  <si>
    <t>Witembergaria</t>
  </si>
  <si>
    <t>wiwi1237</t>
  </si>
  <si>
    <t>Wiwirano</t>
  </si>
  <si>
    <t>wiya1238</t>
  </si>
  <si>
    <t>Wiyagwa</t>
  </si>
  <si>
    <t>wiya1239</t>
  </si>
  <si>
    <t>Wiyabal</t>
  </si>
  <si>
    <t>wiye1238</t>
  </si>
  <si>
    <t>Wiyeh</t>
  </si>
  <si>
    <t>wiyo1248</t>
  </si>
  <si>
    <t>Wiyot</t>
  </si>
  <si>
    <t>wiy</t>
  </si>
  <si>
    <t>wlep1238</t>
  </si>
  <si>
    <t>Wlepo</t>
  </si>
  <si>
    <t>wlop1238</t>
  </si>
  <si>
    <t>Wlopo</t>
  </si>
  <si>
    <t>wluw1238</t>
  </si>
  <si>
    <t>Wluwe-Hawlo</t>
  </si>
  <si>
    <t>wocc1242</t>
  </si>
  <si>
    <t>Woccon</t>
  </si>
  <si>
    <t>xwc</t>
  </si>
  <si>
    <t>woda1240</t>
  </si>
  <si>
    <t>Wogamusin-Chenapian</t>
  </si>
  <si>
    <t>woga1249</t>
  </si>
  <si>
    <t>Wogamusin</t>
  </si>
  <si>
    <t>wog</t>
  </si>
  <si>
    <t>woge1237</t>
  </si>
  <si>
    <t>Wogeo</t>
  </si>
  <si>
    <t>woc</t>
  </si>
  <si>
    <t>wogr1238</t>
  </si>
  <si>
    <t>Wogri-Boli</t>
  </si>
  <si>
    <t>woig1238</t>
  </si>
  <si>
    <t>Woigo</t>
  </si>
  <si>
    <t>woii1237</t>
  </si>
  <si>
    <t>Woi</t>
  </si>
  <si>
    <t>wbw</t>
  </si>
  <si>
    <t>Woiwurrung-Thagungwurrung</t>
  </si>
  <si>
    <t>wyi</t>
  </si>
  <si>
    <t>woiw1238</t>
  </si>
  <si>
    <t>Woiwurrung</t>
  </si>
  <si>
    <t>Wojenaka</t>
  </si>
  <si>
    <t>jod</t>
  </si>
  <si>
    <t>CI GN ML</t>
  </si>
  <si>
    <t>wojo1239</t>
  </si>
  <si>
    <t>Wojo</t>
  </si>
  <si>
    <t>woki1237</t>
  </si>
  <si>
    <t>Wokiare</t>
  </si>
  <si>
    <t>wola1242</t>
  </si>
  <si>
    <t>Wolaytta</t>
  </si>
  <si>
    <t>wal</t>
  </si>
  <si>
    <t>wola1243</t>
  </si>
  <si>
    <t>Wolani</t>
  </si>
  <si>
    <t>wod</t>
  </si>
  <si>
    <t>wola1253</t>
  </si>
  <si>
    <t>Wolane</t>
  </si>
  <si>
    <t>wle</t>
  </si>
  <si>
    <t>Woleaian</t>
  </si>
  <si>
    <t>Wolio-Kamaru</t>
  </si>
  <si>
    <t>woli1241</t>
  </si>
  <si>
    <t>Wolio</t>
  </si>
  <si>
    <t>wlo</t>
  </si>
  <si>
    <t>Wolofic</t>
  </si>
  <si>
    <t>Wolof-BKK</t>
  </si>
  <si>
    <t>woly1239</t>
  </si>
  <si>
    <t>Wolyamidi</t>
  </si>
  <si>
    <t>womn1235</t>
  </si>
  <si>
    <t>Wom (Nigeria)</t>
  </si>
  <si>
    <t>wom</t>
  </si>
  <si>
    <t>Womo-Sumararu</t>
  </si>
  <si>
    <t>wmx</t>
  </si>
  <si>
    <t>womo1239</t>
  </si>
  <si>
    <t>Womo</t>
  </si>
  <si>
    <t>womp1235</t>
  </si>
  <si>
    <t>Wom (Papua New Guinea)</t>
  </si>
  <si>
    <t>wmo</t>
  </si>
  <si>
    <t>wona1238</t>
  </si>
  <si>
    <t>Wonarua</t>
  </si>
  <si>
    <t>wong1246</t>
  </si>
  <si>
    <t>Wangkumara</t>
  </si>
  <si>
    <t>xwk</t>
  </si>
  <si>
    <t>wong1247</t>
  </si>
  <si>
    <t>Wongo</t>
  </si>
  <si>
    <t>won</t>
  </si>
  <si>
    <t>woni1239</t>
  </si>
  <si>
    <t>Wonie</t>
  </si>
  <si>
    <t>wood1236</t>
  </si>
  <si>
    <t>Woods Cree</t>
  </si>
  <si>
    <t>cwd</t>
  </si>
  <si>
    <t>wooo1238</t>
  </si>
  <si>
    <t>Wo</t>
  </si>
  <si>
    <t>wopk1238</t>
  </si>
  <si>
    <t>Wopkeimin</t>
  </si>
  <si>
    <t>Worimi</t>
  </si>
  <si>
    <t>kda</t>
  </si>
  <si>
    <t>wori1246</t>
  </si>
  <si>
    <t>Woria</t>
  </si>
  <si>
    <t>wor</t>
  </si>
  <si>
    <t>work1238</t>
  </si>
  <si>
    <t>Worku</t>
  </si>
  <si>
    <t>Worodougou</t>
  </si>
  <si>
    <t>jud</t>
  </si>
  <si>
    <t>woro1257</t>
  </si>
  <si>
    <t>Worodougouka</t>
  </si>
  <si>
    <t>woro1258</t>
  </si>
  <si>
    <t>Worora</t>
  </si>
  <si>
    <t>Worrorran</t>
  </si>
  <si>
    <t>Worrorra</t>
  </si>
  <si>
    <t>Worrorran (Unattested)</t>
  </si>
  <si>
    <t>woru1234</t>
  </si>
  <si>
    <t>Woru Kan</t>
  </si>
  <si>
    <t>wose1243</t>
  </si>
  <si>
    <t>Wosera-Mamu</t>
  </si>
  <si>
    <t>wose1244</t>
  </si>
  <si>
    <t>Wosera-Kamu</t>
  </si>
  <si>
    <t>wota1240</t>
  </si>
  <si>
    <t>Wotapuri-Katarqalai</t>
  </si>
  <si>
    <t>wsv</t>
  </si>
  <si>
    <t>wotj1234</t>
  </si>
  <si>
    <t>Wotjobaluk</t>
  </si>
  <si>
    <t>xwt</t>
  </si>
  <si>
    <t>Wotu-Wolio</t>
  </si>
  <si>
    <t>wotu1240</t>
  </si>
  <si>
    <t>Wotu</t>
  </si>
  <si>
    <t>wtw</t>
  </si>
  <si>
    <t>woul1238</t>
  </si>
  <si>
    <t>Woulki</t>
  </si>
  <si>
    <t>Woun Meu</t>
  </si>
  <si>
    <t>noa</t>
  </si>
  <si>
    <t>wrel1238</t>
  </si>
  <si>
    <t>Wrelpo</t>
  </si>
  <si>
    <t>wuak1234</t>
  </si>
  <si>
    <t>Wuakerong</t>
  </si>
  <si>
    <t>wubo1238</t>
  </si>
  <si>
    <t>Wubomei</t>
  </si>
  <si>
    <t>wubu1238</t>
  </si>
  <si>
    <t>Wubulkarra</t>
  </si>
  <si>
    <t>Wubuy-Anindilyakwa</t>
  </si>
  <si>
    <t>Wu Chinese</t>
  </si>
  <si>
    <t>wuu</t>
  </si>
  <si>
    <t>wuch1237</t>
  </si>
  <si>
    <t>Wuchuan Gelao</t>
  </si>
  <si>
    <t>Wuding-Luquan Yi</t>
  </si>
  <si>
    <t>ywq</t>
  </si>
  <si>
    <t>wudi1239</t>
  </si>
  <si>
    <t>Wuding Naisu</t>
  </si>
  <si>
    <t>Wudu</t>
  </si>
  <si>
    <t>wud</t>
  </si>
  <si>
    <t>wuha1234</t>
  </si>
  <si>
    <t>Wuhan Mandarin</t>
  </si>
  <si>
    <t>Wu-Hui Chinese</t>
  </si>
  <si>
    <t>wuhu1235</t>
  </si>
  <si>
    <t>Wuhua</t>
  </si>
  <si>
    <t>wuka1238</t>
  </si>
  <si>
    <t>Wukan</t>
  </si>
  <si>
    <t>wula1244</t>
  </si>
  <si>
    <t>Wulaki</t>
  </si>
  <si>
    <t>wula1245</t>
  </si>
  <si>
    <t>Wula (Bokyi)</t>
  </si>
  <si>
    <t>wula1246</t>
  </si>
  <si>
    <t>Wulanga</t>
  </si>
  <si>
    <t>wula1250</t>
  </si>
  <si>
    <t>Wula</t>
  </si>
  <si>
    <t>wule1238</t>
  </si>
  <si>
    <t>Wule</t>
  </si>
  <si>
    <t>wulg1239</t>
  </si>
  <si>
    <t>Wulguru</t>
  </si>
  <si>
    <t>qgu</t>
  </si>
  <si>
    <t>wuli1242</t>
  </si>
  <si>
    <t>Wuliwuli</t>
  </si>
  <si>
    <t>wlu</t>
  </si>
  <si>
    <t>wuli1243</t>
  </si>
  <si>
    <t>Wulima</t>
  </si>
  <si>
    <t>wuln1239</t>
  </si>
  <si>
    <t>Wulna</t>
  </si>
  <si>
    <t>wux</t>
  </si>
  <si>
    <t>wulu1239</t>
  </si>
  <si>
    <t>Wulu</t>
  </si>
  <si>
    <t>wulu1242</t>
  </si>
  <si>
    <t>Wulukoha</t>
  </si>
  <si>
    <t>wulu1243</t>
  </si>
  <si>
    <t>Wulumuqi Mandarin</t>
  </si>
  <si>
    <t>wulu1244</t>
  </si>
  <si>
    <t>Wuluwurrung</t>
  </si>
  <si>
    <t>wulw1234</t>
  </si>
  <si>
    <t>Wulwulam</t>
  </si>
  <si>
    <t>wumb1241</t>
  </si>
  <si>
    <t>Wumboko-Bubia</t>
  </si>
  <si>
    <t>bqm</t>
  </si>
  <si>
    <t>wumb1242</t>
  </si>
  <si>
    <t>Wumbvu</t>
  </si>
  <si>
    <t>wum</t>
  </si>
  <si>
    <t>Wumeng Nasu</t>
  </si>
  <si>
    <t>ywu</t>
  </si>
  <si>
    <t>wume1236</t>
  </si>
  <si>
    <t>Wumeng Yi</t>
  </si>
  <si>
    <t>ywm</t>
  </si>
  <si>
    <t>wuna1248</t>
  </si>
  <si>
    <t>Wunai Bunu</t>
  </si>
  <si>
    <t>bwn</t>
  </si>
  <si>
    <t>Wunambal</t>
  </si>
  <si>
    <t>wuna1250</t>
  </si>
  <si>
    <t>Wunavai</t>
  </si>
  <si>
    <t>wund1238</t>
  </si>
  <si>
    <t>Wundu</t>
  </si>
  <si>
    <t>wupi1238</t>
  </si>
  <si>
    <t>Wupijiang</t>
  </si>
  <si>
    <t>wupi1239</t>
  </si>
  <si>
    <t>Wuping</t>
  </si>
  <si>
    <t>Wurbo</t>
  </si>
  <si>
    <t>wurg1238</t>
  </si>
  <si>
    <t>Wurga</t>
  </si>
  <si>
    <t>wuri1238</t>
  </si>
  <si>
    <t>Wuri</t>
  </si>
  <si>
    <t>wurl1240</t>
  </si>
  <si>
    <t>Wurla</t>
  </si>
  <si>
    <t>wurl1241</t>
  </si>
  <si>
    <t>Wurlayi</t>
  </si>
  <si>
    <t>wurr1238</t>
  </si>
  <si>
    <t>Wurrugu</t>
  </si>
  <si>
    <t>wur</t>
  </si>
  <si>
    <t>wurz1234</t>
  </si>
  <si>
    <t>W√ºrzburger Franconian</t>
  </si>
  <si>
    <t>Wusa Nasu</t>
  </si>
  <si>
    <t>yig</t>
  </si>
  <si>
    <t>wush1238</t>
  </si>
  <si>
    <t>Wushi</t>
  </si>
  <si>
    <t>bse</t>
  </si>
  <si>
    <t>wusi1237</t>
  </si>
  <si>
    <t>Kula (Vanuatu)</t>
  </si>
  <si>
    <t>wsi</t>
  </si>
  <si>
    <t>wusy1241</t>
  </si>
  <si>
    <t>wusy1242</t>
  </si>
  <si>
    <t>Wusyep Tep</t>
  </si>
  <si>
    <t>Yehreic</t>
  </si>
  <si>
    <t>wusy1243</t>
  </si>
  <si>
    <t>Wusyep Yehre</t>
  </si>
  <si>
    <t>wusy1244</t>
  </si>
  <si>
    <t>Wusyep Ngel</t>
  </si>
  <si>
    <t>wuth1237</t>
  </si>
  <si>
    <t>Wuthathi</t>
  </si>
  <si>
    <t>wutu1241</t>
  </si>
  <si>
    <t>Wutunhua</t>
  </si>
  <si>
    <t>wuh</t>
  </si>
  <si>
    <t>wutu1244</t>
  </si>
  <si>
    <t>Wutung</t>
  </si>
  <si>
    <t>wut</t>
  </si>
  <si>
    <t>wuum1238</t>
  </si>
  <si>
    <t>Wuumu</t>
  </si>
  <si>
    <t>wuuu1240</t>
  </si>
  <si>
    <t>Wu</t>
  </si>
  <si>
    <t>Wuvulu-Aua</t>
  </si>
  <si>
    <t>wuv</t>
  </si>
  <si>
    <t>wuvu1240</t>
  </si>
  <si>
    <t>Wuvulu</t>
  </si>
  <si>
    <t>wuxi1234</t>
  </si>
  <si>
    <t>Wuxi</t>
  </si>
  <si>
    <t>wuyu1234</t>
  </si>
  <si>
    <t>Wuyuan</t>
  </si>
  <si>
    <t>wuzh1238</t>
  </si>
  <si>
    <t>Wuzhou Wu</t>
  </si>
  <si>
    <t>wuzh1239</t>
  </si>
  <si>
    <t>Wuzhou Yue</t>
  </si>
  <si>
    <t>wuzl1236</t>
  </si>
  <si>
    <t>Wuzlam</t>
  </si>
  <si>
    <t>udl</t>
  </si>
  <si>
    <t>ww2p1234</t>
  </si>
  <si>
    <t>WW2 Pidgin German</t>
  </si>
  <si>
    <t>Huron-Wyandot</t>
  </si>
  <si>
    <t>wya</t>
  </si>
  <si>
    <t>wymy1235</t>
  </si>
  <si>
    <t>Wymysorys</t>
  </si>
  <si>
    <t>wym</t>
  </si>
  <si>
    <t>xaas1235</t>
  </si>
  <si>
    <t>Xaasongaxango</t>
  </si>
  <si>
    <t>kao</t>
  </si>
  <si>
    <t>GM ML SN</t>
  </si>
  <si>
    <t>xada1235</t>
  </si>
  <si>
    <t>Xadani Zapotec</t>
  </si>
  <si>
    <t>zax</t>
  </si>
  <si>
    <t>xais1238</t>
  </si>
  <si>
    <t>|Xaise</t>
  </si>
  <si>
    <t>xajr1238</t>
  </si>
  <si>
    <t>Xajrjuzovskij</t>
  </si>
  <si>
    <t>xakr1238</t>
  </si>
  <si>
    <t>Xakriab√°</t>
  </si>
  <si>
    <t>xkr</t>
  </si>
  <si>
    <t>xaku1238</t>
  </si>
  <si>
    <t>Xakuchi</t>
  </si>
  <si>
    <t>xamm1241</t>
  </si>
  <si>
    <t>/Xam</t>
  </si>
  <si>
    <t>xam</t>
  </si>
  <si>
    <t>Xamtanga</t>
  </si>
  <si>
    <t>xan</t>
  </si>
  <si>
    <t>xana1235</t>
  </si>
  <si>
    <t>Xanagu√≠a Zapotec</t>
  </si>
  <si>
    <t>ztg</t>
  </si>
  <si>
    <t>xapu1238</t>
  </si>
  <si>
    <t>Xaput</t>
  </si>
  <si>
    <t>xara1243</t>
  </si>
  <si>
    <t>Xaragure</t>
  </si>
  <si>
    <t>axx</t>
  </si>
  <si>
    <t>xara1244</t>
  </si>
  <si>
    <t>X√¢r√¢c√π√π</t>
  </si>
  <si>
    <t>ane</t>
  </si>
  <si>
    <t>xarb1238</t>
  </si>
  <si>
    <t>Xarbuk</t>
  </si>
  <si>
    <t>Xasonka</t>
  </si>
  <si>
    <t>xati1238</t>
  </si>
  <si>
    <t>Xatia</t>
  </si>
  <si>
    <t>xaty1241</t>
  </si>
  <si>
    <t>Xatyrka (southern Kerek)</t>
  </si>
  <si>
    <t>xaty1242</t>
  </si>
  <si>
    <t>Xatyrskij</t>
  </si>
  <si>
    <t>xava1240</t>
  </si>
  <si>
    <t>Xav√°nte</t>
  </si>
  <si>
    <t>xav</t>
  </si>
  <si>
    <t>xazo1234</t>
  </si>
  <si>
    <t>Xazo</t>
  </si>
  <si>
    <t>xegw1238</t>
  </si>
  <si>
    <t>//Xegwi</t>
  </si>
  <si>
    <t>xeg</t>
  </si>
  <si>
    <t>xenq1238</t>
  </si>
  <si>
    <t>Xenqenna</t>
  </si>
  <si>
    <t>xere1240</t>
  </si>
  <si>
    <t>Xer√©nte</t>
  </si>
  <si>
    <t>xer</t>
  </si>
  <si>
    <t>Xesibe</t>
  </si>
  <si>
    <t>xeta1241</t>
  </si>
  <si>
    <t>Xet√°</t>
  </si>
  <si>
    <t>xet</t>
  </si>
  <si>
    <t>xevs1238</t>
  </si>
  <si>
    <t>Xevsur</t>
  </si>
  <si>
    <t>zulu1251</t>
  </si>
  <si>
    <t>xho</t>
  </si>
  <si>
    <t>BW LS ZA</t>
  </si>
  <si>
    <t>xiam1236</t>
  </si>
  <si>
    <t>Xiamen</t>
  </si>
  <si>
    <t>xian1249</t>
  </si>
  <si>
    <t>Xiandao</t>
  </si>
  <si>
    <t>xia</t>
  </si>
  <si>
    <t>xian1250</t>
  </si>
  <si>
    <t>Xiangyun</t>
  </si>
  <si>
    <t>Xiang Chinese</t>
  </si>
  <si>
    <t>hsn</t>
  </si>
  <si>
    <t>xian1252</t>
  </si>
  <si>
    <t>Xianyou</t>
  </si>
  <si>
    <t>xian1253</t>
  </si>
  <si>
    <t>Xi'an Mandarin</t>
  </si>
  <si>
    <t>xian1254</t>
  </si>
  <si>
    <t>Xiangtan</t>
  </si>
  <si>
    <t>xian1255</t>
  </si>
  <si>
    <t>Xianggang</t>
  </si>
  <si>
    <t>xiao1244</t>
  </si>
  <si>
    <t>Xiaojin</t>
  </si>
  <si>
    <t>xiao1245</t>
  </si>
  <si>
    <t>Xiaoyili</t>
  </si>
  <si>
    <t>Lanyin</t>
  </si>
  <si>
    <t>xibe1242</t>
  </si>
  <si>
    <t>Xibe</t>
  </si>
  <si>
    <t>sjo</t>
  </si>
  <si>
    <t>xich1234</t>
  </si>
  <si>
    <t>Xichuan Pumi</t>
  </si>
  <si>
    <t>xico1235</t>
  </si>
  <si>
    <t>Xicotepec De Ju√°rez Totonac</t>
  </si>
  <si>
    <t>too</t>
  </si>
  <si>
    <t>xigu1234</t>
  </si>
  <si>
    <t>Xiguan</t>
  </si>
  <si>
    <t>xikr1238</t>
  </si>
  <si>
    <t>Xikrin</t>
  </si>
  <si>
    <t>Southwestern Guanhua</t>
  </si>
  <si>
    <t>Xincan</t>
  </si>
  <si>
    <t>xinc1242</t>
  </si>
  <si>
    <t>xinc1244</t>
  </si>
  <si>
    <t>Xinca-Chiquimulilla</t>
  </si>
  <si>
    <t>xinc1243</t>
  </si>
  <si>
    <t>Xinca-Yupiltepeque</t>
  </si>
  <si>
    <t>Xinca Shared Grammatical Traits</t>
  </si>
  <si>
    <t>xinc1245</t>
  </si>
  <si>
    <t>Xinca-Sinacantan</t>
  </si>
  <si>
    <t>xinc1246</t>
  </si>
  <si>
    <t>Xinca-Guazacapan</t>
  </si>
  <si>
    <t>xinc1247</t>
  </si>
  <si>
    <t>Xinca</t>
  </si>
  <si>
    <t>xin</t>
  </si>
  <si>
    <t>xing1245</t>
  </si>
  <si>
    <t>Xinghua (Min Dong Chinese)</t>
  </si>
  <si>
    <t>xing1246</t>
  </si>
  <si>
    <t>Xinghua</t>
  </si>
  <si>
    <t>Xinguan</t>
  </si>
  <si>
    <t>xing1248</t>
  </si>
  <si>
    <t>Xing√∫ Asurin√≠</t>
  </si>
  <si>
    <t>asn</t>
  </si>
  <si>
    <t>Xinguan Arawak</t>
  </si>
  <si>
    <t>xini1234</t>
  </si>
  <si>
    <t>Xining Mandarin</t>
  </si>
  <si>
    <t>xink1235</t>
  </si>
  <si>
    <t>Xinka-Jumaytepeque</t>
  </si>
  <si>
    <t>xinp1238</t>
  </si>
  <si>
    <t>Xinping Nisu</t>
  </si>
  <si>
    <t>xiny1234</t>
  </si>
  <si>
    <t>Xinyingpan Pumi</t>
  </si>
  <si>
    <t>xion1234</t>
  </si>
  <si>
    <t>Xiong-Nu</t>
  </si>
  <si>
    <t>xipa1240</t>
  </si>
  <si>
    <t>Xipaya</t>
  </si>
  <si>
    <t>xiy</t>
  </si>
  <si>
    <t>xipe1234</t>
  </si>
  <si>
    <t>Xipella</t>
  </si>
  <si>
    <t>xipi1238</t>
  </si>
  <si>
    <t>Xipin√°wa</t>
  </si>
  <si>
    <t>xip</t>
  </si>
  <si>
    <t>xiri1242</t>
  </si>
  <si>
    <t>Xiri</t>
  </si>
  <si>
    <t>xii</t>
  </si>
  <si>
    <t>NA ZA</t>
  </si>
  <si>
    <t>xiri1243</t>
  </si>
  <si>
    <t>Xiri√¢na</t>
  </si>
  <si>
    <t>xir</t>
  </si>
  <si>
    <t>xish1235</t>
  </si>
  <si>
    <t>Xishanba Lalo</t>
  </si>
  <si>
    <t>ywt</t>
  </si>
  <si>
    <t>xiun1234</t>
  </si>
  <si>
    <t>Xiuning</t>
  </si>
  <si>
    <t>Xiuyi</t>
  </si>
  <si>
    <t>xoch1238</t>
  </si>
  <si>
    <t>Xochapa Mixtec</t>
  </si>
  <si>
    <t>Xoco</t>
  </si>
  <si>
    <t>Xokleng</t>
  </si>
  <si>
    <t>xokx1238</t>
  </si>
  <si>
    <t>||Xo-Kxoe</t>
  </si>
  <si>
    <t>xomk1238</t>
  </si>
  <si>
    <t>||Xom-Kxoe</t>
  </si>
  <si>
    <t>xong1238</t>
  </si>
  <si>
    <t>Xonga</t>
  </si>
  <si>
    <t>West !Xoon</t>
  </si>
  <si>
    <t>xopa1238</t>
  </si>
  <si>
    <t>Xopa</t>
  </si>
  <si>
    <t>xosh1238</t>
  </si>
  <si>
    <t>Xoshnaw</t>
  </si>
  <si>
    <t>Xuanzhou</t>
  </si>
  <si>
    <t>xucu1234</t>
  </si>
  <si>
    <t>Xucuru</t>
  </si>
  <si>
    <t>Xukur√∫</t>
  </si>
  <si>
    <t>xoo</t>
  </si>
  <si>
    <t>xuon1238</t>
  </si>
  <si>
    <t>Xu√≤ng</t>
  </si>
  <si>
    <t>xupu1234</t>
  </si>
  <si>
    <t>Xupu</t>
  </si>
  <si>
    <t>xuzh1234</t>
  </si>
  <si>
    <t>Xuzhang Lalo</t>
  </si>
  <si>
    <t>xvar1237</t>
  </si>
  <si>
    <t>Xvarshi</t>
  </si>
  <si>
    <t>xwel1235</t>
  </si>
  <si>
    <t>Xwela Gbe</t>
  </si>
  <si>
    <t>xwe</t>
  </si>
  <si>
    <t>yaaa1241</t>
  </si>
  <si>
    <t>Yaa</t>
  </si>
  <si>
    <t>yaaa1242</t>
  </si>
  <si>
    <t>Ya</t>
  </si>
  <si>
    <t>yaab1234</t>
  </si>
  <si>
    <t>Yaabelloo</t>
  </si>
  <si>
    <t>yaad1238</t>
  </si>
  <si>
    <t>Yaadr√©</t>
  </si>
  <si>
    <t>yaak1241</t>
  </si>
  <si>
    <t>Yaaku</t>
  </si>
  <si>
    <t>muu</t>
  </si>
  <si>
    <t>yaal1238</t>
  </si>
  <si>
    <t>Yaali</t>
  </si>
  <si>
    <t>yaam1238</t>
  </si>
  <si>
    <t>Yaamba</t>
  </si>
  <si>
    <t>yaan1236</t>
  </si>
  <si>
    <t>Yaande</t>
  </si>
  <si>
    <t>yaan1242</t>
  </si>
  <si>
    <t>Yaan</t>
  </si>
  <si>
    <t>yaay1238</t>
  </si>
  <si>
    <t>Ya√°yuwee</t>
  </si>
  <si>
    <t>yaba1247</t>
  </si>
  <si>
    <t>Yaba</t>
  </si>
  <si>
    <t>Yabarana</t>
  </si>
  <si>
    <t>yar</t>
  </si>
  <si>
    <t>yaba1249</t>
  </si>
  <si>
    <t>Yaba√¢na</t>
  </si>
  <si>
    <t>ybn</t>
  </si>
  <si>
    <t>yabe1251</t>
  </si>
  <si>
    <t>Yabekanga</t>
  </si>
  <si>
    <t>yabe1252</t>
  </si>
  <si>
    <t>Yabeka</t>
  </si>
  <si>
    <t>yabe1253</t>
  </si>
  <si>
    <t>Yabekolo</t>
  </si>
  <si>
    <t>yabe1254</t>
  </si>
  <si>
    <t>Yabem</t>
  </si>
  <si>
    <t>jae</t>
  </si>
  <si>
    <t>yabe1255</t>
  </si>
  <si>
    <t>Yaben</t>
  </si>
  <si>
    <t>ybm</t>
  </si>
  <si>
    <t>Yaben-Bilakura</t>
  </si>
  <si>
    <t>yabi1243</t>
  </si>
  <si>
    <t>Yabi</t>
  </si>
  <si>
    <t>yabo1240</t>
  </si>
  <si>
    <t>Yabong</t>
  </si>
  <si>
    <t>ybo</t>
  </si>
  <si>
    <t>yabu1234</t>
  </si>
  <si>
    <t>yort1237</t>
  </si>
  <si>
    <t>Yabula Yabula</t>
  </si>
  <si>
    <t>yxy</t>
  </si>
  <si>
    <t>yaby1238</t>
  </si>
  <si>
    <t>Yabyang</t>
  </si>
  <si>
    <t>Yace</t>
  </si>
  <si>
    <t>ekr</t>
  </si>
  <si>
    <t>Yacham-Tengsa</t>
  </si>
  <si>
    <t>yach1235</t>
  </si>
  <si>
    <t>Yacham</t>
  </si>
  <si>
    <t>yadh1237</t>
  </si>
  <si>
    <t>Yadhaykenu</t>
  </si>
  <si>
    <t>Yadhaykenu-Angkamuthi</t>
  </si>
  <si>
    <t>yadu1238</t>
  </si>
  <si>
    <t>Yadu</t>
  </si>
  <si>
    <t>Yaeyama</t>
  </si>
  <si>
    <t>rys</t>
  </si>
  <si>
    <t>yafi1240</t>
  </si>
  <si>
    <t>Yafi</t>
  </si>
  <si>
    <t>wfg</t>
  </si>
  <si>
    <t>Yagara-Jandai</t>
  </si>
  <si>
    <t>yaga1257</t>
  </si>
  <si>
    <t>Yaga</t>
  </si>
  <si>
    <t>Yaganon</t>
  </si>
  <si>
    <t>yaga1259</t>
  </si>
  <si>
    <t>Yagawak</t>
  </si>
  <si>
    <t>Yagaria</t>
  </si>
  <si>
    <t>ygr</t>
  </si>
  <si>
    <t>yaga1261</t>
  </si>
  <si>
    <t>Yaganiza-Xagac√≠a Zapotec</t>
  </si>
  <si>
    <t>yaga1262</t>
  </si>
  <si>
    <t>Yagara</t>
  </si>
  <si>
    <t>yxg</t>
  </si>
  <si>
    <t>yagb1238</t>
  </si>
  <si>
    <t>Yagba</t>
  </si>
  <si>
    <t>yage1238</t>
  </si>
  <si>
    <t>Yage</t>
  </si>
  <si>
    <t>Yagnobi</t>
  </si>
  <si>
    <t>yai</t>
  </si>
  <si>
    <t>TJ</t>
  </si>
  <si>
    <t>yago1240</t>
  </si>
  <si>
    <t>Yagomi</t>
  </si>
  <si>
    <t>ygm</t>
  </si>
  <si>
    <t>Yagua</t>
  </si>
  <si>
    <t>yagw1240</t>
  </si>
  <si>
    <t>Yagwoia</t>
  </si>
  <si>
    <t>ygw</t>
  </si>
  <si>
    <t>yagw1244</t>
  </si>
  <si>
    <t>Yagwa</t>
  </si>
  <si>
    <t>yaha1247</t>
  </si>
  <si>
    <t>Yahang</t>
  </si>
  <si>
    <t>rhp</t>
  </si>
  <si>
    <t>yaha1248</t>
  </si>
  <si>
    <t>Yahadian</t>
  </si>
  <si>
    <t>ner</t>
  </si>
  <si>
    <t>yahi1243</t>
  </si>
  <si>
    <t>Yahi</t>
  </si>
  <si>
    <t>Yahuna</t>
  </si>
  <si>
    <t>ynu</t>
  </si>
  <si>
    <t>yaik1238</t>
  </si>
  <si>
    <t>Yaikole</t>
  </si>
  <si>
    <t>yais1238</t>
  </si>
  <si>
    <t>Yaisu</t>
  </si>
  <si>
    <t>yait1239</t>
  </si>
  <si>
    <t>Yaitepec Chatino</t>
  </si>
  <si>
    <t>Yaka-Pelende-Lonzo</t>
  </si>
  <si>
    <t>yaf</t>
  </si>
  <si>
    <t>yaka1270</t>
  </si>
  <si>
    <t>Yaka</t>
  </si>
  <si>
    <t>yaka1271</t>
  </si>
  <si>
    <t>Yakahanga</t>
  </si>
  <si>
    <t>Yaka (Central African Republic)</t>
  </si>
  <si>
    <t>axk</t>
  </si>
  <si>
    <t>yaka1273</t>
  </si>
  <si>
    <t>Yakalak</t>
  </si>
  <si>
    <t>yaka1274</t>
  </si>
  <si>
    <t>Yaka (Congo)</t>
  </si>
  <si>
    <t>iyx</t>
  </si>
  <si>
    <t>yaka1275</t>
  </si>
  <si>
    <t>Yakaikeke</t>
  </si>
  <si>
    <t>ykk</t>
  </si>
  <si>
    <t>yaka1276</t>
  </si>
  <si>
    <t>Yakamul</t>
  </si>
  <si>
    <t>yaka1277</t>
  </si>
  <si>
    <t>Yakan</t>
  </si>
  <si>
    <t>yka</t>
  </si>
  <si>
    <t>Yaka-Suku</t>
  </si>
  <si>
    <t>yaka1279</t>
  </si>
  <si>
    <t>Yakangom</t>
  </si>
  <si>
    <t>Northwest Sahaptin</t>
  </si>
  <si>
    <t>yak</t>
  </si>
  <si>
    <t>yaki1238</t>
  </si>
  <si>
    <t>Yakio</t>
  </si>
  <si>
    <t>Yakkha</t>
  </si>
  <si>
    <t>ybh</t>
  </si>
  <si>
    <t>yako1251</t>
  </si>
  <si>
    <t>Yakoko</t>
  </si>
  <si>
    <t>yako1252</t>
  </si>
  <si>
    <t>Yakoma</t>
  </si>
  <si>
    <t>yky</t>
  </si>
  <si>
    <t>yakp1238</t>
  </si>
  <si>
    <t>Yakpa</t>
  </si>
  <si>
    <t>Sakha</t>
  </si>
  <si>
    <t>yaku1246</t>
  </si>
  <si>
    <t>Yakulmp</t>
  </si>
  <si>
    <t>yala1242</t>
  </si>
  <si>
    <t>Yalakalore</t>
  </si>
  <si>
    <t>xyl</t>
  </si>
  <si>
    <t>Yalandyic</t>
  </si>
  <si>
    <t>yala1262</t>
  </si>
  <si>
    <t>Yalarnnga</t>
  </si>
  <si>
    <t>ylr</t>
  </si>
  <si>
    <t>Yala</t>
  </si>
  <si>
    <t>yba</t>
  </si>
  <si>
    <t>yala1264</t>
  </si>
  <si>
    <t>Yala Ogoja</t>
  </si>
  <si>
    <t>yala1265</t>
  </si>
  <si>
    <t>Yalayu</t>
  </si>
  <si>
    <t>yala1266</t>
  </si>
  <si>
    <t>Yalahatan-Haruru-Awaiya</t>
  </si>
  <si>
    <t>jal</t>
  </si>
  <si>
    <t>Yal√°lag Zapotec</t>
  </si>
  <si>
    <t>yale1245</t>
  </si>
  <si>
    <t>Yaleba</t>
  </si>
  <si>
    <t>yale1246</t>
  </si>
  <si>
    <t>Yale</t>
  </si>
  <si>
    <t>nce</t>
  </si>
  <si>
    <t>yali1254</t>
  </si>
  <si>
    <t>Yalima</t>
  </si>
  <si>
    <t>yali1255</t>
  </si>
  <si>
    <t>Yaliambi</t>
  </si>
  <si>
    <t>yali1256</t>
  </si>
  <si>
    <t>Yalina</t>
  </si>
  <si>
    <t>Yalic</t>
  </si>
  <si>
    <t>Yalunka</t>
  </si>
  <si>
    <t>yal</t>
  </si>
  <si>
    <t>GN ML SL SN</t>
  </si>
  <si>
    <t>yama1259</t>
  </si>
  <si>
    <t>Yamai</t>
  </si>
  <si>
    <t>yama1260</t>
  </si>
  <si>
    <t>Yamap</t>
  </si>
  <si>
    <t>ymp</t>
  </si>
  <si>
    <t>yama1261</t>
  </si>
  <si>
    <t>Yamaguchi</t>
  </si>
  <si>
    <t>yama1262</t>
  </si>
  <si>
    <t>Yamagata</t>
  </si>
  <si>
    <t>yama1263</t>
  </si>
  <si>
    <t>Yamanashi</t>
  </si>
  <si>
    <t>Y√°mana</t>
  </si>
  <si>
    <t>yama1265</t>
  </si>
  <si>
    <t>Yamasee</t>
  </si>
  <si>
    <t>Yamba</t>
  </si>
  <si>
    <t>yam</t>
  </si>
  <si>
    <t>Yambeta</t>
  </si>
  <si>
    <t>yat</t>
  </si>
  <si>
    <t>Yambes</t>
  </si>
  <si>
    <t>ymb</t>
  </si>
  <si>
    <t>yamb1255</t>
  </si>
  <si>
    <t>Yambe</t>
  </si>
  <si>
    <t>Yambasa (A.60)</t>
  </si>
  <si>
    <t>Yamdena</t>
  </si>
  <si>
    <t>jmd</t>
  </si>
  <si>
    <t>Yamdena-Onin</t>
  </si>
  <si>
    <t>yame1242</t>
  </si>
  <si>
    <t>Yameo</t>
  </si>
  <si>
    <t>yme</t>
  </si>
  <si>
    <t>Yaminawa Complex</t>
  </si>
  <si>
    <t>Yaminahua</t>
  </si>
  <si>
    <t>yaa</t>
  </si>
  <si>
    <t>BO BR PE</t>
  </si>
  <si>
    <t>Yami-Itbayat</t>
  </si>
  <si>
    <t>yamn1237</t>
  </si>
  <si>
    <t>Yamna</t>
  </si>
  <si>
    <t>ymn</t>
  </si>
  <si>
    <t>yamo1246</t>
  </si>
  <si>
    <t>Yamongeri</t>
  </si>
  <si>
    <t>ymg</t>
  </si>
  <si>
    <t>yamo1247</t>
  </si>
  <si>
    <t>Yamod</t>
  </si>
  <si>
    <t>yamo1248</t>
  </si>
  <si>
    <t>Yamofowe</t>
  </si>
  <si>
    <t>yamp1242</t>
  </si>
  <si>
    <t>Yamphu</t>
  </si>
  <si>
    <t>ybi</t>
  </si>
  <si>
    <t>yamp1243</t>
  </si>
  <si>
    <t>Yamphe</t>
  </si>
  <si>
    <t>yma</t>
  </si>
  <si>
    <t>Yamphuic</t>
  </si>
  <si>
    <t>yamu1239</t>
  </si>
  <si>
    <t>Yamur</t>
  </si>
  <si>
    <t>yana1258</t>
  </si>
  <si>
    <t>Yanacona</t>
  </si>
  <si>
    <t>yana1267</t>
  </si>
  <si>
    <t>Yanadi</t>
  </si>
  <si>
    <t>yana1268</t>
  </si>
  <si>
    <t>Yanaba</t>
  </si>
  <si>
    <t>yana1269</t>
  </si>
  <si>
    <t>Yanagawa-ben</t>
  </si>
  <si>
    <t>yana1270</t>
  </si>
  <si>
    <t>Yana (Mossi)</t>
  </si>
  <si>
    <t>Yana</t>
  </si>
  <si>
    <t>ynn</t>
  </si>
  <si>
    <t>yana1272</t>
  </si>
  <si>
    <t>Yanahuanca Pasco Quechua</t>
  </si>
  <si>
    <t>qur</t>
  </si>
  <si>
    <t>yana1273</t>
  </si>
  <si>
    <t>Yanamam</t>
  </si>
  <si>
    <t>yand1251</t>
  </si>
  <si>
    <t>Yanda</t>
  </si>
  <si>
    <t>yda</t>
  </si>
  <si>
    <t>yand1252</t>
  </si>
  <si>
    <t>Yandruwandhic</t>
  </si>
  <si>
    <t>Yandruwandha</t>
  </si>
  <si>
    <t>ynd</t>
  </si>
  <si>
    <t>Yanda-Bondum-Tebul</t>
  </si>
  <si>
    <t>Yanda-Ana</t>
  </si>
  <si>
    <t>yand1257</t>
  </si>
  <si>
    <t>Yanda Dom Dogon</t>
  </si>
  <si>
    <t>dym</t>
  </si>
  <si>
    <t>yand1258</t>
  </si>
  <si>
    <t>Yandime</t>
  </si>
  <si>
    <t>yand1259</t>
  </si>
  <si>
    <t>Yandapo</t>
  </si>
  <si>
    <t>Yandang</t>
  </si>
  <si>
    <t>yane1238</t>
  </si>
  <si>
    <t>Yanesha'</t>
  </si>
  <si>
    <t>ame</t>
  </si>
  <si>
    <t>yang1286</t>
  </si>
  <si>
    <t>Yang Zhuang</t>
  </si>
  <si>
    <t>zyg</t>
  </si>
  <si>
    <t>Yangmanic</t>
  </si>
  <si>
    <t>yang1288</t>
  </si>
  <si>
    <t>Yangman</t>
  </si>
  <si>
    <t>jng</t>
  </si>
  <si>
    <t>yang1289</t>
  </si>
  <si>
    <t>Yango</t>
  </si>
  <si>
    <t>yng</t>
  </si>
  <si>
    <t>yang1290</t>
  </si>
  <si>
    <t>Yangkam</t>
  </si>
  <si>
    <t>bsx</t>
  </si>
  <si>
    <t>yang1291</t>
  </si>
  <si>
    <t>Yangonda</t>
  </si>
  <si>
    <t>yang1292</t>
  </si>
  <si>
    <t>Yangho</t>
  </si>
  <si>
    <t>ynh</t>
  </si>
  <si>
    <t>yang1293</t>
  </si>
  <si>
    <t>Yangben</t>
  </si>
  <si>
    <t>yav</t>
  </si>
  <si>
    <t>Yangum-Ambrak</t>
  </si>
  <si>
    <t>yang1295</t>
  </si>
  <si>
    <t>yang1303</t>
  </si>
  <si>
    <t>Yangum Gel</t>
  </si>
  <si>
    <t>ygl</t>
  </si>
  <si>
    <t>yang1296</t>
  </si>
  <si>
    <t>Yangum Mon</t>
  </si>
  <si>
    <t>ymo</t>
  </si>
  <si>
    <t>yang1297</t>
  </si>
  <si>
    <t>Yangum Dey</t>
  </si>
  <si>
    <t>yde</t>
  </si>
  <si>
    <t>yang1298</t>
  </si>
  <si>
    <t>Yangulam</t>
  </si>
  <si>
    <t>ynl</t>
  </si>
  <si>
    <t>yang1299</t>
  </si>
  <si>
    <t>Yangeborong</t>
  </si>
  <si>
    <t>yang1300</t>
  </si>
  <si>
    <t>Yangkolen</t>
  </si>
  <si>
    <t>yang1301</t>
  </si>
  <si>
    <t>Yangbye</t>
  </si>
  <si>
    <t>ybd</t>
  </si>
  <si>
    <t>Yangkam-Tarok-Pe</t>
  </si>
  <si>
    <t>Yangum</t>
  </si>
  <si>
    <t>yang1304</t>
  </si>
  <si>
    <t>Yangliu</t>
  </si>
  <si>
    <t>yang1305</t>
  </si>
  <si>
    <t>Yangathimri</t>
  </si>
  <si>
    <t>yang1306</t>
  </si>
  <si>
    <t>Yangzhou Mandarin</t>
  </si>
  <si>
    <t>yang1307</t>
  </si>
  <si>
    <t>Yangjiang</t>
  </si>
  <si>
    <t>yang1308</t>
  </si>
  <si>
    <t>Yanga (Australia)</t>
  </si>
  <si>
    <t>yank1247</t>
  </si>
  <si>
    <t>Yankunytjatjara</t>
  </si>
  <si>
    <t>kdd</t>
  </si>
  <si>
    <t>Yan-nhangu</t>
  </si>
  <si>
    <t>yano1267</t>
  </si>
  <si>
    <t>Yanomam√∂</t>
  </si>
  <si>
    <t>Yanom√°mi</t>
  </si>
  <si>
    <t>wca</t>
  </si>
  <si>
    <t>yano1263</t>
  </si>
  <si>
    <t>Yanomay</t>
  </si>
  <si>
    <t>yano1264</t>
  </si>
  <si>
    <t>Yanomam</t>
  </si>
  <si>
    <t>yano1265</t>
  </si>
  <si>
    <t>Yanoma</t>
  </si>
  <si>
    <t>yano1266</t>
  </si>
  <si>
    <t>Yanomam-Yaroame</t>
  </si>
  <si>
    <t>Yanomami-Yanimamo</t>
  </si>
  <si>
    <t>Yanomamic</t>
  </si>
  <si>
    <t>yanr1238</t>
  </si>
  <si>
    <t>Yanrakinot</t>
  </si>
  <si>
    <t>yans1239</t>
  </si>
  <si>
    <t>Yansi</t>
  </si>
  <si>
    <t>yns</t>
  </si>
  <si>
    <t>Yans-Mpur-Ntsambaan</t>
  </si>
  <si>
    <t>yant1237</t>
  </si>
  <si>
    <t>Yanta</t>
  </si>
  <si>
    <t>yany1243</t>
  </si>
  <si>
    <t>Yanyuwa</t>
  </si>
  <si>
    <t>jao</t>
  </si>
  <si>
    <t>yanz1241</t>
  </si>
  <si>
    <t>Yanzhou</t>
  </si>
  <si>
    <t>Yanzi (B.80)</t>
  </si>
  <si>
    <t>yaoa1238</t>
  </si>
  <si>
    <t>Yao'an Lolopho</t>
  </si>
  <si>
    <t>yaoa1239</t>
  </si>
  <si>
    <t>Yebarana</t>
  </si>
  <si>
    <t>Yaoic</t>
  </si>
  <si>
    <t>MW MZ TZ ZM</t>
  </si>
  <si>
    <t>yaos1235</t>
  </si>
  <si>
    <t>Yaosakor Asmat</t>
  </si>
  <si>
    <t>asy</t>
  </si>
  <si>
    <t>Yaour√©</t>
  </si>
  <si>
    <t>yre</t>
  </si>
  <si>
    <t>Yapen</t>
  </si>
  <si>
    <t>Yapesic</t>
  </si>
  <si>
    <t>yapo1244</t>
  </si>
  <si>
    <t>Yapoma</t>
  </si>
  <si>
    <t>yapo1245</t>
  </si>
  <si>
    <t>Yapo</t>
  </si>
  <si>
    <t>yapo1246</t>
  </si>
  <si>
    <t>Yapoa</t>
  </si>
  <si>
    <t>yaps1238</t>
  </si>
  <si>
    <t>Yapsi-Taja</t>
  </si>
  <si>
    <t>yapu1240</t>
  </si>
  <si>
    <t>Yeri</t>
  </si>
  <si>
    <t>yev</t>
  </si>
  <si>
    <t>Yaqayic</t>
  </si>
  <si>
    <t>Yaqay</t>
  </si>
  <si>
    <t>jaq</t>
  </si>
  <si>
    <t>yaqu1250</t>
  </si>
  <si>
    <t>Yaquina</t>
  </si>
  <si>
    <t>yara1249</t>
  </si>
  <si>
    <t>Yaran</t>
  </si>
  <si>
    <t>yara1250</t>
  </si>
  <si>
    <t>Yarawata</t>
  </si>
  <si>
    <t>yrw</t>
  </si>
  <si>
    <t>yara1251</t>
  </si>
  <si>
    <t>Yarahuuraxi-Capanapara</t>
  </si>
  <si>
    <t>Yarawata-Parawen-Ukuriguma</t>
  </si>
  <si>
    <t>Yaraldi-Keramin-Yitha</t>
  </si>
  <si>
    <t>yara1254</t>
  </si>
  <si>
    <t>Yaraldi</t>
  </si>
  <si>
    <t>yard1234</t>
  </si>
  <si>
    <t>Yardliyawarra</t>
  </si>
  <si>
    <t>yxl</t>
  </si>
  <si>
    <t>yare1248</t>
  </si>
  <si>
    <t>Yareba</t>
  </si>
  <si>
    <t>yrb</t>
  </si>
  <si>
    <t>yare1249</t>
  </si>
  <si>
    <t>Yareni Zapotec</t>
  </si>
  <si>
    <t>zae</t>
  </si>
  <si>
    <t>Yareban</t>
  </si>
  <si>
    <t>Yareba-Bariji-Nawaru</t>
  </si>
  <si>
    <t>yari1235</t>
  </si>
  <si>
    <t>Yar√≠</t>
  </si>
  <si>
    <t>yri</t>
  </si>
  <si>
    <t>yari1242</t>
  </si>
  <si>
    <t>Yari</t>
  </si>
  <si>
    <t>yari1243</t>
  </si>
  <si>
    <t>Yari-Yari</t>
  </si>
  <si>
    <t>yark1238</t>
  </si>
  <si>
    <t>Yarkhun</t>
  </si>
  <si>
    <t>Yarli</t>
  </si>
  <si>
    <t>Yarli-Baagandji</t>
  </si>
  <si>
    <t>yarl1238</t>
  </si>
  <si>
    <t>Yarluyandi</t>
  </si>
  <si>
    <t>yry</t>
  </si>
  <si>
    <t>yaro1235</t>
  </si>
  <si>
    <t>Yaroame</t>
  </si>
  <si>
    <t>yro</t>
  </si>
  <si>
    <t>yars1234</t>
  </si>
  <si>
    <t>Yarsun</t>
  </si>
  <si>
    <t>yrs</t>
  </si>
  <si>
    <t>yaru1254</t>
  </si>
  <si>
    <t>Yarumarra</t>
  </si>
  <si>
    <t>yaru1255</t>
  </si>
  <si>
    <t>Yarum√°</t>
  </si>
  <si>
    <t>Yaru Quechua</t>
  </si>
  <si>
    <t>yaru1257</t>
  </si>
  <si>
    <t>Yaru</t>
  </si>
  <si>
    <t>yaru1258</t>
  </si>
  <si>
    <t>Yaruma</t>
  </si>
  <si>
    <t>Yasa-Kombe</t>
  </si>
  <si>
    <t>Yasa</t>
  </si>
  <si>
    <t>yko</t>
  </si>
  <si>
    <t>yasi1237</t>
  </si>
  <si>
    <t>Yasin</t>
  </si>
  <si>
    <t>yasi1244</t>
  </si>
  <si>
    <t>Yasin (Indo-European)</t>
  </si>
  <si>
    <t>yasi1245</t>
  </si>
  <si>
    <t>Yasile</t>
  </si>
  <si>
    <t>yaso1238</t>
  </si>
  <si>
    <t>Yaso</t>
  </si>
  <si>
    <t>yass1240</t>
  </si>
  <si>
    <t>Yassuku</t>
  </si>
  <si>
    <t>yass1241</t>
  </si>
  <si>
    <t>Yassum</t>
  </si>
  <si>
    <t>yasu1238</t>
  </si>
  <si>
    <t>Yasuji</t>
  </si>
  <si>
    <t>yate1241</t>
  </si>
  <si>
    <t>Yat√™</t>
  </si>
  <si>
    <t>yate1242</t>
  </si>
  <si>
    <t>Yatee Zapotec</t>
  </si>
  <si>
    <t>zty</t>
  </si>
  <si>
    <t>yati1238</t>
  </si>
  <si>
    <t>Yatini</t>
  </si>
  <si>
    <t>yats1234</t>
  </si>
  <si>
    <t>Yatsi</t>
  </si>
  <si>
    <t>yatu1237</t>
  </si>
  <si>
    <t>Ya-Tuka</t>
  </si>
  <si>
    <t>Yatye-Akpa</t>
  </si>
  <si>
    <t>yatz1235</t>
  </si>
  <si>
    <t>Yatzachi Zapotec</t>
  </si>
  <si>
    <t>zav</t>
  </si>
  <si>
    <t>Ulwa (Papua New Guinea)</t>
  </si>
  <si>
    <t>yla</t>
  </si>
  <si>
    <t>Yau (Morobe Province)</t>
  </si>
  <si>
    <t>yuw</t>
  </si>
  <si>
    <t>yaum1238</t>
  </si>
  <si>
    <t>Yauma</t>
  </si>
  <si>
    <t>yax</t>
  </si>
  <si>
    <t>Yaunde-Fang (A.70)</t>
  </si>
  <si>
    <t>yaur1239</t>
  </si>
  <si>
    <t>Yaur</t>
  </si>
  <si>
    <t>jau</t>
  </si>
  <si>
    <t>Yaur-Yerisiam</t>
  </si>
  <si>
    <t>yaur1241</t>
  </si>
  <si>
    <t>Yauru</t>
  </si>
  <si>
    <t>yaus1235</t>
  </si>
  <si>
    <t>yauy1236</t>
  </si>
  <si>
    <t>Yau (Sandaun Province)</t>
  </si>
  <si>
    <t>yyu</t>
  </si>
  <si>
    <t>yaut1235</t>
  </si>
  <si>
    <t>Yautepec Zapotec</t>
  </si>
  <si>
    <t>zpb</t>
  </si>
  <si>
    <t>Huangascar-Topara-Yauyos Quechua</t>
  </si>
  <si>
    <t>qux</t>
  </si>
  <si>
    <t>Yau-Yis</t>
  </si>
  <si>
    <t>yava1251</t>
  </si>
  <si>
    <t>Yavatmal</t>
  </si>
  <si>
    <t>yava1252</t>
  </si>
  <si>
    <t>Yavapai</t>
  </si>
  <si>
    <t>yavi1244</t>
  </si>
  <si>
    <t>Yavitero</t>
  </si>
  <si>
    <t>yvt</t>
  </si>
  <si>
    <t>yawa1258</t>
  </si>
  <si>
    <t>Yawarawarga</t>
  </si>
  <si>
    <t>yww</t>
  </si>
  <si>
    <t>Yawa-Saweru</t>
  </si>
  <si>
    <t>yawa1260</t>
  </si>
  <si>
    <t>Yawanawa</t>
  </si>
  <si>
    <t>ywn</t>
  </si>
  <si>
    <t>Yawalapit√≠</t>
  </si>
  <si>
    <t>yaw</t>
  </si>
  <si>
    <t>Yawaperi</t>
  </si>
  <si>
    <t>yawd1234</t>
  </si>
  <si>
    <t>Yawdanchi</t>
  </si>
  <si>
    <t>yawe1241</t>
  </si>
  <si>
    <t>Yaweyuha</t>
  </si>
  <si>
    <t>yby</t>
  </si>
  <si>
    <t>yawi1238</t>
  </si>
  <si>
    <t>Yawiyo</t>
  </si>
  <si>
    <t>ybx</t>
  </si>
  <si>
    <t>yawi1239</t>
  </si>
  <si>
    <t>Yawijibaya</t>
  </si>
  <si>
    <t>jbw</t>
  </si>
  <si>
    <t>yawu1237</t>
  </si>
  <si>
    <t>Yawu</t>
  </si>
  <si>
    <t>Yawuric</t>
  </si>
  <si>
    <t>Yawuru</t>
  </si>
  <si>
    <t>ywr</t>
  </si>
  <si>
    <t>yaww1238</t>
  </si>
  <si>
    <t>Yaw</t>
  </si>
  <si>
    <t>yayg1236</t>
  </si>
  <si>
    <t>Yaygir</t>
  </si>
  <si>
    <t>xya</t>
  </si>
  <si>
    <t>yazd1240</t>
  </si>
  <si>
    <t>Yazdi</t>
  </si>
  <si>
    <t>Yazdi-Kermani-Nayini</t>
  </si>
  <si>
    <t>Yazgulyam</t>
  </si>
  <si>
    <t>yah</t>
  </si>
  <si>
    <t>yazo1238</t>
  </si>
  <si>
    <t>Yazori</t>
  </si>
  <si>
    <t>yeci1238</t>
  </si>
  <si>
    <t>Yeci</t>
  </si>
  <si>
    <t>yecu1235</t>
  </si>
  <si>
    <t>Yecuatla Totonac</t>
  </si>
  <si>
    <t>tlc</t>
  </si>
  <si>
    <t>yeee1239</t>
  </si>
  <si>
    <t>Ye</t>
  </si>
  <si>
    <t>yeei1238</t>
  </si>
  <si>
    <t>Yeei</t>
  </si>
  <si>
    <t>yega1243</t>
  </si>
  <si>
    <t>Yega</t>
  </si>
  <si>
    <t>yegh1238</t>
  </si>
  <si>
    <t>Yeghe</t>
  </si>
  <si>
    <t>Yei</t>
  </si>
  <si>
    <t>jei</t>
  </si>
  <si>
    <t>yeji1238</t>
  </si>
  <si>
    <t>Yeji</t>
  </si>
  <si>
    <t>Yekhee</t>
  </si>
  <si>
    <t>ets</t>
  </si>
  <si>
    <t>yeko1240</t>
  </si>
  <si>
    <t>Yekora</t>
  </si>
  <si>
    <t>ykr</t>
  </si>
  <si>
    <t>Yela-Kela</t>
  </si>
  <si>
    <t>yel</t>
  </si>
  <si>
    <t>yela1239</t>
  </si>
  <si>
    <t>Yela (Democratic Republic of Congo)</t>
  </si>
  <si>
    <t>yele1238</t>
  </si>
  <si>
    <t>Yelelihre</t>
  </si>
  <si>
    <t>Yele</t>
  </si>
  <si>
    <t>yle</t>
  </si>
  <si>
    <t>yeli1239</t>
  </si>
  <si>
    <t>Yelinda</t>
  </si>
  <si>
    <t>Yellow River</t>
  </si>
  <si>
    <t>yelm1242</t>
  </si>
  <si>
    <t>Yelmek</t>
  </si>
  <si>
    <t>jel</t>
  </si>
  <si>
    <t>yelo1242</t>
  </si>
  <si>
    <t>Yelong</t>
  </si>
  <si>
    <t>yelo1243</t>
  </si>
  <si>
    <t>Yalaku</t>
  </si>
  <si>
    <t>ylg</t>
  </si>
  <si>
    <t>yemb1245</t>
  </si>
  <si>
    <t>Yembana</t>
  </si>
  <si>
    <t>Yemba</t>
  </si>
  <si>
    <t>ybb</t>
  </si>
  <si>
    <t>yeme1237</t>
  </si>
  <si>
    <t>Yemeni Sign Language</t>
  </si>
  <si>
    <t>Yemsa</t>
  </si>
  <si>
    <t>jnj</t>
  </si>
  <si>
    <t>yend1240</t>
  </si>
  <si>
    <t>Yendang (Retired)</t>
  </si>
  <si>
    <t>yen</t>
  </si>
  <si>
    <t>Yendang</t>
  </si>
  <si>
    <t>ynq</t>
  </si>
  <si>
    <t>yeng1244</t>
  </si>
  <si>
    <t>Yengono</t>
  </si>
  <si>
    <t>yeni1236</t>
  </si>
  <si>
    <t>Yeniche</t>
  </si>
  <si>
    <t>yec</t>
  </si>
  <si>
    <t>AT CH DE FR NL</t>
  </si>
  <si>
    <t>Yenisey Turkic</t>
  </si>
  <si>
    <t>Yeniseian</t>
  </si>
  <si>
    <t>yeni1253</t>
  </si>
  <si>
    <t>Yeni</t>
  </si>
  <si>
    <t>yei</t>
  </si>
  <si>
    <t>Yenisei-East Siberian Turkic</t>
  </si>
  <si>
    <t>yera1243</t>
  </si>
  <si>
    <t>Yerakai</t>
  </si>
  <si>
    <t>yra</t>
  </si>
  <si>
    <t>yere1242</t>
  </si>
  <si>
    <t>Yerevan</t>
  </si>
  <si>
    <t>yere1243</t>
  </si>
  <si>
    <t>Yeretuar</t>
  </si>
  <si>
    <t>gop</t>
  </si>
  <si>
    <t>yerg1242</t>
  </si>
  <si>
    <t>Yergyuch</t>
  </si>
  <si>
    <t>yerg1243</t>
  </si>
  <si>
    <t>Yergyudzh</t>
  </si>
  <si>
    <t>yeri1239</t>
  </si>
  <si>
    <t>Yeri Waali</t>
  </si>
  <si>
    <t>yerj1238</t>
  </si>
  <si>
    <t>Yerjungkhu Boli</t>
  </si>
  <si>
    <t>yero1238</t>
  </si>
  <si>
    <t>Yerong-Southern Buyang</t>
  </si>
  <si>
    <t>yrn</t>
  </si>
  <si>
    <t>Yerukula</t>
  </si>
  <si>
    <t>yeu</t>
  </si>
  <si>
    <t>yeru1241</t>
  </si>
  <si>
    <t>Yeru</t>
  </si>
  <si>
    <t>Yerukula-Korava-Kaikadi</t>
  </si>
  <si>
    <t>yerw1238</t>
  </si>
  <si>
    <t>Yerwa</t>
  </si>
  <si>
    <t>Yeskwa</t>
  </si>
  <si>
    <t>Yessan-Mayo</t>
  </si>
  <si>
    <t>yss</t>
  </si>
  <si>
    <t>yetf1238</t>
  </si>
  <si>
    <t>Yetfa</t>
  </si>
  <si>
    <t>yet</t>
  </si>
  <si>
    <t>yeva1238</t>
  </si>
  <si>
    <t>Yevanic</t>
  </si>
  <si>
    <t>yej</t>
  </si>
  <si>
    <t>IL US</t>
  </si>
  <si>
    <t>yewe1238</t>
  </si>
  <si>
    <t>Yewena-Yongsu</t>
  </si>
  <si>
    <t>yewu1238</t>
  </si>
  <si>
    <t>Yewu</t>
  </si>
  <si>
    <t>Yeyi</t>
  </si>
  <si>
    <t>yey</t>
  </si>
  <si>
    <t>yezh1234</t>
  </si>
  <si>
    <t>Yezhi</t>
  </si>
  <si>
    <t>yidd1241</t>
  </si>
  <si>
    <t>Yiddish Sign Language</t>
  </si>
  <si>
    <t>yds</t>
  </si>
  <si>
    <t>Yiddish</t>
  </si>
  <si>
    <t>yid</t>
  </si>
  <si>
    <t>Yidgha-Munja</t>
  </si>
  <si>
    <t>yidg1240</t>
  </si>
  <si>
    <t>Yidgha</t>
  </si>
  <si>
    <t>ydg</t>
  </si>
  <si>
    <t>Yidinic</t>
  </si>
  <si>
    <t>Yidi√±</t>
  </si>
  <si>
    <t>yii</t>
  </si>
  <si>
    <t>yidi1251</t>
  </si>
  <si>
    <t>Yidinich</t>
  </si>
  <si>
    <t>yiid1234</t>
  </si>
  <si>
    <t>Yii Dan</t>
  </si>
  <si>
    <t>yila1234</t>
  </si>
  <si>
    <t>Yilan Creole Japanese</t>
  </si>
  <si>
    <t>yili1247</t>
  </si>
  <si>
    <t>Yi-Liu</t>
  </si>
  <si>
    <t>yili1248</t>
  </si>
  <si>
    <t>Yili</t>
  </si>
  <si>
    <t>yili1249</t>
  </si>
  <si>
    <t>Yiligele</t>
  </si>
  <si>
    <t>yill1241</t>
  </si>
  <si>
    <t>Yil</t>
  </si>
  <si>
    <t>yll</t>
  </si>
  <si>
    <t>yima1235</t>
  </si>
  <si>
    <t>yima1247</t>
  </si>
  <si>
    <t>Yimas-Alamblak-Pidgin</t>
  </si>
  <si>
    <t>yima1243</t>
  </si>
  <si>
    <t>Yimas</t>
  </si>
  <si>
    <t>yee</t>
  </si>
  <si>
    <t>yima1244</t>
  </si>
  <si>
    <t>Yimas-Arafundi-Pidgin</t>
  </si>
  <si>
    <t>yima1245</t>
  </si>
  <si>
    <t>Yimas-Karawari Pidgin</t>
  </si>
  <si>
    <t>yima1246</t>
  </si>
  <si>
    <t>Yimas-Iatmul Pidgin</t>
  </si>
  <si>
    <t>Yimas-based pidgin</t>
  </si>
  <si>
    <t>Yimchingric</t>
  </si>
  <si>
    <t>Yimchungru Naga</t>
  </si>
  <si>
    <t>yim</t>
  </si>
  <si>
    <t>yimc1241</t>
  </si>
  <si>
    <t>Yimchungru</t>
  </si>
  <si>
    <t>Yimidhirr-Yalanji-Yidinic</t>
  </si>
  <si>
    <t>Yimin-Bel</t>
  </si>
  <si>
    <t>yinb1236</t>
  </si>
  <si>
    <t>Yinbaw Karen</t>
  </si>
  <si>
    <t>kvu</t>
  </si>
  <si>
    <t>yinc1238</t>
  </si>
  <si>
    <t>Yinchia</t>
  </si>
  <si>
    <t>yin</t>
  </si>
  <si>
    <t>yinc1239</t>
  </si>
  <si>
    <t>Yinchuan Mandarin</t>
  </si>
  <si>
    <t>yind1246</t>
  </si>
  <si>
    <t>Yindi</t>
  </si>
  <si>
    <t>yind1247</t>
  </si>
  <si>
    <t>Yindjibarndi</t>
  </si>
  <si>
    <t>yij</t>
  </si>
  <si>
    <t>yind1248</t>
  </si>
  <si>
    <t>Yindjilandji</t>
  </si>
  <si>
    <t>yil</t>
  </si>
  <si>
    <t>Yindjibarndi-Kurrama</t>
  </si>
  <si>
    <t>Yine</t>
  </si>
  <si>
    <t>pib</t>
  </si>
  <si>
    <t>Yineic</t>
  </si>
  <si>
    <t>ying1246</t>
  </si>
  <si>
    <t>Ying-Yi</t>
  </si>
  <si>
    <t>Yinggarda</t>
  </si>
  <si>
    <t>yia</t>
  </si>
  <si>
    <t>ying1248</t>
  </si>
  <si>
    <t>Yinglish</t>
  </si>
  <si>
    <t>yib</t>
  </si>
  <si>
    <t>ying1249</t>
  </si>
  <si>
    <t>Yingshan Mandarin</t>
  </si>
  <si>
    <t>yinh1234</t>
  </si>
  <si>
    <t>Yinhawangka</t>
  </si>
  <si>
    <t>ywg</t>
  </si>
  <si>
    <t>yint1235</t>
  </si>
  <si>
    <t>Yintale Karen</t>
  </si>
  <si>
    <t>kvy</t>
  </si>
  <si>
    <t>yinu1238</t>
  </si>
  <si>
    <t>Yinuo Yi</t>
  </si>
  <si>
    <t>yinw1236</t>
  </si>
  <si>
    <t>Yinwum</t>
  </si>
  <si>
    <t>yxm</t>
  </si>
  <si>
    <t>yira1239</t>
  </si>
  <si>
    <t>Yirandhali</t>
  </si>
  <si>
    <t>ljw</t>
  </si>
  <si>
    <t>yira1240</t>
  </si>
  <si>
    <t>Yira</t>
  </si>
  <si>
    <t>yira1241</t>
  </si>
  <si>
    <t>Yirawirung</t>
  </si>
  <si>
    <t>Yir-Yoront</t>
  </si>
  <si>
    <t>yiy</t>
  </si>
  <si>
    <t>yiry1246</t>
  </si>
  <si>
    <t>Yiryo</t>
  </si>
  <si>
    <t>yish1238</t>
  </si>
  <si>
    <t>Yishengzha Yi</t>
  </si>
  <si>
    <t>yiss1240</t>
  </si>
  <si>
    <t>Yis</t>
  </si>
  <si>
    <t>yis</t>
  </si>
  <si>
    <t>yith1234</t>
  </si>
  <si>
    <t>Yitha Yitha</t>
  </si>
  <si>
    <t>xth</t>
  </si>
  <si>
    <t>yiwo1237</t>
  </si>
  <si>
    <t>Yiwom</t>
  </si>
  <si>
    <t>gek</t>
  </si>
  <si>
    <t>yixi1234</t>
  </si>
  <si>
    <t>Yixian</t>
  </si>
  <si>
    <t>yiyu1234</t>
  </si>
  <si>
    <t>Yi-Yuan</t>
  </si>
  <si>
    <t>yizu1234</t>
  </si>
  <si>
    <t>Yizue</t>
  </si>
  <si>
    <t>yoan1239</t>
  </si>
  <si>
    <t>Yoangen</t>
  </si>
  <si>
    <t>yoba1237</t>
  </si>
  <si>
    <t>Yoba</t>
  </si>
  <si>
    <t>yob</t>
  </si>
  <si>
    <t>Yocobou√© Dida</t>
  </si>
  <si>
    <t>gud</t>
  </si>
  <si>
    <t>yofo1238</t>
  </si>
  <si>
    <t>Yofo</t>
  </si>
  <si>
    <t>yoga1237</t>
  </si>
  <si>
    <t>Yogad</t>
  </si>
  <si>
    <t>yog</t>
  </si>
  <si>
    <t>yogl1238</t>
  </si>
  <si>
    <t>Yogli</t>
  </si>
  <si>
    <t>yogy1234</t>
  </si>
  <si>
    <t>Yogyakarta Sign Language</t>
  </si>
  <si>
    <t>yoho1239</t>
  </si>
  <si>
    <t>Yohoraa</t>
  </si>
  <si>
    <t>yoid1240</t>
  </si>
  <si>
    <t>Yoidik</t>
  </si>
  <si>
    <t>ydk</t>
  </si>
  <si>
    <t>yoka1242</t>
  </si>
  <si>
    <t>Yokan</t>
  </si>
  <si>
    <t>yoka1243</t>
  </si>
  <si>
    <t>Yokari</t>
  </si>
  <si>
    <t>yoke1238</t>
  </si>
  <si>
    <t>Yoke</t>
  </si>
  <si>
    <t>yki</t>
  </si>
  <si>
    <t>Yoke-Pauwi</t>
  </si>
  <si>
    <t>yoko1234</t>
  </si>
  <si>
    <t>Yokohama Pidgin</t>
  </si>
  <si>
    <t>yoku1254</t>
  </si>
  <si>
    <t>Yoku</t>
  </si>
  <si>
    <t>Yokutsan</t>
  </si>
  <si>
    <t>Northern Yokuts</t>
  </si>
  <si>
    <t>yok</t>
  </si>
  <si>
    <t>yola1237</t>
  </si>
  <si>
    <t>Yola</t>
  </si>
  <si>
    <t>yol</t>
  </si>
  <si>
    <t>Yolmo-Kagate</t>
  </si>
  <si>
    <t>yoln1234</t>
  </si>
  <si>
    <t>Yolngu Sign Language</t>
  </si>
  <si>
    <t>ygs</t>
  </si>
  <si>
    <t>yolo1240</t>
  </si>
  <si>
    <t>Yolox Chinanteco</t>
  </si>
  <si>
    <t>yolo1241</t>
  </si>
  <si>
    <t>Yoloxochitl Mixtec</t>
  </si>
  <si>
    <t>xty</t>
  </si>
  <si>
    <t>Yombe</t>
  </si>
  <si>
    <t>yom</t>
  </si>
  <si>
    <t>yomb1245</t>
  </si>
  <si>
    <t>Yombe (Tumbuka)</t>
  </si>
  <si>
    <t>yomb1246</t>
  </si>
  <si>
    <t>Yombiro Lele</t>
  </si>
  <si>
    <t>yomm1242</t>
  </si>
  <si>
    <t>Yom</t>
  </si>
  <si>
    <t>pil</t>
  </si>
  <si>
    <t>yomm1243</t>
  </si>
  <si>
    <t>Yom (Bedjond)</t>
  </si>
  <si>
    <t>Yom-Nawdm</t>
  </si>
  <si>
    <t>yomu1239</t>
  </si>
  <si>
    <t>Yomud</t>
  </si>
  <si>
    <t>yona1240</t>
  </si>
  <si>
    <t>Yonago-ben</t>
  </si>
  <si>
    <t>yona1241</t>
  </si>
  <si>
    <t>Yonaguni</t>
  </si>
  <si>
    <t>yoi</t>
  </si>
  <si>
    <t>yonc1234</t>
  </si>
  <si>
    <t>Yoncalla</t>
  </si>
  <si>
    <t>sxk</t>
  </si>
  <si>
    <t>yone1237</t>
  </si>
  <si>
    <t>Yonezawa</t>
  </si>
  <si>
    <t>yong1270</t>
  </si>
  <si>
    <t>Yongning Na</t>
  </si>
  <si>
    <t>nru</t>
  </si>
  <si>
    <t>yong1271</t>
  </si>
  <si>
    <t>Yongyasha</t>
  </si>
  <si>
    <t>yong1272</t>
  </si>
  <si>
    <t>Yongkuk</t>
  </si>
  <si>
    <t>Yongjiang</t>
  </si>
  <si>
    <t>yong1274</t>
  </si>
  <si>
    <t>Yongnan-Yongbei</t>
  </si>
  <si>
    <t>yong1275</t>
  </si>
  <si>
    <t>Yongnan Zhuang</t>
  </si>
  <si>
    <t>zyn</t>
  </si>
  <si>
    <t>yong1276</t>
  </si>
  <si>
    <t>Yongbei Zhuang</t>
  </si>
  <si>
    <t>zyb</t>
  </si>
  <si>
    <t>yong1277</t>
  </si>
  <si>
    <t>Yong</t>
  </si>
  <si>
    <t>yno</t>
  </si>
  <si>
    <t>yong1278</t>
  </si>
  <si>
    <t>Yongren</t>
  </si>
  <si>
    <t>yong1279</t>
  </si>
  <si>
    <t>Yongo</t>
  </si>
  <si>
    <t>yong1280</t>
  </si>
  <si>
    <t>Yonggom</t>
  </si>
  <si>
    <t>yon</t>
  </si>
  <si>
    <t>yong1281</t>
  </si>
  <si>
    <t>Yongomugi</t>
  </si>
  <si>
    <t>yong1282</t>
  </si>
  <si>
    <t>Yongolei</t>
  </si>
  <si>
    <t>yong1283</t>
  </si>
  <si>
    <t>Yonggu Biao</t>
  </si>
  <si>
    <t>yong1284</t>
  </si>
  <si>
    <t>Yongding</t>
  </si>
  <si>
    <t>Yong-Quan</t>
  </si>
  <si>
    <t>yong1286</t>
  </si>
  <si>
    <t>Yongxun</t>
  </si>
  <si>
    <t>yong1287</t>
  </si>
  <si>
    <t>Yonghe Qiang</t>
  </si>
  <si>
    <t>yoni1238</t>
  </si>
  <si>
    <t>Yoni</t>
  </si>
  <si>
    <t>yoom1238</t>
  </si>
  <si>
    <t>Yoombe</t>
  </si>
  <si>
    <t>yoon1234</t>
  </si>
  <si>
    <t>Yoon Dan</t>
  </si>
  <si>
    <t>yooo1238</t>
  </si>
  <si>
    <t>Yoo</t>
  </si>
  <si>
    <t>Yopno</t>
  </si>
  <si>
    <t>yut</t>
  </si>
  <si>
    <t>yora1241</t>
  </si>
  <si>
    <t>Yora</t>
  </si>
  <si>
    <t>mts</t>
  </si>
  <si>
    <t>yori1237</t>
  </si>
  <si>
    <t>Yori</t>
  </si>
  <si>
    <t>yorn1234</t>
  </si>
  <si>
    <t>Yorno So</t>
  </si>
  <si>
    <t>yoro1242</t>
  </si>
  <si>
    <t>Yoro</t>
  </si>
  <si>
    <t>yoro1243</t>
  </si>
  <si>
    <t>Yoron</t>
  </si>
  <si>
    <t>yox</t>
  </si>
  <si>
    <t>Yorta Yorta</t>
  </si>
  <si>
    <t>xyy</t>
  </si>
  <si>
    <t>Yoruboid</t>
  </si>
  <si>
    <t>Yoruba</t>
  </si>
  <si>
    <t>yoru1246</t>
  </si>
  <si>
    <t>Yoruba Sign Language</t>
  </si>
  <si>
    <t>yosa1234</t>
  </si>
  <si>
    <t>Yos</t>
  </si>
  <si>
    <t>yos</t>
  </si>
  <si>
    <t>yoso1238</t>
  </si>
  <si>
    <t>Yoso√±ama</t>
  </si>
  <si>
    <t>yoso1239</t>
  </si>
  <si>
    <t>Yosond√∫a Mixtec</t>
  </si>
  <si>
    <t>mpm</t>
  </si>
  <si>
    <t>yott1234</t>
  </si>
  <si>
    <t>Yotti</t>
  </si>
  <si>
    <t>yot</t>
  </si>
  <si>
    <t>youg1234</t>
  </si>
  <si>
    <t>Youga So</t>
  </si>
  <si>
    <t>youj1238</t>
  </si>
  <si>
    <t>Youjiang Zhuang</t>
  </si>
  <si>
    <t>zyj</t>
  </si>
  <si>
    <t>youl1235</t>
  </si>
  <si>
    <t>Youle Jinuo</t>
  </si>
  <si>
    <t>jiu</t>
  </si>
  <si>
    <t>youn1235</t>
  </si>
  <si>
    <t>Younuo Bunu</t>
  </si>
  <si>
    <t>buh</t>
  </si>
  <si>
    <t>yout1234</t>
  </si>
  <si>
    <t>Yout Wam</t>
  </si>
  <si>
    <t>ytw</t>
  </si>
  <si>
    <t>yoyy1238</t>
  </si>
  <si>
    <t>Yoy</t>
  </si>
  <si>
    <t>yoy</t>
  </si>
  <si>
    <t>yoza1238</t>
  </si>
  <si>
    <t>Yoza</t>
  </si>
  <si>
    <t>yozg1234</t>
  </si>
  <si>
    <t>Yozgat</t>
  </si>
  <si>
    <t>yrap1237</t>
  </si>
  <si>
    <t>Yrapa</t>
  </si>
  <si>
    <t>yrep1238</t>
  </si>
  <si>
    <t>Yrepo</t>
  </si>
  <si>
    <t>yrew1238</t>
  </si>
  <si>
    <t>Yrewe</t>
  </si>
  <si>
    <t>Yuaga</t>
  </si>
  <si>
    <t>nua</t>
  </si>
  <si>
    <t>yuan1241</t>
  </si>
  <si>
    <t>Yuan</t>
  </si>
  <si>
    <t>yuan1242</t>
  </si>
  <si>
    <t>Yuanjiang-Mojiang Yi</t>
  </si>
  <si>
    <t>yym</t>
  </si>
  <si>
    <t>yuan1243</t>
  </si>
  <si>
    <t>Yuanling</t>
  </si>
  <si>
    <t>Yuat</t>
  </si>
  <si>
    <t>yuca1236</t>
  </si>
  <si>
    <t>Yucatec Maya Sign Language</t>
  </si>
  <si>
    <t>msd</t>
  </si>
  <si>
    <t>Yucatecan</t>
  </si>
  <si>
    <t>Yucatec-Lacandon</t>
  </si>
  <si>
    <t>Yucatec Maya</t>
  </si>
  <si>
    <t>BZ GT MX</t>
  </si>
  <si>
    <t>yuch1247</t>
  </si>
  <si>
    <t>Yuchi</t>
  </si>
  <si>
    <t>yuc</t>
  </si>
  <si>
    <t>yuci1234</t>
  </si>
  <si>
    <t>Yuci Mandarin</t>
  </si>
  <si>
    <t>yucu1249</t>
  </si>
  <si>
    <t>Yucuhiti</t>
  </si>
  <si>
    <t>yucu1250</t>
  </si>
  <si>
    <t>Yucua√±e Mixtec</t>
  </si>
  <si>
    <t>mvg</t>
  </si>
  <si>
    <t>yucu1251</t>
  </si>
  <si>
    <t>Yucu √ëuti</t>
  </si>
  <si>
    <t>Yucunic</t>
  </si>
  <si>
    <t>yucu1253</t>
  </si>
  <si>
    <t>Yucuna</t>
  </si>
  <si>
    <t>ycn</t>
  </si>
  <si>
    <t>yueb1238</t>
  </si>
  <si>
    <t>Yuebei</t>
  </si>
  <si>
    <t>Yue Chinese</t>
  </si>
  <si>
    <t>yue</t>
  </si>
  <si>
    <t>Yuehai</t>
  </si>
  <si>
    <t>Yue-Pinghua</t>
  </si>
  <si>
    <t>yuet1238</t>
  </si>
  <si>
    <t>Meixian</t>
  </si>
  <si>
    <t>yuey1234</t>
  </si>
  <si>
    <t>Yueyang</t>
  </si>
  <si>
    <t>yuez1238</t>
  </si>
  <si>
    <t>Yuezhong</t>
  </si>
  <si>
    <t>Yugambalic</t>
  </si>
  <si>
    <t>Yugambal-Bigambal</t>
  </si>
  <si>
    <t>yuga1244</t>
  </si>
  <si>
    <t>Yugambal</t>
  </si>
  <si>
    <t>yub</t>
  </si>
  <si>
    <t>yugh1239</t>
  </si>
  <si>
    <t>Yugh</t>
  </si>
  <si>
    <t>yug</t>
  </si>
  <si>
    <t>yugh1240</t>
  </si>
  <si>
    <t>Yugh (Retired)</t>
  </si>
  <si>
    <t>yuu</t>
  </si>
  <si>
    <t>yugo1238</t>
  </si>
  <si>
    <t>Yugoslavian Sign Language</t>
  </si>
  <si>
    <t>ysl</t>
  </si>
  <si>
    <t>RS SI</t>
  </si>
  <si>
    <t>Yugoslav Sign</t>
  </si>
  <si>
    <t>yugu1248</t>
  </si>
  <si>
    <t>Yugui</t>
  </si>
  <si>
    <t>yugu1249</t>
  </si>
  <si>
    <t>Yugumbir</t>
  </si>
  <si>
    <t>yugu1250</t>
  </si>
  <si>
    <t>Yugul</t>
  </si>
  <si>
    <t>ygu</t>
  </si>
  <si>
    <t>yuhu1238</t>
  </si>
  <si>
    <t>Yuhup</t>
  </si>
  <si>
    <t>yab</t>
  </si>
  <si>
    <t>Yuin</t>
  </si>
  <si>
    <t>Yuin-Kuri</t>
  </si>
  <si>
    <t>yuka1240</t>
  </si>
  <si>
    <t>Yukaghir Omok</t>
  </si>
  <si>
    <t>omk</t>
  </si>
  <si>
    <t>Yuki-Wappo</t>
  </si>
  <si>
    <t>yuki1243</t>
  </si>
  <si>
    <t>Yuki</t>
  </si>
  <si>
    <t>yuk</t>
  </si>
  <si>
    <t>Yukpa</t>
  </si>
  <si>
    <t>Opon-Yukpan</t>
  </si>
  <si>
    <t>Yukpan</t>
  </si>
  <si>
    <t>yuku1243</t>
  </si>
  <si>
    <t>Yukuben</t>
  </si>
  <si>
    <t>ybl</t>
  </si>
  <si>
    <t>Yukubenic</t>
  </si>
  <si>
    <t>yulp1238</t>
  </si>
  <si>
    <t>Yulparitja</t>
  </si>
  <si>
    <t>yulp1239</t>
  </si>
  <si>
    <t>Yulparija</t>
  </si>
  <si>
    <t>Yulu</t>
  </si>
  <si>
    <t>yul</t>
  </si>
  <si>
    <t>Yuman</t>
  </si>
  <si>
    <t>Yungur-Voro</t>
  </si>
  <si>
    <t>yung1255</t>
  </si>
  <si>
    <t>Yunguillo-Condagua</t>
  </si>
  <si>
    <t>yung1256</t>
  </si>
  <si>
    <t>Yungay</t>
  </si>
  <si>
    <t>yunl1238</t>
  </si>
  <si>
    <t>Yunlong</t>
  </si>
  <si>
    <t>Yupik</t>
  </si>
  <si>
    <t>Yupna</t>
  </si>
  <si>
    <t>Yupua-Siriano-Desano</t>
  </si>
  <si>
    <t>yupu1235</t>
  </si>
  <si>
    <t>Yuputhimri</t>
  </si>
  <si>
    <t>yuqu1240</t>
  </si>
  <si>
    <t>Yuqui</t>
  </si>
  <si>
    <t>yuq</t>
  </si>
  <si>
    <t>Yuracar√©</t>
  </si>
  <si>
    <t>yuz</t>
  </si>
  <si>
    <t>yuri1250</t>
  </si>
  <si>
    <t>Yuri</t>
  </si>
  <si>
    <t>yurm1239</t>
  </si>
  <si>
    <t>Yurmaty</t>
  </si>
  <si>
    <t>Yurok</t>
  </si>
  <si>
    <t>yurt1234</t>
  </si>
  <si>
    <t>Yurt Tatar</t>
  </si>
  <si>
    <t>yuru1243</t>
  </si>
  <si>
    <t>Yurumangu√≠</t>
  </si>
  <si>
    <t>yuru1260</t>
  </si>
  <si>
    <t>Y√ºr√ºk</t>
  </si>
  <si>
    <t>yuru1261</t>
  </si>
  <si>
    <t>Yuruk</t>
  </si>
  <si>
    <t>Yuruna</t>
  </si>
  <si>
    <t>yuru1263</t>
  </si>
  <si>
    <t>Yurut√≠</t>
  </si>
  <si>
    <t>yui</t>
  </si>
  <si>
    <t>yuru1264</t>
  </si>
  <si>
    <t>Yuru</t>
  </si>
  <si>
    <t>ljx</t>
  </si>
  <si>
    <t>yusu1238</t>
  </si>
  <si>
    <t>Yusufzai</t>
  </si>
  <si>
    <t>yuta1239</t>
  </si>
  <si>
    <t>Yuta</t>
  </si>
  <si>
    <t>yuta1240</t>
  </si>
  <si>
    <t>Yutanduchi Mixtec</t>
  </si>
  <si>
    <t>mab</t>
  </si>
  <si>
    <t>Yuulngu</t>
  </si>
  <si>
    <t>yuuu1238</t>
  </si>
  <si>
    <t>Yu</t>
  </si>
  <si>
    <t>yuuy1234</t>
  </si>
  <si>
    <t>Yuu-Yuu</t>
  </si>
  <si>
    <t>yxu</t>
  </si>
  <si>
    <t>yuwa1242</t>
  </si>
  <si>
    <t>Yuwaalaraay</t>
  </si>
  <si>
    <t>yuwa1243</t>
  </si>
  <si>
    <t>Yuwaalayaay</t>
  </si>
  <si>
    <t>yuwa1244</t>
  </si>
  <si>
    <t>Hoti</t>
  </si>
  <si>
    <t>yau</t>
  </si>
  <si>
    <t>zaaa1238</t>
  </si>
  <si>
    <t>Zaa</t>
  </si>
  <si>
    <t>zaac1238</t>
  </si>
  <si>
    <t>Zaachila</t>
  </si>
  <si>
    <t>zaac1239</t>
  </si>
  <si>
    <t>Zaachila Zapotec</t>
  </si>
  <si>
    <t>ztx</t>
  </si>
  <si>
    <t>zaba1237</t>
  </si>
  <si>
    <t>Zabana</t>
  </si>
  <si>
    <t>kji</t>
  </si>
  <si>
    <t>zabo1238</t>
  </si>
  <si>
    <t>Zabolotny</t>
  </si>
  <si>
    <t>zaca1240</t>
  </si>
  <si>
    <t>Zacatepec</t>
  </si>
  <si>
    <t>zaca1241</t>
  </si>
  <si>
    <t>Zacatl√°n-Ahuacatl√°n-Tepetzintla Nahuatl</t>
  </si>
  <si>
    <t>nhi</t>
  </si>
  <si>
    <t>zaca1242</t>
  </si>
  <si>
    <t>Zacatepec Chatino</t>
  </si>
  <si>
    <t>ctz</t>
  </si>
  <si>
    <t>zadi1238</t>
  </si>
  <si>
    <t>Zadie</t>
  </si>
  <si>
    <t>zaga1238</t>
  </si>
  <si>
    <t>Zagaran Mran</t>
  </si>
  <si>
    <t>Beria</t>
  </si>
  <si>
    <t>LY SD TD</t>
  </si>
  <si>
    <t>zagn1241</t>
  </si>
  <si>
    <t>Zagne</t>
  </si>
  <si>
    <t>zagn1242</t>
  </si>
  <si>
    <t>Zagna</t>
  </si>
  <si>
    <t>zagu1235</t>
  </si>
  <si>
    <t>Xoraxane</t>
  </si>
  <si>
    <t>zain1238</t>
  </si>
  <si>
    <t>Zainal</t>
  </si>
  <si>
    <t>Zaiwa</t>
  </si>
  <si>
    <t>atb</t>
  </si>
  <si>
    <t>zaka1239</t>
  </si>
  <si>
    <t>Zakataly</t>
  </si>
  <si>
    <t>zakh1242</t>
  </si>
  <si>
    <t>Zakho</t>
  </si>
  <si>
    <t>zakh1243</t>
  </si>
  <si>
    <t>Zakhring</t>
  </si>
  <si>
    <t>zkr</t>
  </si>
  <si>
    <t>zakh1247</t>
  </si>
  <si>
    <t>Zakho (Lishana Deni)</t>
  </si>
  <si>
    <t>zakh1248</t>
  </si>
  <si>
    <t>Zakhchin</t>
  </si>
  <si>
    <t>zaki1238</t>
  </si>
  <si>
    <t>Zaki</t>
  </si>
  <si>
    <t>zaks1239</t>
  </si>
  <si>
    <t>Zakshi</t>
  </si>
  <si>
    <t>Zakse-Saya</t>
  </si>
  <si>
    <t>zala1239</t>
  </si>
  <si>
    <t>Zalavaria Koli</t>
  </si>
  <si>
    <t>zala1240</t>
  </si>
  <si>
    <t>Zala</t>
  </si>
  <si>
    <t>zala1251</t>
  </si>
  <si>
    <t>Zaladva</t>
  </si>
  <si>
    <t>zala1252</t>
  </si>
  <si>
    <t>Zaladeva</t>
  </si>
  <si>
    <t>zama1238</t>
  </si>
  <si>
    <t>Zaman</t>
  </si>
  <si>
    <t>zamb1239</t>
  </si>
  <si>
    <t>Zambian Sign Language</t>
  </si>
  <si>
    <t>zsl</t>
  </si>
  <si>
    <t>zamb1243</t>
  </si>
  <si>
    <t>Zamboangue√±o</t>
  </si>
  <si>
    <t>Zambezi Hook</t>
  </si>
  <si>
    <t>zamb1245</t>
  </si>
  <si>
    <t>Zamba</t>
  </si>
  <si>
    <t>zamf1238</t>
  </si>
  <si>
    <t>Zamfarawa</t>
  </si>
  <si>
    <t>zamr1238</t>
  </si>
  <si>
    <t>Zamre</t>
  </si>
  <si>
    <t>Zamucoan</t>
  </si>
  <si>
    <t>Zamuco-Ayoreo</t>
  </si>
  <si>
    <t>zamu1245</t>
  </si>
  <si>
    <t>Zamuco</t>
  </si>
  <si>
    <t>Zanaki</t>
  </si>
  <si>
    <t>zak</t>
  </si>
  <si>
    <t>Zandic</t>
  </si>
  <si>
    <t>Zande-Nzakara</t>
  </si>
  <si>
    <t>Zande</t>
  </si>
  <si>
    <t>zang1248</t>
  </si>
  <si>
    <t>Zangskari</t>
  </si>
  <si>
    <t>zau</t>
  </si>
  <si>
    <t>Zan Gula</t>
  </si>
  <si>
    <t>zna</t>
  </si>
  <si>
    <t>zang1250</t>
  </si>
  <si>
    <t>Zanga</t>
  </si>
  <si>
    <t>zang1251</t>
  </si>
  <si>
    <t>Zang</t>
  </si>
  <si>
    <t>zang1255</t>
  </si>
  <si>
    <t>Zangwal</t>
  </si>
  <si>
    <t>zah</t>
  </si>
  <si>
    <t>zani1235</t>
  </si>
  <si>
    <t>Zaniza Zapotec</t>
  </si>
  <si>
    <t>zpw</t>
  </si>
  <si>
    <t>zanj1238</t>
  </si>
  <si>
    <t>Zanjan</t>
  </si>
  <si>
    <t>Zan-Kulaalic</t>
  </si>
  <si>
    <t>Zan</t>
  </si>
  <si>
    <t>zann1246</t>
  </si>
  <si>
    <t>Zan (Chad)</t>
  </si>
  <si>
    <t>zanu1238</t>
  </si>
  <si>
    <t>Zanu</t>
  </si>
  <si>
    <t>zaor1238</t>
  </si>
  <si>
    <t>Zaore</t>
  </si>
  <si>
    <t>Zaparoan</t>
  </si>
  <si>
    <t>Zaparo-Abishira</t>
  </si>
  <si>
    <t>zapa1253</t>
  </si>
  <si>
    <t>Z√°paro</t>
  </si>
  <si>
    <t>zro</t>
  </si>
  <si>
    <t>zapo1435</t>
  </si>
  <si>
    <t>Zapotitl√°n Tablas</t>
  </si>
  <si>
    <t>Zapotecan</t>
  </si>
  <si>
    <t>zap</t>
  </si>
  <si>
    <t>zaqa1241</t>
  </si>
  <si>
    <t>Zaqatala (Turkic)</t>
  </si>
  <si>
    <t>zaqa1242</t>
  </si>
  <si>
    <t>Zaqatala</t>
  </si>
  <si>
    <t>zara1246</t>
  </si>
  <si>
    <t>Zarama</t>
  </si>
  <si>
    <t>zara1247</t>
  </si>
  <si>
    <t>Zaramo</t>
  </si>
  <si>
    <t>zaj</t>
  </si>
  <si>
    <t>zara1248</t>
  </si>
  <si>
    <t>Zara</t>
  </si>
  <si>
    <t>zara1252</t>
  </si>
  <si>
    <t>Zaranda</t>
  </si>
  <si>
    <t>zarg1238</t>
  </si>
  <si>
    <t>Zargari</t>
  </si>
  <si>
    <t>Zari</t>
  </si>
  <si>
    <t>zaz</t>
  </si>
  <si>
    <t>zari1243</t>
  </si>
  <si>
    <t>Zaria Fulfulde</t>
  </si>
  <si>
    <t>Zarma-Kaado</t>
  </si>
  <si>
    <t>dje</t>
  </si>
  <si>
    <t>Zarma-Kaado-Dendi</t>
  </si>
  <si>
    <t>zarp1238</t>
  </si>
  <si>
    <t>Zarphatic</t>
  </si>
  <si>
    <t>zrp</t>
  </si>
  <si>
    <t>Zauzou</t>
  </si>
  <si>
    <t>zal</t>
  </si>
  <si>
    <t>zaye1235</t>
  </si>
  <si>
    <t>Lahta-Zayein Karen</t>
  </si>
  <si>
    <t>kxk</t>
  </si>
  <si>
    <t>zayo1238</t>
  </si>
  <si>
    <t>Zayoli</t>
  </si>
  <si>
    <t>zays1235</t>
  </si>
  <si>
    <t>Zayse-Zergulla</t>
  </si>
  <si>
    <t>zay</t>
  </si>
  <si>
    <t>zays1236</t>
  </si>
  <si>
    <t>Zayse</t>
  </si>
  <si>
    <t>zayy1238</t>
  </si>
  <si>
    <t>Zay</t>
  </si>
  <si>
    <t>zwa</t>
  </si>
  <si>
    <t>zaza1245</t>
  </si>
  <si>
    <t>Zazao</t>
  </si>
  <si>
    <t>jaj</t>
  </si>
  <si>
    <t>Zaza</t>
  </si>
  <si>
    <t>zza</t>
  </si>
  <si>
    <t>Zazao-Blanga</t>
  </si>
  <si>
    <t>Zbu</t>
  </si>
  <si>
    <t>zeba1237</t>
  </si>
  <si>
    <t>Zebak</t>
  </si>
  <si>
    <t>zebi1238</t>
  </si>
  <si>
    <t>Zebie</t>
  </si>
  <si>
    <t>Zeem</t>
  </si>
  <si>
    <t>zua</t>
  </si>
  <si>
    <t>Zeeuws</t>
  </si>
  <si>
    <t>zea</t>
  </si>
  <si>
    <t>zemb1238</t>
  </si>
  <si>
    <t>Zemba</t>
  </si>
  <si>
    <t>dhm</t>
  </si>
  <si>
    <t>Zeme Naga</t>
  </si>
  <si>
    <t>nzm</t>
  </si>
  <si>
    <t>Zemeic</t>
  </si>
  <si>
    <t>zemi1238</t>
  </si>
  <si>
    <t>Zemiaki</t>
  </si>
  <si>
    <t>Zenag</t>
  </si>
  <si>
    <t>zeg</t>
  </si>
  <si>
    <t>zena1248</t>
  </si>
  <si>
    <t>Zenaga</t>
  </si>
  <si>
    <t>zen</t>
  </si>
  <si>
    <t>MR SN</t>
  </si>
  <si>
    <t>Zenatic</t>
  </si>
  <si>
    <t>zent1234</t>
  </si>
  <si>
    <t>Zentral-Limburgisch</t>
  </si>
  <si>
    <t>zent1235</t>
  </si>
  <si>
    <t>Zentralhessisch</t>
  </si>
  <si>
    <t>zenz1235</t>
  </si>
  <si>
    <t>Zenzontepec Chatino</t>
  </si>
  <si>
    <t>czn</t>
  </si>
  <si>
    <t>zerg1235</t>
  </si>
  <si>
    <t>Zergulla</t>
  </si>
  <si>
    <t>zeta1234</t>
  </si>
  <si>
    <t>Zeta-Ra≈°ka</t>
  </si>
  <si>
    <t>zeza1238</t>
  </si>
  <si>
    <t>Zezagi</t>
  </si>
  <si>
    <t>Zezuru</t>
  </si>
  <si>
    <t>zhab1238</t>
  </si>
  <si>
    <t>Zhaba</t>
  </si>
  <si>
    <t>zhb</t>
  </si>
  <si>
    <t>zhan1239</t>
  </si>
  <si>
    <t>Zhangzhung</t>
  </si>
  <si>
    <t>xzh</t>
  </si>
  <si>
    <t>zhan1240</t>
  </si>
  <si>
    <t>Zhangping-Longyan</t>
  </si>
  <si>
    <t>zhen1239</t>
  </si>
  <si>
    <t>Zhenan Min</t>
  </si>
  <si>
    <t>zhen1240</t>
  </si>
  <si>
    <t>Zhenfeng Gelao</t>
  </si>
  <si>
    <t>zhen1241</t>
  </si>
  <si>
    <t>Zhengzhou Mandarin</t>
  </si>
  <si>
    <t>zhen1242</t>
  </si>
  <si>
    <t>Zhenghe</t>
  </si>
  <si>
    <t>zhim1238</t>
  </si>
  <si>
    <t>Zhimomi</t>
  </si>
  <si>
    <t>zhir1238</t>
  </si>
  <si>
    <t>Zhire</t>
  </si>
  <si>
    <t>zhi</t>
  </si>
  <si>
    <t>zhoa1238</t>
  </si>
  <si>
    <t>Zhoa</t>
  </si>
  <si>
    <t>zhw</t>
  </si>
  <si>
    <t>zhon1235</t>
  </si>
  <si>
    <t>Zhongu</t>
  </si>
  <si>
    <t>Zhongyuan</t>
  </si>
  <si>
    <t>zhon1237</t>
  </si>
  <si>
    <t>Zhongguo Hanyu</t>
  </si>
  <si>
    <t>Zhongshan Min</t>
  </si>
  <si>
    <t>zhon1239</t>
  </si>
  <si>
    <t>Zhongshan</t>
  </si>
  <si>
    <t>zhou1234</t>
  </si>
  <si>
    <t>Zhoucheng</t>
  </si>
  <si>
    <t>zhou1235</t>
  </si>
  <si>
    <t>Zhoushan</t>
  </si>
  <si>
    <t>Zia</t>
  </si>
  <si>
    <t>zia</t>
  </si>
  <si>
    <t>ziaa1251</t>
  </si>
  <si>
    <t>Zia (United States)</t>
  </si>
  <si>
    <t>zial1235</t>
  </si>
  <si>
    <t>Zialo</t>
  </si>
  <si>
    <t>zil</t>
  </si>
  <si>
    <t>ziba1238</t>
  </si>
  <si>
    <t>Ziba</t>
  </si>
  <si>
    <t>zibi1241</t>
  </si>
  <si>
    <t>Zibirkhalin</t>
  </si>
  <si>
    <t>zibi1242</t>
  </si>
  <si>
    <t>Zibiao</t>
  </si>
  <si>
    <t>zidi1238</t>
  </si>
  <si>
    <t>Zidim</t>
  </si>
  <si>
    <t>ziem1238</t>
  </si>
  <si>
    <t>Ziema</t>
  </si>
  <si>
    <t>zigu1242</t>
  </si>
  <si>
    <t>Zigula</t>
  </si>
  <si>
    <t>Zigua-Nguu</t>
  </si>
  <si>
    <t>Zigula-Mushungulu</t>
  </si>
  <si>
    <t>ziw</t>
  </si>
  <si>
    <t>zihu1238</t>
  </si>
  <si>
    <t>Zihuateutla Totonac</t>
  </si>
  <si>
    <t>zila1239</t>
  </si>
  <si>
    <t>Zilacayotitl√°n</t>
  </si>
  <si>
    <t>zilm1238</t>
  </si>
  <si>
    <t>Zilmamu</t>
  </si>
  <si>
    <t>zilo1238</t>
  </si>
  <si>
    <t>Zilo</t>
  </si>
  <si>
    <t>Zimakani</t>
  </si>
  <si>
    <t>zik</t>
  </si>
  <si>
    <t>zimb1235</t>
  </si>
  <si>
    <t>Zimbabwe School Sign</t>
  </si>
  <si>
    <t>Zimbabwe Sign Language</t>
  </si>
  <si>
    <t>zib</t>
  </si>
  <si>
    <t>zimb1248</t>
  </si>
  <si>
    <t>Zimbabwe Community Sign</t>
  </si>
  <si>
    <t>Zimba</t>
  </si>
  <si>
    <t>zmb</t>
  </si>
  <si>
    <t>zina1234</t>
  </si>
  <si>
    <t>Zina</t>
  </si>
  <si>
    <t>zinn1239</t>
  </si>
  <si>
    <t>Zinna</t>
  </si>
  <si>
    <t>Zinza</t>
  </si>
  <si>
    <t>zin</t>
  </si>
  <si>
    <t>ziog1238</t>
  </si>
  <si>
    <t>Ziogba</t>
  </si>
  <si>
    <t>zira1238</t>
  </si>
  <si>
    <t>Zirak-Boli</t>
  </si>
  <si>
    <t>zire1240</t>
  </si>
  <si>
    <t>Zire</t>
  </si>
  <si>
    <t>sih</t>
  </si>
  <si>
    <t>zire1244</t>
  </si>
  <si>
    <t>Zirenkel</t>
  </si>
  <si>
    <t>zrn</t>
  </si>
  <si>
    <t>ziri1239</t>
  </si>
  <si>
    <t>Ziriya</t>
  </si>
  <si>
    <t>zir</t>
  </si>
  <si>
    <t>zith1239</t>
  </si>
  <si>
    <t>Zithung</t>
  </si>
  <si>
    <t>ziwe1239</t>
  </si>
  <si>
    <t>Ziwe</t>
  </si>
  <si>
    <t>zizi1238</t>
  </si>
  <si>
    <t>Zizilivakan</t>
  </si>
  <si>
    <t>ziz</t>
  </si>
  <si>
    <t>zlar1234</t>
  </si>
  <si>
    <t>Zlarong</t>
  </si>
  <si>
    <t>zlen1238</t>
  </si>
  <si>
    <t>Zlenge</t>
  </si>
  <si>
    <t>zoee1240</t>
  </si>
  <si>
    <t>Zo'√©</t>
  </si>
  <si>
    <t>pto</t>
  </si>
  <si>
    <t>Zoe-Emerillon</t>
  </si>
  <si>
    <t>zohr1238</t>
  </si>
  <si>
    <t>Zohri</t>
  </si>
  <si>
    <t>zokh1238</t>
  </si>
  <si>
    <t>Zokhuo</t>
  </si>
  <si>
    <t>yzk</t>
  </si>
  <si>
    <t>zokh1239</t>
  </si>
  <si>
    <t>Zokhua</t>
  </si>
  <si>
    <t>zoli1238</t>
  </si>
  <si>
    <t>Zoli</t>
  </si>
  <si>
    <t>zong1241</t>
  </si>
  <si>
    <t>Zongke</t>
  </si>
  <si>
    <t>zong1242</t>
  </si>
  <si>
    <t>Zongbi</t>
  </si>
  <si>
    <t>Zoogocho Zapotec</t>
  </si>
  <si>
    <t>zpq</t>
  </si>
  <si>
    <t>zoog1239</t>
  </si>
  <si>
    <t>Zoogocho</t>
  </si>
  <si>
    <t>zooo1239</t>
  </si>
  <si>
    <t>Zo</t>
  </si>
  <si>
    <t>Zoque</t>
  </si>
  <si>
    <t>zoro1242</t>
  </si>
  <si>
    <t>Zoroastrian Dari</t>
  </si>
  <si>
    <t>gbz</t>
  </si>
  <si>
    <t>zoro1243</t>
  </si>
  <si>
    <t>Zorotua</t>
  </si>
  <si>
    <t>zoro1244</t>
  </si>
  <si>
    <t>Zor√≥</t>
  </si>
  <si>
    <t>zotu1235</t>
  </si>
  <si>
    <t>Zotung Chin</t>
  </si>
  <si>
    <t>czt</t>
  </si>
  <si>
    <t>zouu1235</t>
  </si>
  <si>
    <t>Zou</t>
  </si>
  <si>
    <t>zom</t>
  </si>
  <si>
    <t>zoya1238</t>
  </si>
  <si>
    <t>Zoyaltitla</t>
  </si>
  <si>
    <t>zuar1238</t>
  </si>
  <si>
    <t>Zuara</t>
  </si>
  <si>
    <t>zuba1238</t>
  </si>
  <si>
    <t>Zubaki</t>
  </si>
  <si>
    <t>zuba1242</t>
  </si>
  <si>
    <t>Zubair-Faau Arabic</t>
  </si>
  <si>
    <t>zuhu1238</t>
  </si>
  <si>
    <t>Zuhuzuho</t>
  </si>
  <si>
    <t>zuks1238</t>
  </si>
  <si>
    <t>Zuksun</t>
  </si>
  <si>
    <t>zula1234</t>
  </si>
  <si>
    <t>Zula</t>
  </si>
  <si>
    <t>Zulgo-Gemzek</t>
  </si>
  <si>
    <t>gnd</t>
  </si>
  <si>
    <t>zulg1243</t>
  </si>
  <si>
    <t>Zulgo</t>
  </si>
  <si>
    <t>zull1239</t>
  </si>
  <si>
    <t>Zul</t>
  </si>
  <si>
    <t>BW LS MZ SZ ZA</t>
  </si>
  <si>
    <t>Zulu-Bantu</t>
  </si>
  <si>
    <t>Zulu-based pidgin</t>
  </si>
  <si>
    <t>Zulu-Xhosa</t>
  </si>
  <si>
    <t>zuma1239</t>
  </si>
  <si>
    <t>Zumaya</t>
  </si>
  <si>
    <t>zuy</t>
  </si>
  <si>
    <t>zumb1240</t>
  </si>
  <si>
    <t>Zumbun</t>
  </si>
  <si>
    <t>jmb</t>
  </si>
  <si>
    <t>zumb1241</t>
  </si>
  <si>
    <t>Zumbul</t>
  </si>
  <si>
    <t>zumo1240</t>
  </si>
  <si>
    <t>Zumomi</t>
  </si>
  <si>
    <t>zumo1247</t>
  </si>
  <si>
    <t>Zumo (Cameroon)</t>
  </si>
  <si>
    <t>zumo1248</t>
  </si>
  <si>
    <t>Zumo</t>
  </si>
  <si>
    <t>zumu1241</t>
  </si>
  <si>
    <t>Zumu</t>
  </si>
  <si>
    <t>Zuni</t>
  </si>
  <si>
    <t>zuoj1238</t>
  </si>
  <si>
    <t>Zuojiang Zhuang</t>
  </si>
  <si>
    <t>zzj</t>
  </si>
  <si>
    <t>zuos1234</t>
  </si>
  <si>
    <t>Zu≈èsu≈è</t>
  </si>
  <si>
    <t>zura1238</t>
  </si>
  <si>
    <t>Zura</t>
  </si>
  <si>
    <t>zuri1239</t>
  </si>
  <si>
    <t>Z√ºrich German</t>
  </si>
  <si>
    <t>zurr1238</t>
  </si>
  <si>
    <t>Zurrieq</t>
  </si>
  <si>
    <t>zuti1239</t>
  </si>
  <si>
    <t>Guajaj√°ra of Zutiua</t>
  </si>
  <si>
    <t>zuwa1238</t>
  </si>
  <si>
    <t>Zuwadza</t>
  </si>
  <si>
    <t>zwal1238</t>
  </si>
  <si>
    <t>Zwall</t>
  </si>
  <si>
    <t>Zyphe</t>
  </si>
  <si>
    <t>zyp</t>
  </si>
  <si>
    <t>zyud1238</t>
  </si>
  <si>
    <t>Zyuzdin</t>
  </si>
  <si>
    <t>Level</t>
  </si>
  <si>
    <t>Latitude</t>
  </si>
  <si>
    <t>Longitude</t>
  </si>
  <si>
    <t>Family Glottocode</t>
  </si>
  <si>
    <t>Family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</si>
</sst>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2"/>
      <color theme="1"/>
      <name val="Calibri"/>
      <family val="2"/>
      <scheme val="minor"/>
    </font>
    <font>
      <sz val="10"/>
      <color theme="1"/>
      <name val="Arial"/>
      <family val="2"/>
    </font>
    <font>
      <sz val="11"/>
      <color rgb="FF333333"/>
      <name val="DPLACE"/>
    </font>
    <font>
      <sz val="11"/>
      <color rgb="FF333333"/>
      <name val="Arial"/>
      <family val="2"/>
    </font>
    <font>
      <sz val="10"/>
      <color rgb="FF333333"/>
      <name val="Arial"/>
      <family val="2"/>
    </font>
    <font>
      <sz val="10"/>
      <color rgb="FF000000"/>
      <name val="Arial"/>
      <family val="2"/>
    </font>
    <font>
      <b/>
      <sz val="11"/>
      <color rgb="FF222222"/>
      <name val="Arial"/>
      <family val="2"/>
    </font>
    <font>
      <sz val="10"/>
      <color rgb="FF000000"/>
      <name val="Roboto"/>
    </font>
    <font>
      <u/>
      <sz val="12"/>
      <color theme="10"/>
      <name val="Calibri"/>
      <family val="2"/>
      <scheme val="minor"/>
    </font>
    <font>
      <sz val="10"/>
      <name val="Arial"/>
      <family val="2"/>
    </font>
    <font>
      <b/>
      <sz val="10"/>
      <color theme="1"/>
      <name val="Arial"/>
      <family val="2"/>
    </font>
    <font>
      <sz val="10"/>
      <color theme="0" tint="-0.249977111117893"/>
      <name val="Arial"/>
      <family val="2"/>
    </font>
    <font>
      <sz val="11"/>
      <color theme="0" tint="-0.249977111117893"/>
      <name val="Arial"/>
      <family val="2"/>
    </font>
    <font>
      <sz val="11"/>
      <color theme="0" tint="-0.249977111117893"/>
      <name val="DPLACE"/>
    </font>
    <font>
      <sz val="12"/>
      <color theme="0" tint="-0.249977111117893"/>
      <name val="Calibri"/>
      <family val="2"/>
      <scheme val="minor"/>
    </font>
  </fonts>
  <fills count="4">
    <fill>
      <patternFill patternType="none"/>
    </fill>
    <fill>
      <patternFill patternType="gray125"/>
    </fill>
    <fill>
      <patternFill patternType="solid">
        <fgColor theme="9" tint="0.59999389629810485"/>
        <bgColor indexed="64"/>
      </patternFill>
    </fill>
    <fill>
      <patternFill patternType="solid">
        <fgColor theme="5" tint="0.79998168889431442"/>
        <bgColor indexed="64"/>
      </patternFill>
    </fill>
  </fills>
  <borders count="1">
    <border>
      <left/>
      <right/>
      <top/>
      <bottom/>
      <diagonal/>
    </border>
  </borders>
  <cellStyleXfs count="3">
    <xf numFmtId="0" fontId="0" fillId="0" borderId="0"/>
    <xf numFmtId="0" fontId="8" fillId="0" borderId="0" applyNumberFormat="0" applyFill="0" applyBorder="0" applyAlignment="0" applyProtection="0"/>
    <xf numFmtId="0" fontId="9" fillId="0" borderId="0" applyNumberFormat="0" applyFill="0" applyBorder="0" applyAlignment="0" applyProtection="0"/>
  </cellStyleXfs>
  <cellXfs count="39">
    <xf numFmtId="0" fontId="0" fillId="0" borderId="0" xfId="0"/>
    <xf numFmtId="0" fontId="1" fillId="0" borderId="0" xfId="0" applyFont="1"/>
    <xf numFmtId="0" fontId="8" fillId="0" borderId="0" xfId="1"/>
    <xf numFmtId="22" fontId="1" fillId="0" borderId="0" xfId="0" applyNumberFormat="1" applyFont="1"/>
    <xf numFmtId="16" fontId="1" fillId="0" borderId="0" xfId="0" applyNumberFormat="1" applyFont="1"/>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xf numFmtId="0" fontId="1" fillId="0" borderId="0" xfId="0" applyFont="1" applyAlignment="1">
      <alignment wrapText="1"/>
    </xf>
    <xf numFmtId="0" fontId="9" fillId="0" borderId="0" xfId="2" applyFont="1" applyFill="1" applyBorder="1" applyAlignment="1" applyProtection="1"/>
    <xf numFmtId="0" fontId="9" fillId="0" borderId="0" xfId="2"/>
    <xf numFmtId="0" fontId="10" fillId="0" borderId="0" xfId="0" applyFont="1"/>
    <xf numFmtId="0" fontId="11" fillId="0" borderId="0" xfId="0" applyFont="1"/>
    <xf numFmtId="0" fontId="12" fillId="0" borderId="0" xfId="0" applyFont="1"/>
    <xf numFmtId="0" fontId="13" fillId="0" borderId="0" xfId="0" applyFont="1"/>
    <xf numFmtId="0" fontId="14" fillId="0" borderId="0" xfId="0" applyFont="1"/>
    <xf numFmtId="0" fontId="1" fillId="2" borderId="0" xfId="0" applyFont="1" applyFill="1"/>
    <xf numFmtId="0" fontId="11" fillId="2" borderId="0" xfId="0" applyFont="1" applyFill="1"/>
    <xf numFmtId="0" fontId="8" fillId="2" borderId="0" xfId="1" applyFill="1"/>
    <xf numFmtId="22" fontId="1" fillId="2" borderId="0" xfId="0" applyNumberFormat="1" applyFont="1" applyFill="1"/>
    <xf numFmtId="0" fontId="0" fillId="2" borderId="0" xfId="0" applyFill="1"/>
    <xf numFmtId="16" fontId="1" fillId="2" borderId="0" xfId="0" applyNumberFormat="1" applyFont="1" applyFill="1"/>
    <xf numFmtId="0" fontId="12" fillId="2" borderId="0" xfId="0" applyFont="1" applyFill="1"/>
    <xf numFmtId="0" fontId="3" fillId="2" borderId="0" xfId="0" applyFont="1" applyFill="1"/>
    <xf numFmtId="0" fontId="5" fillId="2" borderId="0" xfId="0" applyFont="1" applyFill="1"/>
    <xf numFmtId="0" fontId="1" fillId="2" borderId="0" xfId="0" applyFont="1" applyFill="1" applyAlignment="1">
      <alignment wrapText="1"/>
    </xf>
    <xf numFmtId="0" fontId="1" fillId="3" borderId="0" xfId="0" applyFont="1" applyFill="1"/>
    <xf numFmtId="0" fontId="11" fillId="3" borderId="0" xfId="0" applyFont="1" applyFill="1"/>
    <xf numFmtId="0" fontId="8" fillId="3" borderId="0" xfId="1" applyFill="1"/>
    <xf numFmtId="22" fontId="1" fillId="3" borderId="0" xfId="0" applyNumberFormat="1" applyFont="1" applyFill="1"/>
    <xf numFmtId="0" fontId="0" fillId="3" borderId="0" xfId="0" applyFill="1"/>
    <xf numFmtId="0" fontId="13" fillId="3" borderId="0" xfId="0" applyFont="1" applyFill="1"/>
    <xf numFmtId="0" fontId="12" fillId="3" borderId="0" xfId="0" applyFont="1" applyFill="1"/>
    <xf numFmtId="0" fontId="2" fillId="3" borderId="0" xfId="0" applyFont="1" applyFill="1"/>
    <xf numFmtId="16" fontId="1" fillId="3" borderId="0" xfId="0" applyNumberFormat="1" applyFont="1" applyFill="1"/>
    <xf numFmtId="0" fontId="3" fillId="3" borderId="0" xfId="0" applyFont="1" applyFill="1"/>
  </cellXfs>
  <cellStyles count="3">
    <cellStyle name="Hyperlink" xfId="1" builtinId="8"/>
    <cellStyle name="Normal" xfId="0" builtinId="0"/>
    <cellStyle name="Normal 2" xfId="2" xr:uid="{1BDBC5C5-EF57-8349-AC43-D5823FABB10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827" Type="http://schemas.openxmlformats.org/officeDocument/2006/relationships/hyperlink" Target="https://folkways.si.edu/lowland-tribes-of-ecuador/american-indian-world/music/album/smithsonian" TargetMode="External"/><Relationship Id="rId170" Type="http://schemas.openxmlformats.org/officeDocument/2006/relationships/hyperlink" Target="http://media.theglobaljukebox.org/audio/T5442R04.mp3" TargetMode="External"/><Relationship Id="rId987" Type="http://schemas.openxmlformats.org/officeDocument/2006/relationships/hyperlink" Target="https://theglobaljukebox.org/?share=Otomi-T5405R73" TargetMode="External"/><Relationship Id="rId847" Type="http://schemas.openxmlformats.org/officeDocument/2006/relationships/hyperlink" Target="http://media.theglobaljukebox.org/audio/T5482R38.mp3" TargetMode="External"/><Relationship Id="rId1477" Type="http://schemas.openxmlformats.org/officeDocument/2006/relationships/hyperlink" Target="https://folkways.si.edu/italian-folk-songs-and-dances/world/music/album/smithsonian" TargetMode="External"/><Relationship Id="rId1684" Type="http://schemas.openxmlformats.org/officeDocument/2006/relationships/hyperlink" Target="https://theglobaljukebox.org/?share=Jivaro-T5402R40" TargetMode="External"/><Relationship Id="rId1891" Type="http://schemas.openxmlformats.org/officeDocument/2006/relationships/hyperlink" Target="http://gofile.me/3T2hs/J1nSbnXMz" TargetMode="External"/><Relationship Id="rId707" Type="http://schemas.openxmlformats.org/officeDocument/2006/relationships/hyperlink" Target="https://sounds.bl.uk/World-and-traditional-music/Vanishing-voices-from-the-Uralic-world/025M-CEAP3470583A-11XXV0" TargetMode="External"/><Relationship Id="rId914" Type="http://schemas.openxmlformats.org/officeDocument/2006/relationships/hyperlink" Target="https://theglobaljukebox.org/?share=Uzbeks-T5490R14" TargetMode="External"/><Relationship Id="rId1337" Type="http://schemas.openxmlformats.org/officeDocument/2006/relationships/hyperlink" Target="http://media.theglobaljukebox.org/audio/T5431R12.mp3" TargetMode="External"/><Relationship Id="rId1544" Type="http://schemas.openxmlformats.org/officeDocument/2006/relationships/hyperlink" Target="https://folkways.si.edu/bilchit-maa-davaa/lullaby-with-khoomei/world/music/track/smithsonian" TargetMode="External"/><Relationship Id="rId1751" Type="http://schemas.openxmlformats.org/officeDocument/2006/relationships/hyperlink" Target="https://theglobaljukebox.org/?share=Q'ero-T5488R08" TargetMode="External"/><Relationship Id="rId43" Type="http://schemas.openxmlformats.org/officeDocument/2006/relationships/hyperlink" Target="http://www.worldcat.org/oclc/3237418" TargetMode="External"/><Relationship Id="rId1404" Type="http://schemas.openxmlformats.org/officeDocument/2006/relationships/hyperlink" Target="http://gofile.me/3T2hs/g2e9aOUrh" TargetMode="External"/><Relationship Id="rId1611" Type="http://schemas.openxmlformats.org/officeDocument/2006/relationships/hyperlink" Target="http://gofile.me/3T2hs/bRdqoJdZF" TargetMode="External"/><Relationship Id="rId497" Type="http://schemas.openxmlformats.org/officeDocument/2006/relationships/hyperlink" Target="http://ampm.auckland.ac.nz/handle/id/89273" TargetMode="External"/><Relationship Id="rId2178" Type="http://schemas.openxmlformats.org/officeDocument/2006/relationships/hyperlink" Target="https://folkways.si.edu/eivind-groven/the-myllargutens-miller-boys-wedding-march/world/music/track/smithsonian" TargetMode="External"/><Relationship Id="rId357" Type="http://schemas.openxmlformats.org/officeDocument/2006/relationships/hyperlink" Target="https://theglobaljukebox.org/?share=Meitei-T5417R24" TargetMode="External"/><Relationship Id="rId1194" Type="http://schemas.openxmlformats.org/officeDocument/2006/relationships/hyperlink" Target="https://folkways.si.edu/huichol-indians-and-cora-indians/song-for-corn-roasting/islamica-world/music/track/smithsonian" TargetMode="External"/><Relationship Id="rId2038" Type="http://schemas.openxmlformats.org/officeDocument/2006/relationships/hyperlink" Target="https://theglobaljukebox.org/?share=Ulithi-T5427R20" TargetMode="External"/><Relationship Id="rId217" Type="http://schemas.openxmlformats.org/officeDocument/2006/relationships/hyperlink" Target="https://folkways.si.edu/the-eskimos-of-hudson-bay-and-alaska/american-indian/music/album/smithsonian" TargetMode="External"/><Relationship Id="rId564" Type="http://schemas.openxmlformats.org/officeDocument/2006/relationships/hyperlink" Target="http://ampm.auckland.ac.nz/handle/id/91742" TargetMode="External"/><Relationship Id="rId771" Type="http://schemas.openxmlformats.org/officeDocument/2006/relationships/hyperlink" Target="http://greenstone.ilam.ru.ac.za/collect/ilam/index/assoc/D197.dir/CR1959-GB1432-XYZ5687.mp3" TargetMode="External"/><Relationship Id="rId424" Type="http://schemas.openxmlformats.org/officeDocument/2006/relationships/hyperlink" Target="http://archives.crem-cnrs.fr/archives/items/CNRSMH_I_2016_030_000_093/" TargetMode="External"/><Relationship Id="rId631" Type="http://schemas.openxmlformats.org/officeDocument/2006/relationships/hyperlink" Target="https://theglobaljukebox.org/?share=Mordovia-T5467R48" TargetMode="External"/><Relationship Id="rId1054" Type="http://schemas.openxmlformats.org/officeDocument/2006/relationships/hyperlink" Target="https://theglobaljukebox.org/?share=Ka'igwu-T1452.4" TargetMode="External"/><Relationship Id="rId1261" Type="http://schemas.openxmlformats.org/officeDocument/2006/relationships/hyperlink" Target="https://folkways.si.edu/juan-hernandez/tres-companitas/latin-world/music/track/smithsonian" TargetMode="External"/><Relationship Id="rId2105" Type="http://schemas.openxmlformats.org/officeDocument/2006/relationships/hyperlink" Target="https://sounds.bl.uk/World-and-traditional-music/Endangered-Micronesian-recordings/025M-CEAP115X4X93-006ZV0" TargetMode="External"/><Relationship Id="rId1121" Type="http://schemas.openxmlformats.org/officeDocument/2006/relationships/hyperlink" Target="https://theglobaljukebox.org/?share=Pari-T5437R08" TargetMode="External"/><Relationship Id="rId1938" Type="http://schemas.openxmlformats.org/officeDocument/2006/relationships/hyperlink" Target="https://theglobaljukebox.org/?share=Hungary%20Folk-T5462R40" TargetMode="External"/><Relationship Id="rId281" Type="http://schemas.openxmlformats.org/officeDocument/2006/relationships/hyperlink" Target="http://media.theglobaljukebox.org/audio/T5403R34.mp3" TargetMode="External"/><Relationship Id="rId141" Type="http://schemas.openxmlformats.org/officeDocument/2006/relationships/hyperlink" Target="http://media.theglobaljukebox.org/audio/T5595R03.mp3" TargetMode="External"/><Relationship Id="rId7" Type="http://schemas.openxmlformats.org/officeDocument/2006/relationships/hyperlink" Target="http://www.worldcat.org/oclc/51601305" TargetMode="External"/><Relationship Id="rId958" Type="http://schemas.openxmlformats.org/officeDocument/2006/relationships/hyperlink" Target="https://theglobaljukebox.org/?share=Uyghur-T5490R10" TargetMode="External"/><Relationship Id="rId1588" Type="http://schemas.openxmlformats.org/officeDocument/2006/relationships/hyperlink" Target="https://folkways.si.edu/corbett-sundown/drum-dance/american-indian/music/track/smithsonian" TargetMode="External"/><Relationship Id="rId1795" Type="http://schemas.openxmlformats.org/officeDocument/2006/relationships/hyperlink" Target="http://sami.bl.uk/uhtbin/cgisirsi/?ps=r7aQ8u3z8p/WORKS-FILE/57150033/9" TargetMode="External"/><Relationship Id="rId87" Type="http://schemas.openxmlformats.org/officeDocument/2006/relationships/hyperlink" Target="http://www.ailla.utexas.org/search/resource.html?r_id=1079" TargetMode="External"/><Relationship Id="rId818" Type="http://schemas.openxmlformats.org/officeDocument/2006/relationships/hyperlink" Target="http://media.theglobaljukebox.org/audio/T5543R04.mp3" TargetMode="External"/><Relationship Id="rId1448" Type="http://schemas.openxmlformats.org/officeDocument/2006/relationships/hyperlink" Target="https://search.alexanderstreet.com/preview/work/bibliographic_entity%7Cvideo_work%7C3953633" TargetMode="External"/><Relationship Id="rId1655" Type="http://schemas.openxmlformats.org/officeDocument/2006/relationships/hyperlink" Target="https://search.alexanderstreet.com/preview/work/bibliographic_entity%7Crecorded_cd%7C776444" TargetMode="External"/><Relationship Id="rId1308" Type="http://schemas.openxmlformats.org/officeDocument/2006/relationships/hyperlink" Target="https://browse.nypl.org/iii/encore/record/C__Rb18403807__SNon-Russian%20folk%20traditions__Orightresult__X6?lang=eng&amp;suite=def" TargetMode="External"/><Relationship Id="rId1862" Type="http://schemas.openxmlformats.org/officeDocument/2006/relationships/hyperlink" Target="https://folkways.si.edu/ai-ni-mae-mens-narrative-song/music/track/smithsonian" TargetMode="External"/><Relationship Id="rId1515" Type="http://schemas.openxmlformats.org/officeDocument/2006/relationships/hyperlink" Target="https://search.alexanderstreet.com/preview/work/bibliographic_entity%7Crecorded_cd%7C776462" TargetMode="External"/><Relationship Id="rId1722" Type="http://schemas.openxmlformats.org/officeDocument/2006/relationships/hyperlink" Target="https://theglobaljukebox.org/?share=Macedonia-T5467R33" TargetMode="External"/><Relationship Id="rId14" Type="http://schemas.openxmlformats.org/officeDocument/2006/relationships/hyperlink" Target="http://www.worldcat.org/oclc/38134878" TargetMode="External"/><Relationship Id="rId468" Type="http://schemas.openxmlformats.org/officeDocument/2006/relationships/hyperlink" Target="http://media.theglobaljukebox.org/audio/T5410R25.mp3" TargetMode="External"/><Relationship Id="rId675" Type="http://schemas.openxmlformats.org/officeDocument/2006/relationships/hyperlink" Target="http://media.theglobaljukebox.org/audio/T40010R01.mp3" TargetMode="External"/><Relationship Id="rId882" Type="http://schemas.openxmlformats.org/officeDocument/2006/relationships/hyperlink" Target="https://folkways.si.edu/barzan-tribal-dance/islamica-world/music/track/smithsonian" TargetMode="External"/><Relationship Id="rId1098" Type="http://schemas.openxmlformats.org/officeDocument/2006/relationships/hyperlink" Target="http://media.theglobaljukebox.org/audio/T5489R05.mp3" TargetMode="External"/><Relationship Id="rId2149" Type="http://schemas.openxmlformats.org/officeDocument/2006/relationships/hyperlink" Target="https://folkways.si.edu/grupo-de-capoeira-angola-pelourinho-from-salvador-brazil/african-american-music-latin-world/album/smithsonian" TargetMode="External"/><Relationship Id="rId328" Type="http://schemas.openxmlformats.org/officeDocument/2006/relationships/hyperlink" Target="https://theglobaljukebox.org/?share=Tongans-" TargetMode="External"/><Relationship Id="rId535" Type="http://schemas.openxmlformats.org/officeDocument/2006/relationships/hyperlink" Target="https://search-alexanderstreet-com.ezp-prod1.hul.harvard.edu/view/work/bibliographic_entity%7Crecorded_cd%7C511039" TargetMode="External"/><Relationship Id="rId742" Type="http://schemas.openxmlformats.org/officeDocument/2006/relationships/hyperlink" Target="http://greenstone.ilam.ru.ac.za/collect/ilam/index/assoc/D9903.dir/TR190-09.mp3" TargetMode="External"/><Relationship Id="rId1165" Type="http://schemas.openxmlformats.org/officeDocument/2006/relationships/hyperlink" Target="https://folkways.si.edu/honduras-senora-sant-anna/childrens-world/music/track/smithsonian" TargetMode="External"/><Relationship Id="rId1372" Type="http://schemas.openxmlformats.org/officeDocument/2006/relationships/hyperlink" Target="https://theglobaljukebox.org/?share=Tolai-T5430R33" TargetMode="External"/><Relationship Id="rId2009" Type="http://schemas.openxmlformats.org/officeDocument/2006/relationships/hyperlink" Target="https://search-alexanderstreet-com.ezp-prod1.hul.harvard.edu/view/work/235756" TargetMode="External"/><Relationship Id="rId602" Type="http://schemas.openxmlformats.org/officeDocument/2006/relationships/hyperlink" Target="http://media.theglobaljukebox.org/audio/T5436R25m.mp3" TargetMode="External"/><Relationship Id="rId1025" Type="http://schemas.openxmlformats.org/officeDocument/2006/relationships/hyperlink" Target="https://theglobaljukebox.org/?share=Andalucia-T5468R39" TargetMode="External"/><Relationship Id="rId1232" Type="http://schemas.openxmlformats.org/officeDocument/2006/relationships/hyperlink" Target="https://folkways.si.edu/music-of-the-indians-of-panama-the-cuna-tule-and-chocoe-embera-tribes/american-indian-world/album/smithsonian" TargetMode="External"/><Relationship Id="rId185" Type="http://schemas.openxmlformats.org/officeDocument/2006/relationships/hyperlink" Target="https://sounds.bl.uk/World-and-traditional-music/Peter-Cooke-Uganda/025M-C0023X0018XX-0300V0" TargetMode="External"/><Relationship Id="rId1909" Type="http://schemas.openxmlformats.org/officeDocument/2006/relationships/hyperlink" Target="http://media.theglobaljukebox.org/audio/T5467R27.mp3" TargetMode="External"/><Relationship Id="rId392" Type="http://schemas.openxmlformats.org/officeDocument/2006/relationships/hyperlink" Target="http://gofile.me/3T2hs/m3961ZqSI" TargetMode="External"/><Relationship Id="rId2073" Type="http://schemas.openxmlformats.org/officeDocument/2006/relationships/hyperlink" Target="https://sounds.bl.uk/World-and-traditional-music/Endangered-Micronesian-recordings/025M-CEAP115X4X77-008ZV0" TargetMode="External"/><Relationship Id="rId252" Type="http://schemas.openxmlformats.org/officeDocument/2006/relationships/hyperlink" Target="http://www.worldcat.org/title/didgeridoo-of-the-australian-aborigines-dream-time/oclc/503097754&amp;referer=brief_results" TargetMode="External"/><Relationship Id="rId2140" Type="http://schemas.openxmlformats.org/officeDocument/2006/relationships/hyperlink" Target="https://folkways.si.edu/san-ildefonso-eagle-dance/american-indian/music/track/smithsonian" TargetMode="External"/><Relationship Id="rId112" Type="http://schemas.openxmlformats.org/officeDocument/2006/relationships/hyperlink" Target="https://folkways.si.edu/two-masked-dancers/javahe-sacred-mask-dance-songs-aruana-two-masks-dancing/american-indian-world/music/track/smithsonian" TargetMode="External"/><Relationship Id="rId1699" Type="http://schemas.openxmlformats.org/officeDocument/2006/relationships/hyperlink" Target="https://folkways.si.edu/songs-and-dances-of-the-flathead-indians/american-indian/music/album/smithsonian" TargetMode="External"/><Relationship Id="rId2000" Type="http://schemas.openxmlformats.org/officeDocument/2006/relationships/hyperlink" Target="https://search-alexanderstreet-com.ezp-prod1.hul.harvard.edu/view/work/bibliographic_entity%7Crecorded_track%7C237779" TargetMode="External"/><Relationship Id="rId929" Type="http://schemas.openxmlformats.org/officeDocument/2006/relationships/hyperlink" Target="https://folkways.si.edu/laos-recitation-from-hue-van/world/music/track/smithsonian" TargetMode="External"/><Relationship Id="rId1559" Type="http://schemas.openxmlformats.org/officeDocument/2006/relationships/hyperlink" Target="https://folkways.si.edu/lullabies-of-the-world/childrens/music/album/smithsonian" TargetMode="External"/><Relationship Id="rId1766" Type="http://schemas.openxmlformats.org/officeDocument/2006/relationships/hyperlink" Target="https://theglobaljukebox.org/?share=Thrace-T5464R09https://theglobaljukebox.org/?share=Thrace-T5464R09" TargetMode="External"/><Relationship Id="rId1973" Type="http://schemas.openxmlformats.org/officeDocument/2006/relationships/hyperlink" Target="https://folkways.si.edu/maya-y-cantu/tengo-un-amor/latin-world/music/track/smithsonian" TargetMode="External"/><Relationship Id="rId58" Type="http://schemas.openxmlformats.org/officeDocument/2006/relationships/hyperlink" Target="http://www.worldcat.org/oclc/51910079" TargetMode="External"/><Relationship Id="rId1419" Type="http://schemas.openxmlformats.org/officeDocument/2006/relationships/hyperlink" Target="http://gofile.me/3T2hs/bv57q1RIi" TargetMode="External"/><Relationship Id="rId1626" Type="http://schemas.openxmlformats.org/officeDocument/2006/relationships/hyperlink" Target="http://media.theglobaljukebox.org/audio/T5427R39.mp3" TargetMode="External"/><Relationship Id="rId1833" Type="http://schemas.openxmlformats.org/officeDocument/2006/relationships/hyperlink" Target="https://archives.crem-cnrs.fr/archives/items/CNRSMH_I_1963_006_001_15/" TargetMode="External"/><Relationship Id="rId1900" Type="http://schemas.openxmlformats.org/officeDocument/2006/relationships/hyperlink" Target="http://gofile.me/3T2hs/xR9rV8dUc" TargetMode="External"/><Relationship Id="rId134" Type="http://schemas.openxmlformats.org/officeDocument/2006/relationships/hyperlink" Target="https://theglobaljukebox.org/?share=Bahinda-T5442R03" TargetMode="External"/><Relationship Id="rId579" Type="http://schemas.openxmlformats.org/officeDocument/2006/relationships/hyperlink" Target="https://theglobaljukebox.org/?share=Baggara-T5626R22m" TargetMode="External"/><Relationship Id="rId786" Type="http://schemas.openxmlformats.org/officeDocument/2006/relationships/hyperlink" Target="https://folkways.si.edu/illukitaaruti-juggling-song-from-baffin-land/music/track/smithsonian" TargetMode="External"/><Relationship Id="rId993" Type="http://schemas.openxmlformats.org/officeDocument/2006/relationships/hyperlink" Target="http://media.theglobaljukebox.org/audio/T5539R13.mp3" TargetMode="External"/><Relationship Id="rId341" Type="http://schemas.openxmlformats.org/officeDocument/2006/relationships/hyperlink" Target="http://media.theglobaljukebox.org/audio/T5410R43.mp3" TargetMode="External"/><Relationship Id="rId439" Type="http://schemas.openxmlformats.org/officeDocument/2006/relationships/hyperlink" Target="https://folkways.si.edu/people-at-prayer/world/music/album/smithsonian" TargetMode="External"/><Relationship Id="rId646" Type="http://schemas.openxmlformats.org/officeDocument/2006/relationships/hyperlink" Target="https://theglobaljukebox.org/?share=Estonia-T5627R03" TargetMode="External"/><Relationship Id="rId1069" Type="http://schemas.openxmlformats.org/officeDocument/2006/relationships/hyperlink" Target="https://theglobaljukebox.org/?share=Azande-T5434R22" TargetMode="External"/><Relationship Id="rId1276" Type="http://schemas.openxmlformats.org/officeDocument/2006/relationships/hyperlink" Target="https://theglobaljukebox.org/?share=Cri%C5%9Fana-T5472R32" TargetMode="External"/><Relationship Id="rId1483" Type="http://schemas.openxmlformats.org/officeDocument/2006/relationships/hyperlink" Target="https://folkways.si.edu/billy-assu/n4-love-song/american-indian/music/track/smithsonian" TargetMode="External"/><Relationship Id="rId2022" Type="http://schemas.openxmlformats.org/officeDocument/2006/relationships/hyperlink" Target="https://search-alexanderstreet-com.ezp-prod1.hul.harvard.edu/view/work/bibliographic_entity%7Crecorded_cd%7C72382" TargetMode="External"/><Relationship Id="rId201" Type="http://schemas.openxmlformats.org/officeDocument/2006/relationships/hyperlink" Target="https://theglobaljukebox.org/?share=Gauri-T5416R39" TargetMode="External"/><Relationship Id="rId506" Type="http://schemas.openxmlformats.org/officeDocument/2006/relationships/hyperlink" Target="https://theglobaljukebox.org/?share=St.%20Lucia-T5478R13" TargetMode="External"/><Relationship Id="rId853" Type="http://schemas.openxmlformats.org/officeDocument/2006/relationships/hyperlink" Target="http://media.theglobaljukebox.org/audio/T5522R90.mp3" TargetMode="External"/><Relationship Id="rId1136" Type="http://schemas.openxmlformats.org/officeDocument/2006/relationships/hyperlink" Target="https://theglobaljukebox.org/?share=Sofia%20District-T5462R68" TargetMode="External"/><Relationship Id="rId1690" Type="http://schemas.openxmlformats.org/officeDocument/2006/relationships/hyperlink" Target="https://folkways.si.edu/lola-kiepja/lament-no-36-lament-no-37/american-indian-world/music/track/smithsonian" TargetMode="External"/><Relationship Id="rId1788" Type="http://schemas.openxmlformats.org/officeDocument/2006/relationships/hyperlink" Target="https://theglobaljukebox.org/?share=Aymara-T5488R01" TargetMode="External"/><Relationship Id="rId1995" Type="http://schemas.openxmlformats.org/officeDocument/2006/relationships/hyperlink" Target="http://media.theglobaljukebox.org/audio/T5464R33.mp3" TargetMode="External"/><Relationship Id="rId713" Type="http://schemas.openxmlformats.org/officeDocument/2006/relationships/hyperlink" Target="http://media.theglobaljukebox.org/audio/T5452R18.mp3" TargetMode="External"/><Relationship Id="rId920" Type="http://schemas.openxmlformats.org/officeDocument/2006/relationships/hyperlink" Target="https://theglobaljukebox.org/?share=Toda-T5569R01" TargetMode="External"/><Relationship Id="rId1343" Type="http://schemas.openxmlformats.org/officeDocument/2006/relationships/hyperlink" Target="http://gofile.me/3T2hs/bdDEUntps" TargetMode="External"/><Relationship Id="rId1550" Type="http://schemas.openxmlformats.org/officeDocument/2006/relationships/hyperlink" Target="http://www.worldcat.org/title/folksongs-of-mexico-canciones-de-mexico/oclc/42236366&amp;referer=brief_results" TargetMode="External"/><Relationship Id="rId1648" Type="http://schemas.openxmlformats.org/officeDocument/2006/relationships/hyperlink" Target="https://folkways.si.edu/antonio-de-la-cruz-and-t-de-jesus/josefinita/clavel-color-de-rosa/male-teresita-medley/american-indian-world/music/track/smithsonian" TargetMode="External"/><Relationship Id="rId1203" Type="http://schemas.openxmlformats.org/officeDocument/2006/relationships/hyperlink" Target="https://folkways.si.edu/the-pipil-indians-of-el-salvador/american-indian-world/music/album/smithsonian" TargetMode="External"/><Relationship Id="rId1410" Type="http://schemas.openxmlformats.org/officeDocument/2006/relationships/hyperlink" Target="https://folkways.si.edu/trudie-richman/sleep-little-one-iroquois-indian/childrens/music/track/smithsonian" TargetMode="External"/><Relationship Id="rId1508" Type="http://schemas.openxmlformats.org/officeDocument/2006/relationships/hyperlink" Target="http://www.worldcat.org/title/musiques-mexicaines/oclc/965998093&amp;referer=brief_results" TargetMode="External"/><Relationship Id="rId1855" Type="http://schemas.openxmlformats.org/officeDocument/2006/relationships/hyperlink" Target="https://theglobaljukebox.org/?share=Ash%C3%A1ninka-T5402R48" TargetMode="External"/><Relationship Id="rId1715" Type="http://schemas.openxmlformats.org/officeDocument/2006/relationships/hyperlink" Target="https://theglobaljukebox.org/?share=Cluj-T5466R17" TargetMode="External"/><Relationship Id="rId1922" Type="http://schemas.openxmlformats.org/officeDocument/2006/relationships/hyperlink" Target="https://folkways.si.edu/songs-of-aboriginal-australia-and-torres-strait/world/music/album/smithsonian" TargetMode="External"/><Relationship Id="rId296" Type="http://schemas.openxmlformats.org/officeDocument/2006/relationships/hyperlink" Target="http://media.theglobaljukebox.org/audio/T5440R24.mp3" TargetMode="External"/><Relationship Id="rId2184" Type="http://schemas.openxmlformats.org/officeDocument/2006/relationships/hyperlink" Target="https://archives.crem-cnrs.fr/archives/items/CNRSMH_I_2000_004_015_01/" TargetMode="External"/><Relationship Id="rId156" Type="http://schemas.openxmlformats.org/officeDocument/2006/relationships/hyperlink" Target="http://media.theglobaljukebox.org/audio/T5404R21.mp3" TargetMode="External"/><Relationship Id="rId363" Type="http://schemas.openxmlformats.org/officeDocument/2006/relationships/hyperlink" Target="https://folkways.si.edu/songs-of-assam-uttar-pradesh-and-the-andamans/world/music/album/smithsonian" TargetMode="External"/><Relationship Id="rId570" Type="http://schemas.openxmlformats.org/officeDocument/2006/relationships/hyperlink" Target="https://theglobaljukebox.org/?share=Guadeloupe-T5478R29" TargetMode="External"/><Relationship Id="rId2044" Type="http://schemas.openxmlformats.org/officeDocument/2006/relationships/hyperlink" Target="https://theglobaljukebox.org/?share=Palau-T5427R08" TargetMode="External"/><Relationship Id="rId223" Type="http://schemas.openxmlformats.org/officeDocument/2006/relationships/hyperlink" Target="https://theglobaljukebox.org/?share=Ashanti-T5616R08" TargetMode="External"/><Relationship Id="rId430" Type="http://schemas.openxmlformats.org/officeDocument/2006/relationships/hyperlink" Target="https://theglobaljukebox.org/?share=Guna-T5404R88" TargetMode="External"/><Relationship Id="rId668" Type="http://schemas.openxmlformats.org/officeDocument/2006/relationships/hyperlink" Target="http://media.theglobaljukebox.org/audio/T9502R36.mp3" TargetMode="External"/><Relationship Id="rId875" Type="http://schemas.openxmlformats.org/officeDocument/2006/relationships/hyperlink" Target="http://media.theglobaljukebox.org/audio/T5420R24.mp3" TargetMode="External"/><Relationship Id="rId1060" Type="http://schemas.openxmlformats.org/officeDocument/2006/relationships/hyperlink" Target="https://theglobaljukebox.org/?share=Hebrides-T5590R08" TargetMode="External"/><Relationship Id="rId1298" Type="http://schemas.openxmlformats.org/officeDocument/2006/relationships/hyperlink" Target="https://theglobaljukebox.org/?share=Gbaya%20Bodoe-T30027" TargetMode="External"/><Relationship Id="rId2111" Type="http://schemas.openxmlformats.org/officeDocument/2006/relationships/hyperlink" Target="https://folkways.si.edu/los-tres-paraguayos/guantanamera/latin-american-hits/world/music/album/smithsonian" TargetMode="External"/><Relationship Id="rId528" Type="http://schemas.openxmlformats.org/officeDocument/2006/relationships/hyperlink" Target="https://folkways.si.edu/john-bon/song-by-john-bon/world/music/track/smithsonian" TargetMode="External"/><Relationship Id="rId735" Type="http://schemas.openxmlformats.org/officeDocument/2006/relationships/hyperlink" Target="http://media.theglobaljukebox.org/audio/T5443R33.mp3" TargetMode="External"/><Relationship Id="rId942" Type="http://schemas.openxmlformats.org/officeDocument/2006/relationships/hyperlink" Target="https://theglobaljukebox.org/?share=Arb%C3%ABresh%C3%AB-T5522R26" TargetMode="External"/><Relationship Id="rId1158" Type="http://schemas.openxmlformats.org/officeDocument/2006/relationships/hyperlink" Target="https://sounds.bl.uk/World-and-traditional-music/Colin-Huehns-Pakistan/025M-C0485X0082XX-0500V0" TargetMode="External"/><Relationship Id="rId1365" Type="http://schemas.openxmlformats.org/officeDocument/2006/relationships/hyperlink" Target="https://folkways.si.edu/folk-music-from-italy/world/album/smithsonian" TargetMode="External"/><Relationship Id="rId1572" Type="http://schemas.openxmlformats.org/officeDocument/2006/relationships/hyperlink" Target="https://folkways.si.edu/allegany-singing-society/7-ladies-dance-songs/american-indian/music/track/smithsonian" TargetMode="External"/><Relationship Id="rId1018" Type="http://schemas.openxmlformats.org/officeDocument/2006/relationships/hyperlink" Target="https://theglobaljukebox.org/" TargetMode="External"/><Relationship Id="rId1225" Type="http://schemas.openxmlformats.org/officeDocument/2006/relationships/hyperlink" Target="http://media.theglobaljukebox.org/audio/T40018R01m.mp3" TargetMode="External"/><Relationship Id="rId1432" Type="http://schemas.openxmlformats.org/officeDocument/2006/relationships/hyperlink" Target="https://archives.crem-cnrs.fr/archives/items/CNRSMH_I_1983_001_009_02/" TargetMode="External"/><Relationship Id="rId1877" Type="http://schemas.openxmlformats.org/officeDocument/2006/relationships/hyperlink" Target="http://gofile.me/3T2hs/up0a5SeD1" TargetMode="External"/><Relationship Id="rId71" Type="http://schemas.openxmlformats.org/officeDocument/2006/relationships/hyperlink" Target="http://www.worldcat.org/oclc/15041103" TargetMode="External"/><Relationship Id="rId802" Type="http://schemas.openxmlformats.org/officeDocument/2006/relationships/hyperlink" Target="https://theglobaljukebox.org/?share=Piemonte-T5471R28" TargetMode="External"/><Relationship Id="rId1737" Type="http://schemas.openxmlformats.org/officeDocument/2006/relationships/hyperlink" Target="https://search.alexanderstreet.com/view/work/bibliographic_entity%7Crecorded_cd%7C71892?utm_source=aspresolver&amp;utm_medium=MARC&amp;utm_campaign=AlexanderStreet" TargetMode="External"/><Relationship Id="rId1944" Type="http://schemas.openxmlformats.org/officeDocument/2006/relationships/hyperlink" Target="https://theglobaljukebox.org/?share=Schleswig-Holstein-T5465R12m" TargetMode="External"/><Relationship Id="rId29" Type="http://schemas.openxmlformats.org/officeDocument/2006/relationships/hyperlink" Target="http://www.worldcat.org/oclc/21862218" TargetMode="External"/><Relationship Id="rId178" Type="http://schemas.openxmlformats.org/officeDocument/2006/relationships/hyperlink" Target="https://theglobaljukebox.org/" TargetMode="External"/><Relationship Id="rId1804" Type="http://schemas.openxmlformats.org/officeDocument/2006/relationships/hyperlink" Target="https://theglobaljukebox.org/?share=Ulithi-T5427R42m" TargetMode="External"/><Relationship Id="rId385" Type="http://schemas.openxmlformats.org/officeDocument/2006/relationships/hyperlink" Target="http://ampm.auckland.ac.nz/handle/id/67195" TargetMode="External"/><Relationship Id="rId592" Type="http://schemas.openxmlformats.org/officeDocument/2006/relationships/hyperlink" Target="http://media.theglobaljukebox.org/audio/T5437R38.mp3" TargetMode="External"/><Relationship Id="rId2066" Type="http://schemas.openxmlformats.org/officeDocument/2006/relationships/hyperlink" Target="https://ailla.utexas.org/islandora/object/ailla:140091" TargetMode="External"/><Relationship Id="rId245" Type="http://schemas.openxmlformats.org/officeDocument/2006/relationships/hyperlink" Target="https://folkways.si.edu/latvian-folk-ensemble-of-new-york/likumu-deja-the-winding-dance/world/music/track/smithsonian" TargetMode="External"/><Relationship Id="rId452" Type="http://schemas.openxmlformats.org/officeDocument/2006/relationships/hyperlink" Target="https://theglobaljukebox.org/?share=Wich%C3%AD-T5401R47" TargetMode="External"/><Relationship Id="rId897" Type="http://schemas.openxmlformats.org/officeDocument/2006/relationships/hyperlink" Target="https://folkways.si.edu/jaap-kunst/living-folksongs-and-dance-tunes-from-the-netherlands/holiday-world/music/album/smithsonian" TargetMode="External"/><Relationship Id="rId1082" Type="http://schemas.openxmlformats.org/officeDocument/2006/relationships/hyperlink" Target="https://folkways.si.edu/indian-music-of-the-canadian-plains/american-indian/album/smithsonian" TargetMode="External"/><Relationship Id="rId2133" Type="http://schemas.openxmlformats.org/officeDocument/2006/relationships/hyperlink" Target="https://folkways.si.edu/a-la-vibora-de-la-mar-to-the-serpent-of-the-sea/childrens/music/track/smithsonian" TargetMode="External"/><Relationship Id="rId105" Type="http://schemas.openxmlformats.org/officeDocument/2006/relationships/hyperlink" Target="http://www.worldcat.org/oclc/61716018" TargetMode="External"/><Relationship Id="rId312" Type="http://schemas.openxmlformats.org/officeDocument/2006/relationships/hyperlink" Target="http://media.theglobaljukebox.org/audio/T5446R04.mp3" TargetMode="External"/><Relationship Id="rId757" Type="http://schemas.openxmlformats.org/officeDocument/2006/relationships/hyperlink" Target="http://greenstone.ilam.ru.ac.za/collect/ilam/index/assoc/D18399.dir/HTFT390-L11-L1E7.mp3" TargetMode="External"/><Relationship Id="rId964" Type="http://schemas.openxmlformats.org/officeDocument/2006/relationships/hyperlink" Target="http://www.folkways.si.edu/aman-taksiripok-tokkok-kerei-sabulau-teu-alau-gege-samalaggurek-aman-turak-salolosit-teu-eppek-salolosit-and-kaddei-samapopopou/urai-turuk-bilou/islamica-world/music/track/smithsonian" TargetMode="External"/><Relationship Id="rId1387" Type="http://schemas.openxmlformats.org/officeDocument/2006/relationships/hyperlink" Target="https://sounds.bl.uk/World-and-traditional-music/Music-from-India/025M-RKDATX0078XX-0100V0" TargetMode="External"/><Relationship Id="rId1594" Type="http://schemas.openxmlformats.org/officeDocument/2006/relationships/hyperlink" Target="https://folkways.si.edu/karen-james-and-isabelita-alonso/childrens-songs-from-spain/world/music/album/smithsonian" TargetMode="External"/><Relationship Id="rId2200" Type="http://schemas.openxmlformats.org/officeDocument/2006/relationships/hyperlink" Target="https://folkways.si.edu/margarita-molinari-and-jose-lopez/the-belly/myth-of-atqashap/american-indian-world/music/track/smithsonian" TargetMode="External"/><Relationship Id="rId93" Type="http://schemas.openxmlformats.org/officeDocument/2006/relationships/hyperlink" Target="http://www.worldcat.org/oclc/66086284" TargetMode="External"/><Relationship Id="rId617" Type="http://schemas.openxmlformats.org/officeDocument/2006/relationships/hyperlink" Target="https://theglobaljukebox.org/?share=Carriacou-T5474R39" TargetMode="External"/><Relationship Id="rId824" Type="http://schemas.openxmlformats.org/officeDocument/2006/relationships/hyperlink" Target="http://media.theglobaljukebox.org/audio/T5478R45.mp3" TargetMode="External"/><Relationship Id="rId1247" Type="http://schemas.openxmlformats.org/officeDocument/2006/relationships/hyperlink" Target="http://www.worldcat.org/oclc/862959234" TargetMode="External"/><Relationship Id="rId1454" Type="http://schemas.openxmlformats.org/officeDocument/2006/relationships/hyperlink" Target="https://sounds.bl.uk/World-and-traditional-music/Nicholas-Pierce-Balochistan/025M-C0140X0017XX-0200V0" TargetMode="External"/><Relationship Id="rId1661" Type="http://schemas.openxmlformats.org/officeDocument/2006/relationships/hyperlink" Target="http://media.theglobaljukebox.org/audio/T5615R05.mp3" TargetMode="External"/><Relationship Id="rId1899" Type="http://schemas.openxmlformats.org/officeDocument/2006/relationships/hyperlink" Target="http://gofile.me/3T2hs/fzMyIGR23" TargetMode="External"/><Relationship Id="rId1107" Type="http://schemas.openxmlformats.org/officeDocument/2006/relationships/hyperlink" Target="http://www.philology.nsc.ru/departments/folklor/books/t32_CDindex.pdf" TargetMode="External"/><Relationship Id="rId1314" Type="http://schemas.openxmlformats.org/officeDocument/2006/relationships/hyperlink" Target="https://browse.nypl.org/iii/encore/record/C__Rb18403807__SNon-Russian%20folk%20traditions__Orightresult__X6?lang=eng&amp;suite=def" TargetMode="External"/><Relationship Id="rId1521" Type="http://schemas.openxmlformats.org/officeDocument/2006/relationships/hyperlink" Target="http://gofile.me/3T2hs/wZiMiSGOo" TargetMode="External"/><Relationship Id="rId1759" Type="http://schemas.openxmlformats.org/officeDocument/2006/relationships/hyperlink" Target="http://gofile.me/3T2hs/QosEgzLGU" TargetMode="External"/><Relationship Id="rId1966" Type="http://schemas.openxmlformats.org/officeDocument/2006/relationships/hyperlink" Target="https://theglobaljukebox.org/?share=Tohono%20O%E2%80%99odham-T5405R14m" TargetMode="External"/><Relationship Id="rId1619" Type="http://schemas.openxmlformats.org/officeDocument/2006/relationships/hyperlink" Target="http://media.theglobaljukebox.org/audio/T5425R22m.mp3" TargetMode="External"/><Relationship Id="rId1826" Type="http://schemas.openxmlformats.org/officeDocument/2006/relationships/hyperlink" Target="https://search-alexanderstreet-com.ezp-prod1.hul.harvard.edu/view/work/bibliographic_entity%7Crecorded_cd%7C409883" TargetMode="External"/><Relationship Id="rId20" Type="http://schemas.openxmlformats.org/officeDocument/2006/relationships/hyperlink" Target="http://www.worldcat.org/oclc/883842392" TargetMode="External"/><Relationship Id="rId2088" Type="http://schemas.openxmlformats.org/officeDocument/2006/relationships/hyperlink" Target="https://sounds.bl.uk/World-and-traditional-music/Endangered-Micronesian-recordings/025M-CEAP115X4X94-002ZV0" TargetMode="External"/><Relationship Id="rId267" Type="http://schemas.openxmlformats.org/officeDocument/2006/relationships/hyperlink" Target="https://theglobaljukebox.org/?share=Samoa-T5429R43" TargetMode="External"/><Relationship Id="rId474" Type="http://schemas.openxmlformats.org/officeDocument/2006/relationships/hyperlink" Target="http://www.worldcat.org/oclc/55029585" TargetMode="External"/><Relationship Id="rId2155" Type="http://schemas.openxmlformats.org/officeDocument/2006/relationships/hyperlink" Target="https://theglobaljukebox.org/?share=Karaj%C3%A1-T5403R59" TargetMode="External"/><Relationship Id="rId127" Type="http://schemas.openxmlformats.org/officeDocument/2006/relationships/hyperlink" Target="https://theglobaljukebox.org/?share=Maasai-Arusi-T5438R25" TargetMode="External"/><Relationship Id="rId681" Type="http://schemas.openxmlformats.org/officeDocument/2006/relationships/hyperlink" Target="http://media.theglobaljukebox.org/audio/T5543R13.mp3" TargetMode="External"/><Relationship Id="rId779" Type="http://schemas.openxmlformats.org/officeDocument/2006/relationships/hyperlink" Target="https://sounds.bl.uk/World-and-traditional-music/John-Brearley-Botswana/025M-C0065X0013XX-0600V0" TargetMode="External"/><Relationship Id="rId986" Type="http://schemas.openxmlformats.org/officeDocument/2006/relationships/hyperlink" Target="https://folkways.si.edu/2000-years-of-music-compiled-by-and-released-in-memory-of-dr-curt-sachs/classical-music-instruction-world/album/smithsonian" TargetMode="External"/><Relationship Id="rId334" Type="http://schemas.openxmlformats.org/officeDocument/2006/relationships/hyperlink" Target="https://sounds.bl.uk/World-and-traditional-music/Firth-Tikopia/025M-C0333X0002XX-0300V0" TargetMode="External"/><Relationship Id="rId541" Type="http://schemas.openxmlformats.org/officeDocument/2006/relationships/hyperlink" Target="https://search-alexanderstreet-com.ezp-prod1.hul.harvard.edu/view/work/bibliographic_entity%7Crecorded_cd%7C511039" TargetMode="External"/><Relationship Id="rId639" Type="http://schemas.openxmlformats.org/officeDocument/2006/relationships/hyperlink" Target="https://theglobaljukebox.org/?share=Diola%20Fogny-T5457R14" TargetMode="External"/><Relationship Id="rId1171" Type="http://schemas.openxmlformats.org/officeDocument/2006/relationships/hyperlink" Target="https://theglobaljukebox.org/?share=Rhodope-T5464R05" TargetMode="External"/><Relationship Id="rId1269" Type="http://schemas.openxmlformats.org/officeDocument/2006/relationships/hyperlink" Target="https://theglobaljukebox.org/?share=Rhodope-T5464R04" TargetMode="External"/><Relationship Id="rId1476" Type="http://schemas.openxmlformats.org/officeDocument/2006/relationships/hyperlink" Target="https://sounds.bl.uk/World-and-traditional-music/Colin-Huehns-Pakistan/025M-C0485X0029XX-0700V0" TargetMode="External"/><Relationship Id="rId2015" Type="http://schemas.openxmlformats.org/officeDocument/2006/relationships/hyperlink" Target="https://search-alexanderstreet-com.ezp-prod1.hul.harvard.edu/view/work/bibliographic_entity%7Crecorded_cd%7C73763" TargetMode="External"/><Relationship Id="rId401" Type="http://schemas.openxmlformats.org/officeDocument/2006/relationships/hyperlink" Target="http://ampm.auckland.ac.nz/handle/id/91548" TargetMode="External"/><Relationship Id="rId846" Type="http://schemas.openxmlformats.org/officeDocument/2006/relationships/hyperlink" Target="http://media.theglobaljukebox.org/audio/T5483R08.mp3" TargetMode="External"/><Relationship Id="rId1031" Type="http://schemas.openxmlformats.org/officeDocument/2006/relationships/hyperlink" Target="https://theglobaljukebox.org/?share=Baggara-T5626R17m" TargetMode="External"/><Relationship Id="rId1129" Type="http://schemas.openxmlformats.org/officeDocument/2006/relationships/hyperlink" Target="https://theglobaljukebox.org/?share=Wix%C3%A1ritari-T5405R08" TargetMode="External"/><Relationship Id="rId1683" Type="http://schemas.openxmlformats.org/officeDocument/2006/relationships/hyperlink" Target="https://theglobaljukebox.org/?share=Jivaro-T5402R41" TargetMode="External"/><Relationship Id="rId1890" Type="http://schemas.openxmlformats.org/officeDocument/2006/relationships/hyperlink" Target="http://gofile.me/3T2hs/Iwc3MVpJ6" TargetMode="External"/><Relationship Id="rId1988" Type="http://schemas.openxmlformats.org/officeDocument/2006/relationships/hyperlink" Target="https://theglobaljukebox.org/?share=Norway-T5465R39" TargetMode="External"/><Relationship Id="rId706" Type="http://schemas.openxmlformats.org/officeDocument/2006/relationships/hyperlink" Target="https://sounds.bl.uk/World-and-traditional-music/Vanishing-voices-from-the-Uralic-world/025M-CEAP3470579A-04XXV0" TargetMode="External"/><Relationship Id="rId913" Type="http://schemas.openxmlformats.org/officeDocument/2006/relationships/hyperlink" Target="https://theglobaljukebox.org/?share=Peleponnesus-T5462R70" TargetMode="External"/><Relationship Id="rId1336" Type="http://schemas.openxmlformats.org/officeDocument/2006/relationships/hyperlink" Target="http://www.yorkshirefolksong.net/song.cfm?songID=134" TargetMode="External"/><Relationship Id="rId1543" Type="http://schemas.openxmlformats.org/officeDocument/2006/relationships/hyperlink" Target="https://folkways.si.edu/tatyana-sat/lullaby/world/music/track/smithsonian" TargetMode="External"/><Relationship Id="rId1750" Type="http://schemas.openxmlformats.org/officeDocument/2006/relationships/hyperlink" Target="https://theglobaljukebox.org/?share=Quechua-T5543R48" TargetMode="External"/><Relationship Id="rId42" Type="http://schemas.openxmlformats.org/officeDocument/2006/relationships/hyperlink" Target="http://www.worldcat.org/oclc/2271400" TargetMode="External"/><Relationship Id="rId1403" Type="http://schemas.openxmlformats.org/officeDocument/2006/relationships/hyperlink" Target="http://gofile.me/3T2hs/tQ827nSnU" TargetMode="External"/><Relationship Id="rId1610" Type="http://schemas.openxmlformats.org/officeDocument/2006/relationships/hyperlink" Target="https://folkways.si.edu/music-of-guatemala-vol-2/american-indian-latin-world/album/smithsonian" TargetMode="External"/><Relationship Id="rId1848" Type="http://schemas.openxmlformats.org/officeDocument/2006/relationships/hyperlink" Target="https://search-alexanderstreet-com.ezp-prod1.hul.harvard.edu/view/work/bibliographic_entity%7Crecorded_cd%7C71784" TargetMode="External"/><Relationship Id="rId191" Type="http://schemas.openxmlformats.org/officeDocument/2006/relationships/hyperlink" Target="http://www.worldcat.org/title/songs-of-the-inuit-iglulik-canada/oclc/65196223" TargetMode="External"/><Relationship Id="rId1708" Type="http://schemas.openxmlformats.org/officeDocument/2006/relationships/hyperlink" Target="https://www.worldmusicstore.com/products/argentina-the-indians-of-the-gran-chaco" TargetMode="External"/><Relationship Id="rId1915" Type="http://schemas.openxmlformats.org/officeDocument/2006/relationships/hyperlink" Target="https://folkways.si.edu/childrens-songs-and-games-from-ecuador-mexico-and-puerto-rico/latin-world/music/album/smithsonian" TargetMode="External"/><Relationship Id="rId289" Type="http://schemas.openxmlformats.org/officeDocument/2006/relationships/hyperlink" Target="http://media.theglobaljukebox.org/audio/T5440R23.mp3" TargetMode="External"/><Relationship Id="rId496" Type="http://schemas.openxmlformats.org/officeDocument/2006/relationships/hyperlink" Target="http://ampm.auckland.ac.nz/handle/id/88950" TargetMode="External"/><Relationship Id="rId2177" Type="http://schemas.openxmlformats.org/officeDocument/2006/relationships/hyperlink" Target="https://folkways.si.edu/the-icelandic-singers/land-sighting/world/music/track/smithsonian" TargetMode="External"/><Relationship Id="rId149" Type="http://schemas.openxmlformats.org/officeDocument/2006/relationships/hyperlink" Target="https://sounds.bl.uk/World-and-traditional-music/Peter-Cooke-Uganda/025M-C0023X0019XX-1300V0" TargetMode="External"/><Relationship Id="rId356" Type="http://schemas.openxmlformats.org/officeDocument/2006/relationships/hyperlink" Target="https://theglobaljukebox.org/?share=Meitei-T5417R18" TargetMode="External"/><Relationship Id="rId563" Type="http://schemas.openxmlformats.org/officeDocument/2006/relationships/hyperlink" Target="http://ampm.auckland.ac.nz/handle/id/91226" TargetMode="External"/><Relationship Id="rId770" Type="http://schemas.openxmlformats.org/officeDocument/2006/relationships/hyperlink" Target="http://greenstone.ilam.ru.ac.za/collect/ilam/index/assoc/D32439.dir/AC0041-CG4.mp3" TargetMode="External"/><Relationship Id="rId1193" Type="http://schemas.openxmlformats.org/officeDocument/2006/relationships/hyperlink" Target="https://archives.crem-cnrs.fr/archives/items/CNRSMH_I_1994_002_001_01/" TargetMode="External"/><Relationship Id="rId2037" Type="http://schemas.openxmlformats.org/officeDocument/2006/relationships/hyperlink" Target="https://theglobaljukebox.org/?share=Ulithi-T5427R18" TargetMode="External"/><Relationship Id="rId216" Type="http://schemas.openxmlformats.org/officeDocument/2006/relationships/hyperlink" Target="https://folkways.si.edu/the-eskimos-of-hudson-bay-and-alaska/american-indian/music/album/smithsonian" TargetMode="External"/><Relationship Id="rId423" Type="http://schemas.openxmlformats.org/officeDocument/2006/relationships/hyperlink" Target="http://archives.crem-cnrs.fr/archives/items/CNRSMH_I_2007_011_001_01/" TargetMode="External"/><Relationship Id="rId868" Type="http://schemas.openxmlformats.org/officeDocument/2006/relationships/hyperlink" Target="http://media.theglobaljukebox.org/audio/T5588R14.mp3" TargetMode="External"/><Relationship Id="rId1053" Type="http://schemas.openxmlformats.org/officeDocument/2006/relationships/hyperlink" Target="https://theglobaljukebox.org/?share=Yukaghir-T5410R49" TargetMode="External"/><Relationship Id="rId1260" Type="http://schemas.openxmlformats.org/officeDocument/2006/relationships/hyperlink" Target="https://folkways.si.edu/juan-hernandez/juanzucuarecua/latin-world/music/track/smithsonian" TargetMode="External"/><Relationship Id="rId1498" Type="http://schemas.openxmlformats.org/officeDocument/2006/relationships/hyperlink" Target="https://archives.crem-cnrs.fr/archives/items/CNRSMH_E_1971_003_001_001_06/" TargetMode="External"/><Relationship Id="rId2104" Type="http://schemas.openxmlformats.org/officeDocument/2006/relationships/hyperlink" Target="https://sounds.bl.uk/World-and-traditional-music/Endangered-Micronesian-recordings/025M-CEAP115X4X93-005ZV0" TargetMode="External"/><Relationship Id="rId630" Type="http://schemas.openxmlformats.org/officeDocument/2006/relationships/hyperlink" Target="https://theglobaljukebox.org/?share=Perm-T5463R38" TargetMode="External"/><Relationship Id="rId728" Type="http://schemas.openxmlformats.org/officeDocument/2006/relationships/hyperlink" Target="http://media.theglobaljukebox.org/audio/T5442R24.mp3" TargetMode="External"/><Relationship Id="rId935" Type="http://schemas.openxmlformats.org/officeDocument/2006/relationships/hyperlink" Target="https://folkways.si.edu/music-of-the-magindanao-in-the-philippines-man-singing-a-love-song/woman-singing-a-lullaby-medley/central-asia-islamica-world/music/track/smithsonian" TargetMode="External"/><Relationship Id="rId1358" Type="http://schemas.openxmlformats.org/officeDocument/2006/relationships/hyperlink" Target="http://gofile.me/3T2hs/f6i0K58Rm" TargetMode="External"/><Relationship Id="rId1565" Type="http://schemas.openxmlformats.org/officeDocument/2006/relationships/hyperlink" Target="https://folkways.si.edu/avery-and-fidelia-jimerson/2-round-dance-songs/american-indian/music/track/smithsonian" TargetMode="External"/><Relationship Id="rId1772" Type="http://schemas.openxmlformats.org/officeDocument/2006/relationships/hyperlink" Target="https://folkways.si.edu/kwakiutl-singers/ladies-dance/american-indian/music/track/smithsonian" TargetMode="External"/><Relationship Id="rId64" Type="http://schemas.openxmlformats.org/officeDocument/2006/relationships/hyperlink" Target="http://www.worldcat.org/oclc/698168574" TargetMode="External"/><Relationship Id="rId1120" Type="http://schemas.openxmlformats.org/officeDocument/2006/relationships/hyperlink" Target="https://theglobaljukebox.org/?share=Nuer-T5437R45" TargetMode="External"/><Relationship Id="rId1218" Type="http://schemas.openxmlformats.org/officeDocument/2006/relationships/hyperlink" Target="https://archives.crem-cnrs.fr/archives/items/CNRSMH_I_1964_012_001_06/" TargetMode="External"/><Relationship Id="rId1425" Type="http://schemas.openxmlformats.org/officeDocument/2006/relationships/hyperlink" Target="http://media.theglobaljukebox.org/audio/T5413R47.mp3" TargetMode="External"/><Relationship Id="rId1632" Type="http://schemas.openxmlformats.org/officeDocument/2006/relationships/hyperlink" Target="https://folkways.si.edu/traditional-music-of-the-garifuna-of-belize/american-indian-world/album/smithsonian" TargetMode="External"/><Relationship Id="rId1937" Type="http://schemas.openxmlformats.org/officeDocument/2006/relationships/hyperlink" Target="https://theglobaljukebox.org/?share=Hungary%20Folk-T5462R37" TargetMode="External"/><Relationship Id="rId2199" Type="http://schemas.openxmlformats.org/officeDocument/2006/relationships/hyperlink" Target="https://folkways.si.edu/teresa-paterito-rosa-ovando-jose-lopez/chichili/arhasi/lile-duck/qorqwa-yerwa/yeqchal/kunchar/american-indian-world/music/track/smithsonian" TargetMode="External"/><Relationship Id="rId280" Type="http://schemas.openxmlformats.org/officeDocument/2006/relationships/hyperlink" Target="http://media.theglobaljukebox.org/audio/T5402R46.mp3" TargetMode="External"/><Relationship Id="rId140" Type="http://schemas.openxmlformats.org/officeDocument/2006/relationships/hyperlink" Target="http://media.theglobaljukebox.org/audio/T5403R71.mp3" TargetMode="External"/><Relationship Id="rId378" Type="http://schemas.openxmlformats.org/officeDocument/2006/relationships/hyperlink" Target="https://theglobaljukebox.org/?share=Baoul%C3%A9-T9534R59" TargetMode="External"/><Relationship Id="rId585" Type="http://schemas.openxmlformats.org/officeDocument/2006/relationships/hyperlink" Target="https://theglobaljukebox.org/?share=Yoruba-T5460R02" TargetMode="External"/><Relationship Id="rId792" Type="http://schemas.openxmlformats.org/officeDocument/2006/relationships/hyperlink" Target="https://folkways.si.edu/ishiya-bushi/world/music/track/smithsonian" TargetMode="External"/><Relationship Id="rId2059" Type="http://schemas.openxmlformats.org/officeDocument/2006/relationships/hyperlink" Target="https://sounds.bl.uk/World-and-traditional-music/Endangered-Micronesian-recordings/025M-CEAP115X4X19-001ZV0" TargetMode="External"/><Relationship Id="rId6" Type="http://schemas.openxmlformats.org/officeDocument/2006/relationships/hyperlink" Target="http://www.worldcat.org/oclc/78401666" TargetMode="External"/><Relationship Id="rId238" Type="http://schemas.openxmlformats.org/officeDocument/2006/relationships/hyperlink" Target="https://folkways.si.edu/estonia-tula-tula/childrens-world/music/track/smithsonian" TargetMode="External"/><Relationship Id="rId445" Type="http://schemas.openxmlformats.org/officeDocument/2006/relationships/hyperlink" Target="https://theglobaljukebox.org/?share=Selk'nam-T5401R17" TargetMode="External"/><Relationship Id="rId652" Type="http://schemas.openxmlformats.org/officeDocument/2006/relationships/hyperlink" Target="https://theglobaljukebox.org/?share=Ukraine-T9515R32" TargetMode="External"/><Relationship Id="rId1075" Type="http://schemas.openxmlformats.org/officeDocument/2006/relationships/hyperlink" Target="https://folkways.si.edu/bororo-society/marido-paru/music/track/smithsonian" TargetMode="External"/><Relationship Id="rId1282" Type="http://schemas.openxmlformats.org/officeDocument/2006/relationships/hyperlink" Target="https://theglobaljukebox.org/?share=Georgia-T5467R18" TargetMode="External"/><Relationship Id="rId2126" Type="http://schemas.openxmlformats.org/officeDocument/2006/relationships/hyperlink" Target="https://folkways.si.edu/male-singers/funeral-chant/islamica-world/music/track/smithsonian" TargetMode="External"/><Relationship Id="rId305" Type="http://schemas.openxmlformats.org/officeDocument/2006/relationships/hyperlink" Target="https://sounds.bl.uk/World-and-traditional-music/Peter-Cooke-Uganda/025M-C0023X0022XX-1000V0" TargetMode="External"/><Relationship Id="rId512" Type="http://schemas.openxmlformats.org/officeDocument/2006/relationships/hyperlink" Target="https://theglobaljukebox.org/?share=Trinidad%20Creole-T5476R37" TargetMode="External"/><Relationship Id="rId957" Type="http://schemas.openxmlformats.org/officeDocument/2006/relationships/hyperlink" Target="https://theglobaljukebox.org/?share=Uyghur-T5490R09" TargetMode="External"/><Relationship Id="rId1142" Type="http://schemas.openxmlformats.org/officeDocument/2006/relationships/hyperlink" Target="https://theglobaljukebox.org/?share=Wix%C3%A1ritari-T5405R11" TargetMode="External"/><Relationship Id="rId1587" Type="http://schemas.openxmlformats.org/officeDocument/2006/relationships/hyperlink" Target="https://folkways.si.edu/joshua-billy-buck/dream-song/american-indian/music/track/smithsonian" TargetMode="External"/><Relationship Id="rId1794" Type="http://schemas.openxmlformats.org/officeDocument/2006/relationships/hyperlink" Target="https://theglobaljukebox.org/" TargetMode="External"/><Relationship Id="rId86" Type="http://schemas.openxmlformats.org/officeDocument/2006/relationships/hyperlink" Target="http://www.worldcat.org/oclc/59134474" TargetMode="External"/><Relationship Id="rId817" Type="http://schemas.openxmlformats.org/officeDocument/2006/relationships/hyperlink" Target="http://media.theglobaljukebox.org/audio/T5465R19.mp3" TargetMode="External"/><Relationship Id="rId1002" Type="http://schemas.openxmlformats.org/officeDocument/2006/relationships/hyperlink" Target="https://theglobaljukebox.org/?share=Turkmen-T5482R45" TargetMode="External"/><Relationship Id="rId1447" Type="http://schemas.openxmlformats.org/officeDocument/2006/relationships/hyperlink" Target="https://search.alexanderstreet.com/preview/work/bibliographic_entity%7Cvideo_work%7C3953633" TargetMode="External"/><Relationship Id="rId1654" Type="http://schemas.openxmlformats.org/officeDocument/2006/relationships/hyperlink" Target="https://search.alexanderstreet.com/preview/work/bibliographic_entity%7Crecorded_cd%7C776444" TargetMode="External"/><Relationship Id="rId1861" Type="http://schemas.openxmlformats.org/officeDocument/2006/relationships/hyperlink" Target="https://folkways.si.edu/afunakwa/rorogwela-lullaby/music/track/smithsonian" TargetMode="External"/><Relationship Id="rId1307" Type="http://schemas.openxmlformats.org/officeDocument/2006/relationships/hyperlink" Target="https://browse.nypl.org/iii/encore/record/C__Rb18403807__SNon-Russian%20folk%20traditions__Orightresult__X6?lang=eng&amp;suite=def" TargetMode="External"/><Relationship Id="rId1514" Type="http://schemas.openxmlformats.org/officeDocument/2006/relationships/hyperlink" Target="https://search.alexanderstreet.com/preview/work/bibliographic_entity%7Crecorded_cd%7C776462" TargetMode="External"/><Relationship Id="rId1721" Type="http://schemas.openxmlformats.org/officeDocument/2006/relationships/hyperlink" Target="https://theglobaljukebox.org/?share=Arges-T5466R08" TargetMode="External"/><Relationship Id="rId1959" Type="http://schemas.openxmlformats.org/officeDocument/2006/relationships/hyperlink" Target="https://folkways.si.edu/kenneth-anquoe/buffalo-dance/american-indian/music/track/smithsonian" TargetMode="External"/><Relationship Id="rId13" Type="http://schemas.openxmlformats.org/officeDocument/2006/relationships/hyperlink" Target="http://www.worldcat.org/oclc/46653256" TargetMode="External"/><Relationship Id="rId1819" Type="http://schemas.openxmlformats.org/officeDocument/2006/relationships/hyperlink" Target="http://sami.bl.uk/uhtbin/cgisirsi/?ps=UDSpQ2MaMY/WORKS-FILE/93690043/9" TargetMode="External"/><Relationship Id="rId2190" Type="http://schemas.openxmlformats.org/officeDocument/2006/relationships/hyperlink" Target="https://archives.crem-cnrs.fr/archives/items/CNRSMH_I_2000_004_014_02/" TargetMode="External"/><Relationship Id="rId162" Type="http://schemas.openxmlformats.org/officeDocument/2006/relationships/hyperlink" Target="http://media.theglobaljukebox.org/audio/T5404R04m.mp3" TargetMode="External"/><Relationship Id="rId467" Type="http://schemas.openxmlformats.org/officeDocument/2006/relationships/hyperlink" Target="http://media.theglobaljukebox.org/audio/T5411R09m.mp3" TargetMode="External"/><Relationship Id="rId1097" Type="http://schemas.openxmlformats.org/officeDocument/2006/relationships/hyperlink" Target="http://media.theglobaljukebox.org/audio/T5415R32.mp3" TargetMode="External"/><Relationship Id="rId2050" Type="http://schemas.openxmlformats.org/officeDocument/2006/relationships/hyperlink" Target="https://sounds.bl.uk/World-and-traditional-music/Endangered-Micronesian-recordings/025M-CEAP115X4X86-001ZV0" TargetMode="External"/><Relationship Id="rId2148" Type="http://schemas.openxmlformats.org/officeDocument/2006/relationships/hyperlink" Target="https://folkways.si.edu/grupo-de-capoeira-angola-pelourinho-from-salvador-brazil/african-american-music-latin-world/album/smithsonian" TargetMode="External"/><Relationship Id="rId674" Type="http://schemas.openxmlformats.org/officeDocument/2006/relationships/hyperlink" Target="http://media.theglobaljukebox.org/audio/T40010R04.mp3" TargetMode="External"/><Relationship Id="rId881" Type="http://schemas.openxmlformats.org/officeDocument/2006/relationships/hyperlink" Target="https://folkways.si.edu/asheq-sohrab-and-ibrahim-hasan/love-song/central-asia-islamica-world/music/track/smithsonian" TargetMode="External"/><Relationship Id="rId979" Type="http://schemas.openxmlformats.org/officeDocument/2006/relationships/hyperlink" Target="https://theglobaljukebox.org/" TargetMode="External"/><Relationship Id="rId327" Type="http://schemas.openxmlformats.org/officeDocument/2006/relationships/hyperlink" Target="https://theglobaljukebox.org/?share=Colombian%20Coastal%20Folk-T5481R04" TargetMode="External"/><Relationship Id="rId534" Type="http://schemas.openxmlformats.org/officeDocument/2006/relationships/hyperlink" Target="https://search-alexanderstreet-com.ezp-prod1.hul.harvard.edu/view/work/bibliographic_entity%7Crecorded_cd%7C511039" TargetMode="External"/><Relationship Id="rId741" Type="http://schemas.openxmlformats.org/officeDocument/2006/relationships/hyperlink" Target="http://greenstone.ilam.ru.ac.za/collect/ilam/index/assoc/D8687.dir/TR111-07.mp3" TargetMode="External"/><Relationship Id="rId839" Type="http://schemas.openxmlformats.org/officeDocument/2006/relationships/hyperlink" Target="http://media.theglobaljukebox.org/audio/T30434.mp3" TargetMode="External"/><Relationship Id="rId1164" Type="http://schemas.openxmlformats.org/officeDocument/2006/relationships/hyperlink" Target="https://folkways.si.edu/lullabies-of-the-world/childrens/music/album/smithsonian" TargetMode="External"/><Relationship Id="rId1371" Type="http://schemas.openxmlformats.org/officeDocument/2006/relationships/hyperlink" Target="http://media.theglobaljukebox.org/audio/T5431R12.mp3" TargetMode="External"/><Relationship Id="rId1469" Type="http://schemas.openxmlformats.org/officeDocument/2006/relationships/hyperlink" Target="http://media.theglobaljukebox.org/audio/T5538R33.mp3" TargetMode="External"/><Relationship Id="rId2008" Type="http://schemas.openxmlformats.org/officeDocument/2006/relationships/hyperlink" Target="https://folkways.si.edu/selkham-tierra-del-fuego-whale-chant/american-indian-world/music/track/smithsonian" TargetMode="External"/><Relationship Id="rId601" Type="http://schemas.openxmlformats.org/officeDocument/2006/relationships/hyperlink" Target="http://media.theglobaljukebox.org/audio/T5437R16.mp3" TargetMode="External"/><Relationship Id="rId1024" Type="http://schemas.openxmlformats.org/officeDocument/2006/relationships/hyperlink" Target="https://theglobaljukebox.org/?share=Naples%20%26%20Coast-T5470R11" TargetMode="External"/><Relationship Id="rId1231" Type="http://schemas.openxmlformats.org/officeDocument/2006/relationships/hyperlink" Target="https://folkways.si.edu/music-of-the-indians-of-panama-the-cuna-tule-and-chocoe-embera-tribes/american-indian-world/album/smithsonian" TargetMode="External"/><Relationship Id="rId1676" Type="http://schemas.openxmlformats.org/officeDocument/2006/relationships/hyperlink" Target="https://theglobaljukebox.org/?share=Banat-T5589R24" TargetMode="External"/><Relationship Id="rId1883" Type="http://schemas.openxmlformats.org/officeDocument/2006/relationships/hyperlink" Target="http://gofile.me/3T2hs/dkb7AMMkb" TargetMode="External"/><Relationship Id="rId906" Type="http://schemas.openxmlformats.org/officeDocument/2006/relationships/hyperlink" Target="https://folkways.si.edu/lullabies-of-the-world/childrens/music/album/smithsonian" TargetMode="External"/><Relationship Id="rId1329" Type="http://schemas.openxmlformats.org/officeDocument/2006/relationships/hyperlink" Target="https://search.alexanderstreet.com/preview/work/bibliographic_entity%7Cliner_notes%7C2258560" TargetMode="External"/><Relationship Id="rId1536" Type="http://schemas.openxmlformats.org/officeDocument/2006/relationships/hyperlink" Target="https://theglobaljukebox.org/?share=Burusho-T5548R23" TargetMode="External"/><Relationship Id="rId1743" Type="http://schemas.openxmlformats.org/officeDocument/2006/relationships/hyperlink" Target="https://theglobaljukebox.org/" TargetMode="External"/><Relationship Id="rId1950" Type="http://schemas.openxmlformats.org/officeDocument/2006/relationships/hyperlink" Target="https://theglobaljukebox.org/?share=Baden-W%C3%BCrttemberg-T5462R57" TargetMode="External"/><Relationship Id="rId35" Type="http://schemas.openxmlformats.org/officeDocument/2006/relationships/hyperlink" Target="http://www.worldcat.org/oclc/123093348" TargetMode="External"/><Relationship Id="rId1603" Type="http://schemas.openxmlformats.org/officeDocument/2006/relationships/hyperlink" Target="https://search.alexanderstreet.com/preview/work/bibliographic_entity%7Crecorded_cd%7C510900" TargetMode="External"/><Relationship Id="rId1810" Type="http://schemas.openxmlformats.org/officeDocument/2006/relationships/hyperlink" Target="http://id.lib.harvard.edu/alma/990060640330203941/catalog" TargetMode="External"/><Relationship Id="rId184" Type="http://schemas.openxmlformats.org/officeDocument/2006/relationships/hyperlink" Target="https://sounds.bl.uk/World-and-traditional-music/Ken-Gourlay-Uganda/025M-C0105X0024XX-1700V0" TargetMode="External"/><Relationship Id="rId391" Type="http://schemas.openxmlformats.org/officeDocument/2006/relationships/hyperlink" Target="http://ampm.auckland.ac.nz/handle/id/82467" TargetMode="External"/><Relationship Id="rId1908" Type="http://schemas.openxmlformats.org/officeDocument/2006/relationships/hyperlink" Target="http://media.theglobaljukebox.org/audio/T5467R28.mp3" TargetMode="External"/><Relationship Id="rId2072" Type="http://schemas.openxmlformats.org/officeDocument/2006/relationships/hyperlink" Target="https://sounds.bl.uk/World-and-traditional-music/Endangered-Micronesian-recordings/025M-CEAP115X4X83-002ZV0" TargetMode="External"/><Relationship Id="rId251" Type="http://schemas.openxmlformats.org/officeDocument/2006/relationships/hyperlink" Target="http://www.worldcat.org/title/didgeridoo-of-the-australian-aborigines-dream-time/oclc/503097754&amp;referer=brief_results" TargetMode="External"/><Relationship Id="rId489" Type="http://schemas.openxmlformats.org/officeDocument/2006/relationships/hyperlink" Target="https://theglobaljukebox.org/?share=Martinique-T5474R48" TargetMode="External"/><Relationship Id="rId696" Type="http://schemas.openxmlformats.org/officeDocument/2006/relationships/hyperlink" Target="http://archives.crem-cnrs.fr/archives/items/CNRSMH_E_1997_006_001_02/" TargetMode="External"/><Relationship Id="rId349" Type="http://schemas.openxmlformats.org/officeDocument/2006/relationships/hyperlink" Target="http://media.theglobaljukebox.org/audio/T5410R70m.mp3" TargetMode="External"/><Relationship Id="rId556" Type="http://schemas.openxmlformats.org/officeDocument/2006/relationships/hyperlink" Target="http://ampm.auckland.ac.nz/handle/id/87204" TargetMode="External"/><Relationship Id="rId763" Type="http://schemas.openxmlformats.org/officeDocument/2006/relationships/hyperlink" Target="http://greenstone.ilam.ru.ac.za/collect/ilam/index/assoc/D4451.dir/TP0864-XYZT4187.mp3" TargetMode="External"/><Relationship Id="rId1186" Type="http://schemas.openxmlformats.org/officeDocument/2006/relationships/hyperlink" Target="https://theglobaljukebox.org/?share=Hausa-T5621R04m" TargetMode="External"/><Relationship Id="rId1393" Type="http://schemas.openxmlformats.org/officeDocument/2006/relationships/hyperlink" Target="https://sounds.bl.uk/World-and-traditional-music/Music-from-India/025M-RKDATX0015XX-0100V0" TargetMode="External"/><Relationship Id="rId111" Type="http://schemas.openxmlformats.org/officeDocument/2006/relationships/hyperlink" Target="https://theglobaljukebox.org/" TargetMode="External"/><Relationship Id="rId209" Type="http://schemas.openxmlformats.org/officeDocument/2006/relationships/hyperlink" Target="https://theglobaljukebox.org/?share=Gond-T5544R02" TargetMode="External"/><Relationship Id="rId416" Type="http://schemas.openxmlformats.org/officeDocument/2006/relationships/hyperlink" Target="http://archives.crem-cnrs.fr/archives/items/CNRSMH_I_2002_017_010_12/" TargetMode="External"/><Relationship Id="rId970" Type="http://schemas.openxmlformats.org/officeDocument/2006/relationships/hyperlink" Target="https://theglobaljukebox.org/" TargetMode="External"/><Relationship Id="rId1046" Type="http://schemas.openxmlformats.org/officeDocument/2006/relationships/hyperlink" Target="https://folkways.si.edu/azad-ibragimov-ulugbek-kurbanbaev-maxsud-yeshchanov/muqaddima-i-segah/music/track/smithsonian" TargetMode="External"/><Relationship Id="rId1253" Type="http://schemas.openxmlformats.org/officeDocument/2006/relationships/hyperlink" Target="https://search.alexanderstreet.com/preview/work/bibliographic_entity%7Crecorded_cd%7C315119" TargetMode="External"/><Relationship Id="rId1698" Type="http://schemas.openxmlformats.org/officeDocument/2006/relationships/hyperlink" Target="https://theglobaljukebox.org/?share=Bar%C3%AD-T5404R72" TargetMode="External"/><Relationship Id="rId623" Type="http://schemas.openxmlformats.org/officeDocument/2006/relationships/hyperlink" Target="https://folkways.si.edu/tatyana-sat/lullaby/world/music/track/smithsonian" TargetMode="External"/><Relationship Id="rId830" Type="http://schemas.openxmlformats.org/officeDocument/2006/relationships/hyperlink" Target="http://www.worldcat.org/title/songs-of-the-inuit-iglulik-canada/oclc/65196223&amp;referer=brief_results" TargetMode="External"/><Relationship Id="rId928" Type="http://schemas.openxmlformats.org/officeDocument/2006/relationships/hyperlink" Target="https://folkways.si.edu/laos-folk-dance/world/music/track/smithsonian" TargetMode="External"/><Relationship Id="rId1460" Type="http://schemas.openxmlformats.org/officeDocument/2006/relationships/hyperlink" Target="https://sounds.bl.uk/World-and-traditional-music/Colin-Huehns-Pakistan/025M-C0485X0038XX-0100V0" TargetMode="External"/><Relationship Id="rId1558" Type="http://schemas.openxmlformats.org/officeDocument/2006/relationships/hyperlink" Target="https://search.alexanderstreet.com/preview/work/bibliographic_entity%7Crecorded_cd%7C891378" TargetMode="External"/><Relationship Id="rId1765" Type="http://schemas.openxmlformats.org/officeDocument/2006/relationships/hyperlink" Target="https://theglobaljukebox.org/?share=Thrace-T5464R07" TargetMode="External"/><Relationship Id="rId57" Type="http://schemas.openxmlformats.org/officeDocument/2006/relationships/hyperlink" Target="http://www.worldcat.org/oclc/61716018" TargetMode="External"/><Relationship Id="rId1113" Type="http://schemas.openxmlformats.org/officeDocument/2006/relationships/hyperlink" Target="http://www.philology.nsc.ru/departments/folklor/books/t32.php" TargetMode="External"/><Relationship Id="rId1320" Type="http://schemas.openxmlformats.org/officeDocument/2006/relationships/hyperlink" Target="https://search.alexanderstreet.com/preview/work/bibliographic_entity%7Cliner_notes%7C2258560" TargetMode="External"/><Relationship Id="rId1418" Type="http://schemas.openxmlformats.org/officeDocument/2006/relationships/hyperlink" Target="http://gofile.me/3T2hs/pQ5k2eVDf" TargetMode="External"/><Relationship Id="rId1972" Type="http://schemas.openxmlformats.org/officeDocument/2006/relationships/hyperlink" Target="https://folkways.si.edu/el-palomo-y-el-gorrion/ezequiel-rodriguez/latin-world/music/track/smithsonian" TargetMode="External"/><Relationship Id="rId1625" Type="http://schemas.openxmlformats.org/officeDocument/2006/relationships/hyperlink" Target="http://media.theglobaljukebox.org/audio/T5427R37.mp3" TargetMode="External"/><Relationship Id="rId1832" Type="http://schemas.openxmlformats.org/officeDocument/2006/relationships/hyperlink" Target="https://archives.crem-cnrs.fr/archives/items/CNRSMH_I_1963_006_001_02/" TargetMode="External"/><Relationship Id="rId2094" Type="http://schemas.openxmlformats.org/officeDocument/2006/relationships/hyperlink" Target="http://ampm.auckland.ac.nz/handle/id/78050" TargetMode="External"/><Relationship Id="rId273" Type="http://schemas.openxmlformats.org/officeDocument/2006/relationships/hyperlink" Target="http://archives.crem-cnrs.fr/archives/items/CNRSMH_E_1998_017_001_002_16/" TargetMode="External"/><Relationship Id="rId480" Type="http://schemas.openxmlformats.org/officeDocument/2006/relationships/hyperlink" Target="http://www.worldcat.org/oclc/3237924" TargetMode="External"/><Relationship Id="rId2161" Type="http://schemas.openxmlformats.org/officeDocument/2006/relationships/hyperlink" Target="https://folkways.si.edu/jose-lopez-margarita-molinari/the-smoking-pipe/carancho/chichili/toyaqa/the-sea-wolf/american-indian-world/music/track/smithsonian" TargetMode="External"/><Relationship Id="rId133" Type="http://schemas.openxmlformats.org/officeDocument/2006/relationships/hyperlink" Target="https://theglobaljukebox.org/?share=Basoga-T5441R02" TargetMode="External"/><Relationship Id="rId340" Type="http://schemas.openxmlformats.org/officeDocument/2006/relationships/hyperlink" Target="http://media.theglobaljukebox.org/audio/T5410R48.mp3" TargetMode="External"/><Relationship Id="rId578" Type="http://schemas.openxmlformats.org/officeDocument/2006/relationships/hyperlink" Target="http://archives.crem-cnrs.fr/archives/items/CNRSMH_I_1965_002_001_02/" TargetMode="External"/><Relationship Id="rId785" Type="http://schemas.openxmlformats.org/officeDocument/2006/relationships/hyperlink" Target="https://folkways.si.edu/three-katajjait-from-baffin-land/music/track/smithsonian" TargetMode="External"/><Relationship Id="rId992" Type="http://schemas.openxmlformats.org/officeDocument/2006/relationships/hyperlink" Target="https://theglobaljukebox.org/" TargetMode="External"/><Relationship Id="rId2021" Type="http://schemas.openxmlformats.org/officeDocument/2006/relationships/hyperlink" Target="https://search-alexanderstreet-com.ezp-prod1.hul.harvard.edu/view/work/bibliographic_entity%7Crecorded_cd%7C72382" TargetMode="External"/><Relationship Id="rId200" Type="http://schemas.openxmlformats.org/officeDocument/2006/relationships/hyperlink" Target="https://theglobaljukebox.org/?share=Mapuche-T5401R35" TargetMode="External"/><Relationship Id="rId438" Type="http://schemas.openxmlformats.org/officeDocument/2006/relationships/hyperlink" Target="https://folkways.si.edu/dance-and-festivity/world/music/album/smithsonian" TargetMode="External"/><Relationship Id="rId645" Type="http://schemas.openxmlformats.org/officeDocument/2006/relationships/hyperlink" Target="https://theglobaljukebox.org/?share=Estonia-T5627R01" TargetMode="External"/><Relationship Id="rId852" Type="http://schemas.openxmlformats.org/officeDocument/2006/relationships/hyperlink" Target="http://media.theglobaljukebox.org/audio/T5482R36.mp3" TargetMode="External"/><Relationship Id="rId1068" Type="http://schemas.openxmlformats.org/officeDocument/2006/relationships/hyperlink" Target="https://theglobaljukebox.org/?share=Dublin-T5586R01" TargetMode="External"/><Relationship Id="rId1275" Type="http://schemas.openxmlformats.org/officeDocument/2006/relationships/hyperlink" Target="https://theglobaljukebox.org/?share=Maramure%C8%99-T5522R69" TargetMode="External"/><Relationship Id="rId1482" Type="http://schemas.openxmlformats.org/officeDocument/2006/relationships/hyperlink" Target="https://search.alexanderstreet.com/preview/work/bibliographic_entity%7Crecorded_cd%7C776462" TargetMode="External"/><Relationship Id="rId2119" Type="http://schemas.openxmlformats.org/officeDocument/2006/relationships/hyperlink" Target="https://folkways.si.edu/a-paul-ortega-and-sharon-burch/moccasin-game-song/american-indian/music/track/smithsonian" TargetMode="External"/><Relationship Id="rId505" Type="http://schemas.openxmlformats.org/officeDocument/2006/relationships/hyperlink" Target="https://theglobaljukebox.org/?share=St.%20Lucia-T5478R02" TargetMode="External"/><Relationship Id="rId712" Type="http://schemas.openxmlformats.org/officeDocument/2006/relationships/hyperlink" Target="http://media.theglobaljukebox.org/audio/T5452R25.mp3" TargetMode="External"/><Relationship Id="rId1135" Type="http://schemas.openxmlformats.org/officeDocument/2006/relationships/hyperlink" Target="https://theglobaljukebox.org/?share=Wix%C3%A1ritari-T5405R01" TargetMode="External"/><Relationship Id="rId1342" Type="http://schemas.openxmlformats.org/officeDocument/2006/relationships/hyperlink" Target="https://www.itma.ie/digital-library/sound/banks_of_bann_eddie_butcher" TargetMode="External"/><Relationship Id="rId1787" Type="http://schemas.openxmlformats.org/officeDocument/2006/relationships/hyperlink" Target="https://theglobaljukebox.org/?share=Aymara-T5488R01" TargetMode="External"/><Relationship Id="rId1994" Type="http://schemas.openxmlformats.org/officeDocument/2006/relationships/hyperlink" Target="https://theglobaljukebox.org/?share=Norway-T5464R30" TargetMode="External"/><Relationship Id="rId79" Type="http://schemas.openxmlformats.org/officeDocument/2006/relationships/hyperlink" Target="http://www.worldcat.org/oclc/3085331" TargetMode="External"/><Relationship Id="rId1202" Type="http://schemas.openxmlformats.org/officeDocument/2006/relationships/hyperlink" Target="https://theglobaljukebox.org/?share=Tuareg-T5596R01" TargetMode="External"/><Relationship Id="rId1647" Type="http://schemas.openxmlformats.org/officeDocument/2006/relationships/hyperlink" Target="https://folkways.si.edu/antonio-de-la-cruz-and-t-de-jesus/josefinita/clavel-color-de-rosa/male-teresita-medley/american-indian-world/music/track/smithsonian" TargetMode="External"/><Relationship Id="rId1854" Type="http://schemas.openxmlformats.org/officeDocument/2006/relationships/hyperlink" Target="http://gofile.me/3T2hs/39QrR6Yn9" TargetMode="External"/><Relationship Id="rId1507" Type="http://schemas.openxmlformats.org/officeDocument/2006/relationships/hyperlink" Target="http://www.worldcat.org/title/musiques-mexicaines/oclc/965998093&amp;referer=brief_results" TargetMode="External"/><Relationship Id="rId1714" Type="http://schemas.openxmlformats.org/officeDocument/2006/relationships/hyperlink" Target="https://theglobaljukebox.org/?share=Dublin-T9526R14" TargetMode="External"/><Relationship Id="rId295" Type="http://schemas.openxmlformats.org/officeDocument/2006/relationships/hyperlink" Target="http://media.theglobaljukebox.org/audio/T5553R31.mp3" TargetMode="External"/><Relationship Id="rId1921" Type="http://schemas.openxmlformats.org/officeDocument/2006/relationships/hyperlink" Target="https://folkways.si.edu/songs-of-aboriginal-australia-and-torres-strait/world/music/album/smithsonian" TargetMode="External"/><Relationship Id="rId2183" Type="http://schemas.openxmlformats.org/officeDocument/2006/relationships/hyperlink" Target="https://folkways.si.edu/gudrun-grave-norlund/verses-from-the-draumkvedet-the-vision-of-heaven-and-hell/world/music/track/smithsonian" TargetMode="External"/><Relationship Id="rId155" Type="http://schemas.openxmlformats.org/officeDocument/2006/relationships/hyperlink" Target="http://media.theglobaljukebox.org/audio/T5404R11m.mp3" TargetMode="External"/><Relationship Id="rId362" Type="http://schemas.openxmlformats.org/officeDocument/2006/relationships/hyperlink" Target="https://theglobaljukebox.org/?share=Bhojpuri-T5547R10" TargetMode="External"/><Relationship Id="rId1297" Type="http://schemas.openxmlformats.org/officeDocument/2006/relationships/hyperlink" Target="https://folkways.si.edu/mixed-baya-singers-with-rattles-three-drummers/baya-dance-mixed-voices-drums-rattles/world/music/track/smithsonian" TargetMode="External"/><Relationship Id="rId2043" Type="http://schemas.openxmlformats.org/officeDocument/2006/relationships/hyperlink" Target="https://archives.crem-cnrs.fr/archives/items/CNRSMH_I_1953_002_001_06/" TargetMode="External"/><Relationship Id="rId222" Type="http://schemas.openxmlformats.org/officeDocument/2006/relationships/hyperlink" Target="http://media.theglobaljukebox.org/audio/T5481R20.mp3" TargetMode="External"/><Relationship Id="rId667" Type="http://schemas.openxmlformats.org/officeDocument/2006/relationships/hyperlink" Target="http://media.theglobaljukebox.org/audio/T9534R27.mp3" TargetMode="External"/><Relationship Id="rId874" Type="http://schemas.openxmlformats.org/officeDocument/2006/relationships/hyperlink" Target="http://media.theglobaljukebox.org/audio/T5420R29.mp3" TargetMode="External"/><Relationship Id="rId2110" Type="http://schemas.openxmlformats.org/officeDocument/2006/relationships/hyperlink" Target="https://folkways.si.edu/los-tres-paraguayos/guantanamera/latin-american-hits/world/music/album/smithsonian" TargetMode="External"/><Relationship Id="rId527" Type="http://schemas.openxmlformats.org/officeDocument/2006/relationships/hyperlink" Target="https://theglobaljukebox.org/?share=Carriacou-T5473R20" TargetMode="External"/><Relationship Id="rId734" Type="http://schemas.openxmlformats.org/officeDocument/2006/relationships/hyperlink" Target="http://media.theglobaljukebox.org/audio/T5443R32.mp3" TargetMode="External"/><Relationship Id="rId941" Type="http://schemas.openxmlformats.org/officeDocument/2006/relationships/hyperlink" Target="https://folkways.si.edu/ading-kerah/healing-ceremony-tanggey-genre-pengaseh-flower-song/islamica-psychology-health-world/track/smithsonian" TargetMode="External"/><Relationship Id="rId1157" Type="http://schemas.openxmlformats.org/officeDocument/2006/relationships/hyperlink" Target="https://sounds.bl.uk/World-and-traditional-music/Colin-Huehns-Pakistan/025M-C0485X0082XX-1600V0" TargetMode="External"/><Relationship Id="rId1364" Type="http://schemas.openxmlformats.org/officeDocument/2006/relationships/hyperlink" Target="https://folkways.si.edu/folk-music-from-italy/world/album/smithsonian" TargetMode="External"/><Relationship Id="rId1571" Type="http://schemas.openxmlformats.org/officeDocument/2006/relationships/hyperlink" Target="https://folkways.si.edu/avery-and-fidelia-jimerson/smoke-dance/american-indian/music/track/smithsonian" TargetMode="External"/><Relationship Id="rId70" Type="http://schemas.openxmlformats.org/officeDocument/2006/relationships/hyperlink" Target="http://www.worldcat.org/oclc/50127238" TargetMode="External"/><Relationship Id="rId801" Type="http://schemas.openxmlformats.org/officeDocument/2006/relationships/hyperlink" Target="http://media.theglobaljukebox.org/audio/T5422R21.mp3" TargetMode="External"/><Relationship Id="rId1017" Type="http://schemas.openxmlformats.org/officeDocument/2006/relationships/hyperlink" Target="https://theglobaljukebox.org/" TargetMode="External"/><Relationship Id="rId1224" Type="http://schemas.openxmlformats.org/officeDocument/2006/relationships/hyperlink" Target="http://media.theglobaljukebox.org/audio/T5404R96.mp3" TargetMode="External"/><Relationship Id="rId1431" Type="http://schemas.openxmlformats.org/officeDocument/2006/relationships/hyperlink" Target="https://theglobaljukebox.org/?share=Gor-T30010" TargetMode="External"/><Relationship Id="rId1669" Type="http://schemas.openxmlformats.org/officeDocument/2006/relationships/hyperlink" Target="https://folkways.si.edu/songs-and-dances-of-the-flathead-indians/american-indian/music/album/smithsonian" TargetMode="External"/><Relationship Id="rId1876" Type="http://schemas.openxmlformats.org/officeDocument/2006/relationships/hyperlink" Target="http://gofile.me/3T2hs/Jgc1PAcZH" TargetMode="External"/><Relationship Id="rId1529" Type="http://schemas.openxmlformats.org/officeDocument/2006/relationships/hyperlink" Target="https://search.alexanderstreet.com/preview/work/bibliographic_entity%7Crecorded_cd%7C1643699?ssotoken=anonymous" TargetMode="External"/><Relationship Id="rId1736" Type="http://schemas.openxmlformats.org/officeDocument/2006/relationships/hyperlink" Target="https://search.alexanderstreet.com/view/work/bibliographic_entity%7Crecorded_cd%7C71892?utm_source=aspresolver&amp;utm_medium=MARC&amp;utm_campaign=AlexanderStreet" TargetMode="External"/><Relationship Id="rId1943" Type="http://schemas.openxmlformats.org/officeDocument/2006/relationships/hyperlink" Target="https://theglobaljukebox.org/?share=Lower%20Saxony-T5465R17m" TargetMode="External"/><Relationship Id="rId28" Type="http://schemas.openxmlformats.org/officeDocument/2006/relationships/hyperlink" Target="http://www.worldcat.org/title/soul-chaesu-kut-kwa-chinogwi-kut-seoul-jaesu-kut-jinogwi-kut/oclc/663384703" TargetMode="External"/><Relationship Id="rId1803" Type="http://schemas.openxmlformats.org/officeDocument/2006/relationships/hyperlink" Target="https://folkways-media.si.edu/liner_notes/arhoolie/ARH00311.pdf" TargetMode="External"/><Relationship Id="rId177" Type="http://schemas.openxmlformats.org/officeDocument/2006/relationships/hyperlink" Target="https://theglobaljukebox.org/" TargetMode="External"/><Relationship Id="rId384" Type="http://schemas.openxmlformats.org/officeDocument/2006/relationships/hyperlink" Target="http://gofile.me/3T2hs/C0JSFat9P" TargetMode="External"/><Relationship Id="rId591" Type="http://schemas.openxmlformats.org/officeDocument/2006/relationships/hyperlink" Target="http://media.theglobaljukebox.org/audio/T5626R23m.mp3" TargetMode="External"/><Relationship Id="rId2065" Type="http://schemas.openxmlformats.org/officeDocument/2006/relationships/hyperlink" Target="https://archives.crem-cnrs.fr/archives/items/27882/" TargetMode="External"/><Relationship Id="rId244" Type="http://schemas.openxmlformats.org/officeDocument/2006/relationships/hyperlink" Target="https://theglobaljukebox.org/?share=Selk'nam-T5401R20" TargetMode="External"/><Relationship Id="rId689" Type="http://schemas.openxmlformats.org/officeDocument/2006/relationships/hyperlink" Target="http://media.theglobaljukebox.org/audio/T5457R06.mp3" TargetMode="External"/><Relationship Id="rId896" Type="http://schemas.openxmlformats.org/officeDocument/2006/relationships/hyperlink" Target="https://theglobaljukebox.org/?share=Turkey-T5554R15" TargetMode="External"/><Relationship Id="rId1081" Type="http://schemas.openxmlformats.org/officeDocument/2006/relationships/hyperlink" Target="https://theglobaljukebox.org/?share=Totonac-T5405R63" TargetMode="External"/><Relationship Id="rId451" Type="http://schemas.openxmlformats.org/officeDocument/2006/relationships/hyperlink" Target="https://vimeo.com/69669861" TargetMode="External"/><Relationship Id="rId549" Type="http://schemas.openxmlformats.org/officeDocument/2006/relationships/hyperlink" Target="http://ampm.auckland.ac.nz/handle/id/87111" TargetMode="External"/><Relationship Id="rId756" Type="http://schemas.openxmlformats.org/officeDocument/2006/relationships/hyperlink" Target="http://greenstone.ilam.ru.ac.za/collect/ilam/index/assoc/D25133.dir/DDC106a-07.mp3" TargetMode="External"/><Relationship Id="rId1179" Type="http://schemas.openxmlformats.org/officeDocument/2006/relationships/hyperlink" Target="http://www.folkways.si.edu/TrackDetails.aspx?itemid=5929" TargetMode="External"/><Relationship Id="rId1386" Type="http://schemas.openxmlformats.org/officeDocument/2006/relationships/hyperlink" Target="https://sounds.bl.uk/World-and-traditional-music/Music-from-India/025M-RKDATX0077XX-0100V0" TargetMode="External"/><Relationship Id="rId1593" Type="http://schemas.openxmlformats.org/officeDocument/2006/relationships/hyperlink" Target="https://folkways.si.edu/panther-josie-billie/songs-for-the-story-of-the-opossum-and-her-baby/american-indian/music/track/smithsonian" TargetMode="External"/><Relationship Id="rId2132" Type="http://schemas.openxmlformats.org/officeDocument/2006/relationships/hyperlink" Target="https://folkways.si.edu/arroz-con-leche-rice-and-milk-ring-around-the-rosy/childrens/music/track/smithsonian" TargetMode="External"/><Relationship Id="rId104" Type="http://schemas.openxmlformats.org/officeDocument/2006/relationships/hyperlink" Target="http://www.worldcat.org/oclc/10186774" TargetMode="External"/><Relationship Id="rId311" Type="http://schemas.openxmlformats.org/officeDocument/2006/relationships/hyperlink" Target="http://media.theglobaljukebox.org/audio/T5451R11.mp3" TargetMode="External"/><Relationship Id="rId409" Type="http://schemas.openxmlformats.org/officeDocument/2006/relationships/hyperlink" Target="http://ampm.auckland.ac.nz/handle/id/66683" TargetMode="External"/><Relationship Id="rId963" Type="http://schemas.openxmlformats.org/officeDocument/2006/relationships/hyperlink" Target="http://www.folkways.si.edu/harun-rajo-bujang-and-enceh-k/lambok-malam/islamica-world/music/track/smithsonian" TargetMode="External"/><Relationship Id="rId1039" Type="http://schemas.openxmlformats.org/officeDocument/2006/relationships/hyperlink" Target="http://media.theglobaljukebox.org/audio/T5403R39.mp3" TargetMode="External"/><Relationship Id="rId1246" Type="http://schemas.openxmlformats.org/officeDocument/2006/relationships/hyperlink" Target="http://www.worldcat.org/oclc/862959234" TargetMode="External"/><Relationship Id="rId1898" Type="http://schemas.openxmlformats.org/officeDocument/2006/relationships/hyperlink" Target="http://gofile.me/3T2hs/fzMyIGR23" TargetMode="External"/><Relationship Id="rId92" Type="http://schemas.openxmlformats.org/officeDocument/2006/relationships/hyperlink" Target="http://www.worldcat.org/oclc/123093348" TargetMode="External"/><Relationship Id="rId616" Type="http://schemas.openxmlformats.org/officeDocument/2006/relationships/hyperlink" Target="https://theglobaljukebox.org/?share=Guadeloupe-T5478R28" TargetMode="External"/><Relationship Id="rId823" Type="http://schemas.openxmlformats.org/officeDocument/2006/relationships/hyperlink" Target="https://theglobaljukebox.org/" TargetMode="External"/><Relationship Id="rId1453" Type="http://schemas.openxmlformats.org/officeDocument/2006/relationships/hyperlink" Target="https://search.alexanderstreet.com/preview/work/bibliographic_entity%7Crecorded_cd%7C1747788" TargetMode="External"/><Relationship Id="rId1660" Type="http://schemas.openxmlformats.org/officeDocument/2006/relationships/hyperlink" Target="http://www.worldcat.org/oclc/4973632905" TargetMode="External"/><Relationship Id="rId1758" Type="http://schemas.openxmlformats.org/officeDocument/2006/relationships/hyperlink" Target="http://gofile.me/3T2hs/Gmzi8g1IY" TargetMode="External"/><Relationship Id="rId1106" Type="http://schemas.openxmlformats.org/officeDocument/2006/relationships/hyperlink" Target="http://media.theglobaljukebox.org/audio/T5414R05.mp3" TargetMode="External"/><Relationship Id="rId1313" Type="http://schemas.openxmlformats.org/officeDocument/2006/relationships/hyperlink" Target="https://browse.nypl.org/iii/encore/record/C__Rb18403807__SNon-Russian%20folk%20traditions__Orightresult__X6?lang=eng&amp;suite=def" TargetMode="External"/><Relationship Id="rId1520" Type="http://schemas.openxmlformats.org/officeDocument/2006/relationships/hyperlink" Target="http://gofile.me/3T2hs/eMs7FbL4W" TargetMode="External"/><Relationship Id="rId1965" Type="http://schemas.openxmlformats.org/officeDocument/2006/relationships/hyperlink" Target="https://theglobaljukebox.org/?share=Akimel%20O'odham-T5405R28" TargetMode="External"/><Relationship Id="rId1618" Type="http://schemas.openxmlformats.org/officeDocument/2006/relationships/hyperlink" Target="http://media.theglobaljukebox.org/audio/T5536R31.mp3" TargetMode="External"/><Relationship Id="rId1825" Type="http://schemas.openxmlformats.org/officeDocument/2006/relationships/hyperlink" Target="https://search-alexanderstreet-com.ezp-prod1.hul.harvard.edu/view/work/bibliographic_entity%7Crecorded_cd%7C409883" TargetMode="External"/><Relationship Id="rId199" Type="http://schemas.openxmlformats.org/officeDocument/2006/relationships/hyperlink" Target="http://media.theglobaljukebox.org/audio/T5488R02.mp3" TargetMode="External"/><Relationship Id="rId2087" Type="http://schemas.openxmlformats.org/officeDocument/2006/relationships/hyperlink" Target="https://sounds.bl.uk/World-and-traditional-music/Endangered-Micronesian-recordings/025M-CEAP115X4X78-015ZV0" TargetMode="External"/><Relationship Id="rId266" Type="http://schemas.openxmlformats.org/officeDocument/2006/relationships/hyperlink" Target="https://theglobaljukebox.org/?share=Samoa-T5429R43" TargetMode="External"/><Relationship Id="rId473" Type="http://schemas.openxmlformats.org/officeDocument/2006/relationships/hyperlink" Target="http://id.lib.harvard.edu/aleph/012096982/catalog" TargetMode="External"/><Relationship Id="rId680" Type="http://schemas.openxmlformats.org/officeDocument/2006/relationships/hyperlink" Target="http://greenstone.ilam.ru.ac.za/collect/ilam/index/assoc/D68.dir/A67-01.mp3" TargetMode="External"/><Relationship Id="rId2154" Type="http://schemas.openxmlformats.org/officeDocument/2006/relationships/hyperlink" Target="https://folkways.si.edu/the-discoteca-collection-missao-de-pesquisas-folcloricas/world/music/album/smithsonian" TargetMode="External"/><Relationship Id="rId126" Type="http://schemas.openxmlformats.org/officeDocument/2006/relationships/hyperlink" Target="http://www.worldcat.org/title/canada-songs-of-the-inuit/oclc/32300954&amp;referer=brief_results" TargetMode="External"/><Relationship Id="rId333" Type="http://schemas.openxmlformats.org/officeDocument/2006/relationships/hyperlink" Target="https://sounds.bl.uk/World-and-traditional-music/Firth-Tikopia/025M-C0333X0004XX-0300V0" TargetMode="External"/><Relationship Id="rId540" Type="http://schemas.openxmlformats.org/officeDocument/2006/relationships/hyperlink" Target="https://ailla.utexas.org/islandora/object/ailla%3A125393" TargetMode="External"/><Relationship Id="rId778" Type="http://schemas.openxmlformats.org/officeDocument/2006/relationships/hyperlink" Target="https://sounds.bl.uk/World-and-traditional-music/John-Brearley-Botswana/025M-C0065X0037XX-0200V0" TargetMode="External"/><Relationship Id="rId985" Type="http://schemas.openxmlformats.org/officeDocument/2006/relationships/hyperlink" Target="https://theglobaljukebox.org/" TargetMode="External"/><Relationship Id="rId1170" Type="http://schemas.openxmlformats.org/officeDocument/2006/relationships/hyperlink" Target="https://folkways.si.edu/spells-and-charms-flower-feast-song-aztec/poetry/track/smithsonian" TargetMode="External"/><Relationship Id="rId2014" Type="http://schemas.openxmlformats.org/officeDocument/2006/relationships/hyperlink" Target="https://search-alexanderstreet-com.ezp-prod1.hul.harvard.edu/view/work/bibliographic_entity%7Crecorded_cd%7C73763" TargetMode="External"/><Relationship Id="rId638" Type="http://schemas.openxmlformats.org/officeDocument/2006/relationships/hyperlink" Target="https://theglobaljukebox.org/?share=Diola%20Fogny-T5457R15" TargetMode="External"/><Relationship Id="rId845" Type="http://schemas.openxmlformats.org/officeDocument/2006/relationships/hyperlink" Target="http://media.theglobaljukebox.org/audio/T5412R14.mp3" TargetMode="External"/><Relationship Id="rId1030" Type="http://schemas.openxmlformats.org/officeDocument/2006/relationships/hyperlink" Target="https://theglobaljukebox.org/?share=Baggara-T5626R16m" TargetMode="External"/><Relationship Id="rId1268" Type="http://schemas.openxmlformats.org/officeDocument/2006/relationships/hyperlink" Target="https://theglobaljukebox.org/?share=Rhodope-T5464R03" TargetMode="External"/><Relationship Id="rId1475" Type="http://schemas.openxmlformats.org/officeDocument/2006/relationships/hyperlink" Target="https://sounds.bl.uk/World-and-traditional-music/Colin-Huehns-Pakistan/025M-C0485X0059XX-0300V0" TargetMode="External"/><Relationship Id="rId1682" Type="http://schemas.openxmlformats.org/officeDocument/2006/relationships/hyperlink" Target="https://theglobaljukebox.org/?share=Wayuu-T5404R58" TargetMode="External"/><Relationship Id="rId400" Type="http://schemas.openxmlformats.org/officeDocument/2006/relationships/hyperlink" Target="http://gofile.me/3T2hs/xtwmcWtLr" TargetMode="External"/><Relationship Id="rId705" Type="http://schemas.openxmlformats.org/officeDocument/2006/relationships/hyperlink" Target="https://sounds.bl.uk/World-and-traditional-music/Vanishing-voices-from-the-Uralic-world/025M-CEAP3470142A-02XXV0" TargetMode="External"/><Relationship Id="rId1128" Type="http://schemas.openxmlformats.org/officeDocument/2006/relationships/hyperlink" Target="http://www.philology.nsc.ru/departments/folklor_en/t27.php" TargetMode="External"/><Relationship Id="rId1335" Type="http://schemas.openxmlformats.org/officeDocument/2006/relationships/hyperlink" Target="http://www.yorkshirefolksong.net/song.cfm?songID=88" TargetMode="External"/><Relationship Id="rId1542" Type="http://schemas.openxmlformats.org/officeDocument/2006/relationships/hyperlink" Target="https://folkways.si.edu/kazak-sandak/ceremonial-song-hymn-to-the-mountains/world/music/track/smithsonian" TargetMode="External"/><Relationship Id="rId1987" Type="http://schemas.openxmlformats.org/officeDocument/2006/relationships/hyperlink" Target="http://media.theglobaljukebox.org/audio/T5465R39.mp3" TargetMode="External"/><Relationship Id="rId912" Type="http://schemas.openxmlformats.org/officeDocument/2006/relationships/hyperlink" Target="https://theglobaljukebox.org/?share=Black%20Sea-T5483R09" TargetMode="External"/><Relationship Id="rId1847" Type="http://schemas.openxmlformats.org/officeDocument/2006/relationships/hyperlink" Target="http://davesoldier.com/mp3s/GuatemalaWorking/13%20Ha%20tzonhulek_%20Yol%20yib_anh%20k_inal%20tik%20%28fiddle%20tune%29.mp3" TargetMode="External"/><Relationship Id="rId41" Type="http://schemas.openxmlformats.org/officeDocument/2006/relationships/hyperlink" Target="http://www.worldcat.org/oclc/318879578" TargetMode="External"/><Relationship Id="rId1402" Type="http://schemas.openxmlformats.org/officeDocument/2006/relationships/hyperlink" Target="https://theglobaljukebox.org/?share=Tonga-T5448R35" TargetMode="External"/><Relationship Id="rId1707" Type="http://schemas.openxmlformats.org/officeDocument/2006/relationships/hyperlink" Target="http://gofile.me/3T2hs/nDBNoZown" TargetMode="External"/><Relationship Id="rId190" Type="http://schemas.openxmlformats.org/officeDocument/2006/relationships/hyperlink" Target="http://www.worldcat.org/title/songs-of-the-inuit-iglulik-canada/oclc/65196223" TargetMode="External"/><Relationship Id="rId288" Type="http://schemas.openxmlformats.org/officeDocument/2006/relationships/hyperlink" Target="http://media.theglobaljukebox.org/audio/T30073.mp3" TargetMode="External"/><Relationship Id="rId1914" Type="http://schemas.openxmlformats.org/officeDocument/2006/relationships/hyperlink" Target="https://folkways.si.edu/childrens-songs-and-games-from-ecuador-mexico-and-puerto-rico/latin-world/music/album/smithsonian" TargetMode="External"/><Relationship Id="rId495" Type="http://schemas.openxmlformats.org/officeDocument/2006/relationships/hyperlink" Target="http://ampm.auckland.ac.nz/handle/id/88921" TargetMode="External"/><Relationship Id="rId2176" Type="http://schemas.openxmlformats.org/officeDocument/2006/relationships/hyperlink" Target="https://folkways.si.edu/the-icelandic-singers/olafr-trygvason-king-of-norway/world/music/track/smithsonian" TargetMode="External"/><Relationship Id="rId148" Type="http://schemas.openxmlformats.org/officeDocument/2006/relationships/hyperlink" Target="https://sounds.bl.uk/World-and-traditional-music/Peter-Cooke-Uganda/025M-C0023X0003XX-1900V0" TargetMode="External"/><Relationship Id="rId355" Type="http://schemas.openxmlformats.org/officeDocument/2006/relationships/hyperlink" Target="https://theglobaljukebox.org/?share=Meitei-T5417R19" TargetMode="External"/><Relationship Id="rId562" Type="http://schemas.openxmlformats.org/officeDocument/2006/relationships/hyperlink" Target="http://ampm.auckland.ac.nz/handle/id/91338" TargetMode="External"/><Relationship Id="rId1192" Type="http://schemas.openxmlformats.org/officeDocument/2006/relationships/hyperlink" Target="https://folkways.si.edu/cora-musicians-from-san-blasito/music-mass-singing-and-revelry/american-indian-world/music/track/smithsonian" TargetMode="External"/><Relationship Id="rId2036" Type="http://schemas.openxmlformats.org/officeDocument/2006/relationships/hyperlink" Target="https://theglobaljukebox.org/?share=Ulithi-T5427R17" TargetMode="External"/><Relationship Id="rId215" Type="http://schemas.openxmlformats.org/officeDocument/2006/relationships/hyperlink" Target="https://folkways.si.edu/canada-music-of-the-inuit-the-copper-eskimo-tradition/world/music/album/smithsonian" TargetMode="External"/><Relationship Id="rId422" Type="http://schemas.openxmlformats.org/officeDocument/2006/relationships/hyperlink" Target="http://archives.crem-cnrs.fr/archives/items/CNRSMH_I_1966_006_001_01/" TargetMode="External"/><Relationship Id="rId867" Type="http://schemas.openxmlformats.org/officeDocument/2006/relationships/hyperlink" Target="http://media.theglobaljukebox.org/audio/T5524R10.mp3" TargetMode="External"/><Relationship Id="rId1052" Type="http://schemas.openxmlformats.org/officeDocument/2006/relationships/hyperlink" Target="https://folkways.si.edu/irene-chalepah-poolaw/go-to-sleep-baby-boy/american-indian/music/track/smithsonian" TargetMode="External"/><Relationship Id="rId1497" Type="http://schemas.openxmlformats.org/officeDocument/2006/relationships/hyperlink" Target="https://archives.crem-cnrs.fr/archives/items/CNRSMH_I_1983_001_036_02/" TargetMode="External"/><Relationship Id="rId2103" Type="http://schemas.openxmlformats.org/officeDocument/2006/relationships/hyperlink" Target="https://sounds.bl.uk/World-and-traditional-music/Endangered-Micronesian-recordings/025M-CEAP115X4X93-004ZV0" TargetMode="External"/><Relationship Id="rId727" Type="http://schemas.openxmlformats.org/officeDocument/2006/relationships/hyperlink" Target="http://media.theglobaljukebox.org/audio/T5443R04.mp3" TargetMode="External"/><Relationship Id="rId934" Type="http://schemas.openxmlformats.org/officeDocument/2006/relationships/hyperlink" Target="https://folkways.si.edu/burmese-pwe/world/music/track/smithsonian" TargetMode="External"/><Relationship Id="rId1357" Type="http://schemas.openxmlformats.org/officeDocument/2006/relationships/hyperlink" Target="http://gofile.me/3T2hs/RWrSsO9Ws" TargetMode="External"/><Relationship Id="rId1564" Type="http://schemas.openxmlformats.org/officeDocument/2006/relationships/hyperlink" Target="https://folkways.si.edu/music-of-guatemala-vol-1/american-indian-latin-world/album/smithsonian" TargetMode="External"/><Relationship Id="rId1771" Type="http://schemas.openxmlformats.org/officeDocument/2006/relationships/hyperlink" Target="https://folkways.si.edu/kwakiutl-singers/peace-dance/american-indian/music/track/smithsonian" TargetMode="External"/><Relationship Id="rId63" Type="http://schemas.openxmlformats.org/officeDocument/2006/relationships/hyperlink" Target="http://www.worldcat.org/oclc/38544330" TargetMode="External"/><Relationship Id="rId1217" Type="http://schemas.openxmlformats.org/officeDocument/2006/relationships/hyperlink" Target="https://theglobaljukebox.org/?share=Wix%C3%A1ritari-T5405R11" TargetMode="External"/><Relationship Id="rId1424" Type="http://schemas.openxmlformats.org/officeDocument/2006/relationships/hyperlink" Target="https://theglobaljukebox.org/" TargetMode="External"/><Relationship Id="rId1631" Type="http://schemas.openxmlformats.org/officeDocument/2006/relationships/hyperlink" Target="https://folkways.si.edu/traditional-music-of-the-garifuna-of-belize/american-indian-world/album/smithsonian" TargetMode="External"/><Relationship Id="rId1869" Type="http://schemas.openxmlformats.org/officeDocument/2006/relationships/hyperlink" Target="https://theglobaljukebox.org/" TargetMode="External"/><Relationship Id="rId1729" Type="http://schemas.openxmlformats.org/officeDocument/2006/relationships/hyperlink" Target="https://theglobaljukebox.org/?share=Central%20Bosnia-T5591R05" TargetMode="External"/><Relationship Id="rId1936" Type="http://schemas.openxmlformats.org/officeDocument/2006/relationships/hyperlink" Target="https://theglobaljukebox.org/?share=Hungary%20Folk-T5462R36" TargetMode="External"/><Relationship Id="rId2198" Type="http://schemas.openxmlformats.org/officeDocument/2006/relationships/hyperlink" Target="https://folkways.si.edu/sven-bertil-taube/jag-unnar-dig-anda-allt-gott-i-ever-wish-you-happiness/world/music/track/smithsonian" TargetMode="External"/><Relationship Id="rId377" Type="http://schemas.openxmlformats.org/officeDocument/2006/relationships/hyperlink" Target="http://media.theglobaljukebox.org/audio/T5403R23.mp3" TargetMode="External"/><Relationship Id="rId584" Type="http://schemas.openxmlformats.org/officeDocument/2006/relationships/hyperlink" Target="https://theglobaljukebox.org/?share=Ashanti-T5616R09" TargetMode="External"/><Relationship Id="rId2058" Type="http://schemas.openxmlformats.org/officeDocument/2006/relationships/hyperlink" Target="https://sounds.bl.uk/World-and-traditional-music/Endangered-Micronesian-recordings/025M-CEAP115X4X76-001ZV0" TargetMode="External"/><Relationship Id="rId5" Type="http://schemas.openxmlformats.org/officeDocument/2006/relationships/hyperlink" Target="http://www.worldcat.org/oclc/47967141" TargetMode="External"/><Relationship Id="rId237" Type="http://schemas.openxmlformats.org/officeDocument/2006/relationships/hyperlink" Target="https://folkways.si.edu/luthania-mociute-mano/childrens-world/music/track/smithsonian" TargetMode="External"/><Relationship Id="rId791" Type="http://schemas.openxmlformats.org/officeDocument/2006/relationships/hyperlink" Target="https://folkways.si.edu/nick-wongatilin/praise-praise-god/american-indian/music/track/smithsonian" TargetMode="External"/><Relationship Id="rId889" Type="http://schemas.openxmlformats.org/officeDocument/2006/relationships/hyperlink" Target="https://folkways.si.edu/fawz-al-arfush/fraqiyyat-for-a-young-woman-the-last-verse-for-a-deceased-father/islamica-world/music/track/smithsonian" TargetMode="External"/><Relationship Id="rId1074" Type="http://schemas.openxmlformats.org/officeDocument/2006/relationships/hyperlink" Target="https://folkways.si.edu/love-song/world/music/track/smithsonian" TargetMode="External"/><Relationship Id="rId444" Type="http://schemas.openxmlformats.org/officeDocument/2006/relationships/hyperlink" Target="https://theglobaljukebox.org/?share=Selk'nam-T5401R22" TargetMode="External"/><Relationship Id="rId651" Type="http://schemas.openxmlformats.org/officeDocument/2006/relationships/hyperlink" Target="https://theglobaljukebox.org/?share=Latvia-T5467R03" TargetMode="External"/><Relationship Id="rId749" Type="http://schemas.openxmlformats.org/officeDocument/2006/relationships/hyperlink" Target="http://greenstone.ilam.ru.ac.za/collect/ilam/index/assoc/D19755.dir/HTFT101-C118-C5J9.mp3" TargetMode="External"/><Relationship Id="rId1281" Type="http://schemas.openxmlformats.org/officeDocument/2006/relationships/hyperlink" Target="https://theglobaljukebox.org/?share=Georgia-T5467R14" TargetMode="External"/><Relationship Id="rId1379" Type="http://schemas.openxmlformats.org/officeDocument/2006/relationships/hyperlink" Target="http://media.theglobaljukebox.org/audio/T5428R47.mp3" TargetMode="External"/><Relationship Id="rId1586" Type="http://schemas.openxmlformats.org/officeDocument/2006/relationships/hyperlink" Target="https://folkways.si.edu/the-six-nations-women-singers/ho-way-hey-yo/american-indian/music/track/smithsonian" TargetMode="External"/><Relationship Id="rId2125" Type="http://schemas.openxmlformats.org/officeDocument/2006/relationships/hyperlink" Target="https://folkways.si.edu/huichol-indians-and-cora-indians/song-for-corn-roasting/islamica-world/music/track/smithsonian" TargetMode="External"/><Relationship Id="rId304" Type="http://schemas.openxmlformats.org/officeDocument/2006/relationships/hyperlink" Target="https://sounds.bl.uk/World-and-traditional-music/Peter-Cooke-Uganda/025M-C0023X0018XX-3000V0" TargetMode="External"/><Relationship Id="rId511" Type="http://schemas.openxmlformats.org/officeDocument/2006/relationships/hyperlink" Target="http://ampm.auckland.ac.nz/handle/id/75872" TargetMode="External"/><Relationship Id="rId609" Type="http://schemas.openxmlformats.org/officeDocument/2006/relationships/hyperlink" Target="http://media.theglobaljukebox.org/audio/T9525R32.mp3" TargetMode="External"/><Relationship Id="rId956" Type="http://schemas.openxmlformats.org/officeDocument/2006/relationships/hyperlink" Target="https://theglobaljukebox.org/?share=Uyghur-T5490R08" TargetMode="External"/><Relationship Id="rId1141" Type="http://schemas.openxmlformats.org/officeDocument/2006/relationships/hyperlink" Target="https://theglobaljukebox.org/?share=Wix%C3%A1ritari-T5405R10" TargetMode="External"/><Relationship Id="rId1239" Type="http://schemas.openxmlformats.org/officeDocument/2006/relationships/hyperlink" Target="https://folkways.si.edu/the-spirit-cries-music-from-the-rainforests-of-south-america-the-caribbean/world/album/smithsonian" TargetMode="External"/><Relationship Id="rId1793" Type="http://schemas.openxmlformats.org/officeDocument/2006/relationships/hyperlink" Target="http://sami.bl.uk/uhtbin/cgisirsi/?ps=AtaAi5jCGA/WORKS-FILE/57150033/9" TargetMode="External"/><Relationship Id="rId85" Type="http://schemas.openxmlformats.org/officeDocument/2006/relationships/hyperlink" Target="http://www.worldcat.org/oclc/610482737" TargetMode="External"/><Relationship Id="rId816" Type="http://schemas.openxmlformats.org/officeDocument/2006/relationships/hyperlink" Target="http://media.theglobaljukebox.org/audio/T5628R09.mp3" TargetMode="External"/><Relationship Id="rId1001" Type="http://schemas.openxmlformats.org/officeDocument/2006/relationships/hyperlink" Target="https://theglobaljukebox.org/?share=Mamvu-T5434R12" TargetMode="External"/><Relationship Id="rId1446" Type="http://schemas.openxmlformats.org/officeDocument/2006/relationships/hyperlink" Target="http://media.theglobaljukebox.org/audio/T5536R01.mp3" TargetMode="External"/><Relationship Id="rId1653" Type="http://schemas.openxmlformats.org/officeDocument/2006/relationships/hyperlink" Target="https://search.alexanderstreet.com/preview/work/bibliographic_entity%7Crecorded_cd%7C891378" TargetMode="External"/><Relationship Id="rId1860" Type="http://schemas.openxmlformats.org/officeDocument/2006/relationships/hyperlink" Target="https://folkways.si.edu/uunu/music/track/smithsonian" TargetMode="External"/><Relationship Id="rId1306" Type="http://schemas.openxmlformats.org/officeDocument/2006/relationships/hyperlink" Target="https://browse.nypl.org/iii/encore/record/C__Rb18403807__SNon-Russian%20folk%20traditions__Orightresult__X6?lang=eng&amp;suite=def" TargetMode="External"/><Relationship Id="rId1513" Type="http://schemas.openxmlformats.org/officeDocument/2006/relationships/hyperlink" Target="https://folkways.si.edu/songs-and-dances-of-the-flathead-indians/american-indian/music/album/smithsonian" TargetMode="External"/><Relationship Id="rId1720" Type="http://schemas.openxmlformats.org/officeDocument/2006/relationships/hyperlink" Target="https://theglobaljukebox.org/?share=Arges-T5466R07" TargetMode="External"/><Relationship Id="rId1958" Type="http://schemas.openxmlformats.org/officeDocument/2006/relationships/hyperlink" Target="https://folkways.si.edu/dorothy-whitehorse-delaune/lullaby/american-indian/music/track/smithsonian" TargetMode="External"/><Relationship Id="rId12" Type="http://schemas.openxmlformats.org/officeDocument/2006/relationships/hyperlink" Target="http://www.worldcat.org/oclc/30939333" TargetMode="External"/><Relationship Id="rId1818" Type="http://schemas.openxmlformats.org/officeDocument/2006/relationships/hyperlink" Target="http://id.lib.harvard.edu/alma/990049099310203941/catalog" TargetMode="External"/><Relationship Id="rId161" Type="http://schemas.openxmlformats.org/officeDocument/2006/relationships/hyperlink" Target="http://media.theglobaljukebox.org/audio/T5404R03m.mp3" TargetMode="External"/><Relationship Id="rId399" Type="http://schemas.openxmlformats.org/officeDocument/2006/relationships/hyperlink" Target="http://ampm.auckland.ac.nz/handle/id/91189" TargetMode="External"/><Relationship Id="rId259" Type="http://schemas.openxmlformats.org/officeDocument/2006/relationships/hyperlink" Target="https://theglobaljukebox.org/?share=Guahibo-T5404R03m" TargetMode="External"/><Relationship Id="rId466" Type="http://schemas.openxmlformats.org/officeDocument/2006/relationships/hyperlink" Target="http://media.theglobaljukebox.org/audio/T5411R08m.mp3" TargetMode="External"/><Relationship Id="rId673" Type="http://schemas.openxmlformats.org/officeDocument/2006/relationships/hyperlink" Target="http://www.worldcat.org/oclc/61711547" TargetMode="External"/><Relationship Id="rId880" Type="http://schemas.openxmlformats.org/officeDocument/2006/relationships/hyperlink" Target="https://folkways.si.edu/sayid/qetar-love-song/islamica-world/music/track/smithsonian" TargetMode="External"/><Relationship Id="rId1096" Type="http://schemas.openxmlformats.org/officeDocument/2006/relationships/hyperlink" Target="http://media.theglobaljukebox.org/audio/T5414R32.mp3" TargetMode="External"/><Relationship Id="rId2147" Type="http://schemas.openxmlformats.org/officeDocument/2006/relationships/hyperlink" Target="https://folkways.si.edu/grupo-de-capoeira-angola-pelourinho-from-salvador-brazil/african-american-music-latin-world/album/smithsonian" TargetMode="External"/><Relationship Id="rId119" Type="http://schemas.openxmlformats.org/officeDocument/2006/relationships/hyperlink" Target="http://media.theglobaljukebox.org/audio/T5403R61.mp3" TargetMode="External"/><Relationship Id="rId326" Type="http://schemas.openxmlformats.org/officeDocument/2006/relationships/hyperlink" Target="https://theglobaljukebox.org/?share=Colombian%20Coastal%20Folk-T5481R02" TargetMode="External"/><Relationship Id="rId533" Type="http://schemas.openxmlformats.org/officeDocument/2006/relationships/hyperlink" Target="https://theglobaljukebox.org/?share=Dominica-T5475R51" TargetMode="External"/><Relationship Id="rId978" Type="http://schemas.openxmlformats.org/officeDocument/2006/relationships/hyperlink" Target="https://theglobaljukebox.org/" TargetMode="External"/><Relationship Id="rId1163" Type="http://schemas.openxmlformats.org/officeDocument/2006/relationships/hyperlink" Target="https://folkways.si.edu/lullaby-one-woman/american-indian-world/music/track/smithsonian" TargetMode="External"/><Relationship Id="rId1370" Type="http://schemas.openxmlformats.org/officeDocument/2006/relationships/hyperlink" Target="http://media.theglobaljukebox.org/audio/T5428R02.mp3" TargetMode="External"/><Relationship Id="rId2007" Type="http://schemas.openxmlformats.org/officeDocument/2006/relationships/hyperlink" Target="http://gofile.me/3T2hs/IG0JDyCu4" TargetMode="External"/><Relationship Id="rId740" Type="http://schemas.openxmlformats.org/officeDocument/2006/relationships/hyperlink" Target="http://greenstone.ilam.ru.ac.za/collect/ilam/index/assoc/D18945.dir/HTFT170-D29.2-DX12a.mp3" TargetMode="External"/><Relationship Id="rId838" Type="http://schemas.openxmlformats.org/officeDocument/2006/relationships/hyperlink" Target="http://media.theglobaljukebox.org/audio/T30348.mp3" TargetMode="External"/><Relationship Id="rId1023" Type="http://schemas.openxmlformats.org/officeDocument/2006/relationships/hyperlink" Target="https://theglobaljukebox.org/?share=Salento%20%26%20Bari-T40038R02" TargetMode="External"/><Relationship Id="rId1468" Type="http://schemas.openxmlformats.org/officeDocument/2006/relationships/hyperlink" Target="http://media.theglobaljukebox.org/audio/T5431R26.mp3" TargetMode="External"/><Relationship Id="rId1675" Type="http://schemas.openxmlformats.org/officeDocument/2006/relationships/hyperlink" Target="https://theglobaljukebox.org/?share=Ploie%C8%99ti-T5589R19" TargetMode="External"/><Relationship Id="rId1882" Type="http://schemas.openxmlformats.org/officeDocument/2006/relationships/hyperlink" Target="http://gofile.me/3T2hs/dkb7AMMkb" TargetMode="External"/><Relationship Id="rId600" Type="http://schemas.openxmlformats.org/officeDocument/2006/relationships/hyperlink" Target="http://media.theglobaljukebox.org/audio/T5438R04.mp3" TargetMode="External"/><Relationship Id="rId1230" Type="http://schemas.openxmlformats.org/officeDocument/2006/relationships/hyperlink" Target="https://archives.crem-cnrs.fr/archives/items/CNRSMH_I_2009_001_007_06/" TargetMode="External"/><Relationship Id="rId1328" Type="http://schemas.openxmlformats.org/officeDocument/2006/relationships/hyperlink" Target="https://search.alexanderstreet.com/preview/work/bibliographic_entity%7Cliner_notes%7C2258560" TargetMode="External"/><Relationship Id="rId1535" Type="http://schemas.openxmlformats.org/officeDocument/2006/relationships/hyperlink" Target="https://theglobaljukebox.org/?share=Pathan-T5543R18" TargetMode="External"/><Relationship Id="rId905" Type="http://schemas.openxmlformats.org/officeDocument/2006/relationships/hyperlink" Target="https://folkways.si.edu/jaap-kunst/living-folksongs-and-dance-tunes-from-the-netherlands/holiday-world/music/album/smithsonian" TargetMode="External"/><Relationship Id="rId1742" Type="http://schemas.openxmlformats.org/officeDocument/2006/relationships/hyperlink" Target="https://theglobaljukebox.org/" TargetMode="External"/><Relationship Id="rId34" Type="http://schemas.openxmlformats.org/officeDocument/2006/relationships/hyperlink" Target="http://www.worldcat.org/oclc/56131430" TargetMode="External"/><Relationship Id="rId1602" Type="http://schemas.openxmlformats.org/officeDocument/2006/relationships/hyperlink" Target="https://search.alexanderstreet.com/preview/work/bibliographic_entity%7Crecorded_cd%7C510900" TargetMode="External"/><Relationship Id="rId183" Type="http://schemas.openxmlformats.org/officeDocument/2006/relationships/hyperlink" Target="https://theglobaljukebox.org/?share=Hill%20Saora-T5547R39" TargetMode="External"/><Relationship Id="rId390" Type="http://schemas.openxmlformats.org/officeDocument/2006/relationships/hyperlink" Target="http://gofile.me/3T2hs/lSJgWdMG3" TargetMode="External"/><Relationship Id="rId1907" Type="http://schemas.openxmlformats.org/officeDocument/2006/relationships/hyperlink" Target="http://media.theglobaljukebox.org/audio/T5467R26.mp3" TargetMode="External"/><Relationship Id="rId2071" Type="http://schemas.openxmlformats.org/officeDocument/2006/relationships/hyperlink" Target="https://sounds.bl.uk/World-and-traditional-music/Endangered-Micronesian-recordings/025M-CEAP115X4X21-001ZV0" TargetMode="External"/><Relationship Id="rId250" Type="http://schemas.openxmlformats.org/officeDocument/2006/relationships/hyperlink" Target="http://www.worldcat.org/title/first-australians-songs-by-aboriginals-and-torres-strait-islanders/oclc/919458921?referer=di&amp;ht=edition" TargetMode="External"/><Relationship Id="rId488" Type="http://schemas.openxmlformats.org/officeDocument/2006/relationships/hyperlink" Target="https://theglobaljukebox.org/?share=Martinique-T5475R02" TargetMode="External"/><Relationship Id="rId695" Type="http://schemas.openxmlformats.org/officeDocument/2006/relationships/hyperlink" Target="https://sounds.bl.uk/World-and-traditional-music/Violeta-Ruano-portraits-of-Saharawi-Music/025M-C1640X0031XX-0001V0" TargetMode="External"/><Relationship Id="rId2169" Type="http://schemas.openxmlformats.org/officeDocument/2006/relationships/hyperlink" Target="https://folkways.si.edu/johnny-moses/fall-work-medicine-song-samish" TargetMode="External"/><Relationship Id="rId110" Type="http://schemas.openxmlformats.org/officeDocument/2006/relationships/hyperlink" Target="http://www.worldcat.org/oclc/42385304" TargetMode="External"/><Relationship Id="rId348" Type="http://schemas.openxmlformats.org/officeDocument/2006/relationships/hyperlink" Target="http://media.theglobaljukebox.org/audio/T5410R41.mp3" TargetMode="External"/><Relationship Id="rId555" Type="http://schemas.openxmlformats.org/officeDocument/2006/relationships/hyperlink" Target="http://ampm.auckland.ac.nz/handle/id/86797" TargetMode="External"/><Relationship Id="rId762" Type="http://schemas.openxmlformats.org/officeDocument/2006/relationships/hyperlink" Target="http://greenstone.ilam.ru.ac.za/collect/ilam/index/assoc/D17483.dir/HTFT140-C156-C6M17.mp3" TargetMode="External"/><Relationship Id="rId1185" Type="http://schemas.openxmlformats.org/officeDocument/2006/relationships/hyperlink" Target="https://theglobaljukebox.org/?share=Hausa-T5621R07m" TargetMode="External"/><Relationship Id="rId1392" Type="http://schemas.openxmlformats.org/officeDocument/2006/relationships/hyperlink" Target="https://sounds.bl.uk/World-and-traditional-music/Music-from-India/025M-RKDATX0009XX-0100V0" TargetMode="External"/><Relationship Id="rId2029" Type="http://schemas.openxmlformats.org/officeDocument/2006/relationships/hyperlink" Target="https://folkways.si.edu/juan-sequndo-mamani-eugenio-challapa-challapa/solo-on-the-bandola/romero-romero/sahsalye/american-indian-world/music/track/smithsonian" TargetMode="External"/><Relationship Id="rId208" Type="http://schemas.openxmlformats.org/officeDocument/2006/relationships/hyperlink" Target="https://theglobaljukebox.org/?share=Gond-T5416R31" TargetMode="External"/><Relationship Id="rId415" Type="http://schemas.openxmlformats.org/officeDocument/2006/relationships/hyperlink" Target="http://archives.crem-cnrs.fr/archives/items/CNRSMH_I_2016_030_000_164/" TargetMode="External"/><Relationship Id="rId622" Type="http://schemas.openxmlformats.org/officeDocument/2006/relationships/hyperlink" Target="https://folkways.si.edu/japan-ihumke/world/music/track/smithsonian" TargetMode="External"/><Relationship Id="rId1045" Type="http://schemas.openxmlformats.org/officeDocument/2006/relationships/hyperlink" Target="https://folkways.si.edu/qalbeke-uzaqbergenova/hayyu-lullaby/music/track/smithsonian" TargetMode="External"/><Relationship Id="rId1252" Type="http://schemas.openxmlformats.org/officeDocument/2006/relationships/hyperlink" Target="https://search.alexanderstreet.com/preview/work/bibliographic_entity%7Crecorded_cd%7C315119" TargetMode="External"/><Relationship Id="rId1697" Type="http://schemas.openxmlformats.org/officeDocument/2006/relationships/hyperlink" Target="https://theglobaljukebox.org/?share=Bar%C3%AD-T5404R71m" TargetMode="External"/><Relationship Id="rId927" Type="http://schemas.openxmlformats.org/officeDocument/2006/relationships/hyperlink" Target="https://folkways.si.edu/boua-xou-mua/zaaj-tshoob-ceeb-toom-nam-txiv-announcement-to-the-parents-of-the-groom/world/music/track/smithsonian" TargetMode="External"/><Relationship Id="rId1112" Type="http://schemas.openxmlformats.org/officeDocument/2006/relationships/hyperlink" Target="http://www.philology.nsc.ru/departments/folklor/books/t32_CDindex.pdf" TargetMode="External"/><Relationship Id="rId1557" Type="http://schemas.openxmlformats.org/officeDocument/2006/relationships/hyperlink" Target="http://www.worldcat.org/title/sacred-path-spells-prayers-power-songs-of-the-american-indians/oclc/10020978&amp;referer=brief_results" TargetMode="External"/><Relationship Id="rId1764" Type="http://schemas.openxmlformats.org/officeDocument/2006/relationships/hyperlink" Target="https://theglobaljukebox.org/?share=Suffolk-T5592R21" TargetMode="External"/><Relationship Id="rId1971" Type="http://schemas.openxmlformats.org/officeDocument/2006/relationships/hyperlink" Target="https://theglobaljukebox.org/?share=Wix%C3%A1ritari-T5405R08" TargetMode="External"/><Relationship Id="rId56" Type="http://schemas.openxmlformats.org/officeDocument/2006/relationships/hyperlink" Target="http://www.worldcat.org/oclc/32292076" TargetMode="External"/><Relationship Id="rId1417" Type="http://schemas.openxmlformats.org/officeDocument/2006/relationships/hyperlink" Target="http://media.theglobaljukebox.org/audio/T5593R12.mp3" TargetMode="External"/><Relationship Id="rId1624" Type="http://schemas.openxmlformats.org/officeDocument/2006/relationships/hyperlink" Target="http://media.theglobaljukebox.org/audio/T5582R12.mp3" TargetMode="External"/><Relationship Id="rId1831" Type="http://schemas.openxmlformats.org/officeDocument/2006/relationships/hyperlink" Target="https://theglobaljukebox.org/?share=Barra-T5590R14" TargetMode="External"/><Relationship Id="rId1929" Type="http://schemas.openxmlformats.org/officeDocument/2006/relationships/hyperlink" Target="https://folkways.si.edu/tribal-music-of-australia/world/album/smithsonian" TargetMode="External"/><Relationship Id="rId2093" Type="http://schemas.openxmlformats.org/officeDocument/2006/relationships/hyperlink" Target="https://www.flutopedia.com/img_Ritson1794_CherokeeSong.htm" TargetMode="External"/><Relationship Id="rId272" Type="http://schemas.openxmlformats.org/officeDocument/2006/relationships/hyperlink" Target="https://sounds.bl.uk/World-and-traditional-music/Firth-Tikopia/025M-C0333X0027XX-0100V0" TargetMode="External"/><Relationship Id="rId577" Type="http://schemas.openxmlformats.org/officeDocument/2006/relationships/hyperlink" Target="https://theglobaljukebox.org/?share=Dominica-T5475R28" TargetMode="External"/><Relationship Id="rId2160" Type="http://schemas.openxmlformats.org/officeDocument/2006/relationships/hyperlink" Target="https://www.loc.gov/folklife/LP/AFSL39Plains.pdf" TargetMode="External"/><Relationship Id="rId132" Type="http://schemas.openxmlformats.org/officeDocument/2006/relationships/hyperlink" Target="https://theglobaljukebox.org/?share=Weyto-T5553R26" TargetMode="External"/><Relationship Id="rId784" Type="http://schemas.openxmlformats.org/officeDocument/2006/relationships/hyperlink" Target="https://folkways.si.edu/shin-tan-ga-chok-byuk-poo/world/music/track/smithsonian" TargetMode="External"/><Relationship Id="rId991" Type="http://schemas.openxmlformats.org/officeDocument/2006/relationships/hyperlink" Target="https://folkways.si.edu/jantina-noorman/dutch-folk-songs/world/music/album/smithsonian" TargetMode="External"/><Relationship Id="rId1067" Type="http://schemas.openxmlformats.org/officeDocument/2006/relationships/hyperlink" Target="https://theglobaljukebox.org/?share=Durham-T5545R10" TargetMode="External"/><Relationship Id="rId2020" Type="http://schemas.openxmlformats.org/officeDocument/2006/relationships/hyperlink" Target="https://search-alexanderstreet-com.ezp-prod1.hul.harvard.edu/view/work/bibliographic_entity%7Crecorded_cd%7C72382" TargetMode="External"/><Relationship Id="rId437" Type="http://schemas.openxmlformats.org/officeDocument/2006/relationships/hyperlink" Target="http://media.theglobaljukebox.org/audio/T30142.mp3" TargetMode="External"/><Relationship Id="rId644" Type="http://schemas.openxmlformats.org/officeDocument/2006/relationships/hyperlink" Target="http://media.theglobaljukebox.org/audio/T5522R16.mp3" TargetMode="External"/><Relationship Id="rId851" Type="http://schemas.openxmlformats.org/officeDocument/2006/relationships/hyperlink" Target="http://media.theglobaljukebox.org/audio/T5482R37.mp3" TargetMode="External"/><Relationship Id="rId1274" Type="http://schemas.openxmlformats.org/officeDocument/2006/relationships/hyperlink" Target="https://folkways.si.edu/men-clearing-the-forest-fro-planting/mens-work-song/world/music/track/smithsonian" TargetMode="External"/><Relationship Id="rId1481" Type="http://schemas.openxmlformats.org/officeDocument/2006/relationships/hyperlink" Target="https://search.alexanderstreet.com/preview/work/bibliographic_entity%7Crecorded_cd%7C776462" TargetMode="External"/><Relationship Id="rId1579" Type="http://schemas.openxmlformats.org/officeDocument/2006/relationships/hyperlink" Target="http://www.worldcat.org/title/in-the-trail-of-the-wind-american-indian-poems-and-ritual-orations/oclc/136520&amp;referer=brief_results" TargetMode="External"/><Relationship Id="rId2118" Type="http://schemas.openxmlformats.org/officeDocument/2006/relationships/hyperlink" Target="https://folkways.si.edu/coro-santo-nino/amar-es-entregarse/american-folk-gospel-latin/music/track/smithsonian" TargetMode="External"/><Relationship Id="rId504" Type="http://schemas.openxmlformats.org/officeDocument/2006/relationships/hyperlink" Target="http://ampm.auckland.ac.nz/handle/id/91394" TargetMode="External"/><Relationship Id="rId711" Type="http://schemas.openxmlformats.org/officeDocument/2006/relationships/hyperlink" Target="http://media.theglobaljukebox.org/audio/T5452R11.mp3" TargetMode="External"/><Relationship Id="rId949" Type="http://schemas.openxmlformats.org/officeDocument/2006/relationships/hyperlink" Target="https://theglobaljukebox.org/?share=Uyghur-T5490R03" TargetMode="External"/><Relationship Id="rId1134" Type="http://schemas.openxmlformats.org/officeDocument/2006/relationships/hyperlink" Target="https://theglobaljukebox.org/?share=Sofia%20District-T5462R67" TargetMode="External"/><Relationship Id="rId1341" Type="http://schemas.openxmlformats.org/officeDocument/2006/relationships/hyperlink" Target="https://www.itma.ie/digital-library/sound/arranmore_disaster_john_butcher_junior" TargetMode="External"/><Relationship Id="rId1786" Type="http://schemas.openxmlformats.org/officeDocument/2006/relationships/hyperlink" Target="https://theglobaljukebox.org/?share=Quechua-T5543R47" TargetMode="External"/><Relationship Id="rId1993" Type="http://schemas.openxmlformats.org/officeDocument/2006/relationships/hyperlink" Target="http://media.theglobaljukebox.org/audio/T5464R30.mp3" TargetMode="External"/><Relationship Id="rId78" Type="http://schemas.openxmlformats.org/officeDocument/2006/relationships/hyperlink" Target="http://www.worldcat.org/oclc/34256918" TargetMode="External"/><Relationship Id="rId809" Type="http://schemas.openxmlformats.org/officeDocument/2006/relationships/hyperlink" Target="http://media.theglobaljukebox.org/audio/T5414R21.mp3" TargetMode="External"/><Relationship Id="rId1201" Type="http://schemas.openxmlformats.org/officeDocument/2006/relationships/hyperlink" Target="https://theglobaljukebox.org/?share=Tuareg-T5522R96" TargetMode="External"/><Relationship Id="rId1439" Type="http://schemas.openxmlformats.org/officeDocument/2006/relationships/hyperlink" Target="http://media.theglobaljukebox.org/audio/T5428R14.mp3" TargetMode="External"/><Relationship Id="rId1646" Type="http://schemas.openxmlformats.org/officeDocument/2006/relationships/hyperlink" Target="https://folkways.si.edu/hermanas-pulido/male-reginita/american-indian-world/music/track/smithsonian" TargetMode="External"/><Relationship Id="rId1853" Type="http://schemas.openxmlformats.org/officeDocument/2006/relationships/hyperlink" Target="http://gofile.me/3T2hs/39QrR6Yn9" TargetMode="External"/><Relationship Id="rId1506" Type="http://schemas.openxmlformats.org/officeDocument/2006/relationships/hyperlink" Target="http://www.worldcat.org/title/musiques-mexicaines/oclc/965998093&amp;referer=brief_results" TargetMode="External"/><Relationship Id="rId1713" Type="http://schemas.openxmlformats.org/officeDocument/2006/relationships/hyperlink" Target="https://theglobaljukebox.org/?share=Guaran%C3%AD-" TargetMode="External"/><Relationship Id="rId1920" Type="http://schemas.openxmlformats.org/officeDocument/2006/relationships/hyperlink" Target="https://folkways.si.edu/songs-of-aboriginal-australia-and-torres-strait/world/music/album/smithsonian" TargetMode="External"/><Relationship Id="rId294" Type="http://schemas.openxmlformats.org/officeDocument/2006/relationships/hyperlink" Target="http://media.theglobaljukebox.org/audio/T5441R24.mp3" TargetMode="External"/><Relationship Id="rId2182" Type="http://schemas.openxmlformats.org/officeDocument/2006/relationships/hyperlink" Target="https://archives.crem-cnrs.fr/archives/items/CNRSMH_I_1980_015_001_01/" TargetMode="External"/><Relationship Id="rId154" Type="http://schemas.openxmlformats.org/officeDocument/2006/relationships/hyperlink" Target="http://media.theglobaljukebox.org/audio/T5437R46.mp3" TargetMode="External"/><Relationship Id="rId361" Type="http://schemas.openxmlformats.org/officeDocument/2006/relationships/hyperlink" Target="https://theglobaljukebox.org/?share=Bhojpuri-T5547R06" TargetMode="External"/><Relationship Id="rId599" Type="http://schemas.openxmlformats.org/officeDocument/2006/relationships/hyperlink" Target="http://media.theglobaljukebox.org/audio/T5437R40.mp3" TargetMode="External"/><Relationship Id="rId2042" Type="http://schemas.openxmlformats.org/officeDocument/2006/relationships/hyperlink" Target="https://theglobaljukebox.org/?share=Ifaluk-T5427R49m" TargetMode="External"/><Relationship Id="rId459" Type="http://schemas.openxmlformats.org/officeDocument/2006/relationships/hyperlink" Target="http://www.worldcat.org/title/songs-from-the-kimberleys-aboriginal-music-from-the-kimberley-region-of-western-australia/oclc/767510325&amp;referer=brief_results" TargetMode="External"/><Relationship Id="rId666" Type="http://schemas.openxmlformats.org/officeDocument/2006/relationships/hyperlink" Target="http://media.theglobaljukebox.org/audio/T5439R49.mp3" TargetMode="External"/><Relationship Id="rId873" Type="http://schemas.openxmlformats.org/officeDocument/2006/relationships/hyperlink" Target="http://media.theglobaljukebox.org/audio/T5522R58.mp3" TargetMode="External"/><Relationship Id="rId1089" Type="http://schemas.openxmlformats.org/officeDocument/2006/relationships/hyperlink" Target="https://theglobaljukebox.org/?share=Emilia-Romagna-T5528R20" TargetMode="External"/><Relationship Id="rId1296" Type="http://schemas.openxmlformats.org/officeDocument/2006/relationships/hyperlink" Target="https://theglobaljukebox.org/?share=Luo-T5437R18" TargetMode="External"/><Relationship Id="rId221" Type="http://schemas.openxmlformats.org/officeDocument/2006/relationships/hyperlink" Target="http://media.theglobaljukebox.org/audio/T5479R07.mp3" TargetMode="External"/><Relationship Id="rId319" Type="http://schemas.openxmlformats.org/officeDocument/2006/relationships/hyperlink" Target="https://theglobaljukebox.org/?share=Hawaii-T5429R16" TargetMode="External"/><Relationship Id="rId526" Type="http://schemas.openxmlformats.org/officeDocument/2006/relationships/hyperlink" Target="https://theglobaljukebox.org/?share=Carriacou-T5474R09" TargetMode="External"/><Relationship Id="rId1156" Type="http://schemas.openxmlformats.org/officeDocument/2006/relationships/hyperlink" Target="https://folkways.si.edu/adlofina-mejia/cancion-de-cuna-lullaby/world/music/track/smithsonian" TargetMode="External"/><Relationship Id="rId1363" Type="http://schemas.openxmlformats.org/officeDocument/2006/relationships/hyperlink" Target="https://folkways.si.edu/folk-music-from-italy/world/album/smithsonian" TargetMode="External"/><Relationship Id="rId733" Type="http://schemas.openxmlformats.org/officeDocument/2006/relationships/hyperlink" Target="http://media.theglobaljukebox.org/audio/T5443R37.mp3" TargetMode="External"/><Relationship Id="rId940" Type="http://schemas.openxmlformats.org/officeDocument/2006/relationships/hyperlink" Target="https://folkways.si.edu/al-j-apos-anak-lelaki-itam-and-uda-anak-lelaki-pandak/a-healing-ceremony-at-kg/islamica-psychology-health-world/track/smithsonian" TargetMode="External"/><Relationship Id="rId1016" Type="http://schemas.openxmlformats.org/officeDocument/2006/relationships/hyperlink" Target="http://media.theglobaljukebox.org/audio/T30207.mp3" TargetMode="External"/><Relationship Id="rId1570" Type="http://schemas.openxmlformats.org/officeDocument/2006/relationships/hyperlink" Target="https://folkways.si.edu/avery-and-fidelia-jimerson/4-rabbit-dance-songs/american-indian/music/track/smithsonian" TargetMode="External"/><Relationship Id="rId1668" Type="http://schemas.openxmlformats.org/officeDocument/2006/relationships/hyperlink" Target="https://folkways.si.edu/an-historical-album-of-blackfoot-indian-music/american-indian/music/album/smithsonian" TargetMode="External"/><Relationship Id="rId1875" Type="http://schemas.openxmlformats.org/officeDocument/2006/relationships/hyperlink" Target="http://gofile.me/3T2hs/bcbasYYde" TargetMode="External"/><Relationship Id="rId800" Type="http://schemas.openxmlformats.org/officeDocument/2006/relationships/hyperlink" Target="http://media.theglobaljukebox.org/audio/T5422R33.mp3" TargetMode="External"/><Relationship Id="rId1223" Type="http://schemas.openxmlformats.org/officeDocument/2006/relationships/hyperlink" Target="https://theglobaljukebox.org/" TargetMode="External"/><Relationship Id="rId1430" Type="http://schemas.openxmlformats.org/officeDocument/2006/relationships/hyperlink" Target="https://theglobaljukebox.org/?share=Daye-T30006" TargetMode="External"/><Relationship Id="rId1528" Type="http://schemas.openxmlformats.org/officeDocument/2006/relationships/hyperlink" Target="https://folkways.si.edu/percy-kanathe-smoke/bear-dance/american-indian/music/track/smithsonian" TargetMode="External"/><Relationship Id="rId1735" Type="http://schemas.openxmlformats.org/officeDocument/2006/relationships/hyperlink" Target="https://theglobaljukebox.org/?share=Aromanians-T5546R10" TargetMode="External"/><Relationship Id="rId1942" Type="http://schemas.openxmlformats.org/officeDocument/2006/relationships/hyperlink" Target="https://theglobaljukebox.org/?share=Lower%20Saxony-T5462R50m" TargetMode="External"/><Relationship Id="rId27" Type="http://schemas.openxmlformats.org/officeDocument/2006/relationships/hyperlink" Target="http://www.worldcat.org/oclc/698439915" TargetMode="External"/><Relationship Id="rId1802" Type="http://schemas.openxmlformats.org/officeDocument/2006/relationships/hyperlink" Target="https://folkways.si.edu/los-pinguinos-del-norte/los-dos-hermanos/latin-world/music/track/smithsonian" TargetMode="External"/><Relationship Id="rId176" Type="http://schemas.openxmlformats.org/officeDocument/2006/relationships/hyperlink" Target="https://theglobaljukebox.org/" TargetMode="External"/><Relationship Id="rId383" Type="http://schemas.openxmlformats.org/officeDocument/2006/relationships/hyperlink" Target="http://ampm.auckland.ac.nz/handle/id/66712" TargetMode="External"/><Relationship Id="rId590" Type="http://schemas.openxmlformats.org/officeDocument/2006/relationships/hyperlink" Target="http://media.theglobaljukebox.org/audio/T5436R12m.mp3" TargetMode="External"/><Relationship Id="rId2064" Type="http://schemas.openxmlformats.org/officeDocument/2006/relationships/hyperlink" Target="https://folkways.si.edu/susie-tiger/treatment-of-lumbago/song-for-the-dying/song-for-childbirth/song-for-sick-baby-medley/american-indian/music/track/smithsonian" TargetMode="External"/><Relationship Id="rId243" Type="http://schemas.openxmlformats.org/officeDocument/2006/relationships/hyperlink" Target="https://folkways.si.edu/dzintars/the-forest-shook-from-dancing/world/music/track/smithsonian" TargetMode="External"/><Relationship Id="rId450" Type="http://schemas.openxmlformats.org/officeDocument/2006/relationships/hyperlink" Target="https://theglobaljukebox.org/?share=Wich%C3%AD-T5401R46" TargetMode="External"/><Relationship Id="rId688" Type="http://schemas.openxmlformats.org/officeDocument/2006/relationships/hyperlink" Target="http://media.theglobaljukebox.org/audio/T5457R07.mp3" TargetMode="External"/><Relationship Id="rId895" Type="http://schemas.openxmlformats.org/officeDocument/2006/relationships/hyperlink" Target="https://theglobaljukebox.org/?share=Segovia-T5468R46" TargetMode="External"/><Relationship Id="rId1080" Type="http://schemas.openxmlformats.org/officeDocument/2006/relationships/hyperlink" Target="https://theglobaljukebox.org/?share=Pende-T5440R11" TargetMode="External"/><Relationship Id="rId2131" Type="http://schemas.openxmlformats.org/officeDocument/2006/relationships/hyperlink" Target="https://folkways.si.edu/la-bella-hortelana-the-pretty-farmer/childrens/music/track/smithsonian" TargetMode="External"/><Relationship Id="rId103" Type="http://schemas.openxmlformats.org/officeDocument/2006/relationships/hyperlink" Target="http://www.worldcat.org/oclc/321004055" TargetMode="External"/><Relationship Id="rId310" Type="http://schemas.openxmlformats.org/officeDocument/2006/relationships/hyperlink" Target="http://media.theglobaljukebox.org/audio/T5449R35.mp3" TargetMode="External"/><Relationship Id="rId548" Type="http://schemas.openxmlformats.org/officeDocument/2006/relationships/hyperlink" Target="http://ampm.auckland.ac.nz/handle/id/87113" TargetMode="External"/><Relationship Id="rId755" Type="http://schemas.openxmlformats.org/officeDocument/2006/relationships/hyperlink" Target="http://greenstone.ilam.ru.ac.za/collect/ilam/index/assoc/D28523.dir/MOA37-01.mp3" TargetMode="External"/><Relationship Id="rId962" Type="http://schemas.openxmlformats.org/officeDocument/2006/relationships/hyperlink" Target="http://www.folkways.si.edu/harun-rajo-bujang-and-enceh-k/pakok-limo/islamica-world/music/track/smithsonian" TargetMode="External"/><Relationship Id="rId1178" Type="http://schemas.openxmlformats.org/officeDocument/2006/relationships/hyperlink" Target="https://folkways.si.edu/caribbean-rhythms/world/music/album/smithsonian" TargetMode="External"/><Relationship Id="rId1385" Type="http://schemas.openxmlformats.org/officeDocument/2006/relationships/hyperlink" Target="http://www.worldcat.org/oclc/900482033" TargetMode="External"/><Relationship Id="rId1592" Type="http://schemas.openxmlformats.org/officeDocument/2006/relationships/hyperlink" Target="https://folkways.si.edu/william-paul-martin-sack-and-john-knockwood/micmac-indian-war-song/celtic-world/music/track/smithsonian" TargetMode="External"/><Relationship Id="rId91" Type="http://schemas.openxmlformats.org/officeDocument/2006/relationships/hyperlink" Target="http://www.worldcat.org/oclc/46338765" TargetMode="External"/><Relationship Id="rId408" Type="http://schemas.openxmlformats.org/officeDocument/2006/relationships/hyperlink" Target="http://gofile.me/3T2hs/7pQPEmtgY" TargetMode="External"/><Relationship Id="rId615" Type="http://schemas.openxmlformats.org/officeDocument/2006/relationships/hyperlink" Target="http://media.theglobaljukebox.org/audio/T5410R68m.mp3" TargetMode="External"/><Relationship Id="rId822" Type="http://schemas.openxmlformats.org/officeDocument/2006/relationships/hyperlink" Target="https://theglobaljukebox.org/?share=Selk'nam-T5401R25m" TargetMode="External"/><Relationship Id="rId1038" Type="http://schemas.openxmlformats.org/officeDocument/2006/relationships/hyperlink" Target="http://media.theglobaljukebox.org/audio/T5403R38.mp3" TargetMode="External"/><Relationship Id="rId1245" Type="http://schemas.openxmlformats.org/officeDocument/2006/relationships/hyperlink" Target="https://archives.crem-cnrs.fr/archives/items/11889/" TargetMode="External"/><Relationship Id="rId1452" Type="http://schemas.openxmlformats.org/officeDocument/2006/relationships/hyperlink" Target="https://search.alexanderstreet.com/preview/work/bibliographic_entity%7Crecorded_cd%7C1747788" TargetMode="External"/><Relationship Id="rId1897" Type="http://schemas.openxmlformats.org/officeDocument/2006/relationships/hyperlink" Target="https://folkways.si.edu/rory-and-alex-mcewen/scottish-songs-and-ballads/celtic-world/music/album/smithsonian" TargetMode="External"/><Relationship Id="rId1105" Type="http://schemas.openxmlformats.org/officeDocument/2006/relationships/hyperlink" Target="http://media.theglobaljukebox.org/audio/T5414R17.mp3" TargetMode="External"/><Relationship Id="rId1312" Type="http://schemas.openxmlformats.org/officeDocument/2006/relationships/hyperlink" Target="https://browse.nypl.org/iii/encore/record/C__Rb18403807__SNon-Russian%20folk%20traditions__Orightresult__X6?lang=eng&amp;suite=def" TargetMode="External"/><Relationship Id="rId1757" Type="http://schemas.openxmlformats.org/officeDocument/2006/relationships/hyperlink" Target="https://search.alexanderstreet.com/view/work/bibliographic_entity%7Crecorded_cd%7C71792?utm_source=aspresolver&amp;utm_medium=MARC&amp;utm_campaign=AlexanderStreet" TargetMode="External"/><Relationship Id="rId1964" Type="http://schemas.openxmlformats.org/officeDocument/2006/relationships/hyperlink" Target="https://theglobaljukebox.org/?share=Akimel%20O'odham-T5405R21m" TargetMode="External"/><Relationship Id="rId49" Type="http://schemas.openxmlformats.org/officeDocument/2006/relationships/hyperlink" Target="http://www.worldcat.org/oclc/935335829" TargetMode="External"/><Relationship Id="rId1617" Type="http://schemas.openxmlformats.org/officeDocument/2006/relationships/hyperlink" Target="https://theglobaljukebox.org/?share=Selk'nam-T5401R15" TargetMode="External"/><Relationship Id="rId1824" Type="http://schemas.openxmlformats.org/officeDocument/2006/relationships/hyperlink" Target="https://theglobaljukebox.org/?share=N.%20Croatia-T5591R01" TargetMode="External"/><Relationship Id="rId198" Type="http://schemas.openxmlformats.org/officeDocument/2006/relationships/hyperlink" Target="http://media.theglobaljukebox.org/audio/T5402R75.mp3" TargetMode="External"/><Relationship Id="rId2086" Type="http://schemas.openxmlformats.org/officeDocument/2006/relationships/hyperlink" Target="https://sounds.bl.uk/World-and-traditional-music/Endangered-Micronesian-recordings/025M-CEAP115X4X95-001ZV0" TargetMode="External"/><Relationship Id="rId265" Type="http://schemas.openxmlformats.org/officeDocument/2006/relationships/hyperlink" Target="https://theglobaljukebox.org/?share=Tikopia-T5428R53" TargetMode="External"/><Relationship Id="rId472" Type="http://schemas.openxmlformats.org/officeDocument/2006/relationships/hyperlink" Target="http://media.theglobaljukebox.org/audio/T5410R58.mp3" TargetMode="External"/><Relationship Id="rId2153" Type="http://schemas.openxmlformats.org/officeDocument/2006/relationships/hyperlink" Target="https://folkways.si.edu/the-discoteca-collection-missao-de-pesquisas-folcloricas/world/music/album/smithsonian" TargetMode="External"/><Relationship Id="rId125" Type="http://schemas.openxmlformats.org/officeDocument/2006/relationships/hyperlink" Target="https://theglobaljukebox.org/?share=Gidole-T5553R04" TargetMode="External"/><Relationship Id="rId332" Type="http://schemas.openxmlformats.org/officeDocument/2006/relationships/hyperlink" Target="https://theglobaljukebox.org/?share=Tikopia-T5428R59" TargetMode="External"/><Relationship Id="rId777" Type="http://schemas.openxmlformats.org/officeDocument/2006/relationships/hyperlink" Target="https://sounds.bl.uk/World-and-traditional-music/John-Brearley-Botswana/025M-C0065X0013XX-0900V0" TargetMode="External"/><Relationship Id="rId984" Type="http://schemas.openxmlformats.org/officeDocument/2006/relationships/hyperlink" Target="https://theglobaljukebox.org/" TargetMode="External"/><Relationship Id="rId2013" Type="http://schemas.openxmlformats.org/officeDocument/2006/relationships/hyperlink" Target="https://open.spotify.com/track/3QFdvYmkZOhcU0VSpYHgeq" TargetMode="External"/><Relationship Id="rId637" Type="http://schemas.openxmlformats.org/officeDocument/2006/relationships/hyperlink" Target="https://theglobaljukebox.org/?share=Diola%20Fogny-T5457R05" TargetMode="External"/><Relationship Id="rId844" Type="http://schemas.openxmlformats.org/officeDocument/2006/relationships/hyperlink" Target="http://media.theglobaljukebox.org/audio/T5412R12.mp3" TargetMode="External"/><Relationship Id="rId1267" Type="http://schemas.openxmlformats.org/officeDocument/2006/relationships/hyperlink" Target="https://folkways.si.edu/ixil-indian-musicians/pito-chirimia-and-big-drum-in-procession/american-indian-latin-world/music/track/smithsonian" TargetMode="External"/><Relationship Id="rId1474" Type="http://schemas.openxmlformats.org/officeDocument/2006/relationships/hyperlink" Target="https://sounds.bl.uk/World-and-traditional-music/Colin-Huehns-Pakistan/025M-C0485X0031XX-0900V0" TargetMode="External"/><Relationship Id="rId1681" Type="http://schemas.openxmlformats.org/officeDocument/2006/relationships/hyperlink" Target="https://theglobaljukebox.org/?share=Cluj-T5466R16" TargetMode="External"/><Relationship Id="rId704" Type="http://schemas.openxmlformats.org/officeDocument/2006/relationships/hyperlink" Target="https://sounds.bl.uk/World-and-traditional-music/Vanishing-voices-from-the-Uralic-world/025M-CEAP3470076B-08XXV0" TargetMode="External"/><Relationship Id="rId911" Type="http://schemas.openxmlformats.org/officeDocument/2006/relationships/hyperlink" Target="https://theglobaljukebox.org/?share=Dervish-T5483R26" TargetMode="External"/><Relationship Id="rId1127" Type="http://schemas.openxmlformats.org/officeDocument/2006/relationships/hyperlink" Target="https://theglobaljukebox.org/?share=Tuareg-T5521R46" TargetMode="External"/><Relationship Id="rId1334" Type="http://schemas.openxmlformats.org/officeDocument/2006/relationships/hyperlink" Target="https://www.itma.ie/inishowen/song/banks_of_the_moy_michael_mcgonigle" TargetMode="External"/><Relationship Id="rId1541" Type="http://schemas.openxmlformats.org/officeDocument/2006/relationships/hyperlink" Target="https://folkways.si.edu/the-badakhshan-ensemble/jonum-ikhtiyor-dori-my-life-is-in-your-hands-yor-i-man-my-friend/central-asia-islamica-world/music/track/smithsonian" TargetMode="External"/><Relationship Id="rId1779" Type="http://schemas.openxmlformats.org/officeDocument/2006/relationships/hyperlink" Target="https://sounds.bl.uk/World-and-traditional-music/Vanishing-voices-from-the-Uralic-world/025M-CEAP3470379A-04XXV0" TargetMode="External"/><Relationship Id="rId1986" Type="http://schemas.openxmlformats.org/officeDocument/2006/relationships/hyperlink" Target="https://theglobaljukebox.org/?share=Sweden-T9530R38" TargetMode="External"/><Relationship Id="rId40" Type="http://schemas.openxmlformats.org/officeDocument/2006/relationships/hyperlink" Target="http://www.worldcat.org/oclc/689541885" TargetMode="External"/><Relationship Id="rId1401" Type="http://schemas.openxmlformats.org/officeDocument/2006/relationships/hyperlink" Target="https://theglobaljukebox.org/?share=Tonga-T5448R07" TargetMode="External"/><Relationship Id="rId1639" Type="http://schemas.openxmlformats.org/officeDocument/2006/relationships/hyperlink" Target="https://search.alexanderstreet.com/preview/work/bibliographic_entity%7Crecorded_cd%7C510900" TargetMode="External"/><Relationship Id="rId1846" Type="http://schemas.openxmlformats.org/officeDocument/2006/relationships/hyperlink" Target="https://theglobaljukebox.org/" TargetMode="External"/><Relationship Id="rId1706" Type="http://schemas.openxmlformats.org/officeDocument/2006/relationships/hyperlink" Target="http://gofile.me/3T2hs/Z3Dk75Wcm" TargetMode="External"/><Relationship Id="rId1913" Type="http://schemas.openxmlformats.org/officeDocument/2006/relationships/hyperlink" Target="https://folkways.si.edu/childrens-songs-and-games-from-ecuador-mexico-and-puerto-rico/latin-world/music/album/smithsonian" TargetMode="External"/><Relationship Id="rId287" Type="http://schemas.openxmlformats.org/officeDocument/2006/relationships/hyperlink" Target="http://media.theglobaljukebox.org/audio/T9536R10.mp3" TargetMode="External"/><Relationship Id="rId494" Type="http://schemas.openxmlformats.org/officeDocument/2006/relationships/hyperlink" Target="http://ampm.auckland.ac.nz/handle/id/57680" TargetMode="External"/><Relationship Id="rId2175" Type="http://schemas.openxmlformats.org/officeDocument/2006/relationships/hyperlink" Target="https://folkways.si.edu/the-icelandic-singers/lullaby/world/music/track/smithsonian" TargetMode="External"/><Relationship Id="rId147" Type="http://schemas.openxmlformats.org/officeDocument/2006/relationships/hyperlink" Target="https://sounds.bl.uk/World-and-traditional-music/Wachsmann/025M-C0004X0029XX-1100V0" TargetMode="External"/><Relationship Id="rId354" Type="http://schemas.openxmlformats.org/officeDocument/2006/relationships/hyperlink" Target="https://sounds.bl.uk/World-and-traditional-music/Ken-Gourlay-Uganda/025M-C0105X0028XX-0400V0" TargetMode="External"/><Relationship Id="rId799" Type="http://schemas.openxmlformats.org/officeDocument/2006/relationships/hyperlink" Target="http://media.theglobaljukebox.org/audio/T5414R14.mp3" TargetMode="External"/><Relationship Id="rId1191" Type="http://schemas.openxmlformats.org/officeDocument/2006/relationships/hyperlink" Target="https://folkways.si.edu/cora-violinist-flutist-singers/music-and-revelry-with-mexican-song/american-indian-world/music/track/smithsonian" TargetMode="External"/><Relationship Id="rId2035" Type="http://schemas.openxmlformats.org/officeDocument/2006/relationships/hyperlink" Target="https://theglobaljukebox.org/?share=Ulithi-T5427R16" TargetMode="External"/><Relationship Id="rId561" Type="http://schemas.openxmlformats.org/officeDocument/2006/relationships/hyperlink" Target="http://ampm.auckland.ac.nz/handle/id/91436" TargetMode="External"/><Relationship Id="rId659" Type="http://schemas.openxmlformats.org/officeDocument/2006/relationships/hyperlink" Target="https://folkways.si.edu/india-north-indian-folk-music/world/music/album/smithsonian" TargetMode="External"/><Relationship Id="rId866" Type="http://schemas.openxmlformats.org/officeDocument/2006/relationships/hyperlink" Target="https://theglobaljukebox.org/?share=La%20Mancha-T5469R06" TargetMode="External"/><Relationship Id="rId1289" Type="http://schemas.openxmlformats.org/officeDocument/2006/relationships/hyperlink" Target="http://media.theglobaljukebox.org/audio/T5486R01.mp3" TargetMode="External"/><Relationship Id="rId1496" Type="http://schemas.openxmlformats.org/officeDocument/2006/relationships/hyperlink" Target="https://archives.crem-cnrs.fr/archives/items/CNRSMH_I_1983_001_035_04/" TargetMode="External"/><Relationship Id="rId214" Type="http://schemas.openxmlformats.org/officeDocument/2006/relationships/hyperlink" Target="https://folkways.si.edu/the-eskimos-of-hudson-bay-and-alaska/american-indian/music/album/smithsonian" TargetMode="External"/><Relationship Id="rId421" Type="http://schemas.openxmlformats.org/officeDocument/2006/relationships/hyperlink" Target="http://archives.crem-cnrs.fr/archives/items/CNRSMH_I_2002_017_001_01/" TargetMode="External"/><Relationship Id="rId519" Type="http://schemas.openxmlformats.org/officeDocument/2006/relationships/hyperlink" Target="http://ampm.auckland.ac.nz/handle/id/72939" TargetMode="External"/><Relationship Id="rId1051" Type="http://schemas.openxmlformats.org/officeDocument/2006/relationships/hyperlink" Target="https://folkways.si.edu/dovranov-khudaiberdi-ovezmyrat-odaev/ovezdzhan/music/track/smithsonian" TargetMode="External"/><Relationship Id="rId1149" Type="http://schemas.openxmlformats.org/officeDocument/2006/relationships/hyperlink" Target="https://folkways.si.edu/aztec-violinist-guitarist-male-dancers-with-rattles/ayakachmitotia-rattle-dances-koatl/american-indian-sacred-world/music/track/smithsonian" TargetMode="External"/><Relationship Id="rId1356" Type="http://schemas.openxmlformats.org/officeDocument/2006/relationships/hyperlink" Target="http://gofile.me/3T2hs/P3l4VHVxk" TargetMode="External"/><Relationship Id="rId2102" Type="http://schemas.openxmlformats.org/officeDocument/2006/relationships/hyperlink" Target="https://sounds.bl.uk/World-and-traditional-music/Endangered-Micronesian-recordings/025M-CEAP115X5X12-002ZV0" TargetMode="External"/><Relationship Id="rId726" Type="http://schemas.openxmlformats.org/officeDocument/2006/relationships/hyperlink" Target="http://media.theglobaljukebox.org/audio/T5443R05.mp3" TargetMode="External"/><Relationship Id="rId933" Type="http://schemas.openxmlformats.org/officeDocument/2006/relationships/hyperlink" Target="http://media.theglobaljukebox.org/audio/T5403R87.mp3" TargetMode="External"/><Relationship Id="rId1009" Type="http://schemas.openxmlformats.org/officeDocument/2006/relationships/hyperlink" Target="https://theglobaljukebox.org/" TargetMode="External"/><Relationship Id="rId1563" Type="http://schemas.openxmlformats.org/officeDocument/2006/relationships/hyperlink" Target="https://folkways.si.edu/music-of-guatemala-vol-1/american-indian-latin-world/album/smithsonian" TargetMode="External"/><Relationship Id="rId1770" Type="http://schemas.openxmlformats.org/officeDocument/2006/relationships/hyperlink" Target="https://theglobaljukebox.org/?share=Montenegro-T5591R06" TargetMode="External"/><Relationship Id="rId1868" Type="http://schemas.openxmlformats.org/officeDocument/2006/relationships/hyperlink" Target="https://archives.crem-cnrs.fr/archives/collections/CNRSMH_E_1950_011_016/" TargetMode="External"/><Relationship Id="rId62" Type="http://schemas.openxmlformats.org/officeDocument/2006/relationships/hyperlink" Target="http://www.worldcat.org/oclc/593856458" TargetMode="External"/><Relationship Id="rId1216" Type="http://schemas.openxmlformats.org/officeDocument/2006/relationships/hyperlink" Target="https://theglobaljukebox.org/?share=Wix%C3%A1ritari-T5405R10" TargetMode="External"/><Relationship Id="rId1423" Type="http://schemas.openxmlformats.org/officeDocument/2006/relationships/hyperlink" Target="https://www.loc.gov/item/toddbib000001/" TargetMode="External"/><Relationship Id="rId1630" Type="http://schemas.openxmlformats.org/officeDocument/2006/relationships/hyperlink" Target="https://folkways.si.edu/chatuye/heartbeat-in-the-music/world/music/album/smithsonian" TargetMode="External"/><Relationship Id="rId1728" Type="http://schemas.openxmlformats.org/officeDocument/2006/relationships/hyperlink" Target="https://theglobaljukebox.org/?share=Central%20Bosnia-T5591R03" TargetMode="External"/><Relationship Id="rId1935" Type="http://schemas.openxmlformats.org/officeDocument/2006/relationships/hyperlink" Target="https://theglobaljukebox.org/?share=Hungary%20Folk-T5462R38" TargetMode="External"/><Relationship Id="rId2197" Type="http://schemas.openxmlformats.org/officeDocument/2006/relationships/hyperlink" Target="https://archives.crem-cnrs.fr/archives/items/CNRSMH_I_2000_004_018_07/" TargetMode="External"/><Relationship Id="rId169" Type="http://schemas.openxmlformats.org/officeDocument/2006/relationships/hyperlink" Target="http://media.theglobaljukebox.org/audio/T5625R17m.mp3" TargetMode="External"/><Relationship Id="rId376" Type="http://schemas.openxmlformats.org/officeDocument/2006/relationships/hyperlink" Target="https://folkways.si.edu/music-from-south-india-kerala/world/album/smithsonian" TargetMode="External"/><Relationship Id="rId583" Type="http://schemas.openxmlformats.org/officeDocument/2006/relationships/hyperlink" Target="http://media.theglobaljukebox.org/audio/T5435R23.mp3" TargetMode="External"/><Relationship Id="rId790" Type="http://schemas.openxmlformats.org/officeDocument/2006/relationships/hyperlink" Target="https://folkways.si.edu/kemukserar-and-pangatkar/animal-stories/american-indian/music/track/smithsonian" TargetMode="External"/><Relationship Id="rId2057" Type="http://schemas.openxmlformats.org/officeDocument/2006/relationships/hyperlink" Target="https://sounds.bl.uk/World-and-traditional-music/Endangered-Micronesian-recordings/025M-CEAP115X4X99-002ZV0" TargetMode="External"/><Relationship Id="rId4" Type="http://schemas.openxmlformats.org/officeDocument/2006/relationships/hyperlink" Target="http://www.worldcat.org/oclc/34256918" TargetMode="External"/><Relationship Id="rId236" Type="http://schemas.openxmlformats.org/officeDocument/2006/relationships/hyperlink" Target="https://theglobaljukebox.org/?share=Mapuche-T5401R28" TargetMode="External"/><Relationship Id="rId443" Type="http://schemas.openxmlformats.org/officeDocument/2006/relationships/hyperlink" Target="https://theglobaljukebox.org/?share=Selk'nam-T5401R11m" TargetMode="External"/><Relationship Id="rId650" Type="http://schemas.openxmlformats.org/officeDocument/2006/relationships/hyperlink" Target="https://theglobaljukebox.org/?share=Latvia-T5467R04" TargetMode="External"/><Relationship Id="rId888" Type="http://schemas.openxmlformats.org/officeDocument/2006/relationships/hyperlink" Target="https://folkways.si.edu/fawz-al-arfush/tahnin-for-a-deceased-girl/islamica-world/music/track/smithsonian" TargetMode="External"/><Relationship Id="rId1073" Type="http://schemas.openxmlformats.org/officeDocument/2006/relationships/hyperlink" Target="https://folkways.si.edu/rudolph-williams/mickero-tiga-black-girl/american-indian-world/music/track/smithsonian" TargetMode="External"/><Relationship Id="rId1280" Type="http://schemas.openxmlformats.org/officeDocument/2006/relationships/hyperlink" Target="https://theglobaljukebox.org/?share=Mbuti-T5439R19" TargetMode="External"/><Relationship Id="rId2124" Type="http://schemas.openxmlformats.org/officeDocument/2006/relationships/hyperlink" Target="https://folkways.si.edu/lillian-rainer/navajo-riding-song/american-indian/music/track/smithsonian" TargetMode="External"/><Relationship Id="rId303" Type="http://schemas.openxmlformats.org/officeDocument/2006/relationships/hyperlink" Target="http://media.theglobaljukebox.org/audio/T5441R21.mp3" TargetMode="External"/><Relationship Id="rId748" Type="http://schemas.openxmlformats.org/officeDocument/2006/relationships/hyperlink" Target="http://greenstone.ilam.ru.ac.za/collect/ilam/index/assoc/D29804.dir/ATC092a-02.mp3" TargetMode="External"/><Relationship Id="rId955" Type="http://schemas.openxmlformats.org/officeDocument/2006/relationships/hyperlink" Target="https://folkways.si.edu/inle-myint-maung-and-yi-yi-thant/the-glory-of-the-king/world/music/track/smithsonian" TargetMode="External"/><Relationship Id="rId1140" Type="http://schemas.openxmlformats.org/officeDocument/2006/relationships/hyperlink" Target="https://theglobaljukebox.org/?share=Wix%C3%A1ritari-T5405R07" TargetMode="External"/><Relationship Id="rId1378" Type="http://schemas.openxmlformats.org/officeDocument/2006/relationships/hyperlink" Target="http://media.theglobaljukebox.org/audio/T5428R46.mp3" TargetMode="External"/><Relationship Id="rId1585" Type="http://schemas.openxmlformats.org/officeDocument/2006/relationships/hyperlink" Target="https://folkways.si.edu/pete-seeger/seneca-canoe-song/american-folk/music/track/smithsonian" TargetMode="External"/><Relationship Id="rId1792" Type="http://schemas.openxmlformats.org/officeDocument/2006/relationships/hyperlink" Target="http://sami.bl.uk/uhtbin/cgisirsi/?ps=1lFGKk153C/WORKS-FILE/74680012/9" TargetMode="External"/><Relationship Id="rId84" Type="http://schemas.openxmlformats.org/officeDocument/2006/relationships/hyperlink" Target="http://www.worldcat.org/oclc/34555452" TargetMode="External"/><Relationship Id="rId510" Type="http://schemas.openxmlformats.org/officeDocument/2006/relationships/hyperlink" Target="http://ampm.auckland.ac.nz/handle/id/89508" TargetMode="External"/><Relationship Id="rId608" Type="http://schemas.openxmlformats.org/officeDocument/2006/relationships/hyperlink" Target="http://media.theglobaljukebox.org/audio/T5523R22.mp3" TargetMode="External"/><Relationship Id="rId815" Type="http://schemas.openxmlformats.org/officeDocument/2006/relationships/hyperlink" Target="http://media.theglobaljukebox.org/audio/T5424R05m.mp3" TargetMode="External"/><Relationship Id="rId1238" Type="http://schemas.openxmlformats.org/officeDocument/2006/relationships/hyperlink" Target="https://folkways.si.edu/the-spirit-cries-music-from-the-rainforests-of-south-america-the-caribbean/world/album/smithsonian" TargetMode="External"/><Relationship Id="rId1445" Type="http://schemas.openxmlformats.org/officeDocument/2006/relationships/hyperlink" Target="http://media.theglobaljukebox.org/audio/T5426R20m.mp3" TargetMode="External"/><Relationship Id="rId1652" Type="http://schemas.openxmlformats.org/officeDocument/2006/relationships/hyperlink" Target="https://folkways.si.edu/voices-harmonium-fireworks/alabanza/american-indian-world/music/track/smithsonian" TargetMode="External"/><Relationship Id="rId1000" Type="http://schemas.openxmlformats.org/officeDocument/2006/relationships/hyperlink" Target="https://theglobaljukebox.org/?share=Ekonda-T5458R42" TargetMode="External"/><Relationship Id="rId1305" Type="http://schemas.openxmlformats.org/officeDocument/2006/relationships/hyperlink" Target="https://browse.nypl.org/iii/encore/record/C__Rb18403807__SNon-Russian%20folk%20traditions__Orightresult__X6?lang=eng&amp;suite=def" TargetMode="External"/><Relationship Id="rId1957" Type="http://schemas.openxmlformats.org/officeDocument/2006/relationships/hyperlink" Target="https://folkways.si.edu/santa-ana-midnight-dance/american-indian/music/track/smithsonian" TargetMode="External"/><Relationship Id="rId1512" Type="http://schemas.openxmlformats.org/officeDocument/2006/relationships/hyperlink" Target="http://www.worldcat.org/title/other-voices/oclc/1018457081&amp;referer=brief_results" TargetMode="External"/><Relationship Id="rId1817" Type="http://schemas.openxmlformats.org/officeDocument/2006/relationships/hyperlink" Target="http://id.lib.harvard.edu/alma/990049099310203941/catalog" TargetMode="External"/><Relationship Id="rId11" Type="http://schemas.openxmlformats.org/officeDocument/2006/relationships/hyperlink" Target="http://www.worldcat.org/oclc/34588212" TargetMode="External"/><Relationship Id="rId398" Type="http://schemas.openxmlformats.org/officeDocument/2006/relationships/hyperlink" Target="https://theglobaljukebox.org/?share=Epirus-T5472R36" TargetMode="External"/><Relationship Id="rId2079" Type="http://schemas.openxmlformats.org/officeDocument/2006/relationships/hyperlink" Target="https://sounds.bl.uk/World-and-traditional-music/Endangered-Micronesian-recordings/025M-CEAP115X2X65-015ZV0" TargetMode="External"/><Relationship Id="rId160" Type="http://schemas.openxmlformats.org/officeDocument/2006/relationships/hyperlink" Target="http://media.theglobaljukebox.org/audio/T5404R01m.mp3" TargetMode="External"/><Relationship Id="rId258" Type="http://schemas.openxmlformats.org/officeDocument/2006/relationships/hyperlink" Target="https://theglobaljukebox.org/?share=Guahibo-T5404R01m" TargetMode="External"/><Relationship Id="rId465" Type="http://schemas.openxmlformats.org/officeDocument/2006/relationships/hyperlink" Target="https://theglobaljukebox.org/?share=Loma-T5459R41" TargetMode="External"/><Relationship Id="rId672" Type="http://schemas.openxmlformats.org/officeDocument/2006/relationships/hyperlink" Target="https://folkways.si.edu/canada-music-of-the-inuit-the-copper-eskimo-tradition/world/music/album/smithsonian" TargetMode="External"/><Relationship Id="rId1095" Type="http://schemas.openxmlformats.org/officeDocument/2006/relationships/hyperlink" Target="https://theglobaljukebox.org/?share=Totonac-T5405R63" TargetMode="External"/><Relationship Id="rId2146" Type="http://schemas.openxmlformats.org/officeDocument/2006/relationships/hyperlink" Target="https://folkways.si.edu/juan-sequndo-mamani-eugenio-challapa-challapa/solo-on-the-bandola/romero-romero/sahsalye/american-indian-world/music/track/smithsonian" TargetMode="External"/><Relationship Id="rId118" Type="http://schemas.openxmlformats.org/officeDocument/2006/relationships/hyperlink" Target="http://archives.crem-cnrs.fr/archives/items/CNRSMH_E_1959_013_001_03/" TargetMode="External"/><Relationship Id="rId325" Type="http://schemas.openxmlformats.org/officeDocument/2006/relationships/hyperlink" Target="https://theglobaljukebox.org/?share=Samoa-T5429R43" TargetMode="External"/><Relationship Id="rId532" Type="http://schemas.openxmlformats.org/officeDocument/2006/relationships/hyperlink" Target="https://theglobaljukebox.org/?share=Anguilla-T5479R03" TargetMode="External"/><Relationship Id="rId977" Type="http://schemas.openxmlformats.org/officeDocument/2006/relationships/hyperlink" Target="http://www.folkways.si.edu/grup-tabbing-sualia/jangang-lea-lea-part-3/islamica-world/music/track/smithsonian" TargetMode="External"/><Relationship Id="rId1162" Type="http://schemas.openxmlformats.org/officeDocument/2006/relationships/hyperlink" Target="https://folkways.si.edu/wilfredo-morris/aquanusa-healing-chant/american-indian-world/music/track/smithsonian" TargetMode="External"/><Relationship Id="rId2006" Type="http://schemas.openxmlformats.org/officeDocument/2006/relationships/hyperlink" Target="http://gofile.me/3T2hs/IG0JDyCu4" TargetMode="External"/><Relationship Id="rId837" Type="http://schemas.openxmlformats.org/officeDocument/2006/relationships/hyperlink" Target="http://media.theglobaljukebox.org/audio/T5424R21m.mp3" TargetMode="External"/><Relationship Id="rId1022" Type="http://schemas.openxmlformats.org/officeDocument/2006/relationships/hyperlink" Target="https://theglobaljukebox.org/?share=Lucania-T5470R38" TargetMode="External"/><Relationship Id="rId1467" Type="http://schemas.openxmlformats.org/officeDocument/2006/relationships/hyperlink" Target="http://media.theglobaljukebox.org/audio/T5431R25.mp3" TargetMode="External"/><Relationship Id="rId1674" Type="http://schemas.openxmlformats.org/officeDocument/2006/relationships/hyperlink" Target="http://richardkwolf.com/" TargetMode="External"/><Relationship Id="rId1881" Type="http://schemas.openxmlformats.org/officeDocument/2006/relationships/hyperlink" Target="https://theglobaljukebox.org/" TargetMode="External"/><Relationship Id="rId904" Type="http://schemas.openxmlformats.org/officeDocument/2006/relationships/hyperlink" Target="https://theglobaljukebox.org/?share=Black%20Sea-T5483R12" TargetMode="External"/><Relationship Id="rId1327" Type="http://schemas.openxmlformats.org/officeDocument/2006/relationships/hyperlink" Target="https://search.alexanderstreet.com/preview/work/bibliographic_entity%7Cliner_notes%7C2258560" TargetMode="External"/><Relationship Id="rId1534" Type="http://schemas.openxmlformats.org/officeDocument/2006/relationships/hyperlink" Target="http://www.worldcat.org/title/txiriti-katukina/oclc/294847126" TargetMode="External"/><Relationship Id="rId1741" Type="http://schemas.openxmlformats.org/officeDocument/2006/relationships/hyperlink" Target="https://theglobaljukebox.org/" TargetMode="External"/><Relationship Id="rId1979" Type="http://schemas.openxmlformats.org/officeDocument/2006/relationships/hyperlink" Target="https://theglobaljukebox.org/?share=Swiss%20Alps-T5467R41" TargetMode="External"/><Relationship Id="rId33" Type="http://schemas.openxmlformats.org/officeDocument/2006/relationships/hyperlink" Target="http://www.worldcat.org/oclc/671260633" TargetMode="External"/><Relationship Id="rId1601" Type="http://schemas.openxmlformats.org/officeDocument/2006/relationships/hyperlink" Target="https://search.alexanderstreet.com/preview/work/bibliographic_entity%7Crecorded_cd%7C510900" TargetMode="External"/><Relationship Id="rId1839" Type="http://schemas.openxmlformats.org/officeDocument/2006/relationships/hyperlink" Target="https://theglobaljukebox.org/?share=Yucatan%20Maya-T5486R01" TargetMode="External"/><Relationship Id="rId182" Type="http://schemas.openxmlformats.org/officeDocument/2006/relationships/hyperlink" Target="https://theglobaljukebox.org/?share=Joria-T5417R06" TargetMode="External"/><Relationship Id="rId1906" Type="http://schemas.openxmlformats.org/officeDocument/2006/relationships/hyperlink" Target="http://media.theglobaljukebox.org/audio/T5467R23.mp3" TargetMode="External"/><Relationship Id="rId487" Type="http://schemas.openxmlformats.org/officeDocument/2006/relationships/hyperlink" Target="https://folkways.si.edu/australia-aboriginal-music/world/music/album/smithsonian" TargetMode="External"/><Relationship Id="rId694" Type="http://schemas.openxmlformats.org/officeDocument/2006/relationships/hyperlink" Target="https://sounds.bl.uk/World-and-traditional-music/Violeta-Ruano-portraits-of-Saharawi-Music/025M-C1640X0132XX-0001V0" TargetMode="External"/><Relationship Id="rId2070" Type="http://schemas.openxmlformats.org/officeDocument/2006/relationships/hyperlink" Target="https://sounds.bl.uk/World-and-traditional-music/Endangered-Micronesian-recordings/025M-CEAP115X4X99-004ZV0" TargetMode="External"/><Relationship Id="rId2168" Type="http://schemas.openxmlformats.org/officeDocument/2006/relationships/hyperlink" Target="https://folkways.si.edu/fred-louis-and-ella-thompson/invitation-song/american-indian/music/track/smithsonian" TargetMode="External"/><Relationship Id="rId347" Type="http://schemas.openxmlformats.org/officeDocument/2006/relationships/hyperlink" Target="https://theglobaljukebox.org/?share=Ouldeme-T30145" TargetMode="External"/><Relationship Id="rId999" Type="http://schemas.openxmlformats.org/officeDocument/2006/relationships/hyperlink" Target="https://theglobaljukebox.org/?share=Topoke-T5458R29" TargetMode="External"/><Relationship Id="rId1184" Type="http://schemas.openxmlformats.org/officeDocument/2006/relationships/hyperlink" Target="https://theglobaljukebox.org/?share=Hausa-T5621R09m" TargetMode="External"/><Relationship Id="rId2028" Type="http://schemas.openxmlformats.org/officeDocument/2006/relationships/hyperlink" Target="https://folkways.si.edu/francisco-challapa-chamaca/solo-on-the-pinqalyo/sumirumansanisa/american-indian-world/music/track/smithsonian" TargetMode="External"/><Relationship Id="rId554" Type="http://schemas.openxmlformats.org/officeDocument/2006/relationships/hyperlink" Target="http://ampm.auckland.ac.nz/handle/id/86796" TargetMode="External"/><Relationship Id="rId761" Type="http://schemas.openxmlformats.org/officeDocument/2006/relationships/hyperlink" Target="http://greenstone.ilam.ru.ac.za/collect/ilam/index/assoc/D6714.dir/TP0399-ABC11278.mp3" TargetMode="External"/><Relationship Id="rId859" Type="http://schemas.openxmlformats.org/officeDocument/2006/relationships/hyperlink" Target="http://media.theglobaljukebox.org/audio/T5482R07.mp3" TargetMode="External"/><Relationship Id="rId1391" Type="http://schemas.openxmlformats.org/officeDocument/2006/relationships/hyperlink" Target="http://www.worldcat.org/oclc/900482033" TargetMode="External"/><Relationship Id="rId1489" Type="http://schemas.openxmlformats.org/officeDocument/2006/relationships/hyperlink" Target="https://folkways.si.edu/florence-davidson/fd-6-welcome-dance-for-edenshaws-potlatch/american-indian/music/track/smithsonian" TargetMode="External"/><Relationship Id="rId1696" Type="http://schemas.openxmlformats.org/officeDocument/2006/relationships/hyperlink" Target="http://richardkwolf.com/" TargetMode="External"/><Relationship Id="rId207" Type="http://schemas.openxmlformats.org/officeDocument/2006/relationships/hyperlink" Target="http://www.folkways.si.edu/assam-mixed-chorus-from-kohima-naga-hills/angami-naga-song-no1/world/music/track/smithsonian" TargetMode="External"/><Relationship Id="rId414" Type="http://schemas.openxmlformats.org/officeDocument/2006/relationships/hyperlink" Target="http://gofile.me/3T2hs/R3unJHexn" TargetMode="External"/><Relationship Id="rId621" Type="http://schemas.openxmlformats.org/officeDocument/2006/relationships/hyperlink" Target="https://folkways.si.edu/japan-ainu-songs-chisi-sinotcha/music/track/smithsonian" TargetMode="External"/><Relationship Id="rId1044" Type="http://schemas.openxmlformats.org/officeDocument/2006/relationships/hyperlink" Target="https://folkways.si.edu/evgeni-ulugbashev/khai/central-asia-islamica-world/music/track/smithsonian" TargetMode="External"/><Relationship Id="rId1251" Type="http://schemas.openxmlformats.org/officeDocument/2006/relationships/hyperlink" Target="https://search.alexanderstreet.com/preview/work/bibliographic_entity%7Crecorded_cd%7C315119" TargetMode="External"/><Relationship Id="rId1349" Type="http://schemas.openxmlformats.org/officeDocument/2006/relationships/hyperlink" Target="http://gofile.me/3T2hs/yo6qn4cGB" TargetMode="External"/><Relationship Id="rId719" Type="http://schemas.openxmlformats.org/officeDocument/2006/relationships/hyperlink" Target="http://media.theglobaljukebox.org/audio/T9522R04.mp3" TargetMode="External"/><Relationship Id="rId926" Type="http://schemas.openxmlformats.org/officeDocument/2006/relationships/hyperlink" Target="https://folkways.si.edu/grup-tabbing-sualia/jangang-lea-lea-part-3/islamica-world/music/track/smithsonian" TargetMode="External"/><Relationship Id="rId1111" Type="http://schemas.openxmlformats.org/officeDocument/2006/relationships/hyperlink" Target="http://www.philology.nsc.ru/departments/folklor/books/t32.php" TargetMode="External"/><Relationship Id="rId1556" Type="http://schemas.openxmlformats.org/officeDocument/2006/relationships/hyperlink" Target="http://www.worldcat.org/title/sacred-path-spells-prayers-power-songs-of-the-american-indians/oclc/10020978&amp;referer=brief_results" TargetMode="External"/><Relationship Id="rId1763" Type="http://schemas.openxmlformats.org/officeDocument/2006/relationships/hyperlink" Target="https://sounds.bl.uk/World-and-traditional-music/Ethnographic-wax-cylinders/025M-C0072X0875XX-0100V0" TargetMode="External"/><Relationship Id="rId1970" Type="http://schemas.openxmlformats.org/officeDocument/2006/relationships/hyperlink" Target="https://theglobaljukebox.org/?share=Tohono%20O%E2%80%99odham-T5405R20" TargetMode="External"/><Relationship Id="rId55" Type="http://schemas.openxmlformats.org/officeDocument/2006/relationships/hyperlink" Target="http://gofile.me/3T2hs/rs4IsdNPl" TargetMode="External"/><Relationship Id="rId1209" Type="http://schemas.openxmlformats.org/officeDocument/2006/relationships/hyperlink" Target="https://theglobaljukebox.org/?share=Wix%C3%A1ritari-T5405R01" TargetMode="External"/><Relationship Id="rId1416" Type="http://schemas.openxmlformats.org/officeDocument/2006/relationships/hyperlink" Target="http://media.theglobaljukebox.org/audio/T5593R08.mp3" TargetMode="External"/><Relationship Id="rId1623" Type="http://schemas.openxmlformats.org/officeDocument/2006/relationships/hyperlink" Target="http://media.theglobaljukebox.org/audio/T5430R28.mp3" TargetMode="External"/><Relationship Id="rId1830" Type="http://schemas.openxmlformats.org/officeDocument/2006/relationships/hyperlink" Target="https://theglobaljukebox.org/?share=Aberdeen-T5592R17" TargetMode="External"/><Relationship Id="rId1928" Type="http://schemas.openxmlformats.org/officeDocument/2006/relationships/hyperlink" Target="https://folkways.si.edu/australia-aboriginal-music/world/music/album/smithsonian" TargetMode="External"/><Relationship Id="rId2092" Type="http://schemas.openxmlformats.org/officeDocument/2006/relationships/hyperlink" Target="https://babel.hathitrust.org/cgi/pt?id=umn.31951d03559167t;view=1up;seq=24" TargetMode="External"/><Relationship Id="rId271" Type="http://schemas.openxmlformats.org/officeDocument/2006/relationships/hyperlink" Target="https://sounds.bl.uk/World-and-traditional-music/Firth-Tikopia/025M-C0333X0002XX-0600V0" TargetMode="External"/><Relationship Id="rId131" Type="http://schemas.openxmlformats.org/officeDocument/2006/relationships/hyperlink" Target="https://theglobaljukebox.org/?share=Amhara-T5596R07" TargetMode="External"/><Relationship Id="rId369" Type="http://schemas.openxmlformats.org/officeDocument/2006/relationships/hyperlink" Target="https://theglobaljukebox.org/?share=Dorla-T5416R11" TargetMode="External"/><Relationship Id="rId576" Type="http://schemas.openxmlformats.org/officeDocument/2006/relationships/hyperlink" Target="https://theglobaljukebox.org/?share=Carriacou-T5474R36" TargetMode="External"/><Relationship Id="rId783" Type="http://schemas.openxmlformats.org/officeDocument/2006/relationships/hyperlink" Target="https://folkways.si.edu/shin-tan-ga-chok-byuk-poo-2/world/music/track/smithsonian" TargetMode="External"/><Relationship Id="rId990" Type="http://schemas.openxmlformats.org/officeDocument/2006/relationships/hyperlink" Target="https://folkways.si.edu/jantina-noorman/dutch-folk-songs/world/music/album/smithsonian" TargetMode="External"/><Relationship Id="rId229" Type="http://schemas.openxmlformats.org/officeDocument/2006/relationships/hyperlink" Target="http://media.theglobaljukebox.org/audio/T5463R17.mp3" TargetMode="External"/><Relationship Id="rId436" Type="http://schemas.openxmlformats.org/officeDocument/2006/relationships/hyperlink" Target="http://media.theglobaljukebox.org/audio/T5440R04.mp3" TargetMode="External"/><Relationship Id="rId643" Type="http://schemas.openxmlformats.org/officeDocument/2006/relationships/hyperlink" Target="https://theglobaljukebox.org/?share=Kursk%20Ob.-T5522R16" TargetMode="External"/><Relationship Id="rId1066" Type="http://schemas.openxmlformats.org/officeDocument/2006/relationships/hyperlink" Target="https://theglobaljukebox.org/?share=Durham-T5545R12" TargetMode="External"/><Relationship Id="rId1273" Type="http://schemas.openxmlformats.org/officeDocument/2006/relationships/hyperlink" Target="https://theglobaljukebox.org/?share=Pirin-T9527R25" TargetMode="External"/><Relationship Id="rId1480" Type="http://schemas.openxmlformats.org/officeDocument/2006/relationships/hyperlink" Target="https://search.alexanderstreet.com/preview/work/bibliographic_entity%7Crecorded_cd%7C776462" TargetMode="External"/><Relationship Id="rId2117" Type="http://schemas.openxmlformats.org/officeDocument/2006/relationships/hyperlink" Target="https://folkways.si.edu/yaqui-musician-simultaneously-playing-flute-and-drum/yaqui-pascola-dance/american-indian-world/music/track/smithsonian" TargetMode="External"/><Relationship Id="rId850" Type="http://schemas.openxmlformats.org/officeDocument/2006/relationships/hyperlink" Target="http://media.theglobaljukebox.org/audio/T5482R42.mp3" TargetMode="External"/><Relationship Id="rId948" Type="http://schemas.openxmlformats.org/officeDocument/2006/relationships/hyperlink" Target="https://www.discogs.com/Puyuma-The-Music-Of-The-Aborigines-On-Taiwan-Island-Vol4-The-Songs-Of-The-Puyuma-Tribe/release/2836756" TargetMode="External"/><Relationship Id="rId1133" Type="http://schemas.openxmlformats.org/officeDocument/2006/relationships/hyperlink" Target="https://theglobaljukebox.org/?share=Dobrudzha-T5464R50" TargetMode="External"/><Relationship Id="rId1578" Type="http://schemas.openxmlformats.org/officeDocument/2006/relationships/hyperlink" Target="http://www.worldcat.org/title/in-the-trail-of-the-wind-american-indian-poems-and-ritual-orations/oclc/136520&amp;referer=brief_results" TargetMode="External"/><Relationship Id="rId1785" Type="http://schemas.openxmlformats.org/officeDocument/2006/relationships/hyperlink" Target="https://theglobaljukebox.org/?share=Quechua-T5488R12" TargetMode="External"/><Relationship Id="rId1992" Type="http://schemas.openxmlformats.org/officeDocument/2006/relationships/hyperlink" Target="https://theglobaljukebox.org/?share=Norway-T5464R32" TargetMode="External"/><Relationship Id="rId77" Type="http://schemas.openxmlformats.org/officeDocument/2006/relationships/hyperlink" Target="http://www.worldcat.org/oclc/50625762" TargetMode="External"/><Relationship Id="rId503" Type="http://schemas.openxmlformats.org/officeDocument/2006/relationships/hyperlink" Target="http://ampm.auckland.ac.nz/handle/id/73028" TargetMode="External"/><Relationship Id="rId710" Type="http://schemas.openxmlformats.org/officeDocument/2006/relationships/hyperlink" Target="http://media.theglobaljukebox.org/audio/T5452R10.mp3" TargetMode="External"/><Relationship Id="rId808" Type="http://schemas.openxmlformats.org/officeDocument/2006/relationships/hyperlink" Target="http://media.theglobaljukebox.org/audio/T5588R01.mp3" TargetMode="External"/><Relationship Id="rId1340" Type="http://schemas.openxmlformats.org/officeDocument/2006/relationships/hyperlink" Target="https://folkways.si.edu/alice-mwale-and-josefina-lungu/two-lullabies-nzimbo-zo-sinsihila-mwana-songs-for-rocking-a-child/world/music/track/smithsonian" TargetMode="External"/><Relationship Id="rId1438" Type="http://schemas.openxmlformats.org/officeDocument/2006/relationships/hyperlink" Target="http://media.theglobaljukebox.org/audio/T5428R32.mp3" TargetMode="External"/><Relationship Id="rId1645" Type="http://schemas.openxmlformats.org/officeDocument/2006/relationships/hyperlink" Target="https://folkways.si.edu/joaquin-bautista/mexico-bonito/american-indian-world/music/track/smithsonian" TargetMode="External"/><Relationship Id="rId1200" Type="http://schemas.openxmlformats.org/officeDocument/2006/relationships/hyperlink" Target="https://theglobaljukebox.org/?share=Dinka-T5437R42" TargetMode="External"/><Relationship Id="rId1852" Type="http://schemas.openxmlformats.org/officeDocument/2006/relationships/hyperlink" Target="http://id.lib.harvard.edu/alma/990150130820203941/catalog" TargetMode="External"/><Relationship Id="rId1505" Type="http://schemas.openxmlformats.org/officeDocument/2006/relationships/hyperlink" Target="https://folkways.si.edu/avery-and-fidelia-jimerson/seneca-anthem/american-indian/music/track/smithsonian" TargetMode="External"/><Relationship Id="rId1712" Type="http://schemas.openxmlformats.org/officeDocument/2006/relationships/hyperlink" Target="https://www.worldmusicstore.com/products/argentina-the-indians-of-the-gran-chaco" TargetMode="External"/><Relationship Id="rId293" Type="http://schemas.openxmlformats.org/officeDocument/2006/relationships/hyperlink" Target="http://media.theglobaljukebox.org/audio/T5553R06.mp3" TargetMode="External"/><Relationship Id="rId2181" Type="http://schemas.openxmlformats.org/officeDocument/2006/relationships/hyperlink" Target="https://archives.crem-cnrs.fr/archives/items/CNRSMH_I_1979_052_002_01/" TargetMode="External"/><Relationship Id="rId153" Type="http://schemas.openxmlformats.org/officeDocument/2006/relationships/hyperlink" Target="https://theglobaljukebox.org/?share=Hadza-T5439R24" TargetMode="External"/><Relationship Id="rId360" Type="http://schemas.openxmlformats.org/officeDocument/2006/relationships/hyperlink" Target="https://www.discogs.com/Various-Folk-Music-Of-India/release/5260725" TargetMode="External"/><Relationship Id="rId598" Type="http://schemas.openxmlformats.org/officeDocument/2006/relationships/hyperlink" Target="http://media.theglobaljukebox.org/audio/T5435R24.mp3" TargetMode="External"/><Relationship Id="rId2041" Type="http://schemas.openxmlformats.org/officeDocument/2006/relationships/hyperlink" Target="https://theglobaljukebox.org/?share=Ifaluk-T5427R46m" TargetMode="External"/><Relationship Id="rId220" Type="http://schemas.openxmlformats.org/officeDocument/2006/relationships/hyperlink" Target="http://www.worldcat.org/title/songs-of-the-inuit-iglulik-canada/oclc/65196223" TargetMode="External"/><Relationship Id="rId458" Type="http://schemas.openxmlformats.org/officeDocument/2006/relationships/hyperlink" Target="http://www.worldcat.org/title/dreamings-aboriginal-healing-didjeridu/oclc/39975607&amp;referer=brief_results" TargetMode="External"/><Relationship Id="rId665" Type="http://schemas.openxmlformats.org/officeDocument/2006/relationships/hyperlink" Target="http://media.theglobaljukebox.org/audio/T5439R36.mp3" TargetMode="External"/><Relationship Id="rId872" Type="http://schemas.openxmlformats.org/officeDocument/2006/relationships/hyperlink" Target="https://theglobaljukebox.org/?share=Netherlands-T5467R52" TargetMode="External"/><Relationship Id="rId1088" Type="http://schemas.openxmlformats.org/officeDocument/2006/relationships/hyperlink" Target="https://theglobaljukebox.org/?share=Friuli-T5471R26" TargetMode="External"/><Relationship Id="rId1295" Type="http://schemas.openxmlformats.org/officeDocument/2006/relationships/hyperlink" Target="https://theglobaljukebox.org/?share=Luo-T5437R21" TargetMode="External"/><Relationship Id="rId2139" Type="http://schemas.openxmlformats.org/officeDocument/2006/relationships/hyperlink" Target="https://folkways.si.edu/zuni-rain-dance/american-indian/music/track/smithsonian" TargetMode="External"/><Relationship Id="rId318" Type="http://schemas.openxmlformats.org/officeDocument/2006/relationships/hyperlink" Target="https://theglobaljukebox.org/?share=Hawaii-T5430R01" TargetMode="External"/><Relationship Id="rId525" Type="http://schemas.openxmlformats.org/officeDocument/2006/relationships/hyperlink" Target="https://theglobaljukebox.org/?share=Carriacou-T5474R37" TargetMode="External"/><Relationship Id="rId732" Type="http://schemas.openxmlformats.org/officeDocument/2006/relationships/hyperlink" Target="http://media.theglobaljukebox.org/audio/T5450R29.mp3" TargetMode="External"/><Relationship Id="rId1155" Type="http://schemas.openxmlformats.org/officeDocument/2006/relationships/hyperlink" Target="http://www.folkways.si.edu/TrackDetails.aspx?itemid=21739" TargetMode="External"/><Relationship Id="rId1362" Type="http://schemas.openxmlformats.org/officeDocument/2006/relationships/hyperlink" Target="https://search.alexanderstreet.com/preview/work/bibliographic_entity%7Cvideo_work%7C3953633" TargetMode="External"/><Relationship Id="rId99" Type="http://schemas.openxmlformats.org/officeDocument/2006/relationships/hyperlink" Target="http://www.worldcat.org/oclc/54832362" TargetMode="External"/><Relationship Id="rId1015" Type="http://schemas.openxmlformats.org/officeDocument/2006/relationships/hyperlink" Target="https://theglobaljukebox.org/" TargetMode="External"/><Relationship Id="rId1222" Type="http://schemas.openxmlformats.org/officeDocument/2006/relationships/hyperlink" Target="https://folkways.si.edu/magazine-summer-fall-2016-come-bien-eat-right/tools-for-teaching/smithsonian" TargetMode="External"/><Relationship Id="rId1667" Type="http://schemas.openxmlformats.org/officeDocument/2006/relationships/hyperlink" Target="https://folkways.si.edu/healing-songs-of-the-american-indians/music/album/smithsonian" TargetMode="External"/><Relationship Id="rId1874" Type="http://schemas.openxmlformats.org/officeDocument/2006/relationships/hyperlink" Target="http://gofile.me/3T2hs/VznXzfN6a" TargetMode="External"/><Relationship Id="rId1527" Type="http://schemas.openxmlformats.org/officeDocument/2006/relationships/hyperlink" Target="https://folkways.si.edu/betty-pamptopee/stomp-dance/rituals-to-the-creator/wesleyan-hymn-medley/american-indian/music/track/smithsonian" TargetMode="External"/><Relationship Id="rId1734" Type="http://schemas.openxmlformats.org/officeDocument/2006/relationships/hyperlink" Target="https://theglobaljukebox.org/?share=Aromanians-T5546R09" TargetMode="External"/><Relationship Id="rId1941" Type="http://schemas.openxmlformats.org/officeDocument/2006/relationships/hyperlink" Target="https://theglobaljukebox.org/?share=Hungary%20Folk-T5522R53" TargetMode="External"/><Relationship Id="rId26" Type="http://schemas.openxmlformats.org/officeDocument/2006/relationships/hyperlink" Target="http://www.worldcat.org/oclc/45107180" TargetMode="External"/><Relationship Id="rId175" Type="http://schemas.openxmlformats.org/officeDocument/2006/relationships/hyperlink" Target="https://theglobaljukebox.org/" TargetMode="External"/><Relationship Id="rId1801" Type="http://schemas.openxmlformats.org/officeDocument/2006/relationships/hyperlink" Target="https://folkways.si.edu/paul-finley/love-song/american-indian/music/track/smithsonian" TargetMode="External"/><Relationship Id="rId382" Type="http://schemas.openxmlformats.org/officeDocument/2006/relationships/hyperlink" Target="http://gofile.me/3T2hs/c37l0Un7g" TargetMode="External"/><Relationship Id="rId687" Type="http://schemas.openxmlformats.org/officeDocument/2006/relationships/hyperlink" Target="http://media.theglobaljukebox.org/audio/T5457R11.mp3" TargetMode="External"/><Relationship Id="rId2063" Type="http://schemas.openxmlformats.org/officeDocument/2006/relationships/hyperlink" Target="https://folkways.si.edu/susie-tiger/songs-concerning-the-removal-of-the-seminole-to-oklahoma/american-indian/music/track/smithsonian" TargetMode="External"/><Relationship Id="rId242" Type="http://schemas.openxmlformats.org/officeDocument/2006/relationships/hyperlink" Target="https://folkways.si.edu/veronika-povilioniene/lithuanian-lullaby-2/central-asia-islamica-world/music/track/smithsonian" TargetMode="External"/><Relationship Id="rId894" Type="http://schemas.openxmlformats.org/officeDocument/2006/relationships/hyperlink" Target="http://media.theglobaljukebox.org/audio/T5587R06.mp3" TargetMode="External"/><Relationship Id="rId1177" Type="http://schemas.openxmlformats.org/officeDocument/2006/relationships/hyperlink" Target="https://folkways.si.edu/caribbean-rhythms/world/music/album/smithsonian" TargetMode="External"/><Relationship Id="rId2130" Type="http://schemas.openxmlformats.org/officeDocument/2006/relationships/hyperlink" Target="https://folkways.si.edu/al-citron/childrens/music/track/smithsonian" TargetMode="External"/><Relationship Id="rId102" Type="http://schemas.openxmlformats.org/officeDocument/2006/relationships/hyperlink" Target="http://www.worldcat.org/oclc/758855535" TargetMode="External"/><Relationship Id="rId547" Type="http://schemas.openxmlformats.org/officeDocument/2006/relationships/hyperlink" Target="http://ampm.auckland.ac.nz/handle/id/58006" TargetMode="External"/><Relationship Id="rId754" Type="http://schemas.openxmlformats.org/officeDocument/2006/relationships/hyperlink" Target="http://greenstone.ilam.ru.ac.za/collect/ilam/index/assoc/D10244.dir/TR218-01.mp3" TargetMode="External"/><Relationship Id="rId961" Type="http://schemas.openxmlformats.org/officeDocument/2006/relationships/hyperlink" Target="http://www.folkways.si.edu/three-choruses-led-by-rawatan-dachi/hoho-sisambuaa-matona/islamica-world/music/track/smithsonian" TargetMode="External"/><Relationship Id="rId1384" Type="http://schemas.openxmlformats.org/officeDocument/2006/relationships/hyperlink" Target="https://sounds.bl.uk/World-and-traditional-music/Music-from-India/025M-RKDATX0068XX-0100V0" TargetMode="External"/><Relationship Id="rId1591" Type="http://schemas.openxmlformats.org/officeDocument/2006/relationships/hyperlink" Target="https://folkways.si.edu/tom-handle/lullaby/american-indian/music/track/smithsonian" TargetMode="External"/><Relationship Id="rId1689" Type="http://schemas.openxmlformats.org/officeDocument/2006/relationships/hyperlink" Target="https://folkways.si.edu/lola-kiepja/lament-no-33-shaman-chant-no-34-shaman-chant-no-35/american-indian-world/music/track/smithsonian" TargetMode="External"/><Relationship Id="rId90" Type="http://schemas.openxmlformats.org/officeDocument/2006/relationships/hyperlink" Target="http://www.worldcat.org/oclc/54832375" TargetMode="External"/><Relationship Id="rId407" Type="http://schemas.openxmlformats.org/officeDocument/2006/relationships/hyperlink" Target="http://ampm.auckland.ac.nz/handle/id/91381" TargetMode="External"/><Relationship Id="rId614" Type="http://schemas.openxmlformats.org/officeDocument/2006/relationships/hyperlink" Target="http://media.theglobaljukebox.org/audio/T5411R02m.mp3" TargetMode="External"/><Relationship Id="rId821" Type="http://schemas.openxmlformats.org/officeDocument/2006/relationships/hyperlink" Target="http://media.theglobaljukebox.org/audio/T5401R25m.mp3" TargetMode="External"/><Relationship Id="rId1037" Type="http://schemas.openxmlformats.org/officeDocument/2006/relationships/hyperlink" Target="https://folkways.si.edu/jantina-noorman/dutch-folk-songs/world/music/album/smithsonian" TargetMode="External"/><Relationship Id="rId1244" Type="http://schemas.openxmlformats.org/officeDocument/2006/relationships/hyperlink" Target="http://id.lib.harvard.edu/alma/990098836860203941/catalog" TargetMode="External"/><Relationship Id="rId1451" Type="http://schemas.openxmlformats.org/officeDocument/2006/relationships/hyperlink" Target="https://search.alexanderstreet.com/preview/work/bibliographic_entity%7Crecorded_cd%7C1747788" TargetMode="External"/><Relationship Id="rId1896" Type="http://schemas.openxmlformats.org/officeDocument/2006/relationships/hyperlink" Target="https://folkways.si.edu/audrey-coppard/english-folk-songs/celtic-world/music/album/smithsonian" TargetMode="External"/><Relationship Id="rId919" Type="http://schemas.openxmlformats.org/officeDocument/2006/relationships/hyperlink" Target="https://theglobaljukebox.org/?share=K%C4%93%C4%9Brk%C3%A8z%C4%AB%20z%C3%BA-T5490R02" TargetMode="External"/><Relationship Id="rId1104" Type="http://schemas.openxmlformats.org/officeDocument/2006/relationships/hyperlink" Target="http://media.theglobaljukebox.org/audio/T5414R19.mp3" TargetMode="External"/><Relationship Id="rId1311" Type="http://schemas.openxmlformats.org/officeDocument/2006/relationships/hyperlink" Target="https://browse.nypl.org/iii/encore/record/C__Rb18403807__SNon-Russian%20folk%20traditions__Orightresult__X6?lang=eng&amp;suite=def" TargetMode="External"/><Relationship Id="rId1549" Type="http://schemas.openxmlformats.org/officeDocument/2006/relationships/hyperlink" Target="http://www.worldcat.org/title/flores-del-viento-iii/oclc/948209748&amp;referer=brief_results" TargetMode="External"/><Relationship Id="rId1756" Type="http://schemas.openxmlformats.org/officeDocument/2006/relationships/hyperlink" Target="https://search.alexanderstreet.com/view/work/bibliographic_entity%7Crecorded_cd%7C71792?utm_source=aspresolver&amp;utm_medium=MARC&amp;utm_campaign=AlexanderStreet" TargetMode="External"/><Relationship Id="rId1963" Type="http://schemas.openxmlformats.org/officeDocument/2006/relationships/hyperlink" Target="https://folkways.si.edu/cora-shaman-with-mitote/cora-harvest-chant/american-indian-world/music/track/smithsonian" TargetMode="External"/><Relationship Id="rId48" Type="http://schemas.openxmlformats.org/officeDocument/2006/relationships/hyperlink" Target="http://www.worldcat.org/oclc/212740985" TargetMode="External"/><Relationship Id="rId1409" Type="http://schemas.openxmlformats.org/officeDocument/2006/relationships/hyperlink" Target="http://gofile.me/3T2hs/2B8MrO0zb" TargetMode="External"/><Relationship Id="rId1616" Type="http://schemas.openxmlformats.org/officeDocument/2006/relationships/hyperlink" Target="https://theglobaljukebox.org/?share=Q'ero-T5488R09" TargetMode="External"/><Relationship Id="rId1823" Type="http://schemas.openxmlformats.org/officeDocument/2006/relationships/hyperlink" Target="https://theglobaljukebox.org/?share=N.%20Croatia-T5591R02" TargetMode="External"/><Relationship Id="rId197" Type="http://schemas.openxmlformats.org/officeDocument/2006/relationships/hyperlink" Target="http://media.theglobaljukebox.org/audio/T5402R74.mp3" TargetMode="External"/><Relationship Id="rId2085" Type="http://schemas.openxmlformats.org/officeDocument/2006/relationships/hyperlink" Target="https://sounds.bl.uk/World-and-traditional-music/Endangered-Micronesian-recordings/025M-CEAP115X4X27-007ZV0" TargetMode="External"/><Relationship Id="rId264" Type="http://schemas.openxmlformats.org/officeDocument/2006/relationships/hyperlink" Target="https://theglobaljukebox.org/?share=Hawaii-T5429R22" TargetMode="External"/><Relationship Id="rId471" Type="http://schemas.openxmlformats.org/officeDocument/2006/relationships/hyperlink" Target="http://media.theglobaljukebox.org/audio/T40015R02.mp3" TargetMode="External"/><Relationship Id="rId2152" Type="http://schemas.openxmlformats.org/officeDocument/2006/relationships/hyperlink" Target="https://folkways.si.edu/l-h-correa-de-azevedo-music-of-ceara-and-minas-gerais/latin-world/music/album/smithsonian" TargetMode="External"/><Relationship Id="rId124" Type="http://schemas.openxmlformats.org/officeDocument/2006/relationships/hyperlink" Target="http://www.worldcat.org/title/songs-of-the-inuit-iglulik-canada/oclc/65196223&amp;referer=brief_results" TargetMode="External"/><Relationship Id="rId569" Type="http://schemas.openxmlformats.org/officeDocument/2006/relationships/hyperlink" Target="https://theglobaljukebox.org/?share=Martinique-T5474R49" TargetMode="External"/><Relationship Id="rId776" Type="http://schemas.openxmlformats.org/officeDocument/2006/relationships/hyperlink" Target="http://greenstone.ilam.ru.ac.za/collect/ilam/index/assoc/D8719.dir/TR114-01.mp3" TargetMode="External"/><Relationship Id="rId983" Type="http://schemas.openxmlformats.org/officeDocument/2006/relationships/hyperlink" Target="https://theglobaljukebox.org/" TargetMode="External"/><Relationship Id="rId1199" Type="http://schemas.openxmlformats.org/officeDocument/2006/relationships/hyperlink" Target="https://theglobaljukebox.org/?share=Barabra-T5461R37" TargetMode="External"/><Relationship Id="rId331" Type="http://schemas.openxmlformats.org/officeDocument/2006/relationships/hyperlink" Target="https://theglobaljukebox.org/?share=Tikopia-T5428R60" TargetMode="External"/><Relationship Id="rId429" Type="http://schemas.openxmlformats.org/officeDocument/2006/relationships/hyperlink" Target="https://theglobaljukebox.org/?share=Waunana-T5404R92" TargetMode="External"/><Relationship Id="rId636" Type="http://schemas.openxmlformats.org/officeDocument/2006/relationships/hyperlink" Target="https://theglobaljukebox.org/?share=Bryanskaya%20Ob.-T5463R27" TargetMode="External"/><Relationship Id="rId1059" Type="http://schemas.openxmlformats.org/officeDocument/2006/relationships/hyperlink" Target="http://media.theglobaljukebox.org/audio/T5486R04.mp3" TargetMode="External"/><Relationship Id="rId1266" Type="http://schemas.openxmlformats.org/officeDocument/2006/relationships/hyperlink" Target="https://sounds.bl.uk/World-and-traditional-music/Music-from-India/025M-RKDATX0035XX-0100V0" TargetMode="External"/><Relationship Id="rId1473" Type="http://schemas.openxmlformats.org/officeDocument/2006/relationships/hyperlink" Target="https://sounds.bl.uk/World-and-traditional-music/Colin-Huehns-Pakistan/025M-C0485X0045XX-0900V0" TargetMode="External"/><Relationship Id="rId2012" Type="http://schemas.openxmlformats.org/officeDocument/2006/relationships/hyperlink" Target="https://search-alexanderstreet-com.ezp-prod1.hul.harvard.edu/view/work/bibliographic_entity%7Crecorded_cd%7C71907" TargetMode="External"/><Relationship Id="rId843" Type="http://schemas.openxmlformats.org/officeDocument/2006/relationships/hyperlink" Target="http://media.theglobaljukebox.org/audio/T5554R11.mp3" TargetMode="External"/><Relationship Id="rId1126" Type="http://schemas.openxmlformats.org/officeDocument/2006/relationships/hyperlink" Target="https://theglobaljukebox.org/?share=Moroccan%20Berbers-T5436R09m" TargetMode="External"/><Relationship Id="rId1680" Type="http://schemas.openxmlformats.org/officeDocument/2006/relationships/hyperlink" Target="https://theglobaljukebox.org/?share=Cluj-T5469R51" TargetMode="External"/><Relationship Id="rId1778" Type="http://schemas.openxmlformats.org/officeDocument/2006/relationships/hyperlink" Target="https://sounds.bl.uk/World-and-traditional-music/Vanishing-voices-from-the-Uralic-world/025M-CEAP3470599B-13XXV0" TargetMode="External"/><Relationship Id="rId1985" Type="http://schemas.openxmlformats.org/officeDocument/2006/relationships/hyperlink" Target="http://media.theglobaljukebox.org/audio/T9530R38.mp3" TargetMode="External"/><Relationship Id="rId703" Type="http://schemas.openxmlformats.org/officeDocument/2006/relationships/hyperlink" Target="https://sounds.bl.uk/World-and-traditional-music/Violeta-Ruano-portraits-of-Saharawi-Music/025M-C1640X0077XX-0001V0" TargetMode="External"/><Relationship Id="rId910" Type="http://schemas.openxmlformats.org/officeDocument/2006/relationships/hyperlink" Target="https://theglobaljukebox.org/?share=Gond-T5544R12" TargetMode="External"/><Relationship Id="rId1333" Type="http://schemas.openxmlformats.org/officeDocument/2006/relationships/hyperlink" Target="https://sounds.bl.uk/World-and-traditional-music/Music-from-India/025M-RKDATX0066XX-0100V0" TargetMode="External"/><Relationship Id="rId1540" Type="http://schemas.openxmlformats.org/officeDocument/2006/relationships/hyperlink" Target="https://folkways.si.edu/sayan-aqmoldaev/kertolghau/central-asia-islamica-world/music/track/smithsonian" TargetMode="External"/><Relationship Id="rId1638" Type="http://schemas.openxmlformats.org/officeDocument/2006/relationships/hyperlink" Target="https://search.alexanderstreet.com/preview/work/bibliographic_entity%7Crecorded_cd%7C510900" TargetMode="External"/><Relationship Id="rId1400" Type="http://schemas.openxmlformats.org/officeDocument/2006/relationships/hyperlink" Target="https://folkways.si.edu/louisa-sera-chompi/lullaby/american-indian-world/music/track/smithsonian" TargetMode="External"/><Relationship Id="rId1845" Type="http://schemas.openxmlformats.org/officeDocument/2006/relationships/hyperlink" Target="https://theglobaljukebox.org/" TargetMode="External"/><Relationship Id="rId1705" Type="http://schemas.openxmlformats.org/officeDocument/2006/relationships/hyperlink" Target="http://gofile.me/3T2hs/RIygve56J" TargetMode="External"/><Relationship Id="rId1912" Type="http://schemas.openxmlformats.org/officeDocument/2006/relationships/hyperlink" Target="https://folkways.si.edu/childrens-songs-and-games-from-ecuador-mexico-and-puerto-rico/latin-world/music/album/smithsonian" TargetMode="External"/><Relationship Id="rId286" Type="http://schemas.openxmlformats.org/officeDocument/2006/relationships/hyperlink" Target="https://folkways.si.edu/older-children-in-nmankgodi/tribal-songs-of-batswana-when-they-are-playing-their-whistles-praise-ululate-them/world/music/track/smithsonian" TargetMode="External"/><Relationship Id="rId493" Type="http://schemas.openxmlformats.org/officeDocument/2006/relationships/hyperlink" Target="http://ampm.auckland.ac.nz/handle/id/57679" TargetMode="External"/><Relationship Id="rId2174" Type="http://schemas.openxmlformats.org/officeDocument/2006/relationships/hyperlink" Target="https://folkways.si.edu/inger-nielsen/vort-hjem-du-danske-jord-our-home-you-danish-earth/world/music/track/smithsonian" TargetMode="External"/><Relationship Id="rId146" Type="http://schemas.openxmlformats.org/officeDocument/2006/relationships/hyperlink" Target="https://sounds.bl.uk/World-and-traditional-music/Wachsmann/025M-C0004X0054XX-2300V0" TargetMode="External"/><Relationship Id="rId353" Type="http://schemas.openxmlformats.org/officeDocument/2006/relationships/hyperlink" Target="http://media.theglobaljukebox.org/audio/T5443R40.mp3" TargetMode="External"/><Relationship Id="rId560" Type="http://schemas.openxmlformats.org/officeDocument/2006/relationships/hyperlink" Target="http://ampm.auckland.ac.nz/handle/id/91423" TargetMode="External"/><Relationship Id="rId798" Type="http://schemas.openxmlformats.org/officeDocument/2006/relationships/hyperlink" Target="http://media.theglobaljukebox.org/audio/T5414R12.mp3" TargetMode="External"/><Relationship Id="rId1190" Type="http://schemas.openxmlformats.org/officeDocument/2006/relationships/hyperlink" Target="https://folkways.si.edu/cora-violinist-singers/music-and-revelry/american-indian-world/music/track/smithsonian" TargetMode="External"/><Relationship Id="rId2034" Type="http://schemas.openxmlformats.org/officeDocument/2006/relationships/hyperlink" Target="https://theglobaljukebox.org/?share=Ulithi-T5427R15" TargetMode="External"/><Relationship Id="rId213" Type="http://schemas.openxmlformats.org/officeDocument/2006/relationships/hyperlink" Target="https://theglobaljukebox.org/?share=Dogon-T9527R21" TargetMode="External"/><Relationship Id="rId420" Type="http://schemas.openxmlformats.org/officeDocument/2006/relationships/hyperlink" Target="http://archives.crem-cnrs.fr/archives/items/CNRSMH_I_2016_030_000_044/" TargetMode="External"/><Relationship Id="rId658" Type="http://schemas.openxmlformats.org/officeDocument/2006/relationships/hyperlink" Target="https://folkways.si.edu/music-from-south-india-kerala/world/album/smithsonian" TargetMode="External"/><Relationship Id="rId865" Type="http://schemas.openxmlformats.org/officeDocument/2006/relationships/hyperlink" Target="https://theglobaljukebox.org/?share=Murcia-T5472R35" TargetMode="External"/><Relationship Id="rId1050" Type="http://schemas.openxmlformats.org/officeDocument/2006/relationships/hyperlink" Target="https://folkways.si.edu/akmammet-redzhebov-ashyr-berdiev-khangeldi-bairamov/airylymadymy-havent-they-split-up/music/track/smithsonian" TargetMode="External"/><Relationship Id="rId1288" Type="http://schemas.openxmlformats.org/officeDocument/2006/relationships/hyperlink" Target="https://theglobaljukebox.org/?share=Armenia-T5483R16" TargetMode="External"/><Relationship Id="rId1495" Type="http://schemas.openxmlformats.org/officeDocument/2006/relationships/hyperlink" Target="https://archives.crem-cnrs.fr/archives/items/CNRSMH_I_1983_001_035_03/" TargetMode="External"/><Relationship Id="rId2101" Type="http://schemas.openxmlformats.org/officeDocument/2006/relationships/hyperlink" Target="https://sounds.bl.uk/World-and-traditional-music/Endangered-Micronesian-recordings/025M-CEAP115X5X11-005ZV0" TargetMode="External"/><Relationship Id="rId518" Type="http://schemas.openxmlformats.org/officeDocument/2006/relationships/hyperlink" Target="http://ampm.auckland.ac.nz/handle/id/72946" TargetMode="External"/><Relationship Id="rId725" Type="http://schemas.openxmlformats.org/officeDocument/2006/relationships/hyperlink" Target="http://media.theglobaljukebox.org/audio/T5442R27.mp3" TargetMode="External"/><Relationship Id="rId932" Type="http://schemas.openxmlformats.org/officeDocument/2006/relationships/hyperlink" Target="http://media.theglobaljukebox.org/audio/T9505R12.mp3" TargetMode="External"/><Relationship Id="rId1148" Type="http://schemas.openxmlformats.org/officeDocument/2006/relationships/hyperlink" Target="https://folkways.si.edu/sacred-guitar-and-violin-music-of-the-modern-aztecs/american-indian-world/album/smithsonian" TargetMode="External"/><Relationship Id="rId1355" Type="http://schemas.openxmlformats.org/officeDocument/2006/relationships/hyperlink" Target="http://gofile.me/3T2hs/oAcJGjdTz" TargetMode="External"/><Relationship Id="rId1562" Type="http://schemas.openxmlformats.org/officeDocument/2006/relationships/hyperlink" Target="https://folkways.si.edu/music-of-guatemala-vol-1/american-indian-latin-world/album/smithsonian" TargetMode="External"/><Relationship Id="rId1008" Type="http://schemas.openxmlformats.org/officeDocument/2006/relationships/hyperlink" Target="https://theglobaljukebox.org/" TargetMode="External"/><Relationship Id="rId1215" Type="http://schemas.openxmlformats.org/officeDocument/2006/relationships/hyperlink" Target="https://theglobaljukebox.org/?share=Yaqui-T5405R41" TargetMode="External"/><Relationship Id="rId1422" Type="http://schemas.openxmlformats.org/officeDocument/2006/relationships/hyperlink" Target="http://gofile.me/3T2hs/EHSNt9TuC" TargetMode="External"/><Relationship Id="rId1867" Type="http://schemas.openxmlformats.org/officeDocument/2006/relationships/hyperlink" Target="http://gofile.me/3T2hs/9HMfwkHuC" TargetMode="External"/><Relationship Id="rId61" Type="http://schemas.openxmlformats.org/officeDocument/2006/relationships/hyperlink" Target="http://www.worldcat.org/oclc/41240806" TargetMode="External"/><Relationship Id="rId1727" Type="http://schemas.openxmlformats.org/officeDocument/2006/relationships/hyperlink" Target="https://folkways-media.si.edu/liner_notes/folkways/FW04454.pdf" TargetMode="External"/><Relationship Id="rId1934" Type="http://schemas.openxmlformats.org/officeDocument/2006/relationships/hyperlink" Target="https://theglobaljukebox.org/?share=Hungary%20Folk-T5462R33" TargetMode="External"/><Relationship Id="rId19" Type="http://schemas.openxmlformats.org/officeDocument/2006/relationships/hyperlink" Target="http://www.worldcat.org/oclc/689536875" TargetMode="External"/><Relationship Id="rId2196" Type="http://schemas.openxmlformats.org/officeDocument/2006/relationships/hyperlink" Target="https://archives.crem-cnrs.fr/archives/items/CNRSMH_I_2000_004_018_01/" TargetMode="External"/><Relationship Id="rId168" Type="http://schemas.openxmlformats.org/officeDocument/2006/relationships/hyperlink" Target="https://theglobaljukebox.org/?share=Baoul%C3%A9-T5459R17" TargetMode="External"/><Relationship Id="rId375" Type="http://schemas.openxmlformats.org/officeDocument/2006/relationships/hyperlink" Target="https://folkways.si.edu/music-from-south-india-kerala/world/album/smithsonian" TargetMode="External"/><Relationship Id="rId582" Type="http://schemas.openxmlformats.org/officeDocument/2006/relationships/hyperlink" Target="http://media.theglobaljukebox.org/audio/T5435R22.mp3" TargetMode="External"/><Relationship Id="rId2056" Type="http://schemas.openxmlformats.org/officeDocument/2006/relationships/hyperlink" Target="https://sounds.bl.uk/World-and-traditional-music/Endangered-Micronesian-recordings/025M-CEAP115X4X11-016ZV0" TargetMode="External"/><Relationship Id="rId3" Type="http://schemas.openxmlformats.org/officeDocument/2006/relationships/hyperlink" Target="http://www.worldcat.org/oclc/144642402" TargetMode="External"/><Relationship Id="rId235" Type="http://schemas.openxmlformats.org/officeDocument/2006/relationships/hyperlink" Target="https://newcatalog.library.cornell.edu/catalog/8537394" TargetMode="External"/><Relationship Id="rId442" Type="http://schemas.openxmlformats.org/officeDocument/2006/relationships/hyperlink" Target="https://theglobaljukebox.org/?share=Selk'nam-T5401R10m" TargetMode="External"/><Relationship Id="rId887" Type="http://schemas.openxmlformats.org/officeDocument/2006/relationships/hyperlink" Target="https://folkways.si.edu/fawz-al-arfush/nadb-for-a-deceased-girl/islamica-world/music/track/smithsonian" TargetMode="External"/><Relationship Id="rId1072" Type="http://schemas.openxmlformats.org/officeDocument/2006/relationships/hyperlink" Target="https://folkways.si.edu/genevieve-quailo/fugi-isa-i-alone-am-a-monkey-baby/american-indian-world/music/track/smithsonian" TargetMode="External"/><Relationship Id="rId2123" Type="http://schemas.openxmlformats.org/officeDocument/2006/relationships/hyperlink" Target="https://folkways.si.edu/mary-ann-meanus-and-verbena-green/stick-game-song/american-indian/music/track/smithsonian" TargetMode="External"/><Relationship Id="rId302" Type="http://schemas.openxmlformats.org/officeDocument/2006/relationships/hyperlink" Target="http://media.theglobaljukebox.org/audio/T9527R69.mp3" TargetMode="External"/><Relationship Id="rId747" Type="http://schemas.openxmlformats.org/officeDocument/2006/relationships/hyperlink" Target="http://greenstone.ilam.ru.ac.za/collect/ilam/index/assoc/D7345.dir/TR010-06.mp3" TargetMode="External"/><Relationship Id="rId954" Type="http://schemas.openxmlformats.org/officeDocument/2006/relationships/hyperlink" Target="https://folkways.si.edu/indonesia-hay-ti-mon-anacosa/o-anane-keke-medley/childrens-world/music/track/smithsonian" TargetMode="External"/><Relationship Id="rId1377" Type="http://schemas.openxmlformats.org/officeDocument/2006/relationships/hyperlink" Target="http://media.theglobaljukebox.org/audio/T5428R45.mp3" TargetMode="External"/><Relationship Id="rId1584" Type="http://schemas.openxmlformats.org/officeDocument/2006/relationships/hyperlink" Target="http://www.worldcat.org/title/nuevo-dia/oclc/699817049&amp;referer=brief_results" TargetMode="External"/><Relationship Id="rId1791" Type="http://schemas.openxmlformats.org/officeDocument/2006/relationships/hyperlink" Target="http://sounds.bl.uk/World-and-traditional-music" TargetMode="External"/><Relationship Id="rId83" Type="http://schemas.openxmlformats.org/officeDocument/2006/relationships/hyperlink" Target="http://gofile.me/3T2hs/Slhm4KXtl" TargetMode="External"/><Relationship Id="rId607" Type="http://schemas.openxmlformats.org/officeDocument/2006/relationships/hyperlink" Target="http://media.theglobaljukebox.org/audio/T5581R02.mp3" TargetMode="External"/><Relationship Id="rId814" Type="http://schemas.openxmlformats.org/officeDocument/2006/relationships/hyperlink" Target="http://media.theglobaljukebox.org/audio/T30446.mp3" TargetMode="External"/><Relationship Id="rId1237" Type="http://schemas.openxmlformats.org/officeDocument/2006/relationships/hyperlink" Target="https://folkways.si.edu/the-spirit-cries-music-from-the-rainforests-of-south-america-the-caribbean/world/album/smithsonian" TargetMode="External"/><Relationship Id="rId1444" Type="http://schemas.openxmlformats.org/officeDocument/2006/relationships/hyperlink" Target="http://media.theglobaljukebox.org/audio/T5426R04.mp3" TargetMode="External"/><Relationship Id="rId1651" Type="http://schemas.openxmlformats.org/officeDocument/2006/relationships/hyperlink" Target="https://folkways.si.edu/ensemble-of-chirimias/son-de-fiesta-son-de-ignacio-bernal/american-indian-world/music/track/smithsonian" TargetMode="External"/><Relationship Id="rId1889" Type="http://schemas.openxmlformats.org/officeDocument/2006/relationships/hyperlink" Target="http://gofile.me/3T2hs/SugKttlth" TargetMode="External"/><Relationship Id="rId1304" Type="http://schemas.openxmlformats.org/officeDocument/2006/relationships/hyperlink" Target="https://theglobaljukebox.org/?share=Baka-T5627R14" TargetMode="External"/><Relationship Id="rId1511" Type="http://schemas.openxmlformats.org/officeDocument/2006/relationships/hyperlink" Target="http://www.worldcat.org/title/musiques-mexicaines/oclc/965998093&amp;referer=brief_results" TargetMode="External"/><Relationship Id="rId1749" Type="http://schemas.openxmlformats.org/officeDocument/2006/relationships/hyperlink" Target="https://theglobaljukebox.org/?share=Aymara-T5488R03" TargetMode="External"/><Relationship Id="rId1956" Type="http://schemas.openxmlformats.org/officeDocument/2006/relationships/hyperlink" Target="https://folkways.si.edu/santa-ana-drum-dance/american-indian/music/track/smithsonian" TargetMode="External"/><Relationship Id="rId1609" Type="http://schemas.openxmlformats.org/officeDocument/2006/relationships/hyperlink" Target="https://folkways.si.edu/indian-music-of-mexico/a/american-indian-world/album/smithsonian" TargetMode="External"/><Relationship Id="rId1816" Type="http://schemas.openxmlformats.org/officeDocument/2006/relationships/hyperlink" Target="http://id.lib.harvard.edu/alma/990049099310203941/catalog" TargetMode="External"/><Relationship Id="rId10" Type="http://schemas.openxmlformats.org/officeDocument/2006/relationships/hyperlink" Target="http://www.worldcat.org/oclc/2270693" TargetMode="External"/><Relationship Id="rId397" Type="http://schemas.openxmlformats.org/officeDocument/2006/relationships/hyperlink" Target="https://theglobaljukebox.org/?share=Sofia%20District-T9536R12" TargetMode="External"/><Relationship Id="rId2078" Type="http://schemas.openxmlformats.org/officeDocument/2006/relationships/hyperlink" Target="https://sounds.bl.uk/World-and-traditional-music/Endangered-Micronesian-recordings/025M-CEAP115X4X76-014ZV0" TargetMode="External"/><Relationship Id="rId257" Type="http://schemas.openxmlformats.org/officeDocument/2006/relationships/hyperlink" Target="https://theglobaljukebox.org/?share=Pum%C3%A9-T5403R88m" TargetMode="External"/><Relationship Id="rId464" Type="http://schemas.openxmlformats.org/officeDocument/2006/relationships/hyperlink" Target="https://aiatsis.gov.au/sites/default/files/docs/asp/song-from-the-kimberleys.pdf" TargetMode="External"/><Relationship Id="rId1094" Type="http://schemas.openxmlformats.org/officeDocument/2006/relationships/hyperlink" Target="https://theglobaljukebox.org/?share=Totonac-T5405R63" TargetMode="External"/><Relationship Id="rId2145" Type="http://schemas.openxmlformats.org/officeDocument/2006/relationships/hyperlink" Target="https://folkways.si.edu/juan-sequndo-mamani-eugenio-challapa-challapa/solo-on-the-bandola/romero-romero/sahsalye/american-indian-world/music/track/smithsonian" TargetMode="External"/><Relationship Id="rId117" Type="http://schemas.openxmlformats.org/officeDocument/2006/relationships/hyperlink" Target="https://folkways.si.edu/women-and-mens-choir/kraho-women-and-mens-choir-conducted-by-traditional-choir-leader/american-indian-world/music/track/smithsonian" TargetMode="External"/><Relationship Id="rId671" Type="http://schemas.openxmlformats.org/officeDocument/2006/relationships/hyperlink" Target="https://folkways.si.edu/canada-music-of-the-inuit-the-copper-eskimo-tradition/world/music/album/smithsonian" TargetMode="External"/><Relationship Id="rId769" Type="http://schemas.openxmlformats.org/officeDocument/2006/relationships/hyperlink" Target="http://greenstone.ilam.ru.ac.za/collect/ilam/index/assoc/D14059.dir/DD150A-05.mp3" TargetMode="External"/><Relationship Id="rId976" Type="http://schemas.openxmlformats.org/officeDocument/2006/relationships/hyperlink" Target="http://www.folkways.si.edu/TrackDetails.aspx?itemid=23783" TargetMode="External"/><Relationship Id="rId1399" Type="http://schemas.openxmlformats.org/officeDocument/2006/relationships/hyperlink" Target="http://www.folkways.si.edu/TrackDetails.aspx?itemid=11291" TargetMode="External"/><Relationship Id="rId324" Type="http://schemas.openxmlformats.org/officeDocument/2006/relationships/hyperlink" Target="https://theglobaljukebox.org/?share=Samoa-T5429R43" TargetMode="External"/><Relationship Id="rId531" Type="http://schemas.openxmlformats.org/officeDocument/2006/relationships/hyperlink" Target="https://theglobaljukebox.org/?share=Nevis-T5585R17" TargetMode="External"/><Relationship Id="rId629" Type="http://schemas.openxmlformats.org/officeDocument/2006/relationships/hyperlink" Target="https://theglobaljukebox.org/?share=Perm-T5463R37" TargetMode="External"/><Relationship Id="rId1161" Type="http://schemas.openxmlformats.org/officeDocument/2006/relationships/hyperlink" Target="https://folkways.si.edu/tengir-too-kenjegul-kubatova/kyiylyp-turam-im-sad-to-say-goodbye/central-asia-islamica-world/music/track/smithsonian" TargetMode="External"/><Relationship Id="rId1259" Type="http://schemas.openxmlformats.org/officeDocument/2006/relationships/hyperlink" Target="https://folkways.si.edu/juan-hernandez/baile-de-una-sona/latin-world/music/track/smithsonian" TargetMode="External"/><Relationship Id="rId1466" Type="http://schemas.openxmlformats.org/officeDocument/2006/relationships/hyperlink" Target="http://media.theglobaljukebox.org/audio/T5430R71.mp3" TargetMode="External"/><Relationship Id="rId2005" Type="http://schemas.openxmlformats.org/officeDocument/2006/relationships/hyperlink" Target="http://gofile.me/3T2hs/IG0JDyCu4" TargetMode="External"/><Relationship Id="rId836" Type="http://schemas.openxmlformats.org/officeDocument/2006/relationships/hyperlink" Target="http://media.theglobaljukebox.org/audio/T5628R16.mp3" TargetMode="External"/><Relationship Id="rId1021" Type="http://schemas.openxmlformats.org/officeDocument/2006/relationships/hyperlink" Target="https://folkways.si.edu/bororo-society/marenaruie/music/track/smithsonian" TargetMode="External"/><Relationship Id="rId1119" Type="http://schemas.openxmlformats.org/officeDocument/2006/relationships/hyperlink" Target="https://theglobaljukebox.org/?share=Nuer-T5438R05" TargetMode="External"/><Relationship Id="rId1673" Type="http://schemas.openxmlformats.org/officeDocument/2006/relationships/hyperlink" Target="http://richardkwolf.com/kota-god-song/" TargetMode="External"/><Relationship Id="rId1880" Type="http://schemas.openxmlformats.org/officeDocument/2006/relationships/hyperlink" Target="https://theglobaljukebox.org/" TargetMode="External"/><Relationship Id="rId1978" Type="http://schemas.openxmlformats.org/officeDocument/2006/relationships/hyperlink" Target="https://theglobaljukebox.org/?share=Swiss%20Alps-T5467R43" TargetMode="External"/><Relationship Id="rId903" Type="http://schemas.openxmlformats.org/officeDocument/2006/relationships/hyperlink" Target="https://folkways.si.edu/jaap-kunst/living-folksongs-and-dance-tunes-from-the-netherlands/holiday-world/music/album/smithsonian" TargetMode="External"/><Relationship Id="rId1326" Type="http://schemas.openxmlformats.org/officeDocument/2006/relationships/hyperlink" Target="https://search.alexanderstreet.com/preview/work/bibliographic_entity%7Cliner_notes%7C2258560" TargetMode="External"/><Relationship Id="rId1533" Type="http://schemas.openxmlformats.org/officeDocument/2006/relationships/hyperlink" Target="http://media.theglobaljukebox.org/audio/T5566R22.mp3" TargetMode="External"/><Relationship Id="rId1740" Type="http://schemas.openxmlformats.org/officeDocument/2006/relationships/hyperlink" Target="https://theglobaljukebox.org/" TargetMode="External"/><Relationship Id="rId32" Type="http://schemas.openxmlformats.org/officeDocument/2006/relationships/hyperlink" Target="http://www.worldcat.org/title/zulu-songs-of-princess-constance-magogo-kadinuzulu/oclc/181940028" TargetMode="External"/><Relationship Id="rId1600" Type="http://schemas.openxmlformats.org/officeDocument/2006/relationships/hyperlink" Target="https://folkways.si.edu/valentina-felix/petticoats-of-portugal/world/music/album/smithsonian" TargetMode="External"/><Relationship Id="rId1838" Type="http://schemas.openxmlformats.org/officeDocument/2006/relationships/hyperlink" Target="https://theglobaljukebox.org/?share=Lacandon-T5404R78" TargetMode="External"/><Relationship Id="rId181" Type="http://schemas.openxmlformats.org/officeDocument/2006/relationships/hyperlink" Target="https://theglobaljukebox.org/?share=Paroja-T5547R29" TargetMode="External"/><Relationship Id="rId1905" Type="http://schemas.openxmlformats.org/officeDocument/2006/relationships/hyperlink" Target="http://gofile.me/3T2hs/CRiHK35Ln" TargetMode="External"/><Relationship Id="rId279" Type="http://schemas.openxmlformats.org/officeDocument/2006/relationships/hyperlink" Target="http://media.theglobaljukebox.org/audio/T5402R73.mp3" TargetMode="External"/><Relationship Id="rId486" Type="http://schemas.openxmlformats.org/officeDocument/2006/relationships/hyperlink" Target="https://theglobaljukebox.org/?share=Guadeloupe-T5478R26" TargetMode="External"/><Relationship Id="rId693" Type="http://schemas.openxmlformats.org/officeDocument/2006/relationships/hyperlink" Target="https://sounds.bl.uk/World-and-traditional-music/Violeta-Ruano-portraits-of-Saharawi-Music/025M-C1640X0076XX-0001V0" TargetMode="External"/><Relationship Id="rId2167" Type="http://schemas.openxmlformats.org/officeDocument/2006/relationships/hyperlink" Target="https://folkways.si.edu/george-clutesi/nootka-farewell-song/celtic-world/music/track/smithsonian" TargetMode="External"/><Relationship Id="rId139" Type="http://schemas.openxmlformats.org/officeDocument/2006/relationships/hyperlink" Target="http://media.theglobaljukebox.org/audio/T5403R69.mp3" TargetMode="External"/><Relationship Id="rId346" Type="http://schemas.openxmlformats.org/officeDocument/2006/relationships/hyperlink" Target="http://gofile.me/3T2hs/rcIDlDszB" TargetMode="External"/><Relationship Id="rId553" Type="http://schemas.openxmlformats.org/officeDocument/2006/relationships/hyperlink" Target="http://ampm.auckland.ac.nz/handle/id/86806" TargetMode="External"/><Relationship Id="rId760" Type="http://schemas.openxmlformats.org/officeDocument/2006/relationships/hyperlink" Target="http://greenstone.ilam.ru.ac.za/collect/ilam/index/assoc/D8440.dir/TR093-10.mp3" TargetMode="External"/><Relationship Id="rId998" Type="http://schemas.openxmlformats.org/officeDocument/2006/relationships/hyperlink" Target="https://theglobaljukebox.org/?share=Hill%20Saora-T5547R36" TargetMode="External"/><Relationship Id="rId1183" Type="http://schemas.openxmlformats.org/officeDocument/2006/relationships/hyperlink" Target="https://theglobaljukebox.org/?share=Hausa-T5621R10m" TargetMode="External"/><Relationship Id="rId1390" Type="http://schemas.openxmlformats.org/officeDocument/2006/relationships/hyperlink" Target="https://sounds.bl.uk/World-and-traditional-music/Music-from-India/025M-RKDATX0065XX-0100V0" TargetMode="External"/><Relationship Id="rId2027" Type="http://schemas.openxmlformats.org/officeDocument/2006/relationships/hyperlink" Target="https://folkways.si.edu/argentina-arroro-mi-nino/durmite-changito-medley/childrens-world/music/track/smithsonian" TargetMode="External"/><Relationship Id="rId206" Type="http://schemas.openxmlformats.org/officeDocument/2006/relationships/hyperlink" Target="https://theglobaljukebox.org/?share=Bhatra%20Sikh-T5418R02" TargetMode="External"/><Relationship Id="rId413" Type="http://schemas.openxmlformats.org/officeDocument/2006/relationships/hyperlink" Target="http://ampm.auckland.ac.nz/handle/id/66825" TargetMode="External"/><Relationship Id="rId858" Type="http://schemas.openxmlformats.org/officeDocument/2006/relationships/hyperlink" Target="http://media.theglobaljukebox.org/audio/T5482R02.mp3" TargetMode="External"/><Relationship Id="rId1043" Type="http://schemas.openxmlformats.org/officeDocument/2006/relationships/hyperlink" Target="https://folkways.si.edu/tajik-love-song/central-asia-islamica-world/music/track/smithsonian" TargetMode="External"/><Relationship Id="rId1488" Type="http://schemas.openxmlformats.org/officeDocument/2006/relationships/hyperlink" Target="https://folkways.si.edu/florence-davidson/fd-2-lullaby-song/american-indian/music/track/smithsonian" TargetMode="External"/><Relationship Id="rId1695" Type="http://schemas.openxmlformats.org/officeDocument/2006/relationships/hyperlink" Target="http://richardkwolf.com/karuppayis-oppari/" TargetMode="External"/><Relationship Id="rId620" Type="http://schemas.openxmlformats.org/officeDocument/2006/relationships/hyperlink" Target="https://folkways.si.edu/music-of-north-japan-hero-narrative-poem/central-asia-islamica-world/music/track/smithsonian" TargetMode="External"/><Relationship Id="rId718" Type="http://schemas.openxmlformats.org/officeDocument/2006/relationships/hyperlink" Target="http://media.theglobaljukebox.org/audio/T5439R29.mp3" TargetMode="External"/><Relationship Id="rId925" Type="http://schemas.openxmlformats.org/officeDocument/2006/relationships/hyperlink" Target="http://media.theglobaljukebox.org/audio/T5539R02.mp3" TargetMode="External"/><Relationship Id="rId1250" Type="http://schemas.openxmlformats.org/officeDocument/2006/relationships/hyperlink" Target="https://search.alexanderstreet.com/preview/work/bibliographic_entity%7Crecorded_cd%7C373401?ssotoken=anonymous" TargetMode="External"/><Relationship Id="rId1348" Type="http://schemas.openxmlformats.org/officeDocument/2006/relationships/hyperlink" Target="http://gofile.me/3T2hs/Sw5wG0qML" TargetMode="External"/><Relationship Id="rId1555" Type="http://schemas.openxmlformats.org/officeDocument/2006/relationships/hyperlink" Target="http://www.worldcat.org/title/sacred-path-spells-prayers-power-songs-of-the-american-indians/oclc/10020978&amp;referer=brief_results" TargetMode="External"/><Relationship Id="rId1762" Type="http://schemas.openxmlformats.org/officeDocument/2006/relationships/hyperlink" Target="https://sounds.bl.uk/World-and-traditional-music/Ethnographic-wax-cylinders/025M-C0072X0873XX-0100V0" TargetMode="External"/><Relationship Id="rId1110" Type="http://schemas.openxmlformats.org/officeDocument/2006/relationships/hyperlink" Target="http://www.philology.nsc.ru/departments/folklor/books/t32_CDindex.pdf" TargetMode="External"/><Relationship Id="rId1208" Type="http://schemas.openxmlformats.org/officeDocument/2006/relationships/hyperlink" Target="https://open.spotify.com/track/6C6puK98FBrUR5SoqncpnQ" TargetMode="External"/><Relationship Id="rId1415" Type="http://schemas.openxmlformats.org/officeDocument/2006/relationships/hyperlink" Target="http://media.theglobaljukebox.org/audio/T5593R07.mp3" TargetMode="External"/><Relationship Id="rId54" Type="http://schemas.openxmlformats.org/officeDocument/2006/relationships/hyperlink" Target="http://www.worldcat.org/oclc/40405295" TargetMode="External"/><Relationship Id="rId1622" Type="http://schemas.openxmlformats.org/officeDocument/2006/relationships/hyperlink" Target="http://media.theglobaljukebox.org/audio/T5430R27.mp3" TargetMode="External"/><Relationship Id="rId1927" Type="http://schemas.openxmlformats.org/officeDocument/2006/relationships/hyperlink" Target="https://theglobaljukebox.org/?share=Moravia-T9502R20" TargetMode="External"/><Relationship Id="rId2091" Type="http://schemas.openxmlformats.org/officeDocument/2006/relationships/hyperlink" Target="https://folkways.si.edu/mt-edgecumbe-boys-chorus/paddling-song/american-indian/music/track/smithsonian" TargetMode="External"/><Relationship Id="rId2189" Type="http://schemas.openxmlformats.org/officeDocument/2006/relationships/hyperlink" Target="https://archives.crem-cnrs.fr/archives/items/CNRSMH_I_2000_004_015_16/" TargetMode="External"/><Relationship Id="rId270" Type="http://schemas.openxmlformats.org/officeDocument/2006/relationships/hyperlink" Target="https://theglobaljukebox.org/?share=Tongans-" TargetMode="External"/><Relationship Id="rId130" Type="http://schemas.openxmlformats.org/officeDocument/2006/relationships/hyperlink" Target="https://theglobaljukebox.org/?share=Ajuran-T5561R03" TargetMode="External"/><Relationship Id="rId368" Type="http://schemas.openxmlformats.org/officeDocument/2006/relationships/hyperlink" Target="https://theglobaljukebox.org/?share=Korku-T5419R15m" TargetMode="External"/><Relationship Id="rId575" Type="http://schemas.openxmlformats.org/officeDocument/2006/relationships/hyperlink" Target="https://theglobaljukebox.org/?share=Grenada-T5477R37" TargetMode="External"/><Relationship Id="rId782" Type="http://schemas.openxmlformats.org/officeDocument/2006/relationships/hyperlink" Target="http://media.theglobaljukebox.org/audio/T5423R21.mp3" TargetMode="External"/><Relationship Id="rId2049" Type="http://schemas.openxmlformats.org/officeDocument/2006/relationships/hyperlink" Target="https://sounds.bl.uk/World-and-traditional-music/Endangered-Micronesian-recordings/025M-CEAP115X1109-001ZV0" TargetMode="External"/><Relationship Id="rId228" Type="http://schemas.openxmlformats.org/officeDocument/2006/relationships/hyperlink" Target="http://media.theglobaljukebox.org/audio/T5463R18.mp3" TargetMode="External"/><Relationship Id="rId435" Type="http://schemas.openxmlformats.org/officeDocument/2006/relationships/hyperlink" Target="http://media.theglobaljukebox.org/audio/T5445R01.mp3" TargetMode="External"/><Relationship Id="rId642" Type="http://schemas.openxmlformats.org/officeDocument/2006/relationships/hyperlink" Target="https://theglobaljukebox.org/?share=Kursk%20Ob.-T5469R63" TargetMode="External"/><Relationship Id="rId1065" Type="http://schemas.openxmlformats.org/officeDocument/2006/relationships/hyperlink" Target="https://theglobaljukebox.org/?share=Sussex-T5472R42" TargetMode="External"/><Relationship Id="rId1272" Type="http://schemas.openxmlformats.org/officeDocument/2006/relationships/hyperlink" Target="https://theglobaljukebox.org/?share=Pirin-T5464R11" TargetMode="External"/><Relationship Id="rId2116" Type="http://schemas.openxmlformats.org/officeDocument/2006/relationships/hyperlink" Target="https://theglobaljukebox.org/?share=Akimel%20O'odham-T5405R30" TargetMode="External"/><Relationship Id="rId502" Type="http://schemas.openxmlformats.org/officeDocument/2006/relationships/hyperlink" Target="http://ampm.auckland.ac.nz/handle/id/73042" TargetMode="External"/><Relationship Id="rId947" Type="http://schemas.openxmlformats.org/officeDocument/2006/relationships/hyperlink" Target="http://media.theglobaljukebox.com/audio/T5528R02.mp3" TargetMode="External"/><Relationship Id="rId1132" Type="http://schemas.openxmlformats.org/officeDocument/2006/relationships/hyperlink" Target="https://theglobaljukebox.org/?share=N.%20Bulgaria-T5464R49" TargetMode="External"/><Relationship Id="rId1577" Type="http://schemas.openxmlformats.org/officeDocument/2006/relationships/hyperlink" Target="http://www.worldcat.org/title/in-the-trail-of-the-wind-american-indian-poems-and-ritual-orations/oclc/136520&amp;referer=brief_results" TargetMode="External"/><Relationship Id="rId1784" Type="http://schemas.openxmlformats.org/officeDocument/2006/relationships/hyperlink" Target="https://theglobaljukebox.org/?share=Quechua-T5488R1" TargetMode="External"/><Relationship Id="rId1991" Type="http://schemas.openxmlformats.org/officeDocument/2006/relationships/hyperlink" Target="http://media.theglobaljukebox.org/audio/T5464R32.mp3" TargetMode="External"/><Relationship Id="rId76" Type="http://schemas.openxmlformats.org/officeDocument/2006/relationships/hyperlink" Target="http://www.worldcat.org/oclc/37001025" TargetMode="External"/><Relationship Id="rId807" Type="http://schemas.openxmlformats.org/officeDocument/2006/relationships/hyperlink" Target="http://media.theglobaljukebox.org/audio/T5465R20.mp3" TargetMode="External"/><Relationship Id="rId1437" Type="http://schemas.openxmlformats.org/officeDocument/2006/relationships/hyperlink" Target="http://media.theglobaljukebox.org/audio/T5426R53.mp3" TargetMode="External"/><Relationship Id="rId1644" Type="http://schemas.openxmlformats.org/officeDocument/2006/relationships/hyperlink" Target="https://search.alexanderstreet.com/preview/work/bibliographic_entity%7Crecorded_cd%7C891378" TargetMode="External"/><Relationship Id="rId1851" Type="http://schemas.openxmlformats.org/officeDocument/2006/relationships/hyperlink" Target="https://search-alexanderstreet-com.ezp-prod1.hul.harvard.edu/view/work/bibliographic_entity%7Crecorded_cd%7C71687" TargetMode="External"/><Relationship Id="rId1504" Type="http://schemas.openxmlformats.org/officeDocument/2006/relationships/hyperlink" Target="https://folkways.si.edu/mark-evarts/music-of-the-pawnee/american-indian/album/smithsonian" TargetMode="External"/><Relationship Id="rId1711" Type="http://schemas.openxmlformats.org/officeDocument/2006/relationships/hyperlink" Target="https://www.worldmusicstore.com/products/argentina-the-indians-of-the-gran-chaco" TargetMode="External"/><Relationship Id="rId1949" Type="http://schemas.openxmlformats.org/officeDocument/2006/relationships/hyperlink" Target="https://theglobaljukebox.org/?share=Baden-W%C3%BCrttemberg-T5462R59m" TargetMode="External"/><Relationship Id="rId292" Type="http://schemas.openxmlformats.org/officeDocument/2006/relationships/hyperlink" Target="http://media.theglobaljukebox.org/audio/T5625R19m.mp3" TargetMode="External"/><Relationship Id="rId1809" Type="http://schemas.openxmlformats.org/officeDocument/2006/relationships/hyperlink" Target="http://id.lib.harvard.edu/alma/990060640330203941/catalog" TargetMode="External"/><Relationship Id="rId597" Type="http://schemas.openxmlformats.org/officeDocument/2006/relationships/hyperlink" Target="http://media.theglobaljukebox.org/audio/T5436R03m.mp3" TargetMode="External"/><Relationship Id="rId2180" Type="http://schemas.openxmlformats.org/officeDocument/2006/relationships/hyperlink" Target="https://folkways.si.edu/female-singer-male-singer/song-accompanied-with-pantomime-of-the-bird-called-choyke/love-song/american-indian-world/music/track/smithsonian" TargetMode="External"/><Relationship Id="rId152" Type="http://schemas.openxmlformats.org/officeDocument/2006/relationships/hyperlink" Target="https://theglobaljukebox.org/?share=Amhara-T5596R08" TargetMode="External"/><Relationship Id="rId457" Type="http://schemas.openxmlformats.org/officeDocument/2006/relationships/hyperlink" Target="http://www.worldcat.org/title/dreamings-aboriginal-healing-didjeridu/oclc/39975607&amp;referer=brief_results" TargetMode="External"/><Relationship Id="rId1087" Type="http://schemas.openxmlformats.org/officeDocument/2006/relationships/hyperlink" Target="https://theglobaljukebox.org/?share=Feroleto%20Antico-T5591R21" TargetMode="External"/><Relationship Id="rId1294" Type="http://schemas.openxmlformats.org/officeDocument/2006/relationships/hyperlink" Target="https://theglobaljukebox.org/?share=Luo-T5437R27" TargetMode="External"/><Relationship Id="rId2040" Type="http://schemas.openxmlformats.org/officeDocument/2006/relationships/hyperlink" Target="https://theglobaljukebox.org/?share=Ulithi-T5427R44m" TargetMode="External"/><Relationship Id="rId2138" Type="http://schemas.openxmlformats.org/officeDocument/2006/relationships/hyperlink" Target="https://folkways.si.edu/hopi-butterfly-dance/american-indian/music/track/smithsonian" TargetMode="External"/><Relationship Id="rId664" Type="http://schemas.openxmlformats.org/officeDocument/2006/relationships/hyperlink" Target="http://media.theglobaljukebox.org/audio/T5443R10.mp3" TargetMode="External"/><Relationship Id="rId871" Type="http://schemas.openxmlformats.org/officeDocument/2006/relationships/hyperlink" Target="http://media.theglobaljukebox.org/audio/T5467R52.mp3" TargetMode="External"/><Relationship Id="rId969" Type="http://schemas.openxmlformats.org/officeDocument/2006/relationships/hyperlink" Target="https://theglobaljukebox.org/" TargetMode="External"/><Relationship Id="rId1599" Type="http://schemas.openxmlformats.org/officeDocument/2006/relationships/hyperlink" Target="https://search.alexanderstreet.com/preview/work/bibliographic_entity%7Crecorded_cd%7C510900" TargetMode="External"/><Relationship Id="rId317" Type="http://schemas.openxmlformats.org/officeDocument/2006/relationships/hyperlink" Target="https://theglobaljukebox.org/?share=Mangareva-T5429R33" TargetMode="External"/><Relationship Id="rId524" Type="http://schemas.openxmlformats.org/officeDocument/2006/relationships/hyperlink" Target="https://theglobaljukebox.org/?share=Carriacou-T5474R21" TargetMode="External"/><Relationship Id="rId731" Type="http://schemas.openxmlformats.org/officeDocument/2006/relationships/hyperlink" Target="http://media.theglobaljukebox.org/audio/T5450R21.mp3" TargetMode="External"/><Relationship Id="rId1154" Type="http://schemas.openxmlformats.org/officeDocument/2006/relationships/hyperlink" Target="https://folkways.si.edu/fandango/world/music/track/smithsonian" TargetMode="External"/><Relationship Id="rId1361" Type="http://schemas.openxmlformats.org/officeDocument/2006/relationships/hyperlink" Target="https://search.alexanderstreet.com/preview/work/bibliographic_entity%7Cvideo_work%7C3953633" TargetMode="External"/><Relationship Id="rId1459" Type="http://schemas.openxmlformats.org/officeDocument/2006/relationships/hyperlink" Target="https://sounds.bl.uk/World-and-traditional-music/Colin-Huehns-Pakistan/025M-C0485X0033XX-2900V0" TargetMode="External"/><Relationship Id="rId98" Type="http://schemas.openxmlformats.org/officeDocument/2006/relationships/hyperlink" Target="http://www.worldcat.org/oclc/32292076" TargetMode="External"/><Relationship Id="rId829" Type="http://schemas.openxmlformats.org/officeDocument/2006/relationships/hyperlink" Target="http://www.worldcat.org/title/inuit-fifty-five-historical-recordings/oclc/52848634&amp;referer=brief_results" TargetMode="External"/><Relationship Id="rId1014" Type="http://schemas.openxmlformats.org/officeDocument/2006/relationships/hyperlink" Target="https://theglobaljukebox.org/" TargetMode="External"/><Relationship Id="rId1221" Type="http://schemas.openxmlformats.org/officeDocument/2006/relationships/hyperlink" Target="https://folkways.si.edu/magazine-summer-fall-2016-come-bien-eat-right/tools-for-teaching/smithsonian" TargetMode="External"/><Relationship Id="rId1666" Type="http://schemas.openxmlformats.org/officeDocument/2006/relationships/hyperlink" Target="https://theglobaljukebox.org/?share=Donegal-T9528R19" TargetMode="External"/><Relationship Id="rId1873" Type="http://schemas.openxmlformats.org/officeDocument/2006/relationships/hyperlink" Target="http://gofile.me/3T2hs/2f88EWet4" TargetMode="External"/><Relationship Id="rId1319" Type="http://schemas.openxmlformats.org/officeDocument/2006/relationships/hyperlink" Target="https://search.alexanderstreet.com/preview/work/bibliographic_entity%7Cliner_notes%7C2258560" TargetMode="External"/><Relationship Id="rId1526" Type="http://schemas.openxmlformats.org/officeDocument/2006/relationships/hyperlink" Target="http://id.lib.harvard.edu/alma/990127609360203941/catalog" TargetMode="External"/><Relationship Id="rId1733" Type="http://schemas.openxmlformats.org/officeDocument/2006/relationships/hyperlink" Target="https://theglobaljukebox.org/?share=Aromanians-T5546R05" TargetMode="External"/><Relationship Id="rId1940" Type="http://schemas.openxmlformats.org/officeDocument/2006/relationships/hyperlink" Target="https://theglobaljukebox.org/?share=Hungary%20Folk-T5524R06" TargetMode="External"/><Relationship Id="rId25" Type="http://schemas.openxmlformats.org/officeDocument/2006/relationships/hyperlink" Target="http://www.worldcat.org/title/tanzania-vocals-tanganyika-1950/oclc/55208615" TargetMode="External"/><Relationship Id="rId1800" Type="http://schemas.openxmlformats.org/officeDocument/2006/relationships/hyperlink" Target="https://folkways.si.edu/jerome-vanderburg/lullaby/american-indian/music/track/smithsonian" TargetMode="External"/><Relationship Id="rId174" Type="http://schemas.openxmlformats.org/officeDocument/2006/relationships/hyperlink" Target="https://theglobaljukebox.org/" TargetMode="External"/><Relationship Id="rId381" Type="http://schemas.openxmlformats.org/officeDocument/2006/relationships/hyperlink" Target="http://ampm.auckland.ac.nz/handle/id/66663" TargetMode="External"/><Relationship Id="rId2062" Type="http://schemas.openxmlformats.org/officeDocument/2006/relationships/hyperlink" Target="https://sounds.bl.uk/World-and-traditional-music/Endangered-Micronesian-recordings/025M-CEAP115X4X42-003ZV0" TargetMode="External"/><Relationship Id="rId241" Type="http://schemas.openxmlformats.org/officeDocument/2006/relationships/hyperlink" Target="https://theglobaljukebox.org/?share=Selk'nam-T5401R08m" TargetMode="External"/><Relationship Id="rId479" Type="http://schemas.openxmlformats.org/officeDocument/2006/relationships/hyperlink" Target="http://www.worldcat.org/oclc/300278568" TargetMode="External"/><Relationship Id="rId686" Type="http://schemas.openxmlformats.org/officeDocument/2006/relationships/hyperlink" Target="http://media.theglobaljukebox.org/audio/T5457R12.mp3" TargetMode="External"/><Relationship Id="rId893" Type="http://schemas.openxmlformats.org/officeDocument/2006/relationships/hyperlink" Target="http://media.theglobaljukebox.org/audio/T5589R10.mp3" TargetMode="External"/><Relationship Id="rId339" Type="http://schemas.openxmlformats.org/officeDocument/2006/relationships/hyperlink" Target="http://media.theglobaljukebox.org/audio/T5411R46.mp3" TargetMode="External"/><Relationship Id="rId546" Type="http://schemas.openxmlformats.org/officeDocument/2006/relationships/hyperlink" Target="https://theglobaljukebox.org/?share=Banat-T5589R18" TargetMode="External"/><Relationship Id="rId753" Type="http://schemas.openxmlformats.org/officeDocument/2006/relationships/hyperlink" Target="http://greenstone.ilam.ru.ac.za/collect/ilam/index/assoc/D32741.dir/AC0135-AH14.mp3" TargetMode="External"/><Relationship Id="rId1176" Type="http://schemas.openxmlformats.org/officeDocument/2006/relationships/hyperlink" Target="https://folkways.si.edu/caribbean-rhythms/world/music/album/smithsonian" TargetMode="External"/><Relationship Id="rId1383" Type="http://schemas.openxmlformats.org/officeDocument/2006/relationships/hyperlink" Target="https://sounds.bl.uk/World-and-traditional-music/Music-from-India/025M-RKDATX0066XX-0100V0" TargetMode="External"/><Relationship Id="rId101" Type="http://schemas.openxmlformats.org/officeDocument/2006/relationships/hyperlink" Target="http://www.worldcat.org/oclc/12833307" TargetMode="External"/><Relationship Id="rId406" Type="http://schemas.openxmlformats.org/officeDocument/2006/relationships/hyperlink" Target="http://gofile.me/3T2hs/QNyQG6L5v" TargetMode="External"/><Relationship Id="rId960" Type="http://schemas.openxmlformats.org/officeDocument/2006/relationships/hyperlink" Target="http://www.folkways.si.edu/excerpt-from-a-belian-ritual-lancang-tujuh-setali/islamica-world/music/track/smithsonian" TargetMode="External"/><Relationship Id="rId1036" Type="http://schemas.openxmlformats.org/officeDocument/2006/relationships/hyperlink" Target="https://theglobaljukebox.org/?share=Hawazma-T5625R23m" TargetMode="External"/><Relationship Id="rId1243" Type="http://schemas.openxmlformats.org/officeDocument/2006/relationships/hyperlink" Target="https://folkways.si.edu/the-spirit-cries-music-from-the-rainforests-of-south-america-the-caribbean/world/album/smithsonian" TargetMode="External"/><Relationship Id="rId1590" Type="http://schemas.openxmlformats.org/officeDocument/2006/relationships/hyperlink" Target="https://folkways.si.edu/thomas-lewis/corn-dance/american-indian/music/track/smithsonian" TargetMode="External"/><Relationship Id="rId1688" Type="http://schemas.openxmlformats.org/officeDocument/2006/relationships/hyperlink" Target="https://folkways.si.edu/lola-kiepja/laments-no-43-and-44/american-indian-world/music/track/smithsonian" TargetMode="External"/><Relationship Id="rId1895" Type="http://schemas.openxmlformats.org/officeDocument/2006/relationships/hyperlink" Target="https://folkways.si.edu/audrey-coppard/english-folk-songs/celtic-world/music/album/smithsonian" TargetMode="External"/><Relationship Id="rId613" Type="http://schemas.openxmlformats.org/officeDocument/2006/relationships/hyperlink" Target="http://media.theglobaljukebox.org/audio/T5410R37.mp3" TargetMode="External"/><Relationship Id="rId820" Type="http://schemas.openxmlformats.org/officeDocument/2006/relationships/hyperlink" Target="http://www.worldcat.org/oclc/41613673" TargetMode="External"/><Relationship Id="rId918" Type="http://schemas.openxmlformats.org/officeDocument/2006/relationships/hyperlink" Target="https://theglobaljukebox.org/?share=Toda-T5569R15" TargetMode="External"/><Relationship Id="rId1450" Type="http://schemas.openxmlformats.org/officeDocument/2006/relationships/hyperlink" Target="https://search.alexanderstreet.com/preview/work/bibliographic_entity%7Crecorded_cd%7C1747788" TargetMode="External"/><Relationship Id="rId1548" Type="http://schemas.openxmlformats.org/officeDocument/2006/relationships/hyperlink" Target="https://archives.crem-cnrs.fr/archives/items/CNRSMH_E_1959_002_004_001_15/" TargetMode="External"/><Relationship Id="rId1755" Type="http://schemas.openxmlformats.org/officeDocument/2006/relationships/hyperlink" Target="https://theglobaljukebox.org/?share=Thrace-T5464R06" TargetMode="External"/><Relationship Id="rId1103" Type="http://schemas.openxmlformats.org/officeDocument/2006/relationships/hyperlink" Target="http://media.theglobaljukebox.org/audio/T5528R02.mp3" TargetMode="External"/><Relationship Id="rId1310" Type="http://schemas.openxmlformats.org/officeDocument/2006/relationships/hyperlink" Target="https://browse.nypl.org/iii/encore/record/C__Rb18403807__SNon-Russian%20folk%20traditions__Orightresult__X6?lang=eng&amp;suite=def" TargetMode="External"/><Relationship Id="rId1408" Type="http://schemas.openxmlformats.org/officeDocument/2006/relationships/hyperlink" Target="http://gofile.me/3T2hs/lQL1CnlYH" TargetMode="External"/><Relationship Id="rId1962" Type="http://schemas.openxmlformats.org/officeDocument/2006/relationships/hyperlink" Target="https://folkways.si.edu/dance-song/american-indian-world/music/track/smithsonian" TargetMode="External"/><Relationship Id="rId47" Type="http://schemas.openxmlformats.org/officeDocument/2006/relationships/hyperlink" Target="http://www.worldcat.org/oclc/166295428" TargetMode="External"/><Relationship Id="rId1615" Type="http://schemas.openxmlformats.org/officeDocument/2006/relationships/hyperlink" Target="https://theglobaljukebox.org/?share=Jivaro-T5402R34" TargetMode="External"/><Relationship Id="rId1822" Type="http://schemas.openxmlformats.org/officeDocument/2006/relationships/hyperlink" Target="https://theglobaljukebox.org/?share=Croatian%20Istria-T9536R20" TargetMode="External"/><Relationship Id="rId196" Type="http://schemas.openxmlformats.org/officeDocument/2006/relationships/hyperlink" Target="https://folkways.si.edu/the-eskimos-of-hudson-bay-and-alaska/american-indian/music/album/smithsonian" TargetMode="External"/><Relationship Id="rId2084" Type="http://schemas.openxmlformats.org/officeDocument/2006/relationships/hyperlink" Target="https://sounds.bl.uk/World-and-traditional-music/Endangered-Micronesian-recordings/025M-CEAP115X4X96-003ZV0" TargetMode="External"/><Relationship Id="rId263" Type="http://schemas.openxmlformats.org/officeDocument/2006/relationships/hyperlink" Target="https://theglobaljukebox.org/?share=Hawaii-T5429R21" TargetMode="External"/><Relationship Id="rId470" Type="http://schemas.openxmlformats.org/officeDocument/2006/relationships/hyperlink" Target="http://media.theglobaljukebox.org/audio/T5410R29.mp3" TargetMode="External"/><Relationship Id="rId2151" Type="http://schemas.openxmlformats.org/officeDocument/2006/relationships/hyperlink" Target="https://folkways.si.edu/l-h-correa-de-azevedo-music-of-ceara-and-minas-gerais/latin-world/music/album/smithsonian" TargetMode="External"/><Relationship Id="rId123" Type="http://schemas.openxmlformats.org/officeDocument/2006/relationships/hyperlink" Target="https://theglobaljukebox.org/?share=Sidama-T5553R13" TargetMode="External"/><Relationship Id="rId330" Type="http://schemas.openxmlformats.org/officeDocument/2006/relationships/hyperlink" Target="https://theglobaljukebox.org/?share=Tikopia-T5428R57" TargetMode="External"/><Relationship Id="rId568" Type="http://schemas.openxmlformats.org/officeDocument/2006/relationships/hyperlink" Target="https://theglobaljukebox.org/?share=Trinidad%20Creole-T5476R19" TargetMode="External"/><Relationship Id="rId775" Type="http://schemas.openxmlformats.org/officeDocument/2006/relationships/hyperlink" Target="http://greenstone.ilam.ru.ac.za/collect/ilam/index/assoc/D10240.dir/TR217-16.mp3" TargetMode="External"/><Relationship Id="rId982" Type="http://schemas.openxmlformats.org/officeDocument/2006/relationships/hyperlink" Target="https://theglobaljukebox.org/" TargetMode="External"/><Relationship Id="rId1198" Type="http://schemas.openxmlformats.org/officeDocument/2006/relationships/hyperlink" Target="https://theglobaljukebox.org/?share=Mirri-T5436R01m" TargetMode="External"/><Relationship Id="rId2011" Type="http://schemas.openxmlformats.org/officeDocument/2006/relationships/hyperlink" Target="https://search-alexanderstreet-com.ezp-prod1.hul.harvard.edu/view/work/bibliographic_entity%7Crecorded_cd%7C71907" TargetMode="External"/><Relationship Id="rId428" Type="http://schemas.openxmlformats.org/officeDocument/2006/relationships/hyperlink" Target="https://theglobaljukebox.org/?share=Colombian%20Coastal%20Folk-T5481R03" TargetMode="External"/><Relationship Id="rId635" Type="http://schemas.openxmlformats.org/officeDocument/2006/relationships/hyperlink" Target="https://theglobaljukebox.org/?share=Samara%20Ob.-T5463R33" TargetMode="External"/><Relationship Id="rId842" Type="http://schemas.openxmlformats.org/officeDocument/2006/relationships/hyperlink" Target="http://media.theglobaljukebox.org/audio/T5521R54.mp3" TargetMode="External"/><Relationship Id="rId1058" Type="http://schemas.openxmlformats.org/officeDocument/2006/relationships/hyperlink" Target="http://media.theglobaljukebox.org/audio/T5486R02.mp3" TargetMode="External"/><Relationship Id="rId1265" Type="http://schemas.openxmlformats.org/officeDocument/2006/relationships/hyperlink" Target="https://sounds.bl.uk/World-and-traditional-music/Music-from-India/025M-RKDATX0005XX-0100V0" TargetMode="External"/><Relationship Id="rId1472" Type="http://schemas.openxmlformats.org/officeDocument/2006/relationships/hyperlink" Target="https://sounds.bl.uk/World-and-traditional-music/Colin-Huehns-Pakistan/025M-C0485X0052XX-2000V0" TargetMode="External"/><Relationship Id="rId2109" Type="http://schemas.openxmlformats.org/officeDocument/2006/relationships/hyperlink" Target="https://folkways.si.edu/los-tres-paraguayos/guantanamera/latin-american-hits/world/music/album/smithsonian" TargetMode="External"/><Relationship Id="rId702" Type="http://schemas.openxmlformats.org/officeDocument/2006/relationships/hyperlink" Target="https://folkways.si.edu/abdul-halim-chowdhry/bhatiali-river-boatmen-song-from-east-pakistan/central-asia-islamica-world/music/track/smithsonian" TargetMode="External"/><Relationship Id="rId1125" Type="http://schemas.openxmlformats.org/officeDocument/2006/relationships/hyperlink" Target="https://theglobaljukebox.org/?share=Pari-T5437R09" TargetMode="External"/><Relationship Id="rId1332" Type="http://schemas.openxmlformats.org/officeDocument/2006/relationships/hyperlink" Target="https://sounds.bl.uk/World-and-traditional-music/Music-from-India/025M-RKDATX0072XX-0400V0" TargetMode="External"/><Relationship Id="rId1777" Type="http://schemas.openxmlformats.org/officeDocument/2006/relationships/hyperlink" Target="https://sounds.bl.uk/World-and-traditional-music/Vanishing-voices-from-the-Uralic-world/025M-CEAP3470579A-22XXV0" TargetMode="External"/><Relationship Id="rId1984" Type="http://schemas.openxmlformats.org/officeDocument/2006/relationships/hyperlink" Target="http://gofile.me/3T2hs/UbFBEhY87" TargetMode="External"/><Relationship Id="rId69" Type="http://schemas.openxmlformats.org/officeDocument/2006/relationships/hyperlink" Target="http://www.worldcat.org/oclc/37566535" TargetMode="External"/><Relationship Id="rId1637" Type="http://schemas.openxmlformats.org/officeDocument/2006/relationships/hyperlink" Target="https://folkways.si.edu/dabuyabarugu-inside-the-temple-sacred-music-of-the-garifuna-of-belize/american-indian-world/album/smithsonian" TargetMode="External"/><Relationship Id="rId1844" Type="http://schemas.openxmlformats.org/officeDocument/2006/relationships/hyperlink" Target="https://search.alexanderstreet.com/view/work/bibliographic_entity%7Crecorded_track%7C238691" TargetMode="External"/><Relationship Id="rId1704" Type="http://schemas.openxmlformats.org/officeDocument/2006/relationships/hyperlink" Target="https://theglobaljukebox.org/?share=Qulla-T5630R14" TargetMode="External"/><Relationship Id="rId285" Type="http://schemas.openxmlformats.org/officeDocument/2006/relationships/hyperlink" Target="https://folkways.si.edu/music-of-malagasy-drumming-for-a-ceremony/music-of-malagasy-singing-for-dancing-medley/central-asia-islamica-world/music/track/smithsonian" TargetMode="External"/><Relationship Id="rId1911" Type="http://schemas.openxmlformats.org/officeDocument/2006/relationships/hyperlink" Target="http://media.theglobaljukebox.org/audio/T5467R22.mp3" TargetMode="External"/><Relationship Id="rId492" Type="http://schemas.openxmlformats.org/officeDocument/2006/relationships/hyperlink" Target="http://ampm.auckland.ac.nz/handle/id/57678" TargetMode="External"/><Relationship Id="rId797" Type="http://schemas.openxmlformats.org/officeDocument/2006/relationships/hyperlink" Target="http://media.theglobaljukebox.org/audio/T5414R29.mp3" TargetMode="External"/><Relationship Id="rId2173" Type="http://schemas.openxmlformats.org/officeDocument/2006/relationships/hyperlink" Target="https://folkways.si.edu/ake-karlsson-and-gunnar-andersson/bridal-march-from-askeryd-brudmarsch-fran-askeryd-smaland/world/music/track/smithsonian" TargetMode="External"/><Relationship Id="rId145" Type="http://schemas.openxmlformats.org/officeDocument/2006/relationships/hyperlink" Target="http://media.theglobaljukebox.org/audio/T5403R15.mp3" TargetMode="External"/><Relationship Id="rId352" Type="http://schemas.openxmlformats.org/officeDocument/2006/relationships/hyperlink" Target="http://media.theglobaljukebox.org/audio/T30089.mp3" TargetMode="External"/><Relationship Id="rId1287" Type="http://schemas.openxmlformats.org/officeDocument/2006/relationships/hyperlink" Target="https://theglobaljukebox.org/?share=Armenia-T5528R13" TargetMode="External"/><Relationship Id="rId2033" Type="http://schemas.openxmlformats.org/officeDocument/2006/relationships/hyperlink" Target="https://folkways.si.edu/jose-lopez-margarita-molinari/the-smoking-pipe/carancho/chichili/toyaqa/the-sea-wolf/american-indian-world/music/track/smithsonian" TargetMode="External"/><Relationship Id="rId212" Type="http://schemas.openxmlformats.org/officeDocument/2006/relationships/hyperlink" Target="https://theglobaljukebox.org/?share=Gadaba-T5416R18m" TargetMode="External"/><Relationship Id="rId657" Type="http://schemas.openxmlformats.org/officeDocument/2006/relationships/hyperlink" Target="https://folkways.si.edu/music-from-south-india-kerala/world/album/smithsonian" TargetMode="External"/><Relationship Id="rId864" Type="http://schemas.openxmlformats.org/officeDocument/2006/relationships/hyperlink" Target="http://media.theglobaljukebox.org/audio/T5482R04.mp3" TargetMode="External"/><Relationship Id="rId1494" Type="http://schemas.openxmlformats.org/officeDocument/2006/relationships/hyperlink" Target="https://archives.crem-cnrs.fr/archives/items/CNRSMH_I_1983_001_024_06/" TargetMode="External"/><Relationship Id="rId1799" Type="http://schemas.openxmlformats.org/officeDocument/2006/relationships/hyperlink" Target="http://sami.bl.uk/uhtbin/cgisirsi/?ps=5zqKrlV91Y/WORKS-FILE/285270014/9" TargetMode="External"/><Relationship Id="rId2100" Type="http://schemas.openxmlformats.org/officeDocument/2006/relationships/hyperlink" Target="https://sounds.bl.uk/World-and-traditional-music/Endangered-Micronesian-recordings/025M-CEAP115X4X42-010ZV0" TargetMode="External"/><Relationship Id="rId517" Type="http://schemas.openxmlformats.org/officeDocument/2006/relationships/hyperlink" Target="http://ampm.auckland.ac.nz/handle/id/73005" TargetMode="External"/><Relationship Id="rId724" Type="http://schemas.openxmlformats.org/officeDocument/2006/relationships/hyperlink" Target="http://media.theglobaljukebox.org/audio/T5443R22.mp3" TargetMode="External"/><Relationship Id="rId931" Type="http://schemas.openxmlformats.org/officeDocument/2006/relationships/hyperlink" Target="http://media.theglobaljukebox.org/audio/T5473R03.mp3" TargetMode="External"/><Relationship Id="rId1147" Type="http://schemas.openxmlformats.org/officeDocument/2006/relationships/hyperlink" Target="https://folkways.si.edu/aztec-violinist-guitarist-ritual-specialists-young-girls-dancers/dance-of-the-tlamatiketl/american-indian-sacred-world/music/track/smithsonian" TargetMode="External"/><Relationship Id="rId1354" Type="http://schemas.openxmlformats.org/officeDocument/2006/relationships/hyperlink" Target="http://gofile.me/3T2hs/v0vCuRryW" TargetMode="External"/><Relationship Id="rId1561" Type="http://schemas.openxmlformats.org/officeDocument/2006/relationships/hyperlink" Target="https://folkways.si.edu/lullabies-of-the-world/childrens/music/album/smithsonian" TargetMode="External"/><Relationship Id="rId60" Type="http://schemas.openxmlformats.org/officeDocument/2006/relationships/hyperlink" Target="http://www.worldcat.org/oclc/42821441" TargetMode="External"/><Relationship Id="rId1007" Type="http://schemas.openxmlformats.org/officeDocument/2006/relationships/hyperlink" Target="http://theglobaljukebox.org/audio/T5425R37.mp3" TargetMode="External"/><Relationship Id="rId1214" Type="http://schemas.openxmlformats.org/officeDocument/2006/relationships/hyperlink" Target="https://archives.crem-cnrs.fr/archives/items/CNRSMH_I_1964_012_001_01/" TargetMode="External"/><Relationship Id="rId1421" Type="http://schemas.openxmlformats.org/officeDocument/2006/relationships/hyperlink" Target="http://gofile.me/3T2hs/UqByct7O4" TargetMode="External"/><Relationship Id="rId1659" Type="http://schemas.openxmlformats.org/officeDocument/2006/relationships/hyperlink" Target="https://sounds.bl.uk/World-and-traditional-music/Young-India-record-label-collection/025M-CEAP190X9X01-088ZV0" TargetMode="External"/><Relationship Id="rId1866" Type="http://schemas.openxmlformats.org/officeDocument/2006/relationships/hyperlink" Target="http://gofile.me/3T2hs/gIi2Yd9i4" TargetMode="External"/><Relationship Id="rId1519" Type="http://schemas.openxmlformats.org/officeDocument/2006/relationships/hyperlink" Target="http://gofile.me/3T2hs/TL4rG4OlL" TargetMode="External"/><Relationship Id="rId1726" Type="http://schemas.openxmlformats.org/officeDocument/2006/relationships/hyperlink" Target="https://theglobaljukebox.org/?share=Macedonia-T5618R09" TargetMode="External"/><Relationship Id="rId1933" Type="http://schemas.openxmlformats.org/officeDocument/2006/relationships/hyperlink" Target="https://theglobaljukebox.org/?share=Tolnau-T5462R56" TargetMode="External"/><Relationship Id="rId18" Type="http://schemas.openxmlformats.org/officeDocument/2006/relationships/hyperlink" Target="http://www.worldcat.org/title/rwandaurundi-rwanda/oclc/12841427" TargetMode="External"/><Relationship Id="rId2195" Type="http://schemas.openxmlformats.org/officeDocument/2006/relationships/hyperlink" Target="https://archives.crem-cnrs.fr/archives/items/CNRSMH_I_2000_004_016_20/" TargetMode="External"/><Relationship Id="rId167" Type="http://schemas.openxmlformats.org/officeDocument/2006/relationships/hyperlink" Target="http://www.folkways.si.edu/TrackDetails.aspx?itemid=7116" TargetMode="External"/><Relationship Id="rId374" Type="http://schemas.openxmlformats.org/officeDocument/2006/relationships/hyperlink" Target="https://folkways.si.edu/music-from-south-india-kerala/world/album/smithsonian" TargetMode="External"/><Relationship Id="rId581" Type="http://schemas.openxmlformats.org/officeDocument/2006/relationships/hyperlink" Target="http://media.theglobaljukebox.org/audio/T5435R19.mp3" TargetMode="External"/><Relationship Id="rId2055" Type="http://schemas.openxmlformats.org/officeDocument/2006/relationships/hyperlink" Target="https://sounds.bl.uk/World-and-traditional-music/Endangered-Micronesian-recordings/025M-CEAP115X4X84-001ZV0" TargetMode="External"/><Relationship Id="rId234" Type="http://schemas.openxmlformats.org/officeDocument/2006/relationships/hyperlink" Target="https://sounds.bl.uk/World-and-traditional-music/Vanishing-voices-from-the-Uralic-world/025M-CEAP3470579A-24XXV0" TargetMode="External"/><Relationship Id="rId679" Type="http://schemas.openxmlformats.org/officeDocument/2006/relationships/hyperlink" Target="http://greenstone.ilam.ru.ac.za/collect/ilam/index/assoc/D29657.dir/ATC103a-04.mp3" TargetMode="External"/><Relationship Id="rId886" Type="http://schemas.openxmlformats.org/officeDocument/2006/relationships/hyperlink" Target="https://folkways.si.edu/salman-al-arfush/ida-song-for-a-deceased-young-man/islamica-world/music/track/smithsonian" TargetMode="External"/><Relationship Id="rId2" Type="http://schemas.openxmlformats.org/officeDocument/2006/relationships/hyperlink" Target="http://www.worldcat.org/oclc/61328500" TargetMode="External"/><Relationship Id="rId441" Type="http://schemas.openxmlformats.org/officeDocument/2006/relationships/hyperlink" Target="https://theglobaljukebox.org/?share=Yahgan-T5401R02m" TargetMode="External"/><Relationship Id="rId539" Type="http://schemas.openxmlformats.org/officeDocument/2006/relationships/hyperlink" Target="https://search-alexanderstreet-com.ezp-prod1.hul.harvard.edu/view/work/bibliographic_entity%7Crecorded_cd%7C511039" TargetMode="External"/><Relationship Id="rId746" Type="http://schemas.openxmlformats.org/officeDocument/2006/relationships/hyperlink" Target="http://greenstone.ilam.ru.ac.za/collect/ilam/index/assoc/D18539.dir/HTFT344-H10-H1E3C.mp3" TargetMode="External"/><Relationship Id="rId1071" Type="http://schemas.openxmlformats.org/officeDocument/2006/relationships/hyperlink" Target="https://theglobaljukebox.org/?share=Luo-T5437R17" TargetMode="External"/><Relationship Id="rId1169" Type="http://schemas.openxmlformats.org/officeDocument/2006/relationships/hyperlink" Target="https://theglobaljukebox.org/" TargetMode="External"/><Relationship Id="rId1376" Type="http://schemas.openxmlformats.org/officeDocument/2006/relationships/hyperlink" Target="http://media.theglobaljukebox.org/audio/T5430R34.mp3" TargetMode="External"/><Relationship Id="rId1583" Type="http://schemas.openxmlformats.org/officeDocument/2006/relationships/hyperlink" Target="http://www.worldcat.org/title/nuevo-dia/oclc/699817049&amp;referer=brief_results" TargetMode="External"/><Relationship Id="rId2122" Type="http://schemas.openxmlformats.org/officeDocument/2006/relationships/hyperlink" Target="https://folkways.si.edu/lillian-rainer/taos-courting-flute-song/american-indian/music/track/smithsonian" TargetMode="External"/><Relationship Id="rId301" Type="http://schemas.openxmlformats.org/officeDocument/2006/relationships/hyperlink" Target="http://media.theglobaljukebox.org/audio/T5523R23.mp3" TargetMode="External"/><Relationship Id="rId953" Type="http://schemas.openxmlformats.org/officeDocument/2006/relationships/hyperlink" Target="https://theglobaljukebox.org/?share=Uyghur-T5490R07" TargetMode="External"/><Relationship Id="rId1029" Type="http://schemas.openxmlformats.org/officeDocument/2006/relationships/hyperlink" Target="https://theglobaljukebox.org/?share=Baggara-T5626R17m" TargetMode="External"/><Relationship Id="rId1236" Type="http://schemas.openxmlformats.org/officeDocument/2006/relationships/hyperlink" Target="https://folkways.si.edu/the-spirit-cries-music-from-the-rainforests-of-south-america-the-caribbean/world/album/smithsonian" TargetMode="External"/><Relationship Id="rId1790" Type="http://schemas.openxmlformats.org/officeDocument/2006/relationships/hyperlink" Target="http://sami.bl.uk/uhtbin/cgisirsi/?ps=rIb8AXCfG0/WORKS-FILE/164180033/9" TargetMode="External"/><Relationship Id="rId1888" Type="http://schemas.openxmlformats.org/officeDocument/2006/relationships/hyperlink" Target="http://gofile.me/3T2hs/jogeGC8Lr" TargetMode="External"/><Relationship Id="rId82" Type="http://schemas.openxmlformats.org/officeDocument/2006/relationships/hyperlink" Target="http://www.worldcat.org/oclc/12881597" TargetMode="External"/><Relationship Id="rId606" Type="http://schemas.openxmlformats.org/officeDocument/2006/relationships/hyperlink" Target="http://media.theglobaljukebox.org/audio/T5461R36.mp3" TargetMode="External"/><Relationship Id="rId813" Type="http://schemas.openxmlformats.org/officeDocument/2006/relationships/hyperlink" Target="http://media.theglobaljukebox.org/audio/T30226.mp3" TargetMode="External"/><Relationship Id="rId1443" Type="http://schemas.openxmlformats.org/officeDocument/2006/relationships/hyperlink" Target="http://media.theglobaljukebox.org/audio/T5431R01.mp3" TargetMode="External"/><Relationship Id="rId1650" Type="http://schemas.openxmlformats.org/officeDocument/2006/relationships/hyperlink" Target="https://folkways.si.edu/pedro-and-elpideo-patricio/son-de-carnaval-son-de-navidad/american-indian-world/music/track/smithsonian" TargetMode="External"/><Relationship Id="rId1748" Type="http://schemas.openxmlformats.org/officeDocument/2006/relationships/hyperlink" Target="https://theglobaljukebox.org/?share=Aymara-T5488R02" TargetMode="External"/><Relationship Id="rId1303" Type="http://schemas.openxmlformats.org/officeDocument/2006/relationships/hyperlink" Target="https://theglobaljukebox.org/?share=Adouma-T5459R15" TargetMode="External"/><Relationship Id="rId1510" Type="http://schemas.openxmlformats.org/officeDocument/2006/relationships/hyperlink" Target="http://www.worldcat.org/title/musiques-mexicaines/oclc/965998093&amp;referer=brief_results" TargetMode="External"/><Relationship Id="rId1955" Type="http://schemas.openxmlformats.org/officeDocument/2006/relationships/hyperlink" Target="https://sounds.bl.uk/World-and-traditional-music/Ethnographic-wax-cylinders/025M-C0080X1051XX-0100V0" TargetMode="External"/><Relationship Id="rId1608" Type="http://schemas.openxmlformats.org/officeDocument/2006/relationships/hyperlink" Target="https://theglobaljukebox.org/?share=Ancient%20Peru-T9505R56" TargetMode="External"/><Relationship Id="rId1815" Type="http://schemas.openxmlformats.org/officeDocument/2006/relationships/hyperlink" Target="http://id.lib.harvard.edu/alma/990049099310203941/catalog" TargetMode="External"/><Relationship Id="rId189" Type="http://schemas.openxmlformats.org/officeDocument/2006/relationships/hyperlink" Target="https://folkways.si.edu/lullabies-and-childrens-songs/world/music/album/smithsonian" TargetMode="External"/><Relationship Id="rId396" Type="http://schemas.openxmlformats.org/officeDocument/2006/relationships/hyperlink" Target="http://gofile.me/3T2hs/kf7yF3JCn" TargetMode="External"/><Relationship Id="rId2077" Type="http://schemas.openxmlformats.org/officeDocument/2006/relationships/hyperlink" Target="https://sounds.bl.uk/World-and-traditional-music/Endangered-Micronesian-recordings/025M-CEAP115X4X84-004ZV0" TargetMode="External"/><Relationship Id="rId256" Type="http://schemas.openxmlformats.org/officeDocument/2006/relationships/hyperlink" Target="https://theglobaljukebox.org/?share=So%E2%80%99to-T5404R39" TargetMode="External"/><Relationship Id="rId463" Type="http://schemas.openxmlformats.org/officeDocument/2006/relationships/hyperlink" Target="http://www.worldcat.org/title/songs-from-the-kimberleys-aboriginal-music-from-the-kimberley-region-of-western-australia/oclc/767510325&amp;referer=brief_results" TargetMode="External"/><Relationship Id="rId670" Type="http://schemas.openxmlformats.org/officeDocument/2006/relationships/hyperlink" Target="https://www.youtube.com/watch?v=5UK0aljqO2c" TargetMode="External"/><Relationship Id="rId1093" Type="http://schemas.openxmlformats.org/officeDocument/2006/relationships/hyperlink" Target="https://theglobaljukebox.org/?share=Totonac-T5405R63" TargetMode="External"/><Relationship Id="rId2144" Type="http://schemas.openxmlformats.org/officeDocument/2006/relationships/hyperlink" Target="https://folkways.si.edu/francisco-challapa-chamaca/solo-on-the-pinqalyo/sumirumansanisa/american-indian-world/music/track/smithsonian" TargetMode="External"/><Relationship Id="rId116" Type="http://schemas.openxmlformats.org/officeDocument/2006/relationships/hyperlink" Target="https://folkways.si.edu/group-from-yirkalla-mission-district/djedbang-ari/world/music/track/smithsonian" TargetMode="External"/><Relationship Id="rId323" Type="http://schemas.openxmlformats.org/officeDocument/2006/relationships/hyperlink" Target="https://theglobaljukebox.org/?share=Maori-T5429R09" TargetMode="External"/><Relationship Id="rId530" Type="http://schemas.openxmlformats.org/officeDocument/2006/relationships/hyperlink" Target="https://theglobaljukebox.org/?share=Grenada-T5477R23" TargetMode="External"/><Relationship Id="rId768" Type="http://schemas.openxmlformats.org/officeDocument/2006/relationships/hyperlink" Target="http://greenstone.ilam.ru.ac.za/collect/ilam/index/assoc/D32209.dir/AC0527-C4J6.mp3" TargetMode="External"/><Relationship Id="rId975" Type="http://schemas.openxmlformats.org/officeDocument/2006/relationships/hyperlink" Target="http://www.folkways.si.edu/TrackDetails.aspx?itemid=23782" TargetMode="External"/><Relationship Id="rId1160" Type="http://schemas.openxmlformats.org/officeDocument/2006/relationships/hyperlink" Target="https://folkways.si.edu/christina-acosta/cuna-lullaby/american-indian-world/music/track/smithsonian" TargetMode="External"/><Relationship Id="rId1398" Type="http://schemas.openxmlformats.org/officeDocument/2006/relationships/hyperlink" Target="http://www.folkways.si.edu/TrackDetails.aspx?itemid=11288" TargetMode="External"/><Relationship Id="rId2004" Type="http://schemas.openxmlformats.org/officeDocument/2006/relationships/hyperlink" Target="https://search-alexanderstreet-com.ezp-prod1.hul.harvard.edu/view/work/245818" TargetMode="External"/><Relationship Id="rId628" Type="http://schemas.openxmlformats.org/officeDocument/2006/relationships/hyperlink" Target="https://theglobaljukebox.org/?share=Kirovskaya%20Ob.-T5463R19" TargetMode="External"/><Relationship Id="rId835" Type="http://schemas.openxmlformats.org/officeDocument/2006/relationships/hyperlink" Target="http://media.theglobaljukebox.org/audio/T30216.mp3" TargetMode="External"/><Relationship Id="rId1258" Type="http://schemas.openxmlformats.org/officeDocument/2006/relationships/hyperlink" Target="https://theglobaljukebox.org/?share=Afro-Colombian-T5621R14m" TargetMode="External"/><Relationship Id="rId1465" Type="http://schemas.openxmlformats.org/officeDocument/2006/relationships/hyperlink" Target="http://media.theglobaljukebox.org/audio/T5430R67.mp3" TargetMode="External"/><Relationship Id="rId1672" Type="http://schemas.openxmlformats.org/officeDocument/2006/relationships/hyperlink" Target="http://richardkwolf.com/audiovisual/" TargetMode="External"/><Relationship Id="rId1020" Type="http://schemas.openxmlformats.org/officeDocument/2006/relationships/hyperlink" Target="https://folkways.si.edu/ba-anansi-brother-anansi/caribbean-world/music/track/smithsonian" TargetMode="External"/><Relationship Id="rId1118" Type="http://schemas.openxmlformats.org/officeDocument/2006/relationships/hyperlink" Target="https://theglobaljukebox.org/?share=Salar-T5435R26" TargetMode="External"/><Relationship Id="rId1325" Type="http://schemas.openxmlformats.org/officeDocument/2006/relationships/hyperlink" Target="https://search.alexanderstreet.com/preview/work/bibliographic_entity%7Cliner_notes%7C2258560" TargetMode="External"/><Relationship Id="rId1532" Type="http://schemas.openxmlformats.org/officeDocument/2006/relationships/hyperlink" Target="http://media.theglobaljukebox.org/audio/T5566R21.mp3" TargetMode="External"/><Relationship Id="rId1977" Type="http://schemas.openxmlformats.org/officeDocument/2006/relationships/hyperlink" Target="https://theglobaljukebox.org/?share=Polish%20Folk-T5464R48" TargetMode="External"/><Relationship Id="rId902" Type="http://schemas.openxmlformats.org/officeDocument/2006/relationships/hyperlink" Target="https://theglobaljukebox.org/?share=Extremadura-T5469R41" TargetMode="External"/><Relationship Id="rId1837" Type="http://schemas.openxmlformats.org/officeDocument/2006/relationships/hyperlink" Target="https://archives.crem-cnrs.fr/archives/items/CNRSMH_I_1963_006_001_10/" TargetMode="External"/><Relationship Id="rId31" Type="http://schemas.openxmlformats.org/officeDocument/2006/relationships/hyperlink" Target="http://www.worldcat.org/oclc/40133934" TargetMode="External"/><Relationship Id="rId2099" Type="http://schemas.openxmlformats.org/officeDocument/2006/relationships/hyperlink" Target="https://sounds.bl.uk/World-and-traditional-music/Endangered-Micronesian-recordings/025M-CEAP115X4X42-006ZV0" TargetMode="External"/><Relationship Id="rId180" Type="http://schemas.openxmlformats.org/officeDocument/2006/relationships/hyperlink" Target="https://theglobaljukebox.org/" TargetMode="External"/><Relationship Id="rId278" Type="http://schemas.openxmlformats.org/officeDocument/2006/relationships/hyperlink" Target="https://theglobaljukebox.org/?share=Tikopia-T5428R56" TargetMode="External"/><Relationship Id="rId1904" Type="http://schemas.openxmlformats.org/officeDocument/2006/relationships/hyperlink" Target="http://gofile.me/3T2hs/OTs9uXZGx" TargetMode="External"/><Relationship Id="rId485" Type="http://schemas.openxmlformats.org/officeDocument/2006/relationships/hyperlink" Target="https://theglobaljukebox.org/?share=Carriacou-T5473R43" TargetMode="External"/><Relationship Id="rId692" Type="http://schemas.openxmlformats.org/officeDocument/2006/relationships/hyperlink" Target="http://media.theglobaljukebox.org/audio/T5624R04.mp3" TargetMode="External"/><Relationship Id="rId2166" Type="http://schemas.openxmlformats.org/officeDocument/2006/relationships/hyperlink" Target="https://folkways.si.edu/fred-louis-and-ella-thompson/victory-song/american-indian/music/track/smithsonian" TargetMode="External"/><Relationship Id="rId138" Type="http://schemas.openxmlformats.org/officeDocument/2006/relationships/hyperlink" Target="https://folkways.si.edu/young-boys-with-songman/djarada/world/music/track/smithsonian" TargetMode="External"/><Relationship Id="rId345" Type="http://schemas.openxmlformats.org/officeDocument/2006/relationships/hyperlink" Target="http://ampm.auckland.ac.nz/handle/id/91426" TargetMode="External"/><Relationship Id="rId552" Type="http://schemas.openxmlformats.org/officeDocument/2006/relationships/hyperlink" Target="http://ampm.auckland.ac.nz/handle/id/57558" TargetMode="External"/><Relationship Id="rId997" Type="http://schemas.openxmlformats.org/officeDocument/2006/relationships/hyperlink" Target="http://theglobaljukebox.org/audio/T5617R06.mp3" TargetMode="External"/><Relationship Id="rId1182" Type="http://schemas.openxmlformats.org/officeDocument/2006/relationships/hyperlink" Target="https://theglobaljukebox.org/?share=Hausa-T5621R08m" TargetMode="External"/><Relationship Id="rId2026" Type="http://schemas.openxmlformats.org/officeDocument/2006/relationships/hyperlink" Target="https://folkways.si.edu/selkham-tierra-del-fuego-arrow-ordeal-chant/american-indian-world/music/track/smithsonian" TargetMode="External"/><Relationship Id="rId205" Type="http://schemas.openxmlformats.org/officeDocument/2006/relationships/hyperlink" Target="http://www.folkways.si.edu/TrackDetails.aspx?itemid=9047" TargetMode="External"/><Relationship Id="rId412" Type="http://schemas.openxmlformats.org/officeDocument/2006/relationships/hyperlink" Target="http://gofile.me/3T2hs/k0P5ERQQh" TargetMode="External"/><Relationship Id="rId857" Type="http://schemas.openxmlformats.org/officeDocument/2006/relationships/hyperlink" Target="http://media.theglobaljukebox.org/audio/T5482R01.mp3" TargetMode="External"/><Relationship Id="rId1042" Type="http://schemas.openxmlformats.org/officeDocument/2006/relationships/hyperlink" Target="https://folkways.si.edu/almas-almatov/terme/central-asia-islamica-world/music/track/smithsonian" TargetMode="External"/><Relationship Id="rId1487" Type="http://schemas.openxmlformats.org/officeDocument/2006/relationships/hyperlink" Target="https://folkways.si.edu/mungo-martin/mourning-song/american-indian/music/track/smithsonian" TargetMode="External"/><Relationship Id="rId1694" Type="http://schemas.openxmlformats.org/officeDocument/2006/relationships/hyperlink" Target="http://richardkwolf.com/" TargetMode="External"/><Relationship Id="rId717" Type="http://schemas.openxmlformats.org/officeDocument/2006/relationships/hyperlink" Target="http://media.theglobaljukebox.org/audio/T5439R30.mp3" TargetMode="External"/><Relationship Id="rId924" Type="http://schemas.openxmlformats.org/officeDocument/2006/relationships/hyperlink" Target="https://theglobaljukebox.org/?share=Ulster-T9514R17" TargetMode="External"/><Relationship Id="rId1347" Type="http://schemas.openxmlformats.org/officeDocument/2006/relationships/hyperlink" Target="http://gofile.me/3T2hs/72B70SwOb" TargetMode="External"/><Relationship Id="rId1554" Type="http://schemas.openxmlformats.org/officeDocument/2006/relationships/hyperlink" Target="http://www.worldcat.org/title/sacred-path-spells-prayers-power-songs-of-the-american-indians/oclc/10020978&amp;referer=brief_results" TargetMode="External"/><Relationship Id="rId1761" Type="http://schemas.openxmlformats.org/officeDocument/2006/relationships/hyperlink" Target="https://sounds.bl.uk/World-and-traditional-music/Ethnographic-wax-cylinders/025M-C0072X0876XX-0100V0" TargetMode="External"/><Relationship Id="rId1999" Type="http://schemas.openxmlformats.org/officeDocument/2006/relationships/hyperlink" Target="http://www.worldcat.org/title/australian-playground/oclc/879251089&amp;referer=brief_results" TargetMode="External"/><Relationship Id="rId53" Type="http://schemas.openxmlformats.org/officeDocument/2006/relationships/hyperlink" Target="http://www.worldcat.org/oclc/42385304" TargetMode="External"/><Relationship Id="rId1207" Type="http://schemas.openxmlformats.org/officeDocument/2006/relationships/hyperlink" Target="https://folkways.si.edu/los-hermanos-lovo/soy-salvadoreno-chanchona-music-from-eastern-el-salvador/latin/album/smithsonian" TargetMode="External"/><Relationship Id="rId1414" Type="http://schemas.openxmlformats.org/officeDocument/2006/relationships/hyperlink" Target="http://gofile.me/3T2hs/dRqku06lQ" TargetMode="External"/><Relationship Id="rId1621" Type="http://schemas.openxmlformats.org/officeDocument/2006/relationships/hyperlink" Target="https://theglobaljukebox.org/?share=Q'ero-T5488R11" TargetMode="External"/><Relationship Id="rId1859" Type="http://schemas.openxmlformats.org/officeDocument/2006/relationships/hyperlink" Target="https://theglobaljukebox.org/?share=Barra-T5590R14" TargetMode="External"/><Relationship Id="rId1719" Type="http://schemas.openxmlformats.org/officeDocument/2006/relationships/hyperlink" Target="https://theglobaljukebox.org/?share=Bucharest%20Prov.-T5589R22" TargetMode="External"/><Relationship Id="rId1926" Type="http://schemas.openxmlformats.org/officeDocument/2006/relationships/hyperlink" Target="https://theglobaljukebox.org/?share=Bavaria-T5464R21" TargetMode="External"/><Relationship Id="rId2090" Type="http://schemas.openxmlformats.org/officeDocument/2006/relationships/hyperlink" Target="https://theglobaljukebox.org/" TargetMode="External"/><Relationship Id="rId2188" Type="http://schemas.openxmlformats.org/officeDocument/2006/relationships/hyperlink" Target="https://folkways.si.edu/sven-bertil-taube/och-flickan-hon-gar-i-dansen-the-maiden-went-out-dancing/world/music/track/smithsonian" TargetMode="External"/><Relationship Id="rId367" Type="http://schemas.openxmlformats.org/officeDocument/2006/relationships/hyperlink" Target="https://theglobaljukebox.org/?share=Korku-T5419R16m" TargetMode="External"/><Relationship Id="rId574" Type="http://schemas.openxmlformats.org/officeDocument/2006/relationships/hyperlink" Target="https://theglobaljukebox.org/?share=Martinique-T5474R42" TargetMode="External"/><Relationship Id="rId2048" Type="http://schemas.openxmlformats.org/officeDocument/2006/relationships/hyperlink" Target="https://theglobaljukebox.org/?share=Palau-T5427R10" TargetMode="External"/><Relationship Id="rId227" Type="http://schemas.openxmlformats.org/officeDocument/2006/relationships/hyperlink" Target="http://media.theglobaljukebox.org/audio/T5522R16.mp3" TargetMode="External"/><Relationship Id="rId781" Type="http://schemas.openxmlformats.org/officeDocument/2006/relationships/hyperlink" Target="https://theglobaljukebox.org/?share=Loma-T5459R42" TargetMode="External"/><Relationship Id="rId879" Type="http://schemas.openxmlformats.org/officeDocument/2006/relationships/hyperlink" Target="http://media.theglobaljukebox.org/audio/T5424R40.mp3" TargetMode="External"/><Relationship Id="rId434" Type="http://schemas.openxmlformats.org/officeDocument/2006/relationships/hyperlink" Target="https://theglobaljukebox.org/?share=Bar%C3%AD-T5404R66" TargetMode="External"/><Relationship Id="rId641" Type="http://schemas.openxmlformats.org/officeDocument/2006/relationships/hyperlink" Target="https://theglobaljukebox.org/?share=Kursk%20Ob.-T5463R29" TargetMode="External"/><Relationship Id="rId739" Type="http://schemas.openxmlformats.org/officeDocument/2006/relationships/hyperlink" Target="http://greenstone.ilam.ru.ac.za/collect/ilam/index/assoc/D8689.dir/TR111-09.mp3" TargetMode="External"/><Relationship Id="rId1064" Type="http://schemas.openxmlformats.org/officeDocument/2006/relationships/hyperlink" Target="https://theglobaljukebox.org/?share=Wales-T5592R18" TargetMode="External"/><Relationship Id="rId1271" Type="http://schemas.openxmlformats.org/officeDocument/2006/relationships/hyperlink" Target="https://theglobaljukebox.org/?share=Pirin-T5464R12" TargetMode="External"/><Relationship Id="rId1369" Type="http://schemas.openxmlformats.org/officeDocument/2006/relationships/hyperlink" Target="http://media.theglobaljukebox.org/audio/T30205.mp3" TargetMode="External"/><Relationship Id="rId1576" Type="http://schemas.openxmlformats.org/officeDocument/2006/relationships/hyperlink" Target="http://www.worldcat.org/title/in-the-trail-of-the-wind-american-indian-poems-and-ritual-orations/oclc/136520&amp;referer=brief_results" TargetMode="External"/><Relationship Id="rId2115" Type="http://schemas.openxmlformats.org/officeDocument/2006/relationships/hyperlink" Target="https://theglobaljukebox.org/?share=Akimel%20O'odham-T5405R29" TargetMode="External"/><Relationship Id="rId501" Type="http://schemas.openxmlformats.org/officeDocument/2006/relationships/hyperlink" Target="http://ampm.auckland.ac.nz/handle/id/57645" TargetMode="External"/><Relationship Id="rId946" Type="http://schemas.openxmlformats.org/officeDocument/2006/relationships/hyperlink" Target="http://media.theglobaljukebox.com/audio/T5492R25.mp3" TargetMode="External"/><Relationship Id="rId1131" Type="http://schemas.openxmlformats.org/officeDocument/2006/relationships/hyperlink" Target="https://theglobaljukebox.org/?share=N.%20Bulgaria-T5464R13" TargetMode="External"/><Relationship Id="rId1229" Type="http://schemas.openxmlformats.org/officeDocument/2006/relationships/hyperlink" Target="https://archives.crem-cnrs.fr/archives/items/CNRSMH_I_1994_002_019_03/" TargetMode="External"/><Relationship Id="rId1783" Type="http://schemas.openxmlformats.org/officeDocument/2006/relationships/hyperlink" Target="https://sounds.bl.uk/World-and-traditional-music/Vanishing-voices-from-the-Uralic-world/025M-CEAP3470601B-08XXV0" TargetMode="External"/><Relationship Id="rId1990" Type="http://schemas.openxmlformats.org/officeDocument/2006/relationships/hyperlink" Target="https://theglobaljukebox.org/?share=Norway-T5464R34" TargetMode="External"/><Relationship Id="rId75" Type="http://schemas.openxmlformats.org/officeDocument/2006/relationships/hyperlink" Target="http://www.worldcat.org/oclc/7892340" TargetMode="External"/><Relationship Id="rId806" Type="http://schemas.openxmlformats.org/officeDocument/2006/relationships/hyperlink" Target="https://theglobaljukebox.org/?share=Black%20Sea-T5483R11" TargetMode="External"/><Relationship Id="rId1436" Type="http://schemas.openxmlformats.org/officeDocument/2006/relationships/hyperlink" Target="http://media.theglobaljukebox.org/audio/T5428R31.mp3" TargetMode="External"/><Relationship Id="rId1643" Type="http://schemas.openxmlformats.org/officeDocument/2006/relationships/hyperlink" Target="https://search.alexanderstreet.com/preview/work/bibliographic_entity%7Crecorded_cd%7C891378" TargetMode="External"/><Relationship Id="rId1850" Type="http://schemas.openxmlformats.org/officeDocument/2006/relationships/hyperlink" Target="https://search-alexanderstreet-com.ezp-prod1.hul.harvard.edu/view/work/bibliographic_entity%7Crecorded_cd%7C71687" TargetMode="External"/><Relationship Id="rId1503" Type="http://schemas.openxmlformats.org/officeDocument/2006/relationships/hyperlink" Target="https://folkways.si.edu/italian-folk-songs-and-dances/world/music/album/smithsonian" TargetMode="External"/><Relationship Id="rId1710" Type="http://schemas.openxmlformats.org/officeDocument/2006/relationships/hyperlink" Target="https://www.worldmusicstore.com/products/argentina-the-indians-of-the-gran-chaco" TargetMode="External"/><Relationship Id="rId1948" Type="http://schemas.openxmlformats.org/officeDocument/2006/relationships/hyperlink" Target="https://theglobaljukebox.org/?share=Swabia-Rhineand%20Palati-T5465R14" TargetMode="External"/><Relationship Id="rId291" Type="http://schemas.openxmlformats.org/officeDocument/2006/relationships/hyperlink" Target="http://media.theglobaljukebox.org/audio/T5441R28.mp3" TargetMode="External"/><Relationship Id="rId1808" Type="http://schemas.openxmlformats.org/officeDocument/2006/relationships/hyperlink" Target="https://folkways.si.edu/afro-hispanic-music-from-western-colombia-and-ecuador/african-american-music-latin-world/music/album/smithsonian" TargetMode="External"/><Relationship Id="rId151" Type="http://schemas.openxmlformats.org/officeDocument/2006/relationships/hyperlink" Target="https://theglobaljukebox.org/?share=Shilluk-T5436R27m" TargetMode="External"/><Relationship Id="rId389" Type="http://schemas.openxmlformats.org/officeDocument/2006/relationships/hyperlink" Target="http://ampm.auckland.ac.nz/handle/id/67540" TargetMode="External"/><Relationship Id="rId596" Type="http://schemas.openxmlformats.org/officeDocument/2006/relationships/hyperlink" Target="http://media.theglobaljukebox.org/audio/T45022.mp3" TargetMode="External"/><Relationship Id="rId249" Type="http://schemas.openxmlformats.org/officeDocument/2006/relationships/hyperlink" Target="http://www.worldcat.org/title/arnhem-land-volumes-1-3-authentic-australian-aboriginal-songs-and-dances/oclc/892511653&amp;referer=brief_results" TargetMode="External"/><Relationship Id="rId456" Type="http://schemas.openxmlformats.org/officeDocument/2006/relationships/hyperlink" Target="http://www.worldcat.org/title/dreamings-aboriginal-healing-didjeridu/oclc/39975607&amp;referer=brief_results" TargetMode="External"/><Relationship Id="rId663" Type="http://schemas.openxmlformats.org/officeDocument/2006/relationships/hyperlink" Target="http://media.theglobaljukebox.org/audio/T5439R31.mp3" TargetMode="External"/><Relationship Id="rId870" Type="http://schemas.openxmlformats.org/officeDocument/2006/relationships/hyperlink" Target="http://media.theglobaljukebox.org/audio/T5467R49.mp3" TargetMode="External"/><Relationship Id="rId1086" Type="http://schemas.openxmlformats.org/officeDocument/2006/relationships/hyperlink" Target="https://theglobaljukebox.org/?share=Mazateco-T5405R74m" TargetMode="External"/><Relationship Id="rId1293" Type="http://schemas.openxmlformats.org/officeDocument/2006/relationships/hyperlink" Target="https://folkways.si.edu/dance-music/world/music/track/smithsonian" TargetMode="External"/><Relationship Id="rId2137" Type="http://schemas.openxmlformats.org/officeDocument/2006/relationships/hyperlink" Target="https://folkways.si.edu/papago-saguaro-song/american-indian/music/track/smithsonian" TargetMode="External"/><Relationship Id="rId109" Type="http://schemas.openxmlformats.org/officeDocument/2006/relationships/hyperlink" Target="http://www.worldcat.org/oclc/3744389" TargetMode="External"/><Relationship Id="rId316" Type="http://schemas.openxmlformats.org/officeDocument/2006/relationships/hyperlink" Target="https://theglobaljukebox.org/?share=Baoul%C3%A9-T5459R26" TargetMode="External"/><Relationship Id="rId523" Type="http://schemas.openxmlformats.org/officeDocument/2006/relationships/hyperlink" Target="https://theglobaljukebox.org/?share=Haiti-T45029" TargetMode="External"/><Relationship Id="rId968" Type="http://schemas.openxmlformats.org/officeDocument/2006/relationships/hyperlink" Target="http://www.folkways.si.edu/TrackDetails.aspx?itemid=14934" TargetMode="External"/><Relationship Id="rId1153" Type="http://schemas.openxmlformats.org/officeDocument/2006/relationships/hyperlink" Target="https://folkways.si.edu/ahorohani-working-song/world/music/track/smithsonian" TargetMode="External"/><Relationship Id="rId1598" Type="http://schemas.openxmlformats.org/officeDocument/2006/relationships/hyperlink" Target="https://folkways.si.edu/valentina-felix/petticoats-of-portugal/world/music/album/smithsonian" TargetMode="External"/><Relationship Id="rId97" Type="http://schemas.openxmlformats.org/officeDocument/2006/relationships/hyperlink" Target="http://www.worldcat.org/oclc/3085331" TargetMode="External"/><Relationship Id="rId730" Type="http://schemas.openxmlformats.org/officeDocument/2006/relationships/hyperlink" Target="http://media.theglobaljukebox.org/audio/T5450R15.mp3" TargetMode="External"/><Relationship Id="rId828" Type="http://schemas.openxmlformats.org/officeDocument/2006/relationships/hyperlink" Target="http://www.worldcat.org/title/inuit-fifty-five-historical-recordings/oclc/52848634&amp;referer=brief_results" TargetMode="External"/><Relationship Id="rId1013" Type="http://schemas.openxmlformats.org/officeDocument/2006/relationships/hyperlink" Target="http://media.theglobaljukebox.org/audio/T30206.mp3" TargetMode="External"/><Relationship Id="rId1360" Type="http://schemas.openxmlformats.org/officeDocument/2006/relationships/hyperlink" Target="https://search.alexanderstreet.com/preview/work/bibliographic_entity%7Cliner_notes%7C2257067" TargetMode="External"/><Relationship Id="rId1458" Type="http://schemas.openxmlformats.org/officeDocument/2006/relationships/hyperlink" Target="https://sounds.bl.uk/World-and-traditional-music/Nicholas-Pierce-Balochistan/025M-C0140X0019XX-0100V0" TargetMode="External"/><Relationship Id="rId1665" Type="http://schemas.openxmlformats.org/officeDocument/2006/relationships/hyperlink" Target="https://theglobaljukebox.org/?share=Donegal-T5589R14" TargetMode="External"/><Relationship Id="rId1872" Type="http://schemas.openxmlformats.org/officeDocument/2006/relationships/hyperlink" Target="http://gofile.me/3T2hs/Gmsx2E4RH" TargetMode="External"/><Relationship Id="rId1220" Type="http://schemas.openxmlformats.org/officeDocument/2006/relationships/hyperlink" Target="https://folkways.si.edu/magazine-summer-fall-2016-come-bien-eat-right/tools-for-teaching/smithsonian" TargetMode="External"/><Relationship Id="rId1318" Type="http://schemas.openxmlformats.org/officeDocument/2006/relationships/hyperlink" Target="https://search.alexanderstreet.com/preview/work/bibliographic_entity%7Cliner_notes%7C2258560" TargetMode="External"/><Relationship Id="rId1525" Type="http://schemas.openxmlformats.org/officeDocument/2006/relationships/hyperlink" Target="http://id.lib.harvard.edu/alma/990127609360203941/catalog" TargetMode="External"/><Relationship Id="rId1732" Type="http://schemas.openxmlformats.org/officeDocument/2006/relationships/hyperlink" Target="https://theglobaljukebox.org/?share=Ghegs-T9530R10" TargetMode="External"/><Relationship Id="rId24" Type="http://schemas.openxmlformats.org/officeDocument/2006/relationships/hyperlink" Target="http://www.worldcat.org/oclc/51990086" TargetMode="External"/><Relationship Id="rId173" Type="http://schemas.openxmlformats.org/officeDocument/2006/relationships/hyperlink" Target="http://media.theglobaljukebox.org/audio/T5561R25.mp3" TargetMode="External"/><Relationship Id="rId380" Type="http://schemas.openxmlformats.org/officeDocument/2006/relationships/hyperlink" Target="http://gofile.me/3T2hs/GmAh2lIda" TargetMode="External"/><Relationship Id="rId2061" Type="http://schemas.openxmlformats.org/officeDocument/2006/relationships/hyperlink" Target="https://sounds.bl.uk/World-and-traditional-music/Endangered-Micronesian-recordings/025M-CEAP115X4X42-004ZV0" TargetMode="External"/><Relationship Id="rId240" Type="http://schemas.openxmlformats.org/officeDocument/2006/relationships/hyperlink" Target="https://folkways.si.edu/sudan-alunde-dodo-base/loje-kiki-dai/dibiti-ovajiran/dodo-pise-titi-medley/childrens-world/music/track/smithsonian" TargetMode="External"/><Relationship Id="rId478" Type="http://schemas.openxmlformats.org/officeDocument/2006/relationships/hyperlink" Target="http://greenstone.ilam.ru.ac.za/cgi-bin/library?e=q-01000-00---0ilam--00-1--0-10-0---0---0prompt-10-DU--4-------0-1l--11-en-50---20-about-C3X10--00-3-1-00-0011-0-0utfZz-8-00&amp;a=d&amp;c=ilam&amp;srp=0&amp;srn=0&amp;cl=search&amp;d=D32063" TargetMode="External"/><Relationship Id="rId685" Type="http://schemas.openxmlformats.org/officeDocument/2006/relationships/hyperlink" Target="https://sounds.bl.uk/World-and-traditional-music/Violeta-Ruano-portraits-of-Saharawi-Music/025M-C1640X0079XX-0001V0" TargetMode="External"/><Relationship Id="rId892" Type="http://schemas.openxmlformats.org/officeDocument/2006/relationships/hyperlink" Target="https://folkways.si.edu/salman-al-arfush/nadb-for-a-deceased-boy/islamica-world/music/track/smithsonian" TargetMode="External"/><Relationship Id="rId2159" Type="http://schemas.openxmlformats.org/officeDocument/2006/relationships/hyperlink" Target="https://folkways.si.edu/mark-evarts/military-society-hatuxka-lance-society/wolf-war-raid/military-society-horse-society/story-of-the-wolf-and-the-scalped-man-medley/american-indian/music/track/smithsonian" TargetMode="External"/><Relationship Id="rId100" Type="http://schemas.openxmlformats.org/officeDocument/2006/relationships/hyperlink" Target="http://www.worldcat.org/oclc/696302548" TargetMode="External"/><Relationship Id="rId338" Type="http://schemas.openxmlformats.org/officeDocument/2006/relationships/hyperlink" Target="http://media.theglobaljukebox.org/audio/T40015R02.mp3" TargetMode="External"/><Relationship Id="rId545" Type="http://schemas.openxmlformats.org/officeDocument/2006/relationships/hyperlink" Target="https://theglobaljukebox.org/?share=Maramure%C8%99-T5522R69" TargetMode="External"/><Relationship Id="rId752" Type="http://schemas.openxmlformats.org/officeDocument/2006/relationships/hyperlink" Target="http://greenstone.ilam.ru.ac.za/collect/ilam/index/assoc/D30884.dir/AC0641-E1C5.mp3" TargetMode="External"/><Relationship Id="rId1175" Type="http://schemas.openxmlformats.org/officeDocument/2006/relationships/hyperlink" Target="https://folkways.si.edu/luis-godoy-and-grupo-mancotal/un-son-para-mi-pueblo-songs-from-the-new-nicaragua/historical-song-latin-struggle-protest-world/music/album/smithsonian" TargetMode="External"/><Relationship Id="rId1382" Type="http://schemas.openxmlformats.org/officeDocument/2006/relationships/hyperlink" Target="http://www.worldcat.org/oclc/491890847" TargetMode="External"/><Relationship Id="rId2019" Type="http://schemas.openxmlformats.org/officeDocument/2006/relationships/hyperlink" Target="https://search-alexanderstreet-com.ezp-prod1.hul.harvard.edu/view/work/bibliographic_entity%7Crecorded_cd%7C71782" TargetMode="External"/><Relationship Id="rId405" Type="http://schemas.openxmlformats.org/officeDocument/2006/relationships/hyperlink" Target="http://ampm.auckland.ac.nz/handle/id/91311" TargetMode="External"/><Relationship Id="rId612" Type="http://schemas.openxmlformats.org/officeDocument/2006/relationships/hyperlink" Target="http://media.theglobaljukebox.org/audio/T5410R35.mp3" TargetMode="External"/><Relationship Id="rId1035" Type="http://schemas.openxmlformats.org/officeDocument/2006/relationships/hyperlink" Target="https://theglobaljukebox.org/?share=Hawazma-T5625R21m" TargetMode="External"/><Relationship Id="rId1242" Type="http://schemas.openxmlformats.org/officeDocument/2006/relationships/hyperlink" Target="https://folkways.si.edu/traditional-music-of-the-garifuna-of-belize/american-indian-world/album/smithsonian" TargetMode="External"/><Relationship Id="rId1687" Type="http://schemas.openxmlformats.org/officeDocument/2006/relationships/hyperlink" Target="https://theglobaljukebox.org/?share=Afro-Colombian-T5621R13m" TargetMode="External"/><Relationship Id="rId1894" Type="http://schemas.openxmlformats.org/officeDocument/2006/relationships/hyperlink" Target="https://theglobaljukebox.org/" TargetMode="External"/><Relationship Id="rId917" Type="http://schemas.openxmlformats.org/officeDocument/2006/relationships/hyperlink" Target="https://theglobaljukebox.org/?share=Bukharan%20Jews-T5482R21" TargetMode="External"/><Relationship Id="rId1102" Type="http://schemas.openxmlformats.org/officeDocument/2006/relationships/hyperlink" Target="http://media.theglobaljukebox.org/audio/T5413R40.mp3" TargetMode="External"/><Relationship Id="rId1547" Type="http://schemas.openxmlformats.org/officeDocument/2006/relationships/hyperlink" Target="https://memory.loc.gov/diglib/ihas/loc.afc.afc9999005.25709/default.html" TargetMode="External"/><Relationship Id="rId1754" Type="http://schemas.openxmlformats.org/officeDocument/2006/relationships/hyperlink" Target="https://theglobaljukebox.org/?share=Sussex-T5472R43" TargetMode="External"/><Relationship Id="rId1961" Type="http://schemas.openxmlformats.org/officeDocument/2006/relationships/hyperlink" Target="https://folkways.si.edu/papusa/american-indian-world/music/track/smithsonian" TargetMode="External"/><Relationship Id="rId46" Type="http://schemas.openxmlformats.org/officeDocument/2006/relationships/hyperlink" Target="http://www.worldcat.org/oclc/74386532" TargetMode="External"/><Relationship Id="rId1407" Type="http://schemas.openxmlformats.org/officeDocument/2006/relationships/hyperlink" Target="http://gofile.me/3T2hs/qp3NHL8Se" TargetMode="External"/><Relationship Id="rId1614" Type="http://schemas.openxmlformats.org/officeDocument/2006/relationships/hyperlink" Target="http://gofile.me/3T2hs/FWR6t9YaO" TargetMode="External"/><Relationship Id="rId1821" Type="http://schemas.openxmlformats.org/officeDocument/2006/relationships/hyperlink" Target="https://theglobaljukebox.org/?share=Slavonia-T5591R04" TargetMode="External"/><Relationship Id="rId195" Type="http://schemas.openxmlformats.org/officeDocument/2006/relationships/hyperlink" Target="http://www.worldcat.org/title/songs-of-the-inuit-iglulik-canada/oclc/65196223" TargetMode="External"/><Relationship Id="rId1919" Type="http://schemas.openxmlformats.org/officeDocument/2006/relationships/hyperlink" Target="https://theglobaljukebox.org/?share=Guaran%C3%AD-" TargetMode="External"/><Relationship Id="rId2083" Type="http://schemas.openxmlformats.org/officeDocument/2006/relationships/hyperlink" Target="https://sounds.bl.uk/World-and-traditional-music/Endangered-Micronesian-recordings/025M-CEAP115X4X27-017ZV0" TargetMode="External"/><Relationship Id="rId262" Type="http://schemas.openxmlformats.org/officeDocument/2006/relationships/hyperlink" Target="https://theglobaljukebox.org/?share=Fut-T5624R03" TargetMode="External"/><Relationship Id="rId567" Type="http://schemas.openxmlformats.org/officeDocument/2006/relationships/hyperlink" Target="https://theglobaljukebox.org/?share=Toco-T5476R49" TargetMode="External"/><Relationship Id="rId1197" Type="http://schemas.openxmlformats.org/officeDocument/2006/relationships/hyperlink" Target="https://folkways.si.edu/pulido-and-solorio-sisters-and-joaquin-bautista/rosa-de-castilla/american-indian-world/music/track/smithsonian" TargetMode="External"/><Relationship Id="rId2150" Type="http://schemas.openxmlformats.org/officeDocument/2006/relationships/hyperlink" Target="https://folkways.si.edu/l-h-correa-de-azevedo-music-of-ceara-and-minas-gerais/latin-world/music/album/smithsonian" TargetMode="External"/><Relationship Id="rId122" Type="http://schemas.openxmlformats.org/officeDocument/2006/relationships/hyperlink" Target="https://folkways.si.edu/assalalaa-from-baffin-land/music/track/smithsonian" TargetMode="External"/><Relationship Id="rId774" Type="http://schemas.openxmlformats.org/officeDocument/2006/relationships/hyperlink" Target="http://greenstone.ilam.ru.ac.za/collect/ilam/index/assoc/D17070.dir/HTFT540-L161-L3L5.mp3" TargetMode="External"/><Relationship Id="rId981" Type="http://schemas.openxmlformats.org/officeDocument/2006/relationships/hyperlink" Target="https://theglobaljukebox.org/" TargetMode="External"/><Relationship Id="rId1057" Type="http://schemas.openxmlformats.org/officeDocument/2006/relationships/hyperlink" Target="http://media.theglobaljukebox.org/audio/T5404R95.mp3" TargetMode="External"/><Relationship Id="rId2010" Type="http://schemas.openxmlformats.org/officeDocument/2006/relationships/hyperlink" Target="https://search-alexanderstreet-com.ezp-prod1.hul.harvard.edu/view/work/bibliographic_entity%7Crecorded_cd%7C71907" TargetMode="External"/><Relationship Id="rId427" Type="http://schemas.openxmlformats.org/officeDocument/2006/relationships/hyperlink" Target="https://theglobaljukebox.org/?share=Colombian%20Coastal%20Folk-T5481R01" TargetMode="External"/><Relationship Id="rId634" Type="http://schemas.openxmlformats.org/officeDocument/2006/relationships/hyperlink" Target="https://theglobaljukebox.org/?share=Samara%20Ob.-T5463R12" TargetMode="External"/><Relationship Id="rId841" Type="http://schemas.openxmlformats.org/officeDocument/2006/relationships/hyperlink" Target="http://media.theglobaljukebox.org/audio/T5484R19.mp3" TargetMode="External"/><Relationship Id="rId1264" Type="http://schemas.openxmlformats.org/officeDocument/2006/relationships/hyperlink" Target="https://sounds.bl.uk/World-and-traditional-music/Music-from-India/025M-RKDATX0002XX-0100V0" TargetMode="External"/><Relationship Id="rId1471" Type="http://schemas.openxmlformats.org/officeDocument/2006/relationships/hyperlink" Target="https://sounds.bl.uk/World-and-traditional-music/Colin-Huehns-Pakistan/025M-C0485X0052XX-2100V0" TargetMode="External"/><Relationship Id="rId1569" Type="http://schemas.openxmlformats.org/officeDocument/2006/relationships/hyperlink" Target="https://folkways.si.edu/avery-and-fidelia-jimerson/3-shaking-the-bush-dance-songs/american-indian/music/track/smithsonian" TargetMode="External"/><Relationship Id="rId2108" Type="http://schemas.openxmlformats.org/officeDocument/2006/relationships/hyperlink" Target="https://sounds.bl.uk/World-and-traditional-music/Endangered-Micronesian-recordings/025M-CEAP115X4X69-003ZV0" TargetMode="External"/><Relationship Id="rId701" Type="http://schemas.openxmlformats.org/officeDocument/2006/relationships/hyperlink" Target="https://folkways.si.edu/folk-music-of-india/world/album/smithsonian" TargetMode="External"/><Relationship Id="rId939" Type="http://schemas.openxmlformats.org/officeDocument/2006/relationships/hyperlink" Target="https://folkways.si.edu/vietnamese-lullaby/ho-ru-con/world/music/track/smithsonian" TargetMode="External"/><Relationship Id="rId1124" Type="http://schemas.openxmlformats.org/officeDocument/2006/relationships/hyperlink" Target="https://theglobaljukebox.org/?share=Pari-T5437R12" TargetMode="External"/><Relationship Id="rId1331" Type="http://schemas.openxmlformats.org/officeDocument/2006/relationships/hyperlink" Target="https://folkways.si.edu/annie-banda-ida-sakala-and-lekesina-banda/pounding-song-two-extracts-nzimbo-za-muwende/world/music/track/smithsonian" TargetMode="External"/><Relationship Id="rId1776" Type="http://schemas.openxmlformats.org/officeDocument/2006/relationships/hyperlink" Target="https://sounds.bl.uk/World-and-traditional-music/Vanishing-voices-from-the-Uralic-world/025M-CEAP3470185A-21XXV0" TargetMode="External"/><Relationship Id="rId1983" Type="http://schemas.openxmlformats.org/officeDocument/2006/relationships/hyperlink" Target="http://gofile.me/3T2hs/bpAPawoNt" TargetMode="External"/><Relationship Id="rId68" Type="http://schemas.openxmlformats.org/officeDocument/2006/relationships/hyperlink" Target="http://www.worldcat.org/oclc/55029585" TargetMode="External"/><Relationship Id="rId1429" Type="http://schemas.openxmlformats.org/officeDocument/2006/relationships/hyperlink" Target="https://theglobaljukebox.org/?share=Azande-T5434R27" TargetMode="External"/><Relationship Id="rId1636" Type="http://schemas.openxmlformats.org/officeDocument/2006/relationships/hyperlink" Target="https://folkways.si.edu/dabuyabarugu-inside-the-temple-sacred-music-of-the-garifuna-of-belize/american-indian-world/album/smithsonian" TargetMode="External"/><Relationship Id="rId1843" Type="http://schemas.openxmlformats.org/officeDocument/2006/relationships/hyperlink" Target="https://search.alexanderstreet.com/view/work/bibliographic_entity%7Crecorded_track%7C238690" TargetMode="External"/><Relationship Id="rId1703" Type="http://schemas.openxmlformats.org/officeDocument/2006/relationships/hyperlink" Target="https://theglobaljukebox.org/?share=Shipibo-T5402R14" TargetMode="External"/><Relationship Id="rId1910" Type="http://schemas.openxmlformats.org/officeDocument/2006/relationships/hyperlink" Target="http://media.theglobaljukebox.org/audio/T5467R30.mp3" TargetMode="External"/><Relationship Id="rId284" Type="http://schemas.openxmlformats.org/officeDocument/2006/relationships/hyperlink" Target="http://media.theglobaljukebox.org/audio/T5403R73.mp3" TargetMode="External"/><Relationship Id="rId491" Type="http://schemas.openxmlformats.org/officeDocument/2006/relationships/hyperlink" Target="https://theglobaljukebox.org/?share=Nevis-T5478R44" TargetMode="External"/><Relationship Id="rId2172" Type="http://schemas.openxmlformats.org/officeDocument/2006/relationships/hyperlink" Target="https://folkways.si.edu/adolf-stark-and-aino-karelia/tuomi-on-virran-reunalla-besides-the-stream/world/music/track/smithsonian" TargetMode="External"/><Relationship Id="rId144" Type="http://schemas.openxmlformats.org/officeDocument/2006/relationships/hyperlink" Target="http://media.theglobaljukebox.org/audio/T5403R27.mp3" TargetMode="External"/><Relationship Id="rId589" Type="http://schemas.openxmlformats.org/officeDocument/2006/relationships/hyperlink" Target="https://theglobaljukebox.org/?share=Bulu-T5458R19" TargetMode="External"/><Relationship Id="rId796" Type="http://schemas.openxmlformats.org/officeDocument/2006/relationships/hyperlink" Target="http://media.theglobaljukebox.org/audio/T5414R30.mp3" TargetMode="External"/><Relationship Id="rId351" Type="http://schemas.openxmlformats.org/officeDocument/2006/relationships/hyperlink" Target="http://media.theglobaljukebox.org/audio/T5443R31.mp3" TargetMode="External"/><Relationship Id="rId449" Type="http://schemas.openxmlformats.org/officeDocument/2006/relationships/hyperlink" Target="https://theglobaljukebox.org/?share=Wich%C3%AD-T5401R45" TargetMode="External"/><Relationship Id="rId656" Type="http://schemas.openxmlformats.org/officeDocument/2006/relationships/hyperlink" Target="https://folkways.si.edu/tangtakore-story-song-from-the-northwest-frontier-district/central-asia-islamica-world/music/track/smithsonian" TargetMode="External"/><Relationship Id="rId863" Type="http://schemas.openxmlformats.org/officeDocument/2006/relationships/hyperlink" Target="http://media.theglobaljukebox.org/audio/T5614R05.mp3" TargetMode="External"/><Relationship Id="rId1079" Type="http://schemas.openxmlformats.org/officeDocument/2006/relationships/hyperlink" Target="https://theglobaljukebox.org/?share=Kouyou-T5521R21" TargetMode="External"/><Relationship Id="rId1286" Type="http://schemas.openxmlformats.org/officeDocument/2006/relationships/hyperlink" Target="https://theglobaljukebox.org/?share=Abkhazia-T5413R01" TargetMode="External"/><Relationship Id="rId1493" Type="http://schemas.openxmlformats.org/officeDocument/2006/relationships/hyperlink" Target="https://archives.crem-cnrs.fr/archives/items/CNRSMH_I_1983_001_029_06/" TargetMode="External"/><Relationship Id="rId2032" Type="http://schemas.openxmlformats.org/officeDocument/2006/relationships/hyperlink" Target="https://folkways.si.edu/jose-lopez-margarita-molinari/the-smoking-pipe/carancho/chichili/toyaqa/the-sea-wolf/american-indian-world/music/track/smithsonian" TargetMode="External"/><Relationship Id="rId211" Type="http://schemas.openxmlformats.org/officeDocument/2006/relationships/hyperlink" Target="https://theglobaljukebox.org/?share=Dorla-T5419R07m" TargetMode="External"/><Relationship Id="rId309" Type="http://schemas.openxmlformats.org/officeDocument/2006/relationships/hyperlink" Target="http://media.theglobaljukebox.org/audio/T5449R01.mp3" TargetMode="External"/><Relationship Id="rId516" Type="http://schemas.openxmlformats.org/officeDocument/2006/relationships/hyperlink" Target="http://ampm.auckland.ac.nz/handle/id/72942" TargetMode="External"/><Relationship Id="rId1146" Type="http://schemas.openxmlformats.org/officeDocument/2006/relationships/hyperlink" Target="http://media.theglobaljukebox.org/audio/T5426R56.mp3" TargetMode="External"/><Relationship Id="rId1798" Type="http://schemas.openxmlformats.org/officeDocument/2006/relationships/hyperlink" Target="http://sami.bl.uk/uhtbin/cgisirsi/?ps=z5Y8UEheIm/WORKS-FILE/57150033/9" TargetMode="External"/><Relationship Id="rId723" Type="http://schemas.openxmlformats.org/officeDocument/2006/relationships/hyperlink" Target="http://media.theglobaljukebox.org/audio/T5443R23.mp3" TargetMode="External"/><Relationship Id="rId930" Type="http://schemas.openxmlformats.org/officeDocument/2006/relationships/hyperlink" Target="https://theglobaljukebox.org/?share=Ulster-T5465R04" TargetMode="External"/><Relationship Id="rId1006" Type="http://schemas.openxmlformats.org/officeDocument/2006/relationships/hyperlink" Target="https://theglobaljukebox.org/" TargetMode="External"/><Relationship Id="rId1353" Type="http://schemas.openxmlformats.org/officeDocument/2006/relationships/hyperlink" Target="http://gofile.me/3T2hs/7oE3Mxhn9" TargetMode="External"/><Relationship Id="rId1560" Type="http://schemas.openxmlformats.org/officeDocument/2006/relationships/hyperlink" Target="https://folkways.si.edu/lullabies-of-the-world/childrens/music/album/smithsonian" TargetMode="External"/><Relationship Id="rId1658" Type="http://schemas.openxmlformats.org/officeDocument/2006/relationships/hyperlink" Target="https://search.alexanderstreet.com/preview/work/bibliographic_entity%7Crecorded_cd%7C776444" TargetMode="External"/><Relationship Id="rId1865" Type="http://schemas.openxmlformats.org/officeDocument/2006/relationships/hyperlink" Target="http://gofile.me/3T2hs/DeY0nFAgU" TargetMode="External"/><Relationship Id="rId1213" Type="http://schemas.openxmlformats.org/officeDocument/2006/relationships/hyperlink" Target="https://archives.crem-cnrs.fr/archives/items/CNRSMH_E_2011_022_001_001_06/" TargetMode="External"/><Relationship Id="rId1420" Type="http://schemas.openxmlformats.org/officeDocument/2006/relationships/hyperlink" Target="http://gofile.me/3T2hs/BxgjBNeKb" TargetMode="External"/><Relationship Id="rId1518" Type="http://schemas.openxmlformats.org/officeDocument/2006/relationships/hyperlink" Target="http://gofile.me/3T2hs/2XLaAH9Bd" TargetMode="External"/><Relationship Id="rId1725" Type="http://schemas.openxmlformats.org/officeDocument/2006/relationships/hyperlink" Target="https://theglobaljukebox.org/?share=Macedonia-T5522R21" TargetMode="External"/><Relationship Id="rId1932" Type="http://schemas.openxmlformats.org/officeDocument/2006/relationships/hyperlink" Target="https://folkways.si.edu/yirritja-and-dhuwa-moieties/sacred-song/world/music/track/smithsonian" TargetMode="External"/><Relationship Id="rId17" Type="http://schemas.openxmlformats.org/officeDocument/2006/relationships/hyperlink" Target="http://www.worldcat.org/oclc/3237924" TargetMode="External"/><Relationship Id="rId2194" Type="http://schemas.openxmlformats.org/officeDocument/2006/relationships/hyperlink" Target="https://archives.crem-cnrs.fr/archives/items/CNRSMH_I_2000_004_016_14/" TargetMode="External"/><Relationship Id="rId166" Type="http://schemas.openxmlformats.org/officeDocument/2006/relationships/hyperlink" Target="https://theglobaljukebox.org/?share=Jamaica-T5473R10" TargetMode="External"/><Relationship Id="rId373" Type="http://schemas.openxmlformats.org/officeDocument/2006/relationships/hyperlink" Target="https://www.discogs.com/Various-Folk-Music-Of-India/release/5260725" TargetMode="External"/><Relationship Id="rId580" Type="http://schemas.openxmlformats.org/officeDocument/2006/relationships/hyperlink" Target="http://media.theglobaljukebox.org/audio/T5435R18.mp3" TargetMode="External"/><Relationship Id="rId2054" Type="http://schemas.openxmlformats.org/officeDocument/2006/relationships/hyperlink" Target="https://sounds.bl.uk/World-and-traditional-music/Endangered-Micronesian-recordings/025M-CEAP115X4X84-002ZV0" TargetMode="External"/><Relationship Id="rId1" Type="http://schemas.openxmlformats.org/officeDocument/2006/relationships/hyperlink" Target="http://www.worldcat.org/oclc/830532278" TargetMode="External"/><Relationship Id="rId233" Type="http://schemas.openxmlformats.org/officeDocument/2006/relationships/hyperlink" Target="https://sounds.bl.uk/World-and-traditional-music/Vanishing-voices-from-the-Uralic-world/025M-CEAP3470563B-10XXV0" TargetMode="External"/><Relationship Id="rId440" Type="http://schemas.openxmlformats.org/officeDocument/2006/relationships/hyperlink" Target="https://theglobaljukebox.org/?share=Mapuche-T5401R30m" TargetMode="External"/><Relationship Id="rId678" Type="http://schemas.openxmlformats.org/officeDocument/2006/relationships/hyperlink" Target="http://www.worldcat.org/oclc/3100954" TargetMode="External"/><Relationship Id="rId885" Type="http://schemas.openxmlformats.org/officeDocument/2006/relationships/hyperlink" Target="https://folkways.si.edu/dance-music/islamica-world/music/track/smithsonian" TargetMode="External"/><Relationship Id="rId1070" Type="http://schemas.openxmlformats.org/officeDocument/2006/relationships/hyperlink" Target="https://theglobaljukebox.org/?share=Luo%20Gang-T5438R13" TargetMode="External"/><Relationship Id="rId2121" Type="http://schemas.openxmlformats.org/officeDocument/2006/relationships/hyperlink" Target="https://folkways.si.edu/walapai-funeral-song/american-indian/music/track/smithsonian" TargetMode="External"/><Relationship Id="rId300" Type="http://schemas.openxmlformats.org/officeDocument/2006/relationships/hyperlink" Target="http://media.theglobaljukebox.org/audio/T45020.mp3" TargetMode="External"/><Relationship Id="rId538" Type="http://schemas.openxmlformats.org/officeDocument/2006/relationships/hyperlink" Target="https://search-alexanderstreet-com.ezp-prod1.hul.harvard.edu/view/work/bibliographic_entity%7Crecorded_cd%7C511039" TargetMode="External"/><Relationship Id="rId745" Type="http://schemas.openxmlformats.org/officeDocument/2006/relationships/hyperlink" Target="http://greenstone.ilam.ru.ac.za/collect/ilam/index/assoc/D16449.dir/DD112-13.mp3" TargetMode="External"/><Relationship Id="rId952" Type="http://schemas.openxmlformats.org/officeDocument/2006/relationships/hyperlink" Target="https://theglobaljukebox.org/?share=Uyghur-T5490R06" TargetMode="External"/><Relationship Id="rId1168" Type="http://schemas.openxmlformats.org/officeDocument/2006/relationships/hyperlink" Target="https://folkways.si.edu/music-of-the-miskito-indians-of-honduras-and-nicaragua/american-indian-struggle-protest-world/album/smithsonian" TargetMode="External"/><Relationship Id="rId1375" Type="http://schemas.openxmlformats.org/officeDocument/2006/relationships/hyperlink" Target="http://media.theglobaljukebox.org/audio/T5430R37.mp3" TargetMode="External"/><Relationship Id="rId1582" Type="http://schemas.openxmlformats.org/officeDocument/2006/relationships/hyperlink" Target="http://www.worldcat.org/title/nuevo-dia/oclc/699817049&amp;referer=brief_results" TargetMode="External"/><Relationship Id="rId81" Type="http://schemas.openxmlformats.org/officeDocument/2006/relationships/hyperlink" Target="http://www.worldcat.org/title/historical-album-of-blackfoot-indian-music/oclc/51601305" TargetMode="External"/><Relationship Id="rId605" Type="http://schemas.openxmlformats.org/officeDocument/2006/relationships/hyperlink" Target="http://media.theglobaljukebox.org/audio/T5435R25.mp3" TargetMode="External"/><Relationship Id="rId812" Type="http://schemas.openxmlformats.org/officeDocument/2006/relationships/hyperlink" Target="http://media.theglobaljukebox.org/audio/T30220.mp3" TargetMode="External"/><Relationship Id="rId1028" Type="http://schemas.openxmlformats.org/officeDocument/2006/relationships/hyperlink" Target="https://theglobaljukebox.org/?share=Baggara-T5626R19m" TargetMode="External"/><Relationship Id="rId1235" Type="http://schemas.openxmlformats.org/officeDocument/2006/relationships/hyperlink" Target="https://folkways.si.edu/the-spirit-cries-music-from-the-rainforests-of-south-america-the-caribbean/world/album/smithsonian" TargetMode="External"/><Relationship Id="rId1442" Type="http://schemas.openxmlformats.org/officeDocument/2006/relationships/hyperlink" Target="http://media.theglobaljukebox.org/audio/T5428R15.mp3" TargetMode="External"/><Relationship Id="rId1887" Type="http://schemas.openxmlformats.org/officeDocument/2006/relationships/hyperlink" Target="http://gofile.me/3T2hs/e5cyjEzDh" TargetMode="External"/><Relationship Id="rId1302" Type="http://schemas.openxmlformats.org/officeDocument/2006/relationships/hyperlink" Target="https://theglobaljukebox.org/?share=Adouma-T5459R10" TargetMode="External"/><Relationship Id="rId1747" Type="http://schemas.openxmlformats.org/officeDocument/2006/relationships/hyperlink" Target="https://theglobaljukebox.org/" TargetMode="External"/><Relationship Id="rId1954" Type="http://schemas.openxmlformats.org/officeDocument/2006/relationships/hyperlink" Target="https://sounds.bl.uk/World-and-traditional-music/Ethnographic-wax-cylinders/025M-C0080X1050XX-0100V0" TargetMode="External"/><Relationship Id="rId39" Type="http://schemas.openxmlformats.org/officeDocument/2006/relationships/hyperlink" Target="http://www.worldcat.org/oclc/38134878" TargetMode="External"/><Relationship Id="rId1607" Type="http://schemas.openxmlformats.org/officeDocument/2006/relationships/hyperlink" Target="http://gofile.me/3T2hs/Fgfwtj7h4" TargetMode="External"/><Relationship Id="rId1814" Type="http://schemas.openxmlformats.org/officeDocument/2006/relationships/hyperlink" Target="http://id.lib.harvard.edu/alma/990049099310203941/catalog" TargetMode="External"/><Relationship Id="rId188" Type="http://schemas.openxmlformats.org/officeDocument/2006/relationships/hyperlink" Target="https://sounds.bl.uk/World-and-traditional-music/Peter-Cooke-Uganda/025M-C0023X0009XX-0800V0" TargetMode="External"/><Relationship Id="rId395" Type="http://schemas.openxmlformats.org/officeDocument/2006/relationships/hyperlink" Target="http://ampm.auckland.ac.nz/handle/id/86955" TargetMode="External"/><Relationship Id="rId2076" Type="http://schemas.openxmlformats.org/officeDocument/2006/relationships/hyperlink" Target="https://sounds.bl.uk/World-and-traditional-music/Endangered-Micronesian-recordings/025M-CEAP115X4X84-003ZV0" TargetMode="External"/><Relationship Id="rId255" Type="http://schemas.openxmlformats.org/officeDocument/2006/relationships/hyperlink" Target="https://theglobaljukebox.org/?share=So%E2%80%99to-T5404R37m" TargetMode="External"/><Relationship Id="rId462" Type="http://schemas.openxmlformats.org/officeDocument/2006/relationships/hyperlink" Target="http://www.worldcat.org/title/songs-from-the-kimberleys-aboriginal-music-from-the-kimberley-region-of-western-australia/oclc/767510325&amp;referer=brief_results" TargetMode="External"/><Relationship Id="rId1092" Type="http://schemas.openxmlformats.org/officeDocument/2006/relationships/hyperlink" Target="https://folkways.si.edu/female-singers/song-of-two-women-grating-manioc/islamica-world/music/track/smithsonian" TargetMode="External"/><Relationship Id="rId1397" Type="http://schemas.openxmlformats.org/officeDocument/2006/relationships/hyperlink" Target="http://www.worldcat.org/title/folksongs-of-mexico-canciones-de-mexico/oclc/42236366&amp;referer=brief_results" TargetMode="External"/><Relationship Id="rId2143" Type="http://schemas.openxmlformats.org/officeDocument/2006/relationships/hyperlink" Target="https://theglobaljukebox.org/?share=Seri-T5405R43" TargetMode="External"/><Relationship Id="rId115" Type="http://schemas.openxmlformats.org/officeDocument/2006/relationships/hyperlink" Target="https://folkways.si.edu/the-eskimos-of-hudson-bay-and-alaska/american-indian/music/album/smithsonian" TargetMode="External"/><Relationship Id="rId322" Type="http://schemas.openxmlformats.org/officeDocument/2006/relationships/hyperlink" Target="https://theglobaljukebox.org/?share=Maori-T5429R05" TargetMode="External"/><Relationship Id="rId767" Type="http://schemas.openxmlformats.org/officeDocument/2006/relationships/hyperlink" Target="http://greenstone.ilam.ru.ac.za/collect/ilam/index/assoc/D1112.dir/CR0079-XYZ4450.mp3" TargetMode="External"/><Relationship Id="rId974" Type="http://schemas.openxmlformats.org/officeDocument/2006/relationships/hyperlink" Target="http://www.folkways.si.edu/TrackDetails.aspx?itemid=23779" TargetMode="External"/><Relationship Id="rId2003" Type="http://schemas.openxmlformats.org/officeDocument/2006/relationships/hyperlink" Target="https://search-alexanderstreet-com.ezp-prod1.hul.harvard.edu/view/work/bibliographic_entity%7Crecorded_track%7C245817" TargetMode="External"/><Relationship Id="rId627" Type="http://schemas.openxmlformats.org/officeDocument/2006/relationships/hyperlink" Target="https://theglobaljukebox.org/?share=Kirovskaya%20Ob.-T5463R21" TargetMode="External"/><Relationship Id="rId834" Type="http://schemas.openxmlformats.org/officeDocument/2006/relationships/hyperlink" Target="http://media.theglobaljukebox.org/audio/T5628R13.mp3" TargetMode="External"/><Relationship Id="rId1257" Type="http://schemas.openxmlformats.org/officeDocument/2006/relationships/hyperlink" Target="https://theglobaljukebox.org/?share=Afro-Colombian-T5621R13m" TargetMode="External"/><Relationship Id="rId1464" Type="http://schemas.openxmlformats.org/officeDocument/2006/relationships/hyperlink" Target="https://search.alexanderstreet.com/preview/work/bibliographic_entity%7Crecorded_cd%7C612193" TargetMode="External"/><Relationship Id="rId1671" Type="http://schemas.openxmlformats.org/officeDocument/2006/relationships/hyperlink" Target="https://w.soundcloud.com/player/?url=https%3A//api.soundcloud.com/tracks/150248019&amp;auto_play=false&amp;hide_related=false&amp;show_comments=false&amp;show_user=false&amp;show_reposts=false&amp;visual=false&amp;show_artwork=false" TargetMode="External"/><Relationship Id="rId901" Type="http://schemas.openxmlformats.org/officeDocument/2006/relationships/hyperlink" Target="https://folkways.si.edu/jaap-kunst/living-folksongs-and-dance-tunes-from-the-netherlands/holiday-world/music/album/smithsonian" TargetMode="External"/><Relationship Id="rId1117" Type="http://schemas.openxmlformats.org/officeDocument/2006/relationships/hyperlink" Target="http://greenstone.ilam.ru.ac.za/cgi-bin/library?e=q-01000-00---0ilam--00-1--0-10-0---0---0prompt-10-DC--4-------0-1l--11-en-50---20-about-healing--00-3-1-00-0011-1-0utfZz-8-00&amp;a=d&amp;c=ilam&amp;srp=0&amp;srn=0&amp;cl=search&amp;d=D28640" TargetMode="External"/><Relationship Id="rId1324" Type="http://schemas.openxmlformats.org/officeDocument/2006/relationships/hyperlink" Target="https://search.alexanderstreet.com/preview/work/bibliographic_entity%7Cliner_notes%7C2258560" TargetMode="External"/><Relationship Id="rId1531" Type="http://schemas.openxmlformats.org/officeDocument/2006/relationships/hyperlink" Target="https://theglobaljukebox.org/?share=Luba-T5454R20" TargetMode="External"/><Relationship Id="rId1769" Type="http://schemas.openxmlformats.org/officeDocument/2006/relationships/hyperlink" Target="https://theglobaljukebox.org/?share=Strpci-T5463R49" TargetMode="External"/><Relationship Id="rId1976" Type="http://schemas.openxmlformats.org/officeDocument/2006/relationships/hyperlink" Target="https://theglobaljukebox.org/?share=Danzig-T5465R13" TargetMode="External"/><Relationship Id="rId30" Type="http://schemas.openxmlformats.org/officeDocument/2006/relationships/hyperlink" Target="http://www.worldcat.org/oclc/44399671" TargetMode="External"/><Relationship Id="rId1629" Type="http://schemas.openxmlformats.org/officeDocument/2006/relationships/hyperlink" Target="https://folkways.si.edu/chatuye/heartbeat-in-the-music/world/music/album/smithsonian" TargetMode="External"/><Relationship Id="rId1836" Type="http://schemas.openxmlformats.org/officeDocument/2006/relationships/hyperlink" Target="https://archives.crem-cnrs.fr/archives/items/CNRSMH_I_1963_006_001_35/" TargetMode="External"/><Relationship Id="rId1903" Type="http://schemas.openxmlformats.org/officeDocument/2006/relationships/hyperlink" Target="http://gofile.me/3T2hs/qJyRE9w7F" TargetMode="External"/><Relationship Id="rId2098" Type="http://schemas.openxmlformats.org/officeDocument/2006/relationships/hyperlink" Target="https://sounds.bl.uk/World-and-traditional-music/Endangered-Micronesian-recordings/025M-CEAP115X4X99-001ZV0" TargetMode="External"/><Relationship Id="rId277" Type="http://schemas.openxmlformats.org/officeDocument/2006/relationships/hyperlink" Target="https://theglobaljukebox.org/?share=Tikopia-T5428R54" TargetMode="External"/><Relationship Id="rId484" Type="http://schemas.openxmlformats.org/officeDocument/2006/relationships/hyperlink" Target="http://colsearch.nfsa.gov.au/nfsa/search/display/display.w3p;adv=;group=;groupequals=;holdingType=;page=0;parentid=;query=Aboriginal%20Music%20From%20The%20Northern%20Territory%20Of%20Australia,%201948;querytype=;rec=0;resCount=10" TargetMode="External"/><Relationship Id="rId2165" Type="http://schemas.openxmlformats.org/officeDocument/2006/relationships/hyperlink" Target="https://folkways.si.edu/billy-assu/wolf-song-2/american-indian/music/track/smithsonian" TargetMode="External"/><Relationship Id="rId137" Type="http://schemas.openxmlformats.org/officeDocument/2006/relationships/hyperlink" Target="http://media.theglobaljukebox.org/audio/T5403R65.mp3" TargetMode="External"/><Relationship Id="rId344" Type="http://schemas.openxmlformats.org/officeDocument/2006/relationships/hyperlink" Target="http://media.theglobaljukebox.org/audio/T5438R27.mp3" TargetMode="External"/><Relationship Id="rId691" Type="http://schemas.openxmlformats.org/officeDocument/2006/relationships/hyperlink" Target="http://media.theglobaljukebox.org/audio/T5457R13.mp3" TargetMode="External"/><Relationship Id="rId789" Type="http://schemas.openxmlformats.org/officeDocument/2006/relationships/hyperlink" Target="https://folkways.si.edu/otis-ahkivigak/story-songs-boy-resting-by-the-river-nooneedle-bird-man-who-was-not-a-good-hunter/american-indian/music/track/smithsonian" TargetMode="External"/><Relationship Id="rId996" Type="http://schemas.openxmlformats.org/officeDocument/2006/relationships/hyperlink" Target="http://theglobaljukebox.org/audio/T5617R03.mp3" TargetMode="External"/><Relationship Id="rId2025" Type="http://schemas.openxmlformats.org/officeDocument/2006/relationships/hyperlink" Target="https://folkways.si.edu/cimarron/joropo-music-from-the-plains-of-colombia/latin-world/album/smithsonian" TargetMode="External"/><Relationship Id="rId551" Type="http://schemas.openxmlformats.org/officeDocument/2006/relationships/hyperlink" Target="http://ampm.auckland.ac.nz/handle/id/87112" TargetMode="External"/><Relationship Id="rId649" Type="http://schemas.openxmlformats.org/officeDocument/2006/relationships/hyperlink" Target="https://theglobaljukebox.org/?share=Lithuania%20Gen.-T30113" TargetMode="External"/><Relationship Id="rId856" Type="http://schemas.openxmlformats.org/officeDocument/2006/relationships/hyperlink" Target="http://media.theglobaljukebox.org/audio/T5482R28.mp3" TargetMode="External"/><Relationship Id="rId1181" Type="http://schemas.openxmlformats.org/officeDocument/2006/relationships/hyperlink" Target="https://folkways.si.edu/helene-tronsmo-and-ingeborg-jordet/cattle-calls/world/music/track/smithsonian" TargetMode="External"/><Relationship Id="rId1279" Type="http://schemas.openxmlformats.org/officeDocument/2006/relationships/hyperlink" Target="https://theglobaljukebox.org/?share=Hunedoara-T5589R21" TargetMode="External"/><Relationship Id="rId1486" Type="http://schemas.openxmlformats.org/officeDocument/2006/relationships/hyperlink" Target="https://folkways.si.edu/mungo-martin/mm-46-play-song/american-indian/music/track/smithsonian" TargetMode="External"/><Relationship Id="rId204" Type="http://schemas.openxmlformats.org/officeDocument/2006/relationships/hyperlink" Target="https://theglobaljukebox.org/?share=Bhil-T5416R28" TargetMode="External"/><Relationship Id="rId411" Type="http://schemas.openxmlformats.org/officeDocument/2006/relationships/hyperlink" Target="http://ampm.auckland.ac.nz/handle/id/66858" TargetMode="External"/><Relationship Id="rId509" Type="http://schemas.openxmlformats.org/officeDocument/2006/relationships/hyperlink" Target="https://theglobaljukebox.org/?share=Toco-T5476R50" TargetMode="External"/><Relationship Id="rId1041" Type="http://schemas.openxmlformats.org/officeDocument/2006/relationships/hyperlink" Target="https://folkways.si.edu/ulzhan-baibussynova/talim-didactic-song/central-asia-islamica-world/music/track/smithsonian" TargetMode="External"/><Relationship Id="rId1139" Type="http://schemas.openxmlformats.org/officeDocument/2006/relationships/hyperlink" Target="https://theglobaljukebox.org/?share=Wix%C3%A1ritari-T5405R06" TargetMode="External"/><Relationship Id="rId1346" Type="http://schemas.openxmlformats.org/officeDocument/2006/relationships/hyperlink" Target="http://gofile.me/3T2hs/BSo66lCfp" TargetMode="External"/><Relationship Id="rId1693" Type="http://schemas.openxmlformats.org/officeDocument/2006/relationships/hyperlink" Target="http://richardkwolf.com/subramanis-oppari/" TargetMode="External"/><Relationship Id="rId1998" Type="http://schemas.openxmlformats.org/officeDocument/2006/relationships/hyperlink" Target="http://www.worldcat.org/title/world-music/oclc/772956606?lang=en" TargetMode="External"/><Relationship Id="rId716" Type="http://schemas.openxmlformats.org/officeDocument/2006/relationships/hyperlink" Target="http://media.theglobaljukebox.org/audio/T5439R47.mp3" TargetMode="External"/><Relationship Id="rId923" Type="http://schemas.openxmlformats.org/officeDocument/2006/relationships/hyperlink" Target="https://theglobaljukebox.org/?share=Ulster-T5464R63m" TargetMode="External"/><Relationship Id="rId1553" Type="http://schemas.openxmlformats.org/officeDocument/2006/relationships/hyperlink" Target="http://www.worldcat.org/title/sacred-path-spells-prayers-power-songs-of-the-american-indians/oclc/10020978&amp;referer=brief_results" TargetMode="External"/><Relationship Id="rId1760" Type="http://schemas.openxmlformats.org/officeDocument/2006/relationships/hyperlink" Target="http://gofile.me/3T2hs/GuY5hz8X9" TargetMode="External"/><Relationship Id="rId1858" Type="http://schemas.openxmlformats.org/officeDocument/2006/relationships/hyperlink" Target="https://theglobaljukebox.org/?share=Chipaya-T5543R49" TargetMode="External"/><Relationship Id="rId52" Type="http://schemas.openxmlformats.org/officeDocument/2006/relationships/hyperlink" Target="http://www.worldcat.org/oclc/1061508" TargetMode="External"/><Relationship Id="rId1206" Type="http://schemas.openxmlformats.org/officeDocument/2006/relationships/hyperlink" Target="https://folkways.si.edu/los-hermanos-lovo/soy-salvadoreno-chanchona-music-from-eastern-el-salvador/latin/album/smithsonian" TargetMode="External"/><Relationship Id="rId1413" Type="http://schemas.openxmlformats.org/officeDocument/2006/relationships/hyperlink" Target="http://gofile.me/3T2hs/MpnkuHTfp" TargetMode="External"/><Relationship Id="rId1620" Type="http://schemas.openxmlformats.org/officeDocument/2006/relationships/hyperlink" Target="http://media.theglobaljukebox.org/audio/T5614R02m.mp3" TargetMode="External"/><Relationship Id="rId1718" Type="http://schemas.openxmlformats.org/officeDocument/2006/relationships/hyperlink" Target="https://theglobaljukebox.org/?share=Bucharest%20Prov.-T5469R54" TargetMode="External"/><Relationship Id="rId1925" Type="http://schemas.openxmlformats.org/officeDocument/2006/relationships/hyperlink" Target="https://theglobaljukebox.org/?share=Austria-T5595R25" TargetMode="External"/><Relationship Id="rId299" Type="http://schemas.openxmlformats.org/officeDocument/2006/relationships/hyperlink" Target="http://media.theglobaljukebox.org/audio/T5625R14m.mp3" TargetMode="External"/><Relationship Id="rId2187" Type="http://schemas.openxmlformats.org/officeDocument/2006/relationships/hyperlink" Target="https://archives.crem-cnrs.fr/archives/items/CNRSMH_I_2000_004_015_07/" TargetMode="External"/><Relationship Id="rId159" Type="http://schemas.openxmlformats.org/officeDocument/2006/relationships/hyperlink" Target="http://media.theglobaljukebox.org/audio/T5403R88m.mp3" TargetMode="External"/><Relationship Id="rId366" Type="http://schemas.openxmlformats.org/officeDocument/2006/relationships/hyperlink" Target="https://www.discogs.com/Various-Lower-Caste-Religious-Music-From-India-Monks-Transvestites-Midwives-And-Folksingers/release/1926057" TargetMode="External"/><Relationship Id="rId573" Type="http://schemas.openxmlformats.org/officeDocument/2006/relationships/hyperlink" Target="https://theglobaljukebox.org/?share=Anguilla-T5478R56" TargetMode="External"/><Relationship Id="rId780" Type="http://schemas.openxmlformats.org/officeDocument/2006/relationships/hyperlink" Target="https://theglobaljukebox.org/?share=Loma-T5459R41" TargetMode="External"/><Relationship Id="rId2047" Type="http://schemas.openxmlformats.org/officeDocument/2006/relationships/hyperlink" Target="https://theglobaljukebox.org/?share=Palau-T5427R09" TargetMode="External"/><Relationship Id="rId226" Type="http://schemas.openxmlformats.org/officeDocument/2006/relationships/hyperlink" Target="http://media.theglobaljukebox.org/audio/T5463R29.mp3" TargetMode="External"/><Relationship Id="rId433" Type="http://schemas.openxmlformats.org/officeDocument/2006/relationships/hyperlink" Target="https://theglobaljukebox.org/?share=Ember%C3%A1-T5524R02" TargetMode="External"/><Relationship Id="rId878" Type="http://schemas.openxmlformats.org/officeDocument/2006/relationships/hyperlink" Target="http://media.theglobaljukebox.org/audio/T5424R41.mp3" TargetMode="External"/><Relationship Id="rId1063" Type="http://schemas.openxmlformats.org/officeDocument/2006/relationships/hyperlink" Target="https://theglobaljukebox.org/?share=Wales-T5591R15" TargetMode="External"/><Relationship Id="rId1270" Type="http://schemas.openxmlformats.org/officeDocument/2006/relationships/hyperlink" Target="https://theglobaljukebox.org/?share=Rhodope-T5559R08" TargetMode="External"/><Relationship Id="rId2114" Type="http://schemas.openxmlformats.org/officeDocument/2006/relationships/hyperlink" Target="https://folkways.si.edu/los-tres-paraguayos/guantanamera/latin-american-hits/world/music/album/smithsonian" TargetMode="External"/><Relationship Id="rId640" Type="http://schemas.openxmlformats.org/officeDocument/2006/relationships/hyperlink" Target="https://theglobaljukebox.org/?share=Kursk%20Ob.-T5463R28" TargetMode="External"/><Relationship Id="rId738" Type="http://schemas.openxmlformats.org/officeDocument/2006/relationships/hyperlink" Target="http://greenstone.ilam.ru.ac.za/collect/ilam/index/assoc/D31020.dir/AC0706-E2B4.mp3" TargetMode="External"/><Relationship Id="rId945" Type="http://schemas.openxmlformats.org/officeDocument/2006/relationships/hyperlink" Target="https://theglobaljukebox.org/?share=Piemonte-T5471R29" TargetMode="External"/><Relationship Id="rId1368" Type="http://schemas.openxmlformats.org/officeDocument/2006/relationships/hyperlink" Target="http://gofile.me/3T2hs/SpPyjtnnh" TargetMode="External"/><Relationship Id="rId1575" Type="http://schemas.openxmlformats.org/officeDocument/2006/relationships/hyperlink" Target="http://www.worldcat.org/title/dos-canciones-con-acompanamiento-de-piano/oclc/2809191&amp;referer=brief_results" TargetMode="External"/><Relationship Id="rId1782" Type="http://schemas.openxmlformats.org/officeDocument/2006/relationships/hyperlink" Target="https://sounds.bl.uk/World-and-traditional-music/Vanishing-voices-from-the-Uralic-world/025M-CEAP3470382A-13XXV0" TargetMode="External"/><Relationship Id="rId74" Type="http://schemas.openxmlformats.org/officeDocument/2006/relationships/hyperlink" Target="http://www.worldcat.org/oclc/65178247" TargetMode="External"/><Relationship Id="rId500" Type="http://schemas.openxmlformats.org/officeDocument/2006/relationships/hyperlink" Target="http://ampm.auckland.ac.nz/handle/id/66721" TargetMode="External"/><Relationship Id="rId805" Type="http://schemas.openxmlformats.org/officeDocument/2006/relationships/hyperlink" Target="https://theglobaljukebox.org/?share=Turkey-T5482R44" TargetMode="External"/><Relationship Id="rId1130" Type="http://schemas.openxmlformats.org/officeDocument/2006/relationships/hyperlink" Target="https://theglobaljukebox.org/?share=Wix%C3%A1ritari-T5405R09" TargetMode="External"/><Relationship Id="rId1228" Type="http://schemas.openxmlformats.org/officeDocument/2006/relationships/hyperlink" Target="https://theglobaljukebox.org/" TargetMode="External"/><Relationship Id="rId1435" Type="http://schemas.openxmlformats.org/officeDocument/2006/relationships/hyperlink" Target="http://media.theglobaljukebox.org/audio/T5428R22.mp3" TargetMode="External"/><Relationship Id="rId1642" Type="http://schemas.openxmlformats.org/officeDocument/2006/relationships/hyperlink" Target="https://search.alexanderstreet.com/preview/work/bibliographic_entity%7Crecorded_cd%7C891378" TargetMode="External"/><Relationship Id="rId1947" Type="http://schemas.openxmlformats.org/officeDocument/2006/relationships/hyperlink" Target="https://theglobaljukebox.org/?share=N.%20Rhine-Westphalia-T5464R19" TargetMode="External"/><Relationship Id="rId1502" Type="http://schemas.openxmlformats.org/officeDocument/2006/relationships/hyperlink" Target="https://folkways.si.edu/italian-folk-songs-and-dances/world/music/album/smithsonian" TargetMode="External"/><Relationship Id="rId1807" Type="http://schemas.openxmlformats.org/officeDocument/2006/relationships/hyperlink" Target="https://folkways.si.edu/afro-hispanic-music-from-western-colombia-and-ecuador/african-american-music-latin-world/music/album/smithsonian" TargetMode="External"/><Relationship Id="rId290" Type="http://schemas.openxmlformats.org/officeDocument/2006/relationships/hyperlink" Target="http://media.theglobaljukebox.org/audio/T5559R18.mp3" TargetMode="External"/><Relationship Id="rId388" Type="http://schemas.openxmlformats.org/officeDocument/2006/relationships/hyperlink" Target="http://gofile.me/3T2hs/Fiy6it30E" TargetMode="External"/><Relationship Id="rId2069" Type="http://schemas.openxmlformats.org/officeDocument/2006/relationships/hyperlink" Target="https://sounds.bl.uk/World-and-traditional-music/Endangered-Micronesian-recordings/025M-CEAP115X4X93-001ZV0" TargetMode="External"/><Relationship Id="rId150" Type="http://schemas.openxmlformats.org/officeDocument/2006/relationships/hyperlink" Target="https://folkways.si.edu/tasga-drama-group-tokamalirawo-aids-support-group-awareness/fight-the-epidemic-and-abange-mikwano-gyange-muvawa-friends-where-do-you-come-from/world/music/track/smithsonian" TargetMode="External"/><Relationship Id="rId595" Type="http://schemas.openxmlformats.org/officeDocument/2006/relationships/hyperlink" Target="http://media.theglobaljukebox.org/audio/T5521R51.mp3" TargetMode="External"/><Relationship Id="rId248" Type="http://schemas.openxmlformats.org/officeDocument/2006/relationships/hyperlink" Target="http://www.worldcat.org/title/arnhem-land-volumes-1-3-authentic-australian-aboriginal-songs-and-dances/oclc/892511653&amp;referer=brief_results" TargetMode="External"/><Relationship Id="rId455" Type="http://schemas.openxmlformats.org/officeDocument/2006/relationships/hyperlink" Target="http://www.worldcat.org/title/dreamings-aboriginal-healing-didjeridu/oclc/39975607&amp;referer=brief_results" TargetMode="External"/><Relationship Id="rId662" Type="http://schemas.openxmlformats.org/officeDocument/2006/relationships/hyperlink" Target="http://media.theglobaljukebox.org/audio/T5439R50.mp3" TargetMode="External"/><Relationship Id="rId1085" Type="http://schemas.openxmlformats.org/officeDocument/2006/relationships/hyperlink" Target="https://theglobaljukebox.org/?share=Cora-T5405R72" TargetMode="External"/><Relationship Id="rId1292" Type="http://schemas.openxmlformats.org/officeDocument/2006/relationships/hyperlink" Target="http://media.theglobaljukebox.org/audio/T5404R96.mp3" TargetMode="External"/><Relationship Id="rId2136" Type="http://schemas.openxmlformats.org/officeDocument/2006/relationships/hyperlink" Target="https://folkways.si.edu/phyllis-yoyetewa-kachinhongva-hopi/grand-canyon-creation-story/american-folk-american-indian-science-nature/track/smithsonian" TargetMode="External"/><Relationship Id="rId108" Type="http://schemas.openxmlformats.org/officeDocument/2006/relationships/hyperlink" Target="http://www.worldcat.org/oclc/17392137" TargetMode="External"/><Relationship Id="rId315" Type="http://schemas.openxmlformats.org/officeDocument/2006/relationships/hyperlink" Target="https://theglobaljukebox.org/?share=Fon-T5459R32" TargetMode="External"/><Relationship Id="rId522" Type="http://schemas.openxmlformats.org/officeDocument/2006/relationships/hyperlink" Target="https://theglobaljukebox.org/?share=Haiti-T45027" TargetMode="External"/><Relationship Id="rId967" Type="http://schemas.openxmlformats.org/officeDocument/2006/relationships/hyperlink" Target="http://www.folkways.si.edu/TrackDetails.aspx?itemid=14935" TargetMode="External"/><Relationship Id="rId1152" Type="http://schemas.openxmlformats.org/officeDocument/2006/relationships/hyperlink" Target="https://sounds.bl.uk/World-and-traditional-music/Colin-Huehns-Pakistan/025M-C0485X0083XX-2300V0" TargetMode="External"/><Relationship Id="rId1597" Type="http://schemas.openxmlformats.org/officeDocument/2006/relationships/hyperlink" Target="https://folkways.si.edu/valentina-felix/petticoats-of-portugal/world/music/album/smithsonian" TargetMode="External"/><Relationship Id="rId2203" Type="http://schemas.openxmlformats.org/officeDocument/2006/relationships/hyperlink" Target="https://archives.crem-cnrs.fr/archives/items/1646/" TargetMode="External"/><Relationship Id="rId96" Type="http://schemas.openxmlformats.org/officeDocument/2006/relationships/hyperlink" Target="http://www.worldcat.org/oclc/45107180" TargetMode="External"/><Relationship Id="rId827" Type="http://schemas.openxmlformats.org/officeDocument/2006/relationships/hyperlink" Target="http://www.worldcat.org/title/inuit-fifty-five-historical-recordings/oclc/52848634&amp;referer=brief_results" TargetMode="External"/><Relationship Id="rId1012" Type="http://schemas.openxmlformats.org/officeDocument/2006/relationships/hyperlink" Target="https://theglobaljukebox.org/" TargetMode="External"/><Relationship Id="rId1457" Type="http://schemas.openxmlformats.org/officeDocument/2006/relationships/hyperlink" Target="https://sounds.bl.uk/World-and-traditional-music/Nicholas-Pierce-Balochistan/025M-C0140X0012XX-0100V0" TargetMode="External"/><Relationship Id="rId1664" Type="http://schemas.openxmlformats.org/officeDocument/2006/relationships/hyperlink" Target="https://theglobaljukebox.org/?share=Leitrim-T5591R14" TargetMode="External"/><Relationship Id="rId1871" Type="http://schemas.openxmlformats.org/officeDocument/2006/relationships/hyperlink" Target="http://gofile.me/3T2hs/8W7Xfw3pu" TargetMode="External"/><Relationship Id="rId1317" Type="http://schemas.openxmlformats.org/officeDocument/2006/relationships/hyperlink" Target="https://search.alexanderstreet.com/preview/work/bibliographic_entity%7Cliner_notes%7C2258560" TargetMode="External"/><Relationship Id="rId1524" Type="http://schemas.openxmlformats.org/officeDocument/2006/relationships/hyperlink" Target="http://id.lib.harvard.edu/alma/990127609360203941/catalog" TargetMode="External"/><Relationship Id="rId1731" Type="http://schemas.openxmlformats.org/officeDocument/2006/relationships/hyperlink" Target="https://theglobaljukebox.org/?share=Ghegs-T9517R23" TargetMode="External"/><Relationship Id="rId1969" Type="http://schemas.openxmlformats.org/officeDocument/2006/relationships/hyperlink" Target="https://theglobaljukebox.org/?share=Tohono%20O%E2%80%99odham-T5405R19" TargetMode="External"/><Relationship Id="rId23" Type="http://schemas.openxmlformats.org/officeDocument/2006/relationships/hyperlink" Target="http://www.worldcat.org/oclc/123093348" TargetMode="External"/><Relationship Id="rId1829" Type="http://schemas.openxmlformats.org/officeDocument/2006/relationships/hyperlink" Target="https://theglobaljukebox.org/?share=Perthshire-T5590R04" TargetMode="External"/><Relationship Id="rId172" Type="http://schemas.openxmlformats.org/officeDocument/2006/relationships/hyperlink" Target="http://media.theglobaljukebox.org/audio/T5441R27.mp3" TargetMode="External"/><Relationship Id="rId477" Type="http://schemas.openxmlformats.org/officeDocument/2006/relationships/hyperlink" Target="http://www.worldcat.org/oclc/66266817" TargetMode="External"/><Relationship Id="rId684" Type="http://schemas.openxmlformats.org/officeDocument/2006/relationships/hyperlink" Target="https://sounds.bl.uk/World-and-traditional-music/Violeta-Ruano-portraits-of-Saharawi-Music/025M-C1640X0055XX-0001V0" TargetMode="External"/><Relationship Id="rId2060" Type="http://schemas.openxmlformats.org/officeDocument/2006/relationships/hyperlink" Target="https://sounds.bl.uk/World-and-traditional-music/Endangered-Micronesian-recordings/025M-CEAP115X4X42-002ZV0" TargetMode="External"/><Relationship Id="rId2158" Type="http://schemas.openxmlformats.org/officeDocument/2006/relationships/hyperlink" Target="https://folkways.si.edu/los-tres-paraguayos/guantanamera/latin-american-hits/world/music/album/smithsonian" TargetMode="External"/><Relationship Id="rId337" Type="http://schemas.openxmlformats.org/officeDocument/2006/relationships/hyperlink" Target="http://media.theglobaljukebox.org/audio/T5411R20.mp3" TargetMode="External"/><Relationship Id="rId891" Type="http://schemas.openxmlformats.org/officeDocument/2006/relationships/hyperlink" Target="https://folkways.si.edu/salman-al-arfush/qaidah-sung-for-nairah-junbula-a-deceased-woman-of-distinguished-social-and-political-stature/islamica-world/music/track/smithsonian" TargetMode="External"/><Relationship Id="rId989" Type="http://schemas.openxmlformats.org/officeDocument/2006/relationships/hyperlink" Target="https://folkways.si.edu/jantina-noorman/dutch-folk-songs/world/music/album/smithsonian" TargetMode="External"/><Relationship Id="rId2018" Type="http://schemas.openxmlformats.org/officeDocument/2006/relationships/hyperlink" Target="https://search-alexanderstreet-com.ezp-prod1.hul.harvard.edu/view/work/bibliographic_entity%7Crecorded_cd%7C71782" TargetMode="External"/><Relationship Id="rId544" Type="http://schemas.openxmlformats.org/officeDocument/2006/relationships/hyperlink" Target="https://theglobaljukebox.org/?share=Dragas-T5463R39" TargetMode="External"/><Relationship Id="rId751" Type="http://schemas.openxmlformats.org/officeDocument/2006/relationships/hyperlink" Target="http://greenstone.ilam.ru.ac.za/collect/ilam/index/assoc/D32174.dir/AC0518-C4G11.mp3" TargetMode="External"/><Relationship Id="rId849" Type="http://schemas.openxmlformats.org/officeDocument/2006/relationships/hyperlink" Target="http://media.theglobaljukebox.org/audio/T5482R42.mp3" TargetMode="External"/><Relationship Id="rId1174" Type="http://schemas.openxmlformats.org/officeDocument/2006/relationships/hyperlink" Target="https://folkways.si.edu/songs-and-dances-of-honduras/world/music/album/smithsonian" TargetMode="External"/><Relationship Id="rId1381" Type="http://schemas.openxmlformats.org/officeDocument/2006/relationships/hyperlink" Target="https://sounds.bl.uk/World-and-traditional-music/Music-from-India/025M-RKDATX0070XX-0200V0" TargetMode="External"/><Relationship Id="rId1479" Type="http://schemas.openxmlformats.org/officeDocument/2006/relationships/hyperlink" Target="https://search.alexanderstreet.com/preview/work/bibliographic_entity%7Crecorded_cd%7C776462" TargetMode="External"/><Relationship Id="rId1686" Type="http://schemas.openxmlformats.org/officeDocument/2006/relationships/hyperlink" Target="https://theglobaljukebox.org/?share=Afro-Colombian-T5616R02" TargetMode="External"/><Relationship Id="rId404" Type="http://schemas.openxmlformats.org/officeDocument/2006/relationships/hyperlink" Target="http://gofile.me/3T2hs/hNGAbzghT" TargetMode="External"/><Relationship Id="rId611" Type="http://schemas.openxmlformats.org/officeDocument/2006/relationships/hyperlink" Target="http://media.theglobaljukebox.org/audio/T5410R34m.mp3" TargetMode="External"/><Relationship Id="rId1034" Type="http://schemas.openxmlformats.org/officeDocument/2006/relationships/hyperlink" Target="https://theglobaljukebox.org/?share=Hawazma-T5625R20m" TargetMode="External"/><Relationship Id="rId1241" Type="http://schemas.openxmlformats.org/officeDocument/2006/relationships/hyperlink" Target="https://folkways.si.edu/traditional-music-of-the-garifuna-of-belize/american-indian-world/album/smithsonian" TargetMode="External"/><Relationship Id="rId1339" Type="http://schemas.openxmlformats.org/officeDocument/2006/relationships/hyperlink" Target="http://media.theglobaljukebox.org/audio/T30203.mp3" TargetMode="External"/><Relationship Id="rId1893" Type="http://schemas.openxmlformats.org/officeDocument/2006/relationships/hyperlink" Target="https://theglobaljukebox.org/" TargetMode="External"/><Relationship Id="rId709" Type="http://schemas.openxmlformats.org/officeDocument/2006/relationships/hyperlink" Target="http://media.theglobaljukebox.org/audio/T5451R15.mp3" TargetMode="External"/><Relationship Id="rId916" Type="http://schemas.openxmlformats.org/officeDocument/2006/relationships/hyperlink" Target="https://theglobaljukebox.org/?share=Bukharan%20Uzbeks-T5412R11" TargetMode="External"/><Relationship Id="rId1101" Type="http://schemas.openxmlformats.org/officeDocument/2006/relationships/hyperlink" Target="http://media.theglobaljukebox.org/audio/T5493R02.mp3" TargetMode="External"/><Relationship Id="rId1546" Type="http://schemas.openxmlformats.org/officeDocument/2006/relationships/hyperlink" Target="https://folkways.si.edu/tatyana-sat/funeral-lament/world/music/track/smithsonian" TargetMode="External"/><Relationship Id="rId1753" Type="http://schemas.openxmlformats.org/officeDocument/2006/relationships/hyperlink" Target="https://theglobaljukebox.org/?share=Sussex-T5587R08" TargetMode="External"/><Relationship Id="rId1960" Type="http://schemas.openxmlformats.org/officeDocument/2006/relationships/hyperlink" Target="https://folkways.si.edu/paloma/american-indian-world/music/track/smithsonian" TargetMode="External"/><Relationship Id="rId45" Type="http://schemas.openxmlformats.org/officeDocument/2006/relationships/hyperlink" Target="http://www.worldcat.org/oclc/34256918" TargetMode="External"/><Relationship Id="rId1406" Type="http://schemas.openxmlformats.org/officeDocument/2006/relationships/hyperlink" Target="http://gofile.me/3T2hs/uF4cXQVYa" TargetMode="External"/><Relationship Id="rId1613" Type="http://schemas.openxmlformats.org/officeDocument/2006/relationships/hyperlink" Target="http://gofile.me/3T2hs/X4Eh0c606" TargetMode="External"/><Relationship Id="rId1820" Type="http://schemas.openxmlformats.org/officeDocument/2006/relationships/hyperlink" Target="http://id.lib.harvard.edu/alma/990149112040203941/catalog" TargetMode="External"/><Relationship Id="rId194" Type="http://schemas.openxmlformats.org/officeDocument/2006/relationships/hyperlink" Target="http://www.worldcat.org/title/songs-of-the-inuit-iglulik-canada/oclc/65196223" TargetMode="External"/><Relationship Id="rId1918" Type="http://schemas.openxmlformats.org/officeDocument/2006/relationships/hyperlink" Target="https://theglobaljukebox.org/?share=Guaran%C3%AD-" TargetMode="External"/><Relationship Id="rId2082" Type="http://schemas.openxmlformats.org/officeDocument/2006/relationships/hyperlink" Target="https://sounds.bl.uk/World-and-traditional-music/Endangered-Micronesian-recordings/025M-CEAP115X4X74-001ZV0" TargetMode="External"/><Relationship Id="rId261" Type="http://schemas.openxmlformats.org/officeDocument/2006/relationships/hyperlink" Target="https://theglobaljukebox.org/?share=Wodaabe-T5461R17" TargetMode="External"/><Relationship Id="rId499" Type="http://schemas.openxmlformats.org/officeDocument/2006/relationships/hyperlink" Target="http://ampm.auckland.ac.nz/handle/id/73524" TargetMode="External"/><Relationship Id="rId359" Type="http://schemas.openxmlformats.org/officeDocument/2006/relationships/hyperlink" Target="https://www.discogs.com/Various-Festivals-Of-The-Himalayas-Volume-II/release/3004143" TargetMode="External"/><Relationship Id="rId566" Type="http://schemas.openxmlformats.org/officeDocument/2006/relationships/hyperlink" Target="https://theglobaljukebox.org/?share=Guadeloupe-T5478R35" TargetMode="External"/><Relationship Id="rId773" Type="http://schemas.openxmlformats.org/officeDocument/2006/relationships/hyperlink" Target="http://greenstone.ilam.ru.ac.za/collect/ilam/index/assoc/D31050.dir/AC0716-DY13.mp3" TargetMode="External"/><Relationship Id="rId1196" Type="http://schemas.openxmlformats.org/officeDocument/2006/relationships/hyperlink" Target="https://folkways.si.edu/heliodoro-and-felipe-de-la-cruz/ursulita/american-indian-world/music/track/smithsonian" TargetMode="External"/><Relationship Id="rId121" Type="http://schemas.openxmlformats.org/officeDocument/2006/relationships/hyperlink" Target="https://folkways.si.edu/canada-music-of-the-inuit-the-copper-eskimo-tradition/world/music/album/smithsonian" TargetMode="External"/><Relationship Id="rId219" Type="http://schemas.openxmlformats.org/officeDocument/2006/relationships/hyperlink" Target="http://www.worldcat.org/title/songs-of-the-inuit-iglulik-canada/oclc/65196223" TargetMode="External"/><Relationship Id="rId426" Type="http://schemas.openxmlformats.org/officeDocument/2006/relationships/hyperlink" Target="https://theglobaljukebox.org/?share=Colombian%20Coastal%20Folk-T5621R11m" TargetMode="External"/><Relationship Id="rId633" Type="http://schemas.openxmlformats.org/officeDocument/2006/relationships/hyperlink" Target="https://theglobaljukebox.org/?share=W.%20Kazakhstan-T5463R32" TargetMode="External"/><Relationship Id="rId980" Type="http://schemas.openxmlformats.org/officeDocument/2006/relationships/hyperlink" Target="https://theglobaljukebox.org/" TargetMode="External"/><Relationship Id="rId1056" Type="http://schemas.openxmlformats.org/officeDocument/2006/relationships/hyperlink" Target="https://folkways.si.edu/not-listed/honoring-song/american-indian/music/track/smithsonian" TargetMode="External"/><Relationship Id="rId1263" Type="http://schemas.openxmlformats.org/officeDocument/2006/relationships/hyperlink" Target="https://sounds.bl.uk/World-and-traditional-music/Music-from-India/025M-RKDATX0017XX-0100V0" TargetMode="External"/><Relationship Id="rId2107" Type="http://schemas.openxmlformats.org/officeDocument/2006/relationships/hyperlink" Target="https://sounds.bl.uk/World-and-traditional-music/Endangered-Micronesian-recordings/025M-CEAP115X4100-001ZV0" TargetMode="External"/><Relationship Id="rId840" Type="http://schemas.openxmlformats.org/officeDocument/2006/relationships/hyperlink" Target="http://media.theglobaljukebox.org/audio/T30438.mp3" TargetMode="External"/><Relationship Id="rId938" Type="http://schemas.openxmlformats.org/officeDocument/2006/relationships/hyperlink" Target="https://folkways.si.edu/vietnamese-work-song/ho-nen/world/music/track/smithsonian" TargetMode="External"/><Relationship Id="rId1470" Type="http://schemas.openxmlformats.org/officeDocument/2006/relationships/hyperlink" Target="https://sounds.bl.uk/World-and-traditional-music/Colin-Huehns-Pakistan/025M-C0485X0053XX-0200V0" TargetMode="External"/><Relationship Id="rId1568" Type="http://schemas.openxmlformats.org/officeDocument/2006/relationships/hyperlink" Target="https://folkways.si.edu/avery-and-fidelia-jimerson/5-stomp-dance-songs/american-indian/music/track/smithsonian" TargetMode="External"/><Relationship Id="rId1775" Type="http://schemas.openxmlformats.org/officeDocument/2006/relationships/hyperlink" Target="https://sounds.bl.uk/World-and-traditional-music/Vanishing-voices-from-the-Uralic-world/025M-CEAP3470122A-05XXV0" TargetMode="External"/><Relationship Id="rId67" Type="http://schemas.openxmlformats.org/officeDocument/2006/relationships/hyperlink" Target="http://www.worldcat.org/oclc/40424026" TargetMode="External"/><Relationship Id="rId700" Type="http://schemas.openxmlformats.org/officeDocument/2006/relationships/hyperlink" Target="http://www.worldcat.org/oclc/25457764" TargetMode="External"/><Relationship Id="rId1123" Type="http://schemas.openxmlformats.org/officeDocument/2006/relationships/hyperlink" Target="https://theglobaljukebox.org/?share=Pari-T5437R11" TargetMode="External"/><Relationship Id="rId1330" Type="http://schemas.openxmlformats.org/officeDocument/2006/relationships/hyperlink" Target="https://theglobaljukebox.org/?share=Lunda-T5455R27" TargetMode="External"/><Relationship Id="rId1428" Type="http://schemas.openxmlformats.org/officeDocument/2006/relationships/hyperlink" Target="https://theglobaljukebox.org/?share=Azande-T5434R27" TargetMode="External"/><Relationship Id="rId1635" Type="http://schemas.openxmlformats.org/officeDocument/2006/relationships/hyperlink" Target="https://folkways.si.edu/dabuyabarugu-inside-the-temple-sacred-music-of-the-garifuna-of-belize/american-indian-world/album/smithsonian" TargetMode="External"/><Relationship Id="rId1982" Type="http://schemas.openxmlformats.org/officeDocument/2006/relationships/hyperlink" Target="http://gofile.me/3T2hs/sS8tVK3BM" TargetMode="External"/><Relationship Id="rId1842" Type="http://schemas.openxmlformats.org/officeDocument/2006/relationships/hyperlink" Target="https://search.alexanderstreet.com/view/work/bibliographic_entity%7Crecorded_track%7C238689" TargetMode="External"/><Relationship Id="rId1702" Type="http://schemas.openxmlformats.org/officeDocument/2006/relationships/hyperlink" Target="https://theglobaljukebox.org/?share=Quechua-T5543R48" TargetMode="External"/><Relationship Id="rId283" Type="http://schemas.openxmlformats.org/officeDocument/2006/relationships/hyperlink" Target="http://media.theglobaljukebox.org/audio/T5404R49.mp3" TargetMode="External"/><Relationship Id="rId490" Type="http://schemas.openxmlformats.org/officeDocument/2006/relationships/hyperlink" Target="https://theglobaljukebox.org/?share=Martinique-T5479R24" TargetMode="External"/><Relationship Id="rId2171" Type="http://schemas.openxmlformats.org/officeDocument/2006/relationships/hyperlink" Target="https://folkways.si.edu/saga-sjoberg-and-arne-dorumsgaard/jeg-lagde-mig-sa-sildig-sleep-came-late-to-me/world/music/track/smithsonian" TargetMode="External"/><Relationship Id="rId143" Type="http://schemas.openxmlformats.org/officeDocument/2006/relationships/hyperlink" Target="http://media.theglobaljukebox.org/audio/T5403R22.mp3" TargetMode="External"/><Relationship Id="rId350" Type="http://schemas.openxmlformats.org/officeDocument/2006/relationships/hyperlink" Target="http://media.theglobaljukebox.org/audio/T5412R44.mp3N" TargetMode="External"/><Relationship Id="rId588" Type="http://schemas.openxmlformats.org/officeDocument/2006/relationships/hyperlink" Target="https://theglobaljukebox.org/?share=Bulu-T5458R13" TargetMode="External"/><Relationship Id="rId795" Type="http://schemas.openxmlformats.org/officeDocument/2006/relationships/hyperlink" Target="http://www.folkways.si.edu/TrackDetails.aspx?itemid=12599" TargetMode="External"/><Relationship Id="rId2031" Type="http://schemas.openxmlformats.org/officeDocument/2006/relationships/hyperlink" Target="https://folkways.si.edu/francisco-challapa-chamaca-eugenio-challapa-challapa/solo-on-the-tara/tata-san-juan/american-indian-world/music/track/smithsonian" TargetMode="External"/><Relationship Id="rId9" Type="http://schemas.openxmlformats.org/officeDocument/2006/relationships/hyperlink" Target="http://www.worldcat.org/oclc/17376475" TargetMode="External"/><Relationship Id="rId210" Type="http://schemas.openxmlformats.org/officeDocument/2006/relationships/hyperlink" Target="https://theglobaljukebox.org/?share=Dorla-T5419R03m" TargetMode="External"/><Relationship Id="rId448" Type="http://schemas.openxmlformats.org/officeDocument/2006/relationships/hyperlink" Target="http://www.smileofangkor.info/sounds-of-angkor/" TargetMode="External"/><Relationship Id="rId655" Type="http://schemas.openxmlformats.org/officeDocument/2006/relationships/hyperlink" Target="https://folkways.si.edu/mumtaz-ali-khan/bhawaiya-bengali-farmers-work-song/central-asia-islamica-world/music/track/smithsonian" TargetMode="External"/><Relationship Id="rId862" Type="http://schemas.openxmlformats.org/officeDocument/2006/relationships/hyperlink" Target="http://media.theglobaljukebox.org/audio/T5614R04.mp3" TargetMode="External"/><Relationship Id="rId1078" Type="http://schemas.openxmlformats.org/officeDocument/2006/relationships/hyperlink" Target="https://theglobaljukebox.org/?share=Mayogo-T5435R12" TargetMode="External"/><Relationship Id="rId1285" Type="http://schemas.openxmlformats.org/officeDocument/2006/relationships/hyperlink" Target="https://theglobaljukebox.org/?share=Georgia-T9506R21" TargetMode="External"/><Relationship Id="rId1492" Type="http://schemas.openxmlformats.org/officeDocument/2006/relationships/hyperlink" Target="https://folkways.si.edu/people-of-yakutat-bev-rawson-and-john-ingalls/tsimshian-blanket-dance-song/ballad-of-the-woodworm-part-1-medley/american-folk/music/track/smithsonian" TargetMode="External"/><Relationship Id="rId2129" Type="http://schemas.openxmlformats.org/officeDocument/2006/relationships/hyperlink" Target="https://catalog.loc.gov/vwebv/search?searchCode=LCCN&amp;searchArg=2011655378&amp;searchType=1&amp;permalink=y" TargetMode="External"/><Relationship Id="rId308" Type="http://schemas.openxmlformats.org/officeDocument/2006/relationships/hyperlink" Target="http://media.theglobaljukebox.org/audio/T5445R07.mp3" TargetMode="External"/><Relationship Id="rId515" Type="http://schemas.openxmlformats.org/officeDocument/2006/relationships/hyperlink" Target="http://ampm.auckland.ac.nz/handle/id/58132" TargetMode="External"/><Relationship Id="rId722" Type="http://schemas.openxmlformats.org/officeDocument/2006/relationships/hyperlink" Target="http://media.theglobaljukebox.org/audio/T30088.mp3" TargetMode="External"/><Relationship Id="rId1145" Type="http://schemas.openxmlformats.org/officeDocument/2006/relationships/hyperlink" Target="https://folkways.si.edu/indian-music-of-mexico/b/american-indian-world/album/smithsonian" TargetMode="External"/><Relationship Id="rId1352" Type="http://schemas.openxmlformats.org/officeDocument/2006/relationships/hyperlink" Target="http://gofile.me/3T2hs/h3r10aRpc" TargetMode="External"/><Relationship Id="rId1797" Type="http://schemas.openxmlformats.org/officeDocument/2006/relationships/hyperlink" Target="http://sami.bl.uk/uhtbin/cgisirsi/?ps=tMlCSmESs5/WORKS-FILE/57150033/9" TargetMode="External"/><Relationship Id="rId89" Type="http://schemas.openxmlformats.org/officeDocument/2006/relationships/hyperlink" Target="http://www.worldcat.org/oclc/40399497" TargetMode="External"/><Relationship Id="rId1005" Type="http://schemas.openxmlformats.org/officeDocument/2006/relationships/hyperlink" Target="https://theglobaljukebox.org/" TargetMode="External"/><Relationship Id="rId1212" Type="http://schemas.openxmlformats.org/officeDocument/2006/relationships/hyperlink" Target="https://theglobaljukebox.org/?share=Rar%C3%A1muri-T5537R06" TargetMode="External"/><Relationship Id="rId1657" Type="http://schemas.openxmlformats.org/officeDocument/2006/relationships/hyperlink" Target="https://search.alexanderstreet.com/preview/work/bibliographic_entity%7Crecorded_cd%7C776444" TargetMode="External"/><Relationship Id="rId1864" Type="http://schemas.openxmlformats.org/officeDocument/2006/relationships/hyperlink" Target="http://gofile.me/3T2hs/MpWclfCac" TargetMode="External"/><Relationship Id="rId1517" Type="http://schemas.openxmlformats.org/officeDocument/2006/relationships/hyperlink" Target="https://folkways.si.edu/avery-and-fidelia-jimerson/4-raccoon-dance-songs/american-indian/music/track/smithsonian" TargetMode="External"/><Relationship Id="rId1724" Type="http://schemas.openxmlformats.org/officeDocument/2006/relationships/hyperlink" Target="https://theglobaljukebox.org/?share=Macedonia-T5620R10" TargetMode="External"/><Relationship Id="rId16" Type="http://schemas.openxmlformats.org/officeDocument/2006/relationships/hyperlink" Target="http://www.worldcat.org/oclc/49687253" TargetMode="External"/><Relationship Id="rId1931" Type="http://schemas.openxmlformats.org/officeDocument/2006/relationships/hyperlink" Target="https://folkways.si.edu/tribal-music-of-australia/world/album/smithsonian" TargetMode="External"/><Relationship Id="rId2193" Type="http://schemas.openxmlformats.org/officeDocument/2006/relationships/hyperlink" Target="https://archives.crem-cnrs.fr/archives/items/CNRSMH_I_2000_004_014_05/" TargetMode="External"/><Relationship Id="rId165" Type="http://schemas.openxmlformats.org/officeDocument/2006/relationships/hyperlink" Target="http://media.theglobaljukebox.org/audio/T5437R30.mp3" TargetMode="External"/><Relationship Id="rId372" Type="http://schemas.openxmlformats.org/officeDocument/2006/relationships/hyperlink" Target="https://www.discogs.com/Various-Folk-Music-Of-India/release/5260725" TargetMode="External"/><Relationship Id="rId677" Type="http://schemas.openxmlformats.org/officeDocument/2006/relationships/hyperlink" Target="http://media.theglobaljukebox.org/audio/T40030R01.mp3" TargetMode="External"/><Relationship Id="rId2053" Type="http://schemas.openxmlformats.org/officeDocument/2006/relationships/hyperlink" Target="https://sounds.bl.uk/World-and-traditional-music/Endangered-Micronesian-recordings/025M-CEAP115X4X82-015ZV0" TargetMode="External"/><Relationship Id="rId232" Type="http://schemas.openxmlformats.org/officeDocument/2006/relationships/hyperlink" Target="https://sounds.bl.uk/World-and-traditional-music/Vanishing-voices-from-the-Uralic-world/025M-CEAP3470625A-03XXV0" TargetMode="External"/><Relationship Id="rId884" Type="http://schemas.openxmlformats.org/officeDocument/2006/relationships/hyperlink" Target="https://folkways.si.edu/folk-dance-with-drum/islamica-world/music/track/smithsonian" TargetMode="External"/><Relationship Id="rId2120" Type="http://schemas.openxmlformats.org/officeDocument/2006/relationships/hyperlink" Target="https://folkways.si.edu/john-rainer-jr/courting-song/american-indian/music/track/smithsonian" TargetMode="External"/><Relationship Id="rId537" Type="http://schemas.openxmlformats.org/officeDocument/2006/relationships/hyperlink" Target="https://search-alexanderstreet-com.ezp-prod1.hul.harvard.edu/view/work/bibliographic_entity%7Crecorded_cd%7C511039" TargetMode="External"/><Relationship Id="rId744" Type="http://schemas.openxmlformats.org/officeDocument/2006/relationships/hyperlink" Target="http://greenstone.ilam.ru.ac.za/collect/ilam/index/assoc/D19465.dir/HTFT179-D36-D2E5.mp3" TargetMode="External"/><Relationship Id="rId951" Type="http://schemas.openxmlformats.org/officeDocument/2006/relationships/hyperlink" Target="https://theglobaljukebox.org/?share=Uyghur-T5490R05" TargetMode="External"/><Relationship Id="rId1167" Type="http://schemas.openxmlformats.org/officeDocument/2006/relationships/hyperlink" Target="https://folkways.si.edu/music-of-the-miskito-indians-of-honduras-and-nicaragua/american-indian-struggle-protest-world/album/smithsonian" TargetMode="External"/><Relationship Id="rId1374" Type="http://schemas.openxmlformats.org/officeDocument/2006/relationships/hyperlink" Target="http://media.theglobaljukebox.org/audio/T5430R30.mp3" TargetMode="External"/><Relationship Id="rId1581" Type="http://schemas.openxmlformats.org/officeDocument/2006/relationships/hyperlink" Target="http://www.worldcat.org/title/nuevo-dia/oclc/699817049&amp;referer=brief_results" TargetMode="External"/><Relationship Id="rId1679" Type="http://schemas.openxmlformats.org/officeDocument/2006/relationships/hyperlink" Target="https://theglobaljukebox.org/?share=Oltenia-T5466R37" TargetMode="External"/><Relationship Id="rId80" Type="http://schemas.openxmlformats.org/officeDocument/2006/relationships/hyperlink" Target="https://iucat.iu.edu/catalog/8092749" TargetMode="External"/><Relationship Id="rId604" Type="http://schemas.openxmlformats.org/officeDocument/2006/relationships/hyperlink" Target="https://search.alexanderstreet.com/view/work/1645172" TargetMode="External"/><Relationship Id="rId811" Type="http://schemas.openxmlformats.org/officeDocument/2006/relationships/hyperlink" Target="http://media.theglobaljukebox.org/audio/T5629R11.mp3" TargetMode="External"/><Relationship Id="rId1027" Type="http://schemas.openxmlformats.org/officeDocument/2006/relationships/hyperlink" Target="https://theglobaljukebox.org/?share=Baggara-T5626R20m" TargetMode="External"/><Relationship Id="rId1234" Type="http://schemas.openxmlformats.org/officeDocument/2006/relationships/hyperlink" Target="https://folkways.si.edu/the-spirit-cries-music-from-the-rainforests-of-south-america-the-caribbean/world/album/smithsonian" TargetMode="External"/><Relationship Id="rId1441" Type="http://schemas.openxmlformats.org/officeDocument/2006/relationships/hyperlink" Target="http://media.theglobaljukebox.org/audio/T5426R52.mp3" TargetMode="External"/><Relationship Id="rId1886" Type="http://schemas.openxmlformats.org/officeDocument/2006/relationships/hyperlink" Target="http://gofile.me/3T2hs/mDmGdyyQV" TargetMode="External"/><Relationship Id="rId909" Type="http://schemas.openxmlformats.org/officeDocument/2006/relationships/hyperlink" Target="https://theglobaljukebox.org/?share=Dervish-T5483R23" TargetMode="External"/><Relationship Id="rId1301" Type="http://schemas.openxmlformats.org/officeDocument/2006/relationships/hyperlink" Target="https://theglobaljukebox.org/?share=Okande-T5521R44" TargetMode="External"/><Relationship Id="rId1539" Type="http://schemas.openxmlformats.org/officeDocument/2006/relationships/hyperlink" Target="https://folkways.si.edu/naqshbandi-afaqi-brotherhood/zikr/central-asia-islamica-world/music/track/smithsonian" TargetMode="External"/><Relationship Id="rId1746" Type="http://schemas.openxmlformats.org/officeDocument/2006/relationships/hyperlink" Target="https://theglobaljukebox.org/" TargetMode="External"/><Relationship Id="rId1953" Type="http://schemas.openxmlformats.org/officeDocument/2006/relationships/hyperlink" Target="https://folkways.si.edu/grupo-cimarron/si-soy-llanero-joropo-music-from-the-orinoco-plains-of-colombia/latin-world/album/smithsonian" TargetMode="External"/><Relationship Id="rId38" Type="http://schemas.openxmlformats.org/officeDocument/2006/relationships/hyperlink" Target="http://www.worldcat.org/oclc/49344152" TargetMode="External"/><Relationship Id="rId1606" Type="http://schemas.openxmlformats.org/officeDocument/2006/relationships/hyperlink" Target="https://search.alexanderstreet.com/preview/work/bibliographic_entity%7Crecorded_cd%7C510900" TargetMode="External"/><Relationship Id="rId1813" Type="http://schemas.openxmlformats.org/officeDocument/2006/relationships/hyperlink" Target="http://id.lib.harvard.edu/alma/990049099310203941/catalog" TargetMode="External"/><Relationship Id="rId187" Type="http://schemas.openxmlformats.org/officeDocument/2006/relationships/hyperlink" Target="https://sounds.bl.uk/World-and-traditional-music/Peter-Cooke-Uganda/025M-C0023X0009XX-0400V0" TargetMode="External"/><Relationship Id="rId394" Type="http://schemas.openxmlformats.org/officeDocument/2006/relationships/hyperlink" Target="http://gofile.me/3T2hs/QS1PDpwJB" TargetMode="External"/><Relationship Id="rId2075" Type="http://schemas.openxmlformats.org/officeDocument/2006/relationships/hyperlink" Target="https://sounds.bl.uk/World-and-traditional-music/Endangered-Micronesian-recordings/025M-CEAP115X4X74-004ZV0" TargetMode="External"/><Relationship Id="rId254" Type="http://schemas.openxmlformats.org/officeDocument/2006/relationships/hyperlink" Target="https://theglobaljukebox.org/?share=Maori-T5429R03" TargetMode="External"/><Relationship Id="rId699" Type="http://schemas.openxmlformats.org/officeDocument/2006/relationships/hyperlink" Target="http://www.worldcat.org/title/chants-et-danses-de-latlas-maroc/oclc/38376848" TargetMode="External"/><Relationship Id="rId1091" Type="http://schemas.openxmlformats.org/officeDocument/2006/relationships/hyperlink" Target="https://theglobaljukebox.org/?share=Veneto-T40033R01" TargetMode="External"/><Relationship Id="rId114" Type="http://schemas.openxmlformats.org/officeDocument/2006/relationships/hyperlink" Target="https://folkways.si.edu/the-eskimos-of-hudson-bay-and-alaska/american-indian/music/album/smithsonian" TargetMode="External"/><Relationship Id="rId461" Type="http://schemas.openxmlformats.org/officeDocument/2006/relationships/hyperlink" Target="http://www.worldcat.org/title/songs-from-the-kimberleys-aboriginal-music-from-the-kimberley-region-of-western-australia/oclc/767510325&amp;referer=brief_results" TargetMode="External"/><Relationship Id="rId559" Type="http://schemas.openxmlformats.org/officeDocument/2006/relationships/hyperlink" Target="https://theglobaljukebox.org/?share=Bederiya-T5625R09m" TargetMode="External"/><Relationship Id="rId766" Type="http://schemas.openxmlformats.org/officeDocument/2006/relationships/hyperlink" Target="http://greenstone.ilam.ru.ac.za/collect/ilam/index/assoc/D19982.dir/HTFT085-C101-C4P8.mp3" TargetMode="External"/><Relationship Id="rId1189" Type="http://schemas.openxmlformats.org/officeDocument/2006/relationships/hyperlink" Target="https://theglobaljukebox.org/?share=Dogon-T5432R11" TargetMode="External"/><Relationship Id="rId1396" Type="http://schemas.openxmlformats.org/officeDocument/2006/relationships/hyperlink" Target="http://www.worldcat.org/title/musiques-mexicaines/oclc/965998093&amp;referer=brief_results" TargetMode="External"/><Relationship Id="rId2142" Type="http://schemas.openxmlformats.org/officeDocument/2006/relationships/hyperlink" Target="https://theglobaljukebox.org/?share=Seri-T5405R43" TargetMode="External"/><Relationship Id="rId321" Type="http://schemas.openxmlformats.org/officeDocument/2006/relationships/hyperlink" Target="https://theglobaljukebox.org/?share=Cook%20Island-T5430R56" TargetMode="External"/><Relationship Id="rId419" Type="http://schemas.openxmlformats.org/officeDocument/2006/relationships/hyperlink" Target="http://archives.crem-cnrs.fr/archives/items/CNRSMH_I_2002_032_003_05/" TargetMode="External"/><Relationship Id="rId626" Type="http://schemas.openxmlformats.org/officeDocument/2006/relationships/hyperlink" Target="https://theglobaljukebox.org/?share=Izhemtsi-T5463R31" TargetMode="External"/><Relationship Id="rId973" Type="http://schemas.openxmlformats.org/officeDocument/2006/relationships/hyperlink" Target="http://www.folkways.si.edu/TrackDetails.aspx?itemid=23777" TargetMode="External"/><Relationship Id="rId1049" Type="http://schemas.openxmlformats.org/officeDocument/2006/relationships/hyperlink" Target="https://folkways.si.edu/akmammet-rakhamanov-yazmyrat-kallyev/ovazy-geldi-the-voice-is-heard/music/track/smithsonian" TargetMode="External"/><Relationship Id="rId1256" Type="http://schemas.openxmlformats.org/officeDocument/2006/relationships/hyperlink" Target="https://theglobaljukebox.org/?share=Afro-Colombian-T40022R01" TargetMode="External"/><Relationship Id="rId2002" Type="http://schemas.openxmlformats.org/officeDocument/2006/relationships/hyperlink" Target="https://search-alexanderstreet-com.ezp-prod1.hul.harvard.edu/view/work/237784" TargetMode="External"/><Relationship Id="rId833" Type="http://schemas.openxmlformats.org/officeDocument/2006/relationships/hyperlink" Target="http://media.theglobaljukebox.org/audio/T5588R03.mp3" TargetMode="External"/><Relationship Id="rId1116" Type="http://schemas.openxmlformats.org/officeDocument/2006/relationships/hyperlink" Target="https://theglobaljukebox.org/?share=Shilluk-T5436R27m" TargetMode="External"/><Relationship Id="rId1463" Type="http://schemas.openxmlformats.org/officeDocument/2006/relationships/hyperlink" Target="https://search.alexanderstreet.com/preview/work/bibliographic_entity%7Crecorded_cd%7C612193" TargetMode="External"/><Relationship Id="rId1670" Type="http://schemas.openxmlformats.org/officeDocument/2006/relationships/hyperlink" Target="https://sounds.bl.uk/World-and-traditional-music/Young-India-record-label-collection/025M-CEAP190X4X01-025ZV0" TargetMode="External"/><Relationship Id="rId1768" Type="http://schemas.openxmlformats.org/officeDocument/2006/relationships/hyperlink" Target="https://theglobaljukebox.org/?share=Strpci-T5463R51" TargetMode="External"/><Relationship Id="rId900" Type="http://schemas.openxmlformats.org/officeDocument/2006/relationships/hyperlink" Target="https://folkways.si.edu/jaap-kunst/living-folksongs-and-dance-tunes-from-the-netherlands/holiday-world/music/album/smithsonian" TargetMode="External"/><Relationship Id="rId1323" Type="http://schemas.openxmlformats.org/officeDocument/2006/relationships/hyperlink" Target="https://search.alexanderstreet.com/preview/work/bibliographic_entity%7Cliner_notes%7C2258560" TargetMode="External"/><Relationship Id="rId1530" Type="http://schemas.openxmlformats.org/officeDocument/2006/relationships/hyperlink" Target="https://folkways.si.edu/a-pikilio-man/tree-felling-songs-matjau-baai/african-american-music-world/music/track/smithsonian" TargetMode="External"/><Relationship Id="rId1628" Type="http://schemas.openxmlformats.org/officeDocument/2006/relationships/hyperlink" Target="http://media.theglobaljukebox.org/audio/T5584R12.mp3" TargetMode="External"/><Relationship Id="rId1975" Type="http://schemas.openxmlformats.org/officeDocument/2006/relationships/hyperlink" Target="https://folkways.si.edu/aymara-chile-el-floreo/american-indian-world/music/track/smithsonian" TargetMode="External"/><Relationship Id="rId1835" Type="http://schemas.openxmlformats.org/officeDocument/2006/relationships/hyperlink" Target="https://archives.crem-cnrs.fr/archives/items/CNRSMH_I_1963_006_001_32/" TargetMode="External"/><Relationship Id="rId1902" Type="http://schemas.openxmlformats.org/officeDocument/2006/relationships/hyperlink" Target="http://gofile.me/3T2hs/qUi1ZEeMW" TargetMode="External"/><Relationship Id="rId2097" Type="http://schemas.openxmlformats.org/officeDocument/2006/relationships/hyperlink" Target="https://sounds.bl.uk/World-and-traditional-music/Endangered-Micronesian-recordings/025M-CEAP115X4X11-003ZV0" TargetMode="External"/><Relationship Id="rId276" Type="http://schemas.openxmlformats.org/officeDocument/2006/relationships/hyperlink" Target="https://theglobaljukebox.org/?share=Tikopia-T5428R51" TargetMode="External"/><Relationship Id="rId483" Type="http://schemas.openxmlformats.org/officeDocument/2006/relationships/hyperlink" Target="https://theglobaljukebox.org/?share=Carriacou-T5473R39" TargetMode="External"/><Relationship Id="rId690" Type="http://schemas.openxmlformats.org/officeDocument/2006/relationships/hyperlink" Target="http://media.theglobaljukebox.org/audio/T5457R09.mp3" TargetMode="External"/><Relationship Id="rId2164" Type="http://schemas.openxmlformats.org/officeDocument/2006/relationships/hyperlink" Target="https://folkways.si.edu/tom-willie-kewakhalis/tw40-thunderbird-song-hiligyala-song/american-indian/music/track/smithsonian" TargetMode="External"/><Relationship Id="rId136" Type="http://schemas.openxmlformats.org/officeDocument/2006/relationships/hyperlink" Target="https://sounds.bl.uk/World-and-traditional-music/Wachsmann/025M-C0004X0041XX-1400V0" TargetMode="External"/><Relationship Id="rId343" Type="http://schemas.openxmlformats.org/officeDocument/2006/relationships/hyperlink" Target="http://media.theglobaljukebox.org/audio/T5457R03.mp3" TargetMode="External"/><Relationship Id="rId550" Type="http://schemas.openxmlformats.org/officeDocument/2006/relationships/hyperlink" Target="http://ampm.auckland.ac.nz/handle/id/87038" TargetMode="External"/><Relationship Id="rId788" Type="http://schemas.openxmlformats.org/officeDocument/2006/relationships/hyperlink" Target="https://folkways.si.edu/agnes-nanogak/birth-of-earthworms/music/track/smithsonian" TargetMode="External"/><Relationship Id="rId995" Type="http://schemas.openxmlformats.org/officeDocument/2006/relationships/hyperlink" Target="http://theglobaljukebox.org/audio/T30264.mp3" TargetMode="External"/><Relationship Id="rId1180" Type="http://schemas.openxmlformats.org/officeDocument/2006/relationships/hyperlink" Target="http://www.folkways.si.edu/TrackDetails.aspx?itemid=5930" TargetMode="External"/><Relationship Id="rId2024" Type="http://schemas.openxmlformats.org/officeDocument/2006/relationships/hyperlink" Target="https://harvard-naxosmusiclibrary-com.ezp-prod1.hul.harvard.edu/world/catalogue/item.asp?cid=EUCD2676" TargetMode="External"/><Relationship Id="rId203" Type="http://schemas.openxmlformats.org/officeDocument/2006/relationships/hyperlink" Target="https://theglobaljukebox.org/?share=Kerala-T5417R33" TargetMode="External"/><Relationship Id="rId648" Type="http://schemas.openxmlformats.org/officeDocument/2006/relationships/hyperlink" Target="https://theglobaljukebox.org/?share=Lithuania%20Gen.-T9522R31" TargetMode="External"/><Relationship Id="rId855" Type="http://schemas.openxmlformats.org/officeDocument/2006/relationships/hyperlink" Target="http://media.theglobaljukebox.org/audio/T5522R91.mp3" TargetMode="External"/><Relationship Id="rId1040" Type="http://schemas.openxmlformats.org/officeDocument/2006/relationships/hyperlink" Target="http://media.theglobaljukebox.org/audio/T5403R40.mp3" TargetMode="External"/><Relationship Id="rId1278" Type="http://schemas.openxmlformats.org/officeDocument/2006/relationships/hyperlink" Target="https://theglobaljukebox.org/?share=Hunedoara-T5589R16" TargetMode="External"/><Relationship Id="rId1485" Type="http://schemas.openxmlformats.org/officeDocument/2006/relationships/hyperlink" Target="https://folkways.si.edu/mungo-martin/ghost-song-hacha-mamai/american-indian/music/track/smithsonian" TargetMode="External"/><Relationship Id="rId1692" Type="http://schemas.openxmlformats.org/officeDocument/2006/relationships/hyperlink" Target="https://folkways.si.edu/lola-kiepja/laments-no-41-and-42/american-indian-world/music/track/smithsonian" TargetMode="External"/><Relationship Id="rId410" Type="http://schemas.openxmlformats.org/officeDocument/2006/relationships/hyperlink" Target="http://gofile.me/3T2hs/dS7rSUSsh" TargetMode="External"/><Relationship Id="rId508" Type="http://schemas.openxmlformats.org/officeDocument/2006/relationships/hyperlink" Target="https://theglobaljukebox.org/?share=Toco-T5477R02" TargetMode="External"/><Relationship Id="rId715" Type="http://schemas.openxmlformats.org/officeDocument/2006/relationships/hyperlink" Target="http://media.theglobaljukebox.org/audio/T5439R44.mp3" TargetMode="External"/><Relationship Id="rId922" Type="http://schemas.openxmlformats.org/officeDocument/2006/relationships/hyperlink" Target="https://theglobaljukebox.org/?share=Bristol-T5587R09" TargetMode="External"/><Relationship Id="rId1138" Type="http://schemas.openxmlformats.org/officeDocument/2006/relationships/hyperlink" Target="https://theglobaljukebox.org/?share=Wix%C3%A1ritari-T5405R03m" TargetMode="External"/><Relationship Id="rId1345" Type="http://schemas.openxmlformats.org/officeDocument/2006/relationships/hyperlink" Target="http://gofile.me/3T2hs/eozyW0Okz" TargetMode="External"/><Relationship Id="rId1552" Type="http://schemas.openxmlformats.org/officeDocument/2006/relationships/hyperlink" Target="http://www.worldcat.org/title/sacred-path-spells-prayers-power-songs-of-the-american-indians/oclc/10020978&amp;referer=brief_results" TargetMode="External"/><Relationship Id="rId1997" Type="http://schemas.openxmlformats.org/officeDocument/2006/relationships/hyperlink" Target="http://www.worldcat.org/title/australia/oclc/50417070?lang=en" TargetMode="External"/><Relationship Id="rId1205" Type="http://schemas.openxmlformats.org/officeDocument/2006/relationships/hyperlink" Target="https://folkways.si.edu/los-hermanos-lovo/soy-salvadoreno-chanchona-music-from-eastern-el-salvador/latin/album/smithsonian" TargetMode="External"/><Relationship Id="rId1857" Type="http://schemas.openxmlformats.org/officeDocument/2006/relationships/hyperlink" Target="https://theglobaljukebox.org/?share=Ash%C3%A1ninka-T5402R46" TargetMode="External"/><Relationship Id="rId51" Type="http://schemas.openxmlformats.org/officeDocument/2006/relationships/hyperlink" Target="http://www.worldcat.org/oclc/40405295" TargetMode="External"/><Relationship Id="rId1412" Type="http://schemas.openxmlformats.org/officeDocument/2006/relationships/hyperlink" Target="http://gofile.me/3T2hs/MpnkuHTfp" TargetMode="External"/><Relationship Id="rId1717" Type="http://schemas.openxmlformats.org/officeDocument/2006/relationships/hyperlink" Target="https://theglobaljukebox.org/?share=Cluj-T5466R21" TargetMode="External"/><Relationship Id="rId1924" Type="http://schemas.openxmlformats.org/officeDocument/2006/relationships/hyperlink" Target="https://folkways.si.edu/australia-aboriginal-music/world/music/album/smithsonian" TargetMode="External"/><Relationship Id="rId298" Type="http://schemas.openxmlformats.org/officeDocument/2006/relationships/hyperlink" Target="http://media.theglobaljukebox.org/audio/T5561R04.mp3" TargetMode="External"/><Relationship Id="rId158" Type="http://schemas.openxmlformats.org/officeDocument/2006/relationships/hyperlink" Target="http://media.theglobaljukebox.org/audio/T5404R31.mp3" TargetMode="External"/><Relationship Id="rId2186" Type="http://schemas.openxmlformats.org/officeDocument/2006/relationships/hyperlink" Target="https://archives.crem-cnrs.fr/archives/items/CNRSMH_I_2000_004_015_04/" TargetMode="External"/><Relationship Id="rId365" Type="http://schemas.openxmlformats.org/officeDocument/2006/relationships/hyperlink" Target="https://www.discogs.com/Various-Lower-Caste-Religious-Music-From-India-Monks-Transvestites-Midwives-And-Folksingers/release/1926057" TargetMode="External"/><Relationship Id="rId572" Type="http://schemas.openxmlformats.org/officeDocument/2006/relationships/hyperlink" Target="https://theglobaljukebox.org/?share=Dominica-T5475R49" TargetMode="External"/><Relationship Id="rId2046" Type="http://schemas.openxmlformats.org/officeDocument/2006/relationships/hyperlink" Target="https://theglobaljukebox.org/?share=Palau-T5427R14" TargetMode="External"/><Relationship Id="rId225" Type="http://schemas.openxmlformats.org/officeDocument/2006/relationships/hyperlink" Target="http://media.theglobaljukebox.org/audio/T45017.mp3" TargetMode="External"/><Relationship Id="rId432" Type="http://schemas.openxmlformats.org/officeDocument/2006/relationships/hyperlink" Target="https://theglobaljukebox.org/?share=Guna-T5524R01" TargetMode="External"/><Relationship Id="rId877" Type="http://schemas.openxmlformats.org/officeDocument/2006/relationships/hyperlink" Target="http://media.theglobaljukebox.org/audio/T5528R05.mp3" TargetMode="External"/><Relationship Id="rId1062" Type="http://schemas.openxmlformats.org/officeDocument/2006/relationships/hyperlink" Target="https://theglobaljukebox.org/?share=Hebrides-T5590R10" TargetMode="External"/><Relationship Id="rId2113" Type="http://schemas.openxmlformats.org/officeDocument/2006/relationships/hyperlink" Target="https://folkways.si.edu/los-tres-paraguayos/guantanamera/latin-american-hits/world/music/album/smithsonian" TargetMode="External"/><Relationship Id="rId737" Type="http://schemas.openxmlformats.org/officeDocument/2006/relationships/hyperlink" Target="https://soundcloud.com/uwlibraries/blacking12" TargetMode="External"/><Relationship Id="rId944" Type="http://schemas.openxmlformats.org/officeDocument/2006/relationships/hyperlink" Target="https://theglobaljukebox.org/?share=Gargano-T5596R04" TargetMode="External"/><Relationship Id="rId1367" Type="http://schemas.openxmlformats.org/officeDocument/2006/relationships/hyperlink" Target="https://theglobaljukebox.org/" TargetMode="External"/><Relationship Id="rId1574" Type="http://schemas.openxmlformats.org/officeDocument/2006/relationships/hyperlink" Target="https://search.alexanderstreet.com/preview/work/bibliographic_entity%7Crecorded_cd%7C891378" TargetMode="External"/><Relationship Id="rId1781" Type="http://schemas.openxmlformats.org/officeDocument/2006/relationships/hyperlink" Target="https://sounds.bl.uk/World-and-traditional-music/Vanishing-voices-from-the-Uralic-world/025M-CEAP3470380A-04XXV0" TargetMode="External"/><Relationship Id="rId73" Type="http://schemas.openxmlformats.org/officeDocument/2006/relationships/hyperlink" Target="http://www.worldcat.org/oclc/36445854" TargetMode="External"/><Relationship Id="rId804" Type="http://schemas.openxmlformats.org/officeDocument/2006/relationships/hyperlink" Target="https://theglobaljukebox.org/?share=Galicia-T5471R08" TargetMode="External"/><Relationship Id="rId1227" Type="http://schemas.openxmlformats.org/officeDocument/2006/relationships/hyperlink" Target="https://folkways.si.edu/nigeria-yup-na-no-udu/childrens-world/music/track/smithsonian" TargetMode="External"/><Relationship Id="rId1434" Type="http://schemas.openxmlformats.org/officeDocument/2006/relationships/hyperlink" Target="http://media.theglobaljukebox.org/audio/T5430R26.mp3" TargetMode="External"/><Relationship Id="rId1641" Type="http://schemas.openxmlformats.org/officeDocument/2006/relationships/hyperlink" Target="https://search.alexanderstreet.com/preview/work/bibliographic_entity%7Crecorded_cd%7C891378" TargetMode="External"/><Relationship Id="rId1879" Type="http://schemas.openxmlformats.org/officeDocument/2006/relationships/hyperlink" Target="https://theglobaljukebox.org/" TargetMode="External"/><Relationship Id="rId1501" Type="http://schemas.openxmlformats.org/officeDocument/2006/relationships/hyperlink" Target="https://imgur.com/a/ZdMEWik" TargetMode="External"/><Relationship Id="rId1739" Type="http://schemas.openxmlformats.org/officeDocument/2006/relationships/hyperlink" Target="https://folkways.si.edu/sacred-and-profane-music-of-the-ika/american-indian-world/album/smithsonian" TargetMode="External"/><Relationship Id="rId1946" Type="http://schemas.openxmlformats.org/officeDocument/2006/relationships/hyperlink" Target="https://theglobaljukebox.org/?share=Schleswig-Holstein-T5465R15m" TargetMode="External"/><Relationship Id="rId1806" Type="http://schemas.openxmlformats.org/officeDocument/2006/relationships/hyperlink" Target="https://folkways.si.edu/afro-hispanic-music-from-western-colombia-and-ecuador/african-american-music-latin-world/music/album/smithsonian" TargetMode="External"/><Relationship Id="rId387" Type="http://schemas.openxmlformats.org/officeDocument/2006/relationships/hyperlink" Target="http://ampm.auckland.ac.nz/handle/id/67196" TargetMode="External"/><Relationship Id="rId594" Type="http://schemas.openxmlformats.org/officeDocument/2006/relationships/hyperlink" Target="http://media.theglobaljukebox.org/audio/T40010R03.mp3" TargetMode="External"/><Relationship Id="rId2068" Type="http://schemas.openxmlformats.org/officeDocument/2006/relationships/hyperlink" Target="https://theglobaljukebox.org/?share=Hebrides-T5468R18" TargetMode="External"/><Relationship Id="rId247" Type="http://schemas.openxmlformats.org/officeDocument/2006/relationships/hyperlink" Target="http://www.worldcat.org/title/australia-didjeridu-the-dharpa-songs-from-the-dreamtime-by-seachnasaigh/oclc/884167657&amp;referer=brief_results" TargetMode="External"/><Relationship Id="rId899" Type="http://schemas.openxmlformats.org/officeDocument/2006/relationships/hyperlink" Target="https://theglobaljukebox.org/?share=Dervish-T5483R21" TargetMode="External"/><Relationship Id="rId1084" Type="http://schemas.openxmlformats.org/officeDocument/2006/relationships/hyperlink" Target="https://theglobaljukebox.org/?share=Cora-T5405R71" TargetMode="External"/><Relationship Id="rId107" Type="http://schemas.openxmlformats.org/officeDocument/2006/relationships/hyperlink" Target="http://www.worldcat.org/oclc/51600680" TargetMode="External"/><Relationship Id="rId454" Type="http://schemas.openxmlformats.org/officeDocument/2006/relationships/hyperlink" Target="http://catalogue.aiatsis.gov.au/client/en_AU/external/search/detailnonmodal/ent:$002f$002fSD_ILS$002f0$002fSD_ILS:317042/ada?qu=healing+song&amp;te=ILS&amp;lm=AUDIO" TargetMode="External"/><Relationship Id="rId661" Type="http://schemas.openxmlformats.org/officeDocument/2006/relationships/hyperlink" Target="https://sounds.bl.uk/World-and-traditional-music/Music-from-India/025M-RKDATX0035XX-0100V0" TargetMode="External"/><Relationship Id="rId759" Type="http://schemas.openxmlformats.org/officeDocument/2006/relationships/hyperlink" Target="http://greenstone.ilam.ru.ac.za/collect/ilam/index/assoc/D9986.dir/TR195-13.mp3" TargetMode="External"/><Relationship Id="rId966" Type="http://schemas.openxmlformats.org/officeDocument/2006/relationships/hyperlink" Target="https://theglobaljukebox.org/" TargetMode="External"/><Relationship Id="rId1291" Type="http://schemas.openxmlformats.org/officeDocument/2006/relationships/hyperlink" Target="http://media.theglobaljukebox.org/audio/T5486R05.mp3" TargetMode="External"/><Relationship Id="rId1389" Type="http://schemas.openxmlformats.org/officeDocument/2006/relationships/hyperlink" Target="https://sounds.bl.uk/World-and-traditional-music/Music-from-India/025M-RKDATX0078XX-0200V0" TargetMode="External"/><Relationship Id="rId1596" Type="http://schemas.openxmlformats.org/officeDocument/2006/relationships/hyperlink" Target="https://folkways.si.edu/karen-james-and-isabelita-alonso/childrens-songs-from-spain/world/music/album/smithsonian" TargetMode="External"/><Relationship Id="rId2135" Type="http://schemas.openxmlformats.org/officeDocument/2006/relationships/hyperlink" Target="https://folkways.si.edu/makawatiweh/flute-ceremony/american-indian/music/track/smithsonian" TargetMode="External"/><Relationship Id="rId314" Type="http://schemas.openxmlformats.org/officeDocument/2006/relationships/hyperlink" Target="http://media.theglobaljukebox.org/audio/T5450R20.mp3" TargetMode="External"/><Relationship Id="rId521" Type="http://schemas.openxmlformats.org/officeDocument/2006/relationships/hyperlink" Target="https://theglobaljukebox.org/?share=Haiti-T5623R06" TargetMode="External"/><Relationship Id="rId619" Type="http://schemas.openxmlformats.org/officeDocument/2006/relationships/hyperlink" Target="https://theglobaljukebox.org/?share=Amami-T5414R18" TargetMode="External"/><Relationship Id="rId1151" Type="http://schemas.openxmlformats.org/officeDocument/2006/relationships/hyperlink" Target="https://sounds.bl.uk/World-and-traditional-music/Colin-Huehns-Pakistan/025M-C0485X0083XX-2800V0" TargetMode="External"/><Relationship Id="rId1249" Type="http://schemas.openxmlformats.org/officeDocument/2006/relationships/hyperlink" Target="https://search.alexanderstreet.com/preview/work/bibliographic_entity%7Crecorded_cd%7C373401?ssotoken=anonymous" TargetMode="External"/><Relationship Id="rId2202" Type="http://schemas.openxmlformats.org/officeDocument/2006/relationships/hyperlink" Target="https://archives.crem-cnrs.fr/archives/items/1635/" TargetMode="External"/><Relationship Id="rId95" Type="http://schemas.openxmlformats.org/officeDocument/2006/relationships/hyperlink" Target="http://www.worldcat.org/oclc/12360210" TargetMode="External"/><Relationship Id="rId826" Type="http://schemas.openxmlformats.org/officeDocument/2006/relationships/hyperlink" Target="http://www.worldcat.org/title/inuit-fifty-five-historical-recordings/oclc/52848634&amp;referer=brief_results" TargetMode="External"/><Relationship Id="rId1011" Type="http://schemas.openxmlformats.org/officeDocument/2006/relationships/hyperlink" Target="https://theglobaljukebox.org/" TargetMode="External"/><Relationship Id="rId1109" Type="http://schemas.openxmlformats.org/officeDocument/2006/relationships/hyperlink" Target="https://ailla.utexas.org/islandora/object/ailla%3A124939" TargetMode="External"/><Relationship Id="rId1456" Type="http://schemas.openxmlformats.org/officeDocument/2006/relationships/hyperlink" Target="https://sounds.bl.uk/World-and-traditional-music/Nicholas-Pierce-Balochistan/025M-C0140X0014XX-0500V0" TargetMode="External"/><Relationship Id="rId1663" Type="http://schemas.openxmlformats.org/officeDocument/2006/relationships/hyperlink" Target="https://theglobaljukebox.org/?share=Cork-T5589R12" TargetMode="External"/><Relationship Id="rId1870" Type="http://schemas.openxmlformats.org/officeDocument/2006/relationships/hyperlink" Target="https://theglobaljukebox.org/" TargetMode="External"/><Relationship Id="rId1968" Type="http://schemas.openxmlformats.org/officeDocument/2006/relationships/hyperlink" Target="https://theglobaljukebox.org/?share=Tohono%20O%E2%80%99odham-T5405R17" TargetMode="External"/><Relationship Id="rId1316" Type="http://schemas.openxmlformats.org/officeDocument/2006/relationships/hyperlink" Target="https://search.alexanderstreet.com/preview/work/bibliographic_entity%7Cliner_notes%7C2258560" TargetMode="External"/><Relationship Id="rId1523" Type="http://schemas.openxmlformats.org/officeDocument/2006/relationships/hyperlink" Target="http://id.lib.harvard.edu/alma/990127609360203941/catalog" TargetMode="External"/><Relationship Id="rId1730" Type="http://schemas.openxmlformats.org/officeDocument/2006/relationships/hyperlink" Target="https://theglobaljukebox.org/?share=Central%20Bosnia-T5462R63" TargetMode="External"/><Relationship Id="rId22" Type="http://schemas.openxmlformats.org/officeDocument/2006/relationships/hyperlink" Target="http://www.worldcat.org/title/ainu-songs-chants-des-ainou/oclc/908844651&amp;referer=brief_results" TargetMode="External"/><Relationship Id="rId1828" Type="http://schemas.openxmlformats.org/officeDocument/2006/relationships/hyperlink" Target="https://folkways.si.edu/lola-kiepja/hehe/american-indian/music/track/smithsonian" TargetMode="External"/><Relationship Id="rId171" Type="http://schemas.openxmlformats.org/officeDocument/2006/relationships/hyperlink" Target="http://media.theglobaljukebox.org/audio/T40019R07.mp3" TargetMode="External"/><Relationship Id="rId269" Type="http://schemas.openxmlformats.org/officeDocument/2006/relationships/hyperlink" Target="https://theglobaljukebox.org/?share=Tongans-" TargetMode="External"/><Relationship Id="rId476" Type="http://schemas.openxmlformats.org/officeDocument/2006/relationships/hyperlink" Target="http://www.worldcat.org/oclc/66145299" TargetMode="External"/><Relationship Id="rId683" Type="http://schemas.openxmlformats.org/officeDocument/2006/relationships/hyperlink" Target="http://media.theglobaljukebox.org/audio/T45043.mp3" TargetMode="External"/><Relationship Id="rId890" Type="http://schemas.openxmlformats.org/officeDocument/2006/relationships/hyperlink" Target="https://folkways.si.edu/fawz-al-arfush/nadb-lamenting-ill-fate-possibly-for-a-deceased-parent/islamica-world/music/track/smithsonian" TargetMode="External"/><Relationship Id="rId2157" Type="http://schemas.openxmlformats.org/officeDocument/2006/relationships/hyperlink" Target="https://theglobaljukebox.org/?share=Karaj%C3%A1-T5403R60" TargetMode="External"/><Relationship Id="rId129" Type="http://schemas.openxmlformats.org/officeDocument/2006/relationships/hyperlink" Target="https://theglobaljukebox.org/?share=Hamar-T5625R12m" TargetMode="External"/><Relationship Id="rId336" Type="http://schemas.openxmlformats.org/officeDocument/2006/relationships/hyperlink" Target="http://media.theglobaljukebox.org/audio/T5411R15m.mp3" TargetMode="External"/><Relationship Id="rId543" Type="http://schemas.openxmlformats.org/officeDocument/2006/relationships/hyperlink" Target="https://theglobaljukebox.org/?share=Vasilj-T5591R09" TargetMode="External"/><Relationship Id="rId988" Type="http://schemas.openxmlformats.org/officeDocument/2006/relationships/hyperlink" Target="https://theglobaljukebox.org/?share=Otomi-T5487R31" TargetMode="External"/><Relationship Id="rId1173" Type="http://schemas.openxmlformats.org/officeDocument/2006/relationships/hyperlink" Target="https://folkways.si.edu/walter-ferguson-gavitt/mr-gavitt-calypsos-of-costa-rica/caribbean-world/music/album/smithsonian" TargetMode="External"/><Relationship Id="rId1380" Type="http://schemas.openxmlformats.org/officeDocument/2006/relationships/hyperlink" Target="http://www.worldcat.org/oclc/491890847" TargetMode="External"/><Relationship Id="rId2017" Type="http://schemas.openxmlformats.org/officeDocument/2006/relationships/hyperlink" Target="https://search-alexanderstreet-com.ezp-prod1.hul.harvard.edu/view/work/bibliographic_entity%7Crecorded_cd%7C73763" TargetMode="External"/><Relationship Id="rId403" Type="http://schemas.openxmlformats.org/officeDocument/2006/relationships/hyperlink" Target="http://ampm.auckland.ac.nz/handle/id/91293" TargetMode="External"/><Relationship Id="rId750" Type="http://schemas.openxmlformats.org/officeDocument/2006/relationships/hyperlink" Target="http://greenstone.ilam.ru.ac.za/collect/ilam/index/assoc/D10215.dir/TR216-03.mp3" TargetMode="External"/><Relationship Id="rId848" Type="http://schemas.openxmlformats.org/officeDocument/2006/relationships/hyperlink" Target="http://media.theglobaljukebox.org/audio/T5482R35.mp3" TargetMode="External"/><Relationship Id="rId1033" Type="http://schemas.openxmlformats.org/officeDocument/2006/relationships/hyperlink" Target="https://theglobaljukebox.org/?share=Baggara-T5626R22m" TargetMode="External"/><Relationship Id="rId1478" Type="http://schemas.openxmlformats.org/officeDocument/2006/relationships/hyperlink" Target="https://folkways.si.edu/italian-folk-songs-and-dances/world/music/album/smithsonian" TargetMode="External"/><Relationship Id="rId1685" Type="http://schemas.openxmlformats.org/officeDocument/2006/relationships/hyperlink" Target="https://theglobaljukebox.org/?share=Otavalo-T5402R83" TargetMode="External"/><Relationship Id="rId1892" Type="http://schemas.openxmlformats.org/officeDocument/2006/relationships/hyperlink" Target="http://gofile.me/3T2hs/MnZrYSH2B" TargetMode="External"/><Relationship Id="rId610" Type="http://schemas.openxmlformats.org/officeDocument/2006/relationships/hyperlink" Target="http://media.theglobaljukebox.org/audio/T5625R25m.mp3" TargetMode="External"/><Relationship Id="rId708" Type="http://schemas.openxmlformats.org/officeDocument/2006/relationships/hyperlink" Target="http://greenstone.ilam.ru.ac.za/collect/ilam/index/assoc/D7881.dir/TR052-09.mp3" TargetMode="External"/><Relationship Id="rId915" Type="http://schemas.openxmlformats.org/officeDocument/2006/relationships/hyperlink" Target="https://theglobaljukebox.org/?share=Bukharan%20Uzbeks-T5412R02" TargetMode="External"/><Relationship Id="rId1240" Type="http://schemas.openxmlformats.org/officeDocument/2006/relationships/hyperlink" Target="https://folkways.si.edu/traditional-music-of-the-garifuna-of-belize/american-indian-world/album/smithsonian" TargetMode="External"/><Relationship Id="rId1338" Type="http://schemas.openxmlformats.org/officeDocument/2006/relationships/hyperlink" Target="http://media.theglobaljukebox.org/audio/T5431R13.mp3" TargetMode="External"/><Relationship Id="rId1545" Type="http://schemas.openxmlformats.org/officeDocument/2006/relationships/hyperlink" Target="https://folkways.si.edu/alexander-davakai/excerpt-from-shamanic-healing-ritual/world/music/track/smithsonian" TargetMode="External"/><Relationship Id="rId1100" Type="http://schemas.openxmlformats.org/officeDocument/2006/relationships/hyperlink" Target="http://media.theglobaljukebox.org/audio/T5492R22.mp3" TargetMode="External"/><Relationship Id="rId1405" Type="http://schemas.openxmlformats.org/officeDocument/2006/relationships/hyperlink" Target="http://gofile.me/3T2hs/dc5vIiWeJ" TargetMode="External"/><Relationship Id="rId1752" Type="http://schemas.openxmlformats.org/officeDocument/2006/relationships/hyperlink" Target="https://theglobaljukebox.org/?share=Bristol-T5587R10" TargetMode="External"/><Relationship Id="rId44" Type="http://schemas.openxmlformats.org/officeDocument/2006/relationships/hyperlink" Target="http://www.worldcat.org/oclc/40051731" TargetMode="External"/><Relationship Id="rId1612" Type="http://schemas.openxmlformats.org/officeDocument/2006/relationships/hyperlink" Target="http://gofile.me/3T2hs/OuqnXT3KC" TargetMode="External"/><Relationship Id="rId1917" Type="http://schemas.openxmlformats.org/officeDocument/2006/relationships/hyperlink" Target="https://theglobaljukebox.org/?share=Toba-T5401R53" TargetMode="External"/><Relationship Id="rId193" Type="http://schemas.openxmlformats.org/officeDocument/2006/relationships/hyperlink" Target="http://www.worldcat.org/title/songs-of-the-inuit-iglulik-canada/oclc/65196223" TargetMode="External"/><Relationship Id="rId498" Type="http://schemas.openxmlformats.org/officeDocument/2006/relationships/hyperlink" Target="http://ampm.auckland.ac.nz/handle/id/66942" TargetMode="External"/><Relationship Id="rId2081" Type="http://schemas.openxmlformats.org/officeDocument/2006/relationships/hyperlink" Target="https://sounds.bl.uk/World-and-traditional-music/Endangered-Micronesian-recordings/025M-CEAP115X4X84-005ZV0" TargetMode="External"/><Relationship Id="rId2179" Type="http://schemas.openxmlformats.org/officeDocument/2006/relationships/hyperlink" Target="https://folkways.si.edu/teresa-paterito-rosa-ovando-jose-lopez/chichili/arhasi/lile-duck/qorqwa-yerwa/yeqchal/kunchar/american-indian-world/music/track/smithsonian" TargetMode="External"/><Relationship Id="rId260" Type="http://schemas.openxmlformats.org/officeDocument/2006/relationships/hyperlink" Target="https://theglobaljukebox.org/?share=Bankalawa%20Jarawa-T5460R14" TargetMode="External"/><Relationship Id="rId120" Type="http://schemas.openxmlformats.org/officeDocument/2006/relationships/hyperlink" Target="https://folkways.si.edu/tommy-barandjak-harry-ferguson/wongga-dance-songs-selected-items/music/track/smithsonian" TargetMode="External"/><Relationship Id="rId358" Type="http://schemas.openxmlformats.org/officeDocument/2006/relationships/hyperlink" Target="https://www.discogs.com/Various-Festivals-Of-The-Himalayas-Volume-II/release/3004143" TargetMode="External"/><Relationship Id="rId565" Type="http://schemas.openxmlformats.org/officeDocument/2006/relationships/hyperlink" Target="http://ampm.auckland.ac.nz/handle/id/86944" TargetMode="External"/><Relationship Id="rId772" Type="http://schemas.openxmlformats.org/officeDocument/2006/relationships/hyperlink" Target="http://greenstone.ilam.ru.ac.za/collect/ilam/index/assoc/D32289.dir/AC0547-C4V16.mp3" TargetMode="External"/><Relationship Id="rId1195" Type="http://schemas.openxmlformats.org/officeDocument/2006/relationships/hyperlink" Target="https://folkways.si.edu/antonio-de-la-cruz-and-t-de-jesus/josefinita/clavel-color-de-rosa/male-teresita-medley/american-indian-world/music/track/smithsonian" TargetMode="External"/><Relationship Id="rId2039" Type="http://schemas.openxmlformats.org/officeDocument/2006/relationships/hyperlink" Target="https://theglobaljukebox.org/?share=Ulithi-T5427R21" TargetMode="External"/><Relationship Id="rId218" Type="http://schemas.openxmlformats.org/officeDocument/2006/relationships/hyperlink" Target="https://folkways.si.edu/the-eskimos-of-hudson-bay-and-alaska/american-indian/music/album/smithsonian" TargetMode="External"/><Relationship Id="rId425" Type="http://schemas.openxmlformats.org/officeDocument/2006/relationships/hyperlink" Target="http://archives.crem-cnrs.fr/archives/items/CNRSMH_I_2016_030_000_299/" TargetMode="External"/><Relationship Id="rId632" Type="http://schemas.openxmlformats.org/officeDocument/2006/relationships/hyperlink" Target="https://theglobaljukebox.org/?share=Mari-T5463R20" TargetMode="External"/><Relationship Id="rId1055" Type="http://schemas.openxmlformats.org/officeDocument/2006/relationships/hyperlink" Target="https://theglobaljukebox.org/?share=Madjingaye-T30012" TargetMode="External"/><Relationship Id="rId1262" Type="http://schemas.openxmlformats.org/officeDocument/2006/relationships/hyperlink" Target="https://sounds.bl.uk/World-and-traditional-music/Music-from-India/025M-RKDATX0007XX-0100V0" TargetMode="External"/><Relationship Id="rId2106" Type="http://schemas.openxmlformats.org/officeDocument/2006/relationships/hyperlink" Target="https://sounds.bl.uk/World-and-traditional-music/Endangered-Micronesian-recordings/025M-CEAP115X4100-004ZV0" TargetMode="External"/><Relationship Id="rId937" Type="http://schemas.openxmlformats.org/officeDocument/2006/relationships/hyperlink" Target="https://folkways.si.edu/dodam-mutai-funeral-song-with-kanhi-fiddle/funeral-song-doh-dam-mutai/world/music/track/smithsonian" TargetMode="External"/><Relationship Id="rId1122" Type="http://schemas.openxmlformats.org/officeDocument/2006/relationships/hyperlink" Target="https://theglobaljukebox.org/?share=Pari-T5437R10" TargetMode="External"/><Relationship Id="rId1567" Type="http://schemas.openxmlformats.org/officeDocument/2006/relationships/hyperlink" Target="https://folkways.si.edu/avery-and-fidelia-jimerson/2-alligator-dance-songs/american-indian/music/track/smithsonian" TargetMode="External"/><Relationship Id="rId1774" Type="http://schemas.openxmlformats.org/officeDocument/2006/relationships/hyperlink" Target="https://folkways.si.edu/jerome-vanderburg/love-songs/american-indian/music/track/smithsonian" TargetMode="External"/><Relationship Id="rId1981" Type="http://schemas.openxmlformats.org/officeDocument/2006/relationships/hyperlink" Target="http://gofile.me/3T2hs/GmioLCkAi" TargetMode="External"/><Relationship Id="rId66" Type="http://schemas.openxmlformats.org/officeDocument/2006/relationships/hyperlink" Target="http://www.worldcat.org/oclc/48549360" TargetMode="External"/><Relationship Id="rId1427" Type="http://schemas.openxmlformats.org/officeDocument/2006/relationships/hyperlink" Target="http://media.theglobaljukebox.org/audio/T5425R50.mp3" TargetMode="External"/><Relationship Id="rId1634" Type="http://schemas.openxmlformats.org/officeDocument/2006/relationships/hyperlink" Target="https://folkways.si.edu/dabuyabarugu-inside-the-temple-sacred-music-of-the-garifuna-of-belize/american-indian-world/album/smithsonian" TargetMode="External"/><Relationship Id="rId1841" Type="http://schemas.openxmlformats.org/officeDocument/2006/relationships/hyperlink" Target="https://search.alexanderstreet.com/view/work/bibliographic_entity%7Crecorded_track%7C238684" TargetMode="External"/><Relationship Id="rId1939" Type="http://schemas.openxmlformats.org/officeDocument/2006/relationships/hyperlink" Target="https://theglobaljukebox.org/?share=Hungary%20Folk-T5462R43" TargetMode="External"/><Relationship Id="rId1701" Type="http://schemas.openxmlformats.org/officeDocument/2006/relationships/hyperlink" Target="https://theglobaljukebox.org/?share=Quechua-T5543R47" TargetMode="External"/><Relationship Id="rId282" Type="http://schemas.openxmlformats.org/officeDocument/2006/relationships/hyperlink" Target="http://media.theglobaljukebox.org/audio/T5403R45.mp3" TargetMode="External"/><Relationship Id="rId587" Type="http://schemas.openxmlformats.org/officeDocument/2006/relationships/hyperlink" Target="https://theglobaljukebox.org/?share=Bulu-T5458R12" TargetMode="External"/><Relationship Id="rId2170" Type="http://schemas.openxmlformats.org/officeDocument/2006/relationships/hyperlink" Target="https://folkways.si.edu/saga-sjoberg-and-arne-dorumsgaard/kullan-ylistys-love-song/world/music/track/smithsonian" TargetMode="External"/><Relationship Id="rId8" Type="http://schemas.openxmlformats.org/officeDocument/2006/relationships/hyperlink" Target="http://www.worldcat.org/oclc/74386532" TargetMode="External"/><Relationship Id="rId142" Type="http://schemas.openxmlformats.org/officeDocument/2006/relationships/hyperlink" Target="http://media.theglobaljukebox.org/audio/T5403R86.mp3" TargetMode="External"/><Relationship Id="rId447" Type="http://schemas.openxmlformats.org/officeDocument/2006/relationships/hyperlink" Target="https://theglobaljukebox.org/?share=Toba-T5401R54" TargetMode="External"/><Relationship Id="rId794" Type="http://schemas.openxmlformats.org/officeDocument/2006/relationships/hyperlink" Target="https://folkways.si.edu/shiraisi-odori/world/music/track/smithsonian" TargetMode="External"/><Relationship Id="rId1077" Type="http://schemas.openxmlformats.org/officeDocument/2006/relationships/hyperlink" Target="https://sounds.bl.uk/World-and-traditional-music/Vanishing-voices-from-the-Uralic-world/025M-CEAP3470563B-10XXV0" TargetMode="External"/><Relationship Id="rId2030" Type="http://schemas.openxmlformats.org/officeDocument/2006/relationships/hyperlink" Target="https://folkways.si.edu/francisco-challapa-chamaca-eugenio-challapa-challapa/solo-on-the-tara/tata-san-juan/american-indian-world/music/track/smithsonian" TargetMode="External"/><Relationship Id="rId2128" Type="http://schemas.openxmlformats.org/officeDocument/2006/relationships/hyperlink" Target="http://gofile.me/3T2hs/dzomj9SVm" TargetMode="External"/><Relationship Id="rId654" Type="http://schemas.openxmlformats.org/officeDocument/2006/relationships/hyperlink" Target="https://folkways.si.edu/pushtu-love-song-love-song-from-the-northwest-frontier-province/central-asia-islamica-world/music/track/smithsonian" TargetMode="External"/><Relationship Id="rId861" Type="http://schemas.openxmlformats.org/officeDocument/2006/relationships/hyperlink" Target="http://media.theglobaljukebox.org/audio/T5614R03.mp3" TargetMode="External"/><Relationship Id="rId959" Type="http://schemas.openxmlformats.org/officeDocument/2006/relationships/hyperlink" Target="https://theglobaljukebox.org/?share=Uyghur-T5490R11" TargetMode="External"/><Relationship Id="rId1284" Type="http://schemas.openxmlformats.org/officeDocument/2006/relationships/hyperlink" Target="https://theglobaljukebox.org/?share=Georgia-T5467R15" TargetMode="External"/><Relationship Id="rId1491" Type="http://schemas.openxmlformats.org/officeDocument/2006/relationships/hyperlink" Target="https://folkways.si.edu/tom-willie-johnson/tw-12-paddle-song/american-indian/music/track/smithsonian" TargetMode="External"/><Relationship Id="rId1589" Type="http://schemas.openxmlformats.org/officeDocument/2006/relationships/hyperlink" Target="https://folkways.si.edu/joanne-shenandoah/fish-dance-song/american-indian/music/track/smithsonian" TargetMode="External"/><Relationship Id="rId307" Type="http://schemas.openxmlformats.org/officeDocument/2006/relationships/hyperlink" Target="https://sounds.bl.uk/World-and-traditional-music/Ken-Gourlay-Uganda/025M-C0105X0010XX-1700V0" TargetMode="External"/><Relationship Id="rId514" Type="http://schemas.openxmlformats.org/officeDocument/2006/relationships/hyperlink" Target="https://theglobaljukebox.org/?share=Trinidad%20Creole-T5476R23" TargetMode="External"/><Relationship Id="rId721" Type="http://schemas.openxmlformats.org/officeDocument/2006/relationships/hyperlink" Target="http://media.theglobaljukebox.org/audio/T30085.mp3" TargetMode="External"/><Relationship Id="rId1144" Type="http://schemas.openxmlformats.org/officeDocument/2006/relationships/hyperlink" Target="https://theglobaljukebox.org/?share=Wix%C3%A1ritari-T5405R05" TargetMode="External"/><Relationship Id="rId1351" Type="http://schemas.openxmlformats.org/officeDocument/2006/relationships/hyperlink" Target="http://gofile.me/3T2hs/UOKiCgTvE" TargetMode="External"/><Relationship Id="rId1449" Type="http://schemas.openxmlformats.org/officeDocument/2006/relationships/hyperlink" Target="https://search.alexanderstreet.com/preview/work/bibliographic_entity%7Cvideo_work%7C3953633" TargetMode="External"/><Relationship Id="rId1796" Type="http://schemas.openxmlformats.org/officeDocument/2006/relationships/hyperlink" Target="https://theglobaljukebox.org/" TargetMode="External"/><Relationship Id="rId88" Type="http://schemas.openxmlformats.org/officeDocument/2006/relationships/hyperlink" Target="http://www.worldcat.org/oclc/321004055" TargetMode="External"/><Relationship Id="rId819" Type="http://schemas.openxmlformats.org/officeDocument/2006/relationships/hyperlink" Target="http://media.theglobaljukebox.org/audio/T5401R14.mp3" TargetMode="External"/><Relationship Id="rId1004" Type="http://schemas.openxmlformats.org/officeDocument/2006/relationships/hyperlink" Target="https://theglobaljukebox.org/" TargetMode="External"/><Relationship Id="rId1211" Type="http://schemas.openxmlformats.org/officeDocument/2006/relationships/hyperlink" Target="https://folkways.si.edu/tengir-too/jol-jurush-on-the-road/central-asia-islamica-world/music/track/smithsonian" TargetMode="External"/><Relationship Id="rId1656" Type="http://schemas.openxmlformats.org/officeDocument/2006/relationships/hyperlink" Target="https://search.alexanderstreet.com/preview/work/bibliographic_entity%7Crecorded_cd%7C776444" TargetMode="External"/><Relationship Id="rId1863" Type="http://schemas.openxmlformats.org/officeDocument/2006/relationships/hyperlink" Target="http://gofile.me/3T2hs/bwp1oXXqP" TargetMode="External"/><Relationship Id="rId1309" Type="http://schemas.openxmlformats.org/officeDocument/2006/relationships/hyperlink" Target="https://browse.nypl.org/iii/encore/record/C__Rb18403807__SNon-Russian%20folk%20traditions__Orightresult__X6?lang=eng&amp;suite=def" TargetMode="External"/><Relationship Id="rId1516" Type="http://schemas.openxmlformats.org/officeDocument/2006/relationships/hyperlink" Target="https://search.alexanderstreet.com/preview/work/bibliographic_entity%7Crecorded_cd%7C776462" TargetMode="External"/><Relationship Id="rId1723" Type="http://schemas.openxmlformats.org/officeDocument/2006/relationships/hyperlink" Target="https://theglobaljukebox.org/?share=Macedonia-T5467R32" TargetMode="External"/><Relationship Id="rId1930" Type="http://schemas.openxmlformats.org/officeDocument/2006/relationships/hyperlink" Target="https://folkways.si.edu/tribal-music-of-australia/world/album/smithsonian" TargetMode="External"/><Relationship Id="rId15" Type="http://schemas.openxmlformats.org/officeDocument/2006/relationships/hyperlink" Target="http://www.worldcat.org/oclc/6290866" TargetMode="External"/><Relationship Id="rId2192" Type="http://schemas.openxmlformats.org/officeDocument/2006/relationships/hyperlink" Target="https://archives.crem-cnrs.fr/archives/items/CNRSMH_I_2000_004_014_04/" TargetMode="External"/><Relationship Id="rId164" Type="http://schemas.openxmlformats.org/officeDocument/2006/relationships/hyperlink" Target="http://media.theglobaljukebox.org/audio/T40026R04m.mp3" TargetMode="External"/><Relationship Id="rId371" Type="http://schemas.openxmlformats.org/officeDocument/2006/relationships/hyperlink" Target="https://theglobaljukebox.org/?share=Andh-T5417R40" TargetMode="External"/><Relationship Id="rId2052" Type="http://schemas.openxmlformats.org/officeDocument/2006/relationships/hyperlink" Target="https://sounds.bl.uk/World-and-traditional-music/Endangered-Micronesian-recordings/025M-CEAP115X4X77-003ZV0" TargetMode="External"/><Relationship Id="rId469" Type="http://schemas.openxmlformats.org/officeDocument/2006/relationships/hyperlink" Target="http://media.theglobaljukebox.org/audio/T5410R27.mp3" TargetMode="External"/><Relationship Id="rId676" Type="http://schemas.openxmlformats.org/officeDocument/2006/relationships/hyperlink" Target="http://media.theglobaljukebox.org/audio/T40031R02.mp3" TargetMode="External"/><Relationship Id="rId883" Type="http://schemas.openxmlformats.org/officeDocument/2006/relationships/hyperlink" Target="https://folkways.si.edu/song-of-valor/islamica-world/music/track/smithsonian" TargetMode="External"/><Relationship Id="rId1099" Type="http://schemas.openxmlformats.org/officeDocument/2006/relationships/hyperlink" Target="http://media.theglobaljukebox.org/audio/T5492R15.mp3" TargetMode="External"/><Relationship Id="rId231" Type="http://schemas.openxmlformats.org/officeDocument/2006/relationships/hyperlink" Target="https://sounds.bl.uk/World-and-traditional-music/Vanishing-voices-from-the-Uralic-world/025M-CEAP3470061A-01XXV0" TargetMode="External"/><Relationship Id="rId329" Type="http://schemas.openxmlformats.org/officeDocument/2006/relationships/hyperlink" Target="https://theglobaljukebox.org/?share=Tikopia-T5428R58" TargetMode="External"/><Relationship Id="rId536" Type="http://schemas.openxmlformats.org/officeDocument/2006/relationships/hyperlink" Target="https://search-alexanderstreet-com.ezp-prod1.hul.harvard.edu/view/work/bibliographic_entity%7Crecorded_cd%7C511039" TargetMode="External"/><Relationship Id="rId1166" Type="http://schemas.openxmlformats.org/officeDocument/2006/relationships/hyperlink" Target="https://folkways.si.edu/music-of-the-miskito-indians-of-honduras-and-nicaragua/american-indian-struggle-protest-world/album/smithsonian" TargetMode="External"/><Relationship Id="rId1373" Type="http://schemas.openxmlformats.org/officeDocument/2006/relationships/hyperlink" Target="https://theglobaljukebox.org/?share=Tolai-T5430R33" TargetMode="External"/><Relationship Id="rId743" Type="http://schemas.openxmlformats.org/officeDocument/2006/relationships/hyperlink" Target="http://greenstone.ilam.ru.ac.za/collect/ilam/index/assoc/D32089.dir/AC0494-C3Z12a.mp3" TargetMode="External"/><Relationship Id="rId950" Type="http://schemas.openxmlformats.org/officeDocument/2006/relationships/hyperlink" Target="https://theglobaljukebox.org/?share=Uyghur-T5490R04" TargetMode="External"/><Relationship Id="rId1026" Type="http://schemas.openxmlformats.org/officeDocument/2006/relationships/hyperlink" Target="https://theglobaljukebox.org/?share=Andalucia-T45018" TargetMode="External"/><Relationship Id="rId1580" Type="http://schemas.openxmlformats.org/officeDocument/2006/relationships/hyperlink" Target="http://www.worldcat.org/title/in-the-trail-of-the-wind-american-indian-poems-and-ritual-orations/oclc/136520&amp;referer=brief_results" TargetMode="External"/><Relationship Id="rId1678" Type="http://schemas.openxmlformats.org/officeDocument/2006/relationships/hyperlink" Target="https://theglobaljukebox.org/?share=Oltenia-T5466R35" TargetMode="External"/><Relationship Id="rId1885" Type="http://schemas.openxmlformats.org/officeDocument/2006/relationships/hyperlink" Target="http://gofile.me/3T2hs/mDmGdyyQV" TargetMode="External"/><Relationship Id="rId603" Type="http://schemas.openxmlformats.org/officeDocument/2006/relationships/hyperlink" Target="https://search-alexanderstreet-com.ezp-prod1.hul.harvard.edu/view/work/bibliographic_entity%7Crecorded_cd%7C326548" TargetMode="External"/><Relationship Id="rId810" Type="http://schemas.openxmlformats.org/officeDocument/2006/relationships/hyperlink" Target="http://media.theglobaljukebox.org/audio/T5611R13m.mp3" TargetMode="External"/><Relationship Id="rId908" Type="http://schemas.openxmlformats.org/officeDocument/2006/relationships/hyperlink" Target="https://theglobaljukebox.org/?share=Wolof-T5461R01" TargetMode="External"/><Relationship Id="rId1233" Type="http://schemas.openxmlformats.org/officeDocument/2006/relationships/hyperlink" Target="https://folkways.si.edu/music-of-the-indians-of-panama-the-cuna-tule-and-chocoe-embera-tribes/american-indian-world/album/smithsonian" TargetMode="External"/><Relationship Id="rId1440" Type="http://schemas.openxmlformats.org/officeDocument/2006/relationships/hyperlink" Target="http://media.theglobaljukebox.org/audio/T5428R19.mp3" TargetMode="External"/><Relationship Id="rId1538" Type="http://schemas.openxmlformats.org/officeDocument/2006/relationships/hyperlink" Target="https://folkways.si.edu/the-badakhshan-ensemble/maddoh-praise/central-asia-islamica-world/music/track/smithsonian" TargetMode="External"/><Relationship Id="rId1300" Type="http://schemas.openxmlformats.org/officeDocument/2006/relationships/hyperlink" Target="https://theglobaljukebox.org/?share=Kanioka-T5450R01" TargetMode="External"/><Relationship Id="rId1745" Type="http://schemas.openxmlformats.org/officeDocument/2006/relationships/hyperlink" Target="https://theglobaljukebox.org/" TargetMode="External"/><Relationship Id="rId1952" Type="http://schemas.openxmlformats.org/officeDocument/2006/relationships/hyperlink" Target="https://ailla.utexas.org/islandora/object/ailla%3A136036" TargetMode="External"/><Relationship Id="rId37" Type="http://schemas.openxmlformats.org/officeDocument/2006/relationships/hyperlink" Target="http://www.worldcat.org/oclc/49687253" TargetMode="External"/><Relationship Id="rId1605" Type="http://schemas.openxmlformats.org/officeDocument/2006/relationships/hyperlink" Target="https://search.alexanderstreet.com/preview/work/bibliographic_entity%7Crecorded_cd%7C510900" TargetMode="External"/><Relationship Id="rId1812" Type="http://schemas.openxmlformats.org/officeDocument/2006/relationships/hyperlink" Target="http://ezp-prod1.hul.harvard.edu/login?url=https://search.alexanderstreet.com/embed/token/04si8oj5e9q7ochj64rjce8" TargetMode="External"/><Relationship Id="rId186" Type="http://schemas.openxmlformats.org/officeDocument/2006/relationships/hyperlink" Target="https://sounds.bl.uk/World-and-traditional-music/Peter-Cooke-Uganda/025M-C0023X0021XX-0200V0" TargetMode="External"/><Relationship Id="rId393" Type="http://schemas.openxmlformats.org/officeDocument/2006/relationships/hyperlink" Target="http://ampm.auckland.ac.nz/handle/id/82479" TargetMode="External"/><Relationship Id="rId2074" Type="http://schemas.openxmlformats.org/officeDocument/2006/relationships/hyperlink" Target="https://sounds.bl.uk/World-and-traditional-music/Endangered-Micronesian-recordings/025M-CEAP115X4X83-001ZV0" TargetMode="External"/><Relationship Id="rId253" Type="http://schemas.openxmlformats.org/officeDocument/2006/relationships/hyperlink" Target="https://theglobaljukebox.org/?share=Maori-T5429R04" TargetMode="External"/><Relationship Id="rId460" Type="http://schemas.openxmlformats.org/officeDocument/2006/relationships/hyperlink" Target="http://www.worldcat.org/title/songs-from-the-kimberleys-aboriginal-music-from-the-kimberley-region-of-western-australia/oclc/767510325&amp;referer=brief_results" TargetMode="External"/><Relationship Id="rId698" Type="http://schemas.openxmlformats.org/officeDocument/2006/relationships/hyperlink" Target="http://archives.crem-cnrs.fr/archives/items/CNRSMH_E_1997_006_001_06/" TargetMode="External"/><Relationship Id="rId1090" Type="http://schemas.openxmlformats.org/officeDocument/2006/relationships/hyperlink" Target="https://theglobaljukebox.org/?share=Umbria-Marche-T5472R24" TargetMode="External"/><Relationship Id="rId2141" Type="http://schemas.openxmlformats.org/officeDocument/2006/relationships/hyperlink" Target="https://theglobaljukebox.org/?share=Seri-T5405R43" TargetMode="External"/><Relationship Id="rId113" Type="http://schemas.openxmlformats.org/officeDocument/2006/relationships/hyperlink" Target="https://folkways.si.edu/the-eskimos-of-hudson-bay-and-alaska/american-indian/music/album/smithsonian" TargetMode="External"/><Relationship Id="rId320" Type="http://schemas.openxmlformats.org/officeDocument/2006/relationships/hyperlink" Target="https://theglobaljukebox.org/?share=Cook%20Island-T5430R54" TargetMode="External"/><Relationship Id="rId558" Type="http://schemas.openxmlformats.org/officeDocument/2006/relationships/hyperlink" Target="https://theglobaljukebox.org/?share=Baggara-T5626R18m" TargetMode="External"/><Relationship Id="rId765" Type="http://schemas.openxmlformats.org/officeDocument/2006/relationships/hyperlink" Target="http://greenstone.ilam.ru.ac.za/collect/ilam/index/assoc/D32121.dir/AC0501-C4B10.mp3" TargetMode="External"/><Relationship Id="rId972" Type="http://schemas.openxmlformats.org/officeDocument/2006/relationships/hyperlink" Target="https://theglobaljukebox.org/" TargetMode="External"/><Relationship Id="rId1188" Type="http://schemas.openxmlformats.org/officeDocument/2006/relationships/hyperlink" Target="https://theglobaljukebox.org/?share=Dogon-T9504R02" TargetMode="External"/><Relationship Id="rId1395" Type="http://schemas.openxmlformats.org/officeDocument/2006/relationships/hyperlink" Target="https://uofl-music.on.worldcat.org/search?queryString=no:54492669" TargetMode="External"/><Relationship Id="rId2001" Type="http://schemas.openxmlformats.org/officeDocument/2006/relationships/hyperlink" Target="https://search-alexanderstreet-com.ezp-prod1.hul.harvard.edu/view/work/237790" TargetMode="External"/><Relationship Id="rId418" Type="http://schemas.openxmlformats.org/officeDocument/2006/relationships/hyperlink" Target="http://archives.crem-cnrs.fr/archives/items/CNRSMH_I_2008_020_001_08/" TargetMode="External"/><Relationship Id="rId625" Type="http://schemas.openxmlformats.org/officeDocument/2006/relationships/hyperlink" Target="https://folkways.si.edu/tatyana-sat/funeral-lament/world/music/track/smithsonian" TargetMode="External"/><Relationship Id="rId832" Type="http://schemas.openxmlformats.org/officeDocument/2006/relationships/hyperlink" Target="http://media.theglobaljukebox.org/audio/T5588R08.mp3" TargetMode="External"/><Relationship Id="rId1048" Type="http://schemas.openxmlformats.org/officeDocument/2006/relationships/hyperlink" Target="https://folkways.si.edu/tadzhilbai-gurbanov-edibai-chashemov/kheiran-eiledi-she-overwhelmed-me-with-the-fire-of-love/music/track/smithsonian" TargetMode="External"/><Relationship Id="rId1255" Type="http://schemas.openxmlformats.org/officeDocument/2006/relationships/hyperlink" Target="https://theglobaljukebox.org/?share=Otavalo-T5402R84" TargetMode="External"/><Relationship Id="rId1462" Type="http://schemas.openxmlformats.org/officeDocument/2006/relationships/hyperlink" Target="https://search.alexanderstreet.com/preview/work/bibliographic_entity%7Crecorded_cd%7C612193" TargetMode="External"/><Relationship Id="rId1115" Type="http://schemas.openxmlformats.org/officeDocument/2006/relationships/hyperlink" Target="http://www.philology.nsc.ru/departments/folklor/books/t32.php" TargetMode="External"/><Relationship Id="rId1322" Type="http://schemas.openxmlformats.org/officeDocument/2006/relationships/hyperlink" Target="https://search.alexanderstreet.com/preview/work/bibliographic_entity%7Cliner_notes%7C2258560" TargetMode="External"/><Relationship Id="rId1767" Type="http://schemas.openxmlformats.org/officeDocument/2006/relationships/hyperlink" Target="https://theglobaljukebox.org/?share=Thrace-T5464R10" TargetMode="External"/><Relationship Id="rId1974" Type="http://schemas.openxmlformats.org/officeDocument/2006/relationships/hyperlink" Target="https://folkways.si.edu/harvest-dance/american-indian-world/music/track/smithsonian" TargetMode="External"/><Relationship Id="rId59" Type="http://schemas.openxmlformats.org/officeDocument/2006/relationships/hyperlink" Target="http://www.worldcat.org/oclc/181941514" TargetMode="External"/><Relationship Id="rId1627" Type="http://schemas.openxmlformats.org/officeDocument/2006/relationships/hyperlink" Target="http://media.theglobaljukebox.org/audio/T5427R41.mp3" TargetMode="External"/><Relationship Id="rId1834" Type="http://schemas.openxmlformats.org/officeDocument/2006/relationships/hyperlink" Target="https://archives.crem-cnrs.fr/archives/items/CNRSMH_I_1963_006_001_11/" TargetMode="External"/><Relationship Id="rId2096" Type="http://schemas.openxmlformats.org/officeDocument/2006/relationships/hyperlink" Target="http://ampm.auckland.ac.nz/handle/id/87515" TargetMode="External"/><Relationship Id="rId1901" Type="http://schemas.openxmlformats.org/officeDocument/2006/relationships/hyperlink" Target="http://gofile.me/3T2hs/xR9rV8dUc" TargetMode="External"/><Relationship Id="rId275" Type="http://schemas.openxmlformats.org/officeDocument/2006/relationships/hyperlink" Target="https://sounds.bl.uk/World-and-traditional-music/Firth-Tikopia/025M-C0333X0036XX-0200V0" TargetMode="External"/><Relationship Id="rId482" Type="http://schemas.openxmlformats.org/officeDocument/2006/relationships/hyperlink" Target="https://theglobaljukebox.org/?share=Carriacou-T5473R38" TargetMode="External"/><Relationship Id="rId2163" Type="http://schemas.openxmlformats.org/officeDocument/2006/relationships/hyperlink" Target="https://folkways.si.edu/jose-lopez-margarita-molinari/the-smoking-pipe/carancho/chichili/toyaqa/the-sea-wolf/american-indian-world/music/track/smithsonian" TargetMode="External"/><Relationship Id="rId135" Type="http://schemas.openxmlformats.org/officeDocument/2006/relationships/hyperlink" Target="https://theglobaljukebox.org/?share=Hehe-T5441R29" TargetMode="External"/><Relationship Id="rId342" Type="http://schemas.openxmlformats.org/officeDocument/2006/relationships/hyperlink" Target="http://media.theglobaljukebox.org/audio/T5458R03.mp3" TargetMode="External"/><Relationship Id="rId787" Type="http://schemas.openxmlformats.org/officeDocument/2006/relationships/hyperlink" Target="https://folkways.si.edu/about-animals-aqausiq-ungava-bay/song-accompanying-a-string-game-baffin-land/music/track/smithsonian" TargetMode="External"/><Relationship Id="rId994" Type="http://schemas.openxmlformats.org/officeDocument/2006/relationships/hyperlink" Target="http://media.theglobaljukebox.org/audio/T5617R12.mp3" TargetMode="External"/><Relationship Id="rId2023" Type="http://schemas.openxmlformats.org/officeDocument/2006/relationships/hyperlink" Target="https://theglobaljukebox.org/?share=Piaroa-T5404R51m" TargetMode="External"/><Relationship Id="rId202" Type="http://schemas.openxmlformats.org/officeDocument/2006/relationships/hyperlink" Target="https://theglobaljukebox.org/?share=Toda-T5569R06" TargetMode="External"/><Relationship Id="rId647" Type="http://schemas.openxmlformats.org/officeDocument/2006/relationships/hyperlink" Target="https://theglobaljukebox.org/?share=Lithuania%20Gen.-T9506R13" TargetMode="External"/><Relationship Id="rId854" Type="http://schemas.openxmlformats.org/officeDocument/2006/relationships/hyperlink" Target="http://media.theglobaljukebox.org/audio/T5485R26.mp3" TargetMode="External"/><Relationship Id="rId1277" Type="http://schemas.openxmlformats.org/officeDocument/2006/relationships/hyperlink" Target="https://archives.crem-cnrs.fr/archives/items/15873/" TargetMode="External"/><Relationship Id="rId1484" Type="http://schemas.openxmlformats.org/officeDocument/2006/relationships/hyperlink" Target="https://folkways.si.edu/mungo-martin/cedar-bark-dance-song/american-indian/music/track/smithsonian" TargetMode="External"/><Relationship Id="rId1691" Type="http://schemas.openxmlformats.org/officeDocument/2006/relationships/hyperlink" Target="https://folkways.si.edu/lola-kiepja/laments-no-38-39-40/american-indian-world/music/track/smithsonian" TargetMode="External"/><Relationship Id="rId507" Type="http://schemas.openxmlformats.org/officeDocument/2006/relationships/hyperlink" Target="https://theglobaljukebox.org/?share=St.%20Lucia-T5478R19" TargetMode="External"/><Relationship Id="rId714" Type="http://schemas.openxmlformats.org/officeDocument/2006/relationships/hyperlink" Target="http://media.theglobaljukebox.org/audio/T5454R04.mp3" TargetMode="External"/><Relationship Id="rId921" Type="http://schemas.openxmlformats.org/officeDocument/2006/relationships/hyperlink" Target="https://theglobaljukebox.org/?share=Sussex-T5465R38" TargetMode="External"/><Relationship Id="rId1137" Type="http://schemas.openxmlformats.org/officeDocument/2006/relationships/hyperlink" Target="https://theglobaljukebox.org/?share=Wix%C3%A1ritari-T5405R02m" TargetMode="External"/><Relationship Id="rId1344" Type="http://schemas.openxmlformats.org/officeDocument/2006/relationships/hyperlink" Target="http://gofile.me/3T2hs/FJWuStfid" TargetMode="External"/><Relationship Id="rId1551" Type="http://schemas.openxmlformats.org/officeDocument/2006/relationships/hyperlink" Target="http://www.worldcat.org/title/sacred-path-spells-prayers-power-songs-of-the-american-indians/oclc/10020978&amp;referer=brief_results" TargetMode="External"/><Relationship Id="rId1789" Type="http://schemas.openxmlformats.org/officeDocument/2006/relationships/hyperlink" Target="http://sounds.bl.uk/World-and-traditional-music" TargetMode="External"/><Relationship Id="rId1996" Type="http://schemas.openxmlformats.org/officeDocument/2006/relationships/hyperlink" Target="https://theglobaljukebox.org/?share=Norway-T5464R33" TargetMode="External"/><Relationship Id="rId50" Type="http://schemas.openxmlformats.org/officeDocument/2006/relationships/hyperlink" Target="http://www.worldcat.org/oclc/3237924" TargetMode="External"/><Relationship Id="rId1204" Type="http://schemas.openxmlformats.org/officeDocument/2006/relationships/hyperlink" Target="https://folkways.si.edu/the-pipil-indians-of-el-salvador/american-indian-world/music/album/smithsonian" TargetMode="External"/><Relationship Id="rId1411" Type="http://schemas.openxmlformats.org/officeDocument/2006/relationships/hyperlink" Target="http://gofile.me/3T2hs/u9J7qpZTJ" TargetMode="External"/><Relationship Id="rId1649" Type="http://schemas.openxmlformats.org/officeDocument/2006/relationships/hyperlink" Target="https://folkways.si.edu/juan-victoriano/male-esperancita/american-indian-world/music/track/smithsonian" TargetMode="External"/><Relationship Id="rId1856" Type="http://schemas.openxmlformats.org/officeDocument/2006/relationships/hyperlink" Target="https://theglobaljukebox.org/?share=Ash%C3%A1ninka-T5402R47" TargetMode="External"/><Relationship Id="rId1509" Type="http://schemas.openxmlformats.org/officeDocument/2006/relationships/hyperlink" Target="http://www.worldcat.org/title/musiques-mexicaines/oclc/965998093&amp;referer=brief_results" TargetMode="External"/><Relationship Id="rId1716" Type="http://schemas.openxmlformats.org/officeDocument/2006/relationships/hyperlink" Target="https://theglobaljukebox.org/?share=Cluj-T5466R18" TargetMode="External"/><Relationship Id="rId1923" Type="http://schemas.openxmlformats.org/officeDocument/2006/relationships/hyperlink" Target="https://folkways.si.edu/australia-aboriginal-music/world/music/album/smithsonian" TargetMode="External"/><Relationship Id="rId297" Type="http://schemas.openxmlformats.org/officeDocument/2006/relationships/hyperlink" Target="http://media.theglobaljukebox.org/audio/T5438R22.mp3" TargetMode="External"/><Relationship Id="rId2185" Type="http://schemas.openxmlformats.org/officeDocument/2006/relationships/hyperlink" Target="https://folkways.si.edu/inger-nielsen/hist-hvor-vejen-slar-en-bugt-mother-and-child/world/music/track/smithsonian" TargetMode="External"/><Relationship Id="rId157" Type="http://schemas.openxmlformats.org/officeDocument/2006/relationships/hyperlink" Target="http://media.theglobaljukebox.org/audio/T5404R24.mp3" TargetMode="External"/><Relationship Id="rId364" Type="http://schemas.openxmlformats.org/officeDocument/2006/relationships/hyperlink" Target="https://theglobaljukebox.org/?share=Bhatra%20Sikh-T5418R04" TargetMode="External"/><Relationship Id="rId2045" Type="http://schemas.openxmlformats.org/officeDocument/2006/relationships/hyperlink" Target="https://theglobaljukebox.org/?share=Palau-T5427R13" TargetMode="External"/><Relationship Id="rId571" Type="http://schemas.openxmlformats.org/officeDocument/2006/relationships/hyperlink" Target="https://theglobaljukebox.org/?share=Grenada-T5477R49" TargetMode="External"/><Relationship Id="rId669" Type="http://schemas.openxmlformats.org/officeDocument/2006/relationships/hyperlink" Target="http://media.theglobaljukebox.org/audio/T5446R04.mp3" TargetMode="External"/><Relationship Id="rId876" Type="http://schemas.openxmlformats.org/officeDocument/2006/relationships/hyperlink" Target="http://media.theglobaljukebox.org/audio/T5420R26.mp3" TargetMode="External"/><Relationship Id="rId1299" Type="http://schemas.openxmlformats.org/officeDocument/2006/relationships/hyperlink" Target="https://theglobaljukebox.org/?share=Aushi-T5445R23" TargetMode="External"/><Relationship Id="rId224" Type="http://schemas.openxmlformats.org/officeDocument/2006/relationships/hyperlink" Target="http://media.theglobaljukebox.org/audio/T5464R46m.mp3" TargetMode="External"/><Relationship Id="rId431" Type="http://schemas.openxmlformats.org/officeDocument/2006/relationships/hyperlink" Target="https://theglobaljukebox.org/?share=Guna-T5404R89" TargetMode="External"/><Relationship Id="rId529" Type="http://schemas.openxmlformats.org/officeDocument/2006/relationships/hyperlink" Target="https://theglobaljukebox.org/?share=Dominica-T5585R04" TargetMode="External"/><Relationship Id="rId736" Type="http://schemas.openxmlformats.org/officeDocument/2006/relationships/hyperlink" Target="https://soundcloud.com/uwlibraries/blacking11" TargetMode="External"/><Relationship Id="rId1061" Type="http://schemas.openxmlformats.org/officeDocument/2006/relationships/hyperlink" Target="https://folkways.si.edu/jantina-noorman/dutch-folk-songs/world/music/album/smithsonian" TargetMode="External"/><Relationship Id="rId1159" Type="http://schemas.openxmlformats.org/officeDocument/2006/relationships/hyperlink" Target="https://folkways.si.edu/christina-acosta/cuna-lullaby-for-a-baby-boy/american-indian-world/music/track/smithsonian" TargetMode="External"/><Relationship Id="rId1366" Type="http://schemas.openxmlformats.org/officeDocument/2006/relationships/hyperlink" Target="https://folkways.si.edu/folk-music-from-italy/world/album/smithsonian" TargetMode="External"/><Relationship Id="rId2112" Type="http://schemas.openxmlformats.org/officeDocument/2006/relationships/hyperlink" Target="https://folkways.si.edu/los-tres-paraguayos/guantanamera/latin-american-hits/world/music/album/smithsonian" TargetMode="External"/><Relationship Id="rId943" Type="http://schemas.openxmlformats.org/officeDocument/2006/relationships/hyperlink" Target="https://theglobaljukebox.org/?share=Calabria-T5591R20" TargetMode="External"/><Relationship Id="rId1019" Type="http://schemas.openxmlformats.org/officeDocument/2006/relationships/hyperlink" Target="https://theglobaljukebox.org/" TargetMode="External"/><Relationship Id="rId1573" Type="http://schemas.openxmlformats.org/officeDocument/2006/relationships/hyperlink" Target="https://folkways.si.edu/richard-buck/wasase-rain-dance-war-dance/american-indian/music/track/smithsonian" TargetMode="External"/><Relationship Id="rId1780" Type="http://schemas.openxmlformats.org/officeDocument/2006/relationships/hyperlink" Target="https://sounds.bl.uk/World-and-traditional-music/Vanishing-voices-from-the-Uralic-world/025M-CEAP3470185A-01XXV0" TargetMode="External"/><Relationship Id="rId1878" Type="http://schemas.openxmlformats.org/officeDocument/2006/relationships/hyperlink" Target="http://gofile.me/3T2hs/qrg8KkWV9" TargetMode="External"/><Relationship Id="rId72" Type="http://schemas.openxmlformats.org/officeDocument/2006/relationships/hyperlink" Target="http://www.worldcat.org/oclc/2271400" TargetMode="External"/><Relationship Id="rId803" Type="http://schemas.openxmlformats.org/officeDocument/2006/relationships/hyperlink" Target="https://theglobaljukebox.org/?share=Tras-Os-Montes-T5468R36" TargetMode="External"/><Relationship Id="rId1226" Type="http://schemas.openxmlformats.org/officeDocument/2006/relationships/hyperlink" Target="https://folkways.si.edu/herding-song-marriage-song-lullaby/islamica-world/music/track/smithsonian" TargetMode="External"/><Relationship Id="rId1433" Type="http://schemas.openxmlformats.org/officeDocument/2006/relationships/hyperlink" Target="https://archives.crem-cnrs.fr/archives/items/CNRSMH_I_1983_001_035_02/" TargetMode="External"/><Relationship Id="rId1640" Type="http://schemas.openxmlformats.org/officeDocument/2006/relationships/hyperlink" Target="https://search.alexanderstreet.com/preview/work/bibliographic_entity%7Crecorded_cd%7C510900" TargetMode="External"/><Relationship Id="rId1738" Type="http://schemas.openxmlformats.org/officeDocument/2006/relationships/hyperlink" Target="https://folkways.si.edu/sacred-and-profane-music-of-the-ika/american-indian-world/album/smithsonian" TargetMode="External"/><Relationship Id="rId1500" Type="http://schemas.openxmlformats.org/officeDocument/2006/relationships/hyperlink" Target="https://archives.crem-cnrs.fr/archives/items/CNRSMH_E_1958_013_001_001_02/" TargetMode="External"/><Relationship Id="rId1945" Type="http://schemas.openxmlformats.org/officeDocument/2006/relationships/hyperlink" Target="https://theglobaljukebox.org/?share=Schleswig-Holstein-T5465R18m" TargetMode="External"/><Relationship Id="rId1805" Type="http://schemas.openxmlformats.org/officeDocument/2006/relationships/hyperlink" Target="https://theglobaljukebox.org/?share=Tucano-T5402R73" TargetMode="External"/><Relationship Id="rId179" Type="http://schemas.openxmlformats.org/officeDocument/2006/relationships/hyperlink" Target="https://theglobaljukebox.org/" TargetMode="External"/><Relationship Id="rId386" Type="http://schemas.openxmlformats.org/officeDocument/2006/relationships/hyperlink" Target="http://gofile.me/3T2hs/DBFty3zyO" TargetMode="External"/><Relationship Id="rId593" Type="http://schemas.openxmlformats.org/officeDocument/2006/relationships/hyperlink" Target="http://media.theglobaljukebox.org/audio/T5437R06.mp3" TargetMode="External"/><Relationship Id="rId2067" Type="http://schemas.openxmlformats.org/officeDocument/2006/relationships/hyperlink" Target="https://ailla.utexas.org/islandora/object/ailla%3A125977" TargetMode="External"/><Relationship Id="rId246" Type="http://schemas.openxmlformats.org/officeDocument/2006/relationships/hyperlink" Target="https://theglobaljukebox.org/?share=Selk'nam-T5401R21" TargetMode="External"/><Relationship Id="rId453" Type="http://schemas.openxmlformats.org/officeDocument/2006/relationships/hyperlink" Target="https://www.nfsa.gov.au/collection/curated/maranoa-lullaby-harold-blair" TargetMode="External"/><Relationship Id="rId660" Type="http://schemas.openxmlformats.org/officeDocument/2006/relationships/hyperlink" Target="https://sounds.bl.uk/World-and-traditional-music/Music-from-India/025M-RKDATX0004XX-0100V0" TargetMode="External"/><Relationship Id="rId898" Type="http://schemas.openxmlformats.org/officeDocument/2006/relationships/hyperlink" Target="https://theglobaljukebox.org/?share=Dervish-T5483R20" TargetMode="External"/><Relationship Id="rId1083" Type="http://schemas.openxmlformats.org/officeDocument/2006/relationships/hyperlink" Target="https://theglobaljukebox.org/?share=Cora-T5405R70" TargetMode="External"/><Relationship Id="rId1290" Type="http://schemas.openxmlformats.org/officeDocument/2006/relationships/hyperlink" Target="http://media.theglobaljukebox.org/audio/T5486R03.mp3" TargetMode="External"/><Relationship Id="rId2134" Type="http://schemas.openxmlformats.org/officeDocument/2006/relationships/hyperlink" Target="https://folkways.si.edu/arrullo-lullaby/childrens/music/track/smithsonian" TargetMode="External"/><Relationship Id="rId106" Type="http://schemas.openxmlformats.org/officeDocument/2006/relationships/hyperlink" Target="http://www.worldcat.org/oclc/2135349" TargetMode="External"/><Relationship Id="rId313" Type="http://schemas.openxmlformats.org/officeDocument/2006/relationships/hyperlink" Target="http://media.theglobaljukebox.org/audio/T5452R25.mp3" TargetMode="External"/><Relationship Id="rId758" Type="http://schemas.openxmlformats.org/officeDocument/2006/relationships/hyperlink" Target="http://greenstone.ilam.ru.ac.za/collect/ilam/index/assoc/D31400.dir/AC0851-C5M1.mp3" TargetMode="External"/><Relationship Id="rId965" Type="http://schemas.openxmlformats.org/officeDocument/2006/relationships/hyperlink" Target="http://www.folkways.si.edu/gendang-lima-sedalanen/gula-tualah/islamica-world/music/track/smithsonian" TargetMode="External"/><Relationship Id="rId1150" Type="http://schemas.openxmlformats.org/officeDocument/2006/relationships/hyperlink" Target="https://folkways.si.edu/aztec-violinist-guitarist-male-dancers-with-rattles/ayakachmitotia-rattle-dances-ehtokani/american-indian-sacred-world/music/track/smithsonian" TargetMode="External"/><Relationship Id="rId1388" Type="http://schemas.openxmlformats.org/officeDocument/2006/relationships/hyperlink" Target="http://www.worldcat.org/oclc/900482033" TargetMode="External"/><Relationship Id="rId1595" Type="http://schemas.openxmlformats.org/officeDocument/2006/relationships/hyperlink" Target="https://folkways.si.edu/karen-james-and-isabelita-alonso/childrens-songs-from-spain/world/music/album/smithsonian" TargetMode="External"/><Relationship Id="rId94" Type="http://schemas.openxmlformats.org/officeDocument/2006/relationships/hyperlink" Target="http://www.worldcat.org/oclc/61328500" TargetMode="External"/><Relationship Id="rId520" Type="http://schemas.openxmlformats.org/officeDocument/2006/relationships/hyperlink" Target="http://ampm.auckland.ac.nz/handle/id/66828" TargetMode="External"/><Relationship Id="rId618" Type="http://schemas.openxmlformats.org/officeDocument/2006/relationships/hyperlink" Target="https://folkways.si.edu/nathan-france/tiga-tiga/american-indian-world/music/track/smithsonian" TargetMode="External"/><Relationship Id="rId825" Type="http://schemas.openxmlformats.org/officeDocument/2006/relationships/hyperlink" Target="https://folkways.si.edu/juan-pablo-paolin-santo-de-la-cruz-tomas-sanchez-feliz-gomez-aquilino-sanchez-juan-maria-pena-llario-mercedes-petrolina-clase/baquini-death-song/caribbean-latin-world/music/track/smithsonian" TargetMode="External"/><Relationship Id="rId1248" Type="http://schemas.openxmlformats.org/officeDocument/2006/relationships/hyperlink" Target="https://search.alexanderstreet.com/preview/work/bibliographic_entity%7Crecorded_cd%7C373401?ssotoken=anonymous" TargetMode="External"/><Relationship Id="rId1455" Type="http://schemas.openxmlformats.org/officeDocument/2006/relationships/hyperlink" Target="https://sounds.bl.uk/World-and-traditional-music/Nicholas-Pierce-Balochistan/025M-C0140X0003XX-0100V0" TargetMode="External"/><Relationship Id="rId1662" Type="http://schemas.openxmlformats.org/officeDocument/2006/relationships/hyperlink" Target="https://theglobaljukebox.org/?share=Wape-T5615R05" TargetMode="External"/><Relationship Id="rId2201" Type="http://schemas.openxmlformats.org/officeDocument/2006/relationships/hyperlink" Target="https://folkways.si.edu/margarita-molinari-and-jose-lopez/the-belly/myth-of-atqashap/american-indian-world/music/track/smithsonian" TargetMode="External"/><Relationship Id="rId1010" Type="http://schemas.openxmlformats.org/officeDocument/2006/relationships/hyperlink" Target="https://theglobaljukebox.org/" TargetMode="External"/><Relationship Id="rId1108" Type="http://schemas.openxmlformats.org/officeDocument/2006/relationships/hyperlink" Target="http://www.philology.nsc.ru/departments/folklor/books/t32_CDindex.pdf" TargetMode="External"/><Relationship Id="rId1315" Type="http://schemas.openxmlformats.org/officeDocument/2006/relationships/hyperlink" Target="https://search.alexanderstreet.com/preview/work/bibliographic_entity%7Cliner_notes%7C2258560" TargetMode="External"/><Relationship Id="rId1967" Type="http://schemas.openxmlformats.org/officeDocument/2006/relationships/hyperlink" Target="https://theglobaljukebox.org/?share=Tohono%20O%E2%80%99odham-T5405R16" TargetMode="External"/><Relationship Id="rId1522" Type="http://schemas.openxmlformats.org/officeDocument/2006/relationships/hyperlink" Target="http://id.lib.harvard.edu/alma/990127609360203941/catalog" TargetMode="External"/><Relationship Id="rId21" Type="http://schemas.openxmlformats.org/officeDocument/2006/relationships/hyperlink" Target="http://gofile.me/3T2hs/IEkOwOX23" TargetMode="External"/><Relationship Id="rId2089" Type="http://schemas.openxmlformats.org/officeDocument/2006/relationships/hyperlink" Target="https://theglobaljukebox.org/" TargetMode="External"/><Relationship Id="rId268" Type="http://schemas.openxmlformats.org/officeDocument/2006/relationships/hyperlink" Target="https://theglobaljukebox.org/?share=Tongans-" TargetMode="External"/><Relationship Id="rId475" Type="http://schemas.openxmlformats.org/officeDocument/2006/relationships/hyperlink" Target="http://www.worldcat.org/oclc/13210331" TargetMode="External"/><Relationship Id="rId682" Type="http://schemas.openxmlformats.org/officeDocument/2006/relationships/hyperlink" Target="http://media.theglobaljukebox.org/audio/T5522R98.mp3" TargetMode="External"/><Relationship Id="rId2156" Type="http://schemas.openxmlformats.org/officeDocument/2006/relationships/hyperlink" Target="https://theglobaljukebox.org/?share=Karaj%C3%A1-T5403R52" TargetMode="External"/><Relationship Id="rId128" Type="http://schemas.openxmlformats.org/officeDocument/2006/relationships/hyperlink" Target="https://theglobaljukebox.org/?share=Somalis-T5566R23" TargetMode="External"/><Relationship Id="rId335" Type="http://schemas.openxmlformats.org/officeDocument/2006/relationships/hyperlink" Target="http://media.theglobaljukebox.org/audio/T5410R52m.mp3" TargetMode="External"/><Relationship Id="rId542" Type="http://schemas.openxmlformats.org/officeDocument/2006/relationships/hyperlink" Target="https://ailla.utexas.org/islandora/object/ailla:152848" TargetMode="External"/><Relationship Id="rId1172" Type="http://schemas.openxmlformats.org/officeDocument/2006/relationships/hyperlink" Target="https://folkways.si.edu/walter-ferguson-gavitt/mr-gavitt-calypsos-of-costa-rica/caribbean-world/music/album/smithsonian" TargetMode="External"/><Relationship Id="rId2016" Type="http://schemas.openxmlformats.org/officeDocument/2006/relationships/hyperlink" Target="https://search-alexanderstreet-com.ezp-prod1.hul.harvard.edu/view/work/bibliographic_entity%7Crecorded_cd%7C73763" TargetMode="External"/><Relationship Id="rId402" Type="http://schemas.openxmlformats.org/officeDocument/2006/relationships/hyperlink" Target="http://gofile.me/3T2hs/mDyL5T10F" TargetMode="External"/><Relationship Id="rId1032" Type="http://schemas.openxmlformats.org/officeDocument/2006/relationships/hyperlink" Target="https://theglobaljukebox.org/?share=Baggara-T5626R14m" TargetMode="External"/><Relationship Id="rId1989" Type="http://schemas.openxmlformats.org/officeDocument/2006/relationships/hyperlink" Target="http://media.theglobaljukebox.org/audio/T5464R34.mp3" TargetMode="External"/><Relationship Id="rId1849" Type="http://schemas.openxmlformats.org/officeDocument/2006/relationships/hyperlink" Target="https://search-alexanderstreet-com.ezp-prod1.hul.harvard.edu/view/work/bibliographic_entity%7Crecorded_cd%7C71687" TargetMode="External"/><Relationship Id="rId192" Type="http://schemas.openxmlformats.org/officeDocument/2006/relationships/hyperlink" Target="http://www.worldcat.org/title/songs-of-the-inuit-iglulik-canada/oclc/65196223" TargetMode="External"/><Relationship Id="rId1709" Type="http://schemas.openxmlformats.org/officeDocument/2006/relationships/hyperlink" Target="https://www.worldmusicstore.com/products/argentina-the-indians-of-the-gran-chaco" TargetMode="External"/><Relationship Id="rId1916" Type="http://schemas.openxmlformats.org/officeDocument/2006/relationships/hyperlink" Target="https://folkways.si.edu/childrens-songs-and-games-from-ecuador-mexico-and-puerto-rico/latin-world/music/album/smithsonian" TargetMode="External"/><Relationship Id="rId2080" Type="http://schemas.openxmlformats.org/officeDocument/2006/relationships/hyperlink" Target="https://sounds.bl.uk/World-and-traditional-music/Endangered-Micronesian-recordings/025M-CEAP115X4X77-009ZV0" TargetMode="External"/><Relationship Id="rId869" Type="http://schemas.openxmlformats.org/officeDocument/2006/relationships/hyperlink" Target="http://media.theglobaljukebox.org/audio/T9517R35.mp3" TargetMode="External"/><Relationship Id="rId1499" Type="http://schemas.openxmlformats.org/officeDocument/2006/relationships/hyperlink" Target="https://archives.crem-cnrs.fr/archives/items/CNRSMH_I_1974_013_004_06/" TargetMode="External"/><Relationship Id="rId729" Type="http://schemas.openxmlformats.org/officeDocument/2006/relationships/hyperlink" Target="http://media.theglobaljukebox.org/audio/T5442R28.mp3" TargetMode="External"/><Relationship Id="rId1359" Type="http://schemas.openxmlformats.org/officeDocument/2006/relationships/hyperlink" Target="https://search.alexanderstreet.com/preview/work/bibliographic_entity%7Cliner_notes%7C2257067" TargetMode="External"/><Relationship Id="rId936" Type="http://schemas.openxmlformats.org/officeDocument/2006/relationships/hyperlink" Target="https://folkways.si.edu/group-of-young-girls/xoe-folk-dance-of-thai-people/world/music/track/smithsonian" TargetMode="External"/><Relationship Id="rId1219" Type="http://schemas.openxmlformats.org/officeDocument/2006/relationships/hyperlink" Target="https://archives.crem-cnrs.fr/archives/items/CNRSMH_I_1964_012_001_08/" TargetMode="External"/><Relationship Id="rId1566" Type="http://schemas.openxmlformats.org/officeDocument/2006/relationships/hyperlink" Target="https://folkways.si.edu/avery-and-fidelia-jimerson/4-moccasin-dance-songs/american-indian/music/track/smithsonian" TargetMode="External"/><Relationship Id="rId1773" Type="http://schemas.openxmlformats.org/officeDocument/2006/relationships/hyperlink" Target="https://folkways.si.edu/peter-webster/medicine-man-song/american-indian/music/track/smithsonian" TargetMode="External"/><Relationship Id="rId1980" Type="http://schemas.openxmlformats.org/officeDocument/2006/relationships/hyperlink" Target="http://gofile.me/3T2hs/KHfdcOpzp" TargetMode="External"/><Relationship Id="rId65" Type="http://schemas.openxmlformats.org/officeDocument/2006/relationships/hyperlink" Target="http://www.worldcat.org/oclc/3237418" TargetMode="External"/><Relationship Id="rId1426" Type="http://schemas.openxmlformats.org/officeDocument/2006/relationships/hyperlink" Target="http://media.theglobaljukebox.org/audio/T5571R27.mp3" TargetMode="External"/><Relationship Id="rId1633" Type="http://schemas.openxmlformats.org/officeDocument/2006/relationships/hyperlink" Target="https://folkways.si.edu/dabuyabarugu-inside-the-temple-sacred-music-of-the-garifuna-of-belize/american-indian-world/album/smithsonian" TargetMode="External"/><Relationship Id="rId1840" Type="http://schemas.openxmlformats.org/officeDocument/2006/relationships/hyperlink" Target="https://search.alexanderstreet.com/view/work/bibliographic_entity%7Crecorded_track%7C238683" TargetMode="External"/><Relationship Id="rId1700" Type="http://schemas.openxmlformats.org/officeDocument/2006/relationships/hyperlink" Target="https://theglobaljukebox.org/?share=Quechua-T5488R12" TargetMode="External"/><Relationship Id="rId379" Type="http://schemas.openxmlformats.org/officeDocument/2006/relationships/hyperlink" Target="http://ampm.auckland.ac.nz/handle/id/91538" TargetMode="External"/><Relationship Id="rId586" Type="http://schemas.openxmlformats.org/officeDocument/2006/relationships/hyperlink" Target="https://theglobaljukebox.org/?share=Bulu-T5458R20" TargetMode="External"/><Relationship Id="rId793" Type="http://schemas.openxmlformats.org/officeDocument/2006/relationships/hyperlink" Target="http://www.folkways.si.edu/maritsuki-uta/world/music/track/smithsonian" TargetMode="External"/><Relationship Id="rId239" Type="http://schemas.openxmlformats.org/officeDocument/2006/relationships/hyperlink" Target="https://folkways.si.edu/latvia-aija-anzit-aija/childrens-world/music/track/smithsonian" TargetMode="External"/><Relationship Id="rId446" Type="http://schemas.openxmlformats.org/officeDocument/2006/relationships/hyperlink" Target="https://theglobaljukebox.org/?share=Selk'nam-T5401R26m" TargetMode="External"/><Relationship Id="rId653" Type="http://schemas.openxmlformats.org/officeDocument/2006/relationships/hyperlink" Target="https://theglobaljukebox.org/?share=Belarus-T45016" TargetMode="External"/><Relationship Id="rId1076" Type="http://schemas.openxmlformats.org/officeDocument/2006/relationships/hyperlink" Target="https://folkways.si.edu/a-saramakan-elder/history-in-song/african-american-music-world/music/track/smithsonian" TargetMode="External"/><Relationship Id="rId1283" Type="http://schemas.openxmlformats.org/officeDocument/2006/relationships/hyperlink" Target="https://theglobaljukebox.org/?share=Georgia-T5467R17" TargetMode="External"/><Relationship Id="rId1490" Type="http://schemas.openxmlformats.org/officeDocument/2006/relationships/hyperlink" Target="https://folkways.si.edu/florence-davidson/fd-3-marriage-song/american-indian/music/track/smithsonian" TargetMode="External"/><Relationship Id="rId2127" Type="http://schemas.openxmlformats.org/officeDocument/2006/relationships/hyperlink" Target="https://folkways.si.edu/laughing-eyes-margaret-eagle/lullaby/american-indian/music/track/smithsonian" TargetMode="External"/><Relationship Id="rId306" Type="http://schemas.openxmlformats.org/officeDocument/2006/relationships/hyperlink" Target="https://sounds.bl.uk/World-and-traditional-music/Ken-Gourlay-Uganda/025M-C0105X0010XX-1300V0" TargetMode="External"/><Relationship Id="rId860" Type="http://schemas.openxmlformats.org/officeDocument/2006/relationships/hyperlink" Target="http://media.theglobaljukebox.org/audio/T5482R06.mp3" TargetMode="External"/><Relationship Id="rId1143" Type="http://schemas.openxmlformats.org/officeDocument/2006/relationships/hyperlink" Target="https://theglobaljukebox.org/?share=Wix%C3%A1ritari-T5405R04" TargetMode="External"/><Relationship Id="rId513" Type="http://schemas.openxmlformats.org/officeDocument/2006/relationships/hyperlink" Target="http://ampm.auckland.ac.nz/handle/id/75878" TargetMode="External"/><Relationship Id="rId720" Type="http://schemas.openxmlformats.org/officeDocument/2006/relationships/hyperlink" Target="http://media.theglobaljukebox.org/audio/T5594R21.mp3" TargetMode="External"/><Relationship Id="rId1350" Type="http://schemas.openxmlformats.org/officeDocument/2006/relationships/hyperlink" Target="http://gofile.me/3T2hs/HTj4IFghP" TargetMode="External"/><Relationship Id="rId1003" Type="http://schemas.openxmlformats.org/officeDocument/2006/relationships/hyperlink" Target="https://folkways.si.edu/kenjegul-kubatova/chabandyn-yry-shepherds-song/central-asia-islamica-world/music/track/smithsonian" TargetMode="External"/><Relationship Id="rId1210" Type="http://schemas.openxmlformats.org/officeDocument/2006/relationships/hyperlink" Target="https://folkways.si.edu/abdulla-majnun-wu-man/shadiana-celebration/central-asia-world/music/track/smithsonian" TargetMode="External"/><Relationship Id="rId2191" Type="http://schemas.openxmlformats.org/officeDocument/2006/relationships/hyperlink" Target="https://folkways.si.edu/sven-bertil-taube/viljen-i-veta-would-you-like-to-know/world/music/track/smithsonian" TargetMode="External"/><Relationship Id="rId163" Type="http://schemas.openxmlformats.org/officeDocument/2006/relationships/hyperlink" Target="http://media.theglobaljukebox.org/audio/T5404R06m.mp3" TargetMode="External"/><Relationship Id="rId370" Type="http://schemas.openxmlformats.org/officeDocument/2006/relationships/hyperlink" Target="https://theglobaljukebox.org/?share=Dhurwa%20Gond-T5419R02m" TargetMode="External"/><Relationship Id="rId2051" Type="http://schemas.openxmlformats.org/officeDocument/2006/relationships/hyperlink" Target="https://sounds.bl.uk/World-and-traditional-music/Endangered-Micronesian-recordings/025M-CEAP115X4X85-010ZV0" TargetMode="External"/><Relationship Id="rId230" Type="http://schemas.openxmlformats.org/officeDocument/2006/relationships/hyperlink" Target="http://media.theglobaljukebox.org/audio/T5467R47.mp3" TargetMode="External"/><Relationship Id="rId1677" Type="http://schemas.openxmlformats.org/officeDocument/2006/relationships/hyperlink" Target="https://theglobaljukebox.org/?share=Oltenia-T5466R40" TargetMode="External"/><Relationship Id="rId1884" Type="http://schemas.openxmlformats.org/officeDocument/2006/relationships/hyperlink" Target="http://gofile.me/3T2hs/dkb7AMMkb" TargetMode="External"/><Relationship Id="rId907" Type="http://schemas.openxmlformats.org/officeDocument/2006/relationships/hyperlink" Target="https://folkways.si.edu/lullabies-of-the-world/childrens/music/album/smithsonian" TargetMode="External"/><Relationship Id="rId1537" Type="http://schemas.openxmlformats.org/officeDocument/2006/relationships/hyperlink" Target="https://theglobaljukebox.org/?share=Kalash-T5562R04" TargetMode="External"/><Relationship Id="rId1744" Type="http://schemas.openxmlformats.org/officeDocument/2006/relationships/hyperlink" Target="https://theglobaljukebox.org/" TargetMode="External"/><Relationship Id="rId1951" Type="http://schemas.openxmlformats.org/officeDocument/2006/relationships/hyperlink" Target="https://theglobaljukebox.org/?share=Deggendorf-T5465R16m" TargetMode="External"/><Relationship Id="rId36" Type="http://schemas.openxmlformats.org/officeDocument/2006/relationships/hyperlink" Target="http://www.worldcat.org/oclc/65196223" TargetMode="External"/><Relationship Id="rId1604" Type="http://schemas.openxmlformats.org/officeDocument/2006/relationships/hyperlink" Target="https://search.alexanderstreet.com/preview/work/bibliographic_entity%7Crecorded_cd%7C510900" TargetMode="External"/><Relationship Id="rId1811" Type="http://schemas.openxmlformats.org/officeDocument/2006/relationships/hyperlink" Target="http://ezp-prod1.hul.harvard.edu/login?url=https://search.alexanderstreet.com/embed/token/05jgioj5e9q7oc9o70rj4c1j" TargetMode="External"/><Relationship Id="rId697" Type="http://schemas.openxmlformats.org/officeDocument/2006/relationships/hyperlink" Target="http://www.worldcat.org/title/chants-et-danses-de-latlas-maroc/oclc/38376848" TargetMode="External"/><Relationship Id="rId1187" Type="http://schemas.openxmlformats.org/officeDocument/2006/relationships/hyperlink" Target="https://theglobaljukebox.org/?share=Hausa-T5621R02m" TargetMode="External"/><Relationship Id="rId557" Type="http://schemas.openxmlformats.org/officeDocument/2006/relationships/hyperlink" Target="https://theglobaljukebox.org/?share=Hawazma-T5625R20m" TargetMode="External"/><Relationship Id="rId764" Type="http://schemas.openxmlformats.org/officeDocument/2006/relationships/hyperlink" Target="http://greenstone.ilam.ru.ac.za/collect/ilam/index/assoc/D32050.dir/AC0483-C3W7.mp3" TargetMode="External"/><Relationship Id="rId971" Type="http://schemas.openxmlformats.org/officeDocument/2006/relationships/hyperlink" Target="https://theglobaljukebox.org/" TargetMode="External"/><Relationship Id="rId1394" Type="http://schemas.openxmlformats.org/officeDocument/2006/relationships/hyperlink" Target="https://sounds.bl.uk/World-and-traditional-music/Music-from-India/025M-RKDATX0013XX-0100V0" TargetMode="External"/><Relationship Id="rId417" Type="http://schemas.openxmlformats.org/officeDocument/2006/relationships/hyperlink" Target="http://archives.crem-cnrs.fr/archives/items/CNRSMH_I_1970_030_002_03/" TargetMode="External"/><Relationship Id="rId624" Type="http://schemas.openxmlformats.org/officeDocument/2006/relationships/hyperlink" Target="https://folkways.si.edu/alexander-davakai/excerpt-from-shamanic-healing-ritual/world/music/track/smithsonian" TargetMode="External"/><Relationship Id="rId831" Type="http://schemas.openxmlformats.org/officeDocument/2006/relationships/hyperlink" Target="http://www.worldcat.org/title/songs-of-the-inuit-iglulik-canada/oclc/65196223&amp;referer=brief_results" TargetMode="External"/><Relationship Id="rId1047" Type="http://schemas.openxmlformats.org/officeDocument/2006/relationships/hyperlink" Target="https://folkways.si.edu/m-tavalaev/a-series-of-lullabies-dardilik-lalaik-dodoik-and-robai/music/track/smithsonian" TargetMode="External"/><Relationship Id="rId1254" Type="http://schemas.openxmlformats.org/officeDocument/2006/relationships/hyperlink" Target="http://media.theglobaljukebox.org/audio/T30205" TargetMode="External"/><Relationship Id="rId1461" Type="http://schemas.openxmlformats.org/officeDocument/2006/relationships/hyperlink" Target="https://sounds.bl.uk/World-and-traditional-music/Colin-Huehns-Pakistan/025M-C0485X0048XX-0700V0" TargetMode="External"/><Relationship Id="rId1114" Type="http://schemas.openxmlformats.org/officeDocument/2006/relationships/hyperlink" Target="http://www.philology.nsc.ru/departments/folklor/books/t32_CDindex.pdf" TargetMode="External"/><Relationship Id="rId1321" Type="http://schemas.openxmlformats.org/officeDocument/2006/relationships/hyperlink" Target="https://search.alexanderstreet.com/preview/work/bibliographic_entity%7Cliner_notes%7C2258560" TargetMode="External"/><Relationship Id="rId2095" Type="http://schemas.openxmlformats.org/officeDocument/2006/relationships/hyperlink" Target="https://sounds.bl.uk/World-and-traditional-music/Endangered-Micronesian-recordings/025M-CEAP115X4X49-001ZV0" TargetMode="External"/><Relationship Id="rId274" Type="http://schemas.openxmlformats.org/officeDocument/2006/relationships/hyperlink" Target="https://theglobaljukebox.org/?share=Samoa-T5429R43" TargetMode="External"/><Relationship Id="rId481" Type="http://schemas.openxmlformats.org/officeDocument/2006/relationships/hyperlink" Target="https://theglobaljukebox.org/?share=Carriacou-T5473R37" TargetMode="External"/><Relationship Id="rId2162" Type="http://schemas.openxmlformats.org/officeDocument/2006/relationships/hyperlink" Target="https://folkways.si.edu/jose-lopez-margarita-molinari/the-smoking-pipe/carancho/chichili/toyaqa/the-sea-wolf/american-indian-world/music/track/smithsonia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EEDA8F-E996-3640-87EA-F290F5BC6074}">
  <dimension ref="A1:AK2166"/>
  <sheetViews>
    <sheetView tabSelected="1" workbookViewId="0">
      <pane ySplit="1" topLeftCell="A2" activePane="bottomLeft" state="frozen"/>
      <selection pane="bottomLeft" activeCell="D639" sqref="D639"/>
    </sheetView>
  </sheetViews>
  <sheetFormatPr baseColWidth="10" defaultRowHeight="16"/>
  <cols>
    <col min="1" max="1" width="19.5" customWidth="1"/>
    <col min="3" max="3" width="17.83203125" customWidth="1"/>
    <col min="5" max="6" width="10.83203125" style="18"/>
    <col min="10" max="12" width="10.83203125" style="18"/>
    <col min="15" max="16" width="10.83203125" style="18"/>
  </cols>
  <sheetData>
    <row r="1" spans="1:37">
      <c r="A1" s="14" t="s">
        <v>67787</v>
      </c>
      <c r="B1" s="1" t="s">
        <v>1</v>
      </c>
      <c r="C1" s="1" t="s">
        <v>0</v>
      </c>
      <c r="D1" s="1" t="s">
        <v>2</v>
      </c>
      <c r="E1" s="15" t="s">
        <v>3</v>
      </c>
      <c r="F1" s="15" t="s">
        <v>4</v>
      </c>
      <c r="G1" s="1" t="s">
        <v>5</v>
      </c>
      <c r="H1" s="14" t="s">
        <v>67786</v>
      </c>
      <c r="I1" s="1" t="s">
        <v>67783</v>
      </c>
      <c r="J1" s="15" t="s">
        <v>6</v>
      </c>
      <c r="K1" s="15" t="s">
        <v>7</v>
      </c>
      <c r="L1" s="15" t="s">
        <v>8</v>
      </c>
      <c r="M1" s="1" t="s">
        <v>9</v>
      </c>
      <c r="N1" s="1" t="s">
        <v>10</v>
      </c>
      <c r="O1" s="15" t="s">
        <v>11</v>
      </c>
      <c r="P1" s="15" t="s">
        <v>12</v>
      </c>
      <c r="Q1" s="1" t="s">
        <v>13</v>
      </c>
      <c r="R1" s="1" t="s">
        <v>14</v>
      </c>
      <c r="S1" s="1" t="s">
        <v>15</v>
      </c>
      <c r="T1" s="1" t="s">
        <v>16</v>
      </c>
      <c r="U1" s="1" t="s">
        <v>17</v>
      </c>
      <c r="V1" s="1" t="s">
        <v>18</v>
      </c>
      <c r="W1" s="1" t="s">
        <v>19</v>
      </c>
      <c r="X1" s="1" t="s">
        <v>20</v>
      </c>
      <c r="Y1" s="1" t="s">
        <v>21</v>
      </c>
      <c r="Z1" s="1" t="s">
        <v>22</v>
      </c>
      <c r="AA1" s="1" t="s">
        <v>23</v>
      </c>
      <c r="AB1" s="1" t="s">
        <v>24</v>
      </c>
      <c r="AC1" s="1" t="s">
        <v>25</v>
      </c>
      <c r="AD1" s="1" t="s">
        <v>26</v>
      </c>
      <c r="AE1" s="1" t="s">
        <v>27</v>
      </c>
      <c r="AF1" s="1" t="s">
        <v>28</v>
      </c>
      <c r="AG1" s="1" t="s">
        <v>29</v>
      </c>
      <c r="AH1" s="1" t="s">
        <v>30</v>
      </c>
      <c r="AI1" s="1" t="s">
        <v>31</v>
      </c>
      <c r="AJ1" s="1" t="s">
        <v>32</v>
      </c>
      <c r="AK1" s="1" t="s">
        <v>33</v>
      </c>
    </row>
    <row r="2" spans="1:37">
      <c r="A2" s="1" t="str">
        <f>VLOOKUP(H2,Languages!$A$2:$B$430,2,FALSE)</f>
        <v>Abkhaz-Adyge</v>
      </c>
      <c r="B2" s="1" t="s">
        <v>67</v>
      </c>
      <c r="C2" s="1" t="s">
        <v>7017</v>
      </c>
      <c r="D2" s="1" t="s">
        <v>7193</v>
      </c>
      <c r="E2" s="15" t="s">
        <v>7039</v>
      </c>
      <c r="F2" s="15" t="s">
        <v>7039</v>
      </c>
      <c r="G2" s="1" t="s">
        <v>7039</v>
      </c>
      <c r="H2" s="1" t="str">
        <f>VLOOKUP(G2,'languoid 4.0'!$A$1:$I$24439,2,FALSE)</f>
        <v>abkh1242</v>
      </c>
      <c r="I2" s="1" t="str">
        <f>VLOOKUP(G2,'languoid 4.0'!$A$1:$I$24439,6,FALSE)</f>
        <v>language</v>
      </c>
      <c r="J2" s="15" t="s">
        <v>38</v>
      </c>
      <c r="K2" s="15" t="s">
        <v>38</v>
      </c>
      <c r="L2" s="15" t="s">
        <v>38</v>
      </c>
      <c r="M2" s="1"/>
      <c r="N2" s="1" t="s">
        <v>7040</v>
      </c>
      <c r="O2" s="15" t="s">
        <v>40</v>
      </c>
      <c r="P2" s="15" t="s">
        <v>41</v>
      </c>
      <c r="Q2" s="1" t="s">
        <v>7203</v>
      </c>
      <c r="R2" s="2" t="s">
        <v>7195</v>
      </c>
      <c r="S2" s="1" t="s">
        <v>323</v>
      </c>
      <c r="T2" s="1" t="s">
        <v>2948</v>
      </c>
      <c r="U2" s="1" t="s">
        <v>636</v>
      </c>
      <c r="V2" s="1" t="s">
        <v>45</v>
      </c>
      <c r="W2" s="1"/>
      <c r="X2" s="1"/>
      <c r="Y2" s="1"/>
      <c r="Z2" s="1" t="s">
        <v>673</v>
      </c>
      <c r="AA2" s="1" t="s">
        <v>46</v>
      </c>
      <c r="AB2" s="1" t="s">
        <v>7204</v>
      </c>
      <c r="AC2" s="1" t="s">
        <v>46</v>
      </c>
      <c r="AD2" s="1"/>
      <c r="AE2" s="1" t="s">
        <v>641</v>
      </c>
      <c r="AF2" s="1" t="s">
        <v>190</v>
      </c>
      <c r="AG2" s="1">
        <v>6</v>
      </c>
      <c r="AH2" s="1" t="s">
        <v>190</v>
      </c>
      <c r="AI2" s="1"/>
      <c r="AJ2" s="3">
        <v>43259.648564814815</v>
      </c>
      <c r="AK2" s="1" t="s">
        <v>7022</v>
      </c>
    </row>
    <row r="3" spans="1:37">
      <c r="A3" s="1" t="str">
        <f>VLOOKUP(H3,Languages!$A$2:$B$430,2,FALSE)</f>
        <v>Abkhaz-Adyge</v>
      </c>
      <c r="B3" s="1" t="s">
        <v>67</v>
      </c>
      <c r="C3" s="1" t="s">
        <v>7017</v>
      </c>
      <c r="D3" s="1" t="s">
        <v>7193</v>
      </c>
      <c r="E3" s="15" t="s">
        <v>7039</v>
      </c>
      <c r="F3" s="15" t="s">
        <v>7039</v>
      </c>
      <c r="G3" s="1" t="s">
        <v>7039</v>
      </c>
      <c r="H3" s="1" t="str">
        <f>VLOOKUP(G3,'languoid 4.0'!$A$1:$I$24439,2,FALSE)</f>
        <v>abkh1242</v>
      </c>
      <c r="I3" s="1" t="str">
        <f>VLOOKUP(G3,'languoid 4.0'!$A$1:$I$24439,6,FALSE)</f>
        <v>language</v>
      </c>
      <c r="J3" s="15" t="s">
        <v>38</v>
      </c>
      <c r="K3" s="15" t="s">
        <v>38</v>
      </c>
      <c r="L3" s="15" t="s">
        <v>38</v>
      </c>
      <c r="M3" s="1"/>
      <c r="N3" s="1" t="s">
        <v>7040</v>
      </c>
      <c r="O3" s="15" t="s">
        <v>40</v>
      </c>
      <c r="P3" s="15" t="s">
        <v>41</v>
      </c>
      <c r="Q3" s="1" t="s">
        <v>7221</v>
      </c>
      <c r="R3" s="2" t="s">
        <v>7195</v>
      </c>
      <c r="S3" s="1" t="s">
        <v>1200</v>
      </c>
      <c r="T3" s="1" t="s">
        <v>2948</v>
      </c>
      <c r="U3" s="1" t="s">
        <v>636</v>
      </c>
      <c r="V3" s="1" t="s">
        <v>45</v>
      </c>
      <c r="W3" s="1"/>
      <c r="X3" s="1"/>
      <c r="Y3" s="1"/>
      <c r="Z3" s="1" t="s">
        <v>673</v>
      </c>
      <c r="AA3" s="1" t="s">
        <v>46</v>
      </c>
      <c r="AB3" s="1" t="s">
        <v>7222</v>
      </c>
      <c r="AC3" s="1" t="s">
        <v>46</v>
      </c>
      <c r="AD3" s="1" t="s">
        <v>7223</v>
      </c>
      <c r="AE3" s="1" t="s">
        <v>641</v>
      </c>
      <c r="AF3" s="1" t="s">
        <v>45</v>
      </c>
      <c r="AG3" s="1">
        <v>0</v>
      </c>
      <c r="AH3" s="1" t="s">
        <v>190</v>
      </c>
      <c r="AI3" s="1"/>
      <c r="AJ3" s="3">
        <v>43259.684189814812</v>
      </c>
      <c r="AK3" s="1" t="s">
        <v>7022</v>
      </c>
    </row>
    <row r="4" spans="1:37">
      <c r="A4" s="1" t="str">
        <f>VLOOKUP(H4,Languages!$A$2:$B$430,2,FALSE)</f>
        <v>Abkhaz-Adyge</v>
      </c>
      <c r="B4" s="1" t="s">
        <v>67</v>
      </c>
      <c r="C4" s="1" t="s">
        <v>4965</v>
      </c>
      <c r="D4" s="1" t="s">
        <v>7653</v>
      </c>
      <c r="E4" s="15" t="s">
        <v>7654</v>
      </c>
      <c r="F4" s="15" t="s">
        <v>51</v>
      </c>
      <c r="G4" s="1" t="s">
        <v>7654</v>
      </c>
      <c r="H4" s="1" t="str">
        <f>VLOOKUP(G4,'languoid 4.0'!$A$1:$I$24439,2,FALSE)</f>
        <v>abkh1242</v>
      </c>
      <c r="I4" s="1" t="str">
        <f>VLOOKUP(G4,'languoid 4.0'!$A$1:$I$24439,6,FALSE)</f>
        <v>language</v>
      </c>
      <c r="J4" s="15" t="s">
        <v>52</v>
      </c>
      <c r="K4" s="15" t="s">
        <v>51</v>
      </c>
      <c r="L4" s="15" t="s">
        <v>51</v>
      </c>
      <c r="M4" s="1"/>
      <c r="N4" s="1" t="s">
        <v>7655</v>
      </c>
      <c r="O4" s="15" t="s">
        <v>40</v>
      </c>
      <c r="P4" s="15" t="s">
        <v>41</v>
      </c>
      <c r="Q4" s="1" t="s">
        <v>7656</v>
      </c>
      <c r="R4" s="2" t="s">
        <v>7657</v>
      </c>
      <c r="S4" s="1" t="s">
        <v>138</v>
      </c>
      <c r="T4" s="1" t="s">
        <v>7658</v>
      </c>
      <c r="U4" s="1" t="s">
        <v>636</v>
      </c>
      <c r="V4" s="1" t="s">
        <v>45</v>
      </c>
      <c r="W4" s="1"/>
      <c r="X4" s="1"/>
      <c r="Y4" s="1"/>
      <c r="Z4" s="1" t="s">
        <v>673</v>
      </c>
      <c r="AA4" s="1" t="s">
        <v>7659</v>
      </c>
      <c r="AB4" s="1" t="s">
        <v>7660</v>
      </c>
      <c r="AC4" s="1" t="s">
        <v>46</v>
      </c>
      <c r="AD4" s="1" t="s">
        <v>7661</v>
      </c>
      <c r="AE4" s="1" t="s">
        <v>641</v>
      </c>
      <c r="AF4" s="1" t="s">
        <v>45</v>
      </c>
      <c r="AG4" s="1">
        <v>1</v>
      </c>
      <c r="AH4" s="1" t="s">
        <v>190</v>
      </c>
      <c r="AI4" s="1"/>
      <c r="AJ4" s="1" t="s">
        <v>7662</v>
      </c>
      <c r="AK4" s="1" t="s">
        <v>4975</v>
      </c>
    </row>
    <row r="5" spans="1:37">
      <c r="A5" s="1" t="str">
        <f>VLOOKUP(H5,Languages!$A$2:$B$430,2,FALSE)</f>
        <v>Abkhaz-Adyge</v>
      </c>
      <c r="B5" s="1" t="s">
        <v>67</v>
      </c>
      <c r="C5" s="1" t="s">
        <v>4965</v>
      </c>
      <c r="D5" s="1" t="s">
        <v>7663</v>
      </c>
      <c r="E5" s="15" t="s">
        <v>7654</v>
      </c>
      <c r="F5" s="15" t="s">
        <v>7654</v>
      </c>
      <c r="G5" s="1" t="s">
        <v>7654</v>
      </c>
      <c r="H5" s="1" t="str">
        <f>VLOOKUP(G5,'languoid 4.0'!$A$1:$I$24439,2,FALSE)</f>
        <v>abkh1242</v>
      </c>
      <c r="I5" s="1" t="str">
        <f>VLOOKUP(G5,'languoid 4.0'!$A$1:$I$24439,6,FALSE)</f>
        <v>language</v>
      </c>
      <c r="J5" s="15" t="s">
        <v>38</v>
      </c>
      <c r="K5" s="15" t="s">
        <v>38</v>
      </c>
      <c r="L5" s="15" t="s">
        <v>38</v>
      </c>
      <c r="M5" s="1"/>
      <c r="N5" s="1" t="s">
        <v>7655</v>
      </c>
      <c r="O5" s="15" t="s">
        <v>40</v>
      </c>
      <c r="P5" s="15" t="s">
        <v>41</v>
      </c>
      <c r="Q5" s="1" t="s">
        <v>7664</v>
      </c>
      <c r="R5" s="2" t="s">
        <v>7665</v>
      </c>
      <c r="S5" s="1" t="s">
        <v>43</v>
      </c>
      <c r="T5" s="1" t="s">
        <v>7402</v>
      </c>
      <c r="U5" s="1" t="s">
        <v>636</v>
      </c>
      <c r="V5" s="1" t="s">
        <v>45</v>
      </c>
      <c r="W5" s="1"/>
      <c r="X5" s="1"/>
      <c r="Y5" s="1"/>
      <c r="Z5" s="1" t="s">
        <v>673</v>
      </c>
      <c r="AA5" s="1" t="s">
        <v>7666</v>
      </c>
      <c r="AB5" s="1" t="s">
        <v>7660</v>
      </c>
      <c r="AC5" s="1" t="s">
        <v>46</v>
      </c>
      <c r="AD5" s="1" t="s">
        <v>7667</v>
      </c>
      <c r="AE5" s="1" t="s">
        <v>641</v>
      </c>
      <c r="AF5" s="1" t="s">
        <v>45</v>
      </c>
      <c r="AG5" s="1">
        <v>1</v>
      </c>
      <c r="AH5" s="1" t="s">
        <v>190</v>
      </c>
      <c r="AI5" s="1"/>
      <c r="AJ5" s="1" t="s">
        <v>7668</v>
      </c>
      <c r="AK5" s="1" t="s">
        <v>4975</v>
      </c>
    </row>
    <row r="6" spans="1:37">
      <c r="A6" s="1" t="str">
        <f>VLOOKUP(H6,Languages!$A$2:$B$430,2,FALSE)</f>
        <v>Abkhaz-Adyge</v>
      </c>
      <c r="B6" s="1" t="s">
        <v>67</v>
      </c>
      <c r="C6" s="1" t="s">
        <v>4965</v>
      </c>
      <c r="D6" s="1" t="s">
        <v>7663</v>
      </c>
      <c r="E6" s="15" t="s">
        <v>7654</v>
      </c>
      <c r="F6" s="15" t="s">
        <v>7654</v>
      </c>
      <c r="G6" s="1" t="s">
        <v>7654</v>
      </c>
      <c r="H6" s="1" t="str">
        <f>VLOOKUP(G6,'languoid 4.0'!$A$1:$I$24439,2,FALSE)</f>
        <v>abkh1242</v>
      </c>
      <c r="I6" s="1" t="str">
        <f>VLOOKUP(G6,'languoid 4.0'!$A$1:$I$24439,6,FALSE)</f>
        <v>language</v>
      </c>
      <c r="J6" s="15" t="s">
        <v>38</v>
      </c>
      <c r="K6" s="15" t="s">
        <v>38</v>
      </c>
      <c r="L6" s="15" t="s">
        <v>38</v>
      </c>
      <c r="M6" s="1"/>
      <c r="N6" s="1" t="s">
        <v>7655</v>
      </c>
      <c r="O6" s="15" t="s">
        <v>40</v>
      </c>
      <c r="P6" s="15" t="s">
        <v>41</v>
      </c>
      <c r="Q6" s="1" t="s">
        <v>7664</v>
      </c>
      <c r="R6" s="2" t="s">
        <v>7665</v>
      </c>
      <c r="S6" s="1" t="s">
        <v>43</v>
      </c>
      <c r="T6" s="1" t="s">
        <v>7402</v>
      </c>
      <c r="U6" s="1" t="s">
        <v>636</v>
      </c>
      <c r="V6" s="1" t="s">
        <v>45</v>
      </c>
      <c r="W6" s="1"/>
      <c r="X6" s="1"/>
      <c r="Y6" s="1"/>
      <c r="Z6" s="1" t="s">
        <v>673</v>
      </c>
      <c r="AA6" s="1" t="s">
        <v>7666</v>
      </c>
      <c r="AB6" s="1" t="s">
        <v>7660</v>
      </c>
      <c r="AC6" s="1" t="s">
        <v>46</v>
      </c>
      <c r="AD6" s="1" t="s">
        <v>7667</v>
      </c>
      <c r="AE6" s="1" t="s">
        <v>641</v>
      </c>
      <c r="AF6" s="1" t="s">
        <v>45</v>
      </c>
      <c r="AG6" s="1">
        <v>1</v>
      </c>
      <c r="AH6" s="1" t="s">
        <v>190</v>
      </c>
      <c r="AI6" s="1"/>
      <c r="AJ6" s="1" t="s">
        <v>7669</v>
      </c>
      <c r="AK6" s="1" t="s">
        <v>4975</v>
      </c>
    </row>
    <row r="7" spans="1:37">
      <c r="A7" s="1" t="str">
        <f>VLOOKUP(H7,Languages!$A$2:$B$430,2,FALSE)</f>
        <v>Abkhaz-Adyge</v>
      </c>
      <c r="B7" s="1" t="s">
        <v>1726</v>
      </c>
      <c r="C7" s="1" t="s">
        <v>7017</v>
      </c>
      <c r="D7" s="1" t="s">
        <v>7193</v>
      </c>
      <c r="E7" s="15" t="s">
        <v>7039</v>
      </c>
      <c r="F7" s="15" t="s">
        <v>7039</v>
      </c>
      <c r="G7" s="1" t="s">
        <v>7039</v>
      </c>
      <c r="H7" s="1" t="str">
        <f>VLOOKUP(G7,'languoid 4.0'!$A$1:$I$24439,2,FALSE)</f>
        <v>abkh1242</v>
      </c>
      <c r="I7" s="1" t="str">
        <f>VLOOKUP(G7,'languoid 4.0'!$A$1:$I$24439,6,FALSE)</f>
        <v>language</v>
      </c>
      <c r="J7" s="15" t="s">
        <v>38</v>
      </c>
      <c r="K7" s="15" t="s">
        <v>38</v>
      </c>
      <c r="L7" s="15" t="s">
        <v>38</v>
      </c>
      <c r="M7" s="1"/>
      <c r="N7" s="1" t="s">
        <v>7040</v>
      </c>
      <c r="O7" s="15" t="s">
        <v>40</v>
      </c>
      <c r="P7" s="15" t="s">
        <v>41</v>
      </c>
      <c r="Q7" s="1" t="s">
        <v>7201</v>
      </c>
      <c r="R7" s="2" t="s">
        <v>7195</v>
      </c>
      <c r="S7" s="1" t="s">
        <v>130</v>
      </c>
      <c r="T7" s="1" t="s">
        <v>2948</v>
      </c>
      <c r="U7" s="1" t="s">
        <v>636</v>
      </c>
      <c r="V7" s="1" t="s">
        <v>45</v>
      </c>
      <c r="W7" s="1"/>
      <c r="X7" s="1"/>
      <c r="Y7" s="1"/>
      <c r="Z7" s="1" t="s">
        <v>673</v>
      </c>
      <c r="AA7" s="1" t="s">
        <v>46</v>
      </c>
      <c r="AB7" s="1" t="s">
        <v>7202</v>
      </c>
      <c r="AC7" s="1" t="s">
        <v>46</v>
      </c>
      <c r="AD7" s="1"/>
      <c r="AE7" s="1" t="s">
        <v>641</v>
      </c>
      <c r="AF7" s="1" t="s">
        <v>190</v>
      </c>
      <c r="AG7" s="1">
        <v>6</v>
      </c>
      <c r="AH7" s="1" t="s">
        <v>190</v>
      </c>
      <c r="AI7" s="1"/>
      <c r="AJ7" s="3">
        <v>43259.646481481483</v>
      </c>
      <c r="AK7" s="1" t="s">
        <v>7022</v>
      </c>
    </row>
    <row r="8" spans="1:37">
      <c r="A8" s="1" t="str">
        <f>VLOOKUP(H8,Languages!$A$2:$B$430,2,FALSE)</f>
        <v>Abkhaz-Adyge</v>
      </c>
      <c r="B8" s="1" t="s">
        <v>1726</v>
      </c>
      <c r="C8" s="1" t="s">
        <v>7017</v>
      </c>
      <c r="D8" s="1" t="s">
        <v>7193</v>
      </c>
      <c r="E8" s="15" t="s">
        <v>7039</v>
      </c>
      <c r="F8" s="15" t="s">
        <v>7039</v>
      </c>
      <c r="G8" s="1" t="s">
        <v>7039</v>
      </c>
      <c r="H8" s="1" t="str">
        <f>VLOOKUP(G8,'languoid 4.0'!$A$1:$I$24439,2,FALSE)</f>
        <v>abkh1242</v>
      </c>
      <c r="I8" s="1" t="str">
        <f>VLOOKUP(G8,'languoid 4.0'!$A$1:$I$24439,6,FALSE)</f>
        <v>language</v>
      </c>
      <c r="J8" s="15" t="s">
        <v>38</v>
      </c>
      <c r="K8" s="15" t="s">
        <v>38</v>
      </c>
      <c r="L8" s="15" t="s">
        <v>38</v>
      </c>
      <c r="M8" s="1"/>
      <c r="N8" s="1" t="s">
        <v>7040</v>
      </c>
      <c r="O8" s="15" t="s">
        <v>40</v>
      </c>
      <c r="P8" s="15" t="s">
        <v>41</v>
      </c>
      <c r="Q8" s="1" t="s">
        <v>7208</v>
      </c>
      <c r="R8" s="2" t="s">
        <v>7195</v>
      </c>
      <c r="S8" s="1" t="s">
        <v>372</v>
      </c>
      <c r="T8" s="1" t="s">
        <v>2948</v>
      </c>
      <c r="U8" s="1" t="s">
        <v>7209</v>
      </c>
      <c r="V8" s="1" t="s">
        <v>45</v>
      </c>
      <c r="W8" s="1"/>
      <c r="X8" s="1"/>
      <c r="Y8" s="1"/>
      <c r="Z8" s="1" t="s">
        <v>673</v>
      </c>
      <c r="AA8" s="1" t="s">
        <v>46</v>
      </c>
      <c r="AB8" s="1" t="s">
        <v>7210</v>
      </c>
      <c r="AC8" s="1" t="s">
        <v>46</v>
      </c>
      <c r="AD8" s="1"/>
      <c r="AE8" s="1" t="s">
        <v>641</v>
      </c>
      <c r="AF8" s="1" t="s">
        <v>190</v>
      </c>
      <c r="AG8" s="1">
        <v>6</v>
      </c>
      <c r="AH8" s="1" t="s">
        <v>190</v>
      </c>
      <c r="AI8" s="1"/>
      <c r="AJ8" s="3">
        <v>43259.658622685187</v>
      </c>
      <c r="AK8" s="1" t="s">
        <v>7022</v>
      </c>
    </row>
    <row r="9" spans="1:37">
      <c r="A9" s="1" t="str">
        <f>VLOOKUP(H9,Languages!$A$2:$B$430,2,FALSE)</f>
        <v>Abkhaz-Adyge</v>
      </c>
      <c r="B9" s="1" t="s">
        <v>1750</v>
      </c>
      <c r="C9" s="1" t="s">
        <v>7017</v>
      </c>
      <c r="D9" s="1" t="s">
        <v>7193</v>
      </c>
      <c r="E9" s="15" t="s">
        <v>7039</v>
      </c>
      <c r="F9" s="15" t="s">
        <v>7039</v>
      </c>
      <c r="G9" s="1" t="s">
        <v>7039</v>
      </c>
      <c r="H9" s="1" t="str">
        <f>VLOOKUP(G9,'languoid 4.0'!$A$1:$I$24439,2,FALSE)</f>
        <v>abkh1242</v>
      </c>
      <c r="I9" s="1" t="str">
        <f>VLOOKUP(G9,'languoid 4.0'!$A$1:$I$24439,6,FALSE)</f>
        <v>language</v>
      </c>
      <c r="J9" s="15" t="s">
        <v>38</v>
      </c>
      <c r="K9" s="15" t="s">
        <v>38</v>
      </c>
      <c r="L9" s="15" t="s">
        <v>38</v>
      </c>
      <c r="M9" s="1"/>
      <c r="N9" s="1" t="s">
        <v>7040</v>
      </c>
      <c r="O9" s="15" t="s">
        <v>40</v>
      </c>
      <c r="P9" s="15" t="s">
        <v>41</v>
      </c>
      <c r="Q9" s="1" t="s">
        <v>7194</v>
      </c>
      <c r="R9" s="2" t="s">
        <v>7195</v>
      </c>
      <c r="S9" s="1" t="s">
        <v>138</v>
      </c>
      <c r="T9" s="1" t="s">
        <v>2948</v>
      </c>
      <c r="U9" s="1" t="s">
        <v>1812</v>
      </c>
      <c r="V9" s="1" t="s">
        <v>45</v>
      </c>
      <c r="W9" s="1"/>
      <c r="X9" s="1"/>
      <c r="Y9" s="1"/>
      <c r="Z9" s="1" t="s">
        <v>673</v>
      </c>
      <c r="AA9" s="1" t="s">
        <v>46</v>
      </c>
      <c r="AB9" s="1" t="s">
        <v>7196</v>
      </c>
      <c r="AC9" s="1" t="s">
        <v>46</v>
      </c>
      <c r="AD9" s="1"/>
      <c r="AE9" s="1" t="s">
        <v>641</v>
      </c>
      <c r="AF9" s="1" t="s">
        <v>190</v>
      </c>
      <c r="AG9" s="1">
        <v>6</v>
      </c>
      <c r="AH9" s="1" t="s">
        <v>190</v>
      </c>
      <c r="AI9" s="1"/>
      <c r="AJ9" s="3">
        <v>43259.637523148151</v>
      </c>
      <c r="AK9" s="1" t="s">
        <v>7022</v>
      </c>
    </row>
    <row r="10" spans="1:37">
      <c r="A10" s="1" t="str">
        <f>VLOOKUP(H10,Languages!$A$2:$B$430,2,FALSE)</f>
        <v>Abkhaz-Adyge</v>
      </c>
      <c r="B10" s="1" t="s">
        <v>1750</v>
      </c>
      <c r="C10" s="1" t="s">
        <v>7017</v>
      </c>
      <c r="D10" s="1" t="s">
        <v>7193</v>
      </c>
      <c r="E10" s="15" t="s">
        <v>7039</v>
      </c>
      <c r="F10" s="15" t="s">
        <v>7039</v>
      </c>
      <c r="G10" s="1" t="s">
        <v>7039</v>
      </c>
      <c r="H10" s="1" t="str">
        <f>VLOOKUP(G10,'languoid 4.0'!$A$1:$I$24439,2,FALSE)</f>
        <v>abkh1242</v>
      </c>
      <c r="I10" s="1" t="str">
        <f>VLOOKUP(G10,'languoid 4.0'!$A$1:$I$24439,6,FALSE)</f>
        <v>language</v>
      </c>
      <c r="J10" s="15" t="s">
        <v>38</v>
      </c>
      <c r="K10" s="15" t="s">
        <v>38</v>
      </c>
      <c r="L10" s="15" t="s">
        <v>38</v>
      </c>
      <c r="M10" s="1"/>
      <c r="N10" s="1" t="s">
        <v>7040</v>
      </c>
      <c r="O10" s="15" t="s">
        <v>40</v>
      </c>
      <c r="P10" s="15" t="s">
        <v>41</v>
      </c>
      <c r="Q10" s="1" t="s">
        <v>7197</v>
      </c>
      <c r="R10" s="2" t="s">
        <v>7195</v>
      </c>
      <c r="S10" s="1" t="s">
        <v>471</v>
      </c>
      <c r="T10" s="1" t="s">
        <v>2948</v>
      </c>
      <c r="U10" s="1" t="s">
        <v>1812</v>
      </c>
      <c r="V10" s="1" t="s">
        <v>45</v>
      </c>
      <c r="W10" s="1"/>
      <c r="X10" s="1"/>
      <c r="Y10" s="1"/>
      <c r="Z10" s="1" t="s">
        <v>673</v>
      </c>
      <c r="AA10" s="1" t="s">
        <v>46</v>
      </c>
      <c r="AB10" s="1" t="s">
        <v>7198</v>
      </c>
      <c r="AC10" s="1" t="s">
        <v>46</v>
      </c>
      <c r="AD10" s="1"/>
      <c r="AE10" s="1" t="s">
        <v>641</v>
      </c>
      <c r="AF10" s="1" t="s">
        <v>190</v>
      </c>
      <c r="AG10" s="1">
        <v>6</v>
      </c>
      <c r="AH10" s="1" t="s">
        <v>190</v>
      </c>
      <c r="AI10" s="1"/>
      <c r="AJ10" s="3">
        <v>43259.640300925923</v>
      </c>
      <c r="AK10" s="1" t="s">
        <v>7022</v>
      </c>
    </row>
    <row r="11" spans="1:37">
      <c r="A11" s="1" t="str">
        <f>VLOOKUP(H11,Languages!$A$2:$B$430,2,FALSE)</f>
        <v>Abkhaz-Adyge</v>
      </c>
      <c r="B11" s="1" t="s">
        <v>1750</v>
      </c>
      <c r="C11" s="1" t="s">
        <v>7017</v>
      </c>
      <c r="D11" s="1" t="s">
        <v>7193</v>
      </c>
      <c r="E11" s="15" t="s">
        <v>7039</v>
      </c>
      <c r="F11" s="15" t="s">
        <v>7039</v>
      </c>
      <c r="G11" s="1" t="s">
        <v>7039</v>
      </c>
      <c r="H11" s="1" t="str">
        <f>VLOOKUP(G11,'languoid 4.0'!$A$1:$I$24439,2,FALSE)</f>
        <v>abkh1242</v>
      </c>
      <c r="I11" s="1" t="str">
        <f>VLOOKUP(G11,'languoid 4.0'!$A$1:$I$24439,6,FALSE)</f>
        <v>language</v>
      </c>
      <c r="J11" s="15" t="s">
        <v>38</v>
      </c>
      <c r="K11" s="15" t="s">
        <v>38</v>
      </c>
      <c r="L11" s="15" t="s">
        <v>38</v>
      </c>
      <c r="M11" s="1"/>
      <c r="N11" s="1" t="s">
        <v>7040</v>
      </c>
      <c r="O11" s="15" t="s">
        <v>40</v>
      </c>
      <c r="P11" s="15" t="s">
        <v>41</v>
      </c>
      <c r="Q11" s="1" t="s">
        <v>7215</v>
      </c>
      <c r="R11" s="2" t="s">
        <v>7195</v>
      </c>
      <c r="S11" s="1" t="s">
        <v>351</v>
      </c>
      <c r="T11" s="1" t="s">
        <v>2948</v>
      </c>
      <c r="U11" s="1" t="s">
        <v>636</v>
      </c>
      <c r="V11" s="1" t="s">
        <v>45</v>
      </c>
      <c r="W11" s="1"/>
      <c r="X11" s="1"/>
      <c r="Y11" s="1"/>
      <c r="Z11" s="1" t="s">
        <v>673</v>
      </c>
      <c r="AA11" s="1" t="s">
        <v>46</v>
      </c>
      <c r="AB11" s="1" t="s">
        <v>7216</v>
      </c>
      <c r="AC11" s="1" t="s">
        <v>46</v>
      </c>
      <c r="AD11" s="1"/>
      <c r="AE11" s="1" t="s">
        <v>641</v>
      </c>
      <c r="AF11" s="1" t="s">
        <v>190</v>
      </c>
      <c r="AG11" s="1">
        <v>5</v>
      </c>
      <c r="AH11" s="1" t="s">
        <v>190</v>
      </c>
      <c r="AI11" s="1"/>
      <c r="AJ11" s="3">
        <v>43259.670370370368</v>
      </c>
      <c r="AK11" s="1" t="s">
        <v>7022</v>
      </c>
    </row>
    <row r="12" spans="1:37">
      <c r="A12" s="1" t="str">
        <f>VLOOKUP(H12,Languages!$A$2:$B$430,2,FALSE)</f>
        <v>Abkhaz-Adyge</v>
      </c>
      <c r="B12" s="1" t="s">
        <v>1738</v>
      </c>
      <c r="C12" s="1" t="s">
        <v>7017</v>
      </c>
      <c r="D12" s="1" t="s">
        <v>7038</v>
      </c>
      <c r="E12" s="15" t="s">
        <v>7039</v>
      </c>
      <c r="F12" s="15" t="s">
        <v>7039</v>
      </c>
      <c r="G12" s="1" t="s">
        <v>7039</v>
      </c>
      <c r="H12" s="1" t="str">
        <f>VLOOKUP(G12,'languoid 4.0'!$A$1:$I$24439,2,FALSE)</f>
        <v>abkh1242</v>
      </c>
      <c r="I12" s="1" t="str">
        <f>VLOOKUP(G12,'languoid 4.0'!$A$1:$I$24439,6,FALSE)</f>
        <v>language</v>
      </c>
      <c r="J12" s="15" t="s">
        <v>38</v>
      </c>
      <c r="K12" s="15" t="s">
        <v>38</v>
      </c>
      <c r="L12" s="15" t="s">
        <v>38</v>
      </c>
      <c r="M12" s="1"/>
      <c r="N12" s="1" t="s">
        <v>7040</v>
      </c>
      <c r="O12" s="15" t="s">
        <v>40</v>
      </c>
      <c r="P12" s="15" t="s">
        <v>41</v>
      </c>
      <c r="Q12" s="1" t="s">
        <v>1036</v>
      </c>
      <c r="R12" s="2" t="s">
        <v>7041</v>
      </c>
      <c r="S12" s="1" t="s">
        <v>46</v>
      </c>
      <c r="T12" s="1" t="s">
        <v>635</v>
      </c>
      <c r="U12" s="1" t="s">
        <v>1897</v>
      </c>
      <c r="V12" s="1" t="s">
        <v>45</v>
      </c>
      <c r="W12" s="1"/>
      <c r="X12" s="1"/>
      <c r="Y12" s="1"/>
      <c r="Z12" s="1" t="s">
        <v>658</v>
      </c>
      <c r="AA12" s="1" t="s">
        <v>7042</v>
      </c>
      <c r="AB12" s="1" t="s">
        <v>46</v>
      </c>
      <c r="AC12" s="1" t="s">
        <v>46</v>
      </c>
      <c r="AD12" s="1"/>
      <c r="AE12" s="1" t="s">
        <v>641</v>
      </c>
      <c r="AF12" s="1" t="s">
        <v>190</v>
      </c>
      <c r="AG12" s="1">
        <v>6</v>
      </c>
      <c r="AH12" s="1" t="s">
        <v>190</v>
      </c>
      <c r="AI12" s="1"/>
      <c r="AJ12" s="3">
        <v>43108.78334490741</v>
      </c>
      <c r="AK12" s="1" t="s">
        <v>7022</v>
      </c>
    </row>
    <row r="13" spans="1:37">
      <c r="A13" s="1" t="str">
        <f>VLOOKUP(H13,Languages!$A$2:$B$430,2,FALSE)</f>
        <v>Abkhaz-Adyge</v>
      </c>
      <c r="B13" s="1" t="s">
        <v>1738</v>
      </c>
      <c r="C13" s="1" t="s">
        <v>7017</v>
      </c>
      <c r="D13" s="1" t="s">
        <v>7193</v>
      </c>
      <c r="E13" s="15" t="s">
        <v>7039</v>
      </c>
      <c r="F13" s="15" t="s">
        <v>7039</v>
      </c>
      <c r="G13" s="1" t="s">
        <v>7039</v>
      </c>
      <c r="H13" s="1" t="str">
        <f>VLOOKUP(G13,'languoid 4.0'!$A$1:$I$24439,2,FALSE)</f>
        <v>abkh1242</v>
      </c>
      <c r="I13" s="1" t="str">
        <f>VLOOKUP(G13,'languoid 4.0'!$A$1:$I$24439,6,FALSE)</f>
        <v>language</v>
      </c>
      <c r="J13" s="15" t="s">
        <v>38</v>
      </c>
      <c r="K13" s="15" t="s">
        <v>38</v>
      </c>
      <c r="L13" s="15" t="s">
        <v>38</v>
      </c>
      <c r="M13" s="1"/>
      <c r="N13" s="1" t="s">
        <v>7040</v>
      </c>
      <c r="O13" s="15" t="s">
        <v>40</v>
      </c>
      <c r="P13" s="15" t="s">
        <v>41</v>
      </c>
      <c r="Q13" s="1" t="s">
        <v>7201</v>
      </c>
      <c r="R13" s="2" t="s">
        <v>7195</v>
      </c>
      <c r="S13" s="1" t="s">
        <v>272</v>
      </c>
      <c r="T13" s="1" t="s">
        <v>2948</v>
      </c>
      <c r="U13" s="1" t="s">
        <v>5142</v>
      </c>
      <c r="V13" s="1" t="s">
        <v>45</v>
      </c>
      <c r="W13" s="1"/>
      <c r="X13" s="1"/>
      <c r="Y13" s="1"/>
      <c r="Z13" s="1" t="s">
        <v>673</v>
      </c>
      <c r="AA13" s="1" t="s">
        <v>46</v>
      </c>
      <c r="AB13" s="1" t="s">
        <v>7205</v>
      </c>
      <c r="AC13" s="1" t="s">
        <v>46</v>
      </c>
      <c r="AD13" s="1"/>
      <c r="AE13" s="1" t="s">
        <v>641</v>
      </c>
      <c r="AF13" s="1" t="s">
        <v>190</v>
      </c>
      <c r="AG13" s="1">
        <v>5</v>
      </c>
      <c r="AH13" s="1" t="s">
        <v>190</v>
      </c>
      <c r="AI13" s="1"/>
      <c r="AJ13" s="3">
        <v>43259.650960648149</v>
      </c>
      <c r="AK13" s="1" t="s">
        <v>7022</v>
      </c>
    </row>
    <row r="14" spans="1:37">
      <c r="A14" s="1" t="str">
        <f>VLOOKUP(H14,Languages!$A$2:$B$430,2,FALSE)</f>
        <v>Abkhaz-Adyge</v>
      </c>
      <c r="B14" s="1" t="s">
        <v>1738</v>
      </c>
      <c r="C14" s="1" t="s">
        <v>7017</v>
      </c>
      <c r="D14" s="1" t="s">
        <v>7193</v>
      </c>
      <c r="E14" s="15" t="s">
        <v>7039</v>
      </c>
      <c r="F14" s="15" t="s">
        <v>7039</v>
      </c>
      <c r="G14" s="1" t="s">
        <v>7039</v>
      </c>
      <c r="H14" s="1" t="str">
        <f>VLOOKUP(G14,'languoid 4.0'!$A$1:$I$24439,2,FALSE)</f>
        <v>abkh1242</v>
      </c>
      <c r="I14" s="1" t="str">
        <f>VLOOKUP(G14,'languoid 4.0'!$A$1:$I$24439,6,FALSE)</f>
        <v>language</v>
      </c>
      <c r="J14" s="15" t="s">
        <v>38</v>
      </c>
      <c r="K14" s="15" t="s">
        <v>38</v>
      </c>
      <c r="L14" s="15" t="s">
        <v>38</v>
      </c>
      <c r="M14" s="1"/>
      <c r="N14" s="1" t="s">
        <v>7040</v>
      </c>
      <c r="O14" s="15" t="s">
        <v>40</v>
      </c>
      <c r="P14" s="15" t="s">
        <v>41</v>
      </c>
      <c r="Q14" s="1" t="s">
        <v>7201</v>
      </c>
      <c r="R14" s="2" t="s">
        <v>7195</v>
      </c>
      <c r="S14" s="1" t="s">
        <v>2714</v>
      </c>
      <c r="T14" s="1" t="s">
        <v>2948</v>
      </c>
      <c r="U14" s="1" t="s">
        <v>7206</v>
      </c>
      <c r="V14" s="1" t="s">
        <v>45</v>
      </c>
      <c r="W14" s="1"/>
      <c r="X14" s="1"/>
      <c r="Y14" s="1"/>
      <c r="Z14" s="1" t="s">
        <v>673</v>
      </c>
      <c r="AA14" s="1" t="s">
        <v>46</v>
      </c>
      <c r="AB14" s="1" t="s">
        <v>7207</v>
      </c>
      <c r="AC14" s="1" t="s">
        <v>46</v>
      </c>
      <c r="AD14" s="1"/>
      <c r="AE14" s="1" t="s">
        <v>641</v>
      </c>
      <c r="AF14" s="1" t="s">
        <v>190</v>
      </c>
      <c r="AG14" s="1">
        <v>5</v>
      </c>
      <c r="AH14" s="1" t="s">
        <v>190</v>
      </c>
      <c r="AI14" s="1"/>
      <c r="AJ14" s="3">
        <v>43259.654965277776</v>
      </c>
      <c r="AK14" s="1" t="s">
        <v>7022</v>
      </c>
    </row>
    <row r="15" spans="1:37">
      <c r="A15" s="1" t="str">
        <f>VLOOKUP(H15,Languages!$A$2:$B$430,2,FALSE)</f>
        <v>Abkhaz-Adyge</v>
      </c>
      <c r="B15" s="1" t="s">
        <v>1738</v>
      </c>
      <c r="C15" s="1" t="s">
        <v>7017</v>
      </c>
      <c r="D15" s="1" t="s">
        <v>7193</v>
      </c>
      <c r="E15" s="15" t="s">
        <v>7039</v>
      </c>
      <c r="F15" s="15" t="s">
        <v>7039</v>
      </c>
      <c r="G15" s="1" t="s">
        <v>7039</v>
      </c>
      <c r="H15" s="1" t="str">
        <f>VLOOKUP(G15,'languoid 4.0'!$A$1:$I$24439,2,FALSE)</f>
        <v>abkh1242</v>
      </c>
      <c r="I15" s="1" t="str">
        <f>VLOOKUP(G15,'languoid 4.0'!$A$1:$I$24439,6,FALSE)</f>
        <v>language</v>
      </c>
      <c r="J15" s="15" t="s">
        <v>38</v>
      </c>
      <c r="K15" s="15" t="s">
        <v>38</v>
      </c>
      <c r="L15" s="15" t="s">
        <v>38</v>
      </c>
      <c r="M15" s="1"/>
      <c r="N15" s="1" t="s">
        <v>7040</v>
      </c>
      <c r="O15" s="15" t="s">
        <v>40</v>
      </c>
      <c r="P15" s="15" t="s">
        <v>41</v>
      </c>
      <c r="Q15" s="1" t="s">
        <v>1039</v>
      </c>
      <c r="R15" s="2" t="s">
        <v>7195</v>
      </c>
      <c r="S15" s="1" t="s">
        <v>359</v>
      </c>
      <c r="T15" s="1" t="s">
        <v>2948</v>
      </c>
      <c r="U15" s="1" t="s">
        <v>1897</v>
      </c>
      <c r="V15" s="1" t="s">
        <v>45</v>
      </c>
      <c r="W15" s="1"/>
      <c r="X15" s="1"/>
      <c r="Y15" s="1"/>
      <c r="Z15" s="1" t="s">
        <v>673</v>
      </c>
      <c r="AA15" s="1" t="s">
        <v>7219</v>
      </c>
      <c r="AB15" s="1" t="s">
        <v>7220</v>
      </c>
      <c r="AC15" s="1" t="s">
        <v>46</v>
      </c>
      <c r="AD15" s="1"/>
      <c r="AE15" s="1" t="s">
        <v>641</v>
      </c>
      <c r="AF15" s="1" t="s">
        <v>190</v>
      </c>
      <c r="AG15" s="1">
        <v>4</v>
      </c>
      <c r="AH15" s="1" t="s">
        <v>190</v>
      </c>
      <c r="AI15" s="1"/>
      <c r="AJ15" s="3">
        <v>43259.682395833333</v>
      </c>
      <c r="AK15" s="1" t="s">
        <v>7022</v>
      </c>
    </row>
    <row r="16" spans="1:37">
      <c r="A16" s="1" t="str">
        <f>VLOOKUP(H16,Languages!$A$2:$B$430,2,FALSE)</f>
        <v>Abkhaz-Adyge</v>
      </c>
      <c r="B16" s="1" t="s">
        <v>1812</v>
      </c>
      <c r="C16" s="1" t="s">
        <v>7017</v>
      </c>
      <c r="D16" s="1" t="s">
        <v>7193</v>
      </c>
      <c r="E16" s="15" t="s">
        <v>7039</v>
      </c>
      <c r="F16" s="15" t="s">
        <v>7039</v>
      </c>
      <c r="G16" s="1" t="s">
        <v>7039</v>
      </c>
      <c r="H16" s="1" t="str">
        <f>VLOOKUP(G16,'languoid 4.0'!$A$1:$I$24439,2,FALSE)</f>
        <v>abkh1242</v>
      </c>
      <c r="I16" s="1" t="str">
        <f>VLOOKUP(G16,'languoid 4.0'!$A$1:$I$24439,6,FALSE)</f>
        <v>language</v>
      </c>
      <c r="J16" s="15" t="s">
        <v>38</v>
      </c>
      <c r="K16" s="15" t="s">
        <v>38</v>
      </c>
      <c r="L16" s="15" t="s">
        <v>38</v>
      </c>
      <c r="M16" s="1"/>
      <c r="N16" s="1" t="s">
        <v>7040</v>
      </c>
      <c r="O16" s="15" t="s">
        <v>40</v>
      </c>
      <c r="P16" s="15" t="s">
        <v>41</v>
      </c>
      <c r="Q16" s="1" t="s">
        <v>7211</v>
      </c>
      <c r="R16" s="2" t="s">
        <v>7195</v>
      </c>
      <c r="S16" s="1" t="s">
        <v>197</v>
      </c>
      <c r="T16" s="1" t="s">
        <v>2948</v>
      </c>
      <c r="U16" s="1" t="s">
        <v>636</v>
      </c>
      <c r="V16" s="1" t="s">
        <v>45</v>
      </c>
      <c r="W16" s="1"/>
      <c r="X16" s="1"/>
      <c r="Y16" s="1"/>
      <c r="Z16" s="1" t="s">
        <v>673</v>
      </c>
      <c r="AA16" s="1" t="s">
        <v>46</v>
      </c>
      <c r="AB16" s="1" t="s">
        <v>7212</v>
      </c>
      <c r="AC16" s="1" t="s">
        <v>46</v>
      </c>
      <c r="AD16" s="1"/>
      <c r="AE16" s="1" t="s">
        <v>641</v>
      </c>
      <c r="AF16" s="1" t="s">
        <v>190</v>
      </c>
      <c r="AG16" s="1">
        <v>6</v>
      </c>
      <c r="AH16" s="1" t="s">
        <v>190</v>
      </c>
      <c r="AI16" s="1"/>
      <c r="AJ16" s="3">
        <v>43259.662800925929</v>
      </c>
      <c r="AK16" s="1" t="s">
        <v>7022</v>
      </c>
    </row>
    <row r="17" spans="1:37">
      <c r="A17" s="1" t="str">
        <f>VLOOKUP(H17,Languages!$A$2:$B$430,2,FALSE)</f>
        <v>Abkhaz-Adyge</v>
      </c>
      <c r="B17" s="1" t="s">
        <v>1812</v>
      </c>
      <c r="C17" s="1" t="s">
        <v>7017</v>
      </c>
      <c r="D17" s="1" t="s">
        <v>7193</v>
      </c>
      <c r="E17" s="15" t="s">
        <v>7039</v>
      </c>
      <c r="F17" s="15" t="s">
        <v>7039</v>
      </c>
      <c r="G17" s="1" t="s">
        <v>7039</v>
      </c>
      <c r="H17" s="1" t="str">
        <f>VLOOKUP(G17,'languoid 4.0'!$A$1:$I$24439,2,FALSE)</f>
        <v>abkh1242</v>
      </c>
      <c r="I17" s="1" t="str">
        <f>VLOOKUP(G17,'languoid 4.0'!$A$1:$I$24439,6,FALSE)</f>
        <v>language</v>
      </c>
      <c r="J17" s="15" t="s">
        <v>38</v>
      </c>
      <c r="K17" s="15" t="s">
        <v>38</v>
      </c>
      <c r="L17" s="15" t="s">
        <v>38</v>
      </c>
      <c r="M17" s="1"/>
      <c r="N17" s="1" t="s">
        <v>7040</v>
      </c>
      <c r="O17" s="15" t="s">
        <v>40</v>
      </c>
      <c r="P17" s="15" t="s">
        <v>41</v>
      </c>
      <c r="Q17" s="1" t="s">
        <v>7213</v>
      </c>
      <c r="R17" s="2" t="s">
        <v>7195</v>
      </c>
      <c r="S17" s="1" t="s">
        <v>387</v>
      </c>
      <c r="T17" s="1" t="s">
        <v>2948</v>
      </c>
      <c r="U17" s="1" t="s">
        <v>1750</v>
      </c>
      <c r="V17" s="1" t="s">
        <v>45</v>
      </c>
      <c r="W17" s="1"/>
      <c r="X17" s="1"/>
      <c r="Y17" s="1"/>
      <c r="Z17" s="1" t="s">
        <v>673</v>
      </c>
      <c r="AA17" s="1" t="s">
        <v>46</v>
      </c>
      <c r="AB17" s="1" t="s">
        <v>7214</v>
      </c>
      <c r="AC17" s="1" t="s">
        <v>46</v>
      </c>
      <c r="AD17" s="1"/>
      <c r="AE17" s="1" t="s">
        <v>641</v>
      </c>
      <c r="AF17" s="1" t="s">
        <v>190</v>
      </c>
      <c r="AG17" s="1">
        <v>6</v>
      </c>
      <c r="AH17" s="1" t="s">
        <v>190</v>
      </c>
      <c r="AI17" s="1"/>
      <c r="AJ17" s="3">
        <v>43259.665196759262</v>
      </c>
      <c r="AK17" s="1" t="s">
        <v>7022</v>
      </c>
    </row>
    <row r="18" spans="1:37">
      <c r="A18" s="1" t="str">
        <f>VLOOKUP(H18,Languages!$A$2:$B$430,2,FALSE)</f>
        <v>Abkhaz-Adyge</v>
      </c>
      <c r="B18" s="1" t="s">
        <v>1812</v>
      </c>
      <c r="C18" s="1" t="s">
        <v>7017</v>
      </c>
      <c r="D18" s="1" t="s">
        <v>7193</v>
      </c>
      <c r="E18" s="15" t="s">
        <v>7039</v>
      </c>
      <c r="F18" s="15" t="s">
        <v>7039</v>
      </c>
      <c r="G18" s="1" t="s">
        <v>7039</v>
      </c>
      <c r="H18" s="1" t="str">
        <f>VLOOKUP(G18,'languoid 4.0'!$A$1:$I$24439,2,FALSE)</f>
        <v>abkh1242</v>
      </c>
      <c r="I18" s="1" t="str">
        <f>VLOOKUP(G18,'languoid 4.0'!$A$1:$I$24439,6,FALSE)</f>
        <v>language</v>
      </c>
      <c r="J18" s="15" t="s">
        <v>38</v>
      </c>
      <c r="K18" s="15" t="s">
        <v>38</v>
      </c>
      <c r="L18" s="15" t="s">
        <v>38</v>
      </c>
      <c r="M18" s="1"/>
      <c r="N18" s="1" t="s">
        <v>7040</v>
      </c>
      <c r="O18" s="15" t="s">
        <v>40</v>
      </c>
      <c r="P18" s="15" t="s">
        <v>41</v>
      </c>
      <c r="Q18" s="1" t="s">
        <v>7217</v>
      </c>
      <c r="R18" s="2" t="s">
        <v>7195</v>
      </c>
      <c r="S18" s="1" t="s">
        <v>204</v>
      </c>
      <c r="T18" s="1" t="s">
        <v>2948</v>
      </c>
      <c r="U18" s="1" t="s">
        <v>1750</v>
      </c>
      <c r="V18" s="1" t="s">
        <v>45</v>
      </c>
      <c r="W18" s="1"/>
      <c r="X18" s="1"/>
      <c r="Y18" s="1"/>
      <c r="Z18" s="1" t="s">
        <v>673</v>
      </c>
      <c r="AA18" s="1" t="s">
        <v>46</v>
      </c>
      <c r="AB18" s="1" t="s">
        <v>7218</v>
      </c>
      <c r="AC18" s="1" t="s">
        <v>46</v>
      </c>
      <c r="AD18" s="1"/>
      <c r="AE18" s="1" t="s">
        <v>641</v>
      </c>
      <c r="AF18" s="1" t="s">
        <v>190</v>
      </c>
      <c r="AG18" s="1">
        <v>2</v>
      </c>
      <c r="AH18" s="1" t="s">
        <v>190</v>
      </c>
      <c r="AI18" s="1"/>
      <c r="AJ18" s="3">
        <v>43259.679780092592</v>
      </c>
      <c r="AK18" s="1" t="s">
        <v>7022</v>
      </c>
    </row>
    <row r="19" spans="1:37">
      <c r="A19" s="1" t="str">
        <f>VLOOKUP(H19,Languages!$A$2:$B$430,2,FALSE)</f>
        <v>Abkhaz-Adyge</v>
      </c>
      <c r="B19" s="1" t="s">
        <v>1707</v>
      </c>
      <c r="C19" s="1" t="s">
        <v>7017</v>
      </c>
      <c r="D19" s="1" t="s">
        <v>7193</v>
      </c>
      <c r="E19" s="15" t="s">
        <v>7039</v>
      </c>
      <c r="F19" s="15" t="s">
        <v>7039</v>
      </c>
      <c r="G19" s="1" t="s">
        <v>7039</v>
      </c>
      <c r="H19" s="1" t="str">
        <f>VLOOKUP(G19,'languoid 4.0'!$A$1:$I$24439,2,FALSE)</f>
        <v>abkh1242</v>
      </c>
      <c r="I19" s="1" t="str">
        <f>VLOOKUP(G19,'languoid 4.0'!$A$1:$I$24439,6,FALSE)</f>
        <v>language</v>
      </c>
      <c r="J19" s="15" t="s">
        <v>38</v>
      </c>
      <c r="K19" s="15" t="s">
        <v>38</v>
      </c>
      <c r="L19" s="15" t="s">
        <v>38</v>
      </c>
      <c r="M19" s="1"/>
      <c r="N19" s="1" t="s">
        <v>7040</v>
      </c>
      <c r="O19" s="15" t="s">
        <v>40</v>
      </c>
      <c r="P19" s="15" t="s">
        <v>41</v>
      </c>
      <c r="Q19" s="1" t="s">
        <v>7199</v>
      </c>
      <c r="R19" s="2" t="s">
        <v>7195</v>
      </c>
      <c r="S19" s="1" t="s">
        <v>600</v>
      </c>
      <c r="T19" s="1" t="s">
        <v>2948</v>
      </c>
      <c r="U19" s="1" t="s">
        <v>636</v>
      </c>
      <c r="V19" s="1" t="s">
        <v>45</v>
      </c>
      <c r="W19" s="1"/>
      <c r="X19" s="1"/>
      <c r="Y19" s="1"/>
      <c r="Z19" s="1" t="s">
        <v>673</v>
      </c>
      <c r="AA19" s="1" t="s">
        <v>46</v>
      </c>
      <c r="AB19" s="1" t="s">
        <v>7200</v>
      </c>
      <c r="AC19" s="1" t="s">
        <v>46</v>
      </c>
      <c r="AD19" s="1"/>
      <c r="AE19" s="1" t="s">
        <v>641</v>
      </c>
      <c r="AF19" s="1" t="s">
        <v>190</v>
      </c>
      <c r="AG19" s="1">
        <v>6</v>
      </c>
      <c r="AH19" s="1" t="s">
        <v>190</v>
      </c>
      <c r="AI19" s="1"/>
      <c r="AJ19" s="3">
        <v>43259.643622685187</v>
      </c>
      <c r="AK19" s="1" t="s">
        <v>7022</v>
      </c>
    </row>
    <row r="20" spans="1:37">
      <c r="A20" s="1" t="str">
        <f>VLOOKUP(H20,Languages!$A$2:$B$430,2,FALSE)</f>
        <v>Afro-Asiatic</v>
      </c>
      <c r="B20" s="1" t="s">
        <v>67</v>
      </c>
      <c r="C20" s="1" t="s">
        <v>214</v>
      </c>
      <c r="D20" s="1" t="s">
        <v>730</v>
      </c>
      <c r="E20" s="15" t="s">
        <v>731</v>
      </c>
      <c r="F20" s="15" t="s">
        <v>731</v>
      </c>
      <c r="G20" s="1" t="s">
        <v>731</v>
      </c>
      <c r="H20" s="1" t="str">
        <f>VLOOKUP(G20,'languoid 4.0'!$A$1:$I$24439,2,FALSE)</f>
        <v>afro1255</v>
      </c>
      <c r="I20" s="1" t="str">
        <f>VLOOKUP(G20,'languoid 4.0'!$A$1:$I$24439,6,FALSE)</f>
        <v>language</v>
      </c>
      <c r="J20" s="15" t="s">
        <v>38</v>
      </c>
      <c r="K20" s="15" t="s">
        <v>38</v>
      </c>
      <c r="L20" s="15" t="s">
        <v>38</v>
      </c>
      <c r="M20" s="1"/>
      <c r="N20" s="1" t="s">
        <v>732</v>
      </c>
      <c r="O20" s="15" t="s">
        <v>40</v>
      </c>
      <c r="P20" s="15" t="s">
        <v>41</v>
      </c>
      <c r="Q20" s="1" t="s">
        <v>733</v>
      </c>
      <c r="R20" s="2" t="s">
        <v>734</v>
      </c>
      <c r="S20" s="1" t="s">
        <v>46</v>
      </c>
      <c r="T20" s="1" t="s">
        <v>735</v>
      </c>
      <c r="U20" s="1" t="s">
        <v>736</v>
      </c>
      <c r="V20" s="1" t="s">
        <v>45</v>
      </c>
      <c r="W20" s="1"/>
      <c r="X20" s="1"/>
      <c r="Y20" s="1"/>
      <c r="Z20" s="1" t="s">
        <v>637</v>
      </c>
      <c r="AA20" s="1" t="s">
        <v>737</v>
      </c>
      <c r="AB20" s="1" t="s">
        <v>738</v>
      </c>
      <c r="AC20" s="1" t="s">
        <v>46</v>
      </c>
      <c r="AD20" s="1" t="s">
        <v>739</v>
      </c>
      <c r="AE20" s="1" t="s">
        <v>641</v>
      </c>
      <c r="AF20" s="1" t="s">
        <v>190</v>
      </c>
      <c r="AG20" s="1">
        <v>6</v>
      </c>
      <c r="AH20" s="1" t="s">
        <v>190</v>
      </c>
      <c r="AI20" s="1"/>
      <c r="AJ20" s="3">
        <v>43222.515300925923</v>
      </c>
      <c r="AK20" s="1" t="s">
        <v>740</v>
      </c>
    </row>
    <row r="21" spans="1:37">
      <c r="A21" s="1" t="str">
        <f>VLOOKUP(H21,Languages!$A$2:$B$430,2,FALSE)</f>
        <v>Afro-Asiatic</v>
      </c>
      <c r="B21" s="1" t="s">
        <v>67</v>
      </c>
      <c r="C21" s="1" t="s">
        <v>214</v>
      </c>
      <c r="D21" s="1" t="s">
        <v>779</v>
      </c>
      <c r="E21" s="15" t="s">
        <v>764</v>
      </c>
      <c r="F21" s="15" t="s">
        <v>765</v>
      </c>
      <c r="G21" s="1" t="s">
        <v>764</v>
      </c>
      <c r="H21" s="1" t="str">
        <f>VLOOKUP(G21,'languoid 4.0'!$A$1:$I$24439,2,FALSE)</f>
        <v>afro1255</v>
      </c>
      <c r="I21" s="1" t="str">
        <f>VLOOKUP(G21,'languoid 4.0'!$A$1:$I$24439,6,FALSE)</f>
        <v>dialect</v>
      </c>
      <c r="J21" s="15" t="s">
        <v>52</v>
      </c>
      <c r="K21" s="15" t="s">
        <v>38</v>
      </c>
      <c r="L21" s="15" t="s">
        <v>38</v>
      </c>
      <c r="M21" s="1"/>
      <c r="N21" s="1"/>
      <c r="O21" s="15" t="s">
        <v>40</v>
      </c>
      <c r="P21" s="15" t="s">
        <v>632</v>
      </c>
      <c r="Q21" s="1" t="s">
        <v>780</v>
      </c>
      <c r="R21" s="2" t="s">
        <v>781</v>
      </c>
      <c r="S21" s="1" t="s">
        <v>46</v>
      </c>
      <c r="T21" s="1" t="s">
        <v>767</v>
      </c>
      <c r="U21" s="1" t="s">
        <v>782</v>
      </c>
      <c r="V21" s="1" t="s">
        <v>45</v>
      </c>
      <c r="W21" s="1"/>
      <c r="X21" s="1"/>
      <c r="Y21" s="1"/>
      <c r="Z21" s="1" t="s">
        <v>658</v>
      </c>
      <c r="AA21" s="1" t="s">
        <v>783</v>
      </c>
      <c r="AB21" s="1" t="s">
        <v>46</v>
      </c>
      <c r="AC21" s="1" t="s">
        <v>46</v>
      </c>
      <c r="AD21" s="1" t="s">
        <v>784</v>
      </c>
      <c r="AE21" s="1" t="s">
        <v>641</v>
      </c>
      <c r="AF21" s="1" t="s">
        <v>190</v>
      </c>
      <c r="AG21" s="1">
        <v>5</v>
      </c>
      <c r="AH21" s="1" t="s">
        <v>190</v>
      </c>
      <c r="AI21" s="1"/>
      <c r="AJ21" s="3">
        <v>43222.561898148146</v>
      </c>
      <c r="AK21" s="1" t="s">
        <v>740</v>
      </c>
    </row>
    <row r="22" spans="1:37">
      <c r="A22" s="1" t="str">
        <f>VLOOKUP(H22,Languages!$A$2:$B$430,2,FALSE)</f>
        <v>Afro-Asiatic</v>
      </c>
      <c r="B22" s="1" t="s">
        <v>67</v>
      </c>
      <c r="C22" s="1" t="s">
        <v>214</v>
      </c>
      <c r="D22" s="1" t="s">
        <v>3067</v>
      </c>
      <c r="E22" s="15" t="s">
        <v>3054</v>
      </c>
      <c r="F22" s="15" t="s">
        <v>51</v>
      </c>
      <c r="G22" s="1" t="s">
        <v>3055</v>
      </c>
      <c r="H22" s="1" t="str">
        <f>VLOOKUP(G22,'languoid 4.0'!$A$1:$I$24439,2,FALSE)</f>
        <v>afro1255</v>
      </c>
      <c r="I22" s="1" t="str">
        <f>VLOOKUP(G22,'languoid 4.0'!$A$1:$I$24439,6,FALSE)</f>
        <v>language</v>
      </c>
      <c r="J22" s="15" t="s">
        <v>52</v>
      </c>
      <c r="K22" s="15" t="s">
        <v>51</v>
      </c>
      <c r="L22" s="15" t="s">
        <v>51</v>
      </c>
      <c r="M22" s="1"/>
      <c r="N22" s="1"/>
      <c r="O22" s="15" t="s">
        <v>40</v>
      </c>
      <c r="P22" s="15" t="s">
        <v>41</v>
      </c>
      <c r="Q22" s="1" t="s">
        <v>3068</v>
      </c>
      <c r="R22" s="2" t="s">
        <v>3069</v>
      </c>
      <c r="S22" s="1" t="s">
        <v>46</v>
      </c>
      <c r="T22" s="1" t="s">
        <v>635</v>
      </c>
      <c r="U22" s="1" t="s">
        <v>67</v>
      </c>
      <c r="V22" s="1" t="s">
        <v>45</v>
      </c>
      <c r="W22" s="1"/>
      <c r="X22" s="1"/>
      <c r="Y22" s="1"/>
      <c r="Z22" s="1" t="s">
        <v>673</v>
      </c>
      <c r="AA22" s="1" t="s">
        <v>3070</v>
      </c>
      <c r="AB22" s="1" t="s">
        <v>3071</v>
      </c>
      <c r="AC22" s="1" t="s">
        <v>46</v>
      </c>
      <c r="AD22" s="1" t="s">
        <v>3072</v>
      </c>
      <c r="AE22" s="1" t="s">
        <v>3073</v>
      </c>
      <c r="AF22" s="1" t="s">
        <v>190</v>
      </c>
      <c r="AG22" s="1">
        <v>5</v>
      </c>
      <c r="AH22" s="1" t="s">
        <v>190</v>
      </c>
      <c r="AI22" s="1"/>
      <c r="AJ22" s="1" t="s">
        <v>3074</v>
      </c>
      <c r="AK22" s="1" t="s">
        <v>3060</v>
      </c>
    </row>
    <row r="23" spans="1:37">
      <c r="A23" s="1" t="str">
        <f>VLOOKUP(H23,Languages!$A$2:$B$430,2,FALSE)</f>
        <v>Afro-Asiatic</v>
      </c>
      <c r="B23" s="1" t="s">
        <v>67</v>
      </c>
      <c r="C23" s="1" t="s">
        <v>108</v>
      </c>
      <c r="D23" s="1" t="s">
        <v>513</v>
      </c>
      <c r="E23" s="15" t="s">
        <v>514</v>
      </c>
      <c r="F23" s="15" t="s">
        <v>515</v>
      </c>
      <c r="G23" s="1" t="s">
        <v>514</v>
      </c>
      <c r="H23" s="1" t="str">
        <f>VLOOKUP(G23,'languoid 4.0'!$A$1:$I$24439,2,FALSE)</f>
        <v>afro1255</v>
      </c>
      <c r="I23" s="1" t="str">
        <f>VLOOKUP(G23,'languoid 4.0'!$A$1:$I$24439,6,FALSE)</f>
        <v>dialect</v>
      </c>
      <c r="J23" s="15" t="s">
        <v>52</v>
      </c>
      <c r="K23" s="15" t="s">
        <v>38</v>
      </c>
      <c r="L23" s="15" t="s">
        <v>38</v>
      </c>
      <c r="M23" s="1"/>
      <c r="N23" s="1"/>
      <c r="O23" s="15" t="s">
        <v>40</v>
      </c>
      <c r="P23" s="15" t="s">
        <v>41</v>
      </c>
      <c r="Q23" s="1" t="s">
        <v>516</v>
      </c>
      <c r="R23" s="2" t="s">
        <v>517</v>
      </c>
      <c r="S23" s="1" t="s">
        <v>130</v>
      </c>
      <c r="T23" s="1" t="s">
        <v>44</v>
      </c>
      <c r="U23" s="1"/>
      <c r="V23" s="1" t="s">
        <v>45</v>
      </c>
      <c r="W23" s="1"/>
      <c r="X23" s="1"/>
      <c r="Y23" s="1"/>
      <c r="Z23" s="1"/>
      <c r="AA23" s="1">
        <v>6</v>
      </c>
      <c r="AB23" s="1">
        <v>6</v>
      </c>
      <c r="AC23" s="1" t="s">
        <v>46</v>
      </c>
      <c r="AD23" s="1"/>
      <c r="AE23" s="1"/>
      <c r="AF23" s="1"/>
      <c r="AG23" s="1"/>
      <c r="AH23" s="1"/>
      <c r="AI23" s="1"/>
      <c r="AJ23" s="3">
        <v>43102.753287037034</v>
      </c>
      <c r="AK23" s="1" t="s">
        <v>57</v>
      </c>
    </row>
    <row r="24" spans="1:37">
      <c r="A24" s="1" t="str">
        <f>VLOOKUP(H24,Languages!$A$2:$B$430,2,FALSE)</f>
        <v>Afro-Asiatic</v>
      </c>
      <c r="B24" s="1" t="s">
        <v>67</v>
      </c>
      <c r="C24" s="1" t="s">
        <v>108</v>
      </c>
      <c r="D24" s="1" t="s">
        <v>3251</v>
      </c>
      <c r="E24" s="15" t="s">
        <v>3252</v>
      </c>
      <c r="F24" s="15" t="s">
        <v>515</v>
      </c>
      <c r="G24" s="1" t="s">
        <v>3252</v>
      </c>
      <c r="H24" s="1" t="str">
        <f>VLOOKUP(G24,'languoid 4.0'!$A$1:$I$24439,2,FALSE)</f>
        <v>afro1255</v>
      </c>
      <c r="I24" s="1" t="str">
        <f>VLOOKUP(G24,'languoid 4.0'!$A$1:$I$24439,6,FALSE)</f>
        <v>language</v>
      </c>
      <c r="J24" s="15" t="s">
        <v>52</v>
      </c>
      <c r="K24" s="15" t="s">
        <v>38</v>
      </c>
      <c r="L24" s="15" t="s">
        <v>38</v>
      </c>
      <c r="M24" s="1"/>
      <c r="N24" s="1" t="s">
        <v>3253</v>
      </c>
      <c r="O24" s="15" t="s">
        <v>40</v>
      </c>
      <c r="P24" s="15" t="s">
        <v>41</v>
      </c>
      <c r="Q24" s="1" t="s">
        <v>937</v>
      </c>
      <c r="R24" s="2" t="s">
        <v>3254</v>
      </c>
      <c r="S24" s="1" t="s">
        <v>46</v>
      </c>
      <c r="T24" s="1" t="s">
        <v>635</v>
      </c>
      <c r="U24" s="1" t="s">
        <v>636</v>
      </c>
      <c r="V24" s="1" t="s">
        <v>45</v>
      </c>
      <c r="W24" s="1"/>
      <c r="X24" s="1"/>
      <c r="Y24" s="1"/>
      <c r="Z24" s="1" t="s">
        <v>637</v>
      </c>
      <c r="AA24" s="1" t="s">
        <v>3255</v>
      </c>
      <c r="AB24" s="1" t="s">
        <v>3256</v>
      </c>
      <c r="AC24" s="1" t="s">
        <v>46</v>
      </c>
      <c r="AD24" s="1"/>
      <c r="AE24" s="1" t="s">
        <v>641</v>
      </c>
      <c r="AF24" s="1" t="s">
        <v>190</v>
      </c>
      <c r="AG24" s="1">
        <v>4</v>
      </c>
      <c r="AH24" s="1" t="s">
        <v>190</v>
      </c>
      <c r="AI24" s="1"/>
      <c r="AJ24" s="1" t="s">
        <v>3257</v>
      </c>
      <c r="AK24" s="1" t="s">
        <v>3060</v>
      </c>
    </row>
    <row r="25" spans="1:37">
      <c r="A25" s="1" t="str">
        <f>VLOOKUP(H25,Languages!$A$2:$B$430,2,FALSE)</f>
        <v>Afro-Asiatic</v>
      </c>
      <c r="B25" s="1" t="s">
        <v>67</v>
      </c>
      <c r="C25" s="1" t="s">
        <v>108</v>
      </c>
      <c r="D25" s="1" t="s">
        <v>3258</v>
      </c>
      <c r="E25" s="15" t="s">
        <v>3252</v>
      </c>
      <c r="F25" s="15" t="s">
        <v>3259</v>
      </c>
      <c r="G25" s="1" t="s">
        <v>3252</v>
      </c>
      <c r="H25" s="1" t="str">
        <f>VLOOKUP(G25,'languoid 4.0'!$A$1:$I$24439,2,FALSE)</f>
        <v>afro1255</v>
      </c>
      <c r="I25" s="1" t="str">
        <f>VLOOKUP(G25,'languoid 4.0'!$A$1:$I$24439,6,FALSE)</f>
        <v>language</v>
      </c>
      <c r="J25" s="15" t="s">
        <v>52</v>
      </c>
      <c r="K25" s="15" t="s">
        <v>38</v>
      </c>
      <c r="L25" s="15" t="s">
        <v>38</v>
      </c>
      <c r="M25" s="1"/>
      <c r="N25" s="1" t="s">
        <v>3253</v>
      </c>
      <c r="O25" s="15" t="s">
        <v>40</v>
      </c>
      <c r="P25" s="15" t="s">
        <v>41</v>
      </c>
      <c r="Q25" s="1" t="s">
        <v>3260</v>
      </c>
      <c r="R25" s="2" t="s">
        <v>3261</v>
      </c>
      <c r="S25" s="1" t="s">
        <v>46</v>
      </c>
      <c r="T25" s="1" t="s">
        <v>635</v>
      </c>
      <c r="U25" s="1" t="s">
        <v>636</v>
      </c>
      <c r="V25" s="1" t="s">
        <v>45</v>
      </c>
      <c r="W25" s="1"/>
      <c r="X25" s="1"/>
      <c r="Y25" s="1"/>
      <c r="Z25" s="1" t="s">
        <v>658</v>
      </c>
      <c r="AA25" s="1" t="s">
        <v>3262</v>
      </c>
      <c r="AB25" s="1" t="s">
        <v>46</v>
      </c>
      <c r="AC25" s="1" t="s">
        <v>46</v>
      </c>
      <c r="AD25" s="1"/>
      <c r="AE25" s="1" t="s">
        <v>641</v>
      </c>
      <c r="AF25" s="1" t="s">
        <v>190</v>
      </c>
      <c r="AG25" s="1">
        <v>4</v>
      </c>
      <c r="AH25" s="1" t="s">
        <v>190</v>
      </c>
      <c r="AI25" s="1"/>
      <c r="AJ25" s="1" t="s">
        <v>3263</v>
      </c>
      <c r="AK25" s="1" t="s">
        <v>3060</v>
      </c>
    </row>
    <row r="26" spans="1:37">
      <c r="A26" s="1" t="str">
        <f>VLOOKUP(H26,Languages!$A$2:$B$430,2,FALSE)</f>
        <v>Afro-Asiatic</v>
      </c>
      <c r="B26" s="1" t="s">
        <v>67</v>
      </c>
      <c r="C26" s="1" t="s">
        <v>108</v>
      </c>
      <c r="D26" s="1" t="s">
        <v>110</v>
      </c>
      <c r="E26" s="15" t="s">
        <v>111</v>
      </c>
      <c r="F26" s="15" t="s">
        <v>111</v>
      </c>
      <c r="G26" s="1" t="s">
        <v>111</v>
      </c>
      <c r="H26" s="1" t="str">
        <f>VLOOKUP(G26,'languoid 4.0'!$A$1:$I$24439,2,FALSE)</f>
        <v>afro1255</v>
      </c>
      <c r="I26" s="1" t="str">
        <f>VLOOKUP(G26,'languoid 4.0'!$A$1:$I$24439,6,FALSE)</f>
        <v>family</v>
      </c>
      <c r="J26" s="15" t="s">
        <v>38</v>
      </c>
      <c r="K26" s="15" t="s">
        <v>38</v>
      </c>
      <c r="L26" s="15" t="s">
        <v>38</v>
      </c>
      <c r="M26" s="1"/>
      <c r="N26" s="1" t="s">
        <v>112</v>
      </c>
      <c r="O26" s="15" t="s">
        <v>113</v>
      </c>
      <c r="P26" s="15" t="s">
        <v>41</v>
      </c>
      <c r="Q26" s="1" t="s">
        <v>3264</v>
      </c>
      <c r="R26" s="2" t="s">
        <v>3265</v>
      </c>
      <c r="S26" s="1" t="s">
        <v>46</v>
      </c>
      <c r="T26" s="1" t="s">
        <v>635</v>
      </c>
      <c r="U26" s="1" t="s">
        <v>636</v>
      </c>
      <c r="V26" s="1" t="s">
        <v>45</v>
      </c>
      <c r="W26" s="1"/>
      <c r="X26" s="1"/>
      <c r="Y26" s="1"/>
      <c r="Z26" s="1" t="s">
        <v>658</v>
      </c>
      <c r="AA26" s="1" t="s">
        <v>3266</v>
      </c>
      <c r="AB26" s="1" t="s">
        <v>46</v>
      </c>
      <c r="AC26" s="1" t="s">
        <v>46</v>
      </c>
      <c r="AD26" s="1"/>
      <c r="AE26" s="1" t="s">
        <v>641</v>
      </c>
      <c r="AF26" s="1" t="s">
        <v>190</v>
      </c>
      <c r="AG26" s="1">
        <v>4</v>
      </c>
      <c r="AH26" s="1" t="s">
        <v>190</v>
      </c>
      <c r="AI26" s="1"/>
      <c r="AJ26" s="1" t="s">
        <v>3267</v>
      </c>
      <c r="AK26" s="1" t="s">
        <v>3060</v>
      </c>
    </row>
    <row r="27" spans="1:37">
      <c r="A27" s="1" t="str">
        <f>VLOOKUP(H27,Languages!$A$2:$B$430,2,FALSE)</f>
        <v>Afro-Asiatic</v>
      </c>
      <c r="B27" s="1" t="s">
        <v>67</v>
      </c>
      <c r="C27" s="1" t="s">
        <v>108</v>
      </c>
      <c r="D27" s="1" t="s">
        <v>3654</v>
      </c>
      <c r="E27" s="15" t="s">
        <v>3655</v>
      </c>
      <c r="F27" s="15" t="s">
        <v>3656</v>
      </c>
      <c r="G27" s="1" t="s">
        <v>111</v>
      </c>
      <c r="H27" s="1" t="str">
        <f>VLOOKUP(G27,'languoid 4.0'!$A$1:$I$24439,2,FALSE)</f>
        <v>afro1255</v>
      </c>
      <c r="I27" s="1" t="str">
        <f>VLOOKUP(G27,'languoid 4.0'!$A$1:$I$24439,6,FALSE)</f>
        <v>family</v>
      </c>
      <c r="J27" s="15" t="s">
        <v>52</v>
      </c>
      <c r="K27" s="15" t="s">
        <v>52</v>
      </c>
      <c r="L27" s="15" t="s">
        <v>52</v>
      </c>
      <c r="M27" s="1"/>
      <c r="N27" s="1"/>
      <c r="O27" s="15" t="s">
        <v>40</v>
      </c>
      <c r="P27" s="15" t="s">
        <v>41</v>
      </c>
      <c r="Q27" s="1" t="s">
        <v>3657</v>
      </c>
      <c r="R27" s="2" t="s">
        <v>3658</v>
      </c>
      <c r="S27" s="1" t="s">
        <v>3659</v>
      </c>
      <c r="T27" s="1" t="s">
        <v>3660</v>
      </c>
      <c r="U27" s="1" t="s">
        <v>2181</v>
      </c>
      <c r="V27" s="1" t="s">
        <v>45</v>
      </c>
      <c r="W27" s="1"/>
      <c r="X27" s="1"/>
      <c r="Y27" s="1"/>
      <c r="Z27" s="1" t="s">
        <v>637</v>
      </c>
      <c r="AA27" s="1" t="s">
        <v>3661</v>
      </c>
      <c r="AB27" s="1" t="s">
        <v>3662</v>
      </c>
      <c r="AC27" s="1" t="s">
        <v>46</v>
      </c>
      <c r="AD27" s="1" t="s">
        <v>3663</v>
      </c>
      <c r="AE27" s="1" t="s">
        <v>641</v>
      </c>
      <c r="AF27" s="1" t="s">
        <v>190</v>
      </c>
      <c r="AG27" s="1">
        <v>4</v>
      </c>
      <c r="AH27" s="1" t="s">
        <v>190</v>
      </c>
      <c r="AI27" s="1" t="s">
        <v>3664</v>
      </c>
      <c r="AJ27" s="3">
        <v>43286.4534375</v>
      </c>
      <c r="AK27" s="1" t="s">
        <v>3060</v>
      </c>
    </row>
    <row r="28" spans="1:37">
      <c r="A28" s="1" t="str">
        <f>VLOOKUP(H28,Languages!$A$2:$B$430,2,FALSE)</f>
        <v>Afro-Asiatic</v>
      </c>
      <c r="B28" s="1" t="s">
        <v>67</v>
      </c>
      <c r="C28" s="1" t="s">
        <v>108</v>
      </c>
      <c r="D28" s="1" t="s">
        <v>3665</v>
      </c>
      <c r="E28" s="15" t="s">
        <v>3252</v>
      </c>
      <c r="F28" s="15" t="s">
        <v>515</v>
      </c>
      <c r="G28" s="1" t="s">
        <v>3252</v>
      </c>
      <c r="H28" s="1" t="str">
        <f>VLOOKUP(G28,'languoid 4.0'!$A$1:$I$24439,2,FALSE)</f>
        <v>afro1255</v>
      </c>
      <c r="I28" s="1" t="str">
        <f>VLOOKUP(G28,'languoid 4.0'!$A$1:$I$24439,6,FALSE)</f>
        <v>language</v>
      </c>
      <c r="J28" s="15" t="s">
        <v>52</v>
      </c>
      <c r="K28" s="15" t="s">
        <v>38</v>
      </c>
      <c r="L28" s="15" t="s">
        <v>38</v>
      </c>
      <c r="M28" s="1"/>
      <c r="N28" s="1" t="s">
        <v>3253</v>
      </c>
      <c r="O28" s="15" t="s">
        <v>40</v>
      </c>
      <c r="P28" s="15" t="s">
        <v>41</v>
      </c>
      <c r="Q28" s="1" t="s">
        <v>3666</v>
      </c>
      <c r="R28" s="2" t="s">
        <v>3667</v>
      </c>
      <c r="S28" s="1" t="s">
        <v>46</v>
      </c>
      <c r="T28" s="1" t="s">
        <v>635</v>
      </c>
      <c r="U28" s="1" t="s">
        <v>636</v>
      </c>
      <c r="V28" s="1" t="s">
        <v>45</v>
      </c>
      <c r="W28" s="1"/>
      <c r="X28" s="1"/>
      <c r="Y28" s="1"/>
      <c r="Z28" s="1" t="s">
        <v>637</v>
      </c>
      <c r="AA28" s="1" t="s">
        <v>3668</v>
      </c>
      <c r="AB28" s="1" t="s">
        <v>3669</v>
      </c>
      <c r="AC28" s="1" t="s">
        <v>46</v>
      </c>
      <c r="AD28" s="1"/>
      <c r="AE28" s="1" t="s">
        <v>641</v>
      </c>
      <c r="AF28" s="1" t="s">
        <v>190</v>
      </c>
      <c r="AG28" s="1">
        <v>5</v>
      </c>
      <c r="AH28" s="1" t="s">
        <v>190</v>
      </c>
      <c r="AI28" s="1"/>
      <c r="AJ28" s="3">
        <v>43286.496354166666</v>
      </c>
      <c r="AK28" s="1" t="s">
        <v>3060</v>
      </c>
    </row>
    <row r="29" spans="1:37">
      <c r="A29" s="1" t="str">
        <f>VLOOKUP(H29,Languages!$A$2:$B$430,2,FALSE)</f>
        <v>Afro-Asiatic</v>
      </c>
      <c r="B29" s="1" t="s">
        <v>67</v>
      </c>
      <c r="C29" s="1" t="s">
        <v>108</v>
      </c>
      <c r="D29" s="1" t="s">
        <v>3665</v>
      </c>
      <c r="E29" s="15" t="s">
        <v>3252</v>
      </c>
      <c r="F29" s="15" t="s">
        <v>515</v>
      </c>
      <c r="G29" s="1" t="s">
        <v>3252</v>
      </c>
      <c r="H29" s="1" t="str">
        <f>VLOOKUP(G29,'languoid 4.0'!$A$1:$I$24439,2,FALSE)</f>
        <v>afro1255</v>
      </c>
      <c r="I29" s="1" t="str">
        <f>VLOOKUP(G29,'languoid 4.0'!$A$1:$I$24439,6,FALSE)</f>
        <v>language</v>
      </c>
      <c r="J29" s="15" t="s">
        <v>52</v>
      </c>
      <c r="K29" s="15" t="s">
        <v>38</v>
      </c>
      <c r="L29" s="15" t="s">
        <v>38</v>
      </c>
      <c r="M29" s="1"/>
      <c r="N29" s="1" t="s">
        <v>3253</v>
      </c>
      <c r="O29" s="15" t="s">
        <v>40</v>
      </c>
      <c r="P29" s="15" t="s">
        <v>41</v>
      </c>
      <c r="Q29" s="1" t="s">
        <v>3670</v>
      </c>
      <c r="R29" s="2" t="s">
        <v>3671</v>
      </c>
      <c r="S29" s="1" t="s">
        <v>46</v>
      </c>
      <c r="T29" s="1" t="s">
        <v>635</v>
      </c>
      <c r="U29" s="1" t="s">
        <v>636</v>
      </c>
      <c r="V29" s="1" t="s">
        <v>45</v>
      </c>
      <c r="W29" s="1"/>
      <c r="X29" s="1"/>
      <c r="Y29" s="1"/>
      <c r="Z29" s="1" t="s">
        <v>637</v>
      </c>
      <c r="AA29" s="1" t="s">
        <v>3672</v>
      </c>
      <c r="AB29" s="1" t="s">
        <v>3673</v>
      </c>
      <c r="AC29" s="1" t="s">
        <v>46</v>
      </c>
      <c r="AD29" s="1"/>
      <c r="AE29" s="1" t="s">
        <v>641</v>
      </c>
      <c r="AF29" s="1" t="s">
        <v>190</v>
      </c>
      <c r="AG29" s="1">
        <v>3</v>
      </c>
      <c r="AH29" s="1" t="s">
        <v>190</v>
      </c>
      <c r="AI29" s="1"/>
      <c r="AJ29" s="3">
        <v>43286.498923611114</v>
      </c>
      <c r="AK29" s="1" t="s">
        <v>3060</v>
      </c>
    </row>
    <row r="30" spans="1:37">
      <c r="A30" s="1" t="str">
        <f>VLOOKUP(H30,Languages!$A$2:$B$430,2,FALSE)</f>
        <v>Afro-Asiatic</v>
      </c>
      <c r="B30" s="1" t="s">
        <v>67</v>
      </c>
      <c r="C30" s="1" t="s">
        <v>108</v>
      </c>
      <c r="D30" s="1" t="s">
        <v>3665</v>
      </c>
      <c r="E30" s="15" t="s">
        <v>3252</v>
      </c>
      <c r="F30" s="15" t="s">
        <v>515</v>
      </c>
      <c r="G30" s="1" t="s">
        <v>3252</v>
      </c>
      <c r="H30" s="1" t="str">
        <f>VLOOKUP(G30,'languoid 4.0'!$A$1:$I$24439,2,FALSE)</f>
        <v>afro1255</v>
      </c>
      <c r="I30" s="1" t="str">
        <f>VLOOKUP(G30,'languoid 4.0'!$A$1:$I$24439,6,FALSE)</f>
        <v>language</v>
      </c>
      <c r="J30" s="15" t="s">
        <v>52</v>
      </c>
      <c r="K30" s="15" t="s">
        <v>38</v>
      </c>
      <c r="L30" s="15" t="s">
        <v>38</v>
      </c>
      <c r="M30" s="1"/>
      <c r="N30" s="1" t="s">
        <v>3253</v>
      </c>
      <c r="O30" s="15" t="s">
        <v>40</v>
      </c>
      <c r="P30" s="15" t="s">
        <v>41</v>
      </c>
      <c r="Q30" s="1" t="s">
        <v>3674</v>
      </c>
      <c r="R30" s="2" t="s">
        <v>3675</v>
      </c>
      <c r="S30" s="1" t="s">
        <v>46</v>
      </c>
      <c r="T30" s="1" t="s">
        <v>635</v>
      </c>
      <c r="U30" s="1" t="s">
        <v>636</v>
      </c>
      <c r="V30" s="1" t="s">
        <v>45</v>
      </c>
      <c r="W30" s="1"/>
      <c r="X30" s="1"/>
      <c r="Y30" s="1"/>
      <c r="Z30" s="1" t="s">
        <v>637</v>
      </c>
      <c r="AA30" s="1" t="s">
        <v>3676</v>
      </c>
      <c r="AB30" s="1" t="s">
        <v>3677</v>
      </c>
      <c r="AC30" s="1" t="s">
        <v>46</v>
      </c>
      <c r="AD30" s="1"/>
      <c r="AE30" s="1" t="s">
        <v>641</v>
      </c>
      <c r="AF30" s="1" t="s">
        <v>190</v>
      </c>
      <c r="AG30" s="1">
        <v>4</v>
      </c>
      <c r="AH30" s="1" t="s">
        <v>190</v>
      </c>
      <c r="AI30" s="1"/>
      <c r="AJ30" s="3">
        <v>43286.50105324074</v>
      </c>
      <c r="AK30" s="1" t="s">
        <v>3060</v>
      </c>
    </row>
    <row r="31" spans="1:37">
      <c r="A31" s="1" t="str">
        <f>VLOOKUP(H31,Languages!$A$2:$B$430,2,FALSE)</f>
        <v>Afro-Asiatic</v>
      </c>
      <c r="B31" s="1" t="s">
        <v>67</v>
      </c>
      <c r="C31" s="1" t="s">
        <v>108</v>
      </c>
      <c r="D31" s="1" t="s">
        <v>3665</v>
      </c>
      <c r="E31" s="15" t="s">
        <v>3252</v>
      </c>
      <c r="F31" s="15" t="s">
        <v>515</v>
      </c>
      <c r="G31" s="1" t="s">
        <v>3252</v>
      </c>
      <c r="H31" s="1" t="str">
        <f>VLOOKUP(G31,'languoid 4.0'!$A$1:$I$24439,2,FALSE)</f>
        <v>afro1255</v>
      </c>
      <c r="I31" s="1" t="str">
        <f>VLOOKUP(G31,'languoid 4.0'!$A$1:$I$24439,6,FALSE)</f>
        <v>language</v>
      </c>
      <c r="J31" s="15" t="s">
        <v>52</v>
      </c>
      <c r="K31" s="15" t="s">
        <v>38</v>
      </c>
      <c r="L31" s="15" t="s">
        <v>38</v>
      </c>
      <c r="M31" s="1"/>
      <c r="N31" s="1" t="s">
        <v>3253</v>
      </c>
      <c r="O31" s="15" t="s">
        <v>40</v>
      </c>
      <c r="P31" s="15" t="s">
        <v>41</v>
      </c>
      <c r="Q31" s="1" t="s">
        <v>3678</v>
      </c>
      <c r="R31" s="2" t="s">
        <v>3679</v>
      </c>
      <c r="S31" s="1" t="s">
        <v>46</v>
      </c>
      <c r="T31" s="1" t="s">
        <v>635</v>
      </c>
      <c r="U31" s="1" t="s">
        <v>636</v>
      </c>
      <c r="V31" s="1" t="s">
        <v>45</v>
      </c>
      <c r="W31" s="1"/>
      <c r="X31" s="1"/>
      <c r="Y31" s="1"/>
      <c r="Z31" s="1" t="s">
        <v>637</v>
      </c>
      <c r="AA31" s="1" t="s">
        <v>3680</v>
      </c>
      <c r="AB31" s="1" t="s">
        <v>3681</v>
      </c>
      <c r="AC31" s="1" t="s">
        <v>46</v>
      </c>
      <c r="AD31" s="1"/>
      <c r="AE31" s="1" t="s">
        <v>641</v>
      </c>
      <c r="AF31" s="1" t="s">
        <v>190</v>
      </c>
      <c r="AG31" s="1">
        <v>4</v>
      </c>
      <c r="AH31" s="1" t="s">
        <v>190</v>
      </c>
      <c r="AI31" s="1"/>
      <c r="AJ31" s="3">
        <v>43286.503113425926</v>
      </c>
      <c r="AK31" s="1" t="s">
        <v>3060</v>
      </c>
    </row>
    <row r="32" spans="1:37">
      <c r="A32" s="1" t="str">
        <f>VLOOKUP(H32,Languages!$A$2:$B$430,2,FALSE)</f>
        <v>Afro-Asiatic</v>
      </c>
      <c r="B32" s="1" t="s">
        <v>67</v>
      </c>
      <c r="C32" s="1" t="s">
        <v>108</v>
      </c>
      <c r="D32" s="1" t="s">
        <v>3665</v>
      </c>
      <c r="E32" s="15" t="s">
        <v>3252</v>
      </c>
      <c r="F32" s="15" t="s">
        <v>515</v>
      </c>
      <c r="G32" s="1" t="s">
        <v>3252</v>
      </c>
      <c r="H32" s="1" t="str">
        <f>VLOOKUP(G32,'languoid 4.0'!$A$1:$I$24439,2,FALSE)</f>
        <v>afro1255</v>
      </c>
      <c r="I32" s="1" t="str">
        <f>VLOOKUP(G32,'languoid 4.0'!$A$1:$I$24439,6,FALSE)</f>
        <v>language</v>
      </c>
      <c r="J32" s="15" t="s">
        <v>52</v>
      </c>
      <c r="K32" s="15" t="s">
        <v>38</v>
      </c>
      <c r="L32" s="15" t="s">
        <v>38</v>
      </c>
      <c r="M32" s="1"/>
      <c r="N32" s="1" t="s">
        <v>3253</v>
      </c>
      <c r="O32" s="15" t="s">
        <v>40</v>
      </c>
      <c r="P32" s="15" t="s">
        <v>41</v>
      </c>
      <c r="Q32" s="1" t="s">
        <v>3682</v>
      </c>
      <c r="R32" s="2" t="s">
        <v>3683</v>
      </c>
      <c r="S32" s="1" t="s">
        <v>672</v>
      </c>
      <c r="T32" s="1" t="s">
        <v>635</v>
      </c>
      <c r="U32" s="1" t="s">
        <v>636</v>
      </c>
      <c r="V32" s="1" t="s">
        <v>45</v>
      </c>
      <c r="W32" s="1"/>
      <c r="X32" s="1"/>
      <c r="Y32" s="1"/>
      <c r="Z32" s="1" t="s">
        <v>637</v>
      </c>
      <c r="AA32" s="1" t="s">
        <v>3684</v>
      </c>
      <c r="AB32" s="1" t="s">
        <v>3685</v>
      </c>
      <c r="AC32" s="1" t="s">
        <v>46</v>
      </c>
      <c r="AD32" s="1"/>
      <c r="AE32" s="1" t="s">
        <v>641</v>
      </c>
      <c r="AF32" s="1" t="s">
        <v>45</v>
      </c>
      <c r="AG32" s="1">
        <v>3</v>
      </c>
      <c r="AH32" s="1" t="s">
        <v>190</v>
      </c>
      <c r="AI32" s="1" t="s">
        <v>3686</v>
      </c>
      <c r="AJ32" s="3">
        <v>43286.522604166668</v>
      </c>
      <c r="AK32" s="1" t="s">
        <v>3060</v>
      </c>
    </row>
    <row r="33" spans="1:37">
      <c r="A33" s="1" t="str">
        <f>VLOOKUP(H33,Languages!$A$2:$B$430,2,FALSE)</f>
        <v>Afro-Asiatic</v>
      </c>
      <c r="B33" s="1" t="s">
        <v>67</v>
      </c>
      <c r="C33" s="1" t="s">
        <v>58</v>
      </c>
      <c r="D33" s="1" t="s">
        <v>4933</v>
      </c>
      <c r="E33" s="15" t="s">
        <v>4410</v>
      </c>
      <c r="F33" s="15" t="s">
        <v>1523</v>
      </c>
      <c r="G33" s="1" t="s">
        <v>1523</v>
      </c>
      <c r="H33" s="1" t="str">
        <f>VLOOKUP(G33,'languoid 4.0'!$A$1:$I$24439,2,FALSE)</f>
        <v>afro1255</v>
      </c>
      <c r="I33" s="1" t="str">
        <f>VLOOKUP(G33,'languoid 4.0'!$A$1:$I$24439,6,FALSE)</f>
        <v>family</v>
      </c>
      <c r="J33" s="15" t="s">
        <v>52</v>
      </c>
      <c r="K33" s="15" t="s">
        <v>52</v>
      </c>
      <c r="L33" s="15" t="s">
        <v>52</v>
      </c>
      <c r="M33" s="1"/>
      <c r="N33" s="1" t="s">
        <v>4411</v>
      </c>
      <c r="O33" s="15" t="s">
        <v>40</v>
      </c>
      <c r="P33" s="15" t="s">
        <v>41</v>
      </c>
      <c r="Q33" s="1" t="s">
        <v>4934</v>
      </c>
      <c r="R33" s="2" t="s">
        <v>4935</v>
      </c>
      <c r="S33" s="1" t="s">
        <v>4821</v>
      </c>
      <c r="T33" s="1" t="s">
        <v>648</v>
      </c>
      <c r="U33" s="1" t="s">
        <v>4876</v>
      </c>
      <c r="V33" s="1" t="s">
        <v>45</v>
      </c>
      <c r="W33" s="1"/>
      <c r="X33" s="1"/>
      <c r="Y33" s="1"/>
      <c r="Z33" s="1" t="s">
        <v>637</v>
      </c>
      <c r="AA33" s="1" t="s">
        <v>4936</v>
      </c>
      <c r="AB33" s="1" t="s">
        <v>4937</v>
      </c>
      <c r="AC33" s="1" t="s">
        <v>46</v>
      </c>
      <c r="AD33" s="1"/>
      <c r="AE33" s="1" t="s">
        <v>641</v>
      </c>
      <c r="AF33" s="1" t="s">
        <v>190</v>
      </c>
      <c r="AG33" s="1">
        <v>6</v>
      </c>
      <c r="AH33" s="1" t="s">
        <v>190</v>
      </c>
      <c r="AI33" s="1"/>
      <c r="AJ33" s="1" t="s">
        <v>4938</v>
      </c>
      <c r="AK33" s="1" t="s">
        <v>4408</v>
      </c>
    </row>
    <row r="34" spans="1:37">
      <c r="A34" s="1" t="str">
        <f>VLOOKUP(H34,Languages!$A$2:$B$430,2,FALSE)</f>
        <v>Afro-Asiatic</v>
      </c>
      <c r="B34" s="1" t="s">
        <v>67</v>
      </c>
      <c r="C34" s="1" t="s">
        <v>58</v>
      </c>
      <c r="D34" s="1" t="s">
        <v>4946</v>
      </c>
      <c r="E34" s="15" t="s">
        <v>4410</v>
      </c>
      <c r="F34" s="15" t="s">
        <v>1523</v>
      </c>
      <c r="G34" s="1" t="s">
        <v>1523</v>
      </c>
      <c r="H34" s="1" t="str">
        <f>VLOOKUP(G34,'languoid 4.0'!$A$1:$I$24439,2,FALSE)</f>
        <v>afro1255</v>
      </c>
      <c r="I34" s="1" t="str">
        <f>VLOOKUP(G34,'languoid 4.0'!$A$1:$I$24439,6,FALSE)</f>
        <v>family</v>
      </c>
      <c r="J34" s="15" t="s">
        <v>52</v>
      </c>
      <c r="K34" s="15" t="s">
        <v>52</v>
      </c>
      <c r="L34" s="15" t="s">
        <v>52</v>
      </c>
      <c r="M34" s="1"/>
      <c r="N34" s="1" t="s">
        <v>4411</v>
      </c>
      <c r="O34" s="15" t="s">
        <v>40</v>
      </c>
      <c r="P34" s="15" t="s">
        <v>41</v>
      </c>
      <c r="Q34" s="1" t="s">
        <v>4947</v>
      </c>
      <c r="R34" s="2" t="s">
        <v>4948</v>
      </c>
      <c r="S34" s="1" t="s">
        <v>56</v>
      </c>
      <c r="T34" s="1" t="s">
        <v>648</v>
      </c>
      <c r="U34" s="1" t="s">
        <v>636</v>
      </c>
      <c r="V34" s="1" t="s">
        <v>45</v>
      </c>
      <c r="W34" s="1"/>
      <c r="X34" s="1"/>
      <c r="Y34" s="1"/>
      <c r="Z34" s="1" t="s">
        <v>658</v>
      </c>
      <c r="AA34" s="1" t="s">
        <v>4949</v>
      </c>
      <c r="AB34" s="1" t="s">
        <v>4950</v>
      </c>
      <c r="AC34" s="1" t="s">
        <v>46</v>
      </c>
      <c r="AD34" s="1"/>
      <c r="AE34" s="1" t="s">
        <v>641</v>
      </c>
      <c r="AF34" s="1" t="s">
        <v>190</v>
      </c>
      <c r="AG34" s="1">
        <v>6</v>
      </c>
      <c r="AH34" s="1" t="s">
        <v>190</v>
      </c>
      <c r="AI34" s="1"/>
      <c r="AJ34" s="1" t="s">
        <v>4951</v>
      </c>
      <c r="AK34" s="1" t="s">
        <v>4408</v>
      </c>
    </row>
    <row r="35" spans="1:37">
      <c r="A35" s="1" t="str">
        <f>VLOOKUP(H35,Languages!$A$2:$B$430,2,FALSE)</f>
        <v>Afro-Asiatic</v>
      </c>
      <c r="B35" s="1" t="s">
        <v>59</v>
      </c>
      <c r="C35" s="1" t="s">
        <v>48</v>
      </c>
      <c r="D35" s="1" t="s">
        <v>8133</v>
      </c>
      <c r="E35" s="15" t="s">
        <v>51</v>
      </c>
      <c r="F35" s="15" t="s">
        <v>51</v>
      </c>
      <c r="G35" s="1" t="s">
        <v>8134</v>
      </c>
      <c r="H35" s="1" t="str">
        <f>VLOOKUP(G35,'languoid 4.0'!$A$1:$I$24439,2,FALSE)</f>
        <v>afro1255</v>
      </c>
      <c r="I35" s="1" t="str">
        <f>VLOOKUP(G35,'languoid 4.0'!$A$1:$I$24439,6,FALSE)</f>
        <v>family</v>
      </c>
      <c r="J35" s="15" t="s">
        <v>51</v>
      </c>
      <c r="K35" s="15" t="s">
        <v>51</v>
      </c>
      <c r="L35" s="15" t="s">
        <v>51</v>
      </c>
      <c r="M35" s="1"/>
      <c r="N35" s="1" t="e">
        <v>#N/A</v>
      </c>
      <c r="O35" s="15" t="s">
        <v>690</v>
      </c>
      <c r="P35" s="15"/>
      <c r="Q35" s="1" t="s">
        <v>8135</v>
      </c>
      <c r="R35" s="2" t="s">
        <v>8136</v>
      </c>
      <c r="S35" s="1" t="s">
        <v>1526</v>
      </c>
      <c r="T35" s="1" t="s">
        <v>1689</v>
      </c>
      <c r="U35" s="1" t="s">
        <v>636</v>
      </c>
      <c r="V35" s="1" t="s">
        <v>45</v>
      </c>
      <c r="W35" s="1"/>
      <c r="X35" s="1"/>
      <c r="Y35" s="1"/>
      <c r="Z35" s="1" t="s">
        <v>637</v>
      </c>
      <c r="AA35" s="1" t="s">
        <v>8137</v>
      </c>
      <c r="AB35" s="1" t="s">
        <v>8138</v>
      </c>
      <c r="AC35" s="1" t="s">
        <v>46</v>
      </c>
      <c r="AD35" s="1"/>
      <c r="AE35" s="1" t="s">
        <v>641</v>
      </c>
      <c r="AF35" s="1" t="s">
        <v>190</v>
      </c>
      <c r="AG35" s="1">
        <v>3</v>
      </c>
      <c r="AH35" s="1" t="s">
        <v>190</v>
      </c>
      <c r="AI35" s="1"/>
      <c r="AJ35" s="1" t="s">
        <v>8139</v>
      </c>
      <c r="AK35" s="1" t="s">
        <v>5542</v>
      </c>
    </row>
    <row r="36" spans="1:37">
      <c r="A36" s="1" t="str">
        <f>VLOOKUP(H36,Languages!$A$2:$B$430,2,FALSE)</f>
        <v>Afro-Asiatic</v>
      </c>
      <c r="B36" s="1" t="s">
        <v>59</v>
      </c>
      <c r="C36" s="1" t="s">
        <v>214</v>
      </c>
      <c r="D36" s="1" t="s">
        <v>601</v>
      </c>
      <c r="E36" s="15" t="s">
        <v>602</v>
      </c>
      <c r="F36" s="15" t="s">
        <v>602</v>
      </c>
      <c r="G36" s="1" t="s">
        <v>602</v>
      </c>
      <c r="H36" s="1" t="str">
        <f>VLOOKUP(G36,'languoid 4.0'!$A$1:$I$24439,2,FALSE)</f>
        <v>afro1255</v>
      </c>
      <c r="I36" s="1" t="str">
        <f>VLOOKUP(G36,'languoid 4.0'!$A$1:$I$24439,6,FALSE)</f>
        <v>language</v>
      </c>
      <c r="J36" s="15" t="s">
        <v>38</v>
      </c>
      <c r="K36" s="15" t="s">
        <v>38</v>
      </c>
      <c r="L36" s="15" t="s">
        <v>38</v>
      </c>
      <c r="M36" s="1"/>
      <c r="N36" s="1" t="s">
        <v>603</v>
      </c>
      <c r="O36" s="15" t="s">
        <v>40</v>
      </c>
      <c r="P36" s="15" t="s">
        <v>41</v>
      </c>
      <c r="Q36" s="1" t="s">
        <v>785</v>
      </c>
      <c r="R36" s="2" t="s">
        <v>786</v>
      </c>
      <c r="S36" s="1" t="s">
        <v>46</v>
      </c>
      <c r="T36" s="1" t="s">
        <v>767</v>
      </c>
      <c r="U36" s="1" t="s">
        <v>636</v>
      </c>
      <c r="V36" s="1" t="s">
        <v>45</v>
      </c>
      <c r="W36" s="1"/>
      <c r="X36" s="1"/>
      <c r="Y36" s="1"/>
      <c r="Z36" s="1" t="s">
        <v>658</v>
      </c>
      <c r="AA36" s="1" t="s">
        <v>787</v>
      </c>
      <c r="AB36" s="1" t="s">
        <v>46</v>
      </c>
      <c r="AC36" s="1" t="s">
        <v>46</v>
      </c>
      <c r="AD36" s="1" t="s">
        <v>788</v>
      </c>
      <c r="AE36" s="1" t="s">
        <v>641</v>
      </c>
      <c r="AF36" s="1" t="s">
        <v>190</v>
      </c>
      <c r="AG36" s="1">
        <v>4</v>
      </c>
      <c r="AH36" s="1" t="s">
        <v>190</v>
      </c>
      <c r="AI36" s="1"/>
      <c r="AJ36" s="3">
        <v>43222.569687499999</v>
      </c>
      <c r="AK36" s="1" t="s">
        <v>740</v>
      </c>
    </row>
    <row r="37" spans="1:37">
      <c r="A37" s="1" t="str">
        <f>VLOOKUP(H37,Languages!$A$2:$B$430,2,FALSE)</f>
        <v>Afro-Asiatic</v>
      </c>
      <c r="B37" s="1" t="s">
        <v>59</v>
      </c>
      <c r="C37" s="1" t="s">
        <v>214</v>
      </c>
      <c r="D37" s="1" t="s">
        <v>601</v>
      </c>
      <c r="E37" s="15" t="s">
        <v>602</v>
      </c>
      <c r="F37" s="15" t="s">
        <v>602</v>
      </c>
      <c r="G37" s="1" t="s">
        <v>602</v>
      </c>
      <c r="H37" s="1" t="str">
        <f>VLOOKUP(G37,'languoid 4.0'!$A$1:$I$24439,2,FALSE)</f>
        <v>afro1255</v>
      </c>
      <c r="I37" s="1" t="str">
        <f>VLOOKUP(G37,'languoid 4.0'!$A$1:$I$24439,6,FALSE)</f>
        <v>language</v>
      </c>
      <c r="J37" s="15" t="s">
        <v>38</v>
      </c>
      <c r="K37" s="15" t="s">
        <v>38</v>
      </c>
      <c r="L37" s="15" t="s">
        <v>38</v>
      </c>
      <c r="M37" s="1"/>
      <c r="N37" s="1" t="s">
        <v>603</v>
      </c>
      <c r="O37" s="15" t="s">
        <v>40</v>
      </c>
      <c r="P37" s="15" t="s">
        <v>41</v>
      </c>
      <c r="Q37" s="1" t="s">
        <v>930</v>
      </c>
      <c r="R37" s="2" t="s">
        <v>931</v>
      </c>
      <c r="S37" s="1" t="s">
        <v>46</v>
      </c>
      <c r="T37" s="1" t="s">
        <v>635</v>
      </c>
      <c r="U37" s="1" t="s">
        <v>927</v>
      </c>
      <c r="V37" s="1" t="s">
        <v>45</v>
      </c>
      <c r="W37" s="1"/>
      <c r="X37" s="1"/>
      <c r="Y37" s="1"/>
      <c r="Z37" s="1" t="s">
        <v>658</v>
      </c>
      <c r="AA37" s="1" t="s">
        <v>932</v>
      </c>
      <c r="AB37" s="1" t="s">
        <v>46</v>
      </c>
      <c r="AC37" s="1" t="s">
        <v>46</v>
      </c>
      <c r="AD37" s="1" t="s">
        <v>933</v>
      </c>
      <c r="AE37" s="1" t="s">
        <v>641</v>
      </c>
      <c r="AF37" s="1" t="s">
        <v>190</v>
      </c>
      <c r="AG37" s="1">
        <v>6</v>
      </c>
      <c r="AH37" s="1" t="s">
        <v>190</v>
      </c>
      <c r="AI37" s="1"/>
      <c r="AJ37" s="3">
        <v>43253.721747685187</v>
      </c>
      <c r="AK37" s="1" t="s">
        <v>740</v>
      </c>
    </row>
    <row r="38" spans="1:37">
      <c r="A38" s="1" t="str">
        <f>VLOOKUP(H38,Languages!$A$2:$B$430,2,FALSE)</f>
        <v>Afro-Asiatic</v>
      </c>
      <c r="B38" s="1" t="s">
        <v>59</v>
      </c>
      <c r="C38" s="1" t="s">
        <v>108</v>
      </c>
      <c r="D38" s="1" t="s">
        <v>586</v>
      </c>
      <c r="E38" s="17" t="s">
        <v>587</v>
      </c>
      <c r="F38" s="16" t="s">
        <v>588</v>
      </c>
      <c r="G38" s="5" t="s">
        <v>587</v>
      </c>
      <c r="H38" s="1" t="str">
        <f>VLOOKUP(G38,'languoid 4.0'!$A$1:$I$24439,2,FALSE)</f>
        <v>afro1255</v>
      </c>
      <c r="I38" s="1" t="str">
        <f>VLOOKUP(G38,'languoid 4.0'!$A$1:$I$24439,6,FALSE)</f>
        <v>dialect</v>
      </c>
      <c r="J38" s="15" t="s">
        <v>52</v>
      </c>
      <c r="K38" s="15" t="s">
        <v>38</v>
      </c>
      <c r="L38" s="15" t="s">
        <v>38</v>
      </c>
      <c r="M38" s="1"/>
      <c r="N38" s="1"/>
      <c r="O38" s="15" t="s">
        <v>40</v>
      </c>
      <c r="P38" s="15" t="s">
        <v>41</v>
      </c>
      <c r="Q38" s="1" t="s">
        <v>589</v>
      </c>
      <c r="R38" s="2" t="s">
        <v>590</v>
      </c>
      <c r="S38" s="1" t="s">
        <v>43</v>
      </c>
      <c r="T38" s="1" t="s">
        <v>44</v>
      </c>
      <c r="U38" s="1"/>
      <c r="V38" s="1" t="s">
        <v>45</v>
      </c>
      <c r="W38" s="1"/>
      <c r="X38" s="1"/>
      <c r="Y38" s="1"/>
      <c r="Z38" s="1"/>
      <c r="AA38" s="1">
        <v>20</v>
      </c>
      <c r="AB38" s="1" t="s">
        <v>591</v>
      </c>
      <c r="AC38" s="1" t="s">
        <v>592</v>
      </c>
      <c r="AD38" s="1"/>
      <c r="AE38" s="1"/>
      <c r="AF38" s="1"/>
      <c r="AG38" s="1"/>
      <c r="AH38" s="1"/>
      <c r="AI38" s="1"/>
      <c r="AJ38" s="3">
        <v>43102.759525462963</v>
      </c>
      <c r="AK38" s="1" t="s">
        <v>172</v>
      </c>
    </row>
    <row r="39" spans="1:37">
      <c r="A39" s="1" t="str">
        <f>VLOOKUP(H39,Languages!$A$2:$B$430,2,FALSE)</f>
        <v>Afro-Asiatic</v>
      </c>
      <c r="B39" s="1" t="s">
        <v>59</v>
      </c>
      <c r="C39" s="1" t="s">
        <v>108</v>
      </c>
      <c r="D39" s="1" t="s">
        <v>3783</v>
      </c>
      <c r="E39" s="15" t="s">
        <v>51</v>
      </c>
      <c r="F39" s="15" t="s">
        <v>1523</v>
      </c>
      <c r="G39" s="1" t="s">
        <v>1523</v>
      </c>
      <c r="H39" s="1" t="str">
        <f>VLOOKUP(G39,'languoid 4.0'!$A$1:$I$24439,2,FALSE)</f>
        <v>afro1255</v>
      </c>
      <c r="I39" s="1" t="str">
        <f>VLOOKUP(G39,'languoid 4.0'!$A$1:$I$24439,6,FALSE)</f>
        <v>family</v>
      </c>
      <c r="J39" s="15" t="s">
        <v>52</v>
      </c>
      <c r="K39" s="15" t="s">
        <v>51</v>
      </c>
      <c r="L39" s="15" t="s">
        <v>51</v>
      </c>
      <c r="M39" s="1"/>
      <c r="N39" s="1" t="e">
        <v>#N/A</v>
      </c>
      <c r="O39" s="15" t="s">
        <v>690</v>
      </c>
      <c r="P39" s="15"/>
      <c r="Q39" s="1" t="s">
        <v>3784</v>
      </c>
      <c r="R39" s="2" t="s">
        <v>3785</v>
      </c>
      <c r="S39" s="1" t="s">
        <v>3786</v>
      </c>
      <c r="T39" s="1" t="s">
        <v>754</v>
      </c>
      <c r="U39" s="1" t="s">
        <v>636</v>
      </c>
      <c r="V39" s="1" t="s">
        <v>45</v>
      </c>
      <c r="W39" s="1"/>
      <c r="X39" s="1"/>
      <c r="Y39" s="1"/>
      <c r="Z39" s="1" t="s">
        <v>673</v>
      </c>
      <c r="AA39" s="1" t="s">
        <v>46</v>
      </c>
      <c r="AB39" s="1" t="s">
        <v>3787</v>
      </c>
      <c r="AC39" s="1" t="s">
        <v>46</v>
      </c>
      <c r="AD39" s="1"/>
      <c r="AE39" s="1"/>
      <c r="AF39" s="1"/>
      <c r="AG39" s="1"/>
      <c r="AH39" s="1" t="s">
        <v>45</v>
      </c>
      <c r="AI39" s="1"/>
      <c r="AJ39" s="3">
        <v>43409.569976851853</v>
      </c>
      <c r="AK39" s="1" t="s">
        <v>3060</v>
      </c>
    </row>
    <row r="40" spans="1:37">
      <c r="A40" s="1" t="str">
        <f>VLOOKUP(H40,Languages!$A$2:$B$430,2,FALSE)</f>
        <v>Afro-Asiatic</v>
      </c>
      <c r="B40" s="1" t="s">
        <v>109</v>
      </c>
      <c r="C40" s="1" t="s">
        <v>214</v>
      </c>
      <c r="D40" s="1" t="s">
        <v>601</v>
      </c>
      <c r="E40" s="15" t="s">
        <v>602</v>
      </c>
      <c r="F40" s="15" t="s">
        <v>602</v>
      </c>
      <c r="G40" s="1" t="s">
        <v>602</v>
      </c>
      <c r="H40" s="1" t="str">
        <f>VLOOKUP(G40,'languoid 4.0'!$A$1:$I$24439,2,FALSE)</f>
        <v>afro1255</v>
      </c>
      <c r="I40" s="1" t="str">
        <f>VLOOKUP(G40,'languoid 4.0'!$A$1:$I$24439,6,FALSE)</f>
        <v>language</v>
      </c>
      <c r="J40" s="15" t="s">
        <v>38</v>
      </c>
      <c r="K40" s="15" t="s">
        <v>38</v>
      </c>
      <c r="L40" s="15" t="s">
        <v>38</v>
      </c>
      <c r="M40" s="1"/>
      <c r="N40" s="1" t="s">
        <v>603</v>
      </c>
      <c r="O40" s="15" t="s">
        <v>40</v>
      </c>
      <c r="P40" s="15" t="s">
        <v>41</v>
      </c>
      <c r="Q40" s="1" t="s">
        <v>604</v>
      </c>
      <c r="R40" s="2" t="s">
        <v>605</v>
      </c>
      <c r="S40" s="1" t="s">
        <v>555</v>
      </c>
      <c r="T40" s="1" t="s">
        <v>44</v>
      </c>
      <c r="U40" s="1"/>
      <c r="V40" s="1" t="s">
        <v>45</v>
      </c>
      <c r="W40" s="1"/>
      <c r="X40" s="1"/>
      <c r="Y40" s="1"/>
      <c r="Z40" s="1"/>
      <c r="AA40" s="1">
        <v>7</v>
      </c>
      <c r="AB40" s="1">
        <v>7</v>
      </c>
      <c r="AC40" s="1" t="s">
        <v>46</v>
      </c>
      <c r="AD40" s="1"/>
      <c r="AE40" s="1"/>
      <c r="AF40" s="1"/>
      <c r="AG40" s="1"/>
      <c r="AH40" s="1"/>
      <c r="AI40" s="1"/>
      <c r="AJ40" s="3">
        <v>43102.764270833337</v>
      </c>
      <c r="AK40" s="1" t="s">
        <v>74</v>
      </c>
    </row>
    <row r="41" spans="1:37">
      <c r="A41" s="1" t="str">
        <f>VLOOKUP(H41,Languages!$A$2:$B$430,2,FALSE)</f>
        <v>Afro-Asiatic</v>
      </c>
      <c r="B41" s="1" t="s">
        <v>109</v>
      </c>
      <c r="C41" s="1" t="s">
        <v>214</v>
      </c>
      <c r="D41" s="1" t="s">
        <v>745</v>
      </c>
      <c r="E41" s="15" t="s">
        <v>746</v>
      </c>
      <c r="F41" s="15" t="s">
        <v>746</v>
      </c>
      <c r="G41" s="1" t="s">
        <v>746</v>
      </c>
      <c r="H41" s="1" t="str">
        <f>VLOOKUP(G41,'languoid 4.0'!$A$1:$I$24439,2,FALSE)</f>
        <v>afro1255</v>
      </c>
      <c r="I41" s="1" t="str">
        <f>VLOOKUP(G41,'languoid 4.0'!$A$1:$I$24439,6,FALSE)</f>
        <v>language</v>
      </c>
      <c r="J41" s="15" t="s">
        <v>38</v>
      </c>
      <c r="K41" s="15" t="s">
        <v>38</v>
      </c>
      <c r="L41" s="15" t="s">
        <v>38</v>
      </c>
      <c r="M41" s="1"/>
      <c r="N41" s="1" t="s">
        <v>747</v>
      </c>
      <c r="O41" s="15" t="s">
        <v>40</v>
      </c>
      <c r="P41" s="15" t="s">
        <v>41</v>
      </c>
      <c r="Q41" s="1" t="s">
        <v>748</v>
      </c>
      <c r="R41" s="2" t="s">
        <v>749</v>
      </c>
      <c r="S41" s="1" t="s">
        <v>46</v>
      </c>
      <c r="T41" s="1" t="s">
        <v>735</v>
      </c>
      <c r="U41" s="1" t="s">
        <v>636</v>
      </c>
      <c r="V41" s="1" t="s">
        <v>45</v>
      </c>
      <c r="W41" s="1"/>
      <c r="X41" s="1"/>
      <c r="Y41" s="1"/>
      <c r="Z41" s="1" t="s">
        <v>658</v>
      </c>
      <c r="AA41" s="1" t="s">
        <v>750</v>
      </c>
      <c r="AB41" s="1" t="s">
        <v>46</v>
      </c>
      <c r="AC41" s="1" t="s">
        <v>46</v>
      </c>
      <c r="AD41" s="1" t="s">
        <v>751</v>
      </c>
      <c r="AE41" s="1" t="s">
        <v>641</v>
      </c>
      <c r="AF41" s="1" t="s">
        <v>190</v>
      </c>
      <c r="AG41" s="1">
        <v>6</v>
      </c>
      <c r="AH41" s="1" t="s">
        <v>190</v>
      </c>
      <c r="AI41" s="1"/>
      <c r="AJ41" s="3">
        <v>43222.532129629632</v>
      </c>
      <c r="AK41" s="1" t="s">
        <v>740</v>
      </c>
    </row>
    <row r="42" spans="1:37">
      <c r="A42" s="1" t="str">
        <f>VLOOKUP(H42,Languages!$A$2:$B$430,2,FALSE)</f>
        <v>Afro-Asiatic</v>
      </c>
      <c r="B42" s="1" t="s">
        <v>109</v>
      </c>
      <c r="C42" s="1" t="s">
        <v>214</v>
      </c>
      <c r="D42" s="1" t="s">
        <v>763</v>
      </c>
      <c r="E42" s="15" t="s">
        <v>764</v>
      </c>
      <c r="F42" s="15" t="s">
        <v>765</v>
      </c>
      <c r="G42" s="1" t="s">
        <v>764</v>
      </c>
      <c r="H42" s="1" t="str">
        <f>VLOOKUP(G42,'languoid 4.0'!$A$1:$I$24439,2,FALSE)</f>
        <v>afro1255</v>
      </c>
      <c r="I42" s="1" t="str">
        <f>VLOOKUP(G42,'languoid 4.0'!$A$1:$I$24439,6,FALSE)</f>
        <v>dialect</v>
      </c>
      <c r="J42" s="15" t="s">
        <v>52</v>
      </c>
      <c r="K42" s="15" t="s">
        <v>38</v>
      </c>
      <c r="L42" s="15" t="s">
        <v>38</v>
      </c>
      <c r="M42" s="1"/>
      <c r="N42" s="1"/>
      <c r="O42" s="15" t="s">
        <v>40</v>
      </c>
      <c r="P42" s="15" t="s">
        <v>41</v>
      </c>
      <c r="Q42" s="1" t="s">
        <v>144</v>
      </c>
      <c r="R42" s="2" t="s">
        <v>766</v>
      </c>
      <c r="S42" s="1" t="s">
        <v>46</v>
      </c>
      <c r="T42" s="1" t="s">
        <v>767</v>
      </c>
      <c r="U42" s="1" t="s">
        <v>768</v>
      </c>
      <c r="V42" s="1" t="s">
        <v>45</v>
      </c>
      <c r="W42" s="1"/>
      <c r="X42" s="1"/>
      <c r="Y42" s="1"/>
      <c r="Z42" s="1" t="s">
        <v>658</v>
      </c>
      <c r="AA42" s="1" t="s">
        <v>769</v>
      </c>
      <c r="AB42" s="1" t="s">
        <v>770</v>
      </c>
      <c r="AC42" s="1" t="s">
        <v>46</v>
      </c>
      <c r="AD42" s="1" t="s">
        <v>771</v>
      </c>
      <c r="AE42" s="1" t="s">
        <v>641</v>
      </c>
      <c r="AF42" s="1" t="s">
        <v>190</v>
      </c>
      <c r="AG42" s="1">
        <v>5</v>
      </c>
      <c r="AH42" s="1" t="s">
        <v>190</v>
      </c>
      <c r="AI42" s="1"/>
      <c r="AJ42" s="3">
        <v>43222.543969907405</v>
      </c>
      <c r="AK42" s="1" t="s">
        <v>740</v>
      </c>
    </row>
    <row r="43" spans="1:37">
      <c r="A43" s="1" t="str">
        <f>VLOOKUP(H43,Languages!$A$2:$B$430,2,FALSE)</f>
        <v>Afro-Asiatic</v>
      </c>
      <c r="B43" s="1" t="s">
        <v>109</v>
      </c>
      <c r="C43" s="1" t="s">
        <v>214</v>
      </c>
      <c r="D43" s="1" t="s">
        <v>995</v>
      </c>
      <c r="E43" s="15" t="s">
        <v>996</v>
      </c>
      <c r="F43" s="15" t="s">
        <v>996</v>
      </c>
      <c r="G43" s="1" t="s">
        <v>996</v>
      </c>
      <c r="H43" s="1" t="str">
        <f>VLOOKUP(G43,'languoid 4.0'!$A$1:$I$24439,2,FALSE)</f>
        <v>afro1255</v>
      </c>
      <c r="I43" s="1" t="str">
        <f>VLOOKUP(G43,'languoid 4.0'!$A$1:$I$24439,6,FALSE)</f>
        <v>language</v>
      </c>
      <c r="J43" s="15" t="s">
        <v>38</v>
      </c>
      <c r="K43" s="15" t="s">
        <v>38</v>
      </c>
      <c r="L43" s="15" t="s">
        <v>38</v>
      </c>
      <c r="M43" s="1"/>
      <c r="N43" s="1" t="s">
        <v>997</v>
      </c>
      <c r="O43" s="15" t="s">
        <v>113</v>
      </c>
      <c r="P43" s="15" t="s">
        <v>41</v>
      </c>
      <c r="Q43" s="1" t="s">
        <v>748</v>
      </c>
      <c r="R43" s="2" t="s">
        <v>998</v>
      </c>
      <c r="S43" s="1" t="s">
        <v>46</v>
      </c>
      <c r="T43" s="1" t="s">
        <v>635</v>
      </c>
      <c r="U43" s="1" t="s">
        <v>768</v>
      </c>
      <c r="V43" s="1" t="s">
        <v>45</v>
      </c>
      <c r="W43" s="1"/>
      <c r="X43" s="1"/>
      <c r="Y43" s="1"/>
      <c r="Z43" s="1" t="s">
        <v>658</v>
      </c>
      <c r="AA43" s="1" t="s">
        <v>999</v>
      </c>
      <c r="AB43" s="1" t="s">
        <v>46</v>
      </c>
      <c r="AC43" s="1" t="s">
        <v>46</v>
      </c>
      <c r="AD43" s="1" t="s">
        <v>1000</v>
      </c>
      <c r="AE43" s="1" t="s">
        <v>641</v>
      </c>
      <c r="AF43" s="1" t="s">
        <v>190</v>
      </c>
      <c r="AG43" s="1">
        <v>5</v>
      </c>
      <c r="AH43" s="1" t="s">
        <v>190</v>
      </c>
      <c r="AI43" s="1"/>
      <c r="AJ43" s="3">
        <v>43314.598333333335</v>
      </c>
      <c r="AK43" s="1" t="s">
        <v>740</v>
      </c>
    </row>
    <row r="44" spans="1:37">
      <c r="A44" s="1" t="str">
        <f>VLOOKUP(H44,Languages!$A$2:$B$430,2,FALSE)</f>
        <v>Afro-Asiatic</v>
      </c>
      <c r="B44" s="1" t="s">
        <v>109</v>
      </c>
      <c r="C44" s="1" t="s">
        <v>214</v>
      </c>
      <c r="D44" s="1" t="s">
        <v>601</v>
      </c>
      <c r="E44" s="15" t="s">
        <v>602</v>
      </c>
      <c r="F44" s="15" t="s">
        <v>602</v>
      </c>
      <c r="G44" s="1" t="s">
        <v>602</v>
      </c>
      <c r="H44" s="1" t="str">
        <f>VLOOKUP(G44,'languoid 4.0'!$A$1:$I$24439,2,FALSE)</f>
        <v>afro1255</v>
      </c>
      <c r="I44" s="1" t="str">
        <f>VLOOKUP(G44,'languoid 4.0'!$A$1:$I$24439,6,FALSE)</f>
        <v>language</v>
      </c>
      <c r="J44" s="15" t="s">
        <v>38</v>
      </c>
      <c r="K44" s="15" t="s">
        <v>38</v>
      </c>
      <c r="L44" s="15" t="s">
        <v>38</v>
      </c>
      <c r="M44" s="1"/>
      <c r="N44" s="1" t="s">
        <v>603</v>
      </c>
      <c r="O44" s="15" t="s">
        <v>40</v>
      </c>
      <c r="P44" s="15" t="s">
        <v>41</v>
      </c>
      <c r="Q44" s="1" t="s">
        <v>748</v>
      </c>
      <c r="R44" s="2" t="s">
        <v>1050</v>
      </c>
      <c r="S44" s="1" t="s">
        <v>46</v>
      </c>
      <c r="T44" s="1" t="s">
        <v>1051</v>
      </c>
      <c r="U44" s="1" t="s">
        <v>636</v>
      </c>
      <c r="V44" s="1" t="s">
        <v>45</v>
      </c>
      <c r="W44" s="1"/>
      <c r="X44" s="1"/>
      <c r="Y44" s="1"/>
      <c r="Z44" s="1" t="s">
        <v>637</v>
      </c>
      <c r="AA44" s="1" t="s">
        <v>1052</v>
      </c>
      <c r="AB44" s="1" t="s">
        <v>1053</v>
      </c>
      <c r="AC44" s="1" t="s">
        <v>46</v>
      </c>
      <c r="AD44" s="1" t="s">
        <v>1054</v>
      </c>
      <c r="AE44" s="1" t="s">
        <v>641</v>
      </c>
      <c r="AF44" s="1" t="s">
        <v>190</v>
      </c>
      <c r="AG44" s="1">
        <v>5</v>
      </c>
      <c r="AH44" s="1" t="s">
        <v>190</v>
      </c>
      <c r="AI44" s="1" t="s">
        <v>1055</v>
      </c>
      <c r="AJ44" s="1" t="s">
        <v>1056</v>
      </c>
      <c r="AK44" s="1" t="s">
        <v>740</v>
      </c>
    </row>
    <row r="45" spans="1:37">
      <c r="A45" s="1" t="str">
        <f>VLOOKUP(H45,Languages!$A$2:$B$430,2,FALSE)</f>
        <v>Afro-Asiatic</v>
      </c>
      <c r="B45" s="1" t="s">
        <v>109</v>
      </c>
      <c r="C45" s="1" t="s">
        <v>214</v>
      </c>
      <c r="D45" s="1" t="s">
        <v>3061</v>
      </c>
      <c r="E45" s="15" t="s">
        <v>3054</v>
      </c>
      <c r="F45" s="15" t="s">
        <v>1523</v>
      </c>
      <c r="G45" s="1" t="s">
        <v>3054</v>
      </c>
      <c r="H45" s="1" t="str">
        <f>VLOOKUP(G45,'languoid 4.0'!$A$1:$I$24439,2,FALSE)</f>
        <v>afro1255</v>
      </c>
      <c r="I45" s="1" t="str">
        <f>VLOOKUP(G45,'languoid 4.0'!$A$1:$I$24439,6,FALSE)</f>
        <v>dialect</v>
      </c>
      <c r="J45" s="15" t="s">
        <v>52</v>
      </c>
      <c r="K45" s="15" t="s">
        <v>38</v>
      </c>
      <c r="L45" s="15" t="s">
        <v>38</v>
      </c>
      <c r="M45" s="1"/>
      <c r="N45" s="1"/>
      <c r="O45" s="15" t="s">
        <v>40</v>
      </c>
      <c r="P45" s="15" t="s">
        <v>41</v>
      </c>
      <c r="Q45" s="1" t="s">
        <v>3062</v>
      </c>
      <c r="R45" s="2" t="s">
        <v>3063</v>
      </c>
      <c r="S45" s="1" t="s">
        <v>46</v>
      </c>
      <c r="T45" s="1" t="s">
        <v>635</v>
      </c>
      <c r="U45" s="1" t="s">
        <v>636</v>
      </c>
      <c r="V45" s="1" t="s">
        <v>45</v>
      </c>
      <c r="W45" s="1"/>
      <c r="X45" s="1"/>
      <c r="Y45" s="1"/>
      <c r="Z45" s="1" t="s">
        <v>658</v>
      </c>
      <c r="AA45" s="1" t="s">
        <v>3064</v>
      </c>
      <c r="AB45" s="1" t="s">
        <v>46</v>
      </c>
      <c r="AC45" s="1" t="s">
        <v>46</v>
      </c>
      <c r="AD45" s="1" t="s">
        <v>3065</v>
      </c>
      <c r="AE45" s="1" t="s">
        <v>641</v>
      </c>
      <c r="AF45" s="1" t="s">
        <v>190</v>
      </c>
      <c r="AG45" s="1">
        <v>5</v>
      </c>
      <c r="AH45" s="1" t="s">
        <v>190</v>
      </c>
      <c r="AI45" s="1"/>
      <c r="AJ45" s="1" t="s">
        <v>3066</v>
      </c>
      <c r="AK45" s="1" t="s">
        <v>3060</v>
      </c>
    </row>
    <row r="46" spans="1:37">
      <c r="A46" s="1" t="str">
        <f>VLOOKUP(H46,Languages!$A$2:$B$430,2,FALSE)</f>
        <v>Afro-Asiatic</v>
      </c>
      <c r="B46" s="1" t="s">
        <v>109</v>
      </c>
      <c r="C46" s="1" t="s">
        <v>159</v>
      </c>
      <c r="D46" s="1" t="s">
        <v>4603</v>
      </c>
      <c r="E46" s="15" t="s">
        <v>4604</v>
      </c>
      <c r="F46" s="15" t="s">
        <v>1523</v>
      </c>
      <c r="G46" s="1" t="s">
        <v>4605</v>
      </c>
      <c r="H46" s="1" t="str">
        <f>VLOOKUP(G46,'languoid 4.0'!$A$1:$I$24439,2,FALSE)</f>
        <v>afro1255</v>
      </c>
      <c r="I46" s="1" t="str">
        <f>VLOOKUP(G46,'languoid 4.0'!$A$1:$I$24439,6,FALSE)</f>
        <v>family</v>
      </c>
      <c r="J46" s="15" t="s">
        <v>52</v>
      </c>
      <c r="K46" s="15" t="s">
        <v>38</v>
      </c>
      <c r="L46" s="15" t="s">
        <v>38</v>
      </c>
      <c r="M46" s="1"/>
      <c r="N46" s="1"/>
      <c r="O46" s="15" t="s">
        <v>40</v>
      </c>
      <c r="P46" s="15" t="s">
        <v>41</v>
      </c>
      <c r="Q46" s="1" t="s">
        <v>144</v>
      </c>
      <c r="R46" s="2" t="s">
        <v>4606</v>
      </c>
      <c r="S46" s="1" t="s">
        <v>46</v>
      </c>
      <c r="T46" s="1" t="s">
        <v>635</v>
      </c>
      <c r="U46" s="1" t="s">
        <v>636</v>
      </c>
      <c r="V46" s="1" t="s">
        <v>45</v>
      </c>
      <c r="W46" s="1"/>
      <c r="X46" s="1"/>
      <c r="Y46" s="1"/>
      <c r="Z46" s="1" t="s">
        <v>658</v>
      </c>
      <c r="AA46" s="1" t="s">
        <v>4607</v>
      </c>
      <c r="AB46" s="1" t="s">
        <v>46</v>
      </c>
      <c r="AC46" s="1" t="s">
        <v>46</v>
      </c>
      <c r="AD46" s="1"/>
      <c r="AE46" s="1" t="s">
        <v>641</v>
      </c>
      <c r="AF46" s="1" t="s">
        <v>190</v>
      </c>
      <c r="AG46" s="1">
        <v>6</v>
      </c>
      <c r="AH46" s="1" t="s">
        <v>190</v>
      </c>
      <c r="AI46" s="1"/>
      <c r="AJ46" s="3">
        <v>43318.621076388888</v>
      </c>
      <c r="AK46" s="1" t="s">
        <v>4608</v>
      </c>
    </row>
    <row r="47" spans="1:37">
      <c r="A47" s="1" t="str">
        <f>VLOOKUP(H47,Languages!$A$2:$B$430,2,FALSE)</f>
        <v>Afro-Asiatic</v>
      </c>
      <c r="B47" s="1" t="s">
        <v>109</v>
      </c>
      <c r="C47" s="1" t="s">
        <v>159</v>
      </c>
      <c r="D47" s="1" t="s">
        <v>4679</v>
      </c>
      <c r="E47" s="15" t="s">
        <v>1523</v>
      </c>
      <c r="F47" s="15" t="s">
        <v>1523</v>
      </c>
      <c r="G47" s="1" t="s">
        <v>4675</v>
      </c>
      <c r="H47" s="1" t="str">
        <f>VLOOKUP(G47,'languoid 4.0'!$A$1:$I$24439,2,FALSE)</f>
        <v>afro1255</v>
      </c>
      <c r="I47" s="1" t="str">
        <f>VLOOKUP(G47,'languoid 4.0'!$A$1:$I$24439,6,FALSE)</f>
        <v>family</v>
      </c>
      <c r="J47" s="15" t="s">
        <v>38</v>
      </c>
      <c r="K47" s="15" t="s">
        <v>38</v>
      </c>
      <c r="L47" s="15" t="s">
        <v>38</v>
      </c>
      <c r="M47" s="1"/>
      <c r="N47" s="1"/>
      <c r="O47" s="15" t="s">
        <v>40</v>
      </c>
      <c r="P47" s="15" t="s">
        <v>41</v>
      </c>
      <c r="Q47" s="1" t="s">
        <v>748</v>
      </c>
      <c r="R47" s="2" t="s">
        <v>4680</v>
      </c>
      <c r="S47" s="1" t="s">
        <v>46</v>
      </c>
      <c r="T47" s="1" t="s">
        <v>648</v>
      </c>
      <c r="U47" s="1" t="s">
        <v>636</v>
      </c>
      <c r="V47" s="1" t="s">
        <v>45</v>
      </c>
      <c r="W47" s="1"/>
      <c r="X47" s="1"/>
      <c r="Y47" s="1"/>
      <c r="Z47" s="1" t="s">
        <v>887</v>
      </c>
      <c r="AA47" s="1" t="s">
        <v>4681</v>
      </c>
      <c r="AB47" s="1" t="s">
        <v>46</v>
      </c>
      <c r="AC47" s="1" t="s">
        <v>4682</v>
      </c>
      <c r="AD47" s="1"/>
      <c r="AE47" s="1" t="s">
        <v>641</v>
      </c>
      <c r="AF47" s="1" t="s">
        <v>190</v>
      </c>
      <c r="AG47" s="1">
        <v>6</v>
      </c>
      <c r="AH47" s="1" t="s">
        <v>190</v>
      </c>
      <c r="AI47" s="1"/>
      <c r="AJ47" s="3">
        <v>43318.68</v>
      </c>
      <c r="AK47" s="1" t="s">
        <v>4608</v>
      </c>
    </row>
    <row r="48" spans="1:37">
      <c r="A48" s="1" t="str">
        <f>VLOOKUP(H48,Languages!$A$2:$B$430,2,FALSE)</f>
        <v>Afro-Asiatic</v>
      </c>
      <c r="B48" s="1" t="s">
        <v>109</v>
      </c>
      <c r="C48" s="1" t="s">
        <v>159</v>
      </c>
      <c r="D48" s="1" t="s">
        <v>4702</v>
      </c>
      <c r="E48" s="15" t="s">
        <v>4703</v>
      </c>
      <c r="F48" s="15" t="s">
        <v>1523</v>
      </c>
      <c r="G48" s="1" t="s">
        <v>4703</v>
      </c>
      <c r="H48" s="1" t="str">
        <f>VLOOKUP(G48,'languoid 4.0'!$A$1:$I$24439,2,FALSE)</f>
        <v>afro1255</v>
      </c>
      <c r="I48" s="1" t="str">
        <f>VLOOKUP(G48,'languoid 4.0'!$A$1:$I$24439,6,FALSE)</f>
        <v>language</v>
      </c>
      <c r="J48" s="15" t="s">
        <v>52</v>
      </c>
      <c r="K48" s="15" t="s">
        <v>38</v>
      </c>
      <c r="L48" s="15" t="s">
        <v>38</v>
      </c>
      <c r="M48" s="1"/>
      <c r="N48" s="1" t="s">
        <v>4704</v>
      </c>
      <c r="O48" s="15" t="s">
        <v>40</v>
      </c>
      <c r="P48" s="15" t="s">
        <v>41</v>
      </c>
      <c r="Q48" s="1" t="s">
        <v>748</v>
      </c>
      <c r="R48" s="2" t="s">
        <v>4705</v>
      </c>
      <c r="S48" s="1" t="s">
        <v>46</v>
      </c>
      <c r="T48" s="1" t="s">
        <v>648</v>
      </c>
      <c r="U48" s="1" t="s">
        <v>636</v>
      </c>
      <c r="V48" s="1" t="s">
        <v>45</v>
      </c>
      <c r="W48" s="1"/>
      <c r="X48" s="1"/>
      <c r="Y48" s="1"/>
      <c r="Z48" s="1" t="s">
        <v>658</v>
      </c>
      <c r="AA48" s="1" t="s">
        <v>4706</v>
      </c>
      <c r="AB48" s="1" t="s">
        <v>46</v>
      </c>
      <c r="AC48" s="1" t="s">
        <v>46</v>
      </c>
      <c r="AD48" s="1"/>
      <c r="AE48" s="1" t="s">
        <v>641</v>
      </c>
      <c r="AF48" s="1" t="s">
        <v>190</v>
      </c>
      <c r="AG48" s="1">
        <v>3</v>
      </c>
      <c r="AH48" s="1" t="s">
        <v>190</v>
      </c>
      <c r="AI48" s="1"/>
      <c r="AJ48" s="3">
        <v>43318.715960648151</v>
      </c>
      <c r="AK48" s="1" t="s">
        <v>4608</v>
      </c>
    </row>
    <row r="49" spans="1:37">
      <c r="A49" s="1" t="str">
        <f>VLOOKUP(H49,Languages!$A$2:$B$430,2,FALSE)</f>
        <v>Afro-Asiatic</v>
      </c>
      <c r="B49" s="1" t="s">
        <v>109</v>
      </c>
      <c r="C49" s="1" t="s">
        <v>108</v>
      </c>
      <c r="D49" s="1" t="s">
        <v>110</v>
      </c>
      <c r="E49" s="15" t="s">
        <v>111</v>
      </c>
      <c r="F49" s="15" t="s">
        <v>111</v>
      </c>
      <c r="G49" s="1" t="s">
        <v>111</v>
      </c>
      <c r="H49" s="1" t="str">
        <f>VLOOKUP(G49,'languoid 4.0'!$A$1:$I$24439,2,FALSE)</f>
        <v>afro1255</v>
      </c>
      <c r="I49" s="1" t="str">
        <f>VLOOKUP(G49,'languoid 4.0'!$A$1:$I$24439,6,FALSE)</f>
        <v>family</v>
      </c>
      <c r="J49" s="15" t="s">
        <v>38</v>
      </c>
      <c r="K49" s="15" t="s">
        <v>38</v>
      </c>
      <c r="L49" s="15" t="s">
        <v>38</v>
      </c>
      <c r="M49" s="1"/>
      <c r="N49" s="1" t="s">
        <v>112</v>
      </c>
      <c r="O49" s="15" t="s">
        <v>113</v>
      </c>
      <c r="P49" s="15" t="s">
        <v>41</v>
      </c>
      <c r="Q49" s="1" t="s">
        <v>114</v>
      </c>
      <c r="R49" s="2" t="s">
        <v>115</v>
      </c>
      <c r="S49" s="1" t="s">
        <v>116</v>
      </c>
      <c r="T49" s="1" t="s">
        <v>44</v>
      </c>
      <c r="U49" s="1"/>
      <c r="V49" s="1" t="s">
        <v>45</v>
      </c>
      <c r="W49" s="1"/>
      <c r="X49" s="1"/>
      <c r="Y49" s="1"/>
      <c r="Z49" s="1"/>
      <c r="AA49" s="1">
        <v>6</v>
      </c>
      <c r="AB49" s="4">
        <v>43652</v>
      </c>
      <c r="AC49" s="1" t="s">
        <v>46</v>
      </c>
      <c r="AD49" s="1"/>
      <c r="AE49" s="1"/>
      <c r="AF49" s="1"/>
      <c r="AG49" s="1"/>
      <c r="AH49" s="1"/>
      <c r="AI49" s="1"/>
      <c r="AJ49" s="3">
        <v>43102.727083333331</v>
      </c>
      <c r="AK49" s="1" t="s">
        <v>57</v>
      </c>
    </row>
    <row r="50" spans="1:37">
      <c r="A50" s="1" t="str">
        <f>VLOOKUP(H50,Languages!$A$2:$B$430,2,FALSE)</f>
        <v>Afro-Asiatic</v>
      </c>
      <c r="B50" s="1" t="s">
        <v>109</v>
      </c>
      <c r="C50" s="1" t="s">
        <v>108</v>
      </c>
      <c r="D50" s="1" t="s">
        <v>3331</v>
      </c>
      <c r="E50" s="15" t="s">
        <v>3332</v>
      </c>
      <c r="F50" s="15" t="s">
        <v>3332</v>
      </c>
      <c r="G50" s="1" t="s">
        <v>3332</v>
      </c>
      <c r="H50" s="1" t="str">
        <f>VLOOKUP(G50,'languoid 4.0'!$A$1:$I$24439,2,FALSE)</f>
        <v>afro1255</v>
      </c>
      <c r="I50" s="1" t="str">
        <f>VLOOKUP(G50,'languoid 4.0'!$A$1:$I$24439,6,FALSE)</f>
        <v>language</v>
      </c>
      <c r="J50" s="15" t="s">
        <v>38</v>
      </c>
      <c r="K50" s="15" t="s">
        <v>38</v>
      </c>
      <c r="L50" s="15" t="s">
        <v>38</v>
      </c>
      <c r="M50" s="1"/>
      <c r="N50" s="1" t="s">
        <v>3333</v>
      </c>
      <c r="O50" s="15" t="s">
        <v>40</v>
      </c>
      <c r="P50" s="15" t="s">
        <v>41</v>
      </c>
      <c r="Q50" s="1" t="s">
        <v>3334</v>
      </c>
      <c r="R50" s="2" t="s">
        <v>3335</v>
      </c>
      <c r="S50" s="1" t="s">
        <v>46</v>
      </c>
      <c r="T50" s="1" t="s">
        <v>635</v>
      </c>
      <c r="U50" s="1" t="s">
        <v>1943</v>
      </c>
      <c r="V50" s="1" t="s">
        <v>45</v>
      </c>
      <c r="W50" s="1"/>
      <c r="X50" s="1"/>
      <c r="Y50" s="1"/>
      <c r="Z50" s="1" t="s">
        <v>1151</v>
      </c>
      <c r="AA50" s="1" t="s">
        <v>3336</v>
      </c>
      <c r="AB50" s="1" t="s">
        <v>3337</v>
      </c>
      <c r="AC50" s="1" t="s">
        <v>3338</v>
      </c>
      <c r="AD50" s="1"/>
      <c r="AE50" s="1" t="s">
        <v>641</v>
      </c>
      <c r="AF50" s="1" t="s">
        <v>190</v>
      </c>
      <c r="AG50" s="1">
        <v>6</v>
      </c>
      <c r="AH50" s="1" t="s">
        <v>190</v>
      </c>
      <c r="AI50" s="1" t="s">
        <v>3339</v>
      </c>
      <c r="AJ50" s="1" t="s">
        <v>3340</v>
      </c>
      <c r="AK50" s="1" t="s">
        <v>3060</v>
      </c>
    </row>
    <row r="51" spans="1:37">
      <c r="A51" s="1" t="str">
        <f>VLOOKUP(H51,Languages!$A$2:$B$430,2,FALSE)</f>
        <v>Afro-Asiatic</v>
      </c>
      <c r="B51" s="1" t="s">
        <v>109</v>
      </c>
      <c r="C51" s="1" t="s">
        <v>108</v>
      </c>
      <c r="D51" s="1" t="s">
        <v>110</v>
      </c>
      <c r="E51" s="15" t="s">
        <v>111</v>
      </c>
      <c r="F51" s="15" t="s">
        <v>111</v>
      </c>
      <c r="G51" s="1" t="s">
        <v>111</v>
      </c>
      <c r="H51" s="1" t="str">
        <f>VLOOKUP(G51,'languoid 4.0'!$A$1:$I$24439,2,FALSE)</f>
        <v>afro1255</v>
      </c>
      <c r="I51" s="1" t="str">
        <f>VLOOKUP(G51,'languoid 4.0'!$A$1:$I$24439,6,FALSE)</f>
        <v>family</v>
      </c>
      <c r="J51" s="15" t="s">
        <v>38</v>
      </c>
      <c r="K51" s="15" t="s">
        <v>38</v>
      </c>
      <c r="L51" s="15" t="s">
        <v>38</v>
      </c>
      <c r="M51" s="1"/>
      <c r="N51" s="1" t="s">
        <v>112</v>
      </c>
      <c r="O51" s="15" t="s">
        <v>113</v>
      </c>
      <c r="P51" s="15" t="s">
        <v>41</v>
      </c>
      <c r="Q51" s="1" t="s">
        <v>3341</v>
      </c>
      <c r="R51" s="2" t="s">
        <v>3342</v>
      </c>
      <c r="S51" s="1" t="s">
        <v>46</v>
      </c>
      <c r="T51" s="1" t="s">
        <v>635</v>
      </c>
      <c r="U51" s="1" t="s">
        <v>636</v>
      </c>
      <c r="V51" s="1" t="s">
        <v>45</v>
      </c>
      <c r="W51" s="1"/>
      <c r="X51" s="1"/>
      <c r="Y51" s="1"/>
      <c r="Z51" s="1" t="s">
        <v>637</v>
      </c>
      <c r="AA51" s="1" t="s">
        <v>3343</v>
      </c>
      <c r="AB51" s="1" t="s">
        <v>3344</v>
      </c>
      <c r="AC51" s="1" t="s">
        <v>46</v>
      </c>
      <c r="AD51" s="1"/>
      <c r="AE51" s="1" t="s">
        <v>641</v>
      </c>
      <c r="AF51" s="1" t="s">
        <v>190</v>
      </c>
      <c r="AG51" s="1">
        <v>5</v>
      </c>
      <c r="AH51" s="1" t="s">
        <v>190</v>
      </c>
      <c r="AI51" s="1"/>
      <c r="AJ51" s="1" t="s">
        <v>3345</v>
      </c>
      <c r="AK51" s="1" t="s">
        <v>3060</v>
      </c>
    </row>
    <row r="52" spans="1:37">
      <c r="A52" s="1" t="str">
        <f>VLOOKUP(H52,Languages!$A$2:$B$430,2,FALSE)</f>
        <v>Afro-Asiatic</v>
      </c>
      <c r="B52" s="1" t="s">
        <v>109</v>
      </c>
      <c r="C52" s="1" t="s">
        <v>108</v>
      </c>
      <c r="D52" s="1" t="s">
        <v>110</v>
      </c>
      <c r="E52" s="15" t="s">
        <v>111</v>
      </c>
      <c r="F52" s="15" t="s">
        <v>111</v>
      </c>
      <c r="G52" s="1" t="s">
        <v>111</v>
      </c>
      <c r="H52" s="1" t="str">
        <f>VLOOKUP(G52,'languoid 4.0'!$A$1:$I$24439,2,FALSE)</f>
        <v>afro1255</v>
      </c>
      <c r="I52" s="1" t="str">
        <f>VLOOKUP(G52,'languoid 4.0'!$A$1:$I$24439,6,FALSE)</f>
        <v>family</v>
      </c>
      <c r="J52" s="15" t="s">
        <v>38</v>
      </c>
      <c r="K52" s="15" t="s">
        <v>38</v>
      </c>
      <c r="L52" s="15" t="s">
        <v>38</v>
      </c>
      <c r="M52" s="1"/>
      <c r="N52" s="1" t="s">
        <v>112</v>
      </c>
      <c r="O52" s="15" t="s">
        <v>113</v>
      </c>
      <c r="P52" s="15" t="s">
        <v>41</v>
      </c>
      <c r="Q52" s="1" t="s">
        <v>3346</v>
      </c>
      <c r="R52" s="2" t="s">
        <v>3347</v>
      </c>
      <c r="S52" s="1" t="s">
        <v>46</v>
      </c>
      <c r="T52" s="1" t="s">
        <v>635</v>
      </c>
      <c r="U52" s="1" t="s">
        <v>636</v>
      </c>
      <c r="V52" s="1" t="s">
        <v>45</v>
      </c>
      <c r="W52" s="1"/>
      <c r="X52" s="1"/>
      <c r="Y52" s="1"/>
      <c r="Z52" s="1" t="s">
        <v>637</v>
      </c>
      <c r="AA52" s="1" t="s">
        <v>3348</v>
      </c>
      <c r="AB52" s="1" t="s">
        <v>3349</v>
      </c>
      <c r="AC52" s="1" t="s">
        <v>46</v>
      </c>
      <c r="AD52" s="1"/>
      <c r="AE52" s="1" t="s">
        <v>641</v>
      </c>
      <c r="AF52" s="1" t="s">
        <v>190</v>
      </c>
      <c r="AG52" s="1">
        <v>5</v>
      </c>
      <c r="AH52" s="1" t="s">
        <v>190</v>
      </c>
      <c r="AI52" s="1"/>
      <c r="AJ52" s="1" t="s">
        <v>3350</v>
      </c>
      <c r="AK52" s="1" t="s">
        <v>3060</v>
      </c>
    </row>
    <row r="53" spans="1:37">
      <c r="A53" s="1" t="str">
        <f>VLOOKUP(H53,Languages!$A$2:$B$430,2,FALSE)</f>
        <v>Afro-Asiatic</v>
      </c>
      <c r="B53" s="1" t="s">
        <v>109</v>
      </c>
      <c r="C53" s="1" t="s">
        <v>108</v>
      </c>
      <c r="D53" s="1" t="s">
        <v>3697</v>
      </c>
      <c r="E53" s="15" t="s">
        <v>3698</v>
      </c>
      <c r="F53" s="15" t="s">
        <v>1523</v>
      </c>
      <c r="G53" s="1" t="s">
        <v>3698</v>
      </c>
      <c r="H53" s="1" t="str">
        <f>VLOOKUP(G53,'languoid 4.0'!$A$1:$I$24439,2,FALSE)</f>
        <v>afro1255</v>
      </c>
      <c r="I53" s="1" t="str">
        <f>VLOOKUP(G53,'languoid 4.0'!$A$1:$I$24439,6,FALSE)</f>
        <v>language</v>
      </c>
      <c r="J53" s="15" t="s">
        <v>52</v>
      </c>
      <c r="K53" s="15" t="s">
        <v>38</v>
      </c>
      <c r="L53" s="15" t="s">
        <v>38</v>
      </c>
      <c r="M53" s="1"/>
      <c r="N53" s="1" t="s">
        <v>3699</v>
      </c>
      <c r="O53" s="15" t="s">
        <v>40</v>
      </c>
      <c r="P53" s="15" t="s">
        <v>41</v>
      </c>
      <c r="Q53" s="1" t="s">
        <v>748</v>
      </c>
      <c r="R53" s="2" t="s">
        <v>3700</v>
      </c>
      <c r="S53" s="1" t="s">
        <v>46</v>
      </c>
      <c r="T53" s="1" t="s">
        <v>635</v>
      </c>
      <c r="U53" s="1" t="s">
        <v>636</v>
      </c>
      <c r="V53" s="1" t="s">
        <v>45</v>
      </c>
      <c r="W53" s="1"/>
      <c r="X53" s="1"/>
      <c r="Y53" s="1"/>
      <c r="Z53" s="1" t="s">
        <v>658</v>
      </c>
      <c r="AA53" s="1" t="s">
        <v>3701</v>
      </c>
      <c r="AB53" s="1" t="s">
        <v>46</v>
      </c>
      <c r="AC53" s="1" t="s">
        <v>46</v>
      </c>
      <c r="AD53" s="1"/>
      <c r="AE53" s="1" t="s">
        <v>641</v>
      </c>
      <c r="AF53" s="1" t="s">
        <v>190</v>
      </c>
      <c r="AG53" s="1">
        <v>3</v>
      </c>
      <c r="AH53" s="1" t="s">
        <v>190</v>
      </c>
      <c r="AI53" s="1"/>
      <c r="AJ53" s="3">
        <v>43317.705740740741</v>
      </c>
      <c r="AK53" s="1" t="s">
        <v>3060</v>
      </c>
    </row>
    <row r="54" spans="1:37">
      <c r="A54" s="1" t="str">
        <f>VLOOKUP(H54,Languages!$A$2:$B$430,2,FALSE)</f>
        <v>Afro-Asiatic</v>
      </c>
      <c r="B54" s="1" t="s">
        <v>109</v>
      </c>
      <c r="C54" s="1" t="s">
        <v>108</v>
      </c>
      <c r="D54" s="1" t="s">
        <v>3702</v>
      </c>
      <c r="E54" s="15" t="s">
        <v>587</v>
      </c>
      <c r="F54" s="15" t="s">
        <v>1523</v>
      </c>
      <c r="G54" s="1" t="s">
        <v>587</v>
      </c>
      <c r="H54" s="1" t="str">
        <f>VLOOKUP(G54,'languoid 4.0'!$A$1:$I$24439,2,FALSE)</f>
        <v>afro1255</v>
      </c>
      <c r="I54" s="1" t="str">
        <f>VLOOKUP(G54,'languoid 4.0'!$A$1:$I$24439,6,FALSE)</f>
        <v>dialect</v>
      </c>
      <c r="J54" s="15" t="s">
        <v>52</v>
      </c>
      <c r="K54" s="15" t="s">
        <v>38</v>
      </c>
      <c r="L54" s="15" t="s">
        <v>38</v>
      </c>
      <c r="M54" s="1"/>
      <c r="N54" s="1"/>
      <c r="O54" s="15" t="s">
        <v>40</v>
      </c>
      <c r="P54" s="15" t="s">
        <v>41</v>
      </c>
      <c r="Q54" s="1" t="s">
        <v>748</v>
      </c>
      <c r="R54" s="2" t="s">
        <v>3703</v>
      </c>
      <c r="S54" s="1" t="s">
        <v>46</v>
      </c>
      <c r="T54" s="1" t="s">
        <v>635</v>
      </c>
      <c r="U54" s="1" t="s">
        <v>636</v>
      </c>
      <c r="V54" s="1" t="s">
        <v>45</v>
      </c>
      <c r="W54" s="1"/>
      <c r="X54" s="1"/>
      <c r="Y54" s="1"/>
      <c r="Z54" s="1" t="s">
        <v>658</v>
      </c>
      <c r="AA54" s="1" t="s">
        <v>3704</v>
      </c>
      <c r="AB54" s="1" t="s">
        <v>46</v>
      </c>
      <c r="AC54" s="1" t="s">
        <v>46</v>
      </c>
      <c r="AD54" s="1"/>
      <c r="AE54" s="1" t="s">
        <v>641</v>
      </c>
      <c r="AF54" s="1" t="s">
        <v>190</v>
      </c>
      <c r="AG54" s="1">
        <v>6</v>
      </c>
      <c r="AH54" s="1" t="s">
        <v>190</v>
      </c>
      <c r="AI54" s="1"/>
      <c r="AJ54" s="3">
        <v>43317.707951388889</v>
      </c>
      <c r="AK54" s="1" t="s">
        <v>3060</v>
      </c>
    </row>
    <row r="55" spans="1:37">
      <c r="A55" s="1" t="str">
        <f>VLOOKUP(H55,Languages!$A$2:$B$430,2,FALSE)</f>
        <v>Afro-Asiatic</v>
      </c>
      <c r="B55" s="1" t="s">
        <v>109</v>
      </c>
      <c r="C55" s="1" t="s">
        <v>108</v>
      </c>
      <c r="D55" s="1" t="s">
        <v>3702</v>
      </c>
      <c r="E55" s="15" t="s">
        <v>587</v>
      </c>
      <c r="F55" s="15" t="s">
        <v>1523</v>
      </c>
      <c r="G55" s="1" t="s">
        <v>587</v>
      </c>
      <c r="H55" s="1" t="str">
        <f>VLOOKUP(G55,'languoid 4.0'!$A$1:$I$24439,2,FALSE)</f>
        <v>afro1255</v>
      </c>
      <c r="I55" s="1" t="str">
        <f>VLOOKUP(G55,'languoid 4.0'!$A$1:$I$24439,6,FALSE)</f>
        <v>dialect</v>
      </c>
      <c r="J55" s="15" t="s">
        <v>52</v>
      </c>
      <c r="K55" s="15" t="s">
        <v>38</v>
      </c>
      <c r="L55" s="15" t="s">
        <v>38</v>
      </c>
      <c r="M55" s="1"/>
      <c r="N55" s="1"/>
      <c r="O55" s="15" t="s">
        <v>40</v>
      </c>
      <c r="P55" s="15" t="s">
        <v>41</v>
      </c>
      <c r="Q55" s="1" t="s">
        <v>3705</v>
      </c>
      <c r="R55" s="2" t="s">
        <v>3706</v>
      </c>
      <c r="S55" s="1" t="s">
        <v>46</v>
      </c>
      <c r="T55" s="1" t="s">
        <v>635</v>
      </c>
      <c r="U55" s="1" t="s">
        <v>636</v>
      </c>
      <c r="V55" s="1" t="s">
        <v>45</v>
      </c>
      <c r="W55" s="1"/>
      <c r="X55" s="1"/>
      <c r="Y55" s="1"/>
      <c r="Z55" s="1" t="s">
        <v>637</v>
      </c>
      <c r="AA55" s="1" t="s">
        <v>3707</v>
      </c>
      <c r="AB55" s="1" t="s">
        <v>3708</v>
      </c>
      <c r="AC55" s="1" t="s">
        <v>46</v>
      </c>
      <c r="AD55" s="1"/>
      <c r="AE55" s="1" t="s">
        <v>641</v>
      </c>
      <c r="AF55" s="1" t="s">
        <v>190</v>
      </c>
      <c r="AG55" s="1">
        <v>5</v>
      </c>
      <c r="AH55" s="1" t="s">
        <v>190</v>
      </c>
      <c r="AI55" s="1"/>
      <c r="AJ55" s="3">
        <v>43317.70988425926</v>
      </c>
      <c r="AK55" s="1" t="s">
        <v>3060</v>
      </c>
    </row>
    <row r="56" spans="1:37">
      <c r="A56" s="1" t="str">
        <f>VLOOKUP(H56,Languages!$A$2:$B$430,2,FALSE)</f>
        <v>Afro-Asiatic</v>
      </c>
      <c r="B56" s="1" t="s">
        <v>109</v>
      </c>
      <c r="C56" s="1" t="s">
        <v>108</v>
      </c>
      <c r="D56" s="1" t="s">
        <v>3709</v>
      </c>
      <c r="E56" s="15" t="s">
        <v>3710</v>
      </c>
      <c r="F56" s="15" t="s">
        <v>1523</v>
      </c>
      <c r="G56" s="1" t="s">
        <v>3710</v>
      </c>
      <c r="H56" s="1" t="str">
        <f>VLOOKUP(G56,'languoid 4.0'!$A$1:$I$24439,2,FALSE)</f>
        <v>afro1255</v>
      </c>
      <c r="I56" s="1" t="str">
        <f>VLOOKUP(G56,'languoid 4.0'!$A$1:$I$24439,6,FALSE)</f>
        <v>language</v>
      </c>
      <c r="J56" s="15" t="s">
        <v>52</v>
      </c>
      <c r="K56" s="15" t="s">
        <v>38</v>
      </c>
      <c r="L56" s="15" t="s">
        <v>38</v>
      </c>
      <c r="M56" s="1"/>
      <c r="N56" s="1" t="s">
        <v>3711</v>
      </c>
      <c r="O56" s="15" t="s">
        <v>40</v>
      </c>
      <c r="P56" s="15" t="s">
        <v>41</v>
      </c>
      <c r="Q56" s="1" t="s">
        <v>3715</v>
      </c>
      <c r="R56" s="2" t="s">
        <v>3716</v>
      </c>
      <c r="S56" s="1" t="s">
        <v>46</v>
      </c>
      <c r="T56" s="1" t="s">
        <v>822</v>
      </c>
      <c r="U56" s="1" t="s">
        <v>636</v>
      </c>
      <c r="V56" s="1" t="s">
        <v>45</v>
      </c>
      <c r="W56" s="1"/>
      <c r="X56" s="1"/>
      <c r="Y56" s="1"/>
      <c r="Z56" s="1" t="s">
        <v>673</v>
      </c>
      <c r="AA56" s="1" t="s">
        <v>3717</v>
      </c>
      <c r="AB56" s="1" t="s">
        <v>3718</v>
      </c>
      <c r="AC56" s="1" t="s">
        <v>46</v>
      </c>
      <c r="AD56" s="1"/>
      <c r="AE56" s="1" t="s">
        <v>641</v>
      </c>
      <c r="AF56" s="1" t="s">
        <v>190</v>
      </c>
      <c r="AG56" s="1">
        <v>6</v>
      </c>
      <c r="AH56" s="1" t="s">
        <v>190</v>
      </c>
      <c r="AI56" s="1"/>
      <c r="AJ56" s="3">
        <v>43317.736307870371</v>
      </c>
      <c r="AK56" s="1" t="s">
        <v>3060</v>
      </c>
    </row>
    <row r="57" spans="1:37">
      <c r="A57" s="1" t="str">
        <f>VLOOKUP(H57,Languages!$A$2:$B$430,2,FALSE)</f>
        <v>Afro-Asiatic</v>
      </c>
      <c r="B57" s="1" t="s">
        <v>109</v>
      </c>
      <c r="C57" s="1" t="s">
        <v>108</v>
      </c>
      <c r="D57" s="1" t="s">
        <v>3709</v>
      </c>
      <c r="E57" s="15" t="s">
        <v>3710</v>
      </c>
      <c r="F57" s="15" t="s">
        <v>1523</v>
      </c>
      <c r="G57" s="1" t="s">
        <v>3710</v>
      </c>
      <c r="H57" s="1" t="str">
        <f>VLOOKUP(G57,'languoid 4.0'!$A$1:$I$24439,2,FALSE)</f>
        <v>afro1255</v>
      </c>
      <c r="I57" s="1" t="str">
        <f>VLOOKUP(G57,'languoid 4.0'!$A$1:$I$24439,6,FALSE)</f>
        <v>language</v>
      </c>
      <c r="J57" s="15" t="s">
        <v>52</v>
      </c>
      <c r="K57" s="15" t="s">
        <v>38</v>
      </c>
      <c r="L57" s="15" t="s">
        <v>38</v>
      </c>
      <c r="M57" s="1"/>
      <c r="N57" s="1" t="s">
        <v>3711</v>
      </c>
      <c r="O57" s="15" t="s">
        <v>40</v>
      </c>
      <c r="P57" s="15" t="s">
        <v>41</v>
      </c>
      <c r="Q57" s="1" t="s">
        <v>3751</v>
      </c>
      <c r="R57" s="2" t="s">
        <v>3752</v>
      </c>
      <c r="S57" s="1" t="s">
        <v>46</v>
      </c>
      <c r="T57" s="1" t="s">
        <v>822</v>
      </c>
      <c r="U57" s="1" t="s">
        <v>636</v>
      </c>
      <c r="V57" s="1" t="s">
        <v>45</v>
      </c>
      <c r="W57" s="1"/>
      <c r="X57" s="1"/>
      <c r="Y57" s="1"/>
      <c r="Z57" s="1" t="s">
        <v>637</v>
      </c>
      <c r="AA57" s="1" t="s">
        <v>3753</v>
      </c>
      <c r="AB57" s="1" t="s">
        <v>3754</v>
      </c>
      <c r="AC57" s="1" t="s">
        <v>46</v>
      </c>
      <c r="AD57" s="1"/>
      <c r="AE57" s="1" t="s">
        <v>641</v>
      </c>
      <c r="AF57" s="1" t="s">
        <v>190</v>
      </c>
      <c r="AG57" s="1">
        <v>4</v>
      </c>
      <c r="AH57" s="1" t="s">
        <v>190</v>
      </c>
      <c r="AI57" s="1"/>
      <c r="AJ57" s="3">
        <v>43348.471990740742</v>
      </c>
      <c r="AK57" s="1" t="s">
        <v>3060</v>
      </c>
    </row>
    <row r="58" spans="1:37">
      <c r="A58" s="1" t="str">
        <f>VLOOKUP(H58,Languages!$A$2:$B$430,2,FALSE)</f>
        <v>Afro-Asiatic</v>
      </c>
      <c r="B58" s="1" t="s">
        <v>35</v>
      </c>
      <c r="C58" s="1" t="s">
        <v>108</v>
      </c>
      <c r="D58" s="1" t="s">
        <v>110</v>
      </c>
      <c r="E58" s="15" t="s">
        <v>111</v>
      </c>
      <c r="F58" s="15" t="s">
        <v>111</v>
      </c>
      <c r="G58" s="1" t="s">
        <v>111</v>
      </c>
      <c r="H58" s="1" t="str">
        <f>VLOOKUP(G58,'languoid 4.0'!$A$1:$I$24439,2,FALSE)</f>
        <v>afro1255</v>
      </c>
      <c r="I58" s="1" t="str">
        <f>VLOOKUP(G58,'languoid 4.0'!$A$1:$I$24439,6,FALSE)</f>
        <v>family</v>
      </c>
      <c r="J58" s="15" t="s">
        <v>38</v>
      </c>
      <c r="K58" s="15" t="s">
        <v>38</v>
      </c>
      <c r="L58" s="15" t="s">
        <v>38</v>
      </c>
      <c r="M58" s="1"/>
      <c r="N58" s="1" t="s">
        <v>112</v>
      </c>
      <c r="O58" s="15" t="s">
        <v>113</v>
      </c>
      <c r="P58" s="15" t="s">
        <v>41</v>
      </c>
      <c r="Q58" s="1" t="s">
        <v>35</v>
      </c>
      <c r="R58" s="2" t="s">
        <v>428</v>
      </c>
      <c r="S58" s="1" t="s">
        <v>429</v>
      </c>
      <c r="T58" s="1" t="s">
        <v>44</v>
      </c>
      <c r="U58" s="1"/>
      <c r="V58" s="1" t="s">
        <v>45</v>
      </c>
      <c r="W58" s="1"/>
      <c r="X58" s="1"/>
      <c r="Y58" s="1"/>
      <c r="Z58" s="1"/>
      <c r="AA58" s="1">
        <v>8</v>
      </c>
      <c r="AB58" s="1">
        <v>8</v>
      </c>
      <c r="AC58" s="1">
        <v>8</v>
      </c>
      <c r="AD58" s="1"/>
      <c r="AE58" s="1"/>
      <c r="AF58" s="1"/>
      <c r="AG58" s="1"/>
      <c r="AH58" s="1"/>
      <c r="AI58" s="1"/>
      <c r="AJ58" s="3">
        <v>43102.748171296298</v>
      </c>
      <c r="AK58" s="1" t="s">
        <v>172</v>
      </c>
    </row>
    <row r="59" spans="1:37">
      <c r="A59" s="1" t="str">
        <f>VLOOKUP(H59,Languages!$A$2:$B$430,2,FALSE)</f>
        <v>Afro-Asiatic</v>
      </c>
      <c r="B59" s="1" t="s">
        <v>35</v>
      </c>
      <c r="C59" s="1" t="s">
        <v>108</v>
      </c>
      <c r="D59" s="1" t="s">
        <v>110</v>
      </c>
      <c r="E59" s="15" t="s">
        <v>111</v>
      </c>
      <c r="F59" s="15" t="s">
        <v>111</v>
      </c>
      <c r="G59" s="1" t="s">
        <v>111</v>
      </c>
      <c r="H59" s="1" t="str">
        <f>VLOOKUP(G59,'languoid 4.0'!$A$1:$I$24439,2,FALSE)</f>
        <v>afro1255</v>
      </c>
      <c r="I59" s="1" t="str">
        <f>VLOOKUP(G59,'languoid 4.0'!$A$1:$I$24439,6,FALSE)</f>
        <v>family</v>
      </c>
      <c r="J59" s="15" t="s">
        <v>38</v>
      </c>
      <c r="K59" s="15" t="s">
        <v>38</v>
      </c>
      <c r="L59" s="15" t="s">
        <v>38</v>
      </c>
      <c r="M59" s="1"/>
      <c r="N59" s="1" t="s">
        <v>112</v>
      </c>
      <c r="O59" s="15" t="s">
        <v>113</v>
      </c>
      <c r="P59" s="15" t="s">
        <v>41</v>
      </c>
      <c r="Q59" s="1" t="s">
        <v>6604</v>
      </c>
      <c r="R59" s="2" t="s">
        <v>6605</v>
      </c>
      <c r="S59" s="1" t="s">
        <v>46</v>
      </c>
      <c r="T59" s="1" t="s">
        <v>635</v>
      </c>
      <c r="U59" s="1" t="s">
        <v>636</v>
      </c>
      <c r="V59" s="1" t="s">
        <v>45</v>
      </c>
      <c r="W59" s="1"/>
      <c r="X59" s="1"/>
      <c r="Y59" s="1"/>
      <c r="Z59" s="1" t="s">
        <v>658</v>
      </c>
      <c r="AA59" s="1" t="s">
        <v>35</v>
      </c>
      <c r="AB59" s="1" t="s">
        <v>6606</v>
      </c>
      <c r="AC59" s="1" t="s">
        <v>46</v>
      </c>
      <c r="AD59" s="1"/>
      <c r="AE59" s="1" t="s">
        <v>641</v>
      </c>
      <c r="AF59" s="1" t="s">
        <v>190</v>
      </c>
      <c r="AG59" s="1">
        <v>5</v>
      </c>
      <c r="AH59" s="1" t="s">
        <v>190</v>
      </c>
      <c r="AI59" s="1"/>
      <c r="AJ59" s="1" t="s">
        <v>6607</v>
      </c>
      <c r="AK59" s="1" t="s">
        <v>5723</v>
      </c>
    </row>
    <row r="60" spans="1:37">
      <c r="A60" s="1" t="str">
        <f>VLOOKUP(H60,Languages!$A$2:$B$430,2,FALSE)</f>
        <v>Afro-Asiatic</v>
      </c>
      <c r="B60" s="1" t="s">
        <v>35</v>
      </c>
      <c r="C60" s="1" t="s">
        <v>132</v>
      </c>
      <c r="D60" s="1" t="s">
        <v>110</v>
      </c>
      <c r="E60" s="15" t="s">
        <v>6734</v>
      </c>
      <c r="F60" s="15" t="s">
        <v>6734</v>
      </c>
      <c r="G60" s="1" t="s">
        <v>6734</v>
      </c>
      <c r="H60" s="1" t="str">
        <f>VLOOKUP(G60,'languoid 4.0'!$A$1:$I$24439,2,FALSE)</f>
        <v>afro1255</v>
      </c>
      <c r="I60" s="1" t="str">
        <f>VLOOKUP(G60,'languoid 4.0'!$A$1:$I$24439,6,FALSE)</f>
        <v>language</v>
      </c>
      <c r="J60" s="15" t="s">
        <v>38</v>
      </c>
      <c r="K60" s="15" t="s">
        <v>38</v>
      </c>
      <c r="L60" s="15" t="s">
        <v>38</v>
      </c>
      <c r="M60" s="1"/>
      <c r="N60" s="1" t="s">
        <v>6735</v>
      </c>
      <c r="O60" s="15" t="s">
        <v>40</v>
      </c>
      <c r="P60" s="15" t="s">
        <v>41</v>
      </c>
      <c r="Q60" s="1" t="s">
        <v>6736</v>
      </c>
      <c r="R60" s="2" t="s">
        <v>6737</v>
      </c>
      <c r="S60" s="1" t="s">
        <v>399</v>
      </c>
      <c r="T60" s="1" t="s">
        <v>657</v>
      </c>
      <c r="U60" s="1" t="s">
        <v>6738</v>
      </c>
      <c r="V60" s="1" t="s">
        <v>45</v>
      </c>
      <c r="W60" s="1"/>
      <c r="X60" s="1"/>
      <c r="Y60" s="1"/>
      <c r="Z60" s="1" t="s">
        <v>658</v>
      </c>
      <c r="AA60" s="1" t="s">
        <v>6739</v>
      </c>
      <c r="AB60" s="1" t="s">
        <v>46</v>
      </c>
      <c r="AC60" s="1" t="s">
        <v>46</v>
      </c>
      <c r="AD60" s="1"/>
      <c r="AE60" s="1" t="s">
        <v>641</v>
      </c>
      <c r="AF60" s="1" t="s">
        <v>190</v>
      </c>
      <c r="AG60" s="1">
        <v>6</v>
      </c>
      <c r="AH60" s="1" t="s">
        <v>190</v>
      </c>
      <c r="AI60" s="1"/>
      <c r="AJ60" s="1" t="s">
        <v>6740</v>
      </c>
      <c r="AK60" s="1" t="s">
        <v>1034</v>
      </c>
    </row>
    <row r="61" spans="1:37">
      <c r="A61" s="1" t="str">
        <f>VLOOKUP(H61,Languages!$A$2:$B$430,2,FALSE)</f>
        <v>Afro-Asiatic</v>
      </c>
      <c r="B61" s="1" t="s">
        <v>1726</v>
      </c>
      <c r="C61" s="1" t="s">
        <v>159</v>
      </c>
      <c r="D61" s="1" t="s">
        <v>4603</v>
      </c>
      <c r="E61" s="15" t="s">
        <v>4604</v>
      </c>
      <c r="F61" s="15" t="s">
        <v>1523</v>
      </c>
      <c r="G61" s="1" t="s">
        <v>4605</v>
      </c>
      <c r="H61" s="1" t="str">
        <f>VLOOKUP(G61,'languoid 4.0'!$A$1:$I$24439,2,FALSE)</f>
        <v>afro1255</v>
      </c>
      <c r="I61" s="1" t="str">
        <f>VLOOKUP(G61,'languoid 4.0'!$A$1:$I$24439,6,FALSE)</f>
        <v>family</v>
      </c>
      <c r="J61" s="15" t="s">
        <v>52</v>
      </c>
      <c r="K61" s="15" t="s">
        <v>38</v>
      </c>
      <c r="L61" s="15" t="s">
        <v>38</v>
      </c>
      <c r="M61" s="1"/>
      <c r="N61" s="1"/>
      <c r="O61" s="15" t="s">
        <v>40</v>
      </c>
      <c r="P61" s="15" t="s">
        <v>41</v>
      </c>
      <c r="Q61" s="1" t="s">
        <v>4609</v>
      </c>
      <c r="R61" s="2" t="s">
        <v>4610</v>
      </c>
      <c r="S61" s="1" t="s">
        <v>46</v>
      </c>
      <c r="T61" s="1" t="s">
        <v>635</v>
      </c>
      <c r="U61" s="1" t="s">
        <v>636</v>
      </c>
      <c r="V61" s="1" t="s">
        <v>45</v>
      </c>
      <c r="W61" s="1"/>
      <c r="X61" s="1"/>
      <c r="Y61" s="1"/>
      <c r="Z61" s="1" t="s">
        <v>673</v>
      </c>
      <c r="AA61" s="1" t="s">
        <v>4611</v>
      </c>
      <c r="AB61" s="1" t="s">
        <v>4612</v>
      </c>
      <c r="AC61" s="1" t="s">
        <v>46</v>
      </c>
      <c r="AD61" s="1"/>
      <c r="AE61" s="1" t="s">
        <v>641</v>
      </c>
      <c r="AF61" s="1" t="s">
        <v>190</v>
      </c>
      <c r="AG61" s="1">
        <v>6</v>
      </c>
      <c r="AH61" s="1" t="s">
        <v>190</v>
      </c>
      <c r="AI61" s="1"/>
      <c r="AJ61" s="3">
        <v>43318.625833333332</v>
      </c>
      <c r="AK61" s="1" t="s">
        <v>4608</v>
      </c>
    </row>
    <row r="62" spans="1:37">
      <c r="A62" s="1" t="str">
        <f>VLOOKUP(H62,Languages!$A$2:$B$430,2,FALSE)</f>
        <v>Afro-Asiatic</v>
      </c>
      <c r="B62" s="1" t="s">
        <v>1726</v>
      </c>
      <c r="C62" s="1" t="s">
        <v>159</v>
      </c>
      <c r="D62" s="1" t="s">
        <v>4679</v>
      </c>
      <c r="E62" s="15" t="s">
        <v>1523</v>
      </c>
      <c r="F62" s="15" t="s">
        <v>1523</v>
      </c>
      <c r="G62" s="1" t="s">
        <v>4675</v>
      </c>
      <c r="H62" s="1" t="str">
        <f>VLOOKUP(G62,'languoid 4.0'!$A$1:$I$24439,2,FALSE)</f>
        <v>afro1255</v>
      </c>
      <c r="I62" s="1" t="str">
        <f>VLOOKUP(G62,'languoid 4.0'!$A$1:$I$24439,6,FALSE)</f>
        <v>family</v>
      </c>
      <c r="J62" s="15" t="s">
        <v>38</v>
      </c>
      <c r="K62" s="15" t="s">
        <v>38</v>
      </c>
      <c r="L62" s="15" t="s">
        <v>38</v>
      </c>
      <c r="M62" s="1"/>
      <c r="N62" s="1"/>
      <c r="O62" s="15" t="s">
        <v>40</v>
      </c>
      <c r="P62" s="15" t="s">
        <v>41</v>
      </c>
      <c r="Q62" s="1" t="s">
        <v>4683</v>
      </c>
      <c r="R62" s="2" t="s">
        <v>4684</v>
      </c>
      <c r="S62" s="1" t="s">
        <v>46</v>
      </c>
      <c r="T62" s="1" t="s">
        <v>635</v>
      </c>
      <c r="U62" s="1" t="s">
        <v>636</v>
      </c>
      <c r="V62" s="1" t="s">
        <v>45</v>
      </c>
      <c r="W62" s="1"/>
      <c r="X62" s="1"/>
      <c r="Y62" s="1"/>
      <c r="Z62" s="1" t="s">
        <v>658</v>
      </c>
      <c r="AA62" s="1" t="s">
        <v>4685</v>
      </c>
      <c r="AB62" s="1" t="s">
        <v>46</v>
      </c>
      <c r="AC62" s="1" t="s">
        <v>46</v>
      </c>
      <c r="AD62" s="1"/>
      <c r="AE62" s="1" t="s">
        <v>641</v>
      </c>
      <c r="AF62" s="1" t="s">
        <v>190</v>
      </c>
      <c r="AG62" s="1">
        <v>6</v>
      </c>
      <c r="AH62" s="1" t="s">
        <v>190</v>
      </c>
      <c r="AI62" s="1"/>
      <c r="AJ62" s="3">
        <v>43318.682800925926</v>
      </c>
      <c r="AK62" s="1" t="s">
        <v>4608</v>
      </c>
    </row>
    <row r="63" spans="1:37">
      <c r="A63" s="1" t="str">
        <f>VLOOKUP(H63,Languages!$A$2:$B$430,2,FALSE)</f>
        <v>Afro-Asiatic</v>
      </c>
      <c r="B63" s="1" t="s">
        <v>1726</v>
      </c>
      <c r="C63" s="1" t="s">
        <v>159</v>
      </c>
      <c r="D63" s="1" t="s">
        <v>4603</v>
      </c>
      <c r="E63" s="15" t="s">
        <v>1523</v>
      </c>
      <c r="F63" s="15" t="s">
        <v>1523</v>
      </c>
      <c r="G63" s="1" t="s">
        <v>4605</v>
      </c>
      <c r="H63" s="1" t="str">
        <f>VLOOKUP(G63,'languoid 4.0'!$A$1:$I$24439,2,FALSE)</f>
        <v>afro1255</v>
      </c>
      <c r="I63" s="1" t="str">
        <f>VLOOKUP(G63,'languoid 4.0'!$A$1:$I$24439,6,FALSE)</f>
        <v>family</v>
      </c>
      <c r="J63" s="15" t="s">
        <v>38</v>
      </c>
      <c r="K63" s="15" t="s">
        <v>38</v>
      </c>
      <c r="L63" s="15" t="s">
        <v>38</v>
      </c>
      <c r="M63" s="1"/>
      <c r="N63" s="1"/>
      <c r="O63" s="15" t="s">
        <v>40</v>
      </c>
      <c r="P63" s="15" t="s">
        <v>41</v>
      </c>
      <c r="Q63" s="1" t="s">
        <v>4810</v>
      </c>
      <c r="R63" s="2" t="s">
        <v>4811</v>
      </c>
      <c r="S63" s="1" t="s">
        <v>647</v>
      </c>
      <c r="T63" s="1" t="s">
        <v>657</v>
      </c>
      <c r="U63" s="1" t="s">
        <v>636</v>
      </c>
      <c r="V63" s="1" t="s">
        <v>45</v>
      </c>
      <c r="W63" s="1"/>
      <c r="X63" s="1"/>
      <c r="Y63" s="1"/>
      <c r="Z63" s="1" t="s">
        <v>658</v>
      </c>
      <c r="AA63" s="1" t="s">
        <v>4812</v>
      </c>
      <c r="AB63" s="1" t="s">
        <v>46</v>
      </c>
      <c r="AC63" s="1" t="s">
        <v>46</v>
      </c>
      <c r="AD63" s="1"/>
      <c r="AE63" s="1" t="s">
        <v>641</v>
      </c>
      <c r="AF63" s="1" t="s">
        <v>190</v>
      </c>
      <c r="AG63" s="1">
        <v>6</v>
      </c>
      <c r="AH63" s="1" t="s">
        <v>190</v>
      </c>
      <c r="AI63" s="1"/>
      <c r="AJ63" s="3">
        <v>43410.691296296296</v>
      </c>
      <c r="AK63" s="1" t="s">
        <v>4608</v>
      </c>
    </row>
    <row r="64" spans="1:37">
      <c r="A64" s="1" t="str">
        <f>VLOOKUP(H64,Languages!$A$2:$B$430,2,FALSE)</f>
        <v>Afro-Asiatic</v>
      </c>
      <c r="B64" s="1" t="s">
        <v>1726</v>
      </c>
      <c r="C64" s="1" t="s">
        <v>159</v>
      </c>
      <c r="D64" s="1" t="s">
        <v>4603</v>
      </c>
      <c r="E64" s="15" t="s">
        <v>1523</v>
      </c>
      <c r="F64" s="15" t="s">
        <v>1523</v>
      </c>
      <c r="G64" s="1" t="s">
        <v>4605</v>
      </c>
      <c r="H64" s="1" t="str">
        <f>VLOOKUP(G64,'languoid 4.0'!$A$1:$I$24439,2,FALSE)</f>
        <v>afro1255</v>
      </c>
      <c r="I64" s="1" t="str">
        <f>VLOOKUP(G64,'languoid 4.0'!$A$1:$I$24439,6,FALSE)</f>
        <v>family</v>
      </c>
      <c r="J64" s="15" t="s">
        <v>38</v>
      </c>
      <c r="K64" s="15" t="s">
        <v>38</v>
      </c>
      <c r="L64" s="15" t="s">
        <v>38</v>
      </c>
      <c r="M64" s="1"/>
      <c r="N64" s="1"/>
      <c r="O64" s="15" t="s">
        <v>40</v>
      </c>
      <c r="P64" s="15" t="s">
        <v>41</v>
      </c>
      <c r="Q64" s="1" t="s">
        <v>4813</v>
      </c>
      <c r="R64" s="2" t="s">
        <v>4814</v>
      </c>
      <c r="S64" s="1" t="s">
        <v>683</v>
      </c>
      <c r="T64" s="1" t="s">
        <v>657</v>
      </c>
      <c r="U64" s="1" t="s">
        <v>636</v>
      </c>
      <c r="V64" s="1" t="s">
        <v>45</v>
      </c>
      <c r="W64" s="1"/>
      <c r="X64" s="1"/>
      <c r="Y64" s="1"/>
      <c r="Z64" s="1" t="s">
        <v>658</v>
      </c>
      <c r="AA64" s="1" t="s">
        <v>4815</v>
      </c>
      <c r="AB64" s="1" t="s">
        <v>46</v>
      </c>
      <c r="AC64" s="1" t="s">
        <v>46</v>
      </c>
      <c r="AD64" s="1"/>
      <c r="AE64" s="1" t="s">
        <v>641</v>
      </c>
      <c r="AF64" s="1" t="s">
        <v>190</v>
      </c>
      <c r="AG64" s="1">
        <v>6</v>
      </c>
      <c r="AH64" s="1" t="s">
        <v>190</v>
      </c>
      <c r="AI64" s="1"/>
      <c r="AJ64" s="3">
        <v>43410.692569444444</v>
      </c>
      <c r="AK64" s="1" t="s">
        <v>4608</v>
      </c>
    </row>
    <row r="65" spans="1:37">
      <c r="A65" s="1" t="str">
        <f>VLOOKUP(H65,Languages!$A$2:$B$430,2,FALSE)</f>
        <v>Afro-Asiatic</v>
      </c>
      <c r="B65" s="1" t="s">
        <v>1726</v>
      </c>
      <c r="C65" s="1" t="s">
        <v>159</v>
      </c>
      <c r="D65" s="1" t="s">
        <v>4603</v>
      </c>
      <c r="E65" s="15" t="s">
        <v>1523</v>
      </c>
      <c r="F65" s="15" t="s">
        <v>1523</v>
      </c>
      <c r="G65" s="1" t="s">
        <v>4605</v>
      </c>
      <c r="H65" s="1" t="str">
        <f>VLOOKUP(G65,'languoid 4.0'!$A$1:$I$24439,2,FALSE)</f>
        <v>afro1255</v>
      </c>
      <c r="I65" s="1" t="str">
        <f>VLOOKUP(G65,'languoid 4.0'!$A$1:$I$24439,6,FALSE)</f>
        <v>family</v>
      </c>
      <c r="J65" s="15" t="s">
        <v>38</v>
      </c>
      <c r="K65" s="15" t="s">
        <v>38</v>
      </c>
      <c r="L65" s="15" t="s">
        <v>38</v>
      </c>
      <c r="M65" s="1"/>
      <c r="N65" s="1"/>
      <c r="O65" s="15" t="s">
        <v>40</v>
      </c>
      <c r="P65" s="15" t="s">
        <v>41</v>
      </c>
      <c r="Q65" s="1" t="s">
        <v>4816</v>
      </c>
      <c r="R65" s="2" t="s">
        <v>4817</v>
      </c>
      <c r="S65" s="1" t="s">
        <v>1596</v>
      </c>
      <c r="T65" s="1" t="s">
        <v>657</v>
      </c>
      <c r="U65" s="1" t="s">
        <v>636</v>
      </c>
      <c r="V65" s="1" t="s">
        <v>45</v>
      </c>
      <c r="W65" s="1"/>
      <c r="X65" s="1"/>
      <c r="Y65" s="1"/>
      <c r="Z65" s="1" t="s">
        <v>658</v>
      </c>
      <c r="AA65" s="1" t="s">
        <v>4818</v>
      </c>
      <c r="AB65" s="1" t="s">
        <v>46</v>
      </c>
      <c r="AC65" s="1" t="s">
        <v>46</v>
      </c>
      <c r="AD65" s="1"/>
      <c r="AE65" s="1" t="s">
        <v>641</v>
      </c>
      <c r="AF65" s="1" t="s">
        <v>190</v>
      </c>
      <c r="AG65" s="1">
        <v>6</v>
      </c>
      <c r="AH65" s="1" t="s">
        <v>190</v>
      </c>
      <c r="AI65" s="1"/>
      <c r="AJ65" s="3">
        <v>43410.694039351853</v>
      </c>
      <c r="AK65" s="1" t="s">
        <v>4608</v>
      </c>
    </row>
    <row r="66" spans="1:37">
      <c r="A66" s="1" t="str">
        <f>VLOOKUP(H66,Languages!$A$2:$B$430,2,FALSE)</f>
        <v>Afro-Asiatic</v>
      </c>
      <c r="B66" s="1" t="s">
        <v>1726</v>
      </c>
      <c r="C66" s="1" t="s">
        <v>159</v>
      </c>
      <c r="D66" s="1" t="s">
        <v>4603</v>
      </c>
      <c r="E66" s="15" t="s">
        <v>1523</v>
      </c>
      <c r="F66" s="15" t="s">
        <v>1523</v>
      </c>
      <c r="G66" s="1" t="s">
        <v>4605</v>
      </c>
      <c r="H66" s="1" t="str">
        <f>VLOOKUP(G66,'languoid 4.0'!$A$1:$I$24439,2,FALSE)</f>
        <v>afro1255</v>
      </c>
      <c r="I66" s="1" t="str">
        <f>VLOOKUP(G66,'languoid 4.0'!$A$1:$I$24439,6,FALSE)</f>
        <v>family</v>
      </c>
      <c r="J66" s="15" t="s">
        <v>38</v>
      </c>
      <c r="K66" s="15" t="s">
        <v>38</v>
      </c>
      <c r="L66" s="15" t="s">
        <v>38</v>
      </c>
      <c r="M66" s="1"/>
      <c r="N66" s="1"/>
      <c r="O66" s="15" t="s">
        <v>40</v>
      </c>
      <c r="P66" s="15" t="s">
        <v>41</v>
      </c>
      <c r="Q66" s="1" t="s">
        <v>4819</v>
      </c>
      <c r="R66" s="2" t="s">
        <v>4820</v>
      </c>
      <c r="S66" s="1" t="s">
        <v>4821</v>
      </c>
      <c r="T66" s="1" t="s">
        <v>657</v>
      </c>
      <c r="U66" s="1" t="s">
        <v>636</v>
      </c>
      <c r="V66" s="1" t="s">
        <v>45</v>
      </c>
      <c r="W66" s="1"/>
      <c r="X66" s="1"/>
      <c r="Y66" s="1"/>
      <c r="Z66" s="1" t="s">
        <v>658</v>
      </c>
      <c r="AA66" s="1" t="s">
        <v>4822</v>
      </c>
      <c r="AB66" s="1" t="s">
        <v>46</v>
      </c>
      <c r="AC66" s="1" t="s">
        <v>46</v>
      </c>
      <c r="AD66" s="1"/>
      <c r="AE66" s="1" t="s">
        <v>641</v>
      </c>
      <c r="AF66" s="1" t="s">
        <v>190</v>
      </c>
      <c r="AG66" s="1">
        <v>6</v>
      </c>
      <c r="AH66" s="1" t="s">
        <v>190</v>
      </c>
      <c r="AI66" s="1"/>
      <c r="AJ66" s="3">
        <v>43410.695486111108</v>
      </c>
      <c r="AK66" s="1" t="s">
        <v>4608</v>
      </c>
    </row>
    <row r="67" spans="1:37">
      <c r="A67" s="1" t="str">
        <f>VLOOKUP(H67,Languages!$A$2:$B$430,2,FALSE)</f>
        <v>Afro-Asiatic</v>
      </c>
      <c r="B67" s="1" t="s">
        <v>1726</v>
      </c>
      <c r="C67" s="1" t="s">
        <v>159</v>
      </c>
      <c r="D67" s="1" t="s">
        <v>4603</v>
      </c>
      <c r="E67" s="15" t="s">
        <v>1523</v>
      </c>
      <c r="F67" s="15" t="s">
        <v>1523</v>
      </c>
      <c r="G67" s="1" t="s">
        <v>4605</v>
      </c>
      <c r="H67" s="1" t="str">
        <f>VLOOKUP(G67,'languoid 4.0'!$A$1:$I$24439,2,FALSE)</f>
        <v>afro1255</v>
      </c>
      <c r="I67" s="1" t="str">
        <f>VLOOKUP(G67,'languoid 4.0'!$A$1:$I$24439,6,FALSE)</f>
        <v>family</v>
      </c>
      <c r="J67" s="15" t="s">
        <v>38</v>
      </c>
      <c r="K67" s="15" t="s">
        <v>38</v>
      </c>
      <c r="L67" s="15" t="s">
        <v>38</v>
      </c>
      <c r="M67" s="1"/>
      <c r="N67" s="1"/>
      <c r="O67" s="15" t="s">
        <v>40</v>
      </c>
      <c r="P67" s="15" t="s">
        <v>41</v>
      </c>
      <c r="Q67" s="1" t="s">
        <v>4823</v>
      </c>
      <c r="R67" s="2" t="s">
        <v>4824</v>
      </c>
      <c r="S67" s="1" t="s">
        <v>399</v>
      </c>
      <c r="T67" s="1" t="s">
        <v>657</v>
      </c>
      <c r="U67" s="1" t="s">
        <v>636</v>
      </c>
      <c r="V67" s="1" t="s">
        <v>45</v>
      </c>
      <c r="W67" s="1"/>
      <c r="X67" s="1"/>
      <c r="Y67" s="1"/>
      <c r="Z67" s="1" t="s">
        <v>658</v>
      </c>
      <c r="AA67" s="1" t="s">
        <v>4825</v>
      </c>
      <c r="AB67" s="1" t="s">
        <v>46</v>
      </c>
      <c r="AC67" s="1" t="s">
        <v>46</v>
      </c>
      <c r="AD67" s="1"/>
      <c r="AE67" s="1" t="s">
        <v>641</v>
      </c>
      <c r="AF67" s="1" t="s">
        <v>190</v>
      </c>
      <c r="AG67" s="1">
        <v>6</v>
      </c>
      <c r="AH67" s="1" t="s">
        <v>190</v>
      </c>
      <c r="AI67" s="1"/>
      <c r="AJ67" s="3">
        <v>43410.696840277778</v>
      </c>
      <c r="AK67" s="1" t="s">
        <v>4608</v>
      </c>
    </row>
    <row r="68" spans="1:37">
      <c r="A68" s="1" t="str">
        <f>VLOOKUP(H68,Languages!$A$2:$B$430,2,FALSE)</f>
        <v>Afro-Asiatic</v>
      </c>
      <c r="B68" s="1" t="s">
        <v>1726</v>
      </c>
      <c r="C68" s="1" t="s">
        <v>159</v>
      </c>
      <c r="D68" s="1" t="s">
        <v>4603</v>
      </c>
      <c r="E68" s="15" t="s">
        <v>1523</v>
      </c>
      <c r="F68" s="15" t="s">
        <v>1523</v>
      </c>
      <c r="G68" s="1" t="s">
        <v>4605</v>
      </c>
      <c r="H68" s="1" t="str">
        <f>VLOOKUP(G68,'languoid 4.0'!$A$1:$I$24439,2,FALSE)</f>
        <v>afro1255</v>
      </c>
      <c r="I68" s="1" t="str">
        <f>VLOOKUP(G68,'languoid 4.0'!$A$1:$I$24439,6,FALSE)</f>
        <v>family</v>
      </c>
      <c r="J68" s="15" t="s">
        <v>38</v>
      </c>
      <c r="K68" s="15" t="s">
        <v>38</v>
      </c>
      <c r="L68" s="15" t="s">
        <v>38</v>
      </c>
      <c r="M68" s="1"/>
      <c r="N68" s="1"/>
      <c r="O68" s="15" t="s">
        <v>40</v>
      </c>
      <c r="P68" s="15" t="s">
        <v>41</v>
      </c>
      <c r="Q68" s="1" t="s">
        <v>4826</v>
      </c>
      <c r="R68" s="2" t="s">
        <v>4827</v>
      </c>
      <c r="S68" s="1" t="s">
        <v>717</v>
      </c>
      <c r="T68" s="1" t="s">
        <v>657</v>
      </c>
      <c r="U68" s="1" t="s">
        <v>636</v>
      </c>
      <c r="V68" s="1" t="s">
        <v>45</v>
      </c>
      <c r="W68" s="1"/>
      <c r="X68" s="1"/>
      <c r="Y68" s="1"/>
      <c r="Z68" s="1" t="s">
        <v>658</v>
      </c>
      <c r="AA68" s="1" t="s">
        <v>4828</v>
      </c>
      <c r="AB68" s="1" t="s">
        <v>46</v>
      </c>
      <c r="AC68" s="1" t="s">
        <v>46</v>
      </c>
      <c r="AD68" s="1"/>
      <c r="AE68" s="1" t="s">
        <v>641</v>
      </c>
      <c r="AF68" s="1" t="s">
        <v>190</v>
      </c>
      <c r="AG68" s="1">
        <v>6</v>
      </c>
      <c r="AH68" s="1" t="s">
        <v>190</v>
      </c>
      <c r="AI68" s="1"/>
      <c r="AJ68" s="3">
        <v>43410.698796296296</v>
      </c>
      <c r="AK68" s="1" t="s">
        <v>4608</v>
      </c>
    </row>
    <row r="69" spans="1:37">
      <c r="A69" s="1" t="str">
        <f>VLOOKUP(H69,Languages!$A$2:$B$430,2,FALSE)</f>
        <v>Afro-Asiatic</v>
      </c>
      <c r="B69" s="1" t="s">
        <v>1726</v>
      </c>
      <c r="C69" s="1" t="s">
        <v>159</v>
      </c>
      <c r="D69" s="1" t="s">
        <v>4603</v>
      </c>
      <c r="E69" s="15" t="s">
        <v>1523</v>
      </c>
      <c r="F69" s="15" t="s">
        <v>1523</v>
      </c>
      <c r="G69" s="1" t="s">
        <v>4605</v>
      </c>
      <c r="H69" s="1" t="str">
        <f>VLOOKUP(G69,'languoid 4.0'!$A$1:$I$24439,2,FALSE)</f>
        <v>afro1255</v>
      </c>
      <c r="I69" s="1" t="str">
        <f>VLOOKUP(G69,'languoid 4.0'!$A$1:$I$24439,6,FALSE)</f>
        <v>family</v>
      </c>
      <c r="J69" s="15" t="s">
        <v>38</v>
      </c>
      <c r="K69" s="15" t="s">
        <v>38</v>
      </c>
      <c r="L69" s="15" t="s">
        <v>38</v>
      </c>
      <c r="M69" s="1"/>
      <c r="N69" s="1"/>
      <c r="O69" s="15" t="s">
        <v>40</v>
      </c>
      <c r="P69" s="15" t="s">
        <v>41</v>
      </c>
      <c r="Q69" s="1" t="s">
        <v>4829</v>
      </c>
      <c r="R69" s="2" t="s">
        <v>4830</v>
      </c>
      <c r="S69" s="1" t="s">
        <v>656</v>
      </c>
      <c r="T69" s="1" t="s">
        <v>657</v>
      </c>
      <c r="U69" s="1" t="s">
        <v>636</v>
      </c>
      <c r="V69" s="1" t="s">
        <v>45</v>
      </c>
      <c r="W69" s="1"/>
      <c r="X69" s="1"/>
      <c r="Y69" s="1"/>
      <c r="Z69" s="1" t="s">
        <v>658</v>
      </c>
      <c r="AA69" s="1" t="s">
        <v>4831</v>
      </c>
      <c r="AB69" s="1" t="s">
        <v>46</v>
      </c>
      <c r="AC69" s="1" t="s">
        <v>46</v>
      </c>
      <c r="AD69" s="1"/>
      <c r="AE69" s="1" t="s">
        <v>641</v>
      </c>
      <c r="AF69" s="1" t="s">
        <v>190</v>
      </c>
      <c r="AG69" s="1">
        <v>6</v>
      </c>
      <c r="AH69" s="1" t="s">
        <v>190</v>
      </c>
      <c r="AI69" s="1"/>
      <c r="AJ69" s="3">
        <v>43410.700196759259</v>
      </c>
      <c r="AK69" s="1" t="s">
        <v>4608</v>
      </c>
    </row>
    <row r="70" spans="1:37">
      <c r="A70" s="1" t="str">
        <f>VLOOKUP(H70,Languages!$A$2:$B$430,2,FALSE)</f>
        <v>Afro-Asiatic</v>
      </c>
      <c r="B70" s="1" t="s">
        <v>1726</v>
      </c>
      <c r="C70" s="1" t="s">
        <v>108</v>
      </c>
      <c r="D70" s="1" t="s">
        <v>110</v>
      </c>
      <c r="E70" s="15" t="s">
        <v>111</v>
      </c>
      <c r="F70" s="15" t="s">
        <v>111</v>
      </c>
      <c r="G70" s="1" t="s">
        <v>111</v>
      </c>
      <c r="H70" s="1" t="str">
        <f>VLOOKUP(G70,'languoid 4.0'!$A$1:$I$24439,2,FALSE)</f>
        <v>afro1255</v>
      </c>
      <c r="I70" s="1" t="str">
        <f>VLOOKUP(G70,'languoid 4.0'!$A$1:$I$24439,6,FALSE)</f>
        <v>family</v>
      </c>
      <c r="J70" s="15" t="s">
        <v>38</v>
      </c>
      <c r="K70" s="15" t="s">
        <v>38</v>
      </c>
      <c r="L70" s="15" t="s">
        <v>38</v>
      </c>
      <c r="M70" s="1"/>
      <c r="N70" s="1" t="s">
        <v>112</v>
      </c>
      <c r="O70" s="15" t="s">
        <v>113</v>
      </c>
      <c r="P70" s="15" t="s">
        <v>41</v>
      </c>
      <c r="Q70" s="1" t="s">
        <v>6245</v>
      </c>
      <c r="R70" s="2" t="s">
        <v>6246</v>
      </c>
      <c r="S70" s="1" t="s">
        <v>46</v>
      </c>
      <c r="T70" s="1" t="s">
        <v>635</v>
      </c>
      <c r="U70" s="1" t="s">
        <v>636</v>
      </c>
      <c r="V70" s="1" t="s">
        <v>45</v>
      </c>
      <c r="W70" s="1"/>
      <c r="X70" s="1"/>
      <c r="Y70" s="1"/>
      <c r="Z70" s="1" t="s">
        <v>658</v>
      </c>
      <c r="AA70" s="1" t="s">
        <v>6228</v>
      </c>
      <c r="AB70" s="1" t="s">
        <v>6247</v>
      </c>
      <c r="AC70" s="1" t="s">
        <v>46</v>
      </c>
      <c r="AD70" s="1"/>
      <c r="AE70" s="1" t="s">
        <v>641</v>
      </c>
      <c r="AF70" s="1" t="s">
        <v>190</v>
      </c>
      <c r="AG70" s="1">
        <v>5</v>
      </c>
      <c r="AH70" s="1" t="s">
        <v>190</v>
      </c>
      <c r="AI70" s="1"/>
      <c r="AJ70" s="3">
        <v>43197.914004629631</v>
      </c>
      <c r="AK70" s="1" t="s">
        <v>5723</v>
      </c>
    </row>
    <row r="71" spans="1:37">
      <c r="A71" s="1" t="str">
        <f>VLOOKUP(H71,Languages!$A$2:$B$430,2,FALSE)</f>
        <v>Afro-Asiatic</v>
      </c>
      <c r="B71" s="1" t="s">
        <v>1750</v>
      </c>
      <c r="C71" s="1" t="s">
        <v>48</v>
      </c>
      <c r="D71" s="1" t="s">
        <v>6541</v>
      </c>
      <c r="E71" s="15" t="s">
        <v>6542</v>
      </c>
      <c r="F71" s="15" t="s">
        <v>6542</v>
      </c>
      <c r="G71" s="1" t="s">
        <v>6542</v>
      </c>
      <c r="H71" s="1" t="str">
        <f>VLOOKUP(G71,'languoid 4.0'!$A$1:$I$24439,2,FALSE)</f>
        <v>afro1255</v>
      </c>
      <c r="I71" s="1" t="str">
        <f>VLOOKUP(G71,'languoid 4.0'!$A$1:$I$24439,6,FALSE)</f>
        <v>language</v>
      </c>
      <c r="J71" s="15" t="s">
        <v>38</v>
      </c>
      <c r="K71" s="15" t="s">
        <v>38</v>
      </c>
      <c r="L71" s="15" t="s">
        <v>38</v>
      </c>
      <c r="M71" s="1"/>
      <c r="N71" s="1" t="s">
        <v>6543</v>
      </c>
      <c r="O71" s="15" t="s">
        <v>40</v>
      </c>
      <c r="P71" s="15" t="s">
        <v>41</v>
      </c>
      <c r="Q71" s="1" t="s">
        <v>6544</v>
      </c>
      <c r="R71" s="2" t="s">
        <v>6545</v>
      </c>
      <c r="S71" s="1" t="s">
        <v>672</v>
      </c>
      <c r="T71" s="1" t="s">
        <v>1689</v>
      </c>
      <c r="U71" s="1" t="s">
        <v>636</v>
      </c>
      <c r="V71" s="1" t="s">
        <v>45</v>
      </c>
      <c r="W71" s="1"/>
      <c r="X71" s="1"/>
      <c r="Y71" s="1"/>
      <c r="Z71" s="1" t="s">
        <v>637</v>
      </c>
      <c r="AA71" s="1" t="s">
        <v>6546</v>
      </c>
      <c r="AB71" s="1" t="s">
        <v>6547</v>
      </c>
      <c r="AC71" s="1" t="s">
        <v>46</v>
      </c>
      <c r="AD71" s="1"/>
      <c r="AE71" s="1" t="s">
        <v>641</v>
      </c>
      <c r="AF71" s="1" t="s">
        <v>190</v>
      </c>
      <c r="AG71" s="1">
        <v>6</v>
      </c>
      <c r="AH71" s="1" t="s">
        <v>190</v>
      </c>
      <c r="AI71" s="1"/>
      <c r="AJ71" s="1" t="s">
        <v>6548</v>
      </c>
      <c r="AK71" s="1" t="s">
        <v>5542</v>
      </c>
    </row>
    <row r="72" spans="1:37">
      <c r="A72" s="1" t="str">
        <f>VLOOKUP(H72,Languages!$A$2:$B$430,2,FALSE)</f>
        <v>Afro-Asiatic</v>
      </c>
      <c r="B72" s="1" t="s">
        <v>1750</v>
      </c>
      <c r="C72" s="1" t="s">
        <v>214</v>
      </c>
      <c r="D72" s="1" t="s">
        <v>779</v>
      </c>
      <c r="E72" s="15" t="s">
        <v>764</v>
      </c>
      <c r="F72" s="15" t="s">
        <v>765</v>
      </c>
      <c r="G72" s="1" t="s">
        <v>764</v>
      </c>
      <c r="H72" s="1" t="str">
        <f>VLOOKUP(G72,'languoid 4.0'!$A$1:$I$24439,2,FALSE)</f>
        <v>afro1255</v>
      </c>
      <c r="I72" s="1" t="str">
        <f>VLOOKUP(G72,'languoid 4.0'!$A$1:$I$24439,6,FALSE)</f>
        <v>dialect</v>
      </c>
      <c r="J72" s="15" t="s">
        <v>52</v>
      </c>
      <c r="K72" s="15" t="s">
        <v>38</v>
      </c>
      <c r="L72" s="15" t="s">
        <v>38</v>
      </c>
      <c r="M72" s="1"/>
      <c r="N72" s="1"/>
      <c r="O72" s="15" t="s">
        <v>40</v>
      </c>
      <c r="P72" s="15" t="s">
        <v>632</v>
      </c>
      <c r="Q72" s="1" t="s">
        <v>1834</v>
      </c>
      <c r="R72" s="2" t="s">
        <v>1835</v>
      </c>
      <c r="S72" s="1" t="s">
        <v>1021</v>
      </c>
      <c r="T72" s="1" t="s">
        <v>635</v>
      </c>
      <c r="U72" s="1" t="s">
        <v>1836</v>
      </c>
      <c r="V72" s="1" t="s">
        <v>45</v>
      </c>
      <c r="W72" s="1"/>
      <c r="X72" s="1"/>
      <c r="Y72" s="1"/>
      <c r="Z72" s="1" t="s">
        <v>658</v>
      </c>
      <c r="AA72" s="1" t="s">
        <v>1837</v>
      </c>
      <c r="AB72" s="1" t="s">
        <v>1021</v>
      </c>
      <c r="AC72" s="1" t="s">
        <v>1021</v>
      </c>
      <c r="AD72" s="1" t="s">
        <v>1838</v>
      </c>
      <c r="AE72" s="1" t="s">
        <v>641</v>
      </c>
      <c r="AF72" s="1" t="s">
        <v>190</v>
      </c>
      <c r="AG72" s="1">
        <v>6</v>
      </c>
      <c r="AH72" s="1" t="s">
        <v>190</v>
      </c>
      <c r="AI72" s="1"/>
      <c r="AJ72" s="3">
        <v>43437.49113425926</v>
      </c>
      <c r="AK72" s="1" t="s">
        <v>740</v>
      </c>
    </row>
    <row r="73" spans="1:37">
      <c r="A73" s="1" t="str">
        <f>VLOOKUP(H73,Languages!$A$2:$B$430,2,FALSE)</f>
        <v>Afro-Asiatic</v>
      </c>
      <c r="B73" s="1" t="s">
        <v>1750</v>
      </c>
      <c r="C73" s="1" t="s">
        <v>214</v>
      </c>
      <c r="D73" s="1" t="s">
        <v>601</v>
      </c>
      <c r="E73" s="15" t="s">
        <v>602</v>
      </c>
      <c r="F73" s="15" t="s">
        <v>602</v>
      </c>
      <c r="G73" s="1" t="s">
        <v>602</v>
      </c>
      <c r="H73" s="1" t="str">
        <f>VLOOKUP(G73,'languoid 4.0'!$A$1:$I$24439,2,FALSE)</f>
        <v>afro1255</v>
      </c>
      <c r="I73" s="1" t="str">
        <f>VLOOKUP(G73,'languoid 4.0'!$A$1:$I$24439,6,FALSE)</f>
        <v>language</v>
      </c>
      <c r="J73" s="15" t="s">
        <v>38</v>
      </c>
      <c r="K73" s="15" t="s">
        <v>38</v>
      </c>
      <c r="L73" s="15" t="s">
        <v>38</v>
      </c>
      <c r="M73" s="1"/>
      <c r="N73" s="1" t="s">
        <v>603</v>
      </c>
      <c r="O73" s="15" t="s">
        <v>40</v>
      </c>
      <c r="P73" s="15" t="s">
        <v>41</v>
      </c>
      <c r="Q73" s="1" t="s">
        <v>1844</v>
      </c>
      <c r="R73" s="2" t="s">
        <v>1845</v>
      </c>
      <c r="S73" s="1" t="s">
        <v>1021</v>
      </c>
      <c r="T73" s="1" t="s">
        <v>648</v>
      </c>
      <c r="U73" s="1" t="s">
        <v>1846</v>
      </c>
      <c r="V73" s="1" t="s">
        <v>45</v>
      </c>
      <c r="W73" s="1"/>
      <c r="X73" s="1"/>
      <c r="Y73" s="1"/>
      <c r="Z73" s="1" t="s">
        <v>887</v>
      </c>
      <c r="AA73" s="1" t="s">
        <v>1847</v>
      </c>
      <c r="AB73" s="1" t="s">
        <v>1021</v>
      </c>
      <c r="AC73" s="1" t="s">
        <v>1848</v>
      </c>
      <c r="AD73" s="1" t="s">
        <v>1849</v>
      </c>
      <c r="AE73" s="1" t="s">
        <v>641</v>
      </c>
      <c r="AF73" s="1" t="s">
        <v>190</v>
      </c>
      <c r="AG73" s="1">
        <v>4</v>
      </c>
      <c r="AH73" s="1" t="s">
        <v>190</v>
      </c>
      <c r="AI73" s="1"/>
      <c r="AJ73" s="3">
        <v>43437.495219907411</v>
      </c>
      <c r="AK73" s="1" t="s">
        <v>740</v>
      </c>
    </row>
    <row r="74" spans="1:37">
      <c r="A74" s="1" t="str">
        <f>VLOOKUP(H74,Languages!$A$2:$B$430,2,FALSE)</f>
        <v>Afro-Asiatic</v>
      </c>
      <c r="B74" s="1" t="s">
        <v>1750</v>
      </c>
      <c r="C74" s="1" t="s">
        <v>214</v>
      </c>
      <c r="D74" s="1" t="s">
        <v>601</v>
      </c>
      <c r="E74" s="15" t="s">
        <v>602</v>
      </c>
      <c r="F74" s="15" t="s">
        <v>602</v>
      </c>
      <c r="G74" s="1" t="s">
        <v>602</v>
      </c>
      <c r="H74" s="1" t="str">
        <f>VLOOKUP(G74,'languoid 4.0'!$A$1:$I$24439,2,FALSE)</f>
        <v>afro1255</v>
      </c>
      <c r="I74" s="1" t="str">
        <f>VLOOKUP(G74,'languoid 4.0'!$A$1:$I$24439,6,FALSE)</f>
        <v>language</v>
      </c>
      <c r="J74" s="15" t="s">
        <v>38</v>
      </c>
      <c r="K74" s="15" t="s">
        <v>38</v>
      </c>
      <c r="L74" s="15" t="s">
        <v>38</v>
      </c>
      <c r="M74" s="1"/>
      <c r="N74" s="1" t="s">
        <v>603</v>
      </c>
      <c r="O74" s="15" t="s">
        <v>40</v>
      </c>
      <c r="P74" s="15" t="s">
        <v>41</v>
      </c>
      <c r="Q74" s="1" t="s">
        <v>1850</v>
      </c>
      <c r="R74" s="2" t="s">
        <v>1851</v>
      </c>
      <c r="S74" s="1" t="s">
        <v>1021</v>
      </c>
      <c r="T74" s="1" t="s">
        <v>648</v>
      </c>
      <c r="U74" s="1" t="s">
        <v>1846</v>
      </c>
      <c r="V74" s="1" t="s">
        <v>45</v>
      </c>
      <c r="W74" s="1"/>
      <c r="X74" s="1"/>
      <c r="Y74" s="1"/>
      <c r="Z74" s="1" t="s">
        <v>637</v>
      </c>
      <c r="AA74" s="1" t="s">
        <v>1852</v>
      </c>
      <c r="AB74" s="1" t="s">
        <v>1853</v>
      </c>
      <c r="AC74" s="1" t="s">
        <v>1021</v>
      </c>
      <c r="AD74" s="1" t="s">
        <v>1854</v>
      </c>
      <c r="AE74" s="1" t="s">
        <v>641</v>
      </c>
      <c r="AF74" s="1" t="s">
        <v>190</v>
      </c>
      <c r="AG74" s="1">
        <v>4</v>
      </c>
      <c r="AH74" s="1" t="s">
        <v>190</v>
      </c>
      <c r="AI74" s="1"/>
      <c r="AJ74" s="3">
        <v>43437.497488425928</v>
      </c>
      <c r="AK74" s="1" t="s">
        <v>740</v>
      </c>
    </row>
    <row r="75" spans="1:37">
      <c r="A75" s="1" t="str">
        <f>VLOOKUP(H75,Languages!$A$2:$B$430,2,FALSE)</f>
        <v>Afro-Asiatic</v>
      </c>
      <c r="B75" s="1" t="s">
        <v>1750</v>
      </c>
      <c r="C75" s="1" t="s">
        <v>214</v>
      </c>
      <c r="D75" s="1" t="s">
        <v>3053</v>
      </c>
      <c r="E75" s="15" t="s">
        <v>3054</v>
      </c>
      <c r="F75" s="15" t="s">
        <v>1523</v>
      </c>
      <c r="G75" s="1" t="s">
        <v>3055</v>
      </c>
      <c r="H75" s="1" t="str">
        <f>VLOOKUP(G75,'languoid 4.0'!$A$1:$I$24439,2,FALSE)</f>
        <v>afro1255</v>
      </c>
      <c r="I75" s="1" t="str">
        <f>VLOOKUP(G75,'languoid 4.0'!$A$1:$I$24439,6,FALSE)</f>
        <v>language</v>
      </c>
      <c r="J75" s="15" t="s">
        <v>52</v>
      </c>
      <c r="K75" s="15" t="s">
        <v>38</v>
      </c>
      <c r="L75" s="15" t="s">
        <v>38</v>
      </c>
      <c r="M75" s="1"/>
      <c r="N75" s="1"/>
      <c r="O75" s="15" t="s">
        <v>40</v>
      </c>
      <c r="P75" s="15" t="s">
        <v>41</v>
      </c>
      <c r="Q75" s="1" t="s">
        <v>3056</v>
      </c>
      <c r="R75" s="2" t="s">
        <v>3057</v>
      </c>
      <c r="S75" s="1" t="s">
        <v>46</v>
      </c>
      <c r="T75" s="1" t="s">
        <v>635</v>
      </c>
      <c r="U75" s="1" t="s">
        <v>636</v>
      </c>
      <c r="V75" s="1" t="s">
        <v>45</v>
      </c>
      <c r="W75" s="1"/>
      <c r="X75" s="1"/>
      <c r="Y75" s="1"/>
      <c r="Z75" s="1" t="s">
        <v>658</v>
      </c>
      <c r="AA75" s="1" t="s">
        <v>3058</v>
      </c>
      <c r="AB75" s="1" t="s">
        <v>46</v>
      </c>
      <c r="AC75" s="1" t="s">
        <v>46</v>
      </c>
      <c r="AD75" s="1"/>
      <c r="AE75" s="1" t="s">
        <v>641</v>
      </c>
      <c r="AF75" s="1" t="s">
        <v>190</v>
      </c>
      <c r="AG75" s="1">
        <v>6</v>
      </c>
      <c r="AH75" s="1" t="s">
        <v>190</v>
      </c>
      <c r="AI75" s="1"/>
      <c r="AJ75" s="1" t="s">
        <v>3059</v>
      </c>
      <c r="AK75" s="1" t="s">
        <v>3060</v>
      </c>
    </row>
    <row r="76" spans="1:37">
      <c r="A76" s="1" t="str">
        <f>VLOOKUP(H76,Languages!$A$2:$B$430,2,FALSE)</f>
        <v>Afro-Asiatic</v>
      </c>
      <c r="B76" s="1" t="s">
        <v>1750</v>
      </c>
      <c r="C76" s="1" t="s">
        <v>214</v>
      </c>
      <c r="D76" s="1" t="s">
        <v>3061</v>
      </c>
      <c r="E76" s="15" t="s">
        <v>3054</v>
      </c>
      <c r="F76" s="15" t="s">
        <v>1523</v>
      </c>
      <c r="G76" s="1" t="s">
        <v>3054</v>
      </c>
      <c r="H76" s="1" t="str">
        <f>VLOOKUP(G76,'languoid 4.0'!$A$1:$I$24439,2,FALSE)</f>
        <v>afro1255</v>
      </c>
      <c r="I76" s="1" t="str">
        <f>VLOOKUP(G76,'languoid 4.0'!$A$1:$I$24439,6,FALSE)</f>
        <v>dialect</v>
      </c>
      <c r="J76" s="15" t="s">
        <v>52</v>
      </c>
      <c r="K76" s="15" t="s">
        <v>38</v>
      </c>
      <c r="L76" s="15" t="s">
        <v>38</v>
      </c>
      <c r="M76" s="1"/>
      <c r="N76" s="1"/>
      <c r="O76" s="15" t="s">
        <v>40</v>
      </c>
      <c r="P76" s="15" t="s">
        <v>41</v>
      </c>
      <c r="Q76" s="1" t="s">
        <v>3158</v>
      </c>
      <c r="R76" s="2" t="s">
        <v>3159</v>
      </c>
      <c r="S76" s="1" t="s">
        <v>46</v>
      </c>
      <c r="T76" s="1" t="s">
        <v>635</v>
      </c>
      <c r="U76" s="1" t="s">
        <v>636</v>
      </c>
      <c r="V76" s="1" t="s">
        <v>45</v>
      </c>
      <c r="W76" s="1"/>
      <c r="X76" s="1"/>
      <c r="Y76" s="1"/>
      <c r="Z76" s="1" t="s">
        <v>673</v>
      </c>
      <c r="AA76" s="1" t="s">
        <v>46</v>
      </c>
      <c r="AB76" s="1" t="s">
        <v>3160</v>
      </c>
      <c r="AC76" s="1" t="s">
        <v>46</v>
      </c>
      <c r="AD76" s="1" t="s">
        <v>3161</v>
      </c>
      <c r="AE76" s="1" t="s">
        <v>641</v>
      </c>
      <c r="AF76" s="1" t="s">
        <v>190</v>
      </c>
      <c r="AG76" s="1">
        <v>6</v>
      </c>
      <c r="AH76" s="1" t="s">
        <v>190</v>
      </c>
      <c r="AI76" s="1"/>
      <c r="AJ76" s="1" t="s">
        <v>3162</v>
      </c>
      <c r="AK76" s="1" t="s">
        <v>3060</v>
      </c>
    </row>
    <row r="77" spans="1:37">
      <c r="A77" s="1" t="str">
        <f>VLOOKUP(H77,Languages!$A$2:$B$430,2,FALSE)</f>
        <v>Afro-Asiatic</v>
      </c>
      <c r="B77" s="1" t="s">
        <v>1750</v>
      </c>
      <c r="C77" s="1" t="s">
        <v>108</v>
      </c>
      <c r="D77" s="1" t="s">
        <v>3709</v>
      </c>
      <c r="E77" s="15" t="s">
        <v>3710</v>
      </c>
      <c r="F77" s="15" t="s">
        <v>1523</v>
      </c>
      <c r="G77" s="1" t="s">
        <v>3710</v>
      </c>
      <c r="H77" s="1" t="str">
        <f>VLOOKUP(G77,'languoid 4.0'!$A$1:$I$24439,2,FALSE)</f>
        <v>afro1255</v>
      </c>
      <c r="I77" s="1" t="str">
        <f>VLOOKUP(G77,'languoid 4.0'!$A$1:$I$24439,6,FALSE)</f>
        <v>language</v>
      </c>
      <c r="J77" s="15" t="s">
        <v>52</v>
      </c>
      <c r="K77" s="15" t="s">
        <v>38</v>
      </c>
      <c r="L77" s="15" t="s">
        <v>38</v>
      </c>
      <c r="M77" s="1"/>
      <c r="N77" s="1" t="s">
        <v>3711</v>
      </c>
      <c r="O77" s="15" t="s">
        <v>40</v>
      </c>
      <c r="P77" s="15" t="s">
        <v>41</v>
      </c>
      <c r="Q77" s="1" t="s">
        <v>3755</v>
      </c>
      <c r="R77" s="2" t="s">
        <v>3756</v>
      </c>
      <c r="S77" s="1" t="s">
        <v>46</v>
      </c>
      <c r="T77" s="1" t="s">
        <v>822</v>
      </c>
      <c r="U77" s="1" t="s">
        <v>636</v>
      </c>
      <c r="V77" s="1" t="s">
        <v>45</v>
      </c>
      <c r="W77" s="1"/>
      <c r="X77" s="1"/>
      <c r="Y77" s="1"/>
      <c r="Z77" s="1" t="s">
        <v>637</v>
      </c>
      <c r="AA77" s="1" t="s">
        <v>3757</v>
      </c>
      <c r="AB77" s="1" t="s">
        <v>3758</v>
      </c>
      <c r="AC77" s="1" t="s">
        <v>46</v>
      </c>
      <c r="AD77" s="1"/>
      <c r="AE77" s="1" t="s">
        <v>641</v>
      </c>
      <c r="AF77" s="1" t="s">
        <v>190</v>
      </c>
      <c r="AG77" s="1">
        <v>5</v>
      </c>
      <c r="AH77" s="1" t="s">
        <v>190</v>
      </c>
      <c r="AI77" s="1"/>
      <c r="AJ77" s="3">
        <v>43348.633576388886</v>
      </c>
      <c r="AK77" s="1" t="s">
        <v>3060</v>
      </c>
    </row>
    <row r="78" spans="1:37">
      <c r="A78" s="1" t="str">
        <f>VLOOKUP(H78,Languages!$A$2:$B$430,2,FALSE)</f>
        <v>Afro-Asiatic</v>
      </c>
      <c r="B78" s="1" t="s">
        <v>1750</v>
      </c>
      <c r="C78" s="1" t="s">
        <v>108</v>
      </c>
      <c r="D78" s="1" t="s">
        <v>3709</v>
      </c>
      <c r="E78" s="15" t="s">
        <v>3710</v>
      </c>
      <c r="F78" s="15" t="s">
        <v>1523</v>
      </c>
      <c r="G78" s="1" t="s">
        <v>3710</v>
      </c>
      <c r="H78" s="1" t="str">
        <f>VLOOKUP(G78,'languoid 4.0'!$A$1:$I$24439,2,FALSE)</f>
        <v>afro1255</v>
      </c>
      <c r="I78" s="1" t="str">
        <f>VLOOKUP(G78,'languoid 4.0'!$A$1:$I$24439,6,FALSE)</f>
        <v>language</v>
      </c>
      <c r="J78" s="15" t="s">
        <v>52</v>
      </c>
      <c r="K78" s="15" t="s">
        <v>38</v>
      </c>
      <c r="L78" s="15" t="s">
        <v>38</v>
      </c>
      <c r="M78" s="1"/>
      <c r="N78" s="1" t="s">
        <v>3711</v>
      </c>
      <c r="O78" s="15" t="s">
        <v>40</v>
      </c>
      <c r="P78" s="15" t="s">
        <v>41</v>
      </c>
      <c r="Q78" s="1" t="s">
        <v>3759</v>
      </c>
      <c r="R78" s="2" t="s">
        <v>3760</v>
      </c>
      <c r="S78" s="1" t="s">
        <v>46</v>
      </c>
      <c r="T78" s="1" t="s">
        <v>822</v>
      </c>
      <c r="U78" s="1" t="s">
        <v>67</v>
      </c>
      <c r="V78" s="1" t="s">
        <v>45</v>
      </c>
      <c r="W78" s="1"/>
      <c r="X78" s="1"/>
      <c r="Y78" s="1"/>
      <c r="Z78" s="1" t="s">
        <v>673</v>
      </c>
      <c r="AA78" s="1" t="s">
        <v>46</v>
      </c>
      <c r="AB78" s="1" t="s">
        <v>3761</v>
      </c>
      <c r="AC78" s="1" t="s">
        <v>46</v>
      </c>
      <c r="AD78" s="1"/>
      <c r="AE78" s="1" t="s">
        <v>641</v>
      </c>
      <c r="AF78" s="1" t="s">
        <v>45</v>
      </c>
      <c r="AG78" s="1">
        <v>1</v>
      </c>
      <c r="AH78" s="1" t="s">
        <v>190</v>
      </c>
      <c r="AI78" s="1"/>
      <c r="AJ78" s="3">
        <v>43348.637303240743</v>
      </c>
      <c r="AK78" s="1" t="s">
        <v>3060</v>
      </c>
    </row>
    <row r="79" spans="1:37">
      <c r="A79" s="1" t="str">
        <f>VLOOKUP(H79,Languages!$A$2:$B$430,2,FALSE)</f>
        <v>Afro-Asiatic</v>
      </c>
      <c r="B79" s="1" t="s">
        <v>1750</v>
      </c>
      <c r="C79" s="1" t="s">
        <v>108</v>
      </c>
      <c r="D79" s="1" t="s">
        <v>5718</v>
      </c>
      <c r="E79" s="15" t="s">
        <v>3054</v>
      </c>
      <c r="F79" s="15" t="s">
        <v>1523</v>
      </c>
      <c r="G79" s="1" t="s">
        <v>3054</v>
      </c>
      <c r="H79" s="1" t="str">
        <f>VLOOKUP(G79,'languoid 4.0'!$A$1:$I$24439,2,FALSE)</f>
        <v>afro1255</v>
      </c>
      <c r="I79" s="1" t="str">
        <f>VLOOKUP(G79,'languoid 4.0'!$A$1:$I$24439,6,FALSE)</f>
        <v>dialect</v>
      </c>
      <c r="J79" s="15" t="s">
        <v>52</v>
      </c>
      <c r="K79" s="15" t="s">
        <v>38</v>
      </c>
      <c r="L79" s="15" t="s">
        <v>38</v>
      </c>
      <c r="M79" s="1"/>
      <c r="N79" s="1"/>
      <c r="O79" s="15" t="s">
        <v>40</v>
      </c>
      <c r="P79" s="15" t="s">
        <v>41</v>
      </c>
      <c r="Q79" s="1" t="s">
        <v>5719</v>
      </c>
      <c r="R79" s="2" t="s">
        <v>5720</v>
      </c>
      <c r="S79" s="1" t="s">
        <v>46</v>
      </c>
      <c r="T79" s="1" t="s">
        <v>635</v>
      </c>
      <c r="U79" s="1" t="s">
        <v>636</v>
      </c>
      <c r="V79" s="1" t="s">
        <v>45</v>
      </c>
      <c r="W79" s="1"/>
      <c r="X79" s="1"/>
      <c r="Y79" s="1"/>
      <c r="Z79" s="1" t="s">
        <v>658</v>
      </c>
      <c r="AA79" s="1" t="s">
        <v>5719</v>
      </c>
      <c r="AB79" s="1" t="s">
        <v>5721</v>
      </c>
      <c r="AC79" s="1" t="s">
        <v>46</v>
      </c>
      <c r="AD79" s="1"/>
      <c r="AE79" s="1" t="s">
        <v>641</v>
      </c>
      <c r="AF79" s="1" t="s">
        <v>190</v>
      </c>
      <c r="AG79" s="1">
        <v>6</v>
      </c>
      <c r="AH79" s="1" t="s">
        <v>190</v>
      </c>
      <c r="AI79" s="1"/>
      <c r="AJ79" s="1" t="s">
        <v>5722</v>
      </c>
      <c r="AK79" s="1" t="s">
        <v>5723</v>
      </c>
    </row>
    <row r="80" spans="1:37">
      <c r="A80" s="1" t="str">
        <f>VLOOKUP(H80,Languages!$A$2:$B$430,2,FALSE)</f>
        <v>Afro-Asiatic</v>
      </c>
      <c r="B80" s="1" t="s">
        <v>1750</v>
      </c>
      <c r="C80" s="1" t="s">
        <v>108</v>
      </c>
      <c r="D80" s="1" t="s">
        <v>5718</v>
      </c>
      <c r="E80" s="15" t="s">
        <v>3054</v>
      </c>
      <c r="F80" s="15" t="s">
        <v>1523</v>
      </c>
      <c r="G80" s="1" t="s">
        <v>3054</v>
      </c>
      <c r="H80" s="1" t="str">
        <f>VLOOKUP(G80,'languoid 4.0'!$A$1:$I$24439,2,FALSE)</f>
        <v>afro1255</v>
      </c>
      <c r="I80" s="1" t="str">
        <f>VLOOKUP(G80,'languoid 4.0'!$A$1:$I$24439,6,FALSE)</f>
        <v>dialect</v>
      </c>
      <c r="J80" s="15" t="s">
        <v>52</v>
      </c>
      <c r="K80" s="15" t="s">
        <v>38</v>
      </c>
      <c r="L80" s="15" t="s">
        <v>38</v>
      </c>
      <c r="M80" s="1"/>
      <c r="N80" s="1"/>
      <c r="O80" s="15" t="s">
        <v>40</v>
      </c>
      <c r="P80" s="15" t="s">
        <v>41</v>
      </c>
      <c r="Q80" s="1" t="s">
        <v>5724</v>
      </c>
      <c r="R80" s="2" t="s">
        <v>5725</v>
      </c>
      <c r="S80" s="1" t="s">
        <v>46</v>
      </c>
      <c r="T80" s="1" t="s">
        <v>635</v>
      </c>
      <c r="U80" s="1" t="s">
        <v>636</v>
      </c>
      <c r="V80" s="1" t="s">
        <v>45</v>
      </c>
      <c r="W80" s="1"/>
      <c r="X80" s="1"/>
      <c r="Y80" s="1"/>
      <c r="Z80" s="1" t="s">
        <v>658</v>
      </c>
      <c r="AA80" s="1" t="s">
        <v>5721</v>
      </c>
      <c r="AB80" s="1" t="s">
        <v>5721</v>
      </c>
      <c r="AC80" s="1" t="s">
        <v>46</v>
      </c>
      <c r="AD80" s="1"/>
      <c r="AE80" s="1" t="s">
        <v>641</v>
      </c>
      <c r="AF80" s="1" t="s">
        <v>190</v>
      </c>
      <c r="AG80" s="1">
        <v>6</v>
      </c>
      <c r="AH80" s="1" t="s">
        <v>190</v>
      </c>
      <c r="AI80" s="1"/>
      <c r="AJ80" s="1" t="s">
        <v>5726</v>
      </c>
      <c r="AK80" s="1" t="s">
        <v>5723</v>
      </c>
    </row>
    <row r="81" spans="1:37">
      <c r="A81" s="1" t="str">
        <f>VLOOKUP(H81,Languages!$A$2:$B$430,2,FALSE)</f>
        <v>Afro-Asiatic</v>
      </c>
      <c r="B81" s="1" t="s">
        <v>1750</v>
      </c>
      <c r="C81" s="1" t="s">
        <v>108</v>
      </c>
      <c r="D81" s="1" t="s">
        <v>5718</v>
      </c>
      <c r="E81" s="15" t="s">
        <v>3054</v>
      </c>
      <c r="F81" s="15" t="s">
        <v>1523</v>
      </c>
      <c r="G81" s="1" t="s">
        <v>3054</v>
      </c>
      <c r="H81" s="1" t="str">
        <f>VLOOKUP(G81,'languoid 4.0'!$A$1:$I$24439,2,FALSE)</f>
        <v>afro1255</v>
      </c>
      <c r="I81" s="1" t="str">
        <f>VLOOKUP(G81,'languoid 4.0'!$A$1:$I$24439,6,FALSE)</f>
        <v>dialect</v>
      </c>
      <c r="J81" s="15" t="s">
        <v>52</v>
      </c>
      <c r="K81" s="15" t="s">
        <v>38</v>
      </c>
      <c r="L81" s="15" t="s">
        <v>38</v>
      </c>
      <c r="M81" s="1"/>
      <c r="N81" s="1"/>
      <c r="O81" s="15" t="s">
        <v>40</v>
      </c>
      <c r="P81" s="15" t="s">
        <v>41</v>
      </c>
      <c r="Q81" s="1" t="s">
        <v>5727</v>
      </c>
      <c r="R81" s="2" t="s">
        <v>5728</v>
      </c>
      <c r="S81" s="1" t="s">
        <v>46</v>
      </c>
      <c r="T81" s="1" t="s">
        <v>635</v>
      </c>
      <c r="U81" s="1" t="s">
        <v>636</v>
      </c>
      <c r="V81" s="1" t="s">
        <v>45</v>
      </c>
      <c r="W81" s="1"/>
      <c r="X81" s="1"/>
      <c r="Y81" s="1"/>
      <c r="Z81" s="1" t="s">
        <v>658</v>
      </c>
      <c r="AA81" s="1" t="s">
        <v>5727</v>
      </c>
      <c r="AB81" s="1" t="s">
        <v>5729</v>
      </c>
      <c r="AC81" s="1" t="s">
        <v>46</v>
      </c>
      <c r="AD81" s="1"/>
      <c r="AE81" s="1" t="s">
        <v>641</v>
      </c>
      <c r="AF81" s="1" t="s">
        <v>190</v>
      </c>
      <c r="AG81" s="1">
        <v>6</v>
      </c>
      <c r="AH81" s="1" t="s">
        <v>190</v>
      </c>
      <c r="AI81" s="1"/>
      <c r="AJ81" s="1" t="s">
        <v>5730</v>
      </c>
      <c r="AK81" s="1" t="s">
        <v>5723</v>
      </c>
    </row>
    <row r="82" spans="1:37">
      <c r="A82" s="1" t="str">
        <f>VLOOKUP(H82,Languages!$A$2:$B$430,2,FALSE)</f>
        <v>Afro-Asiatic</v>
      </c>
      <c r="B82" s="1" t="s">
        <v>1750</v>
      </c>
      <c r="C82" s="1" t="s">
        <v>108</v>
      </c>
      <c r="D82" s="1" t="s">
        <v>5718</v>
      </c>
      <c r="E82" s="15" t="s">
        <v>3054</v>
      </c>
      <c r="F82" s="15" t="s">
        <v>1523</v>
      </c>
      <c r="G82" s="1" t="s">
        <v>3054</v>
      </c>
      <c r="H82" s="1" t="str">
        <f>VLOOKUP(G82,'languoid 4.0'!$A$1:$I$24439,2,FALSE)</f>
        <v>afro1255</v>
      </c>
      <c r="I82" s="1" t="str">
        <f>VLOOKUP(G82,'languoid 4.0'!$A$1:$I$24439,6,FALSE)</f>
        <v>dialect</v>
      </c>
      <c r="J82" s="15" t="s">
        <v>52</v>
      </c>
      <c r="K82" s="15" t="s">
        <v>38</v>
      </c>
      <c r="L82" s="15" t="s">
        <v>38</v>
      </c>
      <c r="M82" s="1"/>
      <c r="N82" s="1"/>
      <c r="O82" s="15" t="s">
        <v>40</v>
      </c>
      <c r="P82" s="15" t="s">
        <v>41</v>
      </c>
      <c r="Q82" s="1" t="s">
        <v>5731</v>
      </c>
      <c r="R82" s="2" t="s">
        <v>5732</v>
      </c>
      <c r="S82" s="1" t="s">
        <v>46</v>
      </c>
      <c r="T82" s="1" t="s">
        <v>635</v>
      </c>
      <c r="U82" s="1" t="s">
        <v>636</v>
      </c>
      <c r="V82" s="1" t="s">
        <v>45</v>
      </c>
      <c r="W82" s="1"/>
      <c r="X82" s="1"/>
      <c r="Y82" s="1"/>
      <c r="Z82" s="1" t="s">
        <v>658</v>
      </c>
      <c r="AA82" s="1" t="s">
        <v>5731</v>
      </c>
      <c r="AB82" s="1" t="s">
        <v>46</v>
      </c>
      <c r="AC82" s="1" t="s">
        <v>46</v>
      </c>
      <c r="AD82" s="1"/>
      <c r="AE82" s="1" t="s">
        <v>641</v>
      </c>
      <c r="AF82" s="1" t="s">
        <v>190</v>
      </c>
      <c r="AG82" s="1">
        <v>6</v>
      </c>
      <c r="AH82" s="1" t="s">
        <v>190</v>
      </c>
      <c r="AI82" s="1"/>
      <c r="AJ82" s="1" t="s">
        <v>5733</v>
      </c>
      <c r="AK82" s="1" t="s">
        <v>5723</v>
      </c>
    </row>
    <row r="83" spans="1:37">
      <c r="A83" s="1" t="str">
        <f>VLOOKUP(H83,Languages!$A$2:$B$430,2,FALSE)</f>
        <v>Afro-Asiatic</v>
      </c>
      <c r="B83" s="1" t="s">
        <v>1750</v>
      </c>
      <c r="C83" s="1" t="s">
        <v>108</v>
      </c>
      <c r="D83" s="1" t="s">
        <v>5718</v>
      </c>
      <c r="E83" s="15" t="s">
        <v>3054</v>
      </c>
      <c r="F83" s="15" t="s">
        <v>1523</v>
      </c>
      <c r="G83" s="1" t="s">
        <v>3054</v>
      </c>
      <c r="H83" s="1" t="str">
        <f>VLOOKUP(G83,'languoid 4.0'!$A$1:$I$24439,2,FALSE)</f>
        <v>afro1255</v>
      </c>
      <c r="I83" s="1" t="str">
        <f>VLOOKUP(G83,'languoid 4.0'!$A$1:$I$24439,6,FALSE)</f>
        <v>dialect</v>
      </c>
      <c r="J83" s="15" t="s">
        <v>52</v>
      </c>
      <c r="K83" s="15" t="s">
        <v>38</v>
      </c>
      <c r="L83" s="15" t="s">
        <v>38</v>
      </c>
      <c r="M83" s="1"/>
      <c r="N83" s="1"/>
      <c r="O83" s="15" t="s">
        <v>40</v>
      </c>
      <c r="P83" s="15" t="s">
        <v>41</v>
      </c>
      <c r="Q83" s="1" t="s">
        <v>5727</v>
      </c>
      <c r="R83" s="2" t="s">
        <v>5734</v>
      </c>
      <c r="S83" s="1" t="s">
        <v>46</v>
      </c>
      <c r="T83" s="1" t="s">
        <v>635</v>
      </c>
      <c r="U83" s="1" t="s">
        <v>636</v>
      </c>
      <c r="V83" s="1" t="s">
        <v>45</v>
      </c>
      <c r="W83" s="1"/>
      <c r="X83" s="1"/>
      <c r="Y83" s="1"/>
      <c r="Z83" s="1" t="s">
        <v>658</v>
      </c>
      <c r="AA83" s="1" t="s">
        <v>5727</v>
      </c>
      <c r="AB83" s="1" t="s">
        <v>5729</v>
      </c>
      <c r="AC83" s="1" t="s">
        <v>46</v>
      </c>
      <c r="AD83" s="1"/>
      <c r="AE83" s="1" t="s">
        <v>641</v>
      </c>
      <c r="AF83" s="1" t="s">
        <v>190</v>
      </c>
      <c r="AG83" s="1">
        <v>6</v>
      </c>
      <c r="AH83" s="1" t="s">
        <v>190</v>
      </c>
      <c r="AI83" s="1"/>
      <c r="AJ83" s="1" t="s">
        <v>5735</v>
      </c>
      <c r="AK83" s="1" t="s">
        <v>5723</v>
      </c>
    </row>
    <row r="84" spans="1:37">
      <c r="A84" s="1" t="str">
        <f>VLOOKUP(H84,Languages!$A$2:$B$430,2,FALSE)</f>
        <v>Afro-Asiatic</v>
      </c>
      <c r="B84" s="1" t="s">
        <v>1750</v>
      </c>
      <c r="C84" s="1" t="s">
        <v>108</v>
      </c>
      <c r="D84" s="1" t="s">
        <v>5718</v>
      </c>
      <c r="E84" s="15" t="s">
        <v>3054</v>
      </c>
      <c r="F84" s="15" t="s">
        <v>1523</v>
      </c>
      <c r="G84" s="1" t="s">
        <v>3054</v>
      </c>
      <c r="H84" s="1" t="str">
        <f>VLOOKUP(G84,'languoid 4.0'!$A$1:$I$24439,2,FALSE)</f>
        <v>afro1255</v>
      </c>
      <c r="I84" s="1" t="str">
        <f>VLOOKUP(G84,'languoid 4.0'!$A$1:$I$24439,6,FALSE)</f>
        <v>dialect</v>
      </c>
      <c r="J84" s="15" t="s">
        <v>52</v>
      </c>
      <c r="K84" s="15" t="s">
        <v>38</v>
      </c>
      <c r="L84" s="15" t="s">
        <v>38</v>
      </c>
      <c r="M84" s="1"/>
      <c r="N84" s="1"/>
      <c r="O84" s="15" t="s">
        <v>40</v>
      </c>
      <c r="P84" s="15" t="s">
        <v>41</v>
      </c>
      <c r="Q84" s="1" t="s">
        <v>5736</v>
      </c>
      <c r="R84" s="2" t="s">
        <v>5737</v>
      </c>
      <c r="S84" s="1" t="s">
        <v>46</v>
      </c>
      <c r="T84" s="1" t="s">
        <v>635</v>
      </c>
      <c r="U84" s="1" t="s">
        <v>636</v>
      </c>
      <c r="V84" s="1" t="s">
        <v>45</v>
      </c>
      <c r="W84" s="1"/>
      <c r="X84" s="1"/>
      <c r="Y84" s="1"/>
      <c r="Z84" s="1" t="s">
        <v>658</v>
      </c>
      <c r="AA84" s="1" t="s">
        <v>5736</v>
      </c>
      <c r="AB84" s="1" t="s">
        <v>5729</v>
      </c>
      <c r="AC84" s="1" t="s">
        <v>46</v>
      </c>
      <c r="AD84" s="1"/>
      <c r="AE84" s="1" t="s">
        <v>641</v>
      </c>
      <c r="AF84" s="1" t="s">
        <v>190</v>
      </c>
      <c r="AG84" s="1">
        <v>6</v>
      </c>
      <c r="AH84" s="1" t="s">
        <v>190</v>
      </c>
      <c r="AI84" s="1"/>
      <c r="AJ84" s="1" t="s">
        <v>5738</v>
      </c>
      <c r="AK84" s="1" t="s">
        <v>5723</v>
      </c>
    </row>
    <row r="85" spans="1:37">
      <c r="A85" s="1" t="str">
        <f>VLOOKUP(H85,Languages!$A$2:$B$430,2,FALSE)</f>
        <v>Afro-Asiatic</v>
      </c>
      <c r="B85" s="1" t="s">
        <v>1750</v>
      </c>
      <c r="C85" s="1" t="s">
        <v>108</v>
      </c>
      <c r="D85" s="1" t="s">
        <v>5718</v>
      </c>
      <c r="E85" s="15" t="s">
        <v>3054</v>
      </c>
      <c r="F85" s="15" t="s">
        <v>1523</v>
      </c>
      <c r="G85" s="1" t="s">
        <v>3054</v>
      </c>
      <c r="H85" s="1" t="str">
        <f>VLOOKUP(G85,'languoid 4.0'!$A$1:$I$24439,2,FALSE)</f>
        <v>afro1255</v>
      </c>
      <c r="I85" s="1" t="str">
        <f>VLOOKUP(G85,'languoid 4.0'!$A$1:$I$24439,6,FALSE)</f>
        <v>dialect</v>
      </c>
      <c r="J85" s="15" t="s">
        <v>52</v>
      </c>
      <c r="K85" s="15" t="s">
        <v>38</v>
      </c>
      <c r="L85" s="15" t="s">
        <v>38</v>
      </c>
      <c r="M85" s="1"/>
      <c r="N85" s="1"/>
      <c r="O85" s="15" t="s">
        <v>40</v>
      </c>
      <c r="P85" s="15" t="s">
        <v>41</v>
      </c>
      <c r="Q85" s="1" t="s">
        <v>3158</v>
      </c>
      <c r="R85" s="2" t="s">
        <v>3159</v>
      </c>
      <c r="S85" s="1" t="s">
        <v>46</v>
      </c>
      <c r="T85" s="1" t="s">
        <v>635</v>
      </c>
      <c r="U85" s="1" t="s">
        <v>636</v>
      </c>
      <c r="V85" s="1" t="s">
        <v>45</v>
      </c>
      <c r="W85" s="1"/>
      <c r="X85" s="1"/>
      <c r="Y85" s="1"/>
      <c r="Z85" s="1" t="s">
        <v>658</v>
      </c>
      <c r="AA85" s="1" t="s">
        <v>3158</v>
      </c>
      <c r="AB85" s="1" t="s">
        <v>3158</v>
      </c>
      <c r="AC85" s="1" t="s">
        <v>46</v>
      </c>
      <c r="AD85" s="1"/>
      <c r="AE85" s="1" t="s">
        <v>641</v>
      </c>
      <c r="AF85" s="1" t="s">
        <v>190</v>
      </c>
      <c r="AG85" s="1">
        <v>5</v>
      </c>
      <c r="AH85" s="1" t="s">
        <v>190</v>
      </c>
      <c r="AI85" s="1"/>
      <c r="AJ85" s="1" t="s">
        <v>5739</v>
      </c>
      <c r="AK85" s="1" t="s">
        <v>5723</v>
      </c>
    </row>
    <row r="86" spans="1:37">
      <c r="A86" s="1" t="str">
        <f>VLOOKUP(H86,Languages!$A$2:$B$430,2,FALSE)</f>
        <v>Afro-Asiatic</v>
      </c>
      <c r="B86" s="1" t="s">
        <v>1750</v>
      </c>
      <c r="C86" s="1" t="s">
        <v>108</v>
      </c>
      <c r="D86" s="1" t="s">
        <v>5740</v>
      </c>
      <c r="E86" s="15" t="s">
        <v>3054</v>
      </c>
      <c r="F86" s="15" t="s">
        <v>1523</v>
      </c>
      <c r="G86" s="1" t="s">
        <v>3055</v>
      </c>
      <c r="H86" s="1" t="str">
        <f>VLOOKUP(G86,'languoid 4.0'!$A$1:$I$24439,2,FALSE)</f>
        <v>afro1255</v>
      </c>
      <c r="I86" s="1" t="str">
        <f>VLOOKUP(G86,'languoid 4.0'!$A$1:$I$24439,6,FALSE)</f>
        <v>language</v>
      </c>
      <c r="J86" s="15" t="s">
        <v>52</v>
      </c>
      <c r="K86" s="15" t="s">
        <v>38</v>
      </c>
      <c r="L86" s="15" t="s">
        <v>38</v>
      </c>
      <c r="M86" s="1"/>
      <c r="N86" s="1"/>
      <c r="O86" s="15" t="s">
        <v>40</v>
      </c>
      <c r="P86" s="15" t="s">
        <v>41</v>
      </c>
      <c r="Q86" s="1" t="s">
        <v>3056</v>
      </c>
      <c r="R86" s="2" t="s">
        <v>3057</v>
      </c>
      <c r="S86" s="1" t="s">
        <v>46</v>
      </c>
      <c r="T86" s="1" t="s">
        <v>635</v>
      </c>
      <c r="U86" s="1" t="s">
        <v>636</v>
      </c>
      <c r="V86" s="1" t="s">
        <v>45</v>
      </c>
      <c r="W86" s="1"/>
      <c r="X86" s="1"/>
      <c r="Y86" s="1"/>
      <c r="Z86" s="1" t="s">
        <v>658</v>
      </c>
      <c r="AA86" s="1" t="s">
        <v>3056</v>
      </c>
      <c r="AB86" s="1" t="s">
        <v>5729</v>
      </c>
      <c r="AC86" s="1" t="s">
        <v>46</v>
      </c>
      <c r="AD86" s="1"/>
      <c r="AE86" s="1" t="s">
        <v>641</v>
      </c>
      <c r="AF86" s="1" t="s">
        <v>190</v>
      </c>
      <c r="AG86" s="1">
        <v>6</v>
      </c>
      <c r="AH86" s="1" t="s">
        <v>190</v>
      </c>
      <c r="AI86" s="1"/>
      <c r="AJ86" s="1" t="s">
        <v>5741</v>
      </c>
      <c r="AK86" s="1" t="s">
        <v>5723</v>
      </c>
    </row>
    <row r="87" spans="1:37">
      <c r="A87" s="1" t="str">
        <f>VLOOKUP(H87,Languages!$A$2:$B$430,2,FALSE)</f>
        <v>Afro-Asiatic</v>
      </c>
      <c r="B87" s="1" t="s">
        <v>1750</v>
      </c>
      <c r="C87" s="1" t="s">
        <v>108</v>
      </c>
      <c r="D87" s="1" t="s">
        <v>5740</v>
      </c>
      <c r="E87" s="15" t="s">
        <v>3054</v>
      </c>
      <c r="F87" s="15" t="s">
        <v>1523</v>
      </c>
      <c r="G87" s="1" t="s">
        <v>3055</v>
      </c>
      <c r="H87" s="1" t="str">
        <f>VLOOKUP(G87,'languoid 4.0'!$A$1:$I$24439,2,FALSE)</f>
        <v>afro1255</v>
      </c>
      <c r="I87" s="1" t="str">
        <f>VLOOKUP(G87,'languoid 4.0'!$A$1:$I$24439,6,FALSE)</f>
        <v>language</v>
      </c>
      <c r="J87" s="15" t="s">
        <v>52</v>
      </c>
      <c r="K87" s="15" t="s">
        <v>38</v>
      </c>
      <c r="L87" s="15" t="s">
        <v>38</v>
      </c>
      <c r="M87" s="1"/>
      <c r="N87" s="1"/>
      <c r="O87" s="15" t="s">
        <v>40</v>
      </c>
      <c r="P87" s="15" t="s">
        <v>41</v>
      </c>
      <c r="Q87" s="1" t="s">
        <v>5742</v>
      </c>
      <c r="R87" s="2" t="s">
        <v>5743</v>
      </c>
      <c r="S87" s="1" t="s">
        <v>46</v>
      </c>
      <c r="T87" s="1" t="s">
        <v>635</v>
      </c>
      <c r="U87" s="1" t="s">
        <v>636</v>
      </c>
      <c r="V87" s="1" t="s">
        <v>45</v>
      </c>
      <c r="W87" s="1"/>
      <c r="X87" s="1"/>
      <c r="Y87" s="1"/>
      <c r="Z87" s="1" t="s">
        <v>658</v>
      </c>
      <c r="AA87" s="1" t="s">
        <v>5742</v>
      </c>
      <c r="AB87" s="1" t="s">
        <v>5744</v>
      </c>
      <c r="AC87" s="1" t="s">
        <v>46</v>
      </c>
      <c r="AD87" s="1"/>
      <c r="AE87" s="1" t="s">
        <v>641</v>
      </c>
      <c r="AF87" s="1" t="s">
        <v>190</v>
      </c>
      <c r="AG87" s="1">
        <v>6</v>
      </c>
      <c r="AH87" s="1" t="s">
        <v>190</v>
      </c>
      <c r="AI87" s="1"/>
      <c r="AJ87" s="1" t="s">
        <v>5745</v>
      </c>
      <c r="AK87" s="1" t="s">
        <v>5723</v>
      </c>
    </row>
    <row r="88" spans="1:37">
      <c r="A88" s="1" t="str">
        <f>VLOOKUP(H88,Languages!$A$2:$B$430,2,FALSE)</f>
        <v>Afro-Asiatic</v>
      </c>
      <c r="B88" s="1" t="s">
        <v>1750</v>
      </c>
      <c r="C88" s="1" t="s">
        <v>108</v>
      </c>
      <c r="D88" s="1" t="s">
        <v>5740</v>
      </c>
      <c r="E88" s="15" t="s">
        <v>3054</v>
      </c>
      <c r="F88" s="15" t="s">
        <v>1523</v>
      </c>
      <c r="G88" s="1" t="s">
        <v>3055</v>
      </c>
      <c r="H88" s="1" t="str">
        <f>VLOOKUP(G88,'languoid 4.0'!$A$1:$I$24439,2,FALSE)</f>
        <v>afro1255</v>
      </c>
      <c r="I88" s="1" t="str">
        <f>VLOOKUP(G88,'languoid 4.0'!$A$1:$I$24439,6,FALSE)</f>
        <v>language</v>
      </c>
      <c r="J88" s="15" t="s">
        <v>52</v>
      </c>
      <c r="K88" s="15" t="s">
        <v>38</v>
      </c>
      <c r="L88" s="15" t="s">
        <v>38</v>
      </c>
      <c r="M88" s="1"/>
      <c r="N88" s="1"/>
      <c r="O88" s="15" t="s">
        <v>40</v>
      </c>
      <c r="P88" s="15" t="s">
        <v>41</v>
      </c>
      <c r="Q88" s="1" t="s">
        <v>5746</v>
      </c>
      <c r="R88" s="2" t="s">
        <v>5747</v>
      </c>
      <c r="S88" s="1" t="s">
        <v>46</v>
      </c>
      <c r="T88" s="1" t="s">
        <v>635</v>
      </c>
      <c r="U88" s="1" t="s">
        <v>636</v>
      </c>
      <c r="V88" s="1" t="s">
        <v>45</v>
      </c>
      <c r="W88" s="1"/>
      <c r="X88" s="1"/>
      <c r="Y88" s="1"/>
      <c r="Z88" s="1" t="s">
        <v>658</v>
      </c>
      <c r="AA88" s="1" t="s">
        <v>5746</v>
      </c>
      <c r="AB88" s="1" t="s">
        <v>5729</v>
      </c>
      <c r="AC88" s="1" t="s">
        <v>46</v>
      </c>
      <c r="AD88" s="1"/>
      <c r="AE88" s="1" t="s">
        <v>641</v>
      </c>
      <c r="AF88" s="1" t="s">
        <v>190</v>
      </c>
      <c r="AG88" s="1">
        <v>6</v>
      </c>
      <c r="AH88" s="1" t="s">
        <v>190</v>
      </c>
      <c r="AI88" s="1"/>
      <c r="AJ88" s="1" t="s">
        <v>5748</v>
      </c>
      <c r="AK88" s="1" t="s">
        <v>5723</v>
      </c>
    </row>
    <row r="89" spans="1:37">
      <c r="A89" s="1" t="str">
        <f>VLOOKUP(H89,Languages!$A$2:$B$430,2,FALSE)</f>
        <v>Afro-Asiatic</v>
      </c>
      <c r="B89" s="1" t="s">
        <v>1750</v>
      </c>
      <c r="C89" s="1" t="s">
        <v>132</v>
      </c>
      <c r="D89" s="1" t="s">
        <v>6490</v>
      </c>
      <c r="E89" s="15" t="s">
        <v>6491</v>
      </c>
      <c r="F89" s="15" t="s">
        <v>6491</v>
      </c>
      <c r="G89" s="1" t="s">
        <v>6491</v>
      </c>
      <c r="H89" s="1" t="str">
        <f>VLOOKUP(G89,'languoid 4.0'!$A$1:$I$24439,2,FALSE)</f>
        <v>afro1255</v>
      </c>
      <c r="I89" s="1" t="str">
        <f>VLOOKUP(G89,'languoid 4.0'!$A$1:$I$24439,6,FALSE)</f>
        <v>language</v>
      </c>
      <c r="J89" s="15" t="s">
        <v>38</v>
      </c>
      <c r="K89" s="15" t="s">
        <v>38</v>
      </c>
      <c r="L89" s="15" t="s">
        <v>38</v>
      </c>
      <c r="M89" s="1"/>
      <c r="N89" s="1" t="s">
        <v>6492</v>
      </c>
      <c r="O89" s="15" t="s">
        <v>40</v>
      </c>
      <c r="P89" s="15" t="s">
        <v>41</v>
      </c>
      <c r="Q89" s="1" t="s">
        <v>6493</v>
      </c>
      <c r="R89" s="2" t="s">
        <v>6494</v>
      </c>
      <c r="S89" s="1" t="s">
        <v>46</v>
      </c>
      <c r="T89" s="1" t="s">
        <v>635</v>
      </c>
      <c r="U89" s="1" t="s">
        <v>636</v>
      </c>
      <c r="V89" s="1" t="s">
        <v>45</v>
      </c>
      <c r="W89" s="1"/>
      <c r="X89" s="1"/>
      <c r="Y89" s="1"/>
      <c r="Z89" s="1" t="s">
        <v>658</v>
      </c>
      <c r="AA89" s="1" t="s">
        <v>6495</v>
      </c>
      <c r="AB89" s="1" t="s">
        <v>6496</v>
      </c>
      <c r="AC89" s="1" t="s">
        <v>46</v>
      </c>
      <c r="AD89" s="1"/>
      <c r="AE89" s="1" t="s">
        <v>641</v>
      </c>
      <c r="AF89" s="1" t="s">
        <v>190</v>
      </c>
      <c r="AG89" s="1">
        <v>6</v>
      </c>
      <c r="AH89" s="1" t="s">
        <v>190</v>
      </c>
      <c r="AI89" s="1"/>
      <c r="AJ89" s="3">
        <v>43441.568078703705</v>
      </c>
      <c r="AK89" s="1" t="s">
        <v>1034</v>
      </c>
    </row>
    <row r="90" spans="1:37">
      <c r="A90" s="1" t="str">
        <f>VLOOKUP(H90,Languages!$A$2:$B$430,2,FALSE)</f>
        <v>Afro-Asiatic</v>
      </c>
      <c r="B90" s="1" t="s">
        <v>1750</v>
      </c>
      <c r="C90" s="1" t="s">
        <v>132</v>
      </c>
      <c r="D90" s="1" t="s">
        <v>6490</v>
      </c>
      <c r="E90" s="15" t="s">
        <v>6491</v>
      </c>
      <c r="F90" s="15" t="s">
        <v>6491</v>
      </c>
      <c r="G90" s="1" t="s">
        <v>6491</v>
      </c>
      <c r="H90" s="1" t="str">
        <f>VLOOKUP(G90,'languoid 4.0'!$A$1:$I$24439,2,FALSE)</f>
        <v>afro1255</v>
      </c>
      <c r="I90" s="1" t="str">
        <f>VLOOKUP(G90,'languoid 4.0'!$A$1:$I$24439,6,FALSE)</f>
        <v>language</v>
      </c>
      <c r="J90" s="15" t="s">
        <v>38</v>
      </c>
      <c r="K90" s="15" t="s">
        <v>38</v>
      </c>
      <c r="L90" s="15" t="s">
        <v>38</v>
      </c>
      <c r="M90" s="1"/>
      <c r="N90" s="1" t="s">
        <v>6492</v>
      </c>
      <c r="O90" s="15" t="s">
        <v>40</v>
      </c>
      <c r="P90" s="15" t="s">
        <v>41</v>
      </c>
      <c r="Q90" s="1" t="s">
        <v>6497</v>
      </c>
      <c r="R90" s="2" t="s">
        <v>6498</v>
      </c>
      <c r="S90" s="1" t="s">
        <v>46</v>
      </c>
      <c r="T90" s="1" t="s">
        <v>635</v>
      </c>
      <c r="U90" s="1" t="s">
        <v>636</v>
      </c>
      <c r="V90" s="1" t="s">
        <v>45</v>
      </c>
      <c r="W90" s="1"/>
      <c r="X90" s="1"/>
      <c r="Y90" s="1"/>
      <c r="Z90" s="1" t="s">
        <v>658</v>
      </c>
      <c r="AA90" s="1" t="s">
        <v>6499</v>
      </c>
      <c r="AB90" s="1" t="s">
        <v>6500</v>
      </c>
      <c r="AC90" s="1" t="s">
        <v>46</v>
      </c>
      <c r="AD90" s="1"/>
      <c r="AE90" s="1" t="s">
        <v>641</v>
      </c>
      <c r="AF90" s="1" t="s">
        <v>190</v>
      </c>
      <c r="AG90" s="1">
        <v>6</v>
      </c>
      <c r="AH90" s="1" t="s">
        <v>190</v>
      </c>
      <c r="AI90" s="1"/>
      <c r="AJ90" s="3">
        <v>43441.571192129632</v>
      </c>
      <c r="AK90" s="1" t="s">
        <v>1034</v>
      </c>
    </row>
    <row r="91" spans="1:37">
      <c r="A91" s="1" t="str">
        <f>VLOOKUP(H91,Languages!$A$2:$B$430,2,FALSE)</f>
        <v>Afro-Asiatic</v>
      </c>
      <c r="B91" s="1" t="s">
        <v>1750</v>
      </c>
      <c r="C91" s="1" t="s">
        <v>132</v>
      </c>
      <c r="D91" s="1" t="s">
        <v>6490</v>
      </c>
      <c r="E91" s="15" t="s">
        <v>6491</v>
      </c>
      <c r="F91" s="15" t="s">
        <v>6491</v>
      </c>
      <c r="G91" s="1" t="s">
        <v>6491</v>
      </c>
      <c r="H91" s="1" t="str">
        <f>VLOOKUP(G91,'languoid 4.0'!$A$1:$I$24439,2,FALSE)</f>
        <v>afro1255</v>
      </c>
      <c r="I91" s="1" t="str">
        <f>VLOOKUP(G91,'languoid 4.0'!$A$1:$I$24439,6,FALSE)</f>
        <v>language</v>
      </c>
      <c r="J91" s="15" t="s">
        <v>38</v>
      </c>
      <c r="K91" s="15" t="s">
        <v>38</v>
      </c>
      <c r="L91" s="15" t="s">
        <v>38</v>
      </c>
      <c r="M91" s="1"/>
      <c r="N91" s="1" t="s">
        <v>6492</v>
      </c>
      <c r="O91" s="15" t="s">
        <v>40</v>
      </c>
      <c r="P91" s="15" t="s">
        <v>41</v>
      </c>
      <c r="Q91" s="1" t="s">
        <v>6497</v>
      </c>
      <c r="R91" s="2" t="s">
        <v>6501</v>
      </c>
      <c r="S91" s="1" t="s">
        <v>46</v>
      </c>
      <c r="T91" s="1" t="s">
        <v>635</v>
      </c>
      <c r="U91" s="1" t="s">
        <v>636</v>
      </c>
      <c r="V91" s="1" t="s">
        <v>45</v>
      </c>
      <c r="W91" s="1"/>
      <c r="X91" s="1"/>
      <c r="Y91" s="1"/>
      <c r="Z91" s="1" t="s">
        <v>658</v>
      </c>
      <c r="AA91" s="1" t="s">
        <v>6502</v>
      </c>
      <c r="AB91" s="1" t="s">
        <v>6503</v>
      </c>
      <c r="AC91" s="1" t="s">
        <v>46</v>
      </c>
      <c r="AD91" s="1"/>
      <c r="AE91" s="1" t="s">
        <v>641</v>
      </c>
      <c r="AF91" s="1" t="s">
        <v>190</v>
      </c>
      <c r="AG91" s="1">
        <v>6</v>
      </c>
      <c r="AH91" s="1" t="s">
        <v>190</v>
      </c>
      <c r="AI91" s="1"/>
      <c r="AJ91" s="3">
        <v>43441.57640046296</v>
      </c>
      <c r="AK91" s="1" t="s">
        <v>1034</v>
      </c>
    </row>
    <row r="92" spans="1:37">
      <c r="A92" s="1" t="str">
        <f>VLOOKUP(H92,Languages!$A$2:$B$430,2,FALSE)</f>
        <v>Afro-Asiatic</v>
      </c>
      <c r="B92" s="1" t="s">
        <v>1750</v>
      </c>
      <c r="C92" s="1" t="s">
        <v>132</v>
      </c>
      <c r="D92" s="1" t="s">
        <v>6490</v>
      </c>
      <c r="E92" s="15" t="s">
        <v>6491</v>
      </c>
      <c r="F92" s="15" t="s">
        <v>6491</v>
      </c>
      <c r="G92" s="1" t="s">
        <v>6491</v>
      </c>
      <c r="H92" s="1" t="str">
        <f>VLOOKUP(G92,'languoid 4.0'!$A$1:$I$24439,2,FALSE)</f>
        <v>afro1255</v>
      </c>
      <c r="I92" s="1" t="str">
        <f>VLOOKUP(G92,'languoid 4.0'!$A$1:$I$24439,6,FALSE)</f>
        <v>language</v>
      </c>
      <c r="J92" s="15" t="s">
        <v>38</v>
      </c>
      <c r="K92" s="15" t="s">
        <v>38</v>
      </c>
      <c r="L92" s="15" t="s">
        <v>38</v>
      </c>
      <c r="M92" s="1"/>
      <c r="N92" s="1" t="s">
        <v>6492</v>
      </c>
      <c r="O92" s="15" t="s">
        <v>40</v>
      </c>
      <c r="P92" s="15" t="s">
        <v>41</v>
      </c>
      <c r="Q92" s="1" t="s">
        <v>6504</v>
      </c>
      <c r="R92" s="2" t="s">
        <v>6505</v>
      </c>
      <c r="S92" s="1" t="s">
        <v>46</v>
      </c>
      <c r="T92" s="1" t="s">
        <v>635</v>
      </c>
      <c r="U92" s="1" t="s">
        <v>636</v>
      </c>
      <c r="V92" s="1" t="s">
        <v>45</v>
      </c>
      <c r="W92" s="1"/>
      <c r="X92" s="1"/>
      <c r="Y92" s="1"/>
      <c r="Z92" s="1" t="s">
        <v>658</v>
      </c>
      <c r="AA92" s="1" t="s">
        <v>6506</v>
      </c>
      <c r="AB92" s="1" t="s">
        <v>6507</v>
      </c>
      <c r="AC92" s="1" t="s">
        <v>46</v>
      </c>
      <c r="AD92" s="1"/>
      <c r="AE92" s="1" t="s">
        <v>641</v>
      </c>
      <c r="AF92" s="1" t="s">
        <v>190</v>
      </c>
      <c r="AG92" s="1">
        <v>6</v>
      </c>
      <c r="AH92" s="1" t="s">
        <v>190</v>
      </c>
      <c r="AI92" s="1"/>
      <c r="AJ92" s="3">
        <v>43441.579375000001</v>
      </c>
      <c r="AK92" s="1" t="s">
        <v>1034</v>
      </c>
    </row>
    <row r="93" spans="1:37">
      <c r="A93" s="1" t="str">
        <f>VLOOKUP(H93,Languages!$A$2:$B$430,2,FALSE)</f>
        <v>Afro-Asiatic</v>
      </c>
      <c r="B93" s="1" t="s">
        <v>1750</v>
      </c>
      <c r="C93" s="1" t="s">
        <v>132</v>
      </c>
      <c r="D93" s="1" t="s">
        <v>6490</v>
      </c>
      <c r="E93" s="15" t="s">
        <v>6491</v>
      </c>
      <c r="F93" s="15" t="s">
        <v>6491</v>
      </c>
      <c r="G93" s="1" t="s">
        <v>6491</v>
      </c>
      <c r="H93" s="1" t="str">
        <f>VLOOKUP(G93,'languoid 4.0'!$A$1:$I$24439,2,FALSE)</f>
        <v>afro1255</v>
      </c>
      <c r="I93" s="1" t="str">
        <f>VLOOKUP(G93,'languoid 4.0'!$A$1:$I$24439,6,FALSE)</f>
        <v>language</v>
      </c>
      <c r="J93" s="15" t="s">
        <v>38</v>
      </c>
      <c r="K93" s="15" t="s">
        <v>38</v>
      </c>
      <c r="L93" s="15" t="s">
        <v>38</v>
      </c>
      <c r="M93" s="1"/>
      <c r="N93" s="1" t="s">
        <v>6492</v>
      </c>
      <c r="O93" s="15" t="s">
        <v>40</v>
      </c>
      <c r="P93" s="15" t="s">
        <v>41</v>
      </c>
      <c r="Q93" s="1" t="s">
        <v>6508</v>
      </c>
      <c r="R93" s="2" t="s">
        <v>6509</v>
      </c>
      <c r="S93" s="1" t="s">
        <v>46</v>
      </c>
      <c r="T93" s="1" t="s">
        <v>635</v>
      </c>
      <c r="U93" s="1" t="s">
        <v>6510</v>
      </c>
      <c r="V93" s="1" t="s">
        <v>45</v>
      </c>
      <c r="W93" s="1"/>
      <c r="X93" s="1"/>
      <c r="Y93" s="1"/>
      <c r="Z93" s="1" t="s">
        <v>658</v>
      </c>
      <c r="AA93" s="1" t="s">
        <v>6511</v>
      </c>
      <c r="AB93" s="1" t="s">
        <v>6512</v>
      </c>
      <c r="AC93" s="1" t="s">
        <v>46</v>
      </c>
      <c r="AD93" s="1"/>
      <c r="AE93" s="1" t="s">
        <v>641</v>
      </c>
      <c r="AF93" s="1" t="s">
        <v>190</v>
      </c>
      <c r="AG93" s="1">
        <v>6</v>
      </c>
      <c r="AH93" s="1" t="s">
        <v>190</v>
      </c>
      <c r="AI93" s="1"/>
      <c r="AJ93" s="3">
        <v>43441.582812499997</v>
      </c>
      <c r="AK93" s="1" t="s">
        <v>1034</v>
      </c>
    </row>
    <row r="94" spans="1:37">
      <c r="A94" s="1" t="str">
        <f>VLOOKUP(H94,Languages!$A$2:$B$430,2,FALSE)</f>
        <v>Afro-Asiatic</v>
      </c>
      <c r="B94" s="1" t="s">
        <v>1750</v>
      </c>
      <c r="C94" s="1" t="s">
        <v>132</v>
      </c>
      <c r="D94" s="1" t="s">
        <v>6490</v>
      </c>
      <c r="E94" s="15" t="s">
        <v>6491</v>
      </c>
      <c r="F94" s="15" t="s">
        <v>6491</v>
      </c>
      <c r="G94" s="1" t="s">
        <v>6491</v>
      </c>
      <c r="H94" s="1" t="str">
        <f>VLOOKUP(G94,'languoid 4.0'!$A$1:$I$24439,2,FALSE)</f>
        <v>afro1255</v>
      </c>
      <c r="I94" s="1" t="str">
        <f>VLOOKUP(G94,'languoid 4.0'!$A$1:$I$24439,6,FALSE)</f>
        <v>language</v>
      </c>
      <c r="J94" s="15" t="s">
        <v>38</v>
      </c>
      <c r="K94" s="15" t="s">
        <v>38</v>
      </c>
      <c r="L94" s="15" t="s">
        <v>38</v>
      </c>
      <c r="M94" s="1"/>
      <c r="N94" s="1" t="s">
        <v>6492</v>
      </c>
      <c r="O94" s="15" t="s">
        <v>40</v>
      </c>
      <c r="P94" s="15" t="s">
        <v>41</v>
      </c>
      <c r="Q94" s="1" t="s">
        <v>6513</v>
      </c>
      <c r="R94" s="2" t="s">
        <v>6514</v>
      </c>
      <c r="S94" s="1" t="s">
        <v>46</v>
      </c>
      <c r="T94" s="1" t="s">
        <v>635</v>
      </c>
      <c r="U94" s="1" t="s">
        <v>636</v>
      </c>
      <c r="V94" s="1" t="s">
        <v>45</v>
      </c>
      <c r="W94" s="1"/>
      <c r="X94" s="1"/>
      <c r="Y94" s="1"/>
      <c r="Z94" s="1" t="s">
        <v>658</v>
      </c>
      <c r="AA94" s="1" t="s">
        <v>6515</v>
      </c>
      <c r="AB94" s="1" t="s">
        <v>6516</v>
      </c>
      <c r="AC94" s="1" t="s">
        <v>46</v>
      </c>
      <c r="AD94" s="1"/>
      <c r="AE94" s="1" t="s">
        <v>641</v>
      </c>
      <c r="AF94" s="1" t="s">
        <v>190</v>
      </c>
      <c r="AG94" s="1">
        <v>6</v>
      </c>
      <c r="AH94" s="1" t="s">
        <v>190</v>
      </c>
      <c r="AI94" s="1"/>
      <c r="AJ94" s="3">
        <v>43441.588078703702</v>
      </c>
      <c r="AK94" s="1" t="s">
        <v>1034</v>
      </c>
    </row>
    <row r="95" spans="1:37">
      <c r="A95" s="1" t="str">
        <f>VLOOKUP(H95,Languages!$A$2:$B$430,2,FALSE)</f>
        <v>Afro-Asiatic</v>
      </c>
      <c r="B95" s="1" t="s">
        <v>1738</v>
      </c>
      <c r="C95" s="1" t="s">
        <v>159</v>
      </c>
      <c r="D95" s="1" t="s">
        <v>4674</v>
      </c>
      <c r="E95" s="15" t="s">
        <v>1523</v>
      </c>
      <c r="F95" s="15" t="s">
        <v>1523</v>
      </c>
      <c r="G95" s="1" t="s">
        <v>4675</v>
      </c>
      <c r="H95" s="1" t="str">
        <f>VLOOKUP(G95,'languoid 4.0'!$A$1:$I$24439,2,FALSE)</f>
        <v>afro1255</v>
      </c>
      <c r="I95" s="1" t="str">
        <f>VLOOKUP(G95,'languoid 4.0'!$A$1:$I$24439,6,FALSE)</f>
        <v>family</v>
      </c>
      <c r="J95" s="15" t="s">
        <v>38</v>
      </c>
      <c r="K95" s="15" t="s">
        <v>38</v>
      </c>
      <c r="L95" s="15" t="s">
        <v>38</v>
      </c>
      <c r="M95" s="1"/>
      <c r="N95" s="1"/>
      <c r="O95" s="15" t="s">
        <v>40</v>
      </c>
      <c r="P95" s="15" t="s">
        <v>41</v>
      </c>
      <c r="Q95" s="1" t="s">
        <v>4676</v>
      </c>
      <c r="R95" s="2" t="s">
        <v>4677</v>
      </c>
      <c r="S95" s="1" t="s">
        <v>46</v>
      </c>
      <c r="T95" s="1" t="s">
        <v>648</v>
      </c>
      <c r="U95" s="1" t="s">
        <v>636</v>
      </c>
      <c r="V95" s="1" t="s">
        <v>45</v>
      </c>
      <c r="W95" s="1"/>
      <c r="X95" s="1"/>
      <c r="Y95" s="1"/>
      <c r="Z95" s="1" t="s">
        <v>673</v>
      </c>
      <c r="AA95" s="1" t="s">
        <v>46</v>
      </c>
      <c r="AB95" s="1" t="s">
        <v>4678</v>
      </c>
      <c r="AC95" s="1" t="s">
        <v>46</v>
      </c>
      <c r="AD95" s="1"/>
      <c r="AE95" s="1" t="s">
        <v>641</v>
      </c>
      <c r="AF95" s="1" t="s">
        <v>190</v>
      </c>
      <c r="AG95" s="1">
        <v>6</v>
      </c>
      <c r="AH95" s="1" t="s">
        <v>190</v>
      </c>
      <c r="AI95" s="1"/>
      <c r="AJ95" s="3">
        <v>43318.677673611113</v>
      </c>
      <c r="AK95" s="1" t="s">
        <v>4608</v>
      </c>
    </row>
    <row r="96" spans="1:37">
      <c r="A96" s="1" t="str">
        <f>VLOOKUP(H96,Languages!$A$2:$B$430,2,FALSE)</f>
        <v>Afro-Asiatic</v>
      </c>
      <c r="B96" s="1" t="s">
        <v>1738</v>
      </c>
      <c r="C96" s="1" t="s">
        <v>108</v>
      </c>
      <c r="D96" s="1" t="s">
        <v>3774</v>
      </c>
      <c r="E96" s="15" t="s">
        <v>3763</v>
      </c>
      <c r="F96" s="15" t="s">
        <v>51</v>
      </c>
      <c r="G96" s="1" t="s">
        <v>3763</v>
      </c>
      <c r="H96" s="1" t="str">
        <f>VLOOKUP(G96,'languoid 4.0'!$A$1:$I$24439,2,FALSE)</f>
        <v>afro1255</v>
      </c>
      <c r="I96" s="1" t="str">
        <f>VLOOKUP(G96,'languoid 4.0'!$A$1:$I$24439,6,FALSE)</f>
        <v>family</v>
      </c>
      <c r="J96" s="15" t="s">
        <v>52</v>
      </c>
      <c r="K96" s="15" t="s">
        <v>51</v>
      </c>
      <c r="L96" s="15" t="s">
        <v>51</v>
      </c>
      <c r="M96" s="1"/>
      <c r="N96" s="1"/>
      <c r="O96" s="15" t="s">
        <v>113</v>
      </c>
      <c r="P96" s="15" t="s">
        <v>41</v>
      </c>
      <c r="Q96" s="1" t="s">
        <v>3775</v>
      </c>
      <c r="R96" s="2" t="s">
        <v>3776</v>
      </c>
      <c r="S96" s="1" t="s">
        <v>46</v>
      </c>
      <c r="T96" s="1" t="s">
        <v>1689</v>
      </c>
      <c r="U96" s="1" t="s">
        <v>1897</v>
      </c>
      <c r="V96" s="1" t="s">
        <v>45</v>
      </c>
      <c r="W96" s="1"/>
      <c r="X96" s="1"/>
      <c r="Y96" s="1"/>
      <c r="Z96" s="1" t="s">
        <v>637</v>
      </c>
      <c r="AA96" s="1" t="s">
        <v>3777</v>
      </c>
      <c r="AB96" s="1" t="s">
        <v>3778</v>
      </c>
      <c r="AC96" s="1" t="s">
        <v>46</v>
      </c>
      <c r="AD96" s="1"/>
      <c r="AE96" s="1" t="s">
        <v>641</v>
      </c>
      <c r="AF96" s="1" t="s">
        <v>190</v>
      </c>
      <c r="AG96" s="1">
        <v>6</v>
      </c>
      <c r="AH96" s="1" t="s">
        <v>190</v>
      </c>
      <c r="AI96" s="1"/>
      <c r="AJ96" s="3">
        <v>43348.712731481479</v>
      </c>
      <c r="AK96" s="1" t="s">
        <v>3060</v>
      </c>
    </row>
    <row r="97" spans="1:37">
      <c r="A97" s="1" t="str">
        <f>VLOOKUP(H97,Languages!$A$2:$B$430,2,FALSE)</f>
        <v>Afro-Asiatic</v>
      </c>
      <c r="B97" s="1" t="s">
        <v>1738</v>
      </c>
      <c r="C97" s="1" t="s">
        <v>108</v>
      </c>
      <c r="D97" s="1" t="s">
        <v>6240</v>
      </c>
      <c r="E97" s="15" t="s">
        <v>3655</v>
      </c>
      <c r="F97" s="15" t="s">
        <v>515</v>
      </c>
      <c r="G97" s="1" t="s">
        <v>515</v>
      </c>
      <c r="H97" s="1" t="str">
        <f>VLOOKUP(G97,'languoid 4.0'!$A$1:$I$24439,2,FALSE)</f>
        <v>afro1255</v>
      </c>
      <c r="I97" s="1" t="str">
        <f>VLOOKUP(G97,'languoid 4.0'!$A$1:$I$24439,6,FALSE)</f>
        <v>family</v>
      </c>
      <c r="J97" s="15" t="s">
        <v>52</v>
      </c>
      <c r="K97" s="15" t="s">
        <v>38</v>
      </c>
      <c r="L97" s="15" t="s">
        <v>38</v>
      </c>
      <c r="M97" s="1"/>
      <c r="N97" s="1"/>
      <c r="O97" s="15" t="s">
        <v>40</v>
      </c>
      <c r="P97" s="15" t="s">
        <v>41</v>
      </c>
      <c r="Q97" s="1" t="s">
        <v>6241</v>
      </c>
      <c r="R97" s="2" t="s">
        <v>6242</v>
      </c>
      <c r="S97" s="1" t="s">
        <v>6243</v>
      </c>
      <c r="T97" s="1" t="s">
        <v>635</v>
      </c>
      <c r="U97" s="1" t="s">
        <v>636</v>
      </c>
      <c r="V97" s="1" t="s">
        <v>45</v>
      </c>
      <c r="W97" s="1"/>
      <c r="X97" s="1"/>
      <c r="Y97" s="1"/>
      <c r="Z97" s="1" t="s">
        <v>658</v>
      </c>
      <c r="AA97" s="1" t="s">
        <v>6244</v>
      </c>
      <c r="AB97" s="1" t="s">
        <v>6244</v>
      </c>
      <c r="AC97" s="1" t="s">
        <v>46</v>
      </c>
      <c r="AD97" s="1"/>
      <c r="AE97" s="1"/>
      <c r="AF97" s="1"/>
      <c r="AG97" s="1"/>
      <c r="AH97" s="1" t="s">
        <v>45</v>
      </c>
      <c r="AI97" s="1"/>
      <c r="AJ97" s="3">
        <v>43197.911006944443</v>
      </c>
      <c r="AK97" s="1" t="s">
        <v>5723</v>
      </c>
    </row>
    <row r="98" spans="1:37">
      <c r="A98" s="1" t="str">
        <f>VLOOKUP(H98,Languages!$A$2:$B$430,2,FALSE)</f>
        <v>Afro-Asiatic</v>
      </c>
      <c r="B98" s="1" t="s">
        <v>1812</v>
      </c>
      <c r="C98" s="1" t="s">
        <v>159</v>
      </c>
      <c r="D98" s="1" t="s">
        <v>4613</v>
      </c>
      <c r="E98" s="15" t="s">
        <v>1523</v>
      </c>
      <c r="F98" s="15" t="s">
        <v>1523</v>
      </c>
      <c r="G98" s="1" t="s">
        <v>1523</v>
      </c>
      <c r="H98" s="1" t="str">
        <f>VLOOKUP(G98,'languoid 4.0'!$A$1:$I$24439,2,FALSE)</f>
        <v>afro1255</v>
      </c>
      <c r="I98" s="1" t="str">
        <f>VLOOKUP(G98,'languoid 4.0'!$A$1:$I$24439,6,FALSE)</f>
        <v>family</v>
      </c>
      <c r="J98" s="15" t="s">
        <v>38</v>
      </c>
      <c r="K98" s="15" t="s">
        <v>38</v>
      </c>
      <c r="L98" s="15" t="s">
        <v>38</v>
      </c>
      <c r="M98" s="1"/>
      <c r="N98" s="1"/>
      <c r="O98" s="15" t="s">
        <v>40</v>
      </c>
      <c r="P98" s="15" t="s">
        <v>632</v>
      </c>
      <c r="Q98" s="1" t="s">
        <v>4614</v>
      </c>
      <c r="R98" s="2" t="s">
        <v>4615</v>
      </c>
      <c r="S98" s="1" t="s">
        <v>46</v>
      </c>
      <c r="T98" s="1" t="s">
        <v>635</v>
      </c>
      <c r="U98" s="1" t="s">
        <v>1750</v>
      </c>
      <c r="V98" s="1" t="s">
        <v>45</v>
      </c>
      <c r="W98" s="1"/>
      <c r="X98" s="1"/>
      <c r="Y98" s="1"/>
      <c r="Z98" s="1" t="s">
        <v>673</v>
      </c>
      <c r="AA98" s="1" t="s">
        <v>4616</v>
      </c>
      <c r="AB98" s="1" t="s">
        <v>4617</v>
      </c>
      <c r="AC98" s="1" t="s">
        <v>46</v>
      </c>
      <c r="AD98" s="1"/>
      <c r="AE98" s="1" t="s">
        <v>641</v>
      </c>
      <c r="AF98" s="1" t="s">
        <v>190</v>
      </c>
      <c r="AG98" s="1">
        <v>6</v>
      </c>
      <c r="AH98" s="1" t="s">
        <v>190</v>
      </c>
      <c r="AI98" s="1"/>
      <c r="AJ98" s="3">
        <v>43318.63144675926</v>
      </c>
      <c r="AK98" s="1" t="s">
        <v>4608</v>
      </c>
    </row>
    <row r="99" spans="1:37">
      <c r="A99" s="1" t="str">
        <f>VLOOKUP(H99,Languages!$A$2:$B$430,2,FALSE)</f>
        <v>Afro-Asiatic</v>
      </c>
      <c r="B99" s="1" t="s">
        <v>1812</v>
      </c>
      <c r="C99" s="1" t="s">
        <v>108</v>
      </c>
      <c r="D99" s="1" t="s">
        <v>3640</v>
      </c>
      <c r="E99" s="15" t="s">
        <v>3252</v>
      </c>
      <c r="F99" s="15" t="s">
        <v>51</v>
      </c>
      <c r="G99" s="1" t="s">
        <v>3252</v>
      </c>
      <c r="H99" s="1" t="str">
        <f>VLOOKUP(G99,'languoid 4.0'!$A$1:$I$24439,2,FALSE)</f>
        <v>afro1255</v>
      </c>
      <c r="I99" s="1" t="str">
        <f>VLOOKUP(G99,'languoid 4.0'!$A$1:$I$24439,6,FALSE)</f>
        <v>language</v>
      </c>
      <c r="J99" s="15" t="s">
        <v>52</v>
      </c>
      <c r="K99" s="15" t="s">
        <v>51</v>
      </c>
      <c r="L99" s="15" t="s">
        <v>51</v>
      </c>
      <c r="M99" s="1"/>
      <c r="N99" s="1" t="s">
        <v>3253</v>
      </c>
      <c r="O99" s="15" t="s">
        <v>40</v>
      </c>
      <c r="P99" s="15" t="s">
        <v>41</v>
      </c>
      <c r="Q99" s="1" t="s">
        <v>3641</v>
      </c>
      <c r="R99" s="2" t="s">
        <v>3642</v>
      </c>
      <c r="S99" s="1" t="s">
        <v>3643</v>
      </c>
      <c r="T99" s="1" t="s">
        <v>648</v>
      </c>
      <c r="U99" s="1" t="s">
        <v>1750</v>
      </c>
      <c r="V99" s="1" t="s">
        <v>45</v>
      </c>
      <c r="W99" s="1"/>
      <c r="X99" s="1"/>
      <c r="Y99" s="1"/>
      <c r="Z99" s="1" t="s">
        <v>637</v>
      </c>
      <c r="AA99" s="1" t="s">
        <v>3644</v>
      </c>
      <c r="AB99" s="1" t="s">
        <v>3645</v>
      </c>
      <c r="AC99" s="1" t="s">
        <v>46</v>
      </c>
      <c r="AD99" s="1" t="s">
        <v>3646</v>
      </c>
      <c r="AE99" s="1" t="s">
        <v>641</v>
      </c>
      <c r="AF99" s="1" t="s">
        <v>190</v>
      </c>
      <c r="AG99" s="1">
        <v>6</v>
      </c>
      <c r="AH99" s="1" t="s">
        <v>190</v>
      </c>
      <c r="AI99" s="1" t="s">
        <v>3647</v>
      </c>
      <c r="AJ99" s="3">
        <v>43286.432546296295</v>
      </c>
      <c r="AK99" s="1" t="s">
        <v>3060</v>
      </c>
    </row>
    <row r="100" spans="1:37">
      <c r="A100" s="1" t="str">
        <f>VLOOKUP(H100,Languages!$A$2:$B$430,2,FALSE)</f>
        <v>Afro-Asiatic</v>
      </c>
      <c r="B100" s="1" t="s">
        <v>1812</v>
      </c>
      <c r="C100" s="1" t="s">
        <v>108</v>
      </c>
      <c r="D100" s="1" t="s">
        <v>3709</v>
      </c>
      <c r="E100" s="15" t="s">
        <v>3710</v>
      </c>
      <c r="F100" s="15" t="s">
        <v>1523</v>
      </c>
      <c r="G100" s="1" t="s">
        <v>3710</v>
      </c>
      <c r="H100" s="1" t="str">
        <f>VLOOKUP(G100,'languoid 4.0'!$A$1:$I$24439,2,FALSE)</f>
        <v>afro1255</v>
      </c>
      <c r="I100" s="1" t="str">
        <f>VLOOKUP(G100,'languoid 4.0'!$A$1:$I$24439,6,FALSE)</f>
        <v>language</v>
      </c>
      <c r="J100" s="15" t="s">
        <v>52</v>
      </c>
      <c r="K100" s="15" t="s">
        <v>38</v>
      </c>
      <c r="L100" s="15" t="s">
        <v>38</v>
      </c>
      <c r="M100" s="1"/>
      <c r="N100" s="1" t="s">
        <v>3711</v>
      </c>
      <c r="O100" s="15" t="s">
        <v>40</v>
      </c>
      <c r="P100" s="15" t="s">
        <v>41</v>
      </c>
      <c r="Q100" s="1" t="s">
        <v>3712</v>
      </c>
      <c r="R100" s="2" t="s">
        <v>3713</v>
      </c>
      <c r="S100" s="1" t="s">
        <v>46</v>
      </c>
      <c r="T100" s="1" t="s">
        <v>822</v>
      </c>
      <c r="U100" s="1" t="s">
        <v>109</v>
      </c>
      <c r="V100" s="1" t="s">
        <v>45</v>
      </c>
      <c r="W100" s="1"/>
      <c r="X100" s="1"/>
      <c r="Y100" s="1"/>
      <c r="Z100" s="1" t="s">
        <v>673</v>
      </c>
      <c r="AA100" s="1" t="s">
        <v>46</v>
      </c>
      <c r="AB100" s="1" t="s">
        <v>3714</v>
      </c>
      <c r="AC100" s="1" t="s">
        <v>46</v>
      </c>
      <c r="AD100" s="1"/>
      <c r="AE100" s="1" t="s">
        <v>641</v>
      </c>
      <c r="AF100" s="1" t="s">
        <v>190</v>
      </c>
      <c r="AG100" s="1">
        <v>6</v>
      </c>
      <c r="AH100" s="1" t="s">
        <v>190</v>
      </c>
      <c r="AI100" s="1"/>
      <c r="AJ100" s="3">
        <v>43317.726898148147</v>
      </c>
      <c r="AK100" s="1" t="s">
        <v>3060</v>
      </c>
    </row>
    <row r="101" spans="1:37">
      <c r="A101" s="1" t="str">
        <f>VLOOKUP(H101,Languages!$A$2:$B$430,2,FALSE)</f>
        <v>Afro-Asiatic</v>
      </c>
      <c r="B101" s="1" t="s">
        <v>1812</v>
      </c>
      <c r="C101" s="1" t="s">
        <v>108</v>
      </c>
      <c r="D101" s="1" t="s">
        <v>46</v>
      </c>
      <c r="E101" s="15" t="s">
        <v>3710</v>
      </c>
      <c r="F101" s="15" t="s">
        <v>1523</v>
      </c>
      <c r="G101" s="1" t="s">
        <v>3710</v>
      </c>
      <c r="H101" s="1" t="str">
        <f>VLOOKUP(G101,'languoid 4.0'!$A$1:$I$24439,2,FALSE)</f>
        <v>afro1255</v>
      </c>
      <c r="I101" s="1" t="str">
        <f>VLOOKUP(G101,'languoid 4.0'!$A$1:$I$24439,6,FALSE)</f>
        <v>language</v>
      </c>
      <c r="J101" s="15" t="s">
        <v>52</v>
      </c>
      <c r="K101" s="15" t="s">
        <v>38</v>
      </c>
      <c r="L101" s="15" t="s">
        <v>38</v>
      </c>
      <c r="M101" s="1"/>
      <c r="N101" s="1" t="s">
        <v>3711</v>
      </c>
      <c r="O101" s="15" t="s">
        <v>40</v>
      </c>
      <c r="P101" s="15" t="s">
        <v>41</v>
      </c>
      <c r="Q101" s="1" t="s">
        <v>3798</v>
      </c>
      <c r="R101" s="2" t="s">
        <v>3799</v>
      </c>
      <c r="S101" s="1" t="s">
        <v>46</v>
      </c>
      <c r="T101" s="1" t="s">
        <v>822</v>
      </c>
      <c r="U101" s="1" t="s">
        <v>109</v>
      </c>
      <c r="V101" s="1" t="s">
        <v>45</v>
      </c>
      <c r="W101" s="1"/>
      <c r="X101" s="1"/>
      <c r="Y101" s="1"/>
      <c r="Z101" s="1" t="s">
        <v>673</v>
      </c>
      <c r="AA101" s="1" t="s">
        <v>3753</v>
      </c>
      <c r="AB101" s="1" t="s">
        <v>3800</v>
      </c>
      <c r="AC101" s="1" t="s">
        <v>46</v>
      </c>
      <c r="AD101" s="1"/>
      <c r="AE101" s="1" t="s">
        <v>641</v>
      </c>
      <c r="AF101" s="1" t="s">
        <v>190</v>
      </c>
      <c r="AG101" s="1">
        <v>6</v>
      </c>
      <c r="AH101" s="1" t="s">
        <v>190</v>
      </c>
      <c r="AI101" s="1"/>
      <c r="AJ101" s="1" t="s">
        <v>3801</v>
      </c>
      <c r="AK101" s="1" t="s">
        <v>3060</v>
      </c>
    </row>
    <row r="102" spans="1:37">
      <c r="A102" s="1" t="str">
        <f>VLOOKUP(H102,Languages!$A$2:$B$430,2,FALSE)</f>
        <v>Afro-Asiatic</v>
      </c>
      <c r="B102" s="1" t="s">
        <v>1812</v>
      </c>
      <c r="C102" s="1" t="s">
        <v>58</v>
      </c>
      <c r="D102" s="1" t="s">
        <v>4409</v>
      </c>
      <c r="E102" s="15" t="s">
        <v>4410</v>
      </c>
      <c r="F102" s="15" t="s">
        <v>4410</v>
      </c>
      <c r="G102" s="1" t="s">
        <v>1523</v>
      </c>
      <c r="H102" s="1" t="str">
        <f>VLOOKUP(G102,'languoid 4.0'!$A$1:$I$24439,2,FALSE)</f>
        <v>afro1255</v>
      </c>
      <c r="I102" s="1" t="str">
        <f>VLOOKUP(G102,'languoid 4.0'!$A$1:$I$24439,6,FALSE)</f>
        <v>family</v>
      </c>
      <c r="J102" s="15" t="s">
        <v>38</v>
      </c>
      <c r="K102" s="15" t="s">
        <v>38</v>
      </c>
      <c r="L102" s="15" t="s">
        <v>38</v>
      </c>
      <c r="M102" s="1"/>
      <c r="N102" s="1" t="s">
        <v>4411</v>
      </c>
      <c r="O102" s="15" t="s">
        <v>40</v>
      </c>
      <c r="P102" s="15" t="s">
        <v>41</v>
      </c>
      <c r="Q102" s="1" t="s">
        <v>4867</v>
      </c>
      <c r="R102" s="2" t="s">
        <v>4868</v>
      </c>
      <c r="S102" s="1" t="s">
        <v>672</v>
      </c>
      <c r="T102" s="1" t="s">
        <v>648</v>
      </c>
      <c r="U102" s="1" t="s">
        <v>636</v>
      </c>
      <c r="V102" s="1" t="s">
        <v>45</v>
      </c>
      <c r="W102" s="1"/>
      <c r="X102" s="1"/>
      <c r="Y102" s="1"/>
      <c r="Z102" s="1" t="s">
        <v>673</v>
      </c>
      <c r="AA102" s="1" t="s">
        <v>4869</v>
      </c>
      <c r="AB102" s="1" t="s">
        <v>4870</v>
      </c>
      <c r="AC102" s="1" t="s">
        <v>4871</v>
      </c>
      <c r="AD102" s="1"/>
      <c r="AE102" s="1" t="s">
        <v>641</v>
      </c>
      <c r="AF102" s="1" t="s">
        <v>190</v>
      </c>
      <c r="AG102" s="1">
        <v>6</v>
      </c>
      <c r="AH102" s="1" t="s">
        <v>190</v>
      </c>
      <c r="AI102" s="1" t="s">
        <v>4872</v>
      </c>
      <c r="AJ102" s="3">
        <v>43440.552615740744</v>
      </c>
      <c r="AK102" s="1" t="s">
        <v>4408</v>
      </c>
    </row>
    <row r="103" spans="1:37">
      <c r="A103" s="1" t="str">
        <f>VLOOKUP(H103,Languages!$A$2:$B$430,2,FALSE)</f>
        <v>Afro-Asiatic</v>
      </c>
      <c r="B103" s="1" t="s">
        <v>1812</v>
      </c>
      <c r="C103" s="1" t="s">
        <v>58</v>
      </c>
      <c r="D103" s="1" t="s">
        <v>4409</v>
      </c>
      <c r="E103" s="15" t="s">
        <v>4410</v>
      </c>
      <c r="F103" s="15" t="s">
        <v>4410</v>
      </c>
      <c r="G103" s="1" t="s">
        <v>1523</v>
      </c>
      <c r="H103" s="1" t="str">
        <f>VLOOKUP(G103,'languoid 4.0'!$A$1:$I$24439,2,FALSE)</f>
        <v>afro1255</v>
      </c>
      <c r="I103" s="1" t="str">
        <f>VLOOKUP(G103,'languoid 4.0'!$A$1:$I$24439,6,FALSE)</f>
        <v>family</v>
      </c>
      <c r="J103" s="15" t="s">
        <v>38</v>
      </c>
      <c r="K103" s="15" t="s">
        <v>38</v>
      </c>
      <c r="L103" s="15" t="s">
        <v>38</v>
      </c>
      <c r="M103" s="1"/>
      <c r="N103" s="1" t="s">
        <v>4411</v>
      </c>
      <c r="O103" s="15" t="s">
        <v>40</v>
      </c>
      <c r="P103" s="15" t="s">
        <v>41</v>
      </c>
      <c r="Q103" s="1" t="s">
        <v>4873</v>
      </c>
      <c r="R103" s="2" t="s">
        <v>4874</v>
      </c>
      <c r="S103" s="1" t="s">
        <v>647</v>
      </c>
      <c r="T103" s="1" t="s">
        <v>4875</v>
      </c>
      <c r="U103" s="1" t="s">
        <v>4876</v>
      </c>
      <c r="V103" s="1" t="s">
        <v>45</v>
      </c>
      <c r="W103" s="1"/>
      <c r="X103" s="1"/>
      <c r="Y103" s="1"/>
      <c r="Z103" s="1" t="s">
        <v>673</v>
      </c>
      <c r="AA103" s="1" t="s">
        <v>4877</v>
      </c>
      <c r="AB103" s="1" t="s">
        <v>4878</v>
      </c>
      <c r="AC103" s="1" t="s">
        <v>46</v>
      </c>
      <c r="AD103" s="1"/>
      <c r="AE103" s="1" t="s">
        <v>641</v>
      </c>
      <c r="AF103" s="1" t="s">
        <v>190</v>
      </c>
      <c r="AG103" s="1">
        <v>6</v>
      </c>
      <c r="AH103" s="1" t="s">
        <v>190</v>
      </c>
      <c r="AI103" s="1"/>
      <c r="AJ103" s="3">
        <v>43440.557951388888</v>
      </c>
      <c r="AK103" s="1" t="s">
        <v>4408</v>
      </c>
    </row>
    <row r="104" spans="1:37">
      <c r="A104" s="1" t="str">
        <f>VLOOKUP(H104,Languages!$A$2:$B$430,2,FALSE)</f>
        <v>Afro-Asiatic</v>
      </c>
      <c r="B104" s="1" t="s">
        <v>1707</v>
      </c>
      <c r="C104" s="1" t="s">
        <v>48</v>
      </c>
      <c r="D104" s="1" t="s">
        <v>6750</v>
      </c>
      <c r="E104" s="15" t="s">
        <v>6542</v>
      </c>
      <c r="F104" s="15" t="s">
        <v>6751</v>
      </c>
      <c r="G104" s="1" t="s">
        <v>6751</v>
      </c>
      <c r="H104" s="1" t="str">
        <f>VLOOKUP(G104,'languoid 4.0'!$A$1:$I$24439,2,FALSE)</f>
        <v>afro1255</v>
      </c>
      <c r="I104" s="1" t="str">
        <f>VLOOKUP(G104,'languoid 4.0'!$A$1:$I$24439,6,FALSE)</f>
        <v>language</v>
      </c>
      <c r="J104" s="15" t="s">
        <v>52</v>
      </c>
      <c r="K104" s="15" t="s">
        <v>52</v>
      </c>
      <c r="L104" s="15" t="s">
        <v>38</v>
      </c>
      <c r="M104" s="1"/>
      <c r="N104" s="1" t="s">
        <v>6543</v>
      </c>
      <c r="O104" s="15" t="s">
        <v>40</v>
      </c>
      <c r="P104" s="15" t="s">
        <v>632</v>
      </c>
      <c r="Q104" s="1" t="s">
        <v>6752</v>
      </c>
      <c r="R104" s="2" t="s">
        <v>6753</v>
      </c>
      <c r="S104" s="1" t="s">
        <v>46</v>
      </c>
      <c r="T104" s="1" t="s">
        <v>1689</v>
      </c>
      <c r="U104" s="1" t="s">
        <v>636</v>
      </c>
      <c r="V104" s="1" t="s">
        <v>45</v>
      </c>
      <c r="W104" s="1"/>
      <c r="X104" s="1"/>
      <c r="Y104" s="1"/>
      <c r="Z104" s="1" t="s">
        <v>658</v>
      </c>
      <c r="AA104" s="1" t="s">
        <v>6754</v>
      </c>
      <c r="AB104" s="1" t="s">
        <v>46</v>
      </c>
      <c r="AC104" s="1" t="s">
        <v>46</v>
      </c>
      <c r="AD104" s="1"/>
      <c r="AE104" s="1" t="s">
        <v>641</v>
      </c>
      <c r="AF104" s="1" t="s">
        <v>45</v>
      </c>
      <c r="AG104" s="1">
        <v>1</v>
      </c>
      <c r="AH104" s="1" t="s">
        <v>190</v>
      </c>
      <c r="AI104" s="1"/>
      <c r="AJ104" s="1" t="s">
        <v>6755</v>
      </c>
      <c r="AK104" s="1" t="s">
        <v>5542</v>
      </c>
    </row>
    <row r="105" spans="1:37">
      <c r="A105" s="1" t="str">
        <f>VLOOKUP(H105,Languages!$A$2:$B$430,2,FALSE)</f>
        <v>Afro-Asiatic</v>
      </c>
      <c r="B105" s="1" t="s">
        <v>1707</v>
      </c>
      <c r="C105" s="1" t="s">
        <v>214</v>
      </c>
      <c r="D105" s="1" t="s">
        <v>995</v>
      </c>
      <c r="E105" s="15" t="s">
        <v>996</v>
      </c>
      <c r="F105" s="15" t="s">
        <v>996</v>
      </c>
      <c r="G105" s="1" t="s">
        <v>996</v>
      </c>
      <c r="H105" s="1" t="str">
        <f>VLOOKUP(G105,'languoid 4.0'!$A$1:$I$24439,2,FALSE)</f>
        <v>afro1255</v>
      </c>
      <c r="I105" s="1" t="str">
        <f>VLOOKUP(G105,'languoid 4.0'!$A$1:$I$24439,6,FALSE)</f>
        <v>language</v>
      </c>
      <c r="J105" s="15" t="s">
        <v>38</v>
      </c>
      <c r="K105" s="15" t="s">
        <v>38</v>
      </c>
      <c r="L105" s="15" t="s">
        <v>38</v>
      </c>
      <c r="M105" s="1"/>
      <c r="N105" s="1" t="s">
        <v>997</v>
      </c>
      <c r="O105" s="15" t="s">
        <v>113</v>
      </c>
      <c r="P105" s="15" t="s">
        <v>41</v>
      </c>
      <c r="Q105" s="1" t="s">
        <v>1756</v>
      </c>
      <c r="R105" s="2" t="s">
        <v>1757</v>
      </c>
      <c r="S105" s="1" t="s">
        <v>1021</v>
      </c>
      <c r="T105" s="1" t="s">
        <v>693</v>
      </c>
      <c r="U105" s="1" t="s">
        <v>1758</v>
      </c>
      <c r="V105" s="1" t="s">
        <v>45</v>
      </c>
      <c r="W105" s="1"/>
      <c r="X105" s="1"/>
      <c r="Y105" s="1"/>
      <c r="Z105" s="1" t="s">
        <v>637</v>
      </c>
      <c r="AA105" s="1" t="s">
        <v>1759</v>
      </c>
      <c r="AB105" s="1" t="s">
        <v>1760</v>
      </c>
      <c r="AC105" s="1" t="s">
        <v>1021</v>
      </c>
      <c r="AD105" s="1" t="s">
        <v>1761</v>
      </c>
      <c r="AE105" s="1" t="s">
        <v>641</v>
      </c>
      <c r="AF105" s="1" t="s">
        <v>190</v>
      </c>
      <c r="AG105" s="1">
        <v>5</v>
      </c>
      <c r="AH105" s="1" t="s">
        <v>190</v>
      </c>
      <c r="AI105" s="1"/>
      <c r="AJ105" s="3">
        <v>43437.458344907405</v>
      </c>
      <c r="AK105" s="1" t="s">
        <v>740</v>
      </c>
    </row>
    <row r="106" spans="1:37">
      <c r="A106" s="1" t="str">
        <f>VLOOKUP(H106,Languages!$A$2:$B$430,2,FALSE)</f>
        <v>Afro-Asiatic</v>
      </c>
      <c r="B106" s="1" t="s">
        <v>1707</v>
      </c>
      <c r="C106" s="1" t="s">
        <v>159</v>
      </c>
      <c r="D106" s="1" t="s">
        <v>4668</v>
      </c>
      <c r="E106" s="15" t="s">
        <v>1523</v>
      </c>
      <c r="F106" s="15" t="s">
        <v>1523</v>
      </c>
      <c r="G106" s="1" t="s">
        <v>4669</v>
      </c>
      <c r="H106" s="1" t="str">
        <f>VLOOKUP(G106,'languoid 4.0'!$A$1:$I$24439,2,FALSE)</f>
        <v>afro1255</v>
      </c>
      <c r="I106" s="1" t="str">
        <f>VLOOKUP(G106,'languoid 4.0'!$A$1:$I$24439,6,FALSE)</f>
        <v>dialect</v>
      </c>
      <c r="J106" s="15" t="s">
        <v>38</v>
      </c>
      <c r="K106" s="15" t="s">
        <v>38</v>
      </c>
      <c r="L106" s="15" t="s">
        <v>38</v>
      </c>
      <c r="M106" s="1"/>
      <c r="N106" s="1"/>
      <c r="O106" s="15" t="s">
        <v>40</v>
      </c>
      <c r="P106" s="15" t="s">
        <v>632</v>
      </c>
      <c r="Q106" s="1" t="s">
        <v>4670</v>
      </c>
      <c r="R106" s="2" t="s">
        <v>4671</v>
      </c>
      <c r="S106" s="1" t="s">
        <v>46</v>
      </c>
      <c r="T106" s="1" t="s">
        <v>635</v>
      </c>
      <c r="U106" s="1" t="s">
        <v>636</v>
      </c>
      <c r="V106" s="1" t="s">
        <v>45</v>
      </c>
      <c r="W106" s="1"/>
      <c r="X106" s="1"/>
      <c r="Y106" s="1"/>
      <c r="Z106" s="1" t="s">
        <v>637</v>
      </c>
      <c r="AA106" s="1" t="s">
        <v>4672</v>
      </c>
      <c r="AB106" s="1" t="s">
        <v>4673</v>
      </c>
      <c r="AC106" s="1" t="s">
        <v>46</v>
      </c>
      <c r="AD106" s="1"/>
      <c r="AE106" s="1" t="s">
        <v>641</v>
      </c>
      <c r="AF106" s="1" t="s">
        <v>190</v>
      </c>
      <c r="AG106" s="1">
        <v>6</v>
      </c>
      <c r="AH106" s="1" t="s">
        <v>190</v>
      </c>
      <c r="AI106" s="1"/>
      <c r="AJ106" s="3">
        <v>43318.673668981479</v>
      </c>
      <c r="AK106" s="1" t="s">
        <v>4608</v>
      </c>
    </row>
    <row r="107" spans="1:37">
      <c r="A107" s="1" t="str">
        <f>VLOOKUP(H107,Languages!$A$2:$B$430,2,FALSE)</f>
        <v>Afro-Asiatic</v>
      </c>
      <c r="B107" s="1" t="s">
        <v>1707</v>
      </c>
      <c r="C107" s="1" t="s">
        <v>159</v>
      </c>
      <c r="D107" s="1" t="s">
        <v>4679</v>
      </c>
      <c r="E107" s="15" t="s">
        <v>1523</v>
      </c>
      <c r="F107" s="15" t="s">
        <v>1523</v>
      </c>
      <c r="G107" s="1" t="s">
        <v>4675</v>
      </c>
      <c r="H107" s="1" t="str">
        <f>VLOOKUP(G107,'languoid 4.0'!$A$1:$I$24439,2,FALSE)</f>
        <v>afro1255</v>
      </c>
      <c r="I107" s="1" t="str">
        <f>VLOOKUP(G107,'languoid 4.0'!$A$1:$I$24439,6,FALSE)</f>
        <v>family</v>
      </c>
      <c r="J107" s="15" t="s">
        <v>38</v>
      </c>
      <c r="K107" s="15" t="s">
        <v>38</v>
      </c>
      <c r="L107" s="15" t="s">
        <v>38</v>
      </c>
      <c r="M107" s="1"/>
      <c r="N107" s="1"/>
      <c r="O107" s="15" t="s">
        <v>40</v>
      </c>
      <c r="P107" s="15" t="s">
        <v>41</v>
      </c>
      <c r="Q107" s="1" t="s">
        <v>4686</v>
      </c>
      <c r="R107" s="2" t="s">
        <v>4687</v>
      </c>
      <c r="S107" s="1" t="s">
        <v>46</v>
      </c>
      <c r="T107" s="1" t="s">
        <v>635</v>
      </c>
      <c r="U107" s="1" t="s">
        <v>636</v>
      </c>
      <c r="V107" s="1" t="s">
        <v>45</v>
      </c>
      <c r="W107" s="1"/>
      <c r="X107" s="1"/>
      <c r="Y107" s="1"/>
      <c r="Z107" s="1" t="s">
        <v>658</v>
      </c>
      <c r="AA107" s="1" t="s">
        <v>4688</v>
      </c>
      <c r="AB107" s="1" t="s">
        <v>46</v>
      </c>
      <c r="AC107" s="1" t="s">
        <v>46</v>
      </c>
      <c r="AD107" s="1"/>
      <c r="AE107" s="1" t="s">
        <v>641</v>
      </c>
      <c r="AF107" s="1" t="s">
        <v>190</v>
      </c>
      <c r="AG107" s="1">
        <v>6</v>
      </c>
      <c r="AH107" s="1" t="s">
        <v>190</v>
      </c>
      <c r="AI107" s="1"/>
      <c r="AJ107" s="3">
        <v>43318.688784722224</v>
      </c>
      <c r="AK107" s="1" t="s">
        <v>4608</v>
      </c>
    </row>
    <row r="108" spans="1:37">
      <c r="A108" s="1" t="str">
        <f>VLOOKUP(H108,Languages!$A$2:$B$430,2,FALSE)</f>
        <v>Afro-Asiatic</v>
      </c>
      <c r="B108" s="1" t="s">
        <v>1707</v>
      </c>
      <c r="C108" s="1" t="s">
        <v>159</v>
      </c>
      <c r="D108" s="1" t="s">
        <v>4689</v>
      </c>
      <c r="E108" s="15" t="s">
        <v>1523</v>
      </c>
      <c r="F108" s="15" t="s">
        <v>1523</v>
      </c>
      <c r="G108" s="1" t="s">
        <v>4675</v>
      </c>
      <c r="H108" s="1" t="str">
        <f>VLOOKUP(G108,'languoid 4.0'!$A$1:$I$24439,2,FALSE)</f>
        <v>afro1255</v>
      </c>
      <c r="I108" s="1" t="str">
        <f>VLOOKUP(G108,'languoid 4.0'!$A$1:$I$24439,6,FALSE)</f>
        <v>family</v>
      </c>
      <c r="J108" s="15" t="s">
        <v>38</v>
      </c>
      <c r="K108" s="15" t="s">
        <v>38</v>
      </c>
      <c r="L108" s="15" t="s">
        <v>38</v>
      </c>
      <c r="M108" s="1"/>
      <c r="N108" s="1"/>
      <c r="O108" s="15" t="s">
        <v>40</v>
      </c>
      <c r="P108" s="15" t="s">
        <v>632</v>
      </c>
      <c r="Q108" s="1" t="s">
        <v>4690</v>
      </c>
      <c r="R108" s="2" t="s">
        <v>4691</v>
      </c>
      <c r="S108" s="1" t="s">
        <v>46</v>
      </c>
      <c r="T108" s="1" t="s">
        <v>635</v>
      </c>
      <c r="U108" s="1" t="s">
        <v>636</v>
      </c>
      <c r="V108" s="1" t="s">
        <v>45</v>
      </c>
      <c r="W108" s="1"/>
      <c r="X108" s="1"/>
      <c r="Y108" s="1"/>
      <c r="Z108" s="1" t="s">
        <v>637</v>
      </c>
      <c r="AA108" s="1" t="s">
        <v>4692</v>
      </c>
      <c r="AB108" s="1" t="s">
        <v>4693</v>
      </c>
      <c r="AC108" s="1" t="s">
        <v>46</v>
      </c>
      <c r="AD108" s="1"/>
      <c r="AE108" s="1" t="s">
        <v>641</v>
      </c>
      <c r="AF108" s="1" t="s">
        <v>190</v>
      </c>
      <c r="AG108" s="1">
        <v>6</v>
      </c>
      <c r="AH108" s="1" t="s">
        <v>190</v>
      </c>
      <c r="AI108" s="1"/>
      <c r="AJ108" s="3">
        <v>43318.700011574074</v>
      </c>
      <c r="AK108" s="1" t="s">
        <v>4608</v>
      </c>
    </row>
    <row r="109" spans="1:37">
      <c r="A109" s="1" t="str">
        <f>VLOOKUP(H109,Languages!$A$2:$B$430,2,FALSE)</f>
        <v>Afro-Asiatic</v>
      </c>
      <c r="B109" s="1" t="s">
        <v>1707</v>
      </c>
      <c r="C109" s="1" t="s">
        <v>159</v>
      </c>
      <c r="D109" s="1" t="s">
        <v>4689</v>
      </c>
      <c r="E109" s="15" t="s">
        <v>1523</v>
      </c>
      <c r="F109" s="15" t="s">
        <v>1523</v>
      </c>
      <c r="G109" s="1" t="s">
        <v>4675</v>
      </c>
      <c r="H109" s="1" t="str">
        <f>VLOOKUP(G109,'languoid 4.0'!$A$1:$I$24439,2,FALSE)</f>
        <v>afro1255</v>
      </c>
      <c r="I109" s="1" t="str">
        <f>VLOOKUP(G109,'languoid 4.0'!$A$1:$I$24439,6,FALSE)</f>
        <v>family</v>
      </c>
      <c r="J109" s="15" t="s">
        <v>38</v>
      </c>
      <c r="K109" s="15" t="s">
        <v>38</v>
      </c>
      <c r="L109" s="15" t="s">
        <v>38</v>
      </c>
      <c r="M109" s="1"/>
      <c r="N109" s="1"/>
      <c r="O109" s="15" t="s">
        <v>40</v>
      </c>
      <c r="P109" s="15" t="s">
        <v>632</v>
      </c>
      <c r="Q109" s="1" t="s">
        <v>4694</v>
      </c>
      <c r="R109" s="2" t="s">
        <v>4695</v>
      </c>
      <c r="S109" s="1" t="s">
        <v>46</v>
      </c>
      <c r="T109" s="1" t="s">
        <v>635</v>
      </c>
      <c r="U109" s="1" t="s">
        <v>636</v>
      </c>
      <c r="V109" s="1" t="s">
        <v>45</v>
      </c>
      <c r="W109" s="1"/>
      <c r="X109" s="1"/>
      <c r="Y109" s="1"/>
      <c r="Z109" s="1" t="s">
        <v>637</v>
      </c>
      <c r="AA109" s="1" t="s">
        <v>4696</v>
      </c>
      <c r="AB109" s="1" t="s">
        <v>4697</v>
      </c>
      <c r="AC109" s="1" t="s">
        <v>46</v>
      </c>
      <c r="AD109" s="1"/>
      <c r="AE109" s="1" t="s">
        <v>641</v>
      </c>
      <c r="AF109" s="1" t="s">
        <v>190</v>
      </c>
      <c r="AG109" s="1">
        <v>6</v>
      </c>
      <c r="AH109" s="1" t="s">
        <v>190</v>
      </c>
      <c r="AI109" s="1"/>
      <c r="AJ109" s="3">
        <v>43318.703877314816</v>
      </c>
      <c r="AK109" s="1" t="s">
        <v>4608</v>
      </c>
    </row>
    <row r="110" spans="1:37">
      <c r="A110" s="1" t="str">
        <f>VLOOKUP(H110,Languages!$A$2:$B$430,2,FALSE)</f>
        <v>Afro-Asiatic</v>
      </c>
      <c r="B110" s="1" t="s">
        <v>1707</v>
      </c>
      <c r="C110" s="1" t="s">
        <v>159</v>
      </c>
      <c r="D110" s="1" t="s">
        <v>4689</v>
      </c>
      <c r="E110" s="15" t="s">
        <v>1523</v>
      </c>
      <c r="F110" s="15" t="s">
        <v>1523</v>
      </c>
      <c r="G110" s="1" t="s">
        <v>4675</v>
      </c>
      <c r="H110" s="1" t="str">
        <f>VLOOKUP(G110,'languoid 4.0'!$A$1:$I$24439,2,FALSE)</f>
        <v>afro1255</v>
      </c>
      <c r="I110" s="1" t="str">
        <f>VLOOKUP(G110,'languoid 4.0'!$A$1:$I$24439,6,FALSE)</f>
        <v>family</v>
      </c>
      <c r="J110" s="15" t="s">
        <v>38</v>
      </c>
      <c r="K110" s="15" t="s">
        <v>38</v>
      </c>
      <c r="L110" s="15" t="s">
        <v>38</v>
      </c>
      <c r="M110" s="1"/>
      <c r="N110" s="1"/>
      <c r="O110" s="15" t="s">
        <v>40</v>
      </c>
      <c r="P110" s="15" t="s">
        <v>632</v>
      </c>
      <c r="Q110" s="1" t="s">
        <v>4698</v>
      </c>
      <c r="R110" s="2" t="s">
        <v>4699</v>
      </c>
      <c r="S110" s="1" t="s">
        <v>46</v>
      </c>
      <c r="T110" s="1" t="s">
        <v>635</v>
      </c>
      <c r="U110" s="1" t="s">
        <v>636</v>
      </c>
      <c r="V110" s="1" t="s">
        <v>45</v>
      </c>
      <c r="W110" s="1"/>
      <c r="X110" s="1"/>
      <c r="Y110" s="1"/>
      <c r="Z110" s="1" t="s">
        <v>637</v>
      </c>
      <c r="AA110" s="1" t="s">
        <v>4700</v>
      </c>
      <c r="AB110" s="1" t="s">
        <v>4701</v>
      </c>
      <c r="AC110" s="1" t="s">
        <v>46</v>
      </c>
      <c r="AD110" s="1"/>
      <c r="AE110" s="1" t="s">
        <v>641</v>
      </c>
      <c r="AF110" s="1" t="s">
        <v>190</v>
      </c>
      <c r="AG110" s="1">
        <v>5</v>
      </c>
      <c r="AH110" s="1" t="s">
        <v>190</v>
      </c>
      <c r="AI110" s="1"/>
      <c r="AJ110" s="3">
        <v>43318.705879629626</v>
      </c>
      <c r="AK110" s="1" t="s">
        <v>4608</v>
      </c>
    </row>
    <row r="111" spans="1:37">
      <c r="A111" s="1" t="str">
        <f>VLOOKUP(H111,Languages!$A$2:$B$430,2,FALSE)</f>
        <v>Afro-Asiatic</v>
      </c>
      <c r="B111" s="1" t="s">
        <v>1707</v>
      </c>
      <c r="C111" s="1" t="s">
        <v>108</v>
      </c>
      <c r="D111" s="1" t="s">
        <v>3762</v>
      </c>
      <c r="E111" s="15" t="s">
        <v>3763</v>
      </c>
      <c r="F111" s="15" t="s">
        <v>51</v>
      </c>
      <c r="G111" s="1" t="s">
        <v>3763</v>
      </c>
      <c r="H111" s="1" t="str">
        <f>VLOOKUP(G111,'languoid 4.0'!$A$1:$I$24439,2,FALSE)</f>
        <v>afro1255</v>
      </c>
      <c r="I111" s="1" t="str">
        <f>VLOOKUP(G111,'languoid 4.0'!$A$1:$I$24439,6,FALSE)</f>
        <v>family</v>
      </c>
      <c r="J111" s="15" t="s">
        <v>52</v>
      </c>
      <c r="K111" s="15" t="s">
        <v>51</v>
      </c>
      <c r="L111" s="15" t="s">
        <v>51</v>
      </c>
      <c r="M111" s="1"/>
      <c r="N111" s="1"/>
      <c r="O111" s="15" t="s">
        <v>113</v>
      </c>
      <c r="P111" s="15" t="s">
        <v>41</v>
      </c>
      <c r="Q111" s="1" t="s">
        <v>3764</v>
      </c>
      <c r="R111" s="2" t="s">
        <v>3765</v>
      </c>
      <c r="S111" s="1" t="s">
        <v>46</v>
      </c>
      <c r="T111" s="1" t="s">
        <v>1689</v>
      </c>
      <c r="U111" s="1" t="s">
        <v>636</v>
      </c>
      <c r="V111" s="1" t="s">
        <v>45</v>
      </c>
      <c r="W111" s="1"/>
      <c r="X111" s="1"/>
      <c r="Y111" s="1"/>
      <c r="Z111" s="1" t="s">
        <v>673</v>
      </c>
      <c r="AA111" s="1" t="s">
        <v>46</v>
      </c>
      <c r="AB111" s="1" t="s">
        <v>3766</v>
      </c>
      <c r="AC111" s="1" t="s">
        <v>46</v>
      </c>
      <c r="AD111" s="1"/>
      <c r="AE111" s="1" t="s">
        <v>641</v>
      </c>
      <c r="AF111" s="1" t="s">
        <v>190</v>
      </c>
      <c r="AG111" s="1">
        <v>5</v>
      </c>
      <c r="AH111" s="1" t="s">
        <v>190</v>
      </c>
      <c r="AI111" s="1"/>
      <c r="AJ111" s="3">
        <v>43348.699513888889</v>
      </c>
      <c r="AK111" s="1" t="s">
        <v>3060</v>
      </c>
    </row>
    <row r="112" spans="1:37">
      <c r="A112" s="1" t="str">
        <f>VLOOKUP(H112,Languages!$A$2:$B$430,2,FALSE)</f>
        <v>Afro-Asiatic</v>
      </c>
      <c r="B112" s="1" t="s">
        <v>1707</v>
      </c>
      <c r="C112" s="1" t="s">
        <v>108</v>
      </c>
      <c r="D112" s="1" t="s">
        <v>3767</v>
      </c>
      <c r="E112" s="15" t="s">
        <v>3763</v>
      </c>
      <c r="F112" s="15" t="s">
        <v>3656</v>
      </c>
      <c r="G112" s="1" t="s">
        <v>3763</v>
      </c>
      <c r="H112" s="1" t="str">
        <f>VLOOKUP(G112,'languoid 4.0'!$A$1:$I$24439,2,FALSE)</f>
        <v>afro1255</v>
      </c>
      <c r="I112" s="1" t="str">
        <f>VLOOKUP(G112,'languoid 4.0'!$A$1:$I$24439,6,FALSE)</f>
        <v>family</v>
      </c>
      <c r="J112" s="15" t="s">
        <v>52</v>
      </c>
      <c r="K112" s="15" t="s">
        <v>52</v>
      </c>
      <c r="L112" s="15" t="s">
        <v>52</v>
      </c>
      <c r="M112" s="1"/>
      <c r="N112" s="1"/>
      <c r="O112" s="15" t="s">
        <v>113</v>
      </c>
      <c r="P112" s="15" t="s">
        <v>41</v>
      </c>
      <c r="Q112" s="1" t="s">
        <v>3768</v>
      </c>
      <c r="R112" s="2" t="s">
        <v>3769</v>
      </c>
      <c r="S112" s="1">
        <v>3</v>
      </c>
      <c r="T112" s="1" t="s">
        <v>1689</v>
      </c>
      <c r="U112" s="1" t="s">
        <v>636</v>
      </c>
      <c r="V112" s="1" t="s">
        <v>45</v>
      </c>
      <c r="W112" s="1"/>
      <c r="X112" s="1"/>
      <c r="Y112" s="1"/>
      <c r="Z112" s="1" t="s">
        <v>637</v>
      </c>
      <c r="AA112" s="1" t="s">
        <v>3770</v>
      </c>
      <c r="AB112" s="1" t="s">
        <v>3771</v>
      </c>
      <c r="AC112" s="1" t="s">
        <v>46</v>
      </c>
      <c r="AD112" s="1" t="s">
        <v>3772</v>
      </c>
      <c r="AE112" s="1"/>
      <c r="AF112" s="1"/>
      <c r="AG112" s="1"/>
      <c r="AH112" s="1" t="s">
        <v>45</v>
      </c>
      <c r="AI112" s="1" t="s">
        <v>3773</v>
      </c>
      <c r="AJ112" s="3">
        <v>43348.707962962966</v>
      </c>
      <c r="AK112" s="1" t="s">
        <v>3060</v>
      </c>
    </row>
    <row r="113" spans="1:37">
      <c r="A113" s="1" t="str">
        <f>VLOOKUP(H113,Languages!$A$2:$B$430,2,FALSE)</f>
        <v>Afro-Asiatic</v>
      </c>
      <c r="B113" s="1" t="s">
        <v>1707</v>
      </c>
      <c r="C113" s="1" t="s">
        <v>108</v>
      </c>
      <c r="D113" s="1" t="s">
        <v>3767</v>
      </c>
      <c r="E113" s="15" t="s">
        <v>3763</v>
      </c>
      <c r="F113" s="15" t="s">
        <v>3656</v>
      </c>
      <c r="G113" s="1" t="s">
        <v>3763</v>
      </c>
      <c r="H113" s="1" t="str">
        <f>VLOOKUP(G113,'languoid 4.0'!$A$1:$I$24439,2,FALSE)</f>
        <v>afro1255</v>
      </c>
      <c r="I113" s="1" t="str">
        <f>VLOOKUP(G113,'languoid 4.0'!$A$1:$I$24439,6,FALSE)</f>
        <v>family</v>
      </c>
      <c r="J113" s="15" t="s">
        <v>52</v>
      </c>
      <c r="K113" s="15" t="s">
        <v>52</v>
      </c>
      <c r="L113" s="15" t="s">
        <v>52</v>
      </c>
      <c r="M113" s="1"/>
      <c r="N113" s="1"/>
      <c r="O113" s="15" t="s">
        <v>113</v>
      </c>
      <c r="P113" s="15" t="s">
        <v>41</v>
      </c>
      <c r="Q113" s="1" t="s">
        <v>3779</v>
      </c>
      <c r="R113" s="2" t="s">
        <v>3769</v>
      </c>
      <c r="S113" s="1">
        <v>4</v>
      </c>
      <c r="T113" s="1" t="s">
        <v>1689</v>
      </c>
      <c r="U113" s="1" t="s">
        <v>636</v>
      </c>
      <c r="V113" s="1" t="s">
        <v>45</v>
      </c>
      <c r="W113" s="1"/>
      <c r="X113" s="1"/>
      <c r="Y113" s="1"/>
      <c r="Z113" s="1" t="s">
        <v>637</v>
      </c>
      <c r="AA113" s="1" t="s">
        <v>3780</v>
      </c>
      <c r="AB113" s="1" t="s">
        <v>3781</v>
      </c>
      <c r="AC113" s="1" t="s">
        <v>46</v>
      </c>
      <c r="AD113" s="1" t="s">
        <v>3772</v>
      </c>
      <c r="AE113" s="1"/>
      <c r="AF113" s="1"/>
      <c r="AG113" s="1"/>
      <c r="AH113" s="1" t="s">
        <v>45</v>
      </c>
      <c r="AI113" s="1" t="s">
        <v>3782</v>
      </c>
      <c r="AJ113" s="3">
        <v>43348.727060185185</v>
      </c>
      <c r="AK113" s="1" t="s">
        <v>3060</v>
      </c>
    </row>
    <row r="114" spans="1:37">
      <c r="A114" s="1" t="str">
        <f>VLOOKUP(H114,Languages!$A$2:$B$430,2,FALSE)</f>
        <v>Afro-Asiatic</v>
      </c>
      <c r="B114" s="1" t="s">
        <v>1707</v>
      </c>
      <c r="C114" s="1" t="s">
        <v>108</v>
      </c>
      <c r="D114" s="1" t="s">
        <v>110</v>
      </c>
      <c r="E114" s="15" t="s">
        <v>111</v>
      </c>
      <c r="F114" s="15" t="s">
        <v>111</v>
      </c>
      <c r="G114" s="1" t="s">
        <v>111</v>
      </c>
      <c r="H114" s="1" t="str">
        <f>VLOOKUP(G114,'languoid 4.0'!$A$1:$I$24439,2,FALSE)</f>
        <v>afro1255</v>
      </c>
      <c r="I114" s="1" t="str">
        <f>VLOOKUP(G114,'languoid 4.0'!$A$1:$I$24439,6,FALSE)</f>
        <v>family</v>
      </c>
      <c r="J114" s="15" t="s">
        <v>38</v>
      </c>
      <c r="K114" s="15" t="s">
        <v>38</v>
      </c>
      <c r="L114" s="15" t="s">
        <v>38</v>
      </c>
      <c r="M114" s="1"/>
      <c r="N114" s="1" t="s">
        <v>112</v>
      </c>
      <c r="O114" s="15" t="s">
        <v>113</v>
      </c>
      <c r="P114" s="15" t="s">
        <v>41</v>
      </c>
      <c r="Q114" s="1" t="s">
        <v>6600</v>
      </c>
      <c r="R114" s="2" t="s">
        <v>6601</v>
      </c>
      <c r="S114" s="1" t="s">
        <v>46</v>
      </c>
      <c r="T114" s="1" t="s">
        <v>635</v>
      </c>
      <c r="U114" s="1" t="s">
        <v>636</v>
      </c>
      <c r="V114" s="1" t="s">
        <v>45</v>
      </c>
      <c r="W114" s="1"/>
      <c r="X114" s="1"/>
      <c r="Y114" s="1"/>
      <c r="Z114" s="1" t="s">
        <v>658</v>
      </c>
      <c r="AA114" s="1" t="s">
        <v>3204</v>
      </c>
      <c r="AB114" s="1" t="s">
        <v>6602</v>
      </c>
      <c r="AC114" s="1" t="s">
        <v>46</v>
      </c>
      <c r="AD114" s="1"/>
      <c r="AE114" s="1" t="s">
        <v>641</v>
      </c>
      <c r="AF114" s="1" t="s">
        <v>190</v>
      </c>
      <c r="AG114" s="1">
        <v>6</v>
      </c>
      <c r="AH114" s="1" t="s">
        <v>190</v>
      </c>
      <c r="AI114" s="1"/>
      <c r="AJ114" s="1" t="s">
        <v>6603</v>
      </c>
      <c r="AK114" s="1" t="s">
        <v>5723</v>
      </c>
    </row>
    <row r="115" spans="1:37">
      <c r="A115" s="1" t="str">
        <f>VLOOKUP(H115,Languages!$A$2:$B$430,2,FALSE)</f>
        <v>Ainu</v>
      </c>
      <c r="B115" s="1" t="s">
        <v>67</v>
      </c>
      <c r="C115" s="1" t="s">
        <v>82</v>
      </c>
      <c r="D115" s="1" t="s">
        <v>83</v>
      </c>
      <c r="E115" s="15" t="s">
        <v>84</v>
      </c>
      <c r="F115" s="15" t="s">
        <v>85</v>
      </c>
      <c r="G115" s="1" t="s">
        <v>84</v>
      </c>
      <c r="H115" s="1" t="str">
        <f>VLOOKUP(G115,'languoid 4.0'!$A$1:$I$24439,2,FALSE)</f>
        <v>ainu1252</v>
      </c>
      <c r="I115" s="1" t="str">
        <f>VLOOKUP(G115,'languoid 4.0'!$A$1:$I$24439,6,FALSE)</f>
        <v>language</v>
      </c>
      <c r="J115" s="15" t="s">
        <v>52</v>
      </c>
      <c r="K115" s="15" t="s">
        <v>38</v>
      </c>
      <c r="L115" s="15" t="s">
        <v>38</v>
      </c>
      <c r="M115" s="1"/>
      <c r="N115" s="1" t="s">
        <v>86</v>
      </c>
      <c r="O115" s="15" t="s">
        <v>40</v>
      </c>
      <c r="P115" s="15" t="s">
        <v>41</v>
      </c>
      <c r="Q115" s="1" t="s">
        <v>87</v>
      </c>
      <c r="R115" s="2" t="s">
        <v>88</v>
      </c>
      <c r="S115" s="1" t="s">
        <v>43</v>
      </c>
      <c r="T115" s="1" t="s">
        <v>44</v>
      </c>
      <c r="U115" s="1"/>
      <c r="V115" s="1" t="s">
        <v>45</v>
      </c>
      <c r="W115" s="1"/>
      <c r="X115" s="1"/>
      <c r="Y115" s="1"/>
      <c r="Z115" s="1"/>
      <c r="AA115" s="1">
        <v>3</v>
      </c>
      <c r="AB115" s="1">
        <v>3</v>
      </c>
      <c r="AC115" s="1" t="s">
        <v>46</v>
      </c>
      <c r="AD115" s="1"/>
      <c r="AE115" s="1"/>
      <c r="AF115" s="1"/>
      <c r="AG115" s="1"/>
      <c r="AH115" s="1"/>
      <c r="AI115" s="1"/>
      <c r="AJ115" s="3">
        <v>43102.723645833335</v>
      </c>
      <c r="AK115" s="1" t="s">
        <v>57</v>
      </c>
    </row>
    <row r="116" spans="1:37">
      <c r="A116" s="1" t="str">
        <f>VLOOKUP(H116,Languages!$A$2:$B$430,2,FALSE)</f>
        <v>Ainu</v>
      </c>
      <c r="B116" s="1" t="s">
        <v>109</v>
      </c>
      <c r="C116" s="1" t="s">
        <v>82</v>
      </c>
      <c r="D116" s="1" t="s">
        <v>83</v>
      </c>
      <c r="E116" s="15" t="s">
        <v>84</v>
      </c>
      <c r="F116" s="15" t="s">
        <v>85</v>
      </c>
      <c r="G116" s="1" t="s">
        <v>84</v>
      </c>
      <c r="H116" s="1" t="str">
        <f>VLOOKUP(G116,'languoid 4.0'!$A$1:$I$24439,2,FALSE)</f>
        <v>ainu1252</v>
      </c>
      <c r="I116" s="1" t="str">
        <f>VLOOKUP(G116,'languoid 4.0'!$A$1:$I$24439,6,FALSE)</f>
        <v>language</v>
      </c>
      <c r="J116" s="15" t="s">
        <v>52</v>
      </c>
      <c r="K116" s="15" t="s">
        <v>38</v>
      </c>
      <c r="L116" s="15" t="s">
        <v>38</v>
      </c>
      <c r="M116" s="1"/>
      <c r="N116" s="1" t="s">
        <v>86</v>
      </c>
      <c r="O116" s="15" t="s">
        <v>40</v>
      </c>
      <c r="P116" s="15" t="s">
        <v>41</v>
      </c>
      <c r="Q116" s="1" t="s">
        <v>3416</v>
      </c>
      <c r="R116" s="2" t="s">
        <v>3417</v>
      </c>
      <c r="S116" s="1" t="s">
        <v>1596</v>
      </c>
      <c r="T116" s="1" t="s">
        <v>657</v>
      </c>
      <c r="U116" s="1" t="s">
        <v>636</v>
      </c>
      <c r="V116" s="1" t="s">
        <v>45</v>
      </c>
      <c r="W116" s="1"/>
      <c r="X116" s="1"/>
      <c r="Y116" s="1"/>
      <c r="Z116" s="1" t="s">
        <v>637</v>
      </c>
      <c r="AA116" s="1" t="s">
        <v>46</v>
      </c>
      <c r="AB116" s="1" t="s">
        <v>3418</v>
      </c>
      <c r="AC116" s="1" t="s">
        <v>46</v>
      </c>
      <c r="AD116" s="1"/>
      <c r="AE116" s="1" t="s">
        <v>641</v>
      </c>
      <c r="AF116" s="1" t="s">
        <v>190</v>
      </c>
      <c r="AG116" s="1">
        <v>6</v>
      </c>
      <c r="AH116" s="1" t="s">
        <v>190</v>
      </c>
      <c r="AI116" s="1"/>
      <c r="AJ116" s="1" t="s">
        <v>3419</v>
      </c>
      <c r="AK116" s="1" t="s">
        <v>2040</v>
      </c>
    </row>
    <row r="117" spans="1:37">
      <c r="A117" s="1" t="str">
        <f>VLOOKUP(H117,Languages!$A$2:$B$430,2,FALSE)</f>
        <v>Ainu</v>
      </c>
      <c r="B117" s="1" t="s">
        <v>35</v>
      </c>
      <c r="C117" s="1" t="s">
        <v>82</v>
      </c>
      <c r="D117" s="1" t="s">
        <v>83</v>
      </c>
      <c r="E117" s="15" t="s">
        <v>84</v>
      </c>
      <c r="F117" s="15" t="s">
        <v>194</v>
      </c>
      <c r="G117" s="1" t="s">
        <v>84</v>
      </c>
      <c r="H117" s="1" t="str">
        <f>VLOOKUP(G117,'languoid 4.0'!$A$1:$I$24439,2,FALSE)</f>
        <v>ainu1252</v>
      </c>
      <c r="I117" s="1" t="str">
        <f>VLOOKUP(G117,'languoid 4.0'!$A$1:$I$24439,6,FALSE)</f>
        <v>language</v>
      </c>
      <c r="J117" s="15" t="s">
        <v>52</v>
      </c>
      <c r="K117" s="15" t="s">
        <v>38</v>
      </c>
      <c r="L117" s="15" t="s">
        <v>38</v>
      </c>
      <c r="M117" s="1"/>
      <c r="N117" s="1" t="s">
        <v>86</v>
      </c>
      <c r="O117" s="15" t="s">
        <v>40</v>
      </c>
      <c r="P117" s="15" t="s">
        <v>41</v>
      </c>
      <c r="Q117" s="1" t="s">
        <v>195</v>
      </c>
      <c r="R117" s="2" t="s">
        <v>196</v>
      </c>
      <c r="S117" s="1" t="s">
        <v>197</v>
      </c>
      <c r="T117" s="1" t="s">
        <v>44</v>
      </c>
      <c r="U117" s="1"/>
      <c r="V117" s="1" t="s">
        <v>45</v>
      </c>
      <c r="W117" s="1"/>
      <c r="X117" s="1"/>
      <c r="Y117" s="1"/>
      <c r="Z117" s="1"/>
      <c r="AA117" s="1">
        <v>4</v>
      </c>
      <c r="AB117" s="1">
        <v>4</v>
      </c>
      <c r="AC117" s="1" t="s">
        <v>46</v>
      </c>
      <c r="AD117" s="1"/>
      <c r="AE117" s="1"/>
      <c r="AF117" s="1"/>
      <c r="AG117" s="1"/>
      <c r="AH117" s="1"/>
      <c r="AI117" s="1"/>
      <c r="AJ117" s="3">
        <v>43102.734699074077</v>
      </c>
      <c r="AK117" s="1" t="s">
        <v>172</v>
      </c>
    </row>
    <row r="118" spans="1:37">
      <c r="A118" s="1" t="str">
        <f>VLOOKUP(H118,Languages!$A$2:$B$430,2,FALSE)</f>
        <v>Ainu</v>
      </c>
      <c r="B118" s="1" t="s">
        <v>35</v>
      </c>
      <c r="C118" s="1" t="s">
        <v>82</v>
      </c>
      <c r="D118" s="1" t="s">
        <v>83</v>
      </c>
      <c r="E118" s="15" t="s">
        <v>84</v>
      </c>
      <c r="F118" s="15" t="s">
        <v>85</v>
      </c>
      <c r="G118" s="1" t="s">
        <v>84</v>
      </c>
      <c r="H118" s="1" t="str">
        <f>VLOOKUP(G118,'languoid 4.0'!$A$1:$I$24439,2,FALSE)</f>
        <v>ainu1252</v>
      </c>
      <c r="I118" s="1" t="str">
        <f>VLOOKUP(G118,'languoid 4.0'!$A$1:$I$24439,6,FALSE)</f>
        <v>language</v>
      </c>
      <c r="J118" s="15" t="s">
        <v>52</v>
      </c>
      <c r="K118" s="15" t="s">
        <v>38</v>
      </c>
      <c r="L118" s="15" t="s">
        <v>38</v>
      </c>
      <c r="M118" s="1"/>
      <c r="N118" s="1" t="s">
        <v>86</v>
      </c>
      <c r="O118" s="15" t="s">
        <v>40</v>
      </c>
      <c r="P118" s="15" t="s">
        <v>41</v>
      </c>
      <c r="Q118" s="1" t="s">
        <v>2052</v>
      </c>
      <c r="R118" s="2" t="s">
        <v>2053</v>
      </c>
      <c r="S118" s="1" t="s">
        <v>46</v>
      </c>
      <c r="T118" s="1" t="s">
        <v>635</v>
      </c>
      <c r="U118" s="1" t="s">
        <v>636</v>
      </c>
      <c r="V118" s="1" t="s">
        <v>45</v>
      </c>
      <c r="W118" s="1"/>
      <c r="X118" s="1"/>
      <c r="Y118" s="1"/>
      <c r="Z118" s="1" t="s">
        <v>658</v>
      </c>
      <c r="AA118" s="1" t="s">
        <v>2054</v>
      </c>
      <c r="AB118" s="1" t="s">
        <v>46</v>
      </c>
      <c r="AC118" s="1" t="s">
        <v>46</v>
      </c>
      <c r="AD118" s="1"/>
      <c r="AE118" s="1" t="s">
        <v>641</v>
      </c>
      <c r="AF118" s="1" t="s">
        <v>190</v>
      </c>
      <c r="AG118" s="1">
        <v>6</v>
      </c>
      <c r="AH118" s="1" t="s">
        <v>190</v>
      </c>
      <c r="AI118" s="1"/>
      <c r="AJ118" s="1" t="s">
        <v>2055</v>
      </c>
      <c r="AK118" s="1" t="s">
        <v>2040</v>
      </c>
    </row>
    <row r="119" spans="1:37">
      <c r="A119" s="1" t="str">
        <f>VLOOKUP(H119,Languages!$A$2:$B$430,2,FALSE)</f>
        <v>Ainu</v>
      </c>
      <c r="B119" s="1" t="s">
        <v>35</v>
      </c>
      <c r="C119" s="1" t="s">
        <v>82</v>
      </c>
      <c r="D119" s="1" t="s">
        <v>83</v>
      </c>
      <c r="E119" s="15" t="s">
        <v>84</v>
      </c>
      <c r="F119" s="15" t="s">
        <v>85</v>
      </c>
      <c r="G119" s="1" t="s">
        <v>84</v>
      </c>
      <c r="H119" s="1" t="str">
        <f>VLOOKUP(G119,'languoid 4.0'!$A$1:$I$24439,2,FALSE)</f>
        <v>ainu1252</v>
      </c>
      <c r="I119" s="1" t="str">
        <f>VLOOKUP(G119,'languoid 4.0'!$A$1:$I$24439,6,FALSE)</f>
        <v>language</v>
      </c>
      <c r="J119" s="15" t="s">
        <v>52</v>
      </c>
      <c r="K119" s="15" t="s">
        <v>38</v>
      </c>
      <c r="L119" s="15" t="s">
        <v>38</v>
      </c>
      <c r="M119" s="1"/>
      <c r="N119" s="1" t="s">
        <v>86</v>
      </c>
      <c r="O119" s="15" t="s">
        <v>40</v>
      </c>
      <c r="P119" s="15" t="s">
        <v>41</v>
      </c>
      <c r="Q119" s="1" t="s">
        <v>3420</v>
      </c>
      <c r="R119" s="2" t="s">
        <v>3421</v>
      </c>
      <c r="S119" s="1" t="s">
        <v>56</v>
      </c>
      <c r="T119" s="1" t="s">
        <v>657</v>
      </c>
      <c r="U119" s="1" t="s">
        <v>636</v>
      </c>
      <c r="V119" s="1" t="s">
        <v>45</v>
      </c>
      <c r="W119" s="1"/>
      <c r="X119" s="1"/>
      <c r="Y119" s="1"/>
      <c r="Z119" s="1" t="s">
        <v>673</v>
      </c>
      <c r="AA119" s="1" t="s">
        <v>46</v>
      </c>
      <c r="AB119" s="1" t="s">
        <v>3422</v>
      </c>
      <c r="AC119" s="1" t="s">
        <v>46</v>
      </c>
      <c r="AD119" s="1"/>
      <c r="AE119" s="1" t="s">
        <v>641</v>
      </c>
      <c r="AF119" s="1" t="s">
        <v>190</v>
      </c>
      <c r="AG119" s="1">
        <v>6</v>
      </c>
      <c r="AH119" s="1" t="s">
        <v>190</v>
      </c>
      <c r="AI119" s="1" t="s">
        <v>3423</v>
      </c>
      <c r="AJ119" s="1" t="s">
        <v>3424</v>
      </c>
      <c r="AK119" s="1" t="s">
        <v>2040</v>
      </c>
    </row>
    <row r="120" spans="1:37">
      <c r="A120" s="1" t="str">
        <f>VLOOKUP(H120,Languages!$A$2:$B$430,2,FALSE)</f>
        <v>Ainu</v>
      </c>
      <c r="B120" s="1" t="s">
        <v>1750</v>
      </c>
      <c r="C120" s="1" t="s">
        <v>82</v>
      </c>
      <c r="D120" s="1" t="s">
        <v>83</v>
      </c>
      <c r="E120" s="15" t="s">
        <v>84</v>
      </c>
      <c r="F120" s="15" t="s">
        <v>85</v>
      </c>
      <c r="G120" s="1" t="s">
        <v>84</v>
      </c>
      <c r="H120" s="1" t="str">
        <f>VLOOKUP(G120,'languoid 4.0'!$A$1:$I$24439,2,FALSE)</f>
        <v>ainu1252</v>
      </c>
      <c r="I120" s="1" t="str">
        <f>VLOOKUP(G120,'languoid 4.0'!$A$1:$I$24439,6,FALSE)</f>
        <v>language</v>
      </c>
      <c r="J120" s="15" t="s">
        <v>52</v>
      </c>
      <c r="K120" s="15" t="s">
        <v>38</v>
      </c>
      <c r="L120" s="15" t="s">
        <v>38</v>
      </c>
      <c r="M120" s="1"/>
      <c r="N120" s="1" t="s">
        <v>86</v>
      </c>
      <c r="O120" s="15" t="s">
        <v>40</v>
      </c>
      <c r="P120" s="15" t="s">
        <v>41</v>
      </c>
      <c r="Q120" s="1" t="s">
        <v>2690</v>
      </c>
      <c r="R120" s="2" t="s">
        <v>2691</v>
      </c>
      <c r="S120" s="1" t="s">
        <v>46</v>
      </c>
      <c r="T120" s="1" t="s">
        <v>635</v>
      </c>
      <c r="U120" s="1" t="s">
        <v>636</v>
      </c>
      <c r="V120" s="1" t="s">
        <v>45</v>
      </c>
      <c r="W120" s="1"/>
      <c r="X120" s="1"/>
      <c r="Y120" s="1"/>
      <c r="Z120" s="1" t="s">
        <v>673</v>
      </c>
      <c r="AA120" s="1" t="s">
        <v>2692</v>
      </c>
      <c r="AB120" s="1" t="s">
        <v>2693</v>
      </c>
      <c r="AC120" s="1" t="s">
        <v>46</v>
      </c>
      <c r="AD120" s="1"/>
      <c r="AE120" s="1" t="s">
        <v>641</v>
      </c>
      <c r="AF120" s="1" t="s">
        <v>190</v>
      </c>
      <c r="AG120" s="1">
        <v>6</v>
      </c>
      <c r="AH120" s="1" t="s">
        <v>190</v>
      </c>
      <c r="AI120" s="1"/>
      <c r="AJ120" s="3">
        <v>43347.507534722223</v>
      </c>
      <c r="AK120" s="1" t="s">
        <v>2040</v>
      </c>
    </row>
    <row r="121" spans="1:37">
      <c r="A121" s="1" t="str">
        <f>VLOOKUP(H121,Languages!$A$2:$B$430,2,FALSE)</f>
        <v>Ainu</v>
      </c>
      <c r="B121" s="1" t="s">
        <v>1812</v>
      </c>
      <c r="C121" s="1" t="s">
        <v>82</v>
      </c>
      <c r="D121" s="1" t="s">
        <v>83</v>
      </c>
      <c r="E121" s="15" t="s">
        <v>84</v>
      </c>
      <c r="F121" s="15" t="s">
        <v>85</v>
      </c>
      <c r="G121" s="1" t="s">
        <v>84</v>
      </c>
      <c r="H121" s="1" t="str">
        <f>VLOOKUP(G121,'languoid 4.0'!$A$1:$I$24439,2,FALSE)</f>
        <v>ainu1252</v>
      </c>
      <c r="I121" s="1" t="str">
        <f>VLOOKUP(G121,'languoid 4.0'!$A$1:$I$24439,6,FALSE)</f>
        <v>language</v>
      </c>
      <c r="J121" s="15" t="s">
        <v>52</v>
      </c>
      <c r="K121" s="15" t="s">
        <v>38</v>
      </c>
      <c r="L121" s="15" t="s">
        <v>38</v>
      </c>
      <c r="M121" s="1"/>
      <c r="N121" s="1" t="s">
        <v>86</v>
      </c>
      <c r="O121" s="15" t="s">
        <v>40</v>
      </c>
      <c r="P121" s="15" t="s">
        <v>41</v>
      </c>
      <c r="Q121" s="1" t="s">
        <v>2685</v>
      </c>
      <c r="R121" s="2" t="s">
        <v>2686</v>
      </c>
      <c r="S121" s="1" t="s">
        <v>46</v>
      </c>
      <c r="T121" s="1" t="s">
        <v>635</v>
      </c>
      <c r="U121" s="1" t="s">
        <v>2687</v>
      </c>
      <c r="V121" s="1" t="s">
        <v>45</v>
      </c>
      <c r="W121" s="1"/>
      <c r="X121" s="1"/>
      <c r="Y121" s="1"/>
      <c r="Z121" s="1" t="s">
        <v>673</v>
      </c>
      <c r="AA121" s="1" t="s">
        <v>2688</v>
      </c>
      <c r="AB121" s="1" t="s">
        <v>2689</v>
      </c>
      <c r="AC121" s="1" t="s">
        <v>46</v>
      </c>
      <c r="AD121" s="1"/>
      <c r="AE121" s="1" t="s">
        <v>641</v>
      </c>
      <c r="AF121" s="1" t="s">
        <v>190</v>
      </c>
      <c r="AG121" s="1">
        <v>6</v>
      </c>
      <c r="AH121" s="1" t="s">
        <v>190</v>
      </c>
      <c r="AI121" s="1"/>
      <c r="AJ121" s="3">
        <v>43347.503125000003</v>
      </c>
      <c r="AK121" s="1" t="s">
        <v>2040</v>
      </c>
    </row>
    <row r="122" spans="1:37">
      <c r="A122" s="1" t="str">
        <f>VLOOKUP(H122,Languages!$A$2:$B$430,2,FALSE)</f>
        <v>Ainu</v>
      </c>
      <c r="B122" s="1" t="s">
        <v>1812</v>
      </c>
      <c r="C122" s="1" t="s">
        <v>82</v>
      </c>
      <c r="D122" s="1" t="s">
        <v>83</v>
      </c>
      <c r="E122" s="15" t="s">
        <v>84</v>
      </c>
      <c r="F122" s="15" t="s">
        <v>85</v>
      </c>
      <c r="G122" s="1" t="s">
        <v>84</v>
      </c>
      <c r="H122" s="1" t="str">
        <f>VLOOKUP(G122,'languoid 4.0'!$A$1:$I$24439,2,FALSE)</f>
        <v>ainu1252</v>
      </c>
      <c r="I122" s="1" t="str">
        <f>VLOOKUP(G122,'languoid 4.0'!$A$1:$I$24439,6,FALSE)</f>
        <v>language</v>
      </c>
      <c r="J122" s="15" t="s">
        <v>52</v>
      </c>
      <c r="K122" s="15" t="s">
        <v>38</v>
      </c>
      <c r="L122" s="15" t="s">
        <v>38</v>
      </c>
      <c r="M122" s="1"/>
      <c r="N122" s="1" t="s">
        <v>86</v>
      </c>
      <c r="O122" s="15" t="s">
        <v>40</v>
      </c>
      <c r="P122" s="15" t="s">
        <v>41</v>
      </c>
      <c r="Q122" s="1" t="s">
        <v>2694</v>
      </c>
      <c r="R122" s="2" t="s">
        <v>2695</v>
      </c>
      <c r="S122" s="1" t="s">
        <v>46</v>
      </c>
      <c r="T122" s="1" t="s">
        <v>635</v>
      </c>
      <c r="U122" s="1" t="s">
        <v>636</v>
      </c>
      <c r="V122" s="1" t="s">
        <v>45</v>
      </c>
      <c r="W122" s="1"/>
      <c r="X122" s="1"/>
      <c r="Y122" s="1"/>
      <c r="Z122" s="1" t="s">
        <v>673</v>
      </c>
      <c r="AA122" s="1" t="s">
        <v>2696</v>
      </c>
      <c r="AB122" s="1" t="s">
        <v>2697</v>
      </c>
      <c r="AC122" s="1" t="s">
        <v>46</v>
      </c>
      <c r="AD122" s="1"/>
      <c r="AE122" s="1" t="s">
        <v>641</v>
      </c>
      <c r="AF122" s="1" t="s">
        <v>190</v>
      </c>
      <c r="AG122" s="1">
        <v>6</v>
      </c>
      <c r="AH122" s="1" t="s">
        <v>190</v>
      </c>
      <c r="AI122" s="1"/>
      <c r="AJ122" s="3">
        <v>43347.511296296296</v>
      </c>
      <c r="AK122" s="1" t="s">
        <v>2040</v>
      </c>
    </row>
    <row r="123" spans="1:37">
      <c r="A123" s="1" t="str">
        <f>VLOOKUP(H123,Languages!$A$2:$B$430,2,FALSE)</f>
        <v>Ainu</v>
      </c>
      <c r="B123" s="1" t="s">
        <v>1812</v>
      </c>
      <c r="C123" s="1" t="s">
        <v>82</v>
      </c>
      <c r="D123" s="1" t="s">
        <v>83</v>
      </c>
      <c r="E123" s="15" t="s">
        <v>84</v>
      </c>
      <c r="F123" s="15" t="s">
        <v>85</v>
      </c>
      <c r="G123" s="1" t="s">
        <v>84</v>
      </c>
      <c r="H123" s="1" t="str">
        <f>VLOOKUP(G123,'languoid 4.0'!$A$1:$I$24439,2,FALSE)</f>
        <v>ainu1252</v>
      </c>
      <c r="I123" s="1" t="str">
        <f>VLOOKUP(G123,'languoid 4.0'!$A$1:$I$24439,6,FALSE)</f>
        <v>language</v>
      </c>
      <c r="J123" s="15" t="s">
        <v>52</v>
      </c>
      <c r="K123" s="15" t="s">
        <v>38</v>
      </c>
      <c r="L123" s="15" t="s">
        <v>38</v>
      </c>
      <c r="M123" s="1"/>
      <c r="N123" s="1" t="s">
        <v>86</v>
      </c>
      <c r="O123" s="15" t="s">
        <v>40</v>
      </c>
      <c r="P123" s="15" t="s">
        <v>41</v>
      </c>
      <c r="Q123" s="1" t="s">
        <v>2698</v>
      </c>
      <c r="R123" s="2" t="s">
        <v>2053</v>
      </c>
      <c r="S123" s="1" t="s">
        <v>46</v>
      </c>
      <c r="T123" s="1" t="s">
        <v>635</v>
      </c>
      <c r="U123" s="1" t="s">
        <v>2699</v>
      </c>
      <c r="V123" s="1" t="s">
        <v>45</v>
      </c>
      <c r="W123" s="1"/>
      <c r="X123" s="1"/>
      <c r="Y123" s="1"/>
      <c r="Z123" s="1" t="s">
        <v>673</v>
      </c>
      <c r="AA123" s="1" t="s">
        <v>2700</v>
      </c>
      <c r="AB123" s="1" t="s">
        <v>2701</v>
      </c>
      <c r="AC123" s="1" t="s">
        <v>46</v>
      </c>
      <c r="AD123" s="1"/>
      <c r="AE123" s="1" t="s">
        <v>641</v>
      </c>
      <c r="AF123" s="1" t="s">
        <v>190</v>
      </c>
      <c r="AG123" s="1">
        <v>4</v>
      </c>
      <c r="AH123" s="1" t="s">
        <v>190</v>
      </c>
      <c r="AI123" s="1"/>
      <c r="AJ123" s="3">
        <v>43347.514618055553</v>
      </c>
      <c r="AK123" s="1" t="s">
        <v>2040</v>
      </c>
    </row>
    <row r="124" spans="1:37">
      <c r="A124" s="1" t="str">
        <f>VLOOKUP(H124,Languages!$A$2:$B$430,2,FALSE)</f>
        <v>Ainu</v>
      </c>
      <c r="B124" s="1" t="s">
        <v>1812</v>
      </c>
      <c r="C124" s="1" t="s">
        <v>82</v>
      </c>
      <c r="D124" s="1" t="s">
        <v>83</v>
      </c>
      <c r="E124" s="15" t="s">
        <v>84</v>
      </c>
      <c r="F124" s="15" t="s">
        <v>85</v>
      </c>
      <c r="G124" s="1" t="s">
        <v>84</v>
      </c>
      <c r="H124" s="1" t="str">
        <f>VLOOKUP(G124,'languoid 4.0'!$A$1:$I$24439,2,FALSE)</f>
        <v>ainu1252</v>
      </c>
      <c r="I124" s="1" t="str">
        <f>VLOOKUP(G124,'languoid 4.0'!$A$1:$I$24439,6,FALSE)</f>
        <v>language</v>
      </c>
      <c r="J124" s="15" t="s">
        <v>52</v>
      </c>
      <c r="K124" s="15" t="s">
        <v>38</v>
      </c>
      <c r="L124" s="15" t="s">
        <v>38</v>
      </c>
      <c r="M124" s="1"/>
      <c r="N124" s="1" t="s">
        <v>86</v>
      </c>
      <c r="O124" s="15" t="s">
        <v>40</v>
      </c>
      <c r="P124" s="15" t="s">
        <v>41</v>
      </c>
      <c r="Q124" s="1" t="s">
        <v>3412</v>
      </c>
      <c r="R124" s="2" t="s">
        <v>3413</v>
      </c>
      <c r="S124" s="1" t="s">
        <v>3414</v>
      </c>
      <c r="T124" s="1" t="s">
        <v>657</v>
      </c>
      <c r="U124" s="1" t="s">
        <v>636</v>
      </c>
      <c r="V124" s="1" t="s">
        <v>45</v>
      </c>
      <c r="W124" s="1"/>
      <c r="X124" s="1"/>
      <c r="Y124" s="1"/>
      <c r="Z124" s="1" t="s">
        <v>658</v>
      </c>
      <c r="AA124" s="1" t="s">
        <v>46</v>
      </c>
      <c r="AB124" s="1" t="s">
        <v>46</v>
      </c>
      <c r="AC124" s="1" t="s">
        <v>46</v>
      </c>
      <c r="AD124" s="1"/>
      <c r="AE124" s="1" t="s">
        <v>641</v>
      </c>
      <c r="AF124" s="1" t="s">
        <v>190</v>
      </c>
      <c r="AG124" s="1">
        <v>6</v>
      </c>
      <c r="AH124" s="1" t="s">
        <v>190</v>
      </c>
      <c r="AI124" s="1"/>
      <c r="AJ124" s="1" t="s">
        <v>3415</v>
      </c>
      <c r="AK124" s="1" t="s">
        <v>2040</v>
      </c>
    </row>
    <row r="125" spans="1:37">
      <c r="A125" s="1" t="str">
        <f>VLOOKUP(H125,Languages!$A$2:$B$430,2,FALSE)</f>
        <v>Ainu</v>
      </c>
      <c r="B125" s="1" t="s">
        <v>1707</v>
      </c>
      <c r="C125" s="1" t="s">
        <v>82</v>
      </c>
      <c r="D125" s="1" t="s">
        <v>83</v>
      </c>
      <c r="E125" s="15" t="s">
        <v>84</v>
      </c>
      <c r="F125" s="15" t="s">
        <v>85</v>
      </c>
      <c r="G125" s="1" t="s">
        <v>84</v>
      </c>
      <c r="H125" s="1" t="str">
        <f>VLOOKUP(G125,'languoid 4.0'!$A$1:$I$24439,2,FALSE)</f>
        <v>ainu1252</v>
      </c>
      <c r="I125" s="1" t="str">
        <f>VLOOKUP(G125,'languoid 4.0'!$A$1:$I$24439,6,FALSE)</f>
        <v>language</v>
      </c>
      <c r="J125" s="15" t="s">
        <v>52</v>
      </c>
      <c r="K125" s="15" t="s">
        <v>38</v>
      </c>
      <c r="L125" s="15" t="s">
        <v>38</v>
      </c>
      <c r="M125" s="1"/>
      <c r="N125" s="1" t="s">
        <v>86</v>
      </c>
      <c r="O125" s="15" t="s">
        <v>40</v>
      </c>
      <c r="P125" s="15" t="s">
        <v>41</v>
      </c>
      <c r="Q125" s="1" t="s">
        <v>4430</v>
      </c>
      <c r="R125" s="2" t="s">
        <v>4431</v>
      </c>
      <c r="S125" s="1" t="s">
        <v>2589</v>
      </c>
      <c r="T125" s="1" t="s">
        <v>635</v>
      </c>
      <c r="U125" s="1" t="s">
        <v>636</v>
      </c>
      <c r="V125" s="1" t="s">
        <v>45</v>
      </c>
      <c r="W125" s="1"/>
      <c r="X125" s="1"/>
      <c r="Y125" s="1"/>
      <c r="Z125" s="1" t="s">
        <v>673</v>
      </c>
      <c r="AA125" s="1" t="s">
        <v>4432</v>
      </c>
      <c r="AB125" s="1" t="s">
        <v>4433</v>
      </c>
      <c r="AC125" s="1" t="s">
        <v>4434</v>
      </c>
      <c r="AD125" s="1"/>
      <c r="AE125" s="1" t="s">
        <v>641</v>
      </c>
      <c r="AF125" s="1" t="s">
        <v>190</v>
      </c>
      <c r="AG125" s="1">
        <v>6</v>
      </c>
      <c r="AH125" s="1" t="s">
        <v>190</v>
      </c>
      <c r="AI125" s="1"/>
      <c r="AJ125" s="3">
        <v>43226.639641203707</v>
      </c>
      <c r="AK125" s="1" t="s">
        <v>4274</v>
      </c>
    </row>
    <row r="126" spans="1:37">
      <c r="A126" s="1" t="str">
        <f>VLOOKUP(H126,Languages!$A$2:$B$430,2,FALSE)</f>
        <v>Algic</v>
      </c>
      <c r="B126" s="1" t="s">
        <v>67</v>
      </c>
      <c r="C126" s="1" t="s">
        <v>220</v>
      </c>
      <c r="D126" s="1" t="s">
        <v>221</v>
      </c>
      <c r="E126" s="15" t="s">
        <v>222</v>
      </c>
      <c r="F126" s="15" t="s">
        <v>222</v>
      </c>
      <c r="G126" s="1" t="s">
        <v>222</v>
      </c>
      <c r="H126" s="1" t="str">
        <f>VLOOKUP(G126,'languoid 4.0'!$A$1:$I$24439,2,FALSE)</f>
        <v>algi1248</v>
      </c>
      <c r="I126" s="1" t="str">
        <f>VLOOKUP(G126,'languoid 4.0'!$A$1:$I$24439,6,FALSE)</f>
        <v>family</v>
      </c>
      <c r="J126" s="15" t="s">
        <v>38</v>
      </c>
      <c r="K126" s="15" t="s">
        <v>38</v>
      </c>
      <c r="L126" s="15" t="s">
        <v>38</v>
      </c>
      <c r="M126" s="1"/>
      <c r="N126" s="1"/>
      <c r="O126" s="15" t="s">
        <v>113</v>
      </c>
      <c r="P126" s="15" t="s">
        <v>41</v>
      </c>
      <c r="Q126" s="1" t="s">
        <v>530</v>
      </c>
      <c r="R126" s="2" t="s">
        <v>531</v>
      </c>
      <c r="S126" s="1" t="s">
        <v>225</v>
      </c>
      <c r="T126" s="1" t="s">
        <v>44</v>
      </c>
      <c r="U126" s="1"/>
      <c r="V126" s="1" t="s">
        <v>45</v>
      </c>
      <c r="W126" s="1"/>
      <c r="X126" s="1"/>
      <c r="Y126" s="1"/>
      <c r="Z126" s="1"/>
      <c r="AA126" s="1">
        <v>51</v>
      </c>
      <c r="AB126" s="1" t="s">
        <v>532</v>
      </c>
      <c r="AC126" s="1">
        <v>25</v>
      </c>
      <c r="AD126" s="1"/>
      <c r="AE126" s="1"/>
      <c r="AF126" s="1"/>
      <c r="AG126" s="1"/>
      <c r="AH126" s="1"/>
      <c r="AI126" s="1"/>
      <c r="AJ126" s="3">
        <v>43102.754178240742</v>
      </c>
      <c r="AK126" s="1" t="s">
        <v>57</v>
      </c>
    </row>
    <row r="127" spans="1:37">
      <c r="A127" s="1" t="str">
        <f>VLOOKUP(H127,Languages!$A$2:$B$430,2,FALSE)</f>
        <v>Algic</v>
      </c>
      <c r="B127" s="1" t="s">
        <v>67</v>
      </c>
      <c r="C127" s="1" t="s">
        <v>89</v>
      </c>
      <c r="D127" s="1" t="s">
        <v>90</v>
      </c>
      <c r="E127" s="15" t="s">
        <v>495</v>
      </c>
      <c r="F127" s="15" t="s">
        <v>91</v>
      </c>
      <c r="G127" s="1" t="s">
        <v>91</v>
      </c>
      <c r="H127" s="1" t="str">
        <f>VLOOKUP(G127,'languoid 4.0'!$A$1:$I$24439,2,FALSE)</f>
        <v>algi1248</v>
      </c>
      <c r="I127" s="1" t="str">
        <f>VLOOKUP(G127,'languoid 4.0'!$A$1:$I$24439,6,FALSE)</f>
        <v>language</v>
      </c>
      <c r="J127" s="15" t="s">
        <v>52</v>
      </c>
      <c r="K127" s="15" t="s">
        <v>38</v>
      </c>
      <c r="L127" s="15" t="s">
        <v>38</v>
      </c>
      <c r="M127" s="1"/>
      <c r="N127" s="1"/>
      <c r="O127" s="15" t="s">
        <v>40</v>
      </c>
      <c r="P127" s="15" t="s">
        <v>41</v>
      </c>
      <c r="Q127" s="1" t="s">
        <v>496</v>
      </c>
      <c r="R127" s="2" t="s">
        <v>497</v>
      </c>
      <c r="S127" s="1" t="s">
        <v>81</v>
      </c>
      <c r="T127" s="1" t="s">
        <v>44</v>
      </c>
      <c r="U127" s="1"/>
      <c r="V127" s="1" t="s">
        <v>45</v>
      </c>
      <c r="W127" s="1"/>
      <c r="X127" s="1"/>
      <c r="Y127" s="1"/>
      <c r="Z127" s="1"/>
      <c r="AA127" s="1">
        <v>8</v>
      </c>
      <c r="AB127" s="1">
        <v>8</v>
      </c>
      <c r="AC127" s="1" t="s">
        <v>46</v>
      </c>
      <c r="AD127" s="1"/>
      <c r="AE127" s="1"/>
      <c r="AF127" s="1"/>
      <c r="AG127" s="1"/>
      <c r="AH127" s="1"/>
      <c r="AI127" s="1"/>
      <c r="AJ127" s="3">
        <v>43102.752476851849</v>
      </c>
      <c r="AK127" s="1" t="s">
        <v>47</v>
      </c>
    </row>
    <row r="128" spans="1:37">
      <c r="A128" s="1" t="str">
        <f>VLOOKUP(H128,Languages!$A$2:$B$430,2,FALSE)</f>
        <v>Algic</v>
      </c>
      <c r="B128" s="1" t="s">
        <v>67</v>
      </c>
      <c r="C128" s="1" t="s">
        <v>89</v>
      </c>
      <c r="D128" s="1" t="s">
        <v>6047</v>
      </c>
      <c r="E128" s="15" t="s">
        <v>6048</v>
      </c>
      <c r="F128" s="15" t="s">
        <v>6048</v>
      </c>
      <c r="G128" s="1" t="s">
        <v>6048</v>
      </c>
      <c r="H128" s="1" t="str">
        <f>VLOOKUP(G128,'languoid 4.0'!$A$1:$I$24439,2,FALSE)</f>
        <v>algi1248</v>
      </c>
      <c r="I128" s="1" t="str">
        <f>VLOOKUP(G128,'languoid 4.0'!$A$1:$I$24439,6,FALSE)</f>
        <v>family</v>
      </c>
      <c r="J128" s="15" t="s">
        <v>38</v>
      </c>
      <c r="K128" s="15" t="s">
        <v>38</v>
      </c>
      <c r="L128" s="15" t="s">
        <v>38</v>
      </c>
      <c r="M128" s="1"/>
      <c r="N128" s="1" t="s">
        <v>6049</v>
      </c>
      <c r="O128" s="15" t="s">
        <v>40</v>
      </c>
      <c r="P128" s="15" t="s">
        <v>41</v>
      </c>
      <c r="Q128" s="1" t="s">
        <v>6050</v>
      </c>
      <c r="R128" s="2" t="s">
        <v>6051</v>
      </c>
      <c r="S128" s="1" t="s">
        <v>6052</v>
      </c>
      <c r="T128" s="1" t="s">
        <v>657</v>
      </c>
      <c r="U128" s="1" t="s">
        <v>67</v>
      </c>
      <c r="V128" s="1" t="s">
        <v>45</v>
      </c>
      <c r="W128" s="1"/>
      <c r="X128" s="1"/>
      <c r="Y128" s="1"/>
      <c r="Z128" s="1" t="s">
        <v>637</v>
      </c>
      <c r="AA128" s="1" t="s">
        <v>6053</v>
      </c>
      <c r="AB128" s="1" t="s">
        <v>6054</v>
      </c>
      <c r="AC128" s="1" t="s">
        <v>46</v>
      </c>
      <c r="AD128" s="1"/>
      <c r="AE128" s="1" t="s">
        <v>641</v>
      </c>
      <c r="AF128" s="1" t="s">
        <v>190</v>
      </c>
      <c r="AG128" s="1">
        <v>6</v>
      </c>
      <c r="AH128" s="1" t="s">
        <v>190</v>
      </c>
      <c r="AI128" s="1" t="s">
        <v>51</v>
      </c>
      <c r="AJ128" s="3">
        <v>43107.954143518517</v>
      </c>
      <c r="AK128" s="1" t="s">
        <v>5865</v>
      </c>
    </row>
    <row r="129" spans="1:37">
      <c r="A129" s="1" t="str">
        <f>VLOOKUP(H129,Languages!$A$2:$B$430,2,FALSE)</f>
        <v>Algic</v>
      </c>
      <c r="B129" s="1" t="s">
        <v>59</v>
      </c>
      <c r="C129" s="1" t="s">
        <v>220</v>
      </c>
      <c r="D129" s="1" t="s">
        <v>221</v>
      </c>
      <c r="E129" s="15" t="s">
        <v>222</v>
      </c>
      <c r="F129" s="15" t="s">
        <v>222</v>
      </c>
      <c r="G129" s="1" t="s">
        <v>222</v>
      </c>
      <c r="H129" s="1" t="str">
        <f>VLOOKUP(G129,'languoid 4.0'!$A$1:$I$24439,2,FALSE)</f>
        <v>algi1248</v>
      </c>
      <c r="I129" s="1" t="str">
        <f>VLOOKUP(G129,'languoid 4.0'!$A$1:$I$24439,6,FALSE)</f>
        <v>family</v>
      </c>
      <c r="J129" s="15" t="s">
        <v>38</v>
      </c>
      <c r="K129" s="15" t="s">
        <v>38</v>
      </c>
      <c r="L129" s="15" t="s">
        <v>38</v>
      </c>
      <c r="M129" s="1"/>
      <c r="N129" s="1"/>
      <c r="O129" s="15" t="s">
        <v>113</v>
      </c>
      <c r="P129" s="15" t="s">
        <v>41</v>
      </c>
      <c r="Q129" s="1" t="s">
        <v>223</v>
      </c>
      <c r="R129" s="2" t="s">
        <v>224</v>
      </c>
      <c r="S129" s="1" t="s">
        <v>225</v>
      </c>
      <c r="T129" s="1" t="s">
        <v>44</v>
      </c>
      <c r="U129" s="1"/>
      <c r="V129" s="1" t="s">
        <v>45</v>
      </c>
      <c r="W129" s="1"/>
      <c r="X129" s="1"/>
      <c r="Y129" s="1"/>
      <c r="Z129" s="1"/>
      <c r="AA129" s="1">
        <v>5</v>
      </c>
      <c r="AB129" s="4">
        <v>43589</v>
      </c>
      <c r="AC129" s="1">
        <v>5</v>
      </c>
      <c r="AD129" s="1"/>
      <c r="AE129" s="1"/>
      <c r="AF129" s="1"/>
      <c r="AG129" s="1"/>
      <c r="AH129" s="1"/>
      <c r="AI129" s="1"/>
      <c r="AJ129" s="3">
        <v>43102.73641203704</v>
      </c>
      <c r="AK129" s="1" t="s">
        <v>74</v>
      </c>
    </row>
    <row r="130" spans="1:37">
      <c r="A130" s="1" t="str">
        <f>VLOOKUP(H130,Languages!$A$2:$B$430,2,FALSE)</f>
        <v>Algic</v>
      </c>
      <c r="B130" s="1" t="s">
        <v>59</v>
      </c>
      <c r="C130" s="1" t="s">
        <v>304</v>
      </c>
      <c r="D130" s="1" t="s">
        <v>9326</v>
      </c>
      <c r="E130" s="15" t="s">
        <v>9327</v>
      </c>
      <c r="F130" s="15" t="s">
        <v>9327</v>
      </c>
      <c r="G130" s="1" t="s">
        <v>9327</v>
      </c>
      <c r="H130" s="1" t="str">
        <f>VLOOKUP(G130,'languoid 4.0'!$A$1:$I$24439,2,FALSE)</f>
        <v>algi1248</v>
      </c>
      <c r="I130" s="1" t="str">
        <f>VLOOKUP(G130,'languoid 4.0'!$A$1:$I$24439,6,FALSE)</f>
        <v>language</v>
      </c>
      <c r="J130" s="15" t="s">
        <v>38</v>
      </c>
      <c r="K130" s="15" t="s">
        <v>38</v>
      </c>
      <c r="L130" s="15" t="s">
        <v>38</v>
      </c>
      <c r="M130" s="1"/>
      <c r="N130" s="1" t="s">
        <v>9328</v>
      </c>
      <c r="O130" s="15" t="s">
        <v>40</v>
      </c>
      <c r="P130" s="15" t="s">
        <v>41</v>
      </c>
      <c r="Q130" s="1" t="s">
        <v>973</v>
      </c>
      <c r="R130" s="2" t="s">
        <v>4512</v>
      </c>
      <c r="S130" s="1" t="s">
        <v>46</v>
      </c>
      <c r="T130" s="1" t="s">
        <v>635</v>
      </c>
      <c r="U130" s="1" t="s">
        <v>636</v>
      </c>
      <c r="V130" s="1" t="s">
        <v>45</v>
      </c>
      <c r="W130" s="1"/>
      <c r="X130" s="1"/>
      <c r="Y130" s="1"/>
      <c r="Z130" s="1" t="s">
        <v>658</v>
      </c>
      <c r="AA130" s="1" t="s">
        <v>9329</v>
      </c>
      <c r="AB130" s="1" t="s">
        <v>46</v>
      </c>
      <c r="AC130" s="1" t="s">
        <v>46</v>
      </c>
      <c r="AD130" s="1" t="s">
        <v>9330</v>
      </c>
      <c r="AE130" s="1"/>
      <c r="AF130" s="1"/>
      <c r="AG130" s="1"/>
      <c r="AH130" s="1" t="s">
        <v>45</v>
      </c>
      <c r="AI130" s="1" t="s">
        <v>6440</v>
      </c>
      <c r="AJ130" s="1" t="s">
        <v>9331</v>
      </c>
      <c r="AK130" s="1" t="s">
        <v>6441</v>
      </c>
    </row>
    <row r="131" spans="1:37">
      <c r="A131" s="1" t="str">
        <f>VLOOKUP(H131,Languages!$A$2:$B$430,2,FALSE)</f>
        <v>Algic</v>
      </c>
      <c r="B131" s="1" t="s">
        <v>59</v>
      </c>
      <c r="C131" s="1" t="s">
        <v>89</v>
      </c>
      <c r="D131" s="1" t="s">
        <v>90</v>
      </c>
      <c r="E131" s="15" t="s">
        <v>495</v>
      </c>
      <c r="F131" s="15" t="s">
        <v>51</v>
      </c>
      <c r="G131" s="1" t="s">
        <v>91</v>
      </c>
      <c r="H131" s="1" t="str">
        <f>VLOOKUP(G131,'languoid 4.0'!$A$1:$I$24439,2,FALSE)</f>
        <v>algi1248</v>
      </c>
      <c r="I131" s="1" t="str">
        <f>VLOOKUP(G131,'languoid 4.0'!$A$1:$I$24439,6,FALSE)</f>
        <v>language</v>
      </c>
      <c r="J131" s="15" t="s">
        <v>52</v>
      </c>
      <c r="K131" s="15" t="s">
        <v>51</v>
      </c>
      <c r="L131" s="15" t="s">
        <v>51</v>
      </c>
      <c r="M131" s="1"/>
      <c r="N131" s="1"/>
      <c r="O131" s="15" t="s">
        <v>40</v>
      </c>
      <c r="P131" s="15" t="s">
        <v>41</v>
      </c>
      <c r="Q131" s="1" t="s">
        <v>8904</v>
      </c>
      <c r="R131" s="2" t="s">
        <v>8905</v>
      </c>
      <c r="S131" s="1" t="s">
        <v>8906</v>
      </c>
      <c r="T131" s="1" t="s">
        <v>657</v>
      </c>
      <c r="U131" s="1" t="s">
        <v>636</v>
      </c>
      <c r="V131" s="1" t="s">
        <v>45</v>
      </c>
      <c r="W131" s="1"/>
      <c r="X131" s="1"/>
      <c r="Y131" s="1"/>
      <c r="Z131" s="1" t="s">
        <v>658</v>
      </c>
      <c r="AA131" s="1" t="s">
        <v>8907</v>
      </c>
      <c r="AB131" s="1" t="s">
        <v>8908</v>
      </c>
      <c r="AC131" s="1" t="s">
        <v>46</v>
      </c>
      <c r="AD131" s="1" t="s">
        <v>8909</v>
      </c>
      <c r="AE131" s="1" t="s">
        <v>641</v>
      </c>
      <c r="AF131" s="1" t="s">
        <v>190</v>
      </c>
      <c r="AG131" s="1">
        <v>6</v>
      </c>
      <c r="AH131" s="1" t="s">
        <v>190</v>
      </c>
      <c r="AI131" s="1"/>
      <c r="AJ131" s="1" t="s">
        <v>8910</v>
      </c>
      <c r="AK131" s="1" t="s">
        <v>5865</v>
      </c>
    </row>
    <row r="132" spans="1:37">
      <c r="A132" s="1" t="str">
        <f>VLOOKUP(H132,Languages!$A$2:$B$430,2,FALSE)</f>
        <v>Algic</v>
      </c>
      <c r="B132" s="1" t="s">
        <v>109</v>
      </c>
      <c r="C132" s="1" t="s">
        <v>220</v>
      </c>
      <c r="D132" s="1" t="s">
        <v>221</v>
      </c>
      <c r="E132" s="15" t="s">
        <v>222</v>
      </c>
      <c r="F132" s="15" t="s">
        <v>222</v>
      </c>
      <c r="G132" s="1" t="s">
        <v>222</v>
      </c>
      <c r="H132" s="1" t="str">
        <f>VLOOKUP(G132,'languoid 4.0'!$A$1:$I$24439,2,FALSE)</f>
        <v>algi1248</v>
      </c>
      <c r="I132" s="1" t="str">
        <f>VLOOKUP(G132,'languoid 4.0'!$A$1:$I$24439,6,FALSE)</f>
        <v>family</v>
      </c>
      <c r="J132" s="15" t="s">
        <v>38</v>
      </c>
      <c r="K132" s="15" t="s">
        <v>38</v>
      </c>
      <c r="L132" s="15" t="s">
        <v>38</v>
      </c>
      <c r="M132" s="1"/>
      <c r="N132" s="1"/>
      <c r="O132" s="15" t="s">
        <v>113</v>
      </c>
      <c r="P132" s="15" t="s">
        <v>41</v>
      </c>
      <c r="Q132" s="1" t="s">
        <v>593</v>
      </c>
      <c r="R132" s="2" t="s">
        <v>531</v>
      </c>
      <c r="S132" s="1" t="s">
        <v>272</v>
      </c>
      <c r="T132" s="1" t="s">
        <v>44</v>
      </c>
      <c r="U132" s="1"/>
      <c r="V132" s="1" t="s">
        <v>45</v>
      </c>
      <c r="W132" s="1"/>
      <c r="X132" s="1"/>
      <c r="Y132" s="1"/>
      <c r="Z132" s="1"/>
      <c r="AA132" s="1">
        <v>52</v>
      </c>
      <c r="AB132" s="1" t="s">
        <v>594</v>
      </c>
      <c r="AC132" s="1" t="s">
        <v>595</v>
      </c>
      <c r="AD132" s="1"/>
      <c r="AE132" s="1"/>
      <c r="AF132" s="1"/>
      <c r="AG132" s="1"/>
      <c r="AH132" s="1"/>
      <c r="AI132" s="1"/>
      <c r="AJ132" s="3">
        <v>43102.760312500002</v>
      </c>
      <c r="AK132" s="1" t="s">
        <v>74</v>
      </c>
    </row>
    <row r="133" spans="1:37">
      <c r="A133" s="1" t="str">
        <f>VLOOKUP(H133,Languages!$A$2:$B$430,2,FALSE)</f>
        <v>Algic</v>
      </c>
      <c r="B133" s="1" t="s">
        <v>109</v>
      </c>
      <c r="C133" s="1" t="s">
        <v>298</v>
      </c>
      <c r="D133" s="1" t="s">
        <v>613</v>
      </c>
      <c r="E133" s="15" t="s">
        <v>614</v>
      </c>
      <c r="F133" s="15" t="s">
        <v>615</v>
      </c>
      <c r="G133" s="1" t="s">
        <v>614</v>
      </c>
      <c r="H133" s="1" t="str">
        <f>VLOOKUP(G133,'languoid 4.0'!$A$1:$I$24439,2,FALSE)</f>
        <v>algi1248</v>
      </c>
      <c r="I133" s="1" t="str">
        <f>VLOOKUP(G133,'languoid 4.0'!$A$1:$I$24439,6,FALSE)</f>
        <v>language</v>
      </c>
      <c r="J133" s="15" t="s">
        <v>52</v>
      </c>
      <c r="K133" s="15" t="s">
        <v>368</v>
      </c>
      <c r="L133" s="15" t="s">
        <v>368</v>
      </c>
      <c r="M133" s="1" t="s">
        <v>616</v>
      </c>
      <c r="N133" s="1" t="s">
        <v>617</v>
      </c>
      <c r="O133" s="15" t="s">
        <v>40</v>
      </c>
      <c r="P133" s="15" t="s">
        <v>41</v>
      </c>
      <c r="Q133" s="1" t="s">
        <v>618</v>
      </c>
      <c r="R133" s="2" t="s">
        <v>619</v>
      </c>
      <c r="S133" s="1" t="s">
        <v>620</v>
      </c>
      <c r="T133" s="1" t="s">
        <v>44</v>
      </c>
      <c r="U133" s="1"/>
      <c r="V133" s="1" t="s">
        <v>45</v>
      </c>
      <c r="W133" s="1"/>
      <c r="X133" s="1"/>
      <c r="Y133" s="1"/>
      <c r="Z133" s="1"/>
      <c r="AA133" s="1">
        <v>5</v>
      </c>
      <c r="AB133" s="1">
        <v>5</v>
      </c>
      <c r="AC133" s="1" t="s">
        <v>46</v>
      </c>
      <c r="AD133" s="1"/>
      <c r="AE133" s="1"/>
      <c r="AF133" s="1"/>
      <c r="AG133" s="1"/>
      <c r="AH133" s="1"/>
      <c r="AI133" s="1"/>
      <c r="AJ133" s="3">
        <v>43102.76630787037</v>
      </c>
      <c r="AK133" s="1" t="s">
        <v>57</v>
      </c>
    </row>
    <row r="134" spans="1:37">
      <c r="A134" s="1" t="str">
        <f>VLOOKUP(H134,Languages!$A$2:$B$430,2,FALSE)</f>
        <v>Algic</v>
      </c>
      <c r="B134" s="1" t="s">
        <v>35</v>
      </c>
      <c r="C134" s="1" t="s">
        <v>89</v>
      </c>
      <c r="D134" s="1" t="s">
        <v>90</v>
      </c>
      <c r="E134" s="15" t="s">
        <v>91</v>
      </c>
      <c r="F134" s="15" t="s">
        <v>91</v>
      </c>
      <c r="G134" s="1" t="s">
        <v>91</v>
      </c>
      <c r="H134" s="1" t="str">
        <f>VLOOKUP(G134,'languoid 4.0'!$A$1:$I$24439,2,FALSE)</f>
        <v>algi1248</v>
      </c>
      <c r="I134" s="1" t="str">
        <f>VLOOKUP(G134,'languoid 4.0'!$A$1:$I$24439,6,FALSE)</f>
        <v>language</v>
      </c>
      <c r="J134" s="15" t="s">
        <v>38</v>
      </c>
      <c r="K134" s="15" t="s">
        <v>38</v>
      </c>
      <c r="L134" s="15" t="s">
        <v>38</v>
      </c>
      <c r="M134" s="1"/>
      <c r="N134" s="1" t="s">
        <v>92</v>
      </c>
      <c r="O134" s="15" t="s">
        <v>40</v>
      </c>
      <c r="P134" s="15" t="s">
        <v>41</v>
      </c>
      <c r="Q134" s="1" t="s">
        <v>35</v>
      </c>
      <c r="R134" s="2" t="s">
        <v>93</v>
      </c>
      <c r="S134" s="1" t="s">
        <v>81</v>
      </c>
      <c r="T134" s="1" t="s">
        <v>44</v>
      </c>
      <c r="U134" s="1"/>
      <c r="V134" s="1" t="s">
        <v>45</v>
      </c>
      <c r="W134" s="1"/>
      <c r="X134" s="1"/>
      <c r="Y134" s="1"/>
      <c r="Z134" s="1"/>
      <c r="AA134" s="1">
        <v>8</v>
      </c>
      <c r="AB134" s="1">
        <v>8</v>
      </c>
      <c r="AC134" s="1" t="s">
        <v>46</v>
      </c>
      <c r="AD134" s="1"/>
      <c r="AE134" s="1"/>
      <c r="AF134" s="1"/>
      <c r="AG134" s="1"/>
      <c r="AH134" s="1"/>
      <c r="AI134" s="1"/>
      <c r="AJ134" s="3">
        <v>43102.723668981482</v>
      </c>
      <c r="AK134" s="1" t="s">
        <v>47</v>
      </c>
    </row>
    <row r="135" spans="1:37">
      <c r="A135" s="1" t="str">
        <f>VLOOKUP(H135,Languages!$A$2:$B$430,2,FALSE)</f>
        <v>Algic</v>
      </c>
      <c r="B135" s="1" t="s">
        <v>1750</v>
      </c>
      <c r="C135" s="1" t="s">
        <v>298</v>
      </c>
      <c r="D135" s="1" t="s">
        <v>613</v>
      </c>
      <c r="E135" s="15" t="s">
        <v>614</v>
      </c>
      <c r="F135" s="15" t="s">
        <v>614</v>
      </c>
      <c r="G135" s="1" t="s">
        <v>614</v>
      </c>
      <c r="H135" s="1" t="str">
        <f>VLOOKUP(G135,'languoid 4.0'!$A$1:$I$24439,2,FALSE)</f>
        <v>algi1248</v>
      </c>
      <c r="I135" s="1" t="str">
        <f>VLOOKUP(G135,'languoid 4.0'!$A$1:$I$24439,6,FALSE)</f>
        <v>language</v>
      </c>
      <c r="J135" s="15" t="s">
        <v>38</v>
      </c>
      <c r="K135" s="15" t="s">
        <v>38</v>
      </c>
      <c r="L135" s="15" t="s">
        <v>38</v>
      </c>
      <c r="M135" s="1"/>
      <c r="N135" s="1" t="s">
        <v>617</v>
      </c>
      <c r="O135" s="15" t="s">
        <v>40</v>
      </c>
      <c r="P135" s="15" t="s">
        <v>41</v>
      </c>
      <c r="Q135" s="1" t="s">
        <v>8589</v>
      </c>
      <c r="R135" s="2" t="s">
        <v>8590</v>
      </c>
      <c r="S135" s="1" t="s">
        <v>557</v>
      </c>
      <c r="T135" s="1" t="s">
        <v>657</v>
      </c>
      <c r="U135" s="1" t="s">
        <v>1812</v>
      </c>
      <c r="V135" s="1" t="s">
        <v>45</v>
      </c>
      <c r="W135" s="1"/>
      <c r="X135" s="1"/>
      <c r="Y135" s="1"/>
      <c r="Z135" s="1" t="s">
        <v>673</v>
      </c>
      <c r="AA135" s="1" t="s">
        <v>8591</v>
      </c>
      <c r="AB135" s="1" t="s">
        <v>8592</v>
      </c>
      <c r="AC135" s="1" t="s">
        <v>46</v>
      </c>
      <c r="AD135" s="1" t="s">
        <v>8498</v>
      </c>
      <c r="AE135" s="1" t="s">
        <v>641</v>
      </c>
      <c r="AF135" s="1" t="s">
        <v>190</v>
      </c>
      <c r="AG135" s="1">
        <v>6</v>
      </c>
      <c r="AH135" s="1" t="s">
        <v>190</v>
      </c>
      <c r="AI135" s="1" t="s">
        <v>8499</v>
      </c>
      <c r="AJ135" s="3">
        <v>43199.325960648152</v>
      </c>
      <c r="AK135" s="1" t="s">
        <v>7652</v>
      </c>
    </row>
    <row r="136" spans="1:37" ht="409.6">
      <c r="A136" s="1" t="str">
        <f>VLOOKUP(H136,Languages!$A$2:$B$430,2,FALSE)</f>
        <v>Algic</v>
      </c>
      <c r="B136" s="1" t="s">
        <v>1812</v>
      </c>
      <c r="C136" s="1" t="s">
        <v>89</v>
      </c>
      <c r="D136" s="1" t="s">
        <v>11418</v>
      </c>
      <c r="E136" s="15" t="s">
        <v>11419</v>
      </c>
      <c r="F136" s="15" t="s">
        <v>180</v>
      </c>
      <c r="G136" s="1" t="s">
        <v>11419</v>
      </c>
      <c r="H136" s="1" t="str">
        <f>VLOOKUP(G136,'languoid 4.0'!$A$1:$I$24439,2,FALSE)</f>
        <v>algi1248</v>
      </c>
      <c r="I136" s="1" t="str">
        <f>VLOOKUP(G136,'languoid 4.0'!$A$1:$I$24439,6,FALSE)</f>
        <v>language</v>
      </c>
      <c r="J136" s="15" t="s">
        <v>52</v>
      </c>
      <c r="K136" s="15" t="s">
        <v>52</v>
      </c>
      <c r="L136" s="15" t="s">
        <v>52</v>
      </c>
      <c r="M136" s="1"/>
      <c r="N136" s="1" t="s">
        <v>11420</v>
      </c>
      <c r="O136" s="15" t="s">
        <v>40</v>
      </c>
      <c r="P136" s="15" t="s">
        <v>41</v>
      </c>
      <c r="Q136" s="1" t="s">
        <v>11421</v>
      </c>
      <c r="R136" s="2" t="s">
        <v>11422</v>
      </c>
      <c r="S136" s="1" t="s">
        <v>11423</v>
      </c>
      <c r="T136" s="1" t="s">
        <v>11424</v>
      </c>
      <c r="U136" s="1" t="s">
        <v>636</v>
      </c>
      <c r="V136" s="1" t="s">
        <v>45</v>
      </c>
      <c r="W136" s="1"/>
      <c r="X136" s="1"/>
      <c r="Y136" s="1"/>
      <c r="Z136" s="1" t="s">
        <v>823</v>
      </c>
      <c r="AA136" s="1" t="s">
        <v>11425</v>
      </c>
      <c r="AB136" s="11" t="s">
        <v>11426</v>
      </c>
      <c r="AC136" s="11" t="s">
        <v>11427</v>
      </c>
      <c r="AD136" s="1" t="s">
        <v>11428</v>
      </c>
      <c r="AE136" s="1"/>
      <c r="AF136" s="1"/>
      <c r="AG136" s="1"/>
      <c r="AH136" s="1" t="s">
        <v>45</v>
      </c>
      <c r="AI136" s="1"/>
      <c r="AJ136" s="1" t="s">
        <v>11429</v>
      </c>
      <c r="AK136" s="1" t="s">
        <v>5865</v>
      </c>
    </row>
    <row r="137" spans="1:37">
      <c r="A137" s="1" t="str">
        <f>VLOOKUP(H137,Languages!$A$2:$B$430,2,FALSE)</f>
        <v>Araucanian</v>
      </c>
      <c r="B137" s="1" t="s">
        <v>67</v>
      </c>
      <c r="C137" s="1" t="s">
        <v>206</v>
      </c>
      <c r="D137" s="1" t="s">
        <v>1235</v>
      </c>
      <c r="E137" s="15" t="s">
        <v>1236</v>
      </c>
      <c r="F137" s="15" t="s">
        <v>1237</v>
      </c>
      <c r="G137" s="1" t="s">
        <v>1236</v>
      </c>
      <c r="H137" s="1" t="str">
        <f>VLOOKUP(G137,'languoid 4.0'!$A$1:$I$24439,2,FALSE)</f>
        <v>arau1255</v>
      </c>
      <c r="I137" s="1" t="str">
        <f>VLOOKUP(G137,'languoid 4.0'!$A$1:$I$24439,6,FALSE)</f>
        <v>language</v>
      </c>
      <c r="J137" s="15" t="s">
        <v>52</v>
      </c>
      <c r="K137" s="15" t="s">
        <v>52</v>
      </c>
      <c r="L137" s="15" t="s">
        <v>52</v>
      </c>
      <c r="M137" s="1"/>
      <c r="N137" s="1" t="s">
        <v>1238</v>
      </c>
      <c r="O137" s="15" t="s">
        <v>40</v>
      </c>
      <c r="P137" s="15" t="s">
        <v>41</v>
      </c>
      <c r="Q137" s="1" t="s">
        <v>1239</v>
      </c>
      <c r="R137" s="2" t="s">
        <v>1240</v>
      </c>
      <c r="S137" s="1" t="s">
        <v>46</v>
      </c>
      <c r="T137" s="1" t="s">
        <v>635</v>
      </c>
      <c r="U137" s="1" t="s">
        <v>1241</v>
      </c>
      <c r="V137" s="1" t="s">
        <v>45</v>
      </c>
      <c r="W137" s="1"/>
      <c r="X137" s="1"/>
      <c r="Y137" s="1"/>
      <c r="Z137" s="1" t="s">
        <v>658</v>
      </c>
      <c r="AA137" s="1" t="s">
        <v>1242</v>
      </c>
      <c r="AB137" s="1" t="s">
        <v>46</v>
      </c>
      <c r="AC137" s="1" t="s">
        <v>46</v>
      </c>
      <c r="AD137" s="1" t="s">
        <v>1243</v>
      </c>
      <c r="AE137" s="1" t="s">
        <v>641</v>
      </c>
      <c r="AF137" s="1" t="s">
        <v>190</v>
      </c>
      <c r="AG137" s="1">
        <v>5</v>
      </c>
      <c r="AH137" s="1" t="s">
        <v>190</v>
      </c>
      <c r="AI137" s="1" t="s">
        <v>1244</v>
      </c>
      <c r="AJ137" s="1" t="s">
        <v>1245</v>
      </c>
      <c r="AK137" s="1" t="s">
        <v>1246</v>
      </c>
    </row>
    <row r="138" spans="1:37">
      <c r="A138" s="1" t="str">
        <f>VLOOKUP(H138,Languages!$A$2:$B$430,2,FALSE)</f>
        <v>Araucanian</v>
      </c>
      <c r="B138" s="1" t="s">
        <v>67</v>
      </c>
      <c r="C138" s="1" t="s">
        <v>206</v>
      </c>
      <c r="D138" s="1" t="s">
        <v>1235</v>
      </c>
      <c r="E138" s="15" t="s">
        <v>1236</v>
      </c>
      <c r="F138" s="15" t="s">
        <v>1237</v>
      </c>
      <c r="G138" s="1" t="s">
        <v>1236</v>
      </c>
      <c r="H138" s="1" t="str">
        <f>VLOOKUP(G138,'languoid 4.0'!$A$1:$I$24439,2,FALSE)</f>
        <v>arau1255</v>
      </c>
      <c r="I138" s="1" t="str">
        <f>VLOOKUP(G138,'languoid 4.0'!$A$1:$I$24439,6,FALSE)</f>
        <v>language</v>
      </c>
      <c r="J138" s="15" t="s">
        <v>52</v>
      </c>
      <c r="K138" s="15" t="s">
        <v>52</v>
      </c>
      <c r="L138" s="15" t="s">
        <v>52</v>
      </c>
      <c r="M138" s="1"/>
      <c r="N138" s="1" t="s">
        <v>1238</v>
      </c>
      <c r="O138" s="15" t="s">
        <v>40</v>
      </c>
      <c r="P138" s="15" t="s">
        <v>41</v>
      </c>
      <c r="Q138" s="1" t="s">
        <v>1490</v>
      </c>
      <c r="R138" s="2" t="s">
        <v>1491</v>
      </c>
      <c r="S138" s="1" t="s">
        <v>46</v>
      </c>
      <c r="T138" s="1" t="s">
        <v>635</v>
      </c>
      <c r="U138" s="1" t="s">
        <v>636</v>
      </c>
      <c r="V138" s="1" t="s">
        <v>45</v>
      </c>
      <c r="W138" s="1"/>
      <c r="X138" s="1"/>
      <c r="Y138" s="1"/>
      <c r="Z138" s="1" t="s">
        <v>658</v>
      </c>
      <c r="AA138" s="1" t="s">
        <v>1492</v>
      </c>
      <c r="AB138" s="1" t="s">
        <v>46</v>
      </c>
      <c r="AC138" s="1" t="s">
        <v>46</v>
      </c>
      <c r="AD138" s="1" t="s">
        <v>1493</v>
      </c>
      <c r="AE138" s="1" t="s">
        <v>641</v>
      </c>
      <c r="AF138" s="1" t="s">
        <v>190</v>
      </c>
      <c r="AG138" s="1">
        <v>5</v>
      </c>
      <c r="AH138" s="1" t="s">
        <v>190</v>
      </c>
      <c r="AI138" s="1"/>
      <c r="AJ138" s="1" t="s">
        <v>1494</v>
      </c>
      <c r="AK138" s="1" t="s">
        <v>1246</v>
      </c>
    </row>
    <row r="139" spans="1:37">
      <c r="A139" s="1" t="str">
        <f>VLOOKUP(H139,Languages!$A$2:$B$430,2,FALSE)</f>
        <v>Araucanian</v>
      </c>
      <c r="B139" s="1" t="s">
        <v>109</v>
      </c>
      <c r="C139" s="1" t="s">
        <v>206</v>
      </c>
      <c r="D139" s="1" t="s">
        <v>1235</v>
      </c>
      <c r="E139" s="15" t="s">
        <v>1236</v>
      </c>
      <c r="F139" s="15" t="s">
        <v>1236</v>
      </c>
      <c r="G139" s="1" t="s">
        <v>1236</v>
      </c>
      <c r="H139" s="1" t="str">
        <f>VLOOKUP(G139,'languoid 4.0'!$A$1:$I$24439,2,FALSE)</f>
        <v>arau1255</v>
      </c>
      <c r="I139" s="1" t="str">
        <f>VLOOKUP(G139,'languoid 4.0'!$A$1:$I$24439,6,FALSE)</f>
        <v>language</v>
      </c>
      <c r="J139" s="15" t="s">
        <v>38</v>
      </c>
      <c r="K139" s="15" t="s">
        <v>38</v>
      </c>
      <c r="L139" s="15" t="s">
        <v>38</v>
      </c>
      <c r="M139" s="1"/>
      <c r="N139" s="1" t="s">
        <v>1238</v>
      </c>
      <c r="O139" s="15" t="s">
        <v>40</v>
      </c>
      <c r="P139" s="15" t="s">
        <v>41</v>
      </c>
      <c r="Q139" s="1" t="s">
        <v>748</v>
      </c>
      <c r="R139" s="2" t="s">
        <v>11497</v>
      </c>
      <c r="S139" s="1" t="s">
        <v>579</v>
      </c>
      <c r="T139" s="1" t="s">
        <v>657</v>
      </c>
      <c r="U139" s="1" t="s">
        <v>636</v>
      </c>
      <c r="V139" s="1" t="s">
        <v>45</v>
      </c>
      <c r="W139" s="1"/>
      <c r="X139" s="1"/>
      <c r="Y139" s="1"/>
      <c r="Z139" s="1" t="s">
        <v>658</v>
      </c>
      <c r="AA139" s="1" t="s">
        <v>11498</v>
      </c>
      <c r="AB139" s="1" t="s">
        <v>46</v>
      </c>
      <c r="AC139" s="1" t="s">
        <v>46</v>
      </c>
      <c r="AD139" s="1"/>
      <c r="AE139" s="1" t="s">
        <v>641</v>
      </c>
      <c r="AF139" s="1" t="s">
        <v>190</v>
      </c>
      <c r="AG139" s="1">
        <v>6</v>
      </c>
      <c r="AH139" s="1" t="s">
        <v>190</v>
      </c>
      <c r="AI139" s="1"/>
      <c r="AJ139" s="3">
        <v>43525.603865740741</v>
      </c>
      <c r="AK139" s="1" t="s">
        <v>8686</v>
      </c>
    </row>
    <row r="140" spans="1:37">
      <c r="A140" s="1" t="str">
        <f>VLOOKUP(H140,Languages!$A$2:$B$430,2,FALSE)</f>
        <v>Araucanian</v>
      </c>
      <c r="B140" s="1" t="s">
        <v>1738</v>
      </c>
      <c r="C140" s="1" t="s">
        <v>206</v>
      </c>
      <c r="D140" s="1" t="s">
        <v>1235</v>
      </c>
      <c r="E140" s="15" t="s">
        <v>1236</v>
      </c>
      <c r="F140" s="15" t="s">
        <v>1237</v>
      </c>
      <c r="G140" s="1" t="s">
        <v>1236</v>
      </c>
      <c r="H140" s="1" t="str">
        <f>VLOOKUP(G140,'languoid 4.0'!$A$1:$I$24439,2,FALSE)</f>
        <v>arau1255</v>
      </c>
      <c r="I140" s="1" t="str">
        <f>VLOOKUP(G140,'languoid 4.0'!$A$1:$I$24439,6,FALSE)</f>
        <v>language</v>
      </c>
      <c r="J140" s="15" t="s">
        <v>52</v>
      </c>
      <c r="K140" s="15" t="s">
        <v>52</v>
      </c>
      <c r="L140" s="15" t="s">
        <v>52</v>
      </c>
      <c r="M140" s="1"/>
      <c r="N140" s="1" t="s">
        <v>1238</v>
      </c>
      <c r="O140" s="15" t="s">
        <v>40</v>
      </c>
      <c r="P140" s="15" t="s">
        <v>41</v>
      </c>
      <c r="Q140" s="1" t="s">
        <v>2541</v>
      </c>
      <c r="R140" s="2" t="s">
        <v>2542</v>
      </c>
      <c r="S140" s="1" t="s">
        <v>2534</v>
      </c>
      <c r="T140" s="1" t="s">
        <v>635</v>
      </c>
      <c r="U140" s="1" t="s">
        <v>2543</v>
      </c>
      <c r="V140" s="1" t="s">
        <v>45</v>
      </c>
      <c r="W140" s="1"/>
      <c r="X140" s="1"/>
      <c r="Y140" s="1"/>
      <c r="Z140" s="1" t="s">
        <v>658</v>
      </c>
      <c r="AA140" s="1" t="s">
        <v>2544</v>
      </c>
      <c r="AB140" s="1" t="s">
        <v>2534</v>
      </c>
      <c r="AC140" s="1" t="s">
        <v>2534</v>
      </c>
      <c r="AD140" s="1" t="s">
        <v>2545</v>
      </c>
      <c r="AE140" s="1" t="s">
        <v>641</v>
      </c>
      <c r="AF140" s="1" t="s">
        <v>190</v>
      </c>
      <c r="AG140" s="1">
        <v>6</v>
      </c>
      <c r="AH140" s="1" t="s">
        <v>190</v>
      </c>
      <c r="AI140" s="1"/>
      <c r="AJ140" s="3">
        <v>43163.667245370372</v>
      </c>
      <c r="AK140" s="1" t="s">
        <v>1246</v>
      </c>
    </row>
    <row r="141" spans="1:37">
      <c r="A141" s="1" t="str">
        <f>VLOOKUP(H141,Languages!$A$2:$B$430,2,FALSE)</f>
        <v>Arawakan</v>
      </c>
      <c r="B141" s="1" t="s">
        <v>67</v>
      </c>
      <c r="C141" s="1" t="s">
        <v>477</v>
      </c>
      <c r="D141" s="1" t="s">
        <v>862</v>
      </c>
      <c r="E141" s="15" t="s">
        <v>863</v>
      </c>
      <c r="F141" s="15" t="s">
        <v>864</v>
      </c>
      <c r="G141" s="1" t="s">
        <v>864</v>
      </c>
      <c r="H141" s="1" t="str">
        <f>VLOOKUP(G141,'languoid 4.0'!$A$1:$I$24439,2,FALSE)</f>
        <v>araw1281</v>
      </c>
      <c r="I141" s="1" t="str">
        <f>VLOOKUP(G141,'languoid 4.0'!$A$1:$I$24439,6,FALSE)</f>
        <v>language</v>
      </c>
      <c r="J141" s="15" t="s">
        <v>52</v>
      </c>
      <c r="K141" s="15" t="s">
        <v>368</v>
      </c>
      <c r="L141" s="15" t="s">
        <v>368</v>
      </c>
      <c r="M141" s="1" t="s">
        <v>865</v>
      </c>
      <c r="N141" s="1" t="e">
        <v>#N/A</v>
      </c>
      <c r="O141" s="15" t="s">
        <v>40</v>
      </c>
      <c r="P141" s="15" t="s">
        <v>41</v>
      </c>
      <c r="Q141" s="1" t="s">
        <v>871</v>
      </c>
      <c r="R141" s="2" t="s">
        <v>872</v>
      </c>
      <c r="S141" s="1" t="s">
        <v>46</v>
      </c>
      <c r="T141" s="1" t="s">
        <v>693</v>
      </c>
      <c r="U141" s="1" t="s">
        <v>636</v>
      </c>
      <c r="V141" s="1" t="s">
        <v>45</v>
      </c>
      <c r="W141" s="1"/>
      <c r="X141" s="1"/>
      <c r="Y141" s="1"/>
      <c r="Z141" s="1" t="s">
        <v>658</v>
      </c>
      <c r="AA141" s="1" t="s">
        <v>873</v>
      </c>
      <c r="AB141" s="1" t="s">
        <v>874</v>
      </c>
      <c r="AC141" s="1" t="s">
        <v>46</v>
      </c>
      <c r="AD141" s="1"/>
      <c r="AE141" s="1" t="s">
        <v>641</v>
      </c>
      <c r="AF141" s="1" t="s">
        <v>190</v>
      </c>
      <c r="AG141" s="1">
        <v>3</v>
      </c>
      <c r="AH141" s="1" t="s">
        <v>190</v>
      </c>
      <c r="AI141" s="1"/>
      <c r="AJ141" s="3">
        <v>43253.577418981484</v>
      </c>
      <c r="AK141" s="1" t="s">
        <v>651</v>
      </c>
    </row>
    <row r="142" spans="1:37">
      <c r="A142" s="1" t="str">
        <f>VLOOKUP(H142,Languages!$A$2:$B$430,2,FALSE)</f>
        <v>Arawakan</v>
      </c>
      <c r="B142" s="1" t="s">
        <v>67</v>
      </c>
      <c r="C142" s="1" t="s">
        <v>154</v>
      </c>
      <c r="D142" s="1" t="s">
        <v>285</v>
      </c>
      <c r="E142" s="15" t="s">
        <v>286</v>
      </c>
      <c r="F142" s="15" t="s">
        <v>286</v>
      </c>
      <c r="G142" s="1" t="s">
        <v>286</v>
      </c>
      <c r="H142" s="1" t="str">
        <f>VLOOKUP(G142,'languoid 4.0'!$A$1:$I$24439,2,FALSE)</f>
        <v>araw1281</v>
      </c>
      <c r="I142" s="1" t="str">
        <f>VLOOKUP(G142,'languoid 4.0'!$A$1:$I$24439,6,FALSE)</f>
        <v>language</v>
      </c>
      <c r="J142" s="15" t="s">
        <v>38</v>
      </c>
      <c r="K142" s="15" t="s">
        <v>38</v>
      </c>
      <c r="L142" s="15" t="s">
        <v>38</v>
      </c>
      <c r="M142" s="1"/>
      <c r="N142" s="1" t="s">
        <v>288</v>
      </c>
      <c r="O142" s="15" t="s">
        <v>40</v>
      </c>
      <c r="P142" s="15" t="s">
        <v>41</v>
      </c>
      <c r="Q142" s="1" t="s">
        <v>289</v>
      </c>
      <c r="R142" s="2" t="s">
        <v>6784</v>
      </c>
      <c r="S142" s="1" t="s">
        <v>5684</v>
      </c>
      <c r="T142" s="1" t="s">
        <v>6428</v>
      </c>
      <c r="U142" s="1" t="s">
        <v>1812</v>
      </c>
      <c r="V142" s="1" t="s">
        <v>45</v>
      </c>
      <c r="W142" s="1"/>
      <c r="X142" s="1"/>
      <c r="Y142" s="1"/>
      <c r="Z142" s="1" t="s">
        <v>673</v>
      </c>
      <c r="AA142" s="1" t="s">
        <v>46</v>
      </c>
      <c r="AB142" s="1" t="s">
        <v>6791</v>
      </c>
      <c r="AC142" s="1" t="s">
        <v>46</v>
      </c>
      <c r="AD142" s="1"/>
      <c r="AE142" s="1" t="s">
        <v>641</v>
      </c>
      <c r="AF142" s="1" t="s">
        <v>190</v>
      </c>
      <c r="AG142" s="1">
        <v>4</v>
      </c>
      <c r="AH142" s="1" t="s">
        <v>190</v>
      </c>
      <c r="AI142" s="1"/>
      <c r="AJ142" s="1" t="s">
        <v>6792</v>
      </c>
      <c r="AK142" s="1" t="s">
        <v>6365</v>
      </c>
    </row>
    <row r="143" spans="1:37">
      <c r="A143" s="1" t="str">
        <f>VLOOKUP(H143,Languages!$A$2:$B$430,2,FALSE)</f>
        <v>Arawakan</v>
      </c>
      <c r="B143" s="1" t="s">
        <v>67</v>
      </c>
      <c r="C143" s="1" t="s">
        <v>154</v>
      </c>
      <c r="D143" s="1" t="s">
        <v>285</v>
      </c>
      <c r="E143" s="15" t="s">
        <v>286</v>
      </c>
      <c r="F143" s="15" t="s">
        <v>286</v>
      </c>
      <c r="G143" s="1" t="s">
        <v>286</v>
      </c>
      <c r="H143" s="1" t="str">
        <f>VLOOKUP(G143,'languoid 4.0'!$A$1:$I$24439,2,FALSE)</f>
        <v>araw1281</v>
      </c>
      <c r="I143" s="1" t="str">
        <f>VLOOKUP(G143,'languoid 4.0'!$A$1:$I$24439,6,FALSE)</f>
        <v>language</v>
      </c>
      <c r="J143" s="15" t="s">
        <v>38</v>
      </c>
      <c r="K143" s="15" t="s">
        <v>38</v>
      </c>
      <c r="L143" s="15" t="s">
        <v>38</v>
      </c>
      <c r="M143" s="1"/>
      <c r="N143" s="1" t="s">
        <v>288</v>
      </c>
      <c r="O143" s="15" t="s">
        <v>40</v>
      </c>
      <c r="P143" s="15" t="s">
        <v>41</v>
      </c>
      <c r="Q143" s="1" t="s">
        <v>6793</v>
      </c>
      <c r="R143" s="2" t="s">
        <v>6784</v>
      </c>
      <c r="S143" s="1" t="s">
        <v>6378</v>
      </c>
      <c r="T143" s="1" t="s">
        <v>6428</v>
      </c>
      <c r="U143" s="1" t="s">
        <v>636</v>
      </c>
      <c r="V143" s="1" t="s">
        <v>45</v>
      </c>
      <c r="W143" s="1"/>
      <c r="X143" s="1"/>
      <c r="Y143" s="1"/>
      <c r="Z143" s="1" t="s">
        <v>673</v>
      </c>
      <c r="AA143" s="1" t="s">
        <v>46</v>
      </c>
      <c r="AB143" s="1" t="s">
        <v>6794</v>
      </c>
      <c r="AC143" s="1" t="s">
        <v>46</v>
      </c>
      <c r="AD143" s="1"/>
      <c r="AE143" s="1" t="s">
        <v>641</v>
      </c>
      <c r="AF143" s="1" t="s">
        <v>190</v>
      </c>
      <c r="AG143" s="1">
        <v>6</v>
      </c>
      <c r="AH143" s="1" t="s">
        <v>190</v>
      </c>
      <c r="AI143" s="1"/>
      <c r="AJ143" s="1" t="s">
        <v>6795</v>
      </c>
      <c r="AK143" s="1" t="s">
        <v>6365</v>
      </c>
    </row>
    <row r="144" spans="1:37">
      <c r="A144" s="1" t="str">
        <f>VLOOKUP(H144,Languages!$A$2:$B$430,2,FALSE)</f>
        <v>Arawakan</v>
      </c>
      <c r="B144" s="1" t="s">
        <v>67</v>
      </c>
      <c r="C144" s="1" t="s">
        <v>154</v>
      </c>
      <c r="D144" s="1" t="s">
        <v>285</v>
      </c>
      <c r="E144" s="15" t="s">
        <v>286</v>
      </c>
      <c r="F144" s="15" t="s">
        <v>286</v>
      </c>
      <c r="G144" s="1" t="s">
        <v>286</v>
      </c>
      <c r="H144" s="1" t="str">
        <f>VLOOKUP(G144,'languoid 4.0'!$A$1:$I$24439,2,FALSE)</f>
        <v>araw1281</v>
      </c>
      <c r="I144" s="1" t="str">
        <f>VLOOKUP(G144,'languoid 4.0'!$A$1:$I$24439,6,FALSE)</f>
        <v>language</v>
      </c>
      <c r="J144" s="15" t="s">
        <v>38</v>
      </c>
      <c r="K144" s="15" t="s">
        <v>38</v>
      </c>
      <c r="L144" s="15" t="s">
        <v>38</v>
      </c>
      <c r="M144" s="1"/>
      <c r="N144" s="1" t="s">
        <v>288</v>
      </c>
      <c r="O144" s="15" t="s">
        <v>40</v>
      </c>
      <c r="P144" s="15" t="s">
        <v>41</v>
      </c>
      <c r="Q144" s="1" t="s">
        <v>6796</v>
      </c>
      <c r="R144" s="2" t="s">
        <v>6784</v>
      </c>
      <c r="S144" s="1" t="s">
        <v>6779</v>
      </c>
      <c r="T144" s="1" t="s">
        <v>6428</v>
      </c>
      <c r="U144" s="1" t="s">
        <v>1726</v>
      </c>
      <c r="V144" s="1" t="s">
        <v>45</v>
      </c>
      <c r="W144" s="1"/>
      <c r="X144" s="1"/>
      <c r="Y144" s="1"/>
      <c r="Z144" s="1" t="s">
        <v>673</v>
      </c>
      <c r="AA144" s="1" t="s">
        <v>46</v>
      </c>
      <c r="AB144" s="1" t="s">
        <v>6797</v>
      </c>
      <c r="AC144" s="1" t="s">
        <v>46</v>
      </c>
      <c r="AD144" s="1"/>
      <c r="AE144" s="1" t="s">
        <v>641</v>
      </c>
      <c r="AF144" s="1" t="s">
        <v>190</v>
      </c>
      <c r="AG144" s="1">
        <v>5</v>
      </c>
      <c r="AH144" s="1" t="s">
        <v>190</v>
      </c>
      <c r="AI144" s="1"/>
      <c r="AJ144" s="1" t="s">
        <v>6798</v>
      </c>
      <c r="AK144" s="1" t="s">
        <v>6365</v>
      </c>
    </row>
    <row r="145" spans="1:37">
      <c r="A145" s="1" t="str">
        <f>VLOOKUP(H145,Languages!$A$2:$B$430,2,FALSE)</f>
        <v>Arawakan</v>
      </c>
      <c r="B145" s="1" t="s">
        <v>67</v>
      </c>
      <c r="C145" s="1" t="s">
        <v>139</v>
      </c>
      <c r="D145" s="1" t="s">
        <v>1712</v>
      </c>
      <c r="E145" s="15" t="s">
        <v>1713</v>
      </c>
      <c r="F145" s="15" t="s">
        <v>1714</v>
      </c>
      <c r="G145" s="1" t="s">
        <v>1714</v>
      </c>
      <c r="H145" s="1" t="str">
        <f>VLOOKUP(G145,'languoid 4.0'!$A$1:$I$24439,2,FALSE)</f>
        <v>araw1281</v>
      </c>
      <c r="I145" s="1" t="str">
        <f>VLOOKUP(G145,'languoid 4.0'!$A$1:$I$24439,6,FALSE)</f>
        <v>language</v>
      </c>
      <c r="J145" s="15" t="s">
        <v>52</v>
      </c>
      <c r="K145" s="15" t="s">
        <v>38</v>
      </c>
      <c r="L145" s="15" t="s">
        <v>38</v>
      </c>
      <c r="M145" s="1"/>
      <c r="N145" s="1" t="s">
        <v>1715</v>
      </c>
      <c r="O145" s="15" t="s">
        <v>40</v>
      </c>
      <c r="P145" s="15" t="s">
        <v>41</v>
      </c>
      <c r="Q145" s="1" t="s">
        <v>7563</v>
      </c>
      <c r="R145" s="2" t="s">
        <v>7564</v>
      </c>
      <c r="S145" s="1" t="s">
        <v>663</v>
      </c>
      <c r="T145" s="1" t="s">
        <v>648</v>
      </c>
      <c r="U145" s="1" t="s">
        <v>636</v>
      </c>
      <c r="V145" s="1" t="s">
        <v>45</v>
      </c>
      <c r="W145" s="1"/>
      <c r="X145" s="1"/>
      <c r="Y145" s="1"/>
      <c r="Z145" s="1" t="s">
        <v>637</v>
      </c>
      <c r="AA145" s="1" t="s">
        <v>7565</v>
      </c>
      <c r="AB145" s="1" t="s">
        <v>7566</v>
      </c>
      <c r="AC145" s="1" t="s">
        <v>46</v>
      </c>
      <c r="AD145" s="1"/>
      <c r="AE145" s="1" t="s">
        <v>641</v>
      </c>
      <c r="AF145" s="1" t="s">
        <v>190</v>
      </c>
      <c r="AG145" s="1">
        <v>4</v>
      </c>
      <c r="AH145" s="1" t="s">
        <v>190</v>
      </c>
      <c r="AI145" s="1"/>
      <c r="AJ145" s="1" t="s">
        <v>7567</v>
      </c>
      <c r="AK145" s="1" t="s">
        <v>6411</v>
      </c>
    </row>
    <row r="146" spans="1:37">
      <c r="A146" s="1" t="str">
        <f>VLOOKUP(H146,Languages!$A$2:$B$430,2,FALSE)</f>
        <v>Arawakan</v>
      </c>
      <c r="B146" s="1" t="s">
        <v>67</v>
      </c>
      <c r="C146" s="1" t="s">
        <v>139</v>
      </c>
      <c r="D146" s="1" t="s">
        <v>1712</v>
      </c>
      <c r="E146" s="15" t="s">
        <v>1713</v>
      </c>
      <c r="F146" s="15" t="s">
        <v>1714</v>
      </c>
      <c r="G146" s="1" t="s">
        <v>1713</v>
      </c>
      <c r="H146" s="1" t="str">
        <f>VLOOKUP(G146,'languoid 4.0'!$A$1:$I$24439,2,FALSE)</f>
        <v>araw1281</v>
      </c>
      <c r="I146" s="1" t="str">
        <f>VLOOKUP(G146,'languoid 4.0'!$A$1:$I$24439,6,FALSE)</f>
        <v>language</v>
      </c>
      <c r="J146" s="15" t="s">
        <v>52</v>
      </c>
      <c r="K146" s="15" t="s">
        <v>38</v>
      </c>
      <c r="L146" s="15" t="s">
        <v>38</v>
      </c>
      <c r="M146" s="1"/>
      <c r="N146" s="1" t="s">
        <v>1715</v>
      </c>
      <c r="O146" s="15" t="s">
        <v>40</v>
      </c>
      <c r="P146" s="15" t="s">
        <v>41</v>
      </c>
      <c r="Q146" s="1" t="s">
        <v>9821</v>
      </c>
      <c r="R146" s="2" t="s">
        <v>9822</v>
      </c>
      <c r="S146" s="1" t="s">
        <v>46</v>
      </c>
      <c r="T146" s="1" t="s">
        <v>635</v>
      </c>
      <c r="U146" s="1" t="s">
        <v>636</v>
      </c>
      <c r="V146" s="1" t="s">
        <v>45</v>
      </c>
      <c r="W146" s="1"/>
      <c r="X146" s="1"/>
      <c r="Y146" s="1"/>
      <c r="Z146" s="1" t="s">
        <v>658</v>
      </c>
      <c r="AA146" s="1" t="s">
        <v>9823</v>
      </c>
      <c r="AB146" s="1" t="s">
        <v>46</v>
      </c>
      <c r="AC146" s="1" t="s">
        <v>46</v>
      </c>
      <c r="AD146" s="1"/>
      <c r="AE146" s="1" t="s">
        <v>641</v>
      </c>
      <c r="AF146" s="1" t="s">
        <v>190</v>
      </c>
      <c r="AG146" s="1">
        <v>6</v>
      </c>
      <c r="AH146" s="1" t="s">
        <v>190</v>
      </c>
      <c r="AI146" s="1"/>
      <c r="AJ146" s="1" t="s">
        <v>9824</v>
      </c>
      <c r="AK146" s="1" t="s">
        <v>8645</v>
      </c>
    </row>
    <row r="147" spans="1:37">
      <c r="A147" s="1" t="str">
        <f>VLOOKUP(H147,Languages!$A$2:$B$430,2,FALSE)</f>
        <v>Arawakan</v>
      </c>
      <c r="B147" s="1" t="s">
        <v>67</v>
      </c>
      <c r="C147" s="1" t="s">
        <v>139</v>
      </c>
      <c r="D147" s="1" t="s">
        <v>1712</v>
      </c>
      <c r="E147" s="15" t="s">
        <v>1713</v>
      </c>
      <c r="F147" s="15" t="s">
        <v>1714</v>
      </c>
      <c r="G147" s="1" t="s">
        <v>1713</v>
      </c>
      <c r="H147" s="1" t="str">
        <f>VLOOKUP(G147,'languoid 4.0'!$A$1:$I$24439,2,FALSE)</f>
        <v>araw1281</v>
      </c>
      <c r="I147" s="1" t="str">
        <f>VLOOKUP(G147,'languoid 4.0'!$A$1:$I$24439,6,FALSE)</f>
        <v>language</v>
      </c>
      <c r="J147" s="15" t="s">
        <v>52</v>
      </c>
      <c r="K147" s="15" t="s">
        <v>38</v>
      </c>
      <c r="L147" s="15" t="s">
        <v>38</v>
      </c>
      <c r="M147" s="1"/>
      <c r="N147" s="1" t="s">
        <v>1715</v>
      </c>
      <c r="O147" s="15" t="s">
        <v>40</v>
      </c>
      <c r="P147" s="15" t="s">
        <v>41</v>
      </c>
      <c r="Q147" s="1" t="s">
        <v>9821</v>
      </c>
      <c r="R147" s="2" t="s">
        <v>9825</v>
      </c>
      <c r="S147" s="1" t="s">
        <v>46</v>
      </c>
      <c r="T147" s="1" t="s">
        <v>635</v>
      </c>
      <c r="U147" s="1" t="s">
        <v>636</v>
      </c>
      <c r="V147" s="1" t="s">
        <v>45</v>
      </c>
      <c r="W147" s="1"/>
      <c r="X147" s="1"/>
      <c r="Y147" s="1"/>
      <c r="Z147" s="1" t="s">
        <v>658</v>
      </c>
      <c r="AA147" s="1" t="s">
        <v>9826</v>
      </c>
      <c r="AB147" s="1" t="s">
        <v>46</v>
      </c>
      <c r="AC147" s="1" t="s">
        <v>46</v>
      </c>
      <c r="AD147" s="1" t="s">
        <v>46</v>
      </c>
      <c r="AE147" s="1" t="s">
        <v>641</v>
      </c>
      <c r="AF147" s="1" t="s">
        <v>190</v>
      </c>
      <c r="AG147" s="1">
        <v>6</v>
      </c>
      <c r="AH147" s="1" t="s">
        <v>190</v>
      </c>
      <c r="AI147" s="1"/>
      <c r="AJ147" s="1" t="s">
        <v>9827</v>
      </c>
      <c r="AK147" s="1" t="s">
        <v>8645</v>
      </c>
    </row>
    <row r="148" spans="1:37">
      <c r="A148" s="1" t="str">
        <f>VLOOKUP(H148,Languages!$A$2:$B$430,2,FALSE)</f>
        <v>Arawakan</v>
      </c>
      <c r="B148" s="1" t="s">
        <v>67</v>
      </c>
      <c r="C148" s="1" t="s">
        <v>407</v>
      </c>
      <c r="D148" s="1" t="s">
        <v>11499</v>
      </c>
      <c r="E148" s="15" t="s">
        <v>11500</v>
      </c>
      <c r="F148" s="15" t="s">
        <v>11500</v>
      </c>
      <c r="G148" s="1" t="s">
        <v>11500</v>
      </c>
      <c r="H148" s="1" t="str">
        <f>VLOOKUP(G148,'languoid 4.0'!$A$1:$I$24439,2,FALSE)</f>
        <v>araw1281</v>
      </c>
      <c r="I148" s="1" t="str">
        <f>VLOOKUP(G148,'languoid 4.0'!$A$1:$I$24439,6,FALSE)</f>
        <v>language</v>
      </c>
      <c r="J148" s="15" t="s">
        <v>38</v>
      </c>
      <c r="K148" s="15" t="s">
        <v>38</v>
      </c>
      <c r="L148" s="15" t="s">
        <v>38</v>
      </c>
      <c r="M148" s="1"/>
      <c r="N148" s="1" t="s">
        <v>11501</v>
      </c>
      <c r="O148" s="15" t="s">
        <v>40</v>
      </c>
      <c r="P148" s="15" t="s">
        <v>41</v>
      </c>
      <c r="Q148" s="1" t="s">
        <v>11502</v>
      </c>
      <c r="R148" s="2" t="s">
        <v>11503</v>
      </c>
      <c r="S148" s="1" t="s">
        <v>46</v>
      </c>
      <c r="T148" s="1" t="s">
        <v>1689</v>
      </c>
      <c r="U148" s="1" t="s">
        <v>636</v>
      </c>
      <c r="V148" s="1" t="s">
        <v>45</v>
      </c>
      <c r="W148" s="1"/>
      <c r="X148" s="1"/>
      <c r="Y148" s="1"/>
      <c r="Z148" s="1" t="s">
        <v>637</v>
      </c>
      <c r="AA148" s="1" t="s">
        <v>11504</v>
      </c>
      <c r="AB148" s="1" t="s">
        <v>11505</v>
      </c>
      <c r="AC148" s="1" t="s">
        <v>46</v>
      </c>
      <c r="AD148" s="1"/>
      <c r="AE148" s="1" t="s">
        <v>641</v>
      </c>
      <c r="AF148" s="1" t="s">
        <v>190</v>
      </c>
      <c r="AG148" s="1">
        <v>5</v>
      </c>
      <c r="AH148" s="1" t="s">
        <v>190</v>
      </c>
      <c r="AI148" s="1" t="s">
        <v>11506</v>
      </c>
      <c r="AJ148" s="3">
        <v>43525.876331018517</v>
      </c>
      <c r="AK148" s="1" t="s">
        <v>10927</v>
      </c>
    </row>
    <row r="149" spans="1:37">
      <c r="A149" s="1" t="str">
        <f>VLOOKUP(H149,Languages!$A$2:$B$430,2,FALSE)</f>
        <v>Arawakan</v>
      </c>
      <c r="B149" s="1" t="s">
        <v>67</v>
      </c>
      <c r="C149" s="1" t="s">
        <v>267</v>
      </c>
      <c r="D149" s="1" t="s">
        <v>9934</v>
      </c>
      <c r="E149" s="15" t="s">
        <v>286</v>
      </c>
      <c r="F149" s="15" t="s">
        <v>286</v>
      </c>
      <c r="G149" s="1" t="s">
        <v>286</v>
      </c>
      <c r="H149" s="1" t="str">
        <f>VLOOKUP(G149,'languoid 4.0'!$A$1:$I$24439,2,FALSE)</f>
        <v>araw1281</v>
      </c>
      <c r="I149" s="1" t="str">
        <f>VLOOKUP(G149,'languoid 4.0'!$A$1:$I$24439,6,FALSE)</f>
        <v>language</v>
      </c>
      <c r="J149" s="15" t="s">
        <v>38</v>
      </c>
      <c r="K149" s="15" t="s">
        <v>38</v>
      </c>
      <c r="L149" s="15" t="s">
        <v>38</v>
      </c>
      <c r="M149" s="1"/>
      <c r="N149" s="1" t="s">
        <v>288</v>
      </c>
      <c r="O149" s="15" t="s">
        <v>40</v>
      </c>
      <c r="P149" s="15" t="s">
        <v>41</v>
      </c>
      <c r="Q149" s="1" t="s">
        <v>9939</v>
      </c>
      <c r="R149" s="2" t="s">
        <v>9940</v>
      </c>
      <c r="S149" s="1" t="s">
        <v>351</v>
      </c>
      <c r="T149" s="1" t="s">
        <v>9174</v>
      </c>
      <c r="U149" s="1" t="s">
        <v>1812</v>
      </c>
      <c r="V149" s="1" t="s">
        <v>45</v>
      </c>
      <c r="W149" s="1"/>
      <c r="X149" s="1"/>
      <c r="Y149" s="1"/>
      <c r="Z149" s="1" t="s">
        <v>673</v>
      </c>
      <c r="AA149" s="1" t="s">
        <v>46</v>
      </c>
      <c r="AB149" s="1" t="s">
        <v>9941</v>
      </c>
      <c r="AC149" s="1" t="s">
        <v>46</v>
      </c>
      <c r="AD149" s="1"/>
      <c r="AE149" s="1" t="s">
        <v>641</v>
      </c>
      <c r="AF149" s="1" t="s">
        <v>190</v>
      </c>
      <c r="AG149" s="1">
        <v>5</v>
      </c>
      <c r="AH149" s="1" t="s">
        <v>190</v>
      </c>
      <c r="AI149" s="1"/>
      <c r="AJ149" s="1" t="s">
        <v>9942</v>
      </c>
      <c r="AK149" s="1" t="s">
        <v>4945</v>
      </c>
    </row>
    <row r="150" spans="1:37">
      <c r="A150" s="1" t="str">
        <f>VLOOKUP(H150,Languages!$A$2:$B$430,2,FALSE)</f>
        <v>Arawakan</v>
      </c>
      <c r="B150" s="1" t="s">
        <v>59</v>
      </c>
      <c r="C150" s="1" t="s">
        <v>477</v>
      </c>
      <c r="D150" s="1" t="s">
        <v>862</v>
      </c>
      <c r="E150" s="15" t="s">
        <v>863</v>
      </c>
      <c r="F150" s="15" t="s">
        <v>864</v>
      </c>
      <c r="G150" s="1" t="s">
        <v>864</v>
      </c>
      <c r="H150" s="1" t="str">
        <f>VLOOKUP(G150,'languoid 4.0'!$A$1:$I$24439,2,FALSE)</f>
        <v>araw1281</v>
      </c>
      <c r="I150" s="1" t="str">
        <f>VLOOKUP(G150,'languoid 4.0'!$A$1:$I$24439,6,FALSE)</f>
        <v>language</v>
      </c>
      <c r="J150" s="15" t="s">
        <v>52</v>
      </c>
      <c r="K150" s="15" t="s">
        <v>368</v>
      </c>
      <c r="L150" s="15" t="s">
        <v>368</v>
      </c>
      <c r="M150" s="1" t="s">
        <v>865</v>
      </c>
      <c r="N150" s="1" t="e">
        <v>#N/A</v>
      </c>
      <c r="O150" s="15" t="s">
        <v>40</v>
      </c>
      <c r="P150" s="15" t="s">
        <v>41</v>
      </c>
      <c r="Q150" s="1" t="s">
        <v>866</v>
      </c>
      <c r="R150" s="2" t="s">
        <v>867</v>
      </c>
      <c r="S150" s="1" t="s">
        <v>868</v>
      </c>
      <c r="T150" s="1" t="s">
        <v>693</v>
      </c>
      <c r="U150" s="1" t="s">
        <v>67</v>
      </c>
      <c r="V150" s="1" t="s">
        <v>45</v>
      </c>
      <c r="W150" s="1"/>
      <c r="X150" s="1"/>
      <c r="Y150" s="1"/>
      <c r="Z150" s="1" t="s">
        <v>637</v>
      </c>
      <c r="AA150" s="1" t="s">
        <v>869</v>
      </c>
      <c r="AB150" s="1" t="s">
        <v>870</v>
      </c>
      <c r="AC150" s="1" t="s">
        <v>46</v>
      </c>
      <c r="AD150" s="1"/>
      <c r="AE150" s="1" t="s">
        <v>641</v>
      </c>
      <c r="AF150" s="1" t="s">
        <v>190</v>
      </c>
      <c r="AG150" s="1">
        <v>5</v>
      </c>
      <c r="AH150" s="1" t="s">
        <v>190</v>
      </c>
      <c r="AI150" s="1"/>
      <c r="AJ150" s="3">
        <v>43253.571736111109</v>
      </c>
      <c r="AK150" s="1" t="s">
        <v>651</v>
      </c>
    </row>
    <row r="151" spans="1:37">
      <c r="A151" s="1" t="str">
        <f>VLOOKUP(H151,Languages!$A$2:$B$430,2,FALSE)</f>
        <v>Arawakan</v>
      </c>
      <c r="B151" s="1" t="s">
        <v>59</v>
      </c>
      <c r="C151" s="1" t="s">
        <v>477</v>
      </c>
      <c r="D151" s="1" t="s">
        <v>862</v>
      </c>
      <c r="E151" s="15" t="s">
        <v>863</v>
      </c>
      <c r="F151" s="15" t="s">
        <v>864</v>
      </c>
      <c r="G151" s="1" t="s">
        <v>864</v>
      </c>
      <c r="H151" s="1" t="str">
        <f>VLOOKUP(G151,'languoid 4.0'!$A$1:$I$24439,2,FALSE)</f>
        <v>araw1281</v>
      </c>
      <c r="I151" s="1" t="str">
        <f>VLOOKUP(G151,'languoid 4.0'!$A$1:$I$24439,6,FALSE)</f>
        <v>language</v>
      </c>
      <c r="J151" s="15" t="s">
        <v>52</v>
      </c>
      <c r="K151" s="15" t="s">
        <v>368</v>
      </c>
      <c r="L151" s="15" t="s">
        <v>368</v>
      </c>
      <c r="M151" s="1" t="s">
        <v>865</v>
      </c>
      <c r="N151" s="1" t="e">
        <v>#N/A</v>
      </c>
      <c r="O151" s="15" t="s">
        <v>40</v>
      </c>
      <c r="P151" s="15" t="s">
        <v>41</v>
      </c>
      <c r="Q151" s="1" t="s">
        <v>2414</v>
      </c>
      <c r="R151" s="2" t="s">
        <v>2415</v>
      </c>
      <c r="S151" s="4">
        <v>43809</v>
      </c>
      <c r="T151" s="1" t="s">
        <v>1689</v>
      </c>
      <c r="U151" s="1" t="s">
        <v>636</v>
      </c>
      <c r="V151" s="1" t="s">
        <v>45</v>
      </c>
      <c r="W151" s="1"/>
      <c r="X151" s="1"/>
      <c r="Y151" s="1"/>
      <c r="Z151" s="1" t="s">
        <v>637</v>
      </c>
      <c r="AA151" s="1" t="s">
        <v>2416</v>
      </c>
      <c r="AB151" s="1" t="s">
        <v>2417</v>
      </c>
      <c r="AC151" s="1" t="s">
        <v>46</v>
      </c>
      <c r="AD151" s="1"/>
      <c r="AE151" s="1" t="s">
        <v>641</v>
      </c>
      <c r="AF151" s="1" t="s">
        <v>190</v>
      </c>
      <c r="AG151" s="1">
        <v>2</v>
      </c>
      <c r="AH151" s="1" t="s">
        <v>190</v>
      </c>
      <c r="AI151" s="1"/>
      <c r="AJ151" s="1" t="s">
        <v>2418</v>
      </c>
      <c r="AK151" s="1" t="s">
        <v>651</v>
      </c>
    </row>
    <row r="152" spans="1:37">
      <c r="A152" s="1" t="str">
        <f>VLOOKUP(H152,Languages!$A$2:$B$430,2,FALSE)</f>
        <v>Arawakan</v>
      </c>
      <c r="B152" s="1" t="s">
        <v>109</v>
      </c>
      <c r="C152" s="1" t="s">
        <v>154</v>
      </c>
      <c r="D152" s="1" t="s">
        <v>285</v>
      </c>
      <c r="E152" s="15" t="s">
        <v>286</v>
      </c>
      <c r="F152" s="15" t="s">
        <v>287</v>
      </c>
      <c r="G152" s="1" t="s">
        <v>286</v>
      </c>
      <c r="H152" s="1" t="str">
        <f>VLOOKUP(G152,'languoid 4.0'!$A$1:$I$24439,2,FALSE)</f>
        <v>araw1281</v>
      </c>
      <c r="I152" s="1" t="str">
        <f>VLOOKUP(G152,'languoid 4.0'!$A$1:$I$24439,6,FALSE)</f>
        <v>language</v>
      </c>
      <c r="J152" s="15" t="s">
        <v>52</v>
      </c>
      <c r="K152" s="15" t="s">
        <v>52</v>
      </c>
      <c r="L152" s="15" t="s">
        <v>38</v>
      </c>
      <c r="M152" s="1"/>
      <c r="N152" s="1" t="s">
        <v>288</v>
      </c>
      <c r="O152" s="15" t="s">
        <v>40</v>
      </c>
      <c r="P152" s="15" t="s">
        <v>41</v>
      </c>
      <c r="Q152" s="1" t="s">
        <v>289</v>
      </c>
      <c r="R152" s="2" t="s">
        <v>290</v>
      </c>
      <c r="S152" s="1" t="s">
        <v>130</v>
      </c>
      <c r="T152" s="1" t="s">
        <v>44</v>
      </c>
      <c r="U152" s="1"/>
      <c r="V152" s="1" t="s">
        <v>45</v>
      </c>
      <c r="W152" s="1"/>
      <c r="X152" s="1"/>
      <c r="Y152" s="1"/>
      <c r="Z152" s="1"/>
      <c r="AA152" s="1">
        <v>5</v>
      </c>
      <c r="AB152" s="1">
        <v>5</v>
      </c>
      <c r="AC152" s="1">
        <v>5</v>
      </c>
      <c r="AD152" s="1"/>
      <c r="AE152" s="1"/>
      <c r="AF152" s="1"/>
      <c r="AG152" s="1"/>
      <c r="AH152" s="1"/>
      <c r="AI152" s="1"/>
      <c r="AJ152" s="3">
        <v>43102.739675925928</v>
      </c>
      <c r="AK152" s="1" t="s">
        <v>47</v>
      </c>
    </row>
    <row r="153" spans="1:37">
      <c r="A153" s="1" t="str">
        <f>VLOOKUP(H153,Languages!$A$2:$B$430,2,FALSE)</f>
        <v>Arawakan</v>
      </c>
      <c r="B153" s="1" t="s">
        <v>109</v>
      </c>
      <c r="C153" s="1" t="s">
        <v>154</v>
      </c>
      <c r="D153" s="1" t="s">
        <v>8756</v>
      </c>
      <c r="E153" s="17" t="s">
        <v>286</v>
      </c>
      <c r="F153" s="16" t="s">
        <v>286</v>
      </c>
      <c r="G153" s="6" t="s">
        <v>286</v>
      </c>
      <c r="H153" s="1" t="str">
        <f>VLOOKUP(G153,'languoid 4.0'!$A$1:$I$24439,2,FALSE)</f>
        <v>araw1281</v>
      </c>
      <c r="I153" s="1" t="str">
        <f>VLOOKUP(G153,'languoid 4.0'!$A$1:$I$24439,6,FALSE)</f>
        <v>language</v>
      </c>
      <c r="J153" s="15" t="s">
        <v>38</v>
      </c>
      <c r="K153" s="15" t="s">
        <v>38</v>
      </c>
      <c r="L153" s="15" t="s">
        <v>38</v>
      </c>
      <c r="M153" s="1"/>
      <c r="N153" s="1" t="s">
        <v>288</v>
      </c>
      <c r="O153" s="16" t="s">
        <v>40</v>
      </c>
      <c r="P153" s="16" t="s">
        <v>41</v>
      </c>
      <c r="Q153" s="1" t="s">
        <v>8762</v>
      </c>
      <c r="R153" s="2" t="s">
        <v>8758</v>
      </c>
      <c r="S153" s="1" t="s">
        <v>6378</v>
      </c>
      <c r="T153" s="1" t="s">
        <v>6428</v>
      </c>
      <c r="U153" s="1" t="s">
        <v>67</v>
      </c>
      <c r="V153" s="1" t="s">
        <v>45</v>
      </c>
      <c r="W153" s="1"/>
      <c r="X153" s="1"/>
      <c r="Y153" s="1"/>
      <c r="Z153" s="1" t="s">
        <v>1893</v>
      </c>
      <c r="AA153" s="1" t="s">
        <v>1021</v>
      </c>
      <c r="AB153" s="1" t="s">
        <v>1021</v>
      </c>
      <c r="AC153" s="1" t="s">
        <v>8763</v>
      </c>
      <c r="AD153" s="1"/>
      <c r="AE153" s="1" t="s">
        <v>641</v>
      </c>
      <c r="AF153" s="1" t="s">
        <v>190</v>
      </c>
      <c r="AG153" s="1">
        <v>5</v>
      </c>
      <c r="AH153" s="1" t="s">
        <v>190</v>
      </c>
      <c r="AI153" s="1"/>
      <c r="AJ153" s="3">
        <v>43352.19976851852</v>
      </c>
      <c r="AK153" s="1" t="s">
        <v>6365</v>
      </c>
    </row>
    <row r="154" spans="1:37">
      <c r="A154" s="1" t="str">
        <f>VLOOKUP(H154,Languages!$A$2:$B$430,2,FALSE)</f>
        <v>Arawakan</v>
      </c>
      <c r="B154" s="1" t="s">
        <v>109</v>
      </c>
      <c r="C154" s="1" t="s">
        <v>419</v>
      </c>
      <c r="D154" s="1" t="s">
        <v>490</v>
      </c>
      <c r="E154" s="15" t="s">
        <v>491</v>
      </c>
      <c r="F154" s="15" t="s">
        <v>492</v>
      </c>
      <c r="G154" s="1" t="s">
        <v>491</v>
      </c>
      <c r="H154" s="1" t="str">
        <f>VLOOKUP(G154,'languoid 4.0'!$A$1:$I$24439,2,FALSE)</f>
        <v>araw1281</v>
      </c>
      <c r="I154" s="1" t="str">
        <f>VLOOKUP(G154,'languoid 4.0'!$A$1:$I$24439,6,FALSE)</f>
        <v>family</v>
      </c>
      <c r="J154" s="15" t="s">
        <v>52</v>
      </c>
      <c r="K154" s="15" t="s">
        <v>38</v>
      </c>
      <c r="L154" s="15" t="s">
        <v>38</v>
      </c>
      <c r="M154" s="1"/>
      <c r="N154" s="1"/>
      <c r="O154" s="15" t="s">
        <v>40</v>
      </c>
      <c r="P154" s="15" t="s">
        <v>41</v>
      </c>
      <c r="Q154" s="1" t="s">
        <v>8985</v>
      </c>
      <c r="R154" s="2" t="s">
        <v>8986</v>
      </c>
      <c r="S154" s="1" t="s">
        <v>46</v>
      </c>
      <c r="T154" s="1" t="s">
        <v>635</v>
      </c>
      <c r="U154" s="1" t="s">
        <v>636</v>
      </c>
      <c r="V154" s="1" t="s">
        <v>45</v>
      </c>
      <c r="W154" s="1"/>
      <c r="X154" s="1"/>
      <c r="Y154" s="1"/>
      <c r="Z154" s="1" t="s">
        <v>637</v>
      </c>
      <c r="AA154" s="1" t="s">
        <v>8987</v>
      </c>
      <c r="AB154" s="1" t="s">
        <v>46</v>
      </c>
      <c r="AC154" s="1" t="s">
        <v>46</v>
      </c>
      <c r="AD154" s="1"/>
      <c r="AE154" s="1" t="s">
        <v>641</v>
      </c>
      <c r="AF154" s="1" t="s">
        <v>190</v>
      </c>
      <c r="AG154" s="1">
        <v>6</v>
      </c>
      <c r="AH154" s="1" t="s">
        <v>190</v>
      </c>
      <c r="AI154" s="1"/>
      <c r="AJ154" s="1" t="s">
        <v>8988</v>
      </c>
      <c r="AK154" s="1" t="s">
        <v>8989</v>
      </c>
    </row>
    <row r="155" spans="1:37">
      <c r="A155" s="1" t="str">
        <f>VLOOKUP(H155,Languages!$A$2:$B$430,2,FALSE)</f>
        <v>Arawakan</v>
      </c>
      <c r="B155" s="1" t="s">
        <v>35</v>
      </c>
      <c r="C155" s="1" t="s">
        <v>267</v>
      </c>
      <c r="D155" s="1" t="s">
        <v>9934</v>
      </c>
      <c r="E155" s="15" t="s">
        <v>286</v>
      </c>
      <c r="F155" s="15" t="s">
        <v>286</v>
      </c>
      <c r="G155" s="1" t="s">
        <v>286</v>
      </c>
      <c r="H155" s="1" t="str">
        <f>VLOOKUP(G155,'languoid 4.0'!$A$1:$I$24439,2,FALSE)</f>
        <v>araw1281</v>
      </c>
      <c r="I155" s="1" t="str">
        <f>VLOOKUP(G155,'languoid 4.0'!$A$1:$I$24439,6,FALSE)</f>
        <v>language</v>
      </c>
      <c r="J155" s="15" t="s">
        <v>38</v>
      </c>
      <c r="K155" s="15" t="s">
        <v>38</v>
      </c>
      <c r="L155" s="15" t="s">
        <v>38</v>
      </c>
      <c r="M155" s="1"/>
      <c r="N155" s="1" t="s">
        <v>288</v>
      </c>
      <c r="O155" s="15" t="s">
        <v>40</v>
      </c>
      <c r="P155" s="15" t="s">
        <v>41</v>
      </c>
      <c r="Q155" s="1" t="s">
        <v>9935</v>
      </c>
      <c r="R155" s="2" t="s">
        <v>9936</v>
      </c>
      <c r="S155" s="1" t="s">
        <v>197</v>
      </c>
      <c r="T155" s="1" t="s">
        <v>9174</v>
      </c>
      <c r="U155" s="1" t="s">
        <v>636</v>
      </c>
      <c r="V155" s="1" t="s">
        <v>45</v>
      </c>
      <c r="W155" s="1"/>
      <c r="X155" s="1"/>
      <c r="Y155" s="1"/>
      <c r="Z155" s="1" t="s">
        <v>673</v>
      </c>
      <c r="AA155" s="1" t="s">
        <v>46</v>
      </c>
      <c r="AB155" s="1" t="s">
        <v>9937</v>
      </c>
      <c r="AC155" s="1" t="s">
        <v>46</v>
      </c>
      <c r="AD155" s="1"/>
      <c r="AE155" s="1" t="s">
        <v>641</v>
      </c>
      <c r="AF155" s="1" t="s">
        <v>190</v>
      </c>
      <c r="AG155" s="1">
        <v>6</v>
      </c>
      <c r="AH155" s="1" t="s">
        <v>190</v>
      </c>
      <c r="AI155" s="1"/>
      <c r="AJ155" s="1" t="s">
        <v>9938</v>
      </c>
      <c r="AK155" s="1" t="s">
        <v>4945</v>
      </c>
    </row>
    <row r="156" spans="1:37">
      <c r="A156" s="1" t="str">
        <f>VLOOKUP(H156,Languages!$A$2:$B$430,2,FALSE)</f>
        <v>Arawakan</v>
      </c>
      <c r="B156" s="1" t="s">
        <v>35</v>
      </c>
      <c r="C156" s="1" t="s">
        <v>267</v>
      </c>
      <c r="D156" s="1" t="s">
        <v>9934</v>
      </c>
      <c r="E156" s="15" t="s">
        <v>286</v>
      </c>
      <c r="F156" s="15" t="s">
        <v>286</v>
      </c>
      <c r="G156" s="1" t="s">
        <v>286</v>
      </c>
      <c r="H156" s="1" t="str">
        <f>VLOOKUP(G156,'languoid 4.0'!$A$1:$I$24439,2,FALSE)</f>
        <v>araw1281</v>
      </c>
      <c r="I156" s="1" t="str">
        <f>VLOOKUP(G156,'languoid 4.0'!$A$1:$I$24439,6,FALSE)</f>
        <v>language</v>
      </c>
      <c r="J156" s="15" t="s">
        <v>38</v>
      </c>
      <c r="K156" s="15" t="s">
        <v>38</v>
      </c>
      <c r="L156" s="15" t="s">
        <v>38</v>
      </c>
      <c r="M156" s="1"/>
      <c r="N156" s="1" t="s">
        <v>288</v>
      </c>
      <c r="O156" s="15" t="s">
        <v>40</v>
      </c>
      <c r="P156" s="15" t="s">
        <v>41</v>
      </c>
      <c r="Q156" s="1" t="s">
        <v>9943</v>
      </c>
      <c r="R156" s="2" t="s">
        <v>9944</v>
      </c>
      <c r="S156" s="1" t="s">
        <v>523</v>
      </c>
      <c r="T156" s="1" t="s">
        <v>9174</v>
      </c>
      <c r="U156" s="1" t="s">
        <v>636</v>
      </c>
      <c r="V156" s="1" t="s">
        <v>45</v>
      </c>
      <c r="W156" s="1"/>
      <c r="X156" s="1"/>
      <c r="Y156" s="1"/>
      <c r="Z156" s="1" t="s">
        <v>673</v>
      </c>
      <c r="AA156" s="1" t="s">
        <v>46</v>
      </c>
      <c r="AB156" s="1" t="s">
        <v>9945</v>
      </c>
      <c r="AC156" s="1" t="s">
        <v>46</v>
      </c>
      <c r="AD156" s="1"/>
      <c r="AE156" s="1" t="s">
        <v>641</v>
      </c>
      <c r="AF156" s="1" t="s">
        <v>190</v>
      </c>
      <c r="AG156" s="1">
        <v>6</v>
      </c>
      <c r="AH156" s="1" t="s">
        <v>190</v>
      </c>
      <c r="AI156" s="1"/>
      <c r="AJ156" s="1" t="s">
        <v>9946</v>
      </c>
      <c r="AK156" s="1" t="s">
        <v>4945</v>
      </c>
    </row>
    <row r="157" spans="1:37">
      <c r="A157" s="1" t="str">
        <f>VLOOKUP(H157,Languages!$A$2:$B$430,2,FALSE)</f>
        <v>Arawakan</v>
      </c>
      <c r="B157" s="1" t="s">
        <v>35</v>
      </c>
      <c r="C157" s="1" t="s">
        <v>419</v>
      </c>
      <c r="D157" s="1" t="s">
        <v>490</v>
      </c>
      <c r="E157" s="15" t="s">
        <v>491</v>
      </c>
      <c r="F157" s="15" t="s">
        <v>51</v>
      </c>
      <c r="G157" s="1" t="s">
        <v>492</v>
      </c>
      <c r="H157" s="1" t="str">
        <f>VLOOKUP(G157,'languoid 4.0'!$A$1:$I$24439,2,FALSE)</f>
        <v>araw1281</v>
      </c>
      <c r="I157" s="1" t="str">
        <f>VLOOKUP(G157,'languoid 4.0'!$A$1:$I$24439,6,FALSE)</f>
        <v>language</v>
      </c>
      <c r="J157" s="15" t="s">
        <v>52</v>
      </c>
      <c r="K157" s="15" t="s">
        <v>51</v>
      </c>
      <c r="L157" s="15" t="s">
        <v>51</v>
      </c>
      <c r="M157" s="1"/>
      <c r="N157" s="1"/>
      <c r="O157" s="15" t="s">
        <v>40</v>
      </c>
      <c r="P157" s="15" t="s">
        <v>41</v>
      </c>
      <c r="Q157" s="1" t="s">
        <v>493</v>
      </c>
      <c r="R157" s="2" t="s">
        <v>494</v>
      </c>
      <c r="S157" s="1" t="s">
        <v>364</v>
      </c>
      <c r="T157" s="1" t="s">
        <v>44</v>
      </c>
      <c r="U157" s="1"/>
      <c r="V157" s="1" t="s">
        <v>45</v>
      </c>
      <c r="W157" s="1"/>
      <c r="X157" s="1"/>
      <c r="Y157" s="1"/>
      <c r="Z157" s="1"/>
      <c r="AA157" s="1">
        <v>2</v>
      </c>
      <c r="AB157" s="1">
        <v>3</v>
      </c>
      <c r="AC157" s="1" t="s">
        <v>46</v>
      </c>
      <c r="AD157" s="1"/>
      <c r="AE157" s="1"/>
      <c r="AF157" s="1"/>
      <c r="AG157" s="1"/>
      <c r="AH157" s="1"/>
      <c r="AI157" s="1"/>
      <c r="AJ157" s="3">
        <v>43102.752326388887</v>
      </c>
      <c r="AK157" s="1" t="s">
        <v>57</v>
      </c>
    </row>
    <row r="158" spans="1:37">
      <c r="A158" s="1" t="str">
        <f>VLOOKUP(H158,Languages!$A$2:$B$430,2,FALSE)</f>
        <v>Arawakan</v>
      </c>
      <c r="B158" s="1" t="s">
        <v>1726</v>
      </c>
      <c r="C158" s="1" t="s">
        <v>154</v>
      </c>
      <c r="D158" s="1" t="s">
        <v>285</v>
      </c>
      <c r="E158" s="15" t="s">
        <v>286</v>
      </c>
      <c r="F158" s="15" t="s">
        <v>286</v>
      </c>
      <c r="G158" s="1" t="s">
        <v>286</v>
      </c>
      <c r="H158" s="1" t="str">
        <f>VLOOKUP(G158,'languoid 4.0'!$A$1:$I$24439,2,FALSE)</f>
        <v>araw1281</v>
      </c>
      <c r="I158" s="1" t="str">
        <f>VLOOKUP(G158,'languoid 4.0'!$A$1:$I$24439,6,FALSE)</f>
        <v>language</v>
      </c>
      <c r="J158" s="15" t="s">
        <v>38</v>
      </c>
      <c r="K158" s="15" t="s">
        <v>38</v>
      </c>
      <c r="L158" s="15" t="s">
        <v>38</v>
      </c>
      <c r="M158" s="1"/>
      <c r="N158" s="1" t="s">
        <v>288</v>
      </c>
      <c r="O158" s="15" t="s">
        <v>40</v>
      </c>
      <c r="P158" s="15" t="s">
        <v>41</v>
      </c>
      <c r="Q158" s="1" t="s">
        <v>6783</v>
      </c>
      <c r="R158" s="2" t="s">
        <v>6784</v>
      </c>
      <c r="S158" s="1" t="s">
        <v>6016</v>
      </c>
      <c r="T158" s="1" t="s">
        <v>6428</v>
      </c>
      <c r="U158" s="1" t="s">
        <v>636</v>
      </c>
      <c r="V158" s="1" t="s">
        <v>45</v>
      </c>
      <c r="W158" s="1"/>
      <c r="X158" s="1"/>
      <c r="Y158" s="1"/>
      <c r="Z158" s="1" t="s">
        <v>1151</v>
      </c>
      <c r="AA158" s="1" t="s">
        <v>46</v>
      </c>
      <c r="AB158" s="1" t="s">
        <v>6785</v>
      </c>
      <c r="AC158" s="1" t="s">
        <v>6786</v>
      </c>
      <c r="AD158" s="1"/>
      <c r="AE158" s="1" t="s">
        <v>641</v>
      </c>
      <c r="AF158" s="1" t="s">
        <v>190</v>
      </c>
      <c r="AG158" s="1">
        <v>6</v>
      </c>
      <c r="AH158" s="1" t="s">
        <v>190</v>
      </c>
      <c r="AI158" s="1"/>
      <c r="AJ158" s="1" t="s">
        <v>6787</v>
      </c>
      <c r="AK158" s="1" t="s">
        <v>6365</v>
      </c>
    </row>
    <row r="159" spans="1:37">
      <c r="A159" s="1" t="str">
        <f>VLOOKUP(H159,Languages!$A$2:$B$430,2,FALSE)</f>
        <v>Arawakan</v>
      </c>
      <c r="B159" s="1" t="s">
        <v>1726</v>
      </c>
      <c r="C159" s="1" t="s">
        <v>154</v>
      </c>
      <c r="D159" s="1" t="s">
        <v>285</v>
      </c>
      <c r="E159" s="15" t="s">
        <v>286</v>
      </c>
      <c r="F159" s="15" t="s">
        <v>286</v>
      </c>
      <c r="G159" s="1" t="s">
        <v>286</v>
      </c>
      <c r="H159" s="1" t="str">
        <f>VLOOKUP(G159,'languoid 4.0'!$A$1:$I$24439,2,FALSE)</f>
        <v>araw1281</v>
      </c>
      <c r="I159" s="1" t="str">
        <f>VLOOKUP(G159,'languoid 4.0'!$A$1:$I$24439,6,FALSE)</f>
        <v>language</v>
      </c>
      <c r="J159" s="15" t="s">
        <v>38</v>
      </c>
      <c r="K159" s="15" t="s">
        <v>38</v>
      </c>
      <c r="L159" s="15" t="s">
        <v>38</v>
      </c>
      <c r="M159" s="1"/>
      <c r="N159" s="1" t="s">
        <v>288</v>
      </c>
      <c r="O159" s="15" t="s">
        <v>40</v>
      </c>
      <c r="P159" s="15" t="s">
        <v>41</v>
      </c>
      <c r="Q159" s="1" t="s">
        <v>6783</v>
      </c>
      <c r="R159" s="2" t="s">
        <v>6784</v>
      </c>
      <c r="S159" s="1" t="s">
        <v>6369</v>
      </c>
      <c r="T159" s="1" t="s">
        <v>6428</v>
      </c>
      <c r="U159" s="1" t="s">
        <v>6788</v>
      </c>
      <c r="V159" s="1" t="s">
        <v>45</v>
      </c>
      <c r="W159" s="1"/>
      <c r="X159" s="1"/>
      <c r="Y159" s="1"/>
      <c r="Z159" s="1" t="s">
        <v>673</v>
      </c>
      <c r="AA159" s="1" t="s">
        <v>46</v>
      </c>
      <c r="AB159" s="1" t="s">
        <v>6789</v>
      </c>
      <c r="AC159" s="1" t="s">
        <v>46</v>
      </c>
      <c r="AD159" s="1"/>
      <c r="AE159" s="1" t="s">
        <v>641</v>
      </c>
      <c r="AF159" s="1" t="s">
        <v>190</v>
      </c>
      <c r="AG159" s="1">
        <v>6</v>
      </c>
      <c r="AH159" s="1" t="s">
        <v>190</v>
      </c>
      <c r="AI159" s="1"/>
      <c r="AJ159" s="1" t="s">
        <v>6790</v>
      </c>
      <c r="AK159" s="1" t="s">
        <v>6365</v>
      </c>
    </row>
    <row r="160" spans="1:37">
      <c r="A160" s="1" t="str">
        <f>VLOOKUP(H160,Languages!$A$2:$B$430,2,FALSE)</f>
        <v>Arawakan</v>
      </c>
      <c r="B160" s="1" t="s">
        <v>1726</v>
      </c>
      <c r="C160" s="1" t="s">
        <v>267</v>
      </c>
      <c r="D160" s="1" t="s">
        <v>9924</v>
      </c>
      <c r="E160" s="15" t="s">
        <v>286</v>
      </c>
      <c r="F160" s="15" t="s">
        <v>286</v>
      </c>
      <c r="G160" s="1" t="s">
        <v>286</v>
      </c>
      <c r="H160" s="1" t="str">
        <f>VLOOKUP(G160,'languoid 4.0'!$A$1:$I$24439,2,FALSE)</f>
        <v>araw1281</v>
      </c>
      <c r="I160" s="1" t="str">
        <f>VLOOKUP(G160,'languoid 4.0'!$A$1:$I$24439,6,FALSE)</f>
        <v>language</v>
      </c>
      <c r="J160" s="15" t="s">
        <v>38</v>
      </c>
      <c r="K160" s="15" t="s">
        <v>38</v>
      </c>
      <c r="L160" s="15" t="s">
        <v>38</v>
      </c>
      <c r="M160" s="1"/>
      <c r="N160" s="1" t="s">
        <v>288</v>
      </c>
      <c r="O160" s="15" t="s">
        <v>40</v>
      </c>
      <c r="P160" s="15" t="s">
        <v>41</v>
      </c>
      <c r="Q160" s="1" t="s">
        <v>9925</v>
      </c>
      <c r="R160" s="2" t="s">
        <v>9926</v>
      </c>
      <c r="S160" s="1" t="s">
        <v>81</v>
      </c>
      <c r="T160" s="1" t="s">
        <v>9174</v>
      </c>
      <c r="U160" s="1" t="s">
        <v>67</v>
      </c>
      <c r="V160" s="1" t="s">
        <v>45</v>
      </c>
      <c r="W160" s="1"/>
      <c r="X160" s="1"/>
      <c r="Y160" s="1"/>
      <c r="Z160" s="1" t="s">
        <v>673</v>
      </c>
      <c r="AA160" s="1" t="s">
        <v>46</v>
      </c>
      <c r="AB160" s="1" t="s">
        <v>9927</v>
      </c>
      <c r="AC160" s="1" t="s">
        <v>46</v>
      </c>
      <c r="AD160" s="1"/>
      <c r="AE160" s="1" t="s">
        <v>641</v>
      </c>
      <c r="AF160" s="1" t="s">
        <v>190</v>
      </c>
      <c r="AG160" s="1">
        <v>6</v>
      </c>
      <c r="AH160" s="1" t="s">
        <v>190</v>
      </c>
      <c r="AI160" s="1"/>
      <c r="AJ160" s="1" t="s">
        <v>9928</v>
      </c>
      <c r="AK160" s="1" t="s">
        <v>4945</v>
      </c>
    </row>
    <row r="161" spans="1:37">
      <c r="A161" s="1" t="str">
        <f>VLOOKUP(H161,Languages!$A$2:$B$430,2,FALSE)</f>
        <v>Arawakan</v>
      </c>
      <c r="B161" s="1" t="s">
        <v>1726</v>
      </c>
      <c r="C161" s="1" t="s">
        <v>267</v>
      </c>
      <c r="D161" s="1" t="s">
        <v>9929</v>
      </c>
      <c r="E161" s="15" t="s">
        <v>286</v>
      </c>
      <c r="F161" s="15" t="s">
        <v>286</v>
      </c>
      <c r="G161" s="1" t="s">
        <v>286</v>
      </c>
      <c r="H161" s="1" t="str">
        <f>VLOOKUP(G161,'languoid 4.0'!$A$1:$I$24439,2,FALSE)</f>
        <v>araw1281</v>
      </c>
      <c r="I161" s="1" t="str">
        <f>VLOOKUP(G161,'languoid 4.0'!$A$1:$I$24439,6,FALSE)</f>
        <v>language</v>
      </c>
      <c r="J161" s="15" t="s">
        <v>38</v>
      </c>
      <c r="K161" s="15" t="s">
        <v>38</v>
      </c>
      <c r="L161" s="15" t="s">
        <v>38</v>
      </c>
      <c r="M161" s="1"/>
      <c r="N161" s="1" t="s">
        <v>288</v>
      </c>
      <c r="O161" s="15" t="s">
        <v>40</v>
      </c>
      <c r="P161" s="15" t="s">
        <v>41</v>
      </c>
      <c r="Q161" s="1" t="s">
        <v>9930</v>
      </c>
      <c r="R161" s="2" t="s">
        <v>9931</v>
      </c>
      <c r="S161" s="1" t="s">
        <v>2714</v>
      </c>
      <c r="T161" s="1" t="s">
        <v>9174</v>
      </c>
      <c r="U161" s="1" t="s">
        <v>67</v>
      </c>
      <c r="V161" s="1" t="s">
        <v>45</v>
      </c>
      <c r="W161" s="1"/>
      <c r="X161" s="1"/>
      <c r="Y161" s="1"/>
      <c r="Z161" s="1" t="s">
        <v>673</v>
      </c>
      <c r="AA161" s="1" t="s">
        <v>46</v>
      </c>
      <c r="AB161" s="1" t="s">
        <v>9932</v>
      </c>
      <c r="AC161" s="1" t="s">
        <v>46</v>
      </c>
      <c r="AD161" s="1"/>
      <c r="AE161" s="1" t="s">
        <v>641</v>
      </c>
      <c r="AF161" s="1" t="s">
        <v>190</v>
      </c>
      <c r="AG161" s="1">
        <v>6</v>
      </c>
      <c r="AH161" s="1" t="s">
        <v>190</v>
      </c>
      <c r="AI161" s="1"/>
      <c r="AJ161" s="1" t="s">
        <v>9933</v>
      </c>
      <c r="AK161" s="1" t="s">
        <v>4945</v>
      </c>
    </row>
    <row r="162" spans="1:37">
      <c r="A162" s="1" t="str">
        <f>VLOOKUP(H162,Languages!$A$2:$B$430,2,FALSE)</f>
        <v>Arawakan</v>
      </c>
      <c r="B162" s="1" t="s">
        <v>652</v>
      </c>
      <c r="C162" s="1" t="s">
        <v>154</v>
      </c>
      <c r="D162" s="1" t="s">
        <v>285</v>
      </c>
      <c r="E162" s="15" t="s">
        <v>286</v>
      </c>
      <c r="F162" s="16" t="s">
        <v>286</v>
      </c>
      <c r="G162" s="6" t="s">
        <v>286</v>
      </c>
      <c r="H162" s="1" t="str">
        <f>VLOOKUP(G162,'languoid 4.0'!$A$1:$I$24439,2,FALSE)</f>
        <v>araw1281</v>
      </c>
      <c r="I162" s="1" t="str">
        <f>VLOOKUP(G162,'languoid 4.0'!$A$1:$I$24439,6,FALSE)</f>
        <v>language</v>
      </c>
      <c r="J162" s="15" t="s">
        <v>38</v>
      </c>
      <c r="K162" s="15" t="s">
        <v>38</v>
      </c>
      <c r="L162" s="15" t="s">
        <v>38</v>
      </c>
      <c r="M162" s="1"/>
      <c r="N162" s="1" t="s">
        <v>288</v>
      </c>
      <c r="O162" s="15" t="s">
        <v>40</v>
      </c>
      <c r="P162" s="15" t="s">
        <v>41</v>
      </c>
      <c r="Q162" s="1" t="s">
        <v>6805</v>
      </c>
      <c r="R162" s="2" t="s">
        <v>6806</v>
      </c>
      <c r="S162" s="1" t="s">
        <v>8766</v>
      </c>
      <c r="T162" s="1" t="s">
        <v>6428</v>
      </c>
      <c r="U162" s="1" t="s">
        <v>67</v>
      </c>
      <c r="V162" s="1" t="s">
        <v>45</v>
      </c>
      <c r="W162" s="1"/>
      <c r="X162" s="1"/>
      <c r="Y162" s="1"/>
      <c r="Z162" s="1" t="s">
        <v>887</v>
      </c>
      <c r="AA162" s="1" t="s">
        <v>8767</v>
      </c>
      <c r="AB162" s="1" t="s">
        <v>1021</v>
      </c>
      <c r="AC162" s="1" t="s">
        <v>8768</v>
      </c>
      <c r="AD162" s="1"/>
      <c r="AE162" s="1" t="s">
        <v>641</v>
      </c>
      <c r="AF162" s="1" t="s">
        <v>190</v>
      </c>
      <c r="AG162" s="1">
        <v>4</v>
      </c>
      <c r="AH162" s="1" t="s">
        <v>190</v>
      </c>
      <c r="AI162" s="1" t="s">
        <v>8769</v>
      </c>
      <c r="AJ162" s="3">
        <v>43352.224363425928</v>
      </c>
      <c r="AK162" s="1" t="s">
        <v>6365</v>
      </c>
    </row>
    <row r="163" spans="1:37">
      <c r="A163" s="1" t="str">
        <f>VLOOKUP(H163,Languages!$A$2:$B$430,2,FALSE)</f>
        <v>Arawakan</v>
      </c>
      <c r="B163" s="1" t="s">
        <v>1750</v>
      </c>
      <c r="C163" s="1" t="s">
        <v>154</v>
      </c>
      <c r="D163" s="1" t="s">
        <v>8756</v>
      </c>
      <c r="E163" s="17" t="s">
        <v>286</v>
      </c>
      <c r="F163" s="16" t="s">
        <v>286</v>
      </c>
      <c r="G163" s="6" t="s">
        <v>286</v>
      </c>
      <c r="H163" s="1" t="str">
        <f>VLOOKUP(G163,'languoid 4.0'!$A$1:$I$24439,2,FALSE)</f>
        <v>araw1281</v>
      </c>
      <c r="I163" s="1" t="str">
        <f>VLOOKUP(G163,'languoid 4.0'!$A$1:$I$24439,6,FALSE)</f>
        <v>language</v>
      </c>
      <c r="J163" s="15" t="s">
        <v>38</v>
      </c>
      <c r="K163" s="15" t="s">
        <v>38</v>
      </c>
      <c r="L163" s="15" t="s">
        <v>38</v>
      </c>
      <c r="M163" s="1"/>
      <c r="N163" s="1" t="s">
        <v>288</v>
      </c>
      <c r="O163" s="16" t="s">
        <v>40</v>
      </c>
      <c r="P163" s="16" t="s">
        <v>41</v>
      </c>
      <c r="Q163" s="1" t="s">
        <v>8757</v>
      </c>
      <c r="R163" s="2" t="s">
        <v>8758</v>
      </c>
      <c r="S163" s="1" t="s">
        <v>8759</v>
      </c>
      <c r="T163" s="1" t="s">
        <v>6428</v>
      </c>
      <c r="U163" s="1" t="s">
        <v>67</v>
      </c>
      <c r="V163" s="1" t="s">
        <v>45</v>
      </c>
      <c r="W163" s="1"/>
      <c r="X163" s="1"/>
      <c r="Y163" s="1"/>
      <c r="Z163" s="1" t="s">
        <v>1151</v>
      </c>
      <c r="AA163" s="1" t="s">
        <v>1021</v>
      </c>
      <c r="AB163" s="1" t="s">
        <v>8760</v>
      </c>
      <c r="AC163" s="1" t="s">
        <v>8761</v>
      </c>
      <c r="AD163" s="1"/>
      <c r="AE163" s="1" t="s">
        <v>641</v>
      </c>
      <c r="AF163" s="1" t="s">
        <v>190</v>
      </c>
      <c r="AG163" s="1">
        <v>5</v>
      </c>
      <c r="AH163" s="1" t="s">
        <v>190</v>
      </c>
      <c r="AI163" s="1"/>
      <c r="AJ163" s="3">
        <v>43352.192326388889</v>
      </c>
      <c r="AK163" s="1" t="s">
        <v>6365</v>
      </c>
    </row>
    <row r="164" spans="1:37">
      <c r="A164" s="1" t="str">
        <f>VLOOKUP(H164,Languages!$A$2:$B$430,2,FALSE)</f>
        <v>Arawakan</v>
      </c>
      <c r="B164" s="1" t="s">
        <v>1738</v>
      </c>
      <c r="C164" s="1" t="s">
        <v>477</v>
      </c>
      <c r="D164" s="1" t="s">
        <v>2427</v>
      </c>
      <c r="E164" s="15" t="s">
        <v>2420</v>
      </c>
      <c r="F164" s="15" t="s">
        <v>2420</v>
      </c>
      <c r="G164" s="1" t="s">
        <v>2420</v>
      </c>
      <c r="H164" s="1" t="str">
        <f>VLOOKUP(G164,'languoid 4.0'!$A$1:$I$24439,2,FALSE)</f>
        <v>araw1281</v>
      </c>
      <c r="I164" s="1" t="str">
        <f>VLOOKUP(G164,'languoid 4.0'!$A$1:$I$24439,6,FALSE)</f>
        <v>language</v>
      </c>
      <c r="J164" s="15" t="s">
        <v>38</v>
      </c>
      <c r="K164" s="15" t="s">
        <v>38</v>
      </c>
      <c r="L164" s="15" t="s">
        <v>38</v>
      </c>
      <c r="M164" s="1"/>
      <c r="N164" s="1" t="s">
        <v>2422</v>
      </c>
      <c r="O164" s="15" t="s">
        <v>40</v>
      </c>
      <c r="P164" s="15" t="s">
        <v>41</v>
      </c>
      <c r="Q164" s="1" t="s">
        <v>2428</v>
      </c>
      <c r="R164" s="2" t="s">
        <v>2429</v>
      </c>
      <c r="S164" s="1" t="s">
        <v>2430</v>
      </c>
      <c r="T164" s="1" t="s">
        <v>1689</v>
      </c>
      <c r="U164" s="1" t="s">
        <v>636</v>
      </c>
      <c r="V164" s="1" t="s">
        <v>45</v>
      </c>
      <c r="W164" s="1"/>
      <c r="X164" s="1"/>
      <c r="Y164" s="1"/>
      <c r="Z164" s="1" t="s">
        <v>658</v>
      </c>
      <c r="AA164" s="1" t="s">
        <v>2431</v>
      </c>
      <c r="AB164" s="1" t="s">
        <v>46</v>
      </c>
      <c r="AC164" s="1" t="s">
        <v>46</v>
      </c>
      <c r="AD164" s="1"/>
      <c r="AE164" s="1" t="s">
        <v>641</v>
      </c>
      <c r="AF164" s="1" t="s">
        <v>45</v>
      </c>
      <c r="AG164" s="1">
        <v>1</v>
      </c>
      <c r="AH164" s="1" t="s">
        <v>190</v>
      </c>
      <c r="AI164" s="1" t="s">
        <v>2412</v>
      </c>
      <c r="AJ164" s="1" t="s">
        <v>2432</v>
      </c>
      <c r="AK164" s="1" t="s">
        <v>651</v>
      </c>
    </row>
    <row r="165" spans="1:37">
      <c r="A165" s="1" t="str">
        <f>VLOOKUP(H165,Languages!$A$2:$B$430,2,FALSE)</f>
        <v>Arawakan</v>
      </c>
      <c r="B165" s="1" t="s">
        <v>1738</v>
      </c>
      <c r="C165" s="1" t="s">
        <v>154</v>
      </c>
      <c r="D165" s="1" t="s">
        <v>285</v>
      </c>
      <c r="E165" s="15" t="s">
        <v>286</v>
      </c>
      <c r="F165" s="15" t="s">
        <v>286</v>
      </c>
      <c r="G165" s="1" t="s">
        <v>286</v>
      </c>
      <c r="H165" s="1" t="str">
        <f>VLOOKUP(G165,'languoid 4.0'!$A$1:$I$24439,2,FALSE)</f>
        <v>araw1281</v>
      </c>
      <c r="I165" s="1" t="str">
        <f>VLOOKUP(G165,'languoid 4.0'!$A$1:$I$24439,6,FALSE)</f>
        <v>language</v>
      </c>
      <c r="J165" s="15" t="s">
        <v>38</v>
      </c>
      <c r="K165" s="15" t="s">
        <v>38</v>
      </c>
      <c r="L165" s="15" t="s">
        <v>38</v>
      </c>
      <c r="M165" s="1"/>
      <c r="N165" s="1" t="s">
        <v>288</v>
      </c>
      <c r="O165" s="15" t="s">
        <v>40</v>
      </c>
      <c r="P165" s="15" t="s">
        <v>41</v>
      </c>
      <c r="Q165" s="1" t="s">
        <v>6805</v>
      </c>
      <c r="R165" s="2" t="s">
        <v>6806</v>
      </c>
      <c r="S165" s="1" t="s">
        <v>6011</v>
      </c>
      <c r="T165" s="1" t="s">
        <v>6428</v>
      </c>
      <c r="U165" s="1" t="s">
        <v>67</v>
      </c>
      <c r="V165" s="1" t="s">
        <v>45</v>
      </c>
      <c r="W165" s="1"/>
      <c r="X165" s="1"/>
      <c r="Y165" s="1"/>
      <c r="Z165" s="1" t="s">
        <v>673</v>
      </c>
      <c r="AA165" s="1" t="s">
        <v>46</v>
      </c>
      <c r="AB165" s="1" t="s">
        <v>6807</v>
      </c>
      <c r="AC165" s="1" t="s">
        <v>46</v>
      </c>
      <c r="AD165" s="1"/>
      <c r="AE165" s="1" t="s">
        <v>641</v>
      </c>
      <c r="AF165" s="1" t="s">
        <v>190</v>
      </c>
      <c r="AG165" s="1">
        <v>5</v>
      </c>
      <c r="AH165" s="1" t="s">
        <v>190</v>
      </c>
      <c r="AI165" s="1"/>
      <c r="AJ165" s="1" t="s">
        <v>6808</v>
      </c>
      <c r="AK165" s="1" t="s">
        <v>6365</v>
      </c>
    </row>
    <row r="166" spans="1:37">
      <c r="A166" s="1" t="str">
        <f>VLOOKUP(H166,Languages!$A$2:$B$430,2,FALSE)</f>
        <v>Arawakan</v>
      </c>
      <c r="B166" s="1" t="s">
        <v>1738</v>
      </c>
      <c r="C166" s="1" t="s">
        <v>154</v>
      </c>
      <c r="D166" s="1" t="s">
        <v>285</v>
      </c>
      <c r="E166" s="15" t="s">
        <v>286</v>
      </c>
      <c r="F166" s="16" t="s">
        <v>286</v>
      </c>
      <c r="G166" s="6" t="s">
        <v>286</v>
      </c>
      <c r="H166" s="1" t="str">
        <f>VLOOKUP(G166,'languoid 4.0'!$A$1:$I$24439,2,FALSE)</f>
        <v>araw1281</v>
      </c>
      <c r="I166" s="1" t="str">
        <f>VLOOKUP(G166,'languoid 4.0'!$A$1:$I$24439,6,FALSE)</f>
        <v>language</v>
      </c>
      <c r="J166" s="15" t="s">
        <v>38</v>
      </c>
      <c r="K166" s="15" t="s">
        <v>38</v>
      </c>
      <c r="L166" s="15" t="s">
        <v>38</v>
      </c>
      <c r="M166" s="1"/>
      <c r="N166" s="1" t="s">
        <v>288</v>
      </c>
      <c r="O166" s="15" t="s">
        <v>40</v>
      </c>
      <c r="P166" s="15" t="s">
        <v>41</v>
      </c>
      <c r="Q166" s="1" t="s">
        <v>8770</v>
      </c>
      <c r="R166" s="2" t="s">
        <v>8771</v>
      </c>
      <c r="S166" s="1" t="s">
        <v>8772</v>
      </c>
      <c r="T166" s="1" t="s">
        <v>6428</v>
      </c>
      <c r="U166" s="1" t="s">
        <v>8773</v>
      </c>
      <c r="V166" s="1" t="s">
        <v>45</v>
      </c>
      <c r="W166" s="1"/>
      <c r="X166" s="1"/>
      <c r="Y166" s="1"/>
      <c r="Z166" s="1" t="s">
        <v>637</v>
      </c>
      <c r="AA166" s="1" t="s">
        <v>8774</v>
      </c>
      <c r="AB166" s="1" t="s">
        <v>8775</v>
      </c>
      <c r="AC166" s="1" t="s">
        <v>1021</v>
      </c>
      <c r="AD166" s="1"/>
      <c r="AE166" s="1" t="s">
        <v>641</v>
      </c>
      <c r="AF166" s="1" t="s">
        <v>190</v>
      </c>
      <c r="AG166" s="1">
        <v>3</v>
      </c>
      <c r="AH166" s="1" t="s">
        <v>190</v>
      </c>
      <c r="AI166" s="1"/>
      <c r="AJ166" s="3">
        <v>43352.233240740738</v>
      </c>
      <c r="AK166" s="1" t="s">
        <v>6365</v>
      </c>
    </row>
    <row r="167" spans="1:37">
      <c r="A167" s="1" t="str">
        <f>VLOOKUP(H167,Languages!$A$2:$B$430,2,FALSE)</f>
        <v>Arawakan</v>
      </c>
      <c r="B167" s="1" t="s">
        <v>1738</v>
      </c>
      <c r="C167" s="1" t="s">
        <v>154</v>
      </c>
      <c r="D167" s="1" t="s">
        <v>285</v>
      </c>
      <c r="E167" s="15" t="s">
        <v>286</v>
      </c>
      <c r="F167" s="16" t="s">
        <v>286</v>
      </c>
      <c r="G167" s="6" t="s">
        <v>286</v>
      </c>
      <c r="H167" s="1" t="str">
        <f>VLOOKUP(G167,'languoid 4.0'!$A$1:$I$24439,2,FALSE)</f>
        <v>araw1281</v>
      </c>
      <c r="I167" s="1" t="str">
        <f>VLOOKUP(G167,'languoid 4.0'!$A$1:$I$24439,6,FALSE)</f>
        <v>language</v>
      </c>
      <c r="J167" s="15" t="s">
        <v>38</v>
      </c>
      <c r="K167" s="15" t="s">
        <v>38</v>
      </c>
      <c r="L167" s="15" t="s">
        <v>38</v>
      </c>
      <c r="M167" s="1"/>
      <c r="N167" s="1" t="s">
        <v>288</v>
      </c>
      <c r="O167" s="15" t="s">
        <v>40</v>
      </c>
      <c r="P167" s="15" t="s">
        <v>41</v>
      </c>
      <c r="Q167" s="1" t="s">
        <v>8770</v>
      </c>
      <c r="R167" s="2" t="s">
        <v>8771</v>
      </c>
      <c r="S167" s="1" t="s">
        <v>6011</v>
      </c>
      <c r="T167" s="1" t="s">
        <v>6428</v>
      </c>
      <c r="U167" s="1" t="s">
        <v>8776</v>
      </c>
      <c r="V167" s="1" t="s">
        <v>45</v>
      </c>
      <c r="W167" s="1"/>
      <c r="X167" s="1"/>
      <c r="Y167" s="1"/>
      <c r="Z167" s="1" t="s">
        <v>637</v>
      </c>
      <c r="AA167" s="1" t="s">
        <v>8777</v>
      </c>
      <c r="AB167" s="1" t="s">
        <v>8778</v>
      </c>
      <c r="AC167" s="1" t="s">
        <v>1021</v>
      </c>
      <c r="AD167" s="1"/>
      <c r="AE167" s="1" t="s">
        <v>641</v>
      </c>
      <c r="AF167" s="1" t="s">
        <v>190</v>
      </c>
      <c r="AG167" s="1">
        <v>2</v>
      </c>
      <c r="AH167" s="1" t="s">
        <v>190</v>
      </c>
      <c r="AI167" s="1"/>
      <c r="AJ167" s="3">
        <v>43352.239351851851</v>
      </c>
      <c r="AK167" s="1" t="s">
        <v>6365</v>
      </c>
    </row>
    <row r="168" spans="1:37">
      <c r="A168" s="1" t="str">
        <f>VLOOKUP(H168,Languages!$A$2:$B$430,2,FALSE)</f>
        <v>Arawakan</v>
      </c>
      <c r="B168" s="1" t="s">
        <v>1738</v>
      </c>
      <c r="C168" s="1" t="s">
        <v>154</v>
      </c>
      <c r="D168" s="1" t="s">
        <v>285</v>
      </c>
      <c r="E168" s="15" t="s">
        <v>286</v>
      </c>
      <c r="F168" s="16" t="s">
        <v>286</v>
      </c>
      <c r="G168" s="6" t="s">
        <v>286</v>
      </c>
      <c r="H168" s="1" t="str">
        <f>VLOOKUP(G168,'languoid 4.0'!$A$1:$I$24439,2,FALSE)</f>
        <v>araw1281</v>
      </c>
      <c r="I168" s="1" t="str">
        <f>VLOOKUP(G168,'languoid 4.0'!$A$1:$I$24439,6,FALSE)</f>
        <v>language</v>
      </c>
      <c r="J168" s="15" t="s">
        <v>38</v>
      </c>
      <c r="K168" s="15" t="s">
        <v>38</v>
      </c>
      <c r="L168" s="15" t="s">
        <v>38</v>
      </c>
      <c r="M168" s="1"/>
      <c r="N168" s="1" t="s">
        <v>288</v>
      </c>
      <c r="O168" s="15" t="s">
        <v>40</v>
      </c>
      <c r="P168" s="15" t="s">
        <v>41</v>
      </c>
      <c r="Q168" s="1" t="s">
        <v>8779</v>
      </c>
      <c r="R168" s="2" t="s">
        <v>8771</v>
      </c>
      <c r="S168" s="1" t="s">
        <v>6016</v>
      </c>
      <c r="T168" s="1" t="s">
        <v>6428</v>
      </c>
      <c r="U168" s="1" t="s">
        <v>8780</v>
      </c>
      <c r="V168" s="1" t="s">
        <v>45</v>
      </c>
      <c r="W168" s="1"/>
      <c r="X168" s="1"/>
      <c r="Y168" s="1"/>
      <c r="Z168" s="1" t="s">
        <v>637</v>
      </c>
      <c r="AA168" s="1" t="s">
        <v>8774</v>
      </c>
      <c r="AB168" s="1" t="s">
        <v>8781</v>
      </c>
      <c r="AC168" s="1" t="s">
        <v>1021</v>
      </c>
      <c r="AD168" s="1"/>
      <c r="AE168" s="1" t="s">
        <v>641</v>
      </c>
      <c r="AF168" s="1" t="s">
        <v>190</v>
      </c>
      <c r="AG168" s="1">
        <v>4</v>
      </c>
      <c r="AH168" s="1" t="s">
        <v>190</v>
      </c>
      <c r="AI168" s="1"/>
      <c r="AJ168" s="3">
        <v>43352.241574074076</v>
      </c>
      <c r="AK168" s="1" t="s">
        <v>6365</v>
      </c>
    </row>
    <row r="169" spans="1:37">
      <c r="A169" s="1" t="str">
        <f>VLOOKUP(H169,Languages!$A$2:$B$430,2,FALSE)</f>
        <v>Arawakan</v>
      </c>
      <c r="B169" s="1" t="s">
        <v>1738</v>
      </c>
      <c r="C169" s="1" t="s">
        <v>154</v>
      </c>
      <c r="D169" s="1" t="s">
        <v>285</v>
      </c>
      <c r="E169" s="15" t="s">
        <v>286</v>
      </c>
      <c r="F169" s="16" t="s">
        <v>286</v>
      </c>
      <c r="G169" s="6" t="s">
        <v>286</v>
      </c>
      <c r="H169" s="1" t="str">
        <f>VLOOKUP(G169,'languoid 4.0'!$A$1:$I$24439,2,FALSE)</f>
        <v>araw1281</v>
      </c>
      <c r="I169" s="1" t="str">
        <f>VLOOKUP(G169,'languoid 4.0'!$A$1:$I$24439,6,FALSE)</f>
        <v>language</v>
      </c>
      <c r="J169" s="15" t="s">
        <v>38</v>
      </c>
      <c r="K169" s="15" t="s">
        <v>38</v>
      </c>
      <c r="L169" s="15" t="s">
        <v>38</v>
      </c>
      <c r="M169" s="1"/>
      <c r="N169" s="1" t="s">
        <v>288</v>
      </c>
      <c r="O169" s="15" t="s">
        <v>40</v>
      </c>
      <c r="P169" s="15" t="s">
        <v>41</v>
      </c>
      <c r="Q169" s="1" t="s">
        <v>8782</v>
      </c>
      <c r="R169" s="2" t="s">
        <v>8771</v>
      </c>
      <c r="S169" s="1" t="s">
        <v>6369</v>
      </c>
      <c r="T169" s="1" t="s">
        <v>6428</v>
      </c>
      <c r="U169" s="1" t="s">
        <v>8783</v>
      </c>
      <c r="V169" s="1" t="s">
        <v>45</v>
      </c>
      <c r="W169" s="1"/>
      <c r="X169" s="1"/>
      <c r="Y169" s="1"/>
      <c r="Z169" s="1" t="s">
        <v>637</v>
      </c>
      <c r="AA169" s="1" t="s">
        <v>8784</v>
      </c>
      <c r="AB169" s="1" t="s">
        <v>8785</v>
      </c>
      <c r="AC169" s="1" t="s">
        <v>46</v>
      </c>
      <c r="AD169" s="1"/>
      <c r="AE169" s="1" t="s">
        <v>641</v>
      </c>
      <c r="AF169" s="1" t="s">
        <v>190</v>
      </c>
      <c r="AG169" s="1">
        <v>3</v>
      </c>
      <c r="AH169" s="1" t="s">
        <v>190</v>
      </c>
      <c r="AI169" s="1"/>
      <c r="AJ169" s="3">
        <v>43352.245127314818</v>
      </c>
      <c r="AK169" s="1" t="s">
        <v>6365</v>
      </c>
    </row>
    <row r="170" spans="1:37">
      <c r="A170" s="1" t="str">
        <f>VLOOKUP(H170,Languages!$A$2:$B$430,2,FALSE)</f>
        <v>Arawakan</v>
      </c>
      <c r="B170" s="1" t="s">
        <v>1738</v>
      </c>
      <c r="C170" s="1" t="s">
        <v>267</v>
      </c>
      <c r="D170" s="1" t="s">
        <v>9934</v>
      </c>
      <c r="E170" s="15" t="s">
        <v>286</v>
      </c>
      <c r="F170" s="15" t="s">
        <v>286</v>
      </c>
      <c r="G170" s="1" t="s">
        <v>286</v>
      </c>
      <c r="H170" s="1" t="str">
        <f>VLOOKUP(G170,'languoid 4.0'!$A$1:$I$24439,2,FALSE)</f>
        <v>araw1281</v>
      </c>
      <c r="I170" s="1" t="str">
        <f>VLOOKUP(G170,'languoid 4.0'!$A$1:$I$24439,6,FALSE)</f>
        <v>language</v>
      </c>
      <c r="J170" s="15" t="s">
        <v>38</v>
      </c>
      <c r="K170" s="15" t="s">
        <v>38</v>
      </c>
      <c r="L170" s="15" t="s">
        <v>38</v>
      </c>
      <c r="M170" s="1"/>
      <c r="N170" s="1" t="s">
        <v>288</v>
      </c>
      <c r="O170" s="15" t="s">
        <v>40</v>
      </c>
      <c r="P170" s="15" t="s">
        <v>41</v>
      </c>
      <c r="Q170" s="1" t="s">
        <v>9947</v>
      </c>
      <c r="R170" s="2" t="s">
        <v>9948</v>
      </c>
      <c r="S170" s="1" t="s">
        <v>8791</v>
      </c>
      <c r="T170" s="1" t="s">
        <v>9174</v>
      </c>
      <c r="U170" s="1" t="s">
        <v>636</v>
      </c>
      <c r="V170" s="1" t="s">
        <v>45</v>
      </c>
      <c r="W170" s="1"/>
      <c r="X170" s="1"/>
      <c r="Y170" s="1"/>
      <c r="Z170" s="1" t="s">
        <v>658</v>
      </c>
      <c r="AA170" s="1" t="s">
        <v>9949</v>
      </c>
      <c r="AB170" s="1" t="s">
        <v>46</v>
      </c>
      <c r="AC170" s="1" t="s">
        <v>46</v>
      </c>
      <c r="AD170" s="1"/>
      <c r="AE170" s="1" t="s">
        <v>641</v>
      </c>
      <c r="AF170" s="1" t="s">
        <v>45</v>
      </c>
      <c r="AG170" s="1">
        <v>1</v>
      </c>
      <c r="AH170" s="1" t="s">
        <v>190</v>
      </c>
      <c r="AI170" s="1"/>
      <c r="AJ170" s="1" t="s">
        <v>9950</v>
      </c>
      <c r="AK170" s="1" t="s">
        <v>4945</v>
      </c>
    </row>
    <row r="171" spans="1:37">
      <c r="A171" s="1" t="str">
        <f>VLOOKUP(H171,Languages!$A$2:$B$430,2,FALSE)</f>
        <v>Arawakan</v>
      </c>
      <c r="B171" s="1" t="s">
        <v>1812</v>
      </c>
      <c r="C171" s="1" t="s">
        <v>477</v>
      </c>
      <c r="D171" s="1" t="s">
        <v>862</v>
      </c>
      <c r="E171" s="15" t="s">
        <v>863</v>
      </c>
      <c r="F171" s="15" t="s">
        <v>864</v>
      </c>
      <c r="G171" s="1" t="s">
        <v>864</v>
      </c>
      <c r="H171" s="1" t="str">
        <f>VLOOKUP(G171,'languoid 4.0'!$A$1:$I$24439,2,FALSE)</f>
        <v>araw1281</v>
      </c>
      <c r="I171" s="1" t="str">
        <f>VLOOKUP(G171,'languoid 4.0'!$A$1:$I$24439,6,FALSE)</f>
        <v>language</v>
      </c>
      <c r="J171" s="15" t="s">
        <v>52</v>
      </c>
      <c r="K171" s="15" t="s">
        <v>368</v>
      </c>
      <c r="L171" s="15" t="s">
        <v>368</v>
      </c>
      <c r="M171" s="1" t="s">
        <v>865</v>
      </c>
      <c r="N171" s="1" t="e">
        <v>#N/A</v>
      </c>
      <c r="O171" s="15" t="s">
        <v>40</v>
      </c>
      <c r="P171" s="15" t="s">
        <v>41</v>
      </c>
      <c r="Q171" s="1" t="s">
        <v>1241</v>
      </c>
      <c r="R171" s="2" t="s">
        <v>2302</v>
      </c>
      <c r="S171" s="1" t="s">
        <v>2303</v>
      </c>
      <c r="T171" s="1" t="s">
        <v>648</v>
      </c>
      <c r="U171" s="1" t="s">
        <v>636</v>
      </c>
      <c r="V171" s="1" t="s">
        <v>45</v>
      </c>
      <c r="W171" s="1"/>
      <c r="X171" s="1"/>
      <c r="Y171" s="1"/>
      <c r="Z171" s="1" t="s">
        <v>673</v>
      </c>
      <c r="AA171" s="1" t="s">
        <v>46</v>
      </c>
      <c r="AB171" s="1" t="s">
        <v>2304</v>
      </c>
      <c r="AC171" s="1" t="s">
        <v>46</v>
      </c>
      <c r="AD171" s="1"/>
      <c r="AE171" s="1" t="s">
        <v>641</v>
      </c>
      <c r="AF171" s="1" t="s">
        <v>190</v>
      </c>
      <c r="AG171" s="1">
        <v>4</v>
      </c>
      <c r="AH171" s="1" t="s">
        <v>190</v>
      </c>
      <c r="AI171" s="1"/>
      <c r="AJ171" s="1" t="s">
        <v>2305</v>
      </c>
      <c r="AK171" s="1" t="s">
        <v>651</v>
      </c>
    </row>
    <row r="172" spans="1:37">
      <c r="A172" s="1" t="str">
        <f>VLOOKUP(H172,Languages!$A$2:$B$430,2,FALSE)</f>
        <v>Arawakan</v>
      </c>
      <c r="B172" s="1" t="s">
        <v>1812</v>
      </c>
      <c r="C172" s="1" t="s">
        <v>477</v>
      </c>
      <c r="D172" s="1" t="s">
        <v>3395</v>
      </c>
      <c r="E172" s="15" t="s">
        <v>3396</v>
      </c>
      <c r="F172" s="15" t="s">
        <v>954</v>
      </c>
      <c r="G172" s="1" t="s">
        <v>3396</v>
      </c>
      <c r="H172" s="1" t="str">
        <f>VLOOKUP(G172,'languoid 4.0'!$A$1:$I$24439,2,FALSE)</f>
        <v>araw1281</v>
      </c>
      <c r="I172" s="1" t="str">
        <f>VLOOKUP(G172,'languoid 4.0'!$A$1:$I$24439,6,FALSE)</f>
        <v>language</v>
      </c>
      <c r="J172" s="15" t="s">
        <v>52</v>
      </c>
      <c r="K172" s="15" t="s">
        <v>368</v>
      </c>
      <c r="L172" s="15" t="s">
        <v>368</v>
      </c>
      <c r="M172" s="1" t="s">
        <v>3397</v>
      </c>
      <c r="N172" s="1" t="s">
        <v>3398</v>
      </c>
      <c r="O172" s="15" t="s">
        <v>40</v>
      </c>
      <c r="P172" s="15" t="s">
        <v>41</v>
      </c>
      <c r="Q172" s="1" t="s">
        <v>3399</v>
      </c>
      <c r="R172" s="2" t="s">
        <v>3400</v>
      </c>
      <c r="S172" s="1" t="s">
        <v>1718</v>
      </c>
      <c r="T172" s="1" t="s">
        <v>657</v>
      </c>
      <c r="U172" s="1" t="s">
        <v>109</v>
      </c>
      <c r="V172" s="1" t="s">
        <v>45</v>
      </c>
      <c r="W172" s="1"/>
      <c r="X172" s="1"/>
      <c r="Y172" s="1"/>
      <c r="Z172" s="1" t="s">
        <v>673</v>
      </c>
      <c r="AA172" s="1" t="s">
        <v>46</v>
      </c>
      <c r="AB172" s="1" t="s">
        <v>3401</v>
      </c>
      <c r="AC172" s="1" t="s">
        <v>46</v>
      </c>
      <c r="AD172" s="1"/>
      <c r="AE172" s="1" t="s">
        <v>641</v>
      </c>
      <c r="AF172" s="1" t="s">
        <v>190</v>
      </c>
      <c r="AG172" s="1">
        <v>5</v>
      </c>
      <c r="AH172" s="1" t="s">
        <v>190</v>
      </c>
      <c r="AI172" s="1"/>
      <c r="AJ172" s="1" t="s">
        <v>3402</v>
      </c>
      <c r="AK172" s="1" t="s">
        <v>651</v>
      </c>
    </row>
    <row r="173" spans="1:37">
      <c r="A173" s="1" t="str">
        <f>VLOOKUP(H173,Languages!$A$2:$B$430,2,FALSE)</f>
        <v>Arawakan</v>
      </c>
      <c r="B173" s="1" t="s">
        <v>1812</v>
      </c>
      <c r="C173" s="1" t="s">
        <v>154</v>
      </c>
      <c r="D173" s="1" t="s">
        <v>285</v>
      </c>
      <c r="E173" s="15" t="s">
        <v>286</v>
      </c>
      <c r="F173" s="16" t="s">
        <v>286</v>
      </c>
      <c r="G173" s="6" t="s">
        <v>286</v>
      </c>
      <c r="H173" s="1" t="str">
        <f>VLOOKUP(G173,'languoid 4.0'!$A$1:$I$24439,2,FALSE)</f>
        <v>araw1281</v>
      </c>
      <c r="I173" s="1" t="str">
        <f>VLOOKUP(G173,'languoid 4.0'!$A$1:$I$24439,6,FALSE)</f>
        <v>language</v>
      </c>
      <c r="J173" s="15" t="s">
        <v>38</v>
      </c>
      <c r="K173" s="15" t="s">
        <v>38</v>
      </c>
      <c r="L173" s="15" t="s">
        <v>38</v>
      </c>
      <c r="M173" s="1"/>
      <c r="N173" s="1" t="s">
        <v>288</v>
      </c>
      <c r="O173" s="15" t="s">
        <v>40</v>
      </c>
      <c r="P173" s="15" t="s">
        <v>41</v>
      </c>
      <c r="Q173" s="1" t="s">
        <v>289</v>
      </c>
      <c r="R173" s="2" t="s">
        <v>6806</v>
      </c>
      <c r="S173" s="1" t="s">
        <v>8764</v>
      </c>
      <c r="T173" s="1" t="s">
        <v>6428</v>
      </c>
      <c r="U173" s="1" t="s">
        <v>636</v>
      </c>
      <c r="V173" s="1" t="s">
        <v>45</v>
      </c>
      <c r="W173" s="1"/>
      <c r="X173" s="1"/>
      <c r="Y173" s="1"/>
      <c r="Z173" s="1" t="s">
        <v>673</v>
      </c>
      <c r="AA173" s="1" t="s">
        <v>1021</v>
      </c>
      <c r="AB173" s="1" t="s">
        <v>8765</v>
      </c>
      <c r="AC173" s="1" t="s">
        <v>1021</v>
      </c>
      <c r="AD173" s="1"/>
      <c r="AE173" s="1" t="s">
        <v>641</v>
      </c>
      <c r="AF173" s="1" t="s">
        <v>190</v>
      </c>
      <c r="AG173" s="1">
        <v>6</v>
      </c>
      <c r="AH173" s="1" t="s">
        <v>190</v>
      </c>
      <c r="AI173" s="1"/>
      <c r="AJ173" s="3">
        <v>43352.217986111114</v>
      </c>
      <c r="AK173" s="1" t="s">
        <v>6365</v>
      </c>
    </row>
    <row r="174" spans="1:37">
      <c r="A174" s="1" t="str">
        <f>VLOOKUP(H174,Languages!$A$2:$B$430,2,FALSE)</f>
        <v>Arawakan</v>
      </c>
      <c r="B174" s="1" t="s">
        <v>1812</v>
      </c>
      <c r="C174" s="1" t="s">
        <v>154</v>
      </c>
      <c r="D174" s="1" t="s">
        <v>285</v>
      </c>
      <c r="E174" s="15" t="s">
        <v>286</v>
      </c>
      <c r="F174" s="16" t="s">
        <v>286</v>
      </c>
      <c r="G174" s="6" t="s">
        <v>286</v>
      </c>
      <c r="H174" s="1" t="str">
        <f>VLOOKUP(G174,'languoid 4.0'!$A$1:$I$24439,2,FALSE)</f>
        <v>araw1281</v>
      </c>
      <c r="I174" s="1" t="str">
        <f>VLOOKUP(G174,'languoid 4.0'!$A$1:$I$24439,6,FALSE)</f>
        <v>language</v>
      </c>
      <c r="J174" s="15" t="s">
        <v>38</v>
      </c>
      <c r="K174" s="15" t="s">
        <v>38</v>
      </c>
      <c r="L174" s="15" t="s">
        <v>38</v>
      </c>
      <c r="M174" s="1"/>
      <c r="N174" s="1" t="s">
        <v>288</v>
      </c>
      <c r="O174" s="15" t="s">
        <v>40</v>
      </c>
      <c r="P174" s="15" t="s">
        <v>41</v>
      </c>
      <c r="Q174" s="1" t="s">
        <v>8786</v>
      </c>
      <c r="R174" s="2" t="s">
        <v>8771</v>
      </c>
      <c r="S174" s="1" t="s">
        <v>6414</v>
      </c>
      <c r="T174" s="1" t="s">
        <v>6428</v>
      </c>
      <c r="U174" s="1" t="s">
        <v>4876</v>
      </c>
      <c r="V174" s="1" t="s">
        <v>45</v>
      </c>
      <c r="W174" s="1"/>
      <c r="X174" s="1"/>
      <c r="Y174" s="1"/>
      <c r="Z174" s="1" t="s">
        <v>673</v>
      </c>
      <c r="AA174" s="1" t="s">
        <v>46</v>
      </c>
      <c r="AB174" s="1" t="s">
        <v>8787</v>
      </c>
      <c r="AC174" s="1" t="s">
        <v>46</v>
      </c>
      <c r="AD174" s="1"/>
      <c r="AE174" s="1" t="s">
        <v>641</v>
      </c>
      <c r="AF174" s="1" t="s">
        <v>190</v>
      </c>
      <c r="AG174" s="1">
        <v>4</v>
      </c>
      <c r="AH174" s="1" t="s">
        <v>190</v>
      </c>
      <c r="AI174" s="1"/>
      <c r="AJ174" s="3">
        <v>43352.253530092596</v>
      </c>
      <c r="AK174" s="1" t="s">
        <v>6365</v>
      </c>
    </row>
    <row r="175" spans="1:37">
      <c r="A175" s="1" t="str">
        <f>VLOOKUP(H175,Languages!$A$2:$B$430,2,FALSE)</f>
        <v>Arawakan</v>
      </c>
      <c r="B175" s="1" t="s">
        <v>1707</v>
      </c>
      <c r="C175" s="1" t="s">
        <v>477</v>
      </c>
      <c r="D175" s="1" t="s">
        <v>1712</v>
      </c>
      <c r="E175" s="15" t="s">
        <v>1713</v>
      </c>
      <c r="F175" s="15" t="s">
        <v>1714</v>
      </c>
      <c r="G175" s="1" t="s">
        <v>1713</v>
      </c>
      <c r="H175" s="1" t="str">
        <f>VLOOKUP(G175,'languoid 4.0'!$A$1:$I$24439,2,FALSE)</f>
        <v>araw1281</v>
      </c>
      <c r="I175" s="1" t="str">
        <f>VLOOKUP(G175,'languoid 4.0'!$A$1:$I$24439,6,FALSE)</f>
        <v>language</v>
      </c>
      <c r="J175" s="15" t="s">
        <v>52</v>
      </c>
      <c r="K175" s="15" t="s">
        <v>38</v>
      </c>
      <c r="L175" s="15" t="s">
        <v>38</v>
      </c>
      <c r="M175" s="1"/>
      <c r="N175" s="1" t="s">
        <v>1715</v>
      </c>
      <c r="O175" s="15" t="s">
        <v>40</v>
      </c>
      <c r="P175" s="15" t="s">
        <v>41</v>
      </c>
      <c r="Q175" s="1" t="s">
        <v>1716</v>
      </c>
      <c r="R175" s="2" t="s">
        <v>1717</v>
      </c>
      <c r="S175" s="1" t="s">
        <v>1718</v>
      </c>
      <c r="T175" s="1" t="s">
        <v>648</v>
      </c>
      <c r="U175" s="1" t="s">
        <v>636</v>
      </c>
      <c r="V175" s="1" t="s">
        <v>45</v>
      </c>
      <c r="W175" s="1"/>
      <c r="X175" s="1"/>
      <c r="Y175" s="1"/>
      <c r="Z175" s="1" t="s">
        <v>637</v>
      </c>
      <c r="AA175" s="1" t="s">
        <v>1719</v>
      </c>
      <c r="AB175" s="1" t="s">
        <v>1720</v>
      </c>
      <c r="AC175" s="1" t="s">
        <v>46</v>
      </c>
      <c r="AD175" s="1"/>
      <c r="AE175" s="1" t="s">
        <v>641</v>
      </c>
      <c r="AF175" s="1" t="s">
        <v>190</v>
      </c>
      <c r="AG175" s="1">
        <v>3</v>
      </c>
      <c r="AH175" s="1" t="s">
        <v>190</v>
      </c>
      <c r="AI175" s="1"/>
      <c r="AJ175" s="3">
        <v>43346.585902777777</v>
      </c>
      <c r="AK175" s="1" t="s">
        <v>651</v>
      </c>
    </row>
    <row r="176" spans="1:37">
      <c r="A176" s="1" t="str">
        <f>VLOOKUP(H176,Languages!$A$2:$B$430,2,FALSE)</f>
        <v>Arawakan</v>
      </c>
      <c r="B176" s="1" t="s">
        <v>1707</v>
      </c>
      <c r="C176" s="1" t="s">
        <v>154</v>
      </c>
      <c r="D176" s="1" t="s">
        <v>285</v>
      </c>
      <c r="E176" s="15" t="s">
        <v>286</v>
      </c>
      <c r="F176" s="15" t="s">
        <v>286</v>
      </c>
      <c r="G176" s="1" t="s">
        <v>286</v>
      </c>
      <c r="H176" s="1" t="str">
        <f>VLOOKUP(G176,'languoid 4.0'!$A$1:$I$24439,2,FALSE)</f>
        <v>araw1281</v>
      </c>
      <c r="I176" s="1" t="str">
        <f>VLOOKUP(G176,'languoid 4.0'!$A$1:$I$24439,6,FALSE)</f>
        <v>language</v>
      </c>
      <c r="J176" s="15" t="s">
        <v>38</v>
      </c>
      <c r="K176" s="15" t="s">
        <v>38</v>
      </c>
      <c r="L176" s="15" t="s">
        <v>38</v>
      </c>
      <c r="M176" s="1"/>
      <c r="N176" s="1" t="s">
        <v>288</v>
      </c>
      <c r="O176" s="15" t="s">
        <v>40</v>
      </c>
      <c r="P176" s="15" t="s">
        <v>41</v>
      </c>
      <c r="Q176" s="1" t="s">
        <v>6358</v>
      </c>
      <c r="R176" s="2" t="s">
        <v>6359</v>
      </c>
      <c r="S176" s="1" t="s">
        <v>6360</v>
      </c>
      <c r="T176" s="1" t="s">
        <v>635</v>
      </c>
      <c r="U176" s="1" t="s">
        <v>6361</v>
      </c>
      <c r="V176" s="1" t="s">
        <v>45</v>
      </c>
      <c r="W176" s="1"/>
      <c r="X176" s="1"/>
      <c r="Y176" s="1"/>
      <c r="Z176" s="1" t="s">
        <v>637</v>
      </c>
      <c r="AA176" s="1" t="s">
        <v>6362</v>
      </c>
      <c r="AB176" s="1" t="s">
        <v>6363</v>
      </c>
      <c r="AC176" s="1" t="s">
        <v>46</v>
      </c>
      <c r="AD176" s="1" t="s">
        <v>6364</v>
      </c>
      <c r="AE176" s="1" t="s">
        <v>641</v>
      </c>
      <c r="AF176" s="1" t="s">
        <v>190</v>
      </c>
      <c r="AG176" s="1">
        <v>3</v>
      </c>
      <c r="AH176" s="1" t="s">
        <v>190</v>
      </c>
      <c r="AI176" s="1"/>
      <c r="AJ176" s="3">
        <v>43288.76295138889</v>
      </c>
      <c r="AK176" s="1" t="s">
        <v>6365</v>
      </c>
    </row>
    <row r="177" spans="1:37">
      <c r="A177" s="1" t="str">
        <f>VLOOKUP(H177,Languages!$A$2:$B$430,2,FALSE)</f>
        <v>Arawakan</v>
      </c>
      <c r="B177" s="1" t="s">
        <v>1707</v>
      </c>
      <c r="C177" s="1" t="s">
        <v>154</v>
      </c>
      <c r="D177" s="1" t="s">
        <v>285</v>
      </c>
      <c r="E177" s="15" t="s">
        <v>286</v>
      </c>
      <c r="F177" s="15" t="s">
        <v>286</v>
      </c>
      <c r="G177" s="1" t="s">
        <v>286</v>
      </c>
      <c r="H177" s="1" t="str">
        <f>VLOOKUP(G177,'languoid 4.0'!$A$1:$I$24439,2,FALSE)</f>
        <v>araw1281</v>
      </c>
      <c r="I177" s="1" t="str">
        <f>VLOOKUP(G177,'languoid 4.0'!$A$1:$I$24439,6,FALSE)</f>
        <v>language</v>
      </c>
      <c r="J177" s="15" t="s">
        <v>38</v>
      </c>
      <c r="K177" s="15" t="s">
        <v>38</v>
      </c>
      <c r="L177" s="15" t="s">
        <v>38</v>
      </c>
      <c r="M177" s="1"/>
      <c r="N177" s="1" t="s">
        <v>288</v>
      </c>
      <c r="O177" s="15" t="s">
        <v>40</v>
      </c>
      <c r="P177" s="15" t="s">
        <v>41</v>
      </c>
      <c r="Q177" s="1" t="s">
        <v>6809</v>
      </c>
      <c r="R177" s="2" t="s">
        <v>6806</v>
      </c>
      <c r="S177" s="1" t="s">
        <v>6466</v>
      </c>
      <c r="T177" s="1" t="s">
        <v>6428</v>
      </c>
      <c r="U177" s="1" t="s">
        <v>636</v>
      </c>
      <c r="V177" s="1" t="s">
        <v>45</v>
      </c>
      <c r="W177" s="1"/>
      <c r="X177" s="1"/>
      <c r="Y177" s="1"/>
      <c r="Z177" s="1" t="s">
        <v>637</v>
      </c>
      <c r="AA177" s="1" t="s">
        <v>6810</v>
      </c>
      <c r="AB177" s="1" t="s">
        <v>6811</v>
      </c>
      <c r="AC177" s="1" t="s">
        <v>46</v>
      </c>
      <c r="AD177" s="1"/>
      <c r="AE177" s="1" t="s">
        <v>641</v>
      </c>
      <c r="AF177" s="1" t="s">
        <v>190</v>
      </c>
      <c r="AG177" s="1">
        <v>6</v>
      </c>
      <c r="AH177" s="1" t="s">
        <v>190</v>
      </c>
      <c r="AI177" s="1"/>
      <c r="AJ177" s="1" t="s">
        <v>6812</v>
      </c>
      <c r="AK177" s="1" t="s">
        <v>6365</v>
      </c>
    </row>
    <row r="178" spans="1:37">
      <c r="A178" s="1" t="str">
        <f>VLOOKUP(H178,Languages!$A$2:$B$430,2,FALSE)</f>
        <v>Arawakan</v>
      </c>
      <c r="B178" s="1" t="s">
        <v>1707</v>
      </c>
      <c r="C178" s="1" t="s">
        <v>154</v>
      </c>
      <c r="D178" s="1" t="s">
        <v>285</v>
      </c>
      <c r="E178" s="15" t="s">
        <v>286</v>
      </c>
      <c r="F178" s="15" t="s">
        <v>286</v>
      </c>
      <c r="G178" s="1" t="s">
        <v>286</v>
      </c>
      <c r="H178" s="1" t="str">
        <f>VLOOKUP(G178,'languoid 4.0'!$A$1:$I$24439,2,FALSE)</f>
        <v>araw1281</v>
      </c>
      <c r="I178" s="1" t="str">
        <f>VLOOKUP(G178,'languoid 4.0'!$A$1:$I$24439,6,FALSE)</f>
        <v>language</v>
      </c>
      <c r="J178" s="15" t="s">
        <v>38</v>
      </c>
      <c r="K178" s="15" t="s">
        <v>38</v>
      </c>
      <c r="L178" s="15" t="s">
        <v>38</v>
      </c>
      <c r="M178" s="1"/>
      <c r="N178" s="1" t="s">
        <v>288</v>
      </c>
      <c r="O178" s="15" t="s">
        <v>40</v>
      </c>
      <c r="P178" s="15" t="s">
        <v>41</v>
      </c>
      <c r="Q178" s="1" t="s">
        <v>6809</v>
      </c>
      <c r="R178" s="2" t="s">
        <v>6806</v>
      </c>
      <c r="S178" s="1" t="s">
        <v>6414</v>
      </c>
      <c r="T178" s="1" t="s">
        <v>6428</v>
      </c>
      <c r="U178" s="1" t="s">
        <v>636</v>
      </c>
      <c r="V178" s="1" t="s">
        <v>45</v>
      </c>
      <c r="W178" s="1"/>
      <c r="X178" s="1"/>
      <c r="Y178" s="1"/>
      <c r="Z178" s="1" t="s">
        <v>637</v>
      </c>
      <c r="AA178" s="1" t="s">
        <v>6810</v>
      </c>
      <c r="AB178" s="1" t="s">
        <v>6813</v>
      </c>
      <c r="AC178" s="1" t="s">
        <v>46</v>
      </c>
      <c r="AD178" s="1"/>
      <c r="AE178" s="1" t="s">
        <v>641</v>
      </c>
      <c r="AF178" s="1" t="s">
        <v>190</v>
      </c>
      <c r="AG178" s="1">
        <v>4</v>
      </c>
      <c r="AH178" s="1" t="s">
        <v>190</v>
      </c>
      <c r="AI178" s="1"/>
      <c r="AJ178" s="1" t="s">
        <v>6814</v>
      </c>
      <c r="AK178" s="1" t="s">
        <v>6365</v>
      </c>
    </row>
    <row r="179" spans="1:37">
      <c r="A179" s="1" t="str">
        <f>VLOOKUP(H179,Languages!$A$2:$B$430,2,FALSE)</f>
        <v>Arawakan</v>
      </c>
      <c r="B179" s="1" t="s">
        <v>1707</v>
      </c>
      <c r="C179" s="1" t="s">
        <v>154</v>
      </c>
      <c r="D179" s="1" t="s">
        <v>285</v>
      </c>
      <c r="E179" s="15" t="s">
        <v>286</v>
      </c>
      <c r="F179" s="15" t="s">
        <v>286</v>
      </c>
      <c r="G179" s="1" t="s">
        <v>286</v>
      </c>
      <c r="H179" s="1" t="str">
        <f>VLOOKUP(G179,'languoid 4.0'!$A$1:$I$24439,2,FALSE)</f>
        <v>araw1281</v>
      </c>
      <c r="I179" s="1" t="str">
        <f>VLOOKUP(G179,'languoid 4.0'!$A$1:$I$24439,6,FALSE)</f>
        <v>language</v>
      </c>
      <c r="J179" s="15" t="s">
        <v>38</v>
      </c>
      <c r="K179" s="15" t="s">
        <v>38</v>
      </c>
      <c r="L179" s="15" t="s">
        <v>38</v>
      </c>
      <c r="M179" s="1"/>
      <c r="N179" s="1" t="s">
        <v>288</v>
      </c>
      <c r="O179" s="15" t="s">
        <v>40</v>
      </c>
      <c r="P179" s="15" t="s">
        <v>41</v>
      </c>
      <c r="Q179" s="1" t="s">
        <v>6815</v>
      </c>
      <c r="R179" s="2" t="s">
        <v>6784</v>
      </c>
      <c r="S179" s="1" t="s">
        <v>6011</v>
      </c>
      <c r="T179" s="1" t="s">
        <v>6428</v>
      </c>
      <c r="U179" s="1" t="s">
        <v>636</v>
      </c>
      <c r="V179" s="1" t="s">
        <v>45</v>
      </c>
      <c r="W179" s="1"/>
      <c r="X179" s="1"/>
      <c r="Y179" s="1"/>
      <c r="Z179" s="1" t="s">
        <v>637</v>
      </c>
      <c r="AA179" s="1" t="s">
        <v>6816</v>
      </c>
      <c r="AB179" s="1" t="s">
        <v>6817</v>
      </c>
      <c r="AC179" s="1" t="s">
        <v>46</v>
      </c>
      <c r="AD179" s="1"/>
      <c r="AE179" s="1" t="s">
        <v>641</v>
      </c>
      <c r="AF179" s="1" t="s">
        <v>190</v>
      </c>
      <c r="AG179" s="1">
        <v>4</v>
      </c>
      <c r="AH179" s="1" t="s">
        <v>190</v>
      </c>
      <c r="AI179" s="1" t="s">
        <v>6818</v>
      </c>
      <c r="AJ179" s="1" t="s">
        <v>6819</v>
      </c>
      <c r="AK179" s="1" t="s">
        <v>6365</v>
      </c>
    </row>
    <row r="180" spans="1:37">
      <c r="A180" s="1" t="str">
        <f>VLOOKUP(H180,Languages!$A$2:$B$430,2,FALSE)</f>
        <v>Arawakan</v>
      </c>
      <c r="B180" s="1" t="s">
        <v>1707</v>
      </c>
      <c r="C180" s="1" t="s">
        <v>139</v>
      </c>
      <c r="D180" s="1" t="s">
        <v>1712</v>
      </c>
      <c r="E180" s="15" t="s">
        <v>1713</v>
      </c>
      <c r="F180" s="15" t="s">
        <v>1714</v>
      </c>
      <c r="G180" s="1" t="s">
        <v>1713</v>
      </c>
      <c r="H180" s="1" t="str">
        <f>VLOOKUP(G180,'languoid 4.0'!$A$1:$I$24439,2,FALSE)</f>
        <v>araw1281</v>
      </c>
      <c r="I180" s="1" t="str">
        <f>VLOOKUP(G180,'languoid 4.0'!$A$1:$I$24439,6,FALSE)</f>
        <v>language</v>
      </c>
      <c r="J180" s="15" t="s">
        <v>52</v>
      </c>
      <c r="K180" s="15" t="s">
        <v>38</v>
      </c>
      <c r="L180" s="15" t="s">
        <v>38</v>
      </c>
      <c r="M180" s="1"/>
      <c r="N180" s="1" t="s">
        <v>1715</v>
      </c>
      <c r="O180" s="15" t="s">
        <v>40</v>
      </c>
      <c r="P180" s="15" t="s">
        <v>41</v>
      </c>
      <c r="Q180" s="1" t="s">
        <v>1716</v>
      </c>
      <c r="R180" s="2" t="s">
        <v>9828</v>
      </c>
      <c r="S180" s="1" t="s">
        <v>46</v>
      </c>
      <c r="T180" s="1" t="s">
        <v>635</v>
      </c>
      <c r="U180" s="1" t="s">
        <v>636</v>
      </c>
      <c r="V180" s="1" t="s">
        <v>45</v>
      </c>
      <c r="W180" s="1"/>
      <c r="X180" s="1"/>
      <c r="Y180" s="1"/>
      <c r="Z180" s="1" t="s">
        <v>658</v>
      </c>
      <c r="AA180" s="1" t="s">
        <v>9829</v>
      </c>
      <c r="AB180" s="1" t="s">
        <v>46</v>
      </c>
      <c r="AC180" s="1" t="s">
        <v>46</v>
      </c>
      <c r="AD180" s="1"/>
      <c r="AE180" s="1" t="s">
        <v>641</v>
      </c>
      <c r="AF180" s="1" t="s">
        <v>190</v>
      </c>
      <c r="AG180" s="1">
        <v>6</v>
      </c>
      <c r="AH180" s="1" t="s">
        <v>190</v>
      </c>
      <c r="AI180" s="1"/>
      <c r="AJ180" s="1" t="s">
        <v>9830</v>
      </c>
      <c r="AK180" s="1" t="s">
        <v>8645</v>
      </c>
    </row>
    <row r="181" spans="1:37">
      <c r="A181" s="1" t="str">
        <f>VLOOKUP(H181,Languages!$A$2:$B$430,2,FALSE)</f>
        <v>Athabaskan-Eyak-Tlingit</v>
      </c>
      <c r="B181" s="1" t="s">
        <v>67</v>
      </c>
      <c r="C181" s="1" t="s">
        <v>220</v>
      </c>
      <c r="D181" s="1" t="s">
        <v>1092</v>
      </c>
      <c r="E181" s="15" t="s">
        <v>1093</v>
      </c>
      <c r="F181" s="15" t="s">
        <v>1094</v>
      </c>
      <c r="G181" s="1" t="s">
        <v>1093</v>
      </c>
      <c r="H181" s="1" t="str">
        <f>VLOOKUP(G181,'languoid 4.0'!$A$1:$I$24439,2,FALSE)</f>
        <v>atha1245</v>
      </c>
      <c r="I181" s="1" t="str">
        <f>VLOOKUP(G181,'languoid 4.0'!$A$1:$I$24439,6,FALSE)</f>
        <v>language</v>
      </c>
      <c r="J181" s="15" t="s">
        <v>52</v>
      </c>
      <c r="K181" s="15" t="s">
        <v>38</v>
      </c>
      <c r="L181" s="15" t="s">
        <v>38</v>
      </c>
      <c r="M181" s="1"/>
      <c r="N181" s="1" t="s">
        <v>1095</v>
      </c>
      <c r="O181" s="15" t="s">
        <v>40</v>
      </c>
      <c r="P181" s="15" t="s">
        <v>41</v>
      </c>
      <c r="Q181" s="1" t="s">
        <v>1112</v>
      </c>
      <c r="R181" s="2" t="s">
        <v>633</v>
      </c>
      <c r="S181" s="1" t="s">
        <v>46</v>
      </c>
      <c r="T181" s="1" t="s">
        <v>635</v>
      </c>
      <c r="U181" s="1" t="s">
        <v>636</v>
      </c>
      <c r="V181" s="1" t="s">
        <v>45</v>
      </c>
      <c r="W181" s="1"/>
      <c r="X181" s="1"/>
      <c r="Y181" s="1"/>
      <c r="Z181" s="1" t="s">
        <v>637</v>
      </c>
      <c r="AA181" s="1" t="s">
        <v>1113</v>
      </c>
      <c r="AB181" s="1" t="s">
        <v>1114</v>
      </c>
      <c r="AC181" s="1" t="s">
        <v>46</v>
      </c>
      <c r="AD181" s="1" t="s">
        <v>1115</v>
      </c>
      <c r="AE181" s="1"/>
      <c r="AF181" s="1"/>
      <c r="AG181" s="1"/>
      <c r="AH181" s="1" t="s">
        <v>45</v>
      </c>
      <c r="AI181" s="1"/>
      <c r="AJ181" s="1" t="s">
        <v>1116</v>
      </c>
      <c r="AK181" s="1" t="s">
        <v>74</v>
      </c>
    </row>
    <row r="182" spans="1:37">
      <c r="A182" s="1" t="str">
        <f>VLOOKUP(H182,Languages!$A$2:$B$430,2,FALSE)</f>
        <v>Athabaskan-Eyak-Tlingit</v>
      </c>
      <c r="B182" s="1" t="s">
        <v>67</v>
      </c>
      <c r="C182" s="1" t="s">
        <v>304</v>
      </c>
      <c r="D182" s="1" t="s">
        <v>413</v>
      </c>
      <c r="E182" s="15" t="s">
        <v>414</v>
      </c>
      <c r="F182" s="15" t="s">
        <v>414</v>
      </c>
      <c r="G182" s="1" t="s">
        <v>414</v>
      </c>
      <c r="H182" s="1" t="str">
        <f>VLOOKUP(G182,'languoid 4.0'!$A$1:$I$24439,2,FALSE)</f>
        <v>atha1245</v>
      </c>
      <c r="I182" s="1" t="str">
        <f>VLOOKUP(G182,'languoid 4.0'!$A$1:$I$24439,6,FALSE)</f>
        <v>language</v>
      </c>
      <c r="J182" s="15" t="s">
        <v>38</v>
      </c>
      <c r="K182" s="15" t="s">
        <v>38</v>
      </c>
      <c r="L182" s="15" t="s">
        <v>38</v>
      </c>
      <c r="M182" s="1"/>
      <c r="N182" s="1" t="s">
        <v>415</v>
      </c>
      <c r="O182" s="15" t="s">
        <v>40</v>
      </c>
      <c r="P182" s="15" t="s">
        <v>41</v>
      </c>
      <c r="Q182" s="1" t="s">
        <v>416</v>
      </c>
      <c r="R182" s="2" t="s">
        <v>417</v>
      </c>
      <c r="S182" s="1" t="s">
        <v>418</v>
      </c>
      <c r="T182" s="1" t="s">
        <v>44</v>
      </c>
      <c r="U182" s="1"/>
      <c r="V182" s="1" t="s">
        <v>45</v>
      </c>
      <c r="W182" s="1"/>
      <c r="X182" s="1"/>
      <c r="Y182" s="1"/>
      <c r="Z182" s="1"/>
      <c r="AA182" s="1">
        <v>12</v>
      </c>
      <c r="AB182" s="1">
        <v>12</v>
      </c>
      <c r="AC182" s="1" t="s">
        <v>46</v>
      </c>
      <c r="AD182" s="1"/>
      <c r="AE182" s="1"/>
      <c r="AF182" s="1"/>
      <c r="AG182" s="1"/>
      <c r="AH182" s="1"/>
      <c r="AI182" s="1"/>
      <c r="AJ182" s="3">
        <v>43102.747349537036</v>
      </c>
      <c r="AK182" s="1" t="s">
        <v>172</v>
      </c>
    </row>
    <row r="183" spans="1:37">
      <c r="A183" s="1" t="str">
        <f>VLOOKUP(H183,Languages!$A$2:$B$430,2,FALSE)</f>
        <v>Athabaskan-Eyak-Tlingit</v>
      </c>
      <c r="B183" s="1" t="s">
        <v>67</v>
      </c>
      <c r="C183" s="1" t="s">
        <v>304</v>
      </c>
      <c r="D183" s="1" t="s">
        <v>8092</v>
      </c>
      <c r="E183" s="15" t="s">
        <v>414</v>
      </c>
      <c r="F183" s="15" t="s">
        <v>414</v>
      </c>
      <c r="G183" s="1" t="s">
        <v>414</v>
      </c>
      <c r="H183" s="1" t="str">
        <f>VLOOKUP(G183,'languoid 4.0'!$A$1:$I$24439,2,FALSE)</f>
        <v>atha1245</v>
      </c>
      <c r="I183" s="1" t="str">
        <f>VLOOKUP(G183,'languoid 4.0'!$A$1:$I$24439,6,FALSE)</f>
        <v>language</v>
      </c>
      <c r="J183" s="15" t="s">
        <v>38</v>
      </c>
      <c r="K183" s="15" t="s">
        <v>38</v>
      </c>
      <c r="L183" s="15" t="s">
        <v>38</v>
      </c>
      <c r="M183" s="1"/>
      <c r="N183" s="1" t="s">
        <v>415</v>
      </c>
      <c r="O183" s="15" t="s">
        <v>40</v>
      </c>
      <c r="P183" s="15" t="s">
        <v>41</v>
      </c>
      <c r="Q183" s="1" t="s">
        <v>8093</v>
      </c>
      <c r="R183" s="2" t="s">
        <v>8094</v>
      </c>
      <c r="S183" s="1" t="s">
        <v>656</v>
      </c>
      <c r="T183" s="1" t="s">
        <v>657</v>
      </c>
      <c r="U183" s="1" t="s">
        <v>636</v>
      </c>
      <c r="V183" s="1" t="s">
        <v>45</v>
      </c>
      <c r="W183" s="1"/>
      <c r="X183" s="1"/>
      <c r="Y183" s="1"/>
      <c r="Z183" s="1" t="s">
        <v>658</v>
      </c>
      <c r="AA183" s="1" t="s">
        <v>46</v>
      </c>
      <c r="AB183" s="1" t="s">
        <v>46</v>
      </c>
      <c r="AC183" s="1" t="s">
        <v>46</v>
      </c>
      <c r="AD183" s="1"/>
      <c r="AE183" s="1" t="s">
        <v>641</v>
      </c>
      <c r="AF183" s="1" t="s">
        <v>45</v>
      </c>
      <c r="AG183" s="1">
        <v>6</v>
      </c>
      <c r="AH183" s="1" t="s">
        <v>190</v>
      </c>
      <c r="AI183" s="1"/>
      <c r="AJ183" s="1" t="s">
        <v>8095</v>
      </c>
      <c r="AK183" s="1" t="s">
        <v>6441</v>
      </c>
    </row>
    <row r="184" spans="1:37">
      <c r="A184" s="1" t="str">
        <f>VLOOKUP(H184,Languages!$A$2:$B$430,2,FALSE)</f>
        <v>Athabaskan-Eyak-Tlingit</v>
      </c>
      <c r="B184" s="1" t="s">
        <v>59</v>
      </c>
      <c r="C184" s="1" t="s">
        <v>220</v>
      </c>
      <c r="D184" s="1" t="s">
        <v>1074</v>
      </c>
      <c r="E184" s="15" t="s">
        <v>1075</v>
      </c>
      <c r="F184" s="15" t="s">
        <v>1075</v>
      </c>
      <c r="G184" s="1" t="s">
        <v>1075</v>
      </c>
      <c r="H184" s="1" t="str">
        <f>VLOOKUP(G184,'languoid 4.0'!$A$1:$I$24439,2,FALSE)</f>
        <v>atha1245</v>
      </c>
      <c r="I184" s="1" t="str">
        <f>VLOOKUP(G184,'languoid 4.0'!$A$1:$I$24439,6,FALSE)</f>
        <v>language</v>
      </c>
      <c r="J184" s="15" t="s">
        <v>38</v>
      </c>
      <c r="K184" s="15" t="s">
        <v>38</v>
      </c>
      <c r="L184" s="15" t="s">
        <v>38</v>
      </c>
      <c r="M184" s="1"/>
      <c r="N184" s="1" t="s">
        <v>1076</v>
      </c>
      <c r="O184" s="15" t="s">
        <v>40</v>
      </c>
      <c r="P184" s="15" t="s">
        <v>41</v>
      </c>
      <c r="Q184" s="1" t="s">
        <v>1081</v>
      </c>
      <c r="R184" s="2" t="s">
        <v>633</v>
      </c>
      <c r="S184" s="1" t="s">
        <v>46</v>
      </c>
      <c r="T184" s="1" t="s">
        <v>635</v>
      </c>
      <c r="U184" s="1" t="s">
        <v>636</v>
      </c>
      <c r="V184" s="1" t="s">
        <v>45</v>
      </c>
      <c r="W184" s="1"/>
      <c r="X184" s="1"/>
      <c r="Y184" s="1"/>
      <c r="Z184" s="1" t="s">
        <v>637</v>
      </c>
      <c r="AA184" s="1" t="s">
        <v>1082</v>
      </c>
      <c r="AB184" s="1" t="s">
        <v>1083</v>
      </c>
      <c r="AC184" s="1" t="s">
        <v>46</v>
      </c>
      <c r="AD184" s="1" t="s">
        <v>1084</v>
      </c>
      <c r="AE184" s="1"/>
      <c r="AF184" s="1"/>
      <c r="AG184" s="1"/>
      <c r="AH184" s="1" t="s">
        <v>45</v>
      </c>
      <c r="AI184" s="1"/>
      <c r="AJ184" s="1" t="s">
        <v>1085</v>
      </c>
      <c r="AK184" s="1" t="s">
        <v>74</v>
      </c>
    </row>
    <row r="185" spans="1:37">
      <c r="A185" s="1" t="str">
        <f>VLOOKUP(H185,Languages!$A$2:$B$430,2,FALSE)</f>
        <v>Athabaskan-Eyak-Tlingit</v>
      </c>
      <c r="B185" s="1" t="s">
        <v>59</v>
      </c>
      <c r="C185" s="1" t="s">
        <v>220</v>
      </c>
      <c r="D185" s="1" t="s">
        <v>1092</v>
      </c>
      <c r="E185" s="15" t="s">
        <v>1093</v>
      </c>
      <c r="F185" s="15" t="s">
        <v>1094</v>
      </c>
      <c r="G185" s="1" t="s">
        <v>1093</v>
      </c>
      <c r="H185" s="1" t="str">
        <f>VLOOKUP(G185,'languoid 4.0'!$A$1:$I$24439,2,FALSE)</f>
        <v>atha1245</v>
      </c>
      <c r="I185" s="1" t="str">
        <f>VLOOKUP(G185,'languoid 4.0'!$A$1:$I$24439,6,FALSE)</f>
        <v>language</v>
      </c>
      <c r="J185" s="15" t="s">
        <v>52</v>
      </c>
      <c r="K185" s="15" t="s">
        <v>38</v>
      </c>
      <c r="L185" s="15" t="s">
        <v>38</v>
      </c>
      <c r="M185" s="1"/>
      <c r="N185" s="1" t="s">
        <v>1095</v>
      </c>
      <c r="O185" s="15" t="s">
        <v>40</v>
      </c>
      <c r="P185" s="15" t="s">
        <v>41</v>
      </c>
      <c r="Q185" s="1" t="s">
        <v>1096</v>
      </c>
      <c r="R185" s="2" t="s">
        <v>633</v>
      </c>
      <c r="S185" s="1" t="s">
        <v>46</v>
      </c>
      <c r="T185" s="1" t="s">
        <v>635</v>
      </c>
      <c r="U185" s="1" t="s">
        <v>1097</v>
      </c>
      <c r="V185" s="1" t="s">
        <v>45</v>
      </c>
      <c r="W185" s="1"/>
      <c r="X185" s="1"/>
      <c r="Y185" s="1"/>
      <c r="Z185" s="1" t="s">
        <v>637</v>
      </c>
      <c r="AA185" s="1" t="s">
        <v>1098</v>
      </c>
      <c r="AB185" s="1" t="s">
        <v>1099</v>
      </c>
      <c r="AC185" s="1" t="s">
        <v>46</v>
      </c>
      <c r="AD185" s="1" t="s">
        <v>1100</v>
      </c>
      <c r="AE185" s="1"/>
      <c r="AF185" s="1"/>
      <c r="AG185" s="1"/>
      <c r="AH185" s="1" t="s">
        <v>45</v>
      </c>
      <c r="AI185" s="1"/>
      <c r="AJ185" s="1" t="s">
        <v>1101</v>
      </c>
      <c r="AK185" s="1" t="s">
        <v>74</v>
      </c>
    </row>
    <row r="186" spans="1:37">
      <c r="A186" s="1" t="str">
        <f>VLOOKUP(H186,Languages!$A$2:$B$430,2,FALSE)</f>
        <v>Athabaskan-Eyak-Tlingit</v>
      </c>
      <c r="B186" s="1" t="s">
        <v>109</v>
      </c>
      <c r="C186" s="1" t="s">
        <v>220</v>
      </c>
      <c r="D186" s="1" t="s">
        <v>1074</v>
      </c>
      <c r="E186" s="15" t="s">
        <v>1075</v>
      </c>
      <c r="F186" s="15" t="s">
        <v>1075</v>
      </c>
      <c r="G186" s="1" t="s">
        <v>1075</v>
      </c>
      <c r="H186" s="1" t="str">
        <f>VLOOKUP(G186,'languoid 4.0'!$A$1:$I$24439,2,FALSE)</f>
        <v>atha1245</v>
      </c>
      <c r="I186" s="1" t="str">
        <f>VLOOKUP(G186,'languoid 4.0'!$A$1:$I$24439,6,FALSE)</f>
        <v>language</v>
      </c>
      <c r="J186" s="15" t="s">
        <v>38</v>
      </c>
      <c r="K186" s="15" t="s">
        <v>38</v>
      </c>
      <c r="L186" s="15" t="s">
        <v>38</v>
      </c>
      <c r="M186" s="1"/>
      <c r="N186" s="1" t="s">
        <v>1076</v>
      </c>
      <c r="O186" s="15" t="s">
        <v>40</v>
      </c>
      <c r="P186" s="15" t="s">
        <v>41</v>
      </c>
      <c r="Q186" s="1" t="s">
        <v>748</v>
      </c>
      <c r="R186" s="2" t="s">
        <v>633</v>
      </c>
      <c r="S186" s="1" t="s">
        <v>46</v>
      </c>
      <c r="T186" s="1" t="s">
        <v>635</v>
      </c>
      <c r="U186" s="1" t="s">
        <v>636</v>
      </c>
      <c r="V186" s="1" t="s">
        <v>45</v>
      </c>
      <c r="W186" s="1"/>
      <c r="X186" s="1"/>
      <c r="Y186" s="1"/>
      <c r="Z186" s="1" t="s">
        <v>637</v>
      </c>
      <c r="AA186" s="1" t="s">
        <v>1077</v>
      </c>
      <c r="AB186" s="1" t="s">
        <v>1078</v>
      </c>
      <c r="AC186" s="1" t="s">
        <v>46</v>
      </c>
      <c r="AD186" s="1" t="s">
        <v>1079</v>
      </c>
      <c r="AE186" s="1"/>
      <c r="AF186" s="1"/>
      <c r="AG186" s="1"/>
      <c r="AH186" s="1" t="s">
        <v>45</v>
      </c>
      <c r="AI186" s="1"/>
      <c r="AJ186" s="1" t="s">
        <v>1080</v>
      </c>
      <c r="AK186" s="1" t="s">
        <v>74</v>
      </c>
    </row>
    <row r="187" spans="1:37">
      <c r="A187" s="1" t="str">
        <f>VLOOKUP(H187,Languages!$A$2:$B$430,2,FALSE)</f>
        <v>Athabaskan-Eyak-Tlingit</v>
      </c>
      <c r="B187" s="1" t="s">
        <v>109</v>
      </c>
      <c r="C187" s="1" t="s">
        <v>220</v>
      </c>
      <c r="D187" s="1" t="s">
        <v>1092</v>
      </c>
      <c r="E187" s="15" t="s">
        <v>1093</v>
      </c>
      <c r="F187" s="15" t="s">
        <v>1094</v>
      </c>
      <c r="G187" s="1" t="s">
        <v>1093</v>
      </c>
      <c r="H187" s="1" t="str">
        <f>VLOOKUP(G187,'languoid 4.0'!$A$1:$I$24439,2,FALSE)</f>
        <v>atha1245</v>
      </c>
      <c r="I187" s="1" t="str">
        <f>VLOOKUP(G187,'languoid 4.0'!$A$1:$I$24439,6,FALSE)</f>
        <v>language</v>
      </c>
      <c r="J187" s="15" t="s">
        <v>52</v>
      </c>
      <c r="K187" s="15" t="s">
        <v>38</v>
      </c>
      <c r="L187" s="15" t="s">
        <v>38</v>
      </c>
      <c r="M187" s="1"/>
      <c r="N187" s="1" t="s">
        <v>1095</v>
      </c>
      <c r="O187" s="15" t="s">
        <v>40</v>
      </c>
      <c r="P187" s="15" t="s">
        <v>41</v>
      </c>
      <c r="Q187" s="1" t="s">
        <v>1108</v>
      </c>
      <c r="R187" s="2" t="s">
        <v>633</v>
      </c>
      <c r="S187" s="1" t="s">
        <v>46</v>
      </c>
      <c r="T187" s="1" t="s">
        <v>635</v>
      </c>
      <c r="U187" s="1" t="s">
        <v>636</v>
      </c>
      <c r="V187" s="1" t="s">
        <v>45</v>
      </c>
      <c r="W187" s="1"/>
      <c r="X187" s="1"/>
      <c r="Y187" s="1"/>
      <c r="Z187" s="1" t="s">
        <v>637</v>
      </c>
      <c r="AA187" s="1" t="s">
        <v>1088</v>
      </c>
      <c r="AB187" s="1" t="s">
        <v>1109</v>
      </c>
      <c r="AC187" s="1" t="s">
        <v>46</v>
      </c>
      <c r="AD187" s="1" t="s">
        <v>1110</v>
      </c>
      <c r="AE187" s="1"/>
      <c r="AF187" s="1"/>
      <c r="AG187" s="1"/>
      <c r="AH187" s="1" t="s">
        <v>45</v>
      </c>
      <c r="AI187" s="1"/>
      <c r="AJ187" s="1" t="s">
        <v>1111</v>
      </c>
      <c r="AK187" s="1" t="s">
        <v>74</v>
      </c>
    </row>
    <row r="188" spans="1:37">
      <c r="A188" s="1" t="str">
        <f>VLOOKUP(H188,Languages!$A$2:$B$430,2,FALSE)</f>
        <v>Athabaskan-Eyak-Tlingit</v>
      </c>
      <c r="B188" s="1" t="s">
        <v>109</v>
      </c>
      <c r="C188" s="1" t="s">
        <v>220</v>
      </c>
      <c r="D188" s="1" t="s">
        <v>1092</v>
      </c>
      <c r="E188" s="15" t="s">
        <v>1093</v>
      </c>
      <c r="F188" s="15" t="s">
        <v>1094</v>
      </c>
      <c r="G188" s="1" t="s">
        <v>1093</v>
      </c>
      <c r="H188" s="1" t="str">
        <f>VLOOKUP(G188,'languoid 4.0'!$A$1:$I$24439,2,FALSE)</f>
        <v>atha1245</v>
      </c>
      <c r="I188" s="1" t="str">
        <f>VLOOKUP(G188,'languoid 4.0'!$A$1:$I$24439,6,FALSE)</f>
        <v>language</v>
      </c>
      <c r="J188" s="15" t="s">
        <v>52</v>
      </c>
      <c r="K188" s="15" t="s">
        <v>38</v>
      </c>
      <c r="L188" s="15" t="s">
        <v>38</v>
      </c>
      <c r="M188" s="1"/>
      <c r="N188" s="1" t="s">
        <v>1095</v>
      </c>
      <c r="O188" s="15" t="s">
        <v>40</v>
      </c>
      <c r="P188" s="15" t="s">
        <v>41</v>
      </c>
      <c r="Q188" s="1" t="s">
        <v>748</v>
      </c>
      <c r="R188" s="2" t="s">
        <v>4512</v>
      </c>
      <c r="S188" s="1" t="s">
        <v>46</v>
      </c>
      <c r="T188" s="1" t="s">
        <v>635</v>
      </c>
      <c r="U188" s="1" t="s">
        <v>636</v>
      </c>
      <c r="V188" s="1" t="s">
        <v>45</v>
      </c>
      <c r="W188" s="1"/>
      <c r="X188" s="1"/>
      <c r="Y188" s="1"/>
      <c r="Z188" s="1" t="s">
        <v>658</v>
      </c>
      <c r="AA188" s="1" t="s">
        <v>4513</v>
      </c>
      <c r="AB188" s="1" t="s">
        <v>4514</v>
      </c>
      <c r="AC188" s="1" t="s">
        <v>46</v>
      </c>
      <c r="AD188" s="1" t="s">
        <v>4515</v>
      </c>
      <c r="AE188" s="1"/>
      <c r="AF188" s="1"/>
      <c r="AG188" s="1"/>
      <c r="AH188" s="1" t="s">
        <v>45</v>
      </c>
      <c r="AI188" s="1"/>
      <c r="AJ188" s="3">
        <v>43257.487118055556</v>
      </c>
      <c r="AK188" s="1" t="s">
        <v>1749</v>
      </c>
    </row>
    <row r="189" spans="1:37">
      <c r="A189" s="1" t="str">
        <f>VLOOKUP(H189,Languages!$A$2:$B$430,2,FALSE)</f>
        <v>Athabaskan-Eyak-Tlingit</v>
      </c>
      <c r="B189" s="1" t="s">
        <v>109</v>
      </c>
      <c r="C189" s="1" t="s">
        <v>431</v>
      </c>
      <c r="D189" s="1" t="s">
        <v>533</v>
      </c>
      <c r="E189" s="15" t="s">
        <v>534</v>
      </c>
      <c r="F189" s="15" t="s">
        <v>534</v>
      </c>
      <c r="G189" s="1" t="s">
        <v>534</v>
      </c>
      <c r="H189" s="1" t="str">
        <f>VLOOKUP(G189,'languoid 4.0'!$A$1:$I$24439,2,FALSE)</f>
        <v>atha1245</v>
      </c>
      <c r="I189" s="1" t="str">
        <f>VLOOKUP(G189,'languoid 4.0'!$A$1:$I$24439,6,FALSE)</f>
        <v>language</v>
      </c>
      <c r="J189" s="15" t="s">
        <v>38</v>
      </c>
      <c r="K189" s="15" t="s">
        <v>38</v>
      </c>
      <c r="L189" s="15" t="s">
        <v>38</v>
      </c>
      <c r="M189" s="1"/>
      <c r="N189" s="1" t="s">
        <v>535</v>
      </c>
      <c r="O189" s="15" t="s">
        <v>40</v>
      </c>
      <c r="P189" s="15" t="s">
        <v>41</v>
      </c>
      <c r="Q189" s="1" t="s">
        <v>536</v>
      </c>
      <c r="R189" s="2" t="s">
        <v>537</v>
      </c>
      <c r="S189" s="1" t="s">
        <v>225</v>
      </c>
      <c r="T189" s="1" t="s">
        <v>44</v>
      </c>
      <c r="U189" s="1"/>
      <c r="V189" s="1" t="s">
        <v>45</v>
      </c>
      <c r="W189" s="1"/>
      <c r="X189" s="1"/>
      <c r="Y189" s="1"/>
      <c r="Z189" s="1"/>
      <c r="AA189" s="1">
        <v>3</v>
      </c>
      <c r="AB189" s="1">
        <v>3</v>
      </c>
      <c r="AC189" s="1" t="s">
        <v>46</v>
      </c>
      <c r="AD189" s="1"/>
      <c r="AE189" s="1"/>
      <c r="AF189" s="1"/>
      <c r="AG189" s="1"/>
      <c r="AH189" s="1"/>
      <c r="AI189" s="1"/>
      <c r="AJ189" s="3">
        <v>43102.754305555558</v>
      </c>
      <c r="AK189" s="1" t="s">
        <v>74</v>
      </c>
    </row>
    <row r="190" spans="1:37">
      <c r="A190" s="1" t="str">
        <f>VLOOKUP(H190,Languages!$A$2:$B$430,2,FALSE)</f>
        <v>Athabaskan-Eyak-Tlingit</v>
      </c>
      <c r="B190" s="1" t="s">
        <v>35</v>
      </c>
      <c r="C190" s="1" t="s">
        <v>89</v>
      </c>
      <c r="D190" s="1" t="s">
        <v>5856</v>
      </c>
      <c r="E190" s="15" t="s">
        <v>5857</v>
      </c>
      <c r="F190" s="15" t="s">
        <v>5857</v>
      </c>
      <c r="G190" s="1" t="s">
        <v>5857</v>
      </c>
      <c r="H190" s="1" t="str">
        <f>VLOOKUP(G190,'languoid 4.0'!$A$1:$I$24439,2,FALSE)</f>
        <v>atha1245</v>
      </c>
      <c r="I190" s="1" t="str">
        <f>VLOOKUP(G190,'languoid 4.0'!$A$1:$I$24439,6,FALSE)</f>
        <v>language</v>
      </c>
      <c r="J190" s="15" t="s">
        <v>38</v>
      </c>
      <c r="K190" s="15" t="s">
        <v>38</v>
      </c>
      <c r="L190" s="15" t="s">
        <v>38</v>
      </c>
      <c r="M190" s="1"/>
      <c r="N190" s="1" t="s">
        <v>5858</v>
      </c>
      <c r="O190" s="15" t="s">
        <v>40</v>
      </c>
      <c r="P190" s="15" t="s">
        <v>41</v>
      </c>
      <c r="Q190" s="1" t="s">
        <v>5859</v>
      </c>
      <c r="R190" s="2" t="s">
        <v>5860</v>
      </c>
      <c r="S190" s="1" t="s">
        <v>4821</v>
      </c>
      <c r="T190" s="1" t="s">
        <v>657</v>
      </c>
      <c r="U190" s="1" t="s">
        <v>636</v>
      </c>
      <c r="V190" s="1" t="s">
        <v>45</v>
      </c>
      <c r="W190" s="1"/>
      <c r="X190" s="1"/>
      <c r="Y190" s="1"/>
      <c r="Z190" s="1" t="s">
        <v>823</v>
      </c>
      <c r="AA190" s="1" t="s">
        <v>5861</v>
      </c>
      <c r="AB190" s="1" t="s">
        <v>5862</v>
      </c>
      <c r="AC190" s="1" t="s">
        <v>5863</v>
      </c>
      <c r="AD190" s="1"/>
      <c r="AE190" s="1" t="s">
        <v>641</v>
      </c>
      <c r="AF190" s="1" t="s">
        <v>190</v>
      </c>
      <c r="AG190" s="1">
        <v>6</v>
      </c>
      <c r="AH190" s="1" t="s">
        <v>190</v>
      </c>
      <c r="AI190" s="1"/>
      <c r="AJ190" s="1" t="s">
        <v>5864</v>
      </c>
      <c r="AK190" s="1" t="s">
        <v>5865</v>
      </c>
    </row>
    <row r="191" spans="1:37">
      <c r="A191" s="1" t="str">
        <f>VLOOKUP(H191,Languages!$A$2:$B$430,2,FALSE)</f>
        <v>Athabaskan-Eyak-Tlingit</v>
      </c>
      <c r="B191" s="1" t="s">
        <v>652</v>
      </c>
      <c r="C191" s="1" t="s">
        <v>431</v>
      </c>
      <c r="D191" s="1" t="s">
        <v>11195</v>
      </c>
      <c r="E191" s="15" t="s">
        <v>11196</v>
      </c>
      <c r="F191" s="15" t="s">
        <v>534</v>
      </c>
      <c r="G191" s="1" t="s">
        <v>11196</v>
      </c>
      <c r="H191" s="1" t="str">
        <f>VLOOKUP(G191,'languoid 4.0'!$A$1:$I$24439,2,FALSE)</f>
        <v>atha1245</v>
      </c>
      <c r="I191" s="1" t="str">
        <f>VLOOKUP(G191,'languoid 4.0'!$A$1:$I$24439,6,FALSE)</f>
        <v>family</v>
      </c>
      <c r="J191" s="15" t="s">
        <v>52</v>
      </c>
      <c r="K191" s="15" t="s">
        <v>38</v>
      </c>
      <c r="L191" s="15" t="s">
        <v>38</v>
      </c>
      <c r="M191" s="1"/>
      <c r="N191" s="1"/>
      <c r="O191" s="15" t="s">
        <v>113</v>
      </c>
      <c r="P191" s="15" t="s">
        <v>41</v>
      </c>
      <c r="Q191" s="1" t="s">
        <v>11197</v>
      </c>
      <c r="R191" s="2" t="s">
        <v>11198</v>
      </c>
      <c r="S191" s="1" t="s">
        <v>11199</v>
      </c>
      <c r="T191" s="1" t="s">
        <v>657</v>
      </c>
      <c r="U191" s="1" t="s">
        <v>636</v>
      </c>
      <c r="V191" s="1" t="s">
        <v>45</v>
      </c>
      <c r="W191" s="1"/>
      <c r="X191" s="1"/>
      <c r="Y191" s="1"/>
      <c r="Z191" s="1" t="s">
        <v>658</v>
      </c>
      <c r="AA191" s="1" t="s">
        <v>11200</v>
      </c>
      <c r="AB191" s="1" t="s">
        <v>11200</v>
      </c>
      <c r="AC191" s="1" t="s">
        <v>46</v>
      </c>
      <c r="AD191" s="1" t="s">
        <v>11201</v>
      </c>
      <c r="AE191" s="1" t="s">
        <v>641</v>
      </c>
      <c r="AF191" s="1" t="s">
        <v>190</v>
      </c>
      <c r="AG191" s="1">
        <v>6</v>
      </c>
      <c r="AH191" s="1" t="s">
        <v>190</v>
      </c>
      <c r="AI191" s="1"/>
      <c r="AJ191" s="1" t="s">
        <v>11202</v>
      </c>
      <c r="AK191" s="1" t="s">
        <v>4975</v>
      </c>
    </row>
    <row r="192" spans="1:37" ht="409.6">
      <c r="A192" s="1" t="str">
        <f>VLOOKUP(H192,Languages!$A$2:$B$430,2,FALSE)</f>
        <v>Athabaskan-Eyak-Tlingit</v>
      </c>
      <c r="B192" s="1" t="s">
        <v>1707</v>
      </c>
      <c r="C192" s="1" t="s">
        <v>298</v>
      </c>
      <c r="D192" s="1" t="s">
        <v>413</v>
      </c>
      <c r="E192" s="15" t="s">
        <v>414</v>
      </c>
      <c r="F192" s="15" t="s">
        <v>414</v>
      </c>
      <c r="G192" s="1" t="s">
        <v>414</v>
      </c>
      <c r="H192" s="1" t="str">
        <f>VLOOKUP(G192,'languoid 4.0'!$A$1:$I$24439,2,FALSE)</f>
        <v>atha1245</v>
      </c>
      <c r="I192" s="1" t="str">
        <f>VLOOKUP(G192,'languoid 4.0'!$A$1:$I$24439,6,FALSE)</f>
        <v>language</v>
      </c>
      <c r="J192" s="15" t="s">
        <v>38</v>
      </c>
      <c r="K192" s="15" t="s">
        <v>38</v>
      </c>
      <c r="L192" s="15" t="s">
        <v>38</v>
      </c>
      <c r="M192" s="1"/>
      <c r="N192" s="1" t="s">
        <v>415</v>
      </c>
      <c r="O192" s="15" t="s">
        <v>40</v>
      </c>
      <c r="P192" s="15" t="s">
        <v>41</v>
      </c>
      <c r="Q192" s="1" t="s">
        <v>1988</v>
      </c>
      <c r="R192" s="2" t="s">
        <v>11048</v>
      </c>
      <c r="S192" s="1" t="s">
        <v>672</v>
      </c>
      <c r="T192" s="1" t="s">
        <v>657</v>
      </c>
      <c r="U192" s="1" t="s">
        <v>636</v>
      </c>
      <c r="V192" s="1" t="s">
        <v>45</v>
      </c>
      <c r="W192" s="1"/>
      <c r="X192" s="1"/>
      <c r="Y192" s="1"/>
      <c r="Z192" s="1" t="s">
        <v>637</v>
      </c>
      <c r="AA192" s="1" t="s">
        <v>11049</v>
      </c>
      <c r="AB192" s="11" t="s">
        <v>11050</v>
      </c>
      <c r="AC192" s="1" t="s">
        <v>46</v>
      </c>
      <c r="AD192" s="1" t="s">
        <v>8498</v>
      </c>
      <c r="AE192" s="1" t="s">
        <v>641</v>
      </c>
      <c r="AF192" s="1" t="s">
        <v>190</v>
      </c>
      <c r="AG192" s="1">
        <v>4</v>
      </c>
      <c r="AH192" s="1" t="s">
        <v>190</v>
      </c>
      <c r="AI192" s="1"/>
      <c r="AJ192" s="1" t="s">
        <v>11051</v>
      </c>
      <c r="AK192" s="1" t="s">
        <v>7652</v>
      </c>
    </row>
    <row r="193" spans="1:37">
      <c r="A193" s="1" t="str">
        <f>VLOOKUP(H193,Languages!$A$2:$B$430,2,FALSE)</f>
        <v>Athabaskan-Eyak-Tlingit</v>
      </c>
      <c r="B193" s="1" t="s">
        <v>1707</v>
      </c>
      <c r="C193" s="1" t="s">
        <v>431</v>
      </c>
      <c r="D193" s="1" t="s">
        <v>11236</v>
      </c>
      <c r="E193" s="15" t="s">
        <v>534</v>
      </c>
      <c r="F193" s="15" t="s">
        <v>534</v>
      </c>
      <c r="G193" s="1" t="s">
        <v>534</v>
      </c>
      <c r="H193" s="1" t="str">
        <f>VLOOKUP(G193,'languoid 4.0'!$A$1:$I$24439,2,FALSE)</f>
        <v>atha1245</v>
      </c>
      <c r="I193" s="1" t="str">
        <f>VLOOKUP(G193,'languoid 4.0'!$A$1:$I$24439,6,FALSE)</f>
        <v>language</v>
      </c>
      <c r="J193" s="15" t="s">
        <v>38</v>
      </c>
      <c r="K193" s="15" t="s">
        <v>38</v>
      </c>
      <c r="L193" s="15" t="s">
        <v>38</v>
      </c>
      <c r="M193" s="1"/>
      <c r="N193" s="1" t="s">
        <v>535</v>
      </c>
      <c r="O193" s="15" t="s">
        <v>40</v>
      </c>
      <c r="P193" s="15" t="s">
        <v>41</v>
      </c>
      <c r="Q193" s="1" t="s">
        <v>11237</v>
      </c>
      <c r="R193" s="2" t="s">
        <v>11238</v>
      </c>
      <c r="S193" s="1" t="s">
        <v>11239</v>
      </c>
      <c r="T193" s="1" t="s">
        <v>657</v>
      </c>
      <c r="U193" s="1" t="s">
        <v>636</v>
      </c>
      <c r="V193" s="1" t="s">
        <v>45</v>
      </c>
      <c r="W193" s="1"/>
      <c r="X193" s="1"/>
      <c r="Y193" s="1"/>
      <c r="Z193" s="1" t="s">
        <v>658</v>
      </c>
      <c r="AA193" s="1" t="s">
        <v>11240</v>
      </c>
      <c r="AB193" s="1" t="s">
        <v>46</v>
      </c>
      <c r="AC193" s="1" t="s">
        <v>46</v>
      </c>
      <c r="AD193" s="1"/>
      <c r="AE193" s="1" t="s">
        <v>641</v>
      </c>
      <c r="AF193" s="1" t="s">
        <v>45</v>
      </c>
      <c r="AG193" s="1">
        <v>1</v>
      </c>
      <c r="AH193" s="1" t="s">
        <v>190</v>
      </c>
      <c r="AI193" s="1"/>
      <c r="AJ193" s="1" t="s">
        <v>11241</v>
      </c>
      <c r="AK193" s="1" t="s">
        <v>4975</v>
      </c>
    </row>
    <row r="194" spans="1:37">
      <c r="A194" s="1" t="str">
        <f>VLOOKUP(H194,Languages!$A$2:$B$430,2,FALSE)</f>
        <v>Atlantic-Congo</v>
      </c>
      <c r="B194" s="1" t="s">
        <v>67</v>
      </c>
      <c r="C194" s="1" t="s">
        <v>48</v>
      </c>
      <c r="D194" s="1" t="s">
        <v>49</v>
      </c>
      <c r="E194" s="15" t="s">
        <v>50</v>
      </c>
      <c r="F194" s="15" t="s">
        <v>51</v>
      </c>
      <c r="G194" s="1" t="s">
        <v>50</v>
      </c>
      <c r="H194" s="1" t="str">
        <f>VLOOKUP(G194,'languoid 4.0'!$A$1:$I$24439,2,FALSE)</f>
        <v>atla1278</v>
      </c>
      <c r="I194" s="1" t="str">
        <f>VLOOKUP(G194,'languoid 4.0'!$A$1:$I$24439,6,FALSE)</f>
        <v>language</v>
      </c>
      <c r="J194" s="15" t="s">
        <v>52</v>
      </c>
      <c r="K194" s="15" t="s">
        <v>51</v>
      </c>
      <c r="L194" s="15" t="s">
        <v>51</v>
      </c>
      <c r="M194" s="1"/>
      <c r="N194" s="1" t="s">
        <v>53</v>
      </c>
      <c r="O194" s="15" t="s">
        <v>40</v>
      </c>
      <c r="P194" s="15" t="s">
        <v>41</v>
      </c>
      <c r="Q194" s="1" t="s">
        <v>556</v>
      </c>
      <c r="R194" s="2" t="s">
        <v>55</v>
      </c>
      <c r="S194" s="1" t="s">
        <v>557</v>
      </c>
      <c r="T194" s="1" t="s">
        <v>44</v>
      </c>
      <c r="U194" s="1"/>
      <c r="V194" s="1" t="s">
        <v>45</v>
      </c>
      <c r="W194" s="1"/>
      <c r="X194" s="1"/>
      <c r="Y194" s="1"/>
      <c r="Z194" s="1"/>
      <c r="AA194" s="1" t="s">
        <v>46</v>
      </c>
      <c r="AB194" s="1">
        <v>21</v>
      </c>
      <c r="AC194" s="1" t="s">
        <v>46</v>
      </c>
      <c r="AD194" s="1"/>
      <c r="AE194" s="1"/>
      <c r="AF194" s="1"/>
      <c r="AG194" s="1"/>
      <c r="AH194" s="1"/>
      <c r="AI194" s="1"/>
      <c r="AJ194" s="3">
        <v>43102.756469907406</v>
      </c>
      <c r="AK194" s="1" t="s">
        <v>74</v>
      </c>
    </row>
    <row r="195" spans="1:37">
      <c r="A195" s="1" t="str">
        <f>VLOOKUP(H195,Languages!$A$2:$B$430,2,FALSE)</f>
        <v>Atlantic-Congo</v>
      </c>
      <c r="B195" s="1" t="s">
        <v>67</v>
      </c>
      <c r="C195" s="1" t="s">
        <v>48</v>
      </c>
      <c r="D195" s="1" t="s">
        <v>5543</v>
      </c>
      <c r="E195" s="15" t="s">
        <v>5544</v>
      </c>
      <c r="F195" s="15" t="s">
        <v>5545</v>
      </c>
      <c r="G195" s="1" t="s">
        <v>5544</v>
      </c>
      <c r="H195" s="1" t="str">
        <f>VLOOKUP(G195,'languoid 4.0'!$A$1:$I$24439,2,FALSE)</f>
        <v>atla1278</v>
      </c>
      <c r="I195" s="1" t="str">
        <f>VLOOKUP(G195,'languoid 4.0'!$A$1:$I$24439,6,FALSE)</f>
        <v>dialect</v>
      </c>
      <c r="J195" s="15" t="s">
        <v>52</v>
      </c>
      <c r="K195" s="15" t="s">
        <v>52</v>
      </c>
      <c r="L195" s="15" t="s">
        <v>38</v>
      </c>
      <c r="M195" s="1"/>
      <c r="N195" s="1"/>
      <c r="O195" s="15" t="s">
        <v>40</v>
      </c>
      <c r="P195" s="15" t="s">
        <v>41</v>
      </c>
      <c r="Q195" s="1" t="s">
        <v>5546</v>
      </c>
      <c r="R195" s="2" t="s">
        <v>5547</v>
      </c>
      <c r="S195" s="1" t="s">
        <v>3414</v>
      </c>
      <c r="T195" s="1" t="s">
        <v>635</v>
      </c>
      <c r="U195" s="1" t="s">
        <v>636</v>
      </c>
      <c r="V195" s="1" t="s">
        <v>45</v>
      </c>
      <c r="W195" s="1"/>
      <c r="X195" s="1"/>
      <c r="Y195" s="1"/>
      <c r="Z195" s="1" t="s">
        <v>658</v>
      </c>
      <c r="AA195" s="1" t="s">
        <v>5548</v>
      </c>
      <c r="AB195" s="1" t="s">
        <v>5549</v>
      </c>
      <c r="AC195" s="1" t="s">
        <v>46</v>
      </c>
      <c r="AD195" s="1"/>
      <c r="AE195" s="1" t="s">
        <v>641</v>
      </c>
      <c r="AF195" s="1" t="s">
        <v>190</v>
      </c>
      <c r="AG195" s="1">
        <v>5</v>
      </c>
      <c r="AH195" s="1" t="s">
        <v>190</v>
      </c>
      <c r="AI195" s="1"/>
      <c r="AJ195" s="1" t="s">
        <v>5550</v>
      </c>
      <c r="AK195" s="1" t="s">
        <v>5542</v>
      </c>
    </row>
    <row r="196" spans="1:37">
      <c r="A196" s="1" t="str">
        <f>VLOOKUP(H196,Languages!$A$2:$B$430,2,FALSE)</f>
        <v>Atlantic-Congo</v>
      </c>
      <c r="B196" s="1" t="s">
        <v>67</v>
      </c>
      <c r="C196" s="1" t="s">
        <v>48</v>
      </c>
      <c r="D196" s="1" t="s">
        <v>5974</v>
      </c>
      <c r="E196" s="15" t="s">
        <v>5975</v>
      </c>
      <c r="F196" s="15" t="s">
        <v>5975</v>
      </c>
      <c r="G196" s="1" t="s">
        <v>5975</v>
      </c>
      <c r="H196" s="1" t="str">
        <f>VLOOKUP(G196,'languoid 4.0'!$A$1:$I$24439,2,FALSE)</f>
        <v>atla1278</v>
      </c>
      <c r="I196" s="1" t="str">
        <f>VLOOKUP(G196,'languoid 4.0'!$A$1:$I$24439,6,FALSE)</f>
        <v>language</v>
      </c>
      <c r="J196" s="15" t="s">
        <v>38</v>
      </c>
      <c r="K196" s="15" t="s">
        <v>38</v>
      </c>
      <c r="L196" s="15" t="s">
        <v>38</v>
      </c>
      <c r="M196" s="1"/>
      <c r="N196" s="1" t="s">
        <v>5976</v>
      </c>
      <c r="O196" s="15" t="s">
        <v>40</v>
      </c>
      <c r="P196" s="15" t="s">
        <v>41</v>
      </c>
      <c r="Q196" s="1" t="s">
        <v>5977</v>
      </c>
      <c r="R196" s="2" t="s">
        <v>5978</v>
      </c>
      <c r="S196" s="1" t="s">
        <v>46</v>
      </c>
      <c r="T196" s="1" t="s">
        <v>648</v>
      </c>
      <c r="U196" s="1" t="s">
        <v>636</v>
      </c>
      <c r="V196" s="1" t="s">
        <v>45</v>
      </c>
      <c r="W196" s="1"/>
      <c r="X196" s="1"/>
      <c r="Y196" s="1"/>
      <c r="Z196" s="1" t="s">
        <v>637</v>
      </c>
      <c r="AA196" s="1" t="s">
        <v>5979</v>
      </c>
      <c r="AB196" s="1" t="s">
        <v>5980</v>
      </c>
      <c r="AC196" s="1" t="s">
        <v>46</v>
      </c>
      <c r="AD196" s="1"/>
      <c r="AE196" s="1" t="s">
        <v>641</v>
      </c>
      <c r="AF196" s="1" t="s">
        <v>190</v>
      </c>
      <c r="AG196" s="1">
        <v>2</v>
      </c>
      <c r="AH196" s="1" t="s">
        <v>190</v>
      </c>
      <c r="AI196" s="1"/>
      <c r="AJ196" s="1" t="s">
        <v>5981</v>
      </c>
      <c r="AK196" s="1" t="s">
        <v>5542</v>
      </c>
    </row>
    <row r="197" spans="1:37">
      <c r="A197" s="1" t="str">
        <f>VLOOKUP(H197,Languages!$A$2:$B$430,2,FALSE)</f>
        <v>Atlantic-Congo</v>
      </c>
      <c r="B197" s="1" t="s">
        <v>67</v>
      </c>
      <c r="C197" s="1" t="s">
        <v>48</v>
      </c>
      <c r="D197" s="1" t="s">
        <v>6021</v>
      </c>
      <c r="E197" s="15" t="s">
        <v>6022</v>
      </c>
      <c r="F197" s="15" t="s">
        <v>6022</v>
      </c>
      <c r="G197" s="1" t="s">
        <v>6022</v>
      </c>
      <c r="H197" s="1" t="str">
        <f>VLOOKUP(G197,'languoid 4.0'!$A$1:$I$24439,2,FALSE)</f>
        <v>atla1278</v>
      </c>
      <c r="I197" s="1" t="str">
        <f>VLOOKUP(G197,'languoid 4.0'!$A$1:$I$24439,6,FALSE)</f>
        <v>language</v>
      </c>
      <c r="J197" s="15" t="s">
        <v>38</v>
      </c>
      <c r="K197" s="15" t="s">
        <v>38</v>
      </c>
      <c r="L197" s="15" t="s">
        <v>38</v>
      </c>
      <c r="M197" s="1"/>
      <c r="N197" s="1" t="s">
        <v>6023</v>
      </c>
      <c r="O197" s="15" t="s">
        <v>40</v>
      </c>
      <c r="P197" s="15" t="s">
        <v>41</v>
      </c>
      <c r="Q197" s="1" t="s">
        <v>6024</v>
      </c>
      <c r="R197" s="2" t="s">
        <v>6025</v>
      </c>
      <c r="S197" s="1" t="s">
        <v>46</v>
      </c>
      <c r="T197" s="1" t="s">
        <v>648</v>
      </c>
      <c r="U197" s="1" t="s">
        <v>636</v>
      </c>
      <c r="V197" s="1" t="s">
        <v>45</v>
      </c>
      <c r="W197" s="1"/>
      <c r="X197" s="1"/>
      <c r="Y197" s="1"/>
      <c r="Z197" s="1" t="s">
        <v>637</v>
      </c>
      <c r="AA197" s="1" t="s">
        <v>6026</v>
      </c>
      <c r="AB197" s="1" t="s">
        <v>6027</v>
      </c>
      <c r="AC197" s="1" t="s">
        <v>46</v>
      </c>
      <c r="AD197" s="1"/>
      <c r="AE197" s="1" t="s">
        <v>641</v>
      </c>
      <c r="AF197" s="1" t="s">
        <v>190</v>
      </c>
      <c r="AG197" s="1">
        <v>5</v>
      </c>
      <c r="AH197" s="1" t="s">
        <v>190</v>
      </c>
      <c r="AI197" s="1" t="s">
        <v>6028</v>
      </c>
      <c r="AJ197" s="3">
        <v>43107.483414351853</v>
      </c>
      <c r="AK197" s="1" t="s">
        <v>5542</v>
      </c>
    </row>
    <row r="198" spans="1:37">
      <c r="A198" s="1" t="str">
        <f>VLOOKUP(H198,Languages!$A$2:$B$430,2,FALSE)</f>
        <v>Atlantic-Congo</v>
      </c>
      <c r="B198" s="1" t="s">
        <v>67</v>
      </c>
      <c r="C198" s="1" t="s">
        <v>48</v>
      </c>
      <c r="D198" s="1" t="s">
        <v>7094</v>
      </c>
      <c r="E198" s="15" t="s">
        <v>7095</v>
      </c>
      <c r="F198" s="15" t="s">
        <v>7095</v>
      </c>
      <c r="G198" s="1" t="s">
        <v>7095</v>
      </c>
      <c r="H198" s="1" t="str">
        <f>VLOOKUP(G198,'languoid 4.0'!$A$1:$I$24439,2,FALSE)</f>
        <v>atla1278</v>
      </c>
      <c r="I198" s="1" t="str">
        <f>VLOOKUP(G198,'languoid 4.0'!$A$1:$I$24439,6,FALSE)</f>
        <v>family</v>
      </c>
      <c r="J198" s="15" t="s">
        <v>38</v>
      </c>
      <c r="K198" s="15" t="s">
        <v>38</v>
      </c>
      <c r="L198" s="15" t="s">
        <v>38</v>
      </c>
      <c r="M198" s="1"/>
      <c r="N198" s="1"/>
      <c r="O198" s="15" t="s">
        <v>113</v>
      </c>
      <c r="P198" s="15" t="s">
        <v>41</v>
      </c>
      <c r="Q198" s="1" t="s">
        <v>937</v>
      </c>
      <c r="R198" s="2" t="s">
        <v>7096</v>
      </c>
      <c r="S198" s="1" t="s">
        <v>3414</v>
      </c>
      <c r="T198" s="1" t="s">
        <v>1018</v>
      </c>
      <c r="U198" s="1" t="s">
        <v>636</v>
      </c>
      <c r="V198" s="1" t="s">
        <v>45</v>
      </c>
      <c r="W198" s="1"/>
      <c r="X198" s="1"/>
      <c r="Y198" s="1"/>
      <c r="Z198" s="1" t="s">
        <v>637</v>
      </c>
      <c r="AA198" s="1" t="s">
        <v>7097</v>
      </c>
      <c r="AB198" s="1" t="s">
        <v>7098</v>
      </c>
      <c r="AC198" s="1" t="s">
        <v>46</v>
      </c>
      <c r="AD198" s="1"/>
      <c r="AE198" s="1" t="s">
        <v>641</v>
      </c>
      <c r="AF198" s="1" t="s">
        <v>190</v>
      </c>
      <c r="AG198" s="1">
        <v>3</v>
      </c>
      <c r="AH198" s="1" t="s">
        <v>190</v>
      </c>
      <c r="AI198" s="1"/>
      <c r="AJ198" s="3">
        <v>43228.497569444444</v>
      </c>
      <c r="AK198" s="1" t="s">
        <v>5542</v>
      </c>
    </row>
    <row r="199" spans="1:37">
      <c r="A199" s="1" t="str">
        <f>VLOOKUP(H199,Languages!$A$2:$B$430,2,FALSE)</f>
        <v>Atlantic-Congo</v>
      </c>
      <c r="B199" s="1" t="s">
        <v>67</v>
      </c>
      <c r="C199" s="1" t="s">
        <v>48</v>
      </c>
      <c r="D199" s="1" t="s">
        <v>7107</v>
      </c>
      <c r="E199" s="15" t="s">
        <v>4016</v>
      </c>
      <c r="F199" s="15" t="s">
        <v>3820</v>
      </c>
      <c r="G199" s="1" t="s">
        <v>3820</v>
      </c>
      <c r="H199" s="1" t="str">
        <f>VLOOKUP(G199,'languoid 4.0'!$A$1:$I$24439,2,FALSE)</f>
        <v>atla1278</v>
      </c>
      <c r="I199" s="1" t="str">
        <f>VLOOKUP(G199,'languoid 4.0'!$A$1:$I$24439,6,FALSE)</f>
        <v>language</v>
      </c>
      <c r="J199" s="15" t="s">
        <v>52</v>
      </c>
      <c r="K199" s="15" t="s">
        <v>38</v>
      </c>
      <c r="L199" s="15" t="s">
        <v>38</v>
      </c>
      <c r="M199" s="1"/>
      <c r="N199" s="1"/>
      <c r="O199" s="15" t="s">
        <v>40</v>
      </c>
      <c r="P199" s="15" t="s">
        <v>41</v>
      </c>
      <c r="Q199" s="1" t="s">
        <v>7108</v>
      </c>
      <c r="R199" s="2" t="s">
        <v>7109</v>
      </c>
      <c r="S199" s="1" t="s">
        <v>46</v>
      </c>
      <c r="T199" s="1" t="s">
        <v>1007</v>
      </c>
      <c r="U199" s="1" t="s">
        <v>636</v>
      </c>
      <c r="V199" s="1" t="s">
        <v>45</v>
      </c>
      <c r="W199" s="1"/>
      <c r="X199" s="1"/>
      <c r="Y199" s="1"/>
      <c r="Z199" s="1" t="s">
        <v>637</v>
      </c>
      <c r="AA199" s="1" t="s">
        <v>7110</v>
      </c>
      <c r="AB199" s="1" t="s">
        <v>7111</v>
      </c>
      <c r="AC199" s="1" t="s">
        <v>46</v>
      </c>
      <c r="AD199" s="1"/>
      <c r="AE199" s="1" t="s">
        <v>641</v>
      </c>
      <c r="AF199" s="1" t="s">
        <v>190</v>
      </c>
      <c r="AG199" s="1">
        <v>3</v>
      </c>
      <c r="AH199" s="1" t="s">
        <v>190</v>
      </c>
      <c r="AI199" s="1"/>
      <c r="AJ199" s="3">
        <v>43228.503807870373</v>
      </c>
      <c r="AK199" s="1" t="s">
        <v>5542</v>
      </c>
    </row>
    <row r="200" spans="1:37">
      <c r="A200" s="1" t="str">
        <f>VLOOKUP(H200,Languages!$A$2:$B$430,2,FALSE)</f>
        <v>Atlantic-Congo</v>
      </c>
      <c r="B200" s="1" t="s">
        <v>67</v>
      </c>
      <c r="C200" s="1" t="s">
        <v>48</v>
      </c>
      <c r="D200" s="1" t="s">
        <v>580</v>
      </c>
      <c r="E200" s="15" t="s">
        <v>51</v>
      </c>
      <c r="F200" s="15" t="s">
        <v>581</v>
      </c>
      <c r="G200" s="1" t="s">
        <v>581</v>
      </c>
      <c r="H200" s="1" t="str">
        <f>VLOOKUP(G200,'languoid 4.0'!$A$1:$I$24439,2,FALSE)</f>
        <v>atla1278</v>
      </c>
      <c r="I200" s="1" t="str">
        <f>VLOOKUP(G200,'languoid 4.0'!$A$1:$I$24439,6,FALSE)</f>
        <v>language</v>
      </c>
      <c r="J200" s="15" t="s">
        <v>52</v>
      </c>
      <c r="K200" s="15" t="s">
        <v>51</v>
      </c>
      <c r="L200" s="15" t="s">
        <v>51</v>
      </c>
      <c r="M200" s="1"/>
      <c r="N200" s="1" t="e">
        <v>#N/A</v>
      </c>
      <c r="O200" s="15" t="s">
        <v>690</v>
      </c>
      <c r="P200" s="15"/>
      <c r="Q200" s="1" t="s">
        <v>7229</v>
      </c>
      <c r="R200" s="2" t="s">
        <v>7230</v>
      </c>
      <c r="S200" s="1" t="s">
        <v>46</v>
      </c>
      <c r="T200" s="1" t="s">
        <v>1007</v>
      </c>
      <c r="U200" s="1" t="s">
        <v>7231</v>
      </c>
      <c r="V200" s="1" t="s">
        <v>45</v>
      </c>
      <c r="W200" s="1"/>
      <c r="X200" s="1"/>
      <c r="Y200" s="1"/>
      <c r="Z200" s="1" t="s">
        <v>637</v>
      </c>
      <c r="AA200" s="1" t="s">
        <v>7232</v>
      </c>
      <c r="AB200" s="1" t="s">
        <v>7233</v>
      </c>
      <c r="AC200" s="1" t="s">
        <v>46</v>
      </c>
      <c r="AD200" s="1"/>
      <c r="AE200" s="1" t="s">
        <v>641</v>
      </c>
      <c r="AF200" s="1" t="s">
        <v>190</v>
      </c>
      <c r="AG200" s="1">
        <v>5</v>
      </c>
      <c r="AH200" s="1" t="s">
        <v>190</v>
      </c>
      <c r="AI200" s="1"/>
      <c r="AJ200" s="3">
        <v>43289.464189814818</v>
      </c>
      <c r="AK200" s="1" t="s">
        <v>5542</v>
      </c>
    </row>
    <row r="201" spans="1:37">
      <c r="A201" s="1" t="str">
        <f>VLOOKUP(H201,Languages!$A$2:$B$430,2,FALSE)</f>
        <v>Atlantic-Congo</v>
      </c>
      <c r="B201" s="1" t="s">
        <v>67</v>
      </c>
      <c r="C201" s="1" t="s">
        <v>214</v>
      </c>
      <c r="D201" s="1" t="s">
        <v>805</v>
      </c>
      <c r="E201" s="15" t="s">
        <v>51</v>
      </c>
      <c r="F201" s="15" t="s">
        <v>806</v>
      </c>
      <c r="G201" s="1" t="s">
        <v>806</v>
      </c>
      <c r="H201" s="1" t="str">
        <f>VLOOKUP(G201,'languoid 4.0'!$A$1:$I$24439,2,FALSE)</f>
        <v>atla1278</v>
      </c>
      <c r="I201" s="1" t="str">
        <f>VLOOKUP(G201,'languoid 4.0'!$A$1:$I$24439,6,FALSE)</f>
        <v>language</v>
      </c>
      <c r="J201" s="15" t="s">
        <v>52</v>
      </c>
      <c r="K201" s="15" t="s">
        <v>51</v>
      </c>
      <c r="L201" s="15" t="s">
        <v>51</v>
      </c>
      <c r="M201" s="1"/>
      <c r="N201" s="1"/>
      <c r="O201" s="15" t="s">
        <v>690</v>
      </c>
      <c r="P201" s="15"/>
      <c r="Q201" s="1" t="s">
        <v>807</v>
      </c>
      <c r="R201" s="2" t="s">
        <v>808</v>
      </c>
      <c r="S201" s="1" t="s">
        <v>46</v>
      </c>
      <c r="T201" s="1" t="s">
        <v>635</v>
      </c>
      <c r="U201" s="1" t="s">
        <v>636</v>
      </c>
      <c r="V201" s="1" t="s">
        <v>45</v>
      </c>
      <c r="W201" s="1"/>
      <c r="X201" s="1"/>
      <c r="Y201" s="1"/>
      <c r="Z201" s="1" t="s">
        <v>658</v>
      </c>
      <c r="AA201" s="1" t="s">
        <v>809</v>
      </c>
      <c r="AB201" s="1" t="s">
        <v>46</v>
      </c>
      <c r="AC201" s="1" t="s">
        <v>46</v>
      </c>
      <c r="AD201" s="1" t="s">
        <v>810</v>
      </c>
      <c r="AE201" s="1" t="s">
        <v>641</v>
      </c>
      <c r="AF201" s="1" t="s">
        <v>190</v>
      </c>
      <c r="AG201" s="1">
        <v>6</v>
      </c>
      <c r="AH201" s="1" t="s">
        <v>190</v>
      </c>
      <c r="AI201" s="1"/>
      <c r="AJ201" s="3">
        <v>43222.586481481485</v>
      </c>
      <c r="AK201" s="1" t="s">
        <v>740</v>
      </c>
    </row>
    <row r="202" spans="1:37">
      <c r="A202" s="1" t="str">
        <f>VLOOKUP(H202,Languages!$A$2:$B$430,2,FALSE)</f>
        <v>Atlantic-Congo</v>
      </c>
      <c r="B202" s="1" t="s">
        <v>67</v>
      </c>
      <c r="C202" s="1" t="s">
        <v>214</v>
      </c>
      <c r="D202" s="1" t="s">
        <v>811</v>
      </c>
      <c r="E202" s="15" t="s">
        <v>812</v>
      </c>
      <c r="F202" s="15" t="s">
        <v>812</v>
      </c>
      <c r="G202" s="1" t="s">
        <v>812</v>
      </c>
      <c r="H202" s="1" t="str">
        <f>VLOOKUP(G202,'languoid 4.0'!$A$1:$I$24439,2,FALSE)</f>
        <v>atla1278</v>
      </c>
      <c r="I202" s="1" t="str">
        <f>VLOOKUP(G202,'languoid 4.0'!$A$1:$I$24439,6,FALSE)</f>
        <v>language</v>
      </c>
      <c r="J202" s="15" t="s">
        <v>38</v>
      </c>
      <c r="K202" s="15" t="s">
        <v>38</v>
      </c>
      <c r="L202" s="15" t="s">
        <v>38</v>
      </c>
      <c r="M202" s="1"/>
      <c r="N202" s="1" t="s">
        <v>813</v>
      </c>
      <c r="O202" s="15" t="s">
        <v>40</v>
      </c>
      <c r="P202" s="15" t="s">
        <v>41</v>
      </c>
      <c r="Q202" s="1" t="s">
        <v>814</v>
      </c>
      <c r="R202" s="2" t="s">
        <v>815</v>
      </c>
      <c r="S202" s="1" t="s">
        <v>46</v>
      </c>
      <c r="T202" s="1" t="s">
        <v>648</v>
      </c>
      <c r="U202" s="1" t="s">
        <v>636</v>
      </c>
      <c r="V202" s="1" t="s">
        <v>45</v>
      </c>
      <c r="W202" s="1"/>
      <c r="X202" s="1"/>
      <c r="Y202" s="1"/>
      <c r="Z202" s="1" t="s">
        <v>637</v>
      </c>
      <c r="AA202" s="1" t="s">
        <v>816</v>
      </c>
      <c r="AB202" s="1" t="s">
        <v>817</v>
      </c>
      <c r="AC202" s="1" t="s">
        <v>46</v>
      </c>
      <c r="AD202" s="1" t="s">
        <v>818</v>
      </c>
      <c r="AE202" s="1" t="s">
        <v>641</v>
      </c>
      <c r="AF202" s="1" t="s">
        <v>190</v>
      </c>
      <c r="AG202" s="1">
        <v>6</v>
      </c>
      <c r="AH202" s="1" t="s">
        <v>190</v>
      </c>
      <c r="AI202" s="1"/>
      <c r="AJ202" s="3">
        <v>43222.595671296294</v>
      </c>
      <c r="AK202" s="1" t="s">
        <v>740</v>
      </c>
    </row>
    <row r="203" spans="1:37">
      <c r="A203" s="1" t="str">
        <f>VLOOKUP(H203,Languages!$A$2:$B$430,2,FALSE)</f>
        <v>Atlantic-Congo</v>
      </c>
      <c r="B203" s="1" t="s">
        <v>67</v>
      </c>
      <c r="C203" s="1" t="s">
        <v>214</v>
      </c>
      <c r="D203" s="1" t="s">
        <v>1057</v>
      </c>
      <c r="E203" s="15" t="s">
        <v>812</v>
      </c>
      <c r="F203" s="15" t="s">
        <v>812</v>
      </c>
      <c r="G203" s="1" t="s">
        <v>812</v>
      </c>
      <c r="H203" s="1" t="str">
        <f>VLOOKUP(G203,'languoid 4.0'!$A$1:$I$24439,2,FALSE)</f>
        <v>atla1278</v>
      </c>
      <c r="I203" s="1" t="str">
        <f>VLOOKUP(G203,'languoid 4.0'!$A$1:$I$24439,6,FALSE)</f>
        <v>language</v>
      </c>
      <c r="J203" s="15" t="s">
        <v>38</v>
      </c>
      <c r="K203" s="15" t="s">
        <v>38</v>
      </c>
      <c r="L203" s="15" t="s">
        <v>38</v>
      </c>
      <c r="M203" s="1"/>
      <c r="N203" s="1" t="s">
        <v>813</v>
      </c>
      <c r="O203" s="15" t="s">
        <v>40</v>
      </c>
      <c r="P203" s="15" t="s">
        <v>41</v>
      </c>
      <c r="Q203" s="1" t="s">
        <v>1058</v>
      </c>
      <c r="R203" s="2" t="s">
        <v>1059</v>
      </c>
      <c r="S203" s="1" t="s">
        <v>46</v>
      </c>
      <c r="T203" s="1" t="s">
        <v>1060</v>
      </c>
      <c r="U203" s="1" t="s">
        <v>1039</v>
      </c>
      <c r="V203" s="1" t="s">
        <v>45</v>
      </c>
      <c r="W203" s="1"/>
      <c r="X203" s="1"/>
      <c r="Y203" s="1"/>
      <c r="Z203" s="1" t="s">
        <v>637</v>
      </c>
      <c r="AA203" s="1" t="s">
        <v>1061</v>
      </c>
      <c r="AB203" s="1" t="s">
        <v>1062</v>
      </c>
      <c r="AC203" s="1" t="s">
        <v>46</v>
      </c>
      <c r="AD203" s="1" t="s">
        <v>1063</v>
      </c>
      <c r="AE203" s="1" t="s">
        <v>641</v>
      </c>
      <c r="AF203" s="1" t="s">
        <v>190</v>
      </c>
      <c r="AG203" s="1">
        <v>5</v>
      </c>
      <c r="AH203" s="1" t="s">
        <v>190</v>
      </c>
      <c r="AI203" s="1"/>
      <c r="AJ203" s="1" t="s">
        <v>1064</v>
      </c>
      <c r="AK203" s="1" t="s">
        <v>740</v>
      </c>
    </row>
    <row r="204" spans="1:37">
      <c r="A204" s="1" t="str">
        <f>VLOOKUP(H204,Languages!$A$2:$B$430,2,FALSE)</f>
        <v>Atlantic-Congo</v>
      </c>
      <c r="B204" s="1" t="s">
        <v>67</v>
      </c>
      <c r="C204" s="1" t="s">
        <v>214</v>
      </c>
      <c r="D204" s="1" t="s">
        <v>1065</v>
      </c>
      <c r="E204" s="15" t="s">
        <v>1066</v>
      </c>
      <c r="F204" s="15" t="s">
        <v>1066</v>
      </c>
      <c r="G204" s="1" t="s">
        <v>1066</v>
      </c>
      <c r="H204" s="1" t="str">
        <f>VLOOKUP(G204,'languoid 4.0'!$A$1:$I$24439,2,FALSE)</f>
        <v>atla1278</v>
      </c>
      <c r="I204" s="1" t="str">
        <f>VLOOKUP(G204,'languoid 4.0'!$A$1:$I$24439,6,FALSE)</f>
        <v>family</v>
      </c>
      <c r="J204" s="15" t="s">
        <v>38</v>
      </c>
      <c r="K204" s="15" t="s">
        <v>38</v>
      </c>
      <c r="L204" s="15" t="s">
        <v>38</v>
      </c>
      <c r="M204" s="1"/>
      <c r="N204" s="1"/>
      <c r="O204" s="15" t="s">
        <v>113</v>
      </c>
      <c r="P204" s="15" t="s">
        <v>41</v>
      </c>
      <c r="Q204" s="1" t="s">
        <v>1067</v>
      </c>
      <c r="R204" s="2" t="s">
        <v>1068</v>
      </c>
      <c r="S204" s="1" t="s">
        <v>46</v>
      </c>
      <c r="T204" s="1" t="s">
        <v>1069</v>
      </c>
      <c r="U204" s="1" t="s">
        <v>636</v>
      </c>
      <c r="V204" s="1" t="s">
        <v>45</v>
      </c>
      <c r="W204" s="1"/>
      <c r="X204" s="1"/>
      <c r="Y204" s="1"/>
      <c r="Z204" s="1" t="s">
        <v>637</v>
      </c>
      <c r="AA204" s="1" t="s">
        <v>1070</v>
      </c>
      <c r="AB204" s="1" t="s">
        <v>1071</v>
      </c>
      <c r="AC204" s="1" t="s">
        <v>46</v>
      </c>
      <c r="AD204" s="1" t="s">
        <v>1072</v>
      </c>
      <c r="AE204" s="1" t="s">
        <v>641</v>
      </c>
      <c r="AF204" s="1" t="s">
        <v>190</v>
      </c>
      <c r="AG204" s="1">
        <v>5</v>
      </c>
      <c r="AH204" s="1" t="s">
        <v>190</v>
      </c>
      <c r="AI204" s="1"/>
      <c r="AJ204" s="1" t="s">
        <v>1073</v>
      </c>
      <c r="AK204" s="1" t="s">
        <v>740</v>
      </c>
    </row>
    <row r="205" spans="1:37">
      <c r="A205" s="1" t="str">
        <f>VLOOKUP(H205,Languages!$A$2:$B$430,2,FALSE)</f>
        <v>Atlantic-Congo</v>
      </c>
      <c r="B205" s="1" t="s">
        <v>67</v>
      </c>
      <c r="C205" s="1" t="s">
        <v>255</v>
      </c>
      <c r="D205" s="1" t="s">
        <v>256</v>
      </c>
      <c r="E205" s="15" t="s">
        <v>257</v>
      </c>
      <c r="F205" s="15" t="s">
        <v>257</v>
      </c>
      <c r="G205" s="1" t="s">
        <v>257</v>
      </c>
      <c r="H205" s="1" t="str">
        <f>VLOOKUP(G205,'languoid 4.0'!$A$1:$I$24439,2,FALSE)</f>
        <v>atla1278</v>
      </c>
      <c r="I205" s="1" t="str">
        <f>VLOOKUP(G205,'languoid 4.0'!$A$1:$I$24439,6,FALSE)</f>
        <v>language</v>
      </c>
      <c r="J205" s="15" t="s">
        <v>38</v>
      </c>
      <c r="K205" s="15" t="s">
        <v>38</v>
      </c>
      <c r="L205" s="15" t="s">
        <v>38</v>
      </c>
      <c r="M205" s="1"/>
      <c r="N205" s="1" t="s">
        <v>258</v>
      </c>
      <c r="O205" s="15" t="s">
        <v>40</v>
      </c>
      <c r="P205" s="15" t="s">
        <v>41</v>
      </c>
      <c r="Q205" s="1" t="s">
        <v>1900</v>
      </c>
      <c r="R205" s="2" t="s">
        <v>1901</v>
      </c>
      <c r="S205" s="1" t="s">
        <v>46</v>
      </c>
      <c r="T205" s="1" t="s">
        <v>635</v>
      </c>
      <c r="U205" s="1" t="s">
        <v>636</v>
      </c>
      <c r="V205" s="1" t="s">
        <v>45</v>
      </c>
      <c r="W205" s="1"/>
      <c r="X205" s="1"/>
      <c r="Y205" s="1"/>
      <c r="Z205" s="1" t="s">
        <v>658</v>
      </c>
      <c r="AA205" s="1" t="s">
        <v>1902</v>
      </c>
      <c r="AB205" s="1" t="s">
        <v>1903</v>
      </c>
      <c r="AC205" s="1" t="s">
        <v>46</v>
      </c>
      <c r="AD205" s="1"/>
      <c r="AE205" s="1" t="s">
        <v>641</v>
      </c>
      <c r="AF205" s="1" t="s">
        <v>190</v>
      </c>
      <c r="AG205" s="1">
        <v>6</v>
      </c>
      <c r="AH205" s="1" t="s">
        <v>190</v>
      </c>
      <c r="AI205" s="1"/>
      <c r="AJ205" s="3">
        <v>43437.750439814816</v>
      </c>
      <c r="AK205" s="1" t="s">
        <v>1749</v>
      </c>
    </row>
    <row r="206" spans="1:37">
      <c r="A206" s="1" t="str">
        <f>VLOOKUP(H206,Languages!$A$2:$B$430,2,FALSE)</f>
        <v>Atlantic-Congo</v>
      </c>
      <c r="B206" s="1" t="s">
        <v>67</v>
      </c>
      <c r="C206" s="1" t="s">
        <v>255</v>
      </c>
      <c r="D206" s="1" t="s">
        <v>1904</v>
      </c>
      <c r="E206" s="15" t="s">
        <v>1905</v>
      </c>
      <c r="F206" s="15" t="s">
        <v>1906</v>
      </c>
      <c r="G206" s="1" t="s">
        <v>1905</v>
      </c>
      <c r="H206" s="1" t="str">
        <f>VLOOKUP(G206,'languoid 4.0'!$A$1:$I$24439,2,FALSE)</f>
        <v>atla1278</v>
      </c>
      <c r="I206" s="1" t="str">
        <f>VLOOKUP(G206,'languoid 4.0'!$A$1:$I$24439,6,FALSE)</f>
        <v>dialect</v>
      </c>
      <c r="J206" s="15" t="s">
        <v>52</v>
      </c>
      <c r="K206" s="15" t="s">
        <v>38</v>
      </c>
      <c r="L206" s="15" t="s">
        <v>38</v>
      </c>
      <c r="M206" s="1"/>
      <c r="N206" s="1"/>
      <c r="O206" s="15" t="s">
        <v>40</v>
      </c>
      <c r="P206" s="15" t="s">
        <v>41</v>
      </c>
      <c r="Q206" s="1" t="s">
        <v>1907</v>
      </c>
      <c r="R206" s="2" t="s">
        <v>1908</v>
      </c>
      <c r="S206" s="1" t="s">
        <v>46</v>
      </c>
      <c r="T206" s="1" t="s">
        <v>635</v>
      </c>
      <c r="U206" s="1" t="s">
        <v>636</v>
      </c>
      <c r="V206" s="1" t="s">
        <v>45</v>
      </c>
      <c r="W206" s="1"/>
      <c r="X206" s="1"/>
      <c r="Y206" s="1"/>
      <c r="Z206" s="1" t="s">
        <v>658</v>
      </c>
      <c r="AA206" s="1" t="s">
        <v>1909</v>
      </c>
      <c r="AB206" s="1" t="s">
        <v>1910</v>
      </c>
      <c r="AC206" s="1" t="s">
        <v>46</v>
      </c>
      <c r="AD206" s="1"/>
      <c r="AE206" s="1" t="s">
        <v>641</v>
      </c>
      <c r="AF206" s="1" t="s">
        <v>190</v>
      </c>
      <c r="AG206" s="1">
        <v>6</v>
      </c>
      <c r="AH206" s="1" t="s">
        <v>190</v>
      </c>
      <c r="AI206" s="1"/>
      <c r="AJ206" s="3">
        <v>43437.753888888888</v>
      </c>
      <c r="AK206" s="1" t="s">
        <v>1749</v>
      </c>
    </row>
    <row r="207" spans="1:37">
      <c r="A207" s="1" t="str">
        <f>VLOOKUP(H207,Languages!$A$2:$B$430,2,FALSE)</f>
        <v>Atlantic-Congo</v>
      </c>
      <c r="B207" s="1" t="s">
        <v>67</v>
      </c>
      <c r="C207" s="1" t="s">
        <v>255</v>
      </c>
      <c r="D207" s="1" t="s">
        <v>2514</v>
      </c>
      <c r="E207" s="15" t="s">
        <v>2515</v>
      </c>
      <c r="F207" s="15" t="s">
        <v>2515</v>
      </c>
      <c r="G207" s="1" t="s">
        <v>2515</v>
      </c>
      <c r="H207" s="1" t="str">
        <f>VLOOKUP(G207,'languoid 4.0'!$A$1:$I$24439,2,FALSE)</f>
        <v>atla1278</v>
      </c>
      <c r="I207" s="1" t="str">
        <f>VLOOKUP(G207,'languoid 4.0'!$A$1:$I$24439,6,FALSE)</f>
        <v>language</v>
      </c>
      <c r="J207" s="15" t="s">
        <v>38</v>
      </c>
      <c r="K207" s="15" t="s">
        <v>38</v>
      </c>
      <c r="L207" s="15" t="s">
        <v>38</v>
      </c>
      <c r="M207" s="1"/>
      <c r="N207" s="1" t="s">
        <v>2516</v>
      </c>
      <c r="O207" s="15" t="s">
        <v>40</v>
      </c>
      <c r="P207" s="15" t="s">
        <v>41</v>
      </c>
      <c r="Q207" s="1" t="s">
        <v>2719</v>
      </c>
      <c r="R207" s="2" t="s">
        <v>2720</v>
      </c>
      <c r="S207" s="1" t="s">
        <v>2721</v>
      </c>
      <c r="T207" s="1" t="s">
        <v>44</v>
      </c>
      <c r="U207" s="1"/>
      <c r="V207" s="1" t="s">
        <v>45</v>
      </c>
      <c r="W207" s="1"/>
      <c r="X207" s="1"/>
      <c r="Y207" s="1"/>
      <c r="Z207" s="1" t="s">
        <v>637</v>
      </c>
      <c r="AA207" s="1">
        <v>2</v>
      </c>
      <c r="AB207" s="1">
        <v>2</v>
      </c>
      <c r="AC207" s="1" t="s">
        <v>46</v>
      </c>
      <c r="AD207" s="1"/>
      <c r="AE207" s="1"/>
      <c r="AF207" s="1"/>
      <c r="AG207" s="1"/>
      <c r="AH207" s="1"/>
      <c r="AI207" s="1"/>
      <c r="AJ207" s="3">
        <v>43347.785775462966</v>
      </c>
      <c r="AK207" s="1" t="s">
        <v>47</v>
      </c>
    </row>
    <row r="208" spans="1:37">
      <c r="A208" s="1" t="str">
        <f>VLOOKUP(H208,Languages!$A$2:$B$430,2,FALSE)</f>
        <v>Atlantic-Congo</v>
      </c>
      <c r="B208" s="1" t="s">
        <v>67</v>
      </c>
      <c r="C208" s="1" t="s">
        <v>255</v>
      </c>
      <c r="D208" s="1" t="s">
        <v>1922</v>
      </c>
      <c r="E208" s="15" t="s">
        <v>1923</v>
      </c>
      <c r="F208" s="15" t="s">
        <v>1924</v>
      </c>
      <c r="G208" s="1" t="s">
        <v>1923</v>
      </c>
      <c r="H208" s="1" t="str">
        <f>VLOOKUP(G208,'languoid 4.0'!$A$1:$I$24439,2,FALSE)</f>
        <v>atla1278</v>
      </c>
      <c r="I208" s="1" t="str">
        <f>VLOOKUP(G208,'languoid 4.0'!$A$1:$I$24439,6,FALSE)</f>
        <v>dialect</v>
      </c>
      <c r="J208" s="15" t="s">
        <v>52</v>
      </c>
      <c r="K208" s="15" t="s">
        <v>38</v>
      </c>
      <c r="L208" s="15" t="s">
        <v>38</v>
      </c>
      <c r="M208" s="1"/>
      <c r="N208" s="1"/>
      <c r="O208" s="15" t="s">
        <v>40</v>
      </c>
      <c r="P208" s="15" t="s">
        <v>41</v>
      </c>
      <c r="Q208" s="1" t="s">
        <v>3843</v>
      </c>
      <c r="R208" s="2" t="s">
        <v>3844</v>
      </c>
      <c r="S208" s="1" t="s">
        <v>46</v>
      </c>
      <c r="T208" s="1" t="s">
        <v>635</v>
      </c>
      <c r="U208" s="1" t="s">
        <v>636</v>
      </c>
      <c r="V208" s="1" t="s">
        <v>45</v>
      </c>
      <c r="W208" s="1"/>
      <c r="X208" s="1"/>
      <c r="Y208" s="1"/>
      <c r="Z208" s="1" t="s">
        <v>658</v>
      </c>
      <c r="AA208" s="1" t="s">
        <v>3845</v>
      </c>
      <c r="AB208" s="1" t="s">
        <v>3846</v>
      </c>
      <c r="AC208" s="1" t="s">
        <v>46</v>
      </c>
      <c r="AD208" s="1"/>
      <c r="AE208" s="1" t="s">
        <v>641</v>
      </c>
      <c r="AF208" s="1" t="s">
        <v>190</v>
      </c>
      <c r="AG208" s="1">
        <v>6</v>
      </c>
      <c r="AH208" s="1" t="s">
        <v>190</v>
      </c>
      <c r="AI208" s="1"/>
      <c r="AJ208" s="1" t="s">
        <v>3847</v>
      </c>
      <c r="AK208" s="1" t="s">
        <v>1749</v>
      </c>
    </row>
    <row r="209" spans="1:37">
      <c r="A209" s="1" t="str">
        <f>VLOOKUP(H209,Languages!$A$2:$B$430,2,FALSE)</f>
        <v>Atlantic-Congo</v>
      </c>
      <c r="B209" s="1" t="s">
        <v>67</v>
      </c>
      <c r="C209" s="1" t="s">
        <v>255</v>
      </c>
      <c r="D209" s="1" t="s">
        <v>3848</v>
      </c>
      <c r="E209" s="15" t="s">
        <v>3849</v>
      </c>
      <c r="F209" s="15" t="s">
        <v>3849</v>
      </c>
      <c r="G209" s="1" t="s">
        <v>500</v>
      </c>
      <c r="H209" s="1" t="str">
        <f>VLOOKUP(G209,'languoid 4.0'!$A$1:$I$24439,2,FALSE)</f>
        <v>atla1278</v>
      </c>
      <c r="I209" s="1" t="str">
        <f>VLOOKUP(G209,'languoid 4.0'!$A$1:$I$24439,6,FALSE)</f>
        <v>family</v>
      </c>
      <c r="J209" s="15" t="s">
        <v>38</v>
      </c>
      <c r="K209" s="15" t="s">
        <v>38</v>
      </c>
      <c r="L209" s="15" t="s">
        <v>38</v>
      </c>
      <c r="M209" s="1"/>
      <c r="N209" s="1" t="s">
        <v>3850</v>
      </c>
      <c r="O209" s="15" t="s">
        <v>40</v>
      </c>
      <c r="P209" s="15" t="s">
        <v>41</v>
      </c>
      <c r="Q209" s="1" t="s">
        <v>3851</v>
      </c>
      <c r="R209" s="2" t="s">
        <v>3852</v>
      </c>
      <c r="S209" s="1" t="s">
        <v>46</v>
      </c>
      <c r="T209" s="1" t="s">
        <v>635</v>
      </c>
      <c r="U209" s="1" t="s">
        <v>636</v>
      </c>
      <c r="V209" s="1" t="s">
        <v>45</v>
      </c>
      <c r="W209" s="1"/>
      <c r="X209" s="1"/>
      <c r="Y209" s="1"/>
      <c r="Z209" s="1" t="s">
        <v>658</v>
      </c>
      <c r="AA209" s="1" t="s">
        <v>3853</v>
      </c>
      <c r="AB209" s="1" t="s">
        <v>3854</v>
      </c>
      <c r="AC209" s="1" t="s">
        <v>46</v>
      </c>
      <c r="AD209" s="1"/>
      <c r="AE209" s="1" t="s">
        <v>641</v>
      </c>
      <c r="AF209" s="1" t="s">
        <v>190</v>
      </c>
      <c r="AG209" s="1">
        <v>6</v>
      </c>
      <c r="AH209" s="1" t="s">
        <v>190</v>
      </c>
      <c r="AI209" s="1"/>
      <c r="AJ209" s="1" t="s">
        <v>3855</v>
      </c>
      <c r="AK209" s="1" t="s">
        <v>1749</v>
      </c>
    </row>
    <row r="210" spans="1:37">
      <c r="A210" s="1" t="str">
        <f>VLOOKUP(H210,Languages!$A$2:$B$430,2,FALSE)</f>
        <v>Atlantic-Congo</v>
      </c>
      <c r="B210" s="1" t="s">
        <v>67</v>
      </c>
      <c r="C210" s="1" t="s">
        <v>255</v>
      </c>
      <c r="D210" s="1" t="s">
        <v>3600</v>
      </c>
      <c r="E210" s="15" t="s">
        <v>3601</v>
      </c>
      <c r="F210" s="15" t="s">
        <v>3601</v>
      </c>
      <c r="G210" s="1" t="s">
        <v>3602</v>
      </c>
      <c r="H210" s="1" t="str">
        <f>VLOOKUP(G210,'languoid 4.0'!$A$1:$I$24439,2,FALSE)</f>
        <v>atla1278</v>
      </c>
      <c r="I210" s="1" t="str">
        <f>VLOOKUP(G210,'languoid 4.0'!$A$1:$I$24439,6,FALSE)</f>
        <v>dialect</v>
      </c>
      <c r="J210" s="15" t="s">
        <v>38</v>
      </c>
      <c r="K210" s="15" t="s">
        <v>38</v>
      </c>
      <c r="L210" s="15" t="s">
        <v>38</v>
      </c>
      <c r="M210" s="1"/>
      <c r="N210" s="1" t="s">
        <v>3603</v>
      </c>
      <c r="O210" s="15" t="s">
        <v>40</v>
      </c>
      <c r="P210" s="15" t="s">
        <v>41</v>
      </c>
      <c r="Q210" s="1" t="s">
        <v>3856</v>
      </c>
      <c r="R210" s="2" t="s">
        <v>3857</v>
      </c>
      <c r="S210" s="1" t="s">
        <v>46</v>
      </c>
      <c r="T210" s="1" t="s">
        <v>635</v>
      </c>
      <c r="U210" s="1" t="s">
        <v>636</v>
      </c>
      <c r="V210" s="1" t="s">
        <v>45</v>
      </c>
      <c r="W210" s="1"/>
      <c r="X210" s="1"/>
      <c r="Y210" s="1"/>
      <c r="Z210" s="1" t="s">
        <v>658</v>
      </c>
      <c r="AA210" s="1" t="s">
        <v>3858</v>
      </c>
      <c r="AB210" s="1" t="s">
        <v>3859</v>
      </c>
      <c r="AC210" s="1" t="s">
        <v>46</v>
      </c>
      <c r="AD210" s="1"/>
      <c r="AE210" s="1" t="s">
        <v>641</v>
      </c>
      <c r="AF210" s="1" t="s">
        <v>190</v>
      </c>
      <c r="AG210" s="1">
        <v>6</v>
      </c>
      <c r="AH210" s="1" t="s">
        <v>190</v>
      </c>
      <c r="AI210" s="1"/>
      <c r="AJ210" s="1" t="s">
        <v>3860</v>
      </c>
      <c r="AK210" s="1" t="s">
        <v>1749</v>
      </c>
    </row>
    <row r="211" spans="1:37">
      <c r="A211" s="1" t="str">
        <f>VLOOKUP(H211,Languages!$A$2:$B$430,2,FALSE)</f>
        <v>Atlantic-Congo</v>
      </c>
      <c r="B211" s="1" t="s">
        <v>67</v>
      </c>
      <c r="C211" s="1" t="s">
        <v>255</v>
      </c>
      <c r="D211" s="1" t="s">
        <v>3608</v>
      </c>
      <c r="E211" s="15" t="s">
        <v>3609</v>
      </c>
      <c r="F211" s="15" t="s">
        <v>3610</v>
      </c>
      <c r="G211" s="1" t="s">
        <v>3610</v>
      </c>
      <c r="H211" s="1" t="str">
        <f>VLOOKUP(G211,'languoid 4.0'!$A$1:$I$24439,2,FALSE)</f>
        <v>atla1278</v>
      </c>
      <c r="I211" s="1" t="str">
        <f>VLOOKUP(G211,'languoid 4.0'!$A$1:$I$24439,6,FALSE)</f>
        <v>language</v>
      </c>
      <c r="J211" s="15" t="s">
        <v>52</v>
      </c>
      <c r="K211" s="15" t="s">
        <v>38</v>
      </c>
      <c r="L211" s="15" t="s">
        <v>38</v>
      </c>
      <c r="M211" s="1"/>
      <c r="N211" s="1"/>
      <c r="O211" s="15" t="s">
        <v>40</v>
      </c>
      <c r="P211" s="15" t="s">
        <v>41</v>
      </c>
      <c r="Q211" s="1" t="s">
        <v>3866</v>
      </c>
      <c r="R211" s="2" t="s">
        <v>3867</v>
      </c>
      <c r="S211" s="1" t="s">
        <v>46</v>
      </c>
      <c r="T211" s="1" t="s">
        <v>635</v>
      </c>
      <c r="U211" s="1" t="s">
        <v>636</v>
      </c>
      <c r="V211" s="1" t="s">
        <v>45</v>
      </c>
      <c r="W211" s="1"/>
      <c r="X211" s="1"/>
      <c r="Y211" s="1"/>
      <c r="Z211" s="1" t="s">
        <v>658</v>
      </c>
      <c r="AA211" s="1" t="s">
        <v>3868</v>
      </c>
      <c r="AB211" s="1" t="s">
        <v>3869</v>
      </c>
      <c r="AC211" s="1" t="s">
        <v>46</v>
      </c>
      <c r="AD211" s="1"/>
      <c r="AE211" s="1" t="s">
        <v>641</v>
      </c>
      <c r="AF211" s="1" t="s">
        <v>190</v>
      </c>
      <c r="AG211" s="1">
        <v>1</v>
      </c>
      <c r="AH211" s="1" t="s">
        <v>190</v>
      </c>
      <c r="AI211" s="1"/>
      <c r="AJ211" s="1" t="s">
        <v>3870</v>
      </c>
      <c r="AK211" s="1" t="s">
        <v>1749</v>
      </c>
    </row>
    <row r="212" spans="1:37">
      <c r="A212" s="1" t="str">
        <f>VLOOKUP(H212,Languages!$A$2:$B$430,2,FALSE)</f>
        <v>Atlantic-Congo</v>
      </c>
      <c r="B212" s="1" t="s">
        <v>67</v>
      </c>
      <c r="C212" s="1" t="s">
        <v>132</v>
      </c>
      <c r="D212" s="1" t="s">
        <v>133</v>
      </c>
      <c r="E212" s="15" t="s">
        <v>134</v>
      </c>
      <c r="F212" s="15" t="s">
        <v>134</v>
      </c>
      <c r="G212" s="1" t="s">
        <v>134</v>
      </c>
      <c r="H212" s="1" t="str">
        <f>VLOOKUP(G212,'languoid 4.0'!$A$1:$I$24439,2,FALSE)</f>
        <v>atla1278</v>
      </c>
      <c r="I212" s="1" t="str">
        <f>VLOOKUP(G212,'languoid 4.0'!$A$1:$I$24439,6,FALSE)</f>
        <v>language</v>
      </c>
      <c r="J212" s="15" t="s">
        <v>38</v>
      </c>
      <c r="K212" s="15" t="s">
        <v>38</v>
      </c>
      <c r="L212" s="15" t="s">
        <v>38</v>
      </c>
      <c r="M212" s="1"/>
      <c r="N212" s="1" t="s">
        <v>135</v>
      </c>
      <c r="O212" s="15" t="s">
        <v>40</v>
      </c>
      <c r="P212" s="15" t="s">
        <v>41</v>
      </c>
      <c r="Q212" s="1" t="s">
        <v>136</v>
      </c>
      <c r="R212" s="2" t="s">
        <v>137</v>
      </c>
      <c r="S212" s="1" t="s">
        <v>138</v>
      </c>
      <c r="T212" s="1" t="s">
        <v>44</v>
      </c>
      <c r="U212" s="1"/>
      <c r="V212" s="1" t="s">
        <v>45</v>
      </c>
      <c r="W212" s="1"/>
      <c r="X212" s="1"/>
      <c r="Y212" s="1"/>
      <c r="Z212" s="1"/>
      <c r="AA212" s="1">
        <v>10</v>
      </c>
      <c r="AB212" s="1">
        <v>10</v>
      </c>
      <c r="AC212" s="1" t="s">
        <v>46</v>
      </c>
      <c r="AD212" s="1"/>
      <c r="AE212" s="1"/>
      <c r="AF212" s="1"/>
      <c r="AG212" s="1"/>
      <c r="AH212" s="1"/>
      <c r="AI212" s="1"/>
      <c r="AJ212" s="3">
        <v>43102.730173611111</v>
      </c>
      <c r="AK212" s="1" t="s">
        <v>74</v>
      </c>
    </row>
    <row r="213" spans="1:37">
      <c r="A213" s="1" t="str">
        <f>VLOOKUP(H213,Languages!$A$2:$B$430,2,FALSE)</f>
        <v>Atlantic-Congo</v>
      </c>
      <c r="B213" s="1" t="s">
        <v>67</v>
      </c>
      <c r="C213" s="1" t="s">
        <v>132</v>
      </c>
      <c r="D213" s="1" t="s">
        <v>1024</v>
      </c>
      <c r="E213" s="15" t="s">
        <v>1025</v>
      </c>
      <c r="F213" s="15" t="s">
        <v>1025</v>
      </c>
      <c r="G213" s="1" t="s">
        <v>1025</v>
      </c>
      <c r="H213" s="1" t="str">
        <f>VLOOKUP(G213,'languoid 4.0'!$A$1:$I$24439,2,FALSE)</f>
        <v>atla1278</v>
      </c>
      <c r="I213" s="1" t="str">
        <f>VLOOKUP(G213,'languoid 4.0'!$A$1:$I$24439,6,FALSE)</f>
        <v>language</v>
      </c>
      <c r="J213" s="15" t="s">
        <v>38</v>
      </c>
      <c r="K213" s="15" t="s">
        <v>38</v>
      </c>
      <c r="L213" s="15" t="s">
        <v>38</v>
      </c>
      <c r="M213" s="1"/>
      <c r="N213" s="1" t="s">
        <v>1026</v>
      </c>
      <c r="O213" s="15" t="s">
        <v>40</v>
      </c>
      <c r="P213" s="15" t="s">
        <v>41</v>
      </c>
      <c r="Q213" s="1" t="s">
        <v>1027</v>
      </c>
      <c r="R213" s="2" t="s">
        <v>1028</v>
      </c>
      <c r="S213" s="1" t="s">
        <v>672</v>
      </c>
      <c r="T213" s="1" t="s">
        <v>635</v>
      </c>
      <c r="U213" s="1" t="s">
        <v>1029</v>
      </c>
      <c r="V213" s="1" t="s">
        <v>45</v>
      </c>
      <c r="W213" s="1"/>
      <c r="X213" s="1"/>
      <c r="Y213" s="1"/>
      <c r="Z213" s="1" t="s">
        <v>637</v>
      </c>
      <c r="AA213" s="1" t="s">
        <v>1030</v>
      </c>
      <c r="AB213" s="1" t="s">
        <v>1031</v>
      </c>
      <c r="AC213" s="1" t="s">
        <v>46</v>
      </c>
      <c r="AD213" s="2" t="s">
        <v>1032</v>
      </c>
      <c r="AE213" s="1" t="s">
        <v>641</v>
      </c>
      <c r="AF213" s="1" t="s">
        <v>190</v>
      </c>
      <c r="AG213" s="1">
        <v>6</v>
      </c>
      <c r="AH213" s="1" t="s">
        <v>190</v>
      </c>
      <c r="AI213" s="1"/>
      <c r="AJ213" s="1" t="s">
        <v>1033</v>
      </c>
      <c r="AK213" s="1" t="s">
        <v>1034</v>
      </c>
    </row>
    <row r="214" spans="1:37">
      <c r="A214" s="1" t="str">
        <f>VLOOKUP(H214,Languages!$A$2:$B$430,2,FALSE)</f>
        <v>Atlantic-Congo</v>
      </c>
      <c r="B214" s="1" t="s">
        <v>67</v>
      </c>
      <c r="C214" s="1" t="s">
        <v>132</v>
      </c>
      <c r="D214" s="1" t="s">
        <v>1396</v>
      </c>
      <c r="E214" s="15" t="s">
        <v>1397</v>
      </c>
      <c r="F214" s="15" t="s">
        <v>1397</v>
      </c>
      <c r="G214" s="1" t="s">
        <v>1397</v>
      </c>
      <c r="H214" s="1" t="str">
        <f>VLOOKUP(G214,'languoid 4.0'!$A$1:$I$24439,2,FALSE)</f>
        <v>atla1278</v>
      </c>
      <c r="I214" s="1" t="str">
        <f>VLOOKUP(G214,'languoid 4.0'!$A$1:$I$24439,6,FALSE)</f>
        <v>dialect</v>
      </c>
      <c r="J214" s="15" t="s">
        <v>38</v>
      </c>
      <c r="K214" s="15" t="s">
        <v>38</v>
      </c>
      <c r="L214" s="15" t="s">
        <v>38</v>
      </c>
      <c r="M214" s="1"/>
      <c r="N214" s="1"/>
      <c r="O214" s="15" t="s">
        <v>40</v>
      </c>
      <c r="P214" s="15" t="s">
        <v>41</v>
      </c>
      <c r="Q214" s="1" t="s">
        <v>1398</v>
      </c>
      <c r="R214" s="2" t="s">
        <v>1399</v>
      </c>
      <c r="S214" s="1" t="s">
        <v>1400</v>
      </c>
      <c r="T214" s="1" t="s">
        <v>635</v>
      </c>
      <c r="U214" s="1" t="s">
        <v>1401</v>
      </c>
      <c r="V214" s="1" t="s">
        <v>45</v>
      </c>
      <c r="W214" s="1"/>
      <c r="X214" s="1"/>
      <c r="Y214" s="1"/>
      <c r="Z214" s="1" t="s">
        <v>658</v>
      </c>
      <c r="AA214" s="1" t="s">
        <v>1402</v>
      </c>
      <c r="AB214" s="1" t="s">
        <v>1403</v>
      </c>
      <c r="AC214" s="1" t="s">
        <v>46</v>
      </c>
      <c r="AD214" s="1"/>
      <c r="AE214" s="1" t="s">
        <v>641</v>
      </c>
      <c r="AF214" s="1" t="s">
        <v>190</v>
      </c>
      <c r="AG214" s="1">
        <v>6</v>
      </c>
      <c r="AH214" s="1" t="s">
        <v>190</v>
      </c>
      <c r="AI214" s="1"/>
      <c r="AJ214" s="1" t="s">
        <v>1404</v>
      </c>
      <c r="AK214" s="1" t="s">
        <v>1034</v>
      </c>
    </row>
    <row r="215" spans="1:37">
      <c r="A215" s="1" t="str">
        <f>VLOOKUP(H215,Languages!$A$2:$B$430,2,FALSE)</f>
        <v>Atlantic-Congo</v>
      </c>
      <c r="B215" s="1" t="s">
        <v>67</v>
      </c>
      <c r="C215" s="1" t="s">
        <v>132</v>
      </c>
      <c r="D215" s="1" t="s">
        <v>1626</v>
      </c>
      <c r="E215" s="15" t="s">
        <v>1627</v>
      </c>
      <c r="F215" s="15" t="s">
        <v>51</v>
      </c>
      <c r="G215" s="1" t="s">
        <v>1627</v>
      </c>
      <c r="H215" s="1" t="str">
        <f>VLOOKUP(G215,'languoid 4.0'!$A$1:$I$24439,2,FALSE)</f>
        <v>atla1278</v>
      </c>
      <c r="I215" s="1" t="str">
        <f>VLOOKUP(G215,'languoid 4.0'!$A$1:$I$24439,6,FALSE)</f>
        <v>language</v>
      </c>
      <c r="J215" s="15" t="s">
        <v>52</v>
      </c>
      <c r="K215" s="15" t="s">
        <v>51</v>
      </c>
      <c r="L215" s="15" t="s">
        <v>51</v>
      </c>
      <c r="M215" s="1"/>
      <c r="N215" s="1" t="s">
        <v>1628</v>
      </c>
      <c r="O215" s="15" t="s">
        <v>40</v>
      </c>
      <c r="P215" s="15" t="s">
        <v>41</v>
      </c>
      <c r="Q215" s="1" t="s">
        <v>1629</v>
      </c>
      <c r="R215" s="2" t="s">
        <v>1630</v>
      </c>
      <c r="S215" s="1" t="s">
        <v>46</v>
      </c>
      <c r="T215" s="1" t="s">
        <v>635</v>
      </c>
      <c r="U215" s="1" t="s">
        <v>1631</v>
      </c>
      <c r="V215" s="1" t="s">
        <v>45</v>
      </c>
      <c r="W215" s="1"/>
      <c r="X215" s="1"/>
      <c r="Y215" s="1"/>
      <c r="Z215" s="1" t="s">
        <v>658</v>
      </c>
      <c r="AA215" s="1" t="s">
        <v>1632</v>
      </c>
      <c r="AB215" s="1" t="s">
        <v>1633</v>
      </c>
      <c r="AC215" s="1" t="s">
        <v>46</v>
      </c>
      <c r="AD215" s="1" t="s">
        <v>46</v>
      </c>
      <c r="AE215" s="1" t="s">
        <v>641</v>
      </c>
      <c r="AF215" s="1" t="s">
        <v>190</v>
      </c>
      <c r="AG215" s="1">
        <v>6</v>
      </c>
      <c r="AH215" s="1" t="s">
        <v>190</v>
      </c>
      <c r="AI215" s="1"/>
      <c r="AJ215" s="3">
        <v>43193.817280092589</v>
      </c>
      <c r="AK215" s="1" t="s">
        <v>1034</v>
      </c>
    </row>
    <row r="216" spans="1:37">
      <c r="A216" s="1" t="str">
        <f>VLOOKUP(H216,Languages!$A$2:$B$430,2,FALSE)</f>
        <v>Atlantic-Congo</v>
      </c>
      <c r="B216" s="1" t="s">
        <v>67</v>
      </c>
      <c r="C216" s="1" t="s">
        <v>132</v>
      </c>
      <c r="D216" s="1" t="s">
        <v>1634</v>
      </c>
      <c r="E216" s="15" t="s">
        <v>1635</v>
      </c>
      <c r="F216" s="15" t="s">
        <v>346</v>
      </c>
      <c r="G216" s="1" t="s">
        <v>1635</v>
      </c>
      <c r="H216" s="1" t="str">
        <f>VLOOKUP(G216,'languoid 4.0'!$A$1:$I$24439,2,FALSE)</f>
        <v>atla1278</v>
      </c>
      <c r="I216" s="1" t="str">
        <f>VLOOKUP(G216,'languoid 4.0'!$A$1:$I$24439,6,FALSE)</f>
        <v>dialect</v>
      </c>
      <c r="J216" s="15" t="s">
        <v>52</v>
      </c>
      <c r="K216" s="15" t="s">
        <v>38</v>
      </c>
      <c r="L216" s="15" t="s">
        <v>38</v>
      </c>
      <c r="M216" s="1"/>
      <c r="N216" s="1"/>
      <c r="O216" s="15" t="s">
        <v>40</v>
      </c>
      <c r="P216" s="15" t="s">
        <v>41</v>
      </c>
      <c r="Q216" s="1" t="s">
        <v>1636</v>
      </c>
      <c r="R216" s="2" t="s">
        <v>1637</v>
      </c>
      <c r="S216" s="1" t="s">
        <v>46</v>
      </c>
      <c r="T216" s="1" t="s">
        <v>635</v>
      </c>
      <c r="U216" s="1" t="s">
        <v>1638</v>
      </c>
      <c r="V216" s="1" t="s">
        <v>45</v>
      </c>
      <c r="W216" s="1"/>
      <c r="X216" s="1"/>
      <c r="Y216" s="1"/>
      <c r="Z216" s="1" t="s">
        <v>658</v>
      </c>
      <c r="AA216" s="1" t="s">
        <v>1639</v>
      </c>
      <c r="AB216" s="1" t="s">
        <v>1640</v>
      </c>
      <c r="AC216" s="1" t="s">
        <v>46</v>
      </c>
      <c r="AD216" s="1"/>
      <c r="AE216" s="1" t="s">
        <v>641</v>
      </c>
      <c r="AF216" s="1" t="s">
        <v>190</v>
      </c>
      <c r="AG216" s="1">
        <v>6</v>
      </c>
      <c r="AH216" s="1" t="s">
        <v>190</v>
      </c>
      <c r="AI216" s="1"/>
      <c r="AJ216" s="3">
        <v>43193.829062500001</v>
      </c>
      <c r="AK216" s="1" t="s">
        <v>1034</v>
      </c>
    </row>
    <row r="217" spans="1:37">
      <c r="A217" s="1" t="str">
        <f>VLOOKUP(H217,Languages!$A$2:$B$430,2,FALSE)</f>
        <v>Atlantic-Congo</v>
      </c>
      <c r="B217" s="1" t="s">
        <v>67</v>
      </c>
      <c r="C217" s="1" t="s">
        <v>132</v>
      </c>
      <c r="D217" s="1" t="s">
        <v>1939</v>
      </c>
      <c r="E217" s="15" t="s">
        <v>1940</v>
      </c>
      <c r="F217" s="15" t="s">
        <v>1387</v>
      </c>
      <c r="G217" s="1" t="s">
        <v>1387</v>
      </c>
      <c r="H217" s="1" t="str">
        <f>VLOOKUP(G217,'languoid 4.0'!$A$1:$I$24439,2,FALSE)</f>
        <v>atla1278</v>
      </c>
      <c r="I217" s="1" t="str">
        <f>VLOOKUP(G217,'languoid 4.0'!$A$1:$I$24439,6,FALSE)</f>
        <v>language</v>
      </c>
      <c r="J217" s="15" t="s">
        <v>52</v>
      </c>
      <c r="K217" s="15" t="s">
        <v>38</v>
      </c>
      <c r="L217" s="15" t="s">
        <v>38</v>
      </c>
      <c r="M217" s="1"/>
      <c r="N217" s="1" t="e">
        <v>#N/A</v>
      </c>
      <c r="O217" s="15" t="s">
        <v>40</v>
      </c>
      <c r="P217" s="15" t="s">
        <v>41</v>
      </c>
      <c r="Q217" s="1" t="s">
        <v>1941</v>
      </c>
      <c r="R217" s="2" t="s">
        <v>1942</v>
      </c>
      <c r="S217" s="1" t="s">
        <v>46</v>
      </c>
      <c r="T217" s="1" t="s">
        <v>635</v>
      </c>
      <c r="U217" s="1" t="s">
        <v>1943</v>
      </c>
      <c r="V217" s="1" t="s">
        <v>45</v>
      </c>
      <c r="W217" s="1"/>
      <c r="X217" s="1"/>
      <c r="Y217" s="1"/>
      <c r="Z217" s="1" t="s">
        <v>658</v>
      </c>
      <c r="AA217" s="1" t="s">
        <v>1944</v>
      </c>
      <c r="AB217" s="1" t="s">
        <v>1945</v>
      </c>
      <c r="AC217" s="1" t="s">
        <v>46</v>
      </c>
      <c r="AD217" s="1"/>
      <c r="AE217" s="1" t="s">
        <v>641</v>
      </c>
      <c r="AF217" s="1" t="s">
        <v>190</v>
      </c>
      <c r="AG217" s="1">
        <v>6</v>
      </c>
      <c r="AH217" s="1" t="s">
        <v>190</v>
      </c>
      <c r="AI217" s="1"/>
      <c r="AJ217" s="1" t="s">
        <v>1946</v>
      </c>
      <c r="AK217" s="1" t="s">
        <v>1034</v>
      </c>
    </row>
    <row r="218" spans="1:37">
      <c r="A218" s="1" t="str">
        <f>VLOOKUP(H218,Languages!$A$2:$B$430,2,FALSE)</f>
        <v>Atlantic-Congo</v>
      </c>
      <c r="B218" s="1" t="s">
        <v>67</v>
      </c>
      <c r="C218" s="1" t="s">
        <v>132</v>
      </c>
      <c r="D218" s="1" t="s">
        <v>1024</v>
      </c>
      <c r="E218" s="15" t="s">
        <v>1025</v>
      </c>
      <c r="F218" s="15" t="s">
        <v>1947</v>
      </c>
      <c r="G218" s="1" t="s">
        <v>1025</v>
      </c>
      <c r="H218" s="1" t="str">
        <f>VLOOKUP(G218,'languoid 4.0'!$A$1:$I$24439,2,FALSE)</f>
        <v>atla1278</v>
      </c>
      <c r="I218" s="1" t="str">
        <f>VLOOKUP(G218,'languoid 4.0'!$A$1:$I$24439,6,FALSE)</f>
        <v>language</v>
      </c>
      <c r="J218" s="15" t="s">
        <v>52</v>
      </c>
      <c r="K218" s="15" t="s">
        <v>52</v>
      </c>
      <c r="L218" s="15" t="s">
        <v>52</v>
      </c>
      <c r="M218" s="1"/>
      <c r="N218" s="1" t="s">
        <v>1026</v>
      </c>
      <c r="O218" s="15" t="s">
        <v>40</v>
      </c>
      <c r="P218" s="15" t="s">
        <v>41</v>
      </c>
      <c r="Q218" s="1" t="s">
        <v>1948</v>
      </c>
      <c r="R218" s="2" t="s">
        <v>1949</v>
      </c>
      <c r="S218" s="1" t="s">
        <v>46</v>
      </c>
      <c r="T218" s="1" t="s">
        <v>635</v>
      </c>
      <c r="U218" s="1" t="s">
        <v>1950</v>
      </c>
      <c r="V218" s="1" t="s">
        <v>45</v>
      </c>
      <c r="W218" s="1"/>
      <c r="X218" s="1"/>
      <c r="Y218" s="1"/>
      <c r="Z218" s="1" t="s">
        <v>658</v>
      </c>
      <c r="AA218" s="1" t="s">
        <v>1951</v>
      </c>
      <c r="AB218" s="1" t="s">
        <v>1952</v>
      </c>
      <c r="AC218" s="1" t="s">
        <v>46</v>
      </c>
      <c r="AD218" s="1"/>
      <c r="AE218" s="1" t="s">
        <v>641</v>
      </c>
      <c r="AF218" s="1" t="s">
        <v>190</v>
      </c>
      <c r="AG218" s="1">
        <v>6</v>
      </c>
      <c r="AH218" s="1" t="s">
        <v>190</v>
      </c>
      <c r="AI218" s="1"/>
      <c r="AJ218" s="1" t="s">
        <v>1953</v>
      </c>
      <c r="AK218" s="1" t="s">
        <v>1034</v>
      </c>
    </row>
    <row r="219" spans="1:37">
      <c r="A219" s="1" t="str">
        <f>VLOOKUP(H219,Languages!$A$2:$B$430,2,FALSE)</f>
        <v>Atlantic-Congo</v>
      </c>
      <c r="B219" s="1" t="s">
        <v>67</v>
      </c>
      <c r="C219" s="1" t="s">
        <v>132</v>
      </c>
      <c r="D219" s="1" t="s">
        <v>2107</v>
      </c>
      <c r="E219" s="15" t="s">
        <v>2108</v>
      </c>
      <c r="F219" s="15" t="s">
        <v>2109</v>
      </c>
      <c r="G219" s="1" t="s">
        <v>2108</v>
      </c>
      <c r="H219" s="1" t="str">
        <f>VLOOKUP(G219,'languoid 4.0'!$A$1:$I$24439,2,FALSE)</f>
        <v>atla1278</v>
      </c>
      <c r="I219" s="1" t="str">
        <f>VLOOKUP(G219,'languoid 4.0'!$A$1:$I$24439,6,FALSE)</f>
        <v>language</v>
      </c>
      <c r="J219" s="15" t="s">
        <v>52</v>
      </c>
      <c r="K219" s="15" t="s">
        <v>38</v>
      </c>
      <c r="L219" s="15" t="s">
        <v>38</v>
      </c>
      <c r="M219" s="1"/>
      <c r="N219" s="1" t="s">
        <v>2110</v>
      </c>
      <c r="O219" s="15" t="s">
        <v>40</v>
      </c>
      <c r="P219" s="15" t="s">
        <v>41</v>
      </c>
      <c r="Q219" s="1" t="s">
        <v>2111</v>
      </c>
      <c r="R219" s="2" t="s">
        <v>2112</v>
      </c>
      <c r="S219" s="1" t="s">
        <v>2113</v>
      </c>
      <c r="T219" s="1" t="s">
        <v>635</v>
      </c>
      <c r="U219" s="1" t="s">
        <v>2114</v>
      </c>
      <c r="V219" s="1" t="s">
        <v>45</v>
      </c>
      <c r="W219" s="1"/>
      <c r="X219" s="1"/>
      <c r="Y219" s="1"/>
      <c r="Z219" s="1" t="s">
        <v>658</v>
      </c>
      <c r="AA219" s="1" t="s">
        <v>2115</v>
      </c>
      <c r="AB219" s="1" t="s">
        <v>2116</v>
      </c>
      <c r="AC219" s="1" t="s">
        <v>46</v>
      </c>
      <c r="AD219" s="1"/>
      <c r="AE219" s="1"/>
      <c r="AF219" s="1"/>
      <c r="AG219" s="1"/>
      <c r="AH219" s="1" t="s">
        <v>45</v>
      </c>
      <c r="AI219" s="1"/>
      <c r="AJ219" s="1" t="s">
        <v>2117</v>
      </c>
      <c r="AK219" s="1" t="s">
        <v>1034</v>
      </c>
    </row>
    <row r="220" spans="1:37">
      <c r="A220" s="1" t="str">
        <f>VLOOKUP(H220,Languages!$A$2:$B$430,2,FALSE)</f>
        <v>Atlantic-Congo</v>
      </c>
      <c r="B220" s="1" t="s">
        <v>67</v>
      </c>
      <c r="C220" s="1" t="s">
        <v>132</v>
      </c>
      <c r="D220" s="1" t="s">
        <v>1024</v>
      </c>
      <c r="E220" s="15" t="s">
        <v>1025</v>
      </c>
      <c r="F220" s="15" t="s">
        <v>1947</v>
      </c>
      <c r="G220" s="1" t="s">
        <v>1025</v>
      </c>
      <c r="H220" s="1" t="str">
        <f>VLOOKUP(G220,'languoid 4.0'!$A$1:$I$24439,2,FALSE)</f>
        <v>atla1278</v>
      </c>
      <c r="I220" s="1" t="str">
        <f>VLOOKUP(G220,'languoid 4.0'!$A$1:$I$24439,6,FALSE)</f>
        <v>language</v>
      </c>
      <c r="J220" s="15" t="s">
        <v>52</v>
      </c>
      <c r="K220" s="15" t="s">
        <v>52</v>
      </c>
      <c r="L220" s="15" t="s">
        <v>52</v>
      </c>
      <c r="M220" s="1"/>
      <c r="N220" s="1" t="s">
        <v>1026</v>
      </c>
      <c r="O220" s="15" t="s">
        <v>40</v>
      </c>
      <c r="P220" s="15" t="s">
        <v>41</v>
      </c>
      <c r="Q220" s="1" t="s">
        <v>2306</v>
      </c>
      <c r="R220" s="2" t="s">
        <v>2307</v>
      </c>
      <c r="S220" s="1" t="s">
        <v>46</v>
      </c>
      <c r="T220" s="1" t="s">
        <v>635</v>
      </c>
      <c r="U220" s="1" t="s">
        <v>2306</v>
      </c>
      <c r="V220" s="1" t="s">
        <v>45</v>
      </c>
      <c r="W220" s="1"/>
      <c r="X220" s="1"/>
      <c r="Y220" s="1"/>
      <c r="Z220" s="1" t="s">
        <v>658</v>
      </c>
      <c r="AA220" s="1" t="s">
        <v>2308</v>
      </c>
      <c r="AB220" s="1" t="s">
        <v>2309</v>
      </c>
      <c r="AC220" s="1" t="s">
        <v>46</v>
      </c>
      <c r="AD220" s="1"/>
      <c r="AE220" s="1" t="s">
        <v>641</v>
      </c>
      <c r="AF220" s="1" t="s">
        <v>190</v>
      </c>
      <c r="AG220" s="1">
        <v>6</v>
      </c>
      <c r="AH220" s="1" t="s">
        <v>190</v>
      </c>
      <c r="AI220" s="1"/>
      <c r="AJ220" s="1" t="s">
        <v>2310</v>
      </c>
      <c r="AK220" s="1" t="s">
        <v>1034</v>
      </c>
    </row>
    <row r="221" spans="1:37">
      <c r="A221" s="1" t="str">
        <f>VLOOKUP(H221,Languages!$A$2:$B$430,2,FALSE)</f>
        <v>Atlantic-Congo</v>
      </c>
      <c r="B221" s="1" t="s">
        <v>67</v>
      </c>
      <c r="C221" s="1" t="s">
        <v>132</v>
      </c>
      <c r="D221" s="1" t="s">
        <v>3192</v>
      </c>
      <c r="E221" s="15" t="s">
        <v>3193</v>
      </c>
      <c r="F221" s="15" t="s">
        <v>3193</v>
      </c>
      <c r="G221" s="1" t="s">
        <v>3193</v>
      </c>
      <c r="H221" s="1" t="str">
        <f>VLOOKUP(G221,'languoid 4.0'!$A$1:$I$24439,2,FALSE)</f>
        <v>atla1278</v>
      </c>
      <c r="I221" s="1" t="str">
        <f>VLOOKUP(G221,'languoid 4.0'!$A$1:$I$24439,6,FALSE)</f>
        <v>language</v>
      </c>
      <c r="J221" s="15" t="s">
        <v>38</v>
      </c>
      <c r="K221" s="15" t="s">
        <v>38</v>
      </c>
      <c r="L221" s="15" t="s">
        <v>38</v>
      </c>
      <c r="M221" s="1"/>
      <c r="N221" s="1" t="s">
        <v>3194</v>
      </c>
      <c r="O221" s="15" t="s">
        <v>40</v>
      </c>
      <c r="P221" s="15" t="s">
        <v>41</v>
      </c>
      <c r="Q221" s="1" t="s">
        <v>3195</v>
      </c>
      <c r="R221" s="2" t="s">
        <v>3196</v>
      </c>
      <c r="S221" s="1" t="s">
        <v>46</v>
      </c>
      <c r="T221" s="1" t="s">
        <v>635</v>
      </c>
      <c r="U221" s="1" t="s">
        <v>636</v>
      </c>
      <c r="V221" s="1" t="s">
        <v>45</v>
      </c>
      <c r="W221" s="1"/>
      <c r="X221" s="1"/>
      <c r="Y221" s="1"/>
      <c r="Z221" s="1" t="s">
        <v>658</v>
      </c>
      <c r="AA221" s="1" t="s">
        <v>3197</v>
      </c>
      <c r="AB221" s="1" t="s">
        <v>3198</v>
      </c>
      <c r="AC221" s="1" t="s">
        <v>46</v>
      </c>
      <c r="AD221" s="1"/>
      <c r="AE221" s="1" t="s">
        <v>641</v>
      </c>
      <c r="AF221" s="1" t="s">
        <v>190</v>
      </c>
      <c r="AG221" s="1">
        <v>6</v>
      </c>
      <c r="AH221" s="1" t="s">
        <v>190</v>
      </c>
      <c r="AI221" s="1"/>
      <c r="AJ221" s="1" t="s">
        <v>3199</v>
      </c>
      <c r="AK221" s="1" t="s">
        <v>1034</v>
      </c>
    </row>
    <row r="222" spans="1:37">
      <c r="A222" s="1" t="str">
        <f>VLOOKUP(H222,Languages!$A$2:$B$430,2,FALSE)</f>
        <v>Atlantic-Congo</v>
      </c>
      <c r="B222" s="1" t="s">
        <v>59</v>
      </c>
      <c r="C222" s="1" t="s">
        <v>48</v>
      </c>
      <c r="D222" s="1" t="s">
        <v>498</v>
      </c>
      <c r="E222" s="15" t="s">
        <v>499</v>
      </c>
      <c r="F222" s="15" t="s">
        <v>500</v>
      </c>
      <c r="G222" s="1" t="s">
        <v>499</v>
      </c>
      <c r="H222" s="1" t="str">
        <f>VLOOKUP(G222,'languoid 4.0'!$A$1:$I$24439,2,FALSE)</f>
        <v>atla1278</v>
      </c>
      <c r="I222" s="1" t="str">
        <f>VLOOKUP(G222,'languoid 4.0'!$A$1:$I$24439,6,FALSE)</f>
        <v>language</v>
      </c>
      <c r="J222" s="15" t="s">
        <v>52</v>
      </c>
      <c r="K222" s="15" t="s">
        <v>38</v>
      </c>
      <c r="L222" s="15" t="s">
        <v>38</v>
      </c>
      <c r="M222" s="1"/>
      <c r="N222" s="1" t="s">
        <v>501</v>
      </c>
      <c r="O222" s="15" t="s">
        <v>40</v>
      </c>
      <c r="P222" s="15" t="s">
        <v>41</v>
      </c>
      <c r="Q222" s="1" t="s">
        <v>502</v>
      </c>
      <c r="R222" s="2" t="s">
        <v>503</v>
      </c>
      <c r="S222" s="1" t="s">
        <v>504</v>
      </c>
      <c r="T222" s="1" t="s">
        <v>44</v>
      </c>
      <c r="U222" s="1"/>
      <c r="V222" s="1" t="s">
        <v>45</v>
      </c>
      <c r="W222" s="1"/>
      <c r="X222" s="1"/>
      <c r="Y222" s="1"/>
      <c r="Z222" s="1"/>
      <c r="AA222" s="1">
        <v>6</v>
      </c>
      <c r="AB222" s="1">
        <v>6</v>
      </c>
      <c r="AC222" s="1" t="s">
        <v>46</v>
      </c>
      <c r="AD222" s="1"/>
      <c r="AE222" s="1"/>
      <c r="AF222" s="1"/>
      <c r="AG222" s="1"/>
      <c r="AH222" s="1"/>
      <c r="AI222" s="1"/>
      <c r="AJ222" s="3">
        <v>43102.752928240741</v>
      </c>
      <c r="AK222" s="1" t="s">
        <v>74</v>
      </c>
    </row>
    <row r="223" spans="1:37">
      <c r="A223" s="1" t="str">
        <f>VLOOKUP(H223,Languages!$A$2:$B$430,2,FALSE)</f>
        <v>Atlantic-Congo</v>
      </c>
      <c r="B223" s="1" t="s">
        <v>59</v>
      </c>
      <c r="C223" s="1" t="s">
        <v>48</v>
      </c>
      <c r="D223" s="1" t="s">
        <v>6029</v>
      </c>
      <c r="E223" s="15" t="s">
        <v>6030</v>
      </c>
      <c r="F223" s="15" t="s">
        <v>6030</v>
      </c>
      <c r="G223" s="1" t="s">
        <v>6030</v>
      </c>
      <c r="H223" s="1" t="str">
        <f>VLOOKUP(G223,'languoid 4.0'!$A$1:$I$24439,2,FALSE)</f>
        <v>atla1278</v>
      </c>
      <c r="I223" s="1" t="str">
        <f>VLOOKUP(G223,'languoid 4.0'!$A$1:$I$24439,6,FALSE)</f>
        <v>language</v>
      </c>
      <c r="J223" s="15" t="s">
        <v>38</v>
      </c>
      <c r="K223" s="15" t="s">
        <v>38</v>
      </c>
      <c r="L223" s="15" t="s">
        <v>38</v>
      </c>
      <c r="M223" s="1"/>
      <c r="N223" s="1" t="s">
        <v>6031</v>
      </c>
      <c r="O223" s="15" t="s">
        <v>40</v>
      </c>
      <c r="P223" s="15" t="s">
        <v>41</v>
      </c>
      <c r="Q223" s="1" t="s">
        <v>79</v>
      </c>
      <c r="R223" s="2" t="s">
        <v>6032</v>
      </c>
      <c r="S223" s="1" t="s">
        <v>46</v>
      </c>
      <c r="T223" s="1" t="s">
        <v>635</v>
      </c>
      <c r="U223" s="1" t="s">
        <v>636</v>
      </c>
      <c r="V223" s="1" t="s">
        <v>45</v>
      </c>
      <c r="W223" s="1"/>
      <c r="X223" s="1"/>
      <c r="Y223" s="1"/>
      <c r="Z223" s="1" t="s">
        <v>637</v>
      </c>
      <c r="AA223" s="1" t="s">
        <v>6033</v>
      </c>
      <c r="AB223" s="1" t="s">
        <v>6034</v>
      </c>
      <c r="AC223" s="1" t="s">
        <v>46</v>
      </c>
      <c r="AD223" s="1"/>
      <c r="AE223" s="1" t="s">
        <v>641</v>
      </c>
      <c r="AF223" s="1" t="s">
        <v>190</v>
      </c>
      <c r="AG223" s="1">
        <v>6</v>
      </c>
      <c r="AH223" s="1" t="s">
        <v>190</v>
      </c>
      <c r="AI223" s="1"/>
      <c r="AJ223" s="3">
        <v>43107.494328703702</v>
      </c>
      <c r="AK223" s="1" t="s">
        <v>5542</v>
      </c>
    </row>
    <row r="224" spans="1:37">
      <c r="A224" s="1" t="str">
        <f>VLOOKUP(H224,Languages!$A$2:$B$430,2,FALSE)</f>
        <v>Atlantic-Congo</v>
      </c>
      <c r="B224" s="1" t="s">
        <v>59</v>
      </c>
      <c r="C224" s="1" t="s">
        <v>48</v>
      </c>
      <c r="D224" s="1" t="s">
        <v>8128</v>
      </c>
      <c r="E224" s="15" t="s">
        <v>8097</v>
      </c>
      <c r="F224" s="15" t="s">
        <v>51</v>
      </c>
      <c r="G224" s="1" t="s">
        <v>8097</v>
      </c>
      <c r="H224" s="1" t="str">
        <f>VLOOKUP(G224,'languoid 4.0'!$A$1:$I$24439,2,FALSE)</f>
        <v>atla1278</v>
      </c>
      <c r="I224" s="1" t="str">
        <f>VLOOKUP(G224,'languoid 4.0'!$A$1:$I$24439,6,FALSE)</f>
        <v>language</v>
      </c>
      <c r="J224" s="15" t="s">
        <v>52</v>
      </c>
      <c r="K224" s="15" t="s">
        <v>51</v>
      </c>
      <c r="L224" s="15" t="s">
        <v>51</v>
      </c>
      <c r="M224" s="1"/>
      <c r="N224" s="1" t="s">
        <v>8098</v>
      </c>
      <c r="O224" s="15" t="s">
        <v>40</v>
      </c>
      <c r="P224" s="15" t="s">
        <v>632</v>
      </c>
      <c r="Q224" s="1" t="s">
        <v>8129</v>
      </c>
      <c r="R224" s="2" t="s">
        <v>8130</v>
      </c>
      <c r="S224" s="1" t="s">
        <v>399</v>
      </c>
      <c r="T224" s="1" t="s">
        <v>1689</v>
      </c>
      <c r="U224" s="1" t="s">
        <v>636</v>
      </c>
      <c r="V224" s="1" t="s">
        <v>45</v>
      </c>
      <c r="W224" s="1"/>
      <c r="X224" s="1"/>
      <c r="Y224" s="1"/>
      <c r="Z224" s="1" t="s">
        <v>658</v>
      </c>
      <c r="AA224" s="1" t="s">
        <v>8131</v>
      </c>
      <c r="AB224" s="1" t="s">
        <v>46</v>
      </c>
      <c r="AC224" s="1" t="s">
        <v>46</v>
      </c>
      <c r="AD224" s="1"/>
      <c r="AE224" s="1" t="s">
        <v>641</v>
      </c>
      <c r="AF224" s="1" t="s">
        <v>190</v>
      </c>
      <c r="AG224" s="1">
        <v>4</v>
      </c>
      <c r="AH224" s="1" t="s">
        <v>190</v>
      </c>
      <c r="AI224" s="1"/>
      <c r="AJ224" s="1" t="s">
        <v>8132</v>
      </c>
      <c r="AK224" s="1" t="s">
        <v>5542</v>
      </c>
    </row>
    <row r="225" spans="1:37">
      <c r="A225" s="1" t="str">
        <f>VLOOKUP(H225,Languages!$A$2:$B$430,2,FALSE)</f>
        <v>Atlantic-Congo</v>
      </c>
      <c r="B225" s="1" t="s">
        <v>59</v>
      </c>
      <c r="C225" s="1" t="s">
        <v>214</v>
      </c>
      <c r="D225" s="1" t="s">
        <v>472</v>
      </c>
      <c r="E225" s="15" t="s">
        <v>473</v>
      </c>
      <c r="F225" s="15" t="s">
        <v>473</v>
      </c>
      <c r="G225" s="1" t="s">
        <v>473</v>
      </c>
      <c r="H225" s="1" t="str">
        <f>VLOOKUP(G225,'languoid 4.0'!$A$1:$I$24439,2,FALSE)</f>
        <v>atla1278</v>
      </c>
      <c r="I225" s="1" t="str">
        <f>VLOOKUP(G225,'languoid 4.0'!$A$1:$I$24439,6,FALSE)</f>
        <v>language</v>
      </c>
      <c r="J225" s="15" t="s">
        <v>38</v>
      </c>
      <c r="K225" s="15" t="s">
        <v>38</v>
      </c>
      <c r="L225" s="15" t="s">
        <v>38</v>
      </c>
      <c r="M225" s="1"/>
      <c r="N225" s="1" t="s">
        <v>474</v>
      </c>
      <c r="O225" s="15" t="s">
        <v>40</v>
      </c>
      <c r="P225" s="15" t="s">
        <v>41</v>
      </c>
      <c r="Q225" s="1" t="s">
        <v>475</v>
      </c>
      <c r="R225" s="2" t="s">
        <v>476</v>
      </c>
      <c r="S225" s="1" t="s">
        <v>130</v>
      </c>
      <c r="T225" s="1" t="s">
        <v>44</v>
      </c>
      <c r="U225" s="1"/>
      <c r="V225" s="1" t="s">
        <v>45</v>
      </c>
      <c r="W225" s="1"/>
      <c r="X225" s="1"/>
      <c r="Y225" s="1"/>
      <c r="Z225" s="1"/>
      <c r="AA225" s="1">
        <v>10</v>
      </c>
      <c r="AB225" s="1">
        <v>10</v>
      </c>
      <c r="AC225" s="1" t="s">
        <v>46</v>
      </c>
      <c r="AD225" s="1"/>
      <c r="AE225" s="1"/>
      <c r="AF225" s="1"/>
      <c r="AG225" s="1"/>
      <c r="AH225" s="1"/>
      <c r="AI225" s="1"/>
      <c r="AJ225" s="3">
        <v>43102.750763888886</v>
      </c>
      <c r="AK225" s="1" t="s">
        <v>74</v>
      </c>
    </row>
    <row r="226" spans="1:37">
      <c r="A226" s="1" t="str">
        <f>VLOOKUP(H226,Languages!$A$2:$B$430,2,FALSE)</f>
        <v>Atlantic-Congo</v>
      </c>
      <c r="B226" s="1" t="s">
        <v>59</v>
      </c>
      <c r="C226" s="1" t="s">
        <v>255</v>
      </c>
      <c r="D226" s="1" t="s">
        <v>580</v>
      </c>
      <c r="E226" s="15" t="s">
        <v>581</v>
      </c>
      <c r="F226" s="15" t="s">
        <v>581</v>
      </c>
      <c r="G226" s="1" t="s">
        <v>581</v>
      </c>
      <c r="H226" s="1" t="str">
        <f>VLOOKUP(G226,'languoid 4.0'!$A$1:$I$24439,2,FALSE)</f>
        <v>atla1278</v>
      </c>
      <c r="I226" s="1" t="str">
        <f>VLOOKUP(G226,'languoid 4.0'!$A$1:$I$24439,6,FALSE)</f>
        <v>language</v>
      </c>
      <c r="J226" s="15" t="s">
        <v>38</v>
      </c>
      <c r="K226" s="15" t="s">
        <v>38</v>
      </c>
      <c r="L226" s="15" t="s">
        <v>38</v>
      </c>
      <c r="M226" s="1"/>
      <c r="N226" s="1" t="s">
        <v>582</v>
      </c>
      <c r="O226" s="15" t="s">
        <v>40</v>
      </c>
      <c r="P226" s="15" t="s">
        <v>41</v>
      </c>
      <c r="Q226" s="1" t="s">
        <v>583</v>
      </c>
      <c r="R226" s="2" t="s">
        <v>584</v>
      </c>
      <c r="S226" s="1" t="s">
        <v>585</v>
      </c>
      <c r="T226" s="1" t="s">
        <v>44</v>
      </c>
      <c r="U226" s="1"/>
      <c r="V226" s="1" t="s">
        <v>45</v>
      </c>
      <c r="W226" s="1"/>
      <c r="X226" s="1"/>
      <c r="Y226" s="1"/>
      <c r="Z226" s="1"/>
      <c r="AA226" s="1">
        <v>4</v>
      </c>
      <c r="AB226" s="1">
        <v>4</v>
      </c>
      <c r="AC226" s="1">
        <v>4</v>
      </c>
      <c r="AD226" s="1"/>
      <c r="AE226" s="1"/>
      <c r="AF226" s="1"/>
      <c r="AG226" s="1"/>
      <c r="AH226" s="1"/>
      <c r="AI226" s="1"/>
      <c r="AJ226" s="3">
        <v>43102.759525462963</v>
      </c>
      <c r="AK226" s="1" t="s">
        <v>74</v>
      </c>
    </row>
    <row r="227" spans="1:37">
      <c r="A227" s="1" t="str">
        <f>VLOOKUP(H227,Languages!$A$2:$B$430,2,FALSE)</f>
        <v>Atlantic-Congo</v>
      </c>
      <c r="B227" s="1" t="s">
        <v>59</v>
      </c>
      <c r="C227" s="1" t="s">
        <v>255</v>
      </c>
      <c r="D227" s="1" t="s">
        <v>4032</v>
      </c>
      <c r="E227" s="15" t="s">
        <v>4033</v>
      </c>
      <c r="F227" s="15" t="s">
        <v>4033</v>
      </c>
      <c r="G227" s="1" t="s">
        <v>4033</v>
      </c>
      <c r="H227" s="1" t="str">
        <f>VLOOKUP(G227,'languoid 4.0'!$A$1:$I$24439,2,FALSE)</f>
        <v>atla1278</v>
      </c>
      <c r="I227" s="1" t="str">
        <f>VLOOKUP(G227,'languoid 4.0'!$A$1:$I$24439,6,FALSE)</f>
        <v>language</v>
      </c>
      <c r="J227" s="15" t="s">
        <v>38</v>
      </c>
      <c r="K227" s="15" t="s">
        <v>38</v>
      </c>
      <c r="L227" s="15" t="s">
        <v>38</v>
      </c>
      <c r="M227" s="1"/>
      <c r="N227" s="1" t="s">
        <v>4034</v>
      </c>
      <c r="O227" s="15" t="s">
        <v>40</v>
      </c>
      <c r="P227" s="15" t="s">
        <v>41</v>
      </c>
      <c r="Q227" s="1" t="s">
        <v>4035</v>
      </c>
      <c r="R227" s="2" t="s">
        <v>4036</v>
      </c>
      <c r="S227" s="1" t="s">
        <v>46</v>
      </c>
      <c r="T227" s="1" t="s">
        <v>3824</v>
      </c>
      <c r="U227" s="1" t="s">
        <v>636</v>
      </c>
      <c r="V227" s="1" t="s">
        <v>45</v>
      </c>
      <c r="W227" s="1"/>
      <c r="X227" s="1"/>
      <c r="Y227" s="1"/>
      <c r="Z227" s="1" t="s">
        <v>658</v>
      </c>
      <c r="AA227" s="1" t="s">
        <v>4037</v>
      </c>
      <c r="AB227" s="1" t="s">
        <v>4038</v>
      </c>
      <c r="AC227" s="1" t="s">
        <v>46</v>
      </c>
      <c r="AD227" s="1"/>
      <c r="AE227" s="1" t="s">
        <v>641</v>
      </c>
      <c r="AF227" s="1" t="s">
        <v>190</v>
      </c>
      <c r="AG227" s="1">
        <v>6</v>
      </c>
      <c r="AH227" s="1" t="s">
        <v>190</v>
      </c>
      <c r="AI227" s="1"/>
      <c r="AJ227" s="1" t="s">
        <v>4039</v>
      </c>
      <c r="AK227" s="1" t="s">
        <v>1749</v>
      </c>
    </row>
    <row r="228" spans="1:37">
      <c r="A228" s="1" t="str">
        <f>VLOOKUP(H228,Languages!$A$2:$B$430,2,FALSE)</f>
        <v>Atlantic-Congo</v>
      </c>
      <c r="B228" s="1" t="s">
        <v>59</v>
      </c>
      <c r="C228" s="1" t="s">
        <v>132</v>
      </c>
      <c r="D228" s="1" t="s">
        <v>262</v>
      </c>
      <c r="E228" s="15" t="s">
        <v>50</v>
      </c>
      <c r="F228" s="15" t="s">
        <v>50</v>
      </c>
      <c r="G228" s="1" t="s">
        <v>50</v>
      </c>
      <c r="H228" s="1" t="str">
        <f>VLOOKUP(G228,'languoid 4.0'!$A$1:$I$24439,2,FALSE)</f>
        <v>atla1278</v>
      </c>
      <c r="I228" s="1" t="str">
        <f>VLOOKUP(G228,'languoid 4.0'!$A$1:$I$24439,6,FALSE)</f>
        <v>language</v>
      </c>
      <c r="J228" s="15" t="s">
        <v>38</v>
      </c>
      <c r="K228" s="15" t="s">
        <v>38</v>
      </c>
      <c r="L228" s="15" t="s">
        <v>38</v>
      </c>
      <c r="M228" s="1"/>
      <c r="N228" s="1" t="s">
        <v>53</v>
      </c>
      <c r="O228" s="15" t="s">
        <v>40</v>
      </c>
      <c r="P228" s="15" t="s">
        <v>41</v>
      </c>
      <c r="Q228" s="1" t="s">
        <v>263</v>
      </c>
      <c r="R228" s="2" t="s">
        <v>264</v>
      </c>
      <c r="S228" s="1" t="s">
        <v>265</v>
      </c>
      <c r="T228" s="1" t="s">
        <v>44</v>
      </c>
      <c r="U228" s="1"/>
      <c r="V228" s="1" t="s">
        <v>45</v>
      </c>
      <c r="W228" s="1"/>
      <c r="X228" s="1"/>
      <c r="Y228" s="1"/>
      <c r="Z228" s="1"/>
      <c r="AA228" s="1">
        <v>1</v>
      </c>
      <c r="AB228" s="1" t="s">
        <v>266</v>
      </c>
      <c r="AC228" s="1" t="s">
        <v>46</v>
      </c>
      <c r="AD228" s="1"/>
      <c r="AE228" s="1"/>
      <c r="AF228" s="1"/>
      <c r="AG228" s="1"/>
      <c r="AH228" s="1"/>
      <c r="AI228" s="1"/>
      <c r="AJ228" s="3">
        <v>43102.73841435185</v>
      </c>
      <c r="AK228" s="1" t="s">
        <v>47</v>
      </c>
    </row>
    <row r="229" spans="1:37">
      <c r="A229" s="1" t="str">
        <f>VLOOKUP(H229,Languages!$A$2:$B$430,2,FALSE)</f>
        <v>Atlantic-Congo</v>
      </c>
      <c r="B229" s="1" t="s">
        <v>109</v>
      </c>
      <c r="C229" s="1" t="s">
        <v>48</v>
      </c>
      <c r="D229" s="1" t="s">
        <v>166</v>
      </c>
      <c r="E229" s="15" t="s">
        <v>167</v>
      </c>
      <c r="F229" s="15" t="s">
        <v>167</v>
      </c>
      <c r="G229" s="1" t="s">
        <v>167</v>
      </c>
      <c r="H229" s="1" t="str">
        <f>VLOOKUP(G229,'languoid 4.0'!$A$1:$I$24439,2,FALSE)</f>
        <v>atla1278</v>
      </c>
      <c r="I229" s="1" t="str">
        <f>VLOOKUP(G229,'languoid 4.0'!$A$1:$I$24439,6,FALSE)</f>
        <v>language</v>
      </c>
      <c r="J229" s="15" t="s">
        <v>38</v>
      </c>
      <c r="K229" s="15" t="s">
        <v>38</v>
      </c>
      <c r="L229" s="15" t="s">
        <v>38</v>
      </c>
      <c r="M229" s="1"/>
      <c r="N229" s="1" t="s">
        <v>168</v>
      </c>
      <c r="O229" s="15" t="s">
        <v>40</v>
      </c>
      <c r="P229" s="15" t="s">
        <v>41</v>
      </c>
      <c r="Q229" s="1" t="s">
        <v>169</v>
      </c>
      <c r="R229" s="2" t="s">
        <v>170</v>
      </c>
      <c r="S229" s="1" t="s">
        <v>171</v>
      </c>
      <c r="T229" s="1" t="s">
        <v>44</v>
      </c>
      <c r="U229" s="1"/>
      <c r="V229" s="1" t="s">
        <v>45</v>
      </c>
      <c r="W229" s="1"/>
      <c r="X229" s="1"/>
      <c r="Y229" s="1"/>
      <c r="Z229" s="1"/>
      <c r="AA229" s="1">
        <v>6</v>
      </c>
      <c r="AB229" s="1">
        <v>6</v>
      </c>
      <c r="AC229" s="1">
        <v>6</v>
      </c>
      <c r="AD229" s="1"/>
      <c r="AE229" s="1"/>
      <c r="AF229" s="1"/>
      <c r="AG229" s="1"/>
      <c r="AH229" s="1"/>
      <c r="AI229" s="1"/>
      <c r="AJ229" s="3">
        <v>43102.733182870368</v>
      </c>
      <c r="AK229" s="1" t="s">
        <v>172</v>
      </c>
    </row>
    <row r="230" spans="1:37">
      <c r="A230" s="1" t="str">
        <f>VLOOKUP(H230,Languages!$A$2:$B$430,2,FALSE)</f>
        <v>Atlantic-Congo</v>
      </c>
      <c r="B230" s="1" t="s">
        <v>109</v>
      </c>
      <c r="C230" s="1" t="s">
        <v>48</v>
      </c>
      <c r="D230" s="1" t="s">
        <v>8424</v>
      </c>
      <c r="E230" s="15" t="s">
        <v>8425</v>
      </c>
      <c r="F230" s="15" t="s">
        <v>8425</v>
      </c>
      <c r="G230" s="1" t="s">
        <v>8425</v>
      </c>
      <c r="H230" s="1" t="str">
        <f>VLOOKUP(G230,'languoid 4.0'!$A$1:$I$24439,2,FALSE)</f>
        <v>atla1278</v>
      </c>
      <c r="I230" s="1" t="str">
        <f>VLOOKUP(G230,'languoid 4.0'!$A$1:$I$24439,6,FALSE)</f>
        <v>language</v>
      </c>
      <c r="J230" s="15" t="s">
        <v>38</v>
      </c>
      <c r="K230" s="15" t="s">
        <v>38</v>
      </c>
      <c r="L230" s="15" t="s">
        <v>38</v>
      </c>
      <c r="M230" s="1"/>
      <c r="N230" s="1" t="s">
        <v>8426</v>
      </c>
      <c r="O230" s="15" t="s">
        <v>40</v>
      </c>
      <c r="P230" s="15" t="s">
        <v>41</v>
      </c>
      <c r="Q230" s="1" t="s">
        <v>8427</v>
      </c>
      <c r="R230" s="2" t="s">
        <v>8428</v>
      </c>
      <c r="S230" s="1" t="s">
        <v>56</v>
      </c>
      <c r="T230" s="1" t="s">
        <v>1689</v>
      </c>
      <c r="U230" s="1" t="s">
        <v>636</v>
      </c>
      <c r="V230" s="1" t="s">
        <v>45</v>
      </c>
      <c r="W230" s="1"/>
      <c r="X230" s="1"/>
      <c r="Y230" s="1"/>
      <c r="Z230" s="1" t="s">
        <v>658</v>
      </c>
      <c r="AA230" s="1" t="s">
        <v>8429</v>
      </c>
      <c r="AB230" s="1" t="s">
        <v>46</v>
      </c>
      <c r="AC230" s="1" t="s">
        <v>46</v>
      </c>
      <c r="AD230" s="1"/>
      <c r="AE230" s="1" t="s">
        <v>641</v>
      </c>
      <c r="AF230" s="1" t="s">
        <v>190</v>
      </c>
      <c r="AG230" s="1">
        <v>4</v>
      </c>
      <c r="AH230" s="1" t="s">
        <v>190</v>
      </c>
      <c r="AI230" s="1"/>
      <c r="AJ230" s="1" t="s">
        <v>8430</v>
      </c>
      <c r="AK230" s="1" t="s">
        <v>5542</v>
      </c>
    </row>
    <row r="231" spans="1:37">
      <c r="A231" s="1" t="str">
        <f>VLOOKUP(H231,Languages!$A$2:$B$430,2,FALSE)</f>
        <v>Atlantic-Congo</v>
      </c>
      <c r="B231" s="1" t="s">
        <v>109</v>
      </c>
      <c r="C231" s="1" t="s">
        <v>214</v>
      </c>
      <c r="D231" s="1" t="s">
        <v>805</v>
      </c>
      <c r="E231" s="15" t="s">
        <v>51</v>
      </c>
      <c r="F231" s="15" t="s">
        <v>806</v>
      </c>
      <c r="G231" s="1" t="s">
        <v>806</v>
      </c>
      <c r="H231" s="1" t="str">
        <f>VLOOKUP(G231,'languoid 4.0'!$A$1:$I$24439,2,FALSE)</f>
        <v>atla1278</v>
      </c>
      <c r="I231" s="1" t="str">
        <f>VLOOKUP(G231,'languoid 4.0'!$A$1:$I$24439,6,FALSE)</f>
        <v>language</v>
      </c>
      <c r="J231" s="15" t="s">
        <v>52</v>
      </c>
      <c r="K231" s="15" t="s">
        <v>51</v>
      </c>
      <c r="L231" s="15" t="s">
        <v>51</v>
      </c>
      <c r="M231" s="1"/>
      <c r="N231" s="1" t="e">
        <v>#N/A</v>
      </c>
      <c r="O231" s="15" t="s">
        <v>690</v>
      </c>
      <c r="P231" s="15"/>
      <c r="Q231" s="1" t="s">
        <v>748</v>
      </c>
      <c r="R231" s="2" t="s">
        <v>1044</v>
      </c>
      <c r="S231" s="1" t="s">
        <v>46</v>
      </c>
      <c r="T231" s="1" t="s">
        <v>1045</v>
      </c>
      <c r="U231" s="1" t="s">
        <v>1046</v>
      </c>
      <c r="V231" s="1" t="s">
        <v>45</v>
      </c>
      <c r="W231" s="1"/>
      <c r="X231" s="1"/>
      <c r="Y231" s="1"/>
      <c r="Z231" s="1" t="s">
        <v>658</v>
      </c>
      <c r="AA231" s="1" t="s">
        <v>1047</v>
      </c>
      <c r="AB231" s="1" t="s">
        <v>46</v>
      </c>
      <c r="AC231" s="1" t="s">
        <v>46</v>
      </c>
      <c r="AD231" s="1" t="s">
        <v>1048</v>
      </c>
      <c r="AE231" s="1" t="s">
        <v>641</v>
      </c>
      <c r="AF231" s="1" t="s">
        <v>190</v>
      </c>
      <c r="AG231" s="1">
        <v>4</v>
      </c>
      <c r="AH231" s="1" t="s">
        <v>190</v>
      </c>
      <c r="AI231" s="1"/>
      <c r="AJ231" s="1" t="s">
        <v>1049</v>
      </c>
      <c r="AK231" s="1" t="s">
        <v>740</v>
      </c>
    </row>
    <row r="232" spans="1:37">
      <c r="A232" s="1" t="str">
        <f>VLOOKUP(H232,Languages!$A$2:$B$430,2,FALSE)</f>
        <v>Atlantic-Congo</v>
      </c>
      <c r="B232" s="1" t="s">
        <v>109</v>
      </c>
      <c r="C232" s="1" t="s">
        <v>255</v>
      </c>
      <c r="D232" s="1" t="s">
        <v>256</v>
      </c>
      <c r="E232" s="15" t="s">
        <v>257</v>
      </c>
      <c r="F232" s="15" t="s">
        <v>180</v>
      </c>
      <c r="G232" s="1" t="s">
        <v>257</v>
      </c>
      <c r="H232" s="1" t="str">
        <f>VLOOKUP(G232,'languoid 4.0'!$A$1:$I$24439,2,FALSE)</f>
        <v>atla1278</v>
      </c>
      <c r="I232" s="1" t="str">
        <f>VLOOKUP(G232,'languoid 4.0'!$A$1:$I$24439,6,FALSE)</f>
        <v>language</v>
      </c>
      <c r="J232" s="15" t="s">
        <v>52</v>
      </c>
      <c r="K232" s="15" t="s">
        <v>52</v>
      </c>
      <c r="L232" s="15" t="s">
        <v>52</v>
      </c>
      <c r="M232" s="1"/>
      <c r="N232" s="1" t="s">
        <v>258</v>
      </c>
      <c r="O232" s="15" t="s">
        <v>40</v>
      </c>
      <c r="P232" s="15" t="s">
        <v>41</v>
      </c>
      <c r="Q232" s="1" t="s">
        <v>259</v>
      </c>
      <c r="R232" s="2" t="s">
        <v>260</v>
      </c>
      <c r="S232" s="1" t="s">
        <v>261</v>
      </c>
      <c r="T232" s="1" t="s">
        <v>44</v>
      </c>
      <c r="U232" s="1"/>
      <c r="V232" s="1" t="s">
        <v>45</v>
      </c>
      <c r="W232" s="1"/>
      <c r="X232" s="1"/>
      <c r="Y232" s="1"/>
      <c r="Z232" s="1"/>
      <c r="AA232" s="1">
        <v>4</v>
      </c>
      <c r="AB232" s="1">
        <v>4</v>
      </c>
      <c r="AC232" s="1">
        <v>4</v>
      </c>
      <c r="AD232" s="1"/>
      <c r="AE232" s="1"/>
      <c r="AF232" s="1"/>
      <c r="AG232" s="1"/>
      <c r="AH232" s="1"/>
      <c r="AI232" s="1"/>
      <c r="AJ232" s="3">
        <v>43102.737939814811</v>
      </c>
      <c r="AK232" s="1" t="s">
        <v>172</v>
      </c>
    </row>
    <row r="233" spans="1:37">
      <c r="A233" s="1" t="str">
        <f>VLOOKUP(H233,Languages!$A$2:$B$430,2,FALSE)</f>
        <v>Atlantic-Congo</v>
      </c>
      <c r="B233" s="1" t="s">
        <v>109</v>
      </c>
      <c r="C233" s="1" t="s">
        <v>255</v>
      </c>
      <c r="D233" s="1" t="s">
        <v>1916</v>
      </c>
      <c r="E233" s="15" t="s">
        <v>1905</v>
      </c>
      <c r="F233" s="15" t="s">
        <v>1906</v>
      </c>
      <c r="G233" s="1" t="s">
        <v>1906</v>
      </c>
      <c r="H233" s="1" t="str">
        <f>VLOOKUP(G233,'languoid 4.0'!$A$1:$I$24439,2,FALSE)</f>
        <v>atla1278</v>
      </c>
      <c r="I233" s="1" t="str">
        <f>VLOOKUP(G233,'languoid 4.0'!$A$1:$I$24439,6,FALSE)</f>
        <v>language</v>
      </c>
      <c r="J233" s="15" t="s">
        <v>52</v>
      </c>
      <c r="K233" s="15" t="s">
        <v>38</v>
      </c>
      <c r="L233" s="15" t="s">
        <v>38</v>
      </c>
      <c r="M233" s="1"/>
      <c r="N233" s="1"/>
      <c r="O233" s="15" t="s">
        <v>40</v>
      </c>
      <c r="P233" s="15" t="s">
        <v>41</v>
      </c>
      <c r="Q233" s="1" t="s">
        <v>3687</v>
      </c>
      <c r="R233" s="2" t="s">
        <v>3688</v>
      </c>
      <c r="S233" s="1" t="s">
        <v>46</v>
      </c>
      <c r="T233" s="1" t="s">
        <v>3689</v>
      </c>
      <c r="U233" s="1" t="s">
        <v>636</v>
      </c>
      <c r="V233" s="1" t="s">
        <v>45</v>
      </c>
      <c r="W233" s="1"/>
      <c r="X233" s="1"/>
      <c r="Y233" s="1"/>
      <c r="Z233" s="1" t="s">
        <v>658</v>
      </c>
      <c r="AA233" s="1" t="s">
        <v>3690</v>
      </c>
      <c r="AB233" s="1" t="s">
        <v>3691</v>
      </c>
      <c r="AC233" s="1" t="s">
        <v>46</v>
      </c>
      <c r="AD233" s="1"/>
      <c r="AE233" s="1" t="s">
        <v>641</v>
      </c>
      <c r="AF233" s="1" t="s">
        <v>190</v>
      </c>
      <c r="AG233" s="1">
        <v>6</v>
      </c>
      <c r="AH233" s="1" t="s">
        <v>190</v>
      </c>
      <c r="AI233" s="1"/>
      <c r="AJ233" s="3">
        <v>43286.715162037035</v>
      </c>
      <c r="AK233" s="1" t="s">
        <v>1749</v>
      </c>
    </row>
    <row r="234" spans="1:37">
      <c r="A234" s="1" t="str">
        <f>VLOOKUP(H234,Languages!$A$2:$B$430,2,FALSE)</f>
        <v>Atlantic-Congo</v>
      </c>
      <c r="B234" s="1" t="s">
        <v>109</v>
      </c>
      <c r="C234" s="1" t="s">
        <v>255</v>
      </c>
      <c r="D234" s="1" t="s">
        <v>3600</v>
      </c>
      <c r="E234" s="15" t="s">
        <v>3601</v>
      </c>
      <c r="F234" s="15" t="s">
        <v>3601</v>
      </c>
      <c r="G234" s="1" t="s">
        <v>3602</v>
      </c>
      <c r="H234" s="1" t="str">
        <f>VLOOKUP(G234,'languoid 4.0'!$A$1:$I$24439,2,FALSE)</f>
        <v>atla1278</v>
      </c>
      <c r="I234" s="1" t="str">
        <f>VLOOKUP(G234,'languoid 4.0'!$A$1:$I$24439,6,FALSE)</f>
        <v>dialect</v>
      </c>
      <c r="J234" s="15" t="s">
        <v>38</v>
      </c>
      <c r="K234" s="15" t="s">
        <v>38</v>
      </c>
      <c r="L234" s="15" t="s">
        <v>38</v>
      </c>
      <c r="M234" s="1"/>
      <c r="N234" s="1" t="s">
        <v>3603</v>
      </c>
      <c r="O234" s="15" t="s">
        <v>40</v>
      </c>
      <c r="P234" s="15" t="s">
        <v>41</v>
      </c>
      <c r="Q234" s="1" t="s">
        <v>3692</v>
      </c>
      <c r="R234" s="2" t="s">
        <v>3693</v>
      </c>
      <c r="S234" s="1" t="s">
        <v>46</v>
      </c>
      <c r="T234" s="1" t="s">
        <v>3689</v>
      </c>
      <c r="U234" s="1" t="s">
        <v>636</v>
      </c>
      <c r="V234" s="1" t="s">
        <v>45</v>
      </c>
      <c r="W234" s="1"/>
      <c r="X234" s="1"/>
      <c r="Y234" s="1"/>
      <c r="Z234" s="1" t="s">
        <v>658</v>
      </c>
      <c r="AA234" s="1" t="s">
        <v>3694</v>
      </c>
      <c r="AB234" s="1" t="s">
        <v>3695</v>
      </c>
      <c r="AC234" s="1" t="s">
        <v>46</v>
      </c>
      <c r="AD234" s="1"/>
      <c r="AE234" s="1" t="s">
        <v>641</v>
      </c>
      <c r="AF234" s="1" t="s">
        <v>190</v>
      </c>
      <c r="AG234" s="1">
        <v>6</v>
      </c>
      <c r="AH234" s="1" t="s">
        <v>190</v>
      </c>
      <c r="AI234" s="1" t="s">
        <v>3696</v>
      </c>
      <c r="AJ234" s="3">
        <v>43286.725243055553</v>
      </c>
      <c r="AK234" s="1" t="s">
        <v>1749</v>
      </c>
    </row>
    <row r="235" spans="1:37">
      <c r="A235" s="1" t="str">
        <f>VLOOKUP(H235,Languages!$A$2:$B$430,2,FALSE)</f>
        <v>Atlantic-Congo</v>
      </c>
      <c r="B235" s="1" t="s">
        <v>109</v>
      </c>
      <c r="C235" s="1" t="s">
        <v>255</v>
      </c>
      <c r="D235" s="1" t="s">
        <v>3819</v>
      </c>
      <c r="E235" s="15" t="s">
        <v>3820</v>
      </c>
      <c r="F235" s="15" t="s">
        <v>51</v>
      </c>
      <c r="G235" s="1" t="s">
        <v>3820</v>
      </c>
      <c r="H235" s="1" t="str">
        <f>VLOOKUP(G235,'languoid 4.0'!$A$1:$I$24439,2,FALSE)</f>
        <v>atla1278</v>
      </c>
      <c r="I235" s="1" t="str">
        <f>VLOOKUP(G235,'languoid 4.0'!$A$1:$I$24439,6,FALSE)</f>
        <v>language</v>
      </c>
      <c r="J235" s="15" t="s">
        <v>52</v>
      </c>
      <c r="K235" s="15" t="s">
        <v>51</v>
      </c>
      <c r="L235" s="15" t="s">
        <v>51</v>
      </c>
      <c r="M235" s="1"/>
      <c r="N235" s="1" t="s">
        <v>3821</v>
      </c>
      <c r="O235" s="15" t="s">
        <v>40</v>
      </c>
      <c r="P235" s="15" t="s">
        <v>41</v>
      </c>
      <c r="Q235" s="1" t="s">
        <v>3822</v>
      </c>
      <c r="R235" s="2" t="s">
        <v>3823</v>
      </c>
      <c r="S235" s="1" t="s">
        <v>46</v>
      </c>
      <c r="T235" s="1" t="s">
        <v>3824</v>
      </c>
      <c r="U235" s="1" t="s">
        <v>636</v>
      </c>
      <c r="V235" s="1" t="s">
        <v>45</v>
      </c>
      <c r="W235" s="1"/>
      <c r="X235" s="1"/>
      <c r="Y235" s="1"/>
      <c r="Z235" s="1" t="s">
        <v>658</v>
      </c>
      <c r="AA235" s="1" t="s">
        <v>3825</v>
      </c>
      <c r="AB235" s="1" t="s">
        <v>46</v>
      </c>
      <c r="AC235" s="1" t="s">
        <v>46</v>
      </c>
      <c r="AD235" s="1"/>
      <c r="AE235" s="1" t="s">
        <v>641</v>
      </c>
      <c r="AF235" s="1" t="s">
        <v>190</v>
      </c>
      <c r="AG235" s="1">
        <v>6</v>
      </c>
      <c r="AH235" s="1" t="s">
        <v>190</v>
      </c>
      <c r="AI235" s="1"/>
      <c r="AJ235" s="1" t="s">
        <v>3826</v>
      </c>
      <c r="AK235" s="1" t="s">
        <v>1749</v>
      </c>
    </row>
    <row r="236" spans="1:37">
      <c r="A236" s="1" t="str">
        <f>VLOOKUP(H236,Languages!$A$2:$B$430,2,FALSE)</f>
        <v>Atlantic-Congo</v>
      </c>
      <c r="B236" s="1" t="s">
        <v>109</v>
      </c>
      <c r="C236" s="1" t="s">
        <v>255</v>
      </c>
      <c r="D236" s="1" t="s">
        <v>256</v>
      </c>
      <c r="E236" s="15" t="s">
        <v>257</v>
      </c>
      <c r="F236" s="15" t="s">
        <v>257</v>
      </c>
      <c r="G236" s="1" t="s">
        <v>257</v>
      </c>
      <c r="H236" s="1" t="str">
        <f>VLOOKUP(G236,'languoid 4.0'!$A$1:$I$24439,2,FALSE)</f>
        <v>atla1278</v>
      </c>
      <c r="I236" s="1" t="str">
        <f>VLOOKUP(G236,'languoid 4.0'!$A$1:$I$24439,6,FALSE)</f>
        <v>language</v>
      </c>
      <c r="J236" s="15" t="s">
        <v>38</v>
      </c>
      <c r="K236" s="15" t="s">
        <v>38</v>
      </c>
      <c r="L236" s="15" t="s">
        <v>38</v>
      </c>
      <c r="M236" s="1"/>
      <c r="N236" s="1" t="s">
        <v>258</v>
      </c>
      <c r="O236" s="15" t="s">
        <v>40</v>
      </c>
      <c r="P236" s="15" t="s">
        <v>41</v>
      </c>
      <c r="Q236" s="1" t="s">
        <v>4040</v>
      </c>
      <c r="R236" s="2" t="s">
        <v>4041</v>
      </c>
      <c r="S236" s="1" t="s">
        <v>46</v>
      </c>
      <c r="T236" s="1" t="s">
        <v>3824</v>
      </c>
      <c r="U236" s="1" t="s">
        <v>636</v>
      </c>
      <c r="V236" s="1" t="s">
        <v>45</v>
      </c>
      <c r="W236" s="1"/>
      <c r="X236" s="1"/>
      <c r="Y236" s="1"/>
      <c r="Z236" s="1" t="s">
        <v>658</v>
      </c>
      <c r="AA236" s="1" t="s">
        <v>4042</v>
      </c>
      <c r="AB236" s="1" t="s">
        <v>46</v>
      </c>
      <c r="AC236" s="1" t="s">
        <v>46</v>
      </c>
      <c r="AD236" s="1"/>
      <c r="AE236" s="1" t="s">
        <v>641</v>
      </c>
      <c r="AF236" s="1" t="s">
        <v>190</v>
      </c>
      <c r="AG236" s="1">
        <v>6</v>
      </c>
      <c r="AH236" s="1" t="s">
        <v>190</v>
      </c>
      <c r="AI236" s="1"/>
      <c r="AJ236" s="1" t="s">
        <v>4043</v>
      </c>
      <c r="AK236" s="1" t="s">
        <v>1749</v>
      </c>
    </row>
    <row r="237" spans="1:37">
      <c r="A237" s="1" t="str">
        <f>VLOOKUP(H237,Languages!$A$2:$B$430,2,FALSE)</f>
        <v>Atlantic-Congo</v>
      </c>
      <c r="B237" s="1" t="s">
        <v>109</v>
      </c>
      <c r="C237" s="1" t="s">
        <v>255</v>
      </c>
      <c r="D237" s="1" t="s">
        <v>256</v>
      </c>
      <c r="E237" s="15" t="s">
        <v>257</v>
      </c>
      <c r="F237" s="15" t="s">
        <v>257</v>
      </c>
      <c r="G237" s="1" t="s">
        <v>257</v>
      </c>
      <c r="H237" s="1" t="str">
        <f>VLOOKUP(G237,'languoid 4.0'!$A$1:$I$24439,2,FALSE)</f>
        <v>atla1278</v>
      </c>
      <c r="I237" s="1" t="str">
        <f>VLOOKUP(G237,'languoid 4.0'!$A$1:$I$24439,6,FALSE)</f>
        <v>language</v>
      </c>
      <c r="J237" s="15" t="s">
        <v>38</v>
      </c>
      <c r="K237" s="15" t="s">
        <v>38</v>
      </c>
      <c r="L237" s="15" t="s">
        <v>38</v>
      </c>
      <c r="M237" s="1"/>
      <c r="N237" s="1" t="s">
        <v>258</v>
      </c>
      <c r="O237" s="15" t="s">
        <v>40</v>
      </c>
      <c r="P237" s="15" t="s">
        <v>41</v>
      </c>
      <c r="Q237" s="1" t="s">
        <v>4044</v>
      </c>
      <c r="R237" s="2" t="s">
        <v>4045</v>
      </c>
      <c r="S237" s="1" t="s">
        <v>46</v>
      </c>
      <c r="T237" s="1" t="s">
        <v>3824</v>
      </c>
      <c r="U237" s="1" t="s">
        <v>636</v>
      </c>
      <c r="V237" s="1" t="s">
        <v>45</v>
      </c>
      <c r="W237" s="1"/>
      <c r="X237" s="1"/>
      <c r="Y237" s="1"/>
      <c r="Z237" s="1" t="s">
        <v>658</v>
      </c>
      <c r="AA237" s="1" t="s">
        <v>4046</v>
      </c>
      <c r="AB237" s="1" t="s">
        <v>46</v>
      </c>
      <c r="AC237" s="1" t="s">
        <v>46</v>
      </c>
      <c r="AD237" s="1"/>
      <c r="AE237" s="1" t="s">
        <v>641</v>
      </c>
      <c r="AF237" s="1" t="s">
        <v>190</v>
      </c>
      <c r="AG237" s="1">
        <v>6</v>
      </c>
      <c r="AH237" s="1" t="s">
        <v>190</v>
      </c>
      <c r="AI237" s="1"/>
      <c r="AJ237" s="1" t="s">
        <v>4047</v>
      </c>
      <c r="AK237" s="1" t="s">
        <v>1749</v>
      </c>
    </row>
    <row r="238" spans="1:37">
      <c r="A238" s="1" t="str">
        <f>VLOOKUP(H238,Languages!$A$2:$B$430,2,FALSE)</f>
        <v>Atlantic-Congo</v>
      </c>
      <c r="B238" s="1" t="s">
        <v>109</v>
      </c>
      <c r="C238" s="1" t="s">
        <v>255</v>
      </c>
      <c r="D238" s="1" t="s">
        <v>1916</v>
      </c>
      <c r="E238" s="15" t="s">
        <v>1905</v>
      </c>
      <c r="F238" s="15" t="s">
        <v>1906</v>
      </c>
      <c r="G238" s="1" t="s">
        <v>1906</v>
      </c>
      <c r="H238" s="1" t="str">
        <f>VLOOKUP(G238,'languoid 4.0'!$A$1:$I$24439,2,FALSE)</f>
        <v>atla1278</v>
      </c>
      <c r="I238" s="1" t="str">
        <f>VLOOKUP(G238,'languoid 4.0'!$A$1:$I$24439,6,FALSE)</f>
        <v>language</v>
      </c>
      <c r="J238" s="15" t="s">
        <v>52</v>
      </c>
      <c r="K238" s="15" t="s">
        <v>38</v>
      </c>
      <c r="L238" s="15" t="s">
        <v>38</v>
      </c>
      <c r="M238" s="1"/>
      <c r="N238" s="1"/>
      <c r="O238" s="15" t="s">
        <v>40</v>
      </c>
      <c r="P238" s="15" t="s">
        <v>41</v>
      </c>
      <c r="Q238" s="1" t="s">
        <v>4048</v>
      </c>
      <c r="R238" s="2" t="s">
        <v>4049</v>
      </c>
      <c r="S238" s="1" t="s">
        <v>46</v>
      </c>
      <c r="T238" s="1" t="s">
        <v>3824</v>
      </c>
      <c r="U238" s="1" t="s">
        <v>636</v>
      </c>
      <c r="V238" s="1" t="s">
        <v>45</v>
      </c>
      <c r="W238" s="1"/>
      <c r="X238" s="1"/>
      <c r="Y238" s="1"/>
      <c r="Z238" s="1" t="s">
        <v>658</v>
      </c>
      <c r="AA238" s="1" t="s">
        <v>4050</v>
      </c>
      <c r="AB238" s="1" t="s">
        <v>4051</v>
      </c>
      <c r="AC238" s="1" t="s">
        <v>46</v>
      </c>
      <c r="AD238" s="1"/>
      <c r="AE238" s="1" t="s">
        <v>641</v>
      </c>
      <c r="AF238" s="1" t="s">
        <v>190</v>
      </c>
      <c r="AG238" s="1">
        <v>6</v>
      </c>
      <c r="AH238" s="1" t="s">
        <v>190</v>
      </c>
      <c r="AI238" s="1"/>
      <c r="AJ238" s="1" t="s">
        <v>4052</v>
      </c>
      <c r="AK238" s="1" t="s">
        <v>1749</v>
      </c>
    </row>
    <row r="239" spans="1:37">
      <c r="A239" s="1" t="str">
        <f>VLOOKUP(H239,Languages!$A$2:$B$430,2,FALSE)</f>
        <v>Atlantic-Congo</v>
      </c>
      <c r="B239" s="1" t="s">
        <v>109</v>
      </c>
      <c r="C239" s="1" t="s">
        <v>255</v>
      </c>
      <c r="D239" s="1" t="s">
        <v>3997</v>
      </c>
      <c r="E239" s="15" t="s">
        <v>3998</v>
      </c>
      <c r="F239" s="15" t="s">
        <v>3999</v>
      </c>
      <c r="G239" s="1" t="s">
        <v>3999</v>
      </c>
      <c r="H239" s="1" t="str">
        <f>VLOOKUP(G239,'languoid 4.0'!$A$1:$I$24439,2,FALSE)</f>
        <v>atla1278</v>
      </c>
      <c r="I239" s="1" t="str">
        <f>VLOOKUP(G239,'languoid 4.0'!$A$1:$I$24439,6,FALSE)</f>
        <v>language</v>
      </c>
      <c r="J239" s="15" t="s">
        <v>52</v>
      </c>
      <c r="K239" s="15" t="s">
        <v>38</v>
      </c>
      <c r="L239" s="15" t="s">
        <v>38</v>
      </c>
      <c r="M239" s="1"/>
      <c r="N239" s="1"/>
      <c r="O239" s="15" t="s">
        <v>40</v>
      </c>
      <c r="P239" s="15" t="s">
        <v>41</v>
      </c>
      <c r="Q239" s="1" t="s">
        <v>4053</v>
      </c>
      <c r="R239" s="2" t="s">
        <v>4054</v>
      </c>
      <c r="S239" s="1" t="s">
        <v>46</v>
      </c>
      <c r="T239" s="1" t="s">
        <v>3824</v>
      </c>
      <c r="U239" s="1" t="s">
        <v>636</v>
      </c>
      <c r="V239" s="1" t="s">
        <v>45</v>
      </c>
      <c r="W239" s="1"/>
      <c r="X239" s="1"/>
      <c r="Y239" s="1"/>
      <c r="Z239" s="1" t="s">
        <v>658</v>
      </c>
      <c r="AA239" s="1" t="s">
        <v>4055</v>
      </c>
      <c r="AB239" s="1" t="s">
        <v>46</v>
      </c>
      <c r="AC239" s="1" t="s">
        <v>46</v>
      </c>
      <c r="AD239" s="1"/>
      <c r="AE239" s="1" t="s">
        <v>641</v>
      </c>
      <c r="AF239" s="1" t="s">
        <v>190</v>
      </c>
      <c r="AG239" s="1">
        <v>6</v>
      </c>
      <c r="AH239" s="1" t="s">
        <v>190</v>
      </c>
      <c r="AI239" s="1"/>
      <c r="AJ239" s="1" t="s">
        <v>4056</v>
      </c>
      <c r="AK239" s="1" t="s">
        <v>1749</v>
      </c>
    </row>
    <row r="240" spans="1:37">
      <c r="A240" s="1" t="str">
        <f>VLOOKUP(H240,Languages!$A$2:$B$430,2,FALSE)</f>
        <v>Atlantic-Congo</v>
      </c>
      <c r="B240" s="1" t="s">
        <v>109</v>
      </c>
      <c r="C240" s="1" t="s">
        <v>255</v>
      </c>
      <c r="D240" s="1" t="s">
        <v>4057</v>
      </c>
      <c r="E240" s="15" t="s">
        <v>4058</v>
      </c>
      <c r="F240" s="15" t="s">
        <v>51</v>
      </c>
      <c r="G240" s="1" t="s">
        <v>4058</v>
      </c>
      <c r="H240" s="1" t="str">
        <f>VLOOKUP(G240,'languoid 4.0'!$A$1:$I$24439,2,FALSE)</f>
        <v>atla1278</v>
      </c>
      <c r="I240" s="1" t="str">
        <f>VLOOKUP(G240,'languoid 4.0'!$A$1:$I$24439,6,FALSE)</f>
        <v>language</v>
      </c>
      <c r="J240" s="15" t="s">
        <v>52</v>
      </c>
      <c r="K240" s="15" t="s">
        <v>51</v>
      </c>
      <c r="L240" s="15" t="s">
        <v>51</v>
      </c>
      <c r="M240" s="1"/>
      <c r="N240" s="1" t="s">
        <v>4059</v>
      </c>
      <c r="O240" s="15" t="s">
        <v>40</v>
      </c>
      <c r="P240" s="15" t="s">
        <v>41</v>
      </c>
      <c r="Q240" s="1" t="s">
        <v>4060</v>
      </c>
      <c r="R240" s="2" t="s">
        <v>4061</v>
      </c>
      <c r="S240" s="1" t="s">
        <v>46</v>
      </c>
      <c r="T240" s="1" t="s">
        <v>3824</v>
      </c>
      <c r="U240" s="1" t="s">
        <v>636</v>
      </c>
      <c r="V240" s="1" t="s">
        <v>45</v>
      </c>
      <c r="W240" s="1"/>
      <c r="X240" s="1"/>
      <c r="Y240" s="1"/>
      <c r="Z240" s="1" t="s">
        <v>658</v>
      </c>
      <c r="AA240" s="1" t="s">
        <v>4062</v>
      </c>
      <c r="AB240" s="1" t="s">
        <v>4063</v>
      </c>
      <c r="AC240" s="1" t="s">
        <v>46</v>
      </c>
      <c r="AD240" s="1"/>
      <c r="AE240" s="1" t="s">
        <v>641</v>
      </c>
      <c r="AF240" s="1" t="s">
        <v>190</v>
      </c>
      <c r="AG240" s="1">
        <v>6</v>
      </c>
      <c r="AH240" s="1" t="s">
        <v>190</v>
      </c>
      <c r="AI240" s="1"/>
      <c r="AJ240" s="1" t="s">
        <v>4064</v>
      </c>
      <c r="AK240" s="1" t="s">
        <v>1749</v>
      </c>
    </row>
    <row r="241" spans="1:37">
      <c r="A241" s="1" t="str">
        <f>VLOOKUP(H241,Languages!$A$2:$B$430,2,FALSE)</f>
        <v>Atlantic-Congo</v>
      </c>
      <c r="B241" s="1" t="s">
        <v>109</v>
      </c>
      <c r="C241" s="1" t="s">
        <v>255</v>
      </c>
      <c r="D241" s="1" t="s">
        <v>4065</v>
      </c>
      <c r="E241" s="15" t="s">
        <v>4066</v>
      </c>
      <c r="F241" s="15" t="s">
        <v>4066</v>
      </c>
      <c r="G241" s="1" t="s">
        <v>4066</v>
      </c>
      <c r="H241" s="1" t="str">
        <f>VLOOKUP(G241,'languoid 4.0'!$A$1:$I$24439,2,FALSE)</f>
        <v>atla1278</v>
      </c>
      <c r="I241" s="1" t="str">
        <f>VLOOKUP(G241,'languoid 4.0'!$A$1:$I$24439,6,FALSE)</f>
        <v>language</v>
      </c>
      <c r="J241" s="15" t="s">
        <v>38</v>
      </c>
      <c r="K241" s="15" t="s">
        <v>38</v>
      </c>
      <c r="L241" s="15" t="s">
        <v>38</v>
      </c>
      <c r="M241" s="1"/>
      <c r="N241" s="1" t="s">
        <v>4067</v>
      </c>
      <c r="O241" s="15" t="s">
        <v>40</v>
      </c>
      <c r="P241" s="15" t="s">
        <v>41</v>
      </c>
      <c r="Q241" s="1" t="s">
        <v>4068</v>
      </c>
      <c r="R241" s="2" t="s">
        <v>4069</v>
      </c>
      <c r="S241" s="1" t="s">
        <v>46</v>
      </c>
      <c r="T241" s="1" t="s">
        <v>3824</v>
      </c>
      <c r="U241" s="1" t="s">
        <v>636</v>
      </c>
      <c r="V241" s="1" t="s">
        <v>45</v>
      </c>
      <c r="W241" s="1"/>
      <c r="X241" s="1"/>
      <c r="Y241" s="1"/>
      <c r="Z241" s="1" t="s">
        <v>658</v>
      </c>
      <c r="AA241" s="1" t="s">
        <v>4070</v>
      </c>
      <c r="AB241" s="1" t="s">
        <v>4071</v>
      </c>
      <c r="AC241" s="1" t="s">
        <v>46</v>
      </c>
      <c r="AD241" s="1"/>
      <c r="AE241" s="1" t="s">
        <v>641</v>
      </c>
      <c r="AF241" s="1" t="s">
        <v>190</v>
      </c>
      <c r="AG241" s="1">
        <v>4</v>
      </c>
      <c r="AH241" s="1" t="s">
        <v>190</v>
      </c>
      <c r="AI241" s="1"/>
      <c r="AJ241" s="1" t="s">
        <v>4072</v>
      </c>
      <c r="AK241" s="1" t="s">
        <v>1749</v>
      </c>
    </row>
    <row r="242" spans="1:37">
      <c r="A242" s="1" t="str">
        <f>VLOOKUP(H242,Languages!$A$2:$B$430,2,FALSE)</f>
        <v>Atlantic-Congo</v>
      </c>
      <c r="B242" s="1" t="s">
        <v>109</v>
      </c>
      <c r="C242" s="1" t="s">
        <v>132</v>
      </c>
      <c r="D242" s="1" t="s">
        <v>345</v>
      </c>
      <c r="E242" s="15" t="s">
        <v>346</v>
      </c>
      <c r="F242" s="15" t="s">
        <v>347</v>
      </c>
      <c r="G242" s="1" t="s">
        <v>346</v>
      </c>
      <c r="H242" s="1" t="str">
        <f>VLOOKUP(G242,'languoid 4.0'!$A$1:$I$24439,2,FALSE)</f>
        <v>atla1278</v>
      </c>
      <c r="I242" s="1" t="str">
        <f>VLOOKUP(G242,'languoid 4.0'!$A$1:$I$24439,6,FALSE)</f>
        <v>family</v>
      </c>
      <c r="J242" s="15" t="s">
        <v>52</v>
      </c>
      <c r="K242" s="15" t="s">
        <v>52</v>
      </c>
      <c r="L242" s="15" t="s">
        <v>52</v>
      </c>
      <c r="M242" s="1"/>
      <c r="N242" s="1" t="s">
        <v>348</v>
      </c>
      <c r="O242" s="15" t="s">
        <v>113</v>
      </c>
      <c r="P242" s="15" t="s">
        <v>41</v>
      </c>
      <c r="Q242" s="1" t="s">
        <v>349</v>
      </c>
      <c r="R242" s="2" t="s">
        <v>350</v>
      </c>
      <c r="S242" s="1" t="s">
        <v>351</v>
      </c>
      <c r="T242" s="1" t="s">
        <v>44</v>
      </c>
      <c r="U242" s="1"/>
      <c r="V242" s="1" t="s">
        <v>45</v>
      </c>
      <c r="W242" s="1"/>
      <c r="X242" s="1"/>
      <c r="Y242" s="1"/>
      <c r="Z242" s="1"/>
      <c r="AA242" s="1">
        <v>7</v>
      </c>
      <c r="AB242" s="1">
        <v>7</v>
      </c>
      <c r="AC242" s="1">
        <v>7</v>
      </c>
      <c r="AD242" s="1"/>
      <c r="AE242" s="1"/>
      <c r="AF242" s="1"/>
      <c r="AG242" s="1"/>
      <c r="AH242" s="1"/>
      <c r="AI242" s="1"/>
      <c r="AJ242" s="3">
        <v>43102.743101851855</v>
      </c>
      <c r="AK242" s="1" t="s">
        <v>47</v>
      </c>
    </row>
    <row r="243" spans="1:37">
      <c r="A243" s="1" t="str">
        <f>VLOOKUP(H243,Languages!$A$2:$B$430,2,FALSE)</f>
        <v>Atlantic-Congo</v>
      </c>
      <c r="B243" s="1" t="s">
        <v>35</v>
      </c>
      <c r="C243" s="1" t="s">
        <v>1012</v>
      </c>
      <c r="D243" s="1" t="s">
        <v>10068</v>
      </c>
      <c r="E243" s="15" t="s">
        <v>10069</v>
      </c>
      <c r="F243" s="15" t="s">
        <v>10069</v>
      </c>
      <c r="G243" s="1" t="s">
        <v>10069</v>
      </c>
      <c r="H243" s="1" t="str">
        <f>VLOOKUP(G243,'languoid 4.0'!$A$1:$I$24439,2,FALSE)</f>
        <v>atla1278</v>
      </c>
      <c r="I243" s="1" t="str">
        <f>VLOOKUP(G243,'languoid 4.0'!$A$1:$I$24439,6,FALSE)</f>
        <v>dialect</v>
      </c>
      <c r="J243" s="15" t="s">
        <v>38</v>
      </c>
      <c r="K243" s="15" t="s">
        <v>38</v>
      </c>
      <c r="L243" s="15" t="s">
        <v>38</v>
      </c>
      <c r="M243" s="1"/>
      <c r="N243" s="1"/>
      <c r="O243" s="15" t="s">
        <v>40</v>
      </c>
      <c r="P243" s="15" t="s">
        <v>41</v>
      </c>
      <c r="Q243" s="1" t="s">
        <v>10070</v>
      </c>
      <c r="R243" s="2" t="s">
        <v>10065</v>
      </c>
      <c r="S243" s="1" t="s">
        <v>523</v>
      </c>
      <c r="T243" s="1" t="s">
        <v>8277</v>
      </c>
      <c r="U243" s="1" t="s">
        <v>636</v>
      </c>
      <c r="V243" s="1" t="s">
        <v>45</v>
      </c>
      <c r="W243" s="1"/>
      <c r="X243" s="1"/>
      <c r="Y243" s="1"/>
      <c r="Z243" s="1" t="s">
        <v>658</v>
      </c>
      <c r="AA243" s="1" t="s">
        <v>10071</v>
      </c>
      <c r="AB243" s="1" t="s">
        <v>46</v>
      </c>
      <c r="AC243" s="1" t="s">
        <v>46</v>
      </c>
      <c r="AD243" s="1" t="s">
        <v>10072</v>
      </c>
      <c r="AE243" s="1" t="s">
        <v>641</v>
      </c>
      <c r="AF243" s="1" t="s">
        <v>190</v>
      </c>
      <c r="AG243" s="1">
        <v>5</v>
      </c>
      <c r="AH243" s="1" t="s">
        <v>190</v>
      </c>
      <c r="AI243" s="1"/>
      <c r="AJ243" s="3">
        <v>43231.465810185182</v>
      </c>
      <c r="AK243" s="1" t="s">
        <v>9595</v>
      </c>
    </row>
    <row r="244" spans="1:37">
      <c r="A244" s="1" t="str">
        <f>VLOOKUP(H244,Languages!$A$2:$B$430,2,FALSE)</f>
        <v>Atlantic-Congo</v>
      </c>
      <c r="B244" s="1" t="s">
        <v>35</v>
      </c>
      <c r="C244" s="1" t="s">
        <v>48</v>
      </c>
      <c r="D244" s="1" t="s">
        <v>49</v>
      </c>
      <c r="E244" s="15" t="s">
        <v>50</v>
      </c>
      <c r="F244" s="15" t="s">
        <v>51</v>
      </c>
      <c r="G244" s="1" t="s">
        <v>50</v>
      </c>
      <c r="H244" s="1" t="str">
        <f>VLOOKUP(G244,'languoid 4.0'!$A$1:$I$24439,2,FALSE)</f>
        <v>atla1278</v>
      </c>
      <c r="I244" s="1" t="str">
        <f>VLOOKUP(G244,'languoid 4.0'!$A$1:$I$24439,6,FALSE)</f>
        <v>language</v>
      </c>
      <c r="J244" s="15" t="s">
        <v>52</v>
      </c>
      <c r="K244" s="15" t="s">
        <v>51</v>
      </c>
      <c r="L244" s="15" t="s">
        <v>51</v>
      </c>
      <c r="M244" s="1"/>
      <c r="N244" s="1" t="s">
        <v>53</v>
      </c>
      <c r="O244" s="15" t="s">
        <v>40</v>
      </c>
      <c r="P244" s="15" t="s">
        <v>41</v>
      </c>
      <c r="Q244" s="1" t="s">
        <v>54</v>
      </c>
      <c r="R244" s="2" t="s">
        <v>55</v>
      </c>
      <c r="S244" s="1" t="s">
        <v>56</v>
      </c>
      <c r="T244" s="1" t="s">
        <v>44</v>
      </c>
      <c r="U244" s="1"/>
      <c r="V244" s="1" t="s">
        <v>45</v>
      </c>
      <c r="W244" s="1"/>
      <c r="X244" s="1"/>
      <c r="Y244" s="1"/>
      <c r="Z244" s="1"/>
      <c r="AA244" s="1">
        <v>22</v>
      </c>
      <c r="AB244" s="1">
        <v>22</v>
      </c>
      <c r="AC244" s="1">
        <v>22</v>
      </c>
      <c r="AD244" s="1"/>
      <c r="AE244" s="1"/>
      <c r="AF244" s="1"/>
      <c r="AG244" s="1"/>
      <c r="AH244" s="1"/>
      <c r="AI244" s="1"/>
      <c r="AJ244" s="3">
        <v>43102.720173611109</v>
      </c>
      <c r="AK244" s="1" t="s">
        <v>57</v>
      </c>
    </row>
    <row r="245" spans="1:37">
      <c r="A245" s="1" t="str">
        <f>VLOOKUP(H245,Languages!$A$2:$B$430,2,FALSE)</f>
        <v>Atlantic-Congo</v>
      </c>
      <c r="B245" s="1" t="s">
        <v>35</v>
      </c>
      <c r="C245" s="1" t="s">
        <v>48</v>
      </c>
      <c r="D245" s="1" t="s">
        <v>4165</v>
      </c>
      <c r="E245" s="15" t="s">
        <v>4166</v>
      </c>
      <c r="F245" s="15" t="s">
        <v>4166</v>
      </c>
      <c r="G245" s="1" t="s">
        <v>4166</v>
      </c>
      <c r="H245" s="1" t="str">
        <f>VLOOKUP(G245,'languoid 4.0'!$A$1:$I$24439,2,FALSE)</f>
        <v>atla1278</v>
      </c>
      <c r="I245" s="1" t="str">
        <f>VLOOKUP(G245,'languoid 4.0'!$A$1:$I$24439,6,FALSE)</f>
        <v>language</v>
      </c>
      <c r="J245" s="15" t="s">
        <v>38</v>
      </c>
      <c r="K245" s="15" t="s">
        <v>38</v>
      </c>
      <c r="L245" s="15" t="s">
        <v>38</v>
      </c>
      <c r="M245" s="1"/>
      <c r="N245" s="1" t="s">
        <v>4167</v>
      </c>
      <c r="O245" s="15" t="s">
        <v>40</v>
      </c>
      <c r="P245" s="15" t="s">
        <v>41</v>
      </c>
      <c r="Q245" s="1" t="s">
        <v>7285</v>
      </c>
      <c r="R245" s="2" t="s">
        <v>7286</v>
      </c>
      <c r="S245" s="1" t="s">
        <v>672</v>
      </c>
      <c r="T245" s="1" t="s">
        <v>648</v>
      </c>
      <c r="U245" s="1" t="s">
        <v>636</v>
      </c>
      <c r="V245" s="1" t="s">
        <v>45</v>
      </c>
      <c r="W245" s="1"/>
      <c r="X245" s="1"/>
      <c r="Y245" s="1"/>
      <c r="Z245" s="1" t="s">
        <v>637</v>
      </c>
      <c r="AA245" s="1" t="s">
        <v>7287</v>
      </c>
      <c r="AB245" s="1" t="s">
        <v>7288</v>
      </c>
      <c r="AC245" s="1" t="s">
        <v>46</v>
      </c>
      <c r="AD245" s="1"/>
      <c r="AE245" s="1" t="s">
        <v>641</v>
      </c>
      <c r="AF245" s="1" t="s">
        <v>190</v>
      </c>
      <c r="AG245" s="1">
        <v>6</v>
      </c>
      <c r="AH245" s="1" t="s">
        <v>190</v>
      </c>
      <c r="AI245" s="1"/>
      <c r="AJ245" s="3">
        <v>43381.517465277779</v>
      </c>
      <c r="AK245" s="1" t="s">
        <v>5542</v>
      </c>
    </row>
    <row r="246" spans="1:37">
      <c r="A246" s="1" t="str">
        <f>VLOOKUP(H246,Languages!$A$2:$B$430,2,FALSE)</f>
        <v>Atlantic-Congo</v>
      </c>
      <c r="B246" s="1" t="s">
        <v>35</v>
      </c>
      <c r="C246" s="1" t="s">
        <v>48</v>
      </c>
      <c r="D246" s="1" t="s">
        <v>8105</v>
      </c>
      <c r="E246" s="15" t="s">
        <v>7100</v>
      </c>
      <c r="F246" s="15" t="s">
        <v>7095</v>
      </c>
      <c r="G246" s="1" t="s">
        <v>7100</v>
      </c>
      <c r="H246" s="1" t="str">
        <f>VLOOKUP(G246,'languoid 4.0'!$A$1:$I$24439,2,FALSE)</f>
        <v>atla1278</v>
      </c>
      <c r="I246" s="1" t="str">
        <f>VLOOKUP(G246,'languoid 4.0'!$A$1:$I$24439,6,FALSE)</f>
        <v>language</v>
      </c>
      <c r="J246" s="15" t="s">
        <v>52</v>
      </c>
      <c r="K246" s="15" t="s">
        <v>38</v>
      </c>
      <c r="L246" s="15" t="s">
        <v>38</v>
      </c>
      <c r="M246" s="1"/>
      <c r="N246" s="1" t="s">
        <v>7101</v>
      </c>
      <c r="O246" s="15" t="s">
        <v>40</v>
      </c>
      <c r="P246" s="15" t="s">
        <v>632</v>
      </c>
      <c r="Q246" s="1" t="s">
        <v>8106</v>
      </c>
      <c r="R246" s="2" t="s">
        <v>8107</v>
      </c>
      <c r="S246" s="1" t="s">
        <v>8108</v>
      </c>
      <c r="T246" s="1" t="s">
        <v>1689</v>
      </c>
      <c r="U246" s="1" t="s">
        <v>636</v>
      </c>
      <c r="V246" s="1" t="s">
        <v>45</v>
      </c>
      <c r="W246" s="1"/>
      <c r="X246" s="1"/>
      <c r="Y246" s="1"/>
      <c r="Z246" s="1" t="s">
        <v>658</v>
      </c>
      <c r="AA246" s="1" t="s">
        <v>8109</v>
      </c>
      <c r="AB246" s="1" t="s">
        <v>46</v>
      </c>
      <c r="AC246" s="1" t="s">
        <v>46</v>
      </c>
      <c r="AD246" s="1"/>
      <c r="AE246" s="1" t="s">
        <v>641</v>
      </c>
      <c r="AF246" s="1" t="s">
        <v>190</v>
      </c>
      <c r="AG246" s="1">
        <v>6</v>
      </c>
      <c r="AH246" s="1" t="s">
        <v>190</v>
      </c>
      <c r="AI246" s="1"/>
      <c r="AJ246" s="1" t="s">
        <v>8110</v>
      </c>
      <c r="AK246" s="1" t="s">
        <v>5542</v>
      </c>
    </row>
    <row r="247" spans="1:37">
      <c r="A247" s="1" t="str">
        <f>VLOOKUP(H247,Languages!$A$2:$B$430,2,FALSE)</f>
        <v>Atlantic-Congo</v>
      </c>
      <c r="B247" s="1" t="s">
        <v>35</v>
      </c>
      <c r="C247" s="1" t="s">
        <v>48</v>
      </c>
      <c r="D247" s="1" t="s">
        <v>7781</v>
      </c>
      <c r="E247" s="15" t="s">
        <v>7782</v>
      </c>
      <c r="F247" s="15" t="s">
        <v>51</v>
      </c>
      <c r="G247" s="1" t="s">
        <v>7782</v>
      </c>
      <c r="H247" s="1" t="str">
        <f>VLOOKUP(G247,'languoid 4.0'!$A$1:$I$24439,2,FALSE)</f>
        <v>atla1278</v>
      </c>
      <c r="I247" s="1" t="str">
        <f>VLOOKUP(G247,'languoid 4.0'!$A$1:$I$24439,6,FALSE)</f>
        <v>language</v>
      </c>
      <c r="J247" s="15" t="s">
        <v>52</v>
      </c>
      <c r="K247" s="15" t="s">
        <v>51</v>
      </c>
      <c r="L247" s="15" t="s">
        <v>51</v>
      </c>
      <c r="M247" s="1"/>
      <c r="N247" s="1"/>
      <c r="O247" s="15" t="s">
        <v>40</v>
      </c>
      <c r="P247" s="15" t="s">
        <v>632</v>
      </c>
      <c r="Q247" s="1" t="s">
        <v>8123</v>
      </c>
      <c r="R247" s="2" t="s">
        <v>8124</v>
      </c>
      <c r="S247" s="1" t="s">
        <v>8125</v>
      </c>
      <c r="T247" s="1" t="s">
        <v>1689</v>
      </c>
      <c r="U247" s="1" t="s">
        <v>636</v>
      </c>
      <c r="V247" s="1" t="s">
        <v>45</v>
      </c>
      <c r="W247" s="1"/>
      <c r="X247" s="1"/>
      <c r="Y247" s="1"/>
      <c r="Z247" s="1" t="s">
        <v>637</v>
      </c>
      <c r="AA247" s="1" t="s">
        <v>8123</v>
      </c>
      <c r="AB247" s="1" t="s">
        <v>8126</v>
      </c>
      <c r="AC247" s="1" t="s">
        <v>46</v>
      </c>
      <c r="AD247" s="1"/>
      <c r="AE247" s="1" t="s">
        <v>641</v>
      </c>
      <c r="AF247" s="1" t="s">
        <v>190</v>
      </c>
      <c r="AG247" s="1">
        <v>6</v>
      </c>
      <c r="AH247" s="1" t="s">
        <v>190</v>
      </c>
      <c r="AI247" s="1"/>
      <c r="AJ247" s="1" t="s">
        <v>8127</v>
      </c>
      <c r="AK247" s="1" t="s">
        <v>5542</v>
      </c>
    </row>
    <row r="248" spans="1:37">
      <c r="A248" s="1" t="str">
        <f>VLOOKUP(H248,Languages!$A$2:$B$430,2,FALSE)</f>
        <v>Atlantic-Congo</v>
      </c>
      <c r="B248" s="1" t="s">
        <v>35</v>
      </c>
      <c r="C248" s="1" t="s">
        <v>214</v>
      </c>
      <c r="D248" s="1" t="s">
        <v>797</v>
      </c>
      <c r="E248" s="15" t="s">
        <v>798</v>
      </c>
      <c r="F248" s="15" t="s">
        <v>798</v>
      </c>
      <c r="G248" s="1" t="s">
        <v>798</v>
      </c>
      <c r="H248" s="1" t="str">
        <f>VLOOKUP(G248,'languoid 4.0'!$A$1:$I$24439,2,FALSE)</f>
        <v>atla1278</v>
      </c>
      <c r="I248" s="1" t="str">
        <f>VLOOKUP(G248,'languoid 4.0'!$A$1:$I$24439,6,FALSE)</f>
        <v>language</v>
      </c>
      <c r="J248" s="15" t="s">
        <v>38</v>
      </c>
      <c r="K248" s="15" t="s">
        <v>38</v>
      </c>
      <c r="L248" s="15" t="s">
        <v>38</v>
      </c>
      <c r="M248" s="1"/>
      <c r="N248" s="1" t="s">
        <v>799</v>
      </c>
      <c r="O248" s="15" t="s">
        <v>40</v>
      </c>
      <c r="P248" s="15" t="s">
        <v>41</v>
      </c>
      <c r="Q248" s="1" t="s">
        <v>800</v>
      </c>
      <c r="R248" s="2" t="s">
        <v>801</v>
      </c>
      <c r="S248" s="1" t="s">
        <v>46</v>
      </c>
      <c r="T248" s="1" t="s">
        <v>635</v>
      </c>
      <c r="U248" s="1" t="s">
        <v>636</v>
      </c>
      <c r="V248" s="1" t="s">
        <v>45</v>
      </c>
      <c r="W248" s="1"/>
      <c r="X248" s="1"/>
      <c r="Y248" s="1"/>
      <c r="Z248" s="1" t="s">
        <v>637</v>
      </c>
      <c r="AA248" s="1" t="s">
        <v>802</v>
      </c>
      <c r="AB248" s="1" t="s">
        <v>803</v>
      </c>
      <c r="AC248" s="1" t="s">
        <v>46</v>
      </c>
      <c r="AD248" s="1" t="s">
        <v>804</v>
      </c>
      <c r="AE248" s="1" t="s">
        <v>641</v>
      </c>
      <c r="AF248" s="1" t="s">
        <v>190</v>
      </c>
      <c r="AG248" s="1">
        <v>6</v>
      </c>
      <c r="AH248" s="1" t="s">
        <v>190</v>
      </c>
      <c r="AI248" s="1"/>
      <c r="AJ248" s="3">
        <v>43222.582303240742</v>
      </c>
      <c r="AK248" s="1" t="s">
        <v>740</v>
      </c>
    </row>
    <row r="249" spans="1:37">
      <c r="A249" s="1" t="str">
        <f>VLOOKUP(H249,Languages!$A$2:$B$430,2,FALSE)</f>
        <v>Atlantic-Congo</v>
      </c>
      <c r="B249" s="1" t="s">
        <v>35</v>
      </c>
      <c r="C249" s="1" t="s">
        <v>214</v>
      </c>
      <c r="D249" s="1" t="s">
        <v>905</v>
      </c>
      <c r="E249" s="15" t="s">
        <v>906</v>
      </c>
      <c r="F249" s="15" t="s">
        <v>906</v>
      </c>
      <c r="G249" s="1" t="s">
        <v>906</v>
      </c>
      <c r="H249" s="1" t="str">
        <f>VLOOKUP(G249,'languoid 4.0'!$A$1:$I$24439,2,FALSE)</f>
        <v>atla1278</v>
      </c>
      <c r="I249" s="1" t="str">
        <f>VLOOKUP(G249,'languoid 4.0'!$A$1:$I$24439,6,FALSE)</f>
        <v>language</v>
      </c>
      <c r="J249" s="15" t="s">
        <v>38</v>
      </c>
      <c r="K249" s="15" t="s">
        <v>38</v>
      </c>
      <c r="L249" s="15" t="s">
        <v>38</v>
      </c>
      <c r="M249" s="1"/>
      <c r="N249" s="1" t="s">
        <v>907</v>
      </c>
      <c r="O249" s="15" t="s">
        <v>40</v>
      </c>
      <c r="P249" s="15" t="s">
        <v>41</v>
      </c>
      <c r="Q249" s="1" t="s">
        <v>908</v>
      </c>
      <c r="R249" s="2" t="s">
        <v>909</v>
      </c>
      <c r="S249" s="1" t="s">
        <v>46</v>
      </c>
      <c r="T249" s="1" t="s">
        <v>822</v>
      </c>
      <c r="U249" s="1" t="s">
        <v>636</v>
      </c>
      <c r="V249" s="1" t="s">
        <v>45</v>
      </c>
      <c r="W249" s="1"/>
      <c r="X249" s="1"/>
      <c r="Y249" s="1"/>
      <c r="Z249" s="1" t="s">
        <v>637</v>
      </c>
      <c r="AA249" s="1" t="s">
        <v>910</v>
      </c>
      <c r="AB249" s="1" t="s">
        <v>911</v>
      </c>
      <c r="AC249" s="1" t="s">
        <v>46</v>
      </c>
      <c r="AD249" s="1" t="s">
        <v>912</v>
      </c>
      <c r="AE249" s="1" t="s">
        <v>641</v>
      </c>
      <c r="AF249" s="1" t="s">
        <v>190</v>
      </c>
      <c r="AG249" s="1">
        <v>5</v>
      </c>
      <c r="AH249" s="1" t="s">
        <v>190</v>
      </c>
      <c r="AI249" s="1"/>
      <c r="AJ249" s="3">
        <v>43253.690671296295</v>
      </c>
      <c r="AK249" s="1" t="s">
        <v>740</v>
      </c>
    </row>
    <row r="250" spans="1:37">
      <c r="A250" s="1" t="str">
        <f>VLOOKUP(H250,Languages!$A$2:$B$430,2,FALSE)</f>
        <v>Atlantic-Congo</v>
      </c>
      <c r="B250" s="1" t="s">
        <v>35</v>
      </c>
      <c r="C250" s="1" t="s">
        <v>214</v>
      </c>
      <c r="D250" s="1" t="s">
        <v>472</v>
      </c>
      <c r="E250" s="15" t="s">
        <v>473</v>
      </c>
      <c r="F250" s="15" t="s">
        <v>473</v>
      </c>
      <c r="G250" s="1" t="s">
        <v>473</v>
      </c>
      <c r="H250" s="1" t="str">
        <f>VLOOKUP(G250,'languoid 4.0'!$A$1:$I$24439,2,FALSE)</f>
        <v>atla1278</v>
      </c>
      <c r="I250" s="1" t="str">
        <f>VLOOKUP(G250,'languoid 4.0'!$A$1:$I$24439,6,FALSE)</f>
        <v>language</v>
      </c>
      <c r="J250" s="15" t="s">
        <v>38</v>
      </c>
      <c r="K250" s="15" t="s">
        <v>38</v>
      </c>
      <c r="L250" s="15" t="s">
        <v>38</v>
      </c>
      <c r="M250" s="1"/>
      <c r="N250" s="1" t="s">
        <v>474</v>
      </c>
      <c r="O250" s="15" t="s">
        <v>40</v>
      </c>
      <c r="P250" s="15" t="s">
        <v>41</v>
      </c>
      <c r="Q250" s="1" t="s">
        <v>1180</v>
      </c>
      <c r="R250" s="2" t="s">
        <v>1181</v>
      </c>
      <c r="S250" s="1" t="s">
        <v>46</v>
      </c>
      <c r="T250" s="1" t="s">
        <v>822</v>
      </c>
      <c r="U250" s="1" t="s">
        <v>636</v>
      </c>
      <c r="V250" s="1" t="s">
        <v>45</v>
      </c>
      <c r="W250" s="1"/>
      <c r="X250" s="1"/>
      <c r="Y250" s="1"/>
      <c r="Z250" s="1" t="s">
        <v>658</v>
      </c>
      <c r="AA250" s="1" t="s">
        <v>1182</v>
      </c>
      <c r="AB250" s="1" t="s">
        <v>46</v>
      </c>
      <c r="AC250" s="1" t="s">
        <v>46</v>
      </c>
      <c r="AD250" s="1" t="s">
        <v>1183</v>
      </c>
      <c r="AE250" s="1" t="s">
        <v>641</v>
      </c>
      <c r="AF250" s="1" t="s">
        <v>190</v>
      </c>
      <c r="AG250" s="1">
        <v>6</v>
      </c>
      <c r="AH250" s="1" t="s">
        <v>190</v>
      </c>
      <c r="AI250" s="1"/>
      <c r="AJ250" s="1" t="s">
        <v>1184</v>
      </c>
      <c r="AK250" s="1" t="s">
        <v>740</v>
      </c>
    </row>
    <row r="251" spans="1:37">
      <c r="A251" s="1" t="str">
        <f>VLOOKUP(H251,Languages!$A$2:$B$430,2,FALSE)</f>
        <v>Atlantic-Congo</v>
      </c>
      <c r="B251" s="1" t="s">
        <v>35</v>
      </c>
      <c r="C251" s="1" t="s">
        <v>255</v>
      </c>
      <c r="D251" s="1" t="s">
        <v>558</v>
      </c>
      <c r="E251" s="15" t="s">
        <v>559</v>
      </c>
      <c r="F251" s="15" t="s">
        <v>559</v>
      </c>
      <c r="G251" s="1" t="s">
        <v>559</v>
      </c>
      <c r="H251" s="1" t="str">
        <f>VLOOKUP(G251,'languoid 4.0'!$A$1:$I$24439,2,FALSE)</f>
        <v>atla1278</v>
      </c>
      <c r="I251" s="1" t="str">
        <f>VLOOKUP(G251,'languoid 4.0'!$A$1:$I$24439,6,FALSE)</f>
        <v>dialect</v>
      </c>
      <c r="J251" s="15" t="s">
        <v>38</v>
      </c>
      <c r="K251" s="15" t="s">
        <v>38</v>
      </c>
      <c r="L251" s="15" t="s">
        <v>38</v>
      </c>
      <c r="M251" s="1"/>
      <c r="N251" s="1"/>
      <c r="O251" s="15" t="s">
        <v>40</v>
      </c>
      <c r="P251" s="15" t="s">
        <v>41</v>
      </c>
      <c r="Q251" s="1" t="s">
        <v>560</v>
      </c>
      <c r="R251" s="2" t="s">
        <v>561</v>
      </c>
      <c r="S251" s="1" t="s">
        <v>562</v>
      </c>
      <c r="T251" s="1" t="s">
        <v>44</v>
      </c>
      <c r="U251" s="1"/>
      <c r="V251" s="1" t="s">
        <v>45</v>
      </c>
      <c r="W251" s="1"/>
      <c r="X251" s="1"/>
      <c r="Y251" s="1"/>
      <c r="Z251" s="1"/>
      <c r="AA251" s="1">
        <v>6</v>
      </c>
      <c r="AB251" s="1">
        <v>6</v>
      </c>
      <c r="AC251" s="1">
        <v>6</v>
      </c>
      <c r="AD251" s="1"/>
      <c r="AE251" s="1"/>
      <c r="AF251" s="1"/>
      <c r="AG251" s="1"/>
      <c r="AH251" s="1"/>
      <c r="AI251" s="1"/>
      <c r="AJ251" s="3">
        <v>43102.756655092591</v>
      </c>
      <c r="AK251" s="1" t="s">
        <v>57</v>
      </c>
    </row>
    <row r="252" spans="1:37">
      <c r="A252" s="1" t="str">
        <f>VLOOKUP(H252,Languages!$A$2:$B$430,2,FALSE)</f>
        <v>Atlantic-Congo</v>
      </c>
      <c r="B252" s="1" t="s">
        <v>35</v>
      </c>
      <c r="C252" s="1" t="s">
        <v>255</v>
      </c>
      <c r="D252" s="1" t="s">
        <v>1916</v>
      </c>
      <c r="E252" s="15" t="s">
        <v>1905</v>
      </c>
      <c r="F252" s="15" t="s">
        <v>1906</v>
      </c>
      <c r="G252" s="1" t="s">
        <v>1906</v>
      </c>
      <c r="H252" s="1" t="str">
        <f>VLOOKUP(G252,'languoid 4.0'!$A$1:$I$24439,2,FALSE)</f>
        <v>atla1278</v>
      </c>
      <c r="I252" s="1" t="str">
        <f>VLOOKUP(G252,'languoid 4.0'!$A$1:$I$24439,6,FALSE)</f>
        <v>language</v>
      </c>
      <c r="J252" s="15" t="s">
        <v>52</v>
      </c>
      <c r="K252" s="15" t="s">
        <v>38</v>
      </c>
      <c r="L252" s="15" t="s">
        <v>38</v>
      </c>
      <c r="M252" s="1"/>
      <c r="N252" s="1"/>
      <c r="O252" s="15" t="s">
        <v>40</v>
      </c>
      <c r="P252" s="15" t="s">
        <v>41</v>
      </c>
      <c r="Q252" s="1" t="s">
        <v>1917</v>
      </c>
      <c r="R252" s="2" t="s">
        <v>1918</v>
      </c>
      <c r="S252" s="1" t="s">
        <v>46</v>
      </c>
      <c r="T252" s="1" t="s">
        <v>635</v>
      </c>
      <c r="U252" s="1" t="s">
        <v>636</v>
      </c>
      <c r="V252" s="1" t="s">
        <v>45</v>
      </c>
      <c r="W252" s="1"/>
      <c r="X252" s="1"/>
      <c r="Y252" s="1"/>
      <c r="Z252" s="1" t="s">
        <v>658</v>
      </c>
      <c r="AA252" s="1" t="s">
        <v>1919</v>
      </c>
      <c r="AB252" s="1" t="s">
        <v>1920</v>
      </c>
      <c r="AC252" s="1" t="s">
        <v>46</v>
      </c>
      <c r="AD252" s="1"/>
      <c r="AE252" s="1" t="s">
        <v>641</v>
      </c>
      <c r="AF252" s="1" t="s">
        <v>190</v>
      </c>
      <c r="AG252" s="1">
        <v>5</v>
      </c>
      <c r="AH252" s="1" t="s">
        <v>190</v>
      </c>
      <c r="AI252" s="1"/>
      <c r="AJ252" s="1" t="s">
        <v>1921</v>
      </c>
      <c r="AK252" s="1" t="s">
        <v>1749</v>
      </c>
    </row>
    <row r="253" spans="1:37">
      <c r="A253" s="1" t="str">
        <f>VLOOKUP(H253,Languages!$A$2:$B$430,2,FALSE)</f>
        <v>Atlantic-Congo</v>
      </c>
      <c r="B253" s="1" t="s">
        <v>35</v>
      </c>
      <c r="C253" s="1" t="s">
        <v>255</v>
      </c>
      <c r="D253" s="1" t="s">
        <v>1916</v>
      </c>
      <c r="E253" s="15" t="s">
        <v>1905</v>
      </c>
      <c r="F253" s="15" t="s">
        <v>1906</v>
      </c>
      <c r="G253" s="1" t="s">
        <v>1906</v>
      </c>
      <c r="H253" s="1" t="str">
        <f>VLOOKUP(G253,'languoid 4.0'!$A$1:$I$24439,2,FALSE)</f>
        <v>atla1278</v>
      </c>
      <c r="I253" s="1" t="str">
        <f>VLOOKUP(G253,'languoid 4.0'!$A$1:$I$24439,6,FALSE)</f>
        <v>language</v>
      </c>
      <c r="J253" s="15" t="s">
        <v>52</v>
      </c>
      <c r="K253" s="15" t="s">
        <v>38</v>
      </c>
      <c r="L253" s="15" t="s">
        <v>38</v>
      </c>
      <c r="M253" s="1"/>
      <c r="N253" s="1"/>
      <c r="O253" s="15" t="s">
        <v>40</v>
      </c>
      <c r="P253" s="15" t="s">
        <v>41</v>
      </c>
      <c r="Q253" s="1" t="s">
        <v>1917</v>
      </c>
      <c r="R253" s="2" t="s">
        <v>1918</v>
      </c>
      <c r="S253" s="1" t="s">
        <v>46</v>
      </c>
      <c r="T253" s="1" t="s">
        <v>635</v>
      </c>
      <c r="U253" s="1" t="s">
        <v>636</v>
      </c>
      <c r="V253" s="1" t="s">
        <v>45</v>
      </c>
      <c r="W253" s="1"/>
      <c r="X253" s="1"/>
      <c r="Y253" s="1"/>
      <c r="Z253" s="1" t="s">
        <v>658</v>
      </c>
      <c r="AA253" s="1" t="s">
        <v>1919</v>
      </c>
      <c r="AB253" s="1" t="s">
        <v>1920</v>
      </c>
      <c r="AC253" s="1" t="s">
        <v>46</v>
      </c>
      <c r="AD253" s="1"/>
      <c r="AE253" s="1" t="s">
        <v>641</v>
      </c>
      <c r="AF253" s="1" t="s">
        <v>190</v>
      </c>
      <c r="AG253" s="1">
        <v>6</v>
      </c>
      <c r="AH253" s="1" t="s">
        <v>190</v>
      </c>
      <c r="AI253" s="1"/>
      <c r="AJ253" s="3">
        <v>43225.950150462966</v>
      </c>
      <c r="AK253" s="1" t="s">
        <v>1749</v>
      </c>
    </row>
    <row r="254" spans="1:37">
      <c r="A254" s="1" t="str">
        <f>VLOOKUP(H254,Languages!$A$2:$B$430,2,FALSE)</f>
        <v>Atlantic-Congo</v>
      </c>
      <c r="B254" s="1" t="s">
        <v>35</v>
      </c>
      <c r="C254" s="1" t="s">
        <v>255</v>
      </c>
      <c r="D254" s="1" t="s">
        <v>1930</v>
      </c>
      <c r="E254" s="15" t="s">
        <v>1931</v>
      </c>
      <c r="F254" s="15" t="s">
        <v>1932</v>
      </c>
      <c r="G254" s="1" t="s">
        <v>1931</v>
      </c>
      <c r="H254" s="1" t="str">
        <f>VLOOKUP(G254,'languoid 4.0'!$A$1:$I$24439,2,FALSE)</f>
        <v>atla1278</v>
      </c>
      <c r="I254" s="1" t="str">
        <f>VLOOKUP(G254,'languoid 4.0'!$A$1:$I$24439,6,FALSE)</f>
        <v>language</v>
      </c>
      <c r="J254" s="15" t="s">
        <v>52</v>
      </c>
      <c r="K254" s="15" t="s">
        <v>38</v>
      </c>
      <c r="L254" s="15" t="s">
        <v>38</v>
      </c>
      <c r="M254" s="1"/>
      <c r="N254" s="1" t="s">
        <v>1933</v>
      </c>
      <c r="O254" s="15" t="s">
        <v>40</v>
      </c>
      <c r="P254" s="15" t="s">
        <v>41</v>
      </c>
      <c r="Q254" s="1" t="s">
        <v>4073</v>
      </c>
      <c r="R254" s="2" t="s">
        <v>4074</v>
      </c>
      <c r="S254" s="1" t="s">
        <v>46</v>
      </c>
      <c r="T254" s="1" t="s">
        <v>3824</v>
      </c>
      <c r="U254" s="1" t="s">
        <v>636</v>
      </c>
      <c r="V254" s="1" t="s">
        <v>45</v>
      </c>
      <c r="W254" s="1"/>
      <c r="X254" s="1"/>
      <c r="Y254" s="1"/>
      <c r="Z254" s="1" t="s">
        <v>658</v>
      </c>
      <c r="AA254" s="1" t="s">
        <v>4075</v>
      </c>
      <c r="AB254" s="1" t="s">
        <v>4076</v>
      </c>
      <c r="AC254" s="1" t="s">
        <v>46</v>
      </c>
      <c r="AD254" s="1"/>
      <c r="AE254" s="1" t="s">
        <v>641</v>
      </c>
      <c r="AF254" s="1" t="s">
        <v>190</v>
      </c>
      <c r="AG254" s="1">
        <v>6</v>
      </c>
      <c r="AH254" s="1" t="s">
        <v>190</v>
      </c>
      <c r="AI254" s="1"/>
      <c r="AJ254" s="1" t="s">
        <v>4077</v>
      </c>
      <c r="AK254" s="1" t="s">
        <v>1749</v>
      </c>
    </row>
    <row r="255" spans="1:37">
      <c r="A255" s="1" t="str">
        <f>VLOOKUP(H255,Languages!$A$2:$B$430,2,FALSE)</f>
        <v>Atlantic-Congo</v>
      </c>
      <c r="B255" s="1" t="s">
        <v>35</v>
      </c>
      <c r="C255" s="1" t="s">
        <v>255</v>
      </c>
      <c r="D255" s="1" t="s">
        <v>256</v>
      </c>
      <c r="E255" s="15" t="s">
        <v>257</v>
      </c>
      <c r="F255" s="15" t="s">
        <v>257</v>
      </c>
      <c r="G255" s="1" t="s">
        <v>257</v>
      </c>
      <c r="H255" s="1" t="str">
        <f>VLOOKUP(G255,'languoid 4.0'!$A$1:$I$24439,2,FALSE)</f>
        <v>atla1278</v>
      </c>
      <c r="I255" s="1" t="str">
        <f>VLOOKUP(G255,'languoid 4.0'!$A$1:$I$24439,6,FALSE)</f>
        <v>language</v>
      </c>
      <c r="J255" s="15" t="s">
        <v>38</v>
      </c>
      <c r="K255" s="15" t="s">
        <v>38</v>
      </c>
      <c r="L255" s="15" t="s">
        <v>38</v>
      </c>
      <c r="M255" s="1"/>
      <c r="N255" s="1" t="s">
        <v>258</v>
      </c>
      <c r="O255" s="15" t="s">
        <v>40</v>
      </c>
      <c r="P255" s="15" t="s">
        <v>41</v>
      </c>
      <c r="Q255" s="1" t="s">
        <v>4094</v>
      </c>
      <c r="R255" s="2" t="s">
        <v>4095</v>
      </c>
      <c r="S255" s="1" t="s">
        <v>46</v>
      </c>
      <c r="T255" s="1" t="s">
        <v>3824</v>
      </c>
      <c r="U255" s="1" t="s">
        <v>636</v>
      </c>
      <c r="V255" s="1" t="s">
        <v>45</v>
      </c>
      <c r="W255" s="1"/>
      <c r="X255" s="1"/>
      <c r="Y255" s="1"/>
      <c r="Z255" s="1" t="s">
        <v>658</v>
      </c>
      <c r="AA255" s="1" t="s">
        <v>4096</v>
      </c>
      <c r="AB255" s="1" t="s">
        <v>4097</v>
      </c>
      <c r="AC255" s="1" t="s">
        <v>46</v>
      </c>
      <c r="AD255" s="1"/>
      <c r="AE255" s="1" t="s">
        <v>641</v>
      </c>
      <c r="AF255" s="1" t="s">
        <v>190</v>
      </c>
      <c r="AG255" s="1">
        <v>6</v>
      </c>
      <c r="AH255" s="1" t="s">
        <v>190</v>
      </c>
      <c r="AI255" s="1"/>
      <c r="AJ255" s="1" t="s">
        <v>4098</v>
      </c>
      <c r="AK255" s="1" t="s">
        <v>1749</v>
      </c>
    </row>
    <row r="256" spans="1:37">
      <c r="A256" s="1" t="str">
        <f>VLOOKUP(H256,Languages!$A$2:$B$430,2,FALSE)</f>
        <v>Atlantic-Congo</v>
      </c>
      <c r="B256" s="1" t="s">
        <v>35</v>
      </c>
      <c r="C256" s="1" t="s">
        <v>255</v>
      </c>
      <c r="D256" s="1" t="s">
        <v>4099</v>
      </c>
      <c r="E256" s="15" t="s">
        <v>4100</v>
      </c>
      <c r="F256" s="15" t="s">
        <v>4100</v>
      </c>
      <c r="G256" s="1" t="s">
        <v>4100</v>
      </c>
      <c r="H256" s="1" t="str">
        <f>VLOOKUP(G256,'languoid 4.0'!$A$1:$I$24439,2,FALSE)</f>
        <v>atla1278</v>
      </c>
      <c r="I256" s="1" t="str">
        <f>VLOOKUP(G256,'languoid 4.0'!$A$1:$I$24439,6,FALSE)</f>
        <v>language</v>
      </c>
      <c r="J256" s="15" t="s">
        <v>38</v>
      </c>
      <c r="K256" s="15" t="s">
        <v>38</v>
      </c>
      <c r="L256" s="15" t="s">
        <v>38</v>
      </c>
      <c r="M256" s="1"/>
      <c r="N256" s="1" t="s">
        <v>4101</v>
      </c>
      <c r="O256" s="15" t="s">
        <v>40</v>
      </c>
      <c r="P256" s="15" t="s">
        <v>41</v>
      </c>
      <c r="Q256" s="1" t="s">
        <v>4102</v>
      </c>
      <c r="R256" s="2" t="s">
        <v>4103</v>
      </c>
      <c r="S256" s="1" t="s">
        <v>46</v>
      </c>
      <c r="T256" s="1" t="s">
        <v>3824</v>
      </c>
      <c r="U256" s="1" t="s">
        <v>636</v>
      </c>
      <c r="V256" s="1" t="s">
        <v>45</v>
      </c>
      <c r="W256" s="1"/>
      <c r="X256" s="1"/>
      <c r="Y256" s="1"/>
      <c r="Z256" s="1" t="s">
        <v>658</v>
      </c>
      <c r="AA256" s="1" t="s">
        <v>4104</v>
      </c>
      <c r="AB256" s="1" t="s">
        <v>4105</v>
      </c>
      <c r="AC256" s="1" t="s">
        <v>46</v>
      </c>
      <c r="AD256" s="1"/>
      <c r="AE256" s="1" t="s">
        <v>641</v>
      </c>
      <c r="AF256" s="1" t="s">
        <v>190</v>
      </c>
      <c r="AG256" s="1">
        <v>6</v>
      </c>
      <c r="AH256" s="1" t="s">
        <v>190</v>
      </c>
      <c r="AI256" s="1"/>
      <c r="AJ256" s="1" t="s">
        <v>4106</v>
      </c>
      <c r="AK256" s="1" t="s">
        <v>1749</v>
      </c>
    </row>
    <row r="257" spans="1:37">
      <c r="A257" s="1" t="str">
        <f>VLOOKUP(H257,Languages!$A$2:$B$430,2,FALSE)</f>
        <v>Atlantic-Congo</v>
      </c>
      <c r="B257" s="1" t="s">
        <v>35</v>
      </c>
      <c r="C257" s="1" t="s">
        <v>255</v>
      </c>
      <c r="D257" s="1" t="s">
        <v>1916</v>
      </c>
      <c r="E257" s="15" t="s">
        <v>1905</v>
      </c>
      <c r="F257" s="15" t="s">
        <v>1906</v>
      </c>
      <c r="G257" s="1" t="s">
        <v>1906</v>
      </c>
      <c r="H257" s="1" t="str">
        <f>VLOOKUP(G257,'languoid 4.0'!$A$1:$I$24439,2,FALSE)</f>
        <v>atla1278</v>
      </c>
      <c r="I257" s="1" t="str">
        <f>VLOOKUP(G257,'languoid 4.0'!$A$1:$I$24439,6,FALSE)</f>
        <v>language</v>
      </c>
      <c r="J257" s="15" t="s">
        <v>52</v>
      </c>
      <c r="K257" s="15" t="s">
        <v>38</v>
      </c>
      <c r="L257" s="15" t="s">
        <v>38</v>
      </c>
      <c r="M257" s="1"/>
      <c r="N257" s="1"/>
      <c r="O257" s="15" t="s">
        <v>40</v>
      </c>
      <c r="P257" s="15" t="s">
        <v>41</v>
      </c>
      <c r="Q257" s="1" t="s">
        <v>4107</v>
      </c>
      <c r="R257" s="2" t="s">
        <v>4108</v>
      </c>
      <c r="S257" s="1" t="s">
        <v>46</v>
      </c>
      <c r="T257" s="1" t="s">
        <v>3824</v>
      </c>
      <c r="U257" s="1" t="s">
        <v>636</v>
      </c>
      <c r="V257" s="1" t="s">
        <v>45</v>
      </c>
      <c r="W257" s="1"/>
      <c r="X257" s="1"/>
      <c r="Y257" s="1"/>
      <c r="Z257" s="1" t="s">
        <v>658</v>
      </c>
      <c r="AA257" s="1" t="s">
        <v>4109</v>
      </c>
      <c r="AB257" s="1" t="s">
        <v>46</v>
      </c>
      <c r="AC257" s="1" t="s">
        <v>46</v>
      </c>
      <c r="AD257" s="1"/>
      <c r="AE257" s="1" t="s">
        <v>641</v>
      </c>
      <c r="AF257" s="1" t="s">
        <v>190</v>
      </c>
      <c r="AG257" s="1">
        <v>6</v>
      </c>
      <c r="AH257" s="1" t="s">
        <v>190</v>
      </c>
      <c r="AI257" s="1"/>
      <c r="AJ257" s="1" t="s">
        <v>4110</v>
      </c>
      <c r="AK257" s="1" t="s">
        <v>1749</v>
      </c>
    </row>
    <row r="258" spans="1:37">
      <c r="A258" s="1" t="str">
        <f>VLOOKUP(H258,Languages!$A$2:$B$430,2,FALSE)</f>
        <v>Atlantic-Congo</v>
      </c>
      <c r="B258" s="1" t="s">
        <v>35</v>
      </c>
      <c r="C258" s="1" t="s">
        <v>255</v>
      </c>
      <c r="D258" s="1" t="s">
        <v>4065</v>
      </c>
      <c r="E258" s="15" t="s">
        <v>4066</v>
      </c>
      <c r="F258" s="15" t="s">
        <v>4066</v>
      </c>
      <c r="G258" s="1" t="s">
        <v>4066</v>
      </c>
      <c r="H258" s="1" t="str">
        <f>VLOOKUP(G258,'languoid 4.0'!$A$1:$I$24439,2,FALSE)</f>
        <v>atla1278</v>
      </c>
      <c r="I258" s="1" t="str">
        <f>VLOOKUP(G258,'languoid 4.0'!$A$1:$I$24439,6,FALSE)</f>
        <v>language</v>
      </c>
      <c r="J258" s="15" t="s">
        <v>38</v>
      </c>
      <c r="K258" s="15" t="s">
        <v>38</v>
      </c>
      <c r="L258" s="15" t="s">
        <v>38</v>
      </c>
      <c r="M258" s="1"/>
      <c r="N258" s="1" t="s">
        <v>4067</v>
      </c>
      <c r="O258" s="15" t="s">
        <v>40</v>
      </c>
      <c r="P258" s="15" t="s">
        <v>41</v>
      </c>
      <c r="Q258" s="1" t="s">
        <v>4111</v>
      </c>
      <c r="R258" s="2" t="s">
        <v>4112</v>
      </c>
      <c r="S258" s="1" t="s">
        <v>46</v>
      </c>
      <c r="T258" s="1" t="s">
        <v>3824</v>
      </c>
      <c r="U258" s="1" t="s">
        <v>636</v>
      </c>
      <c r="V258" s="1" t="s">
        <v>45</v>
      </c>
      <c r="W258" s="1"/>
      <c r="X258" s="1"/>
      <c r="Y258" s="1"/>
      <c r="Z258" s="1" t="s">
        <v>658</v>
      </c>
      <c r="AA258" s="1" t="s">
        <v>4113</v>
      </c>
      <c r="AB258" s="1" t="s">
        <v>4114</v>
      </c>
      <c r="AC258" s="1" t="s">
        <v>46</v>
      </c>
      <c r="AD258" s="1"/>
      <c r="AE258" s="1" t="s">
        <v>641</v>
      </c>
      <c r="AF258" s="1" t="s">
        <v>190</v>
      </c>
      <c r="AG258" s="1">
        <v>6</v>
      </c>
      <c r="AH258" s="1" t="s">
        <v>190</v>
      </c>
      <c r="AI258" s="1"/>
      <c r="AJ258" s="1" t="s">
        <v>4115</v>
      </c>
      <c r="AK258" s="1" t="s">
        <v>1749</v>
      </c>
    </row>
    <row r="259" spans="1:37">
      <c r="A259" s="1" t="str">
        <f>VLOOKUP(H259,Languages!$A$2:$B$430,2,FALSE)</f>
        <v>Atlantic-Congo</v>
      </c>
      <c r="B259" s="1" t="s">
        <v>35</v>
      </c>
      <c r="C259" s="1" t="s">
        <v>255</v>
      </c>
      <c r="D259" s="1" t="s">
        <v>4116</v>
      </c>
      <c r="E259" s="15" t="s">
        <v>4117</v>
      </c>
      <c r="F259" s="15" t="s">
        <v>4118</v>
      </c>
      <c r="G259" s="1" t="s">
        <v>4117</v>
      </c>
      <c r="H259" s="1" t="str">
        <f>VLOOKUP(G259,'languoid 4.0'!$A$1:$I$24439,2,FALSE)</f>
        <v>atla1278</v>
      </c>
      <c r="I259" s="1" t="str">
        <f>VLOOKUP(G259,'languoid 4.0'!$A$1:$I$24439,6,FALSE)</f>
        <v>dialect</v>
      </c>
      <c r="J259" s="15" t="s">
        <v>52</v>
      </c>
      <c r="K259" s="15" t="s">
        <v>38</v>
      </c>
      <c r="L259" s="15" t="s">
        <v>38</v>
      </c>
      <c r="M259" s="1"/>
      <c r="N259" s="1"/>
      <c r="O259" s="15" t="s">
        <v>40</v>
      </c>
      <c r="P259" s="15" t="s">
        <v>41</v>
      </c>
      <c r="Q259" s="1" t="s">
        <v>4119</v>
      </c>
      <c r="R259" s="2" t="s">
        <v>4120</v>
      </c>
      <c r="S259" s="1" t="s">
        <v>46</v>
      </c>
      <c r="T259" s="1" t="s">
        <v>3824</v>
      </c>
      <c r="U259" s="1" t="s">
        <v>636</v>
      </c>
      <c r="V259" s="1" t="s">
        <v>45</v>
      </c>
      <c r="W259" s="1"/>
      <c r="X259" s="1"/>
      <c r="Y259" s="1"/>
      <c r="Z259" s="1" t="s">
        <v>658</v>
      </c>
      <c r="AA259" s="1" t="s">
        <v>4121</v>
      </c>
      <c r="AB259" s="1" t="s">
        <v>4122</v>
      </c>
      <c r="AC259" s="1" t="s">
        <v>46</v>
      </c>
      <c r="AD259" s="1"/>
      <c r="AE259" s="1" t="s">
        <v>641</v>
      </c>
      <c r="AF259" s="1" t="s">
        <v>190</v>
      </c>
      <c r="AG259" s="1">
        <v>6</v>
      </c>
      <c r="AH259" s="1" t="s">
        <v>190</v>
      </c>
      <c r="AI259" s="1"/>
      <c r="AJ259" s="1" t="s">
        <v>4123</v>
      </c>
      <c r="AK259" s="1" t="s">
        <v>1749</v>
      </c>
    </row>
    <row r="260" spans="1:37">
      <c r="A260" s="1" t="str">
        <f>VLOOKUP(H260,Languages!$A$2:$B$430,2,FALSE)</f>
        <v>Atlantic-Congo</v>
      </c>
      <c r="B260" s="1" t="s">
        <v>35</v>
      </c>
      <c r="C260" s="1" t="s">
        <v>132</v>
      </c>
      <c r="D260" s="1" t="s">
        <v>173</v>
      </c>
      <c r="E260" s="15" t="s">
        <v>174</v>
      </c>
      <c r="F260" s="15" t="s">
        <v>175</v>
      </c>
      <c r="G260" s="1" t="s">
        <v>174</v>
      </c>
      <c r="H260" s="1" t="str">
        <f>VLOOKUP(G260,'languoid 4.0'!$A$1:$I$24439,2,FALSE)</f>
        <v>atla1278</v>
      </c>
      <c r="I260" s="1" t="str">
        <f>VLOOKUP(G260,'languoid 4.0'!$A$1:$I$24439,6,FALSE)</f>
        <v>language</v>
      </c>
      <c r="J260" s="15" t="s">
        <v>52</v>
      </c>
      <c r="K260" s="15" t="s">
        <v>52</v>
      </c>
      <c r="L260" s="15" t="s">
        <v>52</v>
      </c>
      <c r="M260" s="1"/>
      <c r="N260" s="1" t="s">
        <v>176</v>
      </c>
      <c r="O260" s="15" t="s">
        <v>40</v>
      </c>
      <c r="P260" s="15" t="s">
        <v>41</v>
      </c>
      <c r="Q260" s="1" t="s">
        <v>177</v>
      </c>
      <c r="R260" s="2" t="s">
        <v>178</v>
      </c>
      <c r="S260" s="1" t="s">
        <v>179</v>
      </c>
      <c r="T260" s="1" t="s">
        <v>44</v>
      </c>
      <c r="U260" s="1"/>
      <c r="V260" s="1" t="s">
        <v>45</v>
      </c>
      <c r="W260" s="1"/>
      <c r="X260" s="1"/>
      <c r="Y260" s="1"/>
      <c r="Z260" s="1"/>
      <c r="AA260" s="1">
        <v>3</v>
      </c>
      <c r="AB260" s="1">
        <v>6</v>
      </c>
      <c r="AC260" s="1" t="s">
        <v>46</v>
      </c>
      <c r="AD260" s="1"/>
      <c r="AE260" s="1"/>
      <c r="AF260" s="1"/>
      <c r="AG260" s="1"/>
      <c r="AH260" s="1"/>
      <c r="AI260" s="1"/>
      <c r="AJ260" s="3">
        <v>43102.733703703707</v>
      </c>
      <c r="AK260" s="1" t="s">
        <v>57</v>
      </c>
    </row>
    <row r="261" spans="1:37">
      <c r="A261" s="1" t="str">
        <f>VLOOKUP(H261,Languages!$A$2:$B$430,2,FALSE)</f>
        <v>Atlantic-Congo</v>
      </c>
      <c r="B261" s="1" t="s">
        <v>35</v>
      </c>
      <c r="C261" s="1" t="s">
        <v>132</v>
      </c>
      <c r="D261" s="1" t="s">
        <v>173</v>
      </c>
      <c r="E261" s="15" t="s">
        <v>174</v>
      </c>
      <c r="F261" s="15" t="s">
        <v>174</v>
      </c>
      <c r="G261" s="1" t="s">
        <v>174</v>
      </c>
      <c r="H261" s="1" t="str">
        <f>VLOOKUP(G261,'languoid 4.0'!$A$1:$I$24439,2,FALSE)</f>
        <v>atla1278</v>
      </c>
      <c r="I261" s="1" t="str">
        <f>VLOOKUP(G261,'languoid 4.0'!$A$1:$I$24439,6,FALSE)</f>
        <v>language</v>
      </c>
      <c r="J261" s="15" t="s">
        <v>38</v>
      </c>
      <c r="K261" s="15" t="s">
        <v>38</v>
      </c>
      <c r="L261" s="15" t="s">
        <v>38</v>
      </c>
      <c r="M261" s="1"/>
      <c r="N261" s="1" t="s">
        <v>176</v>
      </c>
      <c r="O261" s="15" t="s">
        <v>40</v>
      </c>
      <c r="P261" s="15" t="s">
        <v>41</v>
      </c>
      <c r="Q261" s="1" t="s">
        <v>1641</v>
      </c>
      <c r="R261" s="2" t="s">
        <v>1642</v>
      </c>
      <c r="S261" s="1" t="s">
        <v>46</v>
      </c>
      <c r="T261" s="1" t="s">
        <v>635</v>
      </c>
      <c r="U261" s="1" t="s">
        <v>636</v>
      </c>
      <c r="V261" s="1" t="s">
        <v>45</v>
      </c>
      <c r="W261" s="1"/>
      <c r="X261" s="1"/>
      <c r="Y261" s="1"/>
      <c r="Z261" s="1" t="s">
        <v>658</v>
      </c>
      <c r="AA261" s="1" t="s">
        <v>1643</v>
      </c>
      <c r="AB261" s="1" t="s">
        <v>1644</v>
      </c>
      <c r="AC261" s="1" t="s">
        <v>46</v>
      </c>
      <c r="AD261" s="1"/>
      <c r="AE261" s="1" t="s">
        <v>641</v>
      </c>
      <c r="AF261" s="1" t="s">
        <v>190</v>
      </c>
      <c r="AG261" s="1">
        <v>6</v>
      </c>
      <c r="AH261" s="1" t="s">
        <v>190</v>
      </c>
      <c r="AI261" s="1"/>
      <c r="AJ261" s="3">
        <v>43223.479155092595</v>
      </c>
      <c r="AK261" s="1" t="s">
        <v>1034</v>
      </c>
    </row>
    <row r="262" spans="1:37">
      <c r="A262" s="1" t="str">
        <f>VLOOKUP(H262,Languages!$A$2:$B$430,2,FALSE)</f>
        <v>Atlantic-Congo</v>
      </c>
      <c r="B262" s="1" t="s">
        <v>35</v>
      </c>
      <c r="C262" s="1" t="s">
        <v>132</v>
      </c>
      <c r="D262" s="1" t="s">
        <v>173</v>
      </c>
      <c r="E262" s="15" t="s">
        <v>174</v>
      </c>
      <c r="F262" s="15" t="s">
        <v>174</v>
      </c>
      <c r="G262" s="1" t="s">
        <v>174</v>
      </c>
      <c r="H262" s="1" t="str">
        <f>VLOOKUP(G262,'languoid 4.0'!$A$1:$I$24439,2,FALSE)</f>
        <v>atla1278</v>
      </c>
      <c r="I262" s="1" t="str">
        <f>VLOOKUP(G262,'languoid 4.0'!$A$1:$I$24439,6,FALSE)</f>
        <v>language</v>
      </c>
      <c r="J262" s="15" t="s">
        <v>38</v>
      </c>
      <c r="K262" s="15" t="s">
        <v>38</v>
      </c>
      <c r="L262" s="15" t="s">
        <v>38</v>
      </c>
      <c r="M262" s="1"/>
      <c r="N262" s="1" t="s">
        <v>176</v>
      </c>
      <c r="O262" s="15" t="s">
        <v>40</v>
      </c>
      <c r="P262" s="15" t="s">
        <v>41</v>
      </c>
      <c r="Q262" s="1" t="s">
        <v>1641</v>
      </c>
      <c r="R262" s="2" t="s">
        <v>3748</v>
      </c>
      <c r="S262" s="1" t="s">
        <v>46</v>
      </c>
      <c r="T262" s="1" t="s">
        <v>635</v>
      </c>
      <c r="U262" s="1" t="s">
        <v>636</v>
      </c>
      <c r="V262" s="1" t="s">
        <v>45</v>
      </c>
      <c r="W262" s="1"/>
      <c r="X262" s="1"/>
      <c r="Y262" s="1"/>
      <c r="Z262" s="1" t="s">
        <v>658</v>
      </c>
      <c r="AA262" s="1" t="s">
        <v>3749</v>
      </c>
      <c r="AB262" s="1" t="s">
        <v>3750</v>
      </c>
      <c r="AC262" s="1" t="s">
        <v>46</v>
      </c>
      <c r="AD262" s="1"/>
      <c r="AE262" s="1" t="s">
        <v>641</v>
      </c>
      <c r="AF262" s="1" t="s">
        <v>190</v>
      </c>
      <c r="AG262" s="1">
        <v>6</v>
      </c>
      <c r="AH262" s="1" t="s">
        <v>190</v>
      </c>
      <c r="AI262" s="1"/>
      <c r="AJ262" s="3">
        <v>43348.13449074074</v>
      </c>
      <c r="AK262" s="1" t="s">
        <v>1034</v>
      </c>
    </row>
    <row r="263" spans="1:37">
      <c r="A263" s="1" t="str">
        <f>VLOOKUP(H263,Languages!$A$2:$B$430,2,FALSE)</f>
        <v>Atlantic-Congo</v>
      </c>
      <c r="B263" s="1" t="s">
        <v>1726</v>
      </c>
      <c r="C263" s="1" t="s">
        <v>48</v>
      </c>
      <c r="D263" s="1" t="s">
        <v>5535</v>
      </c>
      <c r="E263" s="15" t="s">
        <v>5536</v>
      </c>
      <c r="F263" s="15" t="s">
        <v>5536</v>
      </c>
      <c r="G263" s="1" t="s">
        <v>5536</v>
      </c>
      <c r="H263" s="1" t="str">
        <f>VLOOKUP(G263,'languoid 4.0'!$A$1:$I$24439,2,FALSE)</f>
        <v>atla1278</v>
      </c>
      <c r="I263" s="1" t="str">
        <f>VLOOKUP(G263,'languoid 4.0'!$A$1:$I$24439,6,FALSE)</f>
        <v>language</v>
      </c>
      <c r="J263" s="15" t="s">
        <v>38</v>
      </c>
      <c r="K263" s="15" t="s">
        <v>38</v>
      </c>
      <c r="L263" s="15" t="s">
        <v>38</v>
      </c>
      <c r="M263" s="1"/>
      <c r="N263" s="1" t="s">
        <v>5537</v>
      </c>
      <c r="O263" s="15" t="s">
        <v>40</v>
      </c>
      <c r="P263" s="15" t="s">
        <v>41</v>
      </c>
      <c r="Q263" s="1" t="s">
        <v>1726</v>
      </c>
      <c r="R263" s="2" t="s">
        <v>5538</v>
      </c>
      <c r="S263" s="1" t="s">
        <v>3414</v>
      </c>
      <c r="T263" s="1" t="s">
        <v>635</v>
      </c>
      <c r="U263" s="1" t="s">
        <v>636</v>
      </c>
      <c r="V263" s="1" t="s">
        <v>45</v>
      </c>
      <c r="W263" s="1"/>
      <c r="X263" s="1"/>
      <c r="Y263" s="1"/>
      <c r="Z263" s="1" t="s">
        <v>637</v>
      </c>
      <c r="AA263" s="1" t="s">
        <v>5539</v>
      </c>
      <c r="AB263" s="1" t="s">
        <v>5540</v>
      </c>
      <c r="AC263" s="1" t="s">
        <v>46</v>
      </c>
      <c r="AD263" s="1"/>
      <c r="AE263" s="1" t="s">
        <v>641</v>
      </c>
      <c r="AF263" s="1" t="s">
        <v>190</v>
      </c>
      <c r="AG263" s="1">
        <v>4</v>
      </c>
      <c r="AH263" s="1" t="s">
        <v>190</v>
      </c>
      <c r="AI263" s="1"/>
      <c r="AJ263" s="1" t="s">
        <v>5541</v>
      </c>
      <c r="AK263" s="1" t="s">
        <v>5542</v>
      </c>
    </row>
    <row r="264" spans="1:37">
      <c r="A264" s="1" t="str">
        <f>VLOOKUP(H264,Languages!$A$2:$B$430,2,FALSE)</f>
        <v>Atlantic-Congo</v>
      </c>
      <c r="B264" s="1" t="s">
        <v>1726</v>
      </c>
      <c r="C264" s="1" t="s">
        <v>48</v>
      </c>
      <c r="D264" s="1" t="s">
        <v>7751</v>
      </c>
      <c r="E264" s="15" t="s">
        <v>5975</v>
      </c>
      <c r="F264" s="15" t="s">
        <v>5975</v>
      </c>
      <c r="G264" s="1" t="s">
        <v>5975</v>
      </c>
      <c r="H264" s="1" t="str">
        <f>VLOOKUP(G264,'languoid 4.0'!$A$1:$I$24439,2,FALSE)</f>
        <v>atla1278</v>
      </c>
      <c r="I264" s="1" t="str">
        <f>VLOOKUP(G264,'languoid 4.0'!$A$1:$I$24439,6,FALSE)</f>
        <v>language</v>
      </c>
      <c r="J264" s="15" t="s">
        <v>38</v>
      </c>
      <c r="K264" s="15" t="s">
        <v>38</v>
      </c>
      <c r="L264" s="15" t="s">
        <v>38</v>
      </c>
      <c r="M264" s="1"/>
      <c r="N264" s="1" t="s">
        <v>5976</v>
      </c>
      <c r="O264" s="15" t="s">
        <v>40</v>
      </c>
      <c r="P264" s="15" t="s">
        <v>41</v>
      </c>
      <c r="Q264" s="1" t="s">
        <v>7752</v>
      </c>
      <c r="R264" s="2" t="s">
        <v>7753</v>
      </c>
      <c r="S264" s="1" t="s">
        <v>46</v>
      </c>
      <c r="T264" s="1" t="s">
        <v>1007</v>
      </c>
      <c r="U264" s="1" t="s">
        <v>636</v>
      </c>
      <c r="V264" s="1" t="s">
        <v>45</v>
      </c>
      <c r="W264" s="1"/>
      <c r="X264" s="1"/>
      <c r="Y264" s="1"/>
      <c r="Z264" s="1" t="s">
        <v>637</v>
      </c>
      <c r="AA264" s="1" t="s">
        <v>7754</v>
      </c>
      <c r="AB264" s="1" t="s">
        <v>7755</v>
      </c>
      <c r="AC264" s="1" t="s">
        <v>46</v>
      </c>
      <c r="AD264" s="1"/>
      <c r="AE264" s="1" t="s">
        <v>641</v>
      </c>
      <c r="AF264" s="1" t="s">
        <v>190</v>
      </c>
      <c r="AG264" s="1">
        <v>6</v>
      </c>
      <c r="AH264" s="1" t="s">
        <v>190</v>
      </c>
      <c r="AI264" s="1"/>
      <c r="AJ264" s="1" t="s">
        <v>7756</v>
      </c>
      <c r="AK264" s="1" t="s">
        <v>5542</v>
      </c>
    </row>
    <row r="265" spans="1:37">
      <c r="A265" s="1" t="str">
        <f>VLOOKUP(H265,Languages!$A$2:$B$430,2,FALSE)</f>
        <v>Atlantic-Congo</v>
      </c>
      <c r="B265" s="1" t="s">
        <v>1726</v>
      </c>
      <c r="C265" s="1" t="s">
        <v>48</v>
      </c>
      <c r="D265" s="1" t="s">
        <v>7751</v>
      </c>
      <c r="E265" s="15" t="s">
        <v>5975</v>
      </c>
      <c r="F265" s="15" t="s">
        <v>5975</v>
      </c>
      <c r="G265" s="1" t="s">
        <v>5975</v>
      </c>
      <c r="H265" s="1" t="str">
        <f>VLOOKUP(G265,'languoid 4.0'!$A$1:$I$24439,2,FALSE)</f>
        <v>atla1278</v>
      </c>
      <c r="I265" s="1" t="str">
        <f>VLOOKUP(G265,'languoid 4.0'!$A$1:$I$24439,6,FALSE)</f>
        <v>language</v>
      </c>
      <c r="J265" s="15" t="s">
        <v>38</v>
      </c>
      <c r="K265" s="15" t="s">
        <v>38</v>
      </c>
      <c r="L265" s="15" t="s">
        <v>38</v>
      </c>
      <c r="M265" s="1"/>
      <c r="N265" s="1" t="s">
        <v>5976</v>
      </c>
      <c r="O265" s="15" t="s">
        <v>40</v>
      </c>
      <c r="P265" s="15" t="s">
        <v>41</v>
      </c>
      <c r="Q265" s="1" t="s">
        <v>7757</v>
      </c>
      <c r="R265" s="2" t="s">
        <v>7758</v>
      </c>
      <c r="S265" s="1" t="s">
        <v>46</v>
      </c>
      <c r="T265" s="1" t="s">
        <v>1007</v>
      </c>
      <c r="U265" s="1" t="s">
        <v>636</v>
      </c>
      <c r="V265" s="1" t="s">
        <v>45</v>
      </c>
      <c r="W265" s="1"/>
      <c r="X265" s="1"/>
      <c r="Y265" s="1"/>
      <c r="Z265" s="1" t="s">
        <v>637</v>
      </c>
      <c r="AA265" s="1" t="s">
        <v>7759</v>
      </c>
      <c r="AB265" s="1" t="s">
        <v>7760</v>
      </c>
      <c r="AC265" s="1" t="s">
        <v>46</v>
      </c>
      <c r="AD265" s="1"/>
      <c r="AE265" s="1" t="s">
        <v>641</v>
      </c>
      <c r="AF265" s="1" t="s">
        <v>190</v>
      </c>
      <c r="AG265" s="1">
        <v>6</v>
      </c>
      <c r="AH265" s="1" t="s">
        <v>190</v>
      </c>
      <c r="AI265" s="1"/>
      <c r="AJ265" s="1" t="s">
        <v>7761</v>
      </c>
      <c r="AK265" s="1" t="s">
        <v>5542</v>
      </c>
    </row>
    <row r="266" spans="1:37">
      <c r="A266" s="1" t="str">
        <f>VLOOKUP(H266,Languages!$A$2:$B$430,2,FALSE)</f>
        <v>Atlantic-Congo</v>
      </c>
      <c r="B266" s="1" t="s">
        <v>1726</v>
      </c>
      <c r="C266" s="1" t="s">
        <v>48</v>
      </c>
      <c r="D266" s="1" t="s">
        <v>8096</v>
      </c>
      <c r="E266" s="15" t="s">
        <v>8097</v>
      </c>
      <c r="F266" s="15" t="s">
        <v>51</v>
      </c>
      <c r="G266" s="1" t="s">
        <v>8097</v>
      </c>
      <c r="H266" s="1" t="str">
        <f>VLOOKUP(G266,'languoid 4.0'!$A$1:$I$24439,2,FALSE)</f>
        <v>atla1278</v>
      </c>
      <c r="I266" s="1" t="str">
        <f>VLOOKUP(G266,'languoid 4.0'!$A$1:$I$24439,6,FALSE)</f>
        <v>language</v>
      </c>
      <c r="J266" s="15" t="s">
        <v>52</v>
      </c>
      <c r="K266" s="15" t="s">
        <v>51</v>
      </c>
      <c r="L266" s="15" t="s">
        <v>51</v>
      </c>
      <c r="M266" s="1"/>
      <c r="N266" s="1" t="s">
        <v>8098</v>
      </c>
      <c r="O266" s="15" t="s">
        <v>40</v>
      </c>
      <c r="P266" s="15" t="s">
        <v>632</v>
      </c>
      <c r="Q266" s="1" t="s">
        <v>8099</v>
      </c>
      <c r="R266" s="2" t="s">
        <v>8100</v>
      </c>
      <c r="S266" s="1" t="s">
        <v>8101</v>
      </c>
      <c r="T266" s="1" t="s">
        <v>1689</v>
      </c>
      <c r="U266" s="1" t="s">
        <v>636</v>
      </c>
      <c r="V266" s="1" t="s">
        <v>45</v>
      </c>
      <c r="W266" s="1"/>
      <c r="X266" s="1"/>
      <c r="Y266" s="1"/>
      <c r="Z266" s="1" t="s">
        <v>637</v>
      </c>
      <c r="AA266" s="1" t="s">
        <v>8102</v>
      </c>
      <c r="AB266" s="1" t="s">
        <v>8103</v>
      </c>
      <c r="AC266" s="1" t="s">
        <v>46</v>
      </c>
      <c r="AD266" s="1"/>
      <c r="AE266" s="1" t="s">
        <v>641</v>
      </c>
      <c r="AF266" s="1" t="s">
        <v>190</v>
      </c>
      <c r="AG266" s="1">
        <v>6</v>
      </c>
      <c r="AH266" s="1" t="s">
        <v>190</v>
      </c>
      <c r="AI266" s="1"/>
      <c r="AJ266" s="1" t="s">
        <v>8104</v>
      </c>
      <c r="AK266" s="1" t="s">
        <v>5542</v>
      </c>
    </row>
    <row r="267" spans="1:37">
      <c r="A267" s="1" t="str">
        <f>VLOOKUP(H267,Languages!$A$2:$B$430,2,FALSE)</f>
        <v>Atlantic-Congo</v>
      </c>
      <c r="B267" s="1" t="s">
        <v>1726</v>
      </c>
      <c r="C267" s="1" t="s">
        <v>214</v>
      </c>
      <c r="D267" s="1" t="s">
        <v>1788</v>
      </c>
      <c r="E267" s="15" t="s">
        <v>812</v>
      </c>
      <c r="F267" s="15" t="s">
        <v>812</v>
      </c>
      <c r="G267" s="1" t="s">
        <v>812</v>
      </c>
      <c r="H267" s="1" t="str">
        <f>VLOOKUP(G267,'languoid 4.0'!$A$1:$I$24439,2,FALSE)</f>
        <v>atla1278</v>
      </c>
      <c r="I267" s="1" t="str">
        <f>VLOOKUP(G267,'languoid 4.0'!$A$1:$I$24439,6,FALSE)</f>
        <v>language</v>
      </c>
      <c r="J267" s="15" t="s">
        <v>38</v>
      </c>
      <c r="K267" s="15" t="s">
        <v>38</v>
      </c>
      <c r="L267" s="15" t="s">
        <v>38</v>
      </c>
      <c r="M267" s="1"/>
      <c r="N267" s="1" t="s">
        <v>813</v>
      </c>
      <c r="O267" s="15" t="s">
        <v>40</v>
      </c>
      <c r="P267" s="15" t="s">
        <v>41</v>
      </c>
      <c r="Q267" s="1" t="s">
        <v>1808</v>
      </c>
      <c r="R267" s="2" t="s">
        <v>1809</v>
      </c>
      <c r="S267" s="1" t="s">
        <v>1021</v>
      </c>
      <c r="T267" s="1" t="s">
        <v>1007</v>
      </c>
      <c r="U267" s="1" t="s">
        <v>636</v>
      </c>
      <c r="V267" s="1" t="s">
        <v>45</v>
      </c>
      <c r="W267" s="1"/>
      <c r="X267" s="1"/>
      <c r="Y267" s="1"/>
      <c r="Z267" s="1" t="s">
        <v>658</v>
      </c>
      <c r="AA267" s="1" t="s">
        <v>1810</v>
      </c>
      <c r="AB267" s="1" t="s">
        <v>1021</v>
      </c>
      <c r="AC267" s="1" t="s">
        <v>1021</v>
      </c>
      <c r="AD267" s="1" t="s">
        <v>1811</v>
      </c>
      <c r="AE267" s="1" t="s">
        <v>641</v>
      </c>
      <c r="AF267" s="1" t="s">
        <v>190</v>
      </c>
      <c r="AG267" s="1">
        <v>6</v>
      </c>
      <c r="AH267" s="1" t="s">
        <v>190</v>
      </c>
      <c r="AI267" s="1"/>
      <c r="AJ267" s="3">
        <v>43437.478043981479</v>
      </c>
      <c r="AK267" s="1" t="s">
        <v>740</v>
      </c>
    </row>
    <row r="268" spans="1:37">
      <c r="A268" s="1" t="str">
        <f>VLOOKUP(H268,Languages!$A$2:$B$430,2,FALSE)</f>
        <v>Atlantic-Congo</v>
      </c>
      <c r="B268" s="1" t="s">
        <v>1726</v>
      </c>
      <c r="C268" s="1" t="s">
        <v>255</v>
      </c>
      <c r="D268" s="1" t="s">
        <v>2514</v>
      </c>
      <c r="E268" s="15" t="s">
        <v>2515</v>
      </c>
      <c r="F268" s="15" t="s">
        <v>2515</v>
      </c>
      <c r="G268" s="1" t="s">
        <v>2515</v>
      </c>
      <c r="H268" s="1" t="str">
        <f>VLOOKUP(G268,'languoid 4.0'!$A$1:$I$24439,2,FALSE)</f>
        <v>atla1278</v>
      </c>
      <c r="I268" s="1" t="str">
        <f>VLOOKUP(G268,'languoid 4.0'!$A$1:$I$24439,6,FALSE)</f>
        <v>language</v>
      </c>
      <c r="J268" s="15" t="s">
        <v>38</v>
      </c>
      <c r="K268" s="15" t="s">
        <v>38</v>
      </c>
      <c r="L268" s="15" t="s">
        <v>38</v>
      </c>
      <c r="M268" s="1"/>
      <c r="N268" s="1" t="s">
        <v>2516</v>
      </c>
      <c r="O268" s="15" t="s">
        <v>40</v>
      </c>
      <c r="P268" s="15" t="s">
        <v>41</v>
      </c>
      <c r="Q268" s="1" t="s">
        <v>2517</v>
      </c>
      <c r="R268" s="2" t="s">
        <v>2518</v>
      </c>
      <c r="S268" s="1" t="s">
        <v>46</v>
      </c>
      <c r="T268" s="1" t="s">
        <v>635</v>
      </c>
      <c r="U268" s="1" t="s">
        <v>636</v>
      </c>
      <c r="V268" s="1" t="s">
        <v>45</v>
      </c>
      <c r="W268" s="1"/>
      <c r="X268" s="1"/>
      <c r="Y268" s="1"/>
      <c r="Z268" s="1" t="s">
        <v>658</v>
      </c>
      <c r="AA268" s="1" t="s">
        <v>2519</v>
      </c>
      <c r="AB268" s="1" t="s">
        <v>2520</v>
      </c>
      <c r="AC268" s="1" t="s">
        <v>46</v>
      </c>
      <c r="AD268" s="1"/>
      <c r="AE268" s="1" t="s">
        <v>641</v>
      </c>
      <c r="AF268" s="1" t="s">
        <v>190</v>
      </c>
      <c r="AG268" s="1">
        <v>6</v>
      </c>
      <c r="AH268" s="1" t="s">
        <v>190</v>
      </c>
      <c r="AI268" s="1"/>
      <c r="AJ268" s="3">
        <v>43135.874606481484</v>
      </c>
      <c r="AK268" s="1" t="s">
        <v>1749</v>
      </c>
    </row>
    <row r="269" spans="1:37">
      <c r="A269" s="1" t="str">
        <f>VLOOKUP(H269,Languages!$A$2:$B$430,2,FALSE)</f>
        <v>Atlantic-Congo</v>
      </c>
      <c r="B269" s="1" t="s">
        <v>1726</v>
      </c>
      <c r="C269" s="1" t="s">
        <v>255</v>
      </c>
      <c r="D269" s="1" t="s">
        <v>2521</v>
      </c>
      <c r="E269" s="15" t="s">
        <v>2522</v>
      </c>
      <c r="F269" s="15" t="s">
        <v>2522</v>
      </c>
      <c r="G269" s="1" t="s">
        <v>2522</v>
      </c>
      <c r="H269" s="1" t="str">
        <f>VLOOKUP(G269,'languoid 4.0'!$A$1:$I$24439,2,FALSE)</f>
        <v>atla1278</v>
      </c>
      <c r="I269" s="1" t="str">
        <f>VLOOKUP(G269,'languoid 4.0'!$A$1:$I$24439,6,FALSE)</f>
        <v>language</v>
      </c>
      <c r="J269" s="15" t="s">
        <v>38</v>
      </c>
      <c r="K269" s="15" t="s">
        <v>38</v>
      </c>
      <c r="L269" s="15" t="s">
        <v>38</v>
      </c>
      <c r="M269" s="1"/>
      <c r="N269" s="1" t="s">
        <v>2523</v>
      </c>
      <c r="O269" s="15" t="s">
        <v>40</v>
      </c>
      <c r="P269" s="15" t="s">
        <v>41</v>
      </c>
      <c r="Q269" s="1" t="s">
        <v>2524</v>
      </c>
      <c r="R269" s="2" t="s">
        <v>2525</v>
      </c>
      <c r="S269" s="1" t="s">
        <v>46</v>
      </c>
      <c r="T269" s="1" t="s">
        <v>635</v>
      </c>
      <c r="U269" s="1" t="s">
        <v>1738</v>
      </c>
      <c r="V269" s="1" t="s">
        <v>45</v>
      </c>
      <c r="W269" s="1"/>
      <c r="X269" s="1"/>
      <c r="Y269" s="1"/>
      <c r="Z269" s="1" t="s">
        <v>658</v>
      </c>
      <c r="AA269" s="1" t="s">
        <v>2526</v>
      </c>
      <c r="AB269" s="1" t="s">
        <v>2527</v>
      </c>
      <c r="AC269" s="1" t="s">
        <v>46</v>
      </c>
      <c r="AD269" s="1"/>
      <c r="AE269" s="1" t="s">
        <v>641</v>
      </c>
      <c r="AF269" s="1" t="s">
        <v>190</v>
      </c>
      <c r="AG269" s="1">
        <v>6</v>
      </c>
      <c r="AH269" s="1" t="s">
        <v>190</v>
      </c>
      <c r="AI269" s="1" t="s">
        <v>2528</v>
      </c>
      <c r="AJ269" s="3">
        <v>43135.876840277779</v>
      </c>
      <c r="AK269" s="1" t="s">
        <v>1749</v>
      </c>
    </row>
    <row r="270" spans="1:37">
      <c r="A270" s="1" t="str">
        <f>VLOOKUP(H270,Languages!$A$2:$B$430,2,FALSE)</f>
        <v>Atlantic-Congo</v>
      </c>
      <c r="B270" s="1" t="s">
        <v>1726</v>
      </c>
      <c r="C270" s="1" t="s">
        <v>255</v>
      </c>
      <c r="D270" s="1" t="s">
        <v>3608</v>
      </c>
      <c r="E270" s="15" t="s">
        <v>3609</v>
      </c>
      <c r="F270" s="15" t="s">
        <v>3610</v>
      </c>
      <c r="G270" s="1" t="s">
        <v>3610</v>
      </c>
      <c r="H270" s="1" t="str">
        <f>VLOOKUP(G270,'languoid 4.0'!$A$1:$I$24439,2,FALSE)</f>
        <v>atla1278</v>
      </c>
      <c r="I270" s="1" t="str">
        <f>VLOOKUP(G270,'languoid 4.0'!$A$1:$I$24439,6,FALSE)</f>
        <v>language</v>
      </c>
      <c r="J270" s="15" t="s">
        <v>52</v>
      </c>
      <c r="K270" s="15" t="s">
        <v>38</v>
      </c>
      <c r="L270" s="15" t="s">
        <v>38</v>
      </c>
      <c r="M270" s="1"/>
      <c r="N270" s="1"/>
      <c r="O270" s="15" t="s">
        <v>40</v>
      </c>
      <c r="P270" s="15" t="s">
        <v>41</v>
      </c>
      <c r="Q270" s="1" t="s">
        <v>3871</v>
      </c>
      <c r="R270" s="2" t="s">
        <v>3872</v>
      </c>
      <c r="S270" s="1" t="s">
        <v>46</v>
      </c>
      <c r="T270" s="1" t="s">
        <v>635</v>
      </c>
      <c r="U270" s="1" t="s">
        <v>636</v>
      </c>
      <c r="V270" s="1" t="s">
        <v>45</v>
      </c>
      <c r="W270" s="1"/>
      <c r="X270" s="1"/>
      <c r="Y270" s="1"/>
      <c r="Z270" s="1" t="s">
        <v>658</v>
      </c>
      <c r="AA270" s="1" t="s">
        <v>3873</v>
      </c>
      <c r="AB270" s="1" t="s">
        <v>3874</v>
      </c>
      <c r="AC270" s="1" t="s">
        <v>46</v>
      </c>
      <c r="AD270" s="1"/>
      <c r="AE270" s="1" t="s">
        <v>641</v>
      </c>
      <c r="AF270" s="1" t="s">
        <v>190</v>
      </c>
      <c r="AG270" s="1">
        <v>6</v>
      </c>
      <c r="AH270" s="1" t="s">
        <v>190</v>
      </c>
      <c r="AI270" s="1"/>
      <c r="AJ270" s="1" t="s">
        <v>3875</v>
      </c>
      <c r="AK270" s="1" t="s">
        <v>1749</v>
      </c>
    </row>
    <row r="271" spans="1:37">
      <c r="A271" s="1" t="str">
        <f>VLOOKUP(H271,Languages!$A$2:$B$430,2,FALSE)</f>
        <v>Atlantic-Congo</v>
      </c>
      <c r="B271" s="1" t="s">
        <v>1726</v>
      </c>
      <c r="C271" s="1" t="s">
        <v>255</v>
      </c>
      <c r="D271" s="1" t="s">
        <v>4140</v>
      </c>
      <c r="E271" s="15" t="s">
        <v>4141</v>
      </c>
      <c r="F271" s="15" t="s">
        <v>4142</v>
      </c>
      <c r="G271" s="1" t="s">
        <v>4141</v>
      </c>
      <c r="H271" s="1" t="str">
        <f>VLOOKUP(G271,'languoid 4.0'!$A$1:$I$24439,2,FALSE)</f>
        <v>atla1278</v>
      </c>
      <c r="I271" s="1" t="str">
        <f>VLOOKUP(G271,'languoid 4.0'!$A$1:$I$24439,6,FALSE)</f>
        <v>language</v>
      </c>
      <c r="J271" s="15" t="s">
        <v>52</v>
      </c>
      <c r="K271" s="15" t="s">
        <v>52</v>
      </c>
      <c r="L271" s="15" t="s">
        <v>52</v>
      </c>
      <c r="M271" s="1"/>
      <c r="N271" s="1" t="s">
        <v>4143</v>
      </c>
      <c r="O271" s="15" t="s">
        <v>40</v>
      </c>
      <c r="P271" s="15" t="s">
        <v>41</v>
      </c>
      <c r="Q271" s="1" t="s">
        <v>4144</v>
      </c>
      <c r="R271" s="2" t="s">
        <v>4145</v>
      </c>
      <c r="S271" s="1" t="s">
        <v>46</v>
      </c>
      <c r="T271" s="1" t="s">
        <v>3824</v>
      </c>
      <c r="U271" s="1" t="s">
        <v>636</v>
      </c>
      <c r="V271" s="1" t="s">
        <v>45</v>
      </c>
      <c r="W271" s="1"/>
      <c r="X271" s="1"/>
      <c r="Y271" s="1"/>
      <c r="Z271" s="1" t="s">
        <v>658</v>
      </c>
      <c r="AA271" s="1" t="s">
        <v>4146</v>
      </c>
      <c r="AB271" s="1" t="s">
        <v>46</v>
      </c>
      <c r="AC271" s="1" t="s">
        <v>46</v>
      </c>
      <c r="AD271" s="1"/>
      <c r="AE271" s="1" t="s">
        <v>641</v>
      </c>
      <c r="AF271" s="1" t="s">
        <v>190</v>
      </c>
      <c r="AG271" s="1">
        <v>5</v>
      </c>
      <c r="AH271" s="1" t="s">
        <v>190</v>
      </c>
      <c r="AI271" s="1"/>
      <c r="AJ271" s="1" t="s">
        <v>4147</v>
      </c>
      <c r="AK271" s="1" t="s">
        <v>1749</v>
      </c>
    </row>
    <row r="272" spans="1:37">
      <c r="A272" s="1" t="str">
        <f>VLOOKUP(H272,Languages!$A$2:$B$430,2,FALSE)</f>
        <v>Atlantic-Congo</v>
      </c>
      <c r="B272" s="1" t="s">
        <v>1726</v>
      </c>
      <c r="C272" s="1" t="s">
        <v>255</v>
      </c>
      <c r="D272" s="1" t="s">
        <v>3848</v>
      </c>
      <c r="E272" s="15" t="s">
        <v>3849</v>
      </c>
      <c r="F272" s="15" t="s">
        <v>3849</v>
      </c>
      <c r="G272" s="1" t="s">
        <v>500</v>
      </c>
      <c r="H272" s="1" t="str">
        <f>VLOOKUP(G272,'languoid 4.0'!$A$1:$I$24439,2,FALSE)</f>
        <v>atla1278</v>
      </c>
      <c r="I272" s="1" t="str">
        <f>VLOOKUP(G272,'languoid 4.0'!$A$1:$I$24439,6,FALSE)</f>
        <v>family</v>
      </c>
      <c r="J272" s="15" t="s">
        <v>38</v>
      </c>
      <c r="K272" s="15" t="s">
        <v>38</v>
      </c>
      <c r="L272" s="15" t="s">
        <v>38</v>
      </c>
      <c r="M272" s="1"/>
      <c r="N272" s="1" t="s">
        <v>3850</v>
      </c>
      <c r="O272" s="15" t="s">
        <v>40</v>
      </c>
      <c r="P272" s="15" t="s">
        <v>41</v>
      </c>
      <c r="Q272" s="1" t="s">
        <v>4148</v>
      </c>
      <c r="R272" s="2" t="s">
        <v>4149</v>
      </c>
      <c r="S272" s="1" t="s">
        <v>46</v>
      </c>
      <c r="T272" s="1" t="s">
        <v>3824</v>
      </c>
      <c r="U272" s="1" t="s">
        <v>636</v>
      </c>
      <c r="V272" s="1" t="s">
        <v>45</v>
      </c>
      <c r="W272" s="1"/>
      <c r="X272" s="1"/>
      <c r="Y272" s="1"/>
      <c r="Z272" s="1" t="s">
        <v>658</v>
      </c>
      <c r="AA272" s="1" t="s">
        <v>4150</v>
      </c>
      <c r="AB272" s="1" t="s">
        <v>4151</v>
      </c>
      <c r="AC272" s="1" t="s">
        <v>46</v>
      </c>
      <c r="AD272" s="1"/>
      <c r="AE272" s="1" t="s">
        <v>641</v>
      </c>
      <c r="AF272" s="1" t="s">
        <v>190</v>
      </c>
      <c r="AG272" s="1">
        <v>6</v>
      </c>
      <c r="AH272" s="1" t="s">
        <v>190</v>
      </c>
      <c r="AI272" s="1"/>
      <c r="AJ272" s="1" t="s">
        <v>4152</v>
      </c>
      <c r="AK272" s="1" t="s">
        <v>1749</v>
      </c>
    </row>
    <row r="273" spans="1:37">
      <c r="A273" s="1" t="str">
        <f>VLOOKUP(H273,Languages!$A$2:$B$430,2,FALSE)</f>
        <v>Atlantic-Congo</v>
      </c>
      <c r="B273" s="1" t="s">
        <v>1726</v>
      </c>
      <c r="C273" s="1" t="s">
        <v>255</v>
      </c>
      <c r="D273" s="1" t="s">
        <v>4153</v>
      </c>
      <c r="E273" s="15" t="s">
        <v>4154</v>
      </c>
      <c r="F273" s="15" t="s">
        <v>4154</v>
      </c>
      <c r="G273" s="1" t="s">
        <v>4154</v>
      </c>
      <c r="H273" s="1" t="str">
        <f>VLOOKUP(G273,'languoid 4.0'!$A$1:$I$24439,2,FALSE)</f>
        <v>atla1278</v>
      </c>
      <c r="I273" s="1" t="str">
        <f>VLOOKUP(G273,'languoid 4.0'!$A$1:$I$24439,6,FALSE)</f>
        <v>language</v>
      </c>
      <c r="J273" s="15" t="s">
        <v>38</v>
      </c>
      <c r="K273" s="15" t="s">
        <v>38</v>
      </c>
      <c r="L273" s="15" t="s">
        <v>38</v>
      </c>
      <c r="M273" s="1"/>
      <c r="N273" s="1" t="s">
        <v>4155</v>
      </c>
      <c r="O273" s="15" t="s">
        <v>40</v>
      </c>
      <c r="P273" s="15" t="s">
        <v>41</v>
      </c>
      <c r="Q273" s="1" t="s">
        <v>4156</v>
      </c>
      <c r="R273" s="2" t="s">
        <v>4157</v>
      </c>
      <c r="S273" s="1" t="s">
        <v>46</v>
      </c>
      <c r="T273" s="1" t="s">
        <v>3824</v>
      </c>
      <c r="U273" s="1" t="s">
        <v>636</v>
      </c>
      <c r="V273" s="1" t="s">
        <v>45</v>
      </c>
      <c r="W273" s="1"/>
      <c r="X273" s="1"/>
      <c r="Y273" s="1"/>
      <c r="Z273" s="1" t="s">
        <v>658</v>
      </c>
      <c r="AA273" s="1" t="s">
        <v>4158</v>
      </c>
      <c r="AB273" s="1" t="s">
        <v>4159</v>
      </c>
      <c r="AC273" s="1" t="s">
        <v>46</v>
      </c>
      <c r="AD273" s="1"/>
      <c r="AE273" s="1" t="s">
        <v>641</v>
      </c>
      <c r="AF273" s="1" t="s">
        <v>190</v>
      </c>
      <c r="AG273" s="1">
        <v>6</v>
      </c>
      <c r="AH273" s="1" t="s">
        <v>190</v>
      </c>
      <c r="AI273" s="1"/>
      <c r="AJ273" s="1" t="s">
        <v>4160</v>
      </c>
      <c r="AK273" s="1" t="s">
        <v>1749</v>
      </c>
    </row>
    <row r="274" spans="1:37">
      <c r="A274" s="1" t="str">
        <f>VLOOKUP(H274,Languages!$A$2:$B$430,2,FALSE)</f>
        <v>Atlantic-Congo</v>
      </c>
      <c r="B274" s="1" t="s">
        <v>1726</v>
      </c>
      <c r="C274" s="1" t="s">
        <v>255</v>
      </c>
      <c r="D274" s="1" t="s">
        <v>3997</v>
      </c>
      <c r="E274" s="15" t="s">
        <v>3998</v>
      </c>
      <c r="F274" s="15" t="s">
        <v>3999</v>
      </c>
      <c r="G274" s="1" t="s">
        <v>3999</v>
      </c>
      <c r="H274" s="1" t="str">
        <f>VLOOKUP(G274,'languoid 4.0'!$A$1:$I$24439,2,FALSE)</f>
        <v>atla1278</v>
      </c>
      <c r="I274" s="1" t="str">
        <f>VLOOKUP(G274,'languoid 4.0'!$A$1:$I$24439,6,FALSE)</f>
        <v>language</v>
      </c>
      <c r="J274" s="15" t="s">
        <v>52</v>
      </c>
      <c r="K274" s="15" t="s">
        <v>38</v>
      </c>
      <c r="L274" s="15" t="s">
        <v>38</v>
      </c>
      <c r="M274" s="1"/>
      <c r="N274" s="1"/>
      <c r="O274" s="15" t="s">
        <v>40</v>
      </c>
      <c r="P274" s="15" t="s">
        <v>41</v>
      </c>
      <c r="Q274" s="1" t="s">
        <v>4161</v>
      </c>
      <c r="R274" s="2" t="s">
        <v>4162</v>
      </c>
      <c r="S274" s="1" t="s">
        <v>46</v>
      </c>
      <c r="T274" s="1" t="s">
        <v>3824</v>
      </c>
      <c r="U274" s="1" t="s">
        <v>636</v>
      </c>
      <c r="V274" s="1" t="s">
        <v>45</v>
      </c>
      <c r="W274" s="1"/>
      <c r="X274" s="1"/>
      <c r="Y274" s="1"/>
      <c r="Z274" s="1" t="s">
        <v>658</v>
      </c>
      <c r="AA274" s="1" t="s">
        <v>4163</v>
      </c>
      <c r="AB274" s="1" t="s">
        <v>46</v>
      </c>
      <c r="AC274" s="1" t="s">
        <v>46</v>
      </c>
      <c r="AD274" s="1"/>
      <c r="AE274" s="1" t="s">
        <v>641</v>
      </c>
      <c r="AF274" s="1" t="s">
        <v>190</v>
      </c>
      <c r="AG274" s="1">
        <v>6</v>
      </c>
      <c r="AH274" s="1" t="s">
        <v>190</v>
      </c>
      <c r="AI274" s="1"/>
      <c r="AJ274" s="1" t="s">
        <v>4164</v>
      </c>
      <c r="AK274" s="1" t="s">
        <v>1749</v>
      </c>
    </row>
    <row r="275" spans="1:37">
      <c r="A275" s="1" t="str">
        <f>VLOOKUP(H275,Languages!$A$2:$B$430,2,FALSE)</f>
        <v>Atlantic-Congo</v>
      </c>
      <c r="B275" s="1" t="s">
        <v>1726</v>
      </c>
      <c r="C275" s="1" t="s">
        <v>255</v>
      </c>
      <c r="D275" s="1" t="s">
        <v>4165</v>
      </c>
      <c r="E275" s="15" t="s">
        <v>4166</v>
      </c>
      <c r="F275" s="15" t="s">
        <v>4166</v>
      </c>
      <c r="G275" s="1" t="s">
        <v>4166</v>
      </c>
      <c r="H275" s="1" t="str">
        <f>VLOOKUP(G275,'languoid 4.0'!$A$1:$I$24439,2,FALSE)</f>
        <v>atla1278</v>
      </c>
      <c r="I275" s="1" t="str">
        <f>VLOOKUP(G275,'languoid 4.0'!$A$1:$I$24439,6,FALSE)</f>
        <v>language</v>
      </c>
      <c r="J275" s="15" t="s">
        <v>38</v>
      </c>
      <c r="K275" s="15" t="s">
        <v>38</v>
      </c>
      <c r="L275" s="15" t="s">
        <v>38</v>
      </c>
      <c r="M275" s="1"/>
      <c r="N275" s="1" t="s">
        <v>4167</v>
      </c>
      <c r="O275" s="15" t="s">
        <v>40</v>
      </c>
      <c r="P275" s="15" t="s">
        <v>41</v>
      </c>
      <c r="Q275" s="1" t="s">
        <v>4168</v>
      </c>
      <c r="R275" s="2" t="s">
        <v>4169</v>
      </c>
      <c r="S275" s="1" t="s">
        <v>46</v>
      </c>
      <c r="T275" s="1" t="s">
        <v>4170</v>
      </c>
      <c r="U275" s="1" t="s">
        <v>636</v>
      </c>
      <c r="V275" s="1" t="s">
        <v>45</v>
      </c>
      <c r="W275" s="1"/>
      <c r="X275" s="1"/>
      <c r="Y275" s="1"/>
      <c r="Z275" s="1" t="s">
        <v>658</v>
      </c>
      <c r="AA275" s="1" t="s">
        <v>4171</v>
      </c>
      <c r="AB275" s="1" t="s">
        <v>4172</v>
      </c>
      <c r="AC275" s="1" t="s">
        <v>46</v>
      </c>
      <c r="AD275" s="1"/>
      <c r="AE275" s="1" t="s">
        <v>641</v>
      </c>
      <c r="AF275" s="1" t="s">
        <v>190</v>
      </c>
      <c r="AG275" s="1">
        <v>5</v>
      </c>
      <c r="AH275" s="1" t="s">
        <v>190</v>
      </c>
      <c r="AI275" s="1"/>
      <c r="AJ275" s="1" t="s">
        <v>4173</v>
      </c>
      <c r="AK275" s="1" t="s">
        <v>1749</v>
      </c>
    </row>
    <row r="276" spans="1:37">
      <c r="A276" s="1" t="str">
        <f>VLOOKUP(H276,Languages!$A$2:$B$430,2,FALSE)</f>
        <v>Atlantic-Congo</v>
      </c>
      <c r="B276" s="1" t="s">
        <v>1726</v>
      </c>
      <c r="C276" s="1" t="s">
        <v>255</v>
      </c>
      <c r="D276" s="1" t="s">
        <v>4174</v>
      </c>
      <c r="E276" s="15" t="s">
        <v>4141</v>
      </c>
      <c r="F276" s="15" t="s">
        <v>4175</v>
      </c>
      <c r="G276" s="1" t="s">
        <v>4175</v>
      </c>
      <c r="H276" s="1" t="str">
        <f>VLOOKUP(G276,'languoid 4.0'!$A$1:$I$24439,2,FALSE)</f>
        <v>atla1278</v>
      </c>
      <c r="I276" s="1" t="str">
        <f>VLOOKUP(G276,'languoid 4.0'!$A$1:$I$24439,6,FALSE)</f>
        <v>dialect</v>
      </c>
      <c r="J276" s="15" t="s">
        <v>52</v>
      </c>
      <c r="K276" s="15" t="s">
        <v>38</v>
      </c>
      <c r="L276" s="15" t="s">
        <v>38</v>
      </c>
      <c r="M276" s="1"/>
      <c r="N276" s="1" t="s">
        <v>4143</v>
      </c>
      <c r="O276" s="15" t="s">
        <v>40</v>
      </c>
      <c r="P276" s="15" t="s">
        <v>41</v>
      </c>
      <c r="Q276" s="1" t="s">
        <v>4176</v>
      </c>
      <c r="R276" s="2" t="s">
        <v>4177</v>
      </c>
      <c r="S276" s="1" t="s">
        <v>46</v>
      </c>
      <c r="T276" s="1" t="s">
        <v>3824</v>
      </c>
      <c r="U276" s="1" t="s">
        <v>636</v>
      </c>
      <c r="V276" s="1" t="s">
        <v>45</v>
      </c>
      <c r="W276" s="1"/>
      <c r="X276" s="1"/>
      <c r="Y276" s="1"/>
      <c r="Z276" s="1" t="s">
        <v>658</v>
      </c>
      <c r="AA276" s="1" t="s">
        <v>4178</v>
      </c>
      <c r="AB276" s="1" t="s">
        <v>4179</v>
      </c>
      <c r="AC276" s="1" t="s">
        <v>46</v>
      </c>
      <c r="AD276" s="1"/>
      <c r="AE276" s="1" t="s">
        <v>641</v>
      </c>
      <c r="AF276" s="1" t="s">
        <v>190</v>
      </c>
      <c r="AG276" s="1">
        <v>6</v>
      </c>
      <c r="AH276" s="1" t="s">
        <v>190</v>
      </c>
      <c r="AI276" s="1"/>
      <c r="AJ276" s="1" t="s">
        <v>4180</v>
      </c>
      <c r="AK276" s="1" t="s">
        <v>1749</v>
      </c>
    </row>
    <row r="277" spans="1:37">
      <c r="A277" s="1" t="str">
        <f>VLOOKUP(H277,Languages!$A$2:$B$430,2,FALSE)</f>
        <v>Atlantic-Congo</v>
      </c>
      <c r="B277" s="1" t="s">
        <v>1726</v>
      </c>
      <c r="C277" s="1" t="s">
        <v>132</v>
      </c>
      <c r="D277" s="1" t="s">
        <v>3186</v>
      </c>
      <c r="E277" s="15" t="s">
        <v>1397</v>
      </c>
      <c r="F277" s="15" t="s">
        <v>1397</v>
      </c>
      <c r="G277" s="1" t="s">
        <v>1397</v>
      </c>
      <c r="H277" s="1" t="str">
        <f>VLOOKUP(G277,'languoid 4.0'!$A$1:$I$24439,2,FALSE)</f>
        <v>atla1278</v>
      </c>
      <c r="I277" s="1" t="str">
        <f>VLOOKUP(G277,'languoid 4.0'!$A$1:$I$24439,6,FALSE)</f>
        <v>dialect</v>
      </c>
      <c r="J277" s="15" t="s">
        <v>38</v>
      </c>
      <c r="K277" s="15" t="s">
        <v>38</v>
      </c>
      <c r="L277" s="15" t="s">
        <v>38</v>
      </c>
      <c r="M277" s="1"/>
      <c r="N277" s="1"/>
      <c r="O277" s="15" t="s">
        <v>40</v>
      </c>
      <c r="P277" s="15" t="s">
        <v>41</v>
      </c>
      <c r="Q277" s="1" t="s">
        <v>3187</v>
      </c>
      <c r="R277" s="2" t="s">
        <v>3188</v>
      </c>
      <c r="S277" s="1" t="s">
        <v>116</v>
      </c>
      <c r="T277" s="1" t="s">
        <v>635</v>
      </c>
      <c r="U277" s="1" t="s">
        <v>2674</v>
      </c>
      <c r="V277" s="1" t="s">
        <v>45</v>
      </c>
      <c r="W277" s="1"/>
      <c r="X277" s="1"/>
      <c r="Y277" s="1"/>
      <c r="Z277" s="1" t="s">
        <v>658</v>
      </c>
      <c r="AA277" s="1" t="s">
        <v>3189</v>
      </c>
      <c r="AB277" s="1" t="s">
        <v>3190</v>
      </c>
      <c r="AC277" s="1" t="s">
        <v>46</v>
      </c>
      <c r="AD277" s="1"/>
      <c r="AE277" s="1" t="s">
        <v>641</v>
      </c>
      <c r="AF277" s="1" t="s">
        <v>190</v>
      </c>
      <c r="AG277" s="1">
        <v>6</v>
      </c>
      <c r="AH277" s="1" t="s">
        <v>190</v>
      </c>
      <c r="AI277" s="1"/>
      <c r="AJ277" s="1" t="s">
        <v>3191</v>
      </c>
      <c r="AK277" s="1" t="s">
        <v>1034</v>
      </c>
    </row>
    <row r="278" spans="1:37">
      <c r="A278" s="1" t="str">
        <f>VLOOKUP(H278,Languages!$A$2:$B$430,2,FALSE)</f>
        <v>Atlantic-Congo</v>
      </c>
      <c r="B278" s="1" t="s">
        <v>1726</v>
      </c>
      <c r="C278" s="1" t="s">
        <v>132</v>
      </c>
      <c r="D278" s="1" t="s">
        <v>3499</v>
      </c>
      <c r="E278" s="15" t="s">
        <v>3500</v>
      </c>
      <c r="F278" s="15" t="s">
        <v>3500</v>
      </c>
      <c r="G278" s="1" t="s">
        <v>3500</v>
      </c>
      <c r="H278" s="1" t="str">
        <f>VLOOKUP(G278,'languoid 4.0'!$A$1:$I$24439,2,FALSE)</f>
        <v>atla1278</v>
      </c>
      <c r="I278" s="1" t="str">
        <f>VLOOKUP(G278,'languoid 4.0'!$A$1:$I$24439,6,FALSE)</f>
        <v>language</v>
      </c>
      <c r="J278" s="15" t="s">
        <v>38</v>
      </c>
      <c r="K278" s="15" t="s">
        <v>38</v>
      </c>
      <c r="L278" s="15" t="s">
        <v>38</v>
      </c>
      <c r="M278" s="1"/>
      <c r="N278" s="1" t="s">
        <v>3501</v>
      </c>
      <c r="O278" s="15" t="s">
        <v>40</v>
      </c>
      <c r="P278" s="15" t="s">
        <v>41</v>
      </c>
      <c r="Q278" s="1" t="s">
        <v>3507</v>
      </c>
      <c r="R278" s="2" t="s">
        <v>3508</v>
      </c>
      <c r="S278" s="1" t="s">
        <v>46</v>
      </c>
      <c r="T278" s="1" t="s">
        <v>635</v>
      </c>
      <c r="U278" s="1" t="s">
        <v>2674</v>
      </c>
      <c r="V278" s="1" t="s">
        <v>45</v>
      </c>
      <c r="W278" s="1"/>
      <c r="X278" s="1"/>
      <c r="Y278" s="1"/>
      <c r="Z278" s="1" t="s">
        <v>658</v>
      </c>
      <c r="AA278" s="1" t="s">
        <v>3509</v>
      </c>
      <c r="AB278" s="1" t="s">
        <v>3510</v>
      </c>
      <c r="AC278" s="1" t="s">
        <v>46</v>
      </c>
      <c r="AD278" s="1"/>
      <c r="AE278" s="1" t="s">
        <v>641</v>
      </c>
      <c r="AF278" s="1" t="s">
        <v>190</v>
      </c>
      <c r="AG278" s="1">
        <v>6</v>
      </c>
      <c r="AH278" s="1" t="s">
        <v>190</v>
      </c>
      <c r="AI278" s="1"/>
      <c r="AJ278" s="1" t="s">
        <v>3511</v>
      </c>
      <c r="AK278" s="1" t="s">
        <v>1034</v>
      </c>
    </row>
    <row r="279" spans="1:37">
      <c r="A279" s="1" t="str">
        <f>VLOOKUP(H279,Languages!$A$2:$B$430,2,FALSE)</f>
        <v>Atlantic-Congo</v>
      </c>
      <c r="B279" s="1" t="s">
        <v>1726</v>
      </c>
      <c r="C279" s="1" t="s">
        <v>132</v>
      </c>
      <c r="D279" s="1" t="s">
        <v>3499</v>
      </c>
      <c r="E279" s="15" t="s">
        <v>3500</v>
      </c>
      <c r="F279" s="15" t="s">
        <v>3500</v>
      </c>
      <c r="G279" s="1" t="s">
        <v>3500</v>
      </c>
      <c r="H279" s="1" t="str">
        <f>VLOOKUP(G279,'languoid 4.0'!$A$1:$I$24439,2,FALSE)</f>
        <v>atla1278</v>
      </c>
      <c r="I279" s="1" t="str">
        <f>VLOOKUP(G279,'languoid 4.0'!$A$1:$I$24439,6,FALSE)</f>
        <v>language</v>
      </c>
      <c r="J279" s="15" t="s">
        <v>38</v>
      </c>
      <c r="K279" s="15" t="s">
        <v>38</v>
      </c>
      <c r="L279" s="15" t="s">
        <v>38</v>
      </c>
      <c r="M279" s="1"/>
      <c r="N279" s="1" t="s">
        <v>3501</v>
      </c>
      <c r="O279" s="15" t="s">
        <v>40</v>
      </c>
      <c r="P279" s="15" t="s">
        <v>41</v>
      </c>
      <c r="Q279" s="1" t="s">
        <v>3512</v>
      </c>
      <c r="R279" s="2" t="s">
        <v>3513</v>
      </c>
      <c r="S279" s="1" t="s">
        <v>46</v>
      </c>
      <c r="T279" s="1" t="s">
        <v>635</v>
      </c>
      <c r="U279" s="1" t="s">
        <v>2674</v>
      </c>
      <c r="V279" s="1" t="s">
        <v>45</v>
      </c>
      <c r="W279" s="1"/>
      <c r="X279" s="1"/>
      <c r="Y279" s="1"/>
      <c r="Z279" s="1" t="s">
        <v>658</v>
      </c>
      <c r="AA279" s="1" t="s">
        <v>3514</v>
      </c>
      <c r="AB279" s="1" t="s">
        <v>3515</v>
      </c>
      <c r="AC279" s="1" t="s">
        <v>46</v>
      </c>
      <c r="AD279" s="1" t="s">
        <v>3516</v>
      </c>
      <c r="AE279" s="1" t="s">
        <v>641</v>
      </c>
      <c r="AF279" s="1" t="s">
        <v>190</v>
      </c>
      <c r="AG279" s="1">
        <v>6</v>
      </c>
      <c r="AH279" s="1" t="s">
        <v>190</v>
      </c>
      <c r="AI279" s="1"/>
      <c r="AJ279" s="1" t="s">
        <v>3517</v>
      </c>
      <c r="AK279" s="1" t="s">
        <v>1034</v>
      </c>
    </row>
    <row r="280" spans="1:37">
      <c r="A280" s="1" t="str">
        <f>VLOOKUP(H280,Languages!$A$2:$B$430,2,FALSE)</f>
        <v>Atlantic-Congo</v>
      </c>
      <c r="B280" s="1" t="s">
        <v>652</v>
      </c>
      <c r="C280" s="1" t="s">
        <v>48</v>
      </c>
      <c r="D280" s="1" t="s">
        <v>7781</v>
      </c>
      <c r="E280" s="15" t="s">
        <v>51</v>
      </c>
      <c r="F280" s="15" t="s">
        <v>51</v>
      </c>
      <c r="G280" s="1" t="s">
        <v>7782</v>
      </c>
      <c r="H280" s="1" t="str">
        <f>VLOOKUP(G280,'languoid 4.0'!$A$1:$I$24439,2,FALSE)</f>
        <v>atla1278</v>
      </c>
      <c r="I280" s="1" t="str">
        <f>VLOOKUP(G280,'languoid 4.0'!$A$1:$I$24439,6,FALSE)</f>
        <v>language</v>
      </c>
      <c r="J280" s="15" t="s">
        <v>51</v>
      </c>
      <c r="K280" s="15" t="s">
        <v>51</v>
      </c>
      <c r="L280" s="15" t="s">
        <v>51</v>
      </c>
      <c r="M280" s="1"/>
      <c r="N280" s="1" t="e">
        <v>#N/A</v>
      </c>
      <c r="O280" s="15" t="s">
        <v>690</v>
      </c>
      <c r="P280" s="15"/>
      <c r="Q280" s="1" t="s">
        <v>7783</v>
      </c>
      <c r="R280" s="2" t="s">
        <v>7784</v>
      </c>
      <c r="S280" s="1" t="s">
        <v>7785</v>
      </c>
      <c r="T280" s="1" t="s">
        <v>1689</v>
      </c>
      <c r="U280" s="1" t="s">
        <v>636</v>
      </c>
      <c r="V280" s="1" t="s">
        <v>45</v>
      </c>
      <c r="W280" s="1"/>
      <c r="X280" s="1"/>
      <c r="Y280" s="1"/>
      <c r="Z280" s="1" t="s">
        <v>637</v>
      </c>
      <c r="AA280" s="1" t="s">
        <v>7786</v>
      </c>
      <c r="AB280" s="1" t="s">
        <v>7787</v>
      </c>
      <c r="AC280" s="1" t="s">
        <v>46</v>
      </c>
      <c r="AD280" s="1"/>
      <c r="AE280" s="1" t="s">
        <v>641</v>
      </c>
      <c r="AF280" s="1" t="s">
        <v>190</v>
      </c>
      <c r="AG280" s="1">
        <v>6</v>
      </c>
      <c r="AH280" s="1" t="s">
        <v>190</v>
      </c>
      <c r="AI280" s="1"/>
      <c r="AJ280" s="1" t="s">
        <v>7788</v>
      </c>
      <c r="AK280" s="1" t="s">
        <v>5542</v>
      </c>
    </row>
    <row r="281" spans="1:37">
      <c r="A281" s="1" t="str">
        <f>VLOOKUP(H281,Languages!$A$2:$B$430,2,FALSE)</f>
        <v>Atlantic-Congo</v>
      </c>
      <c r="B281" s="1" t="s">
        <v>652</v>
      </c>
      <c r="C281" s="1" t="s">
        <v>48</v>
      </c>
      <c r="D281" s="1" t="s">
        <v>7781</v>
      </c>
      <c r="E281" s="15" t="s">
        <v>7782</v>
      </c>
      <c r="F281" s="15" t="s">
        <v>51</v>
      </c>
      <c r="G281" s="1" t="s">
        <v>7782</v>
      </c>
      <c r="H281" s="1" t="str">
        <f>VLOOKUP(G281,'languoid 4.0'!$A$1:$I$24439,2,FALSE)</f>
        <v>atla1278</v>
      </c>
      <c r="I281" s="1" t="str">
        <f>VLOOKUP(G281,'languoid 4.0'!$A$1:$I$24439,6,FALSE)</f>
        <v>language</v>
      </c>
      <c r="J281" s="15" t="s">
        <v>52</v>
      </c>
      <c r="K281" s="15" t="s">
        <v>51</v>
      </c>
      <c r="L281" s="15" t="s">
        <v>51</v>
      </c>
      <c r="M281" s="1"/>
      <c r="N281" s="1"/>
      <c r="O281" s="15" t="s">
        <v>40</v>
      </c>
      <c r="P281" s="15" t="s">
        <v>632</v>
      </c>
      <c r="Q281" s="1" t="s">
        <v>8111</v>
      </c>
      <c r="R281" s="2" t="s">
        <v>8112</v>
      </c>
      <c r="S281" s="1" t="s">
        <v>8113</v>
      </c>
      <c r="T281" s="1" t="s">
        <v>1689</v>
      </c>
      <c r="U281" s="1" t="s">
        <v>636</v>
      </c>
      <c r="V281" s="1" t="s">
        <v>45</v>
      </c>
      <c r="W281" s="1"/>
      <c r="X281" s="1"/>
      <c r="Y281" s="1"/>
      <c r="Z281" s="1" t="s">
        <v>637</v>
      </c>
      <c r="AA281" s="1" t="s">
        <v>8114</v>
      </c>
      <c r="AB281" s="1" t="s">
        <v>8115</v>
      </c>
      <c r="AC281" s="1" t="s">
        <v>46</v>
      </c>
      <c r="AD281" s="1"/>
      <c r="AE281" s="1" t="s">
        <v>641</v>
      </c>
      <c r="AF281" s="1" t="s">
        <v>190</v>
      </c>
      <c r="AG281" s="1">
        <v>6</v>
      </c>
      <c r="AH281" s="1" t="s">
        <v>190</v>
      </c>
      <c r="AI281" s="1"/>
      <c r="AJ281" s="1" t="s">
        <v>8116</v>
      </c>
      <c r="AK281" s="1" t="s">
        <v>5542</v>
      </c>
    </row>
    <row r="282" spans="1:37">
      <c r="A282" s="1" t="str">
        <f>VLOOKUP(H282,Languages!$A$2:$B$430,2,FALSE)</f>
        <v>Atlantic-Congo</v>
      </c>
      <c r="B282" s="1" t="s">
        <v>652</v>
      </c>
      <c r="C282" s="1" t="s">
        <v>48</v>
      </c>
      <c r="D282" s="1" t="s">
        <v>7781</v>
      </c>
      <c r="E282" s="15" t="s">
        <v>7782</v>
      </c>
      <c r="F282" s="15" t="s">
        <v>51</v>
      </c>
      <c r="G282" s="1" t="s">
        <v>7782</v>
      </c>
      <c r="H282" s="1" t="str">
        <f>VLOOKUP(G282,'languoid 4.0'!$A$1:$I$24439,2,FALSE)</f>
        <v>atla1278</v>
      </c>
      <c r="I282" s="1" t="str">
        <f>VLOOKUP(G282,'languoid 4.0'!$A$1:$I$24439,6,FALSE)</f>
        <v>language</v>
      </c>
      <c r="J282" s="15" t="s">
        <v>52</v>
      </c>
      <c r="K282" s="15" t="s">
        <v>51</v>
      </c>
      <c r="L282" s="15" t="s">
        <v>51</v>
      </c>
      <c r="M282" s="1"/>
      <c r="N282" s="1"/>
      <c r="O282" s="15" t="s">
        <v>40</v>
      </c>
      <c r="P282" s="15" t="s">
        <v>632</v>
      </c>
      <c r="Q282" s="1" t="s">
        <v>8117</v>
      </c>
      <c r="R282" s="2" t="s">
        <v>8118</v>
      </c>
      <c r="S282" s="1" t="s">
        <v>8119</v>
      </c>
      <c r="T282" s="1" t="s">
        <v>1689</v>
      </c>
      <c r="U282" s="1" t="s">
        <v>636</v>
      </c>
      <c r="V282" s="1" t="s">
        <v>45</v>
      </c>
      <c r="W282" s="1"/>
      <c r="X282" s="1"/>
      <c r="Y282" s="1"/>
      <c r="Z282" s="1" t="s">
        <v>637</v>
      </c>
      <c r="AA282" s="1" t="s">
        <v>8120</v>
      </c>
      <c r="AB282" s="1" t="s">
        <v>8121</v>
      </c>
      <c r="AC282" s="1" t="s">
        <v>46</v>
      </c>
      <c r="AD282" s="1"/>
      <c r="AE282" s="1" t="s">
        <v>641</v>
      </c>
      <c r="AF282" s="1" t="s">
        <v>190</v>
      </c>
      <c r="AG282" s="1">
        <v>6</v>
      </c>
      <c r="AH282" s="1" t="s">
        <v>190</v>
      </c>
      <c r="AI282" s="1"/>
      <c r="AJ282" s="1" t="s">
        <v>8122</v>
      </c>
      <c r="AK282" s="1" t="s">
        <v>5542</v>
      </c>
    </row>
    <row r="283" spans="1:37">
      <c r="A283" s="1" t="str">
        <f>VLOOKUP(H283,Languages!$A$2:$B$430,2,FALSE)</f>
        <v>Atlantic-Congo</v>
      </c>
      <c r="B283" s="1" t="s">
        <v>652</v>
      </c>
      <c r="C283" s="1" t="s">
        <v>214</v>
      </c>
      <c r="D283" s="1" t="s">
        <v>819</v>
      </c>
      <c r="E283" s="15" t="s">
        <v>798</v>
      </c>
      <c r="F283" s="15" t="s">
        <v>798</v>
      </c>
      <c r="G283" s="1" t="s">
        <v>798</v>
      </c>
      <c r="H283" s="1" t="str">
        <f>VLOOKUP(G283,'languoid 4.0'!$A$1:$I$24439,2,FALSE)</f>
        <v>atla1278</v>
      </c>
      <c r="I283" s="1" t="str">
        <f>VLOOKUP(G283,'languoid 4.0'!$A$1:$I$24439,6,FALSE)</f>
        <v>language</v>
      </c>
      <c r="J283" s="15" t="s">
        <v>38</v>
      </c>
      <c r="K283" s="15" t="s">
        <v>38</v>
      </c>
      <c r="L283" s="15" t="s">
        <v>38</v>
      </c>
      <c r="M283" s="1"/>
      <c r="N283" s="1" t="s">
        <v>799</v>
      </c>
      <c r="O283" s="15" t="s">
        <v>40</v>
      </c>
      <c r="P283" s="15" t="s">
        <v>41</v>
      </c>
      <c r="Q283" s="1" t="s">
        <v>820</v>
      </c>
      <c r="R283" s="2" t="s">
        <v>821</v>
      </c>
      <c r="S283" s="1" t="s">
        <v>46</v>
      </c>
      <c r="T283" s="1" t="s">
        <v>822</v>
      </c>
      <c r="U283" s="1" t="s">
        <v>636</v>
      </c>
      <c r="V283" s="1" t="s">
        <v>45</v>
      </c>
      <c r="W283" s="1"/>
      <c r="X283" s="1"/>
      <c r="Y283" s="1"/>
      <c r="Z283" s="1" t="s">
        <v>823</v>
      </c>
      <c r="AA283" s="1" t="s">
        <v>824</v>
      </c>
      <c r="AB283" s="1" t="s">
        <v>825</v>
      </c>
      <c r="AC283" s="1" t="s">
        <v>826</v>
      </c>
      <c r="AD283" s="1" t="s">
        <v>827</v>
      </c>
      <c r="AE283" s="1" t="s">
        <v>641</v>
      </c>
      <c r="AF283" s="1" t="s">
        <v>190</v>
      </c>
      <c r="AG283" s="1">
        <v>6</v>
      </c>
      <c r="AH283" s="1" t="s">
        <v>190</v>
      </c>
      <c r="AI283" s="1"/>
      <c r="AJ283" s="3">
        <v>43222.616666666669</v>
      </c>
      <c r="AK283" s="1" t="s">
        <v>740</v>
      </c>
    </row>
    <row r="284" spans="1:37">
      <c r="A284" s="1" t="str">
        <f>VLOOKUP(H284,Languages!$A$2:$B$430,2,FALSE)</f>
        <v>Atlantic-Congo</v>
      </c>
      <c r="B284" s="1" t="s">
        <v>652</v>
      </c>
      <c r="C284" s="1" t="s">
        <v>214</v>
      </c>
      <c r="D284" s="1" t="s">
        <v>472</v>
      </c>
      <c r="E284" s="15" t="s">
        <v>473</v>
      </c>
      <c r="F284" s="15" t="s">
        <v>473</v>
      </c>
      <c r="G284" s="1" t="s">
        <v>473</v>
      </c>
      <c r="H284" s="1" t="str">
        <f>VLOOKUP(G284,'languoid 4.0'!$A$1:$I$24439,2,FALSE)</f>
        <v>atla1278</v>
      </c>
      <c r="I284" s="1" t="str">
        <f>VLOOKUP(G284,'languoid 4.0'!$A$1:$I$24439,6,FALSE)</f>
        <v>language</v>
      </c>
      <c r="J284" s="15" t="s">
        <v>38</v>
      </c>
      <c r="K284" s="15" t="s">
        <v>38</v>
      </c>
      <c r="L284" s="15" t="s">
        <v>38</v>
      </c>
      <c r="M284" s="1"/>
      <c r="N284" s="1" t="s">
        <v>474</v>
      </c>
      <c r="O284" s="15" t="s">
        <v>40</v>
      </c>
      <c r="P284" s="15" t="s">
        <v>41</v>
      </c>
      <c r="Q284" s="1" t="s">
        <v>1174</v>
      </c>
      <c r="R284" s="2" t="s">
        <v>1175</v>
      </c>
      <c r="S284" s="1" t="s">
        <v>46</v>
      </c>
      <c r="T284" s="1" t="s">
        <v>822</v>
      </c>
      <c r="U284" s="1" t="s">
        <v>636</v>
      </c>
      <c r="V284" s="1" t="s">
        <v>45</v>
      </c>
      <c r="W284" s="1"/>
      <c r="X284" s="1"/>
      <c r="Y284" s="1"/>
      <c r="Z284" s="1" t="s">
        <v>637</v>
      </c>
      <c r="AA284" s="1" t="s">
        <v>1176</v>
      </c>
      <c r="AB284" s="1" t="s">
        <v>1177</v>
      </c>
      <c r="AC284" s="1" t="s">
        <v>46</v>
      </c>
      <c r="AD284" s="1" t="s">
        <v>1178</v>
      </c>
      <c r="AE284" s="1" t="s">
        <v>641</v>
      </c>
      <c r="AF284" s="1" t="s">
        <v>190</v>
      </c>
      <c r="AG284" s="1">
        <v>5</v>
      </c>
      <c r="AH284" s="1" t="s">
        <v>190</v>
      </c>
      <c r="AI284" s="1"/>
      <c r="AJ284" s="1" t="s">
        <v>1179</v>
      </c>
      <c r="AK284" s="1" t="s">
        <v>740</v>
      </c>
    </row>
    <row r="285" spans="1:37">
      <c r="A285" s="1" t="str">
        <f>VLOOKUP(H285,Languages!$A$2:$B$430,2,FALSE)</f>
        <v>Atlantic-Congo</v>
      </c>
      <c r="B285" s="1" t="s">
        <v>652</v>
      </c>
      <c r="C285" s="1" t="s">
        <v>255</v>
      </c>
      <c r="D285" s="1" t="s">
        <v>3969</v>
      </c>
      <c r="E285" s="15" t="s">
        <v>3970</v>
      </c>
      <c r="F285" s="15" t="s">
        <v>51</v>
      </c>
      <c r="G285" s="1" t="s">
        <v>3970</v>
      </c>
      <c r="H285" s="1" t="str">
        <f>VLOOKUP(G285,'languoid 4.0'!$A$1:$I$24439,2,FALSE)</f>
        <v>atla1278</v>
      </c>
      <c r="I285" s="1" t="str">
        <f>VLOOKUP(G285,'languoid 4.0'!$A$1:$I$24439,6,FALSE)</f>
        <v>language</v>
      </c>
      <c r="J285" s="15" t="s">
        <v>52</v>
      </c>
      <c r="K285" s="15" t="s">
        <v>51</v>
      </c>
      <c r="L285" s="15" t="s">
        <v>51</v>
      </c>
      <c r="M285" s="1"/>
      <c r="N285" s="1" t="s">
        <v>3971</v>
      </c>
      <c r="O285" s="15" t="s">
        <v>40</v>
      </c>
      <c r="P285" s="15" t="s">
        <v>41</v>
      </c>
      <c r="Q285" s="1" t="s">
        <v>3977</v>
      </c>
      <c r="R285" s="2" t="s">
        <v>3978</v>
      </c>
      <c r="S285" s="1" t="s">
        <v>46</v>
      </c>
      <c r="T285" s="1" t="s">
        <v>1689</v>
      </c>
      <c r="U285" s="1" t="s">
        <v>636</v>
      </c>
      <c r="V285" s="1" t="s">
        <v>45</v>
      </c>
      <c r="W285" s="1"/>
      <c r="X285" s="1"/>
      <c r="Y285" s="1"/>
      <c r="Z285" s="1" t="s">
        <v>658</v>
      </c>
      <c r="AA285" s="1" t="s">
        <v>3979</v>
      </c>
      <c r="AB285" s="1" t="s">
        <v>3980</v>
      </c>
      <c r="AC285" s="1" t="s">
        <v>46</v>
      </c>
      <c r="AD285" s="1"/>
      <c r="AE285" s="1" t="s">
        <v>641</v>
      </c>
      <c r="AF285" s="1" t="s">
        <v>190</v>
      </c>
      <c r="AG285" s="1">
        <v>6</v>
      </c>
      <c r="AH285" s="1" t="s">
        <v>190</v>
      </c>
      <c r="AI285" s="1"/>
      <c r="AJ285" s="1" t="s">
        <v>3981</v>
      </c>
      <c r="AK285" s="1" t="s">
        <v>1749</v>
      </c>
    </row>
    <row r="286" spans="1:37">
      <c r="A286" s="1" t="str">
        <f>VLOOKUP(H286,Languages!$A$2:$B$430,2,FALSE)</f>
        <v>Atlantic-Congo</v>
      </c>
      <c r="B286" s="1" t="s">
        <v>652</v>
      </c>
      <c r="C286" s="1" t="s">
        <v>255</v>
      </c>
      <c r="D286" s="1" t="s">
        <v>3982</v>
      </c>
      <c r="E286" s="15" t="s">
        <v>3983</v>
      </c>
      <c r="F286" s="15" t="s">
        <v>3601</v>
      </c>
      <c r="G286" s="1" t="s">
        <v>3984</v>
      </c>
      <c r="H286" s="1" t="str">
        <f>VLOOKUP(G286,'languoid 4.0'!$A$1:$I$24439,2,FALSE)</f>
        <v>atla1278</v>
      </c>
      <c r="I286" s="1" t="str">
        <f>VLOOKUP(G286,'languoid 4.0'!$A$1:$I$24439,6,FALSE)</f>
        <v>dialect</v>
      </c>
      <c r="J286" s="15" t="s">
        <v>52</v>
      </c>
      <c r="K286" s="15" t="s">
        <v>368</v>
      </c>
      <c r="L286" s="15" t="s">
        <v>368</v>
      </c>
      <c r="M286" s="1" t="s">
        <v>3985</v>
      </c>
      <c r="N286" s="1" t="e">
        <v>#N/A</v>
      </c>
      <c r="O286" s="15" t="s">
        <v>40</v>
      </c>
      <c r="P286" s="15" t="s">
        <v>41</v>
      </c>
      <c r="Q286" s="1" t="s">
        <v>3986</v>
      </c>
      <c r="R286" s="2" t="s">
        <v>3987</v>
      </c>
      <c r="S286" s="1" t="s">
        <v>46</v>
      </c>
      <c r="T286" s="1" t="s">
        <v>3824</v>
      </c>
      <c r="U286" s="1" t="s">
        <v>636</v>
      </c>
      <c r="V286" s="1" t="s">
        <v>45</v>
      </c>
      <c r="W286" s="1"/>
      <c r="X286" s="1"/>
      <c r="Y286" s="1"/>
      <c r="Z286" s="1" t="s">
        <v>658</v>
      </c>
      <c r="AA286" s="1" t="s">
        <v>3988</v>
      </c>
      <c r="AB286" s="1" t="s">
        <v>3989</v>
      </c>
      <c r="AC286" s="1" t="s">
        <v>46</v>
      </c>
      <c r="AD286" s="1"/>
      <c r="AE286" s="1" t="s">
        <v>641</v>
      </c>
      <c r="AF286" s="1" t="s">
        <v>45</v>
      </c>
      <c r="AG286" s="1">
        <v>1</v>
      </c>
      <c r="AH286" s="1" t="s">
        <v>190</v>
      </c>
      <c r="AI286" s="1"/>
      <c r="AJ286" s="1" t="s">
        <v>3990</v>
      </c>
      <c r="AK286" s="1" t="s">
        <v>1749</v>
      </c>
    </row>
    <row r="287" spans="1:37">
      <c r="A287" s="1" t="str">
        <f>VLOOKUP(H287,Languages!$A$2:$B$430,2,FALSE)</f>
        <v>Atlantic-Congo</v>
      </c>
      <c r="B287" s="1" t="s">
        <v>652</v>
      </c>
      <c r="C287" s="1" t="s">
        <v>255</v>
      </c>
      <c r="D287" s="1" t="s">
        <v>3991</v>
      </c>
      <c r="E287" s="15" t="s">
        <v>1745</v>
      </c>
      <c r="F287" s="15" t="s">
        <v>1745</v>
      </c>
      <c r="G287" s="1" t="s">
        <v>1745</v>
      </c>
      <c r="H287" s="1" t="str">
        <f>VLOOKUP(G287,'languoid 4.0'!$A$1:$I$24439,2,FALSE)</f>
        <v>atla1278</v>
      </c>
      <c r="I287" s="1" t="str">
        <f>VLOOKUP(G287,'languoid 4.0'!$A$1:$I$24439,6,FALSE)</f>
        <v>language</v>
      </c>
      <c r="J287" s="15" t="s">
        <v>38</v>
      </c>
      <c r="K287" s="15" t="s">
        <v>38</v>
      </c>
      <c r="L287" s="15" t="s">
        <v>38</v>
      </c>
      <c r="M287" s="1"/>
      <c r="N287" s="1" t="s">
        <v>1752</v>
      </c>
      <c r="O287" s="15" t="s">
        <v>40</v>
      </c>
      <c r="P287" s="15" t="s">
        <v>41</v>
      </c>
      <c r="Q287" s="1" t="s">
        <v>3992</v>
      </c>
      <c r="R287" s="2" t="s">
        <v>3993</v>
      </c>
      <c r="S287" s="1" t="s">
        <v>46</v>
      </c>
      <c r="T287" s="1" t="s">
        <v>3824</v>
      </c>
      <c r="U287" s="1" t="s">
        <v>636</v>
      </c>
      <c r="V287" s="1" t="s">
        <v>45</v>
      </c>
      <c r="W287" s="1"/>
      <c r="X287" s="1"/>
      <c r="Y287" s="1"/>
      <c r="Z287" s="1" t="s">
        <v>658</v>
      </c>
      <c r="AA287" s="1" t="s">
        <v>3994</v>
      </c>
      <c r="AB287" s="1" t="s">
        <v>3995</v>
      </c>
      <c r="AC287" s="1" t="s">
        <v>46</v>
      </c>
      <c r="AD287" s="1"/>
      <c r="AE287" s="1" t="s">
        <v>641</v>
      </c>
      <c r="AF287" s="1" t="s">
        <v>190</v>
      </c>
      <c r="AG287" s="1">
        <v>6</v>
      </c>
      <c r="AH287" s="1" t="s">
        <v>190</v>
      </c>
      <c r="AI287" s="1"/>
      <c r="AJ287" s="1" t="s">
        <v>3996</v>
      </c>
      <c r="AK287" s="1" t="s">
        <v>1749</v>
      </c>
    </row>
    <row r="288" spans="1:37">
      <c r="A288" s="1" t="str">
        <f>VLOOKUP(H288,Languages!$A$2:$B$430,2,FALSE)</f>
        <v>Atlantic-Congo</v>
      </c>
      <c r="B288" s="1" t="s">
        <v>652</v>
      </c>
      <c r="C288" s="1" t="s">
        <v>255</v>
      </c>
      <c r="D288" s="1" t="s">
        <v>3997</v>
      </c>
      <c r="E288" s="15" t="s">
        <v>3998</v>
      </c>
      <c r="F288" s="15" t="s">
        <v>3999</v>
      </c>
      <c r="G288" s="1" t="s">
        <v>3999</v>
      </c>
      <c r="H288" s="1" t="str">
        <f>VLOOKUP(G288,'languoid 4.0'!$A$1:$I$24439,2,FALSE)</f>
        <v>atla1278</v>
      </c>
      <c r="I288" s="1" t="str">
        <f>VLOOKUP(G288,'languoid 4.0'!$A$1:$I$24439,6,FALSE)</f>
        <v>language</v>
      </c>
      <c r="J288" s="15" t="s">
        <v>52</v>
      </c>
      <c r="K288" s="15" t="s">
        <v>38</v>
      </c>
      <c r="L288" s="15" t="s">
        <v>38</v>
      </c>
      <c r="M288" s="1"/>
      <c r="N288" s="1"/>
      <c r="O288" s="15" t="s">
        <v>40</v>
      </c>
      <c r="P288" s="15" t="s">
        <v>41</v>
      </c>
      <c r="Q288" s="1" t="s">
        <v>4000</v>
      </c>
      <c r="R288" s="2" t="s">
        <v>4001</v>
      </c>
      <c r="S288" s="1" t="s">
        <v>46</v>
      </c>
      <c r="T288" s="1" t="s">
        <v>3824</v>
      </c>
      <c r="U288" s="1" t="s">
        <v>636</v>
      </c>
      <c r="V288" s="1" t="s">
        <v>45</v>
      </c>
      <c r="W288" s="1"/>
      <c r="X288" s="1"/>
      <c r="Y288" s="1"/>
      <c r="Z288" s="1" t="s">
        <v>658</v>
      </c>
      <c r="AA288" s="1" t="s">
        <v>4002</v>
      </c>
      <c r="AB288" s="1" t="s">
        <v>4003</v>
      </c>
      <c r="AC288" s="1" t="s">
        <v>46</v>
      </c>
      <c r="AD288" s="1"/>
      <c r="AE288" s="1" t="s">
        <v>641</v>
      </c>
      <c r="AF288" s="1" t="s">
        <v>190</v>
      </c>
      <c r="AG288" s="1">
        <v>6</v>
      </c>
      <c r="AH288" s="1" t="s">
        <v>190</v>
      </c>
      <c r="AI288" s="1"/>
      <c r="AJ288" s="1" t="s">
        <v>4004</v>
      </c>
      <c r="AK288" s="1" t="s">
        <v>1749</v>
      </c>
    </row>
    <row r="289" spans="1:37">
      <c r="A289" s="1" t="str">
        <f>VLOOKUP(H289,Languages!$A$2:$B$430,2,FALSE)</f>
        <v>Atlantic-Congo</v>
      </c>
      <c r="B289" s="1" t="s">
        <v>652</v>
      </c>
      <c r="C289" s="1" t="s">
        <v>255</v>
      </c>
      <c r="D289" s="1" t="s">
        <v>3991</v>
      </c>
      <c r="E289" s="15" t="s">
        <v>1745</v>
      </c>
      <c r="F289" s="15" t="s">
        <v>1745</v>
      </c>
      <c r="G289" s="1" t="s">
        <v>1745</v>
      </c>
      <c r="H289" s="1" t="str">
        <f>VLOOKUP(G289,'languoid 4.0'!$A$1:$I$24439,2,FALSE)</f>
        <v>atla1278</v>
      </c>
      <c r="I289" s="1" t="str">
        <f>VLOOKUP(G289,'languoid 4.0'!$A$1:$I$24439,6,FALSE)</f>
        <v>language</v>
      </c>
      <c r="J289" s="15" t="s">
        <v>38</v>
      </c>
      <c r="K289" s="15" t="s">
        <v>38</v>
      </c>
      <c r="L289" s="15" t="s">
        <v>38</v>
      </c>
      <c r="M289" s="1"/>
      <c r="N289" s="1" t="s">
        <v>1752</v>
      </c>
      <c r="O289" s="15" t="s">
        <v>40</v>
      </c>
      <c r="P289" s="15" t="s">
        <v>41</v>
      </c>
      <c r="Q289" s="1" t="s">
        <v>4005</v>
      </c>
      <c r="R289" s="2" t="s">
        <v>4006</v>
      </c>
      <c r="S289" s="1" t="s">
        <v>46</v>
      </c>
      <c r="T289" s="1" t="s">
        <v>3824</v>
      </c>
      <c r="U289" s="1" t="s">
        <v>636</v>
      </c>
      <c r="V289" s="1" t="s">
        <v>45</v>
      </c>
      <c r="W289" s="1"/>
      <c r="X289" s="1"/>
      <c r="Y289" s="1"/>
      <c r="Z289" s="1" t="s">
        <v>658</v>
      </c>
      <c r="AA289" s="1" t="s">
        <v>4007</v>
      </c>
      <c r="AB289" s="1" t="s">
        <v>4008</v>
      </c>
      <c r="AC289" s="1" t="s">
        <v>46</v>
      </c>
      <c r="AD289" s="1"/>
      <c r="AE289" s="1" t="s">
        <v>641</v>
      </c>
      <c r="AF289" s="1" t="s">
        <v>190</v>
      </c>
      <c r="AG289" s="1">
        <v>6</v>
      </c>
      <c r="AH289" s="1" t="s">
        <v>190</v>
      </c>
      <c r="AI289" s="1"/>
      <c r="AJ289" s="1" t="s">
        <v>4009</v>
      </c>
      <c r="AK289" s="1" t="s">
        <v>1749</v>
      </c>
    </row>
    <row r="290" spans="1:37">
      <c r="A290" s="1" t="str">
        <f>VLOOKUP(H290,Languages!$A$2:$B$430,2,FALSE)</f>
        <v>Atlantic-Congo</v>
      </c>
      <c r="B290" s="1" t="s">
        <v>652</v>
      </c>
      <c r="C290" s="1" t="s">
        <v>255</v>
      </c>
      <c r="D290" s="1" t="s">
        <v>3997</v>
      </c>
      <c r="E290" s="15" t="s">
        <v>3998</v>
      </c>
      <c r="F290" s="15" t="s">
        <v>3999</v>
      </c>
      <c r="G290" s="1" t="s">
        <v>3999</v>
      </c>
      <c r="H290" s="1" t="str">
        <f>VLOOKUP(G290,'languoid 4.0'!$A$1:$I$24439,2,FALSE)</f>
        <v>atla1278</v>
      </c>
      <c r="I290" s="1" t="str">
        <f>VLOOKUP(G290,'languoid 4.0'!$A$1:$I$24439,6,FALSE)</f>
        <v>language</v>
      </c>
      <c r="J290" s="15" t="s">
        <v>52</v>
      </c>
      <c r="K290" s="15" t="s">
        <v>38</v>
      </c>
      <c r="L290" s="15" t="s">
        <v>38</v>
      </c>
      <c r="M290" s="1"/>
      <c r="N290" s="1"/>
      <c r="O290" s="15" t="s">
        <v>40</v>
      </c>
      <c r="P290" s="15" t="s">
        <v>41</v>
      </c>
      <c r="Q290" s="1" t="s">
        <v>4010</v>
      </c>
      <c r="R290" s="2" t="s">
        <v>4011</v>
      </c>
      <c r="S290" s="1" t="s">
        <v>46</v>
      </c>
      <c r="T290" s="1" t="s">
        <v>3824</v>
      </c>
      <c r="U290" s="1" t="s">
        <v>636</v>
      </c>
      <c r="V290" s="1" t="s">
        <v>45</v>
      </c>
      <c r="W290" s="1"/>
      <c r="X290" s="1"/>
      <c r="Y290" s="1"/>
      <c r="Z290" s="1" t="s">
        <v>658</v>
      </c>
      <c r="AA290" s="1" t="s">
        <v>4012</v>
      </c>
      <c r="AB290" s="1" t="s">
        <v>4013</v>
      </c>
      <c r="AC290" s="1" t="s">
        <v>46</v>
      </c>
      <c r="AD290" s="1"/>
      <c r="AE290" s="1" t="s">
        <v>641</v>
      </c>
      <c r="AF290" s="1" t="s">
        <v>190</v>
      </c>
      <c r="AG290" s="1">
        <v>6</v>
      </c>
      <c r="AH290" s="1" t="s">
        <v>190</v>
      </c>
      <c r="AI290" s="1"/>
      <c r="AJ290" s="1" t="s">
        <v>4014</v>
      </c>
      <c r="AK290" s="1" t="s">
        <v>1749</v>
      </c>
    </row>
    <row r="291" spans="1:37">
      <c r="A291" s="1" t="str">
        <f>VLOOKUP(H291,Languages!$A$2:$B$430,2,FALSE)</f>
        <v>Atlantic-Congo</v>
      </c>
      <c r="B291" s="1" t="s">
        <v>652</v>
      </c>
      <c r="C291" s="1" t="s">
        <v>255</v>
      </c>
      <c r="D291" s="1" t="s">
        <v>4015</v>
      </c>
      <c r="E291" s="15" t="s">
        <v>4016</v>
      </c>
      <c r="F291" s="15" t="s">
        <v>4017</v>
      </c>
      <c r="G291" s="1" t="s">
        <v>4016</v>
      </c>
      <c r="H291" s="1" t="str">
        <f>VLOOKUP(G291,'languoid 4.0'!$A$1:$I$24439,2,FALSE)</f>
        <v>atla1278</v>
      </c>
      <c r="I291" s="1" t="str">
        <f>VLOOKUP(G291,'languoid 4.0'!$A$1:$I$24439,6,FALSE)</f>
        <v>dialect</v>
      </c>
      <c r="J291" s="15" t="s">
        <v>52</v>
      </c>
      <c r="K291" s="15" t="s">
        <v>368</v>
      </c>
      <c r="L291" s="15" t="s">
        <v>368</v>
      </c>
      <c r="M291" s="1" t="s">
        <v>4018</v>
      </c>
      <c r="N291" s="1"/>
      <c r="O291" s="15" t="s">
        <v>40</v>
      </c>
      <c r="P291" s="15" t="s">
        <v>41</v>
      </c>
      <c r="Q291" s="1" t="s">
        <v>4019</v>
      </c>
      <c r="R291" s="2" t="s">
        <v>4020</v>
      </c>
      <c r="S291" s="1" t="s">
        <v>46</v>
      </c>
      <c r="T291" s="1" t="s">
        <v>3824</v>
      </c>
      <c r="U291" s="1" t="s">
        <v>636</v>
      </c>
      <c r="V291" s="1" t="s">
        <v>45</v>
      </c>
      <c r="W291" s="1"/>
      <c r="X291" s="1"/>
      <c r="Y291" s="1"/>
      <c r="Z291" s="1" t="s">
        <v>658</v>
      </c>
      <c r="AA291" s="1" t="s">
        <v>4021</v>
      </c>
      <c r="AB291" s="1" t="s">
        <v>4022</v>
      </c>
      <c r="AC291" s="1" t="s">
        <v>46</v>
      </c>
      <c r="AD291" s="1"/>
      <c r="AE291" s="1" t="s">
        <v>641</v>
      </c>
      <c r="AF291" s="1" t="s">
        <v>190</v>
      </c>
      <c r="AG291" s="1">
        <v>6</v>
      </c>
      <c r="AH291" s="1" t="s">
        <v>190</v>
      </c>
      <c r="AI291" s="1"/>
      <c r="AJ291" s="1" t="s">
        <v>4023</v>
      </c>
      <c r="AK291" s="1" t="s">
        <v>1749</v>
      </c>
    </row>
    <row r="292" spans="1:37">
      <c r="A292" s="1" t="str">
        <f>VLOOKUP(H292,Languages!$A$2:$B$430,2,FALSE)</f>
        <v>Atlantic-Congo</v>
      </c>
      <c r="B292" s="1" t="s">
        <v>652</v>
      </c>
      <c r="C292" s="1" t="s">
        <v>255</v>
      </c>
      <c r="D292" s="1" t="s">
        <v>4024</v>
      </c>
      <c r="E292" s="15" t="s">
        <v>4025</v>
      </c>
      <c r="F292" s="15" t="s">
        <v>4025</v>
      </c>
      <c r="G292" s="1" t="s">
        <v>4025</v>
      </c>
      <c r="H292" s="1" t="str">
        <f>VLOOKUP(G292,'languoid 4.0'!$A$1:$I$24439,2,FALSE)</f>
        <v>atla1278</v>
      </c>
      <c r="I292" s="1" t="str">
        <f>VLOOKUP(G292,'languoid 4.0'!$A$1:$I$24439,6,FALSE)</f>
        <v>language</v>
      </c>
      <c r="J292" s="15" t="s">
        <v>38</v>
      </c>
      <c r="K292" s="15" t="s">
        <v>38</v>
      </c>
      <c r="L292" s="15" t="s">
        <v>38</v>
      </c>
      <c r="M292" s="1"/>
      <c r="N292" s="1" t="s">
        <v>4026</v>
      </c>
      <c r="O292" s="15" t="s">
        <v>40</v>
      </c>
      <c r="P292" s="15" t="s">
        <v>41</v>
      </c>
      <c r="Q292" s="1" t="s">
        <v>4027</v>
      </c>
      <c r="R292" s="2" t="s">
        <v>4028</v>
      </c>
      <c r="S292" s="1" t="s">
        <v>46</v>
      </c>
      <c r="T292" s="1" t="s">
        <v>3824</v>
      </c>
      <c r="U292" s="1" t="s">
        <v>636</v>
      </c>
      <c r="V292" s="1" t="s">
        <v>45</v>
      </c>
      <c r="W292" s="1"/>
      <c r="X292" s="1"/>
      <c r="Y292" s="1"/>
      <c r="Z292" s="1" t="s">
        <v>658</v>
      </c>
      <c r="AA292" s="1" t="s">
        <v>4029</v>
      </c>
      <c r="AB292" s="1" t="s">
        <v>4030</v>
      </c>
      <c r="AC292" s="1" t="s">
        <v>46</v>
      </c>
      <c r="AD292" s="1"/>
      <c r="AE292" s="1" t="s">
        <v>641</v>
      </c>
      <c r="AF292" s="1" t="s">
        <v>190</v>
      </c>
      <c r="AG292" s="1">
        <v>6</v>
      </c>
      <c r="AH292" s="1" t="s">
        <v>190</v>
      </c>
      <c r="AI292" s="1"/>
      <c r="AJ292" s="1" t="s">
        <v>4031</v>
      </c>
      <c r="AK292" s="1" t="s">
        <v>1749</v>
      </c>
    </row>
    <row r="293" spans="1:37">
      <c r="A293" s="1" t="str">
        <f>VLOOKUP(H293,Languages!$A$2:$B$430,2,FALSE)</f>
        <v>Atlantic-Congo</v>
      </c>
      <c r="B293" s="1" t="s">
        <v>652</v>
      </c>
      <c r="C293" s="1" t="s">
        <v>132</v>
      </c>
      <c r="D293" s="1" t="s">
        <v>7138</v>
      </c>
      <c r="E293" s="15" t="s">
        <v>7139</v>
      </c>
      <c r="F293" s="15" t="s">
        <v>7140</v>
      </c>
      <c r="G293" s="1" t="s">
        <v>7139</v>
      </c>
      <c r="H293" s="1" t="str">
        <f>VLOOKUP(G293,'languoid 4.0'!$A$1:$I$24439,2,FALSE)</f>
        <v>atla1278</v>
      </c>
      <c r="I293" s="1" t="str">
        <f>VLOOKUP(G293,'languoid 4.0'!$A$1:$I$24439,6,FALSE)</f>
        <v>language</v>
      </c>
      <c r="J293" s="15" t="s">
        <v>52</v>
      </c>
      <c r="K293" s="15" t="s">
        <v>38</v>
      </c>
      <c r="L293" s="15" t="s">
        <v>38</v>
      </c>
      <c r="M293" s="1"/>
      <c r="N293" s="1" t="s">
        <v>7141</v>
      </c>
      <c r="O293" s="15" t="s">
        <v>40</v>
      </c>
      <c r="P293" s="15" t="s">
        <v>41</v>
      </c>
      <c r="Q293" s="1" t="s">
        <v>7142</v>
      </c>
      <c r="R293" s="2" t="s">
        <v>7143</v>
      </c>
      <c r="S293" s="1" t="s">
        <v>46</v>
      </c>
      <c r="T293" s="1" t="s">
        <v>635</v>
      </c>
      <c r="U293" s="1" t="s">
        <v>7144</v>
      </c>
      <c r="V293" s="1" t="s">
        <v>45</v>
      </c>
      <c r="W293" s="1"/>
      <c r="X293" s="1"/>
      <c r="Y293" s="1"/>
      <c r="Z293" s="1" t="s">
        <v>658</v>
      </c>
      <c r="AA293" s="1" t="s">
        <v>7145</v>
      </c>
      <c r="AB293" s="1" t="s">
        <v>7146</v>
      </c>
      <c r="AC293" s="1" t="s">
        <v>46</v>
      </c>
      <c r="AD293" s="1"/>
      <c r="AE293" s="1" t="s">
        <v>641</v>
      </c>
      <c r="AF293" s="1" t="s">
        <v>190</v>
      </c>
      <c r="AG293" s="1">
        <v>6</v>
      </c>
      <c r="AH293" s="1" t="s">
        <v>190</v>
      </c>
      <c r="AI293" s="1"/>
      <c r="AJ293" s="3">
        <v>43259.14603009259</v>
      </c>
      <c r="AK293" s="1" t="s">
        <v>1034</v>
      </c>
    </row>
    <row r="294" spans="1:37">
      <c r="A294" s="1" t="str">
        <f>VLOOKUP(H294,Languages!$A$2:$B$430,2,FALSE)</f>
        <v>Atlantic-Congo</v>
      </c>
      <c r="B294" s="1" t="s">
        <v>1750</v>
      </c>
      <c r="C294" s="1" t="s">
        <v>214</v>
      </c>
      <c r="D294" s="1" t="s">
        <v>1863</v>
      </c>
      <c r="E294" s="15" t="s">
        <v>1864</v>
      </c>
      <c r="F294" s="15" t="s">
        <v>1865</v>
      </c>
      <c r="G294" s="1" t="s">
        <v>1864</v>
      </c>
      <c r="H294" s="1" t="str">
        <f>VLOOKUP(G294,'languoid 4.0'!$A$1:$I$24439,2,FALSE)</f>
        <v>atla1278</v>
      </c>
      <c r="I294" s="1" t="str">
        <f>VLOOKUP(G294,'languoid 4.0'!$A$1:$I$24439,6,FALSE)</f>
        <v>language</v>
      </c>
      <c r="J294" s="15" t="s">
        <v>52</v>
      </c>
      <c r="K294" s="15" t="s">
        <v>38</v>
      </c>
      <c r="L294" s="15" t="s">
        <v>38</v>
      </c>
      <c r="M294" s="1"/>
      <c r="N294" s="1" t="s">
        <v>1866</v>
      </c>
      <c r="O294" s="15" t="s">
        <v>40</v>
      </c>
      <c r="P294" s="15" t="s">
        <v>41</v>
      </c>
      <c r="Q294" s="1" t="s">
        <v>1867</v>
      </c>
      <c r="R294" s="2" t="s">
        <v>1868</v>
      </c>
      <c r="S294" s="1" t="s">
        <v>1021</v>
      </c>
      <c r="T294" s="1" t="s">
        <v>1007</v>
      </c>
      <c r="U294" s="1" t="s">
        <v>1869</v>
      </c>
      <c r="V294" s="1" t="s">
        <v>45</v>
      </c>
      <c r="W294" s="1"/>
      <c r="X294" s="1"/>
      <c r="Y294" s="1"/>
      <c r="Z294" s="1" t="s">
        <v>637</v>
      </c>
      <c r="AA294" s="1" t="s">
        <v>1870</v>
      </c>
      <c r="AB294" s="1" t="s">
        <v>1871</v>
      </c>
      <c r="AC294" s="1" t="s">
        <v>1021</v>
      </c>
      <c r="AD294" s="1" t="s">
        <v>1872</v>
      </c>
      <c r="AE294" s="1" t="s">
        <v>641</v>
      </c>
      <c r="AF294" s="1" t="s">
        <v>190</v>
      </c>
      <c r="AG294" s="1">
        <v>6</v>
      </c>
      <c r="AH294" s="1" t="s">
        <v>190</v>
      </c>
      <c r="AI294" s="1"/>
      <c r="AJ294" s="3">
        <v>43437.505231481482</v>
      </c>
      <c r="AK294" s="1" t="s">
        <v>740</v>
      </c>
    </row>
    <row r="295" spans="1:37">
      <c r="A295" s="1" t="str">
        <f>VLOOKUP(H295,Languages!$A$2:$B$430,2,FALSE)</f>
        <v>Atlantic-Congo</v>
      </c>
      <c r="B295" s="1" t="s">
        <v>1750</v>
      </c>
      <c r="C295" s="1" t="s">
        <v>255</v>
      </c>
      <c r="D295" s="1" t="s">
        <v>1751</v>
      </c>
      <c r="E295" s="15" t="s">
        <v>1745</v>
      </c>
      <c r="F295" s="15" t="s">
        <v>1744</v>
      </c>
      <c r="G295" s="1" t="s">
        <v>1745</v>
      </c>
      <c r="H295" s="1" t="str">
        <f>VLOOKUP(G295,'languoid 4.0'!$A$1:$I$24439,2,FALSE)</f>
        <v>atla1278</v>
      </c>
      <c r="I295" s="1" t="str">
        <f>VLOOKUP(G295,'languoid 4.0'!$A$1:$I$24439,6,FALSE)</f>
        <v>language</v>
      </c>
      <c r="J295" s="15" t="s">
        <v>52</v>
      </c>
      <c r="K295" s="15" t="s">
        <v>52</v>
      </c>
      <c r="L295" s="15" t="s">
        <v>52</v>
      </c>
      <c r="M295" s="1"/>
      <c r="N295" s="1" t="s">
        <v>1752</v>
      </c>
      <c r="O295" s="15" t="s">
        <v>40</v>
      </c>
      <c r="P295" s="15" t="s">
        <v>41</v>
      </c>
      <c r="Q295" s="1" t="s">
        <v>1753</v>
      </c>
      <c r="R295" s="2" t="s">
        <v>1754</v>
      </c>
      <c r="S295" s="1" t="s">
        <v>43</v>
      </c>
      <c r="T295" s="1" t="s">
        <v>657</v>
      </c>
      <c r="U295" s="1" t="s">
        <v>636</v>
      </c>
      <c r="V295" s="1" t="s">
        <v>45</v>
      </c>
      <c r="W295" s="1"/>
      <c r="X295" s="1"/>
      <c r="Y295" s="1"/>
      <c r="Z295" s="1" t="s">
        <v>658</v>
      </c>
      <c r="AA295" s="1" t="s">
        <v>1755</v>
      </c>
      <c r="AB295" s="1" t="s">
        <v>46</v>
      </c>
      <c r="AC295" s="1" t="s">
        <v>46</v>
      </c>
      <c r="AD295" s="1"/>
      <c r="AE295" s="1" t="s">
        <v>641</v>
      </c>
      <c r="AF295" s="1" t="s">
        <v>190</v>
      </c>
      <c r="AG295" s="1">
        <v>6</v>
      </c>
      <c r="AH295" s="1" t="s">
        <v>190</v>
      </c>
      <c r="AI295" s="1"/>
      <c r="AJ295" s="3">
        <v>43376.703298611108</v>
      </c>
      <c r="AK295" s="1" t="s">
        <v>1749</v>
      </c>
    </row>
    <row r="296" spans="1:37">
      <c r="A296" s="1" t="str">
        <f>VLOOKUP(H296,Languages!$A$2:$B$430,2,FALSE)</f>
        <v>Atlantic-Congo</v>
      </c>
      <c r="B296" s="1" t="s">
        <v>1750</v>
      </c>
      <c r="C296" s="1" t="s">
        <v>255</v>
      </c>
      <c r="D296" s="1" t="s">
        <v>1922</v>
      </c>
      <c r="E296" s="15" t="s">
        <v>1923</v>
      </c>
      <c r="F296" s="15" t="s">
        <v>1924</v>
      </c>
      <c r="G296" s="1" t="s">
        <v>1923</v>
      </c>
      <c r="H296" s="1" t="str">
        <f>VLOOKUP(G296,'languoid 4.0'!$A$1:$I$24439,2,FALSE)</f>
        <v>atla1278</v>
      </c>
      <c r="I296" s="1" t="str">
        <f>VLOOKUP(G296,'languoid 4.0'!$A$1:$I$24439,6,FALSE)</f>
        <v>dialect</v>
      </c>
      <c r="J296" s="15" t="s">
        <v>52</v>
      </c>
      <c r="K296" s="15" t="s">
        <v>38</v>
      </c>
      <c r="L296" s="15" t="s">
        <v>38</v>
      </c>
      <c r="M296" s="1"/>
      <c r="N296" s="1"/>
      <c r="O296" s="15" t="s">
        <v>40</v>
      </c>
      <c r="P296" s="15" t="s">
        <v>41</v>
      </c>
      <c r="Q296" s="1" t="s">
        <v>1925</v>
      </c>
      <c r="R296" s="2" t="s">
        <v>1926</v>
      </c>
      <c r="S296" s="1" t="s">
        <v>46</v>
      </c>
      <c r="T296" s="1" t="s">
        <v>635</v>
      </c>
      <c r="U296" s="1" t="s">
        <v>636</v>
      </c>
      <c r="V296" s="1" t="s">
        <v>45</v>
      </c>
      <c r="W296" s="1"/>
      <c r="X296" s="1"/>
      <c r="Y296" s="1"/>
      <c r="Z296" s="1" t="s">
        <v>658</v>
      </c>
      <c r="AA296" s="1" t="s">
        <v>1927</v>
      </c>
      <c r="AB296" s="1" t="s">
        <v>1928</v>
      </c>
      <c r="AC296" s="1" t="s">
        <v>46</v>
      </c>
      <c r="AD296" s="1"/>
      <c r="AE296" s="1" t="s">
        <v>641</v>
      </c>
      <c r="AF296" s="1" t="s">
        <v>190</v>
      </c>
      <c r="AG296" s="1">
        <v>6</v>
      </c>
      <c r="AH296" s="1" t="s">
        <v>190</v>
      </c>
      <c r="AI296" s="1"/>
      <c r="AJ296" s="1" t="s">
        <v>1929</v>
      </c>
      <c r="AK296" s="1" t="s">
        <v>1749</v>
      </c>
    </row>
    <row r="297" spans="1:37">
      <c r="A297" s="1" t="str">
        <f>VLOOKUP(H297,Languages!$A$2:$B$430,2,FALSE)</f>
        <v>Atlantic-Congo</v>
      </c>
      <c r="B297" s="1" t="s">
        <v>1750</v>
      </c>
      <c r="C297" s="1" t="s">
        <v>255</v>
      </c>
      <c r="D297" s="1" t="s">
        <v>1916</v>
      </c>
      <c r="E297" s="15" t="s">
        <v>1905</v>
      </c>
      <c r="F297" s="15" t="s">
        <v>1906</v>
      </c>
      <c r="G297" s="1" t="s">
        <v>1906</v>
      </c>
      <c r="H297" s="1" t="str">
        <f>VLOOKUP(G297,'languoid 4.0'!$A$1:$I$24439,2,FALSE)</f>
        <v>atla1278</v>
      </c>
      <c r="I297" s="1" t="str">
        <f>VLOOKUP(G297,'languoid 4.0'!$A$1:$I$24439,6,FALSE)</f>
        <v>language</v>
      </c>
      <c r="J297" s="15" t="s">
        <v>52</v>
      </c>
      <c r="K297" s="15" t="s">
        <v>38</v>
      </c>
      <c r="L297" s="15" t="s">
        <v>38</v>
      </c>
      <c r="M297" s="1"/>
      <c r="N297" s="1"/>
      <c r="O297" s="15" t="s">
        <v>40</v>
      </c>
      <c r="P297" s="15" t="s">
        <v>41</v>
      </c>
      <c r="Q297" s="1" t="s">
        <v>3832</v>
      </c>
      <c r="R297" s="2" t="s">
        <v>3833</v>
      </c>
      <c r="S297" s="1" t="s">
        <v>46</v>
      </c>
      <c r="T297" s="1" t="s">
        <v>635</v>
      </c>
      <c r="U297" s="1" t="s">
        <v>636</v>
      </c>
      <c r="V297" s="1" t="s">
        <v>45</v>
      </c>
      <c r="W297" s="1"/>
      <c r="X297" s="1"/>
      <c r="Y297" s="1"/>
      <c r="Z297" s="1" t="s">
        <v>658</v>
      </c>
      <c r="AA297" s="1" t="s">
        <v>3834</v>
      </c>
      <c r="AB297" s="1" t="s">
        <v>3835</v>
      </c>
      <c r="AC297" s="1" t="s">
        <v>46</v>
      </c>
      <c r="AD297" s="1"/>
      <c r="AE297" s="1" t="s">
        <v>641</v>
      </c>
      <c r="AF297" s="1" t="s">
        <v>190</v>
      </c>
      <c r="AG297" s="1">
        <v>6</v>
      </c>
      <c r="AH297" s="1" t="s">
        <v>190</v>
      </c>
      <c r="AI297" s="1"/>
      <c r="AJ297" s="1" t="s">
        <v>3836</v>
      </c>
      <c r="AK297" s="1" t="s">
        <v>1749</v>
      </c>
    </row>
    <row r="298" spans="1:37">
      <c r="A298" s="1" t="str">
        <f>VLOOKUP(H298,Languages!$A$2:$B$430,2,FALSE)</f>
        <v>Atlantic-Congo</v>
      </c>
      <c r="B298" s="1" t="s">
        <v>1750</v>
      </c>
      <c r="C298" s="1" t="s">
        <v>255</v>
      </c>
      <c r="D298" s="1" t="s">
        <v>1916</v>
      </c>
      <c r="E298" s="15" t="s">
        <v>1905</v>
      </c>
      <c r="F298" s="15" t="s">
        <v>1906</v>
      </c>
      <c r="G298" s="1" t="s">
        <v>1906</v>
      </c>
      <c r="H298" s="1" t="str">
        <f>VLOOKUP(G298,'languoid 4.0'!$A$1:$I$24439,2,FALSE)</f>
        <v>atla1278</v>
      </c>
      <c r="I298" s="1" t="str">
        <f>VLOOKUP(G298,'languoid 4.0'!$A$1:$I$24439,6,FALSE)</f>
        <v>language</v>
      </c>
      <c r="J298" s="15" t="s">
        <v>52</v>
      </c>
      <c r="K298" s="15" t="s">
        <v>38</v>
      </c>
      <c r="L298" s="15" t="s">
        <v>38</v>
      </c>
      <c r="M298" s="1"/>
      <c r="N298" s="1"/>
      <c r="O298" s="15" t="s">
        <v>40</v>
      </c>
      <c r="P298" s="15" t="s">
        <v>41</v>
      </c>
      <c r="Q298" s="1" t="s">
        <v>3837</v>
      </c>
      <c r="R298" s="2" t="s">
        <v>3838</v>
      </c>
      <c r="S298" s="1" t="s">
        <v>46</v>
      </c>
      <c r="T298" s="1" t="s">
        <v>635</v>
      </c>
      <c r="U298" s="1" t="s">
        <v>636</v>
      </c>
      <c r="V298" s="1" t="s">
        <v>45</v>
      </c>
      <c r="W298" s="1"/>
      <c r="X298" s="1"/>
      <c r="Y298" s="1"/>
      <c r="Z298" s="1" t="s">
        <v>658</v>
      </c>
      <c r="AA298" s="1" t="s">
        <v>3839</v>
      </c>
      <c r="AB298" s="1" t="s">
        <v>3840</v>
      </c>
      <c r="AC298" s="1" t="s">
        <v>46</v>
      </c>
      <c r="AD298" s="1"/>
      <c r="AE298" s="1" t="s">
        <v>641</v>
      </c>
      <c r="AF298" s="1" t="s">
        <v>190</v>
      </c>
      <c r="AG298" s="1">
        <v>6</v>
      </c>
      <c r="AH298" s="1" t="s">
        <v>190</v>
      </c>
      <c r="AI298" s="1"/>
      <c r="AJ298" s="1" t="s">
        <v>3841</v>
      </c>
      <c r="AK298" s="1" t="s">
        <v>1749</v>
      </c>
    </row>
    <row r="299" spans="1:37">
      <c r="A299" s="1" t="str">
        <f>VLOOKUP(H299,Languages!$A$2:$B$430,2,FALSE)</f>
        <v>Atlantic-Congo</v>
      </c>
      <c r="B299" s="1" t="s">
        <v>1750</v>
      </c>
      <c r="C299" s="1" t="s">
        <v>255</v>
      </c>
      <c r="D299" s="1" t="s">
        <v>1922</v>
      </c>
      <c r="E299" s="15" t="s">
        <v>1923</v>
      </c>
      <c r="F299" s="15" t="s">
        <v>1924</v>
      </c>
      <c r="G299" s="1" t="s">
        <v>1923</v>
      </c>
      <c r="H299" s="1" t="str">
        <f>VLOOKUP(G299,'languoid 4.0'!$A$1:$I$24439,2,FALSE)</f>
        <v>atla1278</v>
      </c>
      <c r="I299" s="1" t="str">
        <f>VLOOKUP(G299,'languoid 4.0'!$A$1:$I$24439,6,FALSE)</f>
        <v>dialect</v>
      </c>
      <c r="J299" s="15" t="s">
        <v>52</v>
      </c>
      <c r="K299" s="15" t="s">
        <v>38</v>
      </c>
      <c r="L299" s="15" t="s">
        <v>38</v>
      </c>
      <c r="M299" s="1"/>
      <c r="N299" s="1"/>
      <c r="O299" s="15" t="s">
        <v>40</v>
      </c>
      <c r="P299" s="15" t="s">
        <v>41</v>
      </c>
      <c r="Q299" s="1" t="s">
        <v>1925</v>
      </c>
      <c r="R299" s="2" t="s">
        <v>1926</v>
      </c>
      <c r="S299" s="1" t="s">
        <v>46</v>
      </c>
      <c r="T299" s="1" t="s">
        <v>635</v>
      </c>
      <c r="U299" s="1" t="s">
        <v>636</v>
      </c>
      <c r="V299" s="1" t="s">
        <v>45</v>
      </c>
      <c r="W299" s="1"/>
      <c r="X299" s="1"/>
      <c r="Y299" s="1"/>
      <c r="Z299" s="1" t="s">
        <v>658</v>
      </c>
      <c r="AA299" s="1" t="s">
        <v>1927</v>
      </c>
      <c r="AB299" s="1" t="s">
        <v>1928</v>
      </c>
      <c r="AC299" s="1" t="s">
        <v>46</v>
      </c>
      <c r="AD299" s="1"/>
      <c r="AE299" s="1" t="s">
        <v>641</v>
      </c>
      <c r="AF299" s="1" t="s">
        <v>190</v>
      </c>
      <c r="AG299" s="1">
        <v>6</v>
      </c>
      <c r="AH299" s="1" t="s">
        <v>190</v>
      </c>
      <c r="AI299" s="1"/>
      <c r="AJ299" s="1" t="s">
        <v>3842</v>
      </c>
      <c r="AK299" s="1" t="s">
        <v>1749</v>
      </c>
    </row>
    <row r="300" spans="1:37">
      <c r="A300" s="1" t="str">
        <f>VLOOKUP(H300,Languages!$A$2:$B$430,2,FALSE)</f>
        <v>Atlantic-Congo</v>
      </c>
      <c r="B300" s="1" t="s">
        <v>1750</v>
      </c>
      <c r="C300" s="1" t="s">
        <v>255</v>
      </c>
      <c r="D300" s="1" t="s">
        <v>1930</v>
      </c>
      <c r="E300" s="15" t="s">
        <v>1931</v>
      </c>
      <c r="F300" s="15" t="s">
        <v>1932</v>
      </c>
      <c r="G300" s="1" t="s">
        <v>1931</v>
      </c>
      <c r="H300" s="1" t="str">
        <f>VLOOKUP(G300,'languoid 4.0'!$A$1:$I$24439,2,FALSE)</f>
        <v>atla1278</v>
      </c>
      <c r="I300" s="1" t="str">
        <f>VLOOKUP(G300,'languoid 4.0'!$A$1:$I$24439,6,FALSE)</f>
        <v>language</v>
      </c>
      <c r="J300" s="15" t="s">
        <v>52</v>
      </c>
      <c r="K300" s="15" t="s">
        <v>38</v>
      </c>
      <c r="L300" s="15" t="s">
        <v>38</v>
      </c>
      <c r="M300" s="1"/>
      <c r="N300" s="1" t="s">
        <v>1933</v>
      </c>
      <c r="O300" s="15" t="s">
        <v>40</v>
      </c>
      <c r="P300" s="15" t="s">
        <v>41</v>
      </c>
      <c r="Q300" s="1" t="s">
        <v>3938</v>
      </c>
      <c r="R300" s="2" t="s">
        <v>3939</v>
      </c>
      <c r="S300" s="1" t="s">
        <v>46</v>
      </c>
      <c r="T300" s="1" t="s">
        <v>635</v>
      </c>
      <c r="U300" s="1" t="s">
        <v>3940</v>
      </c>
      <c r="V300" s="1" t="s">
        <v>45</v>
      </c>
      <c r="W300" s="1"/>
      <c r="X300" s="1"/>
      <c r="Y300" s="1"/>
      <c r="Z300" s="1" t="s">
        <v>658</v>
      </c>
      <c r="AA300" s="1" t="s">
        <v>3941</v>
      </c>
      <c r="AB300" s="1" t="s">
        <v>3942</v>
      </c>
      <c r="AC300" s="1" t="s">
        <v>46</v>
      </c>
      <c r="AD300" s="1"/>
      <c r="AE300" s="1" t="s">
        <v>641</v>
      </c>
      <c r="AF300" s="1" t="s">
        <v>190</v>
      </c>
      <c r="AG300" s="1">
        <v>6</v>
      </c>
      <c r="AH300" s="1" t="s">
        <v>190</v>
      </c>
      <c r="AI300" s="1"/>
      <c r="AJ300" s="1" t="s">
        <v>3943</v>
      </c>
      <c r="AK300" s="1" t="s">
        <v>1749</v>
      </c>
    </row>
    <row r="301" spans="1:37">
      <c r="A301" s="1" t="str">
        <f>VLOOKUP(H301,Languages!$A$2:$B$430,2,FALSE)</f>
        <v>Atlantic-Congo</v>
      </c>
      <c r="B301" s="1" t="s">
        <v>1750</v>
      </c>
      <c r="C301" s="1" t="s">
        <v>255</v>
      </c>
      <c r="D301" s="1" t="s">
        <v>1930</v>
      </c>
      <c r="E301" s="15" t="s">
        <v>1931</v>
      </c>
      <c r="F301" s="15" t="s">
        <v>1932</v>
      </c>
      <c r="G301" s="1" t="s">
        <v>1931</v>
      </c>
      <c r="H301" s="1" t="str">
        <f>VLOOKUP(G301,'languoid 4.0'!$A$1:$I$24439,2,FALSE)</f>
        <v>atla1278</v>
      </c>
      <c r="I301" s="1" t="str">
        <f>VLOOKUP(G301,'languoid 4.0'!$A$1:$I$24439,6,FALSE)</f>
        <v>language</v>
      </c>
      <c r="J301" s="15" t="s">
        <v>52</v>
      </c>
      <c r="K301" s="15" t="s">
        <v>38</v>
      </c>
      <c r="L301" s="15" t="s">
        <v>38</v>
      </c>
      <c r="M301" s="1"/>
      <c r="N301" s="1" t="s">
        <v>1933</v>
      </c>
      <c r="O301" s="15" t="s">
        <v>40</v>
      </c>
      <c r="P301" s="15" t="s">
        <v>41</v>
      </c>
      <c r="Q301" s="1" t="s">
        <v>3949</v>
      </c>
      <c r="R301" s="2" t="s">
        <v>3950</v>
      </c>
      <c r="S301" s="1" t="s">
        <v>46</v>
      </c>
      <c r="T301" s="1" t="s">
        <v>635</v>
      </c>
      <c r="U301" s="1" t="s">
        <v>636</v>
      </c>
      <c r="V301" s="1" t="s">
        <v>45</v>
      </c>
      <c r="W301" s="1"/>
      <c r="X301" s="1"/>
      <c r="Y301" s="1"/>
      <c r="Z301" s="1" t="s">
        <v>658</v>
      </c>
      <c r="AA301" s="1" t="s">
        <v>3951</v>
      </c>
      <c r="AB301" s="1" t="s">
        <v>3952</v>
      </c>
      <c r="AC301" s="1" t="s">
        <v>46</v>
      </c>
      <c r="AD301" s="1"/>
      <c r="AE301" s="1" t="s">
        <v>641</v>
      </c>
      <c r="AF301" s="1" t="s">
        <v>190</v>
      </c>
      <c r="AG301" s="1">
        <v>6</v>
      </c>
      <c r="AH301" s="1" t="s">
        <v>190</v>
      </c>
      <c r="AI301" s="1"/>
      <c r="AJ301" s="1" t="s">
        <v>3953</v>
      </c>
      <c r="AK301" s="1" t="s">
        <v>1749</v>
      </c>
    </row>
    <row r="302" spans="1:37">
      <c r="A302" s="1" t="str">
        <f>VLOOKUP(H302,Languages!$A$2:$B$430,2,FALSE)</f>
        <v>Atlantic-Congo</v>
      </c>
      <c r="B302" s="1" t="s">
        <v>1750</v>
      </c>
      <c r="C302" s="1" t="s">
        <v>255</v>
      </c>
      <c r="D302" s="1" t="s">
        <v>4065</v>
      </c>
      <c r="E302" s="15" t="s">
        <v>4066</v>
      </c>
      <c r="F302" s="15" t="s">
        <v>4066</v>
      </c>
      <c r="G302" s="1" t="s">
        <v>4066</v>
      </c>
      <c r="H302" s="1" t="str">
        <f>VLOOKUP(G302,'languoid 4.0'!$A$1:$I$24439,2,FALSE)</f>
        <v>atla1278</v>
      </c>
      <c r="I302" s="1" t="str">
        <f>VLOOKUP(G302,'languoid 4.0'!$A$1:$I$24439,6,FALSE)</f>
        <v>language</v>
      </c>
      <c r="J302" s="15" t="s">
        <v>38</v>
      </c>
      <c r="K302" s="15" t="s">
        <v>38</v>
      </c>
      <c r="L302" s="15" t="s">
        <v>38</v>
      </c>
      <c r="M302" s="1"/>
      <c r="N302" s="1" t="s">
        <v>4067</v>
      </c>
      <c r="O302" s="15" t="s">
        <v>40</v>
      </c>
      <c r="P302" s="15" t="s">
        <v>41</v>
      </c>
      <c r="Q302" s="1" t="s">
        <v>4210</v>
      </c>
      <c r="R302" s="2" t="s">
        <v>4211</v>
      </c>
      <c r="S302" s="1" t="s">
        <v>46</v>
      </c>
      <c r="T302" s="1" t="s">
        <v>3824</v>
      </c>
      <c r="U302" s="1" t="s">
        <v>636</v>
      </c>
      <c r="V302" s="1" t="s">
        <v>45</v>
      </c>
      <c r="W302" s="1"/>
      <c r="X302" s="1"/>
      <c r="Y302" s="1"/>
      <c r="Z302" s="1" t="s">
        <v>658</v>
      </c>
      <c r="AA302" s="1" t="s">
        <v>4212</v>
      </c>
      <c r="AB302" s="1" t="s">
        <v>4213</v>
      </c>
      <c r="AC302" s="1" t="s">
        <v>46</v>
      </c>
      <c r="AD302" s="1"/>
      <c r="AE302" s="1" t="s">
        <v>641</v>
      </c>
      <c r="AF302" s="1" t="s">
        <v>45</v>
      </c>
      <c r="AG302" s="1">
        <v>1</v>
      </c>
      <c r="AH302" s="1" t="s">
        <v>190</v>
      </c>
      <c r="AI302" s="1"/>
      <c r="AJ302" s="1" t="s">
        <v>4214</v>
      </c>
      <c r="AK302" s="1" t="s">
        <v>1749</v>
      </c>
    </row>
    <row r="303" spans="1:37">
      <c r="A303" s="1" t="str">
        <f>VLOOKUP(H303,Languages!$A$2:$B$430,2,FALSE)</f>
        <v>Atlantic-Congo</v>
      </c>
      <c r="B303" s="1" t="s">
        <v>1750</v>
      </c>
      <c r="C303" s="1" t="s">
        <v>255</v>
      </c>
      <c r="D303" s="1" t="s">
        <v>4215</v>
      </c>
      <c r="E303" s="15" t="s">
        <v>4216</v>
      </c>
      <c r="F303" s="15" t="s">
        <v>4216</v>
      </c>
      <c r="G303" s="1" t="s">
        <v>4216</v>
      </c>
      <c r="H303" s="1" t="str">
        <f>VLOOKUP(G303,'languoid 4.0'!$A$1:$I$24439,2,FALSE)</f>
        <v>atla1278</v>
      </c>
      <c r="I303" s="1" t="str">
        <f>VLOOKUP(G303,'languoid 4.0'!$A$1:$I$24439,6,FALSE)</f>
        <v>language</v>
      </c>
      <c r="J303" s="15" t="s">
        <v>38</v>
      </c>
      <c r="K303" s="15" t="s">
        <v>38</v>
      </c>
      <c r="L303" s="15" t="s">
        <v>38</v>
      </c>
      <c r="M303" s="1"/>
      <c r="N303" s="1" t="s">
        <v>4217</v>
      </c>
      <c r="O303" s="15" t="s">
        <v>40</v>
      </c>
      <c r="P303" s="15" t="s">
        <v>41</v>
      </c>
      <c r="Q303" s="1" t="s">
        <v>4218</v>
      </c>
      <c r="R303" s="2" t="s">
        <v>4219</v>
      </c>
      <c r="S303" s="1" t="s">
        <v>46</v>
      </c>
      <c r="T303" s="1" t="s">
        <v>3824</v>
      </c>
      <c r="U303" s="1" t="s">
        <v>636</v>
      </c>
      <c r="V303" s="1" t="s">
        <v>45</v>
      </c>
      <c r="W303" s="1"/>
      <c r="X303" s="1"/>
      <c r="Y303" s="1"/>
      <c r="Z303" s="1" t="s">
        <v>658</v>
      </c>
      <c r="AA303" s="1" t="s">
        <v>4220</v>
      </c>
      <c r="AB303" s="1" t="s">
        <v>46</v>
      </c>
      <c r="AC303" s="1" t="s">
        <v>46</v>
      </c>
      <c r="AD303" s="1"/>
      <c r="AE303" s="1" t="s">
        <v>641</v>
      </c>
      <c r="AF303" s="1" t="s">
        <v>190</v>
      </c>
      <c r="AG303" s="1">
        <v>6</v>
      </c>
      <c r="AH303" s="1" t="s">
        <v>190</v>
      </c>
      <c r="AI303" s="1"/>
      <c r="AJ303" s="1" t="s">
        <v>4221</v>
      </c>
      <c r="AK303" s="1" t="s">
        <v>1749</v>
      </c>
    </row>
    <row r="304" spans="1:37">
      <c r="A304" s="1" t="str">
        <f>VLOOKUP(H304,Languages!$A$2:$B$430,2,FALSE)</f>
        <v>Atlantic-Congo</v>
      </c>
      <c r="B304" s="1" t="s">
        <v>1750</v>
      </c>
      <c r="C304" s="1" t="s">
        <v>255</v>
      </c>
      <c r="D304" s="1" t="s">
        <v>3991</v>
      </c>
      <c r="E304" s="15" t="s">
        <v>1745</v>
      </c>
      <c r="F304" s="15" t="s">
        <v>1745</v>
      </c>
      <c r="G304" s="1" t="s">
        <v>1745</v>
      </c>
      <c r="H304" s="1" t="str">
        <f>VLOOKUP(G304,'languoid 4.0'!$A$1:$I$24439,2,FALSE)</f>
        <v>atla1278</v>
      </c>
      <c r="I304" s="1" t="str">
        <f>VLOOKUP(G304,'languoid 4.0'!$A$1:$I$24439,6,FALSE)</f>
        <v>language</v>
      </c>
      <c r="J304" s="15" t="s">
        <v>38</v>
      </c>
      <c r="K304" s="15" t="s">
        <v>38</v>
      </c>
      <c r="L304" s="15" t="s">
        <v>38</v>
      </c>
      <c r="M304" s="1"/>
      <c r="N304" s="1" t="s">
        <v>1752</v>
      </c>
      <c r="O304" s="15" t="s">
        <v>40</v>
      </c>
      <c r="P304" s="15" t="s">
        <v>41</v>
      </c>
      <c r="Q304" s="1" t="s">
        <v>4222</v>
      </c>
      <c r="R304" s="2" t="s">
        <v>4223</v>
      </c>
      <c r="S304" s="1" t="s">
        <v>46</v>
      </c>
      <c r="T304" s="1" t="s">
        <v>3824</v>
      </c>
      <c r="U304" s="1" t="s">
        <v>636</v>
      </c>
      <c r="V304" s="1" t="s">
        <v>45</v>
      </c>
      <c r="W304" s="1"/>
      <c r="X304" s="1"/>
      <c r="Y304" s="1"/>
      <c r="Z304" s="1" t="s">
        <v>658</v>
      </c>
      <c r="AA304" s="1" t="s">
        <v>4224</v>
      </c>
      <c r="AB304" s="1" t="s">
        <v>4225</v>
      </c>
      <c r="AC304" s="1" t="s">
        <v>46</v>
      </c>
      <c r="AD304" s="1"/>
      <c r="AE304" s="1" t="s">
        <v>641</v>
      </c>
      <c r="AF304" s="1" t="s">
        <v>190</v>
      </c>
      <c r="AG304" s="1">
        <v>6</v>
      </c>
      <c r="AH304" s="1" t="s">
        <v>190</v>
      </c>
      <c r="AI304" s="1"/>
      <c r="AJ304" s="1" t="s">
        <v>4226</v>
      </c>
      <c r="AK304" s="1" t="s">
        <v>1749</v>
      </c>
    </row>
    <row r="305" spans="1:37">
      <c r="A305" s="1" t="str">
        <f>VLOOKUP(H305,Languages!$A$2:$B$430,2,FALSE)</f>
        <v>Atlantic-Congo</v>
      </c>
      <c r="B305" s="1" t="s">
        <v>1750</v>
      </c>
      <c r="C305" s="1" t="s">
        <v>132</v>
      </c>
      <c r="D305" s="1" t="s">
        <v>3200</v>
      </c>
      <c r="E305" s="15" t="s">
        <v>3201</v>
      </c>
      <c r="F305" s="15" t="s">
        <v>3202</v>
      </c>
      <c r="G305" s="1" t="s">
        <v>3201</v>
      </c>
      <c r="H305" s="1" t="str">
        <f>VLOOKUP(G305,'languoid 4.0'!$A$1:$I$24439,2,FALSE)</f>
        <v>atla1278</v>
      </c>
      <c r="I305" s="1" t="str">
        <f>VLOOKUP(G305,'languoid 4.0'!$A$1:$I$24439,6,FALSE)</f>
        <v>language</v>
      </c>
      <c r="J305" s="15" t="s">
        <v>52</v>
      </c>
      <c r="K305" s="15" t="s">
        <v>52</v>
      </c>
      <c r="L305" s="15" t="s">
        <v>52</v>
      </c>
      <c r="M305" s="1"/>
      <c r="N305" s="1" t="s">
        <v>3203</v>
      </c>
      <c r="O305" s="15" t="s">
        <v>40</v>
      </c>
      <c r="P305" s="15" t="s">
        <v>41</v>
      </c>
      <c r="Q305" s="1" t="s">
        <v>3214</v>
      </c>
      <c r="R305" s="2" t="s">
        <v>3215</v>
      </c>
      <c r="S305" s="1" t="s">
        <v>46</v>
      </c>
      <c r="T305" s="1" t="s">
        <v>635</v>
      </c>
      <c r="U305" s="1" t="s">
        <v>636</v>
      </c>
      <c r="V305" s="1" t="s">
        <v>45</v>
      </c>
      <c r="W305" s="1"/>
      <c r="X305" s="1"/>
      <c r="Y305" s="1"/>
      <c r="Z305" s="1" t="s">
        <v>658</v>
      </c>
      <c r="AA305" s="1" t="s">
        <v>3216</v>
      </c>
      <c r="AB305" s="1" t="s">
        <v>3217</v>
      </c>
      <c r="AC305" s="1" t="s">
        <v>46</v>
      </c>
      <c r="AD305" s="1"/>
      <c r="AE305" s="1" t="s">
        <v>641</v>
      </c>
      <c r="AF305" s="1" t="s">
        <v>190</v>
      </c>
      <c r="AG305" s="1">
        <v>6</v>
      </c>
      <c r="AH305" s="1" t="s">
        <v>190</v>
      </c>
      <c r="AI305" s="1"/>
      <c r="AJ305" s="1" t="s">
        <v>3218</v>
      </c>
      <c r="AK305" s="1" t="s">
        <v>1034</v>
      </c>
    </row>
    <row r="306" spans="1:37">
      <c r="A306" s="1" t="str">
        <f>VLOOKUP(H306,Languages!$A$2:$B$430,2,FALSE)</f>
        <v>Atlantic-Congo</v>
      </c>
      <c r="B306" s="1" t="s">
        <v>1750</v>
      </c>
      <c r="C306" s="1" t="s">
        <v>132</v>
      </c>
      <c r="D306" s="1" t="s">
        <v>3200</v>
      </c>
      <c r="E306" s="15" t="s">
        <v>3201</v>
      </c>
      <c r="F306" s="15" t="s">
        <v>3202</v>
      </c>
      <c r="G306" s="1" t="s">
        <v>3201</v>
      </c>
      <c r="H306" s="1" t="str">
        <f>VLOOKUP(G306,'languoid 4.0'!$A$1:$I$24439,2,FALSE)</f>
        <v>atla1278</v>
      </c>
      <c r="I306" s="1" t="str">
        <f>VLOOKUP(G306,'languoid 4.0'!$A$1:$I$24439,6,FALSE)</f>
        <v>language</v>
      </c>
      <c r="J306" s="15" t="s">
        <v>52</v>
      </c>
      <c r="K306" s="15" t="s">
        <v>52</v>
      </c>
      <c r="L306" s="15" t="s">
        <v>52</v>
      </c>
      <c r="M306" s="1"/>
      <c r="N306" s="1" t="s">
        <v>3203</v>
      </c>
      <c r="O306" s="15" t="s">
        <v>40</v>
      </c>
      <c r="P306" s="15" t="s">
        <v>41</v>
      </c>
      <c r="Q306" s="1" t="s">
        <v>3219</v>
      </c>
      <c r="R306" s="2" t="s">
        <v>3220</v>
      </c>
      <c r="S306" s="1" t="s">
        <v>46</v>
      </c>
      <c r="T306" s="1" t="s">
        <v>635</v>
      </c>
      <c r="U306" s="1" t="s">
        <v>636</v>
      </c>
      <c r="V306" s="1" t="s">
        <v>45</v>
      </c>
      <c r="W306" s="1"/>
      <c r="X306" s="1"/>
      <c r="Y306" s="1"/>
      <c r="Z306" s="1" t="s">
        <v>658</v>
      </c>
      <c r="AA306" s="1" t="s">
        <v>3221</v>
      </c>
      <c r="AB306" s="1" t="s">
        <v>3222</v>
      </c>
      <c r="AC306" s="1" t="s">
        <v>46</v>
      </c>
      <c r="AD306" s="1"/>
      <c r="AE306" s="1" t="s">
        <v>641</v>
      </c>
      <c r="AF306" s="1" t="s">
        <v>190</v>
      </c>
      <c r="AG306" s="1">
        <v>6</v>
      </c>
      <c r="AH306" s="1" t="s">
        <v>190</v>
      </c>
      <c r="AI306" s="1"/>
      <c r="AJ306" s="1" t="s">
        <v>3223</v>
      </c>
      <c r="AK306" s="1" t="s">
        <v>1034</v>
      </c>
    </row>
    <row r="307" spans="1:37">
      <c r="A307" s="1" t="str">
        <f>VLOOKUP(H307,Languages!$A$2:$B$430,2,FALSE)</f>
        <v>Atlantic-Congo</v>
      </c>
      <c r="B307" s="1" t="s">
        <v>1750</v>
      </c>
      <c r="C307" s="1" t="s">
        <v>132</v>
      </c>
      <c r="D307" s="1" t="s">
        <v>3499</v>
      </c>
      <c r="E307" s="15" t="s">
        <v>3500</v>
      </c>
      <c r="F307" s="15" t="s">
        <v>3500</v>
      </c>
      <c r="G307" s="1" t="s">
        <v>3500</v>
      </c>
      <c r="H307" s="1" t="str">
        <f>VLOOKUP(G307,'languoid 4.0'!$A$1:$I$24439,2,FALSE)</f>
        <v>atla1278</v>
      </c>
      <c r="I307" s="1" t="str">
        <f>VLOOKUP(G307,'languoid 4.0'!$A$1:$I$24439,6,FALSE)</f>
        <v>language</v>
      </c>
      <c r="J307" s="15" t="s">
        <v>38</v>
      </c>
      <c r="K307" s="15" t="s">
        <v>38</v>
      </c>
      <c r="L307" s="15" t="s">
        <v>38</v>
      </c>
      <c r="M307" s="1"/>
      <c r="N307" s="1" t="s">
        <v>3501</v>
      </c>
      <c r="O307" s="15" t="s">
        <v>40</v>
      </c>
      <c r="P307" s="15" t="s">
        <v>41</v>
      </c>
      <c r="Q307" s="1" t="s">
        <v>3502</v>
      </c>
      <c r="R307" s="2" t="s">
        <v>3503</v>
      </c>
      <c r="S307" s="1" t="s">
        <v>46</v>
      </c>
      <c r="T307" s="1" t="s">
        <v>635</v>
      </c>
      <c r="U307" s="1" t="s">
        <v>636</v>
      </c>
      <c r="V307" s="1" t="s">
        <v>45</v>
      </c>
      <c r="W307" s="1"/>
      <c r="X307" s="1"/>
      <c r="Y307" s="1"/>
      <c r="Z307" s="1" t="s">
        <v>658</v>
      </c>
      <c r="AA307" s="1" t="s">
        <v>3504</v>
      </c>
      <c r="AB307" s="1" t="s">
        <v>3505</v>
      </c>
      <c r="AC307" s="1" t="s">
        <v>46</v>
      </c>
      <c r="AD307" s="1"/>
      <c r="AE307" s="1" t="s">
        <v>641</v>
      </c>
      <c r="AF307" s="1" t="s">
        <v>190</v>
      </c>
      <c r="AG307" s="1">
        <v>6</v>
      </c>
      <c r="AH307" s="1" t="s">
        <v>190</v>
      </c>
      <c r="AI307" s="1"/>
      <c r="AJ307" s="1" t="s">
        <v>3506</v>
      </c>
      <c r="AK307" s="1" t="s">
        <v>1034</v>
      </c>
    </row>
    <row r="308" spans="1:37">
      <c r="A308" s="1" t="str">
        <f>VLOOKUP(H308,Languages!$A$2:$B$430,2,FALSE)</f>
        <v>Atlantic-Congo</v>
      </c>
      <c r="B308" s="1" t="s">
        <v>1750</v>
      </c>
      <c r="C308" s="1" t="s">
        <v>132</v>
      </c>
      <c r="D308" s="1" t="s">
        <v>4926</v>
      </c>
      <c r="E308" s="15" t="s">
        <v>1635</v>
      </c>
      <c r="F308" s="15" t="s">
        <v>4927</v>
      </c>
      <c r="G308" s="1" t="s">
        <v>4927</v>
      </c>
      <c r="H308" s="1" t="str">
        <f>VLOOKUP(G308,'languoid 4.0'!$A$1:$I$24439,2,FALSE)</f>
        <v>atla1278</v>
      </c>
      <c r="I308" s="1" t="str">
        <f>VLOOKUP(G308,'languoid 4.0'!$A$1:$I$24439,6,FALSE)</f>
        <v>language</v>
      </c>
      <c r="J308" s="15" t="s">
        <v>52</v>
      </c>
      <c r="K308" s="15" t="s">
        <v>38</v>
      </c>
      <c r="L308" s="15" t="s">
        <v>38</v>
      </c>
      <c r="M308" s="1"/>
      <c r="N308" s="1"/>
      <c r="O308" s="15" t="s">
        <v>40</v>
      </c>
      <c r="P308" s="15" t="s">
        <v>41</v>
      </c>
      <c r="Q308" s="1" t="s">
        <v>4928</v>
      </c>
      <c r="R308" s="2" t="s">
        <v>4929</v>
      </c>
      <c r="S308" s="1" t="s">
        <v>46</v>
      </c>
      <c r="T308" s="1" t="s">
        <v>635</v>
      </c>
      <c r="U308" s="1" t="s">
        <v>636</v>
      </c>
      <c r="V308" s="1" t="s">
        <v>45</v>
      </c>
      <c r="W308" s="1"/>
      <c r="X308" s="1"/>
      <c r="Y308" s="1"/>
      <c r="Z308" s="1" t="s">
        <v>658</v>
      </c>
      <c r="AA308" s="1" t="s">
        <v>4930</v>
      </c>
      <c r="AB308" s="1" t="s">
        <v>4931</v>
      </c>
      <c r="AC308" s="1" t="s">
        <v>46</v>
      </c>
      <c r="AD308" s="1"/>
      <c r="AE308" s="1" t="s">
        <v>641</v>
      </c>
      <c r="AF308" s="1" t="s">
        <v>190</v>
      </c>
      <c r="AG308" s="1">
        <v>6</v>
      </c>
      <c r="AH308" s="1" t="s">
        <v>190</v>
      </c>
      <c r="AI308" s="1"/>
      <c r="AJ308" s="1" t="s">
        <v>4932</v>
      </c>
      <c r="AK308" s="1" t="s">
        <v>1034</v>
      </c>
    </row>
    <row r="309" spans="1:37">
      <c r="A309" s="1" t="str">
        <f>VLOOKUP(H309,Languages!$A$2:$B$430,2,FALSE)</f>
        <v>Atlantic-Congo</v>
      </c>
      <c r="B309" s="1" t="s">
        <v>1738</v>
      </c>
      <c r="C309" s="1" t="s">
        <v>48</v>
      </c>
      <c r="D309" s="1" t="s">
        <v>7099</v>
      </c>
      <c r="E309" s="15" t="s">
        <v>7100</v>
      </c>
      <c r="F309" s="15" t="s">
        <v>7100</v>
      </c>
      <c r="G309" s="1" t="s">
        <v>7100</v>
      </c>
      <c r="H309" s="1" t="str">
        <f>VLOOKUP(G309,'languoid 4.0'!$A$1:$I$24439,2,FALSE)</f>
        <v>atla1278</v>
      </c>
      <c r="I309" s="1" t="str">
        <f>VLOOKUP(G309,'languoid 4.0'!$A$1:$I$24439,6,FALSE)</f>
        <v>language</v>
      </c>
      <c r="J309" s="15" t="s">
        <v>38</v>
      </c>
      <c r="K309" s="15" t="s">
        <v>38</v>
      </c>
      <c r="L309" s="15" t="s">
        <v>38</v>
      </c>
      <c r="M309" s="1"/>
      <c r="N309" s="1" t="s">
        <v>7101</v>
      </c>
      <c r="O309" s="15" t="s">
        <v>40</v>
      </c>
      <c r="P309" s="15" t="s">
        <v>41</v>
      </c>
      <c r="Q309" s="1" t="s">
        <v>7102</v>
      </c>
      <c r="R309" s="2" t="s">
        <v>7103</v>
      </c>
      <c r="S309" s="1" t="s">
        <v>46</v>
      </c>
      <c r="T309" s="1" t="s">
        <v>693</v>
      </c>
      <c r="U309" s="1" t="s">
        <v>7104</v>
      </c>
      <c r="V309" s="1" t="s">
        <v>45</v>
      </c>
      <c r="W309" s="1"/>
      <c r="X309" s="1"/>
      <c r="Y309" s="1"/>
      <c r="Z309" s="1" t="s">
        <v>637</v>
      </c>
      <c r="AA309" s="1" t="s">
        <v>7105</v>
      </c>
      <c r="AB309" s="1" t="s">
        <v>7106</v>
      </c>
      <c r="AC309" s="1" t="s">
        <v>46</v>
      </c>
      <c r="AD309" s="1"/>
      <c r="AE309" s="1" t="s">
        <v>641</v>
      </c>
      <c r="AF309" s="1" t="s">
        <v>190</v>
      </c>
      <c r="AG309" s="1">
        <v>4</v>
      </c>
      <c r="AH309" s="1" t="s">
        <v>190</v>
      </c>
      <c r="AI309" s="1"/>
      <c r="AJ309" s="3">
        <v>43228.500254629631</v>
      </c>
      <c r="AK309" s="1" t="s">
        <v>5542</v>
      </c>
    </row>
    <row r="310" spans="1:37">
      <c r="A310" s="1" t="str">
        <f>VLOOKUP(H310,Languages!$A$2:$B$430,2,FALSE)</f>
        <v>Atlantic-Congo</v>
      </c>
      <c r="B310" s="1" t="s">
        <v>1738</v>
      </c>
      <c r="C310" s="1" t="s">
        <v>48</v>
      </c>
      <c r="D310" s="1" t="s">
        <v>7112</v>
      </c>
      <c r="E310" s="15" t="s">
        <v>7113</v>
      </c>
      <c r="F310" s="15" t="s">
        <v>7113</v>
      </c>
      <c r="G310" s="1" t="s">
        <v>7113</v>
      </c>
      <c r="H310" s="1" t="str">
        <f>VLOOKUP(G310,'languoid 4.0'!$A$1:$I$24439,2,FALSE)</f>
        <v>atla1278</v>
      </c>
      <c r="I310" s="1" t="str">
        <f>VLOOKUP(G310,'languoid 4.0'!$A$1:$I$24439,6,FALSE)</f>
        <v>language</v>
      </c>
      <c r="J310" s="15" t="s">
        <v>38</v>
      </c>
      <c r="K310" s="15" t="s">
        <v>38</v>
      </c>
      <c r="L310" s="15" t="s">
        <v>38</v>
      </c>
      <c r="M310" s="1"/>
      <c r="N310" s="1" t="s">
        <v>7114</v>
      </c>
      <c r="O310" s="15" t="s">
        <v>40</v>
      </c>
      <c r="P310" s="15" t="s">
        <v>41</v>
      </c>
      <c r="Q310" s="1" t="s">
        <v>7115</v>
      </c>
      <c r="R310" s="2" t="s">
        <v>7116</v>
      </c>
      <c r="S310" s="1" t="s">
        <v>46</v>
      </c>
      <c r="T310" s="1" t="s">
        <v>1007</v>
      </c>
      <c r="U310" s="1" t="s">
        <v>7117</v>
      </c>
      <c r="V310" s="1" t="s">
        <v>45</v>
      </c>
      <c r="W310" s="1"/>
      <c r="X310" s="1"/>
      <c r="Y310" s="1"/>
      <c r="Z310" s="1" t="s">
        <v>637</v>
      </c>
      <c r="AA310" s="1" t="s">
        <v>7118</v>
      </c>
      <c r="AB310" s="1" t="s">
        <v>7119</v>
      </c>
      <c r="AC310" s="1" t="s">
        <v>46</v>
      </c>
      <c r="AD310" s="1"/>
      <c r="AE310" s="1" t="s">
        <v>641</v>
      </c>
      <c r="AF310" s="1" t="s">
        <v>190</v>
      </c>
      <c r="AG310" s="1">
        <v>4</v>
      </c>
      <c r="AH310" s="1" t="s">
        <v>190</v>
      </c>
      <c r="AI310" s="1"/>
      <c r="AJ310" s="3">
        <v>43228.507141203707</v>
      </c>
      <c r="AK310" s="1" t="s">
        <v>5542</v>
      </c>
    </row>
    <row r="311" spans="1:37">
      <c r="A311" s="1" t="str">
        <f>VLOOKUP(H311,Languages!$A$2:$B$430,2,FALSE)</f>
        <v>Atlantic-Congo</v>
      </c>
      <c r="B311" s="1" t="s">
        <v>1738</v>
      </c>
      <c r="C311" s="1" t="s">
        <v>48</v>
      </c>
      <c r="D311" s="1" t="s">
        <v>8322</v>
      </c>
      <c r="E311" s="15" t="s">
        <v>8323</v>
      </c>
      <c r="F311" s="15" t="s">
        <v>8324</v>
      </c>
      <c r="G311" s="1" t="s">
        <v>8324</v>
      </c>
      <c r="H311" s="1" t="str">
        <f>VLOOKUP(G311,'languoid 4.0'!$A$1:$I$24439,2,FALSE)</f>
        <v>atla1278</v>
      </c>
      <c r="I311" s="1" t="str">
        <f>VLOOKUP(G311,'languoid 4.0'!$A$1:$I$24439,6,FALSE)</f>
        <v>language</v>
      </c>
      <c r="J311" s="15" t="s">
        <v>52</v>
      </c>
      <c r="K311" s="15" t="s">
        <v>38</v>
      </c>
      <c r="L311" s="15" t="s">
        <v>38</v>
      </c>
      <c r="M311" s="1"/>
      <c r="N311" s="1" t="s">
        <v>8325</v>
      </c>
      <c r="O311" s="15" t="s">
        <v>40</v>
      </c>
      <c r="P311" s="15" t="s">
        <v>41</v>
      </c>
      <c r="Q311" s="1" t="s">
        <v>8326</v>
      </c>
      <c r="R311" s="2" t="s">
        <v>8327</v>
      </c>
      <c r="S311" s="1" t="s">
        <v>46</v>
      </c>
      <c r="T311" s="1" t="s">
        <v>1007</v>
      </c>
      <c r="U311" s="1" t="s">
        <v>1897</v>
      </c>
      <c r="V311" s="1" t="s">
        <v>45</v>
      </c>
      <c r="W311" s="1"/>
      <c r="X311" s="1"/>
      <c r="Y311" s="1"/>
      <c r="Z311" s="1" t="s">
        <v>637</v>
      </c>
      <c r="AA311" s="1" t="s">
        <v>8328</v>
      </c>
      <c r="AB311" s="1" t="s">
        <v>8329</v>
      </c>
      <c r="AC311" s="1" t="s">
        <v>46</v>
      </c>
      <c r="AD311" s="1"/>
      <c r="AE311" s="1" t="s">
        <v>641</v>
      </c>
      <c r="AF311" s="1" t="s">
        <v>190</v>
      </c>
      <c r="AG311" s="1">
        <v>4</v>
      </c>
      <c r="AH311" s="1" t="s">
        <v>190</v>
      </c>
      <c r="AI311" s="1"/>
      <c r="AJ311" s="1" t="s">
        <v>8330</v>
      </c>
      <c r="AK311" s="1" t="s">
        <v>5542</v>
      </c>
    </row>
    <row r="312" spans="1:37">
      <c r="A312" s="1" t="str">
        <f>VLOOKUP(H312,Languages!$A$2:$B$430,2,FALSE)</f>
        <v>Atlantic-Congo</v>
      </c>
      <c r="B312" s="1" t="s">
        <v>1738</v>
      </c>
      <c r="C312" s="1" t="s">
        <v>255</v>
      </c>
      <c r="D312" s="1" t="s">
        <v>256</v>
      </c>
      <c r="E312" s="15" t="s">
        <v>257</v>
      </c>
      <c r="F312" s="15" t="s">
        <v>257</v>
      </c>
      <c r="G312" s="1" t="s">
        <v>257</v>
      </c>
      <c r="H312" s="1" t="str">
        <f>VLOOKUP(G312,'languoid 4.0'!$A$1:$I$24439,2,FALSE)</f>
        <v>atla1278</v>
      </c>
      <c r="I312" s="1" t="str">
        <f>VLOOKUP(G312,'languoid 4.0'!$A$1:$I$24439,6,FALSE)</f>
        <v>language</v>
      </c>
      <c r="J312" s="15" t="s">
        <v>38</v>
      </c>
      <c r="K312" s="15" t="s">
        <v>38</v>
      </c>
      <c r="L312" s="15" t="s">
        <v>38</v>
      </c>
      <c r="M312" s="1"/>
      <c r="N312" s="1" t="s">
        <v>258</v>
      </c>
      <c r="O312" s="15" t="s">
        <v>40</v>
      </c>
      <c r="P312" s="15" t="s">
        <v>41</v>
      </c>
      <c r="Q312" s="1" t="s">
        <v>1895</v>
      </c>
      <c r="R312" s="2" t="s">
        <v>1896</v>
      </c>
      <c r="S312" s="1" t="s">
        <v>46</v>
      </c>
      <c r="T312" s="1" t="s">
        <v>635</v>
      </c>
      <c r="U312" s="1" t="s">
        <v>1897</v>
      </c>
      <c r="V312" s="1" t="s">
        <v>45</v>
      </c>
      <c r="W312" s="1"/>
      <c r="X312" s="1"/>
      <c r="Y312" s="1"/>
      <c r="Z312" s="1" t="s">
        <v>658</v>
      </c>
      <c r="AA312" s="1" t="s">
        <v>1898</v>
      </c>
      <c r="AB312" s="1" t="s">
        <v>1899</v>
      </c>
      <c r="AC312" s="1" t="s">
        <v>46</v>
      </c>
      <c r="AD312" s="1"/>
      <c r="AE312" s="1" t="s">
        <v>641</v>
      </c>
      <c r="AF312" s="1" t="s">
        <v>190</v>
      </c>
      <c r="AG312" s="1">
        <v>6</v>
      </c>
      <c r="AH312" s="1" t="s">
        <v>190</v>
      </c>
      <c r="AI312" s="1"/>
      <c r="AJ312" s="3">
        <v>43437.747557870367</v>
      </c>
      <c r="AK312" s="1" t="s">
        <v>1749</v>
      </c>
    </row>
    <row r="313" spans="1:37">
      <c r="A313" s="1" t="str">
        <f>VLOOKUP(H313,Languages!$A$2:$B$430,2,FALSE)</f>
        <v>Atlantic-Congo</v>
      </c>
      <c r="B313" s="1" t="s">
        <v>1738</v>
      </c>
      <c r="C313" s="1" t="s">
        <v>255</v>
      </c>
      <c r="D313" s="1" t="s">
        <v>1904</v>
      </c>
      <c r="E313" s="15" t="s">
        <v>1905</v>
      </c>
      <c r="F313" s="15" t="s">
        <v>1906</v>
      </c>
      <c r="G313" s="1" t="s">
        <v>1905</v>
      </c>
      <c r="H313" s="1" t="str">
        <f>VLOOKUP(G313,'languoid 4.0'!$A$1:$I$24439,2,FALSE)</f>
        <v>atla1278</v>
      </c>
      <c r="I313" s="1" t="str">
        <f>VLOOKUP(G313,'languoid 4.0'!$A$1:$I$24439,6,FALSE)</f>
        <v>dialect</v>
      </c>
      <c r="J313" s="15" t="s">
        <v>52</v>
      </c>
      <c r="K313" s="15" t="s">
        <v>38</v>
      </c>
      <c r="L313" s="15" t="s">
        <v>38</v>
      </c>
      <c r="M313" s="1"/>
      <c r="N313" s="1"/>
      <c r="O313" s="15" t="s">
        <v>40</v>
      </c>
      <c r="P313" s="15" t="s">
        <v>41</v>
      </c>
      <c r="Q313" s="1" t="s">
        <v>1911</v>
      </c>
      <c r="R313" s="2" t="s">
        <v>1912</v>
      </c>
      <c r="S313" s="1" t="s">
        <v>46</v>
      </c>
      <c r="T313" s="1" t="s">
        <v>635</v>
      </c>
      <c r="U313" s="1" t="s">
        <v>1913</v>
      </c>
      <c r="V313" s="1" t="s">
        <v>45</v>
      </c>
      <c r="W313" s="1"/>
      <c r="X313" s="1"/>
      <c r="Y313" s="1"/>
      <c r="Z313" s="1" t="s">
        <v>658</v>
      </c>
      <c r="AA313" s="1" t="s">
        <v>1914</v>
      </c>
      <c r="AB313" s="1" t="s">
        <v>1915</v>
      </c>
      <c r="AC313" s="1" t="s">
        <v>46</v>
      </c>
      <c r="AD313" s="1"/>
      <c r="AE313" s="1" t="s">
        <v>641</v>
      </c>
      <c r="AF313" s="1" t="s">
        <v>190</v>
      </c>
      <c r="AG313" s="1">
        <v>6</v>
      </c>
      <c r="AH313" s="1" t="s">
        <v>190</v>
      </c>
      <c r="AI313" s="1"/>
      <c r="AJ313" s="3">
        <v>43437.756041666667</v>
      </c>
      <c r="AK313" s="1" t="s">
        <v>1749</v>
      </c>
    </row>
    <row r="314" spans="1:37">
      <c r="A314" s="1" t="str">
        <f>VLOOKUP(H314,Languages!$A$2:$B$430,2,FALSE)</f>
        <v>Atlantic-Congo</v>
      </c>
      <c r="B314" s="1" t="s">
        <v>1738</v>
      </c>
      <c r="C314" s="1" t="s">
        <v>255</v>
      </c>
      <c r="D314" s="1" t="s">
        <v>256</v>
      </c>
      <c r="E314" s="15" t="s">
        <v>257</v>
      </c>
      <c r="F314" s="15" t="s">
        <v>257</v>
      </c>
      <c r="G314" s="1" t="s">
        <v>257</v>
      </c>
      <c r="H314" s="1" t="str">
        <f>VLOOKUP(G314,'languoid 4.0'!$A$1:$I$24439,2,FALSE)</f>
        <v>atla1278</v>
      </c>
      <c r="I314" s="1" t="str">
        <f>VLOOKUP(G314,'languoid 4.0'!$A$1:$I$24439,6,FALSE)</f>
        <v>language</v>
      </c>
      <c r="J314" s="15" t="s">
        <v>38</v>
      </c>
      <c r="K314" s="15" t="s">
        <v>38</v>
      </c>
      <c r="L314" s="15" t="s">
        <v>38</v>
      </c>
      <c r="M314" s="1"/>
      <c r="N314" s="1" t="s">
        <v>258</v>
      </c>
      <c r="O314" s="15" t="s">
        <v>40</v>
      </c>
      <c r="P314" s="15" t="s">
        <v>41</v>
      </c>
      <c r="Q314" s="1" t="s">
        <v>2509</v>
      </c>
      <c r="R314" s="2" t="s">
        <v>2510</v>
      </c>
      <c r="S314" s="1" t="s">
        <v>46</v>
      </c>
      <c r="T314" s="1" t="s">
        <v>635</v>
      </c>
      <c r="U314" s="1" t="s">
        <v>2511</v>
      </c>
      <c r="V314" s="1" t="s">
        <v>45</v>
      </c>
      <c r="W314" s="1"/>
      <c r="X314" s="1"/>
      <c r="Y314" s="1"/>
      <c r="Z314" s="1" t="s">
        <v>658</v>
      </c>
      <c r="AA314" s="1" t="s">
        <v>2512</v>
      </c>
      <c r="AB314" s="1" t="s">
        <v>2513</v>
      </c>
      <c r="AC314" s="1" t="s">
        <v>46</v>
      </c>
      <c r="AD314" s="1"/>
      <c r="AE314" s="1" t="s">
        <v>641</v>
      </c>
      <c r="AF314" s="1" t="s">
        <v>190</v>
      </c>
      <c r="AG314" s="1">
        <v>6</v>
      </c>
      <c r="AH314" s="1" t="s">
        <v>190</v>
      </c>
      <c r="AI314" s="1"/>
      <c r="AJ314" s="3">
        <v>43135.872662037036</v>
      </c>
      <c r="AK314" s="1" t="s">
        <v>1749</v>
      </c>
    </row>
    <row r="315" spans="1:37">
      <c r="A315" s="1" t="str">
        <f>VLOOKUP(H315,Languages!$A$2:$B$430,2,FALSE)</f>
        <v>Atlantic-Congo</v>
      </c>
      <c r="B315" s="1" t="s">
        <v>1738</v>
      </c>
      <c r="C315" s="1" t="s">
        <v>255</v>
      </c>
      <c r="D315" s="1" t="s">
        <v>1916</v>
      </c>
      <c r="E315" s="15" t="s">
        <v>1905</v>
      </c>
      <c r="F315" s="15" t="s">
        <v>1906</v>
      </c>
      <c r="G315" s="1" t="s">
        <v>1906</v>
      </c>
      <c r="H315" s="1" t="str">
        <f>VLOOKUP(G315,'languoid 4.0'!$A$1:$I$24439,2,FALSE)</f>
        <v>atla1278</v>
      </c>
      <c r="I315" s="1" t="str">
        <f>VLOOKUP(G315,'languoid 4.0'!$A$1:$I$24439,6,FALSE)</f>
        <v>language</v>
      </c>
      <c r="J315" s="15" t="s">
        <v>52</v>
      </c>
      <c r="K315" s="15" t="s">
        <v>38</v>
      </c>
      <c r="L315" s="15" t="s">
        <v>38</v>
      </c>
      <c r="M315" s="1"/>
      <c r="N315" s="1"/>
      <c r="O315" s="15" t="s">
        <v>40</v>
      </c>
      <c r="P315" s="15" t="s">
        <v>41</v>
      </c>
      <c r="Q315" s="1" t="s">
        <v>3827</v>
      </c>
      <c r="R315" s="2" t="s">
        <v>3828</v>
      </c>
      <c r="S315" s="1" t="s">
        <v>46</v>
      </c>
      <c r="T315" s="1" t="s">
        <v>635</v>
      </c>
      <c r="U315" s="1" t="s">
        <v>2511</v>
      </c>
      <c r="V315" s="1" t="s">
        <v>45</v>
      </c>
      <c r="W315" s="1"/>
      <c r="X315" s="1"/>
      <c r="Y315" s="1"/>
      <c r="Z315" s="1" t="s">
        <v>658</v>
      </c>
      <c r="AA315" s="1" t="s">
        <v>3829</v>
      </c>
      <c r="AB315" s="1" t="s">
        <v>3830</v>
      </c>
      <c r="AC315" s="1" t="s">
        <v>46</v>
      </c>
      <c r="AD315" s="1"/>
      <c r="AE315" s="1" t="s">
        <v>641</v>
      </c>
      <c r="AF315" s="1" t="s">
        <v>190</v>
      </c>
      <c r="AG315" s="1">
        <v>6</v>
      </c>
      <c r="AH315" s="1" t="s">
        <v>190</v>
      </c>
      <c r="AI315" s="1"/>
      <c r="AJ315" s="1" t="s">
        <v>3831</v>
      </c>
      <c r="AK315" s="1" t="s">
        <v>1749</v>
      </c>
    </row>
    <row r="316" spans="1:37">
      <c r="A316" s="1" t="str">
        <f>VLOOKUP(H316,Languages!$A$2:$B$430,2,FALSE)</f>
        <v>Atlantic-Congo</v>
      </c>
      <c r="B316" s="1" t="s">
        <v>1738</v>
      </c>
      <c r="C316" s="1" t="s">
        <v>255</v>
      </c>
      <c r="D316" s="1" t="s">
        <v>3997</v>
      </c>
      <c r="E316" s="15" t="s">
        <v>3998</v>
      </c>
      <c r="F316" s="15" t="s">
        <v>3999</v>
      </c>
      <c r="G316" s="1" t="s">
        <v>3999</v>
      </c>
      <c r="H316" s="1" t="str">
        <f>VLOOKUP(G316,'languoid 4.0'!$A$1:$I$24439,2,FALSE)</f>
        <v>atla1278</v>
      </c>
      <c r="I316" s="1" t="str">
        <f>VLOOKUP(G316,'languoid 4.0'!$A$1:$I$24439,6,FALSE)</f>
        <v>language</v>
      </c>
      <c r="J316" s="15" t="s">
        <v>52</v>
      </c>
      <c r="K316" s="15" t="s">
        <v>38</v>
      </c>
      <c r="L316" s="15" t="s">
        <v>38</v>
      </c>
      <c r="M316" s="1"/>
      <c r="N316" s="1"/>
      <c r="O316" s="15" t="s">
        <v>40</v>
      </c>
      <c r="P316" s="15" t="s">
        <v>41</v>
      </c>
      <c r="Q316" s="1" t="s">
        <v>4124</v>
      </c>
      <c r="R316" s="2" t="s">
        <v>4125</v>
      </c>
      <c r="S316" s="1" t="s">
        <v>46</v>
      </c>
      <c r="T316" s="1" t="s">
        <v>3824</v>
      </c>
      <c r="U316" s="1" t="s">
        <v>3916</v>
      </c>
      <c r="V316" s="1" t="s">
        <v>45</v>
      </c>
      <c r="W316" s="1"/>
      <c r="X316" s="1"/>
      <c r="Y316" s="1"/>
      <c r="Z316" s="1" t="s">
        <v>658</v>
      </c>
      <c r="AA316" s="1" t="s">
        <v>4126</v>
      </c>
      <c r="AB316" s="1" t="s">
        <v>46</v>
      </c>
      <c r="AC316" s="1" t="s">
        <v>46</v>
      </c>
      <c r="AD316" s="1"/>
      <c r="AE316" s="1" t="s">
        <v>641</v>
      </c>
      <c r="AF316" s="1" t="s">
        <v>190</v>
      </c>
      <c r="AG316" s="1">
        <v>6</v>
      </c>
      <c r="AH316" s="1" t="s">
        <v>190</v>
      </c>
      <c r="AI316" s="1"/>
      <c r="AJ316" s="1" t="s">
        <v>4127</v>
      </c>
      <c r="AK316" s="1" t="s">
        <v>1749</v>
      </c>
    </row>
    <row r="317" spans="1:37">
      <c r="A317" s="1" t="str">
        <f>VLOOKUP(H317,Languages!$A$2:$B$430,2,FALSE)</f>
        <v>Atlantic-Congo</v>
      </c>
      <c r="B317" s="1" t="s">
        <v>1738</v>
      </c>
      <c r="C317" s="1" t="s">
        <v>255</v>
      </c>
      <c r="D317" s="1" t="s">
        <v>1930</v>
      </c>
      <c r="E317" s="15" t="s">
        <v>1931</v>
      </c>
      <c r="F317" s="15" t="s">
        <v>1932</v>
      </c>
      <c r="G317" s="1" t="s">
        <v>1931</v>
      </c>
      <c r="H317" s="1" t="str">
        <f>VLOOKUP(G317,'languoid 4.0'!$A$1:$I$24439,2,FALSE)</f>
        <v>atla1278</v>
      </c>
      <c r="I317" s="1" t="str">
        <f>VLOOKUP(G317,'languoid 4.0'!$A$1:$I$24439,6,FALSE)</f>
        <v>language</v>
      </c>
      <c r="J317" s="15" t="s">
        <v>52</v>
      </c>
      <c r="K317" s="15" t="s">
        <v>38</v>
      </c>
      <c r="L317" s="15" t="s">
        <v>38</v>
      </c>
      <c r="M317" s="1"/>
      <c r="N317" s="1" t="s">
        <v>1933</v>
      </c>
      <c r="O317" s="15" t="s">
        <v>40</v>
      </c>
      <c r="P317" s="15" t="s">
        <v>41</v>
      </c>
      <c r="Q317" s="1" t="s">
        <v>4128</v>
      </c>
      <c r="R317" s="2" t="s">
        <v>4129</v>
      </c>
      <c r="S317" s="1" t="s">
        <v>46</v>
      </c>
      <c r="T317" s="1" t="s">
        <v>3824</v>
      </c>
      <c r="U317" s="1" t="s">
        <v>1897</v>
      </c>
      <c r="V317" s="1" t="s">
        <v>45</v>
      </c>
      <c r="W317" s="1"/>
      <c r="X317" s="1"/>
      <c r="Y317" s="1"/>
      <c r="Z317" s="1" t="s">
        <v>658</v>
      </c>
      <c r="AA317" s="1" t="s">
        <v>4130</v>
      </c>
      <c r="AB317" s="1" t="s">
        <v>46</v>
      </c>
      <c r="AC317" s="1" t="s">
        <v>46</v>
      </c>
      <c r="AD317" s="1"/>
      <c r="AE317" s="1" t="s">
        <v>641</v>
      </c>
      <c r="AF317" s="1" t="s">
        <v>190</v>
      </c>
      <c r="AG317" s="1">
        <v>6</v>
      </c>
      <c r="AH317" s="1" t="s">
        <v>190</v>
      </c>
      <c r="AI317" s="1"/>
      <c r="AJ317" s="1" t="s">
        <v>4131</v>
      </c>
      <c r="AK317" s="1" t="s">
        <v>1749</v>
      </c>
    </row>
    <row r="318" spans="1:37">
      <c r="A318" s="1" t="str">
        <f>VLOOKUP(H318,Languages!$A$2:$B$430,2,FALSE)</f>
        <v>Atlantic-Congo</v>
      </c>
      <c r="B318" s="1" t="s">
        <v>1738</v>
      </c>
      <c r="C318" s="1" t="s">
        <v>255</v>
      </c>
      <c r="D318" s="1" t="s">
        <v>4132</v>
      </c>
      <c r="E318" s="15" t="s">
        <v>4133</v>
      </c>
      <c r="F318" s="15" t="s">
        <v>4133</v>
      </c>
      <c r="G318" s="1" t="s">
        <v>4133</v>
      </c>
      <c r="H318" s="1" t="str">
        <f>VLOOKUP(G318,'languoid 4.0'!$A$1:$I$24439,2,FALSE)</f>
        <v>atla1278</v>
      </c>
      <c r="I318" s="1" t="str">
        <f>VLOOKUP(G318,'languoid 4.0'!$A$1:$I$24439,6,FALSE)</f>
        <v>language</v>
      </c>
      <c r="J318" s="15" t="s">
        <v>38</v>
      </c>
      <c r="K318" s="15" t="s">
        <v>38</v>
      </c>
      <c r="L318" s="15" t="s">
        <v>38</v>
      </c>
      <c r="M318" s="1"/>
      <c r="N318" s="1" t="s">
        <v>4134</v>
      </c>
      <c r="O318" s="15" t="s">
        <v>40</v>
      </c>
      <c r="P318" s="15" t="s">
        <v>41</v>
      </c>
      <c r="Q318" s="1" t="s">
        <v>4135</v>
      </c>
      <c r="R318" s="2" t="s">
        <v>4136</v>
      </c>
      <c r="S318" s="1" t="s">
        <v>46</v>
      </c>
      <c r="T318" s="1" t="s">
        <v>3824</v>
      </c>
      <c r="U318" s="1" t="s">
        <v>2511</v>
      </c>
      <c r="V318" s="1" t="s">
        <v>45</v>
      </c>
      <c r="W318" s="1"/>
      <c r="X318" s="1"/>
      <c r="Y318" s="1"/>
      <c r="Z318" s="1" t="s">
        <v>658</v>
      </c>
      <c r="AA318" s="1" t="s">
        <v>4137</v>
      </c>
      <c r="AB318" s="1" t="s">
        <v>4138</v>
      </c>
      <c r="AC318" s="1" t="s">
        <v>46</v>
      </c>
      <c r="AD318" s="1"/>
      <c r="AE318" s="1" t="s">
        <v>641</v>
      </c>
      <c r="AF318" s="1" t="s">
        <v>190</v>
      </c>
      <c r="AG318" s="1">
        <v>6</v>
      </c>
      <c r="AH318" s="1" t="s">
        <v>190</v>
      </c>
      <c r="AI318" s="1"/>
      <c r="AJ318" s="1" t="s">
        <v>4139</v>
      </c>
      <c r="AK318" s="1" t="s">
        <v>1749</v>
      </c>
    </row>
    <row r="319" spans="1:37">
      <c r="A319" s="1" t="str">
        <f>VLOOKUP(H319,Languages!$A$2:$B$430,2,FALSE)</f>
        <v>Atlantic-Congo</v>
      </c>
      <c r="B319" s="1" t="s">
        <v>1738</v>
      </c>
      <c r="C319" s="1" t="s">
        <v>132</v>
      </c>
      <c r="D319" s="1" t="s">
        <v>3499</v>
      </c>
      <c r="E319" s="15" t="s">
        <v>3500</v>
      </c>
      <c r="F319" s="15" t="s">
        <v>3500</v>
      </c>
      <c r="G319" s="1" t="s">
        <v>3500</v>
      </c>
      <c r="H319" s="1" t="str">
        <f>VLOOKUP(G319,'languoid 4.0'!$A$1:$I$24439,2,FALSE)</f>
        <v>atla1278</v>
      </c>
      <c r="I319" s="1" t="str">
        <f>VLOOKUP(G319,'languoid 4.0'!$A$1:$I$24439,6,FALSE)</f>
        <v>language</v>
      </c>
      <c r="J319" s="15" t="s">
        <v>38</v>
      </c>
      <c r="K319" s="15" t="s">
        <v>38</v>
      </c>
      <c r="L319" s="15" t="s">
        <v>38</v>
      </c>
      <c r="M319" s="1"/>
      <c r="N319" s="1" t="s">
        <v>3501</v>
      </c>
      <c r="O319" s="15" t="s">
        <v>40</v>
      </c>
      <c r="P319" s="15" t="s">
        <v>41</v>
      </c>
      <c r="Q319" s="1" t="s">
        <v>3719</v>
      </c>
      <c r="R319" s="2" t="s">
        <v>3720</v>
      </c>
      <c r="S319" s="1" t="s">
        <v>46</v>
      </c>
      <c r="T319" s="1" t="s">
        <v>635</v>
      </c>
      <c r="U319" s="1" t="s">
        <v>3721</v>
      </c>
      <c r="V319" s="1" t="s">
        <v>45</v>
      </c>
      <c r="W319" s="1"/>
      <c r="X319" s="1"/>
      <c r="Y319" s="1"/>
      <c r="Z319" s="1" t="s">
        <v>658</v>
      </c>
      <c r="AA319" s="1" t="s">
        <v>3722</v>
      </c>
      <c r="AB319" s="1" t="s">
        <v>3723</v>
      </c>
      <c r="AC319" s="1" t="s">
        <v>46</v>
      </c>
      <c r="AD319" s="1"/>
      <c r="AE319" s="1" t="s">
        <v>641</v>
      </c>
      <c r="AF319" s="1" t="s">
        <v>190</v>
      </c>
      <c r="AG319" s="1">
        <v>6</v>
      </c>
      <c r="AH319" s="1" t="s">
        <v>190</v>
      </c>
      <c r="AI319" s="1"/>
      <c r="AJ319" s="3">
        <v>43348.057002314818</v>
      </c>
      <c r="AK319" s="1" t="s">
        <v>1034</v>
      </c>
    </row>
    <row r="320" spans="1:37">
      <c r="A320" s="1" t="str">
        <f>VLOOKUP(H320,Languages!$A$2:$B$430,2,FALSE)</f>
        <v>Atlantic-Congo</v>
      </c>
      <c r="B320" s="1" t="s">
        <v>1738</v>
      </c>
      <c r="C320" s="1" t="s">
        <v>132</v>
      </c>
      <c r="D320" s="1" t="s">
        <v>3499</v>
      </c>
      <c r="E320" s="15" t="s">
        <v>3500</v>
      </c>
      <c r="F320" s="15" t="s">
        <v>3500</v>
      </c>
      <c r="G320" s="1" t="s">
        <v>3500</v>
      </c>
      <c r="H320" s="1" t="str">
        <f>VLOOKUP(G320,'languoid 4.0'!$A$1:$I$24439,2,FALSE)</f>
        <v>atla1278</v>
      </c>
      <c r="I320" s="1" t="str">
        <f>VLOOKUP(G320,'languoid 4.0'!$A$1:$I$24439,6,FALSE)</f>
        <v>language</v>
      </c>
      <c r="J320" s="15" t="s">
        <v>38</v>
      </c>
      <c r="K320" s="15" t="s">
        <v>38</v>
      </c>
      <c r="L320" s="15" t="s">
        <v>38</v>
      </c>
      <c r="M320" s="1"/>
      <c r="N320" s="1" t="s">
        <v>3501</v>
      </c>
      <c r="O320" s="15" t="s">
        <v>40</v>
      </c>
      <c r="P320" s="15" t="s">
        <v>41</v>
      </c>
      <c r="Q320" s="1" t="s">
        <v>3724</v>
      </c>
      <c r="R320" s="2" t="s">
        <v>3725</v>
      </c>
      <c r="S320" s="1" t="s">
        <v>46</v>
      </c>
      <c r="T320" s="1" t="s">
        <v>635</v>
      </c>
      <c r="U320" s="1" t="s">
        <v>3726</v>
      </c>
      <c r="V320" s="1" t="s">
        <v>45</v>
      </c>
      <c r="W320" s="1"/>
      <c r="X320" s="1"/>
      <c r="Y320" s="1"/>
      <c r="Z320" s="1" t="s">
        <v>658</v>
      </c>
      <c r="AA320" s="1" t="s">
        <v>3727</v>
      </c>
      <c r="AB320" s="1" t="s">
        <v>3728</v>
      </c>
      <c r="AC320" s="1" t="s">
        <v>46</v>
      </c>
      <c r="AD320" s="1"/>
      <c r="AE320" s="1" t="s">
        <v>641</v>
      </c>
      <c r="AF320" s="1" t="s">
        <v>190</v>
      </c>
      <c r="AG320" s="1">
        <v>6</v>
      </c>
      <c r="AH320" s="1" t="s">
        <v>190</v>
      </c>
      <c r="AI320" s="1"/>
      <c r="AJ320" s="3">
        <v>43348.06212962963</v>
      </c>
      <c r="AK320" s="1" t="s">
        <v>1034</v>
      </c>
    </row>
    <row r="321" spans="1:37">
      <c r="A321" s="1" t="str">
        <f>VLOOKUP(H321,Languages!$A$2:$B$430,2,FALSE)</f>
        <v>Atlantic-Congo</v>
      </c>
      <c r="B321" s="1" t="s">
        <v>1738</v>
      </c>
      <c r="C321" s="1" t="s">
        <v>132</v>
      </c>
      <c r="D321" s="1" t="s">
        <v>3499</v>
      </c>
      <c r="E321" s="15" t="s">
        <v>3500</v>
      </c>
      <c r="F321" s="15" t="s">
        <v>3500</v>
      </c>
      <c r="G321" s="1" t="s">
        <v>3500</v>
      </c>
      <c r="H321" s="1" t="str">
        <f>VLOOKUP(G321,'languoid 4.0'!$A$1:$I$24439,2,FALSE)</f>
        <v>atla1278</v>
      </c>
      <c r="I321" s="1" t="str">
        <f>VLOOKUP(G321,'languoid 4.0'!$A$1:$I$24439,6,FALSE)</f>
        <v>language</v>
      </c>
      <c r="J321" s="15" t="s">
        <v>38</v>
      </c>
      <c r="K321" s="15" t="s">
        <v>38</v>
      </c>
      <c r="L321" s="15" t="s">
        <v>38</v>
      </c>
      <c r="M321" s="1"/>
      <c r="N321" s="1" t="s">
        <v>3501</v>
      </c>
      <c r="O321" s="15" t="s">
        <v>40</v>
      </c>
      <c r="P321" s="15" t="s">
        <v>41</v>
      </c>
      <c r="Q321" s="1" t="s">
        <v>3743</v>
      </c>
      <c r="R321" s="2" t="s">
        <v>3744</v>
      </c>
      <c r="S321" s="1" t="s">
        <v>46</v>
      </c>
      <c r="T321" s="1" t="s">
        <v>635</v>
      </c>
      <c r="U321" s="1" t="s">
        <v>3745</v>
      </c>
      <c r="V321" s="1" t="s">
        <v>45</v>
      </c>
      <c r="W321" s="1"/>
      <c r="X321" s="1"/>
      <c r="Y321" s="1"/>
      <c r="Z321" s="1" t="s">
        <v>658</v>
      </c>
      <c r="AA321" s="1" t="s">
        <v>3746</v>
      </c>
      <c r="AB321" s="1" t="s">
        <v>3747</v>
      </c>
      <c r="AC321" s="1" t="s">
        <v>46</v>
      </c>
      <c r="AD321" s="1"/>
      <c r="AE321" s="1" t="s">
        <v>641</v>
      </c>
      <c r="AF321" s="1" t="s">
        <v>190</v>
      </c>
      <c r="AG321" s="1">
        <v>6</v>
      </c>
      <c r="AH321" s="1" t="s">
        <v>190</v>
      </c>
      <c r="AI321" s="1"/>
      <c r="AJ321" s="3">
        <v>43348.101342592592</v>
      </c>
      <c r="AK321" s="1" t="s">
        <v>1034</v>
      </c>
    </row>
    <row r="322" spans="1:37">
      <c r="A322" s="1" t="str">
        <f>VLOOKUP(H322,Languages!$A$2:$B$430,2,FALSE)</f>
        <v>Atlantic-Congo</v>
      </c>
      <c r="B322" s="1" t="s">
        <v>1812</v>
      </c>
      <c r="C322" s="1" t="s">
        <v>48</v>
      </c>
      <c r="D322" s="1" t="s">
        <v>6991</v>
      </c>
      <c r="E322" s="15" t="s">
        <v>6992</v>
      </c>
      <c r="F322" s="15" t="s">
        <v>51</v>
      </c>
      <c r="G322" s="1" t="s">
        <v>6992</v>
      </c>
      <c r="H322" s="1" t="str">
        <f>VLOOKUP(G322,'languoid 4.0'!$A$1:$I$24439,2,FALSE)</f>
        <v>atla1278</v>
      </c>
      <c r="I322" s="1" t="str">
        <f>VLOOKUP(G322,'languoid 4.0'!$A$1:$I$24439,6,FALSE)</f>
        <v>dialect</v>
      </c>
      <c r="J322" s="15" t="s">
        <v>52</v>
      </c>
      <c r="K322" s="15" t="s">
        <v>51</v>
      </c>
      <c r="L322" s="15" t="s">
        <v>51</v>
      </c>
      <c r="M322" s="1"/>
      <c r="N322" s="1"/>
      <c r="O322" s="15" t="s">
        <v>40</v>
      </c>
      <c r="P322" s="15" t="s">
        <v>41</v>
      </c>
      <c r="Q322" s="1" t="s">
        <v>6993</v>
      </c>
      <c r="R322" s="2" t="s">
        <v>6994</v>
      </c>
      <c r="S322" s="1" t="s">
        <v>6995</v>
      </c>
      <c r="T322" s="1" t="s">
        <v>693</v>
      </c>
      <c r="U322" s="1" t="s">
        <v>636</v>
      </c>
      <c r="V322" s="1" t="s">
        <v>45</v>
      </c>
      <c r="W322" s="1"/>
      <c r="X322" s="1"/>
      <c r="Y322" s="1"/>
      <c r="Z322" s="1" t="s">
        <v>637</v>
      </c>
      <c r="AA322" s="1" t="s">
        <v>6996</v>
      </c>
      <c r="AB322" s="1" t="s">
        <v>6997</v>
      </c>
      <c r="AC322" s="1" t="s">
        <v>46</v>
      </c>
      <c r="AD322" s="1"/>
      <c r="AE322" s="1" t="s">
        <v>641</v>
      </c>
      <c r="AF322" s="1" t="s">
        <v>190</v>
      </c>
      <c r="AG322" s="1">
        <v>6</v>
      </c>
      <c r="AH322" s="1" t="s">
        <v>190</v>
      </c>
      <c r="AI322" s="1" t="s">
        <v>6998</v>
      </c>
      <c r="AJ322" s="3">
        <v>43108.46775462963</v>
      </c>
      <c r="AK322" s="1" t="s">
        <v>5542</v>
      </c>
    </row>
    <row r="323" spans="1:37">
      <c r="A323" s="1" t="str">
        <f>VLOOKUP(H323,Languages!$A$2:$B$430,2,FALSE)</f>
        <v>Atlantic-Congo</v>
      </c>
      <c r="B323" s="1" t="s">
        <v>1812</v>
      </c>
      <c r="C323" s="1" t="s">
        <v>48</v>
      </c>
      <c r="D323" s="1" t="s">
        <v>7775</v>
      </c>
      <c r="E323" s="15" t="s">
        <v>6992</v>
      </c>
      <c r="F323" s="15" t="s">
        <v>6992</v>
      </c>
      <c r="G323" s="1" t="s">
        <v>6992</v>
      </c>
      <c r="H323" s="1" t="str">
        <f>VLOOKUP(G323,'languoid 4.0'!$A$1:$I$24439,2,FALSE)</f>
        <v>atla1278</v>
      </c>
      <c r="I323" s="1" t="str">
        <f>VLOOKUP(G323,'languoid 4.0'!$A$1:$I$24439,6,FALSE)</f>
        <v>dialect</v>
      </c>
      <c r="J323" s="15" t="s">
        <v>38</v>
      </c>
      <c r="K323" s="15" t="s">
        <v>38</v>
      </c>
      <c r="L323" s="15" t="s">
        <v>38</v>
      </c>
      <c r="M323" s="1"/>
      <c r="N323" s="1"/>
      <c r="O323" s="15" t="s">
        <v>40</v>
      </c>
      <c r="P323" s="15" t="s">
        <v>41</v>
      </c>
      <c r="Q323" s="1" t="s">
        <v>7776</v>
      </c>
      <c r="R323" s="2" t="s">
        <v>7777</v>
      </c>
      <c r="S323" s="1" t="s">
        <v>7778</v>
      </c>
      <c r="T323" s="1" t="s">
        <v>1689</v>
      </c>
      <c r="U323" s="1" t="s">
        <v>636</v>
      </c>
      <c r="V323" s="1" t="s">
        <v>45</v>
      </c>
      <c r="W323" s="1"/>
      <c r="X323" s="1"/>
      <c r="Y323" s="1"/>
      <c r="Z323" s="1" t="s">
        <v>658</v>
      </c>
      <c r="AA323" s="1" t="s">
        <v>7779</v>
      </c>
      <c r="AB323" s="1" t="s">
        <v>46</v>
      </c>
      <c r="AC323" s="1" t="s">
        <v>46</v>
      </c>
      <c r="AD323" s="1"/>
      <c r="AE323" s="1" t="s">
        <v>641</v>
      </c>
      <c r="AF323" s="1" t="s">
        <v>190</v>
      </c>
      <c r="AG323" s="1">
        <v>5</v>
      </c>
      <c r="AH323" s="1" t="s">
        <v>190</v>
      </c>
      <c r="AI323" s="1"/>
      <c r="AJ323" s="1" t="s">
        <v>7780</v>
      </c>
      <c r="AK323" s="1" t="s">
        <v>5542</v>
      </c>
    </row>
    <row r="324" spans="1:37">
      <c r="A324" s="1" t="str">
        <f>VLOOKUP(H324,Languages!$A$2:$B$430,2,FALSE)</f>
        <v>Atlantic-Congo</v>
      </c>
      <c r="B324" s="1" t="s">
        <v>1812</v>
      </c>
      <c r="C324" s="1" t="s">
        <v>48</v>
      </c>
      <c r="D324" s="1" t="s">
        <v>8140</v>
      </c>
      <c r="E324" s="15" t="s">
        <v>51</v>
      </c>
      <c r="F324" s="15" t="s">
        <v>51</v>
      </c>
      <c r="G324" s="1" t="s">
        <v>500</v>
      </c>
      <c r="H324" s="1" t="str">
        <f>VLOOKUP(G324,'languoid 4.0'!$A$1:$I$24439,2,FALSE)</f>
        <v>atla1278</v>
      </c>
      <c r="I324" s="1" t="str">
        <f>VLOOKUP(G324,'languoid 4.0'!$A$1:$I$24439,6,FALSE)</f>
        <v>family</v>
      </c>
      <c r="J324" s="15" t="s">
        <v>51</v>
      </c>
      <c r="K324" s="15" t="s">
        <v>51</v>
      </c>
      <c r="L324" s="15" t="s">
        <v>51</v>
      </c>
      <c r="M324" s="1"/>
      <c r="N324" s="1" t="e">
        <v>#N/A</v>
      </c>
      <c r="O324" s="15" t="s">
        <v>690</v>
      </c>
      <c r="P324" s="15"/>
      <c r="Q324" s="1" t="s">
        <v>8141</v>
      </c>
      <c r="R324" s="2" t="s">
        <v>8142</v>
      </c>
      <c r="S324" s="1" t="s">
        <v>647</v>
      </c>
      <c r="T324" s="1" t="s">
        <v>1689</v>
      </c>
      <c r="U324" s="1" t="s">
        <v>636</v>
      </c>
      <c r="V324" s="1" t="s">
        <v>45</v>
      </c>
      <c r="W324" s="1"/>
      <c r="X324" s="1"/>
      <c r="Y324" s="1"/>
      <c r="Z324" s="1" t="s">
        <v>673</v>
      </c>
      <c r="AA324" s="1" t="s">
        <v>46</v>
      </c>
      <c r="AB324" s="1" t="s">
        <v>8143</v>
      </c>
      <c r="AC324" s="1" t="s">
        <v>46</v>
      </c>
      <c r="AD324" s="1"/>
      <c r="AE324" s="1" t="s">
        <v>641</v>
      </c>
      <c r="AF324" s="1" t="s">
        <v>190</v>
      </c>
      <c r="AG324" s="1">
        <v>4</v>
      </c>
      <c r="AH324" s="1" t="s">
        <v>190</v>
      </c>
      <c r="AI324" s="1"/>
      <c r="AJ324" s="1" t="s">
        <v>8144</v>
      </c>
      <c r="AK324" s="1" t="s">
        <v>5542</v>
      </c>
    </row>
    <row r="325" spans="1:37">
      <c r="A325" s="1" t="str">
        <f>VLOOKUP(H325,Languages!$A$2:$B$430,2,FALSE)</f>
        <v>Atlantic-Congo</v>
      </c>
      <c r="B325" s="1" t="s">
        <v>1812</v>
      </c>
      <c r="C325" s="1" t="s">
        <v>214</v>
      </c>
      <c r="D325" s="1" t="s">
        <v>1771</v>
      </c>
      <c r="E325" s="15" t="s">
        <v>806</v>
      </c>
      <c r="F325" s="15" t="s">
        <v>806</v>
      </c>
      <c r="G325" s="1" t="s">
        <v>806</v>
      </c>
      <c r="H325" s="1" t="str">
        <f>VLOOKUP(G325,'languoid 4.0'!$A$1:$I$24439,2,FALSE)</f>
        <v>atla1278</v>
      </c>
      <c r="I325" s="1" t="str">
        <f>VLOOKUP(G325,'languoid 4.0'!$A$1:$I$24439,6,FALSE)</f>
        <v>language</v>
      </c>
      <c r="J325" s="15" t="s">
        <v>38</v>
      </c>
      <c r="K325" s="15" t="s">
        <v>38</v>
      </c>
      <c r="L325" s="15" t="s">
        <v>38</v>
      </c>
      <c r="M325" s="1"/>
      <c r="N325" s="1" t="s">
        <v>1772</v>
      </c>
      <c r="O325" s="15" t="s">
        <v>40</v>
      </c>
      <c r="P325" s="15" t="s">
        <v>632</v>
      </c>
      <c r="Q325" s="1" t="s">
        <v>1823</v>
      </c>
      <c r="R325" s="2" t="s">
        <v>1824</v>
      </c>
      <c r="S325" s="1" t="s">
        <v>1021</v>
      </c>
      <c r="T325" s="1" t="s">
        <v>635</v>
      </c>
      <c r="U325" s="1" t="s">
        <v>636</v>
      </c>
      <c r="V325" s="1" t="s">
        <v>45</v>
      </c>
      <c r="W325" s="1"/>
      <c r="X325" s="1"/>
      <c r="Y325" s="1"/>
      <c r="Z325" s="1" t="s">
        <v>637</v>
      </c>
      <c r="AA325" s="1" t="s">
        <v>1825</v>
      </c>
      <c r="AB325" s="1" t="s">
        <v>1826</v>
      </c>
      <c r="AC325" s="1" t="s">
        <v>1021</v>
      </c>
      <c r="AD325" s="1" t="s">
        <v>1827</v>
      </c>
      <c r="AE325" s="1" t="s">
        <v>641</v>
      </c>
      <c r="AF325" s="1" t="s">
        <v>190</v>
      </c>
      <c r="AG325" s="1">
        <v>6</v>
      </c>
      <c r="AH325" s="1" t="s">
        <v>190</v>
      </c>
      <c r="AI325" s="1"/>
      <c r="AJ325" s="3">
        <v>43437.483113425929</v>
      </c>
      <c r="AK325" s="1" t="s">
        <v>740</v>
      </c>
    </row>
    <row r="326" spans="1:37">
      <c r="A326" s="1" t="str">
        <f>VLOOKUP(H326,Languages!$A$2:$B$430,2,FALSE)</f>
        <v>Atlantic-Congo</v>
      </c>
      <c r="B326" s="1" t="s">
        <v>1812</v>
      </c>
      <c r="C326" s="1" t="s">
        <v>255</v>
      </c>
      <c r="D326" s="1" t="s">
        <v>3621</v>
      </c>
      <c r="E326" s="15" t="s">
        <v>3622</v>
      </c>
      <c r="F326" s="15" t="s">
        <v>3622</v>
      </c>
      <c r="G326" s="1" t="s">
        <v>3622</v>
      </c>
      <c r="H326" s="1" t="str">
        <f>VLOOKUP(G326,'languoid 4.0'!$A$1:$I$24439,2,FALSE)</f>
        <v>atla1278</v>
      </c>
      <c r="I326" s="1" t="str">
        <f>VLOOKUP(G326,'languoid 4.0'!$A$1:$I$24439,6,FALSE)</f>
        <v>language</v>
      </c>
      <c r="J326" s="15" t="s">
        <v>38</v>
      </c>
      <c r="K326" s="15" t="s">
        <v>38</v>
      </c>
      <c r="L326" s="15" t="s">
        <v>38</v>
      </c>
      <c r="M326" s="1"/>
      <c r="N326" s="1" t="s">
        <v>3623</v>
      </c>
      <c r="O326" s="15" t="s">
        <v>40</v>
      </c>
      <c r="P326" s="15" t="s">
        <v>41</v>
      </c>
      <c r="Q326" s="1" t="s">
        <v>3624</v>
      </c>
      <c r="R326" s="2" t="s">
        <v>3625</v>
      </c>
      <c r="S326" s="1" t="s">
        <v>46</v>
      </c>
      <c r="T326" s="1" t="s">
        <v>635</v>
      </c>
      <c r="U326" s="1" t="s">
        <v>636</v>
      </c>
      <c r="V326" s="1" t="s">
        <v>45</v>
      </c>
      <c r="W326" s="1"/>
      <c r="X326" s="1"/>
      <c r="Y326" s="1"/>
      <c r="Z326" s="1" t="s">
        <v>658</v>
      </c>
      <c r="AA326" s="1" t="s">
        <v>3626</v>
      </c>
      <c r="AB326" s="1" t="s">
        <v>3627</v>
      </c>
      <c r="AC326" s="1" t="s">
        <v>46</v>
      </c>
      <c r="AD326" s="1"/>
      <c r="AE326" s="1" t="s">
        <v>641</v>
      </c>
      <c r="AF326" s="1" t="s">
        <v>190</v>
      </c>
      <c r="AG326" s="1">
        <v>6</v>
      </c>
      <c r="AH326" s="1" t="s">
        <v>190</v>
      </c>
      <c r="AI326" s="1"/>
      <c r="AJ326" s="3">
        <v>43225.943055555559</v>
      </c>
      <c r="AK326" s="1" t="s">
        <v>1749</v>
      </c>
    </row>
    <row r="327" spans="1:37">
      <c r="A327" s="1" t="str">
        <f>VLOOKUP(H327,Languages!$A$2:$B$430,2,FALSE)</f>
        <v>Atlantic-Congo</v>
      </c>
      <c r="B327" s="1" t="s">
        <v>1812</v>
      </c>
      <c r="C327" s="1" t="s">
        <v>255</v>
      </c>
      <c r="D327" s="1" t="s">
        <v>3600</v>
      </c>
      <c r="E327" s="15" t="s">
        <v>3601</v>
      </c>
      <c r="F327" s="15" t="s">
        <v>3601</v>
      </c>
      <c r="G327" s="1" t="s">
        <v>3602</v>
      </c>
      <c r="H327" s="1" t="str">
        <f>VLOOKUP(G327,'languoid 4.0'!$A$1:$I$24439,2,FALSE)</f>
        <v>atla1278</v>
      </c>
      <c r="I327" s="1" t="str">
        <f>VLOOKUP(G327,'languoid 4.0'!$A$1:$I$24439,6,FALSE)</f>
        <v>dialect</v>
      </c>
      <c r="J327" s="15" t="s">
        <v>38</v>
      </c>
      <c r="K327" s="15" t="s">
        <v>38</v>
      </c>
      <c r="L327" s="15" t="s">
        <v>38</v>
      </c>
      <c r="M327" s="1"/>
      <c r="N327" s="1" t="s">
        <v>3603</v>
      </c>
      <c r="O327" s="15" t="s">
        <v>40</v>
      </c>
      <c r="P327" s="15" t="s">
        <v>41</v>
      </c>
      <c r="Q327" s="1" t="s">
        <v>3628</v>
      </c>
      <c r="R327" s="2" t="s">
        <v>3629</v>
      </c>
      <c r="S327" s="1" t="s">
        <v>46</v>
      </c>
      <c r="T327" s="1" t="s">
        <v>635</v>
      </c>
      <c r="U327" s="1" t="s">
        <v>636</v>
      </c>
      <c r="V327" s="1" t="s">
        <v>45</v>
      </c>
      <c r="W327" s="1"/>
      <c r="X327" s="1"/>
      <c r="Y327" s="1"/>
      <c r="Z327" s="1" t="s">
        <v>658</v>
      </c>
      <c r="AA327" s="1" t="s">
        <v>3630</v>
      </c>
      <c r="AB327" s="1" t="s">
        <v>46</v>
      </c>
      <c r="AC327" s="1" t="s">
        <v>46</v>
      </c>
      <c r="AD327" s="1"/>
      <c r="AE327" s="1" t="s">
        <v>641</v>
      </c>
      <c r="AF327" s="1" t="s">
        <v>190</v>
      </c>
      <c r="AG327" s="1">
        <v>6</v>
      </c>
      <c r="AH327" s="1" t="s">
        <v>190</v>
      </c>
      <c r="AI327" s="1"/>
      <c r="AJ327" s="3">
        <v>43225.944780092592</v>
      </c>
      <c r="AK327" s="1" t="s">
        <v>1749</v>
      </c>
    </row>
    <row r="328" spans="1:37">
      <c r="A328" s="1" t="str">
        <f>VLOOKUP(H328,Languages!$A$2:$B$430,2,FALSE)</f>
        <v>Atlantic-Congo</v>
      </c>
      <c r="B328" s="1" t="s">
        <v>1812</v>
      </c>
      <c r="C328" s="1" t="s">
        <v>255</v>
      </c>
      <c r="D328" s="1" t="s">
        <v>3600</v>
      </c>
      <c r="E328" s="15" t="s">
        <v>3601</v>
      </c>
      <c r="F328" s="15" t="s">
        <v>3601</v>
      </c>
      <c r="G328" s="1" t="s">
        <v>3602</v>
      </c>
      <c r="H328" s="1" t="str">
        <f>VLOOKUP(G328,'languoid 4.0'!$A$1:$I$24439,2,FALSE)</f>
        <v>atla1278</v>
      </c>
      <c r="I328" s="1" t="str">
        <f>VLOOKUP(G328,'languoid 4.0'!$A$1:$I$24439,6,FALSE)</f>
        <v>dialect</v>
      </c>
      <c r="J328" s="15" t="s">
        <v>38</v>
      </c>
      <c r="K328" s="15" t="s">
        <v>38</v>
      </c>
      <c r="L328" s="15" t="s">
        <v>38</v>
      </c>
      <c r="M328" s="1"/>
      <c r="N328" s="1" t="s">
        <v>3603</v>
      </c>
      <c r="O328" s="15" t="s">
        <v>40</v>
      </c>
      <c r="P328" s="15" t="s">
        <v>41</v>
      </c>
      <c r="Q328" s="1" t="s">
        <v>3631</v>
      </c>
      <c r="R328" s="2" t="s">
        <v>3632</v>
      </c>
      <c r="S328" s="1" t="s">
        <v>46</v>
      </c>
      <c r="T328" s="1" t="s">
        <v>635</v>
      </c>
      <c r="U328" s="1" t="s">
        <v>636</v>
      </c>
      <c r="V328" s="1" t="s">
        <v>45</v>
      </c>
      <c r="W328" s="1"/>
      <c r="X328" s="1"/>
      <c r="Y328" s="1"/>
      <c r="Z328" s="1" t="s">
        <v>658</v>
      </c>
      <c r="AA328" s="1" t="s">
        <v>3633</v>
      </c>
      <c r="AB328" s="1" t="s">
        <v>3634</v>
      </c>
      <c r="AC328" s="1" t="s">
        <v>46</v>
      </c>
      <c r="AD328" s="1"/>
      <c r="AE328" s="1" t="s">
        <v>641</v>
      </c>
      <c r="AF328" s="1" t="s">
        <v>190</v>
      </c>
      <c r="AG328" s="1">
        <v>6</v>
      </c>
      <c r="AH328" s="1" t="s">
        <v>190</v>
      </c>
      <c r="AI328" s="1"/>
      <c r="AJ328" s="3">
        <v>43225.946296296293</v>
      </c>
      <c r="AK328" s="1" t="s">
        <v>1749</v>
      </c>
    </row>
    <row r="329" spans="1:37">
      <c r="A329" s="1" t="str">
        <f>VLOOKUP(H329,Languages!$A$2:$B$430,2,FALSE)</f>
        <v>Atlantic-Congo</v>
      </c>
      <c r="B329" s="1" t="s">
        <v>1812</v>
      </c>
      <c r="C329" s="1" t="s">
        <v>255</v>
      </c>
      <c r="D329" s="1" t="s">
        <v>3969</v>
      </c>
      <c r="E329" s="15" t="s">
        <v>3970</v>
      </c>
      <c r="F329" s="15" t="s">
        <v>51</v>
      </c>
      <c r="G329" s="1" t="s">
        <v>3970</v>
      </c>
      <c r="H329" s="1" t="str">
        <f>VLOOKUP(G329,'languoid 4.0'!$A$1:$I$24439,2,FALSE)</f>
        <v>atla1278</v>
      </c>
      <c r="I329" s="1" t="str">
        <f>VLOOKUP(G329,'languoid 4.0'!$A$1:$I$24439,6,FALSE)</f>
        <v>language</v>
      </c>
      <c r="J329" s="15" t="s">
        <v>52</v>
      </c>
      <c r="K329" s="15" t="s">
        <v>51</v>
      </c>
      <c r="L329" s="15" t="s">
        <v>51</v>
      </c>
      <c r="M329" s="1"/>
      <c r="N329" s="1" t="s">
        <v>3971</v>
      </c>
      <c r="O329" s="15" t="s">
        <v>40</v>
      </c>
      <c r="P329" s="15" t="s">
        <v>41</v>
      </c>
      <c r="Q329" s="1" t="s">
        <v>3972</v>
      </c>
      <c r="R329" s="2" t="s">
        <v>3973</v>
      </c>
      <c r="S329" s="1" t="s">
        <v>46</v>
      </c>
      <c r="T329" s="1" t="s">
        <v>1689</v>
      </c>
      <c r="U329" s="1" t="s">
        <v>636</v>
      </c>
      <c r="V329" s="1" t="s">
        <v>45</v>
      </c>
      <c r="W329" s="1"/>
      <c r="X329" s="1"/>
      <c r="Y329" s="1"/>
      <c r="Z329" s="1" t="s">
        <v>658</v>
      </c>
      <c r="AA329" s="1" t="s">
        <v>3974</v>
      </c>
      <c r="AB329" s="1" t="s">
        <v>3975</v>
      </c>
      <c r="AC329" s="1" t="s">
        <v>46</v>
      </c>
      <c r="AD329" s="1"/>
      <c r="AE329" s="1" t="s">
        <v>641</v>
      </c>
      <c r="AF329" s="1" t="s">
        <v>190</v>
      </c>
      <c r="AG329" s="1">
        <v>6</v>
      </c>
      <c r="AH329" s="1" t="s">
        <v>190</v>
      </c>
      <c r="AI329" s="1"/>
      <c r="AJ329" s="1" t="s">
        <v>3976</v>
      </c>
      <c r="AK329" s="1" t="s">
        <v>1749</v>
      </c>
    </row>
    <row r="330" spans="1:37">
      <c r="A330" s="1" t="str">
        <f>VLOOKUP(H330,Languages!$A$2:$B$430,2,FALSE)</f>
        <v>Atlantic-Congo</v>
      </c>
      <c r="B330" s="1" t="s">
        <v>1812</v>
      </c>
      <c r="C330" s="1" t="s">
        <v>255</v>
      </c>
      <c r="D330" s="1" t="s">
        <v>4024</v>
      </c>
      <c r="E330" s="15" t="s">
        <v>4025</v>
      </c>
      <c r="F330" s="15" t="s">
        <v>4025</v>
      </c>
      <c r="G330" s="1" t="s">
        <v>4025</v>
      </c>
      <c r="H330" s="1" t="str">
        <f>VLOOKUP(G330,'languoid 4.0'!$A$1:$I$24439,2,FALSE)</f>
        <v>atla1278</v>
      </c>
      <c r="I330" s="1" t="str">
        <f>VLOOKUP(G330,'languoid 4.0'!$A$1:$I$24439,6,FALSE)</f>
        <v>language</v>
      </c>
      <c r="J330" s="15" t="s">
        <v>38</v>
      </c>
      <c r="K330" s="15" t="s">
        <v>38</v>
      </c>
      <c r="L330" s="15" t="s">
        <v>38</v>
      </c>
      <c r="M330" s="1"/>
      <c r="N330" s="1" t="s">
        <v>4026</v>
      </c>
      <c r="O330" s="15" t="s">
        <v>40</v>
      </c>
      <c r="P330" s="15" t="s">
        <v>41</v>
      </c>
      <c r="Q330" s="1" t="s">
        <v>4205</v>
      </c>
      <c r="R330" s="2" t="s">
        <v>4206</v>
      </c>
      <c r="S330" s="1" t="s">
        <v>46</v>
      </c>
      <c r="T330" s="1" t="s">
        <v>3824</v>
      </c>
      <c r="U330" s="1" t="s">
        <v>636</v>
      </c>
      <c r="V330" s="1" t="s">
        <v>45</v>
      </c>
      <c r="W330" s="1"/>
      <c r="X330" s="1"/>
      <c r="Y330" s="1"/>
      <c r="Z330" s="1" t="s">
        <v>658</v>
      </c>
      <c r="AA330" s="1" t="s">
        <v>4207</v>
      </c>
      <c r="AB330" s="1" t="s">
        <v>4208</v>
      </c>
      <c r="AC330" s="1" t="s">
        <v>46</v>
      </c>
      <c r="AD330" s="1"/>
      <c r="AE330" s="1" t="s">
        <v>641</v>
      </c>
      <c r="AF330" s="1" t="s">
        <v>190</v>
      </c>
      <c r="AG330" s="1">
        <v>6</v>
      </c>
      <c r="AH330" s="1" t="s">
        <v>190</v>
      </c>
      <c r="AI330" s="1"/>
      <c r="AJ330" s="1" t="s">
        <v>4209</v>
      </c>
      <c r="AK330" s="1" t="s">
        <v>1749</v>
      </c>
    </row>
    <row r="331" spans="1:37">
      <c r="A331" s="1" t="str">
        <f>VLOOKUP(H331,Languages!$A$2:$B$430,2,FALSE)</f>
        <v>Atlantic-Congo</v>
      </c>
      <c r="B331" s="1" t="s">
        <v>1812</v>
      </c>
      <c r="C331" s="1" t="s">
        <v>132</v>
      </c>
      <c r="D331" s="1" t="s">
        <v>3200</v>
      </c>
      <c r="E331" s="15" t="s">
        <v>3201</v>
      </c>
      <c r="F331" s="15" t="s">
        <v>3202</v>
      </c>
      <c r="G331" s="1" t="s">
        <v>3201</v>
      </c>
      <c r="H331" s="1" t="str">
        <f>VLOOKUP(G331,'languoid 4.0'!$A$1:$I$24439,2,FALSE)</f>
        <v>atla1278</v>
      </c>
      <c r="I331" s="1" t="str">
        <f>VLOOKUP(G331,'languoid 4.0'!$A$1:$I$24439,6,FALSE)</f>
        <v>language</v>
      </c>
      <c r="J331" s="15" t="s">
        <v>52</v>
      </c>
      <c r="K331" s="15" t="s">
        <v>52</v>
      </c>
      <c r="L331" s="15" t="s">
        <v>52</v>
      </c>
      <c r="M331" s="1"/>
      <c r="N331" s="1" t="s">
        <v>3203</v>
      </c>
      <c r="O331" s="15" t="s">
        <v>40</v>
      </c>
      <c r="P331" s="15" t="s">
        <v>41</v>
      </c>
      <c r="Q331" s="1" t="s">
        <v>3209</v>
      </c>
      <c r="R331" s="2" t="s">
        <v>3210</v>
      </c>
      <c r="S331" s="1" t="s">
        <v>46</v>
      </c>
      <c r="T331" s="1" t="s">
        <v>635</v>
      </c>
      <c r="U331" s="1" t="s">
        <v>636</v>
      </c>
      <c r="V331" s="1" t="s">
        <v>45</v>
      </c>
      <c r="W331" s="1"/>
      <c r="X331" s="1"/>
      <c r="Y331" s="1"/>
      <c r="Z331" s="1" t="s">
        <v>658</v>
      </c>
      <c r="AA331" s="1" t="s">
        <v>3211</v>
      </c>
      <c r="AB331" s="1" t="s">
        <v>3212</v>
      </c>
      <c r="AC331" s="1" t="s">
        <v>46</v>
      </c>
      <c r="AD331" s="1"/>
      <c r="AE331" s="1" t="s">
        <v>641</v>
      </c>
      <c r="AF331" s="1" t="s">
        <v>190</v>
      </c>
      <c r="AG331" s="1">
        <v>6</v>
      </c>
      <c r="AH331" s="1" t="s">
        <v>190</v>
      </c>
      <c r="AI331" s="1"/>
      <c r="AJ331" s="1" t="s">
        <v>3213</v>
      </c>
      <c r="AK331" s="1" t="s">
        <v>1034</v>
      </c>
    </row>
    <row r="332" spans="1:37">
      <c r="A332" s="1" t="str">
        <f>VLOOKUP(H332,Languages!$A$2:$B$430,2,FALSE)</f>
        <v>Atlantic-Congo</v>
      </c>
      <c r="B332" s="1" t="s">
        <v>1707</v>
      </c>
      <c r="C332" s="1" t="s">
        <v>48</v>
      </c>
      <c r="D332" s="1" t="s">
        <v>6035</v>
      </c>
      <c r="E332" s="15" t="s">
        <v>6036</v>
      </c>
      <c r="F332" s="15" t="s">
        <v>6036</v>
      </c>
      <c r="G332" s="1" t="s">
        <v>6036</v>
      </c>
      <c r="H332" s="1" t="str">
        <f>VLOOKUP(G332,'languoid 4.0'!$A$1:$I$24439,2,FALSE)</f>
        <v>atla1278</v>
      </c>
      <c r="I332" s="1" t="str">
        <f>VLOOKUP(G332,'languoid 4.0'!$A$1:$I$24439,6,FALSE)</f>
        <v>language</v>
      </c>
      <c r="J332" s="15" t="s">
        <v>38</v>
      </c>
      <c r="K332" s="15" t="s">
        <v>38</v>
      </c>
      <c r="L332" s="15" t="s">
        <v>38</v>
      </c>
      <c r="M332" s="1"/>
      <c r="N332" s="1" t="s">
        <v>6037</v>
      </c>
      <c r="O332" s="15" t="s">
        <v>40</v>
      </c>
      <c r="P332" s="15" t="s">
        <v>41</v>
      </c>
      <c r="Q332" s="1" t="s">
        <v>3204</v>
      </c>
      <c r="R332" s="2" t="s">
        <v>6038</v>
      </c>
      <c r="S332" s="1" t="s">
        <v>647</v>
      </c>
      <c r="T332" s="1" t="s">
        <v>648</v>
      </c>
      <c r="U332" s="1" t="s">
        <v>636</v>
      </c>
      <c r="V332" s="1" t="s">
        <v>45</v>
      </c>
      <c r="W332" s="1"/>
      <c r="X332" s="1"/>
      <c r="Y332" s="1"/>
      <c r="Z332" s="1" t="s">
        <v>637</v>
      </c>
      <c r="AA332" s="1" t="s">
        <v>6039</v>
      </c>
      <c r="AB332" s="1" t="s">
        <v>6040</v>
      </c>
      <c r="AC332" s="1" t="s">
        <v>46</v>
      </c>
      <c r="AD332" s="1"/>
      <c r="AE332" s="1" t="s">
        <v>641</v>
      </c>
      <c r="AF332" s="1" t="s">
        <v>190</v>
      </c>
      <c r="AG332" s="1">
        <v>6</v>
      </c>
      <c r="AH332" s="1" t="s">
        <v>190</v>
      </c>
      <c r="AI332" s="1"/>
      <c r="AJ332" s="3">
        <v>43107.499131944445</v>
      </c>
      <c r="AK332" s="1" t="s">
        <v>5542</v>
      </c>
    </row>
    <row r="333" spans="1:37">
      <c r="A333" s="1" t="str">
        <f>VLOOKUP(H333,Languages!$A$2:$B$430,2,FALSE)</f>
        <v>Atlantic-Congo</v>
      </c>
      <c r="B333" s="1" t="s">
        <v>1707</v>
      </c>
      <c r="C333" s="1" t="s">
        <v>48</v>
      </c>
      <c r="D333" s="1" t="s">
        <v>5535</v>
      </c>
      <c r="E333" s="15" t="s">
        <v>5536</v>
      </c>
      <c r="F333" s="15" t="s">
        <v>5536</v>
      </c>
      <c r="G333" s="1" t="s">
        <v>5536</v>
      </c>
      <c r="H333" s="1" t="str">
        <f>VLOOKUP(G333,'languoid 4.0'!$A$1:$I$24439,2,FALSE)</f>
        <v>atla1278</v>
      </c>
      <c r="I333" s="1" t="str">
        <f>VLOOKUP(G333,'languoid 4.0'!$A$1:$I$24439,6,FALSE)</f>
        <v>language</v>
      </c>
      <c r="J333" s="15" t="s">
        <v>38</v>
      </c>
      <c r="K333" s="15" t="s">
        <v>38</v>
      </c>
      <c r="L333" s="15" t="s">
        <v>38</v>
      </c>
      <c r="M333" s="1"/>
      <c r="N333" s="1" t="s">
        <v>5537</v>
      </c>
      <c r="O333" s="15" t="s">
        <v>40</v>
      </c>
      <c r="P333" s="15" t="s">
        <v>41</v>
      </c>
      <c r="Q333" s="1" t="s">
        <v>6977</v>
      </c>
      <c r="R333" s="2" t="s">
        <v>6978</v>
      </c>
      <c r="S333" s="1" t="s">
        <v>683</v>
      </c>
      <c r="T333" s="1" t="s">
        <v>648</v>
      </c>
      <c r="U333" s="1" t="s">
        <v>636</v>
      </c>
      <c r="V333" s="1" t="s">
        <v>45</v>
      </c>
      <c r="W333" s="1"/>
      <c r="X333" s="1"/>
      <c r="Y333" s="1"/>
      <c r="Z333" s="1" t="s">
        <v>637</v>
      </c>
      <c r="AA333" s="1" t="s">
        <v>6979</v>
      </c>
      <c r="AB333" s="1" t="s">
        <v>6980</v>
      </c>
      <c r="AC333" s="1" t="s">
        <v>46</v>
      </c>
      <c r="AD333" s="1"/>
      <c r="AE333" s="1" t="s">
        <v>641</v>
      </c>
      <c r="AF333" s="1" t="s">
        <v>190</v>
      </c>
      <c r="AG333" s="1">
        <v>5</v>
      </c>
      <c r="AH333" s="1" t="s">
        <v>190</v>
      </c>
      <c r="AI333" s="1"/>
      <c r="AJ333" s="3">
        <v>43108.451192129629</v>
      </c>
      <c r="AK333" s="1" t="s">
        <v>5542</v>
      </c>
    </row>
    <row r="334" spans="1:37">
      <c r="A334" s="1" t="str">
        <f>VLOOKUP(H334,Languages!$A$2:$B$430,2,FALSE)</f>
        <v>Atlantic-Congo</v>
      </c>
      <c r="B334" s="1" t="s">
        <v>1707</v>
      </c>
      <c r="C334" s="1" t="s">
        <v>48</v>
      </c>
      <c r="D334" s="1" t="s">
        <v>7012</v>
      </c>
      <c r="E334" s="15" t="s">
        <v>499</v>
      </c>
      <c r="F334" s="15" t="s">
        <v>7013</v>
      </c>
      <c r="G334" s="1" t="s">
        <v>499</v>
      </c>
      <c r="H334" s="1" t="str">
        <f>VLOOKUP(G334,'languoid 4.0'!$A$1:$I$24439,2,FALSE)</f>
        <v>atla1278</v>
      </c>
      <c r="I334" s="1" t="str">
        <f>VLOOKUP(G334,'languoid 4.0'!$A$1:$I$24439,6,FALSE)</f>
        <v>language</v>
      </c>
      <c r="J334" s="15" t="s">
        <v>52</v>
      </c>
      <c r="K334" s="15" t="s">
        <v>52</v>
      </c>
      <c r="L334" s="15" t="s">
        <v>52</v>
      </c>
      <c r="M334" s="1"/>
      <c r="N334" s="1" t="s">
        <v>501</v>
      </c>
      <c r="O334" s="15" t="s">
        <v>40</v>
      </c>
      <c r="P334" s="15" t="s">
        <v>41</v>
      </c>
      <c r="Q334" s="1" t="s">
        <v>7014</v>
      </c>
      <c r="R334" s="2" t="s">
        <v>7015</v>
      </c>
      <c r="S334" s="1" t="s">
        <v>46</v>
      </c>
      <c r="T334" s="1" t="s">
        <v>635</v>
      </c>
      <c r="U334" s="1" t="s">
        <v>636</v>
      </c>
      <c r="V334" s="1" t="s">
        <v>45</v>
      </c>
      <c r="W334" s="1"/>
      <c r="X334" s="1"/>
      <c r="Y334" s="1"/>
      <c r="Z334" s="1" t="s">
        <v>658</v>
      </c>
      <c r="AA334" s="1" t="s">
        <v>7016</v>
      </c>
      <c r="AB334" s="1" t="s">
        <v>46</v>
      </c>
      <c r="AC334" s="1" t="s">
        <v>46</v>
      </c>
      <c r="AD334" s="1"/>
      <c r="AE334" s="1" t="s">
        <v>641</v>
      </c>
      <c r="AF334" s="1" t="s">
        <v>190</v>
      </c>
      <c r="AG334" s="1">
        <v>5</v>
      </c>
      <c r="AH334" s="1" t="s">
        <v>190</v>
      </c>
      <c r="AI334" s="1"/>
      <c r="AJ334" s="3">
        <v>43108.48609953704</v>
      </c>
      <c r="AK334" s="1" t="s">
        <v>5542</v>
      </c>
    </row>
    <row r="335" spans="1:37">
      <c r="A335" s="1" t="str">
        <f>VLOOKUP(H335,Languages!$A$2:$B$430,2,FALSE)</f>
        <v>Atlantic-Congo</v>
      </c>
      <c r="B335" s="1" t="s">
        <v>1707</v>
      </c>
      <c r="C335" s="1" t="s">
        <v>48</v>
      </c>
      <c r="D335" s="1" t="s">
        <v>4165</v>
      </c>
      <c r="E335" s="15" t="s">
        <v>4166</v>
      </c>
      <c r="F335" s="15" t="s">
        <v>4166</v>
      </c>
      <c r="G335" s="1" t="s">
        <v>4166</v>
      </c>
      <c r="H335" s="1" t="str">
        <f>VLOOKUP(G335,'languoid 4.0'!$A$1:$I$24439,2,FALSE)</f>
        <v>atla1278</v>
      </c>
      <c r="I335" s="1" t="str">
        <f>VLOOKUP(G335,'languoid 4.0'!$A$1:$I$24439,6,FALSE)</f>
        <v>language</v>
      </c>
      <c r="J335" s="15" t="s">
        <v>38</v>
      </c>
      <c r="K335" s="15" t="s">
        <v>38</v>
      </c>
      <c r="L335" s="15" t="s">
        <v>38</v>
      </c>
      <c r="M335" s="1"/>
      <c r="N335" s="1" t="s">
        <v>4167</v>
      </c>
      <c r="O335" s="15" t="s">
        <v>40</v>
      </c>
      <c r="P335" s="15" t="s">
        <v>41</v>
      </c>
      <c r="Q335" s="1" t="s">
        <v>7234</v>
      </c>
      <c r="R335" s="2" t="s">
        <v>7235</v>
      </c>
      <c r="S335" s="1" t="s">
        <v>1596</v>
      </c>
      <c r="T335" s="1" t="s">
        <v>648</v>
      </c>
      <c r="U335" s="1" t="s">
        <v>636</v>
      </c>
      <c r="V335" s="1" t="s">
        <v>45</v>
      </c>
      <c r="W335" s="1"/>
      <c r="X335" s="1"/>
      <c r="Y335" s="1"/>
      <c r="Z335" s="1" t="s">
        <v>637</v>
      </c>
      <c r="AA335" s="1" t="s">
        <v>7236</v>
      </c>
      <c r="AB335" s="1" t="s">
        <v>7237</v>
      </c>
      <c r="AC335" s="1" t="s">
        <v>46</v>
      </c>
      <c r="AD335" s="1"/>
      <c r="AE335" s="1" t="s">
        <v>641</v>
      </c>
      <c r="AF335" s="1" t="s">
        <v>190</v>
      </c>
      <c r="AG335" s="1">
        <v>6</v>
      </c>
      <c r="AH335" s="1" t="s">
        <v>190</v>
      </c>
      <c r="AI335" s="1"/>
      <c r="AJ335" s="3">
        <v>43289.467187499999</v>
      </c>
      <c r="AK335" s="1" t="s">
        <v>5542</v>
      </c>
    </row>
    <row r="336" spans="1:37">
      <c r="A336" s="1" t="str">
        <f>VLOOKUP(H336,Languages!$A$2:$B$430,2,FALSE)</f>
        <v>Atlantic-Congo</v>
      </c>
      <c r="B336" s="1" t="s">
        <v>1707</v>
      </c>
      <c r="C336" s="1" t="s">
        <v>48</v>
      </c>
      <c r="D336" s="1" t="s">
        <v>7582</v>
      </c>
      <c r="E336" s="15" t="s">
        <v>1666</v>
      </c>
      <c r="F336" s="15" t="s">
        <v>7583</v>
      </c>
      <c r="G336" s="1" t="s">
        <v>7583</v>
      </c>
      <c r="H336" s="1" t="str">
        <f>VLOOKUP(G336,'languoid 4.0'!$A$1:$I$24439,2,FALSE)</f>
        <v>atla1278</v>
      </c>
      <c r="I336" s="1" t="str">
        <f>VLOOKUP(G336,'languoid 4.0'!$A$1:$I$24439,6,FALSE)</f>
        <v>dialect</v>
      </c>
      <c r="J336" s="15" t="s">
        <v>52</v>
      </c>
      <c r="K336" s="15" t="s">
        <v>52</v>
      </c>
      <c r="L336" s="15" t="s">
        <v>52</v>
      </c>
      <c r="M336" s="1"/>
      <c r="N336" s="1" t="s">
        <v>1668</v>
      </c>
      <c r="O336" s="15" t="s">
        <v>40</v>
      </c>
      <c r="P336" s="15" t="s">
        <v>41</v>
      </c>
      <c r="Q336" s="1" t="s">
        <v>7584</v>
      </c>
      <c r="R336" s="2" t="s">
        <v>7585</v>
      </c>
      <c r="S336" s="1" t="s">
        <v>46</v>
      </c>
      <c r="T336" s="1" t="s">
        <v>1007</v>
      </c>
      <c r="U336" s="1" t="s">
        <v>636</v>
      </c>
      <c r="V336" s="1" t="s">
        <v>45</v>
      </c>
      <c r="W336" s="1"/>
      <c r="X336" s="1"/>
      <c r="Y336" s="1"/>
      <c r="Z336" s="1" t="s">
        <v>637</v>
      </c>
      <c r="AA336" s="1" t="s">
        <v>7586</v>
      </c>
      <c r="AB336" s="1" t="s">
        <v>7587</v>
      </c>
      <c r="AC336" s="1" t="s">
        <v>46</v>
      </c>
      <c r="AD336" s="1"/>
      <c r="AE336" s="1" t="s">
        <v>641</v>
      </c>
      <c r="AF336" s="1" t="s">
        <v>190</v>
      </c>
      <c r="AG336" s="1">
        <v>4</v>
      </c>
      <c r="AH336" s="1" t="s">
        <v>190</v>
      </c>
      <c r="AI336" s="1"/>
      <c r="AJ336" s="1" t="s">
        <v>7588</v>
      </c>
      <c r="AK336" s="1" t="s">
        <v>5542</v>
      </c>
    </row>
    <row r="337" spans="1:37">
      <c r="A337" s="1" t="str">
        <f>VLOOKUP(H337,Languages!$A$2:$B$430,2,FALSE)</f>
        <v>Atlantic-Congo</v>
      </c>
      <c r="B337" s="1" t="s">
        <v>1707</v>
      </c>
      <c r="C337" s="1" t="s">
        <v>48</v>
      </c>
      <c r="D337" s="1" t="s">
        <v>7582</v>
      </c>
      <c r="E337" s="15" t="s">
        <v>1666</v>
      </c>
      <c r="F337" s="15" t="s">
        <v>7583</v>
      </c>
      <c r="G337" s="1" t="s">
        <v>7583</v>
      </c>
      <c r="H337" s="1" t="str">
        <f>VLOOKUP(G337,'languoid 4.0'!$A$1:$I$24439,2,FALSE)</f>
        <v>atla1278</v>
      </c>
      <c r="I337" s="1" t="str">
        <f>VLOOKUP(G337,'languoid 4.0'!$A$1:$I$24439,6,FALSE)</f>
        <v>dialect</v>
      </c>
      <c r="J337" s="15" t="s">
        <v>52</v>
      </c>
      <c r="K337" s="15" t="s">
        <v>52</v>
      </c>
      <c r="L337" s="15" t="s">
        <v>52</v>
      </c>
      <c r="M337" s="1"/>
      <c r="N337" s="1" t="s">
        <v>1668</v>
      </c>
      <c r="O337" s="15" t="s">
        <v>40</v>
      </c>
      <c r="P337" s="15" t="s">
        <v>41</v>
      </c>
      <c r="Q337" s="1" t="s">
        <v>7589</v>
      </c>
      <c r="R337" s="2" t="s">
        <v>7590</v>
      </c>
      <c r="S337" s="1" t="s">
        <v>46</v>
      </c>
      <c r="T337" s="1" t="s">
        <v>1007</v>
      </c>
      <c r="U337" s="1" t="s">
        <v>636</v>
      </c>
      <c r="V337" s="1" t="s">
        <v>45</v>
      </c>
      <c r="W337" s="1"/>
      <c r="X337" s="1"/>
      <c r="Y337" s="1"/>
      <c r="Z337" s="1" t="s">
        <v>637</v>
      </c>
      <c r="AA337" s="1" t="s">
        <v>7591</v>
      </c>
      <c r="AB337" s="1" t="s">
        <v>7592</v>
      </c>
      <c r="AC337" s="1" t="s">
        <v>46</v>
      </c>
      <c r="AD337" s="1"/>
      <c r="AE337" s="1" t="s">
        <v>641</v>
      </c>
      <c r="AF337" s="1" t="s">
        <v>190</v>
      </c>
      <c r="AG337" s="1">
        <v>6</v>
      </c>
      <c r="AH337" s="1" t="s">
        <v>190</v>
      </c>
      <c r="AI337" s="1"/>
      <c r="AJ337" s="1" t="s">
        <v>7593</v>
      </c>
      <c r="AK337" s="1" t="s">
        <v>5542</v>
      </c>
    </row>
    <row r="338" spans="1:37">
      <c r="A338" s="1" t="str">
        <f>VLOOKUP(H338,Languages!$A$2:$B$430,2,FALSE)</f>
        <v>Atlantic-Congo</v>
      </c>
      <c r="B338" s="1" t="s">
        <v>1707</v>
      </c>
      <c r="C338" s="1" t="s">
        <v>214</v>
      </c>
      <c r="D338" s="1" t="s">
        <v>1771</v>
      </c>
      <c r="E338" s="15" t="s">
        <v>806</v>
      </c>
      <c r="F338" s="15" t="s">
        <v>806</v>
      </c>
      <c r="G338" s="1" t="s">
        <v>806</v>
      </c>
      <c r="H338" s="1" t="str">
        <f>VLOOKUP(G338,'languoid 4.0'!$A$1:$I$24439,2,FALSE)</f>
        <v>atla1278</v>
      </c>
      <c r="I338" s="1" t="str">
        <f>VLOOKUP(G338,'languoid 4.0'!$A$1:$I$24439,6,FALSE)</f>
        <v>language</v>
      </c>
      <c r="J338" s="15" t="s">
        <v>38</v>
      </c>
      <c r="K338" s="15" t="s">
        <v>38</v>
      </c>
      <c r="L338" s="15" t="s">
        <v>38</v>
      </c>
      <c r="M338" s="1"/>
      <c r="N338" s="1" t="s">
        <v>1772</v>
      </c>
      <c r="O338" s="15" t="s">
        <v>40</v>
      </c>
      <c r="P338" s="15" t="s">
        <v>632</v>
      </c>
      <c r="Q338" s="1" t="s">
        <v>1773</v>
      </c>
      <c r="R338" s="2" t="s">
        <v>1774</v>
      </c>
      <c r="S338" s="1" t="s">
        <v>1021</v>
      </c>
      <c r="T338" s="1" t="s">
        <v>635</v>
      </c>
      <c r="U338" s="1" t="s">
        <v>1775</v>
      </c>
      <c r="V338" s="1" t="s">
        <v>45</v>
      </c>
      <c r="W338" s="1"/>
      <c r="X338" s="1"/>
      <c r="Y338" s="1"/>
      <c r="Z338" s="1" t="s">
        <v>637</v>
      </c>
      <c r="AA338" s="1" t="s">
        <v>1776</v>
      </c>
      <c r="AB338" s="1" t="s">
        <v>1777</v>
      </c>
      <c r="AC338" s="1" t="s">
        <v>1021</v>
      </c>
      <c r="AD338" s="1" t="s">
        <v>1778</v>
      </c>
      <c r="AE338" s="1" t="s">
        <v>641</v>
      </c>
      <c r="AF338" s="1" t="s">
        <v>190</v>
      </c>
      <c r="AG338" s="1">
        <v>5</v>
      </c>
      <c r="AH338" s="1" t="s">
        <v>190</v>
      </c>
      <c r="AI338" s="1"/>
      <c r="AJ338" s="3">
        <v>43437.463900462964</v>
      </c>
      <c r="AK338" s="1" t="s">
        <v>740</v>
      </c>
    </row>
    <row r="339" spans="1:37">
      <c r="A339" s="1" t="str">
        <f>VLOOKUP(H339,Languages!$A$2:$B$430,2,FALSE)</f>
        <v>Atlantic-Congo</v>
      </c>
      <c r="B339" s="1" t="s">
        <v>1707</v>
      </c>
      <c r="C339" s="1" t="s">
        <v>214</v>
      </c>
      <c r="D339" s="1" t="s">
        <v>1779</v>
      </c>
      <c r="E339" s="15" t="s">
        <v>1780</v>
      </c>
      <c r="F339" s="15" t="s">
        <v>1780</v>
      </c>
      <c r="G339" s="1" t="s">
        <v>1780</v>
      </c>
      <c r="H339" s="1" t="str">
        <f>VLOOKUP(G339,'languoid 4.0'!$A$1:$I$24439,2,FALSE)</f>
        <v>atla1278</v>
      </c>
      <c r="I339" s="1" t="str">
        <f>VLOOKUP(G339,'languoid 4.0'!$A$1:$I$24439,6,FALSE)</f>
        <v>language</v>
      </c>
      <c r="J339" s="15" t="s">
        <v>38</v>
      </c>
      <c r="K339" s="15" t="s">
        <v>38</v>
      </c>
      <c r="L339" s="15" t="s">
        <v>38</v>
      </c>
      <c r="M339" s="1"/>
      <c r="N339" s="1" t="s">
        <v>1781</v>
      </c>
      <c r="O339" s="15" t="s">
        <v>40</v>
      </c>
      <c r="P339" s="15" t="s">
        <v>41</v>
      </c>
      <c r="Q339" s="1" t="s">
        <v>1782</v>
      </c>
      <c r="R339" s="2" t="s">
        <v>1783</v>
      </c>
      <c r="S339" s="1" t="s">
        <v>1021</v>
      </c>
      <c r="T339" s="1" t="s">
        <v>648</v>
      </c>
      <c r="U339" s="1" t="s">
        <v>1784</v>
      </c>
      <c r="V339" s="1" t="s">
        <v>45</v>
      </c>
      <c r="W339" s="1"/>
      <c r="X339" s="1"/>
      <c r="Y339" s="1"/>
      <c r="Z339" s="1" t="s">
        <v>637</v>
      </c>
      <c r="AA339" s="1" t="s">
        <v>1785</v>
      </c>
      <c r="AB339" s="1" t="s">
        <v>1786</v>
      </c>
      <c r="AC339" s="1" t="s">
        <v>1021</v>
      </c>
      <c r="AD339" s="1" t="s">
        <v>1787</v>
      </c>
      <c r="AE339" s="1" t="s">
        <v>641</v>
      </c>
      <c r="AF339" s="1" t="s">
        <v>190</v>
      </c>
      <c r="AG339" s="1">
        <v>6</v>
      </c>
      <c r="AH339" s="1" t="s">
        <v>190</v>
      </c>
      <c r="AI339" s="1"/>
      <c r="AJ339" s="3">
        <v>43437.46638888889</v>
      </c>
      <c r="AK339" s="1" t="s">
        <v>740</v>
      </c>
    </row>
    <row r="340" spans="1:37">
      <c r="A340" s="1" t="str">
        <f>VLOOKUP(H340,Languages!$A$2:$B$430,2,FALSE)</f>
        <v>Atlantic-Congo</v>
      </c>
      <c r="B340" s="1" t="s">
        <v>1707</v>
      </c>
      <c r="C340" s="1" t="s">
        <v>214</v>
      </c>
      <c r="D340" s="1" t="s">
        <v>1788</v>
      </c>
      <c r="E340" s="15" t="s">
        <v>812</v>
      </c>
      <c r="F340" s="15" t="s">
        <v>812</v>
      </c>
      <c r="G340" s="1" t="s">
        <v>812</v>
      </c>
      <c r="H340" s="1" t="str">
        <f>VLOOKUP(G340,'languoid 4.0'!$A$1:$I$24439,2,FALSE)</f>
        <v>atla1278</v>
      </c>
      <c r="I340" s="1" t="str">
        <f>VLOOKUP(G340,'languoid 4.0'!$A$1:$I$24439,6,FALSE)</f>
        <v>language</v>
      </c>
      <c r="J340" s="15" t="s">
        <v>38</v>
      </c>
      <c r="K340" s="15" t="s">
        <v>38</v>
      </c>
      <c r="L340" s="15" t="s">
        <v>38</v>
      </c>
      <c r="M340" s="1"/>
      <c r="N340" s="1" t="s">
        <v>813</v>
      </c>
      <c r="O340" s="15" t="s">
        <v>40</v>
      </c>
      <c r="P340" s="15" t="s">
        <v>41</v>
      </c>
      <c r="Q340" s="1" t="s">
        <v>1789</v>
      </c>
      <c r="R340" s="2" t="s">
        <v>1790</v>
      </c>
      <c r="S340" s="1" t="s">
        <v>1021</v>
      </c>
      <c r="T340" s="1" t="s">
        <v>1007</v>
      </c>
      <c r="U340" s="1" t="s">
        <v>1758</v>
      </c>
      <c r="V340" s="1" t="s">
        <v>45</v>
      </c>
      <c r="W340" s="1"/>
      <c r="X340" s="1"/>
      <c r="Y340" s="1"/>
      <c r="Z340" s="1" t="s">
        <v>637</v>
      </c>
      <c r="AA340" s="1" t="s">
        <v>1791</v>
      </c>
      <c r="AB340" s="1" t="s">
        <v>1792</v>
      </c>
      <c r="AC340" s="1" t="s">
        <v>1021</v>
      </c>
      <c r="AD340" s="1" t="s">
        <v>1793</v>
      </c>
      <c r="AE340" s="1" t="s">
        <v>641</v>
      </c>
      <c r="AF340" s="1" t="s">
        <v>190</v>
      </c>
      <c r="AG340" s="1">
        <v>6</v>
      </c>
      <c r="AH340" s="1" t="s">
        <v>190</v>
      </c>
      <c r="AI340" s="1"/>
      <c r="AJ340" s="3">
        <v>43437.468738425923</v>
      </c>
      <c r="AK340" s="1" t="s">
        <v>740</v>
      </c>
    </row>
    <row r="341" spans="1:37">
      <c r="A341" s="1" t="str">
        <f>VLOOKUP(H341,Languages!$A$2:$B$430,2,FALSE)</f>
        <v>Atlantic-Congo</v>
      </c>
      <c r="B341" s="1" t="s">
        <v>1707</v>
      </c>
      <c r="C341" s="1" t="s">
        <v>255</v>
      </c>
      <c r="D341" s="1" t="s">
        <v>1930</v>
      </c>
      <c r="E341" s="15" t="s">
        <v>1931</v>
      </c>
      <c r="F341" s="15" t="s">
        <v>1932</v>
      </c>
      <c r="G341" s="1" t="s">
        <v>1931</v>
      </c>
      <c r="H341" s="1" t="str">
        <f>VLOOKUP(G341,'languoid 4.0'!$A$1:$I$24439,2,FALSE)</f>
        <v>atla1278</v>
      </c>
      <c r="I341" s="1" t="str">
        <f>VLOOKUP(G341,'languoid 4.0'!$A$1:$I$24439,6,FALSE)</f>
        <v>language</v>
      </c>
      <c r="J341" s="15" t="s">
        <v>52</v>
      </c>
      <c r="K341" s="15" t="s">
        <v>38</v>
      </c>
      <c r="L341" s="15" t="s">
        <v>38</v>
      </c>
      <c r="M341" s="1"/>
      <c r="N341" s="1" t="s">
        <v>1933</v>
      </c>
      <c r="O341" s="15" t="s">
        <v>40</v>
      </c>
      <c r="P341" s="15" t="s">
        <v>41</v>
      </c>
      <c r="Q341" s="1" t="s">
        <v>1934</v>
      </c>
      <c r="R341" s="2" t="s">
        <v>1935</v>
      </c>
      <c r="S341" s="1" t="s">
        <v>46</v>
      </c>
      <c r="T341" s="1" t="s">
        <v>635</v>
      </c>
      <c r="U341" s="1" t="s">
        <v>636</v>
      </c>
      <c r="V341" s="1" t="s">
        <v>45</v>
      </c>
      <c r="W341" s="1"/>
      <c r="X341" s="1"/>
      <c r="Y341" s="1"/>
      <c r="Z341" s="1" t="s">
        <v>658</v>
      </c>
      <c r="AA341" s="1" t="s">
        <v>1936</v>
      </c>
      <c r="AB341" s="1" t="s">
        <v>1937</v>
      </c>
      <c r="AC341" s="1" t="s">
        <v>46</v>
      </c>
      <c r="AD341" s="1"/>
      <c r="AE341" s="1" t="s">
        <v>641</v>
      </c>
      <c r="AF341" s="1" t="s">
        <v>190</v>
      </c>
      <c r="AG341" s="1">
        <v>6</v>
      </c>
      <c r="AH341" s="1" t="s">
        <v>190</v>
      </c>
      <c r="AI341" s="1"/>
      <c r="AJ341" s="1" t="s">
        <v>1938</v>
      </c>
      <c r="AK341" s="1" t="s">
        <v>1749</v>
      </c>
    </row>
    <row r="342" spans="1:37">
      <c r="A342" s="1" t="str">
        <f>VLOOKUP(H342,Languages!$A$2:$B$430,2,FALSE)</f>
        <v>Atlantic-Congo</v>
      </c>
      <c r="B342" s="1" t="s">
        <v>1707</v>
      </c>
      <c r="C342" s="1" t="s">
        <v>255</v>
      </c>
      <c r="D342" s="1" t="s">
        <v>3600</v>
      </c>
      <c r="E342" s="15" t="s">
        <v>3601</v>
      </c>
      <c r="F342" s="15" t="s">
        <v>3601</v>
      </c>
      <c r="G342" s="1" t="s">
        <v>3602</v>
      </c>
      <c r="H342" s="1" t="str">
        <f>VLOOKUP(G342,'languoid 4.0'!$A$1:$I$24439,2,FALSE)</f>
        <v>atla1278</v>
      </c>
      <c r="I342" s="1" t="str">
        <f>VLOOKUP(G342,'languoid 4.0'!$A$1:$I$24439,6,FALSE)</f>
        <v>dialect</v>
      </c>
      <c r="J342" s="15" t="s">
        <v>38</v>
      </c>
      <c r="K342" s="15" t="s">
        <v>38</v>
      </c>
      <c r="L342" s="15" t="s">
        <v>38</v>
      </c>
      <c r="M342" s="1"/>
      <c r="N342" s="1" t="s">
        <v>3603</v>
      </c>
      <c r="O342" s="15" t="s">
        <v>40</v>
      </c>
      <c r="P342" s="15" t="s">
        <v>41</v>
      </c>
      <c r="Q342" s="1" t="s">
        <v>3604</v>
      </c>
      <c r="R342" s="2" t="s">
        <v>3605</v>
      </c>
      <c r="S342" s="1" t="s">
        <v>46</v>
      </c>
      <c r="T342" s="1" t="s">
        <v>635</v>
      </c>
      <c r="U342" s="1" t="s">
        <v>636</v>
      </c>
      <c r="V342" s="1" t="s">
        <v>45</v>
      </c>
      <c r="W342" s="1"/>
      <c r="X342" s="1"/>
      <c r="Y342" s="1"/>
      <c r="Z342" s="1" t="s">
        <v>658</v>
      </c>
      <c r="AA342" s="1" t="s">
        <v>3606</v>
      </c>
      <c r="AB342" s="1" t="s">
        <v>3607</v>
      </c>
      <c r="AC342" s="1" t="s">
        <v>46</v>
      </c>
      <c r="AD342" s="1"/>
      <c r="AE342" s="1" t="s">
        <v>641</v>
      </c>
      <c r="AF342" s="1" t="s">
        <v>190</v>
      </c>
      <c r="AG342" s="1">
        <v>6</v>
      </c>
      <c r="AH342" s="1" t="s">
        <v>190</v>
      </c>
      <c r="AI342" s="1"/>
      <c r="AJ342" s="3">
        <v>43195.921284722222</v>
      </c>
      <c r="AK342" s="1" t="s">
        <v>1749</v>
      </c>
    </row>
    <row r="343" spans="1:37">
      <c r="A343" s="1" t="str">
        <f>VLOOKUP(H343,Languages!$A$2:$B$430,2,FALSE)</f>
        <v>Atlantic-Congo</v>
      </c>
      <c r="B343" s="1" t="s">
        <v>1707</v>
      </c>
      <c r="C343" s="1" t="s">
        <v>255</v>
      </c>
      <c r="D343" s="1" t="s">
        <v>3608</v>
      </c>
      <c r="E343" s="15" t="s">
        <v>3609</v>
      </c>
      <c r="F343" s="15" t="s">
        <v>3610</v>
      </c>
      <c r="G343" s="1" t="s">
        <v>3610</v>
      </c>
      <c r="H343" s="1" t="str">
        <f>VLOOKUP(G343,'languoid 4.0'!$A$1:$I$24439,2,FALSE)</f>
        <v>atla1278</v>
      </c>
      <c r="I343" s="1" t="str">
        <f>VLOOKUP(G343,'languoid 4.0'!$A$1:$I$24439,6,FALSE)</f>
        <v>language</v>
      </c>
      <c r="J343" s="15" t="s">
        <v>52</v>
      </c>
      <c r="K343" s="15" t="s">
        <v>38</v>
      </c>
      <c r="L343" s="15" t="s">
        <v>38</v>
      </c>
      <c r="M343" s="1"/>
      <c r="N343" s="1"/>
      <c r="O343" s="15" t="s">
        <v>40</v>
      </c>
      <c r="P343" s="15" t="s">
        <v>41</v>
      </c>
      <c r="Q343" s="1" t="s">
        <v>3611</v>
      </c>
      <c r="R343" s="2" t="s">
        <v>3612</v>
      </c>
      <c r="S343" s="1" t="s">
        <v>46</v>
      </c>
      <c r="T343" s="1" t="s">
        <v>635</v>
      </c>
      <c r="U343" s="1" t="s">
        <v>636</v>
      </c>
      <c r="V343" s="1" t="s">
        <v>45</v>
      </c>
      <c r="W343" s="1"/>
      <c r="X343" s="1"/>
      <c r="Y343" s="1"/>
      <c r="Z343" s="1" t="s">
        <v>658</v>
      </c>
      <c r="AA343" s="1" t="s">
        <v>3613</v>
      </c>
      <c r="AB343" s="1" t="s">
        <v>3614</v>
      </c>
      <c r="AC343" s="1" t="s">
        <v>46</v>
      </c>
      <c r="AD343" s="1"/>
      <c r="AE343" s="1" t="s">
        <v>641</v>
      </c>
      <c r="AF343" s="1" t="s">
        <v>190</v>
      </c>
      <c r="AG343" s="1">
        <v>6</v>
      </c>
      <c r="AH343" s="1" t="s">
        <v>190</v>
      </c>
      <c r="AI343" s="1"/>
      <c r="AJ343" s="3">
        <v>43225.927384259259</v>
      </c>
      <c r="AK343" s="1" t="s">
        <v>1749</v>
      </c>
    </row>
    <row r="344" spans="1:37">
      <c r="A344" s="1" t="str">
        <f>VLOOKUP(H344,Languages!$A$2:$B$430,2,FALSE)</f>
        <v>Atlantic-Congo</v>
      </c>
      <c r="B344" s="1" t="s">
        <v>1707</v>
      </c>
      <c r="C344" s="1" t="s">
        <v>255</v>
      </c>
      <c r="D344" s="1" t="s">
        <v>3600</v>
      </c>
      <c r="E344" s="15" t="s">
        <v>3601</v>
      </c>
      <c r="F344" s="15" t="s">
        <v>3601</v>
      </c>
      <c r="G344" s="1" t="s">
        <v>3602</v>
      </c>
      <c r="H344" s="1" t="str">
        <f>VLOOKUP(G344,'languoid 4.0'!$A$1:$I$24439,2,FALSE)</f>
        <v>atla1278</v>
      </c>
      <c r="I344" s="1" t="str">
        <f>VLOOKUP(G344,'languoid 4.0'!$A$1:$I$24439,6,FALSE)</f>
        <v>dialect</v>
      </c>
      <c r="J344" s="15" t="s">
        <v>38</v>
      </c>
      <c r="K344" s="15" t="s">
        <v>38</v>
      </c>
      <c r="L344" s="15" t="s">
        <v>38</v>
      </c>
      <c r="M344" s="1"/>
      <c r="N344" s="1" t="s">
        <v>3603</v>
      </c>
      <c r="O344" s="15" t="s">
        <v>40</v>
      </c>
      <c r="P344" s="15" t="s">
        <v>41</v>
      </c>
      <c r="Q344" s="1" t="s">
        <v>3861</v>
      </c>
      <c r="R344" s="2" t="s">
        <v>3862</v>
      </c>
      <c r="S344" s="1" t="s">
        <v>46</v>
      </c>
      <c r="T344" s="1" t="s">
        <v>635</v>
      </c>
      <c r="U344" s="1" t="s">
        <v>636</v>
      </c>
      <c r="V344" s="1" t="s">
        <v>45</v>
      </c>
      <c r="W344" s="1"/>
      <c r="X344" s="1"/>
      <c r="Y344" s="1"/>
      <c r="Z344" s="1" t="s">
        <v>658</v>
      </c>
      <c r="AA344" s="1" t="s">
        <v>3863</v>
      </c>
      <c r="AB344" s="1" t="s">
        <v>3864</v>
      </c>
      <c r="AC344" s="1" t="s">
        <v>46</v>
      </c>
      <c r="AD344" s="1"/>
      <c r="AE344" s="1" t="s">
        <v>641</v>
      </c>
      <c r="AF344" s="1" t="s">
        <v>190</v>
      </c>
      <c r="AG344" s="1">
        <v>6</v>
      </c>
      <c r="AH344" s="1" t="s">
        <v>190</v>
      </c>
      <c r="AI344" s="1"/>
      <c r="AJ344" s="1" t="s">
        <v>3865</v>
      </c>
      <c r="AK344" s="1" t="s">
        <v>1749</v>
      </c>
    </row>
    <row r="345" spans="1:37">
      <c r="A345" s="1" t="str">
        <f>VLOOKUP(H345,Languages!$A$2:$B$430,2,FALSE)</f>
        <v>Atlantic-Congo</v>
      </c>
      <c r="B345" s="1" t="s">
        <v>1707</v>
      </c>
      <c r="C345" s="1" t="s">
        <v>255</v>
      </c>
      <c r="D345" s="1" t="s">
        <v>1930</v>
      </c>
      <c r="E345" s="15" t="s">
        <v>1931</v>
      </c>
      <c r="F345" s="15" t="s">
        <v>1932</v>
      </c>
      <c r="G345" s="1" t="s">
        <v>1931</v>
      </c>
      <c r="H345" s="1" t="str">
        <f>VLOOKUP(G345,'languoid 4.0'!$A$1:$I$24439,2,FALSE)</f>
        <v>atla1278</v>
      </c>
      <c r="I345" s="1" t="str">
        <f>VLOOKUP(G345,'languoid 4.0'!$A$1:$I$24439,6,FALSE)</f>
        <v>language</v>
      </c>
      <c r="J345" s="15" t="s">
        <v>52</v>
      </c>
      <c r="K345" s="15" t="s">
        <v>38</v>
      </c>
      <c r="L345" s="15" t="s">
        <v>38</v>
      </c>
      <c r="M345" s="1"/>
      <c r="N345" s="1" t="s">
        <v>1933</v>
      </c>
      <c r="O345" s="15" t="s">
        <v>40</v>
      </c>
      <c r="P345" s="15" t="s">
        <v>41</v>
      </c>
      <c r="Q345" s="1" t="s">
        <v>3944</v>
      </c>
      <c r="R345" s="2" t="s">
        <v>3945</v>
      </c>
      <c r="S345" s="1" t="s">
        <v>46</v>
      </c>
      <c r="T345" s="1" t="s">
        <v>635</v>
      </c>
      <c r="U345" s="1" t="s">
        <v>636</v>
      </c>
      <c r="V345" s="1" t="s">
        <v>45</v>
      </c>
      <c r="W345" s="1"/>
      <c r="X345" s="1"/>
      <c r="Y345" s="1"/>
      <c r="Z345" s="1" t="s">
        <v>658</v>
      </c>
      <c r="AA345" s="1" t="s">
        <v>3946</v>
      </c>
      <c r="AB345" s="1" t="s">
        <v>3947</v>
      </c>
      <c r="AC345" s="1" t="s">
        <v>46</v>
      </c>
      <c r="AD345" s="1"/>
      <c r="AE345" s="1" t="s">
        <v>641</v>
      </c>
      <c r="AF345" s="1" t="s">
        <v>190</v>
      </c>
      <c r="AG345" s="1">
        <v>6</v>
      </c>
      <c r="AH345" s="1" t="s">
        <v>190</v>
      </c>
      <c r="AI345" s="1"/>
      <c r="AJ345" s="1" t="s">
        <v>3948</v>
      </c>
      <c r="AK345" s="1" t="s">
        <v>1749</v>
      </c>
    </row>
    <row r="346" spans="1:37">
      <c r="A346" s="1" t="str">
        <f>VLOOKUP(H346,Languages!$A$2:$B$430,2,FALSE)</f>
        <v>Atlantic-Congo</v>
      </c>
      <c r="B346" s="1" t="s">
        <v>1707</v>
      </c>
      <c r="C346" s="1" t="s">
        <v>255</v>
      </c>
      <c r="D346" s="1" t="s">
        <v>1916</v>
      </c>
      <c r="E346" s="15" t="s">
        <v>1905</v>
      </c>
      <c r="F346" s="15" t="s">
        <v>1906</v>
      </c>
      <c r="G346" s="1" t="s">
        <v>1906</v>
      </c>
      <c r="H346" s="1" t="str">
        <f>VLOOKUP(G346,'languoid 4.0'!$A$1:$I$24439,2,FALSE)</f>
        <v>atla1278</v>
      </c>
      <c r="I346" s="1" t="str">
        <f>VLOOKUP(G346,'languoid 4.0'!$A$1:$I$24439,6,FALSE)</f>
        <v>language</v>
      </c>
      <c r="J346" s="15" t="s">
        <v>52</v>
      </c>
      <c r="K346" s="15" t="s">
        <v>38</v>
      </c>
      <c r="L346" s="15" t="s">
        <v>38</v>
      </c>
      <c r="M346" s="1"/>
      <c r="N346" s="1"/>
      <c r="O346" s="15" t="s">
        <v>40</v>
      </c>
      <c r="P346" s="15" t="s">
        <v>41</v>
      </c>
      <c r="Q346" s="1" t="s">
        <v>4181</v>
      </c>
      <c r="R346" s="2" t="s">
        <v>4182</v>
      </c>
      <c r="S346" s="1" t="s">
        <v>46</v>
      </c>
      <c r="T346" s="1" t="s">
        <v>3824</v>
      </c>
      <c r="U346" s="1" t="s">
        <v>636</v>
      </c>
      <c r="V346" s="1" t="s">
        <v>45</v>
      </c>
      <c r="W346" s="1"/>
      <c r="X346" s="1"/>
      <c r="Y346" s="1"/>
      <c r="Z346" s="1" t="s">
        <v>658</v>
      </c>
      <c r="AA346" s="1" t="s">
        <v>4183</v>
      </c>
      <c r="AB346" s="1" t="s">
        <v>4184</v>
      </c>
      <c r="AC346" s="1" t="s">
        <v>46</v>
      </c>
      <c r="AD346" s="1"/>
      <c r="AE346" s="1" t="s">
        <v>641</v>
      </c>
      <c r="AF346" s="1" t="s">
        <v>190</v>
      </c>
      <c r="AG346" s="1">
        <v>6</v>
      </c>
      <c r="AH346" s="1" t="s">
        <v>190</v>
      </c>
      <c r="AI346" s="1"/>
      <c r="AJ346" s="1" t="s">
        <v>4185</v>
      </c>
      <c r="AK346" s="1" t="s">
        <v>1749</v>
      </c>
    </row>
    <row r="347" spans="1:37">
      <c r="A347" s="1" t="str">
        <f>VLOOKUP(H347,Languages!$A$2:$B$430,2,FALSE)</f>
        <v>Atlantic-Congo</v>
      </c>
      <c r="B347" s="1" t="s">
        <v>1707</v>
      </c>
      <c r="C347" s="1" t="s">
        <v>255</v>
      </c>
      <c r="D347" s="1" t="s">
        <v>4186</v>
      </c>
      <c r="E347" s="15" t="s">
        <v>4187</v>
      </c>
      <c r="F347" s="15" t="s">
        <v>51</v>
      </c>
      <c r="G347" s="1" t="s">
        <v>4187</v>
      </c>
      <c r="H347" s="1" t="str">
        <f>VLOOKUP(G347,'languoid 4.0'!$A$1:$I$24439,2,FALSE)</f>
        <v>atla1278</v>
      </c>
      <c r="I347" s="1" t="str">
        <f>VLOOKUP(G347,'languoid 4.0'!$A$1:$I$24439,6,FALSE)</f>
        <v>language</v>
      </c>
      <c r="J347" s="15" t="s">
        <v>52</v>
      </c>
      <c r="K347" s="15" t="s">
        <v>51</v>
      </c>
      <c r="L347" s="15" t="s">
        <v>51</v>
      </c>
      <c r="M347" s="1"/>
      <c r="N347" s="1" t="s">
        <v>4188</v>
      </c>
      <c r="O347" s="15" t="s">
        <v>40</v>
      </c>
      <c r="P347" s="15" t="s">
        <v>41</v>
      </c>
      <c r="Q347" s="1" t="s">
        <v>4189</v>
      </c>
      <c r="R347" s="2" t="s">
        <v>4190</v>
      </c>
      <c r="S347" s="1" t="s">
        <v>46</v>
      </c>
      <c r="T347" s="1" t="s">
        <v>3824</v>
      </c>
      <c r="U347" s="1" t="s">
        <v>636</v>
      </c>
      <c r="V347" s="1" t="s">
        <v>45</v>
      </c>
      <c r="W347" s="1"/>
      <c r="X347" s="1"/>
      <c r="Y347" s="1"/>
      <c r="Z347" s="1" t="s">
        <v>658</v>
      </c>
      <c r="AA347" s="1" t="s">
        <v>4191</v>
      </c>
      <c r="AB347" s="1" t="s">
        <v>4192</v>
      </c>
      <c r="AC347" s="1" t="s">
        <v>46</v>
      </c>
      <c r="AD347" s="1"/>
      <c r="AE347" s="1" t="s">
        <v>641</v>
      </c>
      <c r="AF347" s="1" t="s">
        <v>190</v>
      </c>
      <c r="AG347" s="1">
        <v>6</v>
      </c>
      <c r="AH347" s="1" t="s">
        <v>190</v>
      </c>
      <c r="AI347" s="1"/>
      <c r="AJ347" s="1" t="s">
        <v>4193</v>
      </c>
      <c r="AK347" s="1" t="s">
        <v>1749</v>
      </c>
    </row>
    <row r="348" spans="1:37">
      <c r="A348" s="1" t="str">
        <f>VLOOKUP(H348,Languages!$A$2:$B$430,2,FALSE)</f>
        <v>Atlantic-Congo</v>
      </c>
      <c r="B348" s="1" t="s">
        <v>1707</v>
      </c>
      <c r="C348" s="1" t="s">
        <v>255</v>
      </c>
      <c r="D348" s="1" t="s">
        <v>1930</v>
      </c>
      <c r="E348" s="15" t="s">
        <v>1931</v>
      </c>
      <c r="F348" s="15" t="s">
        <v>1932</v>
      </c>
      <c r="G348" s="1" t="s">
        <v>1931</v>
      </c>
      <c r="H348" s="1" t="str">
        <f>VLOOKUP(G348,'languoid 4.0'!$A$1:$I$24439,2,FALSE)</f>
        <v>atla1278</v>
      </c>
      <c r="I348" s="1" t="str">
        <f>VLOOKUP(G348,'languoid 4.0'!$A$1:$I$24439,6,FALSE)</f>
        <v>language</v>
      </c>
      <c r="J348" s="15" t="s">
        <v>52</v>
      </c>
      <c r="K348" s="15" t="s">
        <v>38</v>
      </c>
      <c r="L348" s="15" t="s">
        <v>38</v>
      </c>
      <c r="M348" s="1"/>
      <c r="N348" s="1" t="s">
        <v>1933</v>
      </c>
      <c r="O348" s="15" t="s">
        <v>40</v>
      </c>
      <c r="P348" s="15" t="s">
        <v>41</v>
      </c>
      <c r="Q348" s="1" t="s">
        <v>4194</v>
      </c>
      <c r="R348" s="2" t="s">
        <v>4195</v>
      </c>
      <c r="S348" s="1" t="s">
        <v>46</v>
      </c>
      <c r="T348" s="1" t="s">
        <v>3824</v>
      </c>
      <c r="U348" s="1" t="s">
        <v>636</v>
      </c>
      <c r="V348" s="1" t="s">
        <v>45</v>
      </c>
      <c r="W348" s="1"/>
      <c r="X348" s="1"/>
      <c r="Y348" s="1"/>
      <c r="Z348" s="1" t="s">
        <v>658</v>
      </c>
      <c r="AA348" s="1" t="s">
        <v>4196</v>
      </c>
      <c r="AB348" s="1" t="s">
        <v>4197</v>
      </c>
      <c r="AC348" s="1" t="s">
        <v>46</v>
      </c>
      <c r="AD348" s="1"/>
      <c r="AE348" s="1" t="s">
        <v>641</v>
      </c>
      <c r="AF348" s="1" t="s">
        <v>190</v>
      </c>
      <c r="AG348" s="1">
        <v>6</v>
      </c>
      <c r="AH348" s="1" t="s">
        <v>190</v>
      </c>
      <c r="AI348" s="1"/>
      <c r="AJ348" s="1" t="s">
        <v>4198</v>
      </c>
      <c r="AK348" s="1" t="s">
        <v>1749</v>
      </c>
    </row>
    <row r="349" spans="1:37">
      <c r="A349" s="1" t="str">
        <f>VLOOKUP(H349,Languages!$A$2:$B$430,2,FALSE)</f>
        <v>Atlantic-Congo</v>
      </c>
      <c r="B349" s="1" t="s">
        <v>1707</v>
      </c>
      <c r="C349" s="1" t="s">
        <v>255</v>
      </c>
      <c r="D349" s="1" t="s">
        <v>4165</v>
      </c>
      <c r="E349" s="15" t="s">
        <v>4166</v>
      </c>
      <c r="F349" s="15" t="s">
        <v>4166</v>
      </c>
      <c r="G349" s="1" t="s">
        <v>4166</v>
      </c>
      <c r="H349" s="1" t="str">
        <f>VLOOKUP(G349,'languoid 4.0'!$A$1:$I$24439,2,FALSE)</f>
        <v>atla1278</v>
      </c>
      <c r="I349" s="1" t="str">
        <f>VLOOKUP(G349,'languoid 4.0'!$A$1:$I$24439,6,FALSE)</f>
        <v>language</v>
      </c>
      <c r="J349" s="15" t="s">
        <v>38</v>
      </c>
      <c r="K349" s="15" t="s">
        <v>38</v>
      </c>
      <c r="L349" s="15" t="s">
        <v>38</v>
      </c>
      <c r="M349" s="1"/>
      <c r="N349" s="1" t="s">
        <v>4167</v>
      </c>
      <c r="O349" s="15" t="s">
        <v>40</v>
      </c>
      <c r="P349" s="15" t="s">
        <v>41</v>
      </c>
      <c r="Q349" s="1" t="s">
        <v>4199</v>
      </c>
      <c r="R349" s="2" t="s">
        <v>4200</v>
      </c>
      <c r="S349" s="1" t="s">
        <v>46</v>
      </c>
      <c r="T349" s="1" t="s">
        <v>4201</v>
      </c>
      <c r="U349" s="1" t="s">
        <v>636</v>
      </c>
      <c r="V349" s="1" t="s">
        <v>45</v>
      </c>
      <c r="W349" s="1"/>
      <c r="X349" s="1"/>
      <c r="Y349" s="1"/>
      <c r="Z349" s="1" t="s">
        <v>658</v>
      </c>
      <c r="AA349" s="1" t="s">
        <v>4202</v>
      </c>
      <c r="AB349" s="1" t="s">
        <v>4203</v>
      </c>
      <c r="AC349" s="1" t="s">
        <v>46</v>
      </c>
      <c r="AD349" s="1"/>
      <c r="AE349" s="1" t="s">
        <v>641</v>
      </c>
      <c r="AF349" s="1" t="s">
        <v>190</v>
      </c>
      <c r="AG349" s="1">
        <v>6</v>
      </c>
      <c r="AH349" s="1" t="s">
        <v>190</v>
      </c>
      <c r="AI349" s="1"/>
      <c r="AJ349" s="1" t="s">
        <v>4204</v>
      </c>
      <c r="AK349" s="1" t="s">
        <v>1749</v>
      </c>
    </row>
    <row r="350" spans="1:37">
      <c r="A350" s="1" t="str">
        <f>VLOOKUP(H350,Languages!$A$2:$B$430,2,FALSE)</f>
        <v>Atlantic-Congo</v>
      </c>
      <c r="B350" s="1" t="s">
        <v>1707</v>
      </c>
      <c r="C350" s="1" t="s">
        <v>132</v>
      </c>
      <c r="D350" s="1" t="s">
        <v>3200</v>
      </c>
      <c r="E350" s="15" t="s">
        <v>3201</v>
      </c>
      <c r="F350" s="15" t="s">
        <v>3202</v>
      </c>
      <c r="G350" s="1" t="s">
        <v>3201</v>
      </c>
      <c r="H350" s="1" t="str">
        <f>VLOOKUP(G350,'languoid 4.0'!$A$1:$I$24439,2,FALSE)</f>
        <v>atla1278</v>
      </c>
      <c r="I350" s="1" t="str">
        <f>VLOOKUP(G350,'languoid 4.0'!$A$1:$I$24439,6,FALSE)</f>
        <v>language</v>
      </c>
      <c r="J350" s="15" t="s">
        <v>52</v>
      </c>
      <c r="K350" s="15" t="s">
        <v>52</v>
      </c>
      <c r="L350" s="15" t="s">
        <v>52</v>
      </c>
      <c r="M350" s="1"/>
      <c r="N350" s="1" t="s">
        <v>3203</v>
      </c>
      <c r="O350" s="15" t="s">
        <v>40</v>
      </c>
      <c r="P350" s="15" t="s">
        <v>41</v>
      </c>
      <c r="Q350" s="1" t="s">
        <v>3204</v>
      </c>
      <c r="R350" s="2" t="s">
        <v>3205</v>
      </c>
      <c r="S350" s="1" t="s">
        <v>46</v>
      </c>
      <c r="T350" s="1" t="s">
        <v>635</v>
      </c>
      <c r="U350" s="1" t="s">
        <v>636</v>
      </c>
      <c r="V350" s="1" t="s">
        <v>45</v>
      </c>
      <c r="W350" s="1"/>
      <c r="X350" s="1"/>
      <c r="Y350" s="1"/>
      <c r="Z350" s="1" t="s">
        <v>658</v>
      </c>
      <c r="AA350" s="1" t="s">
        <v>3206</v>
      </c>
      <c r="AB350" s="1" t="s">
        <v>3207</v>
      </c>
      <c r="AC350" s="1" t="s">
        <v>46</v>
      </c>
      <c r="AD350" s="1"/>
      <c r="AE350" s="1" t="s">
        <v>641</v>
      </c>
      <c r="AF350" s="1" t="s">
        <v>190</v>
      </c>
      <c r="AG350" s="1">
        <v>6</v>
      </c>
      <c r="AH350" s="1" t="s">
        <v>190</v>
      </c>
      <c r="AI350" s="1"/>
      <c r="AJ350" s="1" t="s">
        <v>3208</v>
      </c>
      <c r="AK350" s="1" t="s">
        <v>1034</v>
      </c>
    </row>
    <row r="351" spans="1:37">
      <c r="A351" s="1" t="str">
        <f>VLOOKUP(H351,Languages!$A$2:$B$430,2,FALSE)</f>
        <v>Atlantic-Congo</v>
      </c>
      <c r="B351" s="1" t="s">
        <v>1707</v>
      </c>
      <c r="C351" s="1" t="s">
        <v>132</v>
      </c>
      <c r="D351" s="1" t="s">
        <v>3499</v>
      </c>
      <c r="E351" s="15" t="s">
        <v>3500</v>
      </c>
      <c r="F351" s="15" t="s">
        <v>3500</v>
      </c>
      <c r="G351" s="1" t="s">
        <v>3500</v>
      </c>
      <c r="H351" s="1" t="str">
        <f>VLOOKUP(G351,'languoid 4.0'!$A$1:$I$24439,2,FALSE)</f>
        <v>atla1278</v>
      </c>
      <c r="I351" s="1" t="str">
        <f>VLOOKUP(G351,'languoid 4.0'!$A$1:$I$24439,6,FALSE)</f>
        <v>language</v>
      </c>
      <c r="J351" s="15" t="s">
        <v>38</v>
      </c>
      <c r="K351" s="15" t="s">
        <v>38</v>
      </c>
      <c r="L351" s="15" t="s">
        <v>38</v>
      </c>
      <c r="M351" s="1"/>
      <c r="N351" s="1" t="s">
        <v>3501</v>
      </c>
      <c r="O351" s="15" t="s">
        <v>40</v>
      </c>
      <c r="P351" s="15" t="s">
        <v>41</v>
      </c>
      <c r="Q351" s="1" t="s">
        <v>3729</v>
      </c>
      <c r="R351" s="2" t="s">
        <v>3730</v>
      </c>
      <c r="S351" s="1" t="s">
        <v>46</v>
      </c>
      <c r="T351" s="1" t="s">
        <v>635</v>
      </c>
      <c r="U351" s="1" t="s">
        <v>3731</v>
      </c>
      <c r="V351" s="1" t="s">
        <v>45</v>
      </c>
      <c r="W351" s="1"/>
      <c r="X351" s="1"/>
      <c r="Y351" s="1"/>
      <c r="Z351" s="1" t="s">
        <v>658</v>
      </c>
      <c r="AA351" s="1" t="s">
        <v>3732</v>
      </c>
      <c r="AB351" s="1" t="s">
        <v>3733</v>
      </c>
      <c r="AC351" s="1" t="s">
        <v>46</v>
      </c>
      <c r="AD351" s="1"/>
      <c r="AE351" s="1" t="s">
        <v>641</v>
      </c>
      <c r="AF351" s="1" t="s">
        <v>190</v>
      </c>
      <c r="AG351" s="1">
        <v>6</v>
      </c>
      <c r="AH351" s="1" t="s">
        <v>190</v>
      </c>
      <c r="AI351" s="1"/>
      <c r="AJ351" s="3">
        <v>43348.074317129627</v>
      </c>
      <c r="AK351" s="1" t="s">
        <v>1034</v>
      </c>
    </row>
    <row r="352" spans="1:37">
      <c r="A352" s="1" t="str">
        <f>VLOOKUP(H352,Languages!$A$2:$B$430,2,FALSE)</f>
        <v>Atlantic-Congo</v>
      </c>
      <c r="B352" s="1" t="s">
        <v>1707</v>
      </c>
      <c r="C352" s="1" t="s">
        <v>132</v>
      </c>
      <c r="D352" s="1" t="s">
        <v>3499</v>
      </c>
      <c r="E352" s="15" t="s">
        <v>3500</v>
      </c>
      <c r="F352" s="15" t="s">
        <v>3500</v>
      </c>
      <c r="G352" s="1" t="s">
        <v>3500</v>
      </c>
      <c r="H352" s="1" t="str">
        <f>VLOOKUP(G352,'languoid 4.0'!$A$1:$I$24439,2,FALSE)</f>
        <v>atla1278</v>
      </c>
      <c r="I352" s="1" t="str">
        <f>VLOOKUP(G352,'languoid 4.0'!$A$1:$I$24439,6,FALSE)</f>
        <v>language</v>
      </c>
      <c r="J352" s="15" t="s">
        <v>38</v>
      </c>
      <c r="K352" s="15" t="s">
        <v>38</v>
      </c>
      <c r="L352" s="15" t="s">
        <v>38</v>
      </c>
      <c r="M352" s="1"/>
      <c r="N352" s="1" t="s">
        <v>3501</v>
      </c>
      <c r="O352" s="15" t="s">
        <v>40</v>
      </c>
      <c r="P352" s="15" t="s">
        <v>41</v>
      </c>
      <c r="Q352" s="1" t="s">
        <v>3734</v>
      </c>
      <c r="R352" s="2" t="s">
        <v>3735</v>
      </c>
      <c r="S352" s="1" t="s">
        <v>46</v>
      </c>
      <c r="T352" s="1" t="s">
        <v>635</v>
      </c>
      <c r="U352" s="1" t="s">
        <v>3736</v>
      </c>
      <c r="V352" s="1" t="s">
        <v>45</v>
      </c>
      <c r="W352" s="1"/>
      <c r="X352" s="1"/>
      <c r="Y352" s="1"/>
      <c r="Z352" s="1" t="s">
        <v>658</v>
      </c>
      <c r="AA352" s="1" t="s">
        <v>3737</v>
      </c>
      <c r="AB352" s="1" t="s">
        <v>3738</v>
      </c>
      <c r="AC352" s="1" t="s">
        <v>46</v>
      </c>
      <c r="AD352" s="1"/>
      <c r="AE352" s="1" t="s">
        <v>641</v>
      </c>
      <c r="AF352" s="1" t="s">
        <v>190</v>
      </c>
      <c r="AG352" s="1">
        <v>6</v>
      </c>
      <c r="AH352" s="1" t="s">
        <v>190</v>
      </c>
      <c r="AI352" s="1"/>
      <c r="AJ352" s="3">
        <v>43348.090185185189</v>
      </c>
      <c r="AK352" s="1" t="s">
        <v>1034</v>
      </c>
    </row>
    <row r="353" spans="1:37">
      <c r="A353" s="1" t="str">
        <f>VLOOKUP(H353,Languages!$A$2:$B$430,2,FALSE)</f>
        <v>Atlantic-Congo</v>
      </c>
      <c r="B353" s="1" t="s">
        <v>1707</v>
      </c>
      <c r="C353" s="1" t="s">
        <v>132</v>
      </c>
      <c r="D353" s="1" t="s">
        <v>3499</v>
      </c>
      <c r="E353" s="15" t="s">
        <v>3500</v>
      </c>
      <c r="F353" s="15" t="s">
        <v>3500</v>
      </c>
      <c r="G353" s="1" t="s">
        <v>3500</v>
      </c>
      <c r="H353" s="1" t="str">
        <f>VLOOKUP(G353,'languoid 4.0'!$A$1:$I$24439,2,FALSE)</f>
        <v>atla1278</v>
      </c>
      <c r="I353" s="1" t="str">
        <f>VLOOKUP(G353,'languoid 4.0'!$A$1:$I$24439,6,FALSE)</f>
        <v>language</v>
      </c>
      <c r="J353" s="15" t="s">
        <v>38</v>
      </c>
      <c r="K353" s="15" t="s">
        <v>38</v>
      </c>
      <c r="L353" s="15" t="s">
        <v>38</v>
      </c>
      <c r="M353" s="1"/>
      <c r="N353" s="1" t="s">
        <v>3501</v>
      </c>
      <c r="O353" s="15" t="s">
        <v>40</v>
      </c>
      <c r="P353" s="15" t="s">
        <v>41</v>
      </c>
      <c r="Q353" s="1" t="s">
        <v>3739</v>
      </c>
      <c r="R353" s="2" t="s">
        <v>3740</v>
      </c>
      <c r="S353" s="1" t="s">
        <v>46</v>
      </c>
      <c r="T353" s="1" t="s">
        <v>635</v>
      </c>
      <c r="U353" s="1" t="s">
        <v>3736</v>
      </c>
      <c r="V353" s="1" t="s">
        <v>45</v>
      </c>
      <c r="W353" s="1"/>
      <c r="X353" s="1"/>
      <c r="Y353" s="1"/>
      <c r="Z353" s="1" t="s">
        <v>658</v>
      </c>
      <c r="AA353" s="1" t="s">
        <v>3741</v>
      </c>
      <c r="AB353" s="1" t="s">
        <v>3742</v>
      </c>
      <c r="AC353" s="1" t="s">
        <v>46</v>
      </c>
      <c r="AD353" s="1"/>
      <c r="AE353" s="1" t="s">
        <v>641</v>
      </c>
      <c r="AF353" s="1" t="s">
        <v>190</v>
      </c>
      <c r="AG353" s="1">
        <v>6</v>
      </c>
      <c r="AH353" s="1" t="s">
        <v>190</v>
      </c>
      <c r="AI353" s="1"/>
      <c r="AJ353" s="3">
        <v>43348.093773148146</v>
      </c>
      <c r="AK353" s="1" t="s">
        <v>1034</v>
      </c>
    </row>
    <row r="354" spans="1:37">
      <c r="A354" s="1" t="str">
        <f>VLOOKUP(H354,Languages!$A$2:$B$430,2,FALSE)</f>
        <v>Atlantic-Congo</v>
      </c>
      <c r="B354" s="1" t="s">
        <v>1707</v>
      </c>
      <c r="C354" s="1" t="s">
        <v>132</v>
      </c>
      <c r="D354" s="1" t="s">
        <v>7120</v>
      </c>
      <c r="E354" s="15" t="s">
        <v>51</v>
      </c>
      <c r="F354" s="15" t="s">
        <v>7121</v>
      </c>
      <c r="G354" s="1" t="s">
        <v>7121</v>
      </c>
      <c r="H354" s="1" t="str">
        <f>VLOOKUP(G354,'languoid 4.0'!$A$1:$I$24439,2,FALSE)</f>
        <v>atla1278</v>
      </c>
      <c r="I354" s="1" t="str">
        <f>VLOOKUP(G354,'languoid 4.0'!$A$1:$I$24439,6,FALSE)</f>
        <v>language</v>
      </c>
      <c r="J354" s="15" t="s">
        <v>52</v>
      </c>
      <c r="K354" s="15" t="s">
        <v>51</v>
      </c>
      <c r="L354" s="15" t="s">
        <v>51</v>
      </c>
      <c r="M354" s="1"/>
      <c r="N354" s="1" t="e">
        <v>#N/A</v>
      </c>
      <c r="O354" s="15" t="s">
        <v>690</v>
      </c>
      <c r="P354" s="15"/>
      <c r="Q354" s="1" t="s">
        <v>7122</v>
      </c>
      <c r="R354" s="2" t="s">
        <v>7123</v>
      </c>
      <c r="S354" s="1" t="s">
        <v>46</v>
      </c>
      <c r="T354" s="1" t="s">
        <v>635</v>
      </c>
      <c r="U354" s="1" t="s">
        <v>7124</v>
      </c>
      <c r="V354" s="1" t="s">
        <v>45</v>
      </c>
      <c r="W354" s="1"/>
      <c r="X354" s="1"/>
      <c r="Y354" s="1"/>
      <c r="Z354" s="1" t="s">
        <v>658</v>
      </c>
      <c r="AA354" s="1" t="s">
        <v>7125</v>
      </c>
      <c r="AB354" s="1" t="s">
        <v>7126</v>
      </c>
      <c r="AC354" s="1" t="s">
        <v>46</v>
      </c>
      <c r="AD354" s="1"/>
      <c r="AE354" s="1" t="s">
        <v>641</v>
      </c>
      <c r="AF354" s="1" t="s">
        <v>190</v>
      </c>
      <c r="AG354" s="1">
        <v>6</v>
      </c>
      <c r="AH354" s="1" t="s">
        <v>190</v>
      </c>
      <c r="AI354" s="1"/>
      <c r="AJ354" s="3">
        <v>43228.684745370374</v>
      </c>
      <c r="AK354" s="1" t="s">
        <v>1034</v>
      </c>
    </row>
    <row r="355" spans="1:37">
      <c r="A355" s="1" t="str">
        <f>VLOOKUP(H355,Languages!$A$2:$B$430,2,FALSE)</f>
        <v>Atlantic-Congo</v>
      </c>
      <c r="B355" s="1" t="s">
        <v>1707</v>
      </c>
      <c r="C355" s="1" t="s">
        <v>132</v>
      </c>
      <c r="D355" s="1" t="s">
        <v>7127</v>
      </c>
      <c r="E355" s="15" t="s">
        <v>7128</v>
      </c>
      <c r="F355" s="15" t="s">
        <v>7128</v>
      </c>
      <c r="G355" s="1" t="s">
        <v>7128</v>
      </c>
      <c r="H355" s="1" t="str">
        <f>VLOOKUP(G355,'languoid 4.0'!$A$1:$I$24439,2,FALSE)</f>
        <v>atla1278</v>
      </c>
      <c r="I355" s="1" t="str">
        <f>VLOOKUP(G355,'languoid 4.0'!$A$1:$I$24439,6,FALSE)</f>
        <v>language</v>
      </c>
      <c r="J355" s="15" t="s">
        <v>38</v>
      </c>
      <c r="K355" s="15" t="s">
        <v>38</v>
      </c>
      <c r="L355" s="15" t="s">
        <v>38</v>
      </c>
      <c r="M355" s="1"/>
      <c r="N355" s="1" t="s">
        <v>7129</v>
      </c>
      <c r="O355" s="15" t="s">
        <v>40</v>
      </c>
      <c r="P355" s="15" t="s">
        <v>41</v>
      </c>
      <c r="Q355" s="1" t="s">
        <v>7130</v>
      </c>
      <c r="R355" s="2" t="s">
        <v>7131</v>
      </c>
      <c r="S355" s="1" t="s">
        <v>46</v>
      </c>
      <c r="T355" s="1" t="s">
        <v>635</v>
      </c>
      <c r="U355" s="1" t="s">
        <v>7124</v>
      </c>
      <c r="V355" s="1" t="s">
        <v>45</v>
      </c>
      <c r="W355" s="1"/>
      <c r="X355" s="1"/>
      <c r="Y355" s="1"/>
      <c r="Z355" s="1" t="s">
        <v>658</v>
      </c>
      <c r="AA355" s="1" t="s">
        <v>7132</v>
      </c>
      <c r="AB355" s="1" t="s">
        <v>7133</v>
      </c>
      <c r="AC355" s="1" t="s">
        <v>46</v>
      </c>
      <c r="AD355" s="1"/>
      <c r="AE355" s="1" t="s">
        <v>641</v>
      </c>
      <c r="AF355" s="1" t="s">
        <v>190</v>
      </c>
      <c r="AG355" s="1">
        <v>6</v>
      </c>
      <c r="AH355" s="1" t="s">
        <v>190</v>
      </c>
      <c r="AI355" s="1"/>
      <c r="AJ355" s="3">
        <v>43259.138784722221</v>
      </c>
      <c r="AK355" s="1" t="s">
        <v>1034</v>
      </c>
    </row>
    <row r="356" spans="1:37">
      <c r="A356" s="1" t="str">
        <f>VLOOKUP(H356,Languages!$A$2:$B$430,2,FALSE)</f>
        <v>Atlantic-Congo</v>
      </c>
      <c r="B356" s="1" t="s">
        <v>1707</v>
      </c>
      <c r="C356" s="1" t="s">
        <v>132</v>
      </c>
      <c r="D356" s="1" t="s">
        <v>7127</v>
      </c>
      <c r="E356" s="15" t="s">
        <v>7128</v>
      </c>
      <c r="F356" s="15" t="s">
        <v>7128</v>
      </c>
      <c r="G356" s="1" t="s">
        <v>7128</v>
      </c>
      <c r="H356" s="1" t="str">
        <f>VLOOKUP(G356,'languoid 4.0'!$A$1:$I$24439,2,FALSE)</f>
        <v>atla1278</v>
      </c>
      <c r="I356" s="1" t="str">
        <f>VLOOKUP(G356,'languoid 4.0'!$A$1:$I$24439,6,FALSE)</f>
        <v>language</v>
      </c>
      <c r="J356" s="15" t="s">
        <v>38</v>
      </c>
      <c r="K356" s="15" t="s">
        <v>38</v>
      </c>
      <c r="L356" s="15" t="s">
        <v>38</v>
      </c>
      <c r="M356" s="1"/>
      <c r="N356" s="1" t="s">
        <v>7129</v>
      </c>
      <c r="O356" s="15" t="s">
        <v>40</v>
      </c>
      <c r="P356" s="15" t="s">
        <v>41</v>
      </c>
      <c r="Q356" s="1" t="s">
        <v>7134</v>
      </c>
      <c r="R356" s="2" t="s">
        <v>7135</v>
      </c>
      <c r="S356" s="1" t="s">
        <v>46</v>
      </c>
      <c r="T356" s="1" t="s">
        <v>635</v>
      </c>
      <c r="U356" s="1" t="s">
        <v>7124</v>
      </c>
      <c r="V356" s="1" t="s">
        <v>45</v>
      </c>
      <c r="W356" s="1"/>
      <c r="X356" s="1"/>
      <c r="Y356" s="1"/>
      <c r="Z356" s="1" t="s">
        <v>658</v>
      </c>
      <c r="AA356" s="1" t="s">
        <v>7136</v>
      </c>
      <c r="AB356" s="1" t="s">
        <v>7137</v>
      </c>
      <c r="AC356" s="1" t="s">
        <v>46</v>
      </c>
      <c r="AD356" s="1"/>
      <c r="AE356" s="1" t="s">
        <v>641</v>
      </c>
      <c r="AF356" s="1" t="s">
        <v>190</v>
      </c>
      <c r="AG356" s="1">
        <v>6</v>
      </c>
      <c r="AH356" s="1" t="s">
        <v>190</v>
      </c>
      <c r="AI356" s="1"/>
      <c r="AJ356" s="3">
        <v>43259.140798611108</v>
      </c>
      <c r="AK356" s="1" t="s">
        <v>1034</v>
      </c>
    </row>
    <row r="357" spans="1:37">
      <c r="A357" s="1" t="str">
        <f>VLOOKUP(H357,Languages!$A$2:$B$430,2,FALSE)</f>
        <v>Austroasiatic</v>
      </c>
      <c r="B357" s="1" t="s">
        <v>67</v>
      </c>
      <c r="C357" s="1" t="s">
        <v>124</v>
      </c>
      <c r="D357" s="1" t="s">
        <v>1136</v>
      </c>
      <c r="E357" s="15" t="s">
        <v>1137</v>
      </c>
      <c r="F357" s="15" t="s">
        <v>1138</v>
      </c>
      <c r="G357" s="1" t="s">
        <v>1138</v>
      </c>
      <c r="H357" s="1" t="str">
        <f>VLOOKUP(G357,'languoid 4.0'!$A$1:$I$24439,2,FALSE)</f>
        <v>aust1305</v>
      </c>
      <c r="I357" s="1" t="str">
        <f>VLOOKUP(G357,'languoid 4.0'!$A$1:$I$24439,6,FALSE)</f>
        <v>language</v>
      </c>
      <c r="J357" s="15" t="s">
        <v>52</v>
      </c>
      <c r="K357" s="15" t="s">
        <v>38</v>
      </c>
      <c r="L357" s="15" t="s">
        <v>38</v>
      </c>
      <c r="M357" s="1"/>
      <c r="N357" s="1"/>
      <c r="O357" s="15" t="s">
        <v>113</v>
      </c>
      <c r="P357" s="15" t="s">
        <v>41</v>
      </c>
      <c r="Q357" s="1" t="s">
        <v>1139</v>
      </c>
      <c r="R357" s="2" t="s">
        <v>1140</v>
      </c>
      <c r="S357" s="1" t="s">
        <v>1141</v>
      </c>
      <c r="T357" s="1" t="s">
        <v>635</v>
      </c>
      <c r="U357" s="1" t="s">
        <v>1142</v>
      </c>
      <c r="V357" s="1" t="s">
        <v>45</v>
      </c>
      <c r="W357" s="1"/>
      <c r="X357" s="1"/>
      <c r="Y357" s="1"/>
      <c r="Z357" s="1" t="s">
        <v>658</v>
      </c>
      <c r="AA357" s="1" t="s">
        <v>1143</v>
      </c>
      <c r="AB357" s="1" t="s">
        <v>46</v>
      </c>
      <c r="AC357" s="1" t="s">
        <v>46</v>
      </c>
      <c r="AD357" s="1" t="s">
        <v>1144</v>
      </c>
      <c r="AE357" s="1" t="s">
        <v>641</v>
      </c>
      <c r="AF357" s="1" t="s">
        <v>190</v>
      </c>
      <c r="AG357" s="1">
        <v>6</v>
      </c>
      <c r="AH357" s="1" t="s">
        <v>190</v>
      </c>
      <c r="AI357" s="1"/>
      <c r="AJ357" s="1" t="s">
        <v>1145</v>
      </c>
      <c r="AK357" s="1" t="s">
        <v>1126</v>
      </c>
    </row>
    <row r="358" spans="1:37">
      <c r="A358" s="1" t="str">
        <f>VLOOKUP(H358,Languages!$A$2:$B$430,2,FALSE)</f>
        <v>Austroasiatic</v>
      </c>
      <c r="B358" s="1" t="s">
        <v>67</v>
      </c>
      <c r="C358" s="1" t="s">
        <v>124</v>
      </c>
      <c r="D358" s="1" t="s">
        <v>1330</v>
      </c>
      <c r="E358" s="15" t="s">
        <v>1331</v>
      </c>
      <c r="F358" s="15" t="s">
        <v>1332</v>
      </c>
      <c r="G358" s="1" t="s">
        <v>1331</v>
      </c>
      <c r="H358" s="1" t="str">
        <f>VLOOKUP(G358,'languoid 4.0'!$A$1:$I$24439,2,FALSE)</f>
        <v>aust1305</v>
      </c>
      <c r="I358" s="1" t="str">
        <f>VLOOKUP(G358,'languoid 4.0'!$A$1:$I$24439,6,FALSE)</f>
        <v>language</v>
      </c>
      <c r="J358" s="15" t="s">
        <v>52</v>
      </c>
      <c r="K358" s="15" t="s">
        <v>52</v>
      </c>
      <c r="L358" s="15" t="s">
        <v>52</v>
      </c>
      <c r="M358" s="1" t="s">
        <v>1333</v>
      </c>
      <c r="N358" s="1" t="s">
        <v>1334</v>
      </c>
      <c r="O358" s="15" t="s">
        <v>40</v>
      </c>
      <c r="P358" s="15" t="s">
        <v>632</v>
      </c>
      <c r="Q358" s="1" t="s">
        <v>1335</v>
      </c>
      <c r="R358" s="2" t="s">
        <v>1336</v>
      </c>
      <c r="S358" s="1" t="s">
        <v>46</v>
      </c>
      <c r="T358" s="1" t="s">
        <v>635</v>
      </c>
      <c r="U358" s="1" t="s">
        <v>1337</v>
      </c>
      <c r="V358" s="1" t="s">
        <v>45</v>
      </c>
      <c r="W358" s="1"/>
      <c r="X358" s="1"/>
      <c r="Y358" s="1"/>
      <c r="Z358" s="1" t="s">
        <v>658</v>
      </c>
      <c r="AA358" s="1" t="s">
        <v>1338</v>
      </c>
      <c r="AB358" s="1" t="s">
        <v>46</v>
      </c>
      <c r="AC358" s="1" t="s">
        <v>46</v>
      </c>
      <c r="AD358" s="1" t="s">
        <v>1339</v>
      </c>
      <c r="AE358" s="1" t="s">
        <v>641</v>
      </c>
      <c r="AF358" s="1" t="s">
        <v>190</v>
      </c>
      <c r="AG358" s="1">
        <v>6</v>
      </c>
      <c r="AH358" s="1" t="s">
        <v>190</v>
      </c>
      <c r="AI358" s="1"/>
      <c r="AJ358" s="1" t="s">
        <v>1340</v>
      </c>
      <c r="AK358" s="1" t="s">
        <v>1126</v>
      </c>
    </row>
    <row r="359" spans="1:37">
      <c r="A359" s="1" t="str">
        <f>VLOOKUP(H359,Languages!$A$2:$B$430,2,FALSE)</f>
        <v>Austroasiatic</v>
      </c>
      <c r="B359" s="1" t="s">
        <v>67</v>
      </c>
      <c r="C359" s="1" t="s">
        <v>124</v>
      </c>
      <c r="D359" s="1" t="s">
        <v>5530</v>
      </c>
      <c r="E359" s="15" t="s">
        <v>1138</v>
      </c>
      <c r="F359" s="15" t="s">
        <v>1138</v>
      </c>
      <c r="G359" s="1" t="s">
        <v>1138</v>
      </c>
      <c r="H359" s="1" t="str">
        <f>VLOOKUP(G359,'languoid 4.0'!$A$1:$I$24439,2,FALSE)</f>
        <v>aust1305</v>
      </c>
      <c r="I359" s="1" t="str">
        <f>VLOOKUP(G359,'languoid 4.0'!$A$1:$I$24439,6,FALSE)</f>
        <v>language</v>
      </c>
      <c r="J359" s="15" t="s">
        <v>38</v>
      </c>
      <c r="K359" s="15" t="s">
        <v>38</v>
      </c>
      <c r="L359" s="15" t="s">
        <v>38</v>
      </c>
      <c r="M359" s="1"/>
      <c r="N359" s="1" t="s">
        <v>3586</v>
      </c>
      <c r="O359" s="15" t="s">
        <v>40</v>
      </c>
      <c r="P359" s="15" t="s">
        <v>41</v>
      </c>
      <c r="Q359" s="1" t="s">
        <v>6924</v>
      </c>
      <c r="R359" s="2" t="s">
        <v>6925</v>
      </c>
      <c r="S359" s="1" t="s">
        <v>46</v>
      </c>
      <c r="T359" s="1" t="s">
        <v>822</v>
      </c>
      <c r="U359" s="1" t="s">
        <v>1897</v>
      </c>
      <c r="V359" s="1" t="s">
        <v>45</v>
      </c>
      <c r="W359" s="1"/>
      <c r="X359" s="1"/>
      <c r="Y359" s="1"/>
      <c r="Z359" s="1" t="s">
        <v>658</v>
      </c>
      <c r="AA359" s="1" t="s">
        <v>6926</v>
      </c>
      <c r="AB359" s="1" t="s">
        <v>46</v>
      </c>
      <c r="AC359" s="1" t="s">
        <v>46</v>
      </c>
      <c r="AD359" s="1"/>
      <c r="AE359" s="1" t="s">
        <v>641</v>
      </c>
      <c r="AF359" s="1" t="s">
        <v>190</v>
      </c>
      <c r="AG359" s="1">
        <v>6</v>
      </c>
      <c r="AH359" s="1" t="s">
        <v>190</v>
      </c>
      <c r="AI359" s="1"/>
      <c r="AJ359" s="1" t="s">
        <v>6927</v>
      </c>
      <c r="AK359" s="1" t="s">
        <v>4945</v>
      </c>
    </row>
    <row r="360" spans="1:37">
      <c r="A360" s="1" t="str">
        <f>VLOOKUP(H360,Languages!$A$2:$B$430,2,FALSE)</f>
        <v>Austroasiatic</v>
      </c>
      <c r="B360" s="1" t="s">
        <v>59</v>
      </c>
      <c r="C360" s="1" t="s">
        <v>124</v>
      </c>
      <c r="D360" s="1" t="s">
        <v>3585</v>
      </c>
      <c r="E360" s="15" t="s">
        <v>1138</v>
      </c>
      <c r="F360" s="15" t="s">
        <v>1138</v>
      </c>
      <c r="G360" s="1" t="s">
        <v>1138</v>
      </c>
      <c r="H360" s="1" t="str">
        <f>VLOOKUP(G360,'languoid 4.0'!$A$1:$I$24439,2,FALSE)</f>
        <v>aust1305</v>
      </c>
      <c r="I360" s="1" t="str">
        <f>VLOOKUP(G360,'languoid 4.0'!$A$1:$I$24439,6,FALSE)</f>
        <v>language</v>
      </c>
      <c r="J360" s="15" t="s">
        <v>38</v>
      </c>
      <c r="K360" s="15" t="s">
        <v>38</v>
      </c>
      <c r="L360" s="15" t="s">
        <v>38</v>
      </c>
      <c r="M360" s="1"/>
      <c r="N360" s="1" t="s">
        <v>3586</v>
      </c>
      <c r="O360" s="15" t="s">
        <v>40</v>
      </c>
      <c r="P360" s="15" t="s">
        <v>41</v>
      </c>
      <c r="Q360" s="1" t="s">
        <v>7531</v>
      </c>
      <c r="R360" s="2" t="s">
        <v>7532</v>
      </c>
      <c r="S360" s="1" t="s">
        <v>46</v>
      </c>
      <c r="T360" s="1" t="s">
        <v>822</v>
      </c>
      <c r="U360" s="1" t="s">
        <v>636</v>
      </c>
      <c r="V360" s="1" t="s">
        <v>45</v>
      </c>
      <c r="W360" s="1"/>
      <c r="X360" s="1"/>
      <c r="Y360" s="1"/>
      <c r="Z360" s="1" t="s">
        <v>658</v>
      </c>
      <c r="AA360" s="1" t="s">
        <v>7533</v>
      </c>
      <c r="AB360" s="1" t="s">
        <v>7534</v>
      </c>
      <c r="AC360" s="1" t="s">
        <v>46</v>
      </c>
      <c r="AD360" s="1"/>
      <c r="AE360" s="1" t="s">
        <v>641</v>
      </c>
      <c r="AF360" s="1" t="s">
        <v>190</v>
      </c>
      <c r="AG360" s="1">
        <v>4</v>
      </c>
      <c r="AH360" s="1" t="s">
        <v>190</v>
      </c>
      <c r="AI360" s="1"/>
      <c r="AJ360" s="1" t="s">
        <v>7535</v>
      </c>
      <c r="AK360" s="1" t="s">
        <v>4945</v>
      </c>
    </row>
    <row r="361" spans="1:37">
      <c r="A361" s="1" t="str">
        <f>VLOOKUP(H361,Languages!$A$2:$B$430,2,FALSE)</f>
        <v>Austroasiatic</v>
      </c>
      <c r="B361" s="1" t="s">
        <v>59</v>
      </c>
      <c r="C361" s="1" t="s">
        <v>117</v>
      </c>
      <c r="D361" s="1" t="s">
        <v>2584</v>
      </c>
      <c r="E361" s="15" t="s">
        <v>2585</v>
      </c>
      <c r="F361" s="15" t="s">
        <v>51</v>
      </c>
      <c r="G361" s="1" t="s">
        <v>2585</v>
      </c>
      <c r="H361" s="1" t="str">
        <f>VLOOKUP(G361,'languoid 4.0'!$A$1:$I$24439,2,FALSE)</f>
        <v>aust1305</v>
      </c>
      <c r="I361" s="1" t="str">
        <f>VLOOKUP(G361,'languoid 4.0'!$A$1:$I$24439,6,FALSE)</f>
        <v>language</v>
      </c>
      <c r="J361" s="15" t="s">
        <v>52</v>
      </c>
      <c r="K361" s="15" t="s">
        <v>51</v>
      </c>
      <c r="L361" s="15" t="s">
        <v>51</v>
      </c>
      <c r="M361" s="1"/>
      <c r="N361" s="1" t="s">
        <v>2586</v>
      </c>
      <c r="O361" s="15" t="s">
        <v>40</v>
      </c>
      <c r="P361" s="15" t="s">
        <v>41</v>
      </c>
      <c r="Q361" s="1" t="s">
        <v>2587</v>
      </c>
      <c r="R361" s="2" t="s">
        <v>2588</v>
      </c>
      <c r="S361" s="1" t="s">
        <v>2589</v>
      </c>
      <c r="T361" s="1" t="s">
        <v>2590</v>
      </c>
      <c r="U361" s="1" t="s">
        <v>1750</v>
      </c>
      <c r="V361" s="1" t="s">
        <v>45</v>
      </c>
      <c r="W361" s="1"/>
      <c r="X361" s="1"/>
      <c r="Y361" s="1"/>
      <c r="Z361" s="1" t="s">
        <v>673</v>
      </c>
      <c r="AA361" s="1" t="s">
        <v>2589</v>
      </c>
      <c r="AB361" s="1" t="s">
        <v>2591</v>
      </c>
      <c r="AC361" s="1" t="s">
        <v>2589</v>
      </c>
      <c r="AD361" s="1"/>
      <c r="AE361" s="1" t="s">
        <v>641</v>
      </c>
      <c r="AF361" s="1" t="s">
        <v>190</v>
      </c>
      <c r="AG361" s="1">
        <v>3</v>
      </c>
      <c r="AH361" s="1" t="s">
        <v>190</v>
      </c>
      <c r="AI361" s="1" t="s">
        <v>2592</v>
      </c>
      <c r="AJ361" s="3">
        <v>43224.809027777781</v>
      </c>
      <c r="AK361" s="1" t="s">
        <v>2593</v>
      </c>
    </row>
    <row r="362" spans="1:37">
      <c r="A362" s="1" t="str">
        <f>VLOOKUP(H362,Languages!$A$2:$B$430,2,FALSE)</f>
        <v>Austroasiatic</v>
      </c>
      <c r="B362" s="1" t="s">
        <v>59</v>
      </c>
      <c r="C362" s="1" t="s">
        <v>117</v>
      </c>
      <c r="D362" s="1" t="s">
        <v>5159</v>
      </c>
      <c r="E362" s="15" t="s">
        <v>5160</v>
      </c>
      <c r="F362" s="15" t="s">
        <v>5147</v>
      </c>
      <c r="G362" s="1" t="s">
        <v>5160</v>
      </c>
      <c r="H362" s="1" t="str">
        <f>VLOOKUP(G362,'languoid 4.0'!$A$1:$I$24439,2,FALSE)</f>
        <v>aust1305</v>
      </c>
      <c r="I362" s="1" t="str">
        <f>VLOOKUP(G362,'languoid 4.0'!$A$1:$I$24439,6,FALSE)</f>
        <v>language</v>
      </c>
      <c r="J362" s="15" t="s">
        <v>52</v>
      </c>
      <c r="K362" s="15" t="s">
        <v>52</v>
      </c>
      <c r="L362" s="15" t="s">
        <v>38</v>
      </c>
      <c r="M362" s="1"/>
      <c r="N362" s="1" t="s">
        <v>5161</v>
      </c>
      <c r="O362" s="15" t="s">
        <v>40</v>
      </c>
      <c r="P362" s="15" t="s">
        <v>41</v>
      </c>
      <c r="Q362" s="1" t="s">
        <v>5162</v>
      </c>
      <c r="R362" s="2" t="s">
        <v>5163</v>
      </c>
      <c r="S362" s="1">
        <v>110</v>
      </c>
      <c r="T362" s="1" t="s">
        <v>657</v>
      </c>
      <c r="U362" s="1" t="s">
        <v>636</v>
      </c>
      <c r="V362" s="1" t="s">
        <v>45</v>
      </c>
      <c r="W362" s="1"/>
      <c r="X362" s="1"/>
      <c r="Y362" s="1"/>
      <c r="Z362" s="1" t="s">
        <v>658</v>
      </c>
      <c r="AA362" s="1" t="s">
        <v>5164</v>
      </c>
      <c r="AB362" s="1" t="s">
        <v>46</v>
      </c>
      <c r="AC362" s="1" t="s">
        <v>46</v>
      </c>
      <c r="AD362" s="1" t="s">
        <v>5165</v>
      </c>
      <c r="AE362" s="1" t="s">
        <v>641</v>
      </c>
      <c r="AF362" s="1" t="s">
        <v>190</v>
      </c>
      <c r="AG362" s="1">
        <v>5</v>
      </c>
      <c r="AH362" s="1" t="s">
        <v>190</v>
      </c>
      <c r="AI362" s="1"/>
      <c r="AJ362" s="1" t="s">
        <v>5166</v>
      </c>
      <c r="AK362" s="1" t="s">
        <v>4268</v>
      </c>
    </row>
    <row r="363" spans="1:37">
      <c r="A363" s="1" t="str">
        <f>VLOOKUP(H363,Languages!$A$2:$B$430,2,FALSE)</f>
        <v>Austroasiatic</v>
      </c>
      <c r="B363" s="1" t="s">
        <v>59</v>
      </c>
      <c r="C363" s="1" t="s">
        <v>117</v>
      </c>
      <c r="D363" s="1" t="s">
        <v>5159</v>
      </c>
      <c r="E363" s="15" t="s">
        <v>5160</v>
      </c>
      <c r="F363" s="15" t="s">
        <v>5147</v>
      </c>
      <c r="G363" s="1" t="s">
        <v>5160</v>
      </c>
      <c r="H363" s="1" t="str">
        <f>VLOOKUP(G363,'languoid 4.0'!$A$1:$I$24439,2,FALSE)</f>
        <v>aust1305</v>
      </c>
      <c r="I363" s="1" t="str">
        <f>VLOOKUP(G363,'languoid 4.0'!$A$1:$I$24439,6,FALSE)</f>
        <v>language</v>
      </c>
      <c r="J363" s="15" t="s">
        <v>52</v>
      </c>
      <c r="K363" s="15" t="s">
        <v>52</v>
      </c>
      <c r="L363" s="15" t="s">
        <v>38</v>
      </c>
      <c r="M363" s="1"/>
      <c r="N363" s="1" t="s">
        <v>5161</v>
      </c>
      <c r="O363" s="15" t="s">
        <v>40</v>
      </c>
      <c r="P363" s="15" t="s">
        <v>41</v>
      </c>
      <c r="Q363" s="1" t="s">
        <v>5167</v>
      </c>
      <c r="R363" s="2" t="s">
        <v>5168</v>
      </c>
      <c r="S363" s="1">
        <v>118</v>
      </c>
      <c r="T363" s="1" t="s">
        <v>657</v>
      </c>
      <c r="U363" s="1" t="s">
        <v>636</v>
      </c>
      <c r="V363" s="1" t="s">
        <v>45</v>
      </c>
      <c r="W363" s="1"/>
      <c r="X363" s="1"/>
      <c r="Y363" s="1"/>
      <c r="Z363" s="1" t="s">
        <v>658</v>
      </c>
      <c r="AA363" s="1" t="s">
        <v>5169</v>
      </c>
      <c r="AB363" s="1" t="s">
        <v>46</v>
      </c>
      <c r="AC363" s="1" t="s">
        <v>46</v>
      </c>
      <c r="AD363" s="1" t="s">
        <v>5165</v>
      </c>
      <c r="AE363" s="1" t="s">
        <v>641</v>
      </c>
      <c r="AF363" s="1" t="s">
        <v>190</v>
      </c>
      <c r="AG363" s="1">
        <v>6</v>
      </c>
      <c r="AH363" s="1" t="s">
        <v>190</v>
      </c>
      <c r="AI363" s="1"/>
      <c r="AJ363" s="1" t="s">
        <v>5170</v>
      </c>
      <c r="AK363" s="1" t="s">
        <v>4268</v>
      </c>
    </row>
    <row r="364" spans="1:37">
      <c r="A364" s="1" t="str">
        <f>VLOOKUP(H364,Languages!$A$2:$B$430,2,FALSE)</f>
        <v>Austroasiatic</v>
      </c>
      <c r="B364" s="1" t="s">
        <v>35</v>
      </c>
      <c r="C364" s="1" t="s">
        <v>117</v>
      </c>
      <c r="D364" s="1" t="s">
        <v>2584</v>
      </c>
      <c r="E364" s="15" t="s">
        <v>2585</v>
      </c>
      <c r="F364" s="15" t="s">
        <v>4774</v>
      </c>
      <c r="G364" s="1" t="s">
        <v>2585</v>
      </c>
      <c r="H364" s="1" t="str">
        <f>VLOOKUP(G364,'languoid 4.0'!$A$1:$I$24439,2,FALSE)</f>
        <v>aust1305</v>
      </c>
      <c r="I364" s="1" t="str">
        <f>VLOOKUP(G364,'languoid 4.0'!$A$1:$I$24439,6,FALSE)</f>
        <v>language</v>
      </c>
      <c r="J364" s="15" t="s">
        <v>52</v>
      </c>
      <c r="K364" s="15" t="s">
        <v>38</v>
      </c>
      <c r="L364" s="15" t="s">
        <v>38</v>
      </c>
      <c r="M364" s="1"/>
      <c r="N364" s="1" t="s">
        <v>2586</v>
      </c>
      <c r="O364" s="15" t="s">
        <v>40</v>
      </c>
      <c r="P364" s="15" t="s">
        <v>41</v>
      </c>
      <c r="Q364" s="1" t="s">
        <v>4775</v>
      </c>
      <c r="R364" s="2" t="s">
        <v>4776</v>
      </c>
      <c r="S364" s="1" t="s">
        <v>46</v>
      </c>
      <c r="T364" s="1" t="s">
        <v>635</v>
      </c>
      <c r="U364" s="1" t="s">
        <v>1812</v>
      </c>
      <c r="V364" s="1" t="s">
        <v>45</v>
      </c>
      <c r="W364" s="1"/>
      <c r="X364" s="1"/>
      <c r="Y364" s="1"/>
      <c r="Z364" s="1" t="s">
        <v>637</v>
      </c>
      <c r="AA364" s="1" t="s">
        <v>4777</v>
      </c>
      <c r="AB364" s="1" t="s">
        <v>4778</v>
      </c>
      <c r="AC364" s="1" t="s">
        <v>46</v>
      </c>
      <c r="AD364" s="1"/>
      <c r="AE364" s="1" t="s">
        <v>641</v>
      </c>
      <c r="AF364" s="1" t="s">
        <v>190</v>
      </c>
      <c r="AG364" s="1">
        <v>6</v>
      </c>
      <c r="AH364" s="1" t="s">
        <v>190</v>
      </c>
      <c r="AI364" s="1"/>
      <c r="AJ364" s="3">
        <v>43379.068726851852</v>
      </c>
      <c r="AK364" s="1" t="s">
        <v>4268</v>
      </c>
    </row>
    <row r="365" spans="1:37">
      <c r="A365" s="1" t="str">
        <f>VLOOKUP(H365,Languages!$A$2:$B$430,2,FALSE)</f>
        <v>Austroasiatic</v>
      </c>
      <c r="B365" s="1" t="s">
        <v>35</v>
      </c>
      <c r="C365" s="1" t="s">
        <v>117</v>
      </c>
      <c r="D365" s="1" t="s">
        <v>5146</v>
      </c>
      <c r="E365" s="15" t="s">
        <v>5147</v>
      </c>
      <c r="F365" s="15" t="s">
        <v>5147</v>
      </c>
      <c r="G365" s="1" t="s">
        <v>5147</v>
      </c>
      <c r="H365" s="1" t="str">
        <f>VLOOKUP(G365,'languoid 4.0'!$A$1:$I$24439,2,FALSE)</f>
        <v>aust1305</v>
      </c>
      <c r="I365" s="1" t="str">
        <f>VLOOKUP(G365,'languoid 4.0'!$A$1:$I$24439,6,FALSE)</f>
        <v>language</v>
      </c>
      <c r="J365" s="15" t="s">
        <v>38</v>
      </c>
      <c r="K365" s="15" t="s">
        <v>38</v>
      </c>
      <c r="L365" s="15" t="s">
        <v>38</v>
      </c>
      <c r="M365" s="1"/>
      <c r="N365" s="1" t="s">
        <v>5148</v>
      </c>
      <c r="O365" s="15" t="s">
        <v>40</v>
      </c>
      <c r="P365" s="15" t="s">
        <v>41</v>
      </c>
      <c r="Q365" s="1" t="s">
        <v>5154</v>
      </c>
      <c r="R365" s="2" t="s">
        <v>5155</v>
      </c>
      <c r="S365" s="1" t="s">
        <v>5156</v>
      </c>
      <c r="T365" s="1" t="s">
        <v>657</v>
      </c>
      <c r="U365" s="1" t="s">
        <v>636</v>
      </c>
      <c r="V365" s="1" t="s">
        <v>45</v>
      </c>
      <c r="W365" s="1"/>
      <c r="X365" s="1"/>
      <c r="Y365" s="1"/>
      <c r="Z365" s="1" t="s">
        <v>658</v>
      </c>
      <c r="AA365" s="1" t="s">
        <v>5157</v>
      </c>
      <c r="AB365" s="1" t="s">
        <v>46</v>
      </c>
      <c r="AC365" s="1" t="s">
        <v>46</v>
      </c>
      <c r="AD365" s="1" t="s">
        <v>5133</v>
      </c>
      <c r="AE365" s="1" t="s">
        <v>641</v>
      </c>
      <c r="AF365" s="1" t="s">
        <v>190</v>
      </c>
      <c r="AG365" s="1">
        <v>6</v>
      </c>
      <c r="AH365" s="1" t="s">
        <v>190</v>
      </c>
      <c r="AI365" s="1"/>
      <c r="AJ365" s="1" t="s">
        <v>5158</v>
      </c>
      <c r="AK365" s="1" t="s">
        <v>4268</v>
      </c>
    </row>
    <row r="366" spans="1:37">
      <c r="A366" s="1" t="str">
        <f>VLOOKUP(H366,Languages!$A$2:$B$430,2,FALSE)</f>
        <v>Austroasiatic</v>
      </c>
      <c r="B366" s="1" t="s">
        <v>1750</v>
      </c>
      <c r="C366" s="1" t="s">
        <v>124</v>
      </c>
      <c r="D366" s="1" t="s">
        <v>3585</v>
      </c>
      <c r="E366" s="15" t="s">
        <v>1138</v>
      </c>
      <c r="F366" s="15" t="s">
        <v>1138</v>
      </c>
      <c r="G366" s="1" t="s">
        <v>1138</v>
      </c>
      <c r="H366" s="1" t="str">
        <f>VLOOKUP(G366,'languoid 4.0'!$A$1:$I$24439,2,FALSE)</f>
        <v>aust1305</v>
      </c>
      <c r="I366" s="1" t="str">
        <f>VLOOKUP(G366,'languoid 4.0'!$A$1:$I$24439,6,FALSE)</f>
        <v>language</v>
      </c>
      <c r="J366" s="15" t="s">
        <v>38</v>
      </c>
      <c r="K366" s="15" t="s">
        <v>38</v>
      </c>
      <c r="L366" s="15" t="s">
        <v>38</v>
      </c>
      <c r="M366" s="1"/>
      <c r="N366" s="1" t="s">
        <v>3586</v>
      </c>
      <c r="O366" s="15" t="s">
        <v>40</v>
      </c>
      <c r="P366" s="15" t="s">
        <v>41</v>
      </c>
      <c r="Q366" s="1" t="s">
        <v>3587</v>
      </c>
      <c r="R366" s="2" t="s">
        <v>3588</v>
      </c>
      <c r="S366" s="1" t="s">
        <v>46</v>
      </c>
      <c r="T366" s="1" t="s">
        <v>822</v>
      </c>
      <c r="U366" s="1" t="s">
        <v>636</v>
      </c>
      <c r="V366" s="1" t="s">
        <v>45</v>
      </c>
      <c r="W366" s="1"/>
      <c r="X366" s="1"/>
      <c r="Y366" s="1"/>
      <c r="Z366" s="1" t="s">
        <v>673</v>
      </c>
      <c r="AA366" s="1" t="s">
        <v>46</v>
      </c>
      <c r="AB366" s="1" t="s">
        <v>3589</v>
      </c>
      <c r="AC366" s="1" t="s">
        <v>46</v>
      </c>
      <c r="AD366" s="1"/>
      <c r="AE366" s="1" t="s">
        <v>641</v>
      </c>
      <c r="AF366" s="1" t="s">
        <v>190</v>
      </c>
      <c r="AG366" s="1">
        <v>6</v>
      </c>
      <c r="AH366" s="1" t="s">
        <v>190</v>
      </c>
      <c r="AI366" s="1"/>
      <c r="AJ366" s="3">
        <v>43164.977453703701</v>
      </c>
      <c r="AK366" s="1" t="s">
        <v>1126</v>
      </c>
    </row>
    <row r="367" spans="1:37">
      <c r="A367" s="1" t="str">
        <f>VLOOKUP(H367,Languages!$A$2:$B$430,2,FALSE)</f>
        <v>Austroasiatic</v>
      </c>
      <c r="B367" s="1" t="s">
        <v>1750</v>
      </c>
      <c r="C367" s="1" t="s">
        <v>124</v>
      </c>
      <c r="D367" s="1" t="s">
        <v>5530</v>
      </c>
      <c r="E367" s="15" t="s">
        <v>1138</v>
      </c>
      <c r="F367" s="15" t="s">
        <v>1138</v>
      </c>
      <c r="G367" s="1" t="s">
        <v>1138</v>
      </c>
      <c r="H367" s="1" t="str">
        <f>VLOOKUP(G367,'languoid 4.0'!$A$1:$I$24439,2,FALSE)</f>
        <v>aust1305</v>
      </c>
      <c r="I367" s="1" t="str">
        <f>VLOOKUP(G367,'languoid 4.0'!$A$1:$I$24439,6,FALSE)</f>
        <v>language</v>
      </c>
      <c r="J367" s="15" t="s">
        <v>38</v>
      </c>
      <c r="K367" s="15" t="s">
        <v>38</v>
      </c>
      <c r="L367" s="15" t="s">
        <v>38</v>
      </c>
      <c r="M367" s="1"/>
      <c r="N367" s="1" t="s">
        <v>3586</v>
      </c>
      <c r="O367" s="15" t="s">
        <v>40</v>
      </c>
      <c r="P367" s="15" t="s">
        <v>41</v>
      </c>
      <c r="Q367" s="1" t="s">
        <v>6919</v>
      </c>
      <c r="R367" s="2" t="s">
        <v>6920</v>
      </c>
      <c r="S367" s="1" t="s">
        <v>46</v>
      </c>
      <c r="T367" s="1" t="s">
        <v>822</v>
      </c>
      <c r="U367" s="1" t="s">
        <v>1726</v>
      </c>
      <c r="V367" s="1" t="s">
        <v>45</v>
      </c>
      <c r="W367" s="1"/>
      <c r="X367" s="1"/>
      <c r="Y367" s="1"/>
      <c r="Z367" s="1" t="s">
        <v>673</v>
      </c>
      <c r="AA367" s="1" t="s">
        <v>6921</v>
      </c>
      <c r="AB367" s="1" t="s">
        <v>6922</v>
      </c>
      <c r="AC367" s="1" t="s">
        <v>46</v>
      </c>
      <c r="AD367" s="1"/>
      <c r="AE367" s="1" t="s">
        <v>641</v>
      </c>
      <c r="AF367" s="1" t="s">
        <v>45</v>
      </c>
      <c r="AG367" s="1">
        <v>1</v>
      </c>
      <c r="AH367" s="1" t="s">
        <v>190</v>
      </c>
      <c r="AI367" s="1"/>
      <c r="AJ367" s="1" t="s">
        <v>6923</v>
      </c>
      <c r="AK367" s="1" t="s">
        <v>4945</v>
      </c>
    </row>
    <row r="368" spans="1:37">
      <c r="A368" s="1" t="str">
        <f>VLOOKUP(H368,Languages!$A$2:$B$430,2,FALSE)</f>
        <v>Austroasiatic</v>
      </c>
      <c r="B368" s="1" t="s">
        <v>1750</v>
      </c>
      <c r="C368" s="1" t="s">
        <v>124</v>
      </c>
      <c r="D368" s="1" t="s">
        <v>3585</v>
      </c>
      <c r="E368" s="15" t="s">
        <v>1138</v>
      </c>
      <c r="F368" s="15" t="s">
        <v>1138</v>
      </c>
      <c r="G368" s="1" t="s">
        <v>1138</v>
      </c>
      <c r="H368" s="1" t="str">
        <f>VLOOKUP(G368,'languoid 4.0'!$A$1:$I$24439,2,FALSE)</f>
        <v>aust1305</v>
      </c>
      <c r="I368" s="1" t="str">
        <f>VLOOKUP(G368,'languoid 4.0'!$A$1:$I$24439,6,FALSE)</f>
        <v>language</v>
      </c>
      <c r="J368" s="15" t="s">
        <v>38</v>
      </c>
      <c r="K368" s="15" t="s">
        <v>38</v>
      </c>
      <c r="L368" s="15" t="s">
        <v>38</v>
      </c>
      <c r="M368" s="1"/>
      <c r="N368" s="1" t="s">
        <v>3586</v>
      </c>
      <c r="O368" s="15" t="s">
        <v>40</v>
      </c>
      <c r="P368" s="15" t="s">
        <v>41</v>
      </c>
      <c r="Q368" s="1" t="s">
        <v>7536</v>
      </c>
      <c r="R368" s="2" t="s">
        <v>7537</v>
      </c>
      <c r="S368" s="1" t="s">
        <v>46</v>
      </c>
      <c r="T368" s="1" t="s">
        <v>822</v>
      </c>
      <c r="U368" s="1" t="s">
        <v>636</v>
      </c>
      <c r="V368" s="1" t="s">
        <v>45</v>
      </c>
      <c r="W368" s="1"/>
      <c r="X368" s="1"/>
      <c r="Y368" s="1"/>
      <c r="Z368" s="1" t="s">
        <v>673</v>
      </c>
      <c r="AA368" s="1" t="s">
        <v>7538</v>
      </c>
      <c r="AB368" s="1" t="s">
        <v>7539</v>
      </c>
      <c r="AC368" s="1" t="s">
        <v>46</v>
      </c>
      <c r="AD368" s="1"/>
      <c r="AE368" s="1" t="s">
        <v>641</v>
      </c>
      <c r="AF368" s="1" t="s">
        <v>190</v>
      </c>
      <c r="AG368" s="1">
        <v>6</v>
      </c>
      <c r="AH368" s="1" t="s">
        <v>190</v>
      </c>
      <c r="AI368" s="1"/>
      <c r="AJ368" s="1" t="s">
        <v>7540</v>
      </c>
      <c r="AK368" s="1" t="s">
        <v>4945</v>
      </c>
    </row>
    <row r="369" spans="1:37">
      <c r="A369" s="1" t="str">
        <f>VLOOKUP(H369,Languages!$A$2:$B$430,2,FALSE)</f>
        <v>Austroasiatic</v>
      </c>
      <c r="B369" s="1" t="s">
        <v>1738</v>
      </c>
      <c r="C369" s="1" t="s">
        <v>124</v>
      </c>
      <c r="D369" s="1" t="s">
        <v>2250</v>
      </c>
      <c r="E369" s="15" t="s">
        <v>51</v>
      </c>
      <c r="F369" s="15" t="s">
        <v>2251</v>
      </c>
      <c r="G369" s="1" t="s">
        <v>2251</v>
      </c>
      <c r="H369" s="1" t="str">
        <f>VLOOKUP(G369,'languoid 4.0'!$A$1:$I$24439,2,FALSE)</f>
        <v>aust1305</v>
      </c>
      <c r="I369" s="1" t="str">
        <f>VLOOKUP(G369,'languoid 4.0'!$A$1:$I$24439,6,FALSE)</f>
        <v>language</v>
      </c>
      <c r="J369" s="15" t="s">
        <v>52</v>
      </c>
      <c r="K369" s="15" t="s">
        <v>51</v>
      </c>
      <c r="L369" s="15" t="s">
        <v>51</v>
      </c>
      <c r="M369" s="1"/>
      <c r="N369" s="1" t="e">
        <v>#N/A</v>
      </c>
      <c r="O369" s="15" t="s">
        <v>690</v>
      </c>
      <c r="P369" s="15"/>
      <c r="Q369" s="1" t="s">
        <v>2252</v>
      </c>
      <c r="R369" s="2" t="s">
        <v>2253</v>
      </c>
      <c r="S369" s="1" t="s">
        <v>46</v>
      </c>
      <c r="T369" s="1" t="s">
        <v>635</v>
      </c>
      <c r="U369" s="1" t="s">
        <v>1039</v>
      </c>
      <c r="V369" s="1" t="s">
        <v>45</v>
      </c>
      <c r="W369" s="1"/>
      <c r="X369" s="1"/>
      <c r="Y369" s="1"/>
      <c r="Z369" s="1" t="s">
        <v>658</v>
      </c>
      <c r="AA369" s="1" t="s">
        <v>2228</v>
      </c>
      <c r="AB369" s="1" t="s">
        <v>46</v>
      </c>
      <c r="AC369" s="1" t="s">
        <v>46</v>
      </c>
      <c r="AD369" s="1" t="s">
        <v>2254</v>
      </c>
      <c r="AE369" s="1" t="s">
        <v>641</v>
      </c>
      <c r="AF369" s="1" t="s">
        <v>190</v>
      </c>
      <c r="AG369" s="1">
        <v>5</v>
      </c>
      <c r="AH369" s="1" t="s">
        <v>190</v>
      </c>
      <c r="AI369" s="1"/>
      <c r="AJ369" s="1" t="s">
        <v>2255</v>
      </c>
      <c r="AK369" s="1" t="s">
        <v>1126</v>
      </c>
    </row>
    <row r="370" spans="1:37">
      <c r="A370" s="1" t="str">
        <f>VLOOKUP(H370,Languages!$A$2:$B$430,2,FALSE)</f>
        <v>Austroasiatic</v>
      </c>
      <c r="B370" s="1" t="s">
        <v>1738</v>
      </c>
      <c r="C370" s="1" t="s">
        <v>124</v>
      </c>
      <c r="D370" s="1" t="s">
        <v>2250</v>
      </c>
      <c r="E370" s="15" t="s">
        <v>51</v>
      </c>
      <c r="F370" s="15" t="s">
        <v>2251</v>
      </c>
      <c r="G370" s="1" t="s">
        <v>2251</v>
      </c>
      <c r="H370" s="1" t="str">
        <f>VLOOKUP(G370,'languoid 4.0'!$A$1:$I$24439,2,FALSE)</f>
        <v>aust1305</v>
      </c>
      <c r="I370" s="1" t="str">
        <f>VLOOKUP(G370,'languoid 4.0'!$A$1:$I$24439,6,FALSE)</f>
        <v>language</v>
      </c>
      <c r="J370" s="15" t="s">
        <v>52</v>
      </c>
      <c r="K370" s="15" t="s">
        <v>51</v>
      </c>
      <c r="L370" s="15" t="s">
        <v>51</v>
      </c>
      <c r="M370" s="1"/>
      <c r="N370" s="1" t="e">
        <v>#N/A</v>
      </c>
      <c r="O370" s="15" t="s">
        <v>690</v>
      </c>
      <c r="P370" s="15"/>
      <c r="Q370" s="1" t="s">
        <v>2256</v>
      </c>
      <c r="R370" s="2" t="s">
        <v>2257</v>
      </c>
      <c r="S370" s="1" t="s">
        <v>46</v>
      </c>
      <c r="T370" s="1" t="s">
        <v>635</v>
      </c>
      <c r="U370" s="1" t="s">
        <v>1039</v>
      </c>
      <c r="V370" s="1" t="s">
        <v>45</v>
      </c>
      <c r="W370" s="1"/>
      <c r="X370" s="1"/>
      <c r="Y370" s="1"/>
      <c r="Z370" s="1" t="s">
        <v>658</v>
      </c>
      <c r="AA370" s="1" t="s">
        <v>2228</v>
      </c>
      <c r="AB370" s="1" t="s">
        <v>46</v>
      </c>
      <c r="AC370" s="1" t="s">
        <v>46</v>
      </c>
      <c r="AD370" s="1" t="s">
        <v>2258</v>
      </c>
      <c r="AE370" s="1" t="s">
        <v>641</v>
      </c>
      <c r="AF370" s="1" t="s">
        <v>190</v>
      </c>
      <c r="AG370" s="1">
        <v>5</v>
      </c>
      <c r="AH370" s="1" t="s">
        <v>190</v>
      </c>
      <c r="AI370" s="1"/>
      <c r="AJ370" s="1" t="s">
        <v>2259</v>
      </c>
      <c r="AK370" s="1" t="s">
        <v>1126</v>
      </c>
    </row>
    <row r="371" spans="1:37">
      <c r="A371" s="1" t="str">
        <f>VLOOKUP(H371,Languages!$A$2:$B$430,2,FALSE)</f>
        <v>Austroasiatic</v>
      </c>
      <c r="B371" s="1" t="s">
        <v>1738</v>
      </c>
      <c r="C371" s="1" t="s">
        <v>117</v>
      </c>
      <c r="D371" s="1" t="s">
        <v>4758</v>
      </c>
      <c r="E371" s="15" t="s">
        <v>4759</v>
      </c>
      <c r="F371" s="15" t="s">
        <v>4760</v>
      </c>
      <c r="G371" s="1" t="s">
        <v>4759</v>
      </c>
      <c r="H371" s="1" t="str">
        <f>VLOOKUP(G371,'languoid 4.0'!$A$1:$I$24439,2,FALSE)</f>
        <v>aust1305</v>
      </c>
      <c r="I371" s="1" t="str">
        <f>VLOOKUP(G371,'languoid 4.0'!$A$1:$I$24439,6,FALSE)</f>
        <v>language</v>
      </c>
      <c r="J371" s="15" t="s">
        <v>52</v>
      </c>
      <c r="K371" s="15" t="s">
        <v>368</v>
      </c>
      <c r="L371" s="15" t="s">
        <v>368</v>
      </c>
      <c r="M371" s="1" t="s">
        <v>4761</v>
      </c>
      <c r="N371" s="1" t="s">
        <v>4762</v>
      </c>
      <c r="O371" s="15" t="s">
        <v>40</v>
      </c>
      <c r="P371" s="15" t="s">
        <v>41</v>
      </c>
      <c r="Q371" s="1" t="s">
        <v>4763</v>
      </c>
      <c r="R371" s="2" t="s">
        <v>4764</v>
      </c>
      <c r="S371" s="1" t="s">
        <v>46</v>
      </c>
      <c r="T371" s="1" t="s">
        <v>635</v>
      </c>
      <c r="U371" s="1" t="s">
        <v>636</v>
      </c>
      <c r="V371" s="1" t="s">
        <v>45</v>
      </c>
      <c r="W371" s="1"/>
      <c r="X371" s="1"/>
      <c r="Y371" s="1"/>
      <c r="Z371" s="1" t="s">
        <v>673</v>
      </c>
      <c r="AA371" s="1" t="s">
        <v>4765</v>
      </c>
      <c r="AB371" s="1" t="s">
        <v>4766</v>
      </c>
      <c r="AC371" s="1" t="s">
        <v>46</v>
      </c>
      <c r="AD371" s="1"/>
      <c r="AE371" s="1" t="s">
        <v>641</v>
      </c>
      <c r="AF371" s="1" t="s">
        <v>190</v>
      </c>
      <c r="AG371" s="1">
        <v>5</v>
      </c>
      <c r="AH371" s="1" t="s">
        <v>190</v>
      </c>
      <c r="AI371" s="1"/>
      <c r="AJ371" s="3">
        <v>43379.062094907407</v>
      </c>
      <c r="AK371" s="1" t="s">
        <v>4268</v>
      </c>
    </row>
    <row r="372" spans="1:37">
      <c r="A372" s="1" t="str">
        <f>VLOOKUP(H372,Languages!$A$2:$B$430,2,FALSE)</f>
        <v>Austroasiatic</v>
      </c>
      <c r="B372" s="1" t="s">
        <v>1738</v>
      </c>
      <c r="C372" s="1" t="s">
        <v>117</v>
      </c>
      <c r="D372" s="1" t="s">
        <v>4758</v>
      </c>
      <c r="E372" s="15" t="s">
        <v>4759</v>
      </c>
      <c r="F372" s="15" t="s">
        <v>4760</v>
      </c>
      <c r="G372" s="1" t="s">
        <v>4759</v>
      </c>
      <c r="H372" s="1" t="str">
        <f>VLOOKUP(G372,'languoid 4.0'!$A$1:$I$24439,2,FALSE)</f>
        <v>aust1305</v>
      </c>
      <c r="I372" s="1" t="str">
        <f>VLOOKUP(G372,'languoid 4.0'!$A$1:$I$24439,6,FALSE)</f>
        <v>language</v>
      </c>
      <c r="J372" s="15" t="s">
        <v>52</v>
      </c>
      <c r="K372" s="15" t="s">
        <v>368</v>
      </c>
      <c r="L372" s="15" t="s">
        <v>368</v>
      </c>
      <c r="M372" s="1" t="s">
        <v>4761</v>
      </c>
      <c r="N372" s="1" t="s">
        <v>4762</v>
      </c>
      <c r="O372" s="15" t="s">
        <v>40</v>
      </c>
      <c r="P372" s="15" t="s">
        <v>41</v>
      </c>
      <c r="Q372" s="1" t="s">
        <v>1039</v>
      </c>
      <c r="R372" s="2" t="s">
        <v>4772</v>
      </c>
      <c r="S372" s="1" t="s">
        <v>46</v>
      </c>
      <c r="T372" s="1" t="s">
        <v>635</v>
      </c>
      <c r="U372" s="1" t="s">
        <v>636</v>
      </c>
      <c r="V372" s="1" t="s">
        <v>45</v>
      </c>
      <c r="W372" s="1"/>
      <c r="X372" s="1"/>
      <c r="Y372" s="1"/>
      <c r="Z372" s="1" t="s">
        <v>658</v>
      </c>
      <c r="AA372" s="1" t="s">
        <v>4773</v>
      </c>
      <c r="AB372" s="1" t="s">
        <v>46</v>
      </c>
      <c r="AC372" s="1" t="s">
        <v>46</v>
      </c>
      <c r="AD372" s="1"/>
      <c r="AE372" s="1" t="s">
        <v>641</v>
      </c>
      <c r="AF372" s="1" t="s">
        <v>190</v>
      </c>
      <c r="AG372" s="1">
        <v>5</v>
      </c>
      <c r="AH372" s="1" t="s">
        <v>190</v>
      </c>
      <c r="AI372" s="1"/>
      <c r="AJ372" s="3">
        <v>43379.066250000003</v>
      </c>
      <c r="AK372" s="1" t="s">
        <v>4268</v>
      </c>
    </row>
    <row r="373" spans="1:37">
      <c r="A373" s="1" t="str">
        <f>VLOOKUP(H373,Languages!$A$2:$B$430,2,FALSE)</f>
        <v>Austroasiatic</v>
      </c>
      <c r="B373" s="1" t="s">
        <v>1738</v>
      </c>
      <c r="C373" s="1" t="s">
        <v>117</v>
      </c>
      <c r="D373" s="1" t="s">
        <v>4758</v>
      </c>
      <c r="E373" s="15" t="s">
        <v>4759</v>
      </c>
      <c r="F373" s="15" t="s">
        <v>4760</v>
      </c>
      <c r="G373" s="1" t="s">
        <v>4759</v>
      </c>
      <c r="H373" s="1" t="str">
        <f>VLOOKUP(G373,'languoid 4.0'!$A$1:$I$24439,2,FALSE)</f>
        <v>aust1305</v>
      </c>
      <c r="I373" s="1" t="str">
        <f>VLOOKUP(G373,'languoid 4.0'!$A$1:$I$24439,6,FALSE)</f>
        <v>language</v>
      </c>
      <c r="J373" s="15" t="s">
        <v>52</v>
      </c>
      <c r="K373" s="15" t="s">
        <v>368</v>
      </c>
      <c r="L373" s="15" t="s">
        <v>368</v>
      </c>
      <c r="M373" s="1" t="s">
        <v>4761</v>
      </c>
      <c r="N373" s="1" t="s">
        <v>4762</v>
      </c>
      <c r="O373" s="15" t="s">
        <v>40</v>
      </c>
      <c r="P373" s="15" t="s">
        <v>41</v>
      </c>
      <c r="Q373" s="1" t="s">
        <v>1036</v>
      </c>
      <c r="R373" s="2" t="s">
        <v>4512</v>
      </c>
      <c r="S373" s="1" t="s">
        <v>46</v>
      </c>
      <c r="T373" s="1" t="s">
        <v>635</v>
      </c>
      <c r="U373" s="1" t="s">
        <v>2511</v>
      </c>
      <c r="V373" s="1" t="s">
        <v>45</v>
      </c>
      <c r="W373" s="1"/>
      <c r="X373" s="1"/>
      <c r="Y373" s="1"/>
      <c r="Z373" s="1" t="s">
        <v>658</v>
      </c>
      <c r="AA373" s="1" t="s">
        <v>5445</v>
      </c>
      <c r="AB373" s="1" t="s">
        <v>46</v>
      </c>
      <c r="AC373" s="1" t="s">
        <v>46</v>
      </c>
      <c r="AD373" s="1" t="s">
        <v>5446</v>
      </c>
      <c r="AE373" s="1" t="s">
        <v>641</v>
      </c>
      <c r="AF373" s="1" t="s">
        <v>190</v>
      </c>
      <c r="AG373" s="1">
        <v>5</v>
      </c>
      <c r="AH373" s="1" t="s">
        <v>190</v>
      </c>
      <c r="AI373" s="1"/>
      <c r="AJ373" s="1" t="s">
        <v>5447</v>
      </c>
      <c r="AK373" s="1" t="s">
        <v>4268</v>
      </c>
    </row>
    <row r="374" spans="1:37">
      <c r="A374" s="1" t="str">
        <f>VLOOKUP(H374,Languages!$A$2:$B$430,2,FALSE)</f>
        <v>Austroasiatic</v>
      </c>
      <c r="B374" s="1" t="s">
        <v>1812</v>
      </c>
      <c r="C374" s="1" t="s">
        <v>124</v>
      </c>
      <c r="D374" s="1" t="s">
        <v>3585</v>
      </c>
      <c r="E374" s="15" t="s">
        <v>1138</v>
      </c>
      <c r="F374" s="15" t="s">
        <v>1138</v>
      </c>
      <c r="G374" s="1" t="s">
        <v>1138</v>
      </c>
      <c r="H374" s="1" t="str">
        <f>VLOOKUP(G374,'languoid 4.0'!$A$1:$I$24439,2,FALSE)</f>
        <v>aust1305</v>
      </c>
      <c r="I374" s="1" t="str">
        <f>VLOOKUP(G374,'languoid 4.0'!$A$1:$I$24439,6,FALSE)</f>
        <v>language</v>
      </c>
      <c r="J374" s="15" t="s">
        <v>38</v>
      </c>
      <c r="K374" s="15" t="s">
        <v>38</v>
      </c>
      <c r="L374" s="15" t="s">
        <v>38</v>
      </c>
      <c r="M374" s="1"/>
      <c r="N374" s="1" t="s">
        <v>3586</v>
      </c>
      <c r="O374" s="15" t="s">
        <v>40</v>
      </c>
      <c r="P374" s="15" t="s">
        <v>41</v>
      </c>
      <c r="Q374" s="1" t="s">
        <v>7541</v>
      </c>
      <c r="R374" s="2" t="s">
        <v>7542</v>
      </c>
      <c r="S374" s="1" t="s">
        <v>46</v>
      </c>
      <c r="T374" s="1" t="s">
        <v>822</v>
      </c>
      <c r="U374" s="1" t="s">
        <v>636</v>
      </c>
      <c r="V374" s="1" t="s">
        <v>45</v>
      </c>
      <c r="W374" s="1"/>
      <c r="X374" s="1"/>
      <c r="Y374" s="1"/>
      <c r="Z374" s="1" t="s">
        <v>637</v>
      </c>
      <c r="AA374" s="1" t="s">
        <v>7543</v>
      </c>
      <c r="AB374" s="1" t="s">
        <v>7544</v>
      </c>
      <c r="AC374" s="1" t="s">
        <v>46</v>
      </c>
      <c r="AD374" s="1"/>
      <c r="AE374" s="1" t="s">
        <v>641</v>
      </c>
      <c r="AF374" s="1" t="s">
        <v>190</v>
      </c>
      <c r="AG374" s="1">
        <v>6</v>
      </c>
      <c r="AH374" s="1" t="s">
        <v>190</v>
      </c>
      <c r="AI374" s="1"/>
      <c r="AJ374" s="1" t="s">
        <v>7545</v>
      </c>
      <c r="AK374" s="1" t="s">
        <v>4945</v>
      </c>
    </row>
    <row r="375" spans="1:37">
      <c r="A375" s="1" t="str">
        <f>VLOOKUP(H375,Languages!$A$2:$B$430,2,FALSE)</f>
        <v>Austroasiatic</v>
      </c>
      <c r="B375" s="1" t="s">
        <v>1812</v>
      </c>
      <c r="C375" s="1" t="s">
        <v>117</v>
      </c>
      <c r="D375" s="1" t="s">
        <v>5339</v>
      </c>
      <c r="E375" s="15" t="s">
        <v>5340</v>
      </c>
      <c r="F375" s="15" t="s">
        <v>5340</v>
      </c>
      <c r="G375" s="1" t="s">
        <v>5340</v>
      </c>
      <c r="H375" s="1" t="str">
        <f>VLOOKUP(G375,'languoid 4.0'!$A$1:$I$24439,2,FALSE)</f>
        <v>aust1305</v>
      </c>
      <c r="I375" s="1" t="str">
        <f>VLOOKUP(G375,'languoid 4.0'!$A$1:$I$24439,6,FALSE)</f>
        <v>language</v>
      </c>
      <c r="J375" s="15" t="s">
        <v>38</v>
      </c>
      <c r="K375" s="15" t="s">
        <v>38</v>
      </c>
      <c r="L375" s="15" t="s">
        <v>38</v>
      </c>
      <c r="M375" s="1"/>
      <c r="N375" s="1" t="s">
        <v>5341</v>
      </c>
      <c r="O375" s="15" t="s">
        <v>40</v>
      </c>
      <c r="P375" s="15" t="s">
        <v>41</v>
      </c>
      <c r="Q375" s="1" t="s">
        <v>5342</v>
      </c>
      <c r="R375" s="2" t="s">
        <v>4512</v>
      </c>
      <c r="S375" s="1" t="s">
        <v>46</v>
      </c>
      <c r="T375" s="1" t="s">
        <v>635</v>
      </c>
      <c r="U375" s="1" t="s">
        <v>636</v>
      </c>
      <c r="V375" s="1" t="s">
        <v>45</v>
      </c>
      <c r="W375" s="1"/>
      <c r="X375" s="1"/>
      <c r="Y375" s="1"/>
      <c r="Z375" s="1" t="s">
        <v>637</v>
      </c>
      <c r="AA375" s="1" t="s">
        <v>5343</v>
      </c>
      <c r="AB375" s="1" t="s">
        <v>5344</v>
      </c>
      <c r="AC375" s="1" t="s">
        <v>46</v>
      </c>
      <c r="AD375" s="1" t="s">
        <v>5345</v>
      </c>
      <c r="AE375" s="1" t="s">
        <v>641</v>
      </c>
      <c r="AF375" s="1" t="s">
        <v>190</v>
      </c>
      <c r="AG375" s="1">
        <v>5</v>
      </c>
      <c r="AH375" s="1" t="s">
        <v>190</v>
      </c>
      <c r="AI375" s="1"/>
      <c r="AJ375" s="1" t="s">
        <v>5346</v>
      </c>
      <c r="AK375" s="1" t="s">
        <v>4268</v>
      </c>
    </row>
    <row r="376" spans="1:37">
      <c r="A376" s="1" t="str">
        <f>VLOOKUP(H376,Languages!$A$2:$B$430,2,FALSE)</f>
        <v>Austroasiatic</v>
      </c>
      <c r="B376" s="1" t="s">
        <v>1707</v>
      </c>
      <c r="C376" s="1" t="s">
        <v>124</v>
      </c>
      <c r="D376" s="1" t="s">
        <v>5530</v>
      </c>
      <c r="E376" s="15" t="s">
        <v>1138</v>
      </c>
      <c r="F376" s="15" t="s">
        <v>51</v>
      </c>
      <c r="G376" s="1" t="s">
        <v>1138</v>
      </c>
      <c r="H376" s="1" t="str">
        <f>VLOOKUP(G376,'languoid 4.0'!$A$1:$I$24439,2,FALSE)</f>
        <v>aust1305</v>
      </c>
      <c r="I376" s="1" t="str">
        <f>VLOOKUP(G376,'languoid 4.0'!$A$1:$I$24439,6,FALSE)</f>
        <v>language</v>
      </c>
      <c r="J376" s="15" t="s">
        <v>52</v>
      </c>
      <c r="K376" s="15" t="s">
        <v>51</v>
      </c>
      <c r="L376" s="15" t="s">
        <v>51</v>
      </c>
      <c r="M376" s="1"/>
      <c r="N376" s="1" t="s">
        <v>3586</v>
      </c>
      <c r="O376" s="15" t="s">
        <v>40</v>
      </c>
      <c r="P376" s="15" t="s">
        <v>41</v>
      </c>
      <c r="Q376" s="1" t="s">
        <v>5531</v>
      </c>
      <c r="R376" s="2" t="s">
        <v>5532</v>
      </c>
      <c r="S376" s="1" t="s">
        <v>46</v>
      </c>
      <c r="T376" s="1" t="s">
        <v>635</v>
      </c>
      <c r="U376" s="1" t="s">
        <v>636</v>
      </c>
      <c r="V376" s="1" t="s">
        <v>45</v>
      </c>
      <c r="W376" s="1"/>
      <c r="X376" s="1"/>
      <c r="Y376" s="1"/>
      <c r="Z376" s="1" t="s">
        <v>658</v>
      </c>
      <c r="AA376" s="1" t="s">
        <v>5533</v>
      </c>
      <c r="AB376" s="1" t="s">
        <v>46</v>
      </c>
      <c r="AC376" s="1" t="s">
        <v>46</v>
      </c>
      <c r="AD376" s="1"/>
      <c r="AE376" s="1" t="s">
        <v>641</v>
      </c>
      <c r="AF376" s="1" t="s">
        <v>190</v>
      </c>
      <c r="AG376" s="1">
        <v>6</v>
      </c>
      <c r="AH376" s="1" t="s">
        <v>190</v>
      </c>
      <c r="AI376" s="1"/>
      <c r="AJ376" s="1" t="s">
        <v>5534</v>
      </c>
      <c r="AK376" s="1" t="s">
        <v>4945</v>
      </c>
    </row>
    <row r="377" spans="1:37">
      <c r="A377" s="1" t="str">
        <f>VLOOKUP(H377,Languages!$A$2:$B$430,2,FALSE)</f>
        <v>Austroasiatic</v>
      </c>
      <c r="B377" s="1" t="s">
        <v>1707</v>
      </c>
      <c r="C377" s="1" t="s">
        <v>117</v>
      </c>
      <c r="D377" s="1" t="s">
        <v>4758</v>
      </c>
      <c r="E377" s="15" t="s">
        <v>4759</v>
      </c>
      <c r="F377" s="15" t="s">
        <v>4760</v>
      </c>
      <c r="G377" s="1" t="s">
        <v>4759</v>
      </c>
      <c r="H377" s="1" t="str">
        <f>VLOOKUP(G377,'languoid 4.0'!$A$1:$I$24439,2,FALSE)</f>
        <v>aust1305</v>
      </c>
      <c r="I377" s="1" t="str">
        <f>VLOOKUP(G377,'languoid 4.0'!$A$1:$I$24439,6,FALSE)</f>
        <v>language</v>
      </c>
      <c r="J377" s="15" t="s">
        <v>52</v>
      </c>
      <c r="K377" s="15" t="s">
        <v>368</v>
      </c>
      <c r="L377" s="15" t="s">
        <v>368</v>
      </c>
      <c r="M377" s="1" t="s">
        <v>4761</v>
      </c>
      <c r="N377" s="1" t="s">
        <v>4762</v>
      </c>
      <c r="O377" s="15" t="s">
        <v>40</v>
      </c>
      <c r="P377" s="15" t="s">
        <v>41</v>
      </c>
      <c r="Q377" s="1" t="s">
        <v>4767</v>
      </c>
      <c r="R377" s="2" t="s">
        <v>4768</v>
      </c>
      <c r="S377" s="1" t="s">
        <v>46</v>
      </c>
      <c r="T377" s="1" t="s">
        <v>635</v>
      </c>
      <c r="U377" s="1" t="s">
        <v>636</v>
      </c>
      <c r="V377" s="1" t="s">
        <v>45</v>
      </c>
      <c r="W377" s="1"/>
      <c r="X377" s="1"/>
      <c r="Y377" s="1"/>
      <c r="Z377" s="1" t="s">
        <v>637</v>
      </c>
      <c r="AA377" s="1" t="s">
        <v>4769</v>
      </c>
      <c r="AB377" s="1" t="s">
        <v>4770</v>
      </c>
      <c r="AC377" s="1" t="s">
        <v>46</v>
      </c>
      <c r="AD377" s="1" t="s">
        <v>4771</v>
      </c>
      <c r="AE377" s="1" t="s">
        <v>641</v>
      </c>
      <c r="AF377" s="1" t="s">
        <v>190</v>
      </c>
      <c r="AG377" s="1">
        <v>4</v>
      </c>
      <c r="AH377" s="1" t="s">
        <v>190</v>
      </c>
      <c r="AI377" s="1"/>
      <c r="AJ377" s="3">
        <v>43379.064687500002</v>
      </c>
      <c r="AK377" s="1" t="s">
        <v>4268</v>
      </c>
    </row>
    <row r="378" spans="1:37">
      <c r="A378" s="1" t="str">
        <f>VLOOKUP(H378,Languages!$A$2:$B$430,2,FALSE)</f>
        <v>Austroasiatic</v>
      </c>
      <c r="B378" s="1" t="s">
        <v>1707</v>
      </c>
      <c r="C378" s="1" t="s">
        <v>117</v>
      </c>
      <c r="D378" s="1" t="s">
        <v>5146</v>
      </c>
      <c r="E378" s="15" t="s">
        <v>5147</v>
      </c>
      <c r="F378" s="15" t="s">
        <v>5147</v>
      </c>
      <c r="G378" s="1" t="s">
        <v>5147</v>
      </c>
      <c r="H378" s="1" t="str">
        <f>VLOOKUP(G378,'languoid 4.0'!$A$1:$I$24439,2,FALSE)</f>
        <v>aust1305</v>
      </c>
      <c r="I378" s="1" t="str">
        <f>VLOOKUP(G378,'languoid 4.0'!$A$1:$I$24439,6,FALSE)</f>
        <v>language</v>
      </c>
      <c r="J378" s="15" t="s">
        <v>38</v>
      </c>
      <c r="K378" s="15" t="s">
        <v>38</v>
      </c>
      <c r="L378" s="15" t="s">
        <v>38</v>
      </c>
      <c r="M378" s="1"/>
      <c r="N378" s="1" t="s">
        <v>5148</v>
      </c>
      <c r="O378" s="15" t="s">
        <v>40</v>
      </c>
      <c r="P378" s="15" t="s">
        <v>41</v>
      </c>
      <c r="Q378" s="1" t="s">
        <v>5149</v>
      </c>
      <c r="R378" s="2" t="s">
        <v>5150</v>
      </c>
      <c r="S378" s="1" t="s">
        <v>5151</v>
      </c>
      <c r="T378" s="1" t="s">
        <v>657</v>
      </c>
      <c r="U378" s="1" t="s">
        <v>636</v>
      </c>
      <c r="V378" s="1" t="s">
        <v>45</v>
      </c>
      <c r="W378" s="1"/>
      <c r="X378" s="1"/>
      <c r="Y378" s="1"/>
      <c r="Z378" s="1" t="s">
        <v>658</v>
      </c>
      <c r="AA378" s="1" t="s">
        <v>5152</v>
      </c>
      <c r="AB378" s="1" t="s">
        <v>46</v>
      </c>
      <c r="AC378" s="1" t="s">
        <v>46</v>
      </c>
      <c r="AD378" s="1" t="s">
        <v>5133</v>
      </c>
      <c r="AE378" s="1" t="s">
        <v>641</v>
      </c>
      <c r="AF378" s="1" t="s">
        <v>190</v>
      </c>
      <c r="AG378" s="1">
        <v>6</v>
      </c>
      <c r="AH378" s="1" t="s">
        <v>190</v>
      </c>
      <c r="AI378" s="1"/>
      <c r="AJ378" s="1" t="s">
        <v>5153</v>
      </c>
      <c r="AK378" s="1" t="s">
        <v>4268</v>
      </c>
    </row>
    <row r="379" spans="1:37">
      <c r="A379" s="1" t="str">
        <f>VLOOKUP(H379,Languages!$A$2:$B$430,2,FALSE)</f>
        <v>Austroasiatic</v>
      </c>
      <c r="B379" s="1" t="s">
        <v>1707</v>
      </c>
      <c r="C379" s="1" t="s">
        <v>117</v>
      </c>
      <c r="D379" s="1" t="s">
        <v>4758</v>
      </c>
      <c r="E379" s="15" t="s">
        <v>4759</v>
      </c>
      <c r="F379" s="15" t="s">
        <v>4760</v>
      </c>
      <c r="G379" s="1" t="s">
        <v>4759</v>
      </c>
      <c r="H379" s="1" t="str">
        <f>VLOOKUP(G379,'languoid 4.0'!$A$1:$I$24439,2,FALSE)</f>
        <v>aust1305</v>
      </c>
      <c r="I379" s="1" t="str">
        <f>VLOOKUP(G379,'languoid 4.0'!$A$1:$I$24439,6,FALSE)</f>
        <v>language</v>
      </c>
      <c r="J379" s="15" t="s">
        <v>52</v>
      </c>
      <c r="K379" s="15" t="s">
        <v>368</v>
      </c>
      <c r="L379" s="15" t="s">
        <v>368</v>
      </c>
      <c r="M379" s="1" t="s">
        <v>4761</v>
      </c>
      <c r="N379" s="1" t="s">
        <v>4762</v>
      </c>
      <c r="O379" s="15" t="s">
        <v>40</v>
      </c>
      <c r="P379" s="15" t="s">
        <v>41</v>
      </c>
      <c r="Q379" s="1" t="s">
        <v>5440</v>
      </c>
      <c r="R379" s="2" t="s">
        <v>4512</v>
      </c>
      <c r="S379" s="1" t="s">
        <v>46</v>
      </c>
      <c r="T379" s="1" t="s">
        <v>635</v>
      </c>
      <c r="U379" s="1" t="s">
        <v>636</v>
      </c>
      <c r="V379" s="1" t="s">
        <v>45</v>
      </c>
      <c r="W379" s="1"/>
      <c r="X379" s="1"/>
      <c r="Y379" s="1"/>
      <c r="Z379" s="1" t="s">
        <v>637</v>
      </c>
      <c r="AA379" s="1" t="s">
        <v>5441</v>
      </c>
      <c r="AB379" s="1" t="s">
        <v>5442</v>
      </c>
      <c r="AC379" s="1" t="s">
        <v>46</v>
      </c>
      <c r="AD379" s="1" t="s">
        <v>5443</v>
      </c>
      <c r="AE379" s="1" t="s">
        <v>641</v>
      </c>
      <c r="AF379" s="1" t="s">
        <v>190</v>
      </c>
      <c r="AG379" s="1">
        <v>5</v>
      </c>
      <c r="AH379" s="1" t="s">
        <v>190</v>
      </c>
      <c r="AI379" s="1"/>
      <c r="AJ379" s="1" t="s">
        <v>5444</v>
      </c>
      <c r="AK379" s="1" t="s">
        <v>4268</v>
      </c>
    </row>
    <row r="380" spans="1:37" s="33" customFormat="1">
      <c r="A380" s="29" t="str">
        <f>VLOOKUP(H380,Languages!$A$2:$B$430,2,FALSE)</f>
        <v>Austronesian</v>
      </c>
      <c r="B380" s="29" t="s">
        <v>67</v>
      </c>
      <c r="C380" s="29" t="s">
        <v>82</v>
      </c>
      <c r="D380" s="29" t="s">
        <v>4579</v>
      </c>
      <c r="E380" s="30" t="s">
        <v>4580</v>
      </c>
      <c r="F380" s="30" t="s">
        <v>4580</v>
      </c>
      <c r="G380" s="29" t="s">
        <v>4580</v>
      </c>
      <c r="H380" s="29" t="str">
        <f>VLOOKUP(G380,'languoid 4.0'!$A$1:$I$24439,2,FALSE)</f>
        <v>aust1307</v>
      </c>
      <c r="I380" s="29" t="str">
        <f>VLOOKUP(G380,'languoid 4.0'!$A$1:$I$24439,6,FALSE)</f>
        <v>language</v>
      </c>
      <c r="J380" s="30" t="s">
        <v>38</v>
      </c>
      <c r="K380" s="30" t="s">
        <v>38</v>
      </c>
      <c r="L380" s="30" t="s">
        <v>38</v>
      </c>
      <c r="M380" s="29"/>
      <c r="N380" s="29" t="s">
        <v>4581</v>
      </c>
      <c r="O380" s="30" t="s">
        <v>40</v>
      </c>
      <c r="P380" s="30" t="s">
        <v>41</v>
      </c>
      <c r="Q380" s="29" t="s">
        <v>4598</v>
      </c>
      <c r="R380" s="31" t="s">
        <v>4599</v>
      </c>
      <c r="S380" s="29" t="s">
        <v>2589</v>
      </c>
      <c r="T380" s="29" t="s">
        <v>693</v>
      </c>
      <c r="U380" s="29" t="s">
        <v>636</v>
      </c>
      <c r="V380" s="29" t="s">
        <v>45</v>
      </c>
      <c r="W380" s="29"/>
      <c r="X380" s="29"/>
      <c r="Y380" s="29"/>
      <c r="Z380" s="29" t="s">
        <v>637</v>
      </c>
      <c r="AA380" s="29" t="s">
        <v>4600</v>
      </c>
      <c r="AB380" s="29" t="s">
        <v>4601</v>
      </c>
      <c r="AC380" s="29" t="s">
        <v>4602</v>
      </c>
      <c r="AD380" s="29"/>
      <c r="AE380" s="29" t="s">
        <v>641</v>
      </c>
      <c r="AF380" s="29" t="s">
        <v>190</v>
      </c>
      <c r="AG380" s="29">
        <v>5</v>
      </c>
      <c r="AH380" s="29" t="s">
        <v>190</v>
      </c>
      <c r="AI380" s="29"/>
      <c r="AJ380" s="32">
        <v>43318.599351851852</v>
      </c>
      <c r="AK380" s="29" t="s">
        <v>4274</v>
      </c>
    </row>
    <row r="381" spans="1:37" s="33" customFormat="1">
      <c r="A381" s="29" t="str">
        <f>VLOOKUP(H381,Languages!$A$2:$B$430,2,FALSE)</f>
        <v>Austronesian</v>
      </c>
      <c r="B381" s="29" t="s">
        <v>67</v>
      </c>
      <c r="C381" s="29" t="s">
        <v>82</v>
      </c>
      <c r="D381" s="29" t="s">
        <v>4466</v>
      </c>
      <c r="E381" s="30" t="s">
        <v>4467</v>
      </c>
      <c r="F381" s="30" t="s">
        <v>4467</v>
      </c>
      <c r="G381" s="29" t="s">
        <v>4467</v>
      </c>
      <c r="H381" s="29" t="str">
        <f>VLOOKUP(G381,'languoid 4.0'!$A$1:$I$24439,2,FALSE)</f>
        <v>aust1307</v>
      </c>
      <c r="I381" s="29" t="str">
        <f>VLOOKUP(G381,'languoid 4.0'!$A$1:$I$24439,6,FALSE)</f>
        <v>language</v>
      </c>
      <c r="J381" s="30" t="s">
        <v>38</v>
      </c>
      <c r="K381" s="30" t="s">
        <v>38</v>
      </c>
      <c r="L381" s="30" t="s">
        <v>38</v>
      </c>
      <c r="M381" s="29"/>
      <c r="N381" s="29" t="s">
        <v>4468</v>
      </c>
      <c r="O381" s="30" t="s">
        <v>40</v>
      </c>
      <c r="P381" s="30" t="s">
        <v>41</v>
      </c>
      <c r="Q381" s="29" t="s">
        <v>9590</v>
      </c>
      <c r="R381" s="31" t="s">
        <v>9591</v>
      </c>
      <c r="S381" s="29" t="s">
        <v>265</v>
      </c>
      <c r="T381" s="29" t="s">
        <v>8277</v>
      </c>
      <c r="U381" s="29" t="s">
        <v>636</v>
      </c>
      <c r="V381" s="29" t="s">
        <v>45</v>
      </c>
      <c r="W381" s="29"/>
      <c r="X381" s="29"/>
      <c r="Y381" s="29"/>
      <c r="Z381" s="29" t="s">
        <v>637</v>
      </c>
      <c r="AA381" s="29" t="s">
        <v>9592</v>
      </c>
      <c r="AB381" s="29" t="s">
        <v>9593</v>
      </c>
      <c r="AC381" s="29" t="s">
        <v>46</v>
      </c>
      <c r="AD381" s="29"/>
      <c r="AE381" s="29" t="s">
        <v>641</v>
      </c>
      <c r="AF381" s="29" t="s">
        <v>190</v>
      </c>
      <c r="AG381" s="29">
        <v>6</v>
      </c>
      <c r="AH381" s="29" t="s">
        <v>190</v>
      </c>
      <c r="AI381" s="29" t="s">
        <v>9594</v>
      </c>
      <c r="AJ381" s="32">
        <v>43414.503194444442</v>
      </c>
      <c r="AK381" s="29" t="s">
        <v>9595</v>
      </c>
    </row>
    <row r="382" spans="1:37" s="33" customFormat="1">
      <c r="A382" s="29" t="str">
        <f>VLOOKUP(H382,Languages!$A$2:$B$430,2,FALSE)</f>
        <v>Austronesian</v>
      </c>
      <c r="B382" s="29" t="s">
        <v>67</v>
      </c>
      <c r="C382" s="29" t="s">
        <v>82</v>
      </c>
      <c r="D382" s="29" t="s">
        <v>9613</v>
      </c>
      <c r="E382" s="30" t="s">
        <v>9614</v>
      </c>
      <c r="F382" s="30" t="s">
        <v>9614</v>
      </c>
      <c r="G382" s="29" t="s">
        <v>9614</v>
      </c>
      <c r="H382" s="29" t="str">
        <f>VLOOKUP(G382,'languoid 4.0'!$A$1:$I$24439,2,FALSE)</f>
        <v>aust1307</v>
      </c>
      <c r="I382" s="29" t="str">
        <f>VLOOKUP(G382,'languoid 4.0'!$A$1:$I$24439,6,FALSE)</f>
        <v>language</v>
      </c>
      <c r="J382" s="30" t="s">
        <v>38</v>
      </c>
      <c r="K382" s="30" t="s">
        <v>38</v>
      </c>
      <c r="L382" s="30" t="s">
        <v>38</v>
      </c>
      <c r="M382" s="29"/>
      <c r="N382" s="29" t="s">
        <v>9615</v>
      </c>
      <c r="O382" s="30" t="s">
        <v>40</v>
      </c>
      <c r="P382" s="30" t="s">
        <v>41</v>
      </c>
      <c r="Q382" s="29" t="s">
        <v>4940</v>
      </c>
      <c r="R382" s="31" t="s">
        <v>9610</v>
      </c>
      <c r="S382" s="29" t="s">
        <v>130</v>
      </c>
      <c r="T382" s="29" t="s">
        <v>8277</v>
      </c>
      <c r="U382" s="29" t="s">
        <v>636</v>
      </c>
      <c r="V382" s="29" t="s">
        <v>45</v>
      </c>
      <c r="W382" s="29"/>
      <c r="X382" s="29"/>
      <c r="Y382" s="29"/>
      <c r="Z382" s="29" t="s">
        <v>637</v>
      </c>
      <c r="AA382" s="29" t="s">
        <v>9619</v>
      </c>
      <c r="AB382" s="29" t="s">
        <v>46</v>
      </c>
      <c r="AC382" s="29" t="s">
        <v>46</v>
      </c>
      <c r="AD382" s="29"/>
      <c r="AE382" s="29" t="s">
        <v>641</v>
      </c>
      <c r="AF382" s="29" t="s">
        <v>45</v>
      </c>
      <c r="AG382" s="29">
        <v>1</v>
      </c>
      <c r="AH382" s="29" t="s">
        <v>190</v>
      </c>
      <c r="AI382" s="29"/>
      <c r="AJ382" s="32">
        <v>43414.682615740741</v>
      </c>
      <c r="AK382" s="29" t="s">
        <v>9595</v>
      </c>
    </row>
    <row r="383" spans="1:37" s="33" customFormat="1">
      <c r="A383" s="29" t="str">
        <f>VLOOKUP(H383,Languages!$A$2:$B$430,2,FALSE)</f>
        <v>Austronesian</v>
      </c>
      <c r="B383" s="29" t="s">
        <v>67</v>
      </c>
      <c r="C383" s="29" t="s">
        <v>75</v>
      </c>
      <c r="D383" s="29" t="s">
        <v>383</v>
      </c>
      <c r="E383" s="30" t="s">
        <v>384</v>
      </c>
      <c r="F383" s="30" t="s">
        <v>367</v>
      </c>
      <c r="G383" s="29" t="s">
        <v>384</v>
      </c>
      <c r="H383" s="29" t="str">
        <f>VLOOKUP(G383,'languoid 4.0'!$A$1:$I$24439,2,FALSE)</f>
        <v>aust1307</v>
      </c>
      <c r="I383" s="29" t="str">
        <f>VLOOKUP(G383,'languoid 4.0'!$A$1:$I$24439,6,FALSE)</f>
        <v>family</v>
      </c>
      <c r="J383" s="30" t="s">
        <v>52</v>
      </c>
      <c r="K383" s="30" t="s">
        <v>368</v>
      </c>
      <c r="L383" s="30" t="s">
        <v>38</v>
      </c>
      <c r="M383" s="29"/>
      <c r="N383" s="29"/>
      <c r="O383" s="30" t="s">
        <v>113</v>
      </c>
      <c r="P383" s="30" t="s">
        <v>41</v>
      </c>
      <c r="Q383" s="29" t="s">
        <v>568</v>
      </c>
      <c r="R383" s="31" t="s">
        <v>386</v>
      </c>
      <c r="S383" s="29" t="s">
        <v>272</v>
      </c>
      <c r="T383" s="29" t="s">
        <v>44</v>
      </c>
      <c r="U383" s="29"/>
      <c r="V383" s="29" t="s">
        <v>45</v>
      </c>
      <c r="W383" s="29"/>
      <c r="X383" s="29"/>
      <c r="Y383" s="29"/>
      <c r="Z383" s="29"/>
      <c r="AA383" s="29">
        <v>22</v>
      </c>
      <c r="AB383" s="29">
        <v>22</v>
      </c>
      <c r="AC383" s="29" t="s">
        <v>46</v>
      </c>
      <c r="AD383" s="29"/>
      <c r="AE383" s="29"/>
      <c r="AF383" s="29"/>
      <c r="AG383" s="29"/>
      <c r="AH383" s="29"/>
      <c r="AI383" s="29"/>
      <c r="AJ383" s="32">
        <v>43102.758240740739</v>
      </c>
      <c r="AK383" s="29" t="s">
        <v>172</v>
      </c>
    </row>
    <row r="384" spans="1:37" s="33" customFormat="1">
      <c r="A384" s="29" t="str">
        <f>VLOOKUP(H384,Languages!$A$2:$B$430,2,FALSE)</f>
        <v>Austronesian</v>
      </c>
      <c r="B384" s="29" t="s">
        <v>67</v>
      </c>
      <c r="C384" s="29" t="s">
        <v>75</v>
      </c>
      <c r="D384" s="29" t="s">
        <v>5632</v>
      </c>
      <c r="E384" s="30" t="s">
        <v>5633</v>
      </c>
      <c r="F384" s="30" t="s">
        <v>5633</v>
      </c>
      <c r="G384" s="29" t="s">
        <v>5633</v>
      </c>
      <c r="H384" s="29" t="str">
        <f>VLOOKUP(G384,'languoid 4.0'!$A$1:$I$24439,2,FALSE)</f>
        <v>aust1307</v>
      </c>
      <c r="I384" s="29" t="str">
        <f>VLOOKUP(G384,'languoid 4.0'!$A$1:$I$24439,6,FALSE)</f>
        <v>language</v>
      </c>
      <c r="J384" s="30" t="s">
        <v>38</v>
      </c>
      <c r="K384" s="30" t="s">
        <v>38</v>
      </c>
      <c r="L384" s="30" t="s">
        <v>38</v>
      </c>
      <c r="M384" s="29"/>
      <c r="N384" s="29" t="s">
        <v>5634</v>
      </c>
      <c r="O384" s="30" t="s">
        <v>40</v>
      </c>
      <c r="P384" s="30" t="s">
        <v>41</v>
      </c>
      <c r="Q384" s="29" t="s">
        <v>5635</v>
      </c>
      <c r="R384" s="31" t="s">
        <v>5636</v>
      </c>
      <c r="S384" s="29" t="s">
        <v>46</v>
      </c>
      <c r="T384" s="29" t="s">
        <v>635</v>
      </c>
      <c r="U384" s="29" t="s">
        <v>636</v>
      </c>
      <c r="V384" s="29" t="s">
        <v>45</v>
      </c>
      <c r="W384" s="29"/>
      <c r="X384" s="29"/>
      <c r="Y384" s="29"/>
      <c r="Z384" s="29" t="s">
        <v>658</v>
      </c>
      <c r="AA384" s="29" t="s">
        <v>5637</v>
      </c>
      <c r="AB384" s="29" t="s">
        <v>46</v>
      </c>
      <c r="AC384" s="29" t="s">
        <v>46</v>
      </c>
      <c r="AD384" s="29" t="s">
        <v>5638</v>
      </c>
      <c r="AE384" s="29" t="s">
        <v>641</v>
      </c>
      <c r="AF384" s="29" t="s">
        <v>190</v>
      </c>
      <c r="AG384" s="29">
        <v>6</v>
      </c>
      <c r="AH384" s="29" t="s">
        <v>190</v>
      </c>
      <c r="AI384" s="29"/>
      <c r="AJ384" s="29" t="s">
        <v>5639</v>
      </c>
      <c r="AK384" s="29" t="s">
        <v>5640</v>
      </c>
    </row>
    <row r="385" spans="1:37" s="33" customFormat="1">
      <c r="A385" s="29" t="str">
        <f>VLOOKUP(H385,Languages!$A$2:$B$430,2,FALSE)</f>
        <v>Austronesian</v>
      </c>
      <c r="B385" s="29" t="s">
        <v>67</v>
      </c>
      <c r="C385" s="29" t="s">
        <v>75</v>
      </c>
      <c r="D385" s="29" t="s">
        <v>5655</v>
      </c>
      <c r="E385" s="30" t="s">
        <v>5633</v>
      </c>
      <c r="F385" s="30" t="s">
        <v>5633</v>
      </c>
      <c r="G385" s="29" t="s">
        <v>5633</v>
      </c>
      <c r="H385" s="29" t="str">
        <f>VLOOKUP(G385,'languoid 4.0'!$A$1:$I$24439,2,FALSE)</f>
        <v>aust1307</v>
      </c>
      <c r="I385" s="29" t="str">
        <f>VLOOKUP(G385,'languoid 4.0'!$A$1:$I$24439,6,FALSE)</f>
        <v>language</v>
      </c>
      <c r="J385" s="30" t="s">
        <v>38</v>
      </c>
      <c r="K385" s="30" t="s">
        <v>38</v>
      </c>
      <c r="L385" s="30" t="s">
        <v>38</v>
      </c>
      <c r="M385" s="29"/>
      <c r="N385" s="29" t="s">
        <v>5634</v>
      </c>
      <c r="O385" s="30" t="s">
        <v>40</v>
      </c>
      <c r="P385" s="30" t="s">
        <v>41</v>
      </c>
      <c r="Q385" s="29" t="s">
        <v>5656</v>
      </c>
      <c r="R385" s="31" t="s">
        <v>5657</v>
      </c>
      <c r="S385" s="29" t="s">
        <v>46</v>
      </c>
      <c r="T385" s="29" t="s">
        <v>635</v>
      </c>
      <c r="U385" s="29" t="s">
        <v>636</v>
      </c>
      <c r="V385" s="29" t="s">
        <v>45</v>
      </c>
      <c r="W385" s="29"/>
      <c r="X385" s="29"/>
      <c r="Y385" s="29"/>
      <c r="Z385" s="29" t="s">
        <v>658</v>
      </c>
      <c r="AA385" s="29" t="s">
        <v>5658</v>
      </c>
      <c r="AB385" s="29" t="s">
        <v>46</v>
      </c>
      <c r="AC385" s="29" t="s">
        <v>46</v>
      </c>
      <c r="AD385" s="29" t="s">
        <v>5659</v>
      </c>
      <c r="AE385" s="29" t="s">
        <v>641</v>
      </c>
      <c r="AF385" s="29" t="s">
        <v>190</v>
      </c>
      <c r="AG385" s="29">
        <v>6</v>
      </c>
      <c r="AH385" s="29" t="s">
        <v>190</v>
      </c>
      <c r="AI385" s="29"/>
      <c r="AJ385" s="29" t="s">
        <v>5660</v>
      </c>
      <c r="AK385" s="29" t="s">
        <v>5640</v>
      </c>
    </row>
    <row r="386" spans="1:37" s="33" customFormat="1">
      <c r="A386" s="29" t="str">
        <f>VLOOKUP(H386,Languages!$A$2:$B$430,2,FALSE)</f>
        <v>Austronesian</v>
      </c>
      <c r="B386" s="29" t="s">
        <v>67</v>
      </c>
      <c r="C386" s="29" t="s">
        <v>75</v>
      </c>
      <c r="D386" s="29" t="s">
        <v>6859</v>
      </c>
      <c r="E386" s="30" t="s">
        <v>6860</v>
      </c>
      <c r="F386" s="30" t="s">
        <v>6861</v>
      </c>
      <c r="G386" s="29" t="s">
        <v>6861</v>
      </c>
      <c r="H386" s="29" t="str">
        <f>VLOOKUP(G386,'languoid 4.0'!$A$1:$I$24439,2,FALSE)</f>
        <v>aust1307</v>
      </c>
      <c r="I386" s="29" t="str">
        <f>VLOOKUP(G386,'languoid 4.0'!$A$1:$I$24439,6,FALSE)</f>
        <v>language</v>
      </c>
      <c r="J386" s="30" t="s">
        <v>52</v>
      </c>
      <c r="K386" s="30" t="s">
        <v>52</v>
      </c>
      <c r="L386" s="30" t="s">
        <v>52</v>
      </c>
      <c r="M386" s="29"/>
      <c r="N386" s="29" t="s">
        <v>6862</v>
      </c>
      <c r="O386" s="30" t="s">
        <v>40</v>
      </c>
      <c r="P386" s="30" t="s">
        <v>41</v>
      </c>
      <c r="Q386" s="29" t="s">
        <v>6863</v>
      </c>
      <c r="R386" s="31" t="s">
        <v>6864</v>
      </c>
      <c r="S386" s="29" t="s">
        <v>46</v>
      </c>
      <c r="T386" s="29" t="s">
        <v>635</v>
      </c>
      <c r="U386" s="29" t="s">
        <v>636</v>
      </c>
      <c r="V386" s="29" t="s">
        <v>45</v>
      </c>
      <c r="W386" s="29"/>
      <c r="X386" s="29"/>
      <c r="Y386" s="29"/>
      <c r="Z386" s="29" t="s">
        <v>658</v>
      </c>
      <c r="AA386" s="29" t="s">
        <v>6865</v>
      </c>
      <c r="AB386" s="29" t="s">
        <v>46</v>
      </c>
      <c r="AC386" s="29" t="s">
        <v>46</v>
      </c>
      <c r="AD386" s="29" t="s">
        <v>6866</v>
      </c>
      <c r="AE386" s="29" t="s">
        <v>641</v>
      </c>
      <c r="AF386" s="29" t="s">
        <v>190</v>
      </c>
      <c r="AG386" s="29">
        <v>6</v>
      </c>
      <c r="AH386" s="29" t="s">
        <v>190</v>
      </c>
      <c r="AI386" s="29"/>
      <c r="AJ386" s="29" t="s">
        <v>6867</v>
      </c>
      <c r="AK386" s="29" t="s">
        <v>5640</v>
      </c>
    </row>
    <row r="387" spans="1:37" s="33" customFormat="1">
      <c r="A387" s="29" t="str">
        <f>VLOOKUP(H387,Languages!$A$2:$B$430,2,FALSE)</f>
        <v>Austronesian</v>
      </c>
      <c r="B387" s="29" t="s">
        <v>67</v>
      </c>
      <c r="C387" s="29" t="s">
        <v>75</v>
      </c>
      <c r="D387" s="29" t="s">
        <v>7267</v>
      </c>
      <c r="E387" s="30" t="s">
        <v>7268</v>
      </c>
      <c r="F387" s="30" t="s">
        <v>7268</v>
      </c>
      <c r="G387" s="29" t="s">
        <v>7268</v>
      </c>
      <c r="H387" s="29" t="str">
        <f>VLOOKUP(G387,'languoid 4.0'!$A$1:$I$24439,2,FALSE)</f>
        <v>aust1307</v>
      </c>
      <c r="I387" s="29" t="str">
        <f>VLOOKUP(G387,'languoid 4.0'!$A$1:$I$24439,6,FALSE)</f>
        <v>language</v>
      </c>
      <c r="J387" s="30" t="s">
        <v>38</v>
      </c>
      <c r="K387" s="30" t="s">
        <v>38</v>
      </c>
      <c r="L387" s="30" t="s">
        <v>38</v>
      </c>
      <c r="M387" s="29"/>
      <c r="N387" s="29" t="s">
        <v>7269</v>
      </c>
      <c r="O387" s="30" t="s">
        <v>40</v>
      </c>
      <c r="P387" s="30" t="s">
        <v>41</v>
      </c>
      <c r="Q387" s="29" t="s">
        <v>7270</v>
      </c>
      <c r="R387" s="31" t="s">
        <v>7271</v>
      </c>
      <c r="S387" s="29" t="s">
        <v>46</v>
      </c>
      <c r="T387" s="29" t="s">
        <v>635</v>
      </c>
      <c r="U387" s="29" t="s">
        <v>636</v>
      </c>
      <c r="V387" s="29" t="s">
        <v>45</v>
      </c>
      <c r="W387" s="29"/>
      <c r="X387" s="29"/>
      <c r="Y387" s="29"/>
      <c r="Z387" s="29" t="s">
        <v>658</v>
      </c>
      <c r="AA387" s="29" t="s">
        <v>7272</v>
      </c>
      <c r="AB387" s="29" t="s">
        <v>46</v>
      </c>
      <c r="AC387" s="29" t="s">
        <v>46</v>
      </c>
      <c r="AD387" s="29" t="s">
        <v>7273</v>
      </c>
      <c r="AE387" s="29" t="s">
        <v>641</v>
      </c>
      <c r="AF387" s="29" t="s">
        <v>190</v>
      </c>
      <c r="AG387" s="29">
        <v>6</v>
      </c>
      <c r="AH387" s="29" t="s">
        <v>190</v>
      </c>
      <c r="AI387" s="29"/>
      <c r="AJ387" s="32">
        <v>43351.609479166669</v>
      </c>
      <c r="AK387" s="29" t="s">
        <v>5640</v>
      </c>
    </row>
    <row r="388" spans="1:37" s="33" customFormat="1">
      <c r="A388" s="29" t="str">
        <f>VLOOKUP(H388,Languages!$A$2:$B$430,2,FALSE)</f>
        <v>Austronesian</v>
      </c>
      <c r="B388" s="29" t="s">
        <v>67</v>
      </c>
      <c r="C388" s="29" t="s">
        <v>75</v>
      </c>
      <c r="D388" s="29" t="s">
        <v>7407</v>
      </c>
      <c r="E388" s="30" t="s">
        <v>6860</v>
      </c>
      <c r="F388" s="30" t="s">
        <v>6861</v>
      </c>
      <c r="G388" s="29" t="s">
        <v>6861</v>
      </c>
      <c r="H388" s="29" t="str">
        <f>VLOOKUP(G388,'languoid 4.0'!$A$1:$I$24439,2,FALSE)</f>
        <v>aust1307</v>
      </c>
      <c r="I388" s="29" t="str">
        <f>VLOOKUP(G388,'languoid 4.0'!$A$1:$I$24439,6,FALSE)</f>
        <v>language</v>
      </c>
      <c r="J388" s="30" t="s">
        <v>52</v>
      </c>
      <c r="K388" s="30" t="s">
        <v>52</v>
      </c>
      <c r="L388" s="30" t="s">
        <v>52</v>
      </c>
      <c r="M388" s="29"/>
      <c r="N388" s="29" t="s">
        <v>6862</v>
      </c>
      <c r="O388" s="30" t="s">
        <v>40</v>
      </c>
      <c r="P388" s="30" t="s">
        <v>41</v>
      </c>
      <c r="Q388" s="29" t="s">
        <v>6863</v>
      </c>
      <c r="R388" s="31" t="s">
        <v>7408</v>
      </c>
      <c r="S388" s="29" t="s">
        <v>46</v>
      </c>
      <c r="T388" s="29" t="s">
        <v>635</v>
      </c>
      <c r="U388" s="29" t="s">
        <v>636</v>
      </c>
      <c r="V388" s="29" t="s">
        <v>45</v>
      </c>
      <c r="W388" s="29"/>
      <c r="X388" s="29"/>
      <c r="Y388" s="29"/>
      <c r="Z388" s="29" t="s">
        <v>658</v>
      </c>
      <c r="AA388" s="29" t="s">
        <v>6865</v>
      </c>
      <c r="AB388" s="29" t="s">
        <v>46</v>
      </c>
      <c r="AC388" s="29" t="s">
        <v>46</v>
      </c>
      <c r="AD388" s="29" t="s">
        <v>6866</v>
      </c>
      <c r="AE388" s="29" t="s">
        <v>641</v>
      </c>
      <c r="AF388" s="29" t="s">
        <v>190</v>
      </c>
      <c r="AG388" s="29">
        <v>6</v>
      </c>
      <c r="AH388" s="29" t="s">
        <v>190</v>
      </c>
      <c r="AI388" s="29"/>
      <c r="AJ388" s="29" t="s">
        <v>7409</v>
      </c>
      <c r="AK388" s="29" t="s">
        <v>5640</v>
      </c>
    </row>
    <row r="389" spans="1:37" s="33" customFormat="1">
      <c r="A389" s="29" t="str">
        <f>VLOOKUP(H389,Languages!$A$2:$B$430,2,FALSE)</f>
        <v>Austronesian</v>
      </c>
      <c r="B389" s="29" t="s">
        <v>67</v>
      </c>
      <c r="C389" s="29" t="s">
        <v>75</v>
      </c>
      <c r="D389" s="29" t="s">
        <v>7267</v>
      </c>
      <c r="E389" s="30" t="s">
        <v>7268</v>
      </c>
      <c r="F389" s="30" t="s">
        <v>7268</v>
      </c>
      <c r="G389" s="29" t="s">
        <v>7268</v>
      </c>
      <c r="H389" s="29" t="str">
        <f>VLOOKUP(G389,'languoid 4.0'!$A$1:$I$24439,2,FALSE)</f>
        <v>aust1307</v>
      </c>
      <c r="I389" s="29" t="str">
        <f>VLOOKUP(G389,'languoid 4.0'!$A$1:$I$24439,6,FALSE)</f>
        <v>language</v>
      </c>
      <c r="J389" s="30" t="s">
        <v>38</v>
      </c>
      <c r="K389" s="30" t="s">
        <v>38</v>
      </c>
      <c r="L389" s="30" t="s">
        <v>38</v>
      </c>
      <c r="M389" s="29"/>
      <c r="N389" s="29" t="s">
        <v>7269</v>
      </c>
      <c r="O389" s="30" t="s">
        <v>40</v>
      </c>
      <c r="P389" s="30" t="s">
        <v>41</v>
      </c>
      <c r="Q389" s="29" t="s">
        <v>7270</v>
      </c>
      <c r="R389" s="31" t="s">
        <v>7271</v>
      </c>
      <c r="S389" s="29" t="s">
        <v>46</v>
      </c>
      <c r="T389" s="29" t="s">
        <v>635</v>
      </c>
      <c r="U389" s="29" t="s">
        <v>636</v>
      </c>
      <c r="V389" s="29" t="s">
        <v>45</v>
      </c>
      <c r="W389" s="29"/>
      <c r="X389" s="29"/>
      <c r="Y389" s="29"/>
      <c r="Z389" s="29" t="s">
        <v>658</v>
      </c>
      <c r="AA389" s="29" t="s">
        <v>7418</v>
      </c>
      <c r="AB389" s="29" t="s">
        <v>46</v>
      </c>
      <c r="AC389" s="29" t="s">
        <v>46</v>
      </c>
      <c r="AD389" s="29" t="s">
        <v>7419</v>
      </c>
      <c r="AE389" s="29" t="s">
        <v>641</v>
      </c>
      <c r="AF389" s="29" t="s">
        <v>190</v>
      </c>
      <c r="AG389" s="29">
        <v>6</v>
      </c>
      <c r="AH389" s="29" t="s">
        <v>190</v>
      </c>
      <c r="AI389" s="29"/>
      <c r="AJ389" s="29" t="s">
        <v>7420</v>
      </c>
      <c r="AK389" s="29" t="s">
        <v>5640</v>
      </c>
    </row>
    <row r="390" spans="1:37" s="33" customFormat="1">
      <c r="A390" s="29" t="str">
        <f>VLOOKUP(H390,Languages!$A$2:$B$430,2,FALSE)</f>
        <v>Austronesian</v>
      </c>
      <c r="B390" s="29" t="s">
        <v>67</v>
      </c>
      <c r="C390" s="29" t="s">
        <v>75</v>
      </c>
      <c r="D390" s="29" t="s">
        <v>7805</v>
      </c>
      <c r="E390" s="30" t="s">
        <v>7806</v>
      </c>
      <c r="F390" s="30" t="s">
        <v>7798</v>
      </c>
      <c r="G390" s="29" t="s">
        <v>7798</v>
      </c>
      <c r="H390" s="29" t="str">
        <f>VLOOKUP(G390,'languoid 4.0'!$A$1:$I$24439,2,FALSE)</f>
        <v>aust1307</v>
      </c>
      <c r="I390" s="29" t="str">
        <f>VLOOKUP(G390,'languoid 4.0'!$A$1:$I$24439,6,FALSE)</f>
        <v>family</v>
      </c>
      <c r="J390" s="30" t="s">
        <v>52</v>
      </c>
      <c r="K390" s="30" t="s">
        <v>38</v>
      </c>
      <c r="L390" s="30" t="s">
        <v>38</v>
      </c>
      <c r="M390" s="29"/>
      <c r="N390" s="29" t="s">
        <v>7807</v>
      </c>
      <c r="O390" s="30" t="s">
        <v>40</v>
      </c>
      <c r="P390" s="30" t="s">
        <v>41</v>
      </c>
      <c r="Q390" s="29" t="s">
        <v>7808</v>
      </c>
      <c r="R390" s="31" t="s">
        <v>7809</v>
      </c>
      <c r="S390" s="29" t="s">
        <v>46</v>
      </c>
      <c r="T390" s="29" t="s">
        <v>635</v>
      </c>
      <c r="U390" s="29" t="s">
        <v>636</v>
      </c>
      <c r="V390" s="29" t="s">
        <v>45</v>
      </c>
      <c r="W390" s="29"/>
      <c r="X390" s="29"/>
      <c r="Y390" s="29"/>
      <c r="Z390" s="29" t="s">
        <v>658</v>
      </c>
      <c r="AA390" s="29" t="s">
        <v>7810</v>
      </c>
      <c r="AB390" s="29" t="s">
        <v>46</v>
      </c>
      <c r="AC390" s="29" t="s">
        <v>46</v>
      </c>
      <c r="AD390" s="29" t="s">
        <v>7811</v>
      </c>
      <c r="AE390" s="29" t="s">
        <v>641</v>
      </c>
      <c r="AF390" s="29" t="s">
        <v>190</v>
      </c>
      <c r="AG390" s="29">
        <v>6</v>
      </c>
      <c r="AH390" s="29" t="s">
        <v>190</v>
      </c>
      <c r="AI390" s="29"/>
      <c r="AJ390" s="29" t="s">
        <v>7812</v>
      </c>
      <c r="AK390" s="29" t="s">
        <v>5640</v>
      </c>
    </row>
    <row r="391" spans="1:37" s="33" customFormat="1">
      <c r="A391" s="29" t="str">
        <f>VLOOKUP(H391,Languages!$A$2:$B$430,2,FALSE)</f>
        <v>Austronesian</v>
      </c>
      <c r="B391" s="29" t="s">
        <v>67</v>
      </c>
      <c r="C391" s="29" t="s">
        <v>66</v>
      </c>
      <c r="D391" s="29" t="s">
        <v>68</v>
      </c>
      <c r="E391" s="30" t="s">
        <v>69</v>
      </c>
      <c r="F391" s="30" t="s">
        <v>69</v>
      </c>
      <c r="G391" s="29" t="s">
        <v>69</v>
      </c>
      <c r="H391" s="29" t="str">
        <f>VLOOKUP(G391,'languoid 4.0'!$A$1:$I$24439,2,FALSE)</f>
        <v>aust1307</v>
      </c>
      <c r="I391" s="29" t="str">
        <f>VLOOKUP(G391,'languoid 4.0'!$A$1:$I$24439,6,FALSE)</f>
        <v>language</v>
      </c>
      <c r="J391" s="30" t="s">
        <v>38</v>
      </c>
      <c r="K391" s="30" t="s">
        <v>38</v>
      </c>
      <c r="L391" s="30" t="s">
        <v>38</v>
      </c>
      <c r="M391" s="29"/>
      <c r="N391" s="29" t="s">
        <v>70</v>
      </c>
      <c r="O391" s="30" t="s">
        <v>40</v>
      </c>
      <c r="P391" s="30" t="s">
        <v>41</v>
      </c>
      <c r="Q391" s="29" t="s">
        <v>71</v>
      </c>
      <c r="R391" s="31" t="s">
        <v>72</v>
      </c>
      <c r="S391" s="29" t="s">
        <v>73</v>
      </c>
      <c r="T391" s="29" t="s">
        <v>44</v>
      </c>
      <c r="U391" s="29"/>
      <c r="V391" s="29" t="s">
        <v>45</v>
      </c>
      <c r="W391" s="29"/>
      <c r="X391" s="29"/>
      <c r="Y391" s="29"/>
      <c r="Z391" s="29"/>
      <c r="AA391" s="29">
        <v>13</v>
      </c>
      <c r="AB391" s="29">
        <v>13</v>
      </c>
      <c r="AC391" s="29" t="s">
        <v>46</v>
      </c>
      <c r="AD391" s="29"/>
      <c r="AE391" s="29"/>
      <c r="AF391" s="29"/>
      <c r="AG391" s="29"/>
      <c r="AH391" s="29"/>
      <c r="AI391" s="29"/>
      <c r="AJ391" s="32">
        <v>43102.722384259258</v>
      </c>
      <c r="AK391" s="29" t="s">
        <v>74</v>
      </c>
    </row>
    <row r="392" spans="1:37" s="33" customFormat="1">
      <c r="A392" s="29" t="str">
        <f>VLOOKUP(H392,Languages!$A$2:$B$430,2,FALSE)</f>
        <v>Austronesian</v>
      </c>
      <c r="B392" s="29" t="s">
        <v>67</v>
      </c>
      <c r="C392" s="29" t="s">
        <v>66</v>
      </c>
      <c r="D392" s="29" t="s">
        <v>9566</v>
      </c>
      <c r="E392" s="30" t="s">
        <v>9567</v>
      </c>
      <c r="F392" s="30" t="s">
        <v>9567</v>
      </c>
      <c r="G392" s="29" t="s">
        <v>9567</v>
      </c>
      <c r="H392" s="29" t="str">
        <f>VLOOKUP(G392,'languoid 4.0'!$A$1:$I$24439,2,FALSE)</f>
        <v>aust1307</v>
      </c>
      <c r="I392" s="29" t="str">
        <f>VLOOKUP(G392,'languoid 4.0'!$A$1:$I$24439,6,FALSE)</f>
        <v>language</v>
      </c>
      <c r="J392" s="30" t="s">
        <v>38</v>
      </c>
      <c r="K392" s="30" t="s">
        <v>38</v>
      </c>
      <c r="L392" s="30" t="s">
        <v>38</v>
      </c>
      <c r="M392" s="29"/>
      <c r="N392" s="29" t="s">
        <v>9568</v>
      </c>
      <c r="O392" s="30" t="s">
        <v>40</v>
      </c>
      <c r="P392" s="30" t="s">
        <v>41</v>
      </c>
      <c r="Q392" s="29" t="s">
        <v>10792</v>
      </c>
      <c r="R392" s="31" t="s">
        <v>10793</v>
      </c>
      <c r="S392" s="29" t="s">
        <v>46</v>
      </c>
      <c r="T392" s="29" t="s">
        <v>635</v>
      </c>
      <c r="U392" s="29" t="s">
        <v>636</v>
      </c>
      <c r="V392" s="29" t="s">
        <v>45</v>
      </c>
      <c r="W392" s="29"/>
      <c r="X392" s="29"/>
      <c r="Y392" s="29"/>
      <c r="Z392" s="29" t="s">
        <v>637</v>
      </c>
      <c r="AA392" s="29" t="s">
        <v>10794</v>
      </c>
      <c r="AB392" s="29" t="s">
        <v>10795</v>
      </c>
      <c r="AC392" s="29" t="s">
        <v>46</v>
      </c>
      <c r="AD392" s="29"/>
      <c r="AE392" s="29" t="s">
        <v>641</v>
      </c>
      <c r="AF392" s="29" t="s">
        <v>190</v>
      </c>
      <c r="AG392" s="29">
        <v>6</v>
      </c>
      <c r="AH392" s="29" t="s">
        <v>190</v>
      </c>
      <c r="AI392" s="29"/>
      <c r="AJ392" s="32">
        <v>43324.708078703705</v>
      </c>
      <c r="AK392" s="29" t="s">
        <v>10783</v>
      </c>
    </row>
    <row r="393" spans="1:37" s="33" customFormat="1">
      <c r="A393" s="29" t="str">
        <f>VLOOKUP(H393,Languages!$A$2:$B$430,2,FALSE)</f>
        <v>Austronesian</v>
      </c>
      <c r="B393" s="29" t="s">
        <v>67</v>
      </c>
      <c r="C393" s="29" t="s">
        <v>66</v>
      </c>
      <c r="D393" s="29" t="s">
        <v>9566</v>
      </c>
      <c r="E393" s="30" t="s">
        <v>9567</v>
      </c>
      <c r="F393" s="30" t="s">
        <v>9567</v>
      </c>
      <c r="G393" s="29" t="s">
        <v>9567</v>
      </c>
      <c r="H393" s="29" t="str">
        <f>VLOOKUP(G393,'languoid 4.0'!$A$1:$I$24439,2,FALSE)</f>
        <v>aust1307</v>
      </c>
      <c r="I393" s="29" t="str">
        <f>VLOOKUP(G393,'languoid 4.0'!$A$1:$I$24439,6,FALSE)</f>
        <v>language</v>
      </c>
      <c r="J393" s="30" t="s">
        <v>38</v>
      </c>
      <c r="K393" s="30" t="s">
        <v>38</v>
      </c>
      <c r="L393" s="30" t="s">
        <v>38</v>
      </c>
      <c r="M393" s="29"/>
      <c r="N393" s="29" t="s">
        <v>9568</v>
      </c>
      <c r="O393" s="30" t="s">
        <v>40</v>
      </c>
      <c r="P393" s="30" t="s">
        <v>41</v>
      </c>
      <c r="Q393" s="29" t="s">
        <v>10796</v>
      </c>
      <c r="R393" s="31" t="s">
        <v>10797</v>
      </c>
      <c r="S393" s="29" t="s">
        <v>46</v>
      </c>
      <c r="T393" s="29" t="s">
        <v>635</v>
      </c>
      <c r="U393" s="29" t="s">
        <v>636</v>
      </c>
      <c r="V393" s="29" t="s">
        <v>45</v>
      </c>
      <c r="W393" s="29"/>
      <c r="X393" s="29"/>
      <c r="Y393" s="29"/>
      <c r="Z393" s="29" t="s">
        <v>637</v>
      </c>
      <c r="AA393" s="29" t="s">
        <v>10798</v>
      </c>
      <c r="AB393" s="29" t="s">
        <v>10799</v>
      </c>
      <c r="AC393" s="29" t="s">
        <v>46</v>
      </c>
      <c r="AD393" s="29"/>
      <c r="AE393" s="29" t="s">
        <v>641</v>
      </c>
      <c r="AF393" s="29" t="s">
        <v>190</v>
      </c>
      <c r="AG393" s="29">
        <v>6</v>
      </c>
      <c r="AH393" s="29" t="s">
        <v>190</v>
      </c>
      <c r="AI393" s="29"/>
      <c r="AJ393" s="32">
        <v>43324.71466435185</v>
      </c>
      <c r="AK393" s="29" t="s">
        <v>10783</v>
      </c>
    </row>
    <row r="394" spans="1:37" s="33" customFormat="1">
      <c r="A394" s="29" t="str">
        <f>VLOOKUP(H394,Languages!$A$2:$B$430,2,FALSE)</f>
        <v>Austronesian</v>
      </c>
      <c r="B394" s="29" t="s">
        <v>67</v>
      </c>
      <c r="C394" s="29" t="s">
        <v>66</v>
      </c>
      <c r="D394" s="29" t="s">
        <v>9566</v>
      </c>
      <c r="E394" s="30" t="s">
        <v>9567</v>
      </c>
      <c r="F394" s="30" t="s">
        <v>9567</v>
      </c>
      <c r="G394" s="29" t="s">
        <v>9567</v>
      </c>
      <c r="H394" s="29" t="str">
        <f>VLOOKUP(G394,'languoid 4.0'!$A$1:$I$24439,2,FALSE)</f>
        <v>aust1307</v>
      </c>
      <c r="I394" s="29" t="str">
        <f>VLOOKUP(G394,'languoid 4.0'!$A$1:$I$24439,6,FALSE)</f>
        <v>language</v>
      </c>
      <c r="J394" s="30" t="s">
        <v>38</v>
      </c>
      <c r="K394" s="30" t="s">
        <v>38</v>
      </c>
      <c r="L394" s="30" t="s">
        <v>38</v>
      </c>
      <c r="M394" s="29"/>
      <c r="N394" s="29" t="s">
        <v>9568</v>
      </c>
      <c r="O394" s="30" t="s">
        <v>40</v>
      </c>
      <c r="P394" s="30" t="s">
        <v>41</v>
      </c>
      <c r="Q394" s="29" t="s">
        <v>10800</v>
      </c>
      <c r="R394" s="31" t="s">
        <v>10801</v>
      </c>
      <c r="S394" s="29" t="s">
        <v>46</v>
      </c>
      <c r="T394" s="29" t="s">
        <v>635</v>
      </c>
      <c r="U394" s="29" t="s">
        <v>636</v>
      </c>
      <c r="V394" s="29" t="s">
        <v>45</v>
      </c>
      <c r="W394" s="29"/>
      <c r="X394" s="29"/>
      <c r="Y394" s="29"/>
      <c r="Z394" s="29" t="s">
        <v>637</v>
      </c>
      <c r="AA394" s="29" t="s">
        <v>10802</v>
      </c>
      <c r="AB394" s="29" t="s">
        <v>10803</v>
      </c>
      <c r="AC394" s="29" t="s">
        <v>46</v>
      </c>
      <c r="AD394" s="29"/>
      <c r="AE394" s="29" t="s">
        <v>641</v>
      </c>
      <c r="AF394" s="29" t="s">
        <v>190</v>
      </c>
      <c r="AG394" s="29">
        <v>6</v>
      </c>
      <c r="AH394" s="29" t="s">
        <v>190</v>
      </c>
      <c r="AI394" s="29"/>
      <c r="AJ394" s="32">
        <v>43324.716527777775</v>
      </c>
      <c r="AK394" s="29" t="s">
        <v>10783</v>
      </c>
    </row>
    <row r="395" spans="1:37" s="33" customFormat="1">
      <c r="A395" s="29" t="str">
        <f>VLOOKUP(H395,Languages!$A$2:$B$430,2,FALSE)</f>
        <v>Austronesian</v>
      </c>
      <c r="B395" s="29" t="s">
        <v>67</v>
      </c>
      <c r="C395" s="29" t="s">
        <v>66</v>
      </c>
      <c r="D395" s="29" t="s">
        <v>10808</v>
      </c>
      <c r="E395" s="30" t="s">
        <v>10809</v>
      </c>
      <c r="F395" s="30" t="s">
        <v>325</v>
      </c>
      <c r="G395" s="29" t="s">
        <v>325</v>
      </c>
      <c r="H395" s="29" t="str">
        <f>VLOOKUP(G395,'languoid 4.0'!$A$1:$I$24439,2,FALSE)</f>
        <v>aust1307</v>
      </c>
      <c r="I395" s="29" t="str">
        <f>VLOOKUP(G395,'languoid 4.0'!$A$1:$I$24439,6,FALSE)</f>
        <v>language</v>
      </c>
      <c r="J395" s="30" t="s">
        <v>52</v>
      </c>
      <c r="K395" s="30" t="s">
        <v>38</v>
      </c>
      <c r="L395" s="30" t="s">
        <v>38</v>
      </c>
      <c r="M395" s="29"/>
      <c r="N395" s="29"/>
      <c r="O395" s="30" t="s">
        <v>40</v>
      </c>
      <c r="P395" s="30" t="s">
        <v>41</v>
      </c>
      <c r="Q395" s="29" t="s">
        <v>10810</v>
      </c>
      <c r="R395" s="31" t="s">
        <v>10811</v>
      </c>
      <c r="S395" s="29" t="s">
        <v>46</v>
      </c>
      <c r="T395" s="29" t="s">
        <v>635</v>
      </c>
      <c r="U395" s="29" t="s">
        <v>636</v>
      </c>
      <c r="V395" s="29" t="s">
        <v>45</v>
      </c>
      <c r="W395" s="29"/>
      <c r="X395" s="29"/>
      <c r="Y395" s="29"/>
      <c r="Z395" s="29" t="s">
        <v>673</v>
      </c>
      <c r="AA395" s="29" t="s">
        <v>10812</v>
      </c>
      <c r="AB395" s="29" t="s">
        <v>10813</v>
      </c>
      <c r="AC395" s="29" t="s">
        <v>46</v>
      </c>
      <c r="AD395" s="29"/>
      <c r="AE395" s="29" t="s">
        <v>641</v>
      </c>
      <c r="AF395" s="29" t="s">
        <v>190</v>
      </c>
      <c r="AG395" s="29">
        <v>6</v>
      </c>
      <c r="AH395" s="29" t="s">
        <v>190</v>
      </c>
      <c r="AI395" s="29" t="s">
        <v>10814</v>
      </c>
      <c r="AJ395" s="32">
        <v>43324.722824074073</v>
      </c>
      <c r="AK395" s="29" t="s">
        <v>10783</v>
      </c>
    </row>
    <row r="396" spans="1:37" s="33" customFormat="1">
      <c r="A396" s="29" t="str">
        <f>VLOOKUP(H396,Languages!$A$2:$B$430,2,FALSE)</f>
        <v>Austronesian</v>
      </c>
      <c r="B396" s="29" t="s">
        <v>67</v>
      </c>
      <c r="C396" s="29" t="s">
        <v>66</v>
      </c>
      <c r="D396" s="29" t="s">
        <v>10824</v>
      </c>
      <c r="E396" s="30" t="s">
        <v>10825</v>
      </c>
      <c r="F396" s="30" t="s">
        <v>10825</v>
      </c>
      <c r="G396" s="29" t="s">
        <v>10825</v>
      </c>
      <c r="H396" s="29" t="str">
        <f>VLOOKUP(G396,'languoid 4.0'!$A$1:$I$24439,2,FALSE)</f>
        <v>aust1307</v>
      </c>
      <c r="I396" s="29" t="str">
        <f>VLOOKUP(G396,'languoid 4.0'!$A$1:$I$24439,6,FALSE)</f>
        <v>language</v>
      </c>
      <c r="J396" s="30" t="s">
        <v>38</v>
      </c>
      <c r="K396" s="30" t="s">
        <v>38</v>
      </c>
      <c r="L396" s="30" t="s">
        <v>38</v>
      </c>
      <c r="M396" s="29"/>
      <c r="N396" s="29" t="s">
        <v>10826</v>
      </c>
      <c r="O396" s="30" t="s">
        <v>40</v>
      </c>
      <c r="P396" s="30" t="s">
        <v>41</v>
      </c>
      <c r="Q396" s="29" t="s">
        <v>10827</v>
      </c>
      <c r="R396" s="31" t="s">
        <v>10828</v>
      </c>
      <c r="S396" s="29" t="s">
        <v>46</v>
      </c>
      <c r="T396" s="29" t="s">
        <v>635</v>
      </c>
      <c r="U396" s="29" t="s">
        <v>636</v>
      </c>
      <c r="V396" s="29" t="s">
        <v>45</v>
      </c>
      <c r="W396" s="29"/>
      <c r="X396" s="29"/>
      <c r="Y396" s="29"/>
      <c r="Z396" s="29" t="s">
        <v>637</v>
      </c>
      <c r="AA396" s="29" t="s">
        <v>10829</v>
      </c>
      <c r="AB396" s="29" t="s">
        <v>10830</v>
      </c>
      <c r="AC396" s="29" t="s">
        <v>46</v>
      </c>
      <c r="AD396" s="29"/>
      <c r="AE396" s="29" t="s">
        <v>641</v>
      </c>
      <c r="AF396" s="29" t="s">
        <v>190</v>
      </c>
      <c r="AG396" s="29">
        <v>6</v>
      </c>
      <c r="AH396" s="29" t="s">
        <v>190</v>
      </c>
      <c r="AI396" s="29"/>
      <c r="AJ396" s="32">
        <v>43355.877766203703</v>
      </c>
      <c r="AK396" s="29" t="s">
        <v>10783</v>
      </c>
    </row>
    <row r="397" spans="1:37" s="33" customFormat="1">
      <c r="A397" s="29" t="str">
        <f>VLOOKUP(H397,Languages!$A$2:$B$430,2,FALSE)</f>
        <v>Austronesian</v>
      </c>
      <c r="B397" s="29" t="s">
        <v>67</v>
      </c>
      <c r="C397" s="29" t="s">
        <v>66</v>
      </c>
      <c r="D397" s="29" t="s">
        <v>10824</v>
      </c>
      <c r="E397" s="30" t="s">
        <v>10825</v>
      </c>
      <c r="F397" s="30" t="s">
        <v>10825</v>
      </c>
      <c r="G397" s="29" t="s">
        <v>10825</v>
      </c>
      <c r="H397" s="29" t="str">
        <f>VLOOKUP(G397,'languoid 4.0'!$A$1:$I$24439,2,FALSE)</f>
        <v>aust1307</v>
      </c>
      <c r="I397" s="29" t="str">
        <f>VLOOKUP(G397,'languoid 4.0'!$A$1:$I$24439,6,FALSE)</f>
        <v>language</v>
      </c>
      <c r="J397" s="30" t="s">
        <v>38</v>
      </c>
      <c r="K397" s="30" t="s">
        <v>38</v>
      </c>
      <c r="L397" s="30" t="s">
        <v>38</v>
      </c>
      <c r="M397" s="29"/>
      <c r="N397" s="29" t="s">
        <v>10826</v>
      </c>
      <c r="O397" s="30" t="s">
        <v>40</v>
      </c>
      <c r="P397" s="30" t="s">
        <v>41</v>
      </c>
      <c r="Q397" s="29" t="s">
        <v>10839</v>
      </c>
      <c r="R397" s="31" t="s">
        <v>10840</v>
      </c>
      <c r="S397" s="29" t="s">
        <v>46</v>
      </c>
      <c r="T397" s="29" t="s">
        <v>635</v>
      </c>
      <c r="U397" s="29" t="s">
        <v>636</v>
      </c>
      <c r="V397" s="29" t="s">
        <v>45</v>
      </c>
      <c r="W397" s="29"/>
      <c r="X397" s="29"/>
      <c r="Y397" s="29"/>
      <c r="Z397" s="29" t="s">
        <v>637</v>
      </c>
      <c r="AA397" s="29" t="s">
        <v>10841</v>
      </c>
      <c r="AB397" s="29" t="s">
        <v>10842</v>
      </c>
      <c r="AC397" s="29" t="s">
        <v>46</v>
      </c>
      <c r="AD397" s="29"/>
      <c r="AE397" s="29" t="s">
        <v>641</v>
      </c>
      <c r="AF397" s="29" t="s">
        <v>190</v>
      </c>
      <c r="AG397" s="29">
        <v>5</v>
      </c>
      <c r="AH397" s="29" t="s">
        <v>190</v>
      </c>
      <c r="AI397" s="29"/>
      <c r="AJ397" s="32">
        <v>43355.886782407404</v>
      </c>
      <c r="AK397" s="29" t="s">
        <v>10783</v>
      </c>
    </row>
    <row r="398" spans="1:37" s="33" customFormat="1">
      <c r="A398" s="29" t="str">
        <f>VLOOKUP(H398,Languages!$A$2:$B$430,2,FALSE)</f>
        <v>Austronesian</v>
      </c>
      <c r="B398" s="29" t="s">
        <v>67</v>
      </c>
      <c r="C398" s="29" t="s">
        <v>66</v>
      </c>
      <c r="D398" s="29" t="s">
        <v>10824</v>
      </c>
      <c r="E398" s="30" t="s">
        <v>10825</v>
      </c>
      <c r="F398" s="30" t="s">
        <v>10825</v>
      </c>
      <c r="G398" s="29" t="s">
        <v>10825</v>
      </c>
      <c r="H398" s="29" t="str">
        <f>VLOOKUP(G398,'languoid 4.0'!$A$1:$I$24439,2,FALSE)</f>
        <v>aust1307</v>
      </c>
      <c r="I398" s="29" t="str">
        <f>VLOOKUP(G398,'languoid 4.0'!$A$1:$I$24439,6,FALSE)</f>
        <v>language</v>
      </c>
      <c r="J398" s="30" t="s">
        <v>38</v>
      </c>
      <c r="K398" s="30" t="s">
        <v>38</v>
      </c>
      <c r="L398" s="30" t="s">
        <v>38</v>
      </c>
      <c r="M398" s="29"/>
      <c r="N398" s="29" t="s">
        <v>10826</v>
      </c>
      <c r="O398" s="30" t="s">
        <v>40</v>
      </c>
      <c r="P398" s="30" t="s">
        <v>41</v>
      </c>
      <c r="Q398" s="29" t="s">
        <v>10843</v>
      </c>
      <c r="R398" s="31" t="s">
        <v>10844</v>
      </c>
      <c r="S398" s="29" t="s">
        <v>46</v>
      </c>
      <c r="T398" s="29" t="s">
        <v>635</v>
      </c>
      <c r="U398" s="29" t="s">
        <v>636</v>
      </c>
      <c r="V398" s="29" t="s">
        <v>45</v>
      </c>
      <c r="W398" s="29"/>
      <c r="X398" s="29"/>
      <c r="Y398" s="29"/>
      <c r="Z398" s="29" t="s">
        <v>637</v>
      </c>
      <c r="AA398" s="29" t="s">
        <v>10845</v>
      </c>
      <c r="AB398" s="29" t="s">
        <v>10846</v>
      </c>
      <c r="AC398" s="29" t="s">
        <v>46</v>
      </c>
      <c r="AD398" s="29"/>
      <c r="AE398" s="29" t="s">
        <v>641</v>
      </c>
      <c r="AF398" s="29" t="s">
        <v>190</v>
      </c>
      <c r="AG398" s="29">
        <v>6</v>
      </c>
      <c r="AH398" s="29" t="s">
        <v>190</v>
      </c>
      <c r="AI398" s="29"/>
      <c r="AJ398" s="32">
        <v>43355.888460648152</v>
      </c>
      <c r="AK398" s="29" t="s">
        <v>10783</v>
      </c>
    </row>
    <row r="399" spans="1:37" s="33" customFormat="1">
      <c r="A399" s="29" t="str">
        <f>VLOOKUP(H399,Languages!$A$2:$B$430,2,FALSE)</f>
        <v>Austronesian</v>
      </c>
      <c r="B399" s="29" t="s">
        <v>67</v>
      </c>
      <c r="C399" s="29" t="s">
        <v>66</v>
      </c>
      <c r="D399" s="29" t="s">
        <v>324</v>
      </c>
      <c r="E399" s="30" t="s">
        <v>325</v>
      </c>
      <c r="F399" s="30" t="s">
        <v>325</v>
      </c>
      <c r="G399" s="29" t="s">
        <v>325</v>
      </c>
      <c r="H399" s="29" t="str">
        <f>VLOOKUP(G399,'languoid 4.0'!$A$1:$I$24439,2,FALSE)</f>
        <v>aust1307</v>
      </c>
      <c r="I399" s="29" t="str">
        <f>VLOOKUP(G399,'languoid 4.0'!$A$1:$I$24439,6,FALSE)</f>
        <v>language</v>
      </c>
      <c r="J399" s="30" t="s">
        <v>38</v>
      </c>
      <c r="K399" s="30" t="s">
        <v>38</v>
      </c>
      <c r="L399" s="30" t="s">
        <v>38</v>
      </c>
      <c r="M399" s="29"/>
      <c r="N399" s="29" t="s">
        <v>326</v>
      </c>
      <c r="O399" s="30" t="s">
        <v>40</v>
      </c>
      <c r="P399" s="30" t="s">
        <v>41</v>
      </c>
      <c r="Q399" s="29" t="s">
        <v>11010</v>
      </c>
      <c r="R399" s="31" t="s">
        <v>11011</v>
      </c>
      <c r="S399" s="29" t="s">
        <v>10958</v>
      </c>
      <c r="T399" s="29" t="s">
        <v>822</v>
      </c>
      <c r="U399" s="29" t="s">
        <v>636</v>
      </c>
      <c r="V399" s="29" t="s">
        <v>45</v>
      </c>
      <c r="W399" s="29"/>
      <c r="X399" s="29"/>
      <c r="Y399" s="29"/>
      <c r="Z399" s="29" t="s">
        <v>637</v>
      </c>
      <c r="AA399" s="29" t="s">
        <v>11012</v>
      </c>
      <c r="AB399" s="29" t="s">
        <v>11013</v>
      </c>
      <c r="AC399" s="29" t="s">
        <v>46</v>
      </c>
      <c r="AD399" s="29"/>
      <c r="AE399" s="29" t="s">
        <v>641</v>
      </c>
      <c r="AF399" s="29" t="s">
        <v>190</v>
      </c>
      <c r="AG399" s="29">
        <v>6</v>
      </c>
      <c r="AH399" s="29" t="s">
        <v>190</v>
      </c>
      <c r="AI399" s="29"/>
      <c r="AJ399" s="29" t="s">
        <v>11014</v>
      </c>
      <c r="AK399" s="29" t="s">
        <v>10783</v>
      </c>
    </row>
    <row r="400" spans="1:37" s="33" customFormat="1">
      <c r="A400" s="29" t="str">
        <f>VLOOKUP(H400,Languages!$A$2:$B$430,2,FALSE)</f>
        <v>Austronesian</v>
      </c>
      <c r="B400" s="29" t="s">
        <v>67</v>
      </c>
      <c r="C400" s="29" t="s">
        <v>66</v>
      </c>
      <c r="D400" s="29" t="s">
        <v>324</v>
      </c>
      <c r="E400" s="30" t="s">
        <v>325</v>
      </c>
      <c r="F400" s="30" t="s">
        <v>325</v>
      </c>
      <c r="G400" s="29" t="s">
        <v>325</v>
      </c>
      <c r="H400" s="29" t="str">
        <f>VLOOKUP(G400,'languoid 4.0'!$A$1:$I$24439,2,FALSE)</f>
        <v>aust1307</v>
      </c>
      <c r="I400" s="29" t="str">
        <f>VLOOKUP(G400,'languoid 4.0'!$A$1:$I$24439,6,FALSE)</f>
        <v>language</v>
      </c>
      <c r="J400" s="30" t="s">
        <v>38</v>
      </c>
      <c r="K400" s="30" t="s">
        <v>38</v>
      </c>
      <c r="L400" s="30" t="s">
        <v>38</v>
      </c>
      <c r="M400" s="29"/>
      <c r="N400" s="29" t="s">
        <v>326</v>
      </c>
      <c r="O400" s="30" t="s">
        <v>40</v>
      </c>
      <c r="P400" s="30" t="s">
        <v>41</v>
      </c>
      <c r="Q400" s="29" t="s">
        <v>11020</v>
      </c>
      <c r="R400" s="31" t="s">
        <v>11021</v>
      </c>
      <c r="S400" s="29" t="s">
        <v>11017</v>
      </c>
      <c r="T400" s="29" t="s">
        <v>822</v>
      </c>
      <c r="U400" s="29" t="s">
        <v>636</v>
      </c>
      <c r="V400" s="29" t="s">
        <v>45</v>
      </c>
      <c r="W400" s="29"/>
      <c r="X400" s="29"/>
      <c r="Y400" s="29"/>
      <c r="Z400" s="29" t="s">
        <v>637</v>
      </c>
      <c r="AA400" s="29" t="s">
        <v>11022</v>
      </c>
      <c r="AB400" s="29" t="s">
        <v>11023</v>
      </c>
      <c r="AC400" s="29" t="s">
        <v>46</v>
      </c>
      <c r="AD400" s="29"/>
      <c r="AE400" s="29" t="s">
        <v>641</v>
      </c>
      <c r="AF400" s="29" t="s">
        <v>190</v>
      </c>
      <c r="AG400" s="29">
        <v>6</v>
      </c>
      <c r="AH400" s="29" t="s">
        <v>190</v>
      </c>
      <c r="AI400" s="29"/>
      <c r="AJ400" s="29" t="s">
        <v>11024</v>
      </c>
      <c r="AK400" s="29" t="s">
        <v>10783</v>
      </c>
    </row>
    <row r="401" spans="1:37" s="33" customFormat="1">
      <c r="A401" s="29" t="str">
        <f>VLOOKUP(H401,Languages!$A$2:$B$430,2,FALSE)</f>
        <v>Austronesian</v>
      </c>
      <c r="B401" s="29" t="s">
        <v>67</v>
      </c>
      <c r="C401" s="29" t="s">
        <v>198</v>
      </c>
      <c r="D401" s="29" t="s">
        <v>199</v>
      </c>
      <c r="E401" s="30" t="s">
        <v>200</v>
      </c>
      <c r="F401" s="30" t="s">
        <v>200</v>
      </c>
      <c r="G401" s="29" t="s">
        <v>200</v>
      </c>
      <c r="H401" s="29" t="str">
        <f>VLOOKUP(G401,'languoid 4.0'!$A$1:$I$24439,2,FALSE)</f>
        <v>aust1307</v>
      </c>
      <c r="I401" s="29" t="str">
        <f>VLOOKUP(G401,'languoid 4.0'!$A$1:$I$24439,6,FALSE)</f>
        <v>language</v>
      </c>
      <c r="J401" s="30" t="s">
        <v>38</v>
      </c>
      <c r="K401" s="30" t="s">
        <v>38</v>
      </c>
      <c r="L401" s="30" t="s">
        <v>38</v>
      </c>
      <c r="M401" s="29"/>
      <c r="N401" s="29" t="s">
        <v>201</v>
      </c>
      <c r="O401" s="30" t="s">
        <v>40</v>
      </c>
      <c r="P401" s="30" t="s">
        <v>41</v>
      </c>
      <c r="Q401" s="29" t="s">
        <v>202</v>
      </c>
      <c r="R401" s="31" t="s">
        <v>203</v>
      </c>
      <c r="S401" s="29" t="s">
        <v>204</v>
      </c>
      <c r="T401" s="29" t="s">
        <v>44</v>
      </c>
      <c r="U401" s="29"/>
      <c r="V401" s="29" t="s">
        <v>45</v>
      </c>
      <c r="W401" s="29"/>
      <c r="X401" s="29"/>
      <c r="Y401" s="29"/>
      <c r="Z401" s="29"/>
      <c r="AA401" s="29">
        <v>11</v>
      </c>
      <c r="AB401" s="29" t="s">
        <v>205</v>
      </c>
      <c r="AC401" s="29">
        <v>11</v>
      </c>
      <c r="AD401" s="29"/>
      <c r="AE401" s="29"/>
      <c r="AF401" s="29"/>
      <c r="AG401" s="29"/>
      <c r="AH401" s="29"/>
      <c r="AI401" s="29"/>
      <c r="AJ401" s="32">
        <v>43102.734965277778</v>
      </c>
      <c r="AK401" s="29" t="s">
        <v>57</v>
      </c>
    </row>
    <row r="402" spans="1:37" s="33" customFormat="1">
      <c r="A402" s="29" t="str">
        <f>VLOOKUP(H402,Languages!$A$2:$B$430,2,FALSE)</f>
        <v>Austronesian</v>
      </c>
      <c r="B402" s="29" t="s">
        <v>67</v>
      </c>
      <c r="C402" s="29" t="s">
        <v>198</v>
      </c>
      <c r="D402" s="29" t="s">
        <v>199</v>
      </c>
      <c r="E402" s="30" t="s">
        <v>200</v>
      </c>
      <c r="F402" s="30" t="s">
        <v>200</v>
      </c>
      <c r="G402" s="29" t="s">
        <v>200</v>
      </c>
      <c r="H402" s="29" t="str">
        <f>VLOOKUP(G402,'languoid 4.0'!$A$1:$I$24439,2,FALSE)</f>
        <v>aust1307</v>
      </c>
      <c r="I402" s="29" t="str">
        <f>VLOOKUP(G402,'languoid 4.0'!$A$1:$I$24439,6,FALSE)</f>
        <v>language</v>
      </c>
      <c r="J402" s="30" t="s">
        <v>38</v>
      </c>
      <c r="K402" s="30" t="s">
        <v>38</v>
      </c>
      <c r="L402" s="30" t="s">
        <v>38</v>
      </c>
      <c r="M402" s="29"/>
      <c r="N402" s="29" t="s">
        <v>201</v>
      </c>
      <c r="O402" s="30" t="s">
        <v>40</v>
      </c>
      <c r="P402" s="30" t="s">
        <v>41</v>
      </c>
      <c r="Q402" s="29" t="s">
        <v>1645</v>
      </c>
      <c r="R402" s="31" t="s">
        <v>1646</v>
      </c>
      <c r="S402" s="29" t="s">
        <v>46</v>
      </c>
      <c r="T402" s="29" t="s">
        <v>635</v>
      </c>
      <c r="U402" s="29" t="s">
        <v>636</v>
      </c>
      <c r="V402" s="29" t="s">
        <v>45</v>
      </c>
      <c r="W402" s="29"/>
      <c r="X402" s="29"/>
      <c r="Y402" s="29"/>
      <c r="Z402" s="29" t="s">
        <v>658</v>
      </c>
      <c r="AA402" s="29" t="s">
        <v>1647</v>
      </c>
      <c r="AB402" s="29" t="s">
        <v>46</v>
      </c>
      <c r="AC402" s="29" t="s">
        <v>46</v>
      </c>
      <c r="AD402" s="29"/>
      <c r="AE402" s="29" t="s">
        <v>641</v>
      </c>
      <c r="AF402" s="29" t="s">
        <v>190</v>
      </c>
      <c r="AG402" s="29">
        <v>6</v>
      </c>
      <c r="AH402" s="29" t="s">
        <v>190</v>
      </c>
      <c r="AI402" s="29"/>
      <c r="AJ402" s="32">
        <v>43315.339108796295</v>
      </c>
      <c r="AK402" s="29" t="s">
        <v>1598</v>
      </c>
    </row>
    <row r="403" spans="1:37" s="33" customFormat="1">
      <c r="A403" s="29" t="str">
        <f>VLOOKUP(H403,Languages!$A$2:$B$430,2,FALSE)</f>
        <v>Austronesian</v>
      </c>
      <c r="B403" s="29" t="s">
        <v>67</v>
      </c>
      <c r="C403" s="29" t="s">
        <v>198</v>
      </c>
      <c r="D403" s="29" t="s">
        <v>199</v>
      </c>
      <c r="E403" s="30" t="s">
        <v>200</v>
      </c>
      <c r="F403" s="30" t="s">
        <v>200</v>
      </c>
      <c r="G403" s="29" t="s">
        <v>200</v>
      </c>
      <c r="H403" s="29" t="str">
        <f>VLOOKUP(G403,'languoid 4.0'!$A$1:$I$24439,2,FALSE)</f>
        <v>aust1307</v>
      </c>
      <c r="I403" s="29" t="str">
        <f>VLOOKUP(G403,'languoid 4.0'!$A$1:$I$24439,6,FALSE)</f>
        <v>language</v>
      </c>
      <c r="J403" s="30" t="s">
        <v>38</v>
      </c>
      <c r="K403" s="30" t="s">
        <v>38</v>
      </c>
      <c r="L403" s="30" t="s">
        <v>38</v>
      </c>
      <c r="M403" s="29"/>
      <c r="N403" s="29" t="s">
        <v>201</v>
      </c>
      <c r="O403" s="30" t="s">
        <v>40</v>
      </c>
      <c r="P403" s="30" t="s">
        <v>41</v>
      </c>
      <c r="Q403" s="29" t="s">
        <v>1648</v>
      </c>
      <c r="R403" s="31" t="s">
        <v>1649</v>
      </c>
      <c r="S403" s="29" t="s">
        <v>46</v>
      </c>
      <c r="T403" s="29" t="s">
        <v>635</v>
      </c>
      <c r="U403" s="29" t="s">
        <v>636</v>
      </c>
      <c r="V403" s="29" t="s">
        <v>45</v>
      </c>
      <c r="W403" s="29"/>
      <c r="X403" s="29"/>
      <c r="Y403" s="29"/>
      <c r="Z403" s="29" t="s">
        <v>658</v>
      </c>
      <c r="AA403" s="29" t="s">
        <v>1650</v>
      </c>
      <c r="AB403" s="29" t="s">
        <v>46</v>
      </c>
      <c r="AC403" s="29" t="s">
        <v>46</v>
      </c>
      <c r="AD403" s="29"/>
      <c r="AE403" s="29" t="s">
        <v>641</v>
      </c>
      <c r="AF403" s="29" t="s">
        <v>190</v>
      </c>
      <c r="AG403" s="29">
        <v>6</v>
      </c>
      <c r="AH403" s="29" t="s">
        <v>190</v>
      </c>
      <c r="AI403" s="29"/>
      <c r="AJ403" s="32">
        <v>43315.34883101852</v>
      </c>
      <c r="AK403" s="29" t="s">
        <v>1598</v>
      </c>
    </row>
    <row r="404" spans="1:37" s="33" customFormat="1">
      <c r="A404" s="29" t="str">
        <f>VLOOKUP(H404,Languages!$A$2:$B$430,2,FALSE)</f>
        <v>Austronesian</v>
      </c>
      <c r="B404" s="29" t="s">
        <v>67</v>
      </c>
      <c r="C404" s="29" t="s">
        <v>198</v>
      </c>
      <c r="D404" s="29" t="s">
        <v>1651</v>
      </c>
      <c r="E404" s="30" t="s">
        <v>1652</v>
      </c>
      <c r="F404" s="30" t="s">
        <v>1652</v>
      </c>
      <c r="G404" s="29" t="s">
        <v>1652</v>
      </c>
      <c r="H404" s="29" t="str">
        <f>VLOOKUP(G404,'languoid 4.0'!$A$1:$I$24439,2,FALSE)</f>
        <v>aust1307</v>
      </c>
      <c r="I404" s="29" t="str">
        <f>VLOOKUP(G404,'languoid 4.0'!$A$1:$I$24439,6,FALSE)</f>
        <v>language</v>
      </c>
      <c r="J404" s="30" t="s">
        <v>38</v>
      </c>
      <c r="K404" s="30" t="s">
        <v>38</v>
      </c>
      <c r="L404" s="30" t="s">
        <v>38</v>
      </c>
      <c r="M404" s="29"/>
      <c r="N404" s="29" t="s">
        <v>1653</v>
      </c>
      <c r="O404" s="30" t="s">
        <v>40</v>
      </c>
      <c r="P404" s="30" t="s">
        <v>41</v>
      </c>
      <c r="Q404" s="29" t="s">
        <v>1654</v>
      </c>
      <c r="R404" s="31" t="s">
        <v>1655</v>
      </c>
      <c r="S404" s="29" t="s">
        <v>46</v>
      </c>
      <c r="T404" s="29" t="s">
        <v>635</v>
      </c>
      <c r="U404" s="29" t="s">
        <v>636</v>
      </c>
      <c r="V404" s="29" t="s">
        <v>45</v>
      </c>
      <c r="W404" s="29"/>
      <c r="X404" s="29"/>
      <c r="Y404" s="29"/>
      <c r="Z404" s="29" t="s">
        <v>658</v>
      </c>
      <c r="AA404" s="29" t="s">
        <v>1656</v>
      </c>
      <c r="AB404" s="29" t="s">
        <v>46</v>
      </c>
      <c r="AC404" s="29" t="s">
        <v>46</v>
      </c>
      <c r="AD404" s="29"/>
      <c r="AE404" s="29" t="s">
        <v>641</v>
      </c>
      <c r="AF404" s="29" t="s">
        <v>190</v>
      </c>
      <c r="AG404" s="29">
        <v>5</v>
      </c>
      <c r="AH404" s="29" t="s">
        <v>190</v>
      </c>
      <c r="AI404" s="29"/>
      <c r="AJ404" s="32">
        <v>43315.372037037036</v>
      </c>
      <c r="AK404" s="29" t="s">
        <v>1598</v>
      </c>
    </row>
    <row r="405" spans="1:37" s="33" customFormat="1">
      <c r="A405" s="29" t="str">
        <f>VLOOKUP(H405,Languages!$A$2:$B$430,2,FALSE)</f>
        <v>Austronesian</v>
      </c>
      <c r="B405" s="29" t="s">
        <v>67</v>
      </c>
      <c r="C405" s="29" t="s">
        <v>198</v>
      </c>
      <c r="D405" s="29" t="s">
        <v>1657</v>
      </c>
      <c r="E405" s="30" t="s">
        <v>227</v>
      </c>
      <c r="F405" s="30" t="s">
        <v>227</v>
      </c>
      <c r="G405" s="29" t="s">
        <v>227</v>
      </c>
      <c r="H405" s="29" t="str">
        <f>VLOOKUP(G405,'languoid 4.0'!$A$1:$I$24439,2,FALSE)</f>
        <v>aust1307</v>
      </c>
      <c r="I405" s="29" t="str">
        <f>VLOOKUP(G405,'languoid 4.0'!$A$1:$I$24439,6,FALSE)</f>
        <v>language</v>
      </c>
      <c r="J405" s="30" t="s">
        <v>38</v>
      </c>
      <c r="K405" s="30" t="s">
        <v>38</v>
      </c>
      <c r="L405" s="30" t="s">
        <v>38</v>
      </c>
      <c r="M405" s="29"/>
      <c r="N405" s="29" t="s">
        <v>228</v>
      </c>
      <c r="O405" s="30" t="s">
        <v>40</v>
      </c>
      <c r="P405" s="30" t="s">
        <v>41</v>
      </c>
      <c r="Q405" s="29" t="s">
        <v>1662</v>
      </c>
      <c r="R405" s="31" t="s">
        <v>1659</v>
      </c>
      <c r="S405" s="29" t="s">
        <v>46</v>
      </c>
      <c r="T405" s="29" t="s">
        <v>635</v>
      </c>
      <c r="U405" s="29" t="s">
        <v>636</v>
      </c>
      <c r="V405" s="29" t="s">
        <v>45</v>
      </c>
      <c r="W405" s="29"/>
      <c r="X405" s="29"/>
      <c r="Y405" s="29"/>
      <c r="Z405" s="29" t="s">
        <v>658</v>
      </c>
      <c r="AA405" s="29" t="s">
        <v>1663</v>
      </c>
      <c r="AB405" s="29" t="s">
        <v>46</v>
      </c>
      <c r="AC405" s="29" t="s">
        <v>46</v>
      </c>
      <c r="AD405" s="29" t="s">
        <v>1664</v>
      </c>
      <c r="AE405" s="29"/>
      <c r="AF405" s="29"/>
      <c r="AG405" s="29"/>
      <c r="AH405" s="29" t="s">
        <v>45</v>
      </c>
      <c r="AI405" s="29"/>
      <c r="AJ405" s="32">
        <v>43346.441180555557</v>
      </c>
      <c r="AK405" s="29" t="s">
        <v>1598</v>
      </c>
    </row>
    <row r="406" spans="1:37" s="33" customFormat="1">
      <c r="A406" s="29" t="str">
        <f>VLOOKUP(H406,Languages!$A$2:$B$430,2,FALSE)</f>
        <v>Austronesian</v>
      </c>
      <c r="B406" s="29" t="s">
        <v>67</v>
      </c>
      <c r="C406" s="29" t="s">
        <v>198</v>
      </c>
      <c r="D406" s="29" t="s">
        <v>1665</v>
      </c>
      <c r="E406" s="30" t="s">
        <v>1666</v>
      </c>
      <c r="F406" s="30" t="s">
        <v>1667</v>
      </c>
      <c r="G406" s="29" t="s">
        <v>1666</v>
      </c>
      <c r="H406" s="29" t="str">
        <f>VLOOKUP(G406,'languoid 4.0'!$A$1:$I$24439,2,FALSE)</f>
        <v>aust1307</v>
      </c>
      <c r="I406" s="29" t="str">
        <f>VLOOKUP(G406,'languoid 4.0'!$A$1:$I$24439,6,FALSE)</f>
        <v>language</v>
      </c>
      <c r="J406" s="30" t="s">
        <v>52</v>
      </c>
      <c r="K406" s="30" t="s">
        <v>38</v>
      </c>
      <c r="L406" s="30" t="s">
        <v>38</v>
      </c>
      <c r="M406" s="29"/>
      <c r="N406" s="29" t="s">
        <v>1668</v>
      </c>
      <c r="O406" s="30" t="s">
        <v>40</v>
      </c>
      <c r="P406" s="30" t="s">
        <v>41</v>
      </c>
      <c r="Q406" s="29" t="s">
        <v>1669</v>
      </c>
      <c r="R406" s="31" t="s">
        <v>1670</v>
      </c>
      <c r="S406" s="29" t="s">
        <v>46</v>
      </c>
      <c r="T406" s="29" t="s">
        <v>635</v>
      </c>
      <c r="U406" s="29" t="s">
        <v>636</v>
      </c>
      <c r="V406" s="29" t="s">
        <v>45</v>
      </c>
      <c r="W406" s="29"/>
      <c r="X406" s="29"/>
      <c r="Y406" s="29"/>
      <c r="Z406" s="29" t="s">
        <v>658</v>
      </c>
      <c r="AA406" s="29" t="s">
        <v>1671</v>
      </c>
      <c r="AB406" s="29" t="s">
        <v>46</v>
      </c>
      <c r="AC406" s="29" t="s">
        <v>46</v>
      </c>
      <c r="AD406" s="29" t="s">
        <v>1672</v>
      </c>
      <c r="AE406" s="29"/>
      <c r="AF406" s="29"/>
      <c r="AG406" s="29"/>
      <c r="AH406" s="29" t="s">
        <v>45</v>
      </c>
      <c r="AI406" s="29"/>
      <c r="AJ406" s="32">
        <v>43346.443124999998</v>
      </c>
      <c r="AK406" s="29" t="s">
        <v>1598</v>
      </c>
    </row>
    <row r="407" spans="1:37" s="33" customFormat="1">
      <c r="A407" s="29" t="str">
        <f>VLOOKUP(H407,Languages!$A$2:$B$430,2,FALSE)</f>
        <v>Austronesian</v>
      </c>
      <c r="B407" s="29" t="s">
        <v>67</v>
      </c>
      <c r="C407" s="29" t="s">
        <v>198</v>
      </c>
      <c r="D407" s="29" t="s">
        <v>1665</v>
      </c>
      <c r="E407" s="30" t="s">
        <v>1666</v>
      </c>
      <c r="F407" s="30" t="s">
        <v>1667</v>
      </c>
      <c r="G407" s="29" t="s">
        <v>1666</v>
      </c>
      <c r="H407" s="29" t="str">
        <f>VLOOKUP(G407,'languoid 4.0'!$A$1:$I$24439,2,FALSE)</f>
        <v>aust1307</v>
      </c>
      <c r="I407" s="29" t="str">
        <f>VLOOKUP(G407,'languoid 4.0'!$A$1:$I$24439,6,FALSE)</f>
        <v>language</v>
      </c>
      <c r="J407" s="30" t="s">
        <v>52</v>
      </c>
      <c r="K407" s="30" t="s">
        <v>38</v>
      </c>
      <c r="L407" s="30" t="s">
        <v>38</v>
      </c>
      <c r="M407" s="29"/>
      <c r="N407" s="29" t="s">
        <v>1668</v>
      </c>
      <c r="O407" s="30" t="s">
        <v>40</v>
      </c>
      <c r="P407" s="30" t="s">
        <v>41</v>
      </c>
      <c r="Q407" s="29" t="s">
        <v>1673</v>
      </c>
      <c r="R407" s="31" t="s">
        <v>1670</v>
      </c>
      <c r="S407" s="29" t="s">
        <v>46</v>
      </c>
      <c r="T407" s="29" t="s">
        <v>635</v>
      </c>
      <c r="U407" s="29" t="s">
        <v>636</v>
      </c>
      <c r="V407" s="29" t="s">
        <v>45</v>
      </c>
      <c r="W407" s="29"/>
      <c r="X407" s="29"/>
      <c r="Y407" s="29"/>
      <c r="Z407" s="29" t="s">
        <v>658</v>
      </c>
      <c r="AA407" s="29" t="s">
        <v>1674</v>
      </c>
      <c r="AB407" s="29" t="s">
        <v>46</v>
      </c>
      <c r="AC407" s="29" t="s">
        <v>46</v>
      </c>
      <c r="AD407" s="29" t="s">
        <v>1675</v>
      </c>
      <c r="AE407" s="29"/>
      <c r="AF407" s="29"/>
      <c r="AG407" s="29"/>
      <c r="AH407" s="29" t="s">
        <v>45</v>
      </c>
      <c r="AI407" s="29"/>
      <c r="AJ407" s="32">
        <v>43346.444618055553</v>
      </c>
      <c r="AK407" s="29" t="s">
        <v>1598</v>
      </c>
    </row>
    <row r="408" spans="1:37" s="33" customFormat="1">
      <c r="A408" s="29" t="str">
        <f>VLOOKUP(H408,Languages!$A$2:$B$430,2,FALSE)</f>
        <v>Austronesian</v>
      </c>
      <c r="B408" s="29" t="s">
        <v>67</v>
      </c>
      <c r="C408" s="29" t="s">
        <v>198</v>
      </c>
      <c r="D408" s="29" t="s">
        <v>1665</v>
      </c>
      <c r="E408" s="30" t="s">
        <v>1666</v>
      </c>
      <c r="F408" s="30" t="s">
        <v>1667</v>
      </c>
      <c r="G408" s="29" t="s">
        <v>1666</v>
      </c>
      <c r="H408" s="29" t="str">
        <f>VLOOKUP(G408,'languoid 4.0'!$A$1:$I$24439,2,FALSE)</f>
        <v>aust1307</v>
      </c>
      <c r="I408" s="29" t="str">
        <f>VLOOKUP(G408,'languoid 4.0'!$A$1:$I$24439,6,FALSE)</f>
        <v>language</v>
      </c>
      <c r="J408" s="30" t="s">
        <v>52</v>
      </c>
      <c r="K408" s="30" t="s">
        <v>38</v>
      </c>
      <c r="L408" s="30" t="s">
        <v>38</v>
      </c>
      <c r="M408" s="29"/>
      <c r="N408" s="29" t="s">
        <v>1668</v>
      </c>
      <c r="O408" s="30" t="s">
        <v>40</v>
      </c>
      <c r="P408" s="30" t="s">
        <v>41</v>
      </c>
      <c r="Q408" s="29" t="s">
        <v>1676</v>
      </c>
      <c r="R408" s="31" t="s">
        <v>1670</v>
      </c>
      <c r="S408" s="29" t="s">
        <v>46</v>
      </c>
      <c r="T408" s="29" t="s">
        <v>635</v>
      </c>
      <c r="U408" s="29" t="s">
        <v>636</v>
      </c>
      <c r="V408" s="29" t="s">
        <v>45</v>
      </c>
      <c r="W408" s="29"/>
      <c r="X408" s="29"/>
      <c r="Y408" s="29"/>
      <c r="Z408" s="29" t="s">
        <v>658</v>
      </c>
      <c r="AA408" s="29" t="s">
        <v>1677</v>
      </c>
      <c r="AB408" s="29" t="s">
        <v>46</v>
      </c>
      <c r="AC408" s="29" t="s">
        <v>46</v>
      </c>
      <c r="AD408" s="29" t="s">
        <v>1678</v>
      </c>
      <c r="AE408" s="29"/>
      <c r="AF408" s="29"/>
      <c r="AG408" s="29"/>
      <c r="AH408" s="29" t="s">
        <v>45</v>
      </c>
      <c r="AI408" s="29"/>
      <c r="AJ408" s="32">
        <v>43346.445798611108</v>
      </c>
      <c r="AK408" s="29" t="s">
        <v>1598</v>
      </c>
    </row>
    <row r="409" spans="1:37" s="33" customFormat="1">
      <c r="A409" s="29" t="str">
        <f>VLOOKUP(H409,Languages!$A$2:$B$430,2,FALSE)</f>
        <v>Austronesian</v>
      </c>
      <c r="B409" s="29" t="s">
        <v>67</v>
      </c>
      <c r="C409" s="29" t="s">
        <v>198</v>
      </c>
      <c r="D409" s="29" t="s">
        <v>1651</v>
      </c>
      <c r="E409" s="30" t="s">
        <v>1652</v>
      </c>
      <c r="F409" s="30" t="s">
        <v>1652</v>
      </c>
      <c r="G409" s="29" t="s">
        <v>1652</v>
      </c>
      <c r="H409" s="29" t="str">
        <f>VLOOKUP(G409,'languoid 4.0'!$A$1:$I$24439,2,FALSE)</f>
        <v>aust1307</v>
      </c>
      <c r="I409" s="29" t="str">
        <f>VLOOKUP(G409,'languoid 4.0'!$A$1:$I$24439,6,FALSE)</f>
        <v>language</v>
      </c>
      <c r="J409" s="30" t="s">
        <v>38</v>
      </c>
      <c r="K409" s="30" t="s">
        <v>38</v>
      </c>
      <c r="L409" s="30" t="s">
        <v>38</v>
      </c>
      <c r="M409" s="29"/>
      <c r="N409" s="29" t="s">
        <v>1653</v>
      </c>
      <c r="O409" s="30" t="s">
        <v>40</v>
      </c>
      <c r="P409" s="30" t="s">
        <v>41</v>
      </c>
      <c r="Q409" s="29" t="s">
        <v>1679</v>
      </c>
      <c r="R409" s="31" t="s">
        <v>1680</v>
      </c>
      <c r="S409" s="29" t="s">
        <v>46</v>
      </c>
      <c r="T409" s="29" t="s">
        <v>822</v>
      </c>
      <c r="U409" s="29" t="s">
        <v>636</v>
      </c>
      <c r="V409" s="29" t="s">
        <v>45</v>
      </c>
      <c r="W409" s="29"/>
      <c r="X409" s="29"/>
      <c r="Y409" s="29"/>
      <c r="Z409" s="29" t="s">
        <v>658</v>
      </c>
      <c r="AA409" s="29" t="s">
        <v>1681</v>
      </c>
      <c r="AB409" s="29" t="s">
        <v>46</v>
      </c>
      <c r="AC409" s="29" t="s">
        <v>46</v>
      </c>
      <c r="AD409" s="29"/>
      <c r="AE409" s="29" t="s">
        <v>641</v>
      </c>
      <c r="AF409" s="29" t="s">
        <v>190</v>
      </c>
      <c r="AG409" s="29">
        <v>4</v>
      </c>
      <c r="AH409" s="29" t="s">
        <v>190</v>
      </c>
      <c r="AI409" s="29"/>
      <c r="AJ409" s="32">
        <v>43346.452604166669</v>
      </c>
      <c r="AK409" s="29" t="s">
        <v>1598</v>
      </c>
    </row>
    <row r="410" spans="1:37" s="33" customFormat="1">
      <c r="A410" s="29" t="str">
        <f>VLOOKUP(H410,Languages!$A$2:$B$430,2,FALSE)</f>
        <v>Austronesian</v>
      </c>
      <c r="B410" s="29" t="s">
        <v>67</v>
      </c>
      <c r="C410" s="29" t="s">
        <v>198</v>
      </c>
      <c r="D410" s="29" t="s">
        <v>1651</v>
      </c>
      <c r="E410" s="30" t="s">
        <v>1652</v>
      </c>
      <c r="F410" s="30" t="s">
        <v>1652</v>
      </c>
      <c r="G410" s="29" t="s">
        <v>1652</v>
      </c>
      <c r="H410" s="29" t="str">
        <f>VLOOKUP(G410,'languoid 4.0'!$A$1:$I$24439,2,FALSE)</f>
        <v>aust1307</v>
      </c>
      <c r="I410" s="29" t="str">
        <f>VLOOKUP(G410,'languoid 4.0'!$A$1:$I$24439,6,FALSE)</f>
        <v>language</v>
      </c>
      <c r="J410" s="30" t="s">
        <v>38</v>
      </c>
      <c r="K410" s="30" t="s">
        <v>38</v>
      </c>
      <c r="L410" s="30" t="s">
        <v>38</v>
      </c>
      <c r="M410" s="29"/>
      <c r="N410" s="29" t="s">
        <v>1653</v>
      </c>
      <c r="O410" s="30" t="s">
        <v>40</v>
      </c>
      <c r="P410" s="30" t="s">
        <v>41</v>
      </c>
      <c r="Q410" s="29" t="s">
        <v>1682</v>
      </c>
      <c r="R410" s="31" t="s">
        <v>1683</v>
      </c>
      <c r="S410" s="29" t="s">
        <v>46</v>
      </c>
      <c r="T410" s="29" t="s">
        <v>822</v>
      </c>
      <c r="U410" s="29" t="s">
        <v>636</v>
      </c>
      <c r="V410" s="29" t="s">
        <v>45</v>
      </c>
      <c r="W410" s="29"/>
      <c r="X410" s="29"/>
      <c r="Y410" s="29"/>
      <c r="Z410" s="29" t="s">
        <v>658</v>
      </c>
      <c r="AA410" s="29" t="s">
        <v>1684</v>
      </c>
      <c r="AB410" s="29" t="s">
        <v>46</v>
      </c>
      <c r="AC410" s="29" t="s">
        <v>46</v>
      </c>
      <c r="AD410" s="29"/>
      <c r="AE410" s="29" t="s">
        <v>641</v>
      </c>
      <c r="AF410" s="29" t="s">
        <v>190</v>
      </c>
      <c r="AG410" s="29">
        <v>5</v>
      </c>
      <c r="AH410" s="29" t="s">
        <v>190</v>
      </c>
      <c r="AI410" s="29" t="s">
        <v>1685</v>
      </c>
      <c r="AJ410" s="32">
        <v>43346.455891203703</v>
      </c>
      <c r="AK410" s="29" t="s">
        <v>1598</v>
      </c>
    </row>
    <row r="411" spans="1:37" s="33" customFormat="1">
      <c r="A411" s="29" t="str">
        <f>VLOOKUP(H411,Languages!$A$2:$B$430,2,FALSE)</f>
        <v>Austronesian</v>
      </c>
      <c r="B411" s="29" t="s">
        <v>67</v>
      </c>
      <c r="C411" s="29" t="s">
        <v>198</v>
      </c>
      <c r="D411" s="29" t="s">
        <v>1665</v>
      </c>
      <c r="E411" s="30" t="s">
        <v>1666</v>
      </c>
      <c r="F411" s="30" t="s">
        <v>1667</v>
      </c>
      <c r="G411" s="29" t="s">
        <v>1666</v>
      </c>
      <c r="H411" s="29" t="str">
        <f>VLOOKUP(G411,'languoid 4.0'!$A$1:$I$24439,2,FALSE)</f>
        <v>aust1307</v>
      </c>
      <c r="I411" s="29" t="str">
        <f>VLOOKUP(G411,'languoid 4.0'!$A$1:$I$24439,6,FALSE)</f>
        <v>language</v>
      </c>
      <c r="J411" s="30" t="s">
        <v>52</v>
      </c>
      <c r="K411" s="30" t="s">
        <v>38</v>
      </c>
      <c r="L411" s="30" t="s">
        <v>38</v>
      </c>
      <c r="M411" s="29"/>
      <c r="N411" s="29" t="s">
        <v>1668</v>
      </c>
      <c r="O411" s="30" t="s">
        <v>40</v>
      </c>
      <c r="P411" s="30" t="s">
        <v>41</v>
      </c>
      <c r="Q411" s="29" t="s">
        <v>1686</v>
      </c>
      <c r="R411" s="31" t="s">
        <v>1687</v>
      </c>
      <c r="S411" s="29" t="s">
        <v>1688</v>
      </c>
      <c r="T411" s="29" t="s">
        <v>1689</v>
      </c>
      <c r="U411" s="29" t="s">
        <v>636</v>
      </c>
      <c r="V411" s="29" t="s">
        <v>45</v>
      </c>
      <c r="W411" s="29"/>
      <c r="X411" s="29"/>
      <c r="Y411" s="29"/>
      <c r="Z411" s="29" t="s">
        <v>637</v>
      </c>
      <c r="AA411" s="29" t="s">
        <v>1690</v>
      </c>
      <c r="AB411" s="29" t="s">
        <v>1691</v>
      </c>
      <c r="AC411" s="29" t="s">
        <v>46</v>
      </c>
      <c r="AD411" s="29"/>
      <c r="AE411" s="29" t="s">
        <v>641</v>
      </c>
      <c r="AF411" s="29" t="s">
        <v>190</v>
      </c>
      <c r="AG411" s="29">
        <v>6</v>
      </c>
      <c r="AH411" s="29" t="s">
        <v>190</v>
      </c>
      <c r="AI411" s="29"/>
      <c r="AJ411" s="32">
        <v>43346.477870370371</v>
      </c>
      <c r="AK411" s="29" t="s">
        <v>1598</v>
      </c>
    </row>
    <row r="412" spans="1:37" s="33" customFormat="1">
      <c r="A412" s="29" t="str">
        <f>VLOOKUP(H412,Languages!$A$2:$B$430,2,FALSE)</f>
        <v>Austronesian</v>
      </c>
      <c r="B412" s="29" t="s">
        <v>67</v>
      </c>
      <c r="C412" s="29" t="s">
        <v>198</v>
      </c>
      <c r="D412" s="29" t="s">
        <v>1651</v>
      </c>
      <c r="E412" s="30" t="s">
        <v>1652</v>
      </c>
      <c r="F412" s="30" t="s">
        <v>1652</v>
      </c>
      <c r="G412" s="29" t="s">
        <v>1652</v>
      </c>
      <c r="H412" s="29" t="str">
        <f>VLOOKUP(G412,'languoid 4.0'!$A$1:$I$24439,2,FALSE)</f>
        <v>aust1307</v>
      </c>
      <c r="I412" s="29" t="str">
        <f>VLOOKUP(G412,'languoid 4.0'!$A$1:$I$24439,6,FALSE)</f>
        <v>language</v>
      </c>
      <c r="J412" s="30" t="s">
        <v>38</v>
      </c>
      <c r="K412" s="30" t="s">
        <v>38</v>
      </c>
      <c r="L412" s="30" t="s">
        <v>38</v>
      </c>
      <c r="M412" s="29"/>
      <c r="N412" s="29" t="s">
        <v>1653</v>
      </c>
      <c r="O412" s="30" t="s">
        <v>40</v>
      </c>
      <c r="P412" s="30" t="s">
        <v>41</v>
      </c>
      <c r="Q412" s="29" t="s">
        <v>1698</v>
      </c>
      <c r="R412" s="31" t="s">
        <v>1699</v>
      </c>
      <c r="S412" s="29" t="s">
        <v>46</v>
      </c>
      <c r="T412" s="29" t="s">
        <v>635</v>
      </c>
      <c r="U412" s="29" t="s">
        <v>636</v>
      </c>
      <c r="V412" s="29" t="s">
        <v>45</v>
      </c>
      <c r="W412" s="29"/>
      <c r="X412" s="29"/>
      <c r="Y412" s="29"/>
      <c r="Z412" s="29" t="s">
        <v>658</v>
      </c>
      <c r="AA412" s="29" t="s">
        <v>1700</v>
      </c>
      <c r="AB412" s="29" t="s">
        <v>46</v>
      </c>
      <c r="AC412" s="29" t="s">
        <v>46</v>
      </c>
      <c r="AD412" s="29"/>
      <c r="AE412" s="29" t="s">
        <v>641</v>
      </c>
      <c r="AF412" s="29" t="s">
        <v>190</v>
      </c>
      <c r="AG412" s="29">
        <v>5</v>
      </c>
      <c r="AH412" s="29" t="s">
        <v>190</v>
      </c>
      <c r="AI412" s="29"/>
      <c r="AJ412" s="32">
        <v>43346.491319444445</v>
      </c>
      <c r="AK412" s="29" t="s">
        <v>1598</v>
      </c>
    </row>
    <row r="413" spans="1:37" s="33" customFormat="1">
      <c r="A413" s="29" t="str">
        <f>VLOOKUP(H413,Languages!$A$2:$B$430,2,FALSE)</f>
        <v>Austronesian</v>
      </c>
      <c r="B413" s="29" t="s">
        <v>67</v>
      </c>
      <c r="C413" s="29" t="s">
        <v>198</v>
      </c>
      <c r="D413" s="29" t="s">
        <v>1651</v>
      </c>
      <c r="E413" s="30" t="s">
        <v>1652</v>
      </c>
      <c r="F413" s="30" t="s">
        <v>1652</v>
      </c>
      <c r="G413" s="29" t="s">
        <v>1652</v>
      </c>
      <c r="H413" s="29" t="str">
        <f>VLOOKUP(G413,'languoid 4.0'!$A$1:$I$24439,2,FALSE)</f>
        <v>aust1307</v>
      </c>
      <c r="I413" s="29" t="str">
        <f>VLOOKUP(G413,'languoid 4.0'!$A$1:$I$24439,6,FALSE)</f>
        <v>language</v>
      </c>
      <c r="J413" s="30" t="s">
        <v>38</v>
      </c>
      <c r="K413" s="30" t="s">
        <v>38</v>
      </c>
      <c r="L413" s="30" t="s">
        <v>38</v>
      </c>
      <c r="M413" s="29"/>
      <c r="N413" s="29" t="s">
        <v>1653</v>
      </c>
      <c r="O413" s="30" t="s">
        <v>40</v>
      </c>
      <c r="P413" s="30" t="s">
        <v>41</v>
      </c>
      <c r="Q413" s="29" t="s">
        <v>1701</v>
      </c>
      <c r="R413" s="31" t="s">
        <v>1702</v>
      </c>
      <c r="S413" s="29" t="s">
        <v>46</v>
      </c>
      <c r="T413" s="29" t="s">
        <v>635</v>
      </c>
      <c r="U413" s="29" t="s">
        <v>636</v>
      </c>
      <c r="V413" s="29" t="s">
        <v>45</v>
      </c>
      <c r="W413" s="29"/>
      <c r="X413" s="29"/>
      <c r="Y413" s="29"/>
      <c r="Z413" s="29" t="s">
        <v>658</v>
      </c>
      <c r="AA413" s="29" t="s">
        <v>1703</v>
      </c>
      <c r="AB413" s="29" t="s">
        <v>46</v>
      </c>
      <c r="AC413" s="29" t="s">
        <v>46</v>
      </c>
      <c r="AD413" s="29"/>
      <c r="AE413" s="29" t="s">
        <v>641</v>
      </c>
      <c r="AF413" s="29" t="s">
        <v>190</v>
      </c>
      <c r="AG413" s="29">
        <v>6</v>
      </c>
      <c r="AH413" s="29" t="s">
        <v>190</v>
      </c>
      <c r="AI413" s="29"/>
      <c r="AJ413" s="32">
        <v>43346.494583333333</v>
      </c>
      <c r="AK413" s="29" t="s">
        <v>1598</v>
      </c>
    </row>
    <row r="414" spans="1:37" s="33" customFormat="1">
      <c r="A414" s="29" t="str">
        <f>VLOOKUP(H414,Languages!$A$2:$B$430,2,FALSE)</f>
        <v>Austronesian</v>
      </c>
      <c r="B414" s="29" t="s">
        <v>67</v>
      </c>
      <c r="C414" s="29" t="s">
        <v>117</v>
      </c>
      <c r="D414" s="29" t="s">
        <v>118</v>
      </c>
      <c r="E414" s="30" t="s">
        <v>119</v>
      </c>
      <c r="F414" s="30" t="s">
        <v>119</v>
      </c>
      <c r="G414" s="29" t="s">
        <v>119</v>
      </c>
      <c r="H414" s="29" t="str">
        <f>VLOOKUP(G414,'languoid 4.0'!$A$1:$I$24439,2,FALSE)</f>
        <v>aust1307</v>
      </c>
      <c r="I414" s="29" t="str">
        <f>VLOOKUP(G414,'languoid 4.0'!$A$1:$I$24439,6,FALSE)</f>
        <v>language</v>
      </c>
      <c r="J414" s="30" t="s">
        <v>38</v>
      </c>
      <c r="K414" s="30" t="s">
        <v>38</v>
      </c>
      <c r="L414" s="30" t="s">
        <v>38</v>
      </c>
      <c r="M414" s="29"/>
      <c r="N414" s="29" t="s">
        <v>120</v>
      </c>
      <c r="O414" s="30" t="s">
        <v>40</v>
      </c>
      <c r="P414" s="30" t="s">
        <v>41</v>
      </c>
      <c r="Q414" s="29" t="s">
        <v>121</v>
      </c>
      <c r="R414" s="31" t="s">
        <v>122</v>
      </c>
      <c r="S414" s="29" t="s">
        <v>123</v>
      </c>
      <c r="T414" s="29" t="s">
        <v>44</v>
      </c>
      <c r="U414" s="29"/>
      <c r="V414" s="29" t="s">
        <v>45</v>
      </c>
      <c r="W414" s="29"/>
      <c r="X414" s="29"/>
      <c r="Y414" s="29"/>
      <c r="Z414" s="29"/>
      <c r="AA414" s="29">
        <v>13</v>
      </c>
      <c r="AB414" s="29">
        <v>13</v>
      </c>
      <c r="AC414" s="29" t="s">
        <v>46</v>
      </c>
      <c r="AD414" s="29"/>
      <c r="AE414" s="29"/>
      <c r="AF414" s="29"/>
      <c r="AG414" s="29"/>
      <c r="AH414" s="29"/>
      <c r="AI414" s="29"/>
      <c r="AJ414" s="32">
        <v>43102.727858796294</v>
      </c>
      <c r="AK414" s="29" t="s">
        <v>74</v>
      </c>
    </row>
    <row r="415" spans="1:37" s="33" customFormat="1">
      <c r="A415" s="29" t="str">
        <f>VLOOKUP(H415,Languages!$A$2:$B$430,2,FALSE)</f>
        <v>Austronesian</v>
      </c>
      <c r="B415" s="29" t="s">
        <v>67</v>
      </c>
      <c r="C415" s="29" t="s">
        <v>117</v>
      </c>
      <c r="D415" s="29" t="s">
        <v>4779</v>
      </c>
      <c r="E415" s="30" t="s">
        <v>4780</v>
      </c>
      <c r="F415" s="30" t="s">
        <v>4780</v>
      </c>
      <c r="G415" s="29" t="s">
        <v>4780</v>
      </c>
      <c r="H415" s="29" t="str">
        <f>VLOOKUP(G415,'languoid 4.0'!$A$1:$I$24439,2,FALSE)</f>
        <v>aust1307</v>
      </c>
      <c r="I415" s="29" t="str">
        <f>VLOOKUP(G415,'languoid 4.0'!$A$1:$I$24439,6,FALSE)</f>
        <v>language</v>
      </c>
      <c r="J415" s="30" t="s">
        <v>38</v>
      </c>
      <c r="K415" s="30" t="s">
        <v>38</v>
      </c>
      <c r="L415" s="30" t="s">
        <v>38</v>
      </c>
      <c r="M415" s="29"/>
      <c r="N415" s="29" t="s">
        <v>4781</v>
      </c>
      <c r="O415" s="30" t="s">
        <v>40</v>
      </c>
      <c r="P415" s="30" t="s">
        <v>41</v>
      </c>
      <c r="Q415" s="29" t="s">
        <v>4786</v>
      </c>
      <c r="R415" s="31" t="s">
        <v>4787</v>
      </c>
      <c r="S415" s="29" t="s">
        <v>46</v>
      </c>
      <c r="T415" s="29" t="s">
        <v>635</v>
      </c>
      <c r="U415" s="29" t="s">
        <v>1812</v>
      </c>
      <c r="V415" s="29" t="s">
        <v>45</v>
      </c>
      <c r="W415" s="29"/>
      <c r="X415" s="29"/>
      <c r="Y415" s="29"/>
      <c r="Z415" s="29" t="s">
        <v>637</v>
      </c>
      <c r="AA415" s="29" t="s">
        <v>4788</v>
      </c>
      <c r="AB415" s="29" t="s">
        <v>4789</v>
      </c>
      <c r="AC415" s="29" t="s">
        <v>46</v>
      </c>
      <c r="AD415" s="29"/>
      <c r="AE415" s="29" t="s">
        <v>641</v>
      </c>
      <c r="AF415" s="29" t="s">
        <v>190</v>
      </c>
      <c r="AG415" s="29">
        <v>5</v>
      </c>
      <c r="AH415" s="29" t="s">
        <v>190</v>
      </c>
      <c r="AI415" s="29"/>
      <c r="AJ415" s="32">
        <v>43379.075601851851</v>
      </c>
      <c r="AK415" s="29" t="s">
        <v>4268</v>
      </c>
    </row>
    <row r="416" spans="1:37" s="33" customFormat="1">
      <c r="A416" s="29" t="str">
        <f>VLOOKUP(H416,Languages!$A$2:$B$430,2,FALSE)</f>
        <v>Austronesian</v>
      </c>
      <c r="B416" s="29" t="s">
        <v>67</v>
      </c>
      <c r="C416" s="29" t="s">
        <v>117</v>
      </c>
      <c r="D416" s="29" t="s">
        <v>5321</v>
      </c>
      <c r="E416" s="30" t="s">
        <v>5322</v>
      </c>
      <c r="F416" s="30" t="s">
        <v>5322</v>
      </c>
      <c r="G416" s="29" t="s">
        <v>5322</v>
      </c>
      <c r="H416" s="29" t="str">
        <f>VLOOKUP(G416,'languoid 4.0'!$A$1:$I$24439,2,FALSE)</f>
        <v>aust1307</v>
      </c>
      <c r="I416" s="29" t="str">
        <f>VLOOKUP(G416,'languoid 4.0'!$A$1:$I$24439,6,FALSE)</f>
        <v>language</v>
      </c>
      <c r="J416" s="30" t="s">
        <v>38</v>
      </c>
      <c r="K416" s="30" t="s">
        <v>38</v>
      </c>
      <c r="L416" s="30" t="s">
        <v>38</v>
      </c>
      <c r="M416" s="29"/>
      <c r="N416" s="29" t="s">
        <v>5323</v>
      </c>
      <c r="O416" s="30" t="s">
        <v>40</v>
      </c>
      <c r="P416" s="30" t="s">
        <v>41</v>
      </c>
      <c r="Q416" s="29" t="s">
        <v>5324</v>
      </c>
      <c r="R416" s="31" t="s">
        <v>5325</v>
      </c>
      <c r="S416" s="29">
        <v>116</v>
      </c>
      <c r="T416" s="29" t="s">
        <v>635</v>
      </c>
      <c r="U416" s="29" t="s">
        <v>1750</v>
      </c>
      <c r="V416" s="29" t="s">
        <v>45</v>
      </c>
      <c r="W416" s="29"/>
      <c r="X416" s="29"/>
      <c r="Y416" s="29"/>
      <c r="Z416" s="29" t="s">
        <v>637</v>
      </c>
      <c r="AA416" s="29" t="s">
        <v>5326</v>
      </c>
      <c r="AB416" s="29" t="s">
        <v>5327</v>
      </c>
      <c r="AC416" s="29" t="s">
        <v>46</v>
      </c>
      <c r="AD416" s="29"/>
      <c r="AE416" s="29" t="s">
        <v>641</v>
      </c>
      <c r="AF416" s="29" t="s">
        <v>45</v>
      </c>
      <c r="AG416" s="29">
        <v>1</v>
      </c>
      <c r="AH416" s="29" t="s">
        <v>190</v>
      </c>
      <c r="AI416" s="29"/>
      <c r="AJ416" s="29" t="s">
        <v>5328</v>
      </c>
      <c r="AK416" s="29" t="s">
        <v>4268</v>
      </c>
    </row>
    <row r="417" spans="1:37" s="33" customFormat="1">
      <c r="A417" s="29" t="str">
        <f>VLOOKUP(H417,Languages!$A$2:$B$430,2,FALSE)</f>
        <v>Austronesian</v>
      </c>
      <c r="B417" s="29" t="s">
        <v>67</v>
      </c>
      <c r="C417" s="29" t="s">
        <v>117</v>
      </c>
      <c r="D417" s="29" t="s">
        <v>5400</v>
      </c>
      <c r="E417" s="30" t="s">
        <v>5401</v>
      </c>
      <c r="F417" s="30" t="s">
        <v>119</v>
      </c>
      <c r="G417" s="29" t="s">
        <v>5401</v>
      </c>
      <c r="H417" s="29" t="str">
        <f>VLOOKUP(G417,'languoid 4.0'!$A$1:$I$24439,2,FALSE)</f>
        <v>aust1307</v>
      </c>
      <c r="I417" s="29" t="str">
        <f>VLOOKUP(G417,'languoid 4.0'!$A$1:$I$24439,6,FALSE)</f>
        <v>language</v>
      </c>
      <c r="J417" s="30" t="s">
        <v>52</v>
      </c>
      <c r="K417" s="30" t="s">
        <v>38</v>
      </c>
      <c r="L417" s="30" t="s">
        <v>38</v>
      </c>
      <c r="M417" s="29"/>
      <c r="N417" s="29" t="s">
        <v>5402</v>
      </c>
      <c r="O417" s="30" t="s">
        <v>40</v>
      </c>
      <c r="P417" s="30" t="s">
        <v>41</v>
      </c>
      <c r="Q417" s="29" t="s">
        <v>5050</v>
      </c>
      <c r="R417" s="31" t="s">
        <v>5403</v>
      </c>
      <c r="S417" s="29">
        <v>101</v>
      </c>
      <c r="T417" s="29" t="s">
        <v>635</v>
      </c>
      <c r="U417" s="29" t="s">
        <v>5404</v>
      </c>
      <c r="V417" s="29" t="s">
        <v>45</v>
      </c>
      <c r="W417" s="29"/>
      <c r="X417" s="29"/>
      <c r="Y417" s="29"/>
      <c r="Z417" s="29" t="s">
        <v>637</v>
      </c>
      <c r="AA417" s="29" t="s">
        <v>5405</v>
      </c>
      <c r="AB417" s="29" t="s">
        <v>5406</v>
      </c>
      <c r="AC417" s="29" t="s">
        <v>46</v>
      </c>
      <c r="AD417" s="29"/>
      <c r="AE417" s="29" t="s">
        <v>641</v>
      </c>
      <c r="AF417" s="29" t="s">
        <v>190</v>
      </c>
      <c r="AG417" s="29">
        <v>6</v>
      </c>
      <c r="AH417" s="29" t="s">
        <v>190</v>
      </c>
      <c r="AI417" s="29"/>
      <c r="AJ417" s="29" t="s">
        <v>5407</v>
      </c>
      <c r="AK417" s="29" t="s">
        <v>4268</v>
      </c>
    </row>
    <row r="418" spans="1:37" s="33" customFormat="1">
      <c r="A418" s="29" t="str">
        <f>VLOOKUP(H418,Languages!$A$2:$B$430,2,FALSE)</f>
        <v>Austronesian</v>
      </c>
      <c r="B418" s="29" t="s">
        <v>67</v>
      </c>
      <c r="C418" s="29" t="s">
        <v>117</v>
      </c>
      <c r="D418" s="29" t="s">
        <v>5502</v>
      </c>
      <c r="E418" s="30" t="s">
        <v>5503</v>
      </c>
      <c r="F418" s="30" t="s">
        <v>5504</v>
      </c>
      <c r="G418" s="29" t="s">
        <v>5503</v>
      </c>
      <c r="H418" s="29" t="str">
        <f>VLOOKUP(G418,'languoid 4.0'!$A$1:$I$24439,2,FALSE)</f>
        <v>aust1307</v>
      </c>
      <c r="I418" s="29" t="str">
        <f>VLOOKUP(G418,'languoid 4.0'!$A$1:$I$24439,6,FALSE)</f>
        <v>language</v>
      </c>
      <c r="J418" s="30" t="s">
        <v>52</v>
      </c>
      <c r="K418" s="30" t="s">
        <v>38</v>
      </c>
      <c r="L418" s="30" t="s">
        <v>38</v>
      </c>
      <c r="M418" s="29"/>
      <c r="N418" s="29" t="s">
        <v>5505</v>
      </c>
      <c r="O418" s="30" t="s">
        <v>40</v>
      </c>
      <c r="P418" s="30" t="s">
        <v>41</v>
      </c>
      <c r="Q418" s="29" t="s">
        <v>5511</v>
      </c>
      <c r="R418" s="31" t="s">
        <v>5512</v>
      </c>
      <c r="S418" s="29" t="s">
        <v>46</v>
      </c>
      <c r="T418" s="29" t="s">
        <v>635</v>
      </c>
      <c r="U418" s="29" t="s">
        <v>636</v>
      </c>
      <c r="V418" s="29" t="s">
        <v>45</v>
      </c>
      <c r="W418" s="29"/>
      <c r="X418" s="29"/>
      <c r="Y418" s="29"/>
      <c r="Z418" s="29" t="s">
        <v>637</v>
      </c>
      <c r="AA418" s="29" t="s">
        <v>5513</v>
      </c>
      <c r="AB418" s="29" t="s">
        <v>5514</v>
      </c>
      <c r="AC418" s="29" t="s">
        <v>46</v>
      </c>
      <c r="AD418" s="29"/>
      <c r="AE418" s="29" t="s">
        <v>641</v>
      </c>
      <c r="AF418" s="29" t="s">
        <v>190</v>
      </c>
      <c r="AG418" s="29">
        <v>6</v>
      </c>
      <c r="AH418" s="29" t="s">
        <v>190</v>
      </c>
      <c r="AI418" s="29"/>
      <c r="AJ418" s="29" t="s">
        <v>5515</v>
      </c>
      <c r="AK418" s="29" t="s">
        <v>4268</v>
      </c>
    </row>
    <row r="419" spans="1:37" s="33" customFormat="1">
      <c r="A419" s="29" t="str">
        <f>VLOOKUP(H419,Languages!$A$2:$B$430,2,FALSE)</f>
        <v>Austronesian</v>
      </c>
      <c r="B419" s="29" t="s">
        <v>67</v>
      </c>
      <c r="C419" s="29" t="s">
        <v>117</v>
      </c>
      <c r="D419" s="29" t="s">
        <v>5516</v>
      </c>
      <c r="E419" s="30" t="s">
        <v>5517</v>
      </c>
      <c r="F419" s="30" t="s">
        <v>5517</v>
      </c>
      <c r="G419" s="29" t="s">
        <v>5517</v>
      </c>
      <c r="H419" s="29" t="str">
        <f>VLOOKUP(G419,'languoid 4.0'!$A$1:$I$24439,2,FALSE)</f>
        <v>aust1307</v>
      </c>
      <c r="I419" s="29" t="str">
        <f>VLOOKUP(G419,'languoid 4.0'!$A$1:$I$24439,6,FALSE)</f>
        <v>language</v>
      </c>
      <c r="J419" s="30" t="s">
        <v>38</v>
      </c>
      <c r="K419" s="30" t="s">
        <v>38</v>
      </c>
      <c r="L419" s="30" t="s">
        <v>38</v>
      </c>
      <c r="M419" s="29"/>
      <c r="N419" s="29" t="s">
        <v>5518</v>
      </c>
      <c r="O419" s="30" t="s">
        <v>40</v>
      </c>
      <c r="P419" s="30" t="s">
        <v>41</v>
      </c>
      <c r="Q419" s="29" t="s">
        <v>5524</v>
      </c>
      <c r="R419" s="31" t="s">
        <v>5525</v>
      </c>
      <c r="S419" s="29" t="s">
        <v>46</v>
      </c>
      <c r="T419" s="29" t="s">
        <v>635</v>
      </c>
      <c r="U419" s="29" t="s">
        <v>5526</v>
      </c>
      <c r="V419" s="29" t="s">
        <v>45</v>
      </c>
      <c r="W419" s="29"/>
      <c r="X419" s="29"/>
      <c r="Y419" s="29"/>
      <c r="Z419" s="29" t="s">
        <v>637</v>
      </c>
      <c r="AA419" s="29" t="s">
        <v>5527</v>
      </c>
      <c r="AB419" s="29" t="s">
        <v>5528</v>
      </c>
      <c r="AC419" s="29" t="s">
        <v>46</v>
      </c>
      <c r="AD419" s="29"/>
      <c r="AE419" s="29" t="s">
        <v>641</v>
      </c>
      <c r="AF419" s="29" t="s">
        <v>190</v>
      </c>
      <c r="AG419" s="29">
        <v>6</v>
      </c>
      <c r="AH419" s="29" t="s">
        <v>190</v>
      </c>
      <c r="AI419" s="29"/>
      <c r="AJ419" s="29" t="s">
        <v>5529</v>
      </c>
      <c r="AK419" s="29" t="s">
        <v>4268</v>
      </c>
    </row>
    <row r="420" spans="1:37" s="33" customFormat="1">
      <c r="A420" s="29" t="str">
        <f>VLOOKUP(H420,Languages!$A$2:$B$430,2,FALSE)</f>
        <v>Austronesian</v>
      </c>
      <c r="B420" s="29" t="s">
        <v>67</v>
      </c>
      <c r="C420" s="29" t="s">
        <v>255</v>
      </c>
      <c r="D420" s="29" t="s">
        <v>1743</v>
      </c>
      <c r="E420" s="30" t="s">
        <v>1744</v>
      </c>
      <c r="F420" s="30" t="s">
        <v>1745</v>
      </c>
      <c r="G420" s="29" t="s">
        <v>1744</v>
      </c>
      <c r="H420" s="29" t="str">
        <f>VLOOKUP(G420,'languoid 4.0'!$A$1:$I$24439,2,FALSE)</f>
        <v>aust1307</v>
      </c>
      <c r="I420" s="29" t="str">
        <f>VLOOKUP(G420,'languoid 4.0'!$A$1:$I$24439,6,FALSE)</f>
        <v>language</v>
      </c>
      <c r="J420" s="30" t="s">
        <v>52</v>
      </c>
      <c r="K420" s="30" t="s">
        <v>52</v>
      </c>
      <c r="L420" s="30" t="s">
        <v>52</v>
      </c>
      <c r="M420" s="29"/>
      <c r="N420" s="29"/>
      <c r="O420" s="30" t="s">
        <v>40</v>
      </c>
      <c r="P420" s="30" t="s">
        <v>41</v>
      </c>
      <c r="Q420" s="29" t="s">
        <v>1746</v>
      </c>
      <c r="R420" s="31" t="s">
        <v>1747</v>
      </c>
      <c r="S420" s="29" t="s">
        <v>1596</v>
      </c>
      <c r="T420" s="29" t="s">
        <v>657</v>
      </c>
      <c r="U420" s="29" t="s">
        <v>636</v>
      </c>
      <c r="V420" s="29" t="s">
        <v>45</v>
      </c>
      <c r="W420" s="29"/>
      <c r="X420" s="29"/>
      <c r="Y420" s="29"/>
      <c r="Z420" s="29" t="s">
        <v>658</v>
      </c>
      <c r="AA420" s="29" t="s">
        <v>1748</v>
      </c>
      <c r="AB420" s="29" t="s">
        <v>46</v>
      </c>
      <c r="AC420" s="29" t="s">
        <v>46</v>
      </c>
      <c r="AD420" s="29"/>
      <c r="AE420" s="29" t="s">
        <v>641</v>
      </c>
      <c r="AF420" s="29" t="s">
        <v>190</v>
      </c>
      <c r="AG420" s="29">
        <v>6</v>
      </c>
      <c r="AH420" s="29" t="s">
        <v>190</v>
      </c>
      <c r="AI420" s="29"/>
      <c r="AJ420" s="32">
        <v>43376.695717592593</v>
      </c>
      <c r="AK420" s="29" t="s">
        <v>1749</v>
      </c>
    </row>
    <row r="421" spans="1:37" s="33" customFormat="1">
      <c r="A421" s="29" t="str">
        <f>VLOOKUP(H421,Languages!$A$2:$B$430,2,FALSE)</f>
        <v>Austronesian</v>
      </c>
      <c r="B421" s="29" t="s">
        <v>67</v>
      </c>
      <c r="C421" s="29" t="s">
        <v>255</v>
      </c>
      <c r="D421" s="29" t="s">
        <v>3897</v>
      </c>
      <c r="E421" s="30" t="s">
        <v>3898</v>
      </c>
      <c r="F421" s="30" t="s">
        <v>2077</v>
      </c>
      <c r="G421" s="29" t="s">
        <v>3898</v>
      </c>
      <c r="H421" s="29" t="str">
        <f>VLOOKUP(G421,'languoid 4.0'!$A$1:$I$24439,2,FALSE)</f>
        <v>aust1307</v>
      </c>
      <c r="I421" s="29" t="str">
        <f>VLOOKUP(G421,'languoid 4.0'!$A$1:$I$24439,6,FALSE)</f>
        <v>dialect</v>
      </c>
      <c r="J421" s="30" t="s">
        <v>52</v>
      </c>
      <c r="K421" s="30" t="s">
        <v>38</v>
      </c>
      <c r="L421" s="30" t="s">
        <v>38</v>
      </c>
      <c r="M421" s="29"/>
      <c r="N421" s="29"/>
      <c r="O421" s="30" t="s">
        <v>40</v>
      </c>
      <c r="P421" s="30" t="s">
        <v>41</v>
      </c>
      <c r="Q421" s="29" t="s">
        <v>3899</v>
      </c>
      <c r="R421" s="31" t="s">
        <v>3900</v>
      </c>
      <c r="S421" s="29" t="s">
        <v>46</v>
      </c>
      <c r="T421" s="29" t="s">
        <v>635</v>
      </c>
      <c r="U421" s="29" t="s">
        <v>636</v>
      </c>
      <c r="V421" s="29" t="s">
        <v>45</v>
      </c>
      <c r="W421" s="29"/>
      <c r="X421" s="29"/>
      <c r="Y421" s="29"/>
      <c r="Z421" s="29" t="s">
        <v>658</v>
      </c>
      <c r="AA421" s="29" t="s">
        <v>3901</v>
      </c>
      <c r="AB421" s="29" t="s">
        <v>3902</v>
      </c>
      <c r="AC421" s="29" t="s">
        <v>46</v>
      </c>
      <c r="AD421" s="29"/>
      <c r="AE421" s="29" t="s">
        <v>641</v>
      </c>
      <c r="AF421" s="29" t="s">
        <v>190</v>
      </c>
      <c r="AG421" s="29">
        <v>6</v>
      </c>
      <c r="AH421" s="29" t="s">
        <v>190</v>
      </c>
      <c r="AI421" s="29"/>
      <c r="AJ421" s="29" t="s">
        <v>3903</v>
      </c>
      <c r="AK421" s="29" t="s">
        <v>1749</v>
      </c>
    </row>
    <row r="422" spans="1:37" s="33" customFormat="1">
      <c r="A422" s="29" t="str">
        <f>VLOOKUP(H422,Languages!$A$2:$B$430,2,FALSE)</f>
        <v>Austronesian</v>
      </c>
      <c r="B422" s="29" t="s">
        <v>67</v>
      </c>
      <c r="C422" s="29" t="s">
        <v>255</v>
      </c>
      <c r="D422" s="29" t="s">
        <v>3925</v>
      </c>
      <c r="E422" s="30" t="s">
        <v>3926</v>
      </c>
      <c r="F422" s="30" t="s">
        <v>2077</v>
      </c>
      <c r="G422" s="29" t="s">
        <v>3926</v>
      </c>
      <c r="H422" s="29" t="str">
        <f>VLOOKUP(G422,'languoid 4.0'!$A$1:$I$24439,2,FALSE)</f>
        <v>aust1307</v>
      </c>
      <c r="I422" s="29" t="str">
        <f>VLOOKUP(G422,'languoid 4.0'!$A$1:$I$24439,6,FALSE)</f>
        <v>language</v>
      </c>
      <c r="J422" s="30" t="s">
        <v>52</v>
      </c>
      <c r="K422" s="30" t="s">
        <v>38</v>
      </c>
      <c r="L422" s="30" t="s">
        <v>38</v>
      </c>
      <c r="M422" s="29"/>
      <c r="N422" s="29" t="s">
        <v>3927</v>
      </c>
      <c r="O422" s="30" t="s">
        <v>40</v>
      </c>
      <c r="P422" s="30" t="s">
        <v>41</v>
      </c>
      <c r="Q422" s="29" t="s">
        <v>3928</v>
      </c>
      <c r="R422" s="31" t="s">
        <v>3929</v>
      </c>
      <c r="S422" s="29" t="s">
        <v>46</v>
      </c>
      <c r="T422" s="29" t="s">
        <v>635</v>
      </c>
      <c r="U422" s="29" t="s">
        <v>636</v>
      </c>
      <c r="V422" s="29" t="s">
        <v>45</v>
      </c>
      <c r="W422" s="29"/>
      <c r="X422" s="29"/>
      <c r="Y422" s="29"/>
      <c r="Z422" s="29" t="s">
        <v>658</v>
      </c>
      <c r="AA422" s="29" t="s">
        <v>3930</v>
      </c>
      <c r="AB422" s="29" t="s">
        <v>3931</v>
      </c>
      <c r="AC422" s="29" t="s">
        <v>46</v>
      </c>
      <c r="AD422" s="29"/>
      <c r="AE422" s="29" t="s">
        <v>641</v>
      </c>
      <c r="AF422" s="29" t="s">
        <v>190</v>
      </c>
      <c r="AG422" s="29">
        <v>6</v>
      </c>
      <c r="AH422" s="29" t="s">
        <v>190</v>
      </c>
      <c r="AI422" s="29"/>
      <c r="AJ422" s="29" t="s">
        <v>3932</v>
      </c>
      <c r="AK422" s="29" t="s">
        <v>1749</v>
      </c>
    </row>
    <row r="423" spans="1:37" s="33" customFormat="1">
      <c r="A423" s="29" t="str">
        <f>VLOOKUP(H423,Languages!$A$2:$B$430,2,FALSE)</f>
        <v>Austronesian</v>
      </c>
      <c r="B423" s="29" t="s">
        <v>59</v>
      </c>
      <c r="C423" s="29" t="s">
        <v>82</v>
      </c>
      <c r="D423" s="29" t="s">
        <v>4466</v>
      </c>
      <c r="E423" s="30" t="s">
        <v>4467</v>
      </c>
      <c r="F423" s="30" t="s">
        <v>4467</v>
      </c>
      <c r="G423" s="29" t="s">
        <v>4467</v>
      </c>
      <c r="H423" s="29" t="str">
        <f>VLOOKUP(G423,'languoid 4.0'!$A$1:$I$24439,2,FALSE)</f>
        <v>aust1307</v>
      </c>
      <c r="I423" s="29" t="str">
        <f>VLOOKUP(G423,'languoid 4.0'!$A$1:$I$24439,6,FALSE)</f>
        <v>language</v>
      </c>
      <c r="J423" s="30" t="s">
        <v>38</v>
      </c>
      <c r="K423" s="30" t="s">
        <v>38</v>
      </c>
      <c r="L423" s="30" t="s">
        <v>38</v>
      </c>
      <c r="M423" s="29"/>
      <c r="N423" s="29" t="s">
        <v>4468</v>
      </c>
      <c r="O423" s="30" t="s">
        <v>40</v>
      </c>
      <c r="P423" s="30" t="s">
        <v>41</v>
      </c>
      <c r="Q423" s="29" t="s">
        <v>4474</v>
      </c>
      <c r="R423" s="31" t="s">
        <v>4475</v>
      </c>
      <c r="S423" s="29" t="s">
        <v>2589</v>
      </c>
      <c r="T423" s="29" t="s">
        <v>693</v>
      </c>
      <c r="U423" s="29" t="s">
        <v>636</v>
      </c>
      <c r="V423" s="29" t="s">
        <v>45</v>
      </c>
      <c r="W423" s="29"/>
      <c r="X423" s="29"/>
      <c r="Y423" s="29"/>
      <c r="Z423" s="29" t="s">
        <v>637</v>
      </c>
      <c r="AA423" s="29" t="s">
        <v>4476</v>
      </c>
      <c r="AB423" s="29" t="s">
        <v>4477</v>
      </c>
      <c r="AC423" s="29" t="s">
        <v>4478</v>
      </c>
      <c r="AD423" s="29"/>
      <c r="AE423" s="29" t="s">
        <v>641</v>
      </c>
      <c r="AF423" s="29" t="s">
        <v>190</v>
      </c>
      <c r="AG423" s="29">
        <v>6</v>
      </c>
      <c r="AH423" s="29" t="s">
        <v>190</v>
      </c>
      <c r="AI423" s="29"/>
      <c r="AJ423" s="32">
        <v>43226.672048611108</v>
      </c>
      <c r="AK423" s="29" t="s">
        <v>4274</v>
      </c>
    </row>
    <row r="424" spans="1:37" s="33" customFormat="1">
      <c r="A424" s="29" t="str">
        <f>VLOOKUP(H424,Languages!$A$2:$B$430,2,FALSE)</f>
        <v>Austronesian</v>
      </c>
      <c r="B424" s="29" t="s">
        <v>59</v>
      </c>
      <c r="C424" s="29" t="s">
        <v>82</v>
      </c>
      <c r="D424" s="29" t="s">
        <v>4579</v>
      </c>
      <c r="E424" s="30" t="s">
        <v>4580</v>
      </c>
      <c r="F424" s="30" t="s">
        <v>4580</v>
      </c>
      <c r="G424" s="29" t="s">
        <v>4580</v>
      </c>
      <c r="H424" s="29" t="str">
        <f>VLOOKUP(G424,'languoid 4.0'!$A$1:$I$24439,2,FALSE)</f>
        <v>aust1307</v>
      </c>
      <c r="I424" s="29" t="str">
        <f>VLOOKUP(G424,'languoid 4.0'!$A$1:$I$24439,6,FALSE)</f>
        <v>language</v>
      </c>
      <c r="J424" s="30" t="s">
        <v>38</v>
      </c>
      <c r="K424" s="30" t="s">
        <v>38</v>
      </c>
      <c r="L424" s="30" t="s">
        <v>38</v>
      </c>
      <c r="M424" s="29"/>
      <c r="N424" s="29" t="s">
        <v>4581</v>
      </c>
      <c r="O424" s="30" t="s">
        <v>40</v>
      </c>
      <c r="P424" s="30" t="s">
        <v>41</v>
      </c>
      <c r="Q424" s="29" t="s">
        <v>4582</v>
      </c>
      <c r="R424" s="31" t="s">
        <v>4583</v>
      </c>
      <c r="S424" s="29" t="s">
        <v>2589</v>
      </c>
      <c r="T424" s="29" t="s">
        <v>635</v>
      </c>
      <c r="U424" s="29" t="s">
        <v>636</v>
      </c>
      <c r="V424" s="29" t="s">
        <v>45</v>
      </c>
      <c r="W424" s="29"/>
      <c r="X424" s="29"/>
      <c r="Y424" s="29"/>
      <c r="Z424" s="29" t="s">
        <v>673</v>
      </c>
      <c r="AA424" s="29" t="s">
        <v>4584</v>
      </c>
      <c r="AB424" s="29" t="s">
        <v>4585</v>
      </c>
      <c r="AC424" s="29" t="s">
        <v>4586</v>
      </c>
      <c r="AD424" s="29"/>
      <c r="AE424" s="29" t="s">
        <v>641</v>
      </c>
      <c r="AF424" s="29" t="s">
        <v>190</v>
      </c>
      <c r="AG424" s="29">
        <v>6</v>
      </c>
      <c r="AH424" s="29" t="s">
        <v>190</v>
      </c>
      <c r="AI424" s="29"/>
      <c r="AJ424" s="32">
        <v>43318.588483796295</v>
      </c>
      <c r="AK424" s="29" t="s">
        <v>4274</v>
      </c>
    </row>
    <row r="425" spans="1:37" s="33" customFormat="1">
      <c r="A425" s="29" t="str">
        <f>VLOOKUP(H425,Languages!$A$2:$B$430,2,FALSE)</f>
        <v>Austronesian</v>
      </c>
      <c r="B425" s="29" t="s">
        <v>59</v>
      </c>
      <c r="C425" s="29" t="s">
        <v>82</v>
      </c>
      <c r="D425" s="29" t="s">
        <v>4579</v>
      </c>
      <c r="E425" s="30" t="s">
        <v>4580</v>
      </c>
      <c r="F425" s="30" t="s">
        <v>4580</v>
      </c>
      <c r="G425" s="29" t="s">
        <v>4580</v>
      </c>
      <c r="H425" s="29" t="str">
        <f>VLOOKUP(G425,'languoid 4.0'!$A$1:$I$24439,2,FALSE)</f>
        <v>aust1307</v>
      </c>
      <c r="I425" s="29" t="str">
        <f>VLOOKUP(G425,'languoid 4.0'!$A$1:$I$24439,6,FALSE)</f>
        <v>language</v>
      </c>
      <c r="J425" s="30" t="s">
        <v>38</v>
      </c>
      <c r="K425" s="30" t="s">
        <v>38</v>
      </c>
      <c r="L425" s="30" t="s">
        <v>38</v>
      </c>
      <c r="M425" s="29"/>
      <c r="N425" s="29" t="s">
        <v>4581</v>
      </c>
      <c r="O425" s="30" t="s">
        <v>40</v>
      </c>
      <c r="P425" s="30" t="s">
        <v>41</v>
      </c>
      <c r="Q425" s="29" t="s">
        <v>4593</v>
      </c>
      <c r="R425" s="31" t="s">
        <v>4594</v>
      </c>
      <c r="S425" s="29" t="s">
        <v>2589</v>
      </c>
      <c r="T425" s="29" t="s">
        <v>693</v>
      </c>
      <c r="U425" s="29" t="s">
        <v>636</v>
      </c>
      <c r="V425" s="29" t="s">
        <v>45</v>
      </c>
      <c r="W425" s="29"/>
      <c r="X425" s="29"/>
      <c r="Y425" s="29"/>
      <c r="Z425" s="29" t="s">
        <v>637</v>
      </c>
      <c r="AA425" s="29" t="s">
        <v>4595</v>
      </c>
      <c r="AB425" s="29" t="s">
        <v>4596</v>
      </c>
      <c r="AC425" s="29" t="s">
        <v>4597</v>
      </c>
      <c r="AD425" s="29"/>
      <c r="AE425" s="29" t="s">
        <v>641</v>
      </c>
      <c r="AF425" s="29" t="s">
        <v>190</v>
      </c>
      <c r="AG425" s="29">
        <v>6</v>
      </c>
      <c r="AH425" s="29" t="s">
        <v>190</v>
      </c>
      <c r="AI425" s="29"/>
      <c r="AJ425" s="32">
        <v>43318.597233796296</v>
      </c>
      <c r="AK425" s="29" t="s">
        <v>4274</v>
      </c>
    </row>
    <row r="426" spans="1:37" s="33" customFormat="1">
      <c r="A426" s="29" t="str">
        <f>VLOOKUP(H426,Languages!$A$2:$B$430,2,FALSE)</f>
        <v>Austronesian</v>
      </c>
      <c r="B426" s="29" t="s">
        <v>59</v>
      </c>
      <c r="C426" s="29" t="s">
        <v>82</v>
      </c>
      <c r="D426" s="29" t="s">
        <v>4466</v>
      </c>
      <c r="E426" s="30" t="s">
        <v>4467</v>
      </c>
      <c r="F426" s="30" t="s">
        <v>4467</v>
      </c>
      <c r="G426" s="29" t="s">
        <v>4467</v>
      </c>
      <c r="H426" s="29" t="str">
        <f>VLOOKUP(G426,'languoid 4.0'!$A$1:$I$24439,2,FALSE)</f>
        <v>aust1307</v>
      </c>
      <c r="I426" s="29" t="str">
        <f>VLOOKUP(G426,'languoid 4.0'!$A$1:$I$24439,6,FALSE)</f>
        <v>language</v>
      </c>
      <c r="J426" s="30" t="s">
        <v>38</v>
      </c>
      <c r="K426" s="30" t="s">
        <v>38</v>
      </c>
      <c r="L426" s="30" t="s">
        <v>38</v>
      </c>
      <c r="M426" s="29"/>
      <c r="N426" s="29" t="s">
        <v>4468</v>
      </c>
      <c r="O426" s="30" t="s">
        <v>40</v>
      </c>
      <c r="P426" s="30" t="s">
        <v>41</v>
      </c>
      <c r="Q426" s="29" t="s">
        <v>9596</v>
      </c>
      <c r="R426" s="31" t="s">
        <v>9591</v>
      </c>
      <c r="S426" s="29" t="s">
        <v>600</v>
      </c>
      <c r="T426" s="29" t="s">
        <v>8277</v>
      </c>
      <c r="U426" s="29" t="s">
        <v>636</v>
      </c>
      <c r="V426" s="29" t="s">
        <v>45</v>
      </c>
      <c r="W426" s="29"/>
      <c r="X426" s="29"/>
      <c r="Y426" s="29"/>
      <c r="Z426" s="29" t="s">
        <v>658</v>
      </c>
      <c r="AA426" s="29" t="s">
        <v>9597</v>
      </c>
      <c r="AB426" s="29" t="s">
        <v>46</v>
      </c>
      <c r="AC426" s="29" t="s">
        <v>46</v>
      </c>
      <c r="AD426" s="29"/>
      <c r="AE426" s="29" t="s">
        <v>641</v>
      </c>
      <c r="AF426" s="29" t="s">
        <v>190</v>
      </c>
      <c r="AG426" s="29">
        <v>5</v>
      </c>
      <c r="AH426" s="29" t="s">
        <v>190</v>
      </c>
      <c r="AI426" s="29"/>
      <c r="AJ426" s="32">
        <v>43414.506805555553</v>
      </c>
      <c r="AK426" s="29" t="s">
        <v>9595</v>
      </c>
    </row>
    <row r="427" spans="1:37" s="33" customFormat="1">
      <c r="A427" s="29" t="str">
        <f>VLOOKUP(H427,Languages!$A$2:$B$430,2,FALSE)</f>
        <v>Austronesian</v>
      </c>
      <c r="B427" s="29" t="s">
        <v>59</v>
      </c>
      <c r="C427" s="29" t="s">
        <v>66</v>
      </c>
      <c r="D427" s="29" t="s">
        <v>324</v>
      </c>
      <c r="E427" s="34" t="s">
        <v>325</v>
      </c>
      <c r="F427" s="35" t="s">
        <v>325</v>
      </c>
      <c r="G427" s="36" t="s">
        <v>325</v>
      </c>
      <c r="H427" s="29" t="str">
        <f>VLOOKUP(G427,'languoid 4.0'!$A$1:$I$24439,2,FALSE)</f>
        <v>aust1307</v>
      </c>
      <c r="I427" s="29" t="str">
        <f>VLOOKUP(G427,'languoid 4.0'!$A$1:$I$24439,6,FALSE)</f>
        <v>language</v>
      </c>
      <c r="J427" s="30" t="s">
        <v>38</v>
      </c>
      <c r="K427" s="30" t="s">
        <v>38</v>
      </c>
      <c r="L427" s="30" t="s">
        <v>38</v>
      </c>
      <c r="M427" s="29"/>
      <c r="N427" s="29" t="s">
        <v>326</v>
      </c>
      <c r="O427" s="30" t="s">
        <v>40</v>
      </c>
      <c r="P427" s="30" t="s">
        <v>41</v>
      </c>
      <c r="Q427" s="29" t="s">
        <v>327</v>
      </c>
      <c r="R427" s="31" t="s">
        <v>72</v>
      </c>
      <c r="S427" s="29" t="s">
        <v>328</v>
      </c>
      <c r="T427" s="29" t="s">
        <v>44</v>
      </c>
      <c r="U427" s="29"/>
      <c r="V427" s="29" t="s">
        <v>45</v>
      </c>
      <c r="W427" s="29"/>
      <c r="X427" s="29"/>
      <c r="Y427" s="29"/>
      <c r="Z427" s="29"/>
      <c r="AA427" s="29">
        <v>14</v>
      </c>
      <c r="AB427" s="29">
        <v>14</v>
      </c>
      <c r="AC427" s="29">
        <v>14</v>
      </c>
      <c r="AD427" s="29"/>
      <c r="AE427" s="29"/>
      <c r="AF427" s="29"/>
      <c r="AG427" s="29"/>
      <c r="AH427" s="29"/>
      <c r="AI427" s="29"/>
      <c r="AJ427" s="32">
        <v>43102.742314814815</v>
      </c>
      <c r="AK427" s="29" t="s">
        <v>47</v>
      </c>
    </row>
    <row r="428" spans="1:37" s="33" customFormat="1">
      <c r="A428" s="29" t="str">
        <f>VLOOKUP(H428,Languages!$A$2:$B$430,2,FALSE)</f>
        <v>Austronesian</v>
      </c>
      <c r="B428" s="29" t="s">
        <v>59</v>
      </c>
      <c r="C428" s="29" t="s">
        <v>66</v>
      </c>
      <c r="D428" s="29" t="s">
        <v>10878</v>
      </c>
      <c r="E428" s="30" t="s">
        <v>51</v>
      </c>
      <c r="F428" s="30" t="s">
        <v>51</v>
      </c>
      <c r="G428" s="29" t="s">
        <v>10879</v>
      </c>
      <c r="H428" s="29" t="str">
        <f>VLOOKUP(G428,'languoid 4.0'!$A$1:$I$24439,2,FALSE)</f>
        <v>aust1307</v>
      </c>
      <c r="I428" s="29" t="str">
        <f>VLOOKUP(G428,'languoid 4.0'!$A$1:$I$24439,6,FALSE)</f>
        <v>family</v>
      </c>
      <c r="J428" s="30" t="s">
        <v>51</v>
      </c>
      <c r="K428" s="30" t="s">
        <v>51</v>
      </c>
      <c r="L428" s="30" t="s">
        <v>51</v>
      </c>
      <c r="M428" s="29"/>
      <c r="N428" s="29" t="e">
        <v>#N/A</v>
      </c>
      <c r="O428" s="30" t="s">
        <v>690</v>
      </c>
      <c r="P428" s="30"/>
      <c r="Q428" s="29" t="s">
        <v>10891</v>
      </c>
      <c r="R428" s="31" t="s">
        <v>10892</v>
      </c>
      <c r="S428" s="29" t="s">
        <v>10849</v>
      </c>
      <c r="T428" s="29" t="s">
        <v>822</v>
      </c>
      <c r="U428" s="29" t="s">
        <v>636</v>
      </c>
      <c r="V428" s="29" t="s">
        <v>45</v>
      </c>
      <c r="W428" s="29"/>
      <c r="X428" s="29"/>
      <c r="Y428" s="29"/>
      <c r="Z428" s="29" t="s">
        <v>637</v>
      </c>
      <c r="AA428" s="29" t="s">
        <v>10893</v>
      </c>
      <c r="AB428" s="29" t="s">
        <v>10894</v>
      </c>
      <c r="AC428" s="29" t="s">
        <v>46</v>
      </c>
      <c r="AD428" s="29"/>
      <c r="AE428" s="29" t="s">
        <v>641</v>
      </c>
      <c r="AF428" s="29" t="s">
        <v>190</v>
      </c>
      <c r="AG428" s="29">
        <v>6</v>
      </c>
      <c r="AH428" s="29" t="s">
        <v>190</v>
      </c>
      <c r="AI428" s="29" t="s">
        <v>10895</v>
      </c>
      <c r="AJ428" s="32">
        <v>43385.987673611111</v>
      </c>
      <c r="AK428" s="29" t="s">
        <v>10783</v>
      </c>
    </row>
    <row r="429" spans="1:37" s="33" customFormat="1">
      <c r="A429" s="29" t="str">
        <f>VLOOKUP(H429,Languages!$A$2:$B$430,2,FALSE)</f>
        <v>Austronesian</v>
      </c>
      <c r="B429" s="29" t="s">
        <v>59</v>
      </c>
      <c r="C429" s="29" t="s">
        <v>66</v>
      </c>
      <c r="D429" s="29" t="s">
        <v>10878</v>
      </c>
      <c r="E429" s="30" t="s">
        <v>51</v>
      </c>
      <c r="F429" s="30" t="s">
        <v>51</v>
      </c>
      <c r="G429" s="29" t="s">
        <v>10879</v>
      </c>
      <c r="H429" s="29" t="str">
        <f>VLOOKUP(G429,'languoid 4.0'!$A$1:$I$24439,2,FALSE)</f>
        <v>aust1307</v>
      </c>
      <c r="I429" s="29" t="str">
        <f>VLOOKUP(G429,'languoid 4.0'!$A$1:$I$24439,6,FALSE)</f>
        <v>family</v>
      </c>
      <c r="J429" s="30" t="s">
        <v>51</v>
      </c>
      <c r="K429" s="30" t="s">
        <v>51</v>
      </c>
      <c r="L429" s="30" t="s">
        <v>51</v>
      </c>
      <c r="M429" s="29"/>
      <c r="N429" s="29" t="e">
        <v>#N/A</v>
      </c>
      <c r="O429" s="30" t="s">
        <v>690</v>
      </c>
      <c r="P429" s="30"/>
      <c r="Q429" s="29" t="s">
        <v>10896</v>
      </c>
      <c r="R429" s="31" t="s">
        <v>10897</v>
      </c>
      <c r="S429" s="29" t="s">
        <v>10849</v>
      </c>
      <c r="T429" s="29" t="s">
        <v>822</v>
      </c>
      <c r="U429" s="29" t="s">
        <v>636</v>
      </c>
      <c r="V429" s="29" t="s">
        <v>45</v>
      </c>
      <c r="W429" s="29"/>
      <c r="X429" s="29"/>
      <c r="Y429" s="29"/>
      <c r="Z429" s="29" t="s">
        <v>637</v>
      </c>
      <c r="AA429" s="29" t="s">
        <v>10898</v>
      </c>
      <c r="AB429" s="29" t="s">
        <v>10899</v>
      </c>
      <c r="AC429" s="29" t="s">
        <v>46</v>
      </c>
      <c r="AD429" s="29"/>
      <c r="AE429" s="29" t="s">
        <v>641</v>
      </c>
      <c r="AF429" s="29" t="s">
        <v>190</v>
      </c>
      <c r="AG429" s="29">
        <v>6</v>
      </c>
      <c r="AH429" s="29" t="s">
        <v>190</v>
      </c>
      <c r="AI429" s="29" t="s">
        <v>10895</v>
      </c>
      <c r="AJ429" s="32">
        <v>43385.994814814818</v>
      </c>
      <c r="AK429" s="29" t="s">
        <v>10783</v>
      </c>
    </row>
    <row r="430" spans="1:37" s="33" customFormat="1">
      <c r="A430" s="29" t="str">
        <f>VLOOKUP(H430,Languages!$A$2:$B$430,2,FALSE)</f>
        <v>Austronesian</v>
      </c>
      <c r="B430" s="29" t="s">
        <v>59</v>
      </c>
      <c r="C430" s="29" t="s">
        <v>66</v>
      </c>
      <c r="D430" s="29" t="s">
        <v>10878</v>
      </c>
      <c r="E430" s="30" t="s">
        <v>51</v>
      </c>
      <c r="F430" s="30" t="s">
        <v>51</v>
      </c>
      <c r="G430" s="29" t="s">
        <v>10879</v>
      </c>
      <c r="H430" s="29" t="str">
        <f>VLOOKUP(G430,'languoid 4.0'!$A$1:$I$24439,2,FALSE)</f>
        <v>aust1307</v>
      </c>
      <c r="I430" s="29" t="str">
        <f>VLOOKUP(G430,'languoid 4.0'!$A$1:$I$24439,6,FALSE)</f>
        <v>family</v>
      </c>
      <c r="J430" s="30" t="s">
        <v>51</v>
      </c>
      <c r="K430" s="30" t="s">
        <v>51</v>
      </c>
      <c r="L430" s="30" t="s">
        <v>51</v>
      </c>
      <c r="M430" s="29"/>
      <c r="N430" s="29" t="e">
        <v>#N/A</v>
      </c>
      <c r="O430" s="30" t="s">
        <v>690</v>
      </c>
      <c r="P430" s="30"/>
      <c r="Q430" s="29" t="s">
        <v>10900</v>
      </c>
      <c r="R430" s="31" t="s">
        <v>10901</v>
      </c>
      <c r="S430" s="29" t="s">
        <v>10849</v>
      </c>
      <c r="T430" s="29" t="s">
        <v>822</v>
      </c>
      <c r="U430" s="29" t="s">
        <v>636</v>
      </c>
      <c r="V430" s="29" t="s">
        <v>45</v>
      </c>
      <c r="W430" s="29"/>
      <c r="X430" s="29"/>
      <c r="Y430" s="29"/>
      <c r="Z430" s="29" t="s">
        <v>637</v>
      </c>
      <c r="AA430" s="29" t="s">
        <v>10902</v>
      </c>
      <c r="AB430" s="29" t="s">
        <v>10903</v>
      </c>
      <c r="AC430" s="29" t="s">
        <v>46</v>
      </c>
      <c r="AD430" s="29"/>
      <c r="AE430" s="29" t="s">
        <v>641</v>
      </c>
      <c r="AF430" s="29" t="s">
        <v>190</v>
      </c>
      <c r="AG430" s="29">
        <v>6</v>
      </c>
      <c r="AH430" s="29" t="s">
        <v>190</v>
      </c>
      <c r="AI430" s="29" t="s">
        <v>10895</v>
      </c>
      <c r="AJ430" s="32">
        <v>43385.998923611114</v>
      </c>
      <c r="AK430" s="29" t="s">
        <v>10783</v>
      </c>
    </row>
    <row r="431" spans="1:37" s="33" customFormat="1">
      <c r="A431" s="29" t="str">
        <f>VLOOKUP(H431,Languages!$A$2:$B$430,2,FALSE)</f>
        <v>Austronesian</v>
      </c>
      <c r="B431" s="29" t="s">
        <v>59</v>
      </c>
      <c r="C431" s="29" t="s">
        <v>66</v>
      </c>
      <c r="D431" s="29" t="s">
        <v>11035</v>
      </c>
      <c r="E431" s="30" t="s">
        <v>69</v>
      </c>
      <c r="F431" s="30" t="s">
        <v>69</v>
      </c>
      <c r="G431" s="29" t="s">
        <v>69</v>
      </c>
      <c r="H431" s="29" t="str">
        <f>VLOOKUP(G431,'languoid 4.0'!$A$1:$I$24439,2,FALSE)</f>
        <v>aust1307</v>
      </c>
      <c r="I431" s="29" t="str">
        <f>VLOOKUP(G431,'languoid 4.0'!$A$1:$I$24439,6,FALSE)</f>
        <v>language</v>
      </c>
      <c r="J431" s="30" t="s">
        <v>38</v>
      </c>
      <c r="K431" s="30" t="s">
        <v>38</v>
      </c>
      <c r="L431" s="30" t="s">
        <v>38</v>
      </c>
      <c r="M431" s="29"/>
      <c r="N431" s="29" t="s">
        <v>70</v>
      </c>
      <c r="O431" s="30" t="s">
        <v>40</v>
      </c>
      <c r="P431" s="30" t="s">
        <v>41</v>
      </c>
      <c r="Q431" s="29" t="s">
        <v>11036</v>
      </c>
      <c r="R431" s="31" t="s">
        <v>11037</v>
      </c>
      <c r="S431" s="29" t="s">
        <v>11017</v>
      </c>
      <c r="T431" s="29" t="s">
        <v>822</v>
      </c>
      <c r="U431" s="29" t="s">
        <v>1726</v>
      </c>
      <c r="V431" s="29" t="s">
        <v>45</v>
      </c>
      <c r="W431" s="29"/>
      <c r="X431" s="29"/>
      <c r="Y431" s="29"/>
      <c r="Z431" s="29" t="s">
        <v>658</v>
      </c>
      <c r="AA431" s="29" t="s">
        <v>11038</v>
      </c>
      <c r="AB431" s="29" t="s">
        <v>46</v>
      </c>
      <c r="AC431" s="29" t="s">
        <v>46</v>
      </c>
      <c r="AD431" s="29"/>
      <c r="AE431" s="29" t="s">
        <v>641</v>
      </c>
      <c r="AF431" s="29" t="s">
        <v>190</v>
      </c>
      <c r="AG431" s="29">
        <v>6</v>
      </c>
      <c r="AH431" s="29" t="s">
        <v>190</v>
      </c>
      <c r="AI431" s="29"/>
      <c r="AJ431" s="29" t="s">
        <v>11039</v>
      </c>
      <c r="AK431" s="29" t="s">
        <v>10783</v>
      </c>
    </row>
    <row r="432" spans="1:37" s="33" customFormat="1">
      <c r="A432" s="29" t="str">
        <f>VLOOKUP(H432,Languages!$A$2:$B$430,2,FALSE)</f>
        <v>Austronesian</v>
      </c>
      <c r="B432" s="29" t="s">
        <v>59</v>
      </c>
      <c r="C432" s="29" t="s">
        <v>66</v>
      </c>
      <c r="D432" s="29" t="s">
        <v>10878</v>
      </c>
      <c r="E432" s="30" t="s">
        <v>51</v>
      </c>
      <c r="F432" s="30" t="s">
        <v>51</v>
      </c>
      <c r="G432" s="29" t="s">
        <v>325</v>
      </c>
      <c r="H432" s="29" t="str">
        <f>VLOOKUP(G432,'languoid 4.0'!$A$1:$I$24439,2,FALSE)</f>
        <v>aust1307</v>
      </c>
      <c r="I432" s="29" t="str">
        <f>VLOOKUP(G432,'languoid 4.0'!$A$1:$I$24439,6,FALSE)</f>
        <v>language</v>
      </c>
      <c r="J432" s="30" t="s">
        <v>51</v>
      </c>
      <c r="K432" s="30" t="s">
        <v>51</v>
      </c>
      <c r="L432" s="30" t="s">
        <v>51</v>
      </c>
      <c r="M432" s="29"/>
      <c r="N432" s="29" t="e">
        <v>#N/A</v>
      </c>
      <c r="O432" s="30" t="s">
        <v>690</v>
      </c>
      <c r="P432" s="30"/>
      <c r="Q432" s="29" t="s">
        <v>11097</v>
      </c>
      <c r="R432" s="31" t="s">
        <v>11098</v>
      </c>
      <c r="S432" s="29" t="s">
        <v>11017</v>
      </c>
      <c r="T432" s="29" t="s">
        <v>822</v>
      </c>
      <c r="U432" s="29" t="s">
        <v>636</v>
      </c>
      <c r="V432" s="29" t="s">
        <v>45</v>
      </c>
      <c r="W432" s="29"/>
      <c r="X432" s="29"/>
      <c r="Y432" s="29"/>
      <c r="Z432" s="29" t="s">
        <v>637</v>
      </c>
      <c r="AA432" s="29" t="s">
        <v>11099</v>
      </c>
      <c r="AB432" s="29" t="s">
        <v>11100</v>
      </c>
      <c r="AC432" s="29" t="s">
        <v>46</v>
      </c>
      <c r="AD432" s="29"/>
      <c r="AE432" s="29" t="s">
        <v>641</v>
      </c>
      <c r="AF432" s="29" t="s">
        <v>190</v>
      </c>
      <c r="AG432" s="29">
        <v>6</v>
      </c>
      <c r="AH432" s="29" t="s">
        <v>190</v>
      </c>
      <c r="AI432" s="29" t="s">
        <v>11101</v>
      </c>
      <c r="AJ432" s="29" t="s">
        <v>11102</v>
      </c>
      <c r="AK432" s="29" t="s">
        <v>10783</v>
      </c>
    </row>
    <row r="433" spans="1:37" s="33" customFormat="1">
      <c r="A433" s="29" t="str">
        <f>VLOOKUP(H433,Languages!$A$2:$B$430,2,FALSE)</f>
        <v>Austronesian</v>
      </c>
      <c r="B433" s="29" t="s">
        <v>59</v>
      </c>
      <c r="C433" s="29" t="s">
        <v>198</v>
      </c>
      <c r="D433" s="29" t="s">
        <v>199</v>
      </c>
      <c r="E433" s="30" t="s">
        <v>200</v>
      </c>
      <c r="F433" s="30" t="s">
        <v>200</v>
      </c>
      <c r="G433" s="29" t="s">
        <v>200</v>
      </c>
      <c r="H433" s="29" t="str">
        <f>VLOOKUP(G433,'languoid 4.0'!$A$1:$I$24439,2,FALSE)</f>
        <v>aust1307</v>
      </c>
      <c r="I433" s="29" t="str">
        <f>VLOOKUP(G433,'languoid 4.0'!$A$1:$I$24439,6,FALSE)</f>
        <v>language</v>
      </c>
      <c r="J433" s="30" t="s">
        <v>38</v>
      </c>
      <c r="K433" s="30" t="s">
        <v>38</v>
      </c>
      <c r="L433" s="30" t="s">
        <v>38</v>
      </c>
      <c r="M433" s="29"/>
      <c r="N433" s="29" t="s">
        <v>201</v>
      </c>
      <c r="O433" s="30" t="s">
        <v>40</v>
      </c>
      <c r="P433" s="30" t="s">
        <v>41</v>
      </c>
      <c r="Q433" s="29" t="s">
        <v>548</v>
      </c>
      <c r="R433" s="31" t="s">
        <v>203</v>
      </c>
      <c r="S433" s="29" t="s">
        <v>43</v>
      </c>
      <c r="T433" s="29" t="s">
        <v>44</v>
      </c>
      <c r="U433" s="29"/>
      <c r="V433" s="29" t="s">
        <v>45</v>
      </c>
      <c r="W433" s="29"/>
      <c r="X433" s="29"/>
      <c r="Y433" s="29"/>
      <c r="Z433" s="29"/>
      <c r="AA433" s="29">
        <v>5</v>
      </c>
      <c r="AB433" s="29" t="s">
        <v>549</v>
      </c>
      <c r="AC433" s="29">
        <v>5</v>
      </c>
      <c r="AD433" s="29"/>
      <c r="AE433" s="29"/>
      <c r="AF433" s="29"/>
      <c r="AG433" s="29"/>
      <c r="AH433" s="29"/>
      <c r="AI433" s="29"/>
      <c r="AJ433" s="32">
        <v>43102.756099537037</v>
      </c>
      <c r="AK433" s="29" t="s">
        <v>172</v>
      </c>
    </row>
    <row r="434" spans="1:37" s="33" customFormat="1">
      <c r="A434" s="29" t="str">
        <f>VLOOKUP(H434,Languages!$A$2:$B$430,2,FALSE)</f>
        <v>Austronesian</v>
      </c>
      <c r="B434" s="29" t="s">
        <v>59</v>
      </c>
      <c r="C434" s="29" t="s">
        <v>198</v>
      </c>
      <c r="D434" s="29" t="s">
        <v>1657</v>
      </c>
      <c r="E434" s="30" t="s">
        <v>227</v>
      </c>
      <c r="F434" s="30" t="s">
        <v>227</v>
      </c>
      <c r="G434" s="29" t="s">
        <v>227</v>
      </c>
      <c r="H434" s="29" t="str">
        <f>VLOOKUP(G434,'languoid 4.0'!$A$1:$I$24439,2,FALSE)</f>
        <v>aust1307</v>
      </c>
      <c r="I434" s="29" t="str">
        <f>VLOOKUP(G434,'languoid 4.0'!$A$1:$I$24439,6,FALSE)</f>
        <v>language</v>
      </c>
      <c r="J434" s="30" t="s">
        <v>38</v>
      </c>
      <c r="K434" s="30" t="s">
        <v>38</v>
      </c>
      <c r="L434" s="30" t="s">
        <v>38</v>
      </c>
      <c r="M434" s="29"/>
      <c r="N434" s="29" t="s">
        <v>228</v>
      </c>
      <c r="O434" s="30" t="s">
        <v>40</v>
      </c>
      <c r="P434" s="30" t="s">
        <v>41</v>
      </c>
      <c r="Q434" s="29" t="s">
        <v>1658</v>
      </c>
      <c r="R434" s="31" t="s">
        <v>1659</v>
      </c>
      <c r="S434" s="29" t="s">
        <v>46</v>
      </c>
      <c r="T434" s="29" t="s">
        <v>635</v>
      </c>
      <c r="U434" s="29" t="s">
        <v>636</v>
      </c>
      <c r="V434" s="29" t="s">
        <v>45</v>
      </c>
      <c r="W434" s="29"/>
      <c r="X434" s="29"/>
      <c r="Y434" s="29"/>
      <c r="Z434" s="29" t="s">
        <v>658</v>
      </c>
      <c r="AA434" s="29" t="s">
        <v>1660</v>
      </c>
      <c r="AB434" s="29" t="s">
        <v>46</v>
      </c>
      <c r="AC434" s="29" t="s">
        <v>46</v>
      </c>
      <c r="AD434" s="29" t="s">
        <v>1661</v>
      </c>
      <c r="AE434" s="29"/>
      <c r="AF434" s="29"/>
      <c r="AG434" s="29"/>
      <c r="AH434" s="29" t="s">
        <v>45</v>
      </c>
      <c r="AI434" s="29"/>
      <c r="AJ434" s="32">
        <v>43346.437048611115</v>
      </c>
      <c r="AK434" s="29" t="s">
        <v>1598</v>
      </c>
    </row>
    <row r="435" spans="1:37" s="33" customFormat="1">
      <c r="A435" s="29" t="str">
        <f>VLOOKUP(H435,Languages!$A$2:$B$430,2,FALSE)</f>
        <v>Austronesian</v>
      </c>
      <c r="B435" s="29" t="s">
        <v>59</v>
      </c>
      <c r="C435" s="29" t="s">
        <v>198</v>
      </c>
      <c r="D435" s="29" t="s">
        <v>1657</v>
      </c>
      <c r="E435" s="30" t="s">
        <v>227</v>
      </c>
      <c r="F435" s="30" t="s">
        <v>227</v>
      </c>
      <c r="G435" s="29" t="s">
        <v>227</v>
      </c>
      <c r="H435" s="29" t="str">
        <f>VLOOKUP(G435,'languoid 4.0'!$A$1:$I$24439,2,FALSE)</f>
        <v>aust1307</v>
      </c>
      <c r="I435" s="29" t="str">
        <f>VLOOKUP(G435,'languoid 4.0'!$A$1:$I$24439,6,FALSE)</f>
        <v>language</v>
      </c>
      <c r="J435" s="30" t="s">
        <v>38</v>
      </c>
      <c r="K435" s="30" t="s">
        <v>38</v>
      </c>
      <c r="L435" s="30" t="s">
        <v>38</v>
      </c>
      <c r="M435" s="29"/>
      <c r="N435" s="29" t="s">
        <v>228</v>
      </c>
      <c r="O435" s="30" t="s">
        <v>40</v>
      </c>
      <c r="P435" s="30" t="s">
        <v>41</v>
      </c>
      <c r="Q435" s="29" t="s">
        <v>2311</v>
      </c>
      <c r="R435" s="31" t="s">
        <v>2312</v>
      </c>
      <c r="S435" s="29" t="s">
        <v>46</v>
      </c>
      <c r="T435" s="29" t="s">
        <v>2103</v>
      </c>
      <c r="U435" s="29" t="s">
        <v>636</v>
      </c>
      <c r="V435" s="29" t="s">
        <v>45</v>
      </c>
      <c r="W435" s="29"/>
      <c r="X435" s="29"/>
      <c r="Y435" s="29"/>
      <c r="Z435" s="29" t="s">
        <v>658</v>
      </c>
      <c r="AA435" s="29" t="s">
        <v>2313</v>
      </c>
      <c r="AB435" s="29" t="s">
        <v>46</v>
      </c>
      <c r="AC435" s="29" t="s">
        <v>46</v>
      </c>
      <c r="AD435" s="31" t="s">
        <v>2314</v>
      </c>
      <c r="AE435" s="29" t="s">
        <v>641</v>
      </c>
      <c r="AF435" s="29" t="s">
        <v>190</v>
      </c>
      <c r="AG435" s="29">
        <v>6</v>
      </c>
      <c r="AH435" s="29" t="s">
        <v>190</v>
      </c>
      <c r="AI435" s="29"/>
      <c r="AJ435" s="29" t="s">
        <v>2315</v>
      </c>
      <c r="AK435" s="29" t="s">
        <v>1598</v>
      </c>
    </row>
    <row r="436" spans="1:37" s="33" customFormat="1">
      <c r="A436" s="29" t="str">
        <f>VLOOKUP(H436,Languages!$A$2:$B$430,2,FALSE)</f>
        <v>Austronesian</v>
      </c>
      <c r="B436" s="29" t="s">
        <v>59</v>
      </c>
      <c r="C436" s="29" t="s">
        <v>117</v>
      </c>
      <c r="D436" s="29" t="s">
        <v>623</v>
      </c>
      <c r="E436" s="30" t="s">
        <v>624</v>
      </c>
      <c r="F436" s="30" t="s">
        <v>367</v>
      </c>
      <c r="G436" s="29" t="s">
        <v>624</v>
      </c>
      <c r="H436" s="29" t="str">
        <f>VLOOKUP(G436,'languoid 4.0'!$A$1:$I$24439,2,FALSE)</f>
        <v>aust1307</v>
      </c>
      <c r="I436" s="29" t="str">
        <f>VLOOKUP(G436,'languoid 4.0'!$A$1:$I$24439,6,FALSE)</f>
        <v>family</v>
      </c>
      <c r="J436" s="30" t="s">
        <v>52</v>
      </c>
      <c r="K436" s="30" t="s">
        <v>368</v>
      </c>
      <c r="L436" s="30" t="s">
        <v>38</v>
      </c>
      <c r="M436" s="29"/>
      <c r="N436" s="29"/>
      <c r="O436" s="30" t="s">
        <v>113</v>
      </c>
      <c r="P436" s="30" t="s">
        <v>41</v>
      </c>
      <c r="Q436" s="29" t="s">
        <v>625</v>
      </c>
      <c r="R436" s="31" t="s">
        <v>371</v>
      </c>
      <c r="S436" s="29" t="s">
        <v>43</v>
      </c>
      <c r="T436" s="29" t="s">
        <v>44</v>
      </c>
      <c r="U436" s="29"/>
      <c r="V436" s="29" t="s">
        <v>45</v>
      </c>
      <c r="W436" s="29"/>
      <c r="X436" s="29"/>
      <c r="Y436" s="29"/>
      <c r="Z436" s="29"/>
      <c r="AA436" s="29" t="s">
        <v>46</v>
      </c>
      <c r="AB436" s="29" t="s">
        <v>626</v>
      </c>
      <c r="AC436" s="29" t="s">
        <v>46</v>
      </c>
      <c r="AD436" s="29"/>
      <c r="AE436" s="29"/>
      <c r="AF436" s="29"/>
      <c r="AG436" s="29"/>
      <c r="AH436" s="29"/>
      <c r="AI436" s="29"/>
      <c r="AJ436" s="32">
        <v>43102.776006944441</v>
      </c>
      <c r="AK436" s="29" t="s">
        <v>47</v>
      </c>
    </row>
    <row r="437" spans="1:37" s="33" customFormat="1">
      <c r="A437" s="29" t="str">
        <f>VLOOKUP(H437,Languages!$A$2:$B$430,2,FALSE)</f>
        <v>Austronesian</v>
      </c>
      <c r="B437" s="29" t="s">
        <v>59</v>
      </c>
      <c r="C437" s="29" t="s">
        <v>117</v>
      </c>
      <c r="D437" s="29" t="s">
        <v>5292</v>
      </c>
      <c r="E437" s="30" t="s">
        <v>5293</v>
      </c>
      <c r="F437" s="30" t="s">
        <v>5294</v>
      </c>
      <c r="G437" s="29" t="s">
        <v>5293</v>
      </c>
      <c r="H437" s="29" t="str">
        <f>VLOOKUP(G437,'languoid 4.0'!$A$1:$I$24439,2,FALSE)</f>
        <v>aust1307</v>
      </c>
      <c r="I437" s="29" t="str">
        <f>VLOOKUP(G437,'languoid 4.0'!$A$1:$I$24439,6,FALSE)</f>
        <v>language</v>
      </c>
      <c r="J437" s="30" t="s">
        <v>52</v>
      </c>
      <c r="K437" s="30" t="s">
        <v>38</v>
      </c>
      <c r="L437" s="30" t="s">
        <v>38</v>
      </c>
      <c r="M437" s="29"/>
      <c r="N437" s="29" t="s">
        <v>5295</v>
      </c>
      <c r="O437" s="30" t="s">
        <v>40</v>
      </c>
      <c r="P437" s="30" t="s">
        <v>41</v>
      </c>
      <c r="Q437" s="29" t="s">
        <v>5296</v>
      </c>
      <c r="R437" s="31" t="s">
        <v>5297</v>
      </c>
      <c r="S437" s="29" t="s">
        <v>46</v>
      </c>
      <c r="T437" s="29" t="s">
        <v>635</v>
      </c>
      <c r="U437" s="29" t="s">
        <v>636</v>
      </c>
      <c r="V437" s="29" t="s">
        <v>45</v>
      </c>
      <c r="W437" s="29"/>
      <c r="X437" s="29"/>
      <c r="Y437" s="29"/>
      <c r="Z437" s="29" t="s">
        <v>637</v>
      </c>
      <c r="AA437" s="29" t="s">
        <v>5298</v>
      </c>
      <c r="AB437" s="29" t="s">
        <v>5299</v>
      </c>
      <c r="AC437" s="29" t="s">
        <v>46</v>
      </c>
      <c r="AD437" s="29"/>
      <c r="AE437" s="29" t="s">
        <v>641</v>
      </c>
      <c r="AF437" s="29" t="s">
        <v>190</v>
      </c>
      <c r="AG437" s="29">
        <v>2</v>
      </c>
      <c r="AH437" s="29" t="s">
        <v>190</v>
      </c>
      <c r="AI437" s="29"/>
      <c r="AJ437" s="29" t="s">
        <v>5300</v>
      </c>
      <c r="AK437" s="29" t="s">
        <v>4268</v>
      </c>
    </row>
    <row r="438" spans="1:37" s="33" customFormat="1">
      <c r="A438" s="29" t="str">
        <f>VLOOKUP(H438,Languages!$A$2:$B$430,2,FALSE)</f>
        <v>Austronesian</v>
      </c>
      <c r="B438" s="29" t="s">
        <v>59</v>
      </c>
      <c r="C438" s="29" t="s">
        <v>255</v>
      </c>
      <c r="D438" s="29" t="s">
        <v>1743</v>
      </c>
      <c r="E438" s="30" t="s">
        <v>1744</v>
      </c>
      <c r="F438" s="30" t="s">
        <v>2077</v>
      </c>
      <c r="G438" s="29" t="s">
        <v>1744</v>
      </c>
      <c r="H438" s="29" t="str">
        <f>VLOOKUP(G438,'languoid 4.0'!$A$1:$I$24439,2,FALSE)</f>
        <v>aust1307</v>
      </c>
      <c r="I438" s="29" t="str">
        <f>VLOOKUP(G438,'languoid 4.0'!$A$1:$I$24439,6,FALSE)</f>
        <v>language</v>
      </c>
      <c r="J438" s="30" t="s">
        <v>52</v>
      </c>
      <c r="K438" s="30" t="s">
        <v>38</v>
      </c>
      <c r="L438" s="30" t="s">
        <v>38</v>
      </c>
      <c r="M438" s="29"/>
      <c r="N438" s="29"/>
      <c r="O438" s="30" t="s">
        <v>40</v>
      </c>
      <c r="P438" s="30" t="s">
        <v>41</v>
      </c>
      <c r="Q438" s="29" t="s">
        <v>2078</v>
      </c>
      <c r="R438" s="31" t="s">
        <v>2079</v>
      </c>
      <c r="S438" s="29" t="s">
        <v>2080</v>
      </c>
      <c r="T438" s="29" t="s">
        <v>635</v>
      </c>
      <c r="U438" s="29" t="s">
        <v>636</v>
      </c>
      <c r="V438" s="29" t="s">
        <v>45</v>
      </c>
      <c r="W438" s="29"/>
      <c r="X438" s="29"/>
      <c r="Y438" s="29"/>
      <c r="Z438" s="29" t="s">
        <v>658</v>
      </c>
      <c r="AA438" s="29" t="s">
        <v>2081</v>
      </c>
      <c r="AB438" s="29" t="s">
        <v>2082</v>
      </c>
      <c r="AC438" s="29" t="s">
        <v>46</v>
      </c>
      <c r="AD438" s="29"/>
      <c r="AE438" s="29" t="s">
        <v>641</v>
      </c>
      <c r="AF438" s="29" t="s">
        <v>190</v>
      </c>
      <c r="AG438" s="29">
        <v>6</v>
      </c>
      <c r="AH438" s="29" t="s">
        <v>190</v>
      </c>
      <c r="AI438" s="29"/>
      <c r="AJ438" s="29" t="s">
        <v>2083</v>
      </c>
      <c r="AK438" s="29" t="s">
        <v>1749</v>
      </c>
    </row>
    <row r="439" spans="1:37" s="33" customFormat="1">
      <c r="A439" s="29" t="str">
        <f>VLOOKUP(H439,Languages!$A$2:$B$430,2,FALSE)</f>
        <v>Austronesian</v>
      </c>
      <c r="B439" s="29" t="s">
        <v>59</v>
      </c>
      <c r="C439" s="29" t="s">
        <v>255</v>
      </c>
      <c r="D439" s="29" t="s">
        <v>2084</v>
      </c>
      <c r="E439" s="30" t="s">
        <v>2085</v>
      </c>
      <c r="F439" s="30" t="s">
        <v>2077</v>
      </c>
      <c r="G439" s="29" t="s">
        <v>2085</v>
      </c>
      <c r="H439" s="29" t="str">
        <f>VLOOKUP(G439,'languoid 4.0'!$A$1:$I$24439,2,FALSE)</f>
        <v>aust1307</v>
      </c>
      <c r="I439" s="29" t="str">
        <f>VLOOKUP(G439,'languoid 4.0'!$A$1:$I$24439,6,FALSE)</f>
        <v>language</v>
      </c>
      <c r="J439" s="30" t="s">
        <v>52</v>
      </c>
      <c r="K439" s="30" t="s">
        <v>38</v>
      </c>
      <c r="L439" s="30" t="s">
        <v>38</v>
      </c>
      <c r="M439" s="29"/>
      <c r="N439" s="29" t="s">
        <v>2086</v>
      </c>
      <c r="O439" s="30" t="s">
        <v>40</v>
      </c>
      <c r="P439" s="30" t="s">
        <v>41</v>
      </c>
      <c r="Q439" s="29" t="s">
        <v>2087</v>
      </c>
      <c r="R439" s="31" t="s">
        <v>2088</v>
      </c>
      <c r="S439" s="29" t="s">
        <v>46</v>
      </c>
      <c r="T439" s="29" t="s">
        <v>635</v>
      </c>
      <c r="U439" s="29" t="s">
        <v>636</v>
      </c>
      <c r="V439" s="29" t="s">
        <v>45</v>
      </c>
      <c r="W439" s="29"/>
      <c r="X439" s="29"/>
      <c r="Y439" s="29"/>
      <c r="Z439" s="29" t="s">
        <v>658</v>
      </c>
      <c r="AA439" s="29" t="s">
        <v>2089</v>
      </c>
      <c r="AB439" s="29" t="s">
        <v>2090</v>
      </c>
      <c r="AC439" s="29" t="s">
        <v>46</v>
      </c>
      <c r="AD439" s="29"/>
      <c r="AE439" s="29" t="s">
        <v>641</v>
      </c>
      <c r="AF439" s="29" t="s">
        <v>190</v>
      </c>
      <c r="AG439" s="29">
        <v>6</v>
      </c>
      <c r="AH439" s="29" t="s">
        <v>190</v>
      </c>
      <c r="AI439" s="29"/>
      <c r="AJ439" s="29" t="s">
        <v>2091</v>
      </c>
      <c r="AK439" s="29" t="s">
        <v>1749</v>
      </c>
    </row>
    <row r="440" spans="1:37" s="33" customFormat="1">
      <c r="A440" s="29" t="str">
        <f>VLOOKUP(H440,Languages!$A$2:$B$430,2,FALSE)</f>
        <v>Austronesian</v>
      </c>
      <c r="B440" s="29" t="s">
        <v>109</v>
      </c>
      <c r="C440" s="29" t="s">
        <v>82</v>
      </c>
      <c r="D440" s="29" t="s">
        <v>9613</v>
      </c>
      <c r="E440" s="30" t="s">
        <v>9614</v>
      </c>
      <c r="F440" s="30" t="s">
        <v>9614</v>
      </c>
      <c r="G440" s="29" t="s">
        <v>9614</v>
      </c>
      <c r="H440" s="29" t="str">
        <f>VLOOKUP(G440,'languoid 4.0'!$A$1:$I$24439,2,FALSE)</f>
        <v>aust1307</v>
      </c>
      <c r="I440" s="29" t="str">
        <f>VLOOKUP(G440,'languoid 4.0'!$A$1:$I$24439,6,FALSE)</f>
        <v>language</v>
      </c>
      <c r="J440" s="30" t="s">
        <v>38</v>
      </c>
      <c r="K440" s="30" t="s">
        <v>38</v>
      </c>
      <c r="L440" s="30" t="s">
        <v>38</v>
      </c>
      <c r="M440" s="29"/>
      <c r="N440" s="29" t="s">
        <v>9615</v>
      </c>
      <c r="O440" s="30" t="s">
        <v>40</v>
      </c>
      <c r="P440" s="30" t="s">
        <v>41</v>
      </c>
      <c r="Q440" s="29" t="s">
        <v>9616</v>
      </c>
      <c r="R440" s="31" t="s">
        <v>9610</v>
      </c>
      <c r="S440" s="29" t="s">
        <v>600</v>
      </c>
      <c r="T440" s="29" t="s">
        <v>8277</v>
      </c>
      <c r="U440" s="29" t="s">
        <v>636</v>
      </c>
      <c r="V440" s="29" t="s">
        <v>45</v>
      </c>
      <c r="W440" s="29"/>
      <c r="X440" s="29"/>
      <c r="Y440" s="29"/>
      <c r="Z440" s="29" t="s">
        <v>637</v>
      </c>
      <c r="AA440" s="29" t="s">
        <v>9617</v>
      </c>
      <c r="AB440" s="29" t="s">
        <v>9618</v>
      </c>
      <c r="AC440" s="29" t="s">
        <v>46</v>
      </c>
      <c r="AD440" s="29"/>
      <c r="AE440" s="29" t="s">
        <v>641</v>
      </c>
      <c r="AF440" s="29" t="s">
        <v>190</v>
      </c>
      <c r="AG440" s="29">
        <v>6</v>
      </c>
      <c r="AH440" s="29" t="s">
        <v>190</v>
      </c>
      <c r="AI440" s="29"/>
      <c r="AJ440" s="32">
        <v>43414.678356481483</v>
      </c>
      <c r="AK440" s="29" t="s">
        <v>9595</v>
      </c>
    </row>
    <row r="441" spans="1:37" s="33" customFormat="1">
      <c r="A441" s="29" t="str">
        <f>VLOOKUP(H441,Languages!$A$2:$B$430,2,FALSE)</f>
        <v>Austronesian</v>
      </c>
      <c r="B441" s="29" t="s">
        <v>109</v>
      </c>
      <c r="C441" s="29" t="s">
        <v>82</v>
      </c>
      <c r="D441" s="29" t="s">
        <v>4566</v>
      </c>
      <c r="E441" s="30" t="s">
        <v>4567</v>
      </c>
      <c r="F441" s="30" t="s">
        <v>4567</v>
      </c>
      <c r="G441" s="29" t="s">
        <v>4567</v>
      </c>
      <c r="H441" s="29" t="str">
        <f>VLOOKUP(G441,'languoid 4.0'!$A$1:$I$24439,2,FALSE)</f>
        <v>aust1307</v>
      </c>
      <c r="I441" s="29" t="str">
        <f>VLOOKUP(G441,'languoid 4.0'!$A$1:$I$24439,6,FALSE)</f>
        <v>language</v>
      </c>
      <c r="J441" s="30" t="s">
        <v>38</v>
      </c>
      <c r="K441" s="30" t="s">
        <v>38</v>
      </c>
      <c r="L441" s="30" t="s">
        <v>38</v>
      </c>
      <c r="M441" s="29"/>
      <c r="N441" s="29" t="s">
        <v>4568</v>
      </c>
      <c r="O441" s="30" t="s">
        <v>40</v>
      </c>
      <c r="P441" s="30" t="s">
        <v>41</v>
      </c>
      <c r="Q441" s="29" t="s">
        <v>9626</v>
      </c>
      <c r="R441" s="31" t="s">
        <v>9610</v>
      </c>
      <c r="S441" s="29" t="s">
        <v>1202</v>
      </c>
      <c r="T441" s="29" t="s">
        <v>8277</v>
      </c>
      <c r="U441" s="29" t="s">
        <v>636</v>
      </c>
      <c r="V441" s="29" t="s">
        <v>45</v>
      </c>
      <c r="W441" s="29"/>
      <c r="X441" s="29"/>
      <c r="Y441" s="29"/>
      <c r="Z441" s="29" t="s">
        <v>673</v>
      </c>
      <c r="AA441" s="29" t="s">
        <v>46</v>
      </c>
      <c r="AB441" s="29" t="s">
        <v>9627</v>
      </c>
      <c r="AC441" s="29" t="s">
        <v>46</v>
      </c>
      <c r="AD441" s="29"/>
      <c r="AE441" s="29" t="s">
        <v>641</v>
      </c>
      <c r="AF441" s="29" t="s">
        <v>190</v>
      </c>
      <c r="AG441" s="29">
        <v>6</v>
      </c>
      <c r="AH441" s="29" t="s">
        <v>190</v>
      </c>
      <c r="AI441" s="29"/>
      <c r="AJ441" s="32">
        <v>43414.699618055558</v>
      </c>
      <c r="AK441" s="29" t="s">
        <v>9595</v>
      </c>
    </row>
    <row r="442" spans="1:37" s="33" customFormat="1">
      <c r="A442" s="29" t="str">
        <f>VLOOKUP(H442,Languages!$A$2:$B$430,2,FALSE)</f>
        <v>Austronesian</v>
      </c>
      <c r="B442" s="29" t="s">
        <v>109</v>
      </c>
      <c r="C442" s="29" t="s">
        <v>75</v>
      </c>
      <c r="D442" s="29" t="s">
        <v>7971</v>
      </c>
      <c r="E442" s="30" t="s">
        <v>7972</v>
      </c>
      <c r="F442" s="30" t="s">
        <v>7972</v>
      </c>
      <c r="G442" s="29" t="s">
        <v>7972</v>
      </c>
      <c r="H442" s="29" t="str">
        <f>VLOOKUP(G442,'languoid 4.0'!$A$1:$I$24439,2,FALSE)</f>
        <v>aust1307</v>
      </c>
      <c r="I442" s="29" t="str">
        <f>VLOOKUP(G442,'languoid 4.0'!$A$1:$I$24439,6,FALSE)</f>
        <v>language</v>
      </c>
      <c r="J442" s="30" t="s">
        <v>38</v>
      </c>
      <c r="K442" s="30" t="s">
        <v>38</v>
      </c>
      <c r="L442" s="30" t="s">
        <v>38</v>
      </c>
      <c r="M442" s="29"/>
      <c r="N442" s="29" t="s">
        <v>7973</v>
      </c>
      <c r="O442" s="30" t="s">
        <v>40</v>
      </c>
      <c r="P442" s="30" t="s">
        <v>41</v>
      </c>
      <c r="Q442" s="29" t="s">
        <v>748</v>
      </c>
      <c r="R442" s="31" t="s">
        <v>7974</v>
      </c>
      <c r="S442" s="29" t="s">
        <v>46</v>
      </c>
      <c r="T442" s="29" t="s">
        <v>635</v>
      </c>
      <c r="U442" s="29" t="s">
        <v>636</v>
      </c>
      <c r="V442" s="29" t="s">
        <v>45</v>
      </c>
      <c r="W442" s="29"/>
      <c r="X442" s="29"/>
      <c r="Y442" s="29"/>
      <c r="Z442" s="29" t="s">
        <v>658</v>
      </c>
      <c r="AA442" s="29" t="s">
        <v>7975</v>
      </c>
      <c r="AB442" s="29" t="s">
        <v>46</v>
      </c>
      <c r="AC442" s="29" t="s">
        <v>46</v>
      </c>
      <c r="AD442" s="29" t="s">
        <v>7976</v>
      </c>
      <c r="AE442" s="29" t="s">
        <v>641</v>
      </c>
      <c r="AF442" s="29" t="s">
        <v>190</v>
      </c>
      <c r="AG442" s="29">
        <v>6</v>
      </c>
      <c r="AH442" s="29" t="s">
        <v>190</v>
      </c>
      <c r="AI442" s="29"/>
      <c r="AJ442" s="29" t="s">
        <v>7977</v>
      </c>
      <c r="AK442" s="29" t="s">
        <v>5640</v>
      </c>
    </row>
    <row r="443" spans="1:37" s="33" customFormat="1">
      <c r="A443" s="29" t="str">
        <f>VLOOKUP(H443,Languages!$A$2:$B$430,2,FALSE)</f>
        <v>Austronesian</v>
      </c>
      <c r="B443" s="29" t="s">
        <v>109</v>
      </c>
      <c r="C443" s="29" t="s">
        <v>75</v>
      </c>
      <c r="D443" s="29" t="s">
        <v>7978</v>
      </c>
      <c r="E443" s="30" t="s">
        <v>7972</v>
      </c>
      <c r="F443" s="30" t="s">
        <v>7972</v>
      </c>
      <c r="G443" s="29" t="s">
        <v>7972</v>
      </c>
      <c r="H443" s="29" t="str">
        <f>VLOOKUP(G443,'languoid 4.0'!$A$1:$I$24439,2,FALSE)</f>
        <v>aust1307</v>
      </c>
      <c r="I443" s="29" t="str">
        <f>VLOOKUP(G443,'languoid 4.0'!$A$1:$I$24439,6,FALSE)</f>
        <v>language</v>
      </c>
      <c r="J443" s="30" t="s">
        <v>38</v>
      </c>
      <c r="K443" s="30" t="s">
        <v>38</v>
      </c>
      <c r="L443" s="30" t="s">
        <v>38</v>
      </c>
      <c r="M443" s="29"/>
      <c r="N443" s="29" t="s">
        <v>7973</v>
      </c>
      <c r="O443" s="30" t="s">
        <v>40</v>
      </c>
      <c r="P443" s="30" t="s">
        <v>41</v>
      </c>
      <c r="Q443" s="29" t="s">
        <v>7979</v>
      </c>
      <c r="R443" s="31" t="s">
        <v>7980</v>
      </c>
      <c r="S443" s="29" t="s">
        <v>46</v>
      </c>
      <c r="T443" s="29" t="s">
        <v>635</v>
      </c>
      <c r="U443" s="29" t="s">
        <v>636</v>
      </c>
      <c r="V443" s="29" t="s">
        <v>45</v>
      </c>
      <c r="W443" s="29"/>
      <c r="X443" s="29"/>
      <c r="Y443" s="29"/>
      <c r="Z443" s="29" t="s">
        <v>658</v>
      </c>
      <c r="AA443" s="29" t="s">
        <v>7981</v>
      </c>
      <c r="AB443" s="29" t="s">
        <v>46</v>
      </c>
      <c r="AC443" s="29" t="s">
        <v>46</v>
      </c>
      <c r="AD443" s="29" t="s">
        <v>7982</v>
      </c>
      <c r="AE443" s="29" t="s">
        <v>641</v>
      </c>
      <c r="AF443" s="29" t="s">
        <v>190</v>
      </c>
      <c r="AG443" s="29">
        <v>6</v>
      </c>
      <c r="AH443" s="29" t="s">
        <v>190</v>
      </c>
      <c r="AI443" s="29"/>
      <c r="AJ443" s="29" t="s">
        <v>7983</v>
      </c>
      <c r="AK443" s="29" t="s">
        <v>5640</v>
      </c>
    </row>
    <row r="444" spans="1:37" s="33" customFormat="1">
      <c r="A444" s="29" t="str">
        <f>VLOOKUP(H444,Languages!$A$2:$B$430,2,FALSE)</f>
        <v>Austronesian</v>
      </c>
      <c r="B444" s="29" t="s">
        <v>109</v>
      </c>
      <c r="C444" s="29" t="s">
        <v>66</v>
      </c>
      <c r="D444" s="29" t="s">
        <v>68</v>
      </c>
      <c r="E444" s="30" t="s">
        <v>69</v>
      </c>
      <c r="F444" s="30" t="s">
        <v>180</v>
      </c>
      <c r="G444" s="29" t="s">
        <v>69</v>
      </c>
      <c r="H444" s="29" t="str">
        <f>VLOOKUP(G444,'languoid 4.0'!$A$1:$I$24439,2,FALSE)</f>
        <v>aust1307</v>
      </c>
      <c r="I444" s="29" t="str">
        <f>VLOOKUP(G444,'languoid 4.0'!$A$1:$I$24439,6,FALSE)</f>
        <v>language</v>
      </c>
      <c r="J444" s="30" t="s">
        <v>52</v>
      </c>
      <c r="K444" s="30" t="s">
        <v>52</v>
      </c>
      <c r="L444" s="30" t="s">
        <v>52</v>
      </c>
      <c r="M444" s="29"/>
      <c r="N444" s="29" t="s">
        <v>70</v>
      </c>
      <c r="O444" s="30" t="s">
        <v>40</v>
      </c>
      <c r="P444" s="30" t="s">
        <v>41</v>
      </c>
      <c r="Q444" s="29" t="s">
        <v>181</v>
      </c>
      <c r="R444" s="31" t="s">
        <v>182</v>
      </c>
      <c r="S444" s="29" t="s">
        <v>183</v>
      </c>
      <c r="T444" s="29" t="s">
        <v>44</v>
      </c>
      <c r="U444" s="29"/>
      <c r="V444" s="29" t="s">
        <v>45</v>
      </c>
      <c r="W444" s="29"/>
      <c r="X444" s="29"/>
      <c r="Y444" s="29"/>
      <c r="Z444" s="29"/>
      <c r="AA444" s="29">
        <v>30</v>
      </c>
      <c r="AB444" s="29">
        <v>30</v>
      </c>
      <c r="AC444" s="29">
        <v>30</v>
      </c>
      <c r="AD444" s="29"/>
      <c r="AE444" s="29"/>
      <c r="AF444" s="29"/>
      <c r="AG444" s="29"/>
      <c r="AH444" s="29"/>
      <c r="AI444" s="29"/>
      <c r="AJ444" s="32">
        <v>43102.733715277776</v>
      </c>
      <c r="AK444" s="29" t="s">
        <v>74</v>
      </c>
    </row>
    <row r="445" spans="1:37" s="33" customFormat="1">
      <c r="A445" s="29" t="str">
        <f>VLOOKUP(H445,Languages!$A$2:$B$430,2,FALSE)</f>
        <v>Austronesian</v>
      </c>
      <c r="B445" s="29" t="s">
        <v>109</v>
      </c>
      <c r="C445" s="29" t="s">
        <v>66</v>
      </c>
      <c r="D445" s="29" t="s">
        <v>9566</v>
      </c>
      <c r="E445" s="30" t="s">
        <v>9567</v>
      </c>
      <c r="F445" s="30" t="s">
        <v>9567</v>
      </c>
      <c r="G445" s="29" t="s">
        <v>9567</v>
      </c>
      <c r="H445" s="29" t="str">
        <f>VLOOKUP(G445,'languoid 4.0'!$A$1:$I$24439,2,FALSE)</f>
        <v>aust1307</v>
      </c>
      <c r="I445" s="29" t="str">
        <f>VLOOKUP(G445,'languoid 4.0'!$A$1:$I$24439,6,FALSE)</f>
        <v>language</v>
      </c>
      <c r="J445" s="30" t="s">
        <v>38</v>
      </c>
      <c r="K445" s="30" t="s">
        <v>38</v>
      </c>
      <c r="L445" s="30" t="s">
        <v>38</v>
      </c>
      <c r="M445" s="29"/>
      <c r="N445" s="29" t="s">
        <v>9568</v>
      </c>
      <c r="O445" s="30" t="s">
        <v>40</v>
      </c>
      <c r="P445" s="30" t="s">
        <v>41</v>
      </c>
      <c r="Q445" s="29" t="s">
        <v>10779</v>
      </c>
      <c r="R445" s="31" t="s">
        <v>10780</v>
      </c>
      <c r="S445" s="29" t="s">
        <v>46</v>
      </c>
      <c r="T445" s="29" t="s">
        <v>635</v>
      </c>
      <c r="U445" s="29" t="s">
        <v>636</v>
      </c>
      <c r="V445" s="29" t="s">
        <v>45</v>
      </c>
      <c r="W445" s="29"/>
      <c r="X445" s="29"/>
      <c r="Y445" s="29"/>
      <c r="Z445" s="29" t="s">
        <v>673</v>
      </c>
      <c r="AA445" s="29" t="s">
        <v>10781</v>
      </c>
      <c r="AB445" s="29" t="s">
        <v>10782</v>
      </c>
      <c r="AC445" s="29" t="s">
        <v>46</v>
      </c>
      <c r="AD445" s="29"/>
      <c r="AE445" s="29" t="s">
        <v>641</v>
      </c>
      <c r="AF445" s="29" t="s">
        <v>190</v>
      </c>
      <c r="AG445" s="29">
        <v>6</v>
      </c>
      <c r="AH445" s="29" t="s">
        <v>190</v>
      </c>
      <c r="AI445" s="29"/>
      <c r="AJ445" s="32">
        <v>43324.701261574075</v>
      </c>
      <c r="AK445" s="29" t="s">
        <v>10783</v>
      </c>
    </row>
    <row r="446" spans="1:37" s="33" customFormat="1">
      <c r="A446" s="29" t="str">
        <f>VLOOKUP(H446,Languages!$A$2:$B$430,2,FALSE)</f>
        <v>Austronesian</v>
      </c>
      <c r="B446" s="29" t="s">
        <v>109</v>
      </c>
      <c r="C446" s="29" t="s">
        <v>66</v>
      </c>
      <c r="D446" s="29" t="s">
        <v>9566</v>
      </c>
      <c r="E446" s="30" t="s">
        <v>9567</v>
      </c>
      <c r="F446" s="30" t="s">
        <v>9567</v>
      </c>
      <c r="G446" s="29" t="s">
        <v>9567</v>
      </c>
      <c r="H446" s="29" t="str">
        <f>VLOOKUP(G446,'languoid 4.0'!$A$1:$I$24439,2,FALSE)</f>
        <v>aust1307</v>
      </c>
      <c r="I446" s="29" t="str">
        <f>VLOOKUP(G446,'languoid 4.0'!$A$1:$I$24439,6,FALSE)</f>
        <v>language</v>
      </c>
      <c r="J446" s="30" t="s">
        <v>38</v>
      </c>
      <c r="K446" s="30" t="s">
        <v>38</v>
      </c>
      <c r="L446" s="30" t="s">
        <v>38</v>
      </c>
      <c r="M446" s="29"/>
      <c r="N446" s="29" t="s">
        <v>9568</v>
      </c>
      <c r="O446" s="30" t="s">
        <v>40</v>
      </c>
      <c r="P446" s="30" t="s">
        <v>41</v>
      </c>
      <c r="Q446" s="29" t="s">
        <v>10784</v>
      </c>
      <c r="R446" s="31" t="s">
        <v>10785</v>
      </c>
      <c r="S446" s="29" t="s">
        <v>46</v>
      </c>
      <c r="T446" s="29" t="s">
        <v>635</v>
      </c>
      <c r="U446" s="29" t="s">
        <v>67</v>
      </c>
      <c r="V446" s="29" t="s">
        <v>45</v>
      </c>
      <c r="W446" s="29"/>
      <c r="X446" s="29"/>
      <c r="Y446" s="29"/>
      <c r="Z446" s="29" t="s">
        <v>637</v>
      </c>
      <c r="AA446" s="29" t="s">
        <v>10786</v>
      </c>
      <c r="AB446" s="29" t="s">
        <v>10787</v>
      </c>
      <c r="AC446" s="29" t="s">
        <v>46</v>
      </c>
      <c r="AD446" s="29"/>
      <c r="AE446" s="29" t="s">
        <v>641</v>
      </c>
      <c r="AF446" s="29" t="s">
        <v>190</v>
      </c>
      <c r="AG446" s="29">
        <v>6</v>
      </c>
      <c r="AH446" s="29" t="s">
        <v>190</v>
      </c>
      <c r="AI446" s="29"/>
      <c r="AJ446" s="32">
        <v>43324.704386574071</v>
      </c>
      <c r="AK446" s="29" t="s">
        <v>10783</v>
      </c>
    </row>
    <row r="447" spans="1:37" s="33" customFormat="1">
      <c r="A447" s="29" t="str">
        <f>VLOOKUP(H447,Languages!$A$2:$B$430,2,FALSE)</f>
        <v>Austronesian</v>
      </c>
      <c r="B447" s="29" t="s">
        <v>109</v>
      </c>
      <c r="C447" s="29" t="s">
        <v>66</v>
      </c>
      <c r="D447" s="29" t="s">
        <v>9566</v>
      </c>
      <c r="E447" s="30" t="s">
        <v>9567</v>
      </c>
      <c r="F447" s="30" t="s">
        <v>9567</v>
      </c>
      <c r="G447" s="29" t="s">
        <v>9567</v>
      </c>
      <c r="H447" s="29" t="str">
        <f>VLOOKUP(G447,'languoid 4.0'!$A$1:$I$24439,2,FALSE)</f>
        <v>aust1307</v>
      </c>
      <c r="I447" s="29" t="str">
        <f>VLOOKUP(G447,'languoid 4.0'!$A$1:$I$24439,6,FALSE)</f>
        <v>language</v>
      </c>
      <c r="J447" s="30" t="s">
        <v>38</v>
      </c>
      <c r="K447" s="30" t="s">
        <v>38</v>
      </c>
      <c r="L447" s="30" t="s">
        <v>38</v>
      </c>
      <c r="M447" s="29"/>
      <c r="N447" s="29" t="s">
        <v>9568</v>
      </c>
      <c r="O447" s="30" t="s">
        <v>40</v>
      </c>
      <c r="P447" s="30" t="s">
        <v>41</v>
      </c>
      <c r="Q447" s="29" t="s">
        <v>10788</v>
      </c>
      <c r="R447" s="31" t="s">
        <v>10789</v>
      </c>
      <c r="S447" s="29" t="s">
        <v>46</v>
      </c>
      <c r="T447" s="29" t="s">
        <v>635</v>
      </c>
      <c r="U447" s="29" t="s">
        <v>35</v>
      </c>
      <c r="V447" s="29" t="s">
        <v>45</v>
      </c>
      <c r="W447" s="29"/>
      <c r="X447" s="29"/>
      <c r="Y447" s="29"/>
      <c r="Z447" s="29" t="s">
        <v>637</v>
      </c>
      <c r="AA447" s="29" t="s">
        <v>10790</v>
      </c>
      <c r="AB447" s="29" t="s">
        <v>10791</v>
      </c>
      <c r="AC447" s="29" t="s">
        <v>46</v>
      </c>
      <c r="AD447" s="29"/>
      <c r="AE447" s="29" t="s">
        <v>641</v>
      </c>
      <c r="AF447" s="29" t="s">
        <v>190</v>
      </c>
      <c r="AG447" s="29">
        <v>6</v>
      </c>
      <c r="AH447" s="29" t="s">
        <v>190</v>
      </c>
      <c r="AI447" s="29"/>
      <c r="AJ447" s="32">
        <v>43324.706134259257</v>
      </c>
      <c r="AK447" s="29" t="s">
        <v>10783</v>
      </c>
    </row>
    <row r="448" spans="1:37" s="33" customFormat="1">
      <c r="A448" s="29" t="str">
        <f>VLOOKUP(H448,Languages!$A$2:$B$430,2,FALSE)</f>
        <v>Austronesian</v>
      </c>
      <c r="B448" s="29" t="s">
        <v>109</v>
      </c>
      <c r="C448" s="29" t="s">
        <v>66</v>
      </c>
      <c r="D448" s="29" t="s">
        <v>68</v>
      </c>
      <c r="E448" s="30" t="s">
        <v>69</v>
      </c>
      <c r="F448" s="30" t="s">
        <v>69</v>
      </c>
      <c r="G448" s="29" t="s">
        <v>69</v>
      </c>
      <c r="H448" s="29" t="str">
        <f>VLOOKUP(G448,'languoid 4.0'!$A$1:$I$24439,2,FALSE)</f>
        <v>aust1307</v>
      </c>
      <c r="I448" s="29" t="str">
        <f>VLOOKUP(G448,'languoid 4.0'!$A$1:$I$24439,6,FALSE)</f>
        <v>language</v>
      </c>
      <c r="J448" s="30" t="s">
        <v>38</v>
      </c>
      <c r="K448" s="30" t="s">
        <v>38</v>
      </c>
      <c r="L448" s="30" t="s">
        <v>38</v>
      </c>
      <c r="M448" s="29"/>
      <c r="N448" s="29" t="s">
        <v>70</v>
      </c>
      <c r="O448" s="30" t="s">
        <v>40</v>
      </c>
      <c r="P448" s="30" t="s">
        <v>41</v>
      </c>
      <c r="Q448" s="29" t="s">
        <v>10847</v>
      </c>
      <c r="R448" s="31" t="s">
        <v>10848</v>
      </c>
      <c r="S448" s="29" t="s">
        <v>10849</v>
      </c>
      <c r="T448" s="29" t="s">
        <v>822</v>
      </c>
      <c r="U448" s="29" t="s">
        <v>636</v>
      </c>
      <c r="V448" s="29" t="s">
        <v>45</v>
      </c>
      <c r="W448" s="29"/>
      <c r="X448" s="29"/>
      <c r="Y448" s="29"/>
      <c r="Z448" s="29" t="s">
        <v>637</v>
      </c>
      <c r="AA448" s="29" t="s">
        <v>10850</v>
      </c>
      <c r="AB448" s="29" t="s">
        <v>10851</v>
      </c>
      <c r="AC448" s="29" t="s">
        <v>46</v>
      </c>
      <c r="AD448" s="29"/>
      <c r="AE448" s="29" t="s">
        <v>641</v>
      </c>
      <c r="AF448" s="29" t="s">
        <v>190</v>
      </c>
      <c r="AG448" s="29">
        <v>4</v>
      </c>
      <c r="AH448" s="29" t="s">
        <v>190</v>
      </c>
      <c r="AI448" s="29"/>
      <c r="AJ448" s="32">
        <v>43355.904166666667</v>
      </c>
      <c r="AK448" s="29" t="s">
        <v>10783</v>
      </c>
    </row>
    <row r="449" spans="1:37" s="33" customFormat="1">
      <c r="A449" s="29" t="str">
        <f>VLOOKUP(H449,Languages!$A$2:$B$430,2,FALSE)</f>
        <v>Austronesian</v>
      </c>
      <c r="B449" s="29" t="s">
        <v>109</v>
      </c>
      <c r="C449" s="29" t="s">
        <v>66</v>
      </c>
      <c r="D449" s="29" t="s">
        <v>10852</v>
      </c>
      <c r="E449" s="30" t="s">
        <v>10853</v>
      </c>
      <c r="F449" s="30" t="s">
        <v>10853</v>
      </c>
      <c r="G449" s="29" t="s">
        <v>10853</v>
      </c>
      <c r="H449" s="29" t="str">
        <f>VLOOKUP(G449,'languoid 4.0'!$A$1:$I$24439,2,FALSE)</f>
        <v>aust1307</v>
      </c>
      <c r="I449" s="29" t="str">
        <f>VLOOKUP(G449,'languoid 4.0'!$A$1:$I$24439,6,FALSE)</f>
        <v>language</v>
      </c>
      <c r="J449" s="30" t="s">
        <v>38</v>
      </c>
      <c r="K449" s="30" t="s">
        <v>38</v>
      </c>
      <c r="L449" s="30" t="s">
        <v>38</v>
      </c>
      <c r="M449" s="29"/>
      <c r="N449" s="29" t="s">
        <v>10854</v>
      </c>
      <c r="O449" s="30" t="s">
        <v>40</v>
      </c>
      <c r="P449" s="30" t="s">
        <v>41</v>
      </c>
      <c r="Q449" s="29" t="s">
        <v>10859</v>
      </c>
      <c r="R449" s="31" t="s">
        <v>10860</v>
      </c>
      <c r="S449" s="29" t="s">
        <v>10849</v>
      </c>
      <c r="T449" s="29" t="s">
        <v>822</v>
      </c>
      <c r="U449" s="29" t="s">
        <v>1750</v>
      </c>
      <c r="V449" s="29" t="s">
        <v>45</v>
      </c>
      <c r="W449" s="29"/>
      <c r="X449" s="29"/>
      <c r="Y449" s="29"/>
      <c r="Z449" s="29" t="s">
        <v>658</v>
      </c>
      <c r="AA449" s="29" t="s">
        <v>10861</v>
      </c>
      <c r="AB449" s="29" t="s">
        <v>46</v>
      </c>
      <c r="AC449" s="29" t="s">
        <v>46</v>
      </c>
      <c r="AD449" s="29"/>
      <c r="AE449" s="29" t="s">
        <v>641</v>
      </c>
      <c r="AF449" s="29" t="s">
        <v>190</v>
      </c>
      <c r="AG449" s="29">
        <v>6</v>
      </c>
      <c r="AH449" s="29" t="s">
        <v>190</v>
      </c>
      <c r="AI449" s="29"/>
      <c r="AJ449" s="32">
        <v>43355.918356481481</v>
      </c>
      <c r="AK449" s="29" t="s">
        <v>10783</v>
      </c>
    </row>
    <row r="450" spans="1:37" s="33" customFormat="1">
      <c r="A450" s="29" t="str">
        <f>VLOOKUP(H450,Languages!$A$2:$B$430,2,FALSE)</f>
        <v>Austronesian</v>
      </c>
      <c r="B450" s="29" t="s">
        <v>109</v>
      </c>
      <c r="C450" s="29" t="s">
        <v>66</v>
      </c>
      <c r="D450" s="29" t="s">
        <v>10852</v>
      </c>
      <c r="E450" s="30" t="s">
        <v>10853</v>
      </c>
      <c r="F450" s="30" t="s">
        <v>10853</v>
      </c>
      <c r="G450" s="29" t="s">
        <v>10853</v>
      </c>
      <c r="H450" s="29" t="str">
        <f>VLOOKUP(G450,'languoid 4.0'!$A$1:$I$24439,2,FALSE)</f>
        <v>aust1307</v>
      </c>
      <c r="I450" s="29" t="str">
        <f>VLOOKUP(G450,'languoid 4.0'!$A$1:$I$24439,6,FALSE)</f>
        <v>language</v>
      </c>
      <c r="J450" s="30" t="s">
        <v>38</v>
      </c>
      <c r="K450" s="30" t="s">
        <v>38</v>
      </c>
      <c r="L450" s="30" t="s">
        <v>38</v>
      </c>
      <c r="M450" s="29"/>
      <c r="N450" s="29" t="s">
        <v>10854</v>
      </c>
      <c r="O450" s="30" t="s">
        <v>40</v>
      </c>
      <c r="P450" s="30" t="s">
        <v>41</v>
      </c>
      <c r="Q450" s="29" t="s">
        <v>10953</v>
      </c>
      <c r="R450" s="31" t="s">
        <v>10954</v>
      </c>
      <c r="S450" s="29" t="s">
        <v>10849</v>
      </c>
      <c r="T450" s="29" t="s">
        <v>822</v>
      </c>
      <c r="U450" s="29" t="s">
        <v>636</v>
      </c>
      <c r="V450" s="29" t="s">
        <v>45</v>
      </c>
      <c r="W450" s="29"/>
      <c r="X450" s="29"/>
      <c r="Y450" s="29"/>
      <c r="Z450" s="29" t="s">
        <v>658</v>
      </c>
      <c r="AA450" s="29" t="s">
        <v>10955</v>
      </c>
      <c r="AB450" s="29" t="s">
        <v>46</v>
      </c>
      <c r="AC450" s="29" t="s">
        <v>46</v>
      </c>
      <c r="AD450" s="29"/>
      <c r="AE450" s="29" t="s">
        <v>641</v>
      </c>
      <c r="AF450" s="29" t="s">
        <v>190</v>
      </c>
      <c r="AG450" s="29">
        <v>6</v>
      </c>
      <c r="AH450" s="29" t="s">
        <v>190</v>
      </c>
      <c r="AI450" s="29"/>
      <c r="AJ450" s="29" t="s">
        <v>10956</v>
      </c>
      <c r="AK450" s="29" t="s">
        <v>10783</v>
      </c>
    </row>
    <row r="451" spans="1:37" s="33" customFormat="1">
      <c r="A451" s="29" t="str">
        <f>VLOOKUP(H451,Languages!$A$2:$B$430,2,FALSE)</f>
        <v>Austronesian</v>
      </c>
      <c r="B451" s="29" t="s">
        <v>109</v>
      </c>
      <c r="C451" s="29" t="s">
        <v>66</v>
      </c>
      <c r="D451" s="29" t="s">
        <v>10852</v>
      </c>
      <c r="E451" s="30" t="s">
        <v>10853</v>
      </c>
      <c r="F451" s="30" t="s">
        <v>10853</v>
      </c>
      <c r="G451" s="29" t="s">
        <v>10853</v>
      </c>
      <c r="H451" s="29" t="str">
        <f>VLOOKUP(G451,'languoid 4.0'!$A$1:$I$24439,2,FALSE)</f>
        <v>aust1307</v>
      </c>
      <c r="I451" s="29" t="str">
        <f>VLOOKUP(G451,'languoid 4.0'!$A$1:$I$24439,6,FALSE)</f>
        <v>language</v>
      </c>
      <c r="J451" s="30" t="s">
        <v>38</v>
      </c>
      <c r="K451" s="30" t="s">
        <v>38</v>
      </c>
      <c r="L451" s="30" t="s">
        <v>38</v>
      </c>
      <c r="M451" s="29"/>
      <c r="N451" s="29" t="s">
        <v>10854</v>
      </c>
      <c r="O451" s="30" t="s">
        <v>40</v>
      </c>
      <c r="P451" s="30" t="s">
        <v>41</v>
      </c>
      <c r="Q451" s="29" t="s">
        <v>252</v>
      </c>
      <c r="R451" s="31" t="s">
        <v>10957</v>
      </c>
      <c r="S451" s="29" t="s">
        <v>10958</v>
      </c>
      <c r="T451" s="29" t="s">
        <v>822</v>
      </c>
      <c r="U451" s="29" t="s">
        <v>636</v>
      </c>
      <c r="V451" s="29" t="s">
        <v>45</v>
      </c>
      <c r="W451" s="29"/>
      <c r="X451" s="29"/>
      <c r="Y451" s="29"/>
      <c r="Z451" s="29" t="s">
        <v>658</v>
      </c>
      <c r="AA451" s="29" t="s">
        <v>10959</v>
      </c>
      <c r="AB451" s="29" t="s">
        <v>46</v>
      </c>
      <c r="AC451" s="29" t="s">
        <v>46</v>
      </c>
      <c r="AD451" s="29"/>
      <c r="AE451" s="29" t="s">
        <v>641</v>
      </c>
      <c r="AF451" s="29" t="s">
        <v>190</v>
      </c>
      <c r="AG451" s="29">
        <v>6</v>
      </c>
      <c r="AH451" s="29" t="s">
        <v>190</v>
      </c>
      <c r="AI451" s="29"/>
      <c r="AJ451" s="29" t="s">
        <v>10960</v>
      </c>
      <c r="AK451" s="29" t="s">
        <v>10783</v>
      </c>
    </row>
    <row r="452" spans="1:37" s="33" customFormat="1">
      <c r="A452" s="29" t="str">
        <f>VLOOKUP(H452,Languages!$A$2:$B$430,2,FALSE)</f>
        <v>Austronesian</v>
      </c>
      <c r="B452" s="29" t="s">
        <v>109</v>
      </c>
      <c r="C452" s="29" t="s">
        <v>66</v>
      </c>
      <c r="D452" s="29" t="s">
        <v>10852</v>
      </c>
      <c r="E452" s="30" t="s">
        <v>10853</v>
      </c>
      <c r="F452" s="30" t="s">
        <v>10853</v>
      </c>
      <c r="G452" s="29" t="s">
        <v>10853</v>
      </c>
      <c r="H452" s="29" t="str">
        <f>VLOOKUP(G452,'languoid 4.0'!$A$1:$I$24439,2,FALSE)</f>
        <v>aust1307</v>
      </c>
      <c r="I452" s="29" t="str">
        <f>VLOOKUP(G452,'languoid 4.0'!$A$1:$I$24439,6,FALSE)</f>
        <v>language</v>
      </c>
      <c r="J452" s="30" t="s">
        <v>38</v>
      </c>
      <c r="K452" s="30" t="s">
        <v>38</v>
      </c>
      <c r="L452" s="30" t="s">
        <v>38</v>
      </c>
      <c r="M452" s="29"/>
      <c r="N452" s="29" t="s">
        <v>10854</v>
      </c>
      <c r="O452" s="30" t="s">
        <v>40</v>
      </c>
      <c r="P452" s="30" t="s">
        <v>41</v>
      </c>
      <c r="Q452" s="29" t="s">
        <v>10965</v>
      </c>
      <c r="R452" s="31" t="s">
        <v>10966</v>
      </c>
      <c r="S452" s="29" t="s">
        <v>10849</v>
      </c>
      <c r="T452" s="29" t="s">
        <v>822</v>
      </c>
      <c r="U452" s="29" t="s">
        <v>636</v>
      </c>
      <c r="V452" s="29" t="s">
        <v>45</v>
      </c>
      <c r="W452" s="29"/>
      <c r="X452" s="29"/>
      <c r="Y452" s="29"/>
      <c r="Z452" s="29" t="s">
        <v>637</v>
      </c>
      <c r="AA452" s="29" t="s">
        <v>10967</v>
      </c>
      <c r="AB452" s="29" t="s">
        <v>10968</v>
      </c>
      <c r="AC452" s="29" t="s">
        <v>46</v>
      </c>
      <c r="AD452" s="29"/>
      <c r="AE452" s="29" t="s">
        <v>641</v>
      </c>
      <c r="AF452" s="29" t="s">
        <v>190</v>
      </c>
      <c r="AG452" s="29">
        <v>6</v>
      </c>
      <c r="AH452" s="29" t="s">
        <v>190</v>
      </c>
      <c r="AI452" s="29"/>
      <c r="AJ452" s="29" t="s">
        <v>10969</v>
      </c>
      <c r="AK452" s="29" t="s">
        <v>10783</v>
      </c>
    </row>
    <row r="453" spans="1:37" s="33" customFormat="1">
      <c r="A453" s="29" t="str">
        <f>VLOOKUP(H453,Languages!$A$2:$B$430,2,FALSE)</f>
        <v>Austronesian</v>
      </c>
      <c r="B453" s="29" t="s">
        <v>109</v>
      </c>
      <c r="C453" s="29" t="s">
        <v>66</v>
      </c>
      <c r="D453" s="29" t="s">
        <v>10988</v>
      </c>
      <c r="E453" s="30" t="s">
        <v>10989</v>
      </c>
      <c r="F453" s="30" t="s">
        <v>10989</v>
      </c>
      <c r="G453" s="29" t="s">
        <v>10989</v>
      </c>
      <c r="H453" s="29" t="str">
        <f>VLOOKUP(G453,'languoid 4.0'!$A$1:$I$24439,2,FALSE)</f>
        <v>aust1307</v>
      </c>
      <c r="I453" s="29" t="str">
        <f>VLOOKUP(G453,'languoid 4.0'!$A$1:$I$24439,6,FALSE)</f>
        <v>language</v>
      </c>
      <c r="J453" s="30" t="s">
        <v>38</v>
      </c>
      <c r="K453" s="30" t="s">
        <v>38</v>
      </c>
      <c r="L453" s="30" t="s">
        <v>38</v>
      </c>
      <c r="M453" s="29"/>
      <c r="N453" s="29" t="s">
        <v>10990</v>
      </c>
      <c r="O453" s="30" t="s">
        <v>40</v>
      </c>
      <c r="P453" s="30" t="s">
        <v>41</v>
      </c>
      <c r="Q453" s="29" t="s">
        <v>10991</v>
      </c>
      <c r="R453" s="31" t="s">
        <v>10992</v>
      </c>
      <c r="S453" s="29" t="s">
        <v>10958</v>
      </c>
      <c r="T453" s="29" t="s">
        <v>822</v>
      </c>
      <c r="U453" s="29" t="s">
        <v>636</v>
      </c>
      <c r="V453" s="29" t="s">
        <v>45</v>
      </c>
      <c r="W453" s="29"/>
      <c r="X453" s="29"/>
      <c r="Y453" s="29"/>
      <c r="Z453" s="29" t="s">
        <v>637</v>
      </c>
      <c r="AA453" s="29" t="s">
        <v>10993</v>
      </c>
      <c r="AB453" s="29" t="s">
        <v>10994</v>
      </c>
      <c r="AC453" s="29" t="s">
        <v>46</v>
      </c>
      <c r="AD453" s="29"/>
      <c r="AE453" s="29" t="s">
        <v>641</v>
      </c>
      <c r="AF453" s="29" t="s">
        <v>190</v>
      </c>
      <c r="AG453" s="29">
        <v>4</v>
      </c>
      <c r="AH453" s="29" t="s">
        <v>190</v>
      </c>
      <c r="AI453" s="29" t="s">
        <v>10995</v>
      </c>
      <c r="AJ453" s="29" t="s">
        <v>10996</v>
      </c>
      <c r="AK453" s="29" t="s">
        <v>10783</v>
      </c>
    </row>
    <row r="454" spans="1:37" s="33" customFormat="1">
      <c r="A454" s="29" t="str">
        <f>VLOOKUP(H454,Languages!$A$2:$B$430,2,FALSE)</f>
        <v>Austronesian</v>
      </c>
      <c r="B454" s="29" t="s">
        <v>109</v>
      </c>
      <c r="C454" s="29" t="s">
        <v>198</v>
      </c>
      <c r="D454" s="29" t="s">
        <v>199</v>
      </c>
      <c r="E454" s="30" t="s">
        <v>200</v>
      </c>
      <c r="F454" s="30" t="s">
        <v>200</v>
      </c>
      <c r="G454" s="29" t="s">
        <v>200</v>
      </c>
      <c r="H454" s="29" t="str">
        <f>VLOOKUP(G454,'languoid 4.0'!$A$1:$I$24439,2,FALSE)</f>
        <v>aust1307</v>
      </c>
      <c r="I454" s="29" t="str">
        <f>VLOOKUP(G454,'languoid 4.0'!$A$1:$I$24439,6,FALSE)</f>
        <v>language</v>
      </c>
      <c r="J454" s="30" t="s">
        <v>38</v>
      </c>
      <c r="K454" s="30" t="s">
        <v>38</v>
      </c>
      <c r="L454" s="30" t="s">
        <v>38</v>
      </c>
      <c r="M454" s="29"/>
      <c r="N454" s="29" t="s">
        <v>201</v>
      </c>
      <c r="O454" s="30" t="s">
        <v>40</v>
      </c>
      <c r="P454" s="30" t="s">
        <v>41</v>
      </c>
      <c r="Q454" s="29" t="s">
        <v>273</v>
      </c>
      <c r="R454" s="31" t="s">
        <v>203</v>
      </c>
      <c r="S454" s="29" t="s">
        <v>197</v>
      </c>
      <c r="T454" s="29" t="s">
        <v>44</v>
      </c>
      <c r="U454" s="29"/>
      <c r="V454" s="29" t="s">
        <v>45</v>
      </c>
      <c r="W454" s="29"/>
      <c r="X454" s="29"/>
      <c r="Y454" s="29"/>
      <c r="Z454" s="29"/>
      <c r="AA454" s="29">
        <v>9</v>
      </c>
      <c r="AB454" s="29" t="s">
        <v>274</v>
      </c>
      <c r="AC454" s="37">
        <v>43747</v>
      </c>
      <c r="AD454" s="29"/>
      <c r="AE454" s="29"/>
      <c r="AF454" s="29"/>
      <c r="AG454" s="29"/>
      <c r="AH454" s="29"/>
      <c r="AI454" s="29"/>
      <c r="AJ454" s="32">
        <v>43102.738703703704</v>
      </c>
      <c r="AK454" s="29" t="s">
        <v>57</v>
      </c>
    </row>
    <row r="455" spans="1:37" s="33" customFormat="1">
      <c r="A455" s="29" t="str">
        <f>VLOOKUP(H455,Languages!$A$2:$B$430,2,FALSE)</f>
        <v>Austronesian</v>
      </c>
      <c r="B455" s="29" t="s">
        <v>109</v>
      </c>
      <c r="C455" s="29" t="s">
        <v>198</v>
      </c>
      <c r="D455" s="29" t="s">
        <v>1591</v>
      </c>
      <c r="E455" s="30" t="s">
        <v>1592</v>
      </c>
      <c r="F455" s="30" t="s">
        <v>1592</v>
      </c>
      <c r="G455" s="29" t="s">
        <v>1592</v>
      </c>
      <c r="H455" s="29" t="str">
        <f>VLOOKUP(G455,'languoid 4.0'!$A$1:$I$24439,2,FALSE)</f>
        <v>aust1307</v>
      </c>
      <c r="I455" s="29" t="str">
        <f>VLOOKUP(G455,'languoid 4.0'!$A$1:$I$24439,6,FALSE)</f>
        <v>language</v>
      </c>
      <c r="J455" s="30" t="s">
        <v>38</v>
      </c>
      <c r="K455" s="30" t="s">
        <v>38</v>
      </c>
      <c r="L455" s="30" t="s">
        <v>38</v>
      </c>
      <c r="M455" s="29"/>
      <c r="N455" s="29" t="s">
        <v>1593</v>
      </c>
      <c r="O455" s="30" t="s">
        <v>40</v>
      </c>
      <c r="P455" s="30" t="s">
        <v>41</v>
      </c>
      <c r="Q455" s="29" t="s">
        <v>1594</v>
      </c>
      <c r="R455" s="31" t="s">
        <v>1595</v>
      </c>
      <c r="S455" s="29" t="s">
        <v>1596</v>
      </c>
      <c r="T455" s="29" t="s">
        <v>648</v>
      </c>
      <c r="U455" s="29" t="s">
        <v>636</v>
      </c>
      <c r="V455" s="29" t="s">
        <v>45</v>
      </c>
      <c r="W455" s="29"/>
      <c r="X455" s="29"/>
      <c r="Y455" s="29"/>
      <c r="Z455" s="29" t="s">
        <v>658</v>
      </c>
      <c r="AA455" s="29" t="s">
        <v>1597</v>
      </c>
      <c r="AB455" s="29" t="s">
        <v>46</v>
      </c>
      <c r="AC455" s="29" t="s">
        <v>46</v>
      </c>
      <c r="AD455" s="29"/>
      <c r="AE455" s="29" t="s">
        <v>641</v>
      </c>
      <c r="AF455" s="29" t="s">
        <v>190</v>
      </c>
      <c r="AG455" s="29">
        <v>6</v>
      </c>
      <c r="AH455" s="29" t="s">
        <v>190</v>
      </c>
      <c r="AI455" s="29"/>
      <c r="AJ455" s="32">
        <v>43162.505312499998</v>
      </c>
      <c r="AK455" s="29" t="s">
        <v>1598</v>
      </c>
    </row>
    <row r="456" spans="1:37" s="33" customFormat="1">
      <c r="A456" s="29" t="str">
        <f>VLOOKUP(H456,Languages!$A$2:$B$430,2,FALSE)</f>
        <v>Austronesian</v>
      </c>
      <c r="B456" s="29" t="s">
        <v>109</v>
      </c>
      <c r="C456" s="29" t="s">
        <v>198</v>
      </c>
      <c r="D456" s="29" t="s">
        <v>1979</v>
      </c>
      <c r="E456" s="30" t="s">
        <v>1592</v>
      </c>
      <c r="F456" s="30" t="s">
        <v>1592</v>
      </c>
      <c r="G456" s="29" t="s">
        <v>1592</v>
      </c>
      <c r="H456" s="29" t="str">
        <f>VLOOKUP(G456,'languoid 4.0'!$A$1:$I$24439,2,FALSE)</f>
        <v>aust1307</v>
      </c>
      <c r="I456" s="29" t="str">
        <f>VLOOKUP(G456,'languoid 4.0'!$A$1:$I$24439,6,FALSE)</f>
        <v>language</v>
      </c>
      <c r="J456" s="30" t="s">
        <v>38</v>
      </c>
      <c r="K456" s="30" t="s">
        <v>38</v>
      </c>
      <c r="L456" s="30" t="s">
        <v>38</v>
      </c>
      <c r="M456" s="29"/>
      <c r="N456" s="29" t="s">
        <v>1593</v>
      </c>
      <c r="O456" s="30" t="s">
        <v>40</v>
      </c>
      <c r="P456" s="30" t="s">
        <v>41</v>
      </c>
      <c r="Q456" s="29" t="s">
        <v>2316</v>
      </c>
      <c r="R456" s="31" t="s">
        <v>2317</v>
      </c>
      <c r="S456" s="29" t="s">
        <v>46</v>
      </c>
      <c r="T456" s="29" t="s">
        <v>2103</v>
      </c>
      <c r="U456" s="29" t="s">
        <v>636</v>
      </c>
      <c r="V456" s="29" t="s">
        <v>45</v>
      </c>
      <c r="W456" s="29"/>
      <c r="X456" s="29"/>
      <c r="Y456" s="29"/>
      <c r="Z456" s="29" t="s">
        <v>658</v>
      </c>
      <c r="AA456" s="29" t="s">
        <v>2318</v>
      </c>
      <c r="AB456" s="29" t="s">
        <v>46</v>
      </c>
      <c r="AC456" s="29" t="s">
        <v>46</v>
      </c>
      <c r="AD456" s="31" t="s">
        <v>2319</v>
      </c>
      <c r="AE456" s="29" t="s">
        <v>641</v>
      </c>
      <c r="AF456" s="29" t="s">
        <v>190</v>
      </c>
      <c r="AG456" s="29">
        <v>6</v>
      </c>
      <c r="AH456" s="29" t="s">
        <v>190</v>
      </c>
      <c r="AI456" s="29"/>
      <c r="AJ456" s="29" t="s">
        <v>2320</v>
      </c>
      <c r="AK456" s="29" t="s">
        <v>1598</v>
      </c>
    </row>
    <row r="457" spans="1:37" s="33" customFormat="1">
      <c r="A457" s="29" t="str">
        <f>VLOOKUP(H457,Languages!$A$2:$B$430,2,FALSE)</f>
        <v>Austronesian</v>
      </c>
      <c r="B457" s="29" t="s">
        <v>109</v>
      </c>
      <c r="C457" s="29" t="s">
        <v>198</v>
      </c>
      <c r="D457" s="29" t="s">
        <v>1979</v>
      </c>
      <c r="E457" s="30" t="s">
        <v>1592</v>
      </c>
      <c r="F457" s="30" t="s">
        <v>1592</v>
      </c>
      <c r="G457" s="29" t="s">
        <v>1592</v>
      </c>
      <c r="H457" s="29" t="str">
        <f>VLOOKUP(G457,'languoid 4.0'!$A$1:$I$24439,2,FALSE)</f>
        <v>aust1307</v>
      </c>
      <c r="I457" s="29" t="str">
        <f>VLOOKUP(G457,'languoid 4.0'!$A$1:$I$24439,6,FALSE)</f>
        <v>language</v>
      </c>
      <c r="J457" s="30" t="s">
        <v>38</v>
      </c>
      <c r="K457" s="30" t="s">
        <v>38</v>
      </c>
      <c r="L457" s="30" t="s">
        <v>38</v>
      </c>
      <c r="M457" s="29"/>
      <c r="N457" s="29" t="s">
        <v>1593</v>
      </c>
      <c r="O457" s="30" t="s">
        <v>40</v>
      </c>
      <c r="P457" s="30" t="s">
        <v>41</v>
      </c>
      <c r="Q457" s="29" t="s">
        <v>2316</v>
      </c>
      <c r="R457" s="31" t="s">
        <v>2321</v>
      </c>
      <c r="S457" s="29" t="s">
        <v>46</v>
      </c>
      <c r="T457" s="29" t="s">
        <v>2103</v>
      </c>
      <c r="U457" s="29" t="s">
        <v>636</v>
      </c>
      <c r="V457" s="29" t="s">
        <v>45</v>
      </c>
      <c r="W457" s="29"/>
      <c r="X457" s="29"/>
      <c r="Y457" s="29"/>
      <c r="Z457" s="29" t="s">
        <v>658</v>
      </c>
      <c r="AA457" s="29" t="s">
        <v>2322</v>
      </c>
      <c r="AB457" s="29" t="s">
        <v>46</v>
      </c>
      <c r="AC457" s="29" t="s">
        <v>46</v>
      </c>
      <c r="AD457" s="31" t="s">
        <v>2323</v>
      </c>
      <c r="AE457" s="29" t="s">
        <v>641</v>
      </c>
      <c r="AF457" s="29" t="s">
        <v>190</v>
      </c>
      <c r="AG457" s="29">
        <v>6</v>
      </c>
      <c r="AH457" s="29" t="s">
        <v>190</v>
      </c>
      <c r="AI457" s="29"/>
      <c r="AJ457" s="29" t="s">
        <v>2324</v>
      </c>
      <c r="AK457" s="29" t="s">
        <v>1598</v>
      </c>
    </row>
    <row r="458" spans="1:37" s="33" customFormat="1">
      <c r="A458" s="29" t="str">
        <f>VLOOKUP(H458,Languages!$A$2:$B$430,2,FALSE)</f>
        <v>Austronesian</v>
      </c>
      <c r="B458" s="29" t="s">
        <v>109</v>
      </c>
      <c r="C458" s="29" t="s">
        <v>198</v>
      </c>
      <c r="D458" s="29" t="s">
        <v>1979</v>
      </c>
      <c r="E458" s="30" t="s">
        <v>1592</v>
      </c>
      <c r="F458" s="30" t="s">
        <v>1592</v>
      </c>
      <c r="G458" s="29" t="s">
        <v>1592</v>
      </c>
      <c r="H458" s="29" t="str">
        <f>VLOOKUP(G458,'languoid 4.0'!$A$1:$I$24439,2,FALSE)</f>
        <v>aust1307</v>
      </c>
      <c r="I458" s="29" t="str">
        <f>VLOOKUP(G458,'languoid 4.0'!$A$1:$I$24439,6,FALSE)</f>
        <v>language</v>
      </c>
      <c r="J458" s="30" t="s">
        <v>38</v>
      </c>
      <c r="K458" s="30" t="s">
        <v>38</v>
      </c>
      <c r="L458" s="30" t="s">
        <v>38</v>
      </c>
      <c r="M458" s="29"/>
      <c r="N458" s="29" t="s">
        <v>1593</v>
      </c>
      <c r="O458" s="30" t="s">
        <v>40</v>
      </c>
      <c r="P458" s="30" t="s">
        <v>41</v>
      </c>
      <c r="Q458" s="29" t="s">
        <v>2316</v>
      </c>
      <c r="R458" s="31" t="s">
        <v>2325</v>
      </c>
      <c r="S458" s="29" t="s">
        <v>46</v>
      </c>
      <c r="T458" s="29" t="s">
        <v>2103</v>
      </c>
      <c r="U458" s="29" t="s">
        <v>636</v>
      </c>
      <c r="V458" s="29" t="s">
        <v>45</v>
      </c>
      <c r="W458" s="29"/>
      <c r="X458" s="29"/>
      <c r="Y458" s="29"/>
      <c r="Z458" s="29" t="s">
        <v>658</v>
      </c>
      <c r="AA458" s="29" t="s">
        <v>2326</v>
      </c>
      <c r="AB458" s="29" t="s">
        <v>46</v>
      </c>
      <c r="AC458" s="29" t="s">
        <v>46</v>
      </c>
      <c r="AD458" s="31" t="s">
        <v>2327</v>
      </c>
      <c r="AE458" s="29" t="s">
        <v>641</v>
      </c>
      <c r="AF458" s="29" t="s">
        <v>190</v>
      </c>
      <c r="AG458" s="29">
        <v>5</v>
      </c>
      <c r="AH458" s="29" t="s">
        <v>190</v>
      </c>
      <c r="AI458" s="29"/>
      <c r="AJ458" s="29" t="s">
        <v>2328</v>
      </c>
      <c r="AK458" s="29" t="s">
        <v>1598</v>
      </c>
    </row>
    <row r="459" spans="1:37" s="33" customFormat="1">
      <c r="A459" s="29" t="str">
        <f>VLOOKUP(H459,Languages!$A$2:$B$430,2,FALSE)</f>
        <v>Austronesian</v>
      </c>
      <c r="B459" s="29" t="s">
        <v>109</v>
      </c>
      <c r="C459" s="29" t="s">
        <v>198</v>
      </c>
      <c r="D459" s="29" t="s">
        <v>1979</v>
      </c>
      <c r="E459" s="30" t="s">
        <v>1592</v>
      </c>
      <c r="F459" s="30" t="s">
        <v>1592</v>
      </c>
      <c r="G459" s="29" t="s">
        <v>1592</v>
      </c>
      <c r="H459" s="29" t="str">
        <f>VLOOKUP(G459,'languoid 4.0'!$A$1:$I$24439,2,FALSE)</f>
        <v>aust1307</v>
      </c>
      <c r="I459" s="29" t="str">
        <f>VLOOKUP(G459,'languoid 4.0'!$A$1:$I$24439,6,FALSE)</f>
        <v>language</v>
      </c>
      <c r="J459" s="30" t="s">
        <v>38</v>
      </c>
      <c r="K459" s="30" t="s">
        <v>38</v>
      </c>
      <c r="L459" s="30" t="s">
        <v>38</v>
      </c>
      <c r="M459" s="29"/>
      <c r="N459" s="29" t="s">
        <v>1593</v>
      </c>
      <c r="O459" s="30" t="s">
        <v>40</v>
      </c>
      <c r="P459" s="30" t="s">
        <v>41</v>
      </c>
      <c r="Q459" s="29" t="s">
        <v>2316</v>
      </c>
      <c r="R459" s="31" t="s">
        <v>2329</v>
      </c>
      <c r="S459" s="29" t="s">
        <v>46</v>
      </c>
      <c r="T459" s="29" t="s">
        <v>2103</v>
      </c>
      <c r="U459" s="29" t="s">
        <v>636</v>
      </c>
      <c r="V459" s="29" t="s">
        <v>45</v>
      </c>
      <c r="W459" s="29"/>
      <c r="X459" s="29"/>
      <c r="Y459" s="29"/>
      <c r="Z459" s="29" t="s">
        <v>658</v>
      </c>
      <c r="AA459" s="29" t="s">
        <v>2330</v>
      </c>
      <c r="AB459" s="29" t="s">
        <v>46</v>
      </c>
      <c r="AC459" s="29" t="s">
        <v>46</v>
      </c>
      <c r="AD459" s="31" t="s">
        <v>2331</v>
      </c>
      <c r="AE459" s="29" t="s">
        <v>641</v>
      </c>
      <c r="AF459" s="29" t="s">
        <v>190</v>
      </c>
      <c r="AG459" s="29">
        <v>5</v>
      </c>
      <c r="AH459" s="29" t="s">
        <v>190</v>
      </c>
      <c r="AI459" s="29"/>
      <c r="AJ459" s="29" t="s">
        <v>2332</v>
      </c>
      <c r="AK459" s="29" t="s">
        <v>1598</v>
      </c>
    </row>
    <row r="460" spans="1:37" s="33" customFormat="1">
      <c r="A460" s="29" t="str">
        <f>VLOOKUP(H460,Languages!$A$2:$B$430,2,FALSE)</f>
        <v>Austronesian</v>
      </c>
      <c r="B460" s="29" t="s">
        <v>109</v>
      </c>
      <c r="C460" s="29" t="s">
        <v>198</v>
      </c>
      <c r="D460" s="29" t="s">
        <v>1979</v>
      </c>
      <c r="E460" s="30" t="s">
        <v>1592</v>
      </c>
      <c r="F460" s="30" t="s">
        <v>1592</v>
      </c>
      <c r="G460" s="29" t="s">
        <v>1592</v>
      </c>
      <c r="H460" s="29" t="str">
        <f>VLOOKUP(G460,'languoid 4.0'!$A$1:$I$24439,2,FALSE)</f>
        <v>aust1307</v>
      </c>
      <c r="I460" s="29" t="str">
        <f>VLOOKUP(G460,'languoid 4.0'!$A$1:$I$24439,6,FALSE)</f>
        <v>language</v>
      </c>
      <c r="J460" s="30" t="s">
        <v>38</v>
      </c>
      <c r="K460" s="30" t="s">
        <v>38</v>
      </c>
      <c r="L460" s="30" t="s">
        <v>38</v>
      </c>
      <c r="M460" s="29"/>
      <c r="N460" s="29" t="s">
        <v>1593</v>
      </c>
      <c r="O460" s="30" t="s">
        <v>40</v>
      </c>
      <c r="P460" s="30" t="s">
        <v>41</v>
      </c>
      <c r="Q460" s="29" t="s">
        <v>2316</v>
      </c>
      <c r="R460" s="31" t="s">
        <v>2333</v>
      </c>
      <c r="S460" s="29" t="s">
        <v>46</v>
      </c>
      <c r="T460" s="29" t="s">
        <v>2103</v>
      </c>
      <c r="U460" s="29" t="s">
        <v>636</v>
      </c>
      <c r="V460" s="29" t="s">
        <v>45</v>
      </c>
      <c r="W460" s="29"/>
      <c r="X460" s="29"/>
      <c r="Y460" s="29"/>
      <c r="Z460" s="29" t="s">
        <v>658</v>
      </c>
      <c r="AA460" s="29" t="s">
        <v>2334</v>
      </c>
      <c r="AB460" s="29" t="s">
        <v>46</v>
      </c>
      <c r="AC460" s="29" t="s">
        <v>46</v>
      </c>
      <c r="AD460" s="31" t="s">
        <v>2335</v>
      </c>
      <c r="AE460" s="29" t="s">
        <v>641</v>
      </c>
      <c r="AF460" s="29" t="s">
        <v>190</v>
      </c>
      <c r="AG460" s="29">
        <v>6</v>
      </c>
      <c r="AH460" s="29" t="s">
        <v>190</v>
      </c>
      <c r="AI460" s="29"/>
      <c r="AJ460" s="29" t="s">
        <v>2336</v>
      </c>
      <c r="AK460" s="29" t="s">
        <v>1598</v>
      </c>
    </row>
    <row r="461" spans="1:37" s="33" customFormat="1">
      <c r="A461" s="29" t="str">
        <f>VLOOKUP(H461,Languages!$A$2:$B$430,2,FALSE)</f>
        <v>Austronesian</v>
      </c>
      <c r="B461" s="29" t="s">
        <v>109</v>
      </c>
      <c r="C461" s="29" t="s">
        <v>198</v>
      </c>
      <c r="D461" s="29" t="s">
        <v>1979</v>
      </c>
      <c r="E461" s="30" t="s">
        <v>1592</v>
      </c>
      <c r="F461" s="30" t="s">
        <v>1592</v>
      </c>
      <c r="G461" s="29" t="s">
        <v>1592</v>
      </c>
      <c r="H461" s="29" t="str">
        <f>VLOOKUP(G461,'languoid 4.0'!$A$1:$I$24439,2,FALSE)</f>
        <v>aust1307</v>
      </c>
      <c r="I461" s="29" t="str">
        <f>VLOOKUP(G461,'languoid 4.0'!$A$1:$I$24439,6,FALSE)</f>
        <v>language</v>
      </c>
      <c r="J461" s="30" t="s">
        <v>38</v>
      </c>
      <c r="K461" s="30" t="s">
        <v>38</v>
      </c>
      <c r="L461" s="30" t="s">
        <v>38</v>
      </c>
      <c r="M461" s="29"/>
      <c r="N461" s="29" t="s">
        <v>1593</v>
      </c>
      <c r="O461" s="30" t="s">
        <v>40</v>
      </c>
      <c r="P461" s="30" t="s">
        <v>41</v>
      </c>
      <c r="Q461" s="29" t="s">
        <v>748</v>
      </c>
      <c r="R461" s="31" t="s">
        <v>2337</v>
      </c>
      <c r="S461" s="29" t="s">
        <v>46</v>
      </c>
      <c r="T461" s="29" t="s">
        <v>2103</v>
      </c>
      <c r="U461" s="29" t="s">
        <v>636</v>
      </c>
      <c r="V461" s="29" t="s">
        <v>45</v>
      </c>
      <c r="W461" s="29"/>
      <c r="X461" s="29"/>
      <c r="Y461" s="29"/>
      <c r="Z461" s="29" t="s">
        <v>658</v>
      </c>
      <c r="AA461" s="29" t="s">
        <v>2338</v>
      </c>
      <c r="AB461" s="29" t="s">
        <v>46</v>
      </c>
      <c r="AC461" s="29" t="s">
        <v>46</v>
      </c>
      <c r="AD461" s="31" t="s">
        <v>2339</v>
      </c>
      <c r="AE461" s="29" t="s">
        <v>641</v>
      </c>
      <c r="AF461" s="29" t="s">
        <v>190</v>
      </c>
      <c r="AG461" s="29">
        <v>5</v>
      </c>
      <c r="AH461" s="29" t="s">
        <v>190</v>
      </c>
      <c r="AI461" s="29"/>
      <c r="AJ461" s="29" t="s">
        <v>2340</v>
      </c>
      <c r="AK461" s="29" t="s">
        <v>1598</v>
      </c>
    </row>
    <row r="462" spans="1:37" s="33" customFormat="1">
      <c r="A462" s="29" t="str">
        <f>VLOOKUP(H462,Languages!$A$2:$B$430,2,FALSE)</f>
        <v>Austronesian</v>
      </c>
      <c r="B462" s="29" t="s">
        <v>109</v>
      </c>
      <c r="C462" s="29" t="s">
        <v>198</v>
      </c>
      <c r="D462" s="29" t="s">
        <v>1979</v>
      </c>
      <c r="E462" s="30" t="s">
        <v>1592</v>
      </c>
      <c r="F462" s="30" t="s">
        <v>1592</v>
      </c>
      <c r="G462" s="29" t="s">
        <v>1592</v>
      </c>
      <c r="H462" s="29" t="str">
        <f>VLOOKUP(G462,'languoid 4.0'!$A$1:$I$24439,2,FALSE)</f>
        <v>aust1307</v>
      </c>
      <c r="I462" s="29" t="str">
        <f>VLOOKUP(G462,'languoid 4.0'!$A$1:$I$24439,6,FALSE)</f>
        <v>language</v>
      </c>
      <c r="J462" s="30" t="s">
        <v>38</v>
      </c>
      <c r="K462" s="30" t="s">
        <v>38</v>
      </c>
      <c r="L462" s="30" t="s">
        <v>38</v>
      </c>
      <c r="M462" s="29"/>
      <c r="N462" s="29" t="s">
        <v>1593</v>
      </c>
      <c r="O462" s="30" t="s">
        <v>40</v>
      </c>
      <c r="P462" s="30" t="s">
        <v>41</v>
      </c>
      <c r="Q462" s="29" t="s">
        <v>748</v>
      </c>
      <c r="R462" s="31" t="s">
        <v>2341</v>
      </c>
      <c r="S462" s="29" t="s">
        <v>46</v>
      </c>
      <c r="T462" s="29" t="s">
        <v>2103</v>
      </c>
      <c r="U462" s="29" t="s">
        <v>636</v>
      </c>
      <c r="V462" s="29" t="s">
        <v>45</v>
      </c>
      <c r="W462" s="29"/>
      <c r="X462" s="29"/>
      <c r="Y462" s="29"/>
      <c r="Z462" s="29" t="s">
        <v>658</v>
      </c>
      <c r="AA462" s="29" t="s">
        <v>2342</v>
      </c>
      <c r="AB462" s="29" t="s">
        <v>46</v>
      </c>
      <c r="AC462" s="29" t="s">
        <v>46</v>
      </c>
      <c r="AD462" s="31" t="s">
        <v>2343</v>
      </c>
      <c r="AE462" s="29" t="s">
        <v>641</v>
      </c>
      <c r="AF462" s="29" t="s">
        <v>190</v>
      </c>
      <c r="AG462" s="29">
        <v>5</v>
      </c>
      <c r="AH462" s="29" t="s">
        <v>190</v>
      </c>
      <c r="AI462" s="29"/>
      <c r="AJ462" s="29" t="s">
        <v>2344</v>
      </c>
      <c r="AK462" s="29" t="s">
        <v>1598</v>
      </c>
    </row>
    <row r="463" spans="1:37" s="33" customFormat="1">
      <c r="A463" s="29" t="str">
        <f>VLOOKUP(H463,Languages!$A$2:$B$430,2,FALSE)</f>
        <v>Austronesian</v>
      </c>
      <c r="B463" s="29" t="s">
        <v>109</v>
      </c>
      <c r="C463" s="29" t="s">
        <v>198</v>
      </c>
      <c r="D463" s="29" t="s">
        <v>1979</v>
      </c>
      <c r="E463" s="30" t="s">
        <v>1592</v>
      </c>
      <c r="F463" s="30" t="s">
        <v>1592</v>
      </c>
      <c r="G463" s="29" t="s">
        <v>1592</v>
      </c>
      <c r="H463" s="29" t="str">
        <f>VLOOKUP(G463,'languoid 4.0'!$A$1:$I$24439,2,FALSE)</f>
        <v>aust1307</v>
      </c>
      <c r="I463" s="29" t="str">
        <f>VLOOKUP(G463,'languoid 4.0'!$A$1:$I$24439,6,FALSE)</f>
        <v>language</v>
      </c>
      <c r="J463" s="30" t="s">
        <v>38</v>
      </c>
      <c r="K463" s="30" t="s">
        <v>38</v>
      </c>
      <c r="L463" s="30" t="s">
        <v>38</v>
      </c>
      <c r="M463" s="29"/>
      <c r="N463" s="29" t="s">
        <v>1593</v>
      </c>
      <c r="O463" s="30" t="s">
        <v>40</v>
      </c>
      <c r="P463" s="30" t="s">
        <v>41</v>
      </c>
      <c r="Q463" s="29" t="s">
        <v>2806</v>
      </c>
      <c r="R463" s="31" t="s">
        <v>2807</v>
      </c>
      <c r="S463" s="29" t="s">
        <v>46</v>
      </c>
      <c r="T463" s="29" t="s">
        <v>2103</v>
      </c>
      <c r="U463" s="29" t="s">
        <v>636</v>
      </c>
      <c r="V463" s="29" t="s">
        <v>45</v>
      </c>
      <c r="W463" s="29"/>
      <c r="X463" s="29"/>
      <c r="Y463" s="29"/>
      <c r="Z463" s="29" t="s">
        <v>673</v>
      </c>
      <c r="AA463" s="29" t="s">
        <v>46</v>
      </c>
      <c r="AB463" s="29" t="s">
        <v>2808</v>
      </c>
      <c r="AC463" s="29" t="s">
        <v>46</v>
      </c>
      <c r="AD463" s="29"/>
      <c r="AE463" s="29"/>
      <c r="AF463" s="29"/>
      <c r="AG463" s="29"/>
      <c r="AH463" s="29" t="s">
        <v>45</v>
      </c>
      <c r="AI463" s="29"/>
      <c r="AJ463" s="32">
        <v>43408.320543981485</v>
      </c>
      <c r="AK463" s="29" t="s">
        <v>1598</v>
      </c>
    </row>
    <row r="464" spans="1:37" s="33" customFormat="1">
      <c r="A464" s="29" t="str">
        <f>VLOOKUP(H464,Languages!$A$2:$B$430,2,FALSE)</f>
        <v>Austronesian</v>
      </c>
      <c r="B464" s="29" t="s">
        <v>109</v>
      </c>
      <c r="C464" s="29" t="s">
        <v>198</v>
      </c>
      <c r="D464" s="29" t="s">
        <v>1979</v>
      </c>
      <c r="E464" s="30" t="s">
        <v>1592</v>
      </c>
      <c r="F464" s="30" t="s">
        <v>1592</v>
      </c>
      <c r="G464" s="29" t="s">
        <v>1592</v>
      </c>
      <c r="H464" s="29" t="str">
        <f>VLOOKUP(G464,'languoid 4.0'!$A$1:$I$24439,2,FALSE)</f>
        <v>aust1307</v>
      </c>
      <c r="I464" s="29" t="str">
        <f>VLOOKUP(G464,'languoid 4.0'!$A$1:$I$24439,6,FALSE)</f>
        <v>language</v>
      </c>
      <c r="J464" s="30" t="s">
        <v>38</v>
      </c>
      <c r="K464" s="30" t="s">
        <v>38</v>
      </c>
      <c r="L464" s="30" t="s">
        <v>38</v>
      </c>
      <c r="M464" s="29"/>
      <c r="N464" s="29" t="s">
        <v>1593</v>
      </c>
      <c r="O464" s="30" t="s">
        <v>40</v>
      </c>
      <c r="P464" s="30" t="s">
        <v>41</v>
      </c>
      <c r="Q464" s="29" t="s">
        <v>2809</v>
      </c>
      <c r="R464" s="31" t="s">
        <v>2810</v>
      </c>
      <c r="S464" s="29" t="s">
        <v>46</v>
      </c>
      <c r="T464" s="29" t="s">
        <v>2103</v>
      </c>
      <c r="U464" s="29" t="s">
        <v>636</v>
      </c>
      <c r="V464" s="29" t="s">
        <v>45</v>
      </c>
      <c r="W464" s="29"/>
      <c r="X464" s="29"/>
      <c r="Y464" s="29"/>
      <c r="Z464" s="29" t="s">
        <v>658</v>
      </c>
      <c r="AA464" s="29" t="s">
        <v>2811</v>
      </c>
      <c r="AB464" s="29" t="s">
        <v>46</v>
      </c>
      <c r="AC464" s="29" t="s">
        <v>46</v>
      </c>
      <c r="AD464" s="29"/>
      <c r="AE464" s="29"/>
      <c r="AF464" s="29"/>
      <c r="AG464" s="29"/>
      <c r="AH464" s="29" t="s">
        <v>45</v>
      </c>
      <c r="AI464" s="29"/>
      <c r="AJ464" s="32">
        <v>43408.321469907409</v>
      </c>
      <c r="AK464" s="29" t="s">
        <v>1598</v>
      </c>
    </row>
    <row r="465" spans="1:37" s="33" customFormat="1">
      <c r="A465" s="29" t="str">
        <f>VLOOKUP(H465,Languages!$A$2:$B$430,2,FALSE)</f>
        <v>Austronesian</v>
      </c>
      <c r="B465" s="29" t="s">
        <v>109</v>
      </c>
      <c r="C465" s="29" t="s">
        <v>117</v>
      </c>
      <c r="D465" s="29" t="s">
        <v>365</v>
      </c>
      <c r="E465" s="30" t="s">
        <v>366</v>
      </c>
      <c r="F465" s="30" t="s">
        <v>367</v>
      </c>
      <c r="G465" s="29" t="s">
        <v>366</v>
      </c>
      <c r="H465" s="29" t="str">
        <f>VLOOKUP(G465,'languoid 4.0'!$A$1:$I$24439,2,FALSE)</f>
        <v>aust1307</v>
      </c>
      <c r="I465" s="29" t="str">
        <f>VLOOKUP(G465,'languoid 4.0'!$A$1:$I$24439,6,FALSE)</f>
        <v>language</v>
      </c>
      <c r="J465" s="30" t="s">
        <v>52</v>
      </c>
      <c r="K465" s="30" t="s">
        <v>368</v>
      </c>
      <c r="L465" s="30" t="s">
        <v>38</v>
      </c>
      <c r="M465" s="29"/>
      <c r="N465" s="29" t="s">
        <v>369</v>
      </c>
      <c r="O465" s="30" t="s">
        <v>40</v>
      </c>
      <c r="P465" s="30" t="s">
        <v>41</v>
      </c>
      <c r="Q465" s="29" t="s">
        <v>370</v>
      </c>
      <c r="R465" s="31" t="s">
        <v>371</v>
      </c>
      <c r="S465" s="29" t="s">
        <v>372</v>
      </c>
      <c r="T465" s="29" t="s">
        <v>44</v>
      </c>
      <c r="U465" s="29"/>
      <c r="V465" s="29" t="s">
        <v>45</v>
      </c>
      <c r="W465" s="29"/>
      <c r="X465" s="29"/>
      <c r="Y465" s="29"/>
      <c r="Z465" s="29"/>
      <c r="AA465" s="29">
        <v>12</v>
      </c>
      <c r="AB465" s="29" t="s">
        <v>213</v>
      </c>
      <c r="AC465" s="29" t="s">
        <v>46</v>
      </c>
      <c r="AD465" s="29"/>
      <c r="AE465" s="29"/>
      <c r="AF465" s="29"/>
      <c r="AG465" s="29"/>
      <c r="AH465" s="29"/>
      <c r="AI465" s="29"/>
      <c r="AJ465" s="32">
        <v>43102.743993055556</v>
      </c>
      <c r="AK465" s="29" t="s">
        <v>74</v>
      </c>
    </row>
    <row r="466" spans="1:37" s="33" customFormat="1">
      <c r="A466" s="29" t="str">
        <f>VLOOKUP(H466,Languages!$A$2:$B$430,2,FALSE)</f>
        <v>Austronesian</v>
      </c>
      <c r="B466" s="29" t="s">
        <v>109</v>
      </c>
      <c r="C466" s="29" t="s">
        <v>117</v>
      </c>
      <c r="D466" s="29" t="s">
        <v>5329</v>
      </c>
      <c r="E466" s="30" t="s">
        <v>5330</v>
      </c>
      <c r="F466" s="30" t="s">
        <v>5331</v>
      </c>
      <c r="G466" s="29" t="s">
        <v>5330</v>
      </c>
      <c r="H466" s="29" t="str">
        <f>VLOOKUP(G466,'languoid 4.0'!$A$1:$I$24439,2,FALSE)</f>
        <v>aust1307</v>
      </c>
      <c r="I466" s="29" t="str">
        <f>VLOOKUP(G466,'languoid 4.0'!$A$1:$I$24439,6,FALSE)</f>
        <v>language</v>
      </c>
      <c r="J466" s="30" t="s">
        <v>52</v>
      </c>
      <c r="K466" s="30" t="s">
        <v>38</v>
      </c>
      <c r="L466" s="30" t="s">
        <v>38</v>
      </c>
      <c r="M466" s="29"/>
      <c r="N466" s="29" t="s">
        <v>5332</v>
      </c>
      <c r="O466" s="30" t="s">
        <v>40</v>
      </c>
      <c r="P466" s="30" t="s">
        <v>41</v>
      </c>
      <c r="Q466" s="29" t="s">
        <v>5333</v>
      </c>
      <c r="R466" s="31" t="s">
        <v>5334</v>
      </c>
      <c r="S466" s="29">
        <v>102</v>
      </c>
      <c r="T466" s="29" t="s">
        <v>635</v>
      </c>
      <c r="U466" s="29" t="s">
        <v>636</v>
      </c>
      <c r="V466" s="29" t="s">
        <v>45</v>
      </c>
      <c r="W466" s="29"/>
      <c r="X466" s="29"/>
      <c r="Y466" s="29"/>
      <c r="Z466" s="29" t="s">
        <v>823</v>
      </c>
      <c r="AA466" s="29" t="s">
        <v>5335</v>
      </c>
      <c r="AB466" s="29" t="s">
        <v>5336</v>
      </c>
      <c r="AC466" s="29" t="s">
        <v>5337</v>
      </c>
      <c r="AD466" s="29"/>
      <c r="AE466" s="29" t="s">
        <v>641</v>
      </c>
      <c r="AF466" s="29" t="s">
        <v>45</v>
      </c>
      <c r="AG466" s="29">
        <v>1</v>
      </c>
      <c r="AH466" s="29" t="s">
        <v>190</v>
      </c>
      <c r="AI466" s="29"/>
      <c r="AJ466" s="29" t="s">
        <v>5338</v>
      </c>
      <c r="AK466" s="29" t="s">
        <v>4268</v>
      </c>
    </row>
    <row r="467" spans="1:37" s="33" customFormat="1">
      <c r="A467" s="29" t="str">
        <f>VLOOKUP(H467,Languages!$A$2:$B$430,2,FALSE)</f>
        <v>Austronesian</v>
      </c>
      <c r="B467" s="29" t="s">
        <v>109</v>
      </c>
      <c r="C467" s="29" t="s">
        <v>117</v>
      </c>
      <c r="D467" s="29" t="s">
        <v>5359</v>
      </c>
      <c r="E467" s="30" t="s">
        <v>5331</v>
      </c>
      <c r="F467" s="30" t="s">
        <v>5360</v>
      </c>
      <c r="G467" s="29" t="s">
        <v>5331</v>
      </c>
      <c r="H467" s="29" t="str">
        <f>VLOOKUP(G467,'languoid 4.0'!$A$1:$I$24439,2,FALSE)</f>
        <v>aust1307</v>
      </c>
      <c r="I467" s="29" t="str">
        <f>VLOOKUP(G467,'languoid 4.0'!$A$1:$I$24439,6,FALSE)</f>
        <v>language</v>
      </c>
      <c r="J467" s="30" t="s">
        <v>52</v>
      </c>
      <c r="K467" s="30" t="s">
        <v>38</v>
      </c>
      <c r="L467" s="30" t="s">
        <v>38</v>
      </c>
      <c r="M467" s="29"/>
      <c r="N467" s="29" t="s">
        <v>5361</v>
      </c>
      <c r="O467" s="30" t="s">
        <v>40</v>
      </c>
      <c r="P467" s="30" t="s">
        <v>41</v>
      </c>
      <c r="Q467" s="29" t="s">
        <v>5362</v>
      </c>
      <c r="R467" s="31" t="s">
        <v>4512</v>
      </c>
      <c r="S467" s="29" t="s">
        <v>46</v>
      </c>
      <c r="T467" s="29" t="s">
        <v>635</v>
      </c>
      <c r="U467" s="29" t="s">
        <v>636</v>
      </c>
      <c r="V467" s="29" t="s">
        <v>45</v>
      </c>
      <c r="W467" s="29"/>
      <c r="X467" s="29"/>
      <c r="Y467" s="29"/>
      <c r="Z467" s="29" t="s">
        <v>673</v>
      </c>
      <c r="AA467" s="29" t="s">
        <v>46</v>
      </c>
      <c r="AB467" s="29" t="s">
        <v>5363</v>
      </c>
      <c r="AC467" s="29" t="s">
        <v>46</v>
      </c>
      <c r="AD467" s="29" t="s">
        <v>5364</v>
      </c>
      <c r="AE467" s="29" t="s">
        <v>641</v>
      </c>
      <c r="AF467" s="29" t="s">
        <v>190</v>
      </c>
      <c r="AG467" s="29">
        <v>6</v>
      </c>
      <c r="AH467" s="29" t="s">
        <v>190</v>
      </c>
      <c r="AI467" s="29"/>
      <c r="AJ467" s="29" t="s">
        <v>5365</v>
      </c>
      <c r="AK467" s="29" t="s">
        <v>4268</v>
      </c>
    </row>
    <row r="468" spans="1:37" s="33" customFormat="1">
      <c r="A468" s="29" t="str">
        <f>VLOOKUP(H468,Languages!$A$2:$B$430,2,FALSE)</f>
        <v>Austronesian</v>
      </c>
      <c r="B468" s="29" t="s">
        <v>109</v>
      </c>
      <c r="C468" s="29" t="s">
        <v>117</v>
      </c>
      <c r="D468" s="29" t="s">
        <v>5371</v>
      </c>
      <c r="E468" s="30" t="s">
        <v>5372</v>
      </c>
      <c r="F468" s="30" t="s">
        <v>5373</v>
      </c>
      <c r="G468" s="29" t="s">
        <v>5372</v>
      </c>
      <c r="H468" s="29" t="str">
        <f>VLOOKUP(G468,'languoid 4.0'!$A$1:$I$24439,2,FALSE)</f>
        <v>aust1307</v>
      </c>
      <c r="I468" s="29" t="str">
        <f>VLOOKUP(G468,'languoid 4.0'!$A$1:$I$24439,6,FALSE)</f>
        <v>language</v>
      </c>
      <c r="J468" s="30" t="s">
        <v>52</v>
      </c>
      <c r="K468" s="30" t="s">
        <v>38</v>
      </c>
      <c r="L468" s="30" t="s">
        <v>38</v>
      </c>
      <c r="M468" s="29"/>
      <c r="N468" s="29" t="s">
        <v>5374</v>
      </c>
      <c r="O468" s="30" t="s">
        <v>40</v>
      </c>
      <c r="P468" s="30" t="s">
        <v>41</v>
      </c>
      <c r="Q468" s="29" t="s">
        <v>5379</v>
      </c>
      <c r="R468" s="31" t="s">
        <v>4512</v>
      </c>
      <c r="S468" s="29" t="s">
        <v>46</v>
      </c>
      <c r="T468" s="29" t="s">
        <v>635</v>
      </c>
      <c r="U468" s="29" t="s">
        <v>636</v>
      </c>
      <c r="V468" s="29" t="s">
        <v>45</v>
      </c>
      <c r="W468" s="29"/>
      <c r="X468" s="29"/>
      <c r="Y468" s="29"/>
      <c r="Z468" s="29" t="s">
        <v>658</v>
      </c>
      <c r="AA468" s="29" t="s">
        <v>5380</v>
      </c>
      <c r="AB468" s="29" t="s">
        <v>46</v>
      </c>
      <c r="AC468" s="29" t="s">
        <v>46</v>
      </c>
      <c r="AD468" s="29" t="s">
        <v>5381</v>
      </c>
      <c r="AE468" s="29" t="s">
        <v>641</v>
      </c>
      <c r="AF468" s="29" t="s">
        <v>190</v>
      </c>
      <c r="AG468" s="29">
        <v>6</v>
      </c>
      <c r="AH468" s="29" t="s">
        <v>190</v>
      </c>
      <c r="AI468" s="29"/>
      <c r="AJ468" s="29" t="s">
        <v>5382</v>
      </c>
      <c r="AK468" s="29" t="s">
        <v>4268</v>
      </c>
    </row>
    <row r="469" spans="1:37" s="33" customFormat="1">
      <c r="A469" s="29" t="str">
        <f>VLOOKUP(H469,Languages!$A$2:$B$430,2,FALSE)</f>
        <v>Austronesian</v>
      </c>
      <c r="B469" s="29" t="s">
        <v>109</v>
      </c>
      <c r="C469" s="29" t="s">
        <v>117</v>
      </c>
      <c r="D469" s="29" t="s">
        <v>5383</v>
      </c>
      <c r="E469" s="30" t="s">
        <v>4370</v>
      </c>
      <c r="F469" s="30" t="s">
        <v>4370</v>
      </c>
      <c r="G469" s="29" t="s">
        <v>4370</v>
      </c>
      <c r="H469" s="29" t="str">
        <f>VLOOKUP(G469,'languoid 4.0'!$A$1:$I$24439,2,FALSE)</f>
        <v>aust1307</v>
      </c>
      <c r="I469" s="29" t="str">
        <f>VLOOKUP(G469,'languoid 4.0'!$A$1:$I$24439,6,FALSE)</f>
        <v>language</v>
      </c>
      <c r="J469" s="30" t="s">
        <v>38</v>
      </c>
      <c r="K469" s="30" t="s">
        <v>38</v>
      </c>
      <c r="L469" s="30" t="s">
        <v>38</v>
      </c>
      <c r="M469" s="29"/>
      <c r="N469" s="29" t="s">
        <v>4371</v>
      </c>
      <c r="O469" s="30" t="s">
        <v>40</v>
      </c>
      <c r="P469" s="30" t="s">
        <v>41</v>
      </c>
      <c r="Q469" s="29" t="s">
        <v>5384</v>
      </c>
      <c r="R469" s="31" t="s">
        <v>5385</v>
      </c>
      <c r="S469" s="29">
        <v>208</v>
      </c>
      <c r="T469" s="29" t="s">
        <v>635</v>
      </c>
      <c r="U469" s="29" t="s">
        <v>636</v>
      </c>
      <c r="V469" s="29" t="s">
        <v>45</v>
      </c>
      <c r="W469" s="29"/>
      <c r="X469" s="29"/>
      <c r="Y469" s="29"/>
      <c r="Z469" s="29" t="s">
        <v>658</v>
      </c>
      <c r="AA469" s="29" t="s">
        <v>5386</v>
      </c>
      <c r="AB469" s="29" t="s">
        <v>46</v>
      </c>
      <c r="AC469" s="29" t="s">
        <v>46</v>
      </c>
      <c r="AD469" s="29"/>
      <c r="AE469" s="29" t="s">
        <v>641</v>
      </c>
      <c r="AF469" s="29" t="s">
        <v>190</v>
      </c>
      <c r="AG469" s="29">
        <v>6</v>
      </c>
      <c r="AH469" s="29" t="s">
        <v>190</v>
      </c>
      <c r="AI469" s="29"/>
      <c r="AJ469" s="29" t="s">
        <v>5387</v>
      </c>
      <c r="AK469" s="29" t="s">
        <v>4268</v>
      </c>
    </row>
    <row r="470" spans="1:37" s="33" customFormat="1">
      <c r="A470" s="29" t="str">
        <f>VLOOKUP(H470,Languages!$A$2:$B$430,2,FALSE)</f>
        <v>Austronesian</v>
      </c>
      <c r="B470" s="29" t="s">
        <v>109</v>
      </c>
      <c r="C470" s="29" t="s">
        <v>117</v>
      </c>
      <c r="D470" s="29" t="s">
        <v>5383</v>
      </c>
      <c r="E470" s="30" t="s">
        <v>4370</v>
      </c>
      <c r="F470" s="30" t="s">
        <v>4370</v>
      </c>
      <c r="G470" s="29" t="s">
        <v>4370</v>
      </c>
      <c r="H470" s="29" t="str">
        <f>VLOOKUP(G470,'languoid 4.0'!$A$1:$I$24439,2,FALSE)</f>
        <v>aust1307</v>
      </c>
      <c r="I470" s="29" t="str">
        <f>VLOOKUP(G470,'languoid 4.0'!$A$1:$I$24439,6,FALSE)</f>
        <v>language</v>
      </c>
      <c r="J470" s="30" t="s">
        <v>38</v>
      </c>
      <c r="K470" s="30" t="s">
        <v>38</v>
      </c>
      <c r="L470" s="30" t="s">
        <v>38</v>
      </c>
      <c r="M470" s="29"/>
      <c r="N470" s="29" t="s">
        <v>4371</v>
      </c>
      <c r="O470" s="30" t="s">
        <v>40</v>
      </c>
      <c r="P470" s="30" t="s">
        <v>41</v>
      </c>
      <c r="Q470" s="29" t="s">
        <v>5388</v>
      </c>
      <c r="R470" s="31" t="s">
        <v>5389</v>
      </c>
      <c r="S470" s="29">
        <v>210</v>
      </c>
      <c r="T470" s="29" t="s">
        <v>635</v>
      </c>
      <c r="U470" s="29" t="s">
        <v>636</v>
      </c>
      <c r="V470" s="29" t="s">
        <v>45</v>
      </c>
      <c r="W470" s="29"/>
      <c r="X470" s="29"/>
      <c r="Y470" s="29"/>
      <c r="Z470" s="29" t="s">
        <v>658</v>
      </c>
      <c r="AA470" s="29" t="s">
        <v>5390</v>
      </c>
      <c r="AB470" s="29" t="s">
        <v>46</v>
      </c>
      <c r="AC470" s="29" t="s">
        <v>46</v>
      </c>
      <c r="AD470" s="29"/>
      <c r="AE470" s="29" t="s">
        <v>641</v>
      </c>
      <c r="AF470" s="29" t="s">
        <v>190</v>
      </c>
      <c r="AG470" s="29">
        <v>5</v>
      </c>
      <c r="AH470" s="29" t="s">
        <v>190</v>
      </c>
      <c r="AI470" s="29"/>
      <c r="AJ470" s="29" t="s">
        <v>5391</v>
      </c>
      <c r="AK470" s="29" t="s">
        <v>4268</v>
      </c>
    </row>
    <row r="471" spans="1:37" s="33" customFormat="1">
      <c r="A471" s="29" t="str">
        <f>VLOOKUP(H471,Languages!$A$2:$B$430,2,FALSE)</f>
        <v>Austronesian</v>
      </c>
      <c r="B471" s="29" t="s">
        <v>109</v>
      </c>
      <c r="C471" s="29" t="s">
        <v>117</v>
      </c>
      <c r="D471" s="29" t="s">
        <v>5448</v>
      </c>
      <c r="E471" s="30" t="s">
        <v>5449</v>
      </c>
      <c r="F471" s="30" t="s">
        <v>5449</v>
      </c>
      <c r="G471" s="29" t="s">
        <v>5449</v>
      </c>
      <c r="H471" s="29" t="str">
        <f>VLOOKUP(G471,'languoid 4.0'!$A$1:$I$24439,2,FALSE)</f>
        <v>aust1307</v>
      </c>
      <c r="I471" s="29" t="str">
        <f>VLOOKUP(G471,'languoid 4.0'!$A$1:$I$24439,6,FALSE)</f>
        <v>language</v>
      </c>
      <c r="J471" s="30" t="s">
        <v>38</v>
      </c>
      <c r="K471" s="30" t="s">
        <v>38</v>
      </c>
      <c r="L471" s="30" t="s">
        <v>38</v>
      </c>
      <c r="M471" s="29"/>
      <c r="N471" s="29" t="s">
        <v>5450</v>
      </c>
      <c r="O471" s="30" t="s">
        <v>40</v>
      </c>
      <c r="P471" s="30" t="s">
        <v>41</v>
      </c>
      <c r="Q471" s="29" t="s">
        <v>5451</v>
      </c>
      <c r="R471" s="31" t="s">
        <v>4512</v>
      </c>
      <c r="S471" s="29" t="s">
        <v>46</v>
      </c>
      <c r="T471" s="29" t="s">
        <v>635</v>
      </c>
      <c r="U471" s="29" t="s">
        <v>636</v>
      </c>
      <c r="V471" s="29" t="s">
        <v>45</v>
      </c>
      <c r="W471" s="29"/>
      <c r="X471" s="29"/>
      <c r="Y471" s="29"/>
      <c r="Z471" s="29" t="s">
        <v>658</v>
      </c>
      <c r="AA471" s="29" t="s">
        <v>5452</v>
      </c>
      <c r="AB471" s="29" t="s">
        <v>46</v>
      </c>
      <c r="AC471" s="29" t="s">
        <v>46</v>
      </c>
      <c r="AD471" s="29" t="s">
        <v>5453</v>
      </c>
      <c r="AE471" s="29" t="s">
        <v>641</v>
      </c>
      <c r="AF471" s="29" t="s">
        <v>190</v>
      </c>
      <c r="AG471" s="29">
        <v>6</v>
      </c>
      <c r="AH471" s="29" t="s">
        <v>190</v>
      </c>
      <c r="AI471" s="29"/>
      <c r="AJ471" s="29" t="s">
        <v>5454</v>
      </c>
      <c r="AK471" s="29" t="s">
        <v>4268</v>
      </c>
    </row>
    <row r="472" spans="1:37" s="33" customFormat="1">
      <c r="A472" s="29" t="str">
        <f>VLOOKUP(H472,Languages!$A$2:$B$430,2,FALSE)</f>
        <v>Austronesian</v>
      </c>
      <c r="B472" s="29" t="s">
        <v>35</v>
      </c>
      <c r="C472" s="29" t="s">
        <v>82</v>
      </c>
      <c r="D472" s="29" t="s">
        <v>4450</v>
      </c>
      <c r="E472" s="30" t="s">
        <v>4451</v>
      </c>
      <c r="F472" s="30" t="s">
        <v>4451</v>
      </c>
      <c r="G472" s="29" t="s">
        <v>4451</v>
      </c>
      <c r="H472" s="29" t="str">
        <f>VLOOKUP(G472,'languoid 4.0'!$A$1:$I$24439,2,FALSE)</f>
        <v>aust1307</v>
      </c>
      <c r="I472" s="29" t="str">
        <f>VLOOKUP(G472,'languoid 4.0'!$A$1:$I$24439,6,FALSE)</f>
        <v>language</v>
      </c>
      <c r="J472" s="30" t="s">
        <v>38</v>
      </c>
      <c r="K472" s="30" t="s">
        <v>38</v>
      </c>
      <c r="L472" s="30" t="s">
        <v>38</v>
      </c>
      <c r="M472" s="29"/>
      <c r="N472" s="29" t="s">
        <v>4452</v>
      </c>
      <c r="O472" s="30" t="s">
        <v>40</v>
      </c>
      <c r="P472" s="30" t="s">
        <v>41</v>
      </c>
      <c r="Q472" s="29" t="s">
        <v>4458</v>
      </c>
      <c r="R472" s="31" t="s">
        <v>4459</v>
      </c>
      <c r="S472" s="29" t="s">
        <v>2589</v>
      </c>
      <c r="T472" s="29" t="s">
        <v>635</v>
      </c>
      <c r="U472" s="29" t="s">
        <v>636</v>
      </c>
      <c r="V472" s="29" t="s">
        <v>45</v>
      </c>
      <c r="W472" s="29"/>
      <c r="X472" s="29"/>
      <c r="Y472" s="29"/>
      <c r="Z472" s="29" t="s">
        <v>637</v>
      </c>
      <c r="AA472" s="29" t="s">
        <v>4460</v>
      </c>
      <c r="AB472" s="29" t="s">
        <v>4461</v>
      </c>
      <c r="AC472" s="29" t="s">
        <v>4461</v>
      </c>
      <c r="AD472" s="29"/>
      <c r="AE472" s="29" t="s">
        <v>641</v>
      </c>
      <c r="AF472" s="29" t="s">
        <v>190</v>
      </c>
      <c r="AG472" s="29">
        <v>5</v>
      </c>
      <c r="AH472" s="29" t="s">
        <v>190</v>
      </c>
      <c r="AI472" s="29"/>
      <c r="AJ472" s="32">
        <v>43226.661157407405</v>
      </c>
      <c r="AK472" s="29" t="s">
        <v>4274</v>
      </c>
    </row>
    <row r="473" spans="1:37" s="33" customFormat="1">
      <c r="A473" s="29" t="str">
        <f>VLOOKUP(H473,Languages!$A$2:$B$430,2,FALSE)</f>
        <v>Austronesian</v>
      </c>
      <c r="B473" s="29" t="s">
        <v>35</v>
      </c>
      <c r="C473" s="29" t="s">
        <v>82</v>
      </c>
      <c r="D473" s="29" t="s">
        <v>4566</v>
      </c>
      <c r="E473" s="30" t="s">
        <v>4567</v>
      </c>
      <c r="F473" s="30" t="s">
        <v>4567</v>
      </c>
      <c r="G473" s="29" t="s">
        <v>4567</v>
      </c>
      <c r="H473" s="29" t="str">
        <f>VLOOKUP(G473,'languoid 4.0'!$A$1:$I$24439,2,FALSE)</f>
        <v>aust1307</v>
      </c>
      <c r="I473" s="29" t="str">
        <f>VLOOKUP(G473,'languoid 4.0'!$A$1:$I$24439,6,FALSE)</f>
        <v>language</v>
      </c>
      <c r="J473" s="30" t="s">
        <v>38</v>
      </c>
      <c r="K473" s="30" t="s">
        <v>38</v>
      </c>
      <c r="L473" s="30" t="s">
        <v>38</v>
      </c>
      <c r="M473" s="29"/>
      <c r="N473" s="29" t="s">
        <v>4568</v>
      </c>
      <c r="O473" s="30" t="s">
        <v>40</v>
      </c>
      <c r="P473" s="30" t="s">
        <v>41</v>
      </c>
      <c r="Q473" s="29" t="s">
        <v>35</v>
      </c>
      <c r="R473" s="31" t="s">
        <v>4569</v>
      </c>
      <c r="S473" s="29" t="s">
        <v>2589</v>
      </c>
      <c r="T473" s="29" t="s">
        <v>635</v>
      </c>
      <c r="U473" s="29" t="s">
        <v>636</v>
      </c>
      <c r="V473" s="29" t="s">
        <v>45</v>
      </c>
      <c r="W473" s="29"/>
      <c r="X473" s="29"/>
      <c r="Y473" s="29"/>
      <c r="Z473" s="29" t="s">
        <v>658</v>
      </c>
      <c r="AA473" s="29" t="s">
        <v>4570</v>
      </c>
      <c r="AB473" s="29" t="s">
        <v>4571</v>
      </c>
      <c r="AC473" s="29" t="s">
        <v>4571</v>
      </c>
      <c r="AD473" s="29"/>
      <c r="AE473" s="29" t="s">
        <v>641</v>
      </c>
      <c r="AF473" s="29" t="s">
        <v>190</v>
      </c>
      <c r="AG473" s="29">
        <v>6</v>
      </c>
      <c r="AH473" s="29" t="s">
        <v>190</v>
      </c>
      <c r="AI473" s="29"/>
      <c r="AJ473" s="32">
        <v>43318.578877314816</v>
      </c>
      <c r="AK473" s="29" t="s">
        <v>4274</v>
      </c>
    </row>
    <row r="474" spans="1:37" s="33" customFormat="1">
      <c r="A474" s="29" t="str">
        <f>VLOOKUP(H474,Languages!$A$2:$B$430,2,FALSE)</f>
        <v>Austronesian</v>
      </c>
      <c r="B474" s="29" t="s">
        <v>35</v>
      </c>
      <c r="C474" s="29" t="s">
        <v>75</v>
      </c>
      <c r="D474" s="29" t="s">
        <v>383</v>
      </c>
      <c r="E474" s="30" t="s">
        <v>384</v>
      </c>
      <c r="F474" s="30" t="s">
        <v>367</v>
      </c>
      <c r="G474" s="29" t="s">
        <v>384</v>
      </c>
      <c r="H474" s="29" t="str">
        <f>VLOOKUP(G474,'languoid 4.0'!$A$1:$I$24439,2,FALSE)</f>
        <v>aust1307</v>
      </c>
      <c r="I474" s="29" t="str">
        <f>VLOOKUP(G474,'languoid 4.0'!$A$1:$I$24439,6,FALSE)</f>
        <v>family</v>
      </c>
      <c r="J474" s="30" t="s">
        <v>52</v>
      </c>
      <c r="K474" s="30" t="s">
        <v>368</v>
      </c>
      <c r="L474" s="30" t="s">
        <v>38</v>
      </c>
      <c r="M474" s="29"/>
      <c r="N474" s="29"/>
      <c r="O474" s="30" t="s">
        <v>113</v>
      </c>
      <c r="P474" s="30" t="s">
        <v>41</v>
      </c>
      <c r="Q474" s="29" t="s">
        <v>385</v>
      </c>
      <c r="R474" s="31" t="s">
        <v>386</v>
      </c>
      <c r="S474" s="29" t="s">
        <v>387</v>
      </c>
      <c r="T474" s="29" t="s">
        <v>44</v>
      </c>
      <c r="U474" s="29"/>
      <c r="V474" s="29" t="s">
        <v>45</v>
      </c>
      <c r="W474" s="29"/>
      <c r="X474" s="29"/>
      <c r="Y474" s="29"/>
      <c r="Z474" s="29"/>
      <c r="AA474" s="29">
        <v>23</v>
      </c>
      <c r="AB474" s="29">
        <v>23</v>
      </c>
      <c r="AC474" s="29">
        <v>23</v>
      </c>
      <c r="AD474" s="29"/>
      <c r="AE474" s="29"/>
      <c r="AF474" s="29"/>
      <c r="AG474" s="29"/>
      <c r="AH474" s="29"/>
      <c r="AI474" s="29"/>
      <c r="AJ474" s="32">
        <v>43102.745671296296</v>
      </c>
      <c r="AK474" s="29" t="s">
        <v>172</v>
      </c>
    </row>
    <row r="475" spans="1:37" s="33" customFormat="1">
      <c r="A475" s="29" t="str">
        <f>VLOOKUP(H475,Languages!$A$2:$B$430,2,FALSE)</f>
        <v>Austronesian</v>
      </c>
      <c r="B475" s="29" t="s">
        <v>35</v>
      </c>
      <c r="C475" s="29" t="s">
        <v>75</v>
      </c>
      <c r="D475" s="29" t="s">
        <v>7805</v>
      </c>
      <c r="E475" s="30" t="s">
        <v>7806</v>
      </c>
      <c r="F475" s="30" t="s">
        <v>7798</v>
      </c>
      <c r="G475" s="29" t="s">
        <v>7798</v>
      </c>
      <c r="H475" s="29" t="str">
        <f>VLOOKUP(G475,'languoid 4.0'!$A$1:$I$24439,2,FALSE)</f>
        <v>aust1307</v>
      </c>
      <c r="I475" s="29" t="str">
        <f>VLOOKUP(G475,'languoid 4.0'!$A$1:$I$24439,6,FALSE)</f>
        <v>family</v>
      </c>
      <c r="J475" s="30" t="s">
        <v>52</v>
      </c>
      <c r="K475" s="30" t="s">
        <v>38</v>
      </c>
      <c r="L475" s="30" t="s">
        <v>38</v>
      </c>
      <c r="M475" s="29"/>
      <c r="N475" s="29" t="s">
        <v>7807</v>
      </c>
      <c r="O475" s="30" t="s">
        <v>40</v>
      </c>
      <c r="P475" s="30" t="s">
        <v>41</v>
      </c>
      <c r="Q475" s="29" t="s">
        <v>35</v>
      </c>
      <c r="R475" s="31" t="s">
        <v>7827</v>
      </c>
      <c r="S475" s="29" t="s">
        <v>46</v>
      </c>
      <c r="T475" s="29" t="s">
        <v>635</v>
      </c>
      <c r="U475" s="29" t="s">
        <v>636</v>
      </c>
      <c r="V475" s="29" t="s">
        <v>45</v>
      </c>
      <c r="W475" s="29"/>
      <c r="X475" s="29"/>
      <c r="Y475" s="29"/>
      <c r="Z475" s="29" t="s">
        <v>658</v>
      </c>
      <c r="AA475" s="29" t="s">
        <v>7828</v>
      </c>
      <c r="AB475" s="29" t="s">
        <v>46</v>
      </c>
      <c r="AC475" s="29" t="s">
        <v>46</v>
      </c>
      <c r="AD475" s="29" t="s">
        <v>7829</v>
      </c>
      <c r="AE475" s="29" t="s">
        <v>641</v>
      </c>
      <c r="AF475" s="29" t="s">
        <v>190</v>
      </c>
      <c r="AG475" s="29">
        <v>6</v>
      </c>
      <c r="AH475" s="29" t="s">
        <v>190</v>
      </c>
      <c r="AI475" s="29"/>
      <c r="AJ475" s="29" t="s">
        <v>7830</v>
      </c>
      <c r="AK475" s="29" t="s">
        <v>5640</v>
      </c>
    </row>
    <row r="476" spans="1:37" s="33" customFormat="1">
      <c r="A476" s="29" t="str">
        <f>VLOOKUP(H476,Languages!$A$2:$B$430,2,FALSE)</f>
        <v>Austronesian</v>
      </c>
      <c r="B476" s="29" t="s">
        <v>35</v>
      </c>
      <c r="C476" s="29" t="s">
        <v>75</v>
      </c>
      <c r="D476" s="29" t="s">
        <v>8731</v>
      </c>
      <c r="E476" s="30" t="s">
        <v>8732</v>
      </c>
      <c r="F476" s="30" t="s">
        <v>8733</v>
      </c>
      <c r="G476" s="29" t="s">
        <v>8733</v>
      </c>
      <c r="H476" s="29" t="str">
        <f>VLOOKUP(G476,'languoid 4.0'!$A$1:$I$24439,2,FALSE)</f>
        <v>aust1307</v>
      </c>
      <c r="I476" s="29" t="str">
        <f>VLOOKUP(G476,'languoid 4.0'!$A$1:$I$24439,6,FALSE)</f>
        <v>family</v>
      </c>
      <c r="J476" s="30" t="s">
        <v>52</v>
      </c>
      <c r="K476" s="30" t="s">
        <v>38</v>
      </c>
      <c r="L476" s="30" t="s">
        <v>38</v>
      </c>
      <c r="M476" s="29"/>
      <c r="N476" s="29" t="s">
        <v>8734</v>
      </c>
      <c r="O476" s="30" t="s">
        <v>40</v>
      </c>
      <c r="P476" s="30" t="s">
        <v>41</v>
      </c>
      <c r="Q476" s="29" t="s">
        <v>8744</v>
      </c>
      <c r="R476" s="31" t="s">
        <v>8745</v>
      </c>
      <c r="S476" s="29" t="s">
        <v>46</v>
      </c>
      <c r="T476" s="29" t="s">
        <v>8741</v>
      </c>
      <c r="U476" s="29" t="s">
        <v>636</v>
      </c>
      <c r="V476" s="29" t="s">
        <v>45</v>
      </c>
      <c r="W476" s="29"/>
      <c r="X476" s="29"/>
      <c r="Y476" s="29"/>
      <c r="Z476" s="29" t="s">
        <v>658</v>
      </c>
      <c r="AA476" s="29" t="s">
        <v>8746</v>
      </c>
      <c r="AB476" s="29" t="s">
        <v>46</v>
      </c>
      <c r="AC476" s="29" t="s">
        <v>46</v>
      </c>
      <c r="AD476" s="29" t="s">
        <v>8747</v>
      </c>
      <c r="AE476" s="29" t="s">
        <v>641</v>
      </c>
      <c r="AF476" s="29" t="s">
        <v>190</v>
      </c>
      <c r="AG476" s="29">
        <v>6</v>
      </c>
      <c r="AH476" s="29" t="s">
        <v>190</v>
      </c>
      <c r="AI476" s="29"/>
      <c r="AJ476" s="32">
        <v>43321.872430555559</v>
      </c>
      <c r="AK476" s="29" t="s">
        <v>5640</v>
      </c>
    </row>
    <row r="477" spans="1:37" s="33" customFormat="1">
      <c r="A477" s="29" t="str">
        <f>VLOOKUP(H477,Languages!$A$2:$B$430,2,FALSE)</f>
        <v>Austronesian</v>
      </c>
      <c r="B477" s="29" t="s">
        <v>35</v>
      </c>
      <c r="C477" s="29" t="s">
        <v>75</v>
      </c>
      <c r="D477" s="29" t="s">
        <v>9849</v>
      </c>
      <c r="E477" s="30" t="s">
        <v>9850</v>
      </c>
      <c r="F477" s="30" t="s">
        <v>9850</v>
      </c>
      <c r="G477" s="29" t="s">
        <v>9850</v>
      </c>
      <c r="H477" s="29" t="str">
        <f>VLOOKUP(G477,'languoid 4.0'!$A$1:$I$24439,2,FALSE)</f>
        <v>aust1307</v>
      </c>
      <c r="I477" s="29" t="str">
        <f>VLOOKUP(G477,'languoid 4.0'!$A$1:$I$24439,6,FALSE)</f>
        <v>language</v>
      </c>
      <c r="J477" s="30" t="s">
        <v>38</v>
      </c>
      <c r="K477" s="30" t="s">
        <v>38</v>
      </c>
      <c r="L477" s="30" t="s">
        <v>38</v>
      </c>
      <c r="M477" s="29"/>
      <c r="N477" s="29" t="s">
        <v>9851</v>
      </c>
      <c r="O477" s="30" t="s">
        <v>40</v>
      </c>
      <c r="P477" s="30" t="s">
        <v>41</v>
      </c>
      <c r="Q477" s="29" t="s">
        <v>9852</v>
      </c>
      <c r="R477" s="31" t="s">
        <v>9853</v>
      </c>
      <c r="S477" s="29" t="s">
        <v>9854</v>
      </c>
      <c r="T477" s="29" t="s">
        <v>657</v>
      </c>
      <c r="U477" s="29" t="s">
        <v>636</v>
      </c>
      <c r="V477" s="29" t="s">
        <v>45</v>
      </c>
      <c r="W477" s="29"/>
      <c r="X477" s="29"/>
      <c r="Y477" s="29"/>
      <c r="Z477" s="29" t="s">
        <v>637</v>
      </c>
      <c r="AA477" s="29" t="s">
        <v>9855</v>
      </c>
      <c r="AB477" s="29" t="s">
        <v>9856</v>
      </c>
      <c r="AC477" s="29" t="s">
        <v>46</v>
      </c>
      <c r="AD477" s="29"/>
      <c r="AE477" s="29" t="s">
        <v>641</v>
      </c>
      <c r="AF477" s="29" t="s">
        <v>190</v>
      </c>
      <c r="AG477" s="29">
        <v>6</v>
      </c>
      <c r="AH477" s="29" t="s">
        <v>190</v>
      </c>
      <c r="AI477" s="29"/>
      <c r="AJ477" s="29" t="s">
        <v>9857</v>
      </c>
      <c r="AK477" s="29" t="s">
        <v>5640</v>
      </c>
    </row>
    <row r="478" spans="1:37" s="33" customFormat="1">
      <c r="A478" s="29" t="str">
        <f>VLOOKUP(H478,Languages!$A$2:$B$430,2,FALSE)</f>
        <v>Austronesian</v>
      </c>
      <c r="B478" s="29" t="s">
        <v>35</v>
      </c>
      <c r="C478" s="29" t="s">
        <v>66</v>
      </c>
      <c r="D478" s="29" t="s">
        <v>324</v>
      </c>
      <c r="E478" s="34" t="s">
        <v>325</v>
      </c>
      <c r="F478" s="35" t="s">
        <v>325</v>
      </c>
      <c r="G478" s="38" t="s">
        <v>325</v>
      </c>
      <c r="H478" s="29" t="str">
        <f>VLOOKUP(G478,'languoid 4.0'!$A$1:$I$24439,2,FALSE)</f>
        <v>aust1307</v>
      </c>
      <c r="I478" s="29" t="str">
        <f>VLOOKUP(G478,'languoid 4.0'!$A$1:$I$24439,6,FALSE)</f>
        <v>language</v>
      </c>
      <c r="J478" s="30" t="s">
        <v>38</v>
      </c>
      <c r="K478" s="30" t="s">
        <v>38</v>
      </c>
      <c r="L478" s="30" t="s">
        <v>38</v>
      </c>
      <c r="M478" s="29"/>
      <c r="N478" s="29" t="s">
        <v>326</v>
      </c>
      <c r="O478" s="30" t="s">
        <v>40</v>
      </c>
      <c r="P478" s="30" t="s">
        <v>41</v>
      </c>
      <c r="Q478" s="29" t="s">
        <v>483</v>
      </c>
      <c r="R478" s="31" t="s">
        <v>72</v>
      </c>
      <c r="S478" s="29" t="s">
        <v>146</v>
      </c>
      <c r="T478" s="29" t="s">
        <v>44</v>
      </c>
      <c r="U478" s="29"/>
      <c r="V478" s="29" t="s">
        <v>45</v>
      </c>
      <c r="W478" s="29"/>
      <c r="X478" s="29"/>
      <c r="Y478" s="29"/>
      <c r="Z478" s="29"/>
      <c r="AA478" s="29">
        <v>15</v>
      </c>
      <c r="AB478" s="29">
        <v>15</v>
      </c>
      <c r="AC478" s="29" t="s">
        <v>46</v>
      </c>
      <c r="AD478" s="29"/>
      <c r="AE478" s="29"/>
      <c r="AF478" s="29"/>
      <c r="AG478" s="29"/>
      <c r="AH478" s="29"/>
      <c r="AI478" s="29"/>
      <c r="AJ478" s="32">
        <v>43102.751689814817</v>
      </c>
      <c r="AK478" s="29" t="s">
        <v>74</v>
      </c>
    </row>
    <row r="479" spans="1:37" s="33" customFormat="1">
      <c r="A479" s="29" t="str">
        <f>VLOOKUP(H479,Languages!$A$2:$B$430,2,FALSE)</f>
        <v>Austronesian</v>
      </c>
      <c r="B479" s="29" t="s">
        <v>35</v>
      </c>
      <c r="C479" s="29" t="s">
        <v>66</v>
      </c>
      <c r="D479" s="29" t="s">
        <v>10824</v>
      </c>
      <c r="E479" s="30" t="s">
        <v>10825</v>
      </c>
      <c r="F479" s="30" t="s">
        <v>10825</v>
      </c>
      <c r="G479" s="29" t="s">
        <v>10825</v>
      </c>
      <c r="H479" s="29" t="str">
        <f>VLOOKUP(G479,'languoid 4.0'!$A$1:$I$24439,2,FALSE)</f>
        <v>aust1307</v>
      </c>
      <c r="I479" s="29" t="str">
        <f>VLOOKUP(G479,'languoid 4.0'!$A$1:$I$24439,6,FALSE)</f>
        <v>language</v>
      </c>
      <c r="J479" s="30" t="s">
        <v>38</v>
      </c>
      <c r="K479" s="30" t="s">
        <v>38</v>
      </c>
      <c r="L479" s="30" t="s">
        <v>38</v>
      </c>
      <c r="M479" s="29"/>
      <c r="N479" s="29" t="s">
        <v>10826</v>
      </c>
      <c r="O479" s="30" t="s">
        <v>40</v>
      </c>
      <c r="P479" s="30" t="s">
        <v>41</v>
      </c>
      <c r="Q479" s="29" t="s">
        <v>10835</v>
      </c>
      <c r="R479" s="31" t="s">
        <v>10836</v>
      </c>
      <c r="S479" s="29" t="s">
        <v>46</v>
      </c>
      <c r="T479" s="29" t="s">
        <v>635</v>
      </c>
      <c r="U479" s="29" t="s">
        <v>636</v>
      </c>
      <c r="V479" s="29" t="s">
        <v>45</v>
      </c>
      <c r="W479" s="29"/>
      <c r="X479" s="29"/>
      <c r="Y479" s="29"/>
      <c r="Z479" s="29" t="s">
        <v>637</v>
      </c>
      <c r="AA479" s="29" t="s">
        <v>10837</v>
      </c>
      <c r="AB479" s="29" t="s">
        <v>10838</v>
      </c>
      <c r="AC479" s="29" t="s">
        <v>46</v>
      </c>
      <c r="AD479" s="29"/>
      <c r="AE479" s="29" t="s">
        <v>641</v>
      </c>
      <c r="AF479" s="29" t="s">
        <v>190</v>
      </c>
      <c r="AG479" s="29">
        <v>6</v>
      </c>
      <c r="AH479" s="29" t="s">
        <v>190</v>
      </c>
      <c r="AI479" s="29"/>
      <c r="AJ479" s="32">
        <v>43355.884976851848</v>
      </c>
      <c r="AK479" s="29" t="s">
        <v>10783</v>
      </c>
    </row>
    <row r="480" spans="1:37" s="33" customFormat="1">
      <c r="A480" s="29" t="str">
        <f>VLOOKUP(H480,Languages!$A$2:$B$430,2,FALSE)</f>
        <v>Austronesian</v>
      </c>
      <c r="B480" s="29" t="s">
        <v>35</v>
      </c>
      <c r="C480" s="29" t="s">
        <v>198</v>
      </c>
      <c r="D480" s="29" t="s">
        <v>226</v>
      </c>
      <c r="E480" s="30" t="s">
        <v>227</v>
      </c>
      <c r="F480" s="30" t="s">
        <v>227</v>
      </c>
      <c r="G480" s="29" t="s">
        <v>227</v>
      </c>
      <c r="H480" s="29" t="str">
        <f>VLOOKUP(G480,'languoid 4.0'!$A$1:$I$24439,2,FALSE)</f>
        <v>aust1307</v>
      </c>
      <c r="I480" s="29" t="str">
        <f>VLOOKUP(G480,'languoid 4.0'!$A$1:$I$24439,6,FALSE)</f>
        <v>language</v>
      </c>
      <c r="J480" s="30" t="s">
        <v>38</v>
      </c>
      <c r="K480" s="30" t="s">
        <v>38</v>
      </c>
      <c r="L480" s="30" t="s">
        <v>38</v>
      </c>
      <c r="M480" s="29"/>
      <c r="N480" s="29" t="s">
        <v>228</v>
      </c>
      <c r="O480" s="30" t="s">
        <v>40</v>
      </c>
      <c r="P480" s="30" t="s">
        <v>41</v>
      </c>
      <c r="Q480" s="29" t="s">
        <v>229</v>
      </c>
      <c r="R480" s="31" t="s">
        <v>230</v>
      </c>
      <c r="S480" s="29" t="s">
        <v>123</v>
      </c>
      <c r="T480" s="29" t="s">
        <v>44</v>
      </c>
      <c r="U480" s="29"/>
      <c r="V480" s="29" t="s">
        <v>45</v>
      </c>
      <c r="W480" s="29"/>
      <c r="X480" s="29"/>
      <c r="Y480" s="29"/>
      <c r="Z480" s="29"/>
      <c r="AA480" s="29">
        <v>9</v>
      </c>
      <c r="AB480" s="29">
        <v>9</v>
      </c>
      <c r="AC480" s="29" t="s">
        <v>46</v>
      </c>
      <c r="AD480" s="29"/>
      <c r="AE480" s="29"/>
      <c r="AF480" s="29"/>
      <c r="AG480" s="29"/>
      <c r="AH480" s="29"/>
      <c r="AI480" s="29"/>
      <c r="AJ480" s="32">
        <v>43102.736840277779</v>
      </c>
      <c r="AK480" s="29" t="s">
        <v>57</v>
      </c>
    </row>
    <row r="481" spans="1:37" s="33" customFormat="1">
      <c r="A481" s="29" t="str">
        <f>VLOOKUP(H481,Languages!$A$2:$B$430,2,FALSE)</f>
        <v>Austronesian</v>
      </c>
      <c r="B481" s="29" t="s">
        <v>35</v>
      </c>
      <c r="C481" s="29" t="s">
        <v>198</v>
      </c>
      <c r="D481" s="29" t="s">
        <v>1591</v>
      </c>
      <c r="E481" s="30" t="s">
        <v>1592</v>
      </c>
      <c r="F481" s="30" t="s">
        <v>1592</v>
      </c>
      <c r="G481" s="29" t="s">
        <v>1592</v>
      </c>
      <c r="H481" s="29" t="str">
        <f>VLOOKUP(G481,'languoid 4.0'!$A$1:$I$24439,2,FALSE)</f>
        <v>aust1307</v>
      </c>
      <c r="I481" s="29" t="str">
        <f>VLOOKUP(G481,'languoid 4.0'!$A$1:$I$24439,6,FALSE)</f>
        <v>language</v>
      </c>
      <c r="J481" s="30" t="s">
        <v>38</v>
      </c>
      <c r="K481" s="30" t="s">
        <v>38</v>
      </c>
      <c r="L481" s="30" t="s">
        <v>38</v>
      </c>
      <c r="M481" s="29"/>
      <c r="N481" s="29" t="s">
        <v>1593</v>
      </c>
      <c r="O481" s="30" t="s">
        <v>40</v>
      </c>
      <c r="P481" s="30" t="s">
        <v>41</v>
      </c>
      <c r="Q481" s="29" t="s">
        <v>1599</v>
      </c>
      <c r="R481" s="31" t="s">
        <v>1600</v>
      </c>
      <c r="S481" s="29" t="s">
        <v>672</v>
      </c>
      <c r="T481" s="29" t="s">
        <v>648</v>
      </c>
      <c r="U481" s="29" t="s">
        <v>636</v>
      </c>
      <c r="V481" s="29" t="s">
        <v>45</v>
      </c>
      <c r="W481" s="29"/>
      <c r="X481" s="29"/>
      <c r="Y481" s="29"/>
      <c r="Z481" s="29" t="s">
        <v>658</v>
      </c>
      <c r="AA481" s="29" t="s">
        <v>1601</v>
      </c>
      <c r="AB481" s="29" t="s">
        <v>46</v>
      </c>
      <c r="AC481" s="29" t="s">
        <v>46</v>
      </c>
      <c r="AD481" s="29"/>
      <c r="AE481" s="29" t="s">
        <v>641</v>
      </c>
      <c r="AF481" s="29" t="s">
        <v>190</v>
      </c>
      <c r="AG481" s="29">
        <v>6</v>
      </c>
      <c r="AH481" s="29" t="s">
        <v>190</v>
      </c>
      <c r="AI481" s="29"/>
      <c r="AJ481" s="32">
        <v>43162.511469907404</v>
      </c>
      <c r="AK481" s="29" t="s">
        <v>1598</v>
      </c>
    </row>
    <row r="482" spans="1:37" s="33" customFormat="1">
      <c r="A482" s="29" t="str">
        <f>VLOOKUP(H482,Languages!$A$2:$B$430,2,FALSE)</f>
        <v>Austronesian</v>
      </c>
      <c r="B482" s="29" t="s">
        <v>35</v>
      </c>
      <c r="C482" s="29" t="s">
        <v>198</v>
      </c>
      <c r="D482" s="29" t="s">
        <v>226</v>
      </c>
      <c r="E482" s="30" t="s">
        <v>227</v>
      </c>
      <c r="F482" s="30" t="s">
        <v>227</v>
      </c>
      <c r="G482" s="29" t="s">
        <v>227</v>
      </c>
      <c r="H482" s="29" t="str">
        <f>VLOOKUP(G482,'languoid 4.0'!$A$1:$I$24439,2,FALSE)</f>
        <v>aust1307</v>
      </c>
      <c r="I482" s="29" t="str">
        <f>VLOOKUP(G482,'languoid 4.0'!$A$1:$I$24439,6,FALSE)</f>
        <v>language</v>
      </c>
      <c r="J482" s="30" t="s">
        <v>38</v>
      </c>
      <c r="K482" s="30" t="s">
        <v>38</v>
      </c>
      <c r="L482" s="30" t="s">
        <v>38</v>
      </c>
      <c r="M482" s="29"/>
      <c r="N482" s="29" t="s">
        <v>228</v>
      </c>
      <c r="O482" s="30" t="s">
        <v>40</v>
      </c>
      <c r="P482" s="30" t="s">
        <v>41</v>
      </c>
      <c r="Q482" s="29" t="s">
        <v>35</v>
      </c>
      <c r="R482" s="31" t="s">
        <v>1659</v>
      </c>
      <c r="S482" s="29" t="s">
        <v>46</v>
      </c>
      <c r="T482" s="29" t="s">
        <v>635</v>
      </c>
      <c r="U482" s="29" t="s">
        <v>636</v>
      </c>
      <c r="V482" s="29" t="s">
        <v>45</v>
      </c>
      <c r="W482" s="29"/>
      <c r="X482" s="29"/>
      <c r="Y482" s="29"/>
      <c r="Z482" s="29" t="s">
        <v>658</v>
      </c>
      <c r="AA482" s="29" t="s">
        <v>1692</v>
      </c>
      <c r="AB482" s="29" t="s">
        <v>46</v>
      </c>
      <c r="AC482" s="29" t="s">
        <v>46</v>
      </c>
      <c r="AD482" s="29" t="s">
        <v>1693</v>
      </c>
      <c r="AE482" s="29"/>
      <c r="AF482" s="29"/>
      <c r="AG482" s="29"/>
      <c r="AH482" s="29" t="s">
        <v>45</v>
      </c>
      <c r="AI482" s="29"/>
      <c r="AJ482" s="32">
        <v>43346.48165509259</v>
      </c>
      <c r="AK482" s="29" t="s">
        <v>1598</v>
      </c>
    </row>
    <row r="483" spans="1:37" s="33" customFormat="1">
      <c r="A483" s="29" t="str">
        <f>VLOOKUP(H483,Languages!$A$2:$B$430,2,FALSE)</f>
        <v>Austronesian</v>
      </c>
      <c r="B483" s="29" t="s">
        <v>35</v>
      </c>
      <c r="C483" s="29" t="s">
        <v>198</v>
      </c>
      <c r="D483" s="29" t="s">
        <v>226</v>
      </c>
      <c r="E483" s="30" t="s">
        <v>227</v>
      </c>
      <c r="F483" s="30" t="s">
        <v>227</v>
      </c>
      <c r="G483" s="29" t="s">
        <v>227</v>
      </c>
      <c r="H483" s="29" t="str">
        <f>VLOOKUP(G483,'languoid 4.0'!$A$1:$I$24439,2,FALSE)</f>
        <v>aust1307</v>
      </c>
      <c r="I483" s="29" t="str">
        <f>VLOOKUP(G483,'languoid 4.0'!$A$1:$I$24439,6,FALSE)</f>
        <v>language</v>
      </c>
      <c r="J483" s="30" t="s">
        <v>38</v>
      </c>
      <c r="K483" s="30" t="s">
        <v>38</v>
      </c>
      <c r="L483" s="30" t="s">
        <v>38</v>
      </c>
      <c r="M483" s="29"/>
      <c r="N483" s="29" t="s">
        <v>228</v>
      </c>
      <c r="O483" s="30" t="s">
        <v>40</v>
      </c>
      <c r="P483" s="30" t="s">
        <v>41</v>
      </c>
      <c r="Q483" s="29" t="s">
        <v>2373</v>
      </c>
      <c r="R483" s="31" t="s">
        <v>2374</v>
      </c>
      <c r="S483" s="29" t="s">
        <v>46</v>
      </c>
      <c r="T483" s="29" t="s">
        <v>2103</v>
      </c>
      <c r="U483" s="29" t="s">
        <v>636</v>
      </c>
      <c r="V483" s="29" t="s">
        <v>45</v>
      </c>
      <c r="W483" s="29"/>
      <c r="X483" s="29"/>
      <c r="Y483" s="29"/>
      <c r="Z483" s="29" t="s">
        <v>658</v>
      </c>
      <c r="AA483" s="29" t="s">
        <v>2375</v>
      </c>
      <c r="AB483" s="29" t="s">
        <v>46</v>
      </c>
      <c r="AC483" s="29" t="s">
        <v>46</v>
      </c>
      <c r="AD483" s="31" t="s">
        <v>2376</v>
      </c>
      <c r="AE483" s="29" t="s">
        <v>641</v>
      </c>
      <c r="AF483" s="29" t="s">
        <v>190</v>
      </c>
      <c r="AG483" s="29">
        <v>6</v>
      </c>
      <c r="AH483" s="29" t="s">
        <v>190</v>
      </c>
      <c r="AI483" s="29"/>
      <c r="AJ483" s="29" t="s">
        <v>2377</v>
      </c>
      <c r="AK483" s="29" t="s">
        <v>1598</v>
      </c>
    </row>
    <row r="484" spans="1:37" s="33" customFormat="1">
      <c r="A484" s="29" t="str">
        <f>VLOOKUP(H484,Languages!$A$2:$B$430,2,FALSE)</f>
        <v>Austronesian</v>
      </c>
      <c r="B484" s="29" t="s">
        <v>35</v>
      </c>
      <c r="C484" s="29" t="s">
        <v>198</v>
      </c>
      <c r="D484" s="29" t="s">
        <v>226</v>
      </c>
      <c r="E484" s="30" t="s">
        <v>227</v>
      </c>
      <c r="F484" s="30" t="s">
        <v>227</v>
      </c>
      <c r="G484" s="29" t="s">
        <v>227</v>
      </c>
      <c r="H484" s="29" t="str">
        <f>VLOOKUP(G484,'languoid 4.0'!$A$1:$I$24439,2,FALSE)</f>
        <v>aust1307</v>
      </c>
      <c r="I484" s="29" t="str">
        <f>VLOOKUP(G484,'languoid 4.0'!$A$1:$I$24439,6,FALSE)</f>
        <v>language</v>
      </c>
      <c r="J484" s="30" t="s">
        <v>38</v>
      </c>
      <c r="K484" s="30" t="s">
        <v>38</v>
      </c>
      <c r="L484" s="30" t="s">
        <v>38</v>
      </c>
      <c r="M484" s="29"/>
      <c r="N484" s="29" t="s">
        <v>228</v>
      </c>
      <c r="O484" s="30" t="s">
        <v>40</v>
      </c>
      <c r="P484" s="30" t="s">
        <v>41</v>
      </c>
      <c r="Q484" s="29" t="s">
        <v>2373</v>
      </c>
      <c r="R484" s="31" t="s">
        <v>2378</v>
      </c>
      <c r="S484" s="29" t="s">
        <v>46</v>
      </c>
      <c r="T484" s="29" t="s">
        <v>2103</v>
      </c>
      <c r="U484" s="29" t="s">
        <v>636</v>
      </c>
      <c r="V484" s="29" t="s">
        <v>45</v>
      </c>
      <c r="W484" s="29"/>
      <c r="X484" s="29"/>
      <c r="Y484" s="29"/>
      <c r="Z484" s="29" t="s">
        <v>658</v>
      </c>
      <c r="AA484" s="29" t="s">
        <v>2379</v>
      </c>
      <c r="AB484" s="29" t="s">
        <v>46</v>
      </c>
      <c r="AC484" s="29" t="s">
        <v>46</v>
      </c>
      <c r="AD484" s="31" t="s">
        <v>2380</v>
      </c>
      <c r="AE484" s="29" t="s">
        <v>641</v>
      </c>
      <c r="AF484" s="29" t="s">
        <v>190</v>
      </c>
      <c r="AG484" s="29">
        <v>6</v>
      </c>
      <c r="AH484" s="29" t="s">
        <v>190</v>
      </c>
      <c r="AI484" s="29"/>
      <c r="AJ484" s="29" t="s">
        <v>2381</v>
      </c>
      <c r="AK484" s="29" t="s">
        <v>1598</v>
      </c>
    </row>
    <row r="485" spans="1:37" s="33" customFormat="1">
      <c r="A485" s="29" t="str">
        <f>VLOOKUP(H485,Languages!$A$2:$B$430,2,FALSE)</f>
        <v>Austronesian</v>
      </c>
      <c r="B485" s="29" t="s">
        <v>35</v>
      </c>
      <c r="C485" s="29" t="s">
        <v>198</v>
      </c>
      <c r="D485" s="29" t="s">
        <v>226</v>
      </c>
      <c r="E485" s="30" t="s">
        <v>227</v>
      </c>
      <c r="F485" s="30" t="s">
        <v>227</v>
      </c>
      <c r="G485" s="29" t="s">
        <v>227</v>
      </c>
      <c r="H485" s="29" t="str">
        <f>VLOOKUP(G485,'languoid 4.0'!$A$1:$I$24439,2,FALSE)</f>
        <v>aust1307</v>
      </c>
      <c r="I485" s="29" t="str">
        <f>VLOOKUP(G485,'languoid 4.0'!$A$1:$I$24439,6,FALSE)</f>
        <v>language</v>
      </c>
      <c r="J485" s="30" t="s">
        <v>38</v>
      </c>
      <c r="K485" s="30" t="s">
        <v>38</v>
      </c>
      <c r="L485" s="30" t="s">
        <v>38</v>
      </c>
      <c r="M485" s="29"/>
      <c r="N485" s="29" t="s">
        <v>228</v>
      </c>
      <c r="O485" s="30" t="s">
        <v>40</v>
      </c>
      <c r="P485" s="30" t="s">
        <v>41</v>
      </c>
      <c r="Q485" s="29" t="s">
        <v>2373</v>
      </c>
      <c r="R485" s="31" t="s">
        <v>2382</v>
      </c>
      <c r="S485" s="29" t="s">
        <v>46</v>
      </c>
      <c r="T485" s="29" t="s">
        <v>2103</v>
      </c>
      <c r="U485" s="29" t="s">
        <v>636</v>
      </c>
      <c r="V485" s="29" t="s">
        <v>45</v>
      </c>
      <c r="W485" s="29"/>
      <c r="X485" s="29"/>
      <c r="Y485" s="29"/>
      <c r="Z485" s="29" t="s">
        <v>658</v>
      </c>
      <c r="AA485" s="29" t="s">
        <v>2383</v>
      </c>
      <c r="AB485" s="29" t="s">
        <v>46</v>
      </c>
      <c r="AC485" s="29" t="s">
        <v>46</v>
      </c>
      <c r="AD485" s="31" t="s">
        <v>2384</v>
      </c>
      <c r="AE485" s="29" t="s">
        <v>641</v>
      </c>
      <c r="AF485" s="29" t="s">
        <v>190</v>
      </c>
      <c r="AG485" s="29">
        <v>6</v>
      </c>
      <c r="AH485" s="29" t="s">
        <v>190</v>
      </c>
      <c r="AI485" s="29"/>
      <c r="AJ485" s="29" t="s">
        <v>2385</v>
      </c>
      <c r="AK485" s="29" t="s">
        <v>1598</v>
      </c>
    </row>
    <row r="486" spans="1:37" s="33" customFormat="1">
      <c r="A486" s="29" t="str">
        <f>VLOOKUP(H486,Languages!$A$2:$B$430,2,FALSE)</f>
        <v>Austronesian</v>
      </c>
      <c r="B486" s="29" t="s">
        <v>35</v>
      </c>
      <c r="C486" s="29" t="s">
        <v>198</v>
      </c>
      <c r="D486" s="29" t="s">
        <v>226</v>
      </c>
      <c r="E486" s="30" t="s">
        <v>227</v>
      </c>
      <c r="F486" s="30" t="s">
        <v>227</v>
      </c>
      <c r="G486" s="29" t="s">
        <v>227</v>
      </c>
      <c r="H486" s="29" t="str">
        <f>VLOOKUP(G486,'languoid 4.0'!$A$1:$I$24439,2,FALSE)</f>
        <v>aust1307</v>
      </c>
      <c r="I486" s="29" t="str">
        <f>VLOOKUP(G486,'languoid 4.0'!$A$1:$I$24439,6,FALSE)</f>
        <v>language</v>
      </c>
      <c r="J486" s="30" t="s">
        <v>38</v>
      </c>
      <c r="K486" s="30" t="s">
        <v>38</v>
      </c>
      <c r="L486" s="30" t="s">
        <v>38</v>
      </c>
      <c r="M486" s="29"/>
      <c r="N486" s="29" t="s">
        <v>228</v>
      </c>
      <c r="O486" s="30" t="s">
        <v>40</v>
      </c>
      <c r="P486" s="30" t="s">
        <v>41</v>
      </c>
      <c r="Q486" s="29" t="s">
        <v>2373</v>
      </c>
      <c r="R486" s="31" t="s">
        <v>2386</v>
      </c>
      <c r="S486" s="29" t="s">
        <v>46</v>
      </c>
      <c r="T486" s="29" t="s">
        <v>2103</v>
      </c>
      <c r="U486" s="29" t="s">
        <v>636</v>
      </c>
      <c r="V486" s="29" t="s">
        <v>45</v>
      </c>
      <c r="W486" s="29"/>
      <c r="X486" s="29"/>
      <c r="Y486" s="29"/>
      <c r="Z486" s="29" t="s">
        <v>658</v>
      </c>
      <c r="AA486" s="29" t="s">
        <v>2387</v>
      </c>
      <c r="AB486" s="29" t="s">
        <v>46</v>
      </c>
      <c r="AC486" s="29" t="s">
        <v>46</v>
      </c>
      <c r="AD486" s="31" t="s">
        <v>2388</v>
      </c>
      <c r="AE486" s="29" t="s">
        <v>641</v>
      </c>
      <c r="AF486" s="29" t="s">
        <v>190</v>
      </c>
      <c r="AG486" s="29">
        <v>6</v>
      </c>
      <c r="AH486" s="29" t="s">
        <v>190</v>
      </c>
      <c r="AI486" s="29"/>
      <c r="AJ486" s="29" t="s">
        <v>2389</v>
      </c>
      <c r="AK486" s="29" t="s">
        <v>1598</v>
      </c>
    </row>
    <row r="487" spans="1:37" s="33" customFormat="1">
      <c r="A487" s="29" t="str">
        <f>VLOOKUP(H487,Languages!$A$2:$B$430,2,FALSE)</f>
        <v>Austronesian</v>
      </c>
      <c r="B487" s="29" t="s">
        <v>35</v>
      </c>
      <c r="C487" s="29" t="s">
        <v>198</v>
      </c>
      <c r="D487" s="29" t="s">
        <v>226</v>
      </c>
      <c r="E487" s="30" t="s">
        <v>227</v>
      </c>
      <c r="F487" s="30" t="s">
        <v>227</v>
      </c>
      <c r="G487" s="29" t="s">
        <v>227</v>
      </c>
      <c r="H487" s="29" t="str">
        <f>VLOOKUP(G487,'languoid 4.0'!$A$1:$I$24439,2,FALSE)</f>
        <v>aust1307</v>
      </c>
      <c r="I487" s="29" t="str">
        <f>VLOOKUP(G487,'languoid 4.0'!$A$1:$I$24439,6,FALSE)</f>
        <v>language</v>
      </c>
      <c r="J487" s="30" t="s">
        <v>38</v>
      </c>
      <c r="K487" s="30" t="s">
        <v>38</v>
      </c>
      <c r="L487" s="30" t="s">
        <v>38</v>
      </c>
      <c r="M487" s="29"/>
      <c r="N487" s="29" t="s">
        <v>228</v>
      </c>
      <c r="O487" s="30" t="s">
        <v>40</v>
      </c>
      <c r="P487" s="30" t="s">
        <v>41</v>
      </c>
      <c r="Q487" s="29" t="s">
        <v>2373</v>
      </c>
      <c r="R487" s="31" t="s">
        <v>2390</v>
      </c>
      <c r="S487" s="29" t="s">
        <v>46</v>
      </c>
      <c r="T487" s="29" t="s">
        <v>2103</v>
      </c>
      <c r="U487" s="29" t="s">
        <v>636</v>
      </c>
      <c r="V487" s="29" t="s">
        <v>45</v>
      </c>
      <c r="W487" s="29"/>
      <c r="X487" s="29"/>
      <c r="Y487" s="29"/>
      <c r="Z487" s="29" t="s">
        <v>658</v>
      </c>
      <c r="AA487" s="29" t="s">
        <v>2391</v>
      </c>
      <c r="AB487" s="29" t="s">
        <v>46</v>
      </c>
      <c r="AC487" s="29" t="s">
        <v>46</v>
      </c>
      <c r="AD487" s="31" t="s">
        <v>2392</v>
      </c>
      <c r="AE487" s="29" t="s">
        <v>641</v>
      </c>
      <c r="AF487" s="29" t="s">
        <v>190</v>
      </c>
      <c r="AG487" s="29">
        <v>6</v>
      </c>
      <c r="AH487" s="29" t="s">
        <v>190</v>
      </c>
      <c r="AI487" s="29"/>
      <c r="AJ487" s="29" t="s">
        <v>2393</v>
      </c>
      <c r="AK487" s="29" t="s">
        <v>1598</v>
      </c>
    </row>
    <row r="488" spans="1:37" s="33" customFormat="1">
      <c r="A488" s="29" t="str">
        <f>VLOOKUP(H488,Languages!$A$2:$B$430,2,FALSE)</f>
        <v>Austronesian</v>
      </c>
      <c r="B488" s="29" t="s">
        <v>35</v>
      </c>
      <c r="C488" s="29" t="s">
        <v>198</v>
      </c>
      <c r="D488" s="29" t="s">
        <v>1979</v>
      </c>
      <c r="E488" s="30" t="s">
        <v>1592</v>
      </c>
      <c r="F488" s="30" t="s">
        <v>1592</v>
      </c>
      <c r="G488" s="29" t="s">
        <v>1592</v>
      </c>
      <c r="H488" s="29" t="str">
        <f>VLOOKUP(G488,'languoid 4.0'!$A$1:$I$24439,2,FALSE)</f>
        <v>aust1307</v>
      </c>
      <c r="I488" s="29" t="str">
        <f>VLOOKUP(G488,'languoid 4.0'!$A$1:$I$24439,6,FALSE)</f>
        <v>language</v>
      </c>
      <c r="J488" s="30" t="s">
        <v>38</v>
      </c>
      <c r="K488" s="30" t="s">
        <v>38</v>
      </c>
      <c r="L488" s="30" t="s">
        <v>38</v>
      </c>
      <c r="M488" s="29"/>
      <c r="N488" s="29" t="s">
        <v>1593</v>
      </c>
      <c r="O488" s="30" t="s">
        <v>40</v>
      </c>
      <c r="P488" s="30" t="s">
        <v>41</v>
      </c>
      <c r="Q488" s="29" t="s">
        <v>2394</v>
      </c>
      <c r="R488" s="31" t="s">
        <v>2395</v>
      </c>
      <c r="S488" s="29" t="s">
        <v>46</v>
      </c>
      <c r="T488" s="29" t="s">
        <v>2103</v>
      </c>
      <c r="U488" s="29" t="s">
        <v>636</v>
      </c>
      <c r="V488" s="29" t="s">
        <v>45</v>
      </c>
      <c r="W488" s="29"/>
      <c r="X488" s="29"/>
      <c r="Y488" s="29"/>
      <c r="Z488" s="29" t="s">
        <v>658</v>
      </c>
      <c r="AA488" s="29" t="s">
        <v>2396</v>
      </c>
      <c r="AB488" s="29" t="s">
        <v>46</v>
      </c>
      <c r="AC488" s="29" t="s">
        <v>46</v>
      </c>
      <c r="AD488" s="31" t="s">
        <v>2397</v>
      </c>
      <c r="AE488" s="29" t="s">
        <v>641</v>
      </c>
      <c r="AF488" s="29" t="s">
        <v>190</v>
      </c>
      <c r="AG488" s="29">
        <v>6</v>
      </c>
      <c r="AH488" s="29" t="s">
        <v>190</v>
      </c>
      <c r="AI488" s="29"/>
      <c r="AJ488" s="29" t="s">
        <v>2398</v>
      </c>
      <c r="AK488" s="29" t="s">
        <v>1598</v>
      </c>
    </row>
    <row r="489" spans="1:37" s="33" customFormat="1">
      <c r="A489" s="29" t="str">
        <f>VLOOKUP(H489,Languages!$A$2:$B$430,2,FALSE)</f>
        <v>Austronesian</v>
      </c>
      <c r="B489" s="29" t="s">
        <v>35</v>
      </c>
      <c r="C489" s="29" t="s">
        <v>198</v>
      </c>
      <c r="D489" s="29" t="s">
        <v>1979</v>
      </c>
      <c r="E489" s="30" t="s">
        <v>1592</v>
      </c>
      <c r="F489" s="30" t="s">
        <v>1592</v>
      </c>
      <c r="G489" s="29" t="s">
        <v>1592</v>
      </c>
      <c r="H489" s="29" t="str">
        <f>VLOOKUP(G489,'languoid 4.0'!$A$1:$I$24439,2,FALSE)</f>
        <v>aust1307</v>
      </c>
      <c r="I489" s="29" t="str">
        <f>VLOOKUP(G489,'languoid 4.0'!$A$1:$I$24439,6,FALSE)</f>
        <v>language</v>
      </c>
      <c r="J489" s="30" t="s">
        <v>38</v>
      </c>
      <c r="K489" s="30" t="s">
        <v>38</v>
      </c>
      <c r="L489" s="30" t="s">
        <v>38</v>
      </c>
      <c r="M489" s="29"/>
      <c r="N489" s="29" t="s">
        <v>1593</v>
      </c>
      <c r="O489" s="30" t="s">
        <v>40</v>
      </c>
      <c r="P489" s="30" t="s">
        <v>41</v>
      </c>
      <c r="Q489" s="29" t="s">
        <v>2394</v>
      </c>
      <c r="R489" s="31" t="s">
        <v>2399</v>
      </c>
      <c r="S489" s="29" t="s">
        <v>46</v>
      </c>
      <c r="T489" s="29" t="s">
        <v>2103</v>
      </c>
      <c r="U489" s="29" t="s">
        <v>636</v>
      </c>
      <c r="V489" s="29" t="s">
        <v>45</v>
      </c>
      <c r="W489" s="29"/>
      <c r="X489" s="29"/>
      <c r="Y489" s="29"/>
      <c r="Z489" s="29" t="s">
        <v>887</v>
      </c>
      <c r="AA489" s="29" t="s">
        <v>2400</v>
      </c>
      <c r="AB489" s="29" t="s">
        <v>46</v>
      </c>
      <c r="AC489" s="29" t="s">
        <v>2401</v>
      </c>
      <c r="AD489" s="31" t="s">
        <v>2402</v>
      </c>
      <c r="AE489" s="29" t="s">
        <v>641</v>
      </c>
      <c r="AF489" s="29" t="s">
        <v>190</v>
      </c>
      <c r="AG489" s="29">
        <v>6</v>
      </c>
      <c r="AH489" s="29" t="s">
        <v>190</v>
      </c>
      <c r="AI489" s="29"/>
      <c r="AJ489" s="29" t="s">
        <v>2403</v>
      </c>
      <c r="AK489" s="29" t="s">
        <v>1598</v>
      </c>
    </row>
    <row r="490" spans="1:37" s="33" customFormat="1">
      <c r="A490" s="29" t="str">
        <f>VLOOKUP(H490,Languages!$A$2:$B$430,2,FALSE)</f>
        <v>Austronesian</v>
      </c>
      <c r="B490" s="29" t="s">
        <v>35</v>
      </c>
      <c r="C490" s="29" t="s">
        <v>198</v>
      </c>
      <c r="D490" s="29" t="s">
        <v>1979</v>
      </c>
      <c r="E490" s="30" t="s">
        <v>1592</v>
      </c>
      <c r="F490" s="30" t="s">
        <v>1592</v>
      </c>
      <c r="G490" s="29" t="s">
        <v>1592</v>
      </c>
      <c r="H490" s="29" t="str">
        <f>VLOOKUP(G490,'languoid 4.0'!$A$1:$I$24439,2,FALSE)</f>
        <v>aust1307</v>
      </c>
      <c r="I490" s="29" t="str">
        <f>VLOOKUP(G490,'languoid 4.0'!$A$1:$I$24439,6,FALSE)</f>
        <v>language</v>
      </c>
      <c r="J490" s="30" t="s">
        <v>38</v>
      </c>
      <c r="K490" s="30" t="s">
        <v>38</v>
      </c>
      <c r="L490" s="30" t="s">
        <v>38</v>
      </c>
      <c r="M490" s="29"/>
      <c r="N490" s="29" t="s">
        <v>1593</v>
      </c>
      <c r="O490" s="30" t="s">
        <v>40</v>
      </c>
      <c r="P490" s="30" t="s">
        <v>41</v>
      </c>
      <c r="Q490" s="29" t="s">
        <v>2394</v>
      </c>
      <c r="R490" s="31" t="s">
        <v>2404</v>
      </c>
      <c r="S490" s="29" t="s">
        <v>46</v>
      </c>
      <c r="T490" s="29" t="s">
        <v>2103</v>
      </c>
      <c r="U490" s="29" t="s">
        <v>636</v>
      </c>
      <c r="V490" s="29" t="s">
        <v>45</v>
      </c>
      <c r="W490" s="29"/>
      <c r="X490" s="29"/>
      <c r="Y490" s="29"/>
      <c r="Z490" s="29" t="s">
        <v>887</v>
      </c>
      <c r="AA490" s="29" t="s">
        <v>2394</v>
      </c>
      <c r="AB490" s="29" t="s">
        <v>46</v>
      </c>
      <c r="AC490" s="29" t="s">
        <v>2405</v>
      </c>
      <c r="AD490" s="31" t="s">
        <v>2406</v>
      </c>
      <c r="AE490" s="29" t="s">
        <v>641</v>
      </c>
      <c r="AF490" s="29" t="s">
        <v>190</v>
      </c>
      <c r="AG490" s="29">
        <v>6</v>
      </c>
      <c r="AH490" s="29" t="s">
        <v>190</v>
      </c>
      <c r="AI490" s="29"/>
      <c r="AJ490" s="29" t="s">
        <v>2407</v>
      </c>
      <c r="AK490" s="29" t="s">
        <v>1598</v>
      </c>
    </row>
    <row r="491" spans="1:37" s="33" customFormat="1">
      <c r="A491" s="29" t="str">
        <f>VLOOKUP(H491,Languages!$A$2:$B$430,2,FALSE)</f>
        <v>Austronesian</v>
      </c>
      <c r="B491" s="29" t="s">
        <v>35</v>
      </c>
      <c r="C491" s="29" t="s">
        <v>117</v>
      </c>
      <c r="D491" s="29" t="s">
        <v>4369</v>
      </c>
      <c r="E491" s="30" t="s">
        <v>4370</v>
      </c>
      <c r="F491" s="30" t="s">
        <v>4370</v>
      </c>
      <c r="G491" s="29" t="s">
        <v>4370</v>
      </c>
      <c r="H491" s="29" t="str">
        <f>VLOOKUP(G491,'languoid 4.0'!$A$1:$I$24439,2,FALSE)</f>
        <v>aust1307</v>
      </c>
      <c r="I491" s="29" t="str">
        <f>VLOOKUP(G491,'languoid 4.0'!$A$1:$I$24439,6,FALSE)</f>
        <v>language</v>
      </c>
      <c r="J491" s="30" t="s">
        <v>38</v>
      </c>
      <c r="K491" s="30" t="s">
        <v>38</v>
      </c>
      <c r="L491" s="30" t="s">
        <v>38</v>
      </c>
      <c r="M491" s="29"/>
      <c r="N491" s="29" t="s">
        <v>4371</v>
      </c>
      <c r="O491" s="30" t="s">
        <v>40</v>
      </c>
      <c r="P491" s="30" t="s">
        <v>41</v>
      </c>
      <c r="Q491" s="29" t="s">
        <v>5118</v>
      </c>
      <c r="R491" s="31" t="s">
        <v>5119</v>
      </c>
      <c r="S491" s="29" t="s">
        <v>5120</v>
      </c>
      <c r="T491" s="29" t="s">
        <v>657</v>
      </c>
      <c r="U491" s="29" t="s">
        <v>636</v>
      </c>
      <c r="V491" s="29" t="s">
        <v>45</v>
      </c>
      <c r="W491" s="29"/>
      <c r="X491" s="29"/>
      <c r="Y491" s="29"/>
      <c r="Z491" s="29" t="s">
        <v>637</v>
      </c>
      <c r="AA491" s="29" t="s">
        <v>5121</v>
      </c>
      <c r="AB491" s="29" t="s">
        <v>5122</v>
      </c>
      <c r="AC491" s="29" t="s">
        <v>46</v>
      </c>
      <c r="AD491" s="29" t="s">
        <v>5123</v>
      </c>
      <c r="AE491" s="29" t="s">
        <v>641</v>
      </c>
      <c r="AF491" s="29" t="s">
        <v>190</v>
      </c>
      <c r="AG491" s="29">
        <v>6</v>
      </c>
      <c r="AH491" s="29" t="s">
        <v>190</v>
      </c>
      <c r="AI491" s="29"/>
      <c r="AJ491" s="29" t="s">
        <v>5124</v>
      </c>
      <c r="AK491" s="29" t="s">
        <v>4268</v>
      </c>
    </row>
    <row r="492" spans="1:37" s="33" customFormat="1">
      <c r="A492" s="29" t="str">
        <f>VLOOKUP(H492,Languages!$A$2:$B$430,2,FALSE)</f>
        <v>Austronesian</v>
      </c>
      <c r="B492" s="29" t="s">
        <v>35</v>
      </c>
      <c r="C492" s="29" t="s">
        <v>117</v>
      </c>
      <c r="D492" s="29" t="s">
        <v>5254</v>
      </c>
      <c r="E492" s="30" t="s">
        <v>119</v>
      </c>
      <c r="F492" s="30" t="s">
        <v>119</v>
      </c>
      <c r="G492" s="29" t="s">
        <v>119</v>
      </c>
      <c r="H492" s="29" t="str">
        <f>VLOOKUP(G492,'languoid 4.0'!$A$1:$I$24439,2,FALSE)</f>
        <v>aust1307</v>
      </c>
      <c r="I492" s="29" t="str">
        <f>VLOOKUP(G492,'languoid 4.0'!$A$1:$I$24439,6,FALSE)</f>
        <v>language</v>
      </c>
      <c r="J492" s="30" t="s">
        <v>38</v>
      </c>
      <c r="K492" s="30" t="s">
        <v>38</v>
      </c>
      <c r="L492" s="30" t="s">
        <v>38</v>
      </c>
      <c r="M492" s="29"/>
      <c r="N492" s="29" t="s">
        <v>120</v>
      </c>
      <c r="O492" s="30" t="s">
        <v>40</v>
      </c>
      <c r="P492" s="30" t="s">
        <v>41</v>
      </c>
      <c r="Q492" s="29" t="s">
        <v>5255</v>
      </c>
      <c r="R492" s="31" t="s">
        <v>5256</v>
      </c>
      <c r="S492" s="29">
        <v>407</v>
      </c>
      <c r="T492" s="29" t="s">
        <v>657</v>
      </c>
      <c r="U492" s="29" t="s">
        <v>636</v>
      </c>
      <c r="V492" s="29" t="s">
        <v>45</v>
      </c>
      <c r="W492" s="29"/>
      <c r="X492" s="29"/>
      <c r="Y492" s="29"/>
      <c r="Z492" s="29" t="s">
        <v>1893</v>
      </c>
      <c r="AA492" s="29" t="s">
        <v>5257</v>
      </c>
      <c r="AB492" s="29" t="s">
        <v>46</v>
      </c>
      <c r="AC492" s="29" t="s">
        <v>5258</v>
      </c>
      <c r="AD492" s="29" t="s">
        <v>5259</v>
      </c>
      <c r="AE492" s="29" t="s">
        <v>641</v>
      </c>
      <c r="AF492" s="29" t="s">
        <v>190</v>
      </c>
      <c r="AG492" s="29">
        <v>6</v>
      </c>
      <c r="AH492" s="29" t="s">
        <v>190</v>
      </c>
      <c r="AI492" s="29"/>
      <c r="AJ492" s="29" t="s">
        <v>5260</v>
      </c>
      <c r="AK492" s="29" t="s">
        <v>4268</v>
      </c>
    </row>
    <row r="493" spans="1:37" s="33" customFormat="1">
      <c r="A493" s="29" t="str">
        <f>VLOOKUP(H493,Languages!$A$2:$B$430,2,FALSE)</f>
        <v>Austronesian</v>
      </c>
      <c r="B493" s="29" t="s">
        <v>35</v>
      </c>
      <c r="C493" s="29" t="s">
        <v>117</v>
      </c>
      <c r="D493" s="29" t="s">
        <v>5347</v>
      </c>
      <c r="E493" s="30" t="s">
        <v>5348</v>
      </c>
      <c r="F493" s="30" t="s">
        <v>5348</v>
      </c>
      <c r="G493" s="29" t="s">
        <v>5348</v>
      </c>
      <c r="H493" s="29" t="str">
        <f>VLOOKUP(G493,'languoid 4.0'!$A$1:$I$24439,2,FALSE)</f>
        <v>aust1307</v>
      </c>
      <c r="I493" s="29" t="str">
        <f>VLOOKUP(G493,'languoid 4.0'!$A$1:$I$24439,6,FALSE)</f>
        <v>language</v>
      </c>
      <c r="J493" s="30" t="s">
        <v>38</v>
      </c>
      <c r="K493" s="30" t="s">
        <v>38</v>
      </c>
      <c r="L493" s="30" t="s">
        <v>38</v>
      </c>
      <c r="M493" s="29"/>
      <c r="N493" s="29" t="s">
        <v>5349</v>
      </c>
      <c r="O493" s="30" t="s">
        <v>40</v>
      </c>
      <c r="P493" s="30" t="s">
        <v>41</v>
      </c>
      <c r="Q493" s="29" t="s">
        <v>5355</v>
      </c>
      <c r="R493" s="31" t="s">
        <v>5356</v>
      </c>
      <c r="S493" s="29">
        <v>104</v>
      </c>
      <c r="T493" s="29" t="s">
        <v>635</v>
      </c>
      <c r="U493" s="29" t="s">
        <v>636</v>
      </c>
      <c r="V493" s="29" t="s">
        <v>45</v>
      </c>
      <c r="W493" s="29"/>
      <c r="X493" s="29"/>
      <c r="Y493" s="29"/>
      <c r="Z493" s="29" t="s">
        <v>658</v>
      </c>
      <c r="AA493" s="29" t="s">
        <v>5357</v>
      </c>
      <c r="AB493" s="29" t="s">
        <v>46</v>
      </c>
      <c r="AC493" s="29" t="s">
        <v>46</v>
      </c>
      <c r="AD493" s="29"/>
      <c r="AE493" s="29" t="s">
        <v>641</v>
      </c>
      <c r="AF493" s="29" t="s">
        <v>190</v>
      </c>
      <c r="AG493" s="29">
        <v>6</v>
      </c>
      <c r="AH493" s="29" t="s">
        <v>190</v>
      </c>
      <c r="AI493" s="29"/>
      <c r="AJ493" s="29" t="s">
        <v>5358</v>
      </c>
      <c r="AK493" s="29" t="s">
        <v>4268</v>
      </c>
    </row>
    <row r="494" spans="1:37" s="33" customFormat="1">
      <c r="A494" s="29" t="str">
        <f>VLOOKUP(H494,Languages!$A$2:$B$430,2,FALSE)</f>
        <v>Austronesian</v>
      </c>
      <c r="B494" s="29" t="s">
        <v>35</v>
      </c>
      <c r="C494" s="29" t="s">
        <v>117</v>
      </c>
      <c r="D494" s="29" t="s">
        <v>5383</v>
      </c>
      <c r="E494" s="30" t="s">
        <v>4370</v>
      </c>
      <c r="F494" s="30" t="s">
        <v>4370</v>
      </c>
      <c r="G494" s="29" t="s">
        <v>4370</v>
      </c>
      <c r="H494" s="29" t="str">
        <f>VLOOKUP(G494,'languoid 4.0'!$A$1:$I$24439,2,FALSE)</f>
        <v>aust1307</v>
      </c>
      <c r="I494" s="29" t="str">
        <f>VLOOKUP(G494,'languoid 4.0'!$A$1:$I$24439,6,FALSE)</f>
        <v>language</v>
      </c>
      <c r="J494" s="30" t="s">
        <v>38</v>
      </c>
      <c r="K494" s="30" t="s">
        <v>38</v>
      </c>
      <c r="L494" s="30" t="s">
        <v>38</v>
      </c>
      <c r="M494" s="29"/>
      <c r="N494" s="29" t="s">
        <v>4371</v>
      </c>
      <c r="O494" s="30" t="s">
        <v>40</v>
      </c>
      <c r="P494" s="30" t="s">
        <v>41</v>
      </c>
      <c r="Q494" s="29" t="s">
        <v>5392</v>
      </c>
      <c r="R494" s="31" t="s">
        <v>5393</v>
      </c>
      <c r="S494" s="29">
        <v>213</v>
      </c>
      <c r="T494" s="29" t="s">
        <v>635</v>
      </c>
      <c r="U494" s="29" t="s">
        <v>636</v>
      </c>
      <c r="V494" s="29" t="s">
        <v>45</v>
      </c>
      <c r="W494" s="29"/>
      <c r="X494" s="29"/>
      <c r="Y494" s="29"/>
      <c r="Z494" s="29" t="s">
        <v>658</v>
      </c>
      <c r="AA494" s="29" t="s">
        <v>5394</v>
      </c>
      <c r="AB494" s="29" t="s">
        <v>46</v>
      </c>
      <c r="AC494" s="29" t="s">
        <v>46</v>
      </c>
      <c r="AD494" s="29"/>
      <c r="AE494" s="29" t="s">
        <v>641</v>
      </c>
      <c r="AF494" s="29" t="s">
        <v>190</v>
      </c>
      <c r="AG494" s="29">
        <v>5</v>
      </c>
      <c r="AH494" s="29" t="s">
        <v>190</v>
      </c>
      <c r="AI494" s="29"/>
      <c r="AJ494" s="29" t="s">
        <v>5395</v>
      </c>
      <c r="AK494" s="29" t="s">
        <v>4268</v>
      </c>
    </row>
    <row r="495" spans="1:37" s="33" customFormat="1">
      <c r="A495" s="29" t="str">
        <f>VLOOKUP(H495,Languages!$A$2:$B$430,2,FALSE)</f>
        <v>Austronesian</v>
      </c>
      <c r="B495" s="29" t="s">
        <v>35</v>
      </c>
      <c r="C495" s="29" t="s">
        <v>117</v>
      </c>
      <c r="D495" s="29" t="s">
        <v>5383</v>
      </c>
      <c r="E495" s="30" t="s">
        <v>4370</v>
      </c>
      <c r="F495" s="30" t="s">
        <v>4370</v>
      </c>
      <c r="G495" s="29" t="s">
        <v>4370</v>
      </c>
      <c r="H495" s="29" t="str">
        <f>VLOOKUP(G495,'languoid 4.0'!$A$1:$I$24439,2,FALSE)</f>
        <v>aust1307</v>
      </c>
      <c r="I495" s="29" t="str">
        <f>VLOOKUP(G495,'languoid 4.0'!$A$1:$I$24439,6,FALSE)</f>
        <v>language</v>
      </c>
      <c r="J495" s="30" t="s">
        <v>38</v>
      </c>
      <c r="K495" s="30" t="s">
        <v>38</v>
      </c>
      <c r="L495" s="30" t="s">
        <v>38</v>
      </c>
      <c r="M495" s="29"/>
      <c r="N495" s="29" t="s">
        <v>4371</v>
      </c>
      <c r="O495" s="30" t="s">
        <v>40</v>
      </c>
      <c r="P495" s="30" t="s">
        <v>41</v>
      </c>
      <c r="Q495" s="29" t="s">
        <v>5396</v>
      </c>
      <c r="R495" s="31" t="s">
        <v>5397</v>
      </c>
      <c r="S495" s="29">
        <v>214</v>
      </c>
      <c r="T495" s="29" t="s">
        <v>635</v>
      </c>
      <c r="U495" s="29" t="s">
        <v>636</v>
      </c>
      <c r="V495" s="29" t="s">
        <v>45</v>
      </c>
      <c r="W495" s="29"/>
      <c r="X495" s="29"/>
      <c r="Y495" s="29"/>
      <c r="Z495" s="29" t="s">
        <v>658</v>
      </c>
      <c r="AA495" s="29" t="s">
        <v>5398</v>
      </c>
      <c r="AB495" s="29" t="s">
        <v>46</v>
      </c>
      <c r="AC495" s="29" t="s">
        <v>46</v>
      </c>
      <c r="AD495" s="29"/>
      <c r="AE495" s="29" t="s">
        <v>641</v>
      </c>
      <c r="AF495" s="29" t="s">
        <v>190</v>
      </c>
      <c r="AG495" s="29">
        <v>6</v>
      </c>
      <c r="AH495" s="29" t="s">
        <v>190</v>
      </c>
      <c r="AI495" s="29"/>
      <c r="AJ495" s="29" t="s">
        <v>5399</v>
      </c>
      <c r="AK495" s="29" t="s">
        <v>4268</v>
      </c>
    </row>
    <row r="496" spans="1:37" s="33" customFormat="1">
      <c r="A496" s="29" t="str">
        <f>VLOOKUP(H496,Languages!$A$2:$B$430,2,FALSE)</f>
        <v>Austronesian</v>
      </c>
      <c r="B496" s="29" t="s">
        <v>1726</v>
      </c>
      <c r="C496" s="29" t="s">
        <v>82</v>
      </c>
      <c r="D496" s="29" t="s">
        <v>4466</v>
      </c>
      <c r="E496" s="30" t="s">
        <v>4467</v>
      </c>
      <c r="F496" s="30" t="s">
        <v>4467</v>
      </c>
      <c r="G496" s="29" t="s">
        <v>4467</v>
      </c>
      <c r="H496" s="29" t="str">
        <f>VLOOKUP(G496,'languoid 4.0'!$A$1:$I$24439,2,FALSE)</f>
        <v>aust1307</v>
      </c>
      <c r="I496" s="29" t="str">
        <f>VLOOKUP(G496,'languoid 4.0'!$A$1:$I$24439,6,FALSE)</f>
        <v>language</v>
      </c>
      <c r="J496" s="30" t="s">
        <v>38</v>
      </c>
      <c r="K496" s="30" t="s">
        <v>38</v>
      </c>
      <c r="L496" s="30" t="s">
        <v>38</v>
      </c>
      <c r="M496" s="29"/>
      <c r="N496" s="29" t="s">
        <v>4468</v>
      </c>
      <c r="O496" s="30" t="s">
        <v>40</v>
      </c>
      <c r="P496" s="30" t="s">
        <v>41</v>
      </c>
      <c r="Q496" s="29" t="s">
        <v>4469</v>
      </c>
      <c r="R496" s="31" t="s">
        <v>4470</v>
      </c>
      <c r="S496" s="29" t="s">
        <v>2589</v>
      </c>
      <c r="T496" s="29" t="s">
        <v>635</v>
      </c>
      <c r="U496" s="29" t="s">
        <v>636</v>
      </c>
      <c r="V496" s="29" t="s">
        <v>45</v>
      </c>
      <c r="W496" s="29"/>
      <c r="X496" s="29"/>
      <c r="Y496" s="29"/>
      <c r="Z496" s="29" t="s">
        <v>637</v>
      </c>
      <c r="AA496" s="29" t="s">
        <v>4471</v>
      </c>
      <c r="AB496" s="29" t="s">
        <v>4472</v>
      </c>
      <c r="AC496" s="29" t="s">
        <v>4473</v>
      </c>
      <c r="AD496" s="29"/>
      <c r="AE496" s="29" t="s">
        <v>641</v>
      </c>
      <c r="AF496" s="29" t="s">
        <v>190</v>
      </c>
      <c r="AG496" s="29">
        <v>6</v>
      </c>
      <c r="AH496" s="29" t="s">
        <v>190</v>
      </c>
      <c r="AI496" s="29"/>
      <c r="AJ496" s="32">
        <v>43226.669189814813</v>
      </c>
      <c r="AK496" s="29" t="s">
        <v>4274</v>
      </c>
    </row>
    <row r="497" spans="1:37" s="33" customFormat="1">
      <c r="A497" s="29" t="str">
        <f>VLOOKUP(H497,Languages!$A$2:$B$430,2,FALSE)</f>
        <v>Austronesian</v>
      </c>
      <c r="B497" s="29" t="s">
        <v>1726</v>
      </c>
      <c r="C497" s="29" t="s">
        <v>75</v>
      </c>
      <c r="D497" s="29" t="s">
        <v>7451</v>
      </c>
      <c r="E497" s="30" t="s">
        <v>7452</v>
      </c>
      <c r="F497" s="30" t="s">
        <v>7452</v>
      </c>
      <c r="G497" s="29" t="s">
        <v>7452</v>
      </c>
      <c r="H497" s="29" t="str">
        <f>VLOOKUP(G497,'languoid 4.0'!$A$1:$I$24439,2,FALSE)</f>
        <v>aust1307</v>
      </c>
      <c r="I497" s="29" t="str">
        <f>VLOOKUP(G497,'languoid 4.0'!$A$1:$I$24439,6,FALSE)</f>
        <v>language</v>
      </c>
      <c r="J497" s="30" t="s">
        <v>38</v>
      </c>
      <c r="K497" s="30" t="s">
        <v>38</v>
      </c>
      <c r="L497" s="30" t="s">
        <v>38</v>
      </c>
      <c r="M497" s="29"/>
      <c r="N497" s="29" t="s">
        <v>7453</v>
      </c>
      <c r="O497" s="30" t="s">
        <v>40</v>
      </c>
      <c r="P497" s="30" t="s">
        <v>41</v>
      </c>
      <c r="Q497" s="29" t="s">
        <v>7454</v>
      </c>
      <c r="R497" s="31" t="s">
        <v>7455</v>
      </c>
      <c r="S497" s="29" t="s">
        <v>46</v>
      </c>
      <c r="T497" s="29" t="s">
        <v>635</v>
      </c>
      <c r="U497" s="29" t="s">
        <v>636</v>
      </c>
      <c r="V497" s="29" t="s">
        <v>45</v>
      </c>
      <c r="W497" s="29"/>
      <c r="X497" s="29"/>
      <c r="Y497" s="29"/>
      <c r="Z497" s="29" t="s">
        <v>887</v>
      </c>
      <c r="AA497" s="29" t="s">
        <v>7456</v>
      </c>
      <c r="AB497" s="29" t="s">
        <v>46</v>
      </c>
      <c r="AC497" s="29" t="s">
        <v>46</v>
      </c>
      <c r="AD497" s="29" t="s">
        <v>7457</v>
      </c>
      <c r="AE497" s="29" t="s">
        <v>641</v>
      </c>
      <c r="AF497" s="29" t="s">
        <v>190</v>
      </c>
      <c r="AG497" s="29">
        <v>6</v>
      </c>
      <c r="AH497" s="29" t="s">
        <v>190</v>
      </c>
      <c r="AI497" s="29"/>
      <c r="AJ497" s="29" t="s">
        <v>7458</v>
      </c>
      <c r="AK497" s="29" t="s">
        <v>5640</v>
      </c>
    </row>
    <row r="498" spans="1:37" s="33" customFormat="1">
      <c r="A498" s="29" t="str">
        <f>VLOOKUP(H498,Languages!$A$2:$B$430,2,FALSE)</f>
        <v>Austronesian</v>
      </c>
      <c r="B498" s="29" t="s">
        <v>1726</v>
      </c>
      <c r="C498" s="29" t="s">
        <v>75</v>
      </c>
      <c r="D498" s="29" t="s">
        <v>7451</v>
      </c>
      <c r="E498" s="30" t="s">
        <v>7452</v>
      </c>
      <c r="F498" s="30" t="s">
        <v>7452</v>
      </c>
      <c r="G498" s="29" t="s">
        <v>7452</v>
      </c>
      <c r="H498" s="29" t="str">
        <f>VLOOKUP(G498,'languoid 4.0'!$A$1:$I$24439,2,FALSE)</f>
        <v>aust1307</v>
      </c>
      <c r="I498" s="29" t="str">
        <f>VLOOKUP(G498,'languoid 4.0'!$A$1:$I$24439,6,FALSE)</f>
        <v>language</v>
      </c>
      <c r="J498" s="30" t="s">
        <v>38</v>
      </c>
      <c r="K498" s="30" t="s">
        <v>38</v>
      </c>
      <c r="L498" s="30" t="s">
        <v>38</v>
      </c>
      <c r="M498" s="29"/>
      <c r="N498" s="29" t="s">
        <v>7453</v>
      </c>
      <c r="O498" s="30" t="s">
        <v>40</v>
      </c>
      <c r="P498" s="30" t="s">
        <v>41</v>
      </c>
      <c r="Q498" s="29" t="s">
        <v>7454</v>
      </c>
      <c r="R498" s="31" t="s">
        <v>7459</v>
      </c>
      <c r="S498" s="29" t="s">
        <v>46</v>
      </c>
      <c r="T498" s="29" t="s">
        <v>635</v>
      </c>
      <c r="U498" s="29" t="s">
        <v>636</v>
      </c>
      <c r="V498" s="29" t="s">
        <v>45</v>
      </c>
      <c r="W498" s="29"/>
      <c r="X498" s="29"/>
      <c r="Y498" s="29"/>
      <c r="Z498" s="29" t="s">
        <v>887</v>
      </c>
      <c r="AA498" s="29" t="s">
        <v>7460</v>
      </c>
      <c r="AB498" s="29" t="s">
        <v>46</v>
      </c>
      <c r="AC498" s="29" t="s">
        <v>46</v>
      </c>
      <c r="AD498" s="29" t="s">
        <v>7461</v>
      </c>
      <c r="AE498" s="29" t="s">
        <v>641</v>
      </c>
      <c r="AF498" s="29" t="s">
        <v>190</v>
      </c>
      <c r="AG498" s="29">
        <v>6</v>
      </c>
      <c r="AH498" s="29" t="s">
        <v>190</v>
      </c>
      <c r="AI498" s="29"/>
      <c r="AJ498" s="29" t="s">
        <v>7462</v>
      </c>
      <c r="AK498" s="29" t="s">
        <v>5640</v>
      </c>
    </row>
    <row r="499" spans="1:37" s="33" customFormat="1">
      <c r="A499" s="29" t="str">
        <f>VLOOKUP(H499,Languages!$A$2:$B$430,2,FALSE)</f>
        <v>Austronesian</v>
      </c>
      <c r="B499" s="29" t="s">
        <v>1726</v>
      </c>
      <c r="C499" s="29" t="s">
        <v>75</v>
      </c>
      <c r="D499" s="29" t="s">
        <v>7451</v>
      </c>
      <c r="E499" s="30" t="s">
        <v>7452</v>
      </c>
      <c r="F499" s="30" t="s">
        <v>7452</v>
      </c>
      <c r="G499" s="29" t="s">
        <v>7452</v>
      </c>
      <c r="H499" s="29" t="str">
        <f>VLOOKUP(G499,'languoid 4.0'!$A$1:$I$24439,2,FALSE)</f>
        <v>aust1307</v>
      </c>
      <c r="I499" s="29" t="str">
        <f>VLOOKUP(G499,'languoid 4.0'!$A$1:$I$24439,6,FALSE)</f>
        <v>language</v>
      </c>
      <c r="J499" s="30" t="s">
        <v>38</v>
      </c>
      <c r="K499" s="30" t="s">
        <v>38</v>
      </c>
      <c r="L499" s="30" t="s">
        <v>38</v>
      </c>
      <c r="M499" s="29"/>
      <c r="N499" s="29" t="s">
        <v>7453</v>
      </c>
      <c r="O499" s="30" t="s">
        <v>40</v>
      </c>
      <c r="P499" s="30" t="s">
        <v>41</v>
      </c>
      <c r="Q499" s="29" t="s">
        <v>7454</v>
      </c>
      <c r="R499" s="31" t="s">
        <v>7463</v>
      </c>
      <c r="S499" s="29" t="s">
        <v>46</v>
      </c>
      <c r="T499" s="29" t="s">
        <v>635</v>
      </c>
      <c r="U499" s="29" t="s">
        <v>636</v>
      </c>
      <c r="V499" s="29" t="s">
        <v>45</v>
      </c>
      <c r="W499" s="29"/>
      <c r="X499" s="29"/>
      <c r="Y499" s="29"/>
      <c r="Z499" s="29" t="s">
        <v>887</v>
      </c>
      <c r="AA499" s="29" t="s">
        <v>7464</v>
      </c>
      <c r="AB499" s="29" t="s">
        <v>46</v>
      </c>
      <c r="AC499" s="29" t="s">
        <v>46</v>
      </c>
      <c r="AD499" s="29" t="s">
        <v>7465</v>
      </c>
      <c r="AE499" s="29" t="s">
        <v>641</v>
      </c>
      <c r="AF499" s="29" t="s">
        <v>190</v>
      </c>
      <c r="AG499" s="29">
        <v>6</v>
      </c>
      <c r="AH499" s="29" t="s">
        <v>190</v>
      </c>
      <c r="AI499" s="29"/>
      <c r="AJ499" s="29" t="s">
        <v>7466</v>
      </c>
      <c r="AK499" s="29" t="s">
        <v>5640</v>
      </c>
    </row>
    <row r="500" spans="1:37" s="33" customFormat="1">
      <c r="A500" s="29" t="str">
        <f>VLOOKUP(H500,Languages!$A$2:$B$430,2,FALSE)</f>
        <v>Austronesian</v>
      </c>
      <c r="B500" s="29" t="s">
        <v>1726</v>
      </c>
      <c r="C500" s="29" t="s">
        <v>75</v>
      </c>
      <c r="D500" s="29" t="s">
        <v>7796</v>
      </c>
      <c r="E500" s="30" t="s">
        <v>7797</v>
      </c>
      <c r="F500" s="30" t="s">
        <v>7798</v>
      </c>
      <c r="G500" s="29" t="s">
        <v>7797</v>
      </c>
      <c r="H500" s="29" t="str">
        <f>VLOOKUP(G500,'languoid 4.0'!$A$1:$I$24439,2,FALSE)</f>
        <v>aust1307</v>
      </c>
      <c r="I500" s="29" t="str">
        <f>VLOOKUP(G500,'languoid 4.0'!$A$1:$I$24439,6,FALSE)</f>
        <v>language</v>
      </c>
      <c r="J500" s="30" t="s">
        <v>52</v>
      </c>
      <c r="K500" s="30" t="s">
        <v>38</v>
      </c>
      <c r="L500" s="30" t="s">
        <v>38</v>
      </c>
      <c r="M500" s="29"/>
      <c r="N500" s="29" t="s">
        <v>7799</v>
      </c>
      <c r="O500" s="30" t="s">
        <v>40</v>
      </c>
      <c r="P500" s="30" t="s">
        <v>41</v>
      </c>
      <c r="Q500" s="29" t="s">
        <v>7800</v>
      </c>
      <c r="R500" s="31" t="s">
        <v>7801</v>
      </c>
      <c r="S500" s="29" t="s">
        <v>46</v>
      </c>
      <c r="T500" s="29" t="s">
        <v>635</v>
      </c>
      <c r="U500" s="29" t="s">
        <v>636</v>
      </c>
      <c r="V500" s="29" t="s">
        <v>45</v>
      </c>
      <c r="W500" s="29"/>
      <c r="X500" s="29"/>
      <c r="Y500" s="29"/>
      <c r="Z500" s="29" t="s">
        <v>637</v>
      </c>
      <c r="AA500" s="29" t="s">
        <v>7802</v>
      </c>
      <c r="AB500" s="29" t="s">
        <v>46</v>
      </c>
      <c r="AC500" s="29" t="s">
        <v>46</v>
      </c>
      <c r="AD500" s="29" t="s">
        <v>7803</v>
      </c>
      <c r="AE500" s="29" t="s">
        <v>641</v>
      </c>
      <c r="AF500" s="29" t="s">
        <v>190</v>
      </c>
      <c r="AG500" s="29">
        <v>6</v>
      </c>
      <c r="AH500" s="29" t="s">
        <v>190</v>
      </c>
      <c r="AI500" s="29"/>
      <c r="AJ500" s="29" t="s">
        <v>7804</v>
      </c>
      <c r="AK500" s="29" t="s">
        <v>5640</v>
      </c>
    </row>
    <row r="501" spans="1:37" s="33" customFormat="1">
      <c r="A501" s="29" t="str">
        <f>VLOOKUP(H501,Languages!$A$2:$B$430,2,FALSE)</f>
        <v>Austronesian</v>
      </c>
      <c r="B501" s="29" t="s">
        <v>1726</v>
      </c>
      <c r="C501" s="29" t="s">
        <v>75</v>
      </c>
      <c r="D501" s="29" t="s">
        <v>7805</v>
      </c>
      <c r="E501" s="30" t="s">
        <v>7806</v>
      </c>
      <c r="F501" s="30" t="s">
        <v>7798</v>
      </c>
      <c r="G501" s="29" t="s">
        <v>7798</v>
      </c>
      <c r="H501" s="29" t="str">
        <f>VLOOKUP(G501,'languoid 4.0'!$A$1:$I$24439,2,FALSE)</f>
        <v>aust1307</v>
      </c>
      <c r="I501" s="29" t="str">
        <f>VLOOKUP(G501,'languoid 4.0'!$A$1:$I$24439,6,FALSE)</f>
        <v>family</v>
      </c>
      <c r="J501" s="30" t="s">
        <v>52</v>
      </c>
      <c r="K501" s="30" t="s">
        <v>38</v>
      </c>
      <c r="L501" s="30" t="s">
        <v>38</v>
      </c>
      <c r="M501" s="29"/>
      <c r="N501" s="29" t="s">
        <v>7807</v>
      </c>
      <c r="O501" s="30" t="s">
        <v>40</v>
      </c>
      <c r="P501" s="30" t="s">
        <v>41</v>
      </c>
      <c r="Q501" s="29" t="s">
        <v>7813</v>
      </c>
      <c r="R501" s="31" t="s">
        <v>7814</v>
      </c>
      <c r="S501" s="29" t="s">
        <v>46</v>
      </c>
      <c r="T501" s="29" t="s">
        <v>635</v>
      </c>
      <c r="U501" s="29" t="s">
        <v>636</v>
      </c>
      <c r="V501" s="29" t="s">
        <v>45</v>
      </c>
      <c r="W501" s="29"/>
      <c r="X501" s="29"/>
      <c r="Y501" s="29"/>
      <c r="Z501" s="29" t="s">
        <v>658</v>
      </c>
      <c r="AA501" s="29" t="s">
        <v>7815</v>
      </c>
      <c r="AB501" s="29" t="s">
        <v>46</v>
      </c>
      <c r="AC501" s="29" t="s">
        <v>46</v>
      </c>
      <c r="AD501" s="29" t="s">
        <v>7816</v>
      </c>
      <c r="AE501" s="29" t="s">
        <v>641</v>
      </c>
      <c r="AF501" s="29" t="s">
        <v>190</v>
      </c>
      <c r="AG501" s="29">
        <v>6</v>
      </c>
      <c r="AH501" s="29" t="s">
        <v>190</v>
      </c>
      <c r="AI501" s="29"/>
      <c r="AJ501" s="29" t="s">
        <v>7817</v>
      </c>
      <c r="AK501" s="29" t="s">
        <v>5640</v>
      </c>
    </row>
    <row r="502" spans="1:37" s="33" customFormat="1">
      <c r="A502" s="29" t="str">
        <f>VLOOKUP(H502,Languages!$A$2:$B$430,2,FALSE)</f>
        <v>Austronesian</v>
      </c>
      <c r="B502" s="29" t="s">
        <v>1726</v>
      </c>
      <c r="C502" s="29" t="s">
        <v>75</v>
      </c>
      <c r="D502" s="29" t="s">
        <v>7805</v>
      </c>
      <c r="E502" s="30" t="s">
        <v>7806</v>
      </c>
      <c r="F502" s="30" t="s">
        <v>7798</v>
      </c>
      <c r="G502" s="29" t="s">
        <v>7798</v>
      </c>
      <c r="H502" s="29" t="str">
        <f>VLOOKUP(G502,'languoid 4.0'!$A$1:$I$24439,2,FALSE)</f>
        <v>aust1307</v>
      </c>
      <c r="I502" s="29" t="str">
        <f>VLOOKUP(G502,'languoid 4.0'!$A$1:$I$24439,6,FALSE)</f>
        <v>family</v>
      </c>
      <c r="J502" s="30" t="s">
        <v>52</v>
      </c>
      <c r="K502" s="30" t="s">
        <v>38</v>
      </c>
      <c r="L502" s="30" t="s">
        <v>38</v>
      </c>
      <c r="M502" s="29"/>
      <c r="N502" s="29" t="s">
        <v>7807</v>
      </c>
      <c r="O502" s="30" t="s">
        <v>40</v>
      </c>
      <c r="P502" s="30" t="s">
        <v>41</v>
      </c>
      <c r="Q502" s="29" t="s">
        <v>2566</v>
      </c>
      <c r="R502" s="31" t="s">
        <v>7818</v>
      </c>
      <c r="S502" s="29" t="s">
        <v>46</v>
      </c>
      <c r="T502" s="29" t="s">
        <v>635</v>
      </c>
      <c r="U502" s="29" t="s">
        <v>636</v>
      </c>
      <c r="V502" s="29" t="s">
        <v>45</v>
      </c>
      <c r="W502" s="29"/>
      <c r="X502" s="29"/>
      <c r="Y502" s="29"/>
      <c r="Z502" s="29" t="s">
        <v>658</v>
      </c>
      <c r="AA502" s="29" t="s">
        <v>7819</v>
      </c>
      <c r="AB502" s="29" t="s">
        <v>46</v>
      </c>
      <c r="AC502" s="29" t="s">
        <v>46</v>
      </c>
      <c r="AD502" s="29" t="s">
        <v>7820</v>
      </c>
      <c r="AE502" s="29" t="s">
        <v>641</v>
      </c>
      <c r="AF502" s="29" t="s">
        <v>190</v>
      </c>
      <c r="AG502" s="29">
        <v>6</v>
      </c>
      <c r="AH502" s="29" t="s">
        <v>190</v>
      </c>
      <c r="AI502" s="29"/>
      <c r="AJ502" s="29" t="s">
        <v>7821</v>
      </c>
      <c r="AK502" s="29" t="s">
        <v>5640</v>
      </c>
    </row>
    <row r="503" spans="1:37" s="33" customFormat="1">
      <c r="A503" s="29" t="str">
        <f>VLOOKUP(H503,Languages!$A$2:$B$430,2,FALSE)</f>
        <v>Austronesian</v>
      </c>
      <c r="B503" s="29" t="s">
        <v>1726</v>
      </c>
      <c r="C503" s="29" t="s">
        <v>66</v>
      </c>
      <c r="D503" s="29" t="s">
        <v>9566</v>
      </c>
      <c r="E503" s="30" t="s">
        <v>9567</v>
      </c>
      <c r="F503" s="30" t="s">
        <v>1215</v>
      </c>
      <c r="G503" s="29" t="s">
        <v>9567</v>
      </c>
      <c r="H503" s="29" t="str">
        <f>VLOOKUP(G503,'languoid 4.0'!$A$1:$I$24439,2,FALSE)</f>
        <v>aust1307</v>
      </c>
      <c r="I503" s="29" t="str">
        <f>VLOOKUP(G503,'languoid 4.0'!$A$1:$I$24439,6,FALSE)</f>
        <v>language</v>
      </c>
      <c r="J503" s="30" t="s">
        <v>52</v>
      </c>
      <c r="K503" s="30" t="s">
        <v>52</v>
      </c>
      <c r="L503" s="30" t="s">
        <v>52</v>
      </c>
      <c r="M503" s="29"/>
      <c r="N503" s="29" t="s">
        <v>9568</v>
      </c>
      <c r="O503" s="30" t="s">
        <v>40</v>
      </c>
      <c r="P503" s="30" t="s">
        <v>41</v>
      </c>
      <c r="Q503" s="29" t="s">
        <v>9569</v>
      </c>
      <c r="R503" s="31" t="s">
        <v>9570</v>
      </c>
      <c r="S503" s="29" t="s">
        <v>46</v>
      </c>
      <c r="T503" s="29" t="s">
        <v>635</v>
      </c>
      <c r="U503" s="29" t="s">
        <v>636</v>
      </c>
      <c r="V503" s="29" t="s">
        <v>45</v>
      </c>
      <c r="W503" s="29"/>
      <c r="X503" s="29"/>
      <c r="Y503" s="29"/>
      <c r="Z503" s="29" t="s">
        <v>637</v>
      </c>
      <c r="AA503" s="29" t="s">
        <v>9571</v>
      </c>
      <c r="AB503" s="29" t="s">
        <v>9572</v>
      </c>
      <c r="AC503" s="29" t="s">
        <v>46</v>
      </c>
      <c r="AD503" s="29"/>
      <c r="AE503" s="29" t="s">
        <v>641</v>
      </c>
      <c r="AF503" s="29" t="s">
        <v>190</v>
      </c>
      <c r="AG503" s="29">
        <v>4</v>
      </c>
      <c r="AH503" s="29" t="s">
        <v>190</v>
      </c>
      <c r="AI503" s="29"/>
      <c r="AJ503" s="32">
        <v>43353.932013888887</v>
      </c>
      <c r="AK503" s="29" t="s">
        <v>9573</v>
      </c>
    </row>
    <row r="504" spans="1:37" s="33" customFormat="1">
      <c r="A504" s="29" t="str">
        <f>VLOOKUP(H504,Languages!$A$2:$B$430,2,FALSE)</f>
        <v>Austronesian</v>
      </c>
      <c r="B504" s="29" t="s">
        <v>1726</v>
      </c>
      <c r="C504" s="29" t="s">
        <v>66</v>
      </c>
      <c r="D504" s="29" t="s">
        <v>10824</v>
      </c>
      <c r="E504" s="30" t="s">
        <v>10825</v>
      </c>
      <c r="F504" s="30" t="s">
        <v>10825</v>
      </c>
      <c r="G504" s="29" t="s">
        <v>10825</v>
      </c>
      <c r="H504" s="29" t="str">
        <f>VLOOKUP(G504,'languoid 4.0'!$A$1:$I$24439,2,FALSE)</f>
        <v>aust1307</v>
      </c>
      <c r="I504" s="29" t="str">
        <f>VLOOKUP(G504,'languoid 4.0'!$A$1:$I$24439,6,FALSE)</f>
        <v>language</v>
      </c>
      <c r="J504" s="30" t="s">
        <v>38</v>
      </c>
      <c r="K504" s="30" t="s">
        <v>38</v>
      </c>
      <c r="L504" s="30" t="s">
        <v>38</v>
      </c>
      <c r="M504" s="29"/>
      <c r="N504" s="29" t="s">
        <v>10826</v>
      </c>
      <c r="O504" s="30" t="s">
        <v>40</v>
      </c>
      <c r="P504" s="30" t="s">
        <v>41</v>
      </c>
      <c r="Q504" s="29" t="s">
        <v>10831</v>
      </c>
      <c r="R504" s="31" t="s">
        <v>10832</v>
      </c>
      <c r="S504" s="29" t="s">
        <v>46</v>
      </c>
      <c r="T504" s="29" t="s">
        <v>635</v>
      </c>
      <c r="U504" s="29" t="s">
        <v>636</v>
      </c>
      <c r="V504" s="29" t="s">
        <v>45</v>
      </c>
      <c r="W504" s="29"/>
      <c r="X504" s="29"/>
      <c r="Y504" s="29"/>
      <c r="Z504" s="29" t="s">
        <v>637</v>
      </c>
      <c r="AA504" s="29" t="s">
        <v>10833</v>
      </c>
      <c r="AB504" s="29" t="s">
        <v>10834</v>
      </c>
      <c r="AC504" s="29" t="s">
        <v>46</v>
      </c>
      <c r="AD504" s="29"/>
      <c r="AE504" s="29" t="s">
        <v>641</v>
      </c>
      <c r="AF504" s="29" t="s">
        <v>190</v>
      </c>
      <c r="AG504" s="29">
        <v>6</v>
      </c>
      <c r="AH504" s="29" t="s">
        <v>190</v>
      </c>
      <c r="AI504" s="29"/>
      <c r="AJ504" s="32">
        <v>43355.882905092592</v>
      </c>
      <c r="AK504" s="29" t="s">
        <v>10783</v>
      </c>
    </row>
    <row r="505" spans="1:37" s="33" customFormat="1">
      <c r="A505" s="29" t="str">
        <f>VLOOKUP(H505,Languages!$A$2:$B$430,2,FALSE)</f>
        <v>Austronesian</v>
      </c>
      <c r="B505" s="29" t="s">
        <v>1726</v>
      </c>
      <c r="C505" s="29" t="s">
        <v>66</v>
      </c>
      <c r="D505" s="29" t="s">
        <v>10852</v>
      </c>
      <c r="E505" s="30" t="s">
        <v>10853</v>
      </c>
      <c r="F505" s="30" t="s">
        <v>10853</v>
      </c>
      <c r="G505" s="29" t="s">
        <v>10853</v>
      </c>
      <c r="H505" s="29" t="str">
        <f>VLOOKUP(G505,'languoid 4.0'!$A$1:$I$24439,2,FALSE)</f>
        <v>aust1307</v>
      </c>
      <c r="I505" s="29" t="str">
        <f>VLOOKUP(G505,'languoid 4.0'!$A$1:$I$24439,6,FALSE)</f>
        <v>language</v>
      </c>
      <c r="J505" s="30" t="s">
        <v>38</v>
      </c>
      <c r="K505" s="30" t="s">
        <v>38</v>
      </c>
      <c r="L505" s="30" t="s">
        <v>38</v>
      </c>
      <c r="M505" s="29"/>
      <c r="N505" s="29" t="s">
        <v>10854</v>
      </c>
      <c r="O505" s="30" t="s">
        <v>40</v>
      </c>
      <c r="P505" s="30" t="s">
        <v>41</v>
      </c>
      <c r="Q505" s="29" t="s">
        <v>10855</v>
      </c>
      <c r="R505" s="31" t="s">
        <v>10856</v>
      </c>
      <c r="S505" s="29" t="s">
        <v>46</v>
      </c>
      <c r="T505" s="29" t="s">
        <v>822</v>
      </c>
      <c r="U505" s="29" t="s">
        <v>636</v>
      </c>
      <c r="V505" s="29" t="s">
        <v>45</v>
      </c>
      <c r="W505" s="29"/>
      <c r="X505" s="29"/>
      <c r="Y505" s="29"/>
      <c r="Z505" s="29" t="s">
        <v>637</v>
      </c>
      <c r="AA505" s="29" t="s">
        <v>10857</v>
      </c>
      <c r="AB505" s="29" t="s">
        <v>10858</v>
      </c>
      <c r="AC505" s="29" t="s">
        <v>46</v>
      </c>
      <c r="AD505" s="29"/>
      <c r="AE505" s="29" t="s">
        <v>641</v>
      </c>
      <c r="AF505" s="29" t="s">
        <v>190</v>
      </c>
      <c r="AG505" s="29">
        <v>6</v>
      </c>
      <c r="AH505" s="29" t="s">
        <v>190</v>
      </c>
      <c r="AI505" s="29"/>
      <c r="AJ505" s="32">
        <v>43355.9143287037</v>
      </c>
      <c r="AK505" s="29" t="s">
        <v>10783</v>
      </c>
    </row>
    <row r="506" spans="1:37" s="33" customFormat="1">
      <c r="A506" s="29" t="str">
        <f>VLOOKUP(H506,Languages!$A$2:$B$430,2,FALSE)</f>
        <v>Austronesian</v>
      </c>
      <c r="B506" s="29" t="s">
        <v>1726</v>
      </c>
      <c r="C506" s="29" t="s">
        <v>66</v>
      </c>
      <c r="D506" s="29" t="s">
        <v>10852</v>
      </c>
      <c r="E506" s="30" t="s">
        <v>10853</v>
      </c>
      <c r="F506" s="30" t="s">
        <v>10853</v>
      </c>
      <c r="G506" s="29" t="s">
        <v>10853</v>
      </c>
      <c r="H506" s="29" t="str">
        <f>VLOOKUP(G506,'languoid 4.0'!$A$1:$I$24439,2,FALSE)</f>
        <v>aust1307</v>
      </c>
      <c r="I506" s="29" t="str">
        <f>VLOOKUP(G506,'languoid 4.0'!$A$1:$I$24439,6,FALSE)</f>
        <v>language</v>
      </c>
      <c r="J506" s="30" t="s">
        <v>38</v>
      </c>
      <c r="K506" s="30" t="s">
        <v>38</v>
      </c>
      <c r="L506" s="30" t="s">
        <v>38</v>
      </c>
      <c r="M506" s="29"/>
      <c r="N506" s="29" t="s">
        <v>10854</v>
      </c>
      <c r="O506" s="30" t="s">
        <v>40</v>
      </c>
      <c r="P506" s="30" t="s">
        <v>41</v>
      </c>
      <c r="Q506" s="29" t="s">
        <v>11030</v>
      </c>
      <c r="R506" s="31" t="s">
        <v>11031</v>
      </c>
      <c r="S506" s="29" t="s">
        <v>11017</v>
      </c>
      <c r="T506" s="29" t="s">
        <v>822</v>
      </c>
      <c r="U506" s="29" t="s">
        <v>636</v>
      </c>
      <c r="V506" s="29" t="s">
        <v>45</v>
      </c>
      <c r="W506" s="29"/>
      <c r="X506" s="29"/>
      <c r="Y506" s="29"/>
      <c r="Z506" s="29" t="s">
        <v>637</v>
      </c>
      <c r="AA506" s="29" t="s">
        <v>11032</v>
      </c>
      <c r="AB506" s="29" t="s">
        <v>11033</v>
      </c>
      <c r="AC506" s="29" t="s">
        <v>46</v>
      </c>
      <c r="AD506" s="29"/>
      <c r="AE506" s="29" t="s">
        <v>641</v>
      </c>
      <c r="AF506" s="29" t="s">
        <v>190</v>
      </c>
      <c r="AG506" s="29">
        <v>6</v>
      </c>
      <c r="AH506" s="29" t="s">
        <v>190</v>
      </c>
      <c r="AI506" s="29"/>
      <c r="AJ506" s="29" t="s">
        <v>11034</v>
      </c>
      <c r="AK506" s="29" t="s">
        <v>10783</v>
      </c>
    </row>
    <row r="507" spans="1:37" s="33" customFormat="1">
      <c r="A507" s="29" t="str">
        <f>VLOOKUP(H507,Languages!$A$2:$B$430,2,FALSE)</f>
        <v>Austronesian</v>
      </c>
      <c r="B507" s="29" t="s">
        <v>1726</v>
      </c>
      <c r="C507" s="29" t="s">
        <v>66</v>
      </c>
      <c r="D507" s="29" t="s">
        <v>10824</v>
      </c>
      <c r="E507" s="30" t="s">
        <v>10825</v>
      </c>
      <c r="F507" s="30" t="s">
        <v>10825</v>
      </c>
      <c r="G507" s="29" t="s">
        <v>10825</v>
      </c>
      <c r="H507" s="29" t="str">
        <f>VLOOKUP(G507,'languoid 4.0'!$A$1:$I$24439,2,FALSE)</f>
        <v>aust1307</v>
      </c>
      <c r="I507" s="29" t="str">
        <f>VLOOKUP(G507,'languoid 4.0'!$A$1:$I$24439,6,FALSE)</f>
        <v>language</v>
      </c>
      <c r="J507" s="30" t="s">
        <v>38</v>
      </c>
      <c r="K507" s="30" t="s">
        <v>38</v>
      </c>
      <c r="L507" s="30" t="s">
        <v>38</v>
      </c>
      <c r="M507" s="29"/>
      <c r="N507" s="29" t="s">
        <v>10826</v>
      </c>
      <c r="O507" s="30" t="s">
        <v>40</v>
      </c>
      <c r="P507" s="30" t="s">
        <v>41</v>
      </c>
      <c r="Q507" s="29" t="s">
        <v>11109</v>
      </c>
      <c r="R507" s="31" t="s">
        <v>11110</v>
      </c>
      <c r="S507" s="29" t="s">
        <v>11017</v>
      </c>
      <c r="T507" s="29" t="s">
        <v>822</v>
      </c>
      <c r="U507" s="29" t="s">
        <v>636</v>
      </c>
      <c r="V507" s="29" t="s">
        <v>45</v>
      </c>
      <c r="W507" s="29"/>
      <c r="X507" s="29"/>
      <c r="Y507" s="29"/>
      <c r="Z507" s="29" t="s">
        <v>637</v>
      </c>
      <c r="AA507" s="29" t="s">
        <v>11111</v>
      </c>
      <c r="AB507" s="29" t="s">
        <v>11112</v>
      </c>
      <c r="AC507" s="29" t="s">
        <v>46</v>
      </c>
      <c r="AD507" s="29"/>
      <c r="AE507" s="29" t="s">
        <v>641</v>
      </c>
      <c r="AF507" s="29" t="s">
        <v>190</v>
      </c>
      <c r="AG507" s="29">
        <v>6</v>
      </c>
      <c r="AH507" s="29" t="s">
        <v>190</v>
      </c>
      <c r="AI507" s="29"/>
      <c r="AJ507" s="29" t="s">
        <v>11113</v>
      </c>
      <c r="AK507" s="29" t="s">
        <v>10783</v>
      </c>
    </row>
    <row r="508" spans="1:37" s="33" customFormat="1">
      <c r="A508" s="29" t="str">
        <f>VLOOKUP(H508,Languages!$A$2:$B$430,2,FALSE)</f>
        <v>Austronesian</v>
      </c>
      <c r="B508" s="29" t="s">
        <v>1726</v>
      </c>
      <c r="C508" s="29" t="s">
        <v>198</v>
      </c>
      <c r="D508" s="29" t="s">
        <v>1979</v>
      </c>
      <c r="E508" s="30" t="s">
        <v>1592</v>
      </c>
      <c r="F508" s="30" t="s">
        <v>1592</v>
      </c>
      <c r="G508" s="29" t="s">
        <v>1592</v>
      </c>
      <c r="H508" s="29" t="str">
        <f>VLOOKUP(G508,'languoid 4.0'!$A$1:$I$24439,2,FALSE)</f>
        <v>aust1307</v>
      </c>
      <c r="I508" s="29" t="str">
        <f>VLOOKUP(G508,'languoid 4.0'!$A$1:$I$24439,6,FALSE)</f>
        <v>language</v>
      </c>
      <c r="J508" s="30" t="s">
        <v>38</v>
      </c>
      <c r="K508" s="30" t="s">
        <v>38</v>
      </c>
      <c r="L508" s="30" t="s">
        <v>38</v>
      </c>
      <c r="M508" s="29"/>
      <c r="N508" s="29" t="s">
        <v>1593</v>
      </c>
      <c r="O508" s="30" t="s">
        <v>40</v>
      </c>
      <c r="P508" s="30" t="s">
        <v>41</v>
      </c>
      <c r="Q508" s="29" t="s">
        <v>1984</v>
      </c>
      <c r="R508" s="31" t="s">
        <v>1985</v>
      </c>
      <c r="S508" s="29" t="s">
        <v>46</v>
      </c>
      <c r="T508" s="29" t="s">
        <v>635</v>
      </c>
      <c r="U508" s="29" t="s">
        <v>636</v>
      </c>
      <c r="V508" s="29" t="s">
        <v>45</v>
      </c>
      <c r="W508" s="29"/>
      <c r="X508" s="29"/>
      <c r="Y508" s="29"/>
      <c r="Z508" s="29" t="s">
        <v>658</v>
      </c>
      <c r="AA508" s="29" t="s">
        <v>1986</v>
      </c>
      <c r="AB508" s="29" t="s">
        <v>46</v>
      </c>
      <c r="AC508" s="29" t="s">
        <v>46</v>
      </c>
      <c r="AD508" s="29"/>
      <c r="AE508" s="29" t="s">
        <v>641</v>
      </c>
      <c r="AF508" s="29" t="s">
        <v>190</v>
      </c>
      <c r="AG508" s="29">
        <v>6</v>
      </c>
      <c r="AH508" s="29" t="s">
        <v>190</v>
      </c>
      <c r="AI508" s="29"/>
      <c r="AJ508" s="29" t="s">
        <v>1987</v>
      </c>
      <c r="AK508" s="29" t="s">
        <v>1598</v>
      </c>
    </row>
    <row r="509" spans="1:37" s="33" customFormat="1">
      <c r="A509" s="29" t="str">
        <f>VLOOKUP(H509,Languages!$A$2:$B$430,2,FALSE)</f>
        <v>Austronesian</v>
      </c>
      <c r="B509" s="29" t="s">
        <v>1726</v>
      </c>
      <c r="C509" s="29" t="s">
        <v>198</v>
      </c>
      <c r="D509" s="29" t="s">
        <v>1651</v>
      </c>
      <c r="E509" s="30" t="s">
        <v>1652</v>
      </c>
      <c r="F509" s="30" t="s">
        <v>1652</v>
      </c>
      <c r="G509" s="29" t="s">
        <v>1652</v>
      </c>
      <c r="H509" s="29" t="str">
        <f>VLOOKUP(G509,'languoid 4.0'!$A$1:$I$24439,2,FALSE)</f>
        <v>aust1307</v>
      </c>
      <c r="I509" s="29" t="str">
        <f>VLOOKUP(G509,'languoid 4.0'!$A$1:$I$24439,6,FALSE)</f>
        <v>language</v>
      </c>
      <c r="J509" s="30" t="s">
        <v>38</v>
      </c>
      <c r="K509" s="30" t="s">
        <v>38</v>
      </c>
      <c r="L509" s="30" t="s">
        <v>38</v>
      </c>
      <c r="M509" s="29"/>
      <c r="N509" s="29" t="s">
        <v>1653</v>
      </c>
      <c r="O509" s="30" t="s">
        <v>40</v>
      </c>
      <c r="P509" s="30" t="s">
        <v>41</v>
      </c>
      <c r="Q509" s="29" t="s">
        <v>2010</v>
      </c>
      <c r="R509" s="31" t="s">
        <v>2011</v>
      </c>
      <c r="S509" s="29" t="s">
        <v>46</v>
      </c>
      <c r="T509" s="29" t="s">
        <v>635</v>
      </c>
      <c r="U509" s="29" t="s">
        <v>636</v>
      </c>
      <c r="V509" s="29" t="s">
        <v>45</v>
      </c>
      <c r="W509" s="29"/>
      <c r="X509" s="29"/>
      <c r="Y509" s="29"/>
      <c r="Z509" s="29" t="s">
        <v>658</v>
      </c>
      <c r="AA509" s="29" t="s">
        <v>2012</v>
      </c>
      <c r="AB509" s="29" t="s">
        <v>46</v>
      </c>
      <c r="AC509" s="29" t="s">
        <v>46</v>
      </c>
      <c r="AD509" s="29"/>
      <c r="AE509" s="29" t="s">
        <v>641</v>
      </c>
      <c r="AF509" s="29" t="s">
        <v>190</v>
      </c>
      <c r="AG509" s="29">
        <v>6</v>
      </c>
      <c r="AH509" s="29" t="s">
        <v>190</v>
      </c>
      <c r="AI509" s="29"/>
      <c r="AJ509" s="29" t="s">
        <v>2013</v>
      </c>
      <c r="AK509" s="29" t="s">
        <v>1598</v>
      </c>
    </row>
    <row r="510" spans="1:37" s="33" customFormat="1">
      <c r="A510" s="29" t="str">
        <f>VLOOKUP(H510,Languages!$A$2:$B$430,2,FALSE)</f>
        <v>Austronesian</v>
      </c>
      <c r="B510" s="29" t="s">
        <v>1726</v>
      </c>
      <c r="C510" s="29" t="s">
        <v>198</v>
      </c>
      <c r="D510" s="29" t="s">
        <v>1651</v>
      </c>
      <c r="E510" s="30" t="s">
        <v>1652</v>
      </c>
      <c r="F510" s="30" t="s">
        <v>1652</v>
      </c>
      <c r="G510" s="29" t="s">
        <v>1652</v>
      </c>
      <c r="H510" s="29" t="str">
        <f>VLOOKUP(G510,'languoid 4.0'!$A$1:$I$24439,2,FALSE)</f>
        <v>aust1307</v>
      </c>
      <c r="I510" s="29" t="str">
        <f>VLOOKUP(G510,'languoid 4.0'!$A$1:$I$24439,6,FALSE)</f>
        <v>language</v>
      </c>
      <c r="J510" s="30" t="s">
        <v>38</v>
      </c>
      <c r="K510" s="30" t="s">
        <v>38</v>
      </c>
      <c r="L510" s="30" t="s">
        <v>38</v>
      </c>
      <c r="M510" s="29"/>
      <c r="N510" s="29" t="s">
        <v>1653</v>
      </c>
      <c r="O510" s="30" t="s">
        <v>40</v>
      </c>
      <c r="P510" s="30" t="s">
        <v>41</v>
      </c>
      <c r="Q510" s="29" t="s">
        <v>2014</v>
      </c>
      <c r="R510" s="31" t="s">
        <v>2015</v>
      </c>
      <c r="S510" s="29" t="s">
        <v>46</v>
      </c>
      <c r="T510" s="29" t="s">
        <v>635</v>
      </c>
      <c r="U510" s="29" t="s">
        <v>636</v>
      </c>
      <c r="V510" s="29" t="s">
        <v>45</v>
      </c>
      <c r="W510" s="29"/>
      <c r="X510" s="29"/>
      <c r="Y510" s="29"/>
      <c r="Z510" s="29" t="s">
        <v>658</v>
      </c>
      <c r="AA510" s="29" t="s">
        <v>2016</v>
      </c>
      <c r="AB510" s="29" t="s">
        <v>46</v>
      </c>
      <c r="AC510" s="29" t="s">
        <v>46</v>
      </c>
      <c r="AD510" s="29"/>
      <c r="AE510" s="29" t="s">
        <v>641</v>
      </c>
      <c r="AF510" s="29" t="s">
        <v>190</v>
      </c>
      <c r="AG510" s="29">
        <v>6</v>
      </c>
      <c r="AH510" s="29" t="s">
        <v>190</v>
      </c>
      <c r="AI510" s="29"/>
      <c r="AJ510" s="29" t="s">
        <v>2017</v>
      </c>
      <c r="AK510" s="29" t="s">
        <v>1598</v>
      </c>
    </row>
    <row r="511" spans="1:37" s="33" customFormat="1">
      <c r="A511" s="29" t="str">
        <f>VLOOKUP(H511,Languages!$A$2:$B$430,2,FALSE)</f>
        <v>Austronesian</v>
      </c>
      <c r="B511" s="29" t="s">
        <v>1726</v>
      </c>
      <c r="C511" s="29" t="s">
        <v>198</v>
      </c>
      <c r="D511" s="29" t="s">
        <v>1651</v>
      </c>
      <c r="E511" s="30" t="s">
        <v>1652</v>
      </c>
      <c r="F511" s="30" t="s">
        <v>1652</v>
      </c>
      <c r="G511" s="29" t="s">
        <v>1652</v>
      </c>
      <c r="H511" s="29" t="str">
        <f>VLOOKUP(G511,'languoid 4.0'!$A$1:$I$24439,2,FALSE)</f>
        <v>aust1307</v>
      </c>
      <c r="I511" s="29" t="str">
        <f>VLOOKUP(G511,'languoid 4.0'!$A$1:$I$24439,6,FALSE)</f>
        <v>language</v>
      </c>
      <c r="J511" s="30" t="s">
        <v>38</v>
      </c>
      <c r="K511" s="30" t="s">
        <v>38</v>
      </c>
      <c r="L511" s="30" t="s">
        <v>38</v>
      </c>
      <c r="M511" s="29"/>
      <c r="N511" s="29" t="s">
        <v>1653</v>
      </c>
      <c r="O511" s="30" t="s">
        <v>40</v>
      </c>
      <c r="P511" s="30" t="s">
        <v>41</v>
      </c>
      <c r="Q511" s="29" t="s">
        <v>2018</v>
      </c>
      <c r="R511" s="31" t="s">
        <v>2019</v>
      </c>
      <c r="S511" s="29" t="s">
        <v>46</v>
      </c>
      <c r="T511" s="29" t="s">
        <v>635</v>
      </c>
      <c r="U511" s="29" t="s">
        <v>1750</v>
      </c>
      <c r="V511" s="29" t="s">
        <v>45</v>
      </c>
      <c r="W511" s="29"/>
      <c r="X511" s="29"/>
      <c r="Y511" s="29"/>
      <c r="Z511" s="29" t="s">
        <v>658</v>
      </c>
      <c r="AA511" s="29" t="s">
        <v>2020</v>
      </c>
      <c r="AB511" s="29" t="s">
        <v>46</v>
      </c>
      <c r="AC511" s="29" t="s">
        <v>46</v>
      </c>
      <c r="AD511" s="29"/>
      <c r="AE511" s="29" t="s">
        <v>641</v>
      </c>
      <c r="AF511" s="29" t="s">
        <v>190</v>
      </c>
      <c r="AG511" s="29">
        <v>5</v>
      </c>
      <c r="AH511" s="29" t="s">
        <v>190</v>
      </c>
      <c r="AI511" s="29"/>
      <c r="AJ511" s="29" t="s">
        <v>2021</v>
      </c>
      <c r="AK511" s="29" t="s">
        <v>1598</v>
      </c>
    </row>
    <row r="512" spans="1:37" s="33" customFormat="1">
      <c r="A512" s="29" t="str">
        <f>VLOOKUP(H512,Languages!$A$2:$B$430,2,FALSE)</f>
        <v>Austronesian</v>
      </c>
      <c r="B512" s="29" t="s">
        <v>1726</v>
      </c>
      <c r="C512" s="29" t="s">
        <v>198</v>
      </c>
      <c r="D512" s="29" t="s">
        <v>1651</v>
      </c>
      <c r="E512" s="30" t="s">
        <v>1652</v>
      </c>
      <c r="F512" s="30" t="s">
        <v>1652</v>
      </c>
      <c r="G512" s="29" t="s">
        <v>1652</v>
      </c>
      <c r="H512" s="29" t="str">
        <f>VLOOKUP(G512,'languoid 4.0'!$A$1:$I$24439,2,FALSE)</f>
        <v>aust1307</v>
      </c>
      <c r="I512" s="29" t="str">
        <f>VLOOKUP(G512,'languoid 4.0'!$A$1:$I$24439,6,FALSE)</f>
        <v>language</v>
      </c>
      <c r="J512" s="30" t="s">
        <v>38</v>
      </c>
      <c r="K512" s="30" t="s">
        <v>38</v>
      </c>
      <c r="L512" s="30" t="s">
        <v>38</v>
      </c>
      <c r="M512" s="29"/>
      <c r="N512" s="29" t="s">
        <v>1653</v>
      </c>
      <c r="O512" s="30" t="s">
        <v>40</v>
      </c>
      <c r="P512" s="30" t="s">
        <v>41</v>
      </c>
      <c r="Q512" s="29" t="s">
        <v>2022</v>
      </c>
      <c r="R512" s="31" t="s">
        <v>2023</v>
      </c>
      <c r="S512" s="29" t="s">
        <v>46</v>
      </c>
      <c r="T512" s="29" t="s">
        <v>635</v>
      </c>
      <c r="U512" s="29" t="s">
        <v>636</v>
      </c>
      <c r="V512" s="29" t="s">
        <v>45</v>
      </c>
      <c r="W512" s="29"/>
      <c r="X512" s="29"/>
      <c r="Y512" s="29"/>
      <c r="Z512" s="29" t="s">
        <v>658</v>
      </c>
      <c r="AA512" s="29" t="s">
        <v>2024</v>
      </c>
      <c r="AB512" s="29" t="s">
        <v>46</v>
      </c>
      <c r="AC512" s="29" t="s">
        <v>46</v>
      </c>
      <c r="AD512" s="29"/>
      <c r="AE512" s="29" t="s">
        <v>641</v>
      </c>
      <c r="AF512" s="29" t="s">
        <v>190</v>
      </c>
      <c r="AG512" s="29">
        <v>5</v>
      </c>
      <c r="AH512" s="29" t="s">
        <v>190</v>
      </c>
      <c r="AI512" s="29"/>
      <c r="AJ512" s="29" t="s">
        <v>2025</v>
      </c>
      <c r="AK512" s="29" t="s">
        <v>1598</v>
      </c>
    </row>
    <row r="513" spans="1:37" s="33" customFormat="1">
      <c r="A513" s="29" t="str">
        <f>VLOOKUP(H513,Languages!$A$2:$B$430,2,FALSE)</f>
        <v>Austronesian</v>
      </c>
      <c r="B513" s="29" t="s">
        <v>1726</v>
      </c>
      <c r="C513" s="29" t="s">
        <v>198</v>
      </c>
      <c r="D513" s="29" t="s">
        <v>1651</v>
      </c>
      <c r="E513" s="30" t="s">
        <v>1652</v>
      </c>
      <c r="F513" s="30" t="s">
        <v>1652</v>
      </c>
      <c r="G513" s="29" t="s">
        <v>1652</v>
      </c>
      <c r="H513" s="29" t="str">
        <f>VLOOKUP(G513,'languoid 4.0'!$A$1:$I$24439,2,FALSE)</f>
        <v>aust1307</v>
      </c>
      <c r="I513" s="29" t="str">
        <f>VLOOKUP(G513,'languoid 4.0'!$A$1:$I$24439,6,FALSE)</f>
        <v>language</v>
      </c>
      <c r="J513" s="30" t="s">
        <v>38</v>
      </c>
      <c r="K513" s="30" t="s">
        <v>38</v>
      </c>
      <c r="L513" s="30" t="s">
        <v>38</v>
      </c>
      <c r="M513" s="29"/>
      <c r="N513" s="29" t="s">
        <v>1653</v>
      </c>
      <c r="O513" s="30" t="s">
        <v>40</v>
      </c>
      <c r="P513" s="30" t="s">
        <v>41</v>
      </c>
      <c r="Q513" s="29" t="s">
        <v>2030</v>
      </c>
      <c r="R513" s="31" t="s">
        <v>2031</v>
      </c>
      <c r="S513" s="29" t="s">
        <v>46</v>
      </c>
      <c r="T513" s="29" t="s">
        <v>635</v>
      </c>
      <c r="U513" s="29" t="s">
        <v>636</v>
      </c>
      <c r="V513" s="29" t="s">
        <v>45</v>
      </c>
      <c r="W513" s="29"/>
      <c r="X513" s="29"/>
      <c r="Y513" s="29"/>
      <c r="Z513" s="29" t="s">
        <v>658</v>
      </c>
      <c r="AA513" s="29" t="s">
        <v>2032</v>
      </c>
      <c r="AB513" s="29" t="s">
        <v>46</v>
      </c>
      <c r="AC513" s="29" t="s">
        <v>46</v>
      </c>
      <c r="AD513" s="29"/>
      <c r="AE513" s="29" t="s">
        <v>641</v>
      </c>
      <c r="AF513" s="29" t="s">
        <v>190</v>
      </c>
      <c r="AG513" s="29">
        <v>5</v>
      </c>
      <c r="AH513" s="29" t="s">
        <v>190</v>
      </c>
      <c r="AI513" s="29"/>
      <c r="AJ513" s="29" t="s">
        <v>2033</v>
      </c>
      <c r="AK513" s="29" t="s">
        <v>1598</v>
      </c>
    </row>
    <row r="514" spans="1:37" s="33" customFormat="1">
      <c r="A514" s="29" t="str">
        <f>VLOOKUP(H514,Languages!$A$2:$B$430,2,FALSE)</f>
        <v>Austronesian</v>
      </c>
      <c r="B514" s="29" t="s">
        <v>1726</v>
      </c>
      <c r="C514" s="29" t="s">
        <v>198</v>
      </c>
      <c r="D514" s="29" t="s">
        <v>1665</v>
      </c>
      <c r="E514" s="30" t="s">
        <v>1666</v>
      </c>
      <c r="F514" s="30" t="s">
        <v>1667</v>
      </c>
      <c r="G514" s="29" t="s">
        <v>1666</v>
      </c>
      <c r="H514" s="29" t="str">
        <f>VLOOKUP(G514,'languoid 4.0'!$A$1:$I$24439,2,FALSE)</f>
        <v>aust1307</v>
      </c>
      <c r="I514" s="29" t="str">
        <f>VLOOKUP(G514,'languoid 4.0'!$A$1:$I$24439,6,FALSE)</f>
        <v>language</v>
      </c>
      <c r="J514" s="30" t="s">
        <v>52</v>
      </c>
      <c r="K514" s="30" t="s">
        <v>38</v>
      </c>
      <c r="L514" s="30" t="s">
        <v>38</v>
      </c>
      <c r="M514" s="29"/>
      <c r="N514" s="29" t="s">
        <v>1668</v>
      </c>
      <c r="O514" s="30" t="s">
        <v>40</v>
      </c>
      <c r="P514" s="30" t="s">
        <v>41</v>
      </c>
      <c r="Q514" s="29" t="s">
        <v>2871</v>
      </c>
      <c r="R514" s="31" t="s">
        <v>2872</v>
      </c>
      <c r="S514" s="29" t="s">
        <v>46</v>
      </c>
      <c r="T514" s="29" t="s">
        <v>2103</v>
      </c>
      <c r="U514" s="29" t="s">
        <v>636</v>
      </c>
      <c r="V514" s="29" t="s">
        <v>45</v>
      </c>
      <c r="W514" s="29"/>
      <c r="X514" s="29"/>
      <c r="Y514" s="29"/>
      <c r="Z514" s="29" t="s">
        <v>658</v>
      </c>
      <c r="AA514" s="29" t="s">
        <v>2873</v>
      </c>
      <c r="AB514" s="29" t="s">
        <v>46</v>
      </c>
      <c r="AC514" s="29" t="s">
        <v>46</v>
      </c>
      <c r="AD514" s="29"/>
      <c r="AE514" s="29"/>
      <c r="AF514" s="29"/>
      <c r="AG514" s="29"/>
      <c r="AH514" s="29" t="s">
        <v>45</v>
      </c>
      <c r="AI514" s="29"/>
      <c r="AJ514" s="32">
        <v>43438.463726851849</v>
      </c>
      <c r="AK514" s="29" t="s">
        <v>1598</v>
      </c>
    </row>
    <row r="515" spans="1:37" s="33" customFormat="1">
      <c r="A515" s="29" t="str">
        <f>VLOOKUP(H515,Languages!$A$2:$B$430,2,FALSE)</f>
        <v>Austronesian</v>
      </c>
      <c r="B515" s="29" t="s">
        <v>1726</v>
      </c>
      <c r="C515" s="29" t="s">
        <v>198</v>
      </c>
      <c r="D515" s="29" t="s">
        <v>1979</v>
      </c>
      <c r="E515" s="30" t="s">
        <v>1592</v>
      </c>
      <c r="F515" s="30" t="s">
        <v>1592</v>
      </c>
      <c r="G515" s="29" t="s">
        <v>1592</v>
      </c>
      <c r="H515" s="29" t="str">
        <f>VLOOKUP(G515,'languoid 4.0'!$A$1:$I$24439,2,FALSE)</f>
        <v>aust1307</v>
      </c>
      <c r="I515" s="29" t="str">
        <f>VLOOKUP(G515,'languoid 4.0'!$A$1:$I$24439,6,FALSE)</f>
        <v>language</v>
      </c>
      <c r="J515" s="30" t="s">
        <v>38</v>
      </c>
      <c r="K515" s="30" t="s">
        <v>38</v>
      </c>
      <c r="L515" s="30" t="s">
        <v>38</v>
      </c>
      <c r="M515" s="29"/>
      <c r="N515" s="29" t="s">
        <v>1593</v>
      </c>
      <c r="O515" s="30" t="s">
        <v>40</v>
      </c>
      <c r="P515" s="30" t="s">
        <v>41</v>
      </c>
      <c r="Q515" s="29" t="s">
        <v>2874</v>
      </c>
      <c r="R515" s="31" t="s">
        <v>2875</v>
      </c>
      <c r="S515" s="29" t="s">
        <v>46</v>
      </c>
      <c r="T515" s="29" t="s">
        <v>2103</v>
      </c>
      <c r="U515" s="29" t="s">
        <v>636</v>
      </c>
      <c r="V515" s="29" t="s">
        <v>45</v>
      </c>
      <c r="W515" s="29"/>
      <c r="X515" s="29"/>
      <c r="Y515" s="29"/>
      <c r="Z515" s="29" t="s">
        <v>673</v>
      </c>
      <c r="AA515" s="29" t="s">
        <v>46</v>
      </c>
      <c r="AB515" s="29" t="s">
        <v>2876</v>
      </c>
      <c r="AC515" s="29" t="s">
        <v>46</v>
      </c>
      <c r="AD515" s="29"/>
      <c r="AE515" s="29"/>
      <c r="AF515" s="29"/>
      <c r="AG515" s="29"/>
      <c r="AH515" s="29" t="s">
        <v>45</v>
      </c>
      <c r="AI515" s="29"/>
      <c r="AJ515" s="32">
        <v>43438.464826388888</v>
      </c>
      <c r="AK515" s="29" t="s">
        <v>1598</v>
      </c>
    </row>
    <row r="516" spans="1:37" s="33" customFormat="1">
      <c r="A516" s="29" t="str">
        <f>VLOOKUP(H516,Languages!$A$2:$B$430,2,FALSE)</f>
        <v>Austronesian</v>
      </c>
      <c r="B516" s="29" t="s">
        <v>1726</v>
      </c>
      <c r="C516" s="29" t="s">
        <v>198</v>
      </c>
      <c r="D516" s="29" t="s">
        <v>1979</v>
      </c>
      <c r="E516" s="30" t="s">
        <v>1592</v>
      </c>
      <c r="F516" s="30" t="s">
        <v>1592</v>
      </c>
      <c r="G516" s="29" t="s">
        <v>1592</v>
      </c>
      <c r="H516" s="29" t="str">
        <f>VLOOKUP(G516,'languoid 4.0'!$A$1:$I$24439,2,FALSE)</f>
        <v>aust1307</v>
      </c>
      <c r="I516" s="29" t="str">
        <f>VLOOKUP(G516,'languoid 4.0'!$A$1:$I$24439,6,FALSE)</f>
        <v>language</v>
      </c>
      <c r="J516" s="30" t="s">
        <v>38</v>
      </c>
      <c r="K516" s="30" t="s">
        <v>38</v>
      </c>
      <c r="L516" s="30" t="s">
        <v>38</v>
      </c>
      <c r="M516" s="29"/>
      <c r="N516" s="29" t="s">
        <v>1593</v>
      </c>
      <c r="O516" s="30" t="s">
        <v>40</v>
      </c>
      <c r="P516" s="30" t="s">
        <v>41</v>
      </c>
      <c r="Q516" s="29" t="s">
        <v>2874</v>
      </c>
      <c r="R516" s="31" t="s">
        <v>2877</v>
      </c>
      <c r="S516" s="29" t="s">
        <v>46</v>
      </c>
      <c r="T516" s="29" t="s">
        <v>2103</v>
      </c>
      <c r="U516" s="29" t="s">
        <v>636</v>
      </c>
      <c r="V516" s="29" t="s">
        <v>45</v>
      </c>
      <c r="W516" s="29"/>
      <c r="X516" s="29"/>
      <c r="Y516" s="29"/>
      <c r="Z516" s="29" t="s">
        <v>673</v>
      </c>
      <c r="AA516" s="29" t="s">
        <v>46</v>
      </c>
      <c r="AB516" s="29" t="s">
        <v>2878</v>
      </c>
      <c r="AC516" s="29" t="s">
        <v>46</v>
      </c>
      <c r="AD516" s="29"/>
      <c r="AE516" s="29"/>
      <c r="AF516" s="29"/>
      <c r="AG516" s="29"/>
      <c r="AH516" s="29" t="s">
        <v>45</v>
      </c>
      <c r="AI516" s="29"/>
      <c r="AJ516" s="32">
        <v>43438.466215277775</v>
      </c>
      <c r="AK516" s="29" t="s">
        <v>1598</v>
      </c>
    </row>
    <row r="517" spans="1:37" s="33" customFormat="1">
      <c r="A517" s="29" t="str">
        <f>VLOOKUP(H517,Languages!$A$2:$B$430,2,FALSE)</f>
        <v>Austronesian</v>
      </c>
      <c r="B517" s="29" t="s">
        <v>1726</v>
      </c>
      <c r="C517" s="29" t="s">
        <v>198</v>
      </c>
      <c r="D517" s="29" t="s">
        <v>1979</v>
      </c>
      <c r="E517" s="30" t="s">
        <v>1592</v>
      </c>
      <c r="F517" s="30" t="s">
        <v>1592</v>
      </c>
      <c r="G517" s="29" t="s">
        <v>1592</v>
      </c>
      <c r="H517" s="29" t="str">
        <f>VLOOKUP(G517,'languoid 4.0'!$A$1:$I$24439,2,FALSE)</f>
        <v>aust1307</v>
      </c>
      <c r="I517" s="29" t="str">
        <f>VLOOKUP(G517,'languoid 4.0'!$A$1:$I$24439,6,FALSE)</f>
        <v>language</v>
      </c>
      <c r="J517" s="30" t="s">
        <v>38</v>
      </c>
      <c r="K517" s="30" t="s">
        <v>38</v>
      </c>
      <c r="L517" s="30" t="s">
        <v>38</v>
      </c>
      <c r="M517" s="29"/>
      <c r="N517" s="29" t="s">
        <v>1593</v>
      </c>
      <c r="O517" s="30" t="s">
        <v>40</v>
      </c>
      <c r="P517" s="30" t="s">
        <v>41</v>
      </c>
      <c r="Q517" s="29" t="s">
        <v>2874</v>
      </c>
      <c r="R517" s="31" t="s">
        <v>2879</v>
      </c>
      <c r="S517" s="29" t="s">
        <v>46</v>
      </c>
      <c r="T517" s="29" t="s">
        <v>2103</v>
      </c>
      <c r="U517" s="29" t="s">
        <v>636</v>
      </c>
      <c r="V517" s="29" t="s">
        <v>45</v>
      </c>
      <c r="W517" s="29"/>
      <c r="X517" s="29"/>
      <c r="Y517" s="29"/>
      <c r="Z517" s="29" t="s">
        <v>673</v>
      </c>
      <c r="AA517" s="29" t="s">
        <v>46</v>
      </c>
      <c r="AB517" s="29" t="s">
        <v>2880</v>
      </c>
      <c r="AC517" s="29" t="s">
        <v>46</v>
      </c>
      <c r="AD517" s="29"/>
      <c r="AE517" s="29"/>
      <c r="AF517" s="29"/>
      <c r="AG517" s="29"/>
      <c r="AH517" s="29" t="s">
        <v>45</v>
      </c>
      <c r="AI517" s="29"/>
      <c r="AJ517" s="32">
        <v>43438.467442129629</v>
      </c>
      <c r="AK517" s="29" t="s">
        <v>1598</v>
      </c>
    </row>
    <row r="518" spans="1:37" s="33" customFormat="1">
      <c r="A518" s="29" t="str">
        <f>VLOOKUP(H518,Languages!$A$2:$B$430,2,FALSE)</f>
        <v>Austronesian</v>
      </c>
      <c r="B518" s="29" t="s">
        <v>1726</v>
      </c>
      <c r="C518" s="29" t="s">
        <v>198</v>
      </c>
      <c r="D518" s="29" t="s">
        <v>1979</v>
      </c>
      <c r="E518" s="30" t="s">
        <v>1592</v>
      </c>
      <c r="F518" s="30" t="s">
        <v>1592</v>
      </c>
      <c r="G518" s="29" t="s">
        <v>1592</v>
      </c>
      <c r="H518" s="29" t="str">
        <f>VLOOKUP(G518,'languoid 4.0'!$A$1:$I$24439,2,FALSE)</f>
        <v>aust1307</v>
      </c>
      <c r="I518" s="29" t="str">
        <f>VLOOKUP(G518,'languoid 4.0'!$A$1:$I$24439,6,FALSE)</f>
        <v>language</v>
      </c>
      <c r="J518" s="30" t="s">
        <v>38</v>
      </c>
      <c r="K518" s="30" t="s">
        <v>38</v>
      </c>
      <c r="L518" s="30" t="s">
        <v>38</v>
      </c>
      <c r="M518" s="29"/>
      <c r="N518" s="29" t="s">
        <v>1593</v>
      </c>
      <c r="O518" s="30" t="s">
        <v>40</v>
      </c>
      <c r="P518" s="30" t="s">
        <v>41</v>
      </c>
      <c r="Q518" s="29" t="s">
        <v>2874</v>
      </c>
      <c r="R518" s="31" t="s">
        <v>2881</v>
      </c>
      <c r="S518" s="29" t="s">
        <v>46</v>
      </c>
      <c r="T518" s="29" t="s">
        <v>2103</v>
      </c>
      <c r="U518" s="29" t="s">
        <v>636</v>
      </c>
      <c r="V518" s="29" t="s">
        <v>45</v>
      </c>
      <c r="W518" s="29"/>
      <c r="X518" s="29"/>
      <c r="Y518" s="29"/>
      <c r="Z518" s="29" t="s">
        <v>673</v>
      </c>
      <c r="AA518" s="29" t="s">
        <v>46</v>
      </c>
      <c r="AB518" s="29" t="s">
        <v>2882</v>
      </c>
      <c r="AC518" s="29" t="s">
        <v>46</v>
      </c>
      <c r="AD518" s="29"/>
      <c r="AE518" s="29"/>
      <c r="AF518" s="29"/>
      <c r="AG518" s="29"/>
      <c r="AH518" s="29" t="s">
        <v>45</v>
      </c>
      <c r="AI518" s="29"/>
      <c r="AJ518" s="32">
        <v>43438.468530092592</v>
      </c>
      <c r="AK518" s="29" t="s">
        <v>1598</v>
      </c>
    </row>
    <row r="519" spans="1:37" s="33" customFormat="1">
      <c r="A519" s="29" t="str">
        <f>VLOOKUP(H519,Languages!$A$2:$B$430,2,FALSE)</f>
        <v>Austronesian</v>
      </c>
      <c r="B519" s="29" t="s">
        <v>1726</v>
      </c>
      <c r="C519" s="29" t="s">
        <v>198</v>
      </c>
      <c r="D519" s="29" t="s">
        <v>1979</v>
      </c>
      <c r="E519" s="30" t="s">
        <v>1592</v>
      </c>
      <c r="F519" s="30" t="s">
        <v>1592</v>
      </c>
      <c r="G519" s="29" t="s">
        <v>1592</v>
      </c>
      <c r="H519" s="29" t="str">
        <f>VLOOKUP(G519,'languoid 4.0'!$A$1:$I$24439,2,FALSE)</f>
        <v>aust1307</v>
      </c>
      <c r="I519" s="29" t="str">
        <f>VLOOKUP(G519,'languoid 4.0'!$A$1:$I$24439,6,FALSE)</f>
        <v>language</v>
      </c>
      <c r="J519" s="30" t="s">
        <v>38</v>
      </c>
      <c r="K519" s="30" t="s">
        <v>38</v>
      </c>
      <c r="L519" s="30" t="s">
        <v>38</v>
      </c>
      <c r="M519" s="29"/>
      <c r="N519" s="29" t="s">
        <v>1593</v>
      </c>
      <c r="O519" s="30" t="s">
        <v>40</v>
      </c>
      <c r="P519" s="30" t="s">
        <v>41</v>
      </c>
      <c r="Q519" s="29" t="s">
        <v>2874</v>
      </c>
      <c r="R519" s="31" t="s">
        <v>2883</v>
      </c>
      <c r="S519" s="29" t="s">
        <v>46</v>
      </c>
      <c r="T519" s="29" t="s">
        <v>2103</v>
      </c>
      <c r="U519" s="29" t="s">
        <v>636</v>
      </c>
      <c r="V519" s="29" t="s">
        <v>45</v>
      </c>
      <c r="W519" s="29"/>
      <c r="X519" s="29"/>
      <c r="Y519" s="29"/>
      <c r="Z519" s="29" t="s">
        <v>673</v>
      </c>
      <c r="AA519" s="29" t="s">
        <v>46</v>
      </c>
      <c r="AB519" s="29" t="s">
        <v>2884</v>
      </c>
      <c r="AC519" s="29" t="s">
        <v>46</v>
      </c>
      <c r="AD519" s="29"/>
      <c r="AE519" s="29"/>
      <c r="AF519" s="29"/>
      <c r="AG519" s="29"/>
      <c r="AH519" s="29" t="s">
        <v>45</v>
      </c>
      <c r="AI519" s="29"/>
      <c r="AJ519" s="32">
        <v>43438.469502314816</v>
      </c>
      <c r="AK519" s="29" t="s">
        <v>1598</v>
      </c>
    </row>
    <row r="520" spans="1:37" s="33" customFormat="1">
      <c r="A520" s="29" t="str">
        <f>VLOOKUP(H520,Languages!$A$2:$B$430,2,FALSE)</f>
        <v>Austronesian</v>
      </c>
      <c r="B520" s="29" t="s">
        <v>1726</v>
      </c>
      <c r="C520" s="29" t="s">
        <v>117</v>
      </c>
      <c r="D520" s="29" t="s">
        <v>5371</v>
      </c>
      <c r="E520" s="30" t="s">
        <v>5372</v>
      </c>
      <c r="F520" s="30" t="s">
        <v>5373</v>
      </c>
      <c r="G520" s="29" t="s">
        <v>5372</v>
      </c>
      <c r="H520" s="29" t="str">
        <f>VLOOKUP(G520,'languoid 4.0'!$A$1:$I$24439,2,FALSE)</f>
        <v>aust1307</v>
      </c>
      <c r="I520" s="29" t="str">
        <f>VLOOKUP(G520,'languoid 4.0'!$A$1:$I$24439,6,FALSE)</f>
        <v>language</v>
      </c>
      <c r="J520" s="30" t="s">
        <v>52</v>
      </c>
      <c r="K520" s="30" t="s">
        <v>38</v>
      </c>
      <c r="L520" s="30" t="s">
        <v>38</v>
      </c>
      <c r="M520" s="29"/>
      <c r="N520" s="29" t="s">
        <v>5374</v>
      </c>
      <c r="O520" s="30" t="s">
        <v>40</v>
      </c>
      <c r="P520" s="30" t="s">
        <v>41</v>
      </c>
      <c r="Q520" s="29" t="s">
        <v>5375</v>
      </c>
      <c r="R520" s="31" t="s">
        <v>4512</v>
      </c>
      <c r="S520" s="29" t="s">
        <v>46</v>
      </c>
      <c r="T520" s="29" t="s">
        <v>635</v>
      </c>
      <c r="U520" s="29" t="s">
        <v>636</v>
      </c>
      <c r="V520" s="29" t="s">
        <v>45</v>
      </c>
      <c r="W520" s="29"/>
      <c r="X520" s="29"/>
      <c r="Y520" s="29"/>
      <c r="Z520" s="29" t="s">
        <v>658</v>
      </c>
      <c r="AA520" s="29" t="s">
        <v>5376</v>
      </c>
      <c r="AB520" s="29" t="s">
        <v>46</v>
      </c>
      <c r="AC520" s="29" t="s">
        <v>46</v>
      </c>
      <c r="AD520" s="29" t="s">
        <v>5377</v>
      </c>
      <c r="AE520" s="29" t="s">
        <v>641</v>
      </c>
      <c r="AF520" s="29" t="s">
        <v>190</v>
      </c>
      <c r="AG520" s="29">
        <v>6</v>
      </c>
      <c r="AH520" s="29" t="s">
        <v>190</v>
      </c>
      <c r="AI520" s="29"/>
      <c r="AJ520" s="29" t="s">
        <v>5378</v>
      </c>
      <c r="AK520" s="29" t="s">
        <v>4268</v>
      </c>
    </row>
    <row r="521" spans="1:37" s="33" customFormat="1">
      <c r="A521" s="29" t="str">
        <f>VLOOKUP(H521,Languages!$A$2:$B$430,2,FALSE)</f>
        <v>Austronesian</v>
      </c>
      <c r="B521" s="29" t="s">
        <v>1726</v>
      </c>
      <c r="C521" s="29" t="s">
        <v>117</v>
      </c>
      <c r="D521" s="29" t="s">
        <v>5039</v>
      </c>
      <c r="E521" s="30" t="s">
        <v>51</v>
      </c>
      <c r="F521" s="30" t="s">
        <v>5040</v>
      </c>
      <c r="G521" s="29" t="s">
        <v>5040</v>
      </c>
      <c r="H521" s="29" t="str">
        <f>VLOOKUP(G521,'languoid 4.0'!$A$1:$I$24439,2,FALSE)</f>
        <v>aust1307</v>
      </c>
      <c r="I521" s="29" t="str">
        <f>VLOOKUP(G521,'languoid 4.0'!$A$1:$I$24439,6,FALSE)</f>
        <v>language</v>
      </c>
      <c r="J521" s="30" t="s">
        <v>52</v>
      </c>
      <c r="K521" s="30" t="s">
        <v>51</v>
      </c>
      <c r="L521" s="30" t="s">
        <v>51</v>
      </c>
      <c r="M521" s="29"/>
      <c r="N521" s="29" t="e">
        <v>#N/A</v>
      </c>
      <c r="O521" s="30" t="s">
        <v>690</v>
      </c>
      <c r="P521" s="30"/>
      <c r="Q521" s="29" t="s">
        <v>5490</v>
      </c>
      <c r="R521" s="31" t="s">
        <v>4512</v>
      </c>
      <c r="S521" s="29" t="s">
        <v>46</v>
      </c>
      <c r="T521" s="29" t="s">
        <v>635</v>
      </c>
      <c r="U521" s="29" t="s">
        <v>5491</v>
      </c>
      <c r="V521" s="29" t="s">
        <v>45</v>
      </c>
      <c r="W521" s="29"/>
      <c r="X521" s="29"/>
      <c r="Y521" s="29"/>
      <c r="Z521" s="29" t="s">
        <v>637</v>
      </c>
      <c r="AA521" s="29" t="s">
        <v>5492</v>
      </c>
      <c r="AB521" s="29" t="s">
        <v>5493</v>
      </c>
      <c r="AC521" s="29" t="s">
        <v>46</v>
      </c>
      <c r="AD521" s="29" t="s">
        <v>5494</v>
      </c>
      <c r="AE521" s="29" t="s">
        <v>641</v>
      </c>
      <c r="AF521" s="29" t="s">
        <v>190</v>
      </c>
      <c r="AG521" s="29">
        <v>6</v>
      </c>
      <c r="AH521" s="29" t="s">
        <v>190</v>
      </c>
      <c r="AI521" s="29"/>
      <c r="AJ521" s="29" t="s">
        <v>5495</v>
      </c>
      <c r="AK521" s="29" t="s">
        <v>4268</v>
      </c>
    </row>
    <row r="522" spans="1:37" s="33" customFormat="1">
      <c r="A522" s="29" t="str">
        <f>VLOOKUP(H522,Languages!$A$2:$B$430,2,FALSE)</f>
        <v>Austronesian</v>
      </c>
      <c r="B522" s="29" t="s">
        <v>1726</v>
      </c>
      <c r="C522" s="29" t="s">
        <v>117</v>
      </c>
      <c r="D522" s="29" t="s">
        <v>5624</v>
      </c>
      <c r="E522" s="30" t="s">
        <v>5625</v>
      </c>
      <c r="F522" s="30" t="s">
        <v>119</v>
      </c>
      <c r="G522" s="29" t="s">
        <v>5625</v>
      </c>
      <c r="H522" s="29" t="str">
        <f>VLOOKUP(G522,'languoid 4.0'!$A$1:$I$24439,2,FALSE)</f>
        <v>aust1307</v>
      </c>
      <c r="I522" s="29" t="str">
        <f>VLOOKUP(G522,'languoid 4.0'!$A$1:$I$24439,6,FALSE)</f>
        <v>language</v>
      </c>
      <c r="J522" s="30" t="s">
        <v>52</v>
      </c>
      <c r="K522" s="30" t="s">
        <v>38</v>
      </c>
      <c r="L522" s="30" t="s">
        <v>38</v>
      </c>
      <c r="M522" s="29"/>
      <c r="N522" s="29" t="s">
        <v>5626</v>
      </c>
      <c r="O522" s="30" t="s">
        <v>40</v>
      </c>
      <c r="P522" s="30" t="s">
        <v>41</v>
      </c>
      <c r="Q522" s="29" t="s">
        <v>5641</v>
      </c>
      <c r="R522" s="31" t="s">
        <v>4512</v>
      </c>
      <c r="S522" s="29" t="s">
        <v>46</v>
      </c>
      <c r="T522" s="29" t="s">
        <v>635</v>
      </c>
      <c r="U522" s="29" t="s">
        <v>636</v>
      </c>
      <c r="V522" s="29" t="s">
        <v>45</v>
      </c>
      <c r="W522" s="29"/>
      <c r="X522" s="29"/>
      <c r="Y522" s="29"/>
      <c r="Z522" s="29" t="s">
        <v>823</v>
      </c>
      <c r="AA522" s="29" t="s">
        <v>5642</v>
      </c>
      <c r="AB522" s="29" t="s">
        <v>5643</v>
      </c>
      <c r="AC522" s="29" t="s">
        <v>5644</v>
      </c>
      <c r="AD522" s="29" t="s">
        <v>5645</v>
      </c>
      <c r="AE522" s="29" t="s">
        <v>641</v>
      </c>
      <c r="AF522" s="29" t="s">
        <v>190</v>
      </c>
      <c r="AG522" s="29">
        <v>5</v>
      </c>
      <c r="AH522" s="29" t="s">
        <v>190</v>
      </c>
      <c r="AI522" s="29"/>
      <c r="AJ522" s="29" t="s">
        <v>5646</v>
      </c>
      <c r="AK522" s="29" t="s">
        <v>4268</v>
      </c>
    </row>
    <row r="523" spans="1:37" s="33" customFormat="1">
      <c r="A523" s="29" t="str">
        <f>VLOOKUP(H523,Languages!$A$2:$B$430,2,FALSE)</f>
        <v>Austronesian</v>
      </c>
      <c r="B523" s="29" t="s">
        <v>1726</v>
      </c>
      <c r="C523" s="29" t="s">
        <v>255</v>
      </c>
      <c r="D523" s="29" t="s">
        <v>3615</v>
      </c>
      <c r="E523" s="30" t="s">
        <v>3616</v>
      </c>
      <c r="F523" s="30" t="s">
        <v>2077</v>
      </c>
      <c r="G523" s="29" t="s">
        <v>3616</v>
      </c>
      <c r="H523" s="29" t="str">
        <f>VLOOKUP(G523,'languoid 4.0'!$A$1:$I$24439,2,FALSE)</f>
        <v>aust1307</v>
      </c>
      <c r="I523" s="29" t="str">
        <f>VLOOKUP(G523,'languoid 4.0'!$A$1:$I$24439,6,FALSE)</f>
        <v>language</v>
      </c>
      <c r="J523" s="30" t="s">
        <v>52</v>
      </c>
      <c r="K523" s="30" t="s">
        <v>38</v>
      </c>
      <c r="L523" s="30" t="s">
        <v>38</v>
      </c>
      <c r="M523" s="29"/>
      <c r="N523" s="29" t="s">
        <v>3617</v>
      </c>
      <c r="O523" s="30" t="s">
        <v>40</v>
      </c>
      <c r="P523" s="30" t="s">
        <v>41</v>
      </c>
      <c r="Q523" s="29" t="s">
        <v>3618</v>
      </c>
      <c r="R523" s="31" t="s">
        <v>3619</v>
      </c>
      <c r="S523" s="29" t="s">
        <v>46</v>
      </c>
      <c r="T523" s="29" t="s">
        <v>635</v>
      </c>
      <c r="U523" s="29" t="s">
        <v>1707</v>
      </c>
      <c r="V523" s="29" t="s">
        <v>45</v>
      </c>
      <c r="W523" s="29"/>
      <c r="X523" s="29"/>
      <c r="Y523" s="29"/>
      <c r="Z523" s="29" t="s">
        <v>658</v>
      </c>
      <c r="AA523" s="29" t="s">
        <v>3620</v>
      </c>
      <c r="AB523" s="29" t="s">
        <v>46</v>
      </c>
      <c r="AC523" s="29" t="s">
        <v>46</v>
      </c>
      <c r="AD523" s="29"/>
      <c r="AE523" s="29" t="s">
        <v>641</v>
      </c>
      <c r="AF523" s="29" t="s">
        <v>190</v>
      </c>
      <c r="AG523" s="29">
        <v>6</v>
      </c>
      <c r="AH523" s="29" t="s">
        <v>190</v>
      </c>
      <c r="AI523" s="29"/>
      <c r="AJ523" s="32">
        <v>43225.940243055556</v>
      </c>
      <c r="AK523" s="29" t="s">
        <v>1749</v>
      </c>
    </row>
    <row r="524" spans="1:37" s="33" customFormat="1">
      <c r="A524" s="29" t="str">
        <f>VLOOKUP(H524,Languages!$A$2:$B$430,2,FALSE)</f>
        <v>Austronesian</v>
      </c>
      <c r="B524" s="29" t="s">
        <v>652</v>
      </c>
      <c r="C524" s="29" t="s">
        <v>34</v>
      </c>
      <c r="D524" s="29" t="s">
        <v>11066</v>
      </c>
      <c r="E524" s="30" t="s">
        <v>11067</v>
      </c>
      <c r="F524" s="30" t="s">
        <v>11067</v>
      </c>
      <c r="G524" s="29" t="s">
        <v>11067</v>
      </c>
      <c r="H524" s="29" t="str">
        <f>VLOOKUP(G524,'languoid 4.0'!$A$1:$I$24439,2,FALSE)</f>
        <v>aust1307</v>
      </c>
      <c r="I524" s="29" t="str">
        <f>VLOOKUP(G524,'languoid 4.0'!$A$1:$I$24439,6,FALSE)</f>
        <v>language</v>
      </c>
      <c r="J524" s="30" t="s">
        <v>38</v>
      </c>
      <c r="K524" s="30" t="s">
        <v>38</v>
      </c>
      <c r="L524" s="30" t="s">
        <v>38</v>
      </c>
      <c r="M524" s="29"/>
      <c r="N524" s="29" t="s">
        <v>11068</v>
      </c>
      <c r="O524" s="30" t="s">
        <v>40</v>
      </c>
      <c r="P524" s="30" t="s">
        <v>632</v>
      </c>
      <c r="Q524" s="29" t="s">
        <v>11069</v>
      </c>
      <c r="R524" s="31" t="s">
        <v>11070</v>
      </c>
      <c r="S524" s="29" t="s">
        <v>46</v>
      </c>
      <c r="T524" s="29" t="s">
        <v>11071</v>
      </c>
      <c r="U524" s="29" t="s">
        <v>636</v>
      </c>
      <c r="V524" s="29" t="s">
        <v>45</v>
      </c>
      <c r="W524" s="29"/>
      <c r="X524" s="29"/>
      <c r="Y524" s="29"/>
      <c r="Z524" s="29" t="s">
        <v>673</v>
      </c>
      <c r="AA524" s="29" t="s">
        <v>11072</v>
      </c>
      <c r="AB524" s="29" t="s">
        <v>11073</v>
      </c>
      <c r="AC524" s="29" t="s">
        <v>46</v>
      </c>
      <c r="AD524" s="29"/>
      <c r="AE524" s="29"/>
      <c r="AF524" s="29"/>
      <c r="AG524" s="29"/>
      <c r="AH524" s="29" t="s">
        <v>45</v>
      </c>
      <c r="AI524" s="29"/>
      <c r="AJ524" s="29" t="s">
        <v>11074</v>
      </c>
      <c r="AK524" s="29" t="s">
        <v>9537</v>
      </c>
    </row>
    <row r="525" spans="1:37" s="33" customFormat="1">
      <c r="A525" s="29" t="str">
        <f>VLOOKUP(H525,Languages!$A$2:$B$430,2,FALSE)</f>
        <v>Austronesian</v>
      </c>
      <c r="B525" s="29" t="s">
        <v>652</v>
      </c>
      <c r="C525" s="29" t="s">
        <v>34</v>
      </c>
      <c r="D525" s="29" t="s">
        <v>11079</v>
      </c>
      <c r="E525" s="30" t="s">
        <v>51</v>
      </c>
      <c r="F525" s="30" t="s">
        <v>11080</v>
      </c>
      <c r="G525" s="29" t="s">
        <v>11080</v>
      </c>
      <c r="H525" s="29" t="str">
        <f>VLOOKUP(G525,'languoid 4.0'!$A$1:$I$24439,2,FALSE)</f>
        <v>aust1307</v>
      </c>
      <c r="I525" s="29" t="str">
        <f>VLOOKUP(G525,'languoid 4.0'!$A$1:$I$24439,6,FALSE)</f>
        <v>language</v>
      </c>
      <c r="J525" s="30" t="s">
        <v>52</v>
      </c>
      <c r="K525" s="30" t="s">
        <v>51</v>
      </c>
      <c r="L525" s="30" t="s">
        <v>51</v>
      </c>
      <c r="M525" s="29"/>
      <c r="N525" s="29" t="e">
        <v>#N/A</v>
      </c>
      <c r="O525" s="30" t="s">
        <v>690</v>
      </c>
      <c r="P525" s="30"/>
      <c r="Q525" s="29" t="s">
        <v>11081</v>
      </c>
      <c r="R525" s="31" t="s">
        <v>11082</v>
      </c>
      <c r="S525" s="29" t="s">
        <v>46</v>
      </c>
      <c r="T525" s="29" t="s">
        <v>11083</v>
      </c>
      <c r="U525" s="29" t="s">
        <v>636</v>
      </c>
      <c r="V525" s="29" t="s">
        <v>45</v>
      </c>
      <c r="W525" s="29"/>
      <c r="X525" s="29"/>
      <c r="Y525" s="29"/>
      <c r="Z525" s="29" t="s">
        <v>673</v>
      </c>
      <c r="AA525" s="29" t="s">
        <v>11084</v>
      </c>
      <c r="AB525" s="29" t="s">
        <v>11085</v>
      </c>
      <c r="AC525" s="29" t="s">
        <v>46</v>
      </c>
      <c r="AD525" s="29"/>
      <c r="AE525" s="29"/>
      <c r="AF525" s="29"/>
      <c r="AG525" s="29"/>
      <c r="AH525" s="29" t="s">
        <v>45</v>
      </c>
      <c r="AI525" s="29"/>
      <c r="AJ525" s="29" t="s">
        <v>11086</v>
      </c>
      <c r="AK525" s="29" t="s">
        <v>9537</v>
      </c>
    </row>
    <row r="526" spans="1:37" s="33" customFormat="1">
      <c r="A526" s="29" t="str">
        <f>VLOOKUP(H526,Languages!$A$2:$B$430,2,FALSE)</f>
        <v>Austronesian</v>
      </c>
      <c r="B526" s="29" t="s">
        <v>652</v>
      </c>
      <c r="C526" s="29" t="s">
        <v>82</v>
      </c>
      <c r="D526" s="29" t="s">
        <v>4450</v>
      </c>
      <c r="E526" s="30" t="s">
        <v>4451</v>
      </c>
      <c r="F526" s="30" t="s">
        <v>51</v>
      </c>
      <c r="G526" s="29" t="s">
        <v>4451</v>
      </c>
      <c r="H526" s="29" t="str">
        <f>VLOOKUP(G526,'languoid 4.0'!$A$1:$I$24439,2,FALSE)</f>
        <v>aust1307</v>
      </c>
      <c r="I526" s="29" t="str">
        <f>VLOOKUP(G526,'languoid 4.0'!$A$1:$I$24439,6,FALSE)</f>
        <v>language</v>
      </c>
      <c r="J526" s="30" t="s">
        <v>52</v>
      </c>
      <c r="K526" s="30" t="s">
        <v>51</v>
      </c>
      <c r="L526" s="30" t="s">
        <v>51</v>
      </c>
      <c r="M526" s="29"/>
      <c r="N526" s="29" t="s">
        <v>4452</v>
      </c>
      <c r="O526" s="30" t="s">
        <v>40</v>
      </c>
      <c r="P526" s="30" t="s">
        <v>41</v>
      </c>
      <c r="Q526" s="29" t="s">
        <v>5215</v>
      </c>
      <c r="R526" s="31" t="s">
        <v>5216</v>
      </c>
      <c r="S526" s="29" t="s">
        <v>46</v>
      </c>
      <c r="T526" s="29" t="s">
        <v>635</v>
      </c>
      <c r="U526" s="29" t="s">
        <v>636</v>
      </c>
      <c r="V526" s="29" t="s">
        <v>45</v>
      </c>
      <c r="W526" s="29"/>
      <c r="X526" s="29"/>
      <c r="Y526" s="29"/>
      <c r="Z526" s="29" t="s">
        <v>637</v>
      </c>
      <c r="AA526" s="29" t="s">
        <v>5217</v>
      </c>
      <c r="AB526" s="29" t="s">
        <v>5218</v>
      </c>
      <c r="AC526" s="29" t="s">
        <v>5219</v>
      </c>
      <c r="AD526" s="29"/>
      <c r="AE526" s="29"/>
      <c r="AF526" s="29"/>
      <c r="AG526" s="29"/>
      <c r="AH526" s="29" t="s">
        <v>45</v>
      </c>
      <c r="AI526" s="29" t="s">
        <v>5220</v>
      </c>
      <c r="AJ526" s="29" t="s">
        <v>5221</v>
      </c>
      <c r="AK526" s="29" t="s">
        <v>4274</v>
      </c>
    </row>
    <row r="527" spans="1:37" s="33" customFormat="1">
      <c r="A527" s="29" t="str">
        <f>VLOOKUP(H527,Languages!$A$2:$B$430,2,FALSE)</f>
        <v>Austronesian</v>
      </c>
      <c r="B527" s="29" t="s">
        <v>652</v>
      </c>
      <c r="C527" s="29" t="s">
        <v>75</v>
      </c>
      <c r="D527" s="29" t="s">
        <v>7267</v>
      </c>
      <c r="E527" s="30" t="s">
        <v>7268</v>
      </c>
      <c r="F527" s="30" t="s">
        <v>7268</v>
      </c>
      <c r="G527" s="29" t="s">
        <v>7268</v>
      </c>
      <c r="H527" s="29" t="str">
        <f>VLOOKUP(G527,'languoid 4.0'!$A$1:$I$24439,2,FALSE)</f>
        <v>aust1307</v>
      </c>
      <c r="I527" s="29" t="str">
        <f>VLOOKUP(G527,'languoid 4.0'!$A$1:$I$24439,6,FALSE)</f>
        <v>language</v>
      </c>
      <c r="J527" s="30" t="s">
        <v>38</v>
      </c>
      <c r="K527" s="30" t="s">
        <v>38</v>
      </c>
      <c r="L527" s="30" t="s">
        <v>38</v>
      </c>
      <c r="M527" s="29"/>
      <c r="N527" s="29" t="s">
        <v>7269</v>
      </c>
      <c r="O527" s="30" t="s">
        <v>40</v>
      </c>
      <c r="P527" s="30" t="s">
        <v>41</v>
      </c>
      <c r="Q527" s="29" t="s">
        <v>7274</v>
      </c>
      <c r="R527" s="31" t="s">
        <v>7275</v>
      </c>
      <c r="S527" s="29" t="s">
        <v>46</v>
      </c>
      <c r="T527" s="29" t="s">
        <v>635</v>
      </c>
      <c r="U527" s="29" t="s">
        <v>636</v>
      </c>
      <c r="V527" s="29" t="s">
        <v>45</v>
      </c>
      <c r="W527" s="29"/>
      <c r="X527" s="29"/>
      <c r="Y527" s="29"/>
      <c r="Z527" s="29" t="s">
        <v>658</v>
      </c>
      <c r="AA527" s="29" t="s">
        <v>7276</v>
      </c>
      <c r="AB527" s="29" t="s">
        <v>46</v>
      </c>
      <c r="AC527" s="29" t="s">
        <v>46</v>
      </c>
      <c r="AD527" s="29" t="s">
        <v>7277</v>
      </c>
      <c r="AE527" s="29" t="s">
        <v>641</v>
      </c>
      <c r="AF527" s="29" t="s">
        <v>190</v>
      </c>
      <c r="AG527" s="29">
        <v>6</v>
      </c>
      <c r="AH527" s="29" t="s">
        <v>190</v>
      </c>
      <c r="AI527" s="29"/>
      <c r="AJ527" s="32">
        <v>43351.618541666663</v>
      </c>
      <c r="AK527" s="29" t="s">
        <v>5640</v>
      </c>
    </row>
    <row r="528" spans="1:37" s="33" customFormat="1">
      <c r="A528" s="29" t="str">
        <f>VLOOKUP(H528,Languages!$A$2:$B$430,2,FALSE)</f>
        <v>Austronesian</v>
      </c>
      <c r="B528" s="29" t="s">
        <v>652</v>
      </c>
      <c r="C528" s="29" t="s">
        <v>75</v>
      </c>
      <c r="D528" s="29" t="s">
        <v>7984</v>
      </c>
      <c r="E528" s="30" t="s">
        <v>7985</v>
      </c>
      <c r="F528" s="30" t="s">
        <v>7985</v>
      </c>
      <c r="G528" s="29" t="s">
        <v>7985</v>
      </c>
      <c r="H528" s="29" t="str">
        <f>VLOOKUP(G528,'languoid 4.0'!$A$1:$I$24439,2,FALSE)</f>
        <v>aust1307</v>
      </c>
      <c r="I528" s="29" t="str">
        <f>VLOOKUP(G528,'languoid 4.0'!$A$1:$I$24439,6,FALSE)</f>
        <v>dialect</v>
      </c>
      <c r="J528" s="30" t="s">
        <v>38</v>
      </c>
      <c r="K528" s="30" t="s">
        <v>38</v>
      </c>
      <c r="L528" s="30" t="s">
        <v>38</v>
      </c>
      <c r="M528" s="29"/>
      <c r="N528" s="29"/>
      <c r="O528" s="30" t="s">
        <v>40</v>
      </c>
      <c r="P528" s="30" t="s">
        <v>41</v>
      </c>
      <c r="Q528" s="29" t="s">
        <v>7986</v>
      </c>
      <c r="R528" s="31" t="s">
        <v>7987</v>
      </c>
      <c r="S528" s="29" t="s">
        <v>46</v>
      </c>
      <c r="T528" s="29" t="s">
        <v>635</v>
      </c>
      <c r="U528" s="29" t="s">
        <v>636</v>
      </c>
      <c r="V528" s="29" t="s">
        <v>45</v>
      </c>
      <c r="W528" s="29"/>
      <c r="X528" s="29"/>
      <c r="Y528" s="29"/>
      <c r="Z528" s="29" t="s">
        <v>637</v>
      </c>
      <c r="AA528" s="29" t="s">
        <v>7988</v>
      </c>
      <c r="AB528" s="29" t="s">
        <v>46</v>
      </c>
      <c r="AC528" s="29" t="s">
        <v>46</v>
      </c>
      <c r="AD528" s="29" t="s">
        <v>7989</v>
      </c>
      <c r="AE528" s="29" t="s">
        <v>641</v>
      </c>
      <c r="AF528" s="29" t="s">
        <v>190</v>
      </c>
      <c r="AG528" s="29">
        <v>6</v>
      </c>
      <c r="AH528" s="29" t="s">
        <v>190</v>
      </c>
      <c r="AI528" s="29"/>
      <c r="AJ528" s="29" t="s">
        <v>7990</v>
      </c>
      <c r="AK528" s="29" t="s">
        <v>5640</v>
      </c>
    </row>
    <row r="529" spans="1:37" s="33" customFormat="1">
      <c r="A529" s="29" t="str">
        <f>VLOOKUP(H529,Languages!$A$2:$B$430,2,FALSE)</f>
        <v>Austronesian</v>
      </c>
      <c r="B529" s="29" t="s">
        <v>652</v>
      </c>
      <c r="C529" s="29" t="s">
        <v>75</v>
      </c>
      <c r="D529" s="29" t="s">
        <v>8731</v>
      </c>
      <c r="E529" s="30" t="s">
        <v>8732</v>
      </c>
      <c r="F529" s="30" t="s">
        <v>8733</v>
      </c>
      <c r="G529" s="29" t="s">
        <v>8733</v>
      </c>
      <c r="H529" s="29" t="str">
        <f>VLOOKUP(G529,'languoid 4.0'!$A$1:$I$24439,2,FALSE)</f>
        <v>aust1307</v>
      </c>
      <c r="I529" s="29" t="str">
        <f>VLOOKUP(G529,'languoid 4.0'!$A$1:$I$24439,6,FALSE)</f>
        <v>family</v>
      </c>
      <c r="J529" s="30" t="s">
        <v>52</v>
      </c>
      <c r="K529" s="30" t="s">
        <v>38</v>
      </c>
      <c r="L529" s="30" t="s">
        <v>38</v>
      </c>
      <c r="M529" s="29"/>
      <c r="N529" s="29" t="s">
        <v>8734</v>
      </c>
      <c r="O529" s="30" t="s">
        <v>40</v>
      </c>
      <c r="P529" s="30" t="s">
        <v>41</v>
      </c>
      <c r="Q529" s="29" t="s">
        <v>8735</v>
      </c>
      <c r="R529" s="31" t="s">
        <v>8736</v>
      </c>
      <c r="S529" s="29" t="s">
        <v>46</v>
      </c>
      <c r="T529" s="29" t="s">
        <v>635</v>
      </c>
      <c r="U529" s="29" t="s">
        <v>636</v>
      </c>
      <c r="V529" s="29" t="s">
        <v>45</v>
      </c>
      <c r="W529" s="29"/>
      <c r="X529" s="29"/>
      <c r="Y529" s="29"/>
      <c r="Z529" s="29" t="s">
        <v>658</v>
      </c>
      <c r="AA529" s="29" t="s">
        <v>8737</v>
      </c>
      <c r="AB529" s="29" t="s">
        <v>46</v>
      </c>
      <c r="AC529" s="29" t="s">
        <v>46</v>
      </c>
      <c r="AD529" s="29" t="s">
        <v>8738</v>
      </c>
      <c r="AE529" s="29" t="s">
        <v>641</v>
      </c>
      <c r="AF529" s="29" t="s">
        <v>190</v>
      </c>
      <c r="AG529" s="29">
        <v>6</v>
      </c>
      <c r="AH529" s="29" t="s">
        <v>190</v>
      </c>
      <c r="AI529" s="29"/>
      <c r="AJ529" s="32">
        <v>43321.864652777775</v>
      </c>
      <c r="AK529" s="29" t="s">
        <v>5640</v>
      </c>
    </row>
    <row r="530" spans="1:37" s="33" customFormat="1">
      <c r="A530" s="29" t="str">
        <f>VLOOKUP(H530,Languages!$A$2:$B$430,2,FALSE)</f>
        <v>Austronesian</v>
      </c>
      <c r="B530" s="29" t="s">
        <v>652</v>
      </c>
      <c r="C530" s="29" t="s">
        <v>75</v>
      </c>
      <c r="D530" s="29" t="s">
        <v>8731</v>
      </c>
      <c r="E530" s="30" t="s">
        <v>8732</v>
      </c>
      <c r="F530" s="30" t="s">
        <v>8733</v>
      </c>
      <c r="G530" s="29" t="s">
        <v>8733</v>
      </c>
      <c r="H530" s="29" t="str">
        <f>VLOOKUP(G530,'languoid 4.0'!$A$1:$I$24439,2,FALSE)</f>
        <v>aust1307</v>
      </c>
      <c r="I530" s="29" t="str">
        <f>VLOOKUP(G530,'languoid 4.0'!$A$1:$I$24439,6,FALSE)</f>
        <v>family</v>
      </c>
      <c r="J530" s="30" t="s">
        <v>52</v>
      </c>
      <c r="K530" s="30" t="s">
        <v>38</v>
      </c>
      <c r="L530" s="30" t="s">
        <v>38</v>
      </c>
      <c r="M530" s="29"/>
      <c r="N530" s="29" t="s">
        <v>8734</v>
      </c>
      <c r="O530" s="30" t="s">
        <v>40</v>
      </c>
      <c r="P530" s="30" t="s">
        <v>41</v>
      </c>
      <c r="Q530" s="29" t="s">
        <v>8739</v>
      </c>
      <c r="R530" s="31" t="s">
        <v>8740</v>
      </c>
      <c r="S530" s="29" t="s">
        <v>46</v>
      </c>
      <c r="T530" s="29" t="s">
        <v>8741</v>
      </c>
      <c r="U530" s="29" t="s">
        <v>636</v>
      </c>
      <c r="V530" s="29" t="s">
        <v>45</v>
      </c>
      <c r="W530" s="29"/>
      <c r="X530" s="29"/>
      <c r="Y530" s="29"/>
      <c r="Z530" s="29" t="s">
        <v>658</v>
      </c>
      <c r="AA530" s="29" t="s">
        <v>8742</v>
      </c>
      <c r="AB530" s="29" t="s">
        <v>46</v>
      </c>
      <c r="AC530" s="29" t="s">
        <v>46</v>
      </c>
      <c r="AD530" s="29" t="s">
        <v>8743</v>
      </c>
      <c r="AE530" s="29" t="s">
        <v>641</v>
      </c>
      <c r="AF530" s="29" t="s">
        <v>190</v>
      </c>
      <c r="AG530" s="29">
        <v>6</v>
      </c>
      <c r="AH530" s="29" t="s">
        <v>190</v>
      </c>
      <c r="AI530" s="29"/>
      <c r="AJ530" s="32">
        <v>43321.869583333333</v>
      </c>
      <c r="AK530" s="29" t="s">
        <v>5640</v>
      </c>
    </row>
    <row r="531" spans="1:37" s="33" customFormat="1">
      <c r="A531" s="29" t="str">
        <f>VLOOKUP(H531,Languages!$A$2:$B$430,2,FALSE)</f>
        <v>Austronesian</v>
      </c>
      <c r="B531" s="29" t="s">
        <v>652</v>
      </c>
      <c r="C531" s="29" t="s">
        <v>66</v>
      </c>
      <c r="D531" s="29" t="s">
        <v>9566</v>
      </c>
      <c r="E531" s="30" t="s">
        <v>9567</v>
      </c>
      <c r="F531" s="30" t="s">
        <v>9567</v>
      </c>
      <c r="G531" s="29" t="s">
        <v>9567</v>
      </c>
      <c r="H531" s="29" t="str">
        <f>VLOOKUP(G531,'languoid 4.0'!$A$1:$I$24439,2,FALSE)</f>
        <v>aust1307</v>
      </c>
      <c r="I531" s="29" t="str">
        <f>VLOOKUP(G531,'languoid 4.0'!$A$1:$I$24439,6,FALSE)</f>
        <v>language</v>
      </c>
      <c r="J531" s="30" t="s">
        <v>38</v>
      </c>
      <c r="K531" s="30" t="s">
        <v>38</v>
      </c>
      <c r="L531" s="30" t="s">
        <v>38</v>
      </c>
      <c r="M531" s="29"/>
      <c r="N531" s="29" t="s">
        <v>9568</v>
      </c>
      <c r="O531" s="30" t="s">
        <v>40</v>
      </c>
      <c r="P531" s="30" t="s">
        <v>41</v>
      </c>
      <c r="Q531" s="29" t="s">
        <v>10874</v>
      </c>
      <c r="R531" s="31" t="s">
        <v>10875</v>
      </c>
      <c r="S531" s="29" t="s">
        <v>10849</v>
      </c>
      <c r="T531" s="29" t="s">
        <v>822</v>
      </c>
      <c r="U531" s="29" t="s">
        <v>636</v>
      </c>
      <c r="V531" s="29" t="s">
        <v>45</v>
      </c>
      <c r="W531" s="29"/>
      <c r="X531" s="29"/>
      <c r="Y531" s="29"/>
      <c r="Z531" s="29" t="s">
        <v>637</v>
      </c>
      <c r="AA531" s="29" t="s">
        <v>10876</v>
      </c>
      <c r="AB531" s="29" t="s">
        <v>10877</v>
      </c>
      <c r="AC531" s="29" t="s">
        <v>46</v>
      </c>
      <c r="AD531" s="29"/>
      <c r="AE531" s="29" t="s">
        <v>641</v>
      </c>
      <c r="AF531" s="29" t="s">
        <v>190</v>
      </c>
      <c r="AG531" s="29">
        <v>6</v>
      </c>
      <c r="AH531" s="29" t="s">
        <v>190</v>
      </c>
      <c r="AI531" s="29"/>
      <c r="AJ531" s="32">
        <v>43355.934120370373</v>
      </c>
      <c r="AK531" s="29" t="s">
        <v>10783</v>
      </c>
    </row>
    <row r="532" spans="1:37" s="33" customFormat="1">
      <c r="A532" s="29" t="str">
        <f>VLOOKUP(H532,Languages!$A$2:$B$430,2,FALSE)</f>
        <v>Austronesian</v>
      </c>
      <c r="B532" s="29" t="s">
        <v>652</v>
      </c>
      <c r="C532" s="29" t="s">
        <v>198</v>
      </c>
      <c r="D532" s="29" t="s">
        <v>1651</v>
      </c>
      <c r="E532" s="30" t="s">
        <v>1652</v>
      </c>
      <c r="F532" s="30" t="s">
        <v>1652</v>
      </c>
      <c r="G532" s="29" t="s">
        <v>1652</v>
      </c>
      <c r="H532" s="29" t="str">
        <f>VLOOKUP(G532,'languoid 4.0'!$A$1:$I$24439,2,FALSE)</f>
        <v>aust1307</v>
      </c>
      <c r="I532" s="29" t="str">
        <f>VLOOKUP(G532,'languoid 4.0'!$A$1:$I$24439,6,FALSE)</f>
        <v>language</v>
      </c>
      <c r="J532" s="30" t="s">
        <v>38</v>
      </c>
      <c r="K532" s="30" t="s">
        <v>38</v>
      </c>
      <c r="L532" s="30" t="s">
        <v>38</v>
      </c>
      <c r="M532" s="29"/>
      <c r="N532" s="29" t="s">
        <v>1653</v>
      </c>
      <c r="O532" s="30" t="s">
        <v>40</v>
      </c>
      <c r="P532" s="30" t="s">
        <v>41</v>
      </c>
      <c r="Q532" s="29" t="s">
        <v>1694</v>
      </c>
      <c r="R532" s="31" t="s">
        <v>1695</v>
      </c>
      <c r="S532" s="29" t="s">
        <v>46</v>
      </c>
      <c r="T532" s="29" t="s">
        <v>822</v>
      </c>
      <c r="U532" s="29" t="s">
        <v>636</v>
      </c>
      <c r="V532" s="29" t="s">
        <v>45</v>
      </c>
      <c r="W532" s="29"/>
      <c r="X532" s="29"/>
      <c r="Y532" s="29"/>
      <c r="Z532" s="29" t="s">
        <v>658</v>
      </c>
      <c r="AA532" s="29" t="s">
        <v>1696</v>
      </c>
      <c r="AB532" s="29" t="s">
        <v>46</v>
      </c>
      <c r="AC532" s="29" t="s">
        <v>46</v>
      </c>
      <c r="AD532" s="29"/>
      <c r="AE532" s="29" t="s">
        <v>641</v>
      </c>
      <c r="AF532" s="29" t="s">
        <v>190</v>
      </c>
      <c r="AG532" s="29">
        <v>5</v>
      </c>
      <c r="AH532" s="29" t="s">
        <v>190</v>
      </c>
      <c r="AI532" s="29" t="s">
        <v>1697</v>
      </c>
      <c r="AJ532" s="32">
        <v>43346.487650462965</v>
      </c>
      <c r="AK532" s="29" t="s">
        <v>1598</v>
      </c>
    </row>
    <row r="533" spans="1:37" s="33" customFormat="1">
      <c r="A533" s="29" t="str">
        <f>VLOOKUP(H533,Languages!$A$2:$B$430,2,FALSE)</f>
        <v>Austronesian</v>
      </c>
      <c r="B533" s="29" t="s">
        <v>652</v>
      </c>
      <c r="C533" s="29" t="s">
        <v>198</v>
      </c>
      <c r="D533" s="29" t="s">
        <v>1651</v>
      </c>
      <c r="E533" s="30" t="s">
        <v>1652</v>
      </c>
      <c r="F533" s="30" t="s">
        <v>1652</v>
      </c>
      <c r="G533" s="29" t="s">
        <v>1652</v>
      </c>
      <c r="H533" s="29" t="str">
        <f>VLOOKUP(G533,'languoid 4.0'!$A$1:$I$24439,2,FALSE)</f>
        <v>aust1307</v>
      </c>
      <c r="I533" s="29" t="str">
        <f>VLOOKUP(G533,'languoid 4.0'!$A$1:$I$24439,6,FALSE)</f>
        <v>language</v>
      </c>
      <c r="J533" s="30" t="s">
        <v>38</v>
      </c>
      <c r="K533" s="30" t="s">
        <v>38</v>
      </c>
      <c r="L533" s="30" t="s">
        <v>38</v>
      </c>
      <c r="M533" s="29"/>
      <c r="N533" s="29" t="s">
        <v>1653</v>
      </c>
      <c r="O533" s="30" t="s">
        <v>40</v>
      </c>
      <c r="P533" s="30" t="s">
        <v>41</v>
      </c>
      <c r="Q533" s="29" t="s">
        <v>1704</v>
      </c>
      <c r="R533" s="31" t="s">
        <v>1705</v>
      </c>
      <c r="S533" s="29" t="s">
        <v>46</v>
      </c>
      <c r="T533" s="29" t="s">
        <v>635</v>
      </c>
      <c r="U533" s="29" t="s">
        <v>636</v>
      </c>
      <c r="V533" s="29" t="s">
        <v>45</v>
      </c>
      <c r="W533" s="29"/>
      <c r="X533" s="29"/>
      <c r="Y533" s="29"/>
      <c r="Z533" s="29" t="s">
        <v>658</v>
      </c>
      <c r="AA533" s="29" t="s">
        <v>1706</v>
      </c>
      <c r="AB533" s="29" t="s">
        <v>46</v>
      </c>
      <c r="AC533" s="29" t="s">
        <v>46</v>
      </c>
      <c r="AD533" s="29"/>
      <c r="AE533" s="29" t="s">
        <v>641</v>
      </c>
      <c r="AF533" s="29" t="s">
        <v>190</v>
      </c>
      <c r="AG533" s="29">
        <v>5</v>
      </c>
      <c r="AH533" s="29" t="s">
        <v>190</v>
      </c>
      <c r="AI533" s="29"/>
      <c r="AJ533" s="32">
        <v>43346.496724537035</v>
      </c>
      <c r="AK533" s="29" t="s">
        <v>1598</v>
      </c>
    </row>
    <row r="534" spans="1:37" s="33" customFormat="1">
      <c r="A534" s="29" t="str">
        <f>VLOOKUP(H534,Languages!$A$2:$B$430,2,FALSE)</f>
        <v>Austronesian</v>
      </c>
      <c r="B534" s="29" t="s">
        <v>652</v>
      </c>
      <c r="C534" s="29" t="s">
        <v>198</v>
      </c>
      <c r="D534" s="29" t="s">
        <v>226</v>
      </c>
      <c r="E534" s="30" t="s">
        <v>227</v>
      </c>
      <c r="F534" s="30" t="s">
        <v>227</v>
      </c>
      <c r="G534" s="29" t="s">
        <v>227</v>
      </c>
      <c r="H534" s="29" t="str">
        <f>VLOOKUP(G534,'languoid 4.0'!$A$1:$I$24439,2,FALSE)</f>
        <v>aust1307</v>
      </c>
      <c r="I534" s="29" t="str">
        <f>VLOOKUP(G534,'languoid 4.0'!$A$1:$I$24439,6,FALSE)</f>
        <v>language</v>
      </c>
      <c r="J534" s="30" t="s">
        <v>38</v>
      </c>
      <c r="K534" s="30" t="s">
        <v>38</v>
      </c>
      <c r="L534" s="30" t="s">
        <v>38</v>
      </c>
      <c r="M534" s="29"/>
      <c r="N534" s="29" t="s">
        <v>228</v>
      </c>
      <c r="O534" s="30" t="s">
        <v>40</v>
      </c>
      <c r="P534" s="30" t="s">
        <v>41</v>
      </c>
      <c r="Q534" s="29" t="s">
        <v>2101</v>
      </c>
      <c r="R534" s="31" t="s">
        <v>2102</v>
      </c>
      <c r="S534" s="29" t="s">
        <v>46</v>
      </c>
      <c r="T534" s="29" t="s">
        <v>2103</v>
      </c>
      <c r="U534" s="29" t="s">
        <v>636</v>
      </c>
      <c r="V534" s="29" t="s">
        <v>45</v>
      </c>
      <c r="W534" s="29"/>
      <c r="X534" s="29"/>
      <c r="Y534" s="29"/>
      <c r="Z534" s="29" t="s">
        <v>658</v>
      </c>
      <c r="AA534" s="29" t="s">
        <v>2104</v>
      </c>
      <c r="AB534" s="29" t="s">
        <v>46</v>
      </c>
      <c r="AC534" s="29" t="s">
        <v>46</v>
      </c>
      <c r="AD534" s="31" t="s">
        <v>2105</v>
      </c>
      <c r="AE534" s="29" t="s">
        <v>641</v>
      </c>
      <c r="AF534" s="29" t="s">
        <v>190</v>
      </c>
      <c r="AG534" s="29">
        <v>6</v>
      </c>
      <c r="AH534" s="29" t="s">
        <v>190</v>
      </c>
      <c r="AI534" s="29"/>
      <c r="AJ534" s="29" t="s">
        <v>2106</v>
      </c>
      <c r="AK534" s="29" t="s">
        <v>1598</v>
      </c>
    </row>
    <row r="535" spans="1:37" s="33" customFormat="1">
      <c r="A535" s="29" t="str">
        <f>VLOOKUP(H535,Languages!$A$2:$B$430,2,FALSE)</f>
        <v>Austronesian</v>
      </c>
      <c r="B535" s="29" t="s">
        <v>652</v>
      </c>
      <c r="C535" s="29" t="s">
        <v>198</v>
      </c>
      <c r="D535" s="29" t="s">
        <v>2345</v>
      </c>
      <c r="E535" s="30" t="s">
        <v>2346</v>
      </c>
      <c r="F535" s="30" t="s">
        <v>51</v>
      </c>
      <c r="G535" s="29" t="s">
        <v>2346</v>
      </c>
      <c r="H535" s="29" t="str">
        <f>VLOOKUP(G535,'languoid 4.0'!$A$1:$I$24439,2,FALSE)</f>
        <v>aust1307</v>
      </c>
      <c r="I535" s="29" t="str">
        <f>VLOOKUP(G535,'languoid 4.0'!$A$1:$I$24439,6,FALSE)</f>
        <v>language</v>
      </c>
      <c r="J535" s="30" t="s">
        <v>52</v>
      </c>
      <c r="K535" s="30" t="s">
        <v>51</v>
      </c>
      <c r="L535" s="30" t="s">
        <v>51</v>
      </c>
      <c r="M535" s="29"/>
      <c r="N535" s="29" t="s">
        <v>2347</v>
      </c>
      <c r="O535" s="30" t="s">
        <v>40</v>
      </c>
      <c r="P535" s="30" t="s">
        <v>41</v>
      </c>
      <c r="Q535" s="29" t="s">
        <v>2348</v>
      </c>
      <c r="R535" s="31" t="s">
        <v>2349</v>
      </c>
      <c r="S535" s="29" t="s">
        <v>46</v>
      </c>
      <c r="T535" s="29" t="s">
        <v>2103</v>
      </c>
      <c r="U535" s="29" t="s">
        <v>636</v>
      </c>
      <c r="V535" s="29" t="s">
        <v>45</v>
      </c>
      <c r="W535" s="29"/>
      <c r="X535" s="29"/>
      <c r="Y535" s="29"/>
      <c r="Z535" s="29" t="s">
        <v>658</v>
      </c>
      <c r="AA535" s="29" t="s">
        <v>2350</v>
      </c>
      <c r="AB535" s="29" t="s">
        <v>46</v>
      </c>
      <c r="AC535" s="29" t="s">
        <v>46</v>
      </c>
      <c r="AD535" s="31" t="s">
        <v>2351</v>
      </c>
      <c r="AE535" s="29" t="s">
        <v>641</v>
      </c>
      <c r="AF535" s="29" t="s">
        <v>190</v>
      </c>
      <c r="AG535" s="29">
        <v>6</v>
      </c>
      <c r="AH535" s="29" t="s">
        <v>190</v>
      </c>
      <c r="AI535" s="29"/>
      <c r="AJ535" s="29" t="s">
        <v>2352</v>
      </c>
      <c r="AK535" s="29" t="s">
        <v>1598</v>
      </c>
    </row>
    <row r="536" spans="1:37" s="33" customFormat="1">
      <c r="A536" s="29" t="str">
        <f>VLOOKUP(H536,Languages!$A$2:$B$430,2,FALSE)</f>
        <v>Austronesian</v>
      </c>
      <c r="B536" s="29" t="s">
        <v>652</v>
      </c>
      <c r="C536" s="29" t="s">
        <v>198</v>
      </c>
      <c r="D536" s="29" t="s">
        <v>1665</v>
      </c>
      <c r="E536" s="30" t="s">
        <v>1666</v>
      </c>
      <c r="F536" s="30" t="s">
        <v>1667</v>
      </c>
      <c r="G536" s="29" t="s">
        <v>1666</v>
      </c>
      <c r="H536" s="29" t="str">
        <f>VLOOKUP(G536,'languoid 4.0'!$A$1:$I$24439,2,FALSE)</f>
        <v>aust1307</v>
      </c>
      <c r="I536" s="29" t="str">
        <f>VLOOKUP(G536,'languoid 4.0'!$A$1:$I$24439,6,FALSE)</f>
        <v>language</v>
      </c>
      <c r="J536" s="30" t="s">
        <v>52</v>
      </c>
      <c r="K536" s="30" t="s">
        <v>38</v>
      </c>
      <c r="L536" s="30" t="s">
        <v>38</v>
      </c>
      <c r="M536" s="29"/>
      <c r="N536" s="29" t="s">
        <v>1668</v>
      </c>
      <c r="O536" s="30" t="s">
        <v>40</v>
      </c>
      <c r="P536" s="30" t="s">
        <v>41</v>
      </c>
      <c r="Q536" s="29" t="s">
        <v>2786</v>
      </c>
      <c r="R536" s="31" t="s">
        <v>2787</v>
      </c>
      <c r="S536" s="29" t="s">
        <v>46</v>
      </c>
      <c r="T536" s="29" t="s">
        <v>2103</v>
      </c>
      <c r="U536" s="29" t="s">
        <v>636</v>
      </c>
      <c r="V536" s="29" t="s">
        <v>45</v>
      </c>
      <c r="W536" s="29"/>
      <c r="X536" s="29"/>
      <c r="Y536" s="29"/>
      <c r="Z536" s="29" t="s">
        <v>637</v>
      </c>
      <c r="AA536" s="29" t="s">
        <v>2788</v>
      </c>
      <c r="AB536" s="29" t="s">
        <v>2789</v>
      </c>
      <c r="AC536" s="29" t="s">
        <v>46</v>
      </c>
      <c r="AD536" s="29"/>
      <c r="AE536" s="29"/>
      <c r="AF536" s="29"/>
      <c r="AG536" s="29"/>
      <c r="AH536" s="29" t="s">
        <v>45</v>
      </c>
      <c r="AI536" s="29"/>
      <c r="AJ536" s="32">
        <v>43408.308587962965</v>
      </c>
      <c r="AK536" s="29" t="s">
        <v>1598</v>
      </c>
    </row>
    <row r="537" spans="1:37" s="33" customFormat="1">
      <c r="A537" s="29" t="str">
        <f>VLOOKUP(H537,Languages!$A$2:$B$430,2,FALSE)</f>
        <v>Austronesian</v>
      </c>
      <c r="B537" s="29" t="s">
        <v>652</v>
      </c>
      <c r="C537" s="29" t="s">
        <v>198</v>
      </c>
      <c r="D537" s="29" t="s">
        <v>1665</v>
      </c>
      <c r="E537" s="30" t="s">
        <v>1666</v>
      </c>
      <c r="F537" s="30" t="s">
        <v>1667</v>
      </c>
      <c r="G537" s="29" t="s">
        <v>1666</v>
      </c>
      <c r="H537" s="29" t="str">
        <f>VLOOKUP(G537,'languoid 4.0'!$A$1:$I$24439,2,FALSE)</f>
        <v>aust1307</v>
      </c>
      <c r="I537" s="29" t="str">
        <f>VLOOKUP(G537,'languoid 4.0'!$A$1:$I$24439,6,FALSE)</f>
        <v>language</v>
      </c>
      <c r="J537" s="30" t="s">
        <v>52</v>
      </c>
      <c r="K537" s="30" t="s">
        <v>38</v>
      </c>
      <c r="L537" s="30" t="s">
        <v>38</v>
      </c>
      <c r="M537" s="29"/>
      <c r="N537" s="29" t="s">
        <v>1668</v>
      </c>
      <c r="O537" s="30" t="s">
        <v>40</v>
      </c>
      <c r="P537" s="30" t="s">
        <v>41</v>
      </c>
      <c r="Q537" s="29" t="s">
        <v>2786</v>
      </c>
      <c r="R537" s="31" t="s">
        <v>2790</v>
      </c>
      <c r="S537" s="29" t="s">
        <v>46</v>
      </c>
      <c r="T537" s="29" t="s">
        <v>2103</v>
      </c>
      <c r="U537" s="29" t="s">
        <v>636</v>
      </c>
      <c r="V537" s="29" t="s">
        <v>45</v>
      </c>
      <c r="W537" s="29"/>
      <c r="X537" s="29"/>
      <c r="Y537" s="29"/>
      <c r="Z537" s="29" t="s">
        <v>637</v>
      </c>
      <c r="AA537" s="29" t="s">
        <v>2791</v>
      </c>
      <c r="AB537" s="29" t="s">
        <v>2789</v>
      </c>
      <c r="AC537" s="29" t="s">
        <v>46</v>
      </c>
      <c r="AD537" s="29"/>
      <c r="AE537" s="29"/>
      <c r="AF537" s="29"/>
      <c r="AG537" s="29"/>
      <c r="AH537" s="29" t="s">
        <v>45</v>
      </c>
      <c r="AI537" s="29"/>
      <c r="AJ537" s="32">
        <v>43408.309525462966</v>
      </c>
      <c r="AK537" s="29" t="s">
        <v>1598</v>
      </c>
    </row>
    <row r="538" spans="1:37" s="33" customFormat="1">
      <c r="A538" s="29" t="str">
        <f>VLOOKUP(H538,Languages!$A$2:$B$430,2,FALSE)</f>
        <v>Austronesian</v>
      </c>
      <c r="B538" s="29" t="s">
        <v>652</v>
      </c>
      <c r="C538" s="29" t="s">
        <v>198</v>
      </c>
      <c r="D538" s="29" t="s">
        <v>1665</v>
      </c>
      <c r="E538" s="30" t="s">
        <v>1666</v>
      </c>
      <c r="F538" s="30" t="s">
        <v>1667</v>
      </c>
      <c r="G538" s="29" t="s">
        <v>1666</v>
      </c>
      <c r="H538" s="29" t="str">
        <f>VLOOKUP(G538,'languoid 4.0'!$A$1:$I$24439,2,FALSE)</f>
        <v>aust1307</v>
      </c>
      <c r="I538" s="29" t="str">
        <f>VLOOKUP(G538,'languoid 4.0'!$A$1:$I$24439,6,FALSE)</f>
        <v>language</v>
      </c>
      <c r="J538" s="30" t="s">
        <v>52</v>
      </c>
      <c r="K538" s="30" t="s">
        <v>38</v>
      </c>
      <c r="L538" s="30" t="s">
        <v>38</v>
      </c>
      <c r="M538" s="29"/>
      <c r="N538" s="29" t="s">
        <v>1668</v>
      </c>
      <c r="O538" s="30" t="s">
        <v>40</v>
      </c>
      <c r="P538" s="30" t="s">
        <v>41</v>
      </c>
      <c r="Q538" s="29" t="s">
        <v>2786</v>
      </c>
      <c r="R538" s="31" t="s">
        <v>2792</v>
      </c>
      <c r="S538" s="29" t="s">
        <v>46</v>
      </c>
      <c r="T538" s="29" t="s">
        <v>2103</v>
      </c>
      <c r="U538" s="29" t="s">
        <v>636</v>
      </c>
      <c r="V538" s="29" t="s">
        <v>45</v>
      </c>
      <c r="W538" s="29"/>
      <c r="X538" s="29"/>
      <c r="Y538" s="29"/>
      <c r="Z538" s="29" t="s">
        <v>637</v>
      </c>
      <c r="AA538" s="29" t="s">
        <v>2793</v>
      </c>
      <c r="AB538" s="29" t="s">
        <v>2789</v>
      </c>
      <c r="AC538" s="29" t="s">
        <v>46</v>
      </c>
      <c r="AD538" s="29"/>
      <c r="AE538" s="29"/>
      <c r="AF538" s="29"/>
      <c r="AG538" s="29"/>
      <c r="AH538" s="29" t="s">
        <v>45</v>
      </c>
      <c r="AI538" s="29"/>
      <c r="AJ538" s="32">
        <v>43408.310590277775</v>
      </c>
      <c r="AK538" s="29" t="s">
        <v>1598</v>
      </c>
    </row>
    <row r="539" spans="1:37" s="33" customFormat="1">
      <c r="A539" s="29" t="str">
        <f>VLOOKUP(H539,Languages!$A$2:$B$430,2,FALSE)</f>
        <v>Austronesian</v>
      </c>
      <c r="B539" s="29" t="s">
        <v>652</v>
      </c>
      <c r="C539" s="29" t="s">
        <v>198</v>
      </c>
      <c r="D539" s="29" t="s">
        <v>2794</v>
      </c>
      <c r="E539" s="30" t="s">
        <v>2795</v>
      </c>
      <c r="F539" s="30" t="s">
        <v>2796</v>
      </c>
      <c r="G539" s="29" t="s">
        <v>2795</v>
      </c>
      <c r="H539" s="29" t="str">
        <f>VLOOKUP(G539,'languoid 4.0'!$A$1:$I$24439,2,FALSE)</f>
        <v>aust1307</v>
      </c>
      <c r="I539" s="29" t="str">
        <f>VLOOKUP(G539,'languoid 4.0'!$A$1:$I$24439,6,FALSE)</f>
        <v>language</v>
      </c>
      <c r="J539" s="30" t="s">
        <v>52</v>
      </c>
      <c r="K539" s="30" t="s">
        <v>38</v>
      </c>
      <c r="L539" s="30" t="s">
        <v>38</v>
      </c>
      <c r="M539" s="29"/>
      <c r="N539" s="29" t="s">
        <v>2797</v>
      </c>
      <c r="O539" s="30" t="s">
        <v>40</v>
      </c>
      <c r="P539" s="30" t="s">
        <v>41</v>
      </c>
      <c r="Q539" s="29" t="s">
        <v>2798</v>
      </c>
      <c r="R539" s="31" t="s">
        <v>2799</v>
      </c>
      <c r="S539" s="29" t="s">
        <v>46</v>
      </c>
      <c r="T539" s="29" t="s">
        <v>2103</v>
      </c>
      <c r="U539" s="29" t="s">
        <v>636</v>
      </c>
      <c r="V539" s="29" t="s">
        <v>45</v>
      </c>
      <c r="W539" s="29"/>
      <c r="X539" s="29"/>
      <c r="Y539" s="29"/>
      <c r="Z539" s="29" t="s">
        <v>658</v>
      </c>
      <c r="AA539" s="29" t="s">
        <v>2800</v>
      </c>
      <c r="AB539" s="29" t="s">
        <v>46</v>
      </c>
      <c r="AC539" s="29" t="s">
        <v>46</v>
      </c>
      <c r="AD539" s="29"/>
      <c r="AE539" s="29"/>
      <c r="AF539" s="29"/>
      <c r="AG539" s="29"/>
      <c r="AH539" s="29" t="s">
        <v>45</v>
      </c>
      <c r="AI539" s="29"/>
      <c r="AJ539" s="32">
        <v>43408.312916666669</v>
      </c>
      <c r="AK539" s="29" t="s">
        <v>1598</v>
      </c>
    </row>
    <row r="540" spans="1:37" s="33" customFormat="1">
      <c r="A540" s="29" t="str">
        <f>VLOOKUP(H540,Languages!$A$2:$B$430,2,FALSE)</f>
        <v>Austronesian</v>
      </c>
      <c r="B540" s="29" t="s">
        <v>652</v>
      </c>
      <c r="C540" s="29" t="s">
        <v>198</v>
      </c>
      <c r="D540" s="29" t="s">
        <v>2794</v>
      </c>
      <c r="E540" s="30" t="s">
        <v>2795</v>
      </c>
      <c r="F540" s="30" t="s">
        <v>2796</v>
      </c>
      <c r="G540" s="29" t="s">
        <v>2795</v>
      </c>
      <c r="H540" s="29" t="str">
        <f>VLOOKUP(G540,'languoid 4.0'!$A$1:$I$24439,2,FALSE)</f>
        <v>aust1307</v>
      </c>
      <c r="I540" s="29" t="str">
        <f>VLOOKUP(G540,'languoid 4.0'!$A$1:$I$24439,6,FALSE)</f>
        <v>language</v>
      </c>
      <c r="J540" s="30" t="s">
        <v>52</v>
      </c>
      <c r="K540" s="30" t="s">
        <v>38</v>
      </c>
      <c r="L540" s="30" t="s">
        <v>38</v>
      </c>
      <c r="M540" s="29"/>
      <c r="N540" s="29" t="s">
        <v>2797</v>
      </c>
      <c r="O540" s="30" t="s">
        <v>40</v>
      </c>
      <c r="P540" s="30" t="s">
        <v>41</v>
      </c>
      <c r="Q540" s="29" t="s">
        <v>2801</v>
      </c>
      <c r="R540" s="31" t="s">
        <v>2802</v>
      </c>
      <c r="S540" s="29" t="s">
        <v>46</v>
      </c>
      <c r="T540" s="29" t="s">
        <v>2103</v>
      </c>
      <c r="U540" s="29" t="s">
        <v>636</v>
      </c>
      <c r="V540" s="29" t="s">
        <v>45</v>
      </c>
      <c r="W540" s="29"/>
      <c r="X540" s="29"/>
      <c r="Y540" s="29"/>
      <c r="Z540" s="29" t="s">
        <v>658</v>
      </c>
      <c r="AA540" s="29" t="s">
        <v>2803</v>
      </c>
      <c r="AB540" s="29" t="s">
        <v>46</v>
      </c>
      <c r="AC540" s="29" t="s">
        <v>46</v>
      </c>
      <c r="AD540" s="29"/>
      <c r="AE540" s="29"/>
      <c r="AF540" s="29"/>
      <c r="AG540" s="29"/>
      <c r="AH540" s="29" t="s">
        <v>45</v>
      </c>
      <c r="AI540" s="29"/>
      <c r="AJ540" s="32">
        <v>43408.314236111109</v>
      </c>
      <c r="AK540" s="29" t="s">
        <v>1598</v>
      </c>
    </row>
    <row r="541" spans="1:37" s="33" customFormat="1">
      <c r="A541" s="29" t="str">
        <f>VLOOKUP(H541,Languages!$A$2:$B$430,2,FALSE)</f>
        <v>Austronesian</v>
      </c>
      <c r="B541" s="29" t="s">
        <v>652</v>
      </c>
      <c r="C541" s="29" t="s">
        <v>198</v>
      </c>
      <c r="D541" s="29" t="s">
        <v>2794</v>
      </c>
      <c r="E541" s="30" t="s">
        <v>2795</v>
      </c>
      <c r="F541" s="30" t="s">
        <v>2796</v>
      </c>
      <c r="G541" s="29" t="s">
        <v>2795</v>
      </c>
      <c r="H541" s="29" t="str">
        <f>VLOOKUP(G541,'languoid 4.0'!$A$1:$I$24439,2,FALSE)</f>
        <v>aust1307</v>
      </c>
      <c r="I541" s="29" t="str">
        <f>VLOOKUP(G541,'languoid 4.0'!$A$1:$I$24439,6,FALSE)</f>
        <v>language</v>
      </c>
      <c r="J541" s="30" t="s">
        <v>52</v>
      </c>
      <c r="K541" s="30" t="s">
        <v>38</v>
      </c>
      <c r="L541" s="30" t="s">
        <v>38</v>
      </c>
      <c r="M541" s="29"/>
      <c r="N541" s="29" t="s">
        <v>2797</v>
      </c>
      <c r="O541" s="30" t="s">
        <v>40</v>
      </c>
      <c r="P541" s="30" t="s">
        <v>41</v>
      </c>
      <c r="Q541" s="29" t="s">
        <v>2801</v>
      </c>
      <c r="R541" s="31" t="s">
        <v>2804</v>
      </c>
      <c r="S541" s="29" t="s">
        <v>46</v>
      </c>
      <c r="T541" s="29" t="s">
        <v>2103</v>
      </c>
      <c r="U541" s="29" t="s">
        <v>636</v>
      </c>
      <c r="V541" s="29" t="s">
        <v>45</v>
      </c>
      <c r="W541" s="29"/>
      <c r="X541" s="29"/>
      <c r="Y541" s="29"/>
      <c r="Z541" s="29" t="s">
        <v>658</v>
      </c>
      <c r="AA541" s="29" t="s">
        <v>2805</v>
      </c>
      <c r="AB541" s="29" t="s">
        <v>46</v>
      </c>
      <c r="AC541" s="29" t="s">
        <v>46</v>
      </c>
      <c r="AD541" s="29"/>
      <c r="AE541" s="29"/>
      <c r="AF541" s="29"/>
      <c r="AG541" s="29"/>
      <c r="AH541" s="29" t="s">
        <v>45</v>
      </c>
      <c r="AI541" s="29"/>
      <c r="AJ541" s="32">
        <v>43408.318599537037</v>
      </c>
      <c r="AK541" s="29" t="s">
        <v>1598</v>
      </c>
    </row>
    <row r="542" spans="1:37" s="33" customFormat="1">
      <c r="A542" s="29" t="str">
        <f>VLOOKUP(H542,Languages!$A$2:$B$430,2,FALSE)</f>
        <v>Austronesian</v>
      </c>
      <c r="B542" s="29" t="s">
        <v>652</v>
      </c>
      <c r="C542" s="29" t="s">
        <v>117</v>
      </c>
      <c r="D542" s="29" t="s">
        <v>5408</v>
      </c>
      <c r="E542" s="30" t="s">
        <v>5409</v>
      </c>
      <c r="F542" s="30" t="s">
        <v>5409</v>
      </c>
      <c r="G542" s="29" t="s">
        <v>5409</v>
      </c>
      <c r="H542" s="29" t="str">
        <f>VLOOKUP(G542,'languoid 4.0'!$A$1:$I$24439,2,FALSE)</f>
        <v>aust1307</v>
      </c>
      <c r="I542" s="29" t="str">
        <f>VLOOKUP(G542,'languoid 4.0'!$A$1:$I$24439,6,FALSE)</f>
        <v>language</v>
      </c>
      <c r="J542" s="30" t="s">
        <v>38</v>
      </c>
      <c r="K542" s="30" t="s">
        <v>38</v>
      </c>
      <c r="L542" s="30" t="s">
        <v>38</v>
      </c>
      <c r="M542" s="29"/>
      <c r="N542" s="29" t="s">
        <v>5410</v>
      </c>
      <c r="O542" s="30" t="s">
        <v>40</v>
      </c>
      <c r="P542" s="30" t="s">
        <v>41</v>
      </c>
      <c r="Q542" s="29" t="s">
        <v>5411</v>
      </c>
      <c r="R542" s="31" t="s">
        <v>4512</v>
      </c>
      <c r="S542" s="29" t="s">
        <v>46</v>
      </c>
      <c r="T542" s="29" t="s">
        <v>635</v>
      </c>
      <c r="U542" s="29" t="s">
        <v>636</v>
      </c>
      <c r="V542" s="29" t="s">
        <v>45</v>
      </c>
      <c r="W542" s="29"/>
      <c r="X542" s="29"/>
      <c r="Y542" s="29"/>
      <c r="Z542" s="29" t="s">
        <v>637</v>
      </c>
      <c r="AA542" s="29" t="s">
        <v>5412</v>
      </c>
      <c r="AB542" s="29" t="s">
        <v>5413</v>
      </c>
      <c r="AC542" s="29" t="s">
        <v>46</v>
      </c>
      <c r="AD542" s="29" t="s">
        <v>5414</v>
      </c>
      <c r="AE542" s="29" t="s">
        <v>641</v>
      </c>
      <c r="AF542" s="29" t="s">
        <v>190</v>
      </c>
      <c r="AG542" s="29">
        <v>6</v>
      </c>
      <c r="AH542" s="29" t="s">
        <v>190</v>
      </c>
      <c r="AI542" s="29"/>
      <c r="AJ542" s="29" t="s">
        <v>5415</v>
      </c>
      <c r="AK542" s="29" t="s">
        <v>4268</v>
      </c>
    </row>
    <row r="543" spans="1:37" s="33" customFormat="1">
      <c r="A543" s="29" t="str">
        <f>VLOOKUP(H543,Languages!$A$2:$B$430,2,FALSE)</f>
        <v>Austronesian</v>
      </c>
      <c r="B543" s="29" t="s">
        <v>652</v>
      </c>
      <c r="C543" s="29" t="s">
        <v>117</v>
      </c>
      <c r="D543" s="29" t="s">
        <v>5408</v>
      </c>
      <c r="E543" s="30" t="s">
        <v>5409</v>
      </c>
      <c r="F543" s="30" t="s">
        <v>5409</v>
      </c>
      <c r="G543" s="29" t="s">
        <v>5409</v>
      </c>
      <c r="H543" s="29" t="str">
        <f>VLOOKUP(G543,'languoid 4.0'!$A$1:$I$24439,2,FALSE)</f>
        <v>aust1307</v>
      </c>
      <c r="I543" s="29" t="str">
        <f>VLOOKUP(G543,'languoid 4.0'!$A$1:$I$24439,6,FALSE)</f>
        <v>language</v>
      </c>
      <c r="J543" s="30" t="s">
        <v>38</v>
      </c>
      <c r="K543" s="30" t="s">
        <v>38</v>
      </c>
      <c r="L543" s="30" t="s">
        <v>38</v>
      </c>
      <c r="M543" s="29"/>
      <c r="N543" s="29" t="s">
        <v>5410</v>
      </c>
      <c r="O543" s="30" t="s">
        <v>40</v>
      </c>
      <c r="P543" s="30" t="s">
        <v>41</v>
      </c>
      <c r="Q543" s="29" t="s">
        <v>5411</v>
      </c>
      <c r="R543" s="31" t="s">
        <v>4512</v>
      </c>
      <c r="S543" s="29" t="s">
        <v>46</v>
      </c>
      <c r="T543" s="29" t="s">
        <v>635</v>
      </c>
      <c r="U543" s="29" t="s">
        <v>636</v>
      </c>
      <c r="V543" s="29" t="s">
        <v>45</v>
      </c>
      <c r="W543" s="29"/>
      <c r="X543" s="29"/>
      <c r="Y543" s="29"/>
      <c r="Z543" s="29" t="s">
        <v>637</v>
      </c>
      <c r="AA543" s="29" t="s">
        <v>5412</v>
      </c>
      <c r="AB543" s="29" t="s">
        <v>5670</v>
      </c>
      <c r="AC543" s="29" t="s">
        <v>46</v>
      </c>
      <c r="AD543" s="29" t="s">
        <v>5671</v>
      </c>
      <c r="AE543" s="29" t="s">
        <v>641</v>
      </c>
      <c r="AF543" s="29" t="s">
        <v>190</v>
      </c>
      <c r="AG543" s="29">
        <v>4</v>
      </c>
      <c r="AH543" s="29" t="s">
        <v>190</v>
      </c>
      <c r="AI543" s="29"/>
      <c r="AJ543" s="29" t="s">
        <v>5672</v>
      </c>
      <c r="AK543" s="29" t="s">
        <v>4268</v>
      </c>
    </row>
    <row r="544" spans="1:37" s="33" customFormat="1">
      <c r="A544" s="29" t="str">
        <f>VLOOKUP(H544,Languages!$A$2:$B$430,2,FALSE)</f>
        <v>Austronesian</v>
      </c>
      <c r="B544" s="29" t="s">
        <v>652</v>
      </c>
      <c r="C544" s="29" t="s">
        <v>255</v>
      </c>
      <c r="D544" s="29" t="s">
        <v>2137</v>
      </c>
      <c r="E544" s="30" t="s">
        <v>2138</v>
      </c>
      <c r="F544" s="30" t="s">
        <v>2077</v>
      </c>
      <c r="G544" s="29" t="s">
        <v>2138</v>
      </c>
      <c r="H544" s="29" t="str">
        <f>VLOOKUP(G544,'languoid 4.0'!$A$1:$I$24439,2,FALSE)</f>
        <v>aust1307</v>
      </c>
      <c r="I544" s="29" t="str">
        <f>VLOOKUP(G544,'languoid 4.0'!$A$1:$I$24439,6,FALSE)</f>
        <v>dialect</v>
      </c>
      <c r="J544" s="30" t="s">
        <v>52</v>
      </c>
      <c r="K544" s="30" t="s">
        <v>38</v>
      </c>
      <c r="L544" s="30" t="s">
        <v>38</v>
      </c>
      <c r="M544" s="29"/>
      <c r="N544" s="29"/>
      <c r="O544" s="30" t="s">
        <v>40</v>
      </c>
      <c r="P544" s="30" t="s">
        <v>41</v>
      </c>
      <c r="Q544" s="29" t="s">
        <v>2139</v>
      </c>
      <c r="R544" s="31" t="s">
        <v>2140</v>
      </c>
      <c r="S544" s="29" t="s">
        <v>46</v>
      </c>
      <c r="T544" s="29" t="s">
        <v>635</v>
      </c>
      <c r="U544" s="29" t="s">
        <v>636</v>
      </c>
      <c r="V544" s="29" t="s">
        <v>45</v>
      </c>
      <c r="W544" s="29"/>
      <c r="X544" s="29"/>
      <c r="Y544" s="29"/>
      <c r="Z544" s="29" t="s">
        <v>658</v>
      </c>
      <c r="AA544" s="29" t="s">
        <v>2141</v>
      </c>
      <c r="AB544" s="29" t="s">
        <v>2142</v>
      </c>
      <c r="AC544" s="29" t="s">
        <v>46</v>
      </c>
      <c r="AD544" s="29"/>
      <c r="AE544" s="29" t="s">
        <v>641</v>
      </c>
      <c r="AF544" s="29" t="s">
        <v>190</v>
      </c>
      <c r="AG544" s="29">
        <v>6</v>
      </c>
      <c r="AH544" s="29" t="s">
        <v>190</v>
      </c>
      <c r="AI544" s="29"/>
      <c r="AJ544" s="29" t="s">
        <v>2143</v>
      </c>
      <c r="AK544" s="29" t="s">
        <v>1749</v>
      </c>
    </row>
    <row r="545" spans="1:37" s="33" customFormat="1">
      <c r="A545" s="29" t="str">
        <f>VLOOKUP(H545,Languages!$A$2:$B$430,2,FALSE)</f>
        <v>Austronesian</v>
      </c>
      <c r="B545" s="29" t="s">
        <v>652</v>
      </c>
      <c r="C545" s="29" t="s">
        <v>255</v>
      </c>
      <c r="D545" s="29" t="s">
        <v>2144</v>
      </c>
      <c r="E545" s="30" t="s">
        <v>2145</v>
      </c>
      <c r="F545" s="30" t="s">
        <v>2077</v>
      </c>
      <c r="G545" s="29" t="s">
        <v>2145</v>
      </c>
      <c r="H545" s="29" t="str">
        <f>VLOOKUP(G545,'languoid 4.0'!$A$1:$I$24439,2,FALSE)</f>
        <v>aust1307</v>
      </c>
      <c r="I545" s="29" t="str">
        <f>VLOOKUP(G545,'languoid 4.0'!$A$1:$I$24439,6,FALSE)</f>
        <v>language</v>
      </c>
      <c r="J545" s="30" t="s">
        <v>52</v>
      </c>
      <c r="K545" s="30" t="s">
        <v>38</v>
      </c>
      <c r="L545" s="30" t="s">
        <v>38</v>
      </c>
      <c r="M545" s="29"/>
      <c r="N545" s="29" t="s">
        <v>2146</v>
      </c>
      <c r="O545" s="30" t="s">
        <v>40</v>
      </c>
      <c r="P545" s="30" t="s">
        <v>41</v>
      </c>
      <c r="Q545" s="29" t="s">
        <v>2147</v>
      </c>
      <c r="R545" s="31" t="s">
        <v>2148</v>
      </c>
      <c r="S545" s="29" t="s">
        <v>46</v>
      </c>
      <c r="T545" s="29" t="s">
        <v>635</v>
      </c>
      <c r="U545" s="29" t="s">
        <v>1707</v>
      </c>
      <c r="V545" s="29" t="s">
        <v>45</v>
      </c>
      <c r="W545" s="29"/>
      <c r="X545" s="29"/>
      <c r="Y545" s="29"/>
      <c r="Z545" s="29" t="s">
        <v>658</v>
      </c>
      <c r="AA545" s="29" t="s">
        <v>2149</v>
      </c>
      <c r="AB545" s="29" t="s">
        <v>2150</v>
      </c>
      <c r="AC545" s="29" t="s">
        <v>46</v>
      </c>
      <c r="AD545" s="29"/>
      <c r="AE545" s="29" t="s">
        <v>641</v>
      </c>
      <c r="AF545" s="29" t="s">
        <v>190</v>
      </c>
      <c r="AG545" s="29">
        <v>6</v>
      </c>
      <c r="AH545" s="29" t="s">
        <v>190</v>
      </c>
      <c r="AI545" s="29"/>
      <c r="AJ545" s="29" t="s">
        <v>2151</v>
      </c>
      <c r="AK545" s="29" t="s">
        <v>1749</v>
      </c>
    </row>
    <row r="546" spans="1:37" s="33" customFormat="1">
      <c r="A546" s="29" t="str">
        <f>VLOOKUP(H546,Languages!$A$2:$B$430,2,FALSE)</f>
        <v>Austronesian</v>
      </c>
      <c r="B546" s="29" t="s">
        <v>652</v>
      </c>
      <c r="C546" s="29" t="s">
        <v>255</v>
      </c>
      <c r="D546" s="29" t="s">
        <v>2152</v>
      </c>
      <c r="E546" s="30" t="s">
        <v>2153</v>
      </c>
      <c r="F546" s="30" t="s">
        <v>2077</v>
      </c>
      <c r="G546" s="29" t="s">
        <v>2153</v>
      </c>
      <c r="H546" s="29" t="str">
        <f>VLOOKUP(G546,'languoid 4.0'!$A$1:$I$24439,2,FALSE)</f>
        <v>aust1307</v>
      </c>
      <c r="I546" s="29" t="str">
        <f>VLOOKUP(G546,'languoid 4.0'!$A$1:$I$24439,6,FALSE)</f>
        <v>dialect</v>
      </c>
      <c r="J546" s="30" t="s">
        <v>52</v>
      </c>
      <c r="K546" s="30" t="s">
        <v>38</v>
      </c>
      <c r="L546" s="30" t="s">
        <v>38</v>
      </c>
      <c r="M546" s="29"/>
      <c r="N546" s="29"/>
      <c r="O546" s="30" t="s">
        <v>40</v>
      </c>
      <c r="P546" s="30" t="s">
        <v>41</v>
      </c>
      <c r="Q546" s="29" t="s">
        <v>2154</v>
      </c>
      <c r="R546" s="31" t="s">
        <v>2155</v>
      </c>
      <c r="S546" s="29" t="s">
        <v>46</v>
      </c>
      <c r="T546" s="29" t="s">
        <v>635</v>
      </c>
      <c r="U546" s="29" t="s">
        <v>636</v>
      </c>
      <c r="V546" s="29" t="s">
        <v>45</v>
      </c>
      <c r="W546" s="29"/>
      <c r="X546" s="29"/>
      <c r="Y546" s="29"/>
      <c r="Z546" s="29" t="s">
        <v>658</v>
      </c>
      <c r="AA546" s="29" t="s">
        <v>2156</v>
      </c>
      <c r="AB546" s="29" t="s">
        <v>2157</v>
      </c>
      <c r="AC546" s="29" t="s">
        <v>46</v>
      </c>
      <c r="AD546" s="29"/>
      <c r="AE546" s="29" t="s">
        <v>641</v>
      </c>
      <c r="AF546" s="29" t="s">
        <v>190</v>
      </c>
      <c r="AG546" s="29">
        <v>5</v>
      </c>
      <c r="AH546" s="29" t="s">
        <v>190</v>
      </c>
      <c r="AI546" s="29"/>
      <c r="AJ546" s="29" t="s">
        <v>2158</v>
      </c>
      <c r="AK546" s="29" t="s">
        <v>1749</v>
      </c>
    </row>
    <row r="547" spans="1:37" s="33" customFormat="1">
      <c r="A547" s="29" t="str">
        <f>VLOOKUP(H547,Languages!$A$2:$B$430,2,FALSE)</f>
        <v>Austronesian</v>
      </c>
      <c r="B547" s="29" t="s">
        <v>1750</v>
      </c>
      <c r="C547" s="29" t="s">
        <v>82</v>
      </c>
      <c r="D547" s="29" t="s">
        <v>4435</v>
      </c>
      <c r="E547" s="30" t="s">
        <v>4436</v>
      </c>
      <c r="F547" s="30" t="s">
        <v>4436</v>
      </c>
      <c r="G547" s="29" t="s">
        <v>4436</v>
      </c>
      <c r="H547" s="29" t="str">
        <f>VLOOKUP(G547,'languoid 4.0'!$A$1:$I$24439,2,FALSE)</f>
        <v>aust1307</v>
      </c>
      <c r="I547" s="29" t="str">
        <f>VLOOKUP(G547,'languoid 4.0'!$A$1:$I$24439,6,FALSE)</f>
        <v>language</v>
      </c>
      <c r="J547" s="30" t="s">
        <v>38</v>
      </c>
      <c r="K547" s="30" t="s">
        <v>38</v>
      </c>
      <c r="L547" s="30" t="s">
        <v>38</v>
      </c>
      <c r="M547" s="29"/>
      <c r="N547" s="29" t="s">
        <v>4437</v>
      </c>
      <c r="O547" s="30" t="s">
        <v>40</v>
      </c>
      <c r="P547" s="30" t="s">
        <v>41</v>
      </c>
      <c r="Q547" s="29" t="s">
        <v>4438</v>
      </c>
      <c r="R547" s="31" t="s">
        <v>4439</v>
      </c>
      <c r="S547" s="29" t="s">
        <v>2589</v>
      </c>
      <c r="T547" s="29" t="s">
        <v>635</v>
      </c>
      <c r="U547" s="29" t="s">
        <v>636</v>
      </c>
      <c r="V547" s="29" t="s">
        <v>45</v>
      </c>
      <c r="W547" s="29"/>
      <c r="X547" s="29"/>
      <c r="Y547" s="29"/>
      <c r="Z547" s="29" t="s">
        <v>673</v>
      </c>
      <c r="AA547" s="29" t="s">
        <v>4440</v>
      </c>
      <c r="AB547" s="29" t="s">
        <v>4441</v>
      </c>
      <c r="AC547" s="29" t="s">
        <v>4440</v>
      </c>
      <c r="AD547" s="29"/>
      <c r="AE547" s="29" t="s">
        <v>641</v>
      </c>
      <c r="AF547" s="29" t="s">
        <v>190</v>
      </c>
      <c r="AG547" s="29">
        <v>6</v>
      </c>
      <c r="AH547" s="29" t="s">
        <v>190</v>
      </c>
      <c r="AI547" s="29"/>
      <c r="AJ547" s="32">
        <v>43226.646562499998</v>
      </c>
      <c r="AK547" s="29" t="s">
        <v>4274</v>
      </c>
    </row>
    <row r="548" spans="1:37" s="33" customFormat="1">
      <c r="A548" s="29" t="str">
        <f>VLOOKUP(H548,Languages!$A$2:$B$430,2,FALSE)</f>
        <v>Austronesian</v>
      </c>
      <c r="B548" s="29" t="s">
        <v>1750</v>
      </c>
      <c r="C548" s="29" t="s">
        <v>75</v>
      </c>
      <c r="D548" s="29" t="s">
        <v>8718</v>
      </c>
      <c r="E548" s="30" t="s">
        <v>8719</v>
      </c>
      <c r="F548" s="30" t="s">
        <v>8719</v>
      </c>
      <c r="G548" s="29" t="s">
        <v>8719</v>
      </c>
      <c r="H548" s="29" t="str">
        <f>VLOOKUP(G548,'languoid 4.0'!$A$1:$I$24439,2,FALSE)</f>
        <v>aust1307</v>
      </c>
      <c r="I548" s="29" t="str">
        <f>VLOOKUP(G548,'languoid 4.0'!$A$1:$I$24439,6,FALSE)</f>
        <v>family</v>
      </c>
      <c r="J548" s="30" t="s">
        <v>38</v>
      </c>
      <c r="K548" s="30" t="s">
        <v>38</v>
      </c>
      <c r="L548" s="30" t="s">
        <v>38</v>
      </c>
      <c r="M548" s="29"/>
      <c r="N548" s="29"/>
      <c r="O548" s="30" t="s">
        <v>40</v>
      </c>
      <c r="P548" s="30" t="s">
        <v>41</v>
      </c>
      <c r="Q548" s="29" t="s">
        <v>8720</v>
      </c>
      <c r="R548" s="31" t="s">
        <v>8721</v>
      </c>
      <c r="S548" s="29" t="s">
        <v>46</v>
      </c>
      <c r="T548" s="29" t="s">
        <v>635</v>
      </c>
      <c r="U548" s="29" t="s">
        <v>636</v>
      </c>
      <c r="V548" s="29" t="s">
        <v>45</v>
      </c>
      <c r="W548" s="29"/>
      <c r="X548" s="29"/>
      <c r="Y548" s="29"/>
      <c r="Z548" s="29" t="s">
        <v>637</v>
      </c>
      <c r="AA548" s="29" t="s">
        <v>8722</v>
      </c>
      <c r="AB548" s="29" t="s">
        <v>46</v>
      </c>
      <c r="AC548" s="29" t="s">
        <v>46</v>
      </c>
      <c r="AD548" s="29" t="s">
        <v>8723</v>
      </c>
      <c r="AE548" s="29" t="s">
        <v>641</v>
      </c>
      <c r="AF548" s="29" t="s">
        <v>190</v>
      </c>
      <c r="AG548" s="29">
        <v>6</v>
      </c>
      <c r="AH548" s="29" t="s">
        <v>190</v>
      </c>
      <c r="AI548" s="29"/>
      <c r="AJ548" s="32">
        <v>43321.851574074077</v>
      </c>
      <c r="AK548" s="29" t="s">
        <v>5640</v>
      </c>
    </row>
    <row r="549" spans="1:37" s="33" customFormat="1">
      <c r="A549" s="29" t="str">
        <f>VLOOKUP(H549,Languages!$A$2:$B$430,2,FALSE)</f>
        <v>Austronesian</v>
      </c>
      <c r="B549" s="29" t="s">
        <v>1750</v>
      </c>
      <c r="C549" s="29" t="s">
        <v>66</v>
      </c>
      <c r="D549" s="29" t="s">
        <v>10852</v>
      </c>
      <c r="E549" s="30" t="s">
        <v>10853</v>
      </c>
      <c r="F549" s="30" t="s">
        <v>10853</v>
      </c>
      <c r="G549" s="29" t="s">
        <v>10853</v>
      </c>
      <c r="H549" s="29" t="str">
        <f>VLOOKUP(G549,'languoid 4.0'!$A$1:$I$24439,2,FALSE)</f>
        <v>aust1307</v>
      </c>
      <c r="I549" s="29" t="str">
        <f>VLOOKUP(G549,'languoid 4.0'!$A$1:$I$24439,6,FALSE)</f>
        <v>language</v>
      </c>
      <c r="J549" s="30" t="s">
        <v>38</v>
      </c>
      <c r="K549" s="30" t="s">
        <v>38</v>
      </c>
      <c r="L549" s="30" t="s">
        <v>38</v>
      </c>
      <c r="M549" s="29"/>
      <c r="N549" s="29" t="s">
        <v>10854</v>
      </c>
      <c r="O549" s="30" t="s">
        <v>40</v>
      </c>
      <c r="P549" s="30" t="s">
        <v>41</v>
      </c>
      <c r="Q549" s="29" t="s">
        <v>10862</v>
      </c>
      <c r="R549" s="31" t="s">
        <v>10863</v>
      </c>
      <c r="S549" s="29" t="s">
        <v>10849</v>
      </c>
      <c r="T549" s="29" t="s">
        <v>822</v>
      </c>
      <c r="U549" s="29" t="s">
        <v>636</v>
      </c>
      <c r="V549" s="29" t="s">
        <v>45</v>
      </c>
      <c r="W549" s="29"/>
      <c r="X549" s="29"/>
      <c r="Y549" s="29"/>
      <c r="Z549" s="29" t="s">
        <v>658</v>
      </c>
      <c r="AA549" s="29" t="s">
        <v>10864</v>
      </c>
      <c r="AB549" s="29" t="s">
        <v>46</v>
      </c>
      <c r="AC549" s="29" t="s">
        <v>46</v>
      </c>
      <c r="AD549" s="29"/>
      <c r="AE549" s="29" t="s">
        <v>641</v>
      </c>
      <c r="AF549" s="29" t="s">
        <v>190</v>
      </c>
      <c r="AG549" s="29">
        <v>6</v>
      </c>
      <c r="AH549" s="29" t="s">
        <v>190</v>
      </c>
      <c r="AI549" s="29"/>
      <c r="AJ549" s="32">
        <v>43355.920173611114</v>
      </c>
      <c r="AK549" s="29" t="s">
        <v>10783</v>
      </c>
    </row>
    <row r="550" spans="1:37" s="33" customFormat="1">
      <c r="A550" s="29" t="str">
        <f>VLOOKUP(H550,Languages!$A$2:$B$430,2,FALSE)</f>
        <v>Austronesian</v>
      </c>
      <c r="B550" s="29" t="s">
        <v>1750</v>
      </c>
      <c r="C550" s="29" t="s">
        <v>66</v>
      </c>
      <c r="D550" s="29" t="s">
        <v>10852</v>
      </c>
      <c r="E550" s="30" t="s">
        <v>10853</v>
      </c>
      <c r="F550" s="30" t="s">
        <v>10853</v>
      </c>
      <c r="G550" s="29" t="s">
        <v>10853</v>
      </c>
      <c r="H550" s="29" t="str">
        <f>VLOOKUP(G550,'languoid 4.0'!$A$1:$I$24439,2,FALSE)</f>
        <v>aust1307</v>
      </c>
      <c r="I550" s="29" t="str">
        <f>VLOOKUP(G550,'languoid 4.0'!$A$1:$I$24439,6,FALSE)</f>
        <v>language</v>
      </c>
      <c r="J550" s="30" t="s">
        <v>38</v>
      </c>
      <c r="K550" s="30" t="s">
        <v>38</v>
      </c>
      <c r="L550" s="30" t="s">
        <v>38</v>
      </c>
      <c r="M550" s="29"/>
      <c r="N550" s="29" t="s">
        <v>10854</v>
      </c>
      <c r="O550" s="30" t="s">
        <v>40</v>
      </c>
      <c r="P550" s="30" t="s">
        <v>41</v>
      </c>
      <c r="Q550" s="29" t="s">
        <v>10865</v>
      </c>
      <c r="R550" s="31" t="s">
        <v>10866</v>
      </c>
      <c r="S550" s="29" t="s">
        <v>10849</v>
      </c>
      <c r="T550" s="29" t="s">
        <v>822</v>
      </c>
      <c r="U550" s="29" t="s">
        <v>636</v>
      </c>
      <c r="V550" s="29" t="s">
        <v>45</v>
      </c>
      <c r="W550" s="29"/>
      <c r="X550" s="29"/>
      <c r="Y550" s="29"/>
      <c r="Z550" s="29" t="s">
        <v>658</v>
      </c>
      <c r="AA550" s="29" t="s">
        <v>10867</v>
      </c>
      <c r="AB550" s="29" t="s">
        <v>46</v>
      </c>
      <c r="AC550" s="29" t="s">
        <v>46</v>
      </c>
      <c r="AD550" s="29"/>
      <c r="AE550" s="29" t="s">
        <v>641</v>
      </c>
      <c r="AF550" s="29" t="s">
        <v>190</v>
      </c>
      <c r="AG550" s="29">
        <v>6</v>
      </c>
      <c r="AH550" s="29" t="s">
        <v>190</v>
      </c>
      <c r="AI550" s="29"/>
      <c r="AJ550" s="32">
        <v>43355.922048611108</v>
      </c>
      <c r="AK550" s="29" t="s">
        <v>10783</v>
      </c>
    </row>
    <row r="551" spans="1:37" s="33" customFormat="1">
      <c r="A551" s="29" t="str">
        <f>VLOOKUP(H551,Languages!$A$2:$B$430,2,FALSE)</f>
        <v>Austronesian</v>
      </c>
      <c r="B551" s="29" t="s">
        <v>1750</v>
      </c>
      <c r="C551" s="29" t="s">
        <v>66</v>
      </c>
      <c r="D551" s="29" t="s">
        <v>10852</v>
      </c>
      <c r="E551" s="30" t="s">
        <v>10853</v>
      </c>
      <c r="F551" s="30" t="s">
        <v>10853</v>
      </c>
      <c r="G551" s="29" t="s">
        <v>10853</v>
      </c>
      <c r="H551" s="29" t="str">
        <f>VLOOKUP(G551,'languoid 4.0'!$A$1:$I$24439,2,FALSE)</f>
        <v>aust1307</v>
      </c>
      <c r="I551" s="29" t="str">
        <f>VLOOKUP(G551,'languoid 4.0'!$A$1:$I$24439,6,FALSE)</f>
        <v>language</v>
      </c>
      <c r="J551" s="30" t="s">
        <v>38</v>
      </c>
      <c r="K551" s="30" t="s">
        <v>38</v>
      </c>
      <c r="L551" s="30" t="s">
        <v>38</v>
      </c>
      <c r="M551" s="29"/>
      <c r="N551" s="29" t="s">
        <v>10854</v>
      </c>
      <c r="O551" s="30" t="s">
        <v>40</v>
      </c>
      <c r="P551" s="30" t="s">
        <v>41</v>
      </c>
      <c r="Q551" s="29" t="s">
        <v>10884</v>
      </c>
      <c r="R551" s="31" t="s">
        <v>10885</v>
      </c>
      <c r="S551" s="29" t="s">
        <v>10849</v>
      </c>
      <c r="T551" s="29" t="s">
        <v>822</v>
      </c>
      <c r="U551" s="29" t="s">
        <v>636</v>
      </c>
      <c r="V551" s="29" t="s">
        <v>45</v>
      </c>
      <c r="W551" s="29"/>
      <c r="X551" s="29"/>
      <c r="Y551" s="29"/>
      <c r="Z551" s="29" t="s">
        <v>658</v>
      </c>
      <c r="AA551" s="29" t="s">
        <v>10886</v>
      </c>
      <c r="AB551" s="29" t="s">
        <v>46</v>
      </c>
      <c r="AC551" s="29" t="s">
        <v>46</v>
      </c>
      <c r="AD551" s="29"/>
      <c r="AE551" s="29" t="s">
        <v>641</v>
      </c>
      <c r="AF551" s="29" t="s">
        <v>190</v>
      </c>
      <c r="AG551" s="29">
        <v>6</v>
      </c>
      <c r="AH551" s="29" t="s">
        <v>190</v>
      </c>
      <c r="AI551" s="29"/>
      <c r="AJ551" s="32">
        <v>43385.980254629627</v>
      </c>
      <c r="AK551" s="29" t="s">
        <v>10783</v>
      </c>
    </row>
    <row r="552" spans="1:37" s="33" customFormat="1">
      <c r="A552" s="29" t="str">
        <f>VLOOKUP(H552,Languages!$A$2:$B$430,2,FALSE)</f>
        <v>Austronesian</v>
      </c>
      <c r="B552" s="29" t="s">
        <v>1750</v>
      </c>
      <c r="C552" s="29" t="s">
        <v>66</v>
      </c>
      <c r="D552" s="29" t="s">
        <v>10852</v>
      </c>
      <c r="E552" s="30" t="s">
        <v>10853</v>
      </c>
      <c r="F552" s="30" t="s">
        <v>10853</v>
      </c>
      <c r="G552" s="29" t="s">
        <v>10853</v>
      </c>
      <c r="H552" s="29" t="str">
        <f>VLOOKUP(G552,'languoid 4.0'!$A$1:$I$24439,2,FALSE)</f>
        <v>aust1307</v>
      </c>
      <c r="I552" s="29" t="str">
        <f>VLOOKUP(G552,'languoid 4.0'!$A$1:$I$24439,6,FALSE)</f>
        <v>language</v>
      </c>
      <c r="J552" s="30" t="s">
        <v>38</v>
      </c>
      <c r="K552" s="30" t="s">
        <v>38</v>
      </c>
      <c r="L552" s="30" t="s">
        <v>38</v>
      </c>
      <c r="M552" s="29"/>
      <c r="N552" s="29" t="s">
        <v>10854</v>
      </c>
      <c r="O552" s="30" t="s">
        <v>40</v>
      </c>
      <c r="P552" s="30" t="s">
        <v>41</v>
      </c>
      <c r="Q552" s="29" t="s">
        <v>10961</v>
      </c>
      <c r="R552" s="31" t="s">
        <v>10962</v>
      </c>
      <c r="S552" s="29" t="s">
        <v>10958</v>
      </c>
      <c r="T552" s="29" t="s">
        <v>822</v>
      </c>
      <c r="U552" s="29" t="s">
        <v>636</v>
      </c>
      <c r="V552" s="29" t="s">
        <v>45</v>
      </c>
      <c r="W552" s="29"/>
      <c r="X552" s="29"/>
      <c r="Y552" s="29"/>
      <c r="Z552" s="29" t="s">
        <v>658</v>
      </c>
      <c r="AA552" s="29" t="s">
        <v>10963</v>
      </c>
      <c r="AB552" s="29" t="s">
        <v>46</v>
      </c>
      <c r="AC552" s="29" t="s">
        <v>46</v>
      </c>
      <c r="AD552" s="29"/>
      <c r="AE552" s="29" t="s">
        <v>641</v>
      </c>
      <c r="AF552" s="29" t="s">
        <v>190</v>
      </c>
      <c r="AG552" s="29">
        <v>6</v>
      </c>
      <c r="AH552" s="29" t="s">
        <v>190</v>
      </c>
      <c r="AI552" s="29"/>
      <c r="AJ552" s="29" t="s">
        <v>10964</v>
      </c>
      <c r="AK552" s="29" t="s">
        <v>10783</v>
      </c>
    </row>
    <row r="553" spans="1:37" s="33" customFormat="1">
      <c r="A553" s="29" t="str">
        <f>VLOOKUP(H553,Languages!$A$2:$B$430,2,FALSE)</f>
        <v>Austronesian</v>
      </c>
      <c r="B553" s="29" t="s">
        <v>1750</v>
      </c>
      <c r="C553" s="29" t="s">
        <v>66</v>
      </c>
      <c r="D553" s="29" t="s">
        <v>10878</v>
      </c>
      <c r="E553" s="30" t="s">
        <v>51</v>
      </c>
      <c r="F553" s="30" t="s">
        <v>51</v>
      </c>
      <c r="G553" s="29" t="s">
        <v>10879</v>
      </c>
      <c r="H553" s="29" t="str">
        <f>VLOOKUP(G553,'languoid 4.0'!$A$1:$I$24439,2,FALSE)</f>
        <v>aust1307</v>
      </c>
      <c r="I553" s="29" t="str">
        <f>VLOOKUP(G553,'languoid 4.0'!$A$1:$I$24439,6,FALSE)</f>
        <v>family</v>
      </c>
      <c r="J553" s="30" t="s">
        <v>51</v>
      </c>
      <c r="K553" s="30" t="s">
        <v>51</v>
      </c>
      <c r="L553" s="30" t="s">
        <v>51</v>
      </c>
      <c r="M553" s="29"/>
      <c r="N553" s="29" t="e">
        <v>#N/A</v>
      </c>
      <c r="O553" s="30" t="s">
        <v>690</v>
      </c>
      <c r="P553" s="30"/>
      <c r="Q553" s="29" t="s">
        <v>10970</v>
      </c>
      <c r="R553" s="31" t="s">
        <v>10971</v>
      </c>
      <c r="S553" s="29" t="s">
        <v>10958</v>
      </c>
      <c r="T553" s="29" t="s">
        <v>822</v>
      </c>
      <c r="U553" s="29" t="s">
        <v>636</v>
      </c>
      <c r="V553" s="29" t="s">
        <v>45</v>
      </c>
      <c r="W553" s="29"/>
      <c r="X553" s="29"/>
      <c r="Y553" s="29"/>
      <c r="Z553" s="29" t="s">
        <v>658</v>
      </c>
      <c r="AA553" s="29" t="s">
        <v>10972</v>
      </c>
      <c r="AB553" s="29" t="s">
        <v>46</v>
      </c>
      <c r="AC553" s="29" t="s">
        <v>46</v>
      </c>
      <c r="AD553" s="29"/>
      <c r="AE553" s="29" t="s">
        <v>641</v>
      </c>
      <c r="AF553" s="29" t="s">
        <v>190</v>
      </c>
      <c r="AG553" s="29">
        <v>6</v>
      </c>
      <c r="AH553" s="29" t="s">
        <v>190</v>
      </c>
      <c r="AI553" s="29" t="s">
        <v>10973</v>
      </c>
      <c r="AJ553" s="29" t="s">
        <v>10974</v>
      </c>
      <c r="AK553" s="29" t="s">
        <v>10783</v>
      </c>
    </row>
    <row r="554" spans="1:37" s="33" customFormat="1">
      <c r="A554" s="29" t="str">
        <f>VLOOKUP(H554,Languages!$A$2:$B$430,2,FALSE)</f>
        <v>Austronesian</v>
      </c>
      <c r="B554" s="29" t="s">
        <v>1750</v>
      </c>
      <c r="C554" s="29" t="s">
        <v>66</v>
      </c>
      <c r="D554" s="29" t="s">
        <v>10852</v>
      </c>
      <c r="E554" s="30" t="s">
        <v>10853</v>
      </c>
      <c r="F554" s="30" t="s">
        <v>10853</v>
      </c>
      <c r="G554" s="29" t="s">
        <v>10853</v>
      </c>
      <c r="H554" s="29" t="str">
        <f>VLOOKUP(G554,'languoid 4.0'!$A$1:$I$24439,2,FALSE)</f>
        <v>aust1307</v>
      </c>
      <c r="I554" s="29" t="str">
        <f>VLOOKUP(G554,'languoid 4.0'!$A$1:$I$24439,6,FALSE)</f>
        <v>language</v>
      </c>
      <c r="J554" s="30" t="s">
        <v>38</v>
      </c>
      <c r="K554" s="30" t="s">
        <v>38</v>
      </c>
      <c r="L554" s="30" t="s">
        <v>38</v>
      </c>
      <c r="M554" s="29"/>
      <c r="N554" s="29" t="s">
        <v>10854</v>
      </c>
      <c r="O554" s="30" t="s">
        <v>40</v>
      </c>
      <c r="P554" s="30" t="s">
        <v>41</v>
      </c>
      <c r="Q554" s="29" t="s">
        <v>10975</v>
      </c>
      <c r="R554" s="31" t="s">
        <v>10976</v>
      </c>
      <c r="S554" s="29" t="s">
        <v>10958</v>
      </c>
      <c r="T554" s="29" t="s">
        <v>822</v>
      </c>
      <c r="U554" s="29" t="s">
        <v>636</v>
      </c>
      <c r="V554" s="29" t="s">
        <v>45</v>
      </c>
      <c r="W554" s="29"/>
      <c r="X554" s="29"/>
      <c r="Y554" s="29"/>
      <c r="Z554" s="29" t="s">
        <v>637</v>
      </c>
      <c r="AA554" s="29" t="s">
        <v>10977</v>
      </c>
      <c r="AB554" s="29" t="s">
        <v>10978</v>
      </c>
      <c r="AC554" s="29" t="s">
        <v>46</v>
      </c>
      <c r="AD554" s="29"/>
      <c r="AE554" s="29" t="s">
        <v>641</v>
      </c>
      <c r="AF554" s="29" t="s">
        <v>190</v>
      </c>
      <c r="AG554" s="29">
        <v>6</v>
      </c>
      <c r="AH554" s="29" t="s">
        <v>190</v>
      </c>
      <c r="AI554" s="29"/>
      <c r="AJ554" s="29" t="s">
        <v>10979</v>
      </c>
      <c r="AK554" s="29" t="s">
        <v>10783</v>
      </c>
    </row>
    <row r="555" spans="1:37" s="33" customFormat="1">
      <c r="A555" s="29" t="str">
        <f>VLOOKUP(H555,Languages!$A$2:$B$430,2,FALSE)</f>
        <v>Austronesian</v>
      </c>
      <c r="B555" s="29" t="s">
        <v>1750</v>
      </c>
      <c r="C555" s="29" t="s">
        <v>66</v>
      </c>
      <c r="D555" s="29" t="s">
        <v>10852</v>
      </c>
      <c r="E555" s="30" t="s">
        <v>10853</v>
      </c>
      <c r="F555" s="30" t="s">
        <v>10853</v>
      </c>
      <c r="G555" s="29" t="s">
        <v>10853</v>
      </c>
      <c r="H555" s="29" t="str">
        <f>VLOOKUP(G555,'languoid 4.0'!$A$1:$I$24439,2,FALSE)</f>
        <v>aust1307</v>
      </c>
      <c r="I555" s="29" t="str">
        <f>VLOOKUP(G555,'languoid 4.0'!$A$1:$I$24439,6,FALSE)</f>
        <v>language</v>
      </c>
      <c r="J555" s="30" t="s">
        <v>38</v>
      </c>
      <c r="K555" s="30" t="s">
        <v>38</v>
      </c>
      <c r="L555" s="30" t="s">
        <v>38</v>
      </c>
      <c r="M555" s="29"/>
      <c r="N555" s="29" t="s">
        <v>10854</v>
      </c>
      <c r="O555" s="30" t="s">
        <v>40</v>
      </c>
      <c r="P555" s="30" t="s">
        <v>41</v>
      </c>
      <c r="Q555" s="29" t="s">
        <v>10980</v>
      </c>
      <c r="R555" s="31" t="s">
        <v>10981</v>
      </c>
      <c r="S555" s="29" t="s">
        <v>10958</v>
      </c>
      <c r="T555" s="29" t="s">
        <v>822</v>
      </c>
      <c r="U555" s="29" t="s">
        <v>636</v>
      </c>
      <c r="V555" s="29" t="s">
        <v>45</v>
      </c>
      <c r="W555" s="29"/>
      <c r="X555" s="29"/>
      <c r="Y555" s="29"/>
      <c r="Z555" s="29" t="s">
        <v>658</v>
      </c>
      <c r="AA555" s="29" t="s">
        <v>10982</v>
      </c>
      <c r="AB555" s="29" t="s">
        <v>46</v>
      </c>
      <c r="AC555" s="29" t="s">
        <v>46</v>
      </c>
      <c r="AD555" s="29"/>
      <c r="AE555" s="29" t="s">
        <v>641</v>
      </c>
      <c r="AF555" s="29" t="s">
        <v>190</v>
      </c>
      <c r="AG555" s="29">
        <v>6</v>
      </c>
      <c r="AH555" s="29" t="s">
        <v>190</v>
      </c>
      <c r="AI555" s="29"/>
      <c r="AJ555" s="29" t="s">
        <v>10983</v>
      </c>
      <c r="AK555" s="29" t="s">
        <v>10783</v>
      </c>
    </row>
    <row r="556" spans="1:37" s="33" customFormat="1">
      <c r="A556" s="29" t="str">
        <f>VLOOKUP(H556,Languages!$A$2:$B$430,2,FALSE)</f>
        <v>Austronesian</v>
      </c>
      <c r="B556" s="29" t="s">
        <v>1750</v>
      </c>
      <c r="C556" s="29" t="s">
        <v>66</v>
      </c>
      <c r="D556" s="29" t="s">
        <v>10852</v>
      </c>
      <c r="E556" s="30" t="s">
        <v>10853</v>
      </c>
      <c r="F556" s="30" t="s">
        <v>10853</v>
      </c>
      <c r="G556" s="29" t="s">
        <v>10853</v>
      </c>
      <c r="H556" s="29" t="str">
        <f>VLOOKUP(G556,'languoid 4.0'!$A$1:$I$24439,2,FALSE)</f>
        <v>aust1307</v>
      </c>
      <c r="I556" s="29" t="str">
        <f>VLOOKUP(G556,'languoid 4.0'!$A$1:$I$24439,6,FALSE)</f>
        <v>language</v>
      </c>
      <c r="J556" s="30" t="s">
        <v>38</v>
      </c>
      <c r="K556" s="30" t="s">
        <v>38</v>
      </c>
      <c r="L556" s="30" t="s">
        <v>38</v>
      </c>
      <c r="M556" s="29"/>
      <c r="N556" s="29" t="s">
        <v>10854</v>
      </c>
      <c r="O556" s="30" t="s">
        <v>40</v>
      </c>
      <c r="P556" s="30" t="s">
        <v>41</v>
      </c>
      <c r="Q556" s="29" t="s">
        <v>10984</v>
      </c>
      <c r="R556" s="31" t="s">
        <v>10985</v>
      </c>
      <c r="S556" s="29" t="s">
        <v>10958</v>
      </c>
      <c r="T556" s="29" t="s">
        <v>822</v>
      </c>
      <c r="U556" s="29" t="s">
        <v>636</v>
      </c>
      <c r="V556" s="29" t="s">
        <v>45</v>
      </c>
      <c r="W556" s="29"/>
      <c r="X556" s="29"/>
      <c r="Y556" s="29"/>
      <c r="Z556" s="29" t="s">
        <v>658</v>
      </c>
      <c r="AA556" s="29" t="s">
        <v>10986</v>
      </c>
      <c r="AB556" s="29" t="s">
        <v>46</v>
      </c>
      <c r="AC556" s="29" t="s">
        <v>46</v>
      </c>
      <c r="AD556" s="29"/>
      <c r="AE556" s="29" t="s">
        <v>641</v>
      </c>
      <c r="AF556" s="29" t="s">
        <v>190</v>
      </c>
      <c r="AG556" s="29">
        <v>6</v>
      </c>
      <c r="AH556" s="29" t="s">
        <v>190</v>
      </c>
      <c r="AI556" s="29"/>
      <c r="AJ556" s="29" t="s">
        <v>10987</v>
      </c>
      <c r="AK556" s="29" t="s">
        <v>10783</v>
      </c>
    </row>
    <row r="557" spans="1:37" s="33" customFormat="1">
      <c r="A557" s="29" t="str">
        <f>VLOOKUP(H557,Languages!$A$2:$B$430,2,FALSE)</f>
        <v>Austronesian</v>
      </c>
      <c r="B557" s="29" t="s">
        <v>1750</v>
      </c>
      <c r="C557" s="29" t="s">
        <v>66</v>
      </c>
      <c r="D557" s="29" t="s">
        <v>10852</v>
      </c>
      <c r="E557" s="30" t="s">
        <v>10853</v>
      </c>
      <c r="F557" s="30" t="s">
        <v>10853</v>
      </c>
      <c r="G557" s="29" t="s">
        <v>10853</v>
      </c>
      <c r="H557" s="29" t="str">
        <f>VLOOKUP(G557,'languoid 4.0'!$A$1:$I$24439,2,FALSE)</f>
        <v>aust1307</v>
      </c>
      <c r="I557" s="29" t="str">
        <f>VLOOKUP(G557,'languoid 4.0'!$A$1:$I$24439,6,FALSE)</f>
        <v>language</v>
      </c>
      <c r="J557" s="30" t="s">
        <v>38</v>
      </c>
      <c r="K557" s="30" t="s">
        <v>38</v>
      </c>
      <c r="L557" s="30" t="s">
        <v>38</v>
      </c>
      <c r="M557" s="29"/>
      <c r="N557" s="29" t="s">
        <v>10854</v>
      </c>
      <c r="O557" s="30" t="s">
        <v>40</v>
      </c>
      <c r="P557" s="30" t="s">
        <v>41</v>
      </c>
      <c r="Q557" s="29" t="s">
        <v>10997</v>
      </c>
      <c r="R557" s="31" t="s">
        <v>10998</v>
      </c>
      <c r="S557" s="29" t="s">
        <v>10958</v>
      </c>
      <c r="T557" s="29" t="s">
        <v>822</v>
      </c>
      <c r="U557" s="29" t="s">
        <v>636</v>
      </c>
      <c r="V557" s="29" t="s">
        <v>45</v>
      </c>
      <c r="W557" s="29"/>
      <c r="X557" s="29"/>
      <c r="Y557" s="29"/>
      <c r="Z557" s="29" t="s">
        <v>658</v>
      </c>
      <c r="AA557" s="29" t="s">
        <v>10999</v>
      </c>
      <c r="AB557" s="29" t="s">
        <v>46</v>
      </c>
      <c r="AC557" s="29" t="s">
        <v>46</v>
      </c>
      <c r="AD557" s="29"/>
      <c r="AE557" s="29" t="s">
        <v>641</v>
      </c>
      <c r="AF557" s="29" t="s">
        <v>190</v>
      </c>
      <c r="AG557" s="29">
        <v>6</v>
      </c>
      <c r="AH557" s="29" t="s">
        <v>190</v>
      </c>
      <c r="AI557" s="29"/>
      <c r="AJ557" s="29" t="s">
        <v>11000</v>
      </c>
      <c r="AK557" s="29" t="s">
        <v>10783</v>
      </c>
    </row>
    <row r="558" spans="1:37" s="33" customFormat="1">
      <c r="A558" s="29" t="str">
        <f>VLOOKUP(H558,Languages!$A$2:$B$430,2,FALSE)</f>
        <v>Austronesian</v>
      </c>
      <c r="B558" s="29" t="s">
        <v>1750</v>
      </c>
      <c r="C558" s="29" t="s">
        <v>66</v>
      </c>
      <c r="D558" s="29" t="s">
        <v>10852</v>
      </c>
      <c r="E558" s="30" t="s">
        <v>10853</v>
      </c>
      <c r="F558" s="30" t="s">
        <v>10853</v>
      </c>
      <c r="G558" s="29" t="s">
        <v>10853</v>
      </c>
      <c r="H558" s="29" t="str">
        <f>VLOOKUP(G558,'languoid 4.0'!$A$1:$I$24439,2,FALSE)</f>
        <v>aust1307</v>
      </c>
      <c r="I558" s="29" t="str">
        <f>VLOOKUP(G558,'languoid 4.0'!$A$1:$I$24439,6,FALSE)</f>
        <v>language</v>
      </c>
      <c r="J558" s="30" t="s">
        <v>38</v>
      </c>
      <c r="K558" s="30" t="s">
        <v>38</v>
      </c>
      <c r="L558" s="30" t="s">
        <v>38</v>
      </c>
      <c r="M558" s="29"/>
      <c r="N558" s="29" t="s">
        <v>10854</v>
      </c>
      <c r="O558" s="30" t="s">
        <v>40</v>
      </c>
      <c r="P558" s="30" t="s">
        <v>41</v>
      </c>
      <c r="Q558" s="29" t="s">
        <v>11001</v>
      </c>
      <c r="R558" s="31" t="s">
        <v>11002</v>
      </c>
      <c r="S558" s="29" t="s">
        <v>10958</v>
      </c>
      <c r="T558" s="29" t="s">
        <v>822</v>
      </c>
      <c r="U558" s="29" t="s">
        <v>636</v>
      </c>
      <c r="V558" s="29" t="s">
        <v>45</v>
      </c>
      <c r="W558" s="29"/>
      <c r="X558" s="29"/>
      <c r="Y558" s="29"/>
      <c r="Z558" s="29" t="s">
        <v>658</v>
      </c>
      <c r="AA558" s="29" t="s">
        <v>11003</v>
      </c>
      <c r="AB558" s="29" t="s">
        <v>46</v>
      </c>
      <c r="AC558" s="29" t="s">
        <v>46</v>
      </c>
      <c r="AD558" s="29"/>
      <c r="AE558" s="29" t="s">
        <v>641</v>
      </c>
      <c r="AF558" s="29" t="s">
        <v>190</v>
      </c>
      <c r="AG558" s="29">
        <v>6</v>
      </c>
      <c r="AH558" s="29" t="s">
        <v>190</v>
      </c>
      <c r="AI558" s="29"/>
      <c r="AJ558" s="29" t="s">
        <v>11004</v>
      </c>
      <c r="AK558" s="29" t="s">
        <v>10783</v>
      </c>
    </row>
    <row r="559" spans="1:37" s="33" customFormat="1">
      <c r="A559" s="29" t="str">
        <f>VLOOKUP(H559,Languages!$A$2:$B$430,2,FALSE)</f>
        <v>Austronesian</v>
      </c>
      <c r="B559" s="29" t="s">
        <v>1750</v>
      </c>
      <c r="C559" s="29" t="s">
        <v>198</v>
      </c>
      <c r="D559" s="29" t="s">
        <v>199</v>
      </c>
      <c r="E559" s="30" t="s">
        <v>200</v>
      </c>
      <c r="F559" s="30" t="s">
        <v>200</v>
      </c>
      <c r="G559" s="29" t="s">
        <v>200</v>
      </c>
      <c r="H559" s="29" t="str">
        <f>VLOOKUP(G559,'languoid 4.0'!$A$1:$I$24439,2,FALSE)</f>
        <v>aust1307</v>
      </c>
      <c r="I559" s="29" t="str">
        <f>VLOOKUP(G559,'languoid 4.0'!$A$1:$I$24439,6,FALSE)</f>
        <v>language</v>
      </c>
      <c r="J559" s="30" t="s">
        <v>38</v>
      </c>
      <c r="K559" s="30" t="s">
        <v>38</v>
      </c>
      <c r="L559" s="30" t="s">
        <v>38</v>
      </c>
      <c r="M559" s="29"/>
      <c r="N559" s="29" t="s">
        <v>201</v>
      </c>
      <c r="O559" s="30" t="s">
        <v>40</v>
      </c>
      <c r="P559" s="30" t="s">
        <v>41</v>
      </c>
      <c r="Q559" s="29" t="s">
        <v>1961</v>
      </c>
      <c r="R559" s="31" t="s">
        <v>1962</v>
      </c>
      <c r="S559" s="29" t="s">
        <v>46</v>
      </c>
      <c r="T559" s="29" t="s">
        <v>635</v>
      </c>
      <c r="U559" s="29" t="s">
        <v>636</v>
      </c>
      <c r="V559" s="29" t="s">
        <v>45</v>
      </c>
      <c r="W559" s="29"/>
      <c r="X559" s="29"/>
      <c r="Y559" s="29"/>
      <c r="Z559" s="29" t="s">
        <v>658</v>
      </c>
      <c r="AA559" s="29" t="s">
        <v>1963</v>
      </c>
      <c r="AB559" s="29" t="s">
        <v>46</v>
      </c>
      <c r="AC559" s="29" t="s">
        <v>46</v>
      </c>
      <c r="AD559" s="29"/>
      <c r="AE559" s="29" t="s">
        <v>641</v>
      </c>
      <c r="AF559" s="29" t="s">
        <v>190</v>
      </c>
      <c r="AG559" s="29">
        <v>4</v>
      </c>
      <c r="AH559" s="29" t="s">
        <v>190</v>
      </c>
      <c r="AI559" s="29"/>
      <c r="AJ559" s="29" t="s">
        <v>1964</v>
      </c>
      <c r="AK559" s="29" t="s">
        <v>1598</v>
      </c>
    </row>
    <row r="560" spans="1:37" s="33" customFormat="1">
      <c r="A560" s="29" t="str">
        <f>VLOOKUP(H560,Languages!$A$2:$B$430,2,FALSE)</f>
        <v>Austronesian</v>
      </c>
      <c r="B560" s="29" t="s">
        <v>1750</v>
      </c>
      <c r="C560" s="29" t="s">
        <v>198</v>
      </c>
      <c r="D560" s="29" t="s">
        <v>199</v>
      </c>
      <c r="E560" s="30" t="s">
        <v>200</v>
      </c>
      <c r="F560" s="30" t="s">
        <v>200</v>
      </c>
      <c r="G560" s="29" t="s">
        <v>200</v>
      </c>
      <c r="H560" s="29" t="str">
        <f>VLOOKUP(G560,'languoid 4.0'!$A$1:$I$24439,2,FALSE)</f>
        <v>aust1307</v>
      </c>
      <c r="I560" s="29" t="str">
        <f>VLOOKUP(G560,'languoid 4.0'!$A$1:$I$24439,6,FALSE)</f>
        <v>language</v>
      </c>
      <c r="J560" s="30" t="s">
        <v>38</v>
      </c>
      <c r="K560" s="30" t="s">
        <v>38</v>
      </c>
      <c r="L560" s="30" t="s">
        <v>38</v>
      </c>
      <c r="M560" s="29"/>
      <c r="N560" s="29" t="s">
        <v>201</v>
      </c>
      <c r="O560" s="30" t="s">
        <v>40</v>
      </c>
      <c r="P560" s="30" t="s">
        <v>41</v>
      </c>
      <c r="Q560" s="29" t="s">
        <v>1965</v>
      </c>
      <c r="R560" s="31" t="s">
        <v>1966</v>
      </c>
      <c r="S560" s="29" t="s">
        <v>46</v>
      </c>
      <c r="T560" s="29" t="s">
        <v>635</v>
      </c>
      <c r="U560" s="29" t="s">
        <v>636</v>
      </c>
      <c r="V560" s="29" t="s">
        <v>45</v>
      </c>
      <c r="W560" s="29"/>
      <c r="X560" s="29"/>
      <c r="Y560" s="29"/>
      <c r="Z560" s="29" t="s">
        <v>658</v>
      </c>
      <c r="AA560" s="29" t="s">
        <v>1967</v>
      </c>
      <c r="AB560" s="29" t="s">
        <v>46</v>
      </c>
      <c r="AC560" s="29" t="s">
        <v>46</v>
      </c>
      <c r="AD560" s="29"/>
      <c r="AE560" s="29" t="s">
        <v>641</v>
      </c>
      <c r="AF560" s="29" t="s">
        <v>190</v>
      </c>
      <c r="AG560" s="29">
        <v>4</v>
      </c>
      <c r="AH560" s="29" t="s">
        <v>190</v>
      </c>
      <c r="AI560" s="29"/>
      <c r="AJ560" s="29" t="s">
        <v>1968</v>
      </c>
      <c r="AK560" s="29" t="s">
        <v>1598</v>
      </c>
    </row>
    <row r="561" spans="1:37" s="33" customFormat="1">
      <c r="A561" s="29" t="str">
        <f>VLOOKUP(H561,Languages!$A$2:$B$430,2,FALSE)</f>
        <v>Austronesian</v>
      </c>
      <c r="B561" s="29" t="s">
        <v>1750</v>
      </c>
      <c r="C561" s="29" t="s">
        <v>198</v>
      </c>
      <c r="D561" s="29" t="s">
        <v>226</v>
      </c>
      <c r="E561" s="30" t="s">
        <v>227</v>
      </c>
      <c r="F561" s="30" t="s">
        <v>227</v>
      </c>
      <c r="G561" s="29" t="s">
        <v>227</v>
      </c>
      <c r="H561" s="29" t="str">
        <f>VLOOKUP(G561,'languoid 4.0'!$A$1:$I$24439,2,FALSE)</f>
        <v>aust1307</v>
      </c>
      <c r="I561" s="29" t="str">
        <f>VLOOKUP(G561,'languoid 4.0'!$A$1:$I$24439,6,FALSE)</f>
        <v>language</v>
      </c>
      <c r="J561" s="30" t="s">
        <v>38</v>
      </c>
      <c r="K561" s="30" t="s">
        <v>38</v>
      </c>
      <c r="L561" s="30" t="s">
        <v>38</v>
      </c>
      <c r="M561" s="29"/>
      <c r="N561" s="29" t="s">
        <v>228</v>
      </c>
      <c r="O561" s="30" t="s">
        <v>40</v>
      </c>
      <c r="P561" s="30" t="s">
        <v>41</v>
      </c>
      <c r="Q561" s="29" t="s">
        <v>1992</v>
      </c>
      <c r="R561" s="31" t="s">
        <v>1659</v>
      </c>
      <c r="S561" s="29" t="s">
        <v>46</v>
      </c>
      <c r="T561" s="29" t="s">
        <v>635</v>
      </c>
      <c r="U561" s="29" t="s">
        <v>636</v>
      </c>
      <c r="V561" s="29" t="s">
        <v>45</v>
      </c>
      <c r="W561" s="29"/>
      <c r="X561" s="29"/>
      <c r="Y561" s="29"/>
      <c r="Z561" s="29" t="s">
        <v>658</v>
      </c>
      <c r="AA561" s="29" t="s">
        <v>1993</v>
      </c>
      <c r="AB561" s="29" t="s">
        <v>46</v>
      </c>
      <c r="AC561" s="29" t="s">
        <v>46</v>
      </c>
      <c r="AD561" s="29" t="s">
        <v>1994</v>
      </c>
      <c r="AE561" s="29"/>
      <c r="AF561" s="29"/>
      <c r="AG561" s="29"/>
      <c r="AH561" s="29" t="s">
        <v>45</v>
      </c>
      <c r="AI561" s="29"/>
      <c r="AJ561" s="29" t="s">
        <v>1995</v>
      </c>
      <c r="AK561" s="29" t="s">
        <v>1598</v>
      </c>
    </row>
    <row r="562" spans="1:37" s="33" customFormat="1">
      <c r="A562" s="29" t="str">
        <f>VLOOKUP(H562,Languages!$A$2:$B$430,2,FALSE)</f>
        <v>Austronesian</v>
      </c>
      <c r="B562" s="29" t="s">
        <v>1750</v>
      </c>
      <c r="C562" s="29" t="s">
        <v>198</v>
      </c>
      <c r="D562" s="29" t="s">
        <v>2345</v>
      </c>
      <c r="E562" s="30" t="s">
        <v>2346</v>
      </c>
      <c r="F562" s="30" t="s">
        <v>2346</v>
      </c>
      <c r="G562" s="29" t="s">
        <v>2346</v>
      </c>
      <c r="H562" s="29" t="str">
        <f>VLOOKUP(G562,'languoid 4.0'!$A$1:$I$24439,2,FALSE)</f>
        <v>aust1307</v>
      </c>
      <c r="I562" s="29" t="str">
        <f>VLOOKUP(G562,'languoid 4.0'!$A$1:$I$24439,6,FALSE)</f>
        <v>language</v>
      </c>
      <c r="J562" s="30" t="s">
        <v>38</v>
      </c>
      <c r="K562" s="30" t="s">
        <v>38</v>
      </c>
      <c r="L562" s="30" t="s">
        <v>38</v>
      </c>
      <c r="M562" s="29"/>
      <c r="N562" s="29" t="s">
        <v>2347</v>
      </c>
      <c r="O562" s="30" t="s">
        <v>40</v>
      </c>
      <c r="P562" s="30" t="s">
        <v>41</v>
      </c>
      <c r="Q562" s="29" t="s">
        <v>3049</v>
      </c>
      <c r="R562" s="31" t="s">
        <v>3050</v>
      </c>
      <c r="S562" s="29" t="s">
        <v>46</v>
      </c>
      <c r="T562" s="29" t="s">
        <v>2103</v>
      </c>
      <c r="U562" s="29" t="s">
        <v>636</v>
      </c>
      <c r="V562" s="29" t="s">
        <v>45</v>
      </c>
      <c r="W562" s="29"/>
      <c r="X562" s="29"/>
      <c r="Y562" s="29"/>
      <c r="Z562" s="29" t="s">
        <v>658</v>
      </c>
      <c r="AA562" s="29" t="s">
        <v>3051</v>
      </c>
      <c r="AB562" s="29" t="s">
        <v>46</v>
      </c>
      <c r="AC562" s="29" t="s">
        <v>46</v>
      </c>
      <c r="AD562" s="29"/>
      <c r="AE562" s="29"/>
      <c r="AF562" s="29"/>
      <c r="AG562" s="29"/>
      <c r="AH562" s="29" t="s">
        <v>45</v>
      </c>
      <c r="AI562" s="29"/>
      <c r="AJ562" s="29" t="s">
        <v>3052</v>
      </c>
      <c r="AK562" s="29" t="s">
        <v>1598</v>
      </c>
    </row>
    <row r="563" spans="1:37" s="33" customFormat="1">
      <c r="A563" s="29" t="str">
        <f>VLOOKUP(H563,Languages!$A$2:$B$430,2,FALSE)</f>
        <v>Austronesian</v>
      </c>
      <c r="B563" s="29" t="s">
        <v>1750</v>
      </c>
      <c r="C563" s="29" t="s">
        <v>198</v>
      </c>
      <c r="D563" s="29" t="s">
        <v>226</v>
      </c>
      <c r="E563" s="30" t="s">
        <v>227</v>
      </c>
      <c r="F563" s="30" t="s">
        <v>227</v>
      </c>
      <c r="G563" s="29" t="s">
        <v>227</v>
      </c>
      <c r="H563" s="29" t="str">
        <f>VLOOKUP(G563,'languoid 4.0'!$A$1:$I$24439,2,FALSE)</f>
        <v>aust1307</v>
      </c>
      <c r="I563" s="29" t="str">
        <f>VLOOKUP(G563,'languoid 4.0'!$A$1:$I$24439,6,FALSE)</f>
        <v>language</v>
      </c>
      <c r="J563" s="30" t="s">
        <v>38</v>
      </c>
      <c r="K563" s="30" t="s">
        <v>38</v>
      </c>
      <c r="L563" s="30" t="s">
        <v>38</v>
      </c>
      <c r="M563" s="29"/>
      <c r="N563" s="29" t="s">
        <v>228</v>
      </c>
      <c r="O563" s="30" t="s">
        <v>40</v>
      </c>
      <c r="P563" s="30" t="s">
        <v>41</v>
      </c>
      <c r="Q563" s="29" t="s">
        <v>3075</v>
      </c>
      <c r="R563" s="31" t="s">
        <v>3076</v>
      </c>
      <c r="S563" s="29" t="s">
        <v>46</v>
      </c>
      <c r="T563" s="29" t="s">
        <v>2103</v>
      </c>
      <c r="U563" s="29" t="s">
        <v>636</v>
      </c>
      <c r="V563" s="29" t="s">
        <v>45</v>
      </c>
      <c r="W563" s="29"/>
      <c r="X563" s="29"/>
      <c r="Y563" s="29"/>
      <c r="Z563" s="29" t="s">
        <v>673</v>
      </c>
      <c r="AA563" s="29" t="s">
        <v>46</v>
      </c>
      <c r="AB563" s="29" t="s">
        <v>3077</v>
      </c>
      <c r="AC563" s="29" t="s">
        <v>46</v>
      </c>
      <c r="AD563" s="29"/>
      <c r="AE563" s="29"/>
      <c r="AF563" s="29"/>
      <c r="AG563" s="29"/>
      <c r="AH563" s="29" t="s">
        <v>45</v>
      </c>
      <c r="AI563" s="29"/>
      <c r="AJ563" s="29" t="s">
        <v>3078</v>
      </c>
      <c r="AK563" s="29" t="s">
        <v>1598</v>
      </c>
    </row>
    <row r="564" spans="1:37" s="33" customFormat="1">
      <c r="A564" s="29" t="str">
        <f>VLOOKUP(H564,Languages!$A$2:$B$430,2,FALSE)</f>
        <v>Austronesian</v>
      </c>
      <c r="B564" s="29" t="s">
        <v>1750</v>
      </c>
      <c r="C564" s="29" t="s">
        <v>198</v>
      </c>
      <c r="D564" s="29" t="s">
        <v>226</v>
      </c>
      <c r="E564" s="30" t="s">
        <v>227</v>
      </c>
      <c r="F564" s="30" t="s">
        <v>227</v>
      </c>
      <c r="G564" s="29" t="s">
        <v>227</v>
      </c>
      <c r="H564" s="29" t="str">
        <f>VLOOKUP(G564,'languoid 4.0'!$A$1:$I$24439,2,FALSE)</f>
        <v>aust1307</v>
      </c>
      <c r="I564" s="29" t="str">
        <f>VLOOKUP(G564,'languoid 4.0'!$A$1:$I$24439,6,FALSE)</f>
        <v>language</v>
      </c>
      <c r="J564" s="30" t="s">
        <v>38</v>
      </c>
      <c r="K564" s="30" t="s">
        <v>38</v>
      </c>
      <c r="L564" s="30" t="s">
        <v>38</v>
      </c>
      <c r="M564" s="29"/>
      <c r="N564" s="29" t="s">
        <v>228</v>
      </c>
      <c r="O564" s="30" t="s">
        <v>40</v>
      </c>
      <c r="P564" s="30" t="s">
        <v>41</v>
      </c>
      <c r="Q564" s="29" t="s">
        <v>3079</v>
      </c>
      <c r="R564" s="31" t="s">
        <v>3080</v>
      </c>
      <c r="S564" s="29" t="s">
        <v>46</v>
      </c>
      <c r="T564" s="29" t="s">
        <v>2103</v>
      </c>
      <c r="U564" s="29" t="s">
        <v>636</v>
      </c>
      <c r="V564" s="29" t="s">
        <v>45</v>
      </c>
      <c r="W564" s="29"/>
      <c r="X564" s="29"/>
      <c r="Y564" s="29"/>
      <c r="Z564" s="29" t="s">
        <v>673</v>
      </c>
      <c r="AA564" s="29" t="s">
        <v>46</v>
      </c>
      <c r="AB564" s="29" t="s">
        <v>3077</v>
      </c>
      <c r="AC564" s="29" t="s">
        <v>46</v>
      </c>
      <c r="AD564" s="29"/>
      <c r="AE564" s="29"/>
      <c r="AF564" s="29"/>
      <c r="AG564" s="29"/>
      <c r="AH564" s="29" t="s">
        <v>45</v>
      </c>
      <c r="AI564" s="29"/>
      <c r="AJ564" s="29" t="s">
        <v>3081</v>
      </c>
      <c r="AK564" s="29" t="s">
        <v>1598</v>
      </c>
    </row>
    <row r="565" spans="1:37" s="33" customFormat="1">
      <c r="A565" s="29" t="str">
        <f>VLOOKUP(H565,Languages!$A$2:$B$430,2,FALSE)</f>
        <v>Austronesian</v>
      </c>
      <c r="B565" s="29" t="s">
        <v>1750</v>
      </c>
      <c r="C565" s="29" t="s">
        <v>198</v>
      </c>
      <c r="D565" s="29" t="s">
        <v>226</v>
      </c>
      <c r="E565" s="30" t="s">
        <v>227</v>
      </c>
      <c r="F565" s="30" t="s">
        <v>227</v>
      </c>
      <c r="G565" s="29" t="s">
        <v>227</v>
      </c>
      <c r="H565" s="29" t="str">
        <f>VLOOKUP(G565,'languoid 4.0'!$A$1:$I$24439,2,FALSE)</f>
        <v>aust1307</v>
      </c>
      <c r="I565" s="29" t="str">
        <f>VLOOKUP(G565,'languoid 4.0'!$A$1:$I$24439,6,FALSE)</f>
        <v>language</v>
      </c>
      <c r="J565" s="30" t="s">
        <v>38</v>
      </c>
      <c r="K565" s="30" t="s">
        <v>38</v>
      </c>
      <c r="L565" s="30" t="s">
        <v>38</v>
      </c>
      <c r="M565" s="29"/>
      <c r="N565" s="29" t="s">
        <v>228</v>
      </c>
      <c r="O565" s="30" t="s">
        <v>40</v>
      </c>
      <c r="P565" s="30" t="s">
        <v>41</v>
      </c>
      <c r="Q565" s="29" t="s">
        <v>3082</v>
      </c>
      <c r="R565" s="31" t="s">
        <v>3083</v>
      </c>
      <c r="S565" s="29" t="s">
        <v>46</v>
      </c>
      <c r="T565" s="29" t="s">
        <v>2103</v>
      </c>
      <c r="U565" s="29" t="s">
        <v>636</v>
      </c>
      <c r="V565" s="29" t="s">
        <v>45</v>
      </c>
      <c r="W565" s="29"/>
      <c r="X565" s="29"/>
      <c r="Y565" s="29"/>
      <c r="Z565" s="29" t="s">
        <v>673</v>
      </c>
      <c r="AA565" s="29" t="s">
        <v>46</v>
      </c>
      <c r="AB565" s="29" t="s">
        <v>3077</v>
      </c>
      <c r="AC565" s="29" t="s">
        <v>46</v>
      </c>
      <c r="AD565" s="29"/>
      <c r="AE565" s="29"/>
      <c r="AF565" s="29"/>
      <c r="AG565" s="29"/>
      <c r="AH565" s="29" t="s">
        <v>45</v>
      </c>
      <c r="AI565" s="29"/>
      <c r="AJ565" s="29" t="s">
        <v>3084</v>
      </c>
      <c r="AK565" s="29" t="s">
        <v>1598</v>
      </c>
    </row>
    <row r="566" spans="1:37" s="33" customFormat="1">
      <c r="A566" s="29" t="str">
        <f>VLOOKUP(H566,Languages!$A$2:$B$430,2,FALSE)</f>
        <v>Austronesian</v>
      </c>
      <c r="B566" s="29" t="s">
        <v>1750</v>
      </c>
      <c r="C566" s="29" t="s">
        <v>198</v>
      </c>
      <c r="D566" s="29" t="s">
        <v>226</v>
      </c>
      <c r="E566" s="30" t="s">
        <v>227</v>
      </c>
      <c r="F566" s="30" t="s">
        <v>227</v>
      </c>
      <c r="G566" s="29" t="s">
        <v>227</v>
      </c>
      <c r="H566" s="29" t="str">
        <f>VLOOKUP(G566,'languoid 4.0'!$A$1:$I$24439,2,FALSE)</f>
        <v>aust1307</v>
      </c>
      <c r="I566" s="29" t="str">
        <f>VLOOKUP(G566,'languoid 4.0'!$A$1:$I$24439,6,FALSE)</f>
        <v>language</v>
      </c>
      <c r="J566" s="30" t="s">
        <v>38</v>
      </c>
      <c r="K566" s="30" t="s">
        <v>38</v>
      </c>
      <c r="L566" s="30" t="s">
        <v>38</v>
      </c>
      <c r="M566" s="29"/>
      <c r="N566" s="29" t="s">
        <v>228</v>
      </c>
      <c r="O566" s="30" t="s">
        <v>40</v>
      </c>
      <c r="P566" s="30" t="s">
        <v>41</v>
      </c>
      <c r="Q566" s="29" t="s">
        <v>3085</v>
      </c>
      <c r="R566" s="31" t="s">
        <v>3086</v>
      </c>
      <c r="S566" s="29" t="s">
        <v>46</v>
      </c>
      <c r="T566" s="29" t="s">
        <v>2103</v>
      </c>
      <c r="U566" s="29" t="s">
        <v>636</v>
      </c>
      <c r="V566" s="29" t="s">
        <v>45</v>
      </c>
      <c r="W566" s="29"/>
      <c r="X566" s="29"/>
      <c r="Y566" s="29"/>
      <c r="Z566" s="29" t="s">
        <v>673</v>
      </c>
      <c r="AA566" s="29" t="s">
        <v>46</v>
      </c>
      <c r="AB566" s="29" t="s">
        <v>3077</v>
      </c>
      <c r="AC566" s="29" t="s">
        <v>46</v>
      </c>
      <c r="AD566" s="29"/>
      <c r="AE566" s="29"/>
      <c r="AF566" s="29"/>
      <c r="AG566" s="29"/>
      <c r="AH566" s="29" t="s">
        <v>45</v>
      </c>
      <c r="AI566" s="29"/>
      <c r="AJ566" s="29" t="s">
        <v>3087</v>
      </c>
      <c r="AK566" s="29" t="s">
        <v>1598</v>
      </c>
    </row>
    <row r="567" spans="1:37" s="33" customFormat="1">
      <c r="A567" s="29" t="str">
        <f>VLOOKUP(H567,Languages!$A$2:$B$430,2,FALSE)</f>
        <v>Austronesian</v>
      </c>
      <c r="B567" s="29" t="s">
        <v>1750</v>
      </c>
      <c r="C567" s="29" t="s">
        <v>198</v>
      </c>
      <c r="D567" s="29" t="s">
        <v>226</v>
      </c>
      <c r="E567" s="30" t="s">
        <v>227</v>
      </c>
      <c r="F567" s="30" t="s">
        <v>227</v>
      </c>
      <c r="G567" s="29" t="s">
        <v>227</v>
      </c>
      <c r="H567" s="29" t="str">
        <f>VLOOKUP(G567,'languoid 4.0'!$A$1:$I$24439,2,FALSE)</f>
        <v>aust1307</v>
      </c>
      <c r="I567" s="29" t="str">
        <f>VLOOKUP(G567,'languoid 4.0'!$A$1:$I$24439,6,FALSE)</f>
        <v>language</v>
      </c>
      <c r="J567" s="30" t="s">
        <v>38</v>
      </c>
      <c r="K567" s="30" t="s">
        <v>38</v>
      </c>
      <c r="L567" s="30" t="s">
        <v>38</v>
      </c>
      <c r="M567" s="29"/>
      <c r="N567" s="29" t="s">
        <v>228</v>
      </c>
      <c r="O567" s="30" t="s">
        <v>40</v>
      </c>
      <c r="P567" s="30" t="s">
        <v>41</v>
      </c>
      <c r="Q567" s="29" t="s">
        <v>3088</v>
      </c>
      <c r="R567" s="31" t="s">
        <v>3089</v>
      </c>
      <c r="S567" s="29" t="s">
        <v>46</v>
      </c>
      <c r="T567" s="29" t="s">
        <v>3085</v>
      </c>
      <c r="U567" s="29" t="s">
        <v>636</v>
      </c>
      <c r="V567" s="29" t="s">
        <v>45</v>
      </c>
      <c r="W567" s="29"/>
      <c r="X567" s="29"/>
      <c r="Y567" s="29"/>
      <c r="Z567" s="29" t="s">
        <v>673</v>
      </c>
      <c r="AA567" s="29" t="s">
        <v>46</v>
      </c>
      <c r="AB567" s="29" t="s">
        <v>3077</v>
      </c>
      <c r="AC567" s="29" t="s">
        <v>46</v>
      </c>
      <c r="AD567" s="29"/>
      <c r="AE567" s="29"/>
      <c r="AF567" s="29"/>
      <c r="AG567" s="29"/>
      <c r="AH567" s="29" t="s">
        <v>45</v>
      </c>
      <c r="AI567" s="29"/>
      <c r="AJ567" s="29" t="s">
        <v>3090</v>
      </c>
      <c r="AK567" s="29" t="s">
        <v>1598</v>
      </c>
    </row>
    <row r="568" spans="1:37" s="33" customFormat="1">
      <c r="A568" s="29" t="str">
        <f>VLOOKUP(H568,Languages!$A$2:$B$430,2,FALSE)</f>
        <v>Austronesian</v>
      </c>
      <c r="B568" s="29" t="s">
        <v>1750</v>
      </c>
      <c r="C568" s="29" t="s">
        <v>198</v>
      </c>
      <c r="D568" s="29" t="s">
        <v>2345</v>
      </c>
      <c r="E568" s="30" t="s">
        <v>2346</v>
      </c>
      <c r="F568" s="30" t="s">
        <v>51</v>
      </c>
      <c r="G568" s="29" t="s">
        <v>2346</v>
      </c>
      <c r="H568" s="29" t="str">
        <f>VLOOKUP(G568,'languoid 4.0'!$A$1:$I$24439,2,FALSE)</f>
        <v>aust1307</v>
      </c>
      <c r="I568" s="29" t="str">
        <f>VLOOKUP(G568,'languoid 4.0'!$A$1:$I$24439,6,FALSE)</f>
        <v>language</v>
      </c>
      <c r="J568" s="30" t="s">
        <v>52</v>
      </c>
      <c r="K568" s="30" t="s">
        <v>51</v>
      </c>
      <c r="L568" s="30" t="s">
        <v>51</v>
      </c>
      <c r="M568" s="29"/>
      <c r="N568" s="29" t="s">
        <v>2347</v>
      </c>
      <c r="O568" s="30" t="s">
        <v>40</v>
      </c>
      <c r="P568" s="30" t="s">
        <v>41</v>
      </c>
      <c r="Q568" s="29" t="s">
        <v>3091</v>
      </c>
      <c r="R568" s="31" t="s">
        <v>3092</v>
      </c>
      <c r="S568" s="29" t="s">
        <v>46</v>
      </c>
      <c r="T568" s="29" t="s">
        <v>2103</v>
      </c>
      <c r="U568" s="29" t="s">
        <v>636</v>
      </c>
      <c r="V568" s="29" t="s">
        <v>45</v>
      </c>
      <c r="W568" s="29"/>
      <c r="X568" s="29"/>
      <c r="Y568" s="29"/>
      <c r="Z568" s="29" t="s">
        <v>673</v>
      </c>
      <c r="AA568" s="29" t="s">
        <v>46</v>
      </c>
      <c r="AB568" s="29" t="s">
        <v>3093</v>
      </c>
      <c r="AC568" s="29" t="s">
        <v>46</v>
      </c>
      <c r="AD568" s="29"/>
      <c r="AE568" s="29"/>
      <c r="AF568" s="29"/>
      <c r="AG568" s="29"/>
      <c r="AH568" s="29" t="s">
        <v>45</v>
      </c>
      <c r="AI568" s="29"/>
      <c r="AJ568" s="29" t="s">
        <v>3094</v>
      </c>
      <c r="AK568" s="29" t="s">
        <v>1598</v>
      </c>
    </row>
    <row r="569" spans="1:37" s="33" customFormat="1">
      <c r="A569" s="29" t="str">
        <f>VLOOKUP(H569,Languages!$A$2:$B$430,2,FALSE)</f>
        <v>Austronesian</v>
      </c>
      <c r="B569" s="29" t="s">
        <v>1750</v>
      </c>
      <c r="C569" s="29" t="s">
        <v>117</v>
      </c>
      <c r="D569" s="29" t="s">
        <v>5321</v>
      </c>
      <c r="E569" s="30" t="s">
        <v>5322</v>
      </c>
      <c r="F569" s="30" t="s">
        <v>5322</v>
      </c>
      <c r="G569" s="29" t="s">
        <v>5322</v>
      </c>
      <c r="H569" s="29" t="str">
        <f>VLOOKUP(G569,'languoid 4.0'!$A$1:$I$24439,2,FALSE)</f>
        <v>aust1307</v>
      </c>
      <c r="I569" s="29" t="str">
        <f>VLOOKUP(G569,'languoid 4.0'!$A$1:$I$24439,6,FALSE)</f>
        <v>language</v>
      </c>
      <c r="J569" s="30" t="s">
        <v>38</v>
      </c>
      <c r="K569" s="30" t="s">
        <v>38</v>
      </c>
      <c r="L569" s="30" t="s">
        <v>38</v>
      </c>
      <c r="M569" s="29"/>
      <c r="N569" s="29" t="s">
        <v>5323</v>
      </c>
      <c r="O569" s="30" t="s">
        <v>40</v>
      </c>
      <c r="P569" s="30" t="s">
        <v>41</v>
      </c>
      <c r="Q569" s="29" t="s">
        <v>5324</v>
      </c>
      <c r="R569" s="31" t="s">
        <v>4512</v>
      </c>
      <c r="S569" s="29" t="s">
        <v>46</v>
      </c>
      <c r="T569" s="29" t="s">
        <v>635</v>
      </c>
      <c r="U569" s="29" t="s">
        <v>636</v>
      </c>
      <c r="V569" s="29" t="s">
        <v>45</v>
      </c>
      <c r="W569" s="29"/>
      <c r="X569" s="29"/>
      <c r="Y569" s="29"/>
      <c r="Z569" s="29" t="s">
        <v>637</v>
      </c>
      <c r="AA569" s="29" t="s">
        <v>5666</v>
      </c>
      <c r="AB569" s="29" t="s">
        <v>5667</v>
      </c>
      <c r="AC569" s="29" t="s">
        <v>46</v>
      </c>
      <c r="AD569" s="29" t="s">
        <v>5668</v>
      </c>
      <c r="AE569" s="29" t="s">
        <v>641</v>
      </c>
      <c r="AF569" s="29" t="s">
        <v>190</v>
      </c>
      <c r="AG569" s="29">
        <v>5</v>
      </c>
      <c r="AH569" s="29" t="s">
        <v>190</v>
      </c>
      <c r="AI569" s="29"/>
      <c r="AJ569" s="29" t="s">
        <v>5669</v>
      </c>
      <c r="AK569" s="29" t="s">
        <v>4268</v>
      </c>
    </row>
    <row r="570" spans="1:37" s="33" customFormat="1">
      <c r="A570" s="29" t="str">
        <f>VLOOKUP(H570,Languages!$A$2:$B$430,2,FALSE)</f>
        <v>Austronesian</v>
      </c>
      <c r="B570" s="29" t="s">
        <v>1750</v>
      </c>
      <c r="C570" s="29" t="s">
        <v>255</v>
      </c>
      <c r="D570" s="29" t="s">
        <v>3635</v>
      </c>
      <c r="E570" s="30" t="s">
        <v>51</v>
      </c>
      <c r="F570" s="30" t="s">
        <v>2077</v>
      </c>
      <c r="G570" s="29" t="s">
        <v>2077</v>
      </c>
      <c r="H570" s="29" t="str">
        <f>VLOOKUP(G570,'languoid 4.0'!$A$1:$I$24439,2,FALSE)</f>
        <v>aust1307</v>
      </c>
      <c r="I570" s="29" t="str">
        <f>VLOOKUP(G570,'languoid 4.0'!$A$1:$I$24439,6,FALSE)</f>
        <v>family</v>
      </c>
      <c r="J570" s="30" t="s">
        <v>52</v>
      </c>
      <c r="K570" s="30" t="s">
        <v>51</v>
      </c>
      <c r="L570" s="30" t="s">
        <v>51</v>
      </c>
      <c r="M570" s="29"/>
      <c r="N570" s="29" t="e">
        <v>#N/A</v>
      </c>
      <c r="O570" s="30" t="s">
        <v>690</v>
      </c>
      <c r="P570" s="30"/>
      <c r="Q570" s="29" t="s">
        <v>3636</v>
      </c>
      <c r="R570" s="31" t="s">
        <v>3637</v>
      </c>
      <c r="S570" s="29" t="s">
        <v>46</v>
      </c>
      <c r="T570" s="29" t="s">
        <v>635</v>
      </c>
      <c r="U570" s="29" t="s">
        <v>636</v>
      </c>
      <c r="V570" s="29" t="s">
        <v>45</v>
      </c>
      <c r="W570" s="29"/>
      <c r="X570" s="29"/>
      <c r="Y570" s="29"/>
      <c r="Z570" s="29" t="s">
        <v>658</v>
      </c>
      <c r="AA570" s="29" t="s">
        <v>3638</v>
      </c>
      <c r="AB570" s="29" t="s">
        <v>3639</v>
      </c>
      <c r="AC570" s="29" t="s">
        <v>46</v>
      </c>
      <c r="AD570" s="29"/>
      <c r="AE570" s="29" t="s">
        <v>641</v>
      </c>
      <c r="AF570" s="29" t="s">
        <v>190</v>
      </c>
      <c r="AG570" s="29">
        <v>6</v>
      </c>
      <c r="AH570" s="29" t="s">
        <v>190</v>
      </c>
      <c r="AI570" s="29"/>
      <c r="AJ570" s="32">
        <v>43225.948310185187</v>
      </c>
      <c r="AK570" s="29" t="s">
        <v>1749</v>
      </c>
    </row>
    <row r="571" spans="1:37" s="33" customFormat="1">
      <c r="A571" s="29" t="str">
        <f>VLOOKUP(H571,Languages!$A$2:$B$430,2,FALSE)</f>
        <v>Austronesian</v>
      </c>
      <c r="B571" s="29" t="s">
        <v>1738</v>
      </c>
      <c r="C571" s="29" t="s">
        <v>82</v>
      </c>
      <c r="D571" s="29" t="s">
        <v>4442</v>
      </c>
      <c r="E571" s="30" t="s">
        <v>4443</v>
      </c>
      <c r="F571" s="30" t="s">
        <v>51</v>
      </c>
      <c r="G571" s="29" t="s">
        <v>4443</v>
      </c>
      <c r="H571" s="29" t="str">
        <f>VLOOKUP(G571,'languoid 4.0'!$A$1:$I$24439,2,FALSE)</f>
        <v>aust1307</v>
      </c>
      <c r="I571" s="29" t="str">
        <f>VLOOKUP(G571,'languoid 4.0'!$A$1:$I$24439,6,FALSE)</f>
        <v>language</v>
      </c>
      <c r="J571" s="30" t="s">
        <v>52</v>
      </c>
      <c r="K571" s="30" t="s">
        <v>51</v>
      </c>
      <c r="L571" s="30" t="s">
        <v>51</v>
      </c>
      <c r="M571" s="29"/>
      <c r="N571" s="29" t="s">
        <v>4444</v>
      </c>
      <c r="O571" s="30" t="s">
        <v>40</v>
      </c>
      <c r="P571" s="30" t="s">
        <v>41</v>
      </c>
      <c r="Q571" s="29" t="s">
        <v>4445</v>
      </c>
      <c r="R571" s="31" t="s">
        <v>4446</v>
      </c>
      <c r="S571" s="29" t="s">
        <v>2589</v>
      </c>
      <c r="T571" s="29" t="s">
        <v>635</v>
      </c>
      <c r="U571" s="29" t="s">
        <v>1897</v>
      </c>
      <c r="V571" s="29" t="s">
        <v>45</v>
      </c>
      <c r="W571" s="29"/>
      <c r="X571" s="29"/>
      <c r="Y571" s="29"/>
      <c r="Z571" s="29" t="s">
        <v>673</v>
      </c>
      <c r="AA571" s="29" t="s">
        <v>4447</v>
      </c>
      <c r="AB571" s="29" t="s">
        <v>4448</v>
      </c>
      <c r="AC571" s="29" t="s">
        <v>4449</v>
      </c>
      <c r="AD571" s="29"/>
      <c r="AE571" s="29" t="s">
        <v>641</v>
      </c>
      <c r="AF571" s="29" t="s">
        <v>190</v>
      </c>
      <c r="AG571" s="29">
        <v>6</v>
      </c>
      <c r="AH571" s="29" t="s">
        <v>190</v>
      </c>
      <c r="AI571" s="29"/>
      <c r="AJ571" s="32">
        <v>43226.655023148145</v>
      </c>
      <c r="AK571" s="29" t="s">
        <v>4274</v>
      </c>
    </row>
    <row r="572" spans="1:37" s="33" customFormat="1">
      <c r="A572" s="29" t="str">
        <f>VLOOKUP(H572,Languages!$A$2:$B$430,2,FALSE)</f>
        <v>Austronesian</v>
      </c>
      <c r="B572" s="29" t="s">
        <v>1738</v>
      </c>
      <c r="C572" s="29" t="s">
        <v>82</v>
      </c>
      <c r="D572" s="29" t="s">
        <v>4572</v>
      </c>
      <c r="E572" s="30" t="s">
        <v>4573</v>
      </c>
      <c r="F572" s="30" t="s">
        <v>4573</v>
      </c>
      <c r="G572" s="29" t="s">
        <v>4573</v>
      </c>
      <c r="H572" s="29" t="str">
        <f>VLOOKUP(G572,'languoid 4.0'!$A$1:$I$24439,2,FALSE)</f>
        <v>aust1307</v>
      </c>
      <c r="I572" s="29" t="str">
        <f>VLOOKUP(G572,'languoid 4.0'!$A$1:$I$24439,6,FALSE)</f>
        <v>language</v>
      </c>
      <c r="J572" s="30" t="s">
        <v>38</v>
      </c>
      <c r="K572" s="30" t="s">
        <v>38</v>
      </c>
      <c r="L572" s="30" t="s">
        <v>38</v>
      </c>
      <c r="M572" s="29"/>
      <c r="N572" s="29" t="s">
        <v>4574</v>
      </c>
      <c r="O572" s="30" t="s">
        <v>40</v>
      </c>
      <c r="P572" s="30" t="s">
        <v>41</v>
      </c>
      <c r="Q572" s="29" t="s">
        <v>4575</v>
      </c>
      <c r="R572" s="31" t="s">
        <v>4576</v>
      </c>
      <c r="S572" s="29" t="s">
        <v>2589</v>
      </c>
      <c r="T572" s="29" t="s">
        <v>693</v>
      </c>
      <c r="U572" s="29" t="s">
        <v>1897</v>
      </c>
      <c r="V572" s="29" t="s">
        <v>45</v>
      </c>
      <c r="W572" s="29"/>
      <c r="X572" s="29"/>
      <c r="Y572" s="29"/>
      <c r="Z572" s="29" t="s">
        <v>637</v>
      </c>
      <c r="AA572" s="29" t="s">
        <v>4577</v>
      </c>
      <c r="AB572" s="29" t="s">
        <v>4578</v>
      </c>
      <c r="AC572" s="29" t="s">
        <v>4578</v>
      </c>
      <c r="AD572" s="29"/>
      <c r="AE572" s="29" t="s">
        <v>641</v>
      </c>
      <c r="AF572" s="29" t="s">
        <v>190</v>
      </c>
      <c r="AG572" s="29">
        <v>6</v>
      </c>
      <c r="AH572" s="29" t="s">
        <v>190</v>
      </c>
      <c r="AI572" s="29"/>
      <c r="AJ572" s="32">
        <v>43318.585393518515</v>
      </c>
      <c r="AK572" s="29" t="s">
        <v>4274</v>
      </c>
    </row>
    <row r="573" spans="1:37" s="33" customFormat="1">
      <c r="A573" s="29" t="str">
        <f>VLOOKUP(H573,Languages!$A$2:$B$430,2,FALSE)</f>
        <v>Austronesian</v>
      </c>
      <c r="B573" s="29" t="s">
        <v>1738</v>
      </c>
      <c r="C573" s="29" t="s">
        <v>82</v>
      </c>
      <c r="D573" s="29" t="s">
        <v>4579</v>
      </c>
      <c r="E573" s="30" t="s">
        <v>4580</v>
      </c>
      <c r="F573" s="30" t="s">
        <v>4580</v>
      </c>
      <c r="G573" s="29" t="s">
        <v>4580</v>
      </c>
      <c r="H573" s="29" t="str">
        <f>VLOOKUP(G573,'languoid 4.0'!$A$1:$I$24439,2,FALSE)</f>
        <v>aust1307</v>
      </c>
      <c r="I573" s="29" t="str">
        <f>VLOOKUP(G573,'languoid 4.0'!$A$1:$I$24439,6,FALSE)</f>
        <v>language</v>
      </c>
      <c r="J573" s="30" t="s">
        <v>38</v>
      </c>
      <c r="K573" s="30" t="s">
        <v>38</v>
      </c>
      <c r="L573" s="30" t="s">
        <v>38</v>
      </c>
      <c r="M573" s="29"/>
      <c r="N573" s="29" t="s">
        <v>4581</v>
      </c>
      <c r="O573" s="30" t="s">
        <v>40</v>
      </c>
      <c r="P573" s="30" t="s">
        <v>41</v>
      </c>
      <c r="Q573" s="29" t="s">
        <v>4587</v>
      </c>
      <c r="R573" s="31" t="s">
        <v>4588</v>
      </c>
      <c r="S573" s="29" t="s">
        <v>2589</v>
      </c>
      <c r="T573" s="29" t="s">
        <v>693</v>
      </c>
      <c r="U573" s="29" t="s">
        <v>4589</v>
      </c>
      <c r="V573" s="29" t="s">
        <v>45</v>
      </c>
      <c r="W573" s="29"/>
      <c r="X573" s="29"/>
      <c r="Y573" s="29"/>
      <c r="Z573" s="29" t="s">
        <v>673</v>
      </c>
      <c r="AA573" s="29" t="s">
        <v>4590</v>
      </c>
      <c r="AB573" s="29" t="s">
        <v>4591</v>
      </c>
      <c r="AC573" s="29" t="s">
        <v>4592</v>
      </c>
      <c r="AD573" s="29"/>
      <c r="AE573" s="29" t="s">
        <v>641</v>
      </c>
      <c r="AF573" s="29" t="s">
        <v>190</v>
      </c>
      <c r="AG573" s="29">
        <v>6</v>
      </c>
      <c r="AH573" s="29" t="s">
        <v>190</v>
      </c>
      <c r="AI573" s="29"/>
      <c r="AJ573" s="32">
        <v>43318.594467592593</v>
      </c>
      <c r="AK573" s="29" t="s">
        <v>4274</v>
      </c>
    </row>
    <row r="574" spans="1:37" s="33" customFormat="1">
      <c r="A574" s="29" t="str">
        <f>VLOOKUP(H574,Languages!$A$2:$B$430,2,FALSE)</f>
        <v>Austronesian</v>
      </c>
      <c r="B574" s="29" t="s">
        <v>1738</v>
      </c>
      <c r="C574" s="29" t="s">
        <v>75</v>
      </c>
      <c r="D574" s="29" t="s">
        <v>7805</v>
      </c>
      <c r="E574" s="30" t="s">
        <v>7806</v>
      </c>
      <c r="F574" s="30" t="s">
        <v>7798</v>
      </c>
      <c r="G574" s="29" t="s">
        <v>7798</v>
      </c>
      <c r="H574" s="29" t="str">
        <f>VLOOKUP(G574,'languoid 4.0'!$A$1:$I$24439,2,FALSE)</f>
        <v>aust1307</v>
      </c>
      <c r="I574" s="29" t="str">
        <f>VLOOKUP(G574,'languoid 4.0'!$A$1:$I$24439,6,FALSE)</f>
        <v>family</v>
      </c>
      <c r="J574" s="30" t="s">
        <v>52</v>
      </c>
      <c r="K574" s="30" t="s">
        <v>38</v>
      </c>
      <c r="L574" s="30" t="s">
        <v>38</v>
      </c>
      <c r="M574" s="29"/>
      <c r="N574" s="29" t="s">
        <v>7807</v>
      </c>
      <c r="O574" s="30" t="s">
        <v>40</v>
      </c>
      <c r="P574" s="30" t="s">
        <v>41</v>
      </c>
      <c r="Q574" s="29" t="s">
        <v>7836</v>
      </c>
      <c r="R574" s="31" t="s">
        <v>7837</v>
      </c>
      <c r="S574" s="29" t="s">
        <v>46</v>
      </c>
      <c r="T574" s="29" t="s">
        <v>635</v>
      </c>
      <c r="U574" s="29" t="s">
        <v>636</v>
      </c>
      <c r="V574" s="29" t="s">
        <v>45</v>
      </c>
      <c r="W574" s="29"/>
      <c r="X574" s="29"/>
      <c r="Y574" s="29"/>
      <c r="Z574" s="29" t="s">
        <v>658</v>
      </c>
      <c r="AA574" s="29" t="s">
        <v>7838</v>
      </c>
      <c r="AB574" s="29" t="s">
        <v>46</v>
      </c>
      <c r="AC574" s="29" t="s">
        <v>46</v>
      </c>
      <c r="AD574" s="29" t="s">
        <v>7839</v>
      </c>
      <c r="AE574" s="29" t="s">
        <v>641</v>
      </c>
      <c r="AF574" s="29" t="s">
        <v>190</v>
      </c>
      <c r="AG574" s="29">
        <v>6</v>
      </c>
      <c r="AH574" s="29" t="s">
        <v>190</v>
      </c>
      <c r="AI574" s="29"/>
      <c r="AJ574" s="29" t="s">
        <v>7840</v>
      </c>
      <c r="AK574" s="29" t="s">
        <v>5640</v>
      </c>
    </row>
    <row r="575" spans="1:37" s="33" customFormat="1">
      <c r="A575" s="29" t="str">
        <f>VLOOKUP(H575,Languages!$A$2:$B$430,2,FALSE)</f>
        <v>Austronesian</v>
      </c>
      <c r="B575" s="29" t="s">
        <v>1738</v>
      </c>
      <c r="C575" s="29" t="s">
        <v>66</v>
      </c>
      <c r="D575" s="29" t="s">
        <v>10878</v>
      </c>
      <c r="E575" s="30" t="s">
        <v>51</v>
      </c>
      <c r="F575" s="30" t="s">
        <v>51</v>
      </c>
      <c r="G575" s="29" t="s">
        <v>10879</v>
      </c>
      <c r="H575" s="29" t="str">
        <f>VLOOKUP(G575,'languoid 4.0'!$A$1:$I$24439,2,FALSE)</f>
        <v>aust1307</v>
      </c>
      <c r="I575" s="29" t="str">
        <f>VLOOKUP(G575,'languoid 4.0'!$A$1:$I$24439,6,FALSE)</f>
        <v>family</v>
      </c>
      <c r="J575" s="30" t="s">
        <v>51</v>
      </c>
      <c r="K575" s="30" t="s">
        <v>51</v>
      </c>
      <c r="L575" s="30" t="s">
        <v>51</v>
      </c>
      <c r="M575" s="29"/>
      <c r="N575" s="29" t="e">
        <v>#N/A</v>
      </c>
      <c r="O575" s="30" t="s">
        <v>690</v>
      </c>
      <c r="P575" s="30"/>
      <c r="Q575" s="29" t="s">
        <v>10880</v>
      </c>
      <c r="R575" s="31" t="s">
        <v>10881</v>
      </c>
      <c r="S575" s="29" t="s">
        <v>10849</v>
      </c>
      <c r="T575" s="29" t="s">
        <v>822</v>
      </c>
      <c r="U575" s="29" t="s">
        <v>67</v>
      </c>
      <c r="V575" s="29" t="s">
        <v>45</v>
      </c>
      <c r="W575" s="29"/>
      <c r="X575" s="29"/>
      <c r="Y575" s="29"/>
      <c r="Z575" s="29" t="s">
        <v>637</v>
      </c>
      <c r="AA575" s="29" t="s">
        <v>10882</v>
      </c>
      <c r="AB575" s="29" t="s">
        <v>10883</v>
      </c>
      <c r="AC575" s="29" t="s">
        <v>46</v>
      </c>
      <c r="AD575" s="29"/>
      <c r="AE575" s="29" t="s">
        <v>641</v>
      </c>
      <c r="AF575" s="29" t="s">
        <v>190</v>
      </c>
      <c r="AG575" s="29">
        <v>6</v>
      </c>
      <c r="AH575" s="29" t="s">
        <v>190</v>
      </c>
      <c r="AI575" s="29"/>
      <c r="AJ575" s="32">
        <v>43355.948692129627</v>
      </c>
      <c r="AK575" s="29" t="s">
        <v>10783</v>
      </c>
    </row>
    <row r="576" spans="1:37" s="33" customFormat="1">
      <c r="A576" s="29" t="str">
        <f>VLOOKUP(H576,Languages!$A$2:$B$430,2,FALSE)</f>
        <v>Austronesian</v>
      </c>
      <c r="B576" s="29" t="s">
        <v>1738</v>
      </c>
      <c r="C576" s="29" t="s">
        <v>66</v>
      </c>
      <c r="D576" s="29" t="s">
        <v>10852</v>
      </c>
      <c r="E576" s="30" t="s">
        <v>10853</v>
      </c>
      <c r="F576" s="30" t="s">
        <v>10853</v>
      </c>
      <c r="G576" s="29" t="s">
        <v>10853</v>
      </c>
      <c r="H576" s="29" t="str">
        <f>VLOOKUP(G576,'languoid 4.0'!$A$1:$I$24439,2,FALSE)</f>
        <v>aust1307</v>
      </c>
      <c r="I576" s="29" t="str">
        <f>VLOOKUP(G576,'languoid 4.0'!$A$1:$I$24439,6,FALSE)</f>
        <v>language</v>
      </c>
      <c r="J576" s="30" t="s">
        <v>38</v>
      </c>
      <c r="K576" s="30" t="s">
        <v>38</v>
      </c>
      <c r="L576" s="30" t="s">
        <v>38</v>
      </c>
      <c r="M576" s="29"/>
      <c r="N576" s="29" t="s">
        <v>10854</v>
      </c>
      <c r="O576" s="30" t="s">
        <v>40</v>
      </c>
      <c r="P576" s="30" t="s">
        <v>41</v>
      </c>
      <c r="Q576" s="29" t="s">
        <v>10942</v>
      </c>
      <c r="R576" s="31" t="s">
        <v>10943</v>
      </c>
      <c r="S576" s="29" t="s">
        <v>10849</v>
      </c>
      <c r="T576" s="29" t="s">
        <v>822</v>
      </c>
      <c r="U576" s="29" t="s">
        <v>10944</v>
      </c>
      <c r="V576" s="29" t="s">
        <v>45</v>
      </c>
      <c r="W576" s="29"/>
      <c r="X576" s="29"/>
      <c r="Y576" s="29"/>
      <c r="Z576" s="29" t="s">
        <v>658</v>
      </c>
      <c r="AA576" s="29" t="s">
        <v>10945</v>
      </c>
      <c r="AB576" s="29" t="s">
        <v>46</v>
      </c>
      <c r="AC576" s="29" t="s">
        <v>46</v>
      </c>
      <c r="AD576" s="29"/>
      <c r="AE576" s="29" t="s">
        <v>641</v>
      </c>
      <c r="AF576" s="29" t="s">
        <v>190</v>
      </c>
      <c r="AG576" s="29">
        <v>6</v>
      </c>
      <c r="AH576" s="29" t="s">
        <v>190</v>
      </c>
      <c r="AI576" s="29"/>
      <c r="AJ576" s="29" t="s">
        <v>10946</v>
      </c>
      <c r="AK576" s="29" t="s">
        <v>10783</v>
      </c>
    </row>
    <row r="577" spans="1:37" s="33" customFormat="1">
      <c r="A577" s="29" t="str">
        <f>VLOOKUP(H577,Languages!$A$2:$B$430,2,FALSE)</f>
        <v>Austronesian</v>
      </c>
      <c r="B577" s="29" t="s">
        <v>1738</v>
      </c>
      <c r="C577" s="29" t="s">
        <v>66</v>
      </c>
      <c r="D577" s="29" t="s">
        <v>10878</v>
      </c>
      <c r="E577" s="30" t="s">
        <v>51</v>
      </c>
      <c r="F577" s="30" t="s">
        <v>51</v>
      </c>
      <c r="G577" s="29" t="s">
        <v>325</v>
      </c>
      <c r="H577" s="29" t="str">
        <f>VLOOKUP(G577,'languoid 4.0'!$A$1:$I$24439,2,FALSE)</f>
        <v>aust1307</v>
      </c>
      <c r="I577" s="29" t="str">
        <f>VLOOKUP(G577,'languoid 4.0'!$A$1:$I$24439,6,FALSE)</f>
        <v>language</v>
      </c>
      <c r="J577" s="30" t="s">
        <v>51</v>
      </c>
      <c r="K577" s="30" t="s">
        <v>51</v>
      </c>
      <c r="L577" s="30" t="s">
        <v>51</v>
      </c>
      <c r="M577" s="29"/>
      <c r="N577" s="29" t="e">
        <v>#N/A</v>
      </c>
      <c r="O577" s="30" t="s">
        <v>690</v>
      </c>
      <c r="P577" s="30"/>
      <c r="Q577" s="29" t="s">
        <v>10947</v>
      </c>
      <c r="R577" s="31" t="s">
        <v>10948</v>
      </c>
      <c r="S577" s="29" t="s">
        <v>10849</v>
      </c>
      <c r="T577" s="29" t="s">
        <v>822</v>
      </c>
      <c r="U577" s="29" t="s">
        <v>636</v>
      </c>
      <c r="V577" s="29" t="s">
        <v>45</v>
      </c>
      <c r="W577" s="29"/>
      <c r="X577" s="29"/>
      <c r="Y577" s="29"/>
      <c r="Z577" s="29" t="s">
        <v>637</v>
      </c>
      <c r="AA577" s="29" t="s">
        <v>10949</v>
      </c>
      <c r="AB577" s="29" t="s">
        <v>10950</v>
      </c>
      <c r="AC577" s="29" t="s">
        <v>46</v>
      </c>
      <c r="AD577" s="29"/>
      <c r="AE577" s="29" t="s">
        <v>641</v>
      </c>
      <c r="AF577" s="29" t="s">
        <v>190</v>
      </c>
      <c r="AG577" s="29">
        <v>6</v>
      </c>
      <c r="AH577" s="29" t="s">
        <v>190</v>
      </c>
      <c r="AI577" s="29" t="s">
        <v>10951</v>
      </c>
      <c r="AJ577" s="29" t="s">
        <v>10952</v>
      </c>
      <c r="AK577" s="29" t="s">
        <v>10783</v>
      </c>
    </row>
    <row r="578" spans="1:37" s="33" customFormat="1">
      <c r="A578" s="29" t="str">
        <f>VLOOKUP(H578,Languages!$A$2:$B$430,2,FALSE)</f>
        <v>Austronesian</v>
      </c>
      <c r="B578" s="29" t="s">
        <v>1738</v>
      </c>
      <c r="C578" s="29" t="s">
        <v>66</v>
      </c>
      <c r="D578" s="29" t="s">
        <v>9566</v>
      </c>
      <c r="E578" s="30" t="s">
        <v>9567</v>
      </c>
      <c r="F578" s="30" t="s">
        <v>9567</v>
      </c>
      <c r="G578" s="29" t="s">
        <v>9567</v>
      </c>
      <c r="H578" s="29" t="str">
        <f>VLOOKUP(G578,'languoid 4.0'!$A$1:$I$24439,2,FALSE)</f>
        <v>aust1307</v>
      </c>
      <c r="I578" s="29" t="str">
        <f>VLOOKUP(G578,'languoid 4.0'!$A$1:$I$24439,6,FALSE)</f>
        <v>language</v>
      </c>
      <c r="J578" s="30" t="s">
        <v>38</v>
      </c>
      <c r="K578" s="30" t="s">
        <v>38</v>
      </c>
      <c r="L578" s="30" t="s">
        <v>38</v>
      </c>
      <c r="M578" s="29"/>
      <c r="N578" s="29" t="s">
        <v>9568</v>
      </c>
      <c r="O578" s="30" t="s">
        <v>40</v>
      </c>
      <c r="P578" s="30" t="s">
        <v>41</v>
      </c>
      <c r="Q578" s="29" t="s">
        <v>11015</v>
      </c>
      <c r="R578" s="31" t="s">
        <v>11016</v>
      </c>
      <c r="S578" s="29" t="s">
        <v>11017</v>
      </c>
      <c r="T578" s="29" t="s">
        <v>822</v>
      </c>
      <c r="U578" s="29" t="s">
        <v>67</v>
      </c>
      <c r="V578" s="29" t="s">
        <v>45</v>
      </c>
      <c r="W578" s="29"/>
      <c r="X578" s="29"/>
      <c r="Y578" s="29"/>
      <c r="Z578" s="29" t="s">
        <v>658</v>
      </c>
      <c r="AA578" s="29" t="s">
        <v>11018</v>
      </c>
      <c r="AB578" s="29" t="s">
        <v>46</v>
      </c>
      <c r="AC578" s="29" t="s">
        <v>46</v>
      </c>
      <c r="AD578" s="29"/>
      <c r="AE578" s="29" t="s">
        <v>641</v>
      </c>
      <c r="AF578" s="29" t="s">
        <v>190</v>
      </c>
      <c r="AG578" s="29">
        <v>6</v>
      </c>
      <c r="AH578" s="29" t="s">
        <v>190</v>
      </c>
      <c r="AI578" s="29"/>
      <c r="AJ578" s="29" t="s">
        <v>11019</v>
      </c>
      <c r="AK578" s="29" t="s">
        <v>10783</v>
      </c>
    </row>
    <row r="579" spans="1:37" s="33" customFormat="1">
      <c r="A579" s="29" t="str">
        <f>VLOOKUP(H579,Languages!$A$2:$B$430,2,FALSE)</f>
        <v>Austronesian</v>
      </c>
      <c r="B579" s="29" t="s">
        <v>1738</v>
      </c>
      <c r="C579" s="29" t="s">
        <v>66</v>
      </c>
      <c r="D579" s="29" t="s">
        <v>9566</v>
      </c>
      <c r="E579" s="30" t="s">
        <v>9567</v>
      </c>
      <c r="F579" s="30" t="s">
        <v>9567</v>
      </c>
      <c r="G579" s="29" t="s">
        <v>9567</v>
      </c>
      <c r="H579" s="29" t="str">
        <f>VLOOKUP(G579,'languoid 4.0'!$A$1:$I$24439,2,FALSE)</f>
        <v>aust1307</v>
      </c>
      <c r="I579" s="29" t="str">
        <f>VLOOKUP(G579,'languoid 4.0'!$A$1:$I$24439,6,FALSE)</f>
        <v>language</v>
      </c>
      <c r="J579" s="30" t="s">
        <v>38</v>
      </c>
      <c r="K579" s="30" t="s">
        <v>38</v>
      </c>
      <c r="L579" s="30" t="s">
        <v>38</v>
      </c>
      <c r="M579" s="29"/>
      <c r="N579" s="29" t="s">
        <v>9568</v>
      </c>
      <c r="O579" s="30" t="s">
        <v>40</v>
      </c>
      <c r="P579" s="30" t="s">
        <v>41</v>
      </c>
      <c r="Q579" s="29" t="s">
        <v>11087</v>
      </c>
      <c r="R579" s="31" t="s">
        <v>11088</v>
      </c>
      <c r="S579" s="29" t="s">
        <v>11017</v>
      </c>
      <c r="T579" s="29" t="s">
        <v>822</v>
      </c>
      <c r="U579" s="29" t="s">
        <v>11089</v>
      </c>
      <c r="V579" s="29" t="s">
        <v>45</v>
      </c>
      <c r="W579" s="29"/>
      <c r="X579" s="29"/>
      <c r="Y579" s="29"/>
      <c r="Z579" s="29" t="s">
        <v>658</v>
      </c>
      <c r="AA579" s="29" t="s">
        <v>11090</v>
      </c>
      <c r="AB579" s="29" t="s">
        <v>46</v>
      </c>
      <c r="AC579" s="29" t="s">
        <v>46</v>
      </c>
      <c r="AD579" s="29"/>
      <c r="AE579" s="29" t="s">
        <v>641</v>
      </c>
      <c r="AF579" s="29" t="s">
        <v>190</v>
      </c>
      <c r="AG579" s="29">
        <v>6</v>
      </c>
      <c r="AH579" s="29" t="s">
        <v>190</v>
      </c>
      <c r="AI579" s="29"/>
      <c r="AJ579" s="29" t="s">
        <v>11091</v>
      </c>
      <c r="AK579" s="29" t="s">
        <v>10783</v>
      </c>
    </row>
    <row r="580" spans="1:37" s="33" customFormat="1">
      <c r="A580" s="29" t="str">
        <f>VLOOKUP(H580,Languages!$A$2:$B$430,2,FALSE)</f>
        <v>Austronesian</v>
      </c>
      <c r="B580" s="29" t="s">
        <v>1738</v>
      </c>
      <c r="C580" s="29" t="s">
        <v>66</v>
      </c>
      <c r="D580" s="29" t="s">
        <v>10878</v>
      </c>
      <c r="E580" s="30" t="s">
        <v>51</v>
      </c>
      <c r="F580" s="30" t="s">
        <v>51</v>
      </c>
      <c r="G580" s="29" t="s">
        <v>325</v>
      </c>
      <c r="H580" s="29" t="str">
        <f>VLOOKUP(G580,'languoid 4.0'!$A$1:$I$24439,2,FALSE)</f>
        <v>aust1307</v>
      </c>
      <c r="I580" s="29" t="str">
        <f>VLOOKUP(G580,'languoid 4.0'!$A$1:$I$24439,6,FALSE)</f>
        <v>language</v>
      </c>
      <c r="J580" s="30" t="s">
        <v>51</v>
      </c>
      <c r="K580" s="30" t="s">
        <v>51</v>
      </c>
      <c r="L580" s="30" t="s">
        <v>51</v>
      </c>
      <c r="M580" s="29"/>
      <c r="N580" s="29" t="e">
        <v>#N/A</v>
      </c>
      <c r="O580" s="30" t="s">
        <v>690</v>
      </c>
      <c r="P580" s="30"/>
      <c r="Q580" s="29" t="s">
        <v>11092</v>
      </c>
      <c r="R580" s="31" t="s">
        <v>11093</v>
      </c>
      <c r="S580" s="29" t="s">
        <v>11017</v>
      </c>
      <c r="T580" s="29" t="s">
        <v>822</v>
      </c>
      <c r="U580" s="29" t="s">
        <v>67</v>
      </c>
      <c r="V580" s="29" t="s">
        <v>45</v>
      </c>
      <c r="W580" s="29"/>
      <c r="X580" s="29"/>
      <c r="Y580" s="29"/>
      <c r="Z580" s="29" t="s">
        <v>637</v>
      </c>
      <c r="AA580" s="29" t="s">
        <v>11094</v>
      </c>
      <c r="AB580" s="29" t="s">
        <v>11095</v>
      </c>
      <c r="AC580" s="29" t="s">
        <v>46</v>
      </c>
      <c r="AD580" s="29"/>
      <c r="AE580" s="29" t="s">
        <v>641</v>
      </c>
      <c r="AF580" s="29" t="s">
        <v>190</v>
      </c>
      <c r="AG580" s="29">
        <v>6</v>
      </c>
      <c r="AH580" s="29" t="s">
        <v>190</v>
      </c>
      <c r="AI580" s="29"/>
      <c r="AJ580" s="29" t="s">
        <v>11096</v>
      </c>
      <c r="AK580" s="29" t="s">
        <v>10783</v>
      </c>
    </row>
    <row r="581" spans="1:37" s="33" customFormat="1">
      <c r="A581" s="29" t="str">
        <f>VLOOKUP(H581,Languages!$A$2:$B$430,2,FALSE)</f>
        <v>Austronesian</v>
      </c>
      <c r="B581" s="29" t="s">
        <v>1738</v>
      </c>
      <c r="C581" s="29" t="s">
        <v>66</v>
      </c>
      <c r="D581" s="29" t="s">
        <v>10824</v>
      </c>
      <c r="E581" s="30" t="s">
        <v>10825</v>
      </c>
      <c r="F581" s="30" t="s">
        <v>10825</v>
      </c>
      <c r="G581" s="29" t="s">
        <v>10825</v>
      </c>
      <c r="H581" s="29" t="str">
        <f>VLOOKUP(G581,'languoid 4.0'!$A$1:$I$24439,2,FALSE)</f>
        <v>aust1307</v>
      </c>
      <c r="I581" s="29" t="str">
        <f>VLOOKUP(G581,'languoid 4.0'!$A$1:$I$24439,6,FALSE)</f>
        <v>language</v>
      </c>
      <c r="J581" s="30" t="s">
        <v>38</v>
      </c>
      <c r="K581" s="30" t="s">
        <v>38</v>
      </c>
      <c r="L581" s="30" t="s">
        <v>38</v>
      </c>
      <c r="M581" s="29"/>
      <c r="N581" s="29" t="s">
        <v>10826</v>
      </c>
      <c r="O581" s="30" t="s">
        <v>40</v>
      </c>
      <c r="P581" s="30" t="s">
        <v>41</v>
      </c>
      <c r="Q581" s="29" t="s">
        <v>11114</v>
      </c>
      <c r="R581" s="31" t="s">
        <v>11115</v>
      </c>
      <c r="S581" s="29" t="s">
        <v>11017</v>
      </c>
      <c r="T581" s="29" t="s">
        <v>822</v>
      </c>
      <c r="U581" s="29" t="s">
        <v>636</v>
      </c>
      <c r="V581" s="29" t="s">
        <v>45</v>
      </c>
      <c r="W581" s="29"/>
      <c r="X581" s="29"/>
      <c r="Y581" s="29"/>
      <c r="Z581" s="29" t="s">
        <v>658</v>
      </c>
      <c r="AA581" s="29" t="s">
        <v>11116</v>
      </c>
      <c r="AB581" s="29" t="s">
        <v>46</v>
      </c>
      <c r="AC581" s="29" t="s">
        <v>46</v>
      </c>
      <c r="AD581" s="29"/>
      <c r="AE581" s="29" t="s">
        <v>641</v>
      </c>
      <c r="AF581" s="29" t="s">
        <v>190</v>
      </c>
      <c r="AG581" s="29">
        <v>6</v>
      </c>
      <c r="AH581" s="29" t="s">
        <v>190</v>
      </c>
      <c r="AI581" s="29"/>
      <c r="AJ581" s="29" t="s">
        <v>11117</v>
      </c>
      <c r="AK581" s="29" t="s">
        <v>10783</v>
      </c>
    </row>
    <row r="582" spans="1:37" s="33" customFormat="1">
      <c r="A582" s="29" t="str">
        <f>VLOOKUP(H582,Languages!$A$2:$B$430,2,FALSE)</f>
        <v>Austronesian</v>
      </c>
      <c r="B582" s="29" t="s">
        <v>1738</v>
      </c>
      <c r="C582" s="29" t="s">
        <v>198</v>
      </c>
      <c r="D582" s="29" t="s">
        <v>2794</v>
      </c>
      <c r="E582" s="30" t="s">
        <v>2795</v>
      </c>
      <c r="F582" s="30" t="s">
        <v>2796</v>
      </c>
      <c r="G582" s="29" t="s">
        <v>2795</v>
      </c>
      <c r="H582" s="29" t="str">
        <f>VLOOKUP(G582,'languoid 4.0'!$A$1:$I$24439,2,FALSE)</f>
        <v>aust1307</v>
      </c>
      <c r="I582" s="29" t="str">
        <f>VLOOKUP(G582,'languoid 4.0'!$A$1:$I$24439,6,FALSE)</f>
        <v>language</v>
      </c>
      <c r="J582" s="30" t="s">
        <v>52</v>
      </c>
      <c r="K582" s="30" t="s">
        <v>38</v>
      </c>
      <c r="L582" s="30" t="s">
        <v>38</v>
      </c>
      <c r="M582" s="29"/>
      <c r="N582" s="29" t="s">
        <v>2797</v>
      </c>
      <c r="O582" s="30" t="s">
        <v>40</v>
      </c>
      <c r="P582" s="30" t="s">
        <v>41</v>
      </c>
      <c r="Q582" s="29" t="s">
        <v>2854</v>
      </c>
      <c r="R582" s="31" t="s">
        <v>2855</v>
      </c>
      <c r="S582" s="29" t="s">
        <v>46</v>
      </c>
      <c r="T582" s="29" t="s">
        <v>2103</v>
      </c>
      <c r="U582" s="29" t="s">
        <v>636</v>
      </c>
      <c r="V582" s="29" t="s">
        <v>45</v>
      </c>
      <c r="W582" s="29"/>
      <c r="X582" s="29"/>
      <c r="Y582" s="29"/>
      <c r="Z582" s="29" t="s">
        <v>673</v>
      </c>
      <c r="AA582" s="29" t="s">
        <v>46</v>
      </c>
      <c r="AB582" s="29" t="s">
        <v>2856</v>
      </c>
      <c r="AC582" s="29" t="s">
        <v>46</v>
      </c>
      <c r="AD582" s="29"/>
      <c r="AE582" s="29"/>
      <c r="AF582" s="29"/>
      <c r="AG582" s="29"/>
      <c r="AH582" s="29" t="s">
        <v>45</v>
      </c>
      <c r="AI582" s="29"/>
      <c r="AJ582" s="32">
        <v>43438.457696759258</v>
      </c>
      <c r="AK582" s="29" t="s">
        <v>1598</v>
      </c>
    </row>
    <row r="583" spans="1:37" s="33" customFormat="1">
      <c r="A583" s="29" t="str">
        <f>VLOOKUP(H583,Languages!$A$2:$B$430,2,FALSE)</f>
        <v>Austronesian</v>
      </c>
      <c r="B583" s="29" t="s">
        <v>1738</v>
      </c>
      <c r="C583" s="29" t="s">
        <v>198</v>
      </c>
      <c r="D583" s="29" t="s">
        <v>199</v>
      </c>
      <c r="E583" s="30" t="s">
        <v>200</v>
      </c>
      <c r="F583" s="30" t="s">
        <v>200</v>
      </c>
      <c r="G583" s="29" t="s">
        <v>200</v>
      </c>
      <c r="H583" s="29" t="str">
        <f>VLOOKUP(G583,'languoid 4.0'!$A$1:$I$24439,2,FALSE)</f>
        <v>aust1307</v>
      </c>
      <c r="I583" s="29" t="str">
        <f>VLOOKUP(G583,'languoid 4.0'!$A$1:$I$24439,6,FALSE)</f>
        <v>language</v>
      </c>
      <c r="J583" s="30" t="s">
        <v>38</v>
      </c>
      <c r="K583" s="30" t="s">
        <v>38</v>
      </c>
      <c r="L583" s="30" t="s">
        <v>38</v>
      </c>
      <c r="M583" s="29"/>
      <c r="N583" s="29" t="s">
        <v>201</v>
      </c>
      <c r="O583" s="30" t="s">
        <v>40</v>
      </c>
      <c r="P583" s="30" t="s">
        <v>41</v>
      </c>
      <c r="Q583" s="29" t="s">
        <v>2857</v>
      </c>
      <c r="R583" s="31" t="s">
        <v>2858</v>
      </c>
      <c r="S583" s="29" t="s">
        <v>46</v>
      </c>
      <c r="T583" s="29" t="s">
        <v>2103</v>
      </c>
      <c r="U583" s="29" t="s">
        <v>636</v>
      </c>
      <c r="V583" s="29" t="s">
        <v>45</v>
      </c>
      <c r="W583" s="29"/>
      <c r="X583" s="29"/>
      <c r="Y583" s="29"/>
      <c r="Z583" s="29" t="s">
        <v>658</v>
      </c>
      <c r="AA583" s="29" t="s">
        <v>2859</v>
      </c>
      <c r="AB583" s="29" t="s">
        <v>46</v>
      </c>
      <c r="AC583" s="29" t="s">
        <v>46</v>
      </c>
      <c r="AD583" s="29"/>
      <c r="AE583" s="29"/>
      <c r="AF583" s="29"/>
      <c r="AG583" s="29"/>
      <c r="AH583" s="29" t="s">
        <v>45</v>
      </c>
      <c r="AI583" s="29"/>
      <c r="AJ583" s="32">
        <v>43438.458564814813</v>
      </c>
      <c r="AK583" s="29" t="s">
        <v>1598</v>
      </c>
    </row>
    <row r="584" spans="1:37" s="33" customFormat="1">
      <c r="A584" s="29" t="str">
        <f>VLOOKUP(H584,Languages!$A$2:$B$430,2,FALSE)</f>
        <v>Austronesian</v>
      </c>
      <c r="B584" s="29" t="s">
        <v>1738</v>
      </c>
      <c r="C584" s="29" t="s">
        <v>198</v>
      </c>
      <c r="D584" s="29" t="s">
        <v>199</v>
      </c>
      <c r="E584" s="30" t="s">
        <v>200</v>
      </c>
      <c r="F584" s="30" t="s">
        <v>200</v>
      </c>
      <c r="G584" s="29" t="s">
        <v>200</v>
      </c>
      <c r="H584" s="29" t="str">
        <f>VLOOKUP(G584,'languoid 4.0'!$A$1:$I$24439,2,FALSE)</f>
        <v>aust1307</v>
      </c>
      <c r="I584" s="29" t="str">
        <f>VLOOKUP(G584,'languoid 4.0'!$A$1:$I$24439,6,FALSE)</f>
        <v>language</v>
      </c>
      <c r="J584" s="30" t="s">
        <v>38</v>
      </c>
      <c r="K584" s="30" t="s">
        <v>38</v>
      </c>
      <c r="L584" s="30" t="s">
        <v>38</v>
      </c>
      <c r="M584" s="29"/>
      <c r="N584" s="29" t="s">
        <v>201</v>
      </c>
      <c r="O584" s="30" t="s">
        <v>40</v>
      </c>
      <c r="P584" s="30" t="s">
        <v>41</v>
      </c>
      <c r="Q584" s="29" t="s">
        <v>2864</v>
      </c>
      <c r="R584" s="31" t="s">
        <v>2865</v>
      </c>
      <c r="S584" s="29" t="s">
        <v>46</v>
      </c>
      <c r="T584" s="29" t="s">
        <v>2103</v>
      </c>
      <c r="U584" s="29" t="s">
        <v>636</v>
      </c>
      <c r="V584" s="29" t="s">
        <v>45</v>
      </c>
      <c r="W584" s="29"/>
      <c r="X584" s="29"/>
      <c r="Y584" s="29"/>
      <c r="Z584" s="29" t="s">
        <v>658</v>
      </c>
      <c r="AA584" s="29" t="s">
        <v>2866</v>
      </c>
      <c r="AB584" s="29" t="s">
        <v>46</v>
      </c>
      <c r="AC584" s="29" t="s">
        <v>46</v>
      </c>
      <c r="AD584" s="29"/>
      <c r="AE584" s="29"/>
      <c r="AF584" s="29"/>
      <c r="AG584" s="29"/>
      <c r="AH584" s="29" t="s">
        <v>45</v>
      </c>
      <c r="AI584" s="29"/>
      <c r="AJ584" s="32">
        <v>43438.459305555552</v>
      </c>
      <c r="AK584" s="29" t="s">
        <v>1598</v>
      </c>
    </row>
    <row r="585" spans="1:37" s="33" customFormat="1">
      <c r="A585" s="29" t="str">
        <f>VLOOKUP(H585,Languages!$A$2:$B$430,2,FALSE)</f>
        <v>Austronesian</v>
      </c>
      <c r="B585" s="29" t="s">
        <v>1738</v>
      </c>
      <c r="C585" s="29" t="s">
        <v>117</v>
      </c>
      <c r="D585" s="29" t="s">
        <v>5046</v>
      </c>
      <c r="E585" s="30" t="s">
        <v>5047</v>
      </c>
      <c r="F585" s="30" t="s">
        <v>5048</v>
      </c>
      <c r="G585" s="29" t="s">
        <v>4363</v>
      </c>
      <c r="H585" s="29" t="str">
        <f>VLOOKUP(G585,'languoid 4.0'!$A$1:$I$24439,2,FALSE)</f>
        <v>aust1307</v>
      </c>
      <c r="I585" s="29" t="str">
        <f>VLOOKUP(G585,'languoid 4.0'!$A$1:$I$24439,6,FALSE)</f>
        <v>family</v>
      </c>
      <c r="J585" s="30" t="s">
        <v>52</v>
      </c>
      <c r="K585" s="30" t="s">
        <v>38</v>
      </c>
      <c r="L585" s="30" t="s">
        <v>38</v>
      </c>
      <c r="M585" s="29"/>
      <c r="N585" s="29" t="s">
        <v>5049</v>
      </c>
      <c r="O585" s="30" t="s">
        <v>40</v>
      </c>
      <c r="P585" s="30" t="s">
        <v>632</v>
      </c>
      <c r="Q585" s="29" t="s">
        <v>5050</v>
      </c>
      <c r="R585" s="31" t="s">
        <v>5051</v>
      </c>
      <c r="S585" s="29" t="s">
        <v>225</v>
      </c>
      <c r="T585" s="29" t="s">
        <v>657</v>
      </c>
      <c r="U585" s="29" t="s">
        <v>1897</v>
      </c>
      <c r="V585" s="29" t="s">
        <v>45</v>
      </c>
      <c r="W585" s="29"/>
      <c r="X585" s="29"/>
      <c r="Y585" s="29"/>
      <c r="Z585" s="29" t="s">
        <v>673</v>
      </c>
      <c r="AA585" s="29" t="s">
        <v>5052</v>
      </c>
      <c r="AB585" s="29" t="s">
        <v>5053</v>
      </c>
      <c r="AC585" s="29" t="s">
        <v>46</v>
      </c>
      <c r="AD585" s="29" t="s">
        <v>5054</v>
      </c>
      <c r="AE585" s="29" t="s">
        <v>641</v>
      </c>
      <c r="AF585" s="29" t="s">
        <v>190</v>
      </c>
      <c r="AG585" s="29">
        <v>6</v>
      </c>
      <c r="AH585" s="29" t="s">
        <v>190</v>
      </c>
      <c r="AI585" s="29"/>
      <c r="AJ585" s="29" t="s">
        <v>5055</v>
      </c>
      <c r="AK585" s="29" t="s">
        <v>4268</v>
      </c>
    </row>
    <row r="586" spans="1:37" s="33" customFormat="1">
      <c r="A586" s="29" t="str">
        <f>VLOOKUP(H586,Languages!$A$2:$B$430,2,FALSE)</f>
        <v>Austronesian</v>
      </c>
      <c r="B586" s="29" t="s">
        <v>1738</v>
      </c>
      <c r="C586" s="29" t="s">
        <v>117</v>
      </c>
      <c r="D586" s="29" t="s">
        <v>5135</v>
      </c>
      <c r="E586" s="30" t="s">
        <v>5136</v>
      </c>
      <c r="F586" s="30" t="s">
        <v>5137</v>
      </c>
      <c r="G586" s="29" t="s">
        <v>5136</v>
      </c>
      <c r="H586" s="29" t="str">
        <f>VLOOKUP(G586,'languoid 4.0'!$A$1:$I$24439,2,FALSE)</f>
        <v>aust1307</v>
      </c>
      <c r="I586" s="29" t="str">
        <f>VLOOKUP(G586,'languoid 4.0'!$A$1:$I$24439,6,FALSE)</f>
        <v>language</v>
      </c>
      <c r="J586" s="30" t="s">
        <v>52</v>
      </c>
      <c r="K586" s="30" t="s">
        <v>38</v>
      </c>
      <c r="L586" s="30" t="s">
        <v>38</v>
      </c>
      <c r="M586" s="29"/>
      <c r="N586" s="29" t="s">
        <v>5138</v>
      </c>
      <c r="O586" s="30" t="s">
        <v>40</v>
      </c>
      <c r="P586" s="30" t="s">
        <v>41</v>
      </c>
      <c r="Q586" s="29" t="s">
        <v>5139</v>
      </c>
      <c r="R586" s="31" t="s">
        <v>5140</v>
      </c>
      <c r="S586" s="29" t="s">
        <v>5141</v>
      </c>
      <c r="T586" s="29" t="s">
        <v>657</v>
      </c>
      <c r="U586" s="29" t="s">
        <v>5142</v>
      </c>
      <c r="V586" s="29" t="s">
        <v>45</v>
      </c>
      <c r="W586" s="29"/>
      <c r="X586" s="29"/>
      <c r="Y586" s="29"/>
      <c r="Z586" s="29" t="s">
        <v>637</v>
      </c>
      <c r="AA586" s="29" t="s">
        <v>5143</v>
      </c>
      <c r="AB586" s="29" t="s">
        <v>5144</v>
      </c>
      <c r="AC586" s="29" t="s">
        <v>46</v>
      </c>
      <c r="AD586" s="29" t="s">
        <v>5133</v>
      </c>
      <c r="AE586" s="29" t="s">
        <v>641</v>
      </c>
      <c r="AF586" s="29" t="s">
        <v>45</v>
      </c>
      <c r="AG586" s="29">
        <v>1</v>
      </c>
      <c r="AH586" s="29" t="s">
        <v>190</v>
      </c>
      <c r="AI586" s="29"/>
      <c r="AJ586" s="29" t="s">
        <v>5145</v>
      </c>
      <c r="AK586" s="29" t="s">
        <v>4268</v>
      </c>
    </row>
    <row r="587" spans="1:37" s="33" customFormat="1">
      <c r="A587" s="29" t="str">
        <f>VLOOKUP(H587,Languages!$A$2:$B$430,2,FALSE)</f>
        <v>Austronesian</v>
      </c>
      <c r="B587" s="29" t="s">
        <v>1738</v>
      </c>
      <c r="C587" s="29" t="s">
        <v>117</v>
      </c>
      <c r="D587" s="29" t="s">
        <v>5301</v>
      </c>
      <c r="E587" s="30" t="s">
        <v>5302</v>
      </c>
      <c r="F587" s="30" t="s">
        <v>5302</v>
      </c>
      <c r="G587" s="29" t="s">
        <v>5302</v>
      </c>
      <c r="H587" s="29" t="str">
        <f>VLOOKUP(G587,'languoid 4.0'!$A$1:$I$24439,2,FALSE)</f>
        <v>aust1307</v>
      </c>
      <c r="I587" s="29" t="str">
        <f>VLOOKUP(G587,'languoid 4.0'!$A$1:$I$24439,6,FALSE)</f>
        <v>language</v>
      </c>
      <c r="J587" s="30" t="s">
        <v>38</v>
      </c>
      <c r="K587" s="30" t="s">
        <v>38</v>
      </c>
      <c r="L587" s="30" t="s">
        <v>38</v>
      </c>
      <c r="M587" s="29"/>
      <c r="N587" s="29" t="s">
        <v>5303</v>
      </c>
      <c r="O587" s="30" t="s">
        <v>40</v>
      </c>
      <c r="P587" s="30" t="s">
        <v>41</v>
      </c>
      <c r="Q587" s="29" t="s">
        <v>5304</v>
      </c>
      <c r="R587" s="31" t="s">
        <v>5305</v>
      </c>
      <c r="S587" s="29">
        <v>103</v>
      </c>
      <c r="T587" s="29" t="s">
        <v>635</v>
      </c>
      <c r="U587" s="29" t="s">
        <v>3916</v>
      </c>
      <c r="V587" s="29" t="s">
        <v>45</v>
      </c>
      <c r="W587" s="29"/>
      <c r="X587" s="29"/>
      <c r="Y587" s="29"/>
      <c r="Z587" s="29" t="s">
        <v>658</v>
      </c>
      <c r="AA587" s="29" t="s">
        <v>5306</v>
      </c>
      <c r="AB587" s="29" t="s">
        <v>46</v>
      </c>
      <c r="AC587" s="29" t="s">
        <v>46</v>
      </c>
      <c r="AD587" s="29"/>
      <c r="AE587" s="29" t="s">
        <v>641</v>
      </c>
      <c r="AF587" s="29" t="s">
        <v>190</v>
      </c>
      <c r="AG587" s="29">
        <v>6</v>
      </c>
      <c r="AH587" s="29" t="s">
        <v>190</v>
      </c>
      <c r="AI587" s="29"/>
      <c r="AJ587" s="29" t="s">
        <v>5307</v>
      </c>
      <c r="AK587" s="29" t="s">
        <v>4268</v>
      </c>
    </row>
    <row r="588" spans="1:37" s="33" customFormat="1">
      <c r="A588" s="29" t="str">
        <f>VLOOKUP(H588,Languages!$A$2:$B$430,2,FALSE)</f>
        <v>Austronesian</v>
      </c>
      <c r="B588" s="29" t="s">
        <v>1738</v>
      </c>
      <c r="C588" s="29" t="s">
        <v>117</v>
      </c>
      <c r="D588" s="29" t="s">
        <v>5039</v>
      </c>
      <c r="E588" s="30" t="s">
        <v>51</v>
      </c>
      <c r="F588" s="30" t="s">
        <v>5040</v>
      </c>
      <c r="G588" s="29" t="s">
        <v>5040</v>
      </c>
      <c r="H588" s="29" t="str">
        <f>VLOOKUP(G588,'languoid 4.0'!$A$1:$I$24439,2,FALSE)</f>
        <v>aust1307</v>
      </c>
      <c r="I588" s="29" t="str">
        <f>VLOOKUP(G588,'languoid 4.0'!$A$1:$I$24439,6,FALSE)</f>
        <v>language</v>
      </c>
      <c r="J588" s="30" t="s">
        <v>52</v>
      </c>
      <c r="K588" s="30" t="s">
        <v>51</v>
      </c>
      <c r="L588" s="30" t="s">
        <v>51</v>
      </c>
      <c r="M588" s="29"/>
      <c r="N588" s="29" t="e">
        <v>#N/A</v>
      </c>
      <c r="O588" s="30" t="s">
        <v>690</v>
      </c>
      <c r="P588" s="30"/>
      <c r="Q588" s="29" t="s">
        <v>5496</v>
      </c>
      <c r="R588" s="31" t="s">
        <v>5497</v>
      </c>
      <c r="S588" s="29" t="s">
        <v>46</v>
      </c>
      <c r="T588" s="29" t="s">
        <v>635</v>
      </c>
      <c r="U588" s="29" t="s">
        <v>3916</v>
      </c>
      <c r="V588" s="29" t="s">
        <v>45</v>
      </c>
      <c r="W588" s="29"/>
      <c r="X588" s="29"/>
      <c r="Y588" s="29"/>
      <c r="Z588" s="29" t="s">
        <v>637</v>
      </c>
      <c r="AA588" s="29" t="s">
        <v>5498</v>
      </c>
      <c r="AB588" s="29" t="s">
        <v>5499</v>
      </c>
      <c r="AC588" s="29" t="s">
        <v>46</v>
      </c>
      <c r="AD588" s="29" t="s">
        <v>5500</v>
      </c>
      <c r="AE588" s="29" t="s">
        <v>641</v>
      </c>
      <c r="AF588" s="29" t="s">
        <v>190</v>
      </c>
      <c r="AG588" s="29">
        <v>5</v>
      </c>
      <c r="AH588" s="29" t="s">
        <v>190</v>
      </c>
      <c r="AI588" s="29"/>
      <c r="AJ588" s="29" t="s">
        <v>5501</v>
      </c>
      <c r="AK588" s="29" t="s">
        <v>4268</v>
      </c>
    </row>
    <row r="589" spans="1:37" s="33" customFormat="1">
      <c r="A589" s="29" t="str">
        <f>VLOOKUP(H589,Languages!$A$2:$B$430,2,FALSE)</f>
        <v>Austronesian</v>
      </c>
      <c r="B589" s="29" t="s">
        <v>1738</v>
      </c>
      <c r="C589" s="29" t="s">
        <v>117</v>
      </c>
      <c r="D589" s="29" t="s">
        <v>5502</v>
      </c>
      <c r="E589" s="30" t="s">
        <v>5503</v>
      </c>
      <c r="F589" s="30" t="s">
        <v>5504</v>
      </c>
      <c r="G589" s="29" t="s">
        <v>5503</v>
      </c>
      <c r="H589" s="29" t="str">
        <f>VLOOKUP(G589,'languoid 4.0'!$A$1:$I$24439,2,FALSE)</f>
        <v>aust1307</v>
      </c>
      <c r="I589" s="29" t="str">
        <f>VLOOKUP(G589,'languoid 4.0'!$A$1:$I$24439,6,FALSE)</f>
        <v>language</v>
      </c>
      <c r="J589" s="30" t="s">
        <v>52</v>
      </c>
      <c r="K589" s="30" t="s">
        <v>38</v>
      </c>
      <c r="L589" s="30" t="s">
        <v>38</v>
      </c>
      <c r="M589" s="29"/>
      <c r="N589" s="29" t="s">
        <v>5505</v>
      </c>
      <c r="O589" s="30" t="s">
        <v>40</v>
      </c>
      <c r="P589" s="30" t="s">
        <v>41</v>
      </c>
      <c r="Q589" s="29" t="s">
        <v>5506</v>
      </c>
      <c r="R589" s="31" t="s">
        <v>5507</v>
      </c>
      <c r="S589" s="29" t="s">
        <v>46</v>
      </c>
      <c r="T589" s="29" t="s">
        <v>635</v>
      </c>
      <c r="U589" s="29" t="s">
        <v>3916</v>
      </c>
      <c r="V589" s="29" t="s">
        <v>45</v>
      </c>
      <c r="W589" s="29"/>
      <c r="X589" s="29"/>
      <c r="Y589" s="29"/>
      <c r="Z589" s="29" t="s">
        <v>637</v>
      </c>
      <c r="AA589" s="29" t="s">
        <v>5508</v>
      </c>
      <c r="AB589" s="29" t="s">
        <v>5509</v>
      </c>
      <c r="AC589" s="29" t="s">
        <v>46</v>
      </c>
      <c r="AD589" s="29"/>
      <c r="AE589" s="29" t="s">
        <v>641</v>
      </c>
      <c r="AF589" s="29" t="s">
        <v>190</v>
      </c>
      <c r="AG589" s="29">
        <v>6</v>
      </c>
      <c r="AH589" s="29" t="s">
        <v>190</v>
      </c>
      <c r="AI589" s="29"/>
      <c r="AJ589" s="29" t="s">
        <v>5510</v>
      </c>
      <c r="AK589" s="29" t="s">
        <v>4268</v>
      </c>
    </row>
    <row r="590" spans="1:37" s="33" customFormat="1">
      <c r="A590" s="29" t="str">
        <f>VLOOKUP(H590,Languages!$A$2:$B$430,2,FALSE)</f>
        <v>Austronesian</v>
      </c>
      <c r="B590" s="29" t="s">
        <v>1738</v>
      </c>
      <c r="C590" s="29" t="s">
        <v>117</v>
      </c>
      <c r="D590" s="29" t="s">
        <v>5573</v>
      </c>
      <c r="E590" s="30" t="s">
        <v>5574</v>
      </c>
      <c r="F590" s="30" t="s">
        <v>5575</v>
      </c>
      <c r="G590" s="29" t="s">
        <v>5576</v>
      </c>
      <c r="H590" s="29" t="str">
        <f>VLOOKUP(G590,'languoid 4.0'!$A$1:$I$24439,2,FALSE)</f>
        <v>aust1307</v>
      </c>
      <c r="I590" s="29" t="str">
        <f>VLOOKUP(G590,'languoid 4.0'!$A$1:$I$24439,6,FALSE)</f>
        <v>family</v>
      </c>
      <c r="J590" s="30" t="s">
        <v>52</v>
      </c>
      <c r="K590" s="30" t="s">
        <v>38</v>
      </c>
      <c r="L590" s="30" t="s">
        <v>38</v>
      </c>
      <c r="M590" s="29"/>
      <c r="N590" s="29" t="s">
        <v>5577</v>
      </c>
      <c r="O590" s="30" t="s">
        <v>40</v>
      </c>
      <c r="P590" s="30" t="s">
        <v>41</v>
      </c>
      <c r="Q590" s="29" t="s">
        <v>5586</v>
      </c>
      <c r="R590" s="31" t="s">
        <v>4512</v>
      </c>
      <c r="S590" s="29" t="s">
        <v>46</v>
      </c>
      <c r="T590" s="29" t="s">
        <v>635</v>
      </c>
      <c r="U590" s="29" t="s">
        <v>2511</v>
      </c>
      <c r="V590" s="29" t="s">
        <v>45</v>
      </c>
      <c r="W590" s="29"/>
      <c r="X590" s="29"/>
      <c r="Y590" s="29"/>
      <c r="Z590" s="29" t="s">
        <v>637</v>
      </c>
      <c r="AA590" s="29" t="s">
        <v>5587</v>
      </c>
      <c r="AB590" s="29" t="s">
        <v>5588</v>
      </c>
      <c r="AC590" s="29" t="s">
        <v>46</v>
      </c>
      <c r="AD590" s="29" t="s">
        <v>5589</v>
      </c>
      <c r="AE590" s="29"/>
      <c r="AF590" s="29"/>
      <c r="AG590" s="29"/>
      <c r="AH590" s="29" t="s">
        <v>45</v>
      </c>
      <c r="AI590" s="29"/>
      <c r="AJ590" s="29" t="s">
        <v>5590</v>
      </c>
      <c r="AK590" s="29" t="s">
        <v>4268</v>
      </c>
    </row>
    <row r="591" spans="1:37" s="33" customFormat="1">
      <c r="A591" s="29" t="str">
        <f>VLOOKUP(H591,Languages!$A$2:$B$430,2,FALSE)</f>
        <v>Austronesian</v>
      </c>
      <c r="B591" s="29" t="s">
        <v>1738</v>
      </c>
      <c r="C591" s="29" t="s">
        <v>255</v>
      </c>
      <c r="D591" s="29" t="s">
        <v>2084</v>
      </c>
      <c r="E591" s="30" t="s">
        <v>2085</v>
      </c>
      <c r="F591" s="30" t="s">
        <v>2077</v>
      </c>
      <c r="G591" s="29" t="s">
        <v>2085</v>
      </c>
      <c r="H591" s="29" t="str">
        <f>VLOOKUP(G591,'languoid 4.0'!$A$1:$I$24439,2,FALSE)</f>
        <v>aust1307</v>
      </c>
      <c r="I591" s="29" t="str">
        <f>VLOOKUP(G591,'languoid 4.0'!$A$1:$I$24439,6,FALSE)</f>
        <v>language</v>
      </c>
      <c r="J591" s="30" t="s">
        <v>52</v>
      </c>
      <c r="K591" s="30" t="s">
        <v>38</v>
      </c>
      <c r="L591" s="30" t="s">
        <v>38</v>
      </c>
      <c r="M591" s="29"/>
      <c r="N591" s="29" t="s">
        <v>2086</v>
      </c>
      <c r="O591" s="30" t="s">
        <v>40</v>
      </c>
      <c r="P591" s="30" t="s">
        <v>41</v>
      </c>
      <c r="Q591" s="29" t="s">
        <v>3909</v>
      </c>
      <c r="R591" s="31" t="s">
        <v>3910</v>
      </c>
      <c r="S591" s="29" t="s">
        <v>46</v>
      </c>
      <c r="T591" s="29" t="s">
        <v>635</v>
      </c>
      <c r="U591" s="29" t="s">
        <v>636</v>
      </c>
      <c r="V591" s="29" t="s">
        <v>45</v>
      </c>
      <c r="W591" s="29"/>
      <c r="X591" s="29"/>
      <c r="Y591" s="29"/>
      <c r="Z591" s="29" t="s">
        <v>658</v>
      </c>
      <c r="AA591" s="29" t="s">
        <v>3911</v>
      </c>
      <c r="AB591" s="29" t="s">
        <v>3912</v>
      </c>
      <c r="AC591" s="29" t="s">
        <v>46</v>
      </c>
      <c r="AD591" s="29"/>
      <c r="AE591" s="29" t="s">
        <v>641</v>
      </c>
      <c r="AF591" s="29" t="s">
        <v>190</v>
      </c>
      <c r="AG591" s="29">
        <v>3</v>
      </c>
      <c r="AH591" s="29" t="s">
        <v>190</v>
      </c>
      <c r="AI591" s="29"/>
      <c r="AJ591" s="29" t="s">
        <v>3913</v>
      </c>
      <c r="AK591" s="29" t="s">
        <v>1749</v>
      </c>
    </row>
    <row r="592" spans="1:37" s="33" customFormat="1">
      <c r="A592" s="29" t="str">
        <f>VLOOKUP(H592,Languages!$A$2:$B$430,2,FALSE)</f>
        <v>Austronesian</v>
      </c>
      <c r="B592" s="29" t="s">
        <v>1738</v>
      </c>
      <c r="C592" s="29" t="s">
        <v>255</v>
      </c>
      <c r="D592" s="29" t="s">
        <v>2084</v>
      </c>
      <c r="E592" s="30" t="s">
        <v>2085</v>
      </c>
      <c r="F592" s="30" t="s">
        <v>2077</v>
      </c>
      <c r="G592" s="29" t="s">
        <v>2085</v>
      </c>
      <c r="H592" s="29" t="str">
        <f>VLOOKUP(G592,'languoid 4.0'!$A$1:$I$24439,2,FALSE)</f>
        <v>aust1307</v>
      </c>
      <c r="I592" s="29" t="str">
        <f>VLOOKUP(G592,'languoid 4.0'!$A$1:$I$24439,6,FALSE)</f>
        <v>language</v>
      </c>
      <c r="J592" s="30" t="s">
        <v>52</v>
      </c>
      <c r="K592" s="30" t="s">
        <v>38</v>
      </c>
      <c r="L592" s="30" t="s">
        <v>38</v>
      </c>
      <c r="M592" s="29"/>
      <c r="N592" s="29" t="s">
        <v>2086</v>
      </c>
      <c r="O592" s="30" t="s">
        <v>40</v>
      </c>
      <c r="P592" s="30" t="s">
        <v>41</v>
      </c>
      <c r="Q592" s="29" t="s">
        <v>3914</v>
      </c>
      <c r="R592" s="31" t="s">
        <v>3915</v>
      </c>
      <c r="S592" s="29" t="s">
        <v>46</v>
      </c>
      <c r="T592" s="29" t="s">
        <v>635</v>
      </c>
      <c r="U592" s="29" t="s">
        <v>3916</v>
      </c>
      <c r="V592" s="29" t="s">
        <v>45</v>
      </c>
      <c r="W592" s="29"/>
      <c r="X592" s="29"/>
      <c r="Y592" s="29"/>
      <c r="Z592" s="29" t="s">
        <v>658</v>
      </c>
      <c r="AA592" s="29" t="s">
        <v>3917</v>
      </c>
      <c r="AB592" s="29" t="s">
        <v>3918</v>
      </c>
      <c r="AC592" s="29" t="s">
        <v>46</v>
      </c>
      <c r="AD592" s="29"/>
      <c r="AE592" s="29" t="s">
        <v>641</v>
      </c>
      <c r="AF592" s="29" t="s">
        <v>190</v>
      </c>
      <c r="AG592" s="29">
        <v>6</v>
      </c>
      <c r="AH592" s="29" t="s">
        <v>190</v>
      </c>
      <c r="AI592" s="29"/>
      <c r="AJ592" s="29" t="s">
        <v>3919</v>
      </c>
      <c r="AK592" s="29" t="s">
        <v>1749</v>
      </c>
    </row>
    <row r="593" spans="1:37" s="33" customFormat="1">
      <c r="A593" s="29" t="str">
        <f>VLOOKUP(H593,Languages!$A$2:$B$430,2,FALSE)</f>
        <v>Austronesian</v>
      </c>
      <c r="B593" s="29" t="s">
        <v>1738</v>
      </c>
      <c r="C593" s="29" t="s">
        <v>255</v>
      </c>
      <c r="D593" s="29" t="s">
        <v>2084</v>
      </c>
      <c r="E593" s="30" t="s">
        <v>2085</v>
      </c>
      <c r="F593" s="30" t="s">
        <v>2077</v>
      </c>
      <c r="G593" s="29" t="s">
        <v>2085</v>
      </c>
      <c r="H593" s="29" t="str">
        <f>VLOOKUP(G593,'languoid 4.0'!$A$1:$I$24439,2,FALSE)</f>
        <v>aust1307</v>
      </c>
      <c r="I593" s="29" t="str">
        <f>VLOOKUP(G593,'languoid 4.0'!$A$1:$I$24439,6,FALSE)</f>
        <v>language</v>
      </c>
      <c r="J593" s="30" t="s">
        <v>52</v>
      </c>
      <c r="K593" s="30" t="s">
        <v>38</v>
      </c>
      <c r="L593" s="30" t="s">
        <v>38</v>
      </c>
      <c r="M593" s="29"/>
      <c r="N593" s="29" t="s">
        <v>2086</v>
      </c>
      <c r="O593" s="30" t="s">
        <v>40</v>
      </c>
      <c r="P593" s="30" t="s">
        <v>41</v>
      </c>
      <c r="Q593" s="29" t="s">
        <v>3920</v>
      </c>
      <c r="R593" s="31" t="s">
        <v>3921</v>
      </c>
      <c r="S593" s="29" t="s">
        <v>46</v>
      </c>
      <c r="T593" s="29" t="s">
        <v>635</v>
      </c>
      <c r="U593" s="29" t="s">
        <v>3916</v>
      </c>
      <c r="V593" s="29" t="s">
        <v>45</v>
      </c>
      <c r="W593" s="29"/>
      <c r="X593" s="29"/>
      <c r="Y593" s="29"/>
      <c r="Z593" s="29" t="s">
        <v>658</v>
      </c>
      <c r="AA593" s="29" t="s">
        <v>3922</v>
      </c>
      <c r="AB593" s="29" t="s">
        <v>3923</v>
      </c>
      <c r="AC593" s="29" t="s">
        <v>46</v>
      </c>
      <c r="AD593" s="29"/>
      <c r="AE593" s="29" t="s">
        <v>641</v>
      </c>
      <c r="AF593" s="29" t="s">
        <v>190</v>
      </c>
      <c r="AG593" s="29">
        <v>6</v>
      </c>
      <c r="AH593" s="29" t="s">
        <v>190</v>
      </c>
      <c r="AI593" s="29"/>
      <c r="AJ593" s="29" t="s">
        <v>3924</v>
      </c>
      <c r="AK593" s="29" t="s">
        <v>1749</v>
      </c>
    </row>
    <row r="594" spans="1:37" s="33" customFormat="1">
      <c r="A594" s="29" t="str">
        <f>VLOOKUP(H594,Languages!$A$2:$B$430,2,FALSE)</f>
        <v>Austronesian</v>
      </c>
      <c r="B594" s="29" t="s">
        <v>1738</v>
      </c>
      <c r="C594" s="29" t="s">
        <v>255</v>
      </c>
      <c r="D594" s="29" t="s">
        <v>3925</v>
      </c>
      <c r="E594" s="30" t="s">
        <v>3926</v>
      </c>
      <c r="F594" s="30" t="s">
        <v>2077</v>
      </c>
      <c r="G594" s="29" t="s">
        <v>3926</v>
      </c>
      <c r="H594" s="29" t="str">
        <f>VLOOKUP(G594,'languoid 4.0'!$A$1:$I$24439,2,FALSE)</f>
        <v>aust1307</v>
      </c>
      <c r="I594" s="29" t="str">
        <f>VLOOKUP(G594,'languoid 4.0'!$A$1:$I$24439,6,FALSE)</f>
        <v>language</v>
      </c>
      <c r="J594" s="30" t="s">
        <v>52</v>
      </c>
      <c r="K594" s="30" t="s">
        <v>38</v>
      </c>
      <c r="L594" s="30" t="s">
        <v>38</v>
      </c>
      <c r="M594" s="29"/>
      <c r="N594" s="29" t="s">
        <v>3927</v>
      </c>
      <c r="O594" s="30" t="s">
        <v>40</v>
      </c>
      <c r="P594" s="30" t="s">
        <v>41</v>
      </c>
      <c r="Q594" s="29" t="s">
        <v>3933</v>
      </c>
      <c r="R594" s="31" t="s">
        <v>3934</v>
      </c>
      <c r="S594" s="29" t="s">
        <v>46</v>
      </c>
      <c r="T594" s="29" t="s">
        <v>635</v>
      </c>
      <c r="U594" s="29" t="s">
        <v>3916</v>
      </c>
      <c r="V594" s="29" t="s">
        <v>45</v>
      </c>
      <c r="W594" s="29"/>
      <c r="X594" s="29"/>
      <c r="Y594" s="29"/>
      <c r="Z594" s="29" t="s">
        <v>658</v>
      </c>
      <c r="AA594" s="29" t="s">
        <v>3935</v>
      </c>
      <c r="AB594" s="29" t="s">
        <v>3936</v>
      </c>
      <c r="AC594" s="29" t="s">
        <v>46</v>
      </c>
      <c r="AD594" s="29"/>
      <c r="AE594" s="29" t="s">
        <v>641</v>
      </c>
      <c r="AF594" s="29" t="s">
        <v>190</v>
      </c>
      <c r="AG594" s="29">
        <v>6</v>
      </c>
      <c r="AH594" s="29" t="s">
        <v>190</v>
      </c>
      <c r="AI594" s="29"/>
      <c r="AJ594" s="29" t="s">
        <v>3937</v>
      </c>
      <c r="AK594" s="29" t="s">
        <v>1749</v>
      </c>
    </row>
    <row r="595" spans="1:37" s="33" customFormat="1">
      <c r="A595" s="29" t="str">
        <f>VLOOKUP(H595,Languages!$A$2:$B$430,2,FALSE)</f>
        <v>Austronesian</v>
      </c>
      <c r="B595" s="29" t="s">
        <v>1812</v>
      </c>
      <c r="C595" s="29" t="s">
        <v>82</v>
      </c>
      <c r="D595" s="29" t="s">
        <v>9608</v>
      </c>
      <c r="E595" s="30" t="s">
        <v>4436</v>
      </c>
      <c r="F595" s="30" t="s">
        <v>4436</v>
      </c>
      <c r="G595" s="29" t="s">
        <v>4436</v>
      </c>
      <c r="H595" s="29" t="str">
        <f>VLOOKUP(G595,'languoid 4.0'!$A$1:$I$24439,2,FALSE)</f>
        <v>aust1307</v>
      </c>
      <c r="I595" s="29" t="str">
        <f>VLOOKUP(G595,'languoid 4.0'!$A$1:$I$24439,6,FALSE)</f>
        <v>language</v>
      </c>
      <c r="J595" s="30" t="s">
        <v>38</v>
      </c>
      <c r="K595" s="30" t="s">
        <v>38</v>
      </c>
      <c r="L595" s="30" t="s">
        <v>38</v>
      </c>
      <c r="M595" s="29"/>
      <c r="N595" s="29" t="s">
        <v>4437</v>
      </c>
      <c r="O595" s="30" t="s">
        <v>40</v>
      </c>
      <c r="P595" s="30" t="s">
        <v>41</v>
      </c>
      <c r="Q595" s="29" t="s">
        <v>9609</v>
      </c>
      <c r="R595" s="31" t="s">
        <v>9610</v>
      </c>
      <c r="S595" s="29" t="s">
        <v>138</v>
      </c>
      <c r="T595" s="29" t="s">
        <v>8277</v>
      </c>
      <c r="U595" s="29" t="s">
        <v>636</v>
      </c>
      <c r="V595" s="29" t="s">
        <v>45</v>
      </c>
      <c r="W595" s="29"/>
      <c r="X595" s="29"/>
      <c r="Y595" s="29"/>
      <c r="Z595" s="29" t="s">
        <v>673</v>
      </c>
      <c r="AA595" s="29" t="s">
        <v>9611</v>
      </c>
      <c r="AB595" s="29" t="s">
        <v>9612</v>
      </c>
      <c r="AC595" s="29" t="s">
        <v>46</v>
      </c>
      <c r="AD595" s="29"/>
      <c r="AE595" s="29" t="s">
        <v>641</v>
      </c>
      <c r="AF595" s="29" t="s">
        <v>190</v>
      </c>
      <c r="AG595" s="29">
        <v>5</v>
      </c>
      <c r="AH595" s="29" t="s">
        <v>190</v>
      </c>
      <c r="AI595" s="29"/>
      <c r="AJ595" s="32">
        <v>43414.67083333333</v>
      </c>
      <c r="AK595" s="29" t="s">
        <v>9595</v>
      </c>
    </row>
    <row r="596" spans="1:37" s="33" customFormat="1">
      <c r="A596" s="29" t="str">
        <f>VLOOKUP(H596,Languages!$A$2:$B$430,2,FALSE)</f>
        <v>Austronesian</v>
      </c>
      <c r="B596" s="29" t="s">
        <v>1812</v>
      </c>
      <c r="C596" s="29" t="s">
        <v>75</v>
      </c>
      <c r="D596" s="29" t="s">
        <v>7805</v>
      </c>
      <c r="E596" s="30" t="s">
        <v>7806</v>
      </c>
      <c r="F596" s="30" t="s">
        <v>7798</v>
      </c>
      <c r="G596" s="29" t="s">
        <v>7798</v>
      </c>
      <c r="H596" s="29" t="str">
        <f>VLOOKUP(G596,'languoid 4.0'!$A$1:$I$24439,2,FALSE)</f>
        <v>aust1307</v>
      </c>
      <c r="I596" s="29" t="str">
        <f>VLOOKUP(G596,'languoid 4.0'!$A$1:$I$24439,6,FALSE)</f>
        <v>family</v>
      </c>
      <c r="J596" s="30" t="s">
        <v>52</v>
      </c>
      <c r="K596" s="30" t="s">
        <v>38</v>
      </c>
      <c r="L596" s="30" t="s">
        <v>38</v>
      </c>
      <c r="M596" s="29"/>
      <c r="N596" s="29" t="s">
        <v>7807</v>
      </c>
      <c r="O596" s="30" t="s">
        <v>40</v>
      </c>
      <c r="P596" s="30" t="s">
        <v>41</v>
      </c>
      <c r="Q596" s="29" t="s">
        <v>7822</v>
      </c>
      <c r="R596" s="31" t="s">
        <v>7823</v>
      </c>
      <c r="S596" s="29" t="s">
        <v>46</v>
      </c>
      <c r="T596" s="29" t="s">
        <v>635</v>
      </c>
      <c r="U596" s="29" t="s">
        <v>636</v>
      </c>
      <c r="V596" s="29" t="s">
        <v>45</v>
      </c>
      <c r="W596" s="29"/>
      <c r="X596" s="29"/>
      <c r="Y596" s="29"/>
      <c r="Z596" s="29" t="s">
        <v>637</v>
      </c>
      <c r="AA596" s="29" t="s">
        <v>7824</v>
      </c>
      <c r="AB596" s="29" t="s">
        <v>46</v>
      </c>
      <c r="AC596" s="29" t="s">
        <v>46</v>
      </c>
      <c r="AD596" s="29" t="s">
        <v>7825</v>
      </c>
      <c r="AE596" s="29" t="s">
        <v>641</v>
      </c>
      <c r="AF596" s="29" t="s">
        <v>190</v>
      </c>
      <c r="AG596" s="29">
        <v>6</v>
      </c>
      <c r="AH596" s="29" t="s">
        <v>190</v>
      </c>
      <c r="AI596" s="29"/>
      <c r="AJ596" s="29" t="s">
        <v>7826</v>
      </c>
      <c r="AK596" s="29" t="s">
        <v>5640</v>
      </c>
    </row>
    <row r="597" spans="1:37" s="33" customFormat="1">
      <c r="A597" s="29" t="str">
        <f>VLOOKUP(H597,Languages!$A$2:$B$430,2,FALSE)</f>
        <v>Austronesian</v>
      </c>
      <c r="B597" s="29" t="s">
        <v>1812</v>
      </c>
      <c r="C597" s="29" t="s">
        <v>75</v>
      </c>
      <c r="D597" s="29" t="s">
        <v>8724</v>
      </c>
      <c r="E597" s="30" t="s">
        <v>8725</v>
      </c>
      <c r="F597" s="30" t="s">
        <v>8725</v>
      </c>
      <c r="G597" s="29" t="s">
        <v>8725</v>
      </c>
      <c r="H597" s="29" t="str">
        <f>VLOOKUP(G597,'languoid 4.0'!$A$1:$I$24439,2,FALSE)</f>
        <v>aust1307</v>
      </c>
      <c r="I597" s="29" t="str">
        <f>VLOOKUP(G597,'languoid 4.0'!$A$1:$I$24439,6,FALSE)</f>
        <v>language</v>
      </c>
      <c r="J597" s="30" t="s">
        <v>38</v>
      </c>
      <c r="K597" s="30" t="s">
        <v>38</v>
      </c>
      <c r="L597" s="30" t="s">
        <v>38</v>
      </c>
      <c r="M597" s="29"/>
      <c r="N597" s="29" t="s">
        <v>8726</v>
      </c>
      <c r="O597" s="30" t="s">
        <v>40</v>
      </c>
      <c r="P597" s="30" t="s">
        <v>41</v>
      </c>
      <c r="Q597" s="29" t="s">
        <v>8727</v>
      </c>
      <c r="R597" s="31" t="s">
        <v>8728</v>
      </c>
      <c r="S597" s="29" t="s">
        <v>46</v>
      </c>
      <c r="T597" s="29" t="s">
        <v>635</v>
      </c>
      <c r="U597" s="29" t="s">
        <v>636</v>
      </c>
      <c r="V597" s="29" t="s">
        <v>45</v>
      </c>
      <c r="W597" s="29"/>
      <c r="X597" s="29"/>
      <c r="Y597" s="29"/>
      <c r="Z597" s="29" t="s">
        <v>637</v>
      </c>
      <c r="AA597" s="29" t="s">
        <v>8729</v>
      </c>
      <c r="AB597" s="29" t="s">
        <v>46</v>
      </c>
      <c r="AC597" s="29" t="s">
        <v>46</v>
      </c>
      <c r="AD597" s="29" t="s">
        <v>8730</v>
      </c>
      <c r="AE597" s="29" t="s">
        <v>641</v>
      </c>
      <c r="AF597" s="29" t="s">
        <v>190</v>
      </c>
      <c r="AG597" s="29">
        <v>6</v>
      </c>
      <c r="AH597" s="29" t="s">
        <v>190</v>
      </c>
      <c r="AI597" s="29"/>
      <c r="AJ597" s="32">
        <v>43321.859016203707</v>
      </c>
      <c r="AK597" s="29" t="s">
        <v>5640</v>
      </c>
    </row>
    <row r="598" spans="1:37" s="33" customFormat="1">
      <c r="A598" s="29" t="str">
        <f>VLOOKUP(H598,Languages!$A$2:$B$430,2,FALSE)</f>
        <v>Austronesian</v>
      </c>
      <c r="B598" s="29" t="s">
        <v>1812</v>
      </c>
      <c r="C598" s="29" t="s">
        <v>75</v>
      </c>
      <c r="D598" s="29" t="s">
        <v>9842</v>
      </c>
      <c r="E598" s="30" t="s">
        <v>8725</v>
      </c>
      <c r="F598" s="30" t="s">
        <v>8725</v>
      </c>
      <c r="G598" s="29" t="s">
        <v>8725</v>
      </c>
      <c r="H598" s="29" t="str">
        <f>VLOOKUP(G598,'languoid 4.0'!$A$1:$I$24439,2,FALSE)</f>
        <v>aust1307</v>
      </c>
      <c r="I598" s="29" t="str">
        <f>VLOOKUP(G598,'languoid 4.0'!$A$1:$I$24439,6,FALSE)</f>
        <v>language</v>
      </c>
      <c r="J598" s="30" t="s">
        <v>38</v>
      </c>
      <c r="K598" s="30" t="s">
        <v>38</v>
      </c>
      <c r="L598" s="30" t="s">
        <v>38</v>
      </c>
      <c r="M598" s="29"/>
      <c r="N598" s="29" t="s">
        <v>8726</v>
      </c>
      <c r="O598" s="30" t="s">
        <v>40</v>
      </c>
      <c r="P598" s="30" t="s">
        <v>41</v>
      </c>
      <c r="Q598" s="29" t="s">
        <v>9843</v>
      </c>
      <c r="R598" s="31" t="s">
        <v>9844</v>
      </c>
      <c r="S598" s="29" t="s">
        <v>9845</v>
      </c>
      <c r="T598" s="29" t="s">
        <v>657</v>
      </c>
      <c r="U598" s="29" t="s">
        <v>636</v>
      </c>
      <c r="V598" s="29" t="s">
        <v>45</v>
      </c>
      <c r="W598" s="29"/>
      <c r="X598" s="29"/>
      <c r="Y598" s="29"/>
      <c r="Z598" s="29" t="s">
        <v>673</v>
      </c>
      <c r="AA598" s="29" t="s">
        <v>9846</v>
      </c>
      <c r="AB598" s="29" t="s">
        <v>9847</v>
      </c>
      <c r="AC598" s="29" t="s">
        <v>46</v>
      </c>
      <c r="AD598" s="29"/>
      <c r="AE598" s="29" t="s">
        <v>641</v>
      </c>
      <c r="AF598" s="29" t="s">
        <v>190</v>
      </c>
      <c r="AG598" s="29">
        <v>6</v>
      </c>
      <c r="AH598" s="29" t="s">
        <v>190</v>
      </c>
      <c r="AI598" s="29"/>
      <c r="AJ598" s="29" t="s">
        <v>9848</v>
      </c>
      <c r="AK598" s="29" t="s">
        <v>5640</v>
      </c>
    </row>
    <row r="599" spans="1:37" s="33" customFormat="1">
      <c r="A599" s="29" t="str">
        <f>VLOOKUP(H599,Languages!$A$2:$B$430,2,FALSE)</f>
        <v>Austronesian</v>
      </c>
      <c r="B599" s="29" t="s">
        <v>1812</v>
      </c>
      <c r="C599" s="29" t="s">
        <v>75</v>
      </c>
      <c r="D599" s="29" t="s">
        <v>9849</v>
      </c>
      <c r="E599" s="30" t="s">
        <v>9850</v>
      </c>
      <c r="F599" s="30" t="s">
        <v>9850</v>
      </c>
      <c r="G599" s="29" t="s">
        <v>9850</v>
      </c>
      <c r="H599" s="29" t="str">
        <f>VLOOKUP(G599,'languoid 4.0'!$A$1:$I$24439,2,FALSE)</f>
        <v>aust1307</v>
      </c>
      <c r="I599" s="29" t="str">
        <f>VLOOKUP(G599,'languoid 4.0'!$A$1:$I$24439,6,FALSE)</f>
        <v>language</v>
      </c>
      <c r="J599" s="30" t="s">
        <v>38</v>
      </c>
      <c r="K599" s="30" t="s">
        <v>38</v>
      </c>
      <c r="L599" s="30" t="s">
        <v>38</v>
      </c>
      <c r="M599" s="29"/>
      <c r="N599" s="29" t="s">
        <v>9851</v>
      </c>
      <c r="O599" s="30" t="s">
        <v>40</v>
      </c>
      <c r="P599" s="30" t="s">
        <v>41</v>
      </c>
      <c r="Q599" s="29" t="s">
        <v>9858</v>
      </c>
      <c r="R599" s="31" t="s">
        <v>9859</v>
      </c>
      <c r="S599" s="29" t="s">
        <v>9860</v>
      </c>
      <c r="T599" s="29" t="s">
        <v>657</v>
      </c>
      <c r="U599" s="29" t="s">
        <v>636</v>
      </c>
      <c r="V599" s="29" t="s">
        <v>45</v>
      </c>
      <c r="W599" s="29"/>
      <c r="X599" s="29"/>
      <c r="Y599" s="29"/>
      <c r="Z599" s="29" t="s">
        <v>673</v>
      </c>
      <c r="AA599" s="29" t="s">
        <v>9861</v>
      </c>
      <c r="AB599" s="29" t="s">
        <v>9862</v>
      </c>
      <c r="AC599" s="29" t="s">
        <v>46</v>
      </c>
      <c r="AD599" s="29"/>
      <c r="AE599" s="29" t="s">
        <v>641</v>
      </c>
      <c r="AF599" s="29" t="s">
        <v>190</v>
      </c>
      <c r="AG599" s="29">
        <v>6</v>
      </c>
      <c r="AH599" s="29" t="s">
        <v>190</v>
      </c>
      <c r="AI599" s="29"/>
      <c r="AJ599" s="29" t="s">
        <v>9863</v>
      </c>
      <c r="AK599" s="29" t="s">
        <v>5640</v>
      </c>
    </row>
    <row r="600" spans="1:37" s="33" customFormat="1">
      <c r="A600" s="29" t="str">
        <f>VLOOKUP(H600,Languages!$A$2:$B$430,2,FALSE)</f>
        <v>Austronesian</v>
      </c>
      <c r="B600" s="29" t="s">
        <v>1812</v>
      </c>
      <c r="C600" s="29" t="s">
        <v>66</v>
      </c>
      <c r="D600" s="29" t="s">
        <v>10852</v>
      </c>
      <c r="E600" s="30" t="s">
        <v>10853</v>
      </c>
      <c r="F600" s="30" t="s">
        <v>10853</v>
      </c>
      <c r="G600" s="29" t="s">
        <v>10853</v>
      </c>
      <c r="H600" s="29" t="str">
        <f>VLOOKUP(G600,'languoid 4.0'!$A$1:$I$24439,2,FALSE)</f>
        <v>aust1307</v>
      </c>
      <c r="I600" s="29" t="str">
        <f>VLOOKUP(G600,'languoid 4.0'!$A$1:$I$24439,6,FALSE)</f>
        <v>language</v>
      </c>
      <c r="J600" s="30" t="s">
        <v>38</v>
      </c>
      <c r="K600" s="30" t="s">
        <v>38</v>
      </c>
      <c r="L600" s="30" t="s">
        <v>38</v>
      </c>
      <c r="M600" s="29"/>
      <c r="N600" s="29" t="s">
        <v>10854</v>
      </c>
      <c r="O600" s="30" t="s">
        <v>40</v>
      </c>
      <c r="P600" s="30" t="s">
        <v>41</v>
      </c>
      <c r="Q600" s="29" t="s">
        <v>10868</v>
      </c>
      <c r="R600" s="31" t="s">
        <v>10869</v>
      </c>
      <c r="S600" s="29" t="s">
        <v>10849</v>
      </c>
      <c r="T600" s="29" t="s">
        <v>822</v>
      </c>
      <c r="U600" s="29" t="s">
        <v>636</v>
      </c>
      <c r="V600" s="29" t="s">
        <v>45</v>
      </c>
      <c r="W600" s="29"/>
      <c r="X600" s="29"/>
      <c r="Y600" s="29"/>
      <c r="Z600" s="29" t="s">
        <v>658</v>
      </c>
      <c r="AA600" s="29" t="s">
        <v>10870</v>
      </c>
      <c r="AB600" s="29" t="s">
        <v>46</v>
      </c>
      <c r="AC600" s="29" t="s">
        <v>46</v>
      </c>
      <c r="AD600" s="29"/>
      <c r="AE600" s="29" t="s">
        <v>641</v>
      </c>
      <c r="AF600" s="29" t="s">
        <v>190</v>
      </c>
      <c r="AG600" s="29">
        <v>6</v>
      </c>
      <c r="AH600" s="29" t="s">
        <v>190</v>
      </c>
      <c r="AI600" s="29"/>
      <c r="AJ600" s="32">
        <v>43355.928993055553</v>
      </c>
      <c r="AK600" s="29" t="s">
        <v>10783</v>
      </c>
    </row>
    <row r="601" spans="1:37" s="33" customFormat="1">
      <c r="A601" s="29" t="str">
        <f>VLOOKUP(H601,Languages!$A$2:$B$430,2,FALSE)</f>
        <v>Austronesian</v>
      </c>
      <c r="B601" s="29" t="s">
        <v>1812</v>
      </c>
      <c r="C601" s="29" t="s">
        <v>66</v>
      </c>
      <c r="D601" s="29" t="s">
        <v>10852</v>
      </c>
      <c r="E601" s="30" t="s">
        <v>10853</v>
      </c>
      <c r="F601" s="30" t="s">
        <v>10853</v>
      </c>
      <c r="G601" s="29" t="s">
        <v>10853</v>
      </c>
      <c r="H601" s="29" t="str">
        <f>VLOOKUP(G601,'languoid 4.0'!$A$1:$I$24439,2,FALSE)</f>
        <v>aust1307</v>
      </c>
      <c r="I601" s="29" t="str">
        <f>VLOOKUP(G601,'languoid 4.0'!$A$1:$I$24439,6,FALSE)</f>
        <v>language</v>
      </c>
      <c r="J601" s="30" t="s">
        <v>38</v>
      </c>
      <c r="K601" s="30" t="s">
        <v>38</v>
      </c>
      <c r="L601" s="30" t="s">
        <v>38</v>
      </c>
      <c r="M601" s="29"/>
      <c r="N601" s="29" t="s">
        <v>10854</v>
      </c>
      <c r="O601" s="30" t="s">
        <v>40</v>
      </c>
      <c r="P601" s="30" t="s">
        <v>41</v>
      </c>
      <c r="Q601" s="29" t="s">
        <v>10871</v>
      </c>
      <c r="R601" s="31" t="s">
        <v>10872</v>
      </c>
      <c r="S601" s="29" t="s">
        <v>10849</v>
      </c>
      <c r="T601" s="29" t="s">
        <v>822</v>
      </c>
      <c r="U601" s="29" t="s">
        <v>636</v>
      </c>
      <c r="V601" s="29" t="s">
        <v>45</v>
      </c>
      <c r="W601" s="29"/>
      <c r="X601" s="29"/>
      <c r="Y601" s="29"/>
      <c r="Z601" s="29" t="s">
        <v>658</v>
      </c>
      <c r="AA601" s="29" t="s">
        <v>10873</v>
      </c>
      <c r="AB601" s="29" t="s">
        <v>46</v>
      </c>
      <c r="AC601" s="29" t="s">
        <v>46</v>
      </c>
      <c r="AD601" s="29"/>
      <c r="AE601" s="29" t="s">
        <v>641</v>
      </c>
      <c r="AF601" s="29" t="s">
        <v>190</v>
      </c>
      <c r="AG601" s="29">
        <v>6</v>
      </c>
      <c r="AH601" s="29" t="s">
        <v>190</v>
      </c>
      <c r="AI601" s="29"/>
      <c r="AJ601" s="32">
        <v>43355.931203703702</v>
      </c>
      <c r="AK601" s="29" t="s">
        <v>10783</v>
      </c>
    </row>
    <row r="602" spans="1:37" s="33" customFormat="1">
      <c r="A602" s="29" t="str">
        <f>VLOOKUP(H602,Languages!$A$2:$B$430,2,FALSE)</f>
        <v>Austronesian</v>
      </c>
      <c r="B602" s="29" t="s">
        <v>1812</v>
      </c>
      <c r="C602" s="29" t="s">
        <v>66</v>
      </c>
      <c r="D602" s="29" t="s">
        <v>9566</v>
      </c>
      <c r="E602" s="30" t="s">
        <v>9567</v>
      </c>
      <c r="F602" s="30" t="s">
        <v>9567</v>
      </c>
      <c r="G602" s="29" t="s">
        <v>9567</v>
      </c>
      <c r="H602" s="29" t="str">
        <f>VLOOKUP(G602,'languoid 4.0'!$A$1:$I$24439,2,FALSE)</f>
        <v>aust1307</v>
      </c>
      <c r="I602" s="29" t="str">
        <f>VLOOKUP(G602,'languoid 4.0'!$A$1:$I$24439,6,FALSE)</f>
        <v>language</v>
      </c>
      <c r="J602" s="30" t="s">
        <v>38</v>
      </c>
      <c r="K602" s="30" t="s">
        <v>38</v>
      </c>
      <c r="L602" s="30" t="s">
        <v>38</v>
      </c>
      <c r="M602" s="29"/>
      <c r="N602" s="29" t="s">
        <v>9568</v>
      </c>
      <c r="O602" s="30" t="s">
        <v>40</v>
      </c>
      <c r="P602" s="30" t="s">
        <v>41</v>
      </c>
      <c r="Q602" s="29" t="s">
        <v>10887</v>
      </c>
      <c r="R602" s="31" t="s">
        <v>10888</v>
      </c>
      <c r="S602" s="29" t="s">
        <v>10889</v>
      </c>
      <c r="T602" s="29" t="s">
        <v>822</v>
      </c>
      <c r="U602" s="29" t="s">
        <v>636</v>
      </c>
      <c r="V602" s="29" t="s">
        <v>45</v>
      </c>
      <c r="W602" s="29"/>
      <c r="X602" s="29"/>
      <c r="Y602" s="29"/>
      <c r="Z602" s="29" t="s">
        <v>658</v>
      </c>
      <c r="AA602" s="29" t="s">
        <v>10890</v>
      </c>
      <c r="AB602" s="29" t="s">
        <v>46</v>
      </c>
      <c r="AC602" s="29" t="s">
        <v>46</v>
      </c>
      <c r="AD602" s="29"/>
      <c r="AE602" s="29" t="s">
        <v>641</v>
      </c>
      <c r="AF602" s="29" t="s">
        <v>190</v>
      </c>
      <c r="AG602" s="29">
        <v>6</v>
      </c>
      <c r="AH602" s="29" t="s">
        <v>190</v>
      </c>
      <c r="AI602" s="29"/>
      <c r="AJ602" s="32">
        <v>43385.983657407407</v>
      </c>
      <c r="AK602" s="29" t="s">
        <v>10783</v>
      </c>
    </row>
    <row r="603" spans="1:37" s="33" customFormat="1">
      <c r="A603" s="29" t="str">
        <f>VLOOKUP(H603,Languages!$A$2:$B$430,2,FALSE)</f>
        <v>Austronesian</v>
      </c>
      <c r="B603" s="29" t="s">
        <v>1812</v>
      </c>
      <c r="C603" s="29" t="s">
        <v>66</v>
      </c>
      <c r="D603" s="29" t="s">
        <v>10852</v>
      </c>
      <c r="E603" s="30" t="s">
        <v>10853</v>
      </c>
      <c r="F603" s="30" t="s">
        <v>10853</v>
      </c>
      <c r="G603" s="29" t="s">
        <v>10853</v>
      </c>
      <c r="H603" s="29" t="str">
        <f>VLOOKUP(G603,'languoid 4.0'!$A$1:$I$24439,2,FALSE)</f>
        <v>aust1307</v>
      </c>
      <c r="I603" s="29" t="str">
        <f>VLOOKUP(G603,'languoid 4.0'!$A$1:$I$24439,6,FALSE)</f>
        <v>language</v>
      </c>
      <c r="J603" s="30" t="s">
        <v>38</v>
      </c>
      <c r="K603" s="30" t="s">
        <v>38</v>
      </c>
      <c r="L603" s="30" t="s">
        <v>38</v>
      </c>
      <c r="M603" s="29"/>
      <c r="N603" s="29" t="s">
        <v>10854</v>
      </c>
      <c r="O603" s="30" t="s">
        <v>40</v>
      </c>
      <c r="P603" s="30" t="s">
        <v>41</v>
      </c>
      <c r="Q603" s="29" t="s">
        <v>11025</v>
      </c>
      <c r="R603" s="31" t="s">
        <v>11026</v>
      </c>
      <c r="S603" s="29" t="s">
        <v>11017</v>
      </c>
      <c r="T603" s="29" t="s">
        <v>822</v>
      </c>
      <c r="U603" s="29" t="s">
        <v>11027</v>
      </c>
      <c r="V603" s="29" t="s">
        <v>45</v>
      </c>
      <c r="W603" s="29"/>
      <c r="X603" s="29"/>
      <c r="Y603" s="29"/>
      <c r="Z603" s="29" t="s">
        <v>658</v>
      </c>
      <c r="AA603" s="29" t="s">
        <v>11028</v>
      </c>
      <c r="AB603" s="29" t="s">
        <v>46</v>
      </c>
      <c r="AC603" s="29" t="s">
        <v>46</v>
      </c>
      <c r="AD603" s="29"/>
      <c r="AE603" s="29" t="s">
        <v>641</v>
      </c>
      <c r="AF603" s="29" t="s">
        <v>190</v>
      </c>
      <c r="AG603" s="29">
        <v>6</v>
      </c>
      <c r="AH603" s="29" t="s">
        <v>190</v>
      </c>
      <c r="AI603" s="29"/>
      <c r="AJ603" s="29" t="s">
        <v>11029</v>
      </c>
      <c r="AK603" s="29" t="s">
        <v>10783</v>
      </c>
    </row>
    <row r="604" spans="1:37" s="33" customFormat="1">
      <c r="A604" s="29" t="str">
        <f>VLOOKUP(H604,Languages!$A$2:$B$430,2,FALSE)</f>
        <v>Austronesian</v>
      </c>
      <c r="B604" s="29" t="s">
        <v>1812</v>
      </c>
      <c r="C604" s="29" t="s">
        <v>66</v>
      </c>
      <c r="D604" s="29" t="s">
        <v>10852</v>
      </c>
      <c r="E604" s="30" t="s">
        <v>10853</v>
      </c>
      <c r="F604" s="30" t="s">
        <v>10853</v>
      </c>
      <c r="G604" s="29" t="s">
        <v>10853</v>
      </c>
      <c r="H604" s="29" t="str">
        <f>VLOOKUP(G604,'languoid 4.0'!$A$1:$I$24439,2,FALSE)</f>
        <v>aust1307</v>
      </c>
      <c r="I604" s="29" t="str">
        <f>VLOOKUP(G604,'languoid 4.0'!$A$1:$I$24439,6,FALSE)</f>
        <v>language</v>
      </c>
      <c r="J604" s="30" t="s">
        <v>38</v>
      </c>
      <c r="K604" s="30" t="s">
        <v>38</v>
      </c>
      <c r="L604" s="30" t="s">
        <v>38</v>
      </c>
      <c r="M604" s="29"/>
      <c r="N604" s="29" t="s">
        <v>10854</v>
      </c>
      <c r="O604" s="30" t="s">
        <v>40</v>
      </c>
      <c r="P604" s="30" t="s">
        <v>41</v>
      </c>
      <c r="Q604" s="29" t="s">
        <v>11075</v>
      </c>
      <c r="R604" s="31" t="s">
        <v>11076</v>
      </c>
      <c r="S604" s="29" t="s">
        <v>11017</v>
      </c>
      <c r="T604" s="29" t="s">
        <v>822</v>
      </c>
      <c r="U604" s="29" t="s">
        <v>636</v>
      </c>
      <c r="V604" s="29" t="s">
        <v>45</v>
      </c>
      <c r="W604" s="29"/>
      <c r="X604" s="29"/>
      <c r="Y604" s="29"/>
      <c r="Z604" s="29" t="s">
        <v>658</v>
      </c>
      <c r="AA604" s="29" t="s">
        <v>11077</v>
      </c>
      <c r="AB604" s="29" t="s">
        <v>46</v>
      </c>
      <c r="AC604" s="29" t="s">
        <v>46</v>
      </c>
      <c r="AD604" s="29"/>
      <c r="AE604" s="29" t="s">
        <v>641</v>
      </c>
      <c r="AF604" s="29" t="s">
        <v>190</v>
      </c>
      <c r="AG604" s="29">
        <v>6</v>
      </c>
      <c r="AH604" s="29" t="s">
        <v>190</v>
      </c>
      <c r="AI604" s="29"/>
      <c r="AJ604" s="29" t="s">
        <v>11078</v>
      </c>
      <c r="AK604" s="29" t="s">
        <v>10783</v>
      </c>
    </row>
    <row r="605" spans="1:37" s="33" customFormat="1">
      <c r="A605" s="29" t="str">
        <f>VLOOKUP(H605,Languages!$A$2:$B$430,2,FALSE)</f>
        <v>Austronesian</v>
      </c>
      <c r="B605" s="29" t="s">
        <v>1812</v>
      </c>
      <c r="C605" s="29" t="s">
        <v>66</v>
      </c>
      <c r="D605" s="29" t="s">
        <v>10852</v>
      </c>
      <c r="E605" s="30" t="s">
        <v>10853</v>
      </c>
      <c r="F605" s="30" t="s">
        <v>10853</v>
      </c>
      <c r="G605" s="29" t="s">
        <v>10853</v>
      </c>
      <c r="H605" s="29" t="str">
        <f>VLOOKUP(G605,'languoid 4.0'!$A$1:$I$24439,2,FALSE)</f>
        <v>aust1307</v>
      </c>
      <c r="I605" s="29" t="str">
        <f>VLOOKUP(G605,'languoid 4.0'!$A$1:$I$24439,6,FALSE)</f>
        <v>language</v>
      </c>
      <c r="J605" s="30" t="s">
        <v>38</v>
      </c>
      <c r="K605" s="30" t="s">
        <v>38</v>
      </c>
      <c r="L605" s="30" t="s">
        <v>38</v>
      </c>
      <c r="M605" s="29"/>
      <c r="N605" s="29" t="s">
        <v>10854</v>
      </c>
      <c r="O605" s="30" t="s">
        <v>40</v>
      </c>
      <c r="P605" s="30" t="s">
        <v>41</v>
      </c>
      <c r="Q605" s="29" t="s">
        <v>11118</v>
      </c>
      <c r="R605" s="31" t="s">
        <v>11119</v>
      </c>
      <c r="S605" s="29" t="s">
        <v>11017</v>
      </c>
      <c r="T605" s="29" t="s">
        <v>822</v>
      </c>
      <c r="U605" s="29" t="s">
        <v>636</v>
      </c>
      <c r="V605" s="29" t="s">
        <v>45</v>
      </c>
      <c r="W605" s="29"/>
      <c r="X605" s="29"/>
      <c r="Y605" s="29"/>
      <c r="Z605" s="29" t="s">
        <v>658</v>
      </c>
      <c r="AA605" s="29" t="s">
        <v>11120</v>
      </c>
      <c r="AB605" s="29" t="s">
        <v>46</v>
      </c>
      <c r="AC605" s="29" t="s">
        <v>46</v>
      </c>
      <c r="AD605" s="29"/>
      <c r="AE605" s="29" t="s">
        <v>641</v>
      </c>
      <c r="AF605" s="29" t="s">
        <v>190</v>
      </c>
      <c r="AG605" s="29">
        <v>6</v>
      </c>
      <c r="AH605" s="29" t="s">
        <v>190</v>
      </c>
      <c r="AI605" s="29" t="s">
        <v>11121</v>
      </c>
      <c r="AJ605" s="29" t="s">
        <v>11122</v>
      </c>
      <c r="AK605" s="29" t="s">
        <v>10783</v>
      </c>
    </row>
    <row r="606" spans="1:37" s="33" customFormat="1">
      <c r="A606" s="29" t="str">
        <f>VLOOKUP(H606,Languages!$A$2:$B$430,2,FALSE)</f>
        <v>Austronesian</v>
      </c>
      <c r="B606" s="29" t="s">
        <v>1812</v>
      </c>
      <c r="C606" s="29" t="s">
        <v>66</v>
      </c>
      <c r="D606" s="29" t="s">
        <v>10852</v>
      </c>
      <c r="E606" s="30" t="s">
        <v>10853</v>
      </c>
      <c r="F606" s="30" t="s">
        <v>10853</v>
      </c>
      <c r="G606" s="29" t="s">
        <v>10853</v>
      </c>
      <c r="H606" s="29" t="str">
        <f>VLOOKUP(G606,'languoid 4.0'!$A$1:$I$24439,2,FALSE)</f>
        <v>aust1307</v>
      </c>
      <c r="I606" s="29" t="str">
        <f>VLOOKUP(G606,'languoid 4.0'!$A$1:$I$24439,6,FALSE)</f>
        <v>language</v>
      </c>
      <c r="J606" s="30" t="s">
        <v>38</v>
      </c>
      <c r="K606" s="30" t="s">
        <v>38</v>
      </c>
      <c r="L606" s="30" t="s">
        <v>38</v>
      </c>
      <c r="M606" s="29"/>
      <c r="N606" s="29" t="s">
        <v>10854</v>
      </c>
      <c r="O606" s="30" t="s">
        <v>40</v>
      </c>
      <c r="P606" s="30" t="s">
        <v>41</v>
      </c>
      <c r="Q606" s="29" t="s">
        <v>11123</v>
      </c>
      <c r="R606" s="31" t="s">
        <v>11124</v>
      </c>
      <c r="S606" s="29" t="s">
        <v>11017</v>
      </c>
      <c r="T606" s="29" t="s">
        <v>822</v>
      </c>
      <c r="U606" s="29" t="s">
        <v>1726</v>
      </c>
      <c r="V606" s="29" t="s">
        <v>45</v>
      </c>
      <c r="W606" s="29"/>
      <c r="X606" s="29"/>
      <c r="Y606" s="29"/>
      <c r="Z606" s="29" t="s">
        <v>637</v>
      </c>
      <c r="AA606" s="29" t="s">
        <v>11125</v>
      </c>
      <c r="AB606" s="29" t="s">
        <v>11126</v>
      </c>
      <c r="AC606" s="29" t="s">
        <v>46</v>
      </c>
      <c r="AD606" s="29"/>
      <c r="AE606" s="29" t="s">
        <v>641</v>
      </c>
      <c r="AF606" s="29" t="s">
        <v>190</v>
      </c>
      <c r="AG606" s="29">
        <v>6</v>
      </c>
      <c r="AH606" s="29" t="s">
        <v>190</v>
      </c>
      <c r="AI606" s="29" t="s">
        <v>11121</v>
      </c>
      <c r="AJ606" s="29" t="s">
        <v>11127</v>
      </c>
      <c r="AK606" s="29" t="s">
        <v>10783</v>
      </c>
    </row>
    <row r="607" spans="1:37" s="33" customFormat="1">
      <c r="A607" s="29" t="str">
        <f>VLOOKUP(H607,Languages!$A$2:$B$430,2,FALSE)</f>
        <v>Austronesian</v>
      </c>
      <c r="B607" s="29" t="s">
        <v>1812</v>
      </c>
      <c r="C607" s="29" t="s">
        <v>66</v>
      </c>
      <c r="D607" s="29" t="s">
        <v>10852</v>
      </c>
      <c r="E607" s="30" t="s">
        <v>10853</v>
      </c>
      <c r="F607" s="30" t="s">
        <v>10853</v>
      </c>
      <c r="G607" s="29" t="s">
        <v>10853</v>
      </c>
      <c r="H607" s="29" t="str">
        <f>VLOOKUP(G607,'languoid 4.0'!$A$1:$I$24439,2,FALSE)</f>
        <v>aust1307</v>
      </c>
      <c r="I607" s="29" t="str">
        <f>VLOOKUP(G607,'languoid 4.0'!$A$1:$I$24439,6,FALSE)</f>
        <v>language</v>
      </c>
      <c r="J607" s="30" t="s">
        <v>38</v>
      </c>
      <c r="K607" s="30" t="s">
        <v>38</v>
      </c>
      <c r="L607" s="30" t="s">
        <v>38</v>
      </c>
      <c r="M607" s="29"/>
      <c r="N607" s="29" t="s">
        <v>10854</v>
      </c>
      <c r="O607" s="30" t="s">
        <v>40</v>
      </c>
      <c r="P607" s="30" t="s">
        <v>41</v>
      </c>
      <c r="Q607" s="29" t="s">
        <v>11128</v>
      </c>
      <c r="R607" s="31" t="s">
        <v>11129</v>
      </c>
      <c r="S607" s="29" t="s">
        <v>11017</v>
      </c>
      <c r="T607" s="29" t="s">
        <v>822</v>
      </c>
      <c r="U607" s="29" t="s">
        <v>636</v>
      </c>
      <c r="V607" s="29" t="s">
        <v>45</v>
      </c>
      <c r="W607" s="29"/>
      <c r="X607" s="29"/>
      <c r="Y607" s="29"/>
      <c r="Z607" s="29" t="s">
        <v>658</v>
      </c>
      <c r="AA607" s="29" t="s">
        <v>11130</v>
      </c>
      <c r="AB607" s="29" t="s">
        <v>46</v>
      </c>
      <c r="AC607" s="29" t="s">
        <v>46</v>
      </c>
      <c r="AD607" s="29"/>
      <c r="AE607" s="29" t="s">
        <v>641</v>
      </c>
      <c r="AF607" s="29" t="s">
        <v>190</v>
      </c>
      <c r="AG607" s="29">
        <v>6</v>
      </c>
      <c r="AH607" s="29" t="s">
        <v>190</v>
      </c>
      <c r="AI607" s="29"/>
      <c r="AJ607" s="29" t="s">
        <v>11131</v>
      </c>
      <c r="AK607" s="29" t="s">
        <v>10783</v>
      </c>
    </row>
    <row r="608" spans="1:37" s="33" customFormat="1">
      <c r="A608" s="29" t="str">
        <f>VLOOKUP(H608,Languages!$A$2:$B$430,2,FALSE)</f>
        <v>Austronesian</v>
      </c>
      <c r="B608" s="29" t="s">
        <v>1812</v>
      </c>
      <c r="C608" s="29" t="s">
        <v>66</v>
      </c>
      <c r="D608" s="29" t="s">
        <v>10878</v>
      </c>
      <c r="E608" s="30" t="s">
        <v>51</v>
      </c>
      <c r="F608" s="30" t="s">
        <v>51</v>
      </c>
      <c r="G608" s="29" t="s">
        <v>325</v>
      </c>
      <c r="H608" s="29" t="str">
        <f>VLOOKUP(G608,'languoid 4.0'!$A$1:$I$24439,2,FALSE)</f>
        <v>aust1307</v>
      </c>
      <c r="I608" s="29" t="str">
        <f>VLOOKUP(G608,'languoid 4.0'!$A$1:$I$24439,6,FALSE)</f>
        <v>language</v>
      </c>
      <c r="J608" s="30" t="s">
        <v>51</v>
      </c>
      <c r="K608" s="30" t="s">
        <v>51</v>
      </c>
      <c r="L608" s="30" t="s">
        <v>51</v>
      </c>
      <c r="M608" s="29"/>
      <c r="N608" s="29" t="e">
        <v>#N/A</v>
      </c>
      <c r="O608" s="30" t="s">
        <v>690</v>
      </c>
      <c r="P608" s="30"/>
      <c r="Q608" s="29" t="s">
        <v>11132</v>
      </c>
      <c r="R608" s="31" t="s">
        <v>11133</v>
      </c>
      <c r="S608" s="29" t="s">
        <v>11017</v>
      </c>
      <c r="T608" s="29" t="s">
        <v>822</v>
      </c>
      <c r="U608" s="29" t="s">
        <v>636</v>
      </c>
      <c r="V608" s="29" t="s">
        <v>45</v>
      </c>
      <c r="W608" s="29"/>
      <c r="X608" s="29"/>
      <c r="Y608" s="29"/>
      <c r="Z608" s="29" t="s">
        <v>658</v>
      </c>
      <c r="AA608" s="29" t="s">
        <v>11134</v>
      </c>
      <c r="AB608" s="29" t="s">
        <v>46</v>
      </c>
      <c r="AC608" s="29" t="s">
        <v>46</v>
      </c>
      <c r="AD608" s="29"/>
      <c r="AE608" s="29" t="s">
        <v>641</v>
      </c>
      <c r="AF608" s="29" t="s">
        <v>190</v>
      </c>
      <c r="AG608" s="29">
        <v>6</v>
      </c>
      <c r="AH608" s="29" t="s">
        <v>190</v>
      </c>
      <c r="AI608" s="29" t="s">
        <v>11135</v>
      </c>
      <c r="AJ608" s="29" t="s">
        <v>11136</v>
      </c>
      <c r="AK608" s="29" t="s">
        <v>10783</v>
      </c>
    </row>
    <row r="609" spans="1:37" s="33" customFormat="1">
      <c r="A609" s="29" t="str">
        <f>VLOOKUP(H609,Languages!$A$2:$B$430,2,FALSE)</f>
        <v>Austronesian</v>
      </c>
      <c r="B609" s="29" t="s">
        <v>1812</v>
      </c>
      <c r="C609" s="29" t="s">
        <v>66</v>
      </c>
      <c r="D609" s="29" t="s">
        <v>10878</v>
      </c>
      <c r="E609" s="30" t="s">
        <v>51</v>
      </c>
      <c r="F609" s="30" t="s">
        <v>51</v>
      </c>
      <c r="G609" s="29" t="s">
        <v>325</v>
      </c>
      <c r="H609" s="29" t="str">
        <f>VLOOKUP(G609,'languoid 4.0'!$A$1:$I$24439,2,FALSE)</f>
        <v>aust1307</v>
      </c>
      <c r="I609" s="29" t="str">
        <f>VLOOKUP(G609,'languoid 4.0'!$A$1:$I$24439,6,FALSE)</f>
        <v>language</v>
      </c>
      <c r="J609" s="30" t="s">
        <v>51</v>
      </c>
      <c r="K609" s="30" t="s">
        <v>51</v>
      </c>
      <c r="L609" s="30" t="s">
        <v>51</v>
      </c>
      <c r="M609" s="29"/>
      <c r="N609" s="29" t="e">
        <v>#N/A</v>
      </c>
      <c r="O609" s="30" t="s">
        <v>690</v>
      </c>
      <c r="P609" s="30"/>
      <c r="Q609" s="29" t="s">
        <v>11137</v>
      </c>
      <c r="R609" s="31" t="s">
        <v>11138</v>
      </c>
      <c r="S609" s="29" t="s">
        <v>11017</v>
      </c>
      <c r="T609" s="29" t="s">
        <v>822</v>
      </c>
      <c r="U609" s="29" t="s">
        <v>636</v>
      </c>
      <c r="V609" s="29" t="s">
        <v>45</v>
      </c>
      <c r="W609" s="29"/>
      <c r="X609" s="29"/>
      <c r="Y609" s="29"/>
      <c r="Z609" s="29" t="s">
        <v>658</v>
      </c>
      <c r="AA609" s="29" t="s">
        <v>11139</v>
      </c>
      <c r="AB609" s="29" t="s">
        <v>46</v>
      </c>
      <c r="AC609" s="29" t="s">
        <v>46</v>
      </c>
      <c r="AD609" s="29"/>
      <c r="AE609" s="29" t="s">
        <v>641</v>
      </c>
      <c r="AF609" s="29" t="s">
        <v>190</v>
      </c>
      <c r="AG609" s="29">
        <v>6</v>
      </c>
      <c r="AH609" s="29" t="s">
        <v>190</v>
      </c>
      <c r="AI609" s="29" t="s">
        <v>11135</v>
      </c>
      <c r="AJ609" s="29" t="s">
        <v>11140</v>
      </c>
      <c r="AK609" s="29" t="s">
        <v>10783</v>
      </c>
    </row>
    <row r="610" spans="1:37" s="33" customFormat="1">
      <c r="A610" s="29" t="str">
        <f>VLOOKUP(H610,Languages!$A$2:$B$430,2,FALSE)</f>
        <v>Austronesian</v>
      </c>
      <c r="B610" s="29" t="s">
        <v>1812</v>
      </c>
      <c r="C610" s="29" t="s">
        <v>198</v>
      </c>
      <c r="D610" s="29" t="s">
        <v>1954</v>
      </c>
      <c r="E610" s="30" t="s">
        <v>1955</v>
      </c>
      <c r="F610" s="30" t="s">
        <v>1955</v>
      </c>
      <c r="G610" s="29" t="s">
        <v>1955</v>
      </c>
      <c r="H610" s="29" t="str">
        <f>VLOOKUP(G610,'languoid 4.0'!$A$1:$I$24439,2,FALSE)</f>
        <v>aust1307</v>
      </c>
      <c r="I610" s="29" t="str">
        <f>VLOOKUP(G610,'languoid 4.0'!$A$1:$I$24439,6,FALSE)</f>
        <v>language</v>
      </c>
      <c r="J610" s="30" t="s">
        <v>38</v>
      </c>
      <c r="K610" s="30" t="s">
        <v>38</v>
      </c>
      <c r="L610" s="30" t="s">
        <v>38</v>
      </c>
      <c r="M610" s="29"/>
      <c r="N610" s="29" t="s">
        <v>1956</v>
      </c>
      <c r="O610" s="30" t="s">
        <v>40</v>
      </c>
      <c r="P610" s="30" t="s">
        <v>41</v>
      </c>
      <c r="Q610" s="29" t="s">
        <v>1957</v>
      </c>
      <c r="R610" s="31" t="s">
        <v>1958</v>
      </c>
      <c r="S610" s="29" t="s">
        <v>46</v>
      </c>
      <c r="T610" s="29" t="s">
        <v>635</v>
      </c>
      <c r="U610" s="29" t="s">
        <v>636</v>
      </c>
      <c r="V610" s="29" t="s">
        <v>45</v>
      </c>
      <c r="W610" s="29"/>
      <c r="X610" s="29"/>
      <c r="Y610" s="29"/>
      <c r="Z610" s="29" t="s">
        <v>658</v>
      </c>
      <c r="AA610" s="29" t="s">
        <v>1959</v>
      </c>
      <c r="AB610" s="29" t="s">
        <v>46</v>
      </c>
      <c r="AC610" s="29" t="s">
        <v>46</v>
      </c>
      <c r="AD610" s="29"/>
      <c r="AE610" s="29" t="s">
        <v>641</v>
      </c>
      <c r="AF610" s="29" t="s">
        <v>190</v>
      </c>
      <c r="AG610" s="29">
        <v>6</v>
      </c>
      <c r="AH610" s="29" t="s">
        <v>190</v>
      </c>
      <c r="AI610" s="29"/>
      <c r="AJ610" s="29" t="s">
        <v>1960</v>
      </c>
      <c r="AK610" s="29" t="s">
        <v>1598</v>
      </c>
    </row>
    <row r="611" spans="1:37" s="33" customFormat="1">
      <c r="A611" s="29" t="str">
        <f>VLOOKUP(H611,Languages!$A$2:$B$430,2,FALSE)</f>
        <v>Austronesian</v>
      </c>
      <c r="B611" s="29" t="s">
        <v>1812</v>
      </c>
      <c r="C611" s="29" t="s">
        <v>198</v>
      </c>
      <c r="D611" s="29" t="s">
        <v>1651</v>
      </c>
      <c r="E611" s="30" t="s">
        <v>1652</v>
      </c>
      <c r="F611" s="30" t="s">
        <v>1652</v>
      </c>
      <c r="G611" s="29" t="s">
        <v>1652</v>
      </c>
      <c r="H611" s="29" t="str">
        <f>VLOOKUP(G611,'languoid 4.0'!$A$1:$I$24439,2,FALSE)</f>
        <v>aust1307</v>
      </c>
      <c r="I611" s="29" t="str">
        <f>VLOOKUP(G611,'languoid 4.0'!$A$1:$I$24439,6,FALSE)</f>
        <v>language</v>
      </c>
      <c r="J611" s="30" t="s">
        <v>38</v>
      </c>
      <c r="K611" s="30" t="s">
        <v>38</v>
      </c>
      <c r="L611" s="30" t="s">
        <v>38</v>
      </c>
      <c r="M611" s="29"/>
      <c r="N611" s="29" t="s">
        <v>1653</v>
      </c>
      <c r="O611" s="30" t="s">
        <v>40</v>
      </c>
      <c r="P611" s="30" t="s">
        <v>41</v>
      </c>
      <c r="Q611" s="29" t="s">
        <v>2026</v>
      </c>
      <c r="R611" s="31" t="s">
        <v>2027</v>
      </c>
      <c r="S611" s="29" t="s">
        <v>46</v>
      </c>
      <c r="T611" s="29" t="s">
        <v>822</v>
      </c>
      <c r="U611" s="29" t="s">
        <v>636</v>
      </c>
      <c r="V611" s="29" t="s">
        <v>45</v>
      </c>
      <c r="W611" s="29"/>
      <c r="X611" s="29"/>
      <c r="Y611" s="29"/>
      <c r="Z611" s="29" t="s">
        <v>658</v>
      </c>
      <c r="AA611" s="29" t="s">
        <v>2028</v>
      </c>
      <c r="AB611" s="29" t="s">
        <v>46</v>
      </c>
      <c r="AC611" s="29" t="s">
        <v>46</v>
      </c>
      <c r="AD611" s="29"/>
      <c r="AE611" s="29" t="s">
        <v>641</v>
      </c>
      <c r="AF611" s="29" t="s">
        <v>190</v>
      </c>
      <c r="AG611" s="29">
        <v>6</v>
      </c>
      <c r="AH611" s="29" t="s">
        <v>190</v>
      </c>
      <c r="AI611" s="29"/>
      <c r="AJ611" s="29" t="s">
        <v>2029</v>
      </c>
      <c r="AK611" s="29" t="s">
        <v>1598</v>
      </c>
    </row>
    <row r="612" spans="1:37" s="33" customFormat="1">
      <c r="A612" s="29" t="str">
        <f>VLOOKUP(H612,Languages!$A$2:$B$430,2,FALSE)</f>
        <v>Austronesian</v>
      </c>
      <c r="B612" s="29" t="s">
        <v>1812</v>
      </c>
      <c r="C612" s="29" t="s">
        <v>198</v>
      </c>
      <c r="D612" s="29" t="s">
        <v>1665</v>
      </c>
      <c r="E612" s="30" t="s">
        <v>1666</v>
      </c>
      <c r="F612" s="30" t="s">
        <v>1667</v>
      </c>
      <c r="G612" s="29" t="s">
        <v>1666</v>
      </c>
      <c r="H612" s="29" t="str">
        <f>VLOOKUP(G612,'languoid 4.0'!$A$1:$I$24439,2,FALSE)</f>
        <v>aust1307</v>
      </c>
      <c r="I612" s="29" t="str">
        <f>VLOOKUP(G612,'languoid 4.0'!$A$1:$I$24439,6,FALSE)</f>
        <v>language</v>
      </c>
      <c r="J612" s="30" t="s">
        <v>52</v>
      </c>
      <c r="K612" s="30" t="s">
        <v>38</v>
      </c>
      <c r="L612" s="30" t="s">
        <v>38</v>
      </c>
      <c r="M612" s="29"/>
      <c r="N612" s="29" t="s">
        <v>1668</v>
      </c>
      <c r="O612" s="30" t="s">
        <v>40</v>
      </c>
      <c r="P612" s="30" t="s">
        <v>41</v>
      </c>
      <c r="Q612" s="29" t="s">
        <v>3007</v>
      </c>
      <c r="R612" s="31" t="s">
        <v>3008</v>
      </c>
      <c r="S612" s="29" t="s">
        <v>46</v>
      </c>
      <c r="T612" s="29" t="s">
        <v>2103</v>
      </c>
      <c r="U612" s="29" t="s">
        <v>636</v>
      </c>
      <c r="V612" s="29" t="s">
        <v>45</v>
      </c>
      <c r="W612" s="29"/>
      <c r="X612" s="29"/>
      <c r="Y612" s="29"/>
      <c r="Z612" s="29" t="s">
        <v>673</v>
      </c>
      <c r="AA612" s="29" t="s">
        <v>46</v>
      </c>
      <c r="AB612" s="29" t="s">
        <v>3009</v>
      </c>
      <c r="AC612" s="29" t="s">
        <v>46</v>
      </c>
      <c r="AD612" s="29" t="s">
        <v>3010</v>
      </c>
      <c r="AE612" s="29"/>
      <c r="AF612" s="29"/>
      <c r="AG612" s="29"/>
      <c r="AH612" s="29" t="s">
        <v>45</v>
      </c>
      <c r="AI612" s="29"/>
      <c r="AJ612" s="29" t="s">
        <v>3011</v>
      </c>
      <c r="AK612" s="29" t="s">
        <v>1598</v>
      </c>
    </row>
    <row r="613" spans="1:37" s="33" customFormat="1">
      <c r="A613" s="29" t="str">
        <f>VLOOKUP(H613,Languages!$A$2:$B$430,2,FALSE)</f>
        <v>Austronesian</v>
      </c>
      <c r="B613" s="29" t="s">
        <v>1812</v>
      </c>
      <c r="C613" s="29" t="s">
        <v>198</v>
      </c>
      <c r="D613" s="29" t="s">
        <v>2345</v>
      </c>
      <c r="E613" s="30" t="s">
        <v>2346</v>
      </c>
      <c r="F613" s="30" t="s">
        <v>2346</v>
      </c>
      <c r="G613" s="29" t="s">
        <v>2346</v>
      </c>
      <c r="H613" s="29" t="str">
        <f>VLOOKUP(G613,'languoid 4.0'!$A$1:$I$24439,2,FALSE)</f>
        <v>aust1307</v>
      </c>
      <c r="I613" s="29" t="str">
        <f>VLOOKUP(G613,'languoid 4.0'!$A$1:$I$24439,6,FALSE)</f>
        <v>language</v>
      </c>
      <c r="J613" s="30" t="s">
        <v>38</v>
      </c>
      <c r="K613" s="30" t="s">
        <v>38</v>
      </c>
      <c r="L613" s="30" t="s">
        <v>38</v>
      </c>
      <c r="M613" s="29"/>
      <c r="N613" s="29" t="s">
        <v>2347</v>
      </c>
      <c r="O613" s="30" t="s">
        <v>40</v>
      </c>
      <c r="P613" s="30" t="s">
        <v>41</v>
      </c>
      <c r="Q613" s="29" t="s">
        <v>3012</v>
      </c>
      <c r="R613" s="31" t="s">
        <v>3013</v>
      </c>
      <c r="S613" s="29" t="s">
        <v>46</v>
      </c>
      <c r="T613" s="29" t="s">
        <v>2103</v>
      </c>
      <c r="U613" s="29" t="s">
        <v>636</v>
      </c>
      <c r="V613" s="29" t="s">
        <v>45</v>
      </c>
      <c r="W613" s="29"/>
      <c r="X613" s="29"/>
      <c r="Y613" s="29"/>
      <c r="Z613" s="29" t="s">
        <v>637</v>
      </c>
      <c r="AA613" s="29" t="s">
        <v>3014</v>
      </c>
      <c r="AB613" s="29" t="s">
        <v>3015</v>
      </c>
      <c r="AC613" s="29" t="s">
        <v>46</v>
      </c>
      <c r="AD613" s="29"/>
      <c r="AE613" s="29"/>
      <c r="AF613" s="29"/>
      <c r="AG613" s="29"/>
      <c r="AH613" s="29" t="s">
        <v>45</v>
      </c>
      <c r="AI613" s="29"/>
      <c r="AJ613" s="29" t="s">
        <v>3016</v>
      </c>
      <c r="AK613" s="29" t="s">
        <v>1598</v>
      </c>
    </row>
    <row r="614" spans="1:37" s="33" customFormat="1">
      <c r="A614" s="29" t="str">
        <f>VLOOKUP(H614,Languages!$A$2:$B$430,2,FALSE)</f>
        <v>Austronesian</v>
      </c>
      <c r="B614" s="29" t="s">
        <v>1812</v>
      </c>
      <c r="C614" s="29" t="s">
        <v>198</v>
      </c>
      <c r="D614" s="29" t="s">
        <v>2345</v>
      </c>
      <c r="E614" s="30" t="s">
        <v>2346</v>
      </c>
      <c r="F614" s="30" t="s">
        <v>2346</v>
      </c>
      <c r="G614" s="29" t="s">
        <v>2346</v>
      </c>
      <c r="H614" s="29" t="str">
        <f>VLOOKUP(G614,'languoid 4.0'!$A$1:$I$24439,2,FALSE)</f>
        <v>aust1307</v>
      </c>
      <c r="I614" s="29" t="str">
        <f>VLOOKUP(G614,'languoid 4.0'!$A$1:$I$24439,6,FALSE)</f>
        <v>language</v>
      </c>
      <c r="J614" s="30" t="s">
        <v>38</v>
      </c>
      <c r="K614" s="30" t="s">
        <v>38</v>
      </c>
      <c r="L614" s="30" t="s">
        <v>38</v>
      </c>
      <c r="M614" s="29"/>
      <c r="N614" s="29" t="s">
        <v>2347</v>
      </c>
      <c r="O614" s="30" t="s">
        <v>40</v>
      </c>
      <c r="P614" s="30" t="s">
        <v>41</v>
      </c>
      <c r="Q614" s="29" t="s">
        <v>3017</v>
      </c>
      <c r="R614" s="31" t="s">
        <v>3018</v>
      </c>
      <c r="S614" s="29" t="s">
        <v>46</v>
      </c>
      <c r="T614" s="29" t="s">
        <v>2103</v>
      </c>
      <c r="U614" s="29" t="s">
        <v>636</v>
      </c>
      <c r="V614" s="29" t="s">
        <v>45</v>
      </c>
      <c r="W614" s="29"/>
      <c r="X614" s="29"/>
      <c r="Y614" s="29"/>
      <c r="Z614" s="29" t="s">
        <v>637</v>
      </c>
      <c r="AA614" s="29" t="s">
        <v>3019</v>
      </c>
      <c r="AB614" s="29" t="s">
        <v>3020</v>
      </c>
      <c r="AC614" s="29" t="s">
        <v>46</v>
      </c>
      <c r="AD614" s="29"/>
      <c r="AE614" s="29"/>
      <c r="AF614" s="29"/>
      <c r="AG614" s="29"/>
      <c r="AH614" s="29" t="s">
        <v>45</v>
      </c>
      <c r="AI614" s="29"/>
      <c r="AJ614" s="29" t="s">
        <v>3021</v>
      </c>
      <c r="AK614" s="29" t="s">
        <v>1598</v>
      </c>
    </row>
    <row r="615" spans="1:37" s="33" customFormat="1">
      <c r="A615" s="29" t="str">
        <f>VLOOKUP(H615,Languages!$A$2:$B$430,2,FALSE)</f>
        <v>Austronesian</v>
      </c>
      <c r="B615" s="29" t="s">
        <v>1812</v>
      </c>
      <c r="C615" s="29" t="s">
        <v>198</v>
      </c>
      <c r="D615" s="29" t="s">
        <v>2345</v>
      </c>
      <c r="E615" s="30" t="s">
        <v>2346</v>
      </c>
      <c r="F615" s="30" t="s">
        <v>2346</v>
      </c>
      <c r="G615" s="29" t="s">
        <v>2346</v>
      </c>
      <c r="H615" s="29" t="str">
        <f>VLOOKUP(G615,'languoid 4.0'!$A$1:$I$24439,2,FALSE)</f>
        <v>aust1307</v>
      </c>
      <c r="I615" s="29" t="str">
        <f>VLOOKUP(G615,'languoid 4.0'!$A$1:$I$24439,6,FALSE)</f>
        <v>language</v>
      </c>
      <c r="J615" s="30" t="s">
        <v>38</v>
      </c>
      <c r="K615" s="30" t="s">
        <v>38</v>
      </c>
      <c r="L615" s="30" t="s">
        <v>38</v>
      </c>
      <c r="M615" s="29"/>
      <c r="N615" s="29" t="s">
        <v>2347</v>
      </c>
      <c r="O615" s="30" t="s">
        <v>40</v>
      </c>
      <c r="P615" s="30" t="s">
        <v>41</v>
      </c>
      <c r="Q615" s="29" t="s">
        <v>3022</v>
      </c>
      <c r="R615" s="31" t="s">
        <v>3023</v>
      </c>
      <c r="S615" s="29" t="s">
        <v>46</v>
      </c>
      <c r="T615" s="29" t="s">
        <v>2103</v>
      </c>
      <c r="U615" s="29" t="s">
        <v>636</v>
      </c>
      <c r="V615" s="29" t="s">
        <v>45</v>
      </c>
      <c r="W615" s="29"/>
      <c r="X615" s="29"/>
      <c r="Y615" s="29"/>
      <c r="Z615" s="29" t="s">
        <v>637</v>
      </c>
      <c r="AA615" s="29" t="s">
        <v>3024</v>
      </c>
      <c r="AB615" s="29" t="s">
        <v>3025</v>
      </c>
      <c r="AC615" s="29" t="s">
        <v>46</v>
      </c>
      <c r="AD615" s="29"/>
      <c r="AE615" s="29"/>
      <c r="AF615" s="29"/>
      <c r="AG615" s="29"/>
      <c r="AH615" s="29" t="s">
        <v>45</v>
      </c>
      <c r="AI615" s="29"/>
      <c r="AJ615" s="29" t="s">
        <v>3026</v>
      </c>
      <c r="AK615" s="29" t="s">
        <v>1598</v>
      </c>
    </row>
    <row r="616" spans="1:37" s="33" customFormat="1">
      <c r="A616" s="29" t="str">
        <f>VLOOKUP(H616,Languages!$A$2:$B$430,2,FALSE)</f>
        <v>Austronesian</v>
      </c>
      <c r="B616" s="29" t="s">
        <v>1812</v>
      </c>
      <c r="C616" s="29" t="s">
        <v>198</v>
      </c>
      <c r="D616" s="29" t="s">
        <v>2345</v>
      </c>
      <c r="E616" s="30" t="s">
        <v>2346</v>
      </c>
      <c r="F616" s="30" t="s">
        <v>2346</v>
      </c>
      <c r="G616" s="29" t="s">
        <v>2346</v>
      </c>
      <c r="H616" s="29" t="str">
        <f>VLOOKUP(G616,'languoid 4.0'!$A$1:$I$24439,2,FALSE)</f>
        <v>aust1307</v>
      </c>
      <c r="I616" s="29" t="str">
        <f>VLOOKUP(G616,'languoid 4.0'!$A$1:$I$24439,6,FALSE)</f>
        <v>language</v>
      </c>
      <c r="J616" s="30" t="s">
        <v>38</v>
      </c>
      <c r="K616" s="30" t="s">
        <v>38</v>
      </c>
      <c r="L616" s="30" t="s">
        <v>38</v>
      </c>
      <c r="M616" s="29"/>
      <c r="N616" s="29" t="s">
        <v>2347</v>
      </c>
      <c r="O616" s="30" t="s">
        <v>40</v>
      </c>
      <c r="P616" s="30" t="s">
        <v>41</v>
      </c>
      <c r="Q616" s="29" t="s">
        <v>3027</v>
      </c>
      <c r="R616" s="31" t="s">
        <v>3028</v>
      </c>
      <c r="S616" s="29" t="s">
        <v>46</v>
      </c>
      <c r="T616" s="29" t="s">
        <v>2103</v>
      </c>
      <c r="U616" s="29" t="s">
        <v>636</v>
      </c>
      <c r="V616" s="29" t="s">
        <v>45</v>
      </c>
      <c r="W616" s="29"/>
      <c r="X616" s="29"/>
      <c r="Y616" s="29"/>
      <c r="Z616" s="29" t="s">
        <v>637</v>
      </c>
      <c r="AA616" s="29" t="s">
        <v>3029</v>
      </c>
      <c r="AB616" s="29" t="s">
        <v>3030</v>
      </c>
      <c r="AC616" s="29" t="s">
        <v>46</v>
      </c>
      <c r="AD616" s="29"/>
      <c r="AE616" s="29"/>
      <c r="AF616" s="29"/>
      <c r="AG616" s="29"/>
      <c r="AH616" s="29" t="s">
        <v>45</v>
      </c>
      <c r="AI616" s="29"/>
      <c r="AJ616" s="29" t="s">
        <v>3031</v>
      </c>
      <c r="AK616" s="29" t="s">
        <v>1598</v>
      </c>
    </row>
    <row r="617" spans="1:37" s="33" customFormat="1">
      <c r="A617" s="29" t="str">
        <f>VLOOKUP(H617,Languages!$A$2:$B$430,2,FALSE)</f>
        <v>Austronesian</v>
      </c>
      <c r="B617" s="29" t="s">
        <v>1812</v>
      </c>
      <c r="C617" s="29" t="s">
        <v>198</v>
      </c>
      <c r="D617" s="29" t="s">
        <v>3032</v>
      </c>
      <c r="E617" s="30" t="s">
        <v>51</v>
      </c>
      <c r="F617" s="30" t="s">
        <v>1592</v>
      </c>
      <c r="G617" s="29" t="s">
        <v>1592</v>
      </c>
      <c r="H617" s="29" t="str">
        <f>VLOOKUP(G617,'languoid 4.0'!$A$1:$I$24439,2,FALSE)</f>
        <v>aust1307</v>
      </c>
      <c r="I617" s="29" t="str">
        <f>VLOOKUP(G617,'languoid 4.0'!$A$1:$I$24439,6,FALSE)</f>
        <v>language</v>
      </c>
      <c r="J617" s="30" t="s">
        <v>52</v>
      </c>
      <c r="K617" s="30" t="s">
        <v>51</v>
      </c>
      <c r="L617" s="30" t="s">
        <v>51</v>
      </c>
      <c r="M617" s="29"/>
      <c r="N617" s="29" t="e">
        <v>#N/A</v>
      </c>
      <c r="O617" s="30" t="s">
        <v>690</v>
      </c>
      <c r="P617" s="30"/>
      <c r="Q617" s="29" t="s">
        <v>3033</v>
      </c>
      <c r="R617" s="31" t="s">
        <v>3034</v>
      </c>
      <c r="S617" s="29" t="s">
        <v>46</v>
      </c>
      <c r="T617" s="29" t="s">
        <v>2103</v>
      </c>
      <c r="U617" s="29" t="s">
        <v>636</v>
      </c>
      <c r="V617" s="29" t="s">
        <v>45</v>
      </c>
      <c r="W617" s="29"/>
      <c r="X617" s="29"/>
      <c r="Y617" s="29"/>
      <c r="Z617" s="29" t="s">
        <v>673</v>
      </c>
      <c r="AA617" s="29" t="s">
        <v>46</v>
      </c>
      <c r="AB617" s="29" t="s">
        <v>3035</v>
      </c>
      <c r="AC617" s="29" t="s">
        <v>46</v>
      </c>
      <c r="AD617" s="29"/>
      <c r="AE617" s="29"/>
      <c r="AF617" s="29"/>
      <c r="AG617" s="29"/>
      <c r="AH617" s="29" t="s">
        <v>45</v>
      </c>
      <c r="AI617" s="29"/>
      <c r="AJ617" s="29" t="s">
        <v>3036</v>
      </c>
      <c r="AK617" s="29" t="s">
        <v>1598</v>
      </c>
    </row>
    <row r="618" spans="1:37" s="33" customFormat="1">
      <c r="A618" s="29" t="str">
        <f>VLOOKUP(H618,Languages!$A$2:$B$430,2,FALSE)</f>
        <v>Austronesian</v>
      </c>
      <c r="B618" s="29" t="s">
        <v>1812</v>
      </c>
      <c r="C618" s="29" t="s">
        <v>198</v>
      </c>
      <c r="D618" s="29" t="s">
        <v>3032</v>
      </c>
      <c r="E618" s="30" t="s">
        <v>51</v>
      </c>
      <c r="F618" s="30" t="s">
        <v>1592</v>
      </c>
      <c r="G618" s="29" t="s">
        <v>1592</v>
      </c>
      <c r="H618" s="29" t="str">
        <f>VLOOKUP(G618,'languoid 4.0'!$A$1:$I$24439,2,FALSE)</f>
        <v>aust1307</v>
      </c>
      <c r="I618" s="29" t="str">
        <f>VLOOKUP(G618,'languoid 4.0'!$A$1:$I$24439,6,FALSE)</f>
        <v>language</v>
      </c>
      <c r="J618" s="30" t="s">
        <v>52</v>
      </c>
      <c r="K618" s="30" t="s">
        <v>51</v>
      </c>
      <c r="L618" s="30" t="s">
        <v>51</v>
      </c>
      <c r="M618" s="29"/>
      <c r="N618" s="29" t="e">
        <v>#N/A</v>
      </c>
      <c r="O618" s="30" t="s">
        <v>690</v>
      </c>
      <c r="P618" s="30"/>
      <c r="Q618" s="29" t="s">
        <v>3037</v>
      </c>
      <c r="R618" s="31" t="s">
        <v>3038</v>
      </c>
      <c r="S618" s="29" t="s">
        <v>46</v>
      </c>
      <c r="T618" s="29" t="s">
        <v>2103</v>
      </c>
      <c r="U618" s="29" t="s">
        <v>636</v>
      </c>
      <c r="V618" s="29" t="s">
        <v>45</v>
      </c>
      <c r="W618" s="29"/>
      <c r="X618" s="29"/>
      <c r="Y618" s="29"/>
      <c r="Z618" s="29" t="s">
        <v>673</v>
      </c>
      <c r="AA618" s="29" t="s">
        <v>46</v>
      </c>
      <c r="AB618" s="29" t="s">
        <v>3039</v>
      </c>
      <c r="AC618" s="29" t="s">
        <v>46</v>
      </c>
      <c r="AD618" s="29"/>
      <c r="AE618" s="29"/>
      <c r="AF618" s="29"/>
      <c r="AG618" s="29"/>
      <c r="AH618" s="29" t="s">
        <v>45</v>
      </c>
      <c r="AI618" s="29"/>
      <c r="AJ618" s="29" t="s">
        <v>3040</v>
      </c>
      <c r="AK618" s="29" t="s">
        <v>1598</v>
      </c>
    </row>
    <row r="619" spans="1:37" s="33" customFormat="1">
      <c r="A619" s="29" t="str">
        <f>VLOOKUP(H619,Languages!$A$2:$B$430,2,FALSE)</f>
        <v>Austronesian</v>
      </c>
      <c r="B619" s="29" t="s">
        <v>1812</v>
      </c>
      <c r="C619" s="29" t="s">
        <v>198</v>
      </c>
      <c r="D619" s="29" t="s">
        <v>3032</v>
      </c>
      <c r="E619" s="30" t="s">
        <v>51</v>
      </c>
      <c r="F619" s="30" t="s">
        <v>1592</v>
      </c>
      <c r="G619" s="29" t="s">
        <v>1592</v>
      </c>
      <c r="H619" s="29" t="str">
        <f>VLOOKUP(G619,'languoid 4.0'!$A$1:$I$24439,2,FALSE)</f>
        <v>aust1307</v>
      </c>
      <c r="I619" s="29" t="str">
        <f>VLOOKUP(G619,'languoid 4.0'!$A$1:$I$24439,6,FALSE)</f>
        <v>language</v>
      </c>
      <c r="J619" s="30" t="s">
        <v>52</v>
      </c>
      <c r="K619" s="30" t="s">
        <v>51</v>
      </c>
      <c r="L619" s="30" t="s">
        <v>51</v>
      </c>
      <c r="M619" s="29"/>
      <c r="N619" s="29" t="e">
        <v>#N/A</v>
      </c>
      <c r="O619" s="30" t="s">
        <v>690</v>
      </c>
      <c r="P619" s="30"/>
      <c r="Q619" s="29" t="s">
        <v>3041</v>
      </c>
      <c r="R619" s="31" t="s">
        <v>3042</v>
      </c>
      <c r="S619" s="29" t="s">
        <v>46</v>
      </c>
      <c r="T619" s="29" t="s">
        <v>2103</v>
      </c>
      <c r="U619" s="29" t="s">
        <v>636</v>
      </c>
      <c r="V619" s="29" t="s">
        <v>45</v>
      </c>
      <c r="W619" s="29"/>
      <c r="X619" s="29"/>
      <c r="Y619" s="29"/>
      <c r="Z619" s="29" t="s">
        <v>673</v>
      </c>
      <c r="AA619" s="29" t="s">
        <v>46</v>
      </c>
      <c r="AB619" s="29" t="s">
        <v>3043</v>
      </c>
      <c r="AC619" s="29" t="s">
        <v>46</v>
      </c>
      <c r="AD619" s="29"/>
      <c r="AE619" s="29"/>
      <c r="AF619" s="29"/>
      <c r="AG619" s="29"/>
      <c r="AH619" s="29" t="s">
        <v>45</v>
      </c>
      <c r="AI619" s="29"/>
      <c r="AJ619" s="29" t="s">
        <v>3044</v>
      </c>
      <c r="AK619" s="29" t="s">
        <v>1598</v>
      </c>
    </row>
    <row r="620" spans="1:37" s="33" customFormat="1">
      <c r="A620" s="29" t="str">
        <f>VLOOKUP(H620,Languages!$A$2:$B$430,2,FALSE)</f>
        <v>Austronesian</v>
      </c>
      <c r="B620" s="29" t="s">
        <v>1812</v>
      </c>
      <c r="C620" s="29" t="s">
        <v>198</v>
      </c>
      <c r="D620" s="29" t="s">
        <v>3032</v>
      </c>
      <c r="E620" s="30" t="s">
        <v>51</v>
      </c>
      <c r="F620" s="30" t="s">
        <v>1592</v>
      </c>
      <c r="G620" s="29" t="s">
        <v>1592</v>
      </c>
      <c r="H620" s="29" t="str">
        <f>VLOOKUP(G620,'languoid 4.0'!$A$1:$I$24439,2,FALSE)</f>
        <v>aust1307</v>
      </c>
      <c r="I620" s="29" t="str">
        <f>VLOOKUP(G620,'languoid 4.0'!$A$1:$I$24439,6,FALSE)</f>
        <v>language</v>
      </c>
      <c r="J620" s="30" t="s">
        <v>52</v>
      </c>
      <c r="K620" s="30" t="s">
        <v>51</v>
      </c>
      <c r="L620" s="30" t="s">
        <v>51</v>
      </c>
      <c r="M620" s="29"/>
      <c r="N620" s="29" t="e">
        <v>#N/A</v>
      </c>
      <c r="O620" s="30" t="s">
        <v>690</v>
      </c>
      <c r="P620" s="30"/>
      <c r="Q620" s="29" t="s">
        <v>3045</v>
      </c>
      <c r="R620" s="31" t="s">
        <v>3046</v>
      </c>
      <c r="S620" s="29" t="s">
        <v>46</v>
      </c>
      <c r="T620" s="29" t="s">
        <v>2103</v>
      </c>
      <c r="U620" s="29" t="s">
        <v>636</v>
      </c>
      <c r="V620" s="29" t="s">
        <v>45</v>
      </c>
      <c r="W620" s="29"/>
      <c r="X620" s="29"/>
      <c r="Y620" s="29"/>
      <c r="Z620" s="29" t="s">
        <v>673</v>
      </c>
      <c r="AA620" s="29" t="s">
        <v>46</v>
      </c>
      <c r="AB620" s="29" t="s">
        <v>3047</v>
      </c>
      <c r="AC620" s="29" t="s">
        <v>46</v>
      </c>
      <c r="AD620" s="29"/>
      <c r="AE620" s="29"/>
      <c r="AF620" s="29"/>
      <c r="AG620" s="29"/>
      <c r="AH620" s="29" t="s">
        <v>45</v>
      </c>
      <c r="AI620" s="29"/>
      <c r="AJ620" s="29" t="s">
        <v>3048</v>
      </c>
      <c r="AK620" s="29" t="s">
        <v>1598</v>
      </c>
    </row>
    <row r="621" spans="1:37" s="33" customFormat="1">
      <c r="A621" s="29" t="str">
        <f>VLOOKUP(H621,Languages!$A$2:$B$430,2,FALSE)</f>
        <v>Austronesian</v>
      </c>
      <c r="B621" s="29" t="s">
        <v>1812</v>
      </c>
      <c r="C621" s="29" t="s">
        <v>117</v>
      </c>
      <c r="D621" s="29" t="s">
        <v>4369</v>
      </c>
      <c r="E621" s="30" t="s">
        <v>4370</v>
      </c>
      <c r="F621" s="30" t="s">
        <v>4370</v>
      </c>
      <c r="G621" s="29" t="s">
        <v>4370</v>
      </c>
      <c r="H621" s="29" t="str">
        <f>VLOOKUP(G621,'languoid 4.0'!$A$1:$I$24439,2,FALSE)</f>
        <v>aust1307</v>
      </c>
      <c r="I621" s="29" t="str">
        <f>VLOOKUP(G621,'languoid 4.0'!$A$1:$I$24439,6,FALSE)</f>
        <v>language</v>
      </c>
      <c r="J621" s="30" t="s">
        <v>38</v>
      </c>
      <c r="K621" s="30" t="s">
        <v>38</v>
      </c>
      <c r="L621" s="30" t="s">
        <v>38</v>
      </c>
      <c r="M621" s="29"/>
      <c r="N621" s="29" t="s">
        <v>4371</v>
      </c>
      <c r="O621" s="30" t="s">
        <v>40</v>
      </c>
      <c r="P621" s="30" t="s">
        <v>41</v>
      </c>
      <c r="Q621" s="29" t="s">
        <v>4372</v>
      </c>
      <c r="R621" s="31" t="s">
        <v>4373</v>
      </c>
      <c r="S621" s="29" t="s">
        <v>46</v>
      </c>
      <c r="T621" s="29" t="s">
        <v>635</v>
      </c>
      <c r="U621" s="29" t="s">
        <v>636</v>
      </c>
      <c r="V621" s="29" t="s">
        <v>45</v>
      </c>
      <c r="W621" s="29"/>
      <c r="X621" s="29"/>
      <c r="Y621" s="29"/>
      <c r="Z621" s="29" t="s">
        <v>673</v>
      </c>
      <c r="AA621" s="29" t="s">
        <v>4374</v>
      </c>
      <c r="AB621" s="29" t="s">
        <v>4375</v>
      </c>
      <c r="AC621" s="29" t="s">
        <v>46</v>
      </c>
      <c r="AD621" s="29"/>
      <c r="AE621" s="29" t="s">
        <v>641</v>
      </c>
      <c r="AF621" s="29" t="s">
        <v>190</v>
      </c>
      <c r="AG621" s="29">
        <v>6</v>
      </c>
      <c r="AH621" s="29" t="s">
        <v>190</v>
      </c>
      <c r="AI621" s="29"/>
      <c r="AJ621" s="32">
        <v>43165.665798611109</v>
      </c>
      <c r="AK621" s="29" t="s">
        <v>4268</v>
      </c>
    </row>
    <row r="622" spans="1:37" s="33" customFormat="1">
      <c r="A622" s="29" t="str">
        <f>VLOOKUP(H622,Languages!$A$2:$B$430,2,FALSE)</f>
        <v>Austronesian</v>
      </c>
      <c r="B622" s="29" t="s">
        <v>1812</v>
      </c>
      <c r="C622" s="29" t="s">
        <v>117</v>
      </c>
      <c r="D622" s="29" t="s">
        <v>4779</v>
      </c>
      <c r="E622" s="30" t="s">
        <v>4780</v>
      </c>
      <c r="F622" s="30" t="s">
        <v>4780</v>
      </c>
      <c r="G622" s="29" t="s">
        <v>4780</v>
      </c>
      <c r="H622" s="29" t="str">
        <f>VLOOKUP(G622,'languoid 4.0'!$A$1:$I$24439,2,FALSE)</f>
        <v>aust1307</v>
      </c>
      <c r="I622" s="29" t="str">
        <f>VLOOKUP(G622,'languoid 4.0'!$A$1:$I$24439,6,FALSE)</f>
        <v>language</v>
      </c>
      <c r="J622" s="30" t="s">
        <v>38</v>
      </c>
      <c r="K622" s="30" t="s">
        <v>38</v>
      </c>
      <c r="L622" s="30" t="s">
        <v>38</v>
      </c>
      <c r="M622" s="29"/>
      <c r="N622" s="29" t="s">
        <v>4781</v>
      </c>
      <c r="O622" s="30" t="s">
        <v>40</v>
      </c>
      <c r="P622" s="30" t="s">
        <v>41</v>
      </c>
      <c r="Q622" s="29" t="s">
        <v>4782</v>
      </c>
      <c r="R622" s="31" t="s">
        <v>4783</v>
      </c>
      <c r="S622" s="29" t="s">
        <v>46</v>
      </c>
      <c r="T622" s="29" t="s">
        <v>635</v>
      </c>
      <c r="U622" s="29" t="s">
        <v>636</v>
      </c>
      <c r="V622" s="29" t="s">
        <v>45</v>
      </c>
      <c r="W622" s="29"/>
      <c r="X622" s="29"/>
      <c r="Y622" s="29"/>
      <c r="Z622" s="29" t="s">
        <v>637</v>
      </c>
      <c r="AA622" s="29" t="s">
        <v>4784</v>
      </c>
      <c r="AB622" s="29" t="s">
        <v>4785</v>
      </c>
      <c r="AC622" s="29" t="s">
        <v>46</v>
      </c>
      <c r="AD622" s="29"/>
      <c r="AE622" s="29" t="s">
        <v>641</v>
      </c>
      <c r="AF622" s="29" t="s">
        <v>190</v>
      </c>
      <c r="AG622" s="29">
        <v>6</v>
      </c>
      <c r="AH622" s="29" t="s">
        <v>190</v>
      </c>
      <c r="AI622" s="29"/>
      <c r="AJ622" s="32">
        <v>43379.072569444441</v>
      </c>
      <c r="AK622" s="29" t="s">
        <v>4268</v>
      </c>
    </row>
    <row r="623" spans="1:37" s="33" customFormat="1">
      <c r="A623" s="29" t="str">
        <f>VLOOKUP(H623,Languages!$A$2:$B$430,2,FALSE)</f>
        <v>Austronesian</v>
      </c>
      <c r="B623" s="29" t="s">
        <v>1812</v>
      </c>
      <c r="C623" s="29" t="s">
        <v>117</v>
      </c>
      <c r="D623" s="29" t="s">
        <v>5039</v>
      </c>
      <c r="E623" s="30" t="s">
        <v>51</v>
      </c>
      <c r="F623" s="30" t="s">
        <v>5040</v>
      </c>
      <c r="G623" s="29" t="s">
        <v>5040</v>
      </c>
      <c r="H623" s="29" t="str">
        <f>VLOOKUP(G623,'languoid 4.0'!$A$1:$I$24439,2,FALSE)</f>
        <v>aust1307</v>
      </c>
      <c r="I623" s="29" t="str">
        <f>VLOOKUP(G623,'languoid 4.0'!$A$1:$I$24439,6,FALSE)</f>
        <v>language</v>
      </c>
      <c r="J623" s="30" t="s">
        <v>52</v>
      </c>
      <c r="K623" s="30" t="s">
        <v>51</v>
      </c>
      <c r="L623" s="30" t="s">
        <v>51</v>
      </c>
      <c r="M623" s="29"/>
      <c r="N623" s="29" t="e">
        <v>#N/A</v>
      </c>
      <c r="O623" s="30" t="s">
        <v>690</v>
      </c>
      <c r="P623" s="30"/>
      <c r="Q623" s="29" t="s">
        <v>5041</v>
      </c>
      <c r="R623" s="31" t="s">
        <v>5042</v>
      </c>
      <c r="S623" s="29" t="s">
        <v>46</v>
      </c>
      <c r="T623" s="29" t="s">
        <v>635</v>
      </c>
      <c r="U623" s="29" t="s">
        <v>636</v>
      </c>
      <c r="V623" s="29" t="s">
        <v>45</v>
      </c>
      <c r="W623" s="29"/>
      <c r="X623" s="29"/>
      <c r="Y623" s="29"/>
      <c r="Z623" s="29" t="s">
        <v>673</v>
      </c>
      <c r="AA623" s="29" t="s">
        <v>5043</v>
      </c>
      <c r="AB623" s="29" t="s">
        <v>5044</v>
      </c>
      <c r="AC623" s="29" t="s">
        <v>46</v>
      </c>
      <c r="AD623" s="29"/>
      <c r="AE623" s="29" t="s">
        <v>641</v>
      </c>
      <c r="AF623" s="29" t="s">
        <v>190</v>
      </c>
      <c r="AG623" s="29">
        <v>6</v>
      </c>
      <c r="AH623" s="29" t="s">
        <v>190</v>
      </c>
      <c r="AI623" s="29"/>
      <c r="AJ623" s="29" t="s">
        <v>5045</v>
      </c>
      <c r="AK623" s="29" t="s">
        <v>4268</v>
      </c>
    </row>
    <row r="624" spans="1:37" s="33" customFormat="1">
      <c r="A624" s="29" t="str">
        <f>VLOOKUP(H624,Languages!$A$2:$B$430,2,FALSE)</f>
        <v>Austronesian</v>
      </c>
      <c r="B624" s="29" t="s">
        <v>1812</v>
      </c>
      <c r="C624" s="29" t="s">
        <v>117</v>
      </c>
      <c r="D624" s="29" t="s">
        <v>5308</v>
      </c>
      <c r="E624" s="30" t="s">
        <v>5309</v>
      </c>
      <c r="F624" s="30" t="s">
        <v>5309</v>
      </c>
      <c r="G624" s="29" t="s">
        <v>5309</v>
      </c>
      <c r="H624" s="29" t="str">
        <f>VLOOKUP(G624,'languoid 4.0'!$A$1:$I$24439,2,FALSE)</f>
        <v>aust1307</v>
      </c>
      <c r="I624" s="29" t="str">
        <f>VLOOKUP(G624,'languoid 4.0'!$A$1:$I$24439,6,FALSE)</f>
        <v>language</v>
      </c>
      <c r="J624" s="30" t="s">
        <v>38</v>
      </c>
      <c r="K624" s="30" t="s">
        <v>38</v>
      </c>
      <c r="L624" s="30" t="s">
        <v>38</v>
      </c>
      <c r="M624" s="29"/>
      <c r="N624" s="29" t="s">
        <v>5310</v>
      </c>
      <c r="O624" s="30" t="s">
        <v>40</v>
      </c>
      <c r="P624" s="30" t="s">
        <v>41</v>
      </c>
      <c r="Q624" s="29" t="s">
        <v>5311</v>
      </c>
      <c r="R624" s="31" t="s">
        <v>5312</v>
      </c>
      <c r="S624" s="29">
        <v>110</v>
      </c>
      <c r="T624" s="29" t="s">
        <v>635</v>
      </c>
      <c r="U624" s="29" t="s">
        <v>636</v>
      </c>
      <c r="V624" s="29" t="s">
        <v>45</v>
      </c>
      <c r="W624" s="29"/>
      <c r="X624" s="29"/>
      <c r="Y624" s="29"/>
      <c r="Z624" s="29" t="s">
        <v>637</v>
      </c>
      <c r="AA624" s="29" t="s">
        <v>5313</v>
      </c>
      <c r="AB624" s="29" t="s">
        <v>5314</v>
      </c>
      <c r="AC624" s="29" t="s">
        <v>46</v>
      </c>
      <c r="AD624" s="29"/>
      <c r="AE624" s="29" t="s">
        <v>641</v>
      </c>
      <c r="AF624" s="29" t="s">
        <v>190</v>
      </c>
      <c r="AG624" s="29">
        <v>5</v>
      </c>
      <c r="AH624" s="29" t="s">
        <v>190</v>
      </c>
      <c r="AI624" s="29"/>
      <c r="AJ624" s="29" t="s">
        <v>5315</v>
      </c>
      <c r="AK624" s="29" t="s">
        <v>4268</v>
      </c>
    </row>
    <row r="625" spans="1:37" s="33" customFormat="1">
      <c r="A625" s="29" t="str">
        <f>VLOOKUP(H625,Languages!$A$2:$B$430,2,FALSE)</f>
        <v>Austronesian</v>
      </c>
      <c r="B625" s="29" t="s">
        <v>1812</v>
      </c>
      <c r="C625" s="29" t="s">
        <v>117</v>
      </c>
      <c r="D625" s="29" t="s">
        <v>5308</v>
      </c>
      <c r="E625" s="30" t="s">
        <v>5309</v>
      </c>
      <c r="F625" s="30" t="s">
        <v>5309</v>
      </c>
      <c r="G625" s="29" t="s">
        <v>5309</v>
      </c>
      <c r="H625" s="29" t="str">
        <f>VLOOKUP(G625,'languoid 4.0'!$A$1:$I$24439,2,FALSE)</f>
        <v>aust1307</v>
      </c>
      <c r="I625" s="29" t="str">
        <f>VLOOKUP(G625,'languoid 4.0'!$A$1:$I$24439,6,FALSE)</f>
        <v>language</v>
      </c>
      <c r="J625" s="30" t="s">
        <v>38</v>
      </c>
      <c r="K625" s="30" t="s">
        <v>38</v>
      </c>
      <c r="L625" s="30" t="s">
        <v>38</v>
      </c>
      <c r="M625" s="29"/>
      <c r="N625" s="29" t="s">
        <v>5310</v>
      </c>
      <c r="O625" s="30" t="s">
        <v>40</v>
      </c>
      <c r="P625" s="30" t="s">
        <v>41</v>
      </c>
      <c r="Q625" s="29" t="s">
        <v>5316</v>
      </c>
      <c r="R625" s="31" t="s">
        <v>5317</v>
      </c>
      <c r="S625" s="29">
        <v>112</v>
      </c>
      <c r="T625" s="29" t="s">
        <v>635</v>
      </c>
      <c r="U625" s="29" t="s">
        <v>636</v>
      </c>
      <c r="V625" s="29" t="s">
        <v>45</v>
      </c>
      <c r="W625" s="29"/>
      <c r="X625" s="29"/>
      <c r="Y625" s="29"/>
      <c r="Z625" s="29" t="s">
        <v>637</v>
      </c>
      <c r="AA625" s="29" t="s">
        <v>5318</v>
      </c>
      <c r="AB625" s="29" t="s">
        <v>5319</v>
      </c>
      <c r="AC625" s="29" t="s">
        <v>46</v>
      </c>
      <c r="AD625" s="29"/>
      <c r="AE625" s="29" t="s">
        <v>641</v>
      </c>
      <c r="AF625" s="29" t="s">
        <v>190</v>
      </c>
      <c r="AG625" s="29">
        <v>6</v>
      </c>
      <c r="AH625" s="29" t="s">
        <v>190</v>
      </c>
      <c r="AI625" s="29"/>
      <c r="AJ625" s="29" t="s">
        <v>5320</v>
      </c>
      <c r="AK625" s="29" t="s">
        <v>4268</v>
      </c>
    </row>
    <row r="626" spans="1:37" s="33" customFormat="1">
      <c r="A626" s="29" t="str">
        <f>VLOOKUP(H626,Languages!$A$2:$B$430,2,FALSE)</f>
        <v>Austronesian</v>
      </c>
      <c r="B626" s="29" t="s">
        <v>1812</v>
      </c>
      <c r="C626" s="29" t="s">
        <v>117</v>
      </c>
      <c r="D626" s="29" t="s">
        <v>5359</v>
      </c>
      <c r="E626" s="30" t="s">
        <v>5331</v>
      </c>
      <c r="F626" s="30" t="s">
        <v>5360</v>
      </c>
      <c r="G626" s="29" t="s">
        <v>5331</v>
      </c>
      <c r="H626" s="29" t="str">
        <f>VLOOKUP(G626,'languoid 4.0'!$A$1:$I$24439,2,FALSE)</f>
        <v>aust1307</v>
      </c>
      <c r="I626" s="29" t="str">
        <f>VLOOKUP(G626,'languoid 4.0'!$A$1:$I$24439,6,FALSE)</f>
        <v>language</v>
      </c>
      <c r="J626" s="30" t="s">
        <v>52</v>
      </c>
      <c r="K626" s="30" t="s">
        <v>38</v>
      </c>
      <c r="L626" s="30" t="s">
        <v>38</v>
      </c>
      <c r="M626" s="29"/>
      <c r="N626" s="29" t="s">
        <v>5361</v>
      </c>
      <c r="O626" s="30" t="s">
        <v>40</v>
      </c>
      <c r="P626" s="30" t="s">
        <v>41</v>
      </c>
      <c r="Q626" s="29" t="s">
        <v>5366</v>
      </c>
      <c r="R626" s="31" t="s">
        <v>4512</v>
      </c>
      <c r="S626" s="29" t="s">
        <v>46</v>
      </c>
      <c r="T626" s="29" t="s">
        <v>635</v>
      </c>
      <c r="U626" s="29" t="s">
        <v>636</v>
      </c>
      <c r="V626" s="29" t="s">
        <v>45</v>
      </c>
      <c r="W626" s="29"/>
      <c r="X626" s="29"/>
      <c r="Y626" s="29"/>
      <c r="Z626" s="29" t="s">
        <v>637</v>
      </c>
      <c r="AA626" s="29" t="s">
        <v>5367</v>
      </c>
      <c r="AB626" s="29" t="s">
        <v>5368</v>
      </c>
      <c r="AC626" s="29" t="s">
        <v>46</v>
      </c>
      <c r="AD626" s="29" t="s">
        <v>5369</v>
      </c>
      <c r="AE626" s="29" t="s">
        <v>641</v>
      </c>
      <c r="AF626" s="29" t="s">
        <v>190</v>
      </c>
      <c r="AG626" s="29">
        <v>6</v>
      </c>
      <c r="AH626" s="29" t="s">
        <v>190</v>
      </c>
      <c r="AI626" s="29"/>
      <c r="AJ626" s="29" t="s">
        <v>5370</v>
      </c>
      <c r="AK626" s="29" t="s">
        <v>4268</v>
      </c>
    </row>
    <row r="627" spans="1:37" s="33" customFormat="1">
      <c r="A627" s="29" t="str">
        <f>VLOOKUP(H627,Languages!$A$2:$B$430,2,FALSE)</f>
        <v>Austronesian</v>
      </c>
      <c r="B627" s="29" t="s">
        <v>1812</v>
      </c>
      <c r="C627" s="29" t="s">
        <v>117</v>
      </c>
      <c r="D627" s="29" t="s">
        <v>5624</v>
      </c>
      <c r="E627" s="30" t="s">
        <v>5625</v>
      </c>
      <c r="F627" s="30" t="s">
        <v>119</v>
      </c>
      <c r="G627" s="29" t="s">
        <v>5625</v>
      </c>
      <c r="H627" s="29" t="str">
        <f>VLOOKUP(G627,'languoid 4.0'!$A$1:$I$24439,2,FALSE)</f>
        <v>aust1307</v>
      </c>
      <c r="I627" s="29" t="str">
        <f>VLOOKUP(G627,'languoid 4.0'!$A$1:$I$24439,6,FALSE)</f>
        <v>language</v>
      </c>
      <c r="J627" s="30" t="s">
        <v>52</v>
      </c>
      <c r="K627" s="30" t="s">
        <v>38</v>
      </c>
      <c r="L627" s="30" t="s">
        <v>38</v>
      </c>
      <c r="M627" s="29"/>
      <c r="N627" s="29" t="s">
        <v>5626</v>
      </c>
      <c r="O627" s="30" t="s">
        <v>40</v>
      </c>
      <c r="P627" s="30" t="s">
        <v>41</v>
      </c>
      <c r="Q627" s="29" t="s">
        <v>5627</v>
      </c>
      <c r="R627" s="31" t="s">
        <v>4512</v>
      </c>
      <c r="S627" s="29" t="s">
        <v>46</v>
      </c>
      <c r="T627" s="29" t="s">
        <v>635</v>
      </c>
      <c r="U627" s="29" t="s">
        <v>636</v>
      </c>
      <c r="V627" s="29" t="s">
        <v>45</v>
      </c>
      <c r="W627" s="29"/>
      <c r="X627" s="29"/>
      <c r="Y627" s="29"/>
      <c r="Z627" s="29" t="s">
        <v>637</v>
      </c>
      <c r="AA627" s="29" t="s">
        <v>5628</v>
      </c>
      <c r="AB627" s="29" t="s">
        <v>5629</v>
      </c>
      <c r="AC627" s="29" t="s">
        <v>46</v>
      </c>
      <c r="AD627" s="29" t="s">
        <v>5630</v>
      </c>
      <c r="AE627" s="29" t="s">
        <v>641</v>
      </c>
      <c r="AF627" s="29" t="s">
        <v>190</v>
      </c>
      <c r="AG627" s="29">
        <v>5</v>
      </c>
      <c r="AH627" s="29" t="s">
        <v>190</v>
      </c>
      <c r="AI627" s="29"/>
      <c r="AJ627" s="29" t="s">
        <v>5631</v>
      </c>
      <c r="AK627" s="29" t="s">
        <v>4268</v>
      </c>
    </row>
    <row r="628" spans="1:37" s="33" customFormat="1">
      <c r="A628" s="29" t="str">
        <f>VLOOKUP(H628,Languages!$A$2:$B$430,2,FALSE)</f>
        <v>Austronesian</v>
      </c>
      <c r="B628" s="29" t="s">
        <v>1812</v>
      </c>
      <c r="C628" s="29" t="s">
        <v>255</v>
      </c>
      <c r="D628" s="29" t="s">
        <v>2144</v>
      </c>
      <c r="E628" s="30" t="s">
        <v>2145</v>
      </c>
      <c r="F628" s="30" t="s">
        <v>2077</v>
      </c>
      <c r="G628" s="29" t="s">
        <v>2145</v>
      </c>
      <c r="H628" s="29" t="str">
        <f>VLOOKUP(G628,'languoid 4.0'!$A$1:$I$24439,2,FALSE)</f>
        <v>aust1307</v>
      </c>
      <c r="I628" s="29" t="str">
        <f>VLOOKUP(G628,'languoid 4.0'!$A$1:$I$24439,6,FALSE)</f>
        <v>language</v>
      </c>
      <c r="J628" s="30" t="s">
        <v>52</v>
      </c>
      <c r="K628" s="30" t="s">
        <v>38</v>
      </c>
      <c r="L628" s="30" t="s">
        <v>38</v>
      </c>
      <c r="M628" s="29"/>
      <c r="N628" s="29" t="s">
        <v>2146</v>
      </c>
      <c r="O628" s="30" t="s">
        <v>40</v>
      </c>
      <c r="P628" s="30" t="s">
        <v>41</v>
      </c>
      <c r="Q628" s="29" t="s">
        <v>3892</v>
      </c>
      <c r="R628" s="31" t="s">
        <v>3893</v>
      </c>
      <c r="S628" s="29" t="s">
        <v>46</v>
      </c>
      <c r="T628" s="29" t="s">
        <v>635</v>
      </c>
      <c r="U628" s="29" t="s">
        <v>636</v>
      </c>
      <c r="V628" s="29" t="s">
        <v>45</v>
      </c>
      <c r="W628" s="29"/>
      <c r="X628" s="29"/>
      <c r="Y628" s="29"/>
      <c r="Z628" s="29" t="s">
        <v>658</v>
      </c>
      <c r="AA628" s="29" t="s">
        <v>3894</v>
      </c>
      <c r="AB628" s="29" t="s">
        <v>3895</v>
      </c>
      <c r="AC628" s="29" t="s">
        <v>46</v>
      </c>
      <c r="AD628" s="29"/>
      <c r="AE628" s="29" t="s">
        <v>641</v>
      </c>
      <c r="AF628" s="29" t="s">
        <v>190</v>
      </c>
      <c r="AG628" s="29">
        <v>6</v>
      </c>
      <c r="AH628" s="29" t="s">
        <v>190</v>
      </c>
      <c r="AI628" s="29"/>
      <c r="AJ628" s="29" t="s">
        <v>3896</v>
      </c>
      <c r="AK628" s="29" t="s">
        <v>1749</v>
      </c>
    </row>
    <row r="629" spans="1:37" s="33" customFormat="1">
      <c r="A629" s="29" t="str">
        <f>VLOOKUP(H629,Languages!$A$2:$B$430,2,FALSE)</f>
        <v>Austronesian</v>
      </c>
      <c r="B629" s="29" t="s">
        <v>1812</v>
      </c>
      <c r="C629" s="29" t="s">
        <v>255</v>
      </c>
      <c r="D629" s="29" t="s">
        <v>2084</v>
      </c>
      <c r="E629" s="30" t="s">
        <v>2085</v>
      </c>
      <c r="F629" s="30" t="s">
        <v>2077</v>
      </c>
      <c r="G629" s="29" t="s">
        <v>2085</v>
      </c>
      <c r="H629" s="29" t="str">
        <f>VLOOKUP(G629,'languoid 4.0'!$A$1:$I$24439,2,FALSE)</f>
        <v>aust1307</v>
      </c>
      <c r="I629" s="29" t="str">
        <f>VLOOKUP(G629,'languoid 4.0'!$A$1:$I$24439,6,FALSE)</f>
        <v>language</v>
      </c>
      <c r="J629" s="30" t="s">
        <v>52</v>
      </c>
      <c r="K629" s="30" t="s">
        <v>38</v>
      </c>
      <c r="L629" s="30" t="s">
        <v>38</v>
      </c>
      <c r="M629" s="29"/>
      <c r="N629" s="29" t="s">
        <v>2086</v>
      </c>
      <c r="O629" s="30" t="s">
        <v>40</v>
      </c>
      <c r="P629" s="30" t="s">
        <v>41</v>
      </c>
      <c r="Q629" s="29" t="s">
        <v>3904</v>
      </c>
      <c r="R629" s="31" t="s">
        <v>3905</v>
      </c>
      <c r="S629" s="29" t="s">
        <v>46</v>
      </c>
      <c r="T629" s="29" t="s">
        <v>635</v>
      </c>
      <c r="U629" s="29" t="s">
        <v>636</v>
      </c>
      <c r="V629" s="29" t="s">
        <v>45</v>
      </c>
      <c r="W629" s="29"/>
      <c r="X629" s="29"/>
      <c r="Y629" s="29"/>
      <c r="Z629" s="29" t="s">
        <v>658</v>
      </c>
      <c r="AA629" s="29" t="s">
        <v>3906</v>
      </c>
      <c r="AB629" s="29" t="s">
        <v>3907</v>
      </c>
      <c r="AC629" s="29" t="s">
        <v>46</v>
      </c>
      <c r="AD629" s="29"/>
      <c r="AE629" s="29" t="s">
        <v>641</v>
      </c>
      <c r="AF629" s="29" t="s">
        <v>190</v>
      </c>
      <c r="AG629" s="29">
        <v>5</v>
      </c>
      <c r="AH629" s="29" t="s">
        <v>190</v>
      </c>
      <c r="AI629" s="29"/>
      <c r="AJ629" s="29" t="s">
        <v>3908</v>
      </c>
      <c r="AK629" s="29" t="s">
        <v>1749</v>
      </c>
    </row>
    <row r="630" spans="1:37" s="33" customFormat="1">
      <c r="A630" s="29" t="str">
        <f>VLOOKUP(H630,Languages!$A$2:$B$430,2,FALSE)</f>
        <v>Austronesian</v>
      </c>
      <c r="B630" s="29" t="s">
        <v>1812</v>
      </c>
      <c r="C630" s="29" t="s">
        <v>255</v>
      </c>
      <c r="D630" s="29" t="s">
        <v>2137</v>
      </c>
      <c r="E630" s="30" t="s">
        <v>2138</v>
      </c>
      <c r="F630" s="30" t="s">
        <v>2077</v>
      </c>
      <c r="G630" s="29" t="s">
        <v>2138</v>
      </c>
      <c r="H630" s="29" t="str">
        <f>VLOOKUP(G630,'languoid 4.0'!$A$1:$I$24439,2,FALSE)</f>
        <v>aust1307</v>
      </c>
      <c r="I630" s="29" t="str">
        <f>VLOOKUP(G630,'languoid 4.0'!$A$1:$I$24439,6,FALSE)</f>
        <v>dialect</v>
      </c>
      <c r="J630" s="30" t="s">
        <v>52</v>
      </c>
      <c r="K630" s="30" t="s">
        <v>38</v>
      </c>
      <c r="L630" s="30" t="s">
        <v>38</v>
      </c>
      <c r="M630" s="29"/>
      <c r="N630" s="29"/>
      <c r="O630" s="30" t="s">
        <v>40</v>
      </c>
      <c r="P630" s="30" t="s">
        <v>41</v>
      </c>
      <c r="Q630" s="29" t="s">
        <v>3954</v>
      </c>
      <c r="R630" s="31" t="s">
        <v>3955</v>
      </c>
      <c r="S630" s="29" t="s">
        <v>46</v>
      </c>
      <c r="T630" s="29" t="s">
        <v>635</v>
      </c>
      <c r="U630" s="29" t="s">
        <v>636</v>
      </c>
      <c r="V630" s="29" t="s">
        <v>45</v>
      </c>
      <c r="W630" s="29"/>
      <c r="X630" s="29"/>
      <c r="Y630" s="29"/>
      <c r="Z630" s="29" t="s">
        <v>658</v>
      </c>
      <c r="AA630" s="29" t="s">
        <v>3956</v>
      </c>
      <c r="AB630" s="29" t="s">
        <v>3957</v>
      </c>
      <c r="AC630" s="29" t="s">
        <v>46</v>
      </c>
      <c r="AD630" s="29"/>
      <c r="AE630" s="29" t="s">
        <v>641</v>
      </c>
      <c r="AF630" s="29" t="s">
        <v>190</v>
      </c>
      <c r="AG630" s="29">
        <v>6</v>
      </c>
      <c r="AH630" s="29" t="s">
        <v>190</v>
      </c>
      <c r="AI630" s="29"/>
      <c r="AJ630" s="29" t="s">
        <v>3958</v>
      </c>
      <c r="AK630" s="29" t="s">
        <v>1749</v>
      </c>
    </row>
    <row r="631" spans="1:37" s="33" customFormat="1">
      <c r="A631" s="29" t="str">
        <f>VLOOKUP(H631,Languages!$A$2:$B$430,2,FALSE)</f>
        <v>Austronesian</v>
      </c>
      <c r="B631" s="29" t="s">
        <v>1812</v>
      </c>
      <c r="C631" s="29" t="s">
        <v>255</v>
      </c>
      <c r="D631" s="29" t="s">
        <v>2152</v>
      </c>
      <c r="E631" s="30" t="s">
        <v>2153</v>
      </c>
      <c r="F631" s="30" t="s">
        <v>2077</v>
      </c>
      <c r="G631" s="29" t="s">
        <v>2153</v>
      </c>
      <c r="H631" s="29" t="str">
        <f>VLOOKUP(G631,'languoid 4.0'!$A$1:$I$24439,2,FALSE)</f>
        <v>aust1307</v>
      </c>
      <c r="I631" s="29" t="str">
        <f>VLOOKUP(G631,'languoid 4.0'!$A$1:$I$24439,6,FALSE)</f>
        <v>dialect</v>
      </c>
      <c r="J631" s="30" t="s">
        <v>52</v>
      </c>
      <c r="K631" s="30" t="s">
        <v>38</v>
      </c>
      <c r="L631" s="30" t="s">
        <v>38</v>
      </c>
      <c r="M631" s="29"/>
      <c r="N631" s="29"/>
      <c r="O631" s="30" t="s">
        <v>40</v>
      </c>
      <c r="P631" s="30" t="s">
        <v>41</v>
      </c>
      <c r="Q631" s="29" t="s">
        <v>3959</v>
      </c>
      <c r="R631" s="31" t="s">
        <v>3960</v>
      </c>
      <c r="S631" s="29" t="s">
        <v>46</v>
      </c>
      <c r="T631" s="29" t="s">
        <v>635</v>
      </c>
      <c r="U631" s="29" t="s">
        <v>636</v>
      </c>
      <c r="V631" s="29" t="s">
        <v>45</v>
      </c>
      <c r="W631" s="29"/>
      <c r="X631" s="29"/>
      <c r="Y631" s="29"/>
      <c r="Z631" s="29" t="s">
        <v>658</v>
      </c>
      <c r="AA631" s="29" t="s">
        <v>3961</v>
      </c>
      <c r="AB631" s="29" t="s">
        <v>3962</v>
      </c>
      <c r="AC631" s="29" t="s">
        <v>46</v>
      </c>
      <c r="AD631" s="29"/>
      <c r="AE631" s="29" t="s">
        <v>641</v>
      </c>
      <c r="AF631" s="29" t="s">
        <v>190</v>
      </c>
      <c r="AG631" s="29">
        <v>3</v>
      </c>
      <c r="AH631" s="29" t="s">
        <v>190</v>
      </c>
      <c r="AI631" s="29"/>
      <c r="AJ631" s="29" t="s">
        <v>3963</v>
      </c>
      <c r="AK631" s="29" t="s">
        <v>1749</v>
      </c>
    </row>
    <row r="632" spans="1:37" s="33" customFormat="1">
      <c r="A632" s="29" t="str">
        <f>VLOOKUP(H632,Languages!$A$2:$B$430,2,FALSE)</f>
        <v>Austronesian</v>
      </c>
      <c r="B632" s="29" t="s">
        <v>1812</v>
      </c>
      <c r="C632" s="29" t="s">
        <v>255</v>
      </c>
      <c r="D632" s="29" t="s">
        <v>2152</v>
      </c>
      <c r="E632" s="30" t="s">
        <v>2153</v>
      </c>
      <c r="F632" s="30" t="s">
        <v>2077</v>
      </c>
      <c r="G632" s="29" t="s">
        <v>2153</v>
      </c>
      <c r="H632" s="29" t="str">
        <f>VLOOKUP(G632,'languoid 4.0'!$A$1:$I$24439,2,FALSE)</f>
        <v>aust1307</v>
      </c>
      <c r="I632" s="29" t="str">
        <f>VLOOKUP(G632,'languoid 4.0'!$A$1:$I$24439,6,FALSE)</f>
        <v>dialect</v>
      </c>
      <c r="J632" s="30" t="s">
        <v>52</v>
      </c>
      <c r="K632" s="30" t="s">
        <v>38</v>
      </c>
      <c r="L632" s="30" t="s">
        <v>38</v>
      </c>
      <c r="M632" s="29"/>
      <c r="N632" s="29"/>
      <c r="O632" s="30" t="s">
        <v>40</v>
      </c>
      <c r="P632" s="30" t="s">
        <v>41</v>
      </c>
      <c r="Q632" s="29" t="s">
        <v>3964</v>
      </c>
      <c r="R632" s="31" t="s">
        <v>3965</v>
      </c>
      <c r="S632" s="29" t="s">
        <v>46</v>
      </c>
      <c r="T632" s="29" t="s">
        <v>635</v>
      </c>
      <c r="U632" s="29" t="s">
        <v>636</v>
      </c>
      <c r="V632" s="29" t="s">
        <v>45</v>
      </c>
      <c r="W632" s="29"/>
      <c r="X632" s="29"/>
      <c r="Y632" s="29"/>
      <c r="Z632" s="29" t="s">
        <v>658</v>
      </c>
      <c r="AA632" s="29" t="s">
        <v>3966</v>
      </c>
      <c r="AB632" s="29" t="s">
        <v>3967</v>
      </c>
      <c r="AC632" s="29" t="s">
        <v>46</v>
      </c>
      <c r="AD632" s="29"/>
      <c r="AE632" s="29" t="s">
        <v>641</v>
      </c>
      <c r="AF632" s="29" t="s">
        <v>190</v>
      </c>
      <c r="AG632" s="29">
        <v>4</v>
      </c>
      <c r="AH632" s="29" t="s">
        <v>190</v>
      </c>
      <c r="AI632" s="29"/>
      <c r="AJ632" s="29" t="s">
        <v>3968</v>
      </c>
      <c r="AK632" s="29" t="s">
        <v>1749</v>
      </c>
    </row>
    <row r="633" spans="1:37" s="33" customFormat="1">
      <c r="A633" s="29" t="str">
        <f>VLOOKUP(H633,Languages!$A$2:$B$430,2,FALSE)</f>
        <v>Austronesian</v>
      </c>
      <c r="B633" s="29" t="s">
        <v>1707</v>
      </c>
      <c r="C633" s="29" t="s">
        <v>82</v>
      </c>
      <c r="D633" s="29" t="s">
        <v>4450</v>
      </c>
      <c r="E633" s="30" t="s">
        <v>4451</v>
      </c>
      <c r="F633" s="30" t="s">
        <v>4451</v>
      </c>
      <c r="G633" s="29" t="s">
        <v>4451</v>
      </c>
      <c r="H633" s="29" t="str">
        <f>VLOOKUP(G633,'languoid 4.0'!$A$1:$I$24439,2,FALSE)</f>
        <v>aust1307</v>
      </c>
      <c r="I633" s="29" t="str">
        <f>VLOOKUP(G633,'languoid 4.0'!$A$1:$I$24439,6,FALSE)</f>
        <v>language</v>
      </c>
      <c r="J633" s="30" t="s">
        <v>38</v>
      </c>
      <c r="K633" s="30" t="s">
        <v>38</v>
      </c>
      <c r="L633" s="30" t="s">
        <v>38</v>
      </c>
      <c r="M633" s="29"/>
      <c r="N633" s="29" t="s">
        <v>4452</v>
      </c>
      <c r="O633" s="30" t="s">
        <v>40</v>
      </c>
      <c r="P633" s="30" t="s">
        <v>41</v>
      </c>
      <c r="Q633" s="29" t="s">
        <v>4453</v>
      </c>
      <c r="R633" s="31" t="s">
        <v>4454</v>
      </c>
      <c r="S633" s="29" t="s">
        <v>2589</v>
      </c>
      <c r="T633" s="29" t="s">
        <v>635</v>
      </c>
      <c r="U633" s="29" t="s">
        <v>636</v>
      </c>
      <c r="V633" s="29" t="s">
        <v>45</v>
      </c>
      <c r="W633" s="29"/>
      <c r="X633" s="29"/>
      <c r="Y633" s="29"/>
      <c r="Z633" s="29" t="s">
        <v>673</v>
      </c>
      <c r="AA633" s="29" t="s">
        <v>4455</v>
      </c>
      <c r="AB633" s="29" t="s">
        <v>4456</v>
      </c>
      <c r="AC633" s="29" t="s">
        <v>4457</v>
      </c>
      <c r="AD633" s="29"/>
      <c r="AE633" s="29" t="s">
        <v>641</v>
      </c>
      <c r="AF633" s="29" t="s">
        <v>190</v>
      </c>
      <c r="AG633" s="29">
        <v>6</v>
      </c>
      <c r="AH633" s="29" t="s">
        <v>190</v>
      </c>
      <c r="AI633" s="29"/>
      <c r="AJ633" s="32">
        <v>43226.657870370371</v>
      </c>
      <c r="AK633" s="29" t="s">
        <v>4274</v>
      </c>
    </row>
    <row r="634" spans="1:37" s="33" customFormat="1">
      <c r="A634" s="29" t="str">
        <f>VLOOKUP(H634,Languages!$A$2:$B$430,2,FALSE)</f>
        <v>Austronesian</v>
      </c>
      <c r="B634" s="29" t="s">
        <v>1707</v>
      </c>
      <c r="C634" s="29" t="s">
        <v>82</v>
      </c>
      <c r="D634" s="29" t="s">
        <v>4450</v>
      </c>
      <c r="E634" s="30" t="s">
        <v>4451</v>
      </c>
      <c r="F634" s="30" t="s">
        <v>4451</v>
      </c>
      <c r="G634" s="29" t="s">
        <v>4451</v>
      </c>
      <c r="H634" s="29" t="str">
        <f>VLOOKUP(G634,'languoid 4.0'!$A$1:$I$24439,2,FALSE)</f>
        <v>aust1307</v>
      </c>
      <c r="I634" s="29" t="str">
        <f>VLOOKUP(G634,'languoid 4.0'!$A$1:$I$24439,6,FALSE)</f>
        <v>language</v>
      </c>
      <c r="J634" s="30" t="s">
        <v>38</v>
      </c>
      <c r="K634" s="30" t="s">
        <v>38</v>
      </c>
      <c r="L634" s="30" t="s">
        <v>38</v>
      </c>
      <c r="M634" s="29"/>
      <c r="N634" s="29" t="s">
        <v>4452</v>
      </c>
      <c r="O634" s="30" t="s">
        <v>40</v>
      </c>
      <c r="P634" s="30" t="s">
        <v>41</v>
      </c>
      <c r="Q634" s="29" t="s">
        <v>4462</v>
      </c>
      <c r="R634" s="31" t="s">
        <v>4463</v>
      </c>
      <c r="S634" s="29" t="s">
        <v>2589</v>
      </c>
      <c r="T634" s="29" t="s">
        <v>693</v>
      </c>
      <c r="U634" s="29" t="s">
        <v>636</v>
      </c>
      <c r="V634" s="29" t="s">
        <v>45</v>
      </c>
      <c r="W634" s="29"/>
      <c r="X634" s="29"/>
      <c r="Y634" s="29"/>
      <c r="Z634" s="29" t="s">
        <v>637</v>
      </c>
      <c r="AA634" s="29" t="s">
        <v>4464</v>
      </c>
      <c r="AB634" s="29" t="s">
        <v>4465</v>
      </c>
      <c r="AC634" s="29" t="s">
        <v>4465</v>
      </c>
      <c r="AD634" s="29"/>
      <c r="AE634" s="29" t="s">
        <v>641</v>
      </c>
      <c r="AF634" s="29" t="s">
        <v>190</v>
      </c>
      <c r="AG634" s="29">
        <v>6</v>
      </c>
      <c r="AH634" s="29" t="s">
        <v>190</v>
      </c>
      <c r="AI634" s="29"/>
      <c r="AJ634" s="32">
        <v>43226.6637962963</v>
      </c>
      <c r="AK634" s="29" t="s">
        <v>4274</v>
      </c>
    </row>
    <row r="635" spans="1:37" s="33" customFormat="1">
      <c r="A635" s="29" t="str">
        <f>VLOOKUP(H635,Languages!$A$2:$B$430,2,FALSE)</f>
        <v>Austronesian</v>
      </c>
      <c r="B635" s="29" t="s">
        <v>1707</v>
      </c>
      <c r="C635" s="29" t="s">
        <v>82</v>
      </c>
      <c r="D635" s="29" t="s">
        <v>4466</v>
      </c>
      <c r="E635" s="30" t="s">
        <v>4467</v>
      </c>
      <c r="F635" s="30" t="s">
        <v>4467</v>
      </c>
      <c r="G635" s="29" t="s">
        <v>4467</v>
      </c>
      <c r="H635" s="29" t="str">
        <f>VLOOKUP(G635,'languoid 4.0'!$A$1:$I$24439,2,FALSE)</f>
        <v>aust1307</v>
      </c>
      <c r="I635" s="29" t="str">
        <f>VLOOKUP(G635,'languoid 4.0'!$A$1:$I$24439,6,FALSE)</f>
        <v>language</v>
      </c>
      <c r="J635" s="30" t="s">
        <v>38</v>
      </c>
      <c r="K635" s="30" t="s">
        <v>38</v>
      </c>
      <c r="L635" s="30" t="s">
        <v>38</v>
      </c>
      <c r="M635" s="29"/>
      <c r="N635" s="29" t="s">
        <v>4468</v>
      </c>
      <c r="O635" s="30" t="s">
        <v>40</v>
      </c>
      <c r="P635" s="30" t="s">
        <v>41</v>
      </c>
      <c r="Q635" s="29" t="s">
        <v>4561</v>
      </c>
      <c r="R635" s="31" t="s">
        <v>4562</v>
      </c>
      <c r="S635" s="29" t="s">
        <v>2589</v>
      </c>
      <c r="T635" s="29" t="s">
        <v>693</v>
      </c>
      <c r="U635" s="29" t="s">
        <v>636</v>
      </c>
      <c r="V635" s="29" t="s">
        <v>45</v>
      </c>
      <c r="W635" s="29"/>
      <c r="X635" s="29"/>
      <c r="Y635" s="29"/>
      <c r="Z635" s="29" t="s">
        <v>673</v>
      </c>
      <c r="AA635" s="29" t="s">
        <v>4563</v>
      </c>
      <c r="AB635" s="29" t="s">
        <v>4564</v>
      </c>
      <c r="AC635" s="29" t="s">
        <v>4565</v>
      </c>
      <c r="AD635" s="29"/>
      <c r="AE635" s="29" t="s">
        <v>641</v>
      </c>
      <c r="AF635" s="29" t="s">
        <v>190</v>
      </c>
      <c r="AG635" s="29">
        <v>5</v>
      </c>
      <c r="AH635" s="29" t="s">
        <v>190</v>
      </c>
      <c r="AI635" s="29"/>
      <c r="AJ635" s="32">
        <v>43318.570162037038</v>
      </c>
      <c r="AK635" s="29" t="s">
        <v>4274</v>
      </c>
    </row>
    <row r="636" spans="1:37" s="33" customFormat="1">
      <c r="A636" s="29" t="str">
        <f>VLOOKUP(H636,Languages!$A$2:$B$430,2,FALSE)</f>
        <v>Austronesian</v>
      </c>
      <c r="B636" s="29" t="s">
        <v>1707</v>
      </c>
      <c r="C636" s="29" t="s">
        <v>82</v>
      </c>
      <c r="D636" s="29" t="s">
        <v>9620</v>
      </c>
      <c r="E636" s="30" t="s">
        <v>4580</v>
      </c>
      <c r="F636" s="30" t="s">
        <v>4580</v>
      </c>
      <c r="G636" s="29" t="s">
        <v>4580</v>
      </c>
      <c r="H636" s="29" t="str">
        <f>VLOOKUP(G636,'languoid 4.0'!$A$1:$I$24439,2,FALSE)</f>
        <v>aust1307</v>
      </c>
      <c r="I636" s="29" t="str">
        <f>VLOOKUP(G636,'languoid 4.0'!$A$1:$I$24439,6,FALSE)</f>
        <v>language</v>
      </c>
      <c r="J636" s="30" t="s">
        <v>38</v>
      </c>
      <c r="K636" s="30" t="s">
        <v>38</v>
      </c>
      <c r="L636" s="30" t="s">
        <v>38</v>
      </c>
      <c r="M636" s="29"/>
      <c r="N636" s="29" t="s">
        <v>4581</v>
      </c>
      <c r="O636" s="30" t="s">
        <v>40</v>
      </c>
      <c r="P636" s="30" t="s">
        <v>41</v>
      </c>
      <c r="Q636" s="29" t="s">
        <v>9621</v>
      </c>
      <c r="R636" s="31" t="s">
        <v>9610</v>
      </c>
      <c r="S636" s="29" t="s">
        <v>8791</v>
      </c>
      <c r="T636" s="29" t="s">
        <v>8277</v>
      </c>
      <c r="U636" s="29" t="s">
        <v>636</v>
      </c>
      <c r="V636" s="29" t="s">
        <v>45</v>
      </c>
      <c r="W636" s="29"/>
      <c r="X636" s="29"/>
      <c r="Y636" s="29"/>
      <c r="Z636" s="29" t="s">
        <v>673</v>
      </c>
      <c r="AA636" s="29" t="s">
        <v>9622</v>
      </c>
      <c r="AB636" s="29" t="s">
        <v>9623</v>
      </c>
      <c r="AC636" s="29" t="s">
        <v>46</v>
      </c>
      <c r="AD636" s="29"/>
      <c r="AE636" s="29" t="s">
        <v>641</v>
      </c>
      <c r="AF636" s="29" t="s">
        <v>190</v>
      </c>
      <c r="AG636" s="29">
        <v>6</v>
      </c>
      <c r="AH636" s="29" t="s">
        <v>190</v>
      </c>
      <c r="AI636" s="29"/>
      <c r="AJ636" s="32">
        <v>43414.691180555557</v>
      </c>
      <c r="AK636" s="29" t="s">
        <v>9595</v>
      </c>
    </row>
    <row r="637" spans="1:37" s="33" customFormat="1">
      <c r="A637" s="29" t="str">
        <f>VLOOKUP(H637,Languages!$A$2:$B$430,2,FALSE)</f>
        <v>Austronesian</v>
      </c>
      <c r="B637" s="29" t="s">
        <v>1707</v>
      </c>
      <c r="C637" s="29" t="s">
        <v>82</v>
      </c>
      <c r="D637" s="29" t="s">
        <v>4450</v>
      </c>
      <c r="E637" s="30" t="s">
        <v>4451</v>
      </c>
      <c r="F637" s="30" t="s">
        <v>4451</v>
      </c>
      <c r="G637" s="29" t="s">
        <v>4451</v>
      </c>
      <c r="H637" s="29" t="str">
        <f>VLOOKUP(G637,'languoid 4.0'!$A$1:$I$24439,2,FALSE)</f>
        <v>aust1307</v>
      </c>
      <c r="I637" s="29" t="str">
        <f>VLOOKUP(G637,'languoid 4.0'!$A$1:$I$24439,6,FALSE)</f>
        <v>language</v>
      </c>
      <c r="J637" s="30" t="s">
        <v>38</v>
      </c>
      <c r="K637" s="30" t="s">
        <v>38</v>
      </c>
      <c r="L637" s="30" t="s">
        <v>38</v>
      </c>
      <c r="M637" s="29"/>
      <c r="N637" s="29" t="s">
        <v>4452</v>
      </c>
      <c r="O637" s="30" t="s">
        <v>40</v>
      </c>
      <c r="P637" s="30" t="s">
        <v>41</v>
      </c>
      <c r="Q637" s="29" t="s">
        <v>9624</v>
      </c>
      <c r="R637" s="31" t="s">
        <v>9610</v>
      </c>
      <c r="S637" s="29" t="s">
        <v>359</v>
      </c>
      <c r="T637" s="29" t="s">
        <v>8277</v>
      </c>
      <c r="U637" s="29" t="s">
        <v>636</v>
      </c>
      <c r="V637" s="29" t="s">
        <v>45</v>
      </c>
      <c r="W637" s="29"/>
      <c r="X637" s="29"/>
      <c r="Y637" s="29"/>
      <c r="Z637" s="29" t="s">
        <v>637</v>
      </c>
      <c r="AA637" s="29" t="s">
        <v>46</v>
      </c>
      <c r="AB637" s="29" t="s">
        <v>9625</v>
      </c>
      <c r="AC637" s="29" t="s">
        <v>46</v>
      </c>
      <c r="AD637" s="29"/>
      <c r="AE637" s="29" t="s">
        <v>641</v>
      </c>
      <c r="AF637" s="29" t="s">
        <v>190</v>
      </c>
      <c r="AG637" s="29">
        <v>5</v>
      </c>
      <c r="AH637" s="29" t="s">
        <v>190</v>
      </c>
      <c r="AI637" s="29"/>
      <c r="AJ637" s="32">
        <v>43414.696770833332</v>
      </c>
      <c r="AK637" s="29" t="s">
        <v>9595</v>
      </c>
    </row>
    <row r="638" spans="1:37" s="33" customFormat="1">
      <c r="A638" s="29" t="str">
        <f>VLOOKUP(H638,Languages!$A$2:$B$430,2,FALSE)</f>
        <v>Austronesian</v>
      </c>
      <c r="B638" s="29" t="s">
        <v>1707</v>
      </c>
      <c r="C638" s="29" t="s">
        <v>75</v>
      </c>
      <c r="D638" s="29" t="s">
        <v>7278</v>
      </c>
      <c r="E638" s="30" t="s">
        <v>7279</v>
      </c>
      <c r="F638" s="30" t="s">
        <v>7279</v>
      </c>
      <c r="G638" s="29" t="s">
        <v>7279</v>
      </c>
      <c r="H638" s="29" t="str">
        <f>VLOOKUP(G638,'languoid 4.0'!$A$1:$I$24439,2,FALSE)</f>
        <v>aust1307</v>
      </c>
      <c r="I638" s="29" t="str">
        <f>VLOOKUP(G638,'languoid 4.0'!$A$1:$I$24439,6,FALSE)</f>
        <v>language</v>
      </c>
      <c r="J638" s="30" t="s">
        <v>38</v>
      </c>
      <c r="K638" s="30" t="s">
        <v>38</v>
      </c>
      <c r="L638" s="30" t="s">
        <v>38</v>
      </c>
      <c r="M638" s="29"/>
      <c r="N638" s="29" t="s">
        <v>7280</v>
      </c>
      <c r="O638" s="30" t="s">
        <v>40</v>
      </c>
      <c r="P638" s="30" t="s">
        <v>41</v>
      </c>
      <c r="Q638" s="29" t="s">
        <v>7281</v>
      </c>
      <c r="R638" s="31" t="s">
        <v>7282</v>
      </c>
      <c r="S638" s="29" t="s">
        <v>46</v>
      </c>
      <c r="T638" s="29" t="s">
        <v>635</v>
      </c>
      <c r="U638" s="29" t="s">
        <v>35</v>
      </c>
      <c r="V638" s="29" t="s">
        <v>45</v>
      </c>
      <c r="W638" s="29"/>
      <c r="X638" s="29"/>
      <c r="Y638" s="29"/>
      <c r="Z638" s="29" t="s">
        <v>637</v>
      </c>
      <c r="AA638" s="29" t="s">
        <v>7283</v>
      </c>
      <c r="AB638" s="29" t="s">
        <v>46</v>
      </c>
      <c r="AC638" s="29" t="s">
        <v>46</v>
      </c>
      <c r="AD638" s="29" t="s">
        <v>7284</v>
      </c>
      <c r="AE638" s="29" t="s">
        <v>641</v>
      </c>
      <c r="AF638" s="29" t="s">
        <v>190</v>
      </c>
      <c r="AG638" s="29">
        <v>6</v>
      </c>
      <c r="AH638" s="29" t="s">
        <v>190</v>
      </c>
      <c r="AI638" s="29"/>
      <c r="AJ638" s="32">
        <v>43351.625185185185</v>
      </c>
      <c r="AK638" s="29" t="s">
        <v>5640</v>
      </c>
    </row>
    <row r="639" spans="1:37" s="33" customFormat="1">
      <c r="A639" s="29" t="str">
        <f>VLOOKUP(H639,Languages!$A$2:$B$430,2,FALSE)</f>
        <v>Austronesian</v>
      </c>
      <c r="B639" s="29" t="s">
        <v>1707</v>
      </c>
      <c r="C639" s="29" t="s">
        <v>75</v>
      </c>
      <c r="D639" s="29" t="s">
        <v>7410</v>
      </c>
      <c r="E639" s="30" t="s">
        <v>7411</v>
      </c>
      <c r="F639" s="30" t="s">
        <v>7411</v>
      </c>
      <c r="G639" s="29" t="s">
        <v>7411</v>
      </c>
      <c r="H639" s="29" t="str">
        <f>VLOOKUP(G639,'languoid 4.0'!$A$1:$I$24439,2,FALSE)</f>
        <v>aust1307</v>
      </c>
      <c r="I639" s="29" t="str">
        <f>VLOOKUP(G639,'languoid 4.0'!$A$1:$I$24439,6,FALSE)</f>
        <v>language</v>
      </c>
      <c r="J639" s="30" t="s">
        <v>38</v>
      </c>
      <c r="K639" s="30" t="s">
        <v>38</v>
      </c>
      <c r="L639" s="30" t="s">
        <v>38</v>
      </c>
      <c r="M639" s="29"/>
      <c r="N639" s="29" t="s">
        <v>7412</v>
      </c>
      <c r="O639" s="30" t="s">
        <v>40</v>
      </c>
      <c r="P639" s="30" t="s">
        <v>41</v>
      </c>
      <c r="Q639" s="29" t="s">
        <v>7413</v>
      </c>
      <c r="R639" s="31" t="s">
        <v>7414</v>
      </c>
      <c r="S639" s="29" t="s">
        <v>46</v>
      </c>
      <c r="T639" s="29" t="s">
        <v>635</v>
      </c>
      <c r="U639" s="29" t="s">
        <v>636</v>
      </c>
      <c r="V639" s="29" t="s">
        <v>45</v>
      </c>
      <c r="W639" s="29"/>
      <c r="X639" s="29"/>
      <c r="Y639" s="29"/>
      <c r="Z639" s="29" t="s">
        <v>658</v>
      </c>
      <c r="AA639" s="29" t="s">
        <v>7415</v>
      </c>
      <c r="AB639" s="29" t="s">
        <v>46</v>
      </c>
      <c r="AC639" s="29" t="s">
        <v>46</v>
      </c>
      <c r="AD639" s="29" t="s">
        <v>7416</v>
      </c>
      <c r="AE639" s="29" t="s">
        <v>641</v>
      </c>
      <c r="AF639" s="29" t="s">
        <v>190</v>
      </c>
      <c r="AG639" s="29">
        <v>6</v>
      </c>
      <c r="AH639" s="29" t="s">
        <v>190</v>
      </c>
      <c r="AI639" s="29"/>
      <c r="AJ639" s="29" t="s">
        <v>7417</v>
      </c>
      <c r="AK639" s="29" t="s">
        <v>5640</v>
      </c>
    </row>
    <row r="640" spans="1:37" s="33" customFormat="1">
      <c r="A640" s="29" t="str">
        <f>VLOOKUP(H640,Languages!$A$2:$B$430,2,FALSE)</f>
        <v>Austronesian</v>
      </c>
      <c r="B640" s="29" t="s">
        <v>1707</v>
      </c>
      <c r="C640" s="29" t="s">
        <v>75</v>
      </c>
      <c r="D640" s="29" t="s">
        <v>7267</v>
      </c>
      <c r="E640" s="30" t="s">
        <v>7268</v>
      </c>
      <c r="F640" s="30" t="s">
        <v>7268</v>
      </c>
      <c r="G640" s="29" t="s">
        <v>7268</v>
      </c>
      <c r="H640" s="29" t="str">
        <f>VLOOKUP(G640,'languoid 4.0'!$A$1:$I$24439,2,FALSE)</f>
        <v>aust1307</v>
      </c>
      <c r="I640" s="29" t="str">
        <f>VLOOKUP(G640,'languoid 4.0'!$A$1:$I$24439,6,FALSE)</f>
        <v>language</v>
      </c>
      <c r="J640" s="30" t="s">
        <v>38</v>
      </c>
      <c r="K640" s="30" t="s">
        <v>38</v>
      </c>
      <c r="L640" s="30" t="s">
        <v>38</v>
      </c>
      <c r="M640" s="29"/>
      <c r="N640" s="29" t="s">
        <v>7269</v>
      </c>
      <c r="O640" s="30" t="s">
        <v>40</v>
      </c>
      <c r="P640" s="30" t="s">
        <v>41</v>
      </c>
      <c r="Q640" s="29" t="s">
        <v>7421</v>
      </c>
      <c r="R640" s="31" t="s">
        <v>7422</v>
      </c>
      <c r="S640" s="29" t="s">
        <v>46</v>
      </c>
      <c r="T640" s="29" t="s">
        <v>635</v>
      </c>
      <c r="U640" s="29" t="s">
        <v>636</v>
      </c>
      <c r="V640" s="29" t="s">
        <v>45</v>
      </c>
      <c r="W640" s="29"/>
      <c r="X640" s="29"/>
      <c r="Y640" s="29"/>
      <c r="Z640" s="29" t="s">
        <v>658</v>
      </c>
      <c r="AA640" s="29" t="s">
        <v>7423</v>
      </c>
      <c r="AB640" s="29" t="s">
        <v>46</v>
      </c>
      <c r="AC640" s="29" t="s">
        <v>46</v>
      </c>
      <c r="AD640" s="29"/>
      <c r="AE640" s="29"/>
      <c r="AF640" s="29"/>
      <c r="AG640" s="29"/>
      <c r="AH640" s="29" t="s">
        <v>45</v>
      </c>
      <c r="AI640" s="29" t="s">
        <v>7424</v>
      </c>
      <c r="AJ640" s="29" t="s">
        <v>7425</v>
      </c>
      <c r="AK640" s="29" t="s">
        <v>5640</v>
      </c>
    </row>
    <row r="641" spans="1:37" s="33" customFormat="1">
      <c r="A641" s="29" t="str">
        <f>VLOOKUP(H641,Languages!$A$2:$B$430,2,FALSE)</f>
        <v>Austronesian</v>
      </c>
      <c r="B641" s="29" t="s">
        <v>1707</v>
      </c>
      <c r="C641" s="29" t="s">
        <v>75</v>
      </c>
      <c r="D641" s="29" t="s">
        <v>7267</v>
      </c>
      <c r="E641" s="30" t="s">
        <v>7268</v>
      </c>
      <c r="F641" s="30" t="s">
        <v>7268</v>
      </c>
      <c r="G641" s="29" t="s">
        <v>7268</v>
      </c>
      <c r="H641" s="29" t="str">
        <f>VLOOKUP(G641,'languoid 4.0'!$A$1:$I$24439,2,FALSE)</f>
        <v>aust1307</v>
      </c>
      <c r="I641" s="29" t="str">
        <f>VLOOKUP(G641,'languoid 4.0'!$A$1:$I$24439,6,FALSE)</f>
        <v>language</v>
      </c>
      <c r="J641" s="30" t="s">
        <v>38</v>
      </c>
      <c r="K641" s="30" t="s">
        <v>38</v>
      </c>
      <c r="L641" s="30" t="s">
        <v>38</v>
      </c>
      <c r="M641" s="29"/>
      <c r="N641" s="29" t="s">
        <v>7269</v>
      </c>
      <c r="O641" s="30" t="s">
        <v>40</v>
      </c>
      <c r="P641" s="30" t="s">
        <v>41</v>
      </c>
      <c r="Q641" s="29" t="s">
        <v>7426</v>
      </c>
      <c r="R641" s="31" t="s">
        <v>7422</v>
      </c>
      <c r="S641" s="29" t="s">
        <v>46</v>
      </c>
      <c r="T641" s="29" t="s">
        <v>635</v>
      </c>
      <c r="U641" s="29" t="s">
        <v>636</v>
      </c>
      <c r="V641" s="29" t="s">
        <v>45</v>
      </c>
      <c r="W641" s="29"/>
      <c r="X641" s="29"/>
      <c r="Y641" s="29"/>
      <c r="Z641" s="29" t="s">
        <v>658</v>
      </c>
      <c r="AA641" s="29" t="s">
        <v>7427</v>
      </c>
      <c r="AB641" s="29" t="s">
        <v>46</v>
      </c>
      <c r="AC641" s="29" t="s">
        <v>46</v>
      </c>
      <c r="AD641" s="29"/>
      <c r="AE641" s="29"/>
      <c r="AF641" s="29"/>
      <c r="AG641" s="29"/>
      <c r="AH641" s="29" t="s">
        <v>45</v>
      </c>
      <c r="AI641" s="29" t="s">
        <v>7424</v>
      </c>
      <c r="AJ641" s="29" t="s">
        <v>7428</v>
      </c>
      <c r="AK641" s="29" t="s">
        <v>5640</v>
      </c>
    </row>
    <row r="642" spans="1:37" s="33" customFormat="1">
      <c r="A642" s="29" t="str">
        <f>VLOOKUP(H642,Languages!$A$2:$B$430,2,FALSE)</f>
        <v>Austronesian</v>
      </c>
      <c r="B642" s="29" t="s">
        <v>1707</v>
      </c>
      <c r="C642" s="29" t="s">
        <v>75</v>
      </c>
      <c r="D642" s="29" t="s">
        <v>7436</v>
      </c>
      <c r="E642" s="30" t="s">
        <v>51</v>
      </c>
      <c r="F642" s="30" t="s">
        <v>7437</v>
      </c>
      <c r="G642" s="29" t="s">
        <v>7437</v>
      </c>
      <c r="H642" s="29" t="str">
        <f>VLOOKUP(G642,'languoid 4.0'!$A$1:$I$24439,2,FALSE)</f>
        <v>aust1307</v>
      </c>
      <c r="I642" s="29" t="str">
        <f>VLOOKUP(G642,'languoid 4.0'!$A$1:$I$24439,6,FALSE)</f>
        <v>language</v>
      </c>
      <c r="J642" s="30" t="s">
        <v>52</v>
      </c>
      <c r="K642" s="30" t="s">
        <v>51</v>
      </c>
      <c r="L642" s="30" t="s">
        <v>51</v>
      </c>
      <c r="M642" s="29"/>
      <c r="N642" s="29" t="e">
        <v>#N/A</v>
      </c>
      <c r="O642" s="30" t="s">
        <v>690</v>
      </c>
      <c r="P642" s="30"/>
      <c r="Q642" s="29" t="s">
        <v>7438</v>
      </c>
      <c r="R642" s="31" t="s">
        <v>7439</v>
      </c>
      <c r="S642" s="29" t="s">
        <v>46</v>
      </c>
      <c r="T642" s="29" t="s">
        <v>635</v>
      </c>
      <c r="U642" s="29" t="s">
        <v>636</v>
      </c>
      <c r="V642" s="29" t="s">
        <v>45</v>
      </c>
      <c r="W642" s="29"/>
      <c r="X642" s="29"/>
      <c r="Y642" s="29"/>
      <c r="Z642" s="29" t="s">
        <v>658</v>
      </c>
      <c r="AA642" s="29" t="s">
        <v>7440</v>
      </c>
      <c r="AB642" s="29" t="s">
        <v>46</v>
      </c>
      <c r="AC642" s="29" t="s">
        <v>46</v>
      </c>
      <c r="AD642" s="29" t="s">
        <v>7441</v>
      </c>
      <c r="AE642" s="29" t="s">
        <v>641</v>
      </c>
      <c r="AF642" s="29" t="s">
        <v>190</v>
      </c>
      <c r="AG642" s="29">
        <v>6</v>
      </c>
      <c r="AH642" s="29" t="s">
        <v>190</v>
      </c>
      <c r="AI642" s="29"/>
      <c r="AJ642" s="29" t="s">
        <v>7442</v>
      </c>
      <c r="AK642" s="29" t="s">
        <v>5640</v>
      </c>
    </row>
    <row r="643" spans="1:37" s="33" customFormat="1">
      <c r="A643" s="29" t="str">
        <f>VLOOKUP(H643,Languages!$A$2:$B$430,2,FALSE)</f>
        <v>Austronesian</v>
      </c>
      <c r="B643" s="29" t="s">
        <v>1707</v>
      </c>
      <c r="C643" s="29" t="s">
        <v>75</v>
      </c>
      <c r="D643" s="29" t="s">
        <v>7805</v>
      </c>
      <c r="E643" s="30" t="s">
        <v>7806</v>
      </c>
      <c r="F643" s="30" t="s">
        <v>7798</v>
      </c>
      <c r="G643" s="29" t="s">
        <v>7798</v>
      </c>
      <c r="H643" s="29" t="str">
        <f>VLOOKUP(G643,'languoid 4.0'!$A$1:$I$24439,2,FALSE)</f>
        <v>aust1307</v>
      </c>
      <c r="I643" s="29" t="str">
        <f>VLOOKUP(G643,'languoid 4.0'!$A$1:$I$24439,6,FALSE)</f>
        <v>family</v>
      </c>
      <c r="J643" s="30" t="s">
        <v>52</v>
      </c>
      <c r="K643" s="30" t="s">
        <v>38</v>
      </c>
      <c r="L643" s="30" t="s">
        <v>38</v>
      </c>
      <c r="M643" s="29"/>
      <c r="N643" s="29" t="s">
        <v>7807</v>
      </c>
      <c r="O643" s="30" t="s">
        <v>40</v>
      </c>
      <c r="P643" s="30" t="s">
        <v>41</v>
      </c>
      <c r="Q643" s="29" t="s">
        <v>7831</v>
      </c>
      <c r="R643" s="31" t="s">
        <v>7832</v>
      </c>
      <c r="S643" s="29" t="s">
        <v>46</v>
      </c>
      <c r="T643" s="29" t="s">
        <v>635</v>
      </c>
      <c r="U643" s="29" t="s">
        <v>636</v>
      </c>
      <c r="V643" s="29" t="s">
        <v>45</v>
      </c>
      <c r="W643" s="29"/>
      <c r="X643" s="29"/>
      <c r="Y643" s="29"/>
      <c r="Z643" s="29" t="s">
        <v>658</v>
      </c>
      <c r="AA643" s="29" t="s">
        <v>7833</v>
      </c>
      <c r="AB643" s="29" t="s">
        <v>46</v>
      </c>
      <c r="AC643" s="29" t="s">
        <v>46</v>
      </c>
      <c r="AD643" s="29" t="s">
        <v>7834</v>
      </c>
      <c r="AE643" s="29" t="s">
        <v>641</v>
      </c>
      <c r="AF643" s="29" t="s">
        <v>190</v>
      </c>
      <c r="AG643" s="29">
        <v>6</v>
      </c>
      <c r="AH643" s="29" t="s">
        <v>190</v>
      </c>
      <c r="AI643" s="29"/>
      <c r="AJ643" s="29" t="s">
        <v>7835</v>
      </c>
      <c r="AK643" s="29" t="s">
        <v>5640</v>
      </c>
    </row>
    <row r="644" spans="1:37" s="33" customFormat="1">
      <c r="A644" s="29" t="str">
        <f>VLOOKUP(H644,Languages!$A$2:$B$430,2,FALSE)</f>
        <v>Austronesian</v>
      </c>
      <c r="B644" s="29" t="s">
        <v>1707</v>
      </c>
      <c r="C644" s="29" t="s">
        <v>66</v>
      </c>
      <c r="D644" s="29" t="s">
        <v>9566</v>
      </c>
      <c r="E644" s="30" t="s">
        <v>9567</v>
      </c>
      <c r="F644" s="30" t="s">
        <v>9567</v>
      </c>
      <c r="G644" s="29" t="s">
        <v>9567</v>
      </c>
      <c r="H644" s="29" t="str">
        <f>VLOOKUP(G644,'languoid 4.0'!$A$1:$I$24439,2,FALSE)</f>
        <v>aust1307</v>
      </c>
      <c r="I644" s="29" t="str">
        <f>VLOOKUP(G644,'languoid 4.0'!$A$1:$I$24439,6,FALSE)</f>
        <v>language</v>
      </c>
      <c r="J644" s="30" t="s">
        <v>38</v>
      </c>
      <c r="K644" s="30" t="s">
        <v>38</v>
      </c>
      <c r="L644" s="30" t="s">
        <v>38</v>
      </c>
      <c r="M644" s="29"/>
      <c r="N644" s="29" t="s">
        <v>9568</v>
      </c>
      <c r="O644" s="30" t="s">
        <v>40</v>
      </c>
      <c r="P644" s="30" t="s">
        <v>41</v>
      </c>
      <c r="Q644" s="29" t="s">
        <v>10804</v>
      </c>
      <c r="R644" s="31" t="s">
        <v>10805</v>
      </c>
      <c r="S644" s="29" t="s">
        <v>46</v>
      </c>
      <c r="T644" s="29" t="s">
        <v>635</v>
      </c>
      <c r="U644" s="29" t="s">
        <v>636</v>
      </c>
      <c r="V644" s="29" t="s">
        <v>45</v>
      </c>
      <c r="W644" s="29"/>
      <c r="X644" s="29"/>
      <c r="Y644" s="29"/>
      <c r="Z644" s="29" t="s">
        <v>637</v>
      </c>
      <c r="AA644" s="29" t="s">
        <v>10806</v>
      </c>
      <c r="AB644" s="29" t="s">
        <v>10807</v>
      </c>
      <c r="AC644" s="29" t="s">
        <v>46</v>
      </c>
      <c r="AD644" s="29"/>
      <c r="AE644" s="29" t="s">
        <v>641</v>
      </c>
      <c r="AF644" s="29" t="s">
        <v>190</v>
      </c>
      <c r="AG644" s="29">
        <v>6</v>
      </c>
      <c r="AH644" s="29" t="s">
        <v>190</v>
      </c>
      <c r="AI644" s="29"/>
      <c r="AJ644" s="32">
        <v>43324.718182870369</v>
      </c>
      <c r="AK644" s="29" t="s">
        <v>10783</v>
      </c>
    </row>
    <row r="645" spans="1:37" s="33" customFormat="1">
      <c r="A645" s="29" t="str">
        <f>VLOOKUP(H645,Languages!$A$2:$B$430,2,FALSE)</f>
        <v>Austronesian</v>
      </c>
      <c r="B645" s="29" t="s">
        <v>1707</v>
      </c>
      <c r="C645" s="29" t="s">
        <v>66</v>
      </c>
      <c r="D645" s="29" t="s">
        <v>10808</v>
      </c>
      <c r="E645" s="30" t="s">
        <v>10809</v>
      </c>
      <c r="F645" s="30" t="s">
        <v>325</v>
      </c>
      <c r="G645" s="29" t="s">
        <v>325</v>
      </c>
      <c r="H645" s="29" t="str">
        <f>VLOOKUP(G645,'languoid 4.0'!$A$1:$I$24439,2,FALSE)</f>
        <v>aust1307</v>
      </c>
      <c r="I645" s="29" t="str">
        <f>VLOOKUP(G645,'languoid 4.0'!$A$1:$I$24439,6,FALSE)</f>
        <v>language</v>
      </c>
      <c r="J645" s="30" t="s">
        <v>52</v>
      </c>
      <c r="K645" s="30" t="s">
        <v>38</v>
      </c>
      <c r="L645" s="30" t="s">
        <v>38</v>
      </c>
      <c r="M645" s="29"/>
      <c r="N645" s="29"/>
      <c r="O645" s="30" t="s">
        <v>40</v>
      </c>
      <c r="P645" s="30" t="s">
        <v>41</v>
      </c>
      <c r="Q645" s="29" t="s">
        <v>10815</v>
      </c>
      <c r="R645" s="31" t="s">
        <v>10816</v>
      </c>
      <c r="S645" s="29" t="s">
        <v>46</v>
      </c>
      <c r="T645" s="29" t="s">
        <v>635</v>
      </c>
      <c r="U645" s="29" t="s">
        <v>636</v>
      </c>
      <c r="V645" s="29" t="s">
        <v>45</v>
      </c>
      <c r="W645" s="29"/>
      <c r="X645" s="29"/>
      <c r="Y645" s="29"/>
      <c r="Z645" s="29" t="s">
        <v>637</v>
      </c>
      <c r="AA645" s="29" t="s">
        <v>10817</v>
      </c>
      <c r="AB645" s="29" t="s">
        <v>10818</v>
      </c>
      <c r="AC645" s="29" t="s">
        <v>46</v>
      </c>
      <c r="AD645" s="29"/>
      <c r="AE645" s="29" t="s">
        <v>641</v>
      </c>
      <c r="AF645" s="29" t="s">
        <v>190</v>
      </c>
      <c r="AG645" s="29">
        <v>4</v>
      </c>
      <c r="AH645" s="29" t="s">
        <v>190</v>
      </c>
      <c r="AI645" s="29" t="s">
        <v>10814</v>
      </c>
      <c r="AJ645" s="32">
        <v>43324.725370370368</v>
      </c>
      <c r="AK645" s="29" t="s">
        <v>10783</v>
      </c>
    </row>
    <row r="646" spans="1:37" s="33" customFormat="1">
      <c r="A646" s="29" t="str">
        <f>VLOOKUP(H646,Languages!$A$2:$B$430,2,FALSE)</f>
        <v>Austronesian</v>
      </c>
      <c r="B646" s="29" t="s">
        <v>1707</v>
      </c>
      <c r="C646" s="29" t="s">
        <v>66</v>
      </c>
      <c r="D646" s="29" t="s">
        <v>9566</v>
      </c>
      <c r="E646" s="30" t="s">
        <v>9567</v>
      </c>
      <c r="F646" s="30" t="s">
        <v>9567</v>
      </c>
      <c r="G646" s="29" t="s">
        <v>9567</v>
      </c>
      <c r="H646" s="29" t="str">
        <f>VLOOKUP(G646,'languoid 4.0'!$A$1:$I$24439,2,FALSE)</f>
        <v>aust1307</v>
      </c>
      <c r="I646" s="29" t="str">
        <f>VLOOKUP(G646,'languoid 4.0'!$A$1:$I$24439,6,FALSE)</f>
        <v>language</v>
      </c>
      <c r="J646" s="30" t="s">
        <v>38</v>
      </c>
      <c r="K646" s="30" t="s">
        <v>38</v>
      </c>
      <c r="L646" s="30" t="s">
        <v>38</v>
      </c>
      <c r="M646" s="29"/>
      <c r="N646" s="29" t="s">
        <v>9568</v>
      </c>
      <c r="O646" s="30" t="s">
        <v>40</v>
      </c>
      <c r="P646" s="30" t="s">
        <v>41</v>
      </c>
      <c r="Q646" s="29" t="s">
        <v>10819</v>
      </c>
      <c r="R646" s="31" t="s">
        <v>10820</v>
      </c>
      <c r="S646" s="29" t="s">
        <v>10821</v>
      </c>
      <c r="T646" s="29" t="s">
        <v>1689</v>
      </c>
      <c r="U646" s="29" t="s">
        <v>636</v>
      </c>
      <c r="V646" s="29" t="s">
        <v>45</v>
      </c>
      <c r="W646" s="29"/>
      <c r="X646" s="29"/>
      <c r="Y646" s="29"/>
      <c r="Z646" s="29" t="s">
        <v>637</v>
      </c>
      <c r="AA646" s="29" t="s">
        <v>10822</v>
      </c>
      <c r="AB646" s="29" t="s">
        <v>10823</v>
      </c>
      <c r="AC646" s="29" t="s">
        <v>46</v>
      </c>
      <c r="AD646" s="29"/>
      <c r="AE646" s="29" t="s">
        <v>641</v>
      </c>
      <c r="AF646" s="29" t="s">
        <v>190</v>
      </c>
      <c r="AG646" s="29">
        <v>5</v>
      </c>
      <c r="AH646" s="29" t="s">
        <v>190</v>
      </c>
      <c r="AI646" s="29"/>
      <c r="AJ646" s="32">
        <v>43324.769120370373</v>
      </c>
      <c r="AK646" s="29" t="s">
        <v>10783</v>
      </c>
    </row>
    <row r="647" spans="1:37" s="33" customFormat="1">
      <c r="A647" s="29" t="str">
        <f>VLOOKUP(H647,Languages!$A$2:$B$430,2,FALSE)</f>
        <v>Austronesian</v>
      </c>
      <c r="B647" s="29" t="s">
        <v>1707</v>
      </c>
      <c r="C647" s="29" t="s">
        <v>66</v>
      </c>
      <c r="D647" s="29" t="s">
        <v>10878</v>
      </c>
      <c r="E647" s="30" t="s">
        <v>51</v>
      </c>
      <c r="F647" s="30" t="s">
        <v>51</v>
      </c>
      <c r="G647" s="29" t="s">
        <v>325</v>
      </c>
      <c r="H647" s="29" t="str">
        <f>VLOOKUP(G647,'languoid 4.0'!$A$1:$I$24439,2,FALSE)</f>
        <v>aust1307</v>
      </c>
      <c r="I647" s="29" t="str">
        <f>VLOOKUP(G647,'languoid 4.0'!$A$1:$I$24439,6,FALSE)</f>
        <v>language</v>
      </c>
      <c r="J647" s="30" t="s">
        <v>51</v>
      </c>
      <c r="K647" s="30" t="s">
        <v>51</v>
      </c>
      <c r="L647" s="30" t="s">
        <v>51</v>
      </c>
      <c r="M647" s="29"/>
      <c r="N647" s="29" t="e">
        <v>#N/A</v>
      </c>
      <c r="O647" s="30" t="s">
        <v>690</v>
      </c>
      <c r="P647" s="30"/>
      <c r="Q647" s="29" t="s">
        <v>11005</v>
      </c>
      <c r="R647" s="31" t="s">
        <v>11006</v>
      </c>
      <c r="S647" s="29" t="s">
        <v>10958</v>
      </c>
      <c r="T647" s="29" t="s">
        <v>822</v>
      </c>
      <c r="U647" s="29" t="s">
        <v>636</v>
      </c>
      <c r="V647" s="29" t="s">
        <v>45</v>
      </c>
      <c r="W647" s="29"/>
      <c r="X647" s="29"/>
      <c r="Y647" s="29"/>
      <c r="Z647" s="29" t="s">
        <v>658</v>
      </c>
      <c r="AA647" s="29" t="s">
        <v>11007</v>
      </c>
      <c r="AB647" s="29" t="s">
        <v>46</v>
      </c>
      <c r="AC647" s="29" t="s">
        <v>46</v>
      </c>
      <c r="AD647" s="29"/>
      <c r="AE647" s="29" t="s">
        <v>641</v>
      </c>
      <c r="AF647" s="29" t="s">
        <v>190</v>
      </c>
      <c r="AG647" s="29">
        <v>6</v>
      </c>
      <c r="AH647" s="29" t="s">
        <v>190</v>
      </c>
      <c r="AI647" s="29" t="s">
        <v>11008</v>
      </c>
      <c r="AJ647" s="29" t="s">
        <v>11009</v>
      </c>
      <c r="AK647" s="29" t="s">
        <v>10783</v>
      </c>
    </row>
    <row r="648" spans="1:37" s="33" customFormat="1">
      <c r="A648" s="29" t="str">
        <f>VLOOKUP(H648,Languages!$A$2:$B$430,2,FALSE)</f>
        <v>Austronesian</v>
      </c>
      <c r="B648" s="29" t="s">
        <v>1707</v>
      </c>
      <c r="C648" s="29" t="s">
        <v>66</v>
      </c>
      <c r="D648" s="29" t="s">
        <v>10878</v>
      </c>
      <c r="E648" s="30" t="s">
        <v>51</v>
      </c>
      <c r="F648" s="30" t="s">
        <v>51</v>
      </c>
      <c r="G648" s="29" t="s">
        <v>325</v>
      </c>
      <c r="H648" s="29" t="str">
        <f>VLOOKUP(G648,'languoid 4.0'!$A$1:$I$24439,2,FALSE)</f>
        <v>aust1307</v>
      </c>
      <c r="I648" s="29" t="str">
        <f>VLOOKUP(G648,'languoid 4.0'!$A$1:$I$24439,6,FALSE)</f>
        <v>language</v>
      </c>
      <c r="J648" s="30" t="s">
        <v>51</v>
      </c>
      <c r="K648" s="30" t="s">
        <v>51</v>
      </c>
      <c r="L648" s="30" t="s">
        <v>51</v>
      </c>
      <c r="M648" s="29"/>
      <c r="N648" s="29" t="e">
        <v>#N/A</v>
      </c>
      <c r="O648" s="30" t="s">
        <v>690</v>
      </c>
      <c r="P648" s="30"/>
      <c r="Q648" s="29" t="s">
        <v>11103</v>
      </c>
      <c r="R648" s="31" t="s">
        <v>11104</v>
      </c>
      <c r="S648" s="29" t="s">
        <v>11017</v>
      </c>
      <c r="T648" s="29" t="s">
        <v>822</v>
      </c>
      <c r="U648" s="29" t="s">
        <v>636</v>
      </c>
      <c r="V648" s="29" t="s">
        <v>45</v>
      </c>
      <c r="W648" s="29"/>
      <c r="X648" s="29"/>
      <c r="Y648" s="29"/>
      <c r="Z648" s="29" t="s">
        <v>673</v>
      </c>
      <c r="AA648" s="29" t="s">
        <v>11105</v>
      </c>
      <c r="AB648" s="29" t="s">
        <v>11106</v>
      </c>
      <c r="AC648" s="29" t="s">
        <v>46</v>
      </c>
      <c r="AD648" s="29"/>
      <c r="AE648" s="29" t="s">
        <v>641</v>
      </c>
      <c r="AF648" s="29" t="s">
        <v>190</v>
      </c>
      <c r="AG648" s="29">
        <v>6</v>
      </c>
      <c r="AH648" s="29" t="s">
        <v>190</v>
      </c>
      <c r="AI648" s="29" t="s">
        <v>11107</v>
      </c>
      <c r="AJ648" s="29" t="s">
        <v>11108</v>
      </c>
      <c r="AK648" s="29" t="s">
        <v>10783</v>
      </c>
    </row>
    <row r="649" spans="1:37" s="33" customFormat="1">
      <c r="A649" s="29" t="str">
        <f>VLOOKUP(H649,Languages!$A$2:$B$430,2,FALSE)</f>
        <v>Austronesian</v>
      </c>
      <c r="B649" s="29" t="s">
        <v>1707</v>
      </c>
      <c r="C649" s="29" t="s">
        <v>66</v>
      </c>
      <c r="D649" s="29" t="s">
        <v>9566</v>
      </c>
      <c r="E649" s="30" t="s">
        <v>9567</v>
      </c>
      <c r="F649" s="30" t="s">
        <v>9567</v>
      </c>
      <c r="G649" s="29" t="s">
        <v>9567</v>
      </c>
      <c r="H649" s="29" t="str">
        <f>VLOOKUP(G649,'languoid 4.0'!$A$1:$I$24439,2,FALSE)</f>
        <v>aust1307</v>
      </c>
      <c r="I649" s="29" t="str">
        <f>VLOOKUP(G649,'languoid 4.0'!$A$1:$I$24439,6,FALSE)</f>
        <v>language</v>
      </c>
      <c r="J649" s="30" t="s">
        <v>38</v>
      </c>
      <c r="K649" s="30" t="s">
        <v>38</v>
      </c>
      <c r="L649" s="30" t="s">
        <v>38</v>
      </c>
      <c r="M649" s="29"/>
      <c r="N649" s="29" t="s">
        <v>9568</v>
      </c>
      <c r="O649" s="30" t="s">
        <v>40</v>
      </c>
      <c r="P649" s="30" t="s">
        <v>41</v>
      </c>
      <c r="Q649" s="29" t="s">
        <v>11141</v>
      </c>
      <c r="R649" s="31" t="s">
        <v>11142</v>
      </c>
      <c r="S649" s="29" t="s">
        <v>11017</v>
      </c>
      <c r="T649" s="29" t="s">
        <v>822</v>
      </c>
      <c r="U649" s="29" t="s">
        <v>636</v>
      </c>
      <c r="V649" s="29" t="s">
        <v>45</v>
      </c>
      <c r="W649" s="29"/>
      <c r="X649" s="29"/>
      <c r="Y649" s="29"/>
      <c r="Z649" s="29" t="s">
        <v>637</v>
      </c>
      <c r="AA649" s="29" t="s">
        <v>11143</v>
      </c>
      <c r="AB649" s="29" t="s">
        <v>11144</v>
      </c>
      <c r="AC649" s="29" t="s">
        <v>46</v>
      </c>
      <c r="AD649" s="29"/>
      <c r="AE649" s="29" t="s">
        <v>641</v>
      </c>
      <c r="AF649" s="29" t="s">
        <v>190</v>
      </c>
      <c r="AG649" s="29">
        <v>6</v>
      </c>
      <c r="AH649" s="29" t="s">
        <v>190</v>
      </c>
      <c r="AI649" s="29"/>
      <c r="AJ649" s="29" t="s">
        <v>11145</v>
      </c>
      <c r="AK649" s="29" t="s">
        <v>10783</v>
      </c>
    </row>
    <row r="650" spans="1:37" s="33" customFormat="1">
      <c r="A650" s="29" t="str">
        <f>VLOOKUP(H650,Languages!$A$2:$B$430,2,FALSE)</f>
        <v>Austronesian</v>
      </c>
      <c r="B650" s="29" t="s">
        <v>1707</v>
      </c>
      <c r="C650" s="29" t="s">
        <v>198</v>
      </c>
      <c r="D650" s="29" t="s">
        <v>1969</v>
      </c>
      <c r="E650" s="30" t="s">
        <v>51</v>
      </c>
      <c r="F650" s="30" t="s">
        <v>1592</v>
      </c>
      <c r="G650" s="29" t="s">
        <v>1970</v>
      </c>
      <c r="H650" s="29" t="str">
        <f>VLOOKUP(G650,'languoid 4.0'!$A$1:$I$24439,2,FALSE)</f>
        <v>aust1307</v>
      </c>
      <c r="I650" s="29" t="str">
        <f>VLOOKUP(G650,'languoid 4.0'!$A$1:$I$24439,6,FALSE)</f>
        <v>language</v>
      </c>
      <c r="J650" s="30" t="s">
        <v>52</v>
      </c>
      <c r="K650" s="30" t="s">
        <v>51</v>
      </c>
      <c r="L650" s="30" t="s">
        <v>51</v>
      </c>
      <c r="M650" s="29"/>
      <c r="N650" s="29" t="e">
        <v>#N/A</v>
      </c>
      <c r="O650" s="30" t="s">
        <v>690</v>
      </c>
      <c r="P650" s="30"/>
      <c r="Q650" s="29" t="s">
        <v>1971</v>
      </c>
      <c r="R650" s="31" t="s">
        <v>1972</v>
      </c>
      <c r="S650" s="29" t="s">
        <v>46</v>
      </c>
      <c r="T650" s="29" t="s">
        <v>635</v>
      </c>
      <c r="U650" s="29" t="s">
        <v>636</v>
      </c>
      <c r="V650" s="29" t="s">
        <v>45</v>
      </c>
      <c r="W650" s="29"/>
      <c r="X650" s="29"/>
      <c r="Y650" s="29"/>
      <c r="Z650" s="29" t="s">
        <v>658</v>
      </c>
      <c r="AA650" s="29" t="s">
        <v>1973</v>
      </c>
      <c r="AB650" s="29" t="s">
        <v>46</v>
      </c>
      <c r="AC650" s="29" t="s">
        <v>46</v>
      </c>
      <c r="AD650" s="29"/>
      <c r="AE650" s="29" t="s">
        <v>641</v>
      </c>
      <c r="AF650" s="29" t="s">
        <v>190</v>
      </c>
      <c r="AG650" s="29">
        <v>5</v>
      </c>
      <c r="AH650" s="29" t="s">
        <v>190</v>
      </c>
      <c r="AI650" s="29"/>
      <c r="AJ650" s="29" t="s">
        <v>1974</v>
      </c>
      <c r="AK650" s="29" t="s">
        <v>1598</v>
      </c>
    </row>
    <row r="651" spans="1:37" s="33" customFormat="1">
      <c r="A651" s="29" t="str">
        <f>VLOOKUP(H651,Languages!$A$2:$B$430,2,FALSE)</f>
        <v>Austronesian</v>
      </c>
      <c r="B651" s="29" t="s">
        <v>1707</v>
      </c>
      <c r="C651" s="29" t="s">
        <v>198</v>
      </c>
      <c r="D651" s="29" t="s">
        <v>1969</v>
      </c>
      <c r="E651" s="30" t="s">
        <v>51</v>
      </c>
      <c r="F651" s="30" t="s">
        <v>1592</v>
      </c>
      <c r="G651" s="29" t="s">
        <v>1970</v>
      </c>
      <c r="H651" s="29" t="str">
        <f>VLOOKUP(G651,'languoid 4.0'!$A$1:$I$24439,2,FALSE)</f>
        <v>aust1307</v>
      </c>
      <c r="I651" s="29" t="str">
        <f>VLOOKUP(G651,'languoid 4.0'!$A$1:$I$24439,6,FALSE)</f>
        <v>language</v>
      </c>
      <c r="J651" s="30" t="s">
        <v>52</v>
      </c>
      <c r="K651" s="30" t="s">
        <v>51</v>
      </c>
      <c r="L651" s="30" t="s">
        <v>51</v>
      </c>
      <c r="M651" s="29"/>
      <c r="N651" s="29" t="e">
        <v>#N/A</v>
      </c>
      <c r="O651" s="30" t="s">
        <v>690</v>
      </c>
      <c r="P651" s="30"/>
      <c r="Q651" s="29" t="s">
        <v>1975</v>
      </c>
      <c r="R651" s="31" t="s">
        <v>1976</v>
      </c>
      <c r="S651" s="29" t="s">
        <v>46</v>
      </c>
      <c r="T651" s="29" t="s">
        <v>635</v>
      </c>
      <c r="U651" s="29" t="s">
        <v>636</v>
      </c>
      <c r="V651" s="29" t="s">
        <v>45</v>
      </c>
      <c r="W651" s="29"/>
      <c r="X651" s="29"/>
      <c r="Y651" s="29"/>
      <c r="Z651" s="29" t="s">
        <v>658</v>
      </c>
      <c r="AA651" s="29" t="s">
        <v>1977</v>
      </c>
      <c r="AB651" s="29" t="s">
        <v>46</v>
      </c>
      <c r="AC651" s="29" t="s">
        <v>46</v>
      </c>
      <c r="AD651" s="29"/>
      <c r="AE651" s="29" t="s">
        <v>641</v>
      </c>
      <c r="AF651" s="29" t="s">
        <v>190</v>
      </c>
      <c r="AG651" s="29">
        <v>5</v>
      </c>
      <c r="AH651" s="29" t="s">
        <v>190</v>
      </c>
      <c r="AI651" s="29"/>
      <c r="AJ651" s="29" t="s">
        <v>1978</v>
      </c>
      <c r="AK651" s="29" t="s">
        <v>1598</v>
      </c>
    </row>
    <row r="652" spans="1:37" s="33" customFormat="1">
      <c r="A652" s="29" t="str">
        <f>VLOOKUP(H652,Languages!$A$2:$B$430,2,FALSE)</f>
        <v>Austronesian</v>
      </c>
      <c r="B652" s="29" t="s">
        <v>1707</v>
      </c>
      <c r="C652" s="29" t="s">
        <v>198</v>
      </c>
      <c r="D652" s="29" t="s">
        <v>1979</v>
      </c>
      <c r="E652" s="30" t="s">
        <v>1592</v>
      </c>
      <c r="F652" s="30" t="s">
        <v>1592</v>
      </c>
      <c r="G652" s="29" t="s">
        <v>1592</v>
      </c>
      <c r="H652" s="29" t="str">
        <f>VLOOKUP(G652,'languoid 4.0'!$A$1:$I$24439,2,FALSE)</f>
        <v>aust1307</v>
      </c>
      <c r="I652" s="29" t="str">
        <f>VLOOKUP(G652,'languoid 4.0'!$A$1:$I$24439,6,FALSE)</f>
        <v>language</v>
      </c>
      <c r="J652" s="30" t="s">
        <v>38</v>
      </c>
      <c r="K652" s="30" t="s">
        <v>38</v>
      </c>
      <c r="L652" s="30" t="s">
        <v>38</v>
      </c>
      <c r="M652" s="29"/>
      <c r="N652" s="29" t="s">
        <v>1593</v>
      </c>
      <c r="O652" s="30" t="s">
        <v>40</v>
      </c>
      <c r="P652" s="30" t="s">
        <v>41</v>
      </c>
      <c r="Q652" s="29" t="s">
        <v>1980</v>
      </c>
      <c r="R652" s="31" t="s">
        <v>1981</v>
      </c>
      <c r="S652" s="29" t="s">
        <v>46</v>
      </c>
      <c r="T652" s="29" t="s">
        <v>635</v>
      </c>
      <c r="U652" s="29" t="s">
        <v>636</v>
      </c>
      <c r="V652" s="29" t="s">
        <v>45</v>
      </c>
      <c r="W652" s="29"/>
      <c r="X652" s="29"/>
      <c r="Y652" s="29"/>
      <c r="Z652" s="29" t="s">
        <v>658</v>
      </c>
      <c r="AA652" s="29" t="s">
        <v>1982</v>
      </c>
      <c r="AB652" s="29" t="s">
        <v>46</v>
      </c>
      <c r="AC652" s="29" t="s">
        <v>46</v>
      </c>
      <c r="AD652" s="29"/>
      <c r="AE652" s="29" t="s">
        <v>641</v>
      </c>
      <c r="AF652" s="29" t="s">
        <v>190</v>
      </c>
      <c r="AG652" s="29">
        <v>6</v>
      </c>
      <c r="AH652" s="29" t="s">
        <v>190</v>
      </c>
      <c r="AI652" s="29"/>
      <c r="AJ652" s="29" t="s">
        <v>1983</v>
      </c>
      <c r="AK652" s="29" t="s">
        <v>1598</v>
      </c>
    </row>
    <row r="653" spans="1:37" s="33" customFormat="1">
      <c r="A653" s="29" t="str">
        <f>VLOOKUP(H653,Languages!$A$2:$B$430,2,FALSE)</f>
        <v>Austronesian</v>
      </c>
      <c r="B653" s="29" t="s">
        <v>1707</v>
      </c>
      <c r="C653" s="29" t="s">
        <v>198</v>
      </c>
      <c r="D653" s="29" t="s">
        <v>226</v>
      </c>
      <c r="E653" s="30" t="s">
        <v>227</v>
      </c>
      <c r="F653" s="30" t="s">
        <v>227</v>
      </c>
      <c r="G653" s="29" t="s">
        <v>227</v>
      </c>
      <c r="H653" s="29" t="str">
        <f>VLOOKUP(G653,'languoid 4.0'!$A$1:$I$24439,2,FALSE)</f>
        <v>aust1307</v>
      </c>
      <c r="I653" s="29" t="str">
        <f>VLOOKUP(G653,'languoid 4.0'!$A$1:$I$24439,6,FALSE)</f>
        <v>language</v>
      </c>
      <c r="J653" s="30" t="s">
        <v>38</v>
      </c>
      <c r="K653" s="30" t="s">
        <v>38</v>
      </c>
      <c r="L653" s="30" t="s">
        <v>38</v>
      </c>
      <c r="M653" s="29"/>
      <c r="N653" s="29" t="s">
        <v>228</v>
      </c>
      <c r="O653" s="30" t="s">
        <v>40</v>
      </c>
      <c r="P653" s="30" t="s">
        <v>41</v>
      </c>
      <c r="Q653" s="29" t="s">
        <v>1988</v>
      </c>
      <c r="R653" s="31" t="s">
        <v>1659</v>
      </c>
      <c r="S653" s="29" t="s">
        <v>46</v>
      </c>
      <c r="T653" s="29" t="s">
        <v>635</v>
      </c>
      <c r="U653" s="29" t="s">
        <v>636</v>
      </c>
      <c r="V653" s="29" t="s">
        <v>45</v>
      </c>
      <c r="W653" s="29"/>
      <c r="X653" s="29"/>
      <c r="Y653" s="29"/>
      <c r="Z653" s="29" t="s">
        <v>658</v>
      </c>
      <c r="AA653" s="29" t="s">
        <v>1989</v>
      </c>
      <c r="AB653" s="29" t="s">
        <v>46</v>
      </c>
      <c r="AC653" s="29" t="s">
        <v>46</v>
      </c>
      <c r="AD653" s="29" t="s">
        <v>1990</v>
      </c>
      <c r="AE653" s="29"/>
      <c r="AF653" s="29"/>
      <c r="AG653" s="29"/>
      <c r="AH653" s="29" t="s">
        <v>45</v>
      </c>
      <c r="AI653" s="29"/>
      <c r="AJ653" s="29" t="s">
        <v>1991</v>
      </c>
      <c r="AK653" s="29" t="s">
        <v>1598</v>
      </c>
    </row>
    <row r="654" spans="1:37" s="33" customFormat="1">
      <c r="A654" s="29" t="str">
        <f>VLOOKUP(H654,Languages!$A$2:$B$430,2,FALSE)</f>
        <v>Austronesian</v>
      </c>
      <c r="B654" s="29" t="s">
        <v>1707</v>
      </c>
      <c r="C654" s="29" t="s">
        <v>198</v>
      </c>
      <c r="D654" s="29" t="s">
        <v>1665</v>
      </c>
      <c r="E654" s="30" t="s">
        <v>1666</v>
      </c>
      <c r="F654" s="30" t="s">
        <v>1667</v>
      </c>
      <c r="G654" s="29" t="s">
        <v>1666</v>
      </c>
      <c r="H654" s="29" t="str">
        <f>VLOOKUP(G654,'languoid 4.0'!$A$1:$I$24439,2,FALSE)</f>
        <v>aust1307</v>
      </c>
      <c r="I654" s="29" t="str">
        <f>VLOOKUP(G654,'languoid 4.0'!$A$1:$I$24439,6,FALSE)</f>
        <v>language</v>
      </c>
      <c r="J654" s="30" t="s">
        <v>52</v>
      </c>
      <c r="K654" s="30" t="s">
        <v>38</v>
      </c>
      <c r="L654" s="30" t="s">
        <v>38</v>
      </c>
      <c r="M654" s="29"/>
      <c r="N654" s="29" t="s">
        <v>1668</v>
      </c>
      <c r="O654" s="30" t="s">
        <v>40</v>
      </c>
      <c r="P654" s="30" t="s">
        <v>41</v>
      </c>
      <c r="Q654" s="29" t="s">
        <v>2006</v>
      </c>
      <c r="R654" s="31" t="s">
        <v>1670</v>
      </c>
      <c r="S654" s="29" t="s">
        <v>46</v>
      </c>
      <c r="T654" s="29" t="s">
        <v>635</v>
      </c>
      <c r="U654" s="29" t="s">
        <v>636</v>
      </c>
      <c r="V654" s="29" t="s">
        <v>45</v>
      </c>
      <c r="W654" s="29"/>
      <c r="X654" s="29"/>
      <c r="Y654" s="29"/>
      <c r="Z654" s="29" t="s">
        <v>658</v>
      </c>
      <c r="AA654" s="29" t="s">
        <v>2007</v>
      </c>
      <c r="AB654" s="29" t="s">
        <v>46</v>
      </c>
      <c r="AC654" s="29" t="s">
        <v>46</v>
      </c>
      <c r="AD654" s="29" t="s">
        <v>2008</v>
      </c>
      <c r="AE654" s="29"/>
      <c r="AF654" s="29"/>
      <c r="AG654" s="29"/>
      <c r="AH654" s="29" t="s">
        <v>45</v>
      </c>
      <c r="AI654" s="29"/>
      <c r="AJ654" s="29" t="s">
        <v>2009</v>
      </c>
      <c r="AK654" s="29" t="s">
        <v>1598</v>
      </c>
    </row>
    <row r="655" spans="1:37" s="33" customFormat="1">
      <c r="A655" s="29" t="str">
        <f>VLOOKUP(H655,Languages!$A$2:$B$430,2,FALSE)</f>
        <v>Austronesian</v>
      </c>
      <c r="B655" s="29" t="s">
        <v>1707</v>
      </c>
      <c r="C655" s="29" t="s">
        <v>198</v>
      </c>
      <c r="D655" s="29" t="s">
        <v>1979</v>
      </c>
      <c r="E655" s="30" t="s">
        <v>1592</v>
      </c>
      <c r="F655" s="30" t="s">
        <v>1592</v>
      </c>
      <c r="G655" s="29" t="s">
        <v>1592</v>
      </c>
      <c r="H655" s="29" t="str">
        <f>VLOOKUP(G655,'languoid 4.0'!$A$1:$I$24439,2,FALSE)</f>
        <v>aust1307</v>
      </c>
      <c r="I655" s="29" t="str">
        <f>VLOOKUP(G655,'languoid 4.0'!$A$1:$I$24439,6,FALSE)</f>
        <v>language</v>
      </c>
      <c r="J655" s="30" t="s">
        <v>38</v>
      </c>
      <c r="K655" s="30" t="s">
        <v>38</v>
      </c>
      <c r="L655" s="30" t="s">
        <v>38</v>
      </c>
      <c r="M655" s="29"/>
      <c r="N655" s="29" t="s">
        <v>1593</v>
      </c>
      <c r="O655" s="30" t="s">
        <v>40</v>
      </c>
      <c r="P655" s="30" t="s">
        <v>41</v>
      </c>
      <c r="Q655" s="29" t="s">
        <v>2812</v>
      </c>
      <c r="R655" s="31" t="s">
        <v>2813</v>
      </c>
      <c r="S655" s="29" t="s">
        <v>46</v>
      </c>
      <c r="T655" s="29" t="s">
        <v>2103</v>
      </c>
      <c r="U655" s="29" t="s">
        <v>636</v>
      </c>
      <c r="V655" s="29" t="s">
        <v>45</v>
      </c>
      <c r="W655" s="29"/>
      <c r="X655" s="29"/>
      <c r="Y655" s="29"/>
      <c r="Z655" s="29" t="s">
        <v>658</v>
      </c>
      <c r="AA655" s="29" t="s">
        <v>2814</v>
      </c>
      <c r="AB655" s="29" t="s">
        <v>46</v>
      </c>
      <c r="AC655" s="29" t="s">
        <v>46</v>
      </c>
      <c r="AD655" s="29"/>
      <c r="AE655" s="29"/>
      <c r="AF655" s="29"/>
      <c r="AG655" s="29"/>
      <c r="AH655" s="29" t="s">
        <v>45</v>
      </c>
      <c r="AI655" s="29"/>
      <c r="AJ655" s="32">
        <v>43408.323020833333</v>
      </c>
      <c r="AK655" s="29" t="s">
        <v>1598</v>
      </c>
    </row>
    <row r="656" spans="1:37" s="33" customFormat="1">
      <c r="A656" s="29" t="str">
        <f>VLOOKUP(H656,Languages!$A$2:$B$430,2,FALSE)</f>
        <v>Austronesian</v>
      </c>
      <c r="B656" s="29" t="s">
        <v>1707</v>
      </c>
      <c r="C656" s="29" t="s">
        <v>198</v>
      </c>
      <c r="D656" s="29" t="s">
        <v>1979</v>
      </c>
      <c r="E656" s="30" t="s">
        <v>1592</v>
      </c>
      <c r="F656" s="30" t="s">
        <v>1592</v>
      </c>
      <c r="G656" s="29" t="s">
        <v>1592</v>
      </c>
      <c r="H656" s="29" t="str">
        <f>VLOOKUP(G656,'languoid 4.0'!$A$1:$I$24439,2,FALSE)</f>
        <v>aust1307</v>
      </c>
      <c r="I656" s="29" t="str">
        <f>VLOOKUP(G656,'languoid 4.0'!$A$1:$I$24439,6,FALSE)</f>
        <v>language</v>
      </c>
      <c r="J656" s="30" t="s">
        <v>38</v>
      </c>
      <c r="K656" s="30" t="s">
        <v>38</v>
      </c>
      <c r="L656" s="30" t="s">
        <v>38</v>
      </c>
      <c r="M656" s="29"/>
      <c r="N656" s="29" t="s">
        <v>1593</v>
      </c>
      <c r="O656" s="30" t="s">
        <v>40</v>
      </c>
      <c r="P656" s="30" t="s">
        <v>41</v>
      </c>
      <c r="Q656" s="29" t="s">
        <v>2815</v>
      </c>
      <c r="R656" s="31" t="s">
        <v>2816</v>
      </c>
      <c r="S656" s="29" t="s">
        <v>46</v>
      </c>
      <c r="T656" s="29" t="s">
        <v>2103</v>
      </c>
      <c r="U656" s="29" t="s">
        <v>636</v>
      </c>
      <c r="V656" s="29" t="s">
        <v>45</v>
      </c>
      <c r="W656" s="29"/>
      <c r="X656" s="29"/>
      <c r="Y656" s="29"/>
      <c r="Z656" s="29" t="s">
        <v>658</v>
      </c>
      <c r="AA656" s="29" t="s">
        <v>2817</v>
      </c>
      <c r="AB656" s="29" t="s">
        <v>46</v>
      </c>
      <c r="AC656" s="29" t="s">
        <v>46</v>
      </c>
      <c r="AD656" s="29"/>
      <c r="AE656" s="29"/>
      <c r="AF656" s="29"/>
      <c r="AG656" s="29"/>
      <c r="AH656" s="29" t="s">
        <v>45</v>
      </c>
      <c r="AI656" s="29"/>
      <c r="AJ656" s="32">
        <v>43408.323761574073</v>
      </c>
      <c r="AK656" s="29" t="s">
        <v>1598</v>
      </c>
    </row>
    <row r="657" spans="1:37" s="33" customFormat="1">
      <c r="A657" s="29" t="str">
        <f>VLOOKUP(H657,Languages!$A$2:$B$430,2,FALSE)</f>
        <v>Austronesian</v>
      </c>
      <c r="B657" s="29" t="s">
        <v>1707</v>
      </c>
      <c r="C657" s="29" t="s">
        <v>198</v>
      </c>
      <c r="D657" s="29" t="s">
        <v>1979</v>
      </c>
      <c r="E657" s="30" t="s">
        <v>1592</v>
      </c>
      <c r="F657" s="30" t="s">
        <v>1592</v>
      </c>
      <c r="G657" s="29" t="s">
        <v>1592</v>
      </c>
      <c r="H657" s="29" t="str">
        <f>VLOOKUP(G657,'languoid 4.0'!$A$1:$I$24439,2,FALSE)</f>
        <v>aust1307</v>
      </c>
      <c r="I657" s="29" t="str">
        <f>VLOOKUP(G657,'languoid 4.0'!$A$1:$I$24439,6,FALSE)</f>
        <v>language</v>
      </c>
      <c r="J657" s="30" t="s">
        <v>38</v>
      </c>
      <c r="K657" s="30" t="s">
        <v>38</v>
      </c>
      <c r="L657" s="30" t="s">
        <v>38</v>
      </c>
      <c r="M657" s="29"/>
      <c r="N657" s="29" t="s">
        <v>1593</v>
      </c>
      <c r="O657" s="30" t="s">
        <v>40</v>
      </c>
      <c r="P657" s="30" t="s">
        <v>41</v>
      </c>
      <c r="Q657" s="29" t="s">
        <v>2818</v>
      </c>
      <c r="R657" s="31" t="s">
        <v>2819</v>
      </c>
      <c r="S657" s="29" t="s">
        <v>46</v>
      </c>
      <c r="T657" s="29" t="s">
        <v>2103</v>
      </c>
      <c r="U657" s="29" t="s">
        <v>636</v>
      </c>
      <c r="V657" s="29" t="s">
        <v>45</v>
      </c>
      <c r="W657" s="29"/>
      <c r="X657" s="29"/>
      <c r="Y657" s="29"/>
      <c r="Z657" s="29" t="s">
        <v>658</v>
      </c>
      <c r="AA657" s="29" t="s">
        <v>2820</v>
      </c>
      <c r="AB657" s="29" t="s">
        <v>46</v>
      </c>
      <c r="AC657" s="29" t="s">
        <v>46</v>
      </c>
      <c r="AD657" s="29"/>
      <c r="AE657" s="29"/>
      <c r="AF657" s="29"/>
      <c r="AG657" s="29"/>
      <c r="AH657" s="29" t="s">
        <v>45</v>
      </c>
      <c r="AI657" s="29"/>
      <c r="AJ657" s="32">
        <v>43408.324386574073</v>
      </c>
      <c r="AK657" s="29" t="s">
        <v>1598</v>
      </c>
    </row>
    <row r="658" spans="1:37" s="33" customFormat="1">
      <c r="A658" s="29" t="str">
        <f>VLOOKUP(H658,Languages!$A$2:$B$430,2,FALSE)</f>
        <v>Austronesian</v>
      </c>
      <c r="B658" s="29" t="s">
        <v>1707</v>
      </c>
      <c r="C658" s="29" t="s">
        <v>198</v>
      </c>
      <c r="D658" s="29" t="s">
        <v>1979</v>
      </c>
      <c r="E658" s="30" t="s">
        <v>1592</v>
      </c>
      <c r="F658" s="30" t="s">
        <v>1592</v>
      </c>
      <c r="G658" s="29" t="s">
        <v>1592</v>
      </c>
      <c r="H658" s="29" t="str">
        <f>VLOOKUP(G658,'languoid 4.0'!$A$1:$I$24439,2,FALSE)</f>
        <v>aust1307</v>
      </c>
      <c r="I658" s="29" t="str">
        <f>VLOOKUP(G658,'languoid 4.0'!$A$1:$I$24439,6,FALSE)</f>
        <v>language</v>
      </c>
      <c r="J658" s="30" t="s">
        <v>38</v>
      </c>
      <c r="K658" s="30" t="s">
        <v>38</v>
      </c>
      <c r="L658" s="30" t="s">
        <v>38</v>
      </c>
      <c r="M658" s="29"/>
      <c r="N658" s="29" t="s">
        <v>1593</v>
      </c>
      <c r="O658" s="30" t="s">
        <v>40</v>
      </c>
      <c r="P658" s="30" t="s">
        <v>41</v>
      </c>
      <c r="Q658" s="29" t="s">
        <v>2821</v>
      </c>
      <c r="R658" s="31" t="s">
        <v>2822</v>
      </c>
      <c r="S658" s="29" t="s">
        <v>46</v>
      </c>
      <c r="T658" s="29" t="s">
        <v>2103</v>
      </c>
      <c r="U658" s="29" t="s">
        <v>636</v>
      </c>
      <c r="V658" s="29" t="s">
        <v>45</v>
      </c>
      <c r="W658" s="29"/>
      <c r="X658" s="29"/>
      <c r="Y658" s="29"/>
      <c r="Z658" s="29" t="s">
        <v>673</v>
      </c>
      <c r="AA658" s="29" t="s">
        <v>46</v>
      </c>
      <c r="AB658" s="29" t="s">
        <v>2823</v>
      </c>
      <c r="AC658" s="29" t="s">
        <v>46</v>
      </c>
      <c r="AD658" s="29"/>
      <c r="AE658" s="29"/>
      <c r="AF658" s="29"/>
      <c r="AG658" s="29"/>
      <c r="AH658" s="29" t="s">
        <v>45</v>
      </c>
      <c r="AI658" s="29"/>
      <c r="AJ658" s="32">
        <v>43408.325601851851</v>
      </c>
      <c r="AK658" s="29" t="s">
        <v>1598</v>
      </c>
    </row>
    <row r="659" spans="1:37" s="33" customFormat="1">
      <c r="A659" s="29" t="str">
        <f>VLOOKUP(H659,Languages!$A$2:$B$430,2,FALSE)</f>
        <v>Austronesian</v>
      </c>
      <c r="B659" s="29" t="s">
        <v>1707</v>
      </c>
      <c r="C659" s="29" t="s">
        <v>198</v>
      </c>
      <c r="D659" s="29" t="s">
        <v>226</v>
      </c>
      <c r="E659" s="30" t="s">
        <v>227</v>
      </c>
      <c r="F659" s="30" t="s">
        <v>1592</v>
      </c>
      <c r="G659" s="29" t="s">
        <v>227</v>
      </c>
      <c r="H659" s="29" t="str">
        <f>VLOOKUP(G659,'languoid 4.0'!$A$1:$I$24439,2,FALSE)</f>
        <v>aust1307</v>
      </c>
      <c r="I659" s="29" t="str">
        <f>VLOOKUP(G659,'languoid 4.0'!$A$1:$I$24439,6,FALSE)</f>
        <v>language</v>
      </c>
      <c r="J659" s="30" t="s">
        <v>52</v>
      </c>
      <c r="K659" s="30" t="s">
        <v>38</v>
      </c>
      <c r="L659" s="30" t="s">
        <v>38</v>
      </c>
      <c r="M659" s="29"/>
      <c r="N659" s="29" t="s">
        <v>228</v>
      </c>
      <c r="O659" s="30" t="s">
        <v>40</v>
      </c>
      <c r="P659" s="30" t="s">
        <v>41</v>
      </c>
      <c r="Q659" s="29" t="s">
        <v>2824</v>
      </c>
      <c r="R659" s="31" t="s">
        <v>2825</v>
      </c>
      <c r="S659" s="29" t="s">
        <v>46</v>
      </c>
      <c r="T659" s="29" t="s">
        <v>2103</v>
      </c>
      <c r="U659" s="29" t="s">
        <v>636</v>
      </c>
      <c r="V659" s="29" t="s">
        <v>45</v>
      </c>
      <c r="W659" s="29"/>
      <c r="X659" s="29"/>
      <c r="Y659" s="29"/>
      <c r="Z659" s="29" t="s">
        <v>1893</v>
      </c>
      <c r="AA659" s="29" t="s">
        <v>46</v>
      </c>
      <c r="AB659" s="29" t="s">
        <v>46</v>
      </c>
      <c r="AC659" s="29" t="s">
        <v>2826</v>
      </c>
      <c r="AD659" s="29"/>
      <c r="AE659" s="29"/>
      <c r="AF659" s="29"/>
      <c r="AG659" s="29"/>
      <c r="AH659" s="29" t="s">
        <v>45</v>
      </c>
      <c r="AI659" s="29" t="s">
        <v>2827</v>
      </c>
      <c r="AJ659" s="32">
        <v>43408.329097222224</v>
      </c>
      <c r="AK659" s="29" t="s">
        <v>1598</v>
      </c>
    </row>
    <row r="660" spans="1:37" s="33" customFormat="1">
      <c r="A660" s="29" t="str">
        <f>VLOOKUP(H660,Languages!$A$2:$B$430,2,FALSE)</f>
        <v>Austronesian</v>
      </c>
      <c r="B660" s="29" t="s">
        <v>1707</v>
      </c>
      <c r="C660" s="29" t="s">
        <v>117</v>
      </c>
      <c r="D660" s="29" t="s">
        <v>4259</v>
      </c>
      <c r="E660" s="30" t="s">
        <v>4260</v>
      </c>
      <c r="F660" s="30" t="s">
        <v>4260</v>
      </c>
      <c r="G660" s="29" t="s">
        <v>4260</v>
      </c>
      <c r="H660" s="29" t="str">
        <f>VLOOKUP(G660,'languoid 4.0'!$A$1:$I$24439,2,FALSE)</f>
        <v>aust1307</v>
      </c>
      <c r="I660" s="29" t="str">
        <f>VLOOKUP(G660,'languoid 4.0'!$A$1:$I$24439,6,FALSE)</f>
        <v>language</v>
      </c>
      <c r="J660" s="30" t="s">
        <v>38</v>
      </c>
      <c r="K660" s="30" t="s">
        <v>38</v>
      </c>
      <c r="L660" s="30" t="s">
        <v>38</v>
      </c>
      <c r="M660" s="29"/>
      <c r="N660" s="29" t="s">
        <v>4261</v>
      </c>
      <c r="O660" s="30" t="s">
        <v>40</v>
      </c>
      <c r="P660" s="30" t="s">
        <v>632</v>
      </c>
      <c r="Q660" s="29" t="s">
        <v>4262</v>
      </c>
      <c r="R660" s="31" t="s">
        <v>4263</v>
      </c>
      <c r="S660" s="29" t="s">
        <v>4264</v>
      </c>
      <c r="T660" s="29" t="s">
        <v>635</v>
      </c>
      <c r="U660" s="29" t="s">
        <v>636</v>
      </c>
      <c r="V660" s="29" t="s">
        <v>45</v>
      </c>
      <c r="W660" s="29"/>
      <c r="X660" s="29"/>
      <c r="Y660" s="29"/>
      <c r="Z660" s="29" t="s">
        <v>673</v>
      </c>
      <c r="AA660" s="29" t="s">
        <v>4265</v>
      </c>
      <c r="AB660" s="29" t="s">
        <v>4266</v>
      </c>
      <c r="AC660" s="29" t="s">
        <v>46</v>
      </c>
      <c r="AD660" s="29"/>
      <c r="AE660" s="29" t="s">
        <v>641</v>
      </c>
      <c r="AF660" s="29" t="s">
        <v>190</v>
      </c>
      <c r="AG660" s="29">
        <v>6</v>
      </c>
      <c r="AH660" s="29" t="s">
        <v>190</v>
      </c>
      <c r="AI660" s="29"/>
      <c r="AJ660" s="29" t="s">
        <v>4267</v>
      </c>
      <c r="AK660" s="29" t="s">
        <v>4268</v>
      </c>
    </row>
    <row r="661" spans="1:37" s="33" customFormat="1">
      <c r="A661" s="29" t="str">
        <f>VLOOKUP(H661,Languages!$A$2:$B$430,2,FALSE)</f>
        <v>Austronesian</v>
      </c>
      <c r="B661" s="29" t="s">
        <v>1707</v>
      </c>
      <c r="C661" s="29" t="s">
        <v>117</v>
      </c>
      <c r="D661" s="29" t="s">
        <v>4362</v>
      </c>
      <c r="E661" s="30" t="s">
        <v>51</v>
      </c>
      <c r="F661" s="30" t="s">
        <v>367</v>
      </c>
      <c r="G661" s="29" t="s">
        <v>4363</v>
      </c>
      <c r="H661" s="29" t="str">
        <f>VLOOKUP(G661,'languoid 4.0'!$A$1:$I$24439,2,FALSE)</f>
        <v>aust1307</v>
      </c>
      <c r="I661" s="29" t="str">
        <f>VLOOKUP(G661,'languoid 4.0'!$A$1:$I$24439,6,FALSE)</f>
        <v>family</v>
      </c>
      <c r="J661" s="30" t="s">
        <v>52</v>
      </c>
      <c r="K661" s="30" t="s">
        <v>51</v>
      </c>
      <c r="L661" s="30" t="s">
        <v>51</v>
      </c>
      <c r="M661" s="29"/>
      <c r="N661" s="29" t="e">
        <v>#N/A</v>
      </c>
      <c r="O661" s="30" t="s">
        <v>690</v>
      </c>
      <c r="P661" s="30"/>
      <c r="Q661" s="29" t="s">
        <v>4364</v>
      </c>
      <c r="R661" s="31" t="s">
        <v>4365</v>
      </c>
      <c r="S661" s="29" t="s">
        <v>4366</v>
      </c>
      <c r="T661" s="29" t="s">
        <v>635</v>
      </c>
      <c r="U661" s="29" t="s">
        <v>636</v>
      </c>
      <c r="V661" s="29" t="s">
        <v>45</v>
      </c>
      <c r="W661" s="29"/>
      <c r="X661" s="29"/>
      <c r="Y661" s="29"/>
      <c r="Z661" s="29" t="s">
        <v>637</v>
      </c>
      <c r="AA661" s="29" t="s">
        <v>4367</v>
      </c>
      <c r="AB661" s="29" t="s">
        <v>4368</v>
      </c>
      <c r="AC661" s="29" t="s">
        <v>46</v>
      </c>
      <c r="AD661" s="29"/>
      <c r="AE661" s="29" t="s">
        <v>641</v>
      </c>
      <c r="AF661" s="29" t="s">
        <v>190</v>
      </c>
      <c r="AG661" s="29">
        <v>6</v>
      </c>
      <c r="AH661" s="29" t="s">
        <v>190</v>
      </c>
      <c r="AI661" s="29"/>
      <c r="AJ661" s="32">
        <v>43165.661435185182</v>
      </c>
      <c r="AK661" s="29" t="s">
        <v>4268</v>
      </c>
    </row>
    <row r="662" spans="1:37" s="33" customFormat="1">
      <c r="A662" s="29" t="str">
        <f>VLOOKUP(H662,Languages!$A$2:$B$430,2,FALSE)</f>
        <v>Austronesian</v>
      </c>
      <c r="B662" s="29" t="s">
        <v>1707</v>
      </c>
      <c r="C662" s="29" t="s">
        <v>117</v>
      </c>
      <c r="D662" s="29" t="s">
        <v>5347</v>
      </c>
      <c r="E662" s="30" t="s">
        <v>5348</v>
      </c>
      <c r="F662" s="30" t="s">
        <v>5348</v>
      </c>
      <c r="G662" s="29" t="s">
        <v>5348</v>
      </c>
      <c r="H662" s="29" t="str">
        <f>VLOOKUP(G662,'languoid 4.0'!$A$1:$I$24439,2,FALSE)</f>
        <v>aust1307</v>
      </c>
      <c r="I662" s="29" t="str">
        <f>VLOOKUP(G662,'languoid 4.0'!$A$1:$I$24439,6,FALSE)</f>
        <v>language</v>
      </c>
      <c r="J662" s="30" t="s">
        <v>38</v>
      </c>
      <c r="K662" s="30" t="s">
        <v>38</v>
      </c>
      <c r="L662" s="30" t="s">
        <v>38</v>
      </c>
      <c r="M662" s="29"/>
      <c r="N662" s="29" t="s">
        <v>5349</v>
      </c>
      <c r="O662" s="30" t="s">
        <v>40</v>
      </c>
      <c r="P662" s="30" t="s">
        <v>41</v>
      </c>
      <c r="Q662" s="29" t="s">
        <v>5350</v>
      </c>
      <c r="R662" s="31" t="s">
        <v>5351</v>
      </c>
      <c r="S662" s="29">
        <v>105</v>
      </c>
      <c r="T662" s="29" t="s">
        <v>635</v>
      </c>
      <c r="U662" s="29" t="s">
        <v>636</v>
      </c>
      <c r="V662" s="29" t="s">
        <v>45</v>
      </c>
      <c r="W662" s="29"/>
      <c r="X662" s="29"/>
      <c r="Y662" s="29"/>
      <c r="Z662" s="29" t="s">
        <v>637</v>
      </c>
      <c r="AA662" s="29" t="s">
        <v>5352</v>
      </c>
      <c r="AB662" s="29" t="s">
        <v>5353</v>
      </c>
      <c r="AC662" s="29" t="s">
        <v>46</v>
      </c>
      <c r="AD662" s="29"/>
      <c r="AE662" s="29" t="s">
        <v>641</v>
      </c>
      <c r="AF662" s="29" t="s">
        <v>190</v>
      </c>
      <c r="AG662" s="29">
        <v>5</v>
      </c>
      <c r="AH662" s="29" t="s">
        <v>190</v>
      </c>
      <c r="AI662" s="29"/>
      <c r="AJ662" s="29" t="s">
        <v>5354</v>
      </c>
      <c r="AK662" s="29" t="s">
        <v>4268</v>
      </c>
    </row>
    <row r="663" spans="1:37" s="33" customFormat="1">
      <c r="A663" s="29" t="str">
        <f>VLOOKUP(H663,Languages!$A$2:$B$430,2,FALSE)</f>
        <v>Austronesian</v>
      </c>
      <c r="B663" s="29" t="s">
        <v>1707</v>
      </c>
      <c r="C663" s="29" t="s">
        <v>117</v>
      </c>
      <c r="D663" s="29" t="s">
        <v>5516</v>
      </c>
      <c r="E663" s="30" t="s">
        <v>5517</v>
      </c>
      <c r="F663" s="30" t="s">
        <v>5517</v>
      </c>
      <c r="G663" s="29" t="s">
        <v>5517</v>
      </c>
      <c r="H663" s="29" t="str">
        <f>VLOOKUP(G663,'languoid 4.0'!$A$1:$I$24439,2,FALSE)</f>
        <v>aust1307</v>
      </c>
      <c r="I663" s="29" t="str">
        <f>VLOOKUP(G663,'languoid 4.0'!$A$1:$I$24439,6,FALSE)</f>
        <v>language</v>
      </c>
      <c r="J663" s="30" t="s">
        <v>38</v>
      </c>
      <c r="K663" s="30" t="s">
        <v>38</v>
      </c>
      <c r="L663" s="30" t="s">
        <v>38</v>
      </c>
      <c r="M663" s="29"/>
      <c r="N663" s="29" t="s">
        <v>5518</v>
      </c>
      <c r="O663" s="30" t="s">
        <v>40</v>
      </c>
      <c r="P663" s="30" t="s">
        <v>41</v>
      </c>
      <c r="Q663" s="29" t="s">
        <v>5519</v>
      </c>
      <c r="R663" s="31" t="s">
        <v>5520</v>
      </c>
      <c r="S663" s="29" t="s">
        <v>46</v>
      </c>
      <c r="T663" s="29" t="s">
        <v>635</v>
      </c>
      <c r="U663" s="29" t="s">
        <v>636</v>
      </c>
      <c r="V663" s="29" t="s">
        <v>45</v>
      </c>
      <c r="W663" s="29"/>
      <c r="X663" s="29"/>
      <c r="Y663" s="29"/>
      <c r="Z663" s="29" t="s">
        <v>637</v>
      </c>
      <c r="AA663" s="29" t="s">
        <v>5521</v>
      </c>
      <c r="AB663" s="29" t="s">
        <v>5522</v>
      </c>
      <c r="AC663" s="29" t="s">
        <v>46</v>
      </c>
      <c r="AD663" s="29"/>
      <c r="AE663" s="29" t="s">
        <v>641</v>
      </c>
      <c r="AF663" s="29" t="s">
        <v>190</v>
      </c>
      <c r="AG663" s="29">
        <v>6</v>
      </c>
      <c r="AH663" s="29" t="s">
        <v>190</v>
      </c>
      <c r="AI663" s="29"/>
      <c r="AJ663" s="29" t="s">
        <v>5523</v>
      </c>
      <c r="AK663" s="29" t="s">
        <v>4268</v>
      </c>
    </row>
    <row r="664" spans="1:37" s="33" customFormat="1">
      <c r="A664" s="29" t="str">
        <f>VLOOKUP(H664,Languages!$A$2:$B$430,2,FALSE)</f>
        <v>Austronesian</v>
      </c>
      <c r="B664" s="29" t="s">
        <v>1707</v>
      </c>
      <c r="C664" s="29" t="s">
        <v>117</v>
      </c>
      <c r="D664" s="29" t="s">
        <v>5573</v>
      </c>
      <c r="E664" s="30" t="s">
        <v>5574</v>
      </c>
      <c r="F664" s="30" t="s">
        <v>5575</v>
      </c>
      <c r="G664" s="29" t="s">
        <v>5576</v>
      </c>
      <c r="H664" s="29" t="str">
        <f>VLOOKUP(G664,'languoid 4.0'!$A$1:$I$24439,2,FALSE)</f>
        <v>aust1307</v>
      </c>
      <c r="I664" s="29" t="str">
        <f>VLOOKUP(G664,'languoid 4.0'!$A$1:$I$24439,6,FALSE)</f>
        <v>family</v>
      </c>
      <c r="J664" s="30" t="s">
        <v>52</v>
      </c>
      <c r="K664" s="30" t="s">
        <v>38</v>
      </c>
      <c r="L664" s="30" t="s">
        <v>38</v>
      </c>
      <c r="M664" s="29"/>
      <c r="N664" s="29" t="s">
        <v>5577</v>
      </c>
      <c r="O664" s="30" t="s">
        <v>40</v>
      </c>
      <c r="P664" s="30" t="s">
        <v>41</v>
      </c>
      <c r="Q664" s="29" t="s">
        <v>5578</v>
      </c>
      <c r="R664" s="31" t="s">
        <v>4512</v>
      </c>
      <c r="S664" s="29" t="s">
        <v>46</v>
      </c>
      <c r="T664" s="29" t="s">
        <v>635</v>
      </c>
      <c r="U664" s="29" t="s">
        <v>636</v>
      </c>
      <c r="V664" s="29" t="s">
        <v>45</v>
      </c>
      <c r="W664" s="29"/>
      <c r="X664" s="29"/>
      <c r="Y664" s="29"/>
      <c r="Z664" s="29" t="s">
        <v>658</v>
      </c>
      <c r="AA664" s="29" t="s">
        <v>5579</v>
      </c>
      <c r="AB664" s="29" t="s">
        <v>46</v>
      </c>
      <c r="AC664" s="29" t="s">
        <v>46</v>
      </c>
      <c r="AD664" s="29" t="s">
        <v>5580</v>
      </c>
      <c r="AE664" s="29"/>
      <c r="AF664" s="29"/>
      <c r="AG664" s="29"/>
      <c r="AH664" s="29" t="s">
        <v>45</v>
      </c>
      <c r="AI664" s="29"/>
      <c r="AJ664" s="29" t="s">
        <v>5581</v>
      </c>
      <c r="AK664" s="29" t="s">
        <v>4268</v>
      </c>
    </row>
    <row r="665" spans="1:37" s="33" customFormat="1">
      <c r="A665" s="29" t="str">
        <f>VLOOKUP(H665,Languages!$A$2:$B$430,2,FALSE)</f>
        <v>Austronesian</v>
      </c>
      <c r="B665" s="29" t="s">
        <v>1707</v>
      </c>
      <c r="C665" s="29" t="s">
        <v>117</v>
      </c>
      <c r="D665" s="29" t="s">
        <v>5573</v>
      </c>
      <c r="E665" s="30" t="s">
        <v>5574</v>
      </c>
      <c r="F665" s="30" t="s">
        <v>5575</v>
      </c>
      <c r="G665" s="29" t="s">
        <v>5576</v>
      </c>
      <c r="H665" s="29" t="str">
        <f>VLOOKUP(G665,'languoid 4.0'!$A$1:$I$24439,2,FALSE)</f>
        <v>aust1307</v>
      </c>
      <c r="I665" s="29" t="str">
        <f>VLOOKUP(G665,'languoid 4.0'!$A$1:$I$24439,6,FALSE)</f>
        <v>family</v>
      </c>
      <c r="J665" s="30" t="s">
        <v>52</v>
      </c>
      <c r="K665" s="30" t="s">
        <v>38</v>
      </c>
      <c r="L665" s="30" t="s">
        <v>38</v>
      </c>
      <c r="M665" s="29"/>
      <c r="N665" s="29" t="s">
        <v>5577</v>
      </c>
      <c r="O665" s="30" t="s">
        <v>40</v>
      </c>
      <c r="P665" s="30" t="s">
        <v>41</v>
      </c>
      <c r="Q665" s="29" t="s">
        <v>5582</v>
      </c>
      <c r="R665" s="31" t="s">
        <v>4512</v>
      </c>
      <c r="S665" s="29" t="s">
        <v>46</v>
      </c>
      <c r="T665" s="29" t="s">
        <v>635</v>
      </c>
      <c r="U665" s="29" t="s">
        <v>636</v>
      </c>
      <c r="V665" s="29" t="s">
        <v>45</v>
      </c>
      <c r="W665" s="29"/>
      <c r="X665" s="29"/>
      <c r="Y665" s="29"/>
      <c r="Z665" s="29" t="s">
        <v>658</v>
      </c>
      <c r="AA665" s="29" t="s">
        <v>5583</v>
      </c>
      <c r="AB665" s="29" t="s">
        <v>46</v>
      </c>
      <c r="AC665" s="29" t="s">
        <v>46</v>
      </c>
      <c r="AD665" s="29" t="s">
        <v>5584</v>
      </c>
      <c r="AE665" s="29"/>
      <c r="AF665" s="29"/>
      <c r="AG665" s="29"/>
      <c r="AH665" s="29" t="s">
        <v>45</v>
      </c>
      <c r="AI665" s="29"/>
      <c r="AJ665" s="29" t="s">
        <v>5585</v>
      </c>
      <c r="AK665" s="29" t="s">
        <v>4268</v>
      </c>
    </row>
    <row r="666" spans="1:37" s="33" customFormat="1">
      <c r="A666" s="29" t="str">
        <f>VLOOKUP(H666,Languages!$A$2:$B$430,2,FALSE)</f>
        <v>Austronesian</v>
      </c>
      <c r="B666" s="29" t="s">
        <v>1707</v>
      </c>
      <c r="C666" s="29" t="s">
        <v>255</v>
      </c>
      <c r="D666" s="29" t="s">
        <v>2144</v>
      </c>
      <c r="E666" s="30" t="s">
        <v>2145</v>
      </c>
      <c r="F666" s="30" t="s">
        <v>2077</v>
      </c>
      <c r="G666" s="29" t="s">
        <v>2145</v>
      </c>
      <c r="H666" s="29" t="str">
        <f>VLOOKUP(G666,'languoid 4.0'!$A$1:$I$24439,2,FALSE)</f>
        <v>aust1307</v>
      </c>
      <c r="I666" s="29" t="str">
        <f>VLOOKUP(G666,'languoid 4.0'!$A$1:$I$24439,6,FALSE)</f>
        <v>language</v>
      </c>
      <c r="J666" s="30" t="s">
        <v>52</v>
      </c>
      <c r="K666" s="30" t="s">
        <v>38</v>
      </c>
      <c r="L666" s="30" t="s">
        <v>38</v>
      </c>
      <c r="M666" s="29"/>
      <c r="N666" s="29" t="s">
        <v>2146</v>
      </c>
      <c r="O666" s="30" t="s">
        <v>40</v>
      </c>
      <c r="P666" s="30" t="s">
        <v>41</v>
      </c>
      <c r="Q666" s="29" t="s">
        <v>3887</v>
      </c>
      <c r="R666" s="31" t="s">
        <v>3888</v>
      </c>
      <c r="S666" s="29" t="s">
        <v>46</v>
      </c>
      <c r="T666" s="29" t="s">
        <v>635</v>
      </c>
      <c r="U666" s="29" t="s">
        <v>636</v>
      </c>
      <c r="V666" s="29" t="s">
        <v>45</v>
      </c>
      <c r="W666" s="29"/>
      <c r="X666" s="29"/>
      <c r="Y666" s="29"/>
      <c r="Z666" s="29" t="s">
        <v>658</v>
      </c>
      <c r="AA666" s="29" t="s">
        <v>3889</v>
      </c>
      <c r="AB666" s="29" t="s">
        <v>3890</v>
      </c>
      <c r="AC666" s="29" t="s">
        <v>46</v>
      </c>
      <c r="AD666" s="29"/>
      <c r="AE666" s="29" t="s">
        <v>641</v>
      </c>
      <c r="AF666" s="29" t="s">
        <v>190</v>
      </c>
      <c r="AG666" s="29">
        <v>6</v>
      </c>
      <c r="AH666" s="29" t="s">
        <v>190</v>
      </c>
      <c r="AI666" s="29"/>
      <c r="AJ666" s="29" t="s">
        <v>3891</v>
      </c>
      <c r="AK666" s="29" t="s">
        <v>1749</v>
      </c>
    </row>
    <row r="667" spans="1:37">
      <c r="A667" s="1" t="str">
        <f>VLOOKUP(H667,Languages!$A$2:$B$430,2,FALSE)</f>
        <v>Aymaran</v>
      </c>
      <c r="B667" s="1" t="s">
        <v>35</v>
      </c>
      <c r="C667" s="1" t="s">
        <v>477</v>
      </c>
      <c r="D667" s="1" t="s">
        <v>392</v>
      </c>
      <c r="E667" s="15" t="s">
        <v>393</v>
      </c>
      <c r="F667" s="15" t="s">
        <v>1228</v>
      </c>
      <c r="G667" s="1" t="s">
        <v>1229</v>
      </c>
      <c r="H667" s="1" t="str">
        <f>VLOOKUP(G667,'languoid 4.0'!$A$1:$I$24439,2,FALSE)</f>
        <v>ayma1253</v>
      </c>
      <c r="I667" s="1" t="str">
        <f>VLOOKUP(G667,'languoid 4.0'!$A$1:$I$24439,6,FALSE)</f>
        <v>language</v>
      </c>
      <c r="J667" s="15" t="s">
        <v>52</v>
      </c>
      <c r="K667" s="15" t="s">
        <v>52</v>
      </c>
      <c r="L667" s="15" t="s">
        <v>52</v>
      </c>
      <c r="M667" s="1"/>
      <c r="N667" s="1"/>
      <c r="O667" s="15" t="s">
        <v>113</v>
      </c>
      <c r="P667" s="15" t="s">
        <v>41</v>
      </c>
      <c r="Q667" s="1" t="s">
        <v>35</v>
      </c>
      <c r="R667" s="2" t="s">
        <v>1230</v>
      </c>
      <c r="S667" s="1" t="s">
        <v>46</v>
      </c>
      <c r="T667" s="1" t="s">
        <v>648</v>
      </c>
      <c r="U667" s="1" t="s">
        <v>636</v>
      </c>
      <c r="V667" s="1" t="s">
        <v>45</v>
      </c>
      <c r="W667" s="1"/>
      <c r="X667" s="1"/>
      <c r="Y667" s="1"/>
      <c r="Z667" s="1" t="s">
        <v>637</v>
      </c>
      <c r="AA667" s="1" t="s">
        <v>1231</v>
      </c>
      <c r="AB667" s="1" t="s">
        <v>1232</v>
      </c>
      <c r="AC667" s="1" t="s">
        <v>46</v>
      </c>
      <c r="AD667" s="1" t="s">
        <v>1233</v>
      </c>
      <c r="AE667" s="1" t="s">
        <v>641</v>
      </c>
      <c r="AF667" s="1" t="s">
        <v>190</v>
      </c>
      <c r="AG667" s="1">
        <v>5</v>
      </c>
      <c r="AH667" s="1" t="s">
        <v>190</v>
      </c>
      <c r="AI667" s="1"/>
      <c r="AJ667" s="1" t="s">
        <v>1234</v>
      </c>
      <c r="AK667" s="1" t="s">
        <v>651</v>
      </c>
    </row>
    <row r="668" spans="1:37">
      <c r="A668" s="1" t="str">
        <f>VLOOKUP(H668,Languages!$A$2:$B$430,2,FALSE)</f>
        <v>Baining</v>
      </c>
      <c r="B668" s="1" t="s">
        <v>67</v>
      </c>
      <c r="C668" s="1" t="s">
        <v>75</v>
      </c>
      <c r="D668" s="1" t="s">
        <v>7443</v>
      </c>
      <c r="E668" s="15" t="s">
        <v>7444</v>
      </c>
      <c r="F668" s="15" t="s">
        <v>7444</v>
      </c>
      <c r="G668" s="1" t="s">
        <v>7444</v>
      </c>
      <c r="H668" s="1" t="str">
        <f>VLOOKUP(G668,'languoid 4.0'!$A$1:$I$24439,2,FALSE)</f>
        <v>bain1263</v>
      </c>
      <c r="I668" s="1" t="str">
        <f>VLOOKUP(G668,'languoid 4.0'!$A$1:$I$24439,6,FALSE)</f>
        <v>language</v>
      </c>
      <c r="J668" s="15" t="s">
        <v>38</v>
      </c>
      <c r="K668" s="15" t="s">
        <v>38</v>
      </c>
      <c r="L668" s="15" t="s">
        <v>38</v>
      </c>
      <c r="M668" s="1"/>
      <c r="N668" s="1" t="s">
        <v>7445</v>
      </c>
      <c r="O668" s="15" t="s">
        <v>40</v>
      </c>
      <c r="P668" s="15" t="s">
        <v>41</v>
      </c>
      <c r="Q668" s="1" t="s">
        <v>7446</v>
      </c>
      <c r="R668" s="2" t="s">
        <v>7447</v>
      </c>
      <c r="S668" s="1" t="s">
        <v>46</v>
      </c>
      <c r="T668" s="1" t="s">
        <v>635</v>
      </c>
      <c r="U668" s="1" t="s">
        <v>636</v>
      </c>
      <c r="V668" s="1" t="s">
        <v>45</v>
      </c>
      <c r="W668" s="1"/>
      <c r="X668" s="1"/>
      <c r="Y668" s="1"/>
      <c r="Z668" s="1" t="s">
        <v>658</v>
      </c>
      <c r="AA668" s="1" t="s">
        <v>7448</v>
      </c>
      <c r="AB668" s="1" t="s">
        <v>46</v>
      </c>
      <c r="AC668" s="1" t="s">
        <v>46</v>
      </c>
      <c r="AD668" s="1" t="s">
        <v>7449</v>
      </c>
      <c r="AE668" s="1" t="s">
        <v>641</v>
      </c>
      <c r="AF668" s="1" t="s">
        <v>190</v>
      </c>
      <c r="AG668" s="1">
        <v>6</v>
      </c>
      <c r="AH668" s="1" t="s">
        <v>190</v>
      </c>
      <c r="AI668" s="1"/>
      <c r="AJ668" s="1" t="s">
        <v>7450</v>
      </c>
      <c r="AK668" s="1" t="s">
        <v>5640</v>
      </c>
    </row>
    <row r="669" spans="1:37">
      <c r="A669" s="1" t="str">
        <f>VLOOKUP(H669,Languages!$A$2:$B$430,2,FALSE)</f>
        <v>Barbacoan</v>
      </c>
      <c r="B669" s="1" t="s">
        <v>67</v>
      </c>
      <c r="C669" s="1" t="s">
        <v>419</v>
      </c>
      <c r="D669" s="1" t="s">
        <v>538</v>
      </c>
      <c r="E669" s="15" t="s">
        <v>539</v>
      </c>
      <c r="F669" s="15" t="s">
        <v>540</v>
      </c>
      <c r="G669" s="1" t="s">
        <v>539</v>
      </c>
      <c r="H669" s="1" t="str">
        <f>VLOOKUP(G669,'languoid 4.0'!$A$1:$I$24439,2,FALSE)</f>
        <v>barb1265</v>
      </c>
      <c r="I669" s="1" t="str">
        <f>VLOOKUP(G669,'languoid 4.0'!$A$1:$I$24439,6,FALSE)</f>
        <v>language</v>
      </c>
      <c r="J669" s="15" t="s">
        <v>52</v>
      </c>
      <c r="K669" s="15" t="s">
        <v>38</v>
      </c>
      <c r="L669" s="15" t="s">
        <v>38</v>
      </c>
      <c r="M669" s="1"/>
      <c r="N669" s="1" t="s">
        <v>541</v>
      </c>
      <c r="O669" s="15" t="s">
        <v>40</v>
      </c>
      <c r="P669" s="15" t="s">
        <v>41</v>
      </c>
      <c r="Q669" s="1" t="s">
        <v>542</v>
      </c>
      <c r="R669" s="2" t="s">
        <v>543</v>
      </c>
      <c r="S669" s="1" t="s">
        <v>265</v>
      </c>
      <c r="T669" s="1" t="s">
        <v>44</v>
      </c>
      <c r="U669" s="1"/>
      <c r="V669" s="1" t="s">
        <v>45</v>
      </c>
      <c r="W669" s="1"/>
      <c r="X669" s="1"/>
      <c r="Y669" s="1"/>
      <c r="Z669" s="1"/>
      <c r="AA669" s="1">
        <v>2</v>
      </c>
      <c r="AB669" s="1">
        <v>5</v>
      </c>
      <c r="AC669" s="1" t="s">
        <v>46</v>
      </c>
      <c r="AD669" s="1"/>
      <c r="AE669" s="1"/>
      <c r="AF669" s="1"/>
      <c r="AG669" s="1"/>
      <c r="AH669" s="1"/>
      <c r="AI669" s="1"/>
      <c r="AJ669" s="3">
        <v>43102.754953703705</v>
      </c>
      <c r="AK669" s="1" t="s">
        <v>172</v>
      </c>
    </row>
    <row r="670" spans="1:37">
      <c r="A670" s="1" t="str">
        <f>VLOOKUP(H670,Languages!$A$2:$B$430,2,FALSE)</f>
        <v>Barbacoan</v>
      </c>
      <c r="B670" s="1" t="s">
        <v>59</v>
      </c>
      <c r="C670" s="1" t="s">
        <v>139</v>
      </c>
      <c r="D670" s="1" t="s">
        <v>10699</v>
      </c>
      <c r="E670" s="15" t="s">
        <v>539</v>
      </c>
      <c r="F670" s="15" t="s">
        <v>539</v>
      </c>
      <c r="G670" s="1" t="s">
        <v>539</v>
      </c>
      <c r="H670" s="1" t="str">
        <f>VLOOKUP(G670,'languoid 4.0'!$A$1:$I$24439,2,FALSE)</f>
        <v>barb1265</v>
      </c>
      <c r="I670" s="1" t="str">
        <f>VLOOKUP(G670,'languoid 4.0'!$A$1:$I$24439,6,FALSE)</f>
        <v>language</v>
      </c>
      <c r="J670" s="15" t="s">
        <v>38</v>
      </c>
      <c r="K670" s="15" t="s">
        <v>38</v>
      </c>
      <c r="L670" s="15" t="s">
        <v>38</v>
      </c>
      <c r="M670" s="1"/>
      <c r="N670" s="1" t="s">
        <v>541</v>
      </c>
      <c r="O670" s="15" t="s">
        <v>40</v>
      </c>
      <c r="P670" s="15" t="s">
        <v>41</v>
      </c>
      <c r="Q670" s="1" t="s">
        <v>10700</v>
      </c>
      <c r="R670" s="2" t="s">
        <v>10701</v>
      </c>
      <c r="S670" s="1" t="s">
        <v>600</v>
      </c>
      <c r="T670" s="1" t="s">
        <v>10692</v>
      </c>
      <c r="U670" s="1" t="s">
        <v>636</v>
      </c>
      <c r="V670" s="1" t="s">
        <v>45</v>
      </c>
      <c r="W670" s="1"/>
      <c r="X670" s="1"/>
      <c r="Y670" s="1"/>
      <c r="Z670" s="1" t="s">
        <v>673</v>
      </c>
      <c r="AA670" s="1" t="s">
        <v>46</v>
      </c>
      <c r="AB670" s="1" t="s">
        <v>10702</v>
      </c>
      <c r="AC670" s="1" t="s">
        <v>46</v>
      </c>
      <c r="AD670" s="1"/>
      <c r="AE670" s="1" t="s">
        <v>641</v>
      </c>
      <c r="AF670" s="1" t="s">
        <v>190</v>
      </c>
      <c r="AG670" s="1">
        <v>6</v>
      </c>
      <c r="AH670" s="1" t="s">
        <v>190</v>
      </c>
      <c r="AI670" s="1" t="s">
        <v>10703</v>
      </c>
      <c r="AJ670" s="3">
        <v>43202.652384259258</v>
      </c>
      <c r="AK670" s="1" t="s">
        <v>8947</v>
      </c>
    </row>
    <row r="671" spans="1:37">
      <c r="A671" s="1" t="str">
        <f>VLOOKUP(H671,Languages!$A$2:$B$430,2,FALSE)</f>
        <v>Barbacoan</v>
      </c>
      <c r="B671" s="1" t="s">
        <v>59</v>
      </c>
      <c r="C671" s="1" t="s">
        <v>139</v>
      </c>
      <c r="D671" s="1" t="s">
        <v>10699</v>
      </c>
      <c r="E671" s="15" t="s">
        <v>539</v>
      </c>
      <c r="F671" s="15" t="s">
        <v>539</v>
      </c>
      <c r="G671" s="1" t="s">
        <v>539</v>
      </c>
      <c r="H671" s="1" t="str">
        <f>VLOOKUP(G671,'languoid 4.0'!$A$1:$I$24439,2,FALSE)</f>
        <v>barb1265</v>
      </c>
      <c r="I671" s="1" t="str">
        <f>VLOOKUP(G671,'languoid 4.0'!$A$1:$I$24439,6,FALSE)</f>
        <v>language</v>
      </c>
      <c r="J671" s="15" t="s">
        <v>38</v>
      </c>
      <c r="K671" s="15" t="s">
        <v>38</v>
      </c>
      <c r="L671" s="15" t="s">
        <v>38</v>
      </c>
      <c r="M671" s="1"/>
      <c r="N671" s="1" t="s">
        <v>541</v>
      </c>
      <c r="O671" s="15" t="s">
        <v>40</v>
      </c>
      <c r="P671" s="15" t="s">
        <v>41</v>
      </c>
      <c r="Q671" s="1" t="s">
        <v>10704</v>
      </c>
      <c r="R671" s="2" t="s">
        <v>10701</v>
      </c>
      <c r="S671" s="1" t="s">
        <v>372</v>
      </c>
      <c r="T671" s="1" t="s">
        <v>10692</v>
      </c>
      <c r="U671" s="1" t="s">
        <v>636</v>
      </c>
      <c r="V671" s="1" t="s">
        <v>45</v>
      </c>
      <c r="W671" s="1"/>
      <c r="X671" s="1"/>
      <c r="Y671" s="1"/>
      <c r="Z671" s="1" t="s">
        <v>658</v>
      </c>
      <c r="AA671" s="1" t="s">
        <v>10705</v>
      </c>
      <c r="AB671" s="1" t="s">
        <v>46</v>
      </c>
      <c r="AC671" s="1" t="s">
        <v>46</v>
      </c>
      <c r="AD671" s="1"/>
      <c r="AE671" s="1" t="s">
        <v>641</v>
      </c>
      <c r="AF671" s="1" t="s">
        <v>190</v>
      </c>
      <c r="AG671" s="1">
        <v>6</v>
      </c>
      <c r="AH671" s="1" t="s">
        <v>190</v>
      </c>
      <c r="AI671" s="1" t="s">
        <v>10703</v>
      </c>
      <c r="AJ671" s="3">
        <v>43202.655011574076</v>
      </c>
      <c r="AK671" s="1" t="s">
        <v>8947</v>
      </c>
    </row>
    <row r="672" spans="1:37">
      <c r="A672" s="1" t="str">
        <f>VLOOKUP(H672,Languages!$A$2:$B$430,2,FALSE)</f>
        <v>Bororoan</v>
      </c>
      <c r="B672" s="1" t="s">
        <v>1726</v>
      </c>
      <c r="C672" s="1" t="s">
        <v>477</v>
      </c>
      <c r="D672" s="1" t="s">
        <v>5679</v>
      </c>
      <c r="E672" s="15" t="s">
        <v>5680</v>
      </c>
      <c r="F672" s="15" t="s">
        <v>5680</v>
      </c>
      <c r="G672" s="1" t="s">
        <v>5680</v>
      </c>
      <c r="H672" s="1" t="str">
        <f>VLOOKUP(G672,'languoid 4.0'!$A$1:$I$24439,2,FALSE)</f>
        <v>boro1281</v>
      </c>
      <c r="I672" s="1" t="str">
        <f>VLOOKUP(G672,'languoid 4.0'!$A$1:$I$24439,6,FALSE)</f>
        <v>language</v>
      </c>
      <c r="J672" s="15" t="s">
        <v>38</v>
      </c>
      <c r="K672" s="15" t="s">
        <v>38</v>
      </c>
      <c r="L672" s="15" t="s">
        <v>38</v>
      </c>
      <c r="M672" s="1"/>
      <c r="N672" s="1" t="s">
        <v>5681</v>
      </c>
      <c r="O672" s="15" t="s">
        <v>40</v>
      </c>
      <c r="P672" s="15" t="s">
        <v>41</v>
      </c>
      <c r="Q672" s="1" t="s">
        <v>5682</v>
      </c>
      <c r="R672" s="2" t="s">
        <v>5683</v>
      </c>
      <c r="S672" s="1" t="s">
        <v>5684</v>
      </c>
      <c r="T672" s="1" t="s">
        <v>657</v>
      </c>
      <c r="U672" s="1" t="s">
        <v>636</v>
      </c>
      <c r="V672" s="1" t="s">
        <v>45</v>
      </c>
      <c r="W672" s="1"/>
      <c r="X672" s="1"/>
      <c r="Y672" s="1"/>
      <c r="Z672" s="1" t="s">
        <v>673</v>
      </c>
      <c r="AA672" s="1" t="s">
        <v>46</v>
      </c>
      <c r="AB672" s="1" t="s">
        <v>5685</v>
      </c>
      <c r="AC672" s="1" t="s">
        <v>46</v>
      </c>
      <c r="AD672" s="1"/>
      <c r="AE672" s="1" t="s">
        <v>641</v>
      </c>
      <c r="AF672" s="1" t="s">
        <v>190</v>
      </c>
      <c r="AG672" s="1">
        <v>6</v>
      </c>
      <c r="AH672" s="1" t="s">
        <v>190</v>
      </c>
      <c r="AI672" s="1"/>
      <c r="AJ672" s="1" t="s">
        <v>5686</v>
      </c>
      <c r="AK672" s="1" t="s">
        <v>5678</v>
      </c>
    </row>
    <row r="673" spans="1:37">
      <c r="A673" s="1" t="str">
        <f>VLOOKUP(H673,Languages!$A$2:$B$430,2,FALSE)</f>
        <v>Bororoan</v>
      </c>
      <c r="B673" s="1" t="s">
        <v>1707</v>
      </c>
      <c r="C673" s="1" t="s">
        <v>477</v>
      </c>
      <c r="D673" s="1" t="s">
        <v>5679</v>
      </c>
      <c r="E673" s="15" t="s">
        <v>5680</v>
      </c>
      <c r="F673" s="15" t="s">
        <v>5680</v>
      </c>
      <c r="G673" s="1" t="s">
        <v>5680</v>
      </c>
      <c r="H673" s="1" t="str">
        <f>VLOOKUP(G673,'languoid 4.0'!$A$1:$I$24439,2,FALSE)</f>
        <v>boro1281</v>
      </c>
      <c r="I673" s="1" t="str">
        <f>VLOOKUP(G673,'languoid 4.0'!$A$1:$I$24439,6,FALSE)</f>
        <v>language</v>
      </c>
      <c r="J673" s="15" t="s">
        <v>38</v>
      </c>
      <c r="K673" s="15" t="s">
        <v>38</v>
      </c>
      <c r="L673" s="15" t="s">
        <v>38</v>
      </c>
      <c r="M673" s="1"/>
      <c r="N673" s="1" t="s">
        <v>5681</v>
      </c>
      <c r="O673" s="15" t="s">
        <v>40</v>
      </c>
      <c r="P673" s="15" t="s">
        <v>41</v>
      </c>
      <c r="Q673" s="1" t="s">
        <v>6009</v>
      </c>
      <c r="R673" s="2" t="s">
        <v>6010</v>
      </c>
      <c r="S673" s="1" t="s">
        <v>6011</v>
      </c>
      <c r="T673" s="1" t="s">
        <v>657</v>
      </c>
      <c r="U673" s="1" t="s">
        <v>636</v>
      </c>
      <c r="V673" s="1" t="s">
        <v>45</v>
      </c>
      <c r="W673" s="1"/>
      <c r="X673" s="1"/>
      <c r="Y673" s="1"/>
      <c r="Z673" s="1" t="s">
        <v>673</v>
      </c>
      <c r="AA673" s="1" t="s">
        <v>46</v>
      </c>
      <c r="AB673" s="1" t="s">
        <v>6012</v>
      </c>
      <c r="AC673" s="1" t="s">
        <v>46</v>
      </c>
      <c r="AD673" s="1"/>
      <c r="AE673" s="1" t="s">
        <v>641</v>
      </c>
      <c r="AF673" s="1" t="s">
        <v>190</v>
      </c>
      <c r="AG673" s="1">
        <v>6</v>
      </c>
      <c r="AH673" s="1" t="s">
        <v>190</v>
      </c>
      <c r="AI673" s="1"/>
      <c r="AJ673" s="1" t="s">
        <v>6013</v>
      </c>
      <c r="AK673" s="1" t="s">
        <v>5678</v>
      </c>
    </row>
    <row r="674" spans="1:37">
      <c r="A674" s="1" t="str">
        <f>VLOOKUP(H674,Languages!$A$2:$B$430,2,FALSE)</f>
        <v>Caddoan</v>
      </c>
      <c r="B674" s="1" t="s">
        <v>59</v>
      </c>
      <c r="C674" s="1" t="s">
        <v>89</v>
      </c>
      <c r="D674" s="1" t="s">
        <v>311</v>
      </c>
      <c r="E674" s="15" t="s">
        <v>312</v>
      </c>
      <c r="F674" s="15" t="s">
        <v>312</v>
      </c>
      <c r="G674" s="1" t="s">
        <v>312</v>
      </c>
      <c r="H674" s="1" t="str">
        <f>VLOOKUP(G674,'languoid 4.0'!$A$1:$I$24439,2,FALSE)</f>
        <v>cadd1255</v>
      </c>
      <c r="I674" s="1" t="str">
        <f>VLOOKUP(G674,'languoid 4.0'!$A$1:$I$24439,6,FALSE)</f>
        <v>language</v>
      </c>
      <c r="J674" s="15" t="s">
        <v>38</v>
      </c>
      <c r="K674" s="15" t="s">
        <v>38</v>
      </c>
      <c r="L674" s="15" t="s">
        <v>38</v>
      </c>
      <c r="M674" s="1"/>
      <c r="N674" s="1" t="s">
        <v>313</v>
      </c>
      <c r="O674" s="15" t="s">
        <v>40</v>
      </c>
      <c r="P674" s="15" t="s">
        <v>41</v>
      </c>
      <c r="Q674" s="1" t="s">
        <v>314</v>
      </c>
      <c r="R674" s="2" t="s">
        <v>315</v>
      </c>
      <c r="S674" s="1" t="s">
        <v>316</v>
      </c>
      <c r="T674" s="1" t="s">
        <v>44</v>
      </c>
      <c r="U674" s="1"/>
      <c r="V674" s="1" t="s">
        <v>45</v>
      </c>
      <c r="W674" s="1"/>
      <c r="X674" s="1"/>
      <c r="Y674" s="1"/>
      <c r="Z674" s="1"/>
      <c r="AA674" s="1">
        <v>7</v>
      </c>
      <c r="AB674" s="4">
        <v>43684</v>
      </c>
      <c r="AC674" s="1">
        <v>8</v>
      </c>
      <c r="AD674" s="1"/>
      <c r="AE674" s="1"/>
      <c r="AF674" s="1"/>
      <c r="AG674" s="1"/>
      <c r="AH674" s="1"/>
      <c r="AI674" s="1"/>
      <c r="AJ674" s="3">
        <v>43102.741423611114</v>
      </c>
      <c r="AK674" s="1" t="s">
        <v>57</v>
      </c>
    </row>
    <row r="675" spans="1:37">
      <c r="A675" s="1" t="str">
        <f>VLOOKUP(H675,Languages!$A$2:$B$430,2,FALSE)</f>
        <v>Caddoan</v>
      </c>
      <c r="B675" s="1" t="s">
        <v>109</v>
      </c>
      <c r="C675" s="1" t="s">
        <v>89</v>
      </c>
      <c r="D675" s="1" t="s">
        <v>311</v>
      </c>
      <c r="E675" s="17" t="s">
        <v>312</v>
      </c>
      <c r="F675" s="15" t="s">
        <v>312</v>
      </c>
      <c r="G675" s="7" t="s">
        <v>312</v>
      </c>
      <c r="H675" s="1" t="str">
        <f>VLOOKUP(G675,'languoid 4.0'!$A$1:$I$24439,2,FALSE)</f>
        <v>cadd1255</v>
      </c>
      <c r="I675" s="1" t="str">
        <f>VLOOKUP(G675,'languoid 4.0'!$A$1:$I$24439,6,FALSE)</f>
        <v>language</v>
      </c>
      <c r="J675" s="15" t="s">
        <v>38</v>
      </c>
      <c r="K675" s="15" t="s">
        <v>38</v>
      </c>
      <c r="L675" s="15" t="s">
        <v>38</v>
      </c>
      <c r="M675" s="1"/>
      <c r="N675" s="1" t="s">
        <v>313</v>
      </c>
      <c r="O675" s="15" t="s">
        <v>40</v>
      </c>
      <c r="P675" s="15" t="s">
        <v>41</v>
      </c>
      <c r="Q675" s="1" t="s">
        <v>430</v>
      </c>
      <c r="R675" s="2" t="s">
        <v>315</v>
      </c>
      <c r="S675" s="1" t="s">
        <v>116</v>
      </c>
      <c r="T675" s="1" t="s">
        <v>44</v>
      </c>
      <c r="U675" s="1"/>
      <c r="V675" s="1" t="s">
        <v>45</v>
      </c>
      <c r="W675" s="1"/>
      <c r="X675" s="1"/>
      <c r="Y675" s="1"/>
      <c r="Z675" s="1"/>
      <c r="AA675" s="1">
        <v>8</v>
      </c>
      <c r="AB675" s="1">
        <v>6</v>
      </c>
      <c r="AC675" s="1">
        <v>8</v>
      </c>
      <c r="AD675" s="1"/>
      <c r="AE675" s="1"/>
      <c r="AF675" s="1"/>
      <c r="AG675" s="1"/>
      <c r="AH675" s="1"/>
      <c r="AI675" s="1"/>
      <c r="AJ675" s="3">
        <v>43102.748379629629</v>
      </c>
      <c r="AK675" s="1" t="s">
        <v>47</v>
      </c>
    </row>
    <row r="676" spans="1:37">
      <c r="A676" s="1" t="str">
        <f>VLOOKUP(H676,Languages!$A$2:$B$430,2,FALSE)</f>
        <v>Caddoan</v>
      </c>
      <c r="B676" s="1" t="s">
        <v>1726</v>
      </c>
      <c r="C676" s="1" t="s">
        <v>89</v>
      </c>
      <c r="D676" s="1" t="s">
        <v>11258</v>
      </c>
      <c r="E676" s="15" t="s">
        <v>312</v>
      </c>
      <c r="F676" s="15" t="s">
        <v>312</v>
      </c>
      <c r="G676" s="1" t="s">
        <v>312</v>
      </c>
      <c r="H676" s="1" t="str">
        <f>VLOOKUP(G676,'languoid 4.0'!$A$1:$I$24439,2,FALSE)</f>
        <v>cadd1255</v>
      </c>
      <c r="I676" s="1" t="str">
        <f>VLOOKUP(G676,'languoid 4.0'!$A$1:$I$24439,6,FALSE)</f>
        <v>language</v>
      </c>
      <c r="J676" s="15" t="s">
        <v>38</v>
      </c>
      <c r="K676" s="15" t="s">
        <v>38</v>
      </c>
      <c r="L676" s="15" t="s">
        <v>38</v>
      </c>
      <c r="M676" s="1"/>
      <c r="N676" s="1" t="s">
        <v>313</v>
      </c>
      <c r="O676" s="15" t="s">
        <v>40</v>
      </c>
      <c r="P676" s="15" t="s">
        <v>41</v>
      </c>
      <c r="Q676" s="1" t="s">
        <v>11259</v>
      </c>
      <c r="R676" s="2" t="s">
        <v>11260</v>
      </c>
      <c r="S676" s="1" t="s">
        <v>11261</v>
      </c>
      <c r="T676" s="1" t="s">
        <v>11262</v>
      </c>
      <c r="U676" s="1" t="s">
        <v>1750</v>
      </c>
      <c r="V676" s="1" t="s">
        <v>45</v>
      </c>
      <c r="W676" s="1"/>
      <c r="X676" s="1"/>
      <c r="Y676" s="1"/>
      <c r="Z676" s="1" t="s">
        <v>637</v>
      </c>
      <c r="AA676" s="1" t="s">
        <v>11263</v>
      </c>
      <c r="AB676" s="1" t="s">
        <v>11264</v>
      </c>
      <c r="AC676" s="1" t="s">
        <v>11265</v>
      </c>
      <c r="AD676" s="2" t="s">
        <v>11266</v>
      </c>
      <c r="AE676" s="1"/>
      <c r="AF676" s="1"/>
      <c r="AG676" s="1"/>
      <c r="AH676" s="1" t="s">
        <v>45</v>
      </c>
      <c r="AI676" s="1" t="s">
        <v>11267</v>
      </c>
      <c r="AJ676" s="1" t="s">
        <v>11268</v>
      </c>
      <c r="AK676" s="1" t="s">
        <v>5865</v>
      </c>
    </row>
    <row r="677" spans="1:37">
      <c r="A677" s="1" t="str">
        <f>VLOOKUP(H677,Languages!$A$2:$B$430,2,FALSE)</f>
        <v>Caddoan</v>
      </c>
      <c r="B677" s="1" t="s">
        <v>1812</v>
      </c>
      <c r="C677" s="1" t="s">
        <v>89</v>
      </c>
      <c r="D677" s="1" t="s">
        <v>8164</v>
      </c>
      <c r="E677" s="15" t="s">
        <v>312</v>
      </c>
      <c r="F677" s="15" t="s">
        <v>312</v>
      </c>
      <c r="G677" s="1" t="s">
        <v>312</v>
      </c>
      <c r="H677" s="1" t="str">
        <f>VLOOKUP(G677,'languoid 4.0'!$A$1:$I$24439,2,FALSE)</f>
        <v>cadd1255</v>
      </c>
      <c r="I677" s="1" t="str">
        <f>VLOOKUP(G677,'languoid 4.0'!$A$1:$I$24439,6,FALSE)</f>
        <v>language</v>
      </c>
      <c r="J677" s="15" t="s">
        <v>38</v>
      </c>
      <c r="K677" s="15" t="s">
        <v>38</v>
      </c>
      <c r="L677" s="15" t="s">
        <v>38</v>
      </c>
      <c r="M677" s="1"/>
      <c r="N677" s="1" t="s">
        <v>313</v>
      </c>
      <c r="O677" s="15" t="s">
        <v>40</v>
      </c>
      <c r="P677" s="15" t="s">
        <v>41</v>
      </c>
      <c r="Q677" s="1" t="s">
        <v>8165</v>
      </c>
      <c r="R677" s="2" t="s">
        <v>8166</v>
      </c>
      <c r="S677" s="1" t="s">
        <v>8167</v>
      </c>
      <c r="T677" s="1" t="s">
        <v>657</v>
      </c>
      <c r="U677" s="1" t="s">
        <v>636</v>
      </c>
      <c r="V677" s="1" t="s">
        <v>45</v>
      </c>
      <c r="W677" s="1"/>
      <c r="X677" s="1"/>
      <c r="Y677" s="1"/>
      <c r="Z677" s="1" t="s">
        <v>823</v>
      </c>
      <c r="AA677" s="1" t="s">
        <v>8168</v>
      </c>
      <c r="AB677" s="1" t="s">
        <v>8169</v>
      </c>
      <c r="AC677" s="1" t="s">
        <v>8170</v>
      </c>
      <c r="AD677" s="1" t="s">
        <v>8171</v>
      </c>
      <c r="AE677" s="1"/>
      <c r="AF677" s="1"/>
      <c r="AG677" s="1"/>
      <c r="AH677" s="1" t="s">
        <v>45</v>
      </c>
      <c r="AI677" s="1"/>
      <c r="AJ677" s="1" t="s">
        <v>8172</v>
      </c>
      <c r="AK677" s="1" t="s">
        <v>5865</v>
      </c>
    </row>
    <row r="678" spans="1:37">
      <c r="A678" s="1" t="str">
        <f>VLOOKUP(H678,Languages!$A$2:$B$430,2,FALSE)</f>
        <v>Caddoan</v>
      </c>
      <c r="B678" s="1" t="s">
        <v>1812</v>
      </c>
      <c r="C678" s="1" t="s">
        <v>89</v>
      </c>
      <c r="D678" s="1" t="s">
        <v>11409</v>
      </c>
      <c r="E678" s="15" t="s">
        <v>312</v>
      </c>
      <c r="F678" s="15" t="s">
        <v>312</v>
      </c>
      <c r="G678" s="1" t="s">
        <v>312</v>
      </c>
      <c r="H678" s="1" t="str">
        <f>VLOOKUP(G678,'languoid 4.0'!$A$1:$I$24439,2,FALSE)</f>
        <v>cadd1255</v>
      </c>
      <c r="I678" s="1" t="str">
        <f>VLOOKUP(G678,'languoid 4.0'!$A$1:$I$24439,6,FALSE)</f>
        <v>language</v>
      </c>
      <c r="J678" s="15" t="s">
        <v>38</v>
      </c>
      <c r="K678" s="15" t="s">
        <v>38</v>
      </c>
      <c r="L678" s="15" t="s">
        <v>38</v>
      </c>
      <c r="M678" s="1"/>
      <c r="N678" s="1" t="s">
        <v>313</v>
      </c>
      <c r="O678" s="15" t="s">
        <v>40</v>
      </c>
      <c r="P678" s="15" t="s">
        <v>41</v>
      </c>
      <c r="Q678" s="1" t="s">
        <v>11410</v>
      </c>
      <c r="R678" s="2" t="s">
        <v>11411</v>
      </c>
      <c r="S678" s="1" t="s">
        <v>11412</v>
      </c>
      <c r="T678" s="1" t="s">
        <v>657</v>
      </c>
      <c r="U678" s="1" t="s">
        <v>636</v>
      </c>
      <c r="V678" s="1" t="s">
        <v>45</v>
      </c>
      <c r="W678" s="1"/>
      <c r="X678" s="1"/>
      <c r="Y678" s="1"/>
      <c r="Z678" s="1" t="s">
        <v>658</v>
      </c>
      <c r="AA678" s="1" t="s">
        <v>11413</v>
      </c>
      <c r="AB678" s="1" t="s">
        <v>11414</v>
      </c>
      <c r="AC678" s="1" t="s">
        <v>11415</v>
      </c>
      <c r="AD678" s="1"/>
      <c r="AE678" s="1" t="s">
        <v>641</v>
      </c>
      <c r="AF678" s="1" t="s">
        <v>190</v>
      </c>
      <c r="AG678" s="1">
        <v>4</v>
      </c>
      <c r="AH678" s="1" t="s">
        <v>190</v>
      </c>
      <c r="AI678" s="1" t="s">
        <v>11416</v>
      </c>
      <c r="AJ678" s="1" t="s">
        <v>11417</v>
      </c>
      <c r="AK678" s="1" t="s">
        <v>5865</v>
      </c>
    </row>
    <row r="679" spans="1:37">
      <c r="A679" s="1" t="str">
        <f>VLOOKUP(H679,Languages!$A$2:$B$430,2,FALSE)</f>
        <v>Cariban</v>
      </c>
      <c r="B679" s="1" t="s">
        <v>67</v>
      </c>
      <c r="C679" s="1" t="s">
        <v>477</v>
      </c>
      <c r="D679" s="1" t="s">
        <v>854</v>
      </c>
      <c r="E679" s="15" t="s">
        <v>855</v>
      </c>
      <c r="F679" s="15" t="s">
        <v>856</v>
      </c>
      <c r="G679" s="1" t="s">
        <v>856</v>
      </c>
      <c r="H679" s="1" t="str">
        <f>VLOOKUP(G679,'languoid 4.0'!$A$1:$I$24439,2,FALSE)</f>
        <v>cari1283</v>
      </c>
      <c r="I679" s="1" t="str">
        <f>VLOOKUP(G679,'languoid 4.0'!$A$1:$I$24439,6,FALSE)</f>
        <v>language</v>
      </c>
      <c r="J679" s="15" t="s">
        <v>52</v>
      </c>
      <c r="K679" s="15" t="s">
        <v>38</v>
      </c>
      <c r="L679" s="15" t="s">
        <v>38</v>
      </c>
      <c r="M679" s="1"/>
      <c r="N679" s="1"/>
      <c r="O679" s="15" t="s">
        <v>113</v>
      </c>
      <c r="P679" s="15" t="s">
        <v>41</v>
      </c>
      <c r="Q679" s="1" t="s">
        <v>857</v>
      </c>
      <c r="R679" s="2" t="s">
        <v>858</v>
      </c>
      <c r="S679" s="1" t="s">
        <v>859</v>
      </c>
      <c r="T679" s="1" t="s">
        <v>693</v>
      </c>
      <c r="U679" s="1" t="s">
        <v>636</v>
      </c>
      <c r="V679" s="1" t="s">
        <v>45</v>
      </c>
      <c r="W679" s="1"/>
      <c r="X679" s="1"/>
      <c r="Y679" s="1"/>
      <c r="Z679" s="1" t="s">
        <v>637</v>
      </c>
      <c r="AA679" s="1" t="s">
        <v>860</v>
      </c>
      <c r="AB679" s="1" t="s">
        <v>861</v>
      </c>
      <c r="AC679" s="1" t="s">
        <v>46</v>
      </c>
      <c r="AD679" s="1"/>
      <c r="AE679" s="1" t="s">
        <v>641</v>
      </c>
      <c r="AF679" s="1" t="s">
        <v>190</v>
      </c>
      <c r="AG679" s="1">
        <v>4</v>
      </c>
      <c r="AH679" s="1" t="s">
        <v>190</v>
      </c>
      <c r="AI679" s="1"/>
      <c r="AJ679" s="3">
        <v>43253.561261574076</v>
      </c>
      <c r="AK679" s="1" t="s">
        <v>651</v>
      </c>
    </row>
    <row r="680" spans="1:37">
      <c r="A680" s="1" t="str">
        <f>VLOOKUP(H680,Languages!$A$2:$B$430,2,FALSE)</f>
        <v>Cariban</v>
      </c>
      <c r="B680" s="1" t="s">
        <v>67</v>
      </c>
      <c r="C680" s="1" t="s">
        <v>407</v>
      </c>
      <c r="D680" s="1" t="s">
        <v>11517</v>
      </c>
      <c r="E680" s="15" t="s">
        <v>1732</v>
      </c>
      <c r="F680" s="15" t="s">
        <v>1732</v>
      </c>
      <c r="G680" s="1" t="s">
        <v>1732</v>
      </c>
      <c r="H680" s="1" t="str">
        <f>VLOOKUP(G680,'languoid 4.0'!$A$1:$I$24439,2,FALSE)</f>
        <v>cari1283</v>
      </c>
      <c r="I680" s="1" t="str">
        <f>VLOOKUP(G680,'languoid 4.0'!$A$1:$I$24439,6,FALSE)</f>
        <v>language</v>
      </c>
      <c r="J680" s="15" t="s">
        <v>38</v>
      </c>
      <c r="K680" s="15" t="s">
        <v>38</v>
      </c>
      <c r="L680" s="15" t="s">
        <v>38</v>
      </c>
      <c r="M680" s="1"/>
      <c r="N680" s="1" t="s">
        <v>1733</v>
      </c>
      <c r="O680" s="15" t="s">
        <v>40</v>
      </c>
      <c r="P680" s="15" t="s">
        <v>41</v>
      </c>
      <c r="Q680" s="1" t="s">
        <v>11518</v>
      </c>
      <c r="R680" s="2" t="s">
        <v>11519</v>
      </c>
      <c r="S680" s="1" t="s">
        <v>46</v>
      </c>
      <c r="T680" s="1" t="s">
        <v>1689</v>
      </c>
      <c r="U680" s="1" t="s">
        <v>636</v>
      </c>
      <c r="V680" s="1" t="s">
        <v>45</v>
      </c>
      <c r="W680" s="1"/>
      <c r="X680" s="1"/>
      <c r="Y680" s="1"/>
      <c r="Z680" s="1" t="s">
        <v>658</v>
      </c>
      <c r="AA680" s="1" t="s">
        <v>11520</v>
      </c>
      <c r="AB680" s="1" t="s">
        <v>46</v>
      </c>
      <c r="AC680" s="1" t="s">
        <v>46</v>
      </c>
      <c r="AD680" s="1"/>
      <c r="AE680" s="1" t="s">
        <v>641</v>
      </c>
      <c r="AF680" s="1" t="s">
        <v>45</v>
      </c>
      <c r="AG680" s="1">
        <v>3</v>
      </c>
      <c r="AH680" s="1" t="s">
        <v>190</v>
      </c>
      <c r="AI680" s="1" t="s">
        <v>11521</v>
      </c>
      <c r="AJ680" s="3">
        <v>43525.896504629629</v>
      </c>
      <c r="AK680" s="1" t="s">
        <v>10927</v>
      </c>
    </row>
    <row r="681" spans="1:37">
      <c r="A681" s="1" t="str">
        <f>VLOOKUP(H681,Languages!$A$2:$B$430,2,FALSE)</f>
        <v>Cariban</v>
      </c>
      <c r="B681" s="1" t="s">
        <v>67</v>
      </c>
      <c r="C681" s="1" t="s">
        <v>407</v>
      </c>
      <c r="D681" s="1" t="s">
        <v>11525</v>
      </c>
      <c r="E681" s="15" t="s">
        <v>1732</v>
      </c>
      <c r="F681" s="15" t="s">
        <v>1732</v>
      </c>
      <c r="G681" s="1" t="s">
        <v>1732</v>
      </c>
      <c r="H681" s="1" t="str">
        <f>VLOOKUP(G681,'languoid 4.0'!$A$1:$I$24439,2,FALSE)</f>
        <v>cari1283</v>
      </c>
      <c r="I681" s="1" t="str">
        <f>VLOOKUP(G681,'languoid 4.0'!$A$1:$I$24439,6,FALSE)</f>
        <v>language</v>
      </c>
      <c r="J681" s="15" t="s">
        <v>38</v>
      </c>
      <c r="K681" s="15" t="s">
        <v>38</v>
      </c>
      <c r="L681" s="15" t="s">
        <v>38</v>
      </c>
      <c r="M681" s="1"/>
      <c r="N681" s="1" t="s">
        <v>1733</v>
      </c>
      <c r="O681" s="15" t="s">
        <v>40</v>
      </c>
      <c r="P681" s="15" t="s">
        <v>41</v>
      </c>
      <c r="Q681" s="1" t="s">
        <v>11526</v>
      </c>
      <c r="R681" s="2" t="s">
        <v>11527</v>
      </c>
      <c r="S681" s="1" t="s">
        <v>46</v>
      </c>
      <c r="T681" s="1" t="s">
        <v>1689</v>
      </c>
      <c r="U681" s="1" t="s">
        <v>636</v>
      </c>
      <c r="V681" s="1" t="s">
        <v>45</v>
      </c>
      <c r="W681" s="1"/>
      <c r="X681" s="1"/>
      <c r="Y681" s="1"/>
      <c r="Z681" s="1" t="s">
        <v>658</v>
      </c>
      <c r="AA681" s="1" t="s">
        <v>11528</v>
      </c>
      <c r="AB681" s="1" t="s">
        <v>46</v>
      </c>
      <c r="AC681" s="1" t="s">
        <v>46</v>
      </c>
      <c r="AD681" s="1"/>
      <c r="AE681" s="1" t="s">
        <v>641</v>
      </c>
      <c r="AF681" s="1" t="s">
        <v>190</v>
      </c>
      <c r="AG681" s="1">
        <v>3</v>
      </c>
      <c r="AH681" s="1" t="s">
        <v>190</v>
      </c>
      <c r="AI681" s="1"/>
      <c r="AJ681" s="3">
        <v>43525.90388888889</v>
      </c>
      <c r="AK681" s="1" t="s">
        <v>10927</v>
      </c>
    </row>
    <row r="682" spans="1:37">
      <c r="A682" s="1" t="str">
        <f>VLOOKUP(H682,Languages!$A$2:$B$430,2,FALSE)</f>
        <v>Cariban</v>
      </c>
      <c r="B682" s="1" t="s">
        <v>67</v>
      </c>
      <c r="C682" s="1" t="s">
        <v>407</v>
      </c>
      <c r="D682" s="1" t="s">
        <v>11517</v>
      </c>
      <c r="E682" s="15" t="s">
        <v>1732</v>
      </c>
      <c r="F682" s="15" t="s">
        <v>1732</v>
      </c>
      <c r="G682" s="1" t="s">
        <v>1732</v>
      </c>
      <c r="H682" s="1" t="str">
        <f>VLOOKUP(G682,'languoid 4.0'!$A$1:$I$24439,2,FALSE)</f>
        <v>cari1283</v>
      </c>
      <c r="I682" s="1" t="str">
        <f>VLOOKUP(G682,'languoid 4.0'!$A$1:$I$24439,6,FALSE)</f>
        <v>language</v>
      </c>
      <c r="J682" s="15" t="s">
        <v>38</v>
      </c>
      <c r="K682" s="15" t="s">
        <v>38</v>
      </c>
      <c r="L682" s="15" t="s">
        <v>38</v>
      </c>
      <c r="M682" s="1"/>
      <c r="N682" s="1" t="s">
        <v>1733</v>
      </c>
      <c r="O682" s="15" t="s">
        <v>40</v>
      </c>
      <c r="P682" s="15" t="s">
        <v>41</v>
      </c>
      <c r="Q682" s="1" t="s">
        <v>11529</v>
      </c>
      <c r="R682" s="2" t="s">
        <v>11530</v>
      </c>
      <c r="S682" s="1" t="s">
        <v>46</v>
      </c>
      <c r="T682" s="1" t="s">
        <v>1689</v>
      </c>
      <c r="U682" s="1" t="s">
        <v>636</v>
      </c>
      <c r="V682" s="1" t="s">
        <v>45</v>
      </c>
      <c r="W682" s="1"/>
      <c r="X682" s="1"/>
      <c r="Y682" s="1"/>
      <c r="Z682" s="1" t="s">
        <v>658</v>
      </c>
      <c r="AA682" s="1" t="s">
        <v>11531</v>
      </c>
      <c r="AB682" s="1" t="s">
        <v>46</v>
      </c>
      <c r="AC682" s="1" t="s">
        <v>46</v>
      </c>
      <c r="AD682" s="1"/>
      <c r="AE682" s="1" t="s">
        <v>641</v>
      </c>
      <c r="AF682" s="1" t="s">
        <v>45</v>
      </c>
      <c r="AG682" s="1">
        <v>1</v>
      </c>
      <c r="AH682" s="1" t="s">
        <v>190</v>
      </c>
      <c r="AI682" s="1"/>
      <c r="AJ682" s="3">
        <v>43525.907280092593</v>
      </c>
      <c r="AK682" s="1" t="s">
        <v>10927</v>
      </c>
    </row>
    <row r="683" spans="1:37">
      <c r="A683" s="1" t="str">
        <f>VLOOKUP(H683,Languages!$A$2:$B$430,2,FALSE)</f>
        <v>Cariban</v>
      </c>
      <c r="B683" s="1" t="s">
        <v>67</v>
      </c>
      <c r="C683" s="1" t="s">
        <v>407</v>
      </c>
      <c r="D683" s="1" t="s">
        <v>11517</v>
      </c>
      <c r="E683" s="15" t="s">
        <v>1732</v>
      </c>
      <c r="F683" s="15" t="s">
        <v>1732</v>
      </c>
      <c r="G683" s="1" t="s">
        <v>1732</v>
      </c>
      <c r="H683" s="1" t="str">
        <f>VLOOKUP(G683,'languoid 4.0'!$A$1:$I$24439,2,FALSE)</f>
        <v>cari1283</v>
      </c>
      <c r="I683" s="1" t="str">
        <f>VLOOKUP(G683,'languoid 4.0'!$A$1:$I$24439,6,FALSE)</f>
        <v>language</v>
      </c>
      <c r="J683" s="15" t="s">
        <v>38</v>
      </c>
      <c r="K683" s="15" t="s">
        <v>38</v>
      </c>
      <c r="L683" s="15" t="s">
        <v>38</v>
      </c>
      <c r="M683" s="1"/>
      <c r="N683" s="1" t="s">
        <v>1733</v>
      </c>
      <c r="O683" s="15" t="s">
        <v>40</v>
      </c>
      <c r="P683" s="15" t="s">
        <v>41</v>
      </c>
      <c r="Q683" s="1" t="s">
        <v>11557</v>
      </c>
      <c r="R683" s="2" t="s">
        <v>11558</v>
      </c>
      <c r="S683" s="1" t="s">
        <v>46</v>
      </c>
      <c r="T683" s="1" t="s">
        <v>1689</v>
      </c>
      <c r="U683" s="1" t="s">
        <v>636</v>
      </c>
      <c r="V683" s="1" t="s">
        <v>45</v>
      </c>
      <c r="W683" s="1"/>
      <c r="X683" s="1"/>
      <c r="Y683" s="1"/>
      <c r="Z683" s="1" t="s">
        <v>658</v>
      </c>
      <c r="AA683" s="1" t="s">
        <v>11559</v>
      </c>
      <c r="AB683" s="1" t="s">
        <v>46</v>
      </c>
      <c r="AC683" s="1" t="s">
        <v>46</v>
      </c>
      <c r="AD683" s="1"/>
      <c r="AE683" s="1" t="s">
        <v>641</v>
      </c>
      <c r="AF683" s="1" t="s">
        <v>45</v>
      </c>
      <c r="AG683" s="1">
        <v>1</v>
      </c>
      <c r="AH683" s="1" t="s">
        <v>190</v>
      </c>
      <c r="AI683" s="1"/>
      <c r="AJ683" s="3">
        <v>43525.956805555557</v>
      </c>
      <c r="AK683" s="1" t="s">
        <v>10927</v>
      </c>
    </row>
    <row r="684" spans="1:37">
      <c r="A684" s="1" t="str">
        <f>VLOOKUP(H684,Languages!$A$2:$B$430,2,FALSE)</f>
        <v>Cariban</v>
      </c>
      <c r="B684" s="1" t="s">
        <v>67</v>
      </c>
      <c r="C684" s="1" t="s">
        <v>407</v>
      </c>
      <c r="D684" s="1" t="s">
        <v>11517</v>
      </c>
      <c r="E684" s="15" t="s">
        <v>1732</v>
      </c>
      <c r="F684" s="15" t="s">
        <v>1732</v>
      </c>
      <c r="G684" s="1" t="s">
        <v>1732</v>
      </c>
      <c r="H684" s="1" t="str">
        <f>VLOOKUP(G684,'languoid 4.0'!$A$1:$I$24439,2,FALSE)</f>
        <v>cari1283</v>
      </c>
      <c r="I684" s="1" t="str">
        <f>VLOOKUP(G684,'languoid 4.0'!$A$1:$I$24439,6,FALSE)</f>
        <v>language</v>
      </c>
      <c r="J684" s="15" t="s">
        <v>38</v>
      </c>
      <c r="K684" s="15" t="s">
        <v>38</v>
      </c>
      <c r="L684" s="15" t="s">
        <v>38</v>
      </c>
      <c r="M684" s="1"/>
      <c r="N684" s="1" t="s">
        <v>1733</v>
      </c>
      <c r="O684" s="15" t="s">
        <v>40</v>
      </c>
      <c r="P684" s="15" t="s">
        <v>41</v>
      </c>
      <c r="Q684" s="1" t="s">
        <v>11560</v>
      </c>
      <c r="R684" s="2" t="s">
        <v>11561</v>
      </c>
      <c r="S684" s="1" t="s">
        <v>46</v>
      </c>
      <c r="T684" s="1" t="s">
        <v>1689</v>
      </c>
      <c r="U684" s="1" t="s">
        <v>636</v>
      </c>
      <c r="V684" s="1" t="s">
        <v>45</v>
      </c>
      <c r="W684" s="1"/>
      <c r="X684" s="1"/>
      <c r="Y684" s="1"/>
      <c r="Z684" s="1" t="s">
        <v>658</v>
      </c>
      <c r="AA684" s="1" t="s">
        <v>11562</v>
      </c>
      <c r="AB684" s="1" t="s">
        <v>46</v>
      </c>
      <c r="AC684" s="1" t="s">
        <v>46</v>
      </c>
      <c r="AD684" s="1"/>
      <c r="AE684" s="1" t="s">
        <v>641</v>
      </c>
      <c r="AF684" s="1" t="s">
        <v>190</v>
      </c>
      <c r="AG684" s="1">
        <v>2</v>
      </c>
      <c r="AH684" s="1" t="s">
        <v>190</v>
      </c>
      <c r="AI684" s="1"/>
      <c r="AJ684" s="3">
        <v>43525.960219907407</v>
      </c>
      <c r="AK684" s="1" t="s">
        <v>10927</v>
      </c>
    </row>
    <row r="685" spans="1:37">
      <c r="A685" s="1" t="str">
        <f>VLOOKUP(H685,Languages!$A$2:$B$430,2,FALSE)</f>
        <v>Cariban</v>
      </c>
      <c r="B685" s="1" t="s">
        <v>59</v>
      </c>
      <c r="C685" s="1" t="s">
        <v>477</v>
      </c>
      <c r="D685" s="1" t="s">
        <v>569</v>
      </c>
      <c r="E685" s="15" t="s">
        <v>570</v>
      </c>
      <c r="F685" s="15" t="s">
        <v>570</v>
      </c>
      <c r="G685" s="1" t="s">
        <v>570</v>
      </c>
      <c r="H685" s="1" t="str">
        <f>VLOOKUP(G685,'languoid 4.0'!$A$1:$I$24439,2,FALSE)</f>
        <v>cari1283</v>
      </c>
      <c r="I685" s="1" t="str">
        <f>VLOOKUP(G685,'languoid 4.0'!$A$1:$I$24439,6,FALSE)</f>
        <v>language</v>
      </c>
      <c r="J685" s="15" t="s">
        <v>38</v>
      </c>
      <c r="K685" s="15" t="s">
        <v>38</v>
      </c>
      <c r="L685" s="15" t="s">
        <v>38</v>
      </c>
      <c r="M685" s="1"/>
      <c r="N685" s="1" t="s">
        <v>571</v>
      </c>
      <c r="O685" s="15" t="s">
        <v>40</v>
      </c>
      <c r="P685" s="15" t="s">
        <v>41</v>
      </c>
      <c r="Q685" s="1" t="s">
        <v>572</v>
      </c>
      <c r="R685" s="2" t="s">
        <v>573</v>
      </c>
      <c r="S685" s="1" t="s">
        <v>265</v>
      </c>
      <c r="T685" s="1" t="s">
        <v>44</v>
      </c>
      <c r="U685" s="1"/>
      <c r="V685" s="1" t="s">
        <v>45</v>
      </c>
      <c r="W685" s="1"/>
      <c r="X685" s="1"/>
      <c r="Y685" s="1"/>
      <c r="Z685" s="1"/>
      <c r="AA685" s="1">
        <v>6</v>
      </c>
      <c r="AB685" s="1">
        <v>6</v>
      </c>
      <c r="AC685" s="1" t="s">
        <v>46</v>
      </c>
      <c r="AD685" s="1"/>
      <c r="AE685" s="1"/>
      <c r="AF685" s="1"/>
      <c r="AG685" s="1"/>
      <c r="AH685" s="1"/>
      <c r="AI685" s="1"/>
      <c r="AJ685" s="3">
        <v>43102.75849537037</v>
      </c>
      <c r="AK685" s="1" t="s">
        <v>47</v>
      </c>
    </row>
    <row r="686" spans="1:37">
      <c r="A686" s="1" t="str">
        <f>VLOOKUP(H686,Languages!$A$2:$B$430,2,FALSE)</f>
        <v>Cariban</v>
      </c>
      <c r="B686" s="1" t="s">
        <v>59</v>
      </c>
      <c r="C686" s="1" t="s">
        <v>477</v>
      </c>
      <c r="D686" s="1" t="s">
        <v>1731</v>
      </c>
      <c r="E686" s="15" t="s">
        <v>1732</v>
      </c>
      <c r="F686" s="15" t="s">
        <v>552</v>
      </c>
      <c r="G686" s="1" t="s">
        <v>1732</v>
      </c>
      <c r="H686" s="1" t="str">
        <f>VLOOKUP(G686,'languoid 4.0'!$A$1:$I$24439,2,FALSE)</f>
        <v>cari1283</v>
      </c>
      <c r="I686" s="1" t="str">
        <f>VLOOKUP(G686,'languoid 4.0'!$A$1:$I$24439,6,FALSE)</f>
        <v>language</v>
      </c>
      <c r="J686" s="15" t="s">
        <v>52</v>
      </c>
      <c r="K686" s="15" t="s">
        <v>52</v>
      </c>
      <c r="L686" s="15" t="s">
        <v>52</v>
      </c>
      <c r="M686" s="1"/>
      <c r="N686" s="1" t="s">
        <v>1733</v>
      </c>
      <c r="O686" s="15" t="s">
        <v>40</v>
      </c>
      <c r="P686" s="15" t="s">
        <v>41</v>
      </c>
      <c r="Q686" s="1" t="s">
        <v>2408</v>
      </c>
      <c r="R686" s="2" t="s">
        <v>2409</v>
      </c>
      <c r="S686" s="1">
        <v>164</v>
      </c>
      <c r="T686" s="1" t="s">
        <v>1689</v>
      </c>
      <c r="U686" s="1" t="s">
        <v>636</v>
      </c>
      <c r="V686" s="1" t="s">
        <v>45</v>
      </c>
      <c r="W686" s="1"/>
      <c r="X686" s="1"/>
      <c r="Y686" s="1"/>
      <c r="Z686" s="1" t="s">
        <v>658</v>
      </c>
      <c r="AA686" s="1" t="s">
        <v>2410</v>
      </c>
      <c r="AB686" s="1" t="s">
        <v>2411</v>
      </c>
      <c r="AC686" s="1" t="s">
        <v>46</v>
      </c>
      <c r="AD686" s="1"/>
      <c r="AE686" s="1" t="s">
        <v>641</v>
      </c>
      <c r="AF686" s="1" t="s">
        <v>45</v>
      </c>
      <c r="AG686" s="1">
        <v>5</v>
      </c>
      <c r="AH686" s="1" t="s">
        <v>190</v>
      </c>
      <c r="AI686" s="1" t="s">
        <v>2412</v>
      </c>
      <c r="AJ686" s="1" t="s">
        <v>2413</v>
      </c>
      <c r="AK686" s="1" t="s">
        <v>651</v>
      </c>
    </row>
    <row r="687" spans="1:37">
      <c r="A687" s="1" t="str">
        <f>VLOOKUP(H687,Languages!$A$2:$B$430,2,FALSE)</f>
        <v>Cariban</v>
      </c>
      <c r="B687" s="1" t="s">
        <v>59</v>
      </c>
      <c r="C687" s="1" t="s">
        <v>477</v>
      </c>
      <c r="D687" s="1" t="s">
        <v>1731</v>
      </c>
      <c r="E687" s="15" t="s">
        <v>1732</v>
      </c>
      <c r="F687" s="15" t="s">
        <v>552</v>
      </c>
      <c r="G687" s="1" t="s">
        <v>1732</v>
      </c>
      <c r="H687" s="1" t="str">
        <f>VLOOKUP(G687,'languoid 4.0'!$A$1:$I$24439,2,FALSE)</f>
        <v>cari1283</v>
      </c>
      <c r="I687" s="1" t="str">
        <f>VLOOKUP(G687,'languoid 4.0'!$A$1:$I$24439,6,FALSE)</f>
        <v>language</v>
      </c>
      <c r="J687" s="15" t="s">
        <v>52</v>
      </c>
      <c r="K687" s="15" t="s">
        <v>52</v>
      </c>
      <c r="L687" s="15" t="s">
        <v>52</v>
      </c>
      <c r="M687" s="1"/>
      <c r="N687" s="1" t="s">
        <v>1733</v>
      </c>
      <c r="O687" s="15" t="s">
        <v>40</v>
      </c>
      <c r="P687" s="15" t="s">
        <v>41</v>
      </c>
      <c r="Q687" s="1" t="s">
        <v>2461</v>
      </c>
      <c r="R687" s="2" t="s">
        <v>2462</v>
      </c>
      <c r="S687" s="1">
        <v>93</v>
      </c>
      <c r="T687" s="1" t="s">
        <v>1689</v>
      </c>
      <c r="U687" s="1" t="s">
        <v>636</v>
      </c>
      <c r="V687" s="1" t="s">
        <v>45</v>
      </c>
      <c r="W687" s="1"/>
      <c r="X687" s="1"/>
      <c r="Y687" s="1"/>
      <c r="Z687" s="1" t="s">
        <v>673</v>
      </c>
      <c r="AA687" s="1" t="s">
        <v>2463</v>
      </c>
      <c r="AB687" s="1" t="s">
        <v>46</v>
      </c>
      <c r="AC687" s="1" t="s">
        <v>46</v>
      </c>
      <c r="AD687" s="1"/>
      <c r="AE687" s="1" t="s">
        <v>641</v>
      </c>
      <c r="AF687" s="1" t="s">
        <v>45</v>
      </c>
      <c r="AG687" s="1">
        <v>1</v>
      </c>
      <c r="AH687" s="1" t="s">
        <v>190</v>
      </c>
      <c r="AI687" s="1"/>
      <c r="AJ687" s="1" t="s">
        <v>2464</v>
      </c>
      <c r="AK687" s="1" t="s">
        <v>651</v>
      </c>
    </row>
    <row r="688" spans="1:37">
      <c r="A688" s="1" t="str">
        <f>VLOOKUP(H688,Languages!$A$2:$B$430,2,FALSE)</f>
        <v>Cariban</v>
      </c>
      <c r="B688" s="1" t="s">
        <v>59</v>
      </c>
      <c r="C688" s="1" t="s">
        <v>477</v>
      </c>
      <c r="D688" s="1" t="s">
        <v>3149</v>
      </c>
      <c r="E688" s="15" t="s">
        <v>3150</v>
      </c>
      <c r="F688" s="15" t="s">
        <v>51</v>
      </c>
      <c r="G688" s="1" t="s">
        <v>3150</v>
      </c>
      <c r="H688" s="1" t="str">
        <f>VLOOKUP(G688,'languoid 4.0'!$A$1:$I$24439,2,FALSE)</f>
        <v>cari1283</v>
      </c>
      <c r="I688" s="1" t="str">
        <f>VLOOKUP(G688,'languoid 4.0'!$A$1:$I$24439,6,FALSE)</f>
        <v>language</v>
      </c>
      <c r="J688" s="15" t="s">
        <v>52</v>
      </c>
      <c r="K688" s="15" t="s">
        <v>51</v>
      </c>
      <c r="L688" s="15" t="s">
        <v>51</v>
      </c>
      <c r="M688" s="1"/>
      <c r="N688" s="1" t="s">
        <v>3151</v>
      </c>
      <c r="O688" s="15" t="s">
        <v>40</v>
      </c>
      <c r="P688" s="15" t="s">
        <v>41</v>
      </c>
      <c r="Q688" s="1" t="s">
        <v>3152</v>
      </c>
      <c r="R688" s="2" t="s">
        <v>3153</v>
      </c>
      <c r="S688" s="4">
        <v>43497</v>
      </c>
      <c r="T688" s="1" t="s">
        <v>1689</v>
      </c>
      <c r="U688" s="1" t="s">
        <v>636</v>
      </c>
      <c r="V688" s="1" t="s">
        <v>45</v>
      </c>
      <c r="W688" s="1"/>
      <c r="X688" s="1"/>
      <c r="Y688" s="1"/>
      <c r="Z688" s="1" t="s">
        <v>637</v>
      </c>
      <c r="AA688" s="1" t="s">
        <v>3154</v>
      </c>
      <c r="AB688" s="1" t="s">
        <v>3155</v>
      </c>
      <c r="AC688" s="1" t="s">
        <v>46</v>
      </c>
      <c r="AD688" s="1"/>
      <c r="AE688" s="1" t="s">
        <v>3156</v>
      </c>
      <c r="AF688" s="1" t="s">
        <v>190</v>
      </c>
      <c r="AG688" s="1">
        <v>2</v>
      </c>
      <c r="AH688" s="1" t="s">
        <v>190</v>
      </c>
      <c r="AI688" s="1"/>
      <c r="AJ688" s="1" t="s">
        <v>3157</v>
      </c>
      <c r="AK688" s="1" t="s">
        <v>651</v>
      </c>
    </row>
    <row r="689" spans="1:37">
      <c r="A689" s="1" t="str">
        <f>VLOOKUP(H689,Languages!$A$2:$B$430,2,FALSE)</f>
        <v>Cariban</v>
      </c>
      <c r="B689" s="1" t="s">
        <v>59</v>
      </c>
      <c r="C689" s="1" t="s">
        <v>477</v>
      </c>
      <c r="D689" s="1" t="s">
        <v>3303</v>
      </c>
      <c r="E689" s="15" t="s">
        <v>287</v>
      </c>
      <c r="F689" s="15" t="s">
        <v>51</v>
      </c>
      <c r="G689" s="1" t="s">
        <v>287</v>
      </c>
      <c r="H689" s="1" t="str">
        <f>VLOOKUP(G689,'languoid 4.0'!$A$1:$I$24439,2,FALSE)</f>
        <v>cari1283</v>
      </c>
      <c r="I689" s="1" t="str">
        <f>VLOOKUP(G689,'languoid 4.0'!$A$1:$I$24439,6,FALSE)</f>
        <v>language</v>
      </c>
      <c r="J689" s="15" t="s">
        <v>52</v>
      </c>
      <c r="K689" s="15" t="s">
        <v>51</v>
      </c>
      <c r="L689" s="15" t="s">
        <v>51</v>
      </c>
      <c r="M689" s="1"/>
      <c r="N689" s="1" t="s">
        <v>3304</v>
      </c>
      <c r="O689" s="15" t="s">
        <v>40</v>
      </c>
      <c r="P689" s="15" t="s">
        <v>41</v>
      </c>
      <c r="Q689" s="1" t="s">
        <v>3305</v>
      </c>
      <c r="R689" s="2" t="s">
        <v>3306</v>
      </c>
      <c r="S689" s="1" t="s">
        <v>372</v>
      </c>
      <c r="T689" s="1" t="s">
        <v>3307</v>
      </c>
      <c r="U689" s="1" t="s">
        <v>636</v>
      </c>
      <c r="V689" s="1" t="s">
        <v>45</v>
      </c>
      <c r="W689" s="1"/>
      <c r="X689" s="1"/>
      <c r="Y689" s="1"/>
      <c r="Z689" s="1" t="s">
        <v>658</v>
      </c>
      <c r="AA689" s="1" t="s">
        <v>3308</v>
      </c>
      <c r="AB689" s="1" t="s">
        <v>46</v>
      </c>
      <c r="AC689" s="1" t="s">
        <v>46</v>
      </c>
      <c r="AD689" s="1"/>
      <c r="AE689" s="1" t="s">
        <v>641</v>
      </c>
      <c r="AF689" s="1" t="s">
        <v>190</v>
      </c>
      <c r="AG689" s="1">
        <v>4</v>
      </c>
      <c r="AH689" s="1" t="s">
        <v>190</v>
      </c>
      <c r="AI689" s="1"/>
      <c r="AJ689" s="1" t="s">
        <v>3309</v>
      </c>
      <c r="AK689" s="1" t="s">
        <v>651</v>
      </c>
    </row>
    <row r="690" spans="1:37">
      <c r="A690" s="1" t="str">
        <f>VLOOKUP(H690,Languages!$A$2:$B$430,2,FALSE)</f>
        <v>Cariban</v>
      </c>
      <c r="B690" s="1" t="s">
        <v>59</v>
      </c>
      <c r="C690" s="1" t="s">
        <v>407</v>
      </c>
      <c r="D690" s="1" t="s">
        <v>1731</v>
      </c>
      <c r="E690" s="15" t="s">
        <v>1732</v>
      </c>
      <c r="F690" s="15" t="s">
        <v>1732</v>
      </c>
      <c r="G690" s="1" t="s">
        <v>1732</v>
      </c>
      <c r="H690" s="1" t="str">
        <f>VLOOKUP(G690,'languoid 4.0'!$A$1:$I$24439,2,FALSE)</f>
        <v>cari1283</v>
      </c>
      <c r="I690" s="1" t="str">
        <f>VLOOKUP(G690,'languoid 4.0'!$A$1:$I$24439,6,FALSE)</f>
        <v>language</v>
      </c>
      <c r="J690" s="15" t="s">
        <v>38</v>
      </c>
      <c r="K690" s="15" t="s">
        <v>38</v>
      </c>
      <c r="L690" s="15" t="s">
        <v>38</v>
      </c>
      <c r="M690" s="1"/>
      <c r="N690" s="1" t="s">
        <v>1733</v>
      </c>
      <c r="O690" s="15" t="s">
        <v>40</v>
      </c>
      <c r="P690" s="15" t="s">
        <v>41</v>
      </c>
      <c r="Q690" s="1" t="s">
        <v>11535</v>
      </c>
      <c r="R690" s="2" t="s">
        <v>11536</v>
      </c>
      <c r="S690" s="1" t="s">
        <v>46</v>
      </c>
      <c r="T690" s="1" t="s">
        <v>1689</v>
      </c>
      <c r="U690" s="1" t="s">
        <v>636</v>
      </c>
      <c r="V690" s="1" t="s">
        <v>45</v>
      </c>
      <c r="W690" s="1"/>
      <c r="X690" s="1"/>
      <c r="Y690" s="1"/>
      <c r="Z690" s="1" t="s">
        <v>658</v>
      </c>
      <c r="AA690" s="1" t="s">
        <v>11537</v>
      </c>
      <c r="AB690" s="1" t="s">
        <v>46</v>
      </c>
      <c r="AC690" s="1" t="s">
        <v>46</v>
      </c>
      <c r="AD690" s="1"/>
      <c r="AE690" s="1" t="s">
        <v>641</v>
      </c>
      <c r="AF690" s="1" t="s">
        <v>190</v>
      </c>
      <c r="AG690" s="1">
        <v>3</v>
      </c>
      <c r="AH690" s="1" t="s">
        <v>190</v>
      </c>
      <c r="AI690" s="1" t="s">
        <v>11538</v>
      </c>
      <c r="AJ690" s="3">
        <v>43525.915775462963</v>
      </c>
      <c r="AK690" s="1" t="s">
        <v>10927</v>
      </c>
    </row>
    <row r="691" spans="1:37">
      <c r="A691" s="1" t="str">
        <f>VLOOKUP(H691,Languages!$A$2:$B$430,2,FALSE)</f>
        <v>Cariban</v>
      </c>
      <c r="B691" s="1" t="s">
        <v>59</v>
      </c>
      <c r="C691" s="1" t="s">
        <v>407</v>
      </c>
      <c r="D691" s="1" t="s">
        <v>11517</v>
      </c>
      <c r="E691" s="15" t="s">
        <v>1732</v>
      </c>
      <c r="F691" s="15" t="s">
        <v>1732</v>
      </c>
      <c r="G691" s="1" t="s">
        <v>1732</v>
      </c>
      <c r="H691" s="1" t="str">
        <f>VLOOKUP(G691,'languoid 4.0'!$A$1:$I$24439,2,FALSE)</f>
        <v>cari1283</v>
      </c>
      <c r="I691" s="1" t="str">
        <f>VLOOKUP(G691,'languoid 4.0'!$A$1:$I$24439,6,FALSE)</f>
        <v>language</v>
      </c>
      <c r="J691" s="15" t="s">
        <v>38</v>
      </c>
      <c r="K691" s="15" t="s">
        <v>38</v>
      </c>
      <c r="L691" s="15" t="s">
        <v>38</v>
      </c>
      <c r="M691" s="1"/>
      <c r="N691" s="1" t="s">
        <v>1733</v>
      </c>
      <c r="O691" s="15" t="s">
        <v>40</v>
      </c>
      <c r="P691" s="15" t="s">
        <v>41</v>
      </c>
      <c r="Q691" s="1" t="s">
        <v>11554</v>
      </c>
      <c r="R691" s="2" t="s">
        <v>11555</v>
      </c>
      <c r="S691" s="1" t="s">
        <v>46</v>
      </c>
      <c r="T691" s="1" t="s">
        <v>1689</v>
      </c>
      <c r="U691" s="1" t="s">
        <v>636</v>
      </c>
      <c r="V691" s="1" t="s">
        <v>45</v>
      </c>
      <c r="W691" s="1"/>
      <c r="X691" s="1"/>
      <c r="Y691" s="1"/>
      <c r="Z691" s="1" t="s">
        <v>658</v>
      </c>
      <c r="AA691" s="1" t="s">
        <v>11556</v>
      </c>
      <c r="AB691" s="1" t="s">
        <v>46</v>
      </c>
      <c r="AC691" s="1" t="s">
        <v>46</v>
      </c>
      <c r="AD691" s="1"/>
      <c r="AE691" s="1" t="s">
        <v>641</v>
      </c>
      <c r="AF691" s="1" t="s">
        <v>190</v>
      </c>
      <c r="AG691" s="1">
        <v>5</v>
      </c>
      <c r="AH691" s="1" t="s">
        <v>190</v>
      </c>
      <c r="AI691" s="1" t="s">
        <v>11521</v>
      </c>
      <c r="AJ691" s="3">
        <v>43525.953449074077</v>
      </c>
      <c r="AK691" s="1" t="s">
        <v>10927</v>
      </c>
    </row>
    <row r="692" spans="1:37">
      <c r="A692" s="1" t="str">
        <f>VLOOKUP(H692,Languages!$A$2:$B$430,2,FALSE)</f>
        <v>Cariban</v>
      </c>
      <c r="B692" s="1" t="s">
        <v>59</v>
      </c>
      <c r="C692" s="1" t="s">
        <v>407</v>
      </c>
      <c r="D692" s="1" t="s">
        <v>11517</v>
      </c>
      <c r="E692" s="15" t="s">
        <v>1732</v>
      </c>
      <c r="F692" s="15" t="s">
        <v>11563</v>
      </c>
      <c r="G692" s="1" t="s">
        <v>11563</v>
      </c>
      <c r="H692" s="1" t="str">
        <f>VLOOKUP(G692,'languoid 4.0'!$A$1:$I$24439,2,FALSE)</f>
        <v>cari1283</v>
      </c>
      <c r="I692" s="1" t="str">
        <f>VLOOKUP(G692,'languoid 4.0'!$A$1:$I$24439,6,FALSE)</f>
        <v>language</v>
      </c>
      <c r="J692" s="15" t="s">
        <v>52</v>
      </c>
      <c r="K692" s="15" t="s">
        <v>38</v>
      </c>
      <c r="L692" s="15" t="s">
        <v>38</v>
      </c>
      <c r="M692" s="1"/>
      <c r="N692" s="1" t="s">
        <v>1733</v>
      </c>
      <c r="O692" s="15" t="s">
        <v>40</v>
      </c>
      <c r="P692" s="15" t="s">
        <v>41</v>
      </c>
      <c r="Q692" s="1" t="s">
        <v>11564</v>
      </c>
      <c r="R692" s="2" t="s">
        <v>11565</v>
      </c>
      <c r="S692" s="1" t="s">
        <v>46</v>
      </c>
      <c r="T692" s="1" t="s">
        <v>1689</v>
      </c>
      <c r="U692" s="1" t="s">
        <v>636</v>
      </c>
      <c r="V692" s="1" t="s">
        <v>45</v>
      </c>
      <c r="W692" s="1"/>
      <c r="X692" s="1"/>
      <c r="Y692" s="1"/>
      <c r="Z692" s="1" t="s">
        <v>658</v>
      </c>
      <c r="AA692" s="1" t="s">
        <v>11566</v>
      </c>
      <c r="AB692" s="1" t="s">
        <v>46</v>
      </c>
      <c r="AC692" s="1" t="s">
        <v>46</v>
      </c>
      <c r="AD692" s="1"/>
      <c r="AE692" s="1" t="s">
        <v>641</v>
      </c>
      <c r="AF692" s="1" t="s">
        <v>190</v>
      </c>
      <c r="AG692" s="1">
        <v>4</v>
      </c>
      <c r="AH692" s="1" t="s">
        <v>190</v>
      </c>
      <c r="AI692" s="1"/>
      <c r="AJ692" s="3">
        <v>43525.964120370372</v>
      </c>
      <c r="AK692" s="1" t="s">
        <v>10927</v>
      </c>
    </row>
    <row r="693" spans="1:37">
      <c r="A693" s="1" t="str">
        <f>VLOOKUP(H693,Languages!$A$2:$B$430,2,FALSE)</f>
        <v>Cariban</v>
      </c>
      <c r="B693" s="1" t="s">
        <v>59</v>
      </c>
      <c r="C693" s="1" t="s">
        <v>419</v>
      </c>
      <c r="D693" s="1" t="s">
        <v>1608</v>
      </c>
      <c r="E693" s="15" t="s">
        <v>967</v>
      </c>
      <c r="F693" s="15" t="s">
        <v>570</v>
      </c>
      <c r="G693" s="1" t="s">
        <v>570</v>
      </c>
      <c r="H693" s="1" t="str">
        <f>VLOOKUP(G693,'languoid 4.0'!$A$1:$I$24439,2,FALSE)</f>
        <v>cari1283</v>
      </c>
      <c r="I693" s="1" t="str">
        <f>VLOOKUP(G693,'languoid 4.0'!$A$1:$I$24439,6,FALSE)</f>
        <v>language</v>
      </c>
      <c r="J693" s="15" t="s">
        <v>52</v>
      </c>
      <c r="K693" s="15" t="s">
        <v>368</v>
      </c>
      <c r="L693" s="15" t="s">
        <v>368</v>
      </c>
      <c r="M693" s="1" t="s">
        <v>865</v>
      </c>
      <c r="N693" s="1" t="e">
        <v>#N/A</v>
      </c>
      <c r="O693" s="15" t="s">
        <v>40</v>
      </c>
      <c r="P693" s="15" t="s">
        <v>41</v>
      </c>
      <c r="Q693" s="1" t="s">
        <v>1609</v>
      </c>
      <c r="R693" s="2" t="s">
        <v>1610</v>
      </c>
      <c r="S693" s="1" t="s">
        <v>46</v>
      </c>
      <c r="T693" s="1" t="s">
        <v>635</v>
      </c>
      <c r="U693" s="1" t="s">
        <v>636</v>
      </c>
      <c r="V693" s="1" t="s">
        <v>45</v>
      </c>
      <c r="W693" s="1"/>
      <c r="X693" s="1"/>
      <c r="Y693" s="1"/>
      <c r="Z693" s="1" t="s">
        <v>637</v>
      </c>
      <c r="AA693" s="1" t="s">
        <v>1611</v>
      </c>
      <c r="AB693" s="1" t="s">
        <v>1612</v>
      </c>
      <c r="AC693" s="1" t="s">
        <v>46</v>
      </c>
      <c r="AD693" s="1" t="s">
        <v>1613</v>
      </c>
      <c r="AE693" s="1" t="s">
        <v>641</v>
      </c>
      <c r="AF693" s="1" t="s">
        <v>190</v>
      </c>
      <c r="AG693" s="1">
        <v>6</v>
      </c>
      <c r="AH693" s="1" t="s">
        <v>190</v>
      </c>
      <c r="AI693" s="1" t="s">
        <v>46</v>
      </c>
      <c r="AJ693" s="3">
        <v>43162.625636574077</v>
      </c>
      <c r="AK693" s="1" t="s">
        <v>1607</v>
      </c>
    </row>
    <row r="694" spans="1:37">
      <c r="A694" s="1" t="str">
        <f>VLOOKUP(H694,Languages!$A$2:$B$430,2,FALSE)</f>
        <v>Cariban</v>
      </c>
      <c r="B694" s="1" t="s">
        <v>109</v>
      </c>
      <c r="C694" s="1" t="s">
        <v>477</v>
      </c>
      <c r="D694" s="1" t="s">
        <v>1731</v>
      </c>
      <c r="E694" s="15" t="s">
        <v>1732</v>
      </c>
      <c r="F694" s="15" t="s">
        <v>1732</v>
      </c>
      <c r="G694" s="1" t="s">
        <v>1732</v>
      </c>
      <c r="H694" s="1" t="str">
        <f>VLOOKUP(G694,'languoid 4.0'!$A$1:$I$24439,2,FALSE)</f>
        <v>cari1283</v>
      </c>
      <c r="I694" s="1" t="str">
        <f>VLOOKUP(G694,'languoid 4.0'!$A$1:$I$24439,6,FALSE)</f>
        <v>language</v>
      </c>
      <c r="J694" s="15" t="s">
        <v>38</v>
      </c>
      <c r="K694" s="15" t="s">
        <v>38</v>
      </c>
      <c r="L694" s="15" t="s">
        <v>38</v>
      </c>
      <c r="M694" s="1"/>
      <c r="N694" s="1" t="s">
        <v>1733</v>
      </c>
      <c r="O694" s="15" t="s">
        <v>40</v>
      </c>
      <c r="P694" s="15" t="s">
        <v>41</v>
      </c>
      <c r="Q694" s="1" t="s">
        <v>144</v>
      </c>
      <c r="R694" s="2" t="s">
        <v>6005</v>
      </c>
      <c r="S694" s="1" t="s">
        <v>6006</v>
      </c>
      <c r="T694" s="1" t="s">
        <v>657</v>
      </c>
      <c r="U694" s="1" t="s">
        <v>636</v>
      </c>
      <c r="V694" s="1" t="s">
        <v>45</v>
      </c>
      <c r="W694" s="1"/>
      <c r="X694" s="1"/>
      <c r="Y694" s="1"/>
      <c r="Z694" s="1" t="s">
        <v>658</v>
      </c>
      <c r="AA694" s="1" t="s">
        <v>6007</v>
      </c>
      <c r="AB694" s="1" t="s">
        <v>46</v>
      </c>
      <c r="AC694" s="1" t="s">
        <v>46</v>
      </c>
      <c r="AD694" s="1"/>
      <c r="AE694" s="1" t="s">
        <v>641</v>
      </c>
      <c r="AF694" s="1" t="s">
        <v>190</v>
      </c>
      <c r="AG694" s="1">
        <v>6</v>
      </c>
      <c r="AH694" s="1" t="s">
        <v>190</v>
      </c>
      <c r="AI694" s="1"/>
      <c r="AJ694" s="1" t="s">
        <v>6008</v>
      </c>
      <c r="AK694" s="1" t="s">
        <v>5678</v>
      </c>
    </row>
    <row r="695" spans="1:37">
      <c r="A695" s="1" t="str">
        <f>VLOOKUP(H695,Languages!$A$2:$B$430,2,FALSE)</f>
        <v>Cariban</v>
      </c>
      <c r="B695" s="1" t="s">
        <v>35</v>
      </c>
      <c r="C695" s="1" t="s">
        <v>477</v>
      </c>
      <c r="D695" s="1" t="s">
        <v>966</v>
      </c>
      <c r="E695" s="15" t="s">
        <v>967</v>
      </c>
      <c r="F695" s="15" t="s">
        <v>570</v>
      </c>
      <c r="G695" s="1" t="s">
        <v>570</v>
      </c>
      <c r="H695" s="1" t="str">
        <f>VLOOKUP(G695,'languoid 4.0'!$A$1:$I$24439,2,FALSE)</f>
        <v>cari1283</v>
      </c>
      <c r="I695" s="1" t="str">
        <f>VLOOKUP(G695,'languoid 4.0'!$A$1:$I$24439,6,FALSE)</f>
        <v>language</v>
      </c>
      <c r="J695" s="15" t="s">
        <v>52</v>
      </c>
      <c r="K695" s="15" t="s">
        <v>368</v>
      </c>
      <c r="L695" s="15" t="s">
        <v>368</v>
      </c>
      <c r="M695" s="1" t="s">
        <v>865</v>
      </c>
      <c r="N695" s="1" t="e">
        <v>#N/A</v>
      </c>
      <c r="O695" s="15" t="s">
        <v>40</v>
      </c>
      <c r="P695" s="15" t="s">
        <v>41</v>
      </c>
      <c r="Q695" s="1" t="s">
        <v>35</v>
      </c>
      <c r="R695" s="2" t="s">
        <v>968</v>
      </c>
      <c r="S695" s="1" t="s">
        <v>46</v>
      </c>
      <c r="T695" s="1" t="s">
        <v>635</v>
      </c>
      <c r="U695" s="1" t="s">
        <v>636</v>
      </c>
      <c r="V695" s="1" t="s">
        <v>45</v>
      </c>
      <c r="W695" s="1"/>
      <c r="X695" s="1"/>
      <c r="Y695" s="1"/>
      <c r="Z695" s="1" t="s">
        <v>658</v>
      </c>
      <c r="AA695" s="1" t="s">
        <v>969</v>
      </c>
      <c r="AB695" s="1" t="s">
        <v>46</v>
      </c>
      <c r="AC695" s="1" t="s">
        <v>46</v>
      </c>
      <c r="AD695" s="1"/>
      <c r="AE695" s="1" t="s">
        <v>641</v>
      </c>
      <c r="AF695" s="1" t="s">
        <v>190</v>
      </c>
      <c r="AG695" s="1">
        <v>5</v>
      </c>
      <c r="AH695" s="1" t="s">
        <v>190</v>
      </c>
      <c r="AI695" s="1"/>
      <c r="AJ695" s="3">
        <v>43283.463530092595</v>
      </c>
      <c r="AK695" s="1" t="s">
        <v>651</v>
      </c>
    </row>
    <row r="696" spans="1:37">
      <c r="A696" s="1" t="str">
        <f>VLOOKUP(H696,Languages!$A$2:$B$430,2,FALSE)</f>
        <v>Cariban</v>
      </c>
      <c r="B696" s="1" t="s">
        <v>35</v>
      </c>
      <c r="C696" s="1" t="s">
        <v>419</v>
      </c>
      <c r="D696" s="1" t="s">
        <v>1602</v>
      </c>
      <c r="E696" s="15" t="s">
        <v>967</v>
      </c>
      <c r="F696" s="15" t="s">
        <v>570</v>
      </c>
      <c r="G696" s="1" t="s">
        <v>570</v>
      </c>
      <c r="H696" s="1" t="str">
        <f>VLOOKUP(G696,'languoid 4.0'!$A$1:$I$24439,2,FALSE)</f>
        <v>cari1283</v>
      </c>
      <c r="I696" s="1" t="str">
        <f>VLOOKUP(G696,'languoid 4.0'!$A$1:$I$24439,6,FALSE)</f>
        <v>language</v>
      </c>
      <c r="J696" s="15" t="s">
        <v>52</v>
      </c>
      <c r="K696" s="15" t="s">
        <v>368</v>
      </c>
      <c r="L696" s="15" t="s">
        <v>368</v>
      </c>
      <c r="M696" s="1" t="s">
        <v>865</v>
      </c>
      <c r="N696" s="1" t="e">
        <v>#N/A</v>
      </c>
      <c r="O696" s="15" t="s">
        <v>40</v>
      </c>
      <c r="P696" s="15" t="s">
        <v>41</v>
      </c>
      <c r="Q696" s="1" t="s">
        <v>35</v>
      </c>
      <c r="R696" s="2" t="s">
        <v>1603</v>
      </c>
      <c r="S696" s="1" t="s">
        <v>46</v>
      </c>
      <c r="T696" s="1" t="s">
        <v>635</v>
      </c>
      <c r="U696" s="1" t="s">
        <v>636</v>
      </c>
      <c r="V696" s="1" t="s">
        <v>45</v>
      </c>
      <c r="W696" s="1"/>
      <c r="X696" s="1"/>
      <c r="Y696" s="1"/>
      <c r="Z696" s="1" t="s">
        <v>637</v>
      </c>
      <c r="AA696" s="1" t="s">
        <v>1604</v>
      </c>
      <c r="AB696" s="1" t="s">
        <v>1605</v>
      </c>
      <c r="AC696" s="1" t="s">
        <v>46</v>
      </c>
      <c r="AD696" s="1" t="s">
        <v>1606</v>
      </c>
      <c r="AE696" s="1" t="s">
        <v>641</v>
      </c>
      <c r="AF696" s="1" t="s">
        <v>190</v>
      </c>
      <c r="AG696" s="1">
        <v>6</v>
      </c>
      <c r="AH696" s="1" t="s">
        <v>190</v>
      </c>
      <c r="AI696" s="1" t="s">
        <v>46</v>
      </c>
      <c r="AJ696" s="3">
        <v>43162.612303240741</v>
      </c>
      <c r="AK696" s="1" t="s">
        <v>1607</v>
      </c>
    </row>
    <row r="697" spans="1:37">
      <c r="A697" s="1" t="str">
        <f>VLOOKUP(H697,Languages!$A$2:$B$430,2,FALSE)</f>
        <v>Cariban</v>
      </c>
      <c r="B697" s="1" t="s">
        <v>1726</v>
      </c>
      <c r="C697" s="1" t="s">
        <v>477</v>
      </c>
      <c r="D697" s="1" t="s">
        <v>1731</v>
      </c>
      <c r="E697" s="15" t="s">
        <v>1732</v>
      </c>
      <c r="F697" s="15" t="s">
        <v>1732</v>
      </c>
      <c r="G697" s="1" t="s">
        <v>1732</v>
      </c>
      <c r="H697" s="1" t="str">
        <f>VLOOKUP(G697,'languoid 4.0'!$A$1:$I$24439,2,FALSE)</f>
        <v>cari1283</v>
      </c>
      <c r="I697" s="1" t="str">
        <f>VLOOKUP(G697,'languoid 4.0'!$A$1:$I$24439,6,FALSE)</f>
        <v>language</v>
      </c>
      <c r="J697" s="15" t="s">
        <v>38</v>
      </c>
      <c r="K697" s="15" t="s">
        <v>38</v>
      </c>
      <c r="L697" s="15" t="s">
        <v>38</v>
      </c>
      <c r="M697" s="1"/>
      <c r="N697" s="1" t="s">
        <v>1733</v>
      </c>
      <c r="O697" s="15" t="s">
        <v>40</v>
      </c>
      <c r="P697" s="15" t="s">
        <v>41</v>
      </c>
      <c r="Q697" s="1" t="s">
        <v>1734</v>
      </c>
      <c r="R697" s="2" t="s">
        <v>1735</v>
      </c>
      <c r="S697" s="1" t="s">
        <v>46</v>
      </c>
      <c r="T697" s="1" t="s">
        <v>635</v>
      </c>
      <c r="U697" s="1" t="s">
        <v>636</v>
      </c>
      <c r="V697" s="1" t="s">
        <v>45</v>
      </c>
      <c r="W697" s="1"/>
      <c r="X697" s="1"/>
      <c r="Y697" s="1"/>
      <c r="Z697" s="1" t="s">
        <v>637</v>
      </c>
      <c r="AA697" s="1" t="s">
        <v>1736</v>
      </c>
      <c r="AB697" s="1" t="s">
        <v>1737</v>
      </c>
      <c r="AC697" s="1" t="s">
        <v>46</v>
      </c>
      <c r="AD697" s="1"/>
      <c r="AE697" s="1" t="s">
        <v>641</v>
      </c>
      <c r="AF697" s="1" t="s">
        <v>190</v>
      </c>
      <c r="AG697" s="1">
        <v>4</v>
      </c>
      <c r="AH697" s="1" t="s">
        <v>190</v>
      </c>
      <c r="AI697" s="1"/>
      <c r="AJ697" s="3">
        <v>43346.597407407404</v>
      </c>
      <c r="AK697" s="1" t="s">
        <v>651</v>
      </c>
    </row>
    <row r="698" spans="1:37">
      <c r="A698" s="1" t="str">
        <f>VLOOKUP(H698,Languages!$A$2:$B$430,2,FALSE)</f>
        <v>Cariban</v>
      </c>
      <c r="B698" s="1" t="s">
        <v>1726</v>
      </c>
      <c r="C698" s="1" t="s">
        <v>477</v>
      </c>
      <c r="D698" s="1" t="s">
        <v>1731</v>
      </c>
      <c r="E698" s="15" t="s">
        <v>1732</v>
      </c>
      <c r="F698" s="15" t="s">
        <v>552</v>
      </c>
      <c r="G698" s="1" t="s">
        <v>1732</v>
      </c>
      <c r="H698" s="1" t="str">
        <f>VLOOKUP(G698,'languoid 4.0'!$A$1:$I$24439,2,FALSE)</f>
        <v>cari1283</v>
      </c>
      <c r="I698" s="1" t="str">
        <f>VLOOKUP(G698,'languoid 4.0'!$A$1:$I$24439,6,FALSE)</f>
        <v>language</v>
      </c>
      <c r="J698" s="15" t="s">
        <v>52</v>
      </c>
      <c r="K698" s="15" t="s">
        <v>52</v>
      </c>
      <c r="L698" s="15" t="s">
        <v>52</v>
      </c>
      <c r="M698" s="1"/>
      <c r="N698" s="1" t="s">
        <v>1733</v>
      </c>
      <c r="O698" s="15" t="s">
        <v>40</v>
      </c>
      <c r="P698" s="15" t="s">
        <v>41</v>
      </c>
      <c r="Q698" s="1" t="s">
        <v>2465</v>
      </c>
      <c r="R698" s="2" t="s">
        <v>2466</v>
      </c>
      <c r="S698" s="1">
        <v>299</v>
      </c>
      <c r="T698" s="1" t="s">
        <v>1689</v>
      </c>
      <c r="U698" s="1" t="s">
        <v>636</v>
      </c>
      <c r="V698" s="1" t="s">
        <v>45</v>
      </c>
      <c r="W698" s="1"/>
      <c r="X698" s="1"/>
      <c r="Y698" s="1"/>
      <c r="Z698" s="1" t="s">
        <v>658</v>
      </c>
      <c r="AA698" s="1" t="s">
        <v>2467</v>
      </c>
      <c r="AB698" s="1" t="s">
        <v>46</v>
      </c>
      <c r="AC698" s="1" t="s">
        <v>46</v>
      </c>
      <c r="AD698" s="1"/>
      <c r="AE698" s="1" t="s">
        <v>641</v>
      </c>
      <c r="AF698" s="1" t="s">
        <v>45</v>
      </c>
      <c r="AG698" s="1">
        <v>1</v>
      </c>
      <c r="AH698" s="1" t="s">
        <v>190</v>
      </c>
      <c r="AI698" s="1"/>
      <c r="AJ698" s="1" t="s">
        <v>2468</v>
      </c>
      <c r="AK698" s="1" t="s">
        <v>651</v>
      </c>
    </row>
    <row r="699" spans="1:37">
      <c r="A699" s="1" t="str">
        <f>VLOOKUP(H699,Languages!$A$2:$B$430,2,FALSE)</f>
        <v>Cariban</v>
      </c>
      <c r="B699" s="1" t="s">
        <v>1726</v>
      </c>
      <c r="C699" s="1" t="s">
        <v>477</v>
      </c>
      <c r="D699" s="1" t="s">
        <v>3310</v>
      </c>
      <c r="E699" s="15" t="s">
        <v>3311</v>
      </c>
      <c r="F699" s="15" t="s">
        <v>51</v>
      </c>
      <c r="G699" s="1" t="s">
        <v>287</v>
      </c>
      <c r="H699" s="1" t="str">
        <f>VLOOKUP(G699,'languoid 4.0'!$A$1:$I$24439,2,FALSE)</f>
        <v>cari1283</v>
      </c>
      <c r="I699" s="1" t="str">
        <f>VLOOKUP(G699,'languoid 4.0'!$A$1:$I$24439,6,FALSE)</f>
        <v>language</v>
      </c>
      <c r="J699" s="15" t="s">
        <v>52</v>
      </c>
      <c r="K699" s="15" t="s">
        <v>51</v>
      </c>
      <c r="L699" s="15" t="s">
        <v>51</v>
      </c>
      <c r="M699" s="1"/>
      <c r="N699" s="1"/>
      <c r="O699" s="15" t="s">
        <v>113</v>
      </c>
      <c r="P699" s="15" t="s">
        <v>41</v>
      </c>
      <c r="Q699" s="1" t="s">
        <v>3312</v>
      </c>
      <c r="R699" s="2" t="s">
        <v>3313</v>
      </c>
      <c r="S699" s="1" t="s">
        <v>351</v>
      </c>
      <c r="T699" s="1" t="s">
        <v>3307</v>
      </c>
      <c r="U699" s="1" t="s">
        <v>636</v>
      </c>
      <c r="V699" s="1" t="s">
        <v>45</v>
      </c>
      <c r="W699" s="1"/>
      <c r="X699" s="1"/>
      <c r="Y699" s="1"/>
      <c r="Z699" s="1" t="s">
        <v>637</v>
      </c>
      <c r="AA699" s="1" t="s">
        <v>3314</v>
      </c>
      <c r="AB699" s="1" t="s">
        <v>3315</v>
      </c>
      <c r="AC699" s="1" t="s">
        <v>3316</v>
      </c>
      <c r="AD699" s="1"/>
      <c r="AE699" s="1" t="s">
        <v>641</v>
      </c>
      <c r="AF699" s="1" t="s">
        <v>190</v>
      </c>
      <c r="AG699" s="1">
        <v>4</v>
      </c>
      <c r="AH699" s="1" t="s">
        <v>190</v>
      </c>
      <c r="AI699" s="1"/>
      <c r="AJ699" s="1" t="s">
        <v>3317</v>
      </c>
      <c r="AK699" s="1" t="s">
        <v>651</v>
      </c>
    </row>
    <row r="700" spans="1:37">
      <c r="A700" s="1" t="str">
        <f>VLOOKUP(H700,Languages!$A$2:$B$430,2,FALSE)</f>
        <v>Cariban</v>
      </c>
      <c r="B700" s="1" t="s">
        <v>1750</v>
      </c>
      <c r="C700" s="1" t="s">
        <v>407</v>
      </c>
      <c r="D700" s="1" t="s">
        <v>11517</v>
      </c>
      <c r="E700" s="15" t="s">
        <v>1732</v>
      </c>
      <c r="F700" s="15" t="s">
        <v>1732</v>
      </c>
      <c r="G700" s="1" t="s">
        <v>1732</v>
      </c>
      <c r="H700" s="1" t="str">
        <f>VLOOKUP(G700,'languoid 4.0'!$A$1:$I$24439,2,FALSE)</f>
        <v>cari1283</v>
      </c>
      <c r="I700" s="1" t="str">
        <f>VLOOKUP(G700,'languoid 4.0'!$A$1:$I$24439,6,FALSE)</f>
        <v>language</v>
      </c>
      <c r="J700" s="15" t="s">
        <v>38</v>
      </c>
      <c r="K700" s="15" t="s">
        <v>38</v>
      </c>
      <c r="L700" s="15" t="s">
        <v>38</v>
      </c>
      <c r="M700" s="1"/>
      <c r="N700" s="1" t="s">
        <v>1733</v>
      </c>
      <c r="O700" s="15" t="s">
        <v>40</v>
      </c>
      <c r="P700" s="15" t="s">
        <v>41</v>
      </c>
      <c r="Q700" s="1" t="s">
        <v>11539</v>
      </c>
      <c r="R700" s="2" t="s">
        <v>11540</v>
      </c>
      <c r="S700" s="1" t="s">
        <v>46</v>
      </c>
      <c r="T700" s="1" t="s">
        <v>1689</v>
      </c>
      <c r="U700" s="1" t="s">
        <v>636</v>
      </c>
      <c r="V700" s="1" t="s">
        <v>45</v>
      </c>
      <c r="W700" s="1"/>
      <c r="X700" s="1"/>
      <c r="Y700" s="1"/>
      <c r="Z700" s="1" t="s">
        <v>658</v>
      </c>
      <c r="AA700" s="1" t="s">
        <v>11541</v>
      </c>
      <c r="AB700" s="1" t="s">
        <v>46</v>
      </c>
      <c r="AC700" s="1" t="s">
        <v>46</v>
      </c>
      <c r="AD700" s="1"/>
      <c r="AE700" s="1" t="s">
        <v>641</v>
      </c>
      <c r="AF700" s="1" t="s">
        <v>190</v>
      </c>
      <c r="AG700" s="1">
        <v>2</v>
      </c>
      <c r="AH700" s="1" t="s">
        <v>190</v>
      </c>
      <c r="AI700" s="1"/>
      <c r="AJ700" s="3">
        <v>43525.920046296298</v>
      </c>
      <c r="AK700" s="1" t="s">
        <v>10927</v>
      </c>
    </row>
    <row r="701" spans="1:37">
      <c r="A701" s="1" t="str">
        <f>VLOOKUP(H701,Languages!$A$2:$B$430,2,FALSE)</f>
        <v>Cariban</v>
      </c>
      <c r="B701" s="1" t="s">
        <v>1750</v>
      </c>
      <c r="C701" s="1" t="s">
        <v>407</v>
      </c>
      <c r="D701" s="1" t="s">
        <v>1731</v>
      </c>
      <c r="E701" s="15" t="s">
        <v>1732</v>
      </c>
      <c r="F701" s="15" t="s">
        <v>1732</v>
      </c>
      <c r="G701" s="1" t="s">
        <v>1732</v>
      </c>
      <c r="H701" s="1" t="str">
        <f>VLOOKUP(G701,'languoid 4.0'!$A$1:$I$24439,2,FALSE)</f>
        <v>cari1283</v>
      </c>
      <c r="I701" s="1" t="str">
        <f>VLOOKUP(G701,'languoid 4.0'!$A$1:$I$24439,6,FALSE)</f>
        <v>language</v>
      </c>
      <c r="J701" s="15" t="s">
        <v>38</v>
      </c>
      <c r="K701" s="15" t="s">
        <v>38</v>
      </c>
      <c r="L701" s="15" t="s">
        <v>38</v>
      </c>
      <c r="M701" s="1"/>
      <c r="N701" s="1" t="s">
        <v>1733</v>
      </c>
      <c r="O701" s="15" t="s">
        <v>40</v>
      </c>
      <c r="P701" s="15" t="s">
        <v>41</v>
      </c>
      <c r="Q701" s="1" t="s">
        <v>11546</v>
      </c>
      <c r="R701" s="2" t="s">
        <v>11547</v>
      </c>
      <c r="S701" s="1" t="s">
        <v>46</v>
      </c>
      <c r="T701" s="1" t="s">
        <v>1689</v>
      </c>
      <c r="U701" s="1" t="s">
        <v>1738</v>
      </c>
      <c r="V701" s="1" t="s">
        <v>45</v>
      </c>
      <c r="W701" s="1"/>
      <c r="X701" s="1"/>
      <c r="Y701" s="1"/>
      <c r="Z701" s="1" t="s">
        <v>673</v>
      </c>
      <c r="AA701" s="1" t="s">
        <v>46</v>
      </c>
      <c r="AB701" s="1" t="s">
        <v>11548</v>
      </c>
      <c r="AC701" s="1" t="s">
        <v>46</v>
      </c>
      <c r="AD701" s="1"/>
      <c r="AE701" s="1" t="s">
        <v>641</v>
      </c>
      <c r="AF701" s="1" t="s">
        <v>190</v>
      </c>
      <c r="AG701" s="1">
        <v>2</v>
      </c>
      <c r="AH701" s="1" t="s">
        <v>190</v>
      </c>
      <c r="AI701" s="1" t="s">
        <v>11549</v>
      </c>
      <c r="AJ701" s="3">
        <v>43525.932268518518</v>
      </c>
      <c r="AK701" s="1" t="s">
        <v>10927</v>
      </c>
    </row>
    <row r="702" spans="1:37">
      <c r="A702" s="1" t="str">
        <f>VLOOKUP(H702,Languages!$A$2:$B$430,2,FALSE)</f>
        <v>Cariban</v>
      </c>
      <c r="B702" s="1" t="s">
        <v>1750</v>
      </c>
      <c r="C702" s="1" t="s">
        <v>407</v>
      </c>
      <c r="D702" s="1" t="s">
        <v>11525</v>
      </c>
      <c r="E702" s="15" t="s">
        <v>1732</v>
      </c>
      <c r="F702" s="15" t="s">
        <v>1732</v>
      </c>
      <c r="G702" s="1" t="s">
        <v>1732</v>
      </c>
      <c r="H702" s="1" t="str">
        <f>VLOOKUP(G702,'languoid 4.0'!$A$1:$I$24439,2,FALSE)</f>
        <v>cari1283</v>
      </c>
      <c r="I702" s="1" t="str">
        <f>VLOOKUP(G702,'languoid 4.0'!$A$1:$I$24439,6,FALSE)</f>
        <v>language</v>
      </c>
      <c r="J702" s="15" t="s">
        <v>38</v>
      </c>
      <c r="K702" s="15" t="s">
        <v>38</v>
      </c>
      <c r="L702" s="15" t="s">
        <v>38</v>
      </c>
      <c r="M702" s="1"/>
      <c r="N702" s="1" t="s">
        <v>1733</v>
      </c>
      <c r="O702" s="15" t="s">
        <v>40</v>
      </c>
      <c r="P702" s="15" t="s">
        <v>41</v>
      </c>
      <c r="Q702" s="1" t="s">
        <v>11550</v>
      </c>
      <c r="R702" s="2" t="s">
        <v>11551</v>
      </c>
      <c r="S702" s="1" t="s">
        <v>46</v>
      </c>
      <c r="T702" s="1" t="s">
        <v>1689</v>
      </c>
      <c r="U702" s="1" t="s">
        <v>636</v>
      </c>
      <c r="V702" s="1" t="s">
        <v>45</v>
      </c>
      <c r="W702" s="1"/>
      <c r="X702" s="1"/>
      <c r="Y702" s="1"/>
      <c r="Z702" s="1" t="s">
        <v>673</v>
      </c>
      <c r="AA702" s="1" t="s">
        <v>46</v>
      </c>
      <c r="AB702" s="1" t="s">
        <v>11552</v>
      </c>
      <c r="AC702" s="1" t="s">
        <v>46</v>
      </c>
      <c r="AD702" s="1"/>
      <c r="AE702" s="1" t="s">
        <v>641</v>
      </c>
      <c r="AF702" s="1" t="s">
        <v>190</v>
      </c>
      <c r="AG702" s="1">
        <v>3</v>
      </c>
      <c r="AH702" s="1" t="s">
        <v>190</v>
      </c>
      <c r="AI702" s="1" t="s">
        <v>11553</v>
      </c>
      <c r="AJ702" s="3">
        <v>43525.947071759256</v>
      </c>
      <c r="AK702" s="1" t="s">
        <v>10927</v>
      </c>
    </row>
    <row r="703" spans="1:37">
      <c r="A703" s="1" t="str">
        <f>VLOOKUP(H703,Languages!$A$2:$B$430,2,FALSE)</f>
        <v>Cariban</v>
      </c>
      <c r="B703" s="1" t="s">
        <v>1738</v>
      </c>
      <c r="C703" s="1" t="s">
        <v>419</v>
      </c>
      <c r="D703" s="1" t="s">
        <v>2503</v>
      </c>
      <c r="E703" s="15" t="s">
        <v>2504</v>
      </c>
      <c r="F703" s="15" t="s">
        <v>51</v>
      </c>
      <c r="G703" s="1" t="s">
        <v>2504</v>
      </c>
      <c r="H703" s="1" t="str">
        <f>VLOOKUP(G703,'languoid 4.0'!$A$1:$I$24439,2,FALSE)</f>
        <v>cari1283</v>
      </c>
      <c r="I703" s="1" t="str">
        <f>VLOOKUP(G703,'languoid 4.0'!$A$1:$I$24439,6,FALSE)</f>
        <v>language</v>
      </c>
      <c r="J703" s="15" t="s">
        <v>52</v>
      </c>
      <c r="K703" s="15" t="s">
        <v>51</v>
      </c>
      <c r="L703" s="15" t="s">
        <v>51</v>
      </c>
      <c r="M703" s="1"/>
      <c r="N703" s="1" t="s">
        <v>2505</v>
      </c>
      <c r="O703" s="15" t="s">
        <v>40</v>
      </c>
      <c r="P703" s="15" t="s">
        <v>41</v>
      </c>
      <c r="Q703" s="1" t="s">
        <v>2506</v>
      </c>
      <c r="R703" s="2" t="s">
        <v>2507</v>
      </c>
      <c r="S703" s="1" t="s">
        <v>46</v>
      </c>
      <c r="T703" s="1" t="s">
        <v>635</v>
      </c>
      <c r="U703" s="1" t="s">
        <v>1309</v>
      </c>
      <c r="V703" s="1" t="s">
        <v>45</v>
      </c>
      <c r="W703" s="1"/>
      <c r="X703" s="1"/>
      <c r="Y703" s="1"/>
      <c r="Z703" s="1" t="s">
        <v>658</v>
      </c>
      <c r="AA703" s="1" t="s">
        <v>2508</v>
      </c>
      <c r="AB703" s="1" t="s">
        <v>46</v>
      </c>
      <c r="AC703" s="1" t="s">
        <v>46</v>
      </c>
      <c r="AD703" s="1" t="s">
        <v>46</v>
      </c>
      <c r="AE703" s="1" t="s">
        <v>641</v>
      </c>
      <c r="AF703" s="1" t="s">
        <v>190</v>
      </c>
      <c r="AG703" s="1">
        <v>6</v>
      </c>
      <c r="AH703" s="1" t="s">
        <v>190</v>
      </c>
      <c r="AI703" s="1" t="s">
        <v>46</v>
      </c>
      <c r="AJ703" s="3">
        <v>43135.835381944446</v>
      </c>
      <c r="AK703" s="1" t="s">
        <v>1607</v>
      </c>
    </row>
    <row r="704" spans="1:37">
      <c r="A704" s="1" t="str">
        <f>VLOOKUP(H704,Languages!$A$2:$B$430,2,FALSE)</f>
        <v>Cariban</v>
      </c>
      <c r="B704" s="1" t="s">
        <v>1812</v>
      </c>
      <c r="C704" s="1" t="s">
        <v>477</v>
      </c>
      <c r="D704" s="1" t="s">
        <v>1731</v>
      </c>
      <c r="E704" s="15" t="s">
        <v>1732</v>
      </c>
      <c r="F704" s="15" t="s">
        <v>1732</v>
      </c>
      <c r="G704" s="1" t="s">
        <v>1732</v>
      </c>
      <c r="H704" s="1" t="str">
        <f>VLOOKUP(G704,'languoid 4.0'!$A$1:$I$24439,2,FALSE)</f>
        <v>cari1283</v>
      </c>
      <c r="I704" s="1" t="str">
        <f>VLOOKUP(G704,'languoid 4.0'!$A$1:$I$24439,6,FALSE)</f>
        <v>language</v>
      </c>
      <c r="J704" s="15" t="s">
        <v>38</v>
      </c>
      <c r="K704" s="15" t="s">
        <v>38</v>
      </c>
      <c r="L704" s="15" t="s">
        <v>38</v>
      </c>
      <c r="M704" s="1"/>
      <c r="N704" s="1" t="s">
        <v>1733</v>
      </c>
      <c r="O704" s="15" t="s">
        <v>40</v>
      </c>
      <c r="P704" s="15" t="s">
        <v>41</v>
      </c>
      <c r="Q704" s="1" t="s">
        <v>2440</v>
      </c>
      <c r="R704" s="2" t="s">
        <v>2441</v>
      </c>
      <c r="S704" s="1">
        <v>44</v>
      </c>
      <c r="T704" s="1" t="s">
        <v>1689</v>
      </c>
      <c r="U704" s="1" t="s">
        <v>636</v>
      </c>
      <c r="V704" s="1" t="s">
        <v>45</v>
      </c>
      <c r="W704" s="1"/>
      <c r="X704" s="1"/>
      <c r="Y704" s="1"/>
      <c r="Z704" s="1" t="s">
        <v>658</v>
      </c>
      <c r="AA704" s="1" t="s">
        <v>2442</v>
      </c>
      <c r="AB704" s="1" t="s">
        <v>46</v>
      </c>
      <c r="AC704" s="1" t="s">
        <v>46</v>
      </c>
      <c r="AD704" s="1"/>
      <c r="AE704" s="1" t="s">
        <v>641</v>
      </c>
      <c r="AF704" s="1" t="s">
        <v>45</v>
      </c>
      <c r="AG704" s="1">
        <v>1</v>
      </c>
      <c r="AH704" s="1" t="s">
        <v>190</v>
      </c>
      <c r="AI704" s="1" t="s">
        <v>2412</v>
      </c>
      <c r="AJ704" s="1" t="s">
        <v>2443</v>
      </c>
      <c r="AK704" s="1" t="s">
        <v>651</v>
      </c>
    </row>
    <row r="705" spans="1:37">
      <c r="A705" s="1" t="str">
        <f>VLOOKUP(H705,Languages!$A$2:$B$430,2,FALSE)</f>
        <v>Cariban</v>
      </c>
      <c r="B705" s="1" t="s">
        <v>1812</v>
      </c>
      <c r="C705" s="1" t="s">
        <v>407</v>
      </c>
      <c r="D705" s="1" t="s">
        <v>10928</v>
      </c>
      <c r="E705" s="15" t="s">
        <v>856</v>
      </c>
      <c r="F705" s="15" t="s">
        <v>856</v>
      </c>
      <c r="G705" s="1" t="s">
        <v>10929</v>
      </c>
      <c r="H705" s="1" t="str">
        <f>VLOOKUP(G705,'languoid 4.0'!$A$1:$I$24439,2,FALSE)</f>
        <v>cari1283</v>
      </c>
      <c r="I705" s="1" t="str">
        <f>VLOOKUP(G705,'languoid 4.0'!$A$1:$I$24439,6,FALSE)</f>
        <v>family</v>
      </c>
      <c r="J705" s="15" t="s">
        <v>38</v>
      </c>
      <c r="K705" s="15" t="s">
        <v>38</v>
      </c>
      <c r="L705" s="15" t="s">
        <v>38</v>
      </c>
      <c r="M705" s="1"/>
      <c r="N705" s="1" t="s">
        <v>10930</v>
      </c>
      <c r="O705" s="15" t="s">
        <v>40</v>
      </c>
      <c r="P705" s="15" t="s">
        <v>41</v>
      </c>
      <c r="Q705" s="1" t="s">
        <v>10931</v>
      </c>
      <c r="R705" s="2" t="s">
        <v>10932</v>
      </c>
      <c r="S705" s="1" t="s">
        <v>46</v>
      </c>
      <c r="T705" s="1" t="s">
        <v>2967</v>
      </c>
      <c r="U705" s="1" t="s">
        <v>636</v>
      </c>
      <c r="V705" s="1" t="s">
        <v>45</v>
      </c>
      <c r="W705" s="1"/>
      <c r="X705" s="1"/>
      <c r="Y705" s="1"/>
      <c r="Z705" s="1" t="s">
        <v>658</v>
      </c>
      <c r="AA705" s="1" t="s">
        <v>10933</v>
      </c>
      <c r="AB705" s="1" t="s">
        <v>46</v>
      </c>
      <c r="AC705" s="1" t="s">
        <v>46</v>
      </c>
      <c r="AD705" s="1"/>
      <c r="AE705" s="1" t="s">
        <v>641</v>
      </c>
      <c r="AF705" s="1" t="s">
        <v>190</v>
      </c>
      <c r="AG705" s="1"/>
      <c r="AH705" s="1" t="s">
        <v>45</v>
      </c>
      <c r="AI705" s="1" t="s">
        <v>10934</v>
      </c>
      <c r="AJ705" s="1" t="s">
        <v>10935</v>
      </c>
      <c r="AK705" s="1" t="s">
        <v>10927</v>
      </c>
    </row>
    <row r="706" spans="1:37">
      <c r="A706" s="1" t="str">
        <f>VLOOKUP(H706,Languages!$A$2:$B$430,2,FALSE)</f>
        <v>Central Sudanic</v>
      </c>
      <c r="B706" s="1" t="s">
        <v>67</v>
      </c>
      <c r="C706" s="1" t="s">
        <v>48</v>
      </c>
      <c r="D706" s="1" t="s">
        <v>7072</v>
      </c>
      <c r="E706" s="15" t="s">
        <v>7073</v>
      </c>
      <c r="F706" s="15" t="s">
        <v>7073</v>
      </c>
      <c r="G706" s="1" t="s">
        <v>7073</v>
      </c>
      <c r="H706" s="1" t="str">
        <f>VLOOKUP(G706,'languoid 4.0'!$A$1:$I$24439,2,FALSE)</f>
        <v>cent2225</v>
      </c>
      <c r="I706" s="1" t="str">
        <f>VLOOKUP(G706,'languoid 4.0'!$A$1:$I$24439,6,FALSE)</f>
        <v>language</v>
      </c>
      <c r="J706" s="15" t="s">
        <v>38</v>
      </c>
      <c r="K706" s="15" t="s">
        <v>38</v>
      </c>
      <c r="L706" s="15" t="s">
        <v>38</v>
      </c>
      <c r="M706" s="1"/>
      <c r="N706" s="1" t="s">
        <v>7074</v>
      </c>
      <c r="O706" s="15" t="s">
        <v>40</v>
      </c>
      <c r="P706" s="15" t="s">
        <v>41</v>
      </c>
      <c r="Q706" s="1" t="s">
        <v>4807</v>
      </c>
      <c r="R706" s="2" t="s">
        <v>7075</v>
      </c>
      <c r="S706" s="1" t="s">
        <v>399</v>
      </c>
      <c r="T706" s="1" t="s">
        <v>648</v>
      </c>
      <c r="U706" s="1" t="s">
        <v>636</v>
      </c>
      <c r="V706" s="1" t="s">
        <v>45</v>
      </c>
      <c r="W706" s="1"/>
      <c r="X706" s="1"/>
      <c r="Y706" s="1"/>
      <c r="Z706" s="1" t="s">
        <v>637</v>
      </c>
      <c r="AA706" s="1" t="s">
        <v>7076</v>
      </c>
      <c r="AB706" s="1" t="s">
        <v>7077</v>
      </c>
      <c r="AC706" s="1" t="s">
        <v>46</v>
      </c>
      <c r="AD706" s="1"/>
      <c r="AE706" s="1" t="s">
        <v>641</v>
      </c>
      <c r="AF706" s="1" t="s">
        <v>190</v>
      </c>
      <c r="AG706" s="1">
        <v>1</v>
      </c>
      <c r="AH706" s="1" t="s">
        <v>190</v>
      </c>
      <c r="AI706" s="1"/>
      <c r="AJ706" s="3">
        <v>43198.49046296296</v>
      </c>
      <c r="AK706" s="1" t="s">
        <v>5542</v>
      </c>
    </row>
    <row r="707" spans="1:37">
      <c r="A707" s="1" t="str">
        <f>VLOOKUP(H707,Languages!$A$2:$B$430,2,FALSE)</f>
        <v>Central Sudanic</v>
      </c>
      <c r="B707" s="1" t="s">
        <v>1726</v>
      </c>
      <c r="C707" s="1" t="s">
        <v>48</v>
      </c>
      <c r="D707" s="1" t="s">
        <v>5551</v>
      </c>
      <c r="E707" s="15" t="s">
        <v>5552</v>
      </c>
      <c r="F707" s="15" t="s">
        <v>5552</v>
      </c>
      <c r="G707" s="1" t="s">
        <v>5552</v>
      </c>
      <c r="H707" s="1" t="str">
        <f>VLOOKUP(G707,'languoid 4.0'!$A$1:$I$24439,2,FALSE)</f>
        <v>cent2225</v>
      </c>
      <c r="I707" s="1" t="str">
        <f>VLOOKUP(G707,'languoid 4.0'!$A$1:$I$24439,6,FALSE)</f>
        <v>language</v>
      </c>
      <c r="J707" s="15" t="s">
        <v>38</v>
      </c>
      <c r="K707" s="15" t="s">
        <v>38</v>
      </c>
      <c r="L707" s="15" t="s">
        <v>38</v>
      </c>
      <c r="M707" s="1"/>
      <c r="N707" s="1" t="s">
        <v>5553</v>
      </c>
      <c r="O707" s="15" t="s">
        <v>40</v>
      </c>
      <c r="P707" s="15" t="s">
        <v>41</v>
      </c>
      <c r="Q707" s="1" t="s">
        <v>5554</v>
      </c>
      <c r="R707" s="2" t="s">
        <v>5555</v>
      </c>
      <c r="S707" s="1" t="s">
        <v>46</v>
      </c>
      <c r="T707" s="1" t="s">
        <v>635</v>
      </c>
      <c r="U707" s="1" t="s">
        <v>636</v>
      </c>
      <c r="V707" s="1" t="s">
        <v>45</v>
      </c>
      <c r="W707" s="1"/>
      <c r="X707" s="1"/>
      <c r="Y707" s="1"/>
      <c r="Z707" s="1" t="s">
        <v>637</v>
      </c>
      <c r="AA707" s="1" t="s">
        <v>5556</v>
      </c>
      <c r="AB707" s="1" t="s">
        <v>5557</v>
      </c>
      <c r="AC707" s="1" t="s">
        <v>46</v>
      </c>
      <c r="AD707" s="1"/>
      <c r="AE707" s="1" t="s">
        <v>641</v>
      </c>
      <c r="AF707" s="1" t="s">
        <v>190</v>
      </c>
      <c r="AG707" s="1">
        <v>4</v>
      </c>
      <c r="AH707" s="1" t="s">
        <v>190</v>
      </c>
      <c r="AI707" s="1" t="s">
        <v>5558</v>
      </c>
      <c r="AJ707" s="1" t="s">
        <v>5559</v>
      </c>
      <c r="AK707" s="1" t="s">
        <v>5542</v>
      </c>
    </row>
    <row r="708" spans="1:37">
      <c r="A708" s="1" t="str">
        <f>VLOOKUP(H708,Languages!$A$2:$B$430,2,FALSE)</f>
        <v>Central Sudanic</v>
      </c>
      <c r="B708" s="1" t="s">
        <v>1750</v>
      </c>
      <c r="C708" s="1" t="s">
        <v>48</v>
      </c>
      <c r="D708" s="1" t="s">
        <v>7768</v>
      </c>
      <c r="E708" s="15" t="s">
        <v>51</v>
      </c>
      <c r="F708" s="15" t="s">
        <v>7769</v>
      </c>
      <c r="G708" s="1" t="s">
        <v>7769</v>
      </c>
      <c r="H708" s="1" t="str">
        <f>VLOOKUP(G708,'languoid 4.0'!$A$1:$I$24439,2,FALSE)</f>
        <v>cent2225</v>
      </c>
      <c r="I708" s="1" t="str">
        <f>VLOOKUP(G708,'languoid 4.0'!$A$1:$I$24439,6,FALSE)</f>
        <v>language</v>
      </c>
      <c r="J708" s="15" t="s">
        <v>52</v>
      </c>
      <c r="K708" s="15" t="s">
        <v>51</v>
      </c>
      <c r="L708" s="15" t="s">
        <v>51</v>
      </c>
      <c r="M708" s="1"/>
      <c r="N708" s="1" t="e">
        <v>#N/A</v>
      </c>
      <c r="O708" s="15" t="s">
        <v>690</v>
      </c>
      <c r="P708" s="15"/>
      <c r="Q708" s="1" t="s">
        <v>7770</v>
      </c>
      <c r="R708" s="2" t="s">
        <v>7771</v>
      </c>
      <c r="S708" s="1" t="s">
        <v>600</v>
      </c>
      <c r="T708" s="1" t="s">
        <v>635</v>
      </c>
      <c r="U708" s="1" t="s">
        <v>636</v>
      </c>
      <c r="V708" s="1" t="s">
        <v>45</v>
      </c>
      <c r="W708" s="1"/>
      <c r="X708" s="1"/>
      <c r="Y708" s="1"/>
      <c r="Z708" s="1" t="s">
        <v>637</v>
      </c>
      <c r="AA708" s="1" t="s">
        <v>7772</v>
      </c>
      <c r="AB708" s="1" t="s">
        <v>7773</v>
      </c>
      <c r="AC708" s="1" t="s">
        <v>46</v>
      </c>
      <c r="AD708" s="1"/>
      <c r="AE708" s="1" t="s">
        <v>641</v>
      </c>
      <c r="AF708" s="1" t="s">
        <v>190</v>
      </c>
      <c r="AG708" s="1">
        <v>5</v>
      </c>
      <c r="AH708" s="1" t="s">
        <v>190</v>
      </c>
      <c r="AI708" s="1"/>
      <c r="AJ708" s="1" t="s">
        <v>7774</v>
      </c>
      <c r="AK708" s="1" t="s">
        <v>5542</v>
      </c>
    </row>
    <row r="709" spans="1:37">
      <c r="A709" s="1" t="str">
        <f>VLOOKUP(H709,Languages!$A$2:$B$430,2,FALSE)</f>
        <v>Central Sudanic</v>
      </c>
      <c r="B709" s="1" t="s">
        <v>1812</v>
      </c>
      <c r="C709" s="1" t="s">
        <v>214</v>
      </c>
      <c r="D709" s="1" t="s">
        <v>1880</v>
      </c>
      <c r="E709" s="15" t="s">
        <v>1881</v>
      </c>
      <c r="F709" s="15" t="s">
        <v>1881</v>
      </c>
      <c r="G709" s="1" t="s">
        <v>1881</v>
      </c>
      <c r="H709" s="1" t="str">
        <f>VLOOKUP(G709,'languoid 4.0'!$A$1:$I$24439,2,FALSE)</f>
        <v>cent2225</v>
      </c>
      <c r="I709" s="1" t="str">
        <f>VLOOKUP(G709,'languoid 4.0'!$A$1:$I$24439,6,FALSE)</f>
        <v>language</v>
      </c>
      <c r="J709" s="15" t="s">
        <v>38</v>
      </c>
      <c r="K709" s="15" t="s">
        <v>38</v>
      </c>
      <c r="L709" s="15" t="s">
        <v>38</v>
      </c>
      <c r="M709" s="1"/>
      <c r="N709" s="1" t="s">
        <v>1882</v>
      </c>
      <c r="O709" s="15" t="s">
        <v>40</v>
      </c>
      <c r="P709" s="15" t="s">
        <v>41</v>
      </c>
      <c r="Q709" s="1" t="s">
        <v>1883</v>
      </c>
      <c r="R709" s="2" t="s">
        <v>1884</v>
      </c>
      <c r="S709" s="1" t="s">
        <v>1021</v>
      </c>
      <c r="T709" s="1" t="s">
        <v>822</v>
      </c>
      <c r="U709" s="1" t="s">
        <v>636</v>
      </c>
      <c r="V709" s="1" t="s">
        <v>45</v>
      </c>
      <c r="W709" s="1"/>
      <c r="X709" s="1"/>
      <c r="Y709" s="1"/>
      <c r="Z709" s="1" t="s">
        <v>887</v>
      </c>
      <c r="AA709" s="1" t="s">
        <v>1885</v>
      </c>
      <c r="AB709" s="1" t="s">
        <v>1021</v>
      </c>
      <c r="AC709" s="1" t="s">
        <v>1886</v>
      </c>
      <c r="AD709" s="1" t="s">
        <v>1887</v>
      </c>
      <c r="AE709" s="1" t="s">
        <v>641</v>
      </c>
      <c r="AF709" s="1" t="s">
        <v>190</v>
      </c>
      <c r="AG709" s="1">
        <v>5</v>
      </c>
      <c r="AH709" s="1" t="s">
        <v>190</v>
      </c>
      <c r="AI709" s="1"/>
      <c r="AJ709" s="3">
        <v>43437.514340277776</v>
      </c>
      <c r="AK709" s="1" t="s">
        <v>740</v>
      </c>
    </row>
    <row r="710" spans="1:37">
      <c r="A710" s="1" t="str">
        <f>VLOOKUP(H710,Languages!$A$2:$B$430,2,FALSE)</f>
        <v>Central Sudanic</v>
      </c>
      <c r="B710" s="1" t="s">
        <v>1707</v>
      </c>
      <c r="C710" s="1" t="s">
        <v>48</v>
      </c>
      <c r="D710" s="1" t="s">
        <v>5882</v>
      </c>
      <c r="E710" s="15" t="s">
        <v>5883</v>
      </c>
      <c r="F710" s="15" t="s">
        <v>51</v>
      </c>
      <c r="G710" s="1" t="s">
        <v>5883</v>
      </c>
      <c r="H710" s="1" t="str">
        <f>VLOOKUP(G710,'languoid 4.0'!$A$1:$I$24439,2,FALSE)</f>
        <v>cent2225</v>
      </c>
      <c r="I710" s="1" t="str">
        <f>VLOOKUP(G710,'languoid 4.0'!$A$1:$I$24439,6,FALSE)</f>
        <v>language</v>
      </c>
      <c r="J710" s="15" t="s">
        <v>52</v>
      </c>
      <c r="K710" s="15" t="s">
        <v>51</v>
      </c>
      <c r="L710" s="15" t="s">
        <v>51</v>
      </c>
      <c r="M710" s="1"/>
      <c r="N710" s="1" t="s">
        <v>5884</v>
      </c>
      <c r="O710" s="15" t="s">
        <v>40</v>
      </c>
      <c r="P710" s="15" t="s">
        <v>41</v>
      </c>
      <c r="Q710" s="1" t="s">
        <v>5885</v>
      </c>
      <c r="R710" s="2" t="s">
        <v>5886</v>
      </c>
      <c r="S710" s="1" t="s">
        <v>557</v>
      </c>
      <c r="T710" s="1" t="s">
        <v>635</v>
      </c>
      <c r="U710" s="1" t="s">
        <v>636</v>
      </c>
      <c r="V710" s="1" t="s">
        <v>45</v>
      </c>
      <c r="W710" s="1"/>
      <c r="X710" s="1"/>
      <c r="Y710" s="1"/>
      <c r="Z710" s="1" t="s">
        <v>637</v>
      </c>
      <c r="AA710" s="1" t="s">
        <v>5887</v>
      </c>
      <c r="AB710" s="1" t="s">
        <v>5888</v>
      </c>
      <c r="AC710" s="1" t="s">
        <v>46</v>
      </c>
      <c r="AD710" s="1"/>
      <c r="AE710" s="1" t="s">
        <v>641</v>
      </c>
      <c r="AF710" s="1" t="s">
        <v>190</v>
      </c>
      <c r="AG710" s="1">
        <v>6</v>
      </c>
      <c r="AH710" s="1" t="s">
        <v>190</v>
      </c>
      <c r="AI710" s="1"/>
      <c r="AJ710" s="1" t="s">
        <v>5889</v>
      </c>
      <c r="AK710" s="1" t="s">
        <v>5542</v>
      </c>
    </row>
    <row r="711" spans="1:37">
      <c r="A711" s="1" t="str">
        <f>VLOOKUP(H711,Languages!$A$2:$B$430,2,FALSE)</f>
        <v>Chibchan</v>
      </c>
      <c r="B711" s="1" t="s">
        <v>67</v>
      </c>
      <c r="C711" s="1" t="s">
        <v>154</v>
      </c>
      <c r="D711" s="1" t="s">
        <v>155</v>
      </c>
      <c r="E711" s="15" t="s">
        <v>6391</v>
      </c>
      <c r="F711" s="15" t="s">
        <v>6391</v>
      </c>
      <c r="G711" s="1" t="s">
        <v>6391</v>
      </c>
      <c r="H711" s="1" t="str">
        <f>VLOOKUP(G711,'languoid 4.0'!$A$1:$I$24439,2,FALSE)</f>
        <v>chib1249</v>
      </c>
      <c r="I711" s="1" t="str">
        <f>VLOOKUP(G711,'languoid 4.0'!$A$1:$I$24439,6,FALSE)</f>
        <v>language</v>
      </c>
      <c r="J711" s="15" t="s">
        <v>38</v>
      </c>
      <c r="K711" s="15" t="s">
        <v>38</v>
      </c>
      <c r="L711" s="15" t="s">
        <v>38</v>
      </c>
      <c r="M711" s="1"/>
      <c r="N711" s="1" t="s">
        <v>6392</v>
      </c>
      <c r="O711" s="15" t="s">
        <v>40</v>
      </c>
      <c r="P711" s="15" t="s">
        <v>41</v>
      </c>
      <c r="Q711" s="1" t="s">
        <v>6766</v>
      </c>
      <c r="R711" s="2" t="s">
        <v>6767</v>
      </c>
      <c r="S711" s="1" t="s">
        <v>6768</v>
      </c>
      <c r="T711" s="1" t="s">
        <v>6428</v>
      </c>
      <c r="U711" s="1" t="s">
        <v>636</v>
      </c>
      <c r="V711" s="1" t="s">
        <v>45</v>
      </c>
      <c r="W711" s="1"/>
      <c r="X711" s="1"/>
      <c r="Y711" s="1"/>
      <c r="Z711" s="1" t="s">
        <v>673</v>
      </c>
      <c r="AA711" s="1" t="s">
        <v>46</v>
      </c>
      <c r="AB711" s="1" t="s">
        <v>6769</v>
      </c>
      <c r="AC711" s="1" t="s">
        <v>46</v>
      </c>
      <c r="AD711" s="1"/>
      <c r="AE711" s="1" t="s">
        <v>641</v>
      </c>
      <c r="AF711" s="1" t="s">
        <v>45</v>
      </c>
      <c r="AG711" s="1">
        <v>1</v>
      </c>
      <c r="AH711" s="1" t="s">
        <v>190</v>
      </c>
      <c r="AI711" s="1"/>
      <c r="AJ711" s="1" t="s">
        <v>6770</v>
      </c>
      <c r="AK711" s="1" t="s">
        <v>6365</v>
      </c>
    </row>
    <row r="712" spans="1:37">
      <c r="A712" s="1" t="str">
        <f>VLOOKUP(H712,Languages!$A$2:$B$430,2,FALSE)</f>
        <v>Chibchan</v>
      </c>
      <c r="B712" s="1" t="s">
        <v>67</v>
      </c>
      <c r="C712" s="1" t="s">
        <v>419</v>
      </c>
      <c r="D712" s="1" t="s">
        <v>2486</v>
      </c>
      <c r="E712" s="15" t="s">
        <v>2487</v>
      </c>
      <c r="F712" s="15" t="s">
        <v>156</v>
      </c>
      <c r="G712" s="1" t="s">
        <v>2487</v>
      </c>
      <c r="H712" s="1" t="str">
        <f>VLOOKUP(G712,'languoid 4.0'!$A$1:$I$24439,2,FALSE)</f>
        <v>chib1249</v>
      </c>
      <c r="I712" s="1" t="str">
        <f>VLOOKUP(G712,'languoid 4.0'!$A$1:$I$24439,6,FALSE)</f>
        <v>language</v>
      </c>
      <c r="J712" s="15" t="s">
        <v>52</v>
      </c>
      <c r="K712" s="15" t="s">
        <v>38</v>
      </c>
      <c r="L712" s="15" t="s">
        <v>38</v>
      </c>
      <c r="M712" s="1"/>
      <c r="N712" s="1" t="s">
        <v>2488</v>
      </c>
      <c r="O712" s="15" t="s">
        <v>40</v>
      </c>
      <c r="P712" s="15" t="s">
        <v>41</v>
      </c>
      <c r="Q712" s="1" t="s">
        <v>2495</v>
      </c>
      <c r="R712" s="2" t="s">
        <v>2496</v>
      </c>
      <c r="S712" s="1" t="s">
        <v>46</v>
      </c>
      <c r="T712" s="1" t="s">
        <v>635</v>
      </c>
      <c r="U712" s="1" t="s">
        <v>636</v>
      </c>
      <c r="V712" s="1" t="s">
        <v>45</v>
      </c>
      <c r="W712" s="1"/>
      <c r="X712" s="1"/>
      <c r="Y712" s="1"/>
      <c r="Z712" s="1" t="s">
        <v>637</v>
      </c>
      <c r="AA712" s="1" t="s">
        <v>2497</v>
      </c>
      <c r="AB712" s="1" t="s">
        <v>2498</v>
      </c>
      <c r="AC712" s="1" t="s">
        <v>46</v>
      </c>
      <c r="AD712" s="1" t="s">
        <v>46</v>
      </c>
      <c r="AE712" s="1" t="s">
        <v>641</v>
      </c>
      <c r="AF712" s="1" t="s">
        <v>45</v>
      </c>
      <c r="AG712" s="1">
        <v>1</v>
      </c>
      <c r="AH712" s="1" t="s">
        <v>190</v>
      </c>
      <c r="AI712" s="1" t="s">
        <v>46</v>
      </c>
      <c r="AJ712" s="3">
        <v>43135.826365740744</v>
      </c>
      <c r="AK712" s="1" t="s">
        <v>1607</v>
      </c>
    </row>
    <row r="713" spans="1:37">
      <c r="A713" s="1" t="str">
        <f>VLOOKUP(H713,Languages!$A$2:$B$430,2,FALSE)</f>
        <v>Chibchan</v>
      </c>
      <c r="B713" s="1" t="s">
        <v>67</v>
      </c>
      <c r="C713" s="1" t="s">
        <v>419</v>
      </c>
      <c r="D713" s="1" t="s">
        <v>9294</v>
      </c>
      <c r="E713" s="15" t="s">
        <v>9295</v>
      </c>
      <c r="F713" s="15" t="s">
        <v>9295</v>
      </c>
      <c r="G713" s="1" t="s">
        <v>9295</v>
      </c>
      <c r="H713" s="1" t="str">
        <f>VLOOKUP(G713,'languoid 4.0'!$A$1:$I$24439,2,FALSE)</f>
        <v>chib1249</v>
      </c>
      <c r="I713" s="1" t="str">
        <f>VLOOKUP(G713,'languoid 4.0'!$A$1:$I$24439,6,FALSE)</f>
        <v>language</v>
      </c>
      <c r="J713" s="15" t="s">
        <v>38</v>
      </c>
      <c r="K713" s="15" t="s">
        <v>38</v>
      </c>
      <c r="L713" s="15" t="s">
        <v>38</v>
      </c>
      <c r="M713" s="1"/>
      <c r="N713" s="1" t="s">
        <v>9296</v>
      </c>
      <c r="O713" s="15" t="s">
        <v>40</v>
      </c>
      <c r="P713" s="15" t="s">
        <v>41</v>
      </c>
      <c r="Q713" s="1" t="s">
        <v>9305</v>
      </c>
      <c r="R713" s="2" t="s">
        <v>9298</v>
      </c>
      <c r="S713" s="1" t="s">
        <v>9306</v>
      </c>
      <c r="T713" s="1" t="s">
        <v>657</v>
      </c>
      <c r="U713" s="1" t="s">
        <v>636</v>
      </c>
      <c r="V713" s="1" t="s">
        <v>45</v>
      </c>
      <c r="W713" s="1"/>
      <c r="X713" s="1"/>
      <c r="Y713" s="1"/>
      <c r="Z713" s="1" t="s">
        <v>673</v>
      </c>
      <c r="AA713" s="1" t="s">
        <v>46</v>
      </c>
      <c r="AB713" s="1" t="s">
        <v>9307</v>
      </c>
      <c r="AC713" s="1" t="s">
        <v>46</v>
      </c>
      <c r="AD713" s="1"/>
      <c r="AE713" s="1" t="s">
        <v>641</v>
      </c>
      <c r="AF713" s="1" t="s">
        <v>190</v>
      </c>
      <c r="AG713" s="1">
        <v>4</v>
      </c>
      <c r="AH713" s="1" t="s">
        <v>190</v>
      </c>
      <c r="AI713" s="1" t="s">
        <v>9308</v>
      </c>
      <c r="AJ713" s="1" t="s">
        <v>9309</v>
      </c>
      <c r="AK713" s="1" t="s">
        <v>8989</v>
      </c>
    </row>
    <row r="714" spans="1:37">
      <c r="A714" s="1" t="str">
        <f>VLOOKUP(H714,Languages!$A$2:$B$430,2,FALSE)</f>
        <v>Chibchan</v>
      </c>
      <c r="B714" s="1" t="s">
        <v>59</v>
      </c>
      <c r="C714" s="1" t="s">
        <v>154</v>
      </c>
      <c r="D714" s="1" t="s">
        <v>155</v>
      </c>
      <c r="E714" s="15" t="s">
        <v>156</v>
      </c>
      <c r="F714" s="15" t="s">
        <v>156</v>
      </c>
      <c r="G714" s="1" t="s">
        <v>156</v>
      </c>
      <c r="H714" s="1" t="str">
        <f>VLOOKUP(G714,'languoid 4.0'!$A$1:$I$24439,2,FALSE)</f>
        <v>chib1249</v>
      </c>
      <c r="I714" s="1" t="str">
        <f>VLOOKUP(G714,'languoid 4.0'!$A$1:$I$24439,6,FALSE)</f>
        <v>family</v>
      </c>
      <c r="J714" s="15" t="s">
        <v>38</v>
      </c>
      <c r="K714" s="15" t="s">
        <v>38</v>
      </c>
      <c r="L714" s="15" t="s">
        <v>38</v>
      </c>
      <c r="M714" s="1"/>
      <c r="N714" s="1"/>
      <c r="O714" s="15" t="s">
        <v>113</v>
      </c>
      <c r="P714" s="15" t="s">
        <v>41</v>
      </c>
      <c r="Q714" s="1" t="s">
        <v>283</v>
      </c>
      <c r="R714" s="2" t="s">
        <v>158</v>
      </c>
      <c r="S714" s="1" t="s">
        <v>284</v>
      </c>
      <c r="T714" s="1" t="s">
        <v>44</v>
      </c>
      <c r="U714" s="1"/>
      <c r="V714" s="1" t="s">
        <v>45</v>
      </c>
      <c r="W714" s="1"/>
      <c r="X714" s="1"/>
      <c r="Y714" s="1"/>
      <c r="Z714" s="1"/>
      <c r="AA714" s="1">
        <v>3</v>
      </c>
      <c r="AB714" s="1">
        <v>3</v>
      </c>
      <c r="AC714" s="4">
        <v>43558</v>
      </c>
      <c r="AD714" s="1"/>
      <c r="AE714" s="1"/>
      <c r="AF714" s="1"/>
      <c r="AG714" s="1"/>
      <c r="AH714" s="1"/>
      <c r="AI714" s="1"/>
      <c r="AJ714" s="3">
        <v>43102.739652777775</v>
      </c>
      <c r="AK714" s="1" t="s">
        <v>57</v>
      </c>
    </row>
    <row r="715" spans="1:37">
      <c r="A715" s="1" t="str">
        <f>VLOOKUP(H715,Languages!$A$2:$B$430,2,FALSE)</f>
        <v>Chibchan</v>
      </c>
      <c r="B715" s="1" t="s">
        <v>59</v>
      </c>
      <c r="C715" s="1" t="s">
        <v>154</v>
      </c>
      <c r="D715" s="1" t="s">
        <v>6390</v>
      </c>
      <c r="E715" s="15" t="s">
        <v>6391</v>
      </c>
      <c r="F715" s="15" t="s">
        <v>156</v>
      </c>
      <c r="G715" s="1" t="s">
        <v>6391</v>
      </c>
      <c r="H715" s="1" t="str">
        <f>VLOOKUP(G715,'languoid 4.0'!$A$1:$I$24439,2,FALSE)</f>
        <v>chib1249</v>
      </c>
      <c r="I715" s="1" t="str">
        <f>VLOOKUP(G715,'languoid 4.0'!$A$1:$I$24439,6,FALSE)</f>
        <v>language</v>
      </c>
      <c r="J715" s="15" t="s">
        <v>52</v>
      </c>
      <c r="K715" s="15" t="s">
        <v>38</v>
      </c>
      <c r="L715" s="15" t="s">
        <v>38</v>
      </c>
      <c r="M715" s="1"/>
      <c r="N715" s="1" t="s">
        <v>6392</v>
      </c>
      <c r="O715" s="15" t="s">
        <v>40</v>
      </c>
      <c r="P715" s="15" t="s">
        <v>41</v>
      </c>
      <c r="Q715" s="1" t="s">
        <v>6404</v>
      </c>
      <c r="R715" s="2" t="s">
        <v>6405</v>
      </c>
      <c r="S715" s="1" t="s">
        <v>6369</v>
      </c>
      <c r="T715" s="1" t="s">
        <v>657</v>
      </c>
      <c r="U715" s="1" t="s">
        <v>636</v>
      </c>
      <c r="V715" s="1" t="s">
        <v>45</v>
      </c>
      <c r="W715" s="1"/>
      <c r="X715" s="1"/>
      <c r="Y715" s="1"/>
      <c r="Z715" s="1" t="s">
        <v>658</v>
      </c>
      <c r="AA715" s="1" t="s">
        <v>6406</v>
      </c>
      <c r="AB715" s="1" t="s">
        <v>46</v>
      </c>
      <c r="AC715" s="1" t="s">
        <v>46</v>
      </c>
      <c r="AD715" s="1"/>
      <c r="AE715" s="1" t="s">
        <v>641</v>
      </c>
      <c r="AF715" s="1" t="s">
        <v>190</v>
      </c>
      <c r="AG715" s="1">
        <v>6</v>
      </c>
      <c r="AH715" s="1" t="s">
        <v>190</v>
      </c>
      <c r="AI715" s="1"/>
      <c r="AJ715" s="3">
        <v>43319.638668981483</v>
      </c>
      <c r="AK715" s="1" t="s">
        <v>6365</v>
      </c>
    </row>
    <row r="716" spans="1:37">
      <c r="A716" s="1" t="str">
        <f>VLOOKUP(H716,Languages!$A$2:$B$430,2,FALSE)</f>
        <v>Chibchan</v>
      </c>
      <c r="B716" s="1" t="s">
        <v>59</v>
      </c>
      <c r="C716" s="1" t="s">
        <v>154</v>
      </c>
      <c r="D716" s="1" t="s">
        <v>155</v>
      </c>
      <c r="E716" s="15" t="s">
        <v>6391</v>
      </c>
      <c r="F716" s="15" t="s">
        <v>6391</v>
      </c>
      <c r="G716" s="1" t="s">
        <v>6391</v>
      </c>
      <c r="H716" s="1" t="str">
        <f>VLOOKUP(G716,'languoid 4.0'!$A$1:$I$24439,2,FALSE)</f>
        <v>chib1249</v>
      </c>
      <c r="I716" s="1" t="str">
        <f>VLOOKUP(G716,'languoid 4.0'!$A$1:$I$24439,6,FALSE)</f>
        <v>language</v>
      </c>
      <c r="J716" s="15" t="s">
        <v>38</v>
      </c>
      <c r="K716" s="15" t="s">
        <v>38</v>
      </c>
      <c r="L716" s="15" t="s">
        <v>38</v>
      </c>
      <c r="M716" s="1"/>
      <c r="N716" s="1" t="s">
        <v>6392</v>
      </c>
      <c r="O716" s="15" t="s">
        <v>40</v>
      </c>
      <c r="P716" s="15" t="s">
        <v>41</v>
      </c>
      <c r="Q716" s="1" t="s">
        <v>6404</v>
      </c>
      <c r="R716" s="2" t="s">
        <v>6767</v>
      </c>
      <c r="S716" s="1" t="s">
        <v>6369</v>
      </c>
      <c r="T716" s="1" t="s">
        <v>6428</v>
      </c>
      <c r="U716" s="1" t="s">
        <v>4876</v>
      </c>
      <c r="V716" s="1" t="s">
        <v>45</v>
      </c>
      <c r="W716" s="1"/>
      <c r="X716" s="1"/>
      <c r="Y716" s="1"/>
      <c r="Z716" s="1" t="s">
        <v>823</v>
      </c>
      <c r="AA716" s="1" t="s">
        <v>6771</v>
      </c>
      <c r="AB716" s="1" t="s">
        <v>6772</v>
      </c>
      <c r="AC716" s="1" t="s">
        <v>6773</v>
      </c>
      <c r="AD716" s="1"/>
      <c r="AE716" s="1" t="s">
        <v>641</v>
      </c>
      <c r="AF716" s="1" t="s">
        <v>190</v>
      </c>
      <c r="AG716" s="1">
        <v>6</v>
      </c>
      <c r="AH716" s="1" t="s">
        <v>190</v>
      </c>
      <c r="AI716" s="1"/>
      <c r="AJ716" s="1" t="s">
        <v>6774</v>
      </c>
      <c r="AK716" s="1" t="s">
        <v>6365</v>
      </c>
    </row>
    <row r="717" spans="1:37">
      <c r="A717" s="1" t="str">
        <f>VLOOKUP(H717,Languages!$A$2:$B$430,2,FALSE)</f>
        <v>Chibchan</v>
      </c>
      <c r="B717" s="1" t="s">
        <v>59</v>
      </c>
      <c r="C717" s="1" t="s">
        <v>419</v>
      </c>
      <c r="D717" s="1" t="s">
        <v>420</v>
      </c>
      <c r="E717" s="15" t="s">
        <v>421</v>
      </c>
      <c r="F717" s="15" t="s">
        <v>422</v>
      </c>
      <c r="G717" s="1" t="s">
        <v>421</v>
      </c>
      <c r="H717" s="1" t="str">
        <f>VLOOKUP(G717,'languoid 4.0'!$A$1:$I$24439,2,FALSE)</f>
        <v>chib1249</v>
      </c>
      <c r="I717" s="1" t="str">
        <f>VLOOKUP(G717,'languoid 4.0'!$A$1:$I$24439,6,FALSE)</f>
        <v>language</v>
      </c>
      <c r="J717" s="15" t="s">
        <v>52</v>
      </c>
      <c r="K717" s="15" t="s">
        <v>368</v>
      </c>
      <c r="L717" s="15" t="s">
        <v>368</v>
      </c>
      <c r="M717" s="1" t="s">
        <v>423</v>
      </c>
      <c r="N717" s="1" t="s">
        <v>424</v>
      </c>
      <c r="O717" s="15" t="s">
        <v>40</v>
      </c>
      <c r="P717" s="15" t="s">
        <v>41</v>
      </c>
      <c r="Q717" s="1" t="s">
        <v>425</v>
      </c>
      <c r="R717" s="2" t="s">
        <v>426</v>
      </c>
      <c r="S717" s="1" t="s">
        <v>427</v>
      </c>
      <c r="T717" s="1" t="s">
        <v>44</v>
      </c>
      <c r="U717" s="1"/>
      <c r="V717" s="1" t="s">
        <v>45</v>
      </c>
      <c r="W717" s="1"/>
      <c r="X717" s="1"/>
      <c r="Y717" s="1"/>
      <c r="Z717" s="1"/>
      <c r="AA717" s="1">
        <v>2</v>
      </c>
      <c r="AB717" s="1" t="s">
        <v>46</v>
      </c>
      <c r="AC717" s="1" t="s">
        <v>46</v>
      </c>
      <c r="AD717" s="1"/>
      <c r="AE717" s="1"/>
      <c r="AF717" s="1"/>
      <c r="AG717" s="1"/>
      <c r="AH717" s="1"/>
      <c r="AI717" s="1"/>
      <c r="AJ717" s="3">
        <v>43102.748113425929</v>
      </c>
      <c r="AK717" s="1" t="s">
        <v>74</v>
      </c>
    </row>
    <row r="718" spans="1:37">
      <c r="A718" s="1" t="str">
        <f>VLOOKUP(H718,Languages!$A$2:$B$430,2,FALSE)</f>
        <v>Chibchan</v>
      </c>
      <c r="B718" s="1" t="s">
        <v>59</v>
      </c>
      <c r="C718" s="1" t="s">
        <v>419</v>
      </c>
      <c r="D718" s="1" t="s">
        <v>2486</v>
      </c>
      <c r="E718" s="15" t="s">
        <v>2487</v>
      </c>
      <c r="F718" s="15" t="s">
        <v>156</v>
      </c>
      <c r="G718" s="1" t="s">
        <v>2487</v>
      </c>
      <c r="H718" s="1" t="str">
        <f>VLOOKUP(G718,'languoid 4.0'!$A$1:$I$24439,2,FALSE)</f>
        <v>chib1249</v>
      </c>
      <c r="I718" s="1" t="str">
        <f>VLOOKUP(G718,'languoid 4.0'!$A$1:$I$24439,6,FALSE)</f>
        <v>language</v>
      </c>
      <c r="J718" s="15" t="s">
        <v>52</v>
      </c>
      <c r="K718" s="15" t="s">
        <v>38</v>
      </c>
      <c r="L718" s="15" t="s">
        <v>38</v>
      </c>
      <c r="M718" s="1"/>
      <c r="N718" s="1" t="s">
        <v>2488</v>
      </c>
      <c r="O718" s="15" t="s">
        <v>40</v>
      </c>
      <c r="P718" s="15" t="s">
        <v>41</v>
      </c>
      <c r="Q718" s="1" t="s">
        <v>2489</v>
      </c>
      <c r="R718" s="2" t="s">
        <v>2490</v>
      </c>
      <c r="S718" s="1" t="s">
        <v>46</v>
      </c>
      <c r="T718" s="1" t="s">
        <v>635</v>
      </c>
      <c r="U718" s="1" t="s">
        <v>636</v>
      </c>
      <c r="V718" s="1" t="s">
        <v>45</v>
      </c>
      <c r="W718" s="1"/>
      <c r="X718" s="1"/>
      <c r="Y718" s="1"/>
      <c r="Z718" s="1" t="s">
        <v>637</v>
      </c>
      <c r="AA718" s="1" t="s">
        <v>2491</v>
      </c>
      <c r="AB718" s="1" t="s">
        <v>46</v>
      </c>
      <c r="AC718" s="1" t="s">
        <v>46</v>
      </c>
      <c r="AD718" s="1" t="s">
        <v>46</v>
      </c>
      <c r="AE718" s="1" t="s">
        <v>641</v>
      </c>
      <c r="AF718" s="1" t="s">
        <v>190</v>
      </c>
      <c r="AG718" s="1">
        <v>6</v>
      </c>
      <c r="AH718" s="1" t="s">
        <v>190</v>
      </c>
      <c r="AI718" s="1" t="s">
        <v>46</v>
      </c>
      <c r="AJ718" s="3">
        <v>43135.817662037036</v>
      </c>
      <c r="AK718" s="1" t="s">
        <v>1607</v>
      </c>
    </row>
    <row r="719" spans="1:37">
      <c r="A719" s="1" t="str">
        <f>VLOOKUP(H719,Languages!$A$2:$B$430,2,FALSE)</f>
        <v>Chibchan</v>
      </c>
      <c r="B719" s="1" t="s">
        <v>59</v>
      </c>
      <c r="C719" s="1" t="s">
        <v>419</v>
      </c>
      <c r="D719" s="1" t="s">
        <v>9294</v>
      </c>
      <c r="E719" s="15" t="s">
        <v>9295</v>
      </c>
      <c r="F719" s="15" t="s">
        <v>9295</v>
      </c>
      <c r="G719" s="1" t="s">
        <v>9295</v>
      </c>
      <c r="H719" s="1" t="str">
        <f>VLOOKUP(G719,'languoid 4.0'!$A$1:$I$24439,2,FALSE)</f>
        <v>chib1249</v>
      </c>
      <c r="I719" s="1" t="str">
        <f>VLOOKUP(G719,'languoid 4.0'!$A$1:$I$24439,6,FALSE)</f>
        <v>language</v>
      </c>
      <c r="J719" s="15" t="s">
        <v>38</v>
      </c>
      <c r="K719" s="15" t="s">
        <v>38</v>
      </c>
      <c r="L719" s="15" t="s">
        <v>38</v>
      </c>
      <c r="M719" s="1"/>
      <c r="N719" s="1" t="s">
        <v>9296</v>
      </c>
      <c r="O719" s="15" t="s">
        <v>40</v>
      </c>
      <c r="P719" s="15" t="s">
        <v>41</v>
      </c>
      <c r="Q719" s="1" t="s">
        <v>9297</v>
      </c>
      <c r="R719" s="2" t="s">
        <v>9298</v>
      </c>
      <c r="S719" s="1" t="s">
        <v>9299</v>
      </c>
      <c r="T719" s="1" t="s">
        <v>657</v>
      </c>
      <c r="U719" s="1" t="s">
        <v>636</v>
      </c>
      <c r="V719" s="1" t="s">
        <v>45</v>
      </c>
      <c r="W719" s="1"/>
      <c r="X719" s="1"/>
      <c r="Y719" s="1"/>
      <c r="Z719" s="1" t="s">
        <v>673</v>
      </c>
      <c r="AA719" s="1" t="s">
        <v>9300</v>
      </c>
      <c r="AB719" s="1" t="s">
        <v>9301</v>
      </c>
      <c r="AC719" s="1" t="s">
        <v>46</v>
      </c>
      <c r="AD719" s="1" t="s">
        <v>9302</v>
      </c>
      <c r="AE719" s="1" t="s">
        <v>641</v>
      </c>
      <c r="AF719" s="1" t="s">
        <v>190</v>
      </c>
      <c r="AG719" s="1">
        <v>5</v>
      </c>
      <c r="AH719" s="1" t="s">
        <v>190</v>
      </c>
      <c r="AI719" s="1" t="s">
        <v>9303</v>
      </c>
      <c r="AJ719" s="1" t="s">
        <v>9304</v>
      </c>
      <c r="AK719" s="1" t="s">
        <v>8989</v>
      </c>
    </row>
    <row r="720" spans="1:37">
      <c r="A720" s="1" t="str">
        <f>VLOOKUP(H720,Languages!$A$2:$B$430,2,FALSE)</f>
        <v>Chibchan</v>
      </c>
      <c r="B720" s="1" t="s">
        <v>109</v>
      </c>
      <c r="C720" s="1" t="s">
        <v>419</v>
      </c>
      <c r="D720" s="1" t="s">
        <v>420</v>
      </c>
      <c r="E720" s="15" t="s">
        <v>421</v>
      </c>
      <c r="F720" s="15" t="s">
        <v>51</v>
      </c>
      <c r="G720" s="1" t="s">
        <v>421</v>
      </c>
      <c r="H720" s="1" t="str">
        <f>VLOOKUP(G720,'languoid 4.0'!$A$1:$I$24439,2,FALSE)</f>
        <v>chib1249</v>
      </c>
      <c r="I720" s="1" t="str">
        <f>VLOOKUP(G720,'languoid 4.0'!$A$1:$I$24439,6,FALSE)</f>
        <v>language</v>
      </c>
      <c r="J720" s="15" t="s">
        <v>52</v>
      </c>
      <c r="K720" s="15" t="s">
        <v>51</v>
      </c>
      <c r="L720" s="15" t="s">
        <v>51</v>
      </c>
      <c r="M720" s="1"/>
      <c r="N720" s="1" t="s">
        <v>424</v>
      </c>
      <c r="O720" s="15" t="s">
        <v>40</v>
      </c>
      <c r="P720" s="15" t="s">
        <v>41</v>
      </c>
      <c r="Q720" s="1" t="s">
        <v>2709</v>
      </c>
      <c r="R720" s="2" t="s">
        <v>2710</v>
      </c>
      <c r="S720" s="1" t="s">
        <v>471</v>
      </c>
      <c r="T720" s="1" t="s">
        <v>44</v>
      </c>
      <c r="U720" s="1"/>
      <c r="V720" s="1" t="s">
        <v>45</v>
      </c>
      <c r="W720" s="1"/>
      <c r="X720" s="1"/>
      <c r="Y720" s="1"/>
      <c r="Z720" s="1" t="s">
        <v>823</v>
      </c>
      <c r="AA720" s="1">
        <v>1</v>
      </c>
      <c r="AB720" s="4">
        <v>43558</v>
      </c>
      <c r="AC720" s="1">
        <v>4</v>
      </c>
      <c r="AD720" s="1"/>
      <c r="AE720" s="1"/>
      <c r="AF720" s="1"/>
      <c r="AG720" s="1"/>
      <c r="AH720" s="1"/>
      <c r="AI720" s="1"/>
      <c r="AJ720" s="3">
        <v>43347.782812500001</v>
      </c>
      <c r="AK720" s="1" t="s">
        <v>47</v>
      </c>
    </row>
    <row r="721" spans="1:37">
      <c r="A721" s="1" t="str">
        <f>VLOOKUP(H721,Languages!$A$2:$B$430,2,FALSE)</f>
        <v>Chibchan</v>
      </c>
      <c r="B721" s="1" t="s">
        <v>35</v>
      </c>
      <c r="C721" s="1" t="s">
        <v>154</v>
      </c>
      <c r="D721" s="1" t="s">
        <v>155</v>
      </c>
      <c r="E721" s="15" t="s">
        <v>156</v>
      </c>
      <c r="F721" s="15" t="s">
        <v>156</v>
      </c>
      <c r="G721" s="1" t="s">
        <v>156</v>
      </c>
      <c r="H721" s="1" t="str">
        <f>VLOOKUP(G721,'languoid 4.0'!$A$1:$I$24439,2,FALSE)</f>
        <v>chib1249</v>
      </c>
      <c r="I721" s="1" t="str">
        <f>VLOOKUP(G721,'languoid 4.0'!$A$1:$I$24439,6,FALSE)</f>
        <v>family</v>
      </c>
      <c r="J721" s="15" t="s">
        <v>38</v>
      </c>
      <c r="K721" s="15" t="s">
        <v>38</v>
      </c>
      <c r="L721" s="15" t="s">
        <v>38</v>
      </c>
      <c r="M721" s="1"/>
      <c r="N721" s="1"/>
      <c r="O721" s="15" t="s">
        <v>113</v>
      </c>
      <c r="P721" s="15" t="s">
        <v>41</v>
      </c>
      <c r="Q721" s="1" t="s">
        <v>157</v>
      </c>
      <c r="R721" s="2" t="s">
        <v>158</v>
      </c>
      <c r="S721" s="1" t="s">
        <v>138</v>
      </c>
      <c r="T721" s="1" t="s">
        <v>44</v>
      </c>
      <c r="U721" s="1"/>
      <c r="V721" s="1" t="s">
        <v>45</v>
      </c>
      <c r="W721" s="1"/>
      <c r="X721" s="1"/>
      <c r="Y721" s="1"/>
      <c r="Z721" s="1"/>
      <c r="AA721" s="1">
        <v>3</v>
      </c>
      <c r="AB721" s="4">
        <v>43526</v>
      </c>
      <c r="AC721" s="1">
        <v>3</v>
      </c>
      <c r="AD721" s="1"/>
      <c r="AE721" s="1"/>
      <c r="AF721" s="1"/>
      <c r="AG721" s="1"/>
      <c r="AH721" s="1"/>
      <c r="AI721" s="1"/>
      <c r="AJ721" s="3">
        <v>43102.732083333336</v>
      </c>
      <c r="AK721" s="1" t="s">
        <v>74</v>
      </c>
    </row>
    <row r="722" spans="1:37">
      <c r="A722" s="1" t="str">
        <f>VLOOKUP(H722,Languages!$A$2:$B$430,2,FALSE)</f>
        <v>Chibchan</v>
      </c>
      <c r="B722" s="1" t="s">
        <v>35</v>
      </c>
      <c r="C722" s="1" t="s">
        <v>154</v>
      </c>
      <c r="D722" s="1" t="s">
        <v>6390</v>
      </c>
      <c r="E722" s="15" t="s">
        <v>6391</v>
      </c>
      <c r="F722" s="15" t="s">
        <v>156</v>
      </c>
      <c r="G722" s="1" t="s">
        <v>6391</v>
      </c>
      <c r="H722" s="1" t="str">
        <f>VLOOKUP(G722,'languoid 4.0'!$A$1:$I$24439,2,FALSE)</f>
        <v>chib1249</v>
      </c>
      <c r="I722" s="1" t="str">
        <f>VLOOKUP(G722,'languoid 4.0'!$A$1:$I$24439,6,FALSE)</f>
        <v>language</v>
      </c>
      <c r="J722" s="15" t="s">
        <v>52</v>
      </c>
      <c r="K722" s="15" t="s">
        <v>38</v>
      </c>
      <c r="L722" s="15" t="s">
        <v>38</v>
      </c>
      <c r="M722" s="1"/>
      <c r="N722" s="1" t="s">
        <v>6392</v>
      </c>
      <c r="O722" s="15" t="s">
        <v>40</v>
      </c>
      <c r="P722" s="15" t="s">
        <v>41</v>
      </c>
      <c r="Q722" s="1" t="s">
        <v>6393</v>
      </c>
      <c r="R722" s="2" t="s">
        <v>6394</v>
      </c>
      <c r="S722" s="1" t="s">
        <v>6011</v>
      </c>
      <c r="T722" s="1" t="s">
        <v>657</v>
      </c>
      <c r="U722" s="1" t="s">
        <v>636</v>
      </c>
      <c r="V722" s="1" t="s">
        <v>45</v>
      </c>
      <c r="W722" s="1"/>
      <c r="X722" s="1"/>
      <c r="Y722" s="1"/>
      <c r="Z722" s="1" t="s">
        <v>658</v>
      </c>
      <c r="AA722" s="1" t="s">
        <v>46</v>
      </c>
      <c r="AB722" s="1" t="s">
        <v>46</v>
      </c>
      <c r="AC722" s="1" t="s">
        <v>46</v>
      </c>
      <c r="AD722" s="1"/>
      <c r="AE722" s="1" t="s">
        <v>641</v>
      </c>
      <c r="AF722" s="1" t="s">
        <v>190</v>
      </c>
      <c r="AG722" s="1">
        <v>6</v>
      </c>
      <c r="AH722" s="1" t="s">
        <v>190</v>
      </c>
      <c r="AI722" s="1"/>
      <c r="AJ722" s="3">
        <v>43319.62767361111</v>
      </c>
      <c r="AK722" s="1" t="s">
        <v>6365</v>
      </c>
    </row>
    <row r="723" spans="1:37">
      <c r="A723" s="1" t="str">
        <f>VLOOKUP(H723,Languages!$A$2:$B$430,2,FALSE)</f>
        <v>Chibchan</v>
      </c>
      <c r="B723" s="1" t="s">
        <v>35</v>
      </c>
      <c r="C723" s="1" t="s">
        <v>154</v>
      </c>
      <c r="D723" s="1" t="s">
        <v>6390</v>
      </c>
      <c r="E723" s="15" t="s">
        <v>6391</v>
      </c>
      <c r="F723" s="15" t="s">
        <v>156</v>
      </c>
      <c r="G723" s="1" t="s">
        <v>6391</v>
      </c>
      <c r="H723" s="1" t="str">
        <f>VLOOKUP(G723,'languoid 4.0'!$A$1:$I$24439,2,FALSE)</f>
        <v>chib1249</v>
      </c>
      <c r="I723" s="1" t="str">
        <f>VLOOKUP(G723,'languoid 4.0'!$A$1:$I$24439,6,FALSE)</f>
        <v>language</v>
      </c>
      <c r="J723" s="15" t="s">
        <v>52</v>
      </c>
      <c r="K723" s="15" t="s">
        <v>38</v>
      </c>
      <c r="L723" s="15" t="s">
        <v>38</v>
      </c>
      <c r="M723" s="1"/>
      <c r="N723" s="1" t="s">
        <v>6392</v>
      </c>
      <c r="O723" s="15" t="s">
        <v>40</v>
      </c>
      <c r="P723" s="15" t="s">
        <v>41</v>
      </c>
      <c r="Q723" s="1" t="s">
        <v>6395</v>
      </c>
      <c r="R723" s="2" t="s">
        <v>6396</v>
      </c>
      <c r="S723" s="1" t="s">
        <v>6016</v>
      </c>
      <c r="T723" s="1" t="s">
        <v>657</v>
      </c>
      <c r="U723" s="1" t="s">
        <v>636</v>
      </c>
      <c r="V723" s="1" t="s">
        <v>45</v>
      </c>
      <c r="W723" s="1"/>
      <c r="X723" s="1"/>
      <c r="Y723" s="1"/>
      <c r="Z723" s="1" t="s">
        <v>658</v>
      </c>
      <c r="AA723" s="1" t="s">
        <v>46</v>
      </c>
      <c r="AB723" s="1" t="s">
        <v>46</v>
      </c>
      <c r="AC723" s="1" t="s">
        <v>46</v>
      </c>
      <c r="AD723" s="1"/>
      <c r="AE723" s="1" t="s">
        <v>641</v>
      </c>
      <c r="AF723" s="1" t="s">
        <v>190</v>
      </c>
      <c r="AG723" s="1">
        <v>6</v>
      </c>
      <c r="AH723" s="1" t="s">
        <v>190</v>
      </c>
      <c r="AI723" s="1"/>
      <c r="AJ723" s="3">
        <v>43319.628969907404</v>
      </c>
      <c r="AK723" s="1" t="s">
        <v>6365</v>
      </c>
    </row>
    <row r="724" spans="1:37">
      <c r="A724" s="1" t="str">
        <f>VLOOKUP(H724,Languages!$A$2:$B$430,2,FALSE)</f>
        <v>Chibchan</v>
      </c>
      <c r="B724" s="1" t="s">
        <v>35</v>
      </c>
      <c r="C724" s="1" t="s">
        <v>419</v>
      </c>
      <c r="D724" s="1" t="s">
        <v>2486</v>
      </c>
      <c r="E724" s="15" t="s">
        <v>2487</v>
      </c>
      <c r="F724" s="15" t="s">
        <v>156</v>
      </c>
      <c r="G724" s="1" t="s">
        <v>2487</v>
      </c>
      <c r="H724" s="1" t="str">
        <f>VLOOKUP(G724,'languoid 4.0'!$A$1:$I$24439,2,FALSE)</f>
        <v>chib1249</v>
      </c>
      <c r="I724" s="1" t="str">
        <f>VLOOKUP(G724,'languoid 4.0'!$A$1:$I$24439,6,FALSE)</f>
        <v>language</v>
      </c>
      <c r="J724" s="15" t="s">
        <v>52</v>
      </c>
      <c r="K724" s="15" t="s">
        <v>38</v>
      </c>
      <c r="L724" s="15" t="s">
        <v>38</v>
      </c>
      <c r="M724" s="1"/>
      <c r="N724" s="1" t="s">
        <v>2488</v>
      </c>
      <c r="O724" s="15" t="s">
        <v>40</v>
      </c>
      <c r="P724" s="15" t="s">
        <v>41</v>
      </c>
      <c r="Q724" s="1" t="s">
        <v>35</v>
      </c>
      <c r="R724" s="2" t="s">
        <v>2492</v>
      </c>
      <c r="S724" s="1" t="s">
        <v>46</v>
      </c>
      <c r="T724" s="1" t="s">
        <v>635</v>
      </c>
      <c r="U724" s="1" t="s">
        <v>636</v>
      </c>
      <c r="V724" s="1" t="s">
        <v>45</v>
      </c>
      <c r="W724" s="1"/>
      <c r="X724" s="1"/>
      <c r="Y724" s="1"/>
      <c r="Z724" s="1" t="s">
        <v>637</v>
      </c>
      <c r="AA724" s="1" t="s">
        <v>2493</v>
      </c>
      <c r="AB724" s="1" t="s">
        <v>2494</v>
      </c>
      <c r="AC724" s="1" t="s">
        <v>46</v>
      </c>
      <c r="AD724" s="1" t="s">
        <v>46</v>
      </c>
      <c r="AE724" s="1" t="s">
        <v>641</v>
      </c>
      <c r="AF724" s="1" t="s">
        <v>190</v>
      </c>
      <c r="AG724" s="1">
        <v>5</v>
      </c>
      <c r="AH724" s="1" t="s">
        <v>190</v>
      </c>
      <c r="AI724" s="1" t="s">
        <v>46</v>
      </c>
      <c r="AJ724" s="3">
        <v>43135.821192129632</v>
      </c>
      <c r="AK724" s="1" t="s">
        <v>1607</v>
      </c>
    </row>
    <row r="725" spans="1:37">
      <c r="A725" s="1" t="str">
        <f>VLOOKUP(H725,Languages!$A$2:$B$430,2,FALSE)</f>
        <v>Chicham</v>
      </c>
      <c r="B725" s="1" t="s">
        <v>67</v>
      </c>
      <c r="C725" s="1" t="s">
        <v>139</v>
      </c>
      <c r="D725" s="1" t="s">
        <v>8669</v>
      </c>
      <c r="E725" s="15" t="s">
        <v>8670</v>
      </c>
      <c r="F725" s="15" t="s">
        <v>8671</v>
      </c>
      <c r="G725" s="1" t="s">
        <v>8671</v>
      </c>
      <c r="H725" s="1" t="str">
        <f>VLOOKUP(G725,'languoid 4.0'!$A$1:$I$24439,2,FALSE)</f>
        <v>jiva1245</v>
      </c>
      <c r="I725" s="1" t="str">
        <f>VLOOKUP(G725,'languoid 4.0'!$A$1:$I$24439,6,FALSE)</f>
        <v>language</v>
      </c>
      <c r="J725" s="15" t="s">
        <v>52</v>
      </c>
      <c r="K725" s="15" t="s">
        <v>38</v>
      </c>
      <c r="L725" s="15" t="s">
        <v>38</v>
      </c>
      <c r="M725" s="1"/>
      <c r="N725" s="1"/>
      <c r="O725" s="15" t="s">
        <v>113</v>
      </c>
      <c r="P725" s="15" t="s">
        <v>41</v>
      </c>
      <c r="Q725" s="1" t="s">
        <v>937</v>
      </c>
      <c r="R725" s="2" t="s">
        <v>8672</v>
      </c>
      <c r="S725" s="1" t="s">
        <v>46</v>
      </c>
      <c r="T725" s="1" t="s">
        <v>635</v>
      </c>
      <c r="U725" s="1" t="s">
        <v>8673</v>
      </c>
      <c r="V725" s="1" t="s">
        <v>45</v>
      </c>
      <c r="W725" s="1"/>
      <c r="X725" s="1"/>
      <c r="Y725" s="1"/>
      <c r="Z725" s="1" t="s">
        <v>637</v>
      </c>
      <c r="AA725" s="1" t="s">
        <v>8674</v>
      </c>
      <c r="AB725" s="1" t="s">
        <v>8675</v>
      </c>
      <c r="AC725" s="1" t="s">
        <v>46</v>
      </c>
      <c r="AD725" s="1" t="s">
        <v>46</v>
      </c>
      <c r="AE725" s="1" t="s">
        <v>641</v>
      </c>
      <c r="AF725" s="1" t="s">
        <v>190</v>
      </c>
      <c r="AG725" s="1">
        <v>6</v>
      </c>
      <c r="AH725" s="1" t="s">
        <v>190</v>
      </c>
      <c r="AI725" s="1"/>
      <c r="AJ725" s="3">
        <v>43260.825185185182</v>
      </c>
      <c r="AK725" s="1" t="s">
        <v>8645</v>
      </c>
    </row>
    <row r="726" spans="1:37">
      <c r="A726" s="1" t="str">
        <f>VLOOKUP(H726,Languages!$A$2:$B$430,2,FALSE)</f>
        <v>Chicham</v>
      </c>
      <c r="B726" s="1" t="s">
        <v>59</v>
      </c>
      <c r="C726" s="1" t="s">
        <v>419</v>
      </c>
      <c r="D726" s="1" t="s">
        <v>8669</v>
      </c>
      <c r="E726" s="15" t="s">
        <v>8670</v>
      </c>
      <c r="F726" s="15" t="s">
        <v>8670</v>
      </c>
      <c r="G726" s="1" t="s">
        <v>8670</v>
      </c>
      <c r="H726" s="1" t="str">
        <f>VLOOKUP(G726,'languoid 4.0'!$A$1:$I$24439,2,FALSE)</f>
        <v>jiva1245</v>
      </c>
      <c r="I726" s="1" t="str">
        <f>VLOOKUP(G726,'languoid 4.0'!$A$1:$I$24439,6,FALSE)</f>
        <v>family</v>
      </c>
      <c r="J726" s="15" t="s">
        <v>38</v>
      </c>
      <c r="K726" s="15" t="s">
        <v>38</v>
      </c>
      <c r="L726" s="15" t="s">
        <v>38</v>
      </c>
      <c r="M726" s="1"/>
      <c r="N726" s="1"/>
      <c r="O726" s="15" t="s">
        <v>113</v>
      </c>
      <c r="P726" s="15" t="s">
        <v>41</v>
      </c>
      <c r="Q726" s="1" t="s">
        <v>9396</v>
      </c>
      <c r="R726" s="2" t="s">
        <v>9392</v>
      </c>
      <c r="S726" s="1" t="s">
        <v>9397</v>
      </c>
      <c r="T726" s="1" t="s">
        <v>754</v>
      </c>
      <c r="U726" s="1" t="s">
        <v>636</v>
      </c>
      <c r="V726" s="1" t="s">
        <v>45</v>
      </c>
      <c r="W726" s="1"/>
      <c r="X726" s="1"/>
      <c r="Y726" s="1"/>
      <c r="Z726" s="1" t="s">
        <v>637</v>
      </c>
      <c r="AA726" s="1" t="s">
        <v>9398</v>
      </c>
      <c r="AB726" s="1" t="s">
        <v>9399</v>
      </c>
      <c r="AC726" s="1" t="s">
        <v>46</v>
      </c>
      <c r="AD726" s="1"/>
      <c r="AE726" s="1" t="s">
        <v>641</v>
      </c>
      <c r="AF726" s="1" t="s">
        <v>190</v>
      </c>
      <c r="AG726" s="1">
        <v>5</v>
      </c>
      <c r="AH726" s="1" t="s">
        <v>190</v>
      </c>
      <c r="AI726" s="1"/>
      <c r="AJ726" s="3">
        <v>43141.603506944448</v>
      </c>
      <c r="AK726" s="1" t="s">
        <v>8989</v>
      </c>
    </row>
    <row r="727" spans="1:37">
      <c r="A727" s="1" t="str">
        <f>VLOOKUP(H727,Languages!$A$2:$B$430,2,FALSE)</f>
        <v>Chicham</v>
      </c>
      <c r="B727" s="1" t="s">
        <v>109</v>
      </c>
      <c r="C727" s="1" t="s">
        <v>419</v>
      </c>
      <c r="D727" s="1" t="s">
        <v>8669</v>
      </c>
      <c r="E727" s="15" t="s">
        <v>8670</v>
      </c>
      <c r="F727" s="15" t="s">
        <v>8671</v>
      </c>
      <c r="G727" s="1" t="s">
        <v>8671</v>
      </c>
      <c r="H727" s="1" t="str">
        <f>VLOOKUP(G727,'languoid 4.0'!$A$1:$I$24439,2,FALSE)</f>
        <v>jiva1245</v>
      </c>
      <c r="I727" s="1" t="str">
        <f>VLOOKUP(G727,'languoid 4.0'!$A$1:$I$24439,6,FALSE)</f>
        <v>language</v>
      </c>
      <c r="J727" s="15" t="s">
        <v>52</v>
      </c>
      <c r="K727" s="15" t="s">
        <v>38</v>
      </c>
      <c r="L727" s="15" t="s">
        <v>38</v>
      </c>
      <c r="M727" s="1"/>
      <c r="N727" s="1"/>
      <c r="O727" s="15" t="s">
        <v>113</v>
      </c>
      <c r="P727" s="15" t="s">
        <v>41</v>
      </c>
      <c r="Q727" s="1" t="s">
        <v>8990</v>
      </c>
      <c r="R727" s="2" t="s">
        <v>8991</v>
      </c>
      <c r="S727" s="1" t="s">
        <v>46</v>
      </c>
      <c r="T727" s="1" t="s">
        <v>635</v>
      </c>
      <c r="U727" s="1" t="s">
        <v>636</v>
      </c>
      <c r="V727" s="1" t="s">
        <v>45</v>
      </c>
      <c r="W727" s="1"/>
      <c r="X727" s="1"/>
      <c r="Y727" s="1"/>
      <c r="Z727" s="1" t="s">
        <v>658</v>
      </c>
      <c r="AA727" s="1" t="s">
        <v>8992</v>
      </c>
      <c r="AB727" s="1" t="s">
        <v>46</v>
      </c>
      <c r="AC727" s="1" t="s">
        <v>46</v>
      </c>
      <c r="AD727" s="1"/>
      <c r="AE727" s="1" t="s">
        <v>641</v>
      </c>
      <c r="AF727" s="1" t="s">
        <v>190</v>
      </c>
      <c r="AG727" s="1">
        <v>6</v>
      </c>
      <c r="AH727" s="1" t="s">
        <v>190</v>
      </c>
      <c r="AI727" s="1"/>
      <c r="AJ727" s="1" t="s">
        <v>8993</v>
      </c>
      <c r="AK727" s="1" t="s">
        <v>8989</v>
      </c>
    </row>
    <row r="728" spans="1:37">
      <c r="A728" s="1" t="str">
        <f>VLOOKUP(H728,Languages!$A$2:$B$430,2,FALSE)</f>
        <v>Chicham</v>
      </c>
      <c r="B728" s="1" t="s">
        <v>109</v>
      </c>
      <c r="C728" s="1" t="s">
        <v>419</v>
      </c>
      <c r="D728" s="1" t="s">
        <v>8669</v>
      </c>
      <c r="E728" s="15" t="s">
        <v>8670</v>
      </c>
      <c r="F728" s="15" t="s">
        <v>2995</v>
      </c>
      <c r="G728" s="1" t="s">
        <v>8671</v>
      </c>
      <c r="H728" s="1" t="str">
        <f>VLOOKUP(G728,'languoid 4.0'!$A$1:$I$24439,2,FALSE)</f>
        <v>jiva1245</v>
      </c>
      <c r="I728" s="1" t="str">
        <f>VLOOKUP(G728,'languoid 4.0'!$A$1:$I$24439,6,FALSE)</f>
        <v>language</v>
      </c>
      <c r="J728" s="15" t="s">
        <v>52</v>
      </c>
      <c r="K728" s="15" t="s">
        <v>52</v>
      </c>
      <c r="L728" s="15" t="s">
        <v>52</v>
      </c>
      <c r="M728" s="1"/>
      <c r="N728" s="1"/>
      <c r="O728" s="15" t="s">
        <v>113</v>
      </c>
      <c r="P728" s="15" t="s">
        <v>41</v>
      </c>
      <c r="Q728" s="1" t="s">
        <v>8994</v>
      </c>
      <c r="R728" s="2" t="s">
        <v>8995</v>
      </c>
      <c r="S728" s="1" t="s">
        <v>46</v>
      </c>
      <c r="T728" s="1" t="s">
        <v>635</v>
      </c>
      <c r="U728" s="1" t="s">
        <v>636</v>
      </c>
      <c r="V728" s="1" t="s">
        <v>45</v>
      </c>
      <c r="W728" s="1"/>
      <c r="X728" s="1"/>
      <c r="Y728" s="1"/>
      <c r="Z728" s="1" t="s">
        <v>658</v>
      </c>
      <c r="AA728" s="1" t="s">
        <v>8996</v>
      </c>
      <c r="AB728" s="1" t="s">
        <v>46</v>
      </c>
      <c r="AC728" s="1" t="s">
        <v>46</v>
      </c>
      <c r="AD728" s="1"/>
      <c r="AE728" s="1" t="s">
        <v>641</v>
      </c>
      <c r="AF728" s="1" t="s">
        <v>190</v>
      </c>
      <c r="AG728" s="1">
        <v>6</v>
      </c>
      <c r="AH728" s="1" t="s">
        <v>190</v>
      </c>
      <c r="AI728" s="1"/>
      <c r="AJ728" s="1" t="s">
        <v>8997</v>
      </c>
      <c r="AK728" s="1" t="s">
        <v>8989</v>
      </c>
    </row>
    <row r="729" spans="1:37">
      <c r="A729" s="1" t="str">
        <f>VLOOKUP(H729,Languages!$A$2:$B$430,2,FALSE)</f>
        <v>Chicham</v>
      </c>
      <c r="B729" s="1" t="s">
        <v>35</v>
      </c>
      <c r="C729" s="1" t="s">
        <v>419</v>
      </c>
      <c r="D729" s="1" t="s">
        <v>8669</v>
      </c>
      <c r="E729" s="15" t="s">
        <v>8670</v>
      </c>
      <c r="F729" s="15" t="s">
        <v>8670</v>
      </c>
      <c r="G729" s="1" t="s">
        <v>8670</v>
      </c>
      <c r="H729" s="1" t="str">
        <f>VLOOKUP(G729,'languoid 4.0'!$A$1:$I$24439,2,FALSE)</f>
        <v>jiva1245</v>
      </c>
      <c r="I729" s="1" t="str">
        <f>VLOOKUP(G729,'languoid 4.0'!$A$1:$I$24439,6,FALSE)</f>
        <v>family</v>
      </c>
      <c r="J729" s="15" t="s">
        <v>38</v>
      </c>
      <c r="K729" s="15" t="s">
        <v>38</v>
      </c>
      <c r="L729" s="15" t="s">
        <v>38</v>
      </c>
      <c r="M729" s="1"/>
      <c r="N729" s="1"/>
      <c r="O729" s="15" t="s">
        <v>113</v>
      </c>
      <c r="P729" s="15" t="s">
        <v>41</v>
      </c>
      <c r="Q729" s="1" t="s">
        <v>9391</v>
      </c>
      <c r="R729" s="2" t="s">
        <v>9392</v>
      </c>
      <c r="S729" s="1" t="s">
        <v>9393</v>
      </c>
      <c r="T729" s="1" t="s">
        <v>754</v>
      </c>
      <c r="U729" s="1" t="s">
        <v>636</v>
      </c>
      <c r="V729" s="1" t="s">
        <v>45</v>
      </c>
      <c r="W729" s="1"/>
      <c r="X729" s="1"/>
      <c r="Y729" s="1"/>
      <c r="Z729" s="1" t="s">
        <v>637</v>
      </c>
      <c r="AA729" s="1" t="s">
        <v>9394</v>
      </c>
      <c r="AB729" s="1" t="s">
        <v>9395</v>
      </c>
      <c r="AC729" s="1" t="s">
        <v>46</v>
      </c>
      <c r="AD729" s="1"/>
      <c r="AE729" s="1" t="s">
        <v>641</v>
      </c>
      <c r="AF729" s="1" t="s">
        <v>190</v>
      </c>
      <c r="AG729" s="1">
        <v>6</v>
      </c>
      <c r="AH729" s="1" t="s">
        <v>190</v>
      </c>
      <c r="AI729" s="1"/>
      <c r="AJ729" s="3">
        <v>43141.596932870372</v>
      </c>
      <c r="AK729" s="1" t="s">
        <v>8989</v>
      </c>
    </row>
    <row r="730" spans="1:37">
      <c r="A730" s="1" t="str">
        <f>VLOOKUP(H730,Languages!$A$2:$B$430,2,FALSE)</f>
        <v>Chinookan</v>
      </c>
      <c r="B730" s="1" t="s">
        <v>652</v>
      </c>
      <c r="C730" s="1" t="s">
        <v>431</v>
      </c>
      <c r="D730" s="1" t="s">
        <v>11226</v>
      </c>
      <c r="E730" s="15" t="s">
        <v>11227</v>
      </c>
      <c r="F730" s="15" t="s">
        <v>11228</v>
      </c>
      <c r="G730" s="1" t="s">
        <v>11229</v>
      </c>
      <c r="H730" s="1" t="str">
        <f>VLOOKUP(G730,'languoid 4.0'!$A$1:$I$24439,2,FALSE)</f>
        <v>chin1490</v>
      </c>
      <c r="I730" s="1" t="str">
        <f>VLOOKUP(G730,'languoid 4.0'!$A$1:$I$24439,6,FALSE)</f>
        <v>dialect</v>
      </c>
      <c r="J730" s="15" t="s">
        <v>52</v>
      </c>
      <c r="K730" s="15" t="s">
        <v>52</v>
      </c>
      <c r="L730" s="15" t="s">
        <v>52</v>
      </c>
      <c r="M730" s="1"/>
      <c r="N730" s="1" t="s">
        <v>11230</v>
      </c>
      <c r="O730" s="15" t="s">
        <v>40</v>
      </c>
      <c r="P730" s="15" t="s">
        <v>41</v>
      </c>
      <c r="Q730" s="1" t="s">
        <v>11231</v>
      </c>
      <c r="R730" s="2" t="s">
        <v>11232</v>
      </c>
      <c r="S730" s="1" t="s">
        <v>579</v>
      </c>
      <c r="T730" s="1" t="s">
        <v>657</v>
      </c>
      <c r="U730" s="1" t="s">
        <v>636</v>
      </c>
      <c r="V730" s="1" t="s">
        <v>45</v>
      </c>
      <c r="W730" s="1"/>
      <c r="X730" s="1"/>
      <c r="Y730" s="1"/>
      <c r="Z730" s="1" t="s">
        <v>658</v>
      </c>
      <c r="AA730" s="1" t="s">
        <v>11233</v>
      </c>
      <c r="AB730" s="1" t="s">
        <v>46</v>
      </c>
      <c r="AC730" s="1" t="s">
        <v>46</v>
      </c>
      <c r="AD730" s="1" t="s">
        <v>11234</v>
      </c>
      <c r="AE730" s="1" t="s">
        <v>641</v>
      </c>
      <c r="AF730" s="1" t="s">
        <v>190</v>
      </c>
      <c r="AG730" s="1">
        <v>6</v>
      </c>
      <c r="AH730" s="1" t="s">
        <v>190</v>
      </c>
      <c r="AI730" s="1"/>
      <c r="AJ730" s="1" t="s">
        <v>11235</v>
      </c>
      <c r="AK730" s="1" t="s">
        <v>4975</v>
      </c>
    </row>
    <row r="731" spans="1:37">
      <c r="A731" s="1" t="str">
        <f>VLOOKUP(H731,Languages!$A$2:$B$430,2,FALSE)</f>
        <v>Chocoan</v>
      </c>
      <c r="B731" s="1" t="s">
        <v>67</v>
      </c>
      <c r="C731" s="1" t="s">
        <v>154</v>
      </c>
      <c r="D731" s="1" t="s">
        <v>237</v>
      </c>
      <c r="E731" s="15" t="s">
        <v>238</v>
      </c>
      <c r="F731" s="15" t="s">
        <v>239</v>
      </c>
      <c r="G731" s="1" t="s">
        <v>240</v>
      </c>
      <c r="H731" s="1" t="str">
        <f>VLOOKUP(G731,'languoid 4.0'!$A$1:$I$24439,2,FALSE)</f>
        <v>choc1280</v>
      </c>
      <c r="I731" s="1" t="str">
        <f>VLOOKUP(G731,'languoid 4.0'!$A$1:$I$24439,6,FALSE)</f>
        <v>language</v>
      </c>
      <c r="J731" s="15" t="s">
        <v>52</v>
      </c>
      <c r="K731" s="15" t="s">
        <v>52</v>
      </c>
      <c r="L731" s="15" t="s">
        <v>52</v>
      </c>
      <c r="M731" s="1"/>
      <c r="N731" s="1"/>
      <c r="O731" s="15" t="s">
        <v>113</v>
      </c>
      <c r="P731" s="15" t="s">
        <v>41</v>
      </c>
      <c r="Q731" s="1" t="s">
        <v>241</v>
      </c>
      <c r="R731" s="2" t="s">
        <v>242</v>
      </c>
      <c r="S731" s="1" t="s">
        <v>138</v>
      </c>
      <c r="T731" s="1" t="s">
        <v>44</v>
      </c>
      <c r="U731" s="1"/>
      <c r="V731" s="1" t="s">
        <v>45</v>
      </c>
      <c r="W731" s="1"/>
      <c r="X731" s="1"/>
      <c r="Y731" s="1"/>
      <c r="Z731" s="1"/>
      <c r="AA731" s="1">
        <v>1</v>
      </c>
      <c r="AB731" s="4">
        <v>43558</v>
      </c>
      <c r="AC731" s="1" t="s">
        <v>46</v>
      </c>
      <c r="AD731" s="1"/>
      <c r="AE731" s="1"/>
      <c r="AF731" s="1"/>
      <c r="AG731" s="1"/>
      <c r="AH731" s="1"/>
      <c r="AI731" s="1"/>
      <c r="AJ731" s="3">
        <v>43102.737557870372</v>
      </c>
      <c r="AK731" s="1" t="s">
        <v>47</v>
      </c>
    </row>
    <row r="732" spans="1:37">
      <c r="A732" s="1" t="str">
        <f>VLOOKUP(H732,Languages!$A$2:$B$430,2,FALSE)</f>
        <v>Chocoan</v>
      </c>
      <c r="B732" s="1" t="s">
        <v>67</v>
      </c>
      <c r="C732" s="1" t="s">
        <v>419</v>
      </c>
      <c r="D732" s="1" t="s">
        <v>237</v>
      </c>
      <c r="E732" s="15" t="s">
        <v>240</v>
      </c>
      <c r="F732" s="15" t="s">
        <v>238</v>
      </c>
      <c r="G732" s="1" t="s">
        <v>240</v>
      </c>
      <c r="H732" s="1" t="str">
        <f>VLOOKUP(G732,'languoid 4.0'!$A$1:$I$24439,2,FALSE)</f>
        <v>choc1280</v>
      </c>
      <c r="I732" s="1" t="str">
        <f>VLOOKUP(G732,'languoid 4.0'!$A$1:$I$24439,6,FALSE)</f>
        <v>language</v>
      </c>
      <c r="J732" s="15" t="s">
        <v>52</v>
      </c>
      <c r="K732" s="15" t="s">
        <v>38</v>
      </c>
      <c r="L732" s="15" t="s">
        <v>38</v>
      </c>
      <c r="M732" s="1"/>
      <c r="N732" s="1" t="s">
        <v>2499</v>
      </c>
      <c r="O732" s="15" t="s">
        <v>40</v>
      </c>
      <c r="P732" s="15" t="s">
        <v>41</v>
      </c>
      <c r="Q732" s="1" t="s">
        <v>2500</v>
      </c>
      <c r="R732" s="2" t="s">
        <v>2501</v>
      </c>
      <c r="S732" s="1" t="s">
        <v>46</v>
      </c>
      <c r="T732" s="1" t="s">
        <v>635</v>
      </c>
      <c r="U732" s="1" t="s">
        <v>636</v>
      </c>
      <c r="V732" s="1" t="s">
        <v>45</v>
      </c>
      <c r="W732" s="1"/>
      <c r="X732" s="1"/>
      <c r="Y732" s="1"/>
      <c r="Z732" s="1" t="s">
        <v>658</v>
      </c>
      <c r="AA732" s="1" t="s">
        <v>2502</v>
      </c>
      <c r="AB732" s="1" t="s">
        <v>46</v>
      </c>
      <c r="AC732" s="1" t="s">
        <v>46</v>
      </c>
      <c r="AD732" s="1" t="s">
        <v>46</v>
      </c>
      <c r="AE732" s="1" t="s">
        <v>641</v>
      </c>
      <c r="AF732" s="1" t="s">
        <v>190</v>
      </c>
      <c r="AG732" s="1">
        <v>6</v>
      </c>
      <c r="AH732" s="1" t="s">
        <v>190</v>
      </c>
      <c r="AI732" s="1" t="s">
        <v>46</v>
      </c>
      <c r="AJ732" s="3">
        <v>43135.830740740741</v>
      </c>
      <c r="AK732" s="1" t="s">
        <v>1607</v>
      </c>
    </row>
    <row r="733" spans="1:37">
      <c r="A733" s="1" t="str">
        <f>VLOOKUP(H733,Languages!$A$2:$B$430,2,FALSE)</f>
        <v>Chocoan</v>
      </c>
      <c r="B733" s="1" t="s">
        <v>59</v>
      </c>
      <c r="C733" s="1" t="s">
        <v>154</v>
      </c>
      <c r="D733" s="1" t="s">
        <v>6775</v>
      </c>
      <c r="E733" s="15" t="s">
        <v>6776</v>
      </c>
      <c r="F733" s="15" t="s">
        <v>240</v>
      </c>
      <c r="G733" s="1" t="s">
        <v>240</v>
      </c>
      <c r="H733" s="1" t="str">
        <f>VLOOKUP(G733,'languoid 4.0'!$A$1:$I$24439,2,FALSE)</f>
        <v>choc1280</v>
      </c>
      <c r="I733" s="1" t="str">
        <f>VLOOKUP(G733,'languoid 4.0'!$A$1:$I$24439,6,FALSE)</f>
        <v>language</v>
      </c>
      <c r="J733" s="15" t="s">
        <v>52</v>
      </c>
      <c r="K733" s="15" t="s">
        <v>368</v>
      </c>
      <c r="L733" s="15" t="s">
        <v>368</v>
      </c>
      <c r="M733" s="1" t="s">
        <v>6777</v>
      </c>
      <c r="N733" s="1"/>
      <c r="O733" s="15" t="s">
        <v>40</v>
      </c>
      <c r="P733" s="15" t="s">
        <v>41</v>
      </c>
      <c r="Q733" s="1" t="s">
        <v>6778</v>
      </c>
      <c r="R733" s="2" t="s">
        <v>6767</v>
      </c>
      <c r="S733" s="1" t="s">
        <v>6779</v>
      </c>
      <c r="T733" s="1" t="s">
        <v>6428</v>
      </c>
      <c r="U733" s="1" t="s">
        <v>4876</v>
      </c>
      <c r="V733" s="1" t="s">
        <v>45</v>
      </c>
      <c r="W733" s="1"/>
      <c r="X733" s="1"/>
      <c r="Y733" s="1"/>
      <c r="Z733" s="1" t="s">
        <v>673</v>
      </c>
      <c r="AA733" s="1" t="s">
        <v>6780</v>
      </c>
      <c r="AB733" s="1" t="s">
        <v>6781</v>
      </c>
      <c r="AC733" s="1" t="s">
        <v>46</v>
      </c>
      <c r="AD733" s="1"/>
      <c r="AE733" s="1" t="s">
        <v>641</v>
      </c>
      <c r="AF733" s="1" t="s">
        <v>190</v>
      </c>
      <c r="AG733" s="1">
        <v>3</v>
      </c>
      <c r="AH733" s="1" t="s">
        <v>190</v>
      </c>
      <c r="AI733" s="1"/>
      <c r="AJ733" s="1" t="s">
        <v>6782</v>
      </c>
      <c r="AK733" s="1" t="s">
        <v>6365</v>
      </c>
    </row>
    <row r="734" spans="1:37">
      <c r="A734" s="1" t="str">
        <f>VLOOKUP(H734,Languages!$A$2:$B$430,2,FALSE)</f>
        <v>Chocoan</v>
      </c>
      <c r="B734" s="1" t="s">
        <v>59</v>
      </c>
      <c r="C734" s="1" t="s">
        <v>154</v>
      </c>
      <c r="D734" s="1" t="s">
        <v>6799</v>
      </c>
      <c r="E734" s="15" t="s">
        <v>6776</v>
      </c>
      <c r="F734" s="15" t="s">
        <v>240</v>
      </c>
      <c r="G734" s="1" t="s">
        <v>240</v>
      </c>
      <c r="H734" s="1" t="str">
        <f>VLOOKUP(G734,'languoid 4.0'!$A$1:$I$24439,2,FALSE)</f>
        <v>choc1280</v>
      </c>
      <c r="I734" s="1" t="str">
        <f>VLOOKUP(G734,'languoid 4.0'!$A$1:$I$24439,6,FALSE)</f>
        <v>language</v>
      </c>
      <c r="J734" s="15" t="s">
        <v>52</v>
      </c>
      <c r="K734" s="15" t="s">
        <v>368</v>
      </c>
      <c r="L734" s="15" t="s">
        <v>368</v>
      </c>
      <c r="M734" s="1" t="s">
        <v>6777</v>
      </c>
      <c r="N734" s="1"/>
      <c r="O734" s="15" t="s">
        <v>40</v>
      </c>
      <c r="P734" s="15" t="s">
        <v>41</v>
      </c>
      <c r="Q734" s="1" t="s">
        <v>6800</v>
      </c>
      <c r="R734" s="2" t="s">
        <v>6784</v>
      </c>
      <c r="S734" s="1" t="s">
        <v>6801</v>
      </c>
      <c r="T734" s="1" t="s">
        <v>6428</v>
      </c>
      <c r="U734" s="1" t="s">
        <v>636</v>
      </c>
      <c r="V734" s="1" t="s">
        <v>45</v>
      </c>
      <c r="W734" s="1"/>
      <c r="X734" s="1"/>
      <c r="Y734" s="1"/>
      <c r="Z734" s="1" t="s">
        <v>637</v>
      </c>
      <c r="AA734" s="1" t="s">
        <v>6802</v>
      </c>
      <c r="AB734" s="1" t="s">
        <v>6803</v>
      </c>
      <c r="AC734" s="1" t="s">
        <v>46</v>
      </c>
      <c r="AD734" s="1"/>
      <c r="AE734" s="1" t="s">
        <v>641</v>
      </c>
      <c r="AF734" s="1" t="s">
        <v>190</v>
      </c>
      <c r="AG734" s="1">
        <v>6</v>
      </c>
      <c r="AH734" s="1" t="s">
        <v>190</v>
      </c>
      <c r="AI734" s="1"/>
      <c r="AJ734" s="1" t="s">
        <v>6804</v>
      </c>
      <c r="AK734" s="1" t="s">
        <v>6365</v>
      </c>
    </row>
    <row r="735" spans="1:37">
      <c r="A735" s="1" t="str">
        <f>VLOOKUP(H735,Languages!$A$2:$B$430,2,FALSE)</f>
        <v>Chocoan</v>
      </c>
      <c r="B735" s="1" t="s">
        <v>59</v>
      </c>
      <c r="C735" s="1" t="s">
        <v>419</v>
      </c>
      <c r="D735" s="1" t="s">
        <v>2480</v>
      </c>
      <c r="E735" s="15" t="s">
        <v>51</v>
      </c>
      <c r="F735" s="15" t="s">
        <v>2481</v>
      </c>
      <c r="G735" s="1" t="s">
        <v>2481</v>
      </c>
      <c r="H735" s="1" t="str">
        <f>VLOOKUP(G735,'languoid 4.0'!$A$1:$I$24439,2,FALSE)</f>
        <v>choc1280</v>
      </c>
      <c r="I735" s="1" t="str">
        <f>VLOOKUP(G735,'languoid 4.0'!$A$1:$I$24439,6,FALSE)</f>
        <v>language</v>
      </c>
      <c r="J735" s="15" t="s">
        <v>52</v>
      </c>
      <c r="K735" s="15" t="s">
        <v>51</v>
      </c>
      <c r="L735" s="15" t="s">
        <v>51</v>
      </c>
      <c r="M735" s="1"/>
      <c r="N735" s="1" t="e">
        <v>#N/A</v>
      </c>
      <c r="O735" s="15" t="s">
        <v>690</v>
      </c>
      <c r="P735" s="15"/>
      <c r="Q735" s="1" t="s">
        <v>2482</v>
      </c>
      <c r="R735" s="2" t="s">
        <v>2483</v>
      </c>
      <c r="S735" s="1" t="s">
        <v>46</v>
      </c>
      <c r="T735" s="1" t="s">
        <v>635</v>
      </c>
      <c r="U735" s="1" t="s">
        <v>636</v>
      </c>
      <c r="V735" s="1" t="s">
        <v>45</v>
      </c>
      <c r="W735" s="1"/>
      <c r="X735" s="1"/>
      <c r="Y735" s="1"/>
      <c r="Z735" s="1" t="s">
        <v>673</v>
      </c>
      <c r="AA735" s="1" t="s">
        <v>2484</v>
      </c>
      <c r="AB735" s="1" t="s">
        <v>2485</v>
      </c>
      <c r="AC735" s="1" t="s">
        <v>46</v>
      </c>
      <c r="AD735" s="1" t="s">
        <v>46</v>
      </c>
      <c r="AE735" s="1" t="s">
        <v>641</v>
      </c>
      <c r="AF735" s="1" t="s">
        <v>190</v>
      </c>
      <c r="AG735" s="1">
        <v>6</v>
      </c>
      <c r="AH735" s="1" t="s">
        <v>190</v>
      </c>
      <c r="AI735" s="1" t="s">
        <v>46</v>
      </c>
      <c r="AJ735" s="3">
        <v>43135.807025462964</v>
      </c>
      <c r="AK735" s="1" t="s">
        <v>1607</v>
      </c>
    </row>
    <row r="736" spans="1:37">
      <c r="A736" s="1" t="str">
        <f>VLOOKUP(H736,Languages!$A$2:$B$430,2,FALSE)</f>
        <v>Chonan</v>
      </c>
      <c r="B736" s="1" t="s">
        <v>67</v>
      </c>
      <c r="C736" s="1" t="s">
        <v>206</v>
      </c>
      <c r="D736" s="1" t="s">
        <v>1531</v>
      </c>
      <c r="E736" s="15" t="s">
        <v>208</v>
      </c>
      <c r="F736" s="15" t="s">
        <v>208</v>
      </c>
      <c r="G736" s="1" t="s">
        <v>208</v>
      </c>
      <c r="H736" s="1" t="str">
        <f>VLOOKUP(G736,'languoid 4.0'!$A$1:$I$24439,2,FALSE)</f>
        <v>chon1288</v>
      </c>
      <c r="I736" s="1" t="str">
        <f>VLOOKUP(G736,'languoid 4.0'!$A$1:$I$24439,6,FALSE)</f>
        <v>language</v>
      </c>
      <c r="J736" s="15" t="s">
        <v>38</v>
      </c>
      <c r="K736" s="15" t="s">
        <v>38</v>
      </c>
      <c r="L736" s="15" t="s">
        <v>38</v>
      </c>
      <c r="M736" s="1"/>
      <c r="N736" s="1" t="s">
        <v>209</v>
      </c>
      <c r="O736" s="15" t="s">
        <v>40</v>
      </c>
      <c r="P736" s="15" t="s">
        <v>41</v>
      </c>
      <c r="Q736" s="1" t="s">
        <v>1788</v>
      </c>
      <c r="R736" s="2" t="s">
        <v>9677</v>
      </c>
      <c r="S736" s="1" t="s">
        <v>3414</v>
      </c>
      <c r="T736" s="1" t="s">
        <v>657</v>
      </c>
      <c r="U736" s="1" t="s">
        <v>636</v>
      </c>
      <c r="V736" s="1" t="s">
        <v>45</v>
      </c>
      <c r="W736" s="1"/>
      <c r="X736" s="1"/>
      <c r="Y736" s="1"/>
      <c r="Z736" s="1" t="s">
        <v>673</v>
      </c>
      <c r="AA736" s="1" t="s">
        <v>46</v>
      </c>
      <c r="AB736" s="1" t="s">
        <v>46</v>
      </c>
      <c r="AC736" s="1" t="s">
        <v>46</v>
      </c>
      <c r="AD736" s="1"/>
      <c r="AE736" s="1" t="s">
        <v>641</v>
      </c>
      <c r="AF736" s="1" t="s">
        <v>190</v>
      </c>
      <c r="AG736" s="1">
        <v>6</v>
      </c>
      <c r="AH736" s="1" t="s">
        <v>190</v>
      </c>
      <c r="AI736" s="1"/>
      <c r="AJ736" s="3">
        <v>43444.618344907409</v>
      </c>
      <c r="AK736" s="1" t="s">
        <v>8686</v>
      </c>
    </row>
    <row r="737" spans="1:37">
      <c r="A737" s="1" t="str">
        <f>VLOOKUP(H737,Languages!$A$2:$B$430,2,FALSE)</f>
        <v>Chonan</v>
      </c>
      <c r="B737" s="1" t="s">
        <v>59</v>
      </c>
      <c r="C737" s="1" t="s">
        <v>206</v>
      </c>
      <c r="D737" s="1" t="s">
        <v>1531</v>
      </c>
      <c r="E737" s="15" t="s">
        <v>208</v>
      </c>
      <c r="F737" s="15" t="s">
        <v>208</v>
      </c>
      <c r="G737" s="1" t="s">
        <v>208</v>
      </c>
      <c r="H737" s="1" t="str">
        <f>VLOOKUP(G737,'languoid 4.0'!$A$1:$I$24439,2,FALSE)</f>
        <v>chon1288</v>
      </c>
      <c r="I737" s="1" t="str">
        <f>VLOOKUP(G737,'languoid 4.0'!$A$1:$I$24439,6,FALSE)</f>
        <v>language</v>
      </c>
      <c r="J737" s="15" t="s">
        <v>38</v>
      </c>
      <c r="K737" s="15" t="s">
        <v>38</v>
      </c>
      <c r="L737" s="15" t="s">
        <v>38</v>
      </c>
      <c r="M737" s="1"/>
      <c r="N737" s="1" t="s">
        <v>209</v>
      </c>
      <c r="O737" s="15" t="s">
        <v>40</v>
      </c>
      <c r="P737" s="15" t="s">
        <v>41</v>
      </c>
      <c r="Q737" s="1" t="s">
        <v>1532</v>
      </c>
      <c r="R737" s="2" t="s">
        <v>1533</v>
      </c>
      <c r="S737" s="1" t="s">
        <v>46</v>
      </c>
      <c r="T737" s="1" t="s">
        <v>635</v>
      </c>
      <c r="U737" s="1" t="s">
        <v>1534</v>
      </c>
      <c r="V737" s="1" t="s">
        <v>45</v>
      </c>
      <c r="W737" s="1"/>
      <c r="X737" s="1"/>
      <c r="Y737" s="1"/>
      <c r="Z737" s="1" t="s">
        <v>658</v>
      </c>
      <c r="AA737" s="1" t="s">
        <v>1535</v>
      </c>
      <c r="AB737" s="1" t="s">
        <v>1536</v>
      </c>
      <c r="AC737" s="1" t="s">
        <v>46</v>
      </c>
      <c r="AD737" s="1" t="s">
        <v>1537</v>
      </c>
      <c r="AE737" s="1" t="s">
        <v>641</v>
      </c>
      <c r="AF737" s="1" t="s">
        <v>190</v>
      </c>
      <c r="AG737" s="1">
        <v>6</v>
      </c>
      <c r="AH737" s="1" t="s">
        <v>190</v>
      </c>
      <c r="AI737" s="1" t="s">
        <v>1538</v>
      </c>
      <c r="AJ737" s="1" t="s">
        <v>1539</v>
      </c>
      <c r="AK737" s="1" t="s">
        <v>1246</v>
      </c>
    </row>
    <row r="738" spans="1:37">
      <c r="A738" s="1" t="str">
        <f>VLOOKUP(H738,Languages!$A$2:$B$430,2,FALSE)</f>
        <v>Chonan</v>
      </c>
      <c r="B738" s="1" t="s">
        <v>59</v>
      </c>
      <c r="C738" s="1" t="s">
        <v>206</v>
      </c>
      <c r="D738" s="1" t="s">
        <v>1531</v>
      </c>
      <c r="E738" s="15" t="s">
        <v>208</v>
      </c>
      <c r="F738" s="15" t="s">
        <v>208</v>
      </c>
      <c r="G738" s="1" t="s">
        <v>208</v>
      </c>
      <c r="H738" s="1" t="str">
        <f>VLOOKUP(G738,'languoid 4.0'!$A$1:$I$24439,2,FALSE)</f>
        <v>chon1288</v>
      </c>
      <c r="I738" s="1" t="str">
        <f>VLOOKUP(G738,'languoid 4.0'!$A$1:$I$24439,6,FALSE)</f>
        <v>language</v>
      </c>
      <c r="J738" s="15" t="s">
        <v>38</v>
      </c>
      <c r="K738" s="15" t="s">
        <v>38</v>
      </c>
      <c r="L738" s="15" t="s">
        <v>38</v>
      </c>
      <c r="M738" s="1"/>
      <c r="N738" s="1" t="s">
        <v>209</v>
      </c>
      <c r="O738" s="15" t="s">
        <v>40</v>
      </c>
      <c r="P738" s="15" t="s">
        <v>41</v>
      </c>
      <c r="Q738" s="1" t="s">
        <v>1551</v>
      </c>
      <c r="R738" s="2" t="s">
        <v>1552</v>
      </c>
      <c r="S738" s="1" t="s">
        <v>46</v>
      </c>
      <c r="T738" s="1" t="s">
        <v>635</v>
      </c>
      <c r="U738" s="1" t="s">
        <v>1553</v>
      </c>
      <c r="V738" s="1" t="s">
        <v>45</v>
      </c>
      <c r="W738" s="1"/>
      <c r="X738" s="1"/>
      <c r="Y738" s="1"/>
      <c r="Z738" s="1" t="s">
        <v>658</v>
      </c>
      <c r="AA738" s="1" t="s">
        <v>1554</v>
      </c>
      <c r="AB738" s="1" t="s">
        <v>1555</v>
      </c>
      <c r="AC738" s="1" t="s">
        <v>46</v>
      </c>
      <c r="AD738" s="1" t="s">
        <v>1556</v>
      </c>
      <c r="AE738" s="1" t="s">
        <v>641</v>
      </c>
      <c r="AF738" s="1" t="s">
        <v>190</v>
      </c>
      <c r="AG738" s="1">
        <v>6</v>
      </c>
      <c r="AH738" s="1" t="s">
        <v>190</v>
      </c>
      <c r="AI738" s="1" t="s">
        <v>1538</v>
      </c>
      <c r="AJ738" s="1" t="s">
        <v>1557</v>
      </c>
      <c r="AK738" s="1" t="s">
        <v>1246</v>
      </c>
    </row>
    <row r="739" spans="1:37">
      <c r="A739" s="1" t="str">
        <f>VLOOKUP(H739,Languages!$A$2:$B$430,2,FALSE)</f>
        <v>Chonan</v>
      </c>
      <c r="B739" s="1" t="s">
        <v>59</v>
      </c>
      <c r="C739" s="1" t="s">
        <v>206</v>
      </c>
      <c r="D739" s="1" t="s">
        <v>1531</v>
      </c>
      <c r="E739" s="15" t="s">
        <v>208</v>
      </c>
      <c r="F739" s="15" t="s">
        <v>208</v>
      </c>
      <c r="G739" s="1" t="s">
        <v>208</v>
      </c>
      <c r="H739" s="1" t="str">
        <f>VLOOKUP(G739,'languoid 4.0'!$A$1:$I$24439,2,FALSE)</f>
        <v>chon1288</v>
      </c>
      <c r="I739" s="1" t="str">
        <f>VLOOKUP(G739,'languoid 4.0'!$A$1:$I$24439,6,FALSE)</f>
        <v>language</v>
      </c>
      <c r="J739" s="15" t="s">
        <v>38</v>
      </c>
      <c r="K739" s="15" t="s">
        <v>38</v>
      </c>
      <c r="L739" s="15" t="s">
        <v>38</v>
      </c>
      <c r="M739" s="1"/>
      <c r="N739" s="1" t="s">
        <v>209</v>
      </c>
      <c r="O739" s="15" t="s">
        <v>40</v>
      </c>
      <c r="P739" s="15" t="s">
        <v>41</v>
      </c>
      <c r="Q739" s="1" t="s">
        <v>1564</v>
      </c>
      <c r="R739" s="2" t="s">
        <v>1565</v>
      </c>
      <c r="S739" s="1" t="s">
        <v>46</v>
      </c>
      <c r="T739" s="1" t="s">
        <v>635</v>
      </c>
      <c r="U739" s="1" t="s">
        <v>1534</v>
      </c>
      <c r="V739" s="1" t="s">
        <v>45</v>
      </c>
      <c r="W739" s="1"/>
      <c r="X739" s="1"/>
      <c r="Y739" s="1"/>
      <c r="Z739" s="1" t="s">
        <v>658</v>
      </c>
      <c r="AA739" s="1" t="s">
        <v>1566</v>
      </c>
      <c r="AB739" s="1" t="s">
        <v>1567</v>
      </c>
      <c r="AC739" s="1" t="s">
        <v>46</v>
      </c>
      <c r="AD739" s="1" t="s">
        <v>1568</v>
      </c>
      <c r="AE739" s="1" t="s">
        <v>641</v>
      </c>
      <c r="AF739" s="1" t="s">
        <v>190</v>
      </c>
      <c r="AG739" s="1">
        <v>6</v>
      </c>
      <c r="AH739" s="1" t="s">
        <v>190</v>
      </c>
      <c r="AI739" s="1" t="s">
        <v>1538</v>
      </c>
      <c r="AJ739" s="1" t="s">
        <v>1569</v>
      </c>
      <c r="AK739" s="1" t="s">
        <v>1246</v>
      </c>
    </row>
    <row r="740" spans="1:37">
      <c r="A740" s="1" t="str">
        <f>VLOOKUP(H740,Languages!$A$2:$B$430,2,FALSE)</f>
        <v>Chonan</v>
      </c>
      <c r="B740" s="1" t="s">
        <v>59</v>
      </c>
      <c r="C740" s="1" t="s">
        <v>206</v>
      </c>
      <c r="D740" s="1" t="s">
        <v>1531</v>
      </c>
      <c r="E740" s="15" t="s">
        <v>208</v>
      </c>
      <c r="F740" s="15" t="s">
        <v>208</v>
      </c>
      <c r="G740" s="1" t="s">
        <v>208</v>
      </c>
      <c r="H740" s="1" t="str">
        <f>VLOOKUP(G740,'languoid 4.0'!$A$1:$I$24439,2,FALSE)</f>
        <v>chon1288</v>
      </c>
      <c r="I740" s="1" t="str">
        <f>VLOOKUP(G740,'languoid 4.0'!$A$1:$I$24439,6,FALSE)</f>
        <v>language</v>
      </c>
      <c r="J740" s="15" t="s">
        <v>38</v>
      </c>
      <c r="K740" s="15" t="s">
        <v>38</v>
      </c>
      <c r="L740" s="15" t="s">
        <v>38</v>
      </c>
      <c r="M740" s="1"/>
      <c r="N740" s="1" t="s">
        <v>209</v>
      </c>
      <c r="O740" s="15" t="s">
        <v>40</v>
      </c>
      <c r="P740" s="15" t="s">
        <v>41</v>
      </c>
      <c r="Q740" s="1" t="s">
        <v>2553</v>
      </c>
      <c r="R740" s="2" t="s">
        <v>2554</v>
      </c>
      <c r="S740" s="1" t="s">
        <v>2534</v>
      </c>
      <c r="T740" s="1" t="s">
        <v>635</v>
      </c>
      <c r="U740" s="1" t="s">
        <v>1532</v>
      </c>
      <c r="V740" s="1" t="s">
        <v>45</v>
      </c>
      <c r="W740" s="1"/>
      <c r="X740" s="1"/>
      <c r="Y740" s="1"/>
      <c r="Z740" s="1" t="s">
        <v>658</v>
      </c>
      <c r="AA740" s="1" t="s">
        <v>2555</v>
      </c>
      <c r="AB740" s="1" t="s">
        <v>2534</v>
      </c>
      <c r="AC740" s="1" t="s">
        <v>2534</v>
      </c>
      <c r="AD740" s="1" t="s">
        <v>2556</v>
      </c>
      <c r="AE740" s="1" t="s">
        <v>641</v>
      </c>
      <c r="AF740" s="1" t="s">
        <v>190</v>
      </c>
      <c r="AG740" s="1">
        <v>3</v>
      </c>
      <c r="AH740" s="1" t="s">
        <v>190</v>
      </c>
      <c r="AI740" s="1"/>
      <c r="AJ740" s="3">
        <v>43194.500555555554</v>
      </c>
      <c r="AK740" s="1" t="s">
        <v>1246</v>
      </c>
    </row>
    <row r="741" spans="1:37">
      <c r="A741" s="1" t="str">
        <f>VLOOKUP(H741,Languages!$A$2:$B$430,2,FALSE)</f>
        <v>Chonan</v>
      </c>
      <c r="B741" s="1" t="s">
        <v>59</v>
      </c>
      <c r="C741" s="1" t="s">
        <v>206</v>
      </c>
      <c r="D741" s="1" t="s">
        <v>1531</v>
      </c>
      <c r="E741" s="15" t="s">
        <v>208</v>
      </c>
      <c r="F741" s="15" t="s">
        <v>208</v>
      </c>
      <c r="G741" s="1" t="s">
        <v>208</v>
      </c>
      <c r="H741" s="1" t="str">
        <f>VLOOKUP(G741,'languoid 4.0'!$A$1:$I$24439,2,FALSE)</f>
        <v>chon1288</v>
      </c>
      <c r="I741" s="1" t="str">
        <f>VLOOKUP(G741,'languoid 4.0'!$A$1:$I$24439,6,FALSE)</f>
        <v>language</v>
      </c>
      <c r="J741" s="15" t="s">
        <v>38</v>
      </c>
      <c r="K741" s="15" t="s">
        <v>38</v>
      </c>
      <c r="L741" s="15" t="s">
        <v>38</v>
      </c>
      <c r="M741" s="1"/>
      <c r="N741" s="1" t="s">
        <v>209</v>
      </c>
      <c r="O741" s="15" t="s">
        <v>40</v>
      </c>
      <c r="P741" s="15" t="s">
        <v>41</v>
      </c>
      <c r="Q741" s="1" t="s">
        <v>2557</v>
      </c>
      <c r="R741" s="2" t="s">
        <v>2558</v>
      </c>
      <c r="S741" s="1" t="s">
        <v>2534</v>
      </c>
      <c r="T741" s="1" t="s">
        <v>635</v>
      </c>
      <c r="U741" s="1" t="s">
        <v>1532</v>
      </c>
      <c r="V741" s="1" t="s">
        <v>45</v>
      </c>
      <c r="W741" s="1"/>
      <c r="X741" s="1"/>
      <c r="Y741" s="1"/>
      <c r="Z741" s="1" t="s">
        <v>658</v>
      </c>
      <c r="AA741" s="1" t="s">
        <v>2559</v>
      </c>
      <c r="AB741" s="1" t="s">
        <v>2534</v>
      </c>
      <c r="AC741" s="1" t="s">
        <v>2534</v>
      </c>
      <c r="AD741" s="1" t="s">
        <v>2560</v>
      </c>
      <c r="AE741" s="1" t="s">
        <v>641</v>
      </c>
      <c r="AF741" s="1" t="s">
        <v>190</v>
      </c>
      <c r="AG741" s="1">
        <v>2</v>
      </c>
      <c r="AH741" s="1" t="s">
        <v>190</v>
      </c>
      <c r="AI741" s="1"/>
      <c r="AJ741" s="3">
        <v>43194.504189814812</v>
      </c>
      <c r="AK741" s="1" t="s">
        <v>1246</v>
      </c>
    </row>
    <row r="742" spans="1:37">
      <c r="A742" s="1" t="str">
        <f>VLOOKUP(H742,Languages!$A$2:$B$430,2,FALSE)</f>
        <v>Chonan</v>
      </c>
      <c r="B742" s="1" t="s">
        <v>59</v>
      </c>
      <c r="C742" s="1" t="s">
        <v>206</v>
      </c>
      <c r="D742" s="1" t="s">
        <v>1531</v>
      </c>
      <c r="E742" s="15" t="s">
        <v>208</v>
      </c>
      <c r="F742" s="15" t="s">
        <v>208</v>
      </c>
      <c r="G742" s="1" t="s">
        <v>208</v>
      </c>
      <c r="H742" s="1" t="str">
        <f>VLOOKUP(G742,'languoid 4.0'!$A$1:$I$24439,2,FALSE)</f>
        <v>chon1288</v>
      </c>
      <c r="I742" s="1" t="str">
        <f>VLOOKUP(G742,'languoid 4.0'!$A$1:$I$24439,6,FALSE)</f>
        <v>language</v>
      </c>
      <c r="J742" s="15" t="s">
        <v>38</v>
      </c>
      <c r="K742" s="15" t="s">
        <v>38</v>
      </c>
      <c r="L742" s="15" t="s">
        <v>38</v>
      </c>
      <c r="M742" s="1"/>
      <c r="N742" s="1" t="s">
        <v>209</v>
      </c>
      <c r="O742" s="15" t="s">
        <v>40</v>
      </c>
      <c r="P742" s="15" t="s">
        <v>41</v>
      </c>
      <c r="Q742" s="1" t="s">
        <v>4490</v>
      </c>
      <c r="R742" s="2" t="s">
        <v>4491</v>
      </c>
      <c r="S742" s="1" t="s">
        <v>46</v>
      </c>
      <c r="T742" s="1" t="s">
        <v>635</v>
      </c>
      <c r="U742" s="1" t="s">
        <v>2568</v>
      </c>
      <c r="V742" s="1" t="s">
        <v>45</v>
      </c>
      <c r="W742" s="1"/>
      <c r="X742" s="1"/>
      <c r="Y742" s="1"/>
      <c r="Z742" s="1" t="s">
        <v>673</v>
      </c>
      <c r="AA742" s="1" t="s">
        <v>4492</v>
      </c>
      <c r="AB742" s="1" t="s">
        <v>4493</v>
      </c>
      <c r="AC742" s="1" t="s">
        <v>46</v>
      </c>
      <c r="AD742" s="1" t="s">
        <v>4494</v>
      </c>
      <c r="AE742" s="1" t="s">
        <v>641</v>
      </c>
      <c r="AF742" s="1" t="s">
        <v>190</v>
      </c>
      <c r="AG742" s="1">
        <v>6</v>
      </c>
      <c r="AH742" s="1" t="s">
        <v>190</v>
      </c>
      <c r="AI742" s="1" t="s">
        <v>4495</v>
      </c>
      <c r="AJ742" s="3">
        <v>43257.447754629633</v>
      </c>
      <c r="AK742" s="1" t="s">
        <v>4496</v>
      </c>
    </row>
    <row r="743" spans="1:37">
      <c r="A743" s="1" t="str">
        <f>VLOOKUP(H743,Languages!$A$2:$B$430,2,FALSE)</f>
        <v>Chonan</v>
      </c>
      <c r="B743" s="1" t="s">
        <v>59</v>
      </c>
      <c r="C743" s="1" t="s">
        <v>206</v>
      </c>
      <c r="D743" s="1" t="s">
        <v>10657</v>
      </c>
      <c r="E743" s="15" t="s">
        <v>208</v>
      </c>
      <c r="F743" s="15" t="s">
        <v>208</v>
      </c>
      <c r="G743" s="1" t="s">
        <v>208</v>
      </c>
      <c r="H743" s="1" t="str">
        <f>VLOOKUP(G743,'languoid 4.0'!$A$1:$I$24439,2,FALSE)</f>
        <v>chon1288</v>
      </c>
      <c r="I743" s="1" t="str">
        <f>VLOOKUP(G743,'languoid 4.0'!$A$1:$I$24439,6,FALSE)</f>
        <v>language</v>
      </c>
      <c r="J743" s="15" t="s">
        <v>38</v>
      </c>
      <c r="K743" s="15" t="s">
        <v>38</v>
      </c>
      <c r="L743" s="15" t="s">
        <v>38</v>
      </c>
      <c r="M743" s="1"/>
      <c r="N743" s="1" t="s">
        <v>209</v>
      </c>
      <c r="O743" s="15" t="s">
        <v>40</v>
      </c>
      <c r="P743" s="15" t="s">
        <v>41</v>
      </c>
      <c r="Q743" s="1" t="s">
        <v>10658</v>
      </c>
      <c r="R743" s="2" t="s">
        <v>10659</v>
      </c>
      <c r="S743" s="1" t="s">
        <v>9041</v>
      </c>
      <c r="T743" s="1" t="s">
        <v>657</v>
      </c>
      <c r="U743" s="1" t="s">
        <v>9027</v>
      </c>
      <c r="V743" s="1" t="s">
        <v>45</v>
      </c>
      <c r="W743" s="1"/>
      <c r="X743" s="1"/>
      <c r="Y743" s="1"/>
      <c r="Z743" s="1" t="s">
        <v>673</v>
      </c>
      <c r="AA743" s="1" t="s">
        <v>46</v>
      </c>
      <c r="AB743" s="1" t="s">
        <v>10660</v>
      </c>
      <c r="AC743" s="1" t="s">
        <v>46</v>
      </c>
      <c r="AD743" s="1"/>
      <c r="AE743" s="1" t="s">
        <v>641</v>
      </c>
      <c r="AF743" s="1" t="s">
        <v>190</v>
      </c>
      <c r="AG743" s="1">
        <v>6</v>
      </c>
      <c r="AH743" s="1" t="s">
        <v>190</v>
      </c>
      <c r="AI743" s="1"/>
      <c r="AJ743" s="1" t="s">
        <v>10661</v>
      </c>
      <c r="AK743" s="1" t="s">
        <v>8686</v>
      </c>
    </row>
    <row r="744" spans="1:37">
      <c r="A744" s="1" t="str">
        <f>VLOOKUP(H744,Languages!$A$2:$B$430,2,FALSE)</f>
        <v>Chonan</v>
      </c>
      <c r="B744" s="1" t="s">
        <v>59</v>
      </c>
      <c r="C744" s="1" t="s">
        <v>206</v>
      </c>
      <c r="D744" s="1" t="s">
        <v>207</v>
      </c>
      <c r="E744" s="15" t="s">
        <v>208</v>
      </c>
      <c r="F744" s="15" t="s">
        <v>208</v>
      </c>
      <c r="G744" s="1" t="s">
        <v>208</v>
      </c>
      <c r="H744" s="1" t="str">
        <f>VLOOKUP(G744,'languoid 4.0'!$A$1:$I$24439,2,FALSE)</f>
        <v>chon1288</v>
      </c>
      <c r="I744" s="1" t="str">
        <f>VLOOKUP(G744,'languoid 4.0'!$A$1:$I$24439,6,FALSE)</f>
        <v>language</v>
      </c>
      <c r="J744" s="15" t="s">
        <v>38</v>
      </c>
      <c r="K744" s="15" t="s">
        <v>38</v>
      </c>
      <c r="L744" s="15" t="s">
        <v>38</v>
      </c>
      <c r="M744" s="1"/>
      <c r="N744" s="1" t="s">
        <v>209</v>
      </c>
      <c r="O744" s="15" t="s">
        <v>40</v>
      </c>
      <c r="P744" s="15" t="s">
        <v>41</v>
      </c>
      <c r="Q744" s="1" t="s">
        <v>10741</v>
      </c>
      <c r="R744" s="2" t="s">
        <v>10742</v>
      </c>
      <c r="S744" s="1" t="s">
        <v>1526</v>
      </c>
      <c r="T744" s="1" t="s">
        <v>657</v>
      </c>
      <c r="U744" s="1" t="s">
        <v>10743</v>
      </c>
      <c r="V744" s="1" t="s">
        <v>45</v>
      </c>
      <c r="W744" s="1"/>
      <c r="X744" s="1"/>
      <c r="Y744" s="1"/>
      <c r="Z744" s="1" t="s">
        <v>1151</v>
      </c>
      <c r="AA744" s="1" t="s">
        <v>46</v>
      </c>
      <c r="AB744" s="1" t="s">
        <v>46</v>
      </c>
      <c r="AC744" s="1" t="s">
        <v>10744</v>
      </c>
      <c r="AD744" s="1"/>
      <c r="AE744" s="1" t="s">
        <v>641</v>
      </c>
      <c r="AF744" s="1" t="s">
        <v>190</v>
      </c>
      <c r="AG744" s="1">
        <v>6</v>
      </c>
      <c r="AH744" s="1" t="s">
        <v>190</v>
      </c>
      <c r="AI744" s="1"/>
      <c r="AJ744" s="3">
        <v>43263.623749999999</v>
      </c>
      <c r="AK744" s="1" t="s">
        <v>8686</v>
      </c>
    </row>
    <row r="745" spans="1:37">
      <c r="A745" s="1" t="str">
        <f>VLOOKUP(H745,Languages!$A$2:$B$430,2,FALSE)</f>
        <v>Chonan</v>
      </c>
      <c r="B745" s="1" t="s">
        <v>35</v>
      </c>
      <c r="C745" s="1" t="s">
        <v>206</v>
      </c>
      <c r="D745" s="1" t="s">
        <v>207</v>
      </c>
      <c r="E745" s="15" t="s">
        <v>208</v>
      </c>
      <c r="F745" s="15" t="s">
        <v>208</v>
      </c>
      <c r="G745" s="1" t="s">
        <v>208</v>
      </c>
      <c r="H745" s="1" t="str">
        <f>VLOOKUP(G745,'languoid 4.0'!$A$1:$I$24439,2,FALSE)</f>
        <v>chon1288</v>
      </c>
      <c r="I745" s="1" t="str">
        <f>VLOOKUP(G745,'languoid 4.0'!$A$1:$I$24439,6,FALSE)</f>
        <v>language</v>
      </c>
      <c r="J745" s="15" t="s">
        <v>38</v>
      </c>
      <c r="K745" s="15" t="s">
        <v>38</v>
      </c>
      <c r="L745" s="15" t="s">
        <v>38</v>
      </c>
      <c r="M745" s="1"/>
      <c r="N745" s="1" t="s">
        <v>209</v>
      </c>
      <c r="O745" s="15" t="s">
        <v>40</v>
      </c>
      <c r="P745" s="15" t="s">
        <v>41</v>
      </c>
      <c r="Q745" s="1" t="s">
        <v>210</v>
      </c>
      <c r="R745" s="2" t="s">
        <v>211</v>
      </c>
      <c r="S745" s="1" t="s">
        <v>212</v>
      </c>
      <c r="T745" s="1" t="s">
        <v>44</v>
      </c>
      <c r="U745" s="1"/>
      <c r="V745" s="1" t="s">
        <v>45</v>
      </c>
      <c r="W745" s="1"/>
      <c r="X745" s="1"/>
      <c r="Y745" s="1"/>
      <c r="Z745" s="1"/>
      <c r="AA745" s="1">
        <v>15</v>
      </c>
      <c r="AB745" s="1" t="s">
        <v>213</v>
      </c>
      <c r="AC745" s="1" t="s">
        <v>46</v>
      </c>
      <c r="AD745" s="1"/>
      <c r="AE745" s="1"/>
      <c r="AF745" s="1"/>
      <c r="AG745" s="1"/>
      <c r="AH745" s="1"/>
      <c r="AI745" s="1"/>
      <c r="AJ745" s="3">
        <v>43102.735231481478</v>
      </c>
      <c r="AK745" s="1" t="s">
        <v>74</v>
      </c>
    </row>
    <row r="746" spans="1:37">
      <c r="A746" s="1" t="str">
        <f>VLOOKUP(H746,Languages!$A$2:$B$430,2,FALSE)</f>
        <v>Chonan</v>
      </c>
      <c r="B746" s="1" t="s">
        <v>1726</v>
      </c>
      <c r="C746" s="1" t="s">
        <v>206</v>
      </c>
      <c r="D746" s="1" t="s">
        <v>1531</v>
      </c>
      <c r="E746" s="15" t="s">
        <v>208</v>
      </c>
      <c r="F746" s="15" t="s">
        <v>208</v>
      </c>
      <c r="G746" s="1" t="s">
        <v>208</v>
      </c>
      <c r="H746" s="1" t="str">
        <f>VLOOKUP(G746,'languoid 4.0'!$A$1:$I$24439,2,FALSE)</f>
        <v>chon1288</v>
      </c>
      <c r="I746" s="1" t="str">
        <f>VLOOKUP(G746,'languoid 4.0'!$A$1:$I$24439,6,FALSE)</f>
        <v>language</v>
      </c>
      <c r="J746" s="15" t="s">
        <v>38</v>
      </c>
      <c r="K746" s="15" t="s">
        <v>38</v>
      </c>
      <c r="L746" s="15" t="s">
        <v>38</v>
      </c>
      <c r="M746" s="1"/>
      <c r="N746" s="1" t="s">
        <v>209</v>
      </c>
      <c r="O746" s="15" t="s">
        <v>40</v>
      </c>
      <c r="P746" s="15" t="s">
        <v>41</v>
      </c>
      <c r="Q746" s="1" t="s">
        <v>2561</v>
      </c>
      <c r="R746" s="2" t="s">
        <v>2562</v>
      </c>
      <c r="S746" s="1" t="s">
        <v>2534</v>
      </c>
      <c r="T746" s="1" t="s">
        <v>635</v>
      </c>
      <c r="U746" s="1" t="s">
        <v>1532</v>
      </c>
      <c r="V746" s="1" t="s">
        <v>45</v>
      </c>
      <c r="W746" s="1"/>
      <c r="X746" s="1"/>
      <c r="Y746" s="1"/>
      <c r="Z746" s="1" t="s">
        <v>658</v>
      </c>
      <c r="AA746" s="1" t="s">
        <v>2563</v>
      </c>
      <c r="AB746" s="1" t="s">
        <v>2564</v>
      </c>
      <c r="AC746" s="1" t="s">
        <v>2534</v>
      </c>
      <c r="AD746" s="1" t="s">
        <v>2565</v>
      </c>
      <c r="AE746" s="1" t="s">
        <v>641</v>
      </c>
      <c r="AF746" s="1" t="s">
        <v>190</v>
      </c>
      <c r="AG746" s="1">
        <v>6</v>
      </c>
      <c r="AH746" s="1" t="s">
        <v>190</v>
      </c>
      <c r="AI746" s="1"/>
      <c r="AJ746" s="3">
        <v>43194.521979166668</v>
      </c>
      <c r="AK746" s="1" t="s">
        <v>1246</v>
      </c>
    </row>
    <row r="747" spans="1:37">
      <c r="A747" s="1" t="str">
        <f>VLOOKUP(H747,Languages!$A$2:$B$430,2,FALSE)</f>
        <v>Chonan</v>
      </c>
      <c r="B747" s="1" t="s">
        <v>1726</v>
      </c>
      <c r="C747" s="1" t="s">
        <v>206</v>
      </c>
      <c r="D747" s="1" t="s">
        <v>1531</v>
      </c>
      <c r="E747" s="15" t="s">
        <v>208</v>
      </c>
      <c r="F747" s="15" t="s">
        <v>208</v>
      </c>
      <c r="G747" s="1" t="s">
        <v>208</v>
      </c>
      <c r="H747" s="1" t="str">
        <f>VLOOKUP(G747,'languoid 4.0'!$A$1:$I$24439,2,FALSE)</f>
        <v>chon1288</v>
      </c>
      <c r="I747" s="1" t="str">
        <f>VLOOKUP(G747,'languoid 4.0'!$A$1:$I$24439,6,FALSE)</f>
        <v>language</v>
      </c>
      <c r="J747" s="15" t="s">
        <v>38</v>
      </c>
      <c r="K747" s="15" t="s">
        <v>38</v>
      </c>
      <c r="L747" s="15" t="s">
        <v>38</v>
      </c>
      <c r="M747" s="1"/>
      <c r="N747" s="1" t="s">
        <v>209</v>
      </c>
      <c r="O747" s="15" t="s">
        <v>40</v>
      </c>
      <c r="P747" s="15" t="s">
        <v>41</v>
      </c>
      <c r="Q747" s="1" t="s">
        <v>2566</v>
      </c>
      <c r="R747" s="2" t="s">
        <v>2567</v>
      </c>
      <c r="S747" s="1" t="s">
        <v>2534</v>
      </c>
      <c r="T747" s="1" t="s">
        <v>635</v>
      </c>
      <c r="U747" s="1" t="s">
        <v>2568</v>
      </c>
      <c r="V747" s="1" t="s">
        <v>45</v>
      </c>
      <c r="W747" s="1"/>
      <c r="X747" s="1"/>
      <c r="Y747" s="1"/>
      <c r="Z747" s="1" t="s">
        <v>658</v>
      </c>
      <c r="AA747" s="1" t="s">
        <v>2569</v>
      </c>
      <c r="AB747" s="1" t="s">
        <v>2570</v>
      </c>
      <c r="AC747" s="1" t="s">
        <v>2534</v>
      </c>
      <c r="AD747" s="1" t="s">
        <v>2571</v>
      </c>
      <c r="AE747" s="1" t="s">
        <v>641</v>
      </c>
      <c r="AF747" s="1" t="s">
        <v>190</v>
      </c>
      <c r="AG747" s="1">
        <v>6</v>
      </c>
      <c r="AH747" s="1" t="s">
        <v>190</v>
      </c>
      <c r="AI747" s="1"/>
      <c r="AJ747" s="3">
        <v>43194.634050925924</v>
      </c>
      <c r="AK747" s="1" t="s">
        <v>1246</v>
      </c>
    </row>
    <row r="748" spans="1:37">
      <c r="A748" s="1" t="str">
        <f>VLOOKUP(H748,Languages!$A$2:$B$430,2,FALSE)</f>
        <v>Chonan</v>
      </c>
      <c r="B748" s="1" t="s">
        <v>1726</v>
      </c>
      <c r="C748" s="1" t="s">
        <v>206</v>
      </c>
      <c r="D748" s="1" t="s">
        <v>1531</v>
      </c>
      <c r="E748" s="15" t="s">
        <v>208</v>
      </c>
      <c r="F748" s="15" t="s">
        <v>208</v>
      </c>
      <c r="G748" s="1" t="s">
        <v>208</v>
      </c>
      <c r="H748" s="1" t="str">
        <f>VLOOKUP(G748,'languoid 4.0'!$A$1:$I$24439,2,FALSE)</f>
        <v>chon1288</v>
      </c>
      <c r="I748" s="1" t="str">
        <f>VLOOKUP(G748,'languoid 4.0'!$A$1:$I$24439,6,FALSE)</f>
        <v>language</v>
      </c>
      <c r="J748" s="15" t="s">
        <v>38</v>
      </c>
      <c r="K748" s="15" t="s">
        <v>38</v>
      </c>
      <c r="L748" s="15" t="s">
        <v>38</v>
      </c>
      <c r="M748" s="1"/>
      <c r="N748" s="1" t="s">
        <v>209</v>
      </c>
      <c r="O748" s="15" t="s">
        <v>40</v>
      </c>
      <c r="P748" s="15" t="s">
        <v>41</v>
      </c>
      <c r="Q748" s="1" t="s">
        <v>8681</v>
      </c>
      <c r="R748" s="2" t="s">
        <v>8682</v>
      </c>
      <c r="S748" s="1" t="s">
        <v>46</v>
      </c>
      <c r="T748" s="1" t="s">
        <v>635</v>
      </c>
      <c r="U748" s="1" t="s">
        <v>8683</v>
      </c>
      <c r="V748" s="1" t="s">
        <v>45</v>
      </c>
      <c r="W748" s="1"/>
      <c r="X748" s="1"/>
      <c r="Y748" s="1"/>
      <c r="Z748" s="1" t="s">
        <v>673</v>
      </c>
      <c r="AA748" s="1" t="s">
        <v>8684</v>
      </c>
      <c r="AB748" s="1" t="s">
        <v>8685</v>
      </c>
      <c r="AC748" s="1" t="s">
        <v>8685</v>
      </c>
      <c r="AD748" s="1"/>
      <c r="AE748" s="1" t="s">
        <v>641</v>
      </c>
      <c r="AF748" s="1" t="s">
        <v>190</v>
      </c>
      <c r="AG748" s="1">
        <v>6</v>
      </c>
      <c r="AH748" s="1" t="s">
        <v>190</v>
      </c>
      <c r="AI748" s="1"/>
      <c r="AJ748" s="3">
        <v>43321.817662037036</v>
      </c>
      <c r="AK748" s="1" t="s">
        <v>8686</v>
      </c>
    </row>
    <row r="749" spans="1:37">
      <c r="A749" s="1" t="str">
        <f>VLOOKUP(H749,Languages!$A$2:$B$430,2,FALSE)</f>
        <v>Chonan</v>
      </c>
      <c r="B749" s="1" t="s">
        <v>1726</v>
      </c>
      <c r="C749" s="1" t="s">
        <v>206</v>
      </c>
      <c r="D749" s="1" t="s">
        <v>9012</v>
      </c>
      <c r="E749" s="15" t="s">
        <v>208</v>
      </c>
      <c r="F749" s="15" t="s">
        <v>208</v>
      </c>
      <c r="G749" s="1" t="s">
        <v>208</v>
      </c>
      <c r="H749" s="1" t="str">
        <f>VLOOKUP(G749,'languoid 4.0'!$A$1:$I$24439,2,FALSE)</f>
        <v>chon1288</v>
      </c>
      <c r="I749" s="1" t="str">
        <f>VLOOKUP(G749,'languoid 4.0'!$A$1:$I$24439,6,FALSE)</f>
        <v>language</v>
      </c>
      <c r="J749" s="15" t="s">
        <v>38</v>
      </c>
      <c r="K749" s="15" t="s">
        <v>38</v>
      </c>
      <c r="L749" s="15" t="s">
        <v>38</v>
      </c>
      <c r="M749" s="1"/>
      <c r="N749" s="1" t="s">
        <v>209</v>
      </c>
      <c r="O749" s="15" t="s">
        <v>40</v>
      </c>
      <c r="P749" s="15" t="s">
        <v>41</v>
      </c>
      <c r="Q749" s="1" t="s">
        <v>9013</v>
      </c>
      <c r="R749" s="2" t="s">
        <v>9014</v>
      </c>
      <c r="S749" s="1" t="s">
        <v>1526</v>
      </c>
      <c r="T749" s="1" t="s">
        <v>657</v>
      </c>
      <c r="U749" s="1" t="s">
        <v>636</v>
      </c>
      <c r="V749" s="1" t="s">
        <v>45</v>
      </c>
      <c r="W749" s="1"/>
      <c r="X749" s="1"/>
      <c r="Y749" s="1"/>
      <c r="Z749" s="1" t="s">
        <v>658</v>
      </c>
      <c r="AA749" s="1" t="s">
        <v>9015</v>
      </c>
      <c r="AB749" s="1" t="s">
        <v>9015</v>
      </c>
      <c r="AC749" s="1" t="s">
        <v>9016</v>
      </c>
      <c r="AD749" s="1"/>
      <c r="AE749" s="1" t="s">
        <v>641</v>
      </c>
      <c r="AF749" s="1" t="s">
        <v>190</v>
      </c>
      <c r="AG749" s="1">
        <v>6</v>
      </c>
      <c r="AH749" s="1" t="s">
        <v>190</v>
      </c>
      <c r="AI749" s="1" t="s">
        <v>9017</v>
      </c>
      <c r="AJ749" s="1" t="s">
        <v>9018</v>
      </c>
      <c r="AK749" s="1" t="s">
        <v>8686</v>
      </c>
    </row>
    <row r="750" spans="1:37">
      <c r="A750" s="1" t="str">
        <f>VLOOKUP(H750,Languages!$A$2:$B$430,2,FALSE)</f>
        <v>Chonan</v>
      </c>
      <c r="B750" s="1" t="s">
        <v>1726</v>
      </c>
      <c r="C750" s="1" t="s">
        <v>206</v>
      </c>
      <c r="D750" s="1" t="s">
        <v>1531</v>
      </c>
      <c r="E750" s="15" t="s">
        <v>208</v>
      </c>
      <c r="F750" s="15" t="s">
        <v>208</v>
      </c>
      <c r="G750" s="1" t="s">
        <v>208</v>
      </c>
      <c r="H750" s="1" t="str">
        <f>VLOOKUP(G750,'languoid 4.0'!$A$1:$I$24439,2,FALSE)</f>
        <v>chon1288</v>
      </c>
      <c r="I750" s="1" t="str">
        <f>VLOOKUP(G750,'languoid 4.0'!$A$1:$I$24439,6,FALSE)</f>
        <v>language</v>
      </c>
      <c r="J750" s="15" t="s">
        <v>38</v>
      </c>
      <c r="K750" s="15" t="s">
        <v>38</v>
      </c>
      <c r="L750" s="15" t="s">
        <v>38</v>
      </c>
      <c r="M750" s="1"/>
      <c r="N750" s="1" t="s">
        <v>209</v>
      </c>
      <c r="O750" s="15" t="s">
        <v>40</v>
      </c>
      <c r="P750" s="15" t="s">
        <v>41</v>
      </c>
      <c r="Q750" s="1" t="s">
        <v>9019</v>
      </c>
      <c r="R750" s="2" t="s">
        <v>9020</v>
      </c>
      <c r="S750" s="1" t="s">
        <v>65</v>
      </c>
      <c r="T750" s="1" t="s">
        <v>657</v>
      </c>
      <c r="U750" s="1" t="s">
        <v>636</v>
      </c>
      <c r="V750" s="1" t="s">
        <v>45</v>
      </c>
      <c r="W750" s="1"/>
      <c r="X750" s="1"/>
      <c r="Y750" s="1"/>
      <c r="Z750" s="1" t="s">
        <v>658</v>
      </c>
      <c r="AA750" s="1" t="s">
        <v>9021</v>
      </c>
      <c r="AB750" s="1" t="s">
        <v>9022</v>
      </c>
      <c r="AC750" s="1" t="s">
        <v>9022</v>
      </c>
      <c r="AD750" s="1"/>
      <c r="AE750" s="1" t="s">
        <v>641</v>
      </c>
      <c r="AF750" s="1" t="s">
        <v>190</v>
      </c>
      <c r="AG750" s="1">
        <v>6</v>
      </c>
      <c r="AH750" s="1" t="s">
        <v>190</v>
      </c>
      <c r="AI750" s="1" t="s">
        <v>9017</v>
      </c>
      <c r="AJ750" s="1" t="s">
        <v>9023</v>
      </c>
      <c r="AK750" s="1" t="s">
        <v>8686</v>
      </c>
    </row>
    <row r="751" spans="1:37">
      <c r="A751" s="1" t="str">
        <f>VLOOKUP(H751,Languages!$A$2:$B$430,2,FALSE)</f>
        <v>Chonan</v>
      </c>
      <c r="B751" s="1" t="s">
        <v>1726</v>
      </c>
      <c r="C751" s="1" t="s">
        <v>206</v>
      </c>
      <c r="D751" s="1" t="s">
        <v>1531</v>
      </c>
      <c r="E751" s="15" t="s">
        <v>208</v>
      </c>
      <c r="F751" s="15" t="s">
        <v>208</v>
      </c>
      <c r="G751" s="1" t="s">
        <v>208</v>
      </c>
      <c r="H751" s="1" t="str">
        <f>VLOOKUP(G751,'languoid 4.0'!$A$1:$I$24439,2,FALSE)</f>
        <v>chon1288</v>
      </c>
      <c r="I751" s="1" t="str">
        <f>VLOOKUP(G751,'languoid 4.0'!$A$1:$I$24439,6,FALSE)</f>
        <v>language</v>
      </c>
      <c r="J751" s="15" t="s">
        <v>38</v>
      </c>
      <c r="K751" s="15" t="s">
        <v>38</v>
      </c>
      <c r="L751" s="15" t="s">
        <v>38</v>
      </c>
      <c r="M751" s="1"/>
      <c r="N751" s="1" t="s">
        <v>209</v>
      </c>
      <c r="O751" s="15" t="s">
        <v>40</v>
      </c>
      <c r="P751" s="15" t="s">
        <v>41</v>
      </c>
      <c r="Q751" s="1" t="s">
        <v>9024</v>
      </c>
      <c r="R751" s="2" t="s">
        <v>9025</v>
      </c>
      <c r="S751" s="1" t="s">
        <v>9026</v>
      </c>
      <c r="T751" s="1" t="s">
        <v>657</v>
      </c>
      <c r="U751" s="1" t="s">
        <v>9027</v>
      </c>
      <c r="V751" s="1" t="s">
        <v>45</v>
      </c>
      <c r="W751" s="1"/>
      <c r="X751" s="1"/>
      <c r="Y751" s="1"/>
      <c r="Z751" s="1" t="s">
        <v>658</v>
      </c>
      <c r="AA751" s="1" t="s">
        <v>9028</v>
      </c>
      <c r="AB751" s="1" t="s">
        <v>9029</v>
      </c>
      <c r="AC751" s="1" t="s">
        <v>9030</v>
      </c>
      <c r="AD751" s="1"/>
      <c r="AE751" s="1" t="s">
        <v>641</v>
      </c>
      <c r="AF751" s="1" t="s">
        <v>190</v>
      </c>
      <c r="AG751" s="1">
        <v>6</v>
      </c>
      <c r="AH751" s="1" t="s">
        <v>190</v>
      </c>
      <c r="AI751" s="1" t="s">
        <v>9017</v>
      </c>
      <c r="AJ751" s="1" t="s">
        <v>9031</v>
      </c>
      <c r="AK751" s="1" t="s">
        <v>8686</v>
      </c>
    </row>
    <row r="752" spans="1:37">
      <c r="A752" s="1" t="str">
        <f>VLOOKUP(H752,Languages!$A$2:$B$430,2,FALSE)</f>
        <v>Chonan</v>
      </c>
      <c r="B752" s="1" t="s">
        <v>1726</v>
      </c>
      <c r="C752" s="1" t="s">
        <v>206</v>
      </c>
      <c r="D752" s="1" t="s">
        <v>1531</v>
      </c>
      <c r="E752" s="15" t="s">
        <v>208</v>
      </c>
      <c r="F752" s="15" t="s">
        <v>208</v>
      </c>
      <c r="G752" s="1" t="s">
        <v>208</v>
      </c>
      <c r="H752" s="1" t="str">
        <f>VLOOKUP(G752,'languoid 4.0'!$A$1:$I$24439,2,FALSE)</f>
        <v>chon1288</v>
      </c>
      <c r="I752" s="1" t="str">
        <f>VLOOKUP(G752,'languoid 4.0'!$A$1:$I$24439,6,FALSE)</f>
        <v>language</v>
      </c>
      <c r="J752" s="15" t="s">
        <v>38</v>
      </c>
      <c r="K752" s="15" t="s">
        <v>38</v>
      </c>
      <c r="L752" s="15" t="s">
        <v>38</v>
      </c>
      <c r="M752" s="1"/>
      <c r="N752" s="1" t="s">
        <v>209</v>
      </c>
      <c r="O752" s="15" t="s">
        <v>40</v>
      </c>
      <c r="P752" s="15" t="s">
        <v>41</v>
      </c>
      <c r="Q752" s="1" t="s">
        <v>9032</v>
      </c>
      <c r="R752" s="2" t="s">
        <v>9033</v>
      </c>
      <c r="S752" s="1" t="s">
        <v>9034</v>
      </c>
      <c r="T752" s="1" t="s">
        <v>657</v>
      </c>
      <c r="U752" s="1" t="s">
        <v>636</v>
      </c>
      <c r="V752" s="1" t="s">
        <v>45</v>
      </c>
      <c r="W752" s="1"/>
      <c r="X752" s="1"/>
      <c r="Y752" s="1"/>
      <c r="Z752" s="1" t="s">
        <v>658</v>
      </c>
      <c r="AA752" s="1" t="s">
        <v>9035</v>
      </c>
      <c r="AB752" s="1" t="s">
        <v>9036</v>
      </c>
      <c r="AC752" s="1" t="s">
        <v>9037</v>
      </c>
      <c r="AD752" s="1"/>
      <c r="AE752" s="1" t="s">
        <v>641</v>
      </c>
      <c r="AF752" s="1" t="s">
        <v>190</v>
      </c>
      <c r="AG752" s="1">
        <v>6</v>
      </c>
      <c r="AH752" s="1" t="s">
        <v>190</v>
      </c>
      <c r="AI752" s="1" t="s">
        <v>9017</v>
      </c>
      <c r="AJ752" s="1" t="s">
        <v>9038</v>
      </c>
      <c r="AK752" s="1" t="s">
        <v>8686</v>
      </c>
    </row>
    <row r="753" spans="1:37">
      <c r="A753" s="1" t="str">
        <f>VLOOKUP(H753,Languages!$A$2:$B$430,2,FALSE)</f>
        <v>Chonan</v>
      </c>
      <c r="B753" s="1" t="s">
        <v>1726</v>
      </c>
      <c r="C753" s="1" t="s">
        <v>206</v>
      </c>
      <c r="D753" s="1" t="s">
        <v>1531</v>
      </c>
      <c r="E753" s="15" t="s">
        <v>208</v>
      </c>
      <c r="F753" s="15" t="s">
        <v>208</v>
      </c>
      <c r="G753" s="1" t="s">
        <v>208</v>
      </c>
      <c r="H753" s="1" t="str">
        <f>VLOOKUP(G753,'languoid 4.0'!$A$1:$I$24439,2,FALSE)</f>
        <v>chon1288</v>
      </c>
      <c r="I753" s="1" t="str">
        <f>VLOOKUP(G753,'languoid 4.0'!$A$1:$I$24439,6,FALSE)</f>
        <v>language</v>
      </c>
      <c r="J753" s="15" t="s">
        <v>38</v>
      </c>
      <c r="K753" s="15" t="s">
        <v>38</v>
      </c>
      <c r="L753" s="15" t="s">
        <v>38</v>
      </c>
      <c r="M753" s="1"/>
      <c r="N753" s="1" t="s">
        <v>209</v>
      </c>
      <c r="O753" s="15" t="s">
        <v>40</v>
      </c>
      <c r="P753" s="15" t="s">
        <v>41</v>
      </c>
      <c r="Q753" s="1" t="s">
        <v>9039</v>
      </c>
      <c r="R753" s="2" t="s">
        <v>9040</v>
      </c>
      <c r="S753" s="1" t="s">
        <v>9041</v>
      </c>
      <c r="T753" s="1" t="s">
        <v>657</v>
      </c>
      <c r="U753" s="1" t="s">
        <v>636</v>
      </c>
      <c r="V753" s="1" t="s">
        <v>45</v>
      </c>
      <c r="W753" s="1"/>
      <c r="X753" s="1"/>
      <c r="Y753" s="1"/>
      <c r="Z753" s="1" t="s">
        <v>658</v>
      </c>
      <c r="AA753" s="1" t="s">
        <v>9042</v>
      </c>
      <c r="AB753" s="1" t="s">
        <v>9043</v>
      </c>
      <c r="AC753" s="1" t="s">
        <v>9044</v>
      </c>
      <c r="AD753" s="1"/>
      <c r="AE753" s="1" t="s">
        <v>641</v>
      </c>
      <c r="AF753" s="1" t="s">
        <v>190</v>
      </c>
      <c r="AG753" s="1">
        <v>6</v>
      </c>
      <c r="AH753" s="1" t="s">
        <v>190</v>
      </c>
      <c r="AI753" s="1" t="s">
        <v>9017</v>
      </c>
      <c r="AJ753" s="1" t="s">
        <v>9045</v>
      </c>
      <c r="AK753" s="1" t="s">
        <v>8686</v>
      </c>
    </row>
    <row r="754" spans="1:37">
      <c r="A754" s="1" t="str">
        <f>VLOOKUP(H754,Languages!$A$2:$B$430,2,FALSE)</f>
        <v>Chonan</v>
      </c>
      <c r="B754" s="1" t="s">
        <v>1750</v>
      </c>
      <c r="C754" s="1" t="s">
        <v>206</v>
      </c>
      <c r="D754" s="1" t="s">
        <v>1531</v>
      </c>
      <c r="E754" s="15" t="s">
        <v>208</v>
      </c>
      <c r="F754" s="15" t="s">
        <v>208</v>
      </c>
      <c r="G754" s="1" t="s">
        <v>208</v>
      </c>
      <c r="H754" s="1" t="str">
        <f>VLOOKUP(G754,'languoid 4.0'!$A$1:$I$24439,2,FALSE)</f>
        <v>chon1288</v>
      </c>
      <c r="I754" s="1" t="str">
        <f>VLOOKUP(G754,'languoid 4.0'!$A$1:$I$24439,6,FALSE)</f>
        <v>language</v>
      </c>
      <c r="J754" s="15" t="s">
        <v>38</v>
      </c>
      <c r="K754" s="15" t="s">
        <v>38</v>
      </c>
      <c r="L754" s="15" t="s">
        <v>38</v>
      </c>
      <c r="M754" s="1"/>
      <c r="N754" s="1" t="s">
        <v>209</v>
      </c>
      <c r="O754" s="15" t="s">
        <v>40</v>
      </c>
      <c r="P754" s="15" t="s">
        <v>41</v>
      </c>
      <c r="Q754" s="1" t="s">
        <v>2572</v>
      </c>
      <c r="R754" s="2" t="s">
        <v>2573</v>
      </c>
      <c r="S754" s="1" t="s">
        <v>2534</v>
      </c>
      <c r="T754" s="1" t="s">
        <v>635</v>
      </c>
      <c r="U754" s="1" t="s">
        <v>2574</v>
      </c>
      <c r="V754" s="1" t="s">
        <v>45</v>
      </c>
      <c r="W754" s="1"/>
      <c r="X754" s="1"/>
      <c r="Y754" s="1"/>
      <c r="Z754" s="1" t="s">
        <v>658</v>
      </c>
      <c r="AA754" s="1" t="s">
        <v>2575</v>
      </c>
      <c r="AB754" s="1" t="s">
        <v>2534</v>
      </c>
      <c r="AC754" s="1" t="s">
        <v>2534</v>
      </c>
      <c r="AD754" s="1" t="s">
        <v>2576</v>
      </c>
      <c r="AE754" s="1" t="s">
        <v>641</v>
      </c>
      <c r="AF754" s="1" t="s">
        <v>190</v>
      </c>
      <c r="AG754" s="1">
        <v>5</v>
      </c>
      <c r="AH754" s="1" t="s">
        <v>190</v>
      </c>
      <c r="AI754" s="1"/>
      <c r="AJ754" s="3">
        <v>43194.643159722225</v>
      </c>
      <c r="AK754" s="1" t="s">
        <v>1246</v>
      </c>
    </row>
    <row r="755" spans="1:37">
      <c r="A755" s="1" t="str">
        <f>VLOOKUP(H755,Languages!$A$2:$B$430,2,FALSE)</f>
        <v>Chonan</v>
      </c>
      <c r="B755" s="1" t="s">
        <v>1750</v>
      </c>
      <c r="C755" s="1" t="s">
        <v>206</v>
      </c>
      <c r="D755" s="1" t="s">
        <v>1531</v>
      </c>
      <c r="E755" s="15" t="s">
        <v>208</v>
      </c>
      <c r="F755" s="15" t="s">
        <v>208</v>
      </c>
      <c r="G755" s="1" t="s">
        <v>208</v>
      </c>
      <c r="H755" s="1" t="str">
        <f>VLOOKUP(G755,'languoid 4.0'!$A$1:$I$24439,2,FALSE)</f>
        <v>chon1288</v>
      </c>
      <c r="I755" s="1" t="str">
        <f>VLOOKUP(G755,'languoid 4.0'!$A$1:$I$24439,6,FALSE)</f>
        <v>language</v>
      </c>
      <c r="J755" s="15" t="s">
        <v>38</v>
      </c>
      <c r="K755" s="15" t="s">
        <v>38</v>
      </c>
      <c r="L755" s="15" t="s">
        <v>38</v>
      </c>
      <c r="M755" s="1"/>
      <c r="N755" s="1" t="s">
        <v>209</v>
      </c>
      <c r="O755" s="15" t="s">
        <v>40</v>
      </c>
      <c r="P755" s="15" t="s">
        <v>41</v>
      </c>
      <c r="Q755" s="1" t="s">
        <v>4505</v>
      </c>
      <c r="R755" s="2" t="s">
        <v>4506</v>
      </c>
      <c r="S755" s="1" t="s">
        <v>46</v>
      </c>
      <c r="T755" s="1" t="s">
        <v>635</v>
      </c>
      <c r="U755" s="1" t="s">
        <v>636</v>
      </c>
      <c r="V755" s="1" t="s">
        <v>45</v>
      </c>
      <c r="W755" s="1"/>
      <c r="X755" s="1"/>
      <c r="Y755" s="1"/>
      <c r="Z755" s="1" t="s">
        <v>658</v>
      </c>
      <c r="AA755" s="1" t="s">
        <v>4507</v>
      </c>
      <c r="AB755" s="1" t="s">
        <v>4508</v>
      </c>
      <c r="AC755" s="1" t="s">
        <v>4509</v>
      </c>
      <c r="AD755" s="2" t="s">
        <v>4510</v>
      </c>
      <c r="AE755" s="1" t="s">
        <v>641</v>
      </c>
      <c r="AF755" s="1" t="s">
        <v>190</v>
      </c>
      <c r="AG755" s="1">
        <v>6</v>
      </c>
      <c r="AH755" s="1" t="s">
        <v>190</v>
      </c>
      <c r="AI755" s="1" t="s">
        <v>4511</v>
      </c>
      <c r="AJ755" s="3">
        <v>43257.482314814813</v>
      </c>
      <c r="AK755" s="1" t="s">
        <v>4496</v>
      </c>
    </row>
    <row r="756" spans="1:37">
      <c r="A756" s="1" t="str">
        <f>VLOOKUP(H756,Languages!$A$2:$B$430,2,FALSE)</f>
        <v>Chonan</v>
      </c>
      <c r="B756" s="1" t="s">
        <v>1812</v>
      </c>
      <c r="C756" s="1" t="s">
        <v>206</v>
      </c>
      <c r="D756" s="1" t="s">
        <v>207</v>
      </c>
      <c r="E756" s="15" t="s">
        <v>208</v>
      </c>
      <c r="F756" s="15" t="s">
        <v>208</v>
      </c>
      <c r="G756" s="1" t="s">
        <v>208</v>
      </c>
      <c r="H756" s="1" t="str">
        <f>VLOOKUP(G756,'languoid 4.0'!$A$1:$I$24439,2,FALSE)</f>
        <v>chon1288</v>
      </c>
      <c r="I756" s="1" t="str">
        <f>VLOOKUP(G756,'languoid 4.0'!$A$1:$I$24439,6,FALSE)</f>
        <v>language</v>
      </c>
      <c r="J756" s="15" t="s">
        <v>38</v>
      </c>
      <c r="K756" s="15" t="s">
        <v>38</v>
      </c>
      <c r="L756" s="15" t="s">
        <v>38</v>
      </c>
      <c r="M756" s="1"/>
      <c r="N756" s="1" t="s">
        <v>209</v>
      </c>
      <c r="O756" s="15" t="s">
        <v>40</v>
      </c>
      <c r="P756" s="15" t="s">
        <v>41</v>
      </c>
      <c r="Q756" s="1" t="s">
        <v>11583</v>
      </c>
      <c r="R756" s="2" t="s">
        <v>11584</v>
      </c>
      <c r="S756" s="1" t="s">
        <v>11585</v>
      </c>
      <c r="T756" s="1" t="s">
        <v>1689</v>
      </c>
      <c r="U756" s="1" t="s">
        <v>636</v>
      </c>
      <c r="V756" s="1" t="s">
        <v>45</v>
      </c>
      <c r="W756" s="1"/>
      <c r="X756" s="1"/>
      <c r="Y756" s="1"/>
      <c r="Z756" s="1" t="s">
        <v>658</v>
      </c>
      <c r="AA756" s="1" t="s">
        <v>11586</v>
      </c>
      <c r="AB756" s="1" t="s">
        <v>46</v>
      </c>
      <c r="AC756" s="1" t="s">
        <v>46</v>
      </c>
      <c r="AD756" s="1"/>
      <c r="AE756" s="1"/>
      <c r="AF756" s="1"/>
      <c r="AG756" s="1"/>
      <c r="AH756" s="1" t="s">
        <v>45</v>
      </c>
      <c r="AI756" s="1"/>
      <c r="AJ756" s="3">
        <v>43586.050717592596</v>
      </c>
      <c r="AK756" s="1" t="s">
        <v>8686</v>
      </c>
    </row>
    <row r="757" spans="1:37">
      <c r="A757" s="1" t="str">
        <f>VLOOKUP(H757,Languages!$A$2:$B$430,2,FALSE)</f>
        <v>Chonan</v>
      </c>
      <c r="B757" s="1" t="s">
        <v>1812</v>
      </c>
      <c r="C757" s="1" t="s">
        <v>206</v>
      </c>
      <c r="D757" s="1" t="s">
        <v>207</v>
      </c>
      <c r="E757" s="15" t="s">
        <v>208</v>
      </c>
      <c r="F757" s="15" t="s">
        <v>208</v>
      </c>
      <c r="G757" s="1" t="s">
        <v>208</v>
      </c>
      <c r="H757" s="1" t="str">
        <f>VLOOKUP(G757,'languoid 4.0'!$A$1:$I$24439,2,FALSE)</f>
        <v>chon1288</v>
      </c>
      <c r="I757" s="1" t="str">
        <f>VLOOKUP(G757,'languoid 4.0'!$A$1:$I$24439,6,FALSE)</f>
        <v>language</v>
      </c>
      <c r="J757" s="15" t="s">
        <v>38</v>
      </c>
      <c r="K757" s="15" t="s">
        <v>38</v>
      </c>
      <c r="L757" s="15" t="s">
        <v>38</v>
      </c>
      <c r="M757" s="1"/>
      <c r="N757" s="1" t="s">
        <v>209</v>
      </c>
      <c r="O757" s="15" t="s">
        <v>40</v>
      </c>
      <c r="P757" s="15" t="s">
        <v>41</v>
      </c>
      <c r="Q757" s="1" t="s">
        <v>11587</v>
      </c>
      <c r="R757" s="2" t="s">
        <v>11588</v>
      </c>
      <c r="S757" s="1" t="s">
        <v>11589</v>
      </c>
      <c r="T757" s="1" t="s">
        <v>1689</v>
      </c>
      <c r="U757" s="1" t="s">
        <v>636</v>
      </c>
      <c r="V757" s="1" t="s">
        <v>45</v>
      </c>
      <c r="W757" s="1"/>
      <c r="X757" s="1"/>
      <c r="Y757" s="1"/>
      <c r="Z757" s="1" t="s">
        <v>658</v>
      </c>
      <c r="AA757" s="1" t="s">
        <v>11590</v>
      </c>
      <c r="AB757" s="1" t="s">
        <v>46</v>
      </c>
      <c r="AC757" s="1" t="s">
        <v>46</v>
      </c>
      <c r="AD757" s="1"/>
      <c r="AE757" s="1"/>
      <c r="AF757" s="1"/>
      <c r="AG757" s="1"/>
      <c r="AH757" s="1" t="s">
        <v>45</v>
      </c>
      <c r="AI757" s="1"/>
      <c r="AJ757" s="3">
        <v>43586.053854166668</v>
      </c>
      <c r="AK757" s="1" t="s">
        <v>8686</v>
      </c>
    </row>
    <row r="758" spans="1:37">
      <c r="A758" s="1" t="str">
        <f>VLOOKUP(H758,Languages!$A$2:$B$430,2,FALSE)</f>
        <v>Chukotko-Kamchatkan</v>
      </c>
      <c r="B758" s="1" t="s">
        <v>67</v>
      </c>
      <c r="C758" s="1" t="s">
        <v>317</v>
      </c>
      <c r="D758" s="1" t="s">
        <v>354</v>
      </c>
      <c r="E758" s="15" t="s">
        <v>355</v>
      </c>
      <c r="F758" s="15" t="s">
        <v>355</v>
      </c>
      <c r="G758" s="1" t="s">
        <v>355</v>
      </c>
      <c r="H758" s="1" t="str">
        <f>VLOOKUP(G758,'languoid 4.0'!$A$1:$I$24439,2,FALSE)</f>
        <v>chuk1271</v>
      </c>
      <c r="I758" s="1" t="str">
        <f>VLOOKUP(G758,'languoid 4.0'!$A$1:$I$24439,6,FALSE)</f>
        <v>language</v>
      </c>
      <c r="J758" s="15" t="s">
        <v>38</v>
      </c>
      <c r="K758" s="15" t="s">
        <v>38</v>
      </c>
      <c r="L758" s="15" t="s">
        <v>38</v>
      </c>
      <c r="M758" s="1"/>
      <c r="N758" s="1" t="s">
        <v>356</v>
      </c>
      <c r="O758" s="15" t="s">
        <v>40</v>
      </c>
      <c r="P758" s="15" t="s">
        <v>41</v>
      </c>
      <c r="Q758" s="1" t="s">
        <v>373</v>
      </c>
      <c r="R758" s="2" t="s">
        <v>358</v>
      </c>
      <c r="S758" s="1" t="s">
        <v>225</v>
      </c>
      <c r="T758" s="1" t="s">
        <v>44</v>
      </c>
      <c r="U758" s="1"/>
      <c r="V758" s="1" t="s">
        <v>45</v>
      </c>
      <c r="W758" s="1"/>
      <c r="X758" s="1"/>
      <c r="Y758" s="1"/>
      <c r="Z758" s="1"/>
      <c r="AA758" s="1">
        <v>2</v>
      </c>
      <c r="AB758" s="1" t="s">
        <v>374</v>
      </c>
      <c r="AC758" s="1" t="s">
        <v>46</v>
      </c>
      <c r="AD758" s="1"/>
      <c r="AE758" s="1"/>
      <c r="AF758" s="1"/>
      <c r="AG758" s="1"/>
      <c r="AH758" s="1"/>
      <c r="AI758" s="1"/>
      <c r="AJ758" s="3">
        <v>43102.744988425926</v>
      </c>
      <c r="AK758" s="1" t="s">
        <v>74</v>
      </c>
    </row>
    <row r="759" spans="1:37">
      <c r="A759" s="1" t="str">
        <f>VLOOKUP(H759,Languages!$A$2:$B$430,2,FALSE)</f>
        <v>Chukotko-Kamchatkan</v>
      </c>
      <c r="B759" s="1" t="s">
        <v>67</v>
      </c>
      <c r="C759" s="1" t="s">
        <v>317</v>
      </c>
      <c r="D759" s="1" t="s">
        <v>2034</v>
      </c>
      <c r="E759" s="15" t="s">
        <v>355</v>
      </c>
      <c r="F759" s="15" t="s">
        <v>2035</v>
      </c>
      <c r="G759" s="1" t="s">
        <v>355</v>
      </c>
      <c r="H759" s="1" t="str">
        <f>VLOOKUP(G759,'languoid 4.0'!$A$1:$I$24439,2,FALSE)</f>
        <v>chuk1271</v>
      </c>
      <c r="I759" s="1" t="str">
        <f>VLOOKUP(G759,'languoid 4.0'!$A$1:$I$24439,6,FALSE)</f>
        <v>language</v>
      </c>
      <c r="J759" s="15" t="s">
        <v>52</v>
      </c>
      <c r="K759" s="15" t="s">
        <v>38</v>
      </c>
      <c r="L759" s="15" t="s">
        <v>38</v>
      </c>
      <c r="M759" s="1"/>
      <c r="N759" s="1" t="s">
        <v>356</v>
      </c>
      <c r="O759" s="15" t="s">
        <v>40</v>
      </c>
      <c r="P759" s="15" t="s">
        <v>632</v>
      </c>
      <c r="Q759" s="1" t="s">
        <v>2036</v>
      </c>
      <c r="R759" s="2" t="s">
        <v>2037</v>
      </c>
      <c r="S759" s="1" t="s">
        <v>46</v>
      </c>
      <c r="T759" s="1" t="s">
        <v>635</v>
      </c>
      <c r="U759" s="1" t="s">
        <v>636</v>
      </c>
      <c r="V759" s="1" t="s">
        <v>45</v>
      </c>
      <c r="W759" s="1"/>
      <c r="X759" s="1"/>
      <c r="Y759" s="1"/>
      <c r="Z759" s="1" t="s">
        <v>658</v>
      </c>
      <c r="AA759" s="1" t="s">
        <v>2038</v>
      </c>
      <c r="AB759" s="1" t="s">
        <v>46</v>
      </c>
      <c r="AC759" s="1" t="s">
        <v>46</v>
      </c>
      <c r="AD759" s="1"/>
      <c r="AE759" s="1" t="s">
        <v>641</v>
      </c>
      <c r="AF759" s="1" t="s">
        <v>190</v>
      </c>
      <c r="AG759" s="1">
        <v>2</v>
      </c>
      <c r="AH759" s="1" t="s">
        <v>190</v>
      </c>
      <c r="AI759" s="1"/>
      <c r="AJ759" s="1" t="s">
        <v>2039</v>
      </c>
      <c r="AK759" s="1" t="s">
        <v>2040</v>
      </c>
    </row>
    <row r="760" spans="1:37">
      <c r="A760" s="1" t="str">
        <f>VLOOKUP(H760,Languages!$A$2:$B$430,2,FALSE)</f>
        <v>Chukotko-Kamchatkan</v>
      </c>
      <c r="B760" s="1" t="s">
        <v>67</v>
      </c>
      <c r="C760" s="1" t="s">
        <v>317</v>
      </c>
      <c r="D760" s="1" t="s">
        <v>354</v>
      </c>
      <c r="E760" s="15" t="s">
        <v>355</v>
      </c>
      <c r="F760" s="15" t="s">
        <v>355</v>
      </c>
      <c r="G760" s="1" t="s">
        <v>355</v>
      </c>
      <c r="H760" s="1" t="str">
        <f>VLOOKUP(G760,'languoid 4.0'!$A$1:$I$24439,2,FALSE)</f>
        <v>chuk1271</v>
      </c>
      <c r="I760" s="1" t="str">
        <f>VLOOKUP(G760,'languoid 4.0'!$A$1:$I$24439,6,FALSE)</f>
        <v>language</v>
      </c>
      <c r="J760" s="15" t="s">
        <v>38</v>
      </c>
      <c r="K760" s="15" t="s">
        <v>38</v>
      </c>
      <c r="L760" s="15" t="s">
        <v>38</v>
      </c>
      <c r="M760" s="1"/>
      <c r="N760" s="1" t="s">
        <v>356</v>
      </c>
      <c r="O760" s="15" t="s">
        <v>40</v>
      </c>
      <c r="P760" s="15" t="s">
        <v>41</v>
      </c>
      <c r="Q760" s="1" t="s">
        <v>2041</v>
      </c>
      <c r="R760" s="2" t="s">
        <v>2042</v>
      </c>
      <c r="S760" s="1" t="s">
        <v>46</v>
      </c>
      <c r="T760" s="1" t="s">
        <v>635</v>
      </c>
      <c r="U760" s="1" t="s">
        <v>2043</v>
      </c>
      <c r="V760" s="1" t="s">
        <v>45</v>
      </c>
      <c r="W760" s="1"/>
      <c r="X760" s="1"/>
      <c r="Y760" s="1"/>
      <c r="Z760" s="1" t="s">
        <v>658</v>
      </c>
      <c r="AA760" s="1" t="s">
        <v>2044</v>
      </c>
      <c r="AB760" s="1" t="s">
        <v>46</v>
      </c>
      <c r="AC760" s="1" t="s">
        <v>46</v>
      </c>
      <c r="AD760" s="1"/>
      <c r="AE760" s="1" t="s">
        <v>641</v>
      </c>
      <c r="AF760" s="1" t="s">
        <v>190</v>
      </c>
      <c r="AG760" s="1">
        <v>3</v>
      </c>
      <c r="AH760" s="1" t="s">
        <v>190</v>
      </c>
      <c r="AI760" s="1"/>
      <c r="AJ760" s="1" t="s">
        <v>2045</v>
      </c>
      <c r="AK760" s="1" t="s">
        <v>2040</v>
      </c>
    </row>
    <row r="761" spans="1:37">
      <c r="A761" s="1" t="str">
        <f>VLOOKUP(H761,Languages!$A$2:$B$430,2,FALSE)</f>
        <v>Chukotko-Kamchatkan</v>
      </c>
      <c r="B761" s="1" t="s">
        <v>67</v>
      </c>
      <c r="C761" s="1" t="s">
        <v>317</v>
      </c>
      <c r="D761" s="1" t="s">
        <v>2046</v>
      </c>
      <c r="E761" s="15" t="s">
        <v>2047</v>
      </c>
      <c r="F761" s="15" t="s">
        <v>2047</v>
      </c>
      <c r="G761" s="1" t="s">
        <v>2047</v>
      </c>
      <c r="H761" s="1" t="str">
        <f>VLOOKUP(G761,'languoid 4.0'!$A$1:$I$24439,2,FALSE)</f>
        <v>chuk1271</v>
      </c>
      <c r="I761" s="1" t="str">
        <f>VLOOKUP(G761,'languoid 4.0'!$A$1:$I$24439,6,FALSE)</f>
        <v>language</v>
      </c>
      <c r="J761" s="15" t="s">
        <v>38</v>
      </c>
      <c r="K761" s="15" t="s">
        <v>38</v>
      </c>
      <c r="L761" s="15" t="s">
        <v>38</v>
      </c>
      <c r="M761" s="1"/>
      <c r="N761" s="1" t="s">
        <v>2048</v>
      </c>
      <c r="O761" s="15" t="s">
        <v>40</v>
      </c>
      <c r="P761" s="15" t="s">
        <v>41</v>
      </c>
      <c r="Q761" s="1" t="s">
        <v>937</v>
      </c>
      <c r="R761" s="2" t="s">
        <v>2049</v>
      </c>
      <c r="S761" s="1" t="s">
        <v>46</v>
      </c>
      <c r="T761" s="1" t="s">
        <v>635</v>
      </c>
      <c r="U761" s="1" t="s">
        <v>636</v>
      </c>
      <c r="V761" s="1" t="s">
        <v>45</v>
      </c>
      <c r="W761" s="1"/>
      <c r="X761" s="1"/>
      <c r="Y761" s="1"/>
      <c r="Z761" s="1" t="s">
        <v>658</v>
      </c>
      <c r="AA761" s="1" t="s">
        <v>2050</v>
      </c>
      <c r="AB761" s="1" t="s">
        <v>46</v>
      </c>
      <c r="AC761" s="1" t="s">
        <v>46</v>
      </c>
      <c r="AD761" s="1"/>
      <c r="AE761" s="1" t="s">
        <v>641</v>
      </c>
      <c r="AF761" s="1" t="s">
        <v>190</v>
      </c>
      <c r="AG761" s="1">
        <v>5</v>
      </c>
      <c r="AH761" s="1" t="s">
        <v>190</v>
      </c>
      <c r="AI761" s="1"/>
      <c r="AJ761" s="1" t="s">
        <v>2051</v>
      </c>
      <c r="AK761" s="1" t="s">
        <v>2040</v>
      </c>
    </row>
    <row r="762" spans="1:37">
      <c r="A762" s="1" t="str">
        <f>VLOOKUP(H762,Languages!$A$2:$B$430,2,FALSE)</f>
        <v>Chukotko-Kamchatkan</v>
      </c>
      <c r="B762" s="1" t="s">
        <v>35</v>
      </c>
      <c r="C762" s="1" t="s">
        <v>317</v>
      </c>
      <c r="D762" s="1" t="s">
        <v>354</v>
      </c>
      <c r="E762" s="15" t="s">
        <v>355</v>
      </c>
      <c r="F762" s="15" t="s">
        <v>355</v>
      </c>
      <c r="G762" s="1" t="s">
        <v>355</v>
      </c>
      <c r="H762" s="1" t="str">
        <f>VLOOKUP(G762,'languoid 4.0'!$A$1:$I$24439,2,FALSE)</f>
        <v>chuk1271</v>
      </c>
      <c r="I762" s="1" t="str">
        <f>VLOOKUP(G762,'languoid 4.0'!$A$1:$I$24439,6,FALSE)</f>
        <v>language</v>
      </c>
      <c r="J762" s="15" t="s">
        <v>38</v>
      </c>
      <c r="K762" s="15" t="s">
        <v>38</v>
      </c>
      <c r="L762" s="15" t="s">
        <v>38</v>
      </c>
      <c r="M762" s="1"/>
      <c r="N762" s="1" t="s">
        <v>356</v>
      </c>
      <c r="O762" s="15" t="s">
        <v>40</v>
      </c>
      <c r="P762" s="15" t="s">
        <v>41</v>
      </c>
      <c r="Q762" s="1" t="s">
        <v>357</v>
      </c>
      <c r="R762" s="2" t="s">
        <v>358</v>
      </c>
      <c r="S762" s="1" t="s">
        <v>359</v>
      </c>
      <c r="T762" s="1" t="s">
        <v>44</v>
      </c>
      <c r="U762" s="1"/>
      <c r="V762" s="1" t="s">
        <v>45</v>
      </c>
      <c r="W762" s="1"/>
      <c r="X762" s="1"/>
      <c r="Y762" s="1"/>
      <c r="Z762" s="1"/>
      <c r="AA762" s="1">
        <v>2</v>
      </c>
      <c r="AB762" s="1">
        <v>5</v>
      </c>
      <c r="AC762" s="1" t="s">
        <v>46</v>
      </c>
      <c r="AD762" s="1"/>
      <c r="AE762" s="1"/>
      <c r="AF762" s="1"/>
      <c r="AG762" s="1"/>
      <c r="AH762" s="1"/>
      <c r="AI762" s="1"/>
      <c r="AJ762" s="3">
        <v>43102.743356481478</v>
      </c>
      <c r="AK762" s="1" t="s">
        <v>172</v>
      </c>
    </row>
    <row r="763" spans="1:37">
      <c r="A763" s="1" t="str">
        <f>VLOOKUP(H763,Languages!$A$2:$B$430,2,FALSE)</f>
        <v>Chukotko-Kamchatkan</v>
      </c>
      <c r="B763" s="1" t="s">
        <v>1707</v>
      </c>
      <c r="C763" s="1" t="s">
        <v>317</v>
      </c>
      <c r="D763" s="1" t="s">
        <v>354</v>
      </c>
      <c r="E763" s="15" t="s">
        <v>355</v>
      </c>
      <c r="F763" s="15" t="s">
        <v>355</v>
      </c>
      <c r="G763" s="1" t="s">
        <v>355</v>
      </c>
      <c r="H763" s="1" t="str">
        <f>VLOOKUP(G763,'languoid 4.0'!$A$1:$I$24439,2,FALSE)</f>
        <v>chuk1271</v>
      </c>
      <c r="I763" s="1" t="str">
        <f>VLOOKUP(G763,'languoid 4.0'!$A$1:$I$24439,6,FALSE)</f>
        <v>language</v>
      </c>
      <c r="J763" s="15" t="s">
        <v>38</v>
      </c>
      <c r="K763" s="15" t="s">
        <v>38</v>
      </c>
      <c r="L763" s="15" t="s">
        <v>38</v>
      </c>
      <c r="M763" s="1"/>
      <c r="N763" s="1" t="s">
        <v>356</v>
      </c>
      <c r="O763" s="15" t="s">
        <v>40</v>
      </c>
      <c r="P763" s="15" t="s">
        <v>41</v>
      </c>
      <c r="Q763" s="1" t="s">
        <v>2677</v>
      </c>
      <c r="R763" s="2" t="s">
        <v>2678</v>
      </c>
      <c r="S763" s="1" t="s">
        <v>46</v>
      </c>
      <c r="T763" s="1" t="s">
        <v>635</v>
      </c>
      <c r="U763" s="1" t="s">
        <v>636</v>
      </c>
      <c r="V763" s="1" t="s">
        <v>45</v>
      </c>
      <c r="W763" s="1"/>
      <c r="X763" s="1"/>
      <c r="Y763" s="1"/>
      <c r="Z763" s="1" t="s">
        <v>658</v>
      </c>
      <c r="AA763" s="1" t="s">
        <v>2679</v>
      </c>
      <c r="AB763" s="1" t="s">
        <v>2680</v>
      </c>
      <c r="AC763" s="1" t="s">
        <v>46</v>
      </c>
      <c r="AD763" s="1"/>
      <c r="AE763" s="1" t="s">
        <v>641</v>
      </c>
      <c r="AF763" s="1" t="s">
        <v>190</v>
      </c>
      <c r="AG763" s="1">
        <v>5</v>
      </c>
      <c r="AH763" s="1" t="s">
        <v>190</v>
      </c>
      <c r="AI763" s="1"/>
      <c r="AJ763" s="3">
        <v>43347.483275462961</v>
      </c>
      <c r="AK763" s="1" t="s">
        <v>2040</v>
      </c>
    </row>
    <row r="764" spans="1:37">
      <c r="A764" s="1" t="str">
        <f>VLOOKUP(H764,Languages!$A$2:$B$430,2,FALSE)</f>
        <v>Chukotko-Kamchatkan</v>
      </c>
      <c r="B764" s="1" t="s">
        <v>1707</v>
      </c>
      <c r="C764" s="1" t="s">
        <v>317</v>
      </c>
      <c r="D764" s="1" t="s">
        <v>354</v>
      </c>
      <c r="E764" s="15" t="s">
        <v>355</v>
      </c>
      <c r="F764" s="15" t="s">
        <v>355</v>
      </c>
      <c r="G764" s="1" t="s">
        <v>355</v>
      </c>
      <c r="H764" s="1" t="str">
        <f>VLOOKUP(G764,'languoid 4.0'!$A$1:$I$24439,2,FALSE)</f>
        <v>chuk1271</v>
      </c>
      <c r="I764" s="1" t="str">
        <f>VLOOKUP(G764,'languoid 4.0'!$A$1:$I$24439,6,FALSE)</f>
        <v>language</v>
      </c>
      <c r="J764" s="15" t="s">
        <v>38</v>
      </c>
      <c r="K764" s="15" t="s">
        <v>38</v>
      </c>
      <c r="L764" s="15" t="s">
        <v>38</v>
      </c>
      <c r="M764" s="1"/>
      <c r="N764" s="1" t="s">
        <v>356</v>
      </c>
      <c r="O764" s="15" t="s">
        <v>40</v>
      </c>
      <c r="P764" s="15" t="s">
        <v>41</v>
      </c>
      <c r="Q764" s="1" t="s">
        <v>2681</v>
      </c>
      <c r="R764" s="2" t="s">
        <v>2682</v>
      </c>
      <c r="S764" s="1" t="s">
        <v>46</v>
      </c>
      <c r="T764" s="1" t="s">
        <v>635</v>
      </c>
      <c r="U764" s="1" t="s">
        <v>636</v>
      </c>
      <c r="V764" s="1" t="s">
        <v>45</v>
      </c>
      <c r="W764" s="1"/>
      <c r="X764" s="1"/>
      <c r="Y764" s="1"/>
      <c r="Z764" s="1" t="s">
        <v>673</v>
      </c>
      <c r="AA764" s="1" t="s">
        <v>2683</v>
      </c>
      <c r="AB764" s="1" t="s">
        <v>2684</v>
      </c>
      <c r="AC764" s="1" t="s">
        <v>46</v>
      </c>
      <c r="AD764" s="1"/>
      <c r="AE764" s="1" t="s">
        <v>641</v>
      </c>
      <c r="AF764" s="1" t="s">
        <v>190</v>
      </c>
      <c r="AG764" s="1">
        <v>5</v>
      </c>
      <c r="AH764" s="1" t="s">
        <v>190</v>
      </c>
      <c r="AI764" s="1"/>
      <c r="AJ764" s="3">
        <v>43347.496354166666</v>
      </c>
      <c r="AK764" s="1" t="s">
        <v>2040</v>
      </c>
    </row>
    <row r="765" spans="1:37">
      <c r="A765" s="1" t="str">
        <f>VLOOKUP(H765,Languages!$A$2:$B$430,2,FALSE)</f>
        <v>Cochimi-Yuman</v>
      </c>
      <c r="B765" s="1" t="s">
        <v>59</v>
      </c>
      <c r="C765" s="1" t="s">
        <v>431</v>
      </c>
      <c r="D765" s="1" t="s">
        <v>563</v>
      </c>
      <c r="E765" s="15" t="s">
        <v>142</v>
      </c>
      <c r="F765" s="15" t="s">
        <v>142</v>
      </c>
      <c r="G765" s="1" t="s">
        <v>142</v>
      </c>
      <c r="H765" s="1" t="str">
        <f>VLOOKUP(G765,'languoid 4.0'!$A$1:$I$24439,2,FALSE)</f>
        <v>coch1271</v>
      </c>
      <c r="I765" s="1" t="str">
        <f>VLOOKUP(G765,'languoid 4.0'!$A$1:$I$24439,6,FALSE)</f>
        <v>language</v>
      </c>
      <c r="J765" s="15" t="s">
        <v>38</v>
      </c>
      <c r="K765" s="15" t="s">
        <v>38</v>
      </c>
      <c r="L765" s="15" t="s">
        <v>38</v>
      </c>
      <c r="M765" s="1"/>
      <c r="N765" s="1" t="s">
        <v>564</v>
      </c>
      <c r="O765" s="15" t="s">
        <v>40</v>
      </c>
      <c r="P765" s="15" t="s">
        <v>41</v>
      </c>
      <c r="Q765" s="1" t="s">
        <v>565</v>
      </c>
      <c r="R765" s="2" t="s">
        <v>224</v>
      </c>
      <c r="S765" s="1" t="s">
        <v>323</v>
      </c>
      <c r="T765" s="1" t="s">
        <v>44</v>
      </c>
      <c r="U765" s="1"/>
      <c r="V765" s="1" t="s">
        <v>45</v>
      </c>
      <c r="W765" s="1"/>
      <c r="X765" s="1"/>
      <c r="Y765" s="1"/>
      <c r="Z765" s="1"/>
      <c r="AA765" s="1">
        <v>7</v>
      </c>
      <c r="AB765" s="1">
        <v>7</v>
      </c>
      <c r="AC765" s="1" t="s">
        <v>46</v>
      </c>
      <c r="AD765" s="1"/>
      <c r="AE765" s="1"/>
      <c r="AF765" s="1"/>
      <c r="AG765" s="1"/>
      <c r="AH765" s="1"/>
      <c r="AI765" s="1"/>
      <c r="AJ765" s="3">
        <v>43102.757118055553</v>
      </c>
      <c r="AK765" s="1" t="s">
        <v>172</v>
      </c>
    </row>
    <row r="766" spans="1:37">
      <c r="A766" s="1" t="str">
        <f>VLOOKUP(H766,Languages!$A$2:$B$430,2,FALSE)</f>
        <v>Cochimi-Yuman</v>
      </c>
      <c r="B766" s="1" t="s">
        <v>1726</v>
      </c>
      <c r="C766" s="1" t="s">
        <v>431</v>
      </c>
      <c r="D766" s="1" t="s">
        <v>11210</v>
      </c>
      <c r="E766" s="15" t="s">
        <v>11211</v>
      </c>
      <c r="F766" s="15" t="s">
        <v>11211</v>
      </c>
      <c r="G766" s="1" t="s">
        <v>11212</v>
      </c>
      <c r="H766" s="1" t="str">
        <f>VLOOKUP(G766,'languoid 4.0'!$A$1:$I$24439,2,FALSE)</f>
        <v>coch1271</v>
      </c>
      <c r="I766" s="1" t="str">
        <f>VLOOKUP(G766,'languoid 4.0'!$A$1:$I$24439,6,FALSE)</f>
        <v>dialect</v>
      </c>
      <c r="J766" s="15" t="s">
        <v>38</v>
      </c>
      <c r="K766" s="15" t="s">
        <v>38</v>
      </c>
      <c r="L766" s="15" t="s">
        <v>38</v>
      </c>
      <c r="M766" s="1"/>
      <c r="N766" s="1" t="s">
        <v>11213</v>
      </c>
      <c r="O766" s="15" t="s">
        <v>40</v>
      </c>
      <c r="P766" s="15" t="s">
        <v>41</v>
      </c>
      <c r="Q766" s="1" t="s">
        <v>11214</v>
      </c>
      <c r="R766" s="2" t="s">
        <v>11215</v>
      </c>
      <c r="S766" s="1" t="s">
        <v>579</v>
      </c>
      <c r="T766" s="1" t="s">
        <v>657</v>
      </c>
      <c r="U766" s="1" t="s">
        <v>636</v>
      </c>
      <c r="V766" s="1" t="s">
        <v>45</v>
      </c>
      <c r="W766" s="1"/>
      <c r="X766" s="1"/>
      <c r="Y766" s="1"/>
      <c r="Z766" s="1" t="s">
        <v>658</v>
      </c>
      <c r="AA766" s="1" t="s">
        <v>11216</v>
      </c>
      <c r="AB766" s="1" t="s">
        <v>46</v>
      </c>
      <c r="AC766" s="1" t="s">
        <v>46</v>
      </c>
      <c r="AD766" s="1" t="s">
        <v>11217</v>
      </c>
      <c r="AE766" s="1" t="s">
        <v>641</v>
      </c>
      <c r="AF766" s="1" t="s">
        <v>190</v>
      </c>
      <c r="AG766" s="1">
        <v>6</v>
      </c>
      <c r="AH766" s="1" t="s">
        <v>190</v>
      </c>
      <c r="AI766" s="1" t="s">
        <v>46</v>
      </c>
      <c r="AJ766" s="1" t="s">
        <v>11218</v>
      </c>
      <c r="AK766" s="1" t="s">
        <v>4975</v>
      </c>
    </row>
    <row r="767" spans="1:37">
      <c r="A767" s="1" t="str">
        <f>VLOOKUP(H767,Languages!$A$2:$B$430,2,FALSE)</f>
        <v>Cochimi-Yuman</v>
      </c>
      <c r="B767" s="1" t="s">
        <v>1726</v>
      </c>
      <c r="C767" s="1" t="s">
        <v>431</v>
      </c>
      <c r="D767" s="1" t="s">
        <v>11333</v>
      </c>
      <c r="E767" s="15" t="s">
        <v>51</v>
      </c>
      <c r="F767" s="15" t="s">
        <v>51</v>
      </c>
      <c r="G767" s="1" t="s">
        <v>11212</v>
      </c>
      <c r="H767" s="1" t="str">
        <f>VLOOKUP(G767,'languoid 4.0'!$A$1:$I$24439,2,FALSE)</f>
        <v>coch1271</v>
      </c>
      <c r="I767" s="1" t="str">
        <f>VLOOKUP(G767,'languoid 4.0'!$A$1:$I$24439,6,FALSE)</f>
        <v>dialect</v>
      </c>
      <c r="J767" s="15" t="s">
        <v>51</v>
      </c>
      <c r="K767" s="15" t="s">
        <v>51</v>
      </c>
      <c r="L767" s="15" t="s">
        <v>51</v>
      </c>
      <c r="M767" s="1"/>
      <c r="N767" s="1" t="e">
        <v>#N/A</v>
      </c>
      <c r="O767" s="15" t="s">
        <v>690</v>
      </c>
      <c r="P767" s="15"/>
      <c r="Q767" s="1" t="s">
        <v>2674</v>
      </c>
      <c r="R767" s="2" t="s">
        <v>11334</v>
      </c>
      <c r="S767" s="1" t="s">
        <v>11335</v>
      </c>
      <c r="T767" s="1" t="s">
        <v>635</v>
      </c>
      <c r="U767" s="1" t="s">
        <v>636</v>
      </c>
      <c r="V767" s="1" t="s">
        <v>45</v>
      </c>
      <c r="W767" s="1"/>
      <c r="X767" s="1"/>
      <c r="Y767" s="1"/>
      <c r="Z767" s="1" t="s">
        <v>658</v>
      </c>
      <c r="AA767" s="1" t="s">
        <v>11336</v>
      </c>
      <c r="AB767" s="1" t="s">
        <v>11337</v>
      </c>
      <c r="AC767" s="1" t="s">
        <v>46</v>
      </c>
      <c r="AD767" s="1"/>
      <c r="AE767" s="1"/>
      <c r="AF767" s="1"/>
      <c r="AG767" s="1"/>
      <c r="AH767" s="1" t="s">
        <v>45</v>
      </c>
      <c r="AI767" s="1"/>
      <c r="AJ767" s="1" t="s">
        <v>11338</v>
      </c>
      <c r="AK767" s="1" t="s">
        <v>4975</v>
      </c>
    </row>
    <row r="768" spans="1:37">
      <c r="A768" s="1" t="str">
        <f>VLOOKUP(H768,Languages!$A$2:$B$430,2,FALSE)</f>
        <v>Cochimi-Yuman</v>
      </c>
      <c r="B768" s="1" t="s">
        <v>1726</v>
      </c>
      <c r="C768" s="1" t="s">
        <v>431</v>
      </c>
      <c r="D768" s="1" t="s">
        <v>11339</v>
      </c>
      <c r="E768" s="15" t="s">
        <v>11340</v>
      </c>
      <c r="F768" s="15" t="s">
        <v>11340</v>
      </c>
      <c r="G768" s="1" t="s">
        <v>11340</v>
      </c>
      <c r="H768" s="1" t="str">
        <f>VLOOKUP(G768,'languoid 4.0'!$A$1:$I$24439,2,FALSE)</f>
        <v>coch1271</v>
      </c>
      <c r="I768" s="1" t="str">
        <f>VLOOKUP(G768,'languoid 4.0'!$A$1:$I$24439,6,FALSE)</f>
        <v>language</v>
      </c>
      <c r="J768" s="15" t="s">
        <v>38</v>
      </c>
      <c r="K768" s="15" t="s">
        <v>38</v>
      </c>
      <c r="L768" s="15" t="s">
        <v>38</v>
      </c>
      <c r="M768" s="1"/>
      <c r="N768" s="1" t="s">
        <v>11341</v>
      </c>
      <c r="O768" s="15" t="s">
        <v>40</v>
      </c>
      <c r="P768" s="15" t="s">
        <v>41</v>
      </c>
      <c r="Q768" s="1" t="s">
        <v>11342</v>
      </c>
      <c r="R768" s="2" t="s">
        <v>11334</v>
      </c>
      <c r="S768" s="1" t="s">
        <v>11343</v>
      </c>
      <c r="T768" s="1" t="s">
        <v>635</v>
      </c>
      <c r="U768" s="1" t="s">
        <v>636</v>
      </c>
      <c r="V768" s="1" t="s">
        <v>45</v>
      </c>
      <c r="W768" s="1"/>
      <c r="X768" s="1"/>
      <c r="Y768" s="1"/>
      <c r="Z768" s="1" t="s">
        <v>637</v>
      </c>
      <c r="AA768" s="1" t="s">
        <v>11344</v>
      </c>
      <c r="AB768" s="1" t="s">
        <v>11345</v>
      </c>
      <c r="AC768" s="1" t="s">
        <v>46</v>
      </c>
      <c r="AD768" s="1"/>
      <c r="AE768" s="1"/>
      <c r="AF768" s="1"/>
      <c r="AG768" s="1"/>
      <c r="AH768" s="1" t="s">
        <v>45</v>
      </c>
      <c r="AI768" s="1" t="s">
        <v>11346</v>
      </c>
      <c r="AJ768" s="1" t="s">
        <v>11347</v>
      </c>
      <c r="AK768" s="1" t="s">
        <v>4975</v>
      </c>
    </row>
    <row r="769" spans="1:37">
      <c r="A769" s="1" t="str">
        <f>VLOOKUP(H769,Languages!$A$2:$B$430,2,FALSE)</f>
        <v>Cochimi-Yuman</v>
      </c>
      <c r="B769" s="1" t="s">
        <v>1726</v>
      </c>
      <c r="C769" s="1" t="s">
        <v>431</v>
      </c>
      <c r="D769" s="1" t="s">
        <v>11339</v>
      </c>
      <c r="E769" s="15" t="s">
        <v>11340</v>
      </c>
      <c r="F769" s="15" t="s">
        <v>11340</v>
      </c>
      <c r="G769" s="1" t="s">
        <v>11340</v>
      </c>
      <c r="H769" s="1" t="str">
        <f>VLOOKUP(G769,'languoid 4.0'!$A$1:$I$24439,2,FALSE)</f>
        <v>coch1271</v>
      </c>
      <c r="I769" s="1" t="str">
        <f>VLOOKUP(G769,'languoid 4.0'!$A$1:$I$24439,6,FALSE)</f>
        <v>language</v>
      </c>
      <c r="J769" s="15" t="s">
        <v>38</v>
      </c>
      <c r="K769" s="15" t="s">
        <v>38</v>
      </c>
      <c r="L769" s="15" t="s">
        <v>38</v>
      </c>
      <c r="M769" s="1"/>
      <c r="N769" s="1" t="s">
        <v>11341</v>
      </c>
      <c r="O769" s="15" t="s">
        <v>40</v>
      </c>
      <c r="P769" s="15" t="s">
        <v>41</v>
      </c>
      <c r="Q769" s="1" t="s">
        <v>11348</v>
      </c>
      <c r="R769" s="2" t="s">
        <v>11334</v>
      </c>
      <c r="S769" s="1" t="s">
        <v>11349</v>
      </c>
      <c r="T769" s="1" t="s">
        <v>635</v>
      </c>
      <c r="U769" s="1" t="s">
        <v>636</v>
      </c>
      <c r="V769" s="1" t="s">
        <v>45</v>
      </c>
      <c r="W769" s="1"/>
      <c r="X769" s="1"/>
      <c r="Y769" s="1"/>
      <c r="Z769" s="1" t="s">
        <v>637</v>
      </c>
      <c r="AA769" s="1" t="s">
        <v>11350</v>
      </c>
      <c r="AB769" s="1" t="s">
        <v>11351</v>
      </c>
      <c r="AC769" s="1" t="s">
        <v>46</v>
      </c>
      <c r="AD769" s="1"/>
      <c r="AE769" s="1"/>
      <c r="AF769" s="1"/>
      <c r="AG769" s="1"/>
      <c r="AH769" s="1" t="s">
        <v>45</v>
      </c>
      <c r="AI769" s="1" t="s">
        <v>11352</v>
      </c>
      <c r="AJ769" s="1" t="s">
        <v>11353</v>
      </c>
      <c r="AK769" s="1" t="s">
        <v>4975</v>
      </c>
    </row>
    <row r="770" spans="1:37">
      <c r="A770" s="1" t="str">
        <f>VLOOKUP(H770,Languages!$A$2:$B$430,2,FALSE)</f>
        <v>Cochimi-Yuman</v>
      </c>
      <c r="B770" s="1" t="s">
        <v>652</v>
      </c>
      <c r="C770" s="1" t="s">
        <v>304</v>
      </c>
      <c r="D770" s="1" t="s">
        <v>9353</v>
      </c>
      <c r="E770" s="15" t="s">
        <v>9354</v>
      </c>
      <c r="F770" s="15" t="s">
        <v>9354</v>
      </c>
      <c r="G770" s="1" t="s">
        <v>9355</v>
      </c>
      <c r="H770" s="1" t="str">
        <f>VLOOKUP(G770,'languoid 4.0'!$A$1:$I$24439,2,FALSE)</f>
        <v>coch1271</v>
      </c>
      <c r="I770" s="1" t="str">
        <f>VLOOKUP(G770,'languoid 4.0'!$A$1:$I$24439,6,FALSE)</f>
        <v>language</v>
      </c>
      <c r="J770" s="15" t="s">
        <v>38</v>
      </c>
      <c r="K770" s="15" t="s">
        <v>38</v>
      </c>
      <c r="L770" s="15" t="s">
        <v>38</v>
      </c>
      <c r="M770" s="1"/>
      <c r="N770" s="1" t="s">
        <v>9356</v>
      </c>
      <c r="O770" s="15" t="s">
        <v>40</v>
      </c>
      <c r="P770" s="15" t="s">
        <v>41</v>
      </c>
      <c r="Q770" s="1" t="s">
        <v>46</v>
      </c>
      <c r="R770" s="2" t="s">
        <v>4512</v>
      </c>
      <c r="S770" s="1" t="s">
        <v>9357</v>
      </c>
      <c r="T770" s="1" t="s">
        <v>635</v>
      </c>
      <c r="U770" s="1" t="s">
        <v>652</v>
      </c>
      <c r="V770" s="1" t="s">
        <v>45</v>
      </c>
      <c r="W770" s="1"/>
      <c r="X770" s="1"/>
      <c r="Y770" s="1"/>
      <c r="Z770" s="1" t="s">
        <v>658</v>
      </c>
      <c r="AA770" s="1" t="s">
        <v>9358</v>
      </c>
      <c r="AB770" s="1" t="s">
        <v>46</v>
      </c>
      <c r="AC770" s="1" t="s">
        <v>46</v>
      </c>
      <c r="AD770" s="1" t="s">
        <v>9359</v>
      </c>
      <c r="AE770" s="1"/>
      <c r="AF770" s="1"/>
      <c r="AG770" s="1"/>
      <c r="AH770" s="1" t="s">
        <v>45</v>
      </c>
      <c r="AI770" s="1" t="s">
        <v>6440</v>
      </c>
      <c r="AJ770" s="1" t="s">
        <v>9360</v>
      </c>
      <c r="AK770" s="1" t="s">
        <v>6441</v>
      </c>
    </row>
    <row r="771" spans="1:37">
      <c r="A771" s="1" t="str">
        <f>VLOOKUP(H771,Languages!$A$2:$B$430,2,FALSE)</f>
        <v>Dizoid</v>
      </c>
      <c r="B771" s="1" t="s">
        <v>1738</v>
      </c>
      <c r="C771" s="1" t="s">
        <v>214</v>
      </c>
      <c r="D771" s="1" t="s">
        <v>1800</v>
      </c>
      <c r="E771" s="15" t="s">
        <v>1801</v>
      </c>
      <c r="F771" s="15" t="s">
        <v>1801</v>
      </c>
      <c r="G771" s="1" t="s">
        <v>1801</v>
      </c>
      <c r="H771" s="1" t="str">
        <f>VLOOKUP(G771,'languoid 4.0'!$A$1:$I$24439,2,FALSE)</f>
        <v>dizo1235</v>
      </c>
      <c r="I771" s="1" t="str">
        <f>VLOOKUP(G771,'languoid 4.0'!$A$1:$I$24439,6,FALSE)</f>
        <v>language</v>
      </c>
      <c r="J771" s="15" t="s">
        <v>38</v>
      </c>
      <c r="K771" s="15" t="s">
        <v>38</v>
      </c>
      <c r="L771" s="15" t="s">
        <v>38</v>
      </c>
      <c r="M771" s="1"/>
      <c r="N771" s="1" t="s">
        <v>1802</v>
      </c>
      <c r="O771" s="15" t="s">
        <v>40</v>
      </c>
      <c r="P771" s="15" t="s">
        <v>41</v>
      </c>
      <c r="Q771" s="1" t="s">
        <v>1803</v>
      </c>
      <c r="R771" s="2" t="s">
        <v>1804</v>
      </c>
      <c r="S771" s="1" t="s">
        <v>1021</v>
      </c>
      <c r="T771" s="1" t="s">
        <v>693</v>
      </c>
      <c r="U771" s="1" t="s">
        <v>1796</v>
      </c>
      <c r="V771" s="1" t="s">
        <v>45</v>
      </c>
      <c r="W771" s="1"/>
      <c r="X771" s="1"/>
      <c r="Y771" s="1"/>
      <c r="Z771" s="1" t="s">
        <v>637</v>
      </c>
      <c r="AA771" s="1" t="s">
        <v>1805</v>
      </c>
      <c r="AB771" s="1" t="s">
        <v>1806</v>
      </c>
      <c r="AC771" s="1" t="s">
        <v>1021</v>
      </c>
      <c r="AD771" s="1" t="s">
        <v>1807</v>
      </c>
      <c r="AE771" s="1" t="s">
        <v>641</v>
      </c>
      <c r="AF771" s="1" t="s">
        <v>190</v>
      </c>
      <c r="AG771" s="1">
        <v>6</v>
      </c>
      <c r="AH771" s="1" t="s">
        <v>190</v>
      </c>
      <c r="AI771" s="1"/>
      <c r="AJ771" s="3">
        <v>43437.474895833337</v>
      </c>
      <c r="AK771" s="1" t="s">
        <v>740</v>
      </c>
    </row>
    <row r="772" spans="1:37">
      <c r="A772" s="1" t="str">
        <f>VLOOKUP(H772,Languages!$A$2:$B$430,2,FALSE)</f>
        <v>Dravidian</v>
      </c>
      <c r="B772" s="1" t="s">
        <v>67</v>
      </c>
      <c r="C772" s="1" t="s">
        <v>124</v>
      </c>
      <c r="D772" s="1" t="s">
        <v>1263</v>
      </c>
      <c r="E772" s="15" t="s">
        <v>1264</v>
      </c>
      <c r="F772" s="15" t="s">
        <v>1264</v>
      </c>
      <c r="G772" s="1" t="s">
        <v>1264</v>
      </c>
      <c r="H772" s="1" t="str">
        <f>VLOOKUP(G772,'languoid 4.0'!$A$1:$I$24439,2,FALSE)</f>
        <v>drav1251</v>
      </c>
      <c r="I772" s="1" t="str">
        <f>VLOOKUP(G772,'languoid 4.0'!$A$1:$I$24439,6,FALSE)</f>
        <v>language</v>
      </c>
      <c r="J772" s="15" t="s">
        <v>38</v>
      </c>
      <c r="K772" s="15" t="s">
        <v>38</v>
      </c>
      <c r="L772" s="15" t="s">
        <v>38</v>
      </c>
      <c r="M772" s="1"/>
      <c r="N772" s="1" t="s">
        <v>1265</v>
      </c>
      <c r="O772" s="15" t="s">
        <v>40</v>
      </c>
      <c r="P772" s="15" t="s">
        <v>41</v>
      </c>
      <c r="Q772" s="1" t="s">
        <v>1266</v>
      </c>
      <c r="R772" s="2" t="s">
        <v>1267</v>
      </c>
      <c r="S772" s="1">
        <v>1</v>
      </c>
      <c r="T772" s="1" t="s">
        <v>635</v>
      </c>
      <c r="U772" s="1" t="s">
        <v>1268</v>
      </c>
      <c r="V772" s="1" t="s">
        <v>45</v>
      </c>
      <c r="W772" s="1"/>
      <c r="X772" s="1"/>
      <c r="Y772" s="1"/>
      <c r="Z772" s="1" t="s">
        <v>658</v>
      </c>
      <c r="AA772" s="1" t="s">
        <v>1269</v>
      </c>
      <c r="AB772" s="1" t="s">
        <v>46</v>
      </c>
      <c r="AC772" s="1" t="s">
        <v>46</v>
      </c>
      <c r="AD772" s="1" t="s">
        <v>1270</v>
      </c>
      <c r="AE772" s="1" t="s">
        <v>641</v>
      </c>
      <c r="AF772" s="1" t="s">
        <v>190</v>
      </c>
      <c r="AG772" s="1">
        <v>5</v>
      </c>
      <c r="AH772" s="1" t="s">
        <v>190</v>
      </c>
      <c r="AI772" s="1"/>
      <c r="AJ772" s="1" t="s">
        <v>1271</v>
      </c>
      <c r="AK772" s="1" t="s">
        <v>1126</v>
      </c>
    </row>
    <row r="773" spans="1:37">
      <c r="A773" s="1" t="str">
        <f>VLOOKUP(H773,Languages!$A$2:$B$430,2,FALSE)</f>
        <v>Dravidian</v>
      </c>
      <c r="B773" s="1" t="s">
        <v>67</v>
      </c>
      <c r="C773" s="1" t="s">
        <v>124</v>
      </c>
      <c r="D773" s="1" t="s">
        <v>1303</v>
      </c>
      <c r="E773" s="15" t="s">
        <v>1304</v>
      </c>
      <c r="F773" s="15" t="s">
        <v>1305</v>
      </c>
      <c r="G773" s="1" t="s">
        <v>1305</v>
      </c>
      <c r="H773" s="1" t="str">
        <f>VLOOKUP(G773,'languoid 4.0'!$A$1:$I$24439,2,FALSE)</f>
        <v>drav1251</v>
      </c>
      <c r="I773" s="1" t="str">
        <f>VLOOKUP(G773,'languoid 4.0'!$A$1:$I$24439,6,FALSE)</f>
        <v>family</v>
      </c>
      <c r="J773" s="15" t="s">
        <v>52</v>
      </c>
      <c r="K773" s="15" t="s">
        <v>38</v>
      </c>
      <c r="L773" s="15" t="s">
        <v>38</v>
      </c>
      <c r="M773" s="1"/>
      <c r="N773" s="1" t="s">
        <v>1306</v>
      </c>
      <c r="O773" s="15" t="s">
        <v>40</v>
      </c>
      <c r="P773" s="15" t="s">
        <v>41</v>
      </c>
      <c r="Q773" s="1" t="s">
        <v>1307</v>
      </c>
      <c r="R773" s="2" t="s">
        <v>1308</v>
      </c>
      <c r="S773" s="1" t="s">
        <v>46</v>
      </c>
      <c r="T773" s="1" t="s">
        <v>635</v>
      </c>
      <c r="U773" s="1" t="s">
        <v>1309</v>
      </c>
      <c r="V773" s="1" t="s">
        <v>45</v>
      </c>
      <c r="W773" s="1"/>
      <c r="X773" s="1"/>
      <c r="Y773" s="1"/>
      <c r="Z773" s="1" t="s">
        <v>658</v>
      </c>
      <c r="AA773" s="1" t="s">
        <v>1310</v>
      </c>
      <c r="AB773" s="1" t="s">
        <v>46</v>
      </c>
      <c r="AC773" s="1" t="s">
        <v>46</v>
      </c>
      <c r="AD773" s="1" t="s">
        <v>1311</v>
      </c>
      <c r="AE773" s="1" t="s">
        <v>641</v>
      </c>
      <c r="AF773" s="1" t="s">
        <v>190</v>
      </c>
      <c r="AG773" s="1">
        <v>6</v>
      </c>
      <c r="AH773" s="1" t="s">
        <v>190</v>
      </c>
      <c r="AI773" s="1"/>
      <c r="AJ773" s="1" t="s">
        <v>1312</v>
      </c>
      <c r="AK773" s="1" t="s">
        <v>1126</v>
      </c>
    </row>
    <row r="774" spans="1:37">
      <c r="A774" s="1" t="str">
        <f>VLOOKUP(H774,Languages!$A$2:$B$430,2,FALSE)</f>
        <v>Dravidian</v>
      </c>
      <c r="B774" s="1" t="s">
        <v>67</v>
      </c>
      <c r="C774" s="1" t="s">
        <v>124</v>
      </c>
      <c r="D774" s="1" t="s">
        <v>1317</v>
      </c>
      <c r="E774" s="15" t="s">
        <v>1318</v>
      </c>
      <c r="F774" s="15" t="s">
        <v>1319</v>
      </c>
      <c r="G774" s="1" t="s">
        <v>1319</v>
      </c>
      <c r="H774" s="1" t="str">
        <f>VLOOKUP(G774,'languoid 4.0'!$A$1:$I$24439,2,FALSE)</f>
        <v>drav1251</v>
      </c>
      <c r="I774" s="1" t="str">
        <f>VLOOKUP(G774,'languoid 4.0'!$A$1:$I$24439,6,FALSE)</f>
        <v>dialect</v>
      </c>
      <c r="J774" s="15" t="s">
        <v>52</v>
      </c>
      <c r="K774" s="15" t="s">
        <v>38</v>
      </c>
      <c r="L774" s="15" t="s">
        <v>38</v>
      </c>
      <c r="M774" s="1"/>
      <c r="N774" s="1" t="s">
        <v>1320</v>
      </c>
      <c r="O774" s="15" t="s">
        <v>40</v>
      </c>
      <c r="P774" s="15" t="s">
        <v>632</v>
      </c>
      <c r="Q774" s="1" t="s">
        <v>1321</v>
      </c>
      <c r="R774" s="2" t="s">
        <v>1322</v>
      </c>
      <c r="S774" s="1" t="s">
        <v>46</v>
      </c>
      <c r="T774" s="1" t="s">
        <v>635</v>
      </c>
      <c r="U774" s="1" t="s">
        <v>636</v>
      </c>
      <c r="V774" s="1" t="s">
        <v>45</v>
      </c>
      <c r="W774" s="1"/>
      <c r="X774" s="1"/>
      <c r="Y774" s="1"/>
      <c r="Z774" s="1" t="s">
        <v>658</v>
      </c>
      <c r="AA774" s="1" t="s">
        <v>1323</v>
      </c>
      <c r="AB774" s="1" t="s">
        <v>46</v>
      </c>
      <c r="AC774" s="1" t="s">
        <v>46</v>
      </c>
      <c r="AD774" s="1" t="s">
        <v>1324</v>
      </c>
      <c r="AE774" s="1" t="s">
        <v>641</v>
      </c>
      <c r="AF774" s="1" t="s">
        <v>190</v>
      </c>
      <c r="AG774" s="1">
        <v>6</v>
      </c>
      <c r="AH774" s="1" t="s">
        <v>190</v>
      </c>
      <c r="AI774" s="1"/>
      <c r="AJ774" s="1" t="s">
        <v>1325</v>
      </c>
      <c r="AK774" s="1" t="s">
        <v>1126</v>
      </c>
    </row>
    <row r="775" spans="1:37">
      <c r="A775" s="1" t="str">
        <f>VLOOKUP(H775,Languages!$A$2:$B$430,2,FALSE)</f>
        <v>Dravidian</v>
      </c>
      <c r="B775" s="1" t="s">
        <v>67</v>
      </c>
      <c r="C775" s="1" t="s">
        <v>124</v>
      </c>
      <c r="D775" s="1" t="s">
        <v>4939</v>
      </c>
      <c r="E775" s="15" t="s">
        <v>1304</v>
      </c>
      <c r="F775" s="15" t="s">
        <v>1305</v>
      </c>
      <c r="G775" s="1" t="s">
        <v>1305</v>
      </c>
      <c r="H775" s="1" t="str">
        <f>VLOOKUP(G775,'languoid 4.0'!$A$1:$I$24439,2,FALSE)</f>
        <v>drav1251</v>
      </c>
      <c r="I775" s="1" t="str">
        <f>VLOOKUP(G775,'languoid 4.0'!$A$1:$I$24439,6,FALSE)</f>
        <v>family</v>
      </c>
      <c r="J775" s="15" t="s">
        <v>52</v>
      </c>
      <c r="K775" s="15" t="s">
        <v>38</v>
      </c>
      <c r="L775" s="15" t="s">
        <v>38</v>
      </c>
      <c r="M775" s="1"/>
      <c r="N775" s="1" t="s">
        <v>1306</v>
      </c>
      <c r="O775" s="15" t="s">
        <v>40</v>
      </c>
      <c r="P775" s="15" t="s">
        <v>41</v>
      </c>
      <c r="Q775" s="1" t="s">
        <v>4940</v>
      </c>
      <c r="R775" s="2" t="s">
        <v>4941</v>
      </c>
      <c r="S775" s="1" t="s">
        <v>46</v>
      </c>
      <c r="T775" s="1" t="s">
        <v>635</v>
      </c>
      <c r="U775" s="1" t="s">
        <v>1897</v>
      </c>
      <c r="V775" s="1" t="s">
        <v>45</v>
      </c>
      <c r="W775" s="1"/>
      <c r="X775" s="1"/>
      <c r="Y775" s="1"/>
      <c r="Z775" s="1" t="s">
        <v>637</v>
      </c>
      <c r="AA775" s="1" t="s">
        <v>4942</v>
      </c>
      <c r="AB775" s="1" t="s">
        <v>4943</v>
      </c>
      <c r="AC775" s="1" t="s">
        <v>46</v>
      </c>
      <c r="AD775" s="1"/>
      <c r="AE775" s="1" t="s">
        <v>641</v>
      </c>
      <c r="AF775" s="1" t="s">
        <v>190</v>
      </c>
      <c r="AG775" s="1">
        <v>6</v>
      </c>
      <c r="AH775" s="1" t="s">
        <v>190</v>
      </c>
      <c r="AI775" s="1"/>
      <c r="AJ775" s="1" t="s">
        <v>4944</v>
      </c>
      <c r="AK775" s="1" t="s">
        <v>4945</v>
      </c>
    </row>
    <row r="776" spans="1:37">
      <c r="A776" s="1" t="str">
        <f>VLOOKUP(H776,Languages!$A$2:$B$430,2,FALSE)</f>
        <v>Dravidian</v>
      </c>
      <c r="B776" s="1" t="s">
        <v>67</v>
      </c>
      <c r="C776" s="1" t="s">
        <v>124</v>
      </c>
      <c r="D776" s="1" t="s">
        <v>4997</v>
      </c>
      <c r="E776" s="15" t="s">
        <v>1255</v>
      </c>
      <c r="F776" s="15" t="s">
        <v>1255</v>
      </c>
      <c r="G776" s="1" t="s">
        <v>1255</v>
      </c>
      <c r="H776" s="1" t="str">
        <f>VLOOKUP(G776,'languoid 4.0'!$A$1:$I$24439,2,FALSE)</f>
        <v>drav1251</v>
      </c>
      <c r="I776" s="1" t="str">
        <f>VLOOKUP(G776,'languoid 4.0'!$A$1:$I$24439,6,FALSE)</f>
        <v>language</v>
      </c>
      <c r="J776" s="15" t="s">
        <v>38</v>
      </c>
      <c r="K776" s="15" t="s">
        <v>38</v>
      </c>
      <c r="L776" s="15" t="s">
        <v>38</v>
      </c>
      <c r="M776" s="1"/>
      <c r="N776" s="1" t="s">
        <v>1256</v>
      </c>
      <c r="O776" s="15" t="s">
        <v>40</v>
      </c>
      <c r="P776" s="15" t="s">
        <v>41</v>
      </c>
      <c r="Q776" s="1" t="s">
        <v>4998</v>
      </c>
      <c r="R776" s="2" t="s">
        <v>4999</v>
      </c>
      <c r="S776" s="1" t="s">
        <v>46</v>
      </c>
      <c r="T776" s="1" t="s">
        <v>635</v>
      </c>
      <c r="U776" s="1" t="s">
        <v>1897</v>
      </c>
      <c r="V776" s="1" t="s">
        <v>45</v>
      </c>
      <c r="W776" s="1"/>
      <c r="X776" s="1"/>
      <c r="Y776" s="1"/>
      <c r="Z776" s="1" t="s">
        <v>637</v>
      </c>
      <c r="AA776" s="1" t="s">
        <v>5000</v>
      </c>
      <c r="AB776" s="1" t="s">
        <v>5001</v>
      </c>
      <c r="AC776" s="1" t="s">
        <v>46</v>
      </c>
      <c r="AD776" s="1"/>
      <c r="AE776" s="1" t="s">
        <v>641</v>
      </c>
      <c r="AF776" s="1" t="s">
        <v>190</v>
      </c>
      <c r="AG776" s="1">
        <v>6</v>
      </c>
      <c r="AH776" s="1" t="s">
        <v>190</v>
      </c>
      <c r="AI776" s="1"/>
      <c r="AJ776" s="1" t="s">
        <v>5002</v>
      </c>
      <c r="AK776" s="1" t="s">
        <v>4945</v>
      </c>
    </row>
    <row r="777" spans="1:37">
      <c r="A777" s="1" t="str">
        <f>VLOOKUP(H777,Languages!$A$2:$B$430,2,FALSE)</f>
        <v>Dravidian</v>
      </c>
      <c r="B777" s="1" t="s">
        <v>109</v>
      </c>
      <c r="C777" s="1" t="s">
        <v>124</v>
      </c>
      <c r="D777" s="1" t="s">
        <v>1303</v>
      </c>
      <c r="E777" s="15" t="s">
        <v>1304</v>
      </c>
      <c r="F777" s="15" t="s">
        <v>1305</v>
      </c>
      <c r="G777" s="1" t="s">
        <v>1305</v>
      </c>
      <c r="H777" s="1" t="str">
        <f>VLOOKUP(G777,'languoid 4.0'!$A$1:$I$24439,2,FALSE)</f>
        <v>drav1251</v>
      </c>
      <c r="I777" s="1" t="str">
        <f>VLOOKUP(G777,'languoid 4.0'!$A$1:$I$24439,6,FALSE)</f>
        <v>family</v>
      </c>
      <c r="J777" s="15" t="s">
        <v>52</v>
      </c>
      <c r="K777" s="15" t="s">
        <v>38</v>
      </c>
      <c r="L777" s="15" t="s">
        <v>38</v>
      </c>
      <c r="M777" s="1"/>
      <c r="N777" s="1" t="s">
        <v>1306</v>
      </c>
      <c r="O777" s="15" t="s">
        <v>40</v>
      </c>
      <c r="P777" s="15" t="s">
        <v>41</v>
      </c>
      <c r="Q777" s="1" t="s">
        <v>748</v>
      </c>
      <c r="R777" s="2" t="s">
        <v>1313</v>
      </c>
      <c r="S777" s="1" t="s">
        <v>1314</v>
      </c>
      <c r="T777" s="1" t="s">
        <v>635</v>
      </c>
      <c r="U777" s="1" t="s">
        <v>636</v>
      </c>
      <c r="V777" s="1" t="s">
        <v>45</v>
      </c>
      <c r="W777" s="1"/>
      <c r="X777" s="1"/>
      <c r="Y777" s="1"/>
      <c r="Z777" s="1" t="s">
        <v>658</v>
      </c>
      <c r="AA777" s="1" t="s">
        <v>1286</v>
      </c>
      <c r="AB777" s="1" t="s">
        <v>46</v>
      </c>
      <c r="AC777" s="1" t="s">
        <v>46</v>
      </c>
      <c r="AD777" s="1" t="s">
        <v>1315</v>
      </c>
      <c r="AE777" s="1" t="s">
        <v>641</v>
      </c>
      <c r="AF777" s="1" t="s">
        <v>190</v>
      </c>
      <c r="AG777" s="1">
        <v>6</v>
      </c>
      <c r="AH777" s="1" t="s">
        <v>190</v>
      </c>
      <c r="AI777" s="1"/>
      <c r="AJ777" s="1" t="s">
        <v>1316</v>
      </c>
      <c r="AK777" s="1" t="s">
        <v>1126</v>
      </c>
    </row>
    <row r="778" spans="1:37">
      <c r="A778" s="1" t="str">
        <f>VLOOKUP(H778,Languages!$A$2:$B$430,2,FALSE)</f>
        <v>Dravidian</v>
      </c>
      <c r="B778" s="1" t="s">
        <v>109</v>
      </c>
      <c r="C778" s="1" t="s">
        <v>124</v>
      </c>
      <c r="D778" s="1" t="s">
        <v>1263</v>
      </c>
      <c r="E778" s="15" t="s">
        <v>1264</v>
      </c>
      <c r="F778" s="15" t="s">
        <v>7246</v>
      </c>
      <c r="G778" s="1" t="s">
        <v>1264</v>
      </c>
      <c r="H778" s="1" t="str">
        <f>VLOOKUP(G778,'languoid 4.0'!$A$1:$I$24439,2,FALSE)</f>
        <v>drav1251</v>
      </c>
      <c r="I778" s="1" t="str">
        <f>VLOOKUP(G778,'languoid 4.0'!$A$1:$I$24439,6,FALSE)</f>
        <v>language</v>
      </c>
      <c r="J778" s="15" t="s">
        <v>52</v>
      </c>
      <c r="K778" s="15" t="s">
        <v>52</v>
      </c>
      <c r="L778" s="15" t="s">
        <v>52</v>
      </c>
      <c r="M778" s="1"/>
      <c r="N778" s="1" t="s">
        <v>1265</v>
      </c>
      <c r="O778" s="15" t="s">
        <v>40</v>
      </c>
      <c r="P778" s="15" t="s">
        <v>41</v>
      </c>
      <c r="Q778" s="1" t="s">
        <v>7247</v>
      </c>
      <c r="R778" s="2" t="s">
        <v>7248</v>
      </c>
      <c r="S778" s="1" t="s">
        <v>46</v>
      </c>
      <c r="T778" s="1" t="s">
        <v>822</v>
      </c>
      <c r="U778" s="1" t="s">
        <v>7249</v>
      </c>
      <c r="V778" s="1" t="s">
        <v>45</v>
      </c>
      <c r="W778" s="1"/>
      <c r="X778" s="1"/>
      <c r="Y778" s="1"/>
      <c r="Z778" s="1" t="s">
        <v>658</v>
      </c>
      <c r="AA778" s="1" t="s">
        <v>7250</v>
      </c>
      <c r="AB778" s="1" t="s">
        <v>46</v>
      </c>
      <c r="AC778" s="1" t="s">
        <v>46</v>
      </c>
      <c r="AD778" s="1" t="s">
        <v>7251</v>
      </c>
      <c r="AE778" s="1" t="s">
        <v>641</v>
      </c>
      <c r="AF778" s="1" t="s">
        <v>190</v>
      </c>
      <c r="AG778" s="1">
        <v>5</v>
      </c>
      <c r="AH778" s="1" t="s">
        <v>190</v>
      </c>
      <c r="AI778" s="1"/>
      <c r="AJ778" s="3">
        <v>43320.025706018518</v>
      </c>
      <c r="AK778" s="1" t="s">
        <v>4945</v>
      </c>
    </row>
    <row r="779" spans="1:37">
      <c r="A779" s="1" t="str">
        <f>VLOOKUP(H779,Languages!$A$2:$B$430,2,FALSE)</f>
        <v>Dravidian</v>
      </c>
      <c r="B779" s="1" t="s">
        <v>109</v>
      </c>
      <c r="C779" s="1" t="s">
        <v>124</v>
      </c>
      <c r="D779" s="1" t="s">
        <v>1263</v>
      </c>
      <c r="E779" s="15" t="s">
        <v>1264</v>
      </c>
      <c r="F779" s="15" t="s">
        <v>7246</v>
      </c>
      <c r="G779" s="1" t="s">
        <v>1264</v>
      </c>
      <c r="H779" s="1" t="str">
        <f>VLOOKUP(G779,'languoid 4.0'!$A$1:$I$24439,2,FALSE)</f>
        <v>drav1251</v>
      </c>
      <c r="I779" s="1" t="str">
        <f>VLOOKUP(G779,'languoid 4.0'!$A$1:$I$24439,6,FALSE)</f>
        <v>language</v>
      </c>
      <c r="J779" s="15" t="s">
        <v>52</v>
      </c>
      <c r="K779" s="15" t="s">
        <v>52</v>
      </c>
      <c r="L779" s="15" t="s">
        <v>52</v>
      </c>
      <c r="M779" s="1"/>
      <c r="N779" s="1" t="s">
        <v>1265</v>
      </c>
      <c r="O779" s="15" t="s">
        <v>40</v>
      </c>
      <c r="P779" s="15" t="s">
        <v>41</v>
      </c>
      <c r="Q779" s="1" t="s">
        <v>7247</v>
      </c>
      <c r="R779" s="2" t="s">
        <v>7248</v>
      </c>
      <c r="S779" s="1" t="s">
        <v>46</v>
      </c>
      <c r="T779" s="1" t="s">
        <v>822</v>
      </c>
      <c r="U779" s="1" t="s">
        <v>1812</v>
      </c>
      <c r="V779" s="1" t="s">
        <v>45</v>
      </c>
      <c r="W779" s="1"/>
      <c r="X779" s="1"/>
      <c r="Y779" s="1"/>
      <c r="Z779" s="1" t="s">
        <v>637</v>
      </c>
      <c r="AA779" s="1" t="s">
        <v>7483</v>
      </c>
      <c r="AB779" s="1" t="s">
        <v>7484</v>
      </c>
      <c r="AC779" s="1" t="s">
        <v>46</v>
      </c>
      <c r="AD779" s="1"/>
      <c r="AE779" s="1" t="s">
        <v>641</v>
      </c>
      <c r="AF779" s="1" t="s">
        <v>190</v>
      </c>
      <c r="AG779" s="1">
        <v>4</v>
      </c>
      <c r="AH779" s="1" t="s">
        <v>190</v>
      </c>
      <c r="AI779" s="1"/>
      <c r="AJ779" s="1" t="s">
        <v>7485</v>
      </c>
      <c r="AK779" s="1" t="s">
        <v>4945</v>
      </c>
    </row>
    <row r="780" spans="1:37">
      <c r="A780" s="1" t="str">
        <f>VLOOKUP(H780,Languages!$A$2:$B$430,2,FALSE)</f>
        <v>Dravidian</v>
      </c>
      <c r="B780" s="1" t="s">
        <v>35</v>
      </c>
      <c r="C780" s="1" t="s">
        <v>124</v>
      </c>
      <c r="D780" s="1" t="s">
        <v>1317</v>
      </c>
      <c r="E780" s="15" t="s">
        <v>1318</v>
      </c>
      <c r="F780" s="15" t="s">
        <v>1319</v>
      </c>
      <c r="G780" s="1" t="s">
        <v>1319</v>
      </c>
      <c r="H780" s="1" t="str">
        <f>VLOOKUP(G780,'languoid 4.0'!$A$1:$I$24439,2,FALSE)</f>
        <v>drav1251</v>
      </c>
      <c r="I780" s="1" t="str">
        <f>VLOOKUP(G780,'languoid 4.0'!$A$1:$I$24439,6,FALSE)</f>
        <v>dialect</v>
      </c>
      <c r="J780" s="15" t="s">
        <v>52</v>
      </c>
      <c r="K780" s="15" t="s">
        <v>38</v>
      </c>
      <c r="L780" s="15" t="s">
        <v>38</v>
      </c>
      <c r="M780" s="1"/>
      <c r="N780" s="1" t="s">
        <v>1320</v>
      </c>
      <c r="O780" s="15" t="s">
        <v>40</v>
      </c>
      <c r="P780" s="15" t="s">
        <v>632</v>
      </c>
      <c r="Q780" s="1" t="s">
        <v>1326</v>
      </c>
      <c r="R780" s="2" t="s">
        <v>1327</v>
      </c>
      <c r="S780" s="1" t="s">
        <v>46</v>
      </c>
      <c r="T780" s="1" t="s">
        <v>635</v>
      </c>
      <c r="U780" s="1" t="s">
        <v>636</v>
      </c>
      <c r="V780" s="1" t="s">
        <v>45</v>
      </c>
      <c r="W780" s="1"/>
      <c r="X780" s="1"/>
      <c r="Y780" s="1"/>
      <c r="Z780" s="1" t="s">
        <v>658</v>
      </c>
      <c r="AA780" s="1" t="s">
        <v>1293</v>
      </c>
      <c r="AB780" s="1" t="s">
        <v>46</v>
      </c>
      <c r="AC780" s="1" t="s">
        <v>46</v>
      </c>
      <c r="AD780" s="1" t="s">
        <v>1328</v>
      </c>
      <c r="AE780" s="1" t="s">
        <v>641</v>
      </c>
      <c r="AF780" s="1" t="s">
        <v>190</v>
      </c>
      <c r="AG780" s="1">
        <v>6</v>
      </c>
      <c r="AH780" s="1" t="s">
        <v>190</v>
      </c>
      <c r="AI780" s="1"/>
      <c r="AJ780" s="1" t="s">
        <v>1329</v>
      </c>
      <c r="AK780" s="1" t="s">
        <v>1126</v>
      </c>
    </row>
    <row r="781" spans="1:37">
      <c r="A781" s="1" t="str">
        <f>VLOOKUP(H781,Languages!$A$2:$B$430,2,FALSE)</f>
        <v>Dravidian</v>
      </c>
      <c r="B781" s="1" t="s">
        <v>35</v>
      </c>
      <c r="C781" s="1" t="s">
        <v>124</v>
      </c>
      <c r="D781" s="1" t="s">
        <v>2265</v>
      </c>
      <c r="E781" s="15" t="s">
        <v>2266</v>
      </c>
      <c r="F781" s="15" t="s">
        <v>2266</v>
      </c>
      <c r="G781" s="1" t="s">
        <v>2266</v>
      </c>
      <c r="H781" s="1" t="str">
        <f>VLOOKUP(G781,'languoid 4.0'!$A$1:$I$24439,2,FALSE)</f>
        <v>drav1251</v>
      </c>
      <c r="I781" s="1" t="str">
        <f>VLOOKUP(G781,'languoid 4.0'!$A$1:$I$24439,6,FALSE)</f>
        <v>language</v>
      </c>
      <c r="J781" s="15" t="s">
        <v>38</v>
      </c>
      <c r="K781" s="15" t="s">
        <v>38</v>
      </c>
      <c r="L781" s="15" t="s">
        <v>38</v>
      </c>
      <c r="M781" s="1"/>
      <c r="N781" s="1" t="s">
        <v>2267</v>
      </c>
      <c r="O781" s="15" t="s">
        <v>40</v>
      </c>
      <c r="P781" s="15" t="s">
        <v>41</v>
      </c>
      <c r="Q781" s="1" t="s">
        <v>1436</v>
      </c>
      <c r="R781" s="2" t="s">
        <v>2268</v>
      </c>
      <c r="S781" s="1" t="s">
        <v>46</v>
      </c>
      <c r="T781" s="1" t="s">
        <v>635</v>
      </c>
      <c r="U781" s="1" t="s">
        <v>636</v>
      </c>
      <c r="V781" s="1" t="s">
        <v>45</v>
      </c>
      <c r="W781" s="1"/>
      <c r="X781" s="1"/>
      <c r="Y781" s="1"/>
      <c r="Z781" s="1" t="s">
        <v>658</v>
      </c>
      <c r="AA781" s="1" t="s">
        <v>2269</v>
      </c>
      <c r="AB781" s="1" t="s">
        <v>46</v>
      </c>
      <c r="AC781" s="1" t="s">
        <v>46</v>
      </c>
      <c r="AD781" s="1" t="s">
        <v>2270</v>
      </c>
      <c r="AE781" s="1" t="s">
        <v>641</v>
      </c>
      <c r="AF781" s="1" t="s">
        <v>190</v>
      </c>
      <c r="AG781" s="1">
        <v>5</v>
      </c>
      <c r="AH781" s="1" t="s">
        <v>190</v>
      </c>
      <c r="AI781" s="1"/>
      <c r="AJ781" s="1" t="s">
        <v>2271</v>
      </c>
      <c r="AK781" s="1" t="s">
        <v>1126</v>
      </c>
    </row>
    <row r="782" spans="1:37">
      <c r="A782" s="1" t="str">
        <f>VLOOKUP(H782,Languages!$A$2:$B$430,2,FALSE)</f>
        <v>Dravidian</v>
      </c>
      <c r="B782" s="1" t="s">
        <v>35</v>
      </c>
      <c r="C782" s="1" t="s">
        <v>124</v>
      </c>
      <c r="D782" s="1" t="s">
        <v>9419</v>
      </c>
      <c r="E782" s="15" t="s">
        <v>9420</v>
      </c>
      <c r="F782" s="15" t="s">
        <v>9420</v>
      </c>
      <c r="G782" s="1" t="s">
        <v>9420</v>
      </c>
      <c r="H782" s="1" t="str">
        <f>VLOOKUP(G782,'languoid 4.0'!$A$1:$I$24439,2,FALSE)</f>
        <v>drav1251</v>
      </c>
      <c r="I782" s="1" t="str">
        <f>VLOOKUP(G782,'languoid 4.0'!$A$1:$I$24439,6,FALSE)</f>
        <v>language</v>
      </c>
      <c r="J782" s="15" t="s">
        <v>38</v>
      </c>
      <c r="K782" s="15" t="s">
        <v>38</v>
      </c>
      <c r="L782" s="15" t="s">
        <v>38</v>
      </c>
      <c r="M782" s="1"/>
      <c r="N782" s="1" t="s">
        <v>9421</v>
      </c>
      <c r="O782" s="15" t="s">
        <v>40</v>
      </c>
      <c r="P782" s="15" t="s">
        <v>41</v>
      </c>
      <c r="Q782" s="1" t="s">
        <v>1641</v>
      </c>
      <c r="R782" s="2" t="s">
        <v>9422</v>
      </c>
      <c r="S782" s="1" t="s">
        <v>46</v>
      </c>
      <c r="T782" s="1" t="s">
        <v>822</v>
      </c>
      <c r="U782" s="1" t="s">
        <v>636</v>
      </c>
      <c r="V782" s="1" t="s">
        <v>45</v>
      </c>
      <c r="W782" s="1"/>
      <c r="X782" s="1"/>
      <c r="Y782" s="1"/>
      <c r="Z782" s="1" t="s">
        <v>658</v>
      </c>
      <c r="AA782" s="1" t="s">
        <v>9423</v>
      </c>
      <c r="AB782" s="1" t="s">
        <v>46</v>
      </c>
      <c r="AC782" s="1" t="s">
        <v>46</v>
      </c>
      <c r="AD782" s="1"/>
      <c r="AE782" s="1" t="s">
        <v>641</v>
      </c>
      <c r="AF782" s="1" t="s">
        <v>190</v>
      </c>
      <c r="AG782" s="1">
        <v>4</v>
      </c>
      <c r="AH782" s="1" t="s">
        <v>190</v>
      </c>
      <c r="AI782" s="1"/>
      <c r="AJ782" s="3">
        <v>43200.59579861111</v>
      </c>
      <c r="AK782" s="1" t="s">
        <v>4945</v>
      </c>
    </row>
    <row r="783" spans="1:37">
      <c r="A783" s="1" t="str">
        <f>VLOOKUP(H783,Languages!$A$2:$B$430,2,FALSE)</f>
        <v>Dravidian</v>
      </c>
      <c r="B783" s="1" t="s">
        <v>35</v>
      </c>
      <c r="C783" s="1" t="s">
        <v>124</v>
      </c>
      <c r="D783" s="1" t="s">
        <v>9046</v>
      </c>
      <c r="E783" s="15" t="s">
        <v>9047</v>
      </c>
      <c r="F783" s="15" t="s">
        <v>9047</v>
      </c>
      <c r="G783" s="1" t="s">
        <v>9047</v>
      </c>
      <c r="H783" s="1" t="str">
        <f>VLOOKUP(G783,'languoid 4.0'!$A$1:$I$24439,2,FALSE)</f>
        <v>drav1251</v>
      </c>
      <c r="I783" s="1" t="str">
        <f>VLOOKUP(G783,'languoid 4.0'!$A$1:$I$24439,6,FALSE)</f>
        <v>language</v>
      </c>
      <c r="J783" s="15" t="s">
        <v>38</v>
      </c>
      <c r="K783" s="15" t="s">
        <v>38</v>
      </c>
      <c r="L783" s="15" t="s">
        <v>38</v>
      </c>
      <c r="M783" s="1"/>
      <c r="N783" s="1" t="s">
        <v>9048</v>
      </c>
      <c r="O783" s="15" t="s">
        <v>40</v>
      </c>
      <c r="P783" s="15" t="s">
        <v>41</v>
      </c>
      <c r="Q783" s="1" t="s">
        <v>9424</v>
      </c>
      <c r="R783" s="2" t="s">
        <v>9425</v>
      </c>
      <c r="S783" s="1" t="s">
        <v>46</v>
      </c>
      <c r="T783" s="1" t="s">
        <v>822</v>
      </c>
      <c r="U783" s="1" t="s">
        <v>636</v>
      </c>
      <c r="V783" s="1" t="s">
        <v>45</v>
      </c>
      <c r="W783" s="1"/>
      <c r="X783" s="1"/>
      <c r="Y783" s="1"/>
      <c r="Z783" s="1" t="s">
        <v>658</v>
      </c>
      <c r="AA783" s="1" t="s">
        <v>9426</v>
      </c>
      <c r="AB783" s="1" t="s">
        <v>46</v>
      </c>
      <c r="AC783" s="1" t="s">
        <v>46</v>
      </c>
      <c r="AD783" s="1"/>
      <c r="AE783" s="1" t="s">
        <v>641</v>
      </c>
      <c r="AF783" s="1" t="s">
        <v>190</v>
      </c>
      <c r="AG783" s="1">
        <v>5</v>
      </c>
      <c r="AH783" s="1" t="s">
        <v>190</v>
      </c>
      <c r="AI783" s="1"/>
      <c r="AJ783" s="3">
        <v>43200.601550925923</v>
      </c>
      <c r="AK783" s="1" t="s">
        <v>4945</v>
      </c>
    </row>
    <row r="784" spans="1:37">
      <c r="A784" s="1" t="str">
        <f>VLOOKUP(H784,Languages!$A$2:$B$430,2,FALSE)</f>
        <v>Dravidian</v>
      </c>
      <c r="B784" s="1" t="s">
        <v>35</v>
      </c>
      <c r="C784" s="1" t="s">
        <v>124</v>
      </c>
      <c r="D784" s="1" t="s">
        <v>9046</v>
      </c>
      <c r="E784" s="15" t="s">
        <v>9047</v>
      </c>
      <c r="F784" s="15" t="s">
        <v>9047</v>
      </c>
      <c r="G784" s="1" t="s">
        <v>9047</v>
      </c>
      <c r="H784" s="1" t="str">
        <f>VLOOKUP(G784,'languoid 4.0'!$A$1:$I$24439,2,FALSE)</f>
        <v>drav1251</v>
      </c>
      <c r="I784" s="1" t="str">
        <f>VLOOKUP(G784,'languoid 4.0'!$A$1:$I$24439,6,FALSE)</f>
        <v>language</v>
      </c>
      <c r="J784" s="15" t="s">
        <v>38</v>
      </c>
      <c r="K784" s="15" t="s">
        <v>38</v>
      </c>
      <c r="L784" s="15" t="s">
        <v>38</v>
      </c>
      <c r="M784" s="1"/>
      <c r="N784" s="1" t="s">
        <v>9048</v>
      </c>
      <c r="O784" s="15" t="s">
        <v>40</v>
      </c>
      <c r="P784" s="15" t="s">
        <v>41</v>
      </c>
      <c r="Q784" s="1" t="s">
        <v>9424</v>
      </c>
      <c r="R784" s="2" t="s">
        <v>9427</v>
      </c>
      <c r="S784" s="1" t="s">
        <v>46</v>
      </c>
      <c r="T784" s="1" t="s">
        <v>822</v>
      </c>
      <c r="U784" s="1" t="s">
        <v>636</v>
      </c>
      <c r="V784" s="1" t="s">
        <v>45</v>
      </c>
      <c r="W784" s="1"/>
      <c r="X784" s="1"/>
      <c r="Y784" s="1"/>
      <c r="Z784" s="1" t="s">
        <v>658</v>
      </c>
      <c r="AA784" s="1" t="s">
        <v>9428</v>
      </c>
      <c r="AB784" s="1" t="s">
        <v>46</v>
      </c>
      <c r="AC784" s="1" t="s">
        <v>46</v>
      </c>
      <c r="AD784" s="1"/>
      <c r="AE784" s="1" t="s">
        <v>641</v>
      </c>
      <c r="AF784" s="1" t="s">
        <v>190</v>
      </c>
      <c r="AG784" s="1">
        <v>5</v>
      </c>
      <c r="AH784" s="1" t="s">
        <v>190</v>
      </c>
      <c r="AI784" s="1" t="s">
        <v>9429</v>
      </c>
      <c r="AJ784" s="3">
        <v>43200.603900462964</v>
      </c>
      <c r="AK784" s="1" t="s">
        <v>4945</v>
      </c>
    </row>
    <row r="785" spans="1:37">
      <c r="A785" s="1" t="str">
        <f>VLOOKUP(H785,Languages!$A$2:$B$430,2,FALSE)</f>
        <v>Dravidian</v>
      </c>
      <c r="B785" s="1" t="s">
        <v>1726</v>
      </c>
      <c r="C785" s="1" t="s">
        <v>124</v>
      </c>
      <c r="D785" s="1" t="s">
        <v>9046</v>
      </c>
      <c r="E785" s="15" t="s">
        <v>9047</v>
      </c>
      <c r="F785" s="15" t="s">
        <v>9047</v>
      </c>
      <c r="G785" s="1" t="s">
        <v>9047</v>
      </c>
      <c r="H785" s="1" t="str">
        <f>VLOOKUP(G785,'languoid 4.0'!$A$1:$I$24439,2,FALSE)</f>
        <v>drav1251</v>
      </c>
      <c r="I785" s="1" t="str">
        <f>VLOOKUP(G785,'languoid 4.0'!$A$1:$I$24439,6,FALSE)</f>
        <v>language</v>
      </c>
      <c r="J785" s="15" t="s">
        <v>38</v>
      </c>
      <c r="K785" s="15" t="s">
        <v>38</v>
      </c>
      <c r="L785" s="15" t="s">
        <v>38</v>
      </c>
      <c r="M785" s="1"/>
      <c r="N785" s="1" t="s">
        <v>9048</v>
      </c>
      <c r="O785" s="15" t="s">
        <v>40</v>
      </c>
      <c r="P785" s="15" t="s">
        <v>41</v>
      </c>
      <c r="Q785" s="1" t="s">
        <v>9049</v>
      </c>
      <c r="R785" s="2" t="s">
        <v>9050</v>
      </c>
      <c r="S785" s="1" t="s">
        <v>46</v>
      </c>
      <c r="T785" s="2" t="s">
        <v>8937</v>
      </c>
      <c r="U785" s="1" t="s">
        <v>636</v>
      </c>
      <c r="V785" s="1" t="s">
        <v>45</v>
      </c>
      <c r="W785" s="1"/>
      <c r="X785" s="1"/>
      <c r="Y785" s="1"/>
      <c r="Z785" s="1" t="s">
        <v>658</v>
      </c>
      <c r="AA785" s="1" t="s">
        <v>9051</v>
      </c>
      <c r="AB785" s="1" t="s">
        <v>46</v>
      </c>
      <c r="AC785" s="1" t="s">
        <v>46</v>
      </c>
      <c r="AD785" s="1"/>
      <c r="AE785" s="1" t="s">
        <v>641</v>
      </c>
      <c r="AF785" s="1" t="s">
        <v>190</v>
      </c>
      <c r="AG785" s="1">
        <v>6</v>
      </c>
      <c r="AH785" s="1" t="s">
        <v>190</v>
      </c>
      <c r="AI785" s="1"/>
      <c r="AJ785" s="1" t="s">
        <v>9052</v>
      </c>
      <c r="AK785" s="1" t="s">
        <v>4945</v>
      </c>
    </row>
    <row r="786" spans="1:37">
      <c r="A786" s="1" t="str">
        <f>VLOOKUP(H786,Languages!$A$2:$B$430,2,FALSE)</f>
        <v>Dravidian</v>
      </c>
      <c r="B786" s="1" t="s">
        <v>1726</v>
      </c>
      <c r="C786" s="1" t="s">
        <v>124</v>
      </c>
      <c r="D786" s="1" t="s">
        <v>9046</v>
      </c>
      <c r="E786" s="15" t="s">
        <v>9047</v>
      </c>
      <c r="F786" s="15" t="s">
        <v>9047</v>
      </c>
      <c r="G786" s="1" t="s">
        <v>9047</v>
      </c>
      <c r="H786" s="1" t="str">
        <f>VLOOKUP(G786,'languoid 4.0'!$A$1:$I$24439,2,FALSE)</f>
        <v>drav1251</v>
      </c>
      <c r="I786" s="1" t="str">
        <f>VLOOKUP(G786,'languoid 4.0'!$A$1:$I$24439,6,FALSE)</f>
        <v>language</v>
      </c>
      <c r="J786" s="15" t="s">
        <v>38</v>
      </c>
      <c r="K786" s="15" t="s">
        <v>38</v>
      </c>
      <c r="L786" s="15" t="s">
        <v>38</v>
      </c>
      <c r="M786" s="1"/>
      <c r="N786" s="1" t="s">
        <v>9048</v>
      </c>
      <c r="O786" s="15" t="s">
        <v>40</v>
      </c>
      <c r="P786" s="15" t="s">
        <v>41</v>
      </c>
      <c r="Q786" s="1" t="s">
        <v>9053</v>
      </c>
      <c r="R786" s="2" t="s">
        <v>9054</v>
      </c>
      <c r="S786" s="1" t="s">
        <v>46</v>
      </c>
      <c r="T786" s="2" t="s">
        <v>8937</v>
      </c>
      <c r="U786" s="1" t="s">
        <v>636</v>
      </c>
      <c r="V786" s="1" t="s">
        <v>45</v>
      </c>
      <c r="W786" s="1"/>
      <c r="X786" s="1"/>
      <c r="Y786" s="1"/>
      <c r="Z786" s="1" t="s">
        <v>658</v>
      </c>
      <c r="AA786" s="1" t="s">
        <v>9055</v>
      </c>
      <c r="AB786" s="1" t="s">
        <v>46</v>
      </c>
      <c r="AC786" s="1" t="s">
        <v>46</v>
      </c>
      <c r="AD786" s="1"/>
      <c r="AE786" s="1" t="s">
        <v>641</v>
      </c>
      <c r="AF786" s="1" t="s">
        <v>190</v>
      </c>
      <c r="AG786" s="1">
        <v>6</v>
      </c>
      <c r="AH786" s="1" t="s">
        <v>190</v>
      </c>
      <c r="AI786" s="1"/>
      <c r="AJ786" s="1" t="s">
        <v>9056</v>
      </c>
      <c r="AK786" s="1" t="s">
        <v>4945</v>
      </c>
    </row>
    <row r="787" spans="1:37">
      <c r="A787" s="1" t="str">
        <f>VLOOKUP(H787,Languages!$A$2:$B$430,2,FALSE)</f>
        <v>Dravidian</v>
      </c>
      <c r="B787" s="1" t="s">
        <v>652</v>
      </c>
      <c r="C787" s="1" t="s">
        <v>124</v>
      </c>
      <c r="D787" s="1" t="s">
        <v>1254</v>
      </c>
      <c r="E787" s="15" t="s">
        <v>1255</v>
      </c>
      <c r="F787" s="15" t="s">
        <v>1255</v>
      </c>
      <c r="G787" s="1" t="s">
        <v>1255</v>
      </c>
      <c r="H787" s="1" t="str">
        <f>VLOOKUP(G787,'languoid 4.0'!$A$1:$I$24439,2,FALSE)</f>
        <v>drav1251</v>
      </c>
      <c r="I787" s="1" t="str">
        <f>VLOOKUP(G787,'languoid 4.0'!$A$1:$I$24439,6,FALSE)</f>
        <v>language</v>
      </c>
      <c r="J787" s="15" t="s">
        <v>38</v>
      </c>
      <c r="K787" s="15" t="s">
        <v>38</v>
      </c>
      <c r="L787" s="15" t="s">
        <v>38</v>
      </c>
      <c r="M787" s="1"/>
      <c r="N787" s="1" t="s">
        <v>1256</v>
      </c>
      <c r="O787" s="15" t="s">
        <v>40</v>
      </c>
      <c r="P787" s="15" t="s">
        <v>41</v>
      </c>
      <c r="Q787" s="1" t="s">
        <v>1257</v>
      </c>
      <c r="R787" s="2" t="s">
        <v>1258</v>
      </c>
      <c r="S787" s="1" t="s">
        <v>46</v>
      </c>
      <c r="T787" s="1" t="s">
        <v>635</v>
      </c>
      <c r="U787" s="1" t="s">
        <v>636</v>
      </c>
      <c r="V787" s="1" t="s">
        <v>45</v>
      </c>
      <c r="W787" s="1"/>
      <c r="X787" s="1"/>
      <c r="Y787" s="1"/>
      <c r="Z787" s="1" t="s">
        <v>658</v>
      </c>
      <c r="AA787" s="1" t="s">
        <v>1259</v>
      </c>
      <c r="AB787" s="1" t="s">
        <v>46</v>
      </c>
      <c r="AC787" s="1" t="s">
        <v>46</v>
      </c>
      <c r="AD787" s="1" t="s">
        <v>1260</v>
      </c>
      <c r="AE787" s="1" t="s">
        <v>641</v>
      </c>
      <c r="AF787" s="1" t="s">
        <v>190</v>
      </c>
      <c r="AG787" s="1">
        <v>6</v>
      </c>
      <c r="AH787" s="1" t="s">
        <v>190</v>
      </c>
      <c r="AI787" s="1" t="s">
        <v>1261</v>
      </c>
      <c r="AJ787" s="1" t="s">
        <v>1262</v>
      </c>
      <c r="AK787" s="1" t="s">
        <v>1126</v>
      </c>
    </row>
    <row r="788" spans="1:37">
      <c r="A788" s="1" t="str">
        <f>VLOOKUP(H788,Languages!$A$2:$B$430,2,FALSE)</f>
        <v>Dravidian</v>
      </c>
      <c r="B788" s="1" t="s">
        <v>652</v>
      </c>
      <c r="C788" s="1" t="s">
        <v>124</v>
      </c>
      <c r="D788" s="1" t="s">
        <v>8931</v>
      </c>
      <c r="E788" s="15" t="s">
        <v>8932</v>
      </c>
      <c r="F788" s="15" t="s">
        <v>8933</v>
      </c>
      <c r="G788" s="1" t="s">
        <v>8933</v>
      </c>
      <c r="H788" s="1" t="str">
        <f>VLOOKUP(G788,'languoid 4.0'!$A$1:$I$24439,2,FALSE)</f>
        <v>drav1251</v>
      </c>
      <c r="I788" s="1" t="str">
        <f>VLOOKUP(G788,'languoid 4.0'!$A$1:$I$24439,6,FALSE)</f>
        <v>language</v>
      </c>
      <c r="J788" s="15" t="s">
        <v>52</v>
      </c>
      <c r="K788" s="15" t="s">
        <v>52</v>
      </c>
      <c r="L788" s="15" t="s">
        <v>52</v>
      </c>
      <c r="M788" s="1"/>
      <c r="N788" s="1" t="s">
        <v>8934</v>
      </c>
      <c r="O788" s="15" t="s">
        <v>40</v>
      </c>
      <c r="P788" s="15" t="s">
        <v>41</v>
      </c>
      <c r="Q788" s="1" t="s">
        <v>8935</v>
      </c>
      <c r="R788" s="2" t="s">
        <v>8936</v>
      </c>
      <c r="S788" s="1" t="s">
        <v>46</v>
      </c>
      <c r="T788" s="2" t="s">
        <v>8937</v>
      </c>
      <c r="U788" s="1" t="s">
        <v>2458</v>
      </c>
      <c r="V788" s="1" t="s">
        <v>45</v>
      </c>
      <c r="W788" s="1"/>
      <c r="X788" s="1"/>
      <c r="Y788" s="1"/>
      <c r="Z788" s="1" t="s">
        <v>1893</v>
      </c>
      <c r="AA788" s="1" t="s">
        <v>8938</v>
      </c>
      <c r="AB788" s="1" t="s">
        <v>46</v>
      </c>
      <c r="AC788" s="1" t="s">
        <v>8939</v>
      </c>
      <c r="AD788" s="1"/>
      <c r="AE788" s="1" t="s">
        <v>641</v>
      </c>
      <c r="AF788" s="1" t="s">
        <v>190</v>
      </c>
      <c r="AG788" s="1">
        <v>6</v>
      </c>
      <c r="AH788" s="1" t="s">
        <v>190</v>
      </c>
      <c r="AI788" s="1"/>
      <c r="AJ788" s="1" t="s">
        <v>8940</v>
      </c>
      <c r="AK788" s="1" t="s">
        <v>4945</v>
      </c>
    </row>
    <row r="789" spans="1:37">
      <c r="A789" s="1" t="str">
        <f>VLOOKUP(H789,Languages!$A$2:$B$430,2,FALSE)</f>
        <v>Dravidian</v>
      </c>
      <c r="B789" s="1" t="s">
        <v>1750</v>
      </c>
      <c r="C789" s="1" t="s">
        <v>124</v>
      </c>
      <c r="D789" s="1" t="s">
        <v>1263</v>
      </c>
      <c r="E789" s="15" t="s">
        <v>1264</v>
      </c>
      <c r="F789" s="15" t="s">
        <v>1264</v>
      </c>
      <c r="G789" s="1" t="s">
        <v>1264</v>
      </c>
      <c r="H789" s="1" t="str">
        <f>VLOOKUP(G789,'languoid 4.0'!$A$1:$I$24439,2,FALSE)</f>
        <v>drav1251</v>
      </c>
      <c r="I789" s="1" t="str">
        <f>VLOOKUP(G789,'languoid 4.0'!$A$1:$I$24439,6,FALSE)</f>
        <v>language</v>
      </c>
      <c r="J789" s="15" t="s">
        <v>38</v>
      </c>
      <c r="K789" s="15" t="s">
        <v>38</v>
      </c>
      <c r="L789" s="15" t="s">
        <v>38</v>
      </c>
      <c r="M789" s="1"/>
      <c r="N789" s="1" t="s">
        <v>1265</v>
      </c>
      <c r="O789" s="15" t="s">
        <v>40</v>
      </c>
      <c r="P789" s="15" t="s">
        <v>41</v>
      </c>
      <c r="Q789" s="1" t="s">
        <v>2299</v>
      </c>
      <c r="R789" s="2" t="s">
        <v>2291</v>
      </c>
      <c r="S789" s="1">
        <v>15</v>
      </c>
      <c r="T789" s="1" t="s">
        <v>648</v>
      </c>
      <c r="U789" s="1" t="s">
        <v>636</v>
      </c>
      <c r="V789" s="1" t="s">
        <v>45</v>
      </c>
      <c r="W789" s="1"/>
      <c r="X789" s="1"/>
      <c r="Y789" s="1"/>
      <c r="Z789" s="1" t="s">
        <v>658</v>
      </c>
      <c r="AA789" s="1" t="s">
        <v>2234</v>
      </c>
      <c r="AB789" s="1" t="s">
        <v>46</v>
      </c>
      <c r="AC789" s="1" t="s">
        <v>46</v>
      </c>
      <c r="AD789" s="1" t="s">
        <v>2300</v>
      </c>
      <c r="AE789" s="1" t="s">
        <v>641</v>
      </c>
      <c r="AF789" s="1" t="s">
        <v>190</v>
      </c>
      <c r="AG789" s="1">
        <v>6</v>
      </c>
      <c r="AH789" s="1" t="s">
        <v>190</v>
      </c>
      <c r="AI789" s="1"/>
      <c r="AJ789" s="1" t="s">
        <v>2301</v>
      </c>
      <c r="AK789" s="1" t="s">
        <v>1126</v>
      </c>
    </row>
    <row r="790" spans="1:37">
      <c r="A790" s="1" t="str">
        <f>VLOOKUP(H790,Languages!$A$2:$B$430,2,FALSE)</f>
        <v>Dravidian</v>
      </c>
      <c r="B790" s="1" t="s">
        <v>1738</v>
      </c>
      <c r="C790" s="1" t="s">
        <v>124</v>
      </c>
      <c r="D790" s="1" t="s">
        <v>4997</v>
      </c>
      <c r="E790" s="15" t="s">
        <v>1255</v>
      </c>
      <c r="F790" s="15" t="s">
        <v>1255</v>
      </c>
      <c r="G790" s="1" t="s">
        <v>1255</v>
      </c>
      <c r="H790" s="1" t="str">
        <f>VLOOKUP(G790,'languoid 4.0'!$A$1:$I$24439,2,FALSE)</f>
        <v>drav1251</v>
      </c>
      <c r="I790" s="1" t="str">
        <f>VLOOKUP(G790,'languoid 4.0'!$A$1:$I$24439,6,FALSE)</f>
        <v>language</v>
      </c>
      <c r="J790" s="15" t="s">
        <v>38</v>
      </c>
      <c r="K790" s="15" t="s">
        <v>38</v>
      </c>
      <c r="L790" s="15" t="s">
        <v>38</v>
      </c>
      <c r="M790" s="1"/>
      <c r="N790" s="1" t="s">
        <v>1256</v>
      </c>
      <c r="O790" s="15" t="s">
        <v>40</v>
      </c>
      <c r="P790" s="15" t="s">
        <v>41</v>
      </c>
      <c r="Q790" s="1" t="s">
        <v>5011</v>
      </c>
      <c r="R790" s="2" t="s">
        <v>5012</v>
      </c>
      <c r="S790" s="1" t="s">
        <v>46</v>
      </c>
      <c r="T790" s="1" t="s">
        <v>635</v>
      </c>
      <c r="U790" s="1" t="s">
        <v>636</v>
      </c>
      <c r="V790" s="1" t="s">
        <v>45</v>
      </c>
      <c r="W790" s="1"/>
      <c r="X790" s="1"/>
      <c r="Y790" s="1"/>
      <c r="Z790" s="1" t="s">
        <v>658</v>
      </c>
      <c r="AA790" s="1" t="s">
        <v>5013</v>
      </c>
      <c r="AB790" s="1" t="s">
        <v>46</v>
      </c>
      <c r="AC790" s="1" t="s">
        <v>46</v>
      </c>
      <c r="AD790" s="1"/>
      <c r="AE790" s="1" t="s">
        <v>641</v>
      </c>
      <c r="AF790" s="1" t="s">
        <v>190</v>
      </c>
      <c r="AG790" s="1">
        <v>5</v>
      </c>
      <c r="AH790" s="1" t="s">
        <v>190</v>
      </c>
      <c r="AI790" s="1"/>
      <c r="AJ790" s="1" t="s">
        <v>5014</v>
      </c>
      <c r="AK790" s="1" t="s">
        <v>4945</v>
      </c>
    </row>
    <row r="791" spans="1:37">
      <c r="A791" s="1" t="str">
        <f>VLOOKUP(H791,Languages!$A$2:$B$430,2,FALSE)</f>
        <v>Dravidian</v>
      </c>
      <c r="B791" s="1" t="s">
        <v>1812</v>
      </c>
      <c r="C791" s="1" t="s">
        <v>124</v>
      </c>
      <c r="D791" s="1" t="s">
        <v>1317</v>
      </c>
      <c r="E791" s="15" t="s">
        <v>1318</v>
      </c>
      <c r="F791" s="15" t="s">
        <v>1319</v>
      </c>
      <c r="G791" s="1" t="s">
        <v>1319</v>
      </c>
      <c r="H791" s="1" t="str">
        <f>VLOOKUP(G791,'languoid 4.0'!$A$1:$I$24439,2,FALSE)</f>
        <v>drav1251</v>
      </c>
      <c r="I791" s="1" t="str">
        <f>VLOOKUP(G791,'languoid 4.0'!$A$1:$I$24439,6,FALSE)</f>
        <v>dialect</v>
      </c>
      <c r="J791" s="15" t="s">
        <v>52</v>
      </c>
      <c r="K791" s="15" t="s">
        <v>38</v>
      </c>
      <c r="L791" s="15" t="s">
        <v>38</v>
      </c>
      <c r="M791" s="1"/>
      <c r="N791" s="1" t="s">
        <v>1320</v>
      </c>
      <c r="O791" s="15" t="s">
        <v>40</v>
      </c>
      <c r="P791" s="15" t="s">
        <v>41</v>
      </c>
      <c r="Q791" s="1" t="s">
        <v>2260</v>
      </c>
      <c r="R791" s="2" t="s">
        <v>2261</v>
      </c>
      <c r="S791" s="1" t="s">
        <v>46</v>
      </c>
      <c r="T791" s="1" t="s">
        <v>635</v>
      </c>
      <c r="U791" s="1" t="s">
        <v>636</v>
      </c>
      <c r="V791" s="1" t="s">
        <v>45</v>
      </c>
      <c r="W791" s="1"/>
      <c r="X791" s="1"/>
      <c r="Y791" s="1"/>
      <c r="Z791" s="1" t="s">
        <v>658</v>
      </c>
      <c r="AA791" s="1" t="s">
        <v>2262</v>
      </c>
      <c r="AB791" s="1" t="s">
        <v>46</v>
      </c>
      <c r="AC791" s="1" t="s">
        <v>46</v>
      </c>
      <c r="AD791" s="1" t="s">
        <v>2263</v>
      </c>
      <c r="AE791" s="1" t="s">
        <v>641</v>
      </c>
      <c r="AF791" s="1" t="s">
        <v>190</v>
      </c>
      <c r="AG791" s="1">
        <v>6</v>
      </c>
      <c r="AH791" s="1" t="s">
        <v>190</v>
      </c>
      <c r="AI791" s="1"/>
      <c r="AJ791" s="1" t="s">
        <v>2264</v>
      </c>
      <c r="AK791" s="1" t="s">
        <v>1126</v>
      </c>
    </row>
    <row r="792" spans="1:37">
      <c r="A792" s="1" t="str">
        <f>VLOOKUP(H792,Languages!$A$2:$B$430,2,FALSE)</f>
        <v>Dravidian</v>
      </c>
      <c r="B792" s="1" t="s">
        <v>1812</v>
      </c>
      <c r="C792" s="1" t="s">
        <v>124</v>
      </c>
      <c r="D792" s="1" t="s">
        <v>1263</v>
      </c>
      <c r="E792" s="15" t="s">
        <v>1264</v>
      </c>
      <c r="F792" s="15" t="s">
        <v>1264</v>
      </c>
      <c r="G792" s="1" t="s">
        <v>1264</v>
      </c>
      <c r="H792" s="1" t="str">
        <f>VLOOKUP(G792,'languoid 4.0'!$A$1:$I$24439,2,FALSE)</f>
        <v>drav1251</v>
      </c>
      <c r="I792" s="1" t="str">
        <f>VLOOKUP(G792,'languoid 4.0'!$A$1:$I$24439,6,FALSE)</f>
        <v>language</v>
      </c>
      <c r="J792" s="15" t="s">
        <v>38</v>
      </c>
      <c r="K792" s="15" t="s">
        <v>38</v>
      </c>
      <c r="L792" s="15" t="s">
        <v>38</v>
      </c>
      <c r="M792" s="1"/>
      <c r="N792" s="1" t="s">
        <v>1265</v>
      </c>
      <c r="O792" s="15" t="s">
        <v>40</v>
      </c>
      <c r="P792" s="15" t="s">
        <v>41</v>
      </c>
      <c r="Q792" s="1" t="s">
        <v>2290</v>
      </c>
      <c r="R792" s="2" t="s">
        <v>2291</v>
      </c>
      <c r="S792" s="1">
        <v>13</v>
      </c>
      <c r="T792" s="1" t="s">
        <v>648</v>
      </c>
      <c r="U792" s="1" t="s">
        <v>636</v>
      </c>
      <c r="V792" s="1" t="s">
        <v>45</v>
      </c>
      <c r="W792" s="1"/>
      <c r="X792" s="1"/>
      <c r="Y792" s="1"/>
      <c r="Z792" s="1" t="s">
        <v>658</v>
      </c>
      <c r="AA792" s="1" t="s">
        <v>2292</v>
      </c>
      <c r="AB792" s="1" t="s">
        <v>46</v>
      </c>
      <c r="AC792" s="1" t="s">
        <v>46</v>
      </c>
      <c r="AD792" s="1" t="s">
        <v>2293</v>
      </c>
      <c r="AE792" s="1" t="s">
        <v>641</v>
      </c>
      <c r="AF792" s="1" t="s">
        <v>190</v>
      </c>
      <c r="AG792" s="1">
        <v>6</v>
      </c>
      <c r="AH792" s="1" t="s">
        <v>190</v>
      </c>
      <c r="AI792" s="1"/>
      <c r="AJ792" s="1" t="s">
        <v>2294</v>
      </c>
      <c r="AK792" s="1" t="s">
        <v>1126</v>
      </c>
    </row>
    <row r="793" spans="1:37">
      <c r="A793" s="1" t="str">
        <f>VLOOKUP(H793,Languages!$A$2:$B$430,2,FALSE)</f>
        <v>Dravidian</v>
      </c>
      <c r="B793" s="1" t="s">
        <v>1812</v>
      </c>
      <c r="C793" s="1" t="s">
        <v>124</v>
      </c>
      <c r="D793" s="1" t="s">
        <v>3573</v>
      </c>
      <c r="E793" s="15" t="s">
        <v>1264</v>
      </c>
      <c r="F793" s="15" t="s">
        <v>1264</v>
      </c>
      <c r="G793" s="1" t="s">
        <v>1264</v>
      </c>
      <c r="H793" s="1" t="str">
        <f>VLOOKUP(G793,'languoid 4.0'!$A$1:$I$24439,2,FALSE)</f>
        <v>drav1251</v>
      </c>
      <c r="I793" s="1" t="str">
        <f>VLOOKUP(G793,'languoid 4.0'!$A$1:$I$24439,6,FALSE)</f>
        <v>language</v>
      </c>
      <c r="J793" s="15" t="s">
        <v>38</v>
      </c>
      <c r="K793" s="15" t="s">
        <v>38</v>
      </c>
      <c r="L793" s="15" t="s">
        <v>38</v>
      </c>
      <c r="M793" s="1"/>
      <c r="N793" s="1" t="s">
        <v>1265</v>
      </c>
      <c r="O793" s="15" t="s">
        <v>40</v>
      </c>
      <c r="P793" s="15" t="s">
        <v>41</v>
      </c>
      <c r="Q793" s="1" t="s">
        <v>3574</v>
      </c>
      <c r="R793" s="2" t="s">
        <v>2291</v>
      </c>
      <c r="S793" s="1" t="s">
        <v>3575</v>
      </c>
      <c r="T793" s="1" t="s">
        <v>657</v>
      </c>
      <c r="U793" s="1" t="s">
        <v>636</v>
      </c>
      <c r="V793" s="1" t="s">
        <v>45</v>
      </c>
      <c r="W793" s="1"/>
      <c r="X793" s="1"/>
      <c r="Y793" s="1"/>
      <c r="Z793" s="1" t="s">
        <v>673</v>
      </c>
      <c r="AA793" s="1" t="s">
        <v>46</v>
      </c>
      <c r="AB793" s="1" t="s">
        <v>3576</v>
      </c>
      <c r="AC793" s="1" t="s">
        <v>46</v>
      </c>
      <c r="AD793" s="1"/>
      <c r="AE793" s="1" t="s">
        <v>641</v>
      </c>
      <c r="AF793" s="1" t="s">
        <v>190</v>
      </c>
      <c r="AG793" s="1">
        <v>6</v>
      </c>
      <c r="AH793" s="1" t="s">
        <v>190</v>
      </c>
      <c r="AI793" s="1"/>
      <c r="AJ793" s="3">
        <v>43164.942465277774</v>
      </c>
      <c r="AK793" s="1" t="s">
        <v>1126</v>
      </c>
    </row>
    <row r="794" spans="1:37">
      <c r="A794" s="1" t="str">
        <f>VLOOKUP(H794,Languages!$A$2:$B$430,2,FALSE)</f>
        <v>Dravidian</v>
      </c>
      <c r="B794" s="1" t="s">
        <v>1812</v>
      </c>
      <c r="C794" s="1" t="s">
        <v>124</v>
      </c>
      <c r="D794" s="1" t="s">
        <v>3573</v>
      </c>
      <c r="E794" s="15" t="s">
        <v>1264</v>
      </c>
      <c r="F794" s="15" t="s">
        <v>1264</v>
      </c>
      <c r="G794" s="1" t="s">
        <v>1264</v>
      </c>
      <c r="H794" s="1" t="str">
        <f>VLOOKUP(G794,'languoid 4.0'!$A$1:$I$24439,2,FALSE)</f>
        <v>drav1251</v>
      </c>
      <c r="I794" s="1" t="str">
        <f>VLOOKUP(G794,'languoid 4.0'!$A$1:$I$24439,6,FALSE)</f>
        <v>language</v>
      </c>
      <c r="J794" s="15" t="s">
        <v>38</v>
      </c>
      <c r="K794" s="15" t="s">
        <v>38</v>
      </c>
      <c r="L794" s="15" t="s">
        <v>38</v>
      </c>
      <c r="M794" s="1"/>
      <c r="N794" s="1" t="s">
        <v>1265</v>
      </c>
      <c r="O794" s="15" t="s">
        <v>40</v>
      </c>
      <c r="P794" s="15" t="s">
        <v>41</v>
      </c>
      <c r="Q794" s="1" t="s">
        <v>3577</v>
      </c>
      <c r="R794" s="2" t="s">
        <v>2291</v>
      </c>
      <c r="S794" s="1">
        <v>8</v>
      </c>
      <c r="T794" s="1" t="s">
        <v>657</v>
      </c>
      <c r="U794" s="1" t="s">
        <v>636</v>
      </c>
      <c r="V794" s="1" t="s">
        <v>45</v>
      </c>
      <c r="W794" s="1"/>
      <c r="X794" s="1"/>
      <c r="Y794" s="1"/>
      <c r="Z794" s="1" t="s">
        <v>637</v>
      </c>
      <c r="AA794" s="1" t="s">
        <v>3578</v>
      </c>
      <c r="AB794" s="1" t="s">
        <v>3579</v>
      </c>
      <c r="AC794" s="1" t="s">
        <v>46</v>
      </c>
      <c r="AD794" s="1"/>
      <c r="AE794" s="1" t="s">
        <v>641</v>
      </c>
      <c r="AF794" s="1" t="s">
        <v>190</v>
      </c>
      <c r="AG794" s="1">
        <v>5</v>
      </c>
      <c r="AH794" s="1" t="s">
        <v>190</v>
      </c>
      <c r="AI794" s="1"/>
      <c r="AJ794" s="3">
        <v>43164.946435185186</v>
      </c>
      <c r="AK794" s="1" t="s">
        <v>1126</v>
      </c>
    </row>
    <row r="795" spans="1:37">
      <c r="A795" s="1" t="str">
        <f>VLOOKUP(H795,Languages!$A$2:$B$430,2,FALSE)</f>
        <v>Dravidian</v>
      </c>
      <c r="B795" s="1" t="s">
        <v>1812</v>
      </c>
      <c r="C795" s="1" t="s">
        <v>124</v>
      </c>
      <c r="D795" s="1" t="s">
        <v>6905</v>
      </c>
      <c r="E795" s="15" t="s">
        <v>2278</v>
      </c>
      <c r="F795" s="15" t="s">
        <v>2278</v>
      </c>
      <c r="G795" s="1" t="s">
        <v>2278</v>
      </c>
      <c r="H795" s="1" t="str">
        <f>VLOOKUP(G795,'languoid 4.0'!$A$1:$I$24439,2,FALSE)</f>
        <v>drav1251</v>
      </c>
      <c r="I795" s="1" t="str">
        <f>VLOOKUP(G795,'languoid 4.0'!$A$1:$I$24439,6,FALSE)</f>
        <v>language</v>
      </c>
      <c r="J795" s="15" t="s">
        <v>38</v>
      </c>
      <c r="K795" s="15" t="s">
        <v>38</v>
      </c>
      <c r="L795" s="15" t="s">
        <v>38</v>
      </c>
      <c r="M795" s="1"/>
      <c r="N795" s="1" t="s">
        <v>2279</v>
      </c>
      <c r="O795" s="15" t="s">
        <v>40</v>
      </c>
      <c r="P795" s="15" t="s">
        <v>41</v>
      </c>
      <c r="Q795" s="1" t="s">
        <v>6906</v>
      </c>
      <c r="R795" s="2" t="s">
        <v>6907</v>
      </c>
      <c r="S795" s="1" t="s">
        <v>46</v>
      </c>
      <c r="T795" s="1" t="s">
        <v>6908</v>
      </c>
      <c r="U795" s="1" t="s">
        <v>636</v>
      </c>
      <c r="V795" s="1" t="s">
        <v>45</v>
      </c>
      <c r="W795" s="1"/>
      <c r="X795" s="1"/>
      <c r="Y795" s="1"/>
      <c r="Z795" s="1" t="s">
        <v>637</v>
      </c>
      <c r="AA795" s="1" t="s">
        <v>6909</v>
      </c>
      <c r="AB795" s="1" t="s">
        <v>6910</v>
      </c>
      <c r="AC795" s="1" t="s">
        <v>46</v>
      </c>
      <c r="AD795" s="1" t="s">
        <v>6911</v>
      </c>
      <c r="AE795" s="1" t="s">
        <v>641</v>
      </c>
      <c r="AF795" s="1" t="s">
        <v>190</v>
      </c>
      <c r="AG795" s="1">
        <v>6</v>
      </c>
      <c r="AH795" s="1" t="s">
        <v>190</v>
      </c>
      <c r="AI795" s="1"/>
      <c r="AJ795" s="1" t="s">
        <v>6912</v>
      </c>
      <c r="AK795" s="1" t="s">
        <v>4945</v>
      </c>
    </row>
    <row r="796" spans="1:37">
      <c r="A796" s="1" t="str">
        <f>VLOOKUP(H796,Languages!$A$2:$B$430,2,FALSE)</f>
        <v>Dravidian</v>
      </c>
      <c r="B796" s="1" t="s">
        <v>1812</v>
      </c>
      <c r="C796" s="1" t="s">
        <v>124</v>
      </c>
      <c r="D796" s="1" t="s">
        <v>6905</v>
      </c>
      <c r="E796" s="15" t="s">
        <v>2278</v>
      </c>
      <c r="F796" s="15" t="s">
        <v>2278</v>
      </c>
      <c r="G796" s="1" t="s">
        <v>2278</v>
      </c>
      <c r="H796" s="1" t="str">
        <f>VLOOKUP(G796,'languoid 4.0'!$A$1:$I$24439,2,FALSE)</f>
        <v>drav1251</v>
      </c>
      <c r="I796" s="1" t="str">
        <f>VLOOKUP(G796,'languoid 4.0'!$A$1:$I$24439,6,FALSE)</f>
        <v>language</v>
      </c>
      <c r="J796" s="15" t="s">
        <v>38</v>
      </c>
      <c r="K796" s="15" t="s">
        <v>38</v>
      </c>
      <c r="L796" s="15" t="s">
        <v>38</v>
      </c>
      <c r="M796" s="1"/>
      <c r="N796" s="1" t="s">
        <v>2279</v>
      </c>
      <c r="O796" s="15" t="s">
        <v>40</v>
      </c>
      <c r="P796" s="15" t="s">
        <v>41</v>
      </c>
      <c r="Q796" s="1" t="s">
        <v>6913</v>
      </c>
      <c r="R796" s="2" t="s">
        <v>6914</v>
      </c>
      <c r="S796" s="1" t="s">
        <v>46</v>
      </c>
      <c r="T796" s="1" t="s">
        <v>822</v>
      </c>
      <c r="U796" s="1" t="s">
        <v>636</v>
      </c>
      <c r="V796" s="1" t="s">
        <v>45</v>
      </c>
      <c r="W796" s="1"/>
      <c r="X796" s="1"/>
      <c r="Y796" s="1"/>
      <c r="Z796" s="1" t="s">
        <v>673</v>
      </c>
      <c r="AA796" s="1" t="s">
        <v>6915</v>
      </c>
      <c r="AB796" s="1" t="s">
        <v>6916</v>
      </c>
      <c r="AC796" s="1" t="s">
        <v>46</v>
      </c>
      <c r="AD796" s="1" t="s">
        <v>6917</v>
      </c>
      <c r="AE796" s="1" t="s">
        <v>641</v>
      </c>
      <c r="AF796" s="1" t="s">
        <v>190</v>
      </c>
      <c r="AG796" s="1">
        <v>6</v>
      </c>
      <c r="AH796" s="1" t="s">
        <v>190</v>
      </c>
      <c r="AI796" s="1"/>
      <c r="AJ796" s="1" t="s">
        <v>6918</v>
      </c>
      <c r="AK796" s="1" t="s">
        <v>4945</v>
      </c>
    </row>
    <row r="797" spans="1:37">
      <c r="A797" s="1" t="str">
        <f>VLOOKUP(H797,Languages!$A$2:$B$430,2,FALSE)</f>
        <v>Dravidian</v>
      </c>
      <c r="B797" s="1" t="s">
        <v>1812</v>
      </c>
      <c r="C797" s="1" t="s">
        <v>124</v>
      </c>
      <c r="D797" s="1" t="s">
        <v>1263</v>
      </c>
      <c r="E797" s="15" t="s">
        <v>1264</v>
      </c>
      <c r="F797" s="15" t="s">
        <v>1264</v>
      </c>
      <c r="G797" s="1" t="s">
        <v>1264</v>
      </c>
      <c r="H797" s="1" t="str">
        <f>VLOOKUP(G797,'languoid 4.0'!$A$1:$I$24439,2,FALSE)</f>
        <v>drav1251</v>
      </c>
      <c r="I797" s="1" t="str">
        <f>VLOOKUP(G797,'languoid 4.0'!$A$1:$I$24439,6,FALSE)</f>
        <v>language</v>
      </c>
      <c r="J797" s="15" t="s">
        <v>38</v>
      </c>
      <c r="K797" s="15" t="s">
        <v>38</v>
      </c>
      <c r="L797" s="15" t="s">
        <v>38</v>
      </c>
      <c r="M797" s="1"/>
      <c r="N797" s="1" t="s">
        <v>1265</v>
      </c>
      <c r="O797" s="15" t="s">
        <v>40</v>
      </c>
      <c r="P797" s="15" t="s">
        <v>41</v>
      </c>
      <c r="Q797" s="1" t="s">
        <v>7486</v>
      </c>
      <c r="R797" s="2" t="s">
        <v>7487</v>
      </c>
      <c r="S797" s="1" t="s">
        <v>46</v>
      </c>
      <c r="T797" s="1" t="s">
        <v>822</v>
      </c>
      <c r="U797" s="1" t="s">
        <v>7488</v>
      </c>
      <c r="V797" s="1" t="s">
        <v>45</v>
      </c>
      <c r="W797" s="1"/>
      <c r="X797" s="1"/>
      <c r="Y797" s="1"/>
      <c r="Z797" s="1" t="s">
        <v>658</v>
      </c>
      <c r="AA797" s="1" t="s">
        <v>7489</v>
      </c>
      <c r="AB797" s="1" t="s">
        <v>7490</v>
      </c>
      <c r="AC797" s="1" t="s">
        <v>46</v>
      </c>
      <c r="AD797" s="1"/>
      <c r="AE797" s="1" t="s">
        <v>641</v>
      </c>
      <c r="AF797" s="1" t="s">
        <v>45</v>
      </c>
      <c r="AG797" s="1">
        <v>1</v>
      </c>
      <c r="AH797" s="1" t="s">
        <v>190</v>
      </c>
      <c r="AI797" s="1"/>
      <c r="AJ797" s="1" t="s">
        <v>7491</v>
      </c>
      <c r="AK797" s="1" t="s">
        <v>4945</v>
      </c>
    </row>
    <row r="798" spans="1:37">
      <c r="A798" s="1" t="str">
        <f>VLOOKUP(H798,Languages!$A$2:$B$430,2,FALSE)</f>
        <v>Dravidian</v>
      </c>
      <c r="B798" s="1" t="s">
        <v>1812</v>
      </c>
      <c r="C798" s="1" t="s">
        <v>124</v>
      </c>
      <c r="D798" s="1" t="s">
        <v>6905</v>
      </c>
      <c r="E798" s="15" t="s">
        <v>2278</v>
      </c>
      <c r="F798" s="15" t="s">
        <v>2278</v>
      </c>
      <c r="G798" s="1" t="s">
        <v>2278</v>
      </c>
      <c r="H798" s="1" t="str">
        <f>VLOOKUP(G798,'languoid 4.0'!$A$1:$I$24439,2,FALSE)</f>
        <v>drav1251</v>
      </c>
      <c r="I798" s="1" t="str">
        <f>VLOOKUP(G798,'languoid 4.0'!$A$1:$I$24439,6,FALSE)</f>
        <v>language</v>
      </c>
      <c r="J798" s="15" t="s">
        <v>38</v>
      </c>
      <c r="K798" s="15" t="s">
        <v>38</v>
      </c>
      <c r="L798" s="15" t="s">
        <v>38</v>
      </c>
      <c r="M798" s="1"/>
      <c r="N798" s="1" t="s">
        <v>2279</v>
      </c>
      <c r="O798" s="15" t="s">
        <v>40</v>
      </c>
      <c r="P798" s="15" t="s">
        <v>41</v>
      </c>
      <c r="Q798" s="1" t="s">
        <v>7521</v>
      </c>
      <c r="R798" s="2" t="s">
        <v>7522</v>
      </c>
      <c r="S798" s="1" t="s">
        <v>46</v>
      </c>
      <c r="T798" s="1" t="s">
        <v>822</v>
      </c>
      <c r="U798" s="1" t="s">
        <v>636</v>
      </c>
      <c r="V798" s="1" t="s">
        <v>45</v>
      </c>
      <c r="W798" s="1"/>
      <c r="X798" s="1"/>
      <c r="Y798" s="1"/>
      <c r="Z798" s="1" t="s">
        <v>673</v>
      </c>
      <c r="AA798" s="1" t="s">
        <v>7523</v>
      </c>
      <c r="AB798" s="1" t="s">
        <v>7524</v>
      </c>
      <c r="AC798" s="1" t="s">
        <v>46</v>
      </c>
      <c r="AD798" s="1"/>
      <c r="AE798" s="1" t="s">
        <v>641</v>
      </c>
      <c r="AF798" s="1" t="s">
        <v>190</v>
      </c>
      <c r="AG798" s="1">
        <v>6</v>
      </c>
      <c r="AH798" s="1" t="s">
        <v>190</v>
      </c>
      <c r="AI798" s="1"/>
      <c r="AJ798" s="1" t="s">
        <v>7525</v>
      </c>
      <c r="AK798" s="1" t="s">
        <v>4945</v>
      </c>
    </row>
    <row r="799" spans="1:37">
      <c r="A799" s="1" t="str">
        <f>VLOOKUP(H799,Languages!$A$2:$B$430,2,FALSE)</f>
        <v>Dravidian</v>
      </c>
      <c r="B799" s="1" t="s">
        <v>1812</v>
      </c>
      <c r="C799" s="1" t="s">
        <v>124</v>
      </c>
      <c r="D799" s="1" t="s">
        <v>3573</v>
      </c>
      <c r="E799" s="15" t="s">
        <v>1264</v>
      </c>
      <c r="F799" s="15" t="s">
        <v>1264</v>
      </c>
      <c r="G799" s="1" t="s">
        <v>1264</v>
      </c>
      <c r="H799" s="1" t="str">
        <f>VLOOKUP(G799,'languoid 4.0'!$A$1:$I$24439,2,FALSE)</f>
        <v>drav1251</v>
      </c>
      <c r="I799" s="1" t="str">
        <f>VLOOKUP(G799,'languoid 4.0'!$A$1:$I$24439,6,FALSE)</f>
        <v>language</v>
      </c>
      <c r="J799" s="15" t="s">
        <v>38</v>
      </c>
      <c r="K799" s="15" t="s">
        <v>38</v>
      </c>
      <c r="L799" s="15" t="s">
        <v>38</v>
      </c>
      <c r="M799" s="1"/>
      <c r="N799" s="1" t="s">
        <v>1265</v>
      </c>
      <c r="O799" s="15" t="s">
        <v>40</v>
      </c>
      <c r="P799" s="15" t="s">
        <v>41</v>
      </c>
      <c r="Q799" s="1" t="s">
        <v>9400</v>
      </c>
      <c r="R799" s="2" t="s">
        <v>9401</v>
      </c>
      <c r="S799" s="1" t="s">
        <v>387</v>
      </c>
      <c r="T799" s="1" t="s">
        <v>9402</v>
      </c>
      <c r="U799" s="1" t="s">
        <v>636</v>
      </c>
      <c r="V799" s="1" t="s">
        <v>45</v>
      </c>
      <c r="W799" s="1"/>
      <c r="X799" s="1"/>
      <c r="Y799" s="1"/>
      <c r="Z799" s="1" t="s">
        <v>673</v>
      </c>
      <c r="AA799" s="1" t="s">
        <v>9403</v>
      </c>
      <c r="AB799" s="1" t="s">
        <v>9404</v>
      </c>
      <c r="AC799" s="1" t="s">
        <v>46</v>
      </c>
      <c r="AD799" s="1"/>
      <c r="AE799" s="1" t="s">
        <v>641</v>
      </c>
      <c r="AF799" s="1" t="s">
        <v>190</v>
      </c>
      <c r="AG799" s="1">
        <v>6</v>
      </c>
      <c r="AH799" s="1" t="s">
        <v>190</v>
      </c>
      <c r="AI799" s="1"/>
      <c r="AJ799" s="3">
        <v>43200.465150462966</v>
      </c>
      <c r="AK799" s="1" t="s">
        <v>4945</v>
      </c>
    </row>
    <row r="800" spans="1:37">
      <c r="A800" s="1" t="str">
        <f>VLOOKUP(H800,Languages!$A$2:$B$430,2,FALSE)</f>
        <v>Dravidian</v>
      </c>
      <c r="B800" s="1" t="s">
        <v>1707</v>
      </c>
      <c r="C800" s="1" t="s">
        <v>124</v>
      </c>
      <c r="D800" s="1" t="s">
        <v>2277</v>
      </c>
      <c r="E800" s="15" t="s">
        <v>2278</v>
      </c>
      <c r="F800" s="15" t="s">
        <v>51</v>
      </c>
      <c r="G800" s="1" t="s">
        <v>2278</v>
      </c>
      <c r="H800" s="1" t="str">
        <f>VLOOKUP(G800,'languoid 4.0'!$A$1:$I$24439,2,FALSE)</f>
        <v>drav1251</v>
      </c>
      <c r="I800" s="1" t="str">
        <f>VLOOKUP(G800,'languoid 4.0'!$A$1:$I$24439,6,FALSE)</f>
        <v>language</v>
      </c>
      <c r="J800" s="15" t="s">
        <v>52</v>
      </c>
      <c r="K800" s="15" t="s">
        <v>51</v>
      </c>
      <c r="L800" s="15" t="s">
        <v>51</v>
      </c>
      <c r="M800" s="1"/>
      <c r="N800" s="1" t="s">
        <v>2279</v>
      </c>
      <c r="O800" s="15" t="s">
        <v>40</v>
      </c>
      <c r="P800" s="15" t="s">
        <v>41</v>
      </c>
      <c r="Q800" s="1" t="s">
        <v>2280</v>
      </c>
      <c r="R800" s="2" t="s">
        <v>2200</v>
      </c>
      <c r="S800" s="1" t="s">
        <v>2281</v>
      </c>
      <c r="T800" s="1" t="s">
        <v>648</v>
      </c>
      <c r="U800" s="1" t="s">
        <v>636</v>
      </c>
      <c r="V800" s="1" t="s">
        <v>45</v>
      </c>
      <c r="W800" s="1"/>
      <c r="X800" s="1"/>
      <c r="Y800" s="1"/>
      <c r="Z800" s="1" t="s">
        <v>658</v>
      </c>
      <c r="AA800" s="1" t="s">
        <v>2282</v>
      </c>
      <c r="AB800" s="1" t="s">
        <v>46</v>
      </c>
      <c r="AC800" s="1" t="s">
        <v>46</v>
      </c>
      <c r="AD800" s="1" t="s">
        <v>2283</v>
      </c>
      <c r="AE800" s="1" t="s">
        <v>641</v>
      </c>
      <c r="AF800" s="1" t="s">
        <v>190</v>
      </c>
      <c r="AG800" s="1">
        <v>5</v>
      </c>
      <c r="AH800" s="1" t="s">
        <v>190</v>
      </c>
      <c r="AI800" s="1" t="s">
        <v>2284</v>
      </c>
      <c r="AJ800" s="1" t="s">
        <v>2285</v>
      </c>
      <c r="AK800" s="1" t="s">
        <v>1126</v>
      </c>
    </row>
    <row r="801" spans="1:37">
      <c r="A801" s="1" t="str">
        <f>VLOOKUP(H801,Languages!$A$2:$B$430,2,FALSE)</f>
        <v>Dravidian</v>
      </c>
      <c r="B801" s="1" t="s">
        <v>1707</v>
      </c>
      <c r="C801" s="1" t="s">
        <v>124</v>
      </c>
      <c r="D801" s="1" t="s">
        <v>2286</v>
      </c>
      <c r="E801" s="15" t="s">
        <v>2278</v>
      </c>
      <c r="F801" s="15" t="s">
        <v>51</v>
      </c>
      <c r="G801" s="1" t="s">
        <v>2278</v>
      </c>
      <c r="H801" s="1" t="str">
        <f>VLOOKUP(G801,'languoid 4.0'!$A$1:$I$24439,2,FALSE)</f>
        <v>drav1251</v>
      </c>
      <c r="I801" s="1" t="str">
        <f>VLOOKUP(G801,'languoid 4.0'!$A$1:$I$24439,6,FALSE)</f>
        <v>language</v>
      </c>
      <c r="J801" s="15" t="s">
        <v>52</v>
      </c>
      <c r="K801" s="15" t="s">
        <v>51</v>
      </c>
      <c r="L801" s="15" t="s">
        <v>51</v>
      </c>
      <c r="M801" s="1"/>
      <c r="N801" s="1" t="s">
        <v>2279</v>
      </c>
      <c r="O801" s="15" t="s">
        <v>40</v>
      </c>
      <c r="P801" s="15" t="s">
        <v>41</v>
      </c>
      <c r="Q801" s="1" t="s">
        <v>2280</v>
      </c>
      <c r="R801" s="2" t="s">
        <v>2200</v>
      </c>
      <c r="S801" s="1" t="s">
        <v>2196</v>
      </c>
      <c r="T801" s="1" t="s">
        <v>648</v>
      </c>
      <c r="U801" s="1" t="s">
        <v>636</v>
      </c>
      <c r="V801" s="1" t="s">
        <v>45</v>
      </c>
      <c r="W801" s="1"/>
      <c r="X801" s="1"/>
      <c r="Y801" s="1"/>
      <c r="Z801" s="1" t="s">
        <v>658</v>
      </c>
      <c r="AA801" s="1" t="s">
        <v>2282</v>
      </c>
      <c r="AB801" s="1" t="s">
        <v>46</v>
      </c>
      <c r="AC801" s="1" t="s">
        <v>46</v>
      </c>
      <c r="AD801" s="1" t="s">
        <v>2287</v>
      </c>
      <c r="AE801" s="1" t="s">
        <v>641</v>
      </c>
      <c r="AF801" s="1" t="s">
        <v>190</v>
      </c>
      <c r="AG801" s="1">
        <v>6</v>
      </c>
      <c r="AH801" s="1" t="s">
        <v>190</v>
      </c>
      <c r="AI801" s="1" t="s">
        <v>2288</v>
      </c>
      <c r="AJ801" s="1" t="s">
        <v>2289</v>
      </c>
      <c r="AK801" s="1" t="s">
        <v>1126</v>
      </c>
    </row>
    <row r="802" spans="1:37">
      <c r="A802" s="1" t="str">
        <f>VLOOKUP(H802,Languages!$A$2:$B$430,2,FALSE)</f>
        <v>Dravidian</v>
      </c>
      <c r="B802" s="1" t="s">
        <v>1707</v>
      </c>
      <c r="C802" s="1" t="s">
        <v>124</v>
      </c>
      <c r="D802" s="1" t="s">
        <v>1263</v>
      </c>
      <c r="E802" s="15" t="s">
        <v>1264</v>
      </c>
      <c r="F802" s="15" t="s">
        <v>1264</v>
      </c>
      <c r="G802" s="1" t="s">
        <v>1264</v>
      </c>
      <c r="H802" s="1" t="str">
        <f>VLOOKUP(G802,'languoid 4.0'!$A$1:$I$24439,2,FALSE)</f>
        <v>drav1251</v>
      </c>
      <c r="I802" s="1" t="str">
        <f>VLOOKUP(G802,'languoid 4.0'!$A$1:$I$24439,6,FALSE)</f>
        <v>language</v>
      </c>
      <c r="J802" s="15" t="s">
        <v>38</v>
      </c>
      <c r="K802" s="15" t="s">
        <v>38</v>
      </c>
      <c r="L802" s="15" t="s">
        <v>38</v>
      </c>
      <c r="M802" s="1"/>
      <c r="N802" s="1" t="s">
        <v>1265</v>
      </c>
      <c r="O802" s="15" t="s">
        <v>40</v>
      </c>
      <c r="P802" s="15" t="s">
        <v>41</v>
      </c>
      <c r="Q802" s="1" t="s">
        <v>2295</v>
      </c>
      <c r="R802" s="2" t="s">
        <v>2291</v>
      </c>
      <c r="S802" s="1">
        <v>11</v>
      </c>
      <c r="T802" s="1" t="s">
        <v>648</v>
      </c>
      <c r="U802" s="1" t="s">
        <v>636</v>
      </c>
      <c r="V802" s="1" t="s">
        <v>45</v>
      </c>
      <c r="W802" s="1"/>
      <c r="X802" s="1"/>
      <c r="Y802" s="1"/>
      <c r="Z802" s="1" t="s">
        <v>658</v>
      </c>
      <c r="AA802" s="1" t="s">
        <v>2296</v>
      </c>
      <c r="AB802" s="1" t="s">
        <v>46</v>
      </c>
      <c r="AC802" s="1" t="s">
        <v>46</v>
      </c>
      <c r="AD802" s="1" t="s">
        <v>2297</v>
      </c>
      <c r="AE802" s="1" t="s">
        <v>641</v>
      </c>
      <c r="AF802" s="1" t="s">
        <v>190</v>
      </c>
      <c r="AG802" s="1">
        <v>6</v>
      </c>
      <c r="AH802" s="1" t="s">
        <v>190</v>
      </c>
      <c r="AI802" s="1"/>
      <c r="AJ802" s="1" t="s">
        <v>2298</v>
      </c>
      <c r="AK802" s="1" t="s">
        <v>1126</v>
      </c>
    </row>
    <row r="803" spans="1:37">
      <c r="A803" s="1" t="str">
        <f>VLOOKUP(H803,Languages!$A$2:$B$430,2,FALSE)</f>
        <v>Eastern Trans-Fly</v>
      </c>
      <c r="B803" s="1" t="s">
        <v>35</v>
      </c>
      <c r="C803" s="1" t="s">
        <v>75</v>
      </c>
      <c r="D803" s="1" t="s">
        <v>8687</v>
      </c>
      <c r="E803" s="15" t="s">
        <v>8688</v>
      </c>
      <c r="F803" s="15" t="s">
        <v>8688</v>
      </c>
      <c r="G803" s="1" t="s">
        <v>8688</v>
      </c>
      <c r="H803" s="1" t="str">
        <f>VLOOKUP(G803,'languoid 4.0'!$A$1:$I$24439,2,FALSE)</f>
        <v>east2503</v>
      </c>
      <c r="I803" s="1" t="str">
        <f>VLOOKUP(G803,'languoid 4.0'!$A$1:$I$24439,6,FALSE)</f>
        <v>language</v>
      </c>
      <c r="J803" s="15" t="s">
        <v>38</v>
      </c>
      <c r="K803" s="15" t="s">
        <v>38</v>
      </c>
      <c r="L803" s="15" t="s">
        <v>38</v>
      </c>
      <c r="M803" s="1"/>
      <c r="N803" s="1" t="s">
        <v>8689</v>
      </c>
      <c r="O803" s="15" t="s">
        <v>40</v>
      </c>
      <c r="P803" s="15" t="s">
        <v>41</v>
      </c>
      <c r="Q803" s="1" t="s">
        <v>8690</v>
      </c>
      <c r="R803" s="2" t="s">
        <v>8691</v>
      </c>
      <c r="S803" s="1" t="s">
        <v>46</v>
      </c>
      <c r="T803" s="1" t="s">
        <v>635</v>
      </c>
      <c r="U803" s="1" t="s">
        <v>636</v>
      </c>
      <c r="V803" s="1" t="s">
        <v>45</v>
      </c>
      <c r="W803" s="1"/>
      <c r="X803" s="1"/>
      <c r="Y803" s="1"/>
      <c r="Z803" s="1" t="s">
        <v>637</v>
      </c>
      <c r="AA803" s="1" t="s">
        <v>8692</v>
      </c>
      <c r="AB803" s="1" t="s">
        <v>46</v>
      </c>
      <c r="AC803" s="1" t="s">
        <v>46</v>
      </c>
      <c r="AD803" s="1" t="s">
        <v>8693</v>
      </c>
      <c r="AE803" s="1" t="s">
        <v>641</v>
      </c>
      <c r="AF803" s="1" t="s">
        <v>190</v>
      </c>
      <c r="AG803" s="1">
        <v>6</v>
      </c>
      <c r="AH803" s="1" t="s">
        <v>190</v>
      </c>
      <c r="AI803" s="1"/>
      <c r="AJ803" s="3">
        <v>43321.82199074074</v>
      </c>
      <c r="AK803" s="1" t="s">
        <v>5640</v>
      </c>
    </row>
    <row r="804" spans="1:37">
      <c r="A804" s="1" t="str">
        <f>VLOOKUP(H804,Languages!$A$2:$B$430,2,FALSE)</f>
        <v>Eastern Trans-Fly</v>
      </c>
      <c r="B804" s="1" t="s">
        <v>1750</v>
      </c>
      <c r="C804" s="1" t="s">
        <v>34</v>
      </c>
      <c r="D804" s="1" t="s">
        <v>10174</v>
      </c>
      <c r="E804" s="15" t="s">
        <v>2916</v>
      </c>
      <c r="F804" s="15" t="s">
        <v>2916</v>
      </c>
      <c r="G804" s="1" t="s">
        <v>2916</v>
      </c>
      <c r="H804" s="1" t="str">
        <f>VLOOKUP(G804,'languoid 4.0'!$A$1:$I$24439,2,FALSE)</f>
        <v>east2503</v>
      </c>
      <c r="I804" s="1" t="str">
        <f>VLOOKUP(G804,'languoid 4.0'!$A$1:$I$24439,6,FALSE)</f>
        <v>language</v>
      </c>
      <c r="J804" s="15" t="s">
        <v>38</v>
      </c>
      <c r="K804" s="15" t="s">
        <v>38</v>
      </c>
      <c r="L804" s="15" t="s">
        <v>38</v>
      </c>
      <c r="M804" s="1"/>
      <c r="N804" s="1" t="s">
        <v>2917</v>
      </c>
      <c r="O804" s="15" t="s">
        <v>40</v>
      </c>
      <c r="P804" s="15" t="s">
        <v>41</v>
      </c>
      <c r="Q804" s="1" t="s">
        <v>10175</v>
      </c>
      <c r="R804" s="2" t="s">
        <v>10168</v>
      </c>
      <c r="S804" s="1" t="s">
        <v>10169</v>
      </c>
      <c r="T804" s="1" t="s">
        <v>657</v>
      </c>
      <c r="U804" s="1" t="s">
        <v>636</v>
      </c>
      <c r="V804" s="1" t="s">
        <v>45</v>
      </c>
      <c r="W804" s="1"/>
      <c r="X804" s="1"/>
      <c r="Y804" s="1"/>
      <c r="Z804" s="1" t="s">
        <v>637</v>
      </c>
      <c r="AA804" s="1" t="s">
        <v>10176</v>
      </c>
      <c r="AB804" s="1" t="s">
        <v>46</v>
      </c>
      <c r="AC804" s="1" t="s">
        <v>10177</v>
      </c>
      <c r="AD804" s="1"/>
      <c r="AE804" s="1"/>
      <c r="AF804" s="1"/>
      <c r="AG804" s="1"/>
      <c r="AH804" s="1" t="s">
        <v>45</v>
      </c>
      <c r="AI804" s="1"/>
      <c r="AJ804" s="1" t="s">
        <v>10178</v>
      </c>
      <c r="AK804" s="1" t="s">
        <v>9537</v>
      </c>
    </row>
    <row r="805" spans="1:37">
      <c r="A805" s="1" t="str">
        <f>VLOOKUP(H805,Languages!$A$2:$B$430,2,FALSE)</f>
        <v>Eastern Trans-Fly</v>
      </c>
      <c r="B805" s="1" t="s">
        <v>1707</v>
      </c>
      <c r="C805" s="1" t="s">
        <v>34</v>
      </c>
      <c r="D805" s="1" t="s">
        <v>10166</v>
      </c>
      <c r="E805" s="15" t="s">
        <v>2916</v>
      </c>
      <c r="F805" s="15" t="s">
        <v>2916</v>
      </c>
      <c r="G805" s="1" t="s">
        <v>2916</v>
      </c>
      <c r="H805" s="1" t="str">
        <f>VLOOKUP(G805,'languoid 4.0'!$A$1:$I$24439,2,FALSE)</f>
        <v>east2503</v>
      </c>
      <c r="I805" s="1" t="str">
        <f>VLOOKUP(G805,'languoid 4.0'!$A$1:$I$24439,6,FALSE)</f>
        <v>language</v>
      </c>
      <c r="J805" s="15" t="s">
        <v>38</v>
      </c>
      <c r="K805" s="15" t="s">
        <v>38</v>
      </c>
      <c r="L805" s="15" t="s">
        <v>38</v>
      </c>
      <c r="M805" s="1"/>
      <c r="N805" s="1" t="s">
        <v>2917</v>
      </c>
      <c r="O805" s="15" t="s">
        <v>40</v>
      </c>
      <c r="P805" s="15" t="s">
        <v>41</v>
      </c>
      <c r="Q805" s="1" t="s">
        <v>10167</v>
      </c>
      <c r="R805" s="2" t="s">
        <v>10168</v>
      </c>
      <c r="S805" s="1" t="s">
        <v>10169</v>
      </c>
      <c r="T805" s="1" t="s">
        <v>657</v>
      </c>
      <c r="U805" s="1" t="s">
        <v>636</v>
      </c>
      <c r="V805" s="1" t="s">
        <v>45</v>
      </c>
      <c r="W805" s="1"/>
      <c r="X805" s="1"/>
      <c r="Y805" s="1"/>
      <c r="Z805" s="1" t="s">
        <v>673</v>
      </c>
      <c r="AA805" s="1" t="s">
        <v>10170</v>
      </c>
      <c r="AB805" s="1" t="s">
        <v>10171</v>
      </c>
      <c r="AC805" s="1" t="s">
        <v>10172</v>
      </c>
      <c r="AD805" s="1"/>
      <c r="AE805" s="1"/>
      <c r="AF805" s="1"/>
      <c r="AG805" s="1"/>
      <c r="AH805" s="1" t="s">
        <v>45</v>
      </c>
      <c r="AI805" s="1"/>
      <c r="AJ805" s="1" t="s">
        <v>10173</v>
      </c>
      <c r="AK805" s="1" t="s">
        <v>9537</v>
      </c>
    </row>
    <row r="806" spans="1:37">
      <c r="A806" s="1" t="str">
        <f>VLOOKUP(H806,Languages!$A$2:$B$430,2,FALSE)</f>
        <v>Eskimo-Aleut</v>
      </c>
      <c r="B806" s="1" t="s">
        <v>67</v>
      </c>
      <c r="C806" s="1" t="s">
        <v>220</v>
      </c>
      <c r="D806" s="1" t="s">
        <v>660</v>
      </c>
      <c r="E806" s="15" t="s">
        <v>277</v>
      </c>
      <c r="F806" s="15" t="s">
        <v>661</v>
      </c>
      <c r="G806" s="8" t="s">
        <v>661</v>
      </c>
      <c r="H806" s="1" t="str">
        <f>VLOOKUP(G806,'languoid 4.0'!$A$1:$I$24439,2,FALSE)</f>
        <v>eski1264</v>
      </c>
      <c r="I806" s="1" t="str">
        <f>VLOOKUP(G806,'languoid 4.0'!$A$1:$I$24439,6,FALSE)</f>
        <v>language</v>
      </c>
      <c r="J806" s="15" t="s">
        <v>52</v>
      </c>
      <c r="K806" s="15" t="s">
        <v>38</v>
      </c>
      <c r="L806" s="15" t="s">
        <v>38</v>
      </c>
      <c r="M806" s="1"/>
      <c r="N806" s="1"/>
      <c r="O806" s="15" t="s">
        <v>113</v>
      </c>
      <c r="P806" s="15" t="s">
        <v>41</v>
      </c>
      <c r="Q806" s="1" t="s">
        <v>662</v>
      </c>
      <c r="R806" s="2" t="s">
        <v>655</v>
      </c>
      <c r="S806" s="1" t="s">
        <v>663</v>
      </c>
      <c r="T806" s="1" t="s">
        <v>664</v>
      </c>
      <c r="U806" s="1" t="s">
        <v>636</v>
      </c>
      <c r="V806" s="1" t="s">
        <v>45</v>
      </c>
      <c r="W806" s="1"/>
      <c r="X806" s="1"/>
      <c r="Y806" s="1"/>
      <c r="Z806" s="1" t="s">
        <v>658</v>
      </c>
      <c r="AA806" s="1" t="s">
        <v>665</v>
      </c>
      <c r="AB806" s="1" t="s">
        <v>46</v>
      </c>
      <c r="AC806" s="1" t="s">
        <v>46</v>
      </c>
      <c r="AD806" s="1"/>
      <c r="AE806" s="1" t="s">
        <v>641</v>
      </c>
      <c r="AF806" s="1" t="s">
        <v>190</v>
      </c>
      <c r="AG806" s="1">
        <v>5</v>
      </c>
      <c r="AH806" s="1" t="s">
        <v>190</v>
      </c>
      <c r="AI806" s="1"/>
      <c r="AJ806" s="3">
        <v>43133.556354166663</v>
      </c>
      <c r="AK806" s="1" t="s">
        <v>74</v>
      </c>
    </row>
    <row r="807" spans="1:37">
      <c r="A807" s="1" t="str">
        <f>VLOOKUP(H807,Languages!$A$2:$B$430,2,FALSE)</f>
        <v>Eskimo-Aleut</v>
      </c>
      <c r="B807" s="1" t="s">
        <v>67</v>
      </c>
      <c r="C807" s="1" t="s">
        <v>220</v>
      </c>
      <c r="D807" s="1" t="s">
        <v>660</v>
      </c>
      <c r="E807" s="15" t="s">
        <v>277</v>
      </c>
      <c r="F807" s="15" t="s">
        <v>661</v>
      </c>
      <c r="G807" s="8" t="s">
        <v>661</v>
      </c>
      <c r="H807" s="1" t="str">
        <f>VLOOKUP(G807,'languoid 4.0'!$A$1:$I$24439,2,FALSE)</f>
        <v>eski1264</v>
      </c>
      <c r="I807" s="1" t="str">
        <f>VLOOKUP(G807,'languoid 4.0'!$A$1:$I$24439,6,FALSE)</f>
        <v>language</v>
      </c>
      <c r="J807" s="15" t="s">
        <v>52</v>
      </c>
      <c r="K807" s="15" t="s">
        <v>38</v>
      </c>
      <c r="L807" s="15" t="s">
        <v>38</v>
      </c>
      <c r="M807" s="1"/>
      <c r="N807" s="1"/>
      <c r="O807" s="15" t="s">
        <v>113</v>
      </c>
      <c r="P807" s="15" t="s">
        <v>41</v>
      </c>
      <c r="Q807" s="1" t="s">
        <v>662</v>
      </c>
      <c r="R807" s="2" t="s">
        <v>655</v>
      </c>
      <c r="S807" s="1" t="s">
        <v>666</v>
      </c>
      <c r="T807" s="1" t="s">
        <v>664</v>
      </c>
      <c r="U807" s="1" t="s">
        <v>636</v>
      </c>
      <c r="V807" s="1" t="s">
        <v>45</v>
      </c>
      <c r="W807" s="1"/>
      <c r="X807" s="1"/>
      <c r="Y807" s="1"/>
      <c r="Z807" s="1" t="s">
        <v>658</v>
      </c>
      <c r="AA807" s="1" t="s">
        <v>665</v>
      </c>
      <c r="AB807" s="1" t="s">
        <v>46</v>
      </c>
      <c r="AC807" s="1" t="s">
        <v>46</v>
      </c>
      <c r="AD807" s="1"/>
      <c r="AE807" s="1" t="s">
        <v>641</v>
      </c>
      <c r="AF807" s="1" t="s">
        <v>190</v>
      </c>
      <c r="AG807" s="1">
        <v>5</v>
      </c>
      <c r="AH807" s="1" t="s">
        <v>190</v>
      </c>
      <c r="AI807" s="1"/>
      <c r="AJ807" s="3">
        <v>43133.561018518521</v>
      </c>
      <c r="AK807" s="1" t="s">
        <v>74</v>
      </c>
    </row>
    <row r="808" spans="1:37">
      <c r="A808" s="1" t="str">
        <f>VLOOKUP(H808,Languages!$A$2:$B$430,2,FALSE)</f>
        <v>Eskimo-Aleut</v>
      </c>
      <c r="B808" s="1" t="s">
        <v>67</v>
      </c>
      <c r="C808" s="1" t="s">
        <v>220</v>
      </c>
      <c r="D808" s="1" t="s">
        <v>712</v>
      </c>
      <c r="E808" s="15" t="s">
        <v>276</v>
      </c>
      <c r="F808" s="15" t="s">
        <v>713</v>
      </c>
      <c r="G808" s="1" t="s">
        <v>276</v>
      </c>
      <c r="H808" s="1" t="str">
        <f>VLOOKUP(G808,'languoid 4.0'!$A$1:$I$24439,2,FALSE)</f>
        <v>eski1264</v>
      </c>
      <c r="I808" s="1" t="str">
        <f>VLOOKUP(G808,'languoid 4.0'!$A$1:$I$24439,6,FALSE)</f>
        <v>language</v>
      </c>
      <c r="J808" s="15" t="s">
        <v>52</v>
      </c>
      <c r="K808" s="15" t="s">
        <v>38</v>
      </c>
      <c r="L808" s="15" t="s">
        <v>38</v>
      </c>
      <c r="M808" s="1"/>
      <c r="N808" s="1" t="s">
        <v>279</v>
      </c>
      <c r="O808" s="15" t="s">
        <v>40</v>
      </c>
      <c r="P808" s="15" t="s">
        <v>714</v>
      </c>
      <c r="Q808" s="1" t="s">
        <v>715</v>
      </c>
      <c r="R808" s="2" t="s">
        <v>716</v>
      </c>
      <c r="S808" s="1" t="s">
        <v>717</v>
      </c>
      <c r="T808" s="1" t="s">
        <v>718</v>
      </c>
      <c r="U808" s="1" t="s">
        <v>636</v>
      </c>
      <c r="V808" s="1" t="s">
        <v>45</v>
      </c>
      <c r="W808" s="1"/>
      <c r="X808" s="1"/>
      <c r="Y808" s="1"/>
      <c r="Z808" s="1" t="s">
        <v>658</v>
      </c>
      <c r="AA808" s="1" t="s">
        <v>719</v>
      </c>
      <c r="AB808" s="1" t="s">
        <v>46</v>
      </c>
      <c r="AC808" s="1" t="s">
        <v>46</v>
      </c>
      <c r="AD808" s="1"/>
      <c r="AE808" s="1" t="s">
        <v>641</v>
      </c>
      <c r="AF808" s="1" t="s">
        <v>190</v>
      </c>
      <c r="AG808" s="1">
        <v>6</v>
      </c>
      <c r="AH808" s="1" t="s">
        <v>190</v>
      </c>
      <c r="AI808" s="1"/>
      <c r="AJ808" s="3">
        <v>43222.441481481481</v>
      </c>
      <c r="AK808" s="1" t="s">
        <v>74</v>
      </c>
    </row>
    <row r="809" spans="1:37">
      <c r="A809" s="1" t="str">
        <f>VLOOKUP(H809,Languages!$A$2:$B$430,2,FALSE)</f>
        <v>Eskimo-Aleut</v>
      </c>
      <c r="B809" s="1" t="s">
        <v>67</v>
      </c>
      <c r="C809" s="1" t="s">
        <v>220</v>
      </c>
      <c r="D809" s="1" t="s">
        <v>1102</v>
      </c>
      <c r="E809" s="15" t="s">
        <v>278</v>
      </c>
      <c r="F809" s="15" t="s">
        <v>278</v>
      </c>
      <c r="G809" s="1" t="s">
        <v>278</v>
      </c>
      <c r="H809" s="1" t="str">
        <f>VLOOKUP(G809,'languoid 4.0'!$A$1:$I$24439,2,FALSE)</f>
        <v>eski1264</v>
      </c>
      <c r="I809" s="1" t="str">
        <f>VLOOKUP(G809,'languoid 4.0'!$A$1:$I$24439,6,FALSE)</f>
        <v>language</v>
      </c>
      <c r="J809" s="15" t="s">
        <v>38</v>
      </c>
      <c r="K809" s="15" t="s">
        <v>38</v>
      </c>
      <c r="L809" s="15" t="s">
        <v>38</v>
      </c>
      <c r="M809" s="1"/>
      <c r="N809" s="1" t="s">
        <v>721</v>
      </c>
      <c r="O809" s="15" t="s">
        <v>40</v>
      </c>
      <c r="P809" s="15" t="s">
        <v>41</v>
      </c>
      <c r="Q809" s="1" t="s">
        <v>1208</v>
      </c>
      <c r="R809" s="2" t="s">
        <v>655</v>
      </c>
      <c r="S809" s="1" t="s">
        <v>672</v>
      </c>
      <c r="T809" s="1" t="s">
        <v>648</v>
      </c>
      <c r="U809" s="1" t="s">
        <v>1209</v>
      </c>
      <c r="V809" s="1" t="s">
        <v>45</v>
      </c>
      <c r="W809" s="1"/>
      <c r="X809" s="1"/>
      <c r="Y809" s="1"/>
      <c r="Z809" s="1" t="s">
        <v>637</v>
      </c>
      <c r="AA809" s="1" t="s">
        <v>1210</v>
      </c>
      <c r="AB809" s="1" t="s">
        <v>1211</v>
      </c>
      <c r="AC809" s="1" t="s">
        <v>46</v>
      </c>
      <c r="AD809" s="1" t="s">
        <v>1212</v>
      </c>
      <c r="AE809" s="1" t="s">
        <v>641</v>
      </c>
      <c r="AF809" s="1" t="s">
        <v>190</v>
      </c>
      <c r="AG809" s="1">
        <v>5</v>
      </c>
      <c r="AH809" s="1" t="s">
        <v>190</v>
      </c>
      <c r="AI809" s="1"/>
      <c r="AJ809" s="1" t="s">
        <v>1213</v>
      </c>
      <c r="AK809" s="1" t="s">
        <v>74</v>
      </c>
    </row>
    <row r="810" spans="1:37">
      <c r="A810" s="1" t="str">
        <f>VLOOKUP(H810,Languages!$A$2:$B$430,2,FALSE)</f>
        <v>Eskimo-Aleut</v>
      </c>
      <c r="B810" s="1" t="s">
        <v>67</v>
      </c>
      <c r="C810" s="1" t="s">
        <v>220</v>
      </c>
      <c r="D810" s="1" t="s">
        <v>653</v>
      </c>
      <c r="E810" s="15" t="s">
        <v>278</v>
      </c>
      <c r="F810" s="15" t="s">
        <v>278</v>
      </c>
      <c r="G810" s="1" t="s">
        <v>278</v>
      </c>
      <c r="H810" s="1" t="str">
        <f>VLOOKUP(G810,'languoid 4.0'!$A$1:$I$24439,2,FALSE)</f>
        <v>eski1264</v>
      </c>
      <c r="I810" s="1" t="str">
        <f>VLOOKUP(G810,'languoid 4.0'!$A$1:$I$24439,6,FALSE)</f>
        <v>language</v>
      </c>
      <c r="J810" s="15" t="s">
        <v>38</v>
      </c>
      <c r="K810" s="15" t="s">
        <v>38</v>
      </c>
      <c r="L810" s="15" t="s">
        <v>38</v>
      </c>
      <c r="M810" s="1"/>
      <c r="N810" s="1" t="s">
        <v>721</v>
      </c>
      <c r="O810" s="15" t="s">
        <v>40</v>
      </c>
      <c r="P810" s="15" t="s">
        <v>41</v>
      </c>
      <c r="Q810" s="1" t="s">
        <v>1348</v>
      </c>
      <c r="R810" s="2" t="s">
        <v>655</v>
      </c>
      <c r="S810" s="1" t="s">
        <v>399</v>
      </c>
      <c r="T810" s="1" t="s">
        <v>657</v>
      </c>
      <c r="U810" s="1" t="s">
        <v>636</v>
      </c>
      <c r="V810" s="1" t="s">
        <v>45</v>
      </c>
      <c r="W810" s="1"/>
      <c r="X810" s="1"/>
      <c r="Y810" s="1"/>
      <c r="Z810" s="1" t="s">
        <v>637</v>
      </c>
      <c r="AA810" s="1" t="s">
        <v>1349</v>
      </c>
      <c r="AB810" s="1" t="s">
        <v>1350</v>
      </c>
      <c r="AC810" s="1" t="s">
        <v>46</v>
      </c>
      <c r="AD810" s="1"/>
      <c r="AE810" s="1" t="s">
        <v>641</v>
      </c>
      <c r="AF810" s="1" t="s">
        <v>190</v>
      </c>
      <c r="AG810" s="1">
        <v>5</v>
      </c>
      <c r="AH810" s="1" t="s">
        <v>190</v>
      </c>
      <c r="AI810" s="1"/>
      <c r="AJ810" s="1" t="s">
        <v>1351</v>
      </c>
      <c r="AK810" s="1" t="s">
        <v>74</v>
      </c>
    </row>
    <row r="811" spans="1:37">
      <c r="A811" s="1" t="str">
        <f>VLOOKUP(H811,Languages!$A$2:$B$430,2,FALSE)</f>
        <v>Eskimo-Aleut</v>
      </c>
      <c r="B811" s="1" t="s">
        <v>67</v>
      </c>
      <c r="C811" s="1" t="s">
        <v>220</v>
      </c>
      <c r="D811" s="1" t="s">
        <v>712</v>
      </c>
      <c r="E811" s="15" t="s">
        <v>276</v>
      </c>
      <c r="F811" s="15" t="s">
        <v>713</v>
      </c>
      <c r="G811" s="1" t="s">
        <v>276</v>
      </c>
      <c r="H811" s="1" t="str">
        <f>VLOOKUP(G811,'languoid 4.0'!$A$1:$I$24439,2,FALSE)</f>
        <v>eski1264</v>
      </c>
      <c r="I811" s="1" t="str">
        <f>VLOOKUP(G811,'languoid 4.0'!$A$1:$I$24439,6,FALSE)</f>
        <v>language</v>
      </c>
      <c r="J811" s="15" t="s">
        <v>52</v>
      </c>
      <c r="K811" s="15" t="s">
        <v>38</v>
      </c>
      <c r="L811" s="15" t="s">
        <v>38</v>
      </c>
      <c r="M811" s="1"/>
      <c r="N811" s="1" t="s">
        <v>279</v>
      </c>
      <c r="O811" s="15" t="s">
        <v>40</v>
      </c>
      <c r="P811" s="15" t="s">
        <v>41</v>
      </c>
      <c r="Q811" s="1" t="s">
        <v>1352</v>
      </c>
      <c r="R811" s="2" t="s">
        <v>716</v>
      </c>
      <c r="S811" s="1" t="s">
        <v>557</v>
      </c>
      <c r="T811" s="1" t="s">
        <v>718</v>
      </c>
      <c r="U811" s="1" t="s">
        <v>636</v>
      </c>
      <c r="V811" s="1" t="s">
        <v>45</v>
      </c>
      <c r="W811" s="1"/>
      <c r="X811" s="1"/>
      <c r="Y811" s="1"/>
      <c r="Z811" s="1" t="s">
        <v>637</v>
      </c>
      <c r="AA811" s="1" t="s">
        <v>1353</v>
      </c>
      <c r="AB811" s="1" t="s">
        <v>1354</v>
      </c>
      <c r="AC811" s="1" t="s">
        <v>46</v>
      </c>
      <c r="AD811" s="1"/>
      <c r="AE811" s="1" t="s">
        <v>641</v>
      </c>
      <c r="AF811" s="1" t="s">
        <v>190</v>
      </c>
      <c r="AG811" s="1">
        <v>5</v>
      </c>
      <c r="AH811" s="1" t="s">
        <v>190</v>
      </c>
      <c r="AI811" s="1"/>
      <c r="AJ811" s="1" t="s">
        <v>1355</v>
      </c>
      <c r="AK811" s="1" t="s">
        <v>74</v>
      </c>
    </row>
    <row r="812" spans="1:37">
      <c r="A812" s="1" t="str">
        <f>VLOOKUP(H812,Languages!$A$2:$B$430,2,FALSE)</f>
        <v>Eskimo-Aleut</v>
      </c>
      <c r="B812" s="1" t="s">
        <v>67</v>
      </c>
      <c r="C812" s="1" t="s">
        <v>220</v>
      </c>
      <c r="D812" s="1" t="s">
        <v>1192</v>
      </c>
      <c r="E812" s="15" t="s">
        <v>276</v>
      </c>
      <c r="F812" s="15" t="s">
        <v>277</v>
      </c>
      <c r="G812" s="1" t="s">
        <v>278</v>
      </c>
      <c r="H812" s="1" t="str">
        <f>VLOOKUP(G812,'languoid 4.0'!$A$1:$I$24439,2,FALSE)</f>
        <v>eski1264</v>
      </c>
      <c r="I812" s="1" t="str">
        <f>VLOOKUP(G812,'languoid 4.0'!$A$1:$I$24439,6,FALSE)</f>
        <v>language</v>
      </c>
      <c r="J812" s="15" t="s">
        <v>52</v>
      </c>
      <c r="K812" s="15" t="s">
        <v>38</v>
      </c>
      <c r="L812" s="15" t="s">
        <v>38</v>
      </c>
      <c r="M812" s="1"/>
      <c r="N812" s="1" t="s">
        <v>279</v>
      </c>
      <c r="O812" s="15" t="s">
        <v>40</v>
      </c>
      <c r="P812" s="15" t="s">
        <v>41</v>
      </c>
      <c r="Q812" s="1" t="s">
        <v>1370</v>
      </c>
      <c r="R812" s="2" t="s">
        <v>1194</v>
      </c>
      <c r="S812" s="1" t="s">
        <v>225</v>
      </c>
      <c r="T812" s="1" t="s">
        <v>1195</v>
      </c>
      <c r="U812" s="1" t="s">
        <v>636</v>
      </c>
      <c r="V812" s="1" t="s">
        <v>45</v>
      </c>
      <c r="W812" s="1"/>
      <c r="X812" s="1"/>
      <c r="Y812" s="1"/>
      <c r="Z812" s="1" t="s">
        <v>658</v>
      </c>
      <c r="AA812" s="1" t="s">
        <v>1371</v>
      </c>
      <c r="AB812" s="1" t="s">
        <v>46</v>
      </c>
      <c r="AC812" s="1" t="s">
        <v>46</v>
      </c>
      <c r="AD812" s="1" t="s">
        <v>1372</v>
      </c>
      <c r="AE812" s="1"/>
      <c r="AF812" s="1"/>
      <c r="AG812" s="1"/>
      <c r="AH812" s="1" t="s">
        <v>45</v>
      </c>
      <c r="AI812" s="1"/>
      <c r="AJ812" s="1" t="s">
        <v>1373</v>
      </c>
      <c r="AK812" s="1" t="s">
        <v>74</v>
      </c>
    </row>
    <row r="813" spans="1:37">
      <c r="A813" s="1" t="str">
        <f>VLOOKUP(H813,Languages!$A$2:$B$430,2,FALSE)</f>
        <v>Eskimo-Aleut</v>
      </c>
      <c r="B813" s="1" t="s">
        <v>59</v>
      </c>
      <c r="C813" s="1" t="s">
        <v>220</v>
      </c>
      <c r="D813" s="1" t="s">
        <v>1192</v>
      </c>
      <c r="E813" s="15" t="s">
        <v>276</v>
      </c>
      <c r="F813" s="15" t="s">
        <v>277</v>
      </c>
      <c r="G813" s="1" t="s">
        <v>278</v>
      </c>
      <c r="H813" s="1" t="str">
        <f>VLOOKUP(G813,'languoid 4.0'!$A$1:$I$24439,2,FALSE)</f>
        <v>eski1264</v>
      </c>
      <c r="I813" s="1" t="str">
        <f>VLOOKUP(G813,'languoid 4.0'!$A$1:$I$24439,6,FALSE)</f>
        <v>language</v>
      </c>
      <c r="J813" s="15" t="s">
        <v>52</v>
      </c>
      <c r="K813" s="15" t="s">
        <v>38</v>
      </c>
      <c r="L813" s="15" t="s">
        <v>38</v>
      </c>
      <c r="M813" s="1"/>
      <c r="N813" s="1" t="s">
        <v>279</v>
      </c>
      <c r="O813" s="15" t="s">
        <v>40</v>
      </c>
      <c r="P813" s="15" t="s">
        <v>41</v>
      </c>
      <c r="Q813" s="1" t="s">
        <v>1193</v>
      </c>
      <c r="R813" s="2" t="s">
        <v>1194</v>
      </c>
      <c r="S813" s="1" t="s">
        <v>359</v>
      </c>
      <c r="T813" s="1" t="s">
        <v>1195</v>
      </c>
      <c r="U813" s="1" t="s">
        <v>636</v>
      </c>
      <c r="V813" s="1" t="s">
        <v>45</v>
      </c>
      <c r="W813" s="1"/>
      <c r="X813" s="1"/>
      <c r="Y813" s="1"/>
      <c r="Z813" s="1" t="s">
        <v>658</v>
      </c>
      <c r="AA813" s="1" t="s">
        <v>1196</v>
      </c>
      <c r="AB813" s="1" t="s">
        <v>46</v>
      </c>
      <c r="AC813" s="1" t="s">
        <v>46</v>
      </c>
      <c r="AD813" s="1" t="s">
        <v>1197</v>
      </c>
      <c r="AE813" s="1"/>
      <c r="AF813" s="1"/>
      <c r="AG813" s="1"/>
      <c r="AH813" s="1" t="s">
        <v>45</v>
      </c>
      <c r="AI813" s="1"/>
      <c r="AJ813" s="1" t="s">
        <v>1198</v>
      </c>
      <c r="AK813" s="1" t="s">
        <v>74</v>
      </c>
    </row>
    <row r="814" spans="1:37">
      <c r="A814" s="1" t="str">
        <f>VLOOKUP(H814,Languages!$A$2:$B$430,2,FALSE)</f>
        <v>Eskimo-Aleut</v>
      </c>
      <c r="B814" s="1" t="s">
        <v>59</v>
      </c>
      <c r="C814" s="1" t="s">
        <v>220</v>
      </c>
      <c r="D814" s="1" t="s">
        <v>1192</v>
      </c>
      <c r="E814" s="15" t="s">
        <v>276</v>
      </c>
      <c r="F814" s="15" t="s">
        <v>277</v>
      </c>
      <c r="G814" s="1" t="s">
        <v>278</v>
      </c>
      <c r="H814" s="1" t="str">
        <f>VLOOKUP(G814,'languoid 4.0'!$A$1:$I$24439,2,FALSE)</f>
        <v>eski1264</v>
      </c>
      <c r="I814" s="1" t="str">
        <f>VLOOKUP(G814,'languoid 4.0'!$A$1:$I$24439,6,FALSE)</f>
        <v>language</v>
      </c>
      <c r="J814" s="15" t="s">
        <v>52</v>
      </c>
      <c r="K814" s="15" t="s">
        <v>38</v>
      </c>
      <c r="L814" s="15" t="s">
        <v>38</v>
      </c>
      <c r="M814" s="1"/>
      <c r="N814" s="1" t="s">
        <v>279</v>
      </c>
      <c r="O814" s="15" t="s">
        <v>40</v>
      </c>
      <c r="P814" s="15" t="s">
        <v>41</v>
      </c>
      <c r="Q814" s="1" t="s">
        <v>1199</v>
      </c>
      <c r="R814" s="2" t="s">
        <v>1194</v>
      </c>
      <c r="S814" s="1" t="s">
        <v>1200</v>
      </c>
      <c r="T814" s="1" t="s">
        <v>1195</v>
      </c>
      <c r="U814" s="1" t="s">
        <v>636</v>
      </c>
      <c r="V814" s="1" t="s">
        <v>45</v>
      </c>
      <c r="W814" s="1"/>
      <c r="X814" s="1"/>
      <c r="Y814" s="1"/>
      <c r="Z814" s="1" t="s">
        <v>658</v>
      </c>
      <c r="AA814" s="1" t="s">
        <v>1196</v>
      </c>
      <c r="AB814" s="1" t="s">
        <v>46</v>
      </c>
      <c r="AC814" s="1" t="s">
        <v>46</v>
      </c>
      <c r="AD814" s="8" t="s">
        <v>1197</v>
      </c>
      <c r="AE814" s="1"/>
      <c r="AF814" s="1"/>
      <c r="AG814" s="1"/>
      <c r="AH814" s="1" t="s">
        <v>45</v>
      </c>
      <c r="AI814" s="1"/>
      <c r="AJ814" s="1" t="s">
        <v>1201</v>
      </c>
      <c r="AK814" s="1" t="s">
        <v>74</v>
      </c>
    </row>
    <row r="815" spans="1:37">
      <c r="A815" s="1" t="str">
        <f>VLOOKUP(H815,Languages!$A$2:$B$430,2,FALSE)</f>
        <v>Eskimo-Aleut</v>
      </c>
      <c r="B815" s="1" t="s">
        <v>59</v>
      </c>
      <c r="C815" s="1" t="s">
        <v>220</v>
      </c>
      <c r="D815" s="1" t="s">
        <v>1192</v>
      </c>
      <c r="E815" s="15" t="s">
        <v>276</v>
      </c>
      <c r="F815" s="15" t="s">
        <v>277</v>
      </c>
      <c r="G815" s="1" t="s">
        <v>278</v>
      </c>
      <c r="H815" s="1" t="str">
        <f>VLOOKUP(G815,'languoid 4.0'!$A$1:$I$24439,2,FALSE)</f>
        <v>eski1264</v>
      </c>
      <c r="I815" s="1" t="str">
        <f>VLOOKUP(G815,'languoid 4.0'!$A$1:$I$24439,6,FALSE)</f>
        <v>language</v>
      </c>
      <c r="J815" s="15" t="s">
        <v>52</v>
      </c>
      <c r="K815" s="15" t="s">
        <v>38</v>
      </c>
      <c r="L815" s="15" t="s">
        <v>38</v>
      </c>
      <c r="M815" s="1"/>
      <c r="N815" s="1" t="s">
        <v>279</v>
      </c>
      <c r="O815" s="15" t="s">
        <v>40</v>
      </c>
      <c r="P815" s="15" t="s">
        <v>41</v>
      </c>
      <c r="Q815" s="1" t="s">
        <v>1199</v>
      </c>
      <c r="R815" s="2" t="s">
        <v>1194</v>
      </c>
      <c r="S815" s="1" t="s">
        <v>1202</v>
      </c>
      <c r="T815" s="1" t="s">
        <v>1195</v>
      </c>
      <c r="U815" s="1" t="s">
        <v>636</v>
      </c>
      <c r="V815" s="1" t="s">
        <v>45</v>
      </c>
      <c r="W815" s="1"/>
      <c r="X815" s="1"/>
      <c r="Y815" s="1"/>
      <c r="Z815" s="1" t="s">
        <v>658</v>
      </c>
      <c r="AA815" s="1" t="s">
        <v>1196</v>
      </c>
      <c r="AB815" s="1" t="s">
        <v>46</v>
      </c>
      <c r="AC815" s="1" t="s">
        <v>46</v>
      </c>
      <c r="AD815" s="8" t="s">
        <v>1197</v>
      </c>
      <c r="AE815" s="1"/>
      <c r="AF815" s="1"/>
      <c r="AG815" s="1"/>
      <c r="AH815" s="1" t="s">
        <v>45</v>
      </c>
      <c r="AI815" s="1"/>
      <c r="AJ815" s="1" t="s">
        <v>1203</v>
      </c>
      <c r="AK815" s="1" t="s">
        <v>74</v>
      </c>
    </row>
    <row r="816" spans="1:37">
      <c r="A816" s="1" t="str">
        <f>VLOOKUP(H816,Languages!$A$2:$B$430,2,FALSE)</f>
        <v>Eskimo-Aleut</v>
      </c>
      <c r="B816" s="1" t="s">
        <v>59</v>
      </c>
      <c r="C816" s="1" t="s">
        <v>220</v>
      </c>
      <c r="D816" s="1" t="s">
        <v>1192</v>
      </c>
      <c r="E816" s="15" t="s">
        <v>276</v>
      </c>
      <c r="F816" s="15" t="s">
        <v>277</v>
      </c>
      <c r="G816" s="1" t="s">
        <v>278</v>
      </c>
      <c r="H816" s="1" t="str">
        <f>VLOOKUP(G816,'languoid 4.0'!$A$1:$I$24439,2,FALSE)</f>
        <v>eski1264</v>
      </c>
      <c r="I816" s="1" t="str">
        <f>VLOOKUP(G816,'languoid 4.0'!$A$1:$I$24439,6,FALSE)</f>
        <v>language</v>
      </c>
      <c r="J816" s="15" t="s">
        <v>52</v>
      </c>
      <c r="K816" s="15" t="s">
        <v>38</v>
      </c>
      <c r="L816" s="15" t="s">
        <v>38</v>
      </c>
      <c r="M816" s="1"/>
      <c r="N816" s="1" t="s">
        <v>279</v>
      </c>
      <c r="O816" s="15" t="s">
        <v>40</v>
      </c>
      <c r="P816" s="15" t="s">
        <v>41</v>
      </c>
      <c r="Q816" s="1" t="s">
        <v>1199</v>
      </c>
      <c r="R816" s="2" t="s">
        <v>1194</v>
      </c>
      <c r="S816" s="1" t="s">
        <v>73</v>
      </c>
      <c r="T816" s="1" t="s">
        <v>1195</v>
      </c>
      <c r="U816" s="1" t="s">
        <v>636</v>
      </c>
      <c r="V816" s="1" t="s">
        <v>45</v>
      </c>
      <c r="W816" s="1"/>
      <c r="X816" s="1"/>
      <c r="Y816" s="1"/>
      <c r="Z816" s="1" t="s">
        <v>658</v>
      </c>
      <c r="AA816" s="1" t="s">
        <v>1196</v>
      </c>
      <c r="AB816" s="1" t="s">
        <v>46</v>
      </c>
      <c r="AC816" s="1" t="s">
        <v>46</v>
      </c>
      <c r="AD816" s="8" t="s">
        <v>1197</v>
      </c>
      <c r="AE816" s="1"/>
      <c r="AF816" s="1"/>
      <c r="AG816" s="1"/>
      <c r="AH816" s="1" t="s">
        <v>45</v>
      </c>
      <c r="AI816" s="1"/>
      <c r="AJ816" s="1" t="s">
        <v>1204</v>
      </c>
      <c r="AK816" s="1" t="s">
        <v>74</v>
      </c>
    </row>
    <row r="817" spans="1:37">
      <c r="A817" s="1" t="str">
        <f>VLOOKUP(H817,Languages!$A$2:$B$430,2,FALSE)</f>
        <v>Eskimo-Aleut</v>
      </c>
      <c r="B817" s="1" t="s">
        <v>59</v>
      </c>
      <c r="C817" s="1" t="s">
        <v>220</v>
      </c>
      <c r="D817" s="1" t="s">
        <v>1192</v>
      </c>
      <c r="E817" s="15" t="s">
        <v>276</v>
      </c>
      <c r="F817" s="15" t="s">
        <v>277</v>
      </c>
      <c r="G817" s="1" t="s">
        <v>278</v>
      </c>
      <c r="H817" s="1" t="str">
        <f>VLOOKUP(G817,'languoid 4.0'!$A$1:$I$24439,2,FALSE)</f>
        <v>eski1264</v>
      </c>
      <c r="I817" s="1" t="str">
        <f>VLOOKUP(G817,'languoid 4.0'!$A$1:$I$24439,6,FALSE)</f>
        <v>language</v>
      </c>
      <c r="J817" s="15" t="s">
        <v>52</v>
      </c>
      <c r="K817" s="15" t="s">
        <v>38</v>
      </c>
      <c r="L817" s="15" t="s">
        <v>38</v>
      </c>
      <c r="M817" s="1"/>
      <c r="N817" s="1" t="s">
        <v>279</v>
      </c>
      <c r="O817" s="15" t="s">
        <v>40</v>
      </c>
      <c r="P817" s="15" t="s">
        <v>41</v>
      </c>
      <c r="Q817" s="1" t="s">
        <v>1199</v>
      </c>
      <c r="R817" s="2" t="s">
        <v>1194</v>
      </c>
      <c r="S817" s="1" t="s">
        <v>1205</v>
      </c>
      <c r="T817" s="1" t="s">
        <v>1195</v>
      </c>
      <c r="U817" s="1" t="s">
        <v>636</v>
      </c>
      <c r="V817" s="1" t="s">
        <v>45</v>
      </c>
      <c r="W817" s="1"/>
      <c r="X817" s="1"/>
      <c r="Y817" s="1"/>
      <c r="Z817" s="1" t="s">
        <v>658</v>
      </c>
      <c r="AA817" s="1" t="s">
        <v>1196</v>
      </c>
      <c r="AB817" s="1" t="s">
        <v>46</v>
      </c>
      <c r="AC817" s="1" t="s">
        <v>46</v>
      </c>
      <c r="AD817" s="8" t="s">
        <v>1197</v>
      </c>
      <c r="AE817" s="1"/>
      <c r="AF817" s="1"/>
      <c r="AG817" s="1"/>
      <c r="AH817" s="1" t="s">
        <v>45</v>
      </c>
      <c r="AI817" s="1"/>
      <c r="AJ817" s="1" t="s">
        <v>1206</v>
      </c>
      <c r="AK817" s="1" t="s">
        <v>74</v>
      </c>
    </row>
    <row r="818" spans="1:37">
      <c r="A818" s="1" t="str">
        <f>VLOOKUP(H818,Languages!$A$2:$B$430,2,FALSE)</f>
        <v>Eskimo-Aleut</v>
      </c>
      <c r="B818" s="1" t="s">
        <v>59</v>
      </c>
      <c r="C818" s="1" t="s">
        <v>220</v>
      </c>
      <c r="D818" s="1" t="s">
        <v>1192</v>
      </c>
      <c r="E818" s="15" t="s">
        <v>276</v>
      </c>
      <c r="F818" s="15" t="s">
        <v>277</v>
      </c>
      <c r="G818" s="1" t="s">
        <v>278</v>
      </c>
      <c r="H818" s="1" t="str">
        <f>VLOOKUP(G818,'languoid 4.0'!$A$1:$I$24439,2,FALSE)</f>
        <v>eski1264</v>
      </c>
      <c r="I818" s="1" t="str">
        <f>VLOOKUP(G818,'languoid 4.0'!$A$1:$I$24439,6,FALSE)</f>
        <v>language</v>
      </c>
      <c r="J818" s="15" t="s">
        <v>52</v>
      </c>
      <c r="K818" s="15" t="s">
        <v>38</v>
      </c>
      <c r="L818" s="15" t="s">
        <v>38</v>
      </c>
      <c r="M818" s="1"/>
      <c r="N818" s="1" t="s">
        <v>279</v>
      </c>
      <c r="O818" s="15" t="s">
        <v>40</v>
      </c>
      <c r="P818" s="15" t="s">
        <v>41</v>
      </c>
      <c r="Q818" s="1" t="s">
        <v>1199</v>
      </c>
      <c r="R818" s="2" t="s">
        <v>1194</v>
      </c>
      <c r="S818" s="1" t="s">
        <v>248</v>
      </c>
      <c r="T818" s="1" t="s">
        <v>1195</v>
      </c>
      <c r="U818" s="1" t="s">
        <v>636</v>
      </c>
      <c r="V818" s="1" t="s">
        <v>45</v>
      </c>
      <c r="W818" s="1"/>
      <c r="X818" s="1"/>
      <c r="Y818" s="1"/>
      <c r="Z818" s="1" t="s">
        <v>658</v>
      </c>
      <c r="AA818" s="1" t="s">
        <v>1196</v>
      </c>
      <c r="AB818" s="1" t="s">
        <v>46</v>
      </c>
      <c r="AC818" s="1" t="s">
        <v>46</v>
      </c>
      <c r="AD818" s="8" t="s">
        <v>1197</v>
      </c>
      <c r="AE818" s="1"/>
      <c r="AF818" s="1"/>
      <c r="AG818" s="1"/>
      <c r="AH818" s="1" t="s">
        <v>45</v>
      </c>
      <c r="AI818" s="1"/>
      <c r="AJ818" s="1" t="s">
        <v>1207</v>
      </c>
      <c r="AK818" s="1" t="s">
        <v>74</v>
      </c>
    </row>
    <row r="819" spans="1:37">
      <c r="A819" s="1" t="str">
        <f>VLOOKUP(H819,Languages!$A$2:$B$430,2,FALSE)</f>
        <v>Eskimo-Aleut</v>
      </c>
      <c r="B819" s="1" t="s">
        <v>109</v>
      </c>
      <c r="C819" s="1" t="s">
        <v>220</v>
      </c>
      <c r="D819" s="1" t="s">
        <v>627</v>
      </c>
      <c r="E819" s="15" t="s">
        <v>628</v>
      </c>
      <c r="F819" s="15" t="s">
        <v>628</v>
      </c>
      <c r="G819" s="1" t="s">
        <v>630</v>
      </c>
      <c r="H819" s="1" t="str">
        <f>VLOOKUP(G819,'languoid 4.0'!$A$1:$I$24439,2,FALSE)</f>
        <v>eski1264</v>
      </c>
      <c r="I819" s="1" t="str">
        <f>VLOOKUP(G819,'languoid 4.0'!$A$1:$I$24439,6,FALSE)</f>
        <v>language</v>
      </c>
      <c r="J819" s="15" t="s">
        <v>38</v>
      </c>
      <c r="K819" s="15" t="s">
        <v>38</v>
      </c>
      <c r="L819" s="15" t="s">
        <v>38</v>
      </c>
      <c r="M819" s="1"/>
      <c r="N819" s="1" t="s">
        <v>631</v>
      </c>
      <c r="O819" s="15" t="s">
        <v>40</v>
      </c>
      <c r="P819" s="15" t="s">
        <v>632</v>
      </c>
      <c r="Q819" s="1" t="s">
        <v>1086</v>
      </c>
      <c r="R819" s="2" t="s">
        <v>633</v>
      </c>
      <c r="S819" s="1" t="s">
        <v>46</v>
      </c>
      <c r="T819" s="1" t="s">
        <v>635</v>
      </c>
      <c r="U819" s="1" t="s">
        <v>1087</v>
      </c>
      <c r="V819" s="1" t="s">
        <v>45</v>
      </c>
      <c r="W819" s="1"/>
      <c r="X819" s="1"/>
      <c r="Y819" s="1"/>
      <c r="Z819" s="1" t="s">
        <v>637</v>
      </c>
      <c r="AA819" s="1" t="s">
        <v>1088</v>
      </c>
      <c r="AB819" s="1" t="s">
        <v>1089</v>
      </c>
      <c r="AC819" s="1" t="s">
        <v>46</v>
      </c>
      <c r="AD819" s="1" t="s">
        <v>1090</v>
      </c>
      <c r="AE819" s="1"/>
      <c r="AF819" s="1"/>
      <c r="AG819" s="1"/>
      <c r="AH819" s="1" t="s">
        <v>45</v>
      </c>
      <c r="AI819" s="1"/>
      <c r="AJ819" s="1" t="s">
        <v>1091</v>
      </c>
      <c r="AK819" s="1" t="s">
        <v>74</v>
      </c>
    </row>
    <row r="820" spans="1:37">
      <c r="A820" s="1" t="str">
        <f>VLOOKUP(H820,Languages!$A$2:$B$430,2,FALSE)</f>
        <v>Eskimo-Aleut</v>
      </c>
      <c r="B820" s="1" t="s">
        <v>35</v>
      </c>
      <c r="C820" s="1" t="s">
        <v>220</v>
      </c>
      <c r="D820" s="1" t="s">
        <v>275</v>
      </c>
      <c r="E820" s="15" t="s">
        <v>276</v>
      </c>
      <c r="F820" s="15" t="s">
        <v>277</v>
      </c>
      <c r="G820" s="1" t="s">
        <v>278</v>
      </c>
      <c r="H820" s="1" t="str">
        <f>VLOOKUP(G820,'languoid 4.0'!$A$1:$I$24439,2,FALSE)</f>
        <v>eski1264</v>
      </c>
      <c r="I820" s="1" t="str">
        <f>VLOOKUP(G820,'languoid 4.0'!$A$1:$I$24439,6,FALSE)</f>
        <v>language</v>
      </c>
      <c r="J820" s="15" t="s">
        <v>52</v>
      </c>
      <c r="K820" s="15" t="s">
        <v>38</v>
      </c>
      <c r="L820" s="15" t="s">
        <v>38</v>
      </c>
      <c r="M820" s="1"/>
      <c r="N820" s="1" t="s">
        <v>279</v>
      </c>
      <c r="O820" s="15" t="s">
        <v>40</v>
      </c>
      <c r="P820" s="15" t="s">
        <v>41</v>
      </c>
      <c r="Q820" s="1" t="s">
        <v>280</v>
      </c>
      <c r="R820" s="2" t="s">
        <v>281</v>
      </c>
      <c r="S820" s="1" t="s">
        <v>282</v>
      </c>
      <c r="T820" s="1" t="s">
        <v>44</v>
      </c>
      <c r="U820" s="1"/>
      <c r="V820" s="1" t="s">
        <v>45</v>
      </c>
      <c r="W820" s="1"/>
      <c r="X820" s="1"/>
      <c r="Y820" s="1"/>
      <c r="Z820" s="1"/>
      <c r="AA820" s="1">
        <v>6</v>
      </c>
      <c r="AB820" s="1">
        <v>6</v>
      </c>
      <c r="AC820" s="1" t="s">
        <v>46</v>
      </c>
      <c r="AD820" s="1"/>
      <c r="AE820" s="1"/>
      <c r="AF820" s="1"/>
      <c r="AG820" s="1"/>
      <c r="AH820" s="1"/>
      <c r="AI820" s="1"/>
      <c r="AJ820" s="3">
        <v>43102.739270833335</v>
      </c>
      <c r="AK820" s="1" t="s">
        <v>74</v>
      </c>
    </row>
    <row r="821" spans="1:37">
      <c r="A821" s="1" t="str">
        <f>VLOOKUP(H821,Languages!$A$2:$B$430,2,FALSE)</f>
        <v>Eskimo-Aleut</v>
      </c>
      <c r="B821" s="1" t="s">
        <v>35</v>
      </c>
      <c r="C821" s="1" t="s">
        <v>220</v>
      </c>
      <c r="D821" s="1" t="s">
        <v>627</v>
      </c>
      <c r="E821" s="15" t="s">
        <v>628</v>
      </c>
      <c r="F821" s="15" t="s">
        <v>629</v>
      </c>
      <c r="G821" s="1" t="s">
        <v>630</v>
      </c>
      <c r="H821" s="1" t="str">
        <f>VLOOKUP(G821,'languoid 4.0'!$A$1:$I$24439,2,FALSE)</f>
        <v>eski1264</v>
      </c>
      <c r="I821" s="1" t="str">
        <f>VLOOKUP(G821,'languoid 4.0'!$A$1:$I$24439,6,FALSE)</f>
        <v>language</v>
      </c>
      <c r="J821" s="15" t="s">
        <v>52</v>
      </c>
      <c r="K821" s="15" t="s">
        <v>38</v>
      </c>
      <c r="L821" s="15" t="s">
        <v>38</v>
      </c>
      <c r="M821" s="1"/>
      <c r="N821" s="1" t="s">
        <v>631</v>
      </c>
      <c r="O821" s="15" t="s">
        <v>40</v>
      </c>
      <c r="P821" s="15" t="s">
        <v>632</v>
      </c>
      <c r="Q821" s="1" t="s">
        <v>35</v>
      </c>
      <c r="R821" s="2" t="s">
        <v>633</v>
      </c>
      <c r="S821" s="1" t="s">
        <v>634</v>
      </c>
      <c r="T821" s="1" t="s">
        <v>635</v>
      </c>
      <c r="U821" s="1" t="s">
        <v>636</v>
      </c>
      <c r="V821" s="1" t="s">
        <v>45</v>
      </c>
      <c r="W821" s="1"/>
      <c r="X821" s="1"/>
      <c r="Y821" s="1"/>
      <c r="Z821" s="1" t="s">
        <v>637</v>
      </c>
      <c r="AA821" s="1" t="s">
        <v>638</v>
      </c>
      <c r="AB821" s="1" t="s">
        <v>639</v>
      </c>
      <c r="AC821" s="1" t="s">
        <v>46</v>
      </c>
      <c r="AD821" s="1" t="s">
        <v>640</v>
      </c>
      <c r="AE821" s="1" t="s">
        <v>641</v>
      </c>
      <c r="AF821" s="1" t="s">
        <v>190</v>
      </c>
      <c r="AG821" s="1">
        <v>4</v>
      </c>
      <c r="AH821" s="1"/>
      <c r="AI821" s="1"/>
      <c r="AJ821" s="3">
        <v>43133.495046296295</v>
      </c>
      <c r="AK821" s="1" t="s">
        <v>74</v>
      </c>
    </row>
    <row r="822" spans="1:37">
      <c r="A822" s="1" t="str">
        <f>VLOOKUP(H822,Languages!$A$2:$B$430,2,FALSE)</f>
        <v>Eskimo-Aleut</v>
      </c>
      <c r="B822" s="1" t="s">
        <v>35</v>
      </c>
      <c r="C822" s="1" t="s">
        <v>220</v>
      </c>
      <c r="D822" s="1" t="s">
        <v>275</v>
      </c>
      <c r="E822" s="15" t="s">
        <v>276</v>
      </c>
      <c r="F822" s="15" t="s">
        <v>277</v>
      </c>
      <c r="G822" s="1" t="s">
        <v>278</v>
      </c>
      <c r="H822" s="1" t="str">
        <f>VLOOKUP(G822,'languoid 4.0'!$A$1:$I$24439,2,FALSE)</f>
        <v>eski1264</v>
      </c>
      <c r="I822" s="1" t="str">
        <f>VLOOKUP(G822,'languoid 4.0'!$A$1:$I$24439,6,FALSE)</f>
        <v>language</v>
      </c>
      <c r="J822" s="15" t="s">
        <v>52</v>
      </c>
      <c r="K822" s="15" t="s">
        <v>38</v>
      </c>
      <c r="L822" s="15" t="s">
        <v>38</v>
      </c>
      <c r="M822" s="1"/>
      <c r="N822" s="1" t="s">
        <v>279</v>
      </c>
      <c r="O822" s="15" t="s">
        <v>40</v>
      </c>
      <c r="P822" s="15" t="s">
        <v>41</v>
      </c>
      <c r="Q822" s="1" t="s">
        <v>35</v>
      </c>
      <c r="R822" s="2" t="s">
        <v>741</v>
      </c>
      <c r="S822" s="1" t="s">
        <v>442</v>
      </c>
      <c r="T822" s="1" t="s">
        <v>742</v>
      </c>
      <c r="U822" s="1" t="s">
        <v>636</v>
      </c>
      <c r="V822" s="1" t="s">
        <v>45</v>
      </c>
      <c r="W822" s="1"/>
      <c r="X822" s="1"/>
      <c r="Y822" s="1"/>
      <c r="Z822" s="1" t="s">
        <v>658</v>
      </c>
      <c r="AA822" s="1" t="s">
        <v>743</v>
      </c>
      <c r="AB822" s="1" t="s">
        <v>46</v>
      </c>
      <c r="AC822" s="1" t="s">
        <v>46</v>
      </c>
      <c r="AD822" s="1" t="s">
        <v>744</v>
      </c>
      <c r="AE822" s="1"/>
      <c r="AF822" s="1"/>
      <c r="AG822" s="1"/>
      <c r="AH822" s="1" t="s">
        <v>45</v>
      </c>
      <c r="AI822" s="1"/>
      <c r="AJ822" s="3">
        <v>43222.521111111113</v>
      </c>
      <c r="AK822" s="1" t="s">
        <v>74</v>
      </c>
    </row>
    <row r="823" spans="1:37">
      <c r="A823" s="1" t="str">
        <f>VLOOKUP(H823,Languages!$A$2:$B$430,2,FALSE)</f>
        <v>Eskimo-Aleut</v>
      </c>
      <c r="B823" s="1" t="s">
        <v>35</v>
      </c>
      <c r="C823" s="1" t="s">
        <v>220</v>
      </c>
      <c r="D823" s="1" t="s">
        <v>720</v>
      </c>
      <c r="E823" s="15" t="s">
        <v>278</v>
      </c>
      <c r="F823" s="15" t="s">
        <v>278</v>
      </c>
      <c r="G823" s="1" t="s">
        <v>278</v>
      </c>
      <c r="H823" s="1" t="str">
        <f>VLOOKUP(G823,'languoid 4.0'!$A$1:$I$24439,2,FALSE)</f>
        <v>eski1264</v>
      </c>
      <c r="I823" s="1" t="str">
        <f>VLOOKUP(G823,'languoid 4.0'!$A$1:$I$24439,6,FALSE)</f>
        <v>language</v>
      </c>
      <c r="J823" s="15" t="s">
        <v>38</v>
      </c>
      <c r="K823" s="15" t="s">
        <v>38</v>
      </c>
      <c r="L823" s="15" t="s">
        <v>38</v>
      </c>
      <c r="M823" s="1"/>
      <c r="N823" s="1" t="s">
        <v>721</v>
      </c>
      <c r="O823" s="15" t="s">
        <v>40</v>
      </c>
      <c r="P823" s="15" t="s">
        <v>41</v>
      </c>
      <c r="Q823" s="1" t="s">
        <v>1185</v>
      </c>
      <c r="R823" s="2" t="s">
        <v>1186</v>
      </c>
      <c r="S823" s="1" t="s">
        <v>1187</v>
      </c>
      <c r="T823" s="1" t="s">
        <v>657</v>
      </c>
      <c r="U823" s="1" t="s">
        <v>636</v>
      </c>
      <c r="V823" s="1" t="s">
        <v>45</v>
      </c>
      <c r="W823" s="1"/>
      <c r="X823" s="1"/>
      <c r="Y823" s="1"/>
      <c r="Z823" s="1" t="s">
        <v>637</v>
      </c>
      <c r="AA823" s="1" t="s">
        <v>1188</v>
      </c>
      <c r="AB823" s="1" t="s">
        <v>1189</v>
      </c>
      <c r="AC823" s="1" t="s">
        <v>46</v>
      </c>
      <c r="AD823" s="1"/>
      <c r="AE823" s="1" t="s">
        <v>641</v>
      </c>
      <c r="AF823" s="1" t="s">
        <v>190</v>
      </c>
      <c r="AG823" s="1">
        <v>6</v>
      </c>
      <c r="AH823" s="1" t="s">
        <v>190</v>
      </c>
      <c r="AI823" s="1" t="s">
        <v>1190</v>
      </c>
      <c r="AJ823" s="1" t="s">
        <v>1191</v>
      </c>
      <c r="AK823" s="1" t="s">
        <v>74</v>
      </c>
    </row>
    <row r="824" spans="1:37">
      <c r="A824" s="1" t="str">
        <f>VLOOKUP(H824,Languages!$A$2:$B$430,2,FALSE)</f>
        <v>Eskimo-Aleut</v>
      </c>
      <c r="B824" s="1" t="s">
        <v>35</v>
      </c>
      <c r="C824" s="1" t="s">
        <v>220</v>
      </c>
      <c r="D824" s="1" t="s">
        <v>4524</v>
      </c>
      <c r="E824" s="15" t="s">
        <v>629</v>
      </c>
      <c r="F824" s="15" t="s">
        <v>628</v>
      </c>
      <c r="G824" s="1" t="s">
        <v>629</v>
      </c>
      <c r="H824" s="1" t="str">
        <f>VLOOKUP(G824,'languoid 4.0'!$A$1:$I$24439,2,FALSE)</f>
        <v>eski1264</v>
      </c>
      <c r="I824" s="1" t="str">
        <f>VLOOKUP(G824,'languoid 4.0'!$A$1:$I$24439,6,FALSE)</f>
        <v>family</v>
      </c>
      <c r="J824" s="15" t="s">
        <v>52</v>
      </c>
      <c r="K824" s="15" t="s">
        <v>38</v>
      </c>
      <c r="L824" s="15" t="s">
        <v>38</v>
      </c>
      <c r="M824" s="1"/>
      <c r="N824" s="1"/>
      <c r="O824" s="15" t="s">
        <v>113</v>
      </c>
      <c r="P824" s="15" t="s">
        <v>41</v>
      </c>
      <c r="Q824" s="1" t="s">
        <v>35</v>
      </c>
      <c r="R824" s="2" t="s">
        <v>4525</v>
      </c>
      <c r="S824" s="1">
        <v>9</v>
      </c>
      <c r="T824" s="1" t="s">
        <v>754</v>
      </c>
      <c r="U824" s="1" t="s">
        <v>636</v>
      </c>
      <c r="V824" s="1" t="s">
        <v>45</v>
      </c>
      <c r="W824" s="1"/>
      <c r="X824" s="1"/>
      <c r="Y824" s="1"/>
      <c r="Z824" s="1" t="s">
        <v>637</v>
      </c>
      <c r="AA824" s="1" t="s">
        <v>35</v>
      </c>
      <c r="AB824" s="1" t="s">
        <v>4526</v>
      </c>
      <c r="AC824" s="1" t="s">
        <v>46</v>
      </c>
      <c r="AD824" s="1" t="s">
        <v>4527</v>
      </c>
      <c r="AE824" s="1" t="s">
        <v>641</v>
      </c>
      <c r="AF824" s="1" t="s">
        <v>190</v>
      </c>
      <c r="AG824" s="1">
        <v>6</v>
      </c>
      <c r="AH824" s="1" t="s">
        <v>190</v>
      </c>
      <c r="AI824" s="1"/>
      <c r="AJ824" s="3">
        <v>43257.631469907406</v>
      </c>
      <c r="AK824" s="1" t="s">
        <v>1749</v>
      </c>
    </row>
    <row r="825" spans="1:37">
      <c r="A825" s="1" t="str">
        <f>VLOOKUP(H825,Languages!$A$2:$B$430,2,FALSE)</f>
        <v>Eskimo-Aleut</v>
      </c>
      <c r="B825" s="1" t="s">
        <v>1726</v>
      </c>
      <c r="C825" s="1" t="s">
        <v>220</v>
      </c>
      <c r="D825" s="1" t="s">
        <v>4533</v>
      </c>
      <c r="E825" s="15" t="s">
        <v>629</v>
      </c>
      <c r="F825" s="15" t="s">
        <v>628</v>
      </c>
      <c r="G825" s="1" t="s">
        <v>629</v>
      </c>
      <c r="H825" s="1" t="str">
        <f>VLOOKUP(G825,'languoid 4.0'!$A$1:$I$24439,2,FALSE)</f>
        <v>eski1264</v>
      </c>
      <c r="I825" s="1" t="str">
        <f>VLOOKUP(G825,'languoid 4.0'!$A$1:$I$24439,6,FALSE)</f>
        <v>family</v>
      </c>
      <c r="J825" s="15" t="s">
        <v>52</v>
      </c>
      <c r="K825" s="15" t="s">
        <v>38</v>
      </c>
      <c r="L825" s="15" t="s">
        <v>38</v>
      </c>
      <c r="M825" s="1"/>
      <c r="N825" s="1"/>
      <c r="O825" s="15" t="s">
        <v>113</v>
      </c>
      <c r="P825" s="15" t="s">
        <v>41</v>
      </c>
      <c r="Q825" s="1" t="s">
        <v>4534</v>
      </c>
      <c r="R825" s="2" t="s">
        <v>4525</v>
      </c>
      <c r="S825" s="1">
        <v>16</v>
      </c>
      <c r="T825" s="1" t="s">
        <v>754</v>
      </c>
      <c r="U825" s="1" t="s">
        <v>636</v>
      </c>
      <c r="V825" s="1" t="s">
        <v>45</v>
      </c>
      <c r="W825" s="1"/>
      <c r="X825" s="1"/>
      <c r="Y825" s="1"/>
      <c r="Z825" s="1" t="s">
        <v>637</v>
      </c>
      <c r="AA825" s="1" t="s">
        <v>4535</v>
      </c>
      <c r="AB825" s="1" t="s">
        <v>4536</v>
      </c>
      <c r="AC825" s="1" t="s">
        <v>46</v>
      </c>
      <c r="AD825" s="1" t="s">
        <v>4537</v>
      </c>
      <c r="AE825" s="1" t="s">
        <v>641</v>
      </c>
      <c r="AF825" s="1" t="s">
        <v>190</v>
      </c>
      <c r="AG825" s="1">
        <v>6</v>
      </c>
      <c r="AH825" s="1" t="s">
        <v>190</v>
      </c>
      <c r="AI825" s="1"/>
      <c r="AJ825" s="3">
        <v>43257.63758101852</v>
      </c>
      <c r="AK825" s="1" t="s">
        <v>1749</v>
      </c>
    </row>
    <row r="826" spans="1:37">
      <c r="A826" s="1" t="str">
        <f>VLOOKUP(H826,Languages!$A$2:$B$430,2,FALSE)</f>
        <v>Eskimo-Aleut</v>
      </c>
      <c r="B826" s="1" t="s">
        <v>652</v>
      </c>
      <c r="C826" s="1" t="s">
        <v>220</v>
      </c>
      <c r="D826" s="1" t="s">
        <v>653</v>
      </c>
      <c r="E826" s="15" t="s">
        <v>277</v>
      </c>
      <c r="F826" s="15" t="s">
        <v>278</v>
      </c>
      <c r="G826" s="1" t="s">
        <v>278</v>
      </c>
      <c r="H826" s="1" t="str">
        <f>VLOOKUP(G826,'languoid 4.0'!$A$1:$I$24439,2,FALSE)</f>
        <v>eski1264</v>
      </c>
      <c r="I826" s="1" t="str">
        <f>VLOOKUP(G826,'languoid 4.0'!$A$1:$I$24439,6,FALSE)</f>
        <v>language</v>
      </c>
      <c r="J826" s="15" t="s">
        <v>52</v>
      </c>
      <c r="K826" s="15" t="s">
        <v>38</v>
      </c>
      <c r="L826" s="15" t="s">
        <v>38</v>
      </c>
      <c r="M826" s="1"/>
      <c r="N826" s="1"/>
      <c r="O826" s="15" t="s">
        <v>113</v>
      </c>
      <c r="P826" s="15" t="s">
        <v>41</v>
      </c>
      <c r="Q826" s="1" t="s">
        <v>654</v>
      </c>
      <c r="R826" s="2" t="s">
        <v>655</v>
      </c>
      <c r="S826" s="1" t="s">
        <v>656</v>
      </c>
      <c r="T826" s="1" t="s">
        <v>657</v>
      </c>
      <c r="U826" s="1" t="s">
        <v>636</v>
      </c>
      <c r="V826" s="1" t="s">
        <v>45</v>
      </c>
      <c r="W826" s="1"/>
      <c r="X826" s="1"/>
      <c r="Y826" s="1"/>
      <c r="Z826" s="1" t="s">
        <v>658</v>
      </c>
      <c r="AA826" s="1" t="s">
        <v>659</v>
      </c>
      <c r="AB826" s="1" t="s">
        <v>46</v>
      </c>
      <c r="AC826" s="1" t="s">
        <v>46</v>
      </c>
      <c r="AD826" s="1"/>
      <c r="AE826" s="1" t="s">
        <v>641</v>
      </c>
      <c r="AF826" s="1" t="s">
        <v>190</v>
      </c>
      <c r="AG826" s="1">
        <v>5</v>
      </c>
      <c r="AH826" s="1" t="s">
        <v>190</v>
      </c>
      <c r="AI826" s="1"/>
      <c r="AJ826" s="3">
        <v>43133.549687500003</v>
      </c>
      <c r="AK826" s="1" t="s">
        <v>74</v>
      </c>
    </row>
    <row r="827" spans="1:37">
      <c r="A827" s="1" t="str">
        <f>VLOOKUP(H827,Languages!$A$2:$B$430,2,FALSE)</f>
        <v>Eskimo-Aleut</v>
      </c>
      <c r="B827" s="1" t="s">
        <v>652</v>
      </c>
      <c r="C827" s="1" t="s">
        <v>220</v>
      </c>
      <c r="D827" s="1" t="s">
        <v>720</v>
      </c>
      <c r="E827" s="15" t="s">
        <v>278</v>
      </c>
      <c r="F827" s="15" t="s">
        <v>278</v>
      </c>
      <c r="G827" s="1" t="s">
        <v>278</v>
      </c>
      <c r="H827" s="1" t="str">
        <f>VLOOKUP(G827,'languoid 4.0'!$A$1:$I$24439,2,FALSE)</f>
        <v>eski1264</v>
      </c>
      <c r="I827" s="1" t="str">
        <f>VLOOKUP(G827,'languoid 4.0'!$A$1:$I$24439,6,FALSE)</f>
        <v>language</v>
      </c>
      <c r="J827" s="15" t="s">
        <v>38</v>
      </c>
      <c r="K827" s="15" t="s">
        <v>38</v>
      </c>
      <c r="L827" s="15" t="s">
        <v>38</v>
      </c>
      <c r="M827" s="1"/>
      <c r="N827" s="1" t="s">
        <v>721</v>
      </c>
      <c r="O827" s="15" t="s">
        <v>40</v>
      </c>
      <c r="P827" s="15" t="s">
        <v>41</v>
      </c>
      <c r="Q827" s="1" t="s">
        <v>722</v>
      </c>
      <c r="R827" s="2" t="s">
        <v>723</v>
      </c>
      <c r="S827" s="1" t="s">
        <v>724</v>
      </c>
      <c r="T827" s="1" t="s">
        <v>635</v>
      </c>
      <c r="U827" s="1" t="s">
        <v>636</v>
      </c>
      <c r="V827" s="1" t="s">
        <v>45</v>
      </c>
      <c r="W827" s="1"/>
      <c r="X827" s="1"/>
      <c r="Y827" s="1"/>
      <c r="Z827" s="1" t="s">
        <v>673</v>
      </c>
      <c r="AA827" s="1" t="s">
        <v>46</v>
      </c>
      <c r="AB827" s="1" t="s">
        <v>725</v>
      </c>
      <c r="AC827" s="1" t="s">
        <v>46</v>
      </c>
      <c r="AD827" s="1" t="s">
        <v>726</v>
      </c>
      <c r="AE827" s="1"/>
      <c r="AF827" s="1"/>
      <c r="AG827" s="1" t="s">
        <v>727</v>
      </c>
      <c r="AH827" s="1" t="s">
        <v>728</v>
      </c>
      <c r="AI827" s="1" t="s">
        <v>729</v>
      </c>
      <c r="AJ827" s="3">
        <v>43222.45957175926</v>
      </c>
      <c r="AK827" s="1" t="s">
        <v>74</v>
      </c>
    </row>
    <row r="828" spans="1:37">
      <c r="A828" s="1" t="str">
        <f>VLOOKUP(H828,Languages!$A$2:$B$430,2,FALSE)</f>
        <v>Eskimo-Aleut</v>
      </c>
      <c r="B828" s="1" t="s">
        <v>652</v>
      </c>
      <c r="C828" s="1" t="s">
        <v>220</v>
      </c>
      <c r="D828" s="1" t="s">
        <v>653</v>
      </c>
      <c r="E828" s="15" t="s">
        <v>277</v>
      </c>
      <c r="F828" s="15" t="s">
        <v>277</v>
      </c>
      <c r="G828" s="1" t="s">
        <v>277</v>
      </c>
      <c r="H828" s="1" t="str">
        <f>VLOOKUP(G828,'languoid 4.0'!$A$1:$I$24439,2,FALSE)</f>
        <v>eski1264</v>
      </c>
      <c r="I828" s="1" t="str">
        <f>VLOOKUP(G828,'languoid 4.0'!$A$1:$I$24439,6,FALSE)</f>
        <v>family</v>
      </c>
      <c r="J828" s="15" t="s">
        <v>38</v>
      </c>
      <c r="K828" s="15" t="s">
        <v>38</v>
      </c>
      <c r="L828" s="15" t="s">
        <v>38</v>
      </c>
      <c r="M828" s="1"/>
      <c r="N828" s="1"/>
      <c r="O828" s="15" t="s">
        <v>40</v>
      </c>
      <c r="P828" s="15" t="s">
        <v>41</v>
      </c>
      <c r="Q828" s="1" t="s">
        <v>752</v>
      </c>
      <c r="R828" s="2" t="s">
        <v>753</v>
      </c>
      <c r="S828" s="1" t="s">
        <v>248</v>
      </c>
      <c r="T828" s="1" t="s">
        <v>754</v>
      </c>
      <c r="U828" s="1" t="s">
        <v>636</v>
      </c>
      <c r="V828" s="1" t="s">
        <v>45</v>
      </c>
      <c r="W828" s="1"/>
      <c r="X828" s="1"/>
      <c r="Y828" s="1"/>
      <c r="Z828" s="1" t="s">
        <v>658</v>
      </c>
      <c r="AA828" s="1" t="s">
        <v>755</v>
      </c>
      <c r="AB828" s="1" t="s">
        <v>46</v>
      </c>
      <c r="AC828" s="1" t="s">
        <v>46</v>
      </c>
      <c r="AD828" s="1" t="s">
        <v>756</v>
      </c>
      <c r="AE828" s="1"/>
      <c r="AF828" s="1"/>
      <c r="AG828" s="1"/>
      <c r="AH828" s="1" t="s">
        <v>45</v>
      </c>
      <c r="AI828" s="1"/>
      <c r="AJ828" s="3">
        <v>43222.534166666665</v>
      </c>
      <c r="AK828" s="1" t="s">
        <v>74</v>
      </c>
    </row>
    <row r="829" spans="1:37">
      <c r="A829" s="1" t="str">
        <f>VLOOKUP(H829,Languages!$A$2:$B$430,2,FALSE)</f>
        <v>Eskimo-Aleut</v>
      </c>
      <c r="B829" s="1" t="s">
        <v>652</v>
      </c>
      <c r="C829" s="1" t="s">
        <v>220</v>
      </c>
      <c r="D829" s="1" t="s">
        <v>1102</v>
      </c>
      <c r="E829" s="15" t="s">
        <v>278</v>
      </c>
      <c r="F829" s="15" t="s">
        <v>276</v>
      </c>
      <c r="G829" s="1" t="s">
        <v>278</v>
      </c>
      <c r="H829" s="1" t="str">
        <f>VLOOKUP(G829,'languoid 4.0'!$A$1:$I$24439,2,FALSE)</f>
        <v>eski1264</v>
      </c>
      <c r="I829" s="1" t="str">
        <f>VLOOKUP(G829,'languoid 4.0'!$A$1:$I$24439,6,FALSE)</f>
        <v>language</v>
      </c>
      <c r="J829" s="15" t="s">
        <v>52</v>
      </c>
      <c r="K829" s="15" t="s">
        <v>38</v>
      </c>
      <c r="L829" s="15" t="s">
        <v>38</v>
      </c>
      <c r="M829" s="1"/>
      <c r="N829" s="1" t="s">
        <v>721</v>
      </c>
      <c r="O829" s="15" t="s">
        <v>40</v>
      </c>
      <c r="P829" s="15" t="s">
        <v>632</v>
      </c>
      <c r="Q829" s="1" t="s">
        <v>1103</v>
      </c>
      <c r="R829" s="2" t="s">
        <v>633</v>
      </c>
      <c r="S829" s="1" t="s">
        <v>1104</v>
      </c>
      <c r="T829" s="1" t="s">
        <v>635</v>
      </c>
      <c r="U829" s="1" t="s">
        <v>636</v>
      </c>
      <c r="V829" s="1" t="s">
        <v>45</v>
      </c>
      <c r="W829" s="1"/>
      <c r="X829" s="1"/>
      <c r="Y829" s="1"/>
      <c r="Z829" s="1" t="s">
        <v>637</v>
      </c>
      <c r="AA829" s="1" t="s">
        <v>1105</v>
      </c>
      <c r="AB829" s="1" t="s">
        <v>1106</v>
      </c>
      <c r="AC829" s="1" t="s">
        <v>46</v>
      </c>
      <c r="AD829" s="1"/>
      <c r="AE829" s="1"/>
      <c r="AF829" s="1"/>
      <c r="AG829" s="1"/>
      <c r="AH829" s="1" t="s">
        <v>45</v>
      </c>
      <c r="AI829" s="1"/>
      <c r="AJ829" s="1" t="s">
        <v>1107</v>
      </c>
      <c r="AK829" s="1" t="s">
        <v>74</v>
      </c>
    </row>
    <row r="830" spans="1:37">
      <c r="A830" s="1" t="str">
        <f>VLOOKUP(H830,Languages!$A$2:$B$430,2,FALSE)</f>
        <v>Eskimo-Aleut</v>
      </c>
      <c r="B830" s="1" t="s">
        <v>652</v>
      </c>
      <c r="C830" s="1" t="s">
        <v>220</v>
      </c>
      <c r="D830" s="1" t="s">
        <v>653</v>
      </c>
      <c r="E830" s="15" t="s">
        <v>278</v>
      </c>
      <c r="F830" s="15" t="s">
        <v>278</v>
      </c>
      <c r="G830" s="1" t="s">
        <v>278</v>
      </c>
      <c r="H830" s="1" t="str">
        <f>VLOOKUP(G830,'languoid 4.0'!$A$1:$I$24439,2,FALSE)</f>
        <v>eski1264</v>
      </c>
      <c r="I830" s="1" t="str">
        <f>VLOOKUP(G830,'languoid 4.0'!$A$1:$I$24439,6,FALSE)</f>
        <v>language</v>
      </c>
      <c r="J830" s="15" t="s">
        <v>38</v>
      </c>
      <c r="K830" s="15" t="s">
        <v>38</v>
      </c>
      <c r="L830" s="15" t="s">
        <v>38</v>
      </c>
      <c r="M830" s="1"/>
      <c r="N830" s="1" t="s">
        <v>721</v>
      </c>
      <c r="O830" s="15" t="s">
        <v>40</v>
      </c>
      <c r="P830" s="15" t="s">
        <v>41</v>
      </c>
      <c r="Q830" s="1" t="s">
        <v>1356</v>
      </c>
      <c r="R830" s="2" t="s">
        <v>655</v>
      </c>
      <c r="S830" s="1" t="s">
        <v>717</v>
      </c>
      <c r="T830" s="1" t="s">
        <v>718</v>
      </c>
      <c r="U830" s="1" t="s">
        <v>636</v>
      </c>
      <c r="V830" s="1" t="s">
        <v>45</v>
      </c>
      <c r="W830" s="1"/>
      <c r="X830" s="1"/>
      <c r="Y830" s="1"/>
      <c r="Z830" s="1" t="s">
        <v>637</v>
      </c>
      <c r="AA830" s="1" t="s">
        <v>1357</v>
      </c>
      <c r="AB830" s="1" t="s">
        <v>1358</v>
      </c>
      <c r="AC830" s="1" t="s">
        <v>46</v>
      </c>
      <c r="AD830" s="1"/>
      <c r="AE830" s="1" t="s">
        <v>641</v>
      </c>
      <c r="AF830" s="1" t="s">
        <v>190</v>
      </c>
      <c r="AG830" s="1">
        <v>5</v>
      </c>
      <c r="AH830" s="1" t="s">
        <v>190</v>
      </c>
      <c r="AI830" s="1"/>
      <c r="AJ830" s="1" t="s">
        <v>1359</v>
      </c>
      <c r="AK830" s="1" t="s">
        <v>74</v>
      </c>
    </row>
    <row r="831" spans="1:37">
      <c r="A831" s="1" t="str">
        <f>VLOOKUP(H831,Languages!$A$2:$B$430,2,FALSE)</f>
        <v>Eskimo-Aleut</v>
      </c>
      <c r="B831" s="1" t="s">
        <v>652</v>
      </c>
      <c r="C831" s="1" t="s">
        <v>220</v>
      </c>
      <c r="D831" s="1" t="s">
        <v>1192</v>
      </c>
      <c r="E831" s="15" t="s">
        <v>276</v>
      </c>
      <c r="F831" s="15" t="s">
        <v>277</v>
      </c>
      <c r="G831" s="1" t="s">
        <v>278</v>
      </c>
      <c r="H831" s="1" t="str">
        <f>VLOOKUP(G831,'languoid 4.0'!$A$1:$I$24439,2,FALSE)</f>
        <v>eski1264</v>
      </c>
      <c r="I831" s="1" t="str">
        <f>VLOOKUP(G831,'languoid 4.0'!$A$1:$I$24439,6,FALSE)</f>
        <v>language</v>
      </c>
      <c r="J831" s="15" t="s">
        <v>52</v>
      </c>
      <c r="K831" s="15" t="s">
        <v>38</v>
      </c>
      <c r="L831" s="15" t="s">
        <v>38</v>
      </c>
      <c r="M831" s="1"/>
      <c r="N831" s="1" t="s">
        <v>279</v>
      </c>
      <c r="O831" s="15" t="s">
        <v>40</v>
      </c>
      <c r="P831" s="15" t="s">
        <v>41</v>
      </c>
      <c r="Q831" s="1" t="s">
        <v>1374</v>
      </c>
      <c r="R831" s="2" t="s">
        <v>1194</v>
      </c>
      <c r="S831" s="1" t="s">
        <v>1375</v>
      </c>
      <c r="T831" s="1" t="s">
        <v>742</v>
      </c>
      <c r="U831" s="1" t="s">
        <v>636</v>
      </c>
      <c r="V831" s="1" t="s">
        <v>45</v>
      </c>
      <c r="W831" s="1"/>
      <c r="X831" s="1"/>
      <c r="Y831" s="1"/>
      <c r="Z831" s="1" t="s">
        <v>658</v>
      </c>
      <c r="AA831" s="1" t="s">
        <v>1376</v>
      </c>
      <c r="AB831" s="1" t="s">
        <v>46</v>
      </c>
      <c r="AC831" s="1" t="s">
        <v>46</v>
      </c>
      <c r="AD831" s="1" t="s">
        <v>744</v>
      </c>
      <c r="AE831" s="1"/>
      <c r="AF831" s="1"/>
      <c r="AG831" s="1"/>
      <c r="AH831" s="1" t="s">
        <v>45</v>
      </c>
      <c r="AI831" s="1"/>
      <c r="AJ831" s="1" t="s">
        <v>1377</v>
      </c>
      <c r="AK831" s="1" t="s">
        <v>74</v>
      </c>
    </row>
    <row r="832" spans="1:37">
      <c r="A832" s="1" t="str">
        <f>VLOOKUP(H832,Languages!$A$2:$B$430,2,FALSE)</f>
        <v>Eskimo-Aleut</v>
      </c>
      <c r="B832" s="1" t="s">
        <v>652</v>
      </c>
      <c r="C832" s="1" t="s">
        <v>220</v>
      </c>
      <c r="D832" s="1" t="s">
        <v>4280</v>
      </c>
      <c r="E832" s="15" t="s">
        <v>278</v>
      </c>
      <c r="F832" s="15" t="s">
        <v>278</v>
      </c>
      <c r="G832" s="1" t="s">
        <v>278</v>
      </c>
      <c r="H832" s="1" t="str">
        <f>VLOOKUP(G832,'languoid 4.0'!$A$1:$I$24439,2,FALSE)</f>
        <v>eski1264</v>
      </c>
      <c r="I832" s="1" t="str">
        <f>VLOOKUP(G832,'languoid 4.0'!$A$1:$I$24439,6,FALSE)</f>
        <v>language</v>
      </c>
      <c r="J832" s="15" t="s">
        <v>38</v>
      </c>
      <c r="K832" s="15" t="s">
        <v>38</v>
      </c>
      <c r="L832" s="15" t="s">
        <v>38</v>
      </c>
      <c r="M832" s="1"/>
      <c r="N832" s="1" t="s">
        <v>721</v>
      </c>
      <c r="O832" s="15" t="s">
        <v>40</v>
      </c>
      <c r="P832" s="15" t="s">
        <v>41</v>
      </c>
      <c r="Q832" s="1" t="s">
        <v>4281</v>
      </c>
      <c r="R832" s="2" t="s">
        <v>4282</v>
      </c>
      <c r="S832" s="1">
        <v>1</v>
      </c>
      <c r="T832" s="1" t="s">
        <v>657</v>
      </c>
      <c r="U832" s="1" t="s">
        <v>636</v>
      </c>
      <c r="V832" s="1" t="s">
        <v>45</v>
      </c>
      <c r="W832" s="1"/>
      <c r="X832" s="1"/>
      <c r="Y832" s="1"/>
      <c r="Z832" s="1" t="s">
        <v>673</v>
      </c>
      <c r="AA832" s="1" t="s">
        <v>4283</v>
      </c>
      <c r="AB832" s="1" t="s">
        <v>4284</v>
      </c>
      <c r="AC832" s="1" t="s">
        <v>46</v>
      </c>
      <c r="AD832" s="1"/>
      <c r="AE832" s="1" t="s">
        <v>641</v>
      </c>
      <c r="AF832" s="1" t="s">
        <v>190</v>
      </c>
      <c r="AG832" s="1">
        <v>6</v>
      </c>
      <c r="AH832" s="1" t="s">
        <v>190</v>
      </c>
      <c r="AI832" s="1"/>
      <c r="AJ832" s="3">
        <v>43106.460729166669</v>
      </c>
      <c r="AK832" s="1" t="s">
        <v>1749</v>
      </c>
    </row>
    <row r="833" spans="1:37">
      <c r="A833" s="1" t="str">
        <f>VLOOKUP(H833,Languages!$A$2:$B$430,2,FALSE)</f>
        <v>Eskimo-Aleut</v>
      </c>
      <c r="B833" s="1" t="s">
        <v>652</v>
      </c>
      <c r="C833" s="1" t="s">
        <v>220</v>
      </c>
      <c r="D833" s="1" t="s">
        <v>4280</v>
      </c>
      <c r="E833" s="15" t="s">
        <v>278</v>
      </c>
      <c r="F833" s="15" t="s">
        <v>278</v>
      </c>
      <c r="G833" s="1" t="s">
        <v>278</v>
      </c>
      <c r="H833" s="1" t="str">
        <f>VLOOKUP(G833,'languoid 4.0'!$A$1:$I$24439,2,FALSE)</f>
        <v>eski1264</v>
      </c>
      <c r="I833" s="1" t="str">
        <f>VLOOKUP(G833,'languoid 4.0'!$A$1:$I$24439,6,FALSE)</f>
        <v>language</v>
      </c>
      <c r="J833" s="15" t="s">
        <v>38</v>
      </c>
      <c r="K833" s="15" t="s">
        <v>38</v>
      </c>
      <c r="L833" s="15" t="s">
        <v>38</v>
      </c>
      <c r="M833" s="1"/>
      <c r="N833" s="1" t="s">
        <v>721</v>
      </c>
      <c r="O833" s="15" t="s">
        <v>40</v>
      </c>
      <c r="P833" s="15" t="s">
        <v>41</v>
      </c>
      <c r="Q833" s="1" t="s">
        <v>4285</v>
      </c>
      <c r="R833" s="2" t="s">
        <v>4286</v>
      </c>
      <c r="S833" s="1">
        <v>2</v>
      </c>
      <c r="T833" s="1" t="s">
        <v>657</v>
      </c>
      <c r="U833" s="1" t="s">
        <v>636</v>
      </c>
      <c r="V833" s="1" t="s">
        <v>45</v>
      </c>
      <c r="W833" s="1"/>
      <c r="X833" s="1"/>
      <c r="Y833" s="1"/>
      <c r="Z833" s="1" t="s">
        <v>673</v>
      </c>
      <c r="AA833" s="1" t="s">
        <v>4287</v>
      </c>
      <c r="AB833" s="1" t="s">
        <v>46</v>
      </c>
      <c r="AC833" s="1" t="s">
        <v>46</v>
      </c>
      <c r="AD833" s="1"/>
      <c r="AE833" s="1" t="s">
        <v>641</v>
      </c>
      <c r="AF833" s="1" t="s">
        <v>190</v>
      </c>
      <c r="AG833" s="1">
        <v>6</v>
      </c>
      <c r="AH833" s="1" t="s">
        <v>190</v>
      </c>
      <c r="AI833" s="1"/>
      <c r="AJ833" s="3">
        <v>43106.463113425925</v>
      </c>
      <c r="AK833" s="1" t="s">
        <v>1749</v>
      </c>
    </row>
    <row r="834" spans="1:37">
      <c r="A834" s="1" t="str">
        <f>VLOOKUP(H834,Languages!$A$2:$B$430,2,FALSE)</f>
        <v>Eskimo-Aleut</v>
      </c>
      <c r="B834" s="1" t="s">
        <v>652</v>
      </c>
      <c r="C834" s="1" t="s">
        <v>220</v>
      </c>
      <c r="D834" s="1" t="s">
        <v>4280</v>
      </c>
      <c r="E834" s="15" t="s">
        <v>278</v>
      </c>
      <c r="F834" s="15" t="s">
        <v>278</v>
      </c>
      <c r="G834" s="1" t="s">
        <v>278</v>
      </c>
      <c r="H834" s="1" t="str">
        <f>VLOOKUP(G834,'languoid 4.0'!$A$1:$I$24439,2,FALSE)</f>
        <v>eski1264</v>
      </c>
      <c r="I834" s="1" t="str">
        <f>VLOOKUP(G834,'languoid 4.0'!$A$1:$I$24439,6,FALSE)</f>
        <v>language</v>
      </c>
      <c r="J834" s="15" t="s">
        <v>38</v>
      </c>
      <c r="K834" s="15" t="s">
        <v>38</v>
      </c>
      <c r="L834" s="15" t="s">
        <v>38</v>
      </c>
      <c r="M834" s="1"/>
      <c r="N834" s="1" t="s">
        <v>721</v>
      </c>
      <c r="O834" s="15" t="s">
        <v>40</v>
      </c>
      <c r="P834" s="15" t="s">
        <v>41</v>
      </c>
      <c r="Q834" s="1" t="s">
        <v>4288</v>
      </c>
      <c r="R834" s="2" t="s">
        <v>4289</v>
      </c>
      <c r="S834" s="1">
        <v>5</v>
      </c>
      <c r="T834" s="1" t="s">
        <v>657</v>
      </c>
      <c r="U834" s="1" t="s">
        <v>636</v>
      </c>
      <c r="V834" s="1" t="s">
        <v>45</v>
      </c>
      <c r="W834" s="1"/>
      <c r="X834" s="1"/>
      <c r="Y834" s="1"/>
      <c r="Z834" s="1" t="s">
        <v>673</v>
      </c>
      <c r="AA834" s="1" t="s">
        <v>4290</v>
      </c>
      <c r="AB834" s="1" t="s">
        <v>4291</v>
      </c>
      <c r="AC834" s="1" t="s">
        <v>46</v>
      </c>
      <c r="AD834" s="1"/>
      <c r="AE834" s="1" t="s">
        <v>641</v>
      </c>
      <c r="AF834" s="1" t="s">
        <v>190</v>
      </c>
      <c r="AG834" s="1">
        <v>6</v>
      </c>
      <c r="AH834" s="1" t="s">
        <v>190</v>
      </c>
      <c r="AI834" s="1"/>
      <c r="AJ834" s="3">
        <v>43106.470497685186</v>
      </c>
      <c r="AK834" s="1" t="s">
        <v>1749</v>
      </c>
    </row>
    <row r="835" spans="1:37">
      <c r="A835" s="1" t="str">
        <f>VLOOKUP(H835,Languages!$A$2:$B$430,2,FALSE)</f>
        <v>Eskimo-Aleut</v>
      </c>
      <c r="B835" s="1" t="s">
        <v>652</v>
      </c>
      <c r="C835" s="1" t="s">
        <v>220</v>
      </c>
      <c r="D835" s="1" t="s">
        <v>4528</v>
      </c>
      <c r="E835" s="15" t="s">
        <v>629</v>
      </c>
      <c r="F835" s="15" t="s">
        <v>628</v>
      </c>
      <c r="G835" s="1" t="s">
        <v>629</v>
      </c>
      <c r="H835" s="1" t="str">
        <f>VLOOKUP(G835,'languoid 4.0'!$A$1:$I$24439,2,FALSE)</f>
        <v>eski1264</v>
      </c>
      <c r="I835" s="1" t="str">
        <f>VLOOKUP(G835,'languoid 4.0'!$A$1:$I$24439,6,FALSE)</f>
        <v>family</v>
      </c>
      <c r="J835" s="15" t="s">
        <v>52</v>
      </c>
      <c r="K835" s="15" t="s">
        <v>38</v>
      </c>
      <c r="L835" s="15" t="s">
        <v>38</v>
      </c>
      <c r="M835" s="1"/>
      <c r="N835" s="1"/>
      <c r="O835" s="15" t="s">
        <v>113</v>
      </c>
      <c r="P835" s="15" t="s">
        <v>41</v>
      </c>
      <c r="Q835" s="1" t="s">
        <v>4529</v>
      </c>
      <c r="R835" s="2" t="s">
        <v>4525</v>
      </c>
      <c r="S835" s="1">
        <v>12</v>
      </c>
      <c r="T835" s="1" t="s">
        <v>754</v>
      </c>
      <c r="U835" s="1" t="s">
        <v>636</v>
      </c>
      <c r="V835" s="1" t="s">
        <v>45</v>
      </c>
      <c r="W835" s="1"/>
      <c r="X835" s="1"/>
      <c r="Y835" s="1"/>
      <c r="Z835" s="1" t="s">
        <v>637</v>
      </c>
      <c r="AA835" s="1" t="s">
        <v>4530</v>
      </c>
      <c r="AB835" s="1" t="s">
        <v>4531</v>
      </c>
      <c r="AC835" s="1" t="s">
        <v>46</v>
      </c>
      <c r="AD835" s="1" t="s">
        <v>4532</v>
      </c>
      <c r="AE835" s="1" t="s">
        <v>641</v>
      </c>
      <c r="AF835" s="1" t="s">
        <v>190</v>
      </c>
      <c r="AG835" s="1">
        <v>6</v>
      </c>
      <c r="AH835" s="1" t="s">
        <v>190</v>
      </c>
      <c r="AI835" s="1"/>
      <c r="AJ835" s="3">
        <v>43257.634456018517</v>
      </c>
      <c r="AK835" s="1" t="s">
        <v>1749</v>
      </c>
    </row>
    <row r="836" spans="1:37">
      <c r="A836" s="1" t="str">
        <f>VLOOKUP(H836,Languages!$A$2:$B$430,2,FALSE)</f>
        <v>Eskimo-Aleut</v>
      </c>
      <c r="B836" s="1" t="s">
        <v>1750</v>
      </c>
      <c r="C836" s="1" t="s">
        <v>220</v>
      </c>
      <c r="D836" s="1" t="s">
        <v>4306</v>
      </c>
      <c r="E836" s="15" t="s">
        <v>4307</v>
      </c>
      <c r="F836" s="15" t="s">
        <v>4307</v>
      </c>
      <c r="G836" s="1" t="s">
        <v>4307</v>
      </c>
      <c r="H836" s="1" t="str">
        <f>VLOOKUP(G836,'languoid 4.0'!$A$1:$I$24439,2,FALSE)</f>
        <v>eski1264</v>
      </c>
      <c r="I836" s="1" t="str">
        <f>VLOOKUP(G836,'languoid 4.0'!$A$1:$I$24439,6,FALSE)</f>
        <v>language</v>
      </c>
      <c r="J836" s="15" t="s">
        <v>38</v>
      </c>
      <c r="K836" s="15" t="s">
        <v>38</v>
      </c>
      <c r="L836" s="15" t="s">
        <v>38</v>
      </c>
      <c r="M836" s="1"/>
      <c r="N836" s="1" t="s">
        <v>4308</v>
      </c>
      <c r="O836" s="15" t="s">
        <v>40</v>
      </c>
      <c r="P836" s="15" t="s">
        <v>41</v>
      </c>
      <c r="Q836" s="1" t="s">
        <v>4309</v>
      </c>
      <c r="R836" s="2" t="s">
        <v>4310</v>
      </c>
      <c r="S836" s="1" t="s">
        <v>557</v>
      </c>
      <c r="T836" s="1" t="s">
        <v>657</v>
      </c>
      <c r="U836" s="1" t="s">
        <v>636</v>
      </c>
      <c r="V836" s="1" t="s">
        <v>45</v>
      </c>
      <c r="W836" s="1"/>
      <c r="X836" s="1"/>
      <c r="Y836" s="1"/>
      <c r="Z836" s="1" t="s">
        <v>658</v>
      </c>
      <c r="AA836" s="1" t="s">
        <v>4311</v>
      </c>
      <c r="AB836" s="1" t="s">
        <v>46</v>
      </c>
      <c r="AC836" s="1" t="s">
        <v>46</v>
      </c>
      <c r="AD836" s="1"/>
      <c r="AE836" s="1" t="s">
        <v>641</v>
      </c>
      <c r="AF836" s="1" t="s">
        <v>190</v>
      </c>
      <c r="AG836" s="1">
        <v>5</v>
      </c>
      <c r="AH836" s="1" t="s">
        <v>190</v>
      </c>
      <c r="AI836" s="1" t="s">
        <v>4312</v>
      </c>
      <c r="AJ836" s="3">
        <v>43106.646041666667</v>
      </c>
      <c r="AK836" s="1" t="s">
        <v>1749</v>
      </c>
    </row>
    <row r="837" spans="1:37">
      <c r="A837" s="1" t="str">
        <f>VLOOKUP(H837,Languages!$A$2:$B$430,2,FALSE)</f>
        <v>Eskimo-Aleut</v>
      </c>
      <c r="B837" s="1" t="s">
        <v>1812</v>
      </c>
      <c r="C837" s="1" t="s">
        <v>220</v>
      </c>
      <c r="D837" s="1" t="s">
        <v>712</v>
      </c>
      <c r="E837" s="15" t="s">
        <v>276</v>
      </c>
      <c r="F837" s="15" t="s">
        <v>713</v>
      </c>
      <c r="G837" s="1" t="s">
        <v>276</v>
      </c>
      <c r="H837" s="1" t="str">
        <f>VLOOKUP(G837,'languoid 4.0'!$A$1:$I$24439,2,FALSE)</f>
        <v>eski1264</v>
      </c>
      <c r="I837" s="1" t="str">
        <f>VLOOKUP(G837,'languoid 4.0'!$A$1:$I$24439,6,FALSE)</f>
        <v>language</v>
      </c>
      <c r="J837" s="15" t="s">
        <v>52</v>
      </c>
      <c r="K837" s="15" t="s">
        <v>38</v>
      </c>
      <c r="L837" s="15" t="s">
        <v>38</v>
      </c>
      <c r="M837" s="1"/>
      <c r="N837" s="1" t="s">
        <v>279</v>
      </c>
      <c r="O837" s="15" t="s">
        <v>40</v>
      </c>
      <c r="P837" s="15" t="s">
        <v>41</v>
      </c>
      <c r="Q837" s="1" t="s">
        <v>3648</v>
      </c>
      <c r="R837" s="2" t="s">
        <v>716</v>
      </c>
      <c r="S837" s="1" t="s">
        <v>1596</v>
      </c>
      <c r="T837" s="1" t="s">
        <v>657</v>
      </c>
      <c r="U837" s="1" t="s">
        <v>636</v>
      </c>
      <c r="V837" s="1" t="s">
        <v>45</v>
      </c>
      <c r="W837" s="1"/>
      <c r="X837" s="1"/>
      <c r="Y837" s="1"/>
      <c r="Z837" s="1" t="s">
        <v>673</v>
      </c>
      <c r="AA837" s="1" t="s">
        <v>3649</v>
      </c>
      <c r="AB837" s="1" t="s">
        <v>3650</v>
      </c>
      <c r="AC837" s="1" t="s">
        <v>46</v>
      </c>
      <c r="AD837" s="1"/>
      <c r="AE837" s="1" t="s">
        <v>641</v>
      </c>
      <c r="AF837" s="1" t="s">
        <v>190</v>
      </c>
      <c r="AG837" s="1">
        <v>6</v>
      </c>
      <c r="AH837" s="1" t="s">
        <v>190</v>
      </c>
      <c r="AI837" s="1"/>
      <c r="AJ837" s="3">
        <v>43286.444004629629</v>
      </c>
      <c r="AK837" s="1" t="s">
        <v>74</v>
      </c>
    </row>
    <row r="838" spans="1:37">
      <c r="A838" s="1" t="str">
        <f>VLOOKUP(H838,Languages!$A$2:$B$430,2,FALSE)</f>
        <v>Eskimo-Aleut</v>
      </c>
      <c r="B838" s="1" t="s">
        <v>1812</v>
      </c>
      <c r="C838" s="1" t="s">
        <v>220</v>
      </c>
      <c r="D838" s="1" t="s">
        <v>712</v>
      </c>
      <c r="E838" s="15" t="s">
        <v>276</v>
      </c>
      <c r="F838" s="15" t="s">
        <v>713</v>
      </c>
      <c r="G838" s="1" t="s">
        <v>276</v>
      </c>
      <c r="H838" s="1" t="str">
        <f>VLOOKUP(G838,'languoid 4.0'!$A$1:$I$24439,2,FALSE)</f>
        <v>eski1264</v>
      </c>
      <c r="I838" s="1" t="str">
        <f>VLOOKUP(G838,'languoid 4.0'!$A$1:$I$24439,6,FALSE)</f>
        <v>language</v>
      </c>
      <c r="J838" s="15" t="s">
        <v>52</v>
      </c>
      <c r="K838" s="15" t="s">
        <v>38</v>
      </c>
      <c r="L838" s="15" t="s">
        <v>38</v>
      </c>
      <c r="M838" s="1"/>
      <c r="N838" s="1" t="s">
        <v>279</v>
      </c>
      <c r="O838" s="15" t="s">
        <v>40</v>
      </c>
      <c r="P838" s="15" t="s">
        <v>41</v>
      </c>
      <c r="Q838" s="1" t="s">
        <v>3651</v>
      </c>
      <c r="R838" s="2" t="s">
        <v>716</v>
      </c>
      <c r="S838" s="1" t="s">
        <v>399</v>
      </c>
      <c r="T838" s="1" t="s">
        <v>657</v>
      </c>
      <c r="U838" s="1" t="s">
        <v>636</v>
      </c>
      <c r="V838" s="1" t="s">
        <v>45</v>
      </c>
      <c r="W838" s="1"/>
      <c r="X838" s="1"/>
      <c r="Y838" s="1"/>
      <c r="Z838" s="1" t="s">
        <v>1893</v>
      </c>
      <c r="AA838" s="1" t="s">
        <v>3652</v>
      </c>
      <c r="AB838" s="1" t="s">
        <v>46</v>
      </c>
      <c r="AC838" s="1" t="s">
        <v>3653</v>
      </c>
      <c r="AD838" s="1"/>
      <c r="AE838" s="1" t="s">
        <v>641</v>
      </c>
      <c r="AF838" s="1" t="s">
        <v>190</v>
      </c>
      <c r="AG838" s="1">
        <v>6</v>
      </c>
      <c r="AH838" s="1" t="s">
        <v>190</v>
      </c>
      <c r="AI838" s="1"/>
      <c r="AJ838" s="3">
        <v>43286.448877314811</v>
      </c>
      <c r="AK838" s="1" t="s">
        <v>74</v>
      </c>
    </row>
    <row r="839" spans="1:37">
      <c r="A839" s="1" t="str">
        <f>VLOOKUP(H839,Languages!$A$2:$B$430,2,FALSE)</f>
        <v>Eskimo-Aleut</v>
      </c>
      <c r="B839" s="1" t="s">
        <v>1812</v>
      </c>
      <c r="C839" s="1" t="s">
        <v>220</v>
      </c>
      <c r="D839" s="1" t="s">
        <v>712</v>
      </c>
      <c r="E839" s="15" t="s">
        <v>276</v>
      </c>
      <c r="F839" s="15" t="s">
        <v>277</v>
      </c>
      <c r="G839" s="1" t="s">
        <v>276</v>
      </c>
      <c r="H839" s="1" t="str">
        <f>VLOOKUP(G839,'languoid 4.0'!$A$1:$I$24439,2,FALSE)</f>
        <v>eski1264</v>
      </c>
      <c r="I839" s="1" t="str">
        <f>VLOOKUP(G839,'languoid 4.0'!$A$1:$I$24439,6,FALSE)</f>
        <v>language</v>
      </c>
      <c r="J839" s="15" t="s">
        <v>52</v>
      </c>
      <c r="K839" s="15" t="s">
        <v>38</v>
      </c>
      <c r="L839" s="15" t="s">
        <v>38</v>
      </c>
      <c r="M839" s="1"/>
      <c r="N839" s="1" t="s">
        <v>279</v>
      </c>
      <c r="O839" s="15" t="s">
        <v>40</v>
      </c>
      <c r="P839" s="15" t="s">
        <v>41</v>
      </c>
      <c r="Q839" s="1" t="s">
        <v>4292</v>
      </c>
      <c r="R839" s="2" t="s">
        <v>4293</v>
      </c>
      <c r="S839" s="1">
        <v>15</v>
      </c>
      <c r="T839" s="1" t="s">
        <v>657</v>
      </c>
      <c r="U839" s="1" t="s">
        <v>636</v>
      </c>
      <c r="V839" s="1" t="s">
        <v>45</v>
      </c>
      <c r="W839" s="1"/>
      <c r="X839" s="1"/>
      <c r="Y839" s="1"/>
      <c r="Z839" s="1" t="s">
        <v>1151</v>
      </c>
      <c r="AA839" s="1" t="s">
        <v>4294</v>
      </c>
      <c r="AB839" s="1" t="s">
        <v>46</v>
      </c>
      <c r="AC839" s="1" t="s">
        <v>4295</v>
      </c>
      <c r="AD839" s="1"/>
      <c r="AE839" s="1" t="s">
        <v>641</v>
      </c>
      <c r="AF839" s="1" t="s">
        <v>190</v>
      </c>
      <c r="AG839" s="1">
        <v>6</v>
      </c>
      <c r="AH839" s="1" t="s">
        <v>190</v>
      </c>
      <c r="AI839" s="1"/>
      <c r="AJ839" s="3">
        <v>43106.475798611114</v>
      </c>
      <c r="AK839" s="1" t="s">
        <v>1749</v>
      </c>
    </row>
    <row r="840" spans="1:37">
      <c r="A840" s="1" t="str">
        <f>VLOOKUP(H840,Languages!$A$2:$B$430,2,FALSE)</f>
        <v>Eskimo-Aleut</v>
      </c>
      <c r="B840" s="1" t="s">
        <v>1812</v>
      </c>
      <c r="C840" s="1" t="s">
        <v>220</v>
      </c>
      <c r="D840" s="1" t="s">
        <v>653</v>
      </c>
      <c r="E840" s="15" t="s">
        <v>661</v>
      </c>
      <c r="F840" s="15" t="s">
        <v>661</v>
      </c>
      <c r="G840" s="1" t="s">
        <v>661</v>
      </c>
      <c r="H840" s="1" t="str">
        <f>VLOOKUP(G840,'languoid 4.0'!$A$1:$I$24439,2,FALSE)</f>
        <v>eski1264</v>
      </c>
      <c r="I840" s="1" t="str">
        <f>VLOOKUP(G840,'languoid 4.0'!$A$1:$I$24439,6,FALSE)</f>
        <v>language</v>
      </c>
      <c r="J840" s="15" t="s">
        <v>38</v>
      </c>
      <c r="K840" s="15" t="s">
        <v>38</v>
      </c>
      <c r="L840" s="15" t="s">
        <v>38</v>
      </c>
      <c r="M840" s="1"/>
      <c r="N840" s="1" t="s">
        <v>4296</v>
      </c>
      <c r="O840" s="15" t="s">
        <v>40</v>
      </c>
      <c r="P840" s="15" t="s">
        <v>41</v>
      </c>
      <c r="Q840" s="1" t="s">
        <v>4297</v>
      </c>
      <c r="R840" s="2" t="s">
        <v>4298</v>
      </c>
      <c r="S840" s="1">
        <v>15</v>
      </c>
      <c r="T840" s="1" t="s">
        <v>657</v>
      </c>
      <c r="U840" s="1" t="s">
        <v>636</v>
      </c>
      <c r="V840" s="1" t="s">
        <v>45</v>
      </c>
      <c r="W840" s="1"/>
      <c r="X840" s="1"/>
      <c r="Y840" s="1"/>
      <c r="Z840" s="1" t="s">
        <v>658</v>
      </c>
      <c r="AA840" s="1" t="s">
        <v>4299</v>
      </c>
      <c r="AB840" s="1" t="s">
        <v>4300</v>
      </c>
      <c r="AC840" s="1" t="s">
        <v>46</v>
      </c>
      <c r="AD840" s="1"/>
      <c r="AE840" s="1" t="s">
        <v>641</v>
      </c>
      <c r="AF840" s="1" t="s">
        <v>190</v>
      </c>
      <c r="AG840" s="1">
        <v>6</v>
      </c>
      <c r="AH840" s="1" t="s">
        <v>190</v>
      </c>
      <c r="AI840" s="1"/>
      <c r="AJ840" s="3">
        <v>43106.484699074077</v>
      </c>
      <c r="AK840" s="1" t="s">
        <v>1749</v>
      </c>
    </row>
    <row r="841" spans="1:37">
      <c r="A841" s="1" t="str">
        <f>VLOOKUP(H841,Languages!$A$2:$B$430,2,FALSE)</f>
        <v>Eskimo-Aleut</v>
      </c>
      <c r="B841" s="1" t="s">
        <v>1812</v>
      </c>
      <c r="C841" s="1" t="s">
        <v>220</v>
      </c>
      <c r="D841" s="1" t="s">
        <v>4301</v>
      </c>
      <c r="E841" s="15" t="s">
        <v>278</v>
      </c>
      <c r="F841" s="15" t="s">
        <v>278</v>
      </c>
      <c r="G841" s="1" t="s">
        <v>278</v>
      </c>
      <c r="H841" s="1" t="str">
        <f>VLOOKUP(G841,'languoid 4.0'!$A$1:$I$24439,2,FALSE)</f>
        <v>eski1264</v>
      </c>
      <c r="I841" s="1" t="str">
        <f>VLOOKUP(G841,'languoid 4.0'!$A$1:$I$24439,6,FALSE)</f>
        <v>language</v>
      </c>
      <c r="J841" s="15" t="s">
        <v>38</v>
      </c>
      <c r="K841" s="15" t="s">
        <v>38</v>
      </c>
      <c r="L841" s="15" t="s">
        <v>38</v>
      </c>
      <c r="M841" s="1"/>
      <c r="N841" s="1" t="s">
        <v>721</v>
      </c>
      <c r="O841" s="15" t="s">
        <v>40</v>
      </c>
      <c r="P841" s="15" t="s">
        <v>41</v>
      </c>
      <c r="Q841" s="1" t="s">
        <v>4302</v>
      </c>
      <c r="R841" s="2" t="s">
        <v>4303</v>
      </c>
      <c r="S841" s="1">
        <v>12</v>
      </c>
      <c r="T841" s="1" t="s">
        <v>657</v>
      </c>
      <c r="U841" s="1" t="s">
        <v>636</v>
      </c>
      <c r="V841" s="1" t="s">
        <v>45</v>
      </c>
      <c r="W841" s="1"/>
      <c r="X841" s="1"/>
      <c r="Y841" s="1"/>
      <c r="Z841" s="1" t="s">
        <v>658</v>
      </c>
      <c r="AA841" s="1" t="s">
        <v>4304</v>
      </c>
      <c r="AB841" s="1" t="s">
        <v>4305</v>
      </c>
      <c r="AC841" s="1" t="s">
        <v>46</v>
      </c>
      <c r="AD841" s="1"/>
      <c r="AE841" s="1" t="s">
        <v>641</v>
      </c>
      <c r="AF841" s="1" t="s">
        <v>190</v>
      </c>
      <c r="AG841" s="1">
        <v>6</v>
      </c>
      <c r="AH841" s="1" t="s">
        <v>190</v>
      </c>
      <c r="AI841" s="1"/>
      <c r="AJ841" s="3">
        <v>43106.487245370372</v>
      </c>
      <c r="AK841" s="1" t="s">
        <v>1749</v>
      </c>
    </row>
    <row r="842" spans="1:37">
      <c r="A842" s="1" t="str">
        <f>VLOOKUP(H842,Languages!$A$2:$B$430,2,FALSE)</f>
        <v>Eskimo-Aleut</v>
      </c>
      <c r="B842" s="1" t="s">
        <v>1812</v>
      </c>
      <c r="C842" s="1" t="s">
        <v>220</v>
      </c>
      <c r="D842" s="1" t="s">
        <v>4538</v>
      </c>
      <c r="E842" s="15" t="s">
        <v>629</v>
      </c>
      <c r="F842" s="15" t="s">
        <v>628</v>
      </c>
      <c r="G842" s="1" t="s">
        <v>629</v>
      </c>
      <c r="H842" s="1" t="str">
        <f>VLOOKUP(G842,'languoid 4.0'!$A$1:$I$24439,2,FALSE)</f>
        <v>eski1264</v>
      </c>
      <c r="I842" s="1" t="str">
        <f>VLOOKUP(G842,'languoid 4.0'!$A$1:$I$24439,6,FALSE)</f>
        <v>family</v>
      </c>
      <c r="J842" s="15" t="s">
        <v>52</v>
      </c>
      <c r="K842" s="15" t="s">
        <v>38</v>
      </c>
      <c r="L842" s="15" t="s">
        <v>38</v>
      </c>
      <c r="M842" s="1"/>
      <c r="N842" s="1"/>
      <c r="O842" s="15" t="s">
        <v>113</v>
      </c>
      <c r="P842" s="15" t="s">
        <v>41</v>
      </c>
      <c r="Q842" s="1" t="s">
        <v>4539</v>
      </c>
      <c r="R842" s="2" t="s">
        <v>4525</v>
      </c>
      <c r="S842" s="1">
        <v>29</v>
      </c>
      <c r="T842" s="1" t="s">
        <v>754</v>
      </c>
      <c r="U842" s="1" t="s">
        <v>636</v>
      </c>
      <c r="V842" s="1" t="s">
        <v>45</v>
      </c>
      <c r="W842" s="1"/>
      <c r="X842" s="1"/>
      <c r="Y842" s="1"/>
      <c r="Z842" s="1" t="s">
        <v>658</v>
      </c>
      <c r="AA842" s="1" t="s">
        <v>4540</v>
      </c>
      <c r="AB842" s="1" t="s">
        <v>4541</v>
      </c>
      <c r="AC842" s="1" t="s">
        <v>46</v>
      </c>
      <c r="AD842" s="1" t="s">
        <v>4542</v>
      </c>
      <c r="AE842" s="1" t="s">
        <v>641</v>
      </c>
      <c r="AF842" s="1" t="s">
        <v>190</v>
      </c>
      <c r="AG842" s="1">
        <v>5</v>
      </c>
      <c r="AH842" s="1" t="s">
        <v>190</v>
      </c>
      <c r="AI842" s="1"/>
      <c r="AJ842" s="3">
        <v>43257.64508101852</v>
      </c>
      <c r="AK842" s="1" t="s">
        <v>1749</v>
      </c>
    </row>
    <row r="843" spans="1:37">
      <c r="A843" s="1" t="str">
        <f>VLOOKUP(H843,Languages!$A$2:$B$430,2,FALSE)</f>
        <v>Eskimo-Aleut</v>
      </c>
      <c r="B843" s="1" t="s">
        <v>1812</v>
      </c>
      <c r="C843" s="1" t="s">
        <v>220</v>
      </c>
      <c r="D843" s="1" t="s">
        <v>4543</v>
      </c>
      <c r="E843" s="15" t="s">
        <v>276</v>
      </c>
      <c r="F843" s="15" t="s">
        <v>277</v>
      </c>
      <c r="G843" s="1" t="s">
        <v>278</v>
      </c>
      <c r="H843" s="1" t="str">
        <f>VLOOKUP(G843,'languoid 4.0'!$A$1:$I$24439,2,FALSE)</f>
        <v>eski1264</v>
      </c>
      <c r="I843" s="1" t="str">
        <f>VLOOKUP(G843,'languoid 4.0'!$A$1:$I$24439,6,FALSE)</f>
        <v>language</v>
      </c>
      <c r="J843" s="15" t="s">
        <v>52</v>
      </c>
      <c r="K843" s="15" t="s">
        <v>38</v>
      </c>
      <c r="L843" s="15" t="s">
        <v>38</v>
      </c>
      <c r="M843" s="1"/>
      <c r="N843" s="1" t="s">
        <v>279</v>
      </c>
      <c r="O843" s="15" t="s">
        <v>40</v>
      </c>
      <c r="P843" s="15" t="s">
        <v>41</v>
      </c>
      <c r="Q843" s="1" t="s">
        <v>4544</v>
      </c>
      <c r="R843" s="2" t="s">
        <v>741</v>
      </c>
      <c r="S843" s="1">
        <v>52</v>
      </c>
      <c r="T843" s="1" t="s">
        <v>4545</v>
      </c>
      <c r="U843" s="1" t="s">
        <v>636</v>
      </c>
      <c r="V843" s="1" t="s">
        <v>45</v>
      </c>
      <c r="W843" s="1"/>
      <c r="X843" s="1"/>
      <c r="Y843" s="1"/>
      <c r="Z843" s="1" t="s">
        <v>637</v>
      </c>
      <c r="AA843" s="1" t="s">
        <v>4546</v>
      </c>
      <c r="AB843" s="1" t="s">
        <v>46</v>
      </c>
      <c r="AC843" s="1" t="s">
        <v>46</v>
      </c>
      <c r="AD843" s="1" t="s">
        <v>4547</v>
      </c>
      <c r="AE843" s="1" t="s">
        <v>641</v>
      </c>
      <c r="AF843" s="1" t="s">
        <v>190</v>
      </c>
      <c r="AG843" s="1">
        <v>6</v>
      </c>
      <c r="AH843" s="1" t="s">
        <v>190</v>
      </c>
      <c r="AI843" s="1"/>
      <c r="AJ843" s="3">
        <v>43257.654432870368</v>
      </c>
      <c r="AK843" s="1" t="s">
        <v>1749</v>
      </c>
    </row>
    <row r="844" spans="1:37">
      <c r="A844" s="1" t="str">
        <f>VLOOKUP(H844,Languages!$A$2:$B$430,2,FALSE)</f>
        <v>Eskimo-Aleut</v>
      </c>
      <c r="B844" s="1" t="s">
        <v>1812</v>
      </c>
      <c r="C844" s="1" t="s">
        <v>220</v>
      </c>
      <c r="D844" s="1" t="s">
        <v>275</v>
      </c>
      <c r="E844" s="15" t="s">
        <v>276</v>
      </c>
      <c r="F844" s="15" t="s">
        <v>277</v>
      </c>
      <c r="G844" s="1" t="s">
        <v>278</v>
      </c>
      <c r="H844" s="1" t="str">
        <f>VLOOKUP(G844,'languoid 4.0'!$A$1:$I$24439,2,FALSE)</f>
        <v>eski1264</v>
      </c>
      <c r="I844" s="1" t="str">
        <f>VLOOKUP(G844,'languoid 4.0'!$A$1:$I$24439,6,FALSE)</f>
        <v>language</v>
      </c>
      <c r="J844" s="15" t="s">
        <v>52</v>
      </c>
      <c r="K844" s="15" t="s">
        <v>38</v>
      </c>
      <c r="L844" s="15" t="s">
        <v>38</v>
      </c>
      <c r="M844" s="1"/>
      <c r="N844" s="1" t="s">
        <v>279</v>
      </c>
      <c r="O844" s="15" t="s">
        <v>40</v>
      </c>
      <c r="P844" s="15" t="s">
        <v>41</v>
      </c>
      <c r="Q844" s="1" t="s">
        <v>4548</v>
      </c>
      <c r="R844" s="2" t="s">
        <v>741</v>
      </c>
      <c r="S844" s="1">
        <v>53</v>
      </c>
      <c r="T844" s="1" t="s">
        <v>754</v>
      </c>
      <c r="U844" s="1" t="s">
        <v>636</v>
      </c>
      <c r="V844" s="1" t="s">
        <v>45</v>
      </c>
      <c r="W844" s="1"/>
      <c r="X844" s="1"/>
      <c r="Y844" s="1"/>
      <c r="Z844" s="1" t="s">
        <v>637</v>
      </c>
      <c r="AA844" s="1" t="s">
        <v>4546</v>
      </c>
      <c r="AB844" s="1" t="s">
        <v>46</v>
      </c>
      <c r="AC844" s="1" t="s">
        <v>46</v>
      </c>
      <c r="AD844" s="1"/>
      <c r="AE844" s="1" t="s">
        <v>641</v>
      </c>
      <c r="AF844" s="1" t="s">
        <v>190</v>
      </c>
      <c r="AG844" s="1">
        <v>6</v>
      </c>
      <c r="AH844" s="1" t="s">
        <v>190</v>
      </c>
      <c r="AI844" s="1"/>
      <c r="AJ844" s="3">
        <v>43257.655891203707</v>
      </c>
      <c r="AK844" s="1" t="s">
        <v>1749</v>
      </c>
    </row>
    <row r="845" spans="1:37">
      <c r="A845" s="1" t="str">
        <f>VLOOKUP(H845,Languages!$A$2:$B$430,2,FALSE)</f>
        <v>Furan</v>
      </c>
      <c r="B845" s="1" t="s">
        <v>67</v>
      </c>
      <c r="C845" s="1" t="s">
        <v>214</v>
      </c>
      <c r="D845" s="1" t="s">
        <v>3230</v>
      </c>
      <c r="E845" s="15" t="s">
        <v>3231</v>
      </c>
      <c r="F845" s="15" t="s">
        <v>3231</v>
      </c>
      <c r="G845" s="1" t="s">
        <v>3231</v>
      </c>
      <c r="H845" s="1" t="str">
        <f>VLOOKUP(G845,'languoid 4.0'!$A$1:$I$24439,2,FALSE)</f>
        <v>fura1235</v>
      </c>
      <c r="I845" s="1" t="str">
        <f>VLOOKUP(G845,'languoid 4.0'!$A$1:$I$24439,6,FALSE)</f>
        <v>language</v>
      </c>
      <c r="J845" s="15" t="s">
        <v>38</v>
      </c>
      <c r="K845" s="15" t="s">
        <v>38</v>
      </c>
      <c r="L845" s="15" t="s">
        <v>38</v>
      </c>
      <c r="M845" s="1"/>
      <c r="N845" s="1" t="s">
        <v>3232</v>
      </c>
      <c r="O845" s="15" t="s">
        <v>40</v>
      </c>
      <c r="P845" s="15" t="s">
        <v>41</v>
      </c>
      <c r="Q845" s="1" t="s">
        <v>3233</v>
      </c>
      <c r="R845" s="2" t="s">
        <v>3234</v>
      </c>
      <c r="S845" s="1" t="s">
        <v>46</v>
      </c>
      <c r="T845" s="1" t="s">
        <v>635</v>
      </c>
      <c r="U845" s="1" t="s">
        <v>636</v>
      </c>
      <c r="V845" s="1" t="s">
        <v>45</v>
      </c>
      <c r="W845" s="1"/>
      <c r="X845" s="1"/>
      <c r="Y845" s="1"/>
      <c r="Z845" s="1" t="s">
        <v>637</v>
      </c>
      <c r="AA845" s="1" t="s">
        <v>3235</v>
      </c>
      <c r="AB845" s="1" t="s">
        <v>3236</v>
      </c>
      <c r="AC845" s="1" t="s">
        <v>46</v>
      </c>
      <c r="AD845" s="1"/>
      <c r="AE845" s="1" t="s">
        <v>641</v>
      </c>
      <c r="AF845" s="1" t="s">
        <v>190</v>
      </c>
      <c r="AG845" s="1">
        <v>5</v>
      </c>
      <c r="AH845" s="1" t="s">
        <v>190</v>
      </c>
      <c r="AI845" s="1"/>
      <c r="AJ845" s="1" t="s">
        <v>3237</v>
      </c>
      <c r="AK845" s="1" t="s">
        <v>3060</v>
      </c>
    </row>
    <row r="846" spans="1:37">
      <c r="A846" s="1" t="str">
        <f>VLOOKUP(H846,Languages!$A$2:$B$430,2,FALSE)</f>
        <v>Goilalan</v>
      </c>
      <c r="B846" s="1" t="s">
        <v>109</v>
      </c>
      <c r="C846" s="1" t="s">
        <v>75</v>
      </c>
      <c r="D846" s="1" t="s">
        <v>7958</v>
      </c>
      <c r="E846" s="15" t="s">
        <v>7959</v>
      </c>
      <c r="F846" s="15" t="s">
        <v>7959</v>
      </c>
      <c r="G846" s="1" t="s">
        <v>7959</v>
      </c>
      <c r="H846" s="1" t="str">
        <f>VLOOKUP(G846,'languoid 4.0'!$A$1:$I$24439,2,FALSE)</f>
        <v>goil1242</v>
      </c>
      <c r="I846" s="1" t="str">
        <f>VLOOKUP(G846,'languoid 4.0'!$A$1:$I$24439,6,FALSE)</f>
        <v>language</v>
      </c>
      <c r="J846" s="15" t="s">
        <v>38</v>
      </c>
      <c r="K846" s="15" t="s">
        <v>38</v>
      </c>
      <c r="L846" s="15" t="s">
        <v>38</v>
      </c>
      <c r="M846" s="1"/>
      <c r="N846" s="1" t="s">
        <v>7960</v>
      </c>
      <c r="O846" s="15" t="s">
        <v>40</v>
      </c>
      <c r="P846" s="15" t="s">
        <v>41</v>
      </c>
      <c r="Q846" s="1" t="s">
        <v>7961</v>
      </c>
      <c r="R846" s="2" t="s">
        <v>7962</v>
      </c>
      <c r="S846" s="1" t="s">
        <v>46</v>
      </c>
      <c r="T846" s="1" t="s">
        <v>635</v>
      </c>
      <c r="U846" s="1" t="s">
        <v>636</v>
      </c>
      <c r="V846" s="1" t="s">
        <v>45</v>
      </c>
      <c r="W846" s="1"/>
      <c r="X846" s="1"/>
      <c r="Y846" s="1"/>
      <c r="Z846" s="1" t="s">
        <v>658</v>
      </c>
      <c r="AA846" s="1" t="s">
        <v>7963</v>
      </c>
      <c r="AB846" s="1" t="s">
        <v>46</v>
      </c>
      <c r="AC846" s="1" t="s">
        <v>46</v>
      </c>
      <c r="AD846" s="1" t="s">
        <v>7964</v>
      </c>
      <c r="AE846" s="1" t="s">
        <v>641</v>
      </c>
      <c r="AF846" s="1" t="s">
        <v>190</v>
      </c>
      <c r="AG846" s="1">
        <v>6</v>
      </c>
      <c r="AH846" s="1" t="s">
        <v>190</v>
      </c>
      <c r="AI846" s="1"/>
      <c r="AJ846" s="1" t="s">
        <v>7965</v>
      </c>
      <c r="AK846" s="1" t="s">
        <v>5640</v>
      </c>
    </row>
    <row r="847" spans="1:37">
      <c r="A847" s="1" t="str">
        <f>VLOOKUP(H847,Languages!$A$2:$B$430,2,FALSE)</f>
        <v>Goilalan</v>
      </c>
      <c r="B847" s="1" t="s">
        <v>1812</v>
      </c>
      <c r="C847" s="1" t="s">
        <v>75</v>
      </c>
      <c r="D847" s="1" t="s">
        <v>7958</v>
      </c>
      <c r="E847" s="15" t="s">
        <v>7959</v>
      </c>
      <c r="F847" s="15" t="s">
        <v>7959</v>
      </c>
      <c r="G847" s="1" t="s">
        <v>7959</v>
      </c>
      <c r="H847" s="1" t="str">
        <f>VLOOKUP(G847,'languoid 4.0'!$A$1:$I$24439,2,FALSE)</f>
        <v>goil1242</v>
      </c>
      <c r="I847" s="1" t="str">
        <f>VLOOKUP(G847,'languoid 4.0'!$A$1:$I$24439,6,FALSE)</f>
        <v>language</v>
      </c>
      <c r="J847" s="15" t="s">
        <v>38</v>
      </c>
      <c r="K847" s="15" t="s">
        <v>38</v>
      </c>
      <c r="L847" s="15" t="s">
        <v>38</v>
      </c>
      <c r="M847" s="1"/>
      <c r="N847" s="1" t="s">
        <v>7960</v>
      </c>
      <c r="O847" s="15" t="s">
        <v>40</v>
      </c>
      <c r="P847" s="15" t="s">
        <v>41</v>
      </c>
      <c r="Q847" s="1" t="s">
        <v>7966</v>
      </c>
      <c r="R847" s="2" t="s">
        <v>7967</v>
      </c>
      <c r="S847" s="1" t="s">
        <v>46</v>
      </c>
      <c r="T847" s="1" t="s">
        <v>635</v>
      </c>
      <c r="U847" s="1" t="s">
        <v>636</v>
      </c>
      <c r="V847" s="1" t="s">
        <v>45</v>
      </c>
      <c r="W847" s="1"/>
      <c r="X847" s="1"/>
      <c r="Y847" s="1"/>
      <c r="Z847" s="1" t="s">
        <v>637</v>
      </c>
      <c r="AA847" s="1" t="s">
        <v>7968</v>
      </c>
      <c r="AB847" s="1" t="s">
        <v>46</v>
      </c>
      <c r="AC847" s="1" t="s">
        <v>46</v>
      </c>
      <c r="AD847" s="1" t="s">
        <v>7969</v>
      </c>
      <c r="AE847" s="1" t="s">
        <v>641</v>
      </c>
      <c r="AF847" s="1" t="s">
        <v>190</v>
      </c>
      <c r="AG847" s="1">
        <v>6</v>
      </c>
      <c r="AH847" s="1" t="s">
        <v>190</v>
      </c>
      <c r="AI847" s="1"/>
      <c r="AJ847" s="1" t="s">
        <v>7970</v>
      </c>
      <c r="AK847" s="1" t="s">
        <v>5640</v>
      </c>
    </row>
    <row r="848" spans="1:37">
      <c r="A848" s="1" t="str">
        <f>VLOOKUP(H848,Languages!$A$2:$B$430,2,FALSE)</f>
        <v>Guahiboan</v>
      </c>
      <c r="B848" s="1" t="s">
        <v>67</v>
      </c>
      <c r="C848" s="1" t="s">
        <v>477</v>
      </c>
      <c r="D848" s="1" t="s">
        <v>977</v>
      </c>
      <c r="E848" s="15" t="s">
        <v>978</v>
      </c>
      <c r="F848" s="15" t="s">
        <v>979</v>
      </c>
      <c r="G848" s="1" t="s">
        <v>979</v>
      </c>
      <c r="H848" s="1" t="str">
        <f>VLOOKUP(G848,'languoid 4.0'!$A$1:$I$24439,2,FALSE)</f>
        <v>guah1252</v>
      </c>
      <c r="I848" s="1" t="str">
        <f>VLOOKUP(G848,'languoid 4.0'!$A$1:$I$24439,6,FALSE)</f>
        <v>language</v>
      </c>
      <c r="J848" s="15" t="s">
        <v>52</v>
      </c>
      <c r="K848" s="15" t="s">
        <v>368</v>
      </c>
      <c r="L848" s="15" t="s">
        <v>38</v>
      </c>
      <c r="M848" s="1"/>
      <c r="N848" s="1"/>
      <c r="O848" s="15" t="s">
        <v>113</v>
      </c>
      <c r="P848" s="15" t="s">
        <v>41</v>
      </c>
      <c r="Q848" s="1" t="s">
        <v>983</v>
      </c>
      <c r="R848" s="2" t="s">
        <v>984</v>
      </c>
      <c r="S848" s="1" t="s">
        <v>46</v>
      </c>
      <c r="T848" s="1" t="s">
        <v>635</v>
      </c>
      <c r="U848" s="1" t="s">
        <v>636</v>
      </c>
      <c r="V848" s="1" t="s">
        <v>45</v>
      </c>
      <c r="W848" s="1"/>
      <c r="X848" s="1"/>
      <c r="Y848" s="1"/>
      <c r="Z848" s="1" t="s">
        <v>637</v>
      </c>
      <c r="AA848" s="1" t="s">
        <v>985</v>
      </c>
      <c r="AB848" s="1" t="s">
        <v>986</v>
      </c>
      <c r="AC848" s="1" t="s">
        <v>46</v>
      </c>
      <c r="AD848" s="1"/>
      <c r="AE848" s="1" t="s">
        <v>641</v>
      </c>
      <c r="AF848" s="1" t="s">
        <v>190</v>
      </c>
      <c r="AG848" s="1">
        <v>3</v>
      </c>
      <c r="AH848" s="1" t="s">
        <v>190</v>
      </c>
      <c r="AI848" s="1"/>
      <c r="AJ848" s="3">
        <v>43283.482268518521</v>
      </c>
      <c r="AK848" s="1" t="s">
        <v>651</v>
      </c>
    </row>
    <row r="849" spans="1:37">
      <c r="A849" s="1" t="str">
        <f>VLOOKUP(H849,Languages!$A$2:$B$430,2,FALSE)</f>
        <v>Guahiboan</v>
      </c>
      <c r="B849" s="1" t="s">
        <v>59</v>
      </c>
      <c r="C849" s="1" t="s">
        <v>477</v>
      </c>
      <c r="D849" s="1" t="s">
        <v>977</v>
      </c>
      <c r="E849" s="15" t="s">
        <v>978</v>
      </c>
      <c r="F849" s="15" t="s">
        <v>979</v>
      </c>
      <c r="G849" s="1" t="s">
        <v>979</v>
      </c>
      <c r="H849" s="1" t="str">
        <f>VLOOKUP(G849,'languoid 4.0'!$A$1:$I$24439,2,FALSE)</f>
        <v>guah1252</v>
      </c>
      <c r="I849" s="1" t="str">
        <f>VLOOKUP(G849,'languoid 4.0'!$A$1:$I$24439,6,FALSE)</f>
        <v>language</v>
      </c>
      <c r="J849" s="15" t="s">
        <v>52</v>
      </c>
      <c r="K849" s="15" t="s">
        <v>368</v>
      </c>
      <c r="L849" s="15" t="s">
        <v>38</v>
      </c>
      <c r="M849" s="1"/>
      <c r="N849" s="1"/>
      <c r="O849" s="15" t="s">
        <v>113</v>
      </c>
      <c r="P849" s="15" t="s">
        <v>41</v>
      </c>
      <c r="Q849" s="1" t="s">
        <v>79</v>
      </c>
      <c r="R849" s="2" t="s">
        <v>980</v>
      </c>
      <c r="S849" s="1" t="s">
        <v>46</v>
      </c>
      <c r="T849" s="1" t="s">
        <v>635</v>
      </c>
      <c r="U849" s="1" t="s">
        <v>636</v>
      </c>
      <c r="V849" s="1" t="s">
        <v>45</v>
      </c>
      <c r="W849" s="1"/>
      <c r="X849" s="1"/>
      <c r="Y849" s="1"/>
      <c r="Z849" s="1" t="s">
        <v>658</v>
      </c>
      <c r="AA849" s="1" t="s">
        <v>981</v>
      </c>
      <c r="AB849" s="1" t="s">
        <v>982</v>
      </c>
      <c r="AC849" s="1" t="s">
        <v>46</v>
      </c>
      <c r="AD849" s="1"/>
      <c r="AE849" s="1" t="s">
        <v>641</v>
      </c>
      <c r="AF849" s="1" t="s">
        <v>190</v>
      </c>
      <c r="AG849" s="1">
        <v>3</v>
      </c>
      <c r="AH849" s="1" t="s">
        <v>190</v>
      </c>
      <c r="AI849" s="1"/>
      <c r="AJ849" s="3">
        <v>43283.477719907409</v>
      </c>
      <c r="AK849" s="1" t="s">
        <v>651</v>
      </c>
    </row>
    <row r="850" spans="1:37">
      <c r="A850" s="1" t="str">
        <f>VLOOKUP(H850,Languages!$A$2:$B$430,2,FALSE)</f>
        <v>Guahiboan</v>
      </c>
      <c r="B850" s="1" t="s">
        <v>59</v>
      </c>
      <c r="C850" s="1" t="s">
        <v>477</v>
      </c>
      <c r="D850" s="1" t="s">
        <v>977</v>
      </c>
      <c r="E850" s="15" t="s">
        <v>978</v>
      </c>
      <c r="F850" s="15" t="s">
        <v>979</v>
      </c>
      <c r="G850" s="1" t="s">
        <v>979</v>
      </c>
      <c r="H850" s="1" t="str">
        <f>VLOOKUP(G850,'languoid 4.0'!$A$1:$I$24439,2,FALSE)</f>
        <v>guah1252</v>
      </c>
      <c r="I850" s="1" t="str">
        <f>VLOOKUP(G850,'languoid 4.0'!$A$1:$I$24439,6,FALSE)</f>
        <v>language</v>
      </c>
      <c r="J850" s="15" t="s">
        <v>52</v>
      </c>
      <c r="K850" s="15" t="s">
        <v>368</v>
      </c>
      <c r="L850" s="15" t="s">
        <v>38</v>
      </c>
      <c r="M850" s="1"/>
      <c r="N850" s="1"/>
      <c r="O850" s="15" t="s">
        <v>113</v>
      </c>
      <c r="P850" s="15" t="s">
        <v>41</v>
      </c>
      <c r="Q850" s="1" t="s">
        <v>991</v>
      </c>
      <c r="R850" s="2" t="s">
        <v>992</v>
      </c>
      <c r="S850" s="1" t="s">
        <v>46</v>
      </c>
      <c r="T850" s="1" t="s">
        <v>635</v>
      </c>
      <c r="U850" s="1" t="s">
        <v>636</v>
      </c>
      <c r="V850" s="1" t="s">
        <v>45</v>
      </c>
      <c r="W850" s="1"/>
      <c r="X850" s="1"/>
      <c r="Y850" s="1"/>
      <c r="Z850" s="1" t="s">
        <v>637</v>
      </c>
      <c r="AA850" s="1" t="s">
        <v>993</v>
      </c>
      <c r="AB850" s="1" t="s">
        <v>994</v>
      </c>
      <c r="AC850" s="1" t="s">
        <v>46</v>
      </c>
      <c r="AD850" s="1"/>
      <c r="AE850" s="1" t="s">
        <v>641</v>
      </c>
      <c r="AF850" s="1" t="s">
        <v>190</v>
      </c>
      <c r="AG850" s="1">
        <v>3</v>
      </c>
      <c r="AH850" s="1" t="s">
        <v>190</v>
      </c>
      <c r="AI850" s="1"/>
      <c r="AJ850" s="3">
        <v>43283.489201388889</v>
      </c>
      <c r="AK850" s="1" t="s">
        <v>651</v>
      </c>
    </row>
    <row r="851" spans="1:37">
      <c r="A851" s="1" t="str">
        <f>VLOOKUP(H851,Languages!$A$2:$B$430,2,FALSE)</f>
        <v>Guahiboan</v>
      </c>
      <c r="B851" s="1" t="s">
        <v>109</v>
      </c>
      <c r="C851" s="1" t="s">
        <v>477</v>
      </c>
      <c r="D851" s="1" t="s">
        <v>977</v>
      </c>
      <c r="E851" s="15" t="s">
        <v>978</v>
      </c>
      <c r="F851" s="15" t="s">
        <v>979</v>
      </c>
      <c r="G851" s="1" t="s">
        <v>979</v>
      </c>
      <c r="H851" s="1" t="str">
        <f>VLOOKUP(G851,'languoid 4.0'!$A$1:$I$24439,2,FALSE)</f>
        <v>guah1252</v>
      </c>
      <c r="I851" s="1" t="str">
        <f>VLOOKUP(G851,'languoid 4.0'!$A$1:$I$24439,6,FALSE)</f>
        <v>language</v>
      </c>
      <c r="J851" s="15" t="s">
        <v>52</v>
      </c>
      <c r="K851" s="15" t="s">
        <v>368</v>
      </c>
      <c r="L851" s="15" t="s">
        <v>38</v>
      </c>
      <c r="M851" s="1"/>
      <c r="N851" s="1"/>
      <c r="O851" s="15" t="s">
        <v>113</v>
      </c>
      <c r="P851" s="15" t="s">
        <v>41</v>
      </c>
      <c r="Q851" s="1" t="s">
        <v>987</v>
      </c>
      <c r="R851" s="2" t="s">
        <v>988</v>
      </c>
      <c r="S851" s="1" t="s">
        <v>46</v>
      </c>
      <c r="T851" s="1" t="s">
        <v>635</v>
      </c>
      <c r="U851" s="1" t="s">
        <v>636</v>
      </c>
      <c r="V851" s="1" t="s">
        <v>45</v>
      </c>
      <c r="W851" s="1"/>
      <c r="X851" s="1"/>
      <c r="Y851" s="1"/>
      <c r="Z851" s="1" t="s">
        <v>637</v>
      </c>
      <c r="AA851" s="1" t="s">
        <v>989</v>
      </c>
      <c r="AB851" s="1" t="s">
        <v>990</v>
      </c>
      <c r="AC851" s="1" t="s">
        <v>46</v>
      </c>
      <c r="AD851" s="1"/>
      <c r="AE851" s="1" t="s">
        <v>641</v>
      </c>
      <c r="AF851" s="1" t="s">
        <v>190</v>
      </c>
      <c r="AG851" s="1">
        <v>2</v>
      </c>
      <c r="AH851" s="1" t="s">
        <v>190</v>
      </c>
      <c r="AI851" s="1"/>
      <c r="AJ851" s="3">
        <v>43283.485567129632</v>
      </c>
      <c r="AK851" s="1" t="s">
        <v>651</v>
      </c>
    </row>
    <row r="852" spans="1:37">
      <c r="A852" s="1" t="str">
        <f>VLOOKUP(H852,Languages!$A$2:$B$430,2,FALSE)</f>
        <v>Guaicuruan</v>
      </c>
      <c r="B852" s="1" t="s">
        <v>67</v>
      </c>
      <c r="C852" s="1" t="s">
        <v>407</v>
      </c>
      <c r="D852" s="1" t="s">
        <v>2577</v>
      </c>
      <c r="E852" s="15" t="s">
        <v>2578</v>
      </c>
      <c r="F852" s="15" t="s">
        <v>2578</v>
      </c>
      <c r="G852" s="1" t="s">
        <v>2578</v>
      </c>
      <c r="H852" s="1" t="str">
        <f>VLOOKUP(G852,'languoid 4.0'!$A$1:$I$24439,2,FALSE)</f>
        <v>guai1249</v>
      </c>
      <c r="I852" s="1" t="str">
        <f>VLOOKUP(G852,'languoid 4.0'!$A$1:$I$24439,6,FALSE)</f>
        <v>language</v>
      </c>
      <c r="J852" s="15" t="s">
        <v>38</v>
      </c>
      <c r="K852" s="15" t="s">
        <v>38</v>
      </c>
      <c r="L852" s="15" t="s">
        <v>38</v>
      </c>
      <c r="M852" s="1"/>
      <c r="N852" s="1" t="s">
        <v>2579</v>
      </c>
      <c r="O852" s="15" t="s">
        <v>40</v>
      </c>
      <c r="P852" s="15" t="s">
        <v>41</v>
      </c>
      <c r="Q852" s="1" t="s">
        <v>2580</v>
      </c>
      <c r="R852" s="2" t="s">
        <v>2581</v>
      </c>
      <c r="S852" s="1" t="s">
        <v>2534</v>
      </c>
      <c r="T852" s="1" t="s">
        <v>635</v>
      </c>
      <c r="U852" s="1" t="s">
        <v>636</v>
      </c>
      <c r="V852" s="1" t="s">
        <v>45</v>
      </c>
      <c r="W852" s="1"/>
      <c r="X852" s="1"/>
      <c r="Y852" s="1"/>
      <c r="Z852" s="1" t="s">
        <v>658</v>
      </c>
      <c r="AA852" s="1" t="s">
        <v>2582</v>
      </c>
      <c r="AB852" s="1" t="s">
        <v>2534</v>
      </c>
      <c r="AC852" s="1" t="s">
        <v>2534</v>
      </c>
      <c r="AD852" s="1" t="s">
        <v>2583</v>
      </c>
      <c r="AE852" s="1" t="s">
        <v>641</v>
      </c>
      <c r="AF852" s="1" t="s">
        <v>190</v>
      </c>
      <c r="AG852" s="1">
        <v>5</v>
      </c>
      <c r="AH852" s="1" t="s">
        <v>190</v>
      </c>
      <c r="AI852" s="1"/>
      <c r="AJ852" s="3">
        <v>43194.660312499997</v>
      </c>
      <c r="AK852" s="1" t="s">
        <v>1246</v>
      </c>
    </row>
    <row r="853" spans="1:37">
      <c r="A853" s="1" t="str">
        <f>VLOOKUP(H853,Languages!$A$2:$B$430,2,FALSE)</f>
        <v>Guaicuruan</v>
      </c>
      <c r="B853" s="1" t="s">
        <v>67</v>
      </c>
      <c r="C853" s="1" t="s">
        <v>407</v>
      </c>
      <c r="D853" s="1" t="s">
        <v>2577</v>
      </c>
      <c r="E853" s="15" t="s">
        <v>2578</v>
      </c>
      <c r="F853" s="15" t="s">
        <v>2578</v>
      </c>
      <c r="G853" s="1" t="s">
        <v>2578</v>
      </c>
      <c r="H853" s="1" t="str">
        <f>VLOOKUP(G853,'languoid 4.0'!$A$1:$I$24439,2,FALSE)</f>
        <v>guai1249</v>
      </c>
      <c r="I853" s="1" t="str">
        <f>VLOOKUP(G853,'languoid 4.0'!$A$1:$I$24439,6,FALSE)</f>
        <v>language</v>
      </c>
      <c r="J853" s="15" t="s">
        <v>38</v>
      </c>
      <c r="K853" s="15" t="s">
        <v>38</v>
      </c>
      <c r="L853" s="15" t="s">
        <v>38</v>
      </c>
      <c r="M853" s="1"/>
      <c r="N853" s="1" t="s">
        <v>2579</v>
      </c>
      <c r="O853" s="15" t="s">
        <v>40</v>
      </c>
      <c r="P853" s="15" t="s">
        <v>41</v>
      </c>
      <c r="Q853" s="1" t="s">
        <v>2580</v>
      </c>
      <c r="R853" s="2" t="s">
        <v>10155</v>
      </c>
      <c r="S853" s="1" t="s">
        <v>46</v>
      </c>
      <c r="T853" s="1" t="s">
        <v>635</v>
      </c>
      <c r="U853" s="1" t="s">
        <v>636</v>
      </c>
      <c r="V853" s="1" t="s">
        <v>45</v>
      </c>
      <c r="W853" s="1"/>
      <c r="X853" s="1"/>
      <c r="Y853" s="1"/>
      <c r="Z853" s="1" t="s">
        <v>637</v>
      </c>
      <c r="AA853" s="1" t="s">
        <v>10156</v>
      </c>
      <c r="AB853" s="1" t="s">
        <v>10156</v>
      </c>
      <c r="AC853" s="1" t="s">
        <v>46</v>
      </c>
      <c r="AD853" s="1"/>
      <c r="AE853" s="1" t="s">
        <v>641</v>
      </c>
      <c r="AF853" s="1" t="s">
        <v>190</v>
      </c>
      <c r="AG853" s="1">
        <v>3</v>
      </c>
      <c r="AH853" s="1" t="s">
        <v>190</v>
      </c>
      <c r="AI853" s="1"/>
      <c r="AJ853" s="1" t="s">
        <v>10157</v>
      </c>
      <c r="AK853" s="1" t="s">
        <v>4386</v>
      </c>
    </row>
    <row r="854" spans="1:37">
      <c r="A854" s="1" t="str">
        <f>VLOOKUP(H854,Languages!$A$2:$B$430,2,FALSE)</f>
        <v>Gunwinyguan</v>
      </c>
      <c r="B854" s="1" t="s">
        <v>67</v>
      </c>
      <c r="C854" s="1" t="s">
        <v>34</v>
      </c>
      <c r="D854" s="1" t="s">
        <v>9768</v>
      </c>
      <c r="E854" s="15" t="s">
        <v>9769</v>
      </c>
      <c r="F854" s="15" t="s">
        <v>9769</v>
      </c>
      <c r="G854" s="1" t="s">
        <v>9769</v>
      </c>
      <c r="H854" s="1" t="str">
        <f>VLOOKUP(G854,'languoid 4.0'!$A$1:$I$24439,2,FALSE)</f>
        <v>gunw1250</v>
      </c>
      <c r="I854" s="1" t="str">
        <f>VLOOKUP(G854,'languoid 4.0'!$A$1:$I$24439,6,FALSE)</f>
        <v>dialect</v>
      </c>
      <c r="J854" s="15" t="s">
        <v>38</v>
      </c>
      <c r="K854" s="15" t="s">
        <v>38</v>
      </c>
      <c r="L854" s="15" t="s">
        <v>38</v>
      </c>
      <c r="M854" s="1"/>
      <c r="N854" s="1"/>
      <c r="O854" s="15" t="s">
        <v>40</v>
      </c>
      <c r="P854" s="15" t="s">
        <v>41</v>
      </c>
      <c r="Q854" s="1" t="s">
        <v>9770</v>
      </c>
      <c r="R854" s="2" t="s">
        <v>9771</v>
      </c>
      <c r="S854" s="1" t="s">
        <v>46</v>
      </c>
      <c r="T854" s="1" t="s">
        <v>635</v>
      </c>
      <c r="U854" s="1" t="s">
        <v>636</v>
      </c>
      <c r="V854" s="1" t="s">
        <v>45</v>
      </c>
      <c r="W854" s="1"/>
      <c r="X854" s="1"/>
      <c r="Y854" s="1"/>
      <c r="Z854" s="1" t="s">
        <v>658</v>
      </c>
      <c r="AA854" s="1" t="s">
        <v>9772</v>
      </c>
      <c r="AB854" s="1" t="s">
        <v>9773</v>
      </c>
      <c r="AC854" s="1" t="s">
        <v>46</v>
      </c>
      <c r="AD854" s="1"/>
      <c r="AE854" s="1"/>
      <c r="AF854" s="1"/>
      <c r="AG854" s="1"/>
      <c r="AH854" s="1" t="s">
        <v>45</v>
      </c>
      <c r="AI854" s="1"/>
      <c r="AJ854" s="1" t="s">
        <v>9774</v>
      </c>
      <c r="AK854" s="1" t="s">
        <v>9537</v>
      </c>
    </row>
    <row r="855" spans="1:37">
      <c r="A855" s="1" t="str">
        <f>VLOOKUP(H855,Languages!$A$2:$B$430,2,FALSE)</f>
        <v>Gunwinyguan</v>
      </c>
      <c r="B855" s="1" t="s">
        <v>109</v>
      </c>
      <c r="C855" s="1" t="s">
        <v>34</v>
      </c>
      <c r="D855" s="1" t="s">
        <v>9895</v>
      </c>
      <c r="E855" s="15" t="s">
        <v>9896</v>
      </c>
      <c r="F855" s="15" t="s">
        <v>9897</v>
      </c>
      <c r="G855" s="1" t="s">
        <v>9896</v>
      </c>
      <c r="H855" s="1" t="str">
        <f>VLOOKUP(G855,'languoid 4.0'!$A$1:$I$24439,2,FALSE)</f>
        <v>gunw1250</v>
      </c>
      <c r="I855" s="1" t="str">
        <f>VLOOKUP(G855,'languoid 4.0'!$A$1:$I$24439,6,FALSE)</f>
        <v>language</v>
      </c>
      <c r="J855" s="15" t="s">
        <v>52</v>
      </c>
      <c r="K855" s="15" t="s">
        <v>38</v>
      </c>
      <c r="L855" s="15" t="s">
        <v>38</v>
      </c>
      <c r="M855" s="1"/>
      <c r="N855" s="1" t="s">
        <v>9898</v>
      </c>
      <c r="O855" s="15" t="s">
        <v>40</v>
      </c>
      <c r="P855" s="15" t="s">
        <v>41</v>
      </c>
      <c r="Q855" s="1" t="s">
        <v>9899</v>
      </c>
      <c r="R855" s="2" t="s">
        <v>4512</v>
      </c>
      <c r="S855" s="1" t="s">
        <v>46</v>
      </c>
      <c r="T855" s="1" t="s">
        <v>635</v>
      </c>
      <c r="U855" s="1" t="s">
        <v>636</v>
      </c>
      <c r="V855" s="1" t="s">
        <v>45</v>
      </c>
      <c r="W855" s="1"/>
      <c r="X855" s="1"/>
      <c r="Y855" s="1"/>
      <c r="Z855" s="1" t="s">
        <v>658</v>
      </c>
      <c r="AA855" s="1" t="s">
        <v>9900</v>
      </c>
      <c r="AB855" s="1" t="s">
        <v>9901</v>
      </c>
      <c r="AC855" s="1" t="s">
        <v>46</v>
      </c>
      <c r="AD855" s="1"/>
      <c r="AE855" s="1"/>
      <c r="AF855" s="1"/>
      <c r="AG855" s="1"/>
      <c r="AH855" s="1" t="s">
        <v>45</v>
      </c>
      <c r="AI855" s="1" t="s">
        <v>9902</v>
      </c>
      <c r="AJ855" s="1" t="s">
        <v>9903</v>
      </c>
      <c r="AK855" s="1" t="s">
        <v>9537</v>
      </c>
    </row>
    <row r="856" spans="1:37">
      <c r="A856" s="1" t="str">
        <f>VLOOKUP(H856,Languages!$A$2:$B$430,2,FALSE)</f>
        <v>Gunwinyguan</v>
      </c>
      <c r="B856" s="1" t="s">
        <v>109</v>
      </c>
      <c r="C856" s="1" t="s">
        <v>34</v>
      </c>
      <c r="D856" s="1" t="s">
        <v>9904</v>
      </c>
      <c r="E856" s="15" t="s">
        <v>9905</v>
      </c>
      <c r="F856" s="15" t="s">
        <v>9905</v>
      </c>
      <c r="G856" s="1" t="s">
        <v>9905</v>
      </c>
      <c r="H856" s="1" t="str">
        <f>VLOOKUP(G856,'languoid 4.0'!$A$1:$I$24439,2,FALSE)</f>
        <v>gunw1250</v>
      </c>
      <c r="I856" s="1" t="str">
        <f>VLOOKUP(G856,'languoid 4.0'!$A$1:$I$24439,6,FALSE)</f>
        <v>language</v>
      </c>
      <c r="J856" s="15" t="s">
        <v>38</v>
      </c>
      <c r="K856" s="15" t="s">
        <v>38</v>
      </c>
      <c r="L856" s="15" t="s">
        <v>38</v>
      </c>
      <c r="M856" s="1"/>
      <c r="N856" s="1" t="s">
        <v>9906</v>
      </c>
      <c r="O856" s="15" t="s">
        <v>40</v>
      </c>
      <c r="P856" s="15" t="s">
        <v>41</v>
      </c>
      <c r="Q856" s="1" t="s">
        <v>9907</v>
      </c>
      <c r="R856" s="2" t="s">
        <v>4512</v>
      </c>
      <c r="S856" s="1" t="s">
        <v>46</v>
      </c>
      <c r="T856" s="1" t="s">
        <v>635</v>
      </c>
      <c r="U856" s="1" t="s">
        <v>636</v>
      </c>
      <c r="V856" s="1" t="s">
        <v>45</v>
      </c>
      <c r="W856" s="1"/>
      <c r="X856" s="1"/>
      <c r="Y856" s="1"/>
      <c r="Z856" s="1" t="s">
        <v>658</v>
      </c>
      <c r="AA856" s="1" t="s">
        <v>9908</v>
      </c>
      <c r="AB856" s="1" t="s">
        <v>9909</v>
      </c>
      <c r="AC856" s="1" t="s">
        <v>46</v>
      </c>
      <c r="AD856" s="1"/>
      <c r="AE856" s="1"/>
      <c r="AF856" s="1"/>
      <c r="AG856" s="1"/>
      <c r="AH856" s="1" t="s">
        <v>45</v>
      </c>
      <c r="AI856" s="1" t="s">
        <v>9902</v>
      </c>
      <c r="AJ856" s="1" t="s">
        <v>9910</v>
      </c>
      <c r="AK856" s="1" t="s">
        <v>9537</v>
      </c>
    </row>
    <row r="857" spans="1:37">
      <c r="A857" s="1" t="str">
        <f>VLOOKUP(H857,Languages!$A$2:$B$430,2,FALSE)</f>
        <v>Gunwinyguan</v>
      </c>
      <c r="B857" s="1" t="s">
        <v>1726</v>
      </c>
      <c r="C857" s="1" t="s">
        <v>34</v>
      </c>
      <c r="D857" s="1" t="s">
        <v>2763</v>
      </c>
      <c r="E857" s="15" t="s">
        <v>2764</v>
      </c>
      <c r="F857" s="15" t="s">
        <v>2765</v>
      </c>
      <c r="G857" s="1" t="s">
        <v>2765</v>
      </c>
      <c r="H857" s="1" t="str">
        <f>VLOOKUP(G857,'languoid 4.0'!$A$1:$I$24439,2,FALSE)</f>
        <v>gunw1250</v>
      </c>
      <c r="I857" s="1" t="str">
        <f>VLOOKUP(G857,'languoid 4.0'!$A$1:$I$24439,6,FALSE)</f>
        <v>language</v>
      </c>
      <c r="J857" s="15" t="s">
        <v>52</v>
      </c>
      <c r="K857" s="15" t="s">
        <v>52</v>
      </c>
      <c r="L857" s="15" t="s">
        <v>52</v>
      </c>
      <c r="M857" s="1"/>
      <c r="N857" s="1"/>
      <c r="O857" s="15" t="s">
        <v>40</v>
      </c>
      <c r="P857" s="15" t="s">
        <v>41</v>
      </c>
      <c r="Q857" s="1" t="s">
        <v>2766</v>
      </c>
      <c r="R857" s="2" t="s">
        <v>2767</v>
      </c>
      <c r="S857" s="1">
        <v>9</v>
      </c>
      <c r="T857" s="1" t="s">
        <v>657</v>
      </c>
      <c r="U857" s="1" t="s">
        <v>636</v>
      </c>
      <c r="V857" s="1" t="s">
        <v>45</v>
      </c>
      <c r="W857" s="1"/>
      <c r="X857" s="1"/>
      <c r="Y857" s="1"/>
      <c r="Z857" s="1" t="s">
        <v>673</v>
      </c>
      <c r="AA857" s="1" t="s">
        <v>46</v>
      </c>
      <c r="AB857" s="1" t="s">
        <v>2768</v>
      </c>
      <c r="AC857" s="1" t="s">
        <v>46</v>
      </c>
      <c r="AD857" s="1"/>
      <c r="AE857" s="1" t="s">
        <v>641</v>
      </c>
      <c r="AF857" s="1" t="s">
        <v>190</v>
      </c>
      <c r="AG857" s="1">
        <v>4</v>
      </c>
      <c r="AH857" s="1" t="s">
        <v>190</v>
      </c>
      <c r="AI857" s="1"/>
      <c r="AJ857" s="3">
        <v>43377.521898148145</v>
      </c>
      <c r="AK857" s="1" t="s">
        <v>676</v>
      </c>
    </row>
    <row r="858" spans="1:37">
      <c r="A858" s="1" t="str">
        <f>VLOOKUP(H858,Languages!$A$2:$B$430,2,FALSE)</f>
        <v>Gunwinyguan</v>
      </c>
      <c r="B858" s="1" t="s">
        <v>1750</v>
      </c>
      <c r="C858" s="1" t="s">
        <v>34</v>
      </c>
      <c r="D858" s="1" t="s">
        <v>10221</v>
      </c>
      <c r="E858" s="15" t="s">
        <v>2765</v>
      </c>
      <c r="F858" s="15" t="s">
        <v>2765</v>
      </c>
      <c r="G858" s="1" t="s">
        <v>2765</v>
      </c>
      <c r="H858" s="1" t="str">
        <f>VLOOKUP(G858,'languoid 4.0'!$A$1:$I$24439,2,FALSE)</f>
        <v>gunw1250</v>
      </c>
      <c r="I858" s="1" t="str">
        <f>VLOOKUP(G858,'languoid 4.0'!$A$1:$I$24439,6,FALSE)</f>
        <v>language</v>
      </c>
      <c r="J858" s="15" t="s">
        <v>38</v>
      </c>
      <c r="K858" s="15" t="s">
        <v>38</v>
      </c>
      <c r="L858" s="15" t="s">
        <v>38</v>
      </c>
      <c r="M858" s="1"/>
      <c r="N858" s="1" t="s">
        <v>10222</v>
      </c>
      <c r="O858" s="15" t="s">
        <v>40</v>
      </c>
      <c r="P858" s="15" t="s">
        <v>41</v>
      </c>
      <c r="Q858" s="1" t="s">
        <v>10223</v>
      </c>
      <c r="R858" s="2" t="s">
        <v>2767</v>
      </c>
      <c r="S858" s="1" t="s">
        <v>10224</v>
      </c>
      <c r="T858" s="1" t="s">
        <v>657</v>
      </c>
      <c r="U858" s="1" t="s">
        <v>1812</v>
      </c>
      <c r="V858" s="1" t="s">
        <v>45</v>
      </c>
      <c r="W858" s="1"/>
      <c r="X858" s="1"/>
      <c r="Y858" s="1"/>
      <c r="Z858" s="1" t="s">
        <v>673</v>
      </c>
      <c r="AA858" s="1" t="s">
        <v>10191</v>
      </c>
      <c r="AB858" s="1" t="s">
        <v>10225</v>
      </c>
      <c r="AC858" s="1" t="s">
        <v>46</v>
      </c>
      <c r="AD858" s="1"/>
      <c r="AE858" s="1"/>
      <c r="AF858" s="1"/>
      <c r="AG858" s="1"/>
      <c r="AH858" s="1" t="s">
        <v>45</v>
      </c>
      <c r="AI858" s="1"/>
      <c r="AJ858" s="1" t="s">
        <v>10226</v>
      </c>
      <c r="AK858" s="1" t="s">
        <v>9537</v>
      </c>
    </row>
    <row r="859" spans="1:37">
      <c r="A859" s="1" t="str">
        <f>VLOOKUP(H859,Languages!$A$2:$B$430,2,FALSE)</f>
        <v>Gunwinyguan</v>
      </c>
      <c r="B859" s="1" t="s">
        <v>1738</v>
      </c>
      <c r="C859" s="1" t="s">
        <v>34</v>
      </c>
      <c r="D859" s="1" t="s">
        <v>10239</v>
      </c>
      <c r="E859" s="15" t="s">
        <v>10240</v>
      </c>
      <c r="F859" s="15" t="s">
        <v>10240</v>
      </c>
      <c r="G859" s="1" t="s">
        <v>10240</v>
      </c>
      <c r="H859" s="1" t="str">
        <f>VLOOKUP(G859,'languoid 4.0'!$A$1:$I$24439,2,FALSE)</f>
        <v>gunw1250</v>
      </c>
      <c r="I859" s="1" t="str">
        <f>VLOOKUP(G859,'languoid 4.0'!$A$1:$I$24439,6,FALSE)</f>
        <v>language</v>
      </c>
      <c r="J859" s="15" t="s">
        <v>38</v>
      </c>
      <c r="K859" s="15" t="s">
        <v>38</v>
      </c>
      <c r="L859" s="15" t="s">
        <v>38</v>
      </c>
      <c r="M859" s="1"/>
      <c r="N859" s="1" t="s">
        <v>10241</v>
      </c>
      <c r="O859" s="15" t="s">
        <v>40</v>
      </c>
      <c r="P859" s="15" t="s">
        <v>41</v>
      </c>
      <c r="Q859" s="1" t="s">
        <v>10242</v>
      </c>
      <c r="R859" s="2" t="s">
        <v>10229</v>
      </c>
      <c r="S859" s="1" t="s">
        <v>10243</v>
      </c>
      <c r="T859" s="1" t="s">
        <v>657</v>
      </c>
      <c r="U859" s="1" t="s">
        <v>636</v>
      </c>
      <c r="V859" s="1" t="s">
        <v>45</v>
      </c>
      <c r="W859" s="1"/>
      <c r="X859" s="1"/>
      <c r="Y859" s="1"/>
      <c r="Z859" s="1" t="s">
        <v>673</v>
      </c>
      <c r="AA859" s="1" t="s">
        <v>10231</v>
      </c>
      <c r="AB859" s="1" t="s">
        <v>10244</v>
      </c>
      <c r="AC859" s="1" t="s">
        <v>46</v>
      </c>
      <c r="AD859" s="1"/>
      <c r="AE859" s="1" t="s">
        <v>641</v>
      </c>
      <c r="AF859" s="1" t="s">
        <v>190</v>
      </c>
      <c r="AG859" s="1">
        <v>6</v>
      </c>
      <c r="AH859" s="1" t="s">
        <v>190</v>
      </c>
      <c r="AI859" s="1"/>
      <c r="AJ859" s="1" t="s">
        <v>10245</v>
      </c>
      <c r="AK859" s="1" t="s">
        <v>9537</v>
      </c>
    </row>
    <row r="860" spans="1:37">
      <c r="A860" s="1" t="str">
        <f>VLOOKUP(H860,Languages!$A$2:$B$430,2,FALSE)</f>
        <v>Gunwinyguan</v>
      </c>
      <c r="B860" s="1" t="s">
        <v>1738</v>
      </c>
      <c r="C860" s="1" t="s">
        <v>34</v>
      </c>
      <c r="D860" s="1" t="s">
        <v>10246</v>
      </c>
      <c r="E860" s="15" t="s">
        <v>10240</v>
      </c>
      <c r="F860" s="15" t="s">
        <v>10240</v>
      </c>
      <c r="G860" s="1" t="s">
        <v>10240</v>
      </c>
      <c r="H860" s="1" t="str">
        <f>VLOOKUP(G860,'languoid 4.0'!$A$1:$I$24439,2,FALSE)</f>
        <v>gunw1250</v>
      </c>
      <c r="I860" s="1" t="str">
        <f>VLOOKUP(G860,'languoid 4.0'!$A$1:$I$24439,6,FALSE)</f>
        <v>language</v>
      </c>
      <c r="J860" s="15" t="s">
        <v>38</v>
      </c>
      <c r="K860" s="15" t="s">
        <v>38</v>
      </c>
      <c r="L860" s="15" t="s">
        <v>38</v>
      </c>
      <c r="M860" s="1"/>
      <c r="N860" s="1" t="s">
        <v>10241</v>
      </c>
      <c r="O860" s="15" t="s">
        <v>40</v>
      </c>
      <c r="P860" s="15" t="s">
        <v>41</v>
      </c>
      <c r="Q860" s="1" t="s">
        <v>10247</v>
      </c>
      <c r="R860" s="2" t="s">
        <v>10248</v>
      </c>
      <c r="S860" s="1" t="s">
        <v>10249</v>
      </c>
      <c r="T860" s="1" t="s">
        <v>657</v>
      </c>
      <c r="U860" s="1" t="s">
        <v>10250</v>
      </c>
      <c r="V860" s="1" t="s">
        <v>45</v>
      </c>
      <c r="W860" s="1"/>
      <c r="X860" s="1"/>
      <c r="Y860" s="1"/>
      <c r="Z860" s="1" t="s">
        <v>673</v>
      </c>
      <c r="AA860" s="1" t="s">
        <v>10251</v>
      </c>
      <c r="AB860" s="1" t="s">
        <v>10252</v>
      </c>
      <c r="AC860" s="1" t="s">
        <v>46</v>
      </c>
      <c r="AD860" s="1"/>
      <c r="AE860" s="1" t="s">
        <v>641</v>
      </c>
      <c r="AF860" s="1" t="s">
        <v>190</v>
      </c>
      <c r="AG860" s="1">
        <v>6</v>
      </c>
      <c r="AH860" s="1" t="s">
        <v>190</v>
      </c>
      <c r="AI860" s="1"/>
      <c r="AJ860" s="1" t="s">
        <v>10253</v>
      </c>
      <c r="AK860" s="1" t="s">
        <v>9537</v>
      </c>
    </row>
    <row r="861" spans="1:37">
      <c r="A861" s="1" t="str">
        <f>VLOOKUP(H861,Languages!$A$2:$B$430,2,FALSE)</f>
        <v>Hmong-Mien</v>
      </c>
      <c r="B861" s="1" t="s">
        <v>59</v>
      </c>
      <c r="C861" s="1" t="s">
        <v>117</v>
      </c>
      <c r="D861" s="1" t="s">
        <v>5416</v>
      </c>
      <c r="E861" s="15" t="s">
        <v>5417</v>
      </c>
      <c r="F861" s="15" t="s">
        <v>5417</v>
      </c>
      <c r="G861" s="1" t="s">
        <v>5417</v>
      </c>
      <c r="H861" s="1" t="str">
        <f>VLOOKUP(G861,'languoid 4.0'!$A$1:$I$24439,2,FALSE)</f>
        <v>hmon1336</v>
      </c>
      <c r="I861" s="1" t="str">
        <f>VLOOKUP(G861,'languoid 4.0'!$A$1:$I$24439,6,FALSE)</f>
        <v>language</v>
      </c>
      <c r="J861" s="15" t="s">
        <v>38</v>
      </c>
      <c r="K861" s="15" t="s">
        <v>38</v>
      </c>
      <c r="L861" s="15" t="s">
        <v>38</v>
      </c>
      <c r="M861" s="1"/>
      <c r="N861" s="1" t="s">
        <v>5418</v>
      </c>
      <c r="O861" s="15" t="s">
        <v>40</v>
      </c>
      <c r="P861" s="15" t="s">
        <v>41</v>
      </c>
      <c r="Q861" s="1" t="s">
        <v>5419</v>
      </c>
      <c r="R861" s="2" t="s">
        <v>4512</v>
      </c>
      <c r="S861" s="1" t="s">
        <v>46</v>
      </c>
      <c r="T861" s="1" t="s">
        <v>635</v>
      </c>
      <c r="U861" s="1" t="s">
        <v>636</v>
      </c>
      <c r="V861" s="1" t="s">
        <v>45</v>
      </c>
      <c r="W861" s="1"/>
      <c r="X861" s="1"/>
      <c r="Y861" s="1"/>
      <c r="Z861" s="1" t="s">
        <v>658</v>
      </c>
      <c r="AA861" s="1" t="s">
        <v>5420</v>
      </c>
      <c r="AB861" s="1" t="s">
        <v>46</v>
      </c>
      <c r="AC861" s="1" t="s">
        <v>46</v>
      </c>
      <c r="AD861" s="1" t="s">
        <v>5421</v>
      </c>
      <c r="AE861" s="1" t="s">
        <v>641</v>
      </c>
      <c r="AF861" s="1" t="s">
        <v>190</v>
      </c>
      <c r="AG861" s="1">
        <v>5</v>
      </c>
      <c r="AH861" s="1" t="s">
        <v>190</v>
      </c>
      <c r="AI861" s="1"/>
      <c r="AJ861" s="1" t="s">
        <v>5422</v>
      </c>
      <c r="AK861" s="1" t="s">
        <v>4268</v>
      </c>
    </row>
    <row r="862" spans="1:37">
      <c r="A862" s="1" t="str">
        <f>VLOOKUP(H862,Languages!$A$2:$B$430,2,FALSE)</f>
        <v>Hmong-Mien</v>
      </c>
      <c r="B862" s="1" t="s">
        <v>35</v>
      </c>
      <c r="C862" s="1" t="s">
        <v>117</v>
      </c>
      <c r="D862" s="1" t="s">
        <v>5416</v>
      </c>
      <c r="E862" s="15" t="s">
        <v>5417</v>
      </c>
      <c r="F862" s="15" t="s">
        <v>5417</v>
      </c>
      <c r="G862" s="1" t="s">
        <v>5417</v>
      </c>
      <c r="H862" s="1" t="str">
        <f>VLOOKUP(G862,'languoid 4.0'!$A$1:$I$24439,2,FALSE)</f>
        <v>hmon1336</v>
      </c>
      <c r="I862" s="1" t="str">
        <f>VLOOKUP(G862,'languoid 4.0'!$A$1:$I$24439,6,FALSE)</f>
        <v>language</v>
      </c>
      <c r="J862" s="15" t="s">
        <v>38</v>
      </c>
      <c r="K862" s="15" t="s">
        <v>38</v>
      </c>
      <c r="L862" s="15" t="s">
        <v>38</v>
      </c>
      <c r="M862" s="1"/>
      <c r="N862" s="1" t="s">
        <v>5418</v>
      </c>
      <c r="O862" s="15" t="s">
        <v>40</v>
      </c>
      <c r="P862" s="15" t="s">
        <v>41</v>
      </c>
      <c r="Q862" s="1" t="s">
        <v>35</v>
      </c>
      <c r="R862" s="2" t="s">
        <v>4512</v>
      </c>
      <c r="S862" s="1" t="s">
        <v>46</v>
      </c>
      <c r="T862" s="1" t="s">
        <v>635</v>
      </c>
      <c r="U862" s="1" t="s">
        <v>636</v>
      </c>
      <c r="V862" s="1" t="s">
        <v>45</v>
      </c>
      <c r="W862" s="1"/>
      <c r="X862" s="1"/>
      <c r="Y862" s="1"/>
      <c r="Z862" s="1" t="s">
        <v>658</v>
      </c>
      <c r="AA862" s="1" t="s">
        <v>5423</v>
      </c>
      <c r="AB862" s="1" t="s">
        <v>46</v>
      </c>
      <c r="AC862" s="1" t="s">
        <v>46</v>
      </c>
      <c r="AD862" s="1" t="s">
        <v>5424</v>
      </c>
      <c r="AE862" s="1" t="s">
        <v>641</v>
      </c>
      <c r="AF862" s="1" t="s">
        <v>190</v>
      </c>
      <c r="AG862" s="1">
        <v>6</v>
      </c>
      <c r="AH862" s="1" t="s">
        <v>190</v>
      </c>
      <c r="AI862" s="1"/>
      <c r="AJ862" s="1" t="s">
        <v>5425</v>
      </c>
      <c r="AK862" s="1" t="s">
        <v>4268</v>
      </c>
    </row>
    <row r="863" spans="1:37">
      <c r="A863" s="1" t="str">
        <f>VLOOKUP(H863,Languages!$A$2:$B$430,2,FALSE)</f>
        <v>Hmong-Mien</v>
      </c>
      <c r="B863" s="1" t="s">
        <v>1707</v>
      </c>
      <c r="C863" s="1" t="s">
        <v>117</v>
      </c>
      <c r="D863" s="1" t="s">
        <v>5433</v>
      </c>
      <c r="E863" s="15" t="s">
        <v>5434</v>
      </c>
      <c r="F863" s="15" t="s">
        <v>51</v>
      </c>
      <c r="G863" s="1" t="s">
        <v>5057</v>
      </c>
      <c r="H863" s="1" t="str">
        <f>VLOOKUP(G863,'languoid 4.0'!$A$1:$I$24439,2,FALSE)</f>
        <v>hmon1336</v>
      </c>
      <c r="I863" s="1" t="str">
        <f>VLOOKUP(G863,'languoid 4.0'!$A$1:$I$24439,6,FALSE)</f>
        <v>family</v>
      </c>
      <c r="J863" s="15" t="s">
        <v>52</v>
      </c>
      <c r="K863" s="15" t="s">
        <v>51</v>
      </c>
      <c r="L863" s="15" t="s">
        <v>51</v>
      </c>
      <c r="M863" s="1"/>
      <c r="N863" s="1" t="s">
        <v>5435</v>
      </c>
      <c r="O863" s="15" t="s">
        <v>40</v>
      </c>
      <c r="P863" s="15" t="s">
        <v>41</v>
      </c>
      <c r="Q863" s="1" t="s">
        <v>5436</v>
      </c>
      <c r="R863" s="2" t="s">
        <v>4512</v>
      </c>
      <c r="S863" s="1" t="s">
        <v>46</v>
      </c>
      <c r="T863" s="1" t="s">
        <v>635</v>
      </c>
      <c r="U863" s="1" t="s">
        <v>636</v>
      </c>
      <c r="V863" s="1" t="s">
        <v>45</v>
      </c>
      <c r="W863" s="1"/>
      <c r="X863" s="1"/>
      <c r="Y863" s="1"/>
      <c r="Z863" s="1" t="s">
        <v>658</v>
      </c>
      <c r="AA863" s="1" t="s">
        <v>5437</v>
      </c>
      <c r="AB863" s="1" t="s">
        <v>46</v>
      </c>
      <c r="AC863" s="1" t="s">
        <v>46</v>
      </c>
      <c r="AD863" s="1" t="s">
        <v>5438</v>
      </c>
      <c r="AE863" s="1" t="s">
        <v>641</v>
      </c>
      <c r="AF863" s="1" t="s">
        <v>190</v>
      </c>
      <c r="AG863" s="1">
        <v>6</v>
      </c>
      <c r="AH863" s="1" t="s">
        <v>190</v>
      </c>
      <c r="AI863" s="1"/>
      <c r="AJ863" s="1" t="s">
        <v>5439</v>
      </c>
      <c r="AK863" s="1" t="s">
        <v>4268</v>
      </c>
    </row>
    <row r="864" spans="1:37" s="23" customFormat="1">
      <c r="A864" s="19" t="str">
        <f>VLOOKUP(H864,Languages!$A$2:$B$430,2,FALSE)</f>
        <v>Indo-European</v>
      </c>
      <c r="B864" s="19" t="s">
        <v>67</v>
      </c>
      <c r="C864" s="19" t="s">
        <v>477</v>
      </c>
      <c r="D864" s="19" t="s">
        <v>478</v>
      </c>
      <c r="E864" s="20" t="s">
        <v>479</v>
      </c>
      <c r="F864" s="20" t="s">
        <v>479</v>
      </c>
      <c r="G864" s="19" t="s">
        <v>479</v>
      </c>
      <c r="H864" s="19" t="str">
        <f>VLOOKUP(G864,'languoid 4.0'!$A$1:$I$24439,2,FALSE)</f>
        <v>indo1319</v>
      </c>
      <c r="I864" s="19" t="str">
        <f>VLOOKUP(G864,'languoid 4.0'!$A$1:$I$24439,6,FALSE)</f>
        <v>language</v>
      </c>
      <c r="J864" s="20" t="s">
        <v>38</v>
      </c>
      <c r="K864" s="20" t="s">
        <v>38</v>
      </c>
      <c r="L864" s="20" t="s">
        <v>38</v>
      </c>
      <c r="M864" s="19"/>
      <c r="N864" s="19" t="s">
        <v>480</v>
      </c>
      <c r="O864" s="20" t="s">
        <v>40</v>
      </c>
      <c r="P864" s="20" t="s">
        <v>41</v>
      </c>
      <c r="Q864" s="19" t="s">
        <v>596</v>
      </c>
      <c r="R864" s="21" t="s">
        <v>597</v>
      </c>
      <c r="S864" s="19" t="s">
        <v>116</v>
      </c>
      <c r="T864" s="19" t="s">
        <v>44</v>
      </c>
      <c r="U864" s="19"/>
      <c r="V864" s="19" t="s">
        <v>45</v>
      </c>
      <c r="W864" s="19"/>
      <c r="X864" s="19"/>
      <c r="Y864" s="19"/>
      <c r="Z864" s="19"/>
      <c r="AA864" s="19">
        <v>2</v>
      </c>
      <c r="AB864" s="19">
        <v>2</v>
      </c>
      <c r="AC864" s="19" t="s">
        <v>46</v>
      </c>
      <c r="AD864" s="19"/>
      <c r="AE864" s="19"/>
      <c r="AF864" s="19"/>
      <c r="AG864" s="19"/>
      <c r="AH864" s="19"/>
      <c r="AI864" s="19"/>
      <c r="AJ864" s="22">
        <v>43102.762916666667</v>
      </c>
      <c r="AK864" s="19" t="s">
        <v>57</v>
      </c>
    </row>
    <row r="865" spans="1:37" s="23" customFormat="1">
      <c r="A865" s="19" t="str">
        <f>VLOOKUP(H865,Languages!$A$2:$B$430,2,FALSE)</f>
        <v>Indo-European</v>
      </c>
      <c r="B865" s="19" t="s">
        <v>67</v>
      </c>
      <c r="C865" s="19" t="s">
        <v>94</v>
      </c>
      <c r="D865" s="19" t="s">
        <v>95</v>
      </c>
      <c r="E865" s="20" t="s">
        <v>96</v>
      </c>
      <c r="F865" s="20" t="s">
        <v>180</v>
      </c>
      <c r="G865" s="19" t="s">
        <v>96</v>
      </c>
      <c r="H865" s="19" t="str">
        <f>VLOOKUP(G865,'languoid 4.0'!$A$1:$I$24439,2,FALSE)</f>
        <v>indo1319</v>
      </c>
      <c r="I865" s="19" t="str">
        <f>VLOOKUP(G865,'languoid 4.0'!$A$1:$I$24439,6,FALSE)</f>
        <v>language</v>
      </c>
      <c r="J865" s="20" t="s">
        <v>52</v>
      </c>
      <c r="K865" s="20" t="s">
        <v>52</v>
      </c>
      <c r="L865" s="20" t="s">
        <v>38</v>
      </c>
      <c r="M865" s="19"/>
      <c r="N865" s="19" t="s">
        <v>97</v>
      </c>
      <c r="O865" s="20" t="s">
        <v>40</v>
      </c>
      <c r="P865" s="20" t="s">
        <v>41</v>
      </c>
      <c r="Q865" s="19" t="s">
        <v>329</v>
      </c>
      <c r="R865" s="21" t="s">
        <v>99</v>
      </c>
      <c r="S865" s="19" t="s">
        <v>116</v>
      </c>
      <c r="T865" s="19" t="s">
        <v>44</v>
      </c>
      <c r="U865" s="19"/>
      <c r="V865" s="19" t="s">
        <v>45</v>
      </c>
      <c r="W865" s="19"/>
      <c r="X865" s="19"/>
      <c r="Y865" s="19"/>
      <c r="Z865" s="19"/>
      <c r="AA865" s="19">
        <v>4</v>
      </c>
      <c r="AB865" s="19">
        <v>4</v>
      </c>
      <c r="AC865" s="19" t="s">
        <v>46</v>
      </c>
      <c r="AD865" s="19"/>
      <c r="AE865" s="19"/>
      <c r="AF865" s="19"/>
      <c r="AG865" s="19"/>
      <c r="AH865" s="19"/>
      <c r="AI865" s="19"/>
      <c r="AJ865" s="22">
        <v>43102.742384259262</v>
      </c>
      <c r="AK865" s="19" t="s">
        <v>74</v>
      </c>
    </row>
    <row r="866" spans="1:37" s="23" customFormat="1">
      <c r="A866" s="19" t="str">
        <f>VLOOKUP(H866,Languages!$A$2:$B$430,2,FALSE)</f>
        <v>Indo-European</v>
      </c>
      <c r="B866" s="19" t="s">
        <v>67</v>
      </c>
      <c r="C866" s="19" t="s">
        <v>94</v>
      </c>
      <c r="D866" s="19" t="s">
        <v>5923</v>
      </c>
      <c r="E866" s="20" t="s">
        <v>96</v>
      </c>
      <c r="F866" s="20" t="s">
        <v>96</v>
      </c>
      <c r="G866" s="19" t="s">
        <v>96</v>
      </c>
      <c r="H866" s="19" t="str">
        <f>VLOOKUP(G866,'languoid 4.0'!$A$1:$I$24439,2,FALSE)</f>
        <v>indo1319</v>
      </c>
      <c r="I866" s="19" t="str">
        <f>VLOOKUP(G866,'languoid 4.0'!$A$1:$I$24439,6,FALSE)</f>
        <v>language</v>
      </c>
      <c r="J866" s="20" t="s">
        <v>38</v>
      </c>
      <c r="K866" s="20" t="s">
        <v>38</v>
      </c>
      <c r="L866" s="20" t="s">
        <v>38</v>
      </c>
      <c r="M866" s="19"/>
      <c r="N866" s="19" t="s">
        <v>97</v>
      </c>
      <c r="O866" s="20" t="s">
        <v>40</v>
      </c>
      <c r="P866" s="20" t="s">
        <v>41</v>
      </c>
      <c r="Q866" s="19" t="s">
        <v>5933</v>
      </c>
      <c r="R866" s="21" t="s">
        <v>5934</v>
      </c>
      <c r="S866" s="19" t="s">
        <v>46</v>
      </c>
      <c r="T866" s="19" t="s">
        <v>635</v>
      </c>
      <c r="U866" s="19" t="s">
        <v>636</v>
      </c>
      <c r="V866" s="19" t="s">
        <v>45</v>
      </c>
      <c r="W866" s="19"/>
      <c r="X866" s="19"/>
      <c r="Y866" s="19"/>
      <c r="Z866" s="19" t="s">
        <v>673</v>
      </c>
      <c r="AA866" s="19" t="s">
        <v>5935</v>
      </c>
      <c r="AB866" s="19" t="s">
        <v>5936</v>
      </c>
      <c r="AC866" s="19" t="s">
        <v>46</v>
      </c>
      <c r="AD866" s="19"/>
      <c r="AE866" s="19" t="s">
        <v>641</v>
      </c>
      <c r="AF866" s="19" t="s">
        <v>190</v>
      </c>
      <c r="AG866" s="19">
        <v>6</v>
      </c>
      <c r="AH866" s="19" t="s">
        <v>190</v>
      </c>
      <c r="AI866" s="19"/>
      <c r="AJ866" s="19" t="s">
        <v>5937</v>
      </c>
      <c r="AK866" s="19" t="s">
        <v>4840</v>
      </c>
    </row>
    <row r="867" spans="1:37" s="23" customFormat="1">
      <c r="A867" s="19" t="str">
        <f>VLOOKUP(H867,Languages!$A$2:$B$430,2,FALSE)</f>
        <v>Indo-European</v>
      </c>
      <c r="B867" s="19" t="s">
        <v>67</v>
      </c>
      <c r="C867" s="19" t="s">
        <v>94</v>
      </c>
      <c r="D867" s="19" t="s">
        <v>8887</v>
      </c>
      <c r="E867" s="20" t="s">
        <v>4833</v>
      </c>
      <c r="F867" s="20" t="s">
        <v>4833</v>
      </c>
      <c r="G867" s="19" t="s">
        <v>4833</v>
      </c>
      <c r="H867" s="19" t="str">
        <f>VLOOKUP(G867,'languoid 4.0'!$A$1:$I$24439,2,FALSE)</f>
        <v>indo1319</v>
      </c>
      <c r="I867" s="19" t="str">
        <f>VLOOKUP(G867,'languoid 4.0'!$A$1:$I$24439,6,FALSE)</f>
        <v>language</v>
      </c>
      <c r="J867" s="20" t="s">
        <v>38</v>
      </c>
      <c r="K867" s="20" t="s">
        <v>38</v>
      </c>
      <c r="L867" s="20" t="s">
        <v>38</v>
      </c>
      <c r="M867" s="19"/>
      <c r="N867" s="19" t="s">
        <v>4834</v>
      </c>
      <c r="O867" s="20" t="s">
        <v>40</v>
      </c>
      <c r="P867" s="20" t="s">
        <v>41</v>
      </c>
      <c r="Q867" s="19" t="s">
        <v>8892</v>
      </c>
      <c r="R867" s="21" t="s">
        <v>8893</v>
      </c>
      <c r="S867" s="19" t="s">
        <v>46</v>
      </c>
      <c r="T867" s="19" t="s">
        <v>635</v>
      </c>
      <c r="U867" s="19" t="s">
        <v>636</v>
      </c>
      <c r="V867" s="19" t="s">
        <v>45</v>
      </c>
      <c r="W867" s="19"/>
      <c r="X867" s="19"/>
      <c r="Y867" s="19"/>
      <c r="Z867" s="19" t="s">
        <v>658</v>
      </c>
      <c r="AA867" s="19" t="s">
        <v>8894</v>
      </c>
      <c r="AB867" s="19" t="s">
        <v>46</v>
      </c>
      <c r="AC867" s="19" t="s">
        <v>46</v>
      </c>
      <c r="AD867" s="19"/>
      <c r="AE867" s="19" t="s">
        <v>641</v>
      </c>
      <c r="AF867" s="19" t="s">
        <v>45</v>
      </c>
      <c r="AG867" s="19">
        <v>1</v>
      </c>
      <c r="AH867" s="19" t="s">
        <v>190</v>
      </c>
      <c r="AI867" s="19"/>
      <c r="AJ867" s="19" t="s">
        <v>8895</v>
      </c>
      <c r="AK867" s="19" t="s">
        <v>8881</v>
      </c>
    </row>
    <row r="868" spans="1:37" s="23" customFormat="1">
      <c r="A868" s="19" t="str">
        <f>VLOOKUP(H868,Languages!$A$2:$B$430,2,FALSE)</f>
        <v>Indo-European</v>
      </c>
      <c r="B868" s="19" t="s">
        <v>67</v>
      </c>
      <c r="C868" s="19" t="s">
        <v>94</v>
      </c>
      <c r="D868" s="19" t="s">
        <v>9678</v>
      </c>
      <c r="E868" s="20" t="s">
        <v>180</v>
      </c>
      <c r="F868" s="20" t="s">
        <v>96</v>
      </c>
      <c r="G868" s="19" t="s">
        <v>96</v>
      </c>
      <c r="H868" s="19" t="str">
        <f>VLOOKUP(G868,'languoid 4.0'!$A$1:$I$24439,2,FALSE)</f>
        <v>indo1319</v>
      </c>
      <c r="I868" s="19" t="str">
        <f>VLOOKUP(G868,'languoid 4.0'!$A$1:$I$24439,6,FALSE)</f>
        <v>language</v>
      </c>
      <c r="J868" s="20" t="s">
        <v>52</v>
      </c>
      <c r="K868" s="20" t="s">
        <v>52</v>
      </c>
      <c r="L868" s="20" t="s">
        <v>38</v>
      </c>
      <c r="M868" s="19"/>
      <c r="N868" s="19" t="s">
        <v>4842</v>
      </c>
      <c r="O868" s="20" t="s">
        <v>40</v>
      </c>
      <c r="P868" s="20" t="s">
        <v>41</v>
      </c>
      <c r="Q868" s="19" t="s">
        <v>9679</v>
      </c>
      <c r="R868" s="21" t="s">
        <v>9680</v>
      </c>
      <c r="S868" s="19" t="s">
        <v>46</v>
      </c>
      <c r="T868" s="19" t="s">
        <v>635</v>
      </c>
      <c r="U868" s="19" t="s">
        <v>636</v>
      </c>
      <c r="V868" s="19" t="s">
        <v>45</v>
      </c>
      <c r="W868" s="19"/>
      <c r="X868" s="19"/>
      <c r="Y868" s="19"/>
      <c r="Z868" s="19" t="s">
        <v>658</v>
      </c>
      <c r="AA868" s="19" t="s">
        <v>9681</v>
      </c>
      <c r="AB868" s="19" t="s">
        <v>46</v>
      </c>
      <c r="AC868" s="19" t="s">
        <v>46</v>
      </c>
      <c r="AD868" s="19"/>
      <c r="AE868" s="19" t="s">
        <v>641</v>
      </c>
      <c r="AF868" s="19" t="s">
        <v>190</v>
      </c>
      <c r="AG868" s="19">
        <v>6</v>
      </c>
      <c r="AH868" s="19" t="s">
        <v>190</v>
      </c>
      <c r="AI868" s="19"/>
      <c r="AJ868" s="19" t="s">
        <v>9682</v>
      </c>
      <c r="AK868" s="19" t="s">
        <v>8881</v>
      </c>
    </row>
    <row r="869" spans="1:37" s="23" customFormat="1">
      <c r="A869" s="19" t="str">
        <f>VLOOKUP(H869,Languages!$A$2:$B$430,2,FALSE)</f>
        <v>Indo-European</v>
      </c>
      <c r="B869" s="19" t="s">
        <v>67</v>
      </c>
      <c r="C869" s="19" t="s">
        <v>94</v>
      </c>
      <c r="D869" s="19" t="s">
        <v>9692</v>
      </c>
      <c r="E869" s="20" t="s">
        <v>180</v>
      </c>
      <c r="F869" s="20" t="s">
        <v>96</v>
      </c>
      <c r="G869" s="19" t="s">
        <v>96</v>
      </c>
      <c r="H869" s="19" t="str">
        <f>VLOOKUP(G869,'languoid 4.0'!$A$1:$I$24439,2,FALSE)</f>
        <v>indo1319</v>
      </c>
      <c r="I869" s="19" t="str">
        <f>VLOOKUP(G869,'languoid 4.0'!$A$1:$I$24439,6,FALSE)</f>
        <v>language</v>
      </c>
      <c r="J869" s="20" t="s">
        <v>52</v>
      </c>
      <c r="K869" s="20" t="s">
        <v>52</v>
      </c>
      <c r="L869" s="20" t="s">
        <v>38</v>
      </c>
      <c r="M869" s="19"/>
      <c r="N869" s="19" t="s">
        <v>4842</v>
      </c>
      <c r="O869" s="20" t="s">
        <v>40</v>
      </c>
      <c r="P869" s="20" t="s">
        <v>41</v>
      </c>
      <c r="Q869" s="19" t="s">
        <v>9693</v>
      </c>
      <c r="R869" s="21" t="s">
        <v>9694</v>
      </c>
      <c r="S869" s="19" t="s">
        <v>46</v>
      </c>
      <c r="T869" s="19" t="s">
        <v>635</v>
      </c>
      <c r="U869" s="19" t="s">
        <v>636</v>
      </c>
      <c r="V869" s="19" t="s">
        <v>45</v>
      </c>
      <c r="W869" s="19"/>
      <c r="X869" s="19"/>
      <c r="Y869" s="19"/>
      <c r="Z869" s="19" t="s">
        <v>658</v>
      </c>
      <c r="AA869" s="19" t="s">
        <v>9695</v>
      </c>
      <c r="AB869" s="19" t="s">
        <v>46</v>
      </c>
      <c r="AC869" s="19" t="s">
        <v>46</v>
      </c>
      <c r="AD869" s="19"/>
      <c r="AE869" s="19" t="s">
        <v>641</v>
      </c>
      <c r="AF869" s="19" t="s">
        <v>190</v>
      </c>
      <c r="AG869" s="19">
        <v>6</v>
      </c>
      <c r="AH869" s="19" t="s">
        <v>190</v>
      </c>
      <c r="AI869" s="19"/>
      <c r="AJ869" s="19" t="s">
        <v>9696</v>
      </c>
      <c r="AK869" s="19" t="s">
        <v>8881</v>
      </c>
    </row>
    <row r="870" spans="1:37" s="23" customFormat="1">
      <c r="A870" s="19" t="str">
        <f>VLOOKUP(H870,Languages!$A$2:$B$430,2,FALSE)</f>
        <v>Indo-European</v>
      </c>
      <c r="B870" s="19" t="s">
        <v>67</v>
      </c>
      <c r="C870" s="19" t="s">
        <v>94</v>
      </c>
      <c r="D870" s="19" t="s">
        <v>9838</v>
      </c>
      <c r="E870" s="20" t="s">
        <v>96</v>
      </c>
      <c r="F870" s="20" t="s">
        <v>96</v>
      </c>
      <c r="G870" s="19" t="s">
        <v>96</v>
      </c>
      <c r="H870" s="19" t="str">
        <f>VLOOKUP(G870,'languoid 4.0'!$A$1:$I$24439,2,FALSE)</f>
        <v>indo1319</v>
      </c>
      <c r="I870" s="19" t="str">
        <f>VLOOKUP(G870,'languoid 4.0'!$A$1:$I$24439,6,FALSE)</f>
        <v>language</v>
      </c>
      <c r="J870" s="20" t="s">
        <v>38</v>
      </c>
      <c r="K870" s="20" t="s">
        <v>38</v>
      </c>
      <c r="L870" s="20" t="s">
        <v>38</v>
      </c>
      <c r="M870" s="19"/>
      <c r="N870" s="19" t="s">
        <v>97</v>
      </c>
      <c r="O870" s="20" t="s">
        <v>40</v>
      </c>
      <c r="P870" s="20" t="s">
        <v>41</v>
      </c>
      <c r="Q870" s="19" t="s">
        <v>9693</v>
      </c>
      <c r="R870" s="21" t="s">
        <v>9694</v>
      </c>
      <c r="S870" s="19" t="s">
        <v>9839</v>
      </c>
      <c r="T870" s="19" t="s">
        <v>635</v>
      </c>
      <c r="U870" s="19" t="s">
        <v>636</v>
      </c>
      <c r="V870" s="19" t="s">
        <v>45</v>
      </c>
      <c r="W870" s="19"/>
      <c r="X870" s="19"/>
      <c r="Y870" s="19"/>
      <c r="Z870" s="19" t="s">
        <v>658</v>
      </c>
      <c r="AA870" s="19" t="s">
        <v>9840</v>
      </c>
      <c r="AB870" s="19" t="s">
        <v>46</v>
      </c>
      <c r="AC870" s="19" t="s">
        <v>46</v>
      </c>
      <c r="AD870" s="19"/>
      <c r="AE870" s="19" t="s">
        <v>641</v>
      </c>
      <c r="AF870" s="19" t="s">
        <v>190</v>
      </c>
      <c r="AG870" s="19">
        <v>6</v>
      </c>
      <c r="AH870" s="19" t="s">
        <v>190</v>
      </c>
      <c r="AI870" s="19"/>
      <c r="AJ870" s="19" t="s">
        <v>9841</v>
      </c>
      <c r="AK870" s="19" t="s">
        <v>8881</v>
      </c>
    </row>
    <row r="871" spans="1:37" s="23" customFormat="1">
      <c r="A871" s="19" t="str">
        <f>VLOOKUP(H871,Languages!$A$2:$B$430,2,FALSE)</f>
        <v>Indo-European</v>
      </c>
      <c r="B871" s="19" t="s">
        <v>67</v>
      </c>
      <c r="C871" s="19" t="s">
        <v>1012</v>
      </c>
      <c r="D871" s="19" t="s">
        <v>1378</v>
      </c>
      <c r="E871" s="20" t="s">
        <v>51</v>
      </c>
      <c r="F871" s="20" t="s">
        <v>1379</v>
      </c>
      <c r="G871" s="19" t="s">
        <v>1380</v>
      </c>
      <c r="H871" s="19" t="str">
        <f>VLOOKUP(G871,'languoid 4.0'!$A$1:$I$24439,2,FALSE)</f>
        <v>indo1319</v>
      </c>
      <c r="I871" s="19" t="str">
        <f>VLOOKUP(G871,'languoid 4.0'!$A$1:$I$24439,6,FALSE)</f>
        <v>language</v>
      </c>
      <c r="J871" s="20" t="s">
        <v>52</v>
      </c>
      <c r="K871" s="20" t="s">
        <v>51</v>
      </c>
      <c r="L871" s="20" t="s">
        <v>51</v>
      </c>
      <c r="M871" s="19" t="s">
        <v>1381</v>
      </c>
      <c r="N871" s="19" t="e">
        <v>#N/A</v>
      </c>
      <c r="O871" s="20" t="s">
        <v>690</v>
      </c>
      <c r="P871" s="20"/>
      <c r="Q871" s="19" t="s">
        <v>1382</v>
      </c>
      <c r="R871" s="21" t="s">
        <v>1383</v>
      </c>
      <c r="S871" s="19" t="s">
        <v>46</v>
      </c>
      <c r="T871" s="19" t="s">
        <v>635</v>
      </c>
      <c r="U871" s="19" t="s">
        <v>636</v>
      </c>
      <c r="V871" s="19" t="s">
        <v>45</v>
      </c>
      <c r="W871" s="19"/>
      <c r="X871" s="19"/>
      <c r="Y871" s="19"/>
      <c r="Z871" s="19" t="s">
        <v>658</v>
      </c>
      <c r="AA871" s="19" t="s">
        <v>1384</v>
      </c>
      <c r="AB871" s="19" t="s">
        <v>46</v>
      </c>
      <c r="AC871" s="19" t="s">
        <v>46</v>
      </c>
      <c r="AD871" s="19"/>
      <c r="AE871" s="19" t="s">
        <v>641</v>
      </c>
      <c r="AF871" s="19" t="s">
        <v>190</v>
      </c>
      <c r="AG871" s="19">
        <v>5</v>
      </c>
      <c r="AH871" s="19" t="s">
        <v>190</v>
      </c>
      <c r="AI871" s="19"/>
      <c r="AJ871" s="19" t="s">
        <v>1385</v>
      </c>
      <c r="AK871" s="19" t="s">
        <v>1023</v>
      </c>
    </row>
    <row r="872" spans="1:37" s="23" customFormat="1">
      <c r="A872" s="19" t="str">
        <f>VLOOKUP(H872,Languages!$A$2:$B$430,2,FALSE)</f>
        <v>Indo-European</v>
      </c>
      <c r="B872" s="19" t="s">
        <v>67</v>
      </c>
      <c r="C872" s="19" t="s">
        <v>1012</v>
      </c>
      <c r="D872" s="19" t="s">
        <v>1386</v>
      </c>
      <c r="E872" s="20" t="s">
        <v>1387</v>
      </c>
      <c r="F872" s="20" t="s">
        <v>51</v>
      </c>
      <c r="G872" s="19" t="s">
        <v>1380</v>
      </c>
      <c r="H872" s="19" t="str">
        <f>VLOOKUP(G872,'languoid 4.0'!$A$1:$I$24439,2,FALSE)</f>
        <v>indo1319</v>
      </c>
      <c r="I872" s="19" t="str">
        <f>VLOOKUP(G872,'languoid 4.0'!$A$1:$I$24439,6,FALSE)</f>
        <v>language</v>
      </c>
      <c r="J872" s="20" t="s">
        <v>52</v>
      </c>
      <c r="K872" s="20" t="s">
        <v>51</v>
      </c>
      <c r="L872" s="20" t="s">
        <v>51</v>
      </c>
      <c r="M872" s="19"/>
      <c r="N872" s="19" t="s">
        <v>1388</v>
      </c>
      <c r="O872" s="20" t="s">
        <v>40</v>
      </c>
      <c r="P872" s="20" t="s">
        <v>41</v>
      </c>
      <c r="Q872" s="19" t="s">
        <v>1389</v>
      </c>
      <c r="R872" s="21" t="s">
        <v>1390</v>
      </c>
      <c r="S872" s="19" t="s">
        <v>46</v>
      </c>
      <c r="T872" s="19" t="s">
        <v>1391</v>
      </c>
      <c r="U872" s="19" t="s">
        <v>1392</v>
      </c>
      <c r="V872" s="19" t="s">
        <v>45</v>
      </c>
      <c r="W872" s="19"/>
      <c r="X872" s="19"/>
      <c r="Y872" s="19"/>
      <c r="Z872" s="19" t="s">
        <v>658</v>
      </c>
      <c r="AA872" s="19" t="s">
        <v>1393</v>
      </c>
      <c r="AB872" s="19" t="s">
        <v>1394</v>
      </c>
      <c r="AC872" s="19" t="s">
        <v>46</v>
      </c>
      <c r="AD872" s="19"/>
      <c r="AE872" s="19" t="s">
        <v>641</v>
      </c>
      <c r="AF872" s="19" t="s">
        <v>190</v>
      </c>
      <c r="AG872" s="19">
        <v>3</v>
      </c>
      <c r="AH872" s="19" t="s">
        <v>190</v>
      </c>
      <c r="AI872" s="19"/>
      <c r="AJ872" s="19" t="s">
        <v>1395</v>
      </c>
      <c r="AK872" s="19" t="s">
        <v>1023</v>
      </c>
    </row>
    <row r="873" spans="1:37" s="23" customFormat="1">
      <c r="A873" s="19" t="str">
        <f>VLOOKUP(H873,Languages!$A$2:$B$430,2,FALSE)</f>
        <v>Indo-European</v>
      </c>
      <c r="B873" s="19" t="s">
        <v>67</v>
      </c>
      <c r="C873" s="19" t="s">
        <v>1012</v>
      </c>
      <c r="D873" s="19" t="s">
        <v>2730</v>
      </c>
      <c r="E873" s="20" t="s">
        <v>2731</v>
      </c>
      <c r="F873" s="20" t="s">
        <v>2731</v>
      </c>
      <c r="G873" s="19" t="s">
        <v>2731</v>
      </c>
      <c r="H873" s="19" t="str">
        <f>VLOOKUP(G873,'languoid 4.0'!$A$1:$I$24439,2,FALSE)</f>
        <v>indo1319</v>
      </c>
      <c r="I873" s="19" t="str">
        <f>VLOOKUP(G873,'languoid 4.0'!$A$1:$I$24439,6,FALSE)</f>
        <v>language</v>
      </c>
      <c r="J873" s="20" t="s">
        <v>38</v>
      </c>
      <c r="K873" s="20" t="s">
        <v>38</v>
      </c>
      <c r="L873" s="20" t="s">
        <v>38</v>
      </c>
      <c r="M873" s="19"/>
      <c r="N873" s="19" t="s">
        <v>2732</v>
      </c>
      <c r="O873" s="20" t="s">
        <v>40</v>
      </c>
      <c r="P873" s="20" t="s">
        <v>632</v>
      </c>
      <c r="Q873" s="19" t="s">
        <v>2733</v>
      </c>
      <c r="R873" s="21" t="s">
        <v>2734</v>
      </c>
      <c r="S873" s="19" t="s">
        <v>46</v>
      </c>
      <c r="T873" s="19" t="s">
        <v>2735</v>
      </c>
      <c r="U873" s="19" t="s">
        <v>636</v>
      </c>
      <c r="V873" s="19" t="s">
        <v>45</v>
      </c>
      <c r="W873" s="19"/>
      <c r="X873" s="19"/>
      <c r="Y873" s="19"/>
      <c r="Z873" s="19" t="s">
        <v>658</v>
      </c>
      <c r="AA873" s="19" t="s">
        <v>2736</v>
      </c>
      <c r="AB873" s="19" t="s">
        <v>46</v>
      </c>
      <c r="AC873" s="19" t="s">
        <v>46</v>
      </c>
      <c r="AD873" s="19"/>
      <c r="AE873" s="19" t="s">
        <v>641</v>
      </c>
      <c r="AF873" s="19" t="s">
        <v>190</v>
      </c>
      <c r="AG873" s="19">
        <v>5</v>
      </c>
      <c r="AH873" s="19" t="s">
        <v>190</v>
      </c>
      <c r="AI873" s="19"/>
      <c r="AJ873" s="22">
        <v>43377.499421296299</v>
      </c>
      <c r="AK873" s="19" t="s">
        <v>1023</v>
      </c>
    </row>
    <row r="874" spans="1:37" s="23" customFormat="1">
      <c r="A874" s="19" t="str">
        <f>VLOOKUP(H874,Languages!$A$2:$B$430,2,FALSE)</f>
        <v>Indo-European</v>
      </c>
      <c r="B874" s="19" t="s">
        <v>67</v>
      </c>
      <c r="C874" s="19" t="s">
        <v>1012</v>
      </c>
      <c r="D874" s="19" t="s">
        <v>2730</v>
      </c>
      <c r="E874" s="20" t="s">
        <v>2731</v>
      </c>
      <c r="F874" s="20" t="s">
        <v>2731</v>
      </c>
      <c r="G874" s="19" t="s">
        <v>2731</v>
      </c>
      <c r="H874" s="19" t="str">
        <f>VLOOKUP(G874,'languoid 4.0'!$A$1:$I$24439,2,FALSE)</f>
        <v>indo1319</v>
      </c>
      <c r="I874" s="19" t="str">
        <f>VLOOKUP(G874,'languoid 4.0'!$A$1:$I$24439,6,FALSE)</f>
        <v>language</v>
      </c>
      <c r="J874" s="20" t="s">
        <v>38</v>
      </c>
      <c r="K874" s="20" t="s">
        <v>38</v>
      </c>
      <c r="L874" s="20" t="s">
        <v>38</v>
      </c>
      <c r="M874" s="19"/>
      <c r="N874" s="19" t="s">
        <v>2732</v>
      </c>
      <c r="O874" s="20" t="s">
        <v>40</v>
      </c>
      <c r="P874" s="20" t="s">
        <v>632</v>
      </c>
      <c r="Q874" s="19" t="s">
        <v>2737</v>
      </c>
      <c r="R874" s="21" t="s">
        <v>2738</v>
      </c>
      <c r="S874" s="19" t="s">
        <v>46</v>
      </c>
      <c r="T874" s="19" t="s">
        <v>2739</v>
      </c>
      <c r="U874" s="19" t="s">
        <v>636</v>
      </c>
      <c r="V874" s="19" t="s">
        <v>45</v>
      </c>
      <c r="W874" s="19"/>
      <c r="X874" s="19"/>
      <c r="Y874" s="19"/>
      <c r="Z874" s="19" t="s">
        <v>658</v>
      </c>
      <c r="AA874" s="19" t="s">
        <v>2740</v>
      </c>
      <c r="AB874" s="19" t="s">
        <v>46</v>
      </c>
      <c r="AC874" s="19" t="s">
        <v>46</v>
      </c>
      <c r="AD874" s="19"/>
      <c r="AE874" s="19" t="s">
        <v>641</v>
      </c>
      <c r="AF874" s="19" t="s">
        <v>190</v>
      </c>
      <c r="AG874" s="19">
        <v>5</v>
      </c>
      <c r="AH874" s="19" t="s">
        <v>190</v>
      </c>
      <c r="AI874" s="19"/>
      <c r="AJ874" s="22">
        <v>43377.504525462966</v>
      </c>
      <c r="AK874" s="19" t="s">
        <v>1023</v>
      </c>
    </row>
    <row r="875" spans="1:37" s="23" customFormat="1">
      <c r="A875" s="19" t="str">
        <f>VLOOKUP(H875,Languages!$A$2:$B$430,2,FALSE)</f>
        <v>Indo-European</v>
      </c>
      <c r="B875" s="19" t="s">
        <v>67</v>
      </c>
      <c r="C875" s="19" t="s">
        <v>1012</v>
      </c>
      <c r="D875" s="19" t="s">
        <v>2730</v>
      </c>
      <c r="E875" s="20" t="s">
        <v>2731</v>
      </c>
      <c r="F875" s="20" t="s">
        <v>2731</v>
      </c>
      <c r="G875" s="19" t="s">
        <v>2731</v>
      </c>
      <c r="H875" s="19" t="str">
        <f>VLOOKUP(G875,'languoid 4.0'!$A$1:$I$24439,2,FALSE)</f>
        <v>indo1319</v>
      </c>
      <c r="I875" s="19" t="str">
        <f>VLOOKUP(G875,'languoid 4.0'!$A$1:$I$24439,6,FALSE)</f>
        <v>language</v>
      </c>
      <c r="J875" s="20" t="s">
        <v>38</v>
      </c>
      <c r="K875" s="20" t="s">
        <v>38</v>
      </c>
      <c r="L875" s="20" t="s">
        <v>38</v>
      </c>
      <c r="M875" s="19"/>
      <c r="N875" s="19" t="s">
        <v>2732</v>
      </c>
      <c r="O875" s="20" t="s">
        <v>40</v>
      </c>
      <c r="P875" s="20" t="s">
        <v>632</v>
      </c>
      <c r="Q875" s="19" t="s">
        <v>2741</v>
      </c>
      <c r="R875" s="21" t="s">
        <v>2742</v>
      </c>
      <c r="S875" s="19" t="s">
        <v>46</v>
      </c>
      <c r="T875" s="19" t="s">
        <v>2735</v>
      </c>
      <c r="U875" s="19" t="s">
        <v>636</v>
      </c>
      <c r="V875" s="19" t="s">
        <v>45</v>
      </c>
      <c r="W875" s="19"/>
      <c r="X875" s="19"/>
      <c r="Y875" s="19"/>
      <c r="Z875" s="19" t="s">
        <v>658</v>
      </c>
      <c r="AA875" s="19" t="s">
        <v>2743</v>
      </c>
      <c r="AB875" s="19" t="s">
        <v>46</v>
      </c>
      <c r="AC875" s="19" t="s">
        <v>46</v>
      </c>
      <c r="AD875" s="19" t="s">
        <v>2744</v>
      </c>
      <c r="AE875" s="19" t="s">
        <v>641</v>
      </c>
      <c r="AF875" s="19" t="s">
        <v>190</v>
      </c>
      <c r="AG875" s="19">
        <v>5</v>
      </c>
      <c r="AH875" s="19" t="s">
        <v>190</v>
      </c>
      <c r="AI875" s="19"/>
      <c r="AJ875" s="22">
        <v>43377.509664351855</v>
      </c>
      <c r="AK875" s="19" t="s">
        <v>1023</v>
      </c>
    </row>
    <row r="876" spans="1:37" s="23" customFormat="1">
      <c r="A876" s="19" t="str">
        <f>VLOOKUP(H876,Languages!$A$2:$B$430,2,FALSE)</f>
        <v>Indo-European</v>
      </c>
      <c r="B876" s="19" t="s">
        <v>67</v>
      </c>
      <c r="C876" s="19" t="s">
        <v>1012</v>
      </c>
      <c r="D876" s="19" t="s">
        <v>2730</v>
      </c>
      <c r="E876" s="20" t="s">
        <v>2731</v>
      </c>
      <c r="F876" s="20" t="s">
        <v>2731</v>
      </c>
      <c r="G876" s="19" t="s">
        <v>2731</v>
      </c>
      <c r="H876" s="19" t="str">
        <f>VLOOKUP(G876,'languoid 4.0'!$A$1:$I$24439,2,FALSE)</f>
        <v>indo1319</v>
      </c>
      <c r="I876" s="19" t="str">
        <f>VLOOKUP(G876,'languoid 4.0'!$A$1:$I$24439,6,FALSE)</f>
        <v>language</v>
      </c>
      <c r="J876" s="20" t="s">
        <v>38</v>
      </c>
      <c r="K876" s="20" t="s">
        <v>38</v>
      </c>
      <c r="L876" s="20" t="s">
        <v>38</v>
      </c>
      <c r="M876" s="19"/>
      <c r="N876" s="19" t="s">
        <v>2732</v>
      </c>
      <c r="O876" s="20" t="s">
        <v>40</v>
      </c>
      <c r="P876" s="20" t="s">
        <v>632</v>
      </c>
      <c r="Q876" s="19" t="s">
        <v>2751</v>
      </c>
      <c r="R876" s="21" t="s">
        <v>2752</v>
      </c>
      <c r="S876" s="19" t="s">
        <v>46</v>
      </c>
      <c r="T876" s="19" t="s">
        <v>635</v>
      </c>
      <c r="U876" s="19" t="s">
        <v>636</v>
      </c>
      <c r="V876" s="19" t="s">
        <v>45</v>
      </c>
      <c r="W876" s="19"/>
      <c r="X876" s="19"/>
      <c r="Y876" s="19"/>
      <c r="Z876" s="19" t="s">
        <v>658</v>
      </c>
      <c r="AA876" s="19" t="s">
        <v>2753</v>
      </c>
      <c r="AB876" s="19" t="s">
        <v>46</v>
      </c>
      <c r="AC876" s="19" t="s">
        <v>46</v>
      </c>
      <c r="AD876" s="19" t="s">
        <v>2754</v>
      </c>
      <c r="AE876" s="19" t="s">
        <v>641</v>
      </c>
      <c r="AF876" s="19" t="s">
        <v>190</v>
      </c>
      <c r="AG876" s="19">
        <v>5</v>
      </c>
      <c r="AH876" s="19" t="s">
        <v>190</v>
      </c>
      <c r="AI876" s="19"/>
      <c r="AJ876" s="22">
        <v>43377.514189814814</v>
      </c>
      <c r="AK876" s="19" t="s">
        <v>1023</v>
      </c>
    </row>
    <row r="877" spans="1:37" s="23" customFormat="1">
      <c r="A877" s="19" t="str">
        <f>VLOOKUP(H877,Languages!$A$2:$B$430,2,FALSE)</f>
        <v>Indo-European</v>
      </c>
      <c r="B877" s="19" t="s">
        <v>67</v>
      </c>
      <c r="C877" s="19" t="s">
        <v>1012</v>
      </c>
      <c r="D877" s="19" t="s">
        <v>2755</v>
      </c>
      <c r="E877" s="20" t="s">
        <v>2756</v>
      </c>
      <c r="F877" s="20" t="s">
        <v>2757</v>
      </c>
      <c r="G877" s="19" t="s">
        <v>2756</v>
      </c>
      <c r="H877" s="19" t="str">
        <f>VLOOKUP(G877,'languoid 4.0'!$A$1:$I$24439,2,FALSE)</f>
        <v>indo1319</v>
      </c>
      <c r="I877" s="19" t="str">
        <f>VLOOKUP(G877,'languoid 4.0'!$A$1:$I$24439,6,FALSE)</f>
        <v>language</v>
      </c>
      <c r="J877" s="20" t="s">
        <v>52</v>
      </c>
      <c r="K877" s="20" t="s">
        <v>38</v>
      </c>
      <c r="L877" s="20" t="s">
        <v>38</v>
      </c>
      <c r="M877" s="19"/>
      <c r="N877" s="19" t="s">
        <v>2758</v>
      </c>
      <c r="O877" s="20" t="s">
        <v>40</v>
      </c>
      <c r="P877" s="20" t="s">
        <v>41</v>
      </c>
      <c r="Q877" s="19" t="s">
        <v>2759</v>
      </c>
      <c r="R877" s="21" t="s">
        <v>2760</v>
      </c>
      <c r="S877" s="19" t="s">
        <v>46</v>
      </c>
      <c r="T877" s="19" t="s">
        <v>635</v>
      </c>
      <c r="U877" s="19" t="s">
        <v>636</v>
      </c>
      <c r="V877" s="19" t="s">
        <v>45</v>
      </c>
      <c r="W877" s="19"/>
      <c r="X877" s="19"/>
      <c r="Y877" s="19"/>
      <c r="Z877" s="19" t="s">
        <v>658</v>
      </c>
      <c r="AA877" s="19" t="s">
        <v>2761</v>
      </c>
      <c r="AB877" s="19" t="s">
        <v>46</v>
      </c>
      <c r="AC877" s="19" t="s">
        <v>46</v>
      </c>
      <c r="AD877" s="19" t="s">
        <v>2762</v>
      </c>
      <c r="AE877" s="19" t="s">
        <v>641</v>
      </c>
      <c r="AF877" s="19" t="s">
        <v>190</v>
      </c>
      <c r="AG877" s="19">
        <v>5</v>
      </c>
      <c r="AH877" s="19" t="s">
        <v>190</v>
      </c>
      <c r="AI877" s="19"/>
      <c r="AJ877" s="22">
        <v>43377.519942129627</v>
      </c>
      <c r="AK877" s="19" t="s">
        <v>1023</v>
      </c>
    </row>
    <row r="878" spans="1:37" s="23" customFormat="1">
      <c r="A878" s="19" t="str">
        <f>VLOOKUP(H878,Languages!$A$2:$B$430,2,FALSE)</f>
        <v>Indo-European</v>
      </c>
      <c r="B878" s="19" t="s">
        <v>67</v>
      </c>
      <c r="C878" s="19" t="s">
        <v>1012</v>
      </c>
      <c r="D878" s="19" t="s">
        <v>2776</v>
      </c>
      <c r="E878" s="20" t="s">
        <v>2756</v>
      </c>
      <c r="F878" s="20" t="s">
        <v>2757</v>
      </c>
      <c r="G878" s="19" t="s">
        <v>2757</v>
      </c>
      <c r="H878" s="19" t="str">
        <f>VLOOKUP(G878,'languoid 4.0'!$A$1:$I$24439,2,FALSE)</f>
        <v>indo1319</v>
      </c>
      <c r="I878" s="19" t="str">
        <f>VLOOKUP(G878,'languoid 4.0'!$A$1:$I$24439,6,FALSE)</f>
        <v>family</v>
      </c>
      <c r="J878" s="20" t="s">
        <v>52</v>
      </c>
      <c r="K878" s="20" t="s">
        <v>38</v>
      </c>
      <c r="L878" s="20" t="s">
        <v>38</v>
      </c>
      <c r="M878" s="19"/>
      <c r="N878" s="19" t="s">
        <v>2758</v>
      </c>
      <c r="O878" s="20" t="s">
        <v>40</v>
      </c>
      <c r="P878" s="20" t="s">
        <v>41</v>
      </c>
      <c r="Q878" s="19" t="s">
        <v>2777</v>
      </c>
      <c r="R878" s="21" t="s">
        <v>2778</v>
      </c>
      <c r="S878" s="19" t="s">
        <v>46</v>
      </c>
      <c r="T878" s="19" t="s">
        <v>2735</v>
      </c>
      <c r="U878" s="19" t="s">
        <v>636</v>
      </c>
      <c r="V878" s="19" t="s">
        <v>45</v>
      </c>
      <c r="W878" s="19"/>
      <c r="X878" s="19"/>
      <c r="Y878" s="19"/>
      <c r="Z878" s="19" t="s">
        <v>658</v>
      </c>
      <c r="AA878" s="19" t="s">
        <v>2779</v>
      </c>
      <c r="AB878" s="19" t="s">
        <v>46</v>
      </c>
      <c r="AC878" s="19" t="s">
        <v>46</v>
      </c>
      <c r="AD878" s="19" t="s">
        <v>2780</v>
      </c>
      <c r="AE878" s="19" t="s">
        <v>641</v>
      </c>
      <c r="AF878" s="19" t="s">
        <v>190</v>
      </c>
      <c r="AG878" s="19">
        <v>6</v>
      </c>
      <c r="AH878" s="19" t="s">
        <v>190</v>
      </c>
      <c r="AI878" s="19"/>
      <c r="AJ878" s="22">
        <v>43377.536585648151</v>
      </c>
      <c r="AK878" s="19" t="s">
        <v>1023</v>
      </c>
    </row>
    <row r="879" spans="1:37" s="23" customFormat="1">
      <c r="A879" s="19" t="str">
        <f>VLOOKUP(H879,Languages!$A$2:$B$430,2,FALSE)</f>
        <v>Indo-European</v>
      </c>
      <c r="B879" s="19" t="s">
        <v>67</v>
      </c>
      <c r="C879" s="19" t="s">
        <v>1012</v>
      </c>
      <c r="D879" s="19" t="s">
        <v>2781</v>
      </c>
      <c r="E879" s="20" t="s">
        <v>2782</v>
      </c>
      <c r="F879" s="20" t="s">
        <v>180</v>
      </c>
      <c r="G879" s="19" t="s">
        <v>1380</v>
      </c>
      <c r="H879" s="19" t="str">
        <f>VLOOKUP(G879,'languoid 4.0'!$A$1:$I$24439,2,FALSE)</f>
        <v>indo1319</v>
      </c>
      <c r="I879" s="19" t="str">
        <f>VLOOKUP(G879,'languoid 4.0'!$A$1:$I$24439,6,FALSE)</f>
        <v>language</v>
      </c>
      <c r="J879" s="20" t="s">
        <v>52</v>
      </c>
      <c r="K879" s="20" t="s">
        <v>38</v>
      </c>
      <c r="L879" s="20" t="s">
        <v>38</v>
      </c>
      <c r="M879" s="19"/>
      <c r="N879" s="19" t="e">
        <v>#N/A</v>
      </c>
      <c r="O879" s="20" t="s">
        <v>40</v>
      </c>
      <c r="P879" s="20" t="s">
        <v>41</v>
      </c>
      <c r="Q879" s="19" t="s">
        <v>2783</v>
      </c>
      <c r="R879" s="21" t="s">
        <v>2784</v>
      </c>
      <c r="S879" s="19" t="s">
        <v>46</v>
      </c>
      <c r="T879" s="19" t="s">
        <v>1391</v>
      </c>
      <c r="U879" s="19" t="s">
        <v>636</v>
      </c>
      <c r="V879" s="19" t="s">
        <v>45</v>
      </c>
      <c r="W879" s="19"/>
      <c r="X879" s="19"/>
      <c r="Y879" s="19"/>
      <c r="Z879" s="19" t="s">
        <v>658</v>
      </c>
      <c r="AA879" s="19" t="s">
        <v>2785</v>
      </c>
      <c r="AB879" s="19" t="s">
        <v>46</v>
      </c>
      <c r="AC879" s="19" t="s">
        <v>46</v>
      </c>
      <c r="AD879" s="19" t="s">
        <v>2780</v>
      </c>
      <c r="AE879" s="19" t="s">
        <v>641</v>
      </c>
      <c r="AF879" s="19" t="s">
        <v>190</v>
      </c>
      <c r="AG879" s="19">
        <v>5</v>
      </c>
      <c r="AH879" s="19" t="s">
        <v>190</v>
      </c>
      <c r="AI879" s="19"/>
      <c r="AJ879" s="22">
        <v>43377.557766203703</v>
      </c>
      <c r="AK879" s="19" t="s">
        <v>1023</v>
      </c>
    </row>
    <row r="880" spans="1:37" s="23" customFormat="1">
      <c r="A880" s="19" t="str">
        <f>VLOOKUP(H880,Languages!$A$2:$B$430,2,FALSE)</f>
        <v>Indo-European</v>
      </c>
      <c r="B880" s="19" t="s">
        <v>67</v>
      </c>
      <c r="C880" s="19" t="s">
        <v>1012</v>
      </c>
      <c r="D880" s="19" t="s">
        <v>2828</v>
      </c>
      <c r="E880" s="20" t="s">
        <v>2829</v>
      </c>
      <c r="F880" s="20" t="s">
        <v>51</v>
      </c>
      <c r="G880" s="19" t="s">
        <v>2829</v>
      </c>
      <c r="H880" s="19" t="str">
        <f>VLOOKUP(G880,'languoid 4.0'!$A$1:$I$24439,2,FALSE)</f>
        <v>indo1319</v>
      </c>
      <c r="I880" s="19" t="str">
        <f>VLOOKUP(G880,'languoid 4.0'!$A$1:$I$24439,6,FALSE)</f>
        <v>language</v>
      </c>
      <c r="J880" s="20" t="s">
        <v>52</v>
      </c>
      <c r="K880" s="20" t="s">
        <v>51</v>
      </c>
      <c r="L880" s="20" t="s">
        <v>51</v>
      </c>
      <c r="M880" s="19"/>
      <c r="N880" s="19" t="s">
        <v>2830</v>
      </c>
      <c r="O880" s="20" t="s">
        <v>40</v>
      </c>
      <c r="P880" s="20" t="s">
        <v>41</v>
      </c>
      <c r="Q880" s="19" t="s">
        <v>2831</v>
      </c>
      <c r="R880" s="21" t="s">
        <v>2832</v>
      </c>
      <c r="S880" s="19" t="s">
        <v>46</v>
      </c>
      <c r="T880" s="19" t="s">
        <v>635</v>
      </c>
      <c r="U880" s="19" t="s">
        <v>636</v>
      </c>
      <c r="V880" s="19" t="s">
        <v>45</v>
      </c>
      <c r="W880" s="19"/>
      <c r="X880" s="19"/>
      <c r="Y880" s="19"/>
      <c r="Z880" s="19" t="s">
        <v>658</v>
      </c>
      <c r="AA880" s="19" t="s">
        <v>2833</v>
      </c>
      <c r="AB880" s="19" t="s">
        <v>46</v>
      </c>
      <c r="AC880" s="19" t="s">
        <v>46</v>
      </c>
      <c r="AD880" s="19" t="s">
        <v>2762</v>
      </c>
      <c r="AE880" s="19" t="s">
        <v>641</v>
      </c>
      <c r="AF880" s="19" t="s">
        <v>190</v>
      </c>
      <c r="AG880" s="19">
        <v>5</v>
      </c>
      <c r="AH880" s="19" t="s">
        <v>190</v>
      </c>
      <c r="AI880" s="19"/>
      <c r="AJ880" s="22">
        <v>43438.429814814815</v>
      </c>
      <c r="AK880" s="19" t="s">
        <v>1023</v>
      </c>
    </row>
    <row r="881" spans="1:37" s="23" customFormat="1">
      <c r="A881" s="19" t="str">
        <f>VLOOKUP(H881,Languages!$A$2:$B$430,2,FALSE)</f>
        <v>Indo-European</v>
      </c>
      <c r="B881" s="19" t="s">
        <v>67</v>
      </c>
      <c r="C881" s="19" t="s">
        <v>7017</v>
      </c>
      <c r="D881" s="19" t="s">
        <v>7043</v>
      </c>
      <c r="E881" s="20" t="s">
        <v>7044</v>
      </c>
      <c r="F881" s="20" t="s">
        <v>7045</v>
      </c>
      <c r="G881" s="19" t="s">
        <v>7044</v>
      </c>
      <c r="H881" s="19" t="str">
        <f>VLOOKUP(G881,'languoid 4.0'!$A$1:$I$24439,2,FALSE)</f>
        <v>indo1319</v>
      </c>
      <c r="I881" s="19" t="str">
        <f>VLOOKUP(G881,'languoid 4.0'!$A$1:$I$24439,6,FALSE)</f>
        <v>language</v>
      </c>
      <c r="J881" s="20" t="s">
        <v>52</v>
      </c>
      <c r="K881" s="20" t="s">
        <v>38</v>
      </c>
      <c r="L881" s="20" t="s">
        <v>38</v>
      </c>
      <c r="M881" s="19"/>
      <c r="N881" s="19" t="s">
        <v>7046</v>
      </c>
      <c r="O881" s="20" t="s">
        <v>40</v>
      </c>
      <c r="P881" s="20" t="s">
        <v>41</v>
      </c>
      <c r="Q881" s="19" t="s">
        <v>7047</v>
      </c>
      <c r="R881" s="21" t="s">
        <v>7048</v>
      </c>
      <c r="S881" s="19" t="s">
        <v>46</v>
      </c>
      <c r="T881" s="19" t="s">
        <v>635</v>
      </c>
      <c r="U881" s="19" t="s">
        <v>636</v>
      </c>
      <c r="V881" s="19" t="s">
        <v>45</v>
      </c>
      <c r="W881" s="19"/>
      <c r="X881" s="19"/>
      <c r="Y881" s="19"/>
      <c r="Z881" s="19" t="s">
        <v>637</v>
      </c>
      <c r="AA881" s="19" t="s">
        <v>7049</v>
      </c>
      <c r="AB881" s="19" t="s">
        <v>7050</v>
      </c>
      <c r="AC881" s="19" t="s">
        <v>46</v>
      </c>
      <c r="AD881" s="19"/>
      <c r="AE881" s="19" t="s">
        <v>641</v>
      </c>
      <c r="AF881" s="19" t="s">
        <v>190</v>
      </c>
      <c r="AG881" s="19">
        <v>5</v>
      </c>
      <c r="AH881" s="19" t="s">
        <v>190</v>
      </c>
      <c r="AI881" s="19"/>
      <c r="AJ881" s="22">
        <v>43139.772337962961</v>
      </c>
      <c r="AK881" s="19" t="s">
        <v>7022</v>
      </c>
    </row>
    <row r="882" spans="1:37" s="23" customFormat="1">
      <c r="A882" s="19" t="str">
        <f>VLOOKUP(H882,Languages!$A$2:$B$430,2,FALSE)</f>
        <v>Indo-European</v>
      </c>
      <c r="B882" s="19" t="s">
        <v>67</v>
      </c>
      <c r="C882" s="19" t="s">
        <v>7017</v>
      </c>
      <c r="D882" s="19" t="s">
        <v>7043</v>
      </c>
      <c r="E882" s="20" t="s">
        <v>7044</v>
      </c>
      <c r="F882" s="20" t="s">
        <v>7045</v>
      </c>
      <c r="G882" s="19" t="s">
        <v>7044</v>
      </c>
      <c r="H882" s="19" t="str">
        <f>VLOOKUP(G882,'languoid 4.0'!$A$1:$I$24439,2,FALSE)</f>
        <v>indo1319</v>
      </c>
      <c r="I882" s="19" t="str">
        <f>VLOOKUP(G882,'languoid 4.0'!$A$1:$I$24439,6,FALSE)</f>
        <v>language</v>
      </c>
      <c r="J882" s="20" t="s">
        <v>52</v>
      </c>
      <c r="K882" s="20" t="s">
        <v>38</v>
      </c>
      <c r="L882" s="20" t="s">
        <v>38</v>
      </c>
      <c r="M882" s="19"/>
      <c r="N882" s="19" t="s">
        <v>7046</v>
      </c>
      <c r="O882" s="20" t="s">
        <v>40</v>
      </c>
      <c r="P882" s="20" t="s">
        <v>41</v>
      </c>
      <c r="Q882" s="19" t="s">
        <v>7051</v>
      </c>
      <c r="R882" s="21" t="s">
        <v>7052</v>
      </c>
      <c r="S882" s="19" t="s">
        <v>46</v>
      </c>
      <c r="T882" s="19" t="s">
        <v>635</v>
      </c>
      <c r="U882" s="19" t="s">
        <v>636</v>
      </c>
      <c r="V882" s="19" t="s">
        <v>45</v>
      </c>
      <c r="W882" s="19"/>
      <c r="X882" s="19"/>
      <c r="Y882" s="19"/>
      <c r="Z882" s="19" t="s">
        <v>637</v>
      </c>
      <c r="AA882" s="19" t="s">
        <v>7053</v>
      </c>
      <c r="AB882" s="19" t="s">
        <v>7054</v>
      </c>
      <c r="AC882" s="19" t="s">
        <v>46</v>
      </c>
      <c r="AD882" s="19"/>
      <c r="AE882" s="19" t="s">
        <v>641</v>
      </c>
      <c r="AF882" s="19" t="s">
        <v>190</v>
      </c>
      <c r="AG882" s="19">
        <v>4</v>
      </c>
      <c r="AH882" s="19" t="s">
        <v>190</v>
      </c>
      <c r="AI882" s="19"/>
      <c r="AJ882" s="22">
        <v>43139.774884259263</v>
      </c>
      <c r="AK882" s="19" t="s">
        <v>7022</v>
      </c>
    </row>
    <row r="883" spans="1:37" s="23" customFormat="1">
      <c r="A883" s="19" t="str">
        <f>VLOOKUP(H883,Languages!$A$2:$B$430,2,FALSE)</f>
        <v>Indo-European</v>
      </c>
      <c r="B883" s="19" t="s">
        <v>67</v>
      </c>
      <c r="C883" s="19" t="s">
        <v>154</v>
      </c>
      <c r="D883" s="19" t="s">
        <v>6366</v>
      </c>
      <c r="E883" s="20" t="s">
        <v>239</v>
      </c>
      <c r="F883" s="20" t="s">
        <v>239</v>
      </c>
      <c r="G883" s="19" t="s">
        <v>239</v>
      </c>
      <c r="H883" s="19" t="str">
        <f>VLOOKUP(G883,'languoid 4.0'!$A$1:$I$24439,2,FALSE)</f>
        <v>indo1319</v>
      </c>
      <c r="I883" s="19" t="str">
        <f>VLOOKUP(G883,'languoid 4.0'!$A$1:$I$24439,6,FALSE)</f>
        <v>language</v>
      </c>
      <c r="J883" s="20" t="s">
        <v>38</v>
      </c>
      <c r="K883" s="20" t="s">
        <v>38</v>
      </c>
      <c r="L883" s="20" t="s">
        <v>38</v>
      </c>
      <c r="M883" s="19"/>
      <c r="N883" s="19" t="s">
        <v>269</v>
      </c>
      <c r="O883" s="20" t="s">
        <v>40</v>
      </c>
      <c r="P883" s="20" t="s">
        <v>41</v>
      </c>
      <c r="Q883" s="19" t="s">
        <v>6367</v>
      </c>
      <c r="R883" s="21" t="s">
        <v>6368</v>
      </c>
      <c r="S883" s="19" t="s">
        <v>6369</v>
      </c>
      <c r="T883" s="19" t="s">
        <v>648</v>
      </c>
      <c r="U883" s="19" t="s">
        <v>636</v>
      </c>
      <c r="V883" s="19" t="s">
        <v>45</v>
      </c>
      <c r="W883" s="19"/>
      <c r="X883" s="19"/>
      <c r="Y883" s="19"/>
      <c r="Z883" s="19" t="s">
        <v>637</v>
      </c>
      <c r="AA883" s="19" t="s">
        <v>6370</v>
      </c>
      <c r="AB883" s="19" t="s">
        <v>6371</v>
      </c>
      <c r="AC883" s="19" t="s">
        <v>46</v>
      </c>
      <c r="AD883" s="19"/>
      <c r="AE883" s="19" t="s">
        <v>641</v>
      </c>
      <c r="AF883" s="19" t="s">
        <v>45</v>
      </c>
      <c r="AG883" s="19">
        <v>1</v>
      </c>
      <c r="AH883" s="19" t="s">
        <v>190</v>
      </c>
      <c r="AI883" s="19"/>
      <c r="AJ883" s="22">
        <v>43288.903807870367</v>
      </c>
      <c r="AK883" s="19" t="s">
        <v>6365</v>
      </c>
    </row>
    <row r="884" spans="1:37" s="23" customFormat="1">
      <c r="A884" s="19" t="str">
        <f>VLOOKUP(H884,Languages!$A$2:$B$430,2,FALSE)</f>
        <v>Indo-European</v>
      </c>
      <c r="B884" s="19" t="s">
        <v>67</v>
      </c>
      <c r="C884" s="19" t="s">
        <v>154</v>
      </c>
      <c r="D884" s="19" t="s">
        <v>6366</v>
      </c>
      <c r="E884" s="20" t="s">
        <v>239</v>
      </c>
      <c r="F884" s="20" t="s">
        <v>239</v>
      </c>
      <c r="G884" s="19" t="s">
        <v>239</v>
      </c>
      <c r="H884" s="19" t="str">
        <f>VLOOKUP(G884,'languoid 4.0'!$A$1:$I$24439,2,FALSE)</f>
        <v>indo1319</v>
      </c>
      <c r="I884" s="19" t="str">
        <f>VLOOKUP(G884,'languoid 4.0'!$A$1:$I$24439,6,FALSE)</f>
        <v>language</v>
      </c>
      <c r="J884" s="20" t="s">
        <v>38</v>
      </c>
      <c r="K884" s="20" t="s">
        <v>38</v>
      </c>
      <c r="L884" s="20" t="s">
        <v>38</v>
      </c>
      <c r="M884" s="19"/>
      <c r="N884" s="19" t="s">
        <v>269</v>
      </c>
      <c r="O884" s="20" t="s">
        <v>40</v>
      </c>
      <c r="P884" s="20" t="s">
        <v>41</v>
      </c>
      <c r="Q884" s="19" t="s">
        <v>6372</v>
      </c>
      <c r="R884" s="21" t="s">
        <v>6373</v>
      </c>
      <c r="S884" s="19" t="s">
        <v>6016</v>
      </c>
      <c r="T884" s="19" t="s">
        <v>648</v>
      </c>
      <c r="U884" s="19" t="s">
        <v>636</v>
      </c>
      <c r="V884" s="19" t="s">
        <v>45</v>
      </c>
      <c r="W884" s="19"/>
      <c r="X884" s="19"/>
      <c r="Y884" s="19"/>
      <c r="Z884" s="19" t="s">
        <v>637</v>
      </c>
      <c r="AA884" s="19" t="s">
        <v>6374</v>
      </c>
      <c r="AB884" s="19" t="s">
        <v>6375</v>
      </c>
      <c r="AC884" s="19" t="s">
        <v>46</v>
      </c>
      <c r="AD884" s="19"/>
      <c r="AE884" s="19" t="s">
        <v>641</v>
      </c>
      <c r="AF884" s="19" t="s">
        <v>45</v>
      </c>
      <c r="AG884" s="19">
        <v>1</v>
      </c>
      <c r="AH884" s="19" t="s">
        <v>190</v>
      </c>
      <c r="AI884" s="19"/>
      <c r="AJ884" s="22">
        <v>43288.908668981479</v>
      </c>
      <c r="AK884" s="19" t="s">
        <v>6365</v>
      </c>
    </row>
    <row r="885" spans="1:37" s="23" customFormat="1">
      <c r="A885" s="19" t="str">
        <f>VLOOKUP(H885,Languages!$A$2:$B$430,2,FALSE)</f>
        <v>Indo-European</v>
      </c>
      <c r="B885" s="19" t="s">
        <v>67</v>
      </c>
      <c r="C885" s="19" t="s">
        <v>4965</v>
      </c>
      <c r="D885" s="19" t="s">
        <v>7641</v>
      </c>
      <c r="E885" s="20" t="s">
        <v>4991</v>
      </c>
      <c r="F885" s="20" t="s">
        <v>4991</v>
      </c>
      <c r="G885" s="19" t="s">
        <v>4991</v>
      </c>
      <c r="H885" s="19" t="str">
        <f>VLOOKUP(G885,'languoid 4.0'!$A$1:$I$24439,2,FALSE)</f>
        <v>indo1319</v>
      </c>
      <c r="I885" s="19" t="str">
        <f>VLOOKUP(G885,'languoid 4.0'!$A$1:$I$24439,6,FALSE)</f>
        <v>language</v>
      </c>
      <c r="J885" s="20" t="s">
        <v>38</v>
      </c>
      <c r="K885" s="20" t="s">
        <v>38</v>
      </c>
      <c r="L885" s="20" t="s">
        <v>38</v>
      </c>
      <c r="M885" s="19"/>
      <c r="N885" s="19" t="s">
        <v>7399</v>
      </c>
      <c r="O885" s="20" t="s">
        <v>40</v>
      </c>
      <c r="P885" s="20" t="s">
        <v>41</v>
      </c>
      <c r="Q885" s="19" t="s">
        <v>7642</v>
      </c>
      <c r="R885" s="21" t="s">
        <v>7643</v>
      </c>
      <c r="S885" s="19" t="s">
        <v>579</v>
      </c>
      <c r="T885" s="19" t="s">
        <v>7598</v>
      </c>
      <c r="U885" s="19" t="s">
        <v>1738</v>
      </c>
      <c r="V885" s="19" t="s">
        <v>45</v>
      </c>
      <c r="W885" s="19"/>
      <c r="X885" s="19"/>
      <c r="Y885" s="19"/>
      <c r="Z885" s="19" t="s">
        <v>673</v>
      </c>
      <c r="AA885" s="19" t="s">
        <v>7644</v>
      </c>
      <c r="AB885" s="19" t="s">
        <v>7645</v>
      </c>
      <c r="AC885" s="19" t="s">
        <v>46</v>
      </c>
      <c r="AD885" s="19" t="s">
        <v>7646</v>
      </c>
      <c r="AE885" s="19" t="s">
        <v>641</v>
      </c>
      <c r="AF885" s="19" t="s">
        <v>45</v>
      </c>
      <c r="AG885" s="19">
        <v>1</v>
      </c>
      <c r="AH885" s="19" t="s">
        <v>190</v>
      </c>
      <c r="AI885" s="19" t="s">
        <v>7639</v>
      </c>
      <c r="AJ885" s="19" t="s">
        <v>7647</v>
      </c>
      <c r="AK885" s="19" t="s">
        <v>4975</v>
      </c>
    </row>
    <row r="886" spans="1:37" s="23" customFormat="1">
      <c r="A886" s="19" t="str">
        <f>VLOOKUP(H886,Languages!$A$2:$B$430,2,FALSE)</f>
        <v>Indo-European</v>
      </c>
      <c r="B886" s="19" t="s">
        <v>67</v>
      </c>
      <c r="C886" s="19" t="s">
        <v>10200</v>
      </c>
      <c r="D886" s="19" t="s">
        <v>10201</v>
      </c>
      <c r="E886" s="20" t="s">
        <v>10202</v>
      </c>
      <c r="F886" s="20" t="s">
        <v>10202</v>
      </c>
      <c r="G886" s="19" t="s">
        <v>10202</v>
      </c>
      <c r="H886" s="19" t="str">
        <f>VLOOKUP(G886,'languoid 4.0'!$A$1:$I$24439,2,FALSE)</f>
        <v>indo1319</v>
      </c>
      <c r="I886" s="19" t="str">
        <f>VLOOKUP(G886,'languoid 4.0'!$A$1:$I$24439,6,FALSE)</f>
        <v>dialect</v>
      </c>
      <c r="J886" s="20" t="s">
        <v>38</v>
      </c>
      <c r="K886" s="20" t="s">
        <v>38</v>
      </c>
      <c r="L886" s="20" t="s">
        <v>38</v>
      </c>
      <c r="M886" s="19"/>
      <c r="N886" s="19"/>
      <c r="O886" s="20" t="s">
        <v>40</v>
      </c>
      <c r="P886" s="20" t="s">
        <v>41</v>
      </c>
      <c r="Q886" s="19" t="s">
        <v>10203</v>
      </c>
      <c r="R886" s="21" t="s">
        <v>10204</v>
      </c>
      <c r="S886" s="19" t="s">
        <v>46</v>
      </c>
      <c r="T886" s="19" t="s">
        <v>635</v>
      </c>
      <c r="U886" s="19" t="s">
        <v>636</v>
      </c>
      <c r="V886" s="19" t="s">
        <v>45</v>
      </c>
      <c r="W886" s="19"/>
      <c r="X886" s="19"/>
      <c r="Y886" s="19"/>
      <c r="Z886" s="19" t="s">
        <v>673</v>
      </c>
      <c r="AA886" s="19" t="s">
        <v>46</v>
      </c>
      <c r="AB886" s="19" t="s">
        <v>10205</v>
      </c>
      <c r="AC886" s="19" t="s">
        <v>46</v>
      </c>
      <c r="AD886" s="19"/>
      <c r="AE886" s="19" t="s">
        <v>641</v>
      </c>
      <c r="AF886" s="19" t="s">
        <v>190</v>
      </c>
      <c r="AG886" s="19">
        <v>6</v>
      </c>
      <c r="AH886" s="19" t="s">
        <v>190</v>
      </c>
      <c r="AI886" s="19"/>
      <c r="AJ886" s="19" t="s">
        <v>10206</v>
      </c>
      <c r="AK886" s="19" t="s">
        <v>4945</v>
      </c>
    </row>
    <row r="887" spans="1:37" s="23" customFormat="1">
      <c r="A887" s="19" t="str">
        <f>VLOOKUP(H887,Languages!$A$2:$B$430,2,FALSE)</f>
        <v>Indo-European</v>
      </c>
      <c r="B887" s="19" t="s">
        <v>67</v>
      </c>
      <c r="C887" s="19" t="s">
        <v>10200</v>
      </c>
      <c r="D887" s="19" t="s">
        <v>10306</v>
      </c>
      <c r="E887" s="20" t="s">
        <v>10209</v>
      </c>
      <c r="F887" s="20" t="s">
        <v>10307</v>
      </c>
      <c r="G887" s="19" t="s">
        <v>10209</v>
      </c>
      <c r="H887" s="19" t="str">
        <f>VLOOKUP(G887,'languoid 4.0'!$A$1:$I$24439,2,FALSE)</f>
        <v>indo1319</v>
      </c>
      <c r="I887" s="19" t="str">
        <f>VLOOKUP(G887,'languoid 4.0'!$A$1:$I$24439,6,FALSE)</f>
        <v>language</v>
      </c>
      <c r="J887" s="20" t="s">
        <v>52</v>
      </c>
      <c r="K887" s="20" t="s">
        <v>38</v>
      </c>
      <c r="L887" s="20" t="s">
        <v>38</v>
      </c>
      <c r="M887" s="19"/>
      <c r="N887" s="19" t="s">
        <v>10256</v>
      </c>
      <c r="O887" s="20" t="s">
        <v>40</v>
      </c>
      <c r="P887" s="20" t="s">
        <v>41</v>
      </c>
      <c r="Q887" s="19" t="s">
        <v>10312</v>
      </c>
      <c r="R887" s="21" t="s">
        <v>10313</v>
      </c>
      <c r="S887" s="19" t="s">
        <v>46</v>
      </c>
      <c r="T887" s="19" t="s">
        <v>635</v>
      </c>
      <c r="U887" s="19" t="s">
        <v>636</v>
      </c>
      <c r="V887" s="19" t="s">
        <v>45</v>
      </c>
      <c r="W887" s="19"/>
      <c r="X887" s="19"/>
      <c r="Y887" s="19"/>
      <c r="Z887" s="19" t="s">
        <v>673</v>
      </c>
      <c r="AA887" s="19" t="s">
        <v>46</v>
      </c>
      <c r="AB887" s="19" t="s">
        <v>10314</v>
      </c>
      <c r="AC887" s="19" t="s">
        <v>46</v>
      </c>
      <c r="AD887" s="19"/>
      <c r="AE887" s="19" t="s">
        <v>641</v>
      </c>
      <c r="AF887" s="19" t="s">
        <v>190</v>
      </c>
      <c r="AG887" s="19">
        <v>5</v>
      </c>
      <c r="AH887" s="19" t="s">
        <v>190</v>
      </c>
      <c r="AI887" s="19"/>
      <c r="AJ887" s="19" t="s">
        <v>10315</v>
      </c>
      <c r="AK887" s="19" t="s">
        <v>4945</v>
      </c>
    </row>
    <row r="888" spans="1:37" s="23" customFormat="1">
      <c r="A888" s="19" t="str">
        <f>VLOOKUP(H888,Languages!$A$2:$B$430,2,FALSE)</f>
        <v>Indo-European</v>
      </c>
      <c r="B888" s="19" t="s">
        <v>67</v>
      </c>
      <c r="C888" s="19" t="s">
        <v>10200</v>
      </c>
      <c r="D888" s="19" t="s">
        <v>10331</v>
      </c>
      <c r="E888" s="20" t="s">
        <v>10209</v>
      </c>
      <c r="F888" s="20" t="s">
        <v>10209</v>
      </c>
      <c r="G888" s="19" t="s">
        <v>10209</v>
      </c>
      <c r="H888" s="19" t="str">
        <f>VLOOKUP(G888,'languoid 4.0'!$A$1:$I$24439,2,FALSE)</f>
        <v>indo1319</v>
      </c>
      <c r="I888" s="19" t="str">
        <f>VLOOKUP(G888,'languoid 4.0'!$A$1:$I$24439,6,FALSE)</f>
        <v>language</v>
      </c>
      <c r="J888" s="20" t="s">
        <v>38</v>
      </c>
      <c r="K888" s="20" t="s">
        <v>38</v>
      </c>
      <c r="L888" s="20" t="s">
        <v>38</v>
      </c>
      <c r="M888" s="19"/>
      <c r="N888" s="19" t="s">
        <v>10256</v>
      </c>
      <c r="O888" s="20" t="s">
        <v>40</v>
      </c>
      <c r="P888" s="20" t="s">
        <v>41</v>
      </c>
      <c r="Q888" s="19" t="s">
        <v>10332</v>
      </c>
      <c r="R888" s="21" t="s">
        <v>10333</v>
      </c>
      <c r="S888" s="19" t="s">
        <v>46</v>
      </c>
      <c r="T888" s="19" t="s">
        <v>635</v>
      </c>
      <c r="U888" s="19" t="s">
        <v>636</v>
      </c>
      <c r="V888" s="19" t="s">
        <v>45</v>
      </c>
      <c r="W888" s="19"/>
      <c r="X888" s="19"/>
      <c r="Y888" s="19"/>
      <c r="Z888" s="19" t="s">
        <v>673</v>
      </c>
      <c r="AA888" s="19" t="s">
        <v>46</v>
      </c>
      <c r="AB888" s="19" t="s">
        <v>10334</v>
      </c>
      <c r="AC888" s="19" t="s">
        <v>46</v>
      </c>
      <c r="AD888" s="19"/>
      <c r="AE888" s="19" t="s">
        <v>641</v>
      </c>
      <c r="AF888" s="19" t="s">
        <v>190</v>
      </c>
      <c r="AG888" s="19">
        <v>6</v>
      </c>
      <c r="AH888" s="19" t="s">
        <v>190</v>
      </c>
      <c r="AI888" s="19"/>
      <c r="AJ888" s="19" t="s">
        <v>10335</v>
      </c>
      <c r="AK888" s="19" t="s">
        <v>4945</v>
      </c>
    </row>
    <row r="889" spans="1:37" s="23" customFormat="1">
      <c r="A889" s="19" t="str">
        <f>VLOOKUP(H889,Languages!$A$2:$B$430,2,FALSE)</f>
        <v>Indo-European</v>
      </c>
      <c r="B889" s="19" t="s">
        <v>67</v>
      </c>
      <c r="C889" s="19" t="s">
        <v>10200</v>
      </c>
      <c r="D889" s="19" t="s">
        <v>10341</v>
      </c>
      <c r="E889" s="20" t="s">
        <v>10209</v>
      </c>
      <c r="F889" s="20" t="s">
        <v>10209</v>
      </c>
      <c r="G889" s="19" t="s">
        <v>10209</v>
      </c>
      <c r="H889" s="19" t="str">
        <f>VLOOKUP(G889,'languoid 4.0'!$A$1:$I$24439,2,FALSE)</f>
        <v>indo1319</v>
      </c>
      <c r="I889" s="19" t="str">
        <f>VLOOKUP(G889,'languoid 4.0'!$A$1:$I$24439,6,FALSE)</f>
        <v>language</v>
      </c>
      <c r="J889" s="20" t="s">
        <v>38</v>
      </c>
      <c r="K889" s="20" t="s">
        <v>38</v>
      </c>
      <c r="L889" s="20" t="s">
        <v>38</v>
      </c>
      <c r="M889" s="19"/>
      <c r="N889" s="19" t="s">
        <v>10256</v>
      </c>
      <c r="O889" s="20" t="s">
        <v>40</v>
      </c>
      <c r="P889" s="20" t="s">
        <v>41</v>
      </c>
      <c r="Q889" s="19" t="s">
        <v>10342</v>
      </c>
      <c r="R889" s="21" t="s">
        <v>10343</v>
      </c>
      <c r="S889" s="19" t="s">
        <v>46</v>
      </c>
      <c r="T889" s="19" t="s">
        <v>635</v>
      </c>
      <c r="U889" s="19" t="s">
        <v>636</v>
      </c>
      <c r="V889" s="19" t="s">
        <v>45</v>
      </c>
      <c r="W889" s="19"/>
      <c r="X889" s="19"/>
      <c r="Y889" s="19"/>
      <c r="Z889" s="19" t="s">
        <v>673</v>
      </c>
      <c r="AA889" s="19" t="s">
        <v>46</v>
      </c>
      <c r="AB889" s="19" t="s">
        <v>10344</v>
      </c>
      <c r="AC889" s="19" t="s">
        <v>46</v>
      </c>
      <c r="AD889" s="19"/>
      <c r="AE889" s="19" t="s">
        <v>641</v>
      </c>
      <c r="AF889" s="19" t="s">
        <v>190</v>
      </c>
      <c r="AG889" s="19">
        <v>6</v>
      </c>
      <c r="AH889" s="19" t="s">
        <v>190</v>
      </c>
      <c r="AI889" s="19"/>
      <c r="AJ889" s="19" t="s">
        <v>10345</v>
      </c>
      <c r="AK889" s="19" t="s">
        <v>4945</v>
      </c>
    </row>
    <row r="890" spans="1:37" s="23" customFormat="1">
      <c r="A890" s="19" t="str">
        <f>VLOOKUP(H890,Languages!$A$2:$B$430,2,FALSE)</f>
        <v>Indo-European</v>
      </c>
      <c r="B890" s="19" t="s">
        <v>67</v>
      </c>
      <c r="C890" s="19" t="s">
        <v>10200</v>
      </c>
      <c r="D890" s="19" t="s">
        <v>10507</v>
      </c>
      <c r="E890" s="20" t="s">
        <v>10508</v>
      </c>
      <c r="F890" s="20" t="s">
        <v>10508</v>
      </c>
      <c r="G890" s="19" t="s">
        <v>10508</v>
      </c>
      <c r="H890" s="19" t="str">
        <f>VLOOKUP(G890,'languoid 4.0'!$A$1:$I$24439,2,FALSE)</f>
        <v>indo1319</v>
      </c>
      <c r="I890" s="19" t="str">
        <f>VLOOKUP(G890,'languoid 4.0'!$A$1:$I$24439,6,FALSE)</f>
        <v>language</v>
      </c>
      <c r="J890" s="20" t="s">
        <v>38</v>
      </c>
      <c r="K890" s="20" t="s">
        <v>38</v>
      </c>
      <c r="L890" s="20" t="s">
        <v>38</v>
      </c>
      <c r="M890" s="19"/>
      <c r="N890" s="19" t="s">
        <v>10509</v>
      </c>
      <c r="O890" s="20" t="s">
        <v>40</v>
      </c>
      <c r="P890" s="20" t="s">
        <v>41</v>
      </c>
      <c r="Q890" s="19" t="s">
        <v>10510</v>
      </c>
      <c r="R890" s="21" t="s">
        <v>10511</v>
      </c>
      <c r="S890" s="19" t="s">
        <v>46</v>
      </c>
      <c r="T890" s="19" t="s">
        <v>635</v>
      </c>
      <c r="U890" s="19" t="s">
        <v>636</v>
      </c>
      <c r="V890" s="19" t="s">
        <v>45</v>
      </c>
      <c r="W890" s="19"/>
      <c r="X890" s="19"/>
      <c r="Y890" s="19"/>
      <c r="Z890" s="19" t="s">
        <v>673</v>
      </c>
      <c r="AA890" s="19" t="s">
        <v>46</v>
      </c>
      <c r="AB890" s="19" t="s">
        <v>10512</v>
      </c>
      <c r="AC890" s="19" t="s">
        <v>46</v>
      </c>
      <c r="AD890" s="19"/>
      <c r="AE890" s="19" t="s">
        <v>641</v>
      </c>
      <c r="AF890" s="19" t="s">
        <v>190</v>
      </c>
      <c r="AG890" s="19">
        <v>6</v>
      </c>
      <c r="AH890" s="19" t="s">
        <v>190</v>
      </c>
      <c r="AI890" s="19"/>
      <c r="AJ890" s="19" t="s">
        <v>10513</v>
      </c>
      <c r="AK890" s="19" t="s">
        <v>4945</v>
      </c>
    </row>
    <row r="891" spans="1:37" s="23" customFormat="1">
      <c r="A891" s="19" t="str">
        <f>VLOOKUP(H891,Languages!$A$2:$B$430,2,FALSE)</f>
        <v>Indo-European</v>
      </c>
      <c r="B891" s="19" t="s">
        <v>67</v>
      </c>
      <c r="C891" s="19" t="s">
        <v>5463</v>
      </c>
      <c r="D891" s="19" t="s">
        <v>8190</v>
      </c>
      <c r="E891" s="20" t="s">
        <v>239</v>
      </c>
      <c r="F891" s="20" t="s">
        <v>239</v>
      </c>
      <c r="G891" s="19" t="s">
        <v>239</v>
      </c>
      <c r="H891" s="19" t="str">
        <f>VLOOKUP(G891,'languoid 4.0'!$A$1:$I$24439,2,FALSE)</f>
        <v>indo1319</v>
      </c>
      <c r="I891" s="19" t="str">
        <f>VLOOKUP(G891,'languoid 4.0'!$A$1:$I$24439,6,FALSE)</f>
        <v>language</v>
      </c>
      <c r="J891" s="20" t="s">
        <v>38</v>
      </c>
      <c r="K891" s="20" t="s">
        <v>38</v>
      </c>
      <c r="L891" s="20" t="s">
        <v>38</v>
      </c>
      <c r="M891" s="19"/>
      <c r="N891" s="19" t="s">
        <v>269</v>
      </c>
      <c r="O891" s="20" t="s">
        <v>40</v>
      </c>
      <c r="P891" s="20" t="s">
        <v>41</v>
      </c>
      <c r="Q891" s="19" t="s">
        <v>8191</v>
      </c>
      <c r="R891" s="21" t="s">
        <v>7552</v>
      </c>
      <c r="S891" s="19" t="s">
        <v>399</v>
      </c>
      <c r="T891" s="19" t="s">
        <v>754</v>
      </c>
      <c r="U891" s="19" t="s">
        <v>636</v>
      </c>
      <c r="V891" s="19" t="s">
        <v>45</v>
      </c>
      <c r="W891" s="19"/>
      <c r="X891" s="19"/>
      <c r="Y891" s="19"/>
      <c r="Z891" s="19" t="s">
        <v>658</v>
      </c>
      <c r="AA891" s="19" t="s">
        <v>8192</v>
      </c>
      <c r="AB891" s="19" t="s">
        <v>46</v>
      </c>
      <c r="AC891" s="19" t="s">
        <v>46</v>
      </c>
      <c r="AD891" s="19" t="s">
        <v>8193</v>
      </c>
      <c r="AE891" s="19" t="s">
        <v>641</v>
      </c>
      <c r="AF891" s="19" t="s">
        <v>190</v>
      </c>
      <c r="AG891" s="19">
        <v>6</v>
      </c>
      <c r="AH891" s="19" t="s">
        <v>190</v>
      </c>
      <c r="AI891" s="19" t="s">
        <v>8194</v>
      </c>
      <c r="AJ891" s="19" t="s">
        <v>8195</v>
      </c>
      <c r="AK891" s="19" t="s">
        <v>5472</v>
      </c>
    </row>
    <row r="892" spans="1:37" s="23" customFormat="1">
      <c r="A892" s="19" t="str">
        <f>VLOOKUP(H892,Languages!$A$2:$B$430,2,FALSE)</f>
        <v>Indo-European</v>
      </c>
      <c r="B892" s="19" t="s">
        <v>67</v>
      </c>
      <c r="C892" s="19" t="s">
        <v>1405</v>
      </c>
      <c r="D892" s="19" t="s">
        <v>1423</v>
      </c>
      <c r="E892" s="20" t="s">
        <v>1407</v>
      </c>
      <c r="F892" s="20" t="s">
        <v>1407</v>
      </c>
      <c r="G892" s="19" t="s">
        <v>1407</v>
      </c>
      <c r="H892" s="19" t="str">
        <f>VLOOKUP(G892,'languoid 4.0'!$A$1:$I$24439,2,FALSE)</f>
        <v>indo1319</v>
      </c>
      <c r="I892" s="19" t="str">
        <f>VLOOKUP(G892,'languoid 4.0'!$A$1:$I$24439,6,FALSE)</f>
        <v>language</v>
      </c>
      <c r="J892" s="20" t="s">
        <v>38</v>
      </c>
      <c r="K892" s="20" t="s">
        <v>38</v>
      </c>
      <c r="L892" s="20" t="s">
        <v>38</v>
      </c>
      <c r="M892" s="19"/>
      <c r="N892" s="19" t="s">
        <v>1409</v>
      </c>
      <c r="O892" s="20" t="s">
        <v>40</v>
      </c>
      <c r="P892" s="20" t="s">
        <v>41</v>
      </c>
      <c r="Q892" s="19" t="s">
        <v>1424</v>
      </c>
      <c r="R892" s="21" t="s">
        <v>1425</v>
      </c>
      <c r="S892" s="19" t="s">
        <v>1021</v>
      </c>
      <c r="T892" s="19" t="s">
        <v>635</v>
      </c>
      <c r="U892" s="19" t="s">
        <v>636</v>
      </c>
      <c r="V892" s="19" t="s">
        <v>45</v>
      </c>
      <c r="W892" s="19"/>
      <c r="X892" s="19"/>
      <c r="Y892" s="19"/>
      <c r="Z892" s="19" t="s">
        <v>637</v>
      </c>
      <c r="AA892" s="19" t="s">
        <v>1426</v>
      </c>
      <c r="AB892" s="19" t="s">
        <v>1427</v>
      </c>
      <c r="AC892" s="19" t="s">
        <v>1021</v>
      </c>
      <c r="AD892" s="19" t="s">
        <v>1428</v>
      </c>
      <c r="AE892" s="19" t="s">
        <v>641</v>
      </c>
      <c r="AF892" s="19" t="s">
        <v>190</v>
      </c>
      <c r="AG892" s="19">
        <v>5</v>
      </c>
      <c r="AH892" s="19" t="s">
        <v>190</v>
      </c>
      <c r="AI892" s="19"/>
      <c r="AJ892" s="19" t="s">
        <v>1429</v>
      </c>
      <c r="AK892" s="19" t="s">
        <v>740</v>
      </c>
    </row>
    <row r="893" spans="1:37" s="23" customFormat="1">
      <c r="A893" s="19" t="str">
        <f>VLOOKUP(H893,Languages!$A$2:$B$430,2,FALSE)</f>
        <v>Indo-European</v>
      </c>
      <c r="B893" s="19" t="s">
        <v>67</v>
      </c>
      <c r="C893" s="19" t="s">
        <v>1405</v>
      </c>
      <c r="D893" s="19" t="s">
        <v>1423</v>
      </c>
      <c r="E893" s="20" t="s">
        <v>1407</v>
      </c>
      <c r="F893" s="20" t="s">
        <v>1407</v>
      </c>
      <c r="G893" s="19" t="s">
        <v>1407</v>
      </c>
      <c r="H893" s="19" t="str">
        <f>VLOOKUP(G893,'languoid 4.0'!$A$1:$I$24439,2,FALSE)</f>
        <v>indo1319</v>
      </c>
      <c r="I893" s="19" t="str">
        <f>VLOOKUP(G893,'languoid 4.0'!$A$1:$I$24439,6,FALSE)</f>
        <v>language</v>
      </c>
      <c r="J893" s="20" t="s">
        <v>38</v>
      </c>
      <c r="K893" s="20" t="s">
        <v>38</v>
      </c>
      <c r="L893" s="20" t="s">
        <v>38</v>
      </c>
      <c r="M893" s="19"/>
      <c r="N893" s="19" t="s">
        <v>1409</v>
      </c>
      <c r="O893" s="20" t="s">
        <v>40</v>
      </c>
      <c r="P893" s="20" t="s">
        <v>41</v>
      </c>
      <c r="Q893" s="19" t="s">
        <v>1430</v>
      </c>
      <c r="R893" s="21" t="s">
        <v>1431</v>
      </c>
      <c r="S893" s="19" t="s">
        <v>1021</v>
      </c>
      <c r="T893" s="19" t="s">
        <v>635</v>
      </c>
      <c r="U893" s="19" t="s">
        <v>636</v>
      </c>
      <c r="V893" s="19" t="s">
        <v>45</v>
      </c>
      <c r="W893" s="19"/>
      <c r="X893" s="19"/>
      <c r="Y893" s="19"/>
      <c r="Z893" s="19" t="s">
        <v>658</v>
      </c>
      <c r="AA893" s="19" t="s">
        <v>1432</v>
      </c>
      <c r="AB893" s="19" t="s">
        <v>1021</v>
      </c>
      <c r="AC893" s="19" t="s">
        <v>1021</v>
      </c>
      <c r="AD893" s="19" t="s">
        <v>1433</v>
      </c>
      <c r="AE893" s="19" t="s">
        <v>641</v>
      </c>
      <c r="AF893" s="19" t="s">
        <v>190</v>
      </c>
      <c r="AG893" s="19">
        <v>5</v>
      </c>
      <c r="AH893" s="19" t="s">
        <v>190</v>
      </c>
      <c r="AI893" s="19"/>
      <c r="AJ893" s="19" t="s">
        <v>1434</v>
      </c>
      <c r="AK893" s="19" t="s">
        <v>740</v>
      </c>
    </row>
    <row r="894" spans="1:37" s="23" customFormat="1">
      <c r="A894" s="19" t="str">
        <f>VLOOKUP(H894,Languages!$A$2:$B$430,2,FALSE)</f>
        <v>Indo-European</v>
      </c>
      <c r="B894" s="19" t="s">
        <v>67</v>
      </c>
      <c r="C894" s="19" t="s">
        <v>1405</v>
      </c>
      <c r="D894" s="19" t="s">
        <v>1481</v>
      </c>
      <c r="E894" s="20" t="s">
        <v>1482</v>
      </c>
      <c r="F894" s="20" t="s">
        <v>180</v>
      </c>
      <c r="G894" s="19" t="s">
        <v>1482</v>
      </c>
      <c r="H894" s="19" t="str">
        <f>VLOOKUP(G894,'languoid 4.0'!$A$1:$I$24439,2,FALSE)</f>
        <v>indo1319</v>
      </c>
      <c r="I894" s="19" t="str">
        <f>VLOOKUP(G894,'languoid 4.0'!$A$1:$I$24439,6,FALSE)</f>
        <v>language</v>
      </c>
      <c r="J894" s="20" t="s">
        <v>52</v>
      </c>
      <c r="K894" s="20" t="s">
        <v>52</v>
      </c>
      <c r="L894" s="20" t="s">
        <v>38</v>
      </c>
      <c r="M894" s="19"/>
      <c r="N894" s="19" t="s">
        <v>1483</v>
      </c>
      <c r="O894" s="20" t="s">
        <v>40</v>
      </c>
      <c r="P894" s="20" t="s">
        <v>41</v>
      </c>
      <c r="Q894" s="19" t="s">
        <v>1484</v>
      </c>
      <c r="R894" s="21" t="s">
        <v>1485</v>
      </c>
      <c r="S894" s="19" t="s">
        <v>1486</v>
      </c>
      <c r="T894" s="19" t="s">
        <v>754</v>
      </c>
      <c r="U894" s="19" t="s">
        <v>636</v>
      </c>
      <c r="V894" s="19" t="s">
        <v>45</v>
      </c>
      <c r="W894" s="19"/>
      <c r="X894" s="19"/>
      <c r="Y894" s="19"/>
      <c r="Z894" s="19" t="s">
        <v>658</v>
      </c>
      <c r="AA894" s="19" t="s">
        <v>1487</v>
      </c>
      <c r="AB894" s="19" t="s">
        <v>1021</v>
      </c>
      <c r="AC894" s="19" t="s">
        <v>1021</v>
      </c>
      <c r="AD894" s="19" t="s">
        <v>1488</v>
      </c>
      <c r="AE894" s="19"/>
      <c r="AF894" s="19"/>
      <c r="AG894" s="19"/>
      <c r="AH894" s="19" t="s">
        <v>45</v>
      </c>
      <c r="AI894" s="19"/>
      <c r="AJ894" s="19" t="s">
        <v>1489</v>
      </c>
      <c r="AK894" s="19" t="s">
        <v>740</v>
      </c>
    </row>
    <row r="895" spans="1:37" s="23" customFormat="1">
      <c r="A895" s="19" t="str">
        <f>VLOOKUP(H895,Languages!$A$2:$B$430,2,FALSE)</f>
        <v>Indo-European</v>
      </c>
      <c r="B895" s="19" t="s">
        <v>67</v>
      </c>
      <c r="C895" s="19" t="s">
        <v>1405</v>
      </c>
      <c r="D895" s="19" t="s">
        <v>1512</v>
      </c>
      <c r="E895" s="20" t="s">
        <v>1513</v>
      </c>
      <c r="F895" s="20" t="s">
        <v>51</v>
      </c>
      <c r="G895" s="19" t="s">
        <v>1513</v>
      </c>
      <c r="H895" s="19" t="str">
        <f>VLOOKUP(G895,'languoid 4.0'!$A$1:$I$24439,2,FALSE)</f>
        <v>indo1319</v>
      </c>
      <c r="I895" s="19" t="str">
        <f>VLOOKUP(G895,'languoid 4.0'!$A$1:$I$24439,6,FALSE)</f>
        <v>language</v>
      </c>
      <c r="J895" s="20" t="s">
        <v>52</v>
      </c>
      <c r="K895" s="20" t="s">
        <v>51</v>
      </c>
      <c r="L895" s="20" t="s">
        <v>51</v>
      </c>
      <c r="M895" s="19"/>
      <c r="N895" s="19" t="s">
        <v>1514</v>
      </c>
      <c r="O895" s="20" t="s">
        <v>40</v>
      </c>
      <c r="P895" s="20" t="s">
        <v>41</v>
      </c>
      <c r="Q895" s="19" t="s">
        <v>1546</v>
      </c>
      <c r="R895" s="21" t="s">
        <v>1547</v>
      </c>
      <c r="S895" s="19" t="s">
        <v>557</v>
      </c>
      <c r="T895" s="19" t="s">
        <v>657</v>
      </c>
      <c r="U895" s="19" t="s">
        <v>636</v>
      </c>
      <c r="V895" s="19" t="s">
        <v>45</v>
      </c>
      <c r="W895" s="19"/>
      <c r="X895" s="19"/>
      <c r="Y895" s="19"/>
      <c r="Z895" s="19" t="s">
        <v>658</v>
      </c>
      <c r="AA895" s="19" t="s">
        <v>1548</v>
      </c>
      <c r="AB895" s="19" t="s">
        <v>1021</v>
      </c>
      <c r="AC895" s="19" t="s">
        <v>1021</v>
      </c>
      <c r="AD895" s="19" t="s">
        <v>1549</v>
      </c>
      <c r="AE895" s="19" t="s">
        <v>641</v>
      </c>
      <c r="AF895" s="19" t="s">
        <v>190</v>
      </c>
      <c r="AG895" s="19">
        <v>6</v>
      </c>
      <c r="AH895" s="19" t="s">
        <v>190</v>
      </c>
      <c r="AI895" s="19"/>
      <c r="AJ895" s="19" t="s">
        <v>1550</v>
      </c>
      <c r="AK895" s="19" t="s">
        <v>740</v>
      </c>
    </row>
    <row r="896" spans="1:37" s="23" customFormat="1">
      <c r="A896" s="19" t="str">
        <f>VLOOKUP(H896,Languages!$A$2:$B$430,2,FALSE)</f>
        <v>Indo-European</v>
      </c>
      <c r="B896" s="19" t="s">
        <v>67</v>
      </c>
      <c r="C896" s="19" t="s">
        <v>1405</v>
      </c>
      <c r="D896" s="19" t="s">
        <v>1512</v>
      </c>
      <c r="E896" s="20" t="s">
        <v>1513</v>
      </c>
      <c r="F896" s="20" t="s">
        <v>51</v>
      </c>
      <c r="G896" s="19" t="s">
        <v>1513</v>
      </c>
      <c r="H896" s="19" t="str">
        <f>VLOOKUP(G896,'languoid 4.0'!$A$1:$I$24439,2,FALSE)</f>
        <v>indo1319</v>
      </c>
      <c r="I896" s="19" t="str">
        <f>VLOOKUP(G896,'languoid 4.0'!$A$1:$I$24439,6,FALSE)</f>
        <v>language</v>
      </c>
      <c r="J896" s="20" t="s">
        <v>52</v>
      </c>
      <c r="K896" s="20" t="s">
        <v>51</v>
      </c>
      <c r="L896" s="20" t="s">
        <v>51</v>
      </c>
      <c r="M896" s="19"/>
      <c r="N896" s="19" t="s">
        <v>1514</v>
      </c>
      <c r="O896" s="20" t="s">
        <v>40</v>
      </c>
      <c r="P896" s="20" t="s">
        <v>41</v>
      </c>
      <c r="Q896" s="19" t="s">
        <v>1558</v>
      </c>
      <c r="R896" s="21" t="s">
        <v>1559</v>
      </c>
      <c r="S896" s="19" t="s">
        <v>656</v>
      </c>
      <c r="T896" s="19" t="s">
        <v>657</v>
      </c>
      <c r="U896" s="19" t="s">
        <v>636</v>
      </c>
      <c r="V896" s="19" t="s">
        <v>45</v>
      </c>
      <c r="W896" s="19"/>
      <c r="X896" s="19"/>
      <c r="Y896" s="19"/>
      <c r="Z896" s="19" t="s">
        <v>637</v>
      </c>
      <c r="AA896" s="19" t="s">
        <v>1560</v>
      </c>
      <c r="AB896" s="19" t="s">
        <v>1561</v>
      </c>
      <c r="AC896" s="19" t="s">
        <v>1021</v>
      </c>
      <c r="AD896" s="19" t="s">
        <v>1562</v>
      </c>
      <c r="AE896" s="19" t="s">
        <v>641</v>
      </c>
      <c r="AF896" s="19" t="s">
        <v>190</v>
      </c>
      <c r="AG896" s="19">
        <v>6</v>
      </c>
      <c r="AH896" s="19" t="s">
        <v>190</v>
      </c>
      <c r="AI896" s="19"/>
      <c r="AJ896" s="19" t="s">
        <v>1563</v>
      </c>
      <c r="AK896" s="19" t="s">
        <v>740</v>
      </c>
    </row>
    <row r="897" spans="1:37" s="23" customFormat="1">
      <c r="A897" s="19" t="str">
        <f>VLOOKUP(H897,Languages!$A$2:$B$430,2,FALSE)</f>
        <v>Indo-European</v>
      </c>
      <c r="B897" s="19" t="s">
        <v>67</v>
      </c>
      <c r="C897" s="19" t="s">
        <v>1405</v>
      </c>
      <c r="D897" s="19" t="s">
        <v>1423</v>
      </c>
      <c r="E897" s="20" t="s">
        <v>1407</v>
      </c>
      <c r="F897" s="20" t="s">
        <v>1407</v>
      </c>
      <c r="G897" s="19" t="s">
        <v>1407</v>
      </c>
      <c r="H897" s="19" t="str">
        <f>VLOOKUP(G897,'languoid 4.0'!$A$1:$I$24439,2,FALSE)</f>
        <v>indo1319</v>
      </c>
      <c r="I897" s="19" t="str">
        <f>VLOOKUP(G897,'languoid 4.0'!$A$1:$I$24439,6,FALSE)</f>
        <v>language</v>
      </c>
      <c r="J897" s="20" t="s">
        <v>38</v>
      </c>
      <c r="K897" s="20" t="s">
        <v>38</v>
      </c>
      <c r="L897" s="20" t="s">
        <v>38</v>
      </c>
      <c r="M897" s="19"/>
      <c r="N897" s="19" t="s">
        <v>1409</v>
      </c>
      <c r="O897" s="20" t="s">
        <v>40</v>
      </c>
      <c r="P897" s="20" t="s">
        <v>632</v>
      </c>
      <c r="Q897" s="19" t="s">
        <v>1424</v>
      </c>
      <c r="R897" s="21" t="s">
        <v>3521</v>
      </c>
      <c r="S897" s="19" t="s">
        <v>46</v>
      </c>
      <c r="T897" s="19" t="s">
        <v>635</v>
      </c>
      <c r="U897" s="19" t="s">
        <v>636</v>
      </c>
      <c r="V897" s="19" t="s">
        <v>45</v>
      </c>
      <c r="W897" s="19"/>
      <c r="X897" s="19"/>
      <c r="Y897" s="19"/>
      <c r="Z897" s="19" t="s">
        <v>658</v>
      </c>
      <c r="AA897" s="19" t="s">
        <v>3522</v>
      </c>
      <c r="AB897" s="19" t="s">
        <v>46</v>
      </c>
      <c r="AC897" s="19" t="s">
        <v>46</v>
      </c>
      <c r="AD897" s="19"/>
      <c r="AE897" s="19" t="s">
        <v>641</v>
      </c>
      <c r="AF897" s="19" t="s">
        <v>190</v>
      </c>
      <c r="AG897" s="19">
        <v>5</v>
      </c>
      <c r="AH897" s="19" t="s">
        <v>190</v>
      </c>
      <c r="AI897" s="19"/>
      <c r="AJ897" s="22">
        <v>43105.305</v>
      </c>
      <c r="AK897" s="19" t="s">
        <v>1598</v>
      </c>
    </row>
    <row r="898" spans="1:37" s="23" customFormat="1">
      <c r="A898" s="19" t="str">
        <f>VLOOKUP(H898,Languages!$A$2:$B$430,2,FALSE)</f>
        <v>Indo-European</v>
      </c>
      <c r="B898" s="19" t="s">
        <v>67</v>
      </c>
      <c r="C898" s="19" t="s">
        <v>1405</v>
      </c>
      <c r="D898" s="19" t="s">
        <v>1423</v>
      </c>
      <c r="E898" s="20" t="s">
        <v>1407</v>
      </c>
      <c r="F898" s="20" t="s">
        <v>1407</v>
      </c>
      <c r="G898" s="19" t="s">
        <v>1407</v>
      </c>
      <c r="H898" s="19" t="str">
        <f>VLOOKUP(G898,'languoid 4.0'!$A$1:$I$24439,2,FALSE)</f>
        <v>indo1319</v>
      </c>
      <c r="I898" s="19" t="str">
        <f>VLOOKUP(G898,'languoid 4.0'!$A$1:$I$24439,6,FALSE)</f>
        <v>language</v>
      </c>
      <c r="J898" s="20" t="s">
        <v>38</v>
      </c>
      <c r="K898" s="20" t="s">
        <v>38</v>
      </c>
      <c r="L898" s="20" t="s">
        <v>38</v>
      </c>
      <c r="M898" s="19"/>
      <c r="N898" s="19" t="s">
        <v>1409</v>
      </c>
      <c r="O898" s="20" t="s">
        <v>40</v>
      </c>
      <c r="P898" s="20" t="s">
        <v>632</v>
      </c>
      <c r="Q898" s="19" t="s">
        <v>1430</v>
      </c>
      <c r="R898" s="21" t="s">
        <v>3526</v>
      </c>
      <c r="S898" s="19" t="s">
        <v>46</v>
      </c>
      <c r="T898" s="19" t="s">
        <v>635</v>
      </c>
      <c r="U898" s="19" t="s">
        <v>636</v>
      </c>
      <c r="V898" s="19" t="s">
        <v>45</v>
      </c>
      <c r="W898" s="19"/>
      <c r="X898" s="19"/>
      <c r="Y898" s="19"/>
      <c r="Z898" s="19" t="s">
        <v>658</v>
      </c>
      <c r="AA898" s="19" t="s">
        <v>3527</v>
      </c>
      <c r="AB898" s="19" t="s">
        <v>46</v>
      </c>
      <c r="AC898" s="19" t="s">
        <v>46</v>
      </c>
      <c r="AD898" s="21" t="s">
        <v>1431</v>
      </c>
      <c r="AE898" s="19" t="s">
        <v>641</v>
      </c>
      <c r="AF898" s="19" t="s">
        <v>190</v>
      </c>
      <c r="AG898" s="19">
        <v>6</v>
      </c>
      <c r="AH898" s="19" t="s">
        <v>190</v>
      </c>
      <c r="AI898" s="19"/>
      <c r="AJ898" s="22">
        <v>43105.309803240743</v>
      </c>
      <c r="AK898" s="19" t="s">
        <v>1598</v>
      </c>
    </row>
    <row r="899" spans="1:37" s="23" customFormat="1">
      <c r="A899" s="19" t="str">
        <f>VLOOKUP(H899,Languages!$A$2:$B$430,2,FALSE)</f>
        <v>Indo-European</v>
      </c>
      <c r="B899" s="19" t="s">
        <v>67</v>
      </c>
      <c r="C899" s="19" t="s">
        <v>407</v>
      </c>
      <c r="D899" s="19" t="s">
        <v>550</v>
      </c>
      <c r="E899" s="20" t="s">
        <v>551</v>
      </c>
      <c r="F899" s="20" t="s">
        <v>552</v>
      </c>
      <c r="G899" s="19" t="s">
        <v>551</v>
      </c>
      <c r="H899" s="19" t="str">
        <f>VLOOKUP(G899,'languoid 4.0'!$A$1:$I$24439,2,FALSE)</f>
        <v>indo1319</v>
      </c>
      <c r="I899" s="19" t="str">
        <f>VLOOKUP(G899,'languoid 4.0'!$A$1:$I$24439,6,FALSE)</f>
        <v>dialect</v>
      </c>
      <c r="J899" s="20" t="s">
        <v>52</v>
      </c>
      <c r="K899" s="20" t="s">
        <v>38</v>
      </c>
      <c r="L899" s="20" t="s">
        <v>38</v>
      </c>
      <c r="M899" s="19"/>
      <c r="N899" s="19"/>
      <c r="O899" s="20" t="s">
        <v>40</v>
      </c>
      <c r="P899" s="20" t="s">
        <v>41</v>
      </c>
      <c r="Q899" s="19" t="s">
        <v>553</v>
      </c>
      <c r="R899" s="21" t="s">
        <v>554</v>
      </c>
      <c r="S899" s="19" t="s">
        <v>555</v>
      </c>
      <c r="T899" s="19" t="s">
        <v>44</v>
      </c>
      <c r="U899" s="19"/>
      <c r="V899" s="19" t="s">
        <v>45</v>
      </c>
      <c r="W899" s="19"/>
      <c r="X899" s="19"/>
      <c r="Y899" s="19"/>
      <c r="Z899" s="19"/>
      <c r="AA899" s="19">
        <v>1</v>
      </c>
      <c r="AB899" s="19">
        <v>5</v>
      </c>
      <c r="AC899" s="19">
        <v>8</v>
      </c>
      <c r="AD899" s="19"/>
      <c r="AE899" s="19"/>
      <c r="AF899" s="19"/>
      <c r="AG899" s="19"/>
      <c r="AH899" s="19"/>
      <c r="AI899" s="19"/>
      <c r="AJ899" s="22">
        <v>43102.756365740737</v>
      </c>
      <c r="AK899" s="19" t="s">
        <v>47</v>
      </c>
    </row>
    <row r="900" spans="1:37" s="23" customFormat="1">
      <c r="A900" s="19" t="str">
        <f>VLOOKUP(H900,Languages!$A$2:$B$430,2,FALSE)</f>
        <v>Indo-European</v>
      </c>
      <c r="B900" s="19" t="s">
        <v>67</v>
      </c>
      <c r="C900" s="19" t="s">
        <v>407</v>
      </c>
      <c r="D900" s="19" t="s">
        <v>5094</v>
      </c>
      <c r="E900" s="20" t="s">
        <v>239</v>
      </c>
      <c r="F900" s="20" t="s">
        <v>552</v>
      </c>
      <c r="G900" s="19" t="s">
        <v>552</v>
      </c>
      <c r="H900" s="19" t="str">
        <f>VLOOKUP(G900,'languoid 4.0'!$A$1:$I$24439,2,FALSE)</f>
        <v>indo1319</v>
      </c>
      <c r="I900" s="19" t="str">
        <f>VLOOKUP(G900,'languoid 4.0'!$A$1:$I$24439,6,FALSE)</f>
        <v>language</v>
      </c>
      <c r="J900" s="20" t="s">
        <v>52</v>
      </c>
      <c r="K900" s="20" t="s">
        <v>38</v>
      </c>
      <c r="L900" s="20" t="s">
        <v>38</v>
      </c>
      <c r="M900" s="19"/>
      <c r="N900" s="19" t="s">
        <v>269</v>
      </c>
      <c r="O900" s="20" t="s">
        <v>40</v>
      </c>
      <c r="P900" s="20" t="s">
        <v>41</v>
      </c>
      <c r="Q900" s="19" t="s">
        <v>5095</v>
      </c>
      <c r="R900" s="21" t="s">
        <v>5096</v>
      </c>
      <c r="S900" s="19" t="s">
        <v>46</v>
      </c>
      <c r="T900" s="19" t="s">
        <v>635</v>
      </c>
      <c r="U900" s="19" t="s">
        <v>636</v>
      </c>
      <c r="V900" s="19" t="s">
        <v>45</v>
      </c>
      <c r="W900" s="19"/>
      <c r="X900" s="19"/>
      <c r="Y900" s="19"/>
      <c r="Z900" s="19" t="s">
        <v>658</v>
      </c>
      <c r="AA900" s="19" t="s">
        <v>5097</v>
      </c>
      <c r="AB900" s="19" t="s">
        <v>5098</v>
      </c>
      <c r="AC900" s="19" t="s">
        <v>46</v>
      </c>
      <c r="AD900" s="19"/>
      <c r="AE900" s="19" t="s">
        <v>641</v>
      </c>
      <c r="AF900" s="19" t="s">
        <v>190</v>
      </c>
      <c r="AG900" s="19">
        <v>5</v>
      </c>
      <c r="AH900" s="19" t="s">
        <v>190</v>
      </c>
      <c r="AI900" s="19"/>
      <c r="AJ900" s="19" t="s">
        <v>5099</v>
      </c>
      <c r="AK900" s="19" t="s">
        <v>5093</v>
      </c>
    </row>
    <row r="901" spans="1:37" s="23" customFormat="1">
      <c r="A901" s="19" t="str">
        <f>VLOOKUP(H901,Languages!$A$2:$B$430,2,FALSE)</f>
        <v>Indo-European</v>
      </c>
      <c r="B901" s="19" t="s">
        <v>67</v>
      </c>
      <c r="C901" s="19" t="s">
        <v>267</v>
      </c>
      <c r="D901" s="19" t="s">
        <v>268</v>
      </c>
      <c r="E901" s="20" t="s">
        <v>239</v>
      </c>
      <c r="F901" s="20" t="s">
        <v>239</v>
      </c>
      <c r="G901" s="19" t="s">
        <v>239</v>
      </c>
      <c r="H901" s="19" t="str">
        <f>VLOOKUP(G901,'languoid 4.0'!$A$1:$I$24439,2,FALSE)</f>
        <v>indo1319</v>
      </c>
      <c r="I901" s="19" t="str">
        <f>VLOOKUP(G901,'languoid 4.0'!$A$1:$I$24439,6,FALSE)</f>
        <v>language</v>
      </c>
      <c r="J901" s="20" t="s">
        <v>38</v>
      </c>
      <c r="K901" s="20" t="s">
        <v>38</v>
      </c>
      <c r="L901" s="20" t="s">
        <v>38</v>
      </c>
      <c r="M901" s="19"/>
      <c r="N901" s="19" t="s">
        <v>269</v>
      </c>
      <c r="O901" s="20" t="s">
        <v>40</v>
      </c>
      <c r="P901" s="20" t="s">
        <v>41</v>
      </c>
      <c r="Q901" s="19" t="s">
        <v>270</v>
      </c>
      <c r="R901" s="21" t="s">
        <v>271</v>
      </c>
      <c r="S901" s="19" t="s">
        <v>272</v>
      </c>
      <c r="T901" s="19" t="s">
        <v>44</v>
      </c>
      <c r="U901" s="19"/>
      <c r="V901" s="19" t="s">
        <v>45</v>
      </c>
      <c r="W901" s="19"/>
      <c r="X901" s="19"/>
      <c r="Y901" s="19"/>
      <c r="Z901" s="19"/>
      <c r="AA901" s="19">
        <v>19</v>
      </c>
      <c r="AB901" s="19">
        <v>19</v>
      </c>
      <c r="AC901" s="19" t="s">
        <v>46</v>
      </c>
      <c r="AD901" s="19"/>
      <c r="AE901" s="19"/>
      <c r="AF901" s="19"/>
      <c r="AG901" s="19"/>
      <c r="AH901" s="19"/>
      <c r="AI901" s="19"/>
      <c r="AJ901" s="22">
        <v>43102.738483796296</v>
      </c>
      <c r="AK901" s="19" t="s">
        <v>74</v>
      </c>
    </row>
    <row r="902" spans="1:37" s="23" customFormat="1">
      <c r="A902" s="19" t="str">
        <f>VLOOKUP(H902,Languages!$A$2:$B$430,2,FALSE)</f>
        <v>Indo-European</v>
      </c>
      <c r="B902" s="19" t="s">
        <v>67</v>
      </c>
      <c r="C902" s="19" t="s">
        <v>159</v>
      </c>
      <c r="D902" s="19" t="s">
        <v>160</v>
      </c>
      <c r="E902" s="20" t="s">
        <v>161</v>
      </c>
      <c r="F902" s="20" t="s">
        <v>161</v>
      </c>
      <c r="G902" s="19" t="s">
        <v>161</v>
      </c>
      <c r="H902" s="19" t="str">
        <f>VLOOKUP(G902,'languoid 4.0'!$A$1:$I$24439,2,FALSE)</f>
        <v>indo1319</v>
      </c>
      <c r="I902" s="19" t="str">
        <f>VLOOKUP(G902,'languoid 4.0'!$A$1:$I$24439,6,FALSE)</f>
        <v>family</v>
      </c>
      <c r="J902" s="20" t="s">
        <v>38</v>
      </c>
      <c r="K902" s="20" t="s">
        <v>38</v>
      </c>
      <c r="L902" s="20" t="s">
        <v>38</v>
      </c>
      <c r="M902" s="19"/>
      <c r="N902" s="19" t="s">
        <v>162</v>
      </c>
      <c r="O902" s="20" t="s">
        <v>113</v>
      </c>
      <c r="P902" s="20" t="s">
        <v>41</v>
      </c>
      <c r="Q902" s="19" t="s">
        <v>2728</v>
      </c>
      <c r="R902" s="21" t="s">
        <v>164</v>
      </c>
      <c r="S902" s="19" t="s">
        <v>2729</v>
      </c>
      <c r="T902" s="19" t="s">
        <v>44</v>
      </c>
      <c r="U902" s="19"/>
      <c r="V902" s="19" t="s">
        <v>45</v>
      </c>
      <c r="W902" s="19"/>
      <c r="X902" s="19"/>
      <c r="Y902" s="19"/>
      <c r="Z902" s="19" t="s">
        <v>823</v>
      </c>
      <c r="AA902" s="19">
        <v>12</v>
      </c>
      <c r="AB902" s="19">
        <v>12</v>
      </c>
      <c r="AC902" s="19">
        <v>12</v>
      </c>
      <c r="AD902" s="19"/>
      <c r="AE902" s="19"/>
      <c r="AF902" s="19"/>
      <c r="AG902" s="19"/>
      <c r="AH902" s="19"/>
      <c r="AI902" s="19"/>
      <c r="AJ902" s="22">
        <v>43347.787662037037</v>
      </c>
      <c r="AK902" s="19" t="s">
        <v>47</v>
      </c>
    </row>
    <row r="903" spans="1:37" s="23" customFormat="1">
      <c r="A903" s="19" t="str">
        <f>VLOOKUP(H903,Languages!$A$2:$B$430,2,FALSE)</f>
        <v>Indo-European</v>
      </c>
      <c r="B903" s="19" t="s">
        <v>67</v>
      </c>
      <c r="C903" s="19" t="s">
        <v>159</v>
      </c>
      <c r="D903" s="19" t="s">
        <v>4618</v>
      </c>
      <c r="E903" s="20" t="s">
        <v>4619</v>
      </c>
      <c r="F903" s="20" t="s">
        <v>4619</v>
      </c>
      <c r="G903" s="19" t="s">
        <v>4619</v>
      </c>
      <c r="H903" s="19" t="str">
        <f>VLOOKUP(G903,'languoid 4.0'!$A$1:$I$24439,2,FALSE)</f>
        <v>indo1319</v>
      </c>
      <c r="I903" s="19" t="str">
        <f>VLOOKUP(G903,'languoid 4.0'!$A$1:$I$24439,6,FALSE)</f>
        <v>language</v>
      </c>
      <c r="J903" s="20" t="s">
        <v>38</v>
      </c>
      <c r="K903" s="20" t="s">
        <v>38</v>
      </c>
      <c r="L903" s="20" t="s">
        <v>38</v>
      </c>
      <c r="M903" s="19"/>
      <c r="N903" s="19" t="s">
        <v>4620</v>
      </c>
      <c r="O903" s="20" t="s">
        <v>40</v>
      </c>
      <c r="P903" s="20" t="s">
        <v>41</v>
      </c>
      <c r="Q903" s="19" t="s">
        <v>4621</v>
      </c>
      <c r="R903" s="21" t="s">
        <v>4622</v>
      </c>
      <c r="S903" s="19" t="s">
        <v>46</v>
      </c>
      <c r="T903" s="19" t="s">
        <v>635</v>
      </c>
      <c r="U903" s="19" t="s">
        <v>636</v>
      </c>
      <c r="V903" s="19" t="s">
        <v>45</v>
      </c>
      <c r="W903" s="19"/>
      <c r="X903" s="19"/>
      <c r="Y903" s="19"/>
      <c r="Z903" s="19" t="s">
        <v>673</v>
      </c>
      <c r="AA903" s="19" t="s">
        <v>4623</v>
      </c>
      <c r="AB903" s="19" t="s">
        <v>4624</v>
      </c>
      <c r="AC903" s="19" t="s">
        <v>46</v>
      </c>
      <c r="AD903" s="19"/>
      <c r="AE903" s="19" t="s">
        <v>641</v>
      </c>
      <c r="AF903" s="19" t="s">
        <v>190</v>
      </c>
      <c r="AG903" s="19">
        <v>6</v>
      </c>
      <c r="AH903" s="19" t="s">
        <v>190</v>
      </c>
      <c r="AI903" s="19"/>
      <c r="AJ903" s="22">
        <v>43318.63449074074</v>
      </c>
      <c r="AK903" s="19" t="s">
        <v>4608</v>
      </c>
    </row>
    <row r="904" spans="1:37" s="23" customFormat="1">
      <c r="A904" s="19" t="str">
        <f>VLOOKUP(H904,Languages!$A$2:$B$430,2,FALSE)</f>
        <v>Indo-European</v>
      </c>
      <c r="B904" s="19" t="s">
        <v>67</v>
      </c>
      <c r="C904" s="19" t="s">
        <v>159</v>
      </c>
      <c r="D904" s="19" t="s">
        <v>4634</v>
      </c>
      <c r="E904" s="20" t="s">
        <v>161</v>
      </c>
      <c r="F904" s="20" t="s">
        <v>4630</v>
      </c>
      <c r="G904" s="19" t="s">
        <v>161</v>
      </c>
      <c r="H904" s="19" t="str">
        <f>VLOOKUP(G904,'languoid 4.0'!$A$1:$I$24439,2,FALSE)</f>
        <v>indo1319</v>
      </c>
      <c r="I904" s="19" t="str">
        <f>VLOOKUP(G904,'languoid 4.0'!$A$1:$I$24439,6,FALSE)</f>
        <v>family</v>
      </c>
      <c r="J904" s="20" t="s">
        <v>52</v>
      </c>
      <c r="K904" s="20" t="s">
        <v>52</v>
      </c>
      <c r="L904" s="20" t="s">
        <v>52</v>
      </c>
      <c r="M904" s="19"/>
      <c r="N904" s="19" t="s">
        <v>162</v>
      </c>
      <c r="O904" s="20" t="s">
        <v>113</v>
      </c>
      <c r="P904" s="20" t="s">
        <v>41</v>
      </c>
      <c r="Q904" s="19" t="s">
        <v>4635</v>
      </c>
      <c r="R904" s="21" t="s">
        <v>4636</v>
      </c>
      <c r="S904" s="19" t="s">
        <v>46</v>
      </c>
      <c r="T904" s="19" t="s">
        <v>648</v>
      </c>
      <c r="U904" s="19" t="s">
        <v>636</v>
      </c>
      <c r="V904" s="19" t="s">
        <v>45</v>
      </c>
      <c r="W904" s="19"/>
      <c r="X904" s="19"/>
      <c r="Y904" s="19"/>
      <c r="Z904" s="19" t="s">
        <v>637</v>
      </c>
      <c r="AA904" s="19" t="s">
        <v>4637</v>
      </c>
      <c r="AB904" s="19" t="s">
        <v>4638</v>
      </c>
      <c r="AC904" s="19" t="s">
        <v>46</v>
      </c>
      <c r="AD904" s="19"/>
      <c r="AE904" s="19" t="s">
        <v>641</v>
      </c>
      <c r="AF904" s="19" t="s">
        <v>190</v>
      </c>
      <c r="AG904" s="19">
        <v>6</v>
      </c>
      <c r="AH904" s="19" t="s">
        <v>190</v>
      </c>
      <c r="AI904" s="19"/>
      <c r="AJ904" s="22">
        <v>43318.643888888888</v>
      </c>
      <c r="AK904" s="19" t="s">
        <v>4608</v>
      </c>
    </row>
    <row r="905" spans="1:37" s="23" customFormat="1">
      <c r="A905" s="19" t="str">
        <f>VLOOKUP(H905,Languages!$A$2:$B$430,2,FALSE)</f>
        <v>Indo-European</v>
      </c>
      <c r="B905" s="19" t="s">
        <v>67</v>
      </c>
      <c r="C905" s="19" t="s">
        <v>159</v>
      </c>
      <c r="D905" s="19" t="s">
        <v>4797</v>
      </c>
      <c r="E905" s="20" t="s">
        <v>161</v>
      </c>
      <c r="F905" s="20" t="s">
        <v>161</v>
      </c>
      <c r="G905" s="19" t="s">
        <v>161</v>
      </c>
      <c r="H905" s="19" t="str">
        <f>VLOOKUP(G905,'languoid 4.0'!$A$1:$I$24439,2,FALSE)</f>
        <v>indo1319</v>
      </c>
      <c r="I905" s="19" t="str">
        <f>VLOOKUP(G905,'languoid 4.0'!$A$1:$I$24439,6,FALSE)</f>
        <v>family</v>
      </c>
      <c r="J905" s="20" t="s">
        <v>38</v>
      </c>
      <c r="K905" s="20" t="s">
        <v>38</v>
      </c>
      <c r="L905" s="20" t="s">
        <v>38</v>
      </c>
      <c r="M905" s="19"/>
      <c r="N905" s="19" t="s">
        <v>162</v>
      </c>
      <c r="O905" s="20" t="s">
        <v>113</v>
      </c>
      <c r="P905" s="20" t="s">
        <v>41</v>
      </c>
      <c r="Q905" s="19" t="s">
        <v>4798</v>
      </c>
      <c r="R905" s="21" t="s">
        <v>4799</v>
      </c>
      <c r="S905" s="19" t="s">
        <v>647</v>
      </c>
      <c r="T905" s="19" t="s">
        <v>657</v>
      </c>
      <c r="U905" s="19" t="s">
        <v>636</v>
      </c>
      <c r="V905" s="19" t="s">
        <v>45</v>
      </c>
      <c r="W905" s="19"/>
      <c r="X905" s="19"/>
      <c r="Y905" s="19"/>
      <c r="Z905" s="19" t="s">
        <v>658</v>
      </c>
      <c r="AA905" s="19" t="s">
        <v>4800</v>
      </c>
      <c r="AB905" s="19" t="s">
        <v>46</v>
      </c>
      <c r="AC905" s="19" t="s">
        <v>46</v>
      </c>
      <c r="AD905" s="19"/>
      <c r="AE905" s="19" t="s">
        <v>641</v>
      </c>
      <c r="AF905" s="19" t="s">
        <v>45</v>
      </c>
      <c r="AG905" s="19">
        <v>1</v>
      </c>
      <c r="AH905" s="19" t="s">
        <v>190</v>
      </c>
      <c r="AI905" s="19"/>
      <c r="AJ905" s="22">
        <v>43410.676064814812</v>
      </c>
      <c r="AK905" s="19" t="s">
        <v>4608</v>
      </c>
    </row>
    <row r="906" spans="1:37" s="23" customFormat="1">
      <c r="A906" s="19" t="str">
        <f>VLOOKUP(H906,Languages!$A$2:$B$430,2,FALSE)</f>
        <v>Indo-European</v>
      </c>
      <c r="B906" s="19" t="s">
        <v>67</v>
      </c>
      <c r="C906" s="19" t="s">
        <v>159</v>
      </c>
      <c r="D906" s="19" t="s">
        <v>4790</v>
      </c>
      <c r="E906" s="20" t="s">
        <v>161</v>
      </c>
      <c r="F906" s="20" t="s">
        <v>161</v>
      </c>
      <c r="G906" s="19" t="s">
        <v>161</v>
      </c>
      <c r="H906" s="19" t="str">
        <f>VLOOKUP(G906,'languoid 4.0'!$A$1:$I$24439,2,FALSE)</f>
        <v>indo1319</v>
      </c>
      <c r="I906" s="19" t="str">
        <f>VLOOKUP(G906,'languoid 4.0'!$A$1:$I$24439,6,FALSE)</f>
        <v>family</v>
      </c>
      <c r="J906" s="20" t="s">
        <v>38</v>
      </c>
      <c r="K906" s="20" t="s">
        <v>38</v>
      </c>
      <c r="L906" s="20" t="s">
        <v>38</v>
      </c>
      <c r="M906" s="19"/>
      <c r="N906" s="19" t="s">
        <v>162</v>
      </c>
      <c r="O906" s="20" t="s">
        <v>113</v>
      </c>
      <c r="P906" s="20" t="s">
        <v>41</v>
      </c>
      <c r="Q906" s="19" t="s">
        <v>4804</v>
      </c>
      <c r="R906" s="21" t="s">
        <v>4805</v>
      </c>
      <c r="S906" s="19" t="s">
        <v>3414</v>
      </c>
      <c r="T906" s="19" t="s">
        <v>657</v>
      </c>
      <c r="U906" s="19" t="s">
        <v>636</v>
      </c>
      <c r="V906" s="19" t="s">
        <v>45</v>
      </c>
      <c r="W906" s="19"/>
      <c r="X906" s="19"/>
      <c r="Y906" s="19"/>
      <c r="Z906" s="19" t="s">
        <v>658</v>
      </c>
      <c r="AA906" s="19" t="s">
        <v>4806</v>
      </c>
      <c r="AB906" s="19" t="s">
        <v>46</v>
      </c>
      <c r="AC906" s="19" t="s">
        <v>46</v>
      </c>
      <c r="AD906" s="19"/>
      <c r="AE906" s="19" t="s">
        <v>641</v>
      </c>
      <c r="AF906" s="19" t="s">
        <v>45</v>
      </c>
      <c r="AG906" s="19">
        <v>1</v>
      </c>
      <c r="AH906" s="19" t="s">
        <v>190</v>
      </c>
      <c r="AI906" s="19"/>
      <c r="AJ906" s="22">
        <v>43410.6796412037</v>
      </c>
      <c r="AK906" s="19" t="s">
        <v>4608</v>
      </c>
    </row>
    <row r="907" spans="1:37" s="23" customFormat="1">
      <c r="A907" s="19" t="str">
        <f>VLOOKUP(H907,Languages!$A$2:$B$430,2,FALSE)</f>
        <v>Indo-European</v>
      </c>
      <c r="B907" s="19" t="s">
        <v>67</v>
      </c>
      <c r="C907" s="19" t="s">
        <v>159</v>
      </c>
      <c r="D907" s="19" t="s">
        <v>4790</v>
      </c>
      <c r="E907" s="20" t="s">
        <v>161</v>
      </c>
      <c r="F907" s="20" t="s">
        <v>161</v>
      </c>
      <c r="G907" s="19" t="s">
        <v>161</v>
      </c>
      <c r="H907" s="19" t="str">
        <f>VLOOKUP(G907,'languoid 4.0'!$A$1:$I$24439,2,FALSE)</f>
        <v>indo1319</v>
      </c>
      <c r="I907" s="19" t="str">
        <f>VLOOKUP(G907,'languoid 4.0'!$A$1:$I$24439,6,FALSE)</f>
        <v>family</v>
      </c>
      <c r="J907" s="20" t="s">
        <v>38</v>
      </c>
      <c r="K907" s="20" t="s">
        <v>38</v>
      </c>
      <c r="L907" s="20" t="s">
        <v>38</v>
      </c>
      <c r="M907" s="19"/>
      <c r="N907" s="19" t="s">
        <v>162</v>
      </c>
      <c r="O907" s="20" t="s">
        <v>113</v>
      </c>
      <c r="P907" s="20" t="s">
        <v>41</v>
      </c>
      <c r="Q907" s="19" t="s">
        <v>4807</v>
      </c>
      <c r="R907" s="21" t="s">
        <v>4808</v>
      </c>
      <c r="S907" s="19" t="s">
        <v>56</v>
      </c>
      <c r="T907" s="19" t="s">
        <v>657</v>
      </c>
      <c r="U907" s="19" t="s">
        <v>636</v>
      </c>
      <c r="V907" s="19" t="s">
        <v>45</v>
      </c>
      <c r="W907" s="19"/>
      <c r="X907" s="19"/>
      <c r="Y907" s="19"/>
      <c r="Z907" s="19" t="s">
        <v>658</v>
      </c>
      <c r="AA907" s="19" t="s">
        <v>4809</v>
      </c>
      <c r="AB907" s="19" t="s">
        <v>46</v>
      </c>
      <c r="AC907" s="19" t="s">
        <v>46</v>
      </c>
      <c r="AD907" s="19"/>
      <c r="AE907" s="19" t="s">
        <v>641</v>
      </c>
      <c r="AF907" s="19" t="s">
        <v>45</v>
      </c>
      <c r="AG907" s="19">
        <v>1</v>
      </c>
      <c r="AH907" s="19" t="s">
        <v>190</v>
      </c>
      <c r="AI907" s="19"/>
      <c r="AJ907" s="22">
        <v>43410.681701388887</v>
      </c>
      <c r="AK907" s="19" t="s">
        <v>4608</v>
      </c>
    </row>
    <row r="908" spans="1:37" s="23" customFormat="1">
      <c r="A908" s="19" t="str">
        <f>VLOOKUP(H908,Languages!$A$2:$B$430,2,FALSE)</f>
        <v>Indo-European</v>
      </c>
      <c r="B908" s="19" t="s">
        <v>67</v>
      </c>
      <c r="C908" s="19" t="s">
        <v>419</v>
      </c>
      <c r="D908" s="19" t="s">
        <v>1996</v>
      </c>
      <c r="E908" s="20" t="s">
        <v>239</v>
      </c>
      <c r="F908" s="20" t="s">
        <v>239</v>
      </c>
      <c r="G908" s="19" t="s">
        <v>239</v>
      </c>
      <c r="H908" s="19" t="str">
        <f>VLOOKUP(G908,'languoid 4.0'!$A$1:$I$24439,2,FALSE)</f>
        <v>indo1319</v>
      </c>
      <c r="I908" s="19" t="str">
        <f>VLOOKUP(G908,'languoid 4.0'!$A$1:$I$24439,6,FALSE)</f>
        <v>language</v>
      </c>
      <c r="J908" s="20" t="s">
        <v>38</v>
      </c>
      <c r="K908" s="20" t="s">
        <v>38</v>
      </c>
      <c r="L908" s="20" t="s">
        <v>38</v>
      </c>
      <c r="M908" s="19"/>
      <c r="N908" s="19" t="s">
        <v>269</v>
      </c>
      <c r="O908" s="20" t="s">
        <v>40</v>
      </c>
      <c r="P908" s="20" t="s">
        <v>41</v>
      </c>
      <c r="Q908" s="19" t="s">
        <v>1997</v>
      </c>
      <c r="R908" s="21" t="s">
        <v>1998</v>
      </c>
      <c r="S908" s="19" t="s">
        <v>46</v>
      </c>
      <c r="T908" s="19" t="s">
        <v>635</v>
      </c>
      <c r="U908" s="19" t="s">
        <v>636</v>
      </c>
      <c r="V908" s="19" t="s">
        <v>45</v>
      </c>
      <c r="W908" s="19"/>
      <c r="X908" s="19"/>
      <c r="Y908" s="19"/>
      <c r="Z908" s="19" t="s">
        <v>673</v>
      </c>
      <c r="AA908" s="19" t="s">
        <v>1999</v>
      </c>
      <c r="AB908" s="19" t="s">
        <v>2000</v>
      </c>
      <c r="AC908" s="19" t="s">
        <v>46</v>
      </c>
      <c r="AD908" s="19"/>
      <c r="AE908" s="19" t="s">
        <v>641</v>
      </c>
      <c r="AF908" s="19" t="s">
        <v>190</v>
      </c>
      <c r="AG908" s="19">
        <v>6</v>
      </c>
      <c r="AH908" s="19" t="s">
        <v>190</v>
      </c>
      <c r="AI908" s="19"/>
      <c r="AJ908" s="19" t="s">
        <v>2001</v>
      </c>
      <c r="AK908" s="19" t="s">
        <v>1607</v>
      </c>
    </row>
    <row r="909" spans="1:37" s="23" customFormat="1">
      <c r="A909" s="19" t="str">
        <f>VLOOKUP(H909,Languages!$A$2:$B$430,2,FALSE)</f>
        <v>Indo-European</v>
      </c>
      <c r="B909" s="19" t="s">
        <v>67</v>
      </c>
      <c r="C909" s="19" t="s">
        <v>419</v>
      </c>
      <c r="D909" s="19" t="s">
        <v>1996</v>
      </c>
      <c r="E909" s="20" t="s">
        <v>239</v>
      </c>
      <c r="F909" s="20" t="s">
        <v>239</v>
      </c>
      <c r="G909" s="19" t="s">
        <v>239</v>
      </c>
      <c r="H909" s="19" t="str">
        <f>VLOOKUP(G909,'languoid 4.0'!$A$1:$I$24439,2,FALSE)</f>
        <v>indo1319</v>
      </c>
      <c r="I909" s="19" t="str">
        <f>VLOOKUP(G909,'languoid 4.0'!$A$1:$I$24439,6,FALSE)</f>
        <v>language</v>
      </c>
      <c r="J909" s="20" t="s">
        <v>38</v>
      </c>
      <c r="K909" s="20" t="s">
        <v>38</v>
      </c>
      <c r="L909" s="20" t="s">
        <v>38</v>
      </c>
      <c r="M909" s="19"/>
      <c r="N909" s="19" t="s">
        <v>269</v>
      </c>
      <c r="O909" s="20" t="s">
        <v>40</v>
      </c>
      <c r="P909" s="20" t="s">
        <v>41</v>
      </c>
      <c r="Q909" s="19" t="s">
        <v>2002</v>
      </c>
      <c r="R909" s="21" t="s">
        <v>2003</v>
      </c>
      <c r="S909" s="19" t="s">
        <v>46</v>
      </c>
      <c r="T909" s="19" t="s">
        <v>635</v>
      </c>
      <c r="U909" s="19" t="s">
        <v>636</v>
      </c>
      <c r="V909" s="19" t="s">
        <v>45</v>
      </c>
      <c r="W909" s="19"/>
      <c r="X909" s="19"/>
      <c r="Y909" s="19"/>
      <c r="Z909" s="19" t="s">
        <v>673</v>
      </c>
      <c r="AA909" s="19" t="s">
        <v>1999</v>
      </c>
      <c r="AB909" s="19" t="s">
        <v>2004</v>
      </c>
      <c r="AC909" s="19" t="s">
        <v>46</v>
      </c>
      <c r="AD909" s="19"/>
      <c r="AE909" s="19" t="s">
        <v>641</v>
      </c>
      <c r="AF909" s="19" t="s">
        <v>190</v>
      </c>
      <c r="AG909" s="19">
        <v>4</v>
      </c>
      <c r="AH909" s="19" t="s">
        <v>190</v>
      </c>
      <c r="AI909" s="19"/>
      <c r="AJ909" s="19" t="s">
        <v>2005</v>
      </c>
      <c r="AK909" s="19" t="s">
        <v>1607</v>
      </c>
    </row>
    <row r="910" spans="1:37" s="23" customFormat="1">
      <c r="A910" s="19" t="str">
        <f>VLOOKUP(H910,Languages!$A$2:$B$430,2,FALSE)</f>
        <v>Indo-European</v>
      </c>
      <c r="B910" s="19" t="s">
        <v>67</v>
      </c>
      <c r="C910" s="19" t="s">
        <v>419</v>
      </c>
      <c r="D910" s="19" t="s">
        <v>2469</v>
      </c>
      <c r="E910" s="20" t="s">
        <v>51</v>
      </c>
      <c r="F910" s="20" t="s">
        <v>239</v>
      </c>
      <c r="G910" s="19" t="s">
        <v>239</v>
      </c>
      <c r="H910" s="19" t="str">
        <f>VLOOKUP(G910,'languoid 4.0'!$A$1:$I$24439,2,FALSE)</f>
        <v>indo1319</v>
      </c>
      <c r="I910" s="19" t="str">
        <f>VLOOKUP(G910,'languoid 4.0'!$A$1:$I$24439,6,FALSE)</f>
        <v>language</v>
      </c>
      <c r="J910" s="20" t="s">
        <v>52</v>
      </c>
      <c r="K910" s="20" t="s">
        <v>51</v>
      </c>
      <c r="L910" s="20" t="s">
        <v>51</v>
      </c>
      <c r="M910" s="19"/>
      <c r="N910" s="19" t="e">
        <v>#N/A</v>
      </c>
      <c r="O910" s="20" t="s">
        <v>690</v>
      </c>
      <c r="P910" s="20"/>
      <c r="Q910" s="19" t="s">
        <v>2474</v>
      </c>
      <c r="R910" s="21" t="s">
        <v>2475</v>
      </c>
      <c r="S910" s="19" t="s">
        <v>46</v>
      </c>
      <c r="T910" s="19" t="s">
        <v>635</v>
      </c>
      <c r="U910" s="19" t="s">
        <v>636</v>
      </c>
      <c r="V910" s="19" t="s">
        <v>45</v>
      </c>
      <c r="W910" s="19"/>
      <c r="X910" s="19"/>
      <c r="Y910" s="19"/>
      <c r="Z910" s="19" t="s">
        <v>673</v>
      </c>
      <c r="AA910" s="19" t="s">
        <v>2476</v>
      </c>
      <c r="AB910" s="19" t="s">
        <v>46</v>
      </c>
      <c r="AC910" s="19" t="s">
        <v>46</v>
      </c>
      <c r="AD910" s="19" t="s">
        <v>46</v>
      </c>
      <c r="AE910" s="19" t="s">
        <v>641</v>
      </c>
      <c r="AF910" s="19" t="s">
        <v>190</v>
      </c>
      <c r="AG910" s="19">
        <v>4</v>
      </c>
      <c r="AH910" s="19" t="s">
        <v>190</v>
      </c>
      <c r="AI910" s="19" t="s">
        <v>46</v>
      </c>
      <c r="AJ910" s="22">
        <v>43135.795254629629</v>
      </c>
      <c r="AK910" s="19" t="s">
        <v>1607</v>
      </c>
    </row>
    <row r="911" spans="1:37" s="23" customFormat="1">
      <c r="A911" s="19" t="str">
        <f>VLOOKUP(H911,Languages!$A$2:$B$430,2,FALSE)</f>
        <v>Indo-European</v>
      </c>
      <c r="B911" s="19" t="s">
        <v>67</v>
      </c>
      <c r="C911" s="19" t="s">
        <v>419</v>
      </c>
      <c r="D911" s="19" t="s">
        <v>2469</v>
      </c>
      <c r="E911" s="20" t="s">
        <v>51</v>
      </c>
      <c r="F911" s="20" t="s">
        <v>239</v>
      </c>
      <c r="G911" s="19" t="s">
        <v>239</v>
      </c>
      <c r="H911" s="19" t="str">
        <f>VLOOKUP(G911,'languoid 4.0'!$A$1:$I$24439,2,FALSE)</f>
        <v>indo1319</v>
      </c>
      <c r="I911" s="19" t="str">
        <f>VLOOKUP(G911,'languoid 4.0'!$A$1:$I$24439,6,FALSE)</f>
        <v>language</v>
      </c>
      <c r="J911" s="20" t="s">
        <v>52</v>
      </c>
      <c r="K911" s="20" t="s">
        <v>51</v>
      </c>
      <c r="L911" s="20" t="s">
        <v>51</v>
      </c>
      <c r="M911" s="19"/>
      <c r="N911" s="19" t="e">
        <v>#N/A</v>
      </c>
      <c r="O911" s="20" t="s">
        <v>690</v>
      </c>
      <c r="P911" s="20"/>
      <c r="Q911" s="19" t="s">
        <v>2477</v>
      </c>
      <c r="R911" s="21" t="s">
        <v>2478</v>
      </c>
      <c r="S911" s="19" t="s">
        <v>46</v>
      </c>
      <c r="T911" s="19" t="s">
        <v>635</v>
      </c>
      <c r="U911" s="19" t="s">
        <v>636</v>
      </c>
      <c r="V911" s="19" t="s">
        <v>45</v>
      </c>
      <c r="W911" s="19"/>
      <c r="X911" s="19"/>
      <c r="Y911" s="19"/>
      <c r="Z911" s="19" t="s">
        <v>673</v>
      </c>
      <c r="AA911" s="19" t="s">
        <v>2479</v>
      </c>
      <c r="AB911" s="19" t="s">
        <v>46</v>
      </c>
      <c r="AC911" s="19" t="s">
        <v>46</v>
      </c>
      <c r="AD911" s="19" t="s">
        <v>46</v>
      </c>
      <c r="AE911" s="19" t="s">
        <v>641</v>
      </c>
      <c r="AF911" s="19" t="s">
        <v>190</v>
      </c>
      <c r="AG911" s="19">
        <v>5</v>
      </c>
      <c r="AH911" s="19" t="s">
        <v>190</v>
      </c>
      <c r="AI911" s="19" t="s">
        <v>46</v>
      </c>
      <c r="AJ911" s="22">
        <v>43135.798310185186</v>
      </c>
      <c r="AK911" s="19" t="s">
        <v>1607</v>
      </c>
    </row>
    <row r="912" spans="1:37" s="23" customFormat="1">
      <c r="A912" s="19" t="str">
        <f>VLOOKUP(H912,Languages!$A$2:$B$430,2,FALSE)</f>
        <v>Indo-European</v>
      </c>
      <c r="B912" s="19" t="s">
        <v>67</v>
      </c>
      <c r="C912" s="19" t="s">
        <v>249</v>
      </c>
      <c r="D912" s="19" t="s">
        <v>10560</v>
      </c>
      <c r="E912" s="20" t="s">
        <v>10561</v>
      </c>
      <c r="F912" s="20" t="s">
        <v>10582</v>
      </c>
      <c r="G912" s="19" t="s">
        <v>10561</v>
      </c>
      <c r="H912" s="19" t="str">
        <f>VLOOKUP(G912,'languoid 4.0'!$A$1:$I$24439,2,FALSE)</f>
        <v>indo1319</v>
      </c>
      <c r="I912" s="19" t="str">
        <f>VLOOKUP(G912,'languoid 4.0'!$A$1:$I$24439,6,FALSE)</f>
        <v>language</v>
      </c>
      <c r="J912" s="20" t="s">
        <v>52</v>
      </c>
      <c r="K912" s="20" t="s">
        <v>38</v>
      </c>
      <c r="L912" s="20" t="s">
        <v>38</v>
      </c>
      <c r="M912" s="19"/>
      <c r="N912" s="19" t="s">
        <v>10562</v>
      </c>
      <c r="O912" s="20" t="s">
        <v>40</v>
      </c>
      <c r="P912" s="20" t="s">
        <v>41</v>
      </c>
      <c r="Q912" s="19" t="s">
        <v>10583</v>
      </c>
      <c r="R912" s="21" t="s">
        <v>10584</v>
      </c>
      <c r="S912" s="19" t="s">
        <v>46</v>
      </c>
      <c r="T912" s="19" t="s">
        <v>10585</v>
      </c>
      <c r="U912" s="19" t="s">
        <v>636</v>
      </c>
      <c r="V912" s="19" t="s">
        <v>45</v>
      </c>
      <c r="W912" s="19"/>
      <c r="X912" s="19"/>
      <c r="Y912" s="19"/>
      <c r="Z912" s="19" t="s">
        <v>637</v>
      </c>
      <c r="AA912" s="19" t="s">
        <v>10586</v>
      </c>
      <c r="AB912" s="19" t="s">
        <v>46</v>
      </c>
      <c r="AC912" s="19" t="s">
        <v>46</v>
      </c>
      <c r="AD912" s="21" t="s">
        <v>10587</v>
      </c>
      <c r="AE912" s="19" t="s">
        <v>641</v>
      </c>
      <c r="AF912" s="19" t="s">
        <v>190</v>
      </c>
      <c r="AG912" s="19">
        <v>6</v>
      </c>
      <c r="AH912" s="19" t="s">
        <v>190</v>
      </c>
      <c r="AI912" s="19"/>
      <c r="AJ912" s="19" t="s">
        <v>10588</v>
      </c>
      <c r="AK912" s="19" t="s">
        <v>5640</v>
      </c>
    </row>
    <row r="913" spans="1:37" s="23" customFormat="1">
      <c r="A913" s="19" t="str">
        <f>VLOOKUP(H913,Languages!$A$2:$B$430,2,FALSE)</f>
        <v>Indo-European</v>
      </c>
      <c r="B913" s="19" t="s">
        <v>67</v>
      </c>
      <c r="C913" s="19" t="s">
        <v>249</v>
      </c>
      <c r="D913" s="19" t="s">
        <v>437</v>
      </c>
      <c r="E913" s="20" t="s">
        <v>438</v>
      </c>
      <c r="F913" s="20" t="s">
        <v>438</v>
      </c>
      <c r="G913" s="19" t="s">
        <v>438</v>
      </c>
      <c r="H913" s="19" t="str">
        <f>VLOOKUP(G913,'languoid 4.0'!$A$1:$I$24439,2,FALSE)</f>
        <v>indo1319</v>
      </c>
      <c r="I913" s="19" t="str">
        <f>VLOOKUP(G913,'languoid 4.0'!$A$1:$I$24439,6,FALSE)</f>
        <v>language</v>
      </c>
      <c r="J913" s="20" t="s">
        <v>38</v>
      </c>
      <c r="K913" s="20" t="s">
        <v>38</v>
      </c>
      <c r="L913" s="20" t="s">
        <v>38</v>
      </c>
      <c r="M913" s="19"/>
      <c r="N913" s="19" t="s">
        <v>10554</v>
      </c>
      <c r="O913" s="20" t="s">
        <v>40</v>
      </c>
      <c r="P913" s="20" t="s">
        <v>41</v>
      </c>
      <c r="Q913" s="19" t="s">
        <v>11532</v>
      </c>
      <c r="R913" s="21" t="s">
        <v>11533</v>
      </c>
      <c r="S913" s="19" t="s">
        <v>647</v>
      </c>
      <c r="T913" s="19" t="s">
        <v>657</v>
      </c>
      <c r="U913" s="19" t="s">
        <v>636</v>
      </c>
      <c r="V913" s="19" t="s">
        <v>45</v>
      </c>
      <c r="W913" s="19"/>
      <c r="X913" s="19"/>
      <c r="Y913" s="19"/>
      <c r="Z913" s="19" t="s">
        <v>673</v>
      </c>
      <c r="AA913" s="19" t="s">
        <v>46</v>
      </c>
      <c r="AB913" s="19" t="s">
        <v>11534</v>
      </c>
      <c r="AC913" s="19" t="s">
        <v>46</v>
      </c>
      <c r="AD913" s="19"/>
      <c r="AE913" s="19" t="s">
        <v>641</v>
      </c>
      <c r="AF913" s="19" t="s">
        <v>190</v>
      </c>
      <c r="AG913" s="19">
        <v>6</v>
      </c>
      <c r="AH913" s="19" t="s">
        <v>190</v>
      </c>
      <c r="AI913" s="19"/>
      <c r="AJ913" s="22">
        <v>43525.909004629626</v>
      </c>
      <c r="AK913" s="19" t="s">
        <v>5640</v>
      </c>
    </row>
    <row r="914" spans="1:37" s="23" customFormat="1">
      <c r="A914" s="19" t="str">
        <f>VLOOKUP(H914,Languages!$A$2:$B$430,2,FALSE)</f>
        <v>Indo-European</v>
      </c>
      <c r="B914" s="19" t="s">
        <v>67</v>
      </c>
      <c r="C914" s="19" t="s">
        <v>124</v>
      </c>
      <c r="D914" s="19" t="s">
        <v>1127</v>
      </c>
      <c r="E914" s="20" t="s">
        <v>1128</v>
      </c>
      <c r="F914" s="20" t="s">
        <v>51</v>
      </c>
      <c r="G914" s="19" t="s">
        <v>1129</v>
      </c>
      <c r="H914" s="19" t="str">
        <f>VLOOKUP(G914,'languoid 4.0'!$A$1:$I$24439,2,FALSE)</f>
        <v>indo1319</v>
      </c>
      <c r="I914" s="19" t="str">
        <f>VLOOKUP(G914,'languoid 4.0'!$A$1:$I$24439,6,FALSE)</f>
        <v>language</v>
      </c>
      <c r="J914" s="20" t="s">
        <v>52</v>
      </c>
      <c r="K914" s="20" t="s">
        <v>51</v>
      </c>
      <c r="L914" s="20" t="s">
        <v>51</v>
      </c>
      <c r="M914" s="19"/>
      <c r="N914" s="19" t="s">
        <v>1130</v>
      </c>
      <c r="O914" s="20" t="s">
        <v>40</v>
      </c>
      <c r="P914" s="20" t="s">
        <v>41</v>
      </c>
      <c r="Q914" s="19" t="s">
        <v>1131</v>
      </c>
      <c r="R914" s="21" t="s">
        <v>1132</v>
      </c>
      <c r="S914" s="19" t="s">
        <v>46</v>
      </c>
      <c r="T914" s="19" t="s">
        <v>635</v>
      </c>
      <c r="U914" s="19" t="s">
        <v>636</v>
      </c>
      <c r="V914" s="19" t="s">
        <v>45</v>
      </c>
      <c r="W914" s="19"/>
      <c r="X914" s="19"/>
      <c r="Y914" s="19"/>
      <c r="Z914" s="19" t="s">
        <v>658</v>
      </c>
      <c r="AA914" s="19" t="s">
        <v>1133</v>
      </c>
      <c r="AB914" s="19" t="s">
        <v>46</v>
      </c>
      <c r="AC914" s="19" t="s">
        <v>46</v>
      </c>
      <c r="AD914" s="19" t="s">
        <v>1134</v>
      </c>
      <c r="AE914" s="19" t="s">
        <v>641</v>
      </c>
      <c r="AF914" s="19" t="s">
        <v>190</v>
      </c>
      <c r="AG914" s="19">
        <v>5</v>
      </c>
      <c r="AH914" s="19" t="s">
        <v>190</v>
      </c>
      <c r="AI914" s="19"/>
      <c r="AJ914" s="19" t="s">
        <v>1135</v>
      </c>
      <c r="AK914" s="19" t="s">
        <v>1126</v>
      </c>
    </row>
    <row r="915" spans="1:37" s="23" customFormat="1">
      <c r="A915" s="19" t="str">
        <f>VLOOKUP(H915,Languages!$A$2:$B$430,2,FALSE)</f>
        <v>Indo-European</v>
      </c>
      <c r="B915" s="19" t="s">
        <v>67</v>
      </c>
      <c r="C915" s="19" t="s">
        <v>124</v>
      </c>
      <c r="D915" s="19" t="s">
        <v>2185</v>
      </c>
      <c r="E915" s="20" t="s">
        <v>2186</v>
      </c>
      <c r="F915" s="20" t="s">
        <v>2187</v>
      </c>
      <c r="G915" s="19" t="s">
        <v>2186</v>
      </c>
      <c r="H915" s="19" t="str">
        <f>VLOOKUP(G915,'languoid 4.0'!$A$1:$I$24439,2,FALSE)</f>
        <v>indo1319</v>
      </c>
      <c r="I915" s="19" t="str">
        <f>VLOOKUP(G915,'languoid 4.0'!$A$1:$I$24439,6,FALSE)</f>
        <v>language</v>
      </c>
      <c r="J915" s="20" t="s">
        <v>52</v>
      </c>
      <c r="K915" s="20" t="s">
        <v>38</v>
      </c>
      <c r="L915" s="20" t="s">
        <v>38</v>
      </c>
      <c r="M915" s="19"/>
      <c r="N915" s="19" t="s">
        <v>2188</v>
      </c>
      <c r="O915" s="20" t="s">
        <v>40</v>
      </c>
      <c r="P915" s="20" t="s">
        <v>41</v>
      </c>
      <c r="Q915" s="19" t="s">
        <v>2189</v>
      </c>
      <c r="R915" s="21" t="s">
        <v>2190</v>
      </c>
      <c r="S915" s="19" t="s">
        <v>1314</v>
      </c>
      <c r="T915" s="19" t="s">
        <v>635</v>
      </c>
      <c r="U915" s="19" t="s">
        <v>2191</v>
      </c>
      <c r="V915" s="19" t="s">
        <v>45</v>
      </c>
      <c r="W915" s="19"/>
      <c r="X915" s="19"/>
      <c r="Y915" s="19"/>
      <c r="Z915" s="19" t="s">
        <v>658</v>
      </c>
      <c r="AA915" s="19" t="s">
        <v>2192</v>
      </c>
      <c r="AB915" s="19" t="s">
        <v>46</v>
      </c>
      <c r="AC915" s="19" t="s">
        <v>46</v>
      </c>
      <c r="AD915" s="19" t="s">
        <v>2193</v>
      </c>
      <c r="AE915" s="19" t="s">
        <v>641</v>
      </c>
      <c r="AF915" s="19" t="s">
        <v>190</v>
      </c>
      <c r="AG915" s="19">
        <v>4</v>
      </c>
      <c r="AH915" s="19" t="s">
        <v>190</v>
      </c>
      <c r="AI915" s="19"/>
      <c r="AJ915" s="19" t="s">
        <v>2194</v>
      </c>
      <c r="AK915" s="19" t="s">
        <v>1126</v>
      </c>
    </row>
    <row r="916" spans="1:37" s="23" customFormat="1">
      <c r="A916" s="19" t="str">
        <f>VLOOKUP(H916,Languages!$A$2:$B$430,2,FALSE)</f>
        <v>Indo-European</v>
      </c>
      <c r="B916" s="19" t="s">
        <v>67</v>
      </c>
      <c r="C916" s="19" t="s">
        <v>124</v>
      </c>
      <c r="D916" s="19" t="s">
        <v>7472</v>
      </c>
      <c r="E916" s="20" t="s">
        <v>7473</v>
      </c>
      <c r="F916" s="20" t="s">
        <v>7473</v>
      </c>
      <c r="G916" s="19" t="s">
        <v>7473</v>
      </c>
      <c r="H916" s="19" t="str">
        <f>VLOOKUP(G916,'languoid 4.0'!$A$1:$I$24439,2,FALSE)</f>
        <v>indo1319</v>
      </c>
      <c r="I916" s="19" t="str">
        <f>VLOOKUP(G916,'languoid 4.0'!$A$1:$I$24439,6,FALSE)</f>
        <v>language</v>
      </c>
      <c r="J916" s="20" t="s">
        <v>38</v>
      </c>
      <c r="K916" s="20" t="s">
        <v>38</v>
      </c>
      <c r="L916" s="20" t="s">
        <v>38</v>
      </c>
      <c r="M916" s="19"/>
      <c r="N916" s="19" t="s">
        <v>7474</v>
      </c>
      <c r="O916" s="20" t="s">
        <v>40</v>
      </c>
      <c r="P916" s="20" t="s">
        <v>41</v>
      </c>
      <c r="Q916" s="19" t="s">
        <v>7475</v>
      </c>
      <c r="R916" s="21" t="s">
        <v>7476</v>
      </c>
      <c r="S916" s="19" t="s">
        <v>46</v>
      </c>
      <c r="T916" s="19" t="s">
        <v>822</v>
      </c>
      <c r="U916" s="19" t="s">
        <v>1897</v>
      </c>
      <c r="V916" s="19" t="s">
        <v>45</v>
      </c>
      <c r="W916" s="19"/>
      <c r="X916" s="19"/>
      <c r="Y916" s="19"/>
      <c r="Z916" s="19" t="s">
        <v>658</v>
      </c>
      <c r="AA916" s="19" t="s">
        <v>7477</v>
      </c>
      <c r="AB916" s="19" t="s">
        <v>46</v>
      </c>
      <c r="AC916" s="19" t="s">
        <v>46</v>
      </c>
      <c r="AD916" s="19"/>
      <c r="AE916" s="19" t="s">
        <v>641</v>
      </c>
      <c r="AF916" s="19" t="s">
        <v>190</v>
      </c>
      <c r="AG916" s="19">
        <v>6</v>
      </c>
      <c r="AH916" s="19" t="s">
        <v>190</v>
      </c>
      <c r="AI916" s="19"/>
      <c r="AJ916" s="19" t="s">
        <v>7478</v>
      </c>
      <c r="AK916" s="19" t="s">
        <v>4945</v>
      </c>
    </row>
    <row r="917" spans="1:37" s="23" customFormat="1">
      <c r="A917" s="19" t="str">
        <f>VLOOKUP(H917,Languages!$A$2:$B$430,2,FALSE)</f>
        <v>Indo-European</v>
      </c>
      <c r="B917" s="19" t="s">
        <v>67</v>
      </c>
      <c r="C917" s="19" t="s">
        <v>124</v>
      </c>
      <c r="D917" s="19" t="s">
        <v>7900</v>
      </c>
      <c r="E917" s="20" t="s">
        <v>185</v>
      </c>
      <c r="F917" s="20" t="s">
        <v>7901</v>
      </c>
      <c r="G917" s="19" t="s">
        <v>7902</v>
      </c>
      <c r="H917" s="19" t="str">
        <f>VLOOKUP(G917,'languoid 4.0'!$A$1:$I$24439,2,FALSE)</f>
        <v>indo1319</v>
      </c>
      <c r="I917" s="19" t="str">
        <f>VLOOKUP(G917,'languoid 4.0'!$A$1:$I$24439,6,FALSE)</f>
        <v>family</v>
      </c>
      <c r="J917" s="20" t="s">
        <v>52</v>
      </c>
      <c r="K917" s="20" t="s">
        <v>52</v>
      </c>
      <c r="L917" s="20" t="s">
        <v>38</v>
      </c>
      <c r="M917" s="19"/>
      <c r="N917" s="19"/>
      <c r="O917" s="20" t="s">
        <v>113</v>
      </c>
      <c r="P917" s="20" t="s">
        <v>41</v>
      </c>
      <c r="Q917" s="19" t="s">
        <v>7921</v>
      </c>
      <c r="R917" s="21" t="s">
        <v>7922</v>
      </c>
      <c r="S917" s="19" t="s">
        <v>46</v>
      </c>
      <c r="T917" s="19" t="s">
        <v>822</v>
      </c>
      <c r="U917" s="19" t="s">
        <v>636</v>
      </c>
      <c r="V917" s="19" t="s">
        <v>45</v>
      </c>
      <c r="W917" s="19"/>
      <c r="X917" s="19"/>
      <c r="Y917" s="19"/>
      <c r="Z917" s="19" t="s">
        <v>658</v>
      </c>
      <c r="AA917" s="19" t="s">
        <v>7923</v>
      </c>
      <c r="AB917" s="19" t="s">
        <v>46</v>
      </c>
      <c r="AC917" s="19" t="s">
        <v>46</v>
      </c>
      <c r="AD917" s="19"/>
      <c r="AE917" s="19"/>
      <c r="AF917" s="19"/>
      <c r="AG917" s="19"/>
      <c r="AH917" s="19" t="s">
        <v>45</v>
      </c>
      <c r="AI917" s="19"/>
      <c r="AJ917" s="19" t="s">
        <v>7924</v>
      </c>
      <c r="AK917" s="19" t="s">
        <v>4945</v>
      </c>
    </row>
    <row r="918" spans="1:37" s="23" customFormat="1">
      <c r="A918" s="19" t="str">
        <f>VLOOKUP(H918,Languages!$A$2:$B$430,2,FALSE)</f>
        <v>Indo-European</v>
      </c>
      <c r="B918" s="19" t="s">
        <v>67</v>
      </c>
      <c r="C918" s="19" t="s">
        <v>58</v>
      </c>
      <c r="D918" s="19" t="s">
        <v>396</v>
      </c>
      <c r="E918" s="20" t="s">
        <v>397</v>
      </c>
      <c r="F918" s="20" t="s">
        <v>397</v>
      </c>
      <c r="G918" s="19" t="s">
        <v>397</v>
      </c>
      <c r="H918" s="19" t="str">
        <f>VLOOKUP(G918,'languoid 4.0'!$A$1:$I$24439,2,FALSE)</f>
        <v>indo1319</v>
      </c>
      <c r="I918" s="19" t="str">
        <f>VLOOKUP(G918,'languoid 4.0'!$A$1:$I$24439,6,FALSE)</f>
        <v>family</v>
      </c>
      <c r="J918" s="20" t="s">
        <v>38</v>
      </c>
      <c r="K918" s="20" t="s">
        <v>38</v>
      </c>
      <c r="L918" s="20" t="s">
        <v>38</v>
      </c>
      <c r="M918" s="19"/>
      <c r="N918" s="19"/>
      <c r="O918" s="20" t="s">
        <v>113</v>
      </c>
      <c r="P918" s="20" t="s">
        <v>41</v>
      </c>
      <c r="Q918" s="19" t="s">
        <v>621</v>
      </c>
      <c r="R918" s="21" t="s">
        <v>622</v>
      </c>
      <c r="S918" s="19" t="s">
        <v>138</v>
      </c>
      <c r="T918" s="19" t="s">
        <v>44</v>
      </c>
      <c r="U918" s="19"/>
      <c r="V918" s="19" t="s">
        <v>45</v>
      </c>
      <c r="W918" s="19"/>
      <c r="X918" s="19"/>
      <c r="Y918" s="19"/>
      <c r="Z918" s="19"/>
      <c r="AA918" s="19">
        <v>4</v>
      </c>
      <c r="AB918" s="19">
        <v>4</v>
      </c>
      <c r="AC918" s="19">
        <v>4</v>
      </c>
      <c r="AD918" s="19"/>
      <c r="AE918" s="19"/>
      <c r="AF918" s="19"/>
      <c r="AG918" s="19"/>
      <c r="AH918" s="19"/>
      <c r="AI918" s="19"/>
      <c r="AJ918" s="22">
        <v>43102.772511574076</v>
      </c>
      <c r="AK918" s="19" t="s">
        <v>47</v>
      </c>
    </row>
    <row r="919" spans="1:37" s="23" customFormat="1">
      <c r="A919" s="19" t="str">
        <f>VLOOKUP(H919,Languages!$A$2:$B$430,2,FALSE)</f>
        <v>Indo-European</v>
      </c>
      <c r="B919" s="19" t="s">
        <v>67</v>
      </c>
      <c r="C919" s="19" t="s">
        <v>58</v>
      </c>
      <c r="D919" s="19" t="s">
        <v>2982</v>
      </c>
      <c r="E919" s="20" t="s">
        <v>244</v>
      </c>
      <c r="F919" s="20" t="s">
        <v>2983</v>
      </c>
      <c r="G919" s="19" t="s">
        <v>244</v>
      </c>
      <c r="H919" s="19" t="str">
        <f>VLOOKUP(G919,'languoid 4.0'!$A$1:$I$24439,2,FALSE)</f>
        <v>indo1319</v>
      </c>
      <c r="I919" s="19" t="str">
        <f>VLOOKUP(G919,'languoid 4.0'!$A$1:$I$24439,6,FALSE)</f>
        <v>dialect</v>
      </c>
      <c r="J919" s="20" t="s">
        <v>52</v>
      </c>
      <c r="K919" s="20" t="s">
        <v>38</v>
      </c>
      <c r="L919" s="20" t="s">
        <v>38</v>
      </c>
      <c r="M919" s="19"/>
      <c r="N919" s="19" t="s">
        <v>245</v>
      </c>
      <c r="O919" s="20" t="s">
        <v>40</v>
      </c>
      <c r="P919" s="20" t="s">
        <v>41</v>
      </c>
      <c r="Q919" s="19" t="s">
        <v>2984</v>
      </c>
      <c r="R919" s="21" t="s">
        <v>2985</v>
      </c>
      <c r="S919" s="19" t="s">
        <v>2986</v>
      </c>
      <c r="T919" s="19" t="s">
        <v>635</v>
      </c>
      <c r="U919" s="19" t="s">
        <v>636</v>
      </c>
      <c r="V919" s="19" t="s">
        <v>45</v>
      </c>
      <c r="W919" s="19"/>
      <c r="X919" s="19"/>
      <c r="Y919" s="19"/>
      <c r="Z919" s="19" t="s">
        <v>658</v>
      </c>
      <c r="AA919" s="19" t="s">
        <v>2987</v>
      </c>
      <c r="AB919" s="19" t="s">
        <v>46</v>
      </c>
      <c r="AC919" s="19" t="s">
        <v>46</v>
      </c>
      <c r="AD919" s="19"/>
      <c r="AE919" s="19" t="s">
        <v>641</v>
      </c>
      <c r="AF919" s="19" t="s">
        <v>190</v>
      </c>
      <c r="AG919" s="19">
        <v>4</v>
      </c>
      <c r="AH919" s="19" t="s">
        <v>190</v>
      </c>
      <c r="AI919" s="19"/>
      <c r="AJ919" s="19" t="s">
        <v>2988</v>
      </c>
      <c r="AK919" s="19" t="s">
        <v>2989</v>
      </c>
    </row>
    <row r="920" spans="1:37" s="23" customFormat="1">
      <c r="A920" s="19" t="str">
        <f>VLOOKUP(H920,Languages!$A$2:$B$430,2,FALSE)</f>
        <v>Indo-European</v>
      </c>
      <c r="B920" s="19" t="s">
        <v>67</v>
      </c>
      <c r="C920" s="19" t="s">
        <v>58</v>
      </c>
      <c r="D920" s="19" t="s">
        <v>2982</v>
      </c>
      <c r="E920" s="20" t="s">
        <v>244</v>
      </c>
      <c r="F920" s="20" t="s">
        <v>2983</v>
      </c>
      <c r="G920" s="19" t="s">
        <v>244</v>
      </c>
      <c r="H920" s="19" t="str">
        <f>VLOOKUP(G920,'languoid 4.0'!$A$1:$I$24439,2,FALSE)</f>
        <v>indo1319</v>
      </c>
      <c r="I920" s="19" t="str">
        <f>VLOOKUP(G920,'languoid 4.0'!$A$1:$I$24439,6,FALSE)</f>
        <v>dialect</v>
      </c>
      <c r="J920" s="20" t="s">
        <v>52</v>
      </c>
      <c r="K920" s="20" t="s">
        <v>38</v>
      </c>
      <c r="L920" s="20" t="s">
        <v>38</v>
      </c>
      <c r="M920" s="19"/>
      <c r="N920" s="19" t="s">
        <v>245</v>
      </c>
      <c r="O920" s="20" t="s">
        <v>40</v>
      </c>
      <c r="P920" s="20" t="s">
        <v>41</v>
      </c>
      <c r="Q920" s="19" t="s">
        <v>2990</v>
      </c>
      <c r="R920" s="21" t="s">
        <v>2991</v>
      </c>
      <c r="S920" s="19" t="s">
        <v>46</v>
      </c>
      <c r="T920" s="19" t="s">
        <v>635</v>
      </c>
      <c r="U920" s="19" t="s">
        <v>1036</v>
      </c>
      <c r="V920" s="19" t="s">
        <v>45</v>
      </c>
      <c r="W920" s="19"/>
      <c r="X920" s="19"/>
      <c r="Y920" s="19"/>
      <c r="Z920" s="19" t="s">
        <v>658</v>
      </c>
      <c r="AA920" s="19" t="s">
        <v>2992</v>
      </c>
      <c r="AB920" s="19" t="s">
        <v>46</v>
      </c>
      <c r="AC920" s="19" t="s">
        <v>46</v>
      </c>
      <c r="AD920" s="19"/>
      <c r="AE920" s="19" t="s">
        <v>641</v>
      </c>
      <c r="AF920" s="19" t="s">
        <v>190</v>
      </c>
      <c r="AG920" s="19">
        <v>5</v>
      </c>
      <c r="AH920" s="19" t="s">
        <v>190</v>
      </c>
      <c r="AI920" s="19"/>
      <c r="AJ920" s="19" t="s">
        <v>2993</v>
      </c>
      <c r="AK920" s="19" t="s">
        <v>2989</v>
      </c>
    </row>
    <row r="921" spans="1:37" s="23" customFormat="1">
      <c r="A921" s="19" t="str">
        <f>VLOOKUP(H921,Languages!$A$2:$B$430,2,FALSE)</f>
        <v>Indo-European</v>
      </c>
      <c r="B921" s="19" t="s">
        <v>67</v>
      </c>
      <c r="C921" s="19" t="s">
        <v>58</v>
      </c>
      <c r="D921" s="19" t="s">
        <v>2994</v>
      </c>
      <c r="E921" s="20" t="s">
        <v>2995</v>
      </c>
      <c r="F921" s="20" t="s">
        <v>2995</v>
      </c>
      <c r="G921" s="19" t="s">
        <v>2995</v>
      </c>
      <c r="H921" s="19" t="str">
        <f>VLOOKUP(G921,'languoid 4.0'!$A$1:$I$24439,2,FALSE)</f>
        <v>indo1319</v>
      </c>
      <c r="I921" s="19" t="str">
        <f>VLOOKUP(G921,'languoid 4.0'!$A$1:$I$24439,6,FALSE)</f>
        <v>language</v>
      </c>
      <c r="J921" s="20" t="s">
        <v>38</v>
      </c>
      <c r="K921" s="20" t="s">
        <v>38</v>
      </c>
      <c r="L921" s="20" t="s">
        <v>38</v>
      </c>
      <c r="M921" s="19"/>
      <c r="N921" s="19" t="s">
        <v>2996</v>
      </c>
      <c r="O921" s="20" t="s">
        <v>40</v>
      </c>
      <c r="P921" s="20" t="s">
        <v>41</v>
      </c>
      <c r="Q921" s="19" t="s">
        <v>2997</v>
      </c>
      <c r="R921" s="21" t="s">
        <v>2998</v>
      </c>
      <c r="S921" s="19" t="s">
        <v>46</v>
      </c>
      <c r="T921" s="19" t="s">
        <v>635</v>
      </c>
      <c r="U921" s="19" t="s">
        <v>636</v>
      </c>
      <c r="V921" s="19" t="s">
        <v>45</v>
      </c>
      <c r="W921" s="19"/>
      <c r="X921" s="19"/>
      <c r="Y921" s="19"/>
      <c r="Z921" s="19" t="s">
        <v>658</v>
      </c>
      <c r="AA921" s="19" t="s">
        <v>2999</v>
      </c>
      <c r="AB921" s="19" t="s">
        <v>46</v>
      </c>
      <c r="AC921" s="19" t="s">
        <v>46</v>
      </c>
      <c r="AD921" s="19" t="s">
        <v>46</v>
      </c>
      <c r="AE921" s="19" t="s">
        <v>641</v>
      </c>
      <c r="AF921" s="19" t="s">
        <v>190</v>
      </c>
      <c r="AG921" s="19">
        <v>6</v>
      </c>
      <c r="AH921" s="19" t="s">
        <v>190</v>
      </c>
      <c r="AI921" s="19"/>
      <c r="AJ921" s="19" t="s">
        <v>3000</v>
      </c>
      <c r="AK921" s="19" t="s">
        <v>2989</v>
      </c>
    </row>
    <row r="922" spans="1:37" s="23" customFormat="1">
      <c r="A922" s="19" t="str">
        <f>VLOOKUP(H922,Languages!$A$2:$B$430,2,FALSE)</f>
        <v>Indo-European</v>
      </c>
      <c r="B922" s="19" t="s">
        <v>67</v>
      </c>
      <c r="C922" s="19" t="s">
        <v>58</v>
      </c>
      <c r="D922" s="19" t="s">
        <v>4957</v>
      </c>
      <c r="E922" s="20" t="s">
        <v>4958</v>
      </c>
      <c r="F922" s="20" t="s">
        <v>397</v>
      </c>
      <c r="G922" s="19" t="s">
        <v>4958</v>
      </c>
      <c r="H922" s="19" t="str">
        <f>VLOOKUP(G922,'languoid 4.0'!$A$1:$I$24439,2,FALSE)</f>
        <v>indo1319</v>
      </c>
      <c r="I922" s="19" t="str">
        <f>VLOOKUP(G922,'languoid 4.0'!$A$1:$I$24439,6,FALSE)</f>
        <v>language</v>
      </c>
      <c r="J922" s="20" t="s">
        <v>52</v>
      </c>
      <c r="K922" s="20" t="s">
        <v>38</v>
      </c>
      <c r="L922" s="20" t="s">
        <v>38</v>
      </c>
      <c r="M922" s="19"/>
      <c r="N922" s="19" t="s">
        <v>4959</v>
      </c>
      <c r="O922" s="20" t="s">
        <v>40</v>
      </c>
      <c r="P922" s="20" t="s">
        <v>41</v>
      </c>
      <c r="Q922" s="19" t="s">
        <v>4960</v>
      </c>
      <c r="R922" s="21" t="s">
        <v>4961</v>
      </c>
      <c r="S922" s="19" t="s">
        <v>672</v>
      </c>
      <c r="T922" s="19" t="s">
        <v>648</v>
      </c>
      <c r="U922" s="19" t="s">
        <v>1812</v>
      </c>
      <c r="V922" s="19" t="s">
        <v>45</v>
      </c>
      <c r="W922" s="19"/>
      <c r="X922" s="19"/>
      <c r="Y922" s="19"/>
      <c r="Z922" s="19" t="s">
        <v>658</v>
      </c>
      <c r="AA922" s="19" t="s">
        <v>4962</v>
      </c>
      <c r="AB922" s="19" t="s">
        <v>4963</v>
      </c>
      <c r="AC922" s="19" t="s">
        <v>46</v>
      </c>
      <c r="AD922" s="19"/>
      <c r="AE922" s="19" t="s">
        <v>641</v>
      </c>
      <c r="AF922" s="19" t="s">
        <v>190</v>
      </c>
      <c r="AG922" s="19">
        <v>5</v>
      </c>
      <c r="AH922" s="19" t="s">
        <v>190</v>
      </c>
      <c r="AI922" s="19"/>
      <c r="AJ922" s="19" t="s">
        <v>4964</v>
      </c>
      <c r="AK922" s="19" t="s">
        <v>4408</v>
      </c>
    </row>
    <row r="923" spans="1:37" s="23" customFormat="1">
      <c r="A923" s="19" t="str">
        <f>VLOOKUP(H923,Languages!$A$2:$B$430,2,FALSE)</f>
        <v>Indo-European</v>
      </c>
      <c r="B923" s="19" t="s">
        <v>67</v>
      </c>
      <c r="C923" s="19" t="s">
        <v>58</v>
      </c>
      <c r="D923" s="19" t="s">
        <v>6448</v>
      </c>
      <c r="E923" s="20" t="s">
        <v>2354</v>
      </c>
      <c r="F923" s="20" t="s">
        <v>2354</v>
      </c>
      <c r="G923" s="19" t="s">
        <v>2354</v>
      </c>
      <c r="H923" s="19" t="str">
        <f>VLOOKUP(G923,'languoid 4.0'!$A$1:$I$24439,2,FALSE)</f>
        <v>indo1319</v>
      </c>
      <c r="I923" s="19" t="str">
        <f>VLOOKUP(G923,'languoid 4.0'!$A$1:$I$24439,6,FALSE)</f>
        <v>language</v>
      </c>
      <c r="J923" s="20" t="s">
        <v>38</v>
      </c>
      <c r="K923" s="20" t="s">
        <v>38</v>
      </c>
      <c r="L923" s="20" t="s">
        <v>38</v>
      </c>
      <c r="M923" s="19"/>
      <c r="N923" s="19" t="s">
        <v>2355</v>
      </c>
      <c r="O923" s="20" t="s">
        <v>40</v>
      </c>
      <c r="P923" s="20" t="s">
        <v>41</v>
      </c>
      <c r="Q923" s="19" t="s">
        <v>6449</v>
      </c>
      <c r="R923" s="21" t="s">
        <v>6450</v>
      </c>
      <c r="S923" s="19" t="s">
        <v>6451</v>
      </c>
      <c r="T923" s="19" t="s">
        <v>6269</v>
      </c>
      <c r="U923" s="19" t="s">
        <v>636</v>
      </c>
      <c r="V923" s="19" t="s">
        <v>45</v>
      </c>
      <c r="W923" s="19"/>
      <c r="X923" s="19"/>
      <c r="Y923" s="19"/>
      <c r="Z923" s="19" t="s">
        <v>658</v>
      </c>
      <c r="AA923" s="19" t="s">
        <v>6452</v>
      </c>
      <c r="AB923" s="19" t="s">
        <v>6453</v>
      </c>
      <c r="AC923" s="19" t="s">
        <v>46</v>
      </c>
      <c r="AD923" s="19"/>
      <c r="AE923" s="19" t="s">
        <v>641</v>
      </c>
      <c r="AF923" s="19" t="s">
        <v>190</v>
      </c>
      <c r="AG923" s="19">
        <v>6</v>
      </c>
      <c r="AH923" s="19" t="s">
        <v>190</v>
      </c>
      <c r="AI923" s="19"/>
      <c r="AJ923" s="22">
        <v>43411.553171296298</v>
      </c>
      <c r="AK923" s="19" t="s">
        <v>4408</v>
      </c>
    </row>
    <row r="924" spans="1:37" s="23" customFormat="1">
      <c r="A924" s="19" t="str">
        <f>VLOOKUP(H924,Languages!$A$2:$B$430,2,FALSE)</f>
        <v>Indo-European</v>
      </c>
      <c r="B924" s="19" t="s">
        <v>67</v>
      </c>
      <c r="C924" s="19" t="s">
        <v>58</v>
      </c>
      <c r="D924" s="19" t="s">
        <v>6942</v>
      </c>
      <c r="E924" s="20" t="s">
        <v>2354</v>
      </c>
      <c r="F924" s="20" t="s">
        <v>2354</v>
      </c>
      <c r="G924" s="19" t="s">
        <v>2354</v>
      </c>
      <c r="H924" s="19" t="str">
        <f>VLOOKUP(G924,'languoid 4.0'!$A$1:$I$24439,2,FALSE)</f>
        <v>indo1319</v>
      </c>
      <c r="I924" s="19" t="str">
        <f>VLOOKUP(G924,'languoid 4.0'!$A$1:$I$24439,6,FALSE)</f>
        <v>language</v>
      </c>
      <c r="J924" s="20" t="s">
        <v>38</v>
      </c>
      <c r="K924" s="20" t="s">
        <v>38</v>
      </c>
      <c r="L924" s="20" t="s">
        <v>38</v>
      </c>
      <c r="M924" s="19"/>
      <c r="N924" s="19" t="s">
        <v>2355</v>
      </c>
      <c r="O924" s="20" t="s">
        <v>40</v>
      </c>
      <c r="P924" s="20" t="s">
        <v>41</v>
      </c>
      <c r="Q924" s="19" t="s">
        <v>6943</v>
      </c>
      <c r="R924" s="21" t="s">
        <v>6944</v>
      </c>
      <c r="S924" s="19" t="s">
        <v>6945</v>
      </c>
      <c r="T924" s="19" t="s">
        <v>2898</v>
      </c>
      <c r="U924" s="19" t="s">
        <v>1897</v>
      </c>
      <c r="V924" s="19" t="s">
        <v>45</v>
      </c>
      <c r="W924" s="19"/>
      <c r="X924" s="19"/>
      <c r="Y924" s="19"/>
      <c r="Z924" s="19" t="s">
        <v>658</v>
      </c>
      <c r="AA924" s="19" t="s">
        <v>6946</v>
      </c>
      <c r="AB924" s="19" t="s">
        <v>6947</v>
      </c>
      <c r="AC924" s="19" t="s">
        <v>46</v>
      </c>
      <c r="AD924" s="19"/>
      <c r="AE924" s="19" t="s">
        <v>641</v>
      </c>
      <c r="AF924" s="19" t="s">
        <v>190</v>
      </c>
      <c r="AG924" s="19">
        <v>6</v>
      </c>
      <c r="AH924" s="19" t="s">
        <v>190</v>
      </c>
      <c r="AI924" s="19"/>
      <c r="AJ924" s="22">
        <v>43108.428819444445</v>
      </c>
      <c r="AK924" s="19" t="s">
        <v>4408</v>
      </c>
    </row>
    <row r="925" spans="1:37" s="23" customFormat="1">
      <c r="A925" s="19" t="str">
        <f>VLOOKUP(H925,Languages!$A$2:$B$430,2,FALSE)</f>
        <v>Indo-European</v>
      </c>
      <c r="B925" s="19" t="s">
        <v>67</v>
      </c>
      <c r="C925" s="19" t="s">
        <v>58</v>
      </c>
      <c r="D925" s="19" t="s">
        <v>6948</v>
      </c>
      <c r="E925" s="20" t="s">
        <v>51</v>
      </c>
      <c r="F925" s="20" t="s">
        <v>2354</v>
      </c>
      <c r="G925" s="19" t="s">
        <v>2354</v>
      </c>
      <c r="H925" s="19" t="str">
        <f>VLOOKUP(G925,'languoid 4.0'!$A$1:$I$24439,2,FALSE)</f>
        <v>indo1319</v>
      </c>
      <c r="I925" s="19" t="str">
        <f>VLOOKUP(G925,'languoid 4.0'!$A$1:$I$24439,6,FALSE)</f>
        <v>language</v>
      </c>
      <c r="J925" s="20" t="s">
        <v>52</v>
      </c>
      <c r="K925" s="20" t="s">
        <v>51</v>
      </c>
      <c r="L925" s="20" t="s">
        <v>51</v>
      </c>
      <c r="M925" s="19"/>
      <c r="N925" s="19" t="e">
        <v>#N/A</v>
      </c>
      <c r="O925" s="20" t="s">
        <v>690</v>
      </c>
      <c r="P925" s="20"/>
      <c r="Q925" s="19" t="s">
        <v>6954</v>
      </c>
      <c r="R925" s="21" t="s">
        <v>6955</v>
      </c>
      <c r="S925" s="19" t="s">
        <v>6956</v>
      </c>
      <c r="T925" s="19" t="s">
        <v>6269</v>
      </c>
      <c r="U925" s="19" t="s">
        <v>636</v>
      </c>
      <c r="V925" s="19" t="s">
        <v>45</v>
      </c>
      <c r="W925" s="19"/>
      <c r="X925" s="19"/>
      <c r="Y925" s="19"/>
      <c r="Z925" s="19" t="s">
        <v>658</v>
      </c>
      <c r="AA925" s="19" t="s">
        <v>6957</v>
      </c>
      <c r="AB925" s="19" t="s">
        <v>6958</v>
      </c>
      <c r="AC925" s="19" t="s">
        <v>46</v>
      </c>
      <c r="AD925" s="19"/>
      <c r="AE925" s="19" t="s">
        <v>641</v>
      </c>
      <c r="AF925" s="19" t="s">
        <v>190</v>
      </c>
      <c r="AG925" s="19">
        <v>6</v>
      </c>
      <c r="AH925" s="19" t="s">
        <v>190</v>
      </c>
      <c r="AI925" s="19"/>
      <c r="AJ925" s="22">
        <v>43108.434837962966</v>
      </c>
      <c r="AK925" s="19" t="s">
        <v>4408</v>
      </c>
    </row>
    <row r="926" spans="1:37" s="23" customFormat="1">
      <c r="A926" s="19" t="str">
        <f>VLOOKUP(H926,Languages!$A$2:$B$430,2,FALSE)</f>
        <v>Indo-European</v>
      </c>
      <c r="B926" s="19" t="s">
        <v>67</v>
      </c>
      <c r="C926" s="19" t="s">
        <v>58</v>
      </c>
      <c r="D926" s="19" t="s">
        <v>6959</v>
      </c>
      <c r="E926" s="20" t="s">
        <v>2354</v>
      </c>
      <c r="F926" s="20" t="s">
        <v>2354</v>
      </c>
      <c r="G926" s="19" t="s">
        <v>2354</v>
      </c>
      <c r="H926" s="19" t="str">
        <f>VLOOKUP(G926,'languoid 4.0'!$A$1:$I$24439,2,FALSE)</f>
        <v>indo1319</v>
      </c>
      <c r="I926" s="19" t="str">
        <f>VLOOKUP(G926,'languoid 4.0'!$A$1:$I$24439,6,FALSE)</f>
        <v>language</v>
      </c>
      <c r="J926" s="20" t="s">
        <v>38</v>
      </c>
      <c r="K926" s="20" t="s">
        <v>38</v>
      </c>
      <c r="L926" s="20" t="s">
        <v>38</v>
      </c>
      <c r="M926" s="19"/>
      <c r="N926" s="19" t="s">
        <v>2355</v>
      </c>
      <c r="O926" s="20" t="s">
        <v>40</v>
      </c>
      <c r="P926" s="20" t="s">
        <v>41</v>
      </c>
      <c r="Q926" s="19" t="s">
        <v>6972</v>
      </c>
      <c r="R926" s="21" t="s">
        <v>6973</v>
      </c>
      <c r="S926" s="19" t="s">
        <v>6974</v>
      </c>
      <c r="T926" s="19" t="s">
        <v>6963</v>
      </c>
      <c r="U926" s="19" t="s">
        <v>636</v>
      </c>
      <c r="V926" s="19" t="s">
        <v>45</v>
      </c>
      <c r="W926" s="19"/>
      <c r="X926" s="19"/>
      <c r="Y926" s="19"/>
      <c r="Z926" s="19" t="s">
        <v>658</v>
      </c>
      <c r="AA926" s="19" t="s">
        <v>6975</v>
      </c>
      <c r="AB926" s="19" t="s">
        <v>6976</v>
      </c>
      <c r="AC926" s="19" t="s">
        <v>46</v>
      </c>
      <c r="AD926" s="19"/>
      <c r="AE926" s="19" t="s">
        <v>641</v>
      </c>
      <c r="AF926" s="19" t="s">
        <v>45</v>
      </c>
      <c r="AG926" s="19">
        <v>1</v>
      </c>
      <c r="AH926" s="19" t="s">
        <v>190</v>
      </c>
      <c r="AI926" s="19"/>
      <c r="AJ926" s="22">
        <v>43108.449421296296</v>
      </c>
      <c r="AK926" s="19" t="s">
        <v>4408</v>
      </c>
    </row>
    <row r="927" spans="1:37" s="23" customFormat="1">
      <c r="A927" s="19" t="str">
        <f>VLOOKUP(H927,Languages!$A$2:$B$430,2,FALSE)</f>
        <v>Indo-European</v>
      </c>
      <c r="B927" s="19" t="s">
        <v>67</v>
      </c>
      <c r="C927" s="19" t="s">
        <v>58</v>
      </c>
      <c r="D927" s="19" t="s">
        <v>6981</v>
      </c>
      <c r="E927" s="20" t="s">
        <v>2995</v>
      </c>
      <c r="F927" s="20" t="s">
        <v>2995</v>
      </c>
      <c r="G927" s="19" t="s">
        <v>2995</v>
      </c>
      <c r="H927" s="19" t="str">
        <f>VLOOKUP(G927,'languoid 4.0'!$A$1:$I$24439,2,FALSE)</f>
        <v>indo1319</v>
      </c>
      <c r="I927" s="19" t="str">
        <f>VLOOKUP(G927,'languoid 4.0'!$A$1:$I$24439,6,FALSE)</f>
        <v>language</v>
      </c>
      <c r="J927" s="20" t="s">
        <v>38</v>
      </c>
      <c r="K927" s="20" t="s">
        <v>38</v>
      </c>
      <c r="L927" s="20" t="s">
        <v>38</v>
      </c>
      <c r="M927" s="19"/>
      <c r="N927" s="19" t="s">
        <v>2996</v>
      </c>
      <c r="O927" s="20" t="s">
        <v>40</v>
      </c>
      <c r="P927" s="20" t="s">
        <v>41</v>
      </c>
      <c r="Q927" s="19" t="s">
        <v>2997</v>
      </c>
      <c r="R927" s="21" t="s">
        <v>2998</v>
      </c>
      <c r="S927" s="19" t="s">
        <v>46</v>
      </c>
      <c r="T927" s="19" t="s">
        <v>6982</v>
      </c>
      <c r="U927" s="19" t="s">
        <v>636</v>
      </c>
      <c r="V927" s="19" t="s">
        <v>45</v>
      </c>
      <c r="W927" s="19"/>
      <c r="X927" s="19"/>
      <c r="Y927" s="19"/>
      <c r="Z927" s="19" t="s">
        <v>658</v>
      </c>
      <c r="AA927" s="19" t="s">
        <v>6983</v>
      </c>
      <c r="AB927" s="19" t="s">
        <v>6984</v>
      </c>
      <c r="AC927" s="19" t="s">
        <v>46</v>
      </c>
      <c r="AD927" s="19"/>
      <c r="AE927" s="19" t="s">
        <v>641</v>
      </c>
      <c r="AF927" s="19" t="s">
        <v>190</v>
      </c>
      <c r="AG927" s="19">
        <v>6</v>
      </c>
      <c r="AH927" s="19" t="s">
        <v>190</v>
      </c>
      <c r="AI927" s="19" t="s">
        <v>6985</v>
      </c>
      <c r="AJ927" s="22">
        <v>43108.453703703701</v>
      </c>
      <c r="AK927" s="19" t="s">
        <v>4408</v>
      </c>
    </row>
    <row r="928" spans="1:37" s="23" customFormat="1">
      <c r="A928" s="19" t="str">
        <f>VLOOKUP(H928,Languages!$A$2:$B$430,2,FALSE)</f>
        <v>Indo-European</v>
      </c>
      <c r="B928" s="19" t="s">
        <v>67</v>
      </c>
      <c r="C928" s="19" t="s">
        <v>58</v>
      </c>
      <c r="D928" s="19" t="s">
        <v>8941</v>
      </c>
      <c r="E928" s="20" t="s">
        <v>2995</v>
      </c>
      <c r="F928" s="20" t="s">
        <v>2995</v>
      </c>
      <c r="G928" s="19" t="s">
        <v>2995</v>
      </c>
      <c r="H928" s="19" t="str">
        <f>VLOOKUP(G928,'languoid 4.0'!$A$1:$I$24439,2,FALSE)</f>
        <v>indo1319</v>
      </c>
      <c r="I928" s="19" t="str">
        <f>VLOOKUP(G928,'languoid 4.0'!$A$1:$I$24439,6,FALSE)</f>
        <v>language</v>
      </c>
      <c r="J928" s="20" t="s">
        <v>38</v>
      </c>
      <c r="K928" s="20" t="s">
        <v>38</v>
      </c>
      <c r="L928" s="20" t="s">
        <v>38</v>
      </c>
      <c r="M928" s="19"/>
      <c r="N928" s="19" t="s">
        <v>2996</v>
      </c>
      <c r="O928" s="20" t="s">
        <v>40</v>
      </c>
      <c r="P928" s="20" t="s">
        <v>632</v>
      </c>
      <c r="Q928" s="19" t="s">
        <v>8942</v>
      </c>
      <c r="R928" s="21" t="s">
        <v>8943</v>
      </c>
      <c r="S928" s="19" t="s">
        <v>46</v>
      </c>
      <c r="T928" s="19" t="s">
        <v>635</v>
      </c>
      <c r="U928" s="19" t="s">
        <v>636</v>
      </c>
      <c r="V928" s="19" t="s">
        <v>45</v>
      </c>
      <c r="W928" s="19"/>
      <c r="X928" s="19"/>
      <c r="Y928" s="19"/>
      <c r="Z928" s="19" t="s">
        <v>637</v>
      </c>
      <c r="AA928" s="19" t="s">
        <v>8944</v>
      </c>
      <c r="AB928" s="19" t="s">
        <v>8945</v>
      </c>
      <c r="AC928" s="19" t="s">
        <v>46</v>
      </c>
      <c r="AD928" s="19"/>
      <c r="AE928" s="19" t="s">
        <v>641</v>
      </c>
      <c r="AF928" s="19" t="s">
        <v>45</v>
      </c>
      <c r="AG928" s="19">
        <v>1</v>
      </c>
      <c r="AH928" s="19" t="s">
        <v>190</v>
      </c>
      <c r="AI928" s="19"/>
      <c r="AJ928" s="19" t="s">
        <v>8946</v>
      </c>
      <c r="AK928" s="19" t="s">
        <v>8947</v>
      </c>
    </row>
    <row r="929" spans="1:37" s="23" customFormat="1">
      <c r="A929" s="19" t="str">
        <f>VLOOKUP(H929,Languages!$A$2:$B$430,2,FALSE)</f>
        <v>Indo-European</v>
      </c>
      <c r="B929" s="19" t="s">
        <v>67</v>
      </c>
      <c r="C929" s="19" t="s">
        <v>58</v>
      </c>
      <c r="D929" s="19" t="s">
        <v>5171</v>
      </c>
      <c r="E929" s="20" t="s">
        <v>5172</v>
      </c>
      <c r="F929" s="20" t="s">
        <v>9200</v>
      </c>
      <c r="G929" s="19" t="s">
        <v>9200</v>
      </c>
      <c r="H929" s="19" t="str">
        <f>VLOOKUP(G929,'languoid 4.0'!$A$1:$I$24439,2,FALSE)</f>
        <v>indo1319</v>
      </c>
      <c r="I929" s="19" t="str">
        <f>VLOOKUP(G929,'languoid 4.0'!$A$1:$I$24439,6,FALSE)</f>
        <v>language</v>
      </c>
      <c r="J929" s="20" t="s">
        <v>52</v>
      </c>
      <c r="K929" s="20" t="s">
        <v>52</v>
      </c>
      <c r="L929" s="20" t="s">
        <v>38</v>
      </c>
      <c r="M929" s="19"/>
      <c r="N929" s="19" t="s">
        <v>5174</v>
      </c>
      <c r="O929" s="20" t="s">
        <v>113</v>
      </c>
      <c r="P929" s="20" t="s">
        <v>41</v>
      </c>
      <c r="Q929" s="19" t="s">
        <v>9210</v>
      </c>
      <c r="R929" s="21" t="s">
        <v>9211</v>
      </c>
      <c r="S929" s="19" t="s">
        <v>46</v>
      </c>
      <c r="T929" s="19" t="s">
        <v>635</v>
      </c>
      <c r="U929" s="19" t="s">
        <v>1039</v>
      </c>
      <c r="V929" s="19" t="s">
        <v>45</v>
      </c>
      <c r="W929" s="19"/>
      <c r="X929" s="19"/>
      <c r="Y929" s="19"/>
      <c r="Z929" s="19" t="s">
        <v>637</v>
      </c>
      <c r="AA929" s="19" t="s">
        <v>9212</v>
      </c>
      <c r="AB929" s="19" t="s">
        <v>9213</v>
      </c>
      <c r="AC929" s="19" t="s">
        <v>46</v>
      </c>
      <c r="AD929" s="19"/>
      <c r="AE929" s="19" t="s">
        <v>641</v>
      </c>
      <c r="AF929" s="19" t="s">
        <v>190</v>
      </c>
      <c r="AG929" s="19">
        <v>5</v>
      </c>
      <c r="AH929" s="19" t="s">
        <v>190</v>
      </c>
      <c r="AI929" s="19"/>
      <c r="AJ929" s="19" t="s">
        <v>9214</v>
      </c>
      <c r="AK929" s="19" t="s">
        <v>8947</v>
      </c>
    </row>
    <row r="930" spans="1:37" s="23" customFormat="1">
      <c r="A930" s="19" t="str">
        <f>VLOOKUP(H930,Languages!$A$2:$B$430,2,FALSE)</f>
        <v>Indo-European</v>
      </c>
      <c r="B930" s="19" t="s">
        <v>67</v>
      </c>
      <c r="C930" s="19" t="s">
        <v>58</v>
      </c>
      <c r="D930" s="19" t="s">
        <v>9260</v>
      </c>
      <c r="E930" s="20" t="s">
        <v>9261</v>
      </c>
      <c r="F930" s="20" t="s">
        <v>9261</v>
      </c>
      <c r="G930" s="19" t="s">
        <v>9261</v>
      </c>
      <c r="H930" s="19" t="str">
        <f>VLOOKUP(G930,'languoid 4.0'!$A$1:$I$24439,2,FALSE)</f>
        <v>indo1319</v>
      </c>
      <c r="I930" s="19" t="str">
        <f>VLOOKUP(G930,'languoid 4.0'!$A$1:$I$24439,6,FALSE)</f>
        <v>language</v>
      </c>
      <c r="J930" s="20" t="s">
        <v>38</v>
      </c>
      <c r="K930" s="20" t="s">
        <v>38</v>
      </c>
      <c r="L930" s="20" t="s">
        <v>38</v>
      </c>
      <c r="M930" s="19"/>
      <c r="N930" s="19" t="s">
        <v>9262</v>
      </c>
      <c r="O930" s="20" t="s">
        <v>40</v>
      </c>
      <c r="P930" s="20" t="s">
        <v>41</v>
      </c>
      <c r="Q930" s="19" t="s">
        <v>9263</v>
      </c>
      <c r="R930" s="21" t="s">
        <v>9264</v>
      </c>
      <c r="S930" s="19" t="s">
        <v>46</v>
      </c>
      <c r="T930" s="19" t="s">
        <v>635</v>
      </c>
      <c r="U930" s="19" t="s">
        <v>636</v>
      </c>
      <c r="V930" s="19" t="s">
        <v>45</v>
      </c>
      <c r="W930" s="19"/>
      <c r="X930" s="19"/>
      <c r="Y930" s="19"/>
      <c r="Z930" s="19" t="s">
        <v>637</v>
      </c>
      <c r="AA930" s="19" t="s">
        <v>9265</v>
      </c>
      <c r="AB930" s="19" t="s">
        <v>9266</v>
      </c>
      <c r="AC930" s="19" t="s">
        <v>46</v>
      </c>
      <c r="AD930" s="19"/>
      <c r="AE930" s="19" t="s">
        <v>641</v>
      </c>
      <c r="AF930" s="19" t="s">
        <v>190</v>
      </c>
      <c r="AG930" s="19">
        <v>6</v>
      </c>
      <c r="AH930" s="19" t="s">
        <v>190</v>
      </c>
      <c r="AI930" s="19"/>
      <c r="AJ930" s="19" t="s">
        <v>9267</v>
      </c>
      <c r="AK930" s="19" t="s">
        <v>8947</v>
      </c>
    </row>
    <row r="931" spans="1:37" s="23" customFormat="1">
      <c r="A931" s="19" t="str">
        <f>VLOOKUP(H931,Languages!$A$2:$B$430,2,FALSE)</f>
        <v>Indo-European</v>
      </c>
      <c r="B931" s="19" t="s">
        <v>67</v>
      </c>
      <c r="C931" s="19" t="s">
        <v>58</v>
      </c>
      <c r="D931" s="19" t="s">
        <v>9455</v>
      </c>
      <c r="E931" s="20" t="s">
        <v>5172</v>
      </c>
      <c r="F931" s="20" t="s">
        <v>2983</v>
      </c>
      <c r="G931" s="19" t="s">
        <v>2983</v>
      </c>
      <c r="H931" s="19" t="str">
        <f>VLOOKUP(G931,'languoid 4.0'!$A$1:$I$24439,2,FALSE)</f>
        <v>indo1319</v>
      </c>
      <c r="I931" s="19" t="str">
        <f>VLOOKUP(G931,'languoid 4.0'!$A$1:$I$24439,6,FALSE)</f>
        <v>dialect</v>
      </c>
      <c r="J931" s="20" t="s">
        <v>52</v>
      </c>
      <c r="K931" s="20" t="s">
        <v>52</v>
      </c>
      <c r="L931" s="20" t="s">
        <v>38</v>
      </c>
      <c r="M931" s="19"/>
      <c r="N931" s="19" t="s">
        <v>5174</v>
      </c>
      <c r="O931" s="20" t="s">
        <v>113</v>
      </c>
      <c r="P931" s="20" t="s">
        <v>41</v>
      </c>
      <c r="Q931" s="19" t="s">
        <v>9456</v>
      </c>
      <c r="R931" s="21" t="s">
        <v>9457</v>
      </c>
      <c r="S931" s="19" t="s">
        <v>46</v>
      </c>
      <c r="T931" s="19" t="s">
        <v>635</v>
      </c>
      <c r="U931" s="19" t="s">
        <v>636</v>
      </c>
      <c r="V931" s="19" t="s">
        <v>45</v>
      </c>
      <c r="W931" s="19"/>
      <c r="X931" s="19"/>
      <c r="Y931" s="19"/>
      <c r="Z931" s="19" t="s">
        <v>637</v>
      </c>
      <c r="AA931" s="19" t="s">
        <v>9458</v>
      </c>
      <c r="AB931" s="19" t="s">
        <v>9459</v>
      </c>
      <c r="AC931" s="19" t="s">
        <v>46</v>
      </c>
      <c r="AD931" s="19"/>
      <c r="AE931" s="19" t="s">
        <v>641</v>
      </c>
      <c r="AF931" s="19" t="s">
        <v>190</v>
      </c>
      <c r="AG931" s="19">
        <v>6</v>
      </c>
      <c r="AH931" s="19" t="s">
        <v>190</v>
      </c>
      <c r="AI931" s="19"/>
      <c r="AJ931" s="22">
        <v>43230.521863425929</v>
      </c>
      <c r="AK931" s="19" t="s">
        <v>8947</v>
      </c>
    </row>
    <row r="932" spans="1:37" s="23" customFormat="1">
      <c r="A932" s="19" t="str">
        <f>VLOOKUP(H932,Languages!$A$2:$B$430,2,FALSE)</f>
        <v>Indo-European</v>
      </c>
      <c r="B932" s="19" t="s">
        <v>67</v>
      </c>
      <c r="C932" s="19" t="s">
        <v>58</v>
      </c>
      <c r="D932" s="19" t="s">
        <v>243</v>
      </c>
      <c r="E932" s="20" t="s">
        <v>244</v>
      </c>
      <c r="F932" s="20" t="s">
        <v>244</v>
      </c>
      <c r="G932" s="19" t="s">
        <v>244</v>
      </c>
      <c r="H932" s="19" t="str">
        <f>VLOOKUP(G932,'languoid 4.0'!$A$1:$I$24439,2,FALSE)</f>
        <v>indo1319</v>
      </c>
      <c r="I932" s="19" t="str">
        <f>VLOOKUP(G932,'languoid 4.0'!$A$1:$I$24439,6,FALSE)</f>
        <v>dialect</v>
      </c>
      <c r="J932" s="20" t="s">
        <v>38</v>
      </c>
      <c r="K932" s="20" t="s">
        <v>38</v>
      </c>
      <c r="L932" s="20" t="s">
        <v>38</v>
      </c>
      <c r="M932" s="19"/>
      <c r="N932" s="19" t="s">
        <v>245</v>
      </c>
      <c r="O932" s="20" t="s">
        <v>40</v>
      </c>
      <c r="P932" s="20" t="s">
        <v>41</v>
      </c>
      <c r="Q932" s="19" t="s">
        <v>9697</v>
      </c>
      <c r="R932" s="21" t="s">
        <v>9698</v>
      </c>
      <c r="S932" s="19" t="s">
        <v>46</v>
      </c>
      <c r="T932" s="19" t="s">
        <v>1689</v>
      </c>
      <c r="U932" s="19" t="s">
        <v>636</v>
      </c>
      <c r="V932" s="19" t="s">
        <v>45</v>
      </c>
      <c r="W932" s="19"/>
      <c r="X932" s="19"/>
      <c r="Y932" s="19"/>
      <c r="Z932" s="19" t="s">
        <v>658</v>
      </c>
      <c r="AA932" s="19" t="s">
        <v>9699</v>
      </c>
      <c r="AB932" s="19" t="s">
        <v>46</v>
      </c>
      <c r="AC932" s="19" t="s">
        <v>46</v>
      </c>
      <c r="AD932" s="19"/>
      <c r="AE932" s="19" t="s">
        <v>641</v>
      </c>
      <c r="AF932" s="19" t="s">
        <v>190</v>
      </c>
      <c r="AG932" s="19">
        <v>6</v>
      </c>
      <c r="AH932" s="19" t="s">
        <v>190</v>
      </c>
      <c r="AI932" s="19"/>
      <c r="AJ932" s="19" t="s">
        <v>9700</v>
      </c>
      <c r="AK932" s="19" t="s">
        <v>8947</v>
      </c>
    </row>
    <row r="933" spans="1:37" s="23" customFormat="1">
      <c r="A933" s="19" t="str">
        <f>VLOOKUP(H933,Languages!$A$2:$B$430,2,FALSE)</f>
        <v>Indo-European</v>
      </c>
      <c r="B933" s="19" t="s">
        <v>67</v>
      </c>
      <c r="C933" s="19" t="s">
        <v>4376</v>
      </c>
      <c r="D933" s="19" t="s">
        <v>4377</v>
      </c>
      <c r="E933" s="20" t="s">
        <v>4378</v>
      </c>
      <c r="F933" s="20" t="s">
        <v>4379</v>
      </c>
      <c r="G933" s="19" t="s">
        <v>4378</v>
      </c>
      <c r="H933" s="19" t="str">
        <f>VLOOKUP(G933,'languoid 4.0'!$A$1:$I$24439,2,FALSE)</f>
        <v>indo1319</v>
      </c>
      <c r="I933" s="19" t="str">
        <f>VLOOKUP(G933,'languoid 4.0'!$A$1:$I$24439,6,FALSE)</f>
        <v>language</v>
      </c>
      <c r="J933" s="20" t="s">
        <v>52</v>
      </c>
      <c r="K933" s="20" t="s">
        <v>38</v>
      </c>
      <c r="L933" s="20" t="s">
        <v>38</v>
      </c>
      <c r="M933" s="19"/>
      <c r="N933" s="19" t="s">
        <v>4380</v>
      </c>
      <c r="O933" s="20" t="s">
        <v>40</v>
      </c>
      <c r="P933" s="20" t="s">
        <v>41</v>
      </c>
      <c r="Q933" s="19" t="s">
        <v>4381</v>
      </c>
      <c r="R933" s="21" t="s">
        <v>4382</v>
      </c>
      <c r="S933" s="19" t="s">
        <v>46</v>
      </c>
      <c r="T933" s="19" t="s">
        <v>4383</v>
      </c>
      <c r="U933" s="19" t="s">
        <v>636</v>
      </c>
      <c r="V933" s="19" t="s">
        <v>45</v>
      </c>
      <c r="W933" s="19"/>
      <c r="X933" s="19"/>
      <c r="Y933" s="19"/>
      <c r="Z933" s="19" t="s">
        <v>637</v>
      </c>
      <c r="AA933" s="19" t="s">
        <v>4384</v>
      </c>
      <c r="AB933" s="19" t="s">
        <v>4385</v>
      </c>
      <c r="AC933" s="19" t="s">
        <v>46</v>
      </c>
      <c r="AD933" s="19"/>
      <c r="AE933" s="19" t="s">
        <v>641</v>
      </c>
      <c r="AF933" s="19" t="s">
        <v>190</v>
      </c>
      <c r="AG933" s="19">
        <v>6</v>
      </c>
      <c r="AH933" s="19" t="s">
        <v>190</v>
      </c>
      <c r="AI933" s="19"/>
      <c r="AJ933" s="22">
        <v>43196.015949074077</v>
      </c>
      <c r="AK933" s="19" t="s">
        <v>4386</v>
      </c>
    </row>
    <row r="934" spans="1:37" s="23" customFormat="1">
      <c r="A934" s="19" t="str">
        <f>VLOOKUP(H934,Languages!$A$2:$B$430,2,FALSE)</f>
        <v>Indo-European</v>
      </c>
      <c r="B934" s="19" t="s">
        <v>67</v>
      </c>
      <c r="C934" s="19" t="s">
        <v>4376</v>
      </c>
      <c r="D934" s="19" t="s">
        <v>4707</v>
      </c>
      <c r="E934" s="20" t="s">
        <v>239</v>
      </c>
      <c r="F934" s="20" t="s">
        <v>239</v>
      </c>
      <c r="G934" s="19" t="s">
        <v>239</v>
      </c>
      <c r="H934" s="19" t="str">
        <f>VLOOKUP(G934,'languoid 4.0'!$A$1:$I$24439,2,FALSE)</f>
        <v>indo1319</v>
      </c>
      <c r="I934" s="19" t="str">
        <f>VLOOKUP(G934,'languoid 4.0'!$A$1:$I$24439,6,FALSE)</f>
        <v>language</v>
      </c>
      <c r="J934" s="20" t="s">
        <v>38</v>
      </c>
      <c r="K934" s="20" t="s">
        <v>38</v>
      </c>
      <c r="L934" s="20" t="s">
        <v>38</v>
      </c>
      <c r="M934" s="19"/>
      <c r="N934" s="19" t="s">
        <v>269</v>
      </c>
      <c r="O934" s="20" t="s">
        <v>40</v>
      </c>
      <c r="P934" s="20" t="s">
        <v>41</v>
      </c>
      <c r="Q934" s="19" t="s">
        <v>4708</v>
      </c>
      <c r="R934" s="21" t="s">
        <v>4709</v>
      </c>
      <c r="S934" s="19" t="s">
        <v>46</v>
      </c>
      <c r="T934" s="19" t="s">
        <v>4383</v>
      </c>
      <c r="U934" s="19" t="s">
        <v>636</v>
      </c>
      <c r="V934" s="19" t="s">
        <v>45</v>
      </c>
      <c r="W934" s="19"/>
      <c r="X934" s="19"/>
      <c r="Y934" s="19"/>
      <c r="Z934" s="19" t="s">
        <v>637</v>
      </c>
      <c r="AA934" s="19" t="s">
        <v>4710</v>
      </c>
      <c r="AB934" s="19" t="s">
        <v>4711</v>
      </c>
      <c r="AC934" s="19" t="s">
        <v>46</v>
      </c>
      <c r="AD934" s="19"/>
      <c r="AE934" s="19" t="s">
        <v>641</v>
      </c>
      <c r="AF934" s="19" t="s">
        <v>190</v>
      </c>
      <c r="AG934" s="19">
        <v>6</v>
      </c>
      <c r="AH934" s="19" t="s">
        <v>190</v>
      </c>
      <c r="AI934" s="19"/>
      <c r="AJ934" s="22">
        <v>43349.544930555552</v>
      </c>
      <c r="AK934" s="19" t="s">
        <v>4386</v>
      </c>
    </row>
    <row r="935" spans="1:37" s="23" customFormat="1">
      <c r="A935" s="19" t="str">
        <f>VLOOKUP(H935,Languages!$A$2:$B$430,2,FALSE)</f>
        <v>Indo-European</v>
      </c>
      <c r="B935" s="19" t="s">
        <v>67</v>
      </c>
      <c r="C935" s="19" t="s">
        <v>4376</v>
      </c>
      <c r="D935" s="19" t="s">
        <v>4848</v>
      </c>
      <c r="E935" s="20" t="s">
        <v>239</v>
      </c>
      <c r="F935" s="20" t="s">
        <v>239</v>
      </c>
      <c r="G935" s="19" t="s">
        <v>239</v>
      </c>
      <c r="H935" s="19" t="str">
        <f>VLOOKUP(G935,'languoid 4.0'!$A$1:$I$24439,2,FALSE)</f>
        <v>indo1319</v>
      </c>
      <c r="I935" s="19" t="str">
        <f>VLOOKUP(G935,'languoid 4.0'!$A$1:$I$24439,6,FALSE)</f>
        <v>language</v>
      </c>
      <c r="J935" s="20" t="s">
        <v>38</v>
      </c>
      <c r="K935" s="20" t="s">
        <v>38</v>
      </c>
      <c r="L935" s="20" t="s">
        <v>38</v>
      </c>
      <c r="M935" s="19"/>
      <c r="N935" s="19" t="s">
        <v>269</v>
      </c>
      <c r="O935" s="20" t="s">
        <v>40</v>
      </c>
      <c r="P935" s="20" t="s">
        <v>41</v>
      </c>
      <c r="Q935" s="19" t="s">
        <v>4849</v>
      </c>
      <c r="R935" s="21" t="s">
        <v>4850</v>
      </c>
      <c r="S935" s="19" t="s">
        <v>46</v>
      </c>
      <c r="T935" s="19" t="s">
        <v>4383</v>
      </c>
      <c r="U935" s="19" t="s">
        <v>636</v>
      </c>
      <c r="V935" s="19" t="s">
        <v>45</v>
      </c>
      <c r="W935" s="19"/>
      <c r="X935" s="19"/>
      <c r="Y935" s="19"/>
      <c r="Z935" s="19" t="s">
        <v>637</v>
      </c>
      <c r="AA935" s="19" t="s">
        <v>4851</v>
      </c>
      <c r="AB935" s="19" t="s">
        <v>4852</v>
      </c>
      <c r="AC935" s="19" t="s">
        <v>46</v>
      </c>
      <c r="AD935" s="19"/>
      <c r="AE935" s="19" t="s">
        <v>641</v>
      </c>
      <c r="AF935" s="19" t="s">
        <v>190</v>
      </c>
      <c r="AG935" s="19">
        <v>5</v>
      </c>
      <c r="AH935" s="19" t="s">
        <v>190</v>
      </c>
      <c r="AI935" s="19" t="s">
        <v>4853</v>
      </c>
      <c r="AJ935" s="22">
        <v>43440.451180555552</v>
      </c>
      <c r="AK935" s="19" t="s">
        <v>4386</v>
      </c>
    </row>
    <row r="936" spans="1:37" s="23" customFormat="1">
      <c r="A936" s="19" t="str">
        <f>VLOOKUP(H936,Languages!$A$2:$B$430,2,FALSE)</f>
        <v>Indo-European</v>
      </c>
      <c r="B936" s="19" t="s">
        <v>67</v>
      </c>
      <c r="C936" s="19" t="s">
        <v>4376</v>
      </c>
      <c r="D936" s="19" t="s">
        <v>5701</v>
      </c>
      <c r="E936" s="20" t="s">
        <v>4378</v>
      </c>
      <c r="F936" s="20" t="s">
        <v>51</v>
      </c>
      <c r="G936" s="19" t="s">
        <v>4378</v>
      </c>
      <c r="H936" s="19" t="str">
        <f>VLOOKUP(G936,'languoid 4.0'!$A$1:$I$24439,2,FALSE)</f>
        <v>indo1319</v>
      </c>
      <c r="I936" s="19" t="str">
        <f>VLOOKUP(G936,'languoid 4.0'!$A$1:$I$24439,6,FALSE)</f>
        <v>language</v>
      </c>
      <c r="J936" s="20" t="s">
        <v>52</v>
      </c>
      <c r="K936" s="20" t="s">
        <v>51</v>
      </c>
      <c r="L936" s="20" t="s">
        <v>51</v>
      </c>
      <c r="M936" s="19"/>
      <c r="N936" s="19" t="s">
        <v>4380</v>
      </c>
      <c r="O936" s="20" t="s">
        <v>40</v>
      </c>
      <c r="P936" s="20" t="s">
        <v>41</v>
      </c>
      <c r="Q936" s="19" t="s">
        <v>5702</v>
      </c>
      <c r="R936" s="21" t="s">
        <v>5703</v>
      </c>
      <c r="S936" s="19" t="s">
        <v>46</v>
      </c>
      <c r="T936" s="19" t="s">
        <v>4383</v>
      </c>
      <c r="U936" s="19" t="s">
        <v>636</v>
      </c>
      <c r="V936" s="19" t="s">
        <v>45</v>
      </c>
      <c r="W936" s="19"/>
      <c r="X936" s="19"/>
      <c r="Y936" s="19"/>
      <c r="Z936" s="19" t="s">
        <v>637</v>
      </c>
      <c r="AA936" s="19" t="s">
        <v>5704</v>
      </c>
      <c r="AB936" s="19" t="s">
        <v>5705</v>
      </c>
      <c r="AC936" s="19" t="s">
        <v>46</v>
      </c>
      <c r="AD936" s="19"/>
      <c r="AE936" s="19" t="s">
        <v>641</v>
      </c>
      <c r="AF936" s="19" t="s">
        <v>190</v>
      </c>
      <c r="AG936" s="19">
        <v>5</v>
      </c>
      <c r="AH936" s="19" t="s">
        <v>190</v>
      </c>
      <c r="AI936" s="19"/>
      <c r="AJ936" s="19" t="s">
        <v>5706</v>
      </c>
      <c r="AK936" s="19" t="s">
        <v>4386</v>
      </c>
    </row>
    <row r="937" spans="1:37" s="23" customFormat="1">
      <c r="A937" s="19" t="str">
        <f>VLOOKUP(H937,Languages!$A$2:$B$430,2,FALSE)</f>
        <v>Indo-European</v>
      </c>
      <c r="B937" s="19" t="s">
        <v>67</v>
      </c>
      <c r="C937" s="19" t="s">
        <v>4376</v>
      </c>
      <c r="D937" s="19" t="s">
        <v>5707</v>
      </c>
      <c r="E937" s="20" t="s">
        <v>239</v>
      </c>
      <c r="F937" s="20" t="s">
        <v>239</v>
      </c>
      <c r="G937" s="19" t="s">
        <v>239</v>
      </c>
      <c r="H937" s="19" t="str">
        <f>VLOOKUP(G937,'languoid 4.0'!$A$1:$I$24439,2,FALSE)</f>
        <v>indo1319</v>
      </c>
      <c r="I937" s="19" t="str">
        <f>VLOOKUP(G937,'languoid 4.0'!$A$1:$I$24439,6,FALSE)</f>
        <v>language</v>
      </c>
      <c r="J937" s="20" t="s">
        <v>38</v>
      </c>
      <c r="K937" s="20" t="s">
        <v>38</v>
      </c>
      <c r="L937" s="20" t="s">
        <v>38</v>
      </c>
      <c r="M937" s="19"/>
      <c r="N937" s="19" t="s">
        <v>269</v>
      </c>
      <c r="O937" s="20" t="s">
        <v>40</v>
      </c>
      <c r="P937" s="20" t="s">
        <v>41</v>
      </c>
      <c r="Q937" s="19" t="s">
        <v>5708</v>
      </c>
      <c r="R937" s="21" t="s">
        <v>5709</v>
      </c>
      <c r="S937" s="19" t="s">
        <v>46</v>
      </c>
      <c r="T937" s="19" t="s">
        <v>4383</v>
      </c>
      <c r="U937" s="19" t="s">
        <v>636</v>
      </c>
      <c r="V937" s="19" t="s">
        <v>45</v>
      </c>
      <c r="W937" s="19"/>
      <c r="X937" s="19"/>
      <c r="Y937" s="19"/>
      <c r="Z937" s="19" t="s">
        <v>637</v>
      </c>
      <c r="AA937" s="19" t="s">
        <v>5710</v>
      </c>
      <c r="AB937" s="19" t="s">
        <v>5711</v>
      </c>
      <c r="AC937" s="19" t="s">
        <v>46</v>
      </c>
      <c r="AD937" s="19"/>
      <c r="AE937" s="19" t="s">
        <v>641</v>
      </c>
      <c r="AF937" s="19" t="s">
        <v>190</v>
      </c>
      <c r="AG937" s="19">
        <v>4</v>
      </c>
      <c r="AH937" s="19" t="s">
        <v>190</v>
      </c>
      <c r="AI937" s="19"/>
      <c r="AJ937" s="19" t="s">
        <v>5712</v>
      </c>
      <c r="AK937" s="19" t="s">
        <v>4386</v>
      </c>
    </row>
    <row r="938" spans="1:37" s="23" customFormat="1">
      <c r="A938" s="19" t="str">
        <f>VLOOKUP(H938,Languages!$A$2:$B$430,2,FALSE)</f>
        <v>Indo-European</v>
      </c>
      <c r="B938" s="19" t="s">
        <v>67</v>
      </c>
      <c r="C938" s="19" t="s">
        <v>4376</v>
      </c>
      <c r="D938" s="19" t="s">
        <v>6077</v>
      </c>
      <c r="E938" s="20" t="s">
        <v>4378</v>
      </c>
      <c r="F938" s="20" t="s">
        <v>4378</v>
      </c>
      <c r="G938" s="19" t="s">
        <v>4378</v>
      </c>
      <c r="H938" s="19" t="str">
        <f>VLOOKUP(G938,'languoid 4.0'!$A$1:$I$24439,2,FALSE)</f>
        <v>indo1319</v>
      </c>
      <c r="I938" s="19" t="str">
        <f>VLOOKUP(G938,'languoid 4.0'!$A$1:$I$24439,6,FALSE)</f>
        <v>language</v>
      </c>
      <c r="J938" s="20" t="s">
        <v>38</v>
      </c>
      <c r="K938" s="20" t="s">
        <v>38</v>
      </c>
      <c r="L938" s="20" t="s">
        <v>38</v>
      </c>
      <c r="M938" s="19"/>
      <c r="N938" s="19" t="s">
        <v>4380</v>
      </c>
      <c r="O938" s="20" t="s">
        <v>40</v>
      </c>
      <c r="P938" s="20" t="s">
        <v>41</v>
      </c>
      <c r="Q938" s="19" t="s">
        <v>6078</v>
      </c>
      <c r="R938" s="21" t="s">
        <v>6079</v>
      </c>
      <c r="S938" s="19" t="s">
        <v>46</v>
      </c>
      <c r="T938" s="19" t="s">
        <v>4383</v>
      </c>
      <c r="U938" s="19" t="s">
        <v>636</v>
      </c>
      <c r="V938" s="19" t="s">
        <v>45</v>
      </c>
      <c r="W938" s="19"/>
      <c r="X938" s="19"/>
      <c r="Y938" s="19"/>
      <c r="Z938" s="19" t="s">
        <v>637</v>
      </c>
      <c r="AA938" s="19" t="s">
        <v>6080</v>
      </c>
      <c r="AB938" s="19" t="s">
        <v>6081</v>
      </c>
      <c r="AC938" s="19" t="s">
        <v>46</v>
      </c>
      <c r="AD938" s="19"/>
      <c r="AE938" s="19" t="s">
        <v>641</v>
      </c>
      <c r="AF938" s="19" t="s">
        <v>190</v>
      </c>
      <c r="AG938" s="19">
        <v>6</v>
      </c>
      <c r="AH938" s="19" t="s">
        <v>190</v>
      </c>
      <c r="AI938" s="19"/>
      <c r="AJ938" s="22">
        <v>43138.451064814813</v>
      </c>
      <c r="AK938" s="19" t="s">
        <v>4386</v>
      </c>
    </row>
    <row r="939" spans="1:37" s="23" customFormat="1">
      <c r="A939" s="19" t="str">
        <f>VLOOKUP(H939,Languages!$A$2:$B$430,2,FALSE)</f>
        <v>Indo-European</v>
      </c>
      <c r="B939" s="19" t="s">
        <v>67</v>
      </c>
      <c r="C939" s="19" t="s">
        <v>4376</v>
      </c>
      <c r="D939" s="19" t="s">
        <v>8042</v>
      </c>
      <c r="E939" s="20" t="s">
        <v>4378</v>
      </c>
      <c r="F939" s="20" t="s">
        <v>4378</v>
      </c>
      <c r="G939" s="19" t="s">
        <v>4378</v>
      </c>
      <c r="H939" s="19" t="str">
        <f>VLOOKUP(G939,'languoid 4.0'!$A$1:$I$24439,2,FALSE)</f>
        <v>indo1319</v>
      </c>
      <c r="I939" s="19" t="str">
        <f>VLOOKUP(G939,'languoid 4.0'!$A$1:$I$24439,6,FALSE)</f>
        <v>language</v>
      </c>
      <c r="J939" s="20" t="s">
        <v>38</v>
      </c>
      <c r="K939" s="20" t="s">
        <v>38</v>
      </c>
      <c r="L939" s="20" t="s">
        <v>38</v>
      </c>
      <c r="M939" s="19"/>
      <c r="N939" s="19" t="s">
        <v>4380</v>
      </c>
      <c r="O939" s="20" t="s">
        <v>40</v>
      </c>
      <c r="P939" s="20" t="s">
        <v>41</v>
      </c>
      <c r="Q939" s="19" t="s">
        <v>8043</v>
      </c>
      <c r="R939" s="21" t="s">
        <v>8038</v>
      </c>
      <c r="S939" s="19" t="s">
        <v>399</v>
      </c>
      <c r="T939" s="19" t="s">
        <v>657</v>
      </c>
      <c r="U939" s="19" t="s">
        <v>636</v>
      </c>
      <c r="V939" s="19" t="s">
        <v>45</v>
      </c>
      <c r="W939" s="19"/>
      <c r="X939" s="19"/>
      <c r="Y939" s="19"/>
      <c r="Z939" s="19" t="s">
        <v>637</v>
      </c>
      <c r="AA939" s="19" t="s">
        <v>8044</v>
      </c>
      <c r="AB939" s="19" t="s">
        <v>8045</v>
      </c>
      <c r="AC939" s="19" t="s">
        <v>46</v>
      </c>
      <c r="AD939" s="19"/>
      <c r="AE939" s="19" t="s">
        <v>641</v>
      </c>
      <c r="AF939" s="19" t="s">
        <v>45</v>
      </c>
      <c r="AG939" s="19">
        <v>1</v>
      </c>
      <c r="AH939" s="19" t="s">
        <v>190</v>
      </c>
      <c r="AI939" s="19"/>
      <c r="AJ939" s="19" t="s">
        <v>8046</v>
      </c>
      <c r="AK939" s="19" t="s">
        <v>4386</v>
      </c>
    </row>
    <row r="940" spans="1:37" s="23" customFormat="1">
      <c r="A940" s="19" t="str">
        <f>VLOOKUP(H940,Languages!$A$2:$B$430,2,FALSE)</f>
        <v>Indo-European</v>
      </c>
      <c r="B940" s="19" t="s">
        <v>67</v>
      </c>
      <c r="C940" s="19" t="s">
        <v>206</v>
      </c>
      <c r="D940" s="19" t="s">
        <v>2529</v>
      </c>
      <c r="E940" s="20" t="s">
        <v>239</v>
      </c>
      <c r="F940" s="20" t="s">
        <v>51</v>
      </c>
      <c r="G940" s="19" t="s">
        <v>239</v>
      </c>
      <c r="H940" s="19" t="str">
        <f>VLOOKUP(G940,'languoid 4.0'!$A$1:$I$24439,2,FALSE)</f>
        <v>indo1319</v>
      </c>
      <c r="I940" s="19" t="str">
        <f>VLOOKUP(G940,'languoid 4.0'!$A$1:$I$24439,6,FALSE)</f>
        <v>language</v>
      </c>
      <c r="J940" s="20" t="s">
        <v>52</v>
      </c>
      <c r="K940" s="20" t="s">
        <v>51</v>
      </c>
      <c r="L940" s="20" t="s">
        <v>51</v>
      </c>
      <c r="M940" s="19"/>
      <c r="N940" s="19" t="s">
        <v>269</v>
      </c>
      <c r="O940" s="20" t="s">
        <v>40</v>
      </c>
      <c r="P940" s="20" t="s">
        <v>632</v>
      </c>
      <c r="Q940" s="19" t="s">
        <v>2530</v>
      </c>
      <c r="R940" s="21" t="s">
        <v>2531</v>
      </c>
      <c r="S940" s="19" t="s">
        <v>225</v>
      </c>
      <c r="T940" s="19" t="s">
        <v>657</v>
      </c>
      <c r="U940" s="19" t="s">
        <v>1750</v>
      </c>
      <c r="V940" s="19" t="s">
        <v>45</v>
      </c>
      <c r="W940" s="19"/>
      <c r="X940" s="19"/>
      <c r="Y940" s="19"/>
      <c r="Z940" s="19" t="s">
        <v>637</v>
      </c>
      <c r="AA940" s="19" t="s">
        <v>2532</v>
      </c>
      <c r="AB940" s="19" t="s">
        <v>2533</v>
      </c>
      <c r="AC940" s="19" t="s">
        <v>2534</v>
      </c>
      <c r="AD940" s="19"/>
      <c r="AE940" s="19" t="s">
        <v>641</v>
      </c>
      <c r="AF940" s="19" t="s">
        <v>45</v>
      </c>
      <c r="AG940" s="19">
        <v>1</v>
      </c>
      <c r="AH940" s="19" t="s">
        <v>190</v>
      </c>
      <c r="AI940" s="19"/>
      <c r="AJ940" s="22">
        <v>43163.636747685188</v>
      </c>
      <c r="AK940" s="19" t="s">
        <v>1246</v>
      </c>
    </row>
    <row r="941" spans="1:37" s="23" customFormat="1">
      <c r="A941" s="19" t="str">
        <f>VLOOKUP(H941,Languages!$A$2:$B$430,2,FALSE)</f>
        <v>Indo-European</v>
      </c>
      <c r="B941" s="19" t="s">
        <v>67</v>
      </c>
      <c r="C941" s="19" t="s">
        <v>206</v>
      </c>
      <c r="D941" s="19" t="s">
        <v>2535</v>
      </c>
      <c r="E941" s="20" t="s">
        <v>239</v>
      </c>
      <c r="F941" s="20" t="s">
        <v>51</v>
      </c>
      <c r="G941" s="19" t="s">
        <v>239</v>
      </c>
      <c r="H941" s="19" t="str">
        <f>VLOOKUP(G941,'languoid 4.0'!$A$1:$I$24439,2,FALSE)</f>
        <v>indo1319</v>
      </c>
      <c r="I941" s="19" t="str">
        <f>VLOOKUP(G941,'languoid 4.0'!$A$1:$I$24439,6,FALSE)</f>
        <v>language</v>
      </c>
      <c r="J941" s="20" t="s">
        <v>52</v>
      </c>
      <c r="K941" s="20" t="s">
        <v>51</v>
      </c>
      <c r="L941" s="20" t="s">
        <v>51</v>
      </c>
      <c r="M941" s="19"/>
      <c r="N941" s="19" t="s">
        <v>269</v>
      </c>
      <c r="O941" s="20" t="s">
        <v>40</v>
      </c>
      <c r="P941" s="20" t="s">
        <v>632</v>
      </c>
      <c r="Q941" s="19" t="s">
        <v>2536</v>
      </c>
      <c r="R941" s="21" t="s">
        <v>2537</v>
      </c>
      <c r="S941" s="19" t="s">
        <v>123</v>
      </c>
      <c r="T941" s="19" t="s">
        <v>657</v>
      </c>
      <c r="U941" s="19" t="s">
        <v>2538</v>
      </c>
      <c r="V941" s="19" t="s">
        <v>45</v>
      </c>
      <c r="W941" s="19"/>
      <c r="X941" s="19"/>
      <c r="Y941" s="19"/>
      <c r="Z941" s="19" t="s">
        <v>637</v>
      </c>
      <c r="AA941" s="19" t="s">
        <v>2539</v>
      </c>
      <c r="AB941" s="19" t="s">
        <v>2540</v>
      </c>
      <c r="AC941" s="19" t="s">
        <v>2534</v>
      </c>
      <c r="AD941" s="19"/>
      <c r="AE941" s="19" t="s">
        <v>641</v>
      </c>
      <c r="AF941" s="19" t="s">
        <v>190</v>
      </c>
      <c r="AG941" s="19">
        <v>6</v>
      </c>
      <c r="AH941" s="19" t="s">
        <v>190</v>
      </c>
      <c r="AI941" s="19"/>
      <c r="AJ941" s="22">
        <v>43163.652916666666</v>
      </c>
      <c r="AK941" s="19" t="s">
        <v>1246</v>
      </c>
    </row>
    <row r="942" spans="1:37" s="23" customFormat="1">
      <c r="A942" s="19" t="str">
        <f>VLOOKUP(H942,Languages!$A$2:$B$430,2,FALSE)</f>
        <v>Indo-European</v>
      </c>
      <c r="B942" s="19" t="s">
        <v>67</v>
      </c>
      <c r="C942" s="19" t="s">
        <v>4417</v>
      </c>
      <c r="D942" s="19" t="s">
        <v>4549</v>
      </c>
      <c r="E942" s="20" t="s">
        <v>3656</v>
      </c>
      <c r="F942" s="20" t="s">
        <v>3656</v>
      </c>
      <c r="G942" s="19" t="s">
        <v>3656</v>
      </c>
      <c r="H942" s="19" t="str">
        <f>VLOOKUP(G942,'languoid 4.0'!$A$1:$I$24439,2,FALSE)</f>
        <v>indo1319</v>
      </c>
      <c r="I942" s="19" t="str">
        <f>VLOOKUP(G942,'languoid 4.0'!$A$1:$I$24439,6,FALSE)</f>
        <v>language</v>
      </c>
      <c r="J942" s="20" t="s">
        <v>38</v>
      </c>
      <c r="K942" s="20" t="s">
        <v>38</v>
      </c>
      <c r="L942" s="20" t="s">
        <v>38</v>
      </c>
      <c r="M942" s="19"/>
      <c r="N942" s="19" t="s">
        <v>4419</v>
      </c>
      <c r="O942" s="20" t="s">
        <v>40</v>
      </c>
      <c r="P942" s="20" t="s">
        <v>41</v>
      </c>
      <c r="Q942" s="19" t="s">
        <v>4550</v>
      </c>
      <c r="R942" s="21" t="s">
        <v>4551</v>
      </c>
      <c r="S942" s="19" t="s">
        <v>46</v>
      </c>
      <c r="T942" s="19" t="s">
        <v>635</v>
      </c>
      <c r="U942" s="19" t="s">
        <v>636</v>
      </c>
      <c r="V942" s="19" t="s">
        <v>45</v>
      </c>
      <c r="W942" s="19"/>
      <c r="X942" s="19"/>
      <c r="Y942" s="19"/>
      <c r="Z942" s="19" t="s">
        <v>658</v>
      </c>
      <c r="AA942" s="19" t="s">
        <v>4552</v>
      </c>
      <c r="AB942" s="19" t="s">
        <v>4553</v>
      </c>
      <c r="AC942" s="19" t="s">
        <v>46</v>
      </c>
      <c r="AD942" s="19" t="s">
        <v>4554</v>
      </c>
      <c r="AE942" s="19" t="s">
        <v>641</v>
      </c>
      <c r="AF942" s="19" t="s">
        <v>190</v>
      </c>
      <c r="AG942" s="19">
        <v>5</v>
      </c>
      <c r="AH942" s="19" t="s">
        <v>190</v>
      </c>
      <c r="AI942" s="19"/>
      <c r="AJ942" s="22">
        <v>43287.503888888888</v>
      </c>
      <c r="AK942" s="19" t="s">
        <v>4424</v>
      </c>
    </row>
    <row r="943" spans="1:37" s="23" customFormat="1">
      <c r="A943" s="19" t="str">
        <f>VLOOKUP(H943,Languages!$A$2:$B$430,2,FALSE)</f>
        <v>Indo-European</v>
      </c>
      <c r="B943" s="19" t="s">
        <v>67</v>
      </c>
      <c r="C943" s="19" t="s">
        <v>4417</v>
      </c>
      <c r="D943" s="19" t="s">
        <v>4555</v>
      </c>
      <c r="E943" s="20" t="s">
        <v>3656</v>
      </c>
      <c r="F943" s="20" t="s">
        <v>3656</v>
      </c>
      <c r="G943" s="19" t="s">
        <v>3656</v>
      </c>
      <c r="H943" s="19" t="str">
        <f>VLOOKUP(G943,'languoid 4.0'!$A$1:$I$24439,2,FALSE)</f>
        <v>indo1319</v>
      </c>
      <c r="I943" s="19" t="str">
        <f>VLOOKUP(G943,'languoid 4.0'!$A$1:$I$24439,6,FALSE)</f>
        <v>language</v>
      </c>
      <c r="J943" s="20" t="s">
        <v>38</v>
      </c>
      <c r="K943" s="20" t="s">
        <v>38</v>
      </c>
      <c r="L943" s="20" t="s">
        <v>38</v>
      </c>
      <c r="M943" s="19"/>
      <c r="N943" s="19" t="s">
        <v>4419</v>
      </c>
      <c r="O943" s="20" t="s">
        <v>40</v>
      </c>
      <c r="P943" s="20" t="s">
        <v>41</v>
      </c>
      <c r="Q943" s="19" t="s">
        <v>4556</v>
      </c>
      <c r="R943" s="21" t="s">
        <v>4557</v>
      </c>
      <c r="S943" s="19" t="s">
        <v>46</v>
      </c>
      <c r="T943" s="19" t="s">
        <v>635</v>
      </c>
      <c r="U943" s="19" t="s">
        <v>636</v>
      </c>
      <c r="V943" s="19" t="s">
        <v>45</v>
      </c>
      <c r="W943" s="19"/>
      <c r="X943" s="19"/>
      <c r="Y943" s="19"/>
      <c r="Z943" s="19" t="s">
        <v>658</v>
      </c>
      <c r="AA943" s="19" t="s">
        <v>4558</v>
      </c>
      <c r="AB943" s="19" t="s">
        <v>4559</v>
      </c>
      <c r="AC943" s="19" t="s">
        <v>46</v>
      </c>
      <c r="AD943" s="19" t="s">
        <v>4560</v>
      </c>
      <c r="AE943" s="19" t="s">
        <v>641</v>
      </c>
      <c r="AF943" s="19" t="s">
        <v>190</v>
      </c>
      <c r="AG943" s="19">
        <v>4</v>
      </c>
      <c r="AH943" s="19" t="s">
        <v>190</v>
      </c>
      <c r="AI943" s="19"/>
      <c r="AJ943" s="22">
        <v>43287.514398148145</v>
      </c>
      <c r="AK943" s="19" t="s">
        <v>4424</v>
      </c>
    </row>
    <row r="944" spans="1:37" s="23" customFormat="1">
      <c r="A944" s="19" t="str">
        <f>VLOOKUP(H944,Languages!$A$2:$B$430,2,FALSE)</f>
        <v>Indo-European</v>
      </c>
      <c r="B944" s="19" t="s">
        <v>67</v>
      </c>
      <c r="C944" s="19" t="s">
        <v>4417</v>
      </c>
      <c r="D944" s="19" t="s">
        <v>4735</v>
      </c>
      <c r="E944" s="20" t="s">
        <v>4736</v>
      </c>
      <c r="F944" s="20" t="s">
        <v>4736</v>
      </c>
      <c r="G944" s="19" t="s">
        <v>4736</v>
      </c>
      <c r="H944" s="19" t="str">
        <f>VLOOKUP(G944,'languoid 4.0'!$A$1:$I$24439,2,FALSE)</f>
        <v>indo1319</v>
      </c>
      <c r="I944" s="19" t="str">
        <f>VLOOKUP(G944,'languoid 4.0'!$A$1:$I$24439,6,FALSE)</f>
        <v>language</v>
      </c>
      <c r="J944" s="20" t="s">
        <v>38</v>
      </c>
      <c r="K944" s="20" t="s">
        <v>38</v>
      </c>
      <c r="L944" s="20" t="s">
        <v>38</v>
      </c>
      <c r="M944" s="19"/>
      <c r="N944" s="19" t="s">
        <v>4737</v>
      </c>
      <c r="O944" s="20" t="s">
        <v>40</v>
      </c>
      <c r="P944" s="20" t="s">
        <v>41</v>
      </c>
      <c r="Q944" s="19" t="s">
        <v>4738</v>
      </c>
      <c r="R944" s="21" t="s">
        <v>4739</v>
      </c>
      <c r="S944" s="19" t="s">
        <v>46</v>
      </c>
      <c r="T944" s="19" t="s">
        <v>635</v>
      </c>
      <c r="U944" s="19" t="s">
        <v>636</v>
      </c>
      <c r="V944" s="19" t="s">
        <v>45</v>
      </c>
      <c r="W944" s="19"/>
      <c r="X944" s="19"/>
      <c r="Y944" s="19"/>
      <c r="Z944" s="19" t="s">
        <v>658</v>
      </c>
      <c r="AA944" s="19" t="s">
        <v>4740</v>
      </c>
      <c r="AB944" s="19" t="s">
        <v>4741</v>
      </c>
      <c r="AC944" s="19" t="s">
        <v>46</v>
      </c>
      <c r="AD944" s="19" t="s">
        <v>4742</v>
      </c>
      <c r="AE944" s="19" t="s">
        <v>641</v>
      </c>
      <c r="AF944" s="19" t="s">
        <v>190</v>
      </c>
      <c r="AG944" s="19">
        <v>4</v>
      </c>
      <c r="AH944" s="19" t="s">
        <v>190</v>
      </c>
      <c r="AI944" s="19"/>
      <c r="AJ944" s="22">
        <v>43349.614374999997</v>
      </c>
      <c r="AK944" s="19" t="s">
        <v>4424</v>
      </c>
    </row>
    <row r="945" spans="1:37" s="23" customFormat="1">
      <c r="A945" s="19" t="str">
        <f>VLOOKUP(H945,Languages!$A$2:$B$430,2,FALSE)</f>
        <v>Indo-European</v>
      </c>
      <c r="B945" s="19" t="s">
        <v>67</v>
      </c>
      <c r="C945" s="19" t="s">
        <v>4417</v>
      </c>
      <c r="D945" s="19" t="s">
        <v>4861</v>
      </c>
      <c r="E945" s="20" t="s">
        <v>4736</v>
      </c>
      <c r="F945" s="20" t="s">
        <v>4736</v>
      </c>
      <c r="G945" s="19" t="s">
        <v>4736</v>
      </c>
      <c r="H945" s="19" t="str">
        <f>VLOOKUP(G945,'languoid 4.0'!$A$1:$I$24439,2,FALSE)</f>
        <v>indo1319</v>
      </c>
      <c r="I945" s="19" t="str">
        <f>VLOOKUP(G945,'languoid 4.0'!$A$1:$I$24439,6,FALSE)</f>
        <v>language</v>
      </c>
      <c r="J945" s="20" t="s">
        <v>38</v>
      </c>
      <c r="K945" s="20" t="s">
        <v>38</v>
      </c>
      <c r="L945" s="20" t="s">
        <v>38</v>
      </c>
      <c r="M945" s="19"/>
      <c r="N945" s="19" t="s">
        <v>4737</v>
      </c>
      <c r="O945" s="20" t="s">
        <v>40</v>
      </c>
      <c r="P945" s="20" t="s">
        <v>41</v>
      </c>
      <c r="Q945" s="19" t="s">
        <v>4910</v>
      </c>
      <c r="R945" s="21" t="s">
        <v>4863</v>
      </c>
      <c r="S945" s="19" t="s">
        <v>4911</v>
      </c>
      <c r="T945" s="19" t="s">
        <v>657</v>
      </c>
      <c r="U945" s="19" t="s">
        <v>636</v>
      </c>
      <c r="V945" s="19" t="s">
        <v>45</v>
      </c>
      <c r="W945" s="19"/>
      <c r="X945" s="19"/>
      <c r="Y945" s="19"/>
      <c r="Z945" s="19" t="s">
        <v>673</v>
      </c>
      <c r="AA945" s="19" t="s">
        <v>46</v>
      </c>
      <c r="AB945" s="19" t="s">
        <v>4912</v>
      </c>
      <c r="AC945" s="19" t="s">
        <v>46</v>
      </c>
      <c r="AD945" s="19" t="s">
        <v>4913</v>
      </c>
      <c r="AE945" s="19" t="s">
        <v>641</v>
      </c>
      <c r="AF945" s="19" t="s">
        <v>190</v>
      </c>
      <c r="AG945" s="19">
        <v>5</v>
      </c>
      <c r="AH945" s="19" t="s">
        <v>190</v>
      </c>
      <c r="AI945" s="19" t="s">
        <v>4914</v>
      </c>
      <c r="AJ945" s="22">
        <v>43440.607048611113</v>
      </c>
      <c r="AK945" s="19" t="s">
        <v>4424</v>
      </c>
    </row>
    <row r="946" spans="1:37" s="23" customFormat="1">
      <c r="A946" s="19" t="str">
        <f>VLOOKUP(H946,Languages!$A$2:$B$430,2,FALSE)</f>
        <v>Indo-European</v>
      </c>
      <c r="B946" s="19" t="s">
        <v>67</v>
      </c>
      <c r="C946" s="19" t="s">
        <v>4417</v>
      </c>
      <c r="D946" s="19" t="s">
        <v>4861</v>
      </c>
      <c r="E946" s="20" t="s">
        <v>4736</v>
      </c>
      <c r="F946" s="20" t="s">
        <v>4736</v>
      </c>
      <c r="G946" s="19" t="s">
        <v>4736</v>
      </c>
      <c r="H946" s="19" t="str">
        <f>VLOOKUP(G946,'languoid 4.0'!$A$1:$I$24439,2,FALSE)</f>
        <v>indo1319</v>
      </c>
      <c r="I946" s="19" t="str">
        <f>VLOOKUP(G946,'languoid 4.0'!$A$1:$I$24439,6,FALSE)</f>
        <v>language</v>
      </c>
      <c r="J946" s="20" t="s">
        <v>38</v>
      </c>
      <c r="K946" s="20" t="s">
        <v>38</v>
      </c>
      <c r="L946" s="20" t="s">
        <v>38</v>
      </c>
      <c r="M946" s="19"/>
      <c r="N946" s="19" t="s">
        <v>4737</v>
      </c>
      <c r="O946" s="20" t="s">
        <v>40</v>
      </c>
      <c r="P946" s="20" t="s">
        <v>41</v>
      </c>
      <c r="Q946" s="19" t="s">
        <v>5749</v>
      </c>
      <c r="R946" s="21" t="s">
        <v>5480</v>
      </c>
      <c r="S946" s="19">
        <v>207</v>
      </c>
      <c r="T946" s="19" t="s">
        <v>657</v>
      </c>
      <c r="U946" s="19" t="s">
        <v>636</v>
      </c>
      <c r="V946" s="19" t="s">
        <v>45</v>
      </c>
      <c r="W946" s="19"/>
      <c r="X946" s="19"/>
      <c r="Y946" s="19"/>
      <c r="Z946" s="19" t="s">
        <v>673</v>
      </c>
      <c r="AA946" s="19" t="s">
        <v>5750</v>
      </c>
      <c r="AB946" s="19" t="s">
        <v>5750</v>
      </c>
      <c r="AC946" s="19" t="s">
        <v>46</v>
      </c>
      <c r="AD946" s="19" t="s">
        <v>5482</v>
      </c>
      <c r="AE946" s="19" t="s">
        <v>641</v>
      </c>
      <c r="AF946" s="19" t="s">
        <v>190</v>
      </c>
      <c r="AG946" s="19">
        <v>6</v>
      </c>
      <c r="AH946" s="19" t="s">
        <v>190</v>
      </c>
      <c r="AI946" s="19"/>
      <c r="AJ946" s="19" t="s">
        <v>5751</v>
      </c>
      <c r="AK946" s="19" t="s">
        <v>4424</v>
      </c>
    </row>
    <row r="947" spans="1:37" s="23" customFormat="1">
      <c r="A947" s="19" t="str">
        <f>VLOOKUP(H947,Languages!$A$2:$B$430,2,FALSE)</f>
        <v>Indo-European</v>
      </c>
      <c r="B947" s="19" t="s">
        <v>67</v>
      </c>
      <c r="C947" s="19" t="s">
        <v>4417</v>
      </c>
      <c r="D947" s="19" t="s">
        <v>4861</v>
      </c>
      <c r="E947" s="20" t="s">
        <v>4736</v>
      </c>
      <c r="F947" s="20" t="s">
        <v>4736</v>
      </c>
      <c r="G947" s="19" t="s">
        <v>4736</v>
      </c>
      <c r="H947" s="19" t="str">
        <f>VLOOKUP(G947,'languoid 4.0'!$A$1:$I$24439,2,FALSE)</f>
        <v>indo1319</v>
      </c>
      <c r="I947" s="19" t="str">
        <f>VLOOKUP(G947,'languoid 4.0'!$A$1:$I$24439,6,FALSE)</f>
        <v>language</v>
      </c>
      <c r="J947" s="20" t="s">
        <v>38</v>
      </c>
      <c r="K947" s="20" t="s">
        <v>38</v>
      </c>
      <c r="L947" s="20" t="s">
        <v>38</v>
      </c>
      <c r="M947" s="19"/>
      <c r="N947" s="19" t="s">
        <v>4737</v>
      </c>
      <c r="O947" s="20" t="s">
        <v>40</v>
      </c>
      <c r="P947" s="20" t="s">
        <v>41</v>
      </c>
      <c r="Q947" s="19" t="s">
        <v>5929</v>
      </c>
      <c r="R947" s="21" t="s">
        <v>5480</v>
      </c>
      <c r="S947" s="19">
        <v>202</v>
      </c>
      <c r="T947" s="19" t="s">
        <v>657</v>
      </c>
      <c r="U947" s="19" t="s">
        <v>1812</v>
      </c>
      <c r="V947" s="19" t="s">
        <v>45</v>
      </c>
      <c r="W947" s="19"/>
      <c r="X947" s="19"/>
      <c r="Y947" s="19"/>
      <c r="Z947" s="19" t="s">
        <v>673</v>
      </c>
      <c r="AA947" s="19" t="s">
        <v>46</v>
      </c>
      <c r="AB947" s="19" t="s">
        <v>5930</v>
      </c>
      <c r="AC947" s="19" t="s">
        <v>46</v>
      </c>
      <c r="AD947" s="19" t="s">
        <v>5931</v>
      </c>
      <c r="AE947" s="19" t="s">
        <v>641</v>
      </c>
      <c r="AF947" s="19" t="s">
        <v>190</v>
      </c>
      <c r="AG947" s="19">
        <v>6</v>
      </c>
      <c r="AH947" s="19" t="s">
        <v>190</v>
      </c>
      <c r="AI947" s="19"/>
      <c r="AJ947" s="19" t="s">
        <v>5932</v>
      </c>
      <c r="AK947" s="19" t="s">
        <v>4424</v>
      </c>
    </row>
    <row r="948" spans="1:37" s="23" customFormat="1">
      <c r="A948" s="19" t="str">
        <f>VLOOKUP(H948,Languages!$A$2:$B$430,2,FALSE)</f>
        <v>Indo-European</v>
      </c>
      <c r="B948" s="19" t="s">
        <v>67</v>
      </c>
      <c r="C948" s="19" t="s">
        <v>4417</v>
      </c>
      <c r="D948" s="19" t="s">
        <v>7326</v>
      </c>
      <c r="E948" s="20" t="s">
        <v>4736</v>
      </c>
      <c r="F948" s="20" t="s">
        <v>4736</v>
      </c>
      <c r="G948" s="19" t="s">
        <v>4736</v>
      </c>
      <c r="H948" s="19" t="str">
        <f>VLOOKUP(G948,'languoid 4.0'!$A$1:$I$24439,2,FALSE)</f>
        <v>indo1319</v>
      </c>
      <c r="I948" s="19" t="str">
        <f>VLOOKUP(G948,'languoid 4.0'!$A$1:$I$24439,6,FALSE)</f>
        <v>language</v>
      </c>
      <c r="J948" s="20" t="s">
        <v>38</v>
      </c>
      <c r="K948" s="20" t="s">
        <v>38</v>
      </c>
      <c r="L948" s="20" t="s">
        <v>38</v>
      </c>
      <c r="M948" s="19"/>
      <c r="N948" s="19" t="s">
        <v>4737</v>
      </c>
      <c r="O948" s="20" t="s">
        <v>40</v>
      </c>
      <c r="P948" s="20" t="s">
        <v>41</v>
      </c>
      <c r="Q948" s="19" t="s">
        <v>7327</v>
      </c>
      <c r="R948" s="21" t="s">
        <v>7328</v>
      </c>
      <c r="S948" s="19" t="s">
        <v>46</v>
      </c>
      <c r="T948" s="19" t="s">
        <v>7329</v>
      </c>
      <c r="U948" s="19" t="s">
        <v>636</v>
      </c>
      <c r="V948" s="19" t="s">
        <v>45</v>
      </c>
      <c r="W948" s="19"/>
      <c r="X948" s="19"/>
      <c r="Y948" s="19"/>
      <c r="Z948" s="19" t="s">
        <v>658</v>
      </c>
      <c r="AA948" s="19" t="s">
        <v>7330</v>
      </c>
      <c r="AB948" s="19" t="s">
        <v>46</v>
      </c>
      <c r="AC948" s="19" t="s">
        <v>46</v>
      </c>
      <c r="AD948" s="19"/>
      <c r="AE948" s="19" t="s">
        <v>641</v>
      </c>
      <c r="AF948" s="19" t="s">
        <v>45</v>
      </c>
      <c r="AG948" s="19">
        <v>1</v>
      </c>
      <c r="AH948" s="19" t="s">
        <v>190</v>
      </c>
      <c r="AI948" s="19"/>
      <c r="AJ948" s="22">
        <v>43381.971296296295</v>
      </c>
      <c r="AK948" s="19" t="s">
        <v>4424</v>
      </c>
    </row>
    <row r="949" spans="1:37" s="23" customFormat="1">
      <c r="A949" s="19" t="str">
        <f>VLOOKUP(H949,Languages!$A$2:$B$430,2,FALSE)</f>
        <v>Indo-European</v>
      </c>
      <c r="B949" s="19" t="s">
        <v>67</v>
      </c>
      <c r="C949" s="19" t="s">
        <v>4417</v>
      </c>
      <c r="D949" s="19" t="s">
        <v>7331</v>
      </c>
      <c r="E949" s="20" t="s">
        <v>7332</v>
      </c>
      <c r="F949" s="20" t="s">
        <v>7332</v>
      </c>
      <c r="G949" s="19" t="s">
        <v>7332</v>
      </c>
      <c r="H949" s="19" t="str">
        <f>VLOOKUP(G949,'languoid 4.0'!$A$1:$I$24439,2,FALSE)</f>
        <v>indo1319</v>
      </c>
      <c r="I949" s="19" t="str">
        <f>VLOOKUP(G949,'languoid 4.0'!$A$1:$I$24439,6,FALSE)</f>
        <v>language</v>
      </c>
      <c r="J949" s="20" t="s">
        <v>38</v>
      </c>
      <c r="K949" s="20" t="s">
        <v>38</v>
      </c>
      <c r="L949" s="20" t="s">
        <v>38</v>
      </c>
      <c r="M949" s="19"/>
      <c r="N949" s="19" t="s">
        <v>7333</v>
      </c>
      <c r="O949" s="20" t="s">
        <v>40</v>
      </c>
      <c r="P949" s="20" t="s">
        <v>41</v>
      </c>
      <c r="Q949" s="19" t="s">
        <v>7334</v>
      </c>
      <c r="R949" s="21" t="s">
        <v>7335</v>
      </c>
      <c r="S949" s="19" t="s">
        <v>46</v>
      </c>
      <c r="T949" s="19" t="s">
        <v>7302</v>
      </c>
      <c r="U949" s="19" t="s">
        <v>636</v>
      </c>
      <c r="V949" s="19" t="s">
        <v>45</v>
      </c>
      <c r="W949" s="19"/>
      <c r="X949" s="19"/>
      <c r="Y949" s="19"/>
      <c r="Z949" s="19" t="s">
        <v>673</v>
      </c>
      <c r="AA949" s="19" t="s">
        <v>46</v>
      </c>
      <c r="AB949" s="19" t="s">
        <v>7330</v>
      </c>
      <c r="AC949" s="19" t="s">
        <v>46</v>
      </c>
      <c r="AD949" s="19"/>
      <c r="AE949" s="19" t="s">
        <v>641</v>
      </c>
      <c r="AF949" s="19" t="s">
        <v>45</v>
      </c>
      <c r="AG949" s="19">
        <v>1</v>
      </c>
      <c r="AH949" s="19" t="s">
        <v>190</v>
      </c>
      <c r="AI949" s="19"/>
      <c r="AJ949" s="22">
        <v>43381.975624999999</v>
      </c>
      <c r="AK949" s="19" t="s">
        <v>4424</v>
      </c>
    </row>
    <row r="950" spans="1:37" s="23" customFormat="1">
      <c r="A950" s="19" t="str">
        <f>VLOOKUP(H950,Languages!$A$2:$B$430,2,FALSE)</f>
        <v>Indo-European</v>
      </c>
      <c r="B950" s="19" t="s">
        <v>67</v>
      </c>
      <c r="C950" s="19" t="s">
        <v>4417</v>
      </c>
      <c r="D950" s="19" t="s">
        <v>7331</v>
      </c>
      <c r="E950" s="20" t="s">
        <v>7332</v>
      </c>
      <c r="F950" s="20" t="s">
        <v>7332</v>
      </c>
      <c r="G950" s="19" t="s">
        <v>7332</v>
      </c>
      <c r="H950" s="19" t="str">
        <f>VLOOKUP(G950,'languoid 4.0'!$A$1:$I$24439,2,FALSE)</f>
        <v>indo1319</v>
      </c>
      <c r="I950" s="19" t="str">
        <f>VLOOKUP(G950,'languoid 4.0'!$A$1:$I$24439,6,FALSE)</f>
        <v>language</v>
      </c>
      <c r="J950" s="20" t="s">
        <v>38</v>
      </c>
      <c r="K950" s="20" t="s">
        <v>38</v>
      </c>
      <c r="L950" s="20" t="s">
        <v>38</v>
      </c>
      <c r="M950" s="19"/>
      <c r="N950" s="19" t="s">
        <v>7333</v>
      </c>
      <c r="O950" s="20" t="s">
        <v>40</v>
      </c>
      <c r="P950" s="20" t="s">
        <v>41</v>
      </c>
      <c r="Q950" s="19" t="s">
        <v>7336</v>
      </c>
      <c r="R950" s="21" t="s">
        <v>7337</v>
      </c>
      <c r="S950" s="19" t="s">
        <v>46</v>
      </c>
      <c r="T950" s="19" t="s">
        <v>7302</v>
      </c>
      <c r="U950" s="19" t="s">
        <v>636</v>
      </c>
      <c r="V950" s="19" t="s">
        <v>45</v>
      </c>
      <c r="W950" s="19"/>
      <c r="X950" s="19"/>
      <c r="Y950" s="19"/>
      <c r="Z950" s="19" t="s">
        <v>673</v>
      </c>
      <c r="AA950" s="19" t="s">
        <v>46</v>
      </c>
      <c r="AB950" s="19" t="s">
        <v>7330</v>
      </c>
      <c r="AC950" s="19" t="s">
        <v>46</v>
      </c>
      <c r="AD950" s="19"/>
      <c r="AE950" s="19" t="s">
        <v>641</v>
      </c>
      <c r="AF950" s="19" t="s">
        <v>190</v>
      </c>
      <c r="AG950" s="19">
        <v>6</v>
      </c>
      <c r="AH950" s="19" t="s">
        <v>190</v>
      </c>
      <c r="AI950" s="19"/>
      <c r="AJ950" s="22">
        <v>43381.977511574078</v>
      </c>
      <c r="AK950" s="19" t="s">
        <v>4424</v>
      </c>
    </row>
    <row r="951" spans="1:37" s="23" customFormat="1">
      <c r="A951" s="19" t="str">
        <f>VLOOKUP(H951,Languages!$A$2:$B$430,2,FALSE)</f>
        <v>Indo-European</v>
      </c>
      <c r="B951" s="19" t="s">
        <v>59</v>
      </c>
      <c r="C951" s="19" t="s">
        <v>1012</v>
      </c>
      <c r="D951" s="19" t="s">
        <v>3111</v>
      </c>
      <c r="E951" s="20" t="s">
        <v>2756</v>
      </c>
      <c r="F951" s="20" t="s">
        <v>2757</v>
      </c>
      <c r="G951" s="19" t="s">
        <v>2757</v>
      </c>
      <c r="H951" s="19" t="str">
        <f>VLOOKUP(G951,'languoid 4.0'!$A$1:$I$24439,2,FALSE)</f>
        <v>indo1319</v>
      </c>
      <c r="I951" s="19" t="str">
        <f>VLOOKUP(G951,'languoid 4.0'!$A$1:$I$24439,6,FALSE)</f>
        <v>family</v>
      </c>
      <c r="J951" s="20" t="s">
        <v>52</v>
      </c>
      <c r="K951" s="20" t="s">
        <v>38</v>
      </c>
      <c r="L951" s="20" t="s">
        <v>38</v>
      </c>
      <c r="M951" s="19"/>
      <c r="N951" s="19" t="s">
        <v>2758</v>
      </c>
      <c r="O951" s="20" t="s">
        <v>40</v>
      </c>
      <c r="P951" s="20" t="s">
        <v>41</v>
      </c>
      <c r="Q951" s="19" t="s">
        <v>3133</v>
      </c>
      <c r="R951" s="21" t="s">
        <v>3134</v>
      </c>
      <c r="S951" s="19" t="s">
        <v>46</v>
      </c>
      <c r="T951" s="19" t="s">
        <v>2735</v>
      </c>
      <c r="U951" s="19" t="s">
        <v>636</v>
      </c>
      <c r="V951" s="19" t="s">
        <v>45</v>
      </c>
      <c r="W951" s="19"/>
      <c r="X951" s="19"/>
      <c r="Y951" s="19"/>
      <c r="Z951" s="19" t="s">
        <v>658</v>
      </c>
      <c r="AA951" s="19" t="s">
        <v>3135</v>
      </c>
      <c r="AB951" s="19" t="s">
        <v>46</v>
      </c>
      <c r="AC951" s="19" t="s">
        <v>46</v>
      </c>
      <c r="AD951" s="19" t="s">
        <v>3109</v>
      </c>
      <c r="AE951" s="19" t="s">
        <v>641</v>
      </c>
      <c r="AF951" s="19" t="s">
        <v>190</v>
      </c>
      <c r="AG951" s="19">
        <v>5</v>
      </c>
      <c r="AH951" s="19" t="s">
        <v>190</v>
      </c>
      <c r="AI951" s="19"/>
      <c r="AJ951" s="19" t="s">
        <v>3136</v>
      </c>
      <c r="AK951" s="19" t="s">
        <v>1023</v>
      </c>
    </row>
    <row r="952" spans="1:37" s="23" customFormat="1">
      <c r="A952" s="19" t="str">
        <f>VLOOKUP(H952,Languages!$A$2:$B$430,2,FALSE)</f>
        <v>Indo-European</v>
      </c>
      <c r="B952" s="19" t="s">
        <v>59</v>
      </c>
      <c r="C952" s="19" t="s">
        <v>1405</v>
      </c>
      <c r="D952" s="19" t="s">
        <v>6019</v>
      </c>
      <c r="E952" s="20" t="s">
        <v>1407</v>
      </c>
      <c r="F952" s="20" t="s">
        <v>1407</v>
      </c>
      <c r="G952" s="19" t="s">
        <v>1407</v>
      </c>
      <c r="H952" s="19" t="str">
        <f>VLOOKUP(G952,'languoid 4.0'!$A$1:$I$24439,2,FALSE)</f>
        <v>indo1319</v>
      </c>
      <c r="I952" s="19" t="str">
        <f>VLOOKUP(G952,'languoid 4.0'!$A$1:$I$24439,6,FALSE)</f>
        <v>language</v>
      </c>
      <c r="J952" s="20" t="s">
        <v>38</v>
      </c>
      <c r="K952" s="20" t="s">
        <v>38</v>
      </c>
      <c r="L952" s="20" t="s">
        <v>38</v>
      </c>
      <c r="M952" s="19"/>
      <c r="N952" s="19" t="s">
        <v>1409</v>
      </c>
      <c r="O952" s="20" t="s">
        <v>40</v>
      </c>
      <c r="P952" s="20" t="s">
        <v>41</v>
      </c>
      <c r="Q952" s="19" t="s">
        <v>9474</v>
      </c>
      <c r="R952" s="21" t="s">
        <v>9475</v>
      </c>
      <c r="S952" s="19" t="s">
        <v>46</v>
      </c>
      <c r="T952" s="19" t="s">
        <v>822</v>
      </c>
      <c r="U952" s="19" t="s">
        <v>636</v>
      </c>
      <c r="V952" s="19" t="s">
        <v>45</v>
      </c>
      <c r="W952" s="19"/>
      <c r="X952" s="19"/>
      <c r="Y952" s="19"/>
      <c r="Z952" s="19" t="s">
        <v>658</v>
      </c>
      <c r="AA952" s="19" t="s">
        <v>9476</v>
      </c>
      <c r="AB952" s="19" t="s">
        <v>46</v>
      </c>
      <c r="AC952" s="19" t="s">
        <v>46</v>
      </c>
      <c r="AD952" s="19"/>
      <c r="AE952" s="19" t="s">
        <v>641</v>
      </c>
      <c r="AF952" s="19" t="s">
        <v>190</v>
      </c>
      <c r="AG952" s="19">
        <v>6</v>
      </c>
      <c r="AH952" s="19" t="s">
        <v>190</v>
      </c>
      <c r="AI952" s="19"/>
      <c r="AJ952" s="22">
        <v>43291.32849537037</v>
      </c>
      <c r="AK952" s="19" t="s">
        <v>1598</v>
      </c>
    </row>
    <row r="953" spans="1:37" s="23" customFormat="1">
      <c r="A953" s="19" t="str">
        <f>VLOOKUP(H953,Languages!$A$2:$B$430,2,FALSE)</f>
        <v>Indo-European</v>
      </c>
      <c r="B953" s="19" t="s">
        <v>59</v>
      </c>
      <c r="C953" s="19" t="s">
        <v>407</v>
      </c>
      <c r="D953" s="19" t="s">
        <v>550</v>
      </c>
      <c r="E953" s="20" t="s">
        <v>551</v>
      </c>
      <c r="F953" s="20" t="s">
        <v>552</v>
      </c>
      <c r="G953" s="19" t="s">
        <v>551</v>
      </c>
      <c r="H953" s="19" t="str">
        <f>VLOOKUP(G953,'languoid 4.0'!$A$1:$I$24439,2,FALSE)</f>
        <v>indo1319</v>
      </c>
      <c r="I953" s="19" t="str">
        <f>VLOOKUP(G953,'languoid 4.0'!$A$1:$I$24439,6,FALSE)</f>
        <v>dialect</v>
      </c>
      <c r="J953" s="20" t="s">
        <v>52</v>
      </c>
      <c r="K953" s="20" t="s">
        <v>38</v>
      </c>
      <c r="L953" s="20" t="s">
        <v>38</v>
      </c>
      <c r="M953" s="19"/>
      <c r="N953" s="19"/>
      <c r="O953" s="20" t="s">
        <v>40</v>
      </c>
      <c r="P953" s="20" t="s">
        <v>41</v>
      </c>
      <c r="Q953" s="19" t="s">
        <v>2716</v>
      </c>
      <c r="R953" s="21" t="s">
        <v>2717</v>
      </c>
      <c r="S953" s="19" t="s">
        <v>2718</v>
      </c>
      <c r="T953" s="19" t="s">
        <v>44</v>
      </c>
      <c r="U953" s="19"/>
      <c r="V953" s="19" t="s">
        <v>45</v>
      </c>
      <c r="W953" s="19"/>
      <c r="X953" s="19"/>
      <c r="Y953" s="19"/>
      <c r="Z953" s="19" t="s">
        <v>823</v>
      </c>
      <c r="AA953" s="19">
        <v>7</v>
      </c>
      <c r="AB953" s="19">
        <v>7</v>
      </c>
      <c r="AC953" s="19">
        <v>7</v>
      </c>
      <c r="AD953" s="19"/>
      <c r="AE953" s="19"/>
      <c r="AF953" s="19"/>
      <c r="AG953" s="19"/>
      <c r="AH953" s="19"/>
      <c r="AI953" s="19"/>
      <c r="AJ953" s="22">
        <v>43347.784641203703</v>
      </c>
      <c r="AK953" s="19" t="s">
        <v>47</v>
      </c>
    </row>
    <row r="954" spans="1:37" s="23" customFormat="1">
      <c r="A954" s="19" t="str">
        <f>VLOOKUP(H954,Languages!$A$2:$B$430,2,FALSE)</f>
        <v>Indo-European</v>
      </c>
      <c r="B954" s="19" t="s">
        <v>59</v>
      </c>
      <c r="C954" s="19" t="s">
        <v>407</v>
      </c>
      <c r="D954" s="19" t="s">
        <v>11386</v>
      </c>
      <c r="E954" s="20" t="s">
        <v>551</v>
      </c>
      <c r="F954" s="20" t="s">
        <v>551</v>
      </c>
      <c r="G954" s="19" t="s">
        <v>551</v>
      </c>
      <c r="H954" s="19" t="str">
        <f>VLOOKUP(G954,'languoid 4.0'!$A$1:$I$24439,2,FALSE)</f>
        <v>indo1319</v>
      </c>
      <c r="I954" s="19" t="str">
        <f>VLOOKUP(G954,'languoid 4.0'!$A$1:$I$24439,6,FALSE)</f>
        <v>dialect</v>
      </c>
      <c r="J954" s="20" t="s">
        <v>38</v>
      </c>
      <c r="K954" s="20" t="s">
        <v>38</v>
      </c>
      <c r="L954" s="20" t="s">
        <v>38</v>
      </c>
      <c r="M954" s="19"/>
      <c r="N954" s="19"/>
      <c r="O954" s="20" t="s">
        <v>40</v>
      </c>
      <c r="P954" s="20" t="s">
        <v>41</v>
      </c>
      <c r="Q954" s="19" t="s">
        <v>11387</v>
      </c>
      <c r="R954" s="21" t="s">
        <v>11388</v>
      </c>
      <c r="S954" s="19" t="s">
        <v>323</v>
      </c>
      <c r="T954" s="19" t="s">
        <v>657</v>
      </c>
      <c r="U954" s="19" t="s">
        <v>636</v>
      </c>
      <c r="V954" s="19" t="s">
        <v>45</v>
      </c>
      <c r="W954" s="19"/>
      <c r="X954" s="19"/>
      <c r="Y954" s="19"/>
      <c r="Z954" s="19" t="s">
        <v>673</v>
      </c>
      <c r="AA954" s="19" t="s">
        <v>46</v>
      </c>
      <c r="AB954" s="19" t="s">
        <v>11389</v>
      </c>
      <c r="AC954" s="19" t="s">
        <v>46</v>
      </c>
      <c r="AD954" s="19"/>
      <c r="AE954" s="19" t="s">
        <v>641</v>
      </c>
      <c r="AF954" s="19" t="s">
        <v>190</v>
      </c>
      <c r="AG954" s="19">
        <v>5</v>
      </c>
      <c r="AH954" s="19" t="s">
        <v>190</v>
      </c>
      <c r="AI954" s="19"/>
      <c r="AJ954" s="19" t="s">
        <v>11390</v>
      </c>
      <c r="AK954" s="19" t="s">
        <v>4386</v>
      </c>
    </row>
    <row r="955" spans="1:37" s="23" customFormat="1">
      <c r="A955" s="19" t="str">
        <f>VLOOKUP(H955,Languages!$A$2:$B$430,2,FALSE)</f>
        <v>Indo-European</v>
      </c>
      <c r="B955" s="19" t="s">
        <v>59</v>
      </c>
      <c r="C955" s="19" t="s">
        <v>407</v>
      </c>
      <c r="D955" s="19" t="s">
        <v>11386</v>
      </c>
      <c r="E955" s="20" t="s">
        <v>551</v>
      </c>
      <c r="F955" s="20" t="s">
        <v>551</v>
      </c>
      <c r="G955" s="19" t="s">
        <v>551</v>
      </c>
      <c r="H955" s="19" t="str">
        <f>VLOOKUP(G955,'languoid 4.0'!$A$1:$I$24439,2,FALSE)</f>
        <v>indo1319</v>
      </c>
      <c r="I955" s="19" t="str">
        <f>VLOOKUP(G955,'languoid 4.0'!$A$1:$I$24439,6,FALSE)</f>
        <v>dialect</v>
      </c>
      <c r="J955" s="20" t="s">
        <v>38</v>
      </c>
      <c r="K955" s="20" t="s">
        <v>38</v>
      </c>
      <c r="L955" s="20" t="s">
        <v>38</v>
      </c>
      <c r="M955" s="19"/>
      <c r="N955" s="19"/>
      <c r="O955" s="20" t="s">
        <v>40</v>
      </c>
      <c r="P955" s="20" t="s">
        <v>41</v>
      </c>
      <c r="Q955" s="19" t="s">
        <v>11391</v>
      </c>
      <c r="R955" s="21" t="s">
        <v>11388</v>
      </c>
      <c r="S955" s="19" t="s">
        <v>81</v>
      </c>
      <c r="T955" s="19" t="s">
        <v>657</v>
      </c>
      <c r="U955" s="19" t="s">
        <v>636</v>
      </c>
      <c r="V955" s="19" t="s">
        <v>45</v>
      </c>
      <c r="W955" s="19"/>
      <c r="X955" s="19"/>
      <c r="Y955" s="19"/>
      <c r="Z955" s="19" t="s">
        <v>673</v>
      </c>
      <c r="AA955" s="19" t="s">
        <v>46</v>
      </c>
      <c r="AB955" s="19" t="s">
        <v>11389</v>
      </c>
      <c r="AC955" s="19" t="s">
        <v>46</v>
      </c>
      <c r="AD955" s="19"/>
      <c r="AE955" s="19" t="s">
        <v>641</v>
      </c>
      <c r="AF955" s="19" t="s">
        <v>190</v>
      </c>
      <c r="AG955" s="19">
        <v>4</v>
      </c>
      <c r="AH955" s="19" t="s">
        <v>190</v>
      </c>
      <c r="AI955" s="19"/>
      <c r="AJ955" s="19" t="s">
        <v>11392</v>
      </c>
      <c r="AK955" s="19" t="s">
        <v>4386</v>
      </c>
    </row>
    <row r="956" spans="1:37" s="23" customFormat="1">
      <c r="A956" s="19" t="str">
        <f>VLOOKUP(H956,Languages!$A$2:$B$430,2,FALSE)</f>
        <v>Indo-European</v>
      </c>
      <c r="B956" s="19" t="s">
        <v>59</v>
      </c>
      <c r="C956" s="19" t="s">
        <v>267</v>
      </c>
      <c r="D956" s="19" t="s">
        <v>2711</v>
      </c>
      <c r="E956" s="20" t="s">
        <v>239</v>
      </c>
      <c r="F956" s="20" t="s">
        <v>239</v>
      </c>
      <c r="G956" s="19" t="s">
        <v>239</v>
      </c>
      <c r="H956" s="19" t="str">
        <f>VLOOKUP(G956,'languoid 4.0'!$A$1:$I$24439,2,FALSE)</f>
        <v>indo1319</v>
      </c>
      <c r="I956" s="19" t="str">
        <f>VLOOKUP(G956,'languoid 4.0'!$A$1:$I$24439,6,FALSE)</f>
        <v>language</v>
      </c>
      <c r="J956" s="20" t="s">
        <v>38</v>
      </c>
      <c r="K956" s="20" t="s">
        <v>38</v>
      </c>
      <c r="L956" s="20" t="s">
        <v>38</v>
      </c>
      <c r="M956" s="19"/>
      <c r="N956" s="19" t="s">
        <v>269</v>
      </c>
      <c r="O956" s="20" t="s">
        <v>40</v>
      </c>
      <c r="P956" s="20" t="s">
        <v>632</v>
      </c>
      <c r="Q956" s="19" t="s">
        <v>2712</v>
      </c>
      <c r="R956" s="21" t="s">
        <v>2713</v>
      </c>
      <c r="S956" s="19" t="s">
        <v>2714</v>
      </c>
      <c r="T956" s="19" t="s">
        <v>44</v>
      </c>
      <c r="U956" s="19"/>
      <c r="V956" s="19" t="s">
        <v>45</v>
      </c>
      <c r="W956" s="19"/>
      <c r="X956" s="19"/>
      <c r="Y956" s="19"/>
      <c r="Z956" s="19" t="s">
        <v>637</v>
      </c>
      <c r="AA956" s="19">
        <v>51</v>
      </c>
      <c r="AB956" s="19" t="s">
        <v>2715</v>
      </c>
      <c r="AC956" s="19" t="s">
        <v>46</v>
      </c>
      <c r="AD956" s="19"/>
      <c r="AE956" s="19"/>
      <c r="AF956" s="19"/>
      <c r="AG956" s="19"/>
      <c r="AH956" s="19"/>
      <c r="AI956" s="19"/>
      <c r="AJ956" s="22">
        <v>43347.783750000002</v>
      </c>
      <c r="AK956" s="19" t="s">
        <v>47</v>
      </c>
    </row>
    <row r="957" spans="1:37" s="23" customFormat="1">
      <c r="A957" s="19" t="str">
        <f>VLOOKUP(H957,Languages!$A$2:$B$430,2,FALSE)</f>
        <v>Indo-European</v>
      </c>
      <c r="B957" s="19" t="s">
        <v>59</v>
      </c>
      <c r="C957" s="19" t="s">
        <v>124</v>
      </c>
      <c r="D957" s="19" t="s">
        <v>184</v>
      </c>
      <c r="E957" s="20" t="s">
        <v>185</v>
      </c>
      <c r="F957" s="20" t="s">
        <v>186</v>
      </c>
      <c r="G957" s="19" t="s">
        <v>187</v>
      </c>
      <c r="H957" s="19" t="str">
        <f>VLOOKUP(G957,'languoid 4.0'!$A$1:$I$24439,2,FALSE)</f>
        <v>indo1319</v>
      </c>
      <c r="I957" s="19" t="str">
        <f>VLOOKUP(G957,'languoid 4.0'!$A$1:$I$24439,6,FALSE)</f>
        <v>language</v>
      </c>
      <c r="J957" s="20" t="s">
        <v>52</v>
      </c>
      <c r="K957" s="20" t="s">
        <v>38</v>
      </c>
      <c r="L957" s="20" t="s">
        <v>38</v>
      </c>
      <c r="M957" s="19"/>
      <c r="N957" s="19"/>
      <c r="O957" s="20" t="s">
        <v>113</v>
      </c>
      <c r="P957" s="20" t="s">
        <v>41</v>
      </c>
      <c r="Q957" s="19" t="s">
        <v>188</v>
      </c>
      <c r="R957" s="21" t="s">
        <v>189</v>
      </c>
      <c r="S957" s="19" t="s">
        <v>46</v>
      </c>
      <c r="T957" s="19" t="s">
        <v>44</v>
      </c>
      <c r="U957" s="19"/>
      <c r="V957" s="19" t="s">
        <v>190</v>
      </c>
      <c r="W957" s="19" t="s">
        <v>191</v>
      </c>
      <c r="X957" s="19" t="s">
        <v>192</v>
      </c>
      <c r="Y957" s="19" t="s">
        <v>193</v>
      </c>
      <c r="Z957" s="19"/>
      <c r="AA957" s="19">
        <v>1</v>
      </c>
      <c r="AB957" s="19">
        <v>1</v>
      </c>
      <c r="AC957" s="19" t="s">
        <v>46</v>
      </c>
      <c r="AD957" s="19"/>
      <c r="AE957" s="19"/>
      <c r="AF957" s="19"/>
      <c r="AG957" s="19"/>
      <c r="AH957" s="19"/>
      <c r="AI957" s="19"/>
      <c r="AJ957" s="22">
        <v>43102.734583333331</v>
      </c>
      <c r="AK957" s="19" t="s">
        <v>47</v>
      </c>
    </row>
    <row r="958" spans="1:37" s="23" customFormat="1">
      <c r="A958" s="19" t="str">
        <f>VLOOKUP(H958,Languages!$A$2:$B$430,2,FALSE)</f>
        <v>Indo-European</v>
      </c>
      <c r="B958" s="19" t="s">
        <v>59</v>
      </c>
      <c r="C958" s="19" t="s">
        <v>124</v>
      </c>
      <c r="D958" s="19" t="s">
        <v>1272</v>
      </c>
      <c r="E958" s="20" t="s">
        <v>1273</v>
      </c>
      <c r="F958" s="20" t="s">
        <v>1274</v>
      </c>
      <c r="G958" s="19" t="s">
        <v>1273</v>
      </c>
      <c r="H958" s="19" t="str">
        <f>VLOOKUP(G958,'languoid 4.0'!$A$1:$I$24439,2,FALSE)</f>
        <v>indo1319</v>
      </c>
      <c r="I958" s="19" t="str">
        <f>VLOOKUP(G958,'languoid 4.0'!$A$1:$I$24439,6,FALSE)</f>
        <v>language</v>
      </c>
      <c r="J958" s="20" t="s">
        <v>52</v>
      </c>
      <c r="K958" s="20" t="s">
        <v>38</v>
      </c>
      <c r="L958" s="20" t="s">
        <v>38</v>
      </c>
      <c r="M958" s="19"/>
      <c r="N958" s="19" t="s">
        <v>1275</v>
      </c>
      <c r="O958" s="20" t="s">
        <v>40</v>
      </c>
      <c r="P958" s="20" t="s">
        <v>41</v>
      </c>
      <c r="Q958" s="19" t="s">
        <v>1276</v>
      </c>
      <c r="R958" s="21" t="s">
        <v>1277</v>
      </c>
      <c r="S958" s="19" t="s">
        <v>46</v>
      </c>
      <c r="T958" s="19" t="s">
        <v>635</v>
      </c>
      <c r="U958" s="19" t="s">
        <v>636</v>
      </c>
      <c r="V958" s="19" t="s">
        <v>45</v>
      </c>
      <c r="W958" s="19"/>
      <c r="X958" s="19"/>
      <c r="Y958" s="19"/>
      <c r="Z958" s="19" t="s">
        <v>658</v>
      </c>
      <c r="AA958" s="19" t="s">
        <v>1278</v>
      </c>
      <c r="AB958" s="19" t="s">
        <v>46</v>
      </c>
      <c r="AC958" s="19" t="s">
        <v>46</v>
      </c>
      <c r="AD958" s="19" t="s">
        <v>1279</v>
      </c>
      <c r="AE958" s="19" t="s">
        <v>641</v>
      </c>
      <c r="AF958" s="19" t="s">
        <v>190</v>
      </c>
      <c r="AG958" s="19">
        <v>5</v>
      </c>
      <c r="AH958" s="19" t="s">
        <v>190</v>
      </c>
      <c r="AI958" s="19"/>
      <c r="AJ958" s="19" t="s">
        <v>1280</v>
      </c>
      <c r="AK958" s="19" t="s">
        <v>1126</v>
      </c>
    </row>
    <row r="959" spans="1:37" s="23" customFormat="1">
      <c r="A959" s="19" t="str">
        <f>VLOOKUP(H959,Languages!$A$2:$B$430,2,FALSE)</f>
        <v>Indo-European</v>
      </c>
      <c r="B959" s="19" t="s">
        <v>109</v>
      </c>
      <c r="C959" s="19" t="s">
        <v>477</v>
      </c>
      <c r="D959" s="19" t="s">
        <v>478</v>
      </c>
      <c r="E959" s="20" t="s">
        <v>479</v>
      </c>
      <c r="F959" s="20" t="s">
        <v>180</v>
      </c>
      <c r="G959" s="19" t="s">
        <v>479</v>
      </c>
      <c r="H959" s="19" t="str">
        <f>VLOOKUP(G959,'languoid 4.0'!$A$1:$I$24439,2,FALSE)</f>
        <v>indo1319</v>
      </c>
      <c r="I959" s="19" t="str">
        <f>VLOOKUP(G959,'languoid 4.0'!$A$1:$I$24439,6,FALSE)</f>
        <v>language</v>
      </c>
      <c r="J959" s="20" t="s">
        <v>52</v>
      </c>
      <c r="K959" s="20" t="s">
        <v>38</v>
      </c>
      <c r="L959" s="20" t="s">
        <v>38</v>
      </c>
      <c r="M959" s="19"/>
      <c r="N959" s="19" t="s">
        <v>480</v>
      </c>
      <c r="O959" s="20" t="s">
        <v>40</v>
      </c>
      <c r="P959" s="20" t="s">
        <v>41</v>
      </c>
      <c r="Q959" s="19" t="s">
        <v>481</v>
      </c>
      <c r="R959" s="21" t="s">
        <v>482</v>
      </c>
      <c r="S959" s="19" t="s">
        <v>353</v>
      </c>
      <c r="T959" s="19" t="s">
        <v>44</v>
      </c>
      <c r="U959" s="19"/>
      <c r="V959" s="19" t="s">
        <v>45</v>
      </c>
      <c r="W959" s="19"/>
      <c r="X959" s="19"/>
      <c r="Y959" s="19"/>
      <c r="Z959" s="19"/>
      <c r="AA959" s="19" t="s">
        <v>46</v>
      </c>
      <c r="AB959" s="24">
        <v>43621</v>
      </c>
      <c r="AC959" s="19">
        <v>6</v>
      </c>
      <c r="AD959" s="19"/>
      <c r="AE959" s="19"/>
      <c r="AF959" s="19"/>
      <c r="AG959" s="19"/>
      <c r="AH959" s="19"/>
      <c r="AI959" s="19"/>
      <c r="AJ959" s="22">
        <v>43102.751574074071</v>
      </c>
      <c r="AK959" s="19" t="s">
        <v>47</v>
      </c>
    </row>
    <row r="960" spans="1:37" s="23" customFormat="1">
      <c r="A960" s="19" t="str">
        <f>VLOOKUP(H960,Languages!$A$2:$B$430,2,FALSE)</f>
        <v>Indo-European</v>
      </c>
      <c r="B960" s="19" t="s">
        <v>109</v>
      </c>
      <c r="C960" s="19" t="s">
        <v>477</v>
      </c>
      <c r="D960" s="19" t="s">
        <v>8331</v>
      </c>
      <c r="E960" s="20" t="s">
        <v>8332</v>
      </c>
      <c r="F960" s="20" t="s">
        <v>8332</v>
      </c>
      <c r="G960" s="19" t="s">
        <v>8332</v>
      </c>
      <c r="H960" s="19" t="str">
        <f>VLOOKUP(G960,'languoid 4.0'!$A$1:$I$24439,2,FALSE)</f>
        <v>indo1319</v>
      </c>
      <c r="I960" s="19" t="str">
        <f>VLOOKUP(G960,'languoid 4.0'!$A$1:$I$24439,6,FALSE)</f>
        <v>family</v>
      </c>
      <c r="J960" s="20" t="s">
        <v>38</v>
      </c>
      <c r="K960" s="20" t="s">
        <v>38</v>
      </c>
      <c r="L960" s="20" t="s">
        <v>38</v>
      </c>
      <c r="M960" s="19"/>
      <c r="N960" s="19"/>
      <c r="O960" s="20" t="s">
        <v>40</v>
      </c>
      <c r="P960" s="20" t="s">
        <v>41</v>
      </c>
      <c r="Q960" s="19" t="s">
        <v>8333</v>
      </c>
      <c r="R960" s="21" t="s">
        <v>8334</v>
      </c>
      <c r="S960" s="19" t="s">
        <v>46</v>
      </c>
      <c r="T960" s="19" t="s">
        <v>767</v>
      </c>
      <c r="U960" s="19" t="s">
        <v>636</v>
      </c>
      <c r="V960" s="19" t="s">
        <v>45</v>
      </c>
      <c r="W960" s="19"/>
      <c r="X960" s="19"/>
      <c r="Y960" s="19"/>
      <c r="Z960" s="19" t="s">
        <v>658</v>
      </c>
      <c r="AA960" s="19" t="s">
        <v>8335</v>
      </c>
      <c r="AB960" s="19" t="s">
        <v>46</v>
      </c>
      <c r="AC960" s="19" t="s">
        <v>46</v>
      </c>
      <c r="AD960" s="19"/>
      <c r="AE960" s="19" t="s">
        <v>641</v>
      </c>
      <c r="AF960" s="19" t="s">
        <v>190</v>
      </c>
      <c r="AG960" s="19">
        <v>6</v>
      </c>
      <c r="AH960" s="19" t="s">
        <v>190</v>
      </c>
      <c r="AI960" s="19" t="s">
        <v>8336</v>
      </c>
      <c r="AJ960" s="19" t="s">
        <v>8337</v>
      </c>
      <c r="AK960" s="19" t="s">
        <v>5678</v>
      </c>
    </row>
    <row r="961" spans="1:37" s="23" customFormat="1">
      <c r="A961" s="19" t="str">
        <f>VLOOKUP(H961,Languages!$A$2:$B$430,2,FALSE)</f>
        <v>Indo-European</v>
      </c>
      <c r="B961" s="19" t="s">
        <v>109</v>
      </c>
      <c r="C961" s="19" t="s">
        <v>94</v>
      </c>
      <c r="D961" s="19" t="s">
        <v>95</v>
      </c>
      <c r="E961" s="20" t="s">
        <v>96</v>
      </c>
      <c r="F961" s="20" t="s">
        <v>96</v>
      </c>
      <c r="G961" s="19" t="s">
        <v>96</v>
      </c>
      <c r="H961" s="19" t="str">
        <f>VLOOKUP(G961,'languoid 4.0'!$A$1:$I$24439,2,FALSE)</f>
        <v>indo1319</v>
      </c>
      <c r="I961" s="19" t="str">
        <f>VLOOKUP(G961,'languoid 4.0'!$A$1:$I$24439,6,FALSE)</f>
        <v>language</v>
      </c>
      <c r="J961" s="20" t="s">
        <v>38</v>
      </c>
      <c r="K961" s="20" t="s">
        <v>38</v>
      </c>
      <c r="L961" s="20" t="s">
        <v>38</v>
      </c>
      <c r="M961" s="19"/>
      <c r="N961" s="19" t="s">
        <v>97</v>
      </c>
      <c r="O961" s="20" t="s">
        <v>40</v>
      </c>
      <c r="P961" s="20" t="s">
        <v>41</v>
      </c>
      <c r="Q961" s="19" t="s">
        <v>465</v>
      </c>
      <c r="R961" s="21" t="s">
        <v>466</v>
      </c>
      <c r="S961" s="19" t="s">
        <v>351</v>
      </c>
      <c r="T961" s="19" t="s">
        <v>44</v>
      </c>
      <c r="U961" s="19"/>
      <c r="V961" s="19" t="s">
        <v>45</v>
      </c>
      <c r="W961" s="19"/>
      <c r="X961" s="19"/>
      <c r="Y961" s="19"/>
      <c r="Z961" s="19"/>
      <c r="AA961" s="19">
        <v>16</v>
      </c>
      <c r="AB961" s="19">
        <v>4</v>
      </c>
      <c r="AC961" s="19" t="s">
        <v>467</v>
      </c>
      <c r="AD961" s="19"/>
      <c r="AE961" s="19"/>
      <c r="AF961" s="19"/>
      <c r="AG961" s="19"/>
      <c r="AH961" s="19"/>
      <c r="AI961" s="19"/>
      <c r="AJ961" s="22">
        <v>43102.750520833331</v>
      </c>
      <c r="AK961" s="19" t="s">
        <v>47</v>
      </c>
    </row>
    <row r="962" spans="1:37" s="23" customFormat="1">
      <c r="A962" s="19" t="str">
        <f>VLOOKUP(H962,Languages!$A$2:$B$430,2,FALSE)</f>
        <v>Indo-European</v>
      </c>
      <c r="B962" s="19" t="s">
        <v>109</v>
      </c>
      <c r="C962" s="19" t="s">
        <v>94</v>
      </c>
      <c r="D962" s="19" t="s">
        <v>5015</v>
      </c>
      <c r="E962" s="20" t="s">
        <v>180</v>
      </c>
      <c r="F962" s="20" t="s">
        <v>180</v>
      </c>
      <c r="G962" s="19" t="s">
        <v>180</v>
      </c>
      <c r="H962" s="19" t="str">
        <f>VLOOKUP(G962,'languoid 4.0'!$A$1:$I$24439,2,FALSE)</f>
        <v>indo1319</v>
      </c>
      <c r="I962" s="19" t="str">
        <f>VLOOKUP(G962,'languoid 4.0'!$A$1:$I$24439,6,FALSE)</f>
        <v>language</v>
      </c>
      <c r="J962" s="20" t="s">
        <v>38</v>
      </c>
      <c r="K962" s="20" t="s">
        <v>38</v>
      </c>
      <c r="L962" s="20" t="s">
        <v>38</v>
      </c>
      <c r="M962" s="19"/>
      <c r="N962" s="19" t="s">
        <v>4842</v>
      </c>
      <c r="O962" s="20" t="s">
        <v>40</v>
      </c>
      <c r="P962" s="20" t="s">
        <v>41</v>
      </c>
      <c r="Q962" s="19" t="s">
        <v>5016</v>
      </c>
      <c r="R962" s="21" t="s">
        <v>5017</v>
      </c>
      <c r="S962" s="19" t="s">
        <v>46</v>
      </c>
      <c r="T962" s="19" t="s">
        <v>635</v>
      </c>
      <c r="U962" s="19" t="s">
        <v>636</v>
      </c>
      <c r="V962" s="19" t="s">
        <v>45</v>
      </c>
      <c r="W962" s="19"/>
      <c r="X962" s="19"/>
      <c r="Y962" s="19"/>
      <c r="Z962" s="19" t="s">
        <v>673</v>
      </c>
      <c r="AA962" s="19" t="s">
        <v>5018</v>
      </c>
      <c r="AB962" s="19" t="s">
        <v>46</v>
      </c>
      <c r="AC962" s="19" t="s">
        <v>46</v>
      </c>
      <c r="AD962" s="19"/>
      <c r="AE962" s="19" t="s">
        <v>641</v>
      </c>
      <c r="AF962" s="19" t="s">
        <v>190</v>
      </c>
      <c r="AG962" s="19">
        <v>6</v>
      </c>
      <c r="AH962" s="19" t="s">
        <v>190</v>
      </c>
      <c r="AI962" s="19"/>
      <c r="AJ962" s="19" t="s">
        <v>5019</v>
      </c>
      <c r="AK962" s="19" t="s">
        <v>4840</v>
      </c>
    </row>
    <row r="963" spans="1:37" s="23" customFormat="1">
      <c r="A963" s="19" t="str">
        <f>VLOOKUP(H963,Languages!$A$2:$B$430,2,FALSE)</f>
        <v>Indo-European</v>
      </c>
      <c r="B963" s="19" t="s">
        <v>109</v>
      </c>
      <c r="C963" s="19" t="s">
        <v>94</v>
      </c>
      <c r="D963" s="19" t="s">
        <v>5020</v>
      </c>
      <c r="E963" s="20" t="s">
        <v>180</v>
      </c>
      <c r="F963" s="20" t="s">
        <v>180</v>
      </c>
      <c r="G963" s="19" t="s">
        <v>180</v>
      </c>
      <c r="H963" s="19" t="str">
        <f>VLOOKUP(G963,'languoid 4.0'!$A$1:$I$24439,2,FALSE)</f>
        <v>indo1319</v>
      </c>
      <c r="I963" s="19" t="str">
        <f>VLOOKUP(G963,'languoid 4.0'!$A$1:$I$24439,6,FALSE)</f>
        <v>language</v>
      </c>
      <c r="J963" s="20" t="s">
        <v>38</v>
      </c>
      <c r="K963" s="20" t="s">
        <v>38</v>
      </c>
      <c r="L963" s="20" t="s">
        <v>38</v>
      </c>
      <c r="M963" s="19"/>
      <c r="N963" s="19" t="s">
        <v>4842</v>
      </c>
      <c r="O963" s="20" t="s">
        <v>40</v>
      </c>
      <c r="P963" s="20" t="s">
        <v>41</v>
      </c>
      <c r="Q963" s="19" t="s">
        <v>5021</v>
      </c>
      <c r="R963" s="21" t="s">
        <v>5022</v>
      </c>
      <c r="S963" s="19" t="s">
        <v>46</v>
      </c>
      <c r="T963" s="19" t="s">
        <v>635</v>
      </c>
      <c r="U963" s="19" t="s">
        <v>636</v>
      </c>
      <c r="V963" s="19" t="s">
        <v>45</v>
      </c>
      <c r="W963" s="19"/>
      <c r="X963" s="19"/>
      <c r="Y963" s="19"/>
      <c r="Z963" s="19" t="s">
        <v>673</v>
      </c>
      <c r="AA963" s="19" t="s">
        <v>5023</v>
      </c>
      <c r="AB963" s="19" t="s">
        <v>5024</v>
      </c>
      <c r="AC963" s="19" t="s">
        <v>46</v>
      </c>
      <c r="AD963" s="19"/>
      <c r="AE963" s="19" t="s">
        <v>641</v>
      </c>
      <c r="AF963" s="19" t="s">
        <v>190</v>
      </c>
      <c r="AG963" s="19">
        <v>6</v>
      </c>
      <c r="AH963" s="19" t="s">
        <v>190</v>
      </c>
      <c r="AI963" s="19"/>
      <c r="AJ963" s="19" t="s">
        <v>5025</v>
      </c>
      <c r="AK963" s="19" t="s">
        <v>4840</v>
      </c>
    </row>
    <row r="964" spans="1:37" s="23" customFormat="1">
      <c r="A964" s="19" t="str">
        <f>VLOOKUP(H964,Languages!$A$2:$B$430,2,FALSE)</f>
        <v>Indo-European</v>
      </c>
      <c r="B964" s="19" t="s">
        <v>109</v>
      </c>
      <c r="C964" s="19" t="s">
        <v>94</v>
      </c>
      <c r="D964" s="19" t="s">
        <v>5938</v>
      </c>
      <c r="E964" s="20" t="s">
        <v>5939</v>
      </c>
      <c r="F964" s="20" t="s">
        <v>5939</v>
      </c>
      <c r="G964" s="19" t="s">
        <v>5939</v>
      </c>
      <c r="H964" s="19" t="str">
        <f>VLOOKUP(G964,'languoid 4.0'!$A$1:$I$24439,2,FALSE)</f>
        <v>indo1319</v>
      </c>
      <c r="I964" s="19" t="str">
        <f>VLOOKUP(G964,'languoid 4.0'!$A$1:$I$24439,6,FALSE)</f>
        <v>language</v>
      </c>
      <c r="J964" s="20" t="s">
        <v>38</v>
      </c>
      <c r="K964" s="20" t="s">
        <v>38</v>
      </c>
      <c r="L964" s="20" t="s">
        <v>38</v>
      </c>
      <c r="M964" s="19"/>
      <c r="N964" s="19" t="s">
        <v>5940</v>
      </c>
      <c r="O964" s="20" t="s">
        <v>40</v>
      </c>
      <c r="P964" s="20" t="s">
        <v>41</v>
      </c>
      <c r="Q964" s="19" t="s">
        <v>5946</v>
      </c>
      <c r="R964" s="21" t="s">
        <v>5947</v>
      </c>
      <c r="S964" s="19" t="s">
        <v>46</v>
      </c>
      <c r="T964" s="19" t="s">
        <v>635</v>
      </c>
      <c r="U964" s="19" t="s">
        <v>1812</v>
      </c>
      <c r="V964" s="19" t="s">
        <v>45</v>
      </c>
      <c r="W964" s="19"/>
      <c r="X964" s="19"/>
      <c r="Y964" s="19"/>
      <c r="Z964" s="19" t="s">
        <v>673</v>
      </c>
      <c r="AA964" s="19" t="s">
        <v>5948</v>
      </c>
      <c r="AB964" s="19" t="s">
        <v>5949</v>
      </c>
      <c r="AC964" s="19" t="s">
        <v>46</v>
      </c>
      <c r="AD964" s="19"/>
      <c r="AE964" s="19" t="s">
        <v>641</v>
      </c>
      <c r="AF964" s="19" t="s">
        <v>190</v>
      </c>
      <c r="AG964" s="19">
        <v>6</v>
      </c>
      <c r="AH964" s="19" t="s">
        <v>190</v>
      </c>
      <c r="AI964" s="19"/>
      <c r="AJ964" s="19" t="s">
        <v>5950</v>
      </c>
      <c r="AK964" s="19" t="s">
        <v>4840</v>
      </c>
    </row>
    <row r="965" spans="1:37" s="23" customFormat="1">
      <c r="A965" s="19" t="str">
        <f>VLOOKUP(H965,Languages!$A$2:$B$430,2,FALSE)</f>
        <v>Indo-European</v>
      </c>
      <c r="B965" s="19" t="s">
        <v>109</v>
      </c>
      <c r="C965" s="19" t="s">
        <v>94</v>
      </c>
      <c r="D965" s="19" t="s">
        <v>7289</v>
      </c>
      <c r="E965" s="20" t="s">
        <v>180</v>
      </c>
      <c r="F965" s="20" t="s">
        <v>180</v>
      </c>
      <c r="G965" s="19" t="s">
        <v>180</v>
      </c>
      <c r="H965" s="19" t="str">
        <f>VLOOKUP(G965,'languoid 4.0'!$A$1:$I$24439,2,FALSE)</f>
        <v>indo1319</v>
      </c>
      <c r="I965" s="19" t="str">
        <f>VLOOKUP(G965,'languoid 4.0'!$A$1:$I$24439,6,FALSE)</f>
        <v>language</v>
      </c>
      <c r="J965" s="20" t="s">
        <v>38</v>
      </c>
      <c r="K965" s="20" t="s">
        <v>38</v>
      </c>
      <c r="L965" s="20" t="s">
        <v>38</v>
      </c>
      <c r="M965" s="19"/>
      <c r="N965" s="19" t="s">
        <v>4842</v>
      </c>
      <c r="O965" s="20" t="s">
        <v>40</v>
      </c>
      <c r="P965" s="20" t="s">
        <v>41</v>
      </c>
      <c r="Q965" s="19" t="s">
        <v>7295</v>
      </c>
      <c r="R965" s="21" t="s">
        <v>7296</v>
      </c>
      <c r="S965" s="19" t="s">
        <v>46</v>
      </c>
      <c r="T965" s="19" t="s">
        <v>7255</v>
      </c>
      <c r="U965" s="19" t="s">
        <v>636</v>
      </c>
      <c r="V965" s="19" t="s">
        <v>45</v>
      </c>
      <c r="W965" s="19"/>
      <c r="X965" s="19"/>
      <c r="Y965" s="19"/>
      <c r="Z965" s="19" t="s">
        <v>1893</v>
      </c>
      <c r="AA965" s="19" t="s">
        <v>7297</v>
      </c>
      <c r="AB965" s="19" t="s">
        <v>7297</v>
      </c>
      <c r="AC965" s="19" t="s">
        <v>7298</v>
      </c>
      <c r="AD965" s="19"/>
      <c r="AE965" s="19" t="s">
        <v>641</v>
      </c>
      <c r="AF965" s="19" t="s">
        <v>190</v>
      </c>
      <c r="AG965" s="19">
        <v>4</v>
      </c>
      <c r="AH965" s="19" t="s">
        <v>190</v>
      </c>
      <c r="AI965" s="19"/>
      <c r="AJ965" s="22">
        <v>43381.752962962964</v>
      </c>
      <c r="AK965" s="19" t="s">
        <v>4840</v>
      </c>
    </row>
    <row r="966" spans="1:37" s="23" customFormat="1">
      <c r="A966" s="19" t="str">
        <f>VLOOKUP(H966,Languages!$A$2:$B$430,2,FALSE)</f>
        <v>Indo-European</v>
      </c>
      <c r="B966" s="19" t="s">
        <v>109</v>
      </c>
      <c r="C966" s="19" t="s">
        <v>1012</v>
      </c>
      <c r="D966" s="19" t="s">
        <v>2885</v>
      </c>
      <c r="E966" s="20" t="s">
        <v>2886</v>
      </c>
      <c r="F966" s="20" t="s">
        <v>2887</v>
      </c>
      <c r="G966" s="19" t="s">
        <v>2886</v>
      </c>
      <c r="H966" s="19" t="str">
        <f>VLOOKUP(G966,'languoid 4.0'!$A$1:$I$24439,2,FALSE)</f>
        <v>indo1319</v>
      </c>
      <c r="I966" s="19" t="str">
        <f>VLOOKUP(G966,'languoid 4.0'!$A$1:$I$24439,6,FALSE)</f>
        <v>language</v>
      </c>
      <c r="J966" s="20" t="s">
        <v>52</v>
      </c>
      <c r="K966" s="20" t="s">
        <v>38</v>
      </c>
      <c r="L966" s="20" t="s">
        <v>38</v>
      </c>
      <c r="M966" s="19"/>
      <c r="N966" s="19" t="s">
        <v>2888</v>
      </c>
      <c r="O966" s="20" t="s">
        <v>40</v>
      </c>
      <c r="P966" s="20" t="s">
        <v>41</v>
      </c>
      <c r="Q966" s="19" t="s">
        <v>2896</v>
      </c>
      <c r="R966" s="21" t="s">
        <v>2897</v>
      </c>
      <c r="S966" s="19" t="s">
        <v>46</v>
      </c>
      <c r="T966" s="19" t="s">
        <v>2898</v>
      </c>
      <c r="U966" s="19" t="s">
        <v>636</v>
      </c>
      <c r="V966" s="19" t="s">
        <v>45</v>
      </c>
      <c r="W966" s="19"/>
      <c r="X966" s="19"/>
      <c r="Y966" s="19"/>
      <c r="Z966" s="19" t="s">
        <v>658</v>
      </c>
      <c r="AA966" s="19" t="s">
        <v>2899</v>
      </c>
      <c r="AB966" s="19" t="s">
        <v>46</v>
      </c>
      <c r="AC966" s="19" t="s">
        <v>46</v>
      </c>
      <c r="AD966" s="19" t="s">
        <v>2900</v>
      </c>
      <c r="AE966" s="19" t="s">
        <v>641</v>
      </c>
      <c r="AF966" s="19" t="s">
        <v>190</v>
      </c>
      <c r="AG966" s="19">
        <v>4</v>
      </c>
      <c r="AH966" s="19" t="s">
        <v>190</v>
      </c>
      <c r="AI966" s="19"/>
      <c r="AJ966" s="22">
        <v>43438.493321759262</v>
      </c>
      <c r="AK966" s="19" t="s">
        <v>1023</v>
      </c>
    </row>
    <row r="967" spans="1:37" s="23" customFormat="1">
      <c r="A967" s="19" t="str">
        <f>VLOOKUP(H967,Languages!$A$2:$B$430,2,FALSE)</f>
        <v>Indo-European</v>
      </c>
      <c r="B967" s="19" t="s">
        <v>109</v>
      </c>
      <c r="C967" s="19" t="s">
        <v>1012</v>
      </c>
      <c r="D967" s="19" t="s">
        <v>3095</v>
      </c>
      <c r="E967" s="20" t="s">
        <v>2756</v>
      </c>
      <c r="F967" s="20" t="s">
        <v>2757</v>
      </c>
      <c r="G967" s="19" t="s">
        <v>2756</v>
      </c>
      <c r="H967" s="19" t="str">
        <f>VLOOKUP(G967,'languoid 4.0'!$A$1:$I$24439,2,FALSE)</f>
        <v>indo1319</v>
      </c>
      <c r="I967" s="19" t="str">
        <f>VLOOKUP(G967,'languoid 4.0'!$A$1:$I$24439,6,FALSE)</f>
        <v>language</v>
      </c>
      <c r="J967" s="20" t="s">
        <v>52</v>
      </c>
      <c r="K967" s="20" t="s">
        <v>38</v>
      </c>
      <c r="L967" s="20" t="s">
        <v>38</v>
      </c>
      <c r="M967" s="19"/>
      <c r="N967" s="19" t="s">
        <v>2758</v>
      </c>
      <c r="O967" s="20" t="s">
        <v>40</v>
      </c>
      <c r="P967" s="20" t="s">
        <v>41</v>
      </c>
      <c r="Q967" s="19" t="s">
        <v>3096</v>
      </c>
      <c r="R967" s="21" t="s">
        <v>3097</v>
      </c>
      <c r="S967" s="19" t="s">
        <v>46</v>
      </c>
      <c r="T967" s="19" t="s">
        <v>2735</v>
      </c>
      <c r="U967" s="19" t="s">
        <v>67</v>
      </c>
      <c r="V967" s="19" t="s">
        <v>45</v>
      </c>
      <c r="W967" s="19"/>
      <c r="X967" s="19"/>
      <c r="Y967" s="19"/>
      <c r="Z967" s="19" t="s">
        <v>658</v>
      </c>
      <c r="AA967" s="19" t="s">
        <v>3098</v>
      </c>
      <c r="AB967" s="19" t="s">
        <v>46</v>
      </c>
      <c r="AC967" s="19" t="s">
        <v>46</v>
      </c>
      <c r="AD967" s="19" t="s">
        <v>3099</v>
      </c>
      <c r="AE967" s="19" t="s">
        <v>641</v>
      </c>
      <c r="AF967" s="19" t="s">
        <v>190</v>
      </c>
      <c r="AG967" s="19">
        <v>5</v>
      </c>
      <c r="AH967" s="19" t="s">
        <v>190</v>
      </c>
      <c r="AI967" s="19"/>
      <c r="AJ967" s="19" t="s">
        <v>3100</v>
      </c>
      <c r="AK967" s="19" t="s">
        <v>1023</v>
      </c>
    </row>
    <row r="968" spans="1:37" s="23" customFormat="1">
      <c r="A968" s="19" t="str">
        <f>VLOOKUP(H968,Languages!$A$2:$B$430,2,FALSE)</f>
        <v>Indo-European</v>
      </c>
      <c r="B968" s="19" t="s">
        <v>109</v>
      </c>
      <c r="C968" s="19" t="s">
        <v>1012</v>
      </c>
      <c r="D968" s="19" t="s">
        <v>2860</v>
      </c>
      <c r="E968" s="20" t="s">
        <v>2845</v>
      </c>
      <c r="F968" s="20" t="s">
        <v>2845</v>
      </c>
      <c r="G968" s="19" t="s">
        <v>2845</v>
      </c>
      <c r="H968" s="19" t="str">
        <f>VLOOKUP(G968,'languoid 4.0'!$A$1:$I$24439,2,FALSE)</f>
        <v>indo1319</v>
      </c>
      <c r="I968" s="19" t="str">
        <f>VLOOKUP(G968,'languoid 4.0'!$A$1:$I$24439,6,FALSE)</f>
        <v>language</v>
      </c>
      <c r="J968" s="20" t="s">
        <v>38</v>
      </c>
      <c r="K968" s="20" t="s">
        <v>38</v>
      </c>
      <c r="L968" s="20" t="s">
        <v>38</v>
      </c>
      <c r="M968" s="19"/>
      <c r="N968" s="19" t="s">
        <v>2846</v>
      </c>
      <c r="O968" s="20" t="s">
        <v>40</v>
      </c>
      <c r="P968" s="20" t="s">
        <v>41</v>
      </c>
      <c r="Q968" s="19" t="s">
        <v>3106</v>
      </c>
      <c r="R968" s="21" t="s">
        <v>3107</v>
      </c>
      <c r="S968" s="19" t="s">
        <v>46</v>
      </c>
      <c r="T968" s="19" t="s">
        <v>635</v>
      </c>
      <c r="U968" s="19" t="s">
        <v>636</v>
      </c>
      <c r="V968" s="19" t="s">
        <v>45</v>
      </c>
      <c r="W968" s="19"/>
      <c r="X968" s="19"/>
      <c r="Y968" s="19"/>
      <c r="Z968" s="19" t="s">
        <v>658</v>
      </c>
      <c r="AA968" s="19" t="s">
        <v>3108</v>
      </c>
      <c r="AB968" s="19" t="s">
        <v>46</v>
      </c>
      <c r="AC968" s="19" t="s">
        <v>46</v>
      </c>
      <c r="AD968" s="19" t="s">
        <v>3109</v>
      </c>
      <c r="AE968" s="19" t="s">
        <v>641</v>
      </c>
      <c r="AF968" s="19" t="s">
        <v>190</v>
      </c>
      <c r="AG968" s="19">
        <v>6</v>
      </c>
      <c r="AH968" s="19" t="s">
        <v>190</v>
      </c>
      <c r="AI968" s="19"/>
      <c r="AJ968" s="19" t="s">
        <v>3110</v>
      </c>
      <c r="AK968" s="19" t="s">
        <v>1023</v>
      </c>
    </row>
    <row r="969" spans="1:37" s="23" customFormat="1">
      <c r="A969" s="19" t="str">
        <f>VLOOKUP(H969,Languages!$A$2:$B$430,2,FALSE)</f>
        <v>Indo-European</v>
      </c>
      <c r="B969" s="19" t="s">
        <v>109</v>
      </c>
      <c r="C969" s="19" t="s">
        <v>1012</v>
      </c>
      <c r="D969" s="19" t="s">
        <v>3095</v>
      </c>
      <c r="E969" s="20" t="s">
        <v>2756</v>
      </c>
      <c r="F969" s="20" t="s">
        <v>2757</v>
      </c>
      <c r="G969" s="19" t="s">
        <v>2756</v>
      </c>
      <c r="H969" s="19" t="str">
        <f>VLOOKUP(G969,'languoid 4.0'!$A$1:$I$24439,2,FALSE)</f>
        <v>indo1319</v>
      </c>
      <c r="I969" s="19" t="str">
        <f>VLOOKUP(G969,'languoid 4.0'!$A$1:$I$24439,6,FALSE)</f>
        <v>language</v>
      </c>
      <c r="J969" s="20" t="s">
        <v>52</v>
      </c>
      <c r="K969" s="20" t="s">
        <v>38</v>
      </c>
      <c r="L969" s="20" t="s">
        <v>38</v>
      </c>
      <c r="M969" s="19"/>
      <c r="N969" s="19" t="s">
        <v>2758</v>
      </c>
      <c r="O969" s="20" t="s">
        <v>40</v>
      </c>
      <c r="P969" s="20" t="s">
        <v>41</v>
      </c>
      <c r="Q969" s="19" t="s">
        <v>3387</v>
      </c>
      <c r="R969" s="21" t="s">
        <v>3388</v>
      </c>
      <c r="S969" s="19" t="s">
        <v>46</v>
      </c>
      <c r="T969" s="19" t="s">
        <v>2735</v>
      </c>
      <c r="U969" s="19" t="s">
        <v>67</v>
      </c>
      <c r="V969" s="19" t="s">
        <v>45</v>
      </c>
      <c r="W969" s="19"/>
      <c r="X969" s="19"/>
      <c r="Y969" s="19"/>
      <c r="Z969" s="19" t="s">
        <v>658</v>
      </c>
      <c r="AA969" s="19" t="s">
        <v>3389</v>
      </c>
      <c r="AB969" s="19" t="s">
        <v>46</v>
      </c>
      <c r="AC969" s="19" t="s">
        <v>46</v>
      </c>
      <c r="AD969" s="19" t="s">
        <v>3109</v>
      </c>
      <c r="AE969" s="19" t="s">
        <v>641</v>
      </c>
      <c r="AF969" s="19" t="s">
        <v>190</v>
      </c>
      <c r="AG969" s="19">
        <v>5</v>
      </c>
      <c r="AH969" s="19" t="s">
        <v>190</v>
      </c>
      <c r="AI969" s="19"/>
      <c r="AJ969" s="19" t="s">
        <v>3390</v>
      </c>
      <c r="AK969" s="19" t="s">
        <v>1023</v>
      </c>
    </row>
    <row r="970" spans="1:37" s="23" customFormat="1">
      <c r="A970" s="19" t="str">
        <f>VLOOKUP(H970,Languages!$A$2:$B$430,2,FALSE)</f>
        <v>Indo-European</v>
      </c>
      <c r="B970" s="19" t="s">
        <v>109</v>
      </c>
      <c r="C970" s="19" t="s">
        <v>7017</v>
      </c>
      <c r="D970" s="19" t="s">
        <v>7358</v>
      </c>
      <c r="E970" s="20" t="s">
        <v>7044</v>
      </c>
      <c r="F970" s="20" t="s">
        <v>7045</v>
      </c>
      <c r="G970" s="19" t="s">
        <v>7044</v>
      </c>
      <c r="H970" s="19" t="str">
        <f>VLOOKUP(G970,'languoid 4.0'!$A$1:$I$24439,2,FALSE)</f>
        <v>indo1319</v>
      </c>
      <c r="I970" s="19" t="str">
        <f>VLOOKUP(G970,'languoid 4.0'!$A$1:$I$24439,6,FALSE)</f>
        <v>language</v>
      </c>
      <c r="J970" s="20" t="s">
        <v>52</v>
      </c>
      <c r="K970" s="20" t="s">
        <v>38</v>
      </c>
      <c r="L970" s="20" t="s">
        <v>38</v>
      </c>
      <c r="M970" s="19"/>
      <c r="N970" s="19" t="s">
        <v>7046</v>
      </c>
      <c r="O970" s="20" t="s">
        <v>40</v>
      </c>
      <c r="P970" s="20" t="s">
        <v>41</v>
      </c>
      <c r="Q970" s="19" t="s">
        <v>7359</v>
      </c>
      <c r="R970" s="21" t="s">
        <v>7360</v>
      </c>
      <c r="S970" s="19" t="s">
        <v>323</v>
      </c>
      <c r="T970" s="19" t="s">
        <v>2948</v>
      </c>
      <c r="U970" s="19" t="s">
        <v>636</v>
      </c>
      <c r="V970" s="19" t="s">
        <v>45</v>
      </c>
      <c r="W970" s="19"/>
      <c r="X970" s="19"/>
      <c r="Y970" s="19"/>
      <c r="Z970" s="19" t="s">
        <v>658</v>
      </c>
      <c r="AA970" s="19" t="s">
        <v>7361</v>
      </c>
      <c r="AB970" s="19" t="s">
        <v>46</v>
      </c>
      <c r="AC970" s="19" t="s">
        <v>46</v>
      </c>
      <c r="AD970" s="19"/>
      <c r="AE970" s="19" t="s">
        <v>641</v>
      </c>
      <c r="AF970" s="19" t="s">
        <v>190</v>
      </c>
      <c r="AG970" s="19">
        <v>6</v>
      </c>
      <c r="AH970" s="19" t="s">
        <v>190</v>
      </c>
      <c r="AI970" s="19"/>
      <c r="AJ970" s="22">
        <v>43442.630335648151</v>
      </c>
      <c r="AK970" s="19" t="s">
        <v>7022</v>
      </c>
    </row>
    <row r="971" spans="1:37" s="23" customFormat="1">
      <c r="A971" s="19" t="str">
        <f>VLOOKUP(H971,Languages!$A$2:$B$430,2,FALSE)</f>
        <v>Indo-European</v>
      </c>
      <c r="B971" s="19" t="s">
        <v>109</v>
      </c>
      <c r="C971" s="19" t="s">
        <v>154</v>
      </c>
      <c r="D971" s="19" t="s">
        <v>6469</v>
      </c>
      <c r="E971" s="20" t="s">
        <v>239</v>
      </c>
      <c r="F971" s="20" t="s">
        <v>239</v>
      </c>
      <c r="G971" s="19" t="s">
        <v>239</v>
      </c>
      <c r="H971" s="19" t="str">
        <f>VLOOKUP(G971,'languoid 4.0'!$A$1:$I$24439,2,FALSE)</f>
        <v>indo1319</v>
      </c>
      <c r="I971" s="19" t="str">
        <f>VLOOKUP(G971,'languoid 4.0'!$A$1:$I$24439,6,FALSE)</f>
        <v>language</v>
      </c>
      <c r="J971" s="20" t="s">
        <v>38</v>
      </c>
      <c r="K971" s="20" t="s">
        <v>38</v>
      </c>
      <c r="L971" s="20" t="s">
        <v>38</v>
      </c>
      <c r="M971" s="19"/>
      <c r="N971" s="19" t="s">
        <v>269</v>
      </c>
      <c r="O971" s="20" t="s">
        <v>40</v>
      </c>
      <c r="P971" s="20" t="s">
        <v>41</v>
      </c>
      <c r="Q971" s="19" t="s">
        <v>6474</v>
      </c>
      <c r="R971" s="21" t="s">
        <v>6475</v>
      </c>
      <c r="S971" s="19" t="s">
        <v>6378</v>
      </c>
      <c r="T971" s="19" t="s">
        <v>6428</v>
      </c>
      <c r="U971" s="19" t="s">
        <v>636</v>
      </c>
      <c r="V971" s="19" t="s">
        <v>45</v>
      </c>
      <c r="W971" s="19"/>
      <c r="X971" s="19"/>
      <c r="Y971" s="19"/>
      <c r="Z971" s="19" t="s">
        <v>1893</v>
      </c>
      <c r="AA971" s="19" t="s">
        <v>46</v>
      </c>
      <c r="AB971" s="19" t="s">
        <v>46</v>
      </c>
      <c r="AC971" s="19" t="s">
        <v>6476</v>
      </c>
      <c r="AD971" s="19"/>
      <c r="AE971" s="19" t="s">
        <v>641</v>
      </c>
      <c r="AF971" s="19" t="s">
        <v>190</v>
      </c>
      <c r="AG971" s="19">
        <v>5</v>
      </c>
      <c r="AH971" s="19" t="s">
        <v>190</v>
      </c>
      <c r="AI971" s="19"/>
      <c r="AJ971" s="22">
        <v>43411.876898148148</v>
      </c>
      <c r="AK971" s="19" t="s">
        <v>6365</v>
      </c>
    </row>
    <row r="972" spans="1:37" s="23" customFormat="1">
      <c r="A972" s="19" t="str">
        <f>VLOOKUP(H972,Languages!$A$2:$B$430,2,FALSE)</f>
        <v>Indo-European</v>
      </c>
      <c r="B972" s="19" t="s">
        <v>109</v>
      </c>
      <c r="C972" s="19" t="s">
        <v>4965</v>
      </c>
      <c r="D972" s="19" t="s">
        <v>4990</v>
      </c>
      <c r="E972" s="20" t="s">
        <v>4619</v>
      </c>
      <c r="F972" s="20" t="s">
        <v>4991</v>
      </c>
      <c r="G972" s="19" t="s">
        <v>4991</v>
      </c>
      <c r="H972" s="19" t="str">
        <f>VLOOKUP(G972,'languoid 4.0'!$A$1:$I$24439,2,FALSE)</f>
        <v>indo1319</v>
      </c>
      <c r="I972" s="19" t="str">
        <f>VLOOKUP(G972,'languoid 4.0'!$A$1:$I$24439,6,FALSE)</f>
        <v>language</v>
      </c>
      <c r="J972" s="20" t="s">
        <v>52</v>
      </c>
      <c r="K972" s="20" t="s">
        <v>38</v>
      </c>
      <c r="L972" s="20" t="s">
        <v>38</v>
      </c>
      <c r="M972" s="19"/>
      <c r="N972" s="19" t="s">
        <v>4620</v>
      </c>
      <c r="O972" s="20" t="s">
        <v>40</v>
      </c>
      <c r="P972" s="20" t="s">
        <v>41</v>
      </c>
      <c r="Q972" s="19" t="s">
        <v>4992</v>
      </c>
      <c r="R972" s="21" t="s">
        <v>4993</v>
      </c>
      <c r="S972" s="19" t="s">
        <v>4994</v>
      </c>
      <c r="T972" s="19" t="s">
        <v>635</v>
      </c>
      <c r="U972" s="19" t="s">
        <v>636</v>
      </c>
      <c r="V972" s="19" t="s">
        <v>45</v>
      </c>
      <c r="W972" s="19"/>
      <c r="X972" s="19"/>
      <c r="Y972" s="19"/>
      <c r="Z972" s="19" t="s">
        <v>658</v>
      </c>
      <c r="AA972" s="19" t="s">
        <v>4995</v>
      </c>
      <c r="AB972" s="19" t="s">
        <v>46</v>
      </c>
      <c r="AC972" s="19" t="s">
        <v>46</v>
      </c>
      <c r="AD972" s="19" t="s">
        <v>46</v>
      </c>
      <c r="AE972" s="19" t="s">
        <v>641</v>
      </c>
      <c r="AF972" s="19" t="s">
        <v>190</v>
      </c>
      <c r="AG972" s="19">
        <v>6</v>
      </c>
      <c r="AH972" s="19" t="s">
        <v>190</v>
      </c>
      <c r="AI972" s="19"/>
      <c r="AJ972" s="19" t="s">
        <v>4996</v>
      </c>
      <c r="AK972" s="19" t="s">
        <v>4975</v>
      </c>
    </row>
    <row r="973" spans="1:37" s="23" customFormat="1">
      <c r="A973" s="19" t="str">
        <f>VLOOKUP(H973,Languages!$A$2:$B$430,2,FALSE)</f>
        <v>Indo-European</v>
      </c>
      <c r="B973" s="19" t="s">
        <v>109</v>
      </c>
      <c r="C973" s="19" t="s">
        <v>4965</v>
      </c>
      <c r="D973" s="19" t="s">
        <v>5787</v>
      </c>
      <c r="E973" s="20" t="s">
        <v>3480</v>
      </c>
      <c r="F973" s="20" t="s">
        <v>3480</v>
      </c>
      <c r="G973" s="19" t="s">
        <v>4619</v>
      </c>
      <c r="H973" s="19" t="str">
        <f>VLOOKUP(G973,'languoid 4.0'!$A$1:$I$24439,2,FALSE)</f>
        <v>indo1319</v>
      </c>
      <c r="I973" s="19" t="str">
        <f>VLOOKUP(G973,'languoid 4.0'!$A$1:$I$24439,6,FALSE)</f>
        <v>language</v>
      </c>
      <c r="J973" s="20" t="s">
        <v>38</v>
      </c>
      <c r="K973" s="20" t="s">
        <v>38</v>
      </c>
      <c r="L973" s="20" t="s">
        <v>38</v>
      </c>
      <c r="M973" s="19"/>
      <c r="N973" s="19" t="s">
        <v>5566</v>
      </c>
      <c r="O973" s="20" t="s">
        <v>40</v>
      </c>
      <c r="P973" s="20" t="s">
        <v>41</v>
      </c>
      <c r="Q973" s="19" t="s">
        <v>5788</v>
      </c>
      <c r="R973" s="21" t="s">
        <v>5789</v>
      </c>
      <c r="S973" s="19" t="s">
        <v>5790</v>
      </c>
      <c r="T973" s="19" t="s">
        <v>657</v>
      </c>
      <c r="U973" s="19" t="s">
        <v>636</v>
      </c>
      <c r="V973" s="19" t="s">
        <v>45</v>
      </c>
      <c r="W973" s="19"/>
      <c r="X973" s="19"/>
      <c r="Y973" s="19"/>
      <c r="Z973" s="19" t="s">
        <v>658</v>
      </c>
      <c r="AA973" s="19" t="s">
        <v>5791</v>
      </c>
      <c r="AB973" s="19" t="s">
        <v>46</v>
      </c>
      <c r="AC973" s="19" t="s">
        <v>46</v>
      </c>
      <c r="AD973" s="19" t="s">
        <v>5571</v>
      </c>
      <c r="AE973" s="19" t="s">
        <v>641</v>
      </c>
      <c r="AF973" s="19" t="s">
        <v>190</v>
      </c>
      <c r="AG973" s="19">
        <v>3</v>
      </c>
      <c r="AH973" s="19" t="s">
        <v>190</v>
      </c>
      <c r="AI973" s="19"/>
      <c r="AJ973" s="19" t="s">
        <v>5792</v>
      </c>
      <c r="AK973" s="19" t="s">
        <v>4975</v>
      </c>
    </row>
    <row r="974" spans="1:37" s="23" customFormat="1">
      <c r="A974" s="19" t="str">
        <f>VLOOKUP(H974,Languages!$A$2:$B$430,2,FALSE)</f>
        <v>Indo-European</v>
      </c>
      <c r="B974" s="19" t="s">
        <v>109</v>
      </c>
      <c r="C974" s="19" t="s">
        <v>4965</v>
      </c>
      <c r="D974" s="19" t="s">
        <v>7398</v>
      </c>
      <c r="E974" s="20" t="s">
        <v>4991</v>
      </c>
      <c r="F974" s="20" t="s">
        <v>4991</v>
      </c>
      <c r="G974" s="19" t="s">
        <v>4991</v>
      </c>
      <c r="H974" s="19" t="str">
        <f>VLOOKUP(G974,'languoid 4.0'!$A$1:$I$24439,2,FALSE)</f>
        <v>indo1319</v>
      </c>
      <c r="I974" s="19" t="str">
        <f>VLOOKUP(G974,'languoid 4.0'!$A$1:$I$24439,6,FALSE)</f>
        <v>language</v>
      </c>
      <c r="J974" s="20" t="s">
        <v>38</v>
      </c>
      <c r="K974" s="20" t="s">
        <v>38</v>
      </c>
      <c r="L974" s="20" t="s">
        <v>38</v>
      </c>
      <c r="M974" s="19"/>
      <c r="N974" s="19" t="s">
        <v>7399</v>
      </c>
      <c r="O974" s="20" t="s">
        <v>40</v>
      </c>
      <c r="P974" s="20" t="s">
        <v>41</v>
      </c>
      <c r="Q974" s="19" t="s">
        <v>7400</v>
      </c>
      <c r="R974" s="21" t="s">
        <v>7401</v>
      </c>
      <c r="S974" s="19" t="s">
        <v>471</v>
      </c>
      <c r="T974" s="19" t="s">
        <v>7402</v>
      </c>
      <c r="U974" s="19" t="s">
        <v>636</v>
      </c>
      <c r="V974" s="19" t="s">
        <v>45</v>
      </c>
      <c r="W974" s="19"/>
      <c r="X974" s="19"/>
      <c r="Y974" s="19"/>
      <c r="Z974" s="19" t="s">
        <v>1893</v>
      </c>
      <c r="AA974" s="19" t="s">
        <v>7403</v>
      </c>
      <c r="AB974" s="19" t="s">
        <v>46</v>
      </c>
      <c r="AC974" s="19" t="s">
        <v>7404</v>
      </c>
      <c r="AD974" s="19" t="s">
        <v>7405</v>
      </c>
      <c r="AE974" s="19" t="s">
        <v>641</v>
      </c>
      <c r="AF974" s="19" t="s">
        <v>190</v>
      </c>
      <c r="AG974" s="19">
        <v>6</v>
      </c>
      <c r="AH974" s="19" t="s">
        <v>190</v>
      </c>
      <c r="AI974" s="19"/>
      <c r="AJ974" s="19" t="s">
        <v>7406</v>
      </c>
      <c r="AK974" s="19" t="s">
        <v>4975</v>
      </c>
    </row>
    <row r="975" spans="1:37" s="23" customFormat="1">
      <c r="A975" s="19" t="str">
        <f>VLOOKUP(H975,Languages!$A$2:$B$430,2,FALSE)</f>
        <v>Indo-European</v>
      </c>
      <c r="B975" s="19" t="s">
        <v>109</v>
      </c>
      <c r="C975" s="19" t="s">
        <v>4965</v>
      </c>
      <c r="D975" s="19" t="s">
        <v>7594</v>
      </c>
      <c r="E975" s="20" t="s">
        <v>4991</v>
      </c>
      <c r="F975" s="20" t="s">
        <v>4991</v>
      </c>
      <c r="G975" s="19" t="s">
        <v>4991</v>
      </c>
      <c r="H975" s="19" t="str">
        <f>VLOOKUP(G975,'languoid 4.0'!$A$1:$I$24439,2,FALSE)</f>
        <v>indo1319</v>
      </c>
      <c r="I975" s="19" t="str">
        <f>VLOOKUP(G975,'languoid 4.0'!$A$1:$I$24439,6,FALSE)</f>
        <v>language</v>
      </c>
      <c r="J975" s="20" t="s">
        <v>38</v>
      </c>
      <c r="K975" s="20" t="s">
        <v>38</v>
      </c>
      <c r="L975" s="20" t="s">
        <v>38</v>
      </c>
      <c r="M975" s="19"/>
      <c r="N975" s="19" t="s">
        <v>7399</v>
      </c>
      <c r="O975" s="20" t="s">
        <v>40</v>
      </c>
      <c r="P975" s="20" t="s">
        <v>41</v>
      </c>
      <c r="Q975" s="19" t="s">
        <v>7595</v>
      </c>
      <c r="R975" s="21" t="s">
        <v>7596</v>
      </c>
      <c r="S975" s="19" t="s">
        <v>7597</v>
      </c>
      <c r="T975" s="19" t="s">
        <v>7598</v>
      </c>
      <c r="U975" s="19" t="s">
        <v>1812</v>
      </c>
      <c r="V975" s="19" t="s">
        <v>45</v>
      </c>
      <c r="W975" s="19"/>
      <c r="X975" s="19"/>
      <c r="Y975" s="19"/>
      <c r="Z975" s="19" t="s">
        <v>1151</v>
      </c>
      <c r="AA975" s="19" t="s">
        <v>7599</v>
      </c>
      <c r="AB975" s="19" t="s">
        <v>7600</v>
      </c>
      <c r="AC975" s="19" t="s">
        <v>7601</v>
      </c>
      <c r="AD975" s="19"/>
      <c r="AE975" s="19" t="s">
        <v>641</v>
      </c>
      <c r="AF975" s="19" t="s">
        <v>190</v>
      </c>
      <c r="AG975" s="19">
        <v>5</v>
      </c>
      <c r="AH975" s="19" t="s">
        <v>190</v>
      </c>
      <c r="AI975" s="19"/>
      <c r="AJ975" s="19" t="s">
        <v>7602</v>
      </c>
      <c r="AK975" s="19" t="s">
        <v>4975</v>
      </c>
    </row>
    <row r="976" spans="1:37" s="23" customFormat="1">
      <c r="A976" s="19" t="str">
        <f>VLOOKUP(H976,Languages!$A$2:$B$430,2,FALSE)</f>
        <v>Indo-European</v>
      </c>
      <c r="B976" s="19" t="s">
        <v>109</v>
      </c>
      <c r="C976" s="19" t="s">
        <v>4965</v>
      </c>
      <c r="D976" s="19" t="s">
        <v>7603</v>
      </c>
      <c r="E976" s="20" t="s">
        <v>4991</v>
      </c>
      <c r="F976" s="20" t="s">
        <v>4991</v>
      </c>
      <c r="G976" s="19" t="s">
        <v>4991</v>
      </c>
      <c r="H976" s="19" t="str">
        <f>VLOOKUP(G976,'languoid 4.0'!$A$1:$I$24439,2,FALSE)</f>
        <v>indo1319</v>
      </c>
      <c r="I976" s="19" t="str">
        <f>VLOOKUP(G976,'languoid 4.0'!$A$1:$I$24439,6,FALSE)</f>
        <v>language</v>
      </c>
      <c r="J976" s="20" t="s">
        <v>38</v>
      </c>
      <c r="K976" s="20" t="s">
        <v>38</v>
      </c>
      <c r="L976" s="20" t="s">
        <v>38</v>
      </c>
      <c r="M976" s="19"/>
      <c r="N976" s="19" t="s">
        <v>7399</v>
      </c>
      <c r="O976" s="20" t="s">
        <v>40</v>
      </c>
      <c r="P976" s="20" t="s">
        <v>41</v>
      </c>
      <c r="Q976" s="19" t="s">
        <v>7604</v>
      </c>
      <c r="R976" s="21" t="s">
        <v>7605</v>
      </c>
      <c r="S976" s="19" t="s">
        <v>7606</v>
      </c>
      <c r="T976" s="19" t="s">
        <v>7598</v>
      </c>
      <c r="U976" s="19" t="s">
        <v>636</v>
      </c>
      <c r="V976" s="19" t="s">
        <v>45</v>
      </c>
      <c r="W976" s="19"/>
      <c r="X976" s="19"/>
      <c r="Y976" s="19"/>
      <c r="Z976" s="19" t="s">
        <v>1151</v>
      </c>
      <c r="AA976" s="19" t="s">
        <v>7607</v>
      </c>
      <c r="AB976" s="19" t="s">
        <v>7608</v>
      </c>
      <c r="AC976" s="19" t="s">
        <v>7609</v>
      </c>
      <c r="AD976" s="19"/>
      <c r="AE976" s="19" t="s">
        <v>641</v>
      </c>
      <c r="AF976" s="19" t="s">
        <v>190</v>
      </c>
      <c r="AG976" s="19">
        <v>6</v>
      </c>
      <c r="AH976" s="19" t="s">
        <v>190</v>
      </c>
      <c r="AI976" s="19" t="s">
        <v>7610</v>
      </c>
      <c r="AJ976" s="19" t="s">
        <v>7611</v>
      </c>
      <c r="AK976" s="19" t="s">
        <v>4975</v>
      </c>
    </row>
    <row r="977" spans="1:37" s="23" customFormat="1">
      <c r="A977" s="19" t="str">
        <f>VLOOKUP(H977,Languages!$A$2:$B$430,2,FALSE)</f>
        <v>Indo-European</v>
      </c>
      <c r="B977" s="19" t="s">
        <v>109</v>
      </c>
      <c r="C977" s="19" t="s">
        <v>4965</v>
      </c>
      <c r="D977" s="19" t="s">
        <v>7603</v>
      </c>
      <c r="E977" s="20" t="s">
        <v>4991</v>
      </c>
      <c r="F977" s="20" t="s">
        <v>4991</v>
      </c>
      <c r="G977" s="19" t="s">
        <v>4991</v>
      </c>
      <c r="H977" s="19" t="str">
        <f>VLOOKUP(G977,'languoid 4.0'!$A$1:$I$24439,2,FALSE)</f>
        <v>indo1319</v>
      </c>
      <c r="I977" s="19" t="str">
        <f>VLOOKUP(G977,'languoid 4.0'!$A$1:$I$24439,6,FALSE)</f>
        <v>language</v>
      </c>
      <c r="J977" s="20" t="s">
        <v>38</v>
      </c>
      <c r="K977" s="20" t="s">
        <v>38</v>
      </c>
      <c r="L977" s="20" t="s">
        <v>38</v>
      </c>
      <c r="M977" s="19"/>
      <c r="N977" s="19" t="s">
        <v>7399</v>
      </c>
      <c r="O977" s="20" t="s">
        <v>40</v>
      </c>
      <c r="P977" s="20" t="s">
        <v>41</v>
      </c>
      <c r="Q977" s="19" t="s">
        <v>7625</v>
      </c>
      <c r="R977" s="21" t="s">
        <v>7626</v>
      </c>
      <c r="S977" s="19" t="s">
        <v>7627</v>
      </c>
      <c r="T977" s="19" t="s">
        <v>7598</v>
      </c>
      <c r="U977" s="19" t="s">
        <v>636</v>
      </c>
      <c r="V977" s="19" t="s">
        <v>45</v>
      </c>
      <c r="W977" s="19"/>
      <c r="X977" s="19"/>
      <c r="Y977" s="19"/>
      <c r="Z977" s="19" t="s">
        <v>1893</v>
      </c>
      <c r="AA977" s="19" t="s">
        <v>7628</v>
      </c>
      <c r="AB977" s="19" t="s">
        <v>46</v>
      </c>
      <c r="AC977" s="19" t="s">
        <v>7629</v>
      </c>
      <c r="AD977" s="19" t="s">
        <v>7630</v>
      </c>
      <c r="AE977" s="19" t="s">
        <v>641</v>
      </c>
      <c r="AF977" s="19" t="s">
        <v>190</v>
      </c>
      <c r="AG977" s="19">
        <v>6</v>
      </c>
      <c r="AH977" s="19" t="s">
        <v>190</v>
      </c>
      <c r="AI977" s="19" t="s">
        <v>7610</v>
      </c>
      <c r="AJ977" s="19" t="s">
        <v>7631</v>
      </c>
      <c r="AK977" s="19" t="s">
        <v>4975</v>
      </c>
    </row>
    <row r="978" spans="1:37" s="23" customFormat="1">
      <c r="A978" s="19" t="str">
        <f>VLOOKUP(H978,Languages!$A$2:$B$430,2,FALSE)</f>
        <v>Indo-European</v>
      </c>
      <c r="B978" s="19" t="s">
        <v>109</v>
      </c>
      <c r="C978" s="19" t="s">
        <v>4965</v>
      </c>
      <c r="D978" s="19" t="s">
        <v>7632</v>
      </c>
      <c r="E978" s="20" t="s">
        <v>4991</v>
      </c>
      <c r="F978" s="20" t="s">
        <v>5820</v>
      </c>
      <c r="G978" s="19" t="s">
        <v>4991</v>
      </c>
      <c r="H978" s="19" t="str">
        <f>VLOOKUP(G978,'languoid 4.0'!$A$1:$I$24439,2,FALSE)</f>
        <v>indo1319</v>
      </c>
      <c r="I978" s="19" t="str">
        <f>VLOOKUP(G978,'languoid 4.0'!$A$1:$I$24439,6,FALSE)</f>
        <v>language</v>
      </c>
      <c r="J978" s="20" t="s">
        <v>52</v>
      </c>
      <c r="K978" s="20" t="s">
        <v>52</v>
      </c>
      <c r="L978" s="20" t="s">
        <v>52</v>
      </c>
      <c r="M978" s="19"/>
      <c r="N978" s="19" t="s">
        <v>7399</v>
      </c>
      <c r="O978" s="20" t="s">
        <v>40</v>
      </c>
      <c r="P978" s="20" t="s">
        <v>41</v>
      </c>
      <c r="Q978" s="19" t="s">
        <v>7633</v>
      </c>
      <c r="R978" s="21" t="s">
        <v>7634</v>
      </c>
      <c r="S978" s="19" t="s">
        <v>7635</v>
      </c>
      <c r="T978" s="19" t="s">
        <v>7598</v>
      </c>
      <c r="U978" s="19" t="s">
        <v>636</v>
      </c>
      <c r="V978" s="19" t="s">
        <v>45</v>
      </c>
      <c r="W978" s="19"/>
      <c r="X978" s="19"/>
      <c r="Y978" s="19"/>
      <c r="Z978" s="19" t="s">
        <v>1893</v>
      </c>
      <c r="AA978" s="19" t="s">
        <v>7636</v>
      </c>
      <c r="AB978" s="19" t="s">
        <v>46</v>
      </c>
      <c r="AC978" s="19" t="s">
        <v>7637</v>
      </c>
      <c r="AD978" s="19" t="s">
        <v>7638</v>
      </c>
      <c r="AE978" s="19" t="s">
        <v>641</v>
      </c>
      <c r="AF978" s="19" t="s">
        <v>190</v>
      </c>
      <c r="AG978" s="19">
        <v>6</v>
      </c>
      <c r="AH978" s="19" t="s">
        <v>190</v>
      </c>
      <c r="AI978" s="19" t="s">
        <v>7639</v>
      </c>
      <c r="AJ978" s="19" t="s">
        <v>7640</v>
      </c>
      <c r="AK978" s="19" t="s">
        <v>4975</v>
      </c>
    </row>
    <row r="979" spans="1:37" s="23" customFormat="1">
      <c r="A979" s="19" t="str">
        <f>VLOOKUP(H979,Languages!$A$2:$B$430,2,FALSE)</f>
        <v>Indo-European</v>
      </c>
      <c r="B979" s="19" t="s">
        <v>109</v>
      </c>
      <c r="C979" s="19" t="s">
        <v>4965</v>
      </c>
      <c r="D979" s="19" t="s">
        <v>7358</v>
      </c>
      <c r="E979" s="20" t="s">
        <v>7044</v>
      </c>
      <c r="F979" s="20" t="s">
        <v>7044</v>
      </c>
      <c r="G979" s="19" t="s">
        <v>7044</v>
      </c>
      <c r="H979" s="19" t="str">
        <f>VLOOKUP(G979,'languoid 4.0'!$A$1:$I$24439,2,FALSE)</f>
        <v>indo1319</v>
      </c>
      <c r="I979" s="19" t="str">
        <f>VLOOKUP(G979,'languoid 4.0'!$A$1:$I$24439,6,FALSE)</f>
        <v>language</v>
      </c>
      <c r="J979" s="20" t="s">
        <v>38</v>
      </c>
      <c r="K979" s="20" t="s">
        <v>38</v>
      </c>
      <c r="L979" s="20" t="s">
        <v>38</v>
      </c>
      <c r="M979" s="19"/>
      <c r="N979" s="19" t="s">
        <v>7046</v>
      </c>
      <c r="O979" s="20" t="s">
        <v>40</v>
      </c>
      <c r="P979" s="20" t="s">
        <v>41</v>
      </c>
      <c r="Q979" s="19" t="s">
        <v>7670</v>
      </c>
      <c r="R979" s="21" t="s">
        <v>7671</v>
      </c>
      <c r="S979" s="19" t="s">
        <v>265</v>
      </c>
      <c r="T979" s="19" t="s">
        <v>7402</v>
      </c>
      <c r="U979" s="19" t="s">
        <v>636</v>
      </c>
      <c r="V979" s="19" t="s">
        <v>45</v>
      </c>
      <c r="W979" s="19"/>
      <c r="X979" s="19"/>
      <c r="Y979" s="19"/>
      <c r="Z979" s="19" t="s">
        <v>673</v>
      </c>
      <c r="AA979" s="19" t="s">
        <v>7672</v>
      </c>
      <c r="AB979" s="19" t="s">
        <v>7673</v>
      </c>
      <c r="AC979" s="19" t="s">
        <v>46</v>
      </c>
      <c r="AD979" s="19" t="s">
        <v>7674</v>
      </c>
      <c r="AE979" s="19" t="s">
        <v>641</v>
      </c>
      <c r="AF979" s="19" t="s">
        <v>190</v>
      </c>
      <c r="AG979" s="19">
        <v>5</v>
      </c>
      <c r="AH979" s="19" t="s">
        <v>190</v>
      </c>
      <c r="AI979" s="19"/>
      <c r="AJ979" s="19" t="s">
        <v>7675</v>
      </c>
      <c r="AK979" s="19" t="s">
        <v>4975</v>
      </c>
    </row>
    <row r="980" spans="1:37" s="23" customFormat="1">
      <c r="A980" s="19" t="str">
        <f>VLOOKUP(H980,Languages!$A$2:$B$430,2,FALSE)</f>
        <v>Indo-European</v>
      </c>
      <c r="B980" s="19" t="s">
        <v>109</v>
      </c>
      <c r="C980" s="19" t="s">
        <v>4965</v>
      </c>
      <c r="D980" s="19" t="s">
        <v>7358</v>
      </c>
      <c r="E980" s="20" t="s">
        <v>7044</v>
      </c>
      <c r="F980" s="20" t="s">
        <v>7044</v>
      </c>
      <c r="G980" s="19" t="s">
        <v>7044</v>
      </c>
      <c r="H980" s="19" t="str">
        <f>VLOOKUP(G980,'languoid 4.0'!$A$1:$I$24439,2,FALSE)</f>
        <v>indo1319</v>
      </c>
      <c r="I980" s="19" t="str">
        <f>VLOOKUP(G980,'languoid 4.0'!$A$1:$I$24439,6,FALSE)</f>
        <v>language</v>
      </c>
      <c r="J980" s="20" t="s">
        <v>38</v>
      </c>
      <c r="K980" s="20" t="s">
        <v>38</v>
      </c>
      <c r="L980" s="20" t="s">
        <v>38</v>
      </c>
      <c r="M980" s="19"/>
      <c r="N980" s="19" t="s">
        <v>7046</v>
      </c>
      <c r="O980" s="20" t="s">
        <v>40</v>
      </c>
      <c r="P980" s="20" t="s">
        <v>41</v>
      </c>
      <c r="Q980" s="19" t="s">
        <v>7697</v>
      </c>
      <c r="R980" s="21" t="s">
        <v>7698</v>
      </c>
      <c r="S980" s="19" t="s">
        <v>2718</v>
      </c>
      <c r="T980" s="19" t="s">
        <v>7402</v>
      </c>
      <c r="U980" s="19" t="s">
        <v>636</v>
      </c>
      <c r="V980" s="19" t="s">
        <v>45</v>
      </c>
      <c r="W980" s="19"/>
      <c r="X980" s="19"/>
      <c r="Y980" s="19"/>
      <c r="Z980" s="19" t="s">
        <v>673</v>
      </c>
      <c r="AA980" s="19" t="s">
        <v>7699</v>
      </c>
      <c r="AB980" s="19" t="s">
        <v>7700</v>
      </c>
      <c r="AC980" s="19" t="s">
        <v>46</v>
      </c>
      <c r="AD980" s="19" t="s">
        <v>7701</v>
      </c>
      <c r="AE980" s="19" t="s">
        <v>641</v>
      </c>
      <c r="AF980" s="19" t="s">
        <v>190</v>
      </c>
      <c r="AG980" s="19">
        <v>6</v>
      </c>
      <c r="AH980" s="19" t="s">
        <v>190</v>
      </c>
      <c r="AI980" s="19"/>
      <c r="AJ980" s="19" t="s">
        <v>7702</v>
      </c>
      <c r="AK980" s="19" t="s">
        <v>4975</v>
      </c>
    </row>
    <row r="981" spans="1:37" s="23" customFormat="1">
      <c r="A981" s="19" t="str">
        <f>VLOOKUP(H981,Languages!$A$2:$B$430,2,FALSE)</f>
        <v>Indo-European</v>
      </c>
      <c r="B981" s="19" t="s">
        <v>109</v>
      </c>
      <c r="C981" s="19" t="s">
        <v>4965</v>
      </c>
      <c r="D981" s="19" t="s">
        <v>7703</v>
      </c>
      <c r="E981" s="20" t="s">
        <v>7704</v>
      </c>
      <c r="F981" s="20" t="s">
        <v>7704</v>
      </c>
      <c r="G981" s="19" t="s">
        <v>7704</v>
      </c>
      <c r="H981" s="19" t="str">
        <f>VLOOKUP(G981,'languoid 4.0'!$A$1:$I$24439,2,FALSE)</f>
        <v>indo1319</v>
      </c>
      <c r="I981" s="19" t="str">
        <f>VLOOKUP(G981,'languoid 4.0'!$A$1:$I$24439,6,FALSE)</f>
        <v>language</v>
      </c>
      <c r="J981" s="20" t="s">
        <v>38</v>
      </c>
      <c r="K981" s="20" t="s">
        <v>38</v>
      </c>
      <c r="L981" s="20" t="s">
        <v>38</v>
      </c>
      <c r="M981" s="19"/>
      <c r="N981" s="19" t="s">
        <v>7705</v>
      </c>
      <c r="O981" s="20" t="s">
        <v>40</v>
      </c>
      <c r="P981" s="20" t="s">
        <v>41</v>
      </c>
      <c r="Q981" s="19" t="s">
        <v>7706</v>
      </c>
      <c r="R981" s="21" t="s">
        <v>7707</v>
      </c>
      <c r="S981" s="19" t="s">
        <v>372</v>
      </c>
      <c r="T981" s="19" t="s">
        <v>7402</v>
      </c>
      <c r="U981" s="19" t="s">
        <v>636</v>
      </c>
      <c r="V981" s="19" t="s">
        <v>45</v>
      </c>
      <c r="W981" s="19"/>
      <c r="X981" s="19"/>
      <c r="Y981" s="19"/>
      <c r="Z981" s="19" t="s">
        <v>673</v>
      </c>
      <c r="AA981" s="19" t="s">
        <v>7708</v>
      </c>
      <c r="AB981" s="19" t="s">
        <v>7709</v>
      </c>
      <c r="AC981" s="19" t="s">
        <v>46</v>
      </c>
      <c r="AD981" s="19" t="s">
        <v>7710</v>
      </c>
      <c r="AE981" s="19" t="s">
        <v>641</v>
      </c>
      <c r="AF981" s="19" t="s">
        <v>190</v>
      </c>
      <c r="AG981" s="19">
        <v>6</v>
      </c>
      <c r="AH981" s="19" t="s">
        <v>190</v>
      </c>
      <c r="AI981" s="19"/>
      <c r="AJ981" s="19" t="s">
        <v>7711</v>
      </c>
      <c r="AK981" s="19" t="s">
        <v>4975</v>
      </c>
    </row>
    <row r="982" spans="1:37" s="23" customFormat="1">
      <c r="A982" s="19" t="str">
        <f>VLOOKUP(H982,Languages!$A$2:$B$430,2,FALSE)</f>
        <v>Indo-European</v>
      </c>
      <c r="B982" s="19" t="s">
        <v>109</v>
      </c>
      <c r="C982" s="19" t="s">
        <v>10200</v>
      </c>
      <c r="D982" s="19" t="s">
        <v>10632</v>
      </c>
      <c r="E982" s="20" t="s">
        <v>10633</v>
      </c>
      <c r="F982" s="20" t="s">
        <v>10633</v>
      </c>
      <c r="G982" s="19" t="s">
        <v>10633</v>
      </c>
      <c r="H982" s="19" t="str">
        <f>VLOOKUP(G982,'languoid 4.0'!$A$1:$I$24439,2,FALSE)</f>
        <v>indo1319</v>
      </c>
      <c r="I982" s="19" t="str">
        <f>VLOOKUP(G982,'languoid 4.0'!$A$1:$I$24439,6,FALSE)</f>
        <v>language</v>
      </c>
      <c r="J982" s="20" t="s">
        <v>38</v>
      </c>
      <c r="K982" s="20" t="s">
        <v>38</v>
      </c>
      <c r="L982" s="20" t="s">
        <v>38</v>
      </c>
      <c r="M982" s="19"/>
      <c r="N982" s="19" t="s">
        <v>10634</v>
      </c>
      <c r="O982" s="20" t="s">
        <v>40</v>
      </c>
      <c r="P982" s="20" t="s">
        <v>41</v>
      </c>
      <c r="Q982" s="19" t="s">
        <v>10635</v>
      </c>
      <c r="R982" s="21" t="s">
        <v>10636</v>
      </c>
      <c r="S982" s="19" t="s">
        <v>138</v>
      </c>
      <c r="T982" s="19" t="s">
        <v>10637</v>
      </c>
      <c r="U982" s="19" t="s">
        <v>636</v>
      </c>
      <c r="V982" s="19" t="s">
        <v>45</v>
      </c>
      <c r="W982" s="19"/>
      <c r="X982" s="19"/>
      <c r="Y982" s="19"/>
      <c r="Z982" s="19" t="s">
        <v>658</v>
      </c>
      <c r="AA982" s="19" t="s">
        <v>10638</v>
      </c>
      <c r="AB982" s="19" t="s">
        <v>46</v>
      </c>
      <c r="AC982" s="19" t="s">
        <v>46</v>
      </c>
      <c r="AD982" s="19"/>
      <c r="AE982" s="19" t="s">
        <v>641</v>
      </c>
      <c r="AF982" s="19" t="s">
        <v>190</v>
      </c>
      <c r="AG982" s="19">
        <v>6</v>
      </c>
      <c r="AH982" s="19" t="s">
        <v>190</v>
      </c>
      <c r="AI982" s="19"/>
      <c r="AJ982" s="19" t="s">
        <v>10639</v>
      </c>
      <c r="AK982" s="19" t="s">
        <v>4945</v>
      </c>
    </row>
    <row r="983" spans="1:37" s="23" customFormat="1">
      <c r="A983" s="19" t="str">
        <f>VLOOKUP(H983,Languages!$A$2:$B$430,2,FALSE)</f>
        <v>Indo-European</v>
      </c>
      <c r="B983" s="19" t="s">
        <v>109</v>
      </c>
      <c r="C983" s="19" t="s">
        <v>10200</v>
      </c>
      <c r="D983" s="19" t="s">
        <v>10625</v>
      </c>
      <c r="E983" s="20" t="s">
        <v>10626</v>
      </c>
      <c r="F983" s="20" t="s">
        <v>10626</v>
      </c>
      <c r="G983" s="19" t="s">
        <v>10626</v>
      </c>
      <c r="H983" s="19" t="str">
        <f>VLOOKUP(G983,'languoid 4.0'!$A$1:$I$24439,2,FALSE)</f>
        <v>indo1319</v>
      </c>
      <c r="I983" s="19" t="str">
        <f>VLOOKUP(G983,'languoid 4.0'!$A$1:$I$24439,6,FALSE)</f>
        <v>language</v>
      </c>
      <c r="J983" s="20" t="s">
        <v>38</v>
      </c>
      <c r="K983" s="20" t="s">
        <v>38</v>
      </c>
      <c r="L983" s="20" t="s">
        <v>38</v>
      </c>
      <c r="M983" s="19"/>
      <c r="N983" s="19" t="s">
        <v>10627</v>
      </c>
      <c r="O983" s="20" t="s">
        <v>40</v>
      </c>
      <c r="P983" s="20" t="s">
        <v>41</v>
      </c>
      <c r="Q983" s="19" t="s">
        <v>10640</v>
      </c>
      <c r="R983" s="21" t="s">
        <v>10641</v>
      </c>
      <c r="S983" s="19" t="s">
        <v>43</v>
      </c>
      <c r="T983" s="19" t="s">
        <v>10637</v>
      </c>
      <c r="U983" s="19" t="s">
        <v>636</v>
      </c>
      <c r="V983" s="19" t="s">
        <v>45</v>
      </c>
      <c r="W983" s="19"/>
      <c r="X983" s="19"/>
      <c r="Y983" s="19"/>
      <c r="Z983" s="19" t="s">
        <v>658</v>
      </c>
      <c r="AA983" s="19" t="s">
        <v>10642</v>
      </c>
      <c r="AB983" s="19" t="s">
        <v>46</v>
      </c>
      <c r="AC983" s="19" t="s">
        <v>46</v>
      </c>
      <c r="AD983" s="19"/>
      <c r="AE983" s="19" t="s">
        <v>641</v>
      </c>
      <c r="AF983" s="19" t="s">
        <v>190</v>
      </c>
      <c r="AG983" s="19">
        <v>6</v>
      </c>
      <c r="AH983" s="19" t="s">
        <v>190</v>
      </c>
      <c r="AI983" s="19"/>
      <c r="AJ983" s="19" t="s">
        <v>10643</v>
      </c>
      <c r="AK983" s="19" t="s">
        <v>4945</v>
      </c>
    </row>
    <row r="984" spans="1:37" s="23" customFormat="1">
      <c r="A984" s="19" t="str">
        <f>VLOOKUP(H984,Languages!$A$2:$B$430,2,FALSE)</f>
        <v>Indo-European</v>
      </c>
      <c r="B984" s="19" t="s">
        <v>109</v>
      </c>
      <c r="C984" s="19" t="s">
        <v>1405</v>
      </c>
      <c r="D984" s="19" t="s">
        <v>1406</v>
      </c>
      <c r="E984" s="20" t="s">
        <v>1407</v>
      </c>
      <c r="F984" s="20" t="s">
        <v>1408</v>
      </c>
      <c r="G984" s="19" t="s">
        <v>1407</v>
      </c>
      <c r="H984" s="19" t="str">
        <f>VLOOKUP(G984,'languoid 4.0'!$A$1:$I$24439,2,FALSE)</f>
        <v>indo1319</v>
      </c>
      <c r="I984" s="19" t="str">
        <f>VLOOKUP(G984,'languoid 4.0'!$A$1:$I$24439,6,FALSE)</f>
        <v>language</v>
      </c>
      <c r="J984" s="20" t="s">
        <v>52</v>
      </c>
      <c r="K984" s="20" t="s">
        <v>38</v>
      </c>
      <c r="L984" s="20" t="s">
        <v>38</v>
      </c>
      <c r="M984" s="19"/>
      <c r="N984" s="19" t="s">
        <v>1409</v>
      </c>
      <c r="O984" s="20" t="s">
        <v>40</v>
      </c>
      <c r="P984" s="20" t="s">
        <v>41</v>
      </c>
      <c r="Q984" s="19" t="s">
        <v>1410</v>
      </c>
      <c r="R984" s="21" t="s">
        <v>1411</v>
      </c>
      <c r="S984" s="19" t="s">
        <v>1021</v>
      </c>
      <c r="T984" s="19" t="s">
        <v>635</v>
      </c>
      <c r="U984" s="19" t="s">
        <v>636</v>
      </c>
      <c r="V984" s="19" t="s">
        <v>45</v>
      </c>
      <c r="W984" s="19"/>
      <c r="X984" s="19"/>
      <c r="Y984" s="19"/>
      <c r="Z984" s="19" t="s">
        <v>658</v>
      </c>
      <c r="AA984" s="19" t="s">
        <v>1412</v>
      </c>
      <c r="AB984" s="19" t="s">
        <v>1021</v>
      </c>
      <c r="AC984" s="19" t="s">
        <v>1021</v>
      </c>
      <c r="AD984" s="19" t="s">
        <v>1413</v>
      </c>
      <c r="AE984" s="19" t="s">
        <v>641</v>
      </c>
      <c r="AF984" s="19" t="s">
        <v>190</v>
      </c>
      <c r="AG984" s="19">
        <v>5</v>
      </c>
      <c r="AH984" s="19" t="s">
        <v>190</v>
      </c>
      <c r="AI984" s="19"/>
      <c r="AJ984" s="19" t="s">
        <v>1414</v>
      </c>
      <c r="AK984" s="19" t="s">
        <v>740</v>
      </c>
    </row>
    <row r="985" spans="1:37" s="23" customFormat="1">
      <c r="A985" s="19" t="str">
        <f>VLOOKUP(H985,Languages!$A$2:$B$430,2,FALSE)</f>
        <v>Indo-European</v>
      </c>
      <c r="B985" s="19" t="s">
        <v>109</v>
      </c>
      <c r="C985" s="19" t="s">
        <v>1405</v>
      </c>
      <c r="D985" s="19" t="s">
        <v>6019</v>
      </c>
      <c r="E985" s="20" t="s">
        <v>1407</v>
      </c>
      <c r="F985" s="20" t="s">
        <v>1407</v>
      </c>
      <c r="G985" s="19" t="s">
        <v>1407</v>
      </c>
      <c r="H985" s="19" t="str">
        <f>VLOOKUP(G985,'languoid 4.0'!$A$1:$I$24439,2,FALSE)</f>
        <v>indo1319</v>
      </c>
      <c r="I985" s="19" t="str">
        <f>VLOOKUP(G985,'languoid 4.0'!$A$1:$I$24439,6,FALSE)</f>
        <v>language</v>
      </c>
      <c r="J985" s="20" t="s">
        <v>38</v>
      </c>
      <c r="K985" s="20" t="s">
        <v>38</v>
      </c>
      <c r="L985" s="20" t="s">
        <v>38</v>
      </c>
      <c r="M985" s="19"/>
      <c r="N985" s="19" t="s">
        <v>1409</v>
      </c>
      <c r="O985" s="20" t="s">
        <v>40</v>
      </c>
      <c r="P985" s="20" t="s">
        <v>41</v>
      </c>
      <c r="Q985" s="19" t="s">
        <v>9495</v>
      </c>
      <c r="R985" s="21" t="s">
        <v>9496</v>
      </c>
      <c r="S985" s="19" t="s">
        <v>46</v>
      </c>
      <c r="T985" s="19" t="s">
        <v>822</v>
      </c>
      <c r="U985" s="19" t="s">
        <v>636</v>
      </c>
      <c r="V985" s="19" t="s">
        <v>45</v>
      </c>
      <c r="W985" s="19"/>
      <c r="X985" s="19"/>
      <c r="Y985" s="19"/>
      <c r="Z985" s="19" t="s">
        <v>887</v>
      </c>
      <c r="AA985" s="19" t="s">
        <v>9497</v>
      </c>
      <c r="AB985" s="19" t="s">
        <v>46</v>
      </c>
      <c r="AC985" s="19" t="s">
        <v>9498</v>
      </c>
      <c r="AD985" s="19"/>
      <c r="AE985" s="19" t="s">
        <v>641</v>
      </c>
      <c r="AF985" s="19" t="s">
        <v>190</v>
      </c>
      <c r="AG985" s="19">
        <v>6</v>
      </c>
      <c r="AH985" s="19" t="s">
        <v>190</v>
      </c>
      <c r="AI985" s="19"/>
      <c r="AJ985" s="22">
        <v>43291.355474537035</v>
      </c>
      <c r="AK985" s="19" t="s">
        <v>1598</v>
      </c>
    </row>
    <row r="986" spans="1:37" s="23" customFormat="1">
      <c r="A986" s="19" t="str">
        <f>VLOOKUP(H986,Languages!$A$2:$B$430,2,FALSE)</f>
        <v>Indo-European</v>
      </c>
      <c r="B986" s="19" t="s">
        <v>109</v>
      </c>
      <c r="C986" s="19" t="s">
        <v>407</v>
      </c>
      <c r="D986" s="19" t="s">
        <v>11151</v>
      </c>
      <c r="E986" s="20" t="s">
        <v>239</v>
      </c>
      <c r="F986" s="20" t="s">
        <v>239</v>
      </c>
      <c r="G986" s="19" t="s">
        <v>239</v>
      </c>
      <c r="H986" s="19" t="str">
        <f>VLOOKUP(G986,'languoid 4.0'!$A$1:$I$24439,2,FALSE)</f>
        <v>indo1319</v>
      </c>
      <c r="I986" s="19" t="str">
        <f>VLOOKUP(G986,'languoid 4.0'!$A$1:$I$24439,6,FALSE)</f>
        <v>language</v>
      </c>
      <c r="J986" s="20" t="s">
        <v>38</v>
      </c>
      <c r="K986" s="20" t="s">
        <v>38</v>
      </c>
      <c r="L986" s="20" t="s">
        <v>38</v>
      </c>
      <c r="M986" s="19"/>
      <c r="N986" s="19" t="s">
        <v>269</v>
      </c>
      <c r="O986" s="20" t="s">
        <v>40</v>
      </c>
      <c r="P986" s="20" t="s">
        <v>41</v>
      </c>
      <c r="Q986" s="19" t="s">
        <v>11158</v>
      </c>
      <c r="R986" s="21" t="s">
        <v>11148</v>
      </c>
      <c r="S986" s="19" t="s">
        <v>600</v>
      </c>
      <c r="T986" s="19" t="s">
        <v>657</v>
      </c>
      <c r="U986" s="19" t="s">
        <v>636</v>
      </c>
      <c r="V986" s="19" t="s">
        <v>45</v>
      </c>
      <c r="W986" s="19"/>
      <c r="X986" s="19"/>
      <c r="Y986" s="19"/>
      <c r="Z986" s="19" t="s">
        <v>887</v>
      </c>
      <c r="AA986" s="19" t="s">
        <v>46</v>
      </c>
      <c r="AB986" s="19" t="s">
        <v>46</v>
      </c>
      <c r="AC986" s="19" t="s">
        <v>11159</v>
      </c>
      <c r="AD986" s="19"/>
      <c r="AE986" s="19" t="s">
        <v>641</v>
      </c>
      <c r="AF986" s="19" t="s">
        <v>190</v>
      </c>
      <c r="AG986" s="19">
        <v>6</v>
      </c>
      <c r="AH986" s="19" t="s">
        <v>190</v>
      </c>
      <c r="AI986" s="19"/>
      <c r="AJ986" s="19" t="s">
        <v>11160</v>
      </c>
      <c r="AK986" s="19" t="s">
        <v>4386</v>
      </c>
    </row>
    <row r="987" spans="1:37" s="23" customFormat="1">
      <c r="A987" s="19" t="str">
        <f>VLOOKUP(H987,Languages!$A$2:$B$430,2,FALSE)</f>
        <v>Indo-European</v>
      </c>
      <c r="B987" s="19" t="s">
        <v>109</v>
      </c>
      <c r="C987" s="19" t="s">
        <v>407</v>
      </c>
      <c r="D987" s="19" t="s">
        <v>11146</v>
      </c>
      <c r="E987" s="20" t="s">
        <v>239</v>
      </c>
      <c r="F987" s="20" t="s">
        <v>239</v>
      </c>
      <c r="G987" s="19" t="s">
        <v>239</v>
      </c>
      <c r="H987" s="19" t="str">
        <f>VLOOKUP(G987,'languoid 4.0'!$A$1:$I$24439,2,FALSE)</f>
        <v>indo1319</v>
      </c>
      <c r="I987" s="19" t="str">
        <f>VLOOKUP(G987,'languoid 4.0'!$A$1:$I$24439,6,FALSE)</f>
        <v>language</v>
      </c>
      <c r="J987" s="20" t="s">
        <v>38</v>
      </c>
      <c r="K987" s="20" t="s">
        <v>38</v>
      </c>
      <c r="L987" s="20" t="s">
        <v>38</v>
      </c>
      <c r="M987" s="19"/>
      <c r="N987" s="19" t="s">
        <v>269</v>
      </c>
      <c r="O987" s="20" t="s">
        <v>40</v>
      </c>
      <c r="P987" s="20" t="s">
        <v>41</v>
      </c>
      <c r="Q987" s="19" t="s">
        <v>11164</v>
      </c>
      <c r="R987" s="21" t="s">
        <v>11148</v>
      </c>
      <c r="S987" s="19" t="s">
        <v>323</v>
      </c>
      <c r="T987" s="19" t="s">
        <v>657</v>
      </c>
      <c r="U987" s="19" t="s">
        <v>636</v>
      </c>
      <c r="V987" s="19" t="s">
        <v>45</v>
      </c>
      <c r="W987" s="19"/>
      <c r="X987" s="19"/>
      <c r="Y987" s="19"/>
      <c r="Z987" s="19" t="s">
        <v>1893</v>
      </c>
      <c r="AA987" s="19" t="s">
        <v>46</v>
      </c>
      <c r="AB987" s="19" t="s">
        <v>46</v>
      </c>
      <c r="AC987" s="19" t="s">
        <v>11165</v>
      </c>
      <c r="AD987" s="19"/>
      <c r="AE987" s="19" t="s">
        <v>641</v>
      </c>
      <c r="AF987" s="19" t="s">
        <v>190</v>
      </c>
      <c r="AG987" s="19">
        <v>6</v>
      </c>
      <c r="AH987" s="19" t="s">
        <v>190</v>
      </c>
      <c r="AI987" s="19"/>
      <c r="AJ987" s="19" t="s">
        <v>11166</v>
      </c>
      <c r="AK987" s="19" t="s">
        <v>4386</v>
      </c>
    </row>
    <row r="988" spans="1:37" s="23" customFormat="1">
      <c r="A988" s="19" t="str">
        <f>VLOOKUP(H988,Languages!$A$2:$B$430,2,FALSE)</f>
        <v>Indo-European</v>
      </c>
      <c r="B988" s="19" t="s">
        <v>109</v>
      </c>
      <c r="C988" s="19" t="s">
        <v>267</v>
      </c>
      <c r="D988" s="19" t="s">
        <v>9881</v>
      </c>
      <c r="E988" s="20" t="s">
        <v>51</v>
      </c>
      <c r="F988" s="20" t="s">
        <v>51</v>
      </c>
      <c r="G988" s="19" t="s">
        <v>9882</v>
      </c>
      <c r="H988" s="19" t="str">
        <f>VLOOKUP(G988,'languoid 4.0'!$A$1:$I$24439,2,FALSE)</f>
        <v>indo1319</v>
      </c>
      <c r="I988" s="19" t="str">
        <f>VLOOKUP(G988,'languoid 4.0'!$A$1:$I$24439,6,FALSE)</f>
        <v>language</v>
      </c>
      <c r="J988" s="20" t="s">
        <v>51</v>
      </c>
      <c r="K988" s="20" t="s">
        <v>51</v>
      </c>
      <c r="L988" s="20" t="s">
        <v>51</v>
      </c>
      <c r="M988" s="19" t="s">
        <v>9883</v>
      </c>
      <c r="N988" s="19" t="e">
        <v>#N/A</v>
      </c>
      <c r="O988" s="20" t="s">
        <v>690</v>
      </c>
      <c r="P988" s="20"/>
      <c r="Q988" s="19" t="s">
        <v>9884</v>
      </c>
      <c r="R988" s="21" t="s">
        <v>9885</v>
      </c>
      <c r="S988" s="19" t="s">
        <v>8791</v>
      </c>
      <c r="T988" s="19" t="s">
        <v>9174</v>
      </c>
      <c r="U988" s="19" t="s">
        <v>636</v>
      </c>
      <c r="V988" s="19" t="s">
        <v>45</v>
      </c>
      <c r="W988" s="19"/>
      <c r="X988" s="19"/>
      <c r="Y988" s="19"/>
      <c r="Z988" s="19" t="s">
        <v>673</v>
      </c>
      <c r="AA988" s="19" t="s">
        <v>46</v>
      </c>
      <c r="AB988" s="19" t="s">
        <v>46</v>
      </c>
      <c r="AC988" s="19" t="s">
        <v>9886</v>
      </c>
      <c r="AD988" s="19"/>
      <c r="AE988" s="19" t="s">
        <v>641</v>
      </c>
      <c r="AF988" s="19" t="s">
        <v>190</v>
      </c>
      <c r="AG988" s="19">
        <v>6</v>
      </c>
      <c r="AH988" s="19" t="s">
        <v>190</v>
      </c>
      <c r="AI988" s="19"/>
      <c r="AJ988" s="19" t="s">
        <v>9887</v>
      </c>
      <c r="AK988" s="19" t="s">
        <v>4945</v>
      </c>
    </row>
    <row r="989" spans="1:37" s="23" customFormat="1">
      <c r="A989" s="19" t="str">
        <f>VLOOKUP(H989,Languages!$A$2:$B$430,2,FALSE)</f>
        <v>Indo-European</v>
      </c>
      <c r="B989" s="19" t="s">
        <v>109</v>
      </c>
      <c r="C989" s="19" t="s">
        <v>159</v>
      </c>
      <c r="D989" s="19" t="s">
        <v>160</v>
      </c>
      <c r="E989" s="20" t="s">
        <v>161</v>
      </c>
      <c r="F989" s="20" t="s">
        <v>161</v>
      </c>
      <c r="G989" s="19" t="s">
        <v>161</v>
      </c>
      <c r="H989" s="19" t="str">
        <f>VLOOKUP(G989,'languoid 4.0'!$A$1:$I$24439,2,FALSE)</f>
        <v>indo1319</v>
      </c>
      <c r="I989" s="19" t="str">
        <f>VLOOKUP(G989,'languoid 4.0'!$A$1:$I$24439,6,FALSE)</f>
        <v>family</v>
      </c>
      <c r="J989" s="20" t="s">
        <v>38</v>
      </c>
      <c r="K989" s="20" t="s">
        <v>38</v>
      </c>
      <c r="L989" s="20" t="s">
        <v>38</v>
      </c>
      <c r="M989" s="19"/>
      <c r="N989" s="19" t="s">
        <v>162</v>
      </c>
      <c r="O989" s="20" t="s">
        <v>113</v>
      </c>
      <c r="P989" s="20" t="s">
        <v>41</v>
      </c>
      <c r="Q989" s="19" t="s">
        <v>352</v>
      </c>
      <c r="R989" s="21" t="s">
        <v>164</v>
      </c>
      <c r="S989" s="19" t="s">
        <v>353</v>
      </c>
      <c r="T989" s="19" t="s">
        <v>44</v>
      </c>
      <c r="U989" s="19"/>
      <c r="V989" s="19" t="s">
        <v>45</v>
      </c>
      <c r="W989" s="19"/>
      <c r="X989" s="19"/>
      <c r="Y989" s="19"/>
      <c r="Z989" s="19"/>
      <c r="AA989" s="19">
        <v>11</v>
      </c>
      <c r="AB989" s="19">
        <v>11</v>
      </c>
      <c r="AC989" s="19">
        <v>11</v>
      </c>
      <c r="AD989" s="19"/>
      <c r="AE989" s="19"/>
      <c r="AF989" s="19"/>
      <c r="AG989" s="19"/>
      <c r="AH989" s="19"/>
      <c r="AI989" s="19"/>
      <c r="AJ989" s="22">
        <v>43102.743113425924</v>
      </c>
      <c r="AK989" s="19" t="s">
        <v>74</v>
      </c>
    </row>
    <row r="990" spans="1:37" s="23" customFormat="1">
      <c r="A990" s="19" t="str">
        <f>VLOOKUP(H990,Languages!$A$2:$B$430,2,FALSE)</f>
        <v>Indo-European</v>
      </c>
      <c r="B990" s="19" t="s">
        <v>109</v>
      </c>
      <c r="C990" s="19" t="s">
        <v>159</v>
      </c>
      <c r="D990" s="19" t="s">
        <v>4618</v>
      </c>
      <c r="E990" s="20" t="s">
        <v>4619</v>
      </c>
      <c r="F990" s="20" t="s">
        <v>4619</v>
      </c>
      <c r="G990" s="19" t="s">
        <v>4619</v>
      </c>
      <c r="H990" s="19" t="str">
        <f>VLOOKUP(G990,'languoid 4.0'!$A$1:$I$24439,2,FALSE)</f>
        <v>indo1319</v>
      </c>
      <c r="I990" s="19" t="str">
        <f>VLOOKUP(G990,'languoid 4.0'!$A$1:$I$24439,6,FALSE)</f>
        <v>language</v>
      </c>
      <c r="J990" s="20" t="s">
        <v>38</v>
      </c>
      <c r="K990" s="20" t="s">
        <v>38</v>
      </c>
      <c r="L990" s="20" t="s">
        <v>38</v>
      </c>
      <c r="M990" s="19"/>
      <c r="N990" s="19" t="s">
        <v>4620</v>
      </c>
      <c r="O990" s="20" t="s">
        <v>40</v>
      </c>
      <c r="P990" s="20" t="s">
        <v>41</v>
      </c>
      <c r="Q990" s="19" t="s">
        <v>4625</v>
      </c>
      <c r="R990" s="21" t="s">
        <v>4626</v>
      </c>
      <c r="S990" s="19" t="s">
        <v>46</v>
      </c>
      <c r="T990" s="19" t="s">
        <v>635</v>
      </c>
      <c r="U990" s="19" t="s">
        <v>636</v>
      </c>
      <c r="V990" s="19" t="s">
        <v>45</v>
      </c>
      <c r="W990" s="19"/>
      <c r="X990" s="19"/>
      <c r="Y990" s="19"/>
      <c r="Z990" s="19" t="s">
        <v>637</v>
      </c>
      <c r="AA990" s="19" t="s">
        <v>4627</v>
      </c>
      <c r="AB990" s="19" t="s">
        <v>4628</v>
      </c>
      <c r="AC990" s="19" t="s">
        <v>46</v>
      </c>
      <c r="AD990" s="19"/>
      <c r="AE990" s="19" t="s">
        <v>641</v>
      </c>
      <c r="AF990" s="19" t="s">
        <v>190</v>
      </c>
      <c r="AG990" s="19">
        <v>6</v>
      </c>
      <c r="AH990" s="19" t="s">
        <v>190</v>
      </c>
      <c r="AI990" s="19"/>
      <c r="AJ990" s="22">
        <v>43318.636377314811</v>
      </c>
      <c r="AK990" s="19" t="s">
        <v>4608</v>
      </c>
    </row>
    <row r="991" spans="1:37" s="23" customFormat="1">
      <c r="A991" s="19" t="str">
        <f>VLOOKUP(H991,Languages!$A$2:$B$430,2,FALSE)</f>
        <v>Indo-European</v>
      </c>
      <c r="B991" s="19" t="s">
        <v>109</v>
      </c>
      <c r="C991" s="19" t="s">
        <v>159</v>
      </c>
      <c r="D991" s="19" t="s">
        <v>4634</v>
      </c>
      <c r="E991" s="20" t="s">
        <v>161</v>
      </c>
      <c r="F991" s="20" t="s">
        <v>4630</v>
      </c>
      <c r="G991" s="19" t="s">
        <v>161</v>
      </c>
      <c r="H991" s="19" t="str">
        <f>VLOOKUP(G991,'languoid 4.0'!$A$1:$I$24439,2,FALSE)</f>
        <v>indo1319</v>
      </c>
      <c r="I991" s="19" t="str">
        <f>VLOOKUP(G991,'languoid 4.0'!$A$1:$I$24439,6,FALSE)</f>
        <v>family</v>
      </c>
      <c r="J991" s="20" t="s">
        <v>52</v>
      </c>
      <c r="K991" s="20" t="s">
        <v>52</v>
      </c>
      <c r="L991" s="20" t="s">
        <v>52</v>
      </c>
      <c r="M991" s="19"/>
      <c r="N991" s="19" t="s">
        <v>162</v>
      </c>
      <c r="O991" s="20" t="s">
        <v>113</v>
      </c>
      <c r="P991" s="20" t="s">
        <v>41</v>
      </c>
      <c r="Q991" s="19" t="s">
        <v>4639</v>
      </c>
      <c r="R991" s="21" t="s">
        <v>4640</v>
      </c>
      <c r="S991" s="19" t="s">
        <v>46</v>
      </c>
      <c r="T991" s="19" t="s">
        <v>648</v>
      </c>
      <c r="U991" s="19" t="s">
        <v>636</v>
      </c>
      <c r="V991" s="19" t="s">
        <v>45</v>
      </c>
      <c r="W991" s="19"/>
      <c r="X991" s="19"/>
      <c r="Y991" s="19"/>
      <c r="Z991" s="19" t="s">
        <v>658</v>
      </c>
      <c r="AA991" s="19" t="s">
        <v>4641</v>
      </c>
      <c r="AB991" s="19" t="s">
        <v>46</v>
      </c>
      <c r="AC991" s="19" t="s">
        <v>46</v>
      </c>
      <c r="AD991" s="19"/>
      <c r="AE991" s="19" t="s">
        <v>641</v>
      </c>
      <c r="AF991" s="19" t="s">
        <v>190</v>
      </c>
      <c r="AG991" s="19">
        <v>6</v>
      </c>
      <c r="AH991" s="19" t="s">
        <v>190</v>
      </c>
      <c r="AI991" s="19"/>
      <c r="AJ991" s="22">
        <v>43318.645277777781</v>
      </c>
      <c r="AK991" s="19" t="s">
        <v>4608</v>
      </c>
    </row>
    <row r="992" spans="1:37" s="23" customFormat="1">
      <c r="A992" s="19" t="str">
        <f>VLOOKUP(H992,Languages!$A$2:$B$430,2,FALSE)</f>
        <v>Indo-European</v>
      </c>
      <c r="B992" s="19" t="s">
        <v>109</v>
      </c>
      <c r="C992" s="19" t="s">
        <v>159</v>
      </c>
      <c r="D992" s="19" t="s">
        <v>4634</v>
      </c>
      <c r="E992" s="20" t="s">
        <v>161</v>
      </c>
      <c r="F992" s="20" t="s">
        <v>4630</v>
      </c>
      <c r="G992" s="19" t="s">
        <v>161</v>
      </c>
      <c r="H992" s="19" t="str">
        <f>VLOOKUP(G992,'languoid 4.0'!$A$1:$I$24439,2,FALSE)</f>
        <v>indo1319</v>
      </c>
      <c r="I992" s="19" t="str">
        <f>VLOOKUP(G992,'languoid 4.0'!$A$1:$I$24439,6,FALSE)</f>
        <v>family</v>
      </c>
      <c r="J992" s="20" t="s">
        <v>52</v>
      </c>
      <c r="K992" s="20" t="s">
        <v>52</v>
      </c>
      <c r="L992" s="20" t="s">
        <v>52</v>
      </c>
      <c r="M992" s="19"/>
      <c r="N992" s="19" t="s">
        <v>162</v>
      </c>
      <c r="O992" s="20" t="s">
        <v>113</v>
      </c>
      <c r="P992" s="20" t="s">
        <v>41</v>
      </c>
      <c r="Q992" s="19" t="s">
        <v>4642</v>
      </c>
      <c r="R992" s="21" t="s">
        <v>4643</v>
      </c>
      <c r="S992" s="19" t="s">
        <v>46</v>
      </c>
      <c r="T992" s="19" t="s">
        <v>648</v>
      </c>
      <c r="U992" s="19" t="s">
        <v>636</v>
      </c>
      <c r="V992" s="19" t="s">
        <v>45</v>
      </c>
      <c r="W992" s="19"/>
      <c r="X992" s="19"/>
      <c r="Y992" s="19"/>
      <c r="Z992" s="19" t="s">
        <v>637</v>
      </c>
      <c r="AA992" s="19" t="s">
        <v>4644</v>
      </c>
      <c r="AB992" s="19" t="s">
        <v>4645</v>
      </c>
      <c r="AC992" s="19" t="s">
        <v>46</v>
      </c>
      <c r="AD992" s="19"/>
      <c r="AE992" s="19" t="s">
        <v>641</v>
      </c>
      <c r="AF992" s="19" t="s">
        <v>190</v>
      </c>
      <c r="AG992" s="19">
        <v>6</v>
      </c>
      <c r="AH992" s="19" t="s">
        <v>190</v>
      </c>
      <c r="AI992" s="19"/>
      <c r="AJ992" s="22">
        <v>43318.647858796299</v>
      </c>
      <c r="AK992" s="19" t="s">
        <v>4608</v>
      </c>
    </row>
    <row r="993" spans="1:37" s="23" customFormat="1">
      <c r="A993" s="19" t="str">
        <f>VLOOKUP(H993,Languages!$A$2:$B$430,2,FALSE)</f>
        <v>Indo-European</v>
      </c>
      <c r="B993" s="19" t="s">
        <v>109</v>
      </c>
      <c r="C993" s="19" t="s">
        <v>159</v>
      </c>
      <c r="D993" s="19" t="s">
        <v>4634</v>
      </c>
      <c r="E993" s="20" t="s">
        <v>161</v>
      </c>
      <c r="F993" s="20" t="s">
        <v>4630</v>
      </c>
      <c r="G993" s="19" t="s">
        <v>161</v>
      </c>
      <c r="H993" s="19" t="str">
        <f>VLOOKUP(G993,'languoid 4.0'!$A$1:$I$24439,2,FALSE)</f>
        <v>indo1319</v>
      </c>
      <c r="I993" s="19" t="str">
        <f>VLOOKUP(G993,'languoid 4.0'!$A$1:$I$24439,6,FALSE)</f>
        <v>family</v>
      </c>
      <c r="J993" s="20" t="s">
        <v>52</v>
      </c>
      <c r="K993" s="20" t="s">
        <v>52</v>
      </c>
      <c r="L993" s="20" t="s">
        <v>52</v>
      </c>
      <c r="M993" s="19"/>
      <c r="N993" s="19" t="s">
        <v>162</v>
      </c>
      <c r="O993" s="20" t="s">
        <v>113</v>
      </c>
      <c r="P993" s="20" t="s">
        <v>41</v>
      </c>
      <c r="Q993" s="19" t="s">
        <v>4642</v>
      </c>
      <c r="R993" s="21" t="s">
        <v>4643</v>
      </c>
      <c r="S993" s="19" t="s">
        <v>46</v>
      </c>
      <c r="T993" s="19" t="s">
        <v>648</v>
      </c>
      <c r="U993" s="19" t="s">
        <v>636</v>
      </c>
      <c r="V993" s="19" t="s">
        <v>45</v>
      </c>
      <c r="W993" s="19"/>
      <c r="X993" s="19"/>
      <c r="Y993" s="19"/>
      <c r="Z993" s="19" t="s">
        <v>637</v>
      </c>
      <c r="AA993" s="19" t="s">
        <v>4644</v>
      </c>
      <c r="AB993" s="19" t="s">
        <v>4645</v>
      </c>
      <c r="AC993" s="19" t="s">
        <v>46</v>
      </c>
      <c r="AD993" s="19"/>
      <c r="AE993" s="19" t="s">
        <v>641</v>
      </c>
      <c r="AF993" s="19" t="s">
        <v>190</v>
      </c>
      <c r="AG993" s="19">
        <v>6</v>
      </c>
      <c r="AH993" s="19" t="s">
        <v>190</v>
      </c>
      <c r="AI993" s="19"/>
      <c r="AJ993" s="22">
        <v>43318.649224537039</v>
      </c>
      <c r="AK993" s="19" t="s">
        <v>4608</v>
      </c>
    </row>
    <row r="994" spans="1:37" s="23" customFormat="1">
      <c r="A994" s="19" t="str">
        <f>VLOOKUP(H994,Languages!$A$2:$B$430,2,FALSE)</f>
        <v>Indo-European</v>
      </c>
      <c r="B994" s="19" t="s">
        <v>109</v>
      </c>
      <c r="C994" s="19" t="s">
        <v>159</v>
      </c>
      <c r="D994" s="19" t="s">
        <v>4646</v>
      </c>
      <c r="E994" s="20" t="s">
        <v>161</v>
      </c>
      <c r="F994" s="20" t="s">
        <v>4630</v>
      </c>
      <c r="G994" s="19" t="s">
        <v>161</v>
      </c>
      <c r="H994" s="19" t="str">
        <f>VLOOKUP(G994,'languoid 4.0'!$A$1:$I$24439,2,FALSE)</f>
        <v>indo1319</v>
      </c>
      <c r="I994" s="19" t="str">
        <f>VLOOKUP(G994,'languoid 4.0'!$A$1:$I$24439,6,FALSE)</f>
        <v>family</v>
      </c>
      <c r="J994" s="20" t="s">
        <v>52</v>
      </c>
      <c r="K994" s="20" t="s">
        <v>52</v>
      </c>
      <c r="L994" s="20" t="s">
        <v>52</v>
      </c>
      <c r="M994" s="19"/>
      <c r="N994" s="19" t="s">
        <v>162</v>
      </c>
      <c r="O994" s="20" t="s">
        <v>113</v>
      </c>
      <c r="P994" s="20" t="s">
        <v>41</v>
      </c>
      <c r="Q994" s="19" t="s">
        <v>4655</v>
      </c>
      <c r="R994" s="21" t="s">
        <v>4656</v>
      </c>
      <c r="S994" s="19" t="s">
        <v>46</v>
      </c>
      <c r="T994" s="19" t="s">
        <v>648</v>
      </c>
      <c r="U994" s="19" t="s">
        <v>636</v>
      </c>
      <c r="V994" s="19" t="s">
        <v>45</v>
      </c>
      <c r="W994" s="19"/>
      <c r="X994" s="19"/>
      <c r="Y994" s="19"/>
      <c r="Z994" s="19" t="s">
        <v>658</v>
      </c>
      <c r="AA994" s="19" t="s">
        <v>4657</v>
      </c>
      <c r="AB994" s="19" t="s">
        <v>46</v>
      </c>
      <c r="AC994" s="19" t="s">
        <v>46</v>
      </c>
      <c r="AD994" s="19"/>
      <c r="AE994" s="19" t="s">
        <v>641</v>
      </c>
      <c r="AF994" s="19" t="s">
        <v>190</v>
      </c>
      <c r="AG994" s="19">
        <v>6</v>
      </c>
      <c r="AH994" s="19" t="s">
        <v>190</v>
      </c>
      <c r="AI994" s="19"/>
      <c r="AJ994" s="22">
        <v>43318.656527777777</v>
      </c>
      <c r="AK994" s="19" t="s">
        <v>4608</v>
      </c>
    </row>
    <row r="995" spans="1:37" s="23" customFormat="1">
      <c r="A995" s="19" t="str">
        <f>VLOOKUP(H995,Languages!$A$2:$B$430,2,FALSE)</f>
        <v>Indo-European</v>
      </c>
      <c r="B995" s="19" t="s">
        <v>109</v>
      </c>
      <c r="C995" s="19" t="s">
        <v>159</v>
      </c>
      <c r="D995" s="19" t="s">
        <v>4658</v>
      </c>
      <c r="E995" s="20" t="s">
        <v>161</v>
      </c>
      <c r="F995" s="20" t="s">
        <v>2187</v>
      </c>
      <c r="G995" s="19" t="s">
        <v>161</v>
      </c>
      <c r="H995" s="19" t="str">
        <f>VLOOKUP(G995,'languoid 4.0'!$A$1:$I$24439,2,FALSE)</f>
        <v>indo1319</v>
      </c>
      <c r="I995" s="19" t="str">
        <f>VLOOKUP(G995,'languoid 4.0'!$A$1:$I$24439,6,FALSE)</f>
        <v>family</v>
      </c>
      <c r="J995" s="20" t="s">
        <v>52</v>
      </c>
      <c r="K995" s="20" t="s">
        <v>38</v>
      </c>
      <c r="L995" s="20" t="s">
        <v>38</v>
      </c>
      <c r="M995" s="19"/>
      <c r="N995" s="19" t="s">
        <v>162</v>
      </c>
      <c r="O995" s="20" t="s">
        <v>113</v>
      </c>
      <c r="P995" s="20" t="s">
        <v>41</v>
      </c>
      <c r="Q995" s="19" t="s">
        <v>4659</v>
      </c>
      <c r="R995" s="21" t="s">
        <v>4660</v>
      </c>
      <c r="S995" s="19" t="s">
        <v>46</v>
      </c>
      <c r="T995" s="19" t="s">
        <v>635</v>
      </c>
      <c r="U995" s="19" t="s">
        <v>636</v>
      </c>
      <c r="V995" s="19" t="s">
        <v>45</v>
      </c>
      <c r="W995" s="19"/>
      <c r="X995" s="19"/>
      <c r="Y995" s="19"/>
      <c r="Z995" s="19" t="s">
        <v>658</v>
      </c>
      <c r="AA995" s="19" t="s">
        <v>4661</v>
      </c>
      <c r="AB995" s="19" t="s">
        <v>46</v>
      </c>
      <c r="AC995" s="19" t="s">
        <v>46</v>
      </c>
      <c r="AD995" s="19"/>
      <c r="AE995" s="19" t="s">
        <v>641</v>
      </c>
      <c r="AF995" s="19" t="s">
        <v>190</v>
      </c>
      <c r="AG995" s="19">
        <v>6</v>
      </c>
      <c r="AH995" s="19" t="s">
        <v>190</v>
      </c>
      <c r="AI995" s="19"/>
      <c r="AJ995" s="22">
        <v>43318.663645833331</v>
      </c>
      <c r="AK995" s="19" t="s">
        <v>4608</v>
      </c>
    </row>
    <row r="996" spans="1:37" s="23" customFormat="1">
      <c r="A996" s="19" t="str">
        <f>VLOOKUP(H996,Languages!$A$2:$B$430,2,FALSE)</f>
        <v>Indo-European</v>
      </c>
      <c r="B996" s="19" t="s">
        <v>109</v>
      </c>
      <c r="C996" s="19" t="s">
        <v>159</v>
      </c>
      <c r="D996" s="19" t="s">
        <v>4790</v>
      </c>
      <c r="E996" s="20" t="s">
        <v>161</v>
      </c>
      <c r="F996" s="20" t="s">
        <v>161</v>
      </c>
      <c r="G996" s="19" t="s">
        <v>161</v>
      </c>
      <c r="H996" s="19" t="str">
        <f>VLOOKUP(G996,'languoid 4.0'!$A$1:$I$24439,2,FALSE)</f>
        <v>indo1319</v>
      </c>
      <c r="I996" s="19" t="str">
        <f>VLOOKUP(G996,'languoid 4.0'!$A$1:$I$24439,6,FALSE)</f>
        <v>family</v>
      </c>
      <c r="J996" s="20" t="s">
        <v>38</v>
      </c>
      <c r="K996" s="20" t="s">
        <v>38</v>
      </c>
      <c r="L996" s="20" t="s">
        <v>38</v>
      </c>
      <c r="M996" s="19"/>
      <c r="N996" s="19" t="s">
        <v>162</v>
      </c>
      <c r="O996" s="20" t="s">
        <v>113</v>
      </c>
      <c r="P996" s="20" t="s">
        <v>41</v>
      </c>
      <c r="Q996" s="19" t="s">
        <v>4791</v>
      </c>
      <c r="R996" s="21" t="s">
        <v>4792</v>
      </c>
      <c r="S996" s="19" t="s">
        <v>225</v>
      </c>
      <c r="T996" s="19" t="s">
        <v>657</v>
      </c>
      <c r="U996" s="19" t="s">
        <v>636</v>
      </c>
      <c r="V996" s="19" t="s">
        <v>45</v>
      </c>
      <c r="W996" s="19"/>
      <c r="X996" s="19"/>
      <c r="Y996" s="19"/>
      <c r="Z996" s="19" t="s">
        <v>658</v>
      </c>
      <c r="AA996" s="19" t="s">
        <v>4793</v>
      </c>
      <c r="AB996" s="19" t="s">
        <v>46</v>
      </c>
      <c r="AC996" s="19" t="s">
        <v>46</v>
      </c>
      <c r="AD996" s="19"/>
      <c r="AE996" s="19" t="s">
        <v>641</v>
      </c>
      <c r="AF996" s="19" t="s">
        <v>190</v>
      </c>
      <c r="AG996" s="19">
        <v>6</v>
      </c>
      <c r="AH996" s="19" t="s">
        <v>190</v>
      </c>
      <c r="AI996" s="19"/>
      <c r="AJ996" s="22">
        <v>43410.668043981481</v>
      </c>
      <c r="AK996" s="19" t="s">
        <v>4608</v>
      </c>
    </row>
    <row r="997" spans="1:37" s="23" customFormat="1">
      <c r="A997" s="19" t="str">
        <f>VLOOKUP(H997,Languages!$A$2:$B$430,2,FALSE)</f>
        <v>Indo-European</v>
      </c>
      <c r="B997" s="19" t="s">
        <v>109</v>
      </c>
      <c r="C997" s="19" t="s">
        <v>159</v>
      </c>
      <c r="D997" s="19" t="s">
        <v>4794</v>
      </c>
      <c r="E997" s="20" t="s">
        <v>161</v>
      </c>
      <c r="F997" s="20" t="s">
        <v>4630</v>
      </c>
      <c r="G997" s="19" t="s">
        <v>161</v>
      </c>
      <c r="H997" s="19" t="str">
        <f>VLOOKUP(G997,'languoid 4.0'!$A$1:$I$24439,2,FALSE)</f>
        <v>indo1319</v>
      </c>
      <c r="I997" s="19" t="str">
        <f>VLOOKUP(G997,'languoid 4.0'!$A$1:$I$24439,6,FALSE)</f>
        <v>family</v>
      </c>
      <c r="J997" s="20" t="s">
        <v>52</v>
      </c>
      <c r="K997" s="20" t="s">
        <v>52</v>
      </c>
      <c r="L997" s="20" t="s">
        <v>52</v>
      </c>
      <c r="M997" s="19"/>
      <c r="N997" s="19" t="s">
        <v>162</v>
      </c>
      <c r="O997" s="20" t="s">
        <v>113</v>
      </c>
      <c r="P997" s="20" t="s">
        <v>41</v>
      </c>
      <c r="Q997" s="19" t="s">
        <v>144</v>
      </c>
      <c r="R997" s="21" t="s">
        <v>4795</v>
      </c>
      <c r="S997" s="19" t="s">
        <v>1526</v>
      </c>
      <c r="T997" s="19" t="s">
        <v>657</v>
      </c>
      <c r="U997" s="19" t="s">
        <v>636</v>
      </c>
      <c r="V997" s="19" t="s">
        <v>45</v>
      </c>
      <c r="W997" s="19"/>
      <c r="X997" s="19"/>
      <c r="Y997" s="19"/>
      <c r="Z997" s="19" t="s">
        <v>658</v>
      </c>
      <c r="AA997" s="19" t="s">
        <v>4796</v>
      </c>
      <c r="AB997" s="19" t="s">
        <v>46</v>
      </c>
      <c r="AC997" s="19" t="s">
        <v>46</v>
      </c>
      <c r="AD997" s="19"/>
      <c r="AE997" s="19" t="s">
        <v>641</v>
      </c>
      <c r="AF997" s="19" t="s">
        <v>45</v>
      </c>
      <c r="AG997" s="19">
        <v>1</v>
      </c>
      <c r="AH997" s="19" t="s">
        <v>190</v>
      </c>
      <c r="AI997" s="19"/>
      <c r="AJ997" s="22">
        <v>43410.673078703701</v>
      </c>
      <c r="AK997" s="19" t="s">
        <v>4608</v>
      </c>
    </row>
    <row r="998" spans="1:37" s="23" customFormat="1">
      <c r="A998" s="19" t="str">
        <f>VLOOKUP(H998,Languages!$A$2:$B$430,2,FALSE)</f>
        <v>Indo-European</v>
      </c>
      <c r="B998" s="19" t="s">
        <v>109</v>
      </c>
      <c r="C998" s="19" t="s">
        <v>101</v>
      </c>
      <c r="D998" s="19" t="s">
        <v>9558</v>
      </c>
      <c r="E998" s="20" t="s">
        <v>239</v>
      </c>
      <c r="F998" s="20" t="s">
        <v>239</v>
      </c>
      <c r="G998" s="19" t="s">
        <v>239</v>
      </c>
      <c r="H998" s="19" t="str">
        <f>VLOOKUP(G998,'languoid 4.0'!$A$1:$I$24439,2,FALSE)</f>
        <v>indo1319</v>
      </c>
      <c r="I998" s="19" t="str">
        <f>VLOOKUP(G998,'languoid 4.0'!$A$1:$I$24439,6,FALSE)</f>
        <v>language</v>
      </c>
      <c r="J998" s="20" t="s">
        <v>38</v>
      </c>
      <c r="K998" s="20" t="s">
        <v>38</v>
      </c>
      <c r="L998" s="20" t="s">
        <v>38</v>
      </c>
      <c r="M998" s="19"/>
      <c r="N998" s="19" t="s">
        <v>269</v>
      </c>
      <c r="O998" s="20" t="s">
        <v>40</v>
      </c>
      <c r="P998" s="20" t="s">
        <v>41</v>
      </c>
      <c r="Q998" s="19" t="s">
        <v>10486</v>
      </c>
      <c r="R998" s="21" t="s">
        <v>10487</v>
      </c>
      <c r="S998" s="19" t="s">
        <v>647</v>
      </c>
      <c r="T998" s="19" t="s">
        <v>657</v>
      </c>
      <c r="U998" s="19" t="s">
        <v>636</v>
      </c>
      <c r="V998" s="19" t="s">
        <v>45</v>
      </c>
      <c r="W998" s="19"/>
      <c r="X998" s="19"/>
      <c r="Y998" s="19"/>
      <c r="Z998" s="19" t="s">
        <v>658</v>
      </c>
      <c r="AA998" s="19" t="s">
        <v>10488</v>
      </c>
      <c r="AB998" s="19" t="s">
        <v>46</v>
      </c>
      <c r="AC998" s="19" t="s">
        <v>46</v>
      </c>
      <c r="AD998" s="19" t="s">
        <v>10489</v>
      </c>
      <c r="AE998" s="19" t="s">
        <v>641</v>
      </c>
      <c r="AF998" s="19" t="s">
        <v>190</v>
      </c>
      <c r="AG998" s="19">
        <v>5</v>
      </c>
      <c r="AH998" s="19" t="s">
        <v>190</v>
      </c>
      <c r="AI998" s="19" t="s">
        <v>10484</v>
      </c>
      <c r="AJ998" s="19" t="s">
        <v>10490</v>
      </c>
      <c r="AK998" s="19" t="s">
        <v>9565</v>
      </c>
    </row>
    <row r="999" spans="1:37" s="23" customFormat="1">
      <c r="A999" s="19" t="str">
        <f>VLOOKUP(H999,Languages!$A$2:$B$430,2,FALSE)</f>
        <v>Indo-European</v>
      </c>
      <c r="B999" s="19" t="s">
        <v>109</v>
      </c>
      <c r="C999" s="19" t="s">
        <v>249</v>
      </c>
      <c r="D999" s="19" t="s">
        <v>437</v>
      </c>
      <c r="E999" s="20" t="s">
        <v>438</v>
      </c>
      <c r="F999" s="20" t="s">
        <v>438</v>
      </c>
      <c r="G999" s="19" t="s">
        <v>438</v>
      </c>
      <c r="H999" s="19" t="str">
        <f>VLOOKUP(G999,'languoid 4.0'!$A$1:$I$24439,2,FALSE)</f>
        <v>indo1319</v>
      </c>
      <c r="I999" s="19" t="str">
        <f>VLOOKUP(G999,'languoid 4.0'!$A$1:$I$24439,6,FALSE)</f>
        <v>language</v>
      </c>
      <c r="J999" s="20" t="s">
        <v>38</v>
      </c>
      <c r="K999" s="20" t="s">
        <v>38</v>
      </c>
      <c r="L999" s="20" t="s">
        <v>38</v>
      </c>
      <c r="M999" s="19"/>
      <c r="N999" s="19" t="s">
        <v>10554</v>
      </c>
      <c r="O999" s="20" t="s">
        <v>40</v>
      </c>
      <c r="P999" s="20" t="s">
        <v>41</v>
      </c>
      <c r="Q999" s="19" t="s">
        <v>11567</v>
      </c>
      <c r="R999" s="21" t="s">
        <v>11568</v>
      </c>
      <c r="S999" s="19" t="s">
        <v>4323</v>
      </c>
      <c r="T999" s="19" t="s">
        <v>657</v>
      </c>
      <c r="U999" s="19" t="s">
        <v>636</v>
      </c>
      <c r="V999" s="19" t="s">
        <v>45</v>
      </c>
      <c r="W999" s="19"/>
      <c r="X999" s="19"/>
      <c r="Y999" s="19"/>
      <c r="Z999" s="19" t="s">
        <v>673</v>
      </c>
      <c r="AA999" s="19" t="s">
        <v>46</v>
      </c>
      <c r="AB999" s="19" t="s">
        <v>11569</v>
      </c>
      <c r="AC999" s="19" t="s">
        <v>11570</v>
      </c>
      <c r="AD999" s="19"/>
      <c r="AE999" s="19" t="s">
        <v>641</v>
      </c>
      <c r="AF999" s="19" t="s">
        <v>190</v>
      </c>
      <c r="AG999" s="19">
        <v>6</v>
      </c>
      <c r="AH999" s="19" t="s">
        <v>190</v>
      </c>
      <c r="AI999" s="19"/>
      <c r="AJ999" s="22">
        <v>43556.043310185189</v>
      </c>
      <c r="AK999" s="19" t="s">
        <v>5640</v>
      </c>
    </row>
    <row r="1000" spans="1:37" s="23" customFormat="1">
      <c r="A1000" s="19" t="str">
        <f>VLOOKUP(H1000,Languages!$A$2:$B$430,2,FALSE)</f>
        <v>Indo-European</v>
      </c>
      <c r="B1000" s="19" t="s">
        <v>109</v>
      </c>
      <c r="C1000" s="19" t="s">
        <v>124</v>
      </c>
      <c r="D1000" s="19" t="s">
        <v>147</v>
      </c>
      <c r="E1000" s="20" t="s">
        <v>148</v>
      </c>
      <c r="F1000" s="20" t="s">
        <v>149</v>
      </c>
      <c r="G1000" s="19" t="s">
        <v>148</v>
      </c>
      <c r="H1000" s="19" t="str">
        <f>VLOOKUP(G1000,'languoid 4.0'!$A$1:$I$24439,2,FALSE)</f>
        <v>indo1319</v>
      </c>
      <c r="I1000" s="19" t="str">
        <f>VLOOKUP(G1000,'languoid 4.0'!$A$1:$I$24439,6,FALSE)</f>
        <v>language</v>
      </c>
      <c r="J1000" s="20" t="s">
        <v>52</v>
      </c>
      <c r="K1000" s="20" t="s">
        <v>52</v>
      </c>
      <c r="L1000" s="20" t="s">
        <v>52</v>
      </c>
      <c r="M1000" s="19"/>
      <c r="N1000" s="19" t="s">
        <v>150</v>
      </c>
      <c r="O1000" s="20" t="s">
        <v>40</v>
      </c>
      <c r="P1000" s="20" t="s">
        <v>41</v>
      </c>
      <c r="Q1000" s="19" t="s">
        <v>151</v>
      </c>
      <c r="R1000" s="21" t="s">
        <v>152</v>
      </c>
      <c r="S1000" s="19" t="s">
        <v>153</v>
      </c>
      <c r="T1000" s="19" t="s">
        <v>44</v>
      </c>
      <c r="U1000" s="19"/>
      <c r="V1000" s="19" t="s">
        <v>45</v>
      </c>
      <c r="W1000" s="19"/>
      <c r="X1000" s="19"/>
      <c r="Y1000" s="19"/>
      <c r="Z1000" s="19"/>
      <c r="AA1000" s="19">
        <v>5</v>
      </c>
      <c r="AB1000" s="19">
        <v>5</v>
      </c>
      <c r="AC1000" s="19" t="s">
        <v>46</v>
      </c>
      <c r="AD1000" s="19"/>
      <c r="AE1000" s="19"/>
      <c r="AF1000" s="19"/>
      <c r="AG1000" s="19"/>
      <c r="AH1000" s="19"/>
      <c r="AI1000" s="19"/>
      <c r="AJ1000" s="22">
        <v>43102.731249999997</v>
      </c>
      <c r="AK1000" s="19" t="s">
        <v>74</v>
      </c>
    </row>
    <row r="1001" spans="1:37" s="23" customFormat="1">
      <c r="A1001" s="19" t="str">
        <f>VLOOKUP(H1001,Languages!$A$2:$B$430,2,FALSE)</f>
        <v>Indo-European</v>
      </c>
      <c r="B1001" s="19" t="s">
        <v>109</v>
      </c>
      <c r="C1001" s="19" t="s">
        <v>124</v>
      </c>
      <c r="D1001" s="19" t="s">
        <v>1117</v>
      </c>
      <c r="E1001" s="20" t="s">
        <v>1118</v>
      </c>
      <c r="F1001" s="20" t="s">
        <v>1119</v>
      </c>
      <c r="G1001" s="19" t="s">
        <v>1118</v>
      </c>
      <c r="H1001" s="19" t="str">
        <f>VLOOKUP(G1001,'languoid 4.0'!$A$1:$I$24439,2,FALSE)</f>
        <v>indo1319</v>
      </c>
      <c r="I1001" s="19" t="str">
        <f>VLOOKUP(G1001,'languoid 4.0'!$A$1:$I$24439,6,FALSE)</f>
        <v>language</v>
      </c>
      <c r="J1001" s="20" t="s">
        <v>52</v>
      </c>
      <c r="K1001" s="20" t="s">
        <v>52</v>
      </c>
      <c r="L1001" s="20" t="s">
        <v>52</v>
      </c>
      <c r="M1001" s="19"/>
      <c r="N1001" s="19" t="s">
        <v>1120</v>
      </c>
      <c r="O1001" s="20" t="s">
        <v>40</v>
      </c>
      <c r="P1001" s="20" t="s">
        <v>632</v>
      </c>
      <c r="Q1001" s="19" t="s">
        <v>748</v>
      </c>
      <c r="R1001" s="21" t="s">
        <v>1121</v>
      </c>
      <c r="S1001" s="19" t="s">
        <v>1122</v>
      </c>
      <c r="T1001" s="19" t="s">
        <v>635</v>
      </c>
      <c r="U1001" s="19" t="s">
        <v>636</v>
      </c>
      <c r="V1001" s="19" t="s">
        <v>45</v>
      </c>
      <c r="W1001" s="19"/>
      <c r="X1001" s="19"/>
      <c r="Y1001" s="19"/>
      <c r="Z1001" s="19" t="s">
        <v>658</v>
      </c>
      <c r="AA1001" s="19" t="s">
        <v>1123</v>
      </c>
      <c r="AB1001" s="19" t="s">
        <v>46</v>
      </c>
      <c r="AC1001" s="19" t="s">
        <v>46</v>
      </c>
      <c r="AD1001" s="19" t="s">
        <v>1124</v>
      </c>
      <c r="AE1001" s="19" t="s">
        <v>641</v>
      </c>
      <c r="AF1001" s="19" t="s">
        <v>190</v>
      </c>
      <c r="AG1001" s="19">
        <v>6</v>
      </c>
      <c r="AH1001" s="19" t="s">
        <v>190</v>
      </c>
      <c r="AI1001" s="19"/>
      <c r="AJ1001" s="19" t="s">
        <v>1125</v>
      </c>
      <c r="AK1001" s="19" t="s">
        <v>1126</v>
      </c>
    </row>
    <row r="1002" spans="1:37" s="23" customFormat="1">
      <c r="A1002" s="19" t="str">
        <f>VLOOKUP(H1002,Languages!$A$2:$B$430,2,FALSE)</f>
        <v>Indo-European</v>
      </c>
      <c r="B1002" s="19" t="s">
        <v>109</v>
      </c>
      <c r="C1002" s="19" t="s">
        <v>124</v>
      </c>
      <c r="D1002" s="19" t="s">
        <v>1281</v>
      </c>
      <c r="E1002" s="20" t="s">
        <v>1282</v>
      </c>
      <c r="F1002" s="20" t="s">
        <v>51</v>
      </c>
      <c r="G1002" s="19" t="s">
        <v>1282</v>
      </c>
      <c r="H1002" s="19" t="str">
        <f>VLOOKUP(G1002,'languoid 4.0'!$A$1:$I$24439,2,FALSE)</f>
        <v>indo1319</v>
      </c>
      <c r="I1002" s="19" t="str">
        <f>VLOOKUP(G1002,'languoid 4.0'!$A$1:$I$24439,6,FALSE)</f>
        <v>language</v>
      </c>
      <c r="J1002" s="20" t="s">
        <v>52</v>
      </c>
      <c r="K1002" s="20" t="s">
        <v>51</v>
      </c>
      <c r="L1002" s="20" t="s">
        <v>51</v>
      </c>
      <c r="M1002" s="19"/>
      <c r="N1002" s="19" t="s">
        <v>1283</v>
      </c>
      <c r="O1002" s="20" t="s">
        <v>40</v>
      </c>
      <c r="P1002" s="20" t="s">
        <v>41</v>
      </c>
      <c r="Q1002" s="19" t="s">
        <v>1284</v>
      </c>
      <c r="R1002" s="21" t="s">
        <v>1285</v>
      </c>
      <c r="S1002" s="19">
        <v>2</v>
      </c>
      <c r="T1002" s="19" t="s">
        <v>635</v>
      </c>
      <c r="U1002" s="19" t="s">
        <v>636</v>
      </c>
      <c r="V1002" s="19" t="s">
        <v>45</v>
      </c>
      <c r="W1002" s="19"/>
      <c r="X1002" s="19"/>
      <c r="Y1002" s="19"/>
      <c r="Z1002" s="19" t="s">
        <v>658</v>
      </c>
      <c r="AA1002" s="19" t="s">
        <v>1286</v>
      </c>
      <c r="AB1002" s="19" t="s">
        <v>46</v>
      </c>
      <c r="AC1002" s="19" t="s">
        <v>46</v>
      </c>
      <c r="AD1002" s="19"/>
      <c r="AE1002" s="19" t="s">
        <v>641</v>
      </c>
      <c r="AF1002" s="19" t="s">
        <v>190</v>
      </c>
      <c r="AG1002" s="19">
        <v>3</v>
      </c>
      <c r="AH1002" s="19" t="s">
        <v>190</v>
      </c>
      <c r="AI1002" s="19"/>
      <c r="AJ1002" s="19" t="s">
        <v>1287</v>
      </c>
      <c r="AK1002" s="19" t="s">
        <v>1126</v>
      </c>
    </row>
    <row r="1003" spans="1:37" s="23" customFormat="1">
      <c r="A1003" s="19" t="str">
        <f>VLOOKUP(H1003,Languages!$A$2:$B$430,2,FALSE)</f>
        <v>Indo-European</v>
      </c>
      <c r="B1003" s="19" t="s">
        <v>109</v>
      </c>
      <c r="C1003" s="19" t="s">
        <v>124</v>
      </c>
      <c r="D1003" s="19" t="s">
        <v>2185</v>
      </c>
      <c r="E1003" s="20" t="s">
        <v>2186</v>
      </c>
      <c r="F1003" s="20" t="s">
        <v>2187</v>
      </c>
      <c r="G1003" s="19" t="s">
        <v>2186</v>
      </c>
      <c r="H1003" s="19" t="str">
        <f>VLOOKUP(G1003,'languoid 4.0'!$A$1:$I$24439,2,FALSE)</f>
        <v>indo1319</v>
      </c>
      <c r="I1003" s="19" t="str">
        <f>VLOOKUP(G1003,'languoid 4.0'!$A$1:$I$24439,6,FALSE)</f>
        <v>language</v>
      </c>
      <c r="J1003" s="20" t="s">
        <v>52</v>
      </c>
      <c r="K1003" s="20" t="s">
        <v>38</v>
      </c>
      <c r="L1003" s="20" t="s">
        <v>38</v>
      </c>
      <c r="M1003" s="19"/>
      <c r="N1003" s="19" t="s">
        <v>2188</v>
      </c>
      <c r="O1003" s="20" t="s">
        <v>40</v>
      </c>
      <c r="P1003" s="20" t="s">
        <v>41</v>
      </c>
      <c r="Q1003" s="19" t="s">
        <v>2195</v>
      </c>
      <c r="R1003" s="21" t="s">
        <v>2190</v>
      </c>
      <c r="S1003" s="19" t="s">
        <v>2196</v>
      </c>
      <c r="T1003" s="19" t="s">
        <v>635</v>
      </c>
      <c r="U1003" s="19" t="s">
        <v>636</v>
      </c>
      <c r="V1003" s="19" t="s">
        <v>45</v>
      </c>
      <c r="W1003" s="19"/>
      <c r="X1003" s="19"/>
      <c r="Y1003" s="19"/>
      <c r="Z1003" s="19" t="s">
        <v>658</v>
      </c>
      <c r="AA1003" s="19" t="s">
        <v>1286</v>
      </c>
      <c r="AB1003" s="19" t="s">
        <v>46</v>
      </c>
      <c r="AC1003" s="19" t="s">
        <v>46</v>
      </c>
      <c r="AD1003" s="19" t="s">
        <v>2197</v>
      </c>
      <c r="AE1003" s="19" t="s">
        <v>641</v>
      </c>
      <c r="AF1003" s="19" t="s">
        <v>190</v>
      </c>
      <c r="AG1003" s="19">
        <v>6</v>
      </c>
      <c r="AH1003" s="19" t="s">
        <v>190</v>
      </c>
      <c r="AI1003" s="19"/>
      <c r="AJ1003" s="19" t="s">
        <v>2198</v>
      </c>
      <c r="AK1003" s="19" t="s">
        <v>1126</v>
      </c>
    </row>
    <row r="1004" spans="1:37" s="23" customFormat="1">
      <c r="A1004" s="19" t="str">
        <f>VLOOKUP(H1004,Languages!$A$2:$B$430,2,FALSE)</f>
        <v>Indo-European</v>
      </c>
      <c r="B1004" s="19" t="s">
        <v>109</v>
      </c>
      <c r="C1004" s="19" t="s">
        <v>124</v>
      </c>
      <c r="D1004" s="19" t="s">
        <v>1281</v>
      </c>
      <c r="E1004" s="20" t="s">
        <v>1282</v>
      </c>
      <c r="F1004" s="20" t="s">
        <v>1290</v>
      </c>
      <c r="G1004" s="19" t="s">
        <v>1282</v>
      </c>
      <c r="H1004" s="19" t="str">
        <f>VLOOKUP(G1004,'languoid 4.0'!$A$1:$I$24439,2,FALSE)</f>
        <v>indo1319</v>
      </c>
      <c r="I1004" s="19" t="str">
        <f>VLOOKUP(G1004,'languoid 4.0'!$A$1:$I$24439,6,FALSE)</f>
        <v>language</v>
      </c>
      <c r="J1004" s="20" t="s">
        <v>52</v>
      </c>
      <c r="K1004" s="20" t="s">
        <v>38</v>
      </c>
      <c r="L1004" s="20" t="s">
        <v>38</v>
      </c>
      <c r="M1004" s="19"/>
      <c r="N1004" s="19" t="s">
        <v>1283</v>
      </c>
      <c r="O1004" s="20" t="s">
        <v>40</v>
      </c>
      <c r="P1004" s="20" t="s">
        <v>41</v>
      </c>
      <c r="Q1004" s="19" t="s">
        <v>2199</v>
      </c>
      <c r="R1004" s="21" t="s">
        <v>2200</v>
      </c>
      <c r="S1004" s="19" t="s">
        <v>1314</v>
      </c>
      <c r="T1004" s="19" t="s">
        <v>635</v>
      </c>
      <c r="U1004" s="19" t="s">
        <v>636</v>
      </c>
      <c r="V1004" s="19" t="s">
        <v>45</v>
      </c>
      <c r="W1004" s="19"/>
      <c r="X1004" s="19"/>
      <c r="Y1004" s="19"/>
      <c r="Z1004" s="19" t="s">
        <v>658</v>
      </c>
      <c r="AA1004" s="19" t="s">
        <v>1286</v>
      </c>
      <c r="AB1004" s="19" t="s">
        <v>2201</v>
      </c>
      <c r="AC1004" s="19" t="s">
        <v>46</v>
      </c>
      <c r="AD1004" s="19" t="s">
        <v>2202</v>
      </c>
      <c r="AE1004" s="19" t="s">
        <v>641</v>
      </c>
      <c r="AF1004" s="19" t="s">
        <v>190</v>
      </c>
      <c r="AG1004" s="19">
        <v>4</v>
      </c>
      <c r="AH1004" s="19" t="s">
        <v>190</v>
      </c>
      <c r="AI1004" s="19"/>
      <c r="AJ1004" s="19" t="s">
        <v>2203</v>
      </c>
      <c r="AK1004" s="19" t="s">
        <v>1126</v>
      </c>
    </row>
    <row r="1005" spans="1:37" s="23" customFormat="1">
      <c r="A1005" s="19" t="str">
        <f>VLOOKUP(H1005,Languages!$A$2:$B$430,2,FALSE)</f>
        <v>Indo-European</v>
      </c>
      <c r="B1005" s="19" t="s">
        <v>109</v>
      </c>
      <c r="C1005" s="19" t="s">
        <v>124</v>
      </c>
      <c r="D1005" s="19" t="s">
        <v>3557</v>
      </c>
      <c r="E1005" s="20" t="s">
        <v>3558</v>
      </c>
      <c r="F1005" s="20" t="s">
        <v>3559</v>
      </c>
      <c r="G1005" s="19" t="s">
        <v>3558</v>
      </c>
      <c r="H1005" s="19" t="str">
        <f>VLOOKUP(G1005,'languoid 4.0'!$A$1:$I$24439,2,FALSE)</f>
        <v>indo1319</v>
      </c>
      <c r="I1005" s="19" t="str">
        <f>VLOOKUP(G1005,'languoid 4.0'!$A$1:$I$24439,6,FALSE)</f>
        <v>family</v>
      </c>
      <c r="J1005" s="20" t="s">
        <v>52</v>
      </c>
      <c r="K1005" s="20" t="s">
        <v>38</v>
      </c>
      <c r="L1005" s="20" t="s">
        <v>38</v>
      </c>
      <c r="M1005" s="19"/>
      <c r="N1005" s="19" t="s">
        <v>3560</v>
      </c>
      <c r="O1005" s="20" t="s">
        <v>113</v>
      </c>
      <c r="P1005" s="20" t="s">
        <v>41</v>
      </c>
      <c r="Q1005" s="19" t="s">
        <v>3561</v>
      </c>
      <c r="R1005" s="21" t="s">
        <v>3562</v>
      </c>
      <c r="S1005" s="19">
        <v>9</v>
      </c>
      <c r="T1005" s="19" t="s">
        <v>657</v>
      </c>
      <c r="U1005" s="19" t="s">
        <v>636</v>
      </c>
      <c r="V1005" s="19" t="s">
        <v>45</v>
      </c>
      <c r="W1005" s="19"/>
      <c r="X1005" s="19"/>
      <c r="Y1005" s="19"/>
      <c r="Z1005" s="19" t="s">
        <v>658</v>
      </c>
      <c r="AA1005" s="19" t="s">
        <v>3563</v>
      </c>
      <c r="AB1005" s="19" t="s">
        <v>46</v>
      </c>
      <c r="AC1005" s="19" t="s">
        <v>46</v>
      </c>
      <c r="AD1005" s="19"/>
      <c r="AE1005" s="19" t="s">
        <v>641</v>
      </c>
      <c r="AF1005" s="19" t="s">
        <v>190</v>
      </c>
      <c r="AG1005" s="19">
        <v>5</v>
      </c>
      <c r="AH1005" s="19" t="s">
        <v>190</v>
      </c>
      <c r="AI1005" s="19"/>
      <c r="AJ1005" s="22">
        <v>43164.925219907411</v>
      </c>
      <c r="AK1005" s="19" t="s">
        <v>1126</v>
      </c>
    </row>
    <row r="1006" spans="1:37" s="23" customFormat="1">
      <c r="A1006" s="19" t="str">
        <f>VLOOKUP(H1006,Languages!$A$2:$B$430,2,FALSE)</f>
        <v>Indo-European</v>
      </c>
      <c r="B1006" s="19" t="s">
        <v>109</v>
      </c>
      <c r="C1006" s="19" t="s">
        <v>124</v>
      </c>
      <c r="D1006" s="19" t="s">
        <v>3788</v>
      </c>
      <c r="E1006" s="20" t="s">
        <v>3565</v>
      </c>
      <c r="F1006" s="20" t="s">
        <v>186</v>
      </c>
      <c r="G1006" s="19" t="s">
        <v>3565</v>
      </c>
      <c r="H1006" s="19" t="str">
        <f>VLOOKUP(G1006,'languoid 4.0'!$A$1:$I$24439,2,FALSE)</f>
        <v>indo1319</v>
      </c>
      <c r="I1006" s="19" t="str">
        <f>VLOOKUP(G1006,'languoid 4.0'!$A$1:$I$24439,6,FALSE)</f>
        <v>language</v>
      </c>
      <c r="J1006" s="20" t="s">
        <v>52</v>
      </c>
      <c r="K1006" s="20" t="s">
        <v>38</v>
      </c>
      <c r="L1006" s="20" t="s">
        <v>38</v>
      </c>
      <c r="M1006" s="19"/>
      <c r="N1006" s="19" t="s">
        <v>3566</v>
      </c>
      <c r="O1006" s="20" t="s">
        <v>40</v>
      </c>
      <c r="P1006" s="20" t="s">
        <v>41</v>
      </c>
      <c r="Q1006" s="19" t="s">
        <v>3789</v>
      </c>
      <c r="R1006" s="21" t="s">
        <v>3790</v>
      </c>
      <c r="S1006" s="19">
        <v>1</v>
      </c>
      <c r="T1006" s="19" t="s">
        <v>657</v>
      </c>
      <c r="U1006" s="19" t="s">
        <v>636</v>
      </c>
      <c r="V1006" s="19" t="s">
        <v>45</v>
      </c>
      <c r="W1006" s="19"/>
      <c r="X1006" s="19"/>
      <c r="Y1006" s="19"/>
      <c r="Z1006" s="19" t="s">
        <v>673</v>
      </c>
      <c r="AA1006" s="19" t="s">
        <v>46</v>
      </c>
      <c r="AB1006" s="19" t="s">
        <v>3791</v>
      </c>
      <c r="AC1006" s="19" t="s">
        <v>46</v>
      </c>
      <c r="AD1006" s="19" t="s">
        <v>3792</v>
      </c>
      <c r="AE1006" s="19" t="s">
        <v>641</v>
      </c>
      <c r="AF1006" s="19" t="s">
        <v>190</v>
      </c>
      <c r="AG1006" s="19">
        <v>5</v>
      </c>
      <c r="AH1006" s="19" t="s">
        <v>190</v>
      </c>
      <c r="AI1006" s="19"/>
      <c r="AJ1006" s="19" t="s">
        <v>3793</v>
      </c>
      <c r="AK1006" s="19" t="s">
        <v>1126</v>
      </c>
    </row>
    <row r="1007" spans="1:37" s="23" customFormat="1">
      <c r="A1007" s="19" t="str">
        <f>VLOOKUP(H1007,Languages!$A$2:$B$430,2,FALSE)</f>
        <v>Indo-European</v>
      </c>
      <c r="B1007" s="19" t="s">
        <v>109</v>
      </c>
      <c r="C1007" s="19" t="s">
        <v>124</v>
      </c>
      <c r="D1007" s="19" t="s">
        <v>7504</v>
      </c>
      <c r="E1007" s="20" t="s">
        <v>7497</v>
      </c>
      <c r="F1007" s="20" t="s">
        <v>7497</v>
      </c>
      <c r="G1007" s="19" t="s">
        <v>7497</v>
      </c>
      <c r="H1007" s="19" t="str">
        <f>VLOOKUP(G1007,'languoid 4.0'!$A$1:$I$24439,2,FALSE)</f>
        <v>indo1319</v>
      </c>
      <c r="I1007" s="19" t="str">
        <f>VLOOKUP(G1007,'languoid 4.0'!$A$1:$I$24439,6,FALSE)</f>
        <v>language</v>
      </c>
      <c r="J1007" s="20" t="s">
        <v>38</v>
      </c>
      <c r="K1007" s="20" t="s">
        <v>38</v>
      </c>
      <c r="L1007" s="20" t="s">
        <v>38</v>
      </c>
      <c r="M1007" s="19"/>
      <c r="N1007" s="19" t="s">
        <v>7498</v>
      </c>
      <c r="O1007" s="20" t="s">
        <v>40</v>
      </c>
      <c r="P1007" s="20" t="s">
        <v>41</v>
      </c>
      <c r="Q1007" s="19" t="s">
        <v>7515</v>
      </c>
      <c r="R1007" s="21" t="s">
        <v>7516</v>
      </c>
      <c r="S1007" s="19" t="s">
        <v>46</v>
      </c>
      <c r="T1007" s="19" t="s">
        <v>822</v>
      </c>
      <c r="U1007" s="19" t="s">
        <v>636</v>
      </c>
      <c r="V1007" s="19" t="s">
        <v>45</v>
      </c>
      <c r="W1007" s="19"/>
      <c r="X1007" s="19"/>
      <c r="Y1007" s="19"/>
      <c r="Z1007" s="19" t="s">
        <v>673</v>
      </c>
      <c r="AA1007" s="19" t="s">
        <v>7517</v>
      </c>
      <c r="AB1007" s="19" t="s">
        <v>7518</v>
      </c>
      <c r="AC1007" s="19" t="s">
        <v>7519</v>
      </c>
      <c r="AD1007" s="19"/>
      <c r="AE1007" s="19" t="s">
        <v>641</v>
      </c>
      <c r="AF1007" s="19" t="s">
        <v>190</v>
      </c>
      <c r="AG1007" s="19">
        <v>6</v>
      </c>
      <c r="AH1007" s="19" t="s">
        <v>190</v>
      </c>
      <c r="AI1007" s="19"/>
      <c r="AJ1007" s="19" t="s">
        <v>7520</v>
      </c>
      <c r="AK1007" s="19" t="s">
        <v>4945</v>
      </c>
    </row>
    <row r="1008" spans="1:37" s="23" customFormat="1">
      <c r="A1008" s="19" t="str">
        <f>VLOOKUP(H1008,Languages!$A$2:$B$430,2,FALSE)</f>
        <v>Indo-European</v>
      </c>
      <c r="B1008" s="19" t="s">
        <v>109</v>
      </c>
      <c r="C1008" s="19" t="s">
        <v>124</v>
      </c>
      <c r="D1008" s="19" t="s">
        <v>7900</v>
      </c>
      <c r="E1008" s="20" t="s">
        <v>185</v>
      </c>
      <c r="F1008" s="20" t="s">
        <v>7901</v>
      </c>
      <c r="G1008" s="19" t="s">
        <v>7902</v>
      </c>
      <c r="H1008" s="19" t="str">
        <f>VLOOKUP(G1008,'languoid 4.0'!$A$1:$I$24439,2,FALSE)</f>
        <v>indo1319</v>
      </c>
      <c r="I1008" s="19" t="str">
        <f>VLOOKUP(G1008,'languoid 4.0'!$A$1:$I$24439,6,FALSE)</f>
        <v>family</v>
      </c>
      <c r="J1008" s="20" t="s">
        <v>52</v>
      </c>
      <c r="K1008" s="20" t="s">
        <v>52</v>
      </c>
      <c r="L1008" s="20" t="s">
        <v>38</v>
      </c>
      <c r="M1008" s="19"/>
      <c r="N1008" s="19"/>
      <c r="O1008" s="20" t="s">
        <v>113</v>
      </c>
      <c r="P1008" s="20" t="s">
        <v>41</v>
      </c>
      <c r="Q1008" s="19" t="s">
        <v>7903</v>
      </c>
      <c r="R1008" s="21" t="s">
        <v>7904</v>
      </c>
      <c r="S1008" s="19" t="s">
        <v>46</v>
      </c>
      <c r="T1008" s="19" t="s">
        <v>822</v>
      </c>
      <c r="U1008" s="19" t="s">
        <v>636</v>
      </c>
      <c r="V1008" s="19" t="s">
        <v>45</v>
      </c>
      <c r="W1008" s="19"/>
      <c r="X1008" s="19"/>
      <c r="Y1008" s="19"/>
      <c r="Z1008" s="19" t="s">
        <v>658</v>
      </c>
      <c r="AA1008" s="19" t="s">
        <v>7905</v>
      </c>
      <c r="AB1008" s="19" t="s">
        <v>46</v>
      </c>
      <c r="AC1008" s="19" t="s">
        <v>46</v>
      </c>
      <c r="AD1008" s="19"/>
      <c r="AE1008" s="19"/>
      <c r="AF1008" s="19"/>
      <c r="AG1008" s="19"/>
      <c r="AH1008" s="19" t="s">
        <v>45</v>
      </c>
      <c r="AI1008" s="19"/>
      <c r="AJ1008" s="19" t="s">
        <v>7906</v>
      </c>
      <c r="AK1008" s="19" t="s">
        <v>4945</v>
      </c>
    </row>
    <row r="1009" spans="1:37" s="23" customFormat="1">
      <c r="A1009" s="19" t="str">
        <f>VLOOKUP(H1009,Languages!$A$2:$B$430,2,FALSE)</f>
        <v>Indo-European</v>
      </c>
      <c r="B1009" s="19" t="s">
        <v>109</v>
      </c>
      <c r="C1009" s="19" t="s">
        <v>124</v>
      </c>
      <c r="D1009" s="19" t="s">
        <v>8856</v>
      </c>
      <c r="E1009" s="20" t="s">
        <v>186</v>
      </c>
      <c r="F1009" s="25" t="s">
        <v>186</v>
      </c>
      <c r="G1009" s="26" t="s">
        <v>186</v>
      </c>
      <c r="H1009" s="19" t="str">
        <f>VLOOKUP(G1009,'languoid 4.0'!$A$1:$I$24439,2,FALSE)</f>
        <v>indo1319</v>
      </c>
      <c r="I1009" s="19" t="str">
        <f>VLOOKUP(G1009,'languoid 4.0'!$A$1:$I$24439,6,FALSE)</f>
        <v>language</v>
      </c>
      <c r="J1009" s="20" t="s">
        <v>38</v>
      </c>
      <c r="K1009" s="20" t="s">
        <v>38</v>
      </c>
      <c r="L1009" s="20" t="s">
        <v>38</v>
      </c>
      <c r="M1009" s="19"/>
      <c r="N1009" s="19" t="s">
        <v>3581</v>
      </c>
      <c r="O1009" s="20" t="s">
        <v>40</v>
      </c>
      <c r="P1009" s="20" t="s">
        <v>41</v>
      </c>
      <c r="Q1009" s="19" t="s">
        <v>8857</v>
      </c>
      <c r="R1009" s="21" t="s">
        <v>8858</v>
      </c>
      <c r="S1009" s="19" t="s">
        <v>46</v>
      </c>
      <c r="T1009" s="19" t="s">
        <v>822</v>
      </c>
      <c r="U1009" s="19" t="s">
        <v>636</v>
      </c>
      <c r="V1009" s="19" t="s">
        <v>45</v>
      </c>
      <c r="W1009" s="19"/>
      <c r="X1009" s="19"/>
      <c r="Y1009" s="19"/>
      <c r="Z1009" s="19" t="s">
        <v>658</v>
      </c>
      <c r="AA1009" s="19" t="s">
        <v>8859</v>
      </c>
      <c r="AB1009" s="19" t="s">
        <v>46</v>
      </c>
      <c r="AC1009" s="19" t="s">
        <v>46</v>
      </c>
      <c r="AD1009" s="19"/>
      <c r="AE1009" s="19" t="s">
        <v>641</v>
      </c>
      <c r="AF1009" s="19" t="s">
        <v>190</v>
      </c>
      <c r="AG1009" s="19">
        <v>5</v>
      </c>
      <c r="AH1009" s="19" t="s">
        <v>190</v>
      </c>
      <c r="AI1009" s="19" t="s">
        <v>8860</v>
      </c>
      <c r="AJ1009" s="22">
        <v>43413.729826388888</v>
      </c>
      <c r="AK1009" s="19" t="s">
        <v>4945</v>
      </c>
    </row>
    <row r="1010" spans="1:37" s="23" customFormat="1">
      <c r="A1010" s="19" t="str">
        <f>VLOOKUP(H1010,Languages!$A$2:$B$430,2,FALSE)</f>
        <v>Indo-European</v>
      </c>
      <c r="B1010" s="19" t="s">
        <v>109</v>
      </c>
      <c r="C1010" s="19" t="s">
        <v>58</v>
      </c>
      <c r="D1010" s="19" t="s">
        <v>243</v>
      </c>
      <c r="E1010" s="20" t="s">
        <v>244</v>
      </c>
      <c r="F1010" s="20" t="s">
        <v>244</v>
      </c>
      <c r="G1010" s="19" t="s">
        <v>244</v>
      </c>
      <c r="H1010" s="19" t="str">
        <f>VLOOKUP(G1010,'languoid 4.0'!$A$1:$I$24439,2,FALSE)</f>
        <v>indo1319</v>
      </c>
      <c r="I1010" s="19" t="str">
        <f>VLOOKUP(G1010,'languoid 4.0'!$A$1:$I$24439,6,FALSE)</f>
        <v>dialect</v>
      </c>
      <c r="J1010" s="20" t="s">
        <v>38</v>
      </c>
      <c r="K1010" s="20" t="s">
        <v>38</v>
      </c>
      <c r="L1010" s="20" t="s">
        <v>38</v>
      </c>
      <c r="M1010" s="19"/>
      <c r="N1010" s="19" t="s">
        <v>245</v>
      </c>
      <c r="O1010" s="20" t="s">
        <v>40</v>
      </c>
      <c r="P1010" s="20" t="s">
        <v>41</v>
      </c>
      <c r="Q1010" s="19" t="s">
        <v>246</v>
      </c>
      <c r="R1010" s="21" t="s">
        <v>247</v>
      </c>
      <c r="S1010" s="19" t="s">
        <v>248</v>
      </c>
      <c r="T1010" s="19" t="s">
        <v>44</v>
      </c>
      <c r="U1010" s="19"/>
      <c r="V1010" s="19" t="s">
        <v>45</v>
      </c>
      <c r="W1010" s="19"/>
      <c r="X1010" s="19"/>
      <c r="Y1010" s="19"/>
      <c r="Z1010" s="19"/>
      <c r="AA1010" s="19">
        <v>14</v>
      </c>
      <c r="AB1010" s="19">
        <v>14</v>
      </c>
      <c r="AC1010" s="19" t="s">
        <v>46</v>
      </c>
      <c r="AD1010" s="19"/>
      <c r="AE1010" s="19"/>
      <c r="AF1010" s="19"/>
      <c r="AG1010" s="19"/>
      <c r="AH1010" s="19"/>
      <c r="AI1010" s="19"/>
      <c r="AJ1010" s="22">
        <v>43102.737557870372</v>
      </c>
      <c r="AK1010" s="19" t="s">
        <v>74</v>
      </c>
    </row>
    <row r="1011" spans="1:37" s="23" customFormat="1">
      <c r="A1011" s="19" t="str">
        <f>VLOOKUP(H1011,Languages!$A$2:$B$430,2,FALSE)</f>
        <v>Indo-European</v>
      </c>
      <c r="B1011" s="19" t="s">
        <v>109</v>
      </c>
      <c r="C1011" s="19" t="s">
        <v>58</v>
      </c>
      <c r="D1011" s="19" t="s">
        <v>160</v>
      </c>
      <c r="E1011" s="20" t="s">
        <v>4401</v>
      </c>
      <c r="F1011" s="20" t="s">
        <v>4402</v>
      </c>
      <c r="G1011" s="19" t="s">
        <v>4401</v>
      </c>
      <c r="H1011" s="19" t="str">
        <f>VLOOKUP(G1011,'languoid 4.0'!$A$1:$I$24439,2,FALSE)</f>
        <v>indo1319</v>
      </c>
      <c r="I1011" s="19" t="str">
        <f>VLOOKUP(G1011,'languoid 4.0'!$A$1:$I$24439,6,FALSE)</f>
        <v>language</v>
      </c>
      <c r="J1011" s="20" t="s">
        <v>52</v>
      </c>
      <c r="K1011" s="20" t="s">
        <v>52</v>
      </c>
      <c r="L1011" s="20" t="s">
        <v>52</v>
      </c>
      <c r="M1011" s="19"/>
      <c r="N1011" s="19" t="s">
        <v>4403</v>
      </c>
      <c r="O1011" s="20" t="s">
        <v>40</v>
      </c>
      <c r="P1011" s="20" t="s">
        <v>632</v>
      </c>
      <c r="Q1011" s="19" t="s">
        <v>4404</v>
      </c>
      <c r="R1011" s="21" t="s">
        <v>4405</v>
      </c>
      <c r="S1011" s="19" t="s">
        <v>1187</v>
      </c>
      <c r="T1011" s="19" t="s">
        <v>648</v>
      </c>
      <c r="U1011" s="19" t="s">
        <v>67</v>
      </c>
      <c r="V1011" s="19" t="s">
        <v>45</v>
      </c>
      <c r="W1011" s="19"/>
      <c r="X1011" s="19"/>
      <c r="Y1011" s="19"/>
      <c r="Z1011" s="19" t="s">
        <v>658</v>
      </c>
      <c r="AA1011" s="19" t="s">
        <v>4406</v>
      </c>
      <c r="AB1011" s="19" t="s">
        <v>4407</v>
      </c>
      <c r="AC1011" s="19" t="s">
        <v>46</v>
      </c>
      <c r="AD1011" s="19"/>
      <c r="AE1011" s="19" t="s">
        <v>641</v>
      </c>
      <c r="AF1011" s="19" t="s">
        <v>190</v>
      </c>
      <c r="AG1011" s="19">
        <v>6</v>
      </c>
      <c r="AH1011" s="19" t="s">
        <v>190</v>
      </c>
      <c r="AI1011" s="19"/>
      <c r="AJ1011" s="22">
        <v>43226.393495370372</v>
      </c>
      <c r="AK1011" s="19" t="s">
        <v>4408</v>
      </c>
    </row>
    <row r="1012" spans="1:37" s="23" customFormat="1">
      <c r="A1012" s="19" t="str">
        <f>VLOOKUP(H1012,Languages!$A$2:$B$430,2,FALSE)</f>
        <v>Indo-European</v>
      </c>
      <c r="B1012" s="19" t="s">
        <v>109</v>
      </c>
      <c r="C1012" s="19" t="s">
        <v>58</v>
      </c>
      <c r="D1012" s="19" t="s">
        <v>8948</v>
      </c>
      <c r="E1012" s="20" t="s">
        <v>8949</v>
      </c>
      <c r="F1012" s="20" t="s">
        <v>8949</v>
      </c>
      <c r="G1012" s="19" t="s">
        <v>8949</v>
      </c>
      <c r="H1012" s="19" t="str">
        <f>VLOOKUP(G1012,'languoid 4.0'!$A$1:$I$24439,2,FALSE)</f>
        <v>indo1319</v>
      </c>
      <c r="I1012" s="19" t="str">
        <f>VLOOKUP(G1012,'languoid 4.0'!$A$1:$I$24439,6,FALSE)</f>
        <v>dialect</v>
      </c>
      <c r="J1012" s="20" t="s">
        <v>38</v>
      </c>
      <c r="K1012" s="20" t="s">
        <v>38</v>
      </c>
      <c r="L1012" s="20" t="s">
        <v>38</v>
      </c>
      <c r="M1012" s="19"/>
      <c r="N1012" s="19"/>
      <c r="O1012" s="20" t="s">
        <v>40</v>
      </c>
      <c r="P1012" s="20" t="s">
        <v>41</v>
      </c>
      <c r="Q1012" s="19" t="s">
        <v>8950</v>
      </c>
      <c r="R1012" s="21" t="s">
        <v>8951</v>
      </c>
      <c r="S1012" s="19" t="s">
        <v>46</v>
      </c>
      <c r="T1012" s="19" t="s">
        <v>635</v>
      </c>
      <c r="U1012" s="19" t="s">
        <v>636</v>
      </c>
      <c r="V1012" s="19" t="s">
        <v>45</v>
      </c>
      <c r="W1012" s="19"/>
      <c r="X1012" s="19"/>
      <c r="Y1012" s="19"/>
      <c r="Z1012" s="19" t="s">
        <v>637</v>
      </c>
      <c r="AA1012" s="19" t="s">
        <v>8952</v>
      </c>
      <c r="AB1012" s="19" t="s">
        <v>8953</v>
      </c>
      <c r="AC1012" s="19" t="s">
        <v>46</v>
      </c>
      <c r="AD1012" s="19"/>
      <c r="AE1012" s="19" t="s">
        <v>641</v>
      </c>
      <c r="AF1012" s="19" t="s">
        <v>190</v>
      </c>
      <c r="AG1012" s="19">
        <v>6</v>
      </c>
      <c r="AH1012" s="19" t="s">
        <v>190</v>
      </c>
      <c r="AI1012" s="19"/>
      <c r="AJ1012" s="19" t="s">
        <v>8954</v>
      </c>
      <c r="AK1012" s="19" t="s">
        <v>8947</v>
      </c>
    </row>
    <row r="1013" spans="1:37" s="23" customFormat="1">
      <c r="A1013" s="19" t="str">
        <f>VLOOKUP(H1013,Languages!$A$2:$B$430,2,FALSE)</f>
        <v>Indo-European</v>
      </c>
      <c r="B1013" s="19" t="s">
        <v>109</v>
      </c>
      <c r="C1013" s="19" t="s">
        <v>58</v>
      </c>
      <c r="D1013" s="19" t="s">
        <v>8955</v>
      </c>
      <c r="E1013" s="20" t="s">
        <v>8956</v>
      </c>
      <c r="F1013" s="20" t="s">
        <v>2995</v>
      </c>
      <c r="G1013" s="19" t="s">
        <v>2995</v>
      </c>
      <c r="H1013" s="19" t="str">
        <f>VLOOKUP(G1013,'languoid 4.0'!$A$1:$I$24439,2,FALSE)</f>
        <v>indo1319</v>
      </c>
      <c r="I1013" s="19" t="str">
        <f>VLOOKUP(G1013,'languoid 4.0'!$A$1:$I$24439,6,FALSE)</f>
        <v>language</v>
      </c>
      <c r="J1013" s="20" t="s">
        <v>52</v>
      </c>
      <c r="K1013" s="20" t="s">
        <v>38</v>
      </c>
      <c r="L1013" s="20" t="s">
        <v>38</v>
      </c>
      <c r="M1013" s="19"/>
      <c r="N1013" s="19"/>
      <c r="O1013" s="20" t="s">
        <v>40</v>
      </c>
      <c r="P1013" s="20" t="s">
        <v>41</v>
      </c>
      <c r="Q1013" s="19" t="s">
        <v>8968</v>
      </c>
      <c r="R1013" s="21" t="s">
        <v>8969</v>
      </c>
      <c r="S1013" s="19" t="s">
        <v>46</v>
      </c>
      <c r="T1013" s="19" t="s">
        <v>635</v>
      </c>
      <c r="U1013" s="19" t="s">
        <v>636</v>
      </c>
      <c r="V1013" s="19" t="s">
        <v>45</v>
      </c>
      <c r="W1013" s="19"/>
      <c r="X1013" s="19"/>
      <c r="Y1013" s="19"/>
      <c r="Z1013" s="19" t="s">
        <v>637</v>
      </c>
      <c r="AA1013" s="19" t="s">
        <v>8970</v>
      </c>
      <c r="AB1013" s="19" t="s">
        <v>8971</v>
      </c>
      <c r="AC1013" s="19" t="s">
        <v>46</v>
      </c>
      <c r="AD1013" s="19"/>
      <c r="AE1013" s="19" t="s">
        <v>641</v>
      </c>
      <c r="AF1013" s="19" t="s">
        <v>190</v>
      </c>
      <c r="AG1013" s="19">
        <v>6</v>
      </c>
      <c r="AH1013" s="19" t="s">
        <v>190</v>
      </c>
      <c r="AI1013" s="19"/>
      <c r="AJ1013" s="19" t="s">
        <v>8972</v>
      </c>
      <c r="AK1013" s="19" t="s">
        <v>8947</v>
      </c>
    </row>
    <row r="1014" spans="1:37" s="23" customFormat="1">
      <c r="A1014" s="19" t="str">
        <f>VLOOKUP(H1014,Languages!$A$2:$B$430,2,FALSE)</f>
        <v>Indo-European</v>
      </c>
      <c r="B1014" s="19" t="s">
        <v>109</v>
      </c>
      <c r="C1014" s="19" t="s">
        <v>58</v>
      </c>
      <c r="D1014" s="19" t="s">
        <v>5171</v>
      </c>
      <c r="E1014" s="20" t="s">
        <v>5172</v>
      </c>
      <c r="F1014" s="20" t="s">
        <v>9200</v>
      </c>
      <c r="G1014" s="19" t="s">
        <v>9200</v>
      </c>
      <c r="H1014" s="19" t="str">
        <f>VLOOKUP(G1014,'languoid 4.0'!$A$1:$I$24439,2,FALSE)</f>
        <v>indo1319</v>
      </c>
      <c r="I1014" s="19" t="str">
        <f>VLOOKUP(G1014,'languoid 4.0'!$A$1:$I$24439,6,FALSE)</f>
        <v>language</v>
      </c>
      <c r="J1014" s="20" t="s">
        <v>52</v>
      </c>
      <c r="K1014" s="20" t="s">
        <v>52</v>
      </c>
      <c r="L1014" s="20" t="s">
        <v>38</v>
      </c>
      <c r="M1014" s="19"/>
      <c r="N1014" s="19" t="s">
        <v>5174</v>
      </c>
      <c r="O1014" s="20" t="s">
        <v>113</v>
      </c>
      <c r="P1014" s="20" t="s">
        <v>41</v>
      </c>
      <c r="Q1014" s="19" t="s">
        <v>9220</v>
      </c>
      <c r="R1014" s="21" t="s">
        <v>9221</v>
      </c>
      <c r="S1014" s="19" t="s">
        <v>46</v>
      </c>
      <c r="T1014" s="19" t="s">
        <v>648</v>
      </c>
      <c r="U1014" s="19" t="s">
        <v>1707</v>
      </c>
      <c r="V1014" s="19" t="s">
        <v>45</v>
      </c>
      <c r="W1014" s="19"/>
      <c r="X1014" s="19"/>
      <c r="Y1014" s="19"/>
      <c r="Z1014" s="19" t="s">
        <v>823</v>
      </c>
      <c r="AA1014" s="19" t="s">
        <v>9222</v>
      </c>
      <c r="AB1014" s="19" t="s">
        <v>9223</v>
      </c>
      <c r="AC1014" s="19" t="s">
        <v>9224</v>
      </c>
      <c r="AD1014" s="21" t="s">
        <v>9225</v>
      </c>
      <c r="AE1014" s="19" t="s">
        <v>641</v>
      </c>
      <c r="AF1014" s="19" t="s">
        <v>190</v>
      </c>
      <c r="AG1014" s="19">
        <v>6</v>
      </c>
      <c r="AH1014" s="19" t="s">
        <v>190</v>
      </c>
      <c r="AI1014" s="19"/>
      <c r="AJ1014" s="19" t="s">
        <v>9226</v>
      </c>
      <c r="AK1014" s="19" t="s">
        <v>8947</v>
      </c>
    </row>
    <row r="1015" spans="1:37" s="23" customFormat="1">
      <c r="A1015" s="19" t="str">
        <f>VLOOKUP(H1015,Languages!$A$2:$B$430,2,FALSE)</f>
        <v>Indo-European</v>
      </c>
      <c r="B1015" s="19" t="s">
        <v>109</v>
      </c>
      <c r="C1015" s="19" t="s">
        <v>58</v>
      </c>
      <c r="D1015" s="19" t="s">
        <v>9661</v>
      </c>
      <c r="E1015" s="20" t="s">
        <v>9640</v>
      </c>
      <c r="F1015" s="20" t="s">
        <v>9640</v>
      </c>
      <c r="G1015" s="19" t="s">
        <v>9640</v>
      </c>
      <c r="H1015" s="19" t="str">
        <f>VLOOKUP(G1015,'languoid 4.0'!$A$1:$I$24439,2,FALSE)</f>
        <v>indo1319</v>
      </c>
      <c r="I1015" s="19" t="str">
        <f>VLOOKUP(G1015,'languoid 4.0'!$A$1:$I$24439,6,FALSE)</f>
        <v>dialect</v>
      </c>
      <c r="J1015" s="20" t="s">
        <v>38</v>
      </c>
      <c r="K1015" s="20" t="s">
        <v>38</v>
      </c>
      <c r="L1015" s="20" t="s">
        <v>38</v>
      </c>
      <c r="M1015" s="19"/>
      <c r="N1015" s="19" t="s">
        <v>9641</v>
      </c>
      <c r="O1015" s="20" t="s">
        <v>40</v>
      </c>
      <c r="P1015" s="20" t="s">
        <v>41</v>
      </c>
      <c r="Q1015" s="19" t="s">
        <v>9662</v>
      </c>
      <c r="R1015" s="21" t="s">
        <v>9663</v>
      </c>
      <c r="S1015" s="19" t="s">
        <v>7226</v>
      </c>
      <c r="T1015" s="19" t="s">
        <v>2948</v>
      </c>
      <c r="U1015" s="19" t="s">
        <v>636</v>
      </c>
      <c r="V1015" s="19" t="s">
        <v>45</v>
      </c>
      <c r="W1015" s="19"/>
      <c r="X1015" s="19"/>
      <c r="Y1015" s="19"/>
      <c r="Z1015" s="19" t="s">
        <v>658</v>
      </c>
      <c r="AA1015" s="19" t="s">
        <v>9664</v>
      </c>
      <c r="AB1015" s="19" t="s">
        <v>46</v>
      </c>
      <c r="AC1015" s="19" t="s">
        <v>46</v>
      </c>
      <c r="AD1015" s="19"/>
      <c r="AE1015" s="19" t="s">
        <v>641</v>
      </c>
      <c r="AF1015" s="19" t="s">
        <v>190</v>
      </c>
      <c r="AG1015" s="19">
        <v>6</v>
      </c>
      <c r="AH1015" s="19" t="s">
        <v>190</v>
      </c>
      <c r="AI1015" s="19"/>
      <c r="AJ1015" s="22">
        <v>43444.516412037039</v>
      </c>
      <c r="AK1015" s="19" t="s">
        <v>8947</v>
      </c>
    </row>
    <row r="1016" spans="1:37" s="23" customFormat="1">
      <c r="A1016" s="19" t="str">
        <f>VLOOKUP(H1016,Languages!$A$2:$B$430,2,FALSE)</f>
        <v>Indo-European</v>
      </c>
      <c r="B1016" s="19" t="s">
        <v>109</v>
      </c>
      <c r="C1016" s="19" t="s">
        <v>58</v>
      </c>
      <c r="D1016" s="19" t="s">
        <v>9740</v>
      </c>
      <c r="E1016" s="20" t="s">
        <v>2995</v>
      </c>
      <c r="F1016" s="20" t="s">
        <v>2995</v>
      </c>
      <c r="G1016" s="19" t="s">
        <v>2995</v>
      </c>
      <c r="H1016" s="19" t="str">
        <f>VLOOKUP(G1016,'languoid 4.0'!$A$1:$I$24439,2,FALSE)</f>
        <v>indo1319</v>
      </c>
      <c r="I1016" s="19" t="str">
        <f>VLOOKUP(G1016,'languoid 4.0'!$A$1:$I$24439,6,FALSE)</f>
        <v>language</v>
      </c>
      <c r="J1016" s="20" t="s">
        <v>38</v>
      </c>
      <c r="K1016" s="20" t="s">
        <v>38</v>
      </c>
      <c r="L1016" s="20" t="s">
        <v>38</v>
      </c>
      <c r="M1016" s="19"/>
      <c r="N1016" s="19" t="s">
        <v>2996</v>
      </c>
      <c r="O1016" s="20" t="s">
        <v>40</v>
      </c>
      <c r="P1016" s="20" t="s">
        <v>41</v>
      </c>
      <c r="Q1016" s="19" t="s">
        <v>9759</v>
      </c>
      <c r="R1016" s="21" t="s">
        <v>9760</v>
      </c>
      <c r="S1016" s="19" t="s">
        <v>272</v>
      </c>
      <c r="T1016" s="19" t="s">
        <v>3307</v>
      </c>
      <c r="U1016" s="19" t="s">
        <v>636</v>
      </c>
      <c r="V1016" s="19" t="s">
        <v>45</v>
      </c>
      <c r="W1016" s="19"/>
      <c r="X1016" s="19"/>
      <c r="Y1016" s="19"/>
      <c r="Z1016" s="19" t="s">
        <v>673</v>
      </c>
      <c r="AA1016" s="19" t="s">
        <v>46</v>
      </c>
      <c r="AB1016" s="19" t="s">
        <v>9761</v>
      </c>
      <c r="AC1016" s="19" t="s">
        <v>46</v>
      </c>
      <c r="AD1016" s="19"/>
      <c r="AE1016" s="19" t="s">
        <v>641</v>
      </c>
      <c r="AF1016" s="19" t="s">
        <v>190</v>
      </c>
      <c r="AG1016" s="19">
        <v>6</v>
      </c>
      <c r="AH1016" s="19" t="s">
        <v>190</v>
      </c>
      <c r="AI1016" s="19"/>
      <c r="AJ1016" s="19" t="s">
        <v>9762</v>
      </c>
      <c r="AK1016" s="19" t="s">
        <v>8947</v>
      </c>
    </row>
    <row r="1017" spans="1:37" s="23" customFormat="1">
      <c r="A1017" s="19" t="str">
        <f>VLOOKUP(H1017,Languages!$A$2:$B$430,2,FALSE)</f>
        <v>Indo-European</v>
      </c>
      <c r="B1017" s="19" t="s">
        <v>109</v>
      </c>
      <c r="C1017" s="19" t="s">
        <v>58</v>
      </c>
      <c r="D1017" s="19" t="s">
        <v>5171</v>
      </c>
      <c r="E1017" s="20" t="s">
        <v>5172</v>
      </c>
      <c r="F1017" s="20" t="s">
        <v>5172</v>
      </c>
      <c r="G1017" s="19" t="s">
        <v>5172</v>
      </c>
      <c r="H1017" s="19" t="str">
        <f>VLOOKUP(G1017,'languoid 4.0'!$A$1:$I$24439,2,FALSE)</f>
        <v>indo1319</v>
      </c>
      <c r="I1017" s="19" t="str">
        <f>VLOOKUP(G1017,'languoid 4.0'!$A$1:$I$24439,6,FALSE)</f>
        <v>family</v>
      </c>
      <c r="J1017" s="20" t="s">
        <v>38</v>
      </c>
      <c r="K1017" s="20" t="s">
        <v>38</v>
      </c>
      <c r="L1017" s="20" t="s">
        <v>38</v>
      </c>
      <c r="M1017" s="19"/>
      <c r="N1017" s="19" t="s">
        <v>5174</v>
      </c>
      <c r="O1017" s="20" t="s">
        <v>113</v>
      </c>
      <c r="P1017" s="20" t="s">
        <v>41</v>
      </c>
      <c r="Q1017" s="19" t="s">
        <v>10022</v>
      </c>
      <c r="R1017" s="21" t="s">
        <v>10023</v>
      </c>
      <c r="S1017" s="19" t="s">
        <v>46</v>
      </c>
      <c r="T1017" s="19" t="s">
        <v>10024</v>
      </c>
      <c r="U1017" s="19" t="s">
        <v>636</v>
      </c>
      <c r="V1017" s="19" t="s">
        <v>45</v>
      </c>
      <c r="W1017" s="19"/>
      <c r="X1017" s="19"/>
      <c r="Y1017" s="19"/>
      <c r="Z1017" s="19" t="s">
        <v>1151</v>
      </c>
      <c r="AA1017" s="19" t="s">
        <v>46</v>
      </c>
      <c r="AB1017" s="19" t="s">
        <v>10025</v>
      </c>
      <c r="AC1017" s="19" t="s">
        <v>10026</v>
      </c>
      <c r="AD1017" s="19"/>
      <c r="AE1017" s="19" t="s">
        <v>641</v>
      </c>
      <c r="AF1017" s="19" t="s">
        <v>190</v>
      </c>
      <c r="AG1017" s="19">
        <v>6</v>
      </c>
      <c r="AH1017" s="19" t="s">
        <v>190</v>
      </c>
      <c r="AI1017" s="19" t="s">
        <v>10027</v>
      </c>
      <c r="AJ1017" s="22">
        <v>43111.748981481483</v>
      </c>
      <c r="AK1017" s="19" t="s">
        <v>8947</v>
      </c>
    </row>
    <row r="1018" spans="1:37" s="23" customFormat="1">
      <c r="A1018" s="19" t="str">
        <f>VLOOKUP(H1018,Languages!$A$2:$B$430,2,FALSE)</f>
        <v>Indo-European</v>
      </c>
      <c r="B1018" s="19" t="s">
        <v>109</v>
      </c>
      <c r="C1018" s="19" t="s">
        <v>4376</v>
      </c>
      <c r="D1018" s="19" t="s">
        <v>5171</v>
      </c>
      <c r="E1018" s="20" t="s">
        <v>5172</v>
      </c>
      <c r="F1018" s="20" t="s">
        <v>5173</v>
      </c>
      <c r="G1018" s="19" t="s">
        <v>5173</v>
      </c>
      <c r="H1018" s="19" t="str">
        <f>VLOOKUP(G1018,'languoid 4.0'!$A$1:$I$24439,2,FALSE)</f>
        <v>indo1319</v>
      </c>
      <c r="I1018" s="19" t="str">
        <f>VLOOKUP(G1018,'languoid 4.0'!$A$1:$I$24439,6,FALSE)</f>
        <v>language</v>
      </c>
      <c r="J1018" s="20" t="s">
        <v>52</v>
      </c>
      <c r="K1018" s="20" t="s">
        <v>38</v>
      </c>
      <c r="L1018" s="20" t="s">
        <v>38</v>
      </c>
      <c r="M1018" s="19"/>
      <c r="N1018" s="19" t="s">
        <v>5174</v>
      </c>
      <c r="O1018" s="20" t="s">
        <v>113</v>
      </c>
      <c r="P1018" s="20" t="s">
        <v>41</v>
      </c>
      <c r="Q1018" s="19" t="s">
        <v>5175</v>
      </c>
      <c r="R1018" s="21" t="s">
        <v>5176</v>
      </c>
      <c r="S1018" s="19" t="s">
        <v>46</v>
      </c>
      <c r="T1018" s="19" t="s">
        <v>5177</v>
      </c>
      <c r="U1018" s="19" t="s">
        <v>636</v>
      </c>
      <c r="V1018" s="19" t="s">
        <v>45</v>
      </c>
      <c r="W1018" s="19"/>
      <c r="X1018" s="19"/>
      <c r="Y1018" s="19"/>
      <c r="Z1018" s="19" t="s">
        <v>637</v>
      </c>
      <c r="AA1018" s="19" t="s">
        <v>5178</v>
      </c>
      <c r="AB1018" s="19" t="s">
        <v>5179</v>
      </c>
      <c r="AC1018" s="19" t="s">
        <v>46</v>
      </c>
      <c r="AD1018" s="19"/>
      <c r="AE1018" s="19" t="s">
        <v>641</v>
      </c>
      <c r="AF1018" s="19" t="s">
        <v>190</v>
      </c>
      <c r="AG1018" s="19">
        <v>6</v>
      </c>
      <c r="AH1018" s="19" t="s">
        <v>190</v>
      </c>
      <c r="AI1018" s="19"/>
      <c r="AJ1018" s="19" t="s">
        <v>5180</v>
      </c>
      <c r="AK1018" s="19" t="s">
        <v>4386</v>
      </c>
    </row>
    <row r="1019" spans="1:37" s="23" customFormat="1">
      <c r="A1019" s="19" t="str">
        <f>VLOOKUP(H1019,Languages!$A$2:$B$430,2,FALSE)</f>
        <v>Indo-European</v>
      </c>
      <c r="B1019" s="19" t="s">
        <v>109</v>
      </c>
      <c r="C1019" s="19" t="s">
        <v>4376</v>
      </c>
      <c r="D1019" s="19" t="s">
        <v>5188</v>
      </c>
      <c r="E1019" s="20" t="s">
        <v>4378</v>
      </c>
      <c r="F1019" s="20" t="s">
        <v>4378</v>
      </c>
      <c r="G1019" s="19" t="s">
        <v>4378</v>
      </c>
      <c r="H1019" s="19" t="str">
        <f>VLOOKUP(G1019,'languoid 4.0'!$A$1:$I$24439,2,FALSE)</f>
        <v>indo1319</v>
      </c>
      <c r="I1019" s="19" t="str">
        <f>VLOOKUP(G1019,'languoid 4.0'!$A$1:$I$24439,6,FALSE)</f>
        <v>language</v>
      </c>
      <c r="J1019" s="20" t="s">
        <v>38</v>
      </c>
      <c r="K1019" s="20" t="s">
        <v>38</v>
      </c>
      <c r="L1019" s="20" t="s">
        <v>38</v>
      </c>
      <c r="M1019" s="19"/>
      <c r="N1019" s="19" t="s">
        <v>4380</v>
      </c>
      <c r="O1019" s="20" t="s">
        <v>40</v>
      </c>
      <c r="P1019" s="20" t="s">
        <v>41</v>
      </c>
      <c r="Q1019" s="19" t="s">
        <v>5189</v>
      </c>
      <c r="R1019" s="21" t="s">
        <v>5190</v>
      </c>
      <c r="S1019" s="19" t="s">
        <v>46</v>
      </c>
      <c r="T1019" s="19" t="s">
        <v>5191</v>
      </c>
      <c r="U1019" s="19" t="s">
        <v>636</v>
      </c>
      <c r="V1019" s="19" t="s">
        <v>45</v>
      </c>
      <c r="W1019" s="19"/>
      <c r="X1019" s="19"/>
      <c r="Y1019" s="19"/>
      <c r="Z1019" s="19" t="s">
        <v>637</v>
      </c>
      <c r="AA1019" s="19" t="s">
        <v>5192</v>
      </c>
      <c r="AB1019" s="19" t="s">
        <v>5193</v>
      </c>
      <c r="AC1019" s="19" t="s">
        <v>46</v>
      </c>
      <c r="AD1019" s="19"/>
      <c r="AE1019" s="19" t="s">
        <v>641</v>
      </c>
      <c r="AF1019" s="19" t="s">
        <v>190</v>
      </c>
      <c r="AG1019" s="19">
        <v>5</v>
      </c>
      <c r="AH1019" s="19" t="s">
        <v>190</v>
      </c>
      <c r="AI1019" s="19"/>
      <c r="AJ1019" s="19" t="s">
        <v>5194</v>
      </c>
      <c r="AK1019" s="19" t="s">
        <v>4386</v>
      </c>
    </row>
    <row r="1020" spans="1:37" s="23" customFormat="1">
      <c r="A1020" s="19" t="str">
        <f>VLOOKUP(H1020,Languages!$A$2:$B$430,2,FALSE)</f>
        <v>Indo-European</v>
      </c>
      <c r="B1020" s="19" t="s">
        <v>109</v>
      </c>
      <c r="C1020" s="19" t="s">
        <v>4376</v>
      </c>
      <c r="D1020" s="19" t="s">
        <v>6072</v>
      </c>
      <c r="E1020" s="20" t="s">
        <v>4378</v>
      </c>
      <c r="F1020" s="20" t="s">
        <v>4378</v>
      </c>
      <c r="G1020" s="19" t="s">
        <v>4378</v>
      </c>
      <c r="H1020" s="19" t="str">
        <f>VLOOKUP(G1020,'languoid 4.0'!$A$1:$I$24439,2,FALSE)</f>
        <v>indo1319</v>
      </c>
      <c r="I1020" s="19" t="str">
        <f>VLOOKUP(G1020,'languoid 4.0'!$A$1:$I$24439,6,FALSE)</f>
        <v>language</v>
      </c>
      <c r="J1020" s="20" t="s">
        <v>38</v>
      </c>
      <c r="K1020" s="20" t="s">
        <v>38</v>
      </c>
      <c r="L1020" s="20" t="s">
        <v>38</v>
      </c>
      <c r="M1020" s="19"/>
      <c r="N1020" s="19" t="s">
        <v>4380</v>
      </c>
      <c r="O1020" s="20" t="s">
        <v>40</v>
      </c>
      <c r="P1020" s="20" t="s">
        <v>41</v>
      </c>
      <c r="Q1020" s="19" t="s">
        <v>6073</v>
      </c>
      <c r="R1020" s="21" t="s">
        <v>6074</v>
      </c>
      <c r="S1020" s="19" t="s">
        <v>46</v>
      </c>
      <c r="T1020" s="19" t="s">
        <v>4383</v>
      </c>
      <c r="U1020" s="19" t="s">
        <v>636</v>
      </c>
      <c r="V1020" s="19" t="s">
        <v>45</v>
      </c>
      <c r="W1020" s="19"/>
      <c r="X1020" s="19"/>
      <c r="Y1020" s="19"/>
      <c r="Z1020" s="19" t="s">
        <v>658</v>
      </c>
      <c r="AA1020" s="19" t="s">
        <v>6075</v>
      </c>
      <c r="AB1020" s="19" t="s">
        <v>6076</v>
      </c>
      <c r="AC1020" s="19" t="s">
        <v>46</v>
      </c>
      <c r="AD1020" s="19"/>
      <c r="AE1020" s="19" t="s">
        <v>641</v>
      </c>
      <c r="AF1020" s="19" t="s">
        <v>190</v>
      </c>
      <c r="AG1020" s="19">
        <v>6</v>
      </c>
      <c r="AH1020" s="19" t="s">
        <v>190</v>
      </c>
      <c r="AI1020" s="19"/>
      <c r="AJ1020" s="22">
        <v>43138.444224537037</v>
      </c>
      <c r="AK1020" s="19" t="s">
        <v>4386</v>
      </c>
    </row>
    <row r="1021" spans="1:37" s="23" customFormat="1">
      <c r="A1021" s="19" t="str">
        <f>VLOOKUP(H1021,Languages!$A$2:$B$430,2,FALSE)</f>
        <v>Indo-European</v>
      </c>
      <c r="B1021" s="19" t="s">
        <v>109</v>
      </c>
      <c r="C1021" s="19" t="s">
        <v>4376</v>
      </c>
      <c r="D1021" s="19" t="s">
        <v>6087</v>
      </c>
      <c r="E1021" s="20" t="s">
        <v>4378</v>
      </c>
      <c r="F1021" s="20" t="s">
        <v>4378</v>
      </c>
      <c r="G1021" s="19" t="s">
        <v>4378</v>
      </c>
      <c r="H1021" s="19" t="str">
        <f>VLOOKUP(G1021,'languoid 4.0'!$A$1:$I$24439,2,FALSE)</f>
        <v>indo1319</v>
      </c>
      <c r="I1021" s="19" t="str">
        <f>VLOOKUP(G1021,'languoid 4.0'!$A$1:$I$24439,6,FALSE)</f>
        <v>language</v>
      </c>
      <c r="J1021" s="20" t="s">
        <v>38</v>
      </c>
      <c r="K1021" s="20" t="s">
        <v>38</v>
      </c>
      <c r="L1021" s="20" t="s">
        <v>38</v>
      </c>
      <c r="M1021" s="19"/>
      <c r="N1021" s="19" t="s">
        <v>4380</v>
      </c>
      <c r="O1021" s="20" t="s">
        <v>40</v>
      </c>
      <c r="P1021" s="20" t="s">
        <v>41</v>
      </c>
      <c r="Q1021" s="19" t="s">
        <v>6088</v>
      </c>
      <c r="R1021" s="21" t="s">
        <v>6089</v>
      </c>
      <c r="S1021" s="19" t="s">
        <v>46</v>
      </c>
      <c r="T1021" s="19" t="s">
        <v>4383</v>
      </c>
      <c r="U1021" s="19" t="s">
        <v>1707</v>
      </c>
      <c r="V1021" s="19" t="s">
        <v>45</v>
      </c>
      <c r="W1021" s="19"/>
      <c r="X1021" s="19"/>
      <c r="Y1021" s="19"/>
      <c r="Z1021" s="19" t="s">
        <v>637</v>
      </c>
      <c r="AA1021" s="19" t="s">
        <v>6090</v>
      </c>
      <c r="AB1021" s="19" t="s">
        <v>6091</v>
      </c>
      <c r="AC1021" s="19" t="s">
        <v>46</v>
      </c>
      <c r="AD1021" s="19"/>
      <c r="AE1021" s="19" t="s">
        <v>641</v>
      </c>
      <c r="AF1021" s="19" t="s">
        <v>190</v>
      </c>
      <c r="AG1021" s="19">
        <v>6</v>
      </c>
      <c r="AH1021" s="19" t="s">
        <v>190</v>
      </c>
      <c r="AI1021" s="19"/>
      <c r="AJ1021" s="22">
        <v>43138.456608796296</v>
      </c>
      <c r="AK1021" s="19" t="s">
        <v>4386</v>
      </c>
    </row>
    <row r="1022" spans="1:37" s="23" customFormat="1">
      <c r="A1022" s="19" t="str">
        <f>VLOOKUP(H1022,Languages!$A$2:$B$430,2,FALSE)</f>
        <v>Indo-European</v>
      </c>
      <c r="B1022" s="19" t="s">
        <v>109</v>
      </c>
      <c r="C1022" s="19" t="s">
        <v>4376</v>
      </c>
      <c r="D1022" s="19" t="s">
        <v>7380</v>
      </c>
      <c r="E1022" s="20" t="s">
        <v>4378</v>
      </c>
      <c r="F1022" s="20" t="s">
        <v>7381</v>
      </c>
      <c r="G1022" s="19" t="s">
        <v>7381</v>
      </c>
      <c r="H1022" s="19" t="str">
        <f>VLOOKUP(G1022,'languoid 4.0'!$A$1:$I$24439,2,FALSE)</f>
        <v>indo1319</v>
      </c>
      <c r="I1022" s="19" t="str">
        <f>VLOOKUP(G1022,'languoid 4.0'!$A$1:$I$24439,6,FALSE)</f>
        <v>family</v>
      </c>
      <c r="J1022" s="20" t="s">
        <v>52</v>
      </c>
      <c r="K1022" s="20" t="s">
        <v>38</v>
      </c>
      <c r="L1022" s="20" t="s">
        <v>38</v>
      </c>
      <c r="M1022" s="19"/>
      <c r="N1022" s="19" t="s">
        <v>4380</v>
      </c>
      <c r="O1022" s="20" t="s">
        <v>40</v>
      </c>
      <c r="P1022" s="20" t="s">
        <v>41</v>
      </c>
      <c r="Q1022" s="19" t="s">
        <v>7382</v>
      </c>
      <c r="R1022" s="21" t="s">
        <v>7383</v>
      </c>
      <c r="S1022" s="19" t="s">
        <v>672</v>
      </c>
      <c r="T1022" s="19" t="s">
        <v>657</v>
      </c>
      <c r="U1022" s="19" t="s">
        <v>636</v>
      </c>
      <c r="V1022" s="19" t="s">
        <v>45</v>
      </c>
      <c r="W1022" s="19"/>
      <c r="X1022" s="19"/>
      <c r="Y1022" s="19"/>
      <c r="Z1022" s="19" t="s">
        <v>1151</v>
      </c>
      <c r="AA1022" s="19" t="s">
        <v>7384</v>
      </c>
      <c r="AB1022" s="19" t="s">
        <v>7385</v>
      </c>
      <c r="AC1022" s="19" t="s">
        <v>7386</v>
      </c>
      <c r="AD1022" s="19"/>
      <c r="AE1022" s="19" t="s">
        <v>641</v>
      </c>
      <c r="AF1022" s="19" t="s">
        <v>190</v>
      </c>
      <c r="AG1022" s="19">
        <v>6</v>
      </c>
      <c r="AH1022" s="19" t="s">
        <v>190</v>
      </c>
      <c r="AI1022" s="19"/>
      <c r="AJ1022" s="22">
        <v>43442.983449074076</v>
      </c>
      <c r="AK1022" s="19" t="s">
        <v>4386</v>
      </c>
    </row>
    <row r="1023" spans="1:37" s="23" customFormat="1">
      <c r="A1023" s="19" t="str">
        <f>VLOOKUP(H1023,Languages!$A$2:$B$430,2,FALSE)</f>
        <v>Indo-European</v>
      </c>
      <c r="B1023" s="19" t="s">
        <v>109</v>
      </c>
      <c r="C1023" s="19" t="s">
        <v>4376</v>
      </c>
      <c r="D1023" s="19" t="s">
        <v>7380</v>
      </c>
      <c r="E1023" s="20" t="s">
        <v>4378</v>
      </c>
      <c r="F1023" s="20" t="s">
        <v>7381</v>
      </c>
      <c r="G1023" s="19" t="s">
        <v>7381</v>
      </c>
      <c r="H1023" s="19" t="str">
        <f>VLOOKUP(G1023,'languoid 4.0'!$A$1:$I$24439,2,FALSE)</f>
        <v>indo1319</v>
      </c>
      <c r="I1023" s="19" t="str">
        <f>VLOOKUP(G1023,'languoid 4.0'!$A$1:$I$24439,6,FALSE)</f>
        <v>family</v>
      </c>
      <c r="J1023" s="20" t="s">
        <v>52</v>
      </c>
      <c r="K1023" s="20" t="s">
        <v>38</v>
      </c>
      <c r="L1023" s="20" t="s">
        <v>38</v>
      </c>
      <c r="M1023" s="19"/>
      <c r="N1023" s="19" t="s">
        <v>4380</v>
      </c>
      <c r="O1023" s="20" t="s">
        <v>40</v>
      </c>
      <c r="P1023" s="20" t="s">
        <v>41</v>
      </c>
      <c r="Q1023" s="19" t="s">
        <v>7389</v>
      </c>
      <c r="R1023" s="21" t="s">
        <v>7383</v>
      </c>
      <c r="S1023" s="19" t="s">
        <v>683</v>
      </c>
      <c r="T1023" s="19" t="s">
        <v>657</v>
      </c>
      <c r="U1023" s="19" t="s">
        <v>636</v>
      </c>
      <c r="V1023" s="19" t="s">
        <v>45</v>
      </c>
      <c r="W1023" s="19"/>
      <c r="X1023" s="19"/>
      <c r="Y1023" s="19"/>
      <c r="Z1023" s="19" t="s">
        <v>673</v>
      </c>
      <c r="AA1023" s="19" t="s">
        <v>7390</v>
      </c>
      <c r="AB1023" s="19" t="s">
        <v>7391</v>
      </c>
      <c r="AC1023" s="19" t="s">
        <v>46</v>
      </c>
      <c r="AD1023" s="19"/>
      <c r="AE1023" s="19" t="s">
        <v>641</v>
      </c>
      <c r="AF1023" s="19" t="s">
        <v>190</v>
      </c>
      <c r="AG1023" s="19">
        <v>6</v>
      </c>
      <c r="AH1023" s="19" t="s">
        <v>190</v>
      </c>
      <c r="AI1023" s="19"/>
      <c r="AJ1023" s="19" t="s">
        <v>7392</v>
      </c>
      <c r="AK1023" s="19" t="s">
        <v>4386</v>
      </c>
    </row>
    <row r="1024" spans="1:37" s="23" customFormat="1">
      <c r="A1024" s="19" t="str">
        <f>VLOOKUP(H1024,Languages!$A$2:$B$430,2,FALSE)</f>
        <v>Indo-European</v>
      </c>
      <c r="B1024" s="19" t="s">
        <v>109</v>
      </c>
      <c r="C1024" s="19" t="s">
        <v>4376</v>
      </c>
      <c r="D1024" s="19" t="s">
        <v>7380</v>
      </c>
      <c r="E1024" s="20" t="s">
        <v>4378</v>
      </c>
      <c r="F1024" s="20" t="s">
        <v>7381</v>
      </c>
      <c r="G1024" s="19" t="s">
        <v>7381</v>
      </c>
      <c r="H1024" s="19" t="str">
        <f>VLOOKUP(G1024,'languoid 4.0'!$A$1:$I$24439,2,FALSE)</f>
        <v>indo1319</v>
      </c>
      <c r="I1024" s="19" t="str">
        <f>VLOOKUP(G1024,'languoid 4.0'!$A$1:$I$24439,6,FALSE)</f>
        <v>family</v>
      </c>
      <c r="J1024" s="20" t="s">
        <v>52</v>
      </c>
      <c r="K1024" s="20" t="s">
        <v>38</v>
      </c>
      <c r="L1024" s="20" t="s">
        <v>38</v>
      </c>
      <c r="M1024" s="19"/>
      <c r="N1024" s="19" t="s">
        <v>4380</v>
      </c>
      <c r="O1024" s="20" t="s">
        <v>40</v>
      </c>
      <c r="P1024" s="20" t="s">
        <v>41</v>
      </c>
      <c r="Q1024" s="19" t="s">
        <v>7393</v>
      </c>
      <c r="R1024" s="21" t="s">
        <v>7383</v>
      </c>
      <c r="S1024" s="19" t="s">
        <v>1596</v>
      </c>
      <c r="T1024" s="19" t="s">
        <v>657</v>
      </c>
      <c r="U1024" s="19" t="s">
        <v>636</v>
      </c>
      <c r="V1024" s="19" t="s">
        <v>45</v>
      </c>
      <c r="W1024" s="19"/>
      <c r="X1024" s="19"/>
      <c r="Y1024" s="19"/>
      <c r="Z1024" s="19" t="s">
        <v>1893</v>
      </c>
      <c r="AA1024" s="19" t="s">
        <v>46</v>
      </c>
      <c r="AB1024" s="19" t="s">
        <v>46</v>
      </c>
      <c r="AC1024" s="19" t="s">
        <v>7394</v>
      </c>
      <c r="AD1024" s="19"/>
      <c r="AE1024" s="19" t="s">
        <v>641</v>
      </c>
      <c r="AF1024" s="19" t="s">
        <v>190</v>
      </c>
      <c r="AG1024" s="19">
        <v>6</v>
      </c>
      <c r="AH1024" s="19" t="s">
        <v>190</v>
      </c>
      <c r="AI1024" s="19"/>
      <c r="AJ1024" s="19" t="s">
        <v>7395</v>
      </c>
      <c r="AK1024" s="19" t="s">
        <v>4386</v>
      </c>
    </row>
    <row r="1025" spans="1:37" s="23" customFormat="1">
      <c r="A1025" s="19" t="str">
        <f>VLOOKUP(H1025,Languages!$A$2:$B$430,2,FALSE)</f>
        <v>Indo-European</v>
      </c>
      <c r="B1025" s="19" t="s">
        <v>109</v>
      </c>
      <c r="C1025" s="19" t="s">
        <v>4376</v>
      </c>
      <c r="D1025" s="19" t="s">
        <v>7380</v>
      </c>
      <c r="E1025" s="20" t="s">
        <v>4378</v>
      </c>
      <c r="F1025" s="20" t="s">
        <v>4378</v>
      </c>
      <c r="G1025" s="19" t="s">
        <v>4378</v>
      </c>
      <c r="H1025" s="19" t="str">
        <f>VLOOKUP(G1025,'languoid 4.0'!$A$1:$I$24439,2,FALSE)</f>
        <v>indo1319</v>
      </c>
      <c r="I1025" s="19" t="str">
        <f>VLOOKUP(G1025,'languoid 4.0'!$A$1:$I$24439,6,FALSE)</f>
        <v>language</v>
      </c>
      <c r="J1025" s="20" t="s">
        <v>38</v>
      </c>
      <c r="K1025" s="20" t="s">
        <v>38</v>
      </c>
      <c r="L1025" s="20" t="s">
        <v>38</v>
      </c>
      <c r="M1025" s="19"/>
      <c r="N1025" s="19" t="s">
        <v>4380</v>
      </c>
      <c r="O1025" s="20" t="s">
        <v>40</v>
      </c>
      <c r="P1025" s="20" t="s">
        <v>41</v>
      </c>
      <c r="Q1025" s="19" t="s">
        <v>8037</v>
      </c>
      <c r="R1025" s="21" t="s">
        <v>8038</v>
      </c>
      <c r="S1025" s="19" t="s">
        <v>4821</v>
      </c>
      <c r="T1025" s="19" t="s">
        <v>657</v>
      </c>
      <c r="U1025" s="19" t="s">
        <v>636</v>
      </c>
      <c r="V1025" s="19" t="s">
        <v>45</v>
      </c>
      <c r="W1025" s="19"/>
      <c r="X1025" s="19"/>
      <c r="Y1025" s="19"/>
      <c r="Z1025" s="19" t="s">
        <v>637</v>
      </c>
      <c r="AA1025" s="19" t="s">
        <v>8039</v>
      </c>
      <c r="AB1025" s="19" t="s">
        <v>8040</v>
      </c>
      <c r="AC1025" s="19" t="s">
        <v>46</v>
      </c>
      <c r="AD1025" s="19"/>
      <c r="AE1025" s="19" t="s">
        <v>641</v>
      </c>
      <c r="AF1025" s="19" t="s">
        <v>45</v>
      </c>
      <c r="AG1025" s="19">
        <v>1</v>
      </c>
      <c r="AH1025" s="19" t="s">
        <v>190</v>
      </c>
      <c r="AI1025" s="19"/>
      <c r="AJ1025" s="19" t="s">
        <v>8041</v>
      </c>
      <c r="AK1025" s="19" t="s">
        <v>4386</v>
      </c>
    </row>
    <row r="1026" spans="1:37" s="23" customFormat="1">
      <c r="A1026" s="19" t="str">
        <f>VLOOKUP(H1026,Languages!$A$2:$B$430,2,FALSE)</f>
        <v>Indo-European</v>
      </c>
      <c r="B1026" s="19" t="s">
        <v>109</v>
      </c>
      <c r="C1026" s="19" t="s">
        <v>431</v>
      </c>
      <c r="D1026" s="19" t="s">
        <v>11187</v>
      </c>
      <c r="E1026" s="20" t="s">
        <v>239</v>
      </c>
      <c r="F1026" s="20" t="s">
        <v>239</v>
      </c>
      <c r="G1026" s="19" t="s">
        <v>239</v>
      </c>
      <c r="H1026" s="19" t="str">
        <f>VLOOKUP(G1026,'languoid 4.0'!$A$1:$I$24439,2,FALSE)</f>
        <v>indo1319</v>
      </c>
      <c r="I1026" s="19" t="str">
        <f>VLOOKUP(G1026,'languoid 4.0'!$A$1:$I$24439,6,FALSE)</f>
        <v>language</v>
      </c>
      <c r="J1026" s="20" t="s">
        <v>38</v>
      </c>
      <c r="K1026" s="20" t="s">
        <v>38</v>
      </c>
      <c r="L1026" s="20" t="s">
        <v>38</v>
      </c>
      <c r="M1026" s="19"/>
      <c r="N1026" s="19" t="s">
        <v>269</v>
      </c>
      <c r="O1026" s="20" t="s">
        <v>40</v>
      </c>
      <c r="P1026" s="20" t="s">
        <v>41</v>
      </c>
      <c r="Q1026" s="19" t="s">
        <v>11188</v>
      </c>
      <c r="R1026" s="21" t="s">
        <v>11189</v>
      </c>
      <c r="S1026" s="19" t="s">
        <v>672</v>
      </c>
      <c r="T1026" s="19" t="s">
        <v>657</v>
      </c>
      <c r="U1026" s="19" t="s">
        <v>636</v>
      </c>
      <c r="V1026" s="19" t="s">
        <v>45</v>
      </c>
      <c r="W1026" s="19"/>
      <c r="X1026" s="19"/>
      <c r="Y1026" s="19"/>
      <c r="Z1026" s="19" t="s">
        <v>658</v>
      </c>
      <c r="AA1026" s="19" t="s">
        <v>11190</v>
      </c>
      <c r="AB1026" s="19" t="s">
        <v>11191</v>
      </c>
      <c r="AC1026" s="19" t="s">
        <v>11192</v>
      </c>
      <c r="AD1026" s="19" t="s">
        <v>11193</v>
      </c>
      <c r="AE1026" s="19" t="s">
        <v>641</v>
      </c>
      <c r="AF1026" s="19" t="s">
        <v>190</v>
      </c>
      <c r="AG1026" s="19">
        <v>6</v>
      </c>
      <c r="AH1026" s="19" t="s">
        <v>190</v>
      </c>
      <c r="AI1026" s="19"/>
      <c r="AJ1026" s="19" t="s">
        <v>11194</v>
      </c>
      <c r="AK1026" s="19" t="s">
        <v>4975</v>
      </c>
    </row>
    <row r="1027" spans="1:37" s="23" customFormat="1">
      <c r="A1027" s="19" t="str">
        <f>VLOOKUP(H1027,Languages!$A$2:$B$430,2,FALSE)</f>
        <v>Indo-European</v>
      </c>
      <c r="B1027" s="19" t="s">
        <v>109</v>
      </c>
      <c r="C1027" s="19" t="s">
        <v>4417</v>
      </c>
      <c r="D1027" s="19" t="s">
        <v>4479</v>
      </c>
      <c r="E1027" s="20" t="s">
        <v>3656</v>
      </c>
      <c r="F1027" s="20" t="s">
        <v>3656</v>
      </c>
      <c r="G1027" s="19" t="s">
        <v>3656</v>
      </c>
      <c r="H1027" s="19" t="str">
        <f>VLOOKUP(G1027,'languoid 4.0'!$A$1:$I$24439,2,FALSE)</f>
        <v>indo1319</v>
      </c>
      <c r="I1027" s="19" t="str">
        <f>VLOOKUP(G1027,'languoid 4.0'!$A$1:$I$24439,6,FALSE)</f>
        <v>language</v>
      </c>
      <c r="J1027" s="20" t="s">
        <v>38</v>
      </c>
      <c r="K1027" s="20" t="s">
        <v>38</v>
      </c>
      <c r="L1027" s="20" t="s">
        <v>38</v>
      </c>
      <c r="M1027" s="19"/>
      <c r="N1027" s="19" t="s">
        <v>4419</v>
      </c>
      <c r="O1027" s="20" t="s">
        <v>40</v>
      </c>
      <c r="P1027" s="20" t="s">
        <v>41</v>
      </c>
      <c r="Q1027" s="19" t="s">
        <v>4480</v>
      </c>
      <c r="R1027" s="21" t="s">
        <v>4481</v>
      </c>
      <c r="S1027" s="19" t="s">
        <v>46</v>
      </c>
      <c r="T1027" s="19" t="s">
        <v>635</v>
      </c>
      <c r="U1027" s="19" t="s">
        <v>636</v>
      </c>
      <c r="V1027" s="19" t="s">
        <v>45</v>
      </c>
      <c r="W1027" s="19"/>
      <c r="X1027" s="19"/>
      <c r="Y1027" s="19"/>
      <c r="Z1027" s="19" t="s">
        <v>658</v>
      </c>
      <c r="AA1027" s="19" t="s">
        <v>4482</v>
      </c>
      <c r="AB1027" s="19" t="s">
        <v>4483</v>
      </c>
      <c r="AC1027" s="19" t="s">
        <v>46</v>
      </c>
      <c r="AD1027" s="19" t="s">
        <v>4484</v>
      </c>
      <c r="AE1027" s="19" t="s">
        <v>641</v>
      </c>
      <c r="AF1027" s="19" t="s">
        <v>190</v>
      </c>
      <c r="AG1027" s="19">
        <v>6</v>
      </c>
      <c r="AH1027" s="19" t="s">
        <v>190</v>
      </c>
      <c r="AI1027" s="19"/>
      <c r="AJ1027" s="22">
        <v>43226.892314814817</v>
      </c>
      <c r="AK1027" s="19" t="s">
        <v>4424</v>
      </c>
    </row>
    <row r="1028" spans="1:37" s="23" customFormat="1">
      <c r="A1028" s="19" t="str">
        <f>VLOOKUP(H1028,Languages!$A$2:$B$430,2,FALSE)</f>
        <v>Indo-European</v>
      </c>
      <c r="B1028" s="19" t="s">
        <v>109</v>
      </c>
      <c r="C1028" s="19" t="s">
        <v>4417</v>
      </c>
      <c r="D1028" s="19" t="s">
        <v>5455</v>
      </c>
      <c r="E1028" s="20" t="s">
        <v>3656</v>
      </c>
      <c r="F1028" s="20" t="s">
        <v>3656</v>
      </c>
      <c r="G1028" s="19" t="s">
        <v>4378</v>
      </c>
      <c r="H1028" s="19" t="str">
        <f>VLOOKUP(G1028,'languoid 4.0'!$A$1:$I$24439,2,FALSE)</f>
        <v>indo1319</v>
      </c>
      <c r="I1028" s="19" t="str">
        <f>VLOOKUP(G1028,'languoid 4.0'!$A$1:$I$24439,6,FALSE)</f>
        <v>language</v>
      </c>
      <c r="J1028" s="20" t="s">
        <v>38</v>
      </c>
      <c r="K1028" s="20" t="s">
        <v>38</v>
      </c>
      <c r="L1028" s="20" t="s">
        <v>38</v>
      </c>
      <c r="M1028" s="19"/>
      <c r="N1028" s="19" t="s">
        <v>4419</v>
      </c>
      <c r="O1028" s="20" t="s">
        <v>40</v>
      </c>
      <c r="P1028" s="20" t="s">
        <v>41</v>
      </c>
      <c r="Q1028" s="19" t="s">
        <v>5456</v>
      </c>
      <c r="R1028" s="21" t="s">
        <v>5457</v>
      </c>
      <c r="S1028" s="19" t="s">
        <v>5458</v>
      </c>
      <c r="T1028" s="19" t="s">
        <v>657</v>
      </c>
      <c r="U1028" s="19" t="s">
        <v>67</v>
      </c>
      <c r="V1028" s="19" t="s">
        <v>45</v>
      </c>
      <c r="W1028" s="19"/>
      <c r="X1028" s="19"/>
      <c r="Y1028" s="19"/>
      <c r="Z1028" s="19" t="s">
        <v>1893</v>
      </c>
      <c r="AA1028" s="19" t="s">
        <v>46</v>
      </c>
      <c r="AB1028" s="19" t="s">
        <v>5459</v>
      </c>
      <c r="AC1028" s="19" t="s">
        <v>5460</v>
      </c>
      <c r="AD1028" s="19"/>
      <c r="AE1028" s="19" t="s">
        <v>641</v>
      </c>
      <c r="AF1028" s="19" t="s">
        <v>190</v>
      </c>
      <c r="AG1028" s="19">
        <v>6</v>
      </c>
      <c r="AH1028" s="19" t="s">
        <v>190</v>
      </c>
      <c r="AI1028" s="19" t="s">
        <v>5461</v>
      </c>
      <c r="AJ1028" s="19" t="s">
        <v>5462</v>
      </c>
      <c r="AK1028" s="19" t="s">
        <v>4424</v>
      </c>
    </row>
    <row r="1029" spans="1:37" s="23" customFormat="1">
      <c r="A1029" s="19" t="str">
        <f>VLOOKUP(H1029,Languages!$A$2:$B$430,2,FALSE)</f>
        <v>Indo-European</v>
      </c>
      <c r="B1029" s="19" t="s">
        <v>109</v>
      </c>
      <c r="C1029" s="19" t="s">
        <v>4417</v>
      </c>
      <c r="D1029" s="19" t="s">
        <v>6820</v>
      </c>
      <c r="E1029" s="20" t="s">
        <v>3656</v>
      </c>
      <c r="F1029" s="20" t="s">
        <v>3656</v>
      </c>
      <c r="G1029" s="19" t="s">
        <v>3656</v>
      </c>
      <c r="H1029" s="19" t="str">
        <f>VLOOKUP(G1029,'languoid 4.0'!$A$1:$I$24439,2,FALSE)</f>
        <v>indo1319</v>
      </c>
      <c r="I1029" s="19" t="str">
        <f>VLOOKUP(G1029,'languoid 4.0'!$A$1:$I$24439,6,FALSE)</f>
        <v>language</v>
      </c>
      <c r="J1029" s="20" t="s">
        <v>38</v>
      </c>
      <c r="K1029" s="20" t="s">
        <v>38</v>
      </c>
      <c r="L1029" s="20" t="s">
        <v>38</v>
      </c>
      <c r="M1029" s="19"/>
      <c r="N1029" s="19" t="s">
        <v>4419</v>
      </c>
      <c r="O1029" s="20" t="s">
        <v>40</v>
      </c>
      <c r="P1029" s="20" t="s">
        <v>41</v>
      </c>
      <c r="Q1029" s="19" t="s">
        <v>6821</v>
      </c>
      <c r="R1029" s="21" t="s">
        <v>6822</v>
      </c>
      <c r="S1029" s="19" t="s">
        <v>6823</v>
      </c>
      <c r="T1029" s="19" t="s">
        <v>6824</v>
      </c>
      <c r="U1029" s="19" t="s">
        <v>636</v>
      </c>
      <c r="V1029" s="19" t="s">
        <v>45</v>
      </c>
      <c r="W1029" s="19"/>
      <c r="X1029" s="19"/>
      <c r="Y1029" s="19"/>
      <c r="Z1029" s="19" t="s">
        <v>1893</v>
      </c>
      <c r="AA1029" s="19" t="s">
        <v>46</v>
      </c>
      <c r="AB1029" s="19" t="s">
        <v>46</v>
      </c>
      <c r="AC1029" s="19" t="s">
        <v>6825</v>
      </c>
      <c r="AD1029" s="19"/>
      <c r="AE1029" s="19" t="s">
        <v>641</v>
      </c>
      <c r="AF1029" s="19" t="s">
        <v>190</v>
      </c>
      <c r="AG1029" s="19">
        <v>6</v>
      </c>
      <c r="AH1029" s="19" t="s">
        <v>190</v>
      </c>
      <c r="AI1029" s="19"/>
      <c r="AJ1029" s="19" t="s">
        <v>6826</v>
      </c>
      <c r="AK1029" s="19" t="s">
        <v>4424</v>
      </c>
    </row>
    <row r="1030" spans="1:37" s="23" customFormat="1">
      <c r="A1030" s="19" t="str">
        <f>VLOOKUP(H1030,Languages!$A$2:$B$430,2,FALSE)</f>
        <v>Indo-European</v>
      </c>
      <c r="B1030" s="19" t="s">
        <v>109</v>
      </c>
      <c r="C1030" s="19" t="s">
        <v>4417</v>
      </c>
      <c r="D1030" s="19" t="s">
        <v>4555</v>
      </c>
      <c r="E1030" s="20" t="s">
        <v>3656</v>
      </c>
      <c r="F1030" s="20" t="s">
        <v>3656</v>
      </c>
      <c r="G1030" s="19" t="s">
        <v>3656</v>
      </c>
      <c r="H1030" s="19" t="str">
        <f>VLOOKUP(G1030,'languoid 4.0'!$A$1:$I$24439,2,FALSE)</f>
        <v>indo1319</v>
      </c>
      <c r="I1030" s="19" t="str">
        <f>VLOOKUP(G1030,'languoid 4.0'!$A$1:$I$24439,6,FALSE)</f>
        <v>language</v>
      </c>
      <c r="J1030" s="20" t="s">
        <v>38</v>
      </c>
      <c r="K1030" s="20" t="s">
        <v>38</v>
      </c>
      <c r="L1030" s="20" t="s">
        <v>38</v>
      </c>
      <c r="M1030" s="19"/>
      <c r="N1030" s="19" t="s">
        <v>4419</v>
      </c>
      <c r="O1030" s="20" t="s">
        <v>40</v>
      </c>
      <c r="P1030" s="20" t="s">
        <v>41</v>
      </c>
      <c r="Q1030" s="19" t="s">
        <v>8636</v>
      </c>
      <c r="R1030" s="21" t="s">
        <v>8637</v>
      </c>
      <c r="S1030" s="19" t="s">
        <v>46</v>
      </c>
      <c r="T1030" s="19" t="s">
        <v>8638</v>
      </c>
      <c r="U1030" s="19" t="s">
        <v>636</v>
      </c>
      <c r="V1030" s="19" t="s">
        <v>45</v>
      </c>
      <c r="W1030" s="19"/>
      <c r="X1030" s="19"/>
      <c r="Y1030" s="19"/>
      <c r="Z1030" s="19" t="s">
        <v>1893</v>
      </c>
      <c r="AA1030" s="19" t="s">
        <v>46</v>
      </c>
      <c r="AB1030" s="19" t="s">
        <v>46</v>
      </c>
      <c r="AC1030" s="19" t="s">
        <v>8639</v>
      </c>
      <c r="AD1030" s="19"/>
      <c r="AE1030" s="19" t="s">
        <v>641</v>
      </c>
      <c r="AF1030" s="19" t="s">
        <v>190</v>
      </c>
      <c r="AG1030" s="19">
        <v>5</v>
      </c>
      <c r="AH1030" s="19" t="s">
        <v>190</v>
      </c>
      <c r="AI1030" s="19"/>
      <c r="AJ1030" s="22">
        <v>43229.515381944446</v>
      </c>
      <c r="AK1030" s="19" t="s">
        <v>4424</v>
      </c>
    </row>
    <row r="1031" spans="1:37" s="23" customFormat="1">
      <c r="A1031" s="19" t="str">
        <f>VLOOKUP(H1031,Languages!$A$2:$B$430,2,FALSE)</f>
        <v>Indo-European</v>
      </c>
      <c r="B1031" s="19" t="s">
        <v>35</v>
      </c>
      <c r="C1031" s="19" t="s">
        <v>94</v>
      </c>
      <c r="D1031" s="19" t="s">
        <v>95</v>
      </c>
      <c r="E1031" s="20" t="s">
        <v>96</v>
      </c>
      <c r="F1031" s="20" t="s">
        <v>96</v>
      </c>
      <c r="G1031" s="19" t="s">
        <v>96</v>
      </c>
      <c r="H1031" s="19" t="str">
        <f>VLOOKUP(G1031,'languoid 4.0'!$A$1:$I$24439,2,FALSE)</f>
        <v>indo1319</v>
      </c>
      <c r="I1031" s="19" t="str">
        <f>VLOOKUP(G1031,'languoid 4.0'!$A$1:$I$24439,6,FALSE)</f>
        <v>language</v>
      </c>
      <c r="J1031" s="20" t="s">
        <v>38</v>
      </c>
      <c r="K1031" s="20" t="s">
        <v>38</v>
      </c>
      <c r="L1031" s="20" t="s">
        <v>38</v>
      </c>
      <c r="M1031" s="19"/>
      <c r="N1031" s="19" t="s">
        <v>97</v>
      </c>
      <c r="O1031" s="20" t="s">
        <v>40</v>
      </c>
      <c r="P1031" s="20" t="s">
        <v>41</v>
      </c>
      <c r="Q1031" s="19" t="s">
        <v>98</v>
      </c>
      <c r="R1031" s="21" t="s">
        <v>99</v>
      </c>
      <c r="S1031" s="19" t="s">
        <v>100</v>
      </c>
      <c r="T1031" s="19" t="s">
        <v>44</v>
      </c>
      <c r="U1031" s="19"/>
      <c r="V1031" s="19" t="s">
        <v>45</v>
      </c>
      <c r="W1031" s="19"/>
      <c r="X1031" s="19"/>
      <c r="Y1031" s="19"/>
      <c r="Z1031" s="19"/>
      <c r="AA1031" s="19">
        <v>5</v>
      </c>
      <c r="AB1031" s="19">
        <v>5</v>
      </c>
      <c r="AC1031" s="19" t="s">
        <v>46</v>
      </c>
      <c r="AD1031" s="19"/>
      <c r="AE1031" s="19"/>
      <c r="AF1031" s="19"/>
      <c r="AG1031" s="19"/>
      <c r="AH1031" s="19"/>
      <c r="AI1031" s="19"/>
      <c r="AJ1031" s="22">
        <v>43102.724872685183</v>
      </c>
      <c r="AK1031" s="19" t="s">
        <v>57</v>
      </c>
    </row>
    <row r="1032" spans="1:37" s="23" customFormat="1">
      <c r="A1032" s="19" t="str">
        <f>VLOOKUP(H1032,Languages!$A$2:$B$430,2,FALSE)</f>
        <v>Indo-European</v>
      </c>
      <c r="B1032" s="19" t="s">
        <v>35</v>
      </c>
      <c r="C1032" s="19" t="s">
        <v>94</v>
      </c>
      <c r="D1032" s="19" t="s">
        <v>4832</v>
      </c>
      <c r="E1032" s="20" t="s">
        <v>4833</v>
      </c>
      <c r="F1032" s="20" t="s">
        <v>4833</v>
      </c>
      <c r="G1032" s="19" t="s">
        <v>4833</v>
      </c>
      <c r="H1032" s="19" t="str">
        <f>VLOOKUP(G1032,'languoid 4.0'!$A$1:$I$24439,2,FALSE)</f>
        <v>indo1319</v>
      </c>
      <c r="I1032" s="19" t="str">
        <f>VLOOKUP(G1032,'languoid 4.0'!$A$1:$I$24439,6,FALSE)</f>
        <v>language</v>
      </c>
      <c r="J1032" s="20" t="s">
        <v>38</v>
      </c>
      <c r="K1032" s="20" t="s">
        <v>38</v>
      </c>
      <c r="L1032" s="20" t="s">
        <v>38</v>
      </c>
      <c r="M1032" s="19"/>
      <c r="N1032" s="19" t="s">
        <v>4834</v>
      </c>
      <c r="O1032" s="20" t="s">
        <v>40</v>
      </c>
      <c r="P1032" s="20" t="s">
        <v>41</v>
      </c>
      <c r="Q1032" s="19" t="s">
        <v>4835</v>
      </c>
      <c r="R1032" s="21" t="s">
        <v>4836</v>
      </c>
      <c r="S1032" s="19" t="s">
        <v>46</v>
      </c>
      <c r="T1032" s="19" t="s">
        <v>635</v>
      </c>
      <c r="U1032" s="19" t="s">
        <v>636</v>
      </c>
      <c r="V1032" s="19" t="s">
        <v>45</v>
      </c>
      <c r="W1032" s="19"/>
      <c r="X1032" s="19"/>
      <c r="Y1032" s="19"/>
      <c r="Z1032" s="19" t="s">
        <v>658</v>
      </c>
      <c r="AA1032" s="19" t="s">
        <v>4837</v>
      </c>
      <c r="AB1032" s="19" t="s">
        <v>4838</v>
      </c>
      <c r="AC1032" s="19" t="s">
        <v>46</v>
      </c>
      <c r="AD1032" s="19" t="s">
        <v>4839</v>
      </c>
      <c r="AE1032" s="19" t="s">
        <v>641</v>
      </c>
      <c r="AF1032" s="19" t="s">
        <v>190</v>
      </c>
      <c r="AG1032" s="19">
        <v>6</v>
      </c>
      <c r="AH1032" s="19" t="s">
        <v>190</v>
      </c>
      <c r="AI1032" s="19"/>
      <c r="AJ1032" s="22">
        <v>43410.86409722222</v>
      </c>
      <c r="AK1032" s="19" t="s">
        <v>4840</v>
      </c>
    </row>
    <row r="1033" spans="1:37" s="23" customFormat="1">
      <c r="A1033" s="19" t="str">
        <f>VLOOKUP(H1033,Languages!$A$2:$B$430,2,FALSE)</f>
        <v>Indo-European</v>
      </c>
      <c r="B1033" s="19" t="s">
        <v>35</v>
      </c>
      <c r="C1033" s="19" t="s">
        <v>94</v>
      </c>
      <c r="D1033" s="19" t="s">
        <v>10051</v>
      </c>
      <c r="E1033" s="20" t="s">
        <v>180</v>
      </c>
      <c r="F1033" s="20" t="s">
        <v>180</v>
      </c>
      <c r="G1033" s="19" t="s">
        <v>180</v>
      </c>
      <c r="H1033" s="19" t="str">
        <f>VLOOKUP(G1033,'languoid 4.0'!$A$1:$I$24439,2,FALSE)</f>
        <v>indo1319</v>
      </c>
      <c r="I1033" s="19" t="str">
        <f>VLOOKUP(G1033,'languoid 4.0'!$A$1:$I$24439,6,FALSE)</f>
        <v>language</v>
      </c>
      <c r="J1033" s="20" t="s">
        <v>38</v>
      </c>
      <c r="K1033" s="20" t="s">
        <v>38</v>
      </c>
      <c r="L1033" s="20" t="s">
        <v>38</v>
      </c>
      <c r="M1033" s="19"/>
      <c r="N1033" s="19" t="s">
        <v>4842</v>
      </c>
      <c r="O1033" s="20" t="s">
        <v>40</v>
      </c>
      <c r="P1033" s="20" t="s">
        <v>41</v>
      </c>
      <c r="Q1033" s="19" t="s">
        <v>10052</v>
      </c>
      <c r="R1033" s="21" t="s">
        <v>10053</v>
      </c>
      <c r="S1033" s="19" t="s">
        <v>10054</v>
      </c>
      <c r="T1033" s="19" t="s">
        <v>657</v>
      </c>
      <c r="U1033" s="19" t="s">
        <v>636</v>
      </c>
      <c r="V1033" s="19" t="s">
        <v>45</v>
      </c>
      <c r="W1033" s="19"/>
      <c r="X1033" s="19"/>
      <c r="Y1033" s="19"/>
      <c r="Z1033" s="19" t="s">
        <v>673</v>
      </c>
      <c r="AA1033" s="19" t="s">
        <v>10055</v>
      </c>
      <c r="AB1033" s="19" t="s">
        <v>46</v>
      </c>
      <c r="AC1033" s="19" t="s">
        <v>46</v>
      </c>
      <c r="AD1033" s="19"/>
      <c r="AE1033" s="19" t="s">
        <v>641</v>
      </c>
      <c r="AF1033" s="19" t="s">
        <v>190</v>
      </c>
      <c r="AG1033" s="19">
        <v>6</v>
      </c>
      <c r="AH1033" s="19" t="s">
        <v>190</v>
      </c>
      <c r="AI1033" s="19"/>
      <c r="AJ1033" s="22">
        <v>43231.434305555558</v>
      </c>
      <c r="AK1033" s="19" t="s">
        <v>8881</v>
      </c>
    </row>
    <row r="1034" spans="1:37" s="23" customFormat="1">
      <c r="A1034" s="19" t="str">
        <f>VLOOKUP(H1034,Languages!$A$2:$B$430,2,FALSE)</f>
        <v>Indo-European</v>
      </c>
      <c r="B1034" s="19" t="s">
        <v>35</v>
      </c>
      <c r="C1034" s="19" t="s">
        <v>1012</v>
      </c>
      <c r="D1034" s="19" t="s">
        <v>2901</v>
      </c>
      <c r="E1034" s="20" t="s">
        <v>2731</v>
      </c>
      <c r="F1034" s="20" t="s">
        <v>2731</v>
      </c>
      <c r="G1034" s="19" t="s">
        <v>2731</v>
      </c>
      <c r="H1034" s="19" t="str">
        <f>VLOOKUP(G1034,'languoid 4.0'!$A$1:$I$24439,2,FALSE)</f>
        <v>indo1319</v>
      </c>
      <c r="I1034" s="19" t="str">
        <f>VLOOKUP(G1034,'languoid 4.0'!$A$1:$I$24439,6,FALSE)</f>
        <v>language</v>
      </c>
      <c r="J1034" s="20" t="s">
        <v>38</v>
      </c>
      <c r="K1034" s="20" t="s">
        <v>38</v>
      </c>
      <c r="L1034" s="20" t="s">
        <v>38</v>
      </c>
      <c r="M1034" s="19"/>
      <c r="N1034" s="19" t="s">
        <v>2732</v>
      </c>
      <c r="O1034" s="20" t="s">
        <v>40</v>
      </c>
      <c r="P1034" s="20" t="s">
        <v>632</v>
      </c>
      <c r="Q1034" s="19" t="s">
        <v>2905</v>
      </c>
      <c r="R1034" s="21" t="s">
        <v>2906</v>
      </c>
      <c r="S1034" s="19" t="s">
        <v>46</v>
      </c>
      <c r="T1034" s="19" t="s">
        <v>635</v>
      </c>
      <c r="U1034" s="19" t="s">
        <v>636</v>
      </c>
      <c r="V1034" s="19" t="s">
        <v>45</v>
      </c>
      <c r="W1034" s="19"/>
      <c r="X1034" s="19"/>
      <c r="Y1034" s="19"/>
      <c r="Z1034" s="19" t="s">
        <v>658</v>
      </c>
      <c r="AA1034" s="19" t="s">
        <v>2907</v>
      </c>
      <c r="AB1034" s="19" t="s">
        <v>46</v>
      </c>
      <c r="AC1034" s="19" t="s">
        <v>46</v>
      </c>
      <c r="AD1034" s="19" t="s">
        <v>2838</v>
      </c>
      <c r="AE1034" s="19" t="s">
        <v>641</v>
      </c>
      <c r="AF1034" s="19" t="s">
        <v>190</v>
      </c>
      <c r="AG1034" s="19">
        <v>5</v>
      </c>
      <c r="AH1034" s="19" t="s">
        <v>190</v>
      </c>
      <c r="AI1034" s="19"/>
      <c r="AJ1034" s="22">
        <v>43438.51253472222</v>
      </c>
      <c r="AK1034" s="19" t="s">
        <v>1023</v>
      </c>
    </row>
    <row r="1035" spans="1:37" s="23" customFormat="1">
      <c r="A1035" s="19" t="str">
        <f>VLOOKUP(H1035,Languages!$A$2:$B$430,2,FALSE)</f>
        <v>Indo-European</v>
      </c>
      <c r="B1035" s="19" t="s">
        <v>35</v>
      </c>
      <c r="C1035" s="19" t="s">
        <v>1012</v>
      </c>
      <c r="D1035" s="19" t="s">
        <v>2923</v>
      </c>
      <c r="E1035" s="20" t="s">
        <v>51</v>
      </c>
      <c r="F1035" s="20" t="s">
        <v>2757</v>
      </c>
      <c r="G1035" s="19" t="s">
        <v>2757</v>
      </c>
      <c r="H1035" s="19" t="str">
        <f>VLOOKUP(G1035,'languoid 4.0'!$A$1:$I$24439,2,FALSE)</f>
        <v>indo1319</v>
      </c>
      <c r="I1035" s="19" t="str">
        <f>VLOOKUP(G1035,'languoid 4.0'!$A$1:$I$24439,6,FALSE)</f>
        <v>family</v>
      </c>
      <c r="J1035" s="20" t="s">
        <v>52</v>
      </c>
      <c r="K1035" s="20" t="s">
        <v>51</v>
      </c>
      <c r="L1035" s="20" t="s">
        <v>51</v>
      </c>
      <c r="M1035" s="19"/>
      <c r="N1035" s="19" t="e">
        <v>#N/A</v>
      </c>
      <c r="O1035" s="20" t="s">
        <v>690</v>
      </c>
      <c r="P1035" s="20"/>
      <c r="Q1035" s="19" t="s">
        <v>2924</v>
      </c>
      <c r="R1035" s="21" t="s">
        <v>2925</v>
      </c>
      <c r="S1035" s="19" t="s">
        <v>46</v>
      </c>
      <c r="T1035" s="19" t="s">
        <v>635</v>
      </c>
      <c r="U1035" s="19" t="s">
        <v>636</v>
      </c>
      <c r="V1035" s="19" t="s">
        <v>45</v>
      </c>
      <c r="W1035" s="19"/>
      <c r="X1035" s="19"/>
      <c r="Y1035" s="19"/>
      <c r="Z1035" s="19" t="s">
        <v>658</v>
      </c>
      <c r="AA1035" s="19" t="s">
        <v>2926</v>
      </c>
      <c r="AB1035" s="19" t="s">
        <v>46</v>
      </c>
      <c r="AC1035" s="19" t="s">
        <v>46</v>
      </c>
      <c r="AD1035" s="19" t="s">
        <v>2843</v>
      </c>
      <c r="AE1035" s="19" t="s">
        <v>641</v>
      </c>
      <c r="AF1035" s="19" t="s">
        <v>190</v>
      </c>
      <c r="AG1035" s="19">
        <v>6</v>
      </c>
      <c r="AH1035" s="19" t="s">
        <v>190</v>
      </c>
      <c r="AI1035" s="19"/>
      <c r="AJ1035" s="22">
        <v>43438.540902777779</v>
      </c>
      <c r="AK1035" s="19" t="s">
        <v>1023</v>
      </c>
    </row>
    <row r="1036" spans="1:37" s="23" customFormat="1">
      <c r="A1036" s="19" t="str">
        <f>VLOOKUP(H1036,Languages!$A$2:$B$430,2,FALSE)</f>
        <v>Indo-European</v>
      </c>
      <c r="B1036" s="19" t="s">
        <v>35</v>
      </c>
      <c r="C1036" s="19" t="s">
        <v>1012</v>
      </c>
      <c r="D1036" s="19" t="s">
        <v>2927</v>
      </c>
      <c r="E1036" s="20" t="s">
        <v>2845</v>
      </c>
      <c r="F1036" s="20" t="s">
        <v>2731</v>
      </c>
      <c r="G1036" s="19" t="s">
        <v>2845</v>
      </c>
      <c r="H1036" s="19" t="str">
        <f>VLOOKUP(G1036,'languoid 4.0'!$A$1:$I$24439,2,FALSE)</f>
        <v>indo1319</v>
      </c>
      <c r="I1036" s="19" t="str">
        <f>VLOOKUP(G1036,'languoid 4.0'!$A$1:$I$24439,6,FALSE)</f>
        <v>language</v>
      </c>
      <c r="J1036" s="20" t="s">
        <v>52</v>
      </c>
      <c r="K1036" s="20" t="s">
        <v>38</v>
      </c>
      <c r="L1036" s="20" t="s">
        <v>38</v>
      </c>
      <c r="M1036" s="19" t="s">
        <v>2928</v>
      </c>
      <c r="N1036" s="19" t="s">
        <v>2846</v>
      </c>
      <c r="O1036" s="20" t="s">
        <v>40</v>
      </c>
      <c r="P1036" s="20" t="s">
        <v>41</v>
      </c>
      <c r="Q1036" s="19" t="s">
        <v>2929</v>
      </c>
      <c r="R1036" s="21" t="s">
        <v>2930</v>
      </c>
      <c r="S1036" s="19" t="s">
        <v>46</v>
      </c>
      <c r="T1036" s="19" t="s">
        <v>635</v>
      </c>
      <c r="U1036" s="19" t="s">
        <v>636</v>
      </c>
      <c r="V1036" s="19" t="s">
        <v>45</v>
      </c>
      <c r="W1036" s="19"/>
      <c r="X1036" s="19"/>
      <c r="Y1036" s="19"/>
      <c r="Z1036" s="19" t="s">
        <v>658</v>
      </c>
      <c r="AA1036" s="19" t="s">
        <v>2931</v>
      </c>
      <c r="AB1036" s="19" t="s">
        <v>46</v>
      </c>
      <c r="AC1036" s="19" t="s">
        <v>46</v>
      </c>
      <c r="AD1036" s="19" t="s">
        <v>2838</v>
      </c>
      <c r="AE1036" s="19" t="s">
        <v>641</v>
      </c>
      <c r="AF1036" s="19" t="s">
        <v>190</v>
      </c>
      <c r="AG1036" s="19">
        <v>5</v>
      </c>
      <c r="AH1036" s="19" t="s">
        <v>190</v>
      </c>
      <c r="AI1036" s="19"/>
      <c r="AJ1036" s="22">
        <v>43438.544363425928</v>
      </c>
      <c r="AK1036" s="19" t="s">
        <v>1023</v>
      </c>
    </row>
    <row r="1037" spans="1:37" s="23" customFormat="1">
      <c r="A1037" s="19" t="str">
        <f>VLOOKUP(H1037,Languages!$A$2:$B$430,2,FALSE)</f>
        <v>Indo-European</v>
      </c>
      <c r="B1037" s="19" t="s">
        <v>35</v>
      </c>
      <c r="C1037" s="19" t="s">
        <v>1012</v>
      </c>
      <c r="D1037" s="19" t="s">
        <v>2932</v>
      </c>
      <c r="E1037" s="20" t="s">
        <v>1380</v>
      </c>
      <c r="F1037" s="20" t="s">
        <v>180</v>
      </c>
      <c r="G1037" s="19" t="s">
        <v>1380</v>
      </c>
      <c r="H1037" s="19" t="str">
        <f>VLOOKUP(G1037,'languoid 4.0'!$A$1:$I$24439,2,FALSE)</f>
        <v>indo1319</v>
      </c>
      <c r="I1037" s="19" t="str">
        <f>VLOOKUP(G1037,'languoid 4.0'!$A$1:$I$24439,6,FALSE)</f>
        <v>language</v>
      </c>
      <c r="J1037" s="20" t="s">
        <v>52</v>
      </c>
      <c r="K1037" s="20" t="s">
        <v>38</v>
      </c>
      <c r="L1037" s="20" t="s">
        <v>38</v>
      </c>
      <c r="M1037" s="19"/>
      <c r="N1037" s="19" t="s">
        <v>2933</v>
      </c>
      <c r="O1037" s="20" t="s">
        <v>40</v>
      </c>
      <c r="P1037" s="20" t="s">
        <v>41</v>
      </c>
      <c r="Q1037" s="19" t="s">
        <v>2934</v>
      </c>
      <c r="R1037" s="21" t="s">
        <v>2935</v>
      </c>
      <c r="S1037" s="19" t="s">
        <v>46</v>
      </c>
      <c r="T1037" s="19" t="s">
        <v>635</v>
      </c>
      <c r="U1037" s="19" t="s">
        <v>636</v>
      </c>
      <c r="V1037" s="19" t="s">
        <v>45</v>
      </c>
      <c r="W1037" s="19"/>
      <c r="X1037" s="19"/>
      <c r="Y1037" s="19"/>
      <c r="Z1037" s="19" t="s">
        <v>658</v>
      </c>
      <c r="AA1037" s="19" t="s">
        <v>2936</v>
      </c>
      <c r="AB1037" s="19" t="s">
        <v>46</v>
      </c>
      <c r="AC1037" s="19" t="s">
        <v>46</v>
      </c>
      <c r="AD1037" s="19" t="s">
        <v>2843</v>
      </c>
      <c r="AE1037" s="19" t="s">
        <v>641</v>
      </c>
      <c r="AF1037" s="19" t="s">
        <v>190</v>
      </c>
      <c r="AG1037" s="19">
        <v>5</v>
      </c>
      <c r="AH1037" s="19" t="s">
        <v>190</v>
      </c>
      <c r="AI1037" s="19"/>
      <c r="AJ1037" s="22">
        <v>43438.554328703707</v>
      </c>
      <c r="AK1037" s="19" t="s">
        <v>1023</v>
      </c>
    </row>
    <row r="1038" spans="1:37" s="23" customFormat="1">
      <c r="A1038" s="19" t="str">
        <f>VLOOKUP(H1038,Languages!$A$2:$B$430,2,FALSE)</f>
        <v>Indo-European</v>
      </c>
      <c r="B1038" s="19" t="s">
        <v>35</v>
      </c>
      <c r="C1038" s="19" t="s">
        <v>1012</v>
      </c>
      <c r="D1038" s="19" t="s">
        <v>4485</v>
      </c>
      <c r="E1038" s="20" t="s">
        <v>2845</v>
      </c>
      <c r="F1038" s="20" t="s">
        <v>51</v>
      </c>
      <c r="G1038" s="19" t="s">
        <v>2845</v>
      </c>
      <c r="H1038" s="19" t="str">
        <f>VLOOKUP(G1038,'languoid 4.0'!$A$1:$I$24439,2,FALSE)</f>
        <v>indo1319</v>
      </c>
      <c r="I1038" s="19" t="str">
        <f>VLOOKUP(G1038,'languoid 4.0'!$A$1:$I$24439,6,FALSE)</f>
        <v>language</v>
      </c>
      <c r="J1038" s="20" t="s">
        <v>52</v>
      </c>
      <c r="K1038" s="20" t="s">
        <v>51</v>
      </c>
      <c r="L1038" s="20" t="s">
        <v>51</v>
      </c>
      <c r="M1038" s="19"/>
      <c r="N1038" s="19" t="s">
        <v>2846</v>
      </c>
      <c r="O1038" s="20" t="s">
        <v>40</v>
      </c>
      <c r="P1038" s="20" t="s">
        <v>632</v>
      </c>
      <c r="Q1038" s="19" t="s">
        <v>4486</v>
      </c>
      <c r="R1038" s="21" t="s">
        <v>4487</v>
      </c>
      <c r="S1038" s="19" t="s">
        <v>46</v>
      </c>
      <c r="T1038" s="19" t="s">
        <v>635</v>
      </c>
      <c r="U1038" s="19" t="s">
        <v>636</v>
      </c>
      <c r="V1038" s="19" t="s">
        <v>45</v>
      </c>
      <c r="W1038" s="19"/>
      <c r="X1038" s="19"/>
      <c r="Y1038" s="19"/>
      <c r="Z1038" s="19" t="s">
        <v>658</v>
      </c>
      <c r="AA1038" s="19" t="s">
        <v>4488</v>
      </c>
      <c r="AB1038" s="19" t="s">
        <v>46</v>
      </c>
      <c r="AC1038" s="19" t="s">
        <v>46</v>
      </c>
      <c r="AD1038" s="19"/>
      <c r="AE1038" s="19" t="s">
        <v>641</v>
      </c>
      <c r="AF1038" s="19" t="s">
        <v>190</v>
      </c>
      <c r="AG1038" s="19">
        <v>6</v>
      </c>
      <c r="AH1038" s="19" t="s">
        <v>190</v>
      </c>
      <c r="AI1038" s="19"/>
      <c r="AJ1038" s="22">
        <v>43257.439189814817</v>
      </c>
      <c r="AK1038" s="19" t="s">
        <v>4489</v>
      </c>
    </row>
    <row r="1039" spans="1:37" s="23" customFormat="1">
      <c r="A1039" s="19" t="str">
        <f>VLOOKUP(H1039,Languages!$A$2:$B$430,2,FALSE)</f>
        <v>Indo-European</v>
      </c>
      <c r="B1039" s="19" t="s">
        <v>35</v>
      </c>
      <c r="C1039" s="19" t="s">
        <v>1012</v>
      </c>
      <c r="D1039" s="19" t="s">
        <v>10056</v>
      </c>
      <c r="E1039" s="20" t="s">
        <v>2845</v>
      </c>
      <c r="F1039" s="20" t="s">
        <v>2845</v>
      </c>
      <c r="G1039" s="19" t="s">
        <v>2845</v>
      </c>
      <c r="H1039" s="19" t="str">
        <f>VLOOKUP(G1039,'languoid 4.0'!$A$1:$I$24439,2,FALSE)</f>
        <v>indo1319</v>
      </c>
      <c r="I1039" s="19" t="str">
        <f>VLOOKUP(G1039,'languoid 4.0'!$A$1:$I$24439,6,FALSE)</f>
        <v>language</v>
      </c>
      <c r="J1039" s="20" t="s">
        <v>38</v>
      </c>
      <c r="K1039" s="20" t="s">
        <v>38</v>
      </c>
      <c r="L1039" s="20" t="s">
        <v>38</v>
      </c>
      <c r="M1039" s="19"/>
      <c r="N1039" s="19" t="s">
        <v>2846</v>
      </c>
      <c r="O1039" s="20" t="s">
        <v>40</v>
      </c>
      <c r="P1039" s="20" t="s">
        <v>41</v>
      </c>
      <c r="Q1039" s="19" t="s">
        <v>10057</v>
      </c>
      <c r="R1039" s="21" t="s">
        <v>10058</v>
      </c>
      <c r="S1039" s="19" t="s">
        <v>130</v>
      </c>
      <c r="T1039" s="19" t="s">
        <v>10059</v>
      </c>
      <c r="U1039" s="19" t="s">
        <v>636</v>
      </c>
      <c r="V1039" s="19" t="s">
        <v>45</v>
      </c>
      <c r="W1039" s="19"/>
      <c r="X1039" s="19"/>
      <c r="Y1039" s="19"/>
      <c r="Z1039" s="19" t="s">
        <v>658</v>
      </c>
      <c r="AA1039" s="19" t="s">
        <v>10060</v>
      </c>
      <c r="AB1039" s="19" t="s">
        <v>46</v>
      </c>
      <c r="AC1039" s="19" t="s">
        <v>46</v>
      </c>
      <c r="AD1039" s="19" t="s">
        <v>10061</v>
      </c>
      <c r="AE1039" s="19" t="s">
        <v>641</v>
      </c>
      <c r="AF1039" s="19" t="s">
        <v>190</v>
      </c>
      <c r="AG1039" s="19">
        <v>6</v>
      </c>
      <c r="AH1039" s="19" t="s">
        <v>190</v>
      </c>
      <c r="AI1039" s="19"/>
      <c r="AJ1039" s="22">
        <v>43231.456342592595</v>
      </c>
      <c r="AK1039" s="19" t="s">
        <v>9595</v>
      </c>
    </row>
    <row r="1040" spans="1:37" s="23" customFormat="1">
      <c r="A1040" s="19" t="str">
        <f>VLOOKUP(H1040,Languages!$A$2:$B$430,2,FALSE)</f>
        <v>Indo-European</v>
      </c>
      <c r="B1040" s="19" t="s">
        <v>35</v>
      </c>
      <c r="C1040" s="19" t="s">
        <v>1012</v>
      </c>
      <c r="D1040" s="19" t="s">
        <v>10056</v>
      </c>
      <c r="E1040" s="20" t="s">
        <v>2845</v>
      </c>
      <c r="F1040" s="20" t="s">
        <v>2845</v>
      </c>
      <c r="G1040" s="19" t="s">
        <v>2845</v>
      </c>
      <c r="H1040" s="19" t="str">
        <f>VLOOKUP(G1040,'languoid 4.0'!$A$1:$I$24439,2,FALSE)</f>
        <v>indo1319</v>
      </c>
      <c r="I1040" s="19" t="str">
        <f>VLOOKUP(G1040,'languoid 4.0'!$A$1:$I$24439,6,FALSE)</f>
        <v>language</v>
      </c>
      <c r="J1040" s="20" t="s">
        <v>38</v>
      </c>
      <c r="K1040" s="20" t="s">
        <v>38</v>
      </c>
      <c r="L1040" s="20" t="s">
        <v>38</v>
      </c>
      <c r="M1040" s="19"/>
      <c r="N1040" s="19" t="s">
        <v>2846</v>
      </c>
      <c r="O1040" s="20" t="s">
        <v>40</v>
      </c>
      <c r="P1040" s="20" t="s">
        <v>41</v>
      </c>
      <c r="Q1040" s="19" t="s">
        <v>10062</v>
      </c>
      <c r="R1040" s="21" t="s">
        <v>10058</v>
      </c>
      <c r="S1040" s="19" t="s">
        <v>323</v>
      </c>
      <c r="T1040" s="19" t="s">
        <v>8277</v>
      </c>
      <c r="U1040" s="19" t="s">
        <v>636</v>
      </c>
      <c r="V1040" s="19" t="s">
        <v>45</v>
      </c>
      <c r="W1040" s="19"/>
      <c r="X1040" s="19"/>
      <c r="Y1040" s="19"/>
      <c r="Z1040" s="19" t="s">
        <v>658</v>
      </c>
      <c r="AA1040" s="19" t="s">
        <v>10060</v>
      </c>
      <c r="AB1040" s="19" t="s">
        <v>46</v>
      </c>
      <c r="AC1040" s="19" t="s">
        <v>46</v>
      </c>
      <c r="AD1040" s="19" t="s">
        <v>10063</v>
      </c>
      <c r="AE1040" s="19" t="s">
        <v>641</v>
      </c>
      <c r="AF1040" s="19" t="s">
        <v>190</v>
      </c>
      <c r="AG1040" s="19">
        <v>6</v>
      </c>
      <c r="AH1040" s="19" t="s">
        <v>190</v>
      </c>
      <c r="AI1040" s="19"/>
      <c r="AJ1040" s="22">
        <v>43231.45826388889</v>
      </c>
      <c r="AK1040" s="19" t="s">
        <v>9595</v>
      </c>
    </row>
    <row r="1041" spans="1:37" s="23" customFormat="1">
      <c r="A1041" s="19" t="str">
        <f>VLOOKUP(H1041,Languages!$A$2:$B$430,2,FALSE)</f>
        <v>Indo-European</v>
      </c>
      <c r="B1041" s="19" t="s">
        <v>35</v>
      </c>
      <c r="C1041" s="19" t="s">
        <v>154</v>
      </c>
      <c r="D1041" s="19" t="s">
        <v>6366</v>
      </c>
      <c r="E1041" s="20" t="s">
        <v>239</v>
      </c>
      <c r="F1041" s="20" t="s">
        <v>239</v>
      </c>
      <c r="G1041" s="19" t="s">
        <v>239</v>
      </c>
      <c r="H1041" s="19" t="str">
        <f>VLOOKUP(G1041,'languoid 4.0'!$A$1:$I$24439,2,FALSE)</f>
        <v>indo1319</v>
      </c>
      <c r="I1041" s="19" t="str">
        <f>VLOOKUP(G1041,'languoid 4.0'!$A$1:$I$24439,6,FALSE)</f>
        <v>language</v>
      </c>
      <c r="J1041" s="20" t="s">
        <v>38</v>
      </c>
      <c r="K1041" s="20" t="s">
        <v>38</v>
      </c>
      <c r="L1041" s="20" t="s">
        <v>38</v>
      </c>
      <c r="M1041" s="19"/>
      <c r="N1041" s="19" t="s">
        <v>269</v>
      </c>
      <c r="O1041" s="20" t="s">
        <v>40</v>
      </c>
      <c r="P1041" s="20" t="s">
        <v>41</v>
      </c>
      <c r="Q1041" s="19" t="s">
        <v>6376</v>
      </c>
      <c r="R1041" s="21" t="s">
        <v>6377</v>
      </c>
      <c r="S1041" s="19" t="s">
        <v>6378</v>
      </c>
      <c r="T1041" s="19" t="s">
        <v>657</v>
      </c>
      <c r="U1041" s="19" t="s">
        <v>636</v>
      </c>
      <c r="V1041" s="19" t="s">
        <v>45</v>
      </c>
      <c r="W1041" s="19"/>
      <c r="X1041" s="19"/>
      <c r="Y1041" s="19"/>
      <c r="Z1041" s="19" t="s">
        <v>658</v>
      </c>
      <c r="AA1041" s="19" t="s">
        <v>46</v>
      </c>
      <c r="AB1041" s="19" t="s">
        <v>46</v>
      </c>
      <c r="AC1041" s="19" t="s">
        <v>46</v>
      </c>
      <c r="AD1041" s="19"/>
      <c r="AE1041" s="19" t="s">
        <v>641</v>
      </c>
      <c r="AF1041" s="19" t="s">
        <v>190</v>
      </c>
      <c r="AG1041" s="19">
        <v>6</v>
      </c>
      <c r="AH1041" s="19" t="s">
        <v>190</v>
      </c>
      <c r="AI1041" s="19"/>
      <c r="AJ1041" s="22">
        <v>43288.921550925923</v>
      </c>
      <c r="AK1041" s="19" t="s">
        <v>6365</v>
      </c>
    </row>
    <row r="1042" spans="1:37" s="23" customFormat="1">
      <c r="A1042" s="19" t="str">
        <f>VLOOKUP(H1042,Languages!$A$2:$B$430,2,FALSE)</f>
        <v>Indo-European</v>
      </c>
      <c r="B1042" s="19" t="s">
        <v>35</v>
      </c>
      <c r="C1042" s="19" t="s">
        <v>154</v>
      </c>
      <c r="D1042" s="19" t="s">
        <v>6412</v>
      </c>
      <c r="E1042" s="20" t="s">
        <v>239</v>
      </c>
      <c r="F1042" s="20" t="s">
        <v>239</v>
      </c>
      <c r="G1042" s="19" t="s">
        <v>239</v>
      </c>
      <c r="H1042" s="19" t="str">
        <f>VLOOKUP(G1042,'languoid 4.0'!$A$1:$I$24439,2,FALSE)</f>
        <v>indo1319</v>
      </c>
      <c r="I1042" s="19" t="str">
        <f>VLOOKUP(G1042,'languoid 4.0'!$A$1:$I$24439,6,FALSE)</f>
        <v>language</v>
      </c>
      <c r="J1042" s="20" t="s">
        <v>38</v>
      </c>
      <c r="K1042" s="20" t="s">
        <v>38</v>
      </c>
      <c r="L1042" s="20" t="s">
        <v>38</v>
      </c>
      <c r="M1042" s="19"/>
      <c r="N1042" s="19" t="s">
        <v>269</v>
      </c>
      <c r="O1042" s="20" t="s">
        <v>40</v>
      </c>
      <c r="P1042" s="20" t="s">
        <v>41</v>
      </c>
      <c r="Q1042" s="19" t="s">
        <v>6413</v>
      </c>
      <c r="R1042" s="21" t="s">
        <v>4918</v>
      </c>
      <c r="S1042" s="19" t="s">
        <v>6414</v>
      </c>
      <c r="T1042" s="19" t="s">
        <v>657</v>
      </c>
      <c r="U1042" s="19" t="s">
        <v>636</v>
      </c>
      <c r="V1042" s="19" t="s">
        <v>45</v>
      </c>
      <c r="W1042" s="19"/>
      <c r="X1042" s="19"/>
      <c r="Y1042" s="19"/>
      <c r="Z1042" s="19" t="s">
        <v>637</v>
      </c>
      <c r="AA1042" s="19" t="s">
        <v>6415</v>
      </c>
      <c r="AB1042" s="19" t="s">
        <v>6416</v>
      </c>
      <c r="AC1042" s="19" t="s">
        <v>46</v>
      </c>
      <c r="AD1042" s="19"/>
      <c r="AE1042" s="19" t="s">
        <v>641</v>
      </c>
      <c r="AF1042" s="19" t="s">
        <v>190</v>
      </c>
      <c r="AG1042" s="19">
        <v>6</v>
      </c>
      <c r="AH1042" s="19" t="s">
        <v>190</v>
      </c>
      <c r="AI1042" s="19"/>
      <c r="AJ1042" s="22">
        <v>43319.655266203707</v>
      </c>
      <c r="AK1042" s="19" t="s">
        <v>6365</v>
      </c>
    </row>
    <row r="1043" spans="1:37" s="23" customFormat="1">
      <c r="A1043" s="19" t="str">
        <f>VLOOKUP(H1043,Languages!$A$2:$B$430,2,FALSE)</f>
        <v>Indo-European</v>
      </c>
      <c r="B1043" s="19" t="s">
        <v>35</v>
      </c>
      <c r="C1043" s="19" t="s">
        <v>154</v>
      </c>
      <c r="D1043" s="19" t="s">
        <v>6366</v>
      </c>
      <c r="E1043" s="20" t="s">
        <v>239</v>
      </c>
      <c r="F1043" s="20" t="s">
        <v>239</v>
      </c>
      <c r="G1043" s="19" t="s">
        <v>239</v>
      </c>
      <c r="H1043" s="19" t="str">
        <f>VLOOKUP(G1043,'languoid 4.0'!$A$1:$I$24439,2,FALSE)</f>
        <v>indo1319</v>
      </c>
      <c r="I1043" s="19" t="str">
        <f>VLOOKUP(G1043,'languoid 4.0'!$A$1:$I$24439,6,FALSE)</f>
        <v>language</v>
      </c>
      <c r="J1043" s="20" t="s">
        <v>38</v>
      </c>
      <c r="K1043" s="20" t="s">
        <v>38</v>
      </c>
      <c r="L1043" s="20" t="s">
        <v>38</v>
      </c>
      <c r="M1043" s="19"/>
      <c r="N1043" s="19" t="s">
        <v>269</v>
      </c>
      <c r="O1043" s="20" t="s">
        <v>40</v>
      </c>
      <c r="P1043" s="20" t="s">
        <v>41</v>
      </c>
      <c r="Q1043" s="19" t="s">
        <v>6417</v>
      </c>
      <c r="R1043" s="21" t="s">
        <v>6418</v>
      </c>
      <c r="S1043" s="19" t="s">
        <v>5684</v>
      </c>
      <c r="T1043" s="19" t="s">
        <v>657</v>
      </c>
      <c r="U1043" s="19" t="s">
        <v>636</v>
      </c>
      <c r="V1043" s="19" t="s">
        <v>45</v>
      </c>
      <c r="W1043" s="19"/>
      <c r="X1043" s="19"/>
      <c r="Y1043" s="19"/>
      <c r="Z1043" s="19" t="s">
        <v>637</v>
      </c>
      <c r="AA1043" s="19" t="s">
        <v>6419</v>
      </c>
      <c r="AB1043" s="19" t="s">
        <v>6420</v>
      </c>
      <c r="AC1043" s="19" t="s">
        <v>46</v>
      </c>
      <c r="AD1043" s="19"/>
      <c r="AE1043" s="19" t="s">
        <v>641</v>
      </c>
      <c r="AF1043" s="19" t="s">
        <v>190</v>
      </c>
      <c r="AG1043" s="19">
        <v>6</v>
      </c>
      <c r="AH1043" s="19" t="s">
        <v>190</v>
      </c>
      <c r="AI1043" s="19"/>
      <c r="AJ1043" s="22">
        <v>43319.657824074071</v>
      </c>
      <c r="AK1043" s="19" t="s">
        <v>6365</v>
      </c>
    </row>
    <row r="1044" spans="1:37" s="23" customFormat="1">
      <c r="A1044" s="19" t="str">
        <f>VLOOKUP(H1044,Languages!$A$2:$B$430,2,FALSE)</f>
        <v>Indo-European</v>
      </c>
      <c r="B1044" s="19" t="s">
        <v>35</v>
      </c>
      <c r="C1044" s="19" t="s">
        <v>4965</v>
      </c>
      <c r="D1044" s="19" t="s">
        <v>5819</v>
      </c>
      <c r="E1044" s="20" t="s">
        <v>4619</v>
      </c>
      <c r="F1044" s="20" t="s">
        <v>5820</v>
      </c>
      <c r="G1044" s="19" t="s">
        <v>4619</v>
      </c>
      <c r="H1044" s="19" t="str">
        <f>VLOOKUP(G1044,'languoid 4.0'!$A$1:$I$24439,2,FALSE)</f>
        <v>indo1319</v>
      </c>
      <c r="I1044" s="19" t="str">
        <f>VLOOKUP(G1044,'languoid 4.0'!$A$1:$I$24439,6,FALSE)</f>
        <v>language</v>
      </c>
      <c r="J1044" s="20" t="s">
        <v>52</v>
      </c>
      <c r="K1044" s="20" t="s">
        <v>52</v>
      </c>
      <c r="L1044" s="20" t="s">
        <v>52</v>
      </c>
      <c r="M1044" s="19"/>
      <c r="N1044" s="19" t="s">
        <v>4620</v>
      </c>
      <c r="O1044" s="20" t="s">
        <v>40</v>
      </c>
      <c r="P1044" s="20" t="s">
        <v>41</v>
      </c>
      <c r="Q1044" s="19" t="s">
        <v>5821</v>
      </c>
      <c r="R1044" s="21" t="s">
        <v>5822</v>
      </c>
      <c r="S1044" s="19" t="s">
        <v>5823</v>
      </c>
      <c r="T1044" s="19" t="s">
        <v>657</v>
      </c>
      <c r="U1044" s="19" t="s">
        <v>636</v>
      </c>
      <c r="V1044" s="19" t="s">
        <v>45</v>
      </c>
      <c r="W1044" s="19"/>
      <c r="X1044" s="19"/>
      <c r="Y1044" s="19"/>
      <c r="Z1044" s="19" t="s">
        <v>658</v>
      </c>
      <c r="AA1044" s="19" t="s">
        <v>5824</v>
      </c>
      <c r="AB1044" s="19" t="s">
        <v>46</v>
      </c>
      <c r="AC1044" s="19" t="s">
        <v>46</v>
      </c>
      <c r="AD1044" s="19" t="s">
        <v>5825</v>
      </c>
      <c r="AE1044" s="19" t="s">
        <v>641</v>
      </c>
      <c r="AF1044" s="19" t="s">
        <v>190</v>
      </c>
      <c r="AG1044" s="19">
        <v>1</v>
      </c>
      <c r="AH1044" s="19" t="s">
        <v>190</v>
      </c>
      <c r="AI1044" s="19"/>
      <c r="AJ1044" s="19" t="s">
        <v>5826</v>
      </c>
      <c r="AK1044" s="19" t="s">
        <v>4975</v>
      </c>
    </row>
    <row r="1045" spans="1:37" s="23" customFormat="1">
      <c r="A1045" s="19" t="str">
        <f>VLOOKUP(H1045,Languages!$A$2:$B$430,2,FALSE)</f>
        <v>Indo-European</v>
      </c>
      <c r="B1045" s="19" t="s">
        <v>35</v>
      </c>
      <c r="C1045" s="19" t="s">
        <v>4965</v>
      </c>
      <c r="D1045" s="19" t="s">
        <v>7618</v>
      </c>
      <c r="E1045" s="20" t="s">
        <v>4991</v>
      </c>
      <c r="F1045" s="20" t="s">
        <v>5820</v>
      </c>
      <c r="G1045" s="19" t="s">
        <v>4991</v>
      </c>
      <c r="H1045" s="19" t="str">
        <f>VLOOKUP(G1045,'languoid 4.0'!$A$1:$I$24439,2,FALSE)</f>
        <v>indo1319</v>
      </c>
      <c r="I1045" s="19" t="str">
        <f>VLOOKUP(G1045,'languoid 4.0'!$A$1:$I$24439,6,FALSE)</f>
        <v>language</v>
      </c>
      <c r="J1045" s="20" t="s">
        <v>52</v>
      </c>
      <c r="K1045" s="20" t="s">
        <v>52</v>
      </c>
      <c r="L1045" s="20" t="s">
        <v>52</v>
      </c>
      <c r="M1045" s="19"/>
      <c r="N1045" s="19" t="s">
        <v>7399</v>
      </c>
      <c r="O1045" s="20" t="s">
        <v>40</v>
      </c>
      <c r="P1045" s="20" t="s">
        <v>41</v>
      </c>
      <c r="Q1045" s="19" t="s">
        <v>7619</v>
      </c>
      <c r="R1045" s="21" t="s">
        <v>7620</v>
      </c>
      <c r="S1045" s="19" t="s">
        <v>7621</v>
      </c>
      <c r="T1045" s="19" t="s">
        <v>7598</v>
      </c>
      <c r="U1045" s="19" t="s">
        <v>636</v>
      </c>
      <c r="V1045" s="19" t="s">
        <v>45</v>
      </c>
      <c r="W1045" s="19"/>
      <c r="X1045" s="19"/>
      <c r="Y1045" s="19"/>
      <c r="Z1045" s="19" t="s">
        <v>1893</v>
      </c>
      <c r="AA1045" s="19" t="s">
        <v>7622</v>
      </c>
      <c r="AB1045" s="19" t="s">
        <v>46</v>
      </c>
      <c r="AC1045" s="19" t="s">
        <v>7623</v>
      </c>
      <c r="AD1045" s="19" t="s">
        <v>46</v>
      </c>
      <c r="AE1045" s="19" t="s">
        <v>641</v>
      </c>
      <c r="AF1045" s="19" t="s">
        <v>190</v>
      </c>
      <c r="AG1045" s="19">
        <v>6</v>
      </c>
      <c r="AH1045" s="19" t="s">
        <v>190</v>
      </c>
      <c r="AI1045" s="19"/>
      <c r="AJ1045" s="19" t="s">
        <v>7624</v>
      </c>
      <c r="AK1045" s="19" t="s">
        <v>4975</v>
      </c>
    </row>
    <row r="1046" spans="1:37" s="23" customFormat="1">
      <c r="A1046" s="19" t="str">
        <f>VLOOKUP(H1046,Languages!$A$2:$B$430,2,FALSE)</f>
        <v>Indo-European</v>
      </c>
      <c r="B1046" s="19" t="s">
        <v>35</v>
      </c>
      <c r="C1046" s="19" t="s">
        <v>10200</v>
      </c>
      <c r="D1046" s="19" t="s">
        <v>10301</v>
      </c>
      <c r="E1046" s="20" t="s">
        <v>10209</v>
      </c>
      <c r="F1046" s="20" t="s">
        <v>10209</v>
      </c>
      <c r="G1046" s="19" t="s">
        <v>10209</v>
      </c>
      <c r="H1046" s="19" t="str">
        <f>VLOOKUP(G1046,'languoid 4.0'!$A$1:$I$24439,2,FALSE)</f>
        <v>indo1319</v>
      </c>
      <c r="I1046" s="19" t="str">
        <f>VLOOKUP(G1046,'languoid 4.0'!$A$1:$I$24439,6,FALSE)</f>
        <v>language</v>
      </c>
      <c r="J1046" s="20" t="s">
        <v>38</v>
      </c>
      <c r="K1046" s="20" t="s">
        <v>38</v>
      </c>
      <c r="L1046" s="20" t="s">
        <v>38</v>
      </c>
      <c r="M1046" s="19"/>
      <c r="N1046" s="19" t="s">
        <v>10256</v>
      </c>
      <c r="O1046" s="20" t="s">
        <v>40</v>
      </c>
      <c r="P1046" s="20" t="s">
        <v>41</v>
      </c>
      <c r="Q1046" s="19" t="s">
        <v>10302</v>
      </c>
      <c r="R1046" s="21" t="s">
        <v>10303</v>
      </c>
      <c r="S1046" s="19" t="s">
        <v>46</v>
      </c>
      <c r="T1046" s="19" t="s">
        <v>635</v>
      </c>
      <c r="U1046" s="19" t="s">
        <v>636</v>
      </c>
      <c r="V1046" s="19" t="s">
        <v>45</v>
      </c>
      <c r="W1046" s="19"/>
      <c r="X1046" s="19"/>
      <c r="Y1046" s="19"/>
      <c r="Z1046" s="19" t="s">
        <v>673</v>
      </c>
      <c r="AA1046" s="19" t="s">
        <v>46</v>
      </c>
      <c r="AB1046" s="19" t="s">
        <v>10304</v>
      </c>
      <c r="AC1046" s="19" t="s">
        <v>46</v>
      </c>
      <c r="AD1046" s="19"/>
      <c r="AE1046" s="19" t="s">
        <v>641</v>
      </c>
      <c r="AF1046" s="19" t="s">
        <v>190</v>
      </c>
      <c r="AG1046" s="19">
        <v>6</v>
      </c>
      <c r="AH1046" s="19" t="s">
        <v>190</v>
      </c>
      <c r="AI1046" s="19"/>
      <c r="AJ1046" s="19" t="s">
        <v>10305</v>
      </c>
      <c r="AK1046" s="19" t="s">
        <v>4945</v>
      </c>
    </row>
    <row r="1047" spans="1:37" s="23" customFormat="1">
      <c r="A1047" s="19" t="str">
        <f>VLOOKUP(H1047,Languages!$A$2:$B$430,2,FALSE)</f>
        <v>Indo-European</v>
      </c>
      <c r="B1047" s="19" t="s">
        <v>35</v>
      </c>
      <c r="C1047" s="19" t="s">
        <v>10200</v>
      </c>
      <c r="D1047" s="19" t="s">
        <v>10614</v>
      </c>
      <c r="E1047" s="20" t="s">
        <v>10209</v>
      </c>
      <c r="F1047" s="20" t="s">
        <v>10209</v>
      </c>
      <c r="G1047" s="19" t="s">
        <v>10209</v>
      </c>
      <c r="H1047" s="19" t="str">
        <f>VLOOKUP(G1047,'languoid 4.0'!$A$1:$I$24439,2,FALSE)</f>
        <v>indo1319</v>
      </c>
      <c r="I1047" s="19" t="str">
        <f>VLOOKUP(G1047,'languoid 4.0'!$A$1:$I$24439,6,FALSE)</f>
        <v>language</v>
      </c>
      <c r="J1047" s="20" t="s">
        <v>38</v>
      </c>
      <c r="K1047" s="20" t="s">
        <v>38</v>
      </c>
      <c r="L1047" s="20" t="s">
        <v>38</v>
      </c>
      <c r="M1047" s="19"/>
      <c r="N1047" s="19" t="s">
        <v>10256</v>
      </c>
      <c r="O1047" s="20" t="s">
        <v>40</v>
      </c>
      <c r="P1047" s="20" t="s">
        <v>41</v>
      </c>
      <c r="Q1047" s="19" t="s">
        <v>10615</v>
      </c>
      <c r="R1047" s="21" t="s">
        <v>10616</v>
      </c>
      <c r="S1047" s="19" t="s">
        <v>351</v>
      </c>
      <c r="T1047" s="19" t="s">
        <v>10617</v>
      </c>
      <c r="U1047" s="19" t="s">
        <v>636</v>
      </c>
      <c r="V1047" s="19" t="s">
        <v>45</v>
      </c>
      <c r="W1047" s="19"/>
      <c r="X1047" s="19"/>
      <c r="Y1047" s="19"/>
      <c r="Z1047" s="19" t="s">
        <v>673</v>
      </c>
      <c r="AA1047" s="19" t="s">
        <v>46</v>
      </c>
      <c r="AB1047" s="19" t="s">
        <v>10618</v>
      </c>
      <c r="AC1047" s="19" t="s">
        <v>46</v>
      </c>
      <c r="AD1047" s="19"/>
      <c r="AE1047" s="19" t="s">
        <v>641</v>
      </c>
      <c r="AF1047" s="19" t="s">
        <v>190</v>
      </c>
      <c r="AG1047" s="19">
        <v>6</v>
      </c>
      <c r="AH1047" s="19" t="s">
        <v>190</v>
      </c>
      <c r="AI1047" s="19"/>
      <c r="AJ1047" s="19" t="s">
        <v>10619</v>
      </c>
      <c r="AK1047" s="19" t="s">
        <v>4945</v>
      </c>
    </row>
    <row r="1048" spans="1:37" s="23" customFormat="1">
      <c r="A1048" s="19" t="str">
        <f>VLOOKUP(H1048,Languages!$A$2:$B$430,2,FALSE)</f>
        <v>Indo-European</v>
      </c>
      <c r="B1048" s="19" t="s">
        <v>35</v>
      </c>
      <c r="C1048" s="19" t="s">
        <v>10200</v>
      </c>
      <c r="D1048" s="19" t="s">
        <v>10625</v>
      </c>
      <c r="E1048" s="20" t="s">
        <v>10626</v>
      </c>
      <c r="F1048" s="20" t="s">
        <v>10626</v>
      </c>
      <c r="G1048" s="19" t="s">
        <v>10626</v>
      </c>
      <c r="H1048" s="19" t="str">
        <f>VLOOKUP(G1048,'languoid 4.0'!$A$1:$I$24439,2,FALSE)</f>
        <v>indo1319</v>
      </c>
      <c r="I1048" s="19" t="str">
        <f>VLOOKUP(G1048,'languoid 4.0'!$A$1:$I$24439,6,FALSE)</f>
        <v>language</v>
      </c>
      <c r="J1048" s="20" t="s">
        <v>38</v>
      </c>
      <c r="K1048" s="20" t="s">
        <v>38</v>
      </c>
      <c r="L1048" s="20" t="s">
        <v>38</v>
      </c>
      <c r="M1048" s="19"/>
      <c r="N1048" s="19" t="s">
        <v>10627</v>
      </c>
      <c r="O1048" s="20" t="s">
        <v>40</v>
      </c>
      <c r="P1048" s="20" t="s">
        <v>41</v>
      </c>
      <c r="Q1048" s="19" t="s">
        <v>10628</v>
      </c>
      <c r="R1048" s="21" t="s">
        <v>10629</v>
      </c>
      <c r="S1048" s="19" t="s">
        <v>359</v>
      </c>
      <c r="T1048" s="19" t="s">
        <v>10617</v>
      </c>
      <c r="U1048" s="19" t="s">
        <v>636</v>
      </c>
      <c r="V1048" s="19" t="s">
        <v>45</v>
      </c>
      <c r="W1048" s="19"/>
      <c r="X1048" s="19"/>
      <c r="Y1048" s="19"/>
      <c r="Z1048" s="19" t="s">
        <v>658</v>
      </c>
      <c r="AA1048" s="19" t="s">
        <v>10630</v>
      </c>
      <c r="AB1048" s="19" t="s">
        <v>46</v>
      </c>
      <c r="AC1048" s="19" t="s">
        <v>46</v>
      </c>
      <c r="AD1048" s="19"/>
      <c r="AE1048" s="19" t="s">
        <v>641</v>
      </c>
      <c r="AF1048" s="19" t="s">
        <v>190</v>
      </c>
      <c r="AG1048" s="19">
        <v>6</v>
      </c>
      <c r="AH1048" s="19" t="s">
        <v>190</v>
      </c>
      <c r="AI1048" s="19"/>
      <c r="AJ1048" s="19" t="s">
        <v>10631</v>
      </c>
      <c r="AK1048" s="19" t="s">
        <v>4945</v>
      </c>
    </row>
    <row r="1049" spans="1:37" s="23" customFormat="1">
      <c r="A1049" s="19" t="str">
        <f>VLOOKUP(H1049,Languages!$A$2:$B$430,2,FALSE)</f>
        <v>Indo-European</v>
      </c>
      <c r="B1049" s="19" t="s">
        <v>35</v>
      </c>
      <c r="C1049" s="19" t="s">
        <v>5463</v>
      </c>
      <c r="D1049" s="19" t="s">
        <v>6827</v>
      </c>
      <c r="E1049" s="20" t="s">
        <v>239</v>
      </c>
      <c r="F1049" s="20" t="s">
        <v>51</v>
      </c>
      <c r="G1049" s="19" t="s">
        <v>239</v>
      </c>
      <c r="H1049" s="19" t="str">
        <f>VLOOKUP(G1049,'languoid 4.0'!$A$1:$I$24439,2,FALSE)</f>
        <v>indo1319</v>
      </c>
      <c r="I1049" s="19" t="str">
        <f>VLOOKUP(G1049,'languoid 4.0'!$A$1:$I$24439,6,FALSE)</f>
        <v>language</v>
      </c>
      <c r="J1049" s="20" t="s">
        <v>52</v>
      </c>
      <c r="K1049" s="20" t="s">
        <v>51</v>
      </c>
      <c r="L1049" s="20" t="s">
        <v>51</v>
      </c>
      <c r="M1049" s="19"/>
      <c r="N1049" s="19" t="s">
        <v>269</v>
      </c>
      <c r="O1049" s="20" t="s">
        <v>40</v>
      </c>
      <c r="P1049" s="20" t="s">
        <v>41</v>
      </c>
      <c r="Q1049" s="19" t="s">
        <v>6828</v>
      </c>
      <c r="R1049" s="21" t="s">
        <v>6829</v>
      </c>
      <c r="S1049" s="19" t="s">
        <v>6830</v>
      </c>
      <c r="T1049" s="19" t="s">
        <v>1689</v>
      </c>
      <c r="U1049" s="19" t="s">
        <v>636</v>
      </c>
      <c r="V1049" s="19" t="s">
        <v>45</v>
      </c>
      <c r="W1049" s="19"/>
      <c r="X1049" s="19"/>
      <c r="Y1049" s="19"/>
      <c r="Z1049" s="19" t="s">
        <v>658</v>
      </c>
      <c r="AA1049" s="19" t="s">
        <v>6831</v>
      </c>
      <c r="AB1049" s="19" t="s">
        <v>46</v>
      </c>
      <c r="AC1049" s="19" t="s">
        <v>46</v>
      </c>
      <c r="AD1049" s="19"/>
      <c r="AE1049" s="19"/>
      <c r="AF1049" s="19"/>
      <c r="AG1049" s="19"/>
      <c r="AH1049" s="19" t="s">
        <v>45</v>
      </c>
      <c r="AI1049" s="19"/>
      <c r="AJ1049" s="19" t="s">
        <v>6832</v>
      </c>
      <c r="AK1049" s="19" t="s">
        <v>5472</v>
      </c>
    </row>
    <row r="1050" spans="1:37" s="23" customFormat="1">
      <c r="A1050" s="19" t="str">
        <f>VLOOKUP(H1050,Languages!$A$2:$B$430,2,FALSE)</f>
        <v>Indo-European</v>
      </c>
      <c r="B1050" s="19" t="s">
        <v>35</v>
      </c>
      <c r="C1050" s="19" t="s">
        <v>1405</v>
      </c>
      <c r="D1050" s="19" t="s">
        <v>1435</v>
      </c>
      <c r="E1050" s="20" t="s">
        <v>1407</v>
      </c>
      <c r="F1050" s="20" t="s">
        <v>1407</v>
      </c>
      <c r="G1050" s="19" t="s">
        <v>1407</v>
      </c>
      <c r="H1050" s="19" t="str">
        <f>VLOOKUP(G1050,'languoid 4.0'!$A$1:$I$24439,2,FALSE)</f>
        <v>indo1319</v>
      </c>
      <c r="I1050" s="19" t="str">
        <f>VLOOKUP(G1050,'languoid 4.0'!$A$1:$I$24439,6,FALSE)</f>
        <v>language</v>
      </c>
      <c r="J1050" s="20" t="s">
        <v>38</v>
      </c>
      <c r="K1050" s="20" t="s">
        <v>38</v>
      </c>
      <c r="L1050" s="20" t="s">
        <v>38</v>
      </c>
      <c r="M1050" s="19"/>
      <c r="N1050" s="19" t="s">
        <v>1409</v>
      </c>
      <c r="O1050" s="20" t="s">
        <v>40</v>
      </c>
      <c r="P1050" s="20" t="s">
        <v>41</v>
      </c>
      <c r="Q1050" s="19" t="s">
        <v>1436</v>
      </c>
      <c r="R1050" s="21" t="s">
        <v>1437</v>
      </c>
      <c r="S1050" s="19" t="s">
        <v>1021</v>
      </c>
      <c r="T1050" s="19" t="s">
        <v>635</v>
      </c>
      <c r="U1050" s="19" t="s">
        <v>636</v>
      </c>
      <c r="V1050" s="19" t="s">
        <v>45</v>
      </c>
      <c r="W1050" s="19"/>
      <c r="X1050" s="19"/>
      <c r="Y1050" s="19"/>
      <c r="Z1050" s="19" t="s">
        <v>637</v>
      </c>
      <c r="AA1050" s="19" t="s">
        <v>1438</v>
      </c>
      <c r="AB1050" s="19" t="s">
        <v>1439</v>
      </c>
      <c r="AC1050" s="19" t="s">
        <v>1021</v>
      </c>
      <c r="AD1050" s="19" t="s">
        <v>1440</v>
      </c>
      <c r="AE1050" s="19" t="s">
        <v>641</v>
      </c>
      <c r="AF1050" s="19" t="s">
        <v>190</v>
      </c>
      <c r="AG1050" s="19">
        <v>4</v>
      </c>
      <c r="AH1050" s="19" t="s">
        <v>190</v>
      </c>
      <c r="AI1050" s="19"/>
      <c r="AJ1050" s="19" t="s">
        <v>1441</v>
      </c>
      <c r="AK1050" s="19" t="s">
        <v>740</v>
      </c>
    </row>
    <row r="1051" spans="1:37" s="23" customFormat="1">
      <c r="A1051" s="19" t="str">
        <f>VLOOKUP(H1051,Languages!$A$2:$B$430,2,FALSE)</f>
        <v>Indo-European</v>
      </c>
      <c r="B1051" s="19" t="s">
        <v>35</v>
      </c>
      <c r="C1051" s="19" t="s">
        <v>1405</v>
      </c>
      <c r="D1051" s="19" t="s">
        <v>1442</v>
      </c>
      <c r="E1051" s="20" t="s">
        <v>1407</v>
      </c>
      <c r="F1051" s="20" t="s">
        <v>1407</v>
      </c>
      <c r="G1051" s="19" t="s">
        <v>1407</v>
      </c>
      <c r="H1051" s="19" t="str">
        <f>VLOOKUP(G1051,'languoid 4.0'!$A$1:$I$24439,2,FALSE)</f>
        <v>indo1319</v>
      </c>
      <c r="I1051" s="19" t="str">
        <f>VLOOKUP(G1051,'languoid 4.0'!$A$1:$I$24439,6,FALSE)</f>
        <v>language</v>
      </c>
      <c r="J1051" s="20" t="s">
        <v>38</v>
      </c>
      <c r="K1051" s="20" t="s">
        <v>38</v>
      </c>
      <c r="L1051" s="20" t="s">
        <v>38</v>
      </c>
      <c r="M1051" s="19"/>
      <c r="N1051" s="19" t="s">
        <v>1409</v>
      </c>
      <c r="O1051" s="20" t="s">
        <v>40</v>
      </c>
      <c r="P1051" s="20" t="s">
        <v>41</v>
      </c>
      <c r="Q1051" s="19" t="s">
        <v>1436</v>
      </c>
      <c r="R1051" s="21" t="s">
        <v>1443</v>
      </c>
      <c r="S1051" s="19" t="s">
        <v>1021</v>
      </c>
      <c r="T1051" s="19" t="s">
        <v>635</v>
      </c>
      <c r="U1051" s="19" t="s">
        <v>636</v>
      </c>
      <c r="V1051" s="19" t="s">
        <v>45</v>
      </c>
      <c r="W1051" s="19"/>
      <c r="X1051" s="19"/>
      <c r="Y1051" s="19"/>
      <c r="Z1051" s="19" t="s">
        <v>637</v>
      </c>
      <c r="AA1051" s="19" t="s">
        <v>1444</v>
      </c>
      <c r="AB1051" s="19" t="s">
        <v>1445</v>
      </c>
      <c r="AC1051" s="19" t="s">
        <v>1021</v>
      </c>
      <c r="AD1051" s="19" t="s">
        <v>1446</v>
      </c>
      <c r="AE1051" s="19" t="s">
        <v>641</v>
      </c>
      <c r="AF1051" s="19" t="s">
        <v>190</v>
      </c>
      <c r="AG1051" s="19">
        <v>4</v>
      </c>
      <c r="AH1051" s="19" t="s">
        <v>190</v>
      </c>
      <c r="AI1051" s="19"/>
      <c r="AJ1051" s="19" t="s">
        <v>1447</v>
      </c>
      <c r="AK1051" s="19" t="s">
        <v>740</v>
      </c>
    </row>
    <row r="1052" spans="1:37" s="23" customFormat="1">
      <c r="A1052" s="19" t="str">
        <f>VLOOKUP(H1052,Languages!$A$2:$B$430,2,FALSE)</f>
        <v>Indo-European</v>
      </c>
      <c r="B1052" s="19" t="s">
        <v>35</v>
      </c>
      <c r="C1052" s="19" t="s">
        <v>1405</v>
      </c>
      <c r="D1052" s="19" t="s">
        <v>1481</v>
      </c>
      <c r="E1052" s="20" t="s">
        <v>1482</v>
      </c>
      <c r="F1052" s="20" t="s">
        <v>1482</v>
      </c>
      <c r="G1052" s="19" t="s">
        <v>1482</v>
      </c>
      <c r="H1052" s="19" t="str">
        <f>VLOOKUP(G1052,'languoid 4.0'!$A$1:$I$24439,2,FALSE)</f>
        <v>indo1319</v>
      </c>
      <c r="I1052" s="19" t="str">
        <f>VLOOKUP(G1052,'languoid 4.0'!$A$1:$I$24439,6,FALSE)</f>
        <v>language</v>
      </c>
      <c r="J1052" s="20" t="s">
        <v>38</v>
      </c>
      <c r="K1052" s="20" t="s">
        <v>38</v>
      </c>
      <c r="L1052" s="20" t="s">
        <v>38</v>
      </c>
      <c r="M1052" s="19"/>
      <c r="N1052" s="19" t="s">
        <v>1483</v>
      </c>
      <c r="O1052" s="20" t="s">
        <v>40</v>
      </c>
      <c r="P1052" s="20" t="s">
        <v>41</v>
      </c>
      <c r="Q1052" s="19" t="s">
        <v>1495</v>
      </c>
      <c r="R1052" s="21" t="s">
        <v>1496</v>
      </c>
      <c r="S1052" s="19" t="s">
        <v>1497</v>
      </c>
      <c r="T1052" s="19" t="s">
        <v>718</v>
      </c>
      <c r="U1052" s="19" t="s">
        <v>636</v>
      </c>
      <c r="V1052" s="19" t="s">
        <v>45</v>
      </c>
      <c r="W1052" s="19"/>
      <c r="X1052" s="19"/>
      <c r="Y1052" s="19"/>
      <c r="Z1052" s="19" t="s">
        <v>887</v>
      </c>
      <c r="AA1052" s="19" t="s">
        <v>1498</v>
      </c>
      <c r="AB1052" s="19" t="s">
        <v>1021</v>
      </c>
      <c r="AC1052" s="19" t="s">
        <v>1499</v>
      </c>
      <c r="AD1052" s="19" t="s">
        <v>1500</v>
      </c>
      <c r="AE1052" s="19" t="s">
        <v>641</v>
      </c>
      <c r="AF1052" s="19" t="s">
        <v>190</v>
      </c>
      <c r="AG1052" s="19">
        <v>6</v>
      </c>
      <c r="AH1052" s="19" t="s">
        <v>190</v>
      </c>
      <c r="AI1052" s="19"/>
      <c r="AJ1052" s="19" t="s">
        <v>1501</v>
      </c>
      <c r="AK1052" s="19" t="s">
        <v>740</v>
      </c>
    </row>
    <row r="1053" spans="1:37" s="23" customFormat="1">
      <c r="A1053" s="19" t="str">
        <f>VLOOKUP(H1053,Languages!$A$2:$B$430,2,FALSE)</f>
        <v>Indo-European</v>
      </c>
      <c r="B1053" s="19" t="s">
        <v>35</v>
      </c>
      <c r="C1053" s="19" t="s">
        <v>1405</v>
      </c>
      <c r="D1053" s="19" t="s">
        <v>1512</v>
      </c>
      <c r="E1053" s="20" t="s">
        <v>1513</v>
      </c>
      <c r="F1053" s="20" t="s">
        <v>51</v>
      </c>
      <c r="G1053" s="19" t="s">
        <v>1513</v>
      </c>
      <c r="H1053" s="19" t="str">
        <f>VLOOKUP(G1053,'languoid 4.0'!$A$1:$I$24439,2,FALSE)</f>
        <v>indo1319</v>
      </c>
      <c r="I1053" s="19" t="str">
        <f>VLOOKUP(G1053,'languoid 4.0'!$A$1:$I$24439,6,FALSE)</f>
        <v>language</v>
      </c>
      <c r="J1053" s="20" t="s">
        <v>52</v>
      </c>
      <c r="K1053" s="20" t="s">
        <v>51</v>
      </c>
      <c r="L1053" s="20" t="s">
        <v>51</v>
      </c>
      <c r="M1053" s="19"/>
      <c r="N1053" s="19" t="s">
        <v>1514</v>
      </c>
      <c r="O1053" s="20" t="s">
        <v>40</v>
      </c>
      <c r="P1053" s="20" t="s">
        <v>41</v>
      </c>
      <c r="Q1053" s="19" t="s">
        <v>1515</v>
      </c>
      <c r="R1053" s="21" t="s">
        <v>1516</v>
      </c>
      <c r="S1053" s="19" t="s">
        <v>1517</v>
      </c>
      <c r="T1053" s="19" t="s">
        <v>718</v>
      </c>
      <c r="U1053" s="19" t="s">
        <v>636</v>
      </c>
      <c r="V1053" s="19" t="s">
        <v>45</v>
      </c>
      <c r="W1053" s="19"/>
      <c r="X1053" s="19"/>
      <c r="Y1053" s="19"/>
      <c r="Z1053" s="19" t="s">
        <v>887</v>
      </c>
      <c r="AA1053" s="19" t="s">
        <v>1518</v>
      </c>
      <c r="AB1053" s="19" t="s">
        <v>1021</v>
      </c>
      <c r="AC1053" s="19" t="s">
        <v>1519</v>
      </c>
      <c r="AD1053" s="19" t="s">
        <v>1520</v>
      </c>
      <c r="AE1053" s="19" t="s">
        <v>641</v>
      </c>
      <c r="AF1053" s="19" t="s">
        <v>190</v>
      </c>
      <c r="AG1053" s="19">
        <v>6</v>
      </c>
      <c r="AH1053" s="19" t="s">
        <v>190</v>
      </c>
      <c r="AI1053" s="19"/>
      <c r="AJ1053" s="19" t="s">
        <v>1521</v>
      </c>
      <c r="AK1053" s="19" t="s">
        <v>740</v>
      </c>
    </row>
    <row r="1054" spans="1:37" s="23" customFormat="1">
      <c r="A1054" s="19" t="str">
        <f>VLOOKUP(H1054,Languages!$A$2:$B$430,2,FALSE)</f>
        <v>Indo-European</v>
      </c>
      <c r="B1054" s="19" t="s">
        <v>35</v>
      </c>
      <c r="C1054" s="19" t="s">
        <v>1405</v>
      </c>
      <c r="D1054" s="19" t="s">
        <v>1481</v>
      </c>
      <c r="E1054" s="20" t="s">
        <v>1482</v>
      </c>
      <c r="F1054" s="20" t="s">
        <v>1482</v>
      </c>
      <c r="G1054" s="19" t="s">
        <v>1482</v>
      </c>
      <c r="H1054" s="19" t="str">
        <f>VLOOKUP(G1054,'languoid 4.0'!$A$1:$I$24439,2,FALSE)</f>
        <v>indo1319</v>
      </c>
      <c r="I1054" s="19" t="str">
        <f>VLOOKUP(G1054,'languoid 4.0'!$A$1:$I$24439,6,FALSE)</f>
        <v>language</v>
      </c>
      <c r="J1054" s="20" t="s">
        <v>38</v>
      </c>
      <c r="K1054" s="20" t="s">
        <v>38</v>
      </c>
      <c r="L1054" s="20" t="s">
        <v>38</v>
      </c>
      <c r="M1054" s="19"/>
      <c r="N1054" s="19" t="s">
        <v>1483</v>
      </c>
      <c r="O1054" s="20" t="s">
        <v>40</v>
      </c>
      <c r="P1054" s="20" t="s">
        <v>41</v>
      </c>
      <c r="Q1054" s="19" t="s">
        <v>1540</v>
      </c>
      <c r="R1054" s="21" t="s">
        <v>1541</v>
      </c>
      <c r="S1054" s="19" t="s">
        <v>647</v>
      </c>
      <c r="T1054" s="19" t="s">
        <v>718</v>
      </c>
      <c r="U1054" s="19" t="s">
        <v>636</v>
      </c>
      <c r="V1054" s="19" t="s">
        <v>45</v>
      </c>
      <c r="W1054" s="19"/>
      <c r="X1054" s="19"/>
      <c r="Y1054" s="19"/>
      <c r="Z1054" s="19" t="s">
        <v>658</v>
      </c>
      <c r="AA1054" s="19" t="s">
        <v>1542</v>
      </c>
      <c r="AB1054" s="19" t="s">
        <v>1543</v>
      </c>
      <c r="AC1054" s="19" t="s">
        <v>1021</v>
      </c>
      <c r="AD1054" s="19" t="s">
        <v>1544</v>
      </c>
      <c r="AE1054" s="19" t="s">
        <v>641</v>
      </c>
      <c r="AF1054" s="19" t="s">
        <v>190</v>
      </c>
      <c r="AG1054" s="19">
        <v>6</v>
      </c>
      <c r="AH1054" s="19" t="s">
        <v>190</v>
      </c>
      <c r="AI1054" s="19"/>
      <c r="AJ1054" s="19" t="s">
        <v>1545</v>
      </c>
      <c r="AK1054" s="19" t="s">
        <v>740</v>
      </c>
    </row>
    <row r="1055" spans="1:37" s="23" customFormat="1">
      <c r="A1055" s="19" t="str">
        <f>VLOOKUP(H1055,Languages!$A$2:$B$430,2,FALSE)</f>
        <v>Indo-European</v>
      </c>
      <c r="B1055" s="19" t="s">
        <v>35</v>
      </c>
      <c r="C1055" s="19" t="s">
        <v>267</v>
      </c>
      <c r="D1055" s="19" t="s">
        <v>8467</v>
      </c>
      <c r="E1055" s="20" t="s">
        <v>239</v>
      </c>
      <c r="F1055" s="20" t="s">
        <v>239</v>
      </c>
      <c r="G1055" s="19" t="s">
        <v>239</v>
      </c>
      <c r="H1055" s="19" t="str">
        <f>VLOOKUP(G1055,'languoid 4.0'!$A$1:$I$24439,2,FALSE)</f>
        <v>indo1319</v>
      </c>
      <c r="I1055" s="19" t="str">
        <f>VLOOKUP(G1055,'languoid 4.0'!$A$1:$I$24439,6,FALSE)</f>
        <v>language</v>
      </c>
      <c r="J1055" s="20" t="s">
        <v>38</v>
      </c>
      <c r="K1055" s="20" t="s">
        <v>38</v>
      </c>
      <c r="L1055" s="20" t="s">
        <v>38</v>
      </c>
      <c r="M1055" s="19"/>
      <c r="N1055" s="19" t="s">
        <v>269</v>
      </c>
      <c r="O1055" s="20" t="s">
        <v>40</v>
      </c>
      <c r="P1055" s="20" t="s">
        <v>41</v>
      </c>
      <c r="Q1055" s="19" t="s">
        <v>8468</v>
      </c>
      <c r="R1055" s="21" t="s">
        <v>4918</v>
      </c>
      <c r="S1055" s="19">
        <v>201</v>
      </c>
      <c r="T1055" s="19" t="s">
        <v>657</v>
      </c>
      <c r="U1055" s="19" t="s">
        <v>636</v>
      </c>
      <c r="V1055" s="19" t="s">
        <v>45</v>
      </c>
      <c r="W1055" s="19"/>
      <c r="X1055" s="19"/>
      <c r="Y1055" s="19"/>
      <c r="Z1055" s="19" t="s">
        <v>887</v>
      </c>
      <c r="AA1055" s="19" t="s">
        <v>8469</v>
      </c>
      <c r="AB1055" s="19" t="s">
        <v>46</v>
      </c>
      <c r="AC1055" s="19" t="s">
        <v>8470</v>
      </c>
      <c r="AD1055" s="19" t="s">
        <v>8471</v>
      </c>
      <c r="AE1055" s="19" t="s">
        <v>641</v>
      </c>
      <c r="AF1055" s="19" t="s">
        <v>190</v>
      </c>
      <c r="AG1055" s="19">
        <v>5</v>
      </c>
      <c r="AH1055" s="19" t="s">
        <v>190</v>
      </c>
      <c r="AI1055" s="19"/>
      <c r="AJ1055" s="22">
        <v>43168.003923611112</v>
      </c>
      <c r="AK1055" s="19" t="s">
        <v>5908</v>
      </c>
    </row>
    <row r="1056" spans="1:37" s="23" customFormat="1">
      <c r="A1056" s="19" t="str">
        <f>VLOOKUP(H1056,Languages!$A$2:$B$430,2,FALSE)</f>
        <v>Indo-European</v>
      </c>
      <c r="B1056" s="19" t="s">
        <v>35</v>
      </c>
      <c r="C1056" s="19" t="s">
        <v>159</v>
      </c>
      <c r="D1056" s="19" t="s">
        <v>160</v>
      </c>
      <c r="E1056" s="20" t="s">
        <v>161</v>
      </c>
      <c r="F1056" s="20" t="s">
        <v>161</v>
      </c>
      <c r="G1056" s="19" t="s">
        <v>161</v>
      </c>
      <c r="H1056" s="19" t="str">
        <f>VLOOKUP(G1056,'languoid 4.0'!$A$1:$I$24439,2,FALSE)</f>
        <v>indo1319</v>
      </c>
      <c r="I1056" s="19" t="str">
        <f>VLOOKUP(G1056,'languoid 4.0'!$A$1:$I$24439,6,FALSE)</f>
        <v>family</v>
      </c>
      <c r="J1056" s="20" t="s">
        <v>38</v>
      </c>
      <c r="K1056" s="20" t="s">
        <v>38</v>
      </c>
      <c r="L1056" s="20" t="s">
        <v>38</v>
      </c>
      <c r="M1056" s="19"/>
      <c r="N1056" s="19" t="s">
        <v>162</v>
      </c>
      <c r="O1056" s="20" t="s">
        <v>113</v>
      </c>
      <c r="P1056" s="20" t="s">
        <v>41</v>
      </c>
      <c r="Q1056" s="19" t="s">
        <v>163</v>
      </c>
      <c r="R1056" s="21" t="s">
        <v>164</v>
      </c>
      <c r="S1056" s="19" t="s">
        <v>165</v>
      </c>
      <c r="T1056" s="19" t="s">
        <v>44</v>
      </c>
      <c r="U1056" s="19"/>
      <c r="V1056" s="19" t="s">
        <v>45</v>
      </c>
      <c r="W1056" s="19"/>
      <c r="X1056" s="19"/>
      <c r="Y1056" s="19"/>
      <c r="Z1056" s="19"/>
      <c r="AA1056" s="19">
        <v>14</v>
      </c>
      <c r="AB1056" s="19">
        <v>14</v>
      </c>
      <c r="AC1056" s="19">
        <v>14</v>
      </c>
      <c r="AD1056" s="19"/>
      <c r="AE1056" s="19"/>
      <c r="AF1056" s="19"/>
      <c r="AG1056" s="19"/>
      <c r="AH1056" s="19"/>
      <c r="AI1056" s="19"/>
      <c r="AJ1056" s="22">
        <v>43102.732175925928</v>
      </c>
      <c r="AK1056" s="19" t="s">
        <v>57</v>
      </c>
    </row>
    <row r="1057" spans="1:37" s="23" customFormat="1">
      <c r="A1057" s="19" t="str">
        <f>VLOOKUP(H1057,Languages!$A$2:$B$430,2,FALSE)</f>
        <v>Indo-European</v>
      </c>
      <c r="B1057" s="19" t="s">
        <v>35</v>
      </c>
      <c r="C1057" s="19" t="s">
        <v>419</v>
      </c>
      <c r="D1057" s="19" t="s">
        <v>9280</v>
      </c>
      <c r="E1057" s="20" t="s">
        <v>239</v>
      </c>
      <c r="F1057" s="20" t="s">
        <v>239</v>
      </c>
      <c r="G1057" s="19" t="s">
        <v>239</v>
      </c>
      <c r="H1057" s="19" t="str">
        <f>VLOOKUP(G1057,'languoid 4.0'!$A$1:$I$24439,2,FALSE)</f>
        <v>indo1319</v>
      </c>
      <c r="I1057" s="19" t="str">
        <f>VLOOKUP(G1057,'languoid 4.0'!$A$1:$I$24439,6,FALSE)</f>
        <v>language</v>
      </c>
      <c r="J1057" s="20" t="s">
        <v>38</v>
      </c>
      <c r="K1057" s="20" t="s">
        <v>38</v>
      </c>
      <c r="L1057" s="20" t="s">
        <v>38</v>
      </c>
      <c r="M1057" s="19"/>
      <c r="N1057" s="19" t="s">
        <v>269</v>
      </c>
      <c r="O1057" s="20" t="s">
        <v>40</v>
      </c>
      <c r="P1057" s="20" t="s">
        <v>41</v>
      </c>
      <c r="Q1057" s="19" t="s">
        <v>9281</v>
      </c>
      <c r="R1057" s="21" t="s">
        <v>9282</v>
      </c>
      <c r="S1057" s="19" t="s">
        <v>9283</v>
      </c>
      <c r="T1057" s="19" t="s">
        <v>754</v>
      </c>
      <c r="U1057" s="19" t="s">
        <v>636</v>
      </c>
      <c r="V1057" s="19" t="s">
        <v>45</v>
      </c>
      <c r="W1057" s="19"/>
      <c r="X1057" s="19"/>
      <c r="Y1057" s="19"/>
      <c r="Z1057" s="19" t="s">
        <v>1151</v>
      </c>
      <c r="AA1057" s="19" t="s">
        <v>46</v>
      </c>
      <c r="AB1057" s="19" t="s">
        <v>9284</v>
      </c>
      <c r="AC1057" s="19" t="s">
        <v>9285</v>
      </c>
      <c r="AD1057" s="19" t="s">
        <v>9286</v>
      </c>
      <c r="AE1057" s="19" t="s">
        <v>641</v>
      </c>
      <c r="AF1057" s="19" t="s">
        <v>190</v>
      </c>
      <c r="AG1057" s="19">
        <v>5</v>
      </c>
      <c r="AH1057" s="19" t="s">
        <v>190</v>
      </c>
      <c r="AI1057" s="19"/>
      <c r="AJ1057" s="19" t="s">
        <v>9287</v>
      </c>
      <c r="AK1057" s="19" t="s">
        <v>8989</v>
      </c>
    </row>
    <row r="1058" spans="1:37" s="23" customFormat="1">
      <c r="A1058" s="19" t="str">
        <f>VLOOKUP(H1058,Languages!$A$2:$B$430,2,FALSE)</f>
        <v>Indo-European</v>
      </c>
      <c r="B1058" s="19" t="s">
        <v>35</v>
      </c>
      <c r="C1058" s="19" t="s">
        <v>419</v>
      </c>
      <c r="D1058" s="19" t="s">
        <v>9288</v>
      </c>
      <c r="E1058" s="20" t="s">
        <v>239</v>
      </c>
      <c r="F1058" s="20" t="s">
        <v>239</v>
      </c>
      <c r="G1058" s="19" t="s">
        <v>239</v>
      </c>
      <c r="H1058" s="19" t="str">
        <f>VLOOKUP(G1058,'languoid 4.0'!$A$1:$I$24439,2,FALSE)</f>
        <v>indo1319</v>
      </c>
      <c r="I1058" s="19" t="str">
        <f>VLOOKUP(G1058,'languoid 4.0'!$A$1:$I$24439,6,FALSE)</f>
        <v>language</v>
      </c>
      <c r="J1058" s="20" t="s">
        <v>38</v>
      </c>
      <c r="K1058" s="20" t="s">
        <v>38</v>
      </c>
      <c r="L1058" s="20" t="s">
        <v>38</v>
      </c>
      <c r="M1058" s="19"/>
      <c r="N1058" s="19" t="s">
        <v>269</v>
      </c>
      <c r="O1058" s="20" t="s">
        <v>40</v>
      </c>
      <c r="P1058" s="20" t="s">
        <v>41</v>
      </c>
      <c r="Q1058" s="19" t="s">
        <v>9289</v>
      </c>
      <c r="R1058" s="21" t="s">
        <v>9282</v>
      </c>
      <c r="S1058" s="19" t="s">
        <v>9290</v>
      </c>
      <c r="T1058" s="19" t="s">
        <v>754</v>
      </c>
      <c r="U1058" s="19" t="s">
        <v>636</v>
      </c>
      <c r="V1058" s="19" t="s">
        <v>45</v>
      </c>
      <c r="W1058" s="19"/>
      <c r="X1058" s="19"/>
      <c r="Y1058" s="19"/>
      <c r="Z1058" s="19" t="s">
        <v>673</v>
      </c>
      <c r="AA1058" s="19" t="s">
        <v>46</v>
      </c>
      <c r="AB1058" s="19" t="s">
        <v>9291</v>
      </c>
      <c r="AC1058" s="19" t="s">
        <v>9292</v>
      </c>
      <c r="AD1058" s="19"/>
      <c r="AE1058" s="19" t="s">
        <v>641</v>
      </c>
      <c r="AF1058" s="19" t="s">
        <v>190</v>
      </c>
      <c r="AG1058" s="19">
        <v>5</v>
      </c>
      <c r="AH1058" s="19" t="s">
        <v>190</v>
      </c>
      <c r="AI1058" s="19"/>
      <c r="AJ1058" s="19" t="s">
        <v>9293</v>
      </c>
      <c r="AK1058" s="19" t="s">
        <v>8989</v>
      </c>
    </row>
    <row r="1059" spans="1:37" s="23" customFormat="1">
      <c r="A1059" s="19" t="str">
        <f>VLOOKUP(H1059,Languages!$A$2:$B$430,2,FALSE)</f>
        <v>Indo-European</v>
      </c>
      <c r="B1059" s="19" t="s">
        <v>35</v>
      </c>
      <c r="C1059" s="19" t="s">
        <v>249</v>
      </c>
      <c r="D1059" s="19" t="s">
        <v>10560</v>
      </c>
      <c r="E1059" s="20" t="s">
        <v>10561</v>
      </c>
      <c r="F1059" s="20" t="s">
        <v>10576</v>
      </c>
      <c r="G1059" s="19" t="s">
        <v>10561</v>
      </c>
      <c r="H1059" s="19" t="str">
        <f>VLOOKUP(G1059,'languoid 4.0'!$A$1:$I$24439,2,FALSE)</f>
        <v>indo1319</v>
      </c>
      <c r="I1059" s="19" t="str">
        <f>VLOOKUP(G1059,'languoid 4.0'!$A$1:$I$24439,6,FALSE)</f>
        <v>language</v>
      </c>
      <c r="J1059" s="20" t="s">
        <v>52</v>
      </c>
      <c r="K1059" s="20" t="s">
        <v>38</v>
      </c>
      <c r="L1059" s="20" t="s">
        <v>38</v>
      </c>
      <c r="M1059" s="19"/>
      <c r="N1059" s="19" t="s">
        <v>10562</v>
      </c>
      <c r="O1059" s="20" t="s">
        <v>40</v>
      </c>
      <c r="P1059" s="20" t="s">
        <v>41</v>
      </c>
      <c r="Q1059" s="19" t="s">
        <v>10577</v>
      </c>
      <c r="R1059" s="21" t="s">
        <v>10578</v>
      </c>
      <c r="S1059" s="19" t="s">
        <v>46</v>
      </c>
      <c r="T1059" s="19" t="s">
        <v>10572</v>
      </c>
      <c r="U1059" s="19" t="s">
        <v>636</v>
      </c>
      <c r="V1059" s="19" t="s">
        <v>45</v>
      </c>
      <c r="W1059" s="19"/>
      <c r="X1059" s="19"/>
      <c r="Y1059" s="19"/>
      <c r="Z1059" s="19" t="s">
        <v>658</v>
      </c>
      <c r="AA1059" s="19" t="s">
        <v>10579</v>
      </c>
      <c r="AB1059" s="19" t="s">
        <v>46</v>
      </c>
      <c r="AC1059" s="19" t="s">
        <v>46</v>
      </c>
      <c r="AD1059" s="21" t="s">
        <v>10580</v>
      </c>
      <c r="AE1059" s="19" t="s">
        <v>641</v>
      </c>
      <c r="AF1059" s="19" t="s">
        <v>190</v>
      </c>
      <c r="AG1059" s="19">
        <v>6</v>
      </c>
      <c r="AH1059" s="19" t="s">
        <v>190</v>
      </c>
      <c r="AI1059" s="19"/>
      <c r="AJ1059" s="19" t="s">
        <v>10581</v>
      </c>
      <c r="AK1059" s="19" t="s">
        <v>5640</v>
      </c>
    </row>
    <row r="1060" spans="1:37" s="23" customFormat="1">
      <c r="A1060" s="19" t="str">
        <f>VLOOKUP(H1060,Languages!$A$2:$B$430,2,FALSE)</f>
        <v>Indo-European</v>
      </c>
      <c r="B1060" s="19" t="s">
        <v>35</v>
      </c>
      <c r="C1060" s="19" t="s">
        <v>249</v>
      </c>
      <c r="D1060" s="19" t="s">
        <v>10560</v>
      </c>
      <c r="E1060" s="20" t="s">
        <v>10561</v>
      </c>
      <c r="F1060" s="20" t="s">
        <v>10589</v>
      </c>
      <c r="G1060" s="19" t="s">
        <v>10561</v>
      </c>
      <c r="H1060" s="19" t="str">
        <f>VLOOKUP(G1060,'languoid 4.0'!$A$1:$I$24439,2,FALSE)</f>
        <v>indo1319</v>
      </c>
      <c r="I1060" s="19" t="str">
        <f>VLOOKUP(G1060,'languoid 4.0'!$A$1:$I$24439,6,FALSE)</f>
        <v>language</v>
      </c>
      <c r="J1060" s="20" t="s">
        <v>52</v>
      </c>
      <c r="K1060" s="20" t="s">
        <v>38</v>
      </c>
      <c r="L1060" s="20" t="s">
        <v>38</v>
      </c>
      <c r="M1060" s="19"/>
      <c r="N1060" s="19" t="s">
        <v>10562</v>
      </c>
      <c r="O1060" s="20" t="s">
        <v>40</v>
      </c>
      <c r="P1060" s="20" t="s">
        <v>41</v>
      </c>
      <c r="Q1060" s="19" t="s">
        <v>10590</v>
      </c>
      <c r="R1060" s="21" t="s">
        <v>10591</v>
      </c>
      <c r="S1060" s="19" t="s">
        <v>46</v>
      </c>
      <c r="T1060" s="19" t="s">
        <v>10592</v>
      </c>
      <c r="U1060" s="19" t="s">
        <v>636</v>
      </c>
      <c r="V1060" s="19" t="s">
        <v>45</v>
      </c>
      <c r="W1060" s="19"/>
      <c r="X1060" s="19"/>
      <c r="Y1060" s="19"/>
      <c r="Z1060" s="19" t="s">
        <v>658</v>
      </c>
      <c r="AA1060" s="19" t="s">
        <v>10593</v>
      </c>
      <c r="AB1060" s="19" t="s">
        <v>46</v>
      </c>
      <c r="AC1060" s="19" t="s">
        <v>46</v>
      </c>
      <c r="AD1060" s="21" t="s">
        <v>10594</v>
      </c>
      <c r="AE1060" s="19" t="s">
        <v>641</v>
      </c>
      <c r="AF1060" s="19" t="s">
        <v>190</v>
      </c>
      <c r="AG1060" s="19">
        <v>6</v>
      </c>
      <c r="AH1060" s="19" t="s">
        <v>190</v>
      </c>
      <c r="AI1060" s="19"/>
      <c r="AJ1060" s="19" t="s">
        <v>10595</v>
      </c>
      <c r="AK1060" s="19" t="s">
        <v>5640</v>
      </c>
    </row>
    <row r="1061" spans="1:37" s="23" customFormat="1">
      <c r="A1061" s="19" t="str">
        <f>VLOOKUP(H1061,Languages!$A$2:$B$430,2,FALSE)</f>
        <v>Indo-European</v>
      </c>
      <c r="B1061" s="19" t="s">
        <v>35</v>
      </c>
      <c r="C1061" s="19" t="s">
        <v>249</v>
      </c>
      <c r="D1061" s="19" t="s">
        <v>11479</v>
      </c>
      <c r="E1061" s="20" t="s">
        <v>11480</v>
      </c>
      <c r="F1061" s="20" t="s">
        <v>11480</v>
      </c>
      <c r="G1061" s="19" t="s">
        <v>11480</v>
      </c>
      <c r="H1061" s="19" t="str">
        <f>VLOOKUP(G1061,'languoid 4.0'!$A$1:$I$24439,2,FALSE)</f>
        <v>indo1319</v>
      </c>
      <c r="I1061" s="19" t="str">
        <f>VLOOKUP(G1061,'languoid 4.0'!$A$1:$I$24439,6,FALSE)</f>
        <v>language</v>
      </c>
      <c r="J1061" s="20" t="s">
        <v>38</v>
      </c>
      <c r="K1061" s="20" t="s">
        <v>38</v>
      </c>
      <c r="L1061" s="20" t="s">
        <v>38</v>
      </c>
      <c r="M1061" s="19"/>
      <c r="N1061" s="19" t="s">
        <v>11481</v>
      </c>
      <c r="O1061" s="20" t="s">
        <v>40</v>
      </c>
      <c r="P1061" s="20" t="s">
        <v>41</v>
      </c>
      <c r="Q1061" s="19" t="s">
        <v>35</v>
      </c>
      <c r="R1061" s="21" t="s">
        <v>11482</v>
      </c>
      <c r="S1061" s="19" t="s">
        <v>1596</v>
      </c>
      <c r="T1061" s="19" t="s">
        <v>657</v>
      </c>
      <c r="U1061" s="19" t="s">
        <v>636</v>
      </c>
      <c r="V1061" s="19" t="s">
        <v>45</v>
      </c>
      <c r="W1061" s="19"/>
      <c r="X1061" s="19"/>
      <c r="Y1061" s="19"/>
      <c r="Z1061" s="19" t="s">
        <v>658</v>
      </c>
      <c r="AA1061" s="19" t="s">
        <v>11483</v>
      </c>
      <c r="AB1061" s="19" t="s">
        <v>46</v>
      </c>
      <c r="AC1061" s="19" t="s">
        <v>46</v>
      </c>
      <c r="AD1061" s="19"/>
      <c r="AE1061" s="19" t="s">
        <v>641</v>
      </c>
      <c r="AF1061" s="19" t="s">
        <v>190</v>
      </c>
      <c r="AG1061" s="19">
        <v>6</v>
      </c>
      <c r="AH1061" s="19" t="s">
        <v>190</v>
      </c>
      <c r="AI1061" s="19"/>
      <c r="AJ1061" s="22">
        <v>43525.545590277776</v>
      </c>
      <c r="AK1061" s="19" t="s">
        <v>5640</v>
      </c>
    </row>
    <row r="1062" spans="1:37" s="23" customFormat="1">
      <c r="A1062" s="19" t="str">
        <f>VLOOKUP(H1062,Languages!$A$2:$B$430,2,FALSE)</f>
        <v>Indo-European</v>
      </c>
      <c r="B1062" s="19" t="s">
        <v>35</v>
      </c>
      <c r="C1062" s="19" t="s">
        <v>249</v>
      </c>
      <c r="D1062" s="19" t="s">
        <v>11473</v>
      </c>
      <c r="E1062" s="20" t="s">
        <v>11474</v>
      </c>
      <c r="F1062" s="20" t="s">
        <v>11474</v>
      </c>
      <c r="G1062" s="19" t="s">
        <v>11474</v>
      </c>
      <c r="H1062" s="19" t="str">
        <f>VLOOKUP(G1062,'languoid 4.0'!$A$1:$I$24439,2,FALSE)</f>
        <v>indo1319</v>
      </c>
      <c r="I1062" s="19" t="str">
        <f>VLOOKUP(G1062,'languoid 4.0'!$A$1:$I$24439,6,FALSE)</f>
        <v>language</v>
      </c>
      <c r="J1062" s="20" t="s">
        <v>38</v>
      </c>
      <c r="K1062" s="20" t="s">
        <v>38</v>
      </c>
      <c r="L1062" s="20" t="s">
        <v>38</v>
      </c>
      <c r="M1062" s="19"/>
      <c r="N1062" s="19" t="s">
        <v>11475</v>
      </c>
      <c r="O1062" s="20" t="s">
        <v>40</v>
      </c>
      <c r="P1062" s="20" t="s">
        <v>41</v>
      </c>
      <c r="Q1062" s="19" t="s">
        <v>11522</v>
      </c>
      <c r="R1062" s="21" t="s">
        <v>11523</v>
      </c>
      <c r="S1062" s="19" t="s">
        <v>4821</v>
      </c>
      <c r="T1062" s="19" t="s">
        <v>657</v>
      </c>
      <c r="U1062" s="19" t="s">
        <v>636</v>
      </c>
      <c r="V1062" s="19" t="s">
        <v>45</v>
      </c>
      <c r="W1062" s="19"/>
      <c r="X1062" s="19"/>
      <c r="Y1062" s="19"/>
      <c r="Z1062" s="19" t="s">
        <v>673</v>
      </c>
      <c r="AA1062" s="19" t="s">
        <v>46</v>
      </c>
      <c r="AB1062" s="19" t="s">
        <v>46</v>
      </c>
      <c r="AC1062" s="19" t="s">
        <v>11524</v>
      </c>
      <c r="AD1062" s="19"/>
      <c r="AE1062" s="19" t="s">
        <v>641</v>
      </c>
      <c r="AF1062" s="19" t="s">
        <v>190</v>
      </c>
      <c r="AG1062" s="19">
        <v>6</v>
      </c>
      <c r="AH1062" s="19" t="s">
        <v>190</v>
      </c>
      <c r="AI1062" s="19"/>
      <c r="AJ1062" s="22">
        <v>43525.899351851855</v>
      </c>
      <c r="AK1062" s="19" t="s">
        <v>5640</v>
      </c>
    </row>
    <row r="1063" spans="1:37" s="23" customFormat="1">
      <c r="A1063" s="19" t="str">
        <f>VLOOKUP(H1063,Languages!$A$2:$B$430,2,FALSE)</f>
        <v>Indo-European</v>
      </c>
      <c r="B1063" s="19" t="s">
        <v>35</v>
      </c>
      <c r="C1063" s="19" t="s">
        <v>124</v>
      </c>
      <c r="D1063" s="19" t="s">
        <v>292</v>
      </c>
      <c r="E1063" s="20" t="s">
        <v>293</v>
      </c>
      <c r="F1063" s="20" t="s">
        <v>294</v>
      </c>
      <c r="G1063" s="19" t="s">
        <v>293</v>
      </c>
      <c r="H1063" s="19" t="str">
        <f>VLOOKUP(G1063,'languoid 4.0'!$A$1:$I$24439,2,FALSE)</f>
        <v>indo1319</v>
      </c>
      <c r="I1063" s="19" t="str">
        <f>VLOOKUP(G1063,'languoid 4.0'!$A$1:$I$24439,6,FALSE)</f>
        <v>language</v>
      </c>
      <c r="J1063" s="20" t="s">
        <v>52</v>
      </c>
      <c r="K1063" s="20" t="s">
        <v>52</v>
      </c>
      <c r="L1063" s="20" t="s">
        <v>38</v>
      </c>
      <c r="M1063" s="19"/>
      <c r="N1063" s="19" t="s">
        <v>295</v>
      </c>
      <c r="O1063" s="20" t="s">
        <v>40</v>
      </c>
      <c r="P1063" s="20" t="s">
        <v>41</v>
      </c>
      <c r="Q1063" s="19" t="s">
        <v>296</v>
      </c>
      <c r="R1063" s="21" t="s">
        <v>297</v>
      </c>
      <c r="S1063" s="19" t="s">
        <v>225</v>
      </c>
      <c r="T1063" s="19" t="s">
        <v>44</v>
      </c>
      <c r="U1063" s="19"/>
      <c r="V1063" s="19" t="s">
        <v>45</v>
      </c>
      <c r="W1063" s="19"/>
      <c r="X1063" s="19"/>
      <c r="Y1063" s="19"/>
      <c r="Z1063" s="19"/>
      <c r="AA1063" s="19">
        <v>2</v>
      </c>
      <c r="AB1063" s="19">
        <v>2</v>
      </c>
      <c r="AC1063" s="19" t="s">
        <v>46</v>
      </c>
      <c r="AD1063" s="19"/>
      <c r="AE1063" s="19"/>
      <c r="AF1063" s="19"/>
      <c r="AG1063" s="19"/>
      <c r="AH1063" s="19"/>
      <c r="AI1063" s="19"/>
      <c r="AJ1063" s="22">
        <v>43102.74046296296</v>
      </c>
      <c r="AK1063" s="19" t="s">
        <v>57</v>
      </c>
    </row>
    <row r="1064" spans="1:37" s="23" customFormat="1">
      <c r="A1064" s="19" t="str">
        <f>VLOOKUP(H1064,Languages!$A$2:$B$430,2,FALSE)</f>
        <v>Indo-European</v>
      </c>
      <c r="B1064" s="19" t="s">
        <v>35</v>
      </c>
      <c r="C1064" s="19" t="s">
        <v>124</v>
      </c>
      <c r="D1064" s="19" t="s">
        <v>1288</v>
      </c>
      <c r="E1064" s="20" t="s">
        <v>1289</v>
      </c>
      <c r="F1064" s="20" t="s">
        <v>1290</v>
      </c>
      <c r="G1064" s="19" t="s">
        <v>1289</v>
      </c>
      <c r="H1064" s="19" t="str">
        <f>VLOOKUP(G1064,'languoid 4.0'!$A$1:$I$24439,2,FALSE)</f>
        <v>indo1319</v>
      </c>
      <c r="I1064" s="19" t="str">
        <f>VLOOKUP(G1064,'languoid 4.0'!$A$1:$I$24439,6,FALSE)</f>
        <v>language</v>
      </c>
      <c r="J1064" s="20" t="s">
        <v>52</v>
      </c>
      <c r="K1064" s="20" t="s">
        <v>38</v>
      </c>
      <c r="L1064" s="20" t="s">
        <v>38</v>
      </c>
      <c r="M1064" s="19"/>
      <c r="N1064" s="19" t="s">
        <v>1291</v>
      </c>
      <c r="O1064" s="20" t="s">
        <v>40</v>
      </c>
      <c r="P1064" s="20" t="s">
        <v>632</v>
      </c>
      <c r="Q1064" s="19" t="s">
        <v>35</v>
      </c>
      <c r="R1064" s="21" t="s">
        <v>1292</v>
      </c>
      <c r="S1064" s="19" t="s">
        <v>46</v>
      </c>
      <c r="T1064" s="19" t="s">
        <v>635</v>
      </c>
      <c r="U1064" s="19" t="s">
        <v>636</v>
      </c>
      <c r="V1064" s="19" t="s">
        <v>45</v>
      </c>
      <c r="W1064" s="19"/>
      <c r="X1064" s="19"/>
      <c r="Y1064" s="19"/>
      <c r="Z1064" s="19" t="s">
        <v>658</v>
      </c>
      <c r="AA1064" s="19" t="s">
        <v>1293</v>
      </c>
      <c r="AB1064" s="19" t="s">
        <v>46</v>
      </c>
      <c r="AC1064" s="19" t="s">
        <v>46</v>
      </c>
      <c r="AD1064" s="19" t="s">
        <v>1294</v>
      </c>
      <c r="AE1064" s="19" t="s">
        <v>641</v>
      </c>
      <c r="AF1064" s="19" t="s">
        <v>190</v>
      </c>
      <c r="AG1064" s="19">
        <v>6</v>
      </c>
      <c r="AH1064" s="19" t="s">
        <v>190</v>
      </c>
      <c r="AI1064" s="19"/>
      <c r="AJ1064" s="19" t="s">
        <v>1295</v>
      </c>
      <c r="AK1064" s="19" t="s">
        <v>1126</v>
      </c>
    </row>
    <row r="1065" spans="1:37" s="23" customFormat="1">
      <c r="A1065" s="19" t="str">
        <f>VLOOKUP(H1065,Languages!$A$2:$B$430,2,FALSE)</f>
        <v>Indo-European</v>
      </c>
      <c r="B1065" s="19" t="s">
        <v>35</v>
      </c>
      <c r="C1065" s="19" t="s">
        <v>124</v>
      </c>
      <c r="D1065" s="19" t="s">
        <v>2272</v>
      </c>
      <c r="E1065" s="20" t="s">
        <v>51</v>
      </c>
      <c r="F1065" s="20" t="s">
        <v>2273</v>
      </c>
      <c r="G1065" s="19" t="s">
        <v>2273</v>
      </c>
      <c r="H1065" s="19" t="str">
        <f>VLOOKUP(G1065,'languoid 4.0'!$A$1:$I$24439,2,FALSE)</f>
        <v>indo1319</v>
      </c>
      <c r="I1065" s="19" t="str">
        <f>VLOOKUP(G1065,'languoid 4.0'!$A$1:$I$24439,6,FALSE)</f>
        <v>language</v>
      </c>
      <c r="J1065" s="20" t="s">
        <v>52</v>
      </c>
      <c r="K1065" s="20" t="s">
        <v>51</v>
      </c>
      <c r="L1065" s="20" t="s">
        <v>51</v>
      </c>
      <c r="M1065" s="19"/>
      <c r="N1065" s="19" t="e">
        <v>#N/A</v>
      </c>
      <c r="O1065" s="20" t="s">
        <v>690</v>
      </c>
      <c r="P1065" s="20"/>
      <c r="Q1065" s="19" t="s">
        <v>1436</v>
      </c>
      <c r="R1065" s="21" t="s">
        <v>2274</v>
      </c>
      <c r="S1065" s="19" t="s">
        <v>46</v>
      </c>
      <c r="T1065" s="19" t="s">
        <v>635</v>
      </c>
      <c r="U1065" s="19" t="s">
        <v>636</v>
      </c>
      <c r="V1065" s="19" t="s">
        <v>45</v>
      </c>
      <c r="W1065" s="19"/>
      <c r="X1065" s="19"/>
      <c r="Y1065" s="19"/>
      <c r="Z1065" s="19" t="s">
        <v>658</v>
      </c>
      <c r="AA1065" s="19" t="s">
        <v>1293</v>
      </c>
      <c r="AB1065" s="19" t="s">
        <v>46</v>
      </c>
      <c r="AC1065" s="19" t="s">
        <v>46</v>
      </c>
      <c r="AD1065" s="19" t="s">
        <v>2275</v>
      </c>
      <c r="AE1065" s="19" t="s">
        <v>641</v>
      </c>
      <c r="AF1065" s="19" t="s">
        <v>190</v>
      </c>
      <c r="AG1065" s="19">
        <v>6</v>
      </c>
      <c r="AH1065" s="19" t="s">
        <v>190</v>
      </c>
      <c r="AI1065" s="19"/>
      <c r="AJ1065" s="19" t="s">
        <v>2276</v>
      </c>
      <c r="AK1065" s="19" t="s">
        <v>1126</v>
      </c>
    </row>
    <row r="1066" spans="1:37" s="23" customFormat="1">
      <c r="A1066" s="19" t="str">
        <f>VLOOKUP(H1066,Languages!$A$2:$B$430,2,FALSE)</f>
        <v>Indo-European</v>
      </c>
      <c r="B1066" s="19" t="s">
        <v>35</v>
      </c>
      <c r="C1066" s="19" t="s">
        <v>124</v>
      </c>
      <c r="D1066" s="19" t="s">
        <v>7504</v>
      </c>
      <c r="E1066" s="20" t="s">
        <v>7497</v>
      </c>
      <c r="F1066" s="20" t="s">
        <v>7497</v>
      </c>
      <c r="G1066" s="19" t="s">
        <v>7497</v>
      </c>
      <c r="H1066" s="19" t="str">
        <f>VLOOKUP(G1066,'languoid 4.0'!$A$1:$I$24439,2,FALSE)</f>
        <v>indo1319</v>
      </c>
      <c r="I1066" s="19" t="str">
        <f>VLOOKUP(G1066,'languoid 4.0'!$A$1:$I$24439,6,FALSE)</f>
        <v>language</v>
      </c>
      <c r="J1066" s="20" t="s">
        <v>38</v>
      </c>
      <c r="K1066" s="20" t="s">
        <v>38</v>
      </c>
      <c r="L1066" s="20" t="s">
        <v>38</v>
      </c>
      <c r="M1066" s="19"/>
      <c r="N1066" s="19" t="s">
        <v>7498</v>
      </c>
      <c r="O1066" s="20" t="s">
        <v>40</v>
      </c>
      <c r="P1066" s="20" t="s">
        <v>41</v>
      </c>
      <c r="Q1066" s="19" t="s">
        <v>7505</v>
      </c>
      <c r="R1066" s="21" t="s">
        <v>7506</v>
      </c>
      <c r="S1066" s="19" t="s">
        <v>46</v>
      </c>
      <c r="T1066" s="19" t="s">
        <v>822</v>
      </c>
      <c r="U1066" s="19" t="s">
        <v>636</v>
      </c>
      <c r="V1066" s="19" t="s">
        <v>45</v>
      </c>
      <c r="W1066" s="19"/>
      <c r="X1066" s="19"/>
      <c r="Y1066" s="19"/>
      <c r="Z1066" s="19" t="s">
        <v>673</v>
      </c>
      <c r="AA1066" s="19" t="s">
        <v>7507</v>
      </c>
      <c r="AB1066" s="19" t="s">
        <v>7508</v>
      </c>
      <c r="AC1066" s="19" t="s">
        <v>46</v>
      </c>
      <c r="AD1066" s="19"/>
      <c r="AE1066" s="19" t="s">
        <v>641</v>
      </c>
      <c r="AF1066" s="19" t="s">
        <v>190</v>
      </c>
      <c r="AG1066" s="19">
        <v>6</v>
      </c>
      <c r="AH1066" s="19" t="s">
        <v>190</v>
      </c>
      <c r="AI1066" s="19"/>
      <c r="AJ1066" s="19" t="s">
        <v>7509</v>
      </c>
      <c r="AK1066" s="19" t="s">
        <v>4945</v>
      </c>
    </row>
    <row r="1067" spans="1:37" s="23" customFormat="1">
      <c r="A1067" s="19" t="str">
        <f>VLOOKUP(H1067,Languages!$A$2:$B$430,2,FALSE)</f>
        <v>Indo-European</v>
      </c>
      <c r="B1067" s="19" t="s">
        <v>35</v>
      </c>
      <c r="C1067" s="19" t="s">
        <v>58</v>
      </c>
      <c r="D1067" s="19" t="s">
        <v>396</v>
      </c>
      <c r="E1067" s="20" t="s">
        <v>397</v>
      </c>
      <c r="F1067" s="20" t="s">
        <v>397</v>
      </c>
      <c r="G1067" s="19" t="s">
        <v>397</v>
      </c>
      <c r="H1067" s="19" t="str">
        <f>VLOOKUP(G1067,'languoid 4.0'!$A$1:$I$24439,2,FALSE)</f>
        <v>indo1319</v>
      </c>
      <c r="I1067" s="19" t="str">
        <f>VLOOKUP(G1067,'languoid 4.0'!$A$1:$I$24439,6,FALSE)</f>
        <v>family</v>
      </c>
      <c r="J1067" s="20" t="s">
        <v>38</v>
      </c>
      <c r="K1067" s="20" t="s">
        <v>38</v>
      </c>
      <c r="L1067" s="20" t="s">
        <v>38</v>
      </c>
      <c r="M1067" s="19"/>
      <c r="N1067" s="19"/>
      <c r="O1067" s="20" t="s">
        <v>113</v>
      </c>
      <c r="P1067" s="20" t="s">
        <v>41</v>
      </c>
      <c r="Q1067" s="19" t="s">
        <v>35</v>
      </c>
      <c r="R1067" s="21" t="s">
        <v>398</v>
      </c>
      <c r="S1067" s="19" t="s">
        <v>399</v>
      </c>
      <c r="T1067" s="19" t="s">
        <v>44</v>
      </c>
      <c r="U1067" s="19"/>
      <c r="V1067" s="19" t="s">
        <v>45</v>
      </c>
      <c r="W1067" s="19"/>
      <c r="X1067" s="19"/>
      <c r="Y1067" s="19"/>
      <c r="Z1067" s="19"/>
      <c r="AA1067" s="19">
        <v>17</v>
      </c>
      <c r="AB1067" s="19" t="s">
        <v>400</v>
      </c>
      <c r="AC1067" s="19">
        <v>17</v>
      </c>
      <c r="AD1067" s="19"/>
      <c r="AE1067" s="19"/>
      <c r="AF1067" s="19"/>
      <c r="AG1067" s="19"/>
      <c r="AH1067" s="19"/>
      <c r="AI1067" s="19"/>
      <c r="AJ1067" s="22">
        <v>43102.746446759258</v>
      </c>
      <c r="AK1067" s="19" t="s">
        <v>172</v>
      </c>
    </row>
    <row r="1068" spans="1:37" s="23" customFormat="1">
      <c r="A1068" s="19" t="str">
        <f>VLOOKUP(H1068,Languages!$A$2:$B$430,2,FALSE)</f>
        <v>Indo-European</v>
      </c>
      <c r="B1068" s="19" t="s">
        <v>35</v>
      </c>
      <c r="C1068" s="19" t="s">
        <v>58</v>
      </c>
      <c r="D1068" s="19" t="s">
        <v>5171</v>
      </c>
      <c r="E1068" s="20" t="s">
        <v>5172</v>
      </c>
      <c r="F1068" s="20" t="s">
        <v>9200</v>
      </c>
      <c r="G1068" s="19" t="s">
        <v>9200</v>
      </c>
      <c r="H1068" s="19" t="str">
        <f>VLOOKUP(G1068,'languoid 4.0'!$A$1:$I$24439,2,FALSE)</f>
        <v>indo1319</v>
      </c>
      <c r="I1068" s="19" t="str">
        <f>VLOOKUP(G1068,'languoid 4.0'!$A$1:$I$24439,6,FALSE)</f>
        <v>language</v>
      </c>
      <c r="J1068" s="20" t="s">
        <v>52</v>
      </c>
      <c r="K1068" s="20" t="s">
        <v>52</v>
      </c>
      <c r="L1068" s="20" t="s">
        <v>38</v>
      </c>
      <c r="M1068" s="19"/>
      <c r="N1068" s="19" t="s">
        <v>5174</v>
      </c>
      <c r="O1068" s="20" t="s">
        <v>113</v>
      </c>
      <c r="P1068" s="20" t="s">
        <v>41</v>
      </c>
      <c r="Q1068" s="19" t="s">
        <v>35</v>
      </c>
      <c r="R1068" s="21" t="s">
        <v>9206</v>
      </c>
      <c r="S1068" s="19" t="s">
        <v>46</v>
      </c>
      <c r="T1068" s="19" t="s">
        <v>635</v>
      </c>
      <c r="U1068" s="19" t="s">
        <v>636</v>
      </c>
      <c r="V1068" s="19" t="s">
        <v>45</v>
      </c>
      <c r="W1068" s="19"/>
      <c r="X1068" s="19"/>
      <c r="Y1068" s="19"/>
      <c r="Z1068" s="19" t="s">
        <v>637</v>
      </c>
      <c r="AA1068" s="19" t="s">
        <v>9207</v>
      </c>
      <c r="AB1068" s="19" t="s">
        <v>9208</v>
      </c>
      <c r="AC1068" s="19" t="s">
        <v>46</v>
      </c>
      <c r="AD1068" s="19"/>
      <c r="AE1068" s="19" t="s">
        <v>641</v>
      </c>
      <c r="AF1068" s="19" t="s">
        <v>190</v>
      </c>
      <c r="AG1068" s="19">
        <v>6</v>
      </c>
      <c r="AH1068" s="19" t="s">
        <v>190</v>
      </c>
      <c r="AI1068" s="19"/>
      <c r="AJ1068" s="19" t="s">
        <v>9209</v>
      </c>
      <c r="AK1068" s="19" t="s">
        <v>8947</v>
      </c>
    </row>
    <row r="1069" spans="1:37" s="23" customFormat="1">
      <c r="A1069" s="19" t="str">
        <f>VLOOKUP(H1069,Languages!$A$2:$B$430,2,FALSE)</f>
        <v>Indo-European</v>
      </c>
      <c r="B1069" s="19" t="s">
        <v>35</v>
      </c>
      <c r="C1069" s="19" t="s">
        <v>58</v>
      </c>
      <c r="D1069" s="19" t="s">
        <v>9246</v>
      </c>
      <c r="E1069" s="20" t="s">
        <v>9247</v>
      </c>
      <c r="F1069" s="20" t="s">
        <v>9247</v>
      </c>
      <c r="G1069" s="19" t="s">
        <v>9247</v>
      </c>
      <c r="H1069" s="19" t="str">
        <f>VLOOKUP(G1069,'languoid 4.0'!$A$1:$I$24439,2,FALSE)</f>
        <v>indo1319</v>
      </c>
      <c r="I1069" s="19" t="str">
        <f>VLOOKUP(G1069,'languoid 4.0'!$A$1:$I$24439,6,FALSE)</f>
        <v>language</v>
      </c>
      <c r="J1069" s="20" t="s">
        <v>38</v>
      </c>
      <c r="K1069" s="20" t="s">
        <v>38</v>
      </c>
      <c r="L1069" s="20" t="s">
        <v>38</v>
      </c>
      <c r="M1069" s="19"/>
      <c r="N1069" s="19" t="s">
        <v>9248</v>
      </c>
      <c r="O1069" s="20" t="s">
        <v>40</v>
      </c>
      <c r="P1069" s="20" t="s">
        <v>41</v>
      </c>
      <c r="Q1069" s="19" t="s">
        <v>9249</v>
      </c>
      <c r="R1069" s="21" t="s">
        <v>9250</v>
      </c>
      <c r="S1069" s="19" t="s">
        <v>46</v>
      </c>
      <c r="T1069" s="19" t="s">
        <v>635</v>
      </c>
      <c r="U1069" s="19" t="s">
        <v>636</v>
      </c>
      <c r="V1069" s="19" t="s">
        <v>45</v>
      </c>
      <c r="W1069" s="19"/>
      <c r="X1069" s="19"/>
      <c r="Y1069" s="19"/>
      <c r="Z1069" s="19" t="s">
        <v>637</v>
      </c>
      <c r="AA1069" s="19" t="s">
        <v>9251</v>
      </c>
      <c r="AB1069" s="19" t="s">
        <v>9252</v>
      </c>
      <c r="AC1069" s="19" t="s">
        <v>9253</v>
      </c>
      <c r="AD1069" s="19"/>
      <c r="AE1069" s="19" t="s">
        <v>641</v>
      </c>
      <c r="AF1069" s="19" t="s">
        <v>190</v>
      </c>
      <c r="AG1069" s="19">
        <v>6</v>
      </c>
      <c r="AH1069" s="19" t="s">
        <v>190</v>
      </c>
      <c r="AI1069" s="19"/>
      <c r="AJ1069" s="19" t="s">
        <v>9254</v>
      </c>
      <c r="AK1069" s="19" t="s">
        <v>8947</v>
      </c>
    </row>
    <row r="1070" spans="1:37" s="23" customFormat="1">
      <c r="A1070" s="19" t="str">
        <f>VLOOKUP(H1070,Languages!$A$2:$B$430,2,FALSE)</f>
        <v>Indo-European</v>
      </c>
      <c r="B1070" s="19" t="s">
        <v>35</v>
      </c>
      <c r="C1070" s="19" t="s">
        <v>58</v>
      </c>
      <c r="D1070" s="19" t="s">
        <v>9665</v>
      </c>
      <c r="E1070" s="20" t="s">
        <v>9228</v>
      </c>
      <c r="F1070" s="20" t="s">
        <v>9228</v>
      </c>
      <c r="G1070" s="19" t="s">
        <v>9228</v>
      </c>
      <c r="H1070" s="19" t="str">
        <f>VLOOKUP(G1070,'languoid 4.0'!$A$1:$I$24439,2,FALSE)</f>
        <v>indo1319</v>
      </c>
      <c r="I1070" s="19" t="str">
        <f>VLOOKUP(G1070,'languoid 4.0'!$A$1:$I$24439,6,FALSE)</f>
        <v>dialect</v>
      </c>
      <c r="J1070" s="20" t="s">
        <v>38</v>
      </c>
      <c r="K1070" s="20" t="s">
        <v>38</v>
      </c>
      <c r="L1070" s="20" t="s">
        <v>38</v>
      </c>
      <c r="M1070" s="19"/>
      <c r="N1070" s="19" t="s">
        <v>9229</v>
      </c>
      <c r="O1070" s="20" t="s">
        <v>40</v>
      </c>
      <c r="P1070" s="20" t="s">
        <v>41</v>
      </c>
      <c r="Q1070" s="19" t="s">
        <v>9666</v>
      </c>
      <c r="R1070" s="21" t="s">
        <v>9663</v>
      </c>
      <c r="S1070" s="19" t="s">
        <v>282</v>
      </c>
      <c r="T1070" s="19" t="s">
        <v>2948</v>
      </c>
      <c r="U1070" s="19" t="s">
        <v>9667</v>
      </c>
      <c r="V1070" s="19" t="s">
        <v>45</v>
      </c>
      <c r="W1070" s="19"/>
      <c r="X1070" s="19"/>
      <c r="Y1070" s="19"/>
      <c r="Z1070" s="19" t="s">
        <v>637</v>
      </c>
      <c r="AA1070" s="19" t="s">
        <v>9668</v>
      </c>
      <c r="AB1070" s="19" t="s">
        <v>9669</v>
      </c>
      <c r="AC1070" s="19" t="s">
        <v>46</v>
      </c>
      <c r="AD1070" s="19"/>
      <c r="AE1070" s="19" t="s">
        <v>641</v>
      </c>
      <c r="AF1070" s="19" t="s">
        <v>190</v>
      </c>
      <c r="AG1070" s="19">
        <v>6</v>
      </c>
      <c r="AH1070" s="19" t="s">
        <v>190</v>
      </c>
      <c r="AI1070" s="19"/>
      <c r="AJ1070" s="22">
        <v>43444.52244212963</v>
      </c>
      <c r="AK1070" s="19" t="s">
        <v>8947</v>
      </c>
    </row>
    <row r="1071" spans="1:37" s="23" customFormat="1">
      <c r="A1071" s="19" t="str">
        <f>VLOOKUP(H1071,Languages!$A$2:$B$430,2,FALSE)</f>
        <v>Indo-European</v>
      </c>
      <c r="B1071" s="19" t="s">
        <v>35</v>
      </c>
      <c r="C1071" s="19" t="s">
        <v>58</v>
      </c>
      <c r="D1071" s="19" t="s">
        <v>5171</v>
      </c>
      <c r="E1071" s="20" t="s">
        <v>5172</v>
      </c>
      <c r="F1071" s="20" t="s">
        <v>5172</v>
      </c>
      <c r="G1071" s="19" t="s">
        <v>5172</v>
      </c>
      <c r="H1071" s="19" t="str">
        <f>VLOOKUP(G1071,'languoid 4.0'!$A$1:$I$24439,2,FALSE)</f>
        <v>indo1319</v>
      </c>
      <c r="I1071" s="19" t="str">
        <f>VLOOKUP(G1071,'languoid 4.0'!$A$1:$I$24439,6,FALSE)</f>
        <v>family</v>
      </c>
      <c r="J1071" s="20" t="s">
        <v>38</v>
      </c>
      <c r="K1071" s="20" t="s">
        <v>38</v>
      </c>
      <c r="L1071" s="20" t="s">
        <v>38</v>
      </c>
      <c r="M1071" s="19"/>
      <c r="N1071" s="19" t="s">
        <v>5174</v>
      </c>
      <c r="O1071" s="20" t="s">
        <v>113</v>
      </c>
      <c r="P1071" s="20" t="s">
        <v>41</v>
      </c>
      <c r="Q1071" s="19" t="s">
        <v>10000</v>
      </c>
      <c r="R1071" s="21" t="s">
        <v>10001</v>
      </c>
      <c r="S1071" s="19" t="s">
        <v>46</v>
      </c>
      <c r="T1071" s="19" t="s">
        <v>9996</v>
      </c>
      <c r="U1071" s="19" t="s">
        <v>636</v>
      </c>
      <c r="V1071" s="19" t="s">
        <v>45</v>
      </c>
      <c r="W1071" s="19"/>
      <c r="X1071" s="19"/>
      <c r="Y1071" s="19"/>
      <c r="Z1071" s="19" t="s">
        <v>637</v>
      </c>
      <c r="AA1071" s="19" t="s">
        <v>10002</v>
      </c>
      <c r="AB1071" s="19" t="s">
        <v>10003</v>
      </c>
      <c r="AC1071" s="19" t="s">
        <v>46</v>
      </c>
      <c r="AD1071" s="19"/>
      <c r="AE1071" s="19" t="s">
        <v>641</v>
      </c>
      <c r="AF1071" s="19" t="s">
        <v>190</v>
      </c>
      <c r="AG1071" s="19">
        <v>6</v>
      </c>
      <c r="AH1071" s="19" t="s">
        <v>190</v>
      </c>
      <c r="AI1071" s="19"/>
      <c r="AJ1071" s="22">
        <v>43111.727337962962</v>
      </c>
      <c r="AK1071" s="19" t="s">
        <v>8947</v>
      </c>
    </row>
    <row r="1072" spans="1:37" s="23" customFormat="1">
      <c r="A1072" s="19" t="str">
        <f>VLOOKUP(H1072,Languages!$A$2:$B$430,2,FALSE)</f>
        <v>Indo-European</v>
      </c>
      <c r="B1072" s="19" t="s">
        <v>35</v>
      </c>
      <c r="C1072" s="19" t="s">
        <v>58</v>
      </c>
      <c r="D1072" s="19" t="s">
        <v>5171</v>
      </c>
      <c r="E1072" s="20" t="s">
        <v>5172</v>
      </c>
      <c r="F1072" s="20" t="s">
        <v>5172</v>
      </c>
      <c r="G1072" s="19" t="s">
        <v>5172</v>
      </c>
      <c r="H1072" s="19" t="str">
        <f>VLOOKUP(G1072,'languoid 4.0'!$A$1:$I$24439,2,FALSE)</f>
        <v>indo1319</v>
      </c>
      <c r="I1072" s="19" t="str">
        <f>VLOOKUP(G1072,'languoid 4.0'!$A$1:$I$24439,6,FALSE)</f>
        <v>family</v>
      </c>
      <c r="J1072" s="20" t="s">
        <v>38</v>
      </c>
      <c r="K1072" s="20" t="s">
        <v>38</v>
      </c>
      <c r="L1072" s="20" t="s">
        <v>38</v>
      </c>
      <c r="M1072" s="19"/>
      <c r="N1072" s="19" t="s">
        <v>5174</v>
      </c>
      <c r="O1072" s="20" t="s">
        <v>113</v>
      </c>
      <c r="P1072" s="20" t="s">
        <v>41</v>
      </c>
      <c r="Q1072" s="19" t="s">
        <v>10010</v>
      </c>
      <c r="R1072" s="21" t="s">
        <v>10011</v>
      </c>
      <c r="S1072" s="19" t="s">
        <v>46</v>
      </c>
      <c r="T1072" s="19" t="s">
        <v>10012</v>
      </c>
      <c r="U1072" s="19" t="s">
        <v>636</v>
      </c>
      <c r="V1072" s="19" t="s">
        <v>45</v>
      </c>
      <c r="W1072" s="19"/>
      <c r="X1072" s="19"/>
      <c r="Y1072" s="19"/>
      <c r="Z1072" s="19" t="s">
        <v>1151</v>
      </c>
      <c r="AA1072" s="19" t="s">
        <v>46</v>
      </c>
      <c r="AB1072" s="19" t="s">
        <v>10013</v>
      </c>
      <c r="AC1072" s="19" t="s">
        <v>10014</v>
      </c>
      <c r="AD1072" s="19"/>
      <c r="AE1072" s="19" t="s">
        <v>641</v>
      </c>
      <c r="AF1072" s="19" t="s">
        <v>190</v>
      </c>
      <c r="AG1072" s="19">
        <v>6</v>
      </c>
      <c r="AH1072" s="19" t="s">
        <v>190</v>
      </c>
      <c r="AI1072" s="19" t="s">
        <v>10015</v>
      </c>
      <c r="AJ1072" s="22">
        <v>43111.740682870368</v>
      </c>
      <c r="AK1072" s="19" t="s">
        <v>8947</v>
      </c>
    </row>
    <row r="1073" spans="1:37" s="23" customFormat="1">
      <c r="A1073" s="19" t="str">
        <f>VLOOKUP(H1073,Languages!$A$2:$B$430,2,FALSE)</f>
        <v>Indo-European</v>
      </c>
      <c r="B1073" s="19" t="s">
        <v>35</v>
      </c>
      <c r="C1073" s="19" t="s">
        <v>4376</v>
      </c>
      <c r="D1073" s="19" t="s">
        <v>4712</v>
      </c>
      <c r="E1073" s="20" t="s">
        <v>239</v>
      </c>
      <c r="F1073" s="20" t="s">
        <v>239</v>
      </c>
      <c r="G1073" s="19" t="s">
        <v>239</v>
      </c>
      <c r="H1073" s="19" t="str">
        <f>VLOOKUP(G1073,'languoid 4.0'!$A$1:$I$24439,2,FALSE)</f>
        <v>indo1319</v>
      </c>
      <c r="I1073" s="19" t="str">
        <f>VLOOKUP(G1073,'languoid 4.0'!$A$1:$I$24439,6,FALSE)</f>
        <v>language</v>
      </c>
      <c r="J1073" s="20" t="s">
        <v>38</v>
      </c>
      <c r="K1073" s="20" t="s">
        <v>38</v>
      </c>
      <c r="L1073" s="20" t="s">
        <v>38</v>
      </c>
      <c r="M1073" s="19"/>
      <c r="N1073" s="19" t="s">
        <v>269</v>
      </c>
      <c r="O1073" s="20" t="s">
        <v>40</v>
      </c>
      <c r="P1073" s="20" t="s">
        <v>41</v>
      </c>
      <c r="Q1073" s="19" t="s">
        <v>4713</v>
      </c>
      <c r="R1073" s="21" t="s">
        <v>4714</v>
      </c>
      <c r="S1073" s="19" t="s">
        <v>46</v>
      </c>
      <c r="T1073" s="19" t="s">
        <v>4383</v>
      </c>
      <c r="U1073" s="19" t="s">
        <v>636</v>
      </c>
      <c r="V1073" s="19" t="s">
        <v>45</v>
      </c>
      <c r="W1073" s="19"/>
      <c r="X1073" s="19"/>
      <c r="Y1073" s="19"/>
      <c r="Z1073" s="19" t="s">
        <v>637</v>
      </c>
      <c r="AA1073" s="19" t="s">
        <v>4715</v>
      </c>
      <c r="AB1073" s="19" t="s">
        <v>4716</v>
      </c>
      <c r="AC1073" s="19" t="s">
        <v>46</v>
      </c>
      <c r="AD1073" s="19"/>
      <c r="AE1073" s="19" t="s">
        <v>641</v>
      </c>
      <c r="AF1073" s="19" t="s">
        <v>190</v>
      </c>
      <c r="AG1073" s="19">
        <v>6</v>
      </c>
      <c r="AH1073" s="19" t="s">
        <v>190</v>
      </c>
      <c r="AI1073" s="19"/>
      <c r="AJ1073" s="22">
        <v>43349.548310185186</v>
      </c>
      <c r="AK1073" s="19" t="s">
        <v>4386</v>
      </c>
    </row>
    <row r="1074" spans="1:37" s="23" customFormat="1">
      <c r="A1074" s="19" t="str">
        <f>VLOOKUP(H1074,Languages!$A$2:$B$430,2,FALSE)</f>
        <v>Indo-European</v>
      </c>
      <c r="B1074" s="19" t="s">
        <v>35</v>
      </c>
      <c r="C1074" s="19" t="s">
        <v>4376</v>
      </c>
      <c r="D1074" s="19" t="s">
        <v>4377</v>
      </c>
      <c r="E1074" s="20" t="s">
        <v>4378</v>
      </c>
      <c r="F1074" s="20" t="s">
        <v>4379</v>
      </c>
      <c r="G1074" s="19" t="s">
        <v>4378</v>
      </c>
      <c r="H1074" s="19" t="str">
        <f>VLOOKUP(G1074,'languoid 4.0'!$A$1:$I$24439,2,FALSE)</f>
        <v>indo1319</v>
      </c>
      <c r="I1074" s="19" t="str">
        <f>VLOOKUP(G1074,'languoid 4.0'!$A$1:$I$24439,6,FALSE)</f>
        <v>language</v>
      </c>
      <c r="J1074" s="20" t="s">
        <v>52</v>
      </c>
      <c r="K1074" s="20" t="s">
        <v>38</v>
      </c>
      <c r="L1074" s="20" t="s">
        <v>38</v>
      </c>
      <c r="M1074" s="19"/>
      <c r="N1074" s="19" t="s">
        <v>4380</v>
      </c>
      <c r="O1074" s="20" t="s">
        <v>40</v>
      </c>
      <c r="P1074" s="20" t="s">
        <v>41</v>
      </c>
      <c r="Q1074" s="19" t="s">
        <v>5195</v>
      </c>
      <c r="R1074" s="21" t="s">
        <v>5196</v>
      </c>
      <c r="S1074" s="19" t="s">
        <v>46</v>
      </c>
      <c r="T1074" s="19" t="s">
        <v>4383</v>
      </c>
      <c r="U1074" s="19" t="s">
        <v>636</v>
      </c>
      <c r="V1074" s="19" t="s">
        <v>45</v>
      </c>
      <c r="W1074" s="19"/>
      <c r="X1074" s="19"/>
      <c r="Y1074" s="19"/>
      <c r="Z1074" s="19" t="s">
        <v>637</v>
      </c>
      <c r="AA1074" s="19" t="s">
        <v>5197</v>
      </c>
      <c r="AB1074" s="19" t="s">
        <v>5198</v>
      </c>
      <c r="AC1074" s="19" t="s">
        <v>46</v>
      </c>
      <c r="AD1074" s="19"/>
      <c r="AE1074" s="19" t="s">
        <v>641</v>
      </c>
      <c r="AF1074" s="19" t="s">
        <v>190</v>
      </c>
      <c r="AG1074" s="19">
        <v>6</v>
      </c>
      <c r="AH1074" s="19" t="s">
        <v>190</v>
      </c>
      <c r="AI1074" s="19"/>
      <c r="AJ1074" s="19" t="s">
        <v>5199</v>
      </c>
      <c r="AK1074" s="19" t="s">
        <v>4386</v>
      </c>
    </row>
    <row r="1075" spans="1:37" s="23" customFormat="1">
      <c r="A1075" s="19" t="str">
        <f>VLOOKUP(H1075,Languages!$A$2:$B$430,2,FALSE)</f>
        <v>Indo-European</v>
      </c>
      <c r="B1075" s="19" t="s">
        <v>35</v>
      </c>
      <c r="C1075" s="19" t="s">
        <v>4376</v>
      </c>
      <c r="D1075" s="19" t="s">
        <v>5707</v>
      </c>
      <c r="E1075" s="20" t="s">
        <v>239</v>
      </c>
      <c r="F1075" s="20" t="s">
        <v>239</v>
      </c>
      <c r="G1075" s="19" t="s">
        <v>239</v>
      </c>
      <c r="H1075" s="19" t="str">
        <f>VLOOKUP(G1075,'languoid 4.0'!$A$1:$I$24439,2,FALSE)</f>
        <v>indo1319</v>
      </c>
      <c r="I1075" s="19" t="str">
        <f>VLOOKUP(G1075,'languoid 4.0'!$A$1:$I$24439,6,FALSE)</f>
        <v>language</v>
      </c>
      <c r="J1075" s="20" t="s">
        <v>38</v>
      </c>
      <c r="K1075" s="20" t="s">
        <v>38</v>
      </c>
      <c r="L1075" s="20" t="s">
        <v>38</v>
      </c>
      <c r="M1075" s="19"/>
      <c r="N1075" s="19" t="s">
        <v>269</v>
      </c>
      <c r="O1075" s="20" t="s">
        <v>40</v>
      </c>
      <c r="P1075" s="20" t="s">
        <v>41</v>
      </c>
      <c r="Q1075" s="19" t="s">
        <v>5713</v>
      </c>
      <c r="R1075" s="21" t="s">
        <v>5714</v>
      </c>
      <c r="S1075" s="19" t="s">
        <v>46</v>
      </c>
      <c r="T1075" s="19" t="s">
        <v>4383</v>
      </c>
      <c r="U1075" s="19" t="s">
        <v>636</v>
      </c>
      <c r="V1075" s="19" t="s">
        <v>45</v>
      </c>
      <c r="W1075" s="19"/>
      <c r="X1075" s="19"/>
      <c r="Y1075" s="19"/>
      <c r="Z1075" s="19" t="s">
        <v>637</v>
      </c>
      <c r="AA1075" s="19" t="s">
        <v>5715</v>
      </c>
      <c r="AB1075" s="19" t="s">
        <v>5716</v>
      </c>
      <c r="AC1075" s="19" t="s">
        <v>46</v>
      </c>
      <c r="AD1075" s="19"/>
      <c r="AE1075" s="19" t="s">
        <v>641</v>
      </c>
      <c r="AF1075" s="19" t="s">
        <v>190</v>
      </c>
      <c r="AG1075" s="19">
        <v>6</v>
      </c>
      <c r="AH1075" s="19" t="s">
        <v>190</v>
      </c>
      <c r="AI1075" s="19"/>
      <c r="AJ1075" s="19" t="s">
        <v>5717</v>
      </c>
      <c r="AK1075" s="19" t="s">
        <v>4386</v>
      </c>
    </row>
    <row r="1076" spans="1:37" s="23" customFormat="1">
      <c r="A1076" s="19" t="str">
        <f>VLOOKUP(H1076,Languages!$A$2:$B$430,2,FALSE)</f>
        <v>Indo-European</v>
      </c>
      <c r="B1076" s="19" t="s">
        <v>35</v>
      </c>
      <c r="C1076" s="19" t="s">
        <v>206</v>
      </c>
      <c r="D1076" s="19" t="s">
        <v>10745</v>
      </c>
      <c r="E1076" s="20" t="s">
        <v>239</v>
      </c>
      <c r="F1076" s="20" t="s">
        <v>239</v>
      </c>
      <c r="G1076" s="19" t="s">
        <v>239</v>
      </c>
      <c r="H1076" s="19" t="str">
        <f>VLOOKUP(G1076,'languoid 4.0'!$A$1:$I$24439,2,FALSE)</f>
        <v>indo1319</v>
      </c>
      <c r="I1076" s="19" t="str">
        <f>VLOOKUP(G1076,'languoid 4.0'!$A$1:$I$24439,6,FALSE)</f>
        <v>language</v>
      </c>
      <c r="J1076" s="20" t="s">
        <v>38</v>
      </c>
      <c r="K1076" s="20" t="s">
        <v>38</v>
      </c>
      <c r="L1076" s="20" t="s">
        <v>38</v>
      </c>
      <c r="M1076" s="19"/>
      <c r="N1076" s="19" t="s">
        <v>269</v>
      </c>
      <c r="O1076" s="20" t="s">
        <v>40</v>
      </c>
      <c r="P1076" s="20" t="s">
        <v>41</v>
      </c>
      <c r="Q1076" s="19" t="s">
        <v>10746</v>
      </c>
      <c r="R1076" s="21" t="s">
        <v>10747</v>
      </c>
      <c r="S1076" s="19" t="s">
        <v>4821</v>
      </c>
      <c r="T1076" s="19" t="s">
        <v>657</v>
      </c>
      <c r="U1076" s="19" t="s">
        <v>636</v>
      </c>
      <c r="V1076" s="19" t="s">
        <v>45</v>
      </c>
      <c r="W1076" s="19"/>
      <c r="X1076" s="19"/>
      <c r="Y1076" s="19"/>
      <c r="Z1076" s="19" t="s">
        <v>823</v>
      </c>
      <c r="AA1076" s="19" t="s">
        <v>10748</v>
      </c>
      <c r="AB1076" s="19" t="s">
        <v>10749</v>
      </c>
      <c r="AC1076" s="19" t="s">
        <v>10750</v>
      </c>
      <c r="AD1076" s="19"/>
      <c r="AE1076" s="19" t="s">
        <v>641</v>
      </c>
      <c r="AF1076" s="19" t="s">
        <v>190</v>
      </c>
      <c r="AG1076" s="19">
        <v>6</v>
      </c>
      <c r="AH1076" s="19" t="s">
        <v>190</v>
      </c>
      <c r="AI1076" s="19"/>
      <c r="AJ1076" s="22">
        <v>43263.65828703704</v>
      </c>
      <c r="AK1076" s="19" t="s">
        <v>8686</v>
      </c>
    </row>
    <row r="1077" spans="1:37" s="23" customFormat="1">
      <c r="A1077" s="19" t="str">
        <f>VLOOKUP(H1077,Languages!$A$2:$B$430,2,FALSE)</f>
        <v>Indo-European</v>
      </c>
      <c r="B1077" s="19" t="s">
        <v>35</v>
      </c>
      <c r="C1077" s="19" t="s">
        <v>431</v>
      </c>
      <c r="D1077" s="19" t="s">
        <v>11292</v>
      </c>
      <c r="E1077" s="20" t="s">
        <v>239</v>
      </c>
      <c r="F1077" s="20" t="s">
        <v>239</v>
      </c>
      <c r="G1077" s="19" t="s">
        <v>239</v>
      </c>
      <c r="H1077" s="19" t="str">
        <f>VLOOKUP(G1077,'languoid 4.0'!$A$1:$I$24439,2,FALSE)</f>
        <v>indo1319</v>
      </c>
      <c r="I1077" s="19" t="str">
        <f>VLOOKUP(G1077,'languoid 4.0'!$A$1:$I$24439,6,FALSE)</f>
        <v>language</v>
      </c>
      <c r="J1077" s="20" t="s">
        <v>38</v>
      </c>
      <c r="K1077" s="20" t="s">
        <v>38</v>
      </c>
      <c r="L1077" s="20" t="s">
        <v>38</v>
      </c>
      <c r="M1077" s="19"/>
      <c r="N1077" s="19" t="s">
        <v>269</v>
      </c>
      <c r="O1077" s="20" t="s">
        <v>40</v>
      </c>
      <c r="P1077" s="20" t="s">
        <v>41</v>
      </c>
      <c r="Q1077" s="19" t="s">
        <v>11293</v>
      </c>
      <c r="R1077" s="21" t="s">
        <v>11294</v>
      </c>
      <c r="S1077" s="19" t="s">
        <v>11295</v>
      </c>
      <c r="T1077" s="19" t="s">
        <v>657</v>
      </c>
      <c r="U1077" s="19" t="s">
        <v>636</v>
      </c>
      <c r="V1077" s="19" t="s">
        <v>45</v>
      </c>
      <c r="W1077" s="19"/>
      <c r="X1077" s="19"/>
      <c r="Y1077" s="19"/>
      <c r="Z1077" s="19" t="s">
        <v>658</v>
      </c>
      <c r="AA1077" s="19" t="s">
        <v>11296</v>
      </c>
      <c r="AB1077" s="19" t="s">
        <v>46</v>
      </c>
      <c r="AC1077" s="19" t="s">
        <v>46</v>
      </c>
      <c r="AD1077" s="19"/>
      <c r="AE1077" s="19" t="s">
        <v>641</v>
      </c>
      <c r="AF1077" s="19" t="s">
        <v>190</v>
      </c>
      <c r="AG1077" s="19">
        <v>6</v>
      </c>
      <c r="AH1077" s="19" t="s">
        <v>190</v>
      </c>
      <c r="AI1077" s="19"/>
      <c r="AJ1077" s="19" t="s">
        <v>11297</v>
      </c>
      <c r="AK1077" s="19" t="s">
        <v>4975</v>
      </c>
    </row>
    <row r="1078" spans="1:37" s="23" customFormat="1">
      <c r="A1078" s="19" t="str">
        <f>VLOOKUP(H1078,Languages!$A$2:$B$430,2,FALSE)</f>
        <v>Indo-European</v>
      </c>
      <c r="B1078" s="19" t="s">
        <v>35</v>
      </c>
      <c r="C1078" s="19" t="s">
        <v>4417</v>
      </c>
      <c r="D1078" s="19" t="s">
        <v>4555</v>
      </c>
      <c r="E1078" s="20" t="s">
        <v>3656</v>
      </c>
      <c r="F1078" s="20" t="s">
        <v>3656</v>
      </c>
      <c r="G1078" s="19" t="s">
        <v>3656</v>
      </c>
      <c r="H1078" s="19" t="str">
        <f>VLOOKUP(G1078,'languoid 4.0'!$A$1:$I$24439,2,FALSE)</f>
        <v>indo1319</v>
      </c>
      <c r="I1078" s="19" t="str">
        <f>VLOOKUP(G1078,'languoid 4.0'!$A$1:$I$24439,6,FALSE)</f>
        <v>language</v>
      </c>
      <c r="J1078" s="20" t="s">
        <v>38</v>
      </c>
      <c r="K1078" s="20" t="s">
        <v>38</v>
      </c>
      <c r="L1078" s="20" t="s">
        <v>38</v>
      </c>
      <c r="M1078" s="19"/>
      <c r="N1078" s="19" t="s">
        <v>4419</v>
      </c>
      <c r="O1078" s="20" t="s">
        <v>40</v>
      </c>
      <c r="P1078" s="20" t="s">
        <v>41</v>
      </c>
      <c r="Q1078" s="19" t="s">
        <v>4717</v>
      </c>
      <c r="R1078" s="21" t="s">
        <v>4718</v>
      </c>
      <c r="S1078" s="19" t="s">
        <v>46</v>
      </c>
      <c r="T1078" s="19" t="s">
        <v>635</v>
      </c>
      <c r="U1078" s="19" t="s">
        <v>636</v>
      </c>
      <c r="V1078" s="19" t="s">
        <v>45</v>
      </c>
      <c r="W1078" s="19"/>
      <c r="X1078" s="19"/>
      <c r="Y1078" s="19"/>
      <c r="Z1078" s="19" t="s">
        <v>887</v>
      </c>
      <c r="AA1078" s="19" t="s">
        <v>4719</v>
      </c>
      <c r="AB1078" s="19" t="s">
        <v>4720</v>
      </c>
      <c r="AC1078" s="19" t="s">
        <v>4721</v>
      </c>
      <c r="AD1078" s="19" t="s">
        <v>4722</v>
      </c>
      <c r="AE1078" s="19" t="s">
        <v>641</v>
      </c>
      <c r="AF1078" s="19" t="s">
        <v>190</v>
      </c>
      <c r="AG1078" s="19">
        <v>5</v>
      </c>
      <c r="AH1078" s="19" t="s">
        <v>190</v>
      </c>
      <c r="AI1078" s="19"/>
      <c r="AJ1078" s="22">
        <v>43349.595046296294</v>
      </c>
      <c r="AK1078" s="19" t="s">
        <v>4424</v>
      </c>
    </row>
    <row r="1079" spans="1:37" s="23" customFormat="1">
      <c r="A1079" s="19" t="str">
        <f>VLOOKUP(H1079,Languages!$A$2:$B$430,2,FALSE)</f>
        <v>Indo-European</v>
      </c>
      <c r="B1079" s="19" t="s">
        <v>35</v>
      </c>
      <c r="C1079" s="19" t="s">
        <v>4417</v>
      </c>
      <c r="D1079" s="19" t="s">
        <v>4861</v>
      </c>
      <c r="E1079" s="20" t="s">
        <v>4736</v>
      </c>
      <c r="F1079" s="20" t="s">
        <v>4736</v>
      </c>
      <c r="G1079" s="19" t="s">
        <v>4736</v>
      </c>
      <c r="H1079" s="19" t="str">
        <f>VLOOKUP(G1079,'languoid 4.0'!$A$1:$I$24439,2,FALSE)</f>
        <v>indo1319</v>
      </c>
      <c r="I1079" s="19" t="str">
        <f>VLOOKUP(G1079,'languoid 4.0'!$A$1:$I$24439,6,FALSE)</f>
        <v>language</v>
      </c>
      <c r="J1079" s="20" t="s">
        <v>38</v>
      </c>
      <c r="K1079" s="20" t="s">
        <v>38</v>
      </c>
      <c r="L1079" s="20" t="s">
        <v>38</v>
      </c>
      <c r="M1079" s="19"/>
      <c r="N1079" s="19" t="s">
        <v>4737</v>
      </c>
      <c r="O1079" s="20" t="s">
        <v>40</v>
      </c>
      <c r="P1079" s="20" t="s">
        <v>41</v>
      </c>
      <c r="Q1079" s="19" t="s">
        <v>4898</v>
      </c>
      <c r="R1079" s="21" t="s">
        <v>4863</v>
      </c>
      <c r="S1079" s="19" t="s">
        <v>4899</v>
      </c>
      <c r="T1079" s="19" t="s">
        <v>657</v>
      </c>
      <c r="U1079" s="19" t="s">
        <v>636</v>
      </c>
      <c r="V1079" s="19" t="s">
        <v>45</v>
      </c>
      <c r="W1079" s="19"/>
      <c r="X1079" s="19"/>
      <c r="Y1079" s="19"/>
      <c r="Z1079" s="19" t="s">
        <v>673</v>
      </c>
      <c r="AA1079" s="19" t="s">
        <v>46</v>
      </c>
      <c r="AB1079" s="19" t="s">
        <v>4900</v>
      </c>
      <c r="AC1079" s="19" t="s">
        <v>46</v>
      </c>
      <c r="AD1079" s="19" t="s">
        <v>4901</v>
      </c>
      <c r="AE1079" s="19" t="s">
        <v>4902</v>
      </c>
      <c r="AF1079" s="19" t="s">
        <v>45</v>
      </c>
      <c r="AG1079" s="19">
        <v>3</v>
      </c>
      <c r="AH1079" s="19" t="s">
        <v>190</v>
      </c>
      <c r="AI1079" s="19" t="s">
        <v>4903</v>
      </c>
      <c r="AJ1079" s="22">
        <v>43440.582002314812</v>
      </c>
      <c r="AK1079" s="19" t="s">
        <v>4424</v>
      </c>
    </row>
    <row r="1080" spans="1:37" s="23" customFormat="1">
      <c r="A1080" s="19" t="str">
        <f>VLOOKUP(H1080,Languages!$A$2:$B$430,2,FALSE)</f>
        <v>Indo-European</v>
      </c>
      <c r="B1080" s="19" t="s">
        <v>35</v>
      </c>
      <c r="C1080" s="19" t="s">
        <v>4417</v>
      </c>
      <c r="D1080" s="19" t="s">
        <v>4915</v>
      </c>
      <c r="E1080" s="20" t="s">
        <v>4736</v>
      </c>
      <c r="F1080" s="20" t="s">
        <v>3656</v>
      </c>
      <c r="G1080" s="19" t="s">
        <v>4736</v>
      </c>
      <c r="H1080" s="19" t="str">
        <f>VLOOKUP(G1080,'languoid 4.0'!$A$1:$I$24439,2,FALSE)</f>
        <v>indo1319</v>
      </c>
      <c r="I1080" s="19" t="str">
        <f>VLOOKUP(G1080,'languoid 4.0'!$A$1:$I$24439,6,FALSE)</f>
        <v>language</v>
      </c>
      <c r="J1080" s="20" t="s">
        <v>52</v>
      </c>
      <c r="K1080" s="20" t="s">
        <v>52</v>
      </c>
      <c r="L1080" s="20" t="s">
        <v>38</v>
      </c>
      <c r="M1080" s="19" t="s">
        <v>4916</v>
      </c>
      <c r="N1080" s="19" t="s">
        <v>4737</v>
      </c>
      <c r="O1080" s="20" t="s">
        <v>40</v>
      </c>
      <c r="P1080" s="20" t="s">
        <v>41</v>
      </c>
      <c r="Q1080" s="19" t="s">
        <v>4917</v>
      </c>
      <c r="R1080" s="21" t="s">
        <v>4918</v>
      </c>
      <c r="S1080" s="19">
        <v>210</v>
      </c>
      <c r="T1080" s="19" t="s">
        <v>657</v>
      </c>
      <c r="U1080" s="19" t="s">
        <v>636</v>
      </c>
      <c r="V1080" s="19" t="s">
        <v>45</v>
      </c>
      <c r="W1080" s="19"/>
      <c r="X1080" s="19"/>
      <c r="Y1080" s="19"/>
      <c r="Z1080" s="19" t="s">
        <v>658</v>
      </c>
      <c r="AA1080" s="19" t="s">
        <v>4919</v>
      </c>
      <c r="AB1080" s="19" t="s">
        <v>46</v>
      </c>
      <c r="AC1080" s="19" t="s">
        <v>46</v>
      </c>
      <c r="AD1080" s="19" t="s">
        <v>4920</v>
      </c>
      <c r="AE1080" s="19" t="s">
        <v>641</v>
      </c>
      <c r="AF1080" s="19" t="s">
        <v>190</v>
      </c>
      <c r="AG1080" s="19">
        <v>6</v>
      </c>
      <c r="AH1080" s="19" t="s">
        <v>190</v>
      </c>
      <c r="AI1080" s="19" t="s">
        <v>4921</v>
      </c>
      <c r="AJ1080" s="22">
        <v>43440.689942129633</v>
      </c>
      <c r="AK1080" s="19" t="s">
        <v>4424</v>
      </c>
    </row>
    <row r="1081" spans="1:37" s="23" customFormat="1">
      <c r="A1081" s="19" t="str">
        <f>VLOOKUP(H1081,Languages!$A$2:$B$430,2,FALSE)</f>
        <v>Indo-European</v>
      </c>
      <c r="B1081" s="19" t="s">
        <v>35</v>
      </c>
      <c r="C1081" s="19" t="s">
        <v>4417</v>
      </c>
      <c r="D1081" s="19" t="s">
        <v>4922</v>
      </c>
      <c r="E1081" s="20" t="s">
        <v>3656</v>
      </c>
      <c r="F1081" s="20" t="s">
        <v>3656</v>
      </c>
      <c r="G1081" s="19" t="s">
        <v>3656</v>
      </c>
      <c r="H1081" s="19" t="str">
        <f>VLOOKUP(G1081,'languoid 4.0'!$A$1:$I$24439,2,FALSE)</f>
        <v>indo1319</v>
      </c>
      <c r="I1081" s="19" t="str">
        <f>VLOOKUP(G1081,'languoid 4.0'!$A$1:$I$24439,6,FALSE)</f>
        <v>language</v>
      </c>
      <c r="J1081" s="20" t="s">
        <v>38</v>
      </c>
      <c r="K1081" s="20" t="s">
        <v>38</v>
      </c>
      <c r="L1081" s="20" t="s">
        <v>38</v>
      </c>
      <c r="M1081" s="19"/>
      <c r="N1081" s="19" t="s">
        <v>4419</v>
      </c>
      <c r="O1081" s="20" t="s">
        <v>40</v>
      </c>
      <c r="P1081" s="20" t="s">
        <v>41</v>
      </c>
      <c r="Q1081" s="19" t="s">
        <v>4923</v>
      </c>
      <c r="R1081" s="21" t="s">
        <v>4918</v>
      </c>
      <c r="S1081" s="19">
        <v>301</v>
      </c>
      <c r="T1081" s="19" t="s">
        <v>657</v>
      </c>
      <c r="U1081" s="19" t="s">
        <v>636</v>
      </c>
      <c r="V1081" s="19" t="s">
        <v>45</v>
      </c>
      <c r="W1081" s="19"/>
      <c r="X1081" s="19"/>
      <c r="Y1081" s="19"/>
      <c r="Z1081" s="19" t="s">
        <v>658</v>
      </c>
      <c r="AA1081" s="19" t="s">
        <v>4924</v>
      </c>
      <c r="AB1081" s="19" t="s">
        <v>46</v>
      </c>
      <c r="AC1081" s="19" t="s">
        <v>46</v>
      </c>
      <c r="AD1081" s="19" t="s">
        <v>4925</v>
      </c>
      <c r="AE1081" s="19" t="s">
        <v>641</v>
      </c>
      <c r="AF1081" s="19" t="s">
        <v>190</v>
      </c>
      <c r="AG1081" s="19">
        <v>5</v>
      </c>
      <c r="AH1081" s="19" t="s">
        <v>190</v>
      </c>
      <c r="AI1081" s="19"/>
      <c r="AJ1081" s="22">
        <v>43440.694282407407</v>
      </c>
      <c r="AK1081" s="19" t="s">
        <v>4424</v>
      </c>
    </row>
    <row r="1082" spans="1:37" s="23" customFormat="1">
      <c r="A1082" s="19" t="str">
        <f>VLOOKUP(H1082,Languages!$A$2:$B$430,2,FALSE)</f>
        <v>Indo-European</v>
      </c>
      <c r="B1082" s="19" t="s">
        <v>35</v>
      </c>
      <c r="C1082" s="19" t="s">
        <v>4417</v>
      </c>
      <c r="D1082" s="19" t="s">
        <v>4555</v>
      </c>
      <c r="E1082" s="20" t="s">
        <v>3656</v>
      </c>
      <c r="F1082" s="20" t="s">
        <v>3656</v>
      </c>
      <c r="G1082" s="19" t="s">
        <v>3656</v>
      </c>
      <c r="H1082" s="19" t="str">
        <f>VLOOKUP(G1082,'languoid 4.0'!$A$1:$I$24439,2,FALSE)</f>
        <v>indo1319</v>
      </c>
      <c r="I1082" s="19" t="str">
        <f>VLOOKUP(G1082,'languoid 4.0'!$A$1:$I$24439,6,FALSE)</f>
        <v>language</v>
      </c>
      <c r="J1082" s="20" t="s">
        <v>38</v>
      </c>
      <c r="K1082" s="20" t="s">
        <v>38</v>
      </c>
      <c r="L1082" s="20" t="s">
        <v>38</v>
      </c>
      <c r="M1082" s="19"/>
      <c r="N1082" s="19" t="s">
        <v>4419</v>
      </c>
      <c r="O1082" s="20" t="s">
        <v>40</v>
      </c>
      <c r="P1082" s="20" t="s">
        <v>41</v>
      </c>
      <c r="Q1082" s="19" t="s">
        <v>35</v>
      </c>
      <c r="R1082" s="21" t="s">
        <v>8654</v>
      </c>
      <c r="S1082" s="19">
        <v>12</v>
      </c>
      <c r="T1082" s="19" t="s">
        <v>8655</v>
      </c>
      <c r="U1082" s="19" t="s">
        <v>636</v>
      </c>
      <c r="V1082" s="19" t="s">
        <v>45</v>
      </c>
      <c r="W1082" s="19"/>
      <c r="X1082" s="19"/>
      <c r="Y1082" s="19"/>
      <c r="Z1082" s="19" t="s">
        <v>887</v>
      </c>
      <c r="AA1082" s="19" t="s">
        <v>8656</v>
      </c>
      <c r="AB1082" s="19" t="s">
        <v>46</v>
      </c>
      <c r="AC1082" s="19" t="s">
        <v>8657</v>
      </c>
      <c r="AD1082" s="19"/>
      <c r="AE1082" s="19" t="s">
        <v>641</v>
      </c>
      <c r="AF1082" s="19" t="s">
        <v>190</v>
      </c>
      <c r="AG1082" s="19">
        <v>6</v>
      </c>
      <c r="AH1082" s="19" t="s">
        <v>190</v>
      </c>
      <c r="AI1082" s="19"/>
      <c r="AJ1082" s="22">
        <v>43260.515173611115</v>
      </c>
      <c r="AK1082" s="19" t="s">
        <v>4424</v>
      </c>
    </row>
    <row r="1083" spans="1:37" s="23" customFormat="1">
      <c r="A1083" s="19" t="str">
        <f>VLOOKUP(H1083,Languages!$A$2:$B$430,2,FALSE)</f>
        <v>Indo-European</v>
      </c>
      <c r="B1083" s="19" t="s">
        <v>35</v>
      </c>
      <c r="C1083" s="19" t="s">
        <v>4417</v>
      </c>
      <c r="D1083" s="19" t="s">
        <v>4555</v>
      </c>
      <c r="E1083" s="20" t="s">
        <v>3656</v>
      </c>
      <c r="F1083" s="20" t="s">
        <v>3656</v>
      </c>
      <c r="G1083" s="19" t="s">
        <v>3656</v>
      </c>
      <c r="H1083" s="19" t="str">
        <f>VLOOKUP(G1083,'languoid 4.0'!$A$1:$I$24439,2,FALSE)</f>
        <v>indo1319</v>
      </c>
      <c r="I1083" s="19" t="str">
        <f>VLOOKUP(G1083,'languoid 4.0'!$A$1:$I$24439,6,FALSE)</f>
        <v>language</v>
      </c>
      <c r="J1083" s="20" t="s">
        <v>38</v>
      </c>
      <c r="K1083" s="20" t="s">
        <v>38</v>
      </c>
      <c r="L1083" s="20" t="s">
        <v>38</v>
      </c>
      <c r="M1083" s="19"/>
      <c r="N1083" s="19" t="s">
        <v>4419</v>
      </c>
      <c r="O1083" s="20" t="s">
        <v>40</v>
      </c>
      <c r="P1083" s="20" t="s">
        <v>41</v>
      </c>
      <c r="Q1083" s="19" t="s">
        <v>8658</v>
      </c>
      <c r="R1083" s="21" t="s">
        <v>8659</v>
      </c>
      <c r="S1083" s="19">
        <v>16</v>
      </c>
      <c r="T1083" s="19" t="s">
        <v>8660</v>
      </c>
      <c r="U1083" s="19" t="s">
        <v>636</v>
      </c>
      <c r="V1083" s="19" t="s">
        <v>45</v>
      </c>
      <c r="W1083" s="19"/>
      <c r="X1083" s="19"/>
      <c r="Y1083" s="19"/>
      <c r="Z1083" s="19" t="s">
        <v>658</v>
      </c>
      <c r="AA1083" s="19" t="s">
        <v>8656</v>
      </c>
      <c r="AB1083" s="19" t="s">
        <v>46</v>
      </c>
      <c r="AC1083" s="19" t="s">
        <v>46</v>
      </c>
      <c r="AD1083" s="19"/>
      <c r="AE1083" s="19" t="s">
        <v>641</v>
      </c>
      <c r="AF1083" s="19" t="s">
        <v>190</v>
      </c>
      <c r="AG1083" s="19">
        <v>6</v>
      </c>
      <c r="AH1083" s="19" t="s">
        <v>190</v>
      </c>
      <c r="AI1083" s="19"/>
      <c r="AJ1083" s="22">
        <v>43260.517731481479</v>
      </c>
      <c r="AK1083" s="19" t="s">
        <v>4424</v>
      </c>
    </row>
    <row r="1084" spans="1:37" s="23" customFormat="1">
      <c r="A1084" s="19" t="str">
        <f>VLOOKUP(H1084,Languages!$A$2:$B$430,2,FALSE)</f>
        <v>Indo-European</v>
      </c>
      <c r="B1084" s="19" t="s">
        <v>1726</v>
      </c>
      <c r="C1084" s="19" t="s">
        <v>94</v>
      </c>
      <c r="D1084" s="19" t="s">
        <v>8887</v>
      </c>
      <c r="E1084" s="20" t="s">
        <v>4833</v>
      </c>
      <c r="F1084" s="20" t="s">
        <v>4833</v>
      </c>
      <c r="G1084" s="19" t="s">
        <v>4833</v>
      </c>
      <c r="H1084" s="19" t="str">
        <f>VLOOKUP(G1084,'languoid 4.0'!$A$1:$I$24439,2,FALSE)</f>
        <v>indo1319</v>
      </c>
      <c r="I1084" s="19" t="str">
        <f>VLOOKUP(G1084,'languoid 4.0'!$A$1:$I$24439,6,FALSE)</f>
        <v>language</v>
      </c>
      <c r="J1084" s="20" t="s">
        <v>38</v>
      </c>
      <c r="K1084" s="20" t="s">
        <v>38</v>
      </c>
      <c r="L1084" s="20" t="s">
        <v>38</v>
      </c>
      <c r="M1084" s="19"/>
      <c r="N1084" s="19" t="s">
        <v>4834</v>
      </c>
      <c r="O1084" s="20" t="s">
        <v>40</v>
      </c>
      <c r="P1084" s="20" t="s">
        <v>41</v>
      </c>
      <c r="Q1084" s="19" t="s">
        <v>8888</v>
      </c>
      <c r="R1084" s="21" t="s">
        <v>8889</v>
      </c>
      <c r="S1084" s="19" t="s">
        <v>46</v>
      </c>
      <c r="T1084" s="19" t="s">
        <v>635</v>
      </c>
      <c r="U1084" s="19" t="s">
        <v>7208</v>
      </c>
      <c r="V1084" s="19" t="s">
        <v>45</v>
      </c>
      <c r="W1084" s="19"/>
      <c r="X1084" s="19"/>
      <c r="Y1084" s="19"/>
      <c r="Z1084" s="19" t="s">
        <v>658</v>
      </c>
      <c r="AA1084" s="19" t="s">
        <v>8890</v>
      </c>
      <c r="AB1084" s="19" t="s">
        <v>46</v>
      </c>
      <c r="AC1084" s="19" t="s">
        <v>46</v>
      </c>
      <c r="AD1084" s="19"/>
      <c r="AE1084" s="19" t="s">
        <v>641</v>
      </c>
      <c r="AF1084" s="19" t="s">
        <v>190</v>
      </c>
      <c r="AG1084" s="19">
        <v>6</v>
      </c>
      <c r="AH1084" s="19" t="s">
        <v>190</v>
      </c>
      <c r="AI1084" s="19"/>
      <c r="AJ1084" s="19" t="s">
        <v>8891</v>
      </c>
      <c r="AK1084" s="19" t="s">
        <v>8881</v>
      </c>
    </row>
    <row r="1085" spans="1:37" s="23" customFormat="1">
      <c r="A1085" s="19" t="str">
        <f>VLOOKUP(H1085,Languages!$A$2:$B$430,2,FALSE)</f>
        <v>Indo-European</v>
      </c>
      <c r="B1085" s="19" t="s">
        <v>1726</v>
      </c>
      <c r="C1085" s="19" t="s">
        <v>94</v>
      </c>
      <c r="D1085" s="19" t="s">
        <v>10046</v>
      </c>
      <c r="E1085" s="20" t="s">
        <v>180</v>
      </c>
      <c r="F1085" s="20" t="s">
        <v>180</v>
      </c>
      <c r="G1085" s="19" t="s">
        <v>180</v>
      </c>
      <c r="H1085" s="19" t="str">
        <f>VLOOKUP(G1085,'languoid 4.0'!$A$1:$I$24439,2,FALSE)</f>
        <v>indo1319</v>
      </c>
      <c r="I1085" s="19" t="str">
        <f>VLOOKUP(G1085,'languoid 4.0'!$A$1:$I$24439,6,FALSE)</f>
        <v>language</v>
      </c>
      <c r="J1085" s="20" t="s">
        <v>38</v>
      </c>
      <c r="K1085" s="20" t="s">
        <v>38</v>
      </c>
      <c r="L1085" s="20" t="s">
        <v>38</v>
      </c>
      <c r="M1085" s="19"/>
      <c r="N1085" s="19" t="s">
        <v>4842</v>
      </c>
      <c r="O1085" s="20" t="s">
        <v>40</v>
      </c>
      <c r="P1085" s="20" t="s">
        <v>41</v>
      </c>
      <c r="Q1085" s="19" t="s">
        <v>10047</v>
      </c>
      <c r="R1085" s="21" t="s">
        <v>10041</v>
      </c>
      <c r="S1085" s="19" t="s">
        <v>455</v>
      </c>
      <c r="T1085" s="19" t="s">
        <v>657</v>
      </c>
      <c r="U1085" s="19" t="s">
        <v>1812</v>
      </c>
      <c r="V1085" s="19" t="s">
        <v>45</v>
      </c>
      <c r="W1085" s="19"/>
      <c r="X1085" s="19"/>
      <c r="Y1085" s="19"/>
      <c r="Z1085" s="19" t="s">
        <v>1893</v>
      </c>
      <c r="AA1085" s="19" t="s">
        <v>10048</v>
      </c>
      <c r="AB1085" s="19" t="s">
        <v>10049</v>
      </c>
      <c r="AC1085" s="19" t="s">
        <v>10050</v>
      </c>
      <c r="AD1085" s="19"/>
      <c r="AE1085" s="19" t="s">
        <v>641</v>
      </c>
      <c r="AF1085" s="19" t="s">
        <v>190</v>
      </c>
      <c r="AG1085" s="19">
        <v>6</v>
      </c>
      <c r="AH1085" s="19" t="s">
        <v>190</v>
      </c>
      <c r="AI1085" s="19"/>
      <c r="AJ1085" s="22">
        <v>43231.418680555558</v>
      </c>
      <c r="AK1085" s="19" t="s">
        <v>8881</v>
      </c>
    </row>
    <row r="1086" spans="1:37" s="23" customFormat="1">
      <c r="A1086" s="19" t="str">
        <f>VLOOKUP(H1086,Languages!$A$2:$B$430,2,FALSE)</f>
        <v>Indo-European</v>
      </c>
      <c r="B1086" s="19" t="s">
        <v>1726</v>
      </c>
      <c r="C1086" s="19" t="s">
        <v>1012</v>
      </c>
      <c r="D1086" s="19" t="s">
        <v>2885</v>
      </c>
      <c r="E1086" s="20" t="s">
        <v>2886</v>
      </c>
      <c r="F1086" s="20" t="s">
        <v>2887</v>
      </c>
      <c r="G1086" s="19" t="s">
        <v>2886</v>
      </c>
      <c r="H1086" s="19" t="str">
        <f>VLOOKUP(G1086,'languoid 4.0'!$A$1:$I$24439,2,FALSE)</f>
        <v>indo1319</v>
      </c>
      <c r="I1086" s="19" t="str">
        <f>VLOOKUP(G1086,'languoid 4.0'!$A$1:$I$24439,6,FALSE)</f>
        <v>language</v>
      </c>
      <c r="J1086" s="20" t="s">
        <v>52</v>
      </c>
      <c r="K1086" s="20" t="s">
        <v>38</v>
      </c>
      <c r="L1086" s="20" t="s">
        <v>38</v>
      </c>
      <c r="M1086" s="19"/>
      <c r="N1086" s="19" t="s">
        <v>2888</v>
      </c>
      <c r="O1086" s="20" t="s">
        <v>40</v>
      </c>
      <c r="P1086" s="20" t="s">
        <v>41</v>
      </c>
      <c r="Q1086" s="19" t="s">
        <v>2889</v>
      </c>
      <c r="R1086" s="21" t="s">
        <v>2890</v>
      </c>
      <c r="S1086" s="19" t="s">
        <v>46</v>
      </c>
      <c r="T1086" s="19" t="s">
        <v>648</v>
      </c>
      <c r="U1086" s="19" t="s">
        <v>67</v>
      </c>
      <c r="V1086" s="19" t="s">
        <v>45</v>
      </c>
      <c r="W1086" s="19"/>
      <c r="X1086" s="19"/>
      <c r="Y1086" s="19"/>
      <c r="Z1086" s="19" t="s">
        <v>658</v>
      </c>
      <c r="AA1086" s="19" t="s">
        <v>2891</v>
      </c>
      <c r="AB1086" s="19" t="s">
        <v>46</v>
      </c>
      <c r="AC1086" s="19" t="s">
        <v>46</v>
      </c>
      <c r="AD1086" s="19" t="s">
        <v>2838</v>
      </c>
      <c r="AE1086" s="19" t="s">
        <v>641</v>
      </c>
      <c r="AF1086" s="19" t="s">
        <v>190</v>
      </c>
      <c r="AG1086" s="19">
        <v>5</v>
      </c>
      <c r="AH1086" s="19" t="s">
        <v>190</v>
      </c>
      <c r="AI1086" s="19"/>
      <c r="AJ1086" s="22">
        <v>43438.472685185188</v>
      </c>
      <c r="AK1086" s="19" t="s">
        <v>1023</v>
      </c>
    </row>
    <row r="1087" spans="1:37" s="23" customFormat="1">
      <c r="A1087" s="19" t="str">
        <f>VLOOKUP(H1087,Languages!$A$2:$B$430,2,FALSE)</f>
        <v>Indo-European</v>
      </c>
      <c r="B1087" s="19" t="s">
        <v>1726</v>
      </c>
      <c r="C1087" s="19" t="s">
        <v>1012</v>
      </c>
      <c r="D1087" s="19" t="s">
        <v>2901</v>
      </c>
      <c r="E1087" s="20" t="s">
        <v>2731</v>
      </c>
      <c r="F1087" s="20" t="s">
        <v>2731</v>
      </c>
      <c r="G1087" s="19" t="s">
        <v>2731</v>
      </c>
      <c r="H1087" s="19" t="str">
        <f>VLOOKUP(G1087,'languoid 4.0'!$A$1:$I$24439,2,FALSE)</f>
        <v>indo1319</v>
      </c>
      <c r="I1087" s="19" t="str">
        <f>VLOOKUP(G1087,'languoid 4.0'!$A$1:$I$24439,6,FALSE)</f>
        <v>language</v>
      </c>
      <c r="J1087" s="20" t="s">
        <v>38</v>
      </c>
      <c r="K1087" s="20" t="s">
        <v>38</v>
      </c>
      <c r="L1087" s="20" t="s">
        <v>38</v>
      </c>
      <c r="M1087" s="19"/>
      <c r="N1087" s="19" t="s">
        <v>2732</v>
      </c>
      <c r="O1087" s="20" t="s">
        <v>40</v>
      </c>
      <c r="P1087" s="20" t="s">
        <v>632</v>
      </c>
      <c r="Q1087" s="19" t="s">
        <v>2902</v>
      </c>
      <c r="R1087" s="21" t="s">
        <v>2903</v>
      </c>
      <c r="S1087" s="19" t="s">
        <v>46</v>
      </c>
      <c r="T1087" s="19" t="s">
        <v>635</v>
      </c>
      <c r="U1087" s="19" t="s">
        <v>67</v>
      </c>
      <c r="V1087" s="19" t="s">
        <v>45</v>
      </c>
      <c r="W1087" s="19"/>
      <c r="X1087" s="19"/>
      <c r="Y1087" s="19"/>
      <c r="Z1087" s="19" t="s">
        <v>658</v>
      </c>
      <c r="AA1087" s="19" t="s">
        <v>2904</v>
      </c>
      <c r="AB1087" s="19" t="s">
        <v>46</v>
      </c>
      <c r="AC1087" s="19" t="s">
        <v>46</v>
      </c>
      <c r="AD1087" s="19" t="s">
        <v>2838</v>
      </c>
      <c r="AE1087" s="19" t="s">
        <v>641</v>
      </c>
      <c r="AF1087" s="19" t="s">
        <v>190</v>
      </c>
      <c r="AG1087" s="19">
        <v>5</v>
      </c>
      <c r="AH1087" s="19" t="s">
        <v>190</v>
      </c>
      <c r="AI1087" s="19"/>
      <c r="AJ1087" s="22">
        <v>43438.497893518521</v>
      </c>
      <c r="AK1087" s="19" t="s">
        <v>1023</v>
      </c>
    </row>
    <row r="1088" spans="1:37" s="23" customFormat="1">
      <c r="A1088" s="19" t="str">
        <f>VLOOKUP(H1088,Languages!$A$2:$B$430,2,FALSE)</f>
        <v>Indo-European</v>
      </c>
      <c r="B1088" s="19" t="s">
        <v>1726</v>
      </c>
      <c r="C1088" s="19" t="s">
        <v>1012</v>
      </c>
      <c r="D1088" s="19" t="s">
        <v>2901</v>
      </c>
      <c r="E1088" s="20" t="s">
        <v>2731</v>
      </c>
      <c r="F1088" s="20" t="s">
        <v>2731</v>
      </c>
      <c r="G1088" s="19" t="s">
        <v>2731</v>
      </c>
      <c r="H1088" s="19" t="str">
        <f>VLOOKUP(G1088,'languoid 4.0'!$A$1:$I$24439,2,FALSE)</f>
        <v>indo1319</v>
      </c>
      <c r="I1088" s="19" t="str">
        <f>VLOOKUP(G1088,'languoid 4.0'!$A$1:$I$24439,6,FALSE)</f>
        <v>language</v>
      </c>
      <c r="J1088" s="20" t="s">
        <v>38</v>
      </c>
      <c r="K1088" s="20" t="s">
        <v>38</v>
      </c>
      <c r="L1088" s="20" t="s">
        <v>38</v>
      </c>
      <c r="M1088" s="19"/>
      <c r="N1088" s="19" t="s">
        <v>2732</v>
      </c>
      <c r="O1088" s="20" t="s">
        <v>40</v>
      </c>
      <c r="P1088" s="20" t="s">
        <v>632</v>
      </c>
      <c r="Q1088" s="19" t="s">
        <v>2908</v>
      </c>
      <c r="R1088" s="21" t="s">
        <v>2909</v>
      </c>
      <c r="S1088" s="19" t="s">
        <v>46</v>
      </c>
      <c r="T1088" s="19" t="s">
        <v>2735</v>
      </c>
      <c r="U1088" s="19" t="s">
        <v>67</v>
      </c>
      <c r="V1088" s="19" t="s">
        <v>45</v>
      </c>
      <c r="W1088" s="19"/>
      <c r="X1088" s="19"/>
      <c r="Y1088" s="19"/>
      <c r="Z1088" s="19" t="s">
        <v>658</v>
      </c>
      <c r="AA1088" s="19" t="s">
        <v>2910</v>
      </c>
      <c r="AB1088" s="19" t="s">
        <v>46</v>
      </c>
      <c r="AC1088" s="19" t="s">
        <v>46</v>
      </c>
      <c r="AD1088" s="19" t="s">
        <v>2838</v>
      </c>
      <c r="AE1088" s="19" t="s">
        <v>641</v>
      </c>
      <c r="AF1088" s="19" t="s">
        <v>190</v>
      </c>
      <c r="AG1088" s="19">
        <v>5</v>
      </c>
      <c r="AH1088" s="19" t="s">
        <v>190</v>
      </c>
      <c r="AI1088" s="19"/>
      <c r="AJ1088" s="22">
        <v>43438.520439814813</v>
      </c>
      <c r="AK1088" s="19" t="s">
        <v>1023</v>
      </c>
    </row>
    <row r="1089" spans="1:37" s="23" customFormat="1">
      <c r="A1089" s="19" t="str">
        <f>VLOOKUP(H1089,Languages!$A$2:$B$430,2,FALSE)</f>
        <v>Indo-European</v>
      </c>
      <c r="B1089" s="19" t="s">
        <v>1726</v>
      </c>
      <c r="C1089" s="19" t="s">
        <v>1012</v>
      </c>
      <c r="D1089" s="19" t="s">
        <v>2901</v>
      </c>
      <c r="E1089" s="20" t="s">
        <v>2731</v>
      </c>
      <c r="F1089" s="20" t="s">
        <v>2731</v>
      </c>
      <c r="G1089" s="19" t="s">
        <v>2731</v>
      </c>
      <c r="H1089" s="19" t="str">
        <f>VLOOKUP(G1089,'languoid 4.0'!$A$1:$I$24439,2,FALSE)</f>
        <v>indo1319</v>
      </c>
      <c r="I1089" s="19" t="str">
        <f>VLOOKUP(G1089,'languoid 4.0'!$A$1:$I$24439,6,FALSE)</f>
        <v>language</v>
      </c>
      <c r="J1089" s="20" t="s">
        <v>38</v>
      </c>
      <c r="K1089" s="20" t="s">
        <v>38</v>
      </c>
      <c r="L1089" s="20" t="s">
        <v>38</v>
      </c>
      <c r="M1089" s="19"/>
      <c r="N1089" s="19" t="s">
        <v>2732</v>
      </c>
      <c r="O1089" s="20" t="s">
        <v>40</v>
      </c>
      <c r="P1089" s="20" t="s">
        <v>632</v>
      </c>
      <c r="Q1089" s="19" t="s">
        <v>2911</v>
      </c>
      <c r="R1089" s="21" t="s">
        <v>2912</v>
      </c>
      <c r="S1089" s="19" t="s">
        <v>46</v>
      </c>
      <c r="T1089" s="19" t="s">
        <v>635</v>
      </c>
      <c r="U1089" s="19" t="s">
        <v>636</v>
      </c>
      <c r="V1089" s="19" t="s">
        <v>45</v>
      </c>
      <c r="W1089" s="19"/>
      <c r="X1089" s="19"/>
      <c r="Y1089" s="19"/>
      <c r="Z1089" s="19" t="s">
        <v>658</v>
      </c>
      <c r="AA1089" s="19" t="s">
        <v>2913</v>
      </c>
      <c r="AB1089" s="19" t="s">
        <v>46</v>
      </c>
      <c r="AC1089" s="19" t="s">
        <v>46</v>
      </c>
      <c r="AD1089" s="19" t="s">
        <v>2914</v>
      </c>
      <c r="AE1089" s="19" t="s">
        <v>641</v>
      </c>
      <c r="AF1089" s="19" t="s">
        <v>190</v>
      </c>
      <c r="AG1089" s="19">
        <v>5</v>
      </c>
      <c r="AH1089" s="19" t="s">
        <v>190</v>
      </c>
      <c r="AI1089" s="19"/>
      <c r="AJ1089" s="22">
        <v>43438.537210648145</v>
      </c>
      <c r="AK1089" s="19" t="s">
        <v>1023</v>
      </c>
    </row>
    <row r="1090" spans="1:37" s="23" customFormat="1">
      <c r="A1090" s="19" t="str">
        <f>VLOOKUP(H1090,Languages!$A$2:$B$430,2,FALSE)</f>
        <v>Indo-European</v>
      </c>
      <c r="B1090" s="19" t="s">
        <v>1726</v>
      </c>
      <c r="C1090" s="19" t="s">
        <v>1012</v>
      </c>
      <c r="D1090" s="19" t="s">
        <v>2923</v>
      </c>
      <c r="E1090" s="20" t="s">
        <v>51</v>
      </c>
      <c r="F1090" s="20" t="s">
        <v>2757</v>
      </c>
      <c r="G1090" s="19" t="s">
        <v>2757</v>
      </c>
      <c r="H1090" s="19" t="str">
        <f>VLOOKUP(G1090,'languoid 4.0'!$A$1:$I$24439,2,FALSE)</f>
        <v>indo1319</v>
      </c>
      <c r="I1090" s="19" t="str">
        <f>VLOOKUP(G1090,'languoid 4.0'!$A$1:$I$24439,6,FALSE)</f>
        <v>family</v>
      </c>
      <c r="J1090" s="20" t="s">
        <v>52</v>
      </c>
      <c r="K1090" s="20" t="s">
        <v>51</v>
      </c>
      <c r="L1090" s="20" t="s">
        <v>51</v>
      </c>
      <c r="M1090" s="19"/>
      <c r="N1090" s="19" t="e">
        <v>#N/A</v>
      </c>
      <c r="O1090" s="20" t="s">
        <v>690</v>
      </c>
      <c r="P1090" s="20"/>
      <c r="Q1090" s="19" t="s">
        <v>4519</v>
      </c>
      <c r="R1090" s="21" t="s">
        <v>4520</v>
      </c>
      <c r="S1090" s="19" t="s">
        <v>43</v>
      </c>
      <c r="T1090" s="19" t="s">
        <v>718</v>
      </c>
      <c r="U1090" s="19" t="s">
        <v>636</v>
      </c>
      <c r="V1090" s="19" t="s">
        <v>45</v>
      </c>
      <c r="W1090" s="19"/>
      <c r="X1090" s="19"/>
      <c r="Y1090" s="19"/>
      <c r="Z1090" s="19" t="s">
        <v>823</v>
      </c>
      <c r="AA1090" s="19" t="s">
        <v>4521</v>
      </c>
      <c r="AB1090" s="19" t="s">
        <v>4522</v>
      </c>
      <c r="AC1090" s="19" t="s">
        <v>4523</v>
      </c>
      <c r="AD1090" s="19"/>
      <c r="AE1090" s="19" t="s">
        <v>641</v>
      </c>
      <c r="AF1090" s="19" t="s">
        <v>190</v>
      </c>
      <c r="AG1090" s="19">
        <v>6</v>
      </c>
      <c r="AH1090" s="19" t="s">
        <v>190</v>
      </c>
      <c r="AI1090" s="19"/>
      <c r="AJ1090" s="22">
        <v>43257.502384259256</v>
      </c>
      <c r="AK1090" s="19" t="s">
        <v>4489</v>
      </c>
    </row>
    <row r="1091" spans="1:37" s="23" customFormat="1">
      <c r="A1091" s="19" t="str">
        <f>VLOOKUP(H1091,Languages!$A$2:$B$430,2,FALSE)</f>
        <v>Indo-European</v>
      </c>
      <c r="B1091" s="19" t="s">
        <v>1726</v>
      </c>
      <c r="C1091" s="19" t="s">
        <v>1012</v>
      </c>
      <c r="D1091" s="19" t="s">
        <v>10056</v>
      </c>
      <c r="E1091" s="20" t="s">
        <v>2845</v>
      </c>
      <c r="F1091" s="20" t="s">
        <v>2845</v>
      </c>
      <c r="G1091" s="19" t="s">
        <v>2845</v>
      </c>
      <c r="H1091" s="19" t="str">
        <f>VLOOKUP(G1091,'languoid 4.0'!$A$1:$I$24439,2,FALSE)</f>
        <v>indo1319</v>
      </c>
      <c r="I1091" s="19" t="str">
        <f>VLOOKUP(G1091,'languoid 4.0'!$A$1:$I$24439,6,FALSE)</f>
        <v>language</v>
      </c>
      <c r="J1091" s="20" t="s">
        <v>38</v>
      </c>
      <c r="K1091" s="20" t="s">
        <v>38</v>
      </c>
      <c r="L1091" s="20" t="s">
        <v>38</v>
      </c>
      <c r="M1091" s="19"/>
      <c r="N1091" s="19" t="s">
        <v>2846</v>
      </c>
      <c r="O1091" s="20" t="s">
        <v>40</v>
      </c>
      <c r="P1091" s="20" t="s">
        <v>41</v>
      </c>
      <c r="Q1091" s="19" t="s">
        <v>10064</v>
      </c>
      <c r="R1091" s="21" t="s">
        <v>10065</v>
      </c>
      <c r="S1091" s="19" t="s">
        <v>2714</v>
      </c>
      <c r="T1091" s="19" t="s">
        <v>8277</v>
      </c>
      <c r="U1091" s="19" t="s">
        <v>636</v>
      </c>
      <c r="V1091" s="19" t="s">
        <v>45</v>
      </c>
      <c r="W1091" s="19"/>
      <c r="X1091" s="19"/>
      <c r="Y1091" s="19"/>
      <c r="Z1091" s="19" t="s">
        <v>673</v>
      </c>
      <c r="AA1091" s="19" t="s">
        <v>46</v>
      </c>
      <c r="AB1091" s="19" t="s">
        <v>10066</v>
      </c>
      <c r="AC1091" s="19" t="s">
        <v>46</v>
      </c>
      <c r="AD1091" s="19" t="s">
        <v>10067</v>
      </c>
      <c r="AE1091" s="19" t="s">
        <v>641</v>
      </c>
      <c r="AF1091" s="19" t="s">
        <v>190</v>
      </c>
      <c r="AG1091" s="19">
        <v>4</v>
      </c>
      <c r="AH1091" s="19" t="s">
        <v>190</v>
      </c>
      <c r="AI1091" s="19"/>
      <c r="AJ1091" s="22">
        <v>43231.462881944448</v>
      </c>
      <c r="AK1091" s="19" t="s">
        <v>9595</v>
      </c>
    </row>
    <row r="1092" spans="1:37" s="23" customFormat="1">
      <c r="A1092" s="19" t="str">
        <f>VLOOKUP(H1092,Languages!$A$2:$B$430,2,FALSE)</f>
        <v>Indo-European</v>
      </c>
      <c r="B1092" s="19" t="s">
        <v>1726</v>
      </c>
      <c r="C1092" s="19" t="s">
        <v>10200</v>
      </c>
      <c r="D1092" s="19" t="s">
        <v>10531</v>
      </c>
      <c r="E1092" s="20" t="s">
        <v>2995</v>
      </c>
      <c r="F1092" s="20" t="s">
        <v>2995</v>
      </c>
      <c r="G1092" s="19" t="s">
        <v>2995</v>
      </c>
      <c r="H1092" s="19" t="str">
        <f>VLOOKUP(G1092,'languoid 4.0'!$A$1:$I$24439,2,FALSE)</f>
        <v>indo1319</v>
      </c>
      <c r="I1092" s="19" t="str">
        <f>VLOOKUP(G1092,'languoid 4.0'!$A$1:$I$24439,6,FALSE)</f>
        <v>language</v>
      </c>
      <c r="J1092" s="20" t="s">
        <v>38</v>
      </c>
      <c r="K1092" s="20" t="s">
        <v>38</v>
      </c>
      <c r="L1092" s="20" t="s">
        <v>38</v>
      </c>
      <c r="M1092" s="19"/>
      <c r="N1092" s="19" t="s">
        <v>2996</v>
      </c>
      <c r="O1092" s="20" t="s">
        <v>40</v>
      </c>
      <c r="P1092" s="20" t="s">
        <v>41</v>
      </c>
      <c r="Q1092" s="19" t="s">
        <v>10532</v>
      </c>
      <c r="R1092" s="21" t="s">
        <v>10533</v>
      </c>
      <c r="S1092" s="19" t="s">
        <v>1205</v>
      </c>
      <c r="T1092" s="19" t="s">
        <v>10534</v>
      </c>
      <c r="U1092" s="19" t="s">
        <v>636</v>
      </c>
      <c r="V1092" s="19" t="s">
        <v>45</v>
      </c>
      <c r="W1092" s="19"/>
      <c r="X1092" s="19"/>
      <c r="Y1092" s="19"/>
      <c r="Z1092" s="19" t="s">
        <v>658</v>
      </c>
      <c r="AA1092" s="19" t="s">
        <v>10535</v>
      </c>
      <c r="AB1092" s="19" t="s">
        <v>46</v>
      </c>
      <c r="AC1092" s="19" t="s">
        <v>46</v>
      </c>
      <c r="AD1092" s="19"/>
      <c r="AE1092" s="19" t="s">
        <v>641</v>
      </c>
      <c r="AF1092" s="19" t="s">
        <v>190</v>
      </c>
      <c r="AG1092" s="19">
        <v>6</v>
      </c>
      <c r="AH1092" s="19" t="s">
        <v>190</v>
      </c>
      <c r="AI1092" s="19"/>
      <c r="AJ1092" s="19" t="s">
        <v>10536</v>
      </c>
      <c r="AK1092" s="19" t="s">
        <v>4945</v>
      </c>
    </row>
    <row r="1093" spans="1:37" s="23" customFormat="1">
      <c r="A1093" s="19" t="str">
        <f>VLOOKUP(H1093,Languages!$A$2:$B$430,2,FALSE)</f>
        <v>Indo-European</v>
      </c>
      <c r="B1093" s="19" t="s">
        <v>1726</v>
      </c>
      <c r="C1093" s="19" t="s">
        <v>1405</v>
      </c>
      <c r="D1093" s="19" t="s">
        <v>1423</v>
      </c>
      <c r="E1093" s="20" t="s">
        <v>1407</v>
      </c>
      <c r="F1093" s="20" t="s">
        <v>1407</v>
      </c>
      <c r="G1093" s="19" t="s">
        <v>1407</v>
      </c>
      <c r="H1093" s="19" t="str">
        <f>VLOOKUP(G1093,'languoid 4.0'!$A$1:$I$24439,2,FALSE)</f>
        <v>indo1319</v>
      </c>
      <c r="I1093" s="19" t="str">
        <f>VLOOKUP(G1093,'languoid 4.0'!$A$1:$I$24439,6,FALSE)</f>
        <v>language</v>
      </c>
      <c r="J1093" s="20" t="s">
        <v>38</v>
      </c>
      <c r="K1093" s="20" t="s">
        <v>38</v>
      </c>
      <c r="L1093" s="20" t="s">
        <v>38</v>
      </c>
      <c r="M1093" s="19"/>
      <c r="N1093" s="19" t="s">
        <v>1409</v>
      </c>
      <c r="O1093" s="20" t="s">
        <v>40</v>
      </c>
      <c r="P1093" s="20" t="s">
        <v>632</v>
      </c>
      <c r="Q1093" s="19" t="s">
        <v>3523</v>
      </c>
      <c r="R1093" s="21" t="s">
        <v>3524</v>
      </c>
      <c r="S1093" s="19" t="s">
        <v>46</v>
      </c>
      <c r="T1093" s="19" t="s">
        <v>635</v>
      </c>
      <c r="U1093" s="19" t="s">
        <v>636</v>
      </c>
      <c r="V1093" s="19" t="s">
        <v>45</v>
      </c>
      <c r="W1093" s="19"/>
      <c r="X1093" s="19"/>
      <c r="Y1093" s="19"/>
      <c r="Z1093" s="19" t="s">
        <v>658</v>
      </c>
      <c r="AA1093" s="19" t="s">
        <v>3525</v>
      </c>
      <c r="AB1093" s="19" t="s">
        <v>46</v>
      </c>
      <c r="AC1093" s="19" t="s">
        <v>46</v>
      </c>
      <c r="AD1093" s="19"/>
      <c r="AE1093" s="19" t="s">
        <v>641</v>
      </c>
      <c r="AF1093" s="19" t="s">
        <v>190</v>
      </c>
      <c r="AG1093" s="19">
        <v>5</v>
      </c>
      <c r="AH1093" s="19" t="s">
        <v>190</v>
      </c>
      <c r="AI1093" s="19"/>
      <c r="AJ1093" s="22">
        <v>43105.307743055557</v>
      </c>
      <c r="AK1093" s="19" t="s">
        <v>1598</v>
      </c>
    </row>
    <row r="1094" spans="1:37" s="23" customFormat="1">
      <c r="A1094" s="19" t="str">
        <f>VLOOKUP(H1094,Languages!$A$2:$B$430,2,FALSE)</f>
        <v>Indo-European</v>
      </c>
      <c r="B1094" s="19" t="s">
        <v>1726</v>
      </c>
      <c r="C1094" s="19" t="s">
        <v>1405</v>
      </c>
      <c r="D1094" s="19" t="s">
        <v>1415</v>
      </c>
      <c r="E1094" s="20" t="s">
        <v>1416</v>
      </c>
      <c r="F1094" s="20" t="s">
        <v>1416</v>
      </c>
      <c r="G1094" s="19" t="s">
        <v>1416</v>
      </c>
      <c r="H1094" s="19" t="str">
        <f>VLOOKUP(G1094,'languoid 4.0'!$A$1:$I$24439,2,FALSE)</f>
        <v>indo1319</v>
      </c>
      <c r="I1094" s="19" t="str">
        <f>VLOOKUP(G1094,'languoid 4.0'!$A$1:$I$24439,6,FALSE)</f>
        <v>language</v>
      </c>
      <c r="J1094" s="20" t="s">
        <v>38</v>
      </c>
      <c r="K1094" s="20" t="s">
        <v>38</v>
      </c>
      <c r="L1094" s="20" t="s">
        <v>38</v>
      </c>
      <c r="M1094" s="19"/>
      <c r="N1094" s="19" t="s">
        <v>3553</v>
      </c>
      <c r="O1094" s="20" t="s">
        <v>40</v>
      </c>
      <c r="P1094" s="20" t="s">
        <v>632</v>
      </c>
      <c r="Q1094" s="19" t="s">
        <v>3554</v>
      </c>
      <c r="R1094" s="21" t="s">
        <v>3555</v>
      </c>
      <c r="S1094" s="19" t="s">
        <v>46</v>
      </c>
      <c r="T1094" s="19" t="s">
        <v>635</v>
      </c>
      <c r="U1094" s="19" t="s">
        <v>636</v>
      </c>
      <c r="V1094" s="19" t="s">
        <v>45</v>
      </c>
      <c r="W1094" s="19"/>
      <c r="X1094" s="19"/>
      <c r="Y1094" s="19"/>
      <c r="Z1094" s="19" t="s">
        <v>658</v>
      </c>
      <c r="AA1094" s="19" t="s">
        <v>3556</v>
      </c>
      <c r="AB1094" s="19" t="s">
        <v>46</v>
      </c>
      <c r="AC1094" s="19" t="s">
        <v>46</v>
      </c>
      <c r="AD1094" s="19"/>
      <c r="AE1094" s="19" t="s">
        <v>641</v>
      </c>
      <c r="AF1094" s="19" t="s">
        <v>190</v>
      </c>
      <c r="AG1094" s="19">
        <v>6</v>
      </c>
      <c r="AH1094" s="19" t="s">
        <v>190</v>
      </c>
      <c r="AI1094" s="19"/>
      <c r="AJ1094" s="22">
        <v>43105.347129629627</v>
      </c>
      <c r="AK1094" s="19" t="s">
        <v>1598</v>
      </c>
    </row>
    <row r="1095" spans="1:37" s="23" customFormat="1">
      <c r="A1095" s="19" t="str">
        <f>VLOOKUP(H1095,Languages!$A$2:$B$430,2,FALSE)</f>
        <v>Indo-European</v>
      </c>
      <c r="B1095" s="19" t="s">
        <v>1726</v>
      </c>
      <c r="C1095" s="19" t="s">
        <v>407</v>
      </c>
      <c r="D1095" s="19" t="s">
        <v>11151</v>
      </c>
      <c r="E1095" s="20" t="s">
        <v>239</v>
      </c>
      <c r="F1095" s="20" t="s">
        <v>239</v>
      </c>
      <c r="G1095" s="19" t="s">
        <v>239</v>
      </c>
      <c r="H1095" s="19" t="str">
        <f>VLOOKUP(G1095,'languoid 4.0'!$A$1:$I$24439,2,FALSE)</f>
        <v>indo1319</v>
      </c>
      <c r="I1095" s="19" t="str">
        <f>VLOOKUP(G1095,'languoid 4.0'!$A$1:$I$24439,6,FALSE)</f>
        <v>language</v>
      </c>
      <c r="J1095" s="20" t="s">
        <v>38</v>
      </c>
      <c r="K1095" s="20" t="s">
        <v>38</v>
      </c>
      <c r="L1095" s="20" t="s">
        <v>38</v>
      </c>
      <c r="M1095" s="19"/>
      <c r="N1095" s="19" t="s">
        <v>269</v>
      </c>
      <c r="O1095" s="20" t="s">
        <v>40</v>
      </c>
      <c r="P1095" s="20" t="s">
        <v>41</v>
      </c>
      <c r="Q1095" s="19" t="s">
        <v>11406</v>
      </c>
      <c r="R1095" s="21" t="s">
        <v>11148</v>
      </c>
      <c r="S1095" s="19" t="s">
        <v>387</v>
      </c>
      <c r="T1095" s="19" t="s">
        <v>657</v>
      </c>
      <c r="U1095" s="19" t="s">
        <v>636</v>
      </c>
      <c r="V1095" s="19" t="s">
        <v>45</v>
      </c>
      <c r="W1095" s="19"/>
      <c r="X1095" s="19"/>
      <c r="Y1095" s="19"/>
      <c r="Z1095" s="19" t="s">
        <v>887</v>
      </c>
      <c r="AA1095" s="19" t="s">
        <v>46</v>
      </c>
      <c r="AB1095" s="19" t="s">
        <v>46</v>
      </c>
      <c r="AC1095" s="19" t="s">
        <v>11407</v>
      </c>
      <c r="AD1095" s="19"/>
      <c r="AE1095" s="19" t="s">
        <v>641</v>
      </c>
      <c r="AF1095" s="19" t="s">
        <v>190</v>
      </c>
      <c r="AG1095" s="19">
        <v>6</v>
      </c>
      <c r="AH1095" s="19" t="s">
        <v>190</v>
      </c>
      <c r="AI1095" s="19"/>
      <c r="AJ1095" s="19" t="s">
        <v>11408</v>
      </c>
      <c r="AK1095" s="19" t="s">
        <v>4386</v>
      </c>
    </row>
    <row r="1096" spans="1:37" s="23" customFormat="1">
      <c r="A1096" s="19" t="str">
        <f>VLOOKUP(H1096,Languages!$A$2:$B$430,2,FALSE)</f>
        <v>Indo-European</v>
      </c>
      <c r="B1096" s="19" t="s">
        <v>1726</v>
      </c>
      <c r="C1096" s="19" t="s">
        <v>159</v>
      </c>
      <c r="D1096" s="19" t="s">
        <v>4646</v>
      </c>
      <c r="E1096" s="20" t="s">
        <v>161</v>
      </c>
      <c r="F1096" s="20" t="s">
        <v>4630</v>
      </c>
      <c r="G1096" s="19" t="s">
        <v>161</v>
      </c>
      <c r="H1096" s="19" t="str">
        <f>VLOOKUP(G1096,'languoid 4.0'!$A$1:$I$24439,2,FALSE)</f>
        <v>indo1319</v>
      </c>
      <c r="I1096" s="19" t="str">
        <f>VLOOKUP(G1096,'languoid 4.0'!$A$1:$I$24439,6,FALSE)</f>
        <v>family</v>
      </c>
      <c r="J1096" s="20" t="s">
        <v>52</v>
      </c>
      <c r="K1096" s="20" t="s">
        <v>52</v>
      </c>
      <c r="L1096" s="20" t="s">
        <v>52</v>
      </c>
      <c r="M1096" s="19"/>
      <c r="N1096" s="19" t="s">
        <v>162</v>
      </c>
      <c r="O1096" s="20" t="s">
        <v>113</v>
      </c>
      <c r="P1096" s="20" t="s">
        <v>41</v>
      </c>
      <c r="Q1096" s="19" t="s">
        <v>4651</v>
      </c>
      <c r="R1096" s="21" t="s">
        <v>4652</v>
      </c>
      <c r="S1096" s="19" t="s">
        <v>46</v>
      </c>
      <c r="T1096" s="19" t="s">
        <v>648</v>
      </c>
      <c r="U1096" s="19" t="s">
        <v>1812</v>
      </c>
      <c r="V1096" s="19" t="s">
        <v>45</v>
      </c>
      <c r="W1096" s="19"/>
      <c r="X1096" s="19"/>
      <c r="Y1096" s="19"/>
      <c r="Z1096" s="19" t="s">
        <v>637</v>
      </c>
      <c r="AA1096" s="19" t="s">
        <v>4653</v>
      </c>
      <c r="AB1096" s="19" t="s">
        <v>4654</v>
      </c>
      <c r="AC1096" s="19" t="s">
        <v>46</v>
      </c>
      <c r="AD1096" s="19"/>
      <c r="AE1096" s="19" t="s">
        <v>641</v>
      </c>
      <c r="AF1096" s="19" t="s">
        <v>190</v>
      </c>
      <c r="AG1096" s="19">
        <v>6</v>
      </c>
      <c r="AH1096" s="19" t="s">
        <v>190</v>
      </c>
      <c r="AI1096" s="19"/>
      <c r="AJ1096" s="22">
        <v>43318.654849537037</v>
      </c>
      <c r="AK1096" s="19" t="s">
        <v>4608</v>
      </c>
    </row>
    <row r="1097" spans="1:37" s="23" customFormat="1">
      <c r="A1097" s="19" t="str">
        <f>VLOOKUP(H1097,Languages!$A$2:$B$430,2,FALSE)</f>
        <v>Indo-European</v>
      </c>
      <c r="B1097" s="19" t="s">
        <v>1726</v>
      </c>
      <c r="C1097" s="19" t="s">
        <v>419</v>
      </c>
      <c r="D1097" s="19" t="s">
        <v>6873</v>
      </c>
      <c r="E1097" s="20" t="s">
        <v>239</v>
      </c>
      <c r="F1097" s="20" t="s">
        <v>239</v>
      </c>
      <c r="G1097" s="19" t="s">
        <v>239</v>
      </c>
      <c r="H1097" s="19" t="str">
        <f>VLOOKUP(G1097,'languoid 4.0'!$A$1:$I$24439,2,FALSE)</f>
        <v>indo1319</v>
      </c>
      <c r="I1097" s="19" t="str">
        <f>VLOOKUP(G1097,'languoid 4.0'!$A$1:$I$24439,6,FALSE)</f>
        <v>language</v>
      </c>
      <c r="J1097" s="20" t="s">
        <v>38</v>
      </c>
      <c r="K1097" s="20" t="s">
        <v>38</v>
      </c>
      <c r="L1097" s="20" t="s">
        <v>38</v>
      </c>
      <c r="M1097" s="19"/>
      <c r="N1097" s="19" t="s">
        <v>269</v>
      </c>
      <c r="O1097" s="20" t="s">
        <v>40</v>
      </c>
      <c r="P1097" s="20" t="s">
        <v>41</v>
      </c>
      <c r="Q1097" s="19" t="s">
        <v>46</v>
      </c>
      <c r="R1097" s="21" t="s">
        <v>6883</v>
      </c>
      <c r="S1097" s="19" t="s">
        <v>46</v>
      </c>
      <c r="T1097" s="19" t="s">
        <v>635</v>
      </c>
      <c r="U1097" s="19" t="s">
        <v>35</v>
      </c>
      <c r="V1097" s="19" t="s">
        <v>45</v>
      </c>
      <c r="W1097" s="19"/>
      <c r="X1097" s="19"/>
      <c r="Y1097" s="19"/>
      <c r="Z1097" s="19" t="s">
        <v>637</v>
      </c>
      <c r="AA1097" s="19" t="s">
        <v>6884</v>
      </c>
      <c r="AB1097" s="19" t="s">
        <v>6885</v>
      </c>
      <c r="AC1097" s="19" t="s">
        <v>46</v>
      </c>
      <c r="AD1097" s="19" t="s">
        <v>46</v>
      </c>
      <c r="AE1097" s="19" t="s">
        <v>641</v>
      </c>
      <c r="AF1097" s="19" t="s">
        <v>190</v>
      </c>
      <c r="AG1097" s="19">
        <v>6</v>
      </c>
      <c r="AH1097" s="19" t="s">
        <v>190</v>
      </c>
      <c r="AI1097" s="19" t="s">
        <v>46</v>
      </c>
      <c r="AJ1097" s="19" t="s">
        <v>6886</v>
      </c>
      <c r="AK1097" s="19" t="s">
        <v>1607</v>
      </c>
    </row>
    <row r="1098" spans="1:37" s="23" customFormat="1">
      <c r="A1098" s="19" t="str">
        <f>VLOOKUP(H1098,Languages!$A$2:$B$430,2,FALSE)</f>
        <v>Indo-European</v>
      </c>
      <c r="B1098" s="19" t="s">
        <v>1726</v>
      </c>
      <c r="C1098" s="19" t="s">
        <v>419</v>
      </c>
      <c r="D1098" s="19" t="s">
        <v>6873</v>
      </c>
      <c r="E1098" s="20" t="s">
        <v>239</v>
      </c>
      <c r="F1098" s="20" t="s">
        <v>239</v>
      </c>
      <c r="G1098" s="19" t="s">
        <v>239</v>
      </c>
      <c r="H1098" s="19" t="str">
        <f>VLOOKUP(G1098,'languoid 4.0'!$A$1:$I$24439,2,FALSE)</f>
        <v>indo1319</v>
      </c>
      <c r="I1098" s="19" t="str">
        <f>VLOOKUP(G1098,'languoid 4.0'!$A$1:$I$24439,6,FALSE)</f>
        <v>language</v>
      </c>
      <c r="J1098" s="20" t="s">
        <v>38</v>
      </c>
      <c r="K1098" s="20" t="s">
        <v>38</v>
      </c>
      <c r="L1098" s="20" t="s">
        <v>38</v>
      </c>
      <c r="M1098" s="19"/>
      <c r="N1098" s="19" t="s">
        <v>269</v>
      </c>
      <c r="O1098" s="20" t="s">
        <v>40</v>
      </c>
      <c r="P1098" s="20" t="s">
        <v>41</v>
      </c>
      <c r="Q1098" s="19" t="s">
        <v>9003</v>
      </c>
      <c r="R1098" s="21" t="s">
        <v>9004</v>
      </c>
      <c r="S1098" s="19" t="s">
        <v>46</v>
      </c>
      <c r="T1098" s="19" t="s">
        <v>635</v>
      </c>
      <c r="U1098" s="19" t="s">
        <v>636</v>
      </c>
      <c r="V1098" s="19" t="s">
        <v>45</v>
      </c>
      <c r="W1098" s="19"/>
      <c r="X1098" s="19"/>
      <c r="Y1098" s="19"/>
      <c r="Z1098" s="19" t="s">
        <v>673</v>
      </c>
      <c r="AA1098" s="19" t="s">
        <v>9005</v>
      </c>
      <c r="AB1098" s="19" t="s">
        <v>9006</v>
      </c>
      <c r="AC1098" s="19" t="s">
        <v>46</v>
      </c>
      <c r="AD1098" s="19"/>
      <c r="AE1098" s="19" t="s">
        <v>641</v>
      </c>
      <c r="AF1098" s="19" t="s">
        <v>190</v>
      </c>
      <c r="AG1098" s="19">
        <v>6</v>
      </c>
      <c r="AH1098" s="19" t="s">
        <v>190</v>
      </c>
      <c r="AI1098" s="19"/>
      <c r="AJ1098" s="19" t="s">
        <v>9007</v>
      </c>
      <c r="AK1098" s="19" t="s">
        <v>8989</v>
      </c>
    </row>
    <row r="1099" spans="1:37" s="23" customFormat="1">
      <c r="A1099" s="19" t="str">
        <f>VLOOKUP(H1099,Languages!$A$2:$B$430,2,FALSE)</f>
        <v>Indo-European</v>
      </c>
      <c r="B1099" s="19" t="s">
        <v>1726</v>
      </c>
      <c r="C1099" s="19" t="s">
        <v>419</v>
      </c>
      <c r="D1099" s="19" t="s">
        <v>6873</v>
      </c>
      <c r="E1099" s="20" t="s">
        <v>239</v>
      </c>
      <c r="F1099" s="20" t="s">
        <v>239</v>
      </c>
      <c r="G1099" s="19" t="s">
        <v>239</v>
      </c>
      <c r="H1099" s="19" t="str">
        <f>VLOOKUP(G1099,'languoid 4.0'!$A$1:$I$24439,2,FALSE)</f>
        <v>indo1319</v>
      </c>
      <c r="I1099" s="19" t="str">
        <f>VLOOKUP(G1099,'languoid 4.0'!$A$1:$I$24439,6,FALSE)</f>
        <v>language</v>
      </c>
      <c r="J1099" s="20" t="s">
        <v>38</v>
      </c>
      <c r="K1099" s="20" t="s">
        <v>38</v>
      </c>
      <c r="L1099" s="20" t="s">
        <v>38</v>
      </c>
      <c r="M1099" s="19"/>
      <c r="N1099" s="19" t="s">
        <v>269</v>
      </c>
      <c r="O1099" s="20" t="s">
        <v>40</v>
      </c>
      <c r="P1099" s="20" t="s">
        <v>41</v>
      </c>
      <c r="Q1099" s="19" t="s">
        <v>9008</v>
      </c>
      <c r="R1099" s="21" t="s">
        <v>6879</v>
      </c>
      <c r="S1099" s="19" t="s">
        <v>46</v>
      </c>
      <c r="T1099" s="19" t="s">
        <v>635</v>
      </c>
      <c r="U1099" s="19" t="s">
        <v>636</v>
      </c>
      <c r="V1099" s="19" t="s">
        <v>45</v>
      </c>
      <c r="W1099" s="19"/>
      <c r="X1099" s="19"/>
      <c r="Y1099" s="19"/>
      <c r="Z1099" s="19" t="s">
        <v>673</v>
      </c>
      <c r="AA1099" s="19" t="s">
        <v>9009</v>
      </c>
      <c r="AB1099" s="19" t="s">
        <v>9010</v>
      </c>
      <c r="AC1099" s="19" t="s">
        <v>46</v>
      </c>
      <c r="AD1099" s="19"/>
      <c r="AE1099" s="19" t="s">
        <v>641</v>
      </c>
      <c r="AF1099" s="19" t="s">
        <v>190</v>
      </c>
      <c r="AG1099" s="19">
        <v>6</v>
      </c>
      <c r="AH1099" s="19" t="s">
        <v>190</v>
      </c>
      <c r="AI1099" s="19"/>
      <c r="AJ1099" s="19" t="s">
        <v>9011</v>
      </c>
      <c r="AK1099" s="19" t="s">
        <v>8989</v>
      </c>
    </row>
    <row r="1100" spans="1:37" s="23" customFormat="1">
      <c r="A1100" s="19" t="str">
        <f>VLOOKUP(H1100,Languages!$A$2:$B$430,2,FALSE)</f>
        <v>Indo-European</v>
      </c>
      <c r="B1100" s="19" t="s">
        <v>1726</v>
      </c>
      <c r="C1100" s="19" t="s">
        <v>419</v>
      </c>
      <c r="D1100" s="19" t="s">
        <v>9888</v>
      </c>
      <c r="E1100" s="20" t="s">
        <v>239</v>
      </c>
      <c r="F1100" s="20" t="s">
        <v>239</v>
      </c>
      <c r="G1100" s="19" t="s">
        <v>239</v>
      </c>
      <c r="H1100" s="19" t="str">
        <f>VLOOKUP(G1100,'languoid 4.0'!$A$1:$I$24439,2,FALSE)</f>
        <v>indo1319</v>
      </c>
      <c r="I1100" s="19" t="str">
        <f>VLOOKUP(G1100,'languoid 4.0'!$A$1:$I$24439,6,FALSE)</f>
        <v>language</v>
      </c>
      <c r="J1100" s="20" t="s">
        <v>38</v>
      </c>
      <c r="K1100" s="20" t="s">
        <v>38</v>
      </c>
      <c r="L1100" s="20" t="s">
        <v>38</v>
      </c>
      <c r="M1100" s="19"/>
      <c r="N1100" s="19" t="s">
        <v>269</v>
      </c>
      <c r="O1100" s="20" t="s">
        <v>40</v>
      </c>
      <c r="P1100" s="20" t="s">
        <v>41</v>
      </c>
      <c r="Q1100" s="19" t="s">
        <v>9889</v>
      </c>
      <c r="R1100" s="21" t="s">
        <v>9890</v>
      </c>
      <c r="S1100" s="19" t="s">
        <v>9891</v>
      </c>
      <c r="T1100" s="19" t="s">
        <v>1689</v>
      </c>
      <c r="U1100" s="19" t="s">
        <v>636</v>
      </c>
      <c r="V1100" s="19" t="s">
        <v>45</v>
      </c>
      <c r="W1100" s="19"/>
      <c r="X1100" s="19"/>
      <c r="Y1100" s="19"/>
      <c r="Z1100" s="19" t="s">
        <v>637</v>
      </c>
      <c r="AA1100" s="19" t="s">
        <v>9892</v>
      </c>
      <c r="AB1100" s="19" t="s">
        <v>9893</v>
      </c>
      <c r="AC1100" s="19" t="s">
        <v>46</v>
      </c>
      <c r="AD1100" s="19"/>
      <c r="AE1100" s="19"/>
      <c r="AF1100" s="19"/>
      <c r="AG1100" s="19"/>
      <c r="AH1100" s="19" t="s">
        <v>45</v>
      </c>
      <c r="AI1100" s="19"/>
      <c r="AJ1100" s="19" t="s">
        <v>9894</v>
      </c>
      <c r="AK1100" s="19" t="s">
        <v>8989</v>
      </c>
    </row>
    <row r="1101" spans="1:37" s="23" customFormat="1">
      <c r="A1101" s="19" t="str">
        <f>VLOOKUP(H1101,Languages!$A$2:$B$430,2,FALSE)</f>
        <v>Indo-European</v>
      </c>
      <c r="B1101" s="19" t="s">
        <v>1726</v>
      </c>
      <c r="C1101" s="19" t="s">
        <v>249</v>
      </c>
      <c r="D1101" s="19" t="s">
        <v>11479</v>
      </c>
      <c r="E1101" s="20" t="s">
        <v>11480</v>
      </c>
      <c r="F1101" s="20" t="s">
        <v>11480</v>
      </c>
      <c r="G1101" s="19" t="s">
        <v>11480</v>
      </c>
      <c r="H1101" s="19" t="str">
        <f>VLOOKUP(G1101,'languoid 4.0'!$A$1:$I$24439,2,FALSE)</f>
        <v>indo1319</v>
      </c>
      <c r="I1101" s="19" t="str">
        <f>VLOOKUP(G1101,'languoid 4.0'!$A$1:$I$24439,6,FALSE)</f>
        <v>language</v>
      </c>
      <c r="J1101" s="20" t="s">
        <v>38</v>
      </c>
      <c r="K1101" s="20" t="s">
        <v>38</v>
      </c>
      <c r="L1101" s="20" t="s">
        <v>38</v>
      </c>
      <c r="M1101" s="19"/>
      <c r="N1101" s="19" t="s">
        <v>11481</v>
      </c>
      <c r="O1101" s="20" t="s">
        <v>40</v>
      </c>
      <c r="P1101" s="20" t="s">
        <v>41</v>
      </c>
      <c r="Q1101" s="19" t="s">
        <v>11484</v>
      </c>
      <c r="R1101" s="21" t="s">
        <v>11485</v>
      </c>
      <c r="S1101" s="19" t="s">
        <v>557</v>
      </c>
      <c r="T1101" s="19" t="s">
        <v>657</v>
      </c>
      <c r="U1101" s="19" t="s">
        <v>636</v>
      </c>
      <c r="V1101" s="19" t="s">
        <v>45</v>
      </c>
      <c r="W1101" s="19"/>
      <c r="X1101" s="19"/>
      <c r="Y1101" s="19"/>
      <c r="Z1101" s="19" t="s">
        <v>1151</v>
      </c>
      <c r="AA1101" s="19" t="s">
        <v>46</v>
      </c>
      <c r="AB1101" s="19" t="s">
        <v>46</v>
      </c>
      <c r="AC1101" s="19" t="s">
        <v>11486</v>
      </c>
      <c r="AD1101" s="19"/>
      <c r="AE1101" s="19" t="s">
        <v>641</v>
      </c>
      <c r="AF1101" s="19" t="s">
        <v>190</v>
      </c>
      <c r="AG1101" s="19">
        <v>6</v>
      </c>
      <c r="AH1101" s="19" t="s">
        <v>190</v>
      </c>
      <c r="AI1101" s="19"/>
      <c r="AJ1101" s="22">
        <v>43525.560150462959</v>
      </c>
      <c r="AK1101" s="19" t="s">
        <v>5640</v>
      </c>
    </row>
    <row r="1102" spans="1:37" s="23" customFormat="1">
      <c r="A1102" s="19" t="str">
        <f>VLOOKUP(H1102,Languages!$A$2:$B$430,2,FALSE)</f>
        <v>Indo-European</v>
      </c>
      <c r="B1102" s="19" t="s">
        <v>1726</v>
      </c>
      <c r="C1102" s="19" t="s">
        <v>124</v>
      </c>
      <c r="D1102" s="19" t="s">
        <v>7238</v>
      </c>
      <c r="E1102" s="20" t="s">
        <v>7239</v>
      </c>
      <c r="F1102" s="20" t="s">
        <v>7239</v>
      </c>
      <c r="G1102" s="19" t="s">
        <v>7239</v>
      </c>
      <c r="H1102" s="19" t="str">
        <f>VLOOKUP(G1102,'languoid 4.0'!$A$1:$I$24439,2,FALSE)</f>
        <v>indo1319</v>
      </c>
      <c r="I1102" s="19" t="str">
        <f>VLOOKUP(G1102,'languoid 4.0'!$A$1:$I$24439,6,FALSE)</f>
        <v>language</v>
      </c>
      <c r="J1102" s="20" t="s">
        <v>38</v>
      </c>
      <c r="K1102" s="20" t="s">
        <v>38</v>
      </c>
      <c r="L1102" s="20" t="s">
        <v>38</v>
      </c>
      <c r="M1102" s="19"/>
      <c r="N1102" s="19" t="s">
        <v>7240</v>
      </c>
      <c r="O1102" s="20" t="s">
        <v>40</v>
      </c>
      <c r="P1102" s="20" t="s">
        <v>41</v>
      </c>
      <c r="Q1102" s="19" t="s">
        <v>7241</v>
      </c>
      <c r="R1102" s="21" t="s">
        <v>7242</v>
      </c>
      <c r="S1102" s="19" t="s">
        <v>46</v>
      </c>
      <c r="T1102" s="19" t="s">
        <v>822</v>
      </c>
      <c r="U1102" s="19" t="s">
        <v>7243</v>
      </c>
      <c r="V1102" s="19" t="s">
        <v>45</v>
      </c>
      <c r="W1102" s="19"/>
      <c r="X1102" s="19"/>
      <c r="Y1102" s="19"/>
      <c r="Z1102" s="19" t="s">
        <v>658</v>
      </c>
      <c r="AA1102" s="19" t="s">
        <v>7244</v>
      </c>
      <c r="AB1102" s="19" t="s">
        <v>46</v>
      </c>
      <c r="AC1102" s="19" t="s">
        <v>46</v>
      </c>
      <c r="AD1102" s="19" t="s">
        <v>7245</v>
      </c>
      <c r="AE1102" s="19" t="s">
        <v>641</v>
      </c>
      <c r="AF1102" s="19" t="s">
        <v>190</v>
      </c>
      <c r="AG1102" s="19">
        <v>5</v>
      </c>
      <c r="AH1102" s="19" t="s">
        <v>190</v>
      </c>
      <c r="AI1102" s="19"/>
      <c r="AJ1102" s="22">
        <v>43320.02144675926</v>
      </c>
      <c r="AK1102" s="19" t="s">
        <v>4945</v>
      </c>
    </row>
    <row r="1103" spans="1:37" s="23" customFormat="1">
      <c r="A1103" s="19" t="str">
        <f>VLOOKUP(H1103,Languages!$A$2:$B$430,2,FALSE)</f>
        <v>Indo-European</v>
      </c>
      <c r="B1103" s="19" t="s">
        <v>1726</v>
      </c>
      <c r="C1103" s="19" t="s">
        <v>124</v>
      </c>
      <c r="D1103" s="19" t="s">
        <v>690</v>
      </c>
      <c r="E1103" s="20" t="s">
        <v>51</v>
      </c>
      <c r="F1103" s="20" t="s">
        <v>51</v>
      </c>
      <c r="G1103" s="19" t="s">
        <v>8925</v>
      </c>
      <c r="H1103" s="19" t="str">
        <f>VLOOKUP(G1103,'languoid 4.0'!$A$1:$I$24439,2,FALSE)</f>
        <v>indo1319</v>
      </c>
      <c r="I1103" s="19" t="str">
        <f>VLOOKUP(G1103,'languoid 4.0'!$A$1:$I$24439,6,FALSE)</f>
        <v>language</v>
      </c>
      <c r="J1103" s="20" t="s">
        <v>51</v>
      </c>
      <c r="K1103" s="20" t="s">
        <v>51</v>
      </c>
      <c r="L1103" s="20" t="s">
        <v>51</v>
      </c>
      <c r="M1103" s="19"/>
      <c r="N1103" s="19" t="e">
        <v>#N/A</v>
      </c>
      <c r="O1103" s="20" t="s">
        <v>690</v>
      </c>
      <c r="P1103" s="20" t="s">
        <v>632</v>
      </c>
      <c r="Q1103" s="19" t="s">
        <v>8926</v>
      </c>
      <c r="R1103" s="21" t="s">
        <v>8927</v>
      </c>
      <c r="S1103" s="19" t="s">
        <v>46</v>
      </c>
      <c r="T1103" s="21" t="s">
        <v>8928</v>
      </c>
      <c r="U1103" s="19" t="s">
        <v>636</v>
      </c>
      <c r="V1103" s="19" t="s">
        <v>45</v>
      </c>
      <c r="W1103" s="19"/>
      <c r="X1103" s="19"/>
      <c r="Y1103" s="19"/>
      <c r="Z1103" s="19" t="s">
        <v>658</v>
      </c>
      <c r="AA1103" s="19" t="s">
        <v>8929</v>
      </c>
      <c r="AB1103" s="19" t="s">
        <v>46</v>
      </c>
      <c r="AC1103" s="19" t="s">
        <v>46</v>
      </c>
      <c r="AD1103" s="19"/>
      <c r="AE1103" s="19" t="s">
        <v>641</v>
      </c>
      <c r="AF1103" s="19" t="s">
        <v>190</v>
      </c>
      <c r="AG1103" s="19">
        <v>6</v>
      </c>
      <c r="AH1103" s="19" t="s">
        <v>190</v>
      </c>
      <c r="AI1103" s="19"/>
      <c r="AJ1103" s="19" t="s">
        <v>8930</v>
      </c>
      <c r="AK1103" s="19" t="s">
        <v>4945</v>
      </c>
    </row>
    <row r="1104" spans="1:37" s="23" customFormat="1">
      <c r="A1104" s="19" t="str">
        <f>VLOOKUP(H1104,Languages!$A$2:$B$430,2,FALSE)</f>
        <v>Indo-European</v>
      </c>
      <c r="B1104" s="19" t="s">
        <v>1726</v>
      </c>
      <c r="C1104" s="19" t="s">
        <v>58</v>
      </c>
      <c r="D1104" s="19" t="s">
        <v>3001</v>
      </c>
      <c r="E1104" s="20" t="s">
        <v>2995</v>
      </c>
      <c r="F1104" s="20" t="s">
        <v>2995</v>
      </c>
      <c r="G1104" s="19" t="s">
        <v>2995</v>
      </c>
      <c r="H1104" s="19" t="str">
        <f>VLOOKUP(G1104,'languoid 4.0'!$A$1:$I$24439,2,FALSE)</f>
        <v>indo1319</v>
      </c>
      <c r="I1104" s="19" t="str">
        <f>VLOOKUP(G1104,'languoid 4.0'!$A$1:$I$24439,6,FALSE)</f>
        <v>language</v>
      </c>
      <c r="J1104" s="20" t="s">
        <v>38</v>
      </c>
      <c r="K1104" s="20" t="s">
        <v>38</v>
      </c>
      <c r="L1104" s="20" t="s">
        <v>38</v>
      </c>
      <c r="M1104" s="19"/>
      <c r="N1104" s="19" t="s">
        <v>2996</v>
      </c>
      <c r="O1104" s="20" t="s">
        <v>40</v>
      </c>
      <c r="P1104" s="20" t="s">
        <v>41</v>
      </c>
      <c r="Q1104" s="19" t="s">
        <v>3002</v>
      </c>
      <c r="R1104" s="21" t="s">
        <v>3003</v>
      </c>
      <c r="S1104" s="19" t="s">
        <v>323</v>
      </c>
      <c r="T1104" s="19" t="s">
        <v>635</v>
      </c>
      <c r="U1104" s="19" t="s">
        <v>636</v>
      </c>
      <c r="V1104" s="19" t="s">
        <v>45</v>
      </c>
      <c r="W1104" s="19"/>
      <c r="X1104" s="19"/>
      <c r="Y1104" s="19"/>
      <c r="Z1104" s="19" t="s">
        <v>658</v>
      </c>
      <c r="AA1104" s="19" t="s">
        <v>3004</v>
      </c>
      <c r="AB1104" s="19" t="s">
        <v>46</v>
      </c>
      <c r="AC1104" s="19" t="s">
        <v>3005</v>
      </c>
      <c r="AD1104" s="19"/>
      <c r="AE1104" s="19" t="s">
        <v>641</v>
      </c>
      <c r="AF1104" s="19" t="s">
        <v>190</v>
      </c>
      <c r="AG1104" s="19">
        <v>6</v>
      </c>
      <c r="AH1104" s="19" t="s">
        <v>190</v>
      </c>
      <c r="AI1104" s="19"/>
      <c r="AJ1104" s="19" t="s">
        <v>3006</v>
      </c>
      <c r="AK1104" s="19" t="s">
        <v>2989</v>
      </c>
    </row>
    <row r="1105" spans="1:37" s="23" customFormat="1">
      <c r="A1105" s="19" t="str">
        <f>VLOOKUP(H1105,Languages!$A$2:$B$430,2,FALSE)</f>
        <v>Indo-European</v>
      </c>
      <c r="B1105" s="19" t="s">
        <v>1726</v>
      </c>
      <c r="C1105" s="19" t="s">
        <v>58</v>
      </c>
      <c r="D1105" s="19" t="s">
        <v>6259</v>
      </c>
      <c r="E1105" s="20" t="s">
        <v>2354</v>
      </c>
      <c r="F1105" s="20" t="s">
        <v>2354</v>
      </c>
      <c r="G1105" s="19" t="s">
        <v>2354</v>
      </c>
      <c r="H1105" s="19" t="str">
        <f>VLOOKUP(G1105,'languoid 4.0'!$A$1:$I$24439,2,FALSE)</f>
        <v>indo1319</v>
      </c>
      <c r="I1105" s="19" t="str">
        <f>VLOOKUP(G1105,'languoid 4.0'!$A$1:$I$24439,6,FALSE)</f>
        <v>language</v>
      </c>
      <c r="J1105" s="20" t="s">
        <v>38</v>
      </c>
      <c r="K1105" s="20" t="s">
        <v>38</v>
      </c>
      <c r="L1105" s="20" t="s">
        <v>38</v>
      </c>
      <c r="M1105" s="19"/>
      <c r="N1105" s="19" t="s">
        <v>2355</v>
      </c>
      <c r="O1105" s="20" t="s">
        <v>40</v>
      </c>
      <c r="P1105" s="20" t="s">
        <v>41</v>
      </c>
      <c r="Q1105" s="19" t="s">
        <v>6266</v>
      </c>
      <c r="R1105" s="21" t="s">
        <v>6267</v>
      </c>
      <c r="S1105" s="19" t="s">
        <v>6268</v>
      </c>
      <c r="T1105" s="19" t="s">
        <v>6269</v>
      </c>
      <c r="U1105" s="19" t="s">
        <v>636</v>
      </c>
      <c r="V1105" s="19" t="s">
        <v>45</v>
      </c>
      <c r="W1105" s="19"/>
      <c r="X1105" s="19"/>
      <c r="Y1105" s="19"/>
      <c r="Z1105" s="19" t="s">
        <v>658</v>
      </c>
      <c r="AA1105" s="19" t="s">
        <v>6270</v>
      </c>
      <c r="AB1105" s="19" t="s">
        <v>6271</v>
      </c>
      <c r="AC1105" s="19" t="s">
        <v>46</v>
      </c>
      <c r="AD1105" s="19"/>
      <c r="AE1105" s="19" t="s">
        <v>641</v>
      </c>
      <c r="AF1105" s="19" t="s">
        <v>190</v>
      </c>
      <c r="AG1105" s="19">
        <v>6</v>
      </c>
      <c r="AH1105" s="19" t="s">
        <v>190</v>
      </c>
      <c r="AI1105" s="19"/>
      <c r="AJ1105" s="22">
        <v>43227.524583333332</v>
      </c>
      <c r="AK1105" s="19" t="s">
        <v>4408</v>
      </c>
    </row>
    <row r="1106" spans="1:37" s="23" customFormat="1">
      <c r="A1106" s="19" t="str">
        <f>VLOOKUP(H1106,Languages!$A$2:$B$430,2,FALSE)</f>
        <v>Indo-European</v>
      </c>
      <c r="B1106" s="19" t="s">
        <v>1726</v>
      </c>
      <c r="C1106" s="19" t="s">
        <v>58</v>
      </c>
      <c r="D1106" s="19" t="s">
        <v>6986</v>
      </c>
      <c r="E1106" s="20" t="s">
        <v>2995</v>
      </c>
      <c r="F1106" s="20" t="s">
        <v>2995</v>
      </c>
      <c r="G1106" s="19" t="s">
        <v>2995</v>
      </c>
      <c r="H1106" s="19" t="str">
        <f>VLOOKUP(G1106,'languoid 4.0'!$A$1:$I$24439,2,FALSE)</f>
        <v>indo1319</v>
      </c>
      <c r="I1106" s="19" t="str">
        <f>VLOOKUP(G1106,'languoid 4.0'!$A$1:$I$24439,6,FALSE)</f>
        <v>language</v>
      </c>
      <c r="J1106" s="20" t="s">
        <v>38</v>
      </c>
      <c r="K1106" s="20" t="s">
        <v>38</v>
      </c>
      <c r="L1106" s="20" t="s">
        <v>38</v>
      </c>
      <c r="M1106" s="19"/>
      <c r="N1106" s="19" t="s">
        <v>2996</v>
      </c>
      <c r="O1106" s="20" t="s">
        <v>40</v>
      </c>
      <c r="P1106" s="20" t="s">
        <v>41</v>
      </c>
      <c r="Q1106" s="19" t="s">
        <v>6987</v>
      </c>
      <c r="R1106" s="21" t="s">
        <v>6988</v>
      </c>
      <c r="S1106" s="19" t="s">
        <v>46</v>
      </c>
      <c r="T1106" s="19" t="s">
        <v>6982</v>
      </c>
      <c r="U1106" s="19" t="s">
        <v>636</v>
      </c>
      <c r="V1106" s="19" t="s">
        <v>45</v>
      </c>
      <c r="W1106" s="19"/>
      <c r="X1106" s="19"/>
      <c r="Y1106" s="19"/>
      <c r="Z1106" s="19" t="s">
        <v>658</v>
      </c>
      <c r="AA1106" s="19" t="s">
        <v>6989</v>
      </c>
      <c r="AB1106" s="19" t="s">
        <v>6990</v>
      </c>
      <c r="AC1106" s="19" t="s">
        <v>46</v>
      </c>
      <c r="AD1106" s="19"/>
      <c r="AE1106" s="19" t="s">
        <v>641</v>
      </c>
      <c r="AF1106" s="19" t="s">
        <v>190</v>
      </c>
      <c r="AG1106" s="19">
        <v>6</v>
      </c>
      <c r="AH1106" s="19" t="s">
        <v>190</v>
      </c>
      <c r="AI1106" s="19"/>
      <c r="AJ1106" s="22">
        <v>43108.466157407405</v>
      </c>
      <c r="AK1106" s="19" t="s">
        <v>4408</v>
      </c>
    </row>
    <row r="1107" spans="1:37" s="23" customFormat="1">
      <c r="A1107" s="19" t="str">
        <f>VLOOKUP(H1107,Languages!$A$2:$B$430,2,FALSE)</f>
        <v>Indo-European</v>
      </c>
      <c r="B1107" s="19" t="s">
        <v>1726</v>
      </c>
      <c r="C1107" s="19" t="s">
        <v>58</v>
      </c>
      <c r="D1107" s="19" t="s">
        <v>243</v>
      </c>
      <c r="E1107" s="20" t="s">
        <v>244</v>
      </c>
      <c r="F1107" s="20" t="s">
        <v>244</v>
      </c>
      <c r="G1107" s="19" t="s">
        <v>244</v>
      </c>
      <c r="H1107" s="19" t="str">
        <f>VLOOKUP(G1107,'languoid 4.0'!$A$1:$I$24439,2,FALSE)</f>
        <v>indo1319</v>
      </c>
      <c r="I1107" s="19" t="str">
        <f>VLOOKUP(G1107,'languoid 4.0'!$A$1:$I$24439,6,FALSE)</f>
        <v>dialect</v>
      </c>
      <c r="J1107" s="20" t="s">
        <v>38</v>
      </c>
      <c r="K1107" s="20" t="s">
        <v>38</v>
      </c>
      <c r="L1107" s="20" t="s">
        <v>38</v>
      </c>
      <c r="M1107" s="19"/>
      <c r="N1107" s="19" t="s">
        <v>245</v>
      </c>
      <c r="O1107" s="20" t="s">
        <v>40</v>
      </c>
      <c r="P1107" s="20" t="s">
        <v>41</v>
      </c>
      <c r="Q1107" s="19" t="s">
        <v>9717</v>
      </c>
      <c r="R1107" s="21" t="s">
        <v>9718</v>
      </c>
      <c r="S1107" s="19" t="s">
        <v>46</v>
      </c>
      <c r="T1107" s="19" t="s">
        <v>1689</v>
      </c>
      <c r="U1107" s="19" t="s">
        <v>636</v>
      </c>
      <c r="V1107" s="19" t="s">
        <v>45</v>
      </c>
      <c r="W1107" s="19"/>
      <c r="X1107" s="19"/>
      <c r="Y1107" s="19"/>
      <c r="Z1107" s="19" t="s">
        <v>637</v>
      </c>
      <c r="AA1107" s="19" t="s">
        <v>9719</v>
      </c>
      <c r="AB1107" s="19" t="s">
        <v>9720</v>
      </c>
      <c r="AC1107" s="19" t="s">
        <v>46</v>
      </c>
      <c r="AD1107" s="19"/>
      <c r="AE1107" s="19" t="s">
        <v>641</v>
      </c>
      <c r="AF1107" s="19" t="s">
        <v>190</v>
      </c>
      <c r="AG1107" s="19">
        <v>6</v>
      </c>
      <c r="AH1107" s="19" t="s">
        <v>190</v>
      </c>
      <c r="AI1107" s="19"/>
      <c r="AJ1107" s="19" t="s">
        <v>9721</v>
      </c>
      <c r="AK1107" s="19" t="s">
        <v>8947</v>
      </c>
    </row>
    <row r="1108" spans="1:37" s="23" customFormat="1">
      <c r="A1108" s="19" t="str">
        <f>VLOOKUP(H1108,Languages!$A$2:$B$430,2,FALSE)</f>
        <v>Indo-European</v>
      </c>
      <c r="B1108" s="19" t="s">
        <v>1726</v>
      </c>
      <c r="C1108" s="19" t="s">
        <v>58</v>
      </c>
      <c r="D1108" s="19" t="s">
        <v>9740</v>
      </c>
      <c r="E1108" s="20" t="s">
        <v>2995</v>
      </c>
      <c r="F1108" s="20" t="s">
        <v>2995</v>
      </c>
      <c r="G1108" s="19" t="s">
        <v>2995</v>
      </c>
      <c r="H1108" s="19" t="str">
        <f>VLOOKUP(G1108,'languoid 4.0'!$A$1:$I$24439,2,FALSE)</f>
        <v>indo1319</v>
      </c>
      <c r="I1108" s="19" t="str">
        <f>VLOOKUP(G1108,'languoid 4.0'!$A$1:$I$24439,6,FALSE)</f>
        <v>language</v>
      </c>
      <c r="J1108" s="20" t="s">
        <v>38</v>
      </c>
      <c r="K1108" s="20" t="s">
        <v>38</v>
      </c>
      <c r="L1108" s="20" t="s">
        <v>38</v>
      </c>
      <c r="M1108" s="19"/>
      <c r="N1108" s="19" t="s">
        <v>2996</v>
      </c>
      <c r="O1108" s="20" t="s">
        <v>40</v>
      </c>
      <c r="P1108" s="20" t="s">
        <v>41</v>
      </c>
      <c r="Q1108" s="19" t="s">
        <v>9741</v>
      </c>
      <c r="R1108" s="21" t="s">
        <v>9742</v>
      </c>
      <c r="S1108" s="19" t="s">
        <v>600</v>
      </c>
      <c r="T1108" s="19" t="s">
        <v>3307</v>
      </c>
      <c r="U1108" s="19" t="s">
        <v>636</v>
      </c>
      <c r="V1108" s="19" t="s">
        <v>45</v>
      </c>
      <c r="W1108" s="19"/>
      <c r="X1108" s="19"/>
      <c r="Y1108" s="19"/>
      <c r="Z1108" s="19" t="s">
        <v>823</v>
      </c>
      <c r="AA1108" s="19" t="s">
        <v>9743</v>
      </c>
      <c r="AB1108" s="19" t="s">
        <v>9744</v>
      </c>
      <c r="AC1108" s="19" t="s">
        <v>9745</v>
      </c>
      <c r="AD1108" s="19"/>
      <c r="AE1108" s="19" t="s">
        <v>641</v>
      </c>
      <c r="AF1108" s="19" t="s">
        <v>190</v>
      </c>
      <c r="AG1108" s="19">
        <v>6</v>
      </c>
      <c r="AH1108" s="19" t="s">
        <v>190</v>
      </c>
      <c r="AI1108" s="19"/>
      <c r="AJ1108" s="19" t="s">
        <v>9746</v>
      </c>
      <c r="AK1108" s="19" t="s">
        <v>8947</v>
      </c>
    </row>
    <row r="1109" spans="1:37" s="23" customFormat="1">
      <c r="A1109" s="19" t="str">
        <f>VLOOKUP(H1109,Languages!$A$2:$B$430,2,FALSE)</f>
        <v>Indo-European</v>
      </c>
      <c r="B1109" s="19" t="s">
        <v>1726</v>
      </c>
      <c r="C1109" s="19" t="s">
        <v>58</v>
      </c>
      <c r="D1109" s="19" t="s">
        <v>9740</v>
      </c>
      <c r="E1109" s="20" t="s">
        <v>2995</v>
      </c>
      <c r="F1109" s="20" t="s">
        <v>2995</v>
      </c>
      <c r="G1109" s="19" t="s">
        <v>2995</v>
      </c>
      <c r="H1109" s="19" t="str">
        <f>VLOOKUP(G1109,'languoid 4.0'!$A$1:$I$24439,2,FALSE)</f>
        <v>indo1319</v>
      </c>
      <c r="I1109" s="19" t="str">
        <f>VLOOKUP(G1109,'languoid 4.0'!$A$1:$I$24439,6,FALSE)</f>
        <v>language</v>
      </c>
      <c r="J1109" s="20" t="s">
        <v>38</v>
      </c>
      <c r="K1109" s="20" t="s">
        <v>38</v>
      </c>
      <c r="L1109" s="20" t="s">
        <v>38</v>
      </c>
      <c r="M1109" s="19"/>
      <c r="N1109" s="19" t="s">
        <v>2996</v>
      </c>
      <c r="O1109" s="20" t="s">
        <v>40</v>
      </c>
      <c r="P1109" s="20" t="s">
        <v>41</v>
      </c>
      <c r="Q1109" s="19" t="s">
        <v>9747</v>
      </c>
      <c r="R1109" s="21" t="s">
        <v>9748</v>
      </c>
      <c r="S1109" s="19" t="s">
        <v>265</v>
      </c>
      <c r="T1109" s="19" t="s">
        <v>3307</v>
      </c>
      <c r="U1109" s="19" t="s">
        <v>636</v>
      </c>
      <c r="V1109" s="19" t="s">
        <v>45</v>
      </c>
      <c r="W1109" s="19"/>
      <c r="X1109" s="19"/>
      <c r="Y1109" s="19"/>
      <c r="Z1109" s="19" t="s">
        <v>823</v>
      </c>
      <c r="AA1109" s="19" t="s">
        <v>9749</v>
      </c>
      <c r="AB1109" s="19" t="s">
        <v>9750</v>
      </c>
      <c r="AC1109" s="19" t="s">
        <v>9751</v>
      </c>
      <c r="AD1109" s="19"/>
      <c r="AE1109" s="19" t="s">
        <v>641</v>
      </c>
      <c r="AF1109" s="19" t="s">
        <v>190</v>
      </c>
      <c r="AG1109" s="19">
        <v>6</v>
      </c>
      <c r="AH1109" s="19" t="s">
        <v>190</v>
      </c>
      <c r="AI1109" s="19"/>
      <c r="AJ1109" s="19" t="s">
        <v>9752</v>
      </c>
      <c r="AK1109" s="19" t="s">
        <v>8947</v>
      </c>
    </row>
    <row r="1110" spans="1:37" s="23" customFormat="1">
      <c r="A1110" s="19" t="str">
        <f>VLOOKUP(H1110,Languages!$A$2:$B$430,2,FALSE)</f>
        <v>Indo-European</v>
      </c>
      <c r="B1110" s="19" t="s">
        <v>1726</v>
      </c>
      <c r="C1110" s="19" t="s">
        <v>58</v>
      </c>
      <c r="D1110" s="19" t="s">
        <v>9753</v>
      </c>
      <c r="E1110" s="20" t="s">
        <v>2995</v>
      </c>
      <c r="F1110" s="20" t="s">
        <v>2995</v>
      </c>
      <c r="G1110" s="19" t="s">
        <v>2995</v>
      </c>
      <c r="H1110" s="19" t="str">
        <f>VLOOKUP(G1110,'languoid 4.0'!$A$1:$I$24439,2,FALSE)</f>
        <v>indo1319</v>
      </c>
      <c r="I1110" s="19" t="str">
        <f>VLOOKUP(G1110,'languoid 4.0'!$A$1:$I$24439,6,FALSE)</f>
        <v>language</v>
      </c>
      <c r="J1110" s="20" t="s">
        <v>38</v>
      </c>
      <c r="K1110" s="20" t="s">
        <v>38</v>
      </c>
      <c r="L1110" s="20" t="s">
        <v>38</v>
      </c>
      <c r="M1110" s="19"/>
      <c r="N1110" s="19" t="s">
        <v>2996</v>
      </c>
      <c r="O1110" s="20" t="s">
        <v>40</v>
      </c>
      <c r="P1110" s="20" t="s">
        <v>41</v>
      </c>
      <c r="Q1110" s="19" t="s">
        <v>9754</v>
      </c>
      <c r="R1110" s="21" t="s">
        <v>9755</v>
      </c>
      <c r="S1110" s="19" t="s">
        <v>372</v>
      </c>
      <c r="T1110" s="19" t="s">
        <v>3307</v>
      </c>
      <c r="U1110" s="19" t="s">
        <v>636</v>
      </c>
      <c r="V1110" s="19" t="s">
        <v>45</v>
      </c>
      <c r="W1110" s="19"/>
      <c r="X1110" s="19"/>
      <c r="Y1110" s="19"/>
      <c r="Z1110" s="19" t="s">
        <v>637</v>
      </c>
      <c r="AA1110" s="19" t="s">
        <v>9756</v>
      </c>
      <c r="AB1110" s="19" t="s">
        <v>9757</v>
      </c>
      <c r="AC1110" s="19" t="s">
        <v>46</v>
      </c>
      <c r="AD1110" s="19"/>
      <c r="AE1110" s="19" t="s">
        <v>641</v>
      </c>
      <c r="AF1110" s="19" t="s">
        <v>190</v>
      </c>
      <c r="AG1110" s="19">
        <v>6</v>
      </c>
      <c r="AH1110" s="19" t="s">
        <v>190</v>
      </c>
      <c r="AI1110" s="19"/>
      <c r="AJ1110" s="19" t="s">
        <v>9758</v>
      </c>
      <c r="AK1110" s="19" t="s">
        <v>8947</v>
      </c>
    </row>
    <row r="1111" spans="1:37" s="23" customFormat="1">
      <c r="A1111" s="19" t="str">
        <f>VLOOKUP(H1111,Languages!$A$2:$B$430,2,FALSE)</f>
        <v>Indo-European</v>
      </c>
      <c r="B1111" s="19" t="s">
        <v>1726</v>
      </c>
      <c r="C1111" s="19" t="s">
        <v>58</v>
      </c>
      <c r="D1111" s="19" t="s">
        <v>9753</v>
      </c>
      <c r="E1111" s="20" t="s">
        <v>2995</v>
      </c>
      <c r="F1111" s="20" t="s">
        <v>2995</v>
      </c>
      <c r="G1111" s="19" t="s">
        <v>2995</v>
      </c>
      <c r="H1111" s="19" t="str">
        <f>VLOOKUP(G1111,'languoid 4.0'!$A$1:$I$24439,2,FALSE)</f>
        <v>indo1319</v>
      </c>
      <c r="I1111" s="19" t="str">
        <f>VLOOKUP(G1111,'languoid 4.0'!$A$1:$I$24439,6,FALSE)</f>
        <v>language</v>
      </c>
      <c r="J1111" s="20" t="s">
        <v>38</v>
      </c>
      <c r="K1111" s="20" t="s">
        <v>38</v>
      </c>
      <c r="L1111" s="20" t="s">
        <v>38</v>
      </c>
      <c r="M1111" s="19"/>
      <c r="N1111" s="19" t="s">
        <v>2996</v>
      </c>
      <c r="O1111" s="20" t="s">
        <v>40</v>
      </c>
      <c r="P1111" s="20" t="s">
        <v>41</v>
      </c>
      <c r="Q1111" s="19" t="s">
        <v>9763</v>
      </c>
      <c r="R1111" s="21" t="s">
        <v>9764</v>
      </c>
      <c r="S1111" s="19" t="s">
        <v>2714</v>
      </c>
      <c r="T1111" s="19" t="s">
        <v>3307</v>
      </c>
      <c r="U1111" s="19" t="s">
        <v>636</v>
      </c>
      <c r="V1111" s="19" t="s">
        <v>45</v>
      </c>
      <c r="W1111" s="19"/>
      <c r="X1111" s="19"/>
      <c r="Y1111" s="19"/>
      <c r="Z1111" s="19" t="s">
        <v>637</v>
      </c>
      <c r="AA1111" s="19" t="s">
        <v>9765</v>
      </c>
      <c r="AB1111" s="19" t="s">
        <v>9766</v>
      </c>
      <c r="AC1111" s="19" t="s">
        <v>46</v>
      </c>
      <c r="AD1111" s="19"/>
      <c r="AE1111" s="19" t="s">
        <v>641</v>
      </c>
      <c r="AF1111" s="19" t="s">
        <v>190</v>
      </c>
      <c r="AG1111" s="19">
        <v>6</v>
      </c>
      <c r="AH1111" s="19" t="s">
        <v>190</v>
      </c>
      <c r="AI1111" s="19"/>
      <c r="AJ1111" s="19" t="s">
        <v>9767</v>
      </c>
      <c r="AK1111" s="19" t="s">
        <v>8947</v>
      </c>
    </row>
    <row r="1112" spans="1:37" s="23" customFormat="1">
      <c r="A1112" s="19" t="str">
        <f>VLOOKUP(H1112,Languages!$A$2:$B$430,2,FALSE)</f>
        <v>Indo-European</v>
      </c>
      <c r="B1112" s="19" t="s">
        <v>1726</v>
      </c>
      <c r="C1112" s="19" t="s">
        <v>4376</v>
      </c>
      <c r="D1112" s="19" t="s">
        <v>8607</v>
      </c>
      <c r="E1112" s="20" t="s">
        <v>552</v>
      </c>
      <c r="F1112" s="20" t="s">
        <v>552</v>
      </c>
      <c r="G1112" s="19" t="s">
        <v>552</v>
      </c>
      <c r="H1112" s="19" t="str">
        <f>VLOOKUP(G1112,'languoid 4.0'!$A$1:$I$24439,2,FALSE)</f>
        <v>indo1319</v>
      </c>
      <c r="I1112" s="19" t="str">
        <f>VLOOKUP(G1112,'languoid 4.0'!$A$1:$I$24439,6,FALSE)</f>
        <v>language</v>
      </c>
      <c r="J1112" s="20" t="s">
        <v>38</v>
      </c>
      <c r="K1112" s="20" t="s">
        <v>38</v>
      </c>
      <c r="L1112" s="20" t="s">
        <v>38</v>
      </c>
      <c r="M1112" s="19"/>
      <c r="N1112" s="19" t="s">
        <v>4388</v>
      </c>
      <c r="O1112" s="20" t="s">
        <v>40</v>
      </c>
      <c r="P1112" s="20" t="s">
        <v>41</v>
      </c>
      <c r="Q1112" s="19" t="s">
        <v>8608</v>
      </c>
      <c r="R1112" s="21" t="s">
        <v>8609</v>
      </c>
      <c r="S1112" s="19" t="s">
        <v>647</v>
      </c>
      <c r="T1112" s="19" t="s">
        <v>657</v>
      </c>
      <c r="U1112" s="19" t="s">
        <v>109</v>
      </c>
      <c r="V1112" s="19" t="s">
        <v>45</v>
      </c>
      <c r="W1112" s="19"/>
      <c r="X1112" s="19"/>
      <c r="Y1112" s="19"/>
      <c r="Z1112" s="19" t="s">
        <v>673</v>
      </c>
      <c r="AA1112" s="19" t="s">
        <v>46</v>
      </c>
      <c r="AB1112" s="19" t="s">
        <v>8610</v>
      </c>
      <c r="AC1112" s="19" t="s">
        <v>46</v>
      </c>
      <c r="AD1112" s="19"/>
      <c r="AE1112" s="19" t="s">
        <v>641</v>
      </c>
      <c r="AF1112" s="19" t="s">
        <v>190</v>
      </c>
      <c r="AG1112" s="19">
        <v>6</v>
      </c>
      <c r="AH1112" s="19" t="s">
        <v>190</v>
      </c>
      <c r="AI1112" s="19"/>
      <c r="AJ1112" s="22">
        <v>43229.044224537036</v>
      </c>
      <c r="AK1112" s="19" t="s">
        <v>4386</v>
      </c>
    </row>
    <row r="1113" spans="1:37" s="23" customFormat="1">
      <c r="A1113" s="19" t="str">
        <f>VLOOKUP(H1113,Languages!$A$2:$B$430,2,FALSE)</f>
        <v>Indo-European</v>
      </c>
      <c r="B1113" s="19" t="s">
        <v>652</v>
      </c>
      <c r="C1113" s="19" t="s">
        <v>477</v>
      </c>
      <c r="D1113" s="19" t="s">
        <v>8331</v>
      </c>
      <c r="E1113" s="20" t="s">
        <v>8332</v>
      </c>
      <c r="F1113" s="20" t="s">
        <v>8332</v>
      </c>
      <c r="G1113" s="19" t="s">
        <v>8332</v>
      </c>
      <c r="H1113" s="19" t="str">
        <f>VLOOKUP(G1113,'languoid 4.0'!$A$1:$I$24439,2,FALSE)</f>
        <v>indo1319</v>
      </c>
      <c r="I1113" s="19" t="str">
        <f>VLOOKUP(G1113,'languoid 4.0'!$A$1:$I$24439,6,FALSE)</f>
        <v>family</v>
      </c>
      <c r="J1113" s="20" t="s">
        <v>38</v>
      </c>
      <c r="K1113" s="20" t="s">
        <v>38</v>
      </c>
      <c r="L1113" s="20" t="s">
        <v>38</v>
      </c>
      <c r="M1113" s="19"/>
      <c r="N1113" s="19"/>
      <c r="O1113" s="20" t="s">
        <v>40</v>
      </c>
      <c r="P1113" s="20" t="s">
        <v>41</v>
      </c>
      <c r="Q1113" s="19" t="s">
        <v>8338</v>
      </c>
      <c r="R1113" s="21" t="s">
        <v>8339</v>
      </c>
      <c r="S1113" s="19" t="s">
        <v>46</v>
      </c>
      <c r="T1113" s="19" t="s">
        <v>767</v>
      </c>
      <c r="U1113" s="19" t="s">
        <v>636</v>
      </c>
      <c r="V1113" s="19" t="s">
        <v>45</v>
      </c>
      <c r="W1113" s="19"/>
      <c r="X1113" s="19"/>
      <c r="Y1113" s="19"/>
      <c r="Z1113" s="19" t="s">
        <v>658</v>
      </c>
      <c r="AA1113" s="19" t="s">
        <v>8340</v>
      </c>
      <c r="AB1113" s="19" t="s">
        <v>46</v>
      </c>
      <c r="AC1113" s="19" t="s">
        <v>46</v>
      </c>
      <c r="AD1113" s="19"/>
      <c r="AE1113" s="19" t="s">
        <v>641</v>
      </c>
      <c r="AF1113" s="19" t="s">
        <v>190</v>
      </c>
      <c r="AG1113" s="19">
        <v>6</v>
      </c>
      <c r="AH1113" s="19" t="s">
        <v>190</v>
      </c>
      <c r="AI1113" s="19" t="s">
        <v>8341</v>
      </c>
      <c r="AJ1113" s="19" t="s">
        <v>8342</v>
      </c>
      <c r="AK1113" s="19" t="s">
        <v>5678</v>
      </c>
    </row>
    <row r="1114" spans="1:37" s="23" customFormat="1">
      <c r="A1114" s="19" t="str">
        <f>VLOOKUP(H1114,Languages!$A$2:$B$430,2,FALSE)</f>
        <v>Indo-European</v>
      </c>
      <c r="B1114" s="19" t="s">
        <v>652</v>
      </c>
      <c r="C1114" s="19" t="s">
        <v>477</v>
      </c>
      <c r="D1114" s="19" t="s">
        <v>8417</v>
      </c>
      <c r="E1114" s="20" t="s">
        <v>8332</v>
      </c>
      <c r="F1114" s="20" t="s">
        <v>8332</v>
      </c>
      <c r="G1114" s="19" t="s">
        <v>8332</v>
      </c>
      <c r="H1114" s="19" t="str">
        <f>VLOOKUP(G1114,'languoid 4.0'!$A$1:$I$24439,2,FALSE)</f>
        <v>indo1319</v>
      </c>
      <c r="I1114" s="19" t="str">
        <f>VLOOKUP(G1114,'languoid 4.0'!$A$1:$I$24439,6,FALSE)</f>
        <v>family</v>
      </c>
      <c r="J1114" s="20" t="s">
        <v>38</v>
      </c>
      <c r="K1114" s="20" t="s">
        <v>38</v>
      </c>
      <c r="L1114" s="20" t="s">
        <v>38</v>
      </c>
      <c r="M1114" s="19"/>
      <c r="N1114" s="19"/>
      <c r="O1114" s="20" t="s">
        <v>40</v>
      </c>
      <c r="P1114" s="20" t="s">
        <v>41</v>
      </c>
      <c r="Q1114" s="19" t="s">
        <v>8418</v>
      </c>
      <c r="R1114" s="21" t="s">
        <v>8419</v>
      </c>
      <c r="S1114" s="19" t="s">
        <v>46</v>
      </c>
      <c r="T1114" s="19" t="s">
        <v>8420</v>
      </c>
      <c r="U1114" s="19" t="s">
        <v>636</v>
      </c>
      <c r="V1114" s="19" t="s">
        <v>45</v>
      </c>
      <c r="W1114" s="19"/>
      <c r="X1114" s="19"/>
      <c r="Y1114" s="19"/>
      <c r="Z1114" s="19" t="s">
        <v>658</v>
      </c>
      <c r="AA1114" s="19" t="s">
        <v>8421</v>
      </c>
      <c r="AB1114" s="19" t="s">
        <v>46</v>
      </c>
      <c r="AC1114" s="19" t="s">
        <v>46</v>
      </c>
      <c r="AD1114" s="19"/>
      <c r="AE1114" s="19"/>
      <c r="AF1114" s="19"/>
      <c r="AG1114" s="19"/>
      <c r="AH1114" s="19" t="s">
        <v>45</v>
      </c>
      <c r="AI1114" s="19" t="s">
        <v>8422</v>
      </c>
      <c r="AJ1114" s="19" t="s">
        <v>8423</v>
      </c>
      <c r="AK1114" s="19" t="s">
        <v>5678</v>
      </c>
    </row>
    <row r="1115" spans="1:37" s="23" customFormat="1">
      <c r="A1115" s="19" t="str">
        <f>VLOOKUP(H1115,Languages!$A$2:$B$430,2,FALSE)</f>
        <v>Indo-European</v>
      </c>
      <c r="B1115" s="19" t="s">
        <v>652</v>
      </c>
      <c r="C1115" s="19" t="s">
        <v>94</v>
      </c>
      <c r="D1115" s="19" t="s">
        <v>5957</v>
      </c>
      <c r="E1115" s="20" t="s">
        <v>180</v>
      </c>
      <c r="F1115" s="20" t="s">
        <v>180</v>
      </c>
      <c r="G1115" s="19" t="s">
        <v>180</v>
      </c>
      <c r="H1115" s="19" t="str">
        <f>VLOOKUP(G1115,'languoid 4.0'!$A$1:$I$24439,2,FALSE)</f>
        <v>indo1319</v>
      </c>
      <c r="I1115" s="19" t="str">
        <f>VLOOKUP(G1115,'languoid 4.0'!$A$1:$I$24439,6,FALSE)</f>
        <v>language</v>
      </c>
      <c r="J1115" s="20" t="s">
        <v>38</v>
      </c>
      <c r="K1115" s="20" t="s">
        <v>38</v>
      </c>
      <c r="L1115" s="20" t="s">
        <v>38</v>
      </c>
      <c r="M1115" s="19"/>
      <c r="N1115" s="19" t="s">
        <v>4842</v>
      </c>
      <c r="O1115" s="20" t="s">
        <v>40</v>
      </c>
      <c r="P1115" s="20" t="s">
        <v>41</v>
      </c>
      <c r="Q1115" s="19" t="s">
        <v>5963</v>
      </c>
      <c r="R1115" s="21" t="s">
        <v>5964</v>
      </c>
      <c r="S1115" s="19" t="s">
        <v>46</v>
      </c>
      <c r="T1115" s="19" t="s">
        <v>635</v>
      </c>
      <c r="U1115" s="19" t="s">
        <v>636</v>
      </c>
      <c r="V1115" s="19" t="s">
        <v>45</v>
      </c>
      <c r="W1115" s="19"/>
      <c r="X1115" s="19"/>
      <c r="Y1115" s="19"/>
      <c r="Z1115" s="19" t="s">
        <v>673</v>
      </c>
      <c r="AA1115" s="19" t="s">
        <v>5965</v>
      </c>
      <c r="AB1115" s="19" t="s">
        <v>5966</v>
      </c>
      <c r="AC1115" s="19" t="s">
        <v>46</v>
      </c>
      <c r="AD1115" s="19"/>
      <c r="AE1115" s="19" t="s">
        <v>641</v>
      </c>
      <c r="AF1115" s="19" t="s">
        <v>190</v>
      </c>
      <c r="AG1115" s="19">
        <v>6</v>
      </c>
      <c r="AH1115" s="19" t="s">
        <v>190</v>
      </c>
      <c r="AI1115" s="19"/>
      <c r="AJ1115" s="19" t="s">
        <v>5967</v>
      </c>
      <c r="AK1115" s="19" t="s">
        <v>4840</v>
      </c>
    </row>
    <row r="1116" spans="1:37" s="23" customFormat="1">
      <c r="A1116" s="19" t="str">
        <f>VLOOKUP(H1116,Languages!$A$2:$B$430,2,FALSE)</f>
        <v>Indo-European</v>
      </c>
      <c r="B1116" s="19" t="s">
        <v>652</v>
      </c>
      <c r="C1116" s="19" t="s">
        <v>94</v>
      </c>
      <c r="D1116" s="19" t="s">
        <v>7257</v>
      </c>
      <c r="E1116" s="20" t="s">
        <v>180</v>
      </c>
      <c r="F1116" s="20" t="s">
        <v>180</v>
      </c>
      <c r="G1116" s="19" t="s">
        <v>180</v>
      </c>
      <c r="H1116" s="19" t="str">
        <f>VLOOKUP(G1116,'languoid 4.0'!$A$1:$I$24439,2,FALSE)</f>
        <v>indo1319</v>
      </c>
      <c r="I1116" s="19" t="str">
        <f>VLOOKUP(G1116,'languoid 4.0'!$A$1:$I$24439,6,FALSE)</f>
        <v>language</v>
      </c>
      <c r="J1116" s="20" t="s">
        <v>38</v>
      </c>
      <c r="K1116" s="20" t="s">
        <v>38</v>
      </c>
      <c r="L1116" s="20" t="s">
        <v>38</v>
      </c>
      <c r="M1116" s="19"/>
      <c r="N1116" s="19" t="s">
        <v>4842</v>
      </c>
      <c r="O1116" s="20" t="s">
        <v>40</v>
      </c>
      <c r="P1116" s="20" t="s">
        <v>41</v>
      </c>
      <c r="Q1116" s="19" t="s">
        <v>7258</v>
      </c>
      <c r="R1116" s="21" t="s">
        <v>7259</v>
      </c>
      <c r="S1116" s="19" t="s">
        <v>46</v>
      </c>
      <c r="T1116" s="19" t="s">
        <v>7260</v>
      </c>
      <c r="U1116" s="19" t="s">
        <v>636</v>
      </c>
      <c r="V1116" s="19" t="s">
        <v>45</v>
      </c>
      <c r="W1116" s="19"/>
      <c r="X1116" s="19"/>
      <c r="Y1116" s="19"/>
      <c r="Z1116" s="19" t="s">
        <v>673</v>
      </c>
      <c r="AA1116" s="19" t="s">
        <v>46</v>
      </c>
      <c r="AB1116" s="19" t="s">
        <v>7261</v>
      </c>
      <c r="AC1116" s="19" t="s">
        <v>46</v>
      </c>
      <c r="AD1116" s="19"/>
      <c r="AE1116" s="19" t="s">
        <v>641</v>
      </c>
      <c r="AF1116" s="19" t="s">
        <v>190</v>
      </c>
      <c r="AG1116" s="19">
        <v>6</v>
      </c>
      <c r="AH1116" s="19" t="s">
        <v>190</v>
      </c>
      <c r="AI1116" s="19"/>
      <c r="AJ1116" s="22">
        <v>43351.593587962961</v>
      </c>
      <c r="AK1116" s="19" t="s">
        <v>4840</v>
      </c>
    </row>
    <row r="1117" spans="1:37" s="23" customFormat="1">
      <c r="A1117" s="19" t="str">
        <f>VLOOKUP(H1117,Languages!$A$2:$B$430,2,FALSE)</f>
        <v>Indo-European</v>
      </c>
      <c r="B1117" s="19" t="s">
        <v>652</v>
      </c>
      <c r="C1117" s="19" t="s">
        <v>94</v>
      </c>
      <c r="D1117" s="19" t="s">
        <v>7262</v>
      </c>
      <c r="E1117" s="20" t="s">
        <v>180</v>
      </c>
      <c r="F1117" s="20" t="s">
        <v>180</v>
      </c>
      <c r="G1117" s="19" t="s">
        <v>180</v>
      </c>
      <c r="H1117" s="19" t="str">
        <f>VLOOKUP(G1117,'languoid 4.0'!$A$1:$I$24439,2,FALSE)</f>
        <v>indo1319</v>
      </c>
      <c r="I1117" s="19" t="str">
        <f>VLOOKUP(G1117,'languoid 4.0'!$A$1:$I$24439,6,FALSE)</f>
        <v>language</v>
      </c>
      <c r="J1117" s="20" t="s">
        <v>38</v>
      </c>
      <c r="K1117" s="20" t="s">
        <v>38</v>
      </c>
      <c r="L1117" s="20" t="s">
        <v>38</v>
      </c>
      <c r="M1117" s="19"/>
      <c r="N1117" s="19" t="s">
        <v>4842</v>
      </c>
      <c r="O1117" s="20" t="s">
        <v>40</v>
      </c>
      <c r="P1117" s="20" t="s">
        <v>41</v>
      </c>
      <c r="Q1117" s="19" t="s">
        <v>7263</v>
      </c>
      <c r="R1117" s="21" t="s">
        <v>7264</v>
      </c>
      <c r="S1117" s="19" t="s">
        <v>46</v>
      </c>
      <c r="T1117" s="19" t="s">
        <v>7260</v>
      </c>
      <c r="U1117" s="19" t="s">
        <v>636</v>
      </c>
      <c r="V1117" s="19" t="s">
        <v>45</v>
      </c>
      <c r="W1117" s="19"/>
      <c r="X1117" s="19"/>
      <c r="Y1117" s="19"/>
      <c r="Z1117" s="19" t="s">
        <v>673</v>
      </c>
      <c r="AA1117" s="19" t="s">
        <v>46</v>
      </c>
      <c r="AB1117" s="19" t="s">
        <v>7265</v>
      </c>
      <c r="AC1117" s="19" t="s">
        <v>7266</v>
      </c>
      <c r="AD1117" s="19"/>
      <c r="AE1117" s="19" t="s">
        <v>641</v>
      </c>
      <c r="AF1117" s="19" t="s">
        <v>190</v>
      </c>
      <c r="AG1117" s="19">
        <v>6</v>
      </c>
      <c r="AH1117" s="19" t="s">
        <v>190</v>
      </c>
      <c r="AI1117" s="19"/>
      <c r="AJ1117" s="22">
        <v>43351.60832175926</v>
      </c>
      <c r="AK1117" s="19" t="s">
        <v>4840</v>
      </c>
    </row>
    <row r="1118" spans="1:37" s="23" customFormat="1">
      <c r="A1118" s="19" t="str">
        <f>VLOOKUP(H1118,Languages!$A$2:$B$430,2,FALSE)</f>
        <v>Indo-European</v>
      </c>
      <c r="B1118" s="19" t="s">
        <v>652</v>
      </c>
      <c r="C1118" s="19" t="s">
        <v>94</v>
      </c>
      <c r="D1118" s="19" t="s">
        <v>9373</v>
      </c>
      <c r="E1118" s="20" t="s">
        <v>180</v>
      </c>
      <c r="F1118" s="20" t="s">
        <v>180</v>
      </c>
      <c r="G1118" s="19" t="s">
        <v>180</v>
      </c>
      <c r="H1118" s="19" t="str">
        <f>VLOOKUP(G1118,'languoid 4.0'!$A$1:$I$24439,2,FALSE)</f>
        <v>indo1319</v>
      </c>
      <c r="I1118" s="19" t="str">
        <f>VLOOKUP(G1118,'languoid 4.0'!$A$1:$I$24439,6,FALSE)</f>
        <v>language</v>
      </c>
      <c r="J1118" s="20" t="s">
        <v>38</v>
      </c>
      <c r="K1118" s="20" t="s">
        <v>38</v>
      </c>
      <c r="L1118" s="20" t="s">
        <v>38</v>
      </c>
      <c r="M1118" s="19"/>
      <c r="N1118" s="19" t="s">
        <v>4842</v>
      </c>
      <c r="O1118" s="20" t="s">
        <v>40</v>
      </c>
      <c r="P1118" s="20" t="s">
        <v>41</v>
      </c>
      <c r="Q1118" s="19" t="s">
        <v>9374</v>
      </c>
      <c r="R1118" s="21" t="s">
        <v>9375</v>
      </c>
      <c r="S1118" s="19" t="s">
        <v>46</v>
      </c>
      <c r="T1118" s="19" t="s">
        <v>635</v>
      </c>
      <c r="U1118" s="19" t="s">
        <v>636</v>
      </c>
      <c r="V1118" s="19" t="s">
        <v>45</v>
      </c>
      <c r="W1118" s="19"/>
      <c r="X1118" s="19"/>
      <c r="Y1118" s="19"/>
      <c r="Z1118" s="19" t="s">
        <v>658</v>
      </c>
      <c r="AA1118" s="19" t="s">
        <v>9376</v>
      </c>
      <c r="AB1118" s="19" t="s">
        <v>46</v>
      </c>
      <c r="AC1118" s="19" t="s">
        <v>46</v>
      </c>
      <c r="AD1118" s="19"/>
      <c r="AE1118" s="19" t="s">
        <v>641</v>
      </c>
      <c r="AF1118" s="19" t="s">
        <v>190</v>
      </c>
      <c r="AG1118" s="19">
        <v>5</v>
      </c>
      <c r="AH1118" s="19" t="s">
        <v>190</v>
      </c>
      <c r="AI1118" s="19"/>
      <c r="AJ1118" s="22">
        <v>43110.399027777778</v>
      </c>
      <c r="AK1118" s="19" t="s">
        <v>8881</v>
      </c>
    </row>
    <row r="1119" spans="1:37" s="23" customFormat="1">
      <c r="A1119" s="19" t="str">
        <f>VLOOKUP(H1119,Languages!$A$2:$B$430,2,FALSE)</f>
        <v>Indo-European</v>
      </c>
      <c r="B1119" s="19" t="s">
        <v>652</v>
      </c>
      <c r="C1119" s="19" t="s">
        <v>94</v>
      </c>
      <c r="D1119" s="19" t="s">
        <v>10039</v>
      </c>
      <c r="E1119" s="20" t="s">
        <v>180</v>
      </c>
      <c r="F1119" s="20" t="s">
        <v>180</v>
      </c>
      <c r="G1119" s="19" t="s">
        <v>180</v>
      </c>
      <c r="H1119" s="19" t="str">
        <f>VLOOKUP(G1119,'languoid 4.0'!$A$1:$I$24439,2,FALSE)</f>
        <v>indo1319</v>
      </c>
      <c r="I1119" s="19" t="str">
        <f>VLOOKUP(G1119,'languoid 4.0'!$A$1:$I$24439,6,FALSE)</f>
        <v>language</v>
      </c>
      <c r="J1119" s="20" t="s">
        <v>38</v>
      </c>
      <c r="K1119" s="20" t="s">
        <v>38</v>
      </c>
      <c r="L1119" s="20" t="s">
        <v>38</v>
      </c>
      <c r="M1119" s="19"/>
      <c r="N1119" s="19" t="s">
        <v>4842</v>
      </c>
      <c r="O1119" s="20" t="s">
        <v>40</v>
      </c>
      <c r="P1119" s="20" t="s">
        <v>41</v>
      </c>
      <c r="Q1119" s="19" t="s">
        <v>10040</v>
      </c>
      <c r="R1119" s="21" t="s">
        <v>10041</v>
      </c>
      <c r="S1119" s="19" t="s">
        <v>10042</v>
      </c>
      <c r="T1119" s="19" t="s">
        <v>657</v>
      </c>
      <c r="U1119" s="19" t="s">
        <v>10043</v>
      </c>
      <c r="V1119" s="19" t="s">
        <v>45</v>
      </c>
      <c r="W1119" s="19"/>
      <c r="X1119" s="19"/>
      <c r="Y1119" s="19"/>
      <c r="Z1119" s="19" t="s">
        <v>658</v>
      </c>
      <c r="AA1119" s="19" t="s">
        <v>10044</v>
      </c>
      <c r="AB1119" s="19" t="s">
        <v>10045</v>
      </c>
      <c r="AC1119" s="19" t="s">
        <v>46</v>
      </c>
      <c r="AD1119" s="19"/>
      <c r="AE1119" s="19" t="s">
        <v>641</v>
      </c>
      <c r="AF1119" s="19" t="s">
        <v>190</v>
      </c>
      <c r="AG1119" s="19">
        <v>6</v>
      </c>
      <c r="AH1119" s="19" t="s">
        <v>190</v>
      </c>
      <c r="AI1119" s="19"/>
      <c r="AJ1119" s="22">
        <v>43231.408067129632</v>
      </c>
      <c r="AK1119" s="19" t="s">
        <v>8881</v>
      </c>
    </row>
    <row r="1120" spans="1:37" s="23" customFormat="1">
      <c r="A1120" s="19" t="str">
        <f>VLOOKUP(H1120,Languages!$A$2:$B$430,2,FALSE)</f>
        <v>Indo-European</v>
      </c>
      <c r="B1120" s="19" t="s">
        <v>652</v>
      </c>
      <c r="C1120" s="19" t="s">
        <v>1012</v>
      </c>
      <c r="D1120" s="19" t="s">
        <v>1013</v>
      </c>
      <c r="E1120" s="20" t="s">
        <v>1014</v>
      </c>
      <c r="F1120" s="20" t="s">
        <v>1015</v>
      </c>
      <c r="G1120" s="19" t="s">
        <v>1015</v>
      </c>
      <c r="H1120" s="19" t="str">
        <f>VLOOKUP(G1120,'languoid 4.0'!$A$1:$I$24439,2,FALSE)</f>
        <v>indo1319</v>
      </c>
      <c r="I1120" s="19" t="str">
        <f>VLOOKUP(G1120,'languoid 4.0'!$A$1:$I$24439,6,FALSE)</f>
        <v>dialect</v>
      </c>
      <c r="J1120" s="20" t="s">
        <v>52</v>
      </c>
      <c r="K1120" s="20" t="s">
        <v>52</v>
      </c>
      <c r="L1120" s="20" t="s">
        <v>38</v>
      </c>
      <c r="M1120" s="19"/>
      <c r="N1120" s="19"/>
      <c r="O1120" s="20" t="s">
        <v>113</v>
      </c>
      <c r="P1120" s="20" t="s">
        <v>41</v>
      </c>
      <c r="Q1120" s="19" t="s">
        <v>1016</v>
      </c>
      <c r="R1120" s="21" t="s">
        <v>1017</v>
      </c>
      <c r="S1120" s="19" t="s">
        <v>717</v>
      </c>
      <c r="T1120" s="19" t="s">
        <v>1018</v>
      </c>
      <c r="U1120" s="19" t="s">
        <v>636</v>
      </c>
      <c r="V1120" s="19" t="s">
        <v>45</v>
      </c>
      <c r="W1120" s="19"/>
      <c r="X1120" s="19"/>
      <c r="Y1120" s="19"/>
      <c r="Z1120" s="19" t="s">
        <v>637</v>
      </c>
      <c r="AA1120" s="19" t="s">
        <v>1019</v>
      </c>
      <c r="AB1120" s="19" t="s">
        <v>1020</v>
      </c>
      <c r="AC1120" s="19" t="s">
        <v>1021</v>
      </c>
      <c r="AD1120" s="19" t="s">
        <v>1022</v>
      </c>
      <c r="AE1120" s="19" t="s">
        <v>641</v>
      </c>
      <c r="AF1120" s="19" t="s">
        <v>190</v>
      </c>
      <c r="AG1120" s="19">
        <v>5</v>
      </c>
      <c r="AH1120" s="19" t="s">
        <v>190</v>
      </c>
      <c r="AI1120" s="19"/>
      <c r="AJ1120" s="22">
        <v>43345.931527777779</v>
      </c>
      <c r="AK1120" s="19" t="s">
        <v>1023</v>
      </c>
    </row>
    <row r="1121" spans="1:37" s="23" customFormat="1">
      <c r="A1121" s="19" t="str">
        <f>VLOOKUP(H1121,Languages!$A$2:$B$430,2,FALSE)</f>
        <v>Indo-European</v>
      </c>
      <c r="B1121" s="19" t="s">
        <v>652</v>
      </c>
      <c r="C1121" s="19" t="s">
        <v>1012</v>
      </c>
      <c r="D1121" s="19" t="s">
        <v>2844</v>
      </c>
      <c r="E1121" s="20" t="s">
        <v>2845</v>
      </c>
      <c r="F1121" s="20" t="s">
        <v>2845</v>
      </c>
      <c r="G1121" s="19" t="s">
        <v>2845</v>
      </c>
      <c r="H1121" s="19" t="str">
        <f>VLOOKUP(G1121,'languoid 4.0'!$A$1:$I$24439,2,FALSE)</f>
        <v>indo1319</v>
      </c>
      <c r="I1121" s="19" t="str">
        <f>VLOOKUP(G1121,'languoid 4.0'!$A$1:$I$24439,6,FALSE)</f>
        <v>language</v>
      </c>
      <c r="J1121" s="20" t="s">
        <v>38</v>
      </c>
      <c r="K1121" s="20" t="s">
        <v>38</v>
      </c>
      <c r="L1121" s="20" t="s">
        <v>38</v>
      </c>
      <c r="M1121" s="19"/>
      <c r="N1121" s="19" t="s">
        <v>2846</v>
      </c>
      <c r="O1121" s="20" t="s">
        <v>40</v>
      </c>
      <c r="P1121" s="20" t="s">
        <v>41</v>
      </c>
      <c r="Q1121" s="19" t="s">
        <v>2847</v>
      </c>
      <c r="R1121" s="21" t="s">
        <v>2848</v>
      </c>
      <c r="S1121" s="19" t="s">
        <v>46</v>
      </c>
      <c r="T1121" s="19" t="s">
        <v>635</v>
      </c>
      <c r="U1121" s="19" t="s">
        <v>636</v>
      </c>
      <c r="V1121" s="19" t="s">
        <v>45</v>
      </c>
      <c r="W1121" s="19"/>
      <c r="X1121" s="19"/>
      <c r="Y1121" s="19"/>
      <c r="Z1121" s="19" t="s">
        <v>658</v>
      </c>
      <c r="AA1121" s="19" t="s">
        <v>2849</v>
      </c>
      <c r="AB1121" s="19" t="s">
        <v>46</v>
      </c>
      <c r="AC1121" s="19" t="s">
        <v>46</v>
      </c>
      <c r="AD1121" s="19" t="s">
        <v>2850</v>
      </c>
      <c r="AE1121" s="19" t="s">
        <v>641</v>
      </c>
      <c r="AF1121" s="19" t="s">
        <v>190</v>
      </c>
      <c r="AG1121" s="19">
        <v>5</v>
      </c>
      <c r="AH1121" s="19" t="s">
        <v>190</v>
      </c>
      <c r="AI1121" s="19"/>
      <c r="AJ1121" s="22">
        <v>43438.447766203702</v>
      </c>
      <c r="AK1121" s="19" t="s">
        <v>1023</v>
      </c>
    </row>
    <row r="1122" spans="1:37" s="23" customFormat="1">
      <c r="A1122" s="19" t="str">
        <f>VLOOKUP(H1122,Languages!$A$2:$B$430,2,FALSE)</f>
        <v>Indo-European</v>
      </c>
      <c r="B1122" s="19" t="s">
        <v>652</v>
      </c>
      <c r="C1122" s="19" t="s">
        <v>1012</v>
      </c>
      <c r="D1122" s="19" t="s">
        <v>2860</v>
      </c>
      <c r="E1122" s="20" t="s">
        <v>2845</v>
      </c>
      <c r="F1122" s="20" t="s">
        <v>2845</v>
      </c>
      <c r="G1122" s="19" t="s">
        <v>2845</v>
      </c>
      <c r="H1122" s="19" t="str">
        <f>VLOOKUP(G1122,'languoid 4.0'!$A$1:$I$24439,2,FALSE)</f>
        <v>indo1319</v>
      </c>
      <c r="I1122" s="19" t="str">
        <f>VLOOKUP(G1122,'languoid 4.0'!$A$1:$I$24439,6,FALSE)</f>
        <v>language</v>
      </c>
      <c r="J1122" s="20" t="s">
        <v>38</v>
      </c>
      <c r="K1122" s="20" t="s">
        <v>38</v>
      </c>
      <c r="L1122" s="20" t="s">
        <v>38</v>
      </c>
      <c r="M1122" s="19"/>
      <c r="N1122" s="19" t="s">
        <v>2846</v>
      </c>
      <c r="O1122" s="20" t="s">
        <v>40</v>
      </c>
      <c r="P1122" s="20" t="s">
        <v>41</v>
      </c>
      <c r="Q1122" s="19" t="s">
        <v>2867</v>
      </c>
      <c r="R1122" s="21" t="s">
        <v>2868</v>
      </c>
      <c r="S1122" s="19" t="s">
        <v>46</v>
      </c>
      <c r="T1122" s="19" t="s">
        <v>2869</v>
      </c>
      <c r="U1122" s="19" t="s">
        <v>636</v>
      </c>
      <c r="V1122" s="19" t="s">
        <v>45</v>
      </c>
      <c r="W1122" s="19"/>
      <c r="X1122" s="19"/>
      <c r="Y1122" s="19"/>
      <c r="Z1122" s="19" t="s">
        <v>658</v>
      </c>
      <c r="AA1122" s="19" t="s">
        <v>2870</v>
      </c>
      <c r="AB1122" s="19" t="s">
        <v>46</v>
      </c>
      <c r="AC1122" s="19" t="s">
        <v>46</v>
      </c>
      <c r="AD1122" s="19" t="s">
        <v>2838</v>
      </c>
      <c r="AE1122" s="19" t="s">
        <v>641</v>
      </c>
      <c r="AF1122" s="19" t="s">
        <v>190</v>
      </c>
      <c r="AG1122" s="19">
        <v>5</v>
      </c>
      <c r="AH1122" s="19" t="s">
        <v>190</v>
      </c>
      <c r="AI1122" s="19"/>
      <c r="AJ1122" s="22">
        <v>43438.462407407409</v>
      </c>
      <c r="AK1122" s="19" t="s">
        <v>1023</v>
      </c>
    </row>
    <row r="1123" spans="1:37" s="23" customFormat="1">
      <c r="A1123" s="19" t="str">
        <f>VLOOKUP(H1123,Languages!$A$2:$B$430,2,FALSE)</f>
        <v>Indo-European</v>
      </c>
      <c r="B1123" s="19" t="s">
        <v>652</v>
      </c>
      <c r="C1123" s="19" t="s">
        <v>1012</v>
      </c>
      <c r="D1123" s="19" t="s">
        <v>2885</v>
      </c>
      <c r="E1123" s="20" t="s">
        <v>2886</v>
      </c>
      <c r="F1123" s="20" t="s">
        <v>2887</v>
      </c>
      <c r="G1123" s="19" t="s">
        <v>2886</v>
      </c>
      <c r="H1123" s="19" t="str">
        <f>VLOOKUP(G1123,'languoid 4.0'!$A$1:$I$24439,2,FALSE)</f>
        <v>indo1319</v>
      </c>
      <c r="I1123" s="19" t="str">
        <f>VLOOKUP(G1123,'languoid 4.0'!$A$1:$I$24439,6,FALSE)</f>
        <v>language</v>
      </c>
      <c r="J1123" s="20" t="s">
        <v>52</v>
      </c>
      <c r="K1123" s="20" t="s">
        <v>38</v>
      </c>
      <c r="L1123" s="20" t="s">
        <v>38</v>
      </c>
      <c r="M1123" s="19"/>
      <c r="N1123" s="19" t="s">
        <v>2888</v>
      </c>
      <c r="O1123" s="20" t="s">
        <v>40</v>
      </c>
      <c r="P1123" s="20" t="s">
        <v>41</v>
      </c>
      <c r="Q1123" s="19" t="s">
        <v>2892</v>
      </c>
      <c r="R1123" s="21" t="s">
        <v>2893</v>
      </c>
      <c r="S1123" s="19" t="s">
        <v>46</v>
      </c>
      <c r="T1123" s="19" t="s">
        <v>2869</v>
      </c>
      <c r="U1123" s="19" t="s">
        <v>636</v>
      </c>
      <c r="V1123" s="19" t="s">
        <v>45</v>
      </c>
      <c r="W1123" s="19"/>
      <c r="X1123" s="19"/>
      <c r="Y1123" s="19"/>
      <c r="Z1123" s="19" t="s">
        <v>658</v>
      </c>
      <c r="AA1123" s="19" t="s">
        <v>2894</v>
      </c>
      <c r="AB1123" s="19" t="s">
        <v>46</v>
      </c>
      <c r="AC1123" s="19" t="s">
        <v>46</v>
      </c>
      <c r="AD1123" s="19" t="s">
        <v>2895</v>
      </c>
      <c r="AE1123" s="19" t="s">
        <v>641</v>
      </c>
      <c r="AF1123" s="19" t="s">
        <v>190</v>
      </c>
      <c r="AG1123" s="19">
        <v>5</v>
      </c>
      <c r="AH1123" s="19" t="s">
        <v>190</v>
      </c>
      <c r="AI1123" s="19"/>
      <c r="AJ1123" s="22">
        <v>43438.475729166668</v>
      </c>
      <c r="AK1123" s="19" t="s">
        <v>1023</v>
      </c>
    </row>
    <row r="1124" spans="1:37" s="23" customFormat="1">
      <c r="A1124" s="19" t="str">
        <f>VLOOKUP(H1124,Languages!$A$2:$B$430,2,FALSE)</f>
        <v>Indo-European</v>
      </c>
      <c r="B1124" s="19" t="s">
        <v>652</v>
      </c>
      <c r="C1124" s="19" t="s">
        <v>1012</v>
      </c>
      <c r="D1124" s="19" t="s">
        <v>2901</v>
      </c>
      <c r="E1124" s="20" t="s">
        <v>2731</v>
      </c>
      <c r="F1124" s="20" t="s">
        <v>2731</v>
      </c>
      <c r="G1124" s="19" t="s">
        <v>2731</v>
      </c>
      <c r="H1124" s="19" t="str">
        <f>VLOOKUP(G1124,'languoid 4.0'!$A$1:$I$24439,2,FALSE)</f>
        <v>indo1319</v>
      </c>
      <c r="I1124" s="19" t="str">
        <f>VLOOKUP(G1124,'languoid 4.0'!$A$1:$I$24439,6,FALSE)</f>
        <v>language</v>
      </c>
      <c r="J1124" s="20" t="s">
        <v>38</v>
      </c>
      <c r="K1124" s="20" t="s">
        <v>38</v>
      </c>
      <c r="L1124" s="20" t="s">
        <v>38</v>
      </c>
      <c r="M1124" s="19"/>
      <c r="N1124" s="19" t="s">
        <v>2732</v>
      </c>
      <c r="O1124" s="20" t="s">
        <v>40</v>
      </c>
      <c r="P1124" s="20" t="s">
        <v>632</v>
      </c>
      <c r="Q1124" s="19" t="s">
        <v>3141</v>
      </c>
      <c r="R1124" s="21" t="s">
        <v>3142</v>
      </c>
      <c r="S1124" s="19" t="s">
        <v>46</v>
      </c>
      <c r="T1124" s="19" t="s">
        <v>2735</v>
      </c>
      <c r="U1124" s="19" t="s">
        <v>636</v>
      </c>
      <c r="V1124" s="19" t="s">
        <v>45</v>
      </c>
      <c r="W1124" s="19"/>
      <c r="X1124" s="19"/>
      <c r="Y1124" s="19"/>
      <c r="Z1124" s="19" t="s">
        <v>658</v>
      </c>
      <c r="AA1124" s="19" t="s">
        <v>3143</v>
      </c>
      <c r="AB1124" s="19" t="s">
        <v>46</v>
      </c>
      <c r="AC1124" s="19" t="s">
        <v>46</v>
      </c>
      <c r="AD1124" s="19" t="s">
        <v>3109</v>
      </c>
      <c r="AE1124" s="19" t="s">
        <v>641</v>
      </c>
      <c r="AF1124" s="19" t="s">
        <v>190</v>
      </c>
      <c r="AG1124" s="19">
        <v>5</v>
      </c>
      <c r="AH1124" s="19" t="s">
        <v>190</v>
      </c>
      <c r="AI1124" s="19"/>
      <c r="AJ1124" s="19" t="s">
        <v>3144</v>
      </c>
      <c r="AK1124" s="19" t="s">
        <v>1023</v>
      </c>
    </row>
    <row r="1125" spans="1:37" s="23" customFormat="1">
      <c r="A1125" s="19" t="str">
        <f>VLOOKUP(H1125,Languages!$A$2:$B$430,2,FALSE)</f>
        <v>Indo-European</v>
      </c>
      <c r="B1125" s="19" t="s">
        <v>652</v>
      </c>
      <c r="C1125" s="19" t="s">
        <v>1012</v>
      </c>
      <c r="D1125" s="19" t="s">
        <v>2923</v>
      </c>
      <c r="E1125" s="20" t="s">
        <v>51</v>
      </c>
      <c r="F1125" s="20" t="s">
        <v>2757</v>
      </c>
      <c r="G1125" s="27" t="s">
        <v>2757</v>
      </c>
      <c r="H1125" s="19" t="str">
        <f>VLOOKUP(G1125,'languoid 4.0'!$A$1:$I$24439,2,FALSE)</f>
        <v>indo1319</v>
      </c>
      <c r="I1125" s="19" t="str">
        <f>VLOOKUP(G1125,'languoid 4.0'!$A$1:$I$24439,6,FALSE)</f>
        <v>family</v>
      </c>
      <c r="J1125" s="20" t="s">
        <v>52</v>
      </c>
      <c r="K1125" s="20" t="s">
        <v>51</v>
      </c>
      <c r="L1125" s="20" t="s">
        <v>51</v>
      </c>
      <c r="M1125" s="19"/>
      <c r="N1125" s="19" t="e">
        <v>#N/A</v>
      </c>
      <c r="O1125" s="20" t="s">
        <v>690</v>
      </c>
      <c r="P1125" s="20"/>
      <c r="Q1125" s="19" t="s">
        <v>3145</v>
      </c>
      <c r="R1125" s="21" t="s">
        <v>3146</v>
      </c>
      <c r="S1125" s="19" t="s">
        <v>46</v>
      </c>
      <c r="T1125" s="19" t="s">
        <v>2735</v>
      </c>
      <c r="U1125" s="19" t="s">
        <v>636</v>
      </c>
      <c r="V1125" s="19" t="s">
        <v>45</v>
      </c>
      <c r="W1125" s="19"/>
      <c r="X1125" s="19"/>
      <c r="Y1125" s="19"/>
      <c r="Z1125" s="19" t="s">
        <v>658</v>
      </c>
      <c r="AA1125" s="19" t="s">
        <v>3147</v>
      </c>
      <c r="AB1125" s="19" t="s">
        <v>46</v>
      </c>
      <c r="AC1125" s="19" t="s">
        <v>46</v>
      </c>
      <c r="AD1125" s="19" t="s">
        <v>3109</v>
      </c>
      <c r="AE1125" s="19" t="s">
        <v>641</v>
      </c>
      <c r="AF1125" s="19" t="s">
        <v>190</v>
      </c>
      <c r="AG1125" s="19">
        <v>6</v>
      </c>
      <c r="AH1125" s="19" t="s">
        <v>190</v>
      </c>
      <c r="AI1125" s="19"/>
      <c r="AJ1125" s="19" t="s">
        <v>3148</v>
      </c>
      <c r="AK1125" s="19" t="s">
        <v>1023</v>
      </c>
    </row>
    <row r="1126" spans="1:37" s="23" customFormat="1">
      <c r="A1126" s="19" t="str">
        <f>VLOOKUP(H1126,Languages!$A$2:$B$430,2,FALSE)</f>
        <v>Indo-European</v>
      </c>
      <c r="B1126" s="19" t="s">
        <v>652</v>
      </c>
      <c r="C1126" s="19" t="s">
        <v>10200</v>
      </c>
      <c r="D1126" s="19" t="s">
        <v>10306</v>
      </c>
      <c r="E1126" s="20" t="s">
        <v>10209</v>
      </c>
      <c r="F1126" s="20" t="s">
        <v>10307</v>
      </c>
      <c r="G1126" s="19" t="s">
        <v>10209</v>
      </c>
      <c r="H1126" s="19" t="str">
        <f>VLOOKUP(G1126,'languoid 4.0'!$A$1:$I$24439,2,FALSE)</f>
        <v>indo1319</v>
      </c>
      <c r="I1126" s="19" t="str">
        <f>VLOOKUP(G1126,'languoid 4.0'!$A$1:$I$24439,6,FALSE)</f>
        <v>language</v>
      </c>
      <c r="J1126" s="20" t="s">
        <v>52</v>
      </c>
      <c r="K1126" s="20" t="s">
        <v>38</v>
      </c>
      <c r="L1126" s="20" t="s">
        <v>38</v>
      </c>
      <c r="M1126" s="19"/>
      <c r="N1126" s="19" t="s">
        <v>10256</v>
      </c>
      <c r="O1126" s="20" t="s">
        <v>40</v>
      </c>
      <c r="P1126" s="20" t="s">
        <v>41</v>
      </c>
      <c r="Q1126" s="19" t="s">
        <v>10316</v>
      </c>
      <c r="R1126" s="21" t="s">
        <v>10317</v>
      </c>
      <c r="S1126" s="19" t="s">
        <v>46</v>
      </c>
      <c r="T1126" s="19" t="s">
        <v>635</v>
      </c>
      <c r="U1126" s="19" t="s">
        <v>636</v>
      </c>
      <c r="V1126" s="19" t="s">
        <v>45</v>
      </c>
      <c r="W1126" s="19"/>
      <c r="X1126" s="19"/>
      <c r="Y1126" s="19"/>
      <c r="Z1126" s="19" t="s">
        <v>673</v>
      </c>
      <c r="AA1126" s="19" t="s">
        <v>46</v>
      </c>
      <c r="AB1126" s="19" t="s">
        <v>10318</v>
      </c>
      <c r="AC1126" s="19" t="s">
        <v>46</v>
      </c>
      <c r="AD1126" s="19"/>
      <c r="AE1126" s="19" t="s">
        <v>641</v>
      </c>
      <c r="AF1126" s="19" t="s">
        <v>190</v>
      </c>
      <c r="AG1126" s="19">
        <v>6</v>
      </c>
      <c r="AH1126" s="19" t="s">
        <v>190</v>
      </c>
      <c r="AI1126" s="19"/>
      <c r="AJ1126" s="19" t="s">
        <v>10319</v>
      </c>
      <c r="AK1126" s="19" t="s">
        <v>4945</v>
      </c>
    </row>
    <row r="1127" spans="1:37" s="23" customFormat="1">
      <c r="A1127" s="19" t="str">
        <f>VLOOKUP(H1127,Languages!$A$2:$B$430,2,FALSE)</f>
        <v>Indo-European</v>
      </c>
      <c r="B1127" s="19" t="s">
        <v>652</v>
      </c>
      <c r="C1127" s="19" t="s">
        <v>10200</v>
      </c>
      <c r="D1127" s="19" t="s">
        <v>10325</v>
      </c>
      <c r="E1127" s="20" t="s">
        <v>10209</v>
      </c>
      <c r="F1127" s="20" t="s">
        <v>10326</v>
      </c>
      <c r="G1127" s="19" t="s">
        <v>10326</v>
      </c>
      <c r="H1127" s="19" t="str">
        <f>VLOOKUP(G1127,'languoid 4.0'!$A$1:$I$24439,2,FALSE)</f>
        <v>indo1319</v>
      </c>
      <c r="I1127" s="19" t="str">
        <f>VLOOKUP(G1127,'languoid 4.0'!$A$1:$I$24439,6,FALSE)</f>
        <v>language</v>
      </c>
      <c r="J1127" s="20" t="s">
        <v>52</v>
      </c>
      <c r="K1127" s="20" t="s">
        <v>38</v>
      </c>
      <c r="L1127" s="20" t="s">
        <v>38</v>
      </c>
      <c r="M1127" s="19"/>
      <c r="N1127" s="19" t="s">
        <v>10256</v>
      </c>
      <c r="O1127" s="20" t="s">
        <v>40</v>
      </c>
      <c r="P1127" s="20" t="s">
        <v>41</v>
      </c>
      <c r="Q1127" s="19" t="s">
        <v>10327</v>
      </c>
      <c r="R1127" s="21" t="s">
        <v>10328</v>
      </c>
      <c r="S1127" s="19" t="s">
        <v>46</v>
      </c>
      <c r="T1127" s="19" t="s">
        <v>635</v>
      </c>
      <c r="U1127" s="19" t="s">
        <v>636</v>
      </c>
      <c r="V1127" s="19" t="s">
        <v>45</v>
      </c>
      <c r="W1127" s="19"/>
      <c r="X1127" s="19"/>
      <c r="Y1127" s="19"/>
      <c r="Z1127" s="19" t="s">
        <v>673</v>
      </c>
      <c r="AA1127" s="19" t="s">
        <v>46</v>
      </c>
      <c r="AB1127" s="19" t="s">
        <v>10329</v>
      </c>
      <c r="AC1127" s="19" t="s">
        <v>46</v>
      </c>
      <c r="AD1127" s="19"/>
      <c r="AE1127" s="19" t="s">
        <v>641</v>
      </c>
      <c r="AF1127" s="19" t="s">
        <v>190</v>
      </c>
      <c r="AG1127" s="19">
        <v>6</v>
      </c>
      <c r="AH1127" s="19" t="s">
        <v>190</v>
      </c>
      <c r="AI1127" s="19"/>
      <c r="AJ1127" s="19" t="s">
        <v>10330</v>
      </c>
      <c r="AK1127" s="19" t="s">
        <v>4945</v>
      </c>
    </row>
    <row r="1128" spans="1:37" s="23" customFormat="1">
      <c r="A1128" s="19" t="str">
        <f>VLOOKUP(H1128,Languages!$A$2:$B$430,2,FALSE)</f>
        <v>Indo-European</v>
      </c>
      <c r="B1128" s="19" t="s">
        <v>652</v>
      </c>
      <c r="C1128" s="19" t="s">
        <v>10200</v>
      </c>
      <c r="D1128" s="19" t="s">
        <v>10514</v>
      </c>
      <c r="E1128" s="20" t="s">
        <v>3656</v>
      </c>
      <c r="F1128" s="20" t="s">
        <v>10515</v>
      </c>
      <c r="G1128" s="19" t="s">
        <v>10515</v>
      </c>
      <c r="H1128" s="19" t="str">
        <f>VLOOKUP(G1128,'languoid 4.0'!$A$1:$I$24439,2,FALSE)</f>
        <v>indo1319</v>
      </c>
      <c r="I1128" s="19" t="str">
        <f>VLOOKUP(G1128,'languoid 4.0'!$A$1:$I$24439,6,FALSE)</f>
        <v>language</v>
      </c>
      <c r="J1128" s="20" t="s">
        <v>52</v>
      </c>
      <c r="K1128" s="20" t="s">
        <v>52</v>
      </c>
      <c r="L1128" s="20" t="s">
        <v>38</v>
      </c>
      <c r="M1128" s="19"/>
      <c r="N1128" s="19" t="s">
        <v>4419</v>
      </c>
      <c r="O1128" s="20" t="s">
        <v>40</v>
      </c>
      <c r="P1128" s="20" t="s">
        <v>41</v>
      </c>
      <c r="Q1128" s="19" t="s">
        <v>10520</v>
      </c>
      <c r="R1128" s="21" t="s">
        <v>10521</v>
      </c>
      <c r="S1128" s="19" t="s">
        <v>46</v>
      </c>
      <c r="T1128" s="19" t="s">
        <v>635</v>
      </c>
      <c r="U1128" s="19" t="s">
        <v>636</v>
      </c>
      <c r="V1128" s="19" t="s">
        <v>45</v>
      </c>
      <c r="W1128" s="19"/>
      <c r="X1128" s="19"/>
      <c r="Y1128" s="19"/>
      <c r="Z1128" s="19" t="s">
        <v>887</v>
      </c>
      <c r="AA1128" s="19" t="s">
        <v>10522</v>
      </c>
      <c r="AB1128" s="19" t="s">
        <v>10523</v>
      </c>
      <c r="AC1128" s="19" t="s">
        <v>46</v>
      </c>
      <c r="AD1128" s="19"/>
      <c r="AE1128" s="19" t="s">
        <v>641</v>
      </c>
      <c r="AF1128" s="19" t="s">
        <v>190</v>
      </c>
      <c r="AG1128" s="19">
        <v>6</v>
      </c>
      <c r="AH1128" s="19" t="s">
        <v>190</v>
      </c>
      <c r="AI1128" s="19"/>
      <c r="AJ1128" s="19" t="s">
        <v>10524</v>
      </c>
      <c r="AK1128" s="19" t="s">
        <v>4945</v>
      </c>
    </row>
    <row r="1129" spans="1:37" s="23" customFormat="1">
      <c r="A1129" s="19" t="str">
        <f>VLOOKUP(H1129,Languages!$A$2:$B$430,2,FALSE)</f>
        <v>Indo-European</v>
      </c>
      <c r="B1129" s="19" t="s">
        <v>652</v>
      </c>
      <c r="C1129" s="19" t="s">
        <v>5463</v>
      </c>
      <c r="D1129" s="19" t="s">
        <v>6703</v>
      </c>
      <c r="E1129" s="20" t="s">
        <v>239</v>
      </c>
      <c r="F1129" s="20" t="s">
        <v>239</v>
      </c>
      <c r="G1129" s="19" t="s">
        <v>239</v>
      </c>
      <c r="H1129" s="19" t="str">
        <f>VLOOKUP(G1129,'languoid 4.0'!$A$1:$I$24439,2,FALSE)</f>
        <v>indo1319</v>
      </c>
      <c r="I1129" s="19" t="str">
        <f>VLOOKUP(G1129,'languoid 4.0'!$A$1:$I$24439,6,FALSE)</f>
        <v>language</v>
      </c>
      <c r="J1129" s="20" t="s">
        <v>38</v>
      </c>
      <c r="K1129" s="20" t="s">
        <v>38</v>
      </c>
      <c r="L1129" s="20" t="s">
        <v>38</v>
      </c>
      <c r="M1129" s="19"/>
      <c r="N1129" s="19" t="s">
        <v>269</v>
      </c>
      <c r="O1129" s="20" t="s">
        <v>40</v>
      </c>
      <c r="P1129" s="20" t="s">
        <v>41</v>
      </c>
      <c r="Q1129" s="19" t="s">
        <v>6704</v>
      </c>
      <c r="R1129" s="21" t="s">
        <v>6705</v>
      </c>
      <c r="S1129" s="19" t="s">
        <v>6706</v>
      </c>
      <c r="T1129" s="19" t="s">
        <v>657</v>
      </c>
      <c r="U1129" s="19" t="s">
        <v>636</v>
      </c>
      <c r="V1129" s="19" t="s">
        <v>45</v>
      </c>
      <c r="W1129" s="19"/>
      <c r="X1129" s="19"/>
      <c r="Y1129" s="19"/>
      <c r="Z1129" s="19" t="s">
        <v>823</v>
      </c>
      <c r="AA1129" s="19" t="s">
        <v>6707</v>
      </c>
      <c r="AB1129" s="19" t="s">
        <v>6708</v>
      </c>
      <c r="AC1129" s="19" t="s">
        <v>6709</v>
      </c>
      <c r="AD1129" s="19" t="s">
        <v>6710</v>
      </c>
      <c r="AE1129" s="19" t="s">
        <v>641</v>
      </c>
      <c r="AF1129" s="19" t="s">
        <v>190</v>
      </c>
      <c r="AG1129" s="19">
        <v>6</v>
      </c>
      <c r="AH1129" s="19" t="s">
        <v>190</v>
      </c>
      <c r="AI1129" s="19"/>
      <c r="AJ1129" s="19" t="s">
        <v>6711</v>
      </c>
      <c r="AK1129" s="19" t="s">
        <v>5472</v>
      </c>
    </row>
    <row r="1130" spans="1:37" s="23" customFormat="1">
      <c r="A1130" s="19" t="str">
        <f>VLOOKUP(H1130,Languages!$A$2:$B$430,2,FALSE)</f>
        <v>Indo-European</v>
      </c>
      <c r="B1130" s="19" t="s">
        <v>652</v>
      </c>
      <c r="C1130" s="19" t="s">
        <v>5463</v>
      </c>
      <c r="D1130" s="19" t="s">
        <v>6703</v>
      </c>
      <c r="E1130" s="20" t="s">
        <v>239</v>
      </c>
      <c r="F1130" s="20" t="s">
        <v>180</v>
      </c>
      <c r="G1130" s="19" t="s">
        <v>239</v>
      </c>
      <c r="H1130" s="19" t="str">
        <f>VLOOKUP(G1130,'languoid 4.0'!$A$1:$I$24439,2,FALSE)</f>
        <v>indo1319</v>
      </c>
      <c r="I1130" s="19" t="str">
        <f>VLOOKUP(G1130,'languoid 4.0'!$A$1:$I$24439,6,FALSE)</f>
        <v>language</v>
      </c>
      <c r="J1130" s="20" t="s">
        <v>52</v>
      </c>
      <c r="K1130" s="20" t="s">
        <v>52</v>
      </c>
      <c r="L1130" s="20" t="s">
        <v>38</v>
      </c>
      <c r="M1130" s="19"/>
      <c r="N1130" s="19" t="s">
        <v>269</v>
      </c>
      <c r="O1130" s="20" t="s">
        <v>40</v>
      </c>
      <c r="P1130" s="20" t="s">
        <v>41</v>
      </c>
      <c r="Q1130" s="19" t="s">
        <v>6712</v>
      </c>
      <c r="R1130" s="21" t="s">
        <v>6705</v>
      </c>
      <c r="S1130" s="19" t="s">
        <v>4414</v>
      </c>
      <c r="T1130" s="19" t="s">
        <v>657</v>
      </c>
      <c r="U1130" s="19" t="s">
        <v>636</v>
      </c>
      <c r="V1130" s="19" t="s">
        <v>45</v>
      </c>
      <c r="W1130" s="19"/>
      <c r="X1130" s="19"/>
      <c r="Y1130" s="19"/>
      <c r="Z1130" s="19" t="s">
        <v>637</v>
      </c>
      <c r="AA1130" s="19" t="s">
        <v>6707</v>
      </c>
      <c r="AB1130" s="19" t="s">
        <v>6713</v>
      </c>
      <c r="AC1130" s="19" t="s">
        <v>46</v>
      </c>
      <c r="AD1130" s="19" t="s">
        <v>6710</v>
      </c>
      <c r="AE1130" s="19" t="s">
        <v>641</v>
      </c>
      <c r="AF1130" s="19" t="s">
        <v>190</v>
      </c>
      <c r="AG1130" s="19">
        <v>6</v>
      </c>
      <c r="AH1130" s="19" t="s">
        <v>190</v>
      </c>
      <c r="AI1130" s="19" t="s">
        <v>6714</v>
      </c>
      <c r="AJ1130" s="19" t="s">
        <v>6715</v>
      </c>
      <c r="AK1130" s="19" t="s">
        <v>5472</v>
      </c>
    </row>
    <row r="1131" spans="1:37" s="23" customFormat="1">
      <c r="A1131" s="19" t="str">
        <f>VLOOKUP(H1131,Languages!$A$2:$B$430,2,FALSE)</f>
        <v>Indo-European</v>
      </c>
      <c r="B1131" s="19" t="s">
        <v>652</v>
      </c>
      <c r="C1131" s="19" t="s">
        <v>5463</v>
      </c>
      <c r="D1131" s="19" t="s">
        <v>6716</v>
      </c>
      <c r="E1131" s="20" t="s">
        <v>239</v>
      </c>
      <c r="F1131" s="20" t="s">
        <v>239</v>
      </c>
      <c r="G1131" s="19" t="s">
        <v>239</v>
      </c>
      <c r="H1131" s="19" t="str">
        <f>VLOOKUP(G1131,'languoid 4.0'!$A$1:$I$24439,2,FALSE)</f>
        <v>indo1319</v>
      </c>
      <c r="I1131" s="19" t="str">
        <f>VLOOKUP(G1131,'languoid 4.0'!$A$1:$I$24439,6,FALSE)</f>
        <v>language</v>
      </c>
      <c r="J1131" s="20" t="s">
        <v>38</v>
      </c>
      <c r="K1131" s="20" t="s">
        <v>38</v>
      </c>
      <c r="L1131" s="20" t="s">
        <v>38</v>
      </c>
      <c r="M1131" s="19"/>
      <c r="N1131" s="19" t="s">
        <v>269</v>
      </c>
      <c r="O1131" s="20" t="s">
        <v>40</v>
      </c>
      <c r="P1131" s="20" t="s">
        <v>41</v>
      </c>
      <c r="Q1131" s="19" t="s">
        <v>6717</v>
      </c>
      <c r="R1131" s="21" t="s">
        <v>6705</v>
      </c>
      <c r="S1131" s="19" t="s">
        <v>579</v>
      </c>
      <c r="T1131" s="19" t="s">
        <v>657</v>
      </c>
      <c r="U1131" s="19" t="s">
        <v>636</v>
      </c>
      <c r="V1131" s="19" t="s">
        <v>45</v>
      </c>
      <c r="W1131" s="19"/>
      <c r="X1131" s="19"/>
      <c r="Y1131" s="19"/>
      <c r="Z1131" s="19" t="s">
        <v>637</v>
      </c>
      <c r="AA1131" s="19" t="s">
        <v>6707</v>
      </c>
      <c r="AB1131" s="19" t="s">
        <v>6718</v>
      </c>
      <c r="AC1131" s="19" t="s">
        <v>46</v>
      </c>
      <c r="AD1131" s="19" t="s">
        <v>6710</v>
      </c>
      <c r="AE1131" s="19" t="s">
        <v>641</v>
      </c>
      <c r="AF1131" s="19" t="s">
        <v>190</v>
      </c>
      <c r="AG1131" s="19">
        <v>6</v>
      </c>
      <c r="AH1131" s="19" t="s">
        <v>190</v>
      </c>
      <c r="AI1131" s="19" t="s">
        <v>6719</v>
      </c>
      <c r="AJ1131" s="19" t="s">
        <v>6720</v>
      </c>
      <c r="AK1131" s="19" t="s">
        <v>5472</v>
      </c>
    </row>
    <row r="1132" spans="1:37" s="23" customFormat="1">
      <c r="A1132" s="19" t="str">
        <f>VLOOKUP(H1132,Languages!$A$2:$B$430,2,FALSE)</f>
        <v>Indo-European</v>
      </c>
      <c r="B1132" s="19" t="s">
        <v>652</v>
      </c>
      <c r="C1132" s="19" t="s">
        <v>1405</v>
      </c>
      <c r="D1132" s="19" t="s">
        <v>6019</v>
      </c>
      <c r="E1132" s="20" t="s">
        <v>1407</v>
      </c>
      <c r="F1132" s="20" t="s">
        <v>1407</v>
      </c>
      <c r="G1132" s="19" t="s">
        <v>1407</v>
      </c>
      <c r="H1132" s="19" t="str">
        <f>VLOOKUP(G1132,'languoid 4.0'!$A$1:$I$24439,2,FALSE)</f>
        <v>indo1319</v>
      </c>
      <c r="I1132" s="19" t="str">
        <f>VLOOKUP(G1132,'languoid 4.0'!$A$1:$I$24439,6,FALSE)</f>
        <v>language</v>
      </c>
      <c r="J1132" s="20" t="s">
        <v>38</v>
      </c>
      <c r="K1132" s="20" t="s">
        <v>38</v>
      </c>
      <c r="L1132" s="20" t="s">
        <v>38</v>
      </c>
      <c r="M1132" s="19"/>
      <c r="N1132" s="19" t="s">
        <v>1409</v>
      </c>
      <c r="O1132" s="20" t="s">
        <v>40</v>
      </c>
      <c r="P1132" s="20" t="s">
        <v>41</v>
      </c>
      <c r="Q1132" s="19" t="s">
        <v>1473</v>
      </c>
      <c r="R1132" s="21" t="s">
        <v>1474</v>
      </c>
      <c r="S1132" s="19" t="s">
        <v>46</v>
      </c>
      <c r="T1132" s="19" t="s">
        <v>822</v>
      </c>
      <c r="U1132" s="19" t="s">
        <v>636</v>
      </c>
      <c r="V1132" s="19" t="s">
        <v>45</v>
      </c>
      <c r="W1132" s="19"/>
      <c r="X1132" s="19"/>
      <c r="Y1132" s="19"/>
      <c r="Z1132" s="19" t="s">
        <v>658</v>
      </c>
      <c r="AA1132" s="19" t="s">
        <v>6020</v>
      </c>
      <c r="AB1132" s="19" t="s">
        <v>46</v>
      </c>
      <c r="AC1132" s="19" t="s">
        <v>46</v>
      </c>
      <c r="AD1132" s="19"/>
      <c r="AE1132" s="19" t="s">
        <v>641</v>
      </c>
      <c r="AF1132" s="19" t="s">
        <v>190</v>
      </c>
      <c r="AG1132" s="19">
        <v>6</v>
      </c>
      <c r="AH1132" s="19" t="s">
        <v>190</v>
      </c>
      <c r="AI1132" s="19"/>
      <c r="AJ1132" s="22">
        <v>43107.272349537037</v>
      </c>
      <c r="AK1132" s="19" t="s">
        <v>1598</v>
      </c>
    </row>
    <row r="1133" spans="1:37" s="23" customFormat="1">
      <c r="A1133" s="19" t="str">
        <f>VLOOKUP(H1133,Languages!$A$2:$B$430,2,FALSE)</f>
        <v>Indo-European</v>
      </c>
      <c r="B1133" s="19" t="s">
        <v>652</v>
      </c>
      <c r="C1133" s="19" t="s">
        <v>1405</v>
      </c>
      <c r="D1133" s="19" t="s">
        <v>6019</v>
      </c>
      <c r="E1133" s="20" t="s">
        <v>1407</v>
      </c>
      <c r="F1133" s="20" t="s">
        <v>1407</v>
      </c>
      <c r="G1133" s="19" t="s">
        <v>1407</v>
      </c>
      <c r="H1133" s="19" t="str">
        <f>VLOOKUP(G1133,'languoid 4.0'!$A$1:$I$24439,2,FALSE)</f>
        <v>indo1319</v>
      </c>
      <c r="I1133" s="19" t="str">
        <f>VLOOKUP(G1133,'languoid 4.0'!$A$1:$I$24439,6,FALSE)</f>
        <v>language</v>
      </c>
      <c r="J1133" s="20" t="s">
        <v>38</v>
      </c>
      <c r="K1133" s="20" t="s">
        <v>38</v>
      </c>
      <c r="L1133" s="20" t="s">
        <v>38</v>
      </c>
      <c r="M1133" s="19"/>
      <c r="N1133" s="19" t="s">
        <v>1409</v>
      </c>
      <c r="O1133" s="20" t="s">
        <v>40</v>
      </c>
      <c r="P1133" s="20" t="s">
        <v>41</v>
      </c>
      <c r="Q1133" s="19" t="s">
        <v>9480</v>
      </c>
      <c r="R1133" s="21" t="s">
        <v>9481</v>
      </c>
      <c r="S1133" s="19" t="s">
        <v>46</v>
      </c>
      <c r="T1133" s="19" t="s">
        <v>822</v>
      </c>
      <c r="U1133" s="19" t="s">
        <v>636</v>
      </c>
      <c r="V1133" s="19" t="s">
        <v>45</v>
      </c>
      <c r="W1133" s="19"/>
      <c r="X1133" s="19"/>
      <c r="Y1133" s="19"/>
      <c r="Z1133" s="19" t="s">
        <v>658</v>
      </c>
      <c r="AA1133" s="19" t="s">
        <v>9482</v>
      </c>
      <c r="AB1133" s="19" t="s">
        <v>46</v>
      </c>
      <c r="AC1133" s="19" t="s">
        <v>46</v>
      </c>
      <c r="AD1133" s="19"/>
      <c r="AE1133" s="19" t="s">
        <v>641</v>
      </c>
      <c r="AF1133" s="19" t="s">
        <v>190</v>
      </c>
      <c r="AG1133" s="19">
        <v>6</v>
      </c>
      <c r="AH1133" s="19" t="s">
        <v>190</v>
      </c>
      <c r="AI1133" s="19"/>
      <c r="AJ1133" s="22">
        <v>43291.333935185183</v>
      </c>
      <c r="AK1133" s="19" t="s">
        <v>1598</v>
      </c>
    </row>
    <row r="1134" spans="1:37" s="23" customFormat="1">
      <c r="A1134" s="19" t="str">
        <f>VLOOKUP(H1134,Languages!$A$2:$B$430,2,FALSE)</f>
        <v>Indo-European</v>
      </c>
      <c r="B1134" s="19" t="s">
        <v>652</v>
      </c>
      <c r="C1134" s="19" t="s">
        <v>1405</v>
      </c>
      <c r="D1134" s="19" t="s">
        <v>6019</v>
      </c>
      <c r="E1134" s="20" t="s">
        <v>1407</v>
      </c>
      <c r="F1134" s="20" t="s">
        <v>1407</v>
      </c>
      <c r="G1134" s="19" t="s">
        <v>1407</v>
      </c>
      <c r="H1134" s="19" t="str">
        <f>VLOOKUP(G1134,'languoid 4.0'!$A$1:$I$24439,2,FALSE)</f>
        <v>indo1319</v>
      </c>
      <c r="I1134" s="19" t="str">
        <f>VLOOKUP(G1134,'languoid 4.0'!$A$1:$I$24439,6,FALSE)</f>
        <v>language</v>
      </c>
      <c r="J1134" s="20" t="s">
        <v>38</v>
      </c>
      <c r="K1134" s="20" t="s">
        <v>38</v>
      </c>
      <c r="L1134" s="20" t="s">
        <v>38</v>
      </c>
      <c r="M1134" s="19"/>
      <c r="N1134" s="19" t="s">
        <v>1409</v>
      </c>
      <c r="O1134" s="20" t="s">
        <v>40</v>
      </c>
      <c r="P1134" s="20" t="s">
        <v>41</v>
      </c>
      <c r="Q1134" s="19" t="s">
        <v>9486</v>
      </c>
      <c r="R1134" s="21" t="s">
        <v>9487</v>
      </c>
      <c r="S1134" s="19" t="s">
        <v>46</v>
      </c>
      <c r="T1134" s="19" t="s">
        <v>822</v>
      </c>
      <c r="U1134" s="19" t="s">
        <v>636</v>
      </c>
      <c r="V1134" s="19" t="s">
        <v>45</v>
      </c>
      <c r="W1134" s="19"/>
      <c r="X1134" s="19"/>
      <c r="Y1134" s="19"/>
      <c r="Z1134" s="19" t="s">
        <v>658</v>
      </c>
      <c r="AA1134" s="19" t="s">
        <v>9488</v>
      </c>
      <c r="AB1134" s="19" t="s">
        <v>46</v>
      </c>
      <c r="AC1134" s="19" t="s">
        <v>46</v>
      </c>
      <c r="AD1134" s="19"/>
      <c r="AE1134" s="19" t="s">
        <v>641</v>
      </c>
      <c r="AF1134" s="19" t="s">
        <v>190</v>
      </c>
      <c r="AG1134" s="19">
        <v>6</v>
      </c>
      <c r="AH1134" s="19" t="s">
        <v>190</v>
      </c>
      <c r="AI1134" s="19"/>
      <c r="AJ1134" s="22">
        <v>43291.347951388889</v>
      </c>
      <c r="AK1134" s="19" t="s">
        <v>1598</v>
      </c>
    </row>
    <row r="1135" spans="1:37" s="23" customFormat="1">
      <c r="A1135" s="19" t="str">
        <f>VLOOKUP(H1135,Languages!$A$2:$B$430,2,FALSE)</f>
        <v>Indo-European</v>
      </c>
      <c r="B1135" s="19" t="s">
        <v>652</v>
      </c>
      <c r="C1135" s="19" t="s">
        <v>407</v>
      </c>
      <c r="D1135" s="19" t="s">
        <v>11366</v>
      </c>
      <c r="E1135" s="20" t="s">
        <v>552</v>
      </c>
      <c r="F1135" s="20" t="s">
        <v>552</v>
      </c>
      <c r="G1135" s="19" t="s">
        <v>552</v>
      </c>
      <c r="H1135" s="19" t="str">
        <f>VLOOKUP(G1135,'languoid 4.0'!$A$1:$I$24439,2,FALSE)</f>
        <v>indo1319</v>
      </c>
      <c r="I1135" s="19" t="str">
        <f>VLOOKUP(G1135,'languoid 4.0'!$A$1:$I$24439,6,FALSE)</f>
        <v>language</v>
      </c>
      <c r="J1135" s="20" t="s">
        <v>38</v>
      </c>
      <c r="K1135" s="20" t="s">
        <v>38</v>
      </c>
      <c r="L1135" s="20" t="s">
        <v>38</v>
      </c>
      <c r="M1135" s="19"/>
      <c r="N1135" s="19" t="s">
        <v>4388</v>
      </c>
      <c r="O1135" s="20" t="s">
        <v>40</v>
      </c>
      <c r="P1135" s="20" t="s">
        <v>41</v>
      </c>
      <c r="Q1135" s="19" t="s">
        <v>11367</v>
      </c>
      <c r="R1135" s="21" t="s">
        <v>11368</v>
      </c>
      <c r="S1135" s="19" t="s">
        <v>359</v>
      </c>
      <c r="T1135" s="19" t="s">
        <v>657</v>
      </c>
      <c r="U1135" s="19" t="s">
        <v>636</v>
      </c>
      <c r="V1135" s="19" t="s">
        <v>45</v>
      </c>
      <c r="W1135" s="19"/>
      <c r="X1135" s="19"/>
      <c r="Y1135" s="19"/>
      <c r="Z1135" s="19" t="s">
        <v>673</v>
      </c>
      <c r="AA1135" s="19" t="s">
        <v>46</v>
      </c>
      <c r="AB1135" s="19" t="s">
        <v>11369</v>
      </c>
      <c r="AC1135" s="19" t="s">
        <v>46</v>
      </c>
      <c r="AD1135" s="19"/>
      <c r="AE1135" s="19" t="s">
        <v>641</v>
      </c>
      <c r="AF1135" s="19" t="s">
        <v>190</v>
      </c>
      <c r="AG1135" s="19">
        <v>6</v>
      </c>
      <c r="AH1135" s="19" t="s">
        <v>190</v>
      </c>
      <c r="AI1135" s="19"/>
      <c r="AJ1135" s="19" t="s">
        <v>11370</v>
      </c>
      <c r="AK1135" s="19" t="s">
        <v>4386</v>
      </c>
    </row>
    <row r="1136" spans="1:37" s="23" customFormat="1">
      <c r="A1136" s="19" t="str">
        <f>VLOOKUP(H1136,Languages!$A$2:$B$430,2,FALSE)</f>
        <v>Indo-European</v>
      </c>
      <c r="B1136" s="19" t="s">
        <v>652</v>
      </c>
      <c r="C1136" s="19" t="s">
        <v>407</v>
      </c>
      <c r="D1136" s="19" t="s">
        <v>11366</v>
      </c>
      <c r="E1136" s="20" t="s">
        <v>552</v>
      </c>
      <c r="F1136" s="20" t="s">
        <v>552</v>
      </c>
      <c r="G1136" s="19" t="s">
        <v>552</v>
      </c>
      <c r="H1136" s="19" t="str">
        <f>VLOOKUP(G1136,'languoid 4.0'!$A$1:$I$24439,2,FALSE)</f>
        <v>indo1319</v>
      </c>
      <c r="I1136" s="19" t="str">
        <f>VLOOKUP(G1136,'languoid 4.0'!$A$1:$I$24439,6,FALSE)</f>
        <v>language</v>
      </c>
      <c r="J1136" s="20" t="s">
        <v>38</v>
      </c>
      <c r="K1136" s="20" t="s">
        <v>38</v>
      </c>
      <c r="L1136" s="20" t="s">
        <v>38</v>
      </c>
      <c r="M1136" s="19"/>
      <c r="N1136" s="19" t="s">
        <v>4388</v>
      </c>
      <c r="O1136" s="20" t="s">
        <v>40</v>
      </c>
      <c r="P1136" s="20" t="s">
        <v>41</v>
      </c>
      <c r="Q1136" s="19" t="s">
        <v>11371</v>
      </c>
      <c r="R1136" s="21" t="s">
        <v>11368</v>
      </c>
      <c r="S1136" s="19" t="s">
        <v>73</v>
      </c>
      <c r="T1136" s="19" t="s">
        <v>657</v>
      </c>
      <c r="U1136" s="19" t="s">
        <v>636</v>
      </c>
      <c r="V1136" s="19" t="s">
        <v>45</v>
      </c>
      <c r="W1136" s="19"/>
      <c r="X1136" s="19"/>
      <c r="Y1136" s="19"/>
      <c r="Z1136" s="19" t="s">
        <v>673</v>
      </c>
      <c r="AA1136" s="19" t="s">
        <v>46</v>
      </c>
      <c r="AB1136" s="19" t="s">
        <v>11372</v>
      </c>
      <c r="AC1136" s="19" t="s">
        <v>46</v>
      </c>
      <c r="AD1136" s="19"/>
      <c r="AE1136" s="19" t="s">
        <v>641</v>
      </c>
      <c r="AF1136" s="19" t="s">
        <v>190</v>
      </c>
      <c r="AG1136" s="19">
        <v>6</v>
      </c>
      <c r="AH1136" s="19" t="s">
        <v>190</v>
      </c>
      <c r="AI1136" s="19"/>
      <c r="AJ1136" s="19" t="s">
        <v>11373</v>
      </c>
      <c r="AK1136" s="19" t="s">
        <v>4386</v>
      </c>
    </row>
    <row r="1137" spans="1:37" s="23" customFormat="1">
      <c r="A1137" s="19" t="str">
        <f>VLOOKUP(H1137,Languages!$A$2:$B$430,2,FALSE)</f>
        <v>Indo-European</v>
      </c>
      <c r="B1137" s="19" t="s">
        <v>652</v>
      </c>
      <c r="C1137" s="19" t="s">
        <v>407</v>
      </c>
      <c r="D1137" s="19" t="s">
        <v>11366</v>
      </c>
      <c r="E1137" s="20" t="s">
        <v>552</v>
      </c>
      <c r="F1137" s="20" t="s">
        <v>552</v>
      </c>
      <c r="G1137" s="19" t="s">
        <v>552</v>
      </c>
      <c r="H1137" s="19" t="str">
        <f>VLOOKUP(G1137,'languoid 4.0'!$A$1:$I$24439,2,FALSE)</f>
        <v>indo1319</v>
      </c>
      <c r="I1137" s="19" t="str">
        <f>VLOOKUP(G1137,'languoid 4.0'!$A$1:$I$24439,6,FALSE)</f>
        <v>language</v>
      </c>
      <c r="J1137" s="20" t="s">
        <v>38</v>
      </c>
      <c r="K1137" s="20" t="s">
        <v>38</v>
      </c>
      <c r="L1137" s="20" t="s">
        <v>38</v>
      </c>
      <c r="M1137" s="19"/>
      <c r="N1137" s="19" t="s">
        <v>4388</v>
      </c>
      <c r="O1137" s="20" t="s">
        <v>40</v>
      </c>
      <c r="P1137" s="20" t="s">
        <v>41</v>
      </c>
      <c r="Q1137" s="19" t="s">
        <v>11374</v>
      </c>
      <c r="R1137" s="21" t="s">
        <v>11368</v>
      </c>
      <c r="S1137" s="19" t="s">
        <v>1205</v>
      </c>
      <c r="T1137" s="19" t="s">
        <v>657</v>
      </c>
      <c r="U1137" s="19" t="s">
        <v>636</v>
      </c>
      <c r="V1137" s="19" t="s">
        <v>45</v>
      </c>
      <c r="W1137" s="19"/>
      <c r="X1137" s="19"/>
      <c r="Y1137" s="19"/>
      <c r="Z1137" s="19" t="s">
        <v>673</v>
      </c>
      <c r="AA1137" s="19" t="s">
        <v>46</v>
      </c>
      <c r="AB1137" s="19" t="s">
        <v>11369</v>
      </c>
      <c r="AC1137" s="19" t="s">
        <v>46</v>
      </c>
      <c r="AD1137" s="19"/>
      <c r="AE1137" s="19" t="s">
        <v>641</v>
      </c>
      <c r="AF1137" s="19" t="s">
        <v>190</v>
      </c>
      <c r="AG1137" s="19">
        <v>5</v>
      </c>
      <c r="AH1137" s="19" t="s">
        <v>190</v>
      </c>
      <c r="AI1137" s="19"/>
      <c r="AJ1137" s="19" t="s">
        <v>11375</v>
      </c>
      <c r="AK1137" s="19" t="s">
        <v>4386</v>
      </c>
    </row>
    <row r="1138" spans="1:37" s="23" customFormat="1">
      <c r="A1138" s="19" t="str">
        <f>VLOOKUP(H1138,Languages!$A$2:$B$430,2,FALSE)</f>
        <v>Indo-European</v>
      </c>
      <c r="B1138" s="19" t="s">
        <v>652</v>
      </c>
      <c r="C1138" s="19" t="s">
        <v>267</v>
      </c>
      <c r="D1138" s="19" t="s">
        <v>10087</v>
      </c>
      <c r="E1138" s="20" t="s">
        <v>239</v>
      </c>
      <c r="F1138" s="20" t="s">
        <v>239</v>
      </c>
      <c r="G1138" s="19" t="s">
        <v>239</v>
      </c>
      <c r="H1138" s="19" t="str">
        <f>VLOOKUP(G1138,'languoid 4.0'!$A$1:$I$24439,2,FALSE)</f>
        <v>indo1319</v>
      </c>
      <c r="I1138" s="19" t="str">
        <f>VLOOKUP(G1138,'languoid 4.0'!$A$1:$I$24439,6,FALSE)</f>
        <v>language</v>
      </c>
      <c r="J1138" s="20" t="s">
        <v>38</v>
      </c>
      <c r="K1138" s="20" t="s">
        <v>38</v>
      </c>
      <c r="L1138" s="20" t="s">
        <v>38</v>
      </c>
      <c r="M1138" s="19"/>
      <c r="N1138" s="19" t="s">
        <v>269</v>
      </c>
      <c r="O1138" s="20" t="s">
        <v>40</v>
      </c>
      <c r="P1138" s="20" t="s">
        <v>41</v>
      </c>
      <c r="Q1138" s="19" t="s">
        <v>10088</v>
      </c>
      <c r="R1138" s="21" t="s">
        <v>10089</v>
      </c>
      <c r="S1138" s="19" t="s">
        <v>2718</v>
      </c>
      <c r="T1138" s="19" t="s">
        <v>9174</v>
      </c>
      <c r="U1138" s="19" t="s">
        <v>636</v>
      </c>
      <c r="V1138" s="19" t="s">
        <v>45</v>
      </c>
      <c r="W1138" s="19"/>
      <c r="X1138" s="19"/>
      <c r="Y1138" s="19"/>
      <c r="Z1138" s="19" t="s">
        <v>823</v>
      </c>
      <c r="AA1138" s="19" t="s">
        <v>10090</v>
      </c>
      <c r="AB1138" s="19" t="s">
        <v>10091</v>
      </c>
      <c r="AC1138" s="19" t="s">
        <v>10092</v>
      </c>
      <c r="AD1138" s="19"/>
      <c r="AE1138" s="19" t="s">
        <v>641</v>
      </c>
      <c r="AF1138" s="19" t="s">
        <v>190</v>
      </c>
      <c r="AG1138" s="19">
        <v>6</v>
      </c>
      <c r="AH1138" s="19" t="s">
        <v>190</v>
      </c>
      <c r="AI1138" s="19"/>
      <c r="AJ1138" s="22">
        <v>43262.574999999997</v>
      </c>
      <c r="AK1138" s="19" t="s">
        <v>4945</v>
      </c>
    </row>
    <row r="1139" spans="1:37" s="23" customFormat="1">
      <c r="A1139" s="19" t="str">
        <f>VLOOKUP(H1139,Languages!$A$2:$B$430,2,FALSE)</f>
        <v>Indo-European</v>
      </c>
      <c r="B1139" s="19" t="s">
        <v>652</v>
      </c>
      <c r="C1139" s="19" t="s">
        <v>267</v>
      </c>
      <c r="D1139" s="19" t="s">
        <v>10087</v>
      </c>
      <c r="E1139" s="20" t="s">
        <v>239</v>
      </c>
      <c r="F1139" s="20" t="s">
        <v>239</v>
      </c>
      <c r="G1139" s="19" t="s">
        <v>239</v>
      </c>
      <c r="H1139" s="19" t="str">
        <f>VLOOKUP(G1139,'languoid 4.0'!$A$1:$I$24439,2,FALSE)</f>
        <v>indo1319</v>
      </c>
      <c r="I1139" s="19" t="str">
        <f>VLOOKUP(G1139,'languoid 4.0'!$A$1:$I$24439,6,FALSE)</f>
        <v>language</v>
      </c>
      <c r="J1139" s="20" t="s">
        <v>38</v>
      </c>
      <c r="K1139" s="20" t="s">
        <v>38</v>
      </c>
      <c r="L1139" s="20" t="s">
        <v>38</v>
      </c>
      <c r="M1139" s="19"/>
      <c r="N1139" s="19" t="s">
        <v>269</v>
      </c>
      <c r="O1139" s="20" t="s">
        <v>40</v>
      </c>
      <c r="P1139" s="20" t="s">
        <v>41</v>
      </c>
      <c r="Q1139" s="19" t="s">
        <v>10093</v>
      </c>
      <c r="R1139" s="21" t="s">
        <v>10094</v>
      </c>
      <c r="S1139" s="19" t="s">
        <v>372</v>
      </c>
      <c r="T1139" s="19" t="s">
        <v>9174</v>
      </c>
      <c r="U1139" s="19" t="s">
        <v>636</v>
      </c>
      <c r="V1139" s="19" t="s">
        <v>45</v>
      </c>
      <c r="W1139" s="19"/>
      <c r="X1139" s="19"/>
      <c r="Y1139" s="19"/>
      <c r="Z1139" s="19" t="s">
        <v>823</v>
      </c>
      <c r="AA1139" s="19" t="s">
        <v>10095</v>
      </c>
      <c r="AB1139" s="19" t="s">
        <v>10096</v>
      </c>
      <c r="AC1139" s="19" t="s">
        <v>10097</v>
      </c>
      <c r="AD1139" s="19"/>
      <c r="AE1139" s="19" t="s">
        <v>641</v>
      </c>
      <c r="AF1139" s="19" t="s">
        <v>190</v>
      </c>
      <c r="AG1139" s="19">
        <v>6</v>
      </c>
      <c r="AH1139" s="19" t="s">
        <v>190</v>
      </c>
      <c r="AI1139" s="19"/>
      <c r="AJ1139" s="22">
        <v>43262.578935185185</v>
      </c>
      <c r="AK1139" s="19" t="s">
        <v>4945</v>
      </c>
    </row>
    <row r="1140" spans="1:37" s="23" customFormat="1">
      <c r="A1140" s="19" t="str">
        <f>VLOOKUP(H1140,Languages!$A$2:$B$430,2,FALSE)</f>
        <v>Indo-European</v>
      </c>
      <c r="B1140" s="19" t="s">
        <v>652</v>
      </c>
      <c r="C1140" s="19" t="s">
        <v>419</v>
      </c>
      <c r="D1140" s="19" t="s">
        <v>10128</v>
      </c>
      <c r="E1140" s="20" t="s">
        <v>239</v>
      </c>
      <c r="F1140" s="20" t="s">
        <v>239</v>
      </c>
      <c r="G1140" s="19" t="s">
        <v>239</v>
      </c>
      <c r="H1140" s="19" t="str">
        <f>VLOOKUP(G1140,'languoid 4.0'!$A$1:$I$24439,2,FALSE)</f>
        <v>indo1319</v>
      </c>
      <c r="I1140" s="19" t="str">
        <f>VLOOKUP(G1140,'languoid 4.0'!$A$1:$I$24439,6,FALSE)</f>
        <v>language</v>
      </c>
      <c r="J1140" s="20" t="s">
        <v>38</v>
      </c>
      <c r="K1140" s="20" t="s">
        <v>38</v>
      </c>
      <c r="L1140" s="20" t="s">
        <v>38</v>
      </c>
      <c r="M1140" s="19"/>
      <c r="N1140" s="19" t="s">
        <v>269</v>
      </c>
      <c r="O1140" s="20" t="s">
        <v>40</v>
      </c>
      <c r="P1140" s="20" t="s">
        <v>41</v>
      </c>
      <c r="Q1140" s="19" t="s">
        <v>10129</v>
      </c>
      <c r="R1140" s="21" t="s">
        <v>10130</v>
      </c>
      <c r="S1140" s="19" t="s">
        <v>10131</v>
      </c>
      <c r="T1140" s="19" t="s">
        <v>657</v>
      </c>
      <c r="U1140" s="19" t="s">
        <v>636</v>
      </c>
      <c r="V1140" s="19" t="s">
        <v>45</v>
      </c>
      <c r="W1140" s="19"/>
      <c r="X1140" s="19"/>
      <c r="Y1140" s="19"/>
      <c r="Z1140" s="19" t="s">
        <v>673</v>
      </c>
      <c r="AA1140" s="19" t="s">
        <v>10132</v>
      </c>
      <c r="AB1140" s="19" t="s">
        <v>10133</v>
      </c>
      <c r="AC1140" s="19" t="s">
        <v>46</v>
      </c>
      <c r="AD1140" s="19"/>
      <c r="AE1140" s="19" t="s">
        <v>641</v>
      </c>
      <c r="AF1140" s="19" t="s">
        <v>190</v>
      </c>
      <c r="AG1140" s="19">
        <v>6</v>
      </c>
      <c r="AH1140" s="19" t="s">
        <v>190</v>
      </c>
      <c r="AI1140" s="19"/>
      <c r="AJ1140" s="19" t="s">
        <v>10134</v>
      </c>
      <c r="AK1140" s="19" t="s">
        <v>8989</v>
      </c>
    </row>
    <row r="1141" spans="1:37" s="23" customFormat="1">
      <c r="A1141" s="19" t="str">
        <f>VLOOKUP(H1141,Languages!$A$2:$B$430,2,FALSE)</f>
        <v>Indo-European</v>
      </c>
      <c r="B1141" s="19" t="s">
        <v>652</v>
      </c>
      <c r="C1141" s="19" t="s">
        <v>419</v>
      </c>
      <c r="D1141" s="19" t="s">
        <v>10128</v>
      </c>
      <c r="E1141" s="20" t="s">
        <v>239</v>
      </c>
      <c r="F1141" s="20" t="s">
        <v>239</v>
      </c>
      <c r="G1141" s="19" t="s">
        <v>239</v>
      </c>
      <c r="H1141" s="19" t="str">
        <f>VLOOKUP(G1141,'languoid 4.0'!$A$1:$I$24439,2,FALSE)</f>
        <v>indo1319</v>
      </c>
      <c r="I1141" s="19" t="str">
        <f>VLOOKUP(G1141,'languoid 4.0'!$A$1:$I$24439,6,FALSE)</f>
        <v>language</v>
      </c>
      <c r="J1141" s="20" t="s">
        <v>38</v>
      </c>
      <c r="K1141" s="20" t="s">
        <v>38</v>
      </c>
      <c r="L1141" s="20" t="s">
        <v>38</v>
      </c>
      <c r="M1141" s="19"/>
      <c r="N1141" s="19" t="s">
        <v>269</v>
      </c>
      <c r="O1141" s="20" t="s">
        <v>40</v>
      </c>
      <c r="P1141" s="20" t="s">
        <v>41</v>
      </c>
      <c r="Q1141" s="19" t="s">
        <v>10135</v>
      </c>
      <c r="R1141" s="21" t="s">
        <v>10130</v>
      </c>
      <c r="S1141" s="19" t="s">
        <v>10136</v>
      </c>
      <c r="T1141" s="19" t="s">
        <v>657</v>
      </c>
      <c r="U1141" s="19" t="s">
        <v>636</v>
      </c>
      <c r="V1141" s="19" t="s">
        <v>45</v>
      </c>
      <c r="W1141" s="19"/>
      <c r="X1141" s="19"/>
      <c r="Y1141" s="19"/>
      <c r="Z1141" s="19" t="s">
        <v>673</v>
      </c>
      <c r="AA1141" s="19" t="s">
        <v>10137</v>
      </c>
      <c r="AB1141" s="19" t="s">
        <v>10138</v>
      </c>
      <c r="AC1141" s="19" t="s">
        <v>46</v>
      </c>
      <c r="AD1141" s="19"/>
      <c r="AE1141" s="19" t="s">
        <v>641</v>
      </c>
      <c r="AF1141" s="19" t="s">
        <v>190</v>
      </c>
      <c r="AG1141" s="19">
        <v>6</v>
      </c>
      <c r="AH1141" s="19" t="s">
        <v>190</v>
      </c>
      <c r="AI1141" s="19"/>
      <c r="AJ1141" s="19" t="s">
        <v>10139</v>
      </c>
      <c r="AK1141" s="19" t="s">
        <v>8989</v>
      </c>
    </row>
    <row r="1142" spans="1:37" s="23" customFormat="1">
      <c r="A1142" s="19" t="str">
        <f>VLOOKUP(H1142,Languages!$A$2:$B$430,2,FALSE)</f>
        <v>Indo-European</v>
      </c>
      <c r="B1142" s="19" t="s">
        <v>652</v>
      </c>
      <c r="C1142" s="19" t="s">
        <v>419</v>
      </c>
      <c r="D1142" s="19" t="s">
        <v>10128</v>
      </c>
      <c r="E1142" s="20" t="s">
        <v>239</v>
      </c>
      <c r="F1142" s="20" t="s">
        <v>239</v>
      </c>
      <c r="G1142" s="19" t="s">
        <v>239</v>
      </c>
      <c r="H1142" s="19" t="str">
        <f>VLOOKUP(G1142,'languoid 4.0'!$A$1:$I$24439,2,FALSE)</f>
        <v>indo1319</v>
      </c>
      <c r="I1142" s="19" t="str">
        <f>VLOOKUP(G1142,'languoid 4.0'!$A$1:$I$24439,6,FALSE)</f>
        <v>language</v>
      </c>
      <c r="J1142" s="20" t="s">
        <v>38</v>
      </c>
      <c r="K1142" s="20" t="s">
        <v>38</v>
      </c>
      <c r="L1142" s="20" t="s">
        <v>38</v>
      </c>
      <c r="M1142" s="19"/>
      <c r="N1142" s="19" t="s">
        <v>269</v>
      </c>
      <c r="O1142" s="20" t="s">
        <v>40</v>
      </c>
      <c r="P1142" s="20" t="s">
        <v>41</v>
      </c>
      <c r="Q1142" s="19" t="s">
        <v>10140</v>
      </c>
      <c r="R1142" s="21" t="s">
        <v>10130</v>
      </c>
      <c r="S1142" s="19" t="s">
        <v>10141</v>
      </c>
      <c r="T1142" s="19" t="s">
        <v>657</v>
      </c>
      <c r="U1142" s="19" t="s">
        <v>636</v>
      </c>
      <c r="V1142" s="19" t="s">
        <v>45</v>
      </c>
      <c r="W1142" s="19"/>
      <c r="X1142" s="19"/>
      <c r="Y1142" s="19"/>
      <c r="Z1142" s="19" t="s">
        <v>673</v>
      </c>
      <c r="AA1142" s="19" t="s">
        <v>10142</v>
      </c>
      <c r="AB1142" s="19" t="s">
        <v>10143</v>
      </c>
      <c r="AC1142" s="19" t="s">
        <v>46</v>
      </c>
      <c r="AD1142" s="19"/>
      <c r="AE1142" s="19" t="s">
        <v>641</v>
      </c>
      <c r="AF1142" s="19" t="s">
        <v>190</v>
      </c>
      <c r="AG1142" s="19">
        <v>6</v>
      </c>
      <c r="AH1142" s="19" t="s">
        <v>190</v>
      </c>
      <c r="AI1142" s="19"/>
      <c r="AJ1142" s="19" t="s">
        <v>10144</v>
      </c>
      <c r="AK1142" s="19" t="s">
        <v>8989</v>
      </c>
    </row>
    <row r="1143" spans="1:37" s="23" customFormat="1">
      <c r="A1143" s="19" t="str">
        <f>VLOOKUP(H1143,Languages!$A$2:$B$430,2,FALSE)</f>
        <v>Indo-European</v>
      </c>
      <c r="B1143" s="19" t="s">
        <v>652</v>
      </c>
      <c r="C1143" s="19" t="s">
        <v>419</v>
      </c>
      <c r="D1143" s="19" t="s">
        <v>10128</v>
      </c>
      <c r="E1143" s="20" t="s">
        <v>239</v>
      </c>
      <c r="F1143" s="20" t="s">
        <v>239</v>
      </c>
      <c r="G1143" s="19" t="s">
        <v>239</v>
      </c>
      <c r="H1143" s="19" t="str">
        <f>VLOOKUP(G1143,'languoid 4.0'!$A$1:$I$24439,2,FALSE)</f>
        <v>indo1319</v>
      </c>
      <c r="I1143" s="19" t="str">
        <f>VLOOKUP(G1143,'languoid 4.0'!$A$1:$I$24439,6,FALSE)</f>
        <v>language</v>
      </c>
      <c r="J1143" s="20" t="s">
        <v>38</v>
      </c>
      <c r="K1143" s="20" t="s">
        <v>38</v>
      </c>
      <c r="L1143" s="20" t="s">
        <v>38</v>
      </c>
      <c r="M1143" s="19"/>
      <c r="N1143" s="19" t="s">
        <v>269</v>
      </c>
      <c r="O1143" s="20" t="s">
        <v>40</v>
      </c>
      <c r="P1143" s="20" t="s">
        <v>41</v>
      </c>
      <c r="Q1143" s="19" t="s">
        <v>10145</v>
      </c>
      <c r="R1143" s="21" t="s">
        <v>10130</v>
      </c>
      <c r="S1143" s="19" t="s">
        <v>10146</v>
      </c>
      <c r="T1143" s="19" t="s">
        <v>657</v>
      </c>
      <c r="U1143" s="19" t="s">
        <v>636</v>
      </c>
      <c r="V1143" s="19" t="s">
        <v>45</v>
      </c>
      <c r="W1143" s="19"/>
      <c r="X1143" s="19"/>
      <c r="Y1143" s="19"/>
      <c r="Z1143" s="19" t="s">
        <v>673</v>
      </c>
      <c r="AA1143" s="19" t="s">
        <v>10147</v>
      </c>
      <c r="AB1143" s="19" t="s">
        <v>10148</v>
      </c>
      <c r="AC1143" s="19" t="s">
        <v>46</v>
      </c>
      <c r="AD1143" s="19"/>
      <c r="AE1143" s="19" t="s">
        <v>641</v>
      </c>
      <c r="AF1143" s="19" t="s">
        <v>190</v>
      </c>
      <c r="AG1143" s="19">
        <v>6</v>
      </c>
      <c r="AH1143" s="19" t="s">
        <v>190</v>
      </c>
      <c r="AI1143" s="19"/>
      <c r="AJ1143" s="19" t="s">
        <v>10149</v>
      </c>
      <c r="AK1143" s="19" t="s">
        <v>8989</v>
      </c>
    </row>
    <row r="1144" spans="1:37" s="23" customFormat="1">
      <c r="A1144" s="19" t="str">
        <f>VLOOKUP(H1144,Languages!$A$2:$B$430,2,FALSE)</f>
        <v>Indo-European</v>
      </c>
      <c r="B1144" s="19" t="s">
        <v>652</v>
      </c>
      <c r="C1144" s="19" t="s">
        <v>419</v>
      </c>
      <c r="D1144" s="19" t="s">
        <v>10128</v>
      </c>
      <c r="E1144" s="20" t="s">
        <v>239</v>
      </c>
      <c r="F1144" s="20" t="s">
        <v>239</v>
      </c>
      <c r="G1144" s="19" t="s">
        <v>239</v>
      </c>
      <c r="H1144" s="19" t="str">
        <f>VLOOKUP(G1144,'languoid 4.0'!$A$1:$I$24439,2,FALSE)</f>
        <v>indo1319</v>
      </c>
      <c r="I1144" s="19" t="str">
        <f>VLOOKUP(G1144,'languoid 4.0'!$A$1:$I$24439,6,FALSE)</f>
        <v>language</v>
      </c>
      <c r="J1144" s="20" t="s">
        <v>38</v>
      </c>
      <c r="K1144" s="20" t="s">
        <v>38</v>
      </c>
      <c r="L1144" s="20" t="s">
        <v>38</v>
      </c>
      <c r="M1144" s="19"/>
      <c r="N1144" s="19" t="s">
        <v>269</v>
      </c>
      <c r="O1144" s="20" t="s">
        <v>40</v>
      </c>
      <c r="P1144" s="20" t="s">
        <v>41</v>
      </c>
      <c r="Q1144" s="19" t="s">
        <v>10150</v>
      </c>
      <c r="R1144" s="21" t="s">
        <v>10130</v>
      </c>
      <c r="S1144" s="19" t="s">
        <v>10151</v>
      </c>
      <c r="T1144" s="19" t="s">
        <v>657</v>
      </c>
      <c r="U1144" s="19" t="s">
        <v>636</v>
      </c>
      <c r="V1144" s="19" t="s">
        <v>45</v>
      </c>
      <c r="W1144" s="19"/>
      <c r="X1144" s="19"/>
      <c r="Y1144" s="19"/>
      <c r="Z1144" s="19" t="s">
        <v>673</v>
      </c>
      <c r="AA1144" s="19" t="s">
        <v>10152</v>
      </c>
      <c r="AB1144" s="19" t="s">
        <v>10153</v>
      </c>
      <c r="AC1144" s="19" t="s">
        <v>46</v>
      </c>
      <c r="AD1144" s="19"/>
      <c r="AE1144" s="19" t="s">
        <v>641</v>
      </c>
      <c r="AF1144" s="19" t="s">
        <v>190</v>
      </c>
      <c r="AG1144" s="19">
        <v>6</v>
      </c>
      <c r="AH1144" s="19" t="s">
        <v>190</v>
      </c>
      <c r="AI1144" s="19"/>
      <c r="AJ1144" s="19" t="s">
        <v>10154</v>
      </c>
      <c r="AK1144" s="19" t="s">
        <v>8989</v>
      </c>
    </row>
    <row r="1145" spans="1:37" s="23" customFormat="1" ht="409.6">
      <c r="A1145" s="19" t="str">
        <f>VLOOKUP(H1145,Languages!$A$2:$B$430,2,FALSE)</f>
        <v>Indo-European</v>
      </c>
      <c r="B1145" s="19" t="s">
        <v>652</v>
      </c>
      <c r="C1145" s="19" t="s">
        <v>249</v>
      </c>
      <c r="D1145" s="19" t="s">
        <v>437</v>
      </c>
      <c r="E1145" s="20" t="s">
        <v>438</v>
      </c>
      <c r="F1145" s="20" t="s">
        <v>438</v>
      </c>
      <c r="G1145" s="19" t="s">
        <v>438</v>
      </c>
      <c r="H1145" s="19" t="str">
        <f>VLOOKUP(G1145,'languoid 4.0'!$A$1:$I$24439,2,FALSE)</f>
        <v>indo1319</v>
      </c>
      <c r="I1145" s="19" t="str">
        <f>VLOOKUP(G1145,'languoid 4.0'!$A$1:$I$24439,6,FALSE)</f>
        <v>language</v>
      </c>
      <c r="J1145" s="20" t="s">
        <v>38</v>
      </c>
      <c r="K1145" s="20" t="s">
        <v>38</v>
      </c>
      <c r="L1145" s="20" t="s">
        <v>38</v>
      </c>
      <c r="M1145" s="19"/>
      <c r="N1145" s="19" t="s">
        <v>10554</v>
      </c>
      <c r="O1145" s="20" t="s">
        <v>40</v>
      </c>
      <c r="P1145" s="20" t="s">
        <v>41</v>
      </c>
      <c r="Q1145" s="19" t="s">
        <v>11542</v>
      </c>
      <c r="R1145" s="21" t="s">
        <v>11543</v>
      </c>
      <c r="S1145" s="19" t="s">
        <v>672</v>
      </c>
      <c r="T1145" s="19" t="s">
        <v>657</v>
      </c>
      <c r="U1145" s="19" t="s">
        <v>636</v>
      </c>
      <c r="V1145" s="19" t="s">
        <v>45</v>
      </c>
      <c r="W1145" s="19"/>
      <c r="X1145" s="19"/>
      <c r="Y1145" s="19"/>
      <c r="Z1145" s="19" t="s">
        <v>673</v>
      </c>
      <c r="AA1145" s="19" t="s">
        <v>46</v>
      </c>
      <c r="AB1145" s="19" t="s">
        <v>11544</v>
      </c>
      <c r="AC1145" s="28" t="s">
        <v>11545</v>
      </c>
      <c r="AD1145" s="19"/>
      <c r="AE1145" s="19" t="s">
        <v>641</v>
      </c>
      <c r="AF1145" s="19" t="s">
        <v>190</v>
      </c>
      <c r="AG1145" s="19">
        <v>6</v>
      </c>
      <c r="AH1145" s="19" t="s">
        <v>190</v>
      </c>
      <c r="AI1145" s="19"/>
      <c r="AJ1145" s="22">
        <v>43525.921215277776</v>
      </c>
      <c r="AK1145" s="19" t="s">
        <v>5640</v>
      </c>
    </row>
    <row r="1146" spans="1:37" s="23" customFormat="1">
      <c r="A1146" s="19" t="str">
        <f>VLOOKUP(H1146,Languages!$A$2:$B$430,2,FALSE)</f>
        <v>Indo-European</v>
      </c>
      <c r="B1146" s="19" t="s">
        <v>652</v>
      </c>
      <c r="C1146" s="19" t="s">
        <v>124</v>
      </c>
      <c r="D1146" s="19" t="s">
        <v>7999</v>
      </c>
      <c r="E1146" s="20" t="s">
        <v>51</v>
      </c>
      <c r="F1146" s="20" t="s">
        <v>51</v>
      </c>
      <c r="G1146" s="19" t="s">
        <v>7992</v>
      </c>
      <c r="H1146" s="19" t="str">
        <f>VLOOKUP(G1146,'languoid 4.0'!$A$1:$I$24439,2,FALSE)</f>
        <v>indo1319</v>
      </c>
      <c r="I1146" s="19" t="str">
        <f>VLOOKUP(G1146,'languoid 4.0'!$A$1:$I$24439,6,FALSE)</f>
        <v>language</v>
      </c>
      <c r="J1146" s="20" t="s">
        <v>51</v>
      </c>
      <c r="K1146" s="20" t="s">
        <v>51</v>
      </c>
      <c r="L1146" s="20" t="s">
        <v>51</v>
      </c>
      <c r="M1146" s="27" t="s">
        <v>7993</v>
      </c>
      <c r="N1146" s="19" t="e">
        <v>#N/A</v>
      </c>
      <c r="O1146" s="20" t="s">
        <v>690</v>
      </c>
      <c r="P1146" s="20"/>
      <c r="Q1146" s="19" t="s">
        <v>8000</v>
      </c>
      <c r="R1146" s="21" t="s">
        <v>8001</v>
      </c>
      <c r="S1146" s="19" t="s">
        <v>46</v>
      </c>
      <c r="T1146" s="19" t="s">
        <v>822</v>
      </c>
      <c r="U1146" s="19" t="s">
        <v>636</v>
      </c>
      <c r="V1146" s="19" t="s">
        <v>45</v>
      </c>
      <c r="W1146" s="19"/>
      <c r="X1146" s="19"/>
      <c r="Y1146" s="19"/>
      <c r="Z1146" s="19" t="s">
        <v>637</v>
      </c>
      <c r="AA1146" s="19" t="s">
        <v>8002</v>
      </c>
      <c r="AB1146" s="19" t="s">
        <v>8003</v>
      </c>
      <c r="AC1146" s="19" t="s">
        <v>46</v>
      </c>
      <c r="AD1146" s="19"/>
      <c r="AE1146" s="19" t="s">
        <v>641</v>
      </c>
      <c r="AF1146" s="19" t="s">
        <v>45</v>
      </c>
      <c r="AG1146" s="19">
        <v>1</v>
      </c>
      <c r="AH1146" s="19" t="s">
        <v>190</v>
      </c>
      <c r="AI1146" s="19"/>
      <c r="AJ1146" s="19" t="s">
        <v>8004</v>
      </c>
      <c r="AK1146" s="19" t="s">
        <v>4945</v>
      </c>
    </row>
    <row r="1147" spans="1:37" s="23" customFormat="1">
      <c r="A1147" s="19" t="str">
        <f>VLOOKUP(H1147,Languages!$A$2:$B$430,2,FALSE)</f>
        <v>Indo-European</v>
      </c>
      <c r="B1147" s="19" t="s">
        <v>652</v>
      </c>
      <c r="C1147" s="19" t="s">
        <v>124</v>
      </c>
      <c r="D1147" s="19" t="s">
        <v>8012</v>
      </c>
      <c r="E1147" s="20" t="s">
        <v>51</v>
      </c>
      <c r="F1147" s="20" t="s">
        <v>51</v>
      </c>
      <c r="G1147" s="19" t="s">
        <v>8013</v>
      </c>
      <c r="H1147" s="19" t="str">
        <f>VLOOKUP(G1147,'languoid 4.0'!$A$1:$I$24439,2,FALSE)</f>
        <v>indo1319</v>
      </c>
      <c r="I1147" s="19" t="str">
        <f>VLOOKUP(G1147,'languoid 4.0'!$A$1:$I$24439,6,FALSE)</f>
        <v>language</v>
      </c>
      <c r="J1147" s="20" t="s">
        <v>51</v>
      </c>
      <c r="K1147" s="20" t="s">
        <v>51</v>
      </c>
      <c r="L1147" s="20" t="s">
        <v>51</v>
      </c>
      <c r="M1147" s="27" t="s">
        <v>7993</v>
      </c>
      <c r="N1147" s="19" t="e">
        <v>#N/A</v>
      </c>
      <c r="O1147" s="20" t="s">
        <v>690</v>
      </c>
      <c r="P1147" s="20"/>
      <c r="Q1147" s="19" t="s">
        <v>8014</v>
      </c>
      <c r="R1147" s="21" t="s">
        <v>8015</v>
      </c>
      <c r="S1147" s="19" t="s">
        <v>46</v>
      </c>
      <c r="T1147" s="19" t="s">
        <v>822</v>
      </c>
      <c r="U1147" s="19" t="s">
        <v>636</v>
      </c>
      <c r="V1147" s="19" t="s">
        <v>45</v>
      </c>
      <c r="W1147" s="19"/>
      <c r="X1147" s="19"/>
      <c r="Y1147" s="19"/>
      <c r="Z1147" s="19" t="s">
        <v>637</v>
      </c>
      <c r="AA1147" s="19" t="s">
        <v>8016</v>
      </c>
      <c r="AB1147" s="19" t="s">
        <v>8017</v>
      </c>
      <c r="AC1147" s="19" t="s">
        <v>46</v>
      </c>
      <c r="AD1147" s="19"/>
      <c r="AE1147" s="19" t="s">
        <v>641</v>
      </c>
      <c r="AF1147" s="19" t="s">
        <v>45</v>
      </c>
      <c r="AG1147" s="19">
        <v>1</v>
      </c>
      <c r="AH1147" s="19" t="s">
        <v>190</v>
      </c>
      <c r="AI1147" s="19"/>
      <c r="AJ1147" s="19" t="s">
        <v>8018</v>
      </c>
      <c r="AK1147" s="19" t="s">
        <v>4945</v>
      </c>
    </row>
    <row r="1148" spans="1:37" s="23" customFormat="1">
      <c r="A1148" s="19" t="str">
        <f>VLOOKUP(H1148,Languages!$A$2:$B$430,2,FALSE)</f>
        <v>Indo-European</v>
      </c>
      <c r="B1148" s="19" t="s">
        <v>652</v>
      </c>
      <c r="C1148" s="19" t="s">
        <v>124</v>
      </c>
      <c r="D1148" s="19" t="s">
        <v>8917</v>
      </c>
      <c r="E1148" s="20" t="s">
        <v>8918</v>
      </c>
      <c r="F1148" s="20" t="s">
        <v>8918</v>
      </c>
      <c r="G1148" s="19" t="s">
        <v>8918</v>
      </c>
      <c r="H1148" s="19" t="str">
        <f>VLOOKUP(G1148,'languoid 4.0'!$A$1:$I$24439,2,FALSE)</f>
        <v>indo1319</v>
      </c>
      <c r="I1148" s="19" t="str">
        <f>VLOOKUP(G1148,'languoid 4.0'!$A$1:$I$24439,6,FALSE)</f>
        <v>language</v>
      </c>
      <c r="J1148" s="20" t="s">
        <v>38</v>
      </c>
      <c r="K1148" s="20" t="s">
        <v>38</v>
      </c>
      <c r="L1148" s="20" t="s">
        <v>38</v>
      </c>
      <c r="M1148" s="19"/>
      <c r="N1148" s="19" t="s">
        <v>8919</v>
      </c>
      <c r="O1148" s="20" t="s">
        <v>40</v>
      </c>
      <c r="P1148" s="20" t="s">
        <v>41</v>
      </c>
      <c r="Q1148" s="19" t="s">
        <v>8920</v>
      </c>
      <c r="R1148" s="21" t="s">
        <v>8921</v>
      </c>
      <c r="S1148" s="19" t="s">
        <v>46</v>
      </c>
      <c r="T1148" s="19" t="s">
        <v>822</v>
      </c>
      <c r="U1148" s="19" t="s">
        <v>8922</v>
      </c>
      <c r="V1148" s="19" t="s">
        <v>45</v>
      </c>
      <c r="W1148" s="19"/>
      <c r="X1148" s="19"/>
      <c r="Y1148" s="19"/>
      <c r="Z1148" s="19" t="s">
        <v>658</v>
      </c>
      <c r="AA1148" s="19" t="s">
        <v>8923</v>
      </c>
      <c r="AB1148" s="19" t="s">
        <v>46</v>
      </c>
      <c r="AC1148" s="19" t="s">
        <v>46</v>
      </c>
      <c r="AD1148" s="19"/>
      <c r="AE1148" s="19" t="s">
        <v>641</v>
      </c>
      <c r="AF1148" s="19" t="s">
        <v>190</v>
      </c>
      <c r="AG1148" s="19">
        <v>6</v>
      </c>
      <c r="AH1148" s="19" t="s">
        <v>190</v>
      </c>
      <c r="AI1148" s="19"/>
      <c r="AJ1148" s="19" t="s">
        <v>8924</v>
      </c>
      <c r="AK1148" s="19" t="s">
        <v>4945</v>
      </c>
    </row>
    <row r="1149" spans="1:37" s="23" customFormat="1">
      <c r="A1149" s="19" t="str">
        <f>VLOOKUP(H1149,Languages!$A$2:$B$430,2,FALSE)</f>
        <v>Indo-European</v>
      </c>
      <c r="B1149" s="19" t="s">
        <v>652</v>
      </c>
      <c r="C1149" s="19" t="s">
        <v>58</v>
      </c>
      <c r="D1149" s="19" t="s">
        <v>10073</v>
      </c>
      <c r="E1149" s="20" t="s">
        <v>51</v>
      </c>
      <c r="F1149" s="20" t="s">
        <v>51</v>
      </c>
      <c r="G1149" s="19" t="s">
        <v>10074</v>
      </c>
      <c r="H1149" s="19" t="str">
        <f>VLOOKUP(G1149,'languoid 4.0'!$A$1:$I$24439,2,FALSE)</f>
        <v>indo1319</v>
      </c>
      <c r="I1149" s="19" t="str">
        <f>VLOOKUP(G1149,'languoid 4.0'!$A$1:$I$24439,6,FALSE)</f>
        <v>language</v>
      </c>
      <c r="J1149" s="20" t="s">
        <v>51</v>
      </c>
      <c r="K1149" s="20" t="s">
        <v>51</v>
      </c>
      <c r="L1149" s="20" t="s">
        <v>51</v>
      </c>
      <c r="M1149" s="19"/>
      <c r="N1149" s="19" t="e">
        <v>#N/A</v>
      </c>
      <c r="O1149" s="20" t="s">
        <v>690</v>
      </c>
      <c r="P1149" s="20"/>
      <c r="Q1149" s="19" t="s">
        <v>10075</v>
      </c>
      <c r="R1149" s="21" t="s">
        <v>10076</v>
      </c>
      <c r="S1149" s="19" t="s">
        <v>387</v>
      </c>
      <c r="T1149" s="19" t="s">
        <v>10077</v>
      </c>
      <c r="U1149" s="19" t="s">
        <v>636</v>
      </c>
      <c r="V1149" s="19" t="s">
        <v>45</v>
      </c>
      <c r="W1149" s="19"/>
      <c r="X1149" s="19"/>
      <c r="Y1149" s="19"/>
      <c r="Z1149" s="19" t="s">
        <v>637</v>
      </c>
      <c r="AA1149" s="19" t="s">
        <v>10078</v>
      </c>
      <c r="AB1149" s="19" t="s">
        <v>10079</v>
      </c>
      <c r="AC1149" s="19" t="s">
        <v>46</v>
      </c>
      <c r="AD1149" s="19"/>
      <c r="AE1149" s="19" t="s">
        <v>641</v>
      </c>
      <c r="AF1149" s="19" t="s">
        <v>190</v>
      </c>
      <c r="AG1149" s="19">
        <v>6</v>
      </c>
      <c r="AH1149" s="19" t="s">
        <v>190</v>
      </c>
      <c r="AI1149" s="19" t="s">
        <v>10080</v>
      </c>
      <c r="AJ1149" s="22">
        <v>43231.6015162037</v>
      </c>
      <c r="AK1149" s="19" t="s">
        <v>8947</v>
      </c>
    </row>
    <row r="1150" spans="1:37" s="23" customFormat="1">
      <c r="A1150" s="19" t="str">
        <f>VLOOKUP(H1150,Languages!$A$2:$B$430,2,FALSE)</f>
        <v>Indo-European</v>
      </c>
      <c r="B1150" s="19" t="s">
        <v>652</v>
      </c>
      <c r="C1150" s="19" t="s">
        <v>4376</v>
      </c>
      <c r="D1150" s="19" t="s">
        <v>8601</v>
      </c>
      <c r="E1150" s="20" t="s">
        <v>239</v>
      </c>
      <c r="F1150" s="20" t="s">
        <v>239</v>
      </c>
      <c r="G1150" s="19" t="s">
        <v>239</v>
      </c>
      <c r="H1150" s="19" t="str">
        <f>VLOOKUP(G1150,'languoid 4.0'!$A$1:$I$24439,2,FALSE)</f>
        <v>indo1319</v>
      </c>
      <c r="I1150" s="19" t="str">
        <f>VLOOKUP(G1150,'languoid 4.0'!$A$1:$I$24439,6,FALSE)</f>
        <v>language</v>
      </c>
      <c r="J1150" s="20" t="s">
        <v>38</v>
      </c>
      <c r="K1150" s="20" t="s">
        <v>38</v>
      </c>
      <c r="L1150" s="20" t="s">
        <v>38</v>
      </c>
      <c r="M1150" s="19"/>
      <c r="N1150" s="19" t="s">
        <v>269</v>
      </c>
      <c r="O1150" s="20" t="s">
        <v>40</v>
      </c>
      <c r="P1150" s="20" t="s">
        <v>41</v>
      </c>
      <c r="Q1150" s="19" t="s">
        <v>8602</v>
      </c>
      <c r="R1150" s="21" t="s">
        <v>8603</v>
      </c>
      <c r="S1150" s="19" t="s">
        <v>672</v>
      </c>
      <c r="T1150" s="19" t="s">
        <v>657</v>
      </c>
      <c r="U1150" s="19" t="s">
        <v>636</v>
      </c>
      <c r="V1150" s="19" t="s">
        <v>45</v>
      </c>
      <c r="W1150" s="19"/>
      <c r="X1150" s="19"/>
      <c r="Y1150" s="19"/>
      <c r="Z1150" s="19" t="s">
        <v>673</v>
      </c>
      <c r="AA1150" s="19" t="s">
        <v>46</v>
      </c>
      <c r="AB1150" s="19" t="s">
        <v>8604</v>
      </c>
      <c r="AC1150" s="19" t="s">
        <v>46</v>
      </c>
      <c r="AD1150" s="19"/>
      <c r="AE1150" s="19" t="s">
        <v>641</v>
      </c>
      <c r="AF1150" s="19" t="s">
        <v>190</v>
      </c>
      <c r="AG1150" s="19">
        <v>6</v>
      </c>
      <c r="AH1150" s="19" t="s">
        <v>190</v>
      </c>
      <c r="AI1150" s="19"/>
      <c r="AJ1150" s="22">
        <v>43229.028460648151</v>
      </c>
      <c r="AK1150" s="19" t="s">
        <v>4386</v>
      </c>
    </row>
    <row r="1151" spans="1:37" s="23" customFormat="1">
      <c r="A1151" s="19" t="str">
        <f>VLOOKUP(H1151,Languages!$A$2:$B$430,2,FALSE)</f>
        <v>Indo-European</v>
      </c>
      <c r="B1151" s="19" t="s">
        <v>652</v>
      </c>
      <c r="C1151" s="19" t="s">
        <v>4376</v>
      </c>
      <c r="D1151" s="19" t="s">
        <v>8601</v>
      </c>
      <c r="E1151" s="20" t="s">
        <v>239</v>
      </c>
      <c r="F1151" s="20" t="s">
        <v>239</v>
      </c>
      <c r="G1151" s="19" t="s">
        <v>239</v>
      </c>
      <c r="H1151" s="19" t="str">
        <f>VLOOKUP(G1151,'languoid 4.0'!$A$1:$I$24439,2,FALSE)</f>
        <v>indo1319</v>
      </c>
      <c r="I1151" s="19" t="str">
        <f>VLOOKUP(G1151,'languoid 4.0'!$A$1:$I$24439,6,FALSE)</f>
        <v>language</v>
      </c>
      <c r="J1151" s="20" t="s">
        <v>38</v>
      </c>
      <c r="K1151" s="20" t="s">
        <v>38</v>
      </c>
      <c r="L1151" s="20" t="s">
        <v>38</v>
      </c>
      <c r="M1151" s="19"/>
      <c r="N1151" s="19" t="s">
        <v>269</v>
      </c>
      <c r="O1151" s="20" t="s">
        <v>40</v>
      </c>
      <c r="P1151" s="20" t="s">
        <v>41</v>
      </c>
      <c r="Q1151" s="19" t="s">
        <v>8605</v>
      </c>
      <c r="R1151" s="21" t="s">
        <v>8603</v>
      </c>
      <c r="S1151" s="19" t="s">
        <v>647</v>
      </c>
      <c r="T1151" s="19" t="s">
        <v>657</v>
      </c>
      <c r="U1151" s="19" t="s">
        <v>636</v>
      </c>
      <c r="V1151" s="19" t="s">
        <v>45</v>
      </c>
      <c r="W1151" s="19"/>
      <c r="X1151" s="19"/>
      <c r="Y1151" s="19"/>
      <c r="Z1151" s="19" t="s">
        <v>673</v>
      </c>
      <c r="AA1151" s="19" t="s">
        <v>46</v>
      </c>
      <c r="AB1151" s="19" t="s">
        <v>8604</v>
      </c>
      <c r="AC1151" s="19" t="s">
        <v>46</v>
      </c>
      <c r="AD1151" s="19"/>
      <c r="AE1151" s="19" t="s">
        <v>641</v>
      </c>
      <c r="AF1151" s="19" t="s">
        <v>190</v>
      </c>
      <c r="AG1151" s="19">
        <v>6</v>
      </c>
      <c r="AH1151" s="19" t="s">
        <v>190</v>
      </c>
      <c r="AI1151" s="19"/>
      <c r="AJ1151" s="22">
        <v>43229.030914351853</v>
      </c>
      <c r="AK1151" s="19" t="s">
        <v>4386</v>
      </c>
    </row>
    <row r="1152" spans="1:37" s="23" customFormat="1">
      <c r="A1152" s="19" t="str">
        <f>VLOOKUP(H1152,Languages!$A$2:$B$430,2,FALSE)</f>
        <v>Indo-European</v>
      </c>
      <c r="B1152" s="19" t="s">
        <v>652</v>
      </c>
      <c r="C1152" s="19" t="s">
        <v>4376</v>
      </c>
      <c r="D1152" s="19" t="s">
        <v>8601</v>
      </c>
      <c r="E1152" s="20" t="s">
        <v>239</v>
      </c>
      <c r="F1152" s="20" t="s">
        <v>239</v>
      </c>
      <c r="G1152" s="19" t="s">
        <v>239</v>
      </c>
      <c r="H1152" s="19" t="str">
        <f>VLOOKUP(G1152,'languoid 4.0'!$A$1:$I$24439,2,FALSE)</f>
        <v>indo1319</v>
      </c>
      <c r="I1152" s="19" t="str">
        <f>VLOOKUP(G1152,'languoid 4.0'!$A$1:$I$24439,6,FALSE)</f>
        <v>language</v>
      </c>
      <c r="J1152" s="20" t="s">
        <v>38</v>
      </c>
      <c r="K1152" s="20" t="s">
        <v>38</v>
      </c>
      <c r="L1152" s="20" t="s">
        <v>38</v>
      </c>
      <c r="M1152" s="19"/>
      <c r="N1152" s="19" t="s">
        <v>269</v>
      </c>
      <c r="O1152" s="20" t="s">
        <v>40</v>
      </c>
      <c r="P1152" s="20" t="s">
        <v>41</v>
      </c>
      <c r="Q1152" s="19" t="s">
        <v>8606</v>
      </c>
      <c r="R1152" s="21" t="s">
        <v>8603</v>
      </c>
      <c r="S1152" s="19" t="s">
        <v>683</v>
      </c>
      <c r="T1152" s="19" t="s">
        <v>657</v>
      </c>
      <c r="U1152" s="19" t="s">
        <v>636</v>
      </c>
      <c r="V1152" s="19" t="s">
        <v>45</v>
      </c>
      <c r="W1152" s="19"/>
      <c r="X1152" s="19"/>
      <c r="Y1152" s="19"/>
      <c r="Z1152" s="19" t="s">
        <v>673</v>
      </c>
      <c r="AA1152" s="19" t="s">
        <v>46</v>
      </c>
      <c r="AB1152" s="19" t="s">
        <v>8604</v>
      </c>
      <c r="AC1152" s="19" t="s">
        <v>46</v>
      </c>
      <c r="AD1152" s="19"/>
      <c r="AE1152" s="19" t="s">
        <v>641</v>
      </c>
      <c r="AF1152" s="19" t="s">
        <v>190</v>
      </c>
      <c r="AG1152" s="19">
        <v>6</v>
      </c>
      <c r="AH1152" s="19" t="s">
        <v>190</v>
      </c>
      <c r="AI1152" s="19"/>
      <c r="AJ1152" s="22">
        <v>43229.032129629632</v>
      </c>
      <c r="AK1152" s="19" t="s">
        <v>4386</v>
      </c>
    </row>
    <row r="1153" spans="1:37" s="23" customFormat="1" ht="409.6">
      <c r="A1153" s="19" t="str">
        <f>VLOOKUP(H1153,Languages!$A$2:$B$430,2,FALSE)</f>
        <v>Indo-European</v>
      </c>
      <c r="B1153" s="19" t="s">
        <v>652</v>
      </c>
      <c r="C1153" s="19" t="s">
        <v>431</v>
      </c>
      <c r="D1153" s="19" t="s">
        <v>11269</v>
      </c>
      <c r="E1153" s="20" t="s">
        <v>239</v>
      </c>
      <c r="F1153" s="20" t="s">
        <v>239</v>
      </c>
      <c r="G1153" s="19" t="s">
        <v>239</v>
      </c>
      <c r="H1153" s="19" t="str">
        <f>VLOOKUP(G1153,'languoid 4.0'!$A$1:$I$24439,2,FALSE)</f>
        <v>indo1319</v>
      </c>
      <c r="I1153" s="19" t="str">
        <f>VLOOKUP(G1153,'languoid 4.0'!$A$1:$I$24439,6,FALSE)</f>
        <v>language</v>
      </c>
      <c r="J1153" s="20" t="s">
        <v>38</v>
      </c>
      <c r="K1153" s="20" t="s">
        <v>38</v>
      </c>
      <c r="L1153" s="20" t="s">
        <v>38</v>
      </c>
      <c r="M1153" s="19"/>
      <c r="N1153" s="19" t="s">
        <v>269</v>
      </c>
      <c r="O1153" s="20" t="s">
        <v>40</v>
      </c>
      <c r="P1153" s="20" t="s">
        <v>41</v>
      </c>
      <c r="Q1153" s="19" t="s">
        <v>11270</v>
      </c>
      <c r="R1153" s="21" t="s">
        <v>11271</v>
      </c>
      <c r="S1153" s="19" t="s">
        <v>11272</v>
      </c>
      <c r="T1153" s="19" t="s">
        <v>657</v>
      </c>
      <c r="U1153" s="19" t="s">
        <v>636</v>
      </c>
      <c r="V1153" s="19" t="s">
        <v>45</v>
      </c>
      <c r="W1153" s="19"/>
      <c r="X1153" s="19"/>
      <c r="Y1153" s="19"/>
      <c r="Z1153" s="19" t="s">
        <v>673</v>
      </c>
      <c r="AA1153" s="19" t="s">
        <v>11270</v>
      </c>
      <c r="AB1153" s="28" t="s">
        <v>11273</v>
      </c>
      <c r="AC1153" s="19" t="s">
        <v>46</v>
      </c>
      <c r="AD1153" s="19"/>
      <c r="AE1153" s="19" t="s">
        <v>641</v>
      </c>
      <c r="AF1153" s="19" t="s">
        <v>190</v>
      </c>
      <c r="AG1153" s="19">
        <v>6</v>
      </c>
      <c r="AH1153" s="19" t="s">
        <v>190</v>
      </c>
      <c r="AI1153" s="19"/>
      <c r="AJ1153" s="19" t="s">
        <v>11274</v>
      </c>
      <c r="AK1153" s="19" t="s">
        <v>4975</v>
      </c>
    </row>
    <row r="1154" spans="1:37" s="23" customFormat="1" ht="409.6">
      <c r="A1154" s="19" t="str">
        <f>VLOOKUP(H1154,Languages!$A$2:$B$430,2,FALSE)</f>
        <v>Indo-European</v>
      </c>
      <c r="B1154" s="19" t="s">
        <v>652</v>
      </c>
      <c r="C1154" s="19" t="s">
        <v>431</v>
      </c>
      <c r="D1154" s="19" t="s">
        <v>11275</v>
      </c>
      <c r="E1154" s="20" t="s">
        <v>239</v>
      </c>
      <c r="F1154" s="20" t="s">
        <v>239</v>
      </c>
      <c r="G1154" s="19" t="s">
        <v>239</v>
      </c>
      <c r="H1154" s="19" t="str">
        <f>VLOOKUP(G1154,'languoid 4.0'!$A$1:$I$24439,2,FALSE)</f>
        <v>indo1319</v>
      </c>
      <c r="I1154" s="19" t="str">
        <f>VLOOKUP(G1154,'languoid 4.0'!$A$1:$I$24439,6,FALSE)</f>
        <v>language</v>
      </c>
      <c r="J1154" s="20" t="s">
        <v>38</v>
      </c>
      <c r="K1154" s="20" t="s">
        <v>38</v>
      </c>
      <c r="L1154" s="20" t="s">
        <v>38</v>
      </c>
      <c r="M1154" s="19"/>
      <c r="N1154" s="19" t="s">
        <v>269</v>
      </c>
      <c r="O1154" s="20" t="s">
        <v>40</v>
      </c>
      <c r="P1154" s="20" t="s">
        <v>41</v>
      </c>
      <c r="Q1154" s="19" t="s">
        <v>11276</v>
      </c>
      <c r="R1154" s="21" t="s">
        <v>11277</v>
      </c>
      <c r="S1154" s="19" t="s">
        <v>11278</v>
      </c>
      <c r="T1154" s="19" t="s">
        <v>657</v>
      </c>
      <c r="U1154" s="19" t="s">
        <v>636</v>
      </c>
      <c r="V1154" s="19" t="s">
        <v>45</v>
      </c>
      <c r="W1154" s="19"/>
      <c r="X1154" s="19"/>
      <c r="Y1154" s="19"/>
      <c r="Z1154" s="19" t="s">
        <v>673</v>
      </c>
      <c r="AA1154" s="19" t="s">
        <v>11276</v>
      </c>
      <c r="AB1154" s="28" t="s">
        <v>11273</v>
      </c>
      <c r="AC1154" s="19" t="s">
        <v>46</v>
      </c>
      <c r="AD1154" s="19"/>
      <c r="AE1154" s="19" t="s">
        <v>641</v>
      </c>
      <c r="AF1154" s="19" t="s">
        <v>190</v>
      </c>
      <c r="AG1154" s="19">
        <v>6</v>
      </c>
      <c r="AH1154" s="19" t="s">
        <v>190</v>
      </c>
      <c r="AI1154" s="19" t="s">
        <v>46</v>
      </c>
      <c r="AJ1154" s="19" t="s">
        <v>11279</v>
      </c>
      <c r="AK1154" s="19" t="s">
        <v>4975</v>
      </c>
    </row>
    <row r="1155" spans="1:37" s="23" customFormat="1" ht="409.6">
      <c r="A1155" s="19" t="str">
        <f>VLOOKUP(H1155,Languages!$A$2:$B$430,2,FALSE)</f>
        <v>Indo-European</v>
      </c>
      <c r="B1155" s="19" t="s">
        <v>652</v>
      </c>
      <c r="C1155" s="19" t="s">
        <v>431</v>
      </c>
      <c r="D1155" s="19" t="s">
        <v>11280</v>
      </c>
      <c r="E1155" s="20" t="s">
        <v>239</v>
      </c>
      <c r="F1155" s="20" t="s">
        <v>239</v>
      </c>
      <c r="G1155" s="19" t="s">
        <v>239</v>
      </c>
      <c r="H1155" s="19" t="str">
        <f>VLOOKUP(G1155,'languoid 4.0'!$A$1:$I$24439,2,FALSE)</f>
        <v>indo1319</v>
      </c>
      <c r="I1155" s="19" t="str">
        <f>VLOOKUP(G1155,'languoid 4.0'!$A$1:$I$24439,6,FALSE)</f>
        <v>language</v>
      </c>
      <c r="J1155" s="20" t="s">
        <v>38</v>
      </c>
      <c r="K1155" s="20" t="s">
        <v>38</v>
      </c>
      <c r="L1155" s="20" t="s">
        <v>38</v>
      </c>
      <c r="M1155" s="19"/>
      <c r="N1155" s="19" t="s">
        <v>269</v>
      </c>
      <c r="O1155" s="20" t="s">
        <v>40</v>
      </c>
      <c r="P1155" s="20" t="s">
        <v>41</v>
      </c>
      <c r="Q1155" s="19" t="s">
        <v>11281</v>
      </c>
      <c r="R1155" s="21" t="s">
        <v>11282</v>
      </c>
      <c r="S1155" s="19" t="s">
        <v>11283</v>
      </c>
      <c r="T1155" s="19" t="s">
        <v>657</v>
      </c>
      <c r="U1155" s="19" t="s">
        <v>636</v>
      </c>
      <c r="V1155" s="19" t="s">
        <v>45</v>
      </c>
      <c r="W1155" s="19"/>
      <c r="X1155" s="19"/>
      <c r="Y1155" s="19"/>
      <c r="Z1155" s="19" t="s">
        <v>673</v>
      </c>
      <c r="AA1155" s="19" t="s">
        <v>11284</v>
      </c>
      <c r="AB1155" s="28" t="s">
        <v>11273</v>
      </c>
      <c r="AC1155" s="19" t="s">
        <v>46</v>
      </c>
      <c r="AD1155" s="19"/>
      <c r="AE1155" s="19" t="s">
        <v>641</v>
      </c>
      <c r="AF1155" s="19" t="s">
        <v>190</v>
      </c>
      <c r="AG1155" s="19">
        <v>6</v>
      </c>
      <c r="AH1155" s="19" t="s">
        <v>190</v>
      </c>
      <c r="AI1155" s="19"/>
      <c r="AJ1155" s="19" t="s">
        <v>11285</v>
      </c>
      <c r="AK1155" s="19" t="s">
        <v>4975</v>
      </c>
    </row>
    <row r="1156" spans="1:37" s="23" customFormat="1" ht="409.6">
      <c r="A1156" s="19" t="str">
        <f>VLOOKUP(H1156,Languages!$A$2:$B$430,2,FALSE)</f>
        <v>Indo-European</v>
      </c>
      <c r="B1156" s="19" t="s">
        <v>652</v>
      </c>
      <c r="C1156" s="19" t="s">
        <v>431</v>
      </c>
      <c r="D1156" s="19" t="s">
        <v>11286</v>
      </c>
      <c r="E1156" s="20" t="s">
        <v>239</v>
      </c>
      <c r="F1156" s="20" t="s">
        <v>239</v>
      </c>
      <c r="G1156" s="19" t="s">
        <v>239</v>
      </c>
      <c r="H1156" s="19" t="str">
        <f>VLOOKUP(G1156,'languoid 4.0'!$A$1:$I$24439,2,FALSE)</f>
        <v>indo1319</v>
      </c>
      <c r="I1156" s="19" t="str">
        <f>VLOOKUP(G1156,'languoid 4.0'!$A$1:$I$24439,6,FALSE)</f>
        <v>language</v>
      </c>
      <c r="J1156" s="20" t="s">
        <v>38</v>
      </c>
      <c r="K1156" s="20" t="s">
        <v>38</v>
      </c>
      <c r="L1156" s="20" t="s">
        <v>38</v>
      </c>
      <c r="M1156" s="19"/>
      <c r="N1156" s="19" t="s">
        <v>269</v>
      </c>
      <c r="O1156" s="20" t="s">
        <v>40</v>
      </c>
      <c r="P1156" s="20" t="s">
        <v>41</v>
      </c>
      <c r="Q1156" s="19" t="s">
        <v>11287</v>
      </c>
      <c r="R1156" s="21" t="s">
        <v>11288</v>
      </c>
      <c r="S1156" s="19" t="s">
        <v>11289</v>
      </c>
      <c r="T1156" s="19" t="s">
        <v>657</v>
      </c>
      <c r="U1156" s="19" t="s">
        <v>636</v>
      </c>
      <c r="V1156" s="19" t="s">
        <v>45</v>
      </c>
      <c r="W1156" s="19"/>
      <c r="X1156" s="19"/>
      <c r="Y1156" s="19"/>
      <c r="Z1156" s="19" t="s">
        <v>673</v>
      </c>
      <c r="AA1156" s="19" t="s">
        <v>11290</v>
      </c>
      <c r="AB1156" s="28" t="s">
        <v>11273</v>
      </c>
      <c r="AC1156" s="19" t="s">
        <v>46</v>
      </c>
      <c r="AD1156" s="19"/>
      <c r="AE1156" s="19" t="s">
        <v>641</v>
      </c>
      <c r="AF1156" s="19" t="s">
        <v>190</v>
      </c>
      <c r="AG1156" s="19">
        <v>6</v>
      </c>
      <c r="AH1156" s="19" t="s">
        <v>190</v>
      </c>
      <c r="AI1156" s="19"/>
      <c r="AJ1156" s="19" t="s">
        <v>11291</v>
      </c>
      <c r="AK1156" s="19" t="s">
        <v>4975</v>
      </c>
    </row>
    <row r="1157" spans="1:37" s="23" customFormat="1">
      <c r="A1157" s="19" t="str">
        <f>VLOOKUP(H1157,Languages!$A$2:$B$430,2,FALSE)</f>
        <v>Indo-European</v>
      </c>
      <c r="B1157" s="19" t="s">
        <v>1750</v>
      </c>
      <c r="C1157" s="19" t="s">
        <v>94</v>
      </c>
      <c r="D1157" s="19" t="s">
        <v>10936</v>
      </c>
      <c r="E1157" s="20" t="s">
        <v>96</v>
      </c>
      <c r="F1157" s="20" t="s">
        <v>96</v>
      </c>
      <c r="G1157" s="19" t="s">
        <v>96</v>
      </c>
      <c r="H1157" s="19" t="str">
        <f>VLOOKUP(G1157,'languoid 4.0'!$A$1:$I$24439,2,FALSE)</f>
        <v>indo1319</v>
      </c>
      <c r="I1157" s="19" t="str">
        <f>VLOOKUP(G1157,'languoid 4.0'!$A$1:$I$24439,6,FALSE)</f>
        <v>language</v>
      </c>
      <c r="J1157" s="20" t="s">
        <v>38</v>
      </c>
      <c r="K1157" s="20" t="s">
        <v>38</v>
      </c>
      <c r="L1157" s="20" t="s">
        <v>38</v>
      </c>
      <c r="M1157" s="19"/>
      <c r="N1157" s="19" t="s">
        <v>97</v>
      </c>
      <c r="O1157" s="20" t="s">
        <v>40</v>
      </c>
      <c r="P1157" s="20" t="s">
        <v>41</v>
      </c>
      <c r="Q1157" s="19" t="s">
        <v>10937</v>
      </c>
      <c r="R1157" s="21" t="s">
        <v>10938</v>
      </c>
      <c r="S1157" s="19" t="s">
        <v>46</v>
      </c>
      <c r="T1157" s="19" t="s">
        <v>635</v>
      </c>
      <c r="U1157" s="19" t="s">
        <v>10939</v>
      </c>
      <c r="V1157" s="19" t="s">
        <v>45</v>
      </c>
      <c r="W1157" s="19"/>
      <c r="X1157" s="19"/>
      <c r="Y1157" s="19"/>
      <c r="Z1157" s="19" t="s">
        <v>658</v>
      </c>
      <c r="AA1157" s="19" t="s">
        <v>10940</v>
      </c>
      <c r="AB1157" s="19" t="s">
        <v>46</v>
      </c>
      <c r="AC1157" s="19" t="s">
        <v>46</v>
      </c>
      <c r="AD1157" s="19"/>
      <c r="AE1157" s="19" t="s">
        <v>641</v>
      </c>
      <c r="AF1157" s="19" t="s">
        <v>190</v>
      </c>
      <c r="AG1157" s="19">
        <v>6</v>
      </c>
      <c r="AH1157" s="19" t="s">
        <v>190</v>
      </c>
      <c r="AI1157" s="19"/>
      <c r="AJ1157" s="19" t="s">
        <v>10941</v>
      </c>
      <c r="AK1157" s="19" t="s">
        <v>8881</v>
      </c>
    </row>
    <row r="1158" spans="1:37" s="23" customFormat="1">
      <c r="A1158" s="19" t="str">
        <f>VLOOKUP(H1158,Languages!$A$2:$B$430,2,FALSE)</f>
        <v>Indo-European</v>
      </c>
      <c r="B1158" s="19" t="s">
        <v>1750</v>
      </c>
      <c r="C1158" s="19" t="s">
        <v>1012</v>
      </c>
      <c r="D1158" s="19" t="s">
        <v>2927</v>
      </c>
      <c r="E1158" s="20" t="s">
        <v>2845</v>
      </c>
      <c r="F1158" s="20" t="s">
        <v>2731</v>
      </c>
      <c r="G1158" s="19" t="s">
        <v>2845</v>
      </c>
      <c r="H1158" s="19" t="str">
        <f>VLOOKUP(G1158,'languoid 4.0'!$A$1:$I$24439,2,FALSE)</f>
        <v>indo1319</v>
      </c>
      <c r="I1158" s="19" t="str">
        <f>VLOOKUP(G1158,'languoid 4.0'!$A$1:$I$24439,6,FALSE)</f>
        <v>language</v>
      </c>
      <c r="J1158" s="20" t="s">
        <v>52</v>
      </c>
      <c r="K1158" s="20" t="s">
        <v>38</v>
      </c>
      <c r="L1158" s="20" t="s">
        <v>38</v>
      </c>
      <c r="M1158" s="19"/>
      <c r="N1158" s="19" t="s">
        <v>2846</v>
      </c>
      <c r="O1158" s="20" t="s">
        <v>40</v>
      </c>
      <c r="P1158" s="20" t="s">
        <v>41</v>
      </c>
      <c r="Q1158" s="19" t="s">
        <v>3137</v>
      </c>
      <c r="R1158" s="21" t="s">
        <v>3138</v>
      </c>
      <c r="S1158" s="19" t="s">
        <v>46</v>
      </c>
      <c r="T1158" s="19" t="s">
        <v>635</v>
      </c>
      <c r="U1158" s="19" t="s">
        <v>636</v>
      </c>
      <c r="V1158" s="19" t="s">
        <v>45</v>
      </c>
      <c r="W1158" s="19"/>
      <c r="X1158" s="19"/>
      <c r="Y1158" s="19"/>
      <c r="Z1158" s="19" t="s">
        <v>658</v>
      </c>
      <c r="AA1158" s="19" t="s">
        <v>3139</v>
      </c>
      <c r="AB1158" s="19" t="s">
        <v>46</v>
      </c>
      <c r="AC1158" s="19" t="s">
        <v>46</v>
      </c>
      <c r="AD1158" s="19" t="s">
        <v>3109</v>
      </c>
      <c r="AE1158" s="19" t="s">
        <v>641</v>
      </c>
      <c r="AF1158" s="19" t="s">
        <v>190</v>
      </c>
      <c r="AG1158" s="19">
        <v>5</v>
      </c>
      <c r="AH1158" s="19" t="s">
        <v>190</v>
      </c>
      <c r="AI1158" s="19"/>
      <c r="AJ1158" s="19" t="s">
        <v>3140</v>
      </c>
      <c r="AK1158" s="19" t="s">
        <v>1023</v>
      </c>
    </row>
    <row r="1159" spans="1:37" s="23" customFormat="1">
      <c r="A1159" s="19" t="str">
        <f>VLOOKUP(H1159,Languages!$A$2:$B$430,2,FALSE)</f>
        <v>Indo-European</v>
      </c>
      <c r="B1159" s="19" t="s">
        <v>1750</v>
      </c>
      <c r="C1159" s="19" t="s">
        <v>1012</v>
      </c>
      <c r="D1159" s="19" t="s">
        <v>10644</v>
      </c>
      <c r="E1159" s="20" t="s">
        <v>239</v>
      </c>
      <c r="F1159" s="20" t="s">
        <v>239</v>
      </c>
      <c r="G1159" s="19" t="s">
        <v>239</v>
      </c>
      <c r="H1159" s="19" t="str">
        <f>VLOOKUP(G1159,'languoid 4.0'!$A$1:$I$24439,2,FALSE)</f>
        <v>indo1319</v>
      </c>
      <c r="I1159" s="19" t="str">
        <f>VLOOKUP(G1159,'languoid 4.0'!$A$1:$I$24439,6,FALSE)</f>
        <v>language</v>
      </c>
      <c r="J1159" s="20" t="s">
        <v>38</v>
      </c>
      <c r="K1159" s="20" t="s">
        <v>38</v>
      </c>
      <c r="L1159" s="20" t="s">
        <v>38</v>
      </c>
      <c r="M1159" s="19"/>
      <c r="N1159" s="19" t="s">
        <v>269</v>
      </c>
      <c r="O1159" s="20" t="s">
        <v>40</v>
      </c>
      <c r="P1159" s="20" t="s">
        <v>41</v>
      </c>
      <c r="Q1159" s="19" t="s">
        <v>10645</v>
      </c>
      <c r="R1159" s="21" t="s">
        <v>10646</v>
      </c>
      <c r="S1159" s="19" t="s">
        <v>225</v>
      </c>
      <c r="T1159" s="19" t="s">
        <v>8277</v>
      </c>
      <c r="U1159" s="19" t="s">
        <v>636</v>
      </c>
      <c r="V1159" s="19" t="s">
        <v>45</v>
      </c>
      <c r="W1159" s="19"/>
      <c r="X1159" s="19"/>
      <c r="Y1159" s="19"/>
      <c r="Z1159" s="19" t="s">
        <v>673</v>
      </c>
      <c r="AA1159" s="19" t="s">
        <v>46</v>
      </c>
      <c r="AB1159" s="19" t="s">
        <v>10647</v>
      </c>
      <c r="AC1159" s="19" t="s">
        <v>46</v>
      </c>
      <c r="AD1159" s="19" t="s">
        <v>10648</v>
      </c>
      <c r="AE1159" s="19" t="s">
        <v>641</v>
      </c>
      <c r="AF1159" s="19" t="s">
        <v>190</v>
      </c>
      <c r="AG1159" s="19">
        <v>6</v>
      </c>
      <c r="AH1159" s="19" t="s">
        <v>190</v>
      </c>
      <c r="AI1159" s="19"/>
      <c r="AJ1159" s="19" t="s">
        <v>10649</v>
      </c>
      <c r="AK1159" s="19" t="s">
        <v>9595</v>
      </c>
    </row>
    <row r="1160" spans="1:37" s="23" customFormat="1">
      <c r="A1160" s="19" t="str">
        <f>VLOOKUP(H1160,Languages!$A$2:$B$430,2,FALSE)</f>
        <v>Indo-European</v>
      </c>
      <c r="B1160" s="19" t="s">
        <v>1750</v>
      </c>
      <c r="C1160" s="19" t="s">
        <v>1012</v>
      </c>
      <c r="D1160" s="19" t="s">
        <v>10644</v>
      </c>
      <c r="E1160" s="20" t="s">
        <v>239</v>
      </c>
      <c r="F1160" s="20" t="s">
        <v>239</v>
      </c>
      <c r="G1160" s="19" t="s">
        <v>239</v>
      </c>
      <c r="H1160" s="19" t="str">
        <f>VLOOKUP(G1160,'languoid 4.0'!$A$1:$I$24439,2,FALSE)</f>
        <v>indo1319</v>
      </c>
      <c r="I1160" s="19" t="str">
        <f>VLOOKUP(G1160,'languoid 4.0'!$A$1:$I$24439,6,FALSE)</f>
        <v>language</v>
      </c>
      <c r="J1160" s="20" t="s">
        <v>38</v>
      </c>
      <c r="K1160" s="20" t="s">
        <v>38</v>
      </c>
      <c r="L1160" s="20" t="s">
        <v>38</v>
      </c>
      <c r="M1160" s="19"/>
      <c r="N1160" s="19" t="s">
        <v>269</v>
      </c>
      <c r="O1160" s="20" t="s">
        <v>40</v>
      </c>
      <c r="P1160" s="20" t="s">
        <v>41</v>
      </c>
      <c r="Q1160" s="19" t="s">
        <v>10653</v>
      </c>
      <c r="R1160" s="21" t="s">
        <v>10646</v>
      </c>
      <c r="S1160" s="19" t="s">
        <v>130</v>
      </c>
      <c r="T1160" s="19" t="s">
        <v>8277</v>
      </c>
      <c r="U1160" s="19" t="s">
        <v>636</v>
      </c>
      <c r="V1160" s="19" t="s">
        <v>45</v>
      </c>
      <c r="W1160" s="19"/>
      <c r="X1160" s="19"/>
      <c r="Y1160" s="19"/>
      <c r="Z1160" s="19" t="s">
        <v>673</v>
      </c>
      <c r="AA1160" s="19" t="s">
        <v>46</v>
      </c>
      <c r="AB1160" s="19" t="s">
        <v>10654</v>
      </c>
      <c r="AC1160" s="19" t="s">
        <v>46</v>
      </c>
      <c r="AD1160" s="19" t="s">
        <v>10655</v>
      </c>
      <c r="AE1160" s="19" t="s">
        <v>641</v>
      </c>
      <c r="AF1160" s="19" t="s">
        <v>190</v>
      </c>
      <c r="AG1160" s="19">
        <v>6</v>
      </c>
      <c r="AH1160" s="19" t="s">
        <v>190</v>
      </c>
      <c r="AI1160" s="19"/>
      <c r="AJ1160" s="19" t="s">
        <v>10656</v>
      </c>
      <c r="AK1160" s="19" t="s">
        <v>9595</v>
      </c>
    </row>
    <row r="1161" spans="1:37" s="23" customFormat="1">
      <c r="A1161" s="19" t="str">
        <f>VLOOKUP(H1161,Languages!$A$2:$B$430,2,FALSE)</f>
        <v>Indo-European</v>
      </c>
      <c r="B1161" s="19" t="s">
        <v>1750</v>
      </c>
      <c r="C1161" s="19" t="s">
        <v>154</v>
      </c>
      <c r="D1161" s="19" t="s">
        <v>6366</v>
      </c>
      <c r="E1161" s="20" t="s">
        <v>239</v>
      </c>
      <c r="F1161" s="20" t="s">
        <v>239</v>
      </c>
      <c r="G1161" s="19" t="s">
        <v>239</v>
      </c>
      <c r="H1161" s="19" t="str">
        <f>VLOOKUP(G1161,'languoid 4.0'!$A$1:$I$24439,2,FALSE)</f>
        <v>indo1319</v>
      </c>
      <c r="I1161" s="19" t="str">
        <f>VLOOKUP(G1161,'languoid 4.0'!$A$1:$I$24439,6,FALSE)</f>
        <v>language</v>
      </c>
      <c r="J1161" s="20" t="s">
        <v>38</v>
      </c>
      <c r="K1161" s="20" t="s">
        <v>38</v>
      </c>
      <c r="L1161" s="20" t="s">
        <v>38</v>
      </c>
      <c r="M1161" s="19"/>
      <c r="N1161" s="19" t="s">
        <v>269</v>
      </c>
      <c r="O1161" s="20" t="s">
        <v>40</v>
      </c>
      <c r="P1161" s="20" t="s">
        <v>41</v>
      </c>
      <c r="Q1161" s="19" t="s">
        <v>6464</v>
      </c>
      <c r="R1161" s="21" t="s">
        <v>6465</v>
      </c>
      <c r="S1161" s="19" t="s">
        <v>6466</v>
      </c>
      <c r="T1161" s="19" t="s">
        <v>6428</v>
      </c>
      <c r="U1161" s="19" t="s">
        <v>6467</v>
      </c>
      <c r="V1161" s="19" t="s">
        <v>45</v>
      </c>
      <c r="W1161" s="19"/>
      <c r="X1161" s="19"/>
      <c r="Y1161" s="19"/>
      <c r="Z1161" s="19" t="s">
        <v>1893</v>
      </c>
      <c r="AA1161" s="19" t="s">
        <v>46</v>
      </c>
      <c r="AB1161" s="19" t="s">
        <v>46</v>
      </c>
      <c r="AC1161" s="19" t="s">
        <v>6468</v>
      </c>
      <c r="AD1161" s="19"/>
      <c r="AE1161" s="19" t="s">
        <v>641</v>
      </c>
      <c r="AF1161" s="19" t="s">
        <v>190</v>
      </c>
      <c r="AG1161" s="19">
        <v>6</v>
      </c>
      <c r="AH1161" s="19" t="s">
        <v>190</v>
      </c>
      <c r="AI1161" s="19"/>
      <c r="AJ1161" s="22">
        <v>43411.847615740742</v>
      </c>
      <c r="AK1161" s="19" t="s">
        <v>6365</v>
      </c>
    </row>
    <row r="1162" spans="1:37" s="23" customFormat="1">
      <c r="A1162" s="19" t="str">
        <f>VLOOKUP(H1162,Languages!$A$2:$B$430,2,FALSE)</f>
        <v>Indo-European</v>
      </c>
      <c r="B1162" s="19" t="s">
        <v>1750</v>
      </c>
      <c r="C1162" s="19" t="s">
        <v>154</v>
      </c>
      <c r="D1162" s="19" t="s">
        <v>6469</v>
      </c>
      <c r="E1162" s="20" t="s">
        <v>239</v>
      </c>
      <c r="F1162" s="20" t="s">
        <v>239</v>
      </c>
      <c r="G1162" s="19" t="s">
        <v>239</v>
      </c>
      <c r="H1162" s="19" t="str">
        <f>VLOOKUP(G1162,'languoid 4.0'!$A$1:$I$24439,2,FALSE)</f>
        <v>indo1319</v>
      </c>
      <c r="I1162" s="19" t="str">
        <f>VLOOKUP(G1162,'languoid 4.0'!$A$1:$I$24439,6,FALSE)</f>
        <v>language</v>
      </c>
      <c r="J1162" s="20" t="s">
        <v>38</v>
      </c>
      <c r="K1162" s="20" t="s">
        <v>38</v>
      </c>
      <c r="L1162" s="20" t="s">
        <v>38</v>
      </c>
      <c r="M1162" s="19"/>
      <c r="N1162" s="19" t="s">
        <v>269</v>
      </c>
      <c r="O1162" s="20" t="s">
        <v>40</v>
      </c>
      <c r="P1162" s="20" t="s">
        <v>41</v>
      </c>
      <c r="Q1162" s="19" t="s">
        <v>6470</v>
      </c>
      <c r="R1162" s="21" t="s">
        <v>6471</v>
      </c>
      <c r="S1162" s="19" t="s">
        <v>6011</v>
      </c>
      <c r="T1162" s="19" t="s">
        <v>6428</v>
      </c>
      <c r="U1162" s="19" t="s">
        <v>636</v>
      </c>
      <c r="V1162" s="19" t="s">
        <v>45</v>
      </c>
      <c r="W1162" s="19"/>
      <c r="X1162" s="19"/>
      <c r="Y1162" s="19"/>
      <c r="Z1162" s="19" t="s">
        <v>1151</v>
      </c>
      <c r="AA1162" s="19" t="s">
        <v>46</v>
      </c>
      <c r="AB1162" s="19" t="s">
        <v>6472</v>
      </c>
      <c r="AC1162" s="19" t="s">
        <v>6473</v>
      </c>
      <c r="AD1162" s="19"/>
      <c r="AE1162" s="19" t="s">
        <v>641</v>
      </c>
      <c r="AF1162" s="19" t="s">
        <v>190</v>
      </c>
      <c r="AG1162" s="19">
        <v>6</v>
      </c>
      <c r="AH1162" s="19" t="s">
        <v>190</v>
      </c>
      <c r="AI1162" s="19"/>
      <c r="AJ1162" s="22">
        <v>43411.86310185185</v>
      </c>
      <c r="AK1162" s="19" t="s">
        <v>6365</v>
      </c>
    </row>
    <row r="1163" spans="1:37" s="23" customFormat="1">
      <c r="A1163" s="19" t="str">
        <f>VLOOKUP(H1163,Languages!$A$2:$B$430,2,FALSE)</f>
        <v>Indo-European</v>
      </c>
      <c r="B1163" s="19" t="s">
        <v>1750</v>
      </c>
      <c r="C1163" s="19" t="s">
        <v>154</v>
      </c>
      <c r="D1163" s="19" t="s">
        <v>6412</v>
      </c>
      <c r="E1163" s="20" t="s">
        <v>239</v>
      </c>
      <c r="F1163" s="20" t="s">
        <v>239</v>
      </c>
      <c r="G1163" s="19" t="s">
        <v>239</v>
      </c>
      <c r="H1163" s="19" t="str">
        <f>VLOOKUP(G1163,'languoid 4.0'!$A$1:$I$24439,2,FALSE)</f>
        <v>indo1319</v>
      </c>
      <c r="I1163" s="19" t="str">
        <f>VLOOKUP(G1163,'languoid 4.0'!$A$1:$I$24439,6,FALSE)</f>
        <v>language</v>
      </c>
      <c r="J1163" s="20" t="s">
        <v>38</v>
      </c>
      <c r="K1163" s="20" t="s">
        <v>38</v>
      </c>
      <c r="L1163" s="20" t="s">
        <v>38</v>
      </c>
      <c r="M1163" s="19"/>
      <c r="N1163" s="19" t="s">
        <v>269</v>
      </c>
      <c r="O1163" s="20" t="s">
        <v>40</v>
      </c>
      <c r="P1163" s="20" t="s">
        <v>41</v>
      </c>
      <c r="Q1163" s="19" t="s">
        <v>6621</v>
      </c>
      <c r="R1163" s="21" t="s">
        <v>6622</v>
      </c>
      <c r="S1163" s="19" t="s">
        <v>6011</v>
      </c>
      <c r="T1163" s="19" t="s">
        <v>6428</v>
      </c>
      <c r="U1163" s="19" t="s">
        <v>67</v>
      </c>
      <c r="V1163" s="19" t="s">
        <v>45</v>
      </c>
      <c r="W1163" s="19"/>
      <c r="X1163" s="19"/>
      <c r="Y1163" s="19"/>
      <c r="Z1163" s="19" t="s">
        <v>1151</v>
      </c>
      <c r="AA1163" s="19" t="s">
        <v>46</v>
      </c>
      <c r="AB1163" s="19" t="s">
        <v>6623</v>
      </c>
      <c r="AC1163" s="19" t="s">
        <v>6624</v>
      </c>
      <c r="AD1163" s="19"/>
      <c r="AE1163" s="19" t="s">
        <v>641</v>
      </c>
      <c r="AF1163" s="19" t="s">
        <v>190</v>
      </c>
      <c r="AG1163" s="19">
        <v>6</v>
      </c>
      <c r="AH1163" s="19" t="s">
        <v>190</v>
      </c>
      <c r="AI1163" s="19"/>
      <c r="AJ1163" s="19" t="s">
        <v>6625</v>
      </c>
      <c r="AK1163" s="19" t="s">
        <v>6365</v>
      </c>
    </row>
    <row r="1164" spans="1:37" s="23" customFormat="1">
      <c r="A1164" s="19" t="str">
        <f>VLOOKUP(H1164,Languages!$A$2:$B$430,2,FALSE)</f>
        <v>Indo-European</v>
      </c>
      <c r="B1164" s="19" t="s">
        <v>1750</v>
      </c>
      <c r="C1164" s="19" t="s">
        <v>154</v>
      </c>
      <c r="D1164" s="19" t="s">
        <v>6412</v>
      </c>
      <c r="E1164" s="20" t="s">
        <v>239</v>
      </c>
      <c r="F1164" s="20" t="s">
        <v>239</v>
      </c>
      <c r="G1164" s="19" t="s">
        <v>239</v>
      </c>
      <c r="H1164" s="19" t="str">
        <f>VLOOKUP(G1164,'languoid 4.0'!$A$1:$I$24439,2,FALSE)</f>
        <v>indo1319</v>
      </c>
      <c r="I1164" s="19" t="str">
        <f>VLOOKUP(G1164,'languoid 4.0'!$A$1:$I$24439,6,FALSE)</f>
        <v>language</v>
      </c>
      <c r="J1164" s="20" t="s">
        <v>38</v>
      </c>
      <c r="K1164" s="20" t="s">
        <v>38</v>
      </c>
      <c r="L1164" s="20" t="s">
        <v>38</v>
      </c>
      <c r="M1164" s="19"/>
      <c r="N1164" s="19" t="s">
        <v>269</v>
      </c>
      <c r="O1164" s="20" t="s">
        <v>40</v>
      </c>
      <c r="P1164" s="20" t="s">
        <v>41</v>
      </c>
      <c r="Q1164" s="19" t="s">
        <v>6626</v>
      </c>
      <c r="R1164" s="21" t="s">
        <v>6622</v>
      </c>
      <c r="S1164" s="19" t="s">
        <v>6016</v>
      </c>
      <c r="T1164" s="19" t="s">
        <v>6428</v>
      </c>
      <c r="U1164" s="19" t="s">
        <v>636</v>
      </c>
      <c r="V1164" s="19" t="s">
        <v>45</v>
      </c>
      <c r="W1164" s="19"/>
      <c r="X1164" s="19"/>
      <c r="Y1164" s="19"/>
      <c r="Z1164" s="19" t="s">
        <v>1893</v>
      </c>
      <c r="AA1164" s="19" t="s">
        <v>46</v>
      </c>
      <c r="AB1164" s="19" t="s">
        <v>46</v>
      </c>
      <c r="AC1164" s="19" t="s">
        <v>6627</v>
      </c>
      <c r="AD1164" s="19"/>
      <c r="AE1164" s="19" t="s">
        <v>641</v>
      </c>
      <c r="AF1164" s="19" t="s">
        <v>190</v>
      </c>
      <c r="AG1164" s="19">
        <v>5</v>
      </c>
      <c r="AH1164" s="19" t="s">
        <v>190</v>
      </c>
      <c r="AI1164" s="19"/>
      <c r="AJ1164" s="19" t="s">
        <v>6628</v>
      </c>
      <c r="AK1164" s="19" t="s">
        <v>6365</v>
      </c>
    </row>
    <row r="1165" spans="1:37" s="23" customFormat="1">
      <c r="A1165" s="19" t="str">
        <f>VLOOKUP(H1165,Languages!$A$2:$B$430,2,FALSE)</f>
        <v>Indo-European</v>
      </c>
      <c r="B1165" s="19" t="s">
        <v>1750</v>
      </c>
      <c r="C1165" s="19" t="s">
        <v>154</v>
      </c>
      <c r="D1165" s="19" t="s">
        <v>6412</v>
      </c>
      <c r="E1165" s="20" t="s">
        <v>239</v>
      </c>
      <c r="F1165" s="20" t="s">
        <v>239</v>
      </c>
      <c r="G1165" s="19" t="s">
        <v>239</v>
      </c>
      <c r="H1165" s="19" t="str">
        <f>VLOOKUP(G1165,'languoid 4.0'!$A$1:$I$24439,2,FALSE)</f>
        <v>indo1319</v>
      </c>
      <c r="I1165" s="19" t="str">
        <f>VLOOKUP(G1165,'languoid 4.0'!$A$1:$I$24439,6,FALSE)</f>
        <v>language</v>
      </c>
      <c r="J1165" s="20" t="s">
        <v>38</v>
      </c>
      <c r="K1165" s="20" t="s">
        <v>38</v>
      </c>
      <c r="L1165" s="20" t="s">
        <v>38</v>
      </c>
      <c r="M1165" s="19"/>
      <c r="N1165" s="19" t="s">
        <v>269</v>
      </c>
      <c r="O1165" s="20" t="s">
        <v>40</v>
      </c>
      <c r="P1165" s="20" t="s">
        <v>41</v>
      </c>
      <c r="Q1165" s="19" t="s">
        <v>6629</v>
      </c>
      <c r="R1165" s="21" t="s">
        <v>6622</v>
      </c>
      <c r="S1165" s="19" t="s">
        <v>6414</v>
      </c>
      <c r="T1165" s="19" t="s">
        <v>6428</v>
      </c>
      <c r="U1165" s="19" t="s">
        <v>6467</v>
      </c>
      <c r="V1165" s="19" t="s">
        <v>45</v>
      </c>
      <c r="W1165" s="19"/>
      <c r="X1165" s="19"/>
      <c r="Y1165" s="19"/>
      <c r="Z1165" s="19" t="s">
        <v>1151</v>
      </c>
      <c r="AA1165" s="19" t="s">
        <v>46</v>
      </c>
      <c r="AB1165" s="19" t="s">
        <v>6630</v>
      </c>
      <c r="AC1165" s="19" t="s">
        <v>6631</v>
      </c>
      <c r="AD1165" s="19"/>
      <c r="AE1165" s="19" t="s">
        <v>641</v>
      </c>
      <c r="AF1165" s="19" t="s">
        <v>190</v>
      </c>
      <c r="AG1165" s="19">
        <v>6</v>
      </c>
      <c r="AH1165" s="19" t="s">
        <v>190</v>
      </c>
      <c r="AI1165" s="19"/>
      <c r="AJ1165" s="19" t="s">
        <v>6632</v>
      </c>
      <c r="AK1165" s="19" t="s">
        <v>6365</v>
      </c>
    </row>
    <row r="1166" spans="1:37" s="23" customFormat="1">
      <c r="A1166" s="19" t="str">
        <f>VLOOKUP(H1166,Languages!$A$2:$B$430,2,FALSE)</f>
        <v>Indo-European</v>
      </c>
      <c r="B1166" s="19" t="s">
        <v>1750</v>
      </c>
      <c r="C1166" s="19" t="s">
        <v>4965</v>
      </c>
      <c r="D1166" s="19" t="s">
        <v>8374</v>
      </c>
      <c r="E1166" s="20" t="s">
        <v>4619</v>
      </c>
      <c r="F1166" s="20" t="s">
        <v>4619</v>
      </c>
      <c r="G1166" s="19" t="s">
        <v>4619</v>
      </c>
      <c r="H1166" s="19" t="str">
        <f>VLOOKUP(G1166,'languoid 4.0'!$A$1:$I$24439,2,FALSE)</f>
        <v>indo1319</v>
      </c>
      <c r="I1166" s="19" t="str">
        <f>VLOOKUP(G1166,'languoid 4.0'!$A$1:$I$24439,6,FALSE)</f>
        <v>language</v>
      </c>
      <c r="J1166" s="20" t="s">
        <v>38</v>
      </c>
      <c r="K1166" s="20" t="s">
        <v>38</v>
      </c>
      <c r="L1166" s="20" t="s">
        <v>38</v>
      </c>
      <c r="M1166" s="19"/>
      <c r="N1166" s="19" t="s">
        <v>4620</v>
      </c>
      <c r="O1166" s="20" t="s">
        <v>40</v>
      </c>
      <c r="P1166" s="20" t="s">
        <v>41</v>
      </c>
      <c r="Q1166" s="19" t="s">
        <v>8375</v>
      </c>
      <c r="R1166" s="21" t="s">
        <v>8376</v>
      </c>
      <c r="S1166" s="19" t="s">
        <v>399</v>
      </c>
      <c r="T1166" s="19" t="s">
        <v>657</v>
      </c>
      <c r="U1166" s="19" t="s">
        <v>636</v>
      </c>
      <c r="V1166" s="19" t="s">
        <v>45</v>
      </c>
      <c r="W1166" s="19"/>
      <c r="X1166" s="19"/>
      <c r="Y1166" s="19"/>
      <c r="Z1166" s="19" t="s">
        <v>658</v>
      </c>
      <c r="AA1166" s="19" t="s">
        <v>8377</v>
      </c>
      <c r="AB1166" s="19" t="s">
        <v>46</v>
      </c>
      <c r="AC1166" s="19" t="s">
        <v>46</v>
      </c>
      <c r="AD1166" s="19"/>
      <c r="AE1166" s="19" t="s">
        <v>641</v>
      </c>
      <c r="AF1166" s="19" t="s">
        <v>190</v>
      </c>
      <c r="AG1166" s="19">
        <v>6</v>
      </c>
      <c r="AH1166" s="19" t="s">
        <v>190</v>
      </c>
      <c r="AI1166" s="19"/>
      <c r="AJ1166" s="19" t="s">
        <v>8378</v>
      </c>
      <c r="AK1166" s="19" t="s">
        <v>4975</v>
      </c>
    </row>
    <row r="1167" spans="1:37" s="23" customFormat="1">
      <c r="A1167" s="19" t="str">
        <f>VLOOKUP(H1167,Languages!$A$2:$B$430,2,FALSE)</f>
        <v>Indo-European</v>
      </c>
      <c r="B1167" s="19" t="s">
        <v>1750</v>
      </c>
      <c r="C1167" s="19" t="s">
        <v>4965</v>
      </c>
      <c r="D1167" s="19" t="s">
        <v>8393</v>
      </c>
      <c r="E1167" s="20" t="s">
        <v>4619</v>
      </c>
      <c r="F1167" s="20" t="s">
        <v>4619</v>
      </c>
      <c r="G1167" s="19" t="s">
        <v>4619</v>
      </c>
      <c r="H1167" s="19" t="str">
        <f>VLOOKUP(G1167,'languoid 4.0'!$A$1:$I$24439,2,FALSE)</f>
        <v>indo1319</v>
      </c>
      <c r="I1167" s="19" t="str">
        <f>VLOOKUP(G1167,'languoid 4.0'!$A$1:$I$24439,6,FALSE)</f>
        <v>language</v>
      </c>
      <c r="J1167" s="20" t="s">
        <v>38</v>
      </c>
      <c r="K1167" s="20" t="s">
        <v>38</v>
      </c>
      <c r="L1167" s="20" t="s">
        <v>38</v>
      </c>
      <c r="M1167" s="19"/>
      <c r="N1167" s="19" t="s">
        <v>4620</v>
      </c>
      <c r="O1167" s="20" t="s">
        <v>40</v>
      </c>
      <c r="P1167" s="20" t="s">
        <v>41</v>
      </c>
      <c r="Q1167" s="19" t="s">
        <v>8394</v>
      </c>
      <c r="R1167" s="21" t="s">
        <v>8395</v>
      </c>
      <c r="S1167" s="19" t="s">
        <v>656</v>
      </c>
      <c r="T1167" s="19" t="s">
        <v>657</v>
      </c>
      <c r="U1167" s="19" t="s">
        <v>109</v>
      </c>
      <c r="V1167" s="19" t="s">
        <v>45</v>
      </c>
      <c r="W1167" s="19"/>
      <c r="X1167" s="19"/>
      <c r="Y1167" s="19"/>
      <c r="Z1167" s="19" t="s">
        <v>658</v>
      </c>
      <c r="AA1167" s="19" t="s">
        <v>8396</v>
      </c>
      <c r="AB1167" s="19" t="s">
        <v>46</v>
      </c>
      <c r="AC1167" s="19" t="s">
        <v>46</v>
      </c>
      <c r="AD1167" s="19"/>
      <c r="AE1167" s="19" t="s">
        <v>641</v>
      </c>
      <c r="AF1167" s="19" t="s">
        <v>190</v>
      </c>
      <c r="AG1167" s="19">
        <v>6</v>
      </c>
      <c r="AH1167" s="19" t="s">
        <v>190</v>
      </c>
      <c r="AI1167" s="19"/>
      <c r="AJ1167" s="19" t="s">
        <v>8397</v>
      </c>
      <c r="AK1167" s="19" t="s">
        <v>4975</v>
      </c>
    </row>
    <row r="1168" spans="1:37" s="23" customFormat="1">
      <c r="A1168" s="19" t="str">
        <f>VLOOKUP(H1168,Languages!$A$2:$B$430,2,FALSE)</f>
        <v>Indo-European</v>
      </c>
      <c r="B1168" s="19" t="s">
        <v>1750</v>
      </c>
      <c r="C1168" s="19" t="s">
        <v>10200</v>
      </c>
      <c r="D1168" s="19" t="s">
        <v>10501</v>
      </c>
      <c r="E1168" s="20" t="s">
        <v>10209</v>
      </c>
      <c r="F1168" s="20" t="s">
        <v>10502</v>
      </c>
      <c r="G1168" s="19" t="s">
        <v>10502</v>
      </c>
      <c r="H1168" s="19" t="str">
        <f>VLOOKUP(G1168,'languoid 4.0'!$A$1:$I$24439,2,FALSE)</f>
        <v>indo1319</v>
      </c>
      <c r="I1168" s="19" t="str">
        <f>VLOOKUP(G1168,'languoid 4.0'!$A$1:$I$24439,6,FALSE)</f>
        <v>language</v>
      </c>
      <c r="J1168" s="20" t="s">
        <v>52</v>
      </c>
      <c r="K1168" s="20" t="s">
        <v>52</v>
      </c>
      <c r="L1168" s="20" t="s">
        <v>38</v>
      </c>
      <c r="M1168" s="19"/>
      <c r="N1168" s="19" t="s">
        <v>10256</v>
      </c>
      <c r="O1168" s="20" t="s">
        <v>40</v>
      </c>
      <c r="P1168" s="20" t="s">
        <v>41</v>
      </c>
      <c r="Q1168" s="19" t="s">
        <v>10503</v>
      </c>
      <c r="R1168" s="21" t="s">
        <v>10504</v>
      </c>
      <c r="S1168" s="19" t="s">
        <v>46</v>
      </c>
      <c r="T1168" s="19" t="s">
        <v>635</v>
      </c>
      <c r="U1168" s="19" t="s">
        <v>636</v>
      </c>
      <c r="V1168" s="19" t="s">
        <v>45</v>
      </c>
      <c r="W1168" s="19"/>
      <c r="X1168" s="19"/>
      <c r="Y1168" s="19"/>
      <c r="Z1168" s="19" t="s">
        <v>673</v>
      </c>
      <c r="AA1168" s="19" t="s">
        <v>46</v>
      </c>
      <c r="AB1168" s="19" t="s">
        <v>10505</v>
      </c>
      <c r="AC1168" s="19" t="s">
        <v>46</v>
      </c>
      <c r="AD1168" s="19"/>
      <c r="AE1168" s="19" t="s">
        <v>641</v>
      </c>
      <c r="AF1168" s="19" t="s">
        <v>190</v>
      </c>
      <c r="AG1168" s="19">
        <v>6</v>
      </c>
      <c r="AH1168" s="19" t="s">
        <v>190</v>
      </c>
      <c r="AI1168" s="19"/>
      <c r="AJ1168" s="19" t="s">
        <v>10506</v>
      </c>
      <c r="AK1168" s="19" t="s">
        <v>4945</v>
      </c>
    </row>
    <row r="1169" spans="1:37" s="23" customFormat="1">
      <c r="A1169" s="19" t="str">
        <f>VLOOKUP(H1169,Languages!$A$2:$B$430,2,FALSE)</f>
        <v>Indo-European</v>
      </c>
      <c r="B1169" s="19" t="s">
        <v>1750</v>
      </c>
      <c r="C1169" s="19" t="s">
        <v>407</v>
      </c>
      <c r="D1169" s="19" t="s">
        <v>11146</v>
      </c>
      <c r="E1169" s="20" t="s">
        <v>239</v>
      </c>
      <c r="F1169" s="20" t="s">
        <v>239</v>
      </c>
      <c r="G1169" s="19" t="s">
        <v>239</v>
      </c>
      <c r="H1169" s="19" t="str">
        <f>VLOOKUP(G1169,'languoid 4.0'!$A$1:$I$24439,2,FALSE)</f>
        <v>indo1319</v>
      </c>
      <c r="I1169" s="19" t="str">
        <f>VLOOKUP(G1169,'languoid 4.0'!$A$1:$I$24439,6,FALSE)</f>
        <v>language</v>
      </c>
      <c r="J1169" s="20" t="s">
        <v>38</v>
      </c>
      <c r="K1169" s="20" t="s">
        <v>38</v>
      </c>
      <c r="L1169" s="20" t="s">
        <v>38</v>
      </c>
      <c r="M1169" s="19"/>
      <c r="N1169" s="19" t="s">
        <v>269</v>
      </c>
      <c r="O1169" s="20" t="s">
        <v>40</v>
      </c>
      <c r="P1169" s="20" t="s">
        <v>41</v>
      </c>
      <c r="Q1169" s="19" t="s">
        <v>11147</v>
      </c>
      <c r="R1169" s="21" t="s">
        <v>11148</v>
      </c>
      <c r="S1169" s="19" t="s">
        <v>372</v>
      </c>
      <c r="T1169" s="19" t="s">
        <v>657</v>
      </c>
      <c r="U1169" s="19" t="s">
        <v>636</v>
      </c>
      <c r="V1169" s="19" t="s">
        <v>45</v>
      </c>
      <c r="W1169" s="19"/>
      <c r="X1169" s="19"/>
      <c r="Y1169" s="19"/>
      <c r="Z1169" s="19" t="s">
        <v>887</v>
      </c>
      <c r="AA1169" s="19" t="s">
        <v>46</v>
      </c>
      <c r="AB1169" s="19" t="s">
        <v>46</v>
      </c>
      <c r="AC1169" s="19" t="s">
        <v>11149</v>
      </c>
      <c r="AD1169" s="19"/>
      <c r="AE1169" s="19" t="s">
        <v>641</v>
      </c>
      <c r="AF1169" s="19" t="s">
        <v>190</v>
      </c>
      <c r="AG1169" s="19">
        <v>6</v>
      </c>
      <c r="AH1169" s="19" t="s">
        <v>190</v>
      </c>
      <c r="AI1169" s="19"/>
      <c r="AJ1169" s="19" t="s">
        <v>11150</v>
      </c>
      <c r="AK1169" s="19" t="s">
        <v>4386</v>
      </c>
    </row>
    <row r="1170" spans="1:37" s="23" customFormat="1">
      <c r="A1170" s="19" t="str">
        <f>VLOOKUP(H1170,Languages!$A$2:$B$430,2,FALSE)</f>
        <v>Indo-European</v>
      </c>
      <c r="B1170" s="19" t="s">
        <v>1750</v>
      </c>
      <c r="C1170" s="19" t="s">
        <v>407</v>
      </c>
      <c r="D1170" s="19" t="s">
        <v>11151</v>
      </c>
      <c r="E1170" s="20" t="s">
        <v>239</v>
      </c>
      <c r="F1170" s="20" t="s">
        <v>239</v>
      </c>
      <c r="G1170" s="19" t="s">
        <v>239</v>
      </c>
      <c r="H1170" s="19" t="str">
        <f>VLOOKUP(G1170,'languoid 4.0'!$A$1:$I$24439,2,FALSE)</f>
        <v>indo1319</v>
      </c>
      <c r="I1170" s="19" t="str">
        <f>VLOOKUP(G1170,'languoid 4.0'!$A$1:$I$24439,6,FALSE)</f>
        <v>language</v>
      </c>
      <c r="J1170" s="20" t="s">
        <v>38</v>
      </c>
      <c r="K1170" s="20" t="s">
        <v>38</v>
      </c>
      <c r="L1170" s="20" t="s">
        <v>38</v>
      </c>
      <c r="M1170" s="19"/>
      <c r="N1170" s="19" t="s">
        <v>269</v>
      </c>
      <c r="O1170" s="20" t="s">
        <v>40</v>
      </c>
      <c r="P1170" s="20" t="s">
        <v>41</v>
      </c>
      <c r="Q1170" s="19" t="s">
        <v>11152</v>
      </c>
      <c r="R1170" s="21" t="s">
        <v>11148</v>
      </c>
      <c r="S1170" s="19" t="s">
        <v>2714</v>
      </c>
      <c r="T1170" s="19" t="s">
        <v>657</v>
      </c>
      <c r="U1170" s="19" t="s">
        <v>636</v>
      </c>
      <c r="V1170" s="19" t="s">
        <v>45</v>
      </c>
      <c r="W1170" s="19"/>
      <c r="X1170" s="19"/>
      <c r="Y1170" s="19"/>
      <c r="Z1170" s="19" t="s">
        <v>887</v>
      </c>
      <c r="AA1170" s="19" t="s">
        <v>46</v>
      </c>
      <c r="AB1170" s="19" t="s">
        <v>46</v>
      </c>
      <c r="AC1170" s="19" t="s">
        <v>11153</v>
      </c>
      <c r="AD1170" s="19"/>
      <c r="AE1170" s="19" t="s">
        <v>641</v>
      </c>
      <c r="AF1170" s="19" t="s">
        <v>190</v>
      </c>
      <c r="AG1170" s="19">
        <v>6</v>
      </c>
      <c r="AH1170" s="19" t="s">
        <v>190</v>
      </c>
      <c r="AI1170" s="19"/>
      <c r="AJ1170" s="19" t="s">
        <v>11154</v>
      </c>
      <c r="AK1170" s="19" t="s">
        <v>4386</v>
      </c>
    </row>
    <row r="1171" spans="1:37" s="23" customFormat="1">
      <c r="A1171" s="19" t="str">
        <f>VLOOKUP(H1171,Languages!$A$2:$B$430,2,FALSE)</f>
        <v>Indo-European</v>
      </c>
      <c r="B1171" s="19" t="s">
        <v>1750</v>
      </c>
      <c r="C1171" s="19" t="s">
        <v>407</v>
      </c>
      <c r="D1171" s="19" t="s">
        <v>11151</v>
      </c>
      <c r="E1171" s="20" t="s">
        <v>239</v>
      </c>
      <c r="F1171" s="20" t="s">
        <v>239</v>
      </c>
      <c r="G1171" s="19" t="s">
        <v>239</v>
      </c>
      <c r="H1171" s="19" t="str">
        <f>VLOOKUP(G1171,'languoid 4.0'!$A$1:$I$24439,2,FALSE)</f>
        <v>indo1319</v>
      </c>
      <c r="I1171" s="19" t="str">
        <f>VLOOKUP(G1171,'languoid 4.0'!$A$1:$I$24439,6,FALSE)</f>
        <v>language</v>
      </c>
      <c r="J1171" s="20" t="s">
        <v>38</v>
      </c>
      <c r="K1171" s="20" t="s">
        <v>38</v>
      </c>
      <c r="L1171" s="20" t="s">
        <v>38</v>
      </c>
      <c r="M1171" s="19"/>
      <c r="N1171" s="19" t="s">
        <v>269</v>
      </c>
      <c r="O1171" s="20" t="s">
        <v>40</v>
      </c>
      <c r="P1171" s="20" t="s">
        <v>41</v>
      </c>
      <c r="Q1171" s="19" t="s">
        <v>11155</v>
      </c>
      <c r="R1171" s="21" t="s">
        <v>11148</v>
      </c>
      <c r="S1171" s="19" t="s">
        <v>523</v>
      </c>
      <c r="T1171" s="19" t="s">
        <v>657</v>
      </c>
      <c r="U1171" s="19" t="s">
        <v>636</v>
      </c>
      <c r="V1171" s="19" t="s">
        <v>45</v>
      </c>
      <c r="W1171" s="19"/>
      <c r="X1171" s="19"/>
      <c r="Y1171" s="19"/>
      <c r="Z1171" s="19" t="s">
        <v>887</v>
      </c>
      <c r="AA1171" s="19" t="s">
        <v>46</v>
      </c>
      <c r="AB1171" s="19" t="s">
        <v>46</v>
      </c>
      <c r="AC1171" s="19" t="s">
        <v>11156</v>
      </c>
      <c r="AD1171" s="19"/>
      <c r="AE1171" s="19" t="s">
        <v>641</v>
      </c>
      <c r="AF1171" s="19" t="s">
        <v>190</v>
      </c>
      <c r="AG1171" s="19">
        <v>6</v>
      </c>
      <c r="AH1171" s="19" t="s">
        <v>190</v>
      </c>
      <c r="AI1171" s="19"/>
      <c r="AJ1171" s="19" t="s">
        <v>11157</v>
      </c>
      <c r="AK1171" s="19" t="s">
        <v>4386</v>
      </c>
    </row>
    <row r="1172" spans="1:37" s="23" customFormat="1">
      <c r="A1172" s="19" t="str">
        <f>VLOOKUP(H1172,Languages!$A$2:$B$430,2,FALSE)</f>
        <v>Indo-European</v>
      </c>
      <c r="B1172" s="19" t="s">
        <v>1750</v>
      </c>
      <c r="C1172" s="19" t="s">
        <v>159</v>
      </c>
      <c r="D1172" s="19" t="s">
        <v>4790</v>
      </c>
      <c r="E1172" s="20" t="s">
        <v>161</v>
      </c>
      <c r="F1172" s="20" t="s">
        <v>161</v>
      </c>
      <c r="G1172" s="19" t="s">
        <v>161</v>
      </c>
      <c r="H1172" s="19" t="str">
        <f>VLOOKUP(G1172,'languoid 4.0'!$A$1:$I$24439,2,FALSE)</f>
        <v>indo1319</v>
      </c>
      <c r="I1172" s="19" t="str">
        <f>VLOOKUP(G1172,'languoid 4.0'!$A$1:$I$24439,6,FALSE)</f>
        <v>family</v>
      </c>
      <c r="J1172" s="20" t="s">
        <v>38</v>
      </c>
      <c r="K1172" s="20" t="s">
        <v>38</v>
      </c>
      <c r="L1172" s="20" t="s">
        <v>38</v>
      </c>
      <c r="M1172" s="19"/>
      <c r="N1172" s="19" t="s">
        <v>162</v>
      </c>
      <c r="O1172" s="20" t="s">
        <v>113</v>
      </c>
      <c r="P1172" s="20" t="s">
        <v>41</v>
      </c>
      <c r="Q1172" s="19" t="s">
        <v>4801</v>
      </c>
      <c r="R1172" s="21" t="s">
        <v>4802</v>
      </c>
      <c r="S1172" s="19" t="s">
        <v>399</v>
      </c>
      <c r="T1172" s="19" t="s">
        <v>657</v>
      </c>
      <c r="U1172" s="19" t="s">
        <v>636</v>
      </c>
      <c r="V1172" s="19" t="s">
        <v>45</v>
      </c>
      <c r="W1172" s="19"/>
      <c r="X1172" s="19"/>
      <c r="Y1172" s="19"/>
      <c r="Z1172" s="19" t="s">
        <v>658</v>
      </c>
      <c r="AA1172" s="19" t="s">
        <v>4803</v>
      </c>
      <c r="AB1172" s="19" t="s">
        <v>46</v>
      </c>
      <c r="AC1172" s="19" t="s">
        <v>46</v>
      </c>
      <c r="AD1172" s="19"/>
      <c r="AE1172" s="19" t="s">
        <v>641</v>
      </c>
      <c r="AF1172" s="19" t="s">
        <v>190</v>
      </c>
      <c r="AG1172" s="19">
        <v>6</v>
      </c>
      <c r="AH1172" s="19" t="s">
        <v>190</v>
      </c>
      <c r="AI1172" s="19"/>
      <c r="AJ1172" s="22">
        <v>43410.678344907406</v>
      </c>
      <c r="AK1172" s="19" t="s">
        <v>4608</v>
      </c>
    </row>
    <row r="1173" spans="1:37" s="23" customFormat="1">
      <c r="A1173" s="19" t="str">
        <f>VLOOKUP(H1173,Languages!$A$2:$B$430,2,FALSE)</f>
        <v>Indo-European</v>
      </c>
      <c r="B1173" s="19" t="s">
        <v>1750</v>
      </c>
      <c r="C1173" s="19" t="s">
        <v>101</v>
      </c>
      <c r="D1173" s="19" t="s">
        <v>9966</v>
      </c>
      <c r="E1173" s="20" t="s">
        <v>239</v>
      </c>
      <c r="F1173" s="20" t="s">
        <v>239</v>
      </c>
      <c r="G1173" s="19" t="s">
        <v>239</v>
      </c>
      <c r="H1173" s="19" t="str">
        <f>VLOOKUP(G1173,'languoid 4.0'!$A$1:$I$24439,2,FALSE)</f>
        <v>indo1319</v>
      </c>
      <c r="I1173" s="19" t="str">
        <f>VLOOKUP(G1173,'languoid 4.0'!$A$1:$I$24439,6,FALSE)</f>
        <v>language</v>
      </c>
      <c r="J1173" s="20" t="s">
        <v>38</v>
      </c>
      <c r="K1173" s="20" t="s">
        <v>38</v>
      </c>
      <c r="L1173" s="20" t="s">
        <v>38</v>
      </c>
      <c r="M1173" s="19"/>
      <c r="N1173" s="19" t="s">
        <v>269</v>
      </c>
      <c r="O1173" s="20" t="s">
        <v>40</v>
      </c>
      <c r="P1173" s="20" t="s">
        <v>41</v>
      </c>
      <c r="Q1173" s="19" t="s">
        <v>9967</v>
      </c>
      <c r="R1173" s="21" t="s">
        <v>9968</v>
      </c>
      <c r="S1173" s="19" t="s">
        <v>46</v>
      </c>
      <c r="T1173" s="19" t="s">
        <v>9969</v>
      </c>
      <c r="U1173" s="19" t="s">
        <v>1812</v>
      </c>
      <c r="V1173" s="19" t="s">
        <v>45</v>
      </c>
      <c r="W1173" s="19"/>
      <c r="X1173" s="19"/>
      <c r="Y1173" s="19"/>
      <c r="Z1173" s="19" t="s">
        <v>1151</v>
      </c>
      <c r="AA1173" s="19" t="s">
        <v>46</v>
      </c>
      <c r="AB1173" s="19" t="s">
        <v>9970</v>
      </c>
      <c r="AC1173" s="19" t="s">
        <v>9971</v>
      </c>
      <c r="AD1173" s="19"/>
      <c r="AE1173" s="19" t="s">
        <v>641</v>
      </c>
      <c r="AF1173" s="19" t="s">
        <v>190</v>
      </c>
      <c r="AG1173" s="19"/>
      <c r="AH1173" s="19" t="s">
        <v>45</v>
      </c>
      <c r="AI1173" s="19"/>
      <c r="AJ1173" s="19" t="s">
        <v>9972</v>
      </c>
      <c r="AK1173" s="19" t="s">
        <v>9565</v>
      </c>
    </row>
    <row r="1174" spans="1:37" s="23" customFormat="1">
      <c r="A1174" s="19" t="str">
        <f>VLOOKUP(H1174,Languages!$A$2:$B$430,2,FALSE)</f>
        <v>Indo-European</v>
      </c>
      <c r="B1174" s="19" t="s">
        <v>1750</v>
      </c>
      <c r="C1174" s="19" t="s">
        <v>101</v>
      </c>
      <c r="D1174" s="19" t="s">
        <v>9973</v>
      </c>
      <c r="E1174" s="20" t="s">
        <v>239</v>
      </c>
      <c r="F1174" s="20" t="s">
        <v>239</v>
      </c>
      <c r="G1174" s="19" t="s">
        <v>239</v>
      </c>
      <c r="H1174" s="19" t="str">
        <f>VLOOKUP(G1174,'languoid 4.0'!$A$1:$I$24439,2,FALSE)</f>
        <v>indo1319</v>
      </c>
      <c r="I1174" s="19" t="str">
        <f>VLOOKUP(G1174,'languoid 4.0'!$A$1:$I$24439,6,FALSE)</f>
        <v>language</v>
      </c>
      <c r="J1174" s="20" t="s">
        <v>38</v>
      </c>
      <c r="K1174" s="20" t="s">
        <v>38</v>
      </c>
      <c r="L1174" s="20" t="s">
        <v>38</v>
      </c>
      <c r="M1174" s="19"/>
      <c r="N1174" s="19" t="s">
        <v>269</v>
      </c>
      <c r="O1174" s="20" t="s">
        <v>40</v>
      </c>
      <c r="P1174" s="20" t="s">
        <v>41</v>
      </c>
      <c r="Q1174" s="19" t="s">
        <v>9978</v>
      </c>
      <c r="R1174" s="21" t="s">
        <v>9968</v>
      </c>
      <c r="S1174" s="19" t="s">
        <v>46</v>
      </c>
      <c r="T1174" s="19" t="s">
        <v>9979</v>
      </c>
      <c r="U1174" s="19" t="s">
        <v>1812</v>
      </c>
      <c r="V1174" s="19" t="s">
        <v>45</v>
      </c>
      <c r="W1174" s="19"/>
      <c r="X1174" s="19"/>
      <c r="Y1174" s="19"/>
      <c r="Z1174" s="19" t="s">
        <v>1151</v>
      </c>
      <c r="AA1174" s="19" t="s">
        <v>46</v>
      </c>
      <c r="AB1174" s="19" t="s">
        <v>9980</v>
      </c>
      <c r="AC1174" s="19" t="s">
        <v>9981</v>
      </c>
      <c r="AD1174" s="19"/>
      <c r="AE1174" s="19" t="s">
        <v>641</v>
      </c>
      <c r="AF1174" s="19" t="s">
        <v>190</v>
      </c>
      <c r="AG1174" s="19"/>
      <c r="AH1174" s="19" t="s">
        <v>45</v>
      </c>
      <c r="AI1174" s="19"/>
      <c r="AJ1174" s="19" t="s">
        <v>9982</v>
      </c>
      <c r="AK1174" s="19" t="s">
        <v>9565</v>
      </c>
    </row>
    <row r="1175" spans="1:37" s="23" customFormat="1">
      <c r="A1175" s="19" t="str">
        <f>VLOOKUP(H1175,Languages!$A$2:$B$430,2,FALSE)</f>
        <v>Indo-European</v>
      </c>
      <c r="B1175" s="19" t="s">
        <v>1750</v>
      </c>
      <c r="C1175" s="19" t="s">
        <v>419</v>
      </c>
      <c r="D1175" s="19" t="s">
        <v>9280</v>
      </c>
      <c r="E1175" s="20" t="s">
        <v>239</v>
      </c>
      <c r="F1175" s="20" t="s">
        <v>239</v>
      </c>
      <c r="G1175" s="19" t="s">
        <v>239</v>
      </c>
      <c r="H1175" s="19" t="str">
        <f>VLOOKUP(G1175,'languoid 4.0'!$A$1:$I$24439,2,FALSE)</f>
        <v>indo1319</v>
      </c>
      <c r="I1175" s="19" t="str">
        <f>VLOOKUP(G1175,'languoid 4.0'!$A$1:$I$24439,6,FALSE)</f>
        <v>language</v>
      </c>
      <c r="J1175" s="20" t="s">
        <v>38</v>
      </c>
      <c r="K1175" s="20" t="s">
        <v>38</v>
      </c>
      <c r="L1175" s="20" t="s">
        <v>38</v>
      </c>
      <c r="M1175" s="19"/>
      <c r="N1175" s="19" t="s">
        <v>269</v>
      </c>
      <c r="O1175" s="20" t="s">
        <v>40</v>
      </c>
      <c r="P1175" s="20" t="s">
        <v>41</v>
      </c>
      <c r="Q1175" s="19" t="s">
        <v>10346</v>
      </c>
      <c r="R1175" s="21" t="s">
        <v>10347</v>
      </c>
      <c r="S1175" s="19" t="s">
        <v>46</v>
      </c>
      <c r="T1175" s="19" t="s">
        <v>10348</v>
      </c>
      <c r="U1175" s="19" t="s">
        <v>636</v>
      </c>
      <c r="V1175" s="19" t="s">
        <v>45</v>
      </c>
      <c r="W1175" s="19"/>
      <c r="X1175" s="19"/>
      <c r="Y1175" s="19"/>
      <c r="Z1175" s="19" t="s">
        <v>1893</v>
      </c>
      <c r="AA1175" s="19" t="s">
        <v>10349</v>
      </c>
      <c r="AB1175" s="19" t="s">
        <v>46</v>
      </c>
      <c r="AC1175" s="19" t="s">
        <v>10350</v>
      </c>
      <c r="AD1175" s="19"/>
      <c r="AE1175" s="19"/>
      <c r="AF1175" s="19"/>
      <c r="AG1175" s="19"/>
      <c r="AH1175" s="19" t="s">
        <v>45</v>
      </c>
      <c r="AI1175" s="19" t="s">
        <v>10351</v>
      </c>
      <c r="AJ1175" s="19" t="s">
        <v>10352</v>
      </c>
      <c r="AK1175" s="19" t="s">
        <v>8989</v>
      </c>
    </row>
    <row r="1176" spans="1:37" s="23" customFormat="1">
      <c r="A1176" s="19" t="str">
        <f>VLOOKUP(H1176,Languages!$A$2:$B$430,2,FALSE)</f>
        <v>Indo-European</v>
      </c>
      <c r="B1176" s="19" t="s">
        <v>1750</v>
      </c>
      <c r="C1176" s="19" t="s">
        <v>419</v>
      </c>
      <c r="D1176" s="19" t="s">
        <v>10353</v>
      </c>
      <c r="E1176" s="20" t="s">
        <v>239</v>
      </c>
      <c r="F1176" s="20" t="s">
        <v>239</v>
      </c>
      <c r="G1176" s="19" t="s">
        <v>239</v>
      </c>
      <c r="H1176" s="19" t="str">
        <f>VLOOKUP(G1176,'languoid 4.0'!$A$1:$I$24439,2,FALSE)</f>
        <v>indo1319</v>
      </c>
      <c r="I1176" s="19" t="str">
        <f>VLOOKUP(G1176,'languoid 4.0'!$A$1:$I$24439,6,FALSE)</f>
        <v>language</v>
      </c>
      <c r="J1176" s="20" t="s">
        <v>38</v>
      </c>
      <c r="K1176" s="20" t="s">
        <v>38</v>
      </c>
      <c r="L1176" s="20" t="s">
        <v>38</v>
      </c>
      <c r="M1176" s="19"/>
      <c r="N1176" s="19" t="s">
        <v>269</v>
      </c>
      <c r="O1176" s="20" t="s">
        <v>40</v>
      </c>
      <c r="P1176" s="20" t="s">
        <v>41</v>
      </c>
      <c r="Q1176" s="19" t="s">
        <v>10354</v>
      </c>
      <c r="R1176" s="21" t="s">
        <v>10355</v>
      </c>
      <c r="S1176" s="19">
        <v>106</v>
      </c>
      <c r="T1176" s="19" t="s">
        <v>657</v>
      </c>
      <c r="U1176" s="19" t="s">
        <v>1812</v>
      </c>
      <c r="V1176" s="19" t="s">
        <v>45</v>
      </c>
      <c r="W1176" s="19"/>
      <c r="X1176" s="19"/>
      <c r="Y1176" s="19"/>
      <c r="Z1176" s="19" t="s">
        <v>673</v>
      </c>
      <c r="AA1176" s="19" t="s">
        <v>10356</v>
      </c>
      <c r="AB1176" s="19" t="s">
        <v>10357</v>
      </c>
      <c r="AC1176" s="19" t="s">
        <v>46</v>
      </c>
      <c r="AD1176" s="19"/>
      <c r="AE1176" s="19" t="s">
        <v>641</v>
      </c>
      <c r="AF1176" s="19" t="s">
        <v>190</v>
      </c>
      <c r="AG1176" s="19">
        <v>6</v>
      </c>
      <c r="AH1176" s="19" t="s">
        <v>190</v>
      </c>
      <c r="AI1176" s="19"/>
      <c r="AJ1176" s="19" t="s">
        <v>10358</v>
      </c>
      <c r="AK1176" s="19" t="s">
        <v>8989</v>
      </c>
    </row>
    <row r="1177" spans="1:37" s="23" customFormat="1">
      <c r="A1177" s="19" t="str">
        <f>VLOOKUP(H1177,Languages!$A$2:$B$430,2,FALSE)</f>
        <v>Indo-European</v>
      </c>
      <c r="B1177" s="19" t="s">
        <v>1750</v>
      </c>
      <c r="C1177" s="19" t="s">
        <v>419</v>
      </c>
      <c r="D1177" s="19" t="s">
        <v>10730</v>
      </c>
      <c r="E1177" s="20" t="s">
        <v>239</v>
      </c>
      <c r="F1177" s="20" t="s">
        <v>239</v>
      </c>
      <c r="G1177" s="19" t="s">
        <v>239</v>
      </c>
      <c r="H1177" s="19" t="str">
        <f>VLOOKUP(G1177,'languoid 4.0'!$A$1:$I$24439,2,FALSE)</f>
        <v>indo1319</v>
      </c>
      <c r="I1177" s="19" t="str">
        <f>VLOOKUP(G1177,'languoid 4.0'!$A$1:$I$24439,6,FALSE)</f>
        <v>language</v>
      </c>
      <c r="J1177" s="20" t="s">
        <v>38</v>
      </c>
      <c r="K1177" s="20" t="s">
        <v>38</v>
      </c>
      <c r="L1177" s="20" t="s">
        <v>38</v>
      </c>
      <c r="M1177" s="19"/>
      <c r="N1177" s="19" t="s">
        <v>269</v>
      </c>
      <c r="O1177" s="20" t="s">
        <v>40</v>
      </c>
      <c r="P1177" s="20" t="s">
        <v>41</v>
      </c>
      <c r="Q1177" s="19" t="s">
        <v>10731</v>
      </c>
      <c r="R1177" s="21" t="s">
        <v>10732</v>
      </c>
      <c r="S1177" s="19" t="s">
        <v>471</v>
      </c>
      <c r="T1177" s="19" t="s">
        <v>10733</v>
      </c>
      <c r="U1177" s="19" t="s">
        <v>636</v>
      </c>
      <c r="V1177" s="19" t="s">
        <v>45</v>
      </c>
      <c r="W1177" s="19"/>
      <c r="X1177" s="19"/>
      <c r="Y1177" s="19"/>
      <c r="Z1177" s="19" t="s">
        <v>673</v>
      </c>
      <c r="AA1177" s="19" t="s">
        <v>10734</v>
      </c>
      <c r="AB1177" s="19" t="s">
        <v>10735</v>
      </c>
      <c r="AC1177" s="19" t="s">
        <v>46</v>
      </c>
      <c r="AD1177" s="19" t="s">
        <v>10736</v>
      </c>
      <c r="AE1177" s="19" t="s">
        <v>641</v>
      </c>
      <c r="AF1177" s="19" t="s">
        <v>190</v>
      </c>
      <c r="AG1177" s="19">
        <v>6</v>
      </c>
      <c r="AH1177" s="19" t="s">
        <v>190</v>
      </c>
      <c r="AI1177" s="19"/>
      <c r="AJ1177" s="22">
        <v>43232.589872685188</v>
      </c>
      <c r="AK1177" s="19" t="s">
        <v>8989</v>
      </c>
    </row>
    <row r="1178" spans="1:37" s="23" customFormat="1">
      <c r="A1178" s="19" t="str">
        <f>VLOOKUP(H1178,Languages!$A$2:$B$430,2,FALSE)</f>
        <v>Indo-European</v>
      </c>
      <c r="B1178" s="19" t="s">
        <v>1750</v>
      </c>
      <c r="C1178" s="19" t="s">
        <v>249</v>
      </c>
      <c r="D1178" s="19" t="s">
        <v>11473</v>
      </c>
      <c r="E1178" s="20" t="s">
        <v>11474</v>
      </c>
      <c r="F1178" s="20" t="s">
        <v>11474</v>
      </c>
      <c r="G1178" s="19" t="s">
        <v>11474</v>
      </c>
      <c r="H1178" s="19" t="str">
        <f>VLOOKUP(G1178,'languoid 4.0'!$A$1:$I$24439,2,FALSE)</f>
        <v>indo1319</v>
      </c>
      <c r="I1178" s="19" t="str">
        <f>VLOOKUP(G1178,'languoid 4.0'!$A$1:$I$24439,6,FALSE)</f>
        <v>language</v>
      </c>
      <c r="J1178" s="20" t="s">
        <v>38</v>
      </c>
      <c r="K1178" s="20" t="s">
        <v>38</v>
      </c>
      <c r="L1178" s="20" t="s">
        <v>38</v>
      </c>
      <c r="M1178" s="19"/>
      <c r="N1178" s="19" t="s">
        <v>11475</v>
      </c>
      <c r="O1178" s="20" t="s">
        <v>40</v>
      </c>
      <c r="P1178" s="20" t="s">
        <v>41</v>
      </c>
      <c r="Q1178" s="19" t="s">
        <v>11476</v>
      </c>
      <c r="R1178" s="21" t="s">
        <v>11477</v>
      </c>
      <c r="S1178" s="19" t="s">
        <v>717</v>
      </c>
      <c r="T1178" s="19" t="s">
        <v>657</v>
      </c>
      <c r="U1178" s="19" t="s">
        <v>636</v>
      </c>
      <c r="V1178" s="19" t="s">
        <v>45</v>
      </c>
      <c r="W1178" s="19"/>
      <c r="X1178" s="19"/>
      <c r="Y1178" s="19"/>
      <c r="Z1178" s="19" t="s">
        <v>673</v>
      </c>
      <c r="AA1178" s="19" t="s">
        <v>11478</v>
      </c>
      <c r="AB1178" s="19" t="s">
        <v>46</v>
      </c>
      <c r="AC1178" s="19" t="s">
        <v>46</v>
      </c>
      <c r="AD1178" s="19"/>
      <c r="AE1178" s="19" t="s">
        <v>641</v>
      </c>
      <c r="AF1178" s="19" t="s">
        <v>190</v>
      </c>
      <c r="AG1178" s="19">
        <v>6</v>
      </c>
      <c r="AH1178" s="19" t="s">
        <v>190</v>
      </c>
      <c r="AI1178" s="19"/>
      <c r="AJ1178" s="22">
        <v>43525.041041666664</v>
      </c>
      <c r="AK1178" s="19" t="s">
        <v>5640</v>
      </c>
    </row>
    <row r="1179" spans="1:37" s="23" customFormat="1" ht="409.6">
      <c r="A1179" s="19" t="str">
        <f>VLOOKUP(H1179,Languages!$A$2:$B$430,2,FALSE)</f>
        <v>Indo-European</v>
      </c>
      <c r="B1179" s="19" t="s">
        <v>1750</v>
      </c>
      <c r="C1179" s="19" t="s">
        <v>249</v>
      </c>
      <c r="D1179" s="19" t="s">
        <v>11479</v>
      </c>
      <c r="E1179" s="20" t="s">
        <v>11480</v>
      </c>
      <c r="F1179" s="20" t="s">
        <v>11480</v>
      </c>
      <c r="G1179" s="19" t="s">
        <v>11480</v>
      </c>
      <c r="H1179" s="19" t="str">
        <f>VLOOKUP(G1179,'languoid 4.0'!$A$1:$I$24439,2,FALSE)</f>
        <v>indo1319</v>
      </c>
      <c r="I1179" s="19" t="str">
        <f>VLOOKUP(G1179,'languoid 4.0'!$A$1:$I$24439,6,FALSE)</f>
        <v>language</v>
      </c>
      <c r="J1179" s="20" t="s">
        <v>38</v>
      </c>
      <c r="K1179" s="20" t="s">
        <v>38</v>
      </c>
      <c r="L1179" s="20" t="s">
        <v>38</v>
      </c>
      <c r="M1179" s="19"/>
      <c r="N1179" s="19" t="s">
        <v>11481</v>
      </c>
      <c r="O1179" s="20" t="s">
        <v>40</v>
      </c>
      <c r="P1179" s="20" t="s">
        <v>41</v>
      </c>
      <c r="Q1179" s="19" t="s">
        <v>11487</v>
      </c>
      <c r="R1179" s="21" t="s">
        <v>11488</v>
      </c>
      <c r="S1179" s="19" t="s">
        <v>724</v>
      </c>
      <c r="T1179" s="19" t="s">
        <v>657</v>
      </c>
      <c r="U1179" s="19" t="s">
        <v>636</v>
      </c>
      <c r="V1179" s="19" t="s">
        <v>45</v>
      </c>
      <c r="W1179" s="19"/>
      <c r="X1179" s="19"/>
      <c r="Y1179" s="19"/>
      <c r="Z1179" s="19" t="s">
        <v>1151</v>
      </c>
      <c r="AA1179" s="19" t="s">
        <v>46</v>
      </c>
      <c r="AB1179" s="19" t="s">
        <v>46</v>
      </c>
      <c r="AC1179" s="28" t="s">
        <v>11489</v>
      </c>
      <c r="AD1179" s="19"/>
      <c r="AE1179" s="19" t="s">
        <v>641</v>
      </c>
      <c r="AF1179" s="19" t="s">
        <v>190</v>
      </c>
      <c r="AG1179" s="19">
        <v>6</v>
      </c>
      <c r="AH1179" s="19" t="s">
        <v>190</v>
      </c>
      <c r="AI1179" s="19"/>
      <c r="AJ1179" s="22">
        <v>43525.564120370371</v>
      </c>
      <c r="AK1179" s="19" t="s">
        <v>5640</v>
      </c>
    </row>
    <row r="1180" spans="1:37" s="23" customFormat="1">
      <c r="A1180" s="19" t="str">
        <f>VLOOKUP(H1180,Languages!$A$2:$B$430,2,FALSE)</f>
        <v>Indo-European</v>
      </c>
      <c r="B1180" s="19" t="s">
        <v>1750</v>
      </c>
      <c r="C1180" s="19" t="s">
        <v>124</v>
      </c>
      <c r="D1180" s="19" t="s">
        <v>184</v>
      </c>
      <c r="E1180" s="20" t="s">
        <v>51</v>
      </c>
      <c r="F1180" s="20" t="s">
        <v>186</v>
      </c>
      <c r="G1180" s="19" t="s">
        <v>187</v>
      </c>
      <c r="H1180" s="19" t="str">
        <f>VLOOKUP(G1180,'languoid 4.0'!$A$1:$I$24439,2,FALSE)</f>
        <v>indo1319</v>
      </c>
      <c r="I1180" s="19" t="str">
        <f>VLOOKUP(G1180,'languoid 4.0'!$A$1:$I$24439,6,FALSE)</f>
        <v>language</v>
      </c>
      <c r="J1180" s="20" t="s">
        <v>52</v>
      </c>
      <c r="K1180" s="20" t="s">
        <v>51</v>
      </c>
      <c r="L1180" s="20" t="s">
        <v>51</v>
      </c>
      <c r="M1180" s="19"/>
      <c r="N1180" s="19" t="e">
        <v>#N/A</v>
      </c>
      <c r="O1180" s="20" t="s">
        <v>690</v>
      </c>
      <c r="P1180" s="20"/>
      <c r="Q1180" s="19" t="s">
        <v>2231</v>
      </c>
      <c r="R1180" s="21" t="s">
        <v>2232</v>
      </c>
      <c r="S1180" s="19" t="s">
        <v>2233</v>
      </c>
      <c r="T1180" s="19" t="s">
        <v>635</v>
      </c>
      <c r="U1180" s="19" t="s">
        <v>636</v>
      </c>
      <c r="V1180" s="19" t="s">
        <v>45</v>
      </c>
      <c r="W1180" s="19"/>
      <c r="X1180" s="19"/>
      <c r="Y1180" s="19"/>
      <c r="Z1180" s="19" t="s">
        <v>658</v>
      </c>
      <c r="AA1180" s="19" t="s">
        <v>2234</v>
      </c>
      <c r="AB1180" s="19" t="s">
        <v>46</v>
      </c>
      <c r="AC1180" s="19" t="s">
        <v>46</v>
      </c>
      <c r="AD1180" s="19" t="s">
        <v>2235</v>
      </c>
      <c r="AE1180" s="19" t="s">
        <v>641</v>
      </c>
      <c r="AF1180" s="19" t="s">
        <v>190</v>
      </c>
      <c r="AG1180" s="19">
        <v>6</v>
      </c>
      <c r="AH1180" s="19" t="s">
        <v>190</v>
      </c>
      <c r="AI1180" s="19" t="s">
        <v>2236</v>
      </c>
      <c r="AJ1180" s="19" t="s">
        <v>2237</v>
      </c>
      <c r="AK1180" s="19" t="s">
        <v>1126</v>
      </c>
    </row>
    <row r="1181" spans="1:37" s="23" customFormat="1">
      <c r="A1181" s="19" t="str">
        <f>VLOOKUP(H1181,Languages!$A$2:$B$430,2,FALSE)</f>
        <v>Indo-European</v>
      </c>
      <c r="B1181" s="19" t="s">
        <v>1750</v>
      </c>
      <c r="C1181" s="19" t="s">
        <v>124</v>
      </c>
      <c r="D1181" s="19" t="s">
        <v>7900</v>
      </c>
      <c r="E1181" s="20" t="s">
        <v>185</v>
      </c>
      <c r="F1181" s="20" t="s">
        <v>7901</v>
      </c>
      <c r="G1181" s="19" t="s">
        <v>7902</v>
      </c>
      <c r="H1181" s="19" t="str">
        <f>VLOOKUP(G1181,'languoid 4.0'!$A$1:$I$24439,2,FALSE)</f>
        <v>indo1319</v>
      </c>
      <c r="I1181" s="19" t="str">
        <f>VLOOKUP(G1181,'languoid 4.0'!$A$1:$I$24439,6,FALSE)</f>
        <v>family</v>
      </c>
      <c r="J1181" s="20" t="s">
        <v>52</v>
      </c>
      <c r="K1181" s="20" t="s">
        <v>52</v>
      </c>
      <c r="L1181" s="20" t="s">
        <v>38</v>
      </c>
      <c r="M1181" s="19"/>
      <c r="N1181" s="19"/>
      <c r="O1181" s="20" t="s">
        <v>113</v>
      </c>
      <c r="P1181" s="20" t="s">
        <v>41</v>
      </c>
      <c r="Q1181" s="19" t="s">
        <v>7916</v>
      </c>
      <c r="R1181" s="21" t="s">
        <v>7917</v>
      </c>
      <c r="S1181" s="19" t="s">
        <v>46</v>
      </c>
      <c r="T1181" s="19" t="s">
        <v>822</v>
      </c>
      <c r="U1181" s="19" t="s">
        <v>636</v>
      </c>
      <c r="V1181" s="19" t="s">
        <v>45</v>
      </c>
      <c r="W1181" s="19"/>
      <c r="X1181" s="19"/>
      <c r="Y1181" s="19"/>
      <c r="Z1181" s="19" t="s">
        <v>637</v>
      </c>
      <c r="AA1181" s="19" t="s">
        <v>7918</v>
      </c>
      <c r="AB1181" s="19" t="s">
        <v>7919</v>
      </c>
      <c r="AC1181" s="19" t="s">
        <v>46</v>
      </c>
      <c r="AD1181" s="19"/>
      <c r="AE1181" s="19"/>
      <c r="AF1181" s="19"/>
      <c r="AG1181" s="19"/>
      <c r="AH1181" s="19" t="s">
        <v>45</v>
      </c>
      <c r="AI1181" s="19"/>
      <c r="AJ1181" s="19" t="s">
        <v>7920</v>
      </c>
      <c r="AK1181" s="19" t="s">
        <v>4945</v>
      </c>
    </row>
    <row r="1182" spans="1:37" s="23" customFormat="1">
      <c r="A1182" s="19" t="str">
        <f>VLOOKUP(H1182,Languages!$A$2:$B$430,2,FALSE)</f>
        <v>Indo-European</v>
      </c>
      <c r="B1182" s="19" t="s">
        <v>1750</v>
      </c>
      <c r="C1182" s="19" t="s">
        <v>124</v>
      </c>
      <c r="D1182" s="19" t="s">
        <v>7991</v>
      </c>
      <c r="E1182" s="20" t="s">
        <v>51</v>
      </c>
      <c r="F1182" s="20" t="s">
        <v>51</v>
      </c>
      <c r="G1182" s="19" t="s">
        <v>7992</v>
      </c>
      <c r="H1182" s="19" t="str">
        <f>VLOOKUP(G1182,'languoid 4.0'!$A$1:$I$24439,2,FALSE)</f>
        <v>indo1319</v>
      </c>
      <c r="I1182" s="19" t="str">
        <f>VLOOKUP(G1182,'languoid 4.0'!$A$1:$I$24439,6,FALSE)</f>
        <v>language</v>
      </c>
      <c r="J1182" s="20" t="s">
        <v>51</v>
      </c>
      <c r="K1182" s="20" t="s">
        <v>51</v>
      </c>
      <c r="L1182" s="20" t="s">
        <v>51</v>
      </c>
      <c r="M1182" s="19" t="s">
        <v>7993</v>
      </c>
      <c r="N1182" s="19" t="e">
        <v>#N/A</v>
      </c>
      <c r="O1182" s="20" t="s">
        <v>690</v>
      </c>
      <c r="P1182" s="20"/>
      <c r="Q1182" s="19" t="s">
        <v>7994</v>
      </c>
      <c r="R1182" s="21" t="s">
        <v>7995</v>
      </c>
      <c r="S1182" s="19" t="s">
        <v>46</v>
      </c>
      <c r="T1182" s="19" t="s">
        <v>822</v>
      </c>
      <c r="U1182" s="19" t="s">
        <v>636</v>
      </c>
      <c r="V1182" s="19" t="s">
        <v>45</v>
      </c>
      <c r="W1182" s="19"/>
      <c r="X1182" s="19"/>
      <c r="Y1182" s="19"/>
      <c r="Z1182" s="19" t="s">
        <v>637</v>
      </c>
      <c r="AA1182" s="19" t="s">
        <v>7996</v>
      </c>
      <c r="AB1182" s="19" t="s">
        <v>7997</v>
      </c>
      <c r="AC1182" s="19" t="s">
        <v>46</v>
      </c>
      <c r="AD1182" s="19"/>
      <c r="AE1182" s="19" t="s">
        <v>641</v>
      </c>
      <c r="AF1182" s="19" t="s">
        <v>45</v>
      </c>
      <c r="AG1182" s="19">
        <v>1</v>
      </c>
      <c r="AH1182" s="19" t="s">
        <v>190</v>
      </c>
      <c r="AI1182" s="19"/>
      <c r="AJ1182" s="19" t="s">
        <v>7998</v>
      </c>
      <c r="AK1182" s="19" t="s">
        <v>4945</v>
      </c>
    </row>
    <row r="1183" spans="1:37" s="23" customFormat="1">
      <c r="A1183" s="19" t="str">
        <f>VLOOKUP(H1183,Languages!$A$2:$B$430,2,FALSE)</f>
        <v>Indo-European</v>
      </c>
      <c r="B1183" s="19" t="s">
        <v>1750</v>
      </c>
      <c r="C1183" s="19" t="s">
        <v>58</v>
      </c>
      <c r="D1183" s="19" t="s">
        <v>6959</v>
      </c>
      <c r="E1183" s="20" t="s">
        <v>2354</v>
      </c>
      <c r="F1183" s="20" t="s">
        <v>2354</v>
      </c>
      <c r="G1183" s="19" t="s">
        <v>2354</v>
      </c>
      <c r="H1183" s="19" t="str">
        <f>VLOOKUP(G1183,'languoid 4.0'!$A$1:$I$24439,2,FALSE)</f>
        <v>indo1319</v>
      </c>
      <c r="I1183" s="19" t="str">
        <f>VLOOKUP(G1183,'languoid 4.0'!$A$1:$I$24439,6,FALSE)</f>
        <v>language</v>
      </c>
      <c r="J1183" s="20" t="s">
        <v>38</v>
      </c>
      <c r="K1183" s="20" t="s">
        <v>38</v>
      </c>
      <c r="L1183" s="20" t="s">
        <v>38</v>
      </c>
      <c r="M1183" s="19"/>
      <c r="N1183" s="19" t="s">
        <v>2355</v>
      </c>
      <c r="O1183" s="20" t="s">
        <v>40</v>
      </c>
      <c r="P1183" s="20" t="s">
        <v>41</v>
      </c>
      <c r="Q1183" s="19" t="s">
        <v>6967</v>
      </c>
      <c r="R1183" s="21" t="s">
        <v>6968</v>
      </c>
      <c r="S1183" s="19" t="s">
        <v>6969</v>
      </c>
      <c r="T1183" s="19" t="s">
        <v>6963</v>
      </c>
      <c r="U1183" s="19" t="s">
        <v>636</v>
      </c>
      <c r="V1183" s="19" t="s">
        <v>45</v>
      </c>
      <c r="W1183" s="19"/>
      <c r="X1183" s="19"/>
      <c r="Y1183" s="19"/>
      <c r="Z1183" s="19" t="s">
        <v>658</v>
      </c>
      <c r="AA1183" s="19" t="s">
        <v>6970</v>
      </c>
      <c r="AB1183" s="19" t="s">
        <v>6971</v>
      </c>
      <c r="AC1183" s="19" t="s">
        <v>46</v>
      </c>
      <c r="AD1183" s="19"/>
      <c r="AE1183" s="19" t="s">
        <v>641</v>
      </c>
      <c r="AF1183" s="19" t="s">
        <v>190</v>
      </c>
      <c r="AG1183" s="19">
        <v>6</v>
      </c>
      <c r="AH1183" s="19" t="s">
        <v>190</v>
      </c>
      <c r="AI1183" s="19"/>
      <c r="AJ1183" s="22">
        <v>43108.442372685182</v>
      </c>
      <c r="AK1183" s="19" t="s">
        <v>4408</v>
      </c>
    </row>
    <row r="1184" spans="1:37" s="23" customFormat="1">
      <c r="A1184" s="19" t="str">
        <f>VLOOKUP(H1184,Languages!$A$2:$B$430,2,FALSE)</f>
        <v>Indo-European</v>
      </c>
      <c r="B1184" s="19" t="s">
        <v>1750</v>
      </c>
      <c r="C1184" s="19" t="s">
        <v>58</v>
      </c>
      <c r="D1184" s="19" t="s">
        <v>8973</v>
      </c>
      <c r="E1184" s="20" t="s">
        <v>2995</v>
      </c>
      <c r="F1184" s="20" t="s">
        <v>2995</v>
      </c>
      <c r="G1184" s="19" t="s">
        <v>2995</v>
      </c>
      <c r="H1184" s="19" t="str">
        <f>VLOOKUP(G1184,'languoid 4.0'!$A$1:$I$24439,2,FALSE)</f>
        <v>indo1319</v>
      </c>
      <c r="I1184" s="19" t="str">
        <f>VLOOKUP(G1184,'languoid 4.0'!$A$1:$I$24439,6,FALSE)</f>
        <v>language</v>
      </c>
      <c r="J1184" s="20" t="s">
        <v>38</v>
      </c>
      <c r="K1184" s="20" t="s">
        <v>38</v>
      </c>
      <c r="L1184" s="20" t="s">
        <v>38</v>
      </c>
      <c r="M1184" s="19"/>
      <c r="N1184" s="19" t="s">
        <v>2996</v>
      </c>
      <c r="O1184" s="20" t="s">
        <v>40</v>
      </c>
      <c r="P1184" s="20" t="s">
        <v>41</v>
      </c>
      <c r="Q1184" s="19" t="s">
        <v>9172</v>
      </c>
      <c r="R1184" s="21" t="s">
        <v>9173</v>
      </c>
      <c r="S1184" s="19" t="s">
        <v>46</v>
      </c>
      <c r="T1184" s="19" t="s">
        <v>9174</v>
      </c>
      <c r="U1184" s="19" t="s">
        <v>636</v>
      </c>
      <c r="V1184" s="19" t="s">
        <v>45</v>
      </c>
      <c r="W1184" s="19"/>
      <c r="X1184" s="19"/>
      <c r="Y1184" s="19"/>
      <c r="Z1184" s="19" t="s">
        <v>637</v>
      </c>
      <c r="AA1184" s="19" t="s">
        <v>9175</v>
      </c>
      <c r="AB1184" s="19" t="s">
        <v>9176</v>
      </c>
      <c r="AC1184" s="19" t="s">
        <v>46</v>
      </c>
      <c r="AD1184" s="19"/>
      <c r="AE1184" s="19" t="s">
        <v>641</v>
      </c>
      <c r="AF1184" s="19" t="s">
        <v>190</v>
      </c>
      <c r="AG1184" s="19">
        <v>6</v>
      </c>
      <c r="AH1184" s="19" t="s">
        <v>190</v>
      </c>
      <c r="AI1184" s="19"/>
      <c r="AJ1184" s="19" t="s">
        <v>9177</v>
      </c>
      <c r="AK1184" s="19" t="s">
        <v>8947</v>
      </c>
    </row>
    <row r="1185" spans="1:37" s="23" customFormat="1">
      <c r="A1185" s="19" t="str">
        <f>VLOOKUP(H1185,Languages!$A$2:$B$430,2,FALSE)</f>
        <v>Indo-European</v>
      </c>
      <c r="B1185" s="19" t="s">
        <v>1750</v>
      </c>
      <c r="C1185" s="19" t="s">
        <v>58</v>
      </c>
      <c r="D1185" s="19" t="s">
        <v>5171</v>
      </c>
      <c r="E1185" s="20" t="s">
        <v>5172</v>
      </c>
      <c r="F1185" s="20" t="s">
        <v>5172</v>
      </c>
      <c r="G1185" s="19" t="s">
        <v>5172</v>
      </c>
      <c r="H1185" s="19" t="str">
        <f>VLOOKUP(G1185,'languoid 4.0'!$A$1:$I$24439,2,FALSE)</f>
        <v>indo1319</v>
      </c>
      <c r="I1185" s="19" t="str">
        <f>VLOOKUP(G1185,'languoid 4.0'!$A$1:$I$24439,6,FALSE)</f>
        <v>family</v>
      </c>
      <c r="J1185" s="20" t="s">
        <v>38</v>
      </c>
      <c r="K1185" s="20" t="s">
        <v>38</v>
      </c>
      <c r="L1185" s="20" t="s">
        <v>38</v>
      </c>
      <c r="M1185" s="19"/>
      <c r="N1185" s="19" t="s">
        <v>5174</v>
      </c>
      <c r="O1185" s="20" t="s">
        <v>113</v>
      </c>
      <c r="P1185" s="20" t="s">
        <v>41</v>
      </c>
      <c r="Q1185" s="19" t="s">
        <v>9994</v>
      </c>
      <c r="R1185" s="21" t="s">
        <v>9995</v>
      </c>
      <c r="S1185" s="19" t="s">
        <v>46</v>
      </c>
      <c r="T1185" s="19" t="s">
        <v>9996</v>
      </c>
      <c r="U1185" s="19" t="s">
        <v>636</v>
      </c>
      <c r="V1185" s="19" t="s">
        <v>45</v>
      </c>
      <c r="W1185" s="19"/>
      <c r="X1185" s="19"/>
      <c r="Y1185" s="19"/>
      <c r="Z1185" s="19" t="s">
        <v>1151</v>
      </c>
      <c r="AA1185" s="19" t="s">
        <v>46</v>
      </c>
      <c r="AB1185" s="19" t="s">
        <v>9997</v>
      </c>
      <c r="AC1185" s="19" t="s">
        <v>9998</v>
      </c>
      <c r="AD1185" s="19" t="s">
        <v>9999</v>
      </c>
      <c r="AE1185" s="19" t="s">
        <v>641</v>
      </c>
      <c r="AF1185" s="19" t="s">
        <v>190</v>
      </c>
      <c r="AG1185" s="19">
        <v>6</v>
      </c>
      <c r="AH1185" s="19" t="s">
        <v>190</v>
      </c>
      <c r="AI1185" s="19"/>
      <c r="AJ1185" s="22">
        <v>43111.715104166666</v>
      </c>
      <c r="AK1185" s="19" t="s">
        <v>8947</v>
      </c>
    </row>
    <row r="1186" spans="1:37" s="23" customFormat="1">
      <c r="A1186" s="19" t="str">
        <f>VLOOKUP(H1186,Languages!$A$2:$B$430,2,FALSE)</f>
        <v>Indo-European</v>
      </c>
      <c r="B1186" s="19" t="s">
        <v>1750</v>
      </c>
      <c r="C1186" s="19" t="s">
        <v>58</v>
      </c>
      <c r="D1186" s="19" t="s">
        <v>5171</v>
      </c>
      <c r="E1186" s="20" t="s">
        <v>5172</v>
      </c>
      <c r="F1186" s="20" t="s">
        <v>5172</v>
      </c>
      <c r="G1186" s="19" t="s">
        <v>5172</v>
      </c>
      <c r="H1186" s="19" t="str">
        <f>VLOOKUP(G1186,'languoid 4.0'!$A$1:$I$24439,2,FALSE)</f>
        <v>indo1319</v>
      </c>
      <c r="I1186" s="19" t="str">
        <f>VLOOKUP(G1186,'languoid 4.0'!$A$1:$I$24439,6,FALSE)</f>
        <v>family</v>
      </c>
      <c r="J1186" s="20" t="s">
        <v>38</v>
      </c>
      <c r="K1186" s="20" t="s">
        <v>38</v>
      </c>
      <c r="L1186" s="20" t="s">
        <v>38</v>
      </c>
      <c r="M1186" s="19"/>
      <c r="N1186" s="19" t="s">
        <v>5174</v>
      </c>
      <c r="O1186" s="20" t="s">
        <v>113</v>
      </c>
      <c r="P1186" s="20" t="s">
        <v>41</v>
      </c>
      <c r="Q1186" s="19" t="s">
        <v>10004</v>
      </c>
      <c r="R1186" s="21" t="s">
        <v>10005</v>
      </c>
      <c r="S1186" s="19" t="s">
        <v>46</v>
      </c>
      <c r="T1186" s="19" t="s">
        <v>10006</v>
      </c>
      <c r="U1186" s="19" t="s">
        <v>636</v>
      </c>
      <c r="V1186" s="19" t="s">
        <v>45</v>
      </c>
      <c r="W1186" s="19"/>
      <c r="X1186" s="19"/>
      <c r="Y1186" s="19"/>
      <c r="Z1186" s="19" t="s">
        <v>887</v>
      </c>
      <c r="AA1186" s="19" t="s">
        <v>10007</v>
      </c>
      <c r="AB1186" s="19" t="s">
        <v>46</v>
      </c>
      <c r="AC1186" s="19" t="s">
        <v>10008</v>
      </c>
      <c r="AD1186" s="19"/>
      <c r="AE1186" s="19" t="s">
        <v>641</v>
      </c>
      <c r="AF1186" s="19" t="s">
        <v>190</v>
      </c>
      <c r="AG1186" s="19">
        <v>6</v>
      </c>
      <c r="AH1186" s="19" t="s">
        <v>190</v>
      </c>
      <c r="AI1186" s="19" t="s">
        <v>10009</v>
      </c>
      <c r="AJ1186" s="22">
        <v>43111.732997685183</v>
      </c>
      <c r="AK1186" s="19" t="s">
        <v>8947</v>
      </c>
    </row>
    <row r="1187" spans="1:37" s="23" customFormat="1">
      <c r="A1187" s="19" t="str">
        <f>VLOOKUP(H1187,Languages!$A$2:$B$430,2,FALSE)</f>
        <v>Indo-European</v>
      </c>
      <c r="B1187" s="19" t="s">
        <v>1750</v>
      </c>
      <c r="C1187" s="19" t="s">
        <v>58</v>
      </c>
      <c r="D1187" s="19" t="s">
        <v>5171</v>
      </c>
      <c r="E1187" s="20" t="s">
        <v>5172</v>
      </c>
      <c r="F1187" s="20" t="s">
        <v>5172</v>
      </c>
      <c r="G1187" s="19" t="s">
        <v>5172</v>
      </c>
      <c r="H1187" s="19" t="str">
        <f>VLOOKUP(G1187,'languoid 4.0'!$A$1:$I$24439,2,FALSE)</f>
        <v>indo1319</v>
      </c>
      <c r="I1187" s="19" t="str">
        <f>VLOOKUP(G1187,'languoid 4.0'!$A$1:$I$24439,6,FALSE)</f>
        <v>family</v>
      </c>
      <c r="J1187" s="20" t="s">
        <v>38</v>
      </c>
      <c r="K1187" s="20" t="s">
        <v>38</v>
      </c>
      <c r="L1187" s="20" t="s">
        <v>38</v>
      </c>
      <c r="M1187" s="19"/>
      <c r="N1187" s="19" t="s">
        <v>5174</v>
      </c>
      <c r="O1187" s="20" t="s">
        <v>113</v>
      </c>
      <c r="P1187" s="20" t="s">
        <v>41</v>
      </c>
      <c r="Q1187" s="19" t="s">
        <v>10016</v>
      </c>
      <c r="R1187" s="21" t="s">
        <v>10017</v>
      </c>
      <c r="S1187" s="19" t="s">
        <v>46</v>
      </c>
      <c r="T1187" s="19" t="s">
        <v>10018</v>
      </c>
      <c r="U1187" s="19" t="s">
        <v>636</v>
      </c>
      <c r="V1187" s="19" t="s">
        <v>45</v>
      </c>
      <c r="W1187" s="19"/>
      <c r="X1187" s="19"/>
      <c r="Y1187" s="19"/>
      <c r="Z1187" s="19" t="s">
        <v>1151</v>
      </c>
      <c r="AA1187" s="19" t="s">
        <v>46</v>
      </c>
      <c r="AB1187" s="19" t="s">
        <v>10019</v>
      </c>
      <c r="AC1187" s="19" t="s">
        <v>10020</v>
      </c>
      <c r="AD1187" s="19"/>
      <c r="AE1187" s="19" t="s">
        <v>641</v>
      </c>
      <c r="AF1187" s="19" t="s">
        <v>190</v>
      </c>
      <c r="AG1187" s="19">
        <v>6</v>
      </c>
      <c r="AH1187" s="19" t="s">
        <v>190</v>
      </c>
      <c r="AI1187" s="19" t="s">
        <v>10021</v>
      </c>
      <c r="AJ1187" s="22">
        <v>43111.745648148149</v>
      </c>
      <c r="AK1187" s="19" t="s">
        <v>8947</v>
      </c>
    </row>
    <row r="1188" spans="1:37" s="23" customFormat="1">
      <c r="A1188" s="19" t="str">
        <f>VLOOKUP(H1188,Languages!$A$2:$B$430,2,FALSE)</f>
        <v>Indo-European</v>
      </c>
      <c r="B1188" s="19" t="s">
        <v>1750</v>
      </c>
      <c r="C1188" s="19" t="s">
        <v>58</v>
      </c>
      <c r="D1188" s="19" t="s">
        <v>10081</v>
      </c>
      <c r="E1188" s="20" t="s">
        <v>51</v>
      </c>
      <c r="F1188" s="20" t="s">
        <v>51</v>
      </c>
      <c r="G1188" s="19" t="s">
        <v>5172</v>
      </c>
      <c r="H1188" s="19" t="str">
        <f>VLOOKUP(G1188,'languoid 4.0'!$A$1:$I$24439,2,FALSE)</f>
        <v>indo1319</v>
      </c>
      <c r="I1188" s="19" t="str">
        <f>VLOOKUP(G1188,'languoid 4.0'!$A$1:$I$24439,6,FALSE)</f>
        <v>family</v>
      </c>
      <c r="J1188" s="20" t="s">
        <v>51</v>
      </c>
      <c r="K1188" s="20" t="s">
        <v>51</v>
      </c>
      <c r="L1188" s="20" t="s">
        <v>51</v>
      </c>
      <c r="M1188" s="19"/>
      <c r="N1188" s="19" t="e">
        <v>#N/A</v>
      </c>
      <c r="O1188" s="20" t="s">
        <v>690</v>
      </c>
      <c r="P1188" s="20"/>
      <c r="Q1188" s="19" t="s">
        <v>10082</v>
      </c>
      <c r="R1188" s="21" t="s">
        <v>10083</v>
      </c>
      <c r="S1188" s="19" t="s">
        <v>2714</v>
      </c>
      <c r="T1188" s="19" t="s">
        <v>10084</v>
      </c>
      <c r="U1188" s="19" t="s">
        <v>636</v>
      </c>
      <c r="V1188" s="19" t="s">
        <v>45</v>
      </c>
      <c r="W1188" s="19"/>
      <c r="X1188" s="19"/>
      <c r="Y1188" s="19"/>
      <c r="Z1188" s="19" t="s">
        <v>1893</v>
      </c>
      <c r="AA1188" s="19" t="s">
        <v>46</v>
      </c>
      <c r="AB1188" s="19" t="s">
        <v>46</v>
      </c>
      <c r="AC1188" s="19" t="s">
        <v>10085</v>
      </c>
      <c r="AD1188" s="19"/>
      <c r="AE1188" s="19" t="s">
        <v>641</v>
      </c>
      <c r="AF1188" s="19" t="s">
        <v>190</v>
      </c>
      <c r="AG1188" s="19">
        <v>6</v>
      </c>
      <c r="AH1188" s="19" t="s">
        <v>190</v>
      </c>
      <c r="AI1188" s="19" t="s">
        <v>10086</v>
      </c>
      <c r="AJ1188" s="22">
        <v>43231.607974537037</v>
      </c>
      <c r="AK1188" s="19" t="s">
        <v>8947</v>
      </c>
    </row>
    <row r="1189" spans="1:37" s="23" customFormat="1">
      <c r="A1189" s="19" t="str">
        <f>VLOOKUP(H1189,Languages!$A$2:$B$430,2,FALSE)</f>
        <v>Indo-European</v>
      </c>
      <c r="B1189" s="19" t="s">
        <v>1750</v>
      </c>
      <c r="C1189" s="19" t="s">
        <v>4376</v>
      </c>
      <c r="D1189" s="19" t="s">
        <v>8154</v>
      </c>
      <c r="E1189" s="20" t="s">
        <v>4378</v>
      </c>
      <c r="F1189" s="20" t="s">
        <v>5695</v>
      </c>
      <c r="G1189" s="19" t="s">
        <v>5695</v>
      </c>
      <c r="H1189" s="19" t="str">
        <f>VLOOKUP(G1189,'languoid 4.0'!$A$1:$I$24439,2,FALSE)</f>
        <v>indo1319</v>
      </c>
      <c r="I1189" s="19" t="str">
        <f>VLOOKUP(G1189,'languoid 4.0'!$A$1:$I$24439,6,FALSE)</f>
        <v>language</v>
      </c>
      <c r="J1189" s="20" t="s">
        <v>52</v>
      </c>
      <c r="K1189" s="20" t="s">
        <v>38</v>
      </c>
      <c r="L1189" s="20" t="s">
        <v>38</v>
      </c>
      <c r="M1189" s="19"/>
      <c r="N1189" s="19" t="s">
        <v>4380</v>
      </c>
      <c r="O1189" s="20" t="s">
        <v>40</v>
      </c>
      <c r="P1189" s="20" t="s">
        <v>41</v>
      </c>
      <c r="Q1189" s="19" t="s">
        <v>8155</v>
      </c>
      <c r="R1189" s="21" t="s">
        <v>8038</v>
      </c>
      <c r="S1189" s="19" t="s">
        <v>672</v>
      </c>
      <c r="T1189" s="19" t="s">
        <v>657</v>
      </c>
      <c r="U1189" s="19" t="s">
        <v>636</v>
      </c>
      <c r="V1189" s="19" t="s">
        <v>45</v>
      </c>
      <c r="W1189" s="19"/>
      <c r="X1189" s="19"/>
      <c r="Y1189" s="19"/>
      <c r="Z1189" s="19" t="s">
        <v>823</v>
      </c>
      <c r="AA1189" s="19" t="s">
        <v>46</v>
      </c>
      <c r="AB1189" s="19" t="s">
        <v>8156</v>
      </c>
      <c r="AC1189" s="19" t="s">
        <v>8157</v>
      </c>
      <c r="AD1189" s="19"/>
      <c r="AE1189" s="19" t="s">
        <v>641</v>
      </c>
      <c r="AF1189" s="19" t="s">
        <v>190</v>
      </c>
      <c r="AG1189" s="19">
        <v>5</v>
      </c>
      <c r="AH1189" s="19" t="s">
        <v>190</v>
      </c>
      <c r="AI1189" s="19"/>
      <c r="AJ1189" s="19" t="s">
        <v>8158</v>
      </c>
      <c r="AK1189" s="19" t="s">
        <v>4386</v>
      </c>
    </row>
    <row r="1190" spans="1:37" s="23" customFormat="1">
      <c r="A1190" s="19" t="str">
        <f>VLOOKUP(H1190,Languages!$A$2:$B$430,2,FALSE)</f>
        <v>Indo-European</v>
      </c>
      <c r="B1190" s="19" t="s">
        <v>1750</v>
      </c>
      <c r="C1190" s="19" t="s">
        <v>4376</v>
      </c>
      <c r="D1190" s="19" t="s">
        <v>8154</v>
      </c>
      <c r="E1190" s="20" t="s">
        <v>4378</v>
      </c>
      <c r="F1190" s="20" t="s">
        <v>5695</v>
      </c>
      <c r="G1190" s="19" t="s">
        <v>4378</v>
      </c>
      <c r="H1190" s="19" t="str">
        <f>VLOOKUP(G1190,'languoid 4.0'!$A$1:$I$24439,2,FALSE)</f>
        <v>indo1319</v>
      </c>
      <c r="I1190" s="19" t="str">
        <f>VLOOKUP(G1190,'languoid 4.0'!$A$1:$I$24439,6,FALSE)</f>
        <v>language</v>
      </c>
      <c r="J1190" s="20" t="s">
        <v>52</v>
      </c>
      <c r="K1190" s="20" t="s">
        <v>38</v>
      </c>
      <c r="L1190" s="20" t="s">
        <v>38</v>
      </c>
      <c r="M1190" s="19"/>
      <c r="N1190" s="19" t="s">
        <v>4380</v>
      </c>
      <c r="O1190" s="20" t="s">
        <v>40</v>
      </c>
      <c r="P1190" s="20" t="s">
        <v>41</v>
      </c>
      <c r="Q1190" s="19" t="s">
        <v>8159</v>
      </c>
      <c r="R1190" s="21" t="s">
        <v>8038</v>
      </c>
      <c r="S1190" s="19" t="s">
        <v>647</v>
      </c>
      <c r="T1190" s="19" t="s">
        <v>657</v>
      </c>
      <c r="U1190" s="19" t="s">
        <v>636</v>
      </c>
      <c r="V1190" s="19" t="s">
        <v>45</v>
      </c>
      <c r="W1190" s="19"/>
      <c r="X1190" s="19"/>
      <c r="Y1190" s="19"/>
      <c r="Z1190" s="19" t="s">
        <v>823</v>
      </c>
      <c r="AA1190" s="19" t="s">
        <v>46</v>
      </c>
      <c r="AB1190" s="19" t="s">
        <v>8160</v>
      </c>
      <c r="AC1190" s="19" t="s">
        <v>8161</v>
      </c>
      <c r="AD1190" s="19"/>
      <c r="AE1190" s="19" t="s">
        <v>641</v>
      </c>
      <c r="AF1190" s="19" t="s">
        <v>45</v>
      </c>
      <c r="AG1190" s="19">
        <v>1</v>
      </c>
      <c r="AH1190" s="19" t="s">
        <v>190</v>
      </c>
      <c r="AI1190" s="19" t="s">
        <v>8162</v>
      </c>
      <c r="AJ1190" s="19" t="s">
        <v>8163</v>
      </c>
      <c r="AK1190" s="19" t="s">
        <v>4386</v>
      </c>
    </row>
    <row r="1191" spans="1:37" s="23" customFormat="1">
      <c r="A1191" s="19" t="str">
        <f>VLOOKUP(H1191,Languages!$A$2:$B$430,2,FALSE)</f>
        <v>Indo-European</v>
      </c>
      <c r="B1191" s="19" t="s">
        <v>1750</v>
      </c>
      <c r="C1191" s="19" t="s">
        <v>4376</v>
      </c>
      <c r="D1191" s="19" t="s">
        <v>8611</v>
      </c>
      <c r="E1191" s="20" t="s">
        <v>552</v>
      </c>
      <c r="F1191" s="20" t="s">
        <v>8612</v>
      </c>
      <c r="G1191" s="19" t="s">
        <v>552</v>
      </c>
      <c r="H1191" s="19" t="str">
        <f>VLOOKUP(G1191,'languoid 4.0'!$A$1:$I$24439,2,FALSE)</f>
        <v>indo1319</v>
      </c>
      <c r="I1191" s="19" t="str">
        <f>VLOOKUP(G1191,'languoid 4.0'!$A$1:$I$24439,6,FALSE)</f>
        <v>language</v>
      </c>
      <c r="J1191" s="20" t="s">
        <v>52</v>
      </c>
      <c r="K1191" s="20" t="s">
        <v>38</v>
      </c>
      <c r="L1191" s="20" t="s">
        <v>38</v>
      </c>
      <c r="M1191" s="19"/>
      <c r="N1191" s="19" t="s">
        <v>4388</v>
      </c>
      <c r="O1191" s="20" t="s">
        <v>40</v>
      </c>
      <c r="P1191" s="20" t="s">
        <v>41</v>
      </c>
      <c r="Q1191" s="19" t="s">
        <v>8620</v>
      </c>
      <c r="R1191" s="21" t="s">
        <v>8609</v>
      </c>
      <c r="S1191" s="19" t="s">
        <v>399</v>
      </c>
      <c r="T1191" s="19" t="s">
        <v>657</v>
      </c>
      <c r="U1191" s="19" t="s">
        <v>636</v>
      </c>
      <c r="V1191" s="19" t="s">
        <v>45</v>
      </c>
      <c r="W1191" s="19"/>
      <c r="X1191" s="19"/>
      <c r="Y1191" s="19"/>
      <c r="Z1191" s="19" t="s">
        <v>637</v>
      </c>
      <c r="AA1191" s="19" t="s">
        <v>46</v>
      </c>
      <c r="AB1191" s="19" t="s">
        <v>8621</v>
      </c>
      <c r="AC1191" s="19" t="s">
        <v>46</v>
      </c>
      <c r="AD1191" s="19"/>
      <c r="AE1191" s="19" t="s">
        <v>641</v>
      </c>
      <c r="AF1191" s="19" t="s">
        <v>190</v>
      </c>
      <c r="AG1191" s="19">
        <v>6</v>
      </c>
      <c r="AH1191" s="19" t="s">
        <v>190</v>
      </c>
      <c r="AI1191" s="19"/>
      <c r="AJ1191" s="22">
        <v>43229.053831018522</v>
      </c>
      <c r="AK1191" s="19" t="s">
        <v>4386</v>
      </c>
    </row>
    <row r="1192" spans="1:37" s="23" customFormat="1">
      <c r="A1192" s="19" t="str">
        <f>VLOOKUP(H1192,Languages!$A$2:$B$430,2,FALSE)</f>
        <v>Indo-European</v>
      </c>
      <c r="B1192" s="19" t="s">
        <v>1750</v>
      </c>
      <c r="C1192" s="19" t="s">
        <v>4417</v>
      </c>
      <c r="D1192" s="19" t="s">
        <v>4555</v>
      </c>
      <c r="E1192" s="20" t="s">
        <v>3656</v>
      </c>
      <c r="F1192" s="20" t="s">
        <v>3656</v>
      </c>
      <c r="G1192" s="19" t="s">
        <v>3656</v>
      </c>
      <c r="H1192" s="19" t="str">
        <f>VLOOKUP(G1192,'languoid 4.0'!$A$1:$I$24439,2,FALSE)</f>
        <v>indo1319</v>
      </c>
      <c r="I1192" s="19" t="str">
        <f>VLOOKUP(G1192,'languoid 4.0'!$A$1:$I$24439,6,FALSE)</f>
        <v>language</v>
      </c>
      <c r="J1192" s="20" t="s">
        <v>38</v>
      </c>
      <c r="K1192" s="20" t="s">
        <v>38</v>
      </c>
      <c r="L1192" s="20" t="s">
        <v>38</v>
      </c>
      <c r="M1192" s="19"/>
      <c r="N1192" s="19" t="s">
        <v>4419</v>
      </c>
      <c r="O1192" s="20" t="s">
        <v>40</v>
      </c>
      <c r="P1192" s="20" t="s">
        <v>41</v>
      </c>
      <c r="Q1192" s="19" t="s">
        <v>8661</v>
      </c>
      <c r="R1192" s="21" t="s">
        <v>8662</v>
      </c>
      <c r="S1192" s="19">
        <v>19</v>
      </c>
      <c r="T1192" s="19" t="s">
        <v>8663</v>
      </c>
      <c r="U1192" s="19" t="s">
        <v>636</v>
      </c>
      <c r="V1192" s="19" t="s">
        <v>45</v>
      </c>
      <c r="W1192" s="19"/>
      <c r="X1192" s="19"/>
      <c r="Y1192" s="19"/>
      <c r="Z1192" s="19" t="s">
        <v>1893</v>
      </c>
      <c r="AA1192" s="19" t="s">
        <v>46</v>
      </c>
      <c r="AB1192" s="19" t="s">
        <v>46</v>
      </c>
      <c r="AC1192" s="19" t="s">
        <v>8664</v>
      </c>
      <c r="AD1192" s="19"/>
      <c r="AE1192" s="19" t="s">
        <v>641</v>
      </c>
      <c r="AF1192" s="19" t="s">
        <v>190</v>
      </c>
      <c r="AG1192" s="19">
        <v>6</v>
      </c>
      <c r="AH1192" s="19" t="s">
        <v>190</v>
      </c>
      <c r="AI1192" s="19"/>
      <c r="AJ1192" s="22">
        <v>43260.521585648145</v>
      </c>
      <c r="AK1192" s="19" t="s">
        <v>4424</v>
      </c>
    </row>
    <row r="1193" spans="1:37" s="23" customFormat="1">
      <c r="A1193" s="19" t="str">
        <f>VLOOKUP(H1193,Languages!$A$2:$B$430,2,FALSE)</f>
        <v>Indo-European</v>
      </c>
      <c r="B1193" s="19" t="s">
        <v>1750</v>
      </c>
      <c r="C1193" s="19" t="s">
        <v>4417</v>
      </c>
      <c r="D1193" s="19" t="s">
        <v>4555</v>
      </c>
      <c r="E1193" s="20" t="s">
        <v>3656</v>
      </c>
      <c r="F1193" s="20" t="s">
        <v>3656</v>
      </c>
      <c r="G1193" s="19" t="s">
        <v>3656</v>
      </c>
      <c r="H1193" s="19" t="str">
        <f>VLOOKUP(G1193,'languoid 4.0'!$A$1:$I$24439,2,FALSE)</f>
        <v>indo1319</v>
      </c>
      <c r="I1193" s="19" t="str">
        <f>VLOOKUP(G1193,'languoid 4.0'!$A$1:$I$24439,6,FALSE)</f>
        <v>language</v>
      </c>
      <c r="J1193" s="20" t="s">
        <v>38</v>
      </c>
      <c r="K1193" s="20" t="s">
        <v>38</v>
      </c>
      <c r="L1193" s="20" t="s">
        <v>38</v>
      </c>
      <c r="M1193" s="19"/>
      <c r="N1193" s="19" t="s">
        <v>4419</v>
      </c>
      <c r="O1193" s="20" t="s">
        <v>40</v>
      </c>
      <c r="P1193" s="20" t="s">
        <v>41</v>
      </c>
      <c r="Q1193" s="19" t="s">
        <v>8665</v>
      </c>
      <c r="R1193" s="21" t="s">
        <v>8666</v>
      </c>
      <c r="S1193" s="19">
        <v>17</v>
      </c>
      <c r="T1193" s="19" t="s">
        <v>8667</v>
      </c>
      <c r="U1193" s="19" t="s">
        <v>636</v>
      </c>
      <c r="V1193" s="19" t="s">
        <v>45</v>
      </c>
      <c r="W1193" s="19"/>
      <c r="X1193" s="19"/>
      <c r="Y1193" s="19"/>
      <c r="Z1193" s="19" t="s">
        <v>1893</v>
      </c>
      <c r="AA1193" s="19" t="s">
        <v>46</v>
      </c>
      <c r="AB1193" s="19" t="s">
        <v>46</v>
      </c>
      <c r="AC1193" s="19" t="s">
        <v>8668</v>
      </c>
      <c r="AD1193" s="19"/>
      <c r="AE1193" s="19" t="s">
        <v>641</v>
      </c>
      <c r="AF1193" s="19" t="s">
        <v>190</v>
      </c>
      <c r="AG1193" s="19">
        <v>6</v>
      </c>
      <c r="AH1193" s="19" t="s">
        <v>190</v>
      </c>
      <c r="AI1193" s="19"/>
      <c r="AJ1193" s="22">
        <v>43260.526956018519</v>
      </c>
      <c r="AK1193" s="19" t="s">
        <v>4424</v>
      </c>
    </row>
    <row r="1194" spans="1:37" s="23" customFormat="1">
      <c r="A1194" s="19" t="str">
        <f>VLOOKUP(H1194,Languages!$A$2:$B$430,2,FALSE)</f>
        <v>Indo-European</v>
      </c>
      <c r="B1194" s="19" t="s">
        <v>1738</v>
      </c>
      <c r="C1194" s="19" t="s">
        <v>94</v>
      </c>
      <c r="D1194" s="19" t="s">
        <v>5951</v>
      </c>
      <c r="E1194" s="20" t="s">
        <v>180</v>
      </c>
      <c r="F1194" s="20" t="s">
        <v>180</v>
      </c>
      <c r="G1194" s="19" t="s">
        <v>180</v>
      </c>
      <c r="H1194" s="19" t="str">
        <f>VLOOKUP(G1194,'languoid 4.0'!$A$1:$I$24439,2,FALSE)</f>
        <v>indo1319</v>
      </c>
      <c r="I1194" s="19" t="str">
        <f>VLOOKUP(G1194,'languoid 4.0'!$A$1:$I$24439,6,FALSE)</f>
        <v>language</v>
      </c>
      <c r="J1194" s="20" t="s">
        <v>38</v>
      </c>
      <c r="K1194" s="20" t="s">
        <v>38</v>
      </c>
      <c r="L1194" s="20" t="s">
        <v>38</v>
      </c>
      <c r="M1194" s="19"/>
      <c r="N1194" s="19" t="s">
        <v>4842</v>
      </c>
      <c r="O1194" s="20" t="s">
        <v>40</v>
      </c>
      <c r="P1194" s="20" t="s">
        <v>41</v>
      </c>
      <c r="Q1194" s="19" t="s">
        <v>5952</v>
      </c>
      <c r="R1194" s="21" t="s">
        <v>5953</v>
      </c>
      <c r="S1194" s="19" t="s">
        <v>46</v>
      </c>
      <c r="T1194" s="19" t="s">
        <v>635</v>
      </c>
      <c r="U1194" s="19" t="s">
        <v>1039</v>
      </c>
      <c r="V1194" s="19" t="s">
        <v>45</v>
      </c>
      <c r="W1194" s="19"/>
      <c r="X1194" s="19"/>
      <c r="Y1194" s="19"/>
      <c r="Z1194" s="19" t="s">
        <v>673</v>
      </c>
      <c r="AA1194" s="19" t="s">
        <v>5954</v>
      </c>
      <c r="AB1194" s="19" t="s">
        <v>5955</v>
      </c>
      <c r="AC1194" s="19" t="s">
        <v>46</v>
      </c>
      <c r="AD1194" s="19"/>
      <c r="AE1194" s="19" t="s">
        <v>641</v>
      </c>
      <c r="AF1194" s="19" t="s">
        <v>190</v>
      </c>
      <c r="AG1194" s="19">
        <v>6</v>
      </c>
      <c r="AH1194" s="19" t="s">
        <v>190</v>
      </c>
      <c r="AI1194" s="19"/>
      <c r="AJ1194" s="19" t="s">
        <v>5956</v>
      </c>
      <c r="AK1194" s="19" t="s">
        <v>4840</v>
      </c>
    </row>
    <row r="1195" spans="1:37" s="23" customFormat="1">
      <c r="A1195" s="19" t="str">
        <f>VLOOKUP(H1195,Languages!$A$2:$B$430,2,FALSE)</f>
        <v>Indo-European</v>
      </c>
      <c r="B1195" s="19" t="s">
        <v>1738</v>
      </c>
      <c r="C1195" s="19" t="s">
        <v>1012</v>
      </c>
      <c r="D1195" s="19" t="s">
        <v>3101</v>
      </c>
      <c r="E1195" s="20" t="s">
        <v>2845</v>
      </c>
      <c r="F1195" s="20" t="s">
        <v>2845</v>
      </c>
      <c r="G1195" s="19" t="s">
        <v>2845</v>
      </c>
      <c r="H1195" s="19" t="str">
        <f>VLOOKUP(G1195,'languoid 4.0'!$A$1:$I$24439,2,FALSE)</f>
        <v>indo1319</v>
      </c>
      <c r="I1195" s="19" t="str">
        <f>VLOOKUP(G1195,'languoid 4.0'!$A$1:$I$24439,6,FALSE)</f>
        <v>language</v>
      </c>
      <c r="J1195" s="20" t="s">
        <v>38</v>
      </c>
      <c r="K1195" s="20" t="s">
        <v>38</v>
      </c>
      <c r="L1195" s="20" t="s">
        <v>38</v>
      </c>
      <c r="M1195" s="19"/>
      <c r="N1195" s="19" t="s">
        <v>2846</v>
      </c>
      <c r="O1195" s="20" t="s">
        <v>40</v>
      </c>
      <c r="P1195" s="20" t="s">
        <v>41</v>
      </c>
      <c r="Q1195" s="19" t="s">
        <v>3102</v>
      </c>
      <c r="R1195" s="21" t="s">
        <v>3103</v>
      </c>
      <c r="S1195" s="19" t="s">
        <v>46</v>
      </c>
      <c r="T1195" s="19" t="s">
        <v>635</v>
      </c>
      <c r="U1195" s="19" t="s">
        <v>636</v>
      </c>
      <c r="V1195" s="19" t="s">
        <v>45</v>
      </c>
      <c r="W1195" s="19"/>
      <c r="X1195" s="19"/>
      <c r="Y1195" s="19"/>
      <c r="Z1195" s="19" t="s">
        <v>658</v>
      </c>
      <c r="AA1195" s="19" t="s">
        <v>3104</v>
      </c>
      <c r="AB1195" s="19" t="s">
        <v>46</v>
      </c>
      <c r="AC1195" s="19" t="s">
        <v>46</v>
      </c>
      <c r="AD1195" s="19" t="s">
        <v>3099</v>
      </c>
      <c r="AE1195" s="19" t="s">
        <v>641</v>
      </c>
      <c r="AF1195" s="19" t="s">
        <v>190</v>
      </c>
      <c r="AG1195" s="19">
        <v>2</v>
      </c>
      <c r="AH1195" s="19" t="s">
        <v>190</v>
      </c>
      <c r="AI1195" s="19"/>
      <c r="AJ1195" s="19" t="s">
        <v>3105</v>
      </c>
      <c r="AK1195" s="19" t="s">
        <v>1023</v>
      </c>
    </row>
    <row r="1196" spans="1:37" s="23" customFormat="1">
      <c r="A1196" s="19" t="str">
        <f>VLOOKUP(H1196,Languages!$A$2:$B$430,2,FALSE)</f>
        <v>Indo-European</v>
      </c>
      <c r="B1196" s="19" t="s">
        <v>1738</v>
      </c>
      <c r="C1196" s="19" t="s">
        <v>7017</v>
      </c>
      <c r="D1196" s="19" t="s">
        <v>7043</v>
      </c>
      <c r="E1196" s="20" t="s">
        <v>7044</v>
      </c>
      <c r="F1196" s="20" t="s">
        <v>7045</v>
      </c>
      <c r="G1196" s="19" t="s">
        <v>7044</v>
      </c>
      <c r="H1196" s="19" t="str">
        <f>VLOOKUP(G1196,'languoid 4.0'!$A$1:$I$24439,2,FALSE)</f>
        <v>indo1319</v>
      </c>
      <c r="I1196" s="19" t="str">
        <f>VLOOKUP(G1196,'languoid 4.0'!$A$1:$I$24439,6,FALSE)</f>
        <v>language</v>
      </c>
      <c r="J1196" s="20" t="s">
        <v>52</v>
      </c>
      <c r="K1196" s="20" t="s">
        <v>38</v>
      </c>
      <c r="L1196" s="20" t="s">
        <v>38</v>
      </c>
      <c r="M1196" s="19"/>
      <c r="N1196" s="19" t="s">
        <v>7046</v>
      </c>
      <c r="O1196" s="20" t="s">
        <v>40</v>
      </c>
      <c r="P1196" s="20" t="s">
        <v>41</v>
      </c>
      <c r="Q1196" s="19" t="s">
        <v>7373</v>
      </c>
      <c r="R1196" s="21" t="s">
        <v>7374</v>
      </c>
      <c r="S1196" s="19" t="s">
        <v>7375</v>
      </c>
      <c r="T1196" s="19" t="s">
        <v>2948</v>
      </c>
      <c r="U1196" s="19" t="s">
        <v>7376</v>
      </c>
      <c r="V1196" s="19" t="s">
        <v>45</v>
      </c>
      <c r="W1196" s="19"/>
      <c r="X1196" s="19"/>
      <c r="Y1196" s="19"/>
      <c r="Z1196" s="19" t="s">
        <v>637</v>
      </c>
      <c r="AA1196" s="19" t="s">
        <v>7377</v>
      </c>
      <c r="AB1196" s="19" t="s">
        <v>7378</v>
      </c>
      <c r="AC1196" s="19" t="s">
        <v>46</v>
      </c>
      <c r="AD1196" s="19" t="s">
        <v>7379</v>
      </c>
      <c r="AE1196" s="19" t="s">
        <v>641</v>
      </c>
      <c r="AF1196" s="19" t="s">
        <v>190</v>
      </c>
      <c r="AG1196" s="19">
        <v>6</v>
      </c>
      <c r="AH1196" s="19" t="s">
        <v>190</v>
      </c>
      <c r="AI1196" s="19"/>
      <c r="AJ1196" s="22">
        <v>43442.690682870372</v>
      </c>
      <c r="AK1196" s="19" t="s">
        <v>7022</v>
      </c>
    </row>
    <row r="1197" spans="1:37" s="23" customFormat="1">
      <c r="A1197" s="19" t="str">
        <f>VLOOKUP(H1197,Languages!$A$2:$B$430,2,FALSE)</f>
        <v>Indo-European</v>
      </c>
      <c r="B1197" s="19" t="s">
        <v>1738</v>
      </c>
      <c r="C1197" s="19" t="s">
        <v>4965</v>
      </c>
      <c r="D1197" s="19" t="s">
        <v>7594</v>
      </c>
      <c r="E1197" s="20" t="s">
        <v>4991</v>
      </c>
      <c r="F1197" s="20" t="s">
        <v>4991</v>
      </c>
      <c r="G1197" s="19" t="s">
        <v>4991</v>
      </c>
      <c r="H1197" s="19" t="str">
        <f>VLOOKUP(G1197,'languoid 4.0'!$A$1:$I$24439,2,FALSE)</f>
        <v>indo1319</v>
      </c>
      <c r="I1197" s="19" t="str">
        <f>VLOOKUP(G1197,'languoid 4.0'!$A$1:$I$24439,6,FALSE)</f>
        <v>language</v>
      </c>
      <c r="J1197" s="20" t="s">
        <v>38</v>
      </c>
      <c r="K1197" s="20" t="s">
        <v>38</v>
      </c>
      <c r="L1197" s="20" t="s">
        <v>38</v>
      </c>
      <c r="M1197" s="19"/>
      <c r="N1197" s="19" t="s">
        <v>7399</v>
      </c>
      <c r="O1197" s="20" t="s">
        <v>40</v>
      </c>
      <c r="P1197" s="20" t="s">
        <v>41</v>
      </c>
      <c r="Q1197" s="19" t="s">
        <v>7612</v>
      </c>
      <c r="R1197" s="21" t="s">
        <v>7613</v>
      </c>
      <c r="S1197" s="19" t="s">
        <v>7614</v>
      </c>
      <c r="T1197" s="19" t="s">
        <v>7598</v>
      </c>
      <c r="U1197" s="19" t="s">
        <v>109</v>
      </c>
      <c r="V1197" s="19" t="s">
        <v>45</v>
      </c>
      <c r="W1197" s="19"/>
      <c r="X1197" s="19"/>
      <c r="Y1197" s="19"/>
      <c r="Z1197" s="19" t="s">
        <v>887</v>
      </c>
      <c r="AA1197" s="19" t="s">
        <v>7615</v>
      </c>
      <c r="AB1197" s="19" t="s">
        <v>46</v>
      </c>
      <c r="AC1197" s="19" t="s">
        <v>7616</v>
      </c>
      <c r="AD1197" s="19"/>
      <c r="AE1197" s="19" t="s">
        <v>641</v>
      </c>
      <c r="AF1197" s="19" t="s">
        <v>190</v>
      </c>
      <c r="AG1197" s="19">
        <v>6</v>
      </c>
      <c r="AH1197" s="19" t="s">
        <v>190</v>
      </c>
      <c r="AI1197" s="19" t="s">
        <v>7610</v>
      </c>
      <c r="AJ1197" s="19" t="s">
        <v>7617</v>
      </c>
      <c r="AK1197" s="19" t="s">
        <v>4975</v>
      </c>
    </row>
    <row r="1198" spans="1:37" s="23" customFormat="1">
      <c r="A1198" s="19" t="str">
        <f>VLOOKUP(H1198,Languages!$A$2:$B$430,2,FALSE)</f>
        <v>Indo-European</v>
      </c>
      <c r="B1198" s="19" t="s">
        <v>1738</v>
      </c>
      <c r="C1198" s="19" t="s">
        <v>10200</v>
      </c>
      <c r="D1198" s="19" t="s">
        <v>10542</v>
      </c>
      <c r="E1198" s="20" t="s">
        <v>2995</v>
      </c>
      <c r="F1198" s="20" t="s">
        <v>2995</v>
      </c>
      <c r="G1198" s="19" t="s">
        <v>2995</v>
      </c>
      <c r="H1198" s="19" t="str">
        <f>VLOOKUP(G1198,'languoid 4.0'!$A$1:$I$24439,2,FALSE)</f>
        <v>indo1319</v>
      </c>
      <c r="I1198" s="19" t="str">
        <f>VLOOKUP(G1198,'languoid 4.0'!$A$1:$I$24439,6,FALSE)</f>
        <v>language</v>
      </c>
      <c r="J1198" s="20" t="s">
        <v>38</v>
      </c>
      <c r="K1198" s="20" t="s">
        <v>38</v>
      </c>
      <c r="L1198" s="20" t="s">
        <v>38</v>
      </c>
      <c r="M1198" s="19"/>
      <c r="N1198" s="19" t="s">
        <v>2996</v>
      </c>
      <c r="O1198" s="20" t="s">
        <v>40</v>
      </c>
      <c r="P1198" s="20" t="s">
        <v>41</v>
      </c>
      <c r="Q1198" s="19" t="s">
        <v>10543</v>
      </c>
      <c r="R1198" s="21" t="s">
        <v>10544</v>
      </c>
      <c r="S1198" s="19" t="s">
        <v>6203</v>
      </c>
      <c r="T1198" s="19" t="s">
        <v>10528</v>
      </c>
      <c r="U1198" s="19" t="s">
        <v>5142</v>
      </c>
      <c r="V1198" s="19" t="s">
        <v>45</v>
      </c>
      <c r="W1198" s="19"/>
      <c r="X1198" s="19"/>
      <c r="Y1198" s="19"/>
      <c r="Z1198" s="19" t="s">
        <v>658</v>
      </c>
      <c r="AA1198" s="19" t="s">
        <v>10545</v>
      </c>
      <c r="AB1198" s="19" t="s">
        <v>46</v>
      </c>
      <c r="AC1198" s="19" t="s">
        <v>46</v>
      </c>
      <c r="AD1198" s="19"/>
      <c r="AE1198" s="19" t="s">
        <v>641</v>
      </c>
      <c r="AF1198" s="19" t="s">
        <v>45</v>
      </c>
      <c r="AG1198" s="19">
        <v>1</v>
      </c>
      <c r="AH1198" s="19" t="s">
        <v>190</v>
      </c>
      <c r="AI1198" s="19"/>
      <c r="AJ1198" s="19" t="s">
        <v>10546</v>
      </c>
      <c r="AK1198" s="19" t="s">
        <v>4945</v>
      </c>
    </row>
    <row r="1199" spans="1:37" s="23" customFormat="1">
      <c r="A1199" s="19" t="str">
        <f>VLOOKUP(H1199,Languages!$A$2:$B$430,2,FALSE)</f>
        <v>Indo-European</v>
      </c>
      <c r="B1199" s="19" t="s">
        <v>1738</v>
      </c>
      <c r="C1199" s="19" t="s">
        <v>10200</v>
      </c>
      <c r="D1199" s="19" t="s">
        <v>10547</v>
      </c>
      <c r="E1199" s="20" t="s">
        <v>2995</v>
      </c>
      <c r="F1199" s="20" t="s">
        <v>2995</v>
      </c>
      <c r="G1199" s="19" t="s">
        <v>2995</v>
      </c>
      <c r="H1199" s="19" t="str">
        <f>VLOOKUP(G1199,'languoid 4.0'!$A$1:$I$24439,2,FALSE)</f>
        <v>indo1319</v>
      </c>
      <c r="I1199" s="19" t="str">
        <f>VLOOKUP(G1199,'languoid 4.0'!$A$1:$I$24439,6,FALSE)</f>
        <v>language</v>
      </c>
      <c r="J1199" s="20" t="s">
        <v>38</v>
      </c>
      <c r="K1199" s="20" t="s">
        <v>38</v>
      </c>
      <c r="L1199" s="20" t="s">
        <v>38</v>
      </c>
      <c r="M1199" s="19"/>
      <c r="N1199" s="19" t="s">
        <v>2996</v>
      </c>
      <c r="O1199" s="20" t="s">
        <v>40</v>
      </c>
      <c r="P1199" s="20" t="s">
        <v>41</v>
      </c>
      <c r="Q1199" s="19" t="s">
        <v>10548</v>
      </c>
      <c r="R1199" s="21" t="s">
        <v>10549</v>
      </c>
      <c r="S1199" s="19" t="s">
        <v>351</v>
      </c>
      <c r="T1199" s="19" t="s">
        <v>10550</v>
      </c>
      <c r="U1199" s="19" t="s">
        <v>10551</v>
      </c>
      <c r="V1199" s="19" t="s">
        <v>45</v>
      </c>
      <c r="W1199" s="19"/>
      <c r="X1199" s="19"/>
      <c r="Y1199" s="19"/>
      <c r="Z1199" s="19" t="s">
        <v>673</v>
      </c>
      <c r="AA1199" s="19" t="s">
        <v>46</v>
      </c>
      <c r="AB1199" s="19" t="s">
        <v>10552</v>
      </c>
      <c r="AC1199" s="19" t="s">
        <v>46</v>
      </c>
      <c r="AD1199" s="19"/>
      <c r="AE1199" s="19" t="s">
        <v>641</v>
      </c>
      <c r="AF1199" s="19" t="s">
        <v>190</v>
      </c>
      <c r="AG1199" s="19">
        <v>6</v>
      </c>
      <c r="AH1199" s="19" t="s">
        <v>190</v>
      </c>
      <c r="AI1199" s="19"/>
      <c r="AJ1199" s="19" t="s">
        <v>10553</v>
      </c>
      <c r="AK1199" s="19" t="s">
        <v>4945</v>
      </c>
    </row>
    <row r="1200" spans="1:37" s="23" customFormat="1">
      <c r="A1200" s="19" t="str">
        <f>VLOOKUP(H1200,Languages!$A$2:$B$430,2,FALSE)</f>
        <v>Indo-European</v>
      </c>
      <c r="B1200" s="19" t="s">
        <v>1738</v>
      </c>
      <c r="C1200" s="19" t="s">
        <v>1405</v>
      </c>
      <c r="D1200" s="19" t="s">
        <v>3485</v>
      </c>
      <c r="E1200" s="20" t="s">
        <v>1407</v>
      </c>
      <c r="F1200" s="20" t="s">
        <v>1407</v>
      </c>
      <c r="G1200" s="19" t="s">
        <v>1407</v>
      </c>
      <c r="H1200" s="19" t="str">
        <f>VLOOKUP(G1200,'languoid 4.0'!$A$1:$I$24439,2,FALSE)</f>
        <v>indo1319</v>
      </c>
      <c r="I1200" s="19" t="str">
        <f>VLOOKUP(G1200,'languoid 4.0'!$A$1:$I$24439,6,FALSE)</f>
        <v>language</v>
      </c>
      <c r="J1200" s="20" t="s">
        <v>38</v>
      </c>
      <c r="K1200" s="20" t="s">
        <v>38</v>
      </c>
      <c r="L1200" s="20" t="s">
        <v>38</v>
      </c>
      <c r="M1200" s="19"/>
      <c r="N1200" s="19" t="s">
        <v>1409</v>
      </c>
      <c r="O1200" s="20" t="s">
        <v>40</v>
      </c>
      <c r="P1200" s="20" t="s">
        <v>632</v>
      </c>
      <c r="Q1200" s="19" t="s">
        <v>3486</v>
      </c>
      <c r="R1200" s="21" t="s">
        <v>3487</v>
      </c>
      <c r="S1200" s="19" t="s">
        <v>46</v>
      </c>
      <c r="T1200" s="19" t="s">
        <v>635</v>
      </c>
      <c r="U1200" s="19" t="s">
        <v>2511</v>
      </c>
      <c r="V1200" s="19" t="s">
        <v>45</v>
      </c>
      <c r="W1200" s="19"/>
      <c r="X1200" s="19"/>
      <c r="Y1200" s="19"/>
      <c r="Z1200" s="19" t="s">
        <v>658</v>
      </c>
      <c r="AA1200" s="19" t="s">
        <v>3488</v>
      </c>
      <c r="AB1200" s="19" t="s">
        <v>46</v>
      </c>
      <c r="AC1200" s="19" t="s">
        <v>46</v>
      </c>
      <c r="AD1200" s="19"/>
      <c r="AE1200" s="19" t="s">
        <v>641</v>
      </c>
      <c r="AF1200" s="19" t="s">
        <v>190</v>
      </c>
      <c r="AG1200" s="19">
        <v>4</v>
      </c>
      <c r="AH1200" s="19" t="s">
        <v>190</v>
      </c>
      <c r="AI1200" s="19"/>
      <c r="AJ1200" s="19" t="s">
        <v>3489</v>
      </c>
      <c r="AK1200" s="19" t="s">
        <v>1598</v>
      </c>
    </row>
    <row r="1201" spans="1:37" s="23" customFormat="1">
      <c r="A1201" s="19" t="str">
        <f>VLOOKUP(H1201,Languages!$A$2:$B$430,2,FALSE)</f>
        <v>Indo-European</v>
      </c>
      <c r="B1201" s="19" t="s">
        <v>1738</v>
      </c>
      <c r="C1201" s="19" t="s">
        <v>1405</v>
      </c>
      <c r="D1201" s="19" t="s">
        <v>3494</v>
      </c>
      <c r="E1201" s="20" t="s">
        <v>1407</v>
      </c>
      <c r="F1201" s="20" t="s">
        <v>1407</v>
      </c>
      <c r="G1201" s="19" t="s">
        <v>1407</v>
      </c>
      <c r="H1201" s="19" t="str">
        <f>VLOOKUP(G1201,'languoid 4.0'!$A$1:$I$24439,2,FALSE)</f>
        <v>indo1319</v>
      </c>
      <c r="I1201" s="19" t="str">
        <f>VLOOKUP(G1201,'languoid 4.0'!$A$1:$I$24439,6,FALSE)</f>
        <v>language</v>
      </c>
      <c r="J1201" s="20" t="s">
        <v>38</v>
      </c>
      <c r="K1201" s="20" t="s">
        <v>38</v>
      </c>
      <c r="L1201" s="20" t="s">
        <v>38</v>
      </c>
      <c r="M1201" s="19"/>
      <c r="N1201" s="19" t="s">
        <v>1409</v>
      </c>
      <c r="O1201" s="20" t="s">
        <v>40</v>
      </c>
      <c r="P1201" s="20" t="s">
        <v>632</v>
      </c>
      <c r="Q1201" s="19" t="s">
        <v>3495</v>
      </c>
      <c r="R1201" s="21" t="s">
        <v>3496</v>
      </c>
      <c r="S1201" s="19" t="s">
        <v>46</v>
      </c>
      <c r="T1201" s="19" t="s">
        <v>635</v>
      </c>
      <c r="U1201" s="19" t="s">
        <v>2511</v>
      </c>
      <c r="V1201" s="19" t="s">
        <v>45</v>
      </c>
      <c r="W1201" s="19"/>
      <c r="X1201" s="19"/>
      <c r="Y1201" s="19"/>
      <c r="Z1201" s="19" t="s">
        <v>658</v>
      </c>
      <c r="AA1201" s="19" t="s">
        <v>3497</v>
      </c>
      <c r="AB1201" s="19" t="s">
        <v>46</v>
      </c>
      <c r="AC1201" s="19" t="s">
        <v>46</v>
      </c>
      <c r="AD1201" s="19"/>
      <c r="AE1201" s="19" t="s">
        <v>641</v>
      </c>
      <c r="AF1201" s="19" t="s">
        <v>190</v>
      </c>
      <c r="AG1201" s="19">
        <v>5</v>
      </c>
      <c r="AH1201" s="19" t="s">
        <v>190</v>
      </c>
      <c r="AI1201" s="19"/>
      <c r="AJ1201" s="19" t="s">
        <v>3498</v>
      </c>
      <c r="AK1201" s="19" t="s">
        <v>1598</v>
      </c>
    </row>
    <row r="1202" spans="1:37" s="23" customFormat="1">
      <c r="A1202" s="19" t="str">
        <f>VLOOKUP(H1202,Languages!$A$2:$B$430,2,FALSE)</f>
        <v>Indo-European</v>
      </c>
      <c r="B1202" s="19" t="s">
        <v>1738</v>
      </c>
      <c r="C1202" s="19" t="s">
        <v>1405</v>
      </c>
      <c r="D1202" s="19" t="s">
        <v>1423</v>
      </c>
      <c r="E1202" s="20" t="s">
        <v>1407</v>
      </c>
      <c r="F1202" s="20" t="s">
        <v>1407</v>
      </c>
      <c r="G1202" s="19" t="s">
        <v>1407</v>
      </c>
      <c r="H1202" s="19" t="str">
        <f>VLOOKUP(G1202,'languoid 4.0'!$A$1:$I$24439,2,FALSE)</f>
        <v>indo1319</v>
      </c>
      <c r="I1202" s="19" t="str">
        <f>VLOOKUP(G1202,'languoid 4.0'!$A$1:$I$24439,6,FALSE)</f>
        <v>language</v>
      </c>
      <c r="J1202" s="20" t="s">
        <v>38</v>
      </c>
      <c r="K1202" s="20" t="s">
        <v>38</v>
      </c>
      <c r="L1202" s="20" t="s">
        <v>38</v>
      </c>
      <c r="M1202" s="19"/>
      <c r="N1202" s="19" t="s">
        <v>1409</v>
      </c>
      <c r="O1202" s="20" t="s">
        <v>40</v>
      </c>
      <c r="P1202" s="20" t="s">
        <v>632</v>
      </c>
      <c r="Q1202" s="19" t="s">
        <v>3518</v>
      </c>
      <c r="R1202" s="21" t="s">
        <v>3519</v>
      </c>
      <c r="S1202" s="19" t="s">
        <v>46</v>
      </c>
      <c r="T1202" s="19" t="s">
        <v>635</v>
      </c>
      <c r="U1202" s="19" t="s">
        <v>2511</v>
      </c>
      <c r="V1202" s="19" t="s">
        <v>45</v>
      </c>
      <c r="W1202" s="19"/>
      <c r="X1202" s="19"/>
      <c r="Y1202" s="19"/>
      <c r="Z1202" s="19" t="s">
        <v>658</v>
      </c>
      <c r="AA1202" s="19" t="s">
        <v>3520</v>
      </c>
      <c r="AB1202" s="19" t="s">
        <v>46</v>
      </c>
      <c r="AC1202" s="19" t="s">
        <v>46</v>
      </c>
      <c r="AD1202" s="19"/>
      <c r="AE1202" s="19" t="s">
        <v>641</v>
      </c>
      <c r="AF1202" s="19" t="s">
        <v>190</v>
      </c>
      <c r="AG1202" s="19">
        <v>5</v>
      </c>
      <c r="AH1202" s="19" t="s">
        <v>190</v>
      </c>
      <c r="AI1202" s="19"/>
      <c r="AJ1202" s="22">
        <v>43105.302824074075</v>
      </c>
      <c r="AK1202" s="19" t="s">
        <v>1598</v>
      </c>
    </row>
    <row r="1203" spans="1:37" s="23" customFormat="1">
      <c r="A1203" s="19" t="str">
        <f>VLOOKUP(H1203,Languages!$A$2:$B$430,2,FALSE)</f>
        <v>Indo-European</v>
      </c>
      <c r="B1203" s="19" t="s">
        <v>1738</v>
      </c>
      <c r="C1203" s="19" t="s">
        <v>1405</v>
      </c>
      <c r="D1203" s="19" t="s">
        <v>3534</v>
      </c>
      <c r="E1203" s="20" t="s">
        <v>1482</v>
      </c>
      <c r="F1203" s="20" t="s">
        <v>1482</v>
      </c>
      <c r="G1203" s="19" t="s">
        <v>1482</v>
      </c>
      <c r="H1203" s="19" t="str">
        <f>VLOOKUP(G1203,'languoid 4.0'!$A$1:$I$24439,2,FALSE)</f>
        <v>indo1319</v>
      </c>
      <c r="I1203" s="19" t="str">
        <f>VLOOKUP(G1203,'languoid 4.0'!$A$1:$I$24439,6,FALSE)</f>
        <v>language</v>
      </c>
      <c r="J1203" s="20" t="s">
        <v>38</v>
      </c>
      <c r="K1203" s="20" t="s">
        <v>38</v>
      </c>
      <c r="L1203" s="20" t="s">
        <v>38</v>
      </c>
      <c r="M1203" s="19"/>
      <c r="N1203" s="19" t="s">
        <v>1483</v>
      </c>
      <c r="O1203" s="20" t="s">
        <v>40</v>
      </c>
      <c r="P1203" s="20" t="s">
        <v>41</v>
      </c>
      <c r="Q1203" s="19" t="s">
        <v>3535</v>
      </c>
      <c r="R1203" s="21" t="s">
        <v>3536</v>
      </c>
      <c r="S1203" s="19" t="s">
        <v>46</v>
      </c>
      <c r="T1203" s="19" t="s">
        <v>635</v>
      </c>
      <c r="U1203" s="19" t="s">
        <v>2511</v>
      </c>
      <c r="V1203" s="19" t="s">
        <v>45</v>
      </c>
      <c r="W1203" s="19"/>
      <c r="X1203" s="19"/>
      <c r="Y1203" s="19"/>
      <c r="Z1203" s="19" t="s">
        <v>658</v>
      </c>
      <c r="AA1203" s="19" t="s">
        <v>3537</v>
      </c>
      <c r="AB1203" s="19" t="s">
        <v>46</v>
      </c>
      <c r="AC1203" s="19" t="s">
        <v>46</v>
      </c>
      <c r="AD1203" s="19"/>
      <c r="AE1203" s="19" t="s">
        <v>641</v>
      </c>
      <c r="AF1203" s="19" t="s">
        <v>190</v>
      </c>
      <c r="AG1203" s="19">
        <v>6</v>
      </c>
      <c r="AH1203" s="19" t="s">
        <v>190</v>
      </c>
      <c r="AI1203" s="19"/>
      <c r="AJ1203" s="22">
        <v>43105.33021990741</v>
      </c>
      <c r="AK1203" s="19" t="s">
        <v>1598</v>
      </c>
    </row>
    <row r="1204" spans="1:37" s="23" customFormat="1">
      <c r="A1204" s="19" t="str">
        <f>VLOOKUP(H1204,Languages!$A$2:$B$430,2,FALSE)</f>
        <v>Indo-European</v>
      </c>
      <c r="B1204" s="19" t="s">
        <v>1738</v>
      </c>
      <c r="C1204" s="19" t="s">
        <v>407</v>
      </c>
      <c r="D1204" s="19" t="s">
        <v>11376</v>
      </c>
      <c r="E1204" s="20" t="s">
        <v>551</v>
      </c>
      <c r="F1204" s="20" t="s">
        <v>551</v>
      </c>
      <c r="G1204" s="19" t="s">
        <v>551</v>
      </c>
      <c r="H1204" s="19" t="str">
        <f>VLOOKUP(G1204,'languoid 4.0'!$A$1:$I$24439,2,FALSE)</f>
        <v>indo1319</v>
      </c>
      <c r="I1204" s="19" t="str">
        <f>VLOOKUP(G1204,'languoid 4.0'!$A$1:$I$24439,6,FALSE)</f>
        <v>dialect</v>
      </c>
      <c r="J1204" s="20" t="s">
        <v>38</v>
      </c>
      <c r="K1204" s="20" t="s">
        <v>38</v>
      </c>
      <c r="L1204" s="20" t="s">
        <v>38</v>
      </c>
      <c r="M1204" s="19"/>
      <c r="N1204" s="19"/>
      <c r="O1204" s="20" t="s">
        <v>40</v>
      </c>
      <c r="P1204" s="20" t="s">
        <v>41</v>
      </c>
      <c r="Q1204" s="19" t="s">
        <v>11377</v>
      </c>
      <c r="R1204" s="21" t="s">
        <v>11378</v>
      </c>
      <c r="S1204" s="19" t="s">
        <v>265</v>
      </c>
      <c r="T1204" s="19" t="s">
        <v>657</v>
      </c>
      <c r="U1204" s="19" t="s">
        <v>11379</v>
      </c>
      <c r="V1204" s="19" t="s">
        <v>45</v>
      </c>
      <c r="W1204" s="19"/>
      <c r="X1204" s="19"/>
      <c r="Y1204" s="19"/>
      <c r="Z1204" s="19" t="s">
        <v>637</v>
      </c>
      <c r="AA1204" s="19" t="s">
        <v>11380</v>
      </c>
      <c r="AB1204" s="19" t="s">
        <v>11381</v>
      </c>
      <c r="AC1204" s="19" t="s">
        <v>46</v>
      </c>
      <c r="AD1204" s="19"/>
      <c r="AE1204" s="19" t="s">
        <v>641</v>
      </c>
      <c r="AF1204" s="19" t="s">
        <v>190</v>
      </c>
      <c r="AG1204" s="19">
        <v>4</v>
      </c>
      <c r="AH1204" s="19" t="s">
        <v>190</v>
      </c>
      <c r="AI1204" s="19" t="s">
        <v>11382</v>
      </c>
      <c r="AJ1204" s="19" t="s">
        <v>11383</v>
      </c>
      <c r="AK1204" s="19" t="s">
        <v>4386</v>
      </c>
    </row>
    <row r="1205" spans="1:37" s="23" customFormat="1">
      <c r="A1205" s="19" t="str">
        <f>VLOOKUP(H1205,Languages!$A$2:$B$430,2,FALSE)</f>
        <v>Indo-European</v>
      </c>
      <c r="B1205" s="19" t="s">
        <v>1738</v>
      </c>
      <c r="C1205" s="19" t="s">
        <v>407</v>
      </c>
      <c r="D1205" s="19" t="s">
        <v>11376</v>
      </c>
      <c r="E1205" s="20" t="s">
        <v>551</v>
      </c>
      <c r="F1205" s="20" t="s">
        <v>551</v>
      </c>
      <c r="G1205" s="19" t="s">
        <v>551</v>
      </c>
      <c r="H1205" s="19" t="str">
        <f>VLOOKUP(G1205,'languoid 4.0'!$A$1:$I$24439,2,FALSE)</f>
        <v>indo1319</v>
      </c>
      <c r="I1205" s="19" t="str">
        <f>VLOOKUP(G1205,'languoid 4.0'!$A$1:$I$24439,6,FALSE)</f>
        <v>dialect</v>
      </c>
      <c r="J1205" s="20" t="s">
        <v>38</v>
      </c>
      <c r="K1205" s="20" t="s">
        <v>38</v>
      </c>
      <c r="L1205" s="20" t="s">
        <v>38</v>
      </c>
      <c r="M1205" s="19"/>
      <c r="N1205" s="19"/>
      <c r="O1205" s="20" t="s">
        <v>40</v>
      </c>
      <c r="P1205" s="20" t="s">
        <v>41</v>
      </c>
      <c r="Q1205" s="19" t="s">
        <v>11377</v>
      </c>
      <c r="R1205" s="21" t="s">
        <v>11378</v>
      </c>
      <c r="S1205" s="19" t="s">
        <v>130</v>
      </c>
      <c r="T1205" s="19" t="s">
        <v>657</v>
      </c>
      <c r="U1205" s="19" t="s">
        <v>11379</v>
      </c>
      <c r="V1205" s="19" t="s">
        <v>45</v>
      </c>
      <c r="W1205" s="19"/>
      <c r="X1205" s="19"/>
      <c r="Y1205" s="19"/>
      <c r="Z1205" s="19" t="s">
        <v>637</v>
      </c>
      <c r="AA1205" s="19" t="s">
        <v>11380</v>
      </c>
      <c r="AB1205" s="19" t="s">
        <v>11381</v>
      </c>
      <c r="AC1205" s="19" t="s">
        <v>46</v>
      </c>
      <c r="AD1205" s="19"/>
      <c r="AE1205" s="19" t="s">
        <v>641</v>
      </c>
      <c r="AF1205" s="19" t="s">
        <v>190</v>
      </c>
      <c r="AG1205" s="19">
        <v>3</v>
      </c>
      <c r="AH1205" s="19" t="s">
        <v>190</v>
      </c>
      <c r="AI1205" s="19"/>
      <c r="AJ1205" s="19" t="s">
        <v>11384</v>
      </c>
      <c r="AK1205" s="19" t="s">
        <v>4386</v>
      </c>
    </row>
    <row r="1206" spans="1:37" s="23" customFormat="1">
      <c r="A1206" s="19" t="str">
        <f>VLOOKUP(H1206,Languages!$A$2:$B$430,2,FALSE)</f>
        <v>Indo-European</v>
      </c>
      <c r="B1206" s="19" t="s">
        <v>1738</v>
      </c>
      <c r="C1206" s="19" t="s">
        <v>407</v>
      </c>
      <c r="D1206" s="19" t="s">
        <v>11376</v>
      </c>
      <c r="E1206" s="20" t="s">
        <v>551</v>
      </c>
      <c r="F1206" s="20" t="s">
        <v>551</v>
      </c>
      <c r="G1206" s="19" t="s">
        <v>551</v>
      </c>
      <c r="H1206" s="19" t="str">
        <f>VLOOKUP(G1206,'languoid 4.0'!$A$1:$I$24439,2,FALSE)</f>
        <v>indo1319</v>
      </c>
      <c r="I1206" s="19" t="str">
        <f>VLOOKUP(G1206,'languoid 4.0'!$A$1:$I$24439,6,FALSE)</f>
        <v>dialect</v>
      </c>
      <c r="J1206" s="20" t="s">
        <v>38</v>
      </c>
      <c r="K1206" s="20" t="s">
        <v>38</v>
      </c>
      <c r="L1206" s="20" t="s">
        <v>38</v>
      </c>
      <c r="M1206" s="19"/>
      <c r="N1206" s="19"/>
      <c r="O1206" s="20" t="s">
        <v>40</v>
      </c>
      <c r="P1206" s="20" t="s">
        <v>41</v>
      </c>
      <c r="Q1206" s="19" t="s">
        <v>11377</v>
      </c>
      <c r="R1206" s="21" t="s">
        <v>11378</v>
      </c>
      <c r="S1206" s="19" t="s">
        <v>323</v>
      </c>
      <c r="T1206" s="19" t="s">
        <v>657</v>
      </c>
      <c r="U1206" s="19" t="s">
        <v>11379</v>
      </c>
      <c r="V1206" s="19" t="s">
        <v>45</v>
      </c>
      <c r="W1206" s="19"/>
      <c r="X1206" s="19"/>
      <c r="Y1206" s="19"/>
      <c r="Z1206" s="19" t="s">
        <v>637</v>
      </c>
      <c r="AA1206" s="19" t="s">
        <v>11380</v>
      </c>
      <c r="AB1206" s="19" t="s">
        <v>11381</v>
      </c>
      <c r="AC1206" s="19" t="s">
        <v>46</v>
      </c>
      <c r="AD1206" s="19"/>
      <c r="AE1206" s="19" t="s">
        <v>641</v>
      </c>
      <c r="AF1206" s="19" t="s">
        <v>190</v>
      </c>
      <c r="AG1206" s="19">
        <v>3</v>
      </c>
      <c r="AH1206" s="19" t="s">
        <v>190</v>
      </c>
      <c r="AI1206" s="19" t="s">
        <v>11382</v>
      </c>
      <c r="AJ1206" s="19" t="s">
        <v>11385</v>
      </c>
      <c r="AK1206" s="19" t="s">
        <v>4386</v>
      </c>
    </row>
    <row r="1207" spans="1:37" s="23" customFormat="1">
      <c r="A1207" s="19" t="str">
        <f>VLOOKUP(H1207,Languages!$A$2:$B$430,2,FALSE)</f>
        <v>Indo-European</v>
      </c>
      <c r="B1207" s="19" t="s">
        <v>1738</v>
      </c>
      <c r="C1207" s="19" t="s">
        <v>419</v>
      </c>
      <c r="D1207" s="19" t="s">
        <v>6873</v>
      </c>
      <c r="E1207" s="20" t="s">
        <v>239</v>
      </c>
      <c r="F1207" s="20" t="s">
        <v>239</v>
      </c>
      <c r="G1207" s="19" t="s">
        <v>239</v>
      </c>
      <c r="H1207" s="19" t="str">
        <f>VLOOKUP(G1207,'languoid 4.0'!$A$1:$I$24439,2,FALSE)</f>
        <v>indo1319</v>
      </c>
      <c r="I1207" s="19" t="str">
        <f>VLOOKUP(G1207,'languoid 4.0'!$A$1:$I$24439,6,FALSE)</f>
        <v>language</v>
      </c>
      <c r="J1207" s="20" t="s">
        <v>38</v>
      </c>
      <c r="K1207" s="20" t="s">
        <v>38</v>
      </c>
      <c r="L1207" s="20" t="s">
        <v>38</v>
      </c>
      <c r="M1207" s="19"/>
      <c r="N1207" s="19" t="s">
        <v>269</v>
      </c>
      <c r="O1207" s="20" t="s">
        <v>40</v>
      </c>
      <c r="P1207" s="20" t="s">
        <v>41</v>
      </c>
      <c r="Q1207" s="19" t="s">
        <v>6874</v>
      </c>
      <c r="R1207" s="21" t="s">
        <v>6875</v>
      </c>
      <c r="S1207" s="19" t="s">
        <v>46</v>
      </c>
      <c r="T1207" s="19" t="s">
        <v>635</v>
      </c>
      <c r="U1207" s="19" t="s">
        <v>1726</v>
      </c>
      <c r="V1207" s="19" t="s">
        <v>45</v>
      </c>
      <c r="W1207" s="19"/>
      <c r="X1207" s="19"/>
      <c r="Y1207" s="19"/>
      <c r="Z1207" s="19" t="s">
        <v>658</v>
      </c>
      <c r="AA1207" s="19" t="s">
        <v>6876</v>
      </c>
      <c r="AB1207" s="19" t="s">
        <v>6877</v>
      </c>
      <c r="AC1207" s="19" t="s">
        <v>46</v>
      </c>
      <c r="AD1207" s="19" t="s">
        <v>46</v>
      </c>
      <c r="AE1207" s="19" t="s">
        <v>641</v>
      </c>
      <c r="AF1207" s="19" t="s">
        <v>190</v>
      </c>
      <c r="AG1207" s="19">
        <v>6</v>
      </c>
      <c r="AH1207" s="19" t="s">
        <v>190</v>
      </c>
      <c r="AI1207" s="19" t="s">
        <v>46</v>
      </c>
      <c r="AJ1207" s="19" t="s">
        <v>6878</v>
      </c>
      <c r="AK1207" s="19" t="s">
        <v>1607</v>
      </c>
    </row>
    <row r="1208" spans="1:37" s="23" customFormat="1">
      <c r="A1208" s="19" t="str">
        <f>VLOOKUP(H1208,Languages!$A$2:$B$430,2,FALSE)</f>
        <v>Indo-European</v>
      </c>
      <c r="B1208" s="19" t="s">
        <v>1738</v>
      </c>
      <c r="C1208" s="19" t="s">
        <v>419</v>
      </c>
      <c r="D1208" s="19" t="s">
        <v>6873</v>
      </c>
      <c r="E1208" s="20" t="s">
        <v>239</v>
      </c>
      <c r="F1208" s="20" t="s">
        <v>239</v>
      </c>
      <c r="G1208" s="19" t="s">
        <v>239</v>
      </c>
      <c r="H1208" s="19" t="str">
        <f>VLOOKUP(G1208,'languoid 4.0'!$A$1:$I$24439,2,FALSE)</f>
        <v>indo1319</v>
      </c>
      <c r="I1208" s="19" t="str">
        <f>VLOOKUP(G1208,'languoid 4.0'!$A$1:$I$24439,6,FALSE)</f>
        <v>language</v>
      </c>
      <c r="J1208" s="20" t="s">
        <v>38</v>
      </c>
      <c r="K1208" s="20" t="s">
        <v>38</v>
      </c>
      <c r="L1208" s="20" t="s">
        <v>38</v>
      </c>
      <c r="M1208" s="19"/>
      <c r="N1208" s="19" t="s">
        <v>269</v>
      </c>
      <c r="O1208" s="20" t="s">
        <v>40</v>
      </c>
      <c r="P1208" s="20" t="s">
        <v>41</v>
      </c>
      <c r="Q1208" s="19" t="s">
        <v>46</v>
      </c>
      <c r="R1208" s="21" t="s">
        <v>6879</v>
      </c>
      <c r="S1208" s="19" t="s">
        <v>46</v>
      </c>
      <c r="T1208" s="19" t="s">
        <v>635</v>
      </c>
      <c r="U1208" s="19" t="s">
        <v>1726</v>
      </c>
      <c r="V1208" s="19" t="s">
        <v>45</v>
      </c>
      <c r="W1208" s="19"/>
      <c r="X1208" s="19"/>
      <c r="Y1208" s="19"/>
      <c r="Z1208" s="19" t="s">
        <v>658</v>
      </c>
      <c r="AA1208" s="19" t="s">
        <v>6880</v>
      </c>
      <c r="AB1208" s="19" t="s">
        <v>6881</v>
      </c>
      <c r="AC1208" s="19" t="s">
        <v>46</v>
      </c>
      <c r="AD1208" s="19" t="s">
        <v>46</v>
      </c>
      <c r="AE1208" s="19" t="s">
        <v>641</v>
      </c>
      <c r="AF1208" s="19" t="s">
        <v>190</v>
      </c>
      <c r="AG1208" s="19">
        <v>6</v>
      </c>
      <c r="AH1208" s="19" t="s">
        <v>190</v>
      </c>
      <c r="AI1208" s="19" t="s">
        <v>46</v>
      </c>
      <c r="AJ1208" s="19" t="s">
        <v>6882</v>
      </c>
      <c r="AK1208" s="19" t="s">
        <v>1607</v>
      </c>
    </row>
    <row r="1209" spans="1:37" s="23" customFormat="1">
      <c r="A1209" s="19" t="str">
        <f>VLOOKUP(H1209,Languages!$A$2:$B$430,2,FALSE)</f>
        <v>Indo-European</v>
      </c>
      <c r="B1209" s="19" t="s">
        <v>1738</v>
      </c>
      <c r="C1209" s="19" t="s">
        <v>249</v>
      </c>
      <c r="D1209" s="19" t="s">
        <v>437</v>
      </c>
      <c r="E1209" s="20" t="s">
        <v>438</v>
      </c>
      <c r="F1209" s="20" t="s">
        <v>438</v>
      </c>
      <c r="G1209" s="19" t="s">
        <v>438</v>
      </c>
      <c r="H1209" s="19" t="str">
        <f>VLOOKUP(G1209,'languoid 4.0'!$A$1:$I$24439,2,FALSE)</f>
        <v>indo1319</v>
      </c>
      <c r="I1209" s="19" t="str">
        <f>VLOOKUP(G1209,'languoid 4.0'!$A$1:$I$24439,6,FALSE)</f>
        <v>language</v>
      </c>
      <c r="J1209" s="20" t="s">
        <v>38</v>
      </c>
      <c r="K1209" s="20" t="s">
        <v>38</v>
      </c>
      <c r="L1209" s="20" t="s">
        <v>38</v>
      </c>
      <c r="M1209" s="19"/>
      <c r="N1209" s="19" t="s">
        <v>10554</v>
      </c>
      <c r="O1209" s="20" t="s">
        <v>40</v>
      </c>
      <c r="P1209" s="20" t="s">
        <v>41</v>
      </c>
      <c r="Q1209" s="19" t="s">
        <v>11469</v>
      </c>
      <c r="R1209" s="21" t="s">
        <v>11470</v>
      </c>
      <c r="S1209" s="19" t="s">
        <v>11471</v>
      </c>
      <c r="T1209" s="19" t="s">
        <v>657</v>
      </c>
      <c r="U1209" s="19" t="s">
        <v>2511</v>
      </c>
      <c r="V1209" s="19" t="s">
        <v>45</v>
      </c>
      <c r="W1209" s="19"/>
      <c r="X1209" s="19"/>
      <c r="Y1209" s="19"/>
      <c r="Z1209" s="19" t="s">
        <v>637</v>
      </c>
      <c r="AA1209" s="19" t="s">
        <v>11472</v>
      </c>
      <c r="AB1209" s="19" t="s">
        <v>46</v>
      </c>
      <c r="AC1209" s="19" t="s">
        <v>46</v>
      </c>
      <c r="AD1209" s="19"/>
      <c r="AE1209" s="19" t="s">
        <v>641</v>
      </c>
      <c r="AF1209" s="19" t="s">
        <v>45</v>
      </c>
      <c r="AG1209" s="19">
        <v>1</v>
      </c>
      <c r="AH1209" s="19" t="s">
        <v>190</v>
      </c>
      <c r="AI1209" s="19"/>
      <c r="AJ1209" s="22">
        <v>43497.968391203707</v>
      </c>
      <c r="AK1209" s="19" t="s">
        <v>5640</v>
      </c>
    </row>
    <row r="1210" spans="1:37" s="23" customFormat="1">
      <c r="A1210" s="19" t="str">
        <f>VLOOKUP(H1210,Languages!$A$2:$B$430,2,FALSE)</f>
        <v>Indo-European</v>
      </c>
      <c r="B1210" s="19" t="s">
        <v>1738</v>
      </c>
      <c r="C1210" s="19" t="s">
        <v>249</v>
      </c>
      <c r="D1210" s="19" t="s">
        <v>10560</v>
      </c>
      <c r="E1210" s="20" t="s">
        <v>10561</v>
      </c>
      <c r="F1210" s="20" t="s">
        <v>10561</v>
      </c>
      <c r="G1210" s="19" t="s">
        <v>10561</v>
      </c>
      <c r="H1210" s="19" t="str">
        <f>VLOOKUP(G1210,'languoid 4.0'!$A$1:$I$24439,2,FALSE)</f>
        <v>indo1319</v>
      </c>
      <c r="I1210" s="19" t="str">
        <f>VLOOKUP(G1210,'languoid 4.0'!$A$1:$I$24439,6,FALSE)</f>
        <v>language</v>
      </c>
      <c r="J1210" s="20" t="s">
        <v>38</v>
      </c>
      <c r="K1210" s="20" t="s">
        <v>38</v>
      </c>
      <c r="L1210" s="20" t="s">
        <v>38</v>
      </c>
      <c r="M1210" s="19"/>
      <c r="N1210" s="19" t="s">
        <v>10562</v>
      </c>
      <c r="O1210" s="20" t="s">
        <v>40</v>
      </c>
      <c r="P1210" s="20" t="s">
        <v>41</v>
      </c>
      <c r="Q1210" s="19" t="s">
        <v>11490</v>
      </c>
      <c r="R1210" s="21" t="s">
        <v>11491</v>
      </c>
      <c r="S1210" s="19" t="s">
        <v>4323</v>
      </c>
      <c r="T1210" s="19" t="s">
        <v>657</v>
      </c>
      <c r="U1210" s="19" t="s">
        <v>11492</v>
      </c>
      <c r="V1210" s="19" t="s">
        <v>45</v>
      </c>
      <c r="W1210" s="19"/>
      <c r="X1210" s="19"/>
      <c r="Y1210" s="19"/>
      <c r="Z1210" s="19" t="s">
        <v>658</v>
      </c>
      <c r="AA1210" s="19" t="s">
        <v>46</v>
      </c>
      <c r="AB1210" s="19" t="s">
        <v>46</v>
      </c>
      <c r="AC1210" s="19" t="s">
        <v>46</v>
      </c>
      <c r="AD1210" s="19"/>
      <c r="AE1210" s="19" t="s">
        <v>641</v>
      </c>
      <c r="AF1210" s="19" t="s">
        <v>45</v>
      </c>
      <c r="AG1210" s="19">
        <v>1</v>
      </c>
      <c r="AH1210" s="19" t="s">
        <v>190</v>
      </c>
      <c r="AI1210" s="19"/>
      <c r="AJ1210" s="22">
        <v>43525.581030092595</v>
      </c>
      <c r="AK1210" s="19" t="s">
        <v>5640</v>
      </c>
    </row>
    <row r="1211" spans="1:37" s="23" customFormat="1">
      <c r="A1211" s="19" t="str">
        <f>VLOOKUP(H1211,Languages!$A$2:$B$430,2,FALSE)</f>
        <v>Indo-European</v>
      </c>
      <c r="B1211" s="19" t="s">
        <v>1738</v>
      </c>
      <c r="C1211" s="19" t="s">
        <v>124</v>
      </c>
      <c r="D1211" s="19" t="s">
        <v>1288</v>
      </c>
      <c r="E1211" s="20" t="s">
        <v>1289</v>
      </c>
      <c r="F1211" s="20" t="s">
        <v>1290</v>
      </c>
      <c r="G1211" s="19" t="s">
        <v>1289</v>
      </c>
      <c r="H1211" s="19" t="str">
        <f>VLOOKUP(G1211,'languoid 4.0'!$A$1:$I$24439,2,FALSE)</f>
        <v>indo1319</v>
      </c>
      <c r="I1211" s="19" t="str">
        <f>VLOOKUP(G1211,'languoid 4.0'!$A$1:$I$24439,6,FALSE)</f>
        <v>language</v>
      </c>
      <c r="J1211" s="20" t="s">
        <v>52</v>
      </c>
      <c r="K1211" s="20" t="s">
        <v>38</v>
      </c>
      <c r="L1211" s="20" t="s">
        <v>38</v>
      </c>
      <c r="M1211" s="19"/>
      <c r="N1211" s="19" t="s">
        <v>1291</v>
      </c>
      <c r="O1211" s="20" t="s">
        <v>40</v>
      </c>
      <c r="P1211" s="20" t="s">
        <v>632</v>
      </c>
      <c r="Q1211" s="19" t="s">
        <v>2226</v>
      </c>
      <c r="R1211" s="21" t="s">
        <v>2227</v>
      </c>
      <c r="S1211" s="19" t="s">
        <v>46</v>
      </c>
      <c r="T1211" s="19" t="s">
        <v>635</v>
      </c>
      <c r="U1211" s="19" t="s">
        <v>1897</v>
      </c>
      <c r="V1211" s="19" t="s">
        <v>45</v>
      </c>
      <c r="W1211" s="19"/>
      <c r="X1211" s="19"/>
      <c r="Y1211" s="19"/>
      <c r="Z1211" s="19" t="s">
        <v>658</v>
      </c>
      <c r="AA1211" s="19" t="s">
        <v>2228</v>
      </c>
      <c r="AB1211" s="19" t="s">
        <v>46</v>
      </c>
      <c r="AC1211" s="19" t="s">
        <v>46</v>
      </c>
      <c r="AD1211" s="19" t="s">
        <v>2229</v>
      </c>
      <c r="AE1211" s="19" t="s">
        <v>641</v>
      </c>
      <c r="AF1211" s="19" t="s">
        <v>190</v>
      </c>
      <c r="AG1211" s="19">
        <v>6</v>
      </c>
      <c r="AH1211" s="19" t="s">
        <v>190</v>
      </c>
      <c r="AI1211" s="19"/>
      <c r="AJ1211" s="19" t="s">
        <v>2230</v>
      </c>
      <c r="AK1211" s="19" t="s">
        <v>1126</v>
      </c>
    </row>
    <row r="1212" spans="1:37" s="23" customFormat="1">
      <c r="A1212" s="19" t="str">
        <f>VLOOKUP(H1212,Languages!$A$2:$B$430,2,FALSE)</f>
        <v>Indo-European</v>
      </c>
      <c r="B1212" s="19" t="s">
        <v>1738</v>
      </c>
      <c r="C1212" s="19" t="s">
        <v>124</v>
      </c>
      <c r="D1212" s="19" t="s">
        <v>8005</v>
      </c>
      <c r="E1212" s="20" t="s">
        <v>7992</v>
      </c>
      <c r="F1212" s="20" t="s">
        <v>7992</v>
      </c>
      <c r="G1212" s="19" t="s">
        <v>7992</v>
      </c>
      <c r="H1212" s="19" t="str">
        <f>VLOOKUP(G1212,'languoid 4.0'!$A$1:$I$24439,2,FALSE)</f>
        <v>indo1319</v>
      </c>
      <c r="I1212" s="19" t="str">
        <f>VLOOKUP(G1212,'languoid 4.0'!$A$1:$I$24439,6,FALSE)</f>
        <v>language</v>
      </c>
      <c r="J1212" s="20" t="s">
        <v>38</v>
      </c>
      <c r="K1212" s="20" t="s">
        <v>38</v>
      </c>
      <c r="L1212" s="20" t="s">
        <v>38</v>
      </c>
      <c r="M1212" s="19"/>
      <c r="N1212" s="19" t="s">
        <v>8006</v>
      </c>
      <c r="O1212" s="20" t="s">
        <v>40</v>
      </c>
      <c r="P1212" s="20" t="s">
        <v>41</v>
      </c>
      <c r="Q1212" s="19" t="s">
        <v>8007</v>
      </c>
      <c r="R1212" s="21" t="s">
        <v>8008</v>
      </c>
      <c r="S1212" s="19" t="s">
        <v>46</v>
      </c>
      <c r="T1212" s="19" t="s">
        <v>822</v>
      </c>
      <c r="U1212" s="19" t="s">
        <v>1707</v>
      </c>
      <c r="V1212" s="19" t="s">
        <v>45</v>
      </c>
      <c r="W1212" s="19"/>
      <c r="X1212" s="19"/>
      <c r="Y1212" s="19"/>
      <c r="Z1212" s="19" t="s">
        <v>637</v>
      </c>
      <c r="AA1212" s="19" t="s">
        <v>8009</v>
      </c>
      <c r="AB1212" s="19" t="s">
        <v>8010</v>
      </c>
      <c r="AC1212" s="19" t="s">
        <v>46</v>
      </c>
      <c r="AD1212" s="19"/>
      <c r="AE1212" s="19" t="s">
        <v>641</v>
      </c>
      <c r="AF1212" s="19" t="s">
        <v>45</v>
      </c>
      <c r="AG1212" s="19">
        <v>1</v>
      </c>
      <c r="AH1212" s="19" t="s">
        <v>190</v>
      </c>
      <c r="AI1212" s="19"/>
      <c r="AJ1212" s="19" t="s">
        <v>8011</v>
      </c>
      <c r="AK1212" s="19" t="s">
        <v>4945</v>
      </c>
    </row>
    <row r="1213" spans="1:37" s="23" customFormat="1">
      <c r="A1213" s="19" t="str">
        <f>VLOOKUP(H1213,Languages!$A$2:$B$430,2,FALSE)</f>
        <v>Indo-European</v>
      </c>
      <c r="B1213" s="19" t="s">
        <v>1738</v>
      </c>
      <c r="C1213" s="19" t="s">
        <v>58</v>
      </c>
      <c r="D1213" s="19" t="s">
        <v>2353</v>
      </c>
      <c r="E1213" s="20" t="s">
        <v>2354</v>
      </c>
      <c r="F1213" s="20" t="s">
        <v>2354</v>
      </c>
      <c r="G1213" s="19" t="s">
        <v>2354</v>
      </c>
      <c r="H1213" s="19" t="str">
        <f>VLOOKUP(G1213,'languoid 4.0'!$A$1:$I$24439,2,FALSE)</f>
        <v>indo1319</v>
      </c>
      <c r="I1213" s="19" t="str">
        <f>VLOOKUP(G1213,'languoid 4.0'!$A$1:$I$24439,6,FALSE)</f>
        <v>language</v>
      </c>
      <c r="J1213" s="20" t="s">
        <v>38</v>
      </c>
      <c r="K1213" s="20" t="s">
        <v>38</v>
      </c>
      <c r="L1213" s="20" t="s">
        <v>38</v>
      </c>
      <c r="M1213" s="19"/>
      <c r="N1213" s="19" t="s">
        <v>2355</v>
      </c>
      <c r="O1213" s="20" t="s">
        <v>40</v>
      </c>
      <c r="P1213" s="20" t="s">
        <v>41</v>
      </c>
      <c r="Q1213" s="19" t="s">
        <v>2356</v>
      </c>
      <c r="R1213" s="21" t="s">
        <v>2357</v>
      </c>
      <c r="S1213" s="19" t="s">
        <v>2358</v>
      </c>
      <c r="T1213" s="19" t="s">
        <v>635</v>
      </c>
      <c r="U1213" s="19" t="s">
        <v>2359</v>
      </c>
      <c r="V1213" s="19" t="s">
        <v>45</v>
      </c>
      <c r="W1213" s="19"/>
      <c r="X1213" s="19"/>
      <c r="Y1213" s="19"/>
      <c r="Z1213" s="19" t="s">
        <v>673</v>
      </c>
      <c r="AA1213" s="19" t="s">
        <v>2360</v>
      </c>
      <c r="AB1213" s="19" t="s">
        <v>2361</v>
      </c>
      <c r="AC1213" s="19" t="s">
        <v>46</v>
      </c>
      <c r="AD1213" s="19" t="s">
        <v>2362</v>
      </c>
      <c r="AE1213" s="19" t="s">
        <v>641</v>
      </c>
      <c r="AF1213" s="19" t="s">
        <v>190</v>
      </c>
      <c r="AG1213" s="19">
        <v>6</v>
      </c>
      <c r="AH1213" s="19" t="s">
        <v>190</v>
      </c>
      <c r="AI1213" s="19"/>
      <c r="AJ1213" s="19" t="s">
        <v>2363</v>
      </c>
      <c r="AK1213" s="19" t="s">
        <v>2364</v>
      </c>
    </row>
    <row r="1214" spans="1:37" s="23" customFormat="1">
      <c r="A1214" s="19" t="str">
        <f>VLOOKUP(H1214,Languages!$A$2:$B$430,2,FALSE)</f>
        <v>Indo-European</v>
      </c>
      <c r="B1214" s="19" t="s">
        <v>1738</v>
      </c>
      <c r="C1214" s="19" t="s">
        <v>58</v>
      </c>
      <c r="D1214" s="19" t="s">
        <v>6259</v>
      </c>
      <c r="E1214" s="20" t="s">
        <v>2354</v>
      </c>
      <c r="F1214" s="20" t="s">
        <v>2354</v>
      </c>
      <c r="G1214" s="19" t="s">
        <v>2354</v>
      </c>
      <c r="H1214" s="19" t="str">
        <f>VLOOKUP(G1214,'languoid 4.0'!$A$1:$I$24439,2,FALSE)</f>
        <v>indo1319</v>
      </c>
      <c r="I1214" s="19" t="str">
        <f>VLOOKUP(G1214,'languoid 4.0'!$A$1:$I$24439,6,FALSE)</f>
        <v>language</v>
      </c>
      <c r="J1214" s="20" t="s">
        <v>38</v>
      </c>
      <c r="K1214" s="20" t="s">
        <v>38</v>
      </c>
      <c r="L1214" s="20" t="s">
        <v>38</v>
      </c>
      <c r="M1214" s="19"/>
      <c r="N1214" s="19" t="s">
        <v>2355</v>
      </c>
      <c r="O1214" s="20" t="s">
        <v>40</v>
      </c>
      <c r="P1214" s="20" t="s">
        <v>41</v>
      </c>
      <c r="Q1214" s="19" t="s">
        <v>6260</v>
      </c>
      <c r="R1214" s="21" t="s">
        <v>6261</v>
      </c>
      <c r="S1214" s="19" t="s">
        <v>6262</v>
      </c>
      <c r="T1214" s="19" t="s">
        <v>6263</v>
      </c>
      <c r="U1214" s="19" t="s">
        <v>1897</v>
      </c>
      <c r="V1214" s="19" t="s">
        <v>45</v>
      </c>
      <c r="W1214" s="19"/>
      <c r="X1214" s="19"/>
      <c r="Y1214" s="19"/>
      <c r="Z1214" s="19" t="s">
        <v>658</v>
      </c>
      <c r="AA1214" s="19" t="s">
        <v>6264</v>
      </c>
      <c r="AB1214" s="19" t="s">
        <v>6265</v>
      </c>
      <c r="AC1214" s="19" t="s">
        <v>46</v>
      </c>
      <c r="AD1214" s="19"/>
      <c r="AE1214" s="19" t="s">
        <v>641</v>
      </c>
      <c r="AF1214" s="19" t="s">
        <v>190</v>
      </c>
      <c r="AG1214" s="19">
        <v>5</v>
      </c>
      <c r="AH1214" s="19" t="s">
        <v>190</v>
      </c>
      <c r="AI1214" s="19"/>
      <c r="AJ1214" s="22">
        <v>43227.521956018521</v>
      </c>
      <c r="AK1214" s="19" t="s">
        <v>4408</v>
      </c>
    </row>
    <row r="1215" spans="1:37" s="23" customFormat="1">
      <c r="A1215" s="19" t="str">
        <f>VLOOKUP(H1215,Languages!$A$2:$B$430,2,FALSE)</f>
        <v>Indo-European</v>
      </c>
      <c r="B1215" s="19" t="s">
        <v>1738</v>
      </c>
      <c r="C1215" s="19" t="s">
        <v>58</v>
      </c>
      <c r="D1215" s="19" t="s">
        <v>6278</v>
      </c>
      <c r="E1215" s="20" t="s">
        <v>2354</v>
      </c>
      <c r="F1215" s="20" t="s">
        <v>2354</v>
      </c>
      <c r="G1215" s="19" t="s">
        <v>2354</v>
      </c>
      <c r="H1215" s="19" t="str">
        <f>VLOOKUP(G1215,'languoid 4.0'!$A$1:$I$24439,2,FALSE)</f>
        <v>indo1319</v>
      </c>
      <c r="I1215" s="19" t="str">
        <f>VLOOKUP(G1215,'languoid 4.0'!$A$1:$I$24439,6,FALSE)</f>
        <v>language</v>
      </c>
      <c r="J1215" s="20" t="s">
        <v>38</v>
      </c>
      <c r="K1215" s="20" t="s">
        <v>38</v>
      </c>
      <c r="L1215" s="20" t="s">
        <v>38</v>
      </c>
      <c r="M1215" s="19"/>
      <c r="N1215" s="19" t="s">
        <v>2355</v>
      </c>
      <c r="O1215" s="20" t="s">
        <v>40</v>
      </c>
      <c r="P1215" s="20" t="s">
        <v>41</v>
      </c>
      <c r="Q1215" s="19" t="s">
        <v>6287</v>
      </c>
      <c r="R1215" s="21" t="s">
        <v>6288</v>
      </c>
      <c r="S1215" s="19" t="s">
        <v>6289</v>
      </c>
      <c r="T1215" s="19" t="s">
        <v>6269</v>
      </c>
      <c r="U1215" s="19" t="s">
        <v>6290</v>
      </c>
      <c r="V1215" s="19" t="s">
        <v>45</v>
      </c>
      <c r="W1215" s="19"/>
      <c r="X1215" s="19"/>
      <c r="Y1215" s="19"/>
      <c r="Z1215" s="19" t="s">
        <v>658</v>
      </c>
      <c r="AA1215" s="19" t="s">
        <v>6291</v>
      </c>
      <c r="AB1215" s="19" t="s">
        <v>6292</v>
      </c>
      <c r="AC1215" s="19" t="s">
        <v>46</v>
      </c>
      <c r="AD1215" s="19"/>
      <c r="AE1215" s="19" t="s">
        <v>641</v>
      </c>
      <c r="AF1215" s="19" t="s">
        <v>190</v>
      </c>
      <c r="AG1215" s="19">
        <v>6</v>
      </c>
      <c r="AH1215" s="19" t="s">
        <v>190</v>
      </c>
      <c r="AI1215" s="19"/>
      <c r="AJ1215" s="22">
        <v>43227.535462962966</v>
      </c>
      <c r="AK1215" s="19" t="s">
        <v>4408</v>
      </c>
    </row>
    <row r="1216" spans="1:37" s="23" customFormat="1">
      <c r="A1216" s="19" t="str">
        <f>VLOOKUP(H1216,Languages!$A$2:$B$430,2,FALSE)</f>
        <v>Indo-European</v>
      </c>
      <c r="B1216" s="19" t="s">
        <v>1738</v>
      </c>
      <c r="C1216" s="19" t="s">
        <v>58</v>
      </c>
      <c r="D1216" s="19" t="s">
        <v>8955</v>
      </c>
      <c r="E1216" s="20" t="s">
        <v>8956</v>
      </c>
      <c r="F1216" s="20" t="s">
        <v>2995</v>
      </c>
      <c r="G1216" s="19" t="s">
        <v>2995</v>
      </c>
      <c r="H1216" s="19" t="str">
        <f>VLOOKUP(G1216,'languoid 4.0'!$A$1:$I$24439,2,FALSE)</f>
        <v>indo1319</v>
      </c>
      <c r="I1216" s="19" t="str">
        <f>VLOOKUP(G1216,'languoid 4.0'!$A$1:$I$24439,6,FALSE)</f>
        <v>language</v>
      </c>
      <c r="J1216" s="20" t="s">
        <v>52</v>
      </c>
      <c r="K1216" s="20" t="s">
        <v>38</v>
      </c>
      <c r="L1216" s="20" t="s">
        <v>38</v>
      </c>
      <c r="M1216" s="19"/>
      <c r="N1216" s="19"/>
      <c r="O1216" s="20" t="s">
        <v>40</v>
      </c>
      <c r="P1216" s="20" t="s">
        <v>41</v>
      </c>
      <c r="Q1216" s="19" t="s">
        <v>8962</v>
      </c>
      <c r="R1216" s="21" t="s">
        <v>8963</v>
      </c>
      <c r="S1216" s="19" t="s">
        <v>46</v>
      </c>
      <c r="T1216" s="19" t="s">
        <v>635</v>
      </c>
      <c r="U1216" s="19" t="s">
        <v>1897</v>
      </c>
      <c r="V1216" s="19" t="s">
        <v>45</v>
      </c>
      <c r="W1216" s="19"/>
      <c r="X1216" s="19"/>
      <c r="Y1216" s="19"/>
      <c r="Z1216" s="19" t="s">
        <v>637</v>
      </c>
      <c r="AA1216" s="19" t="s">
        <v>8964</v>
      </c>
      <c r="AB1216" s="19" t="s">
        <v>8965</v>
      </c>
      <c r="AC1216" s="19" t="s">
        <v>46</v>
      </c>
      <c r="AD1216" s="19"/>
      <c r="AE1216" s="19" t="s">
        <v>641</v>
      </c>
      <c r="AF1216" s="19" t="s">
        <v>190</v>
      </c>
      <c r="AG1216" s="19">
        <v>6</v>
      </c>
      <c r="AH1216" s="19" t="s">
        <v>190</v>
      </c>
      <c r="AI1216" s="19" t="s">
        <v>8966</v>
      </c>
      <c r="AJ1216" s="19" t="s">
        <v>8967</v>
      </c>
      <c r="AK1216" s="19" t="s">
        <v>8947</v>
      </c>
    </row>
    <row r="1217" spans="1:37" s="23" customFormat="1">
      <c r="A1217" s="19" t="str">
        <f>VLOOKUP(H1217,Languages!$A$2:$B$430,2,FALSE)</f>
        <v>Indo-European</v>
      </c>
      <c r="B1217" s="19" t="s">
        <v>1738</v>
      </c>
      <c r="C1217" s="19" t="s">
        <v>58</v>
      </c>
      <c r="D1217" s="19" t="s">
        <v>8973</v>
      </c>
      <c r="E1217" s="20" t="s">
        <v>2995</v>
      </c>
      <c r="F1217" s="20" t="s">
        <v>2995</v>
      </c>
      <c r="G1217" s="19" t="s">
        <v>2995</v>
      </c>
      <c r="H1217" s="19" t="str">
        <f>VLOOKUP(G1217,'languoid 4.0'!$A$1:$I$24439,2,FALSE)</f>
        <v>indo1319</v>
      </c>
      <c r="I1217" s="19" t="str">
        <f>VLOOKUP(G1217,'languoid 4.0'!$A$1:$I$24439,6,FALSE)</f>
        <v>language</v>
      </c>
      <c r="J1217" s="20" t="s">
        <v>38</v>
      </c>
      <c r="K1217" s="20" t="s">
        <v>38</v>
      </c>
      <c r="L1217" s="20" t="s">
        <v>38</v>
      </c>
      <c r="M1217" s="19"/>
      <c r="N1217" s="19" t="s">
        <v>2996</v>
      </c>
      <c r="O1217" s="20" t="s">
        <v>40</v>
      </c>
      <c r="P1217" s="20" t="s">
        <v>41</v>
      </c>
      <c r="Q1217" s="19" t="s">
        <v>8974</v>
      </c>
      <c r="R1217" s="21" t="s">
        <v>8975</v>
      </c>
      <c r="S1217" s="19" t="s">
        <v>46</v>
      </c>
      <c r="T1217" s="19" t="s">
        <v>635</v>
      </c>
      <c r="U1217" s="19" t="s">
        <v>1707</v>
      </c>
      <c r="V1217" s="19" t="s">
        <v>45</v>
      </c>
      <c r="W1217" s="19"/>
      <c r="X1217" s="19"/>
      <c r="Y1217" s="19"/>
      <c r="Z1217" s="19" t="s">
        <v>637</v>
      </c>
      <c r="AA1217" s="19" t="s">
        <v>8976</v>
      </c>
      <c r="AB1217" s="19" t="s">
        <v>8977</v>
      </c>
      <c r="AC1217" s="19" t="s">
        <v>46</v>
      </c>
      <c r="AD1217" s="19"/>
      <c r="AE1217" s="19" t="s">
        <v>641</v>
      </c>
      <c r="AF1217" s="19" t="s">
        <v>190</v>
      </c>
      <c r="AG1217" s="19">
        <v>6</v>
      </c>
      <c r="AH1217" s="19" t="s">
        <v>190</v>
      </c>
      <c r="AI1217" s="19"/>
      <c r="AJ1217" s="19" t="s">
        <v>8978</v>
      </c>
      <c r="AK1217" s="19" t="s">
        <v>8947</v>
      </c>
    </row>
    <row r="1218" spans="1:37" s="23" customFormat="1">
      <c r="A1218" s="19" t="str">
        <f>VLOOKUP(H1218,Languages!$A$2:$B$430,2,FALSE)</f>
        <v>Indo-European</v>
      </c>
      <c r="B1218" s="19" t="s">
        <v>1738</v>
      </c>
      <c r="C1218" s="19" t="s">
        <v>58</v>
      </c>
      <c r="D1218" s="19" t="s">
        <v>8979</v>
      </c>
      <c r="E1218" s="20" t="s">
        <v>2995</v>
      </c>
      <c r="F1218" s="20" t="s">
        <v>2995</v>
      </c>
      <c r="G1218" s="19" t="s">
        <v>2995</v>
      </c>
      <c r="H1218" s="19" t="str">
        <f>VLOOKUP(G1218,'languoid 4.0'!$A$1:$I$24439,2,FALSE)</f>
        <v>indo1319</v>
      </c>
      <c r="I1218" s="19" t="str">
        <f>VLOOKUP(G1218,'languoid 4.0'!$A$1:$I$24439,6,FALSE)</f>
        <v>language</v>
      </c>
      <c r="J1218" s="20" t="s">
        <v>38</v>
      </c>
      <c r="K1218" s="20" t="s">
        <v>38</v>
      </c>
      <c r="L1218" s="20" t="s">
        <v>38</v>
      </c>
      <c r="M1218" s="19"/>
      <c r="N1218" s="19" t="s">
        <v>2996</v>
      </c>
      <c r="O1218" s="20" t="s">
        <v>40</v>
      </c>
      <c r="P1218" s="20" t="s">
        <v>41</v>
      </c>
      <c r="Q1218" s="19" t="s">
        <v>8980</v>
      </c>
      <c r="R1218" s="21" t="s">
        <v>8981</v>
      </c>
      <c r="S1218" s="19" t="s">
        <v>46</v>
      </c>
      <c r="T1218" s="19" t="s">
        <v>635</v>
      </c>
      <c r="U1218" s="19" t="s">
        <v>1897</v>
      </c>
      <c r="V1218" s="19" t="s">
        <v>45</v>
      </c>
      <c r="W1218" s="19"/>
      <c r="X1218" s="19"/>
      <c r="Y1218" s="19"/>
      <c r="Z1218" s="19" t="s">
        <v>637</v>
      </c>
      <c r="AA1218" s="19" t="s">
        <v>8982</v>
      </c>
      <c r="AB1218" s="19" t="s">
        <v>8983</v>
      </c>
      <c r="AC1218" s="19" t="s">
        <v>46</v>
      </c>
      <c r="AD1218" s="19"/>
      <c r="AE1218" s="19" t="s">
        <v>641</v>
      </c>
      <c r="AF1218" s="19" t="s">
        <v>190</v>
      </c>
      <c r="AG1218" s="19">
        <v>6</v>
      </c>
      <c r="AH1218" s="19" t="s">
        <v>190</v>
      </c>
      <c r="AI1218" s="19"/>
      <c r="AJ1218" s="19" t="s">
        <v>8984</v>
      </c>
      <c r="AK1218" s="19" t="s">
        <v>8947</v>
      </c>
    </row>
    <row r="1219" spans="1:37" s="23" customFormat="1">
      <c r="A1219" s="19" t="str">
        <f>VLOOKUP(H1219,Languages!$A$2:$B$430,2,FALSE)</f>
        <v>Indo-European</v>
      </c>
      <c r="B1219" s="19" t="s">
        <v>1738</v>
      </c>
      <c r="C1219" s="19" t="s">
        <v>58</v>
      </c>
      <c r="D1219" s="19" t="s">
        <v>8973</v>
      </c>
      <c r="E1219" s="20" t="s">
        <v>2995</v>
      </c>
      <c r="F1219" s="20" t="s">
        <v>2995</v>
      </c>
      <c r="G1219" s="19" t="s">
        <v>2995</v>
      </c>
      <c r="H1219" s="19" t="str">
        <f>VLOOKUP(G1219,'languoid 4.0'!$A$1:$I$24439,2,FALSE)</f>
        <v>indo1319</v>
      </c>
      <c r="I1219" s="19" t="str">
        <f>VLOOKUP(G1219,'languoid 4.0'!$A$1:$I$24439,6,FALSE)</f>
        <v>language</v>
      </c>
      <c r="J1219" s="20" t="s">
        <v>38</v>
      </c>
      <c r="K1219" s="20" t="s">
        <v>38</v>
      </c>
      <c r="L1219" s="20" t="s">
        <v>38</v>
      </c>
      <c r="M1219" s="19"/>
      <c r="N1219" s="19" t="s">
        <v>2996</v>
      </c>
      <c r="O1219" s="20" t="s">
        <v>40</v>
      </c>
      <c r="P1219" s="20" t="s">
        <v>41</v>
      </c>
      <c r="Q1219" s="19" t="s">
        <v>9161</v>
      </c>
      <c r="R1219" s="21" t="s">
        <v>9162</v>
      </c>
      <c r="S1219" s="19" t="s">
        <v>46</v>
      </c>
      <c r="T1219" s="19" t="s">
        <v>635</v>
      </c>
      <c r="U1219" s="19" t="s">
        <v>1897</v>
      </c>
      <c r="V1219" s="19" t="s">
        <v>45</v>
      </c>
      <c r="W1219" s="19"/>
      <c r="X1219" s="19"/>
      <c r="Y1219" s="19"/>
      <c r="Z1219" s="19" t="s">
        <v>637</v>
      </c>
      <c r="AA1219" s="19" t="s">
        <v>9163</v>
      </c>
      <c r="AB1219" s="19" t="s">
        <v>9164</v>
      </c>
      <c r="AC1219" s="19" t="s">
        <v>46</v>
      </c>
      <c r="AD1219" s="19"/>
      <c r="AE1219" s="19" t="s">
        <v>641</v>
      </c>
      <c r="AF1219" s="19" t="s">
        <v>190</v>
      </c>
      <c r="AG1219" s="19">
        <v>6</v>
      </c>
      <c r="AH1219" s="19" t="s">
        <v>190</v>
      </c>
      <c r="AI1219" s="19" t="s">
        <v>9165</v>
      </c>
      <c r="AJ1219" s="19" t="s">
        <v>9166</v>
      </c>
      <c r="AK1219" s="19" t="s">
        <v>8947</v>
      </c>
    </row>
    <row r="1220" spans="1:37" s="23" customFormat="1">
      <c r="A1220" s="19" t="str">
        <f>VLOOKUP(H1220,Languages!$A$2:$B$430,2,FALSE)</f>
        <v>Indo-European</v>
      </c>
      <c r="B1220" s="19" t="s">
        <v>1738</v>
      </c>
      <c r="C1220" s="19" t="s">
        <v>58</v>
      </c>
      <c r="D1220" s="19" t="s">
        <v>9178</v>
      </c>
      <c r="E1220" s="20" t="s">
        <v>2995</v>
      </c>
      <c r="F1220" s="20" t="s">
        <v>2995</v>
      </c>
      <c r="G1220" s="19" t="s">
        <v>2995</v>
      </c>
      <c r="H1220" s="19" t="str">
        <f>VLOOKUP(G1220,'languoid 4.0'!$A$1:$I$24439,2,FALSE)</f>
        <v>indo1319</v>
      </c>
      <c r="I1220" s="19" t="str">
        <f>VLOOKUP(G1220,'languoid 4.0'!$A$1:$I$24439,6,FALSE)</f>
        <v>language</v>
      </c>
      <c r="J1220" s="20" t="s">
        <v>38</v>
      </c>
      <c r="K1220" s="20" t="s">
        <v>38</v>
      </c>
      <c r="L1220" s="20" t="s">
        <v>38</v>
      </c>
      <c r="M1220" s="19"/>
      <c r="N1220" s="19" t="s">
        <v>2996</v>
      </c>
      <c r="O1220" s="20" t="s">
        <v>40</v>
      </c>
      <c r="P1220" s="20" t="s">
        <v>41</v>
      </c>
      <c r="Q1220" s="19" t="s">
        <v>9185</v>
      </c>
      <c r="R1220" s="21" t="s">
        <v>9186</v>
      </c>
      <c r="S1220" s="19" t="s">
        <v>46</v>
      </c>
      <c r="T1220" s="19" t="s">
        <v>635</v>
      </c>
      <c r="U1220" s="19" t="s">
        <v>1039</v>
      </c>
      <c r="V1220" s="19" t="s">
        <v>45</v>
      </c>
      <c r="W1220" s="19"/>
      <c r="X1220" s="19"/>
      <c r="Y1220" s="19"/>
      <c r="Z1220" s="19" t="s">
        <v>637</v>
      </c>
      <c r="AA1220" s="19" t="s">
        <v>9187</v>
      </c>
      <c r="AB1220" s="19" t="s">
        <v>9188</v>
      </c>
      <c r="AC1220" s="19" t="s">
        <v>46</v>
      </c>
      <c r="AD1220" s="19"/>
      <c r="AE1220" s="19" t="s">
        <v>641</v>
      </c>
      <c r="AF1220" s="19" t="s">
        <v>190</v>
      </c>
      <c r="AG1220" s="19">
        <v>6</v>
      </c>
      <c r="AH1220" s="19" t="s">
        <v>190</v>
      </c>
      <c r="AI1220" s="19"/>
      <c r="AJ1220" s="19" t="s">
        <v>9189</v>
      </c>
      <c r="AK1220" s="19" t="s">
        <v>8947</v>
      </c>
    </row>
    <row r="1221" spans="1:37" s="23" customFormat="1">
      <c r="A1221" s="19" t="str">
        <f>VLOOKUP(H1221,Languages!$A$2:$B$430,2,FALSE)</f>
        <v>Indo-European</v>
      </c>
      <c r="B1221" s="19" t="s">
        <v>1738</v>
      </c>
      <c r="C1221" s="19" t="s">
        <v>58</v>
      </c>
      <c r="D1221" s="19" t="s">
        <v>9227</v>
      </c>
      <c r="E1221" s="20" t="s">
        <v>9228</v>
      </c>
      <c r="F1221" s="20" t="s">
        <v>9228</v>
      </c>
      <c r="G1221" s="19" t="s">
        <v>9228</v>
      </c>
      <c r="H1221" s="19" t="str">
        <f>VLOOKUP(G1221,'languoid 4.0'!$A$1:$I$24439,2,FALSE)</f>
        <v>indo1319</v>
      </c>
      <c r="I1221" s="19" t="str">
        <f>VLOOKUP(G1221,'languoid 4.0'!$A$1:$I$24439,6,FALSE)</f>
        <v>dialect</v>
      </c>
      <c r="J1221" s="20" t="s">
        <v>38</v>
      </c>
      <c r="K1221" s="20" t="s">
        <v>38</v>
      </c>
      <c r="L1221" s="20" t="s">
        <v>38</v>
      </c>
      <c r="M1221" s="19"/>
      <c r="N1221" s="19" t="s">
        <v>9229</v>
      </c>
      <c r="O1221" s="20" t="s">
        <v>40</v>
      </c>
      <c r="P1221" s="20" t="s">
        <v>41</v>
      </c>
      <c r="Q1221" s="19" t="s">
        <v>9230</v>
      </c>
      <c r="R1221" s="21" t="s">
        <v>9231</v>
      </c>
      <c r="S1221" s="19" t="s">
        <v>46</v>
      </c>
      <c r="T1221" s="19" t="s">
        <v>635</v>
      </c>
      <c r="U1221" s="19" t="s">
        <v>1897</v>
      </c>
      <c r="V1221" s="19" t="s">
        <v>45</v>
      </c>
      <c r="W1221" s="19"/>
      <c r="X1221" s="19"/>
      <c r="Y1221" s="19"/>
      <c r="Z1221" s="19" t="s">
        <v>637</v>
      </c>
      <c r="AA1221" s="19" t="s">
        <v>9232</v>
      </c>
      <c r="AB1221" s="19" t="s">
        <v>9233</v>
      </c>
      <c r="AC1221" s="19" t="s">
        <v>46</v>
      </c>
      <c r="AD1221" s="19"/>
      <c r="AE1221" s="19" t="s">
        <v>641</v>
      </c>
      <c r="AF1221" s="19" t="s">
        <v>190</v>
      </c>
      <c r="AG1221" s="19">
        <v>6</v>
      </c>
      <c r="AH1221" s="19" t="s">
        <v>190</v>
      </c>
      <c r="AI1221" s="19"/>
      <c r="AJ1221" s="19" t="s">
        <v>9234</v>
      </c>
      <c r="AK1221" s="19" t="s">
        <v>8947</v>
      </c>
    </row>
    <row r="1222" spans="1:37" s="23" customFormat="1">
      <c r="A1222" s="19" t="str">
        <f>VLOOKUP(H1222,Languages!$A$2:$B$430,2,FALSE)</f>
        <v>Indo-European</v>
      </c>
      <c r="B1222" s="19" t="s">
        <v>1738</v>
      </c>
      <c r="C1222" s="19" t="s">
        <v>58</v>
      </c>
      <c r="D1222" s="19" t="s">
        <v>9268</v>
      </c>
      <c r="E1222" s="20" t="s">
        <v>9261</v>
      </c>
      <c r="F1222" s="20" t="s">
        <v>9261</v>
      </c>
      <c r="G1222" s="19" t="s">
        <v>9261</v>
      </c>
      <c r="H1222" s="19" t="str">
        <f>VLOOKUP(G1222,'languoid 4.0'!$A$1:$I$24439,2,FALSE)</f>
        <v>indo1319</v>
      </c>
      <c r="I1222" s="19" t="str">
        <f>VLOOKUP(G1222,'languoid 4.0'!$A$1:$I$24439,6,FALSE)</f>
        <v>language</v>
      </c>
      <c r="J1222" s="20" t="s">
        <v>38</v>
      </c>
      <c r="K1222" s="20" t="s">
        <v>38</v>
      </c>
      <c r="L1222" s="20" t="s">
        <v>38</v>
      </c>
      <c r="M1222" s="19"/>
      <c r="N1222" s="19" t="s">
        <v>9262</v>
      </c>
      <c r="O1222" s="20" t="s">
        <v>40</v>
      </c>
      <c r="P1222" s="20" t="s">
        <v>41</v>
      </c>
      <c r="Q1222" s="19" t="s">
        <v>9269</v>
      </c>
      <c r="R1222" s="21" t="s">
        <v>9270</v>
      </c>
      <c r="S1222" s="19" t="s">
        <v>46</v>
      </c>
      <c r="T1222" s="19" t="s">
        <v>635</v>
      </c>
      <c r="U1222" s="19" t="s">
        <v>1897</v>
      </c>
      <c r="V1222" s="19" t="s">
        <v>45</v>
      </c>
      <c r="W1222" s="19"/>
      <c r="X1222" s="19"/>
      <c r="Y1222" s="19"/>
      <c r="Z1222" s="19" t="s">
        <v>637</v>
      </c>
      <c r="AA1222" s="19" t="s">
        <v>9271</v>
      </c>
      <c r="AB1222" s="19" t="s">
        <v>9272</v>
      </c>
      <c r="AC1222" s="19" t="s">
        <v>46</v>
      </c>
      <c r="AD1222" s="19"/>
      <c r="AE1222" s="19" t="s">
        <v>641</v>
      </c>
      <c r="AF1222" s="19" t="s">
        <v>190</v>
      </c>
      <c r="AG1222" s="19">
        <v>5</v>
      </c>
      <c r="AH1222" s="19" t="s">
        <v>190</v>
      </c>
      <c r="AI1222" s="19"/>
      <c r="AJ1222" s="19" t="s">
        <v>9273</v>
      </c>
      <c r="AK1222" s="19" t="s">
        <v>8947</v>
      </c>
    </row>
    <row r="1223" spans="1:37" s="23" customFormat="1">
      <c r="A1223" s="19" t="str">
        <f>VLOOKUP(H1223,Languages!$A$2:$B$430,2,FALSE)</f>
        <v>Indo-European</v>
      </c>
      <c r="B1223" s="19" t="s">
        <v>1738</v>
      </c>
      <c r="C1223" s="19" t="s">
        <v>58</v>
      </c>
      <c r="D1223" s="19" t="s">
        <v>9268</v>
      </c>
      <c r="E1223" s="20" t="s">
        <v>9261</v>
      </c>
      <c r="F1223" s="20" t="s">
        <v>9261</v>
      </c>
      <c r="G1223" s="19" t="s">
        <v>9261</v>
      </c>
      <c r="H1223" s="19" t="str">
        <f>VLOOKUP(G1223,'languoid 4.0'!$A$1:$I$24439,2,FALSE)</f>
        <v>indo1319</v>
      </c>
      <c r="I1223" s="19" t="str">
        <f>VLOOKUP(G1223,'languoid 4.0'!$A$1:$I$24439,6,FALSE)</f>
        <v>language</v>
      </c>
      <c r="J1223" s="20" t="s">
        <v>38</v>
      </c>
      <c r="K1223" s="20" t="s">
        <v>38</v>
      </c>
      <c r="L1223" s="20" t="s">
        <v>38</v>
      </c>
      <c r="M1223" s="19"/>
      <c r="N1223" s="19" t="s">
        <v>9262</v>
      </c>
      <c r="O1223" s="20" t="s">
        <v>40</v>
      </c>
      <c r="P1223" s="20" t="s">
        <v>41</v>
      </c>
      <c r="Q1223" s="19" t="s">
        <v>9274</v>
      </c>
      <c r="R1223" s="21" t="s">
        <v>9275</v>
      </c>
      <c r="S1223" s="19" t="s">
        <v>46</v>
      </c>
      <c r="T1223" s="19" t="s">
        <v>635</v>
      </c>
      <c r="U1223" s="19" t="s">
        <v>9276</v>
      </c>
      <c r="V1223" s="19" t="s">
        <v>45</v>
      </c>
      <c r="W1223" s="19"/>
      <c r="X1223" s="19"/>
      <c r="Y1223" s="19"/>
      <c r="Z1223" s="19" t="s">
        <v>637</v>
      </c>
      <c r="AA1223" s="19" t="s">
        <v>9277</v>
      </c>
      <c r="AB1223" s="19" t="s">
        <v>9278</v>
      </c>
      <c r="AC1223" s="19" t="s">
        <v>46</v>
      </c>
      <c r="AD1223" s="19"/>
      <c r="AE1223" s="19" t="s">
        <v>641</v>
      </c>
      <c r="AF1223" s="19" t="s">
        <v>190</v>
      </c>
      <c r="AG1223" s="19">
        <v>5</v>
      </c>
      <c r="AH1223" s="19" t="s">
        <v>190</v>
      </c>
      <c r="AI1223" s="19"/>
      <c r="AJ1223" s="19" t="s">
        <v>9279</v>
      </c>
      <c r="AK1223" s="19" t="s">
        <v>8947</v>
      </c>
    </row>
    <row r="1224" spans="1:37" s="23" customFormat="1">
      <c r="A1224" s="19" t="str">
        <f>VLOOKUP(H1224,Languages!$A$2:$B$430,2,FALSE)</f>
        <v>Indo-European</v>
      </c>
      <c r="B1224" s="19" t="s">
        <v>1738</v>
      </c>
      <c r="C1224" s="19" t="s">
        <v>58</v>
      </c>
      <c r="D1224" s="19" t="s">
        <v>9384</v>
      </c>
      <c r="E1224" s="20" t="s">
        <v>9385</v>
      </c>
      <c r="F1224" s="20" t="s">
        <v>9385</v>
      </c>
      <c r="G1224" s="19" t="s">
        <v>9385</v>
      </c>
      <c r="H1224" s="19" t="str">
        <f>VLOOKUP(G1224,'languoid 4.0'!$A$1:$I$24439,2,FALSE)</f>
        <v>indo1319</v>
      </c>
      <c r="I1224" s="19" t="str">
        <f>VLOOKUP(G1224,'languoid 4.0'!$A$1:$I$24439,6,FALSE)</f>
        <v>language</v>
      </c>
      <c r="J1224" s="20" t="s">
        <v>38</v>
      </c>
      <c r="K1224" s="20" t="s">
        <v>38</v>
      </c>
      <c r="L1224" s="20" t="s">
        <v>38</v>
      </c>
      <c r="M1224" s="19"/>
      <c r="N1224" s="19" t="s">
        <v>9386</v>
      </c>
      <c r="O1224" s="20" t="s">
        <v>40</v>
      </c>
      <c r="P1224" s="20" t="s">
        <v>41</v>
      </c>
      <c r="Q1224" s="19" t="s">
        <v>9438</v>
      </c>
      <c r="R1224" s="21" t="s">
        <v>9439</v>
      </c>
      <c r="S1224" s="19" t="s">
        <v>46</v>
      </c>
      <c r="T1224" s="19" t="s">
        <v>635</v>
      </c>
      <c r="U1224" s="19" t="s">
        <v>1897</v>
      </c>
      <c r="V1224" s="19" t="s">
        <v>45</v>
      </c>
      <c r="W1224" s="19"/>
      <c r="X1224" s="19"/>
      <c r="Y1224" s="19"/>
      <c r="Z1224" s="19" t="s">
        <v>637</v>
      </c>
      <c r="AA1224" s="19" t="s">
        <v>9440</v>
      </c>
      <c r="AB1224" s="19" t="s">
        <v>9441</v>
      </c>
      <c r="AC1224" s="19" t="s">
        <v>46</v>
      </c>
      <c r="AD1224" s="19"/>
      <c r="AE1224" s="19" t="s">
        <v>641</v>
      </c>
      <c r="AF1224" s="19" t="s">
        <v>190</v>
      </c>
      <c r="AG1224" s="19">
        <v>6</v>
      </c>
      <c r="AH1224" s="19" t="s">
        <v>190</v>
      </c>
      <c r="AI1224" s="19"/>
      <c r="AJ1224" s="22">
        <v>43230.486585648148</v>
      </c>
      <c r="AK1224" s="19" t="s">
        <v>8947</v>
      </c>
    </row>
    <row r="1225" spans="1:37" s="23" customFormat="1">
      <c r="A1225" s="19" t="str">
        <f>VLOOKUP(H1225,Languages!$A$2:$B$430,2,FALSE)</f>
        <v>Indo-European</v>
      </c>
      <c r="B1225" s="19" t="s">
        <v>1738</v>
      </c>
      <c r="C1225" s="19" t="s">
        <v>58</v>
      </c>
      <c r="D1225" s="19" t="s">
        <v>9656</v>
      </c>
      <c r="E1225" s="20" t="s">
        <v>9640</v>
      </c>
      <c r="F1225" s="20" t="s">
        <v>9640</v>
      </c>
      <c r="G1225" s="19" t="s">
        <v>9640</v>
      </c>
      <c r="H1225" s="19" t="str">
        <f>VLOOKUP(G1225,'languoid 4.0'!$A$1:$I$24439,2,FALSE)</f>
        <v>indo1319</v>
      </c>
      <c r="I1225" s="19" t="str">
        <f>VLOOKUP(G1225,'languoid 4.0'!$A$1:$I$24439,6,FALSE)</f>
        <v>dialect</v>
      </c>
      <c r="J1225" s="20" t="s">
        <v>38</v>
      </c>
      <c r="K1225" s="20" t="s">
        <v>38</v>
      </c>
      <c r="L1225" s="20" t="s">
        <v>38</v>
      </c>
      <c r="M1225" s="19"/>
      <c r="N1225" s="19" t="s">
        <v>9641</v>
      </c>
      <c r="O1225" s="20" t="s">
        <v>40</v>
      </c>
      <c r="P1225" s="20" t="s">
        <v>41</v>
      </c>
      <c r="Q1225" s="19" t="s">
        <v>9657</v>
      </c>
      <c r="R1225" s="21" t="s">
        <v>9658</v>
      </c>
      <c r="S1225" s="19" t="s">
        <v>46</v>
      </c>
      <c r="T1225" s="19" t="s">
        <v>635</v>
      </c>
      <c r="U1225" s="19" t="s">
        <v>1897</v>
      </c>
      <c r="V1225" s="19" t="s">
        <v>45</v>
      </c>
      <c r="W1225" s="19"/>
      <c r="X1225" s="19"/>
      <c r="Y1225" s="19"/>
      <c r="Z1225" s="19" t="s">
        <v>637</v>
      </c>
      <c r="AA1225" s="19" t="s">
        <v>9659</v>
      </c>
      <c r="AB1225" s="19" t="s">
        <v>9660</v>
      </c>
      <c r="AC1225" s="19" t="s">
        <v>46</v>
      </c>
      <c r="AD1225" s="19"/>
      <c r="AE1225" s="19" t="s">
        <v>641</v>
      </c>
      <c r="AF1225" s="19" t="s">
        <v>190</v>
      </c>
      <c r="AG1225" s="19">
        <v>6</v>
      </c>
      <c r="AH1225" s="19" t="s">
        <v>190</v>
      </c>
      <c r="AI1225" s="19"/>
      <c r="AJ1225" s="22">
        <v>43444.456030092595</v>
      </c>
      <c r="AK1225" s="19" t="s">
        <v>8947</v>
      </c>
    </row>
    <row r="1226" spans="1:37" s="23" customFormat="1">
      <c r="A1226" s="19" t="str">
        <f>VLOOKUP(H1226,Languages!$A$2:$B$430,2,FALSE)</f>
        <v>Indo-European</v>
      </c>
      <c r="B1226" s="19" t="s">
        <v>1738</v>
      </c>
      <c r="C1226" s="19" t="s">
        <v>58</v>
      </c>
      <c r="D1226" s="19" t="s">
        <v>243</v>
      </c>
      <c r="E1226" s="20" t="s">
        <v>244</v>
      </c>
      <c r="F1226" s="20" t="s">
        <v>244</v>
      </c>
      <c r="G1226" s="19" t="s">
        <v>244</v>
      </c>
      <c r="H1226" s="19" t="str">
        <f>VLOOKUP(G1226,'languoid 4.0'!$A$1:$I$24439,2,FALSE)</f>
        <v>indo1319</v>
      </c>
      <c r="I1226" s="19" t="str">
        <f>VLOOKUP(G1226,'languoid 4.0'!$A$1:$I$24439,6,FALSE)</f>
        <v>dialect</v>
      </c>
      <c r="J1226" s="20" t="s">
        <v>38</v>
      </c>
      <c r="K1226" s="20" t="s">
        <v>38</v>
      </c>
      <c r="L1226" s="20" t="s">
        <v>38</v>
      </c>
      <c r="M1226" s="19"/>
      <c r="N1226" s="19" t="s">
        <v>245</v>
      </c>
      <c r="O1226" s="20" t="s">
        <v>40</v>
      </c>
      <c r="P1226" s="20" t="s">
        <v>41</v>
      </c>
      <c r="Q1226" s="19" t="s">
        <v>9706</v>
      </c>
      <c r="R1226" s="21" t="s">
        <v>9707</v>
      </c>
      <c r="S1226" s="19" t="s">
        <v>46</v>
      </c>
      <c r="T1226" s="19" t="s">
        <v>1689</v>
      </c>
      <c r="U1226" s="19" t="s">
        <v>9708</v>
      </c>
      <c r="V1226" s="19" t="s">
        <v>45</v>
      </c>
      <c r="W1226" s="19"/>
      <c r="X1226" s="19"/>
      <c r="Y1226" s="19"/>
      <c r="Z1226" s="19" t="s">
        <v>637</v>
      </c>
      <c r="AA1226" s="19" t="s">
        <v>9709</v>
      </c>
      <c r="AB1226" s="19" t="s">
        <v>9710</v>
      </c>
      <c r="AC1226" s="19" t="s">
        <v>46</v>
      </c>
      <c r="AD1226" s="19"/>
      <c r="AE1226" s="19" t="s">
        <v>641</v>
      </c>
      <c r="AF1226" s="19" t="s">
        <v>190</v>
      </c>
      <c r="AG1226" s="19">
        <v>6</v>
      </c>
      <c r="AH1226" s="19" t="s">
        <v>190</v>
      </c>
      <c r="AI1226" s="19"/>
      <c r="AJ1226" s="19" t="s">
        <v>9711</v>
      </c>
      <c r="AK1226" s="19" t="s">
        <v>8947</v>
      </c>
    </row>
    <row r="1227" spans="1:37" s="23" customFormat="1">
      <c r="A1227" s="19" t="str">
        <f>VLOOKUP(H1227,Languages!$A$2:$B$430,2,FALSE)</f>
        <v>Indo-European</v>
      </c>
      <c r="B1227" s="19" t="s">
        <v>1738</v>
      </c>
      <c r="C1227" s="19" t="s">
        <v>58</v>
      </c>
      <c r="D1227" s="19" t="s">
        <v>243</v>
      </c>
      <c r="E1227" s="20" t="s">
        <v>244</v>
      </c>
      <c r="F1227" s="20" t="s">
        <v>244</v>
      </c>
      <c r="G1227" s="19" t="s">
        <v>244</v>
      </c>
      <c r="H1227" s="19" t="str">
        <f>VLOOKUP(G1227,'languoid 4.0'!$A$1:$I$24439,2,FALSE)</f>
        <v>indo1319</v>
      </c>
      <c r="I1227" s="19" t="str">
        <f>VLOOKUP(G1227,'languoid 4.0'!$A$1:$I$24439,6,FALSE)</f>
        <v>dialect</v>
      </c>
      <c r="J1227" s="20" t="s">
        <v>38</v>
      </c>
      <c r="K1227" s="20" t="s">
        <v>38</v>
      </c>
      <c r="L1227" s="20" t="s">
        <v>38</v>
      </c>
      <c r="M1227" s="19"/>
      <c r="N1227" s="19" t="s">
        <v>245</v>
      </c>
      <c r="O1227" s="20" t="s">
        <v>40</v>
      </c>
      <c r="P1227" s="20" t="s">
        <v>41</v>
      </c>
      <c r="Q1227" s="19" t="s">
        <v>9722</v>
      </c>
      <c r="R1227" s="21" t="s">
        <v>9723</v>
      </c>
      <c r="S1227" s="19" t="s">
        <v>46</v>
      </c>
      <c r="T1227" s="19" t="s">
        <v>1689</v>
      </c>
      <c r="U1227" s="19" t="s">
        <v>9724</v>
      </c>
      <c r="V1227" s="19" t="s">
        <v>45</v>
      </c>
      <c r="W1227" s="19"/>
      <c r="X1227" s="19"/>
      <c r="Y1227" s="19"/>
      <c r="Z1227" s="19" t="s">
        <v>637</v>
      </c>
      <c r="AA1227" s="19" t="s">
        <v>9725</v>
      </c>
      <c r="AB1227" s="19" t="s">
        <v>9726</v>
      </c>
      <c r="AC1227" s="19" t="s">
        <v>46</v>
      </c>
      <c r="AD1227" s="19"/>
      <c r="AE1227" s="19" t="s">
        <v>641</v>
      </c>
      <c r="AF1227" s="19" t="s">
        <v>190</v>
      </c>
      <c r="AG1227" s="19">
        <v>6</v>
      </c>
      <c r="AH1227" s="19" t="s">
        <v>190</v>
      </c>
      <c r="AI1227" s="19"/>
      <c r="AJ1227" s="19" t="s">
        <v>9727</v>
      </c>
      <c r="AK1227" s="19" t="s">
        <v>8947</v>
      </c>
    </row>
    <row r="1228" spans="1:37" s="23" customFormat="1">
      <c r="A1228" s="19" t="str">
        <f>VLOOKUP(H1228,Languages!$A$2:$B$430,2,FALSE)</f>
        <v>Indo-European</v>
      </c>
      <c r="B1228" s="19" t="s">
        <v>1738</v>
      </c>
      <c r="C1228" s="19" t="s">
        <v>4376</v>
      </c>
      <c r="D1228" s="19" t="s">
        <v>4394</v>
      </c>
      <c r="E1228" s="20" t="s">
        <v>239</v>
      </c>
      <c r="F1228" s="20" t="s">
        <v>4395</v>
      </c>
      <c r="G1228" s="19" t="s">
        <v>239</v>
      </c>
      <c r="H1228" s="19" t="str">
        <f>VLOOKUP(G1228,'languoid 4.0'!$A$1:$I$24439,2,FALSE)</f>
        <v>indo1319</v>
      </c>
      <c r="I1228" s="19" t="str">
        <f>VLOOKUP(G1228,'languoid 4.0'!$A$1:$I$24439,6,FALSE)</f>
        <v>language</v>
      </c>
      <c r="J1228" s="20" t="s">
        <v>52</v>
      </c>
      <c r="K1228" s="20" t="s">
        <v>38</v>
      </c>
      <c r="L1228" s="20" t="s">
        <v>38</v>
      </c>
      <c r="M1228" s="19"/>
      <c r="N1228" s="19" t="s">
        <v>269</v>
      </c>
      <c r="O1228" s="20" t="s">
        <v>40</v>
      </c>
      <c r="P1228" s="20" t="s">
        <v>41</v>
      </c>
      <c r="Q1228" s="19" t="s">
        <v>4396</v>
      </c>
      <c r="R1228" s="21" t="s">
        <v>4397</v>
      </c>
      <c r="S1228" s="19" t="s">
        <v>46</v>
      </c>
      <c r="T1228" s="19" t="s">
        <v>4383</v>
      </c>
      <c r="U1228" s="19" t="s">
        <v>4398</v>
      </c>
      <c r="V1228" s="19" t="s">
        <v>45</v>
      </c>
      <c r="W1228" s="19"/>
      <c r="X1228" s="19"/>
      <c r="Y1228" s="19"/>
      <c r="Z1228" s="19" t="s">
        <v>637</v>
      </c>
      <c r="AA1228" s="19" t="s">
        <v>4399</v>
      </c>
      <c r="AB1228" s="19" t="s">
        <v>4400</v>
      </c>
      <c r="AC1228" s="19" t="s">
        <v>46</v>
      </c>
      <c r="AD1228" s="19"/>
      <c r="AE1228" s="19" t="s">
        <v>641</v>
      </c>
      <c r="AF1228" s="19" t="s">
        <v>190</v>
      </c>
      <c r="AG1228" s="19">
        <v>6</v>
      </c>
      <c r="AH1228" s="19" t="s">
        <v>190</v>
      </c>
      <c r="AI1228" s="19"/>
      <c r="AJ1228" s="22">
        <v>43196.042962962965</v>
      </c>
      <c r="AK1228" s="19" t="s">
        <v>4386</v>
      </c>
    </row>
    <row r="1229" spans="1:37" s="23" customFormat="1">
      <c r="A1229" s="19" t="str">
        <f>VLOOKUP(H1229,Languages!$A$2:$B$430,2,FALSE)</f>
        <v>Indo-European</v>
      </c>
      <c r="B1229" s="19" t="s">
        <v>1738</v>
      </c>
      <c r="C1229" s="19" t="s">
        <v>4376</v>
      </c>
      <c r="D1229" s="19" t="s">
        <v>7380</v>
      </c>
      <c r="E1229" s="20" t="s">
        <v>4378</v>
      </c>
      <c r="F1229" s="20" t="s">
        <v>7381</v>
      </c>
      <c r="G1229" s="19" t="s">
        <v>7381</v>
      </c>
      <c r="H1229" s="19" t="str">
        <f>VLOOKUP(G1229,'languoid 4.0'!$A$1:$I$24439,2,FALSE)</f>
        <v>indo1319</v>
      </c>
      <c r="I1229" s="19" t="str">
        <f>VLOOKUP(G1229,'languoid 4.0'!$A$1:$I$24439,6,FALSE)</f>
        <v>family</v>
      </c>
      <c r="J1229" s="20" t="s">
        <v>52</v>
      </c>
      <c r="K1229" s="20" t="s">
        <v>38</v>
      </c>
      <c r="L1229" s="20" t="s">
        <v>38</v>
      </c>
      <c r="M1229" s="19"/>
      <c r="N1229" s="19" t="s">
        <v>4380</v>
      </c>
      <c r="O1229" s="20" t="s">
        <v>40</v>
      </c>
      <c r="P1229" s="20" t="s">
        <v>41</v>
      </c>
      <c r="Q1229" s="19" t="s">
        <v>7387</v>
      </c>
      <c r="R1229" s="21" t="s">
        <v>7383</v>
      </c>
      <c r="S1229" s="19" t="s">
        <v>647</v>
      </c>
      <c r="T1229" s="19" t="s">
        <v>657</v>
      </c>
      <c r="U1229" s="19" t="s">
        <v>1750</v>
      </c>
      <c r="V1229" s="19" t="s">
        <v>45</v>
      </c>
      <c r="W1229" s="19"/>
      <c r="X1229" s="19"/>
      <c r="Y1229" s="19"/>
      <c r="Z1229" s="19" t="s">
        <v>673</v>
      </c>
      <c r="AA1229" s="19" t="s">
        <v>46</v>
      </c>
      <c r="AB1229" s="19" t="s">
        <v>7388</v>
      </c>
      <c r="AC1229" s="19" t="s">
        <v>46</v>
      </c>
      <c r="AD1229" s="19"/>
      <c r="AE1229" s="19" t="s">
        <v>641</v>
      </c>
      <c r="AF1229" s="19" t="s">
        <v>45</v>
      </c>
      <c r="AG1229" s="19">
        <v>1</v>
      </c>
      <c r="AH1229" s="19" t="s">
        <v>190</v>
      </c>
      <c r="AI1229" s="19"/>
      <c r="AJ1229" s="22">
        <v>43442.998726851853</v>
      </c>
      <c r="AK1229" s="19" t="s">
        <v>4386</v>
      </c>
    </row>
    <row r="1230" spans="1:37" s="23" customFormat="1">
      <c r="A1230" s="19" t="str">
        <f>VLOOKUP(H1230,Languages!$A$2:$B$430,2,FALSE)</f>
        <v>Indo-European</v>
      </c>
      <c r="B1230" s="19" t="s">
        <v>1738</v>
      </c>
      <c r="C1230" s="19" t="s">
        <v>4376</v>
      </c>
      <c r="D1230" s="19" t="s">
        <v>8611</v>
      </c>
      <c r="E1230" s="20" t="s">
        <v>552</v>
      </c>
      <c r="F1230" s="20" t="s">
        <v>8612</v>
      </c>
      <c r="G1230" s="19" t="s">
        <v>552</v>
      </c>
      <c r="H1230" s="19" t="str">
        <f>VLOOKUP(G1230,'languoid 4.0'!$A$1:$I$24439,2,FALSE)</f>
        <v>indo1319</v>
      </c>
      <c r="I1230" s="19" t="str">
        <f>VLOOKUP(G1230,'languoid 4.0'!$A$1:$I$24439,6,FALSE)</f>
        <v>language</v>
      </c>
      <c r="J1230" s="20" t="s">
        <v>52</v>
      </c>
      <c r="K1230" s="20" t="s">
        <v>38</v>
      </c>
      <c r="L1230" s="20" t="s">
        <v>38</v>
      </c>
      <c r="M1230" s="19"/>
      <c r="N1230" s="19" t="s">
        <v>4388</v>
      </c>
      <c r="O1230" s="20" t="s">
        <v>40</v>
      </c>
      <c r="P1230" s="20" t="s">
        <v>41</v>
      </c>
      <c r="Q1230" s="19" t="s">
        <v>8613</v>
      </c>
      <c r="R1230" s="21" t="s">
        <v>8609</v>
      </c>
      <c r="S1230" s="19" t="s">
        <v>8083</v>
      </c>
      <c r="T1230" s="19" t="s">
        <v>657</v>
      </c>
      <c r="U1230" s="19" t="s">
        <v>8614</v>
      </c>
      <c r="V1230" s="19" t="s">
        <v>45</v>
      </c>
      <c r="W1230" s="19"/>
      <c r="X1230" s="19"/>
      <c r="Y1230" s="19"/>
      <c r="Z1230" s="19" t="s">
        <v>637</v>
      </c>
      <c r="AA1230" s="19" t="s">
        <v>8615</v>
      </c>
      <c r="AB1230" s="19" t="s">
        <v>8616</v>
      </c>
      <c r="AC1230" s="19" t="s">
        <v>46</v>
      </c>
      <c r="AD1230" s="19"/>
      <c r="AE1230" s="19" t="s">
        <v>641</v>
      </c>
      <c r="AF1230" s="19" t="s">
        <v>190</v>
      </c>
      <c r="AG1230" s="19">
        <v>6</v>
      </c>
      <c r="AH1230" s="19" t="s">
        <v>190</v>
      </c>
      <c r="AI1230" s="19"/>
      <c r="AJ1230" s="22">
        <v>43229.05127314815</v>
      </c>
      <c r="AK1230" s="19" t="s">
        <v>4386</v>
      </c>
    </row>
    <row r="1231" spans="1:37" s="23" customFormat="1">
      <c r="A1231" s="19" t="str">
        <f>VLOOKUP(H1231,Languages!$A$2:$B$430,2,FALSE)</f>
        <v>Indo-European</v>
      </c>
      <c r="B1231" s="19" t="s">
        <v>1738</v>
      </c>
      <c r="C1231" s="19" t="s">
        <v>4417</v>
      </c>
      <c r="D1231" s="19" t="s">
        <v>4418</v>
      </c>
      <c r="E1231" s="20" t="s">
        <v>3656</v>
      </c>
      <c r="F1231" s="20" t="s">
        <v>3656</v>
      </c>
      <c r="G1231" s="19" t="s">
        <v>3656</v>
      </c>
      <c r="H1231" s="19" t="str">
        <f>VLOOKUP(G1231,'languoid 4.0'!$A$1:$I$24439,2,FALSE)</f>
        <v>indo1319</v>
      </c>
      <c r="I1231" s="19" t="str">
        <f>VLOOKUP(G1231,'languoid 4.0'!$A$1:$I$24439,6,FALSE)</f>
        <v>language</v>
      </c>
      <c r="J1231" s="20" t="s">
        <v>38</v>
      </c>
      <c r="K1231" s="20" t="s">
        <v>38</v>
      </c>
      <c r="L1231" s="20" t="s">
        <v>38</v>
      </c>
      <c r="M1231" s="19"/>
      <c r="N1231" s="19" t="s">
        <v>4419</v>
      </c>
      <c r="O1231" s="20" t="s">
        <v>40</v>
      </c>
      <c r="P1231" s="20" t="s">
        <v>41</v>
      </c>
      <c r="Q1231" s="19" t="s">
        <v>4420</v>
      </c>
      <c r="R1231" s="21" t="s">
        <v>4421</v>
      </c>
      <c r="S1231" s="24">
        <v>43556</v>
      </c>
      <c r="T1231" s="19" t="s">
        <v>635</v>
      </c>
      <c r="U1231" s="19" t="s">
        <v>1897</v>
      </c>
      <c r="V1231" s="19" t="s">
        <v>45</v>
      </c>
      <c r="W1231" s="19"/>
      <c r="X1231" s="19"/>
      <c r="Y1231" s="19"/>
      <c r="Z1231" s="19" t="s">
        <v>658</v>
      </c>
      <c r="AA1231" s="19" t="s">
        <v>4422</v>
      </c>
      <c r="AB1231" s="19" t="s">
        <v>46</v>
      </c>
      <c r="AC1231" s="19" t="s">
        <v>46</v>
      </c>
      <c r="AD1231" s="19" t="s">
        <v>4423</v>
      </c>
      <c r="AE1231" s="19" t="s">
        <v>641</v>
      </c>
      <c r="AF1231" s="19" t="s">
        <v>190</v>
      </c>
      <c r="AG1231" s="19">
        <v>6</v>
      </c>
      <c r="AH1231" s="19" t="s">
        <v>190</v>
      </c>
      <c r="AI1231" s="19"/>
      <c r="AJ1231" s="22">
        <v>43226.573576388888</v>
      </c>
      <c r="AK1231" s="19" t="s">
        <v>4424</v>
      </c>
    </row>
    <row r="1232" spans="1:37" s="23" customFormat="1">
      <c r="A1232" s="19" t="str">
        <f>VLOOKUP(H1232,Languages!$A$2:$B$430,2,FALSE)</f>
        <v>Indo-European</v>
      </c>
      <c r="B1232" s="19" t="s">
        <v>1812</v>
      </c>
      <c r="C1232" s="19" t="s">
        <v>477</v>
      </c>
      <c r="D1232" s="19" t="s">
        <v>2433</v>
      </c>
      <c r="E1232" s="20" t="s">
        <v>51</v>
      </c>
      <c r="F1232" s="20" t="s">
        <v>51</v>
      </c>
      <c r="G1232" s="19" t="s">
        <v>552</v>
      </c>
      <c r="H1232" s="19" t="str">
        <f>VLOOKUP(G1232,'languoid 4.0'!$A$1:$I$24439,2,FALSE)</f>
        <v>indo1319</v>
      </c>
      <c r="I1232" s="19" t="str">
        <f>VLOOKUP(G1232,'languoid 4.0'!$A$1:$I$24439,6,FALSE)</f>
        <v>language</v>
      </c>
      <c r="J1232" s="20" t="s">
        <v>51</v>
      </c>
      <c r="K1232" s="20" t="s">
        <v>51</v>
      </c>
      <c r="L1232" s="20" t="s">
        <v>51</v>
      </c>
      <c r="M1232" s="19" t="s">
        <v>2434</v>
      </c>
      <c r="N1232" s="19" t="e">
        <v>#N/A</v>
      </c>
      <c r="O1232" s="20" t="s">
        <v>690</v>
      </c>
      <c r="P1232" s="20"/>
      <c r="Q1232" s="19" t="s">
        <v>2435</v>
      </c>
      <c r="R1232" s="21" t="s">
        <v>2436</v>
      </c>
      <c r="S1232" s="19" t="s">
        <v>2437</v>
      </c>
      <c r="T1232" s="19" t="s">
        <v>1689</v>
      </c>
      <c r="U1232" s="19" t="s">
        <v>636</v>
      </c>
      <c r="V1232" s="19" t="s">
        <v>45</v>
      </c>
      <c r="W1232" s="19"/>
      <c r="X1232" s="19"/>
      <c r="Y1232" s="19"/>
      <c r="Z1232" s="19" t="s">
        <v>658</v>
      </c>
      <c r="AA1232" s="19" t="s">
        <v>2438</v>
      </c>
      <c r="AB1232" s="19" t="s">
        <v>46</v>
      </c>
      <c r="AC1232" s="19" t="s">
        <v>46</v>
      </c>
      <c r="AD1232" s="19"/>
      <c r="AE1232" s="19" t="s">
        <v>641</v>
      </c>
      <c r="AF1232" s="19" t="s">
        <v>190</v>
      </c>
      <c r="AG1232" s="19">
        <v>4</v>
      </c>
      <c r="AH1232" s="19" t="s">
        <v>190</v>
      </c>
      <c r="AI1232" s="19"/>
      <c r="AJ1232" s="19" t="s">
        <v>2439</v>
      </c>
      <c r="AK1232" s="19" t="s">
        <v>651</v>
      </c>
    </row>
    <row r="1233" spans="1:37" s="23" customFormat="1">
      <c r="A1233" s="19" t="str">
        <f>VLOOKUP(H1233,Languages!$A$2:$B$430,2,FALSE)</f>
        <v>Indo-European</v>
      </c>
      <c r="B1233" s="19" t="s">
        <v>1812</v>
      </c>
      <c r="C1233" s="19" t="s">
        <v>477</v>
      </c>
      <c r="D1233" s="19" t="s">
        <v>478</v>
      </c>
      <c r="E1233" s="20" t="s">
        <v>479</v>
      </c>
      <c r="F1233" s="20" t="s">
        <v>479</v>
      </c>
      <c r="G1233" s="19" t="s">
        <v>479</v>
      </c>
      <c r="H1233" s="19" t="str">
        <f>VLOOKUP(G1233,'languoid 4.0'!$A$1:$I$24439,2,FALSE)</f>
        <v>indo1319</v>
      </c>
      <c r="I1233" s="19" t="str">
        <f>VLOOKUP(G1233,'languoid 4.0'!$A$1:$I$24439,6,FALSE)</f>
        <v>language</v>
      </c>
      <c r="J1233" s="20" t="s">
        <v>38</v>
      </c>
      <c r="K1233" s="20" t="s">
        <v>38</v>
      </c>
      <c r="L1233" s="20" t="s">
        <v>38</v>
      </c>
      <c r="M1233" s="19"/>
      <c r="N1233" s="19" t="s">
        <v>480</v>
      </c>
      <c r="O1233" s="20" t="s">
        <v>40</v>
      </c>
      <c r="P1233" s="20" t="s">
        <v>41</v>
      </c>
      <c r="Q1233" s="19" t="s">
        <v>5673</v>
      </c>
      <c r="R1233" s="21" t="s">
        <v>5674</v>
      </c>
      <c r="S1233" s="19" t="s">
        <v>4857</v>
      </c>
      <c r="T1233" s="19" t="s">
        <v>648</v>
      </c>
      <c r="U1233" s="19" t="s">
        <v>636</v>
      </c>
      <c r="V1233" s="19" t="s">
        <v>45</v>
      </c>
      <c r="W1233" s="19"/>
      <c r="X1233" s="19"/>
      <c r="Y1233" s="19"/>
      <c r="Z1233" s="19" t="s">
        <v>673</v>
      </c>
      <c r="AA1233" s="19" t="s">
        <v>46</v>
      </c>
      <c r="AB1233" s="19" t="s">
        <v>5675</v>
      </c>
      <c r="AC1233" s="19" t="s">
        <v>46</v>
      </c>
      <c r="AD1233" s="19"/>
      <c r="AE1233" s="19" t="s">
        <v>641</v>
      </c>
      <c r="AF1233" s="19" t="s">
        <v>190</v>
      </c>
      <c r="AG1233" s="19">
        <v>6</v>
      </c>
      <c r="AH1233" s="19" t="s">
        <v>190</v>
      </c>
      <c r="AI1233" s="19" t="s">
        <v>5676</v>
      </c>
      <c r="AJ1233" s="19" t="s">
        <v>5677</v>
      </c>
      <c r="AK1233" s="19" t="s">
        <v>5678</v>
      </c>
    </row>
    <row r="1234" spans="1:37" s="23" customFormat="1">
      <c r="A1234" s="19" t="str">
        <f>VLOOKUP(H1234,Languages!$A$2:$B$430,2,FALSE)</f>
        <v>Indo-European</v>
      </c>
      <c r="B1234" s="19" t="s">
        <v>1812</v>
      </c>
      <c r="C1234" s="19" t="s">
        <v>477</v>
      </c>
      <c r="D1234" s="19" t="s">
        <v>478</v>
      </c>
      <c r="E1234" s="20" t="s">
        <v>479</v>
      </c>
      <c r="F1234" s="20" t="s">
        <v>479</v>
      </c>
      <c r="G1234" s="19" t="s">
        <v>479</v>
      </c>
      <c r="H1234" s="19" t="str">
        <f>VLOOKUP(G1234,'languoid 4.0'!$A$1:$I$24439,2,FALSE)</f>
        <v>indo1319</v>
      </c>
      <c r="I1234" s="19" t="str">
        <f>VLOOKUP(G1234,'languoid 4.0'!$A$1:$I$24439,6,FALSE)</f>
        <v>language</v>
      </c>
      <c r="J1234" s="20" t="s">
        <v>38</v>
      </c>
      <c r="K1234" s="20" t="s">
        <v>38</v>
      </c>
      <c r="L1234" s="20" t="s">
        <v>38</v>
      </c>
      <c r="M1234" s="19"/>
      <c r="N1234" s="19" t="s">
        <v>480</v>
      </c>
      <c r="O1234" s="20" t="s">
        <v>40</v>
      </c>
      <c r="P1234" s="20" t="s">
        <v>41</v>
      </c>
      <c r="Q1234" s="19" t="s">
        <v>6014</v>
      </c>
      <c r="R1234" s="21" t="s">
        <v>6015</v>
      </c>
      <c r="S1234" s="19" t="s">
        <v>6016</v>
      </c>
      <c r="T1234" s="19" t="s">
        <v>657</v>
      </c>
      <c r="U1234" s="19" t="s">
        <v>636</v>
      </c>
      <c r="V1234" s="19" t="s">
        <v>45</v>
      </c>
      <c r="W1234" s="19"/>
      <c r="X1234" s="19"/>
      <c r="Y1234" s="19"/>
      <c r="Z1234" s="19" t="s">
        <v>673</v>
      </c>
      <c r="AA1234" s="19" t="s">
        <v>46</v>
      </c>
      <c r="AB1234" s="19" t="s">
        <v>6017</v>
      </c>
      <c r="AC1234" s="19" t="s">
        <v>46</v>
      </c>
      <c r="AD1234" s="19"/>
      <c r="AE1234" s="19" t="s">
        <v>641</v>
      </c>
      <c r="AF1234" s="19" t="s">
        <v>190</v>
      </c>
      <c r="AG1234" s="19">
        <v>6</v>
      </c>
      <c r="AH1234" s="19" t="s">
        <v>190</v>
      </c>
      <c r="AI1234" s="19"/>
      <c r="AJ1234" s="19" t="s">
        <v>6018</v>
      </c>
      <c r="AK1234" s="19" t="s">
        <v>5678</v>
      </c>
    </row>
    <row r="1235" spans="1:37" s="23" customFormat="1">
      <c r="A1235" s="19" t="str">
        <f>VLOOKUP(H1235,Languages!$A$2:$B$430,2,FALSE)</f>
        <v>Indo-European</v>
      </c>
      <c r="B1235" s="19" t="s">
        <v>1812</v>
      </c>
      <c r="C1235" s="19" t="s">
        <v>34</v>
      </c>
      <c r="D1235" s="19" t="s">
        <v>2915</v>
      </c>
      <c r="E1235" s="20" t="s">
        <v>2916</v>
      </c>
      <c r="F1235" s="20" t="s">
        <v>2916</v>
      </c>
      <c r="G1235" s="19" t="s">
        <v>2731</v>
      </c>
      <c r="H1235" s="19" t="str">
        <f>VLOOKUP(G1235,'languoid 4.0'!$A$1:$I$24439,2,FALSE)</f>
        <v>indo1319</v>
      </c>
      <c r="I1235" s="19" t="str">
        <f>VLOOKUP(G1235,'languoid 4.0'!$A$1:$I$24439,6,FALSE)</f>
        <v>language</v>
      </c>
      <c r="J1235" s="20" t="s">
        <v>38</v>
      </c>
      <c r="K1235" s="20" t="s">
        <v>38</v>
      </c>
      <c r="L1235" s="20" t="s">
        <v>38</v>
      </c>
      <c r="M1235" s="19"/>
      <c r="N1235" s="19" t="s">
        <v>2917</v>
      </c>
      <c r="O1235" s="20" t="s">
        <v>40</v>
      </c>
      <c r="P1235" s="20" t="s">
        <v>41</v>
      </c>
      <c r="Q1235" s="19" t="s">
        <v>2918</v>
      </c>
      <c r="R1235" s="21" t="s">
        <v>2919</v>
      </c>
      <c r="S1235" s="19" t="s">
        <v>2920</v>
      </c>
      <c r="T1235" s="19" t="s">
        <v>657</v>
      </c>
      <c r="U1235" s="19" t="s">
        <v>636</v>
      </c>
      <c r="V1235" s="19" t="s">
        <v>45</v>
      </c>
      <c r="W1235" s="19"/>
      <c r="X1235" s="19"/>
      <c r="Y1235" s="19"/>
      <c r="Z1235" s="19" t="s">
        <v>673</v>
      </c>
      <c r="AA1235" s="19" t="s">
        <v>46</v>
      </c>
      <c r="AB1235" s="19" t="s">
        <v>2921</v>
      </c>
      <c r="AC1235" s="19" t="s">
        <v>46</v>
      </c>
      <c r="AD1235" s="19" t="s">
        <v>2922</v>
      </c>
      <c r="AE1235" s="19" t="s">
        <v>641</v>
      </c>
      <c r="AF1235" s="19" t="s">
        <v>190</v>
      </c>
      <c r="AG1235" s="19">
        <v>5</v>
      </c>
      <c r="AH1235" s="19" t="s">
        <v>190</v>
      </c>
      <c r="AI1235" s="19"/>
      <c r="AJ1235" s="22">
        <v>43438.537222222221</v>
      </c>
      <c r="AK1235" s="19" t="s">
        <v>676</v>
      </c>
    </row>
    <row r="1236" spans="1:37" s="23" customFormat="1">
      <c r="A1236" s="19" t="str">
        <f>VLOOKUP(H1236,Languages!$A$2:$B$430,2,FALSE)</f>
        <v>Indo-European</v>
      </c>
      <c r="B1236" s="19" t="s">
        <v>1812</v>
      </c>
      <c r="C1236" s="19" t="s">
        <v>94</v>
      </c>
      <c r="D1236" s="19" t="s">
        <v>5026</v>
      </c>
      <c r="E1236" s="20" t="s">
        <v>5027</v>
      </c>
      <c r="F1236" s="20" t="s">
        <v>4833</v>
      </c>
      <c r="G1236" s="19" t="s">
        <v>5027</v>
      </c>
      <c r="H1236" s="19" t="str">
        <f>VLOOKUP(G1236,'languoid 4.0'!$A$1:$I$24439,2,FALSE)</f>
        <v>indo1319</v>
      </c>
      <c r="I1236" s="19" t="str">
        <f>VLOOKUP(G1236,'languoid 4.0'!$A$1:$I$24439,6,FALSE)</f>
        <v>dialect</v>
      </c>
      <c r="J1236" s="20" t="s">
        <v>52</v>
      </c>
      <c r="K1236" s="20" t="s">
        <v>52</v>
      </c>
      <c r="L1236" s="20" t="s">
        <v>38</v>
      </c>
      <c r="M1236" s="19"/>
      <c r="N1236" s="19"/>
      <c r="O1236" s="20" t="s">
        <v>40</v>
      </c>
      <c r="P1236" s="20" t="s">
        <v>41</v>
      </c>
      <c r="Q1236" s="19" t="s">
        <v>5028</v>
      </c>
      <c r="R1236" s="21" t="s">
        <v>5029</v>
      </c>
      <c r="S1236" s="19" t="s">
        <v>46</v>
      </c>
      <c r="T1236" s="19" t="s">
        <v>635</v>
      </c>
      <c r="U1236" s="19" t="s">
        <v>636</v>
      </c>
      <c r="V1236" s="19" t="s">
        <v>45</v>
      </c>
      <c r="W1236" s="19"/>
      <c r="X1236" s="19"/>
      <c r="Y1236" s="19"/>
      <c r="Z1236" s="19" t="s">
        <v>673</v>
      </c>
      <c r="AA1236" s="19" t="s">
        <v>5030</v>
      </c>
      <c r="AB1236" s="19" t="s">
        <v>5031</v>
      </c>
      <c r="AC1236" s="19" t="s">
        <v>46</v>
      </c>
      <c r="AD1236" s="19"/>
      <c r="AE1236" s="19" t="s">
        <v>641</v>
      </c>
      <c r="AF1236" s="19" t="s">
        <v>190</v>
      </c>
      <c r="AG1236" s="19">
        <v>6</v>
      </c>
      <c r="AH1236" s="19" t="s">
        <v>190</v>
      </c>
      <c r="AI1236" s="19"/>
      <c r="AJ1236" s="19" t="s">
        <v>5032</v>
      </c>
      <c r="AK1236" s="19" t="s">
        <v>4840</v>
      </c>
    </row>
    <row r="1237" spans="1:37" s="23" customFormat="1">
      <c r="A1237" s="19" t="str">
        <f>VLOOKUP(H1237,Languages!$A$2:$B$430,2,FALSE)</f>
        <v>Indo-European</v>
      </c>
      <c r="B1237" s="19" t="s">
        <v>1812</v>
      </c>
      <c r="C1237" s="19" t="s">
        <v>94</v>
      </c>
      <c r="D1237" s="19" t="s">
        <v>5081</v>
      </c>
      <c r="E1237" s="20" t="s">
        <v>5027</v>
      </c>
      <c r="F1237" s="20" t="s">
        <v>4833</v>
      </c>
      <c r="G1237" s="19" t="s">
        <v>5027</v>
      </c>
      <c r="H1237" s="19" t="str">
        <f>VLOOKUP(G1237,'languoid 4.0'!$A$1:$I$24439,2,FALSE)</f>
        <v>indo1319</v>
      </c>
      <c r="I1237" s="19" t="str">
        <f>VLOOKUP(G1237,'languoid 4.0'!$A$1:$I$24439,6,FALSE)</f>
        <v>dialect</v>
      </c>
      <c r="J1237" s="20" t="s">
        <v>52</v>
      </c>
      <c r="K1237" s="20" t="s">
        <v>52</v>
      </c>
      <c r="L1237" s="20" t="s">
        <v>38</v>
      </c>
      <c r="M1237" s="19"/>
      <c r="N1237" s="19"/>
      <c r="O1237" s="20" t="s">
        <v>40</v>
      </c>
      <c r="P1237" s="20" t="s">
        <v>41</v>
      </c>
      <c r="Q1237" s="19" t="s">
        <v>5082</v>
      </c>
      <c r="R1237" s="21" t="s">
        <v>5083</v>
      </c>
      <c r="S1237" s="19" t="s">
        <v>46</v>
      </c>
      <c r="T1237" s="19" t="s">
        <v>635</v>
      </c>
      <c r="U1237" s="19" t="s">
        <v>636</v>
      </c>
      <c r="V1237" s="19" t="s">
        <v>45</v>
      </c>
      <c r="W1237" s="19"/>
      <c r="X1237" s="19"/>
      <c r="Y1237" s="19"/>
      <c r="Z1237" s="19" t="s">
        <v>673</v>
      </c>
      <c r="AA1237" s="19" t="s">
        <v>5084</v>
      </c>
      <c r="AB1237" s="19" t="s">
        <v>5085</v>
      </c>
      <c r="AC1237" s="19" t="s">
        <v>46</v>
      </c>
      <c r="AD1237" s="19"/>
      <c r="AE1237" s="19" t="s">
        <v>641</v>
      </c>
      <c r="AF1237" s="19" t="s">
        <v>190</v>
      </c>
      <c r="AG1237" s="19">
        <v>6</v>
      </c>
      <c r="AH1237" s="19" t="s">
        <v>190</v>
      </c>
      <c r="AI1237" s="19"/>
      <c r="AJ1237" s="19" t="s">
        <v>5086</v>
      </c>
      <c r="AK1237" s="19" t="s">
        <v>4840</v>
      </c>
    </row>
    <row r="1238" spans="1:37" s="23" customFormat="1">
      <c r="A1238" s="19" t="str">
        <f>VLOOKUP(H1238,Languages!$A$2:$B$430,2,FALSE)</f>
        <v>Indo-European</v>
      </c>
      <c r="B1238" s="19" t="s">
        <v>1812</v>
      </c>
      <c r="C1238" s="19" t="s">
        <v>94</v>
      </c>
      <c r="D1238" s="19" t="s">
        <v>5938</v>
      </c>
      <c r="E1238" s="20" t="s">
        <v>5939</v>
      </c>
      <c r="F1238" s="20" t="s">
        <v>5939</v>
      </c>
      <c r="G1238" s="19" t="s">
        <v>5939</v>
      </c>
      <c r="H1238" s="19" t="str">
        <f>VLOOKUP(G1238,'languoid 4.0'!$A$1:$I$24439,2,FALSE)</f>
        <v>indo1319</v>
      </c>
      <c r="I1238" s="19" t="str">
        <f>VLOOKUP(G1238,'languoid 4.0'!$A$1:$I$24439,6,FALSE)</f>
        <v>language</v>
      </c>
      <c r="J1238" s="20" t="s">
        <v>38</v>
      </c>
      <c r="K1238" s="20" t="s">
        <v>38</v>
      </c>
      <c r="L1238" s="20" t="s">
        <v>38</v>
      </c>
      <c r="M1238" s="19"/>
      <c r="N1238" s="19" t="s">
        <v>5940</v>
      </c>
      <c r="O1238" s="20" t="s">
        <v>40</v>
      </c>
      <c r="P1238" s="20" t="s">
        <v>41</v>
      </c>
      <c r="Q1238" s="19" t="s">
        <v>5941</v>
      </c>
      <c r="R1238" s="21" t="s">
        <v>5942</v>
      </c>
      <c r="S1238" s="19" t="s">
        <v>46</v>
      </c>
      <c r="T1238" s="19" t="s">
        <v>635</v>
      </c>
      <c r="U1238" s="19" t="s">
        <v>109</v>
      </c>
      <c r="V1238" s="19" t="s">
        <v>45</v>
      </c>
      <c r="W1238" s="19"/>
      <c r="X1238" s="19"/>
      <c r="Y1238" s="19"/>
      <c r="Z1238" s="19" t="s">
        <v>673</v>
      </c>
      <c r="AA1238" s="19" t="s">
        <v>5943</v>
      </c>
      <c r="AB1238" s="19" t="s">
        <v>5944</v>
      </c>
      <c r="AC1238" s="19" t="s">
        <v>46</v>
      </c>
      <c r="AD1238" s="19"/>
      <c r="AE1238" s="19" t="s">
        <v>641</v>
      </c>
      <c r="AF1238" s="19" t="s">
        <v>190</v>
      </c>
      <c r="AG1238" s="19">
        <v>6</v>
      </c>
      <c r="AH1238" s="19" t="s">
        <v>190</v>
      </c>
      <c r="AI1238" s="19"/>
      <c r="AJ1238" s="19" t="s">
        <v>5945</v>
      </c>
      <c r="AK1238" s="19" t="s">
        <v>4840</v>
      </c>
    </row>
    <row r="1239" spans="1:37" s="23" customFormat="1">
      <c r="A1239" s="19" t="str">
        <f>VLOOKUP(H1239,Languages!$A$2:$B$430,2,FALSE)</f>
        <v>Indo-European</v>
      </c>
      <c r="B1239" s="19" t="s">
        <v>1812</v>
      </c>
      <c r="C1239" s="19" t="s">
        <v>94</v>
      </c>
      <c r="D1239" s="19" t="s">
        <v>5968</v>
      </c>
      <c r="E1239" s="20" t="s">
        <v>4833</v>
      </c>
      <c r="F1239" s="20" t="s">
        <v>180</v>
      </c>
      <c r="G1239" s="19" t="s">
        <v>180</v>
      </c>
      <c r="H1239" s="19" t="str">
        <f>VLOOKUP(G1239,'languoid 4.0'!$A$1:$I$24439,2,FALSE)</f>
        <v>indo1319</v>
      </c>
      <c r="I1239" s="19" t="str">
        <f>VLOOKUP(G1239,'languoid 4.0'!$A$1:$I$24439,6,FALSE)</f>
        <v>language</v>
      </c>
      <c r="J1239" s="20" t="s">
        <v>52</v>
      </c>
      <c r="K1239" s="20" t="s">
        <v>52</v>
      </c>
      <c r="L1239" s="20" t="s">
        <v>38</v>
      </c>
      <c r="M1239" s="19"/>
      <c r="N1239" s="19" t="s">
        <v>4834</v>
      </c>
      <c r="O1239" s="20" t="s">
        <v>40</v>
      </c>
      <c r="P1239" s="20" t="s">
        <v>41</v>
      </c>
      <c r="Q1239" s="19" t="s">
        <v>5969</v>
      </c>
      <c r="R1239" s="21" t="s">
        <v>5970</v>
      </c>
      <c r="S1239" s="19" t="s">
        <v>46</v>
      </c>
      <c r="T1239" s="19" t="s">
        <v>635</v>
      </c>
      <c r="U1239" s="19" t="s">
        <v>636</v>
      </c>
      <c r="V1239" s="19" t="s">
        <v>45</v>
      </c>
      <c r="W1239" s="19"/>
      <c r="X1239" s="19"/>
      <c r="Y1239" s="19"/>
      <c r="Z1239" s="19" t="s">
        <v>673</v>
      </c>
      <c r="AA1239" s="19" t="s">
        <v>5971</v>
      </c>
      <c r="AB1239" s="19" t="s">
        <v>5972</v>
      </c>
      <c r="AC1239" s="19" t="s">
        <v>46</v>
      </c>
      <c r="AD1239" s="19"/>
      <c r="AE1239" s="19" t="s">
        <v>641</v>
      </c>
      <c r="AF1239" s="19" t="s">
        <v>190</v>
      </c>
      <c r="AG1239" s="19">
        <v>6</v>
      </c>
      <c r="AH1239" s="19" t="s">
        <v>190</v>
      </c>
      <c r="AI1239" s="19"/>
      <c r="AJ1239" s="19" t="s">
        <v>5973</v>
      </c>
      <c r="AK1239" s="19" t="s">
        <v>4840</v>
      </c>
    </row>
    <row r="1240" spans="1:37" s="23" customFormat="1">
      <c r="A1240" s="19" t="str">
        <f>VLOOKUP(H1240,Languages!$A$2:$B$430,2,FALSE)</f>
        <v>Indo-European</v>
      </c>
      <c r="B1240" s="19" t="s">
        <v>1812</v>
      </c>
      <c r="C1240" s="19" t="s">
        <v>94</v>
      </c>
      <c r="D1240" s="19" t="s">
        <v>7252</v>
      </c>
      <c r="E1240" s="20" t="s">
        <v>180</v>
      </c>
      <c r="F1240" s="20" t="s">
        <v>180</v>
      </c>
      <c r="G1240" s="19" t="s">
        <v>180</v>
      </c>
      <c r="H1240" s="19" t="str">
        <f>VLOOKUP(G1240,'languoid 4.0'!$A$1:$I$24439,2,FALSE)</f>
        <v>indo1319</v>
      </c>
      <c r="I1240" s="19" t="str">
        <f>VLOOKUP(G1240,'languoid 4.0'!$A$1:$I$24439,6,FALSE)</f>
        <v>language</v>
      </c>
      <c r="J1240" s="20" t="s">
        <v>38</v>
      </c>
      <c r="K1240" s="20" t="s">
        <v>38</v>
      </c>
      <c r="L1240" s="20" t="s">
        <v>38</v>
      </c>
      <c r="M1240" s="19"/>
      <c r="N1240" s="19" t="s">
        <v>4842</v>
      </c>
      <c r="O1240" s="20" t="s">
        <v>40</v>
      </c>
      <c r="P1240" s="20" t="s">
        <v>41</v>
      </c>
      <c r="Q1240" s="19" t="s">
        <v>7253</v>
      </c>
      <c r="R1240" s="21" t="s">
        <v>7254</v>
      </c>
      <c r="S1240" s="19" t="s">
        <v>46</v>
      </c>
      <c r="T1240" s="19" t="s">
        <v>7255</v>
      </c>
      <c r="U1240" s="19" t="s">
        <v>636</v>
      </c>
      <c r="V1240" s="19" t="s">
        <v>45</v>
      </c>
      <c r="W1240" s="19"/>
      <c r="X1240" s="19"/>
      <c r="Y1240" s="19"/>
      <c r="Z1240" s="19" t="s">
        <v>1893</v>
      </c>
      <c r="AA1240" s="19" t="s">
        <v>46</v>
      </c>
      <c r="AB1240" s="19" t="s">
        <v>46</v>
      </c>
      <c r="AC1240" s="19" t="s">
        <v>7256</v>
      </c>
      <c r="AD1240" s="19"/>
      <c r="AE1240" s="19" t="s">
        <v>641</v>
      </c>
      <c r="AF1240" s="19" t="s">
        <v>190</v>
      </c>
      <c r="AG1240" s="19">
        <v>6</v>
      </c>
      <c r="AH1240" s="19" t="s">
        <v>190</v>
      </c>
      <c r="AI1240" s="19"/>
      <c r="AJ1240" s="22">
        <v>43351.56177083333</v>
      </c>
      <c r="AK1240" s="19" t="s">
        <v>4840</v>
      </c>
    </row>
    <row r="1241" spans="1:37" s="23" customFormat="1">
      <c r="A1241" s="19" t="str">
        <f>VLOOKUP(H1241,Languages!$A$2:$B$430,2,FALSE)</f>
        <v>Indo-European</v>
      </c>
      <c r="B1241" s="19" t="s">
        <v>1812</v>
      </c>
      <c r="C1241" s="19" t="s">
        <v>94</v>
      </c>
      <c r="D1241" s="19" t="s">
        <v>7289</v>
      </c>
      <c r="E1241" s="20" t="s">
        <v>180</v>
      </c>
      <c r="F1241" s="20" t="s">
        <v>180</v>
      </c>
      <c r="G1241" s="19" t="s">
        <v>180</v>
      </c>
      <c r="H1241" s="19" t="str">
        <f>VLOOKUP(G1241,'languoid 4.0'!$A$1:$I$24439,2,FALSE)</f>
        <v>indo1319</v>
      </c>
      <c r="I1241" s="19" t="str">
        <f>VLOOKUP(G1241,'languoid 4.0'!$A$1:$I$24439,6,FALSE)</f>
        <v>language</v>
      </c>
      <c r="J1241" s="20" t="s">
        <v>38</v>
      </c>
      <c r="K1241" s="20" t="s">
        <v>38</v>
      </c>
      <c r="L1241" s="20" t="s">
        <v>38</v>
      </c>
      <c r="M1241" s="19"/>
      <c r="N1241" s="19" t="s">
        <v>4842</v>
      </c>
      <c r="O1241" s="20" t="s">
        <v>40</v>
      </c>
      <c r="P1241" s="20" t="s">
        <v>41</v>
      </c>
      <c r="Q1241" s="19" t="s">
        <v>7290</v>
      </c>
      <c r="R1241" s="21" t="s">
        <v>7291</v>
      </c>
      <c r="S1241" s="19" t="s">
        <v>46</v>
      </c>
      <c r="T1241" s="19" t="s">
        <v>7255</v>
      </c>
      <c r="U1241" s="19" t="s">
        <v>636</v>
      </c>
      <c r="V1241" s="19" t="s">
        <v>45</v>
      </c>
      <c r="W1241" s="19"/>
      <c r="X1241" s="19"/>
      <c r="Y1241" s="19"/>
      <c r="Z1241" s="19" t="s">
        <v>1151</v>
      </c>
      <c r="AA1241" s="19" t="s">
        <v>7292</v>
      </c>
      <c r="AB1241" s="19" t="s">
        <v>7293</v>
      </c>
      <c r="AC1241" s="19" t="s">
        <v>7294</v>
      </c>
      <c r="AD1241" s="19"/>
      <c r="AE1241" s="19" t="s">
        <v>641</v>
      </c>
      <c r="AF1241" s="19" t="s">
        <v>190</v>
      </c>
      <c r="AG1241" s="19">
        <v>6</v>
      </c>
      <c r="AH1241" s="19" t="s">
        <v>190</v>
      </c>
      <c r="AI1241" s="19"/>
      <c r="AJ1241" s="22">
        <v>43381.749421296299</v>
      </c>
      <c r="AK1241" s="19" t="s">
        <v>4840</v>
      </c>
    </row>
    <row r="1242" spans="1:37" s="23" customFormat="1">
      <c r="A1242" s="19" t="str">
        <f>VLOOKUP(H1242,Languages!$A$2:$B$430,2,FALSE)</f>
        <v>Indo-European</v>
      </c>
      <c r="B1242" s="19" t="s">
        <v>1812</v>
      </c>
      <c r="C1242" s="19" t="s">
        <v>94</v>
      </c>
      <c r="D1242" s="19" t="s">
        <v>8875</v>
      </c>
      <c r="E1242" s="20" t="s">
        <v>4833</v>
      </c>
      <c r="F1242" s="20" t="s">
        <v>4833</v>
      </c>
      <c r="G1242" s="19" t="s">
        <v>4833</v>
      </c>
      <c r="H1242" s="19" t="str">
        <f>VLOOKUP(G1242,'languoid 4.0'!$A$1:$I$24439,2,FALSE)</f>
        <v>indo1319</v>
      </c>
      <c r="I1242" s="19" t="str">
        <f>VLOOKUP(G1242,'languoid 4.0'!$A$1:$I$24439,6,FALSE)</f>
        <v>language</v>
      </c>
      <c r="J1242" s="20" t="s">
        <v>38</v>
      </c>
      <c r="K1242" s="20" t="s">
        <v>38</v>
      </c>
      <c r="L1242" s="20" t="s">
        <v>38</v>
      </c>
      <c r="M1242" s="19"/>
      <c r="N1242" s="19" t="s">
        <v>4834</v>
      </c>
      <c r="O1242" s="20" t="s">
        <v>40</v>
      </c>
      <c r="P1242" s="20" t="s">
        <v>41</v>
      </c>
      <c r="Q1242" s="19" t="s">
        <v>8876</v>
      </c>
      <c r="R1242" s="21" t="s">
        <v>8877</v>
      </c>
      <c r="S1242" s="19" t="s">
        <v>46</v>
      </c>
      <c r="T1242" s="19" t="s">
        <v>635</v>
      </c>
      <c r="U1242" s="19" t="s">
        <v>8878</v>
      </c>
      <c r="V1242" s="19" t="s">
        <v>45</v>
      </c>
      <c r="W1242" s="19"/>
      <c r="X1242" s="19"/>
      <c r="Y1242" s="19"/>
      <c r="Z1242" s="19" t="s">
        <v>658</v>
      </c>
      <c r="AA1242" s="19" t="s">
        <v>8879</v>
      </c>
      <c r="AB1242" s="19" t="s">
        <v>46</v>
      </c>
      <c r="AC1242" s="19" t="s">
        <v>46</v>
      </c>
      <c r="AD1242" s="19"/>
      <c r="AE1242" s="19" t="s">
        <v>641</v>
      </c>
      <c r="AF1242" s="19" t="s">
        <v>190</v>
      </c>
      <c r="AG1242" s="19">
        <v>6</v>
      </c>
      <c r="AH1242" s="19" t="s">
        <v>190</v>
      </c>
      <c r="AI1242" s="19"/>
      <c r="AJ1242" s="19" t="s">
        <v>8880</v>
      </c>
      <c r="AK1242" s="19" t="s">
        <v>8881</v>
      </c>
    </row>
    <row r="1243" spans="1:37" s="23" customFormat="1">
      <c r="A1243" s="19" t="str">
        <f>VLOOKUP(H1243,Languages!$A$2:$B$430,2,FALSE)</f>
        <v>Indo-European</v>
      </c>
      <c r="B1243" s="19" t="s">
        <v>1812</v>
      </c>
      <c r="C1243" s="19" t="s">
        <v>94</v>
      </c>
      <c r="D1243" s="19" t="s">
        <v>8882</v>
      </c>
      <c r="E1243" s="20" t="s">
        <v>4833</v>
      </c>
      <c r="F1243" s="20" t="s">
        <v>4833</v>
      </c>
      <c r="G1243" s="19" t="s">
        <v>4833</v>
      </c>
      <c r="H1243" s="19" t="str">
        <f>VLOOKUP(G1243,'languoid 4.0'!$A$1:$I$24439,2,FALSE)</f>
        <v>indo1319</v>
      </c>
      <c r="I1243" s="19" t="str">
        <f>VLOOKUP(G1243,'languoid 4.0'!$A$1:$I$24439,6,FALSE)</f>
        <v>language</v>
      </c>
      <c r="J1243" s="20" t="s">
        <v>38</v>
      </c>
      <c r="K1243" s="20" t="s">
        <v>38</v>
      </c>
      <c r="L1243" s="20" t="s">
        <v>38</v>
      </c>
      <c r="M1243" s="19"/>
      <c r="N1243" s="19" t="s">
        <v>4834</v>
      </c>
      <c r="O1243" s="20" t="s">
        <v>40</v>
      </c>
      <c r="P1243" s="20" t="s">
        <v>41</v>
      </c>
      <c r="Q1243" s="19" t="s">
        <v>8883</v>
      </c>
      <c r="R1243" s="21" t="s">
        <v>8884</v>
      </c>
      <c r="S1243" s="19" t="s">
        <v>46</v>
      </c>
      <c r="T1243" s="19" t="s">
        <v>635</v>
      </c>
      <c r="U1243" s="19" t="s">
        <v>636</v>
      </c>
      <c r="V1243" s="19" t="s">
        <v>45</v>
      </c>
      <c r="W1243" s="19"/>
      <c r="X1243" s="19"/>
      <c r="Y1243" s="19"/>
      <c r="Z1243" s="19" t="s">
        <v>658</v>
      </c>
      <c r="AA1243" s="19" t="s">
        <v>8885</v>
      </c>
      <c r="AB1243" s="19" t="s">
        <v>46</v>
      </c>
      <c r="AC1243" s="19" t="s">
        <v>46</v>
      </c>
      <c r="AD1243" s="19"/>
      <c r="AE1243" s="19" t="s">
        <v>641</v>
      </c>
      <c r="AF1243" s="19" t="s">
        <v>190</v>
      </c>
      <c r="AG1243" s="19">
        <v>5</v>
      </c>
      <c r="AH1243" s="19" t="s">
        <v>190</v>
      </c>
      <c r="AI1243" s="19"/>
      <c r="AJ1243" s="19" t="s">
        <v>8886</v>
      </c>
      <c r="AK1243" s="19" t="s">
        <v>8881</v>
      </c>
    </row>
    <row r="1244" spans="1:37" s="23" customFormat="1">
      <c r="A1244" s="19" t="str">
        <f>VLOOKUP(H1244,Languages!$A$2:$B$430,2,FALSE)</f>
        <v>Indo-European</v>
      </c>
      <c r="B1244" s="19" t="s">
        <v>1812</v>
      </c>
      <c r="C1244" s="19" t="s">
        <v>94</v>
      </c>
      <c r="D1244" s="19" t="s">
        <v>9155</v>
      </c>
      <c r="E1244" s="20" t="s">
        <v>4833</v>
      </c>
      <c r="F1244" s="20" t="s">
        <v>180</v>
      </c>
      <c r="G1244" s="19" t="s">
        <v>180</v>
      </c>
      <c r="H1244" s="19" t="str">
        <f>VLOOKUP(G1244,'languoid 4.0'!$A$1:$I$24439,2,FALSE)</f>
        <v>indo1319</v>
      </c>
      <c r="I1244" s="19" t="str">
        <f>VLOOKUP(G1244,'languoid 4.0'!$A$1:$I$24439,6,FALSE)</f>
        <v>language</v>
      </c>
      <c r="J1244" s="20" t="s">
        <v>52</v>
      </c>
      <c r="K1244" s="20" t="s">
        <v>52</v>
      </c>
      <c r="L1244" s="20" t="s">
        <v>38</v>
      </c>
      <c r="M1244" s="19"/>
      <c r="N1244" s="19" t="s">
        <v>4834</v>
      </c>
      <c r="O1244" s="20" t="s">
        <v>40</v>
      </c>
      <c r="P1244" s="20" t="s">
        <v>41</v>
      </c>
      <c r="Q1244" s="19" t="s">
        <v>9156</v>
      </c>
      <c r="R1244" s="21" t="s">
        <v>9157</v>
      </c>
      <c r="S1244" s="19" t="s">
        <v>46</v>
      </c>
      <c r="T1244" s="19" t="s">
        <v>635</v>
      </c>
      <c r="U1244" s="19" t="s">
        <v>9158</v>
      </c>
      <c r="V1244" s="19" t="s">
        <v>45</v>
      </c>
      <c r="W1244" s="19"/>
      <c r="X1244" s="19"/>
      <c r="Y1244" s="19"/>
      <c r="Z1244" s="19" t="s">
        <v>658</v>
      </c>
      <c r="AA1244" s="19" t="s">
        <v>9159</v>
      </c>
      <c r="AB1244" s="19" t="s">
        <v>46</v>
      </c>
      <c r="AC1244" s="19" t="s">
        <v>46</v>
      </c>
      <c r="AD1244" s="19"/>
      <c r="AE1244" s="19" t="s">
        <v>641</v>
      </c>
      <c r="AF1244" s="19" t="s">
        <v>190</v>
      </c>
      <c r="AG1244" s="19">
        <v>6</v>
      </c>
      <c r="AH1244" s="19" t="s">
        <v>190</v>
      </c>
      <c r="AI1244" s="19"/>
      <c r="AJ1244" s="19" t="s">
        <v>9160</v>
      </c>
      <c r="AK1244" s="19" t="s">
        <v>8881</v>
      </c>
    </row>
    <row r="1245" spans="1:37" s="23" customFormat="1">
      <c r="A1245" s="19" t="str">
        <f>VLOOKUP(H1245,Languages!$A$2:$B$430,2,FALSE)</f>
        <v>Indo-European</v>
      </c>
      <c r="B1245" s="19" t="s">
        <v>1812</v>
      </c>
      <c r="C1245" s="19" t="s">
        <v>94</v>
      </c>
      <c r="D1245" s="19" t="s">
        <v>5951</v>
      </c>
      <c r="E1245" s="20" t="s">
        <v>180</v>
      </c>
      <c r="F1245" s="20" t="s">
        <v>180</v>
      </c>
      <c r="G1245" s="19" t="s">
        <v>180</v>
      </c>
      <c r="H1245" s="19" t="str">
        <f>VLOOKUP(G1245,'languoid 4.0'!$A$1:$I$24439,2,FALSE)</f>
        <v>indo1319</v>
      </c>
      <c r="I1245" s="19" t="str">
        <f>VLOOKUP(G1245,'languoid 4.0'!$A$1:$I$24439,6,FALSE)</f>
        <v>language</v>
      </c>
      <c r="J1245" s="20" t="s">
        <v>38</v>
      </c>
      <c r="K1245" s="20" t="s">
        <v>38</v>
      </c>
      <c r="L1245" s="20" t="s">
        <v>38</v>
      </c>
      <c r="M1245" s="19"/>
      <c r="N1245" s="19" t="s">
        <v>4842</v>
      </c>
      <c r="O1245" s="20" t="s">
        <v>40</v>
      </c>
      <c r="P1245" s="20" t="s">
        <v>41</v>
      </c>
      <c r="Q1245" s="19" t="s">
        <v>9380</v>
      </c>
      <c r="R1245" s="21" t="s">
        <v>9381</v>
      </c>
      <c r="S1245" s="19" t="s">
        <v>46</v>
      </c>
      <c r="T1245" s="19" t="s">
        <v>635</v>
      </c>
      <c r="U1245" s="19" t="s">
        <v>9382</v>
      </c>
      <c r="V1245" s="19" t="s">
        <v>45</v>
      </c>
      <c r="W1245" s="19"/>
      <c r="X1245" s="19"/>
      <c r="Y1245" s="19"/>
      <c r="Z1245" s="19" t="s">
        <v>658</v>
      </c>
      <c r="AA1245" s="19" t="s">
        <v>9383</v>
      </c>
      <c r="AB1245" s="19" t="s">
        <v>46</v>
      </c>
      <c r="AC1245" s="19" t="s">
        <v>46</v>
      </c>
      <c r="AD1245" s="19"/>
      <c r="AE1245" s="19" t="s">
        <v>641</v>
      </c>
      <c r="AF1245" s="19" t="s">
        <v>190</v>
      </c>
      <c r="AG1245" s="19">
        <v>5</v>
      </c>
      <c r="AH1245" s="19" t="s">
        <v>190</v>
      </c>
      <c r="AI1245" s="19"/>
      <c r="AJ1245" s="22">
        <v>43110.4062037037</v>
      </c>
      <c r="AK1245" s="19" t="s">
        <v>8881</v>
      </c>
    </row>
    <row r="1246" spans="1:37" s="23" customFormat="1">
      <c r="A1246" s="19" t="str">
        <f>VLOOKUP(H1246,Languages!$A$2:$B$430,2,FALSE)</f>
        <v>Indo-European</v>
      </c>
      <c r="B1246" s="19" t="s">
        <v>1812</v>
      </c>
      <c r="C1246" s="19" t="s">
        <v>94</v>
      </c>
      <c r="D1246" s="19" t="s">
        <v>9430</v>
      </c>
      <c r="E1246" s="20" t="s">
        <v>180</v>
      </c>
      <c r="F1246" s="20" t="s">
        <v>180</v>
      </c>
      <c r="G1246" s="19" t="s">
        <v>180</v>
      </c>
      <c r="H1246" s="19" t="str">
        <f>VLOOKUP(G1246,'languoid 4.0'!$A$1:$I$24439,2,FALSE)</f>
        <v>indo1319</v>
      </c>
      <c r="I1246" s="19" t="str">
        <f>VLOOKUP(G1246,'languoid 4.0'!$A$1:$I$24439,6,FALSE)</f>
        <v>language</v>
      </c>
      <c r="J1246" s="20" t="s">
        <v>38</v>
      </c>
      <c r="K1246" s="20" t="s">
        <v>38</v>
      </c>
      <c r="L1246" s="20" t="s">
        <v>38</v>
      </c>
      <c r="M1246" s="19"/>
      <c r="N1246" s="19" t="s">
        <v>4842</v>
      </c>
      <c r="O1246" s="20" t="s">
        <v>40</v>
      </c>
      <c r="P1246" s="20" t="s">
        <v>41</v>
      </c>
      <c r="Q1246" s="19" t="s">
        <v>9431</v>
      </c>
      <c r="R1246" s="21" t="s">
        <v>9432</v>
      </c>
      <c r="S1246" s="19" t="s">
        <v>46</v>
      </c>
      <c r="T1246" s="19" t="s">
        <v>635</v>
      </c>
      <c r="U1246" s="19" t="s">
        <v>9158</v>
      </c>
      <c r="V1246" s="19" t="s">
        <v>45</v>
      </c>
      <c r="W1246" s="19"/>
      <c r="X1246" s="19"/>
      <c r="Y1246" s="19"/>
      <c r="Z1246" s="19" t="s">
        <v>658</v>
      </c>
      <c r="AA1246" s="19" t="s">
        <v>9433</v>
      </c>
      <c r="AB1246" s="19" t="s">
        <v>46</v>
      </c>
      <c r="AC1246" s="19" t="s">
        <v>46</v>
      </c>
      <c r="AD1246" s="19"/>
      <c r="AE1246" s="19" t="s">
        <v>641</v>
      </c>
      <c r="AF1246" s="19" t="s">
        <v>190</v>
      </c>
      <c r="AG1246" s="19">
        <v>5</v>
      </c>
      <c r="AH1246" s="19" t="s">
        <v>190</v>
      </c>
      <c r="AI1246" s="19"/>
      <c r="AJ1246" s="22">
        <v>43230.433472222219</v>
      </c>
      <c r="AK1246" s="19" t="s">
        <v>8881</v>
      </c>
    </row>
    <row r="1247" spans="1:37" s="23" customFormat="1">
      <c r="A1247" s="19" t="str">
        <f>VLOOKUP(H1247,Languages!$A$2:$B$430,2,FALSE)</f>
        <v>Indo-European</v>
      </c>
      <c r="B1247" s="19" t="s">
        <v>1812</v>
      </c>
      <c r="C1247" s="19" t="s">
        <v>94</v>
      </c>
      <c r="D1247" s="19" t="s">
        <v>9683</v>
      </c>
      <c r="E1247" s="20" t="s">
        <v>9684</v>
      </c>
      <c r="F1247" s="20" t="s">
        <v>9684</v>
      </c>
      <c r="G1247" s="19" t="s">
        <v>9685</v>
      </c>
      <c r="H1247" s="19" t="str">
        <f>VLOOKUP(G1247,'languoid 4.0'!$A$1:$I$24439,2,FALSE)</f>
        <v>indo1319</v>
      </c>
      <c r="I1247" s="19" t="str">
        <f>VLOOKUP(G1247,'languoid 4.0'!$A$1:$I$24439,6,FALSE)</f>
        <v>dialect</v>
      </c>
      <c r="J1247" s="20" t="s">
        <v>38</v>
      </c>
      <c r="K1247" s="20" t="s">
        <v>38</v>
      </c>
      <c r="L1247" s="20" t="s">
        <v>38</v>
      </c>
      <c r="M1247" s="19"/>
      <c r="N1247" s="19"/>
      <c r="O1247" s="20" t="s">
        <v>40</v>
      </c>
      <c r="P1247" s="20" t="s">
        <v>41</v>
      </c>
      <c r="Q1247" s="19" t="s">
        <v>9686</v>
      </c>
      <c r="R1247" s="21" t="s">
        <v>9687</v>
      </c>
      <c r="S1247" s="19" t="s">
        <v>9688</v>
      </c>
      <c r="T1247" s="19" t="s">
        <v>635</v>
      </c>
      <c r="U1247" s="19" t="s">
        <v>9689</v>
      </c>
      <c r="V1247" s="19" t="s">
        <v>45</v>
      </c>
      <c r="W1247" s="19"/>
      <c r="X1247" s="19"/>
      <c r="Y1247" s="19"/>
      <c r="Z1247" s="19" t="s">
        <v>658</v>
      </c>
      <c r="AA1247" s="19" t="s">
        <v>9690</v>
      </c>
      <c r="AB1247" s="19" t="s">
        <v>46</v>
      </c>
      <c r="AC1247" s="19" t="s">
        <v>46</v>
      </c>
      <c r="AD1247" s="19"/>
      <c r="AE1247" s="19" t="s">
        <v>641</v>
      </c>
      <c r="AF1247" s="19" t="s">
        <v>190</v>
      </c>
      <c r="AG1247" s="19">
        <v>6</v>
      </c>
      <c r="AH1247" s="19" t="s">
        <v>190</v>
      </c>
      <c r="AI1247" s="19"/>
      <c r="AJ1247" s="19" t="s">
        <v>9691</v>
      </c>
      <c r="AK1247" s="19" t="s">
        <v>8881</v>
      </c>
    </row>
    <row r="1248" spans="1:37" s="23" customFormat="1">
      <c r="A1248" s="19" t="str">
        <f>VLOOKUP(H1248,Languages!$A$2:$B$430,2,FALSE)</f>
        <v>Indo-European</v>
      </c>
      <c r="B1248" s="19" t="s">
        <v>1812</v>
      </c>
      <c r="C1248" s="19" t="s">
        <v>1012</v>
      </c>
      <c r="D1248" s="19" t="s">
        <v>2769</v>
      </c>
      <c r="E1248" s="20" t="s">
        <v>2756</v>
      </c>
      <c r="F1248" s="20" t="s">
        <v>2757</v>
      </c>
      <c r="G1248" s="19" t="s">
        <v>2757</v>
      </c>
      <c r="H1248" s="19" t="str">
        <f>VLOOKUP(G1248,'languoid 4.0'!$A$1:$I$24439,2,FALSE)</f>
        <v>indo1319</v>
      </c>
      <c r="I1248" s="19" t="str">
        <f>VLOOKUP(G1248,'languoid 4.0'!$A$1:$I$24439,6,FALSE)</f>
        <v>family</v>
      </c>
      <c r="J1248" s="20" t="s">
        <v>52</v>
      </c>
      <c r="K1248" s="20" t="s">
        <v>38</v>
      </c>
      <c r="L1248" s="20" t="s">
        <v>38</v>
      </c>
      <c r="M1248" s="19"/>
      <c r="N1248" s="19" t="s">
        <v>2758</v>
      </c>
      <c r="O1248" s="20" t="s">
        <v>40</v>
      </c>
      <c r="P1248" s="20" t="s">
        <v>41</v>
      </c>
      <c r="Q1248" s="19" t="s">
        <v>2770</v>
      </c>
      <c r="R1248" s="21" t="s">
        <v>2771</v>
      </c>
      <c r="S1248" s="19" t="s">
        <v>46</v>
      </c>
      <c r="T1248" s="19" t="s">
        <v>635</v>
      </c>
      <c r="U1248" s="19" t="s">
        <v>67</v>
      </c>
      <c r="V1248" s="19" t="s">
        <v>45</v>
      </c>
      <c r="W1248" s="19"/>
      <c r="X1248" s="19"/>
      <c r="Y1248" s="19"/>
      <c r="Z1248" s="19" t="s">
        <v>658</v>
      </c>
      <c r="AA1248" s="19" t="s">
        <v>2772</v>
      </c>
      <c r="AB1248" s="19" t="s">
        <v>46</v>
      </c>
      <c r="AC1248" s="19" t="s">
        <v>46</v>
      </c>
      <c r="AD1248" s="19"/>
      <c r="AE1248" s="19" t="s">
        <v>641</v>
      </c>
      <c r="AF1248" s="19" t="s">
        <v>190</v>
      </c>
      <c r="AG1248" s="19">
        <v>6</v>
      </c>
      <c r="AH1248" s="19" t="s">
        <v>190</v>
      </c>
      <c r="AI1248" s="19"/>
      <c r="AJ1248" s="22">
        <v>43377.529780092591</v>
      </c>
      <c r="AK1248" s="19" t="s">
        <v>1023</v>
      </c>
    </row>
    <row r="1249" spans="1:37" s="23" customFormat="1">
      <c r="A1249" s="19" t="str">
        <f>VLOOKUP(H1249,Languages!$A$2:$B$430,2,FALSE)</f>
        <v>Indo-European</v>
      </c>
      <c r="B1249" s="19" t="s">
        <v>1812</v>
      </c>
      <c r="C1249" s="19" t="s">
        <v>1012</v>
      </c>
      <c r="D1249" s="19" t="s">
        <v>2834</v>
      </c>
      <c r="E1249" s="20" t="s">
        <v>2829</v>
      </c>
      <c r="F1249" s="20" t="s">
        <v>2829</v>
      </c>
      <c r="G1249" s="19" t="s">
        <v>2829</v>
      </c>
      <c r="H1249" s="19" t="str">
        <f>VLOOKUP(G1249,'languoid 4.0'!$A$1:$I$24439,2,FALSE)</f>
        <v>indo1319</v>
      </c>
      <c r="I1249" s="19" t="str">
        <f>VLOOKUP(G1249,'languoid 4.0'!$A$1:$I$24439,6,FALSE)</f>
        <v>language</v>
      </c>
      <c r="J1249" s="20" t="s">
        <v>38</v>
      </c>
      <c r="K1249" s="20" t="s">
        <v>38</v>
      </c>
      <c r="L1249" s="20" t="s">
        <v>38</v>
      </c>
      <c r="M1249" s="19"/>
      <c r="N1249" s="19" t="s">
        <v>2830</v>
      </c>
      <c r="O1249" s="20" t="s">
        <v>40</v>
      </c>
      <c r="P1249" s="20" t="s">
        <v>41</v>
      </c>
      <c r="Q1249" s="19" t="s">
        <v>2835</v>
      </c>
      <c r="R1249" s="21" t="s">
        <v>2836</v>
      </c>
      <c r="S1249" s="19" t="s">
        <v>46</v>
      </c>
      <c r="T1249" s="19" t="s">
        <v>635</v>
      </c>
      <c r="U1249" s="19" t="s">
        <v>636</v>
      </c>
      <c r="V1249" s="19" t="s">
        <v>45</v>
      </c>
      <c r="W1249" s="19"/>
      <c r="X1249" s="19"/>
      <c r="Y1249" s="19"/>
      <c r="Z1249" s="19" t="s">
        <v>658</v>
      </c>
      <c r="AA1249" s="19" t="s">
        <v>2837</v>
      </c>
      <c r="AB1249" s="19" t="s">
        <v>46</v>
      </c>
      <c r="AC1249" s="19" t="s">
        <v>46</v>
      </c>
      <c r="AD1249" s="19" t="s">
        <v>2838</v>
      </c>
      <c r="AE1249" s="19" t="s">
        <v>641</v>
      </c>
      <c r="AF1249" s="19" t="s">
        <v>190</v>
      </c>
      <c r="AG1249" s="19">
        <v>5</v>
      </c>
      <c r="AH1249" s="19" t="s">
        <v>190</v>
      </c>
      <c r="AI1249" s="19"/>
      <c r="AJ1249" s="22">
        <v>43438.438761574071</v>
      </c>
      <c r="AK1249" s="19" t="s">
        <v>1023</v>
      </c>
    </row>
    <row r="1250" spans="1:37" s="23" customFormat="1">
      <c r="A1250" s="19" t="str">
        <f>VLOOKUP(H1250,Languages!$A$2:$B$430,2,FALSE)</f>
        <v>Indo-European</v>
      </c>
      <c r="B1250" s="19" t="s">
        <v>1812</v>
      </c>
      <c r="C1250" s="19" t="s">
        <v>1012</v>
      </c>
      <c r="D1250" s="19" t="s">
        <v>2844</v>
      </c>
      <c r="E1250" s="20" t="s">
        <v>2845</v>
      </c>
      <c r="F1250" s="20" t="s">
        <v>2845</v>
      </c>
      <c r="G1250" s="19" t="s">
        <v>2845</v>
      </c>
      <c r="H1250" s="19" t="str">
        <f>VLOOKUP(G1250,'languoid 4.0'!$A$1:$I$24439,2,FALSE)</f>
        <v>indo1319</v>
      </c>
      <c r="I1250" s="19" t="str">
        <f>VLOOKUP(G1250,'languoid 4.0'!$A$1:$I$24439,6,FALSE)</f>
        <v>language</v>
      </c>
      <c r="J1250" s="20" t="s">
        <v>38</v>
      </c>
      <c r="K1250" s="20" t="s">
        <v>38</v>
      </c>
      <c r="L1250" s="20" t="s">
        <v>38</v>
      </c>
      <c r="M1250" s="19"/>
      <c r="N1250" s="19" t="s">
        <v>2846</v>
      </c>
      <c r="O1250" s="20" t="s">
        <v>40</v>
      </c>
      <c r="P1250" s="20" t="s">
        <v>41</v>
      </c>
      <c r="Q1250" s="19" t="s">
        <v>2851</v>
      </c>
      <c r="R1250" s="21" t="s">
        <v>2852</v>
      </c>
      <c r="S1250" s="19" t="s">
        <v>46</v>
      </c>
      <c r="T1250" s="19" t="s">
        <v>2739</v>
      </c>
      <c r="U1250" s="19" t="s">
        <v>636</v>
      </c>
      <c r="V1250" s="19" t="s">
        <v>45</v>
      </c>
      <c r="W1250" s="19"/>
      <c r="X1250" s="19"/>
      <c r="Y1250" s="19"/>
      <c r="Z1250" s="19" t="s">
        <v>658</v>
      </c>
      <c r="AA1250" s="19" t="s">
        <v>2853</v>
      </c>
      <c r="AB1250" s="19" t="s">
        <v>46</v>
      </c>
      <c r="AC1250" s="19" t="s">
        <v>46</v>
      </c>
      <c r="AD1250" s="19" t="s">
        <v>2838</v>
      </c>
      <c r="AE1250" s="19" t="s">
        <v>641</v>
      </c>
      <c r="AF1250" s="19" t="s">
        <v>190</v>
      </c>
      <c r="AG1250" s="19">
        <v>5</v>
      </c>
      <c r="AH1250" s="19" t="s">
        <v>190</v>
      </c>
      <c r="AI1250" s="19"/>
      <c r="AJ1250" s="22">
        <v>43438.451956018522</v>
      </c>
      <c r="AK1250" s="19" t="s">
        <v>1023</v>
      </c>
    </row>
    <row r="1251" spans="1:37" s="23" customFormat="1">
      <c r="A1251" s="19" t="str">
        <f>VLOOKUP(H1251,Languages!$A$2:$B$430,2,FALSE)</f>
        <v>Indo-European</v>
      </c>
      <c r="B1251" s="19" t="s">
        <v>1812</v>
      </c>
      <c r="C1251" s="19" t="s">
        <v>1012</v>
      </c>
      <c r="D1251" s="19" t="s">
        <v>2901</v>
      </c>
      <c r="E1251" s="20" t="s">
        <v>2731</v>
      </c>
      <c r="F1251" s="20" t="s">
        <v>2731</v>
      </c>
      <c r="G1251" s="19" t="s">
        <v>2731</v>
      </c>
      <c r="H1251" s="19" t="str">
        <f>VLOOKUP(G1251,'languoid 4.0'!$A$1:$I$24439,2,FALSE)</f>
        <v>indo1319</v>
      </c>
      <c r="I1251" s="19" t="str">
        <f>VLOOKUP(G1251,'languoid 4.0'!$A$1:$I$24439,6,FALSE)</f>
        <v>language</v>
      </c>
      <c r="J1251" s="20" t="s">
        <v>38</v>
      </c>
      <c r="K1251" s="20" t="s">
        <v>38</v>
      </c>
      <c r="L1251" s="20" t="s">
        <v>38</v>
      </c>
      <c r="M1251" s="19"/>
      <c r="N1251" s="19" t="s">
        <v>2732</v>
      </c>
      <c r="O1251" s="20" t="s">
        <v>40</v>
      </c>
      <c r="P1251" s="20" t="s">
        <v>632</v>
      </c>
      <c r="Q1251" s="19" t="s">
        <v>3391</v>
      </c>
      <c r="R1251" s="21" t="s">
        <v>3392</v>
      </c>
      <c r="S1251" s="19" t="s">
        <v>46</v>
      </c>
      <c r="T1251" s="19" t="s">
        <v>635</v>
      </c>
      <c r="U1251" s="19" t="s">
        <v>636</v>
      </c>
      <c r="V1251" s="19" t="s">
        <v>45</v>
      </c>
      <c r="W1251" s="19"/>
      <c r="X1251" s="19"/>
      <c r="Y1251" s="19"/>
      <c r="Z1251" s="19" t="s">
        <v>658</v>
      </c>
      <c r="AA1251" s="19" t="s">
        <v>3393</v>
      </c>
      <c r="AB1251" s="19" t="s">
        <v>46</v>
      </c>
      <c r="AC1251" s="19" t="s">
        <v>46</v>
      </c>
      <c r="AD1251" s="19" t="s">
        <v>3109</v>
      </c>
      <c r="AE1251" s="19" t="s">
        <v>641</v>
      </c>
      <c r="AF1251" s="19" t="s">
        <v>190</v>
      </c>
      <c r="AG1251" s="19">
        <v>5</v>
      </c>
      <c r="AH1251" s="19" t="s">
        <v>190</v>
      </c>
      <c r="AI1251" s="19"/>
      <c r="AJ1251" s="19" t="s">
        <v>3394</v>
      </c>
      <c r="AK1251" s="19" t="s">
        <v>1023</v>
      </c>
    </row>
    <row r="1252" spans="1:37" s="23" customFormat="1">
      <c r="A1252" s="19" t="str">
        <f>VLOOKUP(H1252,Languages!$A$2:$B$430,2,FALSE)</f>
        <v>Indo-European</v>
      </c>
      <c r="B1252" s="19" t="s">
        <v>1812</v>
      </c>
      <c r="C1252" s="19" t="s">
        <v>1012</v>
      </c>
      <c r="D1252" s="19" t="s">
        <v>2932</v>
      </c>
      <c r="E1252" s="20" t="s">
        <v>1380</v>
      </c>
      <c r="F1252" s="20" t="s">
        <v>180</v>
      </c>
      <c r="G1252" s="19" t="s">
        <v>1380</v>
      </c>
      <c r="H1252" s="19" t="str">
        <f>VLOOKUP(G1252,'languoid 4.0'!$A$1:$I$24439,2,FALSE)</f>
        <v>indo1319</v>
      </c>
      <c r="I1252" s="19" t="str">
        <f>VLOOKUP(G1252,'languoid 4.0'!$A$1:$I$24439,6,FALSE)</f>
        <v>language</v>
      </c>
      <c r="J1252" s="20" t="s">
        <v>52</v>
      </c>
      <c r="K1252" s="20" t="s">
        <v>38</v>
      </c>
      <c r="L1252" s="20" t="s">
        <v>38</v>
      </c>
      <c r="M1252" s="19"/>
      <c r="N1252" s="19" t="s">
        <v>2933</v>
      </c>
      <c r="O1252" s="20" t="s">
        <v>40</v>
      </c>
      <c r="P1252" s="20" t="s">
        <v>41</v>
      </c>
      <c r="Q1252" s="19" t="s">
        <v>4516</v>
      </c>
      <c r="R1252" s="21" t="s">
        <v>4517</v>
      </c>
      <c r="S1252" s="19" t="s">
        <v>46</v>
      </c>
      <c r="T1252" s="19" t="s">
        <v>635</v>
      </c>
      <c r="U1252" s="19" t="s">
        <v>636</v>
      </c>
      <c r="V1252" s="19" t="s">
        <v>45</v>
      </c>
      <c r="W1252" s="19"/>
      <c r="X1252" s="19"/>
      <c r="Y1252" s="19"/>
      <c r="Z1252" s="19" t="s">
        <v>658</v>
      </c>
      <c r="AA1252" s="19" t="s">
        <v>4518</v>
      </c>
      <c r="AB1252" s="19" t="s">
        <v>46</v>
      </c>
      <c r="AC1252" s="19" t="s">
        <v>46</v>
      </c>
      <c r="AD1252" s="19"/>
      <c r="AE1252" s="19" t="s">
        <v>641</v>
      </c>
      <c r="AF1252" s="19" t="s">
        <v>190</v>
      </c>
      <c r="AG1252" s="19">
        <v>6</v>
      </c>
      <c r="AH1252" s="19" t="s">
        <v>190</v>
      </c>
      <c r="AI1252" s="19"/>
      <c r="AJ1252" s="22">
        <v>43257.489293981482</v>
      </c>
      <c r="AK1252" s="19" t="s">
        <v>4489</v>
      </c>
    </row>
    <row r="1253" spans="1:37" s="23" customFormat="1">
      <c r="A1253" s="19" t="str">
        <f>VLOOKUP(H1253,Languages!$A$2:$B$430,2,FALSE)</f>
        <v>Indo-European</v>
      </c>
      <c r="B1253" s="19" t="s">
        <v>1812</v>
      </c>
      <c r="C1253" s="19" t="s">
        <v>1012</v>
      </c>
      <c r="D1253" s="19" t="s">
        <v>10644</v>
      </c>
      <c r="E1253" s="20" t="s">
        <v>239</v>
      </c>
      <c r="F1253" s="20" t="s">
        <v>239</v>
      </c>
      <c r="G1253" s="19" t="s">
        <v>239</v>
      </c>
      <c r="H1253" s="19" t="str">
        <f>VLOOKUP(G1253,'languoid 4.0'!$A$1:$I$24439,2,FALSE)</f>
        <v>indo1319</v>
      </c>
      <c r="I1253" s="19" t="str">
        <f>VLOOKUP(G1253,'languoid 4.0'!$A$1:$I$24439,6,FALSE)</f>
        <v>language</v>
      </c>
      <c r="J1253" s="20" t="s">
        <v>38</v>
      </c>
      <c r="K1253" s="20" t="s">
        <v>38</v>
      </c>
      <c r="L1253" s="20" t="s">
        <v>38</v>
      </c>
      <c r="M1253" s="19"/>
      <c r="N1253" s="19" t="s">
        <v>269</v>
      </c>
      <c r="O1253" s="20" t="s">
        <v>40</v>
      </c>
      <c r="P1253" s="20" t="s">
        <v>41</v>
      </c>
      <c r="Q1253" s="19" t="s">
        <v>10650</v>
      </c>
      <c r="R1253" s="21" t="s">
        <v>10646</v>
      </c>
      <c r="S1253" s="19" t="s">
        <v>43</v>
      </c>
      <c r="T1253" s="19" t="s">
        <v>8277</v>
      </c>
      <c r="U1253" s="19" t="s">
        <v>636</v>
      </c>
      <c r="V1253" s="19" t="s">
        <v>45</v>
      </c>
      <c r="W1253" s="19"/>
      <c r="X1253" s="19"/>
      <c r="Y1253" s="19"/>
      <c r="Z1253" s="19" t="s">
        <v>673</v>
      </c>
      <c r="AA1253" s="19" t="s">
        <v>46</v>
      </c>
      <c r="AB1253" s="19" t="s">
        <v>10651</v>
      </c>
      <c r="AC1253" s="19" t="s">
        <v>46</v>
      </c>
      <c r="AD1253" s="19" t="s">
        <v>10648</v>
      </c>
      <c r="AE1253" s="19" t="s">
        <v>641</v>
      </c>
      <c r="AF1253" s="19" t="s">
        <v>190</v>
      </c>
      <c r="AG1253" s="19">
        <v>6</v>
      </c>
      <c r="AH1253" s="19" t="s">
        <v>190</v>
      </c>
      <c r="AI1253" s="19"/>
      <c r="AJ1253" s="19" t="s">
        <v>10652</v>
      </c>
      <c r="AK1253" s="19" t="s">
        <v>9595</v>
      </c>
    </row>
    <row r="1254" spans="1:37" s="23" customFormat="1">
      <c r="A1254" s="19" t="str">
        <f>VLOOKUP(H1254,Languages!$A$2:$B$430,2,FALSE)</f>
        <v>Indo-European</v>
      </c>
      <c r="B1254" s="19" t="s">
        <v>1812</v>
      </c>
      <c r="C1254" s="19" t="s">
        <v>154</v>
      </c>
      <c r="D1254" s="19" t="s">
        <v>6454</v>
      </c>
      <c r="E1254" s="20" t="s">
        <v>239</v>
      </c>
      <c r="F1254" s="20" t="s">
        <v>6455</v>
      </c>
      <c r="G1254" s="19" t="s">
        <v>239</v>
      </c>
      <c r="H1254" s="19" t="str">
        <f>VLOOKUP(G1254,'languoid 4.0'!$A$1:$I$24439,2,FALSE)</f>
        <v>indo1319</v>
      </c>
      <c r="I1254" s="19" t="str">
        <f>VLOOKUP(G1254,'languoid 4.0'!$A$1:$I$24439,6,FALSE)</f>
        <v>language</v>
      </c>
      <c r="J1254" s="20" t="s">
        <v>52</v>
      </c>
      <c r="K1254" s="20" t="s">
        <v>52</v>
      </c>
      <c r="L1254" s="20" t="s">
        <v>52</v>
      </c>
      <c r="M1254" s="19"/>
      <c r="N1254" s="19" t="s">
        <v>269</v>
      </c>
      <c r="O1254" s="20" t="s">
        <v>40</v>
      </c>
      <c r="P1254" s="20" t="s">
        <v>41</v>
      </c>
      <c r="Q1254" s="19" t="s">
        <v>6456</v>
      </c>
      <c r="R1254" s="21" t="s">
        <v>6457</v>
      </c>
      <c r="S1254" s="19" t="s">
        <v>6458</v>
      </c>
      <c r="T1254" s="19" t="s">
        <v>6428</v>
      </c>
      <c r="U1254" s="19" t="s">
        <v>636</v>
      </c>
      <c r="V1254" s="19" t="s">
        <v>45</v>
      </c>
      <c r="W1254" s="19"/>
      <c r="X1254" s="19"/>
      <c r="Y1254" s="19"/>
      <c r="Z1254" s="19" t="s">
        <v>1893</v>
      </c>
      <c r="AA1254" s="19" t="s">
        <v>46</v>
      </c>
      <c r="AB1254" s="19" t="s">
        <v>46</v>
      </c>
      <c r="AC1254" s="19" t="s">
        <v>6459</v>
      </c>
      <c r="AD1254" s="19"/>
      <c r="AE1254" s="19" t="s">
        <v>641</v>
      </c>
      <c r="AF1254" s="19" t="s">
        <v>190</v>
      </c>
      <c r="AG1254" s="19">
        <v>4</v>
      </c>
      <c r="AH1254" s="19" t="s">
        <v>190</v>
      </c>
      <c r="AI1254" s="19"/>
      <c r="AJ1254" s="22">
        <v>43411.713217592594</v>
      </c>
      <c r="AK1254" s="19" t="s">
        <v>6365</v>
      </c>
    </row>
    <row r="1255" spans="1:37" s="23" customFormat="1">
      <c r="A1255" s="19" t="str">
        <f>VLOOKUP(H1255,Languages!$A$2:$B$430,2,FALSE)</f>
        <v>Indo-European</v>
      </c>
      <c r="B1255" s="19" t="s">
        <v>1812</v>
      </c>
      <c r="C1255" s="19" t="s">
        <v>154</v>
      </c>
      <c r="D1255" s="19" t="s">
        <v>6454</v>
      </c>
      <c r="E1255" s="20" t="s">
        <v>239</v>
      </c>
      <c r="F1255" s="20" t="s">
        <v>6455</v>
      </c>
      <c r="G1255" s="19" t="s">
        <v>6460</v>
      </c>
      <c r="H1255" s="19" t="str">
        <f>VLOOKUP(G1255,'languoid 4.0'!$A$1:$I$24439,2,FALSE)</f>
        <v>indo1319</v>
      </c>
      <c r="I1255" s="19" t="str">
        <f>VLOOKUP(G1255,'languoid 4.0'!$A$1:$I$24439,6,FALSE)</f>
        <v>family</v>
      </c>
      <c r="J1255" s="20" t="s">
        <v>52</v>
      </c>
      <c r="K1255" s="20" t="s">
        <v>52</v>
      </c>
      <c r="L1255" s="20" t="s">
        <v>52</v>
      </c>
      <c r="M1255" s="19"/>
      <c r="N1255" s="19" t="s">
        <v>269</v>
      </c>
      <c r="O1255" s="20" t="s">
        <v>40</v>
      </c>
      <c r="P1255" s="20" t="s">
        <v>41</v>
      </c>
      <c r="Q1255" s="19" t="s">
        <v>6461</v>
      </c>
      <c r="R1255" s="21" t="s">
        <v>6457</v>
      </c>
      <c r="S1255" s="19" t="s">
        <v>6369</v>
      </c>
      <c r="T1255" s="19" t="s">
        <v>6428</v>
      </c>
      <c r="U1255" s="19" t="s">
        <v>6462</v>
      </c>
      <c r="V1255" s="19" t="s">
        <v>45</v>
      </c>
      <c r="W1255" s="19"/>
      <c r="X1255" s="19"/>
      <c r="Y1255" s="19"/>
      <c r="Z1255" s="19" t="s">
        <v>1893</v>
      </c>
      <c r="AA1255" s="19" t="s">
        <v>46</v>
      </c>
      <c r="AB1255" s="19" t="s">
        <v>46</v>
      </c>
      <c r="AC1255" s="19" t="s">
        <v>6463</v>
      </c>
      <c r="AD1255" s="19"/>
      <c r="AE1255" s="19" t="s">
        <v>641</v>
      </c>
      <c r="AF1255" s="19" t="s">
        <v>190</v>
      </c>
      <c r="AG1255" s="19">
        <v>6</v>
      </c>
      <c r="AH1255" s="19" t="s">
        <v>190</v>
      </c>
      <c r="AI1255" s="19"/>
      <c r="AJ1255" s="22">
        <v>43411.721932870372</v>
      </c>
      <c r="AK1255" s="19" t="s">
        <v>6365</v>
      </c>
    </row>
    <row r="1256" spans="1:37" s="23" customFormat="1">
      <c r="A1256" s="19" t="str">
        <f>VLOOKUP(H1256,Languages!$A$2:$B$430,2,FALSE)</f>
        <v>Indo-European</v>
      </c>
      <c r="B1256" s="19" t="s">
        <v>1812</v>
      </c>
      <c r="C1256" s="19" t="s">
        <v>154</v>
      </c>
      <c r="D1256" s="19" t="s">
        <v>6469</v>
      </c>
      <c r="E1256" s="20" t="s">
        <v>239</v>
      </c>
      <c r="F1256" s="20" t="s">
        <v>6460</v>
      </c>
      <c r="G1256" s="19" t="s">
        <v>6460</v>
      </c>
      <c r="H1256" s="19" t="str">
        <f>VLOOKUP(G1256,'languoid 4.0'!$A$1:$I$24439,2,FALSE)</f>
        <v>indo1319</v>
      </c>
      <c r="I1256" s="19" t="str">
        <f>VLOOKUP(G1256,'languoid 4.0'!$A$1:$I$24439,6,FALSE)</f>
        <v>family</v>
      </c>
      <c r="J1256" s="20" t="s">
        <v>52</v>
      </c>
      <c r="K1256" s="20" t="s">
        <v>52</v>
      </c>
      <c r="L1256" s="20" t="s">
        <v>38</v>
      </c>
      <c r="M1256" s="19"/>
      <c r="N1256" s="19" t="s">
        <v>269</v>
      </c>
      <c r="O1256" s="20" t="s">
        <v>40</v>
      </c>
      <c r="P1256" s="20" t="s">
        <v>41</v>
      </c>
      <c r="Q1256" s="19" t="s">
        <v>6477</v>
      </c>
      <c r="R1256" s="21" t="s">
        <v>6475</v>
      </c>
      <c r="S1256" s="19" t="s">
        <v>5684</v>
      </c>
      <c r="T1256" s="19" t="s">
        <v>6428</v>
      </c>
      <c r="U1256" s="19" t="s">
        <v>636</v>
      </c>
      <c r="V1256" s="19" t="s">
        <v>45</v>
      </c>
      <c r="W1256" s="19"/>
      <c r="X1256" s="19"/>
      <c r="Y1256" s="19"/>
      <c r="Z1256" s="19" t="s">
        <v>1893</v>
      </c>
      <c r="AA1256" s="19" t="s">
        <v>46</v>
      </c>
      <c r="AB1256" s="19" t="s">
        <v>46</v>
      </c>
      <c r="AC1256" s="19" t="s">
        <v>6478</v>
      </c>
      <c r="AD1256" s="19"/>
      <c r="AE1256" s="19" t="s">
        <v>641</v>
      </c>
      <c r="AF1256" s="19" t="s">
        <v>190</v>
      </c>
      <c r="AG1256" s="19">
        <v>5</v>
      </c>
      <c r="AH1256" s="19" t="s">
        <v>190</v>
      </c>
      <c r="AI1256" s="19"/>
      <c r="AJ1256" s="22">
        <v>43411.8828125</v>
      </c>
      <c r="AK1256" s="19" t="s">
        <v>6365</v>
      </c>
    </row>
    <row r="1257" spans="1:37" s="23" customFormat="1">
      <c r="A1257" s="19" t="str">
        <f>VLOOKUP(H1257,Languages!$A$2:$B$430,2,FALSE)</f>
        <v>Indo-European</v>
      </c>
      <c r="B1257" s="19" t="s">
        <v>1812</v>
      </c>
      <c r="C1257" s="19" t="s">
        <v>154</v>
      </c>
      <c r="D1257" s="19" t="s">
        <v>6469</v>
      </c>
      <c r="E1257" s="20" t="s">
        <v>239</v>
      </c>
      <c r="F1257" s="20" t="s">
        <v>6460</v>
      </c>
      <c r="G1257" s="19" t="s">
        <v>6460</v>
      </c>
      <c r="H1257" s="19" t="str">
        <f>VLOOKUP(G1257,'languoid 4.0'!$A$1:$I$24439,2,FALSE)</f>
        <v>indo1319</v>
      </c>
      <c r="I1257" s="19" t="str">
        <f>VLOOKUP(G1257,'languoid 4.0'!$A$1:$I$24439,6,FALSE)</f>
        <v>family</v>
      </c>
      <c r="J1257" s="20" t="s">
        <v>52</v>
      </c>
      <c r="K1257" s="20" t="s">
        <v>52</v>
      </c>
      <c r="L1257" s="20" t="s">
        <v>38</v>
      </c>
      <c r="M1257" s="19"/>
      <c r="N1257" s="19" t="s">
        <v>269</v>
      </c>
      <c r="O1257" s="20" t="s">
        <v>40</v>
      </c>
      <c r="P1257" s="20" t="s">
        <v>41</v>
      </c>
      <c r="Q1257" s="19" t="s">
        <v>6479</v>
      </c>
      <c r="R1257" s="21" t="s">
        <v>6475</v>
      </c>
      <c r="S1257" s="19" t="s">
        <v>6414</v>
      </c>
      <c r="T1257" s="19" t="s">
        <v>6428</v>
      </c>
      <c r="U1257" s="19" t="s">
        <v>636</v>
      </c>
      <c r="V1257" s="19" t="s">
        <v>45</v>
      </c>
      <c r="W1257" s="19"/>
      <c r="X1257" s="19"/>
      <c r="Y1257" s="19"/>
      <c r="Z1257" s="19" t="s">
        <v>1893</v>
      </c>
      <c r="AA1257" s="19" t="s">
        <v>46</v>
      </c>
      <c r="AB1257" s="19" t="s">
        <v>46</v>
      </c>
      <c r="AC1257" s="19" t="s">
        <v>6480</v>
      </c>
      <c r="AD1257" s="19"/>
      <c r="AE1257" s="19" t="s">
        <v>641</v>
      </c>
      <c r="AF1257" s="19" t="s">
        <v>190</v>
      </c>
      <c r="AG1257" s="19">
        <v>5</v>
      </c>
      <c r="AH1257" s="19" t="s">
        <v>190</v>
      </c>
      <c r="AI1257" s="19"/>
      <c r="AJ1257" s="22">
        <v>43411.885497685187</v>
      </c>
      <c r="AK1257" s="19" t="s">
        <v>6365</v>
      </c>
    </row>
    <row r="1258" spans="1:37" s="23" customFormat="1">
      <c r="A1258" s="19" t="str">
        <f>VLOOKUP(H1258,Languages!$A$2:$B$430,2,FALSE)</f>
        <v>Indo-European</v>
      </c>
      <c r="B1258" s="19" t="s">
        <v>1812</v>
      </c>
      <c r="C1258" s="19" t="s">
        <v>10200</v>
      </c>
      <c r="D1258" s="19" t="s">
        <v>10336</v>
      </c>
      <c r="E1258" s="20" t="s">
        <v>10209</v>
      </c>
      <c r="F1258" s="20" t="s">
        <v>10209</v>
      </c>
      <c r="G1258" s="19" t="s">
        <v>10209</v>
      </c>
      <c r="H1258" s="19" t="str">
        <f>VLOOKUP(G1258,'languoid 4.0'!$A$1:$I$24439,2,FALSE)</f>
        <v>indo1319</v>
      </c>
      <c r="I1258" s="19" t="str">
        <f>VLOOKUP(G1258,'languoid 4.0'!$A$1:$I$24439,6,FALSE)</f>
        <v>language</v>
      </c>
      <c r="J1258" s="20" t="s">
        <v>38</v>
      </c>
      <c r="K1258" s="20" t="s">
        <v>38</v>
      </c>
      <c r="L1258" s="20" t="s">
        <v>38</v>
      </c>
      <c r="M1258" s="19"/>
      <c r="N1258" s="19" t="s">
        <v>10256</v>
      </c>
      <c r="O1258" s="20" t="s">
        <v>40</v>
      </c>
      <c r="P1258" s="20" t="s">
        <v>41</v>
      </c>
      <c r="Q1258" s="19" t="s">
        <v>10337</v>
      </c>
      <c r="R1258" s="21" t="s">
        <v>10338</v>
      </c>
      <c r="S1258" s="19" t="s">
        <v>46</v>
      </c>
      <c r="T1258" s="19" t="s">
        <v>635</v>
      </c>
      <c r="U1258" s="19" t="s">
        <v>636</v>
      </c>
      <c r="V1258" s="19" t="s">
        <v>45</v>
      </c>
      <c r="W1258" s="19"/>
      <c r="X1258" s="19"/>
      <c r="Y1258" s="19"/>
      <c r="Z1258" s="19" t="s">
        <v>673</v>
      </c>
      <c r="AA1258" s="19" t="s">
        <v>46</v>
      </c>
      <c r="AB1258" s="19" t="s">
        <v>10339</v>
      </c>
      <c r="AC1258" s="19" t="s">
        <v>46</v>
      </c>
      <c r="AD1258" s="19"/>
      <c r="AE1258" s="19" t="s">
        <v>641</v>
      </c>
      <c r="AF1258" s="19" t="s">
        <v>190</v>
      </c>
      <c r="AG1258" s="19">
        <v>6</v>
      </c>
      <c r="AH1258" s="19" t="s">
        <v>190</v>
      </c>
      <c r="AI1258" s="19"/>
      <c r="AJ1258" s="19" t="s">
        <v>10340</v>
      </c>
      <c r="AK1258" s="19" t="s">
        <v>4945</v>
      </c>
    </row>
    <row r="1259" spans="1:37" s="23" customFormat="1">
      <c r="A1259" s="19" t="str">
        <f>VLOOKUP(H1259,Languages!$A$2:$B$430,2,FALSE)</f>
        <v>Indo-European</v>
      </c>
      <c r="B1259" s="19" t="s">
        <v>1812</v>
      </c>
      <c r="C1259" s="19" t="s">
        <v>5463</v>
      </c>
      <c r="D1259" s="19" t="s">
        <v>6670</v>
      </c>
      <c r="E1259" s="20" t="s">
        <v>239</v>
      </c>
      <c r="F1259" s="20" t="s">
        <v>239</v>
      </c>
      <c r="G1259" s="19" t="s">
        <v>239</v>
      </c>
      <c r="H1259" s="19" t="str">
        <f>VLOOKUP(G1259,'languoid 4.0'!$A$1:$I$24439,2,FALSE)</f>
        <v>indo1319</v>
      </c>
      <c r="I1259" s="19" t="str">
        <f>VLOOKUP(G1259,'languoid 4.0'!$A$1:$I$24439,6,FALSE)</f>
        <v>language</v>
      </c>
      <c r="J1259" s="20" t="s">
        <v>38</v>
      </c>
      <c r="K1259" s="20" t="s">
        <v>38</v>
      </c>
      <c r="L1259" s="20" t="s">
        <v>38</v>
      </c>
      <c r="M1259" s="19"/>
      <c r="N1259" s="19" t="s">
        <v>269</v>
      </c>
      <c r="O1259" s="20" t="s">
        <v>40</v>
      </c>
      <c r="P1259" s="20" t="s">
        <v>41</v>
      </c>
      <c r="Q1259" s="19" t="s">
        <v>6671</v>
      </c>
      <c r="R1259" s="21" t="s">
        <v>6672</v>
      </c>
      <c r="S1259" s="19" t="s">
        <v>399</v>
      </c>
      <c r="T1259" s="19" t="s">
        <v>1689</v>
      </c>
      <c r="U1259" s="19" t="s">
        <v>636</v>
      </c>
      <c r="V1259" s="19" t="s">
        <v>45</v>
      </c>
      <c r="W1259" s="19"/>
      <c r="X1259" s="19"/>
      <c r="Y1259" s="19"/>
      <c r="Z1259" s="19" t="s">
        <v>637</v>
      </c>
      <c r="AA1259" s="19" t="s">
        <v>6673</v>
      </c>
      <c r="AB1259" s="19" t="s">
        <v>6674</v>
      </c>
      <c r="AC1259" s="19" t="s">
        <v>46</v>
      </c>
      <c r="AD1259" s="19"/>
      <c r="AE1259" s="19"/>
      <c r="AF1259" s="19"/>
      <c r="AG1259" s="19"/>
      <c r="AH1259" s="19" t="s">
        <v>45</v>
      </c>
      <c r="AI1259" s="19"/>
      <c r="AJ1259" s="19" t="s">
        <v>6675</v>
      </c>
      <c r="AK1259" s="19" t="s">
        <v>5472</v>
      </c>
    </row>
    <row r="1260" spans="1:37" s="23" customFormat="1">
      <c r="A1260" s="19" t="str">
        <f>VLOOKUP(H1260,Languages!$A$2:$B$430,2,FALSE)</f>
        <v>Indo-European</v>
      </c>
      <c r="B1260" s="19" t="s">
        <v>1812</v>
      </c>
      <c r="C1260" s="19" t="s">
        <v>5463</v>
      </c>
      <c r="D1260" s="19" t="s">
        <v>6676</v>
      </c>
      <c r="E1260" s="20" t="s">
        <v>239</v>
      </c>
      <c r="F1260" s="20" t="s">
        <v>239</v>
      </c>
      <c r="G1260" s="19" t="s">
        <v>239</v>
      </c>
      <c r="H1260" s="19" t="str">
        <f>VLOOKUP(G1260,'languoid 4.0'!$A$1:$I$24439,2,FALSE)</f>
        <v>indo1319</v>
      </c>
      <c r="I1260" s="19" t="str">
        <f>VLOOKUP(G1260,'languoid 4.0'!$A$1:$I$24439,6,FALSE)</f>
        <v>language</v>
      </c>
      <c r="J1260" s="20" t="s">
        <v>38</v>
      </c>
      <c r="K1260" s="20" t="s">
        <v>38</v>
      </c>
      <c r="L1260" s="20" t="s">
        <v>38</v>
      </c>
      <c r="M1260" s="19"/>
      <c r="N1260" s="19" t="s">
        <v>269</v>
      </c>
      <c r="O1260" s="20" t="s">
        <v>40</v>
      </c>
      <c r="P1260" s="20" t="s">
        <v>41</v>
      </c>
      <c r="Q1260" s="19" t="s">
        <v>6677</v>
      </c>
      <c r="R1260" s="21" t="s">
        <v>6678</v>
      </c>
      <c r="S1260" s="19" t="s">
        <v>672</v>
      </c>
      <c r="T1260" s="19" t="s">
        <v>1689</v>
      </c>
      <c r="U1260" s="19" t="s">
        <v>636</v>
      </c>
      <c r="V1260" s="19" t="s">
        <v>45</v>
      </c>
      <c r="W1260" s="19"/>
      <c r="X1260" s="19"/>
      <c r="Y1260" s="19"/>
      <c r="Z1260" s="19" t="s">
        <v>658</v>
      </c>
      <c r="AA1260" s="19" t="s">
        <v>6679</v>
      </c>
      <c r="AB1260" s="19" t="s">
        <v>46</v>
      </c>
      <c r="AC1260" s="19" t="s">
        <v>46</v>
      </c>
      <c r="AD1260" s="19"/>
      <c r="AE1260" s="19" t="s">
        <v>641</v>
      </c>
      <c r="AF1260" s="19" t="s">
        <v>190</v>
      </c>
      <c r="AG1260" s="19">
        <v>5</v>
      </c>
      <c r="AH1260" s="19" t="s">
        <v>190</v>
      </c>
      <c r="AI1260" s="19"/>
      <c r="AJ1260" s="19" t="s">
        <v>6680</v>
      </c>
      <c r="AK1260" s="19" t="s">
        <v>5472</v>
      </c>
    </row>
    <row r="1261" spans="1:37" s="23" customFormat="1">
      <c r="A1261" s="19" t="str">
        <f>VLOOKUP(H1261,Languages!$A$2:$B$430,2,FALSE)</f>
        <v>Indo-European</v>
      </c>
      <c r="B1261" s="19" t="s">
        <v>1812</v>
      </c>
      <c r="C1261" s="19" t="s">
        <v>5463</v>
      </c>
      <c r="D1261" s="19" t="s">
        <v>6693</v>
      </c>
      <c r="E1261" s="20" t="s">
        <v>239</v>
      </c>
      <c r="F1261" s="20" t="s">
        <v>239</v>
      </c>
      <c r="G1261" s="19" t="s">
        <v>239</v>
      </c>
      <c r="H1261" s="19" t="str">
        <f>VLOOKUP(G1261,'languoid 4.0'!$A$1:$I$24439,2,FALSE)</f>
        <v>indo1319</v>
      </c>
      <c r="I1261" s="19" t="str">
        <f>VLOOKUP(G1261,'languoid 4.0'!$A$1:$I$24439,6,FALSE)</f>
        <v>language</v>
      </c>
      <c r="J1261" s="20" t="s">
        <v>38</v>
      </c>
      <c r="K1261" s="20" t="s">
        <v>38</v>
      </c>
      <c r="L1261" s="20" t="s">
        <v>38</v>
      </c>
      <c r="M1261" s="19"/>
      <c r="N1261" s="19" t="s">
        <v>269</v>
      </c>
      <c r="O1261" s="20" t="s">
        <v>40</v>
      </c>
      <c r="P1261" s="20" t="s">
        <v>41</v>
      </c>
      <c r="Q1261" s="19" t="s">
        <v>6694</v>
      </c>
      <c r="R1261" s="21" t="s">
        <v>6695</v>
      </c>
      <c r="S1261" s="19" t="s">
        <v>399</v>
      </c>
      <c r="T1261" s="19" t="s">
        <v>1689</v>
      </c>
      <c r="U1261" s="19" t="s">
        <v>636</v>
      </c>
      <c r="V1261" s="19" t="s">
        <v>45</v>
      </c>
      <c r="W1261" s="19"/>
      <c r="X1261" s="19"/>
      <c r="Y1261" s="19"/>
      <c r="Z1261" s="19" t="s">
        <v>658</v>
      </c>
      <c r="AA1261" s="19" t="s">
        <v>6696</v>
      </c>
      <c r="AB1261" s="19" t="s">
        <v>46</v>
      </c>
      <c r="AC1261" s="19" t="s">
        <v>46</v>
      </c>
      <c r="AD1261" s="19"/>
      <c r="AE1261" s="19" t="s">
        <v>641</v>
      </c>
      <c r="AF1261" s="19" t="s">
        <v>190</v>
      </c>
      <c r="AG1261" s="19">
        <v>6</v>
      </c>
      <c r="AH1261" s="19" t="s">
        <v>190</v>
      </c>
      <c r="AI1261" s="19"/>
      <c r="AJ1261" s="19" t="s">
        <v>6697</v>
      </c>
      <c r="AK1261" s="19" t="s">
        <v>5472</v>
      </c>
    </row>
    <row r="1262" spans="1:37" s="23" customFormat="1">
      <c r="A1262" s="19" t="str">
        <f>VLOOKUP(H1262,Languages!$A$2:$B$430,2,FALSE)</f>
        <v>Indo-European</v>
      </c>
      <c r="B1262" s="19" t="s">
        <v>1812</v>
      </c>
      <c r="C1262" s="19" t="s">
        <v>5463</v>
      </c>
      <c r="D1262" s="19" t="s">
        <v>6698</v>
      </c>
      <c r="E1262" s="20" t="s">
        <v>239</v>
      </c>
      <c r="F1262" s="20" t="s">
        <v>239</v>
      </c>
      <c r="G1262" s="19" t="s">
        <v>239</v>
      </c>
      <c r="H1262" s="19" t="str">
        <f>VLOOKUP(G1262,'languoid 4.0'!$A$1:$I$24439,2,FALSE)</f>
        <v>indo1319</v>
      </c>
      <c r="I1262" s="19" t="str">
        <f>VLOOKUP(G1262,'languoid 4.0'!$A$1:$I$24439,6,FALSE)</f>
        <v>language</v>
      </c>
      <c r="J1262" s="20" t="s">
        <v>38</v>
      </c>
      <c r="K1262" s="20" t="s">
        <v>38</v>
      </c>
      <c r="L1262" s="20" t="s">
        <v>38</v>
      </c>
      <c r="M1262" s="19"/>
      <c r="N1262" s="19" t="s">
        <v>269</v>
      </c>
      <c r="O1262" s="20" t="s">
        <v>40</v>
      </c>
      <c r="P1262" s="20" t="s">
        <v>41</v>
      </c>
      <c r="Q1262" s="19" t="s">
        <v>6699</v>
      </c>
      <c r="R1262" s="21" t="s">
        <v>6700</v>
      </c>
      <c r="S1262" s="19" t="s">
        <v>717</v>
      </c>
      <c r="T1262" s="19" t="s">
        <v>1689</v>
      </c>
      <c r="U1262" s="19" t="s">
        <v>636</v>
      </c>
      <c r="V1262" s="19" t="s">
        <v>45</v>
      </c>
      <c r="W1262" s="19"/>
      <c r="X1262" s="19"/>
      <c r="Y1262" s="19"/>
      <c r="Z1262" s="19" t="s">
        <v>658</v>
      </c>
      <c r="AA1262" s="19" t="s">
        <v>6701</v>
      </c>
      <c r="AB1262" s="19" t="s">
        <v>46</v>
      </c>
      <c r="AC1262" s="19" t="s">
        <v>46</v>
      </c>
      <c r="AD1262" s="19"/>
      <c r="AE1262" s="19" t="s">
        <v>641</v>
      </c>
      <c r="AF1262" s="19" t="s">
        <v>190</v>
      </c>
      <c r="AG1262" s="19">
        <v>6</v>
      </c>
      <c r="AH1262" s="19" t="s">
        <v>190</v>
      </c>
      <c r="AI1262" s="19"/>
      <c r="AJ1262" s="19" t="s">
        <v>6702</v>
      </c>
      <c r="AK1262" s="19" t="s">
        <v>5472</v>
      </c>
    </row>
    <row r="1263" spans="1:37" s="23" customFormat="1">
      <c r="A1263" s="19" t="str">
        <f>VLOOKUP(H1263,Languages!$A$2:$B$430,2,FALSE)</f>
        <v>Indo-European</v>
      </c>
      <c r="B1263" s="19" t="s">
        <v>1812</v>
      </c>
      <c r="C1263" s="19" t="s">
        <v>5463</v>
      </c>
      <c r="D1263" s="19" t="s">
        <v>7557</v>
      </c>
      <c r="E1263" s="20" t="s">
        <v>239</v>
      </c>
      <c r="F1263" s="20" t="s">
        <v>239</v>
      </c>
      <c r="G1263" s="19" t="s">
        <v>239</v>
      </c>
      <c r="H1263" s="19" t="str">
        <f>VLOOKUP(G1263,'languoid 4.0'!$A$1:$I$24439,2,FALSE)</f>
        <v>indo1319</v>
      </c>
      <c r="I1263" s="19" t="str">
        <f>VLOOKUP(G1263,'languoid 4.0'!$A$1:$I$24439,6,FALSE)</f>
        <v>language</v>
      </c>
      <c r="J1263" s="20" t="s">
        <v>38</v>
      </c>
      <c r="K1263" s="20" t="s">
        <v>38</v>
      </c>
      <c r="L1263" s="20" t="s">
        <v>38</v>
      </c>
      <c r="M1263" s="19"/>
      <c r="N1263" s="19" t="s">
        <v>269</v>
      </c>
      <c r="O1263" s="20" t="s">
        <v>40</v>
      </c>
      <c r="P1263" s="20" t="s">
        <v>41</v>
      </c>
      <c r="Q1263" s="19" t="s">
        <v>9550</v>
      </c>
      <c r="R1263" s="21" t="s">
        <v>9551</v>
      </c>
      <c r="S1263" s="19" t="s">
        <v>46</v>
      </c>
      <c r="T1263" s="19" t="s">
        <v>822</v>
      </c>
      <c r="U1263" s="19" t="s">
        <v>636</v>
      </c>
      <c r="V1263" s="19" t="s">
        <v>45</v>
      </c>
      <c r="W1263" s="19"/>
      <c r="X1263" s="19"/>
      <c r="Y1263" s="19"/>
      <c r="Z1263" s="19" t="s">
        <v>658</v>
      </c>
      <c r="AA1263" s="19" t="s">
        <v>9540</v>
      </c>
      <c r="AB1263" s="19" t="s">
        <v>46</v>
      </c>
      <c r="AC1263" s="19" t="s">
        <v>46</v>
      </c>
      <c r="AD1263" s="19"/>
      <c r="AE1263" s="19"/>
      <c r="AF1263" s="19"/>
      <c r="AG1263" s="19"/>
      <c r="AH1263" s="19" t="s">
        <v>45</v>
      </c>
      <c r="AI1263" s="19"/>
      <c r="AJ1263" s="22">
        <v>43291.743819444448</v>
      </c>
      <c r="AK1263" s="19" t="s">
        <v>5472</v>
      </c>
    </row>
    <row r="1264" spans="1:37" s="23" customFormat="1">
      <c r="A1264" s="19" t="str">
        <f>VLOOKUP(H1264,Languages!$A$2:$B$430,2,FALSE)</f>
        <v>Indo-European</v>
      </c>
      <c r="B1264" s="19" t="s">
        <v>1812</v>
      </c>
      <c r="C1264" s="19" t="s">
        <v>1405</v>
      </c>
      <c r="D1264" s="19" t="s">
        <v>3485</v>
      </c>
      <c r="E1264" s="20" t="s">
        <v>1407</v>
      </c>
      <c r="F1264" s="20" t="s">
        <v>1407</v>
      </c>
      <c r="G1264" s="19" t="s">
        <v>1407</v>
      </c>
      <c r="H1264" s="19" t="str">
        <f>VLOOKUP(G1264,'languoid 4.0'!$A$1:$I$24439,2,FALSE)</f>
        <v>indo1319</v>
      </c>
      <c r="I1264" s="19" t="str">
        <f>VLOOKUP(G1264,'languoid 4.0'!$A$1:$I$24439,6,FALSE)</f>
        <v>language</v>
      </c>
      <c r="J1264" s="20" t="s">
        <v>38</v>
      </c>
      <c r="K1264" s="20" t="s">
        <v>38</v>
      </c>
      <c r="L1264" s="20" t="s">
        <v>38</v>
      </c>
      <c r="M1264" s="19"/>
      <c r="N1264" s="19" t="s">
        <v>1409</v>
      </c>
      <c r="O1264" s="20" t="s">
        <v>40</v>
      </c>
      <c r="P1264" s="20" t="s">
        <v>632</v>
      </c>
      <c r="Q1264" s="19" t="s">
        <v>3490</v>
      </c>
      <c r="R1264" s="21" t="s">
        <v>3491</v>
      </c>
      <c r="S1264" s="19" t="s">
        <v>46</v>
      </c>
      <c r="T1264" s="19" t="s">
        <v>635</v>
      </c>
      <c r="U1264" s="19" t="s">
        <v>636</v>
      </c>
      <c r="V1264" s="19" t="s">
        <v>45</v>
      </c>
      <c r="W1264" s="19"/>
      <c r="X1264" s="19"/>
      <c r="Y1264" s="19"/>
      <c r="Z1264" s="19" t="s">
        <v>658</v>
      </c>
      <c r="AA1264" s="19" t="s">
        <v>3492</v>
      </c>
      <c r="AB1264" s="19" t="s">
        <v>46</v>
      </c>
      <c r="AC1264" s="19" t="s">
        <v>46</v>
      </c>
      <c r="AD1264" s="19"/>
      <c r="AE1264" s="19" t="s">
        <v>641</v>
      </c>
      <c r="AF1264" s="19" t="s">
        <v>190</v>
      </c>
      <c r="AG1264" s="19">
        <v>5</v>
      </c>
      <c r="AH1264" s="19" t="s">
        <v>190</v>
      </c>
      <c r="AI1264" s="19"/>
      <c r="AJ1264" s="19" t="s">
        <v>3493</v>
      </c>
      <c r="AK1264" s="19" t="s">
        <v>1598</v>
      </c>
    </row>
    <row r="1265" spans="1:37" s="23" customFormat="1">
      <c r="A1265" s="19" t="str">
        <f>VLOOKUP(H1265,Languages!$A$2:$B$430,2,FALSE)</f>
        <v>Indo-European</v>
      </c>
      <c r="B1265" s="19" t="s">
        <v>1812</v>
      </c>
      <c r="C1265" s="19" t="s">
        <v>1405</v>
      </c>
      <c r="D1265" s="19" t="s">
        <v>3534</v>
      </c>
      <c r="E1265" s="20" t="s">
        <v>1482</v>
      </c>
      <c r="F1265" s="20" t="s">
        <v>1482</v>
      </c>
      <c r="G1265" s="19" t="s">
        <v>1482</v>
      </c>
      <c r="H1265" s="19" t="str">
        <f>VLOOKUP(G1265,'languoid 4.0'!$A$1:$I$24439,2,FALSE)</f>
        <v>indo1319</v>
      </c>
      <c r="I1265" s="19" t="str">
        <f>VLOOKUP(G1265,'languoid 4.0'!$A$1:$I$24439,6,FALSE)</f>
        <v>language</v>
      </c>
      <c r="J1265" s="20" t="s">
        <v>38</v>
      </c>
      <c r="K1265" s="20" t="s">
        <v>38</v>
      </c>
      <c r="L1265" s="20" t="s">
        <v>38</v>
      </c>
      <c r="M1265" s="19"/>
      <c r="N1265" s="19" t="s">
        <v>1483</v>
      </c>
      <c r="O1265" s="20" t="s">
        <v>40</v>
      </c>
      <c r="P1265" s="20" t="s">
        <v>41</v>
      </c>
      <c r="Q1265" s="19" t="s">
        <v>3445</v>
      </c>
      <c r="R1265" s="21" t="s">
        <v>3538</v>
      </c>
      <c r="S1265" s="19" t="s">
        <v>46</v>
      </c>
      <c r="T1265" s="19" t="s">
        <v>635</v>
      </c>
      <c r="U1265" s="19" t="s">
        <v>636</v>
      </c>
      <c r="V1265" s="19" t="s">
        <v>45</v>
      </c>
      <c r="W1265" s="19"/>
      <c r="X1265" s="19"/>
      <c r="Y1265" s="19"/>
      <c r="Z1265" s="19" t="s">
        <v>658</v>
      </c>
      <c r="AA1265" s="19" t="s">
        <v>3539</v>
      </c>
      <c r="AB1265" s="19" t="s">
        <v>46</v>
      </c>
      <c r="AC1265" s="19" t="s">
        <v>46</v>
      </c>
      <c r="AD1265" s="19"/>
      <c r="AE1265" s="19" t="s">
        <v>641</v>
      </c>
      <c r="AF1265" s="19" t="s">
        <v>190</v>
      </c>
      <c r="AG1265" s="19">
        <v>6</v>
      </c>
      <c r="AH1265" s="19" t="s">
        <v>190</v>
      </c>
      <c r="AI1265" s="19"/>
      <c r="AJ1265" s="22">
        <v>43105.331631944442</v>
      </c>
      <c r="AK1265" s="19" t="s">
        <v>1598</v>
      </c>
    </row>
    <row r="1266" spans="1:37" s="23" customFormat="1">
      <c r="A1266" s="19" t="str">
        <f>VLOOKUP(H1266,Languages!$A$2:$B$430,2,FALSE)</f>
        <v>Indo-European</v>
      </c>
      <c r="B1266" s="19" t="s">
        <v>1812</v>
      </c>
      <c r="C1266" s="19" t="s">
        <v>1405</v>
      </c>
      <c r="D1266" s="19" t="s">
        <v>1406</v>
      </c>
      <c r="E1266" s="20" t="s">
        <v>1408</v>
      </c>
      <c r="F1266" s="20" t="s">
        <v>1408</v>
      </c>
      <c r="G1266" s="19" t="s">
        <v>1408</v>
      </c>
      <c r="H1266" s="19" t="str">
        <f>VLOOKUP(G1266,'languoid 4.0'!$A$1:$I$24439,2,FALSE)</f>
        <v>indo1319</v>
      </c>
      <c r="I1266" s="19" t="str">
        <f>VLOOKUP(G1266,'languoid 4.0'!$A$1:$I$24439,6,FALSE)</f>
        <v>language</v>
      </c>
      <c r="J1266" s="20" t="s">
        <v>38</v>
      </c>
      <c r="K1266" s="20" t="s">
        <v>38</v>
      </c>
      <c r="L1266" s="20" t="s">
        <v>38</v>
      </c>
      <c r="M1266" s="19"/>
      <c r="N1266" s="19" t="s">
        <v>3549</v>
      </c>
      <c r="O1266" s="20" t="s">
        <v>40</v>
      </c>
      <c r="P1266" s="20" t="s">
        <v>632</v>
      </c>
      <c r="Q1266" s="19" t="s">
        <v>3550</v>
      </c>
      <c r="R1266" s="21" t="s">
        <v>3551</v>
      </c>
      <c r="S1266" s="19" t="s">
        <v>46</v>
      </c>
      <c r="T1266" s="19" t="s">
        <v>635</v>
      </c>
      <c r="U1266" s="19" t="s">
        <v>636</v>
      </c>
      <c r="V1266" s="19" t="s">
        <v>45</v>
      </c>
      <c r="W1266" s="19"/>
      <c r="X1266" s="19"/>
      <c r="Y1266" s="19"/>
      <c r="Z1266" s="19" t="s">
        <v>658</v>
      </c>
      <c r="AA1266" s="19" t="s">
        <v>3552</v>
      </c>
      <c r="AB1266" s="19" t="s">
        <v>46</v>
      </c>
      <c r="AC1266" s="19" t="s">
        <v>46</v>
      </c>
      <c r="AD1266" s="19"/>
      <c r="AE1266" s="19" t="s">
        <v>641</v>
      </c>
      <c r="AF1266" s="19" t="s">
        <v>190</v>
      </c>
      <c r="AG1266" s="19">
        <v>6</v>
      </c>
      <c r="AH1266" s="19" t="s">
        <v>190</v>
      </c>
      <c r="AI1266" s="19"/>
      <c r="AJ1266" s="22">
        <v>43105.345150462963</v>
      </c>
      <c r="AK1266" s="19" t="s">
        <v>1598</v>
      </c>
    </row>
    <row r="1267" spans="1:37" s="23" customFormat="1">
      <c r="A1267" s="19" t="str">
        <f>VLOOKUP(H1267,Languages!$A$2:$B$430,2,FALSE)</f>
        <v>Indo-European</v>
      </c>
      <c r="B1267" s="19" t="s">
        <v>1812</v>
      </c>
      <c r="C1267" s="19" t="s">
        <v>407</v>
      </c>
      <c r="D1267" s="19" t="s">
        <v>11151</v>
      </c>
      <c r="E1267" s="20" t="s">
        <v>239</v>
      </c>
      <c r="F1267" s="20" t="s">
        <v>239</v>
      </c>
      <c r="G1267" s="19" t="s">
        <v>239</v>
      </c>
      <c r="H1267" s="19" t="str">
        <f>VLOOKUP(G1267,'languoid 4.0'!$A$1:$I$24439,2,FALSE)</f>
        <v>indo1319</v>
      </c>
      <c r="I1267" s="19" t="str">
        <f>VLOOKUP(G1267,'languoid 4.0'!$A$1:$I$24439,6,FALSE)</f>
        <v>language</v>
      </c>
      <c r="J1267" s="20" t="s">
        <v>38</v>
      </c>
      <c r="K1267" s="20" t="s">
        <v>38</v>
      </c>
      <c r="L1267" s="20" t="s">
        <v>38</v>
      </c>
      <c r="M1267" s="19"/>
      <c r="N1267" s="19" t="s">
        <v>269</v>
      </c>
      <c r="O1267" s="20" t="s">
        <v>40</v>
      </c>
      <c r="P1267" s="20" t="s">
        <v>41</v>
      </c>
      <c r="Q1267" s="19" t="s">
        <v>11161</v>
      </c>
      <c r="R1267" s="21" t="s">
        <v>11148</v>
      </c>
      <c r="S1267" s="19" t="s">
        <v>130</v>
      </c>
      <c r="T1267" s="19" t="s">
        <v>657</v>
      </c>
      <c r="U1267" s="19" t="s">
        <v>636</v>
      </c>
      <c r="V1267" s="19" t="s">
        <v>45</v>
      </c>
      <c r="W1267" s="19"/>
      <c r="X1267" s="19"/>
      <c r="Y1267" s="19"/>
      <c r="Z1267" s="19" t="s">
        <v>673</v>
      </c>
      <c r="AA1267" s="19" t="s">
        <v>46</v>
      </c>
      <c r="AB1267" s="19" t="s">
        <v>11162</v>
      </c>
      <c r="AC1267" s="19" t="s">
        <v>46</v>
      </c>
      <c r="AD1267" s="19"/>
      <c r="AE1267" s="19" t="s">
        <v>641</v>
      </c>
      <c r="AF1267" s="19" t="s">
        <v>190</v>
      </c>
      <c r="AG1267" s="19">
        <v>6</v>
      </c>
      <c r="AH1267" s="19" t="s">
        <v>190</v>
      </c>
      <c r="AI1267" s="19"/>
      <c r="AJ1267" s="19" t="s">
        <v>11163</v>
      </c>
      <c r="AK1267" s="19" t="s">
        <v>4386</v>
      </c>
    </row>
    <row r="1268" spans="1:37" s="23" customFormat="1">
      <c r="A1268" s="19" t="str">
        <f>VLOOKUP(H1268,Languages!$A$2:$B$430,2,FALSE)</f>
        <v>Indo-European</v>
      </c>
      <c r="B1268" s="19" t="s">
        <v>1812</v>
      </c>
      <c r="C1268" s="19" t="s">
        <v>159</v>
      </c>
      <c r="D1268" s="19" t="s">
        <v>4629</v>
      </c>
      <c r="E1268" s="20" t="s">
        <v>161</v>
      </c>
      <c r="F1268" s="20" t="s">
        <v>4630</v>
      </c>
      <c r="G1268" s="19" t="s">
        <v>161</v>
      </c>
      <c r="H1268" s="19" t="str">
        <f>VLOOKUP(G1268,'languoid 4.0'!$A$1:$I$24439,2,FALSE)</f>
        <v>indo1319</v>
      </c>
      <c r="I1268" s="19" t="str">
        <f>VLOOKUP(G1268,'languoid 4.0'!$A$1:$I$24439,6,FALSE)</f>
        <v>family</v>
      </c>
      <c r="J1268" s="20" t="s">
        <v>52</v>
      </c>
      <c r="K1268" s="20" t="s">
        <v>52</v>
      </c>
      <c r="L1268" s="20" t="s">
        <v>52</v>
      </c>
      <c r="M1268" s="19"/>
      <c r="N1268" s="19" t="s">
        <v>162</v>
      </c>
      <c r="O1268" s="20" t="s">
        <v>113</v>
      </c>
      <c r="P1268" s="20" t="s">
        <v>41</v>
      </c>
      <c r="Q1268" s="19" t="s">
        <v>4631</v>
      </c>
      <c r="R1268" s="21" t="s">
        <v>4632</v>
      </c>
      <c r="S1268" s="19" t="s">
        <v>46</v>
      </c>
      <c r="T1268" s="19" t="s">
        <v>648</v>
      </c>
      <c r="U1268" s="19" t="s">
        <v>636</v>
      </c>
      <c r="V1268" s="19" t="s">
        <v>45</v>
      </c>
      <c r="W1268" s="19"/>
      <c r="X1268" s="19"/>
      <c r="Y1268" s="19"/>
      <c r="Z1268" s="19" t="s">
        <v>673</v>
      </c>
      <c r="AA1268" s="19" t="s">
        <v>46</v>
      </c>
      <c r="AB1268" s="19" t="s">
        <v>4633</v>
      </c>
      <c r="AC1268" s="19" t="s">
        <v>46</v>
      </c>
      <c r="AD1268" s="19"/>
      <c r="AE1268" s="19" t="s">
        <v>641</v>
      </c>
      <c r="AF1268" s="19" t="s">
        <v>190</v>
      </c>
      <c r="AG1268" s="19">
        <v>6</v>
      </c>
      <c r="AH1268" s="19" t="s">
        <v>190</v>
      </c>
      <c r="AI1268" s="19"/>
      <c r="AJ1268" s="22">
        <v>43318.640659722223</v>
      </c>
      <c r="AK1268" s="19" t="s">
        <v>4608</v>
      </c>
    </row>
    <row r="1269" spans="1:37" s="23" customFormat="1">
      <c r="A1269" s="19" t="str">
        <f>VLOOKUP(H1269,Languages!$A$2:$B$430,2,FALSE)</f>
        <v>Indo-European</v>
      </c>
      <c r="B1269" s="19" t="s">
        <v>1812</v>
      </c>
      <c r="C1269" s="19" t="s">
        <v>159</v>
      </c>
      <c r="D1269" s="19" t="s">
        <v>4646</v>
      </c>
      <c r="E1269" s="20" t="s">
        <v>161</v>
      </c>
      <c r="F1269" s="20" t="s">
        <v>4630</v>
      </c>
      <c r="G1269" s="19" t="s">
        <v>161</v>
      </c>
      <c r="H1269" s="19" t="str">
        <f>VLOOKUP(G1269,'languoid 4.0'!$A$1:$I$24439,2,FALSE)</f>
        <v>indo1319</v>
      </c>
      <c r="I1269" s="19" t="str">
        <f>VLOOKUP(G1269,'languoid 4.0'!$A$1:$I$24439,6,FALSE)</f>
        <v>family</v>
      </c>
      <c r="J1269" s="20" t="s">
        <v>52</v>
      </c>
      <c r="K1269" s="20" t="s">
        <v>52</v>
      </c>
      <c r="L1269" s="20" t="s">
        <v>52</v>
      </c>
      <c r="M1269" s="19"/>
      <c r="N1269" s="19" t="s">
        <v>162</v>
      </c>
      <c r="O1269" s="20" t="s">
        <v>113</v>
      </c>
      <c r="P1269" s="20" t="s">
        <v>41</v>
      </c>
      <c r="Q1269" s="19" t="s">
        <v>4647</v>
      </c>
      <c r="R1269" s="21" t="s">
        <v>4648</v>
      </c>
      <c r="S1269" s="19" t="s">
        <v>46</v>
      </c>
      <c r="T1269" s="19" t="s">
        <v>648</v>
      </c>
      <c r="U1269" s="19" t="s">
        <v>636</v>
      </c>
      <c r="V1269" s="19" t="s">
        <v>45</v>
      </c>
      <c r="W1269" s="19"/>
      <c r="X1269" s="19"/>
      <c r="Y1269" s="19"/>
      <c r="Z1269" s="19" t="s">
        <v>637</v>
      </c>
      <c r="AA1269" s="19" t="s">
        <v>4649</v>
      </c>
      <c r="AB1269" s="19" t="s">
        <v>4650</v>
      </c>
      <c r="AC1269" s="19" t="s">
        <v>46</v>
      </c>
      <c r="AD1269" s="19"/>
      <c r="AE1269" s="19" t="s">
        <v>641</v>
      </c>
      <c r="AF1269" s="19" t="s">
        <v>190</v>
      </c>
      <c r="AG1269" s="19">
        <v>6</v>
      </c>
      <c r="AH1269" s="19" t="s">
        <v>190</v>
      </c>
      <c r="AI1269" s="19"/>
      <c r="AJ1269" s="22">
        <v>43318.651979166665</v>
      </c>
      <c r="AK1269" s="19" t="s">
        <v>4608</v>
      </c>
    </row>
    <row r="1270" spans="1:37" s="23" customFormat="1">
      <c r="A1270" s="19" t="str">
        <f>VLOOKUP(H1270,Languages!$A$2:$B$430,2,FALSE)</f>
        <v>Indo-European</v>
      </c>
      <c r="B1270" s="19" t="s">
        <v>1812</v>
      </c>
      <c r="C1270" s="19" t="s">
        <v>159</v>
      </c>
      <c r="D1270" s="19" t="s">
        <v>4662</v>
      </c>
      <c r="E1270" s="20" t="s">
        <v>4663</v>
      </c>
      <c r="F1270" s="20" t="s">
        <v>2187</v>
      </c>
      <c r="G1270" s="19" t="s">
        <v>2187</v>
      </c>
      <c r="H1270" s="19" t="str">
        <f>VLOOKUP(G1270,'languoid 4.0'!$A$1:$I$24439,2,FALSE)</f>
        <v>indo1319</v>
      </c>
      <c r="I1270" s="19" t="str">
        <f>VLOOKUP(G1270,'languoid 4.0'!$A$1:$I$24439,6,FALSE)</f>
        <v>family</v>
      </c>
      <c r="J1270" s="20" t="s">
        <v>52</v>
      </c>
      <c r="K1270" s="20" t="s">
        <v>38</v>
      </c>
      <c r="L1270" s="20" t="s">
        <v>38</v>
      </c>
      <c r="M1270" s="19"/>
      <c r="N1270" s="19"/>
      <c r="O1270" s="20" t="s">
        <v>40</v>
      </c>
      <c r="P1270" s="20" t="s">
        <v>41</v>
      </c>
      <c r="Q1270" s="19" t="s">
        <v>4664</v>
      </c>
      <c r="R1270" s="21" t="s">
        <v>4665</v>
      </c>
      <c r="S1270" s="19" t="s">
        <v>46</v>
      </c>
      <c r="T1270" s="19" t="s">
        <v>648</v>
      </c>
      <c r="U1270" s="19" t="s">
        <v>636</v>
      </c>
      <c r="V1270" s="19" t="s">
        <v>45</v>
      </c>
      <c r="W1270" s="19"/>
      <c r="X1270" s="19"/>
      <c r="Y1270" s="19"/>
      <c r="Z1270" s="19" t="s">
        <v>637</v>
      </c>
      <c r="AA1270" s="19" t="s">
        <v>4666</v>
      </c>
      <c r="AB1270" s="19" t="s">
        <v>4667</v>
      </c>
      <c r="AC1270" s="19" t="s">
        <v>46</v>
      </c>
      <c r="AD1270" s="19"/>
      <c r="AE1270" s="19" t="s">
        <v>641</v>
      </c>
      <c r="AF1270" s="19" t="s">
        <v>190</v>
      </c>
      <c r="AG1270" s="19">
        <v>6</v>
      </c>
      <c r="AH1270" s="19" t="s">
        <v>190</v>
      </c>
      <c r="AI1270" s="19"/>
      <c r="AJ1270" s="22">
        <v>43318.667916666665</v>
      </c>
      <c r="AK1270" s="19" t="s">
        <v>4608</v>
      </c>
    </row>
    <row r="1271" spans="1:37" s="23" customFormat="1">
      <c r="A1271" s="19" t="str">
        <f>VLOOKUP(H1271,Languages!$A$2:$B$430,2,FALSE)</f>
        <v>Indo-European</v>
      </c>
      <c r="B1271" s="19" t="s">
        <v>1812</v>
      </c>
      <c r="C1271" s="19" t="s">
        <v>101</v>
      </c>
      <c r="D1271" s="19" t="s">
        <v>9558</v>
      </c>
      <c r="E1271" s="20" t="s">
        <v>239</v>
      </c>
      <c r="F1271" s="20" t="s">
        <v>239</v>
      </c>
      <c r="G1271" s="19" t="s">
        <v>239</v>
      </c>
      <c r="H1271" s="19" t="str">
        <f>VLOOKUP(G1271,'languoid 4.0'!$A$1:$I$24439,2,FALSE)</f>
        <v>indo1319</v>
      </c>
      <c r="I1271" s="19" t="str">
        <f>VLOOKUP(G1271,'languoid 4.0'!$A$1:$I$24439,6,FALSE)</f>
        <v>language</v>
      </c>
      <c r="J1271" s="20" t="s">
        <v>38</v>
      </c>
      <c r="K1271" s="20" t="s">
        <v>38</v>
      </c>
      <c r="L1271" s="20" t="s">
        <v>38</v>
      </c>
      <c r="M1271" s="19"/>
      <c r="N1271" s="19" t="s">
        <v>269</v>
      </c>
      <c r="O1271" s="20" t="s">
        <v>40</v>
      </c>
      <c r="P1271" s="20" t="s">
        <v>41</v>
      </c>
      <c r="Q1271" s="19" t="s">
        <v>9559</v>
      </c>
      <c r="R1271" s="21" t="s">
        <v>9560</v>
      </c>
      <c r="S1271" s="24">
        <v>43647</v>
      </c>
      <c r="T1271" s="19" t="s">
        <v>657</v>
      </c>
      <c r="U1271" s="19" t="s">
        <v>67</v>
      </c>
      <c r="V1271" s="19" t="s">
        <v>45</v>
      </c>
      <c r="W1271" s="19"/>
      <c r="X1271" s="19"/>
      <c r="Y1271" s="19"/>
      <c r="Z1271" s="19" t="s">
        <v>1151</v>
      </c>
      <c r="AA1271" s="19" t="s">
        <v>1021</v>
      </c>
      <c r="AB1271" s="19" t="s">
        <v>9561</v>
      </c>
      <c r="AC1271" s="19" t="s">
        <v>9562</v>
      </c>
      <c r="AD1271" s="21" t="s">
        <v>9563</v>
      </c>
      <c r="AE1271" s="19" t="s">
        <v>641</v>
      </c>
      <c r="AF1271" s="19" t="s">
        <v>190</v>
      </c>
      <c r="AG1271" s="19">
        <v>5</v>
      </c>
      <c r="AH1271" s="19" t="s">
        <v>190</v>
      </c>
      <c r="AI1271" s="19" t="s">
        <v>9564</v>
      </c>
      <c r="AJ1271" s="22">
        <v>43353.004953703705</v>
      </c>
      <c r="AK1271" s="19" t="s">
        <v>9565</v>
      </c>
    </row>
    <row r="1272" spans="1:37" s="23" customFormat="1">
      <c r="A1272" s="19" t="str">
        <f>VLOOKUP(H1272,Languages!$A$2:$B$430,2,FALSE)</f>
        <v>Indo-European</v>
      </c>
      <c r="B1272" s="19" t="s">
        <v>1812</v>
      </c>
      <c r="C1272" s="19" t="s">
        <v>101</v>
      </c>
      <c r="D1272" s="19" t="s">
        <v>9973</v>
      </c>
      <c r="E1272" s="20" t="s">
        <v>239</v>
      </c>
      <c r="F1272" s="20" t="s">
        <v>239</v>
      </c>
      <c r="G1272" s="19" t="s">
        <v>239</v>
      </c>
      <c r="H1272" s="19" t="str">
        <f>VLOOKUP(G1272,'languoid 4.0'!$A$1:$I$24439,2,FALSE)</f>
        <v>indo1319</v>
      </c>
      <c r="I1272" s="19" t="str">
        <f>VLOOKUP(G1272,'languoid 4.0'!$A$1:$I$24439,6,FALSE)</f>
        <v>language</v>
      </c>
      <c r="J1272" s="20" t="s">
        <v>38</v>
      </c>
      <c r="K1272" s="20" t="s">
        <v>38</v>
      </c>
      <c r="L1272" s="20" t="s">
        <v>38</v>
      </c>
      <c r="M1272" s="19"/>
      <c r="N1272" s="19" t="s">
        <v>269</v>
      </c>
      <c r="O1272" s="20" t="s">
        <v>40</v>
      </c>
      <c r="P1272" s="20" t="s">
        <v>41</v>
      </c>
      <c r="Q1272" s="19" t="s">
        <v>9974</v>
      </c>
      <c r="R1272" s="21" t="s">
        <v>9968</v>
      </c>
      <c r="S1272" s="19" t="s">
        <v>46</v>
      </c>
      <c r="T1272" s="19" t="s">
        <v>9975</v>
      </c>
      <c r="U1272" s="19" t="s">
        <v>636</v>
      </c>
      <c r="V1272" s="19" t="s">
        <v>45</v>
      </c>
      <c r="W1272" s="19"/>
      <c r="X1272" s="19"/>
      <c r="Y1272" s="19"/>
      <c r="Z1272" s="19" t="s">
        <v>658</v>
      </c>
      <c r="AA1272" s="19" t="s">
        <v>9976</v>
      </c>
      <c r="AB1272" s="19" t="s">
        <v>46</v>
      </c>
      <c r="AC1272" s="19" t="s">
        <v>46</v>
      </c>
      <c r="AD1272" s="19"/>
      <c r="AE1272" s="19" t="s">
        <v>641</v>
      </c>
      <c r="AF1272" s="19" t="s">
        <v>190</v>
      </c>
      <c r="AG1272" s="19"/>
      <c r="AH1272" s="19" t="s">
        <v>45</v>
      </c>
      <c r="AI1272" s="19"/>
      <c r="AJ1272" s="19" t="s">
        <v>9977</v>
      </c>
      <c r="AK1272" s="19" t="s">
        <v>9565</v>
      </c>
    </row>
    <row r="1273" spans="1:37" s="23" customFormat="1">
      <c r="A1273" s="19" t="str">
        <f>VLOOKUP(H1273,Languages!$A$2:$B$430,2,FALSE)</f>
        <v>Indo-European</v>
      </c>
      <c r="B1273" s="19" t="s">
        <v>1812</v>
      </c>
      <c r="C1273" s="19" t="s">
        <v>101</v>
      </c>
      <c r="D1273" s="19" t="s">
        <v>10479</v>
      </c>
      <c r="E1273" s="20" t="s">
        <v>239</v>
      </c>
      <c r="F1273" s="20" t="s">
        <v>239</v>
      </c>
      <c r="G1273" s="19" t="s">
        <v>239</v>
      </c>
      <c r="H1273" s="19" t="str">
        <f>VLOOKUP(G1273,'languoid 4.0'!$A$1:$I$24439,2,FALSE)</f>
        <v>indo1319</v>
      </c>
      <c r="I1273" s="19" t="str">
        <f>VLOOKUP(G1273,'languoid 4.0'!$A$1:$I$24439,6,FALSE)</f>
        <v>language</v>
      </c>
      <c r="J1273" s="20" t="s">
        <v>38</v>
      </c>
      <c r="K1273" s="20" t="s">
        <v>38</v>
      </c>
      <c r="L1273" s="20" t="s">
        <v>38</v>
      </c>
      <c r="M1273" s="19"/>
      <c r="N1273" s="19" t="s">
        <v>269</v>
      </c>
      <c r="O1273" s="20" t="s">
        <v>40</v>
      </c>
      <c r="P1273" s="20" t="s">
        <v>41</v>
      </c>
      <c r="Q1273" s="19" t="s">
        <v>10480</v>
      </c>
      <c r="R1273" s="21" t="s">
        <v>10481</v>
      </c>
      <c r="S1273" s="19" t="s">
        <v>4821</v>
      </c>
      <c r="T1273" s="19" t="s">
        <v>657</v>
      </c>
      <c r="U1273" s="19" t="s">
        <v>636</v>
      </c>
      <c r="V1273" s="19" t="s">
        <v>45</v>
      </c>
      <c r="W1273" s="19"/>
      <c r="X1273" s="19"/>
      <c r="Y1273" s="19"/>
      <c r="Z1273" s="19" t="s">
        <v>673</v>
      </c>
      <c r="AA1273" s="19" t="s">
        <v>46</v>
      </c>
      <c r="AB1273" s="19" t="s">
        <v>10482</v>
      </c>
      <c r="AC1273" s="19" t="s">
        <v>46</v>
      </c>
      <c r="AD1273" s="19" t="s">
        <v>10483</v>
      </c>
      <c r="AE1273" s="19" t="s">
        <v>641</v>
      </c>
      <c r="AF1273" s="19" t="s">
        <v>190</v>
      </c>
      <c r="AG1273" s="19">
        <v>5</v>
      </c>
      <c r="AH1273" s="19" t="s">
        <v>190</v>
      </c>
      <c r="AI1273" s="19" t="s">
        <v>10484</v>
      </c>
      <c r="AJ1273" s="19" t="s">
        <v>10485</v>
      </c>
      <c r="AK1273" s="19" t="s">
        <v>9565</v>
      </c>
    </row>
    <row r="1274" spans="1:37" s="23" customFormat="1">
      <c r="A1274" s="19" t="str">
        <f>VLOOKUP(H1274,Languages!$A$2:$B$430,2,FALSE)</f>
        <v>Indo-European</v>
      </c>
      <c r="B1274" s="19" t="s">
        <v>1812</v>
      </c>
      <c r="C1274" s="19" t="s">
        <v>304</v>
      </c>
      <c r="D1274" s="19" t="s">
        <v>7726</v>
      </c>
      <c r="E1274" s="20" t="s">
        <v>180</v>
      </c>
      <c r="F1274" s="20" t="s">
        <v>180</v>
      </c>
      <c r="G1274" s="19" t="s">
        <v>180</v>
      </c>
      <c r="H1274" s="19" t="str">
        <f>VLOOKUP(G1274,'languoid 4.0'!$A$1:$I$24439,2,FALSE)</f>
        <v>indo1319</v>
      </c>
      <c r="I1274" s="19" t="str">
        <f>VLOOKUP(G1274,'languoid 4.0'!$A$1:$I$24439,6,FALSE)</f>
        <v>language</v>
      </c>
      <c r="J1274" s="20" t="s">
        <v>38</v>
      </c>
      <c r="K1274" s="20" t="s">
        <v>38</v>
      </c>
      <c r="L1274" s="20" t="s">
        <v>38</v>
      </c>
      <c r="M1274" s="19"/>
      <c r="N1274" s="19" t="s">
        <v>4842</v>
      </c>
      <c r="O1274" s="20" t="s">
        <v>40</v>
      </c>
      <c r="P1274" s="20" t="s">
        <v>41</v>
      </c>
      <c r="Q1274" s="19" t="s">
        <v>7727</v>
      </c>
      <c r="R1274" s="21" t="s">
        <v>7728</v>
      </c>
      <c r="S1274" s="19" t="s">
        <v>46</v>
      </c>
      <c r="T1274" s="19" t="s">
        <v>7729</v>
      </c>
      <c r="U1274" s="19" t="s">
        <v>636</v>
      </c>
      <c r="V1274" s="19" t="s">
        <v>45</v>
      </c>
      <c r="W1274" s="19"/>
      <c r="X1274" s="19"/>
      <c r="Y1274" s="19"/>
      <c r="Z1274" s="19" t="s">
        <v>658</v>
      </c>
      <c r="AA1274" s="19" t="s">
        <v>7730</v>
      </c>
      <c r="AB1274" s="19" t="s">
        <v>46</v>
      </c>
      <c r="AC1274" s="19" t="s">
        <v>46</v>
      </c>
      <c r="AD1274" s="19"/>
      <c r="AE1274" s="19" t="s">
        <v>641</v>
      </c>
      <c r="AF1274" s="19" t="s">
        <v>45</v>
      </c>
      <c r="AG1274" s="19">
        <v>6</v>
      </c>
      <c r="AH1274" s="19" t="s">
        <v>190</v>
      </c>
      <c r="AI1274" s="19" t="s">
        <v>7731</v>
      </c>
      <c r="AJ1274" s="19" t="s">
        <v>7732</v>
      </c>
      <c r="AK1274" s="19" t="s">
        <v>6441</v>
      </c>
    </row>
    <row r="1275" spans="1:37" s="23" customFormat="1">
      <c r="A1275" s="19" t="str">
        <f>VLOOKUP(H1275,Languages!$A$2:$B$430,2,FALSE)</f>
        <v>Indo-European</v>
      </c>
      <c r="B1275" s="19" t="s">
        <v>1812</v>
      </c>
      <c r="C1275" s="19" t="s">
        <v>419</v>
      </c>
      <c r="D1275" s="19" t="s">
        <v>2469</v>
      </c>
      <c r="E1275" s="20" t="s">
        <v>51</v>
      </c>
      <c r="F1275" s="20" t="s">
        <v>239</v>
      </c>
      <c r="G1275" s="19" t="s">
        <v>239</v>
      </c>
      <c r="H1275" s="19" t="str">
        <f>VLOOKUP(G1275,'languoid 4.0'!$A$1:$I$24439,2,FALSE)</f>
        <v>indo1319</v>
      </c>
      <c r="I1275" s="19" t="str">
        <f>VLOOKUP(G1275,'languoid 4.0'!$A$1:$I$24439,6,FALSE)</f>
        <v>language</v>
      </c>
      <c r="J1275" s="20" t="s">
        <v>52</v>
      </c>
      <c r="K1275" s="20" t="s">
        <v>51</v>
      </c>
      <c r="L1275" s="20" t="s">
        <v>51</v>
      </c>
      <c r="M1275" s="19"/>
      <c r="N1275" s="19" t="e">
        <v>#N/A</v>
      </c>
      <c r="O1275" s="20" t="s">
        <v>690</v>
      </c>
      <c r="P1275" s="20"/>
      <c r="Q1275" s="19" t="s">
        <v>2470</v>
      </c>
      <c r="R1275" s="21" t="s">
        <v>2471</v>
      </c>
      <c r="S1275" s="19" t="s">
        <v>46</v>
      </c>
      <c r="T1275" s="19" t="s">
        <v>635</v>
      </c>
      <c r="U1275" s="19" t="s">
        <v>636</v>
      </c>
      <c r="V1275" s="19" t="s">
        <v>45</v>
      </c>
      <c r="W1275" s="19"/>
      <c r="X1275" s="19"/>
      <c r="Y1275" s="19"/>
      <c r="Z1275" s="19" t="s">
        <v>673</v>
      </c>
      <c r="AA1275" s="19" t="s">
        <v>2472</v>
      </c>
      <c r="AB1275" s="19" t="s">
        <v>2473</v>
      </c>
      <c r="AC1275" s="19" t="s">
        <v>46</v>
      </c>
      <c r="AD1275" s="19" t="s">
        <v>46</v>
      </c>
      <c r="AE1275" s="19" t="s">
        <v>641</v>
      </c>
      <c r="AF1275" s="19" t="s">
        <v>190</v>
      </c>
      <c r="AG1275" s="19">
        <v>4</v>
      </c>
      <c r="AH1275" s="19" t="s">
        <v>190</v>
      </c>
      <c r="AI1275" s="19" t="s">
        <v>46</v>
      </c>
      <c r="AJ1275" s="22">
        <v>43135.791516203702</v>
      </c>
      <c r="AK1275" s="19" t="s">
        <v>1607</v>
      </c>
    </row>
    <row r="1276" spans="1:37" s="23" customFormat="1">
      <c r="A1276" s="19" t="str">
        <f>VLOOKUP(H1276,Languages!$A$2:$B$430,2,FALSE)</f>
        <v>Indo-European</v>
      </c>
      <c r="B1276" s="19" t="s">
        <v>1812</v>
      </c>
      <c r="C1276" s="19" t="s">
        <v>249</v>
      </c>
      <c r="D1276" s="19" t="s">
        <v>437</v>
      </c>
      <c r="E1276" s="20" t="s">
        <v>438</v>
      </c>
      <c r="F1276" s="20" t="s">
        <v>438</v>
      </c>
      <c r="G1276" s="19" t="s">
        <v>438</v>
      </c>
      <c r="H1276" s="19" t="str">
        <f>VLOOKUP(G1276,'languoid 4.0'!$A$1:$I$24439,2,FALSE)</f>
        <v>indo1319</v>
      </c>
      <c r="I1276" s="19" t="str">
        <f>VLOOKUP(G1276,'languoid 4.0'!$A$1:$I$24439,6,FALSE)</f>
        <v>language</v>
      </c>
      <c r="J1276" s="20" t="s">
        <v>38</v>
      </c>
      <c r="K1276" s="20" t="s">
        <v>38</v>
      </c>
      <c r="L1276" s="20" t="s">
        <v>38</v>
      </c>
      <c r="M1276" s="19"/>
      <c r="N1276" s="19" t="s">
        <v>10554</v>
      </c>
      <c r="O1276" s="20" t="s">
        <v>40</v>
      </c>
      <c r="P1276" s="20" t="s">
        <v>41</v>
      </c>
      <c r="Q1276" s="19" t="s">
        <v>10555</v>
      </c>
      <c r="R1276" s="21" t="s">
        <v>10556</v>
      </c>
      <c r="S1276" s="19" t="s">
        <v>46</v>
      </c>
      <c r="T1276" s="19" t="s">
        <v>6269</v>
      </c>
      <c r="U1276" s="19" t="s">
        <v>636</v>
      </c>
      <c r="V1276" s="19" t="s">
        <v>45</v>
      </c>
      <c r="W1276" s="19"/>
      <c r="X1276" s="19"/>
      <c r="Y1276" s="19"/>
      <c r="Z1276" s="19" t="s">
        <v>637</v>
      </c>
      <c r="AA1276" s="19" t="s">
        <v>10557</v>
      </c>
      <c r="AB1276" s="19" t="s">
        <v>46</v>
      </c>
      <c r="AC1276" s="19" t="s">
        <v>46</v>
      </c>
      <c r="AD1276" s="21" t="s">
        <v>10558</v>
      </c>
      <c r="AE1276" s="19" t="s">
        <v>641</v>
      </c>
      <c r="AF1276" s="19" t="s">
        <v>190</v>
      </c>
      <c r="AG1276" s="19">
        <v>6</v>
      </c>
      <c r="AH1276" s="19" t="s">
        <v>190</v>
      </c>
      <c r="AI1276" s="19"/>
      <c r="AJ1276" s="19" t="s">
        <v>10559</v>
      </c>
      <c r="AK1276" s="19" t="s">
        <v>5640</v>
      </c>
    </row>
    <row r="1277" spans="1:37" s="23" customFormat="1">
      <c r="A1277" s="19" t="str">
        <f>VLOOKUP(H1277,Languages!$A$2:$B$430,2,FALSE)</f>
        <v>Indo-European</v>
      </c>
      <c r="B1277" s="19" t="s">
        <v>1812</v>
      </c>
      <c r="C1277" s="19" t="s">
        <v>249</v>
      </c>
      <c r="D1277" s="19" t="s">
        <v>10560</v>
      </c>
      <c r="E1277" s="20" t="s">
        <v>10561</v>
      </c>
      <c r="F1277" s="20" t="s">
        <v>10569</v>
      </c>
      <c r="G1277" s="19" t="s">
        <v>10561</v>
      </c>
      <c r="H1277" s="19" t="str">
        <f>VLOOKUP(G1277,'languoid 4.0'!$A$1:$I$24439,2,FALSE)</f>
        <v>indo1319</v>
      </c>
      <c r="I1277" s="19" t="str">
        <f>VLOOKUP(G1277,'languoid 4.0'!$A$1:$I$24439,6,FALSE)</f>
        <v>language</v>
      </c>
      <c r="J1277" s="20" t="s">
        <v>52</v>
      </c>
      <c r="K1277" s="20" t="s">
        <v>38</v>
      </c>
      <c r="L1277" s="20" t="s">
        <v>38</v>
      </c>
      <c r="M1277" s="19"/>
      <c r="N1277" s="19" t="s">
        <v>10562</v>
      </c>
      <c r="O1277" s="20" t="s">
        <v>40</v>
      </c>
      <c r="P1277" s="20" t="s">
        <v>41</v>
      </c>
      <c r="Q1277" s="19" t="s">
        <v>10570</v>
      </c>
      <c r="R1277" s="21" t="s">
        <v>10571</v>
      </c>
      <c r="S1277" s="19" t="s">
        <v>46</v>
      </c>
      <c r="T1277" s="19" t="s">
        <v>10572</v>
      </c>
      <c r="U1277" s="19" t="s">
        <v>636</v>
      </c>
      <c r="V1277" s="19" t="s">
        <v>45</v>
      </c>
      <c r="W1277" s="19"/>
      <c r="X1277" s="19"/>
      <c r="Y1277" s="19"/>
      <c r="Z1277" s="19" t="s">
        <v>637</v>
      </c>
      <c r="AA1277" s="19" t="s">
        <v>10573</v>
      </c>
      <c r="AB1277" s="19" t="s">
        <v>46</v>
      </c>
      <c r="AC1277" s="19" t="s">
        <v>46</v>
      </c>
      <c r="AD1277" s="21" t="s">
        <v>10574</v>
      </c>
      <c r="AE1277" s="19" t="s">
        <v>641</v>
      </c>
      <c r="AF1277" s="19" t="s">
        <v>190</v>
      </c>
      <c r="AG1277" s="19">
        <v>6</v>
      </c>
      <c r="AH1277" s="19" t="s">
        <v>190</v>
      </c>
      <c r="AI1277" s="19"/>
      <c r="AJ1277" s="19" t="s">
        <v>10575</v>
      </c>
      <c r="AK1277" s="19" t="s">
        <v>5640</v>
      </c>
    </row>
    <row r="1278" spans="1:37" s="23" customFormat="1">
      <c r="A1278" s="19" t="str">
        <f>VLOOKUP(H1278,Languages!$A$2:$B$430,2,FALSE)</f>
        <v>Indo-European</v>
      </c>
      <c r="B1278" s="19" t="s">
        <v>1812</v>
      </c>
      <c r="C1278" s="19" t="s">
        <v>249</v>
      </c>
      <c r="D1278" s="19" t="s">
        <v>11513</v>
      </c>
      <c r="E1278" s="20" t="s">
        <v>10561</v>
      </c>
      <c r="F1278" s="20" t="s">
        <v>10561</v>
      </c>
      <c r="G1278" s="19" t="s">
        <v>10561</v>
      </c>
      <c r="H1278" s="19" t="str">
        <f>VLOOKUP(G1278,'languoid 4.0'!$A$1:$I$24439,2,FALSE)</f>
        <v>indo1319</v>
      </c>
      <c r="I1278" s="19" t="str">
        <f>VLOOKUP(G1278,'languoid 4.0'!$A$1:$I$24439,6,FALSE)</f>
        <v>language</v>
      </c>
      <c r="J1278" s="20" t="s">
        <v>38</v>
      </c>
      <c r="K1278" s="20" t="s">
        <v>38</v>
      </c>
      <c r="L1278" s="20" t="s">
        <v>38</v>
      </c>
      <c r="M1278" s="19"/>
      <c r="N1278" s="19" t="s">
        <v>10562</v>
      </c>
      <c r="O1278" s="20" t="s">
        <v>40</v>
      </c>
      <c r="P1278" s="20" t="s">
        <v>41</v>
      </c>
      <c r="Q1278" s="19" t="s">
        <v>11514</v>
      </c>
      <c r="R1278" s="21" t="s">
        <v>11515</v>
      </c>
      <c r="S1278" s="19" t="s">
        <v>4414</v>
      </c>
      <c r="T1278" s="19" t="s">
        <v>657</v>
      </c>
      <c r="U1278" s="19" t="s">
        <v>67</v>
      </c>
      <c r="V1278" s="19" t="s">
        <v>45</v>
      </c>
      <c r="W1278" s="19"/>
      <c r="X1278" s="19"/>
      <c r="Y1278" s="19"/>
      <c r="Z1278" s="19" t="s">
        <v>673</v>
      </c>
      <c r="AA1278" s="19" t="s">
        <v>46</v>
      </c>
      <c r="AB1278" s="19" t="s">
        <v>46</v>
      </c>
      <c r="AC1278" s="19" t="s">
        <v>11516</v>
      </c>
      <c r="AD1278" s="19"/>
      <c r="AE1278" s="19" t="s">
        <v>641</v>
      </c>
      <c r="AF1278" s="19" t="s">
        <v>190</v>
      </c>
      <c r="AG1278" s="19">
        <v>6</v>
      </c>
      <c r="AH1278" s="19" t="s">
        <v>190</v>
      </c>
      <c r="AI1278" s="19"/>
      <c r="AJ1278" s="22">
        <v>43525.894120370373</v>
      </c>
      <c r="AK1278" s="19" t="s">
        <v>5640</v>
      </c>
    </row>
    <row r="1279" spans="1:37" s="23" customFormat="1">
      <c r="A1279" s="19" t="str">
        <f>VLOOKUP(H1279,Languages!$A$2:$B$430,2,FALSE)</f>
        <v>Indo-European</v>
      </c>
      <c r="B1279" s="19" t="s">
        <v>1812</v>
      </c>
      <c r="C1279" s="19" t="s">
        <v>124</v>
      </c>
      <c r="D1279" s="19" t="s">
        <v>2204</v>
      </c>
      <c r="E1279" s="20" t="s">
        <v>2205</v>
      </c>
      <c r="F1279" s="20" t="s">
        <v>2206</v>
      </c>
      <c r="G1279" s="19" t="s">
        <v>2205</v>
      </c>
      <c r="H1279" s="19" t="str">
        <f>VLOOKUP(G1279,'languoid 4.0'!$A$1:$I$24439,2,FALSE)</f>
        <v>indo1319</v>
      </c>
      <c r="I1279" s="19" t="str">
        <f>VLOOKUP(G1279,'languoid 4.0'!$A$1:$I$24439,6,FALSE)</f>
        <v>family</v>
      </c>
      <c r="J1279" s="20" t="s">
        <v>52</v>
      </c>
      <c r="K1279" s="20" t="s">
        <v>38</v>
      </c>
      <c r="L1279" s="20" t="s">
        <v>38</v>
      </c>
      <c r="M1279" s="19"/>
      <c r="N1279" s="19"/>
      <c r="O1279" s="20" t="s">
        <v>113</v>
      </c>
      <c r="P1279" s="20" t="s">
        <v>41</v>
      </c>
      <c r="Q1279" s="19" t="s">
        <v>2207</v>
      </c>
      <c r="R1279" s="21" t="s">
        <v>2208</v>
      </c>
      <c r="S1279" s="19" t="s">
        <v>2209</v>
      </c>
      <c r="T1279" s="19" t="s">
        <v>635</v>
      </c>
      <c r="U1279" s="19" t="s">
        <v>636</v>
      </c>
      <c r="V1279" s="19" t="s">
        <v>45</v>
      </c>
      <c r="W1279" s="19"/>
      <c r="X1279" s="19"/>
      <c r="Y1279" s="19"/>
      <c r="Z1279" s="19" t="s">
        <v>658</v>
      </c>
      <c r="AA1279" s="19" t="s">
        <v>2210</v>
      </c>
      <c r="AB1279" s="19" t="s">
        <v>2211</v>
      </c>
      <c r="AC1279" s="19" t="s">
        <v>46</v>
      </c>
      <c r="AD1279" s="19" t="s">
        <v>2212</v>
      </c>
      <c r="AE1279" s="19" t="s">
        <v>641</v>
      </c>
      <c r="AF1279" s="19" t="s">
        <v>190</v>
      </c>
      <c r="AG1279" s="19">
        <v>6</v>
      </c>
      <c r="AH1279" s="19" t="s">
        <v>190</v>
      </c>
      <c r="AI1279" s="19" t="s">
        <v>2213</v>
      </c>
      <c r="AJ1279" s="19" t="s">
        <v>2214</v>
      </c>
      <c r="AK1279" s="19" t="s">
        <v>1126</v>
      </c>
    </row>
    <row r="1280" spans="1:37" s="23" customFormat="1">
      <c r="A1280" s="19" t="str">
        <f>VLOOKUP(H1280,Languages!$A$2:$B$430,2,FALSE)</f>
        <v>Indo-European</v>
      </c>
      <c r="B1280" s="19" t="s">
        <v>1812</v>
      </c>
      <c r="C1280" s="19" t="s">
        <v>124</v>
      </c>
      <c r="D1280" s="19" t="s">
        <v>2204</v>
      </c>
      <c r="E1280" s="20" t="s">
        <v>2205</v>
      </c>
      <c r="F1280" s="20" t="s">
        <v>2206</v>
      </c>
      <c r="G1280" s="19" t="s">
        <v>2205</v>
      </c>
      <c r="H1280" s="19" t="str">
        <f>VLOOKUP(G1280,'languoid 4.0'!$A$1:$I$24439,2,FALSE)</f>
        <v>indo1319</v>
      </c>
      <c r="I1280" s="19" t="str">
        <f>VLOOKUP(G1280,'languoid 4.0'!$A$1:$I$24439,6,FALSE)</f>
        <v>family</v>
      </c>
      <c r="J1280" s="20" t="s">
        <v>52</v>
      </c>
      <c r="K1280" s="20" t="s">
        <v>38</v>
      </c>
      <c r="L1280" s="20" t="s">
        <v>38</v>
      </c>
      <c r="M1280" s="19"/>
      <c r="N1280" s="19"/>
      <c r="O1280" s="20" t="s">
        <v>113</v>
      </c>
      <c r="P1280" s="20" t="s">
        <v>41</v>
      </c>
      <c r="Q1280" s="19" t="s">
        <v>2215</v>
      </c>
      <c r="R1280" s="21" t="s">
        <v>2216</v>
      </c>
      <c r="S1280" s="19" t="s">
        <v>2217</v>
      </c>
      <c r="T1280" s="19" t="s">
        <v>635</v>
      </c>
      <c r="U1280" s="19" t="s">
        <v>636</v>
      </c>
      <c r="V1280" s="19" t="s">
        <v>45</v>
      </c>
      <c r="W1280" s="19"/>
      <c r="X1280" s="19"/>
      <c r="Y1280" s="19"/>
      <c r="Z1280" s="19" t="s">
        <v>658</v>
      </c>
      <c r="AA1280" s="19" t="s">
        <v>2210</v>
      </c>
      <c r="AB1280" s="19" t="s">
        <v>46</v>
      </c>
      <c r="AC1280" s="19" t="s">
        <v>46</v>
      </c>
      <c r="AD1280" s="19" t="s">
        <v>2218</v>
      </c>
      <c r="AE1280" s="19" t="s">
        <v>641</v>
      </c>
      <c r="AF1280" s="19" t="s">
        <v>190</v>
      </c>
      <c r="AG1280" s="19">
        <v>6</v>
      </c>
      <c r="AH1280" s="19" t="s">
        <v>190</v>
      </c>
      <c r="AI1280" s="19" t="s">
        <v>2219</v>
      </c>
      <c r="AJ1280" s="19" t="s">
        <v>2220</v>
      </c>
      <c r="AK1280" s="19" t="s">
        <v>1126</v>
      </c>
    </row>
    <row r="1281" spans="1:37" s="23" customFormat="1">
      <c r="A1281" s="19" t="str">
        <f>VLOOKUP(H1281,Languages!$A$2:$B$430,2,FALSE)</f>
        <v>Indo-European</v>
      </c>
      <c r="B1281" s="19" t="s">
        <v>1812</v>
      </c>
      <c r="C1281" s="19" t="s">
        <v>124</v>
      </c>
      <c r="D1281" s="19" t="s">
        <v>1296</v>
      </c>
      <c r="E1281" s="20" t="s">
        <v>1297</v>
      </c>
      <c r="F1281" s="20" t="s">
        <v>1297</v>
      </c>
      <c r="G1281" s="19" t="s">
        <v>1297</v>
      </c>
      <c r="H1281" s="19" t="str">
        <f>VLOOKUP(G1281,'languoid 4.0'!$A$1:$I$24439,2,FALSE)</f>
        <v>indo1319</v>
      </c>
      <c r="I1281" s="19" t="str">
        <f>VLOOKUP(G1281,'languoid 4.0'!$A$1:$I$24439,6,FALSE)</f>
        <v>language</v>
      </c>
      <c r="J1281" s="20" t="s">
        <v>38</v>
      </c>
      <c r="K1281" s="20" t="s">
        <v>38</v>
      </c>
      <c r="L1281" s="20" t="s">
        <v>38</v>
      </c>
      <c r="M1281" s="19"/>
      <c r="N1281" s="19" t="s">
        <v>1299</v>
      </c>
      <c r="O1281" s="20" t="s">
        <v>40</v>
      </c>
      <c r="P1281" s="20" t="s">
        <v>41</v>
      </c>
      <c r="Q1281" s="19" t="s">
        <v>2221</v>
      </c>
      <c r="R1281" s="21" t="s">
        <v>2222</v>
      </c>
      <c r="S1281" s="19">
        <v>1</v>
      </c>
      <c r="T1281" s="19" t="s">
        <v>635</v>
      </c>
      <c r="U1281" s="19" t="s">
        <v>1309</v>
      </c>
      <c r="V1281" s="19" t="s">
        <v>45</v>
      </c>
      <c r="W1281" s="19"/>
      <c r="X1281" s="19"/>
      <c r="Y1281" s="19"/>
      <c r="Z1281" s="19" t="s">
        <v>658</v>
      </c>
      <c r="AA1281" s="19" t="s">
        <v>2223</v>
      </c>
      <c r="AB1281" s="19" t="s">
        <v>46</v>
      </c>
      <c r="AC1281" s="19" t="s">
        <v>46</v>
      </c>
      <c r="AD1281" s="19" t="s">
        <v>2224</v>
      </c>
      <c r="AE1281" s="19" t="s">
        <v>641</v>
      </c>
      <c r="AF1281" s="19" t="s">
        <v>190</v>
      </c>
      <c r="AG1281" s="19">
        <v>6</v>
      </c>
      <c r="AH1281" s="19" t="s">
        <v>190</v>
      </c>
      <c r="AI1281" s="19"/>
      <c r="AJ1281" s="19" t="s">
        <v>2225</v>
      </c>
      <c r="AK1281" s="19" t="s">
        <v>1126</v>
      </c>
    </row>
    <row r="1282" spans="1:37" s="23" customFormat="1">
      <c r="A1282" s="19" t="str">
        <f>VLOOKUP(H1282,Languages!$A$2:$B$430,2,FALSE)</f>
        <v>Indo-European</v>
      </c>
      <c r="B1282" s="19" t="s">
        <v>1812</v>
      </c>
      <c r="C1282" s="19" t="s">
        <v>124</v>
      </c>
      <c r="D1282" s="19" t="s">
        <v>3557</v>
      </c>
      <c r="E1282" s="20" t="s">
        <v>3558</v>
      </c>
      <c r="F1282" s="20" t="s">
        <v>3559</v>
      </c>
      <c r="G1282" s="19" t="s">
        <v>3558</v>
      </c>
      <c r="H1282" s="19" t="str">
        <f>VLOOKUP(G1282,'languoid 4.0'!$A$1:$I$24439,2,FALSE)</f>
        <v>indo1319</v>
      </c>
      <c r="I1282" s="19" t="str">
        <f>VLOOKUP(G1282,'languoid 4.0'!$A$1:$I$24439,6,FALSE)</f>
        <v>family</v>
      </c>
      <c r="J1282" s="20" t="s">
        <v>52</v>
      </c>
      <c r="K1282" s="20" t="s">
        <v>38</v>
      </c>
      <c r="L1282" s="20" t="s">
        <v>38</v>
      </c>
      <c r="M1282" s="19"/>
      <c r="N1282" s="19" t="s">
        <v>3560</v>
      </c>
      <c r="O1282" s="20" t="s">
        <v>113</v>
      </c>
      <c r="P1282" s="20" t="s">
        <v>41</v>
      </c>
      <c r="Q1282" s="19" t="s">
        <v>3570</v>
      </c>
      <c r="R1282" s="21" t="s">
        <v>3571</v>
      </c>
      <c r="S1282" s="19">
        <v>8</v>
      </c>
      <c r="T1282" s="19" t="s">
        <v>657</v>
      </c>
      <c r="U1282" s="19" t="s">
        <v>636</v>
      </c>
      <c r="V1282" s="19" t="s">
        <v>45</v>
      </c>
      <c r="W1282" s="19"/>
      <c r="X1282" s="19"/>
      <c r="Y1282" s="19"/>
      <c r="Z1282" s="19" t="s">
        <v>658</v>
      </c>
      <c r="AA1282" s="19" t="s">
        <v>3572</v>
      </c>
      <c r="AB1282" s="19" t="s">
        <v>46</v>
      </c>
      <c r="AC1282" s="19" t="s">
        <v>46</v>
      </c>
      <c r="AD1282" s="19"/>
      <c r="AE1282" s="19" t="s">
        <v>641</v>
      </c>
      <c r="AF1282" s="19" t="s">
        <v>190</v>
      </c>
      <c r="AG1282" s="19">
        <v>5</v>
      </c>
      <c r="AH1282" s="19" t="s">
        <v>190</v>
      </c>
      <c r="AI1282" s="19"/>
      <c r="AJ1282" s="22">
        <v>43164.933252314811</v>
      </c>
      <c r="AK1282" s="19" t="s">
        <v>1126</v>
      </c>
    </row>
    <row r="1283" spans="1:37" s="23" customFormat="1">
      <c r="A1283" s="19" t="str">
        <f>VLOOKUP(H1283,Languages!$A$2:$B$430,2,FALSE)</f>
        <v>Indo-European</v>
      </c>
      <c r="B1283" s="19" t="s">
        <v>1812</v>
      </c>
      <c r="C1283" s="19" t="s">
        <v>124</v>
      </c>
      <c r="D1283" s="19" t="s">
        <v>3580</v>
      </c>
      <c r="E1283" s="20" t="s">
        <v>186</v>
      </c>
      <c r="F1283" s="20" t="s">
        <v>186</v>
      </c>
      <c r="G1283" s="19" t="s">
        <v>186</v>
      </c>
      <c r="H1283" s="19" t="str">
        <f>VLOOKUP(G1283,'languoid 4.0'!$A$1:$I$24439,2,FALSE)</f>
        <v>indo1319</v>
      </c>
      <c r="I1283" s="19" t="str">
        <f>VLOOKUP(G1283,'languoid 4.0'!$A$1:$I$24439,6,FALSE)</f>
        <v>language</v>
      </c>
      <c r="J1283" s="20" t="s">
        <v>38</v>
      </c>
      <c r="K1283" s="20" t="s">
        <v>38</v>
      </c>
      <c r="L1283" s="20" t="s">
        <v>38</v>
      </c>
      <c r="M1283" s="19"/>
      <c r="N1283" s="19" t="s">
        <v>3581</v>
      </c>
      <c r="O1283" s="20" t="s">
        <v>40</v>
      </c>
      <c r="P1283" s="20" t="s">
        <v>41</v>
      </c>
      <c r="Q1283" s="19" t="s">
        <v>3582</v>
      </c>
      <c r="R1283" s="21" t="s">
        <v>3583</v>
      </c>
      <c r="S1283" s="19">
        <v>7</v>
      </c>
      <c r="T1283" s="19" t="s">
        <v>657</v>
      </c>
      <c r="U1283" s="19" t="s">
        <v>636</v>
      </c>
      <c r="V1283" s="19" t="s">
        <v>45</v>
      </c>
      <c r="W1283" s="19"/>
      <c r="X1283" s="19"/>
      <c r="Y1283" s="19"/>
      <c r="Z1283" s="19" t="s">
        <v>673</v>
      </c>
      <c r="AA1283" s="19" t="s">
        <v>46</v>
      </c>
      <c r="AB1283" s="19" t="s">
        <v>3584</v>
      </c>
      <c r="AC1283" s="19" t="s">
        <v>46</v>
      </c>
      <c r="AD1283" s="19"/>
      <c r="AE1283" s="19" t="s">
        <v>641</v>
      </c>
      <c r="AF1283" s="19" t="s">
        <v>190</v>
      </c>
      <c r="AG1283" s="19">
        <v>6</v>
      </c>
      <c r="AH1283" s="19" t="s">
        <v>190</v>
      </c>
      <c r="AI1283" s="19"/>
      <c r="AJ1283" s="22">
        <v>43164.966550925928</v>
      </c>
      <c r="AK1283" s="19" t="s">
        <v>1126</v>
      </c>
    </row>
    <row r="1284" spans="1:37" s="23" customFormat="1">
      <c r="A1284" s="19" t="str">
        <f>VLOOKUP(H1284,Languages!$A$2:$B$430,2,FALSE)</f>
        <v>Indo-European</v>
      </c>
      <c r="B1284" s="19" t="s">
        <v>1812</v>
      </c>
      <c r="C1284" s="19" t="s">
        <v>124</v>
      </c>
      <c r="D1284" s="19" t="s">
        <v>7496</v>
      </c>
      <c r="E1284" s="20" t="s">
        <v>7497</v>
      </c>
      <c r="F1284" s="20" t="s">
        <v>7497</v>
      </c>
      <c r="G1284" s="19" t="s">
        <v>7497</v>
      </c>
      <c r="H1284" s="19" t="str">
        <f>VLOOKUP(G1284,'languoid 4.0'!$A$1:$I$24439,2,FALSE)</f>
        <v>indo1319</v>
      </c>
      <c r="I1284" s="19" t="str">
        <f>VLOOKUP(G1284,'languoid 4.0'!$A$1:$I$24439,6,FALSE)</f>
        <v>language</v>
      </c>
      <c r="J1284" s="20" t="s">
        <v>38</v>
      </c>
      <c r="K1284" s="20" t="s">
        <v>38</v>
      </c>
      <c r="L1284" s="20" t="s">
        <v>38</v>
      </c>
      <c r="M1284" s="19"/>
      <c r="N1284" s="19" t="s">
        <v>7498</v>
      </c>
      <c r="O1284" s="20" t="s">
        <v>40</v>
      </c>
      <c r="P1284" s="20" t="s">
        <v>41</v>
      </c>
      <c r="Q1284" s="19" t="s">
        <v>7499</v>
      </c>
      <c r="R1284" s="21" t="s">
        <v>7500</v>
      </c>
      <c r="S1284" s="19" t="s">
        <v>46</v>
      </c>
      <c r="T1284" s="19" t="s">
        <v>822</v>
      </c>
      <c r="U1284" s="19" t="s">
        <v>636</v>
      </c>
      <c r="V1284" s="19" t="s">
        <v>45</v>
      </c>
      <c r="W1284" s="19"/>
      <c r="X1284" s="19"/>
      <c r="Y1284" s="19"/>
      <c r="Z1284" s="19" t="s">
        <v>658</v>
      </c>
      <c r="AA1284" s="19" t="s">
        <v>7501</v>
      </c>
      <c r="AB1284" s="19" t="s">
        <v>7502</v>
      </c>
      <c r="AC1284" s="19" t="s">
        <v>46</v>
      </c>
      <c r="AD1284" s="19"/>
      <c r="AE1284" s="19" t="s">
        <v>641</v>
      </c>
      <c r="AF1284" s="19" t="s">
        <v>190</v>
      </c>
      <c r="AG1284" s="19">
        <v>6</v>
      </c>
      <c r="AH1284" s="19" t="s">
        <v>190</v>
      </c>
      <c r="AI1284" s="19"/>
      <c r="AJ1284" s="19" t="s">
        <v>7503</v>
      </c>
      <c r="AK1284" s="19" t="s">
        <v>4945</v>
      </c>
    </row>
    <row r="1285" spans="1:37" s="23" customFormat="1">
      <c r="A1285" s="19" t="str">
        <f>VLOOKUP(H1285,Languages!$A$2:$B$430,2,FALSE)</f>
        <v>Indo-European</v>
      </c>
      <c r="B1285" s="19" t="s">
        <v>1812</v>
      </c>
      <c r="C1285" s="19" t="s">
        <v>124</v>
      </c>
      <c r="D1285" s="19" t="s">
        <v>7900</v>
      </c>
      <c r="E1285" s="20" t="s">
        <v>185</v>
      </c>
      <c r="F1285" s="20" t="s">
        <v>7901</v>
      </c>
      <c r="G1285" s="19" t="s">
        <v>7902</v>
      </c>
      <c r="H1285" s="19" t="str">
        <f>VLOOKUP(G1285,'languoid 4.0'!$A$1:$I$24439,2,FALSE)</f>
        <v>indo1319</v>
      </c>
      <c r="I1285" s="19" t="str">
        <f>VLOOKUP(G1285,'languoid 4.0'!$A$1:$I$24439,6,FALSE)</f>
        <v>family</v>
      </c>
      <c r="J1285" s="20" t="s">
        <v>52</v>
      </c>
      <c r="K1285" s="20" t="s">
        <v>52</v>
      </c>
      <c r="L1285" s="20" t="s">
        <v>38</v>
      </c>
      <c r="M1285" s="19"/>
      <c r="N1285" s="19"/>
      <c r="O1285" s="20" t="s">
        <v>113</v>
      </c>
      <c r="P1285" s="20" t="s">
        <v>41</v>
      </c>
      <c r="Q1285" s="19" t="s">
        <v>7912</v>
      </c>
      <c r="R1285" s="21" t="s">
        <v>7913</v>
      </c>
      <c r="S1285" s="19" t="s">
        <v>46</v>
      </c>
      <c r="T1285" s="19" t="s">
        <v>822</v>
      </c>
      <c r="U1285" s="19" t="s">
        <v>636</v>
      </c>
      <c r="V1285" s="19" t="s">
        <v>45</v>
      </c>
      <c r="W1285" s="19"/>
      <c r="X1285" s="19"/>
      <c r="Y1285" s="19"/>
      <c r="Z1285" s="19" t="s">
        <v>658</v>
      </c>
      <c r="AA1285" s="19" t="s">
        <v>7914</v>
      </c>
      <c r="AB1285" s="19" t="s">
        <v>46</v>
      </c>
      <c r="AC1285" s="19" t="s">
        <v>46</v>
      </c>
      <c r="AD1285" s="19"/>
      <c r="AE1285" s="19"/>
      <c r="AF1285" s="19"/>
      <c r="AG1285" s="19"/>
      <c r="AH1285" s="19" t="s">
        <v>45</v>
      </c>
      <c r="AI1285" s="19"/>
      <c r="AJ1285" s="19" t="s">
        <v>7915</v>
      </c>
      <c r="AK1285" s="19" t="s">
        <v>4945</v>
      </c>
    </row>
    <row r="1286" spans="1:37" s="23" customFormat="1">
      <c r="A1286" s="19" t="str">
        <f>VLOOKUP(H1286,Languages!$A$2:$B$430,2,FALSE)</f>
        <v>Indo-European</v>
      </c>
      <c r="B1286" s="19" t="s">
        <v>1812</v>
      </c>
      <c r="C1286" s="19" t="s">
        <v>124</v>
      </c>
      <c r="D1286" s="19" t="s">
        <v>8025</v>
      </c>
      <c r="E1286" s="20" t="s">
        <v>51</v>
      </c>
      <c r="F1286" s="20" t="s">
        <v>51</v>
      </c>
      <c r="G1286" s="19" t="s">
        <v>8026</v>
      </c>
      <c r="H1286" s="19" t="str">
        <f>VLOOKUP(G1286,'languoid 4.0'!$A$1:$I$24439,2,FALSE)</f>
        <v>indo1319</v>
      </c>
      <c r="I1286" s="19" t="str">
        <f>VLOOKUP(G1286,'languoid 4.0'!$A$1:$I$24439,6,FALSE)</f>
        <v>language</v>
      </c>
      <c r="J1286" s="20" t="s">
        <v>51</v>
      </c>
      <c r="K1286" s="25" t="s">
        <v>51</v>
      </c>
      <c r="L1286" s="25" t="s">
        <v>51</v>
      </c>
      <c r="M1286" s="27" t="s">
        <v>7993</v>
      </c>
      <c r="N1286" s="19" t="e">
        <v>#N/A</v>
      </c>
      <c r="O1286" s="20" t="s">
        <v>690</v>
      </c>
      <c r="P1286" s="20"/>
      <c r="Q1286" s="19" t="s">
        <v>8027</v>
      </c>
      <c r="R1286" s="21" t="s">
        <v>8028</v>
      </c>
      <c r="S1286" s="19" t="s">
        <v>46</v>
      </c>
      <c r="T1286" s="19" t="s">
        <v>822</v>
      </c>
      <c r="U1286" s="19" t="s">
        <v>1738</v>
      </c>
      <c r="V1286" s="19" t="s">
        <v>45</v>
      </c>
      <c r="W1286" s="19"/>
      <c r="X1286" s="19"/>
      <c r="Y1286" s="19"/>
      <c r="Z1286" s="19" t="s">
        <v>637</v>
      </c>
      <c r="AA1286" s="19" t="s">
        <v>8029</v>
      </c>
      <c r="AB1286" s="19" t="s">
        <v>8030</v>
      </c>
      <c r="AC1286" s="19" t="s">
        <v>46</v>
      </c>
      <c r="AD1286" s="19"/>
      <c r="AE1286" s="19" t="s">
        <v>641</v>
      </c>
      <c r="AF1286" s="19" t="s">
        <v>45</v>
      </c>
      <c r="AG1286" s="19">
        <v>1</v>
      </c>
      <c r="AH1286" s="19" t="s">
        <v>190</v>
      </c>
      <c r="AI1286" s="19"/>
      <c r="AJ1286" s="19" t="s">
        <v>8031</v>
      </c>
      <c r="AK1286" s="19" t="s">
        <v>4945</v>
      </c>
    </row>
    <row r="1287" spans="1:37" s="23" customFormat="1">
      <c r="A1287" s="19" t="str">
        <f>VLOOKUP(H1287,Languages!$A$2:$B$430,2,FALSE)</f>
        <v>Indo-European</v>
      </c>
      <c r="B1287" s="19" t="s">
        <v>1812</v>
      </c>
      <c r="C1287" s="19" t="s">
        <v>124</v>
      </c>
      <c r="D1287" s="19" t="s">
        <v>9405</v>
      </c>
      <c r="E1287" s="20" t="s">
        <v>3565</v>
      </c>
      <c r="F1287" s="20" t="s">
        <v>3565</v>
      </c>
      <c r="G1287" s="19" t="s">
        <v>3565</v>
      </c>
      <c r="H1287" s="19" t="str">
        <f>VLOOKUP(G1287,'languoid 4.0'!$A$1:$I$24439,2,FALSE)</f>
        <v>indo1319</v>
      </c>
      <c r="I1287" s="19" t="str">
        <f>VLOOKUP(G1287,'languoid 4.0'!$A$1:$I$24439,6,FALSE)</f>
        <v>language</v>
      </c>
      <c r="J1287" s="20" t="s">
        <v>38</v>
      </c>
      <c r="K1287" s="20" t="s">
        <v>38</v>
      </c>
      <c r="L1287" s="20" t="s">
        <v>38</v>
      </c>
      <c r="M1287" s="19"/>
      <c r="N1287" s="19" t="s">
        <v>3566</v>
      </c>
      <c r="O1287" s="20" t="s">
        <v>40</v>
      </c>
      <c r="P1287" s="20" t="s">
        <v>41</v>
      </c>
      <c r="Q1287" s="19" t="s">
        <v>9406</v>
      </c>
      <c r="R1287" s="21" t="s">
        <v>9407</v>
      </c>
      <c r="S1287" s="19" t="s">
        <v>265</v>
      </c>
      <c r="T1287" s="19" t="s">
        <v>9408</v>
      </c>
      <c r="U1287" s="19" t="s">
        <v>1738</v>
      </c>
      <c r="V1287" s="19" t="s">
        <v>45</v>
      </c>
      <c r="W1287" s="19"/>
      <c r="X1287" s="19"/>
      <c r="Y1287" s="19"/>
      <c r="Z1287" s="19" t="s">
        <v>1893</v>
      </c>
      <c r="AA1287" s="19" t="s">
        <v>9409</v>
      </c>
      <c r="AB1287" s="19" t="s">
        <v>46</v>
      </c>
      <c r="AC1287" s="19" t="s">
        <v>9410</v>
      </c>
      <c r="AD1287" s="19"/>
      <c r="AE1287" s="19" t="s">
        <v>641</v>
      </c>
      <c r="AF1287" s="19" t="s">
        <v>190</v>
      </c>
      <c r="AG1287" s="19">
        <v>6</v>
      </c>
      <c r="AH1287" s="19" t="s">
        <v>190</v>
      </c>
      <c r="AI1287" s="19"/>
      <c r="AJ1287" s="22">
        <v>43200.477997685186</v>
      </c>
      <c r="AK1287" s="19" t="s">
        <v>4945</v>
      </c>
    </row>
    <row r="1288" spans="1:37" s="23" customFormat="1">
      <c r="A1288" s="19" t="str">
        <f>VLOOKUP(H1288,Languages!$A$2:$B$430,2,FALSE)</f>
        <v>Indo-European</v>
      </c>
      <c r="B1288" s="19" t="s">
        <v>1812</v>
      </c>
      <c r="C1288" s="19" t="s">
        <v>58</v>
      </c>
      <c r="D1288" s="19" t="s">
        <v>2365</v>
      </c>
      <c r="E1288" s="20" t="s">
        <v>51</v>
      </c>
      <c r="F1288" s="20" t="s">
        <v>397</v>
      </c>
      <c r="G1288" s="19" t="s">
        <v>397</v>
      </c>
      <c r="H1288" s="19" t="str">
        <f>VLOOKUP(G1288,'languoid 4.0'!$A$1:$I$24439,2,FALSE)</f>
        <v>indo1319</v>
      </c>
      <c r="I1288" s="19" t="str">
        <f>VLOOKUP(G1288,'languoid 4.0'!$A$1:$I$24439,6,FALSE)</f>
        <v>family</v>
      </c>
      <c r="J1288" s="20" t="s">
        <v>52</v>
      </c>
      <c r="K1288" s="20" t="s">
        <v>51</v>
      </c>
      <c r="L1288" s="20" t="s">
        <v>51</v>
      </c>
      <c r="M1288" s="19"/>
      <c r="N1288" s="19" t="e">
        <v>#N/A</v>
      </c>
      <c r="O1288" s="20" t="s">
        <v>690</v>
      </c>
      <c r="P1288" s="20"/>
      <c r="Q1288" s="19" t="s">
        <v>2366</v>
      </c>
      <c r="R1288" s="21" t="s">
        <v>2367</v>
      </c>
      <c r="S1288" s="19" t="s">
        <v>265</v>
      </c>
      <c r="T1288" s="19" t="s">
        <v>635</v>
      </c>
      <c r="U1288" s="19" t="s">
        <v>636</v>
      </c>
      <c r="V1288" s="19" t="s">
        <v>45</v>
      </c>
      <c r="W1288" s="19"/>
      <c r="X1288" s="19"/>
      <c r="Y1288" s="19"/>
      <c r="Z1288" s="19" t="s">
        <v>673</v>
      </c>
      <c r="AA1288" s="19" t="s">
        <v>2368</v>
      </c>
      <c r="AB1288" s="19" t="s">
        <v>2369</v>
      </c>
      <c r="AC1288" s="19" t="s">
        <v>46</v>
      </c>
      <c r="AD1288" s="19" t="s">
        <v>2370</v>
      </c>
      <c r="AE1288" s="19" t="s">
        <v>641</v>
      </c>
      <c r="AF1288" s="19" t="s">
        <v>190</v>
      </c>
      <c r="AG1288" s="19">
        <v>6</v>
      </c>
      <c r="AH1288" s="19" t="s">
        <v>190</v>
      </c>
      <c r="AI1288" s="19" t="s">
        <v>2371</v>
      </c>
      <c r="AJ1288" s="19" t="s">
        <v>2372</v>
      </c>
      <c r="AK1288" s="19" t="s">
        <v>2364</v>
      </c>
    </row>
    <row r="1289" spans="1:37" s="23" customFormat="1">
      <c r="A1289" s="19" t="str">
        <f>VLOOKUP(H1289,Languages!$A$2:$B$430,2,FALSE)</f>
        <v>Indo-European</v>
      </c>
      <c r="B1289" s="19" t="s">
        <v>1812</v>
      </c>
      <c r="C1289" s="19" t="s">
        <v>58</v>
      </c>
      <c r="D1289" s="19" t="s">
        <v>6272</v>
      </c>
      <c r="E1289" s="20" t="s">
        <v>2354</v>
      </c>
      <c r="F1289" s="20" t="s">
        <v>2354</v>
      </c>
      <c r="G1289" s="19" t="s">
        <v>2354</v>
      </c>
      <c r="H1289" s="19" t="str">
        <f>VLOOKUP(G1289,'languoid 4.0'!$A$1:$I$24439,2,FALSE)</f>
        <v>indo1319</v>
      </c>
      <c r="I1289" s="19" t="str">
        <f>VLOOKUP(G1289,'languoid 4.0'!$A$1:$I$24439,6,FALSE)</f>
        <v>language</v>
      </c>
      <c r="J1289" s="20" t="s">
        <v>38</v>
      </c>
      <c r="K1289" s="20" t="s">
        <v>38</v>
      </c>
      <c r="L1289" s="20" t="s">
        <v>38</v>
      </c>
      <c r="M1289" s="19"/>
      <c r="N1289" s="19" t="s">
        <v>2355</v>
      </c>
      <c r="O1289" s="20" t="s">
        <v>40</v>
      </c>
      <c r="P1289" s="20" t="s">
        <v>41</v>
      </c>
      <c r="Q1289" s="19" t="s">
        <v>6273</v>
      </c>
      <c r="R1289" s="21" t="s">
        <v>6274</v>
      </c>
      <c r="S1289" s="19" t="s">
        <v>6275</v>
      </c>
      <c r="T1289" s="19" t="s">
        <v>6269</v>
      </c>
      <c r="U1289" s="19" t="s">
        <v>636</v>
      </c>
      <c r="V1289" s="19" t="s">
        <v>45</v>
      </c>
      <c r="W1289" s="19"/>
      <c r="X1289" s="19"/>
      <c r="Y1289" s="19"/>
      <c r="Z1289" s="19" t="s">
        <v>658</v>
      </c>
      <c r="AA1289" s="19" t="s">
        <v>6276</v>
      </c>
      <c r="AB1289" s="19" t="s">
        <v>6277</v>
      </c>
      <c r="AC1289" s="19" t="s">
        <v>46</v>
      </c>
      <c r="AD1289" s="19"/>
      <c r="AE1289" s="19" t="s">
        <v>641</v>
      </c>
      <c r="AF1289" s="19" t="s">
        <v>190</v>
      </c>
      <c r="AG1289" s="19">
        <v>6</v>
      </c>
      <c r="AH1289" s="19" t="s">
        <v>190</v>
      </c>
      <c r="AI1289" s="19"/>
      <c r="AJ1289" s="22">
        <v>43227.526585648149</v>
      </c>
      <c r="AK1289" s="19" t="s">
        <v>4408</v>
      </c>
    </row>
    <row r="1290" spans="1:37" s="23" customFormat="1">
      <c r="A1290" s="19" t="str">
        <f>VLOOKUP(H1290,Languages!$A$2:$B$430,2,FALSE)</f>
        <v>Indo-European</v>
      </c>
      <c r="B1290" s="19" t="s">
        <v>1812</v>
      </c>
      <c r="C1290" s="19" t="s">
        <v>58</v>
      </c>
      <c r="D1290" s="19" t="s">
        <v>6948</v>
      </c>
      <c r="E1290" s="20" t="s">
        <v>51</v>
      </c>
      <c r="F1290" s="20" t="s">
        <v>2354</v>
      </c>
      <c r="G1290" s="19" t="s">
        <v>2354</v>
      </c>
      <c r="H1290" s="19" t="str">
        <f>VLOOKUP(G1290,'languoid 4.0'!$A$1:$I$24439,2,FALSE)</f>
        <v>indo1319</v>
      </c>
      <c r="I1290" s="19" t="str">
        <f>VLOOKUP(G1290,'languoid 4.0'!$A$1:$I$24439,6,FALSE)</f>
        <v>language</v>
      </c>
      <c r="J1290" s="20" t="s">
        <v>52</v>
      </c>
      <c r="K1290" s="20" t="s">
        <v>51</v>
      </c>
      <c r="L1290" s="20" t="s">
        <v>51</v>
      </c>
      <c r="M1290" s="19"/>
      <c r="N1290" s="19" t="e">
        <v>#N/A</v>
      </c>
      <c r="O1290" s="20" t="s">
        <v>690</v>
      </c>
      <c r="P1290" s="20"/>
      <c r="Q1290" s="19" t="s">
        <v>6949</v>
      </c>
      <c r="R1290" s="21" t="s">
        <v>6950</v>
      </c>
      <c r="S1290" s="19" t="s">
        <v>6951</v>
      </c>
      <c r="T1290" s="19" t="s">
        <v>6269</v>
      </c>
      <c r="U1290" s="19" t="s">
        <v>636</v>
      </c>
      <c r="V1290" s="19" t="s">
        <v>45</v>
      </c>
      <c r="W1290" s="19"/>
      <c r="X1290" s="19"/>
      <c r="Y1290" s="19"/>
      <c r="Z1290" s="19" t="s">
        <v>658</v>
      </c>
      <c r="AA1290" s="19" t="s">
        <v>6952</v>
      </c>
      <c r="AB1290" s="19" t="s">
        <v>6953</v>
      </c>
      <c r="AC1290" s="19" t="s">
        <v>46</v>
      </c>
      <c r="AD1290" s="19"/>
      <c r="AE1290" s="19" t="s">
        <v>641</v>
      </c>
      <c r="AF1290" s="19" t="s">
        <v>190</v>
      </c>
      <c r="AG1290" s="19">
        <v>6</v>
      </c>
      <c r="AH1290" s="19" t="s">
        <v>190</v>
      </c>
      <c r="AI1290" s="19"/>
      <c r="AJ1290" s="22">
        <v>43108.432314814818</v>
      </c>
      <c r="AK1290" s="19" t="s">
        <v>4408</v>
      </c>
    </row>
    <row r="1291" spans="1:37" s="23" customFormat="1">
      <c r="A1291" s="19" t="str">
        <f>VLOOKUP(H1291,Languages!$A$2:$B$430,2,FALSE)</f>
        <v>Indo-European</v>
      </c>
      <c r="B1291" s="19" t="s">
        <v>1812</v>
      </c>
      <c r="C1291" s="19" t="s">
        <v>58</v>
      </c>
      <c r="D1291" s="19" t="s">
        <v>6999</v>
      </c>
      <c r="E1291" s="20" t="s">
        <v>2995</v>
      </c>
      <c r="F1291" s="20" t="s">
        <v>7000</v>
      </c>
      <c r="G1291" s="19" t="s">
        <v>2995</v>
      </c>
      <c r="H1291" s="19" t="str">
        <f>VLOOKUP(G1291,'languoid 4.0'!$A$1:$I$24439,2,FALSE)</f>
        <v>indo1319</v>
      </c>
      <c r="I1291" s="19" t="str">
        <f>VLOOKUP(G1291,'languoid 4.0'!$A$1:$I$24439,6,FALSE)</f>
        <v>language</v>
      </c>
      <c r="J1291" s="20" t="s">
        <v>52</v>
      </c>
      <c r="K1291" s="20" t="s">
        <v>38</v>
      </c>
      <c r="L1291" s="20" t="s">
        <v>38</v>
      </c>
      <c r="M1291" s="19"/>
      <c r="N1291" s="19" t="s">
        <v>2996</v>
      </c>
      <c r="O1291" s="20" t="s">
        <v>40</v>
      </c>
      <c r="P1291" s="20" t="s">
        <v>41</v>
      </c>
      <c r="Q1291" s="19" t="s">
        <v>7001</v>
      </c>
      <c r="R1291" s="21" t="s">
        <v>7002</v>
      </c>
      <c r="S1291" s="19" t="s">
        <v>46</v>
      </c>
      <c r="T1291" s="19" t="s">
        <v>6982</v>
      </c>
      <c r="U1291" s="19" t="s">
        <v>7003</v>
      </c>
      <c r="V1291" s="19" t="s">
        <v>45</v>
      </c>
      <c r="W1291" s="19"/>
      <c r="X1291" s="19"/>
      <c r="Y1291" s="19"/>
      <c r="Z1291" s="19" t="s">
        <v>658</v>
      </c>
      <c r="AA1291" s="19" t="s">
        <v>7004</v>
      </c>
      <c r="AB1291" s="19" t="s">
        <v>7005</v>
      </c>
      <c r="AC1291" s="19" t="s">
        <v>46</v>
      </c>
      <c r="AD1291" s="19"/>
      <c r="AE1291" s="19" t="s">
        <v>641</v>
      </c>
      <c r="AF1291" s="19" t="s">
        <v>190</v>
      </c>
      <c r="AG1291" s="19">
        <v>6</v>
      </c>
      <c r="AH1291" s="19" t="s">
        <v>190</v>
      </c>
      <c r="AI1291" s="19"/>
      <c r="AJ1291" s="22">
        <v>43108.470868055556</v>
      </c>
      <c r="AK1291" s="19" t="s">
        <v>4408</v>
      </c>
    </row>
    <row r="1292" spans="1:37" s="23" customFormat="1">
      <c r="A1292" s="19" t="str">
        <f>VLOOKUP(H1292,Languages!$A$2:$B$430,2,FALSE)</f>
        <v>Indo-European</v>
      </c>
      <c r="B1292" s="19" t="s">
        <v>1812</v>
      </c>
      <c r="C1292" s="19" t="s">
        <v>58</v>
      </c>
      <c r="D1292" s="19" t="s">
        <v>7006</v>
      </c>
      <c r="E1292" s="20" t="s">
        <v>2995</v>
      </c>
      <c r="F1292" s="20" t="s">
        <v>7000</v>
      </c>
      <c r="G1292" s="19" t="s">
        <v>2995</v>
      </c>
      <c r="H1292" s="19" t="str">
        <f>VLOOKUP(G1292,'languoid 4.0'!$A$1:$I$24439,2,FALSE)</f>
        <v>indo1319</v>
      </c>
      <c r="I1292" s="19" t="str">
        <f>VLOOKUP(G1292,'languoid 4.0'!$A$1:$I$24439,6,FALSE)</f>
        <v>language</v>
      </c>
      <c r="J1292" s="20" t="s">
        <v>52</v>
      </c>
      <c r="K1292" s="20" t="s">
        <v>38</v>
      </c>
      <c r="L1292" s="20" t="s">
        <v>38</v>
      </c>
      <c r="M1292" s="19"/>
      <c r="N1292" s="19" t="s">
        <v>2996</v>
      </c>
      <c r="O1292" s="20" t="s">
        <v>40</v>
      </c>
      <c r="P1292" s="20" t="s">
        <v>41</v>
      </c>
      <c r="Q1292" s="19" t="s">
        <v>7007</v>
      </c>
      <c r="R1292" s="21" t="s">
        <v>7008</v>
      </c>
      <c r="S1292" s="19" t="s">
        <v>7009</v>
      </c>
      <c r="T1292" s="19" t="s">
        <v>6982</v>
      </c>
      <c r="U1292" s="19" t="s">
        <v>1750</v>
      </c>
      <c r="V1292" s="19" t="s">
        <v>45</v>
      </c>
      <c r="W1292" s="19"/>
      <c r="X1292" s="19"/>
      <c r="Y1292" s="19"/>
      <c r="Z1292" s="19" t="s">
        <v>658</v>
      </c>
      <c r="AA1292" s="19" t="s">
        <v>7010</v>
      </c>
      <c r="AB1292" s="19" t="s">
        <v>7011</v>
      </c>
      <c r="AC1292" s="19" t="s">
        <v>46</v>
      </c>
      <c r="AD1292" s="19"/>
      <c r="AE1292" s="19" t="s">
        <v>641</v>
      </c>
      <c r="AF1292" s="19" t="s">
        <v>190</v>
      </c>
      <c r="AG1292" s="19">
        <v>6</v>
      </c>
      <c r="AH1292" s="19" t="s">
        <v>190</v>
      </c>
      <c r="AI1292" s="19"/>
      <c r="AJ1292" s="22">
        <v>43108.477592592593</v>
      </c>
      <c r="AK1292" s="19" t="s">
        <v>4408</v>
      </c>
    </row>
    <row r="1293" spans="1:37" s="23" customFormat="1">
      <c r="A1293" s="19" t="str">
        <f>VLOOKUP(H1293,Languages!$A$2:$B$430,2,FALSE)</f>
        <v>Indo-European</v>
      </c>
      <c r="B1293" s="19" t="s">
        <v>1812</v>
      </c>
      <c r="C1293" s="19" t="s">
        <v>58</v>
      </c>
      <c r="D1293" s="19" t="s">
        <v>8955</v>
      </c>
      <c r="E1293" s="20" t="s">
        <v>8956</v>
      </c>
      <c r="F1293" s="20" t="s">
        <v>2995</v>
      </c>
      <c r="G1293" s="19" t="s">
        <v>2995</v>
      </c>
      <c r="H1293" s="19" t="str">
        <f>VLOOKUP(G1293,'languoid 4.0'!$A$1:$I$24439,2,FALSE)</f>
        <v>indo1319</v>
      </c>
      <c r="I1293" s="19" t="str">
        <f>VLOOKUP(G1293,'languoid 4.0'!$A$1:$I$24439,6,FALSE)</f>
        <v>language</v>
      </c>
      <c r="J1293" s="20" t="s">
        <v>52</v>
      </c>
      <c r="K1293" s="20" t="s">
        <v>38</v>
      </c>
      <c r="L1293" s="20" t="s">
        <v>38</v>
      </c>
      <c r="M1293" s="19"/>
      <c r="N1293" s="19"/>
      <c r="O1293" s="20" t="s">
        <v>40</v>
      </c>
      <c r="P1293" s="20" t="s">
        <v>41</v>
      </c>
      <c r="Q1293" s="19" t="s">
        <v>8957</v>
      </c>
      <c r="R1293" s="21" t="s">
        <v>8958</v>
      </c>
      <c r="S1293" s="19" t="s">
        <v>46</v>
      </c>
      <c r="T1293" s="19" t="s">
        <v>635</v>
      </c>
      <c r="U1293" s="19" t="s">
        <v>636</v>
      </c>
      <c r="V1293" s="19" t="s">
        <v>45</v>
      </c>
      <c r="W1293" s="19"/>
      <c r="X1293" s="19"/>
      <c r="Y1293" s="19"/>
      <c r="Z1293" s="19" t="s">
        <v>637</v>
      </c>
      <c r="AA1293" s="19" t="s">
        <v>8959</v>
      </c>
      <c r="AB1293" s="19" t="s">
        <v>8960</v>
      </c>
      <c r="AC1293" s="19" t="s">
        <v>46</v>
      </c>
      <c r="AD1293" s="19"/>
      <c r="AE1293" s="19" t="s">
        <v>641</v>
      </c>
      <c r="AF1293" s="19" t="s">
        <v>190</v>
      </c>
      <c r="AG1293" s="19">
        <v>6</v>
      </c>
      <c r="AH1293" s="19" t="s">
        <v>190</v>
      </c>
      <c r="AI1293" s="19"/>
      <c r="AJ1293" s="19" t="s">
        <v>8961</v>
      </c>
      <c r="AK1293" s="19" t="s">
        <v>8947</v>
      </c>
    </row>
    <row r="1294" spans="1:37" s="23" customFormat="1">
      <c r="A1294" s="19" t="str">
        <f>VLOOKUP(H1294,Languages!$A$2:$B$430,2,FALSE)</f>
        <v>Indo-European</v>
      </c>
      <c r="B1294" s="19" t="s">
        <v>1812</v>
      </c>
      <c r="C1294" s="19" t="s">
        <v>58</v>
      </c>
      <c r="D1294" s="19" t="s">
        <v>9178</v>
      </c>
      <c r="E1294" s="20" t="s">
        <v>2995</v>
      </c>
      <c r="F1294" s="20" t="s">
        <v>2995</v>
      </c>
      <c r="G1294" s="19" t="s">
        <v>2995</v>
      </c>
      <c r="H1294" s="19" t="str">
        <f>VLOOKUP(G1294,'languoid 4.0'!$A$1:$I$24439,2,FALSE)</f>
        <v>indo1319</v>
      </c>
      <c r="I1294" s="19" t="str">
        <f>VLOOKUP(G1294,'languoid 4.0'!$A$1:$I$24439,6,FALSE)</f>
        <v>language</v>
      </c>
      <c r="J1294" s="20" t="s">
        <v>38</v>
      </c>
      <c r="K1294" s="20" t="s">
        <v>38</v>
      </c>
      <c r="L1294" s="20" t="s">
        <v>38</v>
      </c>
      <c r="M1294" s="19"/>
      <c r="N1294" s="19" t="s">
        <v>2996</v>
      </c>
      <c r="O1294" s="20" t="s">
        <v>40</v>
      </c>
      <c r="P1294" s="20" t="s">
        <v>41</v>
      </c>
      <c r="Q1294" s="19" t="s">
        <v>9179</v>
      </c>
      <c r="R1294" s="21" t="s">
        <v>9180</v>
      </c>
      <c r="S1294" s="19" t="s">
        <v>46</v>
      </c>
      <c r="T1294" s="19" t="s">
        <v>635</v>
      </c>
      <c r="U1294" s="19" t="s">
        <v>636</v>
      </c>
      <c r="V1294" s="19" t="s">
        <v>45</v>
      </c>
      <c r="W1294" s="19"/>
      <c r="X1294" s="19"/>
      <c r="Y1294" s="19"/>
      <c r="Z1294" s="19" t="s">
        <v>637</v>
      </c>
      <c r="AA1294" s="19" t="s">
        <v>9181</v>
      </c>
      <c r="AB1294" s="19" t="s">
        <v>9182</v>
      </c>
      <c r="AC1294" s="19" t="s">
        <v>46</v>
      </c>
      <c r="AD1294" s="19"/>
      <c r="AE1294" s="19" t="s">
        <v>641</v>
      </c>
      <c r="AF1294" s="19" t="s">
        <v>190</v>
      </c>
      <c r="AG1294" s="19">
        <v>6</v>
      </c>
      <c r="AH1294" s="19" t="s">
        <v>190</v>
      </c>
      <c r="AI1294" s="19" t="s">
        <v>9183</v>
      </c>
      <c r="AJ1294" s="19" t="s">
        <v>9184</v>
      </c>
      <c r="AK1294" s="19" t="s">
        <v>8947</v>
      </c>
    </row>
    <row r="1295" spans="1:37" s="23" customFormat="1">
      <c r="A1295" s="19" t="str">
        <f>VLOOKUP(H1295,Languages!$A$2:$B$430,2,FALSE)</f>
        <v>Indo-European</v>
      </c>
      <c r="B1295" s="19" t="s">
        <v>1812</v>
      </c>
      <c r="C1295" s="19" t="s">
        <v>58</v>
      </c>
      <c r="D1295" s="19" t="s">
        <v>9190</v>
      </c>
      <c r="E1295" s="20" t="s">
        <v>2995</v>
      </c>
      <c r="F1295" s="20" t="s">
        <v>2995</v>
      </c>
      <c r="G1295" s="19" t="s">
        <v>2995</v>
      </c>
      <c r="H1295" s="19" t="str">
        <f>VLOOKUP(G1295,'languoid 4.0'!$A$1:$I$24439,2,FALSE)</f>
        <v>indo1319</v>
      </c>
      <c r="I1295" s="19" t="str">
        <f>VLOOKUP(G1295,'languoid 4.0'!$A$1:$I$24439,6,FALSE)</f>
        <v>language</v>
      </c>
      <c r="J1295" s="20" t="s">
        <v>38</v>
      </c>
      <c r="K1295" s="20" t="s">
        <v>38</v>
      </c>
      <c r="L1295" s="20" t="s">
        <v>38</v>
      </c>
      <c r="M1295" s="19"/>
      <c r="N1295" s="19" t="s">
        <v>2996</v>
      </c>
      <c r="O1295" s="20" t="s">
        <v>40</v>
      </c>
      <c r="P1295" s="20" t="s">
        <v>632</v>
      </c>
      <c r="Q1295" s="19" t="s">
        <v>9191</v>
      </c>
      <c r="R1295" s="21" t="s">
        <v>9192</v>
      </c>
      <c r="S1295" s="19" t="s">
        <v>46</v>
      </c>
      <c r="T1295" s="19" t="s">
        <v>635</v>
      </c>
      <c r="U1295" s="19" t="s">
        <v>636</v>
      </c>
      <c r="V1295" s="19" t="s">
        <v>45</v>
      </c>
      <c r="W1295" s="19"/>
      <c r="X1295" s="19"/>
      <c r="Y1295" s="19"/>
      <c r="Z1295" s="19" t="s">
        <v>637</v>
      </c>
      <c r="AA1295" s="19" t="s">
        <v>9193</v>
      </c>
      <c r="AB1295" s="19" t="s">
        <v>9193</v>
      </c>
      <c r="AC1295" s="19" t="s">
        <v>46</v>
      </c>
      <c r="AD1295" s="19"/>
      <c r="AE1295" s="19" t="s">
        <v>641</v>
      </c>
      <c r="AF1295" s="19" t="s">
        <v>190</v>
      </c>
      <c r="AG1295" s="19">
        <v>6</v>
      </c>
      <c r="AH1295" s="19" t="s">
        <v>190</v>
      </c>
      <c r="AI1295" s="19"/>
      <c r="AJ1295" s="19" t="s">
        <v>9194</v>
      </c>
      <c r="AK1295" s="19" t="s">
        <v>8947</v>
      </c>
    </row>
    <row r="1296" spans="1:37" s="23" customFormat="1">
      <c r="A1296" s="19" t="str">
        <f>VLOOKUP(H1296,Languages!$A$2:$B$430,2,FALSE)</f>
        <v>Indo-European</v>
      </c>
      <c r="B1296" s="19" t="s">
        <v>1812</v>
      </c>
      <c r="C1296" s="19" t="s">
        <v>58</v>
      </c>
      <c r="D1296" s="19" t="s">
        <v>9190</v>
      </c>
      <c r="E1296" s="20" t="s">
        <v>2995</v>
      </c>
      <c r="F1296" s="20" t="s">
        <v>2995</v>
      </c>
      <c r="G1296" s="19" t="s">
        <v>2995</v>
      </c>
      <c r="H1296" s="19" t="str">
        <f>VLOOKUP(G1296,'languoid 4.0'!$A$1:$I$24439,2,FALSE)</f>
        <v>indo1319</v>
      </c>
      <c r="I1296" s="19" t="str">
        <f>VLOOKUP(G1296,'languoid 4.0'!$A$1:$I$24439,6,FALSE)</f>
        <v>language</v>
      </c>
      <c r="J1296" s="20" t="s">
        <v>38</v>
      </c>
      <c r="K1296" s="20" t="s">
        <v>38</v>
      </c>
      <c r="L1296" s="20" t="s">
        <v>38</v>
      </c>
      <c r="M1296" s="19"/>
      <c r="N1296" s="19" t="s">
        <v>2996</v>
      </c>
      <c r="O1296" s="20" t="s">
        <v>40</v>
      </c>
      <c r="P1296" s="20" t="s">
        <v>632</v>
      </c>
      <c r="Q1296" s="19" t="s">
        <v>9195</v>
      </c>
      <c r="R1296" s="21" t="s">
        <v>9196</v>
      </c>
      <c r="S1296" s="19" t="s">
        <v>46</v>
      </c>
      <c r="T1296" s="19" t="s">
        <v>635</v>
      </c>
      <c r="U1296" s="19" t="s">
        <v>636</v>
      </c>
      <c r="V1296" s="19" t="s">
        <v>45</v>
      </c>
      <c r="W1296" s="19"/>
      <c r="X1296" s="19"/>
      <c r="Y1296" s="19"/>
      <c r="Z1296" s="19" t="s">
        <v>637</v>
      </c>
      <c r="AA1296" s="19" t="s">
        <v>9197</v>
      </c>
      <c r="AB1296" s="19" t="s">
        <v>9198</v>
      </c>
      <c r="AC1296" s="19" t="s">
        <v>46</v>
      </c>
      <c r="AD1296" s="19"/>
      <c r="AE1296" s="19" t="s">
        <v>641</v>
      </c>
      <c r="AF1296" s="19" t="s">
        <v>190</v>
      </c>
      <c r="AG1296" s="19">
        <v>6</v>
      </c>
      <c r="AH1296" s="19" t="s">
        <v>190</v>
      </c>
      <c r="AI1296" s="19"/>
      <c r="AJ1296" s="19" t="s">
        <v>9199</v>
      </c>
      <c r="AK1296" s="19" t="s">
        <v>8947</v>
      </c>
    </row>
    <row r="1297" spans="1:37" s="23" customFormat="1">
      <c r="A1297" s="19" t="str">
        <f>VLOOKUP(H1297,Languages!$A$2:$B$430,2,FALSE)</f>
        <v>Indo-European</v>
      </c>
      <c r="B1297" s="19" t="s">
        <v>1812</v>
      </c>
      <c r="C1297" s="19" t="s">
        <v>58</v>
      </c>
      <c r="D1297" s="19" t="s">
        <v>9227</v>
      </c>
      <c r="E1297" s="20" t="s">
        <v>9228</v>
      </c>
      <c r="F1297" s="20" t="s">
        <v>9228</v>
      </c>
      <c r="G1297" s="19" t="s">
        <v>9228</v>
      </c>
      <c r="H1297" s="19" t="str">
        <f>VLOOKUP(G1297,'languoid 4.0'!$A$1:$I$24439,2,FALSE)</f>
        <v>indo1319</v>
      </c>
      <c r="I1297" s="19" t="str">
        <f>VLOOKUP(G1297,'languoid 4.0'!$A$1:$I$24439,6,FALSE)</f>
        <v>dialect</v>
      </c>
      <c r="J1297" s="20" t="s">
        <v>38</v>
      </c>
      <c r="K1297" s="20" t="s">
        <v>38</v>
      </c>
      <c r="L1297" s="20" t="s">
        <v>38</v>
      </c>
      <c r="M1297" s="19"/>
      <c r="N1297" s="19" t="s">
        <v>9229</v>
      </c>
      <c r="O1297" s="20" t="s">
        <v>40</v>
      </c>
      <c r="P1297" s="20" t="s">
        <v>41</v>
      </c>
      <c r="Q1297" s="19" t="s">
        <v>9235</v>
      </c>
      <c r="R1297" s="21" t="s">
        <v>9236</v>
      </c>
      <c r="S1297" s="19" t="s">
        <v>46</v>
      </c>
      <c r="T1297" s="19" t="s">
        <v>635</v>
      </c>
      <c r="U1297" s="19" t="s">
        <v>636</v>
      </c>
      <c r="V1297" s="19" t="s">
        <v>45</v>
      </c>
      <c r="W1297" s="19"/>
      <c r="X1297" s="19"/>
      <c r="Y1297" s="19"/>
      <c r="Z1297" s="19" t="s">
        <v>637</v>
      </c>
      <c r="AA1297" s="19" t="s">
        <v>9237</v>
      </c>
      <c r="AB1297" s="19" t="s">
        <v>9238</v>
      </c>
      <c r="AC1297" s="19" t="s">
        <v>46</v>
      </c>
      <c r="AD1297" s="19"/>
      <c r="AE1297" s="19" t="s">
        <v>641</v>
      </c>
      <c r="AF1297" s="19" t="s">
        <v>190</v>
      </c>
      <c r="AG1297" s="19">
        <v>6</v>
      </c>
      <c r="AH1297" s="19" t="s">
        <v>190</v>
      </c>
      <c r="AI1297" s="19" t="s">
        <v>9239</v>
      </c>
      <c r="AJ1297" s="19" t="s">
        <v>9240</v>
      </c>
      <c r="AK1297" s="19" t="s">
        <v>8947</v>
      </c>
    </row>
    <row r="1298" spans="1:37" s="23" customFormat="1">
      <c r="A1298" s="19" t="str">
        <f>VLOOKUP(H1298,Languages!$A$2:$B$430,2,FALSE)</f>
        <v>Indo-European</v>
      </c>
      <c r="B1298" s="19" t="s">
        <v>1812</v>
      </c>
      <c r="C1298" s="19" t="s">
        <v>58</v>
      </c>
      <c r="D1298" s="19" t="s">
        <v>9246</v>
      </c>
      <c r="E1298" s="20" t="s">
        <v>9247</v>
      </c>
      <c r="F1298" s="20" t="s">
        <v>9247</v>
      </c>
      <c r="G1298" s="19" t="s">
        <v>9247</v>
      </c>
      <c r="H1298" s="19" t="str">
        <f>VLOOKUP(G1298,'languoid 4.0'!$A$1:$I$24439,2,FALSE)</f>
        <v>indo1319</v>
      </c>
      <c r="I1298" s="19" t="str">
        <f>VLOOKUP(G1298,'languoid 4.0'!$A$1:$I$24439,6,FALSE)</f>
        <v>language</v>
      </c>
      <c r="J1298" s="20" t="s">
        <v>38</v>
      </c>
      <c r="K1298" s="20" t="s">
        <v>38</v>
      </c>
      <c r="L1298" s="20" t="s">
        <v>38</v>
      </c>
      <c r="M1298" s="19"/>
      <c r="N1298" s="19" t="s">
        <v>9248</v>
      </c>
      <c r="O1298" s="20" t="s">
        <v>40</v>
      </c>
      <c r="P1298" s="20" t="s">
        <v>41</v>
      </c>
      <c r="Q1298" s="19" t="s">
        <v>9255</v>
      </c>
      <c r="R1298" s="21" t="s">
        <v>9256</v>
      </c>
      <c r="S1298" s="19" t="s">
        <v>46</v>
      </c>
      <c r="T1298" s="19" t="s">
        <v>635</v>
      </c>
      <c r="U1298" s="19" t="s">
        <v>636</v>
      </c>
      <c r="V1298" s="19" t="s">
        <v>45</v>
      </c>
      <c r="W1298" s="19"/>
      <c r="X1298" s="19"/>
      <c r="Y1298" s="19"/>
      <c r="Z1298" s="19" t="s">
        <v>637</v>
      </c>
      <c r="AA1298" s="19" t="s">
        <v>9257</v>
      </c>
      <c r="AB1298" s="19" t="s">
        <v>9258</v>
      </c>
      <c r="AC1298" s="19" t="s">
        <v>46</v>
      </c>
      <c r="AD1298" s="19"/>
      <c r="AE1298" s="19" t="s">
        <v>641</v>
      </c>
      <c r="AF1298" s="19" t="s">
        <v>190</v>
      </c>
      <c r="AG1298" s="19">
        <v>6</v>
      </c>
      <c r="AH1298" s="19" t="s">
        <v>190</v>
      </c>
      <c r="AI1298" s="19"/>
      <c r="AJ1298" s="19" t="s">
        <v>9259</v>
      </c>
      <c r="AK1298" s="19" t="s">
        <v>8947</v>
      </c>
    </row>
    <row r="1299" spans="1:37" s="23" customFormat="1">
      <c r="A1299" s="19" t="str">
        <f>VLOOKUP(H1299,Languages!$A$2:$B$430,2,FALSE)</f>
        <v>Indo-European</v>
      </c>
      <c r="B1299" s="19" t="s">
        <v>1812</v>
      </c>
      <c r="C1299" s="19" t="s">
        <v>58</v>
      </c>
      <c r="D1299" s="19" t="s">
        <v>9384</v>
      </c>
      <c r="E1299" s="20" t="s">
        <v>9385</v>
      </c>
      <c r="F1299" s="20" t="s">
        <v>9385</v>
      </c>
      <c r="G1299" s="19" t="s">
        <v>9385</v>
      </c>
      <c r="H1299" s="19" t="str">
        <f>VLOOKUP(G1299,'languoid 4.0'!$A$1:$I$24439,2,FALSE)</f>
        <v>indo1319</v>
      </c>
      <c r="I1299" s="19" t="str">
        <f>VLOOKUP(G1299,'languoid 4.0'!$A$1:$I$24439,6,FALSE)</f>
        <v>language</v>
      </c>
      <c r="J1299" s="20" t="s">
        <v>38</v>
      </c>
      <c r="K1299" s="20" t="s">
        <v>38</v>
      </c>
      <c r="L1299" s="20" t="s">
        <v>38</v>
      </c>
      <c r="M1299" s="19"/>
      <c r="N1299" s="19" t="s">
        <v>9386</v>
      </c>
      <c r="O1299" s="20" t="s">
        <v>40</v>
      </c>
      <c r="P1299" s="20" t="s">
        <v>41</v>
      </c>
      <c r="Q1299" s="19" t="s">
        <v>9434</v>
      </c>
      <c r="R1299" s="21" t="s">
        <v>9435</v>
      </c>
      <c r="S1299" s="19" t="s">
        <v>46</v>
      </c>
      <c r="T1299" s="19" t="s">
        <v>635</v>
      </c>
      <c r="U1299" s="19" t="s">
        <v>636</v>
      </c>
      <c r="V1299" s="19" t="s">
        <v>45</v>
      </c>
      <c r="W1299" s="19"/>
      <c r="X1299" s="19"/>
      <c r="Y1299" s="19"/>
      <c r="Z1299" s="19" t="s">
        <v>637</v>
      </c>
      <c r="AA1299" s="19" t="s">
        <v>9436</v>
      </c>
      <c r="AB1299" s="19" t="s">
        <v>9437</v>
      </c>
      <c r="AC1299" s="19" t="s">
        <v>46</v>
      </c>
      <c r="AD1299" s="19"/>
      <c r="AE1299" s="19" t="s">
        <v>641</v>
      </c>
      <c r="AF1299" s="19" t="s">
        <v>190</v>
      </c>
      <c r="AG1299" s="19">
        <v>6</v>
      </c>
      <c r="AH1299" s="19" t="s">
        <v>190</v>
      </c>
      <c r="AI1299" s="19"/>
      <c r="AJ1299" s="22">
        <v>43230.483356481483</v>
      </c>
      <c r="AK1299" s="19" t="s">
        <v>8947</v>
      </c>
    </row>
    <row r="1300" spans="1:37" s="23" customFormat="1">
      <c r="A1300" s="19" t="str">
        <f>VLOOKUP(H1300,Languages!$A$2:$B$430,2,FALSE)</f>
        <v>Indo-European</v>
      </c>
      <c r="B1300" s="19" t="s">
        <v>1812</v>
      </c>
      <c r="C1300" s="19" t="s">
        <v>58</v>
      </c>
      <c r="D1300" s="19" t="s">
        <v>9447</v>
      </c>
      <c r="E1300" s="20" t="s">
        <v>51</v>
      </c>
      <c r="F1300" s="20" t="s">
        <v>9228</v>
      </c>
      <c r="G1300" s="19" t="s">
        <v>9228</v>
      </c>
      <c r="H1300" s="19" t="str">
        <f>VLOOKUP(G1300,'languoid 4.0'!$A$1:$I$24439,2,FALSE)</f>
        <v>indo1319</v>
      </c>
      <c r="I1300" s="19" t="str">
        <f>VLOOKUP(G1300,'languoid 4.0'!$A$1:$I$24439,6,FALSE)</f>
        <v>dialect</v>
      </c>
      <c r="J1300" s="20" t="s">
        <v>52</v>
      </c>
      <c r="K1300" s="20" t="s">
        <v>51</v>
      </c>
      <c r="L1300" s="20" t="s">
        <v>51</v>
      </c>
      <c r="M1300" s="19"/>
      <c r="N1300" s="19" t="e">
        <v>#N/A</v>
      </c>
      <c r="O1300" s="20" t="s">
        <v>690</v>
      </c>
      <c r="P1300" s="20"/>
      <c r="Q1300" s="19" t="s">
        <v>9451</v>
      </c>
      <c r="R1300" s="21" t="s">
        <v>9452</v>
      </c>
      <c r="S1300" s="19" t="s">
        <v>46</v>
      </c>
      <c r="T1300" s="19" t="s">
        <v>635</v>
      </c>
      <c r="U1300" s="19" t="s">
        <v>636</v>
      </c>
      <c r="V1300" s="19" t="s">
        <v>45</v>
      </c>
      <c r="W1300" s="19"/>
      <c r="X1300" s="19"/>
      <c r="Y1300" s="19"/>
      <c r="Z1300" s="19" t="s">
        <v>637</v>
      </c>
      <c r="AA1300" s="19" t="s">
        <v>9453</v>
      </c>
      <c r="AB1300" s="19" t="s">
        <v>9454</v>
      </c>
      <c r="AC1300" s="19" t="s">
        <v>46</v>
      </c>
      <c r="AD1300" s="19"/>
      <c r="AE1300" s="19" t="s">
        <v>641</v>
      </c>
      <c r="AF1300" s="19" t="s">
        <v>190</v>
      </c>
      <c r="AG1300" s="19">
        <v>6</v>
      </c>
      <c r="AH1300" s="19" t="s">
        <v>190</v>
      </c>
      <c r="AI1300" s="19"/>
      <c r="AJ1300" s="22">
        <v>43230.515092592592</v>
      </c>
      <c r="AK1300" s="19" t="s">
        <v>8947</v>
      </c>
    </row>
    <row r="1301" spans="1:37" s="23" customFormat="1">
      <c r="A1301" s="19" t="str">
        <f>VLOOKUP(H1301,Languages!$A$2:$B$430,2,FALSE)</f>
        <v>Indo-European</v>
      </c>
      <c r="B1301" s="19" t="s">
        <v>1812</v>
      </c>
      <c r="C1301" s="19" t="s">
        <v>58</v>
      </c>
      <c r="D1301" s="19" t="s">
        <v>9646</v>
      </c>
      <c r="E1301" s="20" t="s">
        <v>9640</v>
      </c>
      <c r="F1301" s="20" t="s">
        <v>9640</v>
      </c>
      <c r="G1301" s="19" t="s">
        <v>9640</v>
      </c>
      <c r="H1301" s="19" t="str">
        <f>VLOOKUP(G1301,'languoid 4.0'!$A$1:$I$24439,2,FALSE)</f>
        <v>indo1319</v>
      </c>
      <c r="I1301" s="19" t="str">
        <f>VLOOKUP(G1301,'languoid 4.0'!$A$1:$I$24439,6,FALSE)</f>
        <v>dialect</v>
      </c>
      <c r="J1301" s="20" t="s">
        <v>38</v>
      </c>
      <c r="K1301" s="20" t="s">
        <v>38</v>
      </c>
      <c r="L1301" s="20" t="s">
        <v>38</v>
      </c>
      <c r="M1301" s="19"/>
      <c r="N1301" s="19" t="s">
        <v>9641</v>
      </c>
      <c r="O1301" s="20" t="s">
        <v>40</v>
      </c>
      <c r="P1301" s="20" t="s">
        <v>41</v>
      </c>
      <c r="Q1301" s="19" t="s">
        <v>9647</v>
      </c>
      <c r="R1301" s="21" t="s">
        <v>9648</v>
      </c>
      <c r="S1301" s="19" t="s">
        <v>46</v>
      </c>
      <c r="T1301" s="19" t="s">
        <v>635</v>
      </c>
      <c r="U1301" s="19" t="s">
        <v>636</v>
      </c>
      <c r="V1301" s="19" t="s">
        <v>45</v>
      </c>
      <c r="W1301" s="19"/>
      <c r="X1301" s="19"/>
      <c r="Y1301" s="19"/>
      <c r="Z1301" s="19" t="s">
        <v>637</v>
      </c>
      <c r="AA1301" s="19" t="s">
        <v>9649</v>
      </c>
      <c r="AB1301" s="19" t="s">
        <v>9650</v>
      </c>
      <c r="AC1301" s="19" t="s">
        <v>46</v>
      </c>
      <c r="AD1301" s="19"/>
      <c r="AE1301" s="19" t="s">
        <v>641</v>
      </c>
      <c r="AF1301" s="19" t="s">
        <v>190</v>
      </c>
      <c r="AG1301" s="19">
        <v>6</v>
      </c>
      <c r="AH1301" s="19" t="s">
        <v>190</v>
      </c>
      <c r="AI1301" s="19"/>
      <c r="AJ1301" s="22">
        <v>43444.449756944443</v>
      </c>
      <c r="AK1301" s="19" t="s">
        <v>8947</v>
      </c>
    </row>
    <row r="1302" spans="1:37" s="23" customFormat="1">
      <c r="A1302" s="19" t="str">
        <f>VLOOKUP(H1302,Languages!$A$2:$B$430,2,FALSE)</f>
        <v>Indo-European</v>
      </c>
      <c r="B1302" s="19" t="s">
        <v>1812</v>
      </c>
      <c r="C1302" s="19" t="s">
        <v>4376</v>
      </c>
      <c r="D1302" s="19" t="s">
        <v>4891</v>
      </c>
      <c r="E1302" s="20" t="s">
        <v>239</v>
      </c>
      <c r="F1302" s="20" t="s">
        <v>4892</v>
      </c>
      <c r="G1302" s="19" t="s">
        <v>4893</v>
      </c>
      <c r="H1302" s="19" t="str">
        <f>VLOOKUP(G1302,'languoid 4.0'!$A$1:$I$24439,2,FALSE)</f>
        <v>indo1319</v>
      </c>
      <c r="I1302" s="19" t="str">
        <f>VLOOKUP(G1302,'languoid 4.0'!$A$1:$I$24439,6,FALSE)</f>
        <v>family</v>
      </c>
      <c r="J1302" s="20" t="s">
        <v>52</v>
      </c>
      <c r="K1302" s="20" t="s">
        <v>38</v>
      </c>
      <c r="L1302" s="20" t="s">
        <v>38</v>
      </c>
      <c r="M1302" s="19"/>
      <c r="N1302" s="19" t="s">
        <v>269</v>
      </c>
      <c r="O1302" s="20" t="s">
        <v>40</v>
      </c>
      <c r="P1302" s="20" t="s">
        <v>41</v>
      </c>
      <c r="Q1302" s="19" t="s">
        <v>4894</v>
      </c>
      <c r="R1302" s="21" t="s">
        <v>4895</v>
      </c>
      <c r="S1302" s="19" t="s">
        <v>46</v>
      </c>
      <c r="T1302" s="19" t="s">
        <v>4383</v>
      </c>
      <c r="U1302" s="19" t="s">
        <v>636</v>
      </c>
      <c r="V1302" s="19" t="s">
        <v>45</v>
      </c>
      <c r="W1302" s="19"/>
      <c r="X1302" s="19"/>
      <c r="Y1302" s="19"/>
      <c r="Z1302" s="19" t="s">
        <v>673</v>
      </c>
      <c r="AA1302" s="19" t="s">
        <v>4896</v>
      </c>
      <c r="AB1302" s="19" t="s">
        <v>4897</v>
      </c>
      <c r="AC1302" s="19" t="s">
        <v>46</v>
      </c>
      <c r="AD1302" s="19"/>
      <c r="AE1302" s="19" t="s">
        <v>641</v>
      </c>
      <c r="AF1302" s="19" t="s">
        <v>190</v>
      </c>
      <c r="AG1302" s="19">
        <v>6</v>
      </c>
      <c r="AH1302" s="19" t="s">
        <v>190</v>
      </c>
      <c r="AI1302" s="19"/>
      <c r="AJ1302" s="22">
        <v>43440.58184027778</v>
      </c>
      <c r="AK1302" s="19" t="s">
        <v>4386</v>
      </c>
    </row>
    <row r="1303" spans="1:37" s="23" customFormat="1">
      <c r="A1303" s="19" t="str">
        <f>VLOOKUP(H1303,Languages!$A$2:$B$430,2,FALSE)</f>
        <v>Indo-European</v>
      </c>
      <c r="B1303" s="19" t="s">
        <v>1812</v>
      </c>
      <c r="C1303" s="19" t="s">
        <v>4376</v>
      </c>
      <c r="D1303" s="19" t="s">
        <v>5687</v>
      </c>
      <c r="E1303" s="20" t="s">
        <v>4378</v>
      </c>
      <c r="F1303" s="20" t="s">
        <v>5688</v>
      </c>
      <c r="G1303" s="19" t="s">
        <v>5688</v>
      </c>
      <c r="H1303" s="19" t="str">
        <f>VLOOKUP(G1303,'languoid 4.0'!$A$1:$I$24439,2,FALSE)</f>
        <v>indo1319</v>
      </c>
      <c r="I1303" s="19" t="str">
        <f>VLOOKUP(G1303,'languoid 4.0'!$A$1:$I$24439,6,FALSE)</f>
        <v>language</v>
      </c>
      <c r="J1303" s="20" t="s">
        <v>52</v>
      </c>
      <c r="K1303" s="20" t="s">
        <v>38</v>
      </c>
      <c r="L1303" s="20" t="s">
        <v>38</v>
      </c>
      <c r="M1303" s="19"/>
      <c r="N1303" s="19" t="s">
        <v>4380</v>
      </c>
      <c r="O1303" s="20" t="s">
        <v>40</v>
      </c>
      <c r="P1303" s="20" t="s">
        <v>41</v>
      </c>
      <c r="Q1303" s="19" t="s">
        <v>5689</v>
      </c>
      <c r="R1303" s="21" t="s">
        <v>5690</v>
      </c>
      <c r="S1303" s="19" t="s">
        <v>46</v>
      </c>
      <c r="T1303" s="19" t="s">
        <v>635</v>
      </c>
      <c r="U1303" s="19" t="s">
        <v>636</v>
      </c>
      <c r="V1303" s="19" t="s">
        <v>45</v>
      </c>
      <c r="W1303" s="19"/>
      <c r="X1303" s="19"/>
      <c r="Y1303" s="19"/>
      <c r="Z1303" s="19" t="s">
        <v>673</v>
      </c>
      <c r="AA1303" s="19" t="s">
        <v>5691</v>
      </c>
      <c r="AB1303" s="19" t="s">
        <v>5692</v>
      </c>
      <c r="AC1303" s="19" t="s">
        <v>46</v>
      </c>
      <c r="AD1303" s="19"/>
      <c r="AE1303" s="19" t="s">
        <v>641</v>
      </c>
      <c r="AF1303" s="19" t="s">
        <v>190</v>
      </c>
      <c r="AG1303" s="19">
        <v>5</v>
      </c>
      <c r="AH1303" s="19" t="s">
        <v>190</v>
      </c>
      <c r="AI1303" s="19"/>
      <c r="AJ1303" s="19" t="s">
        <v>5693</v>
      </c>
      <c r="AK1303" s="19" t="s">
        <v>4386</v>
      </c>
    </row>
    <row r="1304" spans="1:37" s="23" customFormat="1">
      <c r="A1304" s="19" t="str">
        <f>VLOOKUP(H1304,Languages!$A$2:$B$430,2,FALSE)</f>
        <v>Indo-European</v>
      </c>
      <c r="B1304" s="19" t="s">
        <v>1812</v>
      </c>
      <c r="C1304" s="19" t="s">
        <v>4376</v>
      </c>
      <c r="D1304" s="19" t="s">
        <v>6082</v>
      </c>
      <c r="E1304" s="20" t="s">
        <v>4378</v>
      </c>
      <c r="F1304" s="20" t="s">
        <v>4378</v>
      </c>
      <c r="G1304" s="19" t="s">
        <v>4378</v>
      </c>
      <c r="H1304" s="19" t="str">
        <f>VLOOKUP(G1304,'languoid 4.0'!$A$1:$I$24439,2,FALSE)</f>
        <v>indo1319</v>
      </c>
      <c r="I1304" s="19" t="str">
        <f>VLOOKUP(G1304,'languoid 4.0'!$A$1:$I$24439,6,FALSE)</f>
        <v>language</v>
      </c>
      <c r="J1304" s="20" t="s">
        <v>38</v>
      </c>
      <c r="K1304" s="20" t="s">
        <v>38</v>
      </c>
      <c r="L1304" s="20" t="s">
        <v>38</v>
      </c>
      <c r="M1304" s="19"/>
      <c r="N1304" s="19" t="s">
        <v>4380</v>
      </c>
      <c r="O1304" s="20" t="s">
        <v>40</v>
      </c>
      <c r="P1304" s="20" t="s">
        <v>41</v>
      </c>
      <c r="Q1304" s="19" t="s">
        <v>6083</v>
      </c>
      <c r="R1304" s="21" t="s">
        <v>6084</v>
      </c>
      <c r="S1304" s="19" t="s">
        <v>46</v>
      </c>
      <c r="T1304" s="19" t="s">
        <v>4383</v>
      </c>
      <c r="U1304" s="19" t="s">
        <v>636</v>
      </c>
      <c r="V1304" s="19" t="s">
        <v>45</v>
      </c>
      <c r="W1304" s="19"/>
      <c r="X1304" s="19"/>
      <c r="Y1304" s="19"/>
      <c r="Z1304" s="19" t="s">
        <v>637</v>
      </c>
      <c r="AA1304" s="19" t="s">
        <v>6085</v>
      </c>
      <c r="AB1304" s="19" t="s">
        <v>6086</v>
      </c>
      <c r="AC1304" s="19" t="s">
        <v>46</v>
      </c>
      <c r="AD1304" s="19"/>
      <c r="AE1304" s="19" t="s">
        <v>641</v>
      </c>
      <c r="AF1304" s="19" t="s">
        <v>190</v>
      </c>
      <c r="AG1304" s="19">
        <v>4</v>
      </c>
      <c r="AH1304" s="19" t="s">
        <v>190</v>
      </c>
      <c r="AI1304" s="19"/>
      <c r="AJ1304" s="22">
        <v>43138.453541666669</v>
      </c>
      <c r="AK1304" s="19" t="s">
        <v>4386</v>
      </c>
    </row>
    <row r="1305" spans="1:37" s="23" customFormat="1">
      <c r="A1305" s="19" t="str">
        <f>VLOOKUP(H1305,Languages!$A$2:$B$430,2,FALSE)</f>
        <v>Indo-European</v>
      </c>
      <c r="B1305" s="19" t="s">
        <v>1812</v>
      </c>
      <c r="C1305" s="19" t="s">
        <v>4417</v>
      </c>
      <c r="D1305" s="19" t="s">
        <v>4735</v>
      </c>
      <c r="E1305" s="20" t="s">
        <v>4736</v>
      </c>
      <c r="F1305" s="20" t="s">
        <v>4736</v>
      </c>
      <c r="G1305" s="19" t="s">
        <v>4736</v>
      </c>
      <c r="H1305" s="19" t="str">
        <f>VLOOKUP(G1305,'languoid 4.0'!$A$1:$I$24439,2,FALSE)</f>
        <v>indo1319</v>
      </c>
      <c r="I1305" s="19" t="str">
        <f>VLOOKUP(G1305,'languoid 4.0'!$A$1:$I$24439,6,FALSE)</f>
        <v>language</v>
      </c>
      <c r="J1305" s="20" t="s">
        <v>38</v>
      </c>
      <c r="K1305" s="20" t="s">
        <v>38</v>
      </c>
      <c r="L1305" s="20" t="s">
        <v>38</v>
      </c>
      <c r="M1305" s="19"/>
      <c r="N1305" s="19" t="s">
        <v>4737</v>
      </c>
      <c r="O1305" s="20" t="s">
        <v>40</v>
      </c>
      <c r="P1305" s="20" t="s">
        <v>41</v>
      </c>
      <c r="Q1305" s="19" t="s">
        <v>4743</v>
      </c>
      <c r="R1305" s="21" t="s">
        <v>4744</v>
      </c>
      <c r="S1305" s="19" t="s">
        <v>46</v>
      </c>
      <c r="T1305" s="19" t="s">
        <v>635</v>
      </c>
      <c r="U1305" s="19" t="s">
        <v>636</v>
      </c>
      <c r="V1305" s="19" t="s">
        <v>45</v>
      </c>
      <c r="W1305" s="19"/>
      <c r="X1305" s="19"/>
      <c r="Y1305" s="19"/>
      <c r="Z1305" s="19" t="s">
        <v>1893</v>
      </c>
      <c r="AA1305" s="19" t="s">
        <v>4745</v>
      </c>
      <c r="AB1305" s="19" t="s">
        <v>4746</v>
      </c>
      <c r="AC1305" s="19" t="s">
        <v>4746</v>
      </c>
      <c r="AD1305" s="19" t="s">
        <v>4747</v>
      </c>
      <c r="AE1305" s="19" t="s">
        <v>641</v>
      </c>
      <c r="AF1305" s="19" t="s">
        <v>190</v>
      </c>
      <c r="AG1305" s="19">
        <v>6</v>
      </c>
      <c r="AH1305" s="19" t="s">
        <v>190</v>
      </c>
      <c r="AI1305" s="19"/>
      <c r="AJ1305" s="22">
        <v>43349.618946759256</v>
      </c>
      <c r="AK1305" s="19" t="s">
        <v>4424</v>
      </c>
    </row>
    <row r="1306" spans="1:37" s="23" customFormat="1">
      <c r="A1306" s="19" t="str">
        <f>VLOOKUP(H1306,Languages!$A$2:$B$430,2,FALSE)</f>
        <v>Indo-European</v>
      </c>
      <c r="B1306" s="19" t="s">
        <v>1812</v>
      </c>
      <c r="C1306" s="19" t="s">
        <v>4417</v>
      </c>
      <c r="D1306" s="19" t="s">
        <v>4752</v>
      </c>
      <c r="E1306" s="20" t="s">
        <v>4736</v>
      </c>
      <c r="F1306" s="20" t="s">
        <v>4736</v>
      </c>
      <c r="G1306" s="19" t="s">
        <v>4736</v>
      </c>
      <c r="H1306" s="19" t="str">
        <f>VLOOKUP(G1306,'languoid 4.0'!$A$1:$I$24439,2,FALSE)</f>
        <v>indo1319</v>
      </c>
      <c r="I1306" s="19" t="str">
        <f>VLOOKUP(G1306,'languoid 4.0'!$A$1:$I$24439,6,FALSE)</f>
        <v>language</v>
      </c>
      <c r="J1306" s="20" t="s">
        <v>38</v>
      </c>
      <c r="K1306" s="20" t="s">
        <v>38</v>
      </c>
      <c r="L1306" s="20" t="s">
        <v>38</v>
      </c>
      <c r="M1306" s="19"/>
      <c r="N1306" s="19" t="s">
        <v>4737</v>
      </c>
      <c r="O1306" s="20" t="s">
        <v>40</v>
      </c>
      <c r="P1306" s="20" t="s">
        <v>41</v>
      </c>
      <c r="Q1306" s="19" t="s">
        <v>4753</v>
      </c>
      <c r="R1306" s="21" t="s">
        <v>4754</v>
      </c>
      <c r="S1306" s="19" t="s">
        <v>46</v>
      </c>
      <c r="T1306" s="19" t="s">
        <v>635</v>
      </c>
      <c r="U1306" s="19" t="s">
        <v>636</v>
      </c>
      <c r="V1306" s="19" t="s">
        <v>45</v>
      </c>
      <c r="W1306" s="19"/>
      <c r="X1306" s="19"/>
      <c r="Y1306" s="19"/>
      <c r="Z1306" s="19" t="s">
        <v>637</v>
      </c>
      <c r="AA1306" s="19" t="s">
        <v>4755</v>
      </c>
      <c r="AB1306" s="19" t="s">
        <v>4756</v>
      </c>
      <c r="AC1306" s="19" t="s">
        <v>46</v>
      </c>
      <c r="AD1306" s="19" t="s">
        <v>4757</v>
      </c>
      <c r="AE1306" s="19" t="s">
        <v>641</v>
      </c>
      <c r="AF1306" s="19" t="s">
        <v>190</v>
      </c>
      <c r="AG1306" s="19">
        <v>5</v>
      </c>
      <c r="AH1306" s="19" t="s">
        <v>190</v>
      </c>
      <c r="AI1306" s="19"/>
      <c r="AJ1306" s="22">
        <v>43349.635104166664</v>
      </c>
      <c r="AK1306" s="19" t="s">
        <v>4424</v>
      </c>
    </row>
    <row r="1307" spans="1:37" s="23" customFormat="1">
      <c r="A1307" s="19" t="str">
        <f>VLOOKUP(H1307,Languages!$A$2:$B$430,2,FALSE)</f>
        <v>Indo-European</v>
      </c>
      <c r="B1307" s="19" t="s">
        <v>1812</v>
      </c>
      <c r="C1307" s="19" t="s">
        <v>4417</v>
      </c>
      <c r="D1307" s="19" t="s">
        <v>4861</v>
      </c>
      <c r="E1307" s="20" t="s">
        <v>4736</v>
      </c>
      <c r="F1307" s="20" t="s">
        <v>4736</v>
      </c>
      <c r="G1307" s="19" t="s">
        <v>4736</v>
      </c>
      <c r="H1307" s="19" t="str">
        <f>VLOOKUP(G1307,'languoid 4.0'!$A$1:$I$24439,2,FALSE)</f>
        <v>indo1319</v>
      </c>
      <c r="I1307" s="19" t="str">
        <f>VLOOKUP(G1307,'languoid 4.0'!$A$1:$I$24439,6,FALSE)</f>
        <v>language</v>
      </c>
      <c r="J1307" s="20" t="s">
        <v>38</v>
      </c>
      <c r="K1307" s="20" t="s">
        <v>38</v>
      </c>
      <c r="L1307" s="20" t="s">
        <v>38</v>
      </c>
      <c r="M1307" s="19"/>
      <c r="N1307" s="19" t="s">
        <v>4737</v>
      </c>
      <c r="O1307" s="20" t="s">
        <v>40</v>
      </c>
      <c r="P1307" s="20" t="s">
        <v>41</v>
      </c>
      <c r="Q1307" s="19" t="s">
        <v>4862</v>
      </c>
      <c r="R1307" s="21" t="s">
        <v>4863</v>
      </c>
      <c r="S1307" s="19" t="s">
        <v>4864</v>
      </c>
      <c r="T1307" s="19" t="s">
        <v>657</v>
      </c>
      <c r="U1307" s="19" t="s">
        <v>636</v>
      </c>
      <c r="V1307" s="19" t="s">
        <v>45</v>
      </c>
      <c r="W1307" s="19"/>
      <c r="X1307" s="19"/>
      <c r="Y1307" s="19"/>
      <c r="Z1307" s="19" t="s">
        <v>637</v>
      </c>
      <c r="AA1307" s="19" t="s">
        <v>46</v>
      </c>
      <c r="AB1307" s="19" t="s">
        <v>4865</v>
      </c>
      <c r="AC1307" s="19" t="s">
        <v>4866</v>
      </c>
      <c r="AD1307" s="19"/>
      <c r="AE1307" s="19" t="s">
        <v>641</v>
      </c>
      <c r="AF1307" s="19" t="s">
        <v>190</v>
      </c>
      <c r="AG1307" s="19">
        <v>6</v>
      </c>
      <c r="AH1307" s="19" t="s">
        <v>190</v>
      </c>
      <c r="AI1307" s="19"/>
      <c r="AJ1307" s="22">
        <v>43440.547546296293</v>
      </c>
      <c r="AK1307" s="19" t="s">
        <v>4424</v>
      </c>
    </row>
    <row r="1308" spans="1:37" s="23" customFormat="1">
      <c r="A1308" s="19" t="str">
        <f>VLOOKUP(H1308,Languages!$A$2:$B$430,2,FALSE)</f>
        <v>Indo-European</v>
      </c>
      <c r="B1308" s="19" t="s">
        <v>1812</v>
      </c>
      <c r="C1308" s="19" t="s">
        <v>4417</v>
      </c>
      <c r="D1308" s="19" t="s">
        <v>4861</v>
      </c>
      <c r="E1308" s="20" t="s">
        <v>4736</v>
      </c>
      <c r="F1308" s="20" t="s">
        <v>4736</v>
      </c>
      <c r="G1308" s="19" t="s">
        <v>4736</v>
      </c>
      <c r="H1308" s="19" t="str">
        <f>VLOOKUP(G1308,'languoid 4.0'!$A$1:$I$24439,2,FALSE)</f>
        <v>indo1319</v>
      </c>
      <c r="I1308" s="19" t="str">
        <f>VLOOKUP(G1308,'languoid 4.0'!$A$1:$I$24439,6,FALSE)</f>
        <v>language</v>
      </c>
      <c r="J1308" s="20" t="s">
        <v>38</v>
      </c>
      <c r="K1308" s="20" t="s">
        <v>38</v>
      </c>
      <c r="L1308" s="20" t="s">
        <v>38</v>
      </c>
      <c r="M1308" s="19"/>
      <c r="N1308" s="19" t="s">
        <v>4737</v>
      </c>
      <c r="O1308" s="20" t="s">
        <v>40</v>
      </c>
      <c r="P1308" s="20" t="s">
        <v>41</v>
      </c>
      <c r="Q1308" s="19" t="s">
        <v>4879</v>
      </c>
      <c r="R1308" s="21" t="s">
        <v>4863</v>
      </c>
      <c r="S1308" s="19" t="s">
        <v>4880</v>
      </c>
      <c r="T1308" s="19" t="s">
        <v>657</v>
      </c>
      <c r="U1308" s="19" t="s">
        <v>636</v>
      </c>
      <c r="V1308" s="19" t="s">
        <v>45</v>
      </c>
      <c r="W1308" s="19"/>
      <c r="X1308" s="19"/>
      <c r="Y1308" s="19"/>
      <c r="Z1308" s="19" t="s">
        <v>1151</v>
      </c>
      <c r="AA1308" s="19" t="s">
        <v>46</v>
      </c>
      <c r="AB1308" s="19" t="s">
        <v>4881</v>
      </c>
      <c r="AC1308" s="19" t="s">
        <v>4882</v>
      </c>
      <c r="AD1308" s="19" t="s">
        <v>4883</v>
      </c>
      <c r="AE1308" s="19" t="s">
        <v>641</v>
      </c>
      <c r="AF1308" s="19" t="s">
        <v>190</v>
      </c>
      <c r="AG1308" s="19">
        <v>6</v>
      </c>
      <c r="AH1308" s="19" t="s">
        <v>190</v>
      </c>
      <c r="AI1308" s="19" t="s">
        <v>4884</v>
      </c>
      <c r="AJ1308" s="22">
        <v>43440.558587962965</v>
      </c>
      <c r="AK1308" s="19" t="s">
        <v>4424</v>
      </c>
    </row>
    <row r="1309" spans="1:37" s="23" customFormat="1">
      <c r="A1309" s="19" t="str">
        <f>VLOOKUP(H1309,Languages!$A$2:$B$430,2,FALSE)</f>
        <v>Indo-European</v>
      </c>
      <c r="B1309" s="19" t="s">
        <v>1812</v>
      </c>
      <c r="C1309" s="19" t="s">
        <v>4417</v>
      </c>
      <c r="D1309" s="19" t="s">
        <v>4861</v>
      </c>
      <c r="E1309" s="20" t="s">
        <v>4736</v>
      </c>
      <c r="F1309" s="20" t="s">
        <v>4736</v>
      </c>
      <c r="G1309" s="19" t="s">
        <v>4736</v>
      </c>
      <c r="H1309" s="19" t="str">
        <f>VLOOKUP(G1309,'languoid 4.0'!$A$1:$I$24439,2,FALSE)</f>
        <v>indo1319</v>
      </c>
      <c r="I1309" s="19" t="str">
        <f>VLOOKUP(G1309,'languoid 4.0'!$A$1:$I$24439,6,FALSE)</f>
        <v>language</v>
      </c>
      <c r="J1309" s="20" t="s">
        <v>38</v>
      </c>
      <c r="K1309" s="20" t="s">
        <v>38</v>
      </c>
      <c r="L1309" s="20" t="s">
        <v>38</v>
      </c>
      <c r="M1309" s="19"/>
      <c r="N1309" s="19" t="s">
        <v>4737</v>
      </c>
      <c r="O1309" s="20" t="s">
        <v>40</v>
      </c>
      <c r="P1309" s="20" t="s">
        <v>41</v>
      </c>
      <c r="Q1309" s="19" t="s">
        <v>4885</v>
      </c>
      <c r="R1309" s="21" t="s">
        <v>4863</v>
      </c>
      <c r="S1309" s="19" t="s">
        <v>4886</v>
      </c>
      <c r="T1309" s="19" t="s">
        <v>657</v>
      </c>
      <c r="U1309" s="19" t="s">
        <v>636</v>
      </c>
      <c r="V1309" s="19" t="s">
        <v>45</v>
      </c>
      <c r="W1309" s="19"/>
      <c r="X1309" s="19"/>
      <c r="Y1309" s="19"/>
      <c r="Z1309" s="19" t="s">
        <v>1151</v>
      </c>
      <c r="AA1309" s="19" t="s">
        <v>46</v>
      </c>
      <c r="AB1309" s="19" t="s">
        <v>4887</v>
      </c>
      <c r="AC1309" s="19" t="s">
        <v>4888</v>
      </c>
      <c r="AD1309" s="19" t="s">
        <v>4889</v>
      </c>
      <c r="AE1309" s="19" t="s">
        <v>641</v>
      </c>
      <c r="AF1309" s="19" t="s">
        <v>190</v>
      </c>
      <c r="AG1309" s="19">
        <v>6</v>
      </c>
      <c r="AH1309" s="19" t="s">
        <v>190</v>
      </c>
      <c r="AI1309" s="19" t="s">
        <v>4890</v>
      </c>
      <c r="AJ1309" s="22">
        <v>43440.57240740741</v>
      </c>
      <c r="AK1309" s="19" t="s">
        <v>4424</v>
      </c>
    </row>
    <row r="1310" spans="1:37" s="23" customFormat="1">
      <c r="A1310" s="19" t="str">
        <f>VLOOKUP(H1310,Languages!$A$2:$B$430,2,FALSE)</f>
        <v>Indo-European</v>
      </c>
      <c r="B1310" s="19" t="s">
        <v>1812</v>
      </c>
      <c r="C1310" s="19" t="s">
        <v>4417</v>
      </c>
      <c r="D1310" s="19" t="s">
        <v>4861</v>
      </c>
      <c r="E1310" s="20" t="s">
        <v>4736</v>
      </c>
      <c r="F1310" s="20" t="s">
        <v>4736</v>
      </c>
      <c r="G1310" s="19" t="s">
        <v>4736</v>
      </c>
      <c r="H1310" s="19" t="str">
        <f>VLOOKUP(G1310,'languoid 4.0'!$A$1:$I$24439,2,FALSE)</f>
        <v>indo1319</v>
      </c>
      <c r="I1310" s="19" t="str">
        <f>VLOOKUP(G1310,'languoid 4.0'!$A$1:$I$24439,6,FALSE)</f>
        <v>language</v>
      </c>
      <c r="J1310" s="20" t="s">
        <v>38</v>
      </c>
      <c r="K1310" s="20" t="s">
        <v>38</v>
      </c>
      <c r="L1310" s="20" t="s">
        <v>38</v>
      </c>
      <c r="M1310" s="19"/>
      <c r="N1310" s="19" t="s">
        <v>4737</v>
      </c>
      <c r="O1310" s="20" t="s">
        <v>40</v>
      </c>
      <c r="P1310" s="20" t="s">
        <v>41</v>
      </c>
      <c r="Q1310" s="19" t="s">
        <v>5479</v>
      </c>
      <c r="R1310" s="21" t="s">
        <v>5480</v>
      </c>
      <c r="S1310" s="19">
        <v>102</v>
      </c>
      <c r="T1310" s="19" t="s">
        <v>657</v>
      </c>
      <c r="U1310" s="19" t="s">
        <v>636</v>
      </c>
      <c r="V1310" s="19" t="s">
        <v>45</v>
      </c>
      <c r="W1310" s="19"/>
      <c r="X1310" s="19"/>
      <c r="Y1310" s="19"/>
      <c r="Z1310" s="19" t="s">
        <v>673</v>
      </c>
      <c r="AA1310" s="19" t="s">
        <v>46</v>
      </c>
      <c r="AB1310" s="19" t="s">
        <v>5481</v>
      </c>
      <c r="AC1310" s="19" t="s">
        <v>46</v>
      </c>
      <c r="AD1310" s="19" t="s">
        <v>5482</v>
      </c>
      <c r="AE1310" s="19" t="s">
        <v>641</v>
      </c>
      <c r="AF1310" s="19" t="s">
        <v>190</v>
      </c>
      <c r="AG1310" s="19">
        <v>6</v>
      </c>
      <c r="AH1310" s="19" t="s">
        <v>190</v>
      </c>
      <c r="AI1310" s="19"/>
      <c r="AJ1310" s="19" t="s">
        <v>5483</v>
      </c>
      <c r="AK1310" s="19" t="s">
        <v>4424</v>
      </c>
    </row>
    <row r="1311" spans="1:37" s="23" customFormat="1">
      <c r="A1311" s="19" t="str">
        <f>VLOOKUP(H1311,Languages!$A$2:$B$430,2,FALSE)</f>
        <v>Indo-European</v>
      </c>
      <c r="B1311" s="19" t="s">
        <v>1812</v>
      </c>
      <c r="C1311" s="19" t="s">
        <v>4417</v>
      </c>
      <c r="D1311" s="19" t="s">
        <v>4861</v>
      </c>
      <c r="E1311" s="20" t="s">
        <v>4736</v>
      </c>
      <c r="F1311" s="20" t="s">
        <v>4736</v>
      </c>
      <c r="G1311" s="19" t="s">
        <v>4736</v>
      </c>
      <c r="H1311" s="19" t="str">
        <f>VLOOKUP(G1311,'languoid 4.0'!$A$1:$I$24439,2,FALSE)</f>
        <v>indo1319</v>
      </c>
      <c r="I1311" s="19" t="str">
        <f>VLOOKUP(G1311,'languoid 4.0'!$A$1:$I$24439,6,FALSE)</f>
        <v>language</v>
      </c>
      <c r="J1311" s="20" t="s">
        <v>38</v>
      </c>
      <c r="K1311" s="20" t="s">
        <v>38</v>
      </c>
      <c r="L1311" s="20" t="s">
        <v>38</v>
      </c>
      <c r="M1311" s="19"/>
      <c r="N1311" s="19" t="s">
        <v>4737</v>
      </c>
      <c r="O1311" s="20" t="s">
        <v>40</v>
      </c>
      <c r="P1311" s="20" t="s">
        <v>41</v>
      </c>
      <c r="Q1311" s="19" t="s">
        <v>5484</v>
      </c>
      <c r="R1311" s="21" t="s">
        <v>5480</v>
      </c>
      <c r="S1311" s="19">
        <v>103</v>
      </c>
      <c r="T1311" s="19" t="s">
        <v>657</v>
      </c>
      <c r="U1311" s="19" t="s">
        <v>636</v>
      </c>
      <c r="V1311" s="19" t="s">
        <v>45</v>
      </c>
      <c r="W1311" s="19"/>
      <c r="X1311" s="19"/>
      <c r="Y1311" s="19"/>
      <c r="Z1311" s="19" t="s">
        <v>673</v>
      </c>
      <c r="AA1311" s="19" t="s">
        <v>46</v>
      </c>
      <c r="AB1311" s="19" t="s">
        <v>5485</v>
      </c>
      <c r="AC1311" s="19" t="s">
        <v>46</v>
      </c>
      <c r="AD1311" s="19" t="s">
        <v>5482</v>
      </c>
      <c r="AE1311" s="19" t="s">
        <v>641</v>
      </c>
      <c r="AF1311" s="19" t="s">
        <v>190</v>
      </c>
      <c r="AG1311" s="19">
        <v>5</v>
      </c>
      <c r="AH1311" s="19" t="s">
        <v>190</v>
      </c>
      <c r="AI1311" s="19"/>
      <c r="AJ1311" s="19" t="s">
        <v>5486</v>
      </c>
      <c r="AK1311" s="19" t="s">
        <v>4424</v>
      </c>
    </row>
    <row r="1312" spans="1:37" s="23" customFormat="1">
      <c r="A1312" s="19" t="str">
        <f>VLOOKUP(H1312,Languages!$A$2:$B$430,2,FALSE)</f>
        <v>Indo-European</v>
      </c>
      <c r="B1312" s="19" t="s">
        <v>1812</v>
      </c>
      <c r="C1312" s="19" t="s">
        <v>4417</v>
      </c>
      <c r="D1312" s="19" t="s">
        <v>4861</v>
      </c>
      <c r="E1312" s="20" t="s">
        <v>4736</v>
      </c>
      <c r="F1312" s="20" t="s">
        <v>4736</v>
      </c>
      <c r="G1312" s="19" t="s">
        <v>4736</v>
      </c>
      <c r="H1312" s="19" t="str">
        <f>VLOOKUP(G1312,'languoid 4.0'!$A$1:$I$24439,2,FALSE)</f>
        <v>indo1319</v>
      </c>
      <c r="I1312" s="19" t="str">
        <f>VLOOKUP(G1312,'languoid 4.0'!$A$1:$I$24439,6,FALSE)</f>
        <v>language</v>
      </c>
      <c r="J1312" s="20" t="s">
        <v>38</v>
      </c>
      <c r="K1312" s="20" t="s">
        <v>38</v>
      </c>
      <c r="L1312" s="20" t="s">
        <v>38</v>
      </c>
      <c r="M1312" s="19"/>
      <c r="N1312" s="19" t="s">
        <v>4737</v>
      </c>
      <c r="O1312" s="20" t="s">
        <v>40</v>
      </c>
      <c r="P1312" s="20" t="s">
        <v>41</v>
      </c>
      <c r="Q1312" s="19" t="s">
        <v>5487</v>
      </c>
      <c r="R1312" s="21" t="s">
        <v>5480</v>
      </c>
      <c r="S1312" s="19">
        <v>106</v>
      </c>
      <c r="T1312" s="19" t="s">
        <v>657</v>
      </c>
      <c r="U1312" s="19" t="s">
        <v>636</v>
      </c>
      <c r="V1312" s="19" t="s">
        <v>45</v>
      </c>
      <c r="W1312" s="19"/>
      <c r="X1312" s="19"/>
      <c r="Y1312" s="19"/>
      <c r="Z1312" s="19" t="s">
        <v>673</v>
      </c>
      <c r="AA1312" s="19" t="s">
        <v>46</v>
      </c>
      <c r="AB1312" s="19" t="s">
        <v>5488</v>
      </c>
      <c r="AC1312" s="19" t="s">
        <v>46</v>
      </c>
      <c r="AD1312" s="19" t="s">
        <v>5482</v>
      </c>
      <c r="AE1312" s="19" t="s">
        <v>641</v>
      </c>
      <c r="AF1312" s="19" t="s">
        <v>190</v>
      </c>
      <c r="AG1312" s="19">
        <v>6</v>
      </c>
      <c r="AH1312" s="19" t="s">
        <v>190</v>
      </c>
      <c r="AI1312" s="19"/>
      <c r="AJ1312" s="19" t="s">
        <v>5489</v>
      </c>
      <c r="AK1312" s="19" t="s">
        <v>4424</v>
      </c>
    </row>
    <row r="1313" spans="1:37" s="23" customFormat="1">
      <c r="A1313" s="19" t="str">
        <f>VLOOKUP(H1313,Languages!$A$2:$B$430,2,FALSE)</f>
        <v>Indo-European</v>
      </c>
      <c r="B1313" s="19" t="s">
        <v>1707</v>
      </c>
      <c r="C1313" s="19" t="s">
        <v>477</v>
      </c>
      <c r="D1313" s="19" t="s">
        <v>478</v>
      </c>
      <c r="E1313" s="20" t="s">
        <v>479</v>
      </c>
      <c r="F1313" s="20" t="s">
        <v>479</v>
      </c>
      <c r="G1313" s="19" t="s">
        <v>479</v>
      </c>
      <c r="H1313" s="19" t="str">
        <f>VLOOKUP(G1313,'languoid 4.0'!$A$1:$I$24439,2,FALSE)</f>
        <v>indo1319</v>
      </c>
      <c r="I1313" s="19" t="str">
        <f>VLOOKUP(G1313,'languoid 4.0'!$A$1:$I$24439,6,FALSE)</f>
        <v>language</v>
      </c>
      <c r="J1313" s="20" t="s">
        <v>38</v>
      </c>
      <c r="K1313" s="20" t="s">
        <v>38</v>
      </c>
      <c r="L1313" s="20" t="s">
        <v>38</v>
      </c>
      <c r="M1313" s="19"/>
      <c r="N1313" s="19" t="s">
        <v>480</v>
      </c>
      <c r="O1313" s="20" t="s">
        <v>40</v>
      </c>
      <c r="P1313" s="20" t="s">
        <v>41</v>
      </c>
      <c r="Q1313" s="19" t="s">
        <v>8318</v>
      </c>
      <c r="R1313" s="21" t="s">
        <v>8319</v>
      </c>
      <c r="S1313" s="19" t="s">
        <v>672</v>
      </c>
      <c r="T1313" s="19" t="s">
        <v>657</v>
      </c>
      <c r="U1313" s="19" t="s">
        <v>1750</v>
      </c>
      <c r="V1313" s="19" t="s">
        <v>45</v>
      </c>
      <c r="W1313" s="19"/>
      <c r="X1313" s="19"/>
      <c r="Y1313" s="19"/>
      <c r="Z1313" s="19" t="s">
        <v>673</v>
      </c>
      <c r="AA1313" s="19" t="s">
        <v>46</v>
      </c>
      <c r="AB1313" s="19" t="s">
        <v>8320</v>
      </c>
      <c r="AC1313" s="19" t="s">
        <v>46</v>
      </c>
      <c r="AD1313" s="19"/>
      <c r="AE1313" s="19" t="s">
        <v>641</v>
      </c>
      <c r="AF1313" s="19" t="s">
        <v>190</v>
      </c>
      <c r="AG1313" s="19">
        <v>6</v>
      </c>
      <c r="AH1313" s="19" t="s">
        <v>190</v>
      </c>
      <c r="AI1313" s="19"/>
      <c r="AJ1313" s="19" t="s">
        <v>8321</v>
      </c>
      <c r="AK1313" s="19" t="s">
        <v>5678</v>
      </c>
    </row>
    <row r="1314" spans="1:37" s="23" customFormat="1">
      <c r="A1314" s="19" t="str">
        <f>VLOOKUP(H1314,Languages!$A$2:$B$430,2,FALSE)</f>
        <v>Indo-European</v>
      </c>
      <c r="B1314" s="19" t="s">
        <v>1707</v>
      </c>
      <c r="C1314" s="19" t="s">
        <v>94</v>
      </c>
      <c r="D1314" s="19" t="s">
        <v>4841</v>
      </c>
      <c r="E1314" s="20" t="s">
        <v>180</v>
      </c>
      <c r="F1314" s="20" t="s">
        <v>180</v>
      </c>
      <c r="G1314" s="19" t="s">
        <v>180</v>
      </c>
      <c r="H1314" s="19" t="str">
        <f>VLOOKUP(G1314,'languoid 4.0'!$A$1:$I$24439,2,FALSE)</f>
        <v>indo1319</v>
      </c>
      <c r="I1314" s="19" t="str">
        <f>VLOOKUP(G1314,'languoid 4.0'!$A$1:$I$24439,6,FALSE)</f>
        <v>language</v>
      </c>
      <c r="J1314" s="20" t="s">
        <v>38</v>
      </c>
      <c r="K1314" s="20" t="s">
        <v>38</v>
      </c>
      <c r="L1314" s="20" t="s">
        <v>38</v>
      </c>
      <c r="M1314" s="19"/>
      <c r="N1314" s="19" t="s">
        <v>4842</v>
      </c>
      <c r="O1314" s="20" t="s">
        <v>40</v>
      </c>
      <c r="P1314" s="20" t="s">
        <v>41</v>
      </c>
      <c r="Q1314" s="19" t="s">
        <v>4843</v>
      </c>
      <c r="R1314" s="21" t="s">
        <v>4844</v>
      </c>
      <c r="S1314" s="19" t="s">
        <v>46</v>
      </c>
      <c r="T1314" s="19" t="s">
        <v>635</v>
      </c>
      <c r="U1314" s="19" t="s">
        <v>636</v>
      </c>
      <c r="V1314" s="19" t="s">
        <v>45</v>
      </c>
      <c r="W1314" s="19"/>
      <c r="X1314" s="19"/>
      <c r="Y1314" s="19"/>
      <c r="Z1314" s="19" t="s">
        <v>673</v>
      </c>
      <c r="AA1314" s="19" t="s">
        <v>4845</v>
      </c>
      <c r="AB1314" s="19" t="s">
        <v>4846</v>
      </c>
      <c r="AC1314" s="19" t="s">
        <v>46</v>
      </c>
      <c r="AD1314" s="19" t="s">
        <v>4847</v>
      </c>
      <c r="AE1314" s="19" t="s">
        <v>641</v>
      </c>
      <c r="AF1314" s="19" t="s">
        <v>190</v>
      </c>
      <c r="AG1314" s="19">
        <v>6</v>
      </c>
      <c r="AH1314" s="19" t="s">
        <v>190</v>
      </c>
      <c r="AI1314" s="19"/>
      <c r="AJ1314" s="22">
        <v>43410.903935185182</v>
      </c>
      <c r="AK1314" s="19" t="s">
        <v>4840</v>
      </c>
    </row>
    <row r="1315" spans="1:37" s="23" customFormat="1">
      <c r="A1315" s="19" t="str">
        <f>VLOOKUP(H1315,Languages!$A$2:$B$430,2,FALSE)</f>
        <v>Indo-European</v>
      </c>
      <c r="B1315" s="19" t="s">
        <v>1707</v>
      </c>
      <c r="C1315" s="19" t="s">
        <v>94</v>
      </c>
      <c r="D1315" s="19" t="s">
        <v>5033</v>
      </c>
      <c r="E1315" s="20" t="s">
        <v>5027</v>
      </c>
      <c r="F1315" s="20" t="s">
        <v>4833</v>
      </c>
      <c r="G1315" s="19" t="s">
        <v>5027</v>
      </c>
      <c r="H1315" s="19" t="str">
        <f>VLOOKUP(G1315,'languoid 4.0'!$A$1:$I$24439,2,FALSE)</f>
        <v>indo1319</v>
      </c>
      <c r="I1315" s="19" t="str">
        <f>VLOOKUP(G1315,'languoid 4.0'!$A$1:$I$24439,6,FALSE)</f>
        <v>dialect</v>
      </c>
      <c r="J1315" s="20" t="s">
        <v>52</v>
      </c>
      <c r="K1315" s="20" t="s">
        <v>52</v>
      </c>
      <c r="L1315" s="20" t="s">
        <v>38</v>
      </c>
      <c r="M1315" s="19"/>
      <c r="N1315" s="19"/>
      <c r="O1315" s="20" t="s">
        <v>40</v>
      </c>
      <c r="P1315" s="20" t="s">
        <v>41</v>
      </c>
      <c r="Q1315" s="19" t="s">
        <v>5034</v>
      </c>
      <c r="R1315" s="21" t="s">
        <v>5035</v>
      </c>
      <c r="S1315" s="19" t="s">
        <v>46</v>
      </c>
      <c r="T1315" s="19" t="s">
        <v>635</v>
      </c>
      <c r="U1315" s="19" t="s">
        <v>636</v>
      </c>
      <c r="V1315" s="19" t="s">
        <v>45</v>
      </c>
      <c r="W1315" s="19"/>
      <c r="X1315" s="19"/>
      <c r="Y1315" s="19"/>
      <c r="Z1315" s="19" t="s">
        <v>673</v>
      </c>
      <c r="AA1315" s="19" t="s">
        <v>5036</v>
      </c>
      <c r="AB1315" s="19" t="s">
        <v>5037</v>
      </c>
      <c r="AC1315" s="19" t="s">
        <v>46</v>
      </c>
      <c r="AD1315" s="19"/>
      <c r="AE1315" s="19" t="s">
        <v>641</v>
      </c>
      <c r="AF1315" s="19" t="s">
        <v>190</v>
      </c>
      <c r="AG1315" s="19">
        <v>6</v>
      </c>
      <c r="AH1315" s="19" t="s">
        <v>190</v>
      </c>
      <c r="AI1315" s="19"/>
      <c r="AJ1315" s="19" t="s">
        <v>5038</v>
      </c>
      <c r="AK1315" s="19" t="s">
        <v>4840</v>
      </c>
    </row>
    <row r="1316" spans="1:37" s="23" customFormat="1">
      <c r="A1316" s="19" t="str">
        <f>VLOOKUP(H1316,Languages!$A$2:$B$430,2,FALSE)</f>
        <v>Indo-European</v>
      </c>
      <c r="B1316" s="19" t="s">
        <v>1707</v>
      </c>
      <c r="C1316" s="19" t="s">
        <v>94</v>
      </c>
      <c r="D1316" s="19" t="s">
        <v>5923</v>
      </c>
      <c r="E1316" s="20" t="s">
        <v>96</v>
      </c>
      <c r="F1316" s="20" t="s">
        <v>96</v>
      </c>
      <c r="G1316" s="19" t="s">
        <v>96</v>
      </c>
      <c r="H1316" s="19" t="str">
        <f>VLOOKUP(G1316,'languoid 4.0'!$A$1:$I$24439,2,FALSE)</f>
        <v>indo1319</v>
      </c>
      <c r="I1316" s="19" t="str">
        <f>VLOOKUP(G1316,'languoid 4.0'!$A$1:$I$24439,6,FALSE)</f>
        <v>language</v>
      </c>
      <c r="J1316" s="20" t="s">
        <v>38</v>
      </c>
      <c r="K1316" s="20" t="s">
        <v>38</v>
      </c>
      <c r="L1316" s="20" t="s">
        <v>38</v>
      </c>
      <c r="M1316" s="19"/>
      <c r="N1316" s="19" t="s">
        <v>97</v>
      </c>
      <c r="O1316" s="20" t="s">
        <v>40</v>
      </c>
      <c r="P1316" s="20" t="s">
        <v>41</v>
      </c>
      <c r="Q1316" s="19" t="s">
        <v>5924</v>
      </c>
      <c r="R1316" s="21" t="s">
        <v>5925</v>
      </c>
      <c r="S1316" s="19" t="s">
        <v>46</v>
      </c>
      <c r="T1316" s="19" t="s">
        <v>635</v>
      </c>
      <c r="U1316" s="19" t="s">
        <v>636</v>
      </c>
      <c r="V1316" s="19" t="s">
        <v>45</v>
      </c>
      <c r="W1316" s="19"/>
      <c r="X1316" s="19"/>
      <c r="Y1316" s="19"/>
      <c r="Z1316" s="19" t="s">
        <v>673</v>
      </c>
      <c r="AA1316" s="19" t="s">
        <v>5926</v>
      </c>
      <c r="AB1316" s="19" t="s">
        <v>5927</v>
      </c>
      <c r="AC1316" s="19" t="s">
        <v>46</v>
      </c>
      <c r="AD1316" s="19"/>
      <c r="AE1316" s="19" t="s">
        <v>641</v>
      </c>
      <c r="AF1316" s="19" t="s">
        <v>190</v>
      </c>
      <c r="AG1316" s="19">
        <v>6</v>
      </c>
      <c r="AH1316" s="19" t="s">
        <v>190</v>
      </c>
      <c r="AI1316" s="19"/>
      <c r="AJ1316" s="19" t="s">
        <v>5928</v>
      </c>
      <c r="AK1316" s="19" t="s">
        <v>4840</v>
      </c>
    </row>
    <row r="1317" spans="1:37" s="23" customFormat="1">
      <c r="A1317" s="19" t="str">
        <f>VLOOKUP(H1317,Languages!$A$2:$B$430,2,FALSE)</f>
        <v>Indo-European</v>
      </c>
      <c r="B1317" s="19" t="s">
        <v>1707</v>
      </c>
      <c r="C1317" s="19" t="s">
        <v>94</v>
      </c>
      <c r="D1317" s="19" t="s">
        <v>5957</v>
      </c>
      <c r="E1317" s="20" t="s">
        <v>180</v>
      </c>
      <c r="F1317" s="20" t="s">
        <v>180</v>
      </c>
      <c r="G1317" s="19" t="s">
        <v>180</v>
      </c>
      <c r="H1317" s="19" t="str">
        <f>VLOOKUP(G1317,'languoid 4.0'!$A$1:$I$24439,2,FALSE)</f>
        <v>indo1319</v>
      </c>
      <c r="I1317" s="19" t="str">
        <f>VLOOKUP(G1317,'languoid 4.0'!$A$1:$I$24439,6,FALSE)</f>
        <v>language</v>
      </c>
      <c r="J1317" s="20" t="s">
        <v>38</v>
      </c>
      <c r="K1317" s="20" t="s">
        <v>38</v>
      </c>
      <c r="L1317" s="20" t="s">
        <v>38</v>
      </c>
      <c r="M1317" s="19"/>
      <c r="N1317" s="19" t="s">
        <v>4842</v>
      </c>
      <c r="O1317" s="20" t="s">
        <v>40</v>
      </c>
      <c r="P1317" s="20" t="s">
        <v>41</v>
      </c>
      <c r="Q1317" s="19" t="s">
        <v>5958</v>
      </c>
      <c r="R1317" s="21" t="s">
        <v>5959</v>
      </c>
      <c r="S1317" s="19" t="s">
        <v>46</v>
      </c>
      <c r="T1317" s="19" t="s">
        <v>635</v>
      </c>
      <c r="U1317" s="19" t="s">
        <v>636</v>
      </c>
      <c r="V1317" s="19" t="s">
        <v>45</v>
      </c>
      <c r="W1317" s="19"/>
      <c r="X1317" s="19"/>
      <c r="Y1317" s="19"/>
      <c r="Z1317" s="19" t="s">
        <v>673</v>
      </c>
      <c r="AA1317" s="19" t="s">
        <v>5960</v>
      </c>
      <c r="AB1317" s="19" t="s">
        <v>5961</v>
      </c>
      <c r="AC1317" s="19" t="s">
        <v>46</v>
      </c>
      <c r="AD1317" s="19"/>
      <c r="AE1317" s="19" t="s">
        <v>641</v>
      </c>
      <c r="AF1317" s="19" t="s">
        <v>190</v>
      </c>
      <c r="AG1317" s="19">
        <v>6</v>
      </c>
      <c r="AH1317" s="19" t="s">
        <v>190</v>
      </c>
      <c r="AI1317" s="19"/>
      <c r="AJ1317" s="19" t="s">
        <v>5962</v>
      </c>
      <c r="AK1317" s="19" t="s">
        <v>4840</v>
      </c>
    </row>
    <row r="1318" spans="1:37" s="23" customFormat="1">
      <c r="A1318" s="19" t="str">
        <f>VLOOKUP(H1318,Languages!$A$2:$B$430,2,FALSE)</f>
        <v>Indo-European</v>
      </c>
      <c r="B1318" s="19" t="s">
        <v>1707</v>
      </c>
      <c r="C1318" s="19" t="s">
        <v>94</v>
      </c>
      <c r="D1318" s="19" t="s">
        <v>5951</v>
      </c>
      <c r="E1318" s="20" t="s">
        <v>180</v>
      </c>
      <c r="F1318" s="20" t="s">
        <v>180</v>
      </c>
      <c r="G1318" s="19" t="s">
        <v>180</v>
      </c>
      <c r="H1318" s="19" t="str">
        <f>VLOOKUP(G1318,'languoid 4.0'!$A$1:$I$24439,2,FALSE)</f>
        <v>indo1319</v>
      </c>
      <c r="I1318" s="19" t="str">
        <f>VLOOKUP(G1318,'languoid 4.0'!$A$1:$I$24439,6,FALSE)</f>
        <v>language</v>
      </c>
      <c r="J1318" s="20" t="s">
        <v>38</v>
      </c>
      <c r="K1318" s="20" t="s">
        <v>38</v>
      </c>
      <c r="L1318" s="20" t="s">
        <v>38</v>
      </c>
      <c r="M1318" s="19"/>
      <c r="N1318" s="19" t="s">
        <v>4842</v>
      </c>
      <c r="O1318" s="20" t="s">
        <v>40</v>
      </c>
      <c r="P1318" s="20" t="s">
        <v>41</v>
      </c>
      <c r="Q1318" s="19" t="s">
        <v>9377</v>
      </c>
      <c r="R1318" s="21" t="s">
        <v>9378</v>
      </c>
      <c r="S1318" s="19" t="s">
        <v>46</v>
      </c>
      <c r="T1318" s="19" t="s">
        <v>635</v>
      </c>
      <c r="U1318" s="19" t="s">
        <v>636</v>
      </c>
      <c r="V1318" s="19" t="s">
        <v>45</v>
      </c>
      <c r="W1318" s="19"/>
      <c r="X1318" s="19"/>
      <c r="Y1318" s="19"/>
      <c r="Z1318" s="19" t="s">
        <v>658</v>
      </c>
      <c r="AA1318" s="19" t="s">
        <v>9379</v>
      </c>
      <c r="AB1318" s="19" t="s">
        <v>46</v>
      </c>
      <c r="AC1318" s="19" t="s">
        <v>46</v>
      </c>
      <c r="AD1318" s="19"/>
      <c r="AE1318" s="19" t="s">
        <v>641</v>
      </c>
      <c r="AF1318" s="19" t="s">
        <v>190</v>
      </c>
      <c r="AG1318" s="19">
        <v>6</v>
      </c>
      <c r="AH1318" s="19" t="s">
        <v>190</v>
      </c>
      <c r="AI1318" s="19"/>
      <c r="AJ1318" s="22">
        <v>43110.402731481481</v>
      </c>
      <c r="AK1318" s="19" t="s">
        <v>8881</v>
      </c>
    </row>
    <row r="1319" spans="1:37" s="23" customFormat="1">
      <c r="A1319" s="19" t="str">
        <f>VLOOKUP(H1319,Languages!$A$2:$B$430,2,FALSE)</f>
        <v>Indo-European</v>
      </c>
      <c r="B1319" s="19" t="s">
        <v>1707</v>
      </c>
      <c r="C1319" s="19" t="s">
        <v>1012</v>
      </c>
      <c r="D1319" s="19" t="s">
        <v>2769</v>
      </c>
      <c r="E1319" s="20" t="s">
        <v>2756</v>
      </c>
      <c r="F1319" s="20" t="s">
        <v>2757</v>
      </c>
      <c r="G1319" s="19" t="s">
        <v>2757</v>
      </c>
      <c r="H1319" s="19" t="str">
        <f>VLOOKUP(G1319,'languoid 4.0'!$A$1:$I$24439,2,FALSE)</f>
        <v>indo1319</v>
      </c>
      <c r="I1319" s="19" t="str">
        <f>VLOOKUP(G1319,'languoid 4.0'!$A$1:$I$24439,6,FALSE)</f>
        <v>family</v>
      </c>
      <c r="J1319" s="20" t="s">
        <v>52</v>
      </c>
      <c r="K1319" s="20" t="s">
        <v>38</v>
      </c>
      <c r="L1319" s="20" t="s">
        <v>38</v>
      </c>
      <c r="M1319" s="19"/>
      <c r="N1319" s="19" t="s">
        <v>2758</v>
      </c>
      <c r="O1319" s="20" t="s">
        <v>40</v>
      </c>
      <c r="P1319" s="20" t="s">
        <v>41</v>
      </c>
      <c r="Q1319" s="19" t="s">
        <v>2773</v>
      </c>
      <c r="R1319" s="21" t="s">
        <v>2774</v>
      </c>
      <c r="S1319" s="19" t="s">
        <v>46</v>
      </c>
      <c r="T1319" s="19" t="s">
        <v>2735</v>
      </c>
      <c r="U1319" s="19" t="s">
        <v>67</v>
      </c>
      <c r="V1319" s="19" t="s">
        <v>45</v>
      </c>
      <c r="W1319" s="19"/>
      <c r="X1319" s="19"/>
      <c r="Y1319" s="19"/>
      <c r="Z1319" s="19" t="s">
        <v>658</v>
      </c>
      <c r="AA1319" s="19" t="s">
        <v>2775</v>
      </c>
      <c r="AB1319" s="19" t="s">
        <v>46</v>
      </c>
      <c r="AC1319" s="19" t="s">
        <v>46</v>
      </c>
      <c r="AD1319" s="19"/>
      <c r="AE1319" s="19" t="s">
        <v>641</v>
      </c>
      <c r="AF1319" s="19" t="s">
        <v>190</v>
      </c>
      <c r="AG1319" s="19">
        <v>5</v>
      </c>
      <c r="AH1319" s="19" t="s">
        <v>190</v>
      </c>
      <c r="AI1319" s="19"/>
      <c r="AJ1319" s="22">
        <v>43377.53334490741</v>
      </c>
      <c r="AK1319" s="19" t="s">
        <v>1023</v>
      </c>
    </row>
    <row r="1320" spans="1:37" s="23" customFormat="1">
      <c r="A1320" s="19" t="str">
        <f>VLOOKUP(H1320,Languages!$A$2:$B$430,2,FALSE)</f>
        <v>Indo-European</v>
      </c>
      <c r="B1320" s="19" t="s">
        <v>1707</v>
      </c>
      <c r="C1320" s="19" t="s">
        <v>1012</v>
      </c>
      <c r="D1320" s="19" t="s">
        <v>2839</v>
      </c>
      <c r="E1320" s="20" t="s">
        <v>2829</v>
      </c>
      <c r="F1320" s="20" t="s">
        <v>2829</v>
      </c>
      <c r="G1320" s="19" t="s">
        <v>2829</v>
      </c>
      <c r="H1320" s="19" t="str">
        <f>VLOOKUP(G1320,'languoid 4.0'!$A$1:$I$24439,2,FALSE)</f>
        <v>indo1319</v>
      </c>
      <c r="I1320" s="19" t="str">
        <f>VLOOKUP(G1320,'languoid 4.0'!$A$1:$I$24439,6,FALSE)</f>
        <v>language</v>
      </c>
      <c r="J1320" s="20" t="s">
        <v>38</v>
      </c>
      <c r="K1320" s="20" t="s">
        <v>38</v>
      </c>
      <c r="L1320" s="20" t="s">
        <v>38</v>
      </c>
      <c r="M1320" s="19"/>
      <c r="N1320" s="19" t="s">
        <v>2830</v>
      </c>
      <c r="O1320" s="20" t="s">
        <v>40</v>
      </c>
      <c r="P1320" s="20" t="s">
        <v>41</v>
      </c>
      <c r="Q1320" s="19" t="s">
        <v>2840</v>
      </c>
      <c r="R1320" s="21" t="s">
        <v>2841</v>
      </c>
      <c r="S1320" s="19" t="s">
        <v>46</v>
      </c>
      <c r="T1320" s="19" t="s">
        <v>635</v>
      </c>
      <c r="U1320" s="19" t="s">
        <v>636</v>
      </c>
      <c r="V1320" s="19" t="s">
        <v>45</v>
      </c>
      <c r="W1320" s="19"/>
      <c r="X1320" s="19"/>
      <c r="Y1320" s="19"/>
      <c r="Z1320" s="19" t="s">
        <v>658</v>
      </c>
      <c r="AA1320" s="19" t="s">
        <v>2842</v>
      </c>
      <c r="AB1320" s="19" t="s">
        <v>46</v>
      </c>
      <c r="AC1320" s="19" t="s">
        <v>46</v>
      </c>
      <c r="AD1320" s="19" t="s">
        <v>2843</v>
      </c>
      <c r="AE1320" s="19" t="s">
        <v>641</v>
      </c>
      <c r="AF1320" s="19" t="s">
        <v>190</v>
      </c>
      <c r="AG1320" s="19">
        <v>5</v>
      </c>
      <c r="AH1320" s="19" t="s">
        <v>190</v>
      </c>
      <c r="AI1320" s="19"/>
      <c r="AJ1320" s="22">
        <v>43438.442395833335</v>
      </c>
      <c r="AK1320" s="19" t="s">
        <v>1023</v>
      </c>
    </row>
    <row r="1321" spans="1:37" s="23" customFormat="1">
      <c r="A1321" s="19" t="str">
        <f>VLOOKUP(H1321,Languages!$A$2:$B$430,2,FALSE)</f>
        <v>Indo-European</v>
      </c>
      <c r="B1321" s="19" t="s">
        <v>1707</v>
      </c>
      <c r="C1321" s="19" t="s">
        <v>1012</v>
      </c>
      <c r="D1321" s="19" t="s">
        <v>2860</v>
      </c>
      <c r="E1321" s="20" t="s">
        <v>2845</v>
      </c>
      <c r="F1321" s="20" t="s">
        <v>2845</v>
      </c>
      <c r="G1321" s="19" t="s">
        <v>2845</v>
      </c>
      <c r="H1321" s="19" t="str">
        <f>VLOOKUP(G1321,'languoid 4.0'!$A$1:$I$24439,2,FALSE)</f>
        <v>indo1319</v>
      </c>
      <c r="I1321" s="19" t="str">
        <f>VLOOKUP(G1321,'languoid 4.0'!$A$1:$I$24439,6,FALSE)</f>
        <v>language</v>
      </c>
      <c r="J1321" s="20" t="s">
        <v>38</v>
      </c>
      <c r="K1321" s="20" t="s">
        <v>38</v>
      </c>
      <c r="L1321" s="20" t="s">
        <v>38</v>
      </c>
      <c r="M1321" s="19"/>
      <c r="N1321" s="19" t="s">
        <v>2846</v>
      </c>
      <c r="O1321" s="20" t="s">
        <v>40</v>
      </c>
      <c r="P1321" s="20" t="s">
        <v>41</v>
      </c>
      <c r="Q1321" s="19" t="s">
        <v>2861</v>
      </c>
      <c r="R1321" s="21" t="s">
        <v>2862</v>
      </c>
      <c r="S1321" s="19" t="s">
        <v>46</v>
      </c>
      <c r="T1321" s="19" t="s">
        <v>648</v>
      </c>
      <c r="U1321" s="19" t="s">
        <v>636</v>
      </c>
      <c r="V1321" s="19" t="s">
        <v>45</v>
      </c>
      <c r="W1321" s="19"/>
      <c r="X1321" s="19"/>
      <c r="Y1321" s="19"/>
      <c r="Z1321" s="19" t="s">
        <v>658</v>
      </c>
      <c r="AA1321" s="19" t="s">
        <v>2863</v>
      </c>
      <c r="AB1321" s="19" t="s">
        <v>46</v>
      </c>
      <c r="AC1321" s="19" t="s">
        <v>46</v>
      </c>
      <c r="AD1321" s="19" t="s">
        <v>2838</v>
      </c>
      <c r="AE1321" s="19" t="s">
        <v>641</v>
      </c>
      <c r="AF1321" s="19" t="s">
        <v>190</v>
      </c>
      <c r="AG1321" s="19">
        <v>5</v>
      </c>
      <c r="AH1321" s="19" t="s">
        <v>190</v>
      </c>
      <c r="AI1321" s="19"/>
      <c r="AJ1321" s="22">
        <v>43438.45894675926</v>
      </c>
      <c r="AK1321" s="19" t="s">
        <v>1023</v>
      </c>
    </row>
    <row r="1322" spans="1:37" s="23" customFormat="1">
      <c r="A1322" s="19" t="str">
        <f>VLOOKUP(H1322,Languages!$A$2:$B$430,2,FALSE)</f>
        <v>Indo-European</v>
      </c>
      <c r="B1322" s="19" t="s">
        <v>1707</v>
      </c>
      <c r="C1322" s="19" t="s">
        <v>1012</v>
      </c>
      <c r="D1322" s="19" t="s">
        <v>2937</v>
      </c>
      <c r="E1322" s="20" t="s">
        <v>1380</v>
      </c>
      <c r="F1322" s="20" t="s">
        <v>1379</v>
      </c>
      <c r="G1322" s="19" t="s">
        <v>1380</v>
      </c>
      <c r="H1322" s="19" t="str">
        <f>VLOOKUP(G1322,'languoid 4.0'!$A$1:$I$24439,2,FALSE)</f>
        <v>indo1319</v>
      </c>
      <c r="I1322" s="19" t="str">
        <f>VLOOKUP(G1322,'languoid 4.0'!$A$1:$I$24439,6,FALSE)</f>
        <v>language</v>
      </c>
      <c r="J1322" s="20" t="s">
        <v>52</v>
      </c>
      <c r="K1322" s="20" t="s">
        <v>38</v>
      </c>
      <c r="L1322" s="20" t="s">
        <v>38</v>
      </c>
      <c r="M1322" s="19"/>
      <c r="N1322" s="19" t="s">
        <v>2933</v>
      </c>
      <c r="O1322" s="20" t="s">
        <v>40</v>
      </c>
      <c r="P1322" s="20" t="s">
        <v>41</v>
      </c>
      <c r="Q1322" s="19" t="s">
        <v>2938</v>
      </c>
      <c r="R1322" s="21" t="s">
        <v>2939</v>
      </c>
      <c r="S1322" s="19" t="s">
        <v>46</v>
      </c>
      <c r="T1322" s="19" t="s">
        <v>2739</v>
      </c>
      <c r="U1322" s="19" t="s">
        <v>636</v>
      </c>
      <c r="V1322" s="19" t="s">
        <v>45</v>
      </c>
      <c r="W1322" s="19"/>
      <c r="X1322" s="19"/>
      <c r="Y1322" s="19"/>
      <c r="Z1322" s="19" t="s">
        <v>658</v>
      </c>
      <c r="AA1322" s="19" t="s">
        <v>2940</v>
      </c>
      <c r="AB1322" s="19" t="s">
        <v>46</v>
      </c>
      <c r="AC1322" s="19" t="s">
        <v>46</v>
      </c>
      <c r="AD1322" s="19" t="s">
        <v>2843</v>
      </c>
      <c r="AE1322" s="19" t="s">
        <v>641</v>
      </c>
      <c r="AF1322" s="19" t="s">
        <v>190</v>
      </c>
      <c r="AG1322" s="19">
        <v>5</v>
      </c>
      <c r="AH1322" s="19" t="s">
        <v>190</v>
      </c>
      <c r="AI1322" s="19"/>
      <c r="AJ1322" s="22">
        <v>43438.557280092595</v>
      </c>
      <c r="AK1322" s="19" t="s">
        <v>1023</v>
      </c>
    </row>
    <row r="1323" spans="1:37" s="23" customFormat="1">
      <c r="A1323" s="19" t="str">
        <f>VLOOKUP(H1323,Languages!$A$2:$B$430,2,FALSE)</f>
        <v>Indo-European</v>
      </c>
      <c r="B1323" s="19" t="s">
        <v>1707</v>
      </c>
      <c r="C1323" s="19" t="s">
        <v>1012</v>
      </c>
      <c r="D1323" s="19" t="s">
        <v>2941</v>
      </c>
      <c r="E1323" s="20" t="s">
        <v>51</v>
      </c>
      <c r="F1323" s="20" t="s">
        <v>2757</v>
      </c>
      <c r="G1323" s="19" t="s">
        <v>2757</v>
      </c>
      <c r="H1323" s="19" t="str">
        <f>VLOOKUP(G1323,'languoid 4.0'!$A$1:$I$24439,2,FALSE)</f>
        <v>indo1319</v>
      </c>
      <c r="I1323" s="19" t="str">
        <f>VLOOKUP(G1323,'languoid 4.0'!$A$1:$I$24439,6,FALSE)</f>
        <v>family</v>
      </c>
      <c r="J1323" s="20" t="s">
        <v>52</v>
      </c>
      <c r="K1323" s="20" t="s">
        <v>51</v>
      </c>
      <c r="L1323" s="20" t="s">
        <v>51</v>
      </c>
      <c r="M1323" s="19"/>
      <c r="N1323" s="19" t="e">
        <v>#N/A</v>
      </c>
      <c r="O1323" s="20" t="s">
        <v>690</v>
      </c>
      <c r="P1323" s="20"/>
      <c r="Q1323" s="19" t="s">
        <v>2942</v>
      </c>
      <c r="R1323" s="21" t="s">
        <v>2943</v>
      </c>
      <c r="S1323" s="19" t="s">
        <v>46</v>
      </c>
      <c r="T1323" s="19" t="s">
        <v>635</v>
      </c>
      <c r="U1323" s="19" t="s">
        <v>636</v>
      </c>
      <c r="V1323" s="19" t="s">
        <v>45</v>
      </c>
      <c r="W1323" s="19"/>
      <c r="X1323" s="19"/>
      <c r="Y1323" s="19"/>
      <c r="Z1323" s="19" t="s">
        <v>658</v>
      </c>
      <c r="AA1323" s="19" t="s">
        <v>2944</v>
      </c>
      <c r="AB1323" s="19" t="s">
        <v>46</v>
      </c>
      <c r="AC1323" s="19" t="s">
        <v>46</v>
      </c>
      <c r="AD1323" s="19" t="s">
        <v>2843</v>
      </c>
      <c r="AE1323" s="19" t="s">
        <v>641</v>
      </c>
      <c r="AF1323" s="19" t="s">
        <v>190</v>
      </c>
      <c r="AG1323" s="19">
        <v>5</v>
      </c>
      <c r="AH1323" s="19" t="s">
        <v>190</v>
      </c>
      <c r="AI1323" s="19"/>
      <c r="AJ1323" s="22">
        <v>43438.560034722221</v>
      </c>
      <c r="AK1323" s="19" t="s">
        <v>1023</v>
      </c>
    </row>
    <row r="1324" spans="1:37" s="23" customFormat="1">
      <c r="A1324" s="19" t="str">
        <f>VLOOKUP(H1324,Languages!$A$2:$B$430,2,FALSE)</f>
        <v>Indo-European</v>
      </c>
      <c r="B1324" s="19" t="s">
        <v>1707</v>
      </c>
      <c r="C1324" s="19" t="s">
        <v>1012</v>
      </c>
      <c r="D1324" s="19" t="s">
        <v>3111</v>
      </c>
      <c r="E1324" s="20" t="s">
        <v>2756</v>
      </c>
      <c r="F1324" s="20" t="s">
        <v>2757</v>
      </c>
      <c r="G1324" s="19" t="s">
        <v>2757</v>
      </c>
      <c r="H1324" s="19" t="str">
        <f>VLOOKUP(G1324,'languoid 4.0'!$A$1:$I$24439,2,FALSE)</f>
        <v>indo1319</v>
      </c>
      <c r="I1324" s="19" t="str">
        <f>VLOOKUP(G1324,'languoid 4.0'!$A$1:$I$24439,6,FALSE)</f>
        <v>family</v>
      </c>
      <c r="J1324" s="20" t="s">
        <v>52</v>
      </c>
      <c r="K1324" s="20" t="s">
        <v>38</v>
      </c>
      <c r="L1324" s="20" t="s">
        <v>38</v>
      </c>
      <c r="M1324" s="19"/>
      <c r="N1324" s="19" t="s">
        <v>2758</v>
      </c>
      <c r="O1324" s="20" t="s">
        <v>40</v>
      </c>
      <c r="P1324" s="20" t="s">
        <v>41</v>
      </c>
      <c r="Q1324" s="19" t="s">
        <v>3112</v>
      </c>
      <c r="R1324" s="21" t="s">
        <v>3113</v>
      </c>
      <c r="S1324" s="19" t="s">
        <v>3114</v>
      </c>
      <c r="T1324" s="19" t="s">
        <v>2735</v>
      </c>
      <c r="U1324" s="19" t="s">
        <v>636</v>
      </c>
      <c r="V1324" s="19" t="s">
        <v>45</v>
      </c>
      <c r="W1324" s="19"/>
      <c r="X1324" s="19"/>
      <c r="Y1324" s="19"/>
      <c r="Z1324" s="19" t="s">
        <v>658</v>
      </c>
      <c r="AA1324" s="19" t="s">
        <v>3115</v>
      </c>
      <c r="AB1324" s="19" t="s">
        <v>46</v>
      </c>
      <c r="AC1324" s="19" t="s">
        <v>46</v>
      </c>
      <c r="AD1324" s="19" t="s">
        <v>3109</v>
      </c>
      <c r="AE1324" s="19" t="s">
        <v>641</v>
      </c>
      <c r="AF1324" s="19" t="s">
        <v>190</v>
      </c>
      <c r="AG1324" s="19">
        <v>5</v>
      </c>
      <c r="AH1324" s="19" t="s">
        <v>190</v>
      </c>
      <c r="AI1324" s="19"/>
      <c r="AJ1324" s="19" t="s">
        <v>3116</v>
      </c>
      <c r="AK1324" s="19" t="s">
        <v>1023</v>
      </c>
    </row>
    <row r="1325" spans="1:37" s="23" customFormat="1">
      <c r="A1325" s="19" t="str">
        <f>VLOOKUP(H1325,Languages!$A$2:$B$430,2,FALSE)</f>
        <v>Indo-European</v>
      </c>
      <c r="B1325" s="19" t="s">
        <v>1707</v>
      </c>
      <c r="C1325" s="19" t="s">
        <v>1012</v>
      </c>
      <c r="D1325" s="19" t="s">
        <v>3095</v>
      </c>
      <c r="E1325" s="20" t="s">
        <v>2756</v>
      </c>
      <c r="F1325" s="20" t="s">
        <v>2757</v>
      </c>
      <c r="G1325" s="19" t="s">
        <v>2756</v>
      </c>
      <c r="H1325" s="19" t="str">
        <f>VLOOKUP(G1325,'languoid 4.0'!$A$1:$I$24439,2,FALSE)</f>
        <v>indo1319</v>
      </c>
      <c r="I1325" s="19" t="str">
        <f>VLOOKUP(G1325,'languoid 4.0'!$A$1:$I$24439,6,FALSE)</f>
        <v>language</v>
      </c>
      <c r="J1325" s="20" t="s">
        <v>52</v>
      </c>
      <c r="K1325" s="20" t="s">
        <v>38</v>
      </c>
      <c r="L1325" s="20" t="s">
        <v>38</v>
      </c>
      <c r="M1325" s="19"/>
      <c r="N1325" s="19" t="s">
        <v>2758</v>
      </c>
      <c r="O1325" s="20" t="s">
        <v>40</v>
      </c>
      <c r="P1325" s="20" t="s">
        <v>41</v>
      </c>
      <c r="Q1325" s="19" t="s">
        <v>3117</v>
      </c>
      <c r="R1325" s="21" t="s">
        <v>3118</v>
      </c>
      <c r="S1325" s="19" t="s">
        <v>46</v>
      </c>
      <c r="T1325" s="19" t="s">
        <v>2735</v>
      </c>
      <c r="U1325" s="19" t="s">
        <v>636</v>
      </c>
      <c r="V1325" s="19" t="s">
        <v>45</v>
      </c>
      <c r="W1325" s="19"/>
      <c r="X1325" s="19"/>
      <c r="Y1325" s="19"/>
      <c r="Z1325" s="19" t="s">
        <v>658</v>
      </c>
      <c r="AA1325" s="19" t="s">
        <v>3119</v>
      </c>
      <c r="AB1325" s="19" t="s">
        <v>46</v>
      </c>
      <c r="AC1325" s="19" t="s">
        <v>46</v>
      </c>
      <c r="AD1325" s="19" t="s">
        <v>3109</v>
      </c>
      <c r="AE1325" s="19" t="s">
        <v>641</v>
      </c>
      <c r="AF1325" s="19" t="s">
        <v>190</v>
      </c>
      <c r="AG1325" s="19">
        <v>5</v>
      </c>
      <c r="AH1325" s="19" t="s">
        <v>190</v>
      </c>
      <c r="AI1325" s="19"/>
      <c r="AJ1325" s="19" t="s">
        <v>3120</v>
      </c>
      <c r="AK1325" s="19" t="s">
        <v>1023</v>
      </c>
    </row>
    <row r="1326" spans="1:37" s="23" customFormat="1">
      <c r="A1326" s="19" t="str">
        <f>VLOOKUP(H1326,Languages!$A$2:$B$430,2,FALSE)</f>
        <v>Indo-European</v>
      </c>
      <c r="B1326" s="19" t="s">
        <v>1707</v>
      </c>
      <c r="C1326" s="19" t="s">
        <v>1012</v>
      </c>
      <c r="D1326" s="19" t="s">
        <v>2927</v>
      </c>
      <c r="E1326" s="20" t="s">
        <v>2845</v>
      </c>
      <c r="F1326" s="20" t="s">
        <v>2731</v>
      </c>
      <c r="G1326" s="19" t="s">
        <v>2845</v>
      </c>
      <c r="H1326" s="19" t="str">
        <f>VLOOKUP(G1326,'languoid 4.0'!$A$1:$I$24439,2,FALSE)</f>
        <v>indo1319</v>
      </c>
      <c r="I1326" s="19" t="str">
        <f>VLOOKUP(G1326,'languoid 4.0'!$A$1:$I$24439,6,FALSE)</f>
        <v>language</v>
      </c>
      <c r="J1326" s="20" t="s">
        <v>52</v>
      </c>
      <c r="K1326" s="20" t="s">
        <v>38</v>
      </c>
      <c r="L1326" s="20" t="s">
        <v>38</v>
      </c>
      <c r="M1326" s="19"/>
      <c r="N1326" s="19" t="s">
        <v>2846</v>
      </c>
      <c r="O1326" s="20" t="s">
        <v>40</v>
      </c>
      <c r="P1326" s="20" t="s">
        <v>41</v>
      </c>
      <c r="Q1326" s="19" t="s">
        <v>3121</v>
      </c>
      <c r="R1326" s="21" t="s">
        <v>3122</v>
      </c>
      <c r="S1326" s="19" t="s">
        <v>46</v>
      </c>
      <c r="T1326" s="19" t="s">
        <v>635</v>
      </c>
      <c r="U1326" s="19" t="s">
        <v>636</v>
      </c>
      <c r="V1326" s="19" t="s">
        <v>45</v>
      </c>
      <c r="W1326" s="19"/>
      <c r="X1326" s="19"/>
      <c r="Y1326" s="19"/>
      <c r="Z1326" s="19" t="s">
        <v>658</v>
      </c>
      <c r="AA1326" s="19" t="s">
        <v>3123</v>
      </c>
      <c r="AB1326" s="19" t="s">
        <v>46</v>
      </c>
      <c r="AC1326" s="19" t="s">
        <v>46</v>
      </c>
      <c r="AD1326" s="19" t="s">
        <v>3109</v>
      </c>
      <c r="AE1326" s="19" t="s">
        <v>641</v>
      </c>
      <c r="AF1326" s="19" t="s">
        <v>190</v>
      </c>
      <c r="AG1326" s="19">
        <v>5</v>
      </c>
      <c r="AH1326" s="19" t="s">
        <v>190</v>
      </c>
      <c r="AI1326" s="19"/>
      <c r="AJ1326" s="19" t="s">
        <v>3124</v>
      </c>
      <c r="AK1326" s="19" t="s">
        <v>1023</v>
      </c>
    </row>
    <row r="1327" spans="1:37" s="23" customFormat="1">
      <c r="A1327" s="19" t="str">
        <f>VLOOKUP(H1327,Languages!$A$2:$B$430,2,FALSE)</f>
        <v>Indo-European</v>
      </c>
      <c r="B1327" s="19" t="s">
        <v>1707</v>
      </c>
      <c r="C1327" s="19" t="s">
        <v>1012</v>
      </c>
      <c r="D1327" s="19" t="s">
        <v>2923</v>
      </c>
      <c r="E1327" s="20" t="s">
        <v>51</v>
      </c>
      <c r="F1327" s="20" t="s">
        <v>2757</v>
      </c>
      <c r="G1327" s="27" t="s">
        <v>2757</v>
      </c>
      <c r="H1327" s="19" t="str">
        <f>VLOOKUP(G1327,'languoid 4.0'!$A$1:$I$24439,2,FALSE)</f>
        <v>indo1319</v>
      </c>
      <c r="I1327" s="19" t="str">
        <f>VLOOKUP(G1327,'languoid 4.0'!$A$1:$I$24439,6,FALSE)</f>
        <v>family</v>
      </c>
      <c r="J1327" s="20" t="s">
        <v>52</v>
      </c>
      <c r="K1327" s="20" t="s">
        <v>51</v>
      </c>
      <c r="L1327" s="20" t="s">
        <v>51</v>
      </c>
      <c r="M1327" s="19"/>
      <c r="N1327" s="19" t="e">
        <v>#N/A</v>
      </c>
      <c r="O1327" s="20" t="s">
        <v>690</v>
      </c>
      <c r="P1327" s="20"/>
      <c r="Q1327" s="19" t="s">
        <v>3125</v>
      </c>
      <c r="R1327" s="21" t="s">
        <v>3126</v>
      </c>
      <c r="S1327" s="19" t="s">
        <v>46</v>
      </c>
      <c r="T1327" s="19" t="s">
        <v>1391</v>
      </c>
      <c r="U1327" s="19" t="s">
        <v>636</v>
      </c>
      <c r="V1327" s="19" t="s">
        <v>45</v>
      </c>
      <c r="W1327" s="19"/>
      <c r="X1327" s="19"/>
      <c r="Y1327" s="19"/>
      <c r="Z1327" s="19" t="s">
        <v>658</v>
      </c>
      <c r="AA1327" s="19" t="s">
        <v>3127</v>
      </c>
      <c r="AB1327" s="19" t="s">
        <v>46</v>
      </c>
      <c r="AC1327" s="19" t="s">
        <v>46</v>
      </c>
      <c r="AD1327" s="19" t="s">
        <v>3109</v>
      </c>
      <c r="AE1327" s="19" t="s">
        <v>641</v>
      </c>
      <c r="AF1327" s="19" t="s">
        <v>190</v>
      </c>
      <c r="AG1327" s="19">
        <v>5</v>
      </c>
      <c r="AH1327" s="19" t="s">
        <v>190</v>
      </c>
      <c r="AI1327" s="19"/>
      <c r="AJ1327" s="19" t="s">
        <v>3128</v>
      </c>
      <c r="AK1327" s="19" t="s">
        <v>1023</v>
      </c>
    </row>
    <row r="1328" spans="1:37" s="23" customFormat="1">
      <c r="A1328" s="19" t="str">
        <f>VLOOKUP(H1328,Languages!$A$2:$B$430,2,FALSE)</f>
        <v>Indo-European</v>
      </c>
      <c r="B1328" s="19" t="s">
        <v>1707</v>
      </c>
      <c r="C1328" s="19" t="s">
        <v>1012</v>
      </c>
      <c r="D1328" s="19" t="s">
        <v>2937</v>
      </c>
      <c r="E1328" s="20" t="s">
        <v>1380</v>
      </c>
      <c r="F1328" s="20" t="s">
        <v>1379</v>
      </c>
      <c r="G1328" s="19" t="s">
        <v>1380</v>
      </c>
      <c r="H1328" s="19" t="str">
        <f>VLOOKUP(G1328,'languoid 4.0'!$A$1:$I$24439,2,FALSE)</f>
        <v>indo1319</v>
      </c>
      <c r="I1328" s="19" t="str">
        <f>VLOOKUP(G1328,'languoid 4.0'!$A$1:$I$24439,6,FALSE)</f>
        <v>language</v>
      </c>
      <c r="J1328" s="20" t="s">
        <v>52</v>
      </c>
      <c r="K1328" s="20" t="s">
        <v>38</v>
      </c>
      <c r="L1328" s="20" t="s">
        <v>38</v>
      </c>
      <c r="M1328" s="19"/>
      <c r="N1328" s="19" t="s">
        <v>2933</v>
      </c>
      <c r="O1328" s="20" t="s">
        <v>40</v>
      </c>
      <c r="P1328" s="20" t="s">
        <v>41</v>
      </c>
      <c r="Q1328" s="19" t="s">
        <v>3129</v>
      </c>
      <c r="R1328" s="21" t="s">
        <v>3130</v>
      </c>
      <c r="S1328" s="19" t="s">
        <v>46</v>
      </c>
      <c r="T1328" s="19" t="s">
        <v>635</v>
      </c>
      <c r="U1328" s="19" t="s">
        <v>636</v>
      </c>
      <c r="V1328" s="19" t="s">
        <v>45</v>
      </c>
      <c r="W1328" s="19"/>
      <c r="X1328" s="19"/>
      <c r="Y1328" s="19"/>
      <c r="Z1328" s="19" t="s">
        <v>658</v>
      </c>
      <c r="AA1328" s="19" t="s">
        <v>3131</v>
      </c>
      <c r="AB1328" s="19" t="s">
        <v>46</v>
      </c>
      <c r="AC1328" s="19" t="s">
        <v>46</v>
      </c>
      <c r="AD1328" s="19" t="s">
        <v>3109</v>
      </c>
      <c r="AE1328" s="19" t="s">
        <v>641</v>
      </c>
      <c r="AF1328" s="19" t="s">
        <v>190</v>
      </c>
      <c r="AG1328" s="19">
        <v>5</v>
      </c>
      <c r="AH1328" s="19" t="s">
        <v>190</v>
      </c>
      <c r="AI1328" s="19"/>
      <c r="AJ1328" s="19" t="s">
        <v>3132</v>
      </c>
      <c r="AK1328" s="19" t="s">
        <v>1023</v>
      </c>
    </row>
    <row r="1329" spans="1:37" s="23" customFormat="1">
      <c r="A1329" s="19" t="str">
        <f>VLOOKUP(H1329,Languages!$A$2:$B$430,2,FALSE)</f>
        <v>Indo-European</v>
      </c>
      <c r="B1329" s="19" t="s">
        <v>1707</v>
      </c>
      <c r="C1329" s="19" t="s">
        <v>4965</v>
      </c>
      <c r="D1329" s="19" t="s">
        <v>8352</v>
      </c>
      <c r="E1329" s="20" t="s">
        <v>3558</v>
      </c>
      <c r="F1329" s="20" t="s">
        <v>3559</v>
      </c>
      <c r="G1329" s="19" t="s">
        <v>3558</v>
      </c>
      <c r="H1329" s="19" t="str">
        <f>VLOOKUP(G1329,'languoid 4.0'!$A$1:$I$24439,2,FALSE)</f>
        <v>indo1319</v>
      </c>
      <c r="I1329" s="19" t="str">
        <f>VLOOKUP(G1329,'languoid 4.0'!$A$1:$I$24439,6,FALSE)</f>
        <v>family</v>
      </c>
      <c r="J1329" s="20" t="s">
        <v>52</v>
      </c>
      <c r="K1329" s="20" t="s">
        <v>38</v>
      </c>
      <c r="L1329" s="20" t="s">
        <v>38</v>
      </c>
      <c r="M1329" s="19"/>
      <c r="N1329" s="19" t="s">
        <v>3560</v>
      </c>
      <c r="O1329" s="20" t="s">
        <v>113</v>
      </c>
      <c r="P1329" s="20" t="s">
        <v>41</v>
      </c>
      <c r="Q1329" s="19" t="s">
        <v>8353</v>
      </c>
      <c r="R1329" s="21" t="s">
        <v>8354</v>
      </c>
      <c r="S1329" s="19" t="s">
        <v>46</v>
      </c>
      <c r="T1329" s="19" t="s">
        <v>635</v>
      </c>
      <c r="U1329" s="19" t="s">
        <v>636</v>
      </c>
      <c r="V1329" s="19" t="s">
        <v>45</v>
      </c>
      <c r="W1329" s="19"/>
      <c r="X1329" s="19"/>
      <c r="Y1329" s="19"/>
      <c r="Z1329" s="19" t="s">
        <v>637</v>
      </c>
      <c r="AA1329" s="19" t="s">
        <v>8355</v>
      </c>
      <c r="AB1329" s="19" t="s">
        <v>8356</v>
      </c>
      <c r="AC1329" s="19" t="s">
        <v>46</v>
      </c>
      <c r="AD1329" s="19"/>
      <c r="AE1329" s="19" t="s">
        <v>641</v>
      </c>
      <c r="AF1329" s="19" t="s">
        <v>190</v>
      </c>
      <c r="AG1329" s="19">
        <v>5</v>
      </c>
      <c r="AH1329" s="19" t="s">
        <v>190</v>
      </c>
      <c r="AI1329" s="19"/>
      <c r="AJ1329" s="19" t="s">
        <v>8357</v>
      </c>
      <c r="AK1329" s="19" t="s">
        <v>4975</v>
      </c>
    </row>
    <row r="1330" spans="1:37" s="23" customFormat="1">
      <c r="A1330" s="19" t="str">
        <f>VLOOKUP(H1330,Languages!$A$2:$B$430,2,FALSE)</f>
        <v>Indo-European</v>
      </c>
      <c r="B1330" s="19" t="s">
        <v>1707</v>
      </c>
      <c r="C1330" s="19" t="s">
        <v>4965</v>
      </c>
      <c r="D1330" s="19" t="s">
        <v>8364</v>
      </c>
      <c r="E1330" s="20" t="s">
        <v>8365</v>
      </c>
      <c r="F1330" s="20" t="s">
        <v>8365</v>
      </c>
      <c r="G1330" s="19" t="s">
        <v>8365</v>
      </c>
      <c r="H1330" s="19" t="str">
        <f>VLOOKUP(G1330,'languoid 4.0'!$A$1:$I$24439,2,FALSE)</f>
        <v>indo1319</v>
      </c>
      <c r="I1330" s="19" t="str">
        <f>VLOOKUP(G1330,'languoid 4.0'!$A$1:$I$24439,6,FALSE)</f>
        <v>language</v>
      </c>
      <c r="J1330" s="20" t="s">
        <v>38</v>
      </c>
      <c r="K1330" s="20" t="s">
        <v>38</v>
      </c>
      <c r="L1330" s="20" t="s">
        <v>38</v>
      </c>
      <c r="M1330" s="19"/>
      <c r="N1330" s="19" t="s">
        <v>8366</v>
      </c>
      <c r="O1330" s="20" t="s">
        <v>40</v>
      </c>
      <c r="P1330" s="20" t="s">
        <v>41</v>
      </c>
      <c r="Q1330" s="19" t="s">
        <v>8367</v>
      </c>
      <c r="R1330" s="21" t="s">
        <v>8368</v>
      </c>
      <c r="S1330" s="19" t="s">
        <v>46</v>
      </c>
      <c r="T1330" s="19" t="s">
        <v>635</v>
      </c>
      <c r="U1330" s="19" t="s">
        <v>8369</v>
      </c>
      <c r="V1330" s="19" t="s">
        <v>45</v>
      </c>
      <c r="W1330" s="19"/>
      <c r="X1330" s="19"/>
      <c r="Y1330" s="19"/>
      <c r="Z1330" s="19" t="s">
        <v>658</v>
      </c>
      <c r="AA1330" s="19" t="s">
        <v>8370</v>
      </c>
      <c r="AB1330" s="19" t="s">
        <v>8371</v>
      </c>
      <c r="AC1330" s="19" t="s">
        <v>46</v>
      </c>
      <c r="AD1330" s="19" t="s">
        <v>8372</v>
      </c>
      <c r="AE1330" s="19" t="s">
        <v>641</v>
      </c>
      <c r="AF1330" s="19" t="s">
        <v>190</v>
      </c>
      <c r="AG1330" s="19">
        <v>6</v>
      </c>
      <c r="AH1330" s="19" t="s">
        <v>190</v>
      </c>
      <c r="AI1330" s="19"/>
      <c r="AJ1330" s="19" t="s">
        <v>8373</v>
      </c>
      <c r="AK1330" s="19" t="s">
        <v>4975</v>
      </c>
    </row>
    <row r="1331" spans="1:37" s="23" customFormat="1">
      <c r="A1331" s="19" t="str">
        <f>VLOOKUP(H1331,Languages!$A$2:$B$430,2,FALSE)</f>
        <v>Indo-European</v>
      </c>
      <c r="B1331" s="19" t="s">
        <v>1707</v>
      </c>
      <c r="C1331" s="19" t="s">
        <v>10200</v>
      </c>
      <c r="D1331" s="19" t="s">
        <v>10207</v>
      </c>
      <c r="E1331" s="20" t="s">
        <v>10208</v>
      </c>
      <c r="F1331" s="20" t="s">
        <v>10209</v>
      </c>
      <c r="G1331" s="19" t="s">
        <v>10208</v>
      </c>
      <c r="H1331" s="19" t="str">
        <f>VLOOKUP(G1331,'languoid 4.0'!$A$1:$I$24439,2,FALSE)</f>
        <v>indo1319</v>
      </c>
      <c r="I1331" s="19" t="str">
        <f>VLOOKUP(G1331,'languoid 4.0'!$A$1:$I$24439,6,FALSE)</f>
        <v>language</v>
      </c>
      <c r="J1331" s="20" t="s">
        <v>52</v>
      </c>
      <c r="K1331" s="20" t="s">
        <v>38</v>
      </c>
      <c r="L1331" s="20" t="s">
        <v>38</v>
      </c>
      <c r="M1331" s="19"/>
      <c r="N1331" s="19" t="s">
        <v>10210</v>
      </c>
      <c r="O1331" s="20" t="s">
        <v>40</v>
      </c>
      <c r="P1331" s="20" t="s">
        <v>41</v>
      </c>
      <c r="Q1331" s="19" t="s">
        <v>10211</v>
      </c>
      <c r="R1331" s="21" t="s">
        <v>10212</v>
      </c>
      <c r="S1331" s="19" t="s">
        <v>46</v>
      </c>
      <c r="T1331" s="19" t="s">
        <v>635</v>
      </c>
      <c r="U1331" s="19" t="s">
        <v>636</v>
      </c>
      <c r="V1331" s="19" t="s">
        <v>45</v>
      </c>
      <c r="W1331" s="19"/>
      <c r="X1331" s="19"/>
      <c r="Y1331" s="19"/>
      <c r="Z1331" s="19" t="s">
        <v>673</v>
      </c>
      <c r="AA1331" s="19" t="s">
        <v>46</v>
      </c>
      <c r="AB1331" s="19" t="s">
        <v>10213</v>
      </c>
      <c r="AC1331" s="19" t="s">
        <v>46</v>
      </c>
      <c r="AD1331" s="19"/>
      <c r="AE1331" s="19" t="s">
        <v>641</v>
      </c>
      <c r="AF1331" s="19" t="s">
        <v>190</v>
      </c>
      <c r="AG1331" s="19">
        <v>6</v>
      </c>
      <c r="AH1331" s="19" t="s">
        <v>190</v>
      </c>
      <c r="AI1331" s="19"/>
      <c r="AJ1331" s="19" t="s">
        <v>10214</v>
      </c>
      <c r="AK1331" s="19" t="s">
        <v>4945</v>
      </c>
    </row>
    <row r="1332" spans="1:37" s="23" customFormat="1">
      <c r="A1332" s="19" t="str">
        <f>VLOOKUP(H1332,Languages!$A$2:$B$430,2,FALSE)</f>
        <v>Indo-European</v>
      </c>
      <c r="B1332" s="19" t="s">
        <v>1707</v>
      </c>
      <c r="C1332" s="19" t="s">
        <v>10200</v>
      </c>
      <c r="D1332" s="19" t="s">
        <v>10215</v>
      </c>
      <c r="E1332" s="20" t="s">
        <v>51</v>
      </c>
      <c r="F1332" s="20" t="s">
        <v>10216</v>
      </c>
      <c r="G1332" s="19" t="s">
        <v>10216</v>
      </c>
      <c r="H1332" s="19" t="str">
        <f>VLOOKUP(G1332,'languoid 4.0'!$A$1:$I$24439,2,FALSE)</f>
        <v>indo1319</v>
      </c>
      <c r="I1332" s="19" t="str">
        <f>VLOOKUP(G1332,'languoid 4.0'!$A$1:$I$24439,6,FALSE)</f>
        <v>dialect</v>
      </c>
      <c r="J1332" s="20" t="s">
        <v>52</v>
      </c>
      <c r="K1332" s="20" t="s">
        <v>51</v>
      </c>
      <c r="L1332" s="20" t="s">
        <v>51</v>
      </c>
      <c r="M1332" s="19"/>
      <c r="N1332" s="19" t="e">
        <v>#N/A</v>
      </c>
      <c r="O1332" s="20" t="s">
        <v>690</v>
      </c>
      <c r="P1332" s="20"/>
      <c r="Q1332" s="19" t="s">
        <v>10217</v>
      </c>
      <c r="R1332" s="21" t="s">
        <v>10218</v>
      </c>
      <c r="S1332" s="19" t="s">
        <v>46</v>
      </c>
      <c r="T1332" s="19" t="s">
        <v>635</v>
      </c>
      <c r="U1332" s="19" t="s">
        <v>636</v>
      </c>
      <c r="V1332" s="19" t="s">
        <v>45</v>
      </c>
      <c r="W1332" s="19"/>
      <c r="X1332" s="19"/>
      <c r="Y1332" s="19"/>
      <c r="Z1332" s="19" t="s">
        <v>673</v>
      </c>
      <c r="AA1332" s="19" t="s">
        <v>46</v>
      </c>
      <c r="AB1332" s="19" t="s">
        <v>10219</v>
      </c>
      <c r="AC1332" s="19" t="s">
        <v>46</v>
      </c>
      <c r="AD1332" s="19"/>
      <c r="AE1332" s="19" t="s">
        <v>641</v>
      </c>
      <c r="AF1332" s="19" t="s">
        <v>45</v>
      </c>
      <c r="AG1332" s="19">
        <v>1</v>
      </c>
      <c r="AH1332" s="19" t="s">
        <v>190</v>
      </c>
      <c r="AI1332" s="19"/>
      <c r="AJ1332" s="19" t="s">
        <v>10220</v>
      </c>
      <c r="AK1332" s="19" t="s">
        <v>4945</v>
      </c>
    </row>
    <row r="1333" spans="1:37" s="23" customFormat="1">
      <c r="A1333" s="19" t="str">
        <f>VLOOKUP(H1333,Languages!$A$2:$B$430,2,FALSE)</f>
        <v>Indo-European</v>
      </c>
      <c r="B1333" s="19" t="s">
        <v>1707</v>
      </c>
      <c r="C1333" s="19" t="s">
        <v>10200</v>
      </c>
      <c r="D1333" s="19" t="s">
        <v>10296</v>
      </c>
      <c r="E1333" s="20" t="s">
        <v>10209</v>
      </c>
      <c r="F1333" s="20" t="s">
        <v>10209</v>
      </c>
      <c r="G1333" s="19" t="s">
        <v>10209</v>
      </c>
      <c r="H1333" s="19" t="str">
        <f>VLOOKUP(G1333,'languoid 4.0'!$A$1:$I$24439,2,FALSE)</f>
        <v>indo1319</v>
      </c>
      <c r="I1333" s="19" t="str">
        <f>VLOOKUP(G1333,'languoid 4.0'!$A$1:$I$24439,6,FALSE)</f>
        <v>language</v>
      </c>
      <c r="J1333" s="20" t="s">
        <v>38</v>
      </c>
      <c r="K1333" s="20" t="s">
        <v>38</v>
      </c>
      <c r="L1333" s="20" t="s">
        <v>38</v>
      </c>
      <c r="M1333" s="19"/>
      <c r="N1333" s="19" t="s">
        <v>10256</v>
      </c>
      <c r="O1333" s="20" t="s">
        <v>40</v>
      </c>
      <c r="P1333" s="20" t="s">
        <v>41</v>
      </c>
      <c r="Q1333" s="19" t="s">
        <v>10297</v>
      </c>
      <c r="R1333" s="21" t="s">
        <v>10298</v>
      </c>
      <c r="S1333" s="19" t="s">
        <v>46</v>
      </c>
      <c r="T1333" s="19" t="s">
        <v>635</v>
      </c>
      <c r="U1333" s="19" t="s">
        <v>636</v>
      </c>
      <c r="V1333" s="19" t="s">
        <v>45</v>
      </c>
      <c r="W1333" s="19"/>
      <c r="X1333" s="19"/>
      <c r="Y1333" s="19"/>
      <c r="Z1333" s="19" t="s">
        <v>673</v>
      </c>
      <c r="AA1333" s="19" t="s">
        <v>46</v>
      </c>
      <c r="AB1333" s="19" t="s">
        <v>10299</v>
      </c>
      <c r="AC1333" s="19" t="s">
        <v>46</v>
      </c>
      <c r="AD1333" s="19"/>
      <c r="AE1333" s="19" t="s">
        <v>641</v>
      </c>
      <c r="AF1333" s="19" t="s">
        <v>190</v>
      </c>
      <c r="AG1333" s="19">
        <v>6</v>
      </c>
      <c r="AH1333" s="19" t="s">
        <v>190</v>
      </c>
      <c r="AI1333" s="19"/>
      <c r="AJ1333" s="19" t="s">
        <v>10300</v>
      </c>
      <c r="AK1333" s="19" t="s">
        <v>4945</v>
      </c>
    </row>
    <row r="1334" spans="1:37" s="23" customFormat="1">
      <c r="A1334" s="19" t="str">
        <f>VLOOKUP(H1334,Languages!$A$2:$B$430,2,FALSE)</f>
        <v>Indo-European</v>
      </c>
      <c r="B1334" s="19" t="s">
        <v>1707</v>
      </c>
      <c r="C1334" s="19" t="s">
        <v>10200</v>
      </c>
      <c r="D1334" s="19" t="s">
        <v>10306</v>
      </c>
      <c r="E1334" s="20" t="s">
        <v>10209</v>
      </c>
      <c r="F1334" s="20" t="s">
        <v>10307</v>
      </c>
      <c r="G1334" s="19" t="s">
        <v>10209</v>
      </c>
      <c r="H1334" s="19" t="str">
        <f>VLOOKUP(G1334,'languoid 4.0'!$A$1:$I$24439,2,FALSE)</f>
        <v>indo1319</v>
      </c>
      <c r="I1334" s="19" t="str">
        <f>VLOOKUP(G1334,'languoid 4.0'!$A$1:$I$24439,6,FALSE)</f>
        <v>language</v>
      </c>
      <c r="J1334" s="20" t="s">
        <v>52</v>
      </c>
      <c r="K1334" s="20" t="s">
        <v>38</v>
      </c>
      <c r="L1334" s="20" t="s">
        <v>38</v>
      </c>
      <c r="M1334" s="19"/>
      <c r="N1334" s="19" t="s">
        <v>10256</v>
      </c>
      <c r="O1334" s="20" t="s">
        <v>40</v>
      </c>
      <c r="P1334" s="20" t="s">
        <v>41</v>
      </c>
      <c r="Q1334" s="19" t="s">
        <v>10308</v>
      </c>
      <c r="R1334" s="21" t="s">
        <v>10309</v>
      </c>
      <c r="S1334" s="19" t="s">
        <v>46</v>
      </c>
      <c r="T1334" s="19" t="s">
        <v>635</v>
      </c>
      <c r="U1334" s="19" t="s">
        <v>636</v>
      </c>
      <c r="V1334" s="19" t="s">
        <v>45</v>
      </c>
      <c r="W1334" s="19"/>
      <c r="X1334" s="19"/>
      <c r="Y1334" s="19"/>
      <c r="Z1334" s="19" t="s">
        <v>673</v>
      </c>
      <c r="AA1334" s="19" t="s">
        <v>46</v>
      </c>
      <c r="AB1334" s="19" t="s">
        <v>10310</v>
      </c>
      <c r="AC1334" s="19" t="s">
        <v>46</v>
      </c>
      <c r="AD1334" s="19"/>
      <c r="AE1334" s="19" t="s">
        <v>641</v>
      </c>
      <c r="AF1334" s="19" t="s">
        <v>190</v>
      </c>
      <c r="AG1334" s="19">
        <v>6</v>
      </c>
      <c r="AH1334" s="19" t="s">
        <v>190</v>
      </c>
      <c r="AI1334" s="19"/>
      <c r="AJ1334" s="19" t="s">
        <v>10311</v>
      </c>
      <c r="AK1334" s="19" t="s">
        <v>4945</v>
      </c>
    </row>
    <row r="1335" spans="1:37" s="23" customFormat="1">
      <c r="A1335" s="19" t="str">
        <f>VLOOKUP(H1335,Languages!$A$2:$B$430,2,FALSE)</f>
        <v>Indo-European</v>
      </c>
      <c r="B1335" s="19" t="s">
        <v>1707</v>
      </c>
      <c r="C1335" s="19" t="s">
        <v>10200</v>
      </c>
      <c r="D1335" s="19" t="s">
        <v>10320</v>
      </c>
      <c r="E1335" s="20" t="s">
        <v>10209</v>
      </c>
      <c r="F1335" s="20" t="s">
        <v>10209</v>
      </c>
      <c r="G1335" s="19" t="s">
        <v>10209</v>
      </c>
      <c r="H1335" s="19" t="str">
        <f>VLOOKUP(G1335,'languoid 4.0'!$A$1:$I$24439,2,FALSE)</f>
        <v>indo1319</v>
      </c>
      <c r="I1335" s="19" t="str">
        <f>VLOOKUP(G1335,'languoid 4.0'!$A$1:$I$24439,6,FALSE)</f>
        <v>language</v>
      </c>
      <c r="J1335" s="20" t="s">
        <v>38</v>
      </c>
      <c r="K1335" s="20" t="s">
        <v>38</v>
      </c>
      <c r="L1335" s="20" t="s">
        <v>38</v>
      </c>
      <c r="M1335" s="19"/>
      <c r="N1335" s="19" t="s">
        <v>10256</v>
      </c>
      <c r="O1335" s="20" t="s">
        <v>40</v>
      </c>
      <c r="P1335" s="20" t="s">
        <v>41</v>
      </c>
      <c r="Q1335" s="19" t="s">
        <v>10321</v>
      </c>
      <c r="R1335" s="21" t="s">
        <v>10322</v>
      </c>
      <c r="S1335" s="19" t="s">
        <v>46</v>
      </c>
      <c r="T1335" s="19" t="s">
        <v>635</v>
      </c>
      <c r="U1335" s="19" t="s">
        <v>636</v>
      </c>
      <c r="V1335" s="19" t="s">
        <v>45</v>
      </c>
      <c r="W1335" s="19"/>
      <c r="X1335" s="19"/>
      <c r="Y1335" s="19"/>
      <c r="Z1335" s="19" t="s">
        <v>673</v>
      </c>
      <c r="AA1335" s="19" t="s">
        <v>46</v>
      </c>
      <c r="AB1335" s="19" t="s">
        <v>10323</v>
      </c>
      <c r="AC1335" s="19" t="s">
        <v>46</v>
      </c>
      <c r="AD1335" s="19"/>
      <c r="AE1335" s="19" t="s">
        <v>641</v>
      </c>
      <c r="AF1335" s="19" t="s">
        <v>190</v>
      </c>
      <c r="AG1335" s="19">
        <v>6</v>
      </c>
      <c r="AH1335" s="19" t="s">
        <v>190</v>
      </c>
      <c r="AI1335" s="19"/>
      <c r="AJ1335" s="19" t="s">
        <v>10324</v>
      </c>
      <c r="AK1335" s="19" t="s">
        <v>4945</v>
      </c>
    </row>
    <row r="1336" spans="1:37" s="23" customFormat="1">
      <c r="A1336" s="19" t="str">
        <f>VLOOKUP(H1336,Languages!$A$2:$B$430,2,FALSE)</f>
        <v>Indo-European</v>
      </c>
      <c r="B1336" s="19" t="s">
        <v>1707</v>
      </c>
      <c r="C1336" s="19" t="s">
        <v>10200</v>
      </c>
      <c r="D1336" s="19" t="s">
        <v>10514</v>
      </c>
      <c r="E1336" s="20" t="s">
        <v>3656</v>
      </c>
      <c r="F1336" s="20" t="s">
        <v>10515</v>
      </c>
      <c r="G1336" s="19" t="s">
        <v>10515</v>
      </c>
      <c r="H1336" s="19" t="str">
        <f>VLOOKUP(G1336,'languoid 4.0'!$A$1:$I$24439,2,FALSE)</f>
        <v>indo1319</v>
      </c>
      <c r="I1336" s="19" t="str">
        <f>VLOOKUP(G1336,'languoid 4.0'!$A$1:$I$24439,6,FALSE)</f>
        <v>language</v>
      </c>
      <c r="J1336" s="20" t="s">
        <v>52</v>
      </c>
      <c r="K1336" s="20" t="s">
        <v>52</v>
      </c>
      <c r="L1336" s="20" t="s">
        <v>38</v>
      </c>
      <c r="M1336" s="19"/>
      <c r="N1336" s="19" t="s">
        <v>4419</v>
      </c>
      <c r="O1336" s="20" t="s">
        <v>40</v>
      </c>
      <c r="P1336" s="20" t="s">
        <v>41</v>
      </c>
      <c r="Q1336" s="19" t="s">
        <v>10516</v>
      </c>
      <c r="R1336" s="21" t="s">
        <v>10517</v>
      </c>
      <c r="S1336" s="19" t="s">
        <v>46</v>
      </c>
      <c r="T1336" s="19" t="s">
        <v>635</v>
      </c>
      <c r="U1336" s="19" t="s">
        <v>636</v>
      </c>
      <c r="V1336" s="19" t="s">
        <v>45</v>
      </c>
      <c r="W1336" s="19"/>
      <c r="X1336" s="19"/>
      <c r="Y1336" s="19"/>
      <c r="Z1336" s="19" t="s">
        <v>658</v>
      </c>
      <c r="AA1336" s="19" t="s">
        <v>10518</v>
      </c>
      <c r="AB1336" s="19" t="s">
        <v>46</v>
      </c>
      <c r="AC1336" s="19" t="s">
        <v>46</v>
      </c>
      <c r="AD1336" s="19"/>
      <c r="AE1336" s="19" t="s">
        <v>641</v>
      </c>
      <c r="AF1336" s="19" t="s">
        <v>190</v>
      </c>
      <c r="AG1336" s="19">
        <v>5</v>
      </c>
      <c r="AH1336" s="19" t="s">
        <v>190</v>
      </c>
      <c r="AI1336" s="19"/>
      <c r="AJ1336" s="19" t="s">
        <v>10519</v>
      </c>
      <c r="AK1336" s="19" t="s">
        <v>4945</v>
      </c>
    </row>
    <row r="1337" spans="1:37" s="23" customFormat="1">
      <c r="A1337" s="19" t="str">
        <f>VLOOKUP(H1337,Languages!$A$2:$B$430,2,FALSE)</f>
        <v>Indo-European</v>
      </c>
      <c r="B1337" s="19" t="s">
        <v>1707</v>
      </c>
      <c r="C1337" s="19" t="s">
        <v>1405</v>
      </c>
      <c r="D1337" s="19" t="s">
        <v>3449</v>
      </c>
      <c r="E1337" s="20" t="s">
        <v>1407</v>
      </c>
      <c r="F1337" s="20" t="s">
        <v>1407</v>
      </c>
      <c r="G1337" s="19" t="s">
        <v>1407</v>
      </c>
      <c r="H1337" s="19" t="str">
        <f>VLOOKUP(G1337,'languoid 4.0'!$A$1:$I$24439,2,FALSE)</f>
        <v>indo1319</v>
      </c>
      <c r="I1337" s="19" t="str">
        <f>VLOOKUP(G1337,'languoid 4.0'!$A$1:$I$24439,6,FALSE)</f>
        <v>language</v>
      </c>
      <c r="J1337" s="20" t="s">
        <v>38</v>
      </c>
      <c r="K1337" s="20" t="s">
        <v>38</v>
      </c>
      <c r="L1337" s="20" t="s">
        <v>38</v>
      </c>
      <c r="M1337" s="19"/>
      <c r="N1337" s="19" t="s">
        <v>1409</v>
      </c>
      <c r="O1337" s="20" t="s">
        <v>40</v>
      </c>
      <c r="P1337" s="20" t="s">
        <v>632</v>
      </c>
      <c r="Q1337" s="19" t="s">
        <v>3450</v>
      </c>
      <c r="R1337" s="21" t="s">
        <v>3451</v>
      </c>
      <c r="S1337" s="19" t="s">
        <v>46</v>
      </c>
      <c r="T1337" s="19" t="s">
        <v>635</v>
      </c>
      <c r="U1337" s="19" t="s">
        <v>636</v>
      </c>
      <c r="V1337" s="19" t="s">
        <v>45</v>
      </c>
      <c r="W1337" s="19"/>
      <c r="X1337" s="19"/>
      <c r="Y1337" s="19"/>
      <c r="Z1337" s="19" t="s">
        <v>658</v>
      </c>
      <c r="AA1337" s="19" t="s">
        <v>3452</v>
      </c>
      <c r="AB1337" s="19" t="s">
        <v>46</v>
      </c>
      <c r="AC1337" s="19" t="s">
        <v>46</v>
      </c>
      <c r="AD1337" s="19"/>
      <c r="AE1337" s="19" t="s">
        <v>641</v>
      </c>
      <c r="AF1337" s="19" t="s">
        <v>190</v>
      </c>
      <c r="AG1337" s="19">
        <v>5</v>
      </c>
      <c r="AH1337" s="19" t="s">
        <v>190</v>
      </c>
      <c r="AI1337" s="19"/>
      <c r="AJ1337" s="19" t="s">
        <v>3453</v>
      </c>
      <c r="AK1337" s="19" t="s">
        <v>1598</v>
      </c>
    </row>
    <row r="1338" spans="1:37" s="23" customFormat="1">
      <c r="A1338" s="19" t="str">
        <f>VLOOKUP(H1338,Languages!$A$2:$B$430,2,FALSE)</f>
        <v>Indo-European</v>
      </c>
      <c r="B1338" s="19" t="s">
        <v>1707</v>
      </c>
      <c r="C1338" s="19" t="s">
        <v>1405</v>
      </c>
      <c r="D1338" s="19" t="s">
        <v>3449</v>
      </c>
      <c r="E1338" s="20" t="s">
        <v>1407</v>
      </c>
      <c r="F1338" s="20" t="s">
        <v>1407</v>
      </c>
      <c r="G1338" s="19" t="s">
        <v>1407</v>
      </c>
      <c r="H1338" s="19" t="str">
        <f>VLOOKUP(G1338,'languoid 4.0'!$A$1:$I$24439,2,FALSE)</f>
        <v>indo1319</v>
      </c>
      <c r="I1338" s="19" t="str">
        <f>VLOOKUP(G1338,'languoid 4.0'!$A$1:$I$24439,6,FALSE)</f>
        <v>language</v>
      </c>
      <c r="J1338" s="20" t="s">
        <v>38</v>
      </c>
      <c r="K1338" s="20" t="s">
        <v>38</v>
      </c>
      <c r="L1338" s="20" t="s">
        <v>38</v>
      </c>
      <c r="M1338" s="19"/>
      <c r="N1338" s="19" t="s">
        <v>1409</v>
      </c>
      <c r="O1338" s="20" t="s">
        <v>40</v>
      </c>
      <c r="P1338" s="20" t="s">
        <v>632</v>
      </c>
      <c r="Q1338" s="19" t="s">
        <v>3454</v>
      </c>
      <c r="R1338" s="21" t="s">
        <v>3455</v>
      </c>
      <c r="S1338" s="19" t="s">
        <v>46</v>
      </c>
      <c r="T1338" s="19" t="s">
        <v>635</v>
      </c>
      <c r="U1338" s="19" t="s">
        <v>636</v>
      </c>
      <c r="V1338" s="19" t="s">
        <v>45</v>
      </c>
      <c r="W1338" s="19"/>
      <c r="X1338" s="19"/>
      <c r="Y1338" s="19"/>
      <c r="Z1338" s="19" t="s">
        <v>658</v>
      </c>
      <c r="AA1338" s="19" t="s">
        <v>3456</v>
      </c>
      <c r="AB1338" s="19" t="s">
        <v>46</v>
      </c>
      <c r="AC1338" s="19" t="s">
        <v>46</v>
      </c>
      <c r="AD1338" s="19"/>
      <c r="AE1338" s="19" t="s">
        <v>641</v>
      </c>
      <c r="AF1338" s="19" t="s">
        <v>190</v>
      </c>
      <c r="AG1338" s="19">
        <v>6</v>
      </c>
      <c r="AH1338" s="19" t="s">
        <v>190</v>
      </c>
      <c r="AI1338" s="19"/>
      <c r="AJ1338" s="19" t="s">
        <v>3457</v>
      </c>
      <c r="AK1338" s="19" t="s">
        <v>1598</v>
      </c>
    </row>
    <row r="1339" spans="1:37" s="23" customFormat="1">
      <c r="A1339" s="19" t="str">
        <f>VLOOKUP(H1339,Languages!$A$2:$B$430,2,FALSE)</f>
        <v>Indo-European</v>
      </c>
      <c r="B1339" s="19" t="s">
        <v>1707</v>
      </c>
      <c r="C1339" s="19" t="s">
        <v>1405</v>
      </c>
      <c r="D1339" s="19" t="s">
        <v>3534</v>
      </c>
      <c r="E1339" s="20" t="s">
        <v>1482</v>
      </c>
      <c r="F1339" s="20" t="s">
        <v>1482</v>
      </c>
      <c r="G1339" s="19" t="s">
        <v>1482</v>
      </c>
      <c r="H1339" s="19" t="str">
        <f>VLOOKUP(G1339,'languoid 4.0'!$A$1:$I$24439,2,FALSE)</f>
        <v>indo1319</v>
      </c>
      <c r="I1339" s="19" t="str">
        <f>VLOOKUP(G1339,'languoid 4.0'!$A$1:$I$24439,6,FALSE)</f>
        <v>language</v>
      </c>
      <c r="J1339" s="20" t="s">
        <v>38</v>
      </c>
      <c r="K1339" s="20" t="s">
        <v>38</v>
      </c>
      <c r="L1339" s="20" t="s">
        <v>38</v>
      </c>
      <c r="M1339" s="19"/>
      <c r="N1339" s="19" t="s">
        <v>1483</v>
      </c>
      <c r="O1339" s="20" t="s">
        <v>40</v>
      </c>
      <c r="P1339" s="20" t="s">
        <v>41</v>
      </c>
      <c r="Q1339" s="19" t="s">
        <v>3540</v>
      </c>
      <c r="R1339" s="21" t="s">
        <v>3541</v>
      </c>
      <c r="S1339" s="19" t="s">
        <v>46</v>
      </c>
      <c r="T1339" s="19" t="s">
        <v>635</v>
      </c>
      <c r="U1339" s="19" t="s">
        <v>636</v>
      </c>
      <c r="V1339" s="19" t="s">
        <v>45</v>
      </c>
      <c r="W1339" s="19"/>
      <c r="X1339" s="19"/>
      <c r="Y1339" s="19"/>
      <c r="Z1339" s="19" t="s">
        <v>658</v>
      </c>
      <c r="AA1339" s="19" t="s">
        <v>3542</v>
      </c>
      <c r="AB1339" s="19" t="s">
        <v>46</v>
      </c>
      <c r="AC1339" s="19" t="s">
        <v>46</v>
      </c>
      <c r="AD1339" s="19"/>
      <c r="AE1339" s="19" t="s">
        <v>641</v>
      </c>
      <c r="AF1339" s="19" t="s">
        <v>190</v>
      </c>
      <c r="AG1339" s="19">
        <v>5</v>
      </c>
      <c r="AH1339" s="19" t="s">
        <v>190</v>
      </c>
      <c r="AI1339" s="19"/>
      <c r="AJ1339" s="22">
        <v>43105.333229166667</v>
      </c>
      <c r="AK1339" s="19" t="s">
        <v>1598</v>
      </c>
    </row>
    <row r="1340" spans="1:37" s="23" customFormat="1">
      <c r="A1340" s="19" t="str">
        <f>VLOOKUP(H1340,Languages!$A$2:$B$430,2,FALSE)</f>
        <v>Indo-European</v>
      </c>
      <c r="B1340" s="19" t="s">
        <v>1707</v>
      </c>
      <c r="C1340" s="19" t="s">
        <v>1405</v>
      </c>
      <c r="D1340" s="19" t="s">
        <v>1512</v>
      </c>
      <c r="E1340" s="20" t="s">
        <v>1513</v>
      </c>
      <c r="F1340" s="20" t="s">
        <v>1513</v>
      </c>
      <c r="G1340" s="19" t="s">
        <v>1513</v>
      </c>
      <c r="H1340" s="19" t="str">
        <f>VLOOKUP(G1340,'languoid 4.0'!$A$1:$I$24439,2,FALSE)</f>
        <v>indo1319</v>
      </c>
      <c r="I1340" s="19" t="str">
        <f>VLOOKUP(G1340,'languoid 4.0'!$A$1:$I$24439,6,FALSE)</f>
        <v>language</v>
      </c>
      <c r="J1340" s="20" t="s">
        <v>38</v>
      </c>
      <c r="K1340" s="20" t="s">
        <v>38</v>
      </c>
      <c r="L1340" s="20" t="s">
        <v>38</v>
      </c>
      <c r="M1340" s="19"/>
      <c r="N1340" s="19" t="s">
        <v>1514</v>
      </c>
      <c r="O1340" s="20" t="s">
        <v>40</v>
      </c>
      <c r="P1340" s="20" t="s">
        <v>41</v>
      </c>
      <c r="Q1340" s="19" t="s">
        <v>3543</v>
      </c>
      <c r="R1340" s="21" t="s">
        <v>3544</v>
      </c>
      <c r="S1340" s="19" t="s">
        <v>46</v>
      </c>
      <c r="T1340" s="19" t="s">
        <v>635</v>
      </c>
      <c r="U1340" s="19" t="s">
        <v>636</v>
      </c>
      <c r="V1340" s="19" t="s">
        <v>45</v>
      </c>
      <c r="W1340" s="19"/>
      <c r="X1340" s="19"/>
      <c r="Y1340" s="19"/>
      <c r="Z1340" s="19" t="s">
        <v>658</v>
      </c>
      <c r="AA1340" s="19" t="s">
        <v>3545</v>
      </c>
      <c r="AB1340" s="19" t="s">
        <v>46</v>
      </c>
      <c r="AC1340" s="19" t="s">
        <v>46</v>
      </c>
      <c r="AD1340" s="19"/>
      <c r="AE1340" s="19" t="s">
        <v>641</v>
      </c>
      <c r="AF1340" s="19" t="s">
        <v>190</v>
      </c>
      <c r="AG1340" s="19">
        <v>5</v>
      </c>
      <c r="AH1340" s="19" t="s">
        <v>190</v>
      </c>
      <c r="AI1340" s="19"/>
      <c r="AJ1340" s="22">
        <v>43105.338807870372</v>
      </c>
      <c r="AK1340" s="19" t="s">
        <v>1598</v>
      </c>
    </row>
    <row r="1341" spans="1:37" s="23" customFormat="1">
      <c r="A1341" s="19" t="str">
        <f>VLOOKUP(H1341,Languages!$A$2:$B$430,2,FALSE)</f>
        <v>Indo-European</v>
      </c>
      <c r="B1341" s="19" t="s">
        <v>1707</v>
      </c>
      <c r="C1341" s="19" t="s">
        <v>1405</v>
      </c>
      <c r="D1341" s="19" t="s">
        <v>1512</v>
      </c>
      <c r="E1341" s="20" t="s">
        <v>1513</v>
      </c>
      <c r="F1341" s="20" t="s">
        <v>1513</v>
      </c>
      <c r="G1341" s="19" t="s">
        <v>1513</v>
      </c>
      <c r="H1341" s="19" t="str">
        <f>VLOOKUP(G1341,'languoid 4.0'!$A$1:$I$24439,2,FALSE)</f>
        <v>indo1319</v>
      </c>
      <c r="I1341" s="19" t="str">
        <f>VLOOKUP(G1341,'languoid 4.0'!$A$1:$I$24439,6,FALSE)</f>
        <v>language</v>
      </c>
      <c r="J1341" s="20" t="s">
        <v>38</v>
      </c>
      <c r="K1341" s="20" t="s">
        <v>38</v>
      </c>
      <c r="L1341" s="20" t="s">
        <v>38</v>
      </c>
      <c r="M1341" s="19"/>
      <c r="N1341" s="19" t="s">
        <v>1514</v>
      </c>
      <c r="O1341" s="20" t="s">
        <v>40</v>
      </c>
      <c r="P1341" s="20" t="s">
        <v>41</v>
      </c>
      <c r="Q1341" s="19" t="s">
        <v>3546</v>
      </c>
      <c r="R1341" s="21" t="s">
        <v>3547</v>
      </c>
      <c r="S1341" s="19" t="s">
        <v>46</v>
      </c>
      <c r="T1341" s="19" t="s">
        <v>635</v>
      </c>
      <c r="U1341" s="19" t="s">
        <v>636</v>
      </c>
      <c r="V1341" s="19" t="s">
        <v>45</v>
      </c>
      <c r="W1341" s="19"/>
      <c r="X1341" s="19"/>
      <c r="Y1341" s="19"/>
      <c r="Z1341" s="19" t="s">
        <v>658</v>
      </c>
      <c r="AA1341" s="19" t="s">
        <v>3548</v>
      </c>
      <c r="AB1341" s="19" t="s">
        <v>46</v>
      </c>
      <c r="AC1341" s="19" t="s">
        <v>46</v>
      </c>
      <c r="AD1341" s="19"/>
      <c r="AE1341" s="19" t="s">
        <v>641</v>
      </c>
      <c r="AF1341" s="19" t="s">
        <v>190</v>
      </c>
      <c r="AG1341" s="19">
        <v>5</v>
      </c>
      <c r="AH1341" s="19" t="s">
        <v>190</v>
      </c>
      <c r="AI1341" s="19"/>
      <c r="AJ1341" s="22">
        <v>43105.340208333335</v>
      </c>
      <c r="AK1341" s="19" t="s">
        <v>1598</v>
      </c>
    </row>
    <row r="1342" spans="1:37" s="23" customFormat="1">
      <c r="A1342" s="19" t="str">
        <f>VLOOKUP(H1342,Languages!$A$2:$B$430,2,FALSE)</f>
        <v>Indo-European</v>
      </c>
      <c r="B1342" s="19" t="s">
        <v>1707</v>
      </c>
      <c r="C1342" s="19" t="s">
        <v>407</v>
      </c>
      <c r="D1342" s="19" t="s">
        <v>5087</v>
      </c>
      <c r="E1342" s="20" t="s">
        <v>239</v>
      </c>
      <c r="F1342" s="20" t="s">
        <v>552</v>
      </c>
      <c r="G1342" s="19" t="s">
        <v>552</v>
      </c>
      <c r="H1342" s="19" t="str">
        <f>VLOOKUP(G1342,'languoid 4.0'!$A$1:$I$24439,2,FALSE)</f>
        <v>indo1319</v>
      </c>
      <c r="I1342" s="19" t="str">
        <f>VLOOKUP(G1342,'languoid 4.0'!$A$1:$I$24439,6,FALSE)</f>
        <v>language</v>
      </c>
      <c r="J1342" s="20" t="s">
        <v>52</v>
      </c>
      <c r="K1342" s="20" t="s">
        <v>38</v>
      </c>
      <c r="L1342" s="20" t="s">
        <v>38</v>
      </c>
      <c r="M1342" s="19"/>
      <c r="N1342" s="19" t="s">
        <v>269</v>
      </c>
      <c r="O1342" s="20" t="s">
        <v>40</v>
      </c>
      <c r="P1342" s="20" t="s">
        <v>41</v>
      </c>
      <c r="Q1342" s="19" t="s">
        <v>5088</v>
      </c>
      <c r="R1342" s="21" t="s">
        <v>5089</v>
      </c>
      <c r="S1342" s="19" t="s">
        <v>46</v>
      </c>
      <c r="T1342" s="19" t="s">
        <v>635</v>
      </c>
      <c r="U1342" s="19" t="s">
        <v>636</v>
      </c>
      <c r="V1342" s="19" t="s">
        <v>45</v>
      </c>
      <c r="W1342" s="19"/>
      <c r="X1342" s="19"/>
      <c r="Y1342" s="19"/>
      <c r="Z1342" s="19" t="s">
        <v>658</v>
      </c>
      <c r="AA1342" s="19" t="s">
        <v>5090</v>
      </c>
      <c r="AB1342" s="19" t="s">
        <v>5091</v>
      </c>
      <c r="AC1342" s="19" t="s">
        <v>46</v>
      </c>
      <c r="AD1342" s="19"/>
      <c r="AE1342" s="19" t="s">
        <v>641</v>
      </c>
      <c r="AF1342" s="19" t="s">
        <v>190</v>
      </c>
      <c r="AG1342" s="19">
        <v>6</v>
      </c>
      <c r="AH1342" s="19" t="s">
        <v>190</v>
      </c>
      <c r="AI1342" s="19"/>
      <c r="AJ1342" s="19" t="s">
        <v>5092</v>
      </c>
      <c r="AK1342" s="19" t="s">
        <v>5093</v>
      </c>
    </row>
    <row r="1343" spans="1:37" s="23" customFormat="1">
      <c r="A1343" s="19" t="str">
        <f>VLOOKUP(H1343,Languages!$A$2:$B$430,2,FALSE)</f>
        <v>Indo-European</v>
      </c>
      <c r="B1343" s="19" t="s">
        <v>1707</v>
      </c>
      <c r="C1343" s="19" t="s">
        <v>419</v>
      </c>
      <c r="D1343" s="19" t="s">
        <v>9280</v>
      </c>
      <c r="E1343" s="20" t="s">
        <v>239</v>
      </c>
      <c r="F1343" s="20" t="s">
        <v>239</v>
      </c>
      <c r="G1343" s="19" t="s">
        <v>239</v>
      </c>
      <c r="H1343" s="19" t="str">
        <f>VLOOKUP(G1343,'languoid 4.0'!$A$1:$I$24439,2,FALSE)</f>
        <v>indo1319</v>
      </c>
      <c r="I1343" s="19" t="str">
        <f>VLOOKUP(G1343,'languoid 4.0'!$A$1:$I$24439,6,FALSE)</f>
        <v>language</v>
      </c>
      <c r="J1343" s="20" t="s">
        <v>38</v>
      </c>
      <c r="K1343" s="20" t="s">
        <v>38</v>
      </c>
      <c r="L1343" s="20" t="s">
        <v>38</v>
      </c>
      <c r="M1343" s="19"/>
      <c r="N1343" s="19" t="s">
        <v>269</v>
      </c>
      <c r="O1343" s="20" t="s">
        <v>40</v>
      </c>
      <c r="P1343" s="20" t="s">
        <v>41</v>
      </c>
      <c r="Q1343" s="19" t="s">
        <v>10737</v>
      </c>
      <c r="R1343" s="21" t="s">
        <v>10738</v>
      </c>
      <c r="S1343" s="19" t="s">
        <v>323</v>
      </c>
      <c r="T1343" s="19" t="s">
        <v>657</v>
      </c>
      <c r="U1343" s="19" t="s">
        <v>636</v>
      </c>
      <c r="V1343" s="19" t="s">
        <v>45</v>
      </c>
      <c r="W1343" s="19"/>
      <c r="X1343" s="19"/>
      <c r="Y1343" s="19"/>
      <c r="Z1343" s="19" t="s">
        <v>637</v>
      </c>
      <c r="AA1343" s="19" t="s">
        <v>10739</v>
      </c>
      <c r="AB1343" s="19" t="s">
        <v>10740</v>
      </c>
      <c r="AC1343" s="19" t="s">
        <v>46</v>
      </c>
      <c r="AD1343" s="19"/>
      <c r="AE1343" s="19" t="s">
        <v>641</v>
      </c>
      <c r="AF1343" s="19" t="s">
        <v>190</v>
      </c>
      <c r="AG1343" s="19">
        <v>6</v>
      </c>
      <c r="AH1343" s="19" t="s">
        <v>190</v>
      </c>
      <c r="AI1343" s="19"/>
      <c r="AJ1343" s="22">
        <v>43232.646145833336</v>
      </c>
      <c r="AK1343" s="19" t="s">
        <v>8989</v>
      </c>
    </row>
    <row r="1344" spans="1:37" s="23" customFormat="1">
      <c r="A1344" s="19" t="str">
        <f>VLOOKUP(H1344,Languages!$A$2:$B$430,2,FALSE)</f>
        <v>Indo-European</v>
      </c>
      <c r="B1344" s="19" t="s">
        <v>1707</v>
      </c>
      <c r="C1344" s="19" t="s">
        <v>249</v>
      </c>
      <c r="D1344" s="19" t="s">
        <v>10560</v>
      </c>
      <c r="E1344" s="20" t="s">
        <v>10561</v>
      </c>
      <c r="F1344" s="20" t="s">
        <v>10561</v>
      </c>
      <c r="G1344" s="19" t="s">
        <v>10561</v>
      </c>
      <c r="H1344" s="19" t="str">
        <f>VLOOKUP(G1344,'languoid 4.0'!$A$1:$I$24439,2,FALSE)</f>
        <v>indo1319</v>
      </c>
      <c r="I1344" s="19" t="str">
        <f>VLOOKUP(G1344,'languoid 4.0'!$A$1:$I$24439,6,FALSE)</f>
        <v>language</v>
      </c>
      <c r="J1344" s="20" t="s">
        <v>38</v>
      </c>
      <c r="K1344" s="20" t="s">
        <v>38</v>
      </c>
      <c r="L1344" s="20" t="s">
        <v>38</v>
      </c>
      <c r="M1344" s="19"/>
      <c r="N1344" s="19" t="s">
        <v>10562</v>
      </c>
      <c r="O1344" s="20" t="s">
        <v>40</v>
      </c>
      <c r="P1344" s="20" t="s">
        <v>41</v>
      </c>
      <c r="Q1344" s="19" t="s">
        <v>10563</v>
      </c>
      <c r="R1344" s="21" t="s">
        <v>10564</v>
      </c>
      <c r="S1344" s="19" t="s">
        <v>46</v>
      </c>
      <c r="T1344" s="19" t="s">
        <v>10565</v>
      </c>
      <c r="U1344" s="19" t="s">
        <v>636</v>
      </c>
      <c r="V1344" s="19" t="s">
        <v>45</v>
      </c>
      <c r="W1344" s="19"/>
      <c r="X1344" s="19"/>
      <c r="Y1344" s="19"/>
      <c r="Z1344" s="19" t="s">
        <v>658</v>
      </c>
      <c r="AA1344" s="19" t="s">
        <v>10566</v>
      </c>
      <c r="AB1344" s="19" t="s">
        <v>46</v>
      </c>
      <c r="AC1344" s="19" t="s">
        <v>46</v>
      </c>
      <c r="AD1344" s="21" t="s">
        <v>10567</v>
      </c>
      <c r="AE1344" s="19" t="s">
        <v>641</v>
      </c>
      <c r="AF1344" s="19" t="s">
        <v>190</v>
      </c>
      <c r="AG1344" s="19">
        <v>6</v>
      </c>
      <c r="AH1344" s="19" t="s">
        <v>190</v>
      </c>
      <c r="AI1344" s="19"/>
      <c r="AJ1344" s="19" t="s">
        <v>10568</v>
      </c>
      <c r="AK1344" s="19" t="s">
        <v>5640</v>
      </c>
    </row>
    <row r="1345" spans="1:37" s="23" customFormat="1">
      <c r="A1345" s="19" t="str">
        <f>VLOOKUP(H1345,Languages!$A$2:$B$430,2,FALSE)</f>
        <v>Indo-European</v>
      </c>
      <c r="B1345" s="19" t="s">
        <v>1707</v>
      </c>
      <c r="C1345" s="19" t="s">
        <v>124</v>
      </c>
      <c r="D1345" s="19" t="s">
        <v>2238</v>
      </c>
      <c r="E1345" s="20" t="s">
        <v>51</v>
      </c>
      <c r="F1345" s="20" t="s">
        <v>186</v>
      </c>
      <c r="G1345" s="19" t="s">
        <v>187</v>
      </c>
      <c r="H1345" s="19" t="str">
        <f>VLOOKUP(G1345,'languoid 4.0'!$A$1:$I$24439,2,FALSE)</f>
        <v>indo1319</v>
      </c>
      <c r="I1345" s="19" t="str">
        <f>VLOOKUP(G1345,'languoid 4.0'!$A$1:$I$24439,6,FALSE)</f>
        <v>language</v>
      </c>
      <c r="J1345" s="20" t="s">
        <v>52</v>
      </c>
      <c r="K1345" s="20" t="s">
        <v>51</v>
      </c>
      <c r="L1345" s="20" t="s">
        <v>51</v>
      </c>
      <c r="M1345" s="19"/>
      <c r="N1345" s="19" t="e">
        <v>#N/A</v>
      </c>
      <c r="O1345" s="20" t="s">
        <v>690</v>
      </c>
      <c r="P1345" s="20"/>
      <c r="Q1345" s="19" t="s">
        <v>2239</v>
      </c>
      <c r="R1345" s="19" t="s">
        <v>2240</v>
      </c>
      <c r="S1345" s="19">
        <v>3</v>
      </c>
      <c r="T1345" s="19" t="s">
        <v>635</v>
      </c>
      <c r="U1345" s="19" t="s">
        <v>636</v>
      </c>
      <c r="V1345" s="19" t="s">
        <v>45</v>
      </c>
      <c r="W1345" s="19"/>
      <c r="X1345" s="19"/>
      <c r="Y1345" s="19"/>
      <c r="Z1345" s="19" t="s">
        <v>658</v>
      </c>
      <c r="AA1345" s="19" t="s">
        <v>2241</v>
      </c>
      <c r="AB1345" s="19" t="s">
        <v>46</v>
      </c>
      <c r="AC1345" s="19" t="s">
        <v>46</v>
      </c>
      <c r="AD1345" s="19" t="s">
        <v>2242</v>
      </c>
      <c r="AE1345" s="19" t="s">
        <v>641</v>
      </c>
      <c r="AF1345" s="19" t="s">
        <v>190</v>
      </c>
      <c r="AG1345" s="19">
        <v>6</v>
      </c>
      <c r="AH1345" s="19" t="s">
        <v>190</v>
      </c>
      <c r="AI1345" s="19"/>
      <c r="AJ1345" s="19" t="s">
        <v>2243</v>
      </c>
      <c r="AK1345" s="19" t="s">
        <v>1126</v>
      </c>
    </row>
    <row r="1346" spans="1:37" s="23" customFormat="1">
      <c r="A1346" s="19" t="str">
        <f>VLOOKUP(H1346,Languages!$A$2:$B$430,2,FALSE)</f>
        <v>Indo-European</v>
      </c>
      <c r="B1346" s="19" t="s">
        <v>1707</v>
      </c>
      <c r="C1346" s="19" t="s">
        <v>124</v>
      </c>
      <c r="D1346" s="19" t="s">
        <v>2238</v>
      </c>
      <c r="E1346" s="20" t="s">
        <v>51</v>
      </c>
      <c r="F1346" s="20" t="s">
        <v>186</v>
      </c>
      <c r="G1346" s="19" t="s">
        <v>187</v>
      </c>
      <c r="H1346" s="19" t="str">
        <f>VLOOKUP(G1346,'languoid 4.0'!$A$1:$I$24439,2,FALSE)</f>
        <v>indo1319</v>
      </c>
      <c r="I1346" s="19" t="str">
        <f>VLOOKUP(G1346,'languoid 4.0'!$A$1:$I$24439,6,FALSE)</f>
        <v>language</v>
      </c>
      <c r="J1346" s="20" t="s">
        <v>52</v>
      </c>
      <c r="K1346" s="20" t="s">
        <v>51</v>
      </c>
      <c r="L1346" s="20" t="s">
        <v>51</v>
      </c>
      <c r="M1346" s="19"/>
      <c r="N1346" s="19" t="e">
        <v>#N/A</v>
      </c>
      <c r="O1346" s="20" t="s">
        <v>690</v>
      </c>
      <c r="P1346" s="20"/>
      <c r="Q1346" s="19" t="s">
        <v>2244</v>
      </c>
      <c r="R1346" s="21" t="s">
        <v>2232</v>
      </c>
      <c r="S1346" s="19" t="s">
        <v>2245</v>
      </c>
      <c r="T1346" s="19" t="s">
        <v>635</v>
      </c>
      <c r="U1346" s="19" t="s">
        <v>636</v>
      </c>
      <c r="V1346" s="19" t="s">
        <v>45</v>
      </c>
      <c r="W1346" s="19"/>
      <c r="X1346" s="19"/>
      <c r="Y1346" s="19"/>
      <c r="Z1346" s="19" t="s">
        <v>658</v>
      </c>
      <c r="AA1346" s="19" t="s">
        <v>2246</v>
      </c>
      <c r="AB1346" s="19" t="s">
        <v>46</v>
      </c>
      <c r="AC1346" s="19" t="s">
        <v>46</v>
      </c>
      <c r="AD1346" s="19" t="s">
        <v>2247</v>
      </c>
      <c r="AE1346" s="19" t="s">
        <v>641</v>
      </c>
      <c r="AF1346" s="19" t="s">
        <v>190</v>
      </c>
      <c r="AG1346" s="19">
        <v>6</v>
      </c>
      <c r="AH1346" s="19" t="s">
        <v>190</v>
      </c>
      <c r="AI1346" s="19" t="s">
        <v>2248</v>
      </c>
      <c r="AJ1346" s="19" t="s">
        <v>2249</v>
      </c>
      <c r="AK1346" s="19" t="s">
        <v>1126</v>
      </c>
    </row>
    <row r="1347" spans="1:37" s="23" customFormat="1">
      <c r="A1347" s="19" t="str">
        <f>VLOOKUP(H1347,Languages!$A$2:$B$430,2,FALSE)</f>
        <v>Indo-European</v>
      </c>
      <c r="B1347" s="19" t="s">
        <v>1707</v>
      </c>
      <c r="C1347" s="19" t="s">
        <v>124</v>
      </c>
      <c r="D1347" s="19" t="s">
        <v>3564</v>
      </c>
      <c r="E1347" s="20" t="s">
        <v>3565</v>
      </c>
      <c r="F1347" s="20" t="s">
        <v>3565</v>
      </c>
      <c r="G1347" s="19" t="s">
        <v>3565</v>
      </c>
      <c r="H1347" s="19" t="str">
        <f>VLOOKUP(G1347,'languoid 4.0'!$A$1:$I$24439,2,FALSE)</f>
        <v>indo1319</v>
      </c>
      <c r="I1347" s="19" t="str">
        <f>VLOOKUP(G1347,'languoid 4.0'!$A$1:$I$24439,6,FALSE)</f>
        <v>language</v>
      </c>
      <c r="J1347" s="20" t="s">
        <v>38</v>
      </c>
      <c r="K1347" s="20" t="s">
        <v>38</v>
      </c>
      <c r="L1347" s="20" t="s">
        <v>38</v>
      </c>
      <c r="M1347" s="19"/>
      <c r="N1347" s="19" t="s">
        <v>3566</v>
      </c>
      <c r="O1347" s="20" t="s">
        <v>40</v>
      </c>
      <c r="P1347" s="20" t="s">
        <v>41</v>
      </c>
      <c r="Q1347" s="19" t="s">
        <v>3567</v>
      </c>
      <c r="R1347" s="21" t="s">
        <v>3568</v>
      </c>
      <c r="S1347" s="19">
        <v>10</v>
      </c>
      <c r="T1347" s="19" t="s">
        <v>657</v>
      </c>
      <c r="U1347" s="19" t="s">
        <v>636</v>
      </c>
      <c r="V1347" s="19" t="s">
        <v>45</v>
      </c>
      <c r="W1347" s="19"/>
      <c r="X1347" s="19"/>
      <c r="Y1347" s="19"/>
      <c r="Z1347" s="19" t="s">
        <v>658</v>
      </c>
      <c r="AA1347" s="19" t="s">
        <v>3569</v>
      </c>
      <c r="AB1347" s="19" t="s">
        <v>46</v>
      </c>
      <c r="AC1347" s="19" t="s">
        <v>46</v>
      </c>
      <c r="AD1347" s="19"/>
      <c r="AE1347" s="19" t="s">
        <v>641</v>
      </c>
      <c r="AF1347" s="19" t="s">
        <v>190</v>
      </c>
      <c r="AG1347" s="19">
        <v>6</v>
      </c>
      <c r="AH1347" s="19" t="s">
        <v>190</v>
      </c>
      <c r="AI1347" s="19"/>
      <c r="AJ1347" s="22">
        <v>43164.931250000001</v>
      </c>
      <c r="AK1347" s="19" t="s">
        <v>1126</v>
      </c>
    </row>
    <row r="1348" spans="1:37" s="23" customFormat="1">
      <c r="A1348" s="19" t="str">
        <f>VLOOKUP(H1348,Languages!$A$2:$B$430,2,FALSE)</f>
        <v>Indo-European</v>
      </c>
      <c r="B1348" s="19" t="s">
        <v>1707</v>
      </c>
      <c r="C1348" s="19" t="s">
        <v>124</v>
      </c>
      <c r="D1348" s="19" t="s">
        <v>3564</v>
      </c>
      <c r="E1348" s="20" t="s">
        <v>3565</v>
      </c>
      <c r="F1348" s="20" t="s">
        <v>186</v>
      </c>
      <c r="G1348" s="19" t="s">
        <v>3565</v>
      </c>
      <c r="H1348" s="19" t="str">
        <f>VLOOKUP(G1348,'languoid 4.0'!$A$1:$I$24439,2,FALSE)</f>
        <v>indo1319</v>
      </c>
      <c r="I1348" s="19" t="str">
        <f>VLOOKUP(G1348,'languoid 4.0'!$A$1:$I$24439,6,FALSE)</f>
        <v>language</v>
      </c>
      <c r="J1348" s="20" t="s">
        <v>52</v>
      </c>
      <c r="K1348" s="20" t="s">
        <v>38</v>
      </c>
      <c r="L1348" s="20" t="s">
        <v>38</v>
      </c>
      <c r="M1348" s="19"/>
      <c r="N1348" s="19" t="s">
        <v>3566</v>
      </c>
      <c r="O1348" s="20" t="s">
        <v>40</v>
      </c>
      <c r="P1348" s="20" t="s">
        <v>41</v>
      </c>
      <c r="Q1348" s="19" t="s">
        <v>3794</v>
      </c>
      <c r="R1348" s="21" t="s">
        <v>3795</v>
      </c>
      <c r="S1348" s="19">
        <v>3</v>
      </c>
      <c r="T1348" s="19" t="s">
        <v>657</v>
      </c>
      <c r="U1348" s="19" t="s">
        <v>636</v>
      </c>
      <c r="V1348" s="19" t="s">
        <v>45</v>
      </c>
      <c r="W1348" s="19"/>
      <c r="X1348" s="19"/>
      <c r="Y1348" s="19"/>
      <c r="Z1348" s="19" t="s">
        <v>658</v>
      </c>
      <c r="AA1348" s="19" t="s">
        <v>3796</v>
      </c>
      <c r="AB1348" s="19" t="s">
        <v>46</v>
      </c>
      <c r="AC1348" s="19" t="s">
        <v>46</v>
      </c>
      <c r="AD1348" s="19"/>
      <c r="AE1348" s="19" t="s">
        <v>641</v>
      </c>
      <c r="AF1348" s="19" t="s">
        <v>190</v>
      </c>
      <c r="AG1348" s="19">
        <v>6</v>
      </c>
      <c r="AH1348" s="19" t="s">
        <v>190</v>
      </c>
      <c r="AI1348" s="19"/>
      <c r="AJ1348" s="19" t="s">
        <v>3797</v>
      </c>
      <c r="AK1348" s="19" t="s">
        <v>1126</v>
      </c>
    </row>
    <row r="1349" spans="1:37" s="23" customFormat="1">
      <c r="A1349" s="19" t="str">
        <f>VLOOKUP(H1349,Languages!$A$2:$B$430,2,FALSE)</f>
        <v>Indo-European</v>
      </c>
      <c r="B1349" s="19" t="s">
        <v>1707</v>
      </c>
      <c r="C1349" s="19" t="s">
        <v>124</v>
      </c>
      <c r="D1349" s="19" t="s">
        <v>7900</v>
      </c>
      <c r="E1349" s="20" t="s">
        <v>185</v>
      </c>
      <c r="F1349" s="20" t="s">
        <v>7901</v>
      </c>
      <c r="G1349" s="19" t="s">
        <v>7902</v>
      </c>
      <c r="H1349" s="19" t="str">
        <f>VLOOKUP(G1349,'languoid 4.0'!$A$1:$I$24439,2,FALSE)</f>
        <v>indo1319</v>
      </c>
      <c r="I1349" s="19" t="str">
        <f>VLOOKUP(G1349,'languoid 4.0'!$A$1:$I$24439,6,FALSE)</f>
        <v>family</v>
      </c>
      <c r="J1349" s="20" t="s">
        <v>52</v>
      </c>
      <c r="K1349" s="20" t="s">
        <v>52</v>
      </c>
      <c r="L1349" s="20" t="s">
        <v>38</v>
      </c>
      <c r="M1349" s="19"/>
      <c r="N1349" s="19"/>
      <c r="O1349" s="20" t="s">
        <v>113</v>
      </c>
      <c r="P1349" s="20" t="s">
        <v>41</v>
      </c>
      <c r="Q1349" s="19" t="s">
        <v>7907</v>
      </c>
      <c r="R1349" s="21" t="s">
        <v>7908</v>
      </c>
      <c r="S1349" s="19" t="s">
        <v>46</v>
      </c>
      <c r="T1349" s="19" t="s">
        <v>822</v>
      </c>
      <c r="U1349" s="19" t="s">
        <v>636</v>
      </c>
      <c r="V1349" s="19" t="s">
        <v>45</v>
      </c>
      <c r="W1349" s="19"/>
      <c r="X1349" s="19"/>
      <c r="Y1349" s="19"/>
      <c r="Z1349" s="19" t="s">
        <v>658</v>
      </c>
      <c r="AA1349" s="19" t="s">
        <v>7909</v>
      </c>
      <c r="AB1349" s="19" t="s">
        <v>7910</v>
      </c>
      <c r="AC1349" s="19" t="s">
        <v>46</v>
      </c>
      <c r="AD1349" s="19"/>
      <c r="AE1349" s="19"/>
      <c r="AF1349" s="19"/>
      <c r="AG1349" s="19"/>
      <c r="AH1349" s="19" t="s">
        <v>45</v>
      </c>
      <c r="AI1349" s="19"/>
      <c r="AJ1349" s="19" t="s">
        <v>7911</v>
      </c>
      <c r="AK1349" s="19" t="s">
        <v>4945</v>
      </c>
    </row>
    <row r="1350" spans="1:37" s="23" customFormat="1">
      <c r="A1350" s="19" t="str">
        <f>VLOOKUP(H1350,Languages!$A$2:$B$430,2,FALSE)</f>
        <v>Indo-European</v>
      </c>
      <c r="B1350" s="19" t="s">
        <v>1707</v>
      </c>
      <c r="C1350" s="19" t="s">
        <v>124</v>
      </c>
      <c r="D1350" s="19" t="s">
        <v>9411</v>
      </c>
      <c r="E1350" s="20" t="s">
        <v>9412</v>
      </c>
      <c r="F1350" s="20" t="s">
        <v>9412</v>
      </c>
      <c r="G1350" s="19" t="s">
        <v>9412</v>
      </c>
      <c r="H1350" s="19" t="str">
        <f>VLOOKUP(G1350,'languoid 4.0'!$A$1:$I$24439,2,FALSE)</f>
        <v>indo1319</v>
      </c>
      <c r="I1350" s="19" t="str">
        <f>VLOOKUP(G1350,'languoid 4.0'!$A$1:$I$24439,6,FALSE)</f>
        <v>dialect</v>
      </c>
      <c r="J1350" s="20" t="s">
        <v>38</v>
      </c>
      <c r="K1350" s="20" t="s">
        <v>38</v>
      </c>
      <c r="L1350" s="20" t="s">
        <v>38</v>
      </c>
      <c r="M1350" s="19"/>
      <c r="N1350" s="19"/>
      <c r="O1350" s="20" t="s">
        <v>40</v>
      </c>
      <c r="P1350" s="20" t="s">
        <v>41</v>
      </c>
      <c r="Q1350" s="19" t="s">
        <v>9413</v>
      </c>
      <c r="R1350" s="21" t="s">
        <v>9414</v>
      </c>
      <c r="S1350" s="19" t="s">
        <v>471</v>
      </c>
      <c r="T1350" s="19" t="s">
        <v>9415</v>
      </c>
      <c r="U1350" s="19" t="s">
        <v>1812</v>
      </c>
      <c r="V1350" s="19" t="s">
        <v>45</v>
      </c>
      <c r="W1350" s="19"/>
      <c r="X1350" s="19"/>
      <c r="Y1350" s="19"/>
      <c r="Z1350" s="19" t="s">
        <v>1151</v>
      </c>
      <c r="AA1350" s="19" t="s">
        <v>9416</v>
      </c>
      <c r="AB1350" s="19" t="s">
        <v>9417</v>
      </c>
      <c r="AC1350" s="19" t="s">
        <v>9418</v>
      </c>
      <c r="AD1350" s="19"/>
      <c r="AE1350" s="19" t="s">
        <v>641</v>
      </c>
      <c r="AF1350" s="19" t="s">
        <v>190</v>
      </c>
      <c r="AG1350" s="19">
        <v>6</v>
      </c>
      <c r="AH1350" s="19" t="s">
        <v>190</v>
      </c>
      <c r="AI1350" s="19"/>
      <c r="AJ1350" s="22">
        <v>43200.494803240741</v>
      </c>
      <c r="AK1350" s="19" t="s">
        <v>4945</v>
      </c>
    </row>
    <row r="1351" spans="1:37" s="23" customFormat="1">
      <c r="A1351" s="19" t="str">
        <f>VLOOKUP(H1351,Languages!$A$2:$B$430,2,FALSE)</f>
        <v>Indo-European</v>
      </c>
      <c r="B1351" s="19" t="s">
        <v>1707</v>
      </c>
      <c r="C1351" s="19" t="s">
        <v>58</v>
      </c>
      <c r="D1351" s="19" t="s">
        <v>6278</v>
      </c>
      <c r="E1351" s="20" t="s">
        <v>2354</v>
      </c>
      <c r="F1351" s="20" t="s">
        <v>2354</v>
      </c>
      <c r="G1351" s="19" t="s">
        <v>2354</v>
      </c>
      <c r="H1351" s="19" t="str">
        <f>VLOOKUP(G1351,'languoid 4.0'!$A$1:$I$24439,2,FALSE)</f>
        <v>indo1319</v>
      </c>
      <c r="I1351" s="19" t="str">
        <f>VLOOKUP(G1351,'languoid 4.0'!$A$1:$I$24439,6,FALSE)</f>
        <v>language</v>
      </c>
      <c r="J1351" s="20" t="s">
        <v>38</v>
      </c>
      <c r="K1351" s="20" t="s">
        <v>38</v>
      </c>
      <c r="L1351" s="20" t="s">
        <v>38</v>
      </c>
      <c r="M1351" s="19"/>
      <c r="N1351" s="19" t="s">
        <v>2355</v>
      </c>
      <c r="O1351" s="20" t="s">
        <v>40</v>
      </c>
      <c r="P1351" s="20" t="s">
        <v>41</v>
      </c>
      <c r="Q1351" s="19" t="s">
        <v>6279</v>
      </c>
      <c r="R1351" s="21" t="s">
        <v>6280</v>
      </c>
      <c r="S1351" s="19" t="s">
        <v>6281</v>
      </c>
      <c r="T1351" s="19" t="s">
        <v>6269</v>
      </c>
      <c r="U1351" s="19" t="s">
        <v>636</v>
      </c>
      <c r="V1351" s="19" t="s">
        <v>45</v>
      </c>
      <c r="W1351" s="19"/>
      <c r="X1351" s="19"/>
      <c r="Y1351" s="19"/>
      <c r="Z1351" s="19" t="s">
        <v>658</v>
      </c>
      <c r="AA1351" s="19" t="s">
        <v>6282</v>
      </c>
      <c r="AB1351" s="19" t="s">
        <v>6283</v>
      </c>
      <c r="AC1351" s="19" t="s">
        <v>46</v>
      </c>
      <c r="AD1351" s="19"/>
      <c r="AE1351" s="19" t="s">
        <v>641</v>
      </c>
      <c r="AF1351" s="19" t="s">
        <v>190</v>
      </c>
      <c r="AG1351" s="19">
        <v>6</v>
      </c>
      <c r="AH1351" s="19" t="s">
        <v>190</v>
      </c>
      <c r="AI1351" s="19"/>
      <c r="AJ1351" s="22">
        <v>43227.532361111109</v>
      </c>
      <c r="AK1351" s="19" t="s">
        <v>4408</v>
      </c>
    </row>
    <row r="1352" spans="1:37" s="23" customFormat="1">
      <c r="A1352" s="19" t="str">
        <f>VLOOKUP(H1352,Languages!$A$2:$B$430,2,FALSE)</f>
        <v>Indo-European</v>
      </c>
      <c r="B1352" s="19" t="s">
        <v>1707</v>
      </c>
      <c r="C1352" s="19" t="s">
        <v>58</v>
      </c>
      <c r="D1352" s="19" t="s">
        <v>6959</v>
      </c>
      <c r="E1352" s="20" t="s">
        <v>2354</v>
      </c>
      <c r="F1352" s="20" t="s">
        <v>2354</v>
      </c>
      <c r="G1352" s="19" t="s">
        <v>2354</v>
      </c>
      <c r="H1352" s="19" t="str">
        <f>VLOOKUP(G1352,'languoid 4.0'!$A$1:$I$24439,2,FALSE)</f>
        <v>indo1319</v>
      </c>
      <c r="I1352" s="19" t="str">
        <f>VLOOKUP(G1352,'languoid 4.0'!$A$1:$I$24439,6,FALSE)</f>
        <v>language</v>
      </c>
      <c r="J1352" s="20" t="s">
        <v>38</v>
      </c>
      <c r="K1352" s="20" t="s">
        <v>38</v>
      </c>
      <c r="L1352" s="20" t="s">
        <v>38</v>
      </c>
      <c r="M1352" s="19"/>
      <c r="N1352" s="19" t="s">
        <v>2355</v>
      </c>
      <c r="O1352" s="20" t="s">
        <v>40</v>
      </c>
      <c r="P1352" s="20" t="s">
        <v>41</v>
      </c>
      <c r="Q1352" s="19" t="s">
        <v>6960</v>
      </c>
      <c r="R1352" s="21" t="s">
        <v>6961</v>
      </c>
      <c r="S1352" s="19" t="s">
        <v>6962</v>
      </c>
      <c r="T1352" s="19" t="s">
        <v>6963</v>
      </c>
      <c r="U1352" s="19" t="s">
        <v>6964</v>
      </c>
      <c r="V1352" s="19" t="s">
        <v>45</v>
      </c>
      <c r="W1352" s="19"/>
      <c r="X1352" s="19"/>
      <c r="Y1352" s="19"/>
      <c r="Z1352" s="19" t="s">
        <v>658</v>
      </c>
      <c r="AA1352" s="19" t="s">
        <v>6965</v>
      </c>
      <c r="AB1352" s="19" t="s">
        <v>6966</v>
      </c>
      <c r="AC1352" s="19" t="s">
        <v>46</v>
      </c>
      <c r="AD1352" s="19"/>
      <c r="AE1352" s="19" t="s">
        <v>641</v>
      </c>
      <c r="AF1352" s="19" t="s">
        <v>190</v>
      </c>
      <c r="AG1352" s="19">
        <v>6</v>
      </c>
      <c r="AH1352" s="19" t="s">
        <v>190</v>
      </c>
      <c r="AI1352" s="19"/>
      <c r="AJ1352" s="22">
        <v>43108.44017361111</v>
      </c>
      <c r="AK1352" s="19" t="s">
        <v>4408</v>
      </c>
    </row>
    <row r="1353" spans="1:37" s="23" customFormat="1">
      <c r="A1353" s="19" t="str">
        <f>VLOOKUP(H1353,Languages!$A$2:$B$430,2,FALSE)</f>
        <v>Indo-European</v>
      </c>
      <c r="B1353" s="19" t="s">
        <v>1707</v>
      </c>
      <c r="C1353" s="19" t="s">
        <v>58</v>
      </c>
      <c r="D1353" s="19" t="s">
        <v>8973</v>
      </c>
      <c r="E1353" s="20" t="s">
        <v>2995</v>
      </c>
      <c r="F1353" s="20" t="s">
        <v>2995</v>
      </c>
      <c r="G1353" s="19" t="s">
        <v>2995</v>
      </c>
      <c r="H1353" s="19" t="str">
        <f>VLOOKUP(G1353,'languoid 4.0'!$A$1:$I$24439,2,FALSE)</f>
        <v>indo1319</v>
      </c>
      <c r="I1353" s="19" t="str">
        <f>VLOOKUP(G1353,'languoid 4.0'!$A$1:$I$24439,6,FALSE)</f>
        <v>language</v>
      </c>
      <c r="J1353" s="20" t="s">
        <v>38</v>
      </c>
      <c r="K1353" s="20" t="s">
        <v>38</v>
      </c>
      <c r="L1353" s="20" t="s">
        <v>38</v>
      </c>
      <c r="M1353" s="19"/>
      <c r="N1353" s="19" t="s">
        <v>2996</v>
      </c>
      <c r="O1353" s="20" t="s">
        <v>40</v>
      </c>
      <c r="P1353" s="20" t="s">
        <v>41</v>
      </c>
      <c r="Q1353" s="19" t="s">
        <v>9167</v>
      </c>
      <c r="R1353" s="21" t="s">
        <v>9168</v>
      </c>
      <c r="S1353" s="19" t="s">
        <v>46</v>
      </c>
      <c r="T1353" s="19" t="s">
        <v>635</v>
      </c>
      <c r="U1353" s="19" t="s">
        <v>636</v>
      </c>
      <c r="V1353" s="19" t="s">
        <v>45</v>
      </c>
      <c r="W1353" s="19"/>
      <c r="X1353" s="19"/>
      <c r="Y1353" s="19"/>
      <c r="Z1353" s="19" t="s">
        <v>637</v>
      </c>
      <c r="AA1353" s="19" t="s">
        <v>9169</v>
      </c>
      <c r="AB1353" s="19" t="s">
        <v>9170</v>
      </c>
      <c r="AC1353" s="19" t="s">
        <v>46</v>
      </c>
      <c r="AD1353" s="19"/>
      <c r="AE1353" s="19" t="s">
        <v>641</v>
      </c>
      <c r="AF1353" s="19" t="s">
        <v>190</v>
      </c>
      <c r="AG1353" s="19">
        <v>6</v>
      </c>
      <c r="AH1353" s="19" t="s">
        <v>190</v>
      </c>
      <c r="AI1353" s="19"/>
      <c r="AJ1353" s="19" t="s">
        <v>9171</v>
      </c>
      <c r="AK1353" s="19" t="s">
        <v>8947</v>
      </c>
    </row>
    <row r="1354" spans="1:37" s="23" customFormat="1">
      <c r="A1354" s="19" t="str">
        <f>VLOOKUP(H1354,Languages!$A$2:$B$430,2,FALSE)</f>
        <v>Indo-European</v>
      </c>
      <c r="B1354" s="19" t="s">
        <v>1707</v>
      </c>
      <c r="C1354" s="19" t="s">
        <v>58</v>
      </c>
      <c r="D1354" s="19" t="s">
        <v>5171</v>
      </c>
      <c r="E1354" s="20" t="s">
        <v>5172</v>
      </c>
      <c r="F1354" s="20" t="s">
        <v>9200</v>
      </c>
      <c r="G1354" s="19" t="s">
        <v>9200</v>
      </c>
      <c r="H1354" s="19" t="str">
        <f>VLOOKUP(G1354,'languoid 4.0'!$A$1:$I$24439,2,FALSE)</f>
        <v>indo1319</v>
      </c>
      <c r="I1354" s="19" t="str">
        <f>VLOOKUP(G1354,'languoid 4.0'!$A$1:$I$24439,6,FALSE)</f>
        <v>language</v>
      </c>
      <c r="J1354" s="20" t="s">
        <v>52</v>
      </c>
      <c r="K1354" s="20" t="s">
        <v>52</v>
      </c>
      <c r="L1354" s="20" t="s">
        <v>38</v>
      </c>
      <c r="M1354" s="19"/>
      <c r="N1354" s="19" t="s">
        <v>5174</v>
      </c>
      <c r="O1354" s="20" t="s">
        <v>113</v>
      </c>
      <c r="P1354" s="20" t="s">
        <v>41</v>
      </c>
      <c r="Q1354" s="19" t="s">
        <v>9201</v>
      </c>
      <c r="R1354" s="21" t="s">
        <v>9202</v>
      </c>
      <c r="S1354" s="19" t="s">
        <v>46</v>
      </c>
      <c r="T1354" s="19" t="s">
        <v>635</v>
      </c>
      <c r="U1354" s="19" t="s">
        <v>636</v>
      </c>
      <c r="V1354" s="19" t="s">
        <v>45</v>
      </c>
      <c r="W1354" s="19"/>
      <c r="X1354" s="19"/>
      <c r="Y1354" s="19"/>
      <c r="Z1354" s="19" t="s">
        <v>637</v>
      </c>
      <c r="AA1354" s="19" t="s">
        <v>9203</v>
      </c>
      <c r="AB1354" s="19" t="s">
        <v>9204</v>
      </c>
      <c r="AC1354" s="19" t="s">
        <v>46</v>
      </c>
      <c r="AD1354" s="19"/>
      <c r="AE1354" s="19" t="s">
        <v>641</v>
      </c>
      <c r="AF1354" s="19" t="s">
        <v>190</v>
      </c>
      <c r="AG1354" s="19">
        <v>6</v>
      </c>
      <c r="AH1354" s="19" t="s">
        <v>190</v>
      </c>
      <c r="AI1354" s="19"/>
      <c r="AJ1354" s="19" t="s">
        <v>9205</v>
      </c>
      <c r="AK1354" s="19" t="s">
        <v>8947</v>
      </c>
    </row>
    <row r="1355" spans="1:37" s="23" customFormat="1">
      <c r="A1355" s="19" t="str">
        <f>VLOOKUP(H1355,Languages!$A$2:$B$430,2,FALSE)</f>
        <v>Indo-European</v>
      </c>
      <c r="B1355" s="19" t="s">
        <v>1707</v>
      </c>
      <c r="C1355" s="19" t="s">
        <v>58</v>
      </c>
      <c r="D1355" s="19" t="s">
        <v>5171</v>
      </c>
      <c r="E1355" s="20" t="s">
        <v>5172</v>
      </c>
      <c r="F1355" s="20" t="s">
        <v>9200</v>
      </c>
      <c r="G1355" s="19" t="s">
        <v>9200</v>
      </c>
      <c r="H1355" s="19" t="str">
        <f>VLOOKUP(G1355,'languoid 4.0'!$A$1:$I$24439,2,FALSE)</f>
        <v>indo1319</v>
      </c>
      <c r="I1355" s="19" t="str">
        <f>VLOOKUP(G1355,'languoid 4.0'!$A$1:$I$24439,6,FALSE)</f>
        <v>language</v>
      </c>
      <c r="J1355" s="20" t="s">
        <v>52</v>
      </c>
      <c r="K1355" s="20" t="s">
        <v>52</v>
      </c>
      <c r="L1355" s="20" t="s">
        <v>38</v>
      </c>
      <c r="M1355" s="19"/>
      <c r="N1355" s="19" t="s">
        <v>5174</v>
      </c>
      <c r="O1355" s="20" t="s">
        <v>113</v>
      </c>
      <c r="P1355" s="20" t="s">
        <v>41</v>
      </c>
      <c r="Q1355" s="19" t="s">
        <v>9215</v>
      </c>
      <c r="R1355" s="21" t="s">
        <v>9216</v>
      </c>
      <c r="S1355" s="19" t="s">
        <v>46</v>
      </c>
      <c r="T1355" s="19" t="s">
        <v>635</v>
      </c>
      <c r="U1355" s="19" t="s">
        <v>636</v>
      </c>
      <c r="V1355" s="19" t="s">
        <v>45</v>
      </c>
      <c r="W1355" s="19"/>
      <c r="X1355" s="19"/>
      <c r="Y1355" s="19"/>
      <c r="Z1355" s="19" t="s">
        <v>637</v>
      </c>
      <c r="AA1355" s="19" t="s">
        <v>9217</v>
      </c>
      <c r="AB1355" s="19" t="s">
        <v>9218</v>
      </c>
      <c r="AC1355" s="19" t="s">
        <v>46</v>
      </c>
      <c r="AD1355" s="19"/>
      <c r="AE1355" s="19" t="s">
        <v>641</v>
      </c>
      <c r="AF1355" s="19" t="s">
        <v>190</v>
      </c>
      <c r="AG1355" s="19">
        <v>6</v>
      </c>
      <c r="AH1355" s="19" t="s">
        <v>190</v>
      </c>
      <c r="AI1355" s="19"/>
      <c r="AJ1355" s="19" t="s">
        <v>9219</v>
      </c>
      <c r="AK1355" s="19" t="s">
        <v>8947</v>
      </c>
    </row>
    <row r="1356" spans="1:37" s="23" customFormat="1">
      <c r="A1356" s="19" t="str">
        <f>VLOOKUP(H1356,Languages!$A$2:$B$430,2,FALSE)</f>
        <v>Indo-European</v>
      </c>
      <c r="B1356" s="19" t="s">
        <v>1707</v>
      </c>
      <c r="C1356" s="19" t="s">
        <v>58</v>
      </c>
      <c r="D1356" s="19" t="s">
        <v>9227</v>
      </c>
      <c r="E1356" s="20" t="s">
        <v>9228</v>
      </c>
      <c r="F1356" s="20" t="s">
        <v>9228</v>
      </c>
      <c r="G1356" s="19" t="s">
        <v>9228</v>
      </c>
      <c r="H1356" s="19" t="str">
        <f>VLOOKUP(G1356,'languoid 4.0'!$A$1:$I$24439,2,FALSE)</f>
        <v>indo1319</v>
      </c>
      <c r="I1356" s="19" t="str">
        <f>VLOOKUP(G1356,'languoid 4.0'!$A$1:$I$24439,6,FALSE)</f>
        <v>dialect</v>
      </c>
      <c r="J1356" s="20" t="s">
        <v>38</v>
      </c>
      <c r="K1356" s="20" t="s">
        <v>38</v>
      </c>
      <c r="L1356" s="20" t="s">
        <v>38</v>
      </c>
      <c r="M1356" s="19"/>
      <c r="N1356" s="19" t="s">
        <v>9229</v>
      </c>
      <c r="O1356" s="20" t="s">
        <v>40</v>
      </c>
      <c r="P1356" s="20" t="s">
        <v>41</v>
      </c>
      <c r="Q1356" s="19" t="s">
        <v>9241</v>
      </c>
      <c r="R1356" s="21" t="s">
        <v>9242</v>
      </c>
      <c r="S1356" s="19" t="s">
        <v>46</v>
      </c>
      <c r="T1356" s="19" t="s">
        <v>635</v>
      </c>
      <c r="U1356" s="19" t="s">
        <v>67</v>
      </c>
      <c r="V1356" s="19" t="s">
        <v>45</v>
      </c>
      <c r="W1356" s="19"/>
      <c r="X1356" s="19"/>
      <c r="Y1356" s="19"/>
      <c r="Z1356" s="19" t="s">
        <v>637</v>
      </c>
      <c r="AA1356" s="19" t="s">
        <v>9243</v>
      </c>
      <c r="AB1356" s="19" t="s">
        <v>9244</v>
      </c>
      <c r="AC1356" s="19" t="s">
        <v>46</v>
      </c>
      <c r="AD1356" s="19"/>
      <c r="AE1356" s="19" t="s">
        <v>641</v>
      </c>
      <c r="AF1356" s="19" t="s">
        <v>45</v>
      </c>
      <c r="AG1356" s="19">
        <v>1</v>
      </c>
      <c r="AH1356" s="19" t="s">
        <v>190</v>
      </c>
      <c r="AI1356" s="19"/>
      <c r="AJ1356" s="19" t="s">
        <v>9245</v>
      </c>
      <c r="AK1356" s="19" t="s">
        <v>8947</v>
      </c>
    </row>
    <row r="1357" spans="1:37" s="23" customFormat="1">
      <c r="A1357" s="19" t="str">
        <f>VLOOKUP(H1357,Languages!$A$2:$B$430,2,FALSE)</f>
        <v>Indo-European</v>
      </c>
      <c r="B1357" s="19" t="s">
        <v>1707</v>
      </c>
      <c r="C1357" s="19" t="s">
        <v>58</v>
      </c>
      <c r="D1357" s="19" t="s">
        <v>9384</v>
      </c>
      <c r="E1357" s="20" t="s">
        <v>9385</v>
      </c>
      <c r="F1357" s="20" t="s">
        <v>9385</v>
      </c>
      <c r="G1357" s="19" t="s">
        <v>9385</v>
      </c>
      <c r="H1357" s="19" t="str">
        <f>VLOOKUP(G1357,'languoid 4.0'!$A$1:$I$24439,2,FALSE)</f>
        <v>indo1319</v>
      </c>
      <c r="I1357" s="19" t="str">
        <f>VLOOKUP(G1357,'languoid 4.0'!$A$1:$I$24439,6,FALSE)</f>
        <v>language</v>
      </c>
      <c r="J1357" s="20" t="s">
        <v>38</v>
      </c>
      <c r="K1357" s="20" t="s">
        <v>38</v>
      </c>
      <c r="L1357" s="20" t="s">
        <v>38</v>
      </c>
      <c r="M1357" s="19"/>
      <c r="N1357" s="19" t="s">
        <v>9386</v>
      </c>
      <c r="O1357" s="20" t="s">
        <v>40</v>
      </c>
      <c r="P1357" s="20" t="s">
        <v>41</v>
      </c>
      <c r="Q1357" s="19" t="s">
        <v>9387</v>
      </c>
      <c r="R1357" s="21" t="s">
        <v>9388</v>
      </c>
      <c r="S1357" s="19" t="s">
        <v>46</v>
      </c>
      <c r="T1357" s="19" t="s">
        <v>635</v>
      </c>
      <c r="U1357" s="19" t="s">
        <v>636</v>
      </c>
      <c r="V1357" s="19" t="s">
        <v>45</v>
      </c>
      <c r="W1357" s="19"/>
      <c r="X1357" s="19"/>
      <c r="Y1357" s="19"/>
      <c r="Z1357" s="19" t="s">
        <v>637</v>
      </c>
      <c r="AA1357" s="19" t="s">
        <v>9389</v>
      </c>
      <c r="AB1357" s="19" t="s">
        <v>9390</v>
      </c>
      <c r="AC1357" s="19" t="s">
        <v>46</v>
      </c>
      <c r="AD1357" s="19"/>
      <c r="AE1357" s="19" t="s">
        <v>641</v>
      </c>
      <c r="AF1357" s="19" t="s">
        <v>190</v>
      </c>
      <c r="AG1357" s="19">
        <v>6</v>
      </c>
      <c r="AH1357" s="19" t="s">
        <v>190</v>
      </c>
      <c r="AI1357" s="19"/>
      <c r="AJ1357" s="22">
        <v>43141.496423611112</v>
      </c>
      <c r="AK1357" s="19" t="s">
        <v>8947</v>
      </c>
    </row>
    <row r="1358" spans="1:37" s="23" customFormat="1">
      <c r="A1358" s="19" t="str">
        <f>VLOOKUP(H1358,Languages!$A$2:$B$430,2,FALSE)</f>
        <v>Indo-European</v>
      </c>
      <c r="B1358" s="19" t="s">
        <v>1707</v>
      </c>
      <c r="C1358" s="19" t="s">
        <v>58</v>
      </c>
      <c r="D1358" s="19" t="s">
        <v>9384</v>
      </c>
      <c r="E1358" s="20" t="s">
        <v>9385</v>
      </c>
      <c r="F1358" s="20" t="s">
        <v>9385</v>
      </c>
      <c r="G1358" s="19" t="s">
        <v>9385</v>
      </c>
      <c r="H1358" s="19" t="str">
        <f>VLOOKUP(G1358,'languoid 4.0'!$A$1:$I$24439,2,FALSE)</f>
        <v>indo1319</v>
      </c>
      <c r="I1358" s="19" t="str">
        <f>VLOOKUP(G1358,'languoid 4.0'!$A$1:$I$24439,6,FALSE)</f>
        <v>language</v>
      </c>
      <c r="J1358" s="20" t="s">
        <v>38</v>
      </c>
      <c r="K1358" s="20" t="s">
        <v>38</v>
      </c>
      <c r="L1358" s="20" t="s">
        <v>38</v>
      </c>
      <c r="M1358" s="19"/>
      <c r="N1358" s="19" t="s">
        <v>9386</v>
      </c>
      <c r="O1358" s="20" t="s">
        <v>40</v>
      </c>
      <c r="P1358" s="20" t="s">
        <v>41</v>
      </c>
      <c r="Q1358" s="19" t="s">
        <v>9442</v>
      </c>
      <c r="R1358" s="21" t="s">
        <v>9443</v>
      </c>
      <c r="S1358" s="19" t="s">
        <v>46</v>
      </c>
      <c r="T1358" s="19" t="s">
        <v>635</v>
      </c>
      <c r="U1358" s="19" t="s">
        <v>636</v>
      </c>
      <c r="V1358" s="19" t="s">
        <v>45</v>
      </c>
      <c r="W1358" s="19"/>
      <c r="X1358" s="19"/>
      <c r="Y1358" s="19"/>
      <c r="Z1358" s="19" t="s">
        <v>1151</v>
      </c>
      <c r="AA1358" s="19" t="s">
        <v>46</v>
      </c>
      <c r="AB1358" s="19" t="s">
        <v>9444</v>
      </c>
      <c r="AC1358" s="19" t="s">
        <v>9445</v>
      </c>
      <c r="AD1358" s="19"/>
      <c r="AE1358" s="19" t="s">
        <v>641</v>
      </c>
      <c r="AF1358" s="19" t="s">
        <v>190</v>
      </c>
      <c r="AG1358" s="19">
        <v>6</v>
      </c>
      <c r="AH1358" s="19" t="s">
        <v>190</v>
      </c>
      <c r="AI1358" s="19" t="s">
        <v>9446</v>
      </c>
      <c r="AJ1358" s="22">
        <v>43230.49858796296</v>
      </c>
      <c r="AK1358" s="19" t="s">
        <v>8947</v>
      </c>
    </row>
    <row r="1359" spans="1:37" s="23" customFormat="1">
      <c r="A1359" s="19" t="str">
        <f>VLOOKUP(H1359,Languages!$A$2:$B$430,2,FALSE)</f>
        <v>Indo-European</v>
      </c>
      <c r="B1359" s="19" t="s">
        <v>1707</v>
      </c>
      <c r="C1359" s="19" t="s">
        <v>58</v>
      </c>
      <c r="D1359" s="19" t="s">
        <v>9447</v>
      </c>
      <c r="E1359" s="20" t="s">
        <v>51</v>
      </c>
      <c r="F1359" s="20" t="s">
        <v>9228</v>
      </c>
      <c r="G1359" s="19" t="s">
        <v>9228</v>
      </c>
      <c r="H1359" s="19" t="str">
        <f>VLOOKUP(G1359,'languoid 4.0'!$A$1:$I$24439,2,FALSE)</f>
        <v>indo1319</v>
      </c>
      <c r="I1359" s="19" t="str">
        <f>VLOOKUP(G1359,'languoid 4.0'!$A$1:$I$24439,6,FALSE)</f>
        <v>dialect</v>
      </c>
      <c r="J1359" s="20" t="s">
        <v>52</v>
      </c>
      <c r="K1359" s="20" t="s">
        <v>51</v>
      </c>
      <c r="L1359" s="20" t="s">
        <v>51</v>
      </c>
      <c r="M1359" s="19"/>
      <c r="N1359" s="19" t="e">
        <v>#N/A</v>
      </c>
      <c r="O1359" s="20" t="s">
        <v>690</v>
      </c>
      <c r="P1359" s="20"/>
      <c r="Q1359" s="19" t="s">
        <v>3731</v>
      </c>
      <c r="R1359" s="21" t="s">
        <v>9448</v>
      </c>
      <c r="S1359" s="19" t="s">
        <v>46</v>
      </c>
      <c r="T1359" s="19" t="s">
        <v>635</v>
      </c>
      <c r="U1359" s="19" t="s">
        <v>636</v>
      </c>
      <c r="V1359" s="19" t="s">
        <v>45</v>
      </c>
      <c r="W1359" s="19"/>
      <c r="X1359" s="19"/>
      <c r="Y1359" s="19"/>
      <c r="Z1359" s="19" t="s">
        <v>637</v>
      </c>
      <c r="AA1359" s="19" t="s">
        <v>9449</v>
      </c>
      <c r="AB1359" s="19" t="s">
        <v>9450</v>
      </c>
      <c r="AC1359" s="19" t="s">
        <v>46</v>
      </c>
      <c r="AD1359" s="19"/>
      <c r="AE1359" s="19" t="s">
        <v>641</v>
      </c>
      <c r="AF1359" s="19" t="s">
        <v>190</v>
      </c>
      <c r="AG1359" s="19">
        <v>6</v>
      </c>
      <c r="AH1359" s="19" t="s">
        <v>190</v>
      </c>
      <c r="AI1359" s="19"/>
      <c r="AJ1359" s="22">
        <v>43230.508981481478</v>
      </c>
      <c r="AK1359" s="19" t="s">
        <v>8947</v>
      </c>
    </row>
    <row r="1360" spans="1:37" s="23" customFormat="1">
      <c r="A1360" s="19" t="str">
        <f>VLOOKUP(H1360,Languages!$A$2:$B$430,2,FALSE)</f>
        <v>Indo-European</v>
      </c>
      <c r="B1360" s="19" t="s">
        <v>1707</v>
      </c>
      <c r="C1360" s="19" t="s">
        <v>58</v>
      </c>
      <c r="D1360" s="19" t="s">
        <v>9639</v>
      </c>
      <c r="E1360" s="20" t="s">
        <v>9640</v>
      </c>
      <c r="F1360" s="20" t="s">
        <v>9640</v>
      </c>
      <c r="G1360" s="19" t="s">
        <v>9640</v>
      </c>
      <c r="H1360" s="19" t="str">
        <f>VLOOKUP(G1360,'languoid 4.0'!$A$1:$I$24439,2,FALSE)</f>
        <v>indo1319</v>
      </c>
      <c r="I1360" s="19" t="str">
        <f>VLOOKUP(G1360,'languoid 4.0'!$A$1:$I$24439,6,FALSE)</f>
        <v>dialect</v>
      </c>
      <c r="J1360" s="20" t="s">
        <v>38</v>
      </c>
      <c r="K1360" s="20" t="s">
        <v>38</v>
      </c>
      <c r="L1360" s="20" t="s">
        <v>38</v>
      </c>
      <c r="M1360" s="19"/>
      <c r="N1360" s="19" t="s">
        <v>9641</v>
      </c>
      <c r="O1360" s="20" t="s">
        <v>40</v>
      </c>
      <c r="P1360" s="20" t="s">
        <v>41</v>
      </c>
      <c r="Q1360" s="19" t="s">
        <v>9642</v>
      </c>
      <c r="R1360" s="21" t="s">
        <v>9643</v>
      </c>
      <c r="S1360" s="19" t="s">
        <v>46</v>
      </c>
      <c r="T1360" s="19" t="s">
        <v>635</v>
      </c>
      <c r="U1360" s="19" t="s">
        <v>636</v>
      </c>
      <c r="V1360" s="19" t="s">
        <v>45</v>
      </c>
      <c r="W1360" s="19"/>
      <c r="X1360" s="19"/>
      <c r="Y1360" s="19"/>
      <c r="Z1360" s="19" t="s">
        <v>637</v>
      </c>
      <c r="AA1360" s="19" t="s">
        <v>9644</v>
      </c>
      <c r="AB1360" s="19" t="s">
        <v>9645</v>
      </c>
      <c r="AC1360" s="19" t="s">
        <v>46</v>
      </c>
      <c r="AD1360" s="19"/>
      <c r="AE1360" s="19" t="s">
        <v>641</v>
      </c>
      <c r="AF1360" s="19" t="s">
        <v>190</v>
      </c>
      <c r="AG1360" s="19">
        <v>6</v>
      </c>
      <c r="AH1360" s="19" t="s">
        <v>190</v>
      </c>
      <c r="AI1360" s="19"/>
      <c r="AJ1360" s="22">
        <v>43444.447106481479</v>
      </c>
      <c r="AK1360" s="19" t="s">
        <v>8947</v>
      </c>
    </row>
    <row r="1361" spans="1:37" s="23" customFormat="1">
      <c r="A1361" s="19" t="str">
        <f>VLOOKUP(H1361,Languages!$A$2:$B$430,2,FALSE)</f>
        <v>Indo-European</v>
      </c>
      <c r="B1361" s="19" t="s">
        <v>1707</v>
      </c>
      <c r="C1361" s="19" t="s">
        <v>58</v>
      </c>
      <c r="D1361" s="19" t="s">
        <v>9651</v>
      </c>
      <c r="E1361" s="20" t="s">
        <v>9640</v>
      </c>
      <c r="F1361" s="20" t="s">
        <v>9640</v>
      </c>
      <c r="G1361" s="19" t="s">
        <v>9640</v>
      </c>
      <c r="H1361" s="19" t="str">
        <f>VLOOKUP(G1361,'languoid 4.0'!$A$1:$I$24439,2,FALSE)</f>
        <v>indo1319</v>
      </c>
      <c r="I1361" s="19" t="str">
        <f>VLOOKUP(G1361,'languoid 4.0'!$A$1:$I$24439,6,FALSE)</f>
        <v>dialect</v>
      </c>
      <c r="J1361" s="20" t="s">
        <v>38</v>
      </c>
      <c r="K1361" s="20" t="s">
        <v>38</v>
      </c>
      <c r="L1361" s="20" t="s">
        <v>38</v>
      </c>
      <c r="M1361" s="19"/>
      <c r="N1361" s="19" t="s">
        <v>9641</v>
      </c>
      <c r="O1361" s="20" t="s">
        <v>40</v>
      </c>
      <c r="P1361" s="20" t="s">
        <v>41</v>
      </c>
      <c r="Q1361" s="19" t="s">
        <v>9652</v>
      </c>
      <c r="R1361" s="21" t="s">
        <v>9653</v>
      </c>
      <c r="S1361" s="19" t="s">
        <v>46</v>
      </c>
      <c r="T1361" s="19" t="s">
        <v>635</v>
      </c>
      <c r="U1361" s="19" t="s">
        <v>67</v>
      </c>
      <c r="V1361" s="19" t="s">
        <v>45</v>
      </c>
      <c r="W1361" s="19"/>
      <c r="X1361" s="19"/>
      <c r="Y1361" s="19"/>
      <c r="Z1361" s="19" t="s">
        <v>637</v>
      </c>
      <c r="AA1361" s="19" t="s">
        <v>9654</v>
      </c>
      <c r="AB1361" s="19" t="s">
        <v>9655</v>
      </c>
      <c r="AC1361" s="19" t="s">
        <v>46</v>
      </c>
      <c r="AD1361" s="19"/>
      <c r="AE1361" s="19" t="s">
        <v>641</v>
      </c>
      <c r="AF1361" s="19" t="s">
        <v>190</v>
      </c>
      <c r="AG1361" s="19">
        <v>6</v>
      </c>
      <c r="AH1361" s="19" t="s">
        <v>190</v>
      </c>
      <c r="AI1361" s="19"/>
      <c r="AJ1361" s="22">
        <v>43444.453842592593</v>
      </c>
      <c r="AK1361" s="19" t="s">
        <v>8947</v>
      </c>
    </row>
    <row r="1362" spans="1:37" s="23" customFormat="1">
      <c r="A1362" s="19" t="str">
        <f>VLOOKUP(H1362,Languages!$A$2:$B$430,2,FALSE)</f>
        <v>Indo-European</v>
      </c>
      <c r="B1362" s="19" t="s">
        <v>1707</v>
      </c>
      <c r="C1362" s="19" t="s">
        <v>58</v>
      </c>
      <c r="D1362" s="19" t="s">
        <v>243</v>
      </c>
      <c r="E1362" s="20" t="s">
        <v>244</v>
      </c>
      <c r="F1362" s="20" t="s">
        <v>244</v>
      </c>
      <c r="G1362" s="19" t="s">
        <v>244</v>
      </c>
      <c r="H1362" s="19" t="str">
        <f>VLOOKUP(G1362,'languoid 4.0'!$A$1:$I$24439,2,FALSE)</f>
        <v>indo1319</v>
      </c>
      <c r="I1362" s="19" t="str">
        <f>VLOOKUP(G1362,'languoid 4.0'!$A$1:$I$24439,6,FALSE)</f>
        <v>dialect</v>
      </c>
      <c r="J1362" s="20" t="s">
        <v>38</v>
      </c>
      <c r="K1362" s="20" t="s">
        <v>38</v>
      </c>
      <c r="L1362" s="20" t="s">
        <v>38</v>
      </c>
      <c r="M1362" s="19"/>
      <c r="N1362" s="19" t="s">
        <v>245</v>
      </c>
      <c r="O1362" s="20" t="s">
        <v>40</v>
      </c>
      <c r="P1362" s="20" t="s">
        <v>41</v>
      </c>
      <c r="Q1362" s="19" t="s">
        <v>9701</v>
      </c>
      <c r="R1362" s="21" t="s">
        <v>9702</v>
      </c>
      <c r="S1362" s="19" t="s">
        <v>46</v>
      </c>
      <c r="T1362" s="19" t="s">
        <v>1689</v>
      </c>
      <c r="U1362" s="19" t="s">
        <v>636</v>
      </c>
      <c r="V1362" s="19" t="s">
        <v>45</v>
      </c>
      <c r="W1362" s="19"/>
      <c r="X1362" s="19"/>
      <c r="Y1362" s="19"/>
      <c r="Z1362" s="19" t="s">
        <v>637</v>
      </c>
      <c r="AA1362" s="19" t="s">
        <v>9703</v>
      </c>
      <c r="AB1362" s="19" t="s">
        <v>9704</v>
      </c>
      <c r="AC1362" s="19" t="s">
        <v>46</v>
      </c>
      <c r="AD1362" s="19"/>
      <c r="AE1362" s="19" t="s">
        <v>641</v>
      </c>
      <c r="AF1362" s="19" t="s">
        <v>190</v>
      </c>
      <c r="AG1362" s="19">
        <v>6</v>
      </c>
      <c r="AH1362" s="19" t="s">
        <v>190</v>
      </c>
      <c r="AI1362" s="19"/>
      <c r="AJ1362" s="19" t="s">
        <v>9705</v>
      </c>
      <c r="AK1362" s="19" t="s">
        <v>8947</v>
      </c>
    </row>
    <row r="1363" spans="1:37" s="23" customFormat="1">
      <c r="A1363" s="19" t="str">
        <f>VLOOKUP(H1363,Languages!$A$2:$B$430,2,FALSE)</f>
        <v>Indo-European</v>
      </c>
      <c r="B1363" s="19" t="s">
        <v>1707</v>
      </c>
      <c r="C1363" s="19" t="s">
        <v>58</v>
      </c>
      <c r="D1363" s="19" t="s">
        <v>243</v>
      </c>
      <c r="E1363" s="20" t="s">
        <v>244</v>
      </c>
      <c r="F1363" s="20" t="s">
        <v>244</v>
      </c>
      <c r="G1363" s="19" t="s">
        <v>244</v>
      </c>
      <c r="H1363" s="19" t="str">
        <f>VLOOKUP(G1363,'languoid 4.0'!$A$1:$I$24439,2,FALSE)</f>
        <v>indo1319</v>
      </c>
      <c r="I1363" s="19" t="str">
        <f>VLOOKUP(G1363,'languoid 4.0'!$A$1:$I$24439,6,FALSE)</f>
        <v>dialect</v>
      </c>
      <c r="J1363" s="20" t="s">
        <v>38</v>
      </c>
      <c r="K1363" s="20" t="s">
        <v>38</v>
      </c>
      <c r="L1363" s="20" t="s">
        <v>38</v>
      </c>
      <c r="M1363" s="19"/>
      <c r="N1363" s="19" t="s">
        <v>245</v>
      </c>
      <c r="O1363" s="20" t="s">
        <v>40</v>
      </c>
      <c r="P1363" s="20" t="s">
        <v>41</v>
      </c>
      <c r="Q1363" s="19" t="s">
        <v>9712</v>
      </c>
      <c r="R1363" s="21" t="s">
        <v>9713</v>
      </c>
      <c r="S1363" s="19" t="s">
        <v>46</v>
      </c>
      <c r="T1363" s="19" t="s">
        <v>1689</v>
      </c>
      <c r="U1363" s="19" t="s">
        <v>636</v>
      </c>
      <c r="V1363" s="19" t="s">
        <v>45</v>
      </c>
      <c r="W1363" s="19"/>
      <c r="X1363" s="19"/>
      <c r="Y1363" s="19"/>
      <c r="Z1363" s="19" t="s">
        <v>637</v>
      </c>
      <c r="AA1363" s="19" t="s">
        <v>9714</v>
      </c>
      <c r="AB1363" s="19" t="s">
        <v>9715</v>
      </c>
      <c r="AC1363" s="19" t="s">
        <v>46</v>
      </c>
      <c r="AD1363" s="19"/>
      <c r="AE1363" s="19" t="s">
        <v>641</v>
      </c>
      <c r="AF1363" s="19" t="s">
        <v>190</v>
      </c>
      <c r="AG1363" s="19">
        <v>6</v>
      </c>
      <c r="AH1363" s="19" t="s">
        <v>190</v>
      </c>
      <c r="AI1363" s="19"/>
      <c r="AJ1363" s="19" t="s">
        <v>9716</v>
      </c>
      <c r="AK1363" s="19" t="s">
        <v>8947</v>
      </c>
    </row>
    <row r="1364" spans="1:37" s="23" customFormat="1">
      <c r="A1364" s="19" t="str">
        <f>VLOOKUP(H1364,Languages!$A$2:$B$430,2,FALSE)</f>
        <v>Indo-European</v>
      </c>
      <c r="B1364" s="19" t="s">
        <v>1707</v>
      </c>
      <c r="C1364" s="19" t="s">
        <v>4376</v>
      </c>
      <c r="D1364" s="19" t="s">
        <v>4387</v>
      </c>
      <c r="E1364" s="20" t="s">
        <v>552</v>
      </c>
      <c r="F1364" s="20" t="s">
        <v>552</v>
      </c>
      <c r="G1364" s="19" t="s">
        <v>552</v>
      </c>
      <c r="H1364" s="19" t="str">
        <f>VLOOKUP(G1364,'languoid 4.0'!$A$1:$I$24439,2,FALSE)</f>
        <v>indo1319</v>
      </c>
      <c r="I1364" s="19" t="str">
        <f>VLOOKUP(G1364,'languoid 4.0'!$A$1:$I$24439,6,FALSE)</f>
        <v>language</v>
      </c>
      <c r="J1364" s="20" t="s">
        <v>38</v>
      </c>
      <c r="K1364" s="20" t="s">
        <v>38</v>
      </c>
      <c r="L1364" s="20" t="s">
        <v>38</v>
      </c>
      <c r="M1364" s="19"/>
      <c r="N1364" s="19" t="s">
        <v>4388</v>
      </c>
      <c r="O1364" s="20" t="s">
        <v>40</v>
      </c>
      <c r="P1364" s="20" t="s">
        <v>41</v>
      </c>
      <c r="Q1364" s="19" t="s">
        <v>4389</v>
      </c>
      <c r="R1364" s="21" t="s">
        <v>4390</v>
      </c>
      <c r="S1364" s="19" t="s">
        <v>46</v>
      </c>
      <c r="T1364" s="19" t="s">
        <v>4391</v>
      </c>
      <c r="U1364" s="19" t="s">
        <v>636</v>
      </c>
      <c r="V1364" s="19" t="s">
        <v>45</v>
      </c>
      <c r="W1364" s="19"/>
      <c r="X1364" s="19"/>
      <c r="Y1364" s="19"/>
      <c r="Z1364" s="19" t="s">
        <v>637</v>
      </c>
      <c r="AA1364" s="19" t="s">
        <v>4392</v>
      </c>
      <c r="AB1364" s="19" t="s">
        <v>4393</v>
      </c>
      <c r="AC1364" s="19" t="s">
        <v>46</v>
      </c>
      <c r="AD1364" s="19"/>
      <c r="AE1364" s="19" t="s">
        <v>641</v>
      </c>
      <c r="AF1364" s="19" t="s">
        <v>190</v>
      </c>
      <c r="AG1364" s="19">
        <v>6</v>
      </c>
      <c r="AH1364" s="19" t="s">
        <v>190</v>
      </c>
      <c r="AI1364" s="19"/>
      <c r="AJ1364" s="22">
        <v>43196.032951388886</v>
      </c>
      <c r="AK1364" s="19" t="s">
        <v>4386</v>
      </c>
    </row>
    <row r="1365" spans="1:37" s="23" customFormat="1">
      <c r="A1365" s="19" t="str">
        <f>VLOOKUP(H1365,Languages!$A$2:$B$430,2,FALSE)</f>
        <v>Indo-European</v>
      </c>
      <c r="B1365" s="19" t="s">
        <v>1707</v>
      </c>
      <c r="C1365" s="19" t="s">
        <v>4376</v>
      </c>
      <c r="D1365" s="19" t="s">
        <v>5181</v>
      </c>
      <c r="E1365" s="20" t="s">
        <v>5182</v>
      </c>
      <c r="F1365" s="20" t="s">
        <v>51</v>
      </c>
      <c r="G1365" s="19" t="s">
        <v>5182</v>
      </c>
      <c r="H1365" s="19" t="str">
        <f>VLOOKUP(G1365,'languoid 4.0'!$A$1:$I$24439,2,FALSE)</f>
        <v>indo1319</v>
      </c>
      <c r="I1365" s="19" t="str">
        <f>VLOOKUP(G1365,'languoid 4.0'!$A$1:$I$24439,6,FALSE)</f>
        <v>dialect</v>
      </c>
      <c r="J1365" s="20" t="s">
        <v>52</v>
      </c>
      <c r="K1365" s="20" t="s">
        <v>51</v>
      </c>
      <c r="L1365" s="20" t="s">
        <v>51</v>
      </c>
      <c r="M1365" s="19"/>
      <c r="N1365" s="19"/>
      <c r="O1365" s="20" t="s">
        <v>40</v>
      </c>
      <c r="P1365" s="20" t="s">
        <v>41</v>
      </c>
      <c r="Q1365" s="19" t="s">
        <v>5183</v>
      </c>
      <c r="R1365" s="21" t="s">
        <v>5184</v>
      </c>
      <c r="S1365" s="19" t="s">
        <v>46</v>
      </c>
      <c r="T1365" s="19" t="s">
        <v>4383</v>
      </c>
      <c r="U1365" s="19" t="s">
        <v>636</v>
      </c>
      <c r="V1365" s="19" t="s">
        <v>45</v>
      </c>
      <c r="W1365" s="19"/>
      <c r="X1365" s="19"/>
      <c r="Y1365" s="19"/>
      <c r="Z1365" s="19" t="s">
        <v>637</v>
      </c>
      <c r="AA1365" s="19" t="s">
        <v>5185</v>
      </c>
      <c r="AB1365" s="19" t="s">
        <v>5186</v>
      </c>
      <c r="AC1365" s="19" t="s">
        <v>46</v>
      </c>
      <c r="AD1365" s="19"/>
      <c r="AE1365" s="19" t="s">
        <v>641</v>
      </c>
      <c r="AF1365" s="19" t="s">
        <v>190</v>
      </c>
      <c r="AG1365" s="19">
        <v>6</v>
      </c>
      <c r="AH1365" s="19" t="s">
        <v>190</v>
      </c>
      <c r="AI1365" s="19"/>
      <c r="AJ1365" s="19" t="s">
        <v>5187</v>
      </c>
      <c r="AK1365" s="19" t="s">
        <v>4386</v>
      </c>
    </row>
    <row r="1366" spans="1:37" s="23" customFormat="1">
      <c r="A1366" s="19" t="str">
        <f>VLOOKUP(H1366,Languages!$A$2:$B$430,2,FALSE)</f>
        <v>Indo-European</v>
      </c>
      <c r="B1366" s="19" t="s">
        <v>1707</v>
      </c>
      <c r="C1366" s="19" t="s">
        <v>4376</v>
      </c>
      <c r="D1366" s="19" t="s">
        <v>5694</v>
      </c>
      <c r="E1366" s="20" t="s">
        <v>4378</v>
      </c>
      <c r="F1366" s="20" t="s">
        <v>5695</v>
      </c>
      <c r="G1366" s="19" t="s">
        <v>5695</v>
      </c>
      <c r="H1366" s="19" t="str">
        <f>VLOOKUP(G1366,'languoid 4.0'!$A$1:$I$24439,2,FALSE)</f>
        <v>indo1319</v>
      </c>
      <c r="I1366" s="19" t="str">
        <f>VLOOKUP(G1366,'languoid 4.0'!$A$1:$I$24439,6,FALSE)</f>
        <v>language</v>
      </c>
      <c r="J1366" s="20" t="s">
        <v>52</v>
      </c>
      <c r="K1366" s="20" t="s">
        <v>38</v>
      </c>
      <c r="L1366" s="20" t="s">
        <v>38</v>
      </c>
      <c r="M1366" s="19"/>
      <c r="N1366" s="19" t="s">
        <v>4380</v>
      </c>
      <c r="O1366" s="20" t="s">
        <v>40</v>
      </c>
      <c r="P1366" s="20" t="s">
        <v>41</v>
      </c>
      <c r="Q1366" s="19" t="s">
        <v>5696</v>
      </c>
      <c r="R1366" s="21" t="s">
        <v>5697</v>
      </c>
      <c r="S1366" s="19" t="s">
        <v>46</v>
      </c>
      <c r="T1366" s="19" t="s">
        <v>4383</v>
      </c>
      <c r="U1366" s="19" t="s">
        <v>636</v>
      </c>
      <c r="V1366" s="19" t="s">
        <v>45</v>
      </c>
      <c r="W1366" s="19"/>
      <c r="X1366" s="19"/>
      <c r="Y1366" s="19"/>
      <c r="Z1366" s="19" t="s">
        <v>637</v>
      </c>
      <c r="AA1366" s="19" t="s">
        <v>5698</v>
      </c>
      <c r="AB1366" s="19" t="s">
        <v>5699</v>
      </c>
      <c r="AC1366" s="19" t="s">
        <v>46</v>
      </c>
      <c r="AD1366" s="19"/>
      <c r="AE1366" s="19" t="s">
        <v>641</v>
      </c>
      <c r="AF1366" s="19" t="s">
        <v>190</v>
      </c>
      <c r="AG1366" s="19">
        <v>2</v>
      </c>
      <c r="AH1366" s="19" t="s">
        <v>190</v>
      </c>
      <c r="AI1366" s="19"/>
      <c r="AJ1366" s="19" t="s">
        <v>5700</v>
      </c>
      <c r="AK1366" s="19" t="s">
        <v>4386</v>
      </c>
    </row>
    <row r="1367" spans="1:37" s="23" customFormat="1">
      <c r="A1367" s="19" t="str">
        <f>VLOOKUP(H1367,Languages!$A$2:$B$430,2,FALSE)</f>
        <v>Indo-European</v>
      </c>
      <c r="B1367" s="19" t="s">
        <v>1707</v>
      </c>
      <c r="C1367" s="19" t="s">
        <v>4376</v>
      </c>
      <c r="D1367" s="19" t="s">
        <v>6092</v>
      </c>
      <c r="E1367" s="20" t="s">
        <v>4378</v>
      </c>
      <c r="F1367" s="20" t="s">
        <v>4378</v>
      </c>
      <c r="G1367" s="19" t="s">
        <v>4378</v>
      </c>
      <c r="H1367" s="19" t="str">
        <f>VLOOKUP(G1367,'languoid 4.0'!$A$1:$I$24439,2,FALSE)</f>
        <v>indo1319</v>
      </c>
      <c r="I1367" s="19" t="str">
        <f>VLOOKUP(G1367,'languoid 4.0'!$A$1:$I$24439,6,FALSE)</f>
        <v>language</v>
      </c>
      <c r="J1367" s="20" t="s">
        <v>38</v>
      </c>
      <c r="K1367" s="20" t="s">
        <v>38</v>
      </c>
      <c r="L1367" s="20" t="s">
        <v>38</v>
      </c>
      <c r="M1367" s="19"/>
      <c r="N1367" s="19" t="s">
        <v>4380</v>
      </c>
      <c r="O1367" s="20" t="s">
        <v>40</v>
      </c>
      <c r="P1367" s="20" t="s">
        <v>41</v>
      </c>
      <c r="Q1367" s="19" t="s">
        <v>6093</v>
      </c>
      <c r="R1367" s="21" t="s">
        <v>6094</v>
      </c>
      <c r="S1367" s="19" t="s">
        <v>46</v>
      </c>
      <c r="T1367" s="19" t="s">
        <v>4383</v>
      </c>
      <c r="U1367" s="19" t="s">
        <v>636</v>
      </c>
      <c r="V1367" s="19" t="s">
        <v>45</v>
      </c>
      <c r="W1367" s="19"/>
      <c r="X1367" s="19"/>
      <c r="Y1367" s="19"/>
      <c r="Z1367" s="19" t="s">
        <v>637</v>
      </c>
      <c r="AA1367" s="19" t="s">
        <v>6095</v>
      </c>
      <c r="AB1367" s="19" t="s">
        <v>6096</v>
      </c>
      <c r="AC1367" s="19" t="s">
        <v>46</v>
      </c>
      <c r="AD1367" s="19"/>
      <c r="AE1367" s="19" t="s">
        <v>641</v>
      </c>
      <c r="AF1367" s="19" t="s">
        <v>190</v>
      </c>
      <c r="AG1367" s="19">
        <v>6</v>
      </c>
      <c r="AH1367" s="19" t="s">
        <v>190</v>
      </c>
      <c r="AI1367" s="19"/>
      <c r="AJ1367" s="22">
        <v>43138.460532407407</v>
      </c>
      <c r="AK1367" s="19" t="s">
        <v>4386</v>
      </c>
    </row>
    <row r="1368" spans="1:37" s="23" customFormat="1">
      <c r="A1368" s="19" t="str">
        <f>VLOOKUP(H1368,Languages!$A$2:$B$430,2,FALSE)</f>
        <v>Indo-European</v>
      </c>
      <c r="B1368" s="19" t="s">
        <v>1707</v>
      </c>
      <c r="C1368" s="19" t="s">
        <v>4417</v>
      </c>
      <c r="D1368" s="19" t="s">
        <v>4425</v>
      </c>
      <c r="E1368" s="20" t="s">
        <v>3656</v>
      </c>
      <c r="F1368" s="20" t="s">
        <v>3656</v>
      </c>
      <c r="G1368" s="19" t="s">
        <v>3656</v>
      </c>
      <c r="H1368" s="19" t="str">
        <f>VLOOKUP(G1368,'languoid 4.0'!$A$1:$I$24439,2,FALSE)</f>
        <v>indo1319</v>
      </c>
      <c r="I1368" s="19" t="str">
        <f>VLOOKUP(G1368,'languoid 4.0'!$A$1:$I$24439,6,FALSE)</f>
        <v>language</v>
      </c>
      <c r="J1368" s="20" t="s">
        <v>38</v>
      </c>
      <c r="K1368" s="20" t="s">
        <v>38</v>
      </c>
      <c r="L1368" s="20" t="s">
        <v>38</v>
      </c>
      <c r="M1368" s="19"/>
      <c r="N1368" s="19" t="s">
        <v>4419</v>
      </c>
      <c r="O1368" s="20" t="s">
        <v>40</v>
      </c>
      <c r="P1368" s="20" t="s">
        <v>41</v>
      </c>
      <c r="Q1368" s="19" t="s">
        <v>4426</v>
      </c>
      <c r="R1368" s="21" t="s">
        <v>4427</v>
      </c>
      <c r="S1368" s="19" t="s">
        <v>46</v>
      </c>
      <c r="T1368" s="19" t="s">
        <v>635</v>
      </c>
      <c r="U1368" s="19" t="s">
        <v>67</v>
      </c>
      <c r="V1368" s="19" t="s">
        <v>45</v>
      </c>
      <c r="W1368" s="19"/>
      <c r="X1368" s="19"/>
      <c r="Y1368" s="19"/>
      <c r="Z1368" s="19" t="s">
        <v>658</v>
      </c>
      <c r="AA1368" s="19" t="s">
        <v>4428</v>
      </c>
      <c r="AB1368" s="19" t="s">
        <v>46</v>
      </c>
      <c r="AC1368" s="19" t="s">
        <v>46</v>
      </c>
      <c r="AD1368" s="19" t="s">
        <v>4429</v>
      </c>
      <c r="AE1368" s="19" t="s">
        <v>641</v>
      </c>
      <c r="AF1368" s="19" t="s">
        <v>190</v>
      </c>
      <c r="AG1368" s="19">
        <v>6</v>
      </c>
      <c r="AH1368" s="19" t="s">
        <v>190</v>
      </c>
      <c r="AI1368" s="19"/>
      <c r="AJ1368" s="22">
        <v>43226.590254629627</v>
      </c>
      <c r="AK1368" s="19" t="s">
        <v>4424</v>
      </c>
    </row>
    <row r="1369" spans="1:37" s="23" customFormat="1">
      <c r="A1369" s="19" t="str">
        <f>VLOOKUP(H1369,Languages!$A$2:$B$430,2,FALSE)</f>
        <v>Indo-European</v>
      </c>
      <c r="B1369" s="19" t="s">
        <v>1707</v>
      </c>
      <c r="C1369" s="19" t="s">
        <v>4417</v>
      </c>
      <c r="D1369" s="19" t="s">
        <v>4748</v>
      </c>
      <c r="E1369" s="20" t="s">
        <v>4736</v>
      </c>
      <c r="F1369" s="20" t="s">
        <v>4736</v>
      </c>
      <c r="G1369" s="19" t="s">
        <v>4736</v>
      </c>
      <c r="H1369" s="19" t="str">
        <f>VLOOKUP(G1369,'languoid 4.0'!$A$1:$I$24439,2,FALSE)</f>
        <v>indo1319</v>
      </c>
      <c r="I1369" s="19" t="str">
        <f>VLOOKUP(G1369,'languoid 4.0'!$A$1:$I$24439,6,FALSE)</f>
        <v>language</v>
      </c>
      <c r="J1369" s="20" t="s">
        <v>38</v>
      </c>
      <c r="K1369" s="20" t="s">
        <v>38</v>
      </c>
      <c r="L1369" s="20" t="s">
        <v>38</v>
      </c>
      <c r="M1369" s="19"/>
      <c r="N1369" s="19" t="s">
        <v>4737</v>
      </c>
      <c r="O1369" s="20" t="s">
        <v>40</v>
      </c>
      <c r="P1369" s="20" t="s">
        <v>41</v>
      </c>
      <c r="Q1369" s="19" t="s">
        <v>4749</v>
      </c>
      <c r="R1369" s="21" t="s">
        <v>4750</v>
      </c>
      <c r="S1369" s="19" t="s">
        <v>46</v>
      </c>
      <c r="T1369" s="19" t="s">
        <v>635</v>
      </c>
      <c r="U1369" s="19" t="s">
        <v>636</v>
      </c>
      <c r="V1369" s="19" t="s">
        <v>45</v>
      </c>
      <c r="W1369" s="19"/>
      <c r="X1369" s="19"/>
      <c r="Y1369" s="19"/>
      <c r="Z1369" s="19" t="s">
        <v>658</v>
      </c>
      <c r="AA1369" s="19" t="s">
        <v>4751</v>
      </c>
      <c r="AB1369" s="19" t="s">
        <v>46</v>
      </c>
      <c r="AC1369" s="19" t="s">
        <v>46</v>
      </c>
      <c r="AD1369" s="19" t="s">
        <v>46</v>
      </c>
      <c r="AE1369" s="19"/>
      <c r="AF1369" s="19"/>
      <c r="AG1369" s="19"/>
      <c r="AH1369" s="19" t="s">
        <v>45</v>
      </c>
      <c r="AI1369" s="19"/>
      <c r="AJ1369" s="22">
        <v>43349.624513888892</v>
      </c>
      <c r="AK1369" s="19" t="s">
        <v>4424</v>
      </c>
    </row>
    <row r="1370" spans="1:37">
      <c r="A1370" s="1" t="str">
        <f>VLOOKUP(H1370,Languages!$A$2:$B$430,2,FALSE)</f>
        <v>Iroquoian</v>
      </c>
      <c r="B1370" s="1" t="s">
        <v>67</v>
      </c>
      <c r="C1370" s="1" t="s">
        <v>298</v>
      </c>
      <c r="D1370" s="1" t="s">
        <v>299</v>
      </c>
      <c r="E1370" s="15" t="s">
        <v>300</v>
      </c>
      <c r="F1370" s="15" t="s">
        <v>300</v>
      </c>
      <c r="G1370" s="1" t="s">
        <v>468</v>
      </c>
      <c r="H1370" s="1" t="str">
        <f>VLOOKUP(G1370,'languoid 4.0'!$A$1:$I$24439,2,FALSE)</f>
        <v>iroq1247</v>
      </c>
      <c r="I1370" s="1" t="str">
        <f>VLOOKUP(G1370,'languoid 4.0'!$A$1:$I$24439,6,FALSE)</f>
        <v>language</v>
      </c>
      <c r="J1370" s="15" t="s">
        <v>38</v>
      </c>
      <c r="K1370" s="15" t="s">
        <v>38</v>
      </c>
      <c r="L1370" s="15" t="s">
        <v>38</v>
      </c>
      <c r="M1370" s="1"/>
      <c r="N1370" s="1"/>
      <c r="O1370" s="15" t="s">
        <v>40</v>
      </c>
      <c r="P1370" s="15" t="s">
        <v>41</v>
      </c>
      <c r="Q1370" s="1" t="s">
        <v>469</v>
      </c>
      <c r="R1370" s="2" t="s">
        <v>470</v>
      </c>
      <c r="S1370" s="1" t="s">
        <v>471</v>
      </c>
      <c r="T1370" s="1" t="s">
        <v>44</v>
      </c>
      <c r="U1370" s="1"/>
      <c r="V1370" s="1" t="s">
        <v>45</v>
      </c>
      <c r="W1370" s="1"/>
      <c r="X1370" s="1"/>
      <c r="Y1370" s="1"/>
      <c r="Z1370" s="1"/>
      <c r="AA1370" s="1">
        <v>9</v>
      </c>
      <c r="AB1370" s="4">
        <v>43747</v>
      </c>
      <c r="AC1370" s="1" t="s">
        <v>46</v>
      </c>
      <c r="AD1370" s="1"/>
      <c r="AE1370" s="1"/>
      <c r="AF1370" s="1"/>
      <c r="AG1370" s="1"/>
      <c r="AH1370" s="1"/>
      <c r="AI1370" s="1"/>
      <c r="AJ1370" s="3">
        <v>43102.750555555554</v>
      </c>
      <c r="AK1370" s="1" t="s">
        <v>57</v>
      </c>
    </row>
    <row r="1371" spans="1:37">
      <c r="A1371" s="1" t="str">
        <f>VLOOKUP(H1371,Languages!$A$2:$B$430,2,FALSE)</f>
        <v>Iroquoian</v>
      </c>
      <c r="B1371" s="1" t="s">
        <v>67</v>
      </c>
      <c r="C1371" s="1" t="s">
        <v>298</v>
      </c>
      <c r="D1371" s="1" t="s">
        <v>299</v>
      </c>
      <c r="E1371" s="15" t="s">
        <v>468</v>
      </c>
      <c r="F1371" s="15" t="s">
        <v>468</v>
      </c>
      <c r="G1371" s="1" t="s">
        <v>468</v>
      </c>
      <c r="H1371" s="1" t="str">
        <f>VLOOKUP(G1371,'languoid 4.0'!$A$1:$I$24439,2,FALSE)</f>
        <v>iroq1247</v>
      </c>
      <c r="I1371" s="1" t="str">
        <f>VLOOKUP(G1371,'languoid 4.0'!$A$1:$I$24439,6,FALSE)</f>
        <v>language</v>
      </c>
      <c r="J1371" s="15" t="s">
        <v>38</v>
      </c>
      <c r="K1371" s="15" t="s">
        <v>38</v>
      </c>
      <c r="L1371" s="15" t="s">
        <v>38</v>
      </c>
      <c r="M1371" s="1"/>
      <c r="N1371" s="1" t="s">
        <v>8173</v>
      </c>
      <c r="O1371" s="15" t="s">
        <v>40</v>
      </c>
      <c r="P1371" s="15" t="s">
        <v>41</v>
      </c>
      <c r="Q1371" s="1" t="s">
        <v>8240</v>
      </c>
      <c r="R1371" s="2" t="s">
        <v>8241</v>
      </c>
      <c r="S1371" s="1" t="s">
        <v>4821</v>
      </c>
      <c r="T1371" s="1" t="s">
        <v>657</v>
      </c>
      <c r="U1371" s="1" t="s">
        <v>636</v>
      </c>
      <c r="V1371" s="1" t="s">
        <v>45</v>
      </c>
      <c r="W1371" s="1"/>
      <c r="X1371" s="1"/>
      <c r="Y1371" s="1"/>
      <c r="Z1371" s="1" t="s">
        <v>637</v>
      </c>
      <c r="AA1371" s="1" t="s">
        <v>8242</v>
      </c>
      <c r="AB1371" s="1" t="s">
        <v>8243</v>
      </c>
      <c r="AC1371" s="1" t="s">
        <v>46</v>
      </c>
      <c r="AD1371" s="1" t="s">
        <v>8244</v>
      </c>
      <c r="AE1371" s="1" t="s">
        <v>641</v>
      </c>
      <c r="AF1371" s="1" t="s">
        <v>190</v>
      </c>
      <c r="AG1371" s="1">
        <v>6</v>
      </c>
      <c r="AH1371" s="1" t="s">
        <v>190</v>
      </c>
      <c r="AI1371" s="1"/>
      <c r="AJ1371" s="1" t="s">
        <v>8245</v>
      </c>
      <c r="AK1371" s="1" t="s">
        <v>7652</v>
      </c>
    </row>
    <row r="1372" spans="1:37">
      <c r="A1372" s="1" t="str">
        <f>VLOOKUP(H1372,Languages!$A$2:$B$430,2,FALSE)</f>
        <v>Iroquoian</v>
      </c>
      <c r="B1372" s="1" t="s">
        <v>67</v>
      </c>
      <c r="C1372" s="1" t="s">
        <v>298</v>
      </c>
      <c r="D1372" s="1" t="s">
        <v>299</v>
      </c>
      <c r="E1372" s="15" t="s">
        <v>468</v>
      </c>
      <c r="F1372" s="15" t="s">
        <v>468</v>
      </c>
      <c r="G1372" s="1" t="s">
        <v>468</v>
      </c>
      <c r="H1372" s="1" t="str">
        <f>VLOOKUP(G1372,'languoid 4.0'!$A$1:$I$24439,2,FALSE)</f>
        <v>iroq1247</v>
      </c>
      <c r="I1372" s="1" t="str">
        <f>VLOOKUP(G1372,'languoid 4.0'!$A$1:$I$24439,6,FALSE)</f>
        <v>language</v>
      </c>
      <c r="J1372" s="15" t="s">
        <v>38</v>
      </c>
      <c r="K1372" s="15" t="s">
        <v>38</v>
      </c>
      <c r="L1372" s="15" t="s">
        <v>38</v>
      </c>
      <c r="M1372" s="1"/>
      <c r="N1372" s="1" t="s">
        <v>8173</v>
      </c>
      <c r="O1372" s="15" t="s">
        <v>40</v>
      </c>
      <c r="P1372" s="15" t="s">
        <v>41</v>
      </c>
      <c r="Q1372" s="1" t="s">
        <v>8494</v>
      </c>
      <c r="R1372" s="2" t="s">
        <v>8495</v>
      </c>
      <c r="S1372" s="1" t="s">
        <v>3414</v>
      </c>
      <c r="T1372" s="1" t="s">
        <v>657</v>
      </c>
      <c r="U1372" s="1" t="s">
        <v>636</v>
      </c>
      <c r="V1372" s="1" t="s">
        <v>45</v>
      </c>
      <c r="W1372" s="1"/>
      <c r="X1372" s="1"/>
      <c r="Y1372" s="1"/>
      <c r="Z1372" s="1" t="s">
        <v>637</v>
      </c>
      <c r="AA1372" s="1" t="s">
        <v>8496</v>
      </c>
      <c r="AB1372" s="1" t="s">
        <v>8497</v>
      </c>
      <c r="AC1372" s="1" t="s">
        <v>46</v>
      </c>
      <c r="AD1372" s="1" t="s">
        <v>8498</v>
      </c>
      <c r="AE1372" s="1" t="s">
        <v>641</v>
      </c>
      <c r="AF1372" s="1" t="s">
        <v>190</v>
      </c>
      <c r="AG1372" s="1">
        <v>6</v>
      </c>
      <c r="AH1372" s="1" t="s">
        <v>190</v>
      </c>
      <c r="AI1372" s="1" t="s">
        <v>8499</v>
      </c>
      <c r="AJ1372" s="3">
        <v>43168.231782407405</v>
      </c>
      <c r="AK1372" s="1" t="s">
        <v>7652</v>
      </c>
    </row>
    <row r="1373" spans="1:37">
      <c r="A1373" s="1" t="str">
        <f>VLOOKUP(H1373,Languages!$A$2:$B$430,2,FALSE)</f>
        <v>Iroquoian</v>
      </c>
      <c r="B1373" s="1" t="s">
        <v>67</v>
      </c>
      <c r="C1373" s="1" t="s">
        <v>298</v>
      </c>
      <c r="D1373" s="1" t="s">
        <v>299</v>
      </c>
      <c r="E1373" s="15" t="s">
        <v>468</v>
      </c>
      <c r="F1373" s="15" t="s">
        <v>468</v>
      </c>
      <c r="G1373" s="1" t="s">
        <v>468</v>
      </c>
      <c r="H1373" s="1" t="str">
        <f>VLOOKUP(G1373,'languoid 4.0'!$A$1:$I$24439,2,FALSE)</f>
        <v>iroq1247</v>
      </c>
      <c r="I1373" s="1" t="str">
        <f>VLOOKUP(G1373,'languoid 4.0'!$A$1:$I$24439,6,FALSE)</f>
        <v>language</v>
      </c>
      <c r="J1373" s="15" t="s">
        <v>38</v>
      </c>
      <c r="K1373" s="15" t="s">
        <v>38</v>
      </c>
      <c r="L1373" s="15" t="s">
        <v>38</v>
      </c>
      <c r="M1373" s="1"/>
      <c r="N1373" s="1" t="s">
        <v>8173</v>
      </c>
      <c r="O1373" s="15" t="s">
        <v>40</v>
      </c>
      <c r="P1373" s="15" t="s">
        <v>41</v>
      </c>
      <c r="Q1373" s="1" t="s">
        <v>8500</v>
      </c>
      <c r="R1373" s="2" t="s">
        <v>8501</v>
      </c>
      <c r="S1373" s="1" t="s">
        <v>647</v>
      </c>
      <c r="T1373" s="1" t="s">
        <v>657</v>
      </c>
      <c r="U1373" s="1" t="s">
        <v>636</v>
      </c>
      <c r="V1373" s="1" t="s">
        <v>45</v>
      </c>
      <c r="W1373" s="1"/>
      <c r="X1373" s="1"/>
      <c r="Y1373" s="1"/>
      <c r="Z1373" s="1" t="s">
        <v>637</v>
      </c>
      <c r="AA1373" s="1" t="s">
        <v>8502</v>
      </c>
      <c r="AB1373" s="1" t="s">
        <v>8503</v>
      </c>
      <c r="AC1373" s="1" t="s">
        <v>46</v>
      </c>
      <c r="AD1373" s="1" t="s">
        <v>8498</v>
      </c>
      <c r="AE1373" s="1" t="s">
        <v>641</v>
      </c>
      <c r="AF1373" s="1" t="s">
        <v>190</v>
      </c>
      <c r="AG1373" s="1">
        <v>6</v>
      </c>
      <c r="AH1373" s="1" t="s">
        <v>190</v>
      </c>
      <c r="AI1373" s="1" t="s">
        <v>8499</v>
      </c>
      <c r="AJ1373" s="3">
        <v>43168.238483796296</v>
      </c>
      <c r="AK1373" s="1" t="s">
        <v>7652</v>
      </c>
    </row>
    <row r="1374" spans="1:37">
      <c r="A1374" s="1" t="str">
        <f>VLOOKUP(H1374,Languages!$A$2:$B$430,2,FALSE)</f>
        <v>Iroquoian</v>
      </c>
      <c r="B1374" s="1" t="s">
        <v>67</v>
      </c>
      <c r="C1374" s="1" t="s">
        <v>298</v>
      </c>
      <c r="D1374" s="1" t="s">
        <v>299</v>
      </c>
      <c r="E1374" s="15" t="s">
        <v>468</v>
      </c>
      <c r="F1374" s="15" t="s">
        <v>468</v>
      </c>
      <c r="G1374" s="1" t="s">
        <v>468</v>
      </c>
      <c r="H1374" s="1" t="str">
        <f>VLOOKUP(G1374,'languoid 4.0'!$A$1:$I$24439,2,FALSE)</f>
        <v>iroq1247</v>
      </c>
      <c r="I1374" s="1" t="str">
        <f>VLOOKUP(G1374,'languoid 4.0'!$A$1:$I$24439,6,FALSE)</f>
        <v>language</v>
      </c>
      <c r="J1374" s="15" t="s">
        <v>38</v>
      </c>
      <c r="K1374" s="15" t="s">
        <v>38</v>
      </c>
      <c r="L1374" s="15" t="s">
        <v>38</v>
      </c>
      <c r="M1374" s="1"/>
      <c r="N1374" s="1" t="s">
        <v>8173</v>
      </c>
      <c r="O1374" s="15" t="s">
        <v>40</v>
      </c>
      <c r="P1374" s="15" t="s">
        <v>41</v>
      </c>
      <c r="Q1374" s="1" t="s">
        <v>8504</v>
      </c>
      <c r="R1374" s="2" t="s">
        <v>8505</v>
      </c>
      <c r="S1374" s="1" t="s">
        <v>399</v>
      </c>
      <c r="T1374" s="1" t="s">
        <v>657</v>
      </c>
      <c r="U1374" s="1" t="s">
        <v>636</v>
      </c>
      <c r="V1374" s="1" t="s">
        <v>45</v>
      </c>
      <c r="W1374" s="1"/>
      <c r="X1374" s="1"/>
      <c r="Y1374" s="1"/>
      <c r="Z1374" s="1" t="s">
        <v>637</v>
      </c>
      <c r="AA1374" s="1" t="s">
        <v>8506</v>
      </c>
      <c r="AB1374" s="1" t="s">
        <v>8507</v>
      </c>
      <c r="AC1374" s="1" t="s">
        <v>46</v>
      </c>
      <c r="AD1374" s="1" t="s">
        <v>8498</v>
      </c>
      <c r="AE1374" s="1" t="s">
        <v>641</v>
      </c>
      <c r="AF1374" s="1" t="s">
        <v>190</v>
      </c>
      <c r="AG1374" s="1">
        <v>6</v>
      </c>
      <c r="AH1374" s="1" t="s">
        <v>190</v>
      </c>
      <c r="AI1374" s="1" t="s">
        <v>8499</v>
      </c>
      <c r="AJ1374" s="3">
        <v>43168.240613425929</v>
      </c>
      <c r="AK1374" s="1" t="s">
        <v>7652</v>
      </c>
    </row>
    <row r="1375" spans="1:37">
      <c r="A1375" s="1" t="str">
        <f>VLOOKUP(H1375,Languages!$A$2:$B$430,2,FALSE)</f>
        <v>Iroquoian</v>
      </c>
      <c r="B1375" s="1" t="s">
        <v>67</v>
      </c>
      <c r="C1375" s="1" t="s">
        <v>298</v>
      </c>
      <c r="D1375" s="1" t="s">
        <v>299</v>
      </c>
      <c r="E1375" s="15" t="s">
        <v>468</v>
      </c>
      <c r="F1375" s="15" t="s">
        <v>468</v>
      </c>
      <c r="G1375" s="1" t="s">
        <v>468</v>
      </c>
      <c r="H1375" s="1" t="str">
        <f>VLOOKUP(G1375,'languoid 4.0'!$A$1:$I$24439,2,FALSE)</f>
        <v>iroq1247</v>
      </c>
      <c r="I1375" s="1" t="str">
        <f>VLOOKUP(G1375,'languoid 4.0'!$A$1:$I$24439,6,FALSE)</f>
        <v>language</v>
      </c>
      <c r="J1375" s="15" t="s">
        <v>38</v>
      </c>
      <c r="K1375" s="15" t="s">
        <v>38</v>
      </c>
      <c r="L1375" s="15" t="s">
        <v>38</v>
      </c>
      <c r="M1375" s="1"/>
      <c r="N1375" s="1" t="s">
        <v>8173</v>
      </c>
      <c r="O1375" s="15" t="s">
        <v>40</v>
      </c>
      <c r="P1375" s="15" t="s">
        <v>41</v>
      </c>
      <c r="Q1375" s="1" t="s">
        <v>8508</v>
      </c>
      <c r="R1375" s="2" t="s">
        <v>8509</v>
      </c>
      <c r="S1375" s="1" t="s">
        <v>672</v>
      </c>
      <c r="T1375" s="1" t="s">
        <v>657</v>
      </c>
      <c r="U1375" s="1" t="s">
        <v>636</v>
      </c>
      <c r="V1375" s="1" t="s">
        <v>45</v>
      </c>
      <c r="W1375" s="1"/>
      <c r="X1375" s="1"/>
      <c r="Y1375" s="1"/>
      <c r="Z1375" s="1" t="s">
        <v>637</v>
      </c>
      <c r="AA1375" s="1" t="s">
        <v>8510</v>
      </c>
      <c r="AB1375" s="1" t="s">
        <v>8503</v>
      </c>
      <c r="AC1375" s="1" t="s">
        <v>46</v>
      </c>
      <c r="AD1375" s="1" t="s">
        <v>8498</v>
      </c>
      <c r="AE1375" s="1" t="s">
        <v>641</v>
      </c>
      <c r="AF1375" s="1" t="s">
        <v>190</v>
      </c>
      <c r="AG1375" s="1">
        <v>6</v>
      </c>
      <c r="AH1375" s="1" t="s">
        <v>190</v>
      </c>
      <c r="AI1375" s="1" t="s">
        <v>8499</v>
      </c>
      <c r="AJ1375" s="3">
        <v>43168.242893518516</v>
      </c>
      <c r="AK1375" s="1" t="s">
        <v>7652</v>
      </c>
    </row>
    <row r="1376" spans="1:37">
      <c r="A1376" s="1" t="str">
        <f>VLOOKUP(H1376,Languages!$A$2:$B$430,2,FALSE)</f>
        <v>Iroquoian</v>
      </c>
      <c r="B1376" s="1" t="s">
        <v>67</v>
      </c>
      <c r="C1376" s="1" t="s">
        <v>298</v>
      </c>
      <c r="D1376" s="1" t="s">
        <v>299</v>
      </c>
      <c r="E1376" s="15" t="s">
        <v>468</v>
      </c>
      <c r="F1376" s="15" t="s">
        <v>468</v>
      </c>
      <c r="G1376" s="1" t="s">
        <v>468</v>
      </c>
      <c r="H1376" s="1" t="str">
        <f>VLOOKUP(G1376,'languoid 4.0'!$A$1:$I$24439,2,FALSE)</f>
        <v>iroq1247</v>
      </c>
      <c r="I1376" s="1" t="str">
        <f>VLOOKUP(G1376,'languoid 4.0'!$A$1:$I$24439,6,FALSE)</f>
        <v>language</v>
      </c>
      <c r="J1376" s="15" t="s">
        <v>38</v>
      </c>
      <c r="K1376" s="15" t="s">
        <v>38</v>
      </c>
      <c r="L1376" s="15" t="s">
        <v>38</v>
      </c>
      <c r="M1376" s="1"/>
      <c r="N1376" s="1" t="s">
        <v>8173</v>
      </c>
      <c r="O1376" s="15" t="s">
        <v>40</v>
      </c>
      <c r="P1376" s="15" t="s">
        <v>41</v>
      </c>
      <c r="Q1376" s="1" t="s">
        <v>8511</v>
      </c>
      <c r="R1376" s="2" t="s">
        <v>8512</v>
      </c>
      <c r="S1376" s="1" t="s">
        <v>1596</v>
      </c>
      <c r="T1376" s="1" t="s">
        <v>657</v>
      </c>
      <c r="U1376" s="1" t="s">
        <v>636</v>
      </c>
      <c r="V1376" s="1" t="s">
        <v>45</v>
      </c>
      <c r="W1376" s="1"/>
      <c r="X1376" s="1"/>
      <c r="Y1376" s="1"/>
      <c r="Z1376" s="1" t="s">
        <v>637</v>
      </c>
      <c r="AA1376" s="1" t="s">
        <v>8513</v>
      </c>
      <c r="AB1376" s="1" t="s">
        <v>8514</v>
      </c>
      <c r="AC1376" s="1" t="s">
        <v>46</v>
      </c>
      <c r="AD1376" s="1" t="s">
        <v>8498</v>
      </c>
      <c r="AE1376" s="1" t="s">
        <v>641</v>
      </c>
      <c r="AF1376" s="1" t="s">
        <v>190</v>
      </c>
      <c r="AG1376" s="1">
        <v>6</v>
      </c>
      <c r="AH1376" s="1" t="s">
        <v>190</v>
      </c>
      <c r="AI1376" s="1" t="s">
        <v>8499</v>
      </c>
      <c r="AJ1376" s="3">
        <v>43168.245891203704</v>
      </c>
      <c r="AK1376" s="1" t="s">
        <v>7652</v>
      </c>
    </row>
    <row r="1377" spans="1:37">
      <c r="A1377" s="1" t="str">
        <f>VLOOKUP(H1377,Languages!$A$2:$B$430,2,FALSE)</f>
        <v>Iroquoian</v>
      </c>
      <c r="B1377" s="1" t="s">
        <v>67</v>
      </c>
      <c r="C1377" s="1" t="s">
        <v>298</v>
      </c>
      <c r="D1377" s="1" t="s">
        <v>299</v>
      </c>
      <c r="E1377" s="15" t="s">
        <v>468</v>
      </c>
      <c r="F1377" s="15" t="s">
        <v>468</v>
      </c>
      <c r="G1377" s="1" t="s">
        <v>468</v>
      </c>
      <c r="H1377" s="1" t="str">
        <f>VLOOKUP(G1377,'languoid 4.0'!$A$1:$I$24439,2,FALSE)</f>
        <v>iroq1247</v>
      </c>
      <c r="I1377" s="1" t="str">
        <f>VLOOKUP(G1377,'languoid 4.0'!$A$1:$I$24439,6,FALSE)</f>
        <v>language</v>
      </c>
      <c r="J1377" s="15" t="s">
        <v>38</v>
      </c>
      <c r="K1377" s="15" t="s">
        <v>38</v>
      </c>
      <c r="L1377" s="15" t="s">
        <v>38</v>
      </c>
      <c r="M1377" s="1"/>
      <c r="N1377" s="1" t="s">
        <v>8173</v>
      </c>
      <c r="O1377" s="15" t="s">
        <v>40</v>
      </c>
      <c r="P1377" s="15" t="s">
        <v>41</v>
      </c>
      <c r="Q1377" s="1" t="s">
        <v>8515</v>
      </c>
      <c r="R1377" s="2" t="s">
        <v>8516</v>
      </c>
      <c r="S1377" s="1" t="s">
        <v>656</v>
      </c>
      <c r="T1377" s="1" t="s">
        <v>657</v>
      </c>
      <c r="U1377" s="1" t="s">
        <v>636</v>
      </c>
      <c r="V1377" s="1" t="s">
        <v>45</v>
      </c>
      <c r="W1377" s="1"/>
      <c r="X1377" s="1"/>
      <c r="Y1377" s="1"/>
      <c r="Z1377" s="1" t="s">
        <v>637</v>
      </c>
      <c r="AA1377" s="1" t="s">
        <v>8517</v>
      </c>
      <c r="AB1377" s="1" t="s">
        <v>8518</v>
      </c>
      <c r="AC1377" s="1" t="s">
        <v>46</v>
      </c>
      <c r="AD1377" s="1" t="s">
        <v>8498</v>
      </c>
      <c r="AE1377" s="1" t="s">
        <v>641</v>
      </c>
      <c r="AF1377" s="1" t="s">
        <v>190</v>
      </c>
      <c r="AG1377" s="1">
        <v>6</v>
      </c>
      <c r="AH1377" s="1" t="s">
        <v>190</v>
      </c>
      <c r="AI1377" s="1" t="s">
        <v>8499</v>
      </c>
      <c r="AJ1377" s="3">
        <v>43168.248020833336</v>
      </c>
      <c r="AK1377" s="1" t="s">
        <v>7652</v>
      </c>
    </row>
    <row r="1378" spans="1:37">
      <c r="A1378" s="1" t="str">
        <f>VLOOKUP(H1378,Languages!$A$2:$B$430,2,FALSE)</f>
        <v>Iroquoian</v>
      </c>
      <c r="B1378" s="1" t="s">
        <v>67</v>
      </c>
      <c r="C1378" s="1" t="s">
        <v>298</v>
      </c>
      <c r="D1378" s="1" t="s">
        <v>299</v>
      </c>
      <c r="E1378" s="15" t="s">
        <v>468</v>
      </c>
      <c r="F1378" s="15" t="s">
        <v>468</v>
      </c>
      <c r="G1378" s="1" t="s">
        <v>468</v>
      </c>
      <c r="H1378" s="1" t="str">
        <f>VLOOKUP(G1378,'languoid 4.0'!$A$1:$I$24439,2,FALSE)</f>
        <v>iroq1247</v>
      </c>
      <c r="I1378" s="1" t="str">
        <f>VLOOKUP(G1378,'languoid 4.0'!$A$1:$I$24439,6,FALSE)</f>
        <v>language</v>
      </c>
      <c r="J1378" s="15" t="s">
        <v>38</v>
      </c>
      <c r="K1378" s="15" t="s">
        <v>38</v>
      </c>
      <c r="L1378" s="15" t="s">
        <v>38</v>
      </c>
      <c r="M1378" s="1"/>
      <c r="N1378" s="1" t="s">
        <v>8173</v>
      </c>
      <c r="O1378" s="15" t="s">
        <v>40</v>
      </c>
      <c r="P1378" s="15" t="s">
        <v>41</v>
      </c>
      <c r="Q1378" s="1" t="s">
        <v>8519</v>
      </c>
      <c r="R1378" s="2" t="s">
        <v>8520</v>
      </c>
      <c r="S1378" s="1" t="s">
        <v>557</v>
      </c>
      <c r="T1378" s="1" t="s">
        <v>657</v>
      </c>
      <c r="U1378" s="1" t="s">
        <v>636</v>
      </c>
      <c r="V1378" s="1" t="s">
        <v>45</v>
      </c>
      <c r="W1378" s="1"/>
      <c r="X1378" s="1"/>
      <c r="Y1378" s="1"/>
      <c r="Z1378" s="1" t="s">
        <v>637</v>
      </c>
      <c r="AA1378" s="1" t="s">
        <v>8521</v>
      </c>
      <c r="AB1378" s="1" t="s">
        <v>8522</v>
      </c>
      <c r="AC1378" s="1" t="s">
        <v>46</v>
      </c>
      <c r="AD1378" s="1" t="s">
        <v>8498</v>
      </c>
      <c r="AE1378" s="1" t="s">
        <v>641</v>
      </c>
      <c r="AF1378" s="1" t="s">
        <v>190</v>
      </c>
      <c r="AG1378" s="1">
        <v>6</v>
      </c>
      <c r="AH1378" s="1" t="s">
        <v>190</v>
      </c>
      <c r="AI1378" s="1" t="s">
        <v>8499</v>
      </c>
      <c r="AJ1378" s="3">
        <v>43168.2500462963</v>
      </c>
      <c r="AK1378" s="1" t="s">
        <v>7652</v>
      </c>
    </row>
    <row r="1379" spans="1:37">
      <c r="A1379" s="1" t="str">
        <f>VLOOKUP(H1379,Languages!$A$2:$B$430,2,FALSE)</f>
        <v>Iroquoian</v>
      </c>
      <c r="B1379" s="1" t="s">
        <v>67</v>
      </c>
      <c r="C1379" s="1" t="s">
        <v>298</v>
      </c>
      <c r="D1379" s="1" t="s">
        <v>299</v>
      </c>
      <c r="E1379" s="15" t="s">
        <v>468</v>
      </c>
      <c r="F1379" s="15" t="s">
        <v>468</v>
      </c>
      <c r="G1379" s="1" t="s">
        <v>468</v>
      </c>
      <c r="H1379" s="1" t="str">
        <f>VLOOKUP(G1379,'languoid 4.0'!$A$1:$I$24439,2,FALSE)</f>
        <v>iroq1247</v>
      </c>
      <c r="I1379" s="1" t="str">
        <f>VLOOKUP(G1379,'languoid 4.0'!$A$1:$I$24439,6,FALSE)</f>
        <v>language</v>
      </c>
      <c r="J1379" s="15" t="s">
        <v>38</v>
      </c>
      <c r="K1379" s="15" t="s">
        <v>38</v>
      </c>
      <c r="L1379" s="15" t="s">
        <v>38</v>
      </c>
      <c r="M1379" s="1"/>
      <c r="N1379" s="1" t="s">
        <v>8173</v>
      </c>
      <c r="O1379" s="15" t="s">
        <v>40</v>
      </c>
      <c r="P1379" s="15" t="s">
        <v>41</v>
      </c>
      <c r="Q1379" s="1" t="s">
        <v>8523</v>
      </c>
      <c r="R1379" s="2" t="s">
        <v>8524</v>
      </c>
      <c r="S1379" s="1" t="s">
        <v>717</v>
      </c>
      <c r="T1379" s="1" t="s">
        <v>657</v>
      </c>
      <c r="U1379" s="1" t="s">
        <v>636</v>
      </c>
      <c r="V1379" s="1" t="s">
        <v>45</v>
      </c>
      <c r="W1379" s="1"/>
      <c r="X1379" s="1"/>
      <c r="Y1379" s="1"/>
      <c r="Z1379" s="1" t="s">
        <v>637</v>
      </c>
      <c r="AA1379" s="1" t="s">
        <v>8525</v>
      </c>
      <c r="AB1379" s="1" t="s">
        <v>8518</v>
      </c>
      <c r="AC1379" s="1" t="s">
        <v>46</v>
      </c>
      <c r="AD1379" s="1" t="s">
        <v>8498</v>
      </c>
      <c r="AE1379" s="1" t="s">
        <v>641</v>
      </c>
      <c r="AF1379" s="1" t="s">
        <v>190</v>
      </c>
      <c r="AG1379" s="1">
        <v>6</v>
      </c>
      <c r="AH1379" s="1" t="s">
        <v>190</v>
      </c>
      <c r="AI1379" s="1" t="s">
        <v>8499</v>
      </c>
      <c r="AJ1379" s="3">
        <v>43168.251782407409</v>
      </c>
      <c r="AK1379" s="1" t="s">
        <v>7652</v>
      </c>
    </row>
    <row r="1380" spans="1:37">
      <c r="A1380" s="1" t="str">
        <f>VLOOKUP(H1380,Languages!$A$2:$B$430,2,FALSE)</f>
        <v>Iroquoian</v>
      </c>
      <c r="B1380" s="1" t="s">
        <v>67</v>
      </c>
      <c r="C1380" s="1" t="s">
        <v>298</v>
      </c>
      <c r="D1380" s="1" t="s">
        <v>299</v>
      </c>
      <c r="E1380" s="15" t="s">
        <v>468</v>
      </c>
      <c r="F1380" s="15" t="s">
        <v>468</v>
      </c>
      <c r="G1380" s="1" t="s">
        <v>468</v>
      </c>
      <c r="H1380" s="1" t="str">
        <f>VLOOKUP(G1380,'languoid 4.0'!$A$1:$I$24439,2,FALSE)</f>
        <v>iroq1247</v>
      </c>
      <c r="I1380" s="1" t="str">
        <f>VLOOKUP(G1380,'languoid 4.0'!$A$1:$I$24439,6,FALSE)</f>
        <v>language</v>
      </c>
      <c r="J1380" s="15" t="s">
        <v>38</v>
      </c>
      <c r="K1380" s="15" t="s">
        <v>38</v>
      </c>
      <c r="L1380" s="15" t="s">
        <v>38</v>
      </c>
      <c r="M1380" s="1"/>
      <c r="N1380" s="1" t="s">
        <v>8173</v>
      </c>
      <c r="O1380" s="15" t="s">
        <v>40</v>
      </c>
      <c r="P1380" s="15" t="s">
        <v>41</v>
      </c>
      <c r="Q1380" s="1" t="s">
        <v>8569</v>
      </c>
      <c r="R1380" s="2" t="s">
        <v>8570</v>
      </c>
      <c r="S1380" s="1" t="s">
        <v>579</v>
      </c>
      <c r="T1380" s="1" t="s">
        <v>657</v>
      </c>
      <c r="U1380" s="1" t="s">
        <v>636</v>
      </c>
      <c r="V1380" s="1" t="s">
        <v>45</v>
      </c>
      <c r="W1380" s="1"/>
      <c r="X1380" s="1"/>
      <c r="Y1380" s="1"/>
      <c r="Z1380" s="1" t="s">
        <v>658</v>
      </c>
      <c r="AA1380" s="1" t="s">
        <v>8571</v>
      </c>
      <c r="AB1380" s="1" t="s">
        <v>8572</v>
      </c>
      <c r="AC1380" s="1" t="s">
        <v>46</v>
      </c>
      <c r="AD1380" s="1" t="s">
        <v>8498</v>
      </c>
      <c r="AE1380" s="1" t="s">
        <v>641</v>
      </c>
      <c r="AF1380" s="1" t="s">
        <v>190</v>
      </c>
      <c r="AG1380" s="1">
        <v>6</v>
      </c>
      <c r="AH1380" s="1" t="s">
        <v>190</v>
      </c>
      <c r="AI1380" s="1" t="s">
        <v>8499</v>
      </c>
      <c r="AJ1380" s="3">
        <v>43199.282025462962</v>
      </c>
      <c r="AK1380" s="1" t="s">
        <v>7652</v>
      </c>
    </row>
    <row r="1381" spans="1:37">
      <c r="A1381" s="1" t="str">
        <f>VLOOKUP(H1381,Languages!$A$2:$B$430,2,FALSE)</f>
        <v>Iroquoian</v>
      </c>
      <c r="B1381" s="1" t="s">
        <v>59</v>
      </c>
      <c r="C1381" s="1" t="s">
        <v>298</v>
      </c>
      <c r="D1381" s="1" t="s">
        <v>299</v>
      </c>
      <c r="E1381" s="15" t="s">
        <v>8526</v>
      </c>
      <c r="F1381" s="15" t="s">
        <v>8526</v>
      </c>
      <c r="G1381" s="1" t="s">
        <v>8526</v>
      </c>
      <c r="H1381" s="1" t="str">
        <f>VLOOKUP(G1381,'languoid 4.0'!$A$1:$I$24439,2,FALSE)</f>
        <v>iroq1247</v>
      </c>
      <c r="I1381" s="1" t="str">
        <f>VLOOKUP(G1381,'languoid 4.0'!$A$1:$I$24439,6,FALSE)</f>
        <v>language</v>
      </c>
      <c r="J1381" s="15" t="s">
        <v>38</v>
      </c>
      <c r="K1381" s="15" t="s">
        <v>38</v>
      </c>
      <c r="L1381" s="15" t="s">
        <v>38</v>
      </c>
      <c r="M1381" s="1"/>
      <c r="N1381" s="1" t="s">
        <v>8527</v>
      </c>
      <c r="O1381" s="15" t="s">
        <v>40</v>
      </c>
      <c r="P1381" s="15" t="s">
        <v>41</v>
      </c>
      <c r="Q1381" s="1" t="s">
        <v>8528</v>
      </c>
      <c r="R1381" s="2" t="s">
        <v>8529</v>
      </c>
      <c r="S1381" s="1" t="s">
        <v>656</v>
      </c>
      <c r="T1381" s="1" t="s">
        <v>657</v>
      </c>
      <c r="U1381" s="1" t="s">
        <v>8530</v>
      </c>
      <c r="V1381" s="1" t="s">
        <v>45</v>
      </c>
      <c r="W1381" s="1"/>
      <c r="X1381" s="1"/>
      <c r="Y1381" s="1"/>
      <c r="Z1381" s="1" t="s">
        <v>637</v>
      </c>
      <c r="AA1381" s="1" t="s">
        <v>8531</v>
      </c>
      <c r="AB1381" s="1" t="s">
        <v>8532</v>
      </c>
      <c r="AC1381" s="1" t="s">
        <v>46</v>
      </c>
      <c r="AD1381" s="1" t="s">
        <v>8498</v>
      </c>
      <c r="AE1381" s="1" t="s">
        <v>641</v>
      </c>
      <c r="AF1381" s="1" t="s">
        <v>190</v>
      </c>
      <c r="AG1381" s="1">
        <v>6</v>
      </c>
      <c r="AH1381" s="1" t="s">
        <v>190</v>
      </c>
      <c r="AI1381" s="1" t="s">
        <v>8499</v>
      </c>
      <c r="AJ1381" s="3">
        <v>43168.257754629631</v>
      </c>
      <c r="AK1381" s="1" t="s">
        <v>7652</v>
      </c>
    </row>
    <row r="1382" spans="1:37">
      <c r="A1382" s="1" t="str">
        <f>VLOOKUP(H1382,Languages!$A$2:$B$430,2,FALSE)</f>
        <v>Iroquoian</v>
      </c>
      <c r="B1382" s="1" t="s">
        <v>59</v>
      </c>
      <c r="C1382" s="1" t="s">
        <v>298</v>
      </c>
      <c r="D1382" s="1" t="s">
        <v>299</v>
      </c>
      <c r="E1382" s="15" t="s">
        <v>468</v>
      </c>
      <c r="F1382" s="15" t="s">
        <v>468</v>
      </c>
      <c r="G1382" s="1" t="s">
        <v>468</v>
      </c>
      <c r="H1382" s="1" t="str">
        <f>VLOOKUP(G1382,'languoid 4.0'!$A$1:$I$24439,2,FALSE)</f>
        <v>iroq1247</v>
      </c>
      <c r="I1382" s="1" t="str">
        <f>VLOOKUP(G1382,'languoid 4.0'!$A$1:$I$24439,6,FALSE)</f>
        <v>language</v>
      </c>
      <c r="J1382" s="15" t="s">
        <v>38</v>
      </c>
      <c r="K1382" s="15" t="s">
        <v>38</v>
      </c>
      <c r="L1382" s="15" t="s">
        <v>38</v>
      </c>
      <c r="M1382" s="1"/>
      <c r="N1382" s="1" t="s">
        <v>8173</v>
      </c>
      <c r="O1382" s="15" t="s">
        <v>40</v>
      </c>
      <c r="P1382" s="15" t="s">
        <v>41</v>
      </c>
      <c r="Q1382" s="1" t="s">
        <v>8564</v>
      </c>
      <c r="R1382" s="2" t="s">
        <v>8565</v>
      </c>
      <c r="S1382" s="1" t="s">
        <v>1361</v>
      </c>
      <c r="T1382" s="1" t="s">
        <v>657</v>
      </c>
      <c r="U1382" s="1" t="s">
        <v>636</v>
      </c>
      <c r="V1382" s="1" t="s">
        <v>45</v>
      </c>
      <c r="W1382" s="1"/>
      <c r="X1382" s="1"/>
      <c r="Y1382" s="1"/>
      <c r="Z1382" s="1" t="s">
        <v>673</v>
      </c>
      <c r="AA1382" s="1" t="s">
        <v>8566</v>
      </c>
      <c r="AB1382" s="1" t="s">
        <v>8567</v>
      </c>
      <c r="AC1382" s="1" t="s">
        <v>8568</v>
      </c>
      <c r="AD1382" s="1" t="s">
        <v>8498</v>
      </c>
      <c r="AE1382" s="1" t="s">
        <v>641</v>
      </c>
      <c r="AF1382" s="1" t="s">
        <v>190</v>
      </c>
      <c r="AG1382" s="1">
        <v>6</v>
      </c>
      <c r="AH1382" s="1" t="s">
        <v>190</v>
      </c>
      <c r="AI1382" s="1" t="s">
        <v>8499</v>
      </c>
      <c r="AJ1382" s="3">
        <v>43199.279398148145</v>
      </c>
      <c r="AK1382" s="1" t="s">
        <v>7652</v>
      </c>
    </row>
    <row r="1383" spans="1:37">
      <c r="A1383" s="1" t="str">
        <f>VLOOKUP(H1383,Languages!$A$2:$B$430,2,FALSE)</f>
        <v>Iroquoian</v>
      </c>
      <c r="B1383" s="1" t="s">
        <v>35</v>
      </c>
      <c r="C1383" s="1" t="s">
        <v>298</v>
      </c>
      <c r="D1383" s="1" t="s">
        <v>8582</v>
      </c>
      <c r="E1383" s="15" t="s">
        <v>8583</v>
      </c>
      <c r="F1383" s="15" t="s">
        <v>8583</v>
      </c>
      <c r="G1383" s="1" t="s">
        <v>8583</v>
      </c>
      <c r="H1383" s="1" t="str">
        <f>VLOOKUP(G1383,'languoid 4.0'!$A$1:$I$24439,2,FALSE)</f>
        <v>iroq1247</v>
      </c>
      <c r="I1383" s="1" t="str">
        <f>VLOOKUP(G1383,'languoid 4.0'!$A$1:$I$24439,6,FALSE)</f>
        <v>language</v>
      </c>
      <c r="J1383" s="15" t="s">
        <v>38</v>
      </c>
      <c r="K1383" s="15" t="s">
        <v>38</v>
      </c>
      <c r="L1383" s="15" t="s">
        <v>38</v>
      </c>
      <c r="M1383" s="1"/>
      <c r="N1383" s="1" t="s">
        <v>8584</v>
      </c>
      <c r="O1383" s="15" t="s">
        <v>40</v>
      </c>
      <c r="P1383" s="15" t="s">
        <v>41</v>
      </c>
      <c r="Q1383" s="1" t="s">
        <v>35</v>
      </c>
      <c r="R1383" s="2" t="s">
        <v>8585</v>
      </c>
      <c r="S1383" s="1" t="s">
        <v>666</v>
      </c>
      <c r="T1383" s="1" t="s">
        <v>657</v>
      </c>
      <c r="U1383" s="1" t="s">
        <v>636</v>
      </c>
      <c r="V1383" s="1" t="s">
        <v>45</v>
      </c>
      <c r="W1383" s="1"/>
      <c r="X1383" s="1"/>
      <c r="Y1383" s="1"/>
      <c r="Z1383" s="1" t="s">
        <v>823</v>
      </c>
      <c r="AA1383" s="1" t="s">
        <v>8586</v>
      </c>
      <c r="AB1383" s="1" t="s">
        <v>8587</v>
      </c>
      <c r="AC1383" s="1" t="s">
        <v>8588</v>
      </c>
      <c r="AD1383" s="1" t="s">
        <v>8498</v>
      </c>
      <c r="AE1383" s="1" t="s">
        <v>641</v>
      </c>
      <c r="AF1383" s="1" t="s">
        <v>190</v>
      </c>
      <c r="AG1383" s="1">
        <v>6</v>
      </c>
      <c r="AH1383" s="1" t="s">
        <v>190</v>
      </c>
      <c r="AI1383" s="1" t="s">
        <v>8499</v>
      </c>
      <c r="AJ1383" s="3">
        <v>43199.309560185182</v>
      </c>
      <c r="AK1383" s="1" t="s">
        <v>7652</v>
      </c>
    </row>
    <row r="1384" spans="1:37">
      <c r="A1384" s="1" t="str">
        <f>VLOOKUP(H1384,Languages!$A$2:$B$430,2,FALSE)</f>
        <v>Iroquoian</v>
      </c>
      <c r="B1384" s="1" t="s">
        <v>1726</v>
      </c>
      <c r="C1384" s="1" t="s">
        <v>298</v>
      </c>
      <c r="D1384" s="1" t="s">
        <v>299</v>
      </c>
      <c r="E1384" s="15" t="s">
        <v>468</v>
      </c>
      <c r="F1384" s="15" t="s">
        <v>468</v>
      </c>
      <c r="G1384" s="1" t="s">
        <v>468</v>
      </c>
      <c r="H1384" s="1" t="str">
        <f>VLOOKUP(G1384,'languoid 4.0'!$A$1:$I$24439,2,FALSE)</f>
        <v>iroq1247</v>
      </c>
      <c r="I1384" s="1" t="str">
        <f>VLOOKUP(G1384,'languoid 4.0'!$A$1:$I$24439,6,FALSE)</f>
        <v>language</v>
      </c>
      <c r="J1384" s="15" t="s">
        <v>38</v>
      </c>
      <c r="K1384" s="15" t="s">
        <v>38</v>
      </c>
      <c r="L1384" s="15" t="s">
        <v>38</v>
      </c>
      <c r="M1384" s="1"/>
      <c r="N1384" s="1" t="s">
        <v>8173</v>
      </c>
      <c r="O1384" s="15" t="s">
        <v>40</v>
      </c>
      <c r="P1384" s="15" t="s">
        <v>41</v>
      </c>
      <c r="Q1384" s="1" t="s">
        <v>8560</v>
      </c>
      <c r="R1384" s="2" t="s">
        <v>8561</v>
      </c>
      <c r="S1384" s="1" t="s">
        <v>683</v>
      </c>
      <c r="T1384" s="1" t="s">
        <v>657</v>
      </c>
      <c r="U1384" s="1" t="s">
        <v>636</v>
      </c>
      <c r="V1384" s="1" t="s">
        <v>45</v>
      </c>
      <c r="W1384" s="1"/>
      <c r="X1384" s="1"/>
      <c r="Y1384" s="1"/>
      <c r="Z1384" s="1" t="s">
        <v>673</v>
      </c>
      <c r="AA1384" s="1" t="s">
        <v>8562</v>
      </c>
      <c r="AB1384" s="1" t="s">
        <v>8563</v>
      </c>
      <c r="AC1384" s="1" t="s">
        <v>46</v>
      </c>
      <c r="AD1384" s="1" t="s">
        <v>8498</v>
      </c>
      <c r="AE1384" s="1" t="s">
        <v>641</v>
      </c>
      <c r="AF1384" s="1" t="s">
        <v>190</v>
      </c>
      <c r="AG1384" s="1">
        <v>6</v>
      </c>
      <c r="AH1384" s="1" t="s">
        <v>190</v>
      </c>
      <c r="AI1384" s="1" t="s">
        <v>8499</v>
      </c>
      <c r="AJ1384" s="3">
        <v>43199.274861111109</v>
      </c>
      <c r="AK1384" s="1" t="s">
        <v>7652</v>
      </c>
    </row>
    <row r="1385" spans="1:37">
      <c r="A1385" s="1" t="str">
        <f>VLOOKUP(H1385,Languages!$A$2:$B$430,2,FALSE)</f>
        <v>Iroquoian</v>
      </c>
      <c r="B1385" s="1" t="s">
        <v>1726</v>
      </c>
      <c r="C1385" s="1" t="s">
        <v>298</v>
      </c>
      <c r="D1385" s="1" t="s">
        <v>8582</v>
      </c>
      <c r="E1385" s="15" t="s">
        <v>8583</v>
      </c>
      <c r="F1385" s="15" t="s">
        <v>8583</v>
      </c>
      <c r="G1385" s="1" t="s">
        <v>8583</v>
      </c>
      <c r="H1385" s="1" t="str">
        <f>VLOOKUP(G1385,'languoid 4.0'!$A$1:$I$24439,2,FALSE)</f>
        <v>iroq1247</v>
      </c>
      <c r="I1385" s="1" t="str">
        <f>VLOOKUP(G1385,'languoid 4.0'!$A$1:$I$24439,6,FALSE)</f>
        <v>language</v>
      </c>
      <c r="J1385" s="15" t="s">
        <v>38</v>
      </c>
      <c r="K1385" s="15" t="s">
        <v>38</v>
      </c>
      <c r="L1385" s="15" t="s">
        <v>38</v>
      </c>
      <c r="M1385" s="1"/>
      <c r="N1385" s="1" t="s">
        <v>8584</v>
      </c>
      <c r="O1385" s="15" t="s">
        <v>40</v>
      </c>
      <c r="P1385" s="15" t="s">
        <v>41</v>
      </c>
      <c r="Q1385" s="1" t="s">
        <v>11060</v>
      </c>
      <c r="R1385" s="2" t="s">
        <v>11061</v>
      </c>
      <c r="S1385" s="1" t="s">
        <v>46</v>
      </c>
      <c r="T1385" s="1" t="s">
        <v>11062</v>
      </c>
      <c r="U1385" s="1" t="s">
        <v>636</v>
      </c>
      <c r="V1385" s="1" t="s">
        <v>45</v>
      </c>
      <c r="W1385" s="1"/>
      <c r="X1385" s="1"/>
      <c r="Y1385" s="1"/>
      <c r="Z1385" s="1" t="s">
        <v>887</v>
      </c>
      <c r="AA1385" s="1" t="s">
        <v>11063</v>
      </c>
      <c r="AB1385" s="1" t="s">
        <v>46</v>
      </c>
      <c r="AC1385" s="1" t="s">
        <v>11064</v>
      </c>
      <c r="AD1385" s="1"/>
      <c r="AE1385" s="1"/>
      <c r="AF1385" s="1"/>
      <c r="AG1385" s="1"/>
      <c r="AH1385" s="1" t="s">
        <v>45</v>
      </c>
      <c r="AI1385" s="1"/>
      <c r="AJ1385" s="1" t="s">
        <v>11065</v>
      </c>
      <c r="AK1385" s="1" t="s">
        <v>7652</v>
      </c>
    </row>
    <row r="1386" spans="1:37">
      <c r="A1386" s="1" t="str">
        <f>VLOOKUP(H1386,Languages!$A$2:$B$430,2,FALSE)</f>
        <v>Iroquoian</v>
      </c>
      <c r="B1386" s="1" t="s">
        <v>1750</v>
      </c>
      <c r="C1386" s="1" t="s">
        <v>298</v>
      </c>
      <c r="D1386" s="1" t="s">
        <v>299</v>
      </c>
      <c r="E1386" s="15" t="s">
        <v>468</v>
      </c>
      <c r="F1386" s="15" t="s">
        <v>468</v>
      </c>
      <c r="G1386" s="1" t="s">
        <v>468</v>
      </c>
      <c r="H1386" s="1" t="str">
        <f>VLOOKUP(G1386,'languoid 4.0'!$A$1:$I$24439,2,FALSE)</f>
        <v>iroq1247</v>
      </c>
      <c r="I1386" s="1" t="str">
        <f>VLOOKUP(G1386,'languoid 4.0'!$A$1:$I$24439,6,FALSE)</f>
        <v>language</v>
      </c>
      <c r="J1386" s="15" t="s">
        <v>38</v>
      </c>
      <c r="K1386" s="15" t="s">
        <v>38</v>
      </c>
      <c r="L1386" s="15" t="s">
        <v>38</v>
      </c>
      <c r="M1386" s="1"/>
      <c r="N1386" s="1" t="s">
        <v>8173</v>
      </c>
      <c r="O1386" s="15" t="s">
        <v>40</v>
      </c>
      <c r="P1386" s="15" t="s">
        <v>41</v>
      </c>
      <c r="Q1386" s="1" t="s">
        <v>8174</v>
      </c>
      <c r="R1386" s="2" t="s">
        <v>8175</v>
      </c>
      <c r="S1386" s="1" t="s">
        <v>579</v>
      </c>
      <c r="T1386" s="1" t="s">
        <v>657</v>
      </c>
      <c r="U1386" s="1" t="s">
        <v>636</v>
      </c>
      <c r="V1386" s="1" t="s">
        <v>45</v>
      </c>
      <c r="W1386" s="1"/>
      <c r="X1386" s="1"/>
      <c r="Y1386" s="1"/>
      <c r="Z1386" s="1" t="s">
        <v>673</v>
      </c>
      <c r="AA1386" s="1" t="s">
        <v>8176</v>
      </c>
      <c r="AB1386" s="1" t="s">
        <v>8177</v>
      </c>
      <c r="AC1386" s="1" t="s">
        <v>46</v>
      </c>
      <c r="AD1386" s="1" t="s">
        <v>8178</v>
      </c>
      <c r="AE1386" s="1" t="s">
        <v>641</v>
      </c>
      <c r="AF1386" s="1" t="s">
        <v>190</v>
      </c>
      <c r="AG1386" s="1">
        <v>6</v>
      </c>
      <c r="AH1386" s="1" t="s">
        <v>190</v>
      </c>
      <c r="AI1386" s="1" t="s">
        <v>8179</v>
      </c>
      <c r="AJ1386" s="1" t="s">
        <v>8180</v>
      </c>
      <c r="AK1386" s="1" t="s">
        <v>7652</v>
      </c>
    </row>
    <row r="1387" spans="1:37">
      <c r="A1387" s="1" t="str">
        <f>VLOOKUP(H1387,Languages!$A$2:$B$430,2,FALSE)</f>
        <v>Iroquoian</v>
      </c>
      <c r="B1387" s="1" t="s">
        <v>1750</v>
      </c>
      <c r="C1387" s="1" t="s">
        <v>298</v>
      </c>
      <c r="D1387" s="1" t="s">
        <v>299</v>
      </c>
      <c r="E1387" s="15" t="s">
        <v>8302</v>
      </c>
      <c r="F1387" s="15" t="s">
        <v>8302</v>
      </c>
      <c r="G1387" s="1" t="s">
        <v>8302</v>
      </c>
      <c r="H1387" s="1" t="str">
        <f>VLOOKUP(G1387,'languoid 4.0'!$A$1:$I$24439,2,FALSE)</f>
        <v>iroq1247</v>
      </c>
      <c r="I1387" s="1" t="str">
        <f>VLOOKUP(G1387,'languoid 4.0'!$A$1:$I$24439,6,FALSE)</f>
        <v>language</v>
      </c>
      <c r="J1387" s="15" t="s">
        <v>38</v>
      </c>
      <c r="K1387" s="15" t="s">
        <v>38</v>
      </c>
      <c r="L1387" s="15" t="s">
        <v>38</v>
      </c>
      <c r="M1387" s="1"/>
      <c r="N1387" s="1" t="s">
        <v>8573</v>
      </c>
      <c r="O1387" s="15" t="s">
        <v>40</v>
      </c>
      <c r="P1387" s="15" t="s">
        <v>41</v>
      </c>
      <c r="Q1387" s="1" t="s">
        <v>8574</v>
      </c>
      <c r="R1387" s="2" t="s">
        <v>8575</v>
      </c>
      <c r="S1387" s="1" t="s">
        <v>1596</v>
      </c>
      <c r="T1387" s="1" t="s">
        <v>657</v>
      </c>
      <c r="U1387" s="1" t="s">
        <v>67</v>
      </c>
      <c r="V1387" s="1" t="s">
        <v>45</v>
      </c>
      <c r="W1387" s="1"/>
      <c r="X1387" s="1"/>
      <c r="Y1387" s="1"/>
      <c r="Z1387" s="1" t="s">
        <v>637</v>
      </c>
      <c r="AA1387" s="1" t="s">
        <v>8576</v>
      </c>
      <c r="AB1387" s="1" t="s">
        <v>8577</v>
      </c>
      <c r="AC1387" s="1" t="s">
        <v>46</v>
      </c>
      <c r="AD1387" s="1" t="s">
        <v>8498</v>
      </c>
      <c r="AE1387" s="1" t="s">
        <v>641</v>
      </c>
      <c r="AF1387" s="1" t="s">
        <v>190</v>
      </c>
      <c r="AG1387" s="1">
        <v>6</v>
      </c>
      <c r="AH1387" s="1" t="s">
        <v>190</v>
      </c>
      <c r="AI1387" s="1" t="s">
        <v>8499</v>
      </c>
      <c r="AJ1387" s="3">
        <v>43199.292893518519</v>
      </c>
      <c r="AK1387" s="1" t="s">
        <v>7652</v>
      </c>
    </row>
    <row r="1388" spans="1:37">
      <c r="A1388" s="1" t="str">
        <f>VLOOKUP(H1388,Languages!$A$2:$B$430,2,FALSE)</f>
        <v>Iroquoian</v>
      </c>
      <c r="B1388" s="1" t="s">
        <v>1738</v>
      </c>
      <c r="C1388" s="1" t="s">
        <v>298</v>
      </c>
      <c r="D1388" s="1" t="s">
        <v>11052</v>
      </c>
      <c r="E1388" s="15" t="s">
        <v>468</v>
      </c>
      <c r="F1388" s="15" t="s">
        <v>468</v>
      </c>
      <c r="G1388" s="1" t="s">
        <v>468</v>
      </c>
      <c r="H1388" s="1" t="str">
        <f>VLOOKUP(G1388,'languoid 4.0'!$A$1:$I$24439,2,FALSE)</f>
        <v>iroq1247</v>
      </c>
      <c r="I1388" s="1" t="str">
        <f>VLOOKUP(G1388,'languoid 4.0'!$A$1:$I$24439,6,FALSE)</f>
        <v>language</v>
      </c>
      <c r="J1388" s="15" t="s">
        <v>38</v>
      </c>
      <c r="K1388" s="15" t="s">
        <v>38</v>
      </c>
      <c r="L1388" s="15" t="s">
        <v>38</v>
      </c>
      <c r="M1388" s="1"/>
      <c r="N1388" s="1" t="s">
        <v>8173</v>
      </c>
      <c r="O1388" s="15" t="s">
        <v>40</v>
      </c>
      <c r="P1388" s="15" t="s">
        <v>41</v>
      </c>
      <c r="Q1388" s="1" t="s">
        <v>11053</v>
      </c>
      <c r="R1388" s="2" t="s">
        <v>11054</v>
      </c>
      <c r="S1388" s="1" t="s">
        <v>46</v>
      </c>
      <c r="T1388" s="1" t="s">
        <v>11055</v>
      </c>
      <c r="U1388" s="1" t="s">
        <v>1750</v>
      </c>
      <c r="V1388" s="1" t="s">
        <v>45</v>
      </c>
      <c r="W1388" s="1"/>
      <c r="X1388" s="1"/>
      <c r="Y1388" s="1"/>
      <c r="Z1388" s="1" t="s">
        <v>673</v>
      </c>
      <c r="AA1388" s="1" t="s">
        <v>11056</v>
      </c>
      <c r="AB1388" s="1" t="s">
        <v>11057</v>
      </c>
      <c r="AC1388" s="1" t="s">
        <v>46</v>
      </c>
      <c r="AD1388" s="1"/>
      <c r="AE1388" s="1"/>
      <c r="AF1388" s="1"/>
      <c r="AG1388" s="1"/>
      <c r="AH1388" s="1" t="s">
        <v>45</v>
      </c>
      <c r="AI1388" s="1" t="s">
        <v>11058</v>
      </c>
      <c r="AJ1388" s="1" t="s">
        <v>11059</v>
      </c>
      <c r="AK1388" s="1" t="s">
        <v>7652</v>
      </c>
    </row>
    <row r="1389" spans="1:37">
      <c r="A1389" s="1" t="str">
        <f>VLOOKUP(H1389,Languages!$A$2:$B$430,2,FALSE)</f>
        <v>Iroquoian</v>
      </c>
      <c r="B1389" s="1" t="s">
        <v>1812</v>
      </c>
      <c r="C1389" s="1" t="s">
        <v>298</v>
      </c>
      <c r="D1389" s="1" t="s">
        <v>299</v>
      </c>
      <c r="E1389" s="15" t="s">
        <v>468</v>
      </c>
      <c r="F1389" s="15" t="s">
        <v>468</v>
      </c>
      <c r="G1389" s="1" t="s">
        <v>468</v>
      </c>
      <c r="H1389" s="1" t="str">
        <f>VLOOKUP(G1389,'languoid 4.0'!$A$1:$I$24439,2,FALSE)</f>
        <v>iroq1247</v>
      </c>
      <c r="I1389" s="1" t="str">
        <f>VLOOKUP(G1389,'languoid 4.0'!$A$1:$I$24439,6,FALSE)</f>
        <v>language</v>
      </c>
      <c r="J1389" s="15" t="s">
        <v>38</v>
      </c>
      <c r="K1389" s="15" t="s">
        <v>38</v>
      </c>
      <c r="L1389" s="15" t="s">
        <v>38</v>
      </c>
      <c r="M1389" s="1"/>
      <c r="N1389" s="1" t="s">
        <v>8173</v>
      </c>
      <c r="O1389" s="15" t="s">
        <v>40</v>
      </c>
      <c r="P1389" s="15" t="s">
        <v>41</v>
      </c>
      <c r="Q1389" s="1" t="s">
        <v>8556</v>
      </c>
      <c r="R1389" s="2" t="s">
        <v>8557</v>
      </c>
      <c r="S1389" s="1" t="s">
        <v>672</v>
      </c>
      <c r="T1389" s="1" t="s">
        <v>657</v>
      </c>
      <c r="U1389" s="1" t="s">
        <v>636</v>
      </c>
      <c r="V1389" s="1" t="s">
        <v>45</v>
      </c>
      <c r="W1389" s="1"/>
      <c r="X1389" s="1"/>
      <c r="Y1389" s="1"/>
      <c r="Z1389" s="1" t="s">
        <v>673</v>
      </c>
      <c r="AA1389" s="1" t="s">
        <v>8558</v>
      </c>
      <c r="AB1389" s="1" t="s">
        <v>8559</v>
      </c>
      <c r="AC1389" s="1" t="s">
        <v>46</v>
      </c>
      <c r="AD1389" s="1" t="s">
        <v>8498</v>
      </c>
      <c r="AE1389" s="1" t="s">
        <v>641</v>
      </c>
      <c r="AF1389" s="1" t="s">
        <v>190</v>
      </c>
      <c r="AG1389" s="1">
        <v>6</v>
      </c>
      <c r="AH1389" s="1" t="s">
        <v>190</v>
      </c>
      <c r="AI1389" s="1" t="s">
        <v>8499</v>
      </c>
      <c r="AJ1389" s="3">
        <v>43199.269814814812</v>
      </c>
      <c r="AK1389" s="1" t="s">
        <v>7652</v>
      </c>
    </row>
    <row r="1390" spans="1:37">
      <c r="A1390" s="1" t="str">
        <f>VLOOKUP(H1390,Languages!$A$2:$B$430,2,FALSE)</f>
        <v>Iroquoian</v>
      </c>
      <c r="B1390" s="1" t="s">
        <v>1812</v>
      </c>
      <c r="C1390" s="1" t="s">
        <v>298</v>
      </c>
      <c r="D1390" s="1" t="s">
        <v>299</v>
      </c>
      <c r="E1390" s="15" t="s">
        <v>10913</v>
      </c>
      <c r="F1390" s="15" t="s">
        <v>10913</v>
      </c>
      <c r="G1390" s="1" t="s">
        <v>10913</v>
      </c>
      <c r="H1390" s="1" t="str">
        <f>VLOOKUP(G1390,'languoid 4.0'!$A$1:$I$24439,2,FALSE)</f>
        <v>iroq1247</v>
      </c>
      <c r="I1390" s="1" t="str">
        <f>VLOOKUP(G1390,'languoid 4.0'!$A$1:$I$24439,6,FALSE)</f>
        <v>language</v>
      </c>
      <c r="J1390" s="15" t="s">
        <v>38</v>
      </c>
      <c r="K1390" s="15" t="s">
        <v>38</v>
      </c>
      <c r="L1390" s="15" t="s">
        <v>38</v>
      </c>
      <c r="M1390" s="1"/>
      <c r="N1390" s="1" t="s">
        <v>10914</v>
      </c>
      <c r="O1390" s="15" t="s">
        <v>40</v>
      </c>
      <c r="P1390" s="15" t="s">
        <v>41</v>
      </c>
      <c r="Q1390" s="1" t="s">
        <v>10915</v>
      </c>
      <c r="R1390" s="2" t="s">
        <v>10916</v>
      </c>
      <c r="S1390" s="1" t="s">
        <v>43</v>
      </c>
      <c r="T1390" s="1" t="s">
        <v>1689</v>
      </c>
      <c r="U1390" s="1" t="s">
        <v>636</v>
      </c>
      <c r="V1390" s="1" t="s">
        <v>45</v>
      </c>
      <c r="W1390" s="1"/>
      <c r="X1390" s="1"/>
      <c r="Y1390" s="1"/>
      <c r="Z1390" s="1" t="s">
        <v>673</v>
      </c>
      <c r="AA1390" s="1" t="s">
        <v>10917</v>
      </c>
      <c r="AB1390" s="1" t="s">
        <v>10918</v>
      </c>
      <c r="AC1390" s="1" t="s">
        <v>46</v>
      </c>
      <c r="AD1390" s="1" t="s">
        <v>10919</v>
      </c>
      <c r="AE1390" s="1"/>
      <c r="AF1390" s="1"/>
      <c r="AG1390" s="1"/>
      <c r="AH1390" s="1" t="s">
        <v>45</v>
      </c>
      <c r="AI1390" s="1" t="s">
        <v>10920</v>
      </c>
      <c r="AJ1390" s="3">
        <v>43416.615393518521</v>
      </c>
      <c r="AK1390" s="1" t="s">
        <v>7652</v>
      </c>
    </row>
    <row r="1391" spans="1:37">
      <c r="A1391" s="1" t="str">
        <f>VLOOKUP(H1391,Languages!$A$2:$B$430,2,FALSE)</f>
        <v>Iroquoian</v>
      </c>
      <c r="B1391" s="1" t="s">
        <v>1707</v>
      </c>
      <c r="C1391" s="1" t="s">
        <v>298</v>
      </c>
      <c r="D1391" s="1" t="s">
        <v>299</v>
      </c>
      <c r="E1391" s="15" t="s">
        <v>8302</v>
      </c>
      <c r="F1391" s="15" t="s">
        <v>8302</v>
      </c>
      <c r="G1391" s="1" t="s">
        <v>8302</v>
      </c>
      <c r="H1391" s="1" t="str">
        <f>VLOOKUP(G1391,'languoid 4.0'!$A$1:$I$24439,2,FALSE)</f>
        <v>iroq1247</v>
      </c>
      <c r="I1391" s="1" t="str">
        <f>VLOOKUP(G1391,'languoid 4.0'!$A$1:$I$24439,6,FALSE)</f>
        <v>language</v>
      </c>
      <c r="J1391" s="15" t="s">
        <v>38</v>
      </c>
      <c r="K1391" s="15" t="s">
        <v>38</v>
      </c>
      <c r="L1391" s="15" t="s">
        <v>38</v>
      </c>
      <c r="M1391" s="1"/>
      <c r="N1391" s="1" t="s">
        <v>8573</v>
      </c>
      <c r="O1391" s="15" t="s">
        <v>40</v>
      </c>
      <c r="P1391" s="15" t="s">
        <v>41</v>
      </c>
      <c r="Q1391" s="1" t="s">
        <v>8578</v>
      </c>
      <c r="R1391" s="2" t="s">
        <v>8579</v>
      </c>
      <c r="S1391" s="1" t="s">
        <v>4323</v>
      </c>
      <c r="T1391" s="1" t="s">
        <v>657</v>
      </c>
      <c r="U1391" s="1" t="s">
        <v>67</v>
      </c>
      <c r="V1391" s="1" t="s">
        <v>45</v>
      </c>
      <c r="W1391" s="1"/>
      <c r="X1391" s="1"/>
      <c r="Y1391" s="1"/>
      <c r="Z1391" s="1" t="s">
        <v>637</v>
      </c>
      <c r="AA1391" s="1" t="s">
        <v>8580</v>
      </c>
      <c r="AB1391" s="1" t="s">
        <v>8581</v>
      </c>
      <c r="AC1391" s="1" t="s">
        <v>46</v>
      </c>
      <c r="AD1391" s="1" t="s">
        <v>8498</v>
      </c>
      <c r="AE1391" s="1" t="s">
        <v>641</v>
      </c>
      <c r="AF1391" s="1" t="s">
        <v>190</v>
      </c>
      <c r="AG1391" s="1">
        <v>5</v>
      </c>
      <c r="AH1391" s="1" t="s">
        <v>190</v>
      </c>
      <c r="AI1391" s="1" t="s">
        <v>8499</v>
      </c>
      <c r="AJ1391" s="3">
        <v>43199.298472222225</v>
      </c>
      <c r="AK1391" s="1" t="s">
        <v>7652</v>
      </c>
    </row>
    <row r="1392" spans="1:37">
      <c r="A1392" s="1" t="str">
        <f>VLOOKUP(H1392,Languages!$A$2:$B$430,2,FALSE)</f>
        <v>Iwaidjan Proper</v>
      </c>
      <c r="B1392" s="1" t="s">
        <v>109</v>
      </c>
      <c r="C1392" s="1" t="s">
        <v>34</v>
      </c>
      <c r="D1392" s="1" t="s">
        <v>337</v>
      </c>
      <c r="E1392" s="15" t="s">
        <v>338</v>
      </c>
      <c r="F1392" s="15" t="s">
        <v>180</v>
      </c>
      <c r="G1392" s="1" t="s">
        <v>338</v>
      </c>
      <c r="H1392" s="1" t="str">
        <f>VLOOKUP(G1392,'languoid 4.0'!$A$1:$I$24439,2,FALSE)</f>
        <v>iwai1246</v>
      </c>
      <c r="I1392" s="1" t="str">
        <f>VLOOKUP(G1392,'languoid 4.0'!$A$1:$I$24439,6,FALSE)</f>
        <v>language</v>
      </c>
      <c r="J1392" s="15" t="s">
        <v>52</v>
      </c>
      <c r="K1392" s="15" t="s">
        <v>52</v>
      </c>
      <c r="L1392" s="15" t="s">
        <v>52</v>
      </c>
      <c r="M1392" s="1"/>
      <c r="N1392" s="1" t="s">
        <v>339</v>
      </c>
      <c r="O1392" s="15" t="s">
        <v>40</v>
      </c>
      <c r="P1392" s="15" t="s">
        <v>41</v>
      </c>
      <c r="Q1392" s="1" t="s">
        <v>340</v>
      </c>
      <c r="R1392" s="2" t="s">
        <v>341</v>
      </c>
      <c r="S1392" s="1" t="s">
        <v>342</v>
      </c>
      <c r="T1392" s="1" t="s">
        <v>44</v>
      </c>
      <c r="U1392" s="1"/>
      <c r="V1392" s="1" t="s">
        <v>45</v>
      </c>
      <c r="W1392" s="1"/>
      <c r="X1392" s="1"/>
      <c r="Y1392" s="1"/>
      <c r="Z1392" s="1"/>
      <c r="AA1392" s="1">
        <v>38</v>
      </c>
      <c r="AB1392" s="1" t="s">
        <v>343</v>
      </c>
      <c r="AC1392" s="1" t="s">
        <v>344</v>
      </c>
      <c r="AD1392" s="1"/>
      <c r="AE1392" s="1"/>
      <c r="AF1392" s="1"/>
      <c r="AG1392" s="1"/>
      <c r="AH1392" s="1"/>
      <c r="AI1392" s="1"/>
      <c r="AJ1392" s="3">
        <v>43102.742534722223</v>
      </c>
      <c r="AK1392" s="1" t="s">
        <v>57</v>
      </c>
    </row>
    <row r="1393" spans="1:37">
      <c r="A1393" s="1" t="str">
        <f>VLOOKUP(H1393,Languages!$A$2:$B$430,2,FALSE)</f>
        <v>Iwaidjan Proper</v>
      </c>
      <c r="B1393" s="1" t="s">
        <v>1812</v>
      </c>
      <c r="C1393" s="1" t="s">
        <v>34</v>
      </c>
      <c r="D1393" s="1" t="s">
        <v>9775</v>
      </c>
      <c r="E1393" s="15" t="s">
        <v>338</v>
      </c>
      <c r="F1393" s="15" t="s">
        <v>338</v>
      </c>
      <c r="G1393" s="1" t="s">
        <v>338</v>
      </c>
      <c r="H1393" s="1" t="str">
        <f>VLOOKUP(G1393,'languoid 4.0'!$A$1:$I$24439,2,FALSE)</f>
        <v>iwai1246</v>
      </c>
      <c r="I1393" s="1" t="str">
        <f>VLOOKUP(G1393,'languoid 4.0'!$A$1:$I$24439,6,FALSE)</f>
        <v>language</v>
      </c>
      <c r="J1393" s="15" t="s">
        <v>38</v>
      </c>
      <c r="K1393" s="15" t="s">
        <v>38</v>
      </c>
      <c r="L1393" s="15" t="s">
        <v>38</v>
      </c>
      <c r="M1393" s="1"/>
      <c r="N1393" s="1" t="s">
        <v>339</v>
      </c>
      <c r="O1393" s="15" t="s">
        <v>40</v>
      </c>
      <c r="P1393" s="15" t="s">
        <v>41</v>
      </c>
      <c r="Q1393" s="1" t="s">
        <v>9776</v>
      </c>
      <c r="R1393" s="2" t="s">
        <v>9771</v>
      </c>
      <c r="S1393" s="1" t="s">
        <v>46</v>
      </c>
      <c r="T1393" s="1" t="s">
        <v>635</v>
      </c>
      <c r="U1393" s="1" t="s">
        <v>636</v>
      </c>
      <c r="V1393" s="1" t="s">
        <v>45</v>
      </c>
      <c r="W1393" s="1"/>
      <c r="X1393" s="1"/>
      <c r="Y1393" s="1"/>
      <c r="Z1393" s="1" t="s">
        <v>673</v>
      </c>
      <c r="AA1393" s="1" t="s">
        <v>9777</v>
      </c>
      <c r="AB1393" s="1" t="s">
        <v>9778</v>
      </c>
      <c r="AC1393" s="1" t="s">
        <v>46</v>
      </c>
      <c r="AD1393" s="1"/>
      <c r="AE1393" s="1"/>
      <c r="AF1393" s="1"/>
      <c r="AG1393" s="1"/>
      <c r="AH1393" s="1" t="s">
        <v>45</v>
      </c>
      <c r="AI1393" s="1" t="s">
        <v>9779</v>
      </c>
      <c r="AJ1393" s="1" t="s">
        <v>9780</v>
      </c>
      <c r="AK1393" s="1" t="s">
        <v>9537</v>
      </c>
    </row>
    <row r="1394" spans="1:37">
      <c r="A1394" s="1" t="str">
        <f>VLOOKUP(H1394,Languages!$A$2:$B$430,2,FALSE)</f>
        <v>Japonic</v>
      </c>
      <c r="B1394" s="1" t="s">
        <v>67</v>
      </c>
      <c r="C1394" s="1" t="s">
        <v>220</v>
      </c>
      <c r="D1394" s="1" t="s">
        <v>653</v>
      </c>
      <c r="E1394" s="15" t="s">
        <v>1360</v>
      </c>
      <c r="F1394" s="15" t="s">
        <v>278</v>
      </c>
      <c r="G1394" s="1" t="s">
        <v>1360</v>
      </c>
      <c r="H1394" s="1" t="str">
        <f>VLOOKUP(G1394,'languoid 4.0'!$A$1:$I$24439,2,FALSE)</f>
        <v>japo1237</v>
      </c>
      <c r="I1394" s="1" t="str">
        <f>VLOOKUP(G1394,'languoid 4.0'!$A$1:$I$24439,6,FALSE)</f>
        <v>dialect</v>
      </c>
      <c r="J1394" s="15" t="s">
        <v>52</v>
      </c>
      <c r="K1394" s="15" t="s">
        <v>52</v>
      </c>
      <c r="L1394" s="15" t="s">
        <v>52</v>
      </c>
      <c r="M1394" s="1"/>
      <c r="N1394" s="1"/>
      <c r="O1394" s="15" t="s">
        <v>40</v>
      </c>
      <c r="P1394" s="15" t="s">
        <v>41</v>
      </c>
      <c r="Q1394" s="1" t="s">
        <v>662</v>
      </c>
      <c r="R1394" s="2" t="s">
        <v>655</v>
      </c>
      <c r="S1394" s="1" t="s">
        <v>1361</v>
      </c>
      <c r="T1394" s="1" t="s">
        <v>718</v>
      </c>
      <c r="U1394" s="1" t="s">
        <v>636</v>
      </c>
      <c r="V1394" s="1" t="s">
        <v>45</v>
      </c>
      <c r="W1394" s="1"/>
      <c r="X1394" s="1"/>
      <c r="Y1394" s="1"/>
      <c r="Z1394" s="1" t="s">
        <v>637</v>
      </c>
      <c r="AA1394" s="1" t="s">
        <v>1362</v>
      </c>
      <c r="AB1394" s="1" t="s">
        <v>1363</v>
      </c>
      <c r="AC1394" s="1" t="s">
        <v>46</v>
      </c>
      <c r="AD1394" s="1"/>
      <c r="AE1394" s="1" t="s">
        <v>641</v>
      </c>
      <c r="AF1394" s="1" t="s">
        <v>190</v>
      </c>
      <c r="AG1394" s="1">
        <v>5</v>
      </c>
      <c r="AH1394" s="1" t="s">
        <v>190</v>
      </c>
      <c r="AI1394" s="1"/>
      <c r="AJ1394" s="1" t="s">
        <v>1364</v>
      </c>
      <c r="AK1394" s="1" t="s">
        <v>74</v>
      </c>
    </row>
    <row r="1395" spans="1:37">
      <c r="A1395" s="1" t="str">
        <f>VLOOKUP(H1395,Languages!$A$2:$B$430,2,FALSE)</f>
        <v>Japonic</v>
      </c>
      <c r="B1395" s="1" t="s">
        <v>67</v>
      </c>
      <c r="C1395" s="1" t="s">
        <v>220</v>
      </c>
      <c r="D1395" s="1" t="s">
        <v>653</v>
      </c>
      <c r="E1395" s="15" t="s">
        <v>1360</v>
      </c>
      <c r="F1395" s="15" t="s">
        <v>278</v>
      </c>
      <c r="G1395" s="1" t="s">
        <v>1360</v>
      </c>
      <c r="H1395" s="1" t="str">
        <f>VLOOKUP(G1395,'languoid 4.0'!$A$1:$I$24439,2,FALSE)</f>
        <v>japo1237</v>
      </c>
      <c r="I1395" s="1" t="str">
        <f>VLOOKUP(G1395,'languoid 4.0'!$A$1:$I$24439,6,FALSE)</f>
        <v>dialect</v>
      </c>
      <c r="J1395" s="15" t="s">
        <v>52</v>
      </c>
      <c r="K1395" s="15" t="s">
        <v>52</v>
      </c>
      <c r="L1395" s="15" t="s">
        <v>52</v>
      </c>
      <c r="M1395" s="1"/>
      <c r="N1395" s="1"/>
      <c r="O1395" s="15" t="s">
        <v>40</v>
      </c>
      <c r="P1395" s="15" t="s">
        <v>41</v>
      </c>
      <c r="Q1395" s="1" t="s">
        <v>1365</v>
      </c>
      <c r="R1395" s="2" t="s">
        <v>655</v>
      </c>
      <c r="S1395" s="1" t="s">
        <v>1187</v>
      </c>
      <c r="T1395" s="1" t="s">
        <v>718</v>
      </c>
      <c r="U1395" s="1" t="s">
        <v>1366</v>
      </c>
      <c r="V1395" s="1" t="s">
        <v>45</v>
      </c>
      <c r="W1395" s="1"/>
      <c r="X1395" s="1"/>
      <c r="Y1395" s="1"/>
      <c r="Z1395" s="1" t="s">
        <v>637</v>
      </c>
      <c r="AA1395" s="1" t="s">
        <v>1367</v>
      </c>
      <c r="AB1395" s="1" t="s">
        <v>1368</v>
      </c>
      <c r="AC1395" s="1" t="s">
        <v>46</v>
      </c>
      <c r="AD1395" s="1"/>
      <c r="AE1395" s="1" t="s">
        <v>641</v>
      </c>
      <c r="AF1395" s="1" t="s">
        <v>190</v>
      </c>
      <c r="AG1395" s="1">
        <v>5</v>
      </c>
      <c r="AH1395" s="1" t="s">
        <v>190</v>
      </c>
      <c r="AI1395" s="1"/>
      <c r="AJ1395" s="1" t="s">
        <v>1369</v>
      </c>
      <c r="AK1395" s="1" t="s">
        <v>74</v>
      </c>
    </row>
    <row r="1396" spans="1:37">
      <c r="A1396" s="1" t="str">
        <f>VLOOKUP(H1396,Languages!$A$2:$B$430,2,FALSE)</f>
        <v>Japonic</v>
      </c>
      <c r="B1396" s="1" t="s">
        <v>67</v>
      </c>
      <c r="C1396" s="1" t="s">
        <v>82</v>
      </c>
      <c r="D1396" s="1" t="s">
        <v>3403</v>
      </c>
      <c r="E1396" s="15" t="s">
        <v>3404</v>
      </c>
      <c r="F1396" s="15" t="s">
        <v>3405</v>
      </c>
      <c r="G1396" s="1" t="s">
        <v>3404</v>
      </c>
      <c r="H1396" s="1" t="str">
        <f>VLOOKUP(G1396,'languoid 4.0'!$A$1:$I$24439,2,FALSE)</f>
        <v>japo1237</v>
      </c>
      <c r="I1396" s="1" t="str">
        <f>VLOOKUP(G1396,'languoid 4.0'!$A$1:$I$24439,6,FALSE)</f>
        <v>family</v>
      </c>
      <c r="J1396" s="15" t="s">
        <v>52</v>
      </c>
      <c r="K1396" s="15" t="s">
        <v>52</v>
      </c>
      <c r="L1396" s="15" t="s">
        <v>38</v>
      </c>
      <c r="M1396" s="1"/>
      <c r="N1396" s="1"/>
      <c r="O1396" s="15" t="s">
        <v>113</v>
      </c>
      <c r="P1396" s="15" t="s">
        <v>41</v>
      </c>
      <c r="Q1396" s="1" t="s">
        <v>3406</v>
      </c>
      <c r="R1396" s="2" t="s">
        <v>3407</v>
      </c>
      <c r="S1396" s="1" t="s">
        <v>46</v>
      </c>
      <c r="T1396" s="1" t="s">
        <v>635</v>
      </c>
      <c r="U1396" s="1" t="s">
        <v>636</v>
      </c>
      <c r="V1396" s="1" t="s">
        <v>45</v>
      </c>
      <c r="W1396" s="1"/>
      <c r="X1396" s="1"/>
      <c r="Y1396" s="1"/>
      <c r="Z1396" s="1" t="s">
        <v>637</v>
      </c>
      <c r="AA1396" s="1" t="s">
        <v>67</v>
      </c>
      <c r="AB1396" s="1" t="s">
        <v>3408</v>
      </c>
      <c r="AC1396" s="1" t="s">
        <v>46</v>
      </c>
      <c r="AD1396" s="1" t="s">
        <v>3409</v>
      </c>
      <c r="AE1396" s="1" t="s">
        <v>641</v>
      </c>
      <c r="AF1396" s="1" t="s">
        <v>190</v>
      </c>
      <c r="AG1396" s="1">
        <v>6</v>
      </c>
      <c r="AH1396" s="1" t="s">
        <v>190</v>
      </c>
      <c r="AI1396" s="1"/>
      <c r="AJ1396" s="1" t="s">
        <v>3410</v>
      </c>
      <c r="AK1396" s="1" t="s">
        <v>3411</v>
      </c>
    </row>
    <row r="1397" spans="1:37">
      <c r="A1397" s="1" t="str">
        <f>VLOOKUP(H1397,Languages!$A$2:$B$430,2,FALSE)</f>
        <v>Japonic</v>
      </c>
      <c r="B1397" s="1" t="s">
        <v>67</v>
      </c>
      <c r="C1397" s="1" t="s">
        <v>82</v>
      </c>
      <c r="D1397" s="1" t="s">
        <v>3403</v>
      </c>
      <c r="E1397" s="15" t="s">
        <v>3404</v>
      </c>
      <c r="F1397" s="15" t="s">
        <v>6162</v>
      </c>
      <c r="G1397" s="1" t="s">
        <v>3404</v>
      </c>
      <c r="H1397" s="1" t="str">
        <f>VLOOKUP(G1397,'languoid 4.0'!$A$1:$I$24439,2,FALSE)</f>
        <v>japo1237</v>
      </c>
      <c r="I1397" s="1" t="str">
        <f>VLOOKUP(G1397,'languoid 4.0'!$A$1:$I$24439,6,FALSE)</f>
        <v>family</v>
      </c>
      <c r="J1397" s="15" t="s">
        <v>52</v>
      </c>
      <c r="K1397" s="15" t="s">
        <v>38</v>
      </c>
      <c r="L1397" s="15" t="s">
        <v>38</v>
      </c>
      <c r="M1397" s="1"/>
      <c r="N1397" s="1"/>
      <c r="O1397" s="15" t="s">
        <v>113</v>
      </c>
      <c r="P1397" s="15" t="s">
        <v>41</v>
      </c>
      <c r="Q1397" s="1" t="s">
        <v>6168</v>
      </c>
      <c r="R1397" s="2" t="s">
        <v>6169</v>
      </c>
      <c r="S1397" s="1" t="s">
        <v>46</v>
      </c>
      <c r="T1397" s="1" t="s">
        <v>648</v>
      </c>
      <c r="U1397" s="1" t="s">
        <v>1707</v>
      </c>
      <c r="V1397" s="1" t="s">
        <v>45</v>
      </c>
      <c r="W1397" s="1"/>
      <c r="X1397" s="1"/>
      <c r="Y1397" s="1"/>
      <c r="Z1397" s="1" t="s">
        <v>637</v>
      </c>
      <c r="AA1397" s="1" t="s">
        <v>6170</v>
      </c>
      <c r="AB1397" s="1" t="s">
        <v>6171</v>
      </c>
      <c r="AC1397" s="1" t="s">
        <v>6172</v>
      </c>
      <c r="AD1397" s="1"/>
      <c r="AE1397" s="1" t="s">
        <v>641</v>
      </c>
      <c r="AF1397" s="1" t="s">
        <v>190</v>
      </c>
      <c r="AG1397" s="1">
        <v>6</v>
      </c>
      <c r="AH1397" s="1" t="s">
        <v>190</v>
      </c>
      <c r="AI1397" s="1"/>
      <c r="AJ1397" s="3">
        <v>43138.625902777778</v>
      </c>
      <c r="AK1397" s="1" t="s">
        <v>4274</v>
      </c>
    </row>
    <row r="1398" spans="1:37">
      <c r="A1398" s="1" t="str">
        <f>VLOOKUP(H1398,Languages!$A$2:$B$430,2,FALSE)</f>
        <v>Japonic</v>
      </c>
      <c r="B1398" s="1" t="s">
        <v>67</v>
      </c>
      <c r="C1398" s="1" t="s">
        <v>82</v>
      </c>
      <c r="D1398" s="1" t="s">
        <v>9635</v>
      </c>
      <c r="E1398" s="15" t="s">
        <v>4314</v>
      </c>
      <c r="F1398" s="15" t="s">
        <v>4314</v>
      </c>
      <c r="G1398" s="1" t="s">
        <v>4314</v>
      </c>
      <c r="H1398" s="1" t="str">
        <f>VLOOKUP(G1398,'languoid 4.0'!$A$1:$I$24439,2,FALSE)</f>
        <v>japo1237</v>
      </c>
      <c r="I1398" s="1" t="str">
        <f>VLOOKUP(G1398,'languoid 4.0'!$A$1:$I$24439,6,FALSE)</f>
        <v>language</v>
      </c>
      <c r="J1398" s="15" t="s">
        <v>38</v>
      </c>
      <c r="K1398" s="15" t="s">
        <v>38</v>
      </c>
      <c r="L1398" s="15" t="s">
        <v>38</v>
      </c>
      <c r="M1398" s="1"/>
      <c r="N1398" s="1" t="s">
        <v>4315</v>
      </c>
      <c r="O1398" s="15" t="s">
        <v>40</v>
      </c>
      <c r="P1398" s="15" t="s">
        <v>41</v>
      </c>
      <c r="Q1398" s="1" t="s">
        <v>9636</v>
      </c>
      <c r="R1398" s="2" t="s">
        <v>9637</v>
      </c>
      <c r="S1398" s="1" t="s">
        <v>359</v>
      </c>
      <c r="T1398" s="1" t="s">
        <v>8277</v>
      </c>
      <c r="U1398" s="1" t="s">
        <v>636</v>
      </c>
      <c r="V1398" s="1" t="s">
        <v>45</v>
      </c>
      <c r="W1398" s="1"/>
      <c r="X1398" s="1"/>
      <c r="Y1398" s="1"/>
      <c r="Z1398" s="1" t="s">
        <v>673</v>
      </c>
      <c r="AA1398" s="1" t="s">
        <v>46</v>
      </c>
      <c r="AB1398" s="1" t="s">
        <v>9638</v>
      </c>
      <c r="AC1398" s="1" t="s">
        <v>46</v>
      </c>
      <c r="AD1398" s="1"/>
      <c r="AE1398" s="1" t="s">
        <v>641</v>
      </c>
      <c r="AF1398" s="1" t="s">
        <v>190</v>
      </c>
      <c r="AG1398" s="1">
        <v>3</v>
      </c>
      <c r="AH1398" s="1" t="s">
        <v>190</v>
      </c>
      <c r="AI1398" s="1"/>
      <c r="AJ1398" s="3">
        <v>43414.74150462963</v>
      </c>
      <c r="AK1398" s="1" t="s">
        <v>9595</v>
      </c>
    </row>
    <row r="1399" spans="1:37">
      <c r="A1399" s="1" t="str">
        <f>VLOOKUP(H1399,Languages!$A$2:$B$430,2,FALSE)</f>
        <v>Japonic</v>
      </c>
      <c r="B1399" s="1" t="s">
        <v>109</v>
      </c>
      <c r="C1399" s="1" t="s">
        <v>82</v>
      </c>
      <c r="D1399" s="1" t="s">
        <v>3403</v>
      </c>
      <c r="E1399" s="15" t="s">
        <v>3404</v>
      </c>
      <c r="F1399" s="15" t="s">
        <v>4314</v>
      </c>
      <c r="G1399" s="1" t="s">
        <v>3404</v>
      </c>
      <c r="H1399" s="1" t="str">
        <f>VLOOKUP(G1399,'languoid 4.0'!$A$1:$I$24439,2,FALSE)</f>
        <v>japo1237</v>
      </c>
      <c r="I1399" s="1" t="str">
        <f>VLOOKUP(G1399,'languoid 4.0'!$A$1:$I$24439,6,FALSE)</f>
        <v>family</v>
      </c>
      <c r="J1399" s="15" t="s">
        <v>52</v>
      </c>
      <c r="K1399" s="15" t="s">
        <v>52</v>
      </c>
      <c r="L1399" s="15" t="s">
        <v>38</v>
      </c>
      <c r="M1399" s="1"/>
      <c r="N1399" s="1"/>
      <c r="O1399" s="15" t="s">
        <v>113</v>
      </c>
      <c r="P1399" s="15" t="s">
        <v>41</v>
      </c>
      <c r="Q1399" s="1" t="s">
        <v>4357</v>
      </c>
      <c r="R1399" s="2" t="s">
        <v>4358</v>
      </c>
      <c r="S1399" s="1" t="s">
        <v>4323</v>
      </c>
      <c r="T1399" s="1" t="s">
        <v>648</v>
      </c>
      <c r="U1399" s="1" t="s">
        <v>1707</v>
      </c>
      <c r="V1399" s="1" t="s">
        <v>45</v>
      </c>
      <c r="W1399" s="1"/>
      <c r="X1399" s="1"/>
      <c r="Y1399" s="1"/>
      <c r="Z1399" s="1" t="s">
        <v>673</v>
      </c>
      <c r="AA1399" s="1" t="s">
        <v>4359</v>
      </c>
      <c r="AB1399" s="1" t="s">
        <v>4360</v>
      </c>
      <c r="AC1399" s="1" t="s">
        <v>4361</v>
      </c>
      <c r="AD1399" s="1"/>
      <c r="AE1399" s="1" t="s">
        <v>641</v>
      </c>
      <c r="AF1399" s="1" t="s">
        <v>190</v>
      </c>
      <c r="AG1399" s="1">
        <v>6</v>
      </c>
      <c r="AH1399" s="1" t="s">
        <v>190</v>
      </c>
      <c r="AI1399" s="1"/>
      <c r="AJ1399" s="3">
        <v>43106.76630787037</v>
      </c>
      <c r="AK1399" s="1" t="s">
        <v>4274</v>
      </c>
    </row>
    <row r="1400" spans="1:37">
      <c r="A1400" s="1" t="str">
        <f>VLOOKUP(H1400,Languages!$A$2:$B$430,2,FALSE)</f>
        <v>Japonic</v>
      </c>
      <c r="B1400" s="1" t="s">
        <v>109</v>
      </c>
      <c r="C1400" s="1" t="s">
        <v>82</v>
      </c>
      <c r="D1400" s="1" t="s">
        <v>6173</v>
      </c>
      <c r="E1400" s="15" t="s">
        <v>4314</v>
      </c>
      <c r="F1400" s="15" t="s">
        <v>6174</v>
      </c>
      <c r="G1400" s="1" t="s">
        <v>4314</v>
      </c>
      <c r="H1400" s="1" t="str">
        <f>VLOOKUP(G1400,'languoid 4.0'!$A$1:$I$24439,2,FALSE)</f>
        <v>japo1237</v>
      </c>
      <c r="I1400" s="1" t="str">
        <f>VLOOKUP(G1400,'languoid 4.0'!$A$1:$I$24439,6,FALSE)</f>
        <v>language</v>
      </c>
      <c r="J1400" s="15" t="s">
        <v>52</v>
      </c>
      <c r="K1400" s="15" t="s">
        <v>38</v>
      </c>
      <c r="L1400" s="15" t="s">
        <v>38</v>
      </c>
      <c r="M1400" s="1"/>
      <c r="N1400" s="1" t="s">
        <v>4315</v>
      </c>
      <c r="O1400" s="15" t="s">
        <v>40</v>
      </c>
      <c r="P1400" s="15" t="s">
        <v>41</v>
      </c>
      <c r="Q1400" s="1" t="s">
        <v>6175</v>
      </c>
      <c r="R1400" s="2" t="s">
        <v>6176</v>
      </c>
      <c r="S1400" s="1" t="s">
        <v>46</v>
      </c>
      <c r="T1400" s="1" t="s">
        <v>648</v>
      </c>
      <c r="U1400" s="1" t="s">
        <v>636</v>
      </c>
      <c r="V1400" s="1" t="s">
        <v>45</v>
      </c>
      <c r="W1400" s="1"/>
      <c r="X1400" s="1"/>
      <c r="Y1400" s="1"/>
      <c r="Z1400" s="1" t="s">
        <v>637</v>
      </c>
      <c r="AA1400" s="1" t="s">
        <v>6177</v>
      </c>
      <c r="AB1400" s="1" t="s">
        <v>6178</v>
      </c>
      <c r="AC1400" s="1" t="s">
        <v>6179</v>
      </c>
      <c r="AD1400" s="1"/>
      <c r="AE1400" s="1" t="s">
        <v>641</v>
      </c>
      <c r="AF1400" s="1" t="s">
        <v>190</v>
      </c>
      <c r="AG1400" s="1">
        <v>6</v>
      </c>
      <c r="AH1400" s="1" t="s">
        <v>190</v>
      </c>
      <c r="AI1400" s="1" t="s">
        <v>6180</v>
      </c>
      <c r="AJ1400" s="3">
        <v>43138.631226851852</v>
      </c>
      <c r="AK1400" s="1" t="s">
        <v>4274</v>
      </c>
    </row>
    <row r="1401" spans="1:37">
      <c r="A1401" s="1" t="str">
        <f>VLOOKUP(H1401,Languages!$A$2:$B$430,2,FALSE)</f>
        <v>Japonic</v>
      </c>
      <c r="B1401" s="1" t="s">
        <v>1726</v>
      </c>
      <c r="C1401" s="1" t="s">
        <v>82</v>
      </c>
      <c r="D1401" s="1" t="s">
        <v>3403</v>
      </c>
      <c r="E1401" s="15" t="s">
        <v>3404</v>
      </c>
      <c r="F1401" s="15" t="s">
        <v>4314</v>
      </c>
      <c r="G1401" s="1" t="s">
        <v>3404</v>
      </c>
      <c r="H1401" s="1" t="str">
        <f>VLOOKUP(G1401,'languoid 4.0'!$A$1:$I$24439,2,FALSE)</f>
        <v>japo1237</v>
      </c>
      <c r="I1401" s="1" t="str">
        <f>VLOOKUP(G1401,'languoid 4.0'!$A$1:$I$24439,6,FALSE)</f>
        <v>family</v>
      </c>
      <c r="J1401" s="15" t="s">
        <v>52</v>
      </c>
      <c r="K1401" s="15" t="s">
        <v>52</v>
      </c>
      <c r="L1401" s="15" t="s">
        <v>38</v>
      </c>
      <c r="M1401" s="1"/>
      <c r="N1401" s="1"/>
      <c r="O1401" s="15" t="s">
        <v>113</v>
      </c>
      <c r="P1401" s="15" t="s">
        <v>41</v>
      </c>
      <c r="Q1401" s="1" t="s">
        <v>4352</v>
      </c>
      <c r="R1401" s="2" t="s">
        <v>4353</v>
      </c>
      <c r="S1401" s="1" t="s">
        <v>672</v>
      </c>
      <c r="T1401" s="1" t="s">
        <v>648</v>
      </c>
      <c r="U1401" s="1" t="s">
        <v>1812</v>
      </c>
      <c r="V1401" s="1" t="s">
        <v>45</v>
      </c>
      <c r="W1401" s="1"/>
      <c r="X1401" s="1"/>
      <c r="Y1401" s="1"/>
      <c r="Z1401" s="1" t="s">
        <v>673</v>
      </c>
      <c r="AA1401" s="1" t="s">
        <v>4354</v>
      </c>
      <c r="AB1401" s="1" t="s">
        <v>4355</v>
      </c>
      <c r="AC1401" s="1" t="s">
        <v>4356</v>
      </c>
      <c r="AD1401" s="1"/>
      <c r="AE1401" s="1" t="s">
        <v>641</v>
      </c>
      <c r="AF1401" s="1" t="s">
        <v>190</v>
      </c>
      <c r="AG1401" s="1">
        <v>6</v>
      </c>
      <c r="AH1401" s="1" t="s">
        <v>190</v>
      </c>
      <c r="AI1401" s="1"/>
      <c r="AJ1401" s="3">
        <v>43106.764016203706</v>
      </c>
      <c r="AK1401" s="1" t="s">
        <v>4274</v>
      </c>
    </row>
    <row r="1402" spans="1:37">
      <c r="A1402" s="1" t="str">
        <f>VLOOKUP(H1402,Languages!$A$2:$B$430,2,FALSE)</f>
        <v>Japonic</v>
      </c>
      <c r="B1402" s="1" t="s">
        <v>652</v>
      </c>
      <c r="C1402" s="1" t="s">
        <v>82</v>
      </c>
      <c r="D1402" s="1" t="s">
        <v>4313</v>
      </c>
      <c r="E1402" s="15" t="s">
        <v>4314</v>
      </c>
      <c r="F1402" s="15" t="s">
        <v>4314</v>
      </c>
      <c r="G1402" s="1" t="s">
        <v>4314</v>
      </c>
      <c r="H1402" s="1" t="str">
        <f>VLOOKUP(G1402,'languoid 4.0'!$A$1:$I$24439,2,FALSE)</f>
        <v>japo1237</v>
      </c>
      <c r="I1402" s="1" t="str">
        <f>VLOOKUP(G1402,'languoid 4.0'!$A$1:$I$24439,6,FALSE)</f>
        <v>language</v>
      </c>
      <c r="J1402" s="15" t="s">
        <v>38</v>
      </c>
      <c r="K1402" s="15" t="s">
        <v>38</v>
      </c>
      <c r="L1402" s="15" t="s">
        <v>38</v>
      </c>
      <c r="M1402" s="1"/>
      <c r="N1402" s="1" t="s">
        <v>4315</v>
      </c>
      <c r="O1402" s="15" t="s">
        <v>40</v>
      </c>
      <c r="P1402" s="15" t="s">
        <v>41</v>
      </c>
      <c r="Q1402" s="1" t="s">
        <v>4321</v>
      </c>
      <c r="R1402" s="2" t="s">
        <v>4322</v>
      </c>
      <c r="S1402" s="1" t="s">
        <v>4323</v>
      </c>
      <c r="T1402" s="1" t="s">
        <v>648</v>
      </c>
      <c r="U1402" s="1" t="s">
        <v>636</v>
      </c>
      <c r="V1402" s="1" t="s">
        <v>45</v>
      </c>
      <c r="W1402" s="1"/>
      <c r="X1402" s="1"/>
      <c r="Y1402" s="1"/>
      <c r="Z1402" s="1" t="s">
        <v>673</v>
      </c>
      <c r="AA1402" s="1" t="s">
        <v>4324</v>
      </c>
      <c r="AB1402" s="1" t="s">
        <v>4325</v>
      </c>
      <c r="AC1402" s="1" t="s">
        <v>4326</v>
      </c>
      <c r="AD1402" s="1"/>
      <c r="AE1402" s="1" t="s">
        <v>641</v>
      </c>
      <c r="AF1402" s="1" t="s">
        <v>190</v>
      </c>
      <c r="AG1402" s="1">
        <v>5</v>
      </c>
      <c r="AH1402" s="1" t="s">
        <v>190</v>
      </c>
      <c r="AI1402" s="1"/>
      <c r="AJ1402" s="3">
        <v>43106.743506944447</v>
      </c>
      <c r="AK1402" s="1" t="s">
        <v>4274</v>
      </c>
    </row>
    <row r="1403" spans="1:37">
      <c r="A1403" s="1" t="str">
        <f>VLOOKUP(H1403,Languages!$A$2:$B$430,2,FALSE)</f>
        <v>Japonic</v>
      </c>
      <c r="B1403" s="1" t="s">
        <v>652</v>
      </c>
      <c r="C1403" s="1" t="s">
        <v>82</v>
      </c>
      <c r="D1403" s="1" t="s">
        <v>3403</v>
      </c>
      <c r="E1403" s="15" t="s">
        <v>3404</v>
      </c>
      <c r="F1403" s="15" t="s">
        <v>6162</v>
      </c>
      <c r="G1403" s="1" t="s">
        <v>3404</v>
      </c>
      <c r="H1403" s="1" t="str">
        <f>VLOOKUP(G1403,'languoid 4.0'!$A$1:$I$24439,2,FALSE)</f>
        <v>japo1237</v>
      </c>
      <c r="I1403" s="1" t="str">
        <f>VLOOKUP(G1403,'languoid 4.0'!$A$1:$I$24439,6,FALSE)</f>
        <v>family</v>
      </c>
      <c r="J1403" s="15" t="s">
        <v>52</v>
      </c>
      <c r="K1403" s="15" t="s">
        <v>38</v>
      </c>
      <c r="L1403" s="15" t="s">
        <v>38</v>
      </c>
      <c r="M1403" s="1"/>
      <c r="N1403" s="1"/>
      <c r="O1403" s="15" t="s">
        <v>113</v>
      </c>
      <c r="P1403" s="15" t="s">
        <v>41</v>
      </c>
      <c r="Q1403" s="1" t="s">
        <v>6163</v>
      </c>
      <c r="R1403" s="2" t="s">
        <v>6164</v>
      </c>
      <c r="S1403" s="1" t="s">
        <v>46</v>
      </c>
      <c r="T1403" s="1" t="s">
        <v>648</v>
      </c>
      <c r="U1403" s="1" t="s">
        <v>67</v>
      </c>
      <c r="V1403" s="1" t="s">
        <v>45</v>
      </c>
      <c r="W1403" s="1"/>
      <c r="X1403" s="1"/>
      <c r="Y1403" s="1"/>
      <c r="Z1403" s="1" t="s">
        <v>637</v>
      </c>
      <c r="AA1403" s="1" t="s">
        <v>6165</v>
      </c>
      <c r="AB1403" s="1" t="s">
        <v>6166</v>
      </c>
      <c r="AC1403" s="1" t="s">
        <v>6167</v>
      </c>
      <c r="AD1403" s="1"/>
      <c r="AE1403" s="1" t="s">
        <v>641</v>
      </c>
      <c r="AF1403" s="1" t="s">
        <v>190</v>
      </c>
      <c r="AG1403" s="1">
        <v>5</v>
      </c>
      <c r="AH1403" s="1" t="s">
        <v>190</v>
      </c>
      <c r="AI1403" s="1"/>
      <c r="AJ1403" s="3">
        <v>43138.623090277775</v>
      </c>
      <c r="AK1403" s="1" t="s">
        <v>4274</v>
      </c>
    </row>
    <row r="1404" spans="1:37">
      <c r="A1404" s="1" t="str">
        <f>VLOOKUP(H1404,Languages!$A$2:$B$430,2,FALSE)</f>
        <v>Japonic</v>
      </c>
      <c r="B1404" s="1" t="s">
        <v>1812</v>
      </c>
      <c r="C1404" s="1" t="s">
        <v>82</v>
      </c>
      <c r="D1404" s="1" t="s">
        <v>4313</v>
      </c>
      <c r="E1404" s="15" t="s">
        <v>4314</v>
      </c>
      <c r="F1404" s="15" t="s">
        <v>4314</v>
      </c>
      <c r="G1404" s="1" t="s">
        <v>4314</v>
      </c>
      <c r="H1404" s="1" t="str">
        <f>VLOOKUP(G1404,'languoid 4.0'!$A$1:$I$24439,2,FALSE)</f>
        <v>japo1237</v>
      </c>
      <c r="I1404" s="1" t="str">
        <f>VLOOKUP(G1404,'languoid 4.0'!$A$1:$I$24439,6,FALSE)</f>
        <v>language</v>
      </c>
      <c r="J1404" s="15" t="s">
        <v>38</v>
      </c>
      <c r="K1404" s="15" t="s">
        <v>38</v>
      </c>
      <c r="L1404" s="15" t="s">
        <v>38</v>
      </c>
      <c r="M1404" s="1"/>
      <c r="N1404" s="1" t="s">
        <v>4315</v>
      </c>
      <c r="O1404" s="15" t="s">
        <v>40</v>
      </c>
      <c r="P1404" s="15" t="s">
        <v>41</v>
      </c>
      <c r="Q1404" s="1" t="s">
        <v>4327</v>
      </c>
      <c r="R1404" s="2" t="s">
        <v>4328</v>
      </c>
      <c r="S1404" s="1" t="s">
        <v>579</v>
      </c>
      <c r="T1404" s="1" t="s">
        <v>648</v>
      </c>
      <c r="U1404" s="1" t="s">
        <v>1750</v>
      </c>
      <c r="V1404" s="1" t="s">
        <v>45</v>
      </c>
      <c r="W1404" s="1"/>
      <c r="X1404" s="1"/>
      <c r="Y1404" s="1"/>
      <c r="Z1404" s="1" t="s">
        <v>673</v>
      </c>
      <c r="AA1404" s="1" t="s">
        <v>4329</v>
      </c>
      <c r="AB1404" s="1" t="s">
        <v>4330</v>
      </c>
      <c r="AC1404" s="1" t="s">
        <v>4331</v>
      </c>
      <c r="AD1404" s="1"/>
      <c r="AE1404" s="1" t="s">
        <v>641</v>
      </c>
      <c r="AF1404" s="1" t="s">
        <v>190</v>
      </c>
      <c r="AG1404" s="1">
        <v>5</v>
      </c>
      <c r="AH1404" s="1" t="s">
        <v>190</v>
      </c>
      <c r="AI1404" s="1" t="s">
        <v>4332</v>
      </c>
      <c r="AJ1404" s="3">
        <v>43106.747303240743</v>
      </c>
      <c r="AK1404" s="1" t="s">
        <v>4274</v>
      </c>
    </row>
    <row r="1405" spans="1:37">
      <c r="A1405" s="1" t="str">
        <f>VLOOKUP(H1405,Languages!$A$2:$B$430,2,FALSE)</f>
        <v>Japonic</v>
      </c>
      <c r="B1405" s="1" t="s">
        <v>1707</v>
      </c>
      <c r="C1405" s="1" t="s">
        <v>82</v>
      </c>
      <c r="D1405" s="1" t="s">
        <v>4313</v>
      </c>
      <c r="E1405" s="15" t="s">
        <v>4314</v>
      </c>
      <c r="F1405" s="15" t="s">
        <v>4314</v>
      </c>
      <c r="G1405" s="1" t="s">
        <v>4314</v>
      </c>
      <c r="H1405" s="1" t="str">
        <f>VLOOKUP(G1405,'languoid 4.0'!$A$1:$I$24439,2,FALSE)</f>
        <v>japo1237</v>
      </c>
      <c r="I1405" s="1" t="str">
        <f>VLOOKUP(G1405,'languoid 4.0'!$A$1:$I$24439,6,FALSE)</f>
        <v>language</v>
      </c>
      <c r="J1405" s="15" t="s">
        <v>38</v>
      </c>
      <c r="K1405" s="15" t="s">
        <v>38</v>
      </c>
      <c r="L1405" s="15" t="s">
        <v>38</v>
      </c>
      <c r="M1405" s="1"/>
      <c r="N1405" s="1" t="s">
        <v>4315</v>
      </c>
      <c r="O1405" s="15" t="s">
        <v>40</v>
      </c>
      <c r="P1405" s="15" t="s">
        <v>41</v>
      </c>
      <c r="Q1405" s="1" t="s">
        <v>4316</v>
      </c>
      <c r="R1405" s="2" t="s">
        <v>4317</v>
      </c>
      <c r="S1405" s="1" t="s">
        <v>656</v>
      </c>
      <c r="T1405" s="1" t="s">
        <v>648</v>
      </c>
      <c r="U1405" s="1" t="s">
        <v>636</v>
      </c>
      <c r="V1405" s="1" t="s">
        <v>45</v>
      </c>
      <c r="W1405" s="1"/>
      <c r="X1405" s="1"/>
      <c r="Y1405" s="1"/>
      <c r="Z1405" s="1" t="s">
        <v>673</v>
      </c>
      <c r="AA1405" s="1" t="s">
        <v>4318</v>
      </c>
      <c r="AB1405" s="1" t="s">
        <v>4319</v>
      </c>
      <c r="AC1405" s="1" t="s">
        <v>4320</v>
      </c>
      <c r="AD1405" s="1"/>
      <c r="AE1405" s="1" t="s">
        <v>641</v>
      </c>
      <c r="AF1405" s="1" t="s">
        <v>190</v>
      </c>
      <c r="AG1405" s="1">
        <v>6</v>
      </c>
      <c r="AH1405" s="1" t="s">
        <v>190</v>
      </c>
      <c r="AI1405" s="1"/>
      <c r="AJ1405" s="3">
        <v>43106.74009259259</v>
      </c>
      <c r="AK1405" s="1" t="s">
        <v>4274</v>
      </c>
    </row>
    <row r="1406" spans="1:37">
      <c r="A1406" s="1" t="str">
        <f>VLOOKUP(H1406,Languages!$A$2:$B$430,2,FALSE)</f>
        <v>Japonic</v>
      </c>
      <c r="B1406" s="1" t="s">
        <v>1707</v>
      </c>
      <c r="C1406" s="1" t="s">
        <v>82</v>
      </c>
      <c r="D1406" s="1" t="s">
        <v>4333</v>
      </c>
      <c r="E1406" s="15" t="s">
        <v>4314</v>
      </c>
      <c r="F1406" s="15" t="s">
        <v>4314</v>
      </c>
      <c r="G1406" s="1" t="s">
        <v>4314</v>
      </c>
      <c r="H1406" s="1" t="str">
        <f>VLOOKUP(G1406,'languoid 4.0'!$A$1:$I$24439,2,FALSE)</f>
        <v>japo1237</v>
      </c>
      <c r="I1406" s="1" t="str">
        <f>VLOOKUP(G1406,'languoid 4.0'!$A$1:$I$24439,6,FALSE)</f>
        <v>language</v>
      </c>
      <c r="J1406" s="15" t="s">
        <v>38</v>
      </c>
      <c r="K1406" s="15" t="s">
        <v>38</v>
      </c>
      <c r="L1406" s="15" t="s">
        <v>38</v>
      </c>
      <c r="M1406" s="1"/>
      <c r="N1406" s="1" t="s">
        <v>4315</v>
      </c>
      <c r="O1406" s="15" t="s">
        <v>40</v>
      </c>
      <c r="P1406" s="15" t="s">
        <v>41</v>
      </c>
      <c r="Q1406" s="1" t="s">
        <v>4334</v>
      </c>
      <c r="R1406" s="2" t="s">
        <v>4335</v>
      </c>
      <c r="S1406" s="1" t="s">
        <v>4336</v>
      </c>
      <c r="T1406" s="1" t="s">
        <v>648</v>
      </c>
      <c r="U1406" s="1" t="s">
        <v>636</v>
      </c>
      <c r="V1406" s="1" t="s">
        <v>45</v>
      </c>
      <c r="W1406" s="1"/>
      <c r="X1406" s="1"/>
      <c r="Y1406" s="1"/>
      <c r="Z1406" s="1" t="s">
        <v>637</v>
      </c>
      <c r="AA1406" s="1" t="s">
        <v>4337</v>
      </c>
      <c r="AB1406" s="1" t="s">
        <v>4338</v>
      </c>
      <c r="AC1406" s="1" t="s">
        <v>4339</v>
      </c>
      <c r="AD1406" s="1"/>
      <c r="AE1406" s="1" t="s">
        <v>641</v>
      </c>
      <c r="AF1406" s="1" t="s">
        <v>190</v>
      </c>
      <c r="AG1406" s="1">
        <v>6</v>
      </c>
      <c r="AH1406" s="1" t="s">
        <v>190</v>
      </c>
      <c r="AI1406" s="1"/>
      <c r="AJ1406" s="3">
        <v>43106.750856481478</v>
      </c>
      <c r="AK1406" s="1" t="s">
        <v>4274</v>
      </c>
    </row>
    <row r="1407" spans="1:37">
      <c r="A1407" s="1" t="str">
        <f>VLOOKUP(H1407,Languages!$A$2:$B$430,2,FALSE)</f>
        <v>Jodi-Saliban</v>
      </c>
      <c r="B1407" s="1" t="s">
        <v>1707</v>
      </c>
      <c r="C1407" s="1" t="s">
        <v>419</v>
      </c>
      <c r="D1407" s="1" t="s">
        <v>10722</v>
      </c>
      <c r="E1407" s="15" t="s">
        <v>10723</v>
      </c>
      <c r="F1407" s="15" t="s">
        <v>10724</v>
      </c>
      <c r="G1407" s="1" t="s">
        <v>10724</v>
      </c>
      <c r="H1407" s="1" t="str">
        <f>VLOOKUP(G1407,'languoid 4.0'!$A$1:$I$24439,2,FALSE)</f>
        <v>jodi1234</v>
      </c>
      <c r="I1407" s="1" t="str">
        <f>VLOOKUP(G1407,'languoid 4.0'!$A$1:$I$24439,6,FALSE)</f>
        <v>language</v>
      </c>
      <c r="J1407" s="15" t="s">
        <v>52</v>
      </c>
      <c r="K1407" s="15" t="s">
        <v>52</v>
      </c>
      <c r="L1407" s="15" t="s">
        <v>52</v>
      </c>
      <c r="M1407" s="1"/>
      <c r="N1407" s="1" t="s">
        <v>10725</v>
      </c>
      <c r="O1407" s="15" t="s">
        <v>40</v>
      </c>
      <c r="P1407" s="15" t="s">
        <v>41</v>
      </c>
      <c r="Q1407" s="1" t="s">
        <v>10726</v>
      </c>
      <c r="R1407" s="2" t="s">
        <v>10727</v>
      </c>
      <c r="S1407" s="1" t="s">
        <v>46</v>
      </c>
      <c r="T1407" s="1" t="s">
        <v>635</v>
      </c>
      <c r="U1407" s="1" t="s">
        <v>636</v>
      </c>
      <c r="V1407" s="1" t="s">
        <v>45</v>
      </c>
      <c r="W1407" s="1"/>
      <c r="X1407" s="1"/>
      <c r="Y1407" s="1"/>
      <c r="Z1407" s="1" t="s">
        <v>637</v>
      </c>
      <c r="AA1407" s="1" t="s">
        <v>10728</v>
      </c>
      <c r="AB1407" s="1" t="s">
        <v>10729</v>
      </c>
      <c r="AC1407" s="1" t="s">
        <v>46</v>
      </c>
      <c r="AD1407" s="1"/>
      <c r="AE1407" s="1" t="s">
        <v>641</v>
      </c>
      <c r="AF1407" s="1" t="s">
        <v>190</v>
      </c>
      <c r="AG1407" s="1">
        <v>2</v>
      </c>
      <c r="AH1407" s="1" t="s">
        <v>190</v>
      </c>
      <c r="AI1407" s="1"/>
      <c r="AJ1407" s="3">
        <v>43232.541377314818</v>
      </c>
      <c r="AK1407" s="1" t="s">
        <v>8989</v>
      </c>
    </row>
    <row r="1408" spans="1:37">
      <c r="A1408" s="1" t="str">
        <f>VLOOKUP(H1408,Languages!$A$2:$B$430,2,FALSE)</f>
        <v>Kadugli-Krongo</v>
      </c>
      <c r="B1408" s="1" t="s">
        <v>1707</v>
      </c>
      <c r="C1408" s="1" t="s">
        <v>108</v>
      </c>
      <c r="D1408" s="1" t="s">
        <v>6581</v>
      </c>
      <c r="E1408" s="15" t="s">
        <v>3164</v>
      </c>
      <c r="F1408" s="15" t="s">
        <v>6582</v>
      </c>
      <c r="G1408" s="1" t="s">
        <v>6582</v>
      </c>
      <c r="H1408" s="1" t="str">
        <f>VLOOKUP(G1408,'languoid 4.0'!$A$1:$I$24439,2,FALSE)</f>
        <v>kadu1256</v>
      </c>
      <c r="I1408" s="1" t="str">
        <f>VLOOKUP(G1408,'languoid 4.0'!$A$1:$I$24439,6,FALSE)</f>
        <v>dialect</v>
      </c>
      <c r="J1408" s="15" t="s">
        <v>52</v>
      </c>
      <c r="K1408" s="15" t="s">
        <v>52</v>
      </c>
      <c r="L1408" s="15" t="s">
        <v>52</v>
      </c>
      <c r="M1408" s="1"/>
      <c r="N1408" s="1"/>
      <c r="O1408" s="15" t="s">
        <v>113</v>
      </c>
      <c r="P1408" s="15" t="s">
        <v>632</v>
      </c>
      <c r="Q1408" s="1" t="s">
        <v>6583</v>
      </c>
      <c r="R1408" s="2" t="s">
        <v>6584</v>
      </c>
      <c r="S1408" s="1" t="s">
        <v>46</v>
      </c>
      <c r="T1408" s="1" t="s">
        <v>635</v>
      </c>
      <c r="U1408" s="1" t="s">
        <v>636</v>
      </c>
      <c r="V1408" s="1" t="s">
        <v>45</v>
      </c>
      <c r="W1408" s="1"/>
      <c r="X1408" s="1"/>
      <c r="Y1408" s="1"/>
      <c r="Z1408" s="1" t="s">
        <v>658</v>
      </c>
      <c r="AA1408" s="1" t="s">
        <v>3204</v>
      </c>
      <c r="AB1408" s="1" t="s">
        <v>6585</v>
      </c>
      <c r="AC1408" s="1" t="s">
        <v>46</v>
      </c>
      <c r="AD1408" s="1"/>
      <c r="AE1408" s="1" t="s">
        <v>641</v>
      </c>
      <c r="AF1408" s="1" t="s">
        <v>190</v>
      </c>
      <c r="AG1408" s="1">
        <v>5</v>
      </c>
      <c r="AH1408" s="1" t="s">
        <v>190</v>
      </c>
      <c r="AI1408" s="1"/>
      <c r="AJ1408" s="1" t="s">
        <v>6586</v>
      </c>
      <c r="AK1408" s="1" t="s">
        <v>5723</v>
      </c>
    </row>
    <row r="1409" spans="1:37">
      <c r="A1409" s="1" t="str">
        <f>VLOOKUP(H1409,Languages!$A$2:$B$430,2,FALSE)</f>
        <v>Kartvelian</v>
      </c>
      <c r="B1409" s="1" t="s">
        <v>67</v>
      </c>
      <c r="C1409" s="1" t="s">
        <v>7017</v>
      </c>
      <c r="D1409" s="1" t="s">
        <v>60</v>
      </c>
      <c r="E1409" s="15" t="s">
        <v>61</v>
      </c>
      <c r="F1409" s="15" t="s">
        <v>61</v>
      </c>
      <c r="G1409" s="1" t="s">
        <v>61</v>
      </c>
      <c r="H1409" s="1" t="str">
        <f>VLOOKUP(G1409,'languoid 4.0'!$A$1:$I$24439,2,FALSE)</f>
        <v>kart1248</v>
      </c>
      <c r="I1409" s="1" t="str">
        <f>VLOOKUP(G1409,'languoid 4.0'!$A$1:$I$24439,6,FALSE)</f>
        <v>language</v>
      </c>
      <c r="J1409" s="15" t="s">
        <v>38</v>
      </c>
      <c r="K1409" s="15" t="s">
        <v>38</v>
      </c>
      <c r="L1409" s="15" t="s">
        <v>38</v>
      </c>
      <c r="M1409" s="1"/>
      <c r="N1409" s="1" t="s">
        <v>62</v>
      </c>
      <c r="O1409" s="15" t="s">
        <v>40</v>
      </c>
      <c r="P1409" s="15" t="s">
        <v>41</v>
      </c>
      <c r="Q1409" s="1" t="s">
        <v>7874</v>
      </c>
      <c r="R1409" s="2" t="s">
        <v>7368</v>
      </c>
      <c r="S1409" s="1" t="s">
        <v>7875</v>
      </c>
      <c r="T1409" s="1" t="s">
        <v>2948</v>
      </c>
      <c r="U1409" s="1" t="s">
        <v>636</v>
      </c>
      <c r="V1409" s="1" t="s">
        <v>45</v>
      </c>
      <c r="W1409" s="1"/>
      <c r="X1409" s="1"/>
      <c r="Y1409" s="1"/>
      <c r="Z1409" s="1" t="s">
        <v>658</v>
      </c>
      <c r="AA1409" s="1" t="s">
        <v>7876</v>
      </c>
      <c r="AB1409" s="1" t="s">
        <v>46</v>
      </c>
      <c r="AC1409" s="1" t="s">
        <v>46</v>
      </c>
      <c r="AD1409" s="1" t="s">
        <v>7877</v>
      </c>
      <c r="AE1409" s="1" t="s">
        <v>641</v>
      </c>
      <c r="AF1409" s="1" t="s">
        <v>190</v>
      </c>
      <c r="AG1409" s="1">
        <v>6</v>
      </c>
      <c r="AH1409" s="1" t="s">
        <v>190</v>
      </c>
      <c r="AI1409" s="1"/>
      <c r="AJ1409" s="1" t="s">
        <v>7878</v>
      </c>
      <c r="AK1409" s="1" t="s">
        <v>7022</v>
      </c>
    </row>
    <row r="1410" spans="1:37">
      <c r="A1410" s="1" t="str">
        <f>VLOOKUP(H1410,Languages!$A$2:$B$430,2,FALSE)</f>
        <v>Kartvelian</v>
      </c>
      <c r="B1410" s="1" t="s">
        <v>67</v>
      </c>
      <c r="C1410" s="1" t="s">
        <v>7017</v>
      </c>
      <c r="D1410" s="1" t="s">
        <v>60</v>
      </c>
      <c r="E1410" s="15" t="s">
        <v>61</v>
      </c>
      <c r="F1410" s="15" t="s">
        <v>61</v>
      </c>
      <c r="G1410" s="1" t="s">
        <v>61</v>
      </c>
      <c r="H1410" s="1" t="str">
        <f>VLOOKUP(G1410,'languoid 4.0'!$A$1:$I$24439,2,FALSE)</f>
        <v>kart1248</v>
      </c>
      <c r="I1410" s="1" t="str">
        <f>VLOOKUP(G1410,'languoid 4.0'!$A$1:$I$24439,6,FALSE)</f>
        <v>language</v>
      </c>
      <c r="J1410" s="15" t="s">
        <v>38</v>
      </c>
      <c r="K1410" s="15" t="s">
        <v>38</v>
      </c>
      <c r="L1410" s="15" t="s">
        <v>38</v>
      </c>
      <c r="M1410" s="1"/>
      <c r="N1410" s="1" t="s">
        <v>62</v>
      </c>
      <c r="O1410" s="15" t="s">
        <v>40</v>
      </c>
      <c r="P1410" s="15" t="s">
        <v>41</v>
      </c>
      <c r="Q1410" s="1" t="s">
        <v>7879</v>
      </c>
      <c r="R1410" s="2" t="s">
        <v>7368</v>
      </c>
      <c r="S1410" s="1" t="s">
        <v>7880</v>
      </c>
      <c r="T1410" s="1" t="s">
        <v>2948</v>
      </c>
      <c r="U1410" s="1" t="s">
        <v>636</v>
      </c>
      <c r="V1410" s="1" t="s">
        <v>45</v>
      </c>
      <c r="W1410" s="1"/>
      <c r="X1410" s="1"/>
      <c r="Y1410" s="1"/>
      <c r="Z1410" s="1" t="s">
        <v>658</v>
      </c>
      <c r="AA1410" s="1" t="s">
        <v>7881</v>
      </c>
      <c r="AB1410" s="1" t="s">
        <v>46</v>
      </c>
      <c r="AC1410" s="1" t="s">
        <v>46</v>
      </c>
      <c r="AD1410" s="1" t="s">
        <v>7882</v>
      </c>
      <c r="AE1410" s="1" t="s">
        <v>641</v>
      </c>
      <c r="AF1410" s="1" t="s">
        <v>190</v>
      </c>
      <c r="AG1410" s="1">
        <v>5</v>
      </c>
      <c r="AH1410" s="1" t="s">
        <v>190</v>
      </c>
      <c r="AI1410" s="1"/>
      <c r="AJ1410" s="1" t="s">
        <v>7883</v>
      </c>
      <c r="AK1410" s="1" t="s">
        <v>7022</v>
      </c>
    </row>
    <row r="1411" spans="1:37">
      <c r="A1411" s="1" t="str">
        <f>VLOOKUP(H1411,Languages!$A$2:$B$430,2,FALSE)</f>
        <v>Kartvelian</v>
      </c>
      <c r="B1411" s="1" t="s">
        <v>67</v>
      </c>
      <c r="C1411" s="1" t="s">
        <v>7017</v>
      </c>
      <c r="D1411" s="1" t="s">
        <v>60</v>
      </c>
      <c r="E1411" s="15" t="s">
        <v>61</v>
      </c>
      <c r="F1411" s="15" t="s">
        <v>61</v>
      </c>
      <c r="G1411" s="1" t="s">
        <v>61</v>
      </c>
      <c r="H1411" s="1" t="str">
        <f>VLOOKUP(G1411,'languoid 4.0'!$A$1:$I$24439,2,FALSE)</f>
        <v>kart1248</v>
      </c>
      <c r="I1411" s="1" t="str">
        <f>VLOOKUP(G1411,'languoid 4.0'!$A$1:$I$24439,6,FALSE)</f>
        <v>language</v>
      </c>
      <c r="J1411" s="15" t="s">
        <v>38</v>
      </c>
      <c r="K1411" s="15" t="s">
        <v>38</v>
      </c>
      <c r="L1411" s="15" t="s">
        <v>38</v>
      </c>
      <c r="M1411" s="1"/>
      <c r="N1411" s="1" t="s">
        <v>62</v>
      </c>
      <c r="O1411" s="15" t="s">
        <v>40</v>
      </c>
      <c r="P1411" s="15" t="s">
        <v>41</v>
      </c>
      <c r="Q1411" s="1" t="s">
        <v>8047</v>
      </c>
      <c r="R1411" s="2" t="s">
        <v>8048</v>
      </c>
      <c r="S1411" s="1" t="s">
        <v>225</v>
      </c>
      <c r="T1411" s="1" t="s">
        <v>2948</v>
      </c>
      <c r="U1411" s="1" t="s">
        <v>1750</v>
      </c>
      <c r="V1411" s="1" t="s">
        <v>45</v>
      </c>
      <c r="W1411" s="1"/>
      <c r="X1411" s="1"/>
      <c r="Y1411" s="1"/>
      <c r="Z1411" s="1" t="s">
        <v>673</v>
      </c>
      <c r="AA1411" s="1" t="s">
        <v>46</v>
      </c>
      <c r="AB1411" s="1" t="s">
        <v>8049</v>
      </c>
      <c r="AC1411" s="1" t="s">
        <v>46</v>
      </c>
      <c r="AD1411" s="1"/>
      <c r="AE1411" s="1" t="s">
        <v>641</v>
      </c>
      <c r="AF1411" s="1" t="s">
        <v>190</v>
      </c>
      <c r="AG1411" s="1">
        <v>6</v>
      </c>
      <c r="AH1411" s="1" t="s">
        <v>190</v>
      </c>
      <c r="AI1411" s="1"/>
      <c r="AJ1411" s="1" t="s">
        <v>8050</v>
      </c>
      <c r="AK1411" s="1" t="s">
        <v>7022</v>
      </c>
    </row>
    <row r="1412" spans="1:37">
      <c r="A1412" s="1" t="str">
        <f>VLOOKUP(H1412,Languages!$A$2:$B$430,2,FALSE)</f>
        <v>Kartvelian</v>
      </c>
      <c r="B1412" s="1" t="s">
        <v>59</v>
      </c>
      <c r="C1412" s="1" t="s">
        <v>7017</v>
      </c>
      <c r="D1412" s="1" t="s">
        <v>60</v>
      </c>
      <c r="E1412" s="15" t="s">
        <v>61</v>
      </c>
      <c r="F1412" s="15" t="s">
        <v>61</v>
      </c>
      <c r="G1412" s="1" t="s">
        <v>61</v>
      </c>
      <c r="H1412" s="1" t="str">
        <f>VLOOKUP(G1412,'languoid 4.0'!$A$1:$I$24439,2,FALSE)</f>
        <v>kart1248</v>
      </c>
      <c r="I1412" s="1" t="str">
        <f>VLOOKUP(G1412,'languoid 4.0'!$A$1:$I$24439,6,FALSE)</f>
        <v>language</v>
      </c>
      <c r="J1412" s="15" t="s">
        <v>38</v>
      </c>
      <c r="K1412" s="15" t="s">
        <v>38</v>
      </c>
      <c r="L1412" s="15" t="s">
        <v>38</v>
      </c>
      <c r="M1412" s="1"/>
      <c r="N1412" s="1" t="s">
        <v>62</v>
      </c>
      <c r="O1412" s="15" t="s">
        <v>40</v>
      </c>
      <c r="P1412" s="15" t="s">
        <v>41</v>
      </c>
      <c r="Q1412" s="1" t="s">
        <v>7030</v>
      </c>
      <c r="R1412" s="2" t="s">
        <v>7031</v>
      </c>
      <c r="S1412" s="1" t="s">
        <v>46</v>
      </c>
      <c r="T1412" s="1" t="s">
        <v>635</v>
      </c>
      <c r="U1412" s="1" t="s">
        <v>636</v>
      </c>
      <c r="V1412" s="1" t="s">
        <v>45</v>
      </c>
      <c r="W1412" s="1"/>
      <c r="X1412" s="1"/>
      <c r="Y1412" s="1"/>
      <c r="Z1412" s="1" t="s">
        <v>637</v>
      </c>
      <c r="AA1412" s="1" t="s">
        <v>7032</v>
      </c>
      <c r="AB1412" s="1" t="s">
        <v>7033</v>
      </c>
      <c r="AC1412" s="1" t="s">
        <v>46</v>
      </c>
      <c r="AD1412" s="1"/>
      <c r="AE1412" s="1" t="s">
        <v>641</v>
      </c>
      <c r="AF1412" s="1" t="s">
        <v>190</v>
      </c>
      <c r="AG1412" s="1">
        <v>6</v>
      </c>
      <c r="AH1412" s="1" t="s">
        <v>190</v>
      </c>
      <c r="AI1412" s="1"/>
      <c r="AJ1412" s="3">
        <v>43108.75509259259</v>
      </c>
      <c r="AK1412" s="1" t="s">
        <v>7022</v>
      </c>
    </row>
    <row r="1413" spans="1:37">
      <c r="A1413" s="1" t="str">
        <f>VLOOKUP(H1413,Languages!$A$2:$B$430,2,FALSE)</f>
        <v>Kartvelian</v>
      </c>
      <c r="B1413" s="1" t="s">
        <v>59</v>
      </c>
      <c r="C1413" s="1" t="s">
        <v>7017</v>
      </c>
      <c r="D1413" s="1" t="s">
        <v>60</v>
      </c>
      <c r="E1413" s="15" t="s">
        <v>61</v>
      </c>
      <c r="F1413" s="15" t="s">
        <v>61</v>
      </c>
      <c r="G1413" s="1" t="s">
        <v>61</v>
      </c>
      <c r="H1413" s="1" t="str">
        <f>VLOOKUP(G1413,'languoid 4.0'!$A$1:$I$24439,2,FALSE)</f>
        <v>kart1248</v>
      </c>
      <c r="I1413" s="1" t="str">
        <f>VLOOKUP(G1413,'languoid 4.0'!$A$1:$I$24439,6,FALSE)</f>
        <v>language</v>
      </c>
      <c r="J1413" s="15" t="s">
        <v>38</v>
      </c>
      <c r="K1413" s="15" t="s">
        <v>38</v>
      </c>
      <c r="L1413" s="15" t="s">
        <v>38</v>
      </c>
      <c r="M1413" s="1"/>
      <c r="N1413" s="1" t="s">
        <v>62</v>
      </c>
      <c r="O1413" s="15" t="s">
        <v>40</v>
      </c>
      <c r="P1413" s="15" t="s">
        <v>41</v>
      </c>
      <c r="Q1413" s="1" t="s">
        <v>8632</v>
      </c>
      <c r="R1413" s="2" t="s">
        <v>8618</v>
      </c>
      <c r="S1413" s="1" t="s">
        <v>2714</v>
      </c>
      <c r="T1413" s="1" t="s">
        <v>2948</v>
      </c>
      <c r="U1413" s="1" t="s">
        <v>636</v>
      </c>
      <c r="V1413" s="1" t="s">
        <v>45</v>
      </c>
      <c r="W1413" s="1"/>
      <c r="X1413" s="1"/>
      <c r="Y1413" s="1"/>
      <c r="Z1413" s="1" t="s">
        <v>673</v>
      </c>
      <c r="AA1413" s="1" t="s">
        <v>46</v>
      </c>
      <c r="AB1413" s="1" t="s">
        <v>8633</v>
      </c>
      <c r="AC1413" s="1" t="s">
        <v>46</v>
      </c>
      <c r="AD1413" s="1"/>
      <c r="AE1413" s="1" t="s">
        <v>641</v>
      </c>
      <c r="AF1413" s="1" t="s">
        <v>190</v>
      </c>
      <c r="AG1413" s="1">
        <v>6</v>
      </c>
      <c r="AH1413" s="1" t="s">
        <v>190</v>
      </c>
      <c r="AI1413" s="1"/>
      <c r="AJ1413" s="3">
        <v>43229.135798611111</v>
      </c>
      <c r="AK1413" s="1" t="s">
        <v>7022</v>
      </c>
    </row>
    <row r="1414" spans="1:37">
      <c r="A1414" s="1" t="str">
        <f>VLOOKUP(H1414,Languages!$A$2:$B$430,2,FALSE)</f>
        <v>Kartvelian</v>
      </c>
      <c r="B1414" s="1" t="s">
        <v>59</v>
      </c>
      <c r="C1414" s="1" t="s">
        <v>7017</v>
      </c>
      <c r="D1414" s="1" t="s">
        <v>60</v>
      </c>
      <c r="E1414" s="15" t="s">
        <v>61</v>
      </c>
      <c r="F1414" s="16" t="s">
        <v>61</v>
      </c>
      <c r="G1414" s="6" t="s">
        <v>61</v>
      </c>
      <c r="H1414" s="1" t="str">
        <f>VLOOKUP(G1414,'languoid 4.0'!$A$1:$I$24439,2,FALSE)</f>
        <v>kart1248</v>
      </c>
      <c r="I1414" s="1" t="str">
        <f>VLOOKUP(G1414,'languoid 4.0'!$A$1:$I$24439,6,FALSE)</f>
        <v>language</v>
      </c>
      <c r="J1414" s="15" t="s">
        <v>38</v>
      </c>
      <c r="K1414" s="15" t="s">
        <v>38</v>
      </c>
      <c r="L1414" s="15" t="s">
        <v>38</v>
      </c>
      <c r="M1414" s="1"/>
      <c r="N1414" s="1" t="s">
        <v>62</v>
      </c>
      <c r="O1414" s="15" t="s">
        <v>40</v>
      </c>
      <c r="P1414" s="15" t="s">
        <v>41</v>
      </c>
      <c r="Q1414" s="1" t="s">
        <v>8846</v>
      </c>
      <c r="R1414" s="2" t="s">
        <v>8844</v>
      </c>
      <c r="S1414" s="1" t="s">
        <v>323</v>
      </c>
      <c r="T1414" s="1" t="s">
        <v>2948</v>
      </c>
      <c r="U1414" s="1" t="s">
        <v>636</v>
      </c>
      <c r="V1414" s="1" t="s">
        <v>45</v>
      </c>
      <c r="W1414" s="1"/>
      <c r="X1414" s="1"/>
      <c r="Y1414" s="1"/>
      <c r="Z1414" s="1" t="s">
        <v>673</v>
      </c>
      <c r="AA1414" s="1" t="s">
        <v>46</v>
      </c>
      <c r="AB1414" s="1" t="s">
        <v>8847</v>
      </c>
      <c r="AC1414" s="1" t="s">
        <v>46</v>
      </c>
      <c r="AD1414" s="1"/>
      <c r="AE1414" s="1" t="s">
        <v>641</v>
      </c>
      <c r="AF1414" s="1" t="s">
        <v>190</v>
      </c>
      <c r="AG1414" s="1">
        <v>5</v>
      </c>
      <c r="AH1414" s="1" t="s">
        <v>190</v>
      </c>
      <c r="AI1414" s="1"/>
      <c r="AJ1414" s="3">
        <v>43413.205185185187</v>
      </c>
      <c r="AK1414" s="1" t="s">
        <v>7022</v>
      </c>
    </row>
    <row r="1415" spans="1:37">
      <c r="A1415" s="1" t="str">
        <f>VLOOKUP(H1415,Languages!$A$2:$B$430,2,FALSE)</f>
        <v>Kartvelian</v>
      </c>
      <c r="B1415" s="1" t="s">
        <v>59</v>
      </c>
      <c r="C1415" s="1" t="s">
        <v>58</v>
      </c>
      <c r="D1415" s="1" t="s">
        <v>60</v>
      </c>
      <c r="E1415" s="15" t="s">
        <v>61</v>
      </c>
      <c r="F1415" s="15" t="s">
        <v>61</v>
      </c>
      <c r="G1415" s="1" t="s">
        <v>61</v>
      </c>
      <c r="H1415" s="1" t="str">
        <f>VLOOKUP(G1415,'languoid 4.0'!$A$1:$I$24439,2,FALSE)</f>
        <v>kart1248</v>
      </c>
      <c r="I1415" s="1" t="str">
        <f>VLOOKUP(G1415,'languoid 4.0'!$A$1:$I$24439,6,FALSE)</f>
        <v>language</v>
      </c>
      <c r="J1415" s="15" t="s">
        <v>38</v>
      </c>
      <c r="K1415" s="15" t="s">
        <v>38</v>
      </c>
      <c r="L1415" s="15" t="s">
        <v>38</v>
      </c>
      <c r="M1415" s="1"/>
      <c r="N1415" s="1" t="s">
        <v>62</v>
      </c>
      <c r="O1415" s="15" t="s">
        <v>40</v>
      </c>
      <c r="P1415" s="15" t="s">
        <v>41</v>
      </c>
      <c r="Q1415" s="1" t="s">
        <v>63</v>
      </c>
      <c r="R1415" s="2" t="s">
        <v>64</v>
      </c>
      <c r="S1415" s="1" t="s">
        <v>65</v>
      </c>
      <c r="T1415" s="1" t="s">
        <v>44</v>
      </c>
      <c r="U1415" s="1"/>
      <c r="V1415" s="1" t="s">
        <v>45</v>
      </c>
      <c r="W1415" s="1"/>
      <c r="X1415" s="1"/>
      <c r="Y1415" s="1"/>
      <c r="Z1415" s="1"/>
      <c r="AA1415" s="1">
        <v>21</v>
      </c>
      <c r="AB1415" s="1">
        <v>21</v>
      </c>
      <c r="AC1415" s="1">
        <v>21</v>
      </c>
      <c r="AD1415" s="1"/>
      <c r="AE1415" s="1"/>
      <c r="AF1415" s="1"/>
      <c r="AG1415" s="1"/>
      <c r="AH1415" s="1"/>
      <c r="AI1415" s="1"/>
      <c r="AJ1415" s="3">
        <v>43102.721921296295</v>
      </c>
      <c r="AK1415" s="1" t="s">
        <v>57</v>
      </c>
    </row>
    <row r="1416" spans="1:37">
      <c r="A1416" s="1" t="str">
        <f>VLOOKUP(H1416,Languages!$A$2:$B$430,2,FALSE)</f>
        <v>Kartvelian</v>
      </c>
      <c r="B1416" s="1" t="s">
        <v>109</v>
      </c>
      <c r="C1416" s="1" t="s">
        <v>7017</v>
      </c>
      <c r="D1416" s="1" t="s">
        <v>60</v>
      </c>
      <c r="E1416" s="15" t="s">
        <v>61</v>
      </c>
      <c r="F1416" s="15" t="s">
        <v>61</v>
      </c>
      <c r="G1416" s="1" t="s">
        <v>61</v>
      </c>
      <c r="H1416" s="1" t="str">
        <f>VLOOKUP(G1416,'languoid 4.0'!$A$1:$I$24439,2,FALSE)</f>
        <v>kart1248</v>
      </c>
      <c r="I1416" s="1" t="str">
        <f>VLOOKUP(G1416,'languoid 4.0'!$A$1:$I$24439,6,FALSE)</f>
        <v>language</v>
      </c>
      <c r="J1416" s="15" t="s">
        <v>38</v>
      </c>
      <c r="K1416" s="15" t="s">
        <v>38</v>
      </c>
      <c r="L1416" s="15" t="s">
        <v>38</v>
      </c>
      <c r="M1416" s="1"/>
      <c r="N1416" s="1" t="s">
        <v>62</v>
      </c>
      <c r="O1416" s="15" t="s">
        <v>40</v>
      </c>
      <c r="P1416" s="15" t="s">
        <v>41</v>
      </c>
      <c r="Q1416" s="1" t="s">
        <v>8533</v>
      </c>
      <c r="R1416" s="2" t="s">
        <v>8459</v>
      </c>
      <c r="S1416" s="1" t="s">
        <v>43</v>
      </c>
      <c r="T1416" s="1" t="s">
        <v>2948</v>
      </c>
      <c r="U1416" s="1" t="s">
        <v>636</v>
      </c>
      <c r="V1416" s="1" t="s">
        <v>45</v>
      </c>
      <c r="W1416" s="1"/>
      <c r="X1416" s="1"/>
      <c r="Y1416" s="1"/>
      <c r="Z1416" s="1" t="s">
        <v>1151</v>
      </c>
      <c r="AA1416" s="1" t="s">
        <v>46</v>
      </c>
      <c r="AB1416" s="1" t="s">
        <v>8534</v>
      </c>
      <c r="AC1416" s="1" t="s">
        <v>8535</v>
      </c>
      <c r="AD1416" s="1"/>
      <c r="AE1416" s="1" t="s">
        <v>641</v>
      </c>
      <c r="AF1416" s="1" t="s">
        <v>190</v>
      </c>
      <c r="AG1416" s="1">
        <v>6</v>
      </c>
      <c r="AH1416" s="1" t="s">
        <v>190</v>
      </c>
      <c r="AI1416" s="1"/>
      <c r="AJ1416" s="3">
        <v>43168.502268518518</v>
      </c>
      <c r="AK1416" s="1" t="s">
        <v>7022</v>
      </c>
    </row>
    <row r="1417" spans="1:37">
      <c r="A1417" s="1" t="str">
        <f>VLOOKUP(H1417,Languages!$A$2:$B$430,2,FALSE)</f>
        <v>Kartvelian</v>
      </c>
      <c r="B1417" s="1" t="s">
        <v>109</v>
      </c>
      <c r="C1417" s="1" t="s">
        <v>7017</v>
      </c>
      <c r="D1417" s="1" t="s">
        <v>60</v>
      </c>
      <c r="E1417" s="15" t="s">
        <v>61</v>
      </c>
      <c r="F1417" s="15" t="s">
        <v>61</v>
      </c>
      <c r="G1417" s="1" t="s">
        <v>61</v>
      </c>
      <c r="H1417" s="1" t="str">
        <f>VLOOKUP(G1417,'languoid 4.0'!$A$1:$I$24439,2,FALSE)</f>
        <v>kart1248</v>
      </c>
      <c r="I1417" s="1" t="str">
        <f>VLOOKUP(G1417,'languoid 4.0'!$A$1:$I$24439,6,FALSE)</f>
        <v>language</v>
      </c>
      <c r="J1417" s="15" t="s">
        <v>38</v>
      </c>
      <c r="K1417" s="15" t="s">
        <v>38</v>
      </c>
      <c r="L1417" s="15" t="s">
        <v>38</v>
      </c>
      <c r="M1417" s="1"/>
      <c r="N1417" s="1" t="s">
        <v>62</v>
      </c>
      <c r="O1417" s="15" t="s">
        <v>40</v>
      </c>
      <c r="P1417" s="15" t="s">
        <v>41</v>
      </c>
      <c r="Q1417" s="1" t="s">
        <v>8617</v>
      </c>
      <c r="R1417" s="2" t="s">
        <v>8618</v>
      </c>
      <c r="S1417" s="1" t="s">
        <v>471</v>
      </c>
      <c r="T1417" s="1" t="s">
        <v>2948</v>
      </c>
      <c r="U1417" s="1" t="s">
        <v>636</v>
      </c>
      <c r="V1417" s="1" t="s">
        <v>45</v>
      </c>
      <c r="W1417" s="1"/>
      <c r="X1417" s="1"/>
      <c r="Y1417" s="1"/>
      <c r="Z1417" s="1" t="s">
        <v>1893</v>
      </c>
      <c r="AA1417" s="1" t="s">
        <v>46</v>
      </c>
      <c r="AB1417" s="1" t="s">
        <v>46</v>
      </c>
      <c r="AC1417" s="1" t="s">
        <v>8619</v>
      </c>
      <c r="AD1417" s="1"/>
      <c r="AE1417" s="1" t="s">
        <v>641</v>
      </c>
      <c r="AF1417" s="1" t="s">
        <v>190</v>
      </c>
      <c r="AG1417" s="1">
        <v>6</v>
      </c>
      <c r="AH1417" s="1" t="s">
        <v>190</v>
      </c>
      <c r="AI1417" s="1"/>
      <c r="AJ1417" s="3">
        <v>43229.05296296296</v>
      </c>
      <c r="AK1417" s="1" t="s">
        <v>7022</v>
      </c>
    </row>
    <row r="1418" spans="1:37">
      <c r="A1418" s="1" t="str">
        <f>VLOOKUP(H1418,Languages!$A$2:$B$430,2,FALSE)</f>
        <v>Kartvelian</v>
      </c>
      <c r="B1418" s="1" t="s">
        <v>109</v>
      </c>
      <c r="C1418" s="1" t="s">
        <v>7017</v>
      </c>
      <c r="D1418" s="1" t="s">
        <v>60</v>
      </c>
      <c r="E1418" s="15" t="s">
        <v>61</v>
      </c>
      <c r="F1418" s="15" t="s">
        <v>61</v>
      </c>
      <c r="G1418" s="1" t="s">
        <v>61</v>
      </c>
      <c r="H1418" s="1" t="str">
        <f>VLOOKUP(G1418,'languoid 4.0'!$A$1:$I$24439,2,FALSE)</f>
        <v>kart1248</v>
      </c>
      <c r="I1418" s="1" t="str">
        <f>VLOOKUP(G1418,'languoid 4.0'!$A$1:$I$24439,6,FALSE)</f>
        <v>language</v>
      </c>
      <c r="J1418" s="15" t="s">
        <v>38</v>
      </c>
      <c r="K1418" s="15" t="s">
        <v>38</v>
      </c>
      <c r="L1418" s="15" t="s">
        <v>38</v>
      </c>
      <c r="M1418" s="1"/>
      <c r="N1418" s="1" t="s">
        <v>62</v>
      </c>
      <c r="O1418" s="15" t="s">
        <v>40</v>
      </c>
      <c r="P1418" s="15" t="s">
        <v>41</v>
      </c>
      <c r="Q1418" s="1" t="s">
        <v>8622</v>
      </c>
      <c r="R1418" s="2" t="s">
        <v>8618</v>
      </c>
      <c r="S1418" s="1" t="s">
        <v>600</v>
      </c>
      <c r="T1418" s="1" t="s">
        <v>2948</v>
      </c>
      <c r="U1418" s="1" t="s">
        <v>636</v>
      </c>
      <c r="V1418" s="1" t="s">
        <v>45</v>
      </c>
      <c r="W1418" s="1"/>
      <c r="X1418" s="1"/>
      <c r="Y1418" s="1"/>
      <c r="Z1418" s="1" t="s">
        <v>1893</v>
      </c>
      <c r="AA1418" s="1" t="s">
        <v>46</v>
      </c>
      <c r="AB1418" s="1" t="s">
        <v>46</v>
      </c>
      <c r="AC1418" s="1" t="s">
        <v>8623</v>
      </c>
      <c r="AD1418" s="1"/>
      <c r="AE1418" s="1" t="s">
        <v>641</v>
      </c>
      <c r="AF1418" s="1" t="s">
        <v>190</v>
      </c>
      <c r="AG1418" s="1">
        <v>6</v>
      </c>
      <c r="AH1418" s="1" t="s">
        <v>190</v>
      </c>
      <c r="AI1418" s="1"/>
      <c r="AJ1418" s="3">
        <v>43229.055648148147</v>
      </c>
      <c r="AK1418" s="1" t="s">
        <v>7022</v>
      </c>
    </row>
    <row r="1419" spans="1:37">
      <c r="A1419" s="1" t="str">
        <f>VLOOKUP(H1419,Languages!$A$2:$B$430,2,FALSE)</f>
        <v>Kartvelian</v>
      </c>
      <c r="B1419" s="1" t="s">
        <v>109</v>
      </c>
      <c r="C1419" s="1" t="s">
        <v>7017</v>
      </c>
      <c r="D1419" s="1" t="s">
        <v>60</v>
      </c>
      <c r="E1419" s="15" t="s">
        <v>61</v>
      </c>
      <c r="F1419" s="15" t="s">
        <v>61</v>
      </c>
      <c r="G1419" s="1" t="s">
        <v>61</v>
      </c>
      <c r="H1419" s="1" t="str">
        <f>VLOOKUP(G1419,'languoid 4.0'!$A$1:$I$24439,2,FALSE)</f>
        <v>kart1248</v>
      </c>
      <c r="I1419" s="1" t="str">
        <f>VLOOKUP(G1419,'languoid 4.0'!$A$1:$I$24439,6,FALSE)</f>
        <v>language</v>
      </c>
      <c r="J1419" s="15" t="s">
        <v>38</v>
      </c>
      <c r="K1419" s="15" t="s">
        <v>38</v>
      </c>
      <c r="L1419" s="15" t="s">
        <v>38</v>
      </c>
      <c r="M1419" s="1"/>
      <c r="N1419" s="1" t="s">
        <v>62</v>
      </c>
      <c r="O1419" s="15" t="s">
        <v>40</v>
      </c>
      <c r="P1419" s="15" t="s">
        <v>41</v>
      </c>
      <c r="Q1419" s="1" t="s">
        <v>8626</v>
      </c>
      <c r="R1419" s="2" t="s">
        <v>8618</v>
      </c>
      <c r="S1419" s="1" t="s">
        <v>81</v>
      </c>
      <c r="T1419" s="1" t="s">
        <v>2948</v>
      </c>
      <c r="U1419" s="1" t="s">
        <v>636</v>
      </c>
      <c r="V1419" s="1" t="s">
        <v>45</v>
      </c>
      <c r="W1419" s="1"/>
      <c r="X1419" s="1"/>
      <c r="Y1419" s="1"/>
      <c r="Z1419" s="1" t="s">
        <v>1151</v>
      </c>
      <c r="AA1419" s="1" t="s">
        <v>46</v>
      </c>
      <c r="AB1419" s="1" t="s">
        <v>8627</v>
      </c>
      <c r="AC1419" s="1" t="s">
        <v>8628</v>
      </c>
      <c r="AD1419" s="1"/>
      <c r="AE1419" s="1" t="s">
        <v>641</v>
      </c>
      <c r="AF1419" s="1" t="s">
        <v>190</v>
      </c>
      <c r="AG1419" s="1">
        <v>5</v>
      </c>
      <c r="AH1419" s="1" t="s">
        <v>190</v>
      </c>
      <c r="AI1419" s="1"/>
      <c r="AJ1419" s="3">
        <v>43229.061296296299</v>
      </c>
      <c r="AK1419" s="1" t="s">
        <v>7022</v>
      </c>
    </row>
    <row r="1420" spans="1:37">
      <c r="A1420" s="1" t="str">
        <f>VLOOKUP(H1420,Languages!$A$2:$B$430,2,FALSE)</f>
        <v>Kartvelian</v>
      </c>
      <c r="B1420" s="1" t="s">
        <v>109</v>
      </c>
      <c r="C1420" s="1" t="s">
        <v>7017</v>
      </c>
      <c r="D1420" s="1" t="s">
        <v>60</v>
      </c>
      <c r="E1420" s="15" t="s">
        <v>61</v>
      </c>
      <c r="F1420" s="15" t="s">
        <v>61</v>
      </c>
      <c r="G1420" s="1" t="s">
        <v>61</v>
      </c>
      <c r="H1420" s="1" t="str">
        <f>VLOOKUP(G1420,'languoid 4.0'!$A$1:$I$24439,2,FALSE)</f>
        <v>kart1248</v>
      </c>
      <c r="I1420" s="1" t="str">
        <f>VLOOKUP(G1420,'languoid 4.0'!$A$1:$I$24439,6,FALSE)</f>
        <v>language</v>
      </c>
      <c r="J1420" s="15" t="s">
        <v>38</v>
      </c>
      <c r="K1420" s="15" t="s">
        <v>38</v>
      </c>
      <c r="L1420" s="15" t="s">
        <v>38</v>
      </c>
      <c r="M1420" s="1"/>
      <c r="N1420" s="1" t="s">
        <v>62</v>
      </c>
      <c r="O1420" s="15" t="s">
        <v>40</v>
      </c>
      <c r="P1420" s="15" t="s">
        <v>41</v>
      </c>
      <c r="Q1420" s="1" t="s">
        <v>8629</v>
      </c>
      <c r="R1420" s="2" t="s">
        <v>8618</v>
      </c>
      <c r="S1420" s="1" t="s">
        <v>372</v>
      </c>
      <c r="T1420" s="1" t="s">
        <v>2948</v>
      </c>
      <c r="U1420" s="1" t="s">
        <v>636</v>
      </c>
      <c r="V1420" s="1" t="s">
        <v>45</v>
      </c>
      <c r="W1420" s="1"/>
      <c r="X1420" s="1"/>
      <c r="Y1420" s="1"/>
      <c r="Z1420" s="1" t="s">
        <v>1151</v>
      </c>
      <c r="AA1420" s="1" t="s">
        <v>46</v>
      </c>
      <c r="AB1420" s="1" t="s">
        <v>8630</v>
      </c>
      <c r="AC1420" s="1" t="s">
        <v>8631</v>
      </c>
      <c r="AD1420" s="1"/>
      <c r="AE1420" s="1" t="s">
        <v>641</v>
      </c>
      <c r="AF1420" s="1" t="s">
        <v>190</v>
      </c>
      <c r="AG1420" s="1">
        <v>5</v>
      </c>
      <c r="AH1420" s="1" t="s">
        <v>190</v>
      </c>
      <c r="AI1420" s="1"/>
      <c r="AJ1420" s="3">
        <v>43229.063437500001</v>
      </c>
      <c r="AK1420" s="1" t="s">
        <v>7022</v>
      </c>
    </row>
    <row r="1421" spans="1:37">
      <c r="A1421" s="1" t="str">
        <f>VLOOKUP(H1421,Languages!$A$2:$B$430,2,FALSE)</f>
        <v>Kartvelian</v>
      </c>
      <c r="B1421" s="1" t="s">
        <v>35</v>
      </c>
      <c r="C1421" s="1" t="s">
        <v>7017</v>
      </c>
      <c r="D1421" s="1" t="s">
        <v>60</v>
      </c>
      <c r="E1421" s="15" t="s">
        <v>61</v>
      </c>
      <c r="F1421" s="15" t="s">
        <v>61</v>
      </c>
      <c r="G1421" s="1" t="s">
        <v>61</v>
      </c>
      <c r="H1421" s="1" t="str">
        <f>VLOOKUP(G1421,'languoid 4.0'!$A$1:$I$24439,2,FALSE)</f>
        <v>kart1248</v>
      </c>
      <c r="I1421" s="1" t="str">
        <f>VLOOKUP(G1421,'languoid 4.0'!$A$1:$I$24439,6,FALSE)</f>
        <v>language</v>
      </c>
      <c r="J1421" s="15" t="s">
        <v>38</v>
      </c>
      <c r="K1421" s="15" t="s">
        <v>38</v>
      </c>
      <c r="L1421" s="15" t="s">
        <v>38</v>
      </c>
      <c r="M1421" s="1"/>
      <c r="N1421" s="1" t="s">
        <v>62</v>
      </c>
      <c r="O1421" s="15" t="s">
        <v>40</v>
      </c>
      <c r="P1421" s="15" t="s">
        <v>41</v>
      </c>
      <c r="Q1421" s="1" t="s">
        <v>7026</v>
      </c>
      <c r="R1421" s="2" t="s">
        <v>7027</v>
      </c>
      <c r="S1421" s="1" t="s">
        <v>46</v>
      </c>
      <c r="T1421" s="1" t="s">
        <v>635</v>
      </c>
      <c r="U1421" s="1" t="s">
        <v>636</v>
      </c>
      <c r="V1421" s="1" t="s">
        <v>45</v>
      </c>
      <c r="W1421" s="1"/>
      <c r="X1421" s="1"/>
      <c r="Y1421" s="1"/>
      <c r="Z1421" s="1" t="s">
        <v>637</v>
      </c>
      <c r="AA1421" s="1" t="s">
        <v>7028</v>
      </c>
      <c r="AB1421" s="1" t="s">
        <v>7029</v>
      </c>
      <c r="AC1421" s="1" t="s">
        <v>46</v>
      </c>
      <c r="AD1421" s="1"/>
      <c r="AE1421" s="1" t="s">
        <v>641</v>
      </c>
      <c r="AF1421" s="1" t="s">
        <v>190</v>
      </c>
      <c r="AG1421" s="1">
        <v>6</v>
      </c>
      <c r="AH1421" s="1" t="s">
        <v>190</v>
      </c>
      <c r="AI1421" s="1"/>
      <c r="AJ1421" s="3">
        <v>43108.744780092595</v>
      </c>
      <c r="AK1421" s="1" t="s">
        <v>7022</v>
      </c>
    </row>
    <row r="1422" spans="1:37">
      <c r="A1422" s="1" t="str">
        <f>VLOOKUP(H1422,Languages!$A$2:$B$430,2,FALSE)</f>
        <v>Kartvelian</v>
      </c>
      <c r="B1422" s="1" t="s">
        <v>35</v>
      </c>
      <c r="C1422" s="1" t="s">
        <v>7017</v>
      </c>
      <c r="D1422" s="1" t="s">
        <v>60</v>
      </c>
      <c r="E1422" s="15" t="s">
        <v>61</v>
      </c>
      <c r="F1422" s="15" t="s">
        <v>61</v>
      </c>
      <c r="G1422" s="1" t="s">
        <v>61</v>
      </c>
      <c r="H1422" s="1" t="str">
        <f>VLOOKUP(G1422,'languoid 4.0'!$A$1:$I$24439,2,FALSE)</f>
        <v>kart1248</v>
      </c>
      <c r="I1422" s="1" t="str">
        <f>VLOOKUP(G1422,'languoid 4.0'!$A$1:$I$24439,6,FALSE)</f>
        <v>language</v>
      </c>
      <c r="J1422" s="15" t="s">
        <v>38</v>
      </c>
      <c r="K1422" s="15" t="s">
        <v>38</v>
      </c>
      <c r="L1422" s="15" t="s">
        <v>38</v>
      </c>
      <c r="M1422" s="1"/>
      <c r="N1422" s="1" t="s">
        <v>62</v>
      </c>
      <c r="O1422" s="15" t="s">
        <v>40</v>
      </c>
      <c r="P1422" s="15" t="s">
        <v>41</v>
      </c>
      <c r="Q1422" s="1" t="s">
        <v>8057</v>
      </c>
      <c r="R1422" s="2" t="s">
        <v>8048</v>
      </c>
      <c r="S1422" s="1" t="s">
        <v>372</v>
      </c>
      <c r="T1422" s="1" t="s">
        <v>2948</v>
      </c>
      <c r="U1422" s="1" t="s">
        <v>636</v>
      </c>
      <c r="V1422" s="1" t="s">
        <v>45</v>
      </c>
      <c r="W1422" s="1"/>
      <c r="X1422" s="1"/>
      <c r="Y1422" s="1"/>
      <c r="Z1422" s="1" t="s">
        <v>637</v>
      </c>
      <c r="AA1422" s="1" t="s">
        <v>8058</v>
      </c>
      <c r="AB1422" s="1" t="s">
        <v>8059</v>
      </c>
      <c r="AC1422" s="1" t="s">
        <v>46</v>
      </c>
      <c r="AD1422" s="1"/>
      <c r="AE1422" s="1" t="s">
        <v>641</v>
      </c>
      <c r="AF1422" s="1" t="s">
        <v>190</v>
      </c>
      <c r="AG1422" s="1">
        <v>6</v>
      </c>
      <c r="AH1422" s="1" t="s">
        <v>190</v>
      </c>
      <c r="AI1422" s="1"/>
      <c r="AJ1422" s="1" t="s">
        <v>8060</v>
      </c>
      <c r="AK1422" s="1" t="s">
        <v>7022</v>
      </c>
    </row>
    <row r="1423" spans="1:37">
      <c r="A1423" s="1" t="str">
        <f>VLOOKUP(H1423,Languages!$A$2:$B$430,2,FALSE)</f>
        <v>Kartvelian</v>
      </c>
      <c r="B1423" s="1" t="s">
        <v>35</v>
      </c>
      <c r="C1423" s="1" t="s">
        <v>7017</v>
      </c>
      <c r="D1423" s="1" t="s">
        <v>60</v>
      </c>
      <c r="E1423" s="15" t="s">
        <v>61</v>
      </c>
      <c r="F1423" s="15" t="s">
        <v>61</v>
      </c>
      <c r="G1423" s="1" t="s">
        <v>61</v>
      </c>
      <c r="H1423" s="1" t="str">
        <f>VLOOKUP(G1423,'languoid 4.0'!$A$1:$I$24439,2,FALSE)</f>
        <v>kart1248</v>
      </c>
      <c r="I1423" s="1" t="str">
        <f>VLOOKUP(G1423,'languoid 4.0'!$A$1:$I$24439,6,FALSE)</f>
        <v>language</v>
      </c>
      <c r="J1423" s="15" t="s">
        <v>38</v>
      </c>
      <c r="K1423" s="15" t="s">
        <v>38</v>
      </c>
      <c r="L1423" s="15" t="s">
        <v>38</v>
      </c>
      <c r="M1423" s="1"/>
      <c r="N1423" s="1" t="s">
        <v>62</v>
      </c>
      <c r="O1423" s="15" t="s">
        <v>40</v>
      </c>
      <c r="P1423" s="15" t="s">
        <v>41</v>
      </c>
      <c r="Q1423" s="1" t="s">
        <v>7026</v>
      </c>
      <c r="R1423" s="2" t="s">
        <v>8048</v>
      </c>
      <c r="S1423" s="1" t="s">
        <v>197</v>
      </c>
      <c r="T1423" s="1" t="s">
        <v>2948</v>
      </c>
      <c r="U1423" s="1" t="s">
        <v>636</v>
      </c>
      <c r="V1423" s="1" t="s">
        <v>45</v>
      </c>
      <c r="W1423" s="1"/>
      <c r="X1423" s="1"/>
      <c r="Y1423" s="1"/>
      <c r="Z1423" s="1" t="s">
        <v>658</v>
      </c>
      <c r="AA1423" s="1" t="s">
        <v>8235</v>
      </c>
      <c r="AB1423" s="1" t="s">
        <v>46</v>
      </c>
      <c r="AC1423" s="1" t="s">
        <v>46</v>
      </c>
      <c r="AD1423" s="1"/>
      <c r="AE1423" s="1" t="s">
        <v>641</v>
      </c>
      <c r="AF1423" s="1" t="s">
        <v>190</v>
      </c>
      <c r="AG1423" s="1">
        <v>6</v>
      </c>
      <c r="AH1423" s="1" t="s">
        <v>190</v>
      </c>
      <c r="AI1423" s="1"/>
      <c r="AJ1423" s="1" t="s">
        <v>8236</v>
      </c>
      <c r="AK1423" s="1" t="s">
        <v>7022</v>
      </c>
    </row>
    <row r="1424" spans="1:37">
      <c r="A1424" s="1" t="str">
        <f>VLOOKUP(H1424,Languages!$A$2:$B$430,2,FALSE)</f>
        <v>Kartvelian</v>
      </c>
      <c r="B1424" s="1" t="s">
        <v>35</v>
      </c>
      <c r="C1424" s="1" t="s">
        <v>7017</v>
      </c>
      <c r="D1424" s="1" t="s">
        <v>60</v>
      </c>
      <c r="E1424" s="15" t="s">
        <v>61</v>
      </c>
      <c r="F1424" s="15" t="s">
        <v>61</v>
      </c>
      <c r="G1424" s="1" t="s">
        <v>61</v>
      </c>
      <c r="H1424" s="1" t="str">
        <f>VLOOKUP(G1424,'languoid 4.0'!$A$1:$I$24439,2,FALSE)</f>
        <v>kart1248</v>
      </c>
      <c r="I1424" s="1" t="str">
        <f>VLOOKUP(G1424,'languoid 4.0'!$A$1:$I$24439,6,FALSE)</f>
        <v>language</v>
      </c>
      <c r="J1424" s="15" t="s">
        <v>38</v>
      </c>
      <c r="K1424" s="15" t="s">
        <v>38</v>
      </c>
      <c r="L1424" s="15" t="s">
        <v>38</v>
      </c>
      <c r="M1424" s="1"/>
      <c r="N1424" s="1" t="s">
        <v>62</v>
      </c>
      <c r="O1424" s="15" t="s">
        <v>40</v>
      </c>
      <c r="P1424" s="15" t="s">
        <v>41</v>
      </c>
      <c r="Q1424" s="1" t="s">
        <v>8458</v>
      </c>
      <c r="R1424" s="2" t="s">
        <v>8459</v>
      </c>
      <c r="S1424" s="1" t="s">
        <v>138</v>
      </c>
      <c r="T1424" s="1" t="s">
        <v>2948</v>
      </c>
      <c r="U1424" s="1" t="s">
        <v>636</v>
      </c>
      <c r="V1424" s="1" t="s">
        <v>45</v>
      </c>
      <c r="W1424" s="1"/>
      <c r="X1424" s="1"/>
      <c r="Y1424" s="1"/>
      <c r="Z1424" s="1" t="s">
        <v>673</v>
      </c>
      <c r="AA1424" s="1" t="s">
        <v>46</v>
      </c>
      <c r="AB1424" s="1" t="s">
        <v>8460</v>
      </c>
      <c r="AC1424" s="1" t="s">
        <v>46</v>
      </c>
      <c r="AD1424" s="1"/>
      <c r="AE1424" s="1" t="s">
        <v>641</v>
      </c>
      <c r="AF1424" s="1" t="s">
        <v>190</v>
      </c>
      <c r="AG1424" s="1">
        <v>6</v>
      </c>
      <c r="AH1424" s="1" t="s">
        <v>190</v>
      </c>
      <c r="AI1424" s="1"/>
      <c r="AJ1424" s="3">
        <v>43140.944351851853</v>
      </c>
      <c r="AK1424" s="1" t="s">
        <v>7022</v>
      </c>
    </row>
    <row r="1425" spans="1:37">
      <c r="A1425" s="1" t="str">
        <f>VLOOKUP(H1425,Languages!$A$2:$B$430,2,FALSE)</f>
        <v>Kartvelian</v>
      </c>
      <c r="B1425" s="1" t="s">
        <v>35</v>
      </c>
      <c r="C1425" s="1" t="s">
        <v>7017</v>
      </c>
      <c r="D1425" s="1" t="s">
        <v>60</v>
      </c>
      <c r="E1425" s="15" t="s">
        <v>61</v>
      </c>
      <c r="F1425" s="15" t="s">
        <v>61</v>
      </c>
      <c r="G1425" s="1" t="s">
        <v>61</v>
      </c>
      <c r="H1425" s="1" t="str">
        <f>VLOOKUP(G1425,'languoid 4.0'!$A$1:$I$24439,2,FALSE)</f>
        <v>kart1248</v>
      </c>
      <c r="I1425" s="1" t="str">
        <f>VLOOKUP(G1425,'languoid 4.0'!$A$1:$I$24439,6,FALSE)</f>
        <v>language</v>
      </c>
      <c r="J1425" s="15" t="s">
        <v>38</v>
      </c>
      <c r="K1425" s="15" t="s">
        <v>38</v>
      </c>
      <c r="L1425" s="15" t="s">
        <v>38</v>
      </c>
      <c r="M1425" s="1"/>
      <c r="N1425" s="1" t="s">
        <v>62</v>
      </c>
      <c r="O1425" s="15" t="s">
        <v>40</v>
      </c>
      <c r="P1425" s="15" t="s">
        <v>41</v>
      </c>
      <c r="Q1425" s="1" t="s">
        <v>8624</v>
      </c>
      <c r="R1425" s="2" t="s">
        <v>8618</v>
      </c>
      <c r="S1425" s="1" t="s">
        <v>130</v>
      </c>
      <c r="T1425" s="1" t="s">
        <v>2948</v>
      </c>
      <c r="U1425" s="1" t="s">
        <v>636</v>
      </c>
      <c r="V1425" s="1" t="s">
        <v>45</v>
      </c>
      <c r="W1425" s="1"/>
      <c r="X1425" s="1"/>
      <c r="Y1425" s="1"/>
      <c r="Z1425" s="1" t="s">
        <v>673</v>
      </c>
      <c r="AA1425" s="1" t="s">
        <v>46</v>
      </c>
      <c r="AB1425" s="1" t="s">
        <v>8625</v>
      </c>
      <c r="AC1425" s="1" t="s">
        <v>46</v>
      </c>
      <c r="AD1425" s="1"/>
      <c r="AE1425" s="1" t="s">
        <v>641</v>
      </c>
      <c r="AF1425" s="1" t="s">
        <v>190</v>
      </c>
      <c r="AG1425" s="1">
        <v>5</v>
      </c>
      <c r="AH1425" s="1" t="s">
        <v>190</v>
      </c>
      <c r="AI1425" s="1"/>
      <c r="AJ1425" s="3">
        <v>43229.05746527778</v>
      </c>
      <c r="AK1425" s="1" t="s">
        <v>7022</v>
      </c>
    </row>
    <row r="1426" spans="1:37">
      <c r="A1426" s="1" t="str">
        <f>VLOOKUP(H1426,Languages!$A$2:$B$430,2,FALSE)</f>
        <v>Kartvelian</v>
      </c>
      <c r="B1426" s="1" t="s">
        <v>35</v>
      </c>
      <c r="C1426" s="1" t="s">
        <v>7017</v>
      </c>
      <c r="D1426" s="1" t="s">
        <v>60</v>
      </c>
      <c r="E1426" s="15" t="s">
        <v>61</v>
      </c>
      <c r="F1426" s="16" t="s">
        <v>61</v>
      </c>
      <c r="G1426" s="6" t="s">
        <v>61</v>
      </c>
      <c r="H1426" s="1" t="str">
        <f>VLOOKUP(G1426,'languoid 4.0'!$A$1:$I$24439,2,FALSE)</f>
        <v>kart1248</v>
      </c>
      <c r="I1426" s="1" t="str">
        <f>VLOOKUP(G1426,'languoid 4.0'!$A$1:$I$24439,6,FALSE)</f>
        <v>language</v>
      </c>
      <c r="J1426" s="15" t="s">
        <v>38</v>
      </c>
      <c r="K1426" s="15" t="s">
        <v>38</v>
      </c>
      <c r="L1426" s="15" t="s">
        <v>38</v>
      </c>
      <c r="M1426" s="1"/>
      <c r="N1426" s="1" t="s">
        <v>62</v>
      </c>
      <c r="O1426" s="15" t="s">
        <v>40</v>
      </c>
      <c r="P1426" s="15" t="s">
        <v>41</v>
      </c>
      <c r="Q1426" s="1" t="s">
        <v>8793</v>
      </c>
      <c r="R1426" s="2" t="s">
        <v>8618</v>
      </c>
      <c r="S1426" s="1" t="s">
        <v>8794</v>
      </c>
      <c r="T1426" s="1" t="s">
        <v>2948</v>
      </c>
      <c r="U1426" s="1" t="s">
        <v>636</v>
      </c>
      <c r="V1426" s="1" t="s">
        <v>45</v>
      </c>
      <c r="W1426" s="1"/>
      <c r="X1426" s="1"/>
      <c r="Y1426" s="1"/>
      <c r="Z1426" s="1" t="s">
        <v>673</v>
      </c>
      <c r="AA1426" s="1" t="s">
        <v>46</v>
      </c>
      <c r="AB1426" s="1" t="s">
        <v>8795</v>
      </c>
      <c r="AC1426" s="1" t="s">
        <v>46</v>
      </c>
      <c r="AD1426" s="1"/>
      <c r="AE1426" s="1" t="s">
        <v>641</v>
      </c>
      <c r="AF1426" s="1" t="s">
        <v>190</v>
      </c>
      <c r="AG1426" s="1">
        <v>6</v>
      </c>
      <c r="AH1426" s="1" t="s">
        <v>190</v>
      </c>
      <c r="AI1426" s="1"/>
      <c r="AJ1426" s="3">
        <v>43352.534502314818</v>
      </c>
      <c r="AK1426" s="1" t="s">
        <v>7022</v>
      </c>
    </row>
    <row r="1427" spans="1:37">
      <c r="A1427" s="1" t="str">
        <f>VLOOKUP(H1427,Languages!$A$2:$B$430,2,FALSE)</f>
        <v>Kartvelian</v>
      </c>
      <c r="B1427" s="1" t="s">
        <v>35</v>
      </c>
      <c r="C1427" s="1" t="s">
        <v>7017</v>
      </c>
      <c r="D1427" s="1" t="s">
        <v>60</v>
      </c>
      <c r="E1427" s="15" t="s">
        <v>61</v>
      </c>
      <c r="F1427" s="16" t="s">
        <v>61</v>
      </c>
      <c r="G1427" s="6" t="s">
        <v>61</v>
      </c>
      <c r="H1427" s="1" t="str">
        <f>VLOOKUP(G1427,'languoid 4.0'!$A$1:$I$24439,2,FALSE)</f>
        <v>kart1248</v>
      </c>
      <c r="I1427" s="1" t="str">
        <f>VLOOKUP(G1427,'languoid 4.0'!$A$1:$I$24439,6,FALSE)</f>
        <v>language</v>
      </c>
      <c r="J1427" s="15" t="s">
        <v>38</v>
      </c>
      <c r="K1427" s="15" t="s">
        <v>38</v>
      </c>
      <c r="L1427" s="15" t="s">
        <v>38</v>
      </c>
      <c r="M1427" s="1"/>
      <c r="N1427" s="1" t="s">
        <v>62</v>
      </c>
      <c r="O1427" s="15" t="s">
        <v>40</v>
      </c>
      <c r="P1427" s="15" t="s">
        <v>41</v>
      </c>
      <c r="Q1427" s="1" t="s">
        <v>8843</v>
      </c>
      <c r="R1427" s="2" t="s">
        <v>8844</v>
      </c>
      <c r="S1427" s="1" t="s">
        <v>600</v>
      </c>
      <c r="T1427" s="1" t="s">
        <v>2948</v>
      </c>
      <c r="U1427" s="1" t="s">
        <v>636</v>
      </c>
      <c r="V1427" s="1" t="s">
        <v>45</v>
      </c>
      <c r="W1427" s="1"/>
      <c r="X1427" s="1"/>
      <c r="Y1427" s="1"/>
      <c r="Z1427" s="1" t="s">
        <v>673</v>
      </c>
      <c r="AA1427" s="1" t="s">
        <v>46</v>
      </c>
      <c r="AB1427" s="1" t="s">
        <v>8845</v>
      </c>
      <c r="AC1427" s="1" t="s">
        <v>46</v>
      </c>
      <c r="AD1427" s="1"/>
      <c r="AE1427" s="1" t="s">
        <v>641</v>
      </c>
      <c r="AF1427" s="1" t="s">
        <v>190</v>
      </c>
      <c r="AG1427" s="1">
        <v>5</v>
      </c>
      <c r="AH1427" s="1" t="s">
        <v>190</v>
      </c>
      <c r="AI1427" s="1"/>
      <c r="AJ1427" s="3">
        <v>43413.189513888887</v>
      </c>
      <c r="AK1427" s="1" t="s">
        <v>7022</v>
      </c>
    </row>
    <row r="1428" spans="1:37">
      <c r="A1428" s="1" t="str">
        <f>VLOOKUP(H1428,Languages!$A$2:$B$430,2,FALSE)</f>
        <v>Kartvelian</v>
      </c>
      <c r="B1428" s="1" t="s">
        <v>35</v>
      </c>
      <c r="C1428" s="1" t="s">
        <v>7017</v>
      </c>
      <c r="D1428" s="1" t="s">
        <v>60</v>
      </c>
      <c r="E1428" s="15" t="s">
        <v>61</v>
      </c>
      <c r="F1428" s="16" t="s">
        <v>61</v>
      </c>
      <c r="G1428" s="6" t="s">
        <v>61</v>
      </c>
      <c r="H1428" s="1" t="str">
        <f>VLOOKUP(G1428,'languoid 4.0'!$A$1:$I$24439,2,FALSE)</f>
        <v>kart1248</v>
      </c>
      <c r="I1428" s="1" t="str">
        <f>VLOOKUP(G1428,'languoid 4.0'!$A$1:$I$24439,6,FALSE)</f>
        <v>language</v>
      </c>
      <c r="J1428" s="15" t="s">
        <v>38</v>
      </c>
      <c r="K1428" s="15" t="s">
        <v>38</v>
      </c>
      <c r="L1428" s="15" t="s">
        <v>38</v>
      </c>
      <c r="M1428" s="1"/>
      <c r="N1428" s="1" t="s">
        <v>62</v>
      </c>
      <c r="O1428" s="15" t="s">
        <v>40</v>
      </c>
      <c r="P1428" s="15" t="s">
        <v>41</v>
      </c>
      <c r="Q1428" s="1" t="s">
        <v>8851</v>
      </c>
      <c r="R1428" s="2" t="s">
        <v>8844</v>
      </c>
      <c r="S1428" s="1" t="s">
        <v>387</v>
      </c>
      <c r="T1428" s="1" t="s">
        <v>2948</v>
      </c>
      <c r="U1428" s="1" t="s">
        <v>636</v>
      </c>
      <c r="V1428" s="1" t="s">
        <v>45</v>
      </c>
      <c r="W1428" s="1"/>
      <c r="X1428" s="1"/>
      <c r="Y1428" s="1"/>
      <c r="Z1428" s="1" t="s">
        <v>1151</v>
      </c>
      <c r="AA1428" s="1" t="s">
        <v>46</v>
      </c>
      <c r="AB1428" s="1" t="s">
        <v>8852</v>
      </c>
      <c r="AC1428" s="1" t="s">
        <v>8853</v>
      </c>
      <c r="AD1428" s="1"/>
      <c r="AE1428" s="1" t="s">
        <v>641</v>
      </c>
      <c r="AF1428" s="1" t="s">
        <v>190</v>
      </c>
      <c r="AG1428" s="1">
        <v>6</v>
      </c>
      <c r="AH1428" s="1" t="s">
        <v>190</v>
      </c>
      <c r="AI1428" s="1"/>
      <c r="AJ1428" s="3">
        <v>43413.233935185184</v>
      </c>
      <c r="AK1428" s="1" t="s">
        <v>7022</v>
      </c>
    </row>
    <row r="1429" spans="1:37">
      <c r="A1429" s="1" t="str">
        <f>VLOOKUP(H1429,Languages!$A$2:$B$430,2,FALSE)</f>
        <v>Kartvelian</v>
      </c>
      <c r="B1429" s="1" t="s">
        <v>35</v>
      </c>
      <c r="C1429" s="1" t="s">
        <v>4965</v>
      </c>
      <c r="D1429" s="1" t="s">
        <v>7690</v>
      </c>
      <c r="E1429" s="15" t="s">
        <v>61</v>
      </c>
      <c r="F1429" s="15" t="s">
        <v>61</v>
      </c>
      <c r="G1429" s="1" t="s">
        <v>61</v>
      </c>
      <c r="H1429" s="1" t="str">
        <f>VLOOKUP(G1429,'languoid 4.0'!$A$1:$I$24439,2,FALSE)</f>
        <v>kart1248</v>
      </c>
      <c r="I1429" s="1" t="str">
        <f>VLOOKUP(G1429,'languoid 4.0'!$A$1:$I$24439,6,FALSE)</f>
        <v>language</v>
      </c>
      <c r="J1429" s="15" t="s">
        <v>38</v>
      </c>
      <c r="K1429" s="15" t="s">
        <v>38</v>
      </c>
      <c r="L1429" s="15" t="s">
        <v>38</v>
      </c>
      <c r="M1429" s="1"/>
      <c r="N1429" s="1" t="s">
        <v>62</v>
      </c>
      <c r="O1429" s="15" t="s">
        <v>40</v>
      </c>
      <c r="P1429" s="15" t="s">
        <v>41</v>
      </c>
      <c r="Q1429" s="1" t="s">
        <v>7691</v>
      </c>
      <c r="R1429" s="2" t="s">
        <v>7692</v>
      </c>
      <c r="S1429" s="1" t="s">
        <v>323</v>
      </c>
      <c r="T1429" s="1" t="s">
        <v>7402</v>
      </c>
      <c r="U1429" s="1" t="s">
        <v>636</v>
      </c>
      <c r="V1429" s="1" t="s">
        <v>45</v>
      </c>
      <c r="W1429" s="1"/>
      <c r="X1429" s="1"/>
      <c r="Y1429" s="1"/>
      <c r="Z1429" s="1" t="s">
        <v>673</v>
      </c>
      <c r="AA1429" s="1" t="s">
        <v>7693</v>
      </c>
      <c r="AB1429" s="1" t="s">
        <v>7694</v>
      </c>
      <c r="AC1429" s="1" t="s">
        <v>46</v>
      </c>
      <c r="AD1429" s="1" t="s">
        <v>7695</v>
      </c>
      <c r="AE1429" s="1" t="s">
        <v>641</v>
      </c>
      <c r="AF1429" s="1" t="s">
        <v>190</v>
      </c>
      <c r="AG1429" s="1">
        <v>5</v>
      </c>
      <c r="AH1429" s="1" t="s">
        <v>190</v>
      </c>
      <c r="AI1429" s="1"/>
      <c r="AJ1429" s="1" t="s">
        <v>7696</v>
      </c>
      <c r="AK1429" s="1" t="s">
        <v>4975</v>
      </c>
    </row>
    <row r="1430" spans="1:37">
      <c r="A1430" s="1" t="str">
        <f>VLOOKUP(H1430,Languages!$A$2:$B$430,2,FALSE)</f>
        <v>Kartvelian</v>
      </c>
      <c r="B1430" s="1" t="s">
        <v>1726</v>
      </c>
      <c r="C1430" s="1" t="s">
        <v>7017</v>
      </c>
      <c r="D1430" s="1" t="s">
        <v>60</v>
      </c>
      <c r="E1430" s="15" t="s">
        <v>61</v>
      </c>
      <c r="F1430" s="16" t="s">
        <v>61</v>
      </c>
      <c r="G1430" s="6" t="s">
        <v>61</v>
      </c>
      <c r="H1430" s="1" t="str">
        <f>VLOOKUP(G1430,'languoid 4.0'!$A$1:$I$24439,2,FALSE)</f>
        <v>kart1248</v>
      </c>
      <c r="I1430" s="1" t="str">
        <f>VLOOKUP(G1430,'languoid 4.0'!$A$1:$I$24439,6,FALSE)</f>
        <v>language</v>
      </c>
      <c r="J1430" s="15" t="s">
        <v>38</v>
      </c>
      <c r="K1430" s="15" t="s">
        <v>38</v>
      </c>
      <c r="L1430" s="15" t="s">
        <v>38</v>
      </c>
      <c r="M1430" s="1"/>
      <c r="N1430" s="1" t="s">
        <v>62</v>
      </c>
      <c r="O1430" s="15" t="s">
        <v>40</v>
      </c>
      <c r="P1430" s="15" t="s">
        <v>41</v>
      </c>
      <c r="Q1430" s="1" t="s">
        <v>8788</v>
      </c>
      <c r="R1430" s="2" t="s">
        <v>8618</v>
      </c>
      <c r="S1430" s="1" t="s">
        <v>523</v>
      </c>
      <c r="T1430" s="1" t="s">
        <v>2948</v>
      </c>
      <c r="U1430" s="1" t="s">
        <v>636</v>
      </c>
      <c r="V1430" s="1" t="s">
        <v>45</v>
      </c>
      <c r="W1430" s="1"/>
      <c r="X1430" s="1"/>
      <c r="Y1430" s="1"/>
      <c r="Z1430" s="1" t="s">
        <v>673</v>
      </c>
      <c r="AA1430" s="1" t="s">
        <v>46</v>
      </c>
      <c r="AB1430" s="1" t="s">
        <v>8789</v>
      </c>
      <c r="AC1430" s="1" t="s">
        <v>46</v>
      </c>
      <c r="AD1430" s="1"/>
      <c r="AE1430" s="1" t="s">
        <v>641</v>
      </c>
      <c r="AF1430" s="1" t="s">
        <v>190</v>
      </c>
      <c r="AG1430" s="1">
        <v>6</v>
      </c>
      <c r="AH1430" s="1" t="s">
        <v>190</v>
      </c>
      <c r="AI1430" s="1"/>
      <c r="AJ1430" s="3">
        <v>43352.521898148145</v>
      </c>
      <c r="AK1430" s="1" t="s">
        <v>7022</v>
      </c>
    </row>
    <row r="1431" spans="1:37">
      <c r="A1431" s="1" t="str">
        <f>VLOOKUP(H1431,Languages!$A$2:$B$430,2,FALSE)</f>
        <v>Kartvelian</v>
      </c>
      <c r="B1431" s="1" t="s">
        <v>1726</v>
      </c>
      <c r="C1431" s="1" t="s">
        <v>7017</v>
      </c>
      <c r="D1431" s="1" t="s">
        <v>60</v>
      </c>
      <c r="E1431" s="15" t="s">
        <v>61</v>
      </c>
      <c r="F1431" s="16" t="s">
        <v>61</v>
      </c>
      <c r="G1431" s="6" t="s">
        <v>61</v>
      </c>
      <c r="H1431" s="1" t="str">
        <f>VLOOKUP(G1431,'languoid 4.0'!$A$1:$I$24439,2,FALSE)</f>
        <v>kart1248</v>
      </c>
      <c r="I1431" s="1" t="str">
        <f>VLOOKUP(G1431,'languoid 4.0'!$A$1:$I$24439,6,FALSE)</f>
        <v>language</v>
      </c>
      <c r="J1431" s="15" t="s">
        <v>38</v>
      </c>
      <c r="K1431" s="15" t="s">
        <v>38</v>
      </c>
      <c r="L1431" s="15" t="s">
        <v>38</v>
      </c>
      <c r="M1431" s="1"/>
      <c r="N1431" s="1" t="s">
        <v>62</v>
      </c>
      <c r="O1431" s="15" t="s">
        <v>40</v>
      </c>
      <c r="P1431" s="15" t="s">
        <v>41</v>
      </c>
      <c r="Q1431" s="1" t="s">
        <v>8801</v>
      </c>
      <c r="R1431" s="2" t="s">
        <v>8459</v>
      </c>
      <c r="S1431" s="1" t="s">
        <v>372</v>
      </c>
      <c r="T1431" s="1" t="s">
        <v>2948</v>
      </c>
      <c r="U1431" s="1" t="s">
        <v>636</v>
      </c>
      <c r="V1431" s="1" t="s">
        <v>45</v>
      </c>
      <c r="W1431" s="1"/>
      <c r="X1431" s="1"/>
      <c r="Y1431" s="1"/>
      <c r="Z1431" s="1" t="s">
        <v>1151</v>
      </c>
      <c r="AA1431" s="1" t="s">
        <v>46</v>
      </c>
      <c r="AB1431" s="1" t="s">
        <v>8802</v>
      </c>
      <c r="AC1431" s="1" t="s">
        <v>8803</v>
      </c>
      <c r="AD1431" s="1"/>
      <c r="AE1431" s="1" t="s">
        <v>641</v>
      </c>
      <c r="AF1431" s="1" t="s">
        <v>190</v>
      </c>
      <c r="AG1431" s="1">
        <v>6</v>
      </c>
      <c r="AH1431" s="1" t="s">
        <v>190</v>
      </c>
      <c r="AI1431" s="1"/>
      <c r="AJ1431" s="3">
        <v>43352.561631944445</v>
      </c>
      <c r="AK1431" s="1" t="s">
        <v>7022</v>
      </c>
    </row>
    <row r="1432" spans="1:37">
      <c r="A1432" s="1" t="str">
        <f>VLOOKUP(H1432,Languages!$A$2:$B$430,2,FALSE)</f>
        <v>Kartvelian</v>
      </c>
      <c r="B1432" s="1" t="s">
        <v>1750</v>
      </c>
      <c r="C1432" s="1" t="s">
        <v>7017</v>
      </c>
      <c r="D1432" s="1" t="s">
        <v>60</v>
      </c>
      <c r="E1432" s="15" t="s">
        <v>61</v>
      </c>
      <c r="F1432" s="15" t="s">
        <v>61</v>
      </c>
      <c r="G1432" s="1" t="s">
        <v>61</v>
      </c>
      <c r="H1432" s="1" t="str">
        <f>VLOOKUP(G1432,'languoid 4.0'!$A$1:$I$24439,2,FALSE)</f>
        <v>kart1248</v>
      </c>
      <c r="I1432" s="1" t="str">
        <f>VLOOKUP(G1432,'languoid 4.0'!$A$1:$I$24439,6,FALSE)</f>
        <v>language</v>
      </c>
      <c r="J1432" s="15" t="s">
        <v>38</v>
      </c>
      <c r="K1432" s="15" t="s">
        <v>38</v>
      </c>
      <c r="L1432" s="15" t="s">
        <v>38</v>
      </c>
      <c r="M1432" s="1"/>
      <c r="N1432" s="1" t="s">
        <v>62</v>
      </c>
      <c r="O1432" s="15" t="s">
        <v>40</v>
      </c>
      <c r="P1432" s="15" t="s">
        <v>41</v>
      </c>
      <c r="Q1432" s="1" t="s">
        <v>8054</v>
      </c>
      <c r="R1432" s="2" t="s">
        <v>8048</v>
      </c>
      <c r="S1432" s="1" t="s">
        <v>2718</v>
      </c>
      <c r="T1432" s="1" t="s">
        <v>2948</v>
      </c>
      <c r="U1432" s="1" t="s">
        <v>636</v>
      </c>
      <c r="V1432" s="1" t="s">
        <v>45</v>
      </c>
      <c r="W1432" s="1"/>
      <c r="X1432" s="1"/>
      <c r="Y1432" s="1"/>
      <c r="Z1432" s="1" t="s">
        <v>673</v>
      </c>
      <c r="AA1432" s="1" t="s">
        <v>46</v>
      </c>
      <c r="AB1432" s="1" t="s">
        <v>8055</v>
      </c>
      <c r="AC1432" s="1" t="s">
        <v>46</v>
      </c>
      <c r="AD1432" s="1"/>
      <c r="AE1432" s="1" t="s">
        <v>641</v>
      </c>
      <c r="AF1432" s="1" t="s">
        <v>190</v>
      </c>
      <c r="AG1432" s="1">
        <v>6</v>
      </c>
      <c r="AH1432" s="1" t="s">
        <v>190</v>
      </c>
      <c r="AI1432" s="1"/>
      <c r="AJ1432" s="1" t="s">
        <v>8056</v>
      </c>
      <c r="AK1432" s="1" t="s">
        <v>7022</v>
      </c>
    </row>
    <row r="1433" spans="1:37">
      <c r="A1433" s="1" t="str">
        <f>VLOOKUP(H1433,Languages!$A$2:$B$430,2,FALSE)</f>
        <v>Kartvelian</v>
      </c>
      <c r="B1433" s="1" t="s">
        <v>1750</v>
      </c>
      <c r="C1433" s="1" t="s">
        <v>7017</v>
      </c>
      <c r="D1433" s="1" t="s">
        <v>60</v>
      </c>
      <c r="E1433" s="15" t="s">
        <v>61</v>
      </c>
      <c r="F1433" s="16" t="s">
        <v>61</v>
      </c>
      <c r="G1433" s="6" t="s">
        <v>61</v>
      </c>
      <c r="H1433" s="1" t="str">
        <f>VLOOKUP(G1433,'languoid 4.0'!$A$1:$I$24439,2,FALSE)</f>
        <v>kart1248</v>
      </c>
      <c r="I1433" s="1" t="str">
        <f>VLOOKUP(G1433,'languoid 4.0'!$A$1:$I$24439,6,FALSE)</f>
        <v>language</v>
      </c>
      <c r="J1433" s="15" t="s">
        <v>38</v>
      </c>
      <c r="K1433" s="15" t="s">
        <v>38</v>
      </c>
      <c r="L1433" s="15" t="s">
        <v>38</v>
      </c>
      <c r="M1433" s="1"/>
      <c r="N1433" s="1" t="s">
        <v>62</v>
      </c>
      <c r="O1433" s="15" t="s">
        <v>40</v>
      </c>
      <c r="P1433" s="15" t="s">
        <v>41</v>
      </c>
      <c r="Q1433" s="1" t="s">
        <v>8796</v>
      </c>
      <c r="R1433" s="2" t="s">
        <v>8459</v>
      </c>
      <c r="S1433" s="1" t="s">
        <v>265</v>
      </c>
      <c r="T1433" s="1" t="s">
        <v>2948</v>
      </c>
      <c r="U1433" s="1" t="s">
        <v>636</v>
      </c>
      <c r="V1433" s="1" t="s">
        <v>45</v>
      </c>
      <c r="W1433" s="1"/>
      <c r="X1433" s="1"/>
      <c r="Y1433" s="1"/>
      <c r="Z1433" s="1" t="s">
        <v>1893</v>
      </c>
      <c r="AA1433" s="1" t="s">
        <v>46</v>
      </c>
      <c r="AB1433" s="1" t="s">
        <v>46</v>
      </c>
      <c r="AC1433" s="1" t="s">
        <v>8797</v>
      </c>
      <c r="AD1433" s="1"/>
      <c r="AE1433" s="1" t="s">
        <v>641</v>
      </c>
      <c r="AF1433" s="1" t="s">
        <v>190</v>
      </c>
      <c r="AG1433" s="1">
        <v>6</v>
      </c>
      <c r="AH1433" s="1" t="s">
        <v>190</v>
      </c>
      <c r="AI1433" s="1"/>
      <c r="AJ1433" s="3">
        <v>43352.550578703704</v>
      </c>
      <c r="AK1433" s="1" t="s">
        <v>7022</v>
      </c>
    </row>
    <row r="1434" spans="1:37">
      <c r="A1434" s="1" t="str">
        <f>VLOOKUP(H1434,Languages!$A$2:$B$430,2,FALSE)</f>
        <v>Kartvelian</v>
      </c>
      <c r="B1434" s="1" t="s">
        <v>1750</v>
      </c>
      <c r="C1434" s="1" t="s">
        <v>7017</v>
      </c>
      <c r="D1434" s="1" t="s">
        <v>60</v>
      </c>
      <c r="E1434" s="15" t="s">
        <v>61</v>
      </c>
      <c r="F1434" s="16" t="s">
        <v>61</v>
      </c>
      <c r="G1434" s="6" t="s">
        <v>61</v>
      </c>
      <c r="H1434" s="1" t="str">
        <f>VLOOKUP(G1434,'languoid 4.0'!$A$1:$I$24439,2,FALSE)</f>
        <v>kart1248</v>
      </c>
      <c r="I1434" s="1" t="str">
        <f>VLOOKUP(G1434,'languoid 4.0'!$A$1:$I$24439,6,FALSE)</f>
        <v>language</v>
      </c>
      <c r="J1434" s="15" t="s">
        <v>38</v>
      </c>
      <c r="K1434" s="15" t="s">
        <v>38</v>
      </c>
      <c r="L1434" s="15" t="s">
        <v>38</v>
      </c>
      <c r="M1434" s="1"/>
      <c r="N1434" s="1" t="s">
        <v>62</v>
      </c>
      <c r="O1434" s="15" t="s">
        <v>40</v>
      </c>
      <c r="P1434" s="15" t="s">
        <v>41</v>
      </c>
      <c r="Q1434" s="1" t="s">
        <v>8798</v>
      </c>
      <c r="R1434" s="2" t="s">
        <v>8459</v>
      </c>
      <c r="S1434" s="1" t="s">
        <v>130</v>
      </c>
      <c r="T1434" s="1" t="s">
        <v>2948</v>
      </c>
      <c r="U1434" s="1" t="s">
        <v>636</v>
      </c>
      <c r="V1434" s="1" t="s">
        <v>45</v>
      </c>
      <c r="W1434" s="1"/>
      <c r="X1434" s="1"/>
      <c r="Y1434" s="1"/>
      <c r="Z1434" s="1" t="s">
        <v>1151</v>
      </c>
      <c r="AA1434" s="1" t="s">
        <v>46</v>
      </c>
      <c r="AB1434" s="1" t="s">
        <v>8799</v>
      </c>
      <c r="AC1434" s="1" t="s">
        <v>8800</v>
      </c>
      <c r="AD1434" s="1"/>
      <c r="AE1434" s="1" t="s">
        <v>641</v>
      </c>
      <c r="AF1434" s="1" t="s">
        <v>190</v>
      </c>
      <c r="AG1434" s="1">
        <v>6</v>
      </c>
      <c r="AH1434" s="1" t="s">
        <v>190</v>
      </c>
      <c r="AI1434" s="1"/>
      <c r="AJ1434" s="3">
        <v>43352.558148148149</v>
      </c>
      <c r="AK1434" s="1" t="s">
        <v>7022</v>
      </c>
    </row>
    <row r="1435" spans="1:37">
      <c r="A1435" s="1" t="str">
        <f>VLOOKUP(H1435,Languages!$A$2:$B$430,2,FALSE)</f>
        <v>Kartvelian</v>
      </c>
      <c r="B1435" s="1" t="s">
        <v>1750</v>
      </c>
      <c r="C1435" s="1" t="s">
        <v>7017</v>
      </c>
      <c r="D1435" s="1" t="s">
        <v>60</v>
      </c>
      <c r="E1435" s="15" t="s">
        <v>61</v>
      </c>
      <c r="F1435" s="16" t="s">
        <v>61</v>
      </c>
      <c r="G1435" s="6" t="s">
        <v>61</v>
      </c>
      <c r="H1435" s="1" t="str">
        <f>VLOOKUP(G1435,'languoid 4.0'!$A$1:$I$24439,2,FALSE)</f>
        <v>kart1248</v>
      </c>
      <c r="I1435" s="1" t="str">
        <f>VLOOKUP(G1435,'languoid 4.0'!$A$1:$I$24439,6,FALSE)</f>
        <v>language</v>
      </c>
      <c r="J1435" s="15" t="s">
        <v>38</v>
      </c>
      <c r="K1435" s="15" t="s">
        <v>38</v>
      </c>
      <c r="L1435" s="15" t="s">
        <v>38</v>
      </c>
      <c r="M1435" s="1"/>
      <c r="N1435" s="1" t="s">
        <v>62</v>
      </c>
      <c r="O1435" s="15" t="s">
        <v>40</v>
      </c>
      <c r="P1435" s="15" t="s">
        <v>41</v>
      </c>
      <c r="Q1435" s="1" t="s">
        <v>8841</v>
      </c>
      <c r="R1435" s="2" t="s">
        <v>8459</v>
      </c>
      <c r="S1435" s="1" t="s">
        <v>2714</v>
      </c>
      <c r="T1435" s="1" t="s">
        <v>2948</v>
      </c>
      <c r="U1435" s="1" t="s">
        <v>636</v>
      </c>
      <c r="V1435" s="1" t="s">
        <v>45</v>
      </c>
      <c r="W1435" s="1"/>
      <c r="X1435" s="1"/>
      <c r="Y1435" s="1"/>
      <c r="Z1435" s="1" t="s">
        <v>673</v>
      </c>
      <c r="AA1435" s="1" t="s">
        <v>46</v>
      </c>
      <c r="AB1435" s="1" t="s">
        <v>8842</v>
      </c>
      <c r="AC1435" s="1" t="s">
        <v>46</v>
      </c>
      <c r="AD1435" s="1"/>
      <c r="AE1435" s="1" t="s">
        <v>641</v>
      </c>
      <c r="AF1435" s="1" t="s">
        <v>190</v>
      </c>
      <c r="AG1435" s="1">
        <v>5</v>
      </c>
      <c r="AH1435" s="1" t="s">
        <v>190</v>
      </c>
      <c r="AI1435" s="1"/>
      <c r="AJ1435" s="3">
        <v>43413.16474537037</v>
      </c>
      <c r="AK1435" s="1" t="s">
        <v>7022</v>
      </c>
    </row>
    <row r="1436" spans="1:37">
      <c r="A1436" s="1" t="str">
        <f>VLOOKUP(H1436,Languages!$A$2:$B$430,2,FALSE)</f>
        <v>Kartvelian</v>
      </c>
      <c r="B1436" s="1" t="s">
        <v>1738</v>
      </c>
      <c r="C1436" s="1" t="s">
        <v>7017</v>
      </c>
      <c r="D1436" s="1" t="s">
        <v>7224</v>
      </c>
      <c r="E1436" s="15" t="s">
        <v>61</v>
      </c>
      <c r="F1436" s="15" t="s">
        <v>61</v>
      </c>
      <c r="G1436" s="1" t="s">
        <v>61</v>
      </c>
      <c r="H1436" s="1" t="str">
        <f>VLOOKUP(G1436,'languoid 4.0'!$A$1:$I$24439,2,FALSE)</f>
        <v>kart1248</v>
      </c>
      <c r="I1436" s="1" t="str">
        <f>VLOOKUP(G1436,'languoid 4.0'!$A$1:$I$24439,6,FALSE)</f>
        <v>language</v>
      </c>
      <c r="J1436" s="15" t="s">
        <v>38</v>
      </c>
      <c r="K1436" s="15" t="s">
        <v>38</v>
      </c>
      <c r="L1436" s="15" t="s">
        <v>38</v>
      </c>
      <c r="M1436" s="1"/>
      <c r="N1436" s="1" t="s">
        <v>62</v>
      </c>
      <c r="O1436" s="15" t="s">
        <v>40</v>
      </c>
      <c r="P1436" s="15" t="s">
        <v>41</v>
      </c>
      <c r="Q1436" s="1" t="s">
        <v>7225</v>
      </c>
      <c r="R1436" s="2" t="s">
        <v>7195</v>
      </c>
      <c r="S1436" s="1" t="s">
        <v>7226</v>
      </c>
      <c r="T1436" s="1" t="s">
        <v>2948</v>
      </c>
      <c r="U1436" s="1" t="s">
        <v>7227</v>
      </c>
      <c r="V1436" s="1" t="s">
        <v>45</v>
      </c>
      <c r="W1436" s="1"/>
      <c r="X1436" s="1"/>
      <c r="Y1436" s="1"/>
      <c r="Z1436" s="1" t="s">
        <v>673</v>
      </c>
      <c r="AA1436" s="1" t="s">
        <v>46</v>
      </c>
      <c r="AB1436" s="1" t="s">
        <v>7228</v>
      </c>
      <c r="AC1436" s="1" t="s">
        <v>46</v>
      </c>
      <c r="AD1436" s="1"/>
      <c r="AE1436" s="1" t="s">
        <v>641</v>
      </c>
      <c r="AF1436" s="1" t="s">
        <v>190</v>
      </c>
      <c r="AG1436" s="1">
        <v>6</v>
      </c>
      <c r="AH1436" s="1" t="s">
        <v>45</v>
      </c>
      <c r="AI1436" s="1"/>
      <c r="AJ1436" s="3">
        <v>43259.695486111108</v>
      </c>
      <c r="AK1436" s="1" t="s">
        <v>7022</v>
      </c>
    </row>
    <row r="1437" spans="1:37">
      <c r="A1437" s="1" t="str">
        <f>VLOOKUP(H1437,Languages!$A$2:$B$430,2,FALSE)</f>
        <v>Kartvelian</v>
      </c>
      <c r="B1437" s="1" t="s">
        <v>1738</v>
      </c>
      <c r="C1437" s="1" t="s">
        <v>7017</v>
      </c>
      <c r="D1437" s="1" t="s">
        <v>60</v>
      </c>
      <c r="E1437" s="15" t="s">
        <v>61</v>
      </c>
      <c r="F1437" s="15" t="s">
        <v>61</v>
      </c>
      <c r="G1437" s="1" t="s">
        <v>61</v>
      </c>
      <c r="H1437" s="1" t="str">
        <f>VLOOKUP(G1437,'languoid 4.0'!$A$1:$I$24439,2,FALSE)</f>
        <v>kart1248</v>
      </c>
      <c r="I1437" s="1" t="str">
        <f>VLOOKUP(G1437,'languoid 4.0'!$A$1:$I$24439,6,FALSE)</f>
        <v>language</v>
      </c>
      <c r="J1437" s="15" t="s">
        <v>38</v>
      </c>
      <c r="K1437" s="15" t="s">
        <v>38</v>
      </c>
      <c r="L1437" s="15" t="s">
        <v>38</v>
      </c>
      <c r="M1437" s="1"/>
      <c r="N1437" s="1" t="s">
        <v>62</v>
      </c>
      <c r="O1437" s="15" t="s">
        <v>40</v>
      </c>
      <c r="P1437" s="15" t="s">
        <v>41</v>
      </c>
      <c r="Q1437" s="1" t="s">
        <v>8051</v>
      </c>
      <c r="R1437" s="2" t="s">
        <v>8048</v>
      </c>
      <c r="S1437" s="1" t="s">
        <v>471</v>
      </c>
      <c r="T1437" s="1" t="s">
        <v>2948</v>
      </c>
      <c r="U1437" s="1" t="s">
        <v>1897</v>
      </c>
      <c r="V1437" s="1" t="s">
        <v>45</v>
      </c>
      <c r="W1437" s="1"/>
      <c r="X1437" s="1"/>
      <c r="Y1437" s="1"/>
      <c r="Z1437" s="1" t="s">
        <v>673</v>
      </c>
      <c r="AA1437" s="1" t="s">
        <v>46</v>
      </c>
      <c r="AB1437" s="1" t="s">
        <v>8052</v>
      </c>
      <c r="AC1437" s="1" t="s">
        <v>46</v>
      </c>
      <c r="AD1437" s="1"/>
      <c r="AE1437" s="1" t="s">
        <v>641</v>
      </c>
      <c r="AF1437" s="1" t="s">
        <v>190</v>
      </c>
      <c r="AG1437" s="1">
        <v>6</v>
      </c>
      <c r="AH1437" s="1" t="s">
        <v>190</v>
      </c>
      <c r="AI1437" s="1"/>
      <c r="AJ1437" s="1" t="s">
        <v>8053</v>
      </c>
      <c r="AK1437" s="1" t="s">
        <v>7022</v>
      </c>
    </row>
    <row r="1438" spans="1:37">
      <c r="A1438" s="1" t="str">
        <f>VLOOKUP(H1438,Languages!$A$2:$B$430,2,FALSE)</f>
        <v>Kartvelian</v>
      </c>
      <c r="B1438" s="1" t="s">
        <v>1812</v>
      </c>
      <c r="C1438" s="1" t="s">
        <v>7017</v>
      </c>
      <c r="D1438" s="1" t="s">
        <v>60</v>
      </c>
      <c r="E1438" s="15" t="s">
        <v>61</v>
      </c>
      <c r="F1438" s="15" t="s">
        <v>61</v>
      </c>
      <c r="G1438" s="1" t="s">
        <v>61</v>
      </c>
      <c r="H1438" s="1" t="str">
        <f>VLOOKUP(G1438,'languoid 4.0'!$A$1:$I$24439,2,FALSE)</f>
        <v>kart1248</v>
      </c>
      <c r="I1438" s="1" t="str">
        <f>VLOOKUP(G1438,'languoid 4.0'!$A$1:$I$24439,6,FALSE)</f>
        <v>language</v>
      </c>
      <c r="J1438" s="15" t="s">
        <v>38</v>
      </c>
      <c r="K1438" s="15" t="s">
        <v>38</v>
      </c>
      <c r="L1438" s="15" t="s">
        <v>38</v>
      </c>
      <c r="M1438" s="1"/>
      <c r="N1438" s="1" t="s">
        <v>62</v>
      </c>
      <c r="O1438" s="15" t="s">
        <v>40</v>
      </c>
      <c r="P1438" s="15" t="s">
        <v>41</v>
      </c>
      <c r="Q1438" s="1" t="s">
        <v>7018</v>
      </c>
      <c r="R1438" s="2" t="s">
        <v>7019</v>
      </c>
      <c r="S1438" s="1" t="s">
        <v>46</v>
      </c>
      <c r="T1438" s="1" t="s">
        <v>635</v>
      </c>
      <c r="U1438" s="1" t="s">
        <v>1750</v>
      </c>
      <c r="V1438" s="1" t="s">
        <v>45</v>
      </c>
      <c r="W1438" s="1"/>
      <c r="X1438" s="1"/>
      <c r="Y1438" s="1"/>
      <c r="Z1438" s="1" t="s">
        <v>637</v>
      </c>
      <c r="AA1438" s="1" t="s">
        <v>7020</v>
      </c>
      <c r="AB1438" s="1" t="s">
        <v>7021</v>
      </c>
      <c r="AC1438" s="1" t="s">
        <v>46</v>
      </c>
      <c r="AD1438" s="1"/>
      <c r="AE1438" s="1" t="s">
        <v>641</v>
      </c>
      <c r="AF1438" s="1" t="s">
        <v>190</v>
      </c>
      <c r="AG1438" s="1">
        <v>6</v>
      </c>
      <c r="AH1438" s="1" t="s">
        <v>190</v>
      </c>
      <c r="AI1438" s="1"/>
      <c r="AJ1438" s="3">
        <v>43108.729837962965</v>
      </c>
      <c r="AK1438" s="1" t="s">
        <v>7022</v>
      </c>
    </row>
    <row r="1439" spans="1:37">
      <c r="A1439" s="1" t="str">
        <f>VLOOKUP(H1439,Languages!$A$2:$B$430,2,FALSE)</f>
        <v>Kartvelian</v>
      </c>
      <c r="B1439" s="1" t="s">
        <v>1812</v>
      </c>
      <c r="C1439" s="1" t="s">
        <v>7017</v>
      </c>
      <c r="D1439" s="1" t="s">
        <v>60</v>
      </c>
      <c r="E1439" s="15" t="s">
        <v>61</v>
      </c>
      <c r="F1439" s="15" t="s">
        <v>61</v>
      </c>
      <c r="G1439" s="1" t="s">
        <v>61</v>
      </c>
      <c r="H1439" s="1" t="str">
        <f>VLOOKUP(G1439,'languoid 4.0'!$A$1:$I$24439,2,FALSE)</f>
        <v>kart1248</v>
      </c>
      <c r="I1439" s="1" t="str">
        <f>VLOOKUP(G1439,'languoid 4.0'!$A$1:$I$24439,6,FALSE)</f>
        <v>language</v>
      </c>
      <c r="J1439" s="15" t="s">
        <v>38</v>
      </c>
      <c r="K1439" s="15" t="s">
        <v>38</v>
      </c>
      <c r="L1439" s="15" t="s">
        <v>38</v>
      </c>
      <c r="M1439" s="1"/>
      <c r="N1439" s="1" t="s">
        <v>62</v>
      </c>
      <c r="O1439" s="15" t="s">
        <v>40</v>
      </c>
      <c r="P1439" s="15" t="s">
        <v>41</v>
      </c>
      <c r="Q1439" s="1" t="s">
        <v>7023</v>
      </c>
      <c r="R1439" s="2" t="s">
        <v>7024</v>
      </c>
      <c r="S1439" s="1" t="s">
        <v>46</v>
      </c>
      <c r="T1439" s="1" t="s">
        <v>635</v>
      </c>
      <c r="U1439" s="1" t="s">
        <v>636</v>
      </c>
      <c r="V1439" s="1" t="s">
        <v>45</v>
      </c>
      <c r="W1439" s="1"/>
      <c r="X1439" s="1"/>
      <c r="Y1439" s="1"/>
      <c r="Z1439" s="1" t="s">
        <v>673</v>
      </c>
      <c r="AA1439" s="1" t="s">
        <v>46</v>
      </c>
      <c r="AB1439" s="1" t="s">
        <v>7025</v>
      </c>
      <c r="AC1439" s="1" t="s">
        <v>46</v>
      </c>
      <c r="AD1439" s="1"/>
      <c r="AE1439" s="1" t="s">
        <v>641</v>
      </c>
      <c r="AF1439" s="1" t="s">
        <v>190</v>
      </c>
      <c r="AG1439" s="1">
        <v>6</v>
      </c>
      <c r="AH1439" s="1" t="s">
        <v>190</v>
      </c>
      <c r="AI1439" s="1"/>
      <c r="AJ1439" s="3">
        <v>43108.74114583333</v>
      </c>
      <c r="AK1439" s="1" t="s">
        <v>7022</v>
      </c>
    </row>
    <row r="1440" spans="1:37">
      <c r="A1440" s="1" t="str">
        <f>VLOOKUP(H1440,Languages!$A$2:$B$430,2,FALSE)</f>
        <v>Kartvelian</v>
      </c>
      <c r="B1440" s="1" t="s">
        <v>1812</v>
      </c>
      <c r="C1440" s="1" t="s">
        <v>7017</v>
      </c>
      <c r="D1440" s="1" t="s">
        <v>60</v>
      </c>
      <c r="E1440" s="15" t="s">
        <v>61</v>
      </c>
      <c r="F1440" s="15" t="s">
        <v>61</v>
      </c>
      <c r="G1440" s="1" t="s">
        <v>61</v>
      </c>
      <c r="H1440" s="1" t="str">
        <f>VLOOKUP(G1440,'languoid 4.0'!$A$1:$I$24439,2,FALSE)</f>
        <v>kart1248</v>
      </c>
      <c r="I1440" s="1" t="str">
        <f>VLOOKUP(G1440,'languoid 4.0'!$A$1:$I$24439,6,FALSE)</f>
        <v>language</v>
      </c>
      <c r="J1440" s="15" t="s">
        <v>38</v>
      </c>
      <c r="K1440" s="15" t="s">
        <v>38</v>
      </c>
      <c r="L1440" s="15" t="s">
        <v>38</v>
      </c>
      <c r="M1440" s="1"/>
      <c r="N1440" s="1" t="s">
        <v>62</v>
      </c>
      <c r="O1440" s="15" t="s">
        <v>40</v>
      </c>
      <c r="P1440" s="15" t="s">
        <v>41</v>
      </c>
      <c r="Q1440" s="1" t="s">
        <v>7034</v>
      </c>
      <c r="R1440" s="2" t="s">
        <v>7035</v>
      </c>
      <c r="S1440" s="1" t="s">
        <v>46</v>
      </c>
      <c r="T1440" s="1" t="s">
        <v>635</v>
      </c>
      <c r="U1440" s="1" t="s">
        <v>1750</v>
      </c>
      <c r="V1440" s="1" t="s">
        <v>45</v>
      </c>
      <c r="W1440" s="1"/>
      <c r="X1440" s="1"/>
      <c r="Y1440" s="1"/>
      <c r="Z1440" s="1" t="s">
        <v>637</v>
      </c>
      <c r="AA1440" s="1" t="s">
        <v>7036</v>
      </c>
      <c r="AB1440" s="1" t="s">
        <v>7037</v>
      </c>
      <c r="AC1440" s="1" t="s">
        <v>46</v>
      </c>
      <c r="AD1440" s="1"/>
      <c r="AE1440" s="1" t="s">
        <v>641</v>
      </c>
      <c r="AF1440" s="1" t="s">
        <v>190</v>
      </c>
      <c r="AG1440" s="1">
        <v>6</v>
      </c>
      <c r="AH1440" s="1" t="s">
        <v>190</v>
      </c>
      <c r="AI1440" s="1"/>
      <c r="AJ1440" s="3">
        <v>43108.759293981479</v>
      </c>
      <c r="AK1440" s="1" t="s">
        <v>7022</v>
      </c>
    </row>
    <row r="1441" spans="1:37">
      <c r="A1441" s="1" t="str">
        <f>VLOOKUP(H1441,Languages!$A$2:$B$430,2,FALSE)</f>
        <v>Kartvelian</v>
      </c>
      <c r="B1441" s="1" t="s">
        <v>1812</v>
      </c>
      <c r="C1441" s="1" t="s">
        <v>7017</v>
      </c>
      <c r="D1441" s="1" t="s">
        <v>60</v>
      </c>
      <c r="E1441" s="15" t="s">
        <v>61</v>
      </c>
      <c r="F1441" s="15" t="s">
        <v>61</v>
      </c>
      <c r="G1441" s="1" t="s">
        <v>61</v>
      </c>
      <c r="H1441" s="1" t="str">
        <f>VLOOKUP(G1441,'languoid 4.0'!$A$1:$I$24439,2,FALSE)</f>
        <v>kart1248</v>
      </c>
      <c r="I1441" s="1" t="str">
        <f>VLOOKUP(G1441,'languoid 4.0'!$A$1:$I$24439,6,FALSE)</f>
        <v>language</v>
      </c>
      <c r="J1441" s="15" t="s">
        <v>38</v>
      </c>
      <c r="K1441" s="15" t="s">
        <v>38</v>
      </c>
      <c r="L1441" s="15" t="s">
        <v>38</v>
      </c>
      <c r="M1441" s="1"/>
      <c r="N1441" s="1" t="s">
        <v>62</v>
      </c>
      <c r="O1441" s="15" t="s">
        <v>40</v>
      </c>
      <c r="P1441" s="15" t="s">
        <v>41</v>
      </c>
      <c r="Q1441" s="1" t="s">
        <v>7869</v>
      </c>
      <c r="R1441" s="2" t="s">
        <v>7368</v>
      </c>
      <c r="S1441" s="1" t="s">
        <v>7870</v>
      </c>
      <c r="T1441" s="1" t="s">
        <v>2948</v>
      </c>
      <c r="U1441" s="1" t="s">
        <v>636</v>
      </c>
      <c r="V1441" s="1" t="s">
        <v>45</v>
      </c>
      <c r="W1441" s="1"/>
      <c r="X1441" s="1"/>
      <c r="Y1441" s="1"/>
      <c r="Z1441" s="1" t="s">
        <v>1893</v>
      </c>
      <c r="AA1441" s="1" t="s">
        <v>46</v>
      </c>
      <c r="AB1441" s="1" t="s">
        <v>46</v>
      </c>
      <c r="AC1441" s="1" t="s">
        <v>7871</v>
      </c>
      <c r="AD1441" s="1" t="s">
        <v>7872</v>
      </c>
      <c r="AE1441" s="1" t="s">
        <v>641</v>
      </c>
      <c r="AF1441" s="1" t="s">
        <v>190</v>
      </c>
      <c r="AG1441" s="1">
        <v>6</v>
      </c>
      <c r="AH1441" s="1" t="s">
        <v>190</v>
      </c>
      <c r="AI1441" s="1"/>
      <c r="AJ1441" s="1" t="s">
        <v>7873</v>
      </c>
      <c r="AK1441" s="1" t="s">
        <v>7022</v>
      </c>
    </row>
    <row r="1442" spans="1:37">
      <c r="A1442" s="1" t="str">
        <f>VLOOKUP(H1442,Languages!$A$2:$B$430,2,FALSE)</f>
        <v>Kartvelian</v>
      </c>
      <c r="B1442" s="1" t="s">
        <v>1812</v>
      </c>
      <c r="C1442" s="1" t="s">
        <v>7017</v>
      </c>
      <c r="D1442" s="1" t="s">
        <v>60</v>
      </c>
      <c r="E1442" s="15" t="s">
        <v>61</v>
      </c>
      <c r="F1442" s="15" t="s">
        <v>61</v>
      </c>
      <c r="G1442" s="1" t="s">
        <v>61</v>
      </c>
      <c r="H1442" s="1" t="str">
        <f>VLOOKUP(G1442,'languoid 4.0'!$A$1:$I$24439,2,FALSE)</f>
        <v>kart1248</v>
      </c>
      <c r="I1442" s="1" t="str">
        <f>VLOOKUP(G1442,'languoid 4.0'!$A$1:$I$24439,6,FALSE)</f>
        <v>language</v>
      </c>
      <c r="J1442" s="15" t="s">
        <v>38</v>
      </c>
      <c r="K1442" s="15" t="s">
        <v>38</v>
      </c>
      <c r="L1442" s="15" t="s">
        <v>38</v>
      </c>
      <c r="M1442" s="1"/>
      <c r="N1442" s="1" t="s">
        <v>62</v>
      </c>
      <c r="O1442" s="15" t="s">
        <v>40</v>
      </c>
      <c r="P1442" s="15" t="s">
        <v>41</v>
      </c>
      <c r="Q1442" s="1" t="s">
        <v>8237</v>
      </c>
      <c r="R1442" s="2" t="s">
        <v>8048</v>
      </c>
      <c r="S1442" s="1" t="s">
        <v>523</v>
      </c>
      <c r="T1442" s="1" t="s">
        <v>2948</v>
      </c>
      <c r="U1442" s="1" t="s">
        <v>1750</v>
      </c>
      <c r="V1442" s="1" t="s">
        <v>45</v>
      </c>
      <c r="W1442" s="1"/>
      <c r="X1442" s="1"/>
      <c r="Y1442" s="1"/>
      <c r="Z1442" s="1" t="s">
        <v>673</v>
      </c>
      <c r="AA1442" s="1" t="s">
        <v>46</v>
      </c>
      <c r="AB1442" s="1" t="s">
        <v>8238</v>
      </c>
      <c r="AC1442" s="1" t="s">
        <v>46</v>
      </c>
      <c r="AD1442" s="1"/>
      <c r="AE1442" s="1" t="s">
        <v>641</v>
      </c>
      <c r="AF1442" s="1" t="s">
        <v>190</v>
      </c>
      <c r="AG1442" s="1">
        <v>6</v>
      </c>
      <c r="AH1442" s="1" t="s">
        <v>190</v>
      </c>
      <c r="AI1442" s="1"/>
      <c r="AJ1442" s="1" t="s">
        <v>8239</v>
      </c>
      <c r="AK1442" s="1" t="s">
        <v>7022</v>
      </c>
    </row>
    <row r="1443" spans="1:37">
      <c r="A1443" s="1" t="str">
        <f>VLOOKUP(H1443,Languages!$A$2:$B$430,2,FALSE)</f>
        <v>Kartvelian</v>
      </c>
      <c r="B1443" s="1" t="s">
        <v>1812</v>
      </c>
      <c r="C1443" s="1" t="s">
        <v>7017</v>
      </c>
      <c r="D1443" s="1" t="s">
        <v>60</v>
      </c>
      <c r="E1443" s="15" t="s">
        <v>61</v>
      </c>
      <c r="F1443" s="16" t="s">
        <v>61</v>
      </c>
      <c r="G1443" s="6" t="s">
        <v>61</v>
      </c>
      <c r="H1443" s="1" t="str">
        <f>VLOOKUP(G1443,'languoid 4.0'!$A$1:$I$24439,2,FALSE)</f>
        <v>kart1248</v>
      </c>
      <c r="I1443" s="1" t="str">
        <f>VLOOKUP(G1443,'languoid 4.0'!$A$1:$I$24439,6,FALSE)</f>
        <v>language</v>
      </c>
      <c r="J1443" s="15" t="s">
        <v>38</v>
      </c>
      <c r="K1443" s="15" t="s">
        <v>38</v>
      </c>
      <c r="L1443" s="15" t="s">
        <v>38</v>
      </c>
      <c r="M1443" s="1"/>
      <c r="N1443" s="1" t="s">
        <v>62</v>
      </c>
      <c r="O1443" s="15" t="s">
        <v>40</v>
      </c>
      <c r="P1443" s="15" t="s">
        <v>41</v>
      </c>
      <c r="Q1443" s="1" t="s">
        <v>8790</v>
      </c>
      <c r="R1443" s="2" t="s">
        <v>8618</v>
      </c>
      <c r="S1443" s="1" t="s">
        <v>8791</v>
      </c>
      <c r="T1443" s="1" t="s">
        <v>2948</v>
      </c>
      <c r="U1443" s="1" t="s">
        <v>1750</v>
      </c>
      <c r="V1443" s="1" t="s">
        <v>45</v>
      </c>
      <c r="W1443" s="1"/>
      <c r="X1443" s="1"/>
      <c r="Y1443" s="1"/>
      <c r="Z1443" s="1" t="s">
        <v>673</v>
      </c>
      <c r="AA1443" s="1" t="s">
        <v>46</v>
      </c>
      <c r="AB1443" s="1" t="s">
        <v>8792</v>
      </c>
      <c r="AC1443" s="1" t="s">
        <v>46</v>
      </c>
      <c r="AD1443" s="1"/>
      <c r="AE1443" s="1" t="s">
        <v>641</v>
      </c>
      <c r="AF1443" s="1" t="s">
        <v>190</v>
      </c>
      <c r="AG1443" s="1">
        <v>6</v>
      </c>
      <c r="AH1443" s="1" t="s">
        <v>190</v>
      </c>
      <c r="AI1443" s="1"/>
      <c r="AJ1443" s="3">
        <v>43352.526875000003</v>
      </c>
      <c r="AK1443" s="1" t="s">
        <v>7022</v>
      </c>
    </row>
    <row r="1444" spans="1:37">
      <c r="A1444" s="1" t="str">
        <f>VLOOKUP(H1444,Languages!$A$2:$B$430,2,FALSE)</f>
        <v>Kartvelian</v>
      </c>
      <c r="B1444" s="1" t="s">
        <v>1707</v>
      </c>
      <c r="C1444" s="1" t="s">
        <v>7017</v>
      </c>
      <c r="D1444" s="1" t="s">
        <v>7362</v>
      </c>
      <c r="E1444" s="15" t="s">
        <v>61</v>
      </c>
      <c r="F1444" s="15" t="s">
        <v>7363</v>
      </c>
      <c r="G1444" s="1" t="s">
        <v>7363</v>
      </c>
      <c r="H1444" s="1" t="str">
        <f>VLOOKUP(G1444,'languoid 4.0'!$A$1:$I$24439,2,FALSE)</f>
        <v>kart1248</v>
      </c>
      <c r="I1444" s="1" t="str">
        <f>VLOOKUP(G1444,'languoid 4.0'!$A$1:$I$24439,6,FALSE)</f>
        <v>dialect</v>
      </c>
      <c r="J1444" s="15" t="s">
        <v>52</v>
      </c>
      <c r="K1444" s="15" t="s">
        <v>38</v>
      </c>
      <c r="L1444" s="15" t="s">
        <v>38</v>
      </c>
      <c r="M1444" s="1"/>
      <c r="N1444" s="1" t="s">
        <v>62</v>
      </c>
      <c r="O1444" s="15" t="s">
        <v>40</v>
      </c>
      <c r="P1444" s="15" t="s">
        <v>41</v>
      </c>
      <c r="Q1444" s="1" t="s">
        <v>7364</v>
      </c>
      <c r="R1444" s="2" t="s">
        <v>7360</v>
      </c>
      <c r="S1444" s="1" t="s">
        <v>2714</v>
      </c>
      <c r="T1444" s="1" t="s">
        <v>2948</v>
      </c>
      <c r="U1444" s="1" t="s">
        <v>636</v>
      </c>
      <c r="V1444" s="1" t="s">
        <v>45</v>
      </c>
      <c r="W1444" s="1"/>
      <c r="X1444" s="1"/>
      <c r="Y1444" s="1"/>
      <c r="Z1444" s="1" t="s">
        <v>673</v>
      </c>
      <c r="AA1444" s="1" t="s">
        <v>46</v>
      </c>
      <c r="AB1444" s="1" t="s">
        <v>7365</v>
      </c>
      <c r="AC1444" s="1" t="s">
        <v>46</v>
      </c>
      <c r="AD1444" s="1"/>
      <c r="AE1444" s="1" t="s">
        <v>641</v>
      </c>
      <c r="AF1444" s="1" t="s">
        <v>190</v>
      </c>
      <c r="AG1444" s="1">
        <v>6</v>
      </c>
      <c r="AH1444" s="1" t="s">
        <v>190</v>
      </c>
      <c r="AI1444" s="1"/>
      <c r="AJ1444" s="3">
        <v>43442.641608796293</v>
      </c>
      <c r="AK1444" s="1" t="s">
        <v>7022</v>
      </c>
    </row>
    <row r="1445" spans="1:37">
      <c r="A1445" s="1" t="str">
        <f>VLOOKUP(H1445,Languages!$A$2:$B$430,2,FALSE)</f>
        <v>Kartvelian</v>
      </c>
      <c r="B1445" s="1" t="s">
        <v>1707</v>
      </c>
      <c r="C1445" s="1" t="s">
        <v>7017</v>
      </c>
      <c r="D1445" s="1" t="s">
        <v>60</v>
      </c>
      <c r="E1445" s="15" t="s">
        <v>61</v>
      </c>
      <c r="F1445" s="15" t="s">
        <v>61</v>
      </c>
      <c r="G1445" s="1" t="s">
        <v>61</v>
      </c>
      <c r="H1445" s="1" t="str">
        <f>VLOOKUP(G1445,'languoid 4.0'!$A$1:$I$24439,2,FALSE)</f>
        <v>kart1248</v>
      </c>
      <c r="I1445" s="1" t="str">
        <f>VLOOKUP(G1445,'languoid 4.0'!$A$1:$I$24439,6,FALSE)</f>
        <v>language</v>
      </c>
      <c r="J1445" s="15" t="s">
        <v>38</v>
      </c>
      <c r="K1445" s="15" t="s">
        <v>38</v>
      </c>
      <c r="L1445" s="15" t="s">
        <v>38</v>
      </c>
      <c r="M1445" s="1"/>
      <c r="N1445" s="1" t="s">
        <v>62</v>
      </c>
      <c r="O1445" s="15" t="s">
        <v>40</v>
      </c>
      <c r="P1445" s="15" t="s">
        <v>41</v>
      </c>
      <c r="Q1445" s="1" t="s">
        <v>8231</v>
      </c>
      <c r="R1445" s="2" t="s">
        <v>8048</v>
      </c>
      <c r="S1445" s="1" t="s">
        <v>272</v>
      </c>
      <c r="T1445" s="1" t="s">
        <v>2948</v>
      </c>
      <c r="U1445" s="1" t="s">
        <v>636</v>
      </c>
      <c r="V1445" s="1" t="s">
        <v>45</v>
      </c>
      <c r="W1445" s="1"/>
      <c r="X1445" s="1"/>
      <c r="Y1445" s="1"/>
      <c r="Z1445" s="1" t="s">
        <v>637</v>
      </c>
      <c r="AA1445" s="1" t="s">
        <v>8232</v>
      </c>
      <c r="AB1445" s="1" t="s">
        <v>8233</v>
      </c>
      <c r="AC1445" s="1" t="s">
        <v>46</v>
      </c>
      <c r="AD1445" s="1"/>
      <c r="AE1445" s="1" t="s">
        <v>641</v>
      </c>
      <c r="AF1445" s="1" t="s">
        <v>190</v>
      </c>
      <c r="AG1445" s="1">
        <v>6</v>
      </c>
      <c r="AH1445" s="1" t="s">
        <v>190</v>
      </c>
      <c r="AI1445" s="1"/>
      <c r="AJ1445" s="1" t="s">
        <v>8234</v>
      </c>
      <c r="AK1445" s="1" t="s">
        <v>7022</v>
      </c>
    </row>
    <row r="1446" spans="1:37">
      <c r="A1446" s="1" t="str">
        <f>VLOOKUP(H1446,Languages!$A$2:$B$430,2,FALSE)</f>
        <v>Kartvelian</v>
      </c>
      <c r="B1446" s="1" t="s">
        <v>1707</v>
      </c>
      <c r="C1446" s="1" t="s">
        <v>7017</v>
      </c>
      <c r="D1446" s="1" t="s">
        <v>60</v>
      </c>
      <c r="E1446" s="15" t="s">
        <v>61</v>
      </c>
      <c r="F1446" s="15" t="s">
        <v>61</v>
      </c>
      <c r="G1446" s="1" t="s">
        <v>61</v>
      </c>
      <c r="H1446" s="1" t="str">
        <f>VLOOKUP(G1446,'languoid 4.0'!$A$1:$I$24439,2,FALSE)</f>
        <v>kart1248</v>
      </c>
      <c r="I1446" s="1" t="str">
        <f>VLOOKUP(G1446,'languoid 4.0'!$A$1:$I$24439,6,FALSE)</f>
        <v>language</v>
      </c>
      <c r="J1446" s="15" t="s">
        <v>38</v>
      </c>
      <c r="K1446" s="15" t="s">
        <v>38</v>
      </c>
      <c r="L1446" s="15" t="s">
        <v>38</v>
      </c>
      <c r="M1446" s="1"/>
      <c r="N1446" s="1" t="s">
        <v>62</v>
      </c>
      <c r="O1446" s="15" t="s">
        <v>40</v>
      </c>
      <c r="P1446" s="15" t="s">
        <v>41</v>
      </c>
      <c r="Q1446" s="1" t="s">
        <v>8634</v>
      </c>
      <c r="R1446" s="2" t="s">
        <v>8618</v>
      </c>
      <c r="S1446" s="1" t="s">
        <v>197</v>
      </c>
      <c r="T1446" s="1" t="s">
        <v>2948</v>
      </c>
      <c r="U1446" s="1" t="s">
        <v>636</v>
      </c>
      <c r="V1446" s="1" t="s">
        <v>45</v>
      </c>
      <c r="W1446" s="1"/>
      <c r="X1446" s="1"/>
      <c r="Y1446" s="1"/>
      <c r="Z1446" s="1" t="s">
        <v>673</v>
      </c>
      <c r="AA1446" s="1" t="s">
        <v>46</v>
      </c>
      <c r="AB1446" s="1" t="s">
        <v>8635</v>
      </c>
      <c r="AC1446" s="1" t="s">
        <v>46</v>
      </c>
      <c r="AD1446" s="1"/>
      <c r="AE1446" s="1" t="s">
        <v>641</v>
      </c>
      <c r="AF1446" s="1" t="s">
        <v>190</v>
      </c>
      <c r="AG1446" s="1">
        <v>6</v>
      </c>
      <c r="AH1446" s="1" t="s">
        <v>190</v>
      </c>
      <c r="AI1446" s="1"/>
      <c r="AJ1446" s="3">
        <v>43229.138923611114</v>
      </c>
      <c r="AK1446" s="1" t="s">
        <v>7022</v>
      </c>
    </row>
    <row r="1447" spans="1:37">
      <c r="A1447" s="1" t="str">
        <f>VLOOKUP(H1447,Languages!$A$2:$B$430,2,FALSE)</f>
        <v>Kartvelian</v>
      </c>
      <c r="B1447" s="1" t="s">
        <v>1707</v>
      </c>
      <c r="C1447" s="1" t="s">
        <v>7017</v>
      </c>
      <c r="D1447" s="1" t="s">
        <v>60</v>
      </c>
      <c r="E1447" s="15" t="s">
        <v>61</v>
      </c>
      <c r="F1447" s="16" t="s">
        <v>61</v>
      </c>
      <c r="G1447" s="6" t="s">
        <v>61</v>
      </c>
      <c r="H1447" s="1" t="str">
        <f>VLOOKUP(G1447,'languoid 4.0'!$A$1:$I$24439,2,FALSE)</f>
        <v>kart1248</v>
      </c>
      <c r="I1447" s="1" t="str">
        <f>VLOOKUP(G1447,'languoid 4.0'!$A$1:$I$24439,6,FALSE)</f>
        <v>language</v>
      </c>
      <c r="J1447" s="15" t="s">
        <v>38</v>
      </c>
      <c r="K1447" s="15" t="s">
        <v>38</v>
      </c>
      <c r="L1447" s="15" t="s">
        <v>38</v>
      </c>
      <c r="M1447" s="1"/>
      <c r="N1447" s="1" t="s">
        <v>62</v>
      </c>
      <c r="O1447" s="15" t="s">
        <v>40</v>
      </c>
      <c r="P1447" s="15" t="s">
        <v>41</v>
      </c>
      <c r="Q1447" s="1" t="s">
        <v>8804</v>
      </c>
      <c r="R1447" s="2" t="s">
        <v>8459</v>
      </c>
      <c r="S1447" s="1" t="s">
        <v>272</v>
      </c>
      <c r="T1447" s="1" t="s">
        <v>2948</v>
      </c>
      <c r="U1447" s="1" t="s">
        <v>636</v>
      </c>
      <c r="V1447" s="1" t="s">
        <v>45</v>
      </c>
      <c r="W1447" s="1"/>
      <c r="X1447" s="1"/>
      <c r="Y1447" s="1"/>
      <c r="Z1447" s="1" t="s">
        <v>673</v>
      </c>
      <c r="AA1447" s="1" t="s">
        <v>46</v>
      </c>
      <c r="AB1447" s="1" t="s">
        <v>8805</v>
      </c>
      <c r="AC1447" s="1" t="s">
        <v>46</v>
      </c>
      <c r="AD1447" s="1"/>
      <c r="AE1447" s="1" t="s">
        <v>641</v>
      </c>
      <c r="AF1447" s="1" t="s">
        <v>190</v>
      </c>
      <c r="AG1447" s="1">
        <v>5</v>
      </c>
      <c r="AH1447" s="1" t="s">
        <v>190</v>
      </c>
      <c r="AI1447" s="1"/>
      <c r="AJ1447" s="3">
        <v>43352.567696759259</v>
      </c>
      <c r="AK1447" s="1" t="s">
        <v>7022</v>
      </c>
    </row>
    <row r="1448" spans="1:37">
      <c r="A1448" s="1" t="str">
        <f>VLOOKUP(H1448,Languages!$A$2:$B$430,2,FALSE)</f>
        <v>Kartvelian</v>
      </c>
      <c r="B1448" s="1" t="s">
        <v>1707</v>
      </c>
      <c r="C1448" s="1" t="s">
        <v>7017</v>
      </c>
      <c r="D1448" s="1" t="s">
        <v>60</v>
      </c>
      <c r="E1448" s="15" t="s">
        <v>61</v>
      </c>
      <c r="F1448" s="16" t="s">
        <v>61</v>
      </c>
      <c r="G1448" s="6" t="s">
        <v>61</v>
      </c>
      <c r="H1448" s="1" t="str">
        <f>VLOOKUP(G1448,'languoid 4.0'!$A$1:$I$24439,2,FALSE)</f>
        <v>kart1248</v>
      </c>
      <c r="I1448" s="1" t="str">
        <f>VLOOKUP(G1448,'languoid 4.0'!$A$1:$I$24439,6,FALSE)</f>
        <v>language</v>
      </c>
      <c r="J1448" s="15" t="s">
        <v>38</v>
      </c>
      <c r="K1448" s="15" t="s">
        <v>38</v>
      </c>
      <c r="L1448" s="15" t="s">
        <v>38</v>
      </c>
      <c r="M1448" s="1"/>
      <c r="N1448" s="1" t="s">
        <v>62</v>
      </c>
      <c r="O1448" s="15" t="s">
        <v>40</v>
      </c>
      <c r="P1448" s="15" t="s">
        <v>41</v>
      </c>
      <c r="Q1448" s="1" t="s">
        <v>8848</v>
      </c>
      <c r="R1448" s="2" t="s">
        <v>8844</v>
      </c>
      <c r="S1448" s="1" t="s">
        <v>81</v>
      </c>
      <c r="T1448" s="1" t="s">
        <v>2948</v>
      </c>
      <c r="U1448" s="1" t="s">
        <v>636</v>
      </c>
      <c r="V1448" s="1" t="s">
        <v>45</v>
      </c>
      <c r="W1448" s="1"/>
      <c r="X1448" s="1"/>
      <c r="Y1448" s="1"/>
      <c r="Z1448" s="1" t="s">
        <v>1151</v>
      </c>
      <c r="AA1448" s="1" t="s">
        <v>46</v>
      </c>
      <c r="AB1448" s="1" t="s">
        <v>8849</v>
      </c>
      <c r="AC1448" s="1" t="s">
        <v>8850</v>
      </c>
      <c r="AD1448" s="1"/>
      <c r="AE1448" s="1" t="s">
        <v>641</v>
      </c>
      <c r="AF1448" s="1" t="s">
        <v>190</v>
      </c>
      <c r="AG1448" s="1">
        <v>6</v>
      </c>
      <c r="AH1448" s="1" t="s">
        <v>190</v>
      </c>
      <c r="AI1448" s="1"/>
      <c r="AJ1448" s="3">
        <v>43413.219166666669</v>
      </c>
      <c r="AK1448" s="1" t="s">
        <v>7022</v>
      </c>
    </row>
    <row r="1449" spans="1:37">
      <c r="A1449" s="1" t="str">
        <f>VLOOKUP(H1449,Languages!$A$2:$B$430,2,FALSE)</f>
        <v>Kartvelian</v>
      </c>
      <c r="B1449" s="1" t="s">
        <v>1707</v>
      </c>
      <c r="C1449" s="1" t="s">
        <v>7017</v>
      </c>
      <c r="D1449" s="1" t="s">
        <v>60</v>
      </c>
      <c r="E1449" s="15" t="s">
        <v>61</v>
      </c>
      <c r="F1449" s="16" t="s">
        <v>61</v>
      </c>
      <c r="G1449" s="6" t="s">
        <v>61</v>
      </c>
      <c r="H1449" s="1" t="str">
        <f>VLOOKUP(G1449,'languoid 4.0'!$A$1:$I$24439,2,FALSE)</f>
        <v>kart1248</v>
      </c>
      <c r="I1449" s="1" t="str">
        <f>VLOOKUP(G1449,'languoid 4.0'!$A$1:$I$24439,6,FALSE)</f>
        <v>language</v>
      </c>
      <c r="J1449" s="15" t="s">
        <v>38</v>
      </c>
      <c r="K1449" s="15" t="s">
        <v>38</v>
      </c>
      <c r="L1449" s="15" t="s">
        <v>38</v>
      </c>
      <c r="M1449" s="1"/>
      <c r="N1449" s="1" t="s">
        <v>62</v>
      </c>
      <c r="O1449" s="15" t="s">
        <v>40</v>
      </c>
      <c r="P1449" s="15" t="s">
        <v>41</v>
      </c>
      <c r="Q1449" s="1" t="s">
        <v>8854</v>
      </c>
      <c r="R1449" s="2" t="s">
        <v>8844</v>
      </c>
      <c r="S1449" s="1" t="s">
        <v>123</v>
      </c>
      <c r="T1449" s="1" t="s">
        <v>2948</v>
      </c>
      <c r="U1449" s="1" t="s">
        <v>636</v>
      </c>
      <c r="V1449" s="1" t="s">
        <v>45</v>
      </c>
      <c r="W1449" s="1"/>
      <c r="X1449" s="1"/>
      <c r="Y1449" s="1"/>
      <c r="Z1449" s="1" t="s">
        <v>673</v>
      </c>
      <c r="AA1449" s="1" t="s">
        <v>46</v>
      </c>
      <c r="AB1449" s="1" t="s">
        <v>8855</v>
      </c>
      <c r="AC1449" s="1" t="s">
        <v>46</v>
      </c>
      <c r="AD1449" s="1"/>
      <c r="AE1449" s="1" t="s">
        <v>641</v>
      </c>
      <c r="AF1449" s="1" t="s">
        <v>190</v>
      </c>
      <c r="AG1449" s="1">
        <v>6</v>
      </c>
      <c r="AH1449" s="1" t="s">
        <v>190</v>
      </c>
      <c r="AI1449" s="1"/>
      <c r="AJ1449" s="3">
        <v>43413.243356481478</v>
      </c>
      <c r="AK1449" s="1" t="s">
        <v>7022</v>
      </c>
    </row>
    <row r="1450" spans="1:37">
      <c r="A1450" s="1" t="str">
        <f>VLOOKUP(H1450,Languages!$A$2:$B$430,2,FALSE)</f>
        <v>Kawesqar</v>
      </c>
      <c r="B1450" s="1" t="s">
        <v>109</v>
      </c>
      <c r="C1450" s="1" t="s">
        <v>206</v>
      </c>
      <c r="D1450" s="1" t="s">
        <v>524</v>
      </c>
      <c r="E1450" s="15" t="s">
        <v>525</v>
      </c>
      <c r="F1450" s="15" t="s">
        <v>51</v>
      </c>
      <c r="G1450" s="1" t="s">
        <v>526</v>
      </c>
      <c r="H1450" s="1" t="str">
        <f>VLOOKUP(G1450,'languoid 4.0'!$A$1:$I$24439,2,FALSE)</f>
        <v>kawe1237</v>
      </c>
      <c r="I1450" s="1" t="str">
        <f>VLOOKUP(G1450,'languoid 4.0'!$A$1:$I$24439,6,FALSE)</f>
        <v>language</v>
      </c>
      <c r="J1450" s="15" t="s">
        <v>52</v>
      </c>
      <c r="K1450" s="15" t="s">
        <v>51</v>
      </c>
      <c r="L1450" s="15" t="s">
        <v>51</v>
      </c>
      <c r="M1450" s="1"/>
      <c r="N1450" s="1"/>
      <c r="O1450" s="15" t="s">
        <v>113</v>
      </c>
      <c r="P1450" s="15" t="s">
        <v>41</v>
      </c>
      <c r="Q1450" s="1" t="s">
        <v>527</v>
      </c>
      <c r="R1450" s="2" t="s">
        <v>528</v>
      </c>
      <c r="S1450" s="1" t="s">
        <v>529</v>
      </c>
      <c r="T1450" s="1" t="s">
        <v>44</v>
      </c>
      <c r="U1450" s="1"/>
      <c r="V1450" s="1" t="s">
        <v>45</v>
      </c>
      <c r="W1450" s="1"/>
      <c r="X1450" s="1"/>
      <c r="Y1450" s="1"/>
      <c r="Z1450" s="1"/>
      <c r="AA1450" s="1">
        <v>1</v>
      </c>
      <c r="AB1450" s="1" t="s">
        <v>46</v>
      </c>
      <c r="AC1450" s="1" t="s">
        <v>46</v>
      </c>
      <c r="AD1450" s="1"/>
      <c r="AE1450" s="1"/>
      <c r="AF1450" s="1"/>
      <c r="AG1450" s="1"/>
      <c r="AH1450" s="1"/>
      <c r="AI1450" s="1"/>
      <c r="AJ1450" s="3">
        <v>43102.753831018519</v>
      </c>
      <c r="AK1450" s="1" t="s">
        <v>172</v>
      </c>
    </row>
    <row r="1451" spans="1:37">
      <c r="A1451" s="1" t="str">
        <f>VLOOKUP(H1451,Languages!$A$2:$B$430,2,FALSE)</f>
        <v>Kawesqar</v>
      </c>
      <c r="B1451" s="1" t="s">
        <v>109</v>
      </c>
      <c r="C1451" s="1" t="s">
        <v>206</v>
      </c>
      <c r="D1451" s="1" t="s">
        <v>10769</v>
      </c>
      <c r="E1451" s="15" t="s">
        <v>526</v>
      </c>
      <c r="F1451" s="15" t="s">
        <v>526</v>
      </c>
      <c r="G1451" s="1" t="s">
        <v>526</v>
      </c>
      <c r="H1451" s="1" t="str">
        <f>VLOOKUP(G1451,'languoid 4.0'!$A$1:$I$24439,2,FALSE)</f>
        <v>kawe1237</v>
      </c>
      <c r="I1451" s="1" t="str">
        <f>VLOOKUP(G1451,'languoid 4.0'!$A$1:$I$24439,6,FALSE)</f>
        <v>language</v>
      </c>
      <c r="J1451" s="15" t="s">
        <v>38</v>
      </c>
      <c r="K1451" s="15" t="s">
        <v>38</v>
      </c>
      <c r="L1451" s="15" t="s">
        <v>38</v>
      </c>
      <c r="M1451" s="1"/>
      <c r="N1451" s="1" t="s">
        <v>10770</v>
      </c>
      <c r="O1451" s="15" t="s">
        <v>40</v>
      </c>
      <c r="P1451" s="15" t="s">
        <v>41</v>
      </c>
      <c r="Q1451" s="1" t="s">
        <v>11493</v>
      </c>
      <c r="R1451" s="2" t="s">
        <v>11494</v>
      </c>
      <c r="S1451" s="1" t="s">
        <v>399</v>
      </c>
      <c r="T1451" s="1" t="s">
        <v>657</v>
      </c>
      <c r="U1451" s="1" t="s">
        <v>636</v>
      </c>
      <c r="V1451" s="1" t="s">
        <v>45</v>
      </c>
      <c r="W1451" s="1"/>
      <c r="X1451" s="1"/>
      <c r="Y1451" s="1"/>
      <c r="Z1451" s="1" t="s">
        <v>673</v>
      </c>
      <c r="AA1451" s="1" t="s">
        <v>46</v>
      </c>
      <c r="AB1451" s="1" t="s">
        <v>11495</v>
      </c>
      <c r="AC1451" s="1" t="s">
        <v>46</v>
      </c>
      <c r="AD1451" s="1"/>
      <c r="AE1451" s="1" t="s">
        <v>641</v>
      </c>
      <c r="AF1451" s="1" t="s">
        <v>190</v>
      </c>
      <c r="AG1451" s="1">
        <v>6</v>
      </c>
      <c r="AH1451" s="1" t="s">
        <v>190</v>
      </c>
      <c r="AI1451" s="1" t="s">
        <v>11496</v>
      </c>
      <c r="AJ1451" s="3">
        <v>43525.595972222225</v>
      </c>
      <c r="AK1451" s="1" t="s">
        <v>8686</v>
      </c>
    </row>
    <row r="1452" spans="1:37">
      <c r="A1452" s="1" t="str">
        <f>VLOOKUP(H1452,Languages!$A$2:$B$430,2,FALSE)</f>
        <v>Kawesqar</v>
      </c>
      <c r="B1452" s="1" t="s">
        <v>35</v>
      </c>
      <c r="C1452" s="1" t="s">
        <v>206</v>
      </c>
      <c r="D1452" s="1" t="s">
        <v>10769</v>
      </c>
      <c r="E1452" s="15" t="s">
        <v>526</v>
      </c>
      <c r="F1452" s="15" t="s">
        <v>526</v>
      </c>
      <c r="G1452" s="1" t="s">
        <v>526</v>
      </c>
      <c r="H1452" s="1" t="str">
        <f>VLOOKUP(G1452,'languoid 4.0'!$A$1:$I$24439,2,FALSE)</f>
        <v>kawe1237</v>
      </c>
      <c r="I1452" s="1" t="str">
        <f>VLOOKUP(G1452,'languoid 4.0'!$A$1:$I$24439,6,FALSE)</f>
        <v>language</v>
      </c>
      <c r="J1452" s="15" t="s">
        <v>38</v>
      </c>
      <c r="K1452" s="15" t="s">
        <v>38</v>
      </c>
      <c r="L1452" s="15" t="s">
        <v>38</v>
      </c>
      <c r="M1452" s="1"/>
      <c r="N1452" s="1" t="s">
        <v>10770</v>
      </c>
      <c r="O1452" s="15" t="s">
        <v>40</v>
      </c>
      <c r="P1452" s="15" t="s">
        <v>41</v>
      </c>
      <c r="Q1452" s="1" t="s">
        <v>10775</v>
      </c>
      <c r="R1452" s="2" t="s">
        <v>10772</v>
      </c>
      <c r="S1452" s="1" t="s">
        <v>557</v>
      </c>
      <c r="T1452" s="1" t="s">
        <v>657</v>
      </c>
      <c r="U1452" s="1" t="s">
        <v>636</v>
      </c>
      <c r="V1452" s="1" t="s">
        <v>45</v>
      </c>
      <c r="W1452" s="1"/>
      <c r="X1452" s="1"/>
      <c r="Y1452" s="1"/>
      <c r="Z1452" s="1" t="s">
        <v>1151</v>
      </c>
      <c r="AA1452" s="1" t="s">
        <v>46</v>
      </c>
      <c r="AB1452" s="1" t="s">
        <v>10776</v>
      </c>
      <c r="AC1452" s="1" t="s">
        <v>46</v>
      </c>
      <c r="AD1452" s="1"/>
      <c r="AE1452" s="1" t="s">
        <v>10777</v>
      </c>
      <c r="AF1452" s="1" t="s">
        <v>190</v>
      </c>
      <c r="AG1452" s="1">
        <v>6</v>
      </c>
      <c r="AH1452" s="1" t="s">
        <v>190</v>
      </c>
      <c r="AI1452" s="1" t="s">
        <v>10778</v>
      </c>
      <c r="AJ1452" s="3">
        <v>43263.828506944446</v>
      </c>
      <c r="AK1452" s="1" t="s">
        <v>8686</v>
      </c>
    </row>
    <row r="1453" spans="1:37">
      <c r="A1453" s="1" t="str">
        <f>VLOOKUP(H1453,Languages!$A$2:$B$430,2,FALSE)</f>
        <v>Kawesqar</v>
      </c>
      <c r="B1453" s="1" t="s">
        <v>652</v>
      </c>
      <c r="C1453" s="1" t="s">
        <v>206</v>
      </c>
      <c r="D1453" s="1" t="s">
        <v>10769</v>
      </c>
      <c r="E1453" s="15" t="s">
        <v>526</v>
      </c>
      <c r="F1453" s="15" t="s">
        <v>526</v>
      </c>
      <c r="G1453" s="1" t="s">
        <v>526</v>
      </c>
      <c r="H1453" s="1" t="str">
        <f>VLOOKUP(G1453,'languoid 4.0'!$A$1:$I$24439,2,FALSE)</f>
        <v>kawe1237</v>
      </c>
      <c r="I1453" s="1" t="str">
        <f>VLOOKUP(G1453,'languoid 4.0'!$A$1:$I$24439,6,FALSE)</f>
        <v>language</v>
      </c>
      <c r="J1453" s="15" t="s">
        <v>38</v>
      </c>
      <c r="K1453" s="15" t="s">
        <v>38</v>
      </c>
      <c r="L1453" s="15" t="s">
        <v>38</v>
      </c>
      <c r="M1453" s="1"/>
      <c r="N1453" s="1" t="s">
        <v>10770</v>
      </c>
      <c r="O1453" s="15" t="s">
        <v>40</v>
      </c>
      <c r="P1453" s="15" t="s">
        <v>41</v>
      </c>
      <c r="Q1453" s="1" t="s">
        <v>11571</v>
      </c>
      <c r="R1453" s="2" t="s">
        <v>11494</v>
      </c>
      <c r="S1453" s="1" t="s">
        <v>399</v>
      </c>
      <c r="T1453" s="1" t="s">
        <v>657</v>
      </c>
      <c r="U1453" s="1" t="s">
        <v>636</v>
      </c>
      <c r="V1453" s="1" t="s">
        <v>45</v>
      </c>
      <c r="W1453" s="1"/>
      <c r="X1453" s="1"/>
      <c r="Y1453" s="1"/>
      <c r="Z1453" s="1" t="s">
        <v>673</v>
      </c>
      <c r="AA1453" s="1" t="s">
        <v>46</v>
      </c>
      <c r="AB1453" s="1" t="s">
        <v>11572</v>
      </c>
      <c r="AC1453" s="1" t="s">
        <v>46</v>
      </c>
      <c r="AD1453" s="1"/>
      <c r="AE1453" s="1" t="s">
        <v>641</v>
      </c>
      <c r="AF1453" s="1" t="s">
        <v>190</v>
      </c>
      <c r="AG1453" s="1">
        <v>6</v>
      </c>
      <c r="AH1453" s="1" t="s">
        <v>190</v>
      </c>
      <c r="AI1453" s="1" t="s">
        <v>11573</v>
      </c>
      <c r="AJ1453" s="3">
        <v>43556.055995370371</v>
      </c>
      <c r="AK1453" s="1" t="s">
        <v>8686</v>
      </c>
    </row>
    <row r="1454" spans="1:37">
      <c r="A1454" s="1" t="str">
        <f>VLOOKUP(H1454,Languages!$A$2:$B$430,2,FALSE)</f>
        <v>Kawesqar</v>
      </c>
      <c r="B1454" s="1" t="s">
        <v>652</v>
      </c>
      <c r="C1454" s="1" t="s">
        <v>206</v>
      </c>
      <c r="D1454" s="1" t="s">
        <v>10769</v>
      </c>
      <c r="E1454" s="15" t="s">
        <v>526</v>
      </c>
      <c r="F1454" s="15" t="s">
        <v>526</v>
      </c>
      <c r="G1454" s="1" t="s">
        <v>526</v>
      </c>
      <c r="H1454" s="1" t="str">
        <f>VLOOKUP(G1454,'languoid 4.0'!$A$1:$I$24439,2,FALSE)</f>
        <v>kawe1237</v>
      </c>
      <c r="I1454" s="1" t="str">
        <f>VLOOKUP(G1454,'languoid 4.0'!$A$1:$I$24439,6,FALSE)</f>
        <v>language</v>
      </c>
      <c r="J1454" s="15" t="s">
        <v>38</v>
      </c>
      <c r="K1454" s="15" t="s">
        <v>38</v>
      </c>
      <c r="L1454" s="15" t="s">
        <v>38</v>
      </c>
      <c r="M1454" s="1"/>
      <c r="N1454" s="1" t="s">
        <v>10770</v>
      </c>
      <c r="O1454" s="15" t="s">
        <v>40</v>
      </c>
      <c r="P1454" s="15" t="s">
        <v>41</v>
      </c>
      <c r="Q1454" s="1" t="s">
        <v>11574</v>
      </c>
      <c r="R1454" s="2" t="s">
        <v>11575</v>
      </c>
      <c r="S1454" s="1" t="s">
        <v>656</v>
      </c>
      <c r="T1454" s="1" t="s">
        <v>657</v>
      </c>
      <c r="U1454" s="1" t="s">
        <v>636</v>
      </c>
      <c r="V1454" s="1" t="s">
        <v>45</v>
      </c>
      <c r="W1454" s="1"/>
      <c r="X1454" s="1"/>
      <c r="Y1454" s="1"/>
      <c r="Z1454" s="1" t="s">
        <v>673</v>
      </c>
      <c r="AA1454" s="1" t="s">
        <v>46</v>
      </c>
      <c r="AB1454" s="1" t="s">
        <v>11576</v>
      </c>
      <c r="AC1454" s="1" t="s">
        <v>46</v>
      </c>
      <c r="AD1454" s="1"/>
      <c r="AE1454" s="1" t="s">
        <v>641</v>
      </c>
      <c r="AF1454" s="1" t="s">
        <v>190</v>
      </c>
      <c r="AG1454" s="1">
        <v>6</v>
      </c>
      <c r="AH1454" s="1" t="s">
        <v>190</v>
      </c>
      <c r="AI1454" s="1" t="s">
        <v>11577</v>
      </c>
      <c r="AJ1454" s="3">
        <v>43556.059027777781</v>
      </c>
      <c r="AK1454" s="1" t="s">
        <v>8686</v>
      </c>
    </row>
    <row r="1455" spans="1:37">
      <c r="A1455" s="1" t="str">
        <f>VLOOKUP(H1455,Languages!$A$2:$B$430,2,FALSE)</f>
        <v>Kawesqar</v>
      </c>
      <c r="B1455" s="1" t="s">
        <v>1812</v>
      </c>
      <c r="C1455" s="1" t="s">
        <v>206</v>
      </c>
      <c r="D1455" s="1" t="s">
        <v>10769</v>
      </c>
      <c r="E1455" s="15" t="s">
        <v>526</v>
      </c>
      <c r="F1455" s="15" t="s">
        <v>526</v>
      </c>
      <c r="G1455" s="1" t="s">
        <v>526</v>
      </c>
      <c r="H1455" s="1" t="str">
        <f>VLOOKUP(G1455,'languoid 4.0'!$A$1:$I$24439,2,FALSE)</f>
        <v>kawe1237</v>
      </c>
      <c r="I1455" s="1" t="str">
        <f>VLOOKUP(G1455,'languoid 4.0'!$A$1:$I$24439,6,FALSE)</f>
        <v>language</v>
      </c>
      <c r="J1455" s="15" t="s">
        <v>38</v>
      </c>
      <c r="K1455" s="15" t="s">
        <v>38</v>
      </c>
      <c r="L1455" s="15" t="s">
        <v>38</v>
      </c>
      <c r="M1455" s="1"/>
      <c r="N1455" s="1" t="s">
        <v>10770</v>
      </c>
      <c r="O1455" s="15" t="s">
        <v>40</v>
      </c>
      <c r="P1455" s="15" t="s">
        <v>41</v>
      </c>
      <c r="Q1455" s="1" t="s">
        <v>11578</v>
      </c>
      <c r="R1455" s="2" t="s">
        <v>11575</v>
      </c>
      <c r="S1455" s="1" t="s">
        <v>656</v>
      </c>
      <c r="T1455" s="1" t="s">
        <v>657</v>
      </c>
      <c r="U1455" s="1" t="s">
        <v>11579</v>
      </c>
      <c r="V1455" s="1" t="s">
        <v>45</v>
      </c>
      <c r="W1455" s="1"/>
      <c r="X1455" s="1"/>
      <c r="Y1455" s="1"/>
      <c r="Z1455" s="1" t="s">
        <v>673</v>
      </c>
      <c r="AA1455" s="1" t="s">
        <v>11580</v>
      </c>
      <c r="AB1455" s="1" t="s">
        <v>11581</v>
      </c>
      <c r="AC1455" s="1" t="s">
        <v>46</v>
      </c>
      <c r="AD1455" s="1"/>
      <c r="AE1455" s="1" t="s">
        <v>641</v>
      </c>
      <c r="AF1455" s="1" t="s">
        <v>190</v>
      </c>
      <c r="AG1455" s="1">
        <v>6</v>
      </c>
      <c r="AH1455" s="1" t="s">
        <v>190</v>
      </c>
      <c r="AI1455" s="1" t="s">
        <v>11582</v>
      </c>
      <c r="AJ1455" s="3">
        <v>43556.064768518518</v>
      </c>
      <c r="AK1455" s="1" t="s">
        <v>8686</v>
      </c>
    </row>
    <row r="1456" spans="1:37">
      <c r="A1456" s="1" t="str">
        <f>VLOOKUP(H1456,Languages!$A$2:$B$430,2,FALSE)</f>
        <v>Kawesqar</v>
      </c>
      <c r="B1456" s="1" t="s">
        <v>1707</v>
      </c>
      <c r="C1456" s="1" t="s">
        <v>206</v>
      </c>
      <c r="D1456" s="1" t="s">
        <v>10769</v>
      </c>
      <c r="E1456" s="15" t="s">
        <v>526</v>
      </c>
      <c r="F1456" s="15" t="s">
        <v>526</v>
      </c>
      <c r="G1456" s="1" t="s">
        <v>526</v>
      </c>
      <c r="H1456" s="1" t="str">
        <f>VLOOKUP(G1456,'languoid 4.0'!$A$1:$I$24439,2,FALSE)</f>
        <v>kawe1237</v>
      </c>
      <c r="I1456" s="1" t="str">
        <f>VLOOKUP(G1456,'languoid 4.0'!$A$1:$I$24439,6,FALSE)</f>
        <v>language</v>
      </c>
      <c r="J1456" s="15" t="s">
        <v>38</v>
      </c>
      <c r="K1456" s="15" t="s">
        <v>38</v>
      </c>
      <c r="L1456" s="15" t="s">
        <v>38</v>
      </c>
      <c r="M1456" s="1"/>
      <c r="N1456" s="1" t="s">
        <v>10770</v>
      </c>
      <c r="O1456" s="15" t="s">
        <v>40</v>
      </c>
      <c r="P1456" s="15" t="s">
        <v>41</v>
      </c>
      <c r="Q1456" s="1" t="s">
        <v>10771</v>
      </c>
      <c r="R1456" s="2" t="s">
        <v>10772</v>
      </c>
      <c r="S1456" s="1" t="s">
        <v>557</v>
      </c>
      <c r="T1456" s="1" t="s">
        <v>657</v>
      </c>
      <c r="U1456" s="1" t="s">
        <v>636</v>
      </c>
      <c r="V1456" s="1" t="s">
        <v>45</v>
      </c>
      <c r="W1456" s="1"/>
      <c r="X1456" s="1"/>
      <c r="Y1456" s="1"/>
      <c r="Z1456" s="1" t="s">
        <v>673</v>
      </c>
      <c r="AA1456" s="1" t="s">
        <v>46</v>
      </c>
      <c r="AB1456" s="1" t="s">
        <v>10773</v>
      </c>
      <c r="AC1456" s="1" t="s">
        <v>46</v>
      </c>
      <c r="AD1456" s="1"/>
      <c r="AE1456" s="1" t="s">
        <v>641</v>
      </c>
      <c r="AF1456" s="1" t="s">
        <v>190</v>
      </c>
      <c r="AG1456" s="1">
        <v>6</v>
      </c>
      <c r="AH1456" s="1" t="s">
        <v>190</v>
      </c>
      <c r="AI1456" s="1" t="s">
        <v>10774</v>
      </c>
      <c r="AJ1456" s="3">
        <v>43263.823530092595</v>
      </c>
      <c r="AK1456" s="1" t="s">
        <v>8686</v>
      </c>
    </row>
    <row r="1457" spans="1:37">
      <c r="A1457" s="1" t="str">
        <f>VLOOKUP(H1457,Languages!$A$2:$B$430,2,FALSE)</f>
        <v>Kawesqar</v>
      </c>
      <c r="B1457" s="1" t="s">
        <v>1707</v>
      </c>
      <c r="C1457" s="1" t="s">
        <v>206</v>
      </c>
      <c r="D1457" s="1" t="s">
        <v>10769</v>
      </c>
      <c r="E1457" s="15" t="s">
        <v>526</v>
      </c>
      <c r="F1457" s="15" t="s">
        <v>526</v>
      </c>
      <c r="G1457" s="1" t="s">
        <v>526</v>
      </c>
      <c r="H1457" s="1" t="str">
        <f>VLOOKUP(G1457,'languoid 4.0'!$A$1:$I$24439,2,FALSE)</f>
        <v>kawe1237</v>
      </c>
      <c r="I1457" s="1" t="str">
        <f>VLOOKUP(G1457,'languoid 4.0'!$A$1:$I$24439,6,FALSE)</f>
        <v>language</v>
      </c>
      <c r="J1457" s="15" t="s">
        <v>38</v>
      </c>
      <c r="K1457" s="15" t="s">
        <v>38</v>
      </c>
      <c r="L1457" s="15" t="s">
        <v>38</v>
      </c>
      <c r="M1457" s="1"/>
      <c r="N1457" s="1" t="s">
        <v>10770</v>
      </c>
      <c r="O1457" s="15" t="s">
        <v>40</v>
      </c>
      <c r="P1457" s="15" t="s">
        <v>41</v>
      </c>
      <c r="Q1457" s="1" t="s">
        <v>10771</v>
      </c>
      <c r="R1457" s="2" t="s">
        <v>10772</v>
      </c>
      <c r="S1457" s="1" t="s">
        <v>557</v>
      </c>
      <c r="T1457" s="1" t="s">
        <v>657</v>
      </c>
      <c r="U1457" s="1" t="s">
        <v>636</v>
      </c>
      <c r="V1457" s="1" t="s">
        <v>45</v>
      </c>
      <c r="W1457" s="1"/>
      <c r="X1457" s="1"/>
      <c r="Y1457" s="1"/>
      <c r="Z1457" s="1" t="s">
        <v>673</v>
      </c>
      <c r="AA1457" s="1" t="s">
        <v>46</v>
      </c>
      <c r="AB1457" s="1" t="s">
        <v>11430</v>
      </c>
      <c r="AC1457" s="1" t="s">
        <v>46</v>
      </c>
      <c r="AD1457" s="1"/>
      <c r="AE1457" s="1" t="s">
        <v>641</v>
      </c>
      <c r="AF1457" s="1" t="s">
        <v>190</v>
      </c>
      <c r="AG1457" s="1">
        <v>6</v>
      </c>
      <c r="AH1457" s="1" t="s">
        <v>190</v>
      </c>
      <c r="AI1457" s="1" t="s">
        <v>11431</v>
      </c>
      <c r="AJ1457" s="3">
        <v>43466.026770833334</v>
      </c>
      <c r="AK1457" s="1" t="s">
        <v>8686</v>
      </c>
    </row>
    <row r="1458" spans="1:37">
      <c r="A1458" s="1" t="str">
        <f>VLOOKUP(H1458,Languages!$A$2:$B$430,2,FALSE)</f>
        <v>Kawesqar</v>
      </c>
      <c r="B1458" s="1" t="s">
        <v>1707</v>
      </c>
      <c r="C1458" s="1" t="s">
        <v>206</v>
      </c>
      <c r="D1458" s="1" t="s">
        <v>10769</v>
      </c>
      <c r="E1458" s="15" t="s">
        <v>526</v>
      </c>
      <c r="F1458" s="15" t="s">
        <v>526</v>
      </c>
      <c r="G1458" s="1" t="s">
        <v>526</v>
      </c>
      <c r="H1458" s="1" t="str">
        <f>VLOOKUP(G1458,'languoid 4.0'!$A$1:$I$24439,2,FALSE)</f>
        <v>kawe1237</v>
      </c>
      <c r="I1458" s="1" t="str">
        <f>VLOOKUP(G1458,'languoid 4.0'!$A$1:$I$24439,6,FALSE)</f>
        <v>language</v>
      </c>
      <c r="J1458" s="15" t="s">
        <v>38</v>
      </c>
      <c r="K1458" s="15" t="s">
        <v>38</v>
      </c>
      <c r="L1458" s="15" t="s">
        <v>38</v>
      </c>
      <c r="M1458" s="1"/>
      <c r="N1458" s="1" t="s">
        <v>10770</v>
      </c>
      <c r="O1458" s="15" t="s">
        <v>40</v>
      </c>
      <c r="P1458" s="15" t="s">
        <v>41</v>
      </c>
      <c r="Q1458" s="1" t="s">
        <v>11432</v>
      </c>
      <c r="R1458" s="2" t="s">
        <v>10772</v>
      </c>
      <c r="S1458" s="1" t="s">
        <v>557</v>
      </c>
      <c r="T1458" s="1" t="s">
        <v>657</v>
      </c>
      <c r="U1458" s="1" t="s">
        <v>636</v>
      </c>
      <c r="V1458" s="1" t="s">
        <v>45</v>
      </c>
      <c r="W1458" s="1"/>
      <c r="X1458" s="1"/>
      <c r="Y1458" s="1"/>
      <c r="Z1458" s="1" t="s">
        <v>673</v>
      </c>
      <c r="AA1458" s="1" t="s">
        <v>46</v>
      </c>
      <c r="AB1458" s="1" t="s">
        <v>11433</v>
      </c>
      <c r="AC1458" s="1" t="s">
        <v>46</v>
      </c>
      <c r="AD1458" s="1"/>
      <c r="AE1458" s="1" t="s">
        <v>641</v>
      </c>
      <c r="AF1458" s="1" t="s">
        <v>190</v>
      </c>
      <c r="AG1458" s="1">
        <v>6</v>
      </c>
      <c r="AH1458" s="1" t="s">
        <v>190</v>
      </c>
      <c r="AI1458" s="1" t="s">
        <v>11434</v>
      </c>
      <c r="AJ1458" s="3">
        <v>43466.028379629628</v>
      </c>
      <c r="AK1458" s="1" t="s">
        <v>8686</v>
      </c>
    </row>
    <row r="1459" spans="1:37">
      <c r="A1459" s="1" t="str">
        <f>VLOOKUP(H1459,Languages!$A$2:$B$430,2,FALSE)</f>
        <v>Kawesqar</v>
      </c>
      <c r="B1459" s="1" t="s">
        <v>1707</v>
      </c>
      <c r="C1459" s="1" t="s">
        <v>206</v>
      </c>
      <c r="D1459" s="1" t="s">
        <v>10769</v>
      </c>
      <c r="E1459" s="15" t="s">
        <v>526</v>
      </c>
      <c r="F1459" s="15" t="s">
        <v>526</v>
      </c>
      <c r="G1459" s="1" t="s">
        <v>526</v>
      </c>
      <c r="H1459" s="1" t="str">
        <f>VLOOKUP(G1459,'languoid 4.0'!$A$1:$I$24439,2,FALSE)</f>
        <v>kawe1237</v>
      </c>
      <c r="I1459" s="1" t="str">
        <f>VLOOKUP(G1459,'languoid 4.0'!$A$1:$I$24439,6,FALSE)</f>
        <v>language</v>
      </c>
      <c r="J1459" s="15" t="s">
        <v>38</v>
      </c>
      <c r="K1459" s="15" t="s">
        <v>38</v>
      </c>
      <c r="L1459" s="15" t="s">
        <v>38</v>
      </c>
      <c r="M1459" s="1"/>
      <c r="N1459" s="1" t="s">
        <v>10770</v>
      </c>
      <c r="O1459" s="15" t="s">
        <v>40</v>
      </c>
      <c r="P1459" s="15" t="s">
        <v>41</v>
      </c>
      <c r="Q1459" s="1" t="s">
        <v>11435</v>
      </c>
      <c r="R1459" s="2" t="s">
        <v>10772</v>
      </c>
      <c r="S1459" s="1" t="s">
        <v>557</v>
      </c>
      <c r="T1459" s="1" t="s">
        <v>657</v>
      </c>
      <c r="U1459" s="1" t="s">
        <v>636</v>
      </c>
      <c r="V1459" s="1" t="s">
        <v>45</v>
      </c>
      <c r="W1459" s="1"/>
      <c r="X1459" s="1"/>
      <c r="Y1459" s="1"/>
      <c r="Z1459" s="1" t="s">
        <v>673</v>
      </c>
      <c r="AA1459" s="1" t="s">
        <v>46</v>
      </c>
      <c r="AB1459" s="1" t="s">
        <v>11436</v>
      </c>
      <c r="AC1459" s="1" t="s">
        <v>46</v>
      </c>
      <c r="AD1459" s="1"/>
      <c r="AE1459" s="1" t="s">
        <v>641</v>
      </c>
      <c r="AF1459" s="1" t="s">
        <v>190</v>
      </c>
      <c r="AG1459" s="1">
        <v>6</v>
      </c>
      <c r="AH1459" s="1" t="s">
        <v>190</v>
      </c>
      <c r="AI1459" s="1" t="s">
        <v>11437</v>
      </c>
      <c r="AJ1459" s="3">
        <v>43466.028495370374</v>
      </c>
      <c r="AK1459" s="1" t="s">
        <v>8686</v>
      </c>
    </row>
    <row r="1460" spans="1:37">
      <c r="A1460" s="1" t="str">
        <f>VLOOKUP(H1460,Languages!$A$2:$B$430,2,FALSE)</f>
        <v>Khoe-Kwadi</v>
      </c>
      <c r="B1460" s="1" t="s">
        <v>59</v>
      </c>
      <c r="C1460" s="1" t="s">
        <v>108</v>
      </c>
      <c r="D1460" s="1" t="s">
        <v>6211</v>
      </c>
      <c r="E1460" s="15" t="s">
        <v>6212</v>
      </c>
      <c r="F1460" s="15" t="s">
        <v>51</v>
      </c>
      <c r="G1460" s="1" t="s">
        <v>6212</v>
      </c>
      <c r="H1460" s="1" t="str">
        <f>VLOOKUP(G1460,'languoid 4.0'!$A$1:$I$24439,2,FALSE)</f>
        <v>khoe1240</v>
      </c>
      <c r="I1460" s="1" t="str">
        <f>VLOOKUP(G1460,'languoid 4.0'!$A$1:$I$24439,6,FALSE)</f>
        <v>family</v>
      </c>
      <c r="J1460" s="15" t="s">
        <v>52</v>
      </c>
      <c r="K1460" s="15" t="s">
        <v>51</v>
      </c>
      <c r="L1460" s="15" t="s">
        <v>51</v>
      </c>
      <c r="M1460" s="1"/>
      <c r="N1460" s="1"/>
      <c r="O1460" s="15" t="s">
        <v>113</v>
      </c>
      <c r="P1460" s="15" t="s">
        <v>41</v>
      </c>
      <c r="Q1460" s="1" t="s">
        <v>79</v>
      </c>
      <c r="R1460" s="2" t="s">
        <v>6213</v>
      </c>
      <c r="S1460" s="1" t="s">
        <v>6214</v>
      </c>
      <c r="T1460" s="1" t="s">
        <v>3824</v>
      </c>
      <c r="U1460" s="1" t="s">
        <v>636</v>
      </c>
      <c r="V1460" s="1" t="s">
        <v>45</v>
      </c>
      <c r="W1460" s="1"/>
      <c r="X1460" s="1"/>
      <c r="Y1460" s="1"/>
      <c r="Z1460" s="1" t="s">
        <v>658</v>
      </c>
      <c r="AA1460" s="1" t="s">
        <v>79</v>
      </c>
      <c r="AB1460" s="1" t="s">
        <v>6215</v>
      </c>
      <c r="AC1460" s="1" t="s">
        <v>46</v>
      </c>
      <c r="AD1460" s="1"/>
      <c r="AE1460" s="1"/>
      <c r="AF1460" s="1"/>
      <c r="AG1460" s="1"/>
      <c r="AH1460" s="1" t="s">
        <v>45</v>
      </c>
      <c r="AI1460" s="1"/>
      <c r="AJ1460" s="3">
        <v>43197.824618055558</v>
      </c>
      <c r="AK1460" s="1" t="s">
        <v>5723</v>
      </c>
    </row>
    <row r="1461" spans="1:37">
      <c r="A1461" s="1" t="str">
        <f>VLOOKUP(H1461,Languages!$A$2:$B$430,2,FALSE)</f>
        <v>Khoe-Kwadi</v>
      </c>
      <c r="B1461" s="1" t="s">
        <v>59</v>
      </c>
      <c r="C1461" s="1" t="s">
        <v>255</v>
      </c>
      <c r="D1461" s="1" t="s">
        <v>4227</v>
      </c>
      <c r="E1461" s="15" t="s">
        <v>4228</v>
      </c>
      <c r="F1461" s="15" t="s">
        <v>4228</v>
      </c>
      <c r="G1461" s="1" t="s">
        <v>4228</v>
      </c>
      <c r="H1461" s="1" t="str">
        <f>VLOOKUP(G1461,'languoid 4.0'!$A$1:$I$24439,2,FALSE)</f>
        <v>khoe1240</v>
      </c>
      <c r="I1461" s="1" t="str">
        <f>VLOOKUP(G1461,'languoid 4.0'!$A$1:$I$24439,6,FALSE)</f>
        <v>language</v>
      </c>
      <c r="J1461" s="15" t="s">
        <v>38</v>
      </c>
      <c r="K1461" s="15" t="s">
        <v>38</v>
      </c>
      <c r="L1461" s="15" t="s">
        <v>38</v>
      </c>
      <c r="M1461" s="1"/>
      <c r="N1461" s="1" t="s">
        <v>4229</v>
      </c>
      <c r="O1461" s="15" t="s">
        <v>40</v>
      </c>
      <c r="P1461" s="15" t="s">
        <v>41</v>
      </c>
      <c r="Q1461" s="1" t="s">
        <v>4230</v>
      </c>
      <c r="R1461" s="2" t="s">
        <v>4231</v>
      </c>
      <c r="S1461" s="1" t="s">
        <v>46</v>
      </c>
      <c r="T1461" s="1" t="s">
        <v>822</v>
      </c>
      <c r="U1461" s="1" t="s">
        <v>636</v>
      </c>
      <c r="V1461" s="1" t="s">
        <v>45</v>
      </c>
      <c r="W1461" s="1"/>
      <c r="X1461" s="1"/>
      <c r="Y1461" s="1"/>
      <c r="Z1461" s="1" t="s">
        <v>658</v>
      </c>
      <c r="AA1461" s="1" t="s">
        <v>4232</v>
      </c>
      <c r="AB1461" s="1" t="s">
        <v>4233</v>
      </c>
      <c r="AC1461" s="1" t="s">
        <v>46</v>
      </c>
      <c r="AD1461" s="1"/>
      <c r="AE1461" s="1" t="s">
        <v>641</v>
      </c>
      <c r="AF1461" s="1" t="s">
        <v>190</v>
      </c>
      <c r="AG1461" s="1">
        <v>6</v>
      </c>
      <c r="AH1461" s="1" t="s">
        <v>190</v>
      </c>
      <c r="AI1461" s="1"/>
      <c r="AJ1461" s="1" t="s">
        <v>4234</v>
      </c>
      <c r="AK1461" s="1" t="s">
        <v>1749</v>
      </c>
    </row>
    <row r="1462" spans="1:37">
      <c r="A1462" s="1" t="str">
        <f>VLOOKUP(H1462,Languages!$A$2:$B$430,2,FALSE)</f>
        <v>Khoe-Kwadi</v>
      </c>
      <c r="B1462" s="1" t="s">
        <v>59</v>
      </c>
      <c r="C1462" s="1" t="s">
        <v>255</v>
      </c>
      <c r="D1462" s="1" t="s">
        <v>4235</v>
      </c>
      <c r="E1462" s="15" t="s">
        <v>4236</v>
      </c>
      <c r="F1462" s="15" t="s">
        <v>4228</v>
      </c>
      <c r="G1462" s="1" t="s">
        <v>4237</v>
      </c>
      <c r="H1462" s="1" t="str">
        <f>VLOOKUP(G1462,'languoid 4.0'!$A$1:$I$24439,2,FALSE)</f>
        <v>khoe1240</v>
      </c>
      <c r="I1462" s="1" t="str">
        <f>VLOOKUP(G1462,'languoid 4.0'!$A$1:$I$24439,6,FALSE)</f>
        <v>family</v>
      </c>
      <c r="J1462" s="15" t="s">
        <v>52</v>
      </c>
      <c r="K1462" s="15" t="s">
        <v>368</v>
      </c>
      <c r="L1462" s="15" t="s">
        <v>38</v>
      </c>
      <c r="M1462" s="1"/>
      <c r="N1462" s="1"/>
      <c r="O1462" s="15" t="s">
        <v>113</v>
      </c>
      <c r="P1462" s="15" t="s">
        <v>632</v>
      </c>
      <c r="Q1462" s="1" t="s">
        <v>4238</v>
      </c>
      <c r="R1462" s="2" t="s">
        <v>4239</v>
      </c>
      <c r="S1462" s="1" t="s">
        <v>46</v>
      </c>
      <c r="T1462" s="1" t="s">
        <v>822</v>
      </c>
      <c r="U1462" s="1" t="s">
        <v>67</v>
      </c>
      <c r="V1462" s="1" t="s">
        <v>45</v>
      </c>
      <c r="W1462" s="1"/>
      <c r="X1462" s="1"/>
      <c r="Y1462" s="1"/>
      <c r="Z1462" s="1" t="s">
        <v>658</v>
      </c>
      <c r="AA1462" s="1" t="s">
        <v>4240</v>
      </c>
      <c r="AB1462" s="1" t="s">
        <v>46</v>
      </c>
      <c r="AC1462" s="1" t="s">
        <v>46</v>
      </c>
      <c r="AD1462" s="1"/>
      <c r="AE1462" s="1" t="s">
        <v>641</v>
      </c>
      <c r="AF1462" s="1" t="s">
        <v>190</v>
      </c>
      <c r="AG1462" s="1">
        <v>6</v>
      </c>
      <c r="AH1462" s="1" t="s">
        <v>190</v>
      </c>
      <c r="AI1462" s="1"/>
      <c r="AJ1462" s="1" t="s">
        <v>4241</v>
      </c>
      <c r="AK1462" s="1" t="s">
        <v>1749</v>
      </c>
    </row>
    <row r="1463" spans="1:37">
      <c r="A1463" s="1" t="str">
        <f>VLOOKUP(H1463,Languages!$A$2:$B$430,2,FALSE)</f>
        <v>Khoe-Kwadi</v>
      </c>
      <c r="B1463" s="1" t="s">
        <v>59</v>
      </c>
      <c r="C1463" s="1" t="s">
        <v>255</v>
      </c>
      <c r="D1463" s="1" t="s">
        <v>4235</v>
      </c>
      <c r="E1463" s="15" t="s">
        <v>4236</v>
      </c>
      <c r="F1463" s="15" t="s">
        <v>4228</v>
      </c>
      <c r="G1463" s="1" t="s">
        <v>4237</v>
      </c>
      <c r="H1463" s="1" t="str">
        <f>VLOOKUP(G1463,'languoid 4.0'!$A$1:$I$24439,2,FALSE)</f>
        <v>khoe1240</v>
      </c>
      <c r="I1463" s="1" t="str">
        <f>VLOOKUP(G1463,'languoid 4.0'!$A$1:$I$24439,6,FALSE)</f>
        <v>family</v>
      </c>
      <c r="J1463" s="15" t="s">
        <v>52</v>
      </c>
      <c r="K1463" s="15" t="s">
        <v>368</v>
      </c>
      <c r="L1463" s="15" t="s">
        <v>38</v>
      </c>
      <c r="M1463" s="1"/>
      <c r="N1463" s="1"/>
      <c r="O1463" s="15" t="s">
        <v>113</v>
      </c>
      <c r="P1463" s="15" t="s">
        <v>632</v>
      </c>
      <c r="Q1463" s="1" t="s">
        <v>4242</v>
      </c>
      <c r="R1463" s="2" t="s">
        <v>4243</v>
      </c>
      <c r="S1463" s="1" t="s">
        <v>46</v>
      </c>
      <c r="T1463" s="1" t="s">
        <v>822</v>
      </c>
      <c r="U1463" s="1" t="s">
        <v>67</v>
      </c>
      <c r="V1463" s="1" t="s">
        <v>45</v>
      </c>
      <c r="W1463" s="1"/>
      <c r="X1463" s="1"/>
      <c r="Y1463" s="1"/>
      <c r="Z1463" s="1" t="s">
        <v>658</v>
      </c>
      <c r="AA1463" s="1" t="s">
        <v>4232</v>
      </c>
      <c r="AB1463" s="1" t="s">
        <v>4244</v>
      </c>
      <c r="AC1463" s="1" t="s">
        <v>46</v>
      </c>
      <c r="AD1463" s="1"/>
      <c r="AE1463" s="1" t="s">
        <v>641</v>
      </c>
      <c r="AF1463" s="1" t="s">
        <v>190</v>
      </c>
      <c r="AG1463" s="1">
        <v>5</v>
      </c>
      <c r="AH1463" s="1" t="s">
        <v>190</v>
      </c>
      <c r="AI1463" s="1"/>
      <c r="AJ1463" s="1" t="s">
        <v>4245</v>
      </c>
      <c r="AK1463" s="1" t="s">
        <v>1749</v>
      </c>
    </row>
    <row r="1464" spans="1:37">
      <c r="A1464" s="1" t="str">
        <f>VLOOKUP(H1464,Languages!$A$2:$B$430,2,FALSE)</f>
        <v>Khoe-Kwadi</v>
      </c>
      <c r="B1464" s="1" t="s">
        <v>35</v>
      </c>
      <c r="C1464" s="1" t="s">
        <v>255</v>
      </c>
      <c r="D1464" s="1" t="s">
        <v>4087</v>
      </c>
      <c r="E1464" s="15" t="s">
        <v>4088</v>
      </c>
      <c r="F1464" s="15" t="s">
        <v>4088</v>
      </c>
      <c r="G1464" s="1" t="s">
        <v>4088</v>
      </c>
      <c r="H1464" s="1" t="str">
        <f>VLOOKUP(G1464,'languoid 4.0'!$A$1:$I$24439,2,FALSE)</f>
        <v>khoe1240</v>
      </c>
      <c r="I1464" s="1" t="str">
        <f>VLOOKUP(G1464,'languoid 4.0'!$A$1:$I$24439,6,FALSE)</f>
        <v>dialect</v>
      </c>
      <c r="J1464" s="15" t="s">
        <v>38</v>
      </c>
      <c r="K1464" s="15" t="s">
        <v>38</v>
      </c>
      <c r="L1464" s="15" t="s">
        <v>38</v>
      </c>
      <c r="M1464" s="1"/>
      <c r="N1464" s="1"/>
      <c r="O1464" s="15" t="s">
        <v>40</v>
      </c>
      <c r="P1464" s="15" t="s">
        <v>41</v>
      </c>
      <c r="Q1464" s="1" t="s">
        <v>4089</v>
      </c>
      <c r="R1464" s="2" t="s">
        <v>4090</v>
      </c>
      <c r="S1464" s="1" t="s">
        <v>46</v>
      </c>
      <c r="T1464" s="1" t="s">
        <v>3824</v>
      </c>
      <c r="U1464" s="1" t="s">
        <v>636</v>
      </c>
      <c r="V1464" s="1" t="s">
        <v>45</v>
      </c>
      <c r="W1464" s="1"/>
      <c r="X1464" s="1"/>
      <c r="Y1464" s="1"/>
      <c r="Z1464" s="1" t="s">
        <v>658</v>
      </c>
      <c r="AA1464" s="1" t="s">
        <v>4091</v>
      </c>
      <c r="AB1464" s="1" t="s">
        <v>4092</v>
      </c>
      <c r="AC1464" s="1" t="s">
        <v>46</v>
      </c>
      <c r="AD1464" s="1"/>
      <c r="AE1464" s="1" t="s">
        <v>641</v>
      </c>
      <c r="AF1464" s="1" t="s">
        <v>190</v>
      </c>
      <c r="AG1464" s="1">
        <v>6</v>
      </c>
      <c r="AH1464" s="1" t="s">
        <v>190</v>
      </c>
      <c r="AI1464" s="1"/>
      <c r="AJ1464" s="1" t="s">
        <v>4093</v>
      </c>
      <c r="AK1464" s="1" t="s">
        <v>1749</v>
      </c>
    </row>
    <row r="1465" spans="1:37">
      <c r="A1465" s="1" t="str">
        <f>VLOOKUP(H1465,Languages!$A$2:$B$430,2,FALSE)</f>
        <v>Kiowa-Tanoan</v>
      </c>
      <c r="B1465" s="1" t="s">
        <v>67</v>
      </c>
      <c r="C1465" s="1" t="s">
        <v>89</v>
      </c>
      <c r="D1465" s="1" t="s">
        <v>5872</v>
      </c>
      <c r="E1465" s="15" t="s">
        <v>5873</v>
      </c>
      <c r="F1465" s="15" t="s">
        <v>5857</v>
      </c>
      <c r="G1465" s="1" t="s">
        <v>5873</v>
      </c>
      <c r="H1465" s="1" t="str">
        <f>VLOOKUP(G1465,'languoid 4.0'!$A$1:$I$24439,2,FALSE)</f>
        <v>kiow1265</v>
      </c>
      <c r="I1465" s="1" t="str">
        <f>VLOOKUP(G1465,'languoid 4.0'!$A$1:$I$24439,6,FALSE)</f>
        <v>language</v>
      </c>
      <c r="J1465" s="15" t="s">
        <v>52</v>
      </c>
      <c r="K1465" s="15" t="s">
        <v>52</v>
      </c>
      <c r="L1465" s="15" t="s">
        <v>52</v>
      </c>
      <c r="M1465" s="1"/>
      <c r="N1465" s="1" t="s">
        <v>5874</v>
      </c>
      <c r="O1465" s="15" t="s">
        <v>40</v>
      </c>
      <c r="P1465" s="15" t="s">
        <v>41</v>
      </c>
      <c r="Q1465" s="1" t="s">
        <v>5875</v>
      </c>
      <c r="R1465" s="2" t="s">
        <v>5876</v>
      </c>
      <c r="S1465" s="1" t="s">
        <v>46</v>
      </c>
      <c r="T1465" s="1" t="s">
        <v>635</v>
      </c>
      <c r="U1465" s="1" t="s">
        <v>636</v>
      </c>
      <c r="V1465" s="1" t="s">
        <v>45</v>
      </c>
      <c r="W1465" s="1"/>
      <c r="X1465" s="1"/>
      <c r="Y1465" s="1"/>
      <c r="Z1465" s="1" t="s">
        <v>658</v>
      </c>
      <c r="AA1465" s="1" t="s">
        <v>5877</v>
      </c>
      <c r="AB1465" s="1" t="s">
        <v>5878</v>
      </c>
      <c r="AC1465" s="1" t="s">
        <v>46</v>
      </c>
      <c r="AD1465" s="1" t="s">
        <v>5879</v>
      </c>
      <c r="AE1465" s="1"/>
      <c r="AF1465" s="1"/>
      <c r="AG1465" s="1"/>
      <c r="AH1465" s="1" t="s">
        <v>45</v>
      </c>
      <c r="AI1465" s="1" t="s">
        <v>5880</v>
      </c>
      <c r="AJ1465" s="1" t="s">
        <v>5881</v>
      </c>
      <c r="AK1465" s="1" t="s">
        <v>5865</v>
      </c>
    </row>
    <row r="1466" spans="1:37">
      <c r="A1466" s="1" t="str">
        <f>VLOOKUP(H1466,Languages!$A$2:$B$430,2,FALSE)</f>
        <v>Kiowa-Tanoan</v>
      </c>
      <c r="B1466" s="1" t="s">
        <v>67</v>
      </c>
      <c r="C1466" s="1" t="s">
        <v>431</v>
      </c>
      <c r="D1466" s="1" t="s">
        <v>10388</v>
      </c>
      <c r="E1466" s="15" t="s">
        <v>5873</v>
      </c>
      <c r="F1466" s="15" t="s">
        <v>5873</v>
      </c>
      <c r="G1466" s="1" t="s">
        <v>5873</v>
      </c>
      <c r="H1466" s="1" t="str">
        <f>VLOOKUP(G1466,'languoid 4.0'!$A$1:$I$24439,2,FALSE)</f>
        <v>kiow1265</v>
      </c>
      <c r="I1466" s="1" t="str">
        <f>VLOOKUP(G1466,'languoid 4.0'!$A$1:$I$24439,6,FALSE)</f>
        <v>language</v>
      </c>
      <c r="J1466" s="15" t="s">
        <v>38</v>
      </c>
      <c r="K1466" s="15" t="s">
        <v>38</v>
      </c>
      <c r="L1466" s="15" t="s">
        <v>38</v>
      </c>
      <c r="M1466" s="1"/>
      <c r="N1466" s="1" t="s">
        <v>5874</v>
      </c>
      <c r="O1466" s="15" t="s">
        <v>40</v>
      </c>
      <c r="P1466" s="15" t="s">
        <v>41</v>
      </c>
      <c r="Q1466" s="1" t="s">
        <v>10389</v>
      </c>
      <c r="R1466" s="2" t="s">
        <v>10390</v>
      </c>
      <c r="S1466" s="1" t="s">
        <v>10391</v>
      </c>
      <c r="T1466" s="1" t="s">
        <v>657</v>
      </c>
      <c r="U1466" s="1" t="s">
        <v>636</v>
      </c>
      <c r="V1466" s="1" t="s">
        <v>45</v>
      </c>
      <c r="W1466" s="1"/>
      <c r="X1466" s="1"/>
      <c r="Y1466" s="1"/>
      <c r="Z1466" s="1" t="s">
        <v>658</v>
      </c>
      <c r="AA1466" s="1" t="s">
        <v>10392</v>
      </c>
      <c r="AB1466" s="1" t="s">
        <v>46</v>
      </c>
      <c r="AC1466" s="1" t="s">
        <v>46</v>
      </c>
      <c r="AD1466" s="1" t="s">
        <v>46</v>
      </c>
      <c r="AE1466" s="1" t="s">
        <v>641</v>
      </c>
      <c r="AF1466" s="1" t="s">
        <v>190</v>
      </c>
      <c r="AG1466" s="1">
        <v>6</v>
      </c>
      <c r="AH1466" s="1" t="s">
        <v>190</v>
      </c>
      <c r="AI1466" s="1" t="s">
        <v>46</v>
      </c>
      <c r="AJ1466" s="1" t="s">
        <v>10393</v>
      </c>
      <c r="AK1466" s="1" t="s">
        <v>4975</v>
      </c>
    </row>
    <row r="1467" spans="1:37" ht="211">
      <c r="A1467" s="1" t="str">
        <f>VLOOKUP(H1467,Languages!$A$2:$B$430,2,FALSE)</f>
        <v>Kiowa-Tanoan</v>
      </c>
      <c r="B1467" s="1" t="s">
        <v>109</v>
      </c>
      <c r="C1467" s="1" t="s">
        <v>431</v>
      </c>
      <c r="D1467" s="1" t="s">
        <v>11203</v>
      </c>
      <c r="E1467" s="15" t="s">
        <v>11204</v>
      </c>
      <c r="F1467" s="15" t="s">
        <v>11204</v>
      </c>
      <c r="G1467" s="1" t="s">
        <v>11204</v>
      </c>
      <c r="H1467" s="1" t="str">
        <f>VLOOKUP(G1467,'languoid 4.0'!$A$1:$I$24439,2,FALSE)</f>
        <v>kiow1265</v>
      </c>
      <c r="I1467" s="1" t="str">
        <f>VLOOKUP(G1467,'languoid 4.0'!$A$1:$I$24439,6,FALSE)</f>
        <v>dialect</v>
      </c>
      <c r="J1467" s="15" t="s">
        <v>38</v>
      </c>
      <c r="K1467" s="15" t="s">
        <v>38</v>
      </c>
      <c r="L1467" s="15" t="s">
        <v>38</v>
      </c>
      <c r="M1467" s="1"/>
      <c r="N1467" s="1"/>
      <c r="O1467" s="15" t="s">
        <v>40</v>
      </c>
      <c r="P1467" s="15" t="s">
        <v>41</v>
      </c>
      <c r="Q1467" s="1" t="s">
        <v>11205</v>
      </c>
      <c r="R1467" s="2" t="s">
        <v>11206</v>
      </c>
      <c r="S1467" s="1" t="s">
        <v>1187</v>
      </c>
      <c r="T1467" s="1" t="s">
        <v>657</v>
      </c>
      <c r="U1467" s="1" t="s">
        <v>636</v>
      </c>
      <c r="V1467" s="1" t="s">
        <v>45</v>
      </c>
      <c r="W1467" s="1"/>
      <c r="X1467" s="1"/>
      <c r="Y1467" s="1"/>
      <c r="Z1467" s="1" t="s">
        <v>658</v>
      </c>
      <c r="AA1467" s="11" t="s">
        <v>11207</v>
      </c>
      <c r="AB1467" s="1" t="s">
        <v>46</v>
      </c>
      <c r="AC1467" s="1" t="s">
        <v>46</v>
      </c>
      <c r="AD1467" s="1" t="s">
        <v>11208</v>
      </c>
      <c r="AE1467" s="1" t="s">
        <v>641</v>
      </c>
      <c r="AF1467" s="1" t="s">
        <v>45</v>
      </c>
      <c r="AG1467" s="1">
        <v>1</v>
      </c>
      <c r="AH1467" s="1" t="s">
        <v>190</v>
      </c>
      <c r="AI1467" s="1"/>
      <c r="AJ1467" s="1" t="s">
        <v>11209</v>
      </c>
      <c r="AK1467" s="1" t="s">
        <v>4975</v>
      </c>
    </row>
    <row r="1468" spans="1:37">
      <c r="A1468" s="1" t="str">
        <f>VLOOKUP(H1468,Languages!$A$2:$B$430,2,FALSE)</f>
        <v>Kiowa-Tanoan</v>
      </c>
      <c r="B1468" s="1" t="s">
        <v>109</v>
      </c>
      <c r="C1468" s="1" t="s">
        <v>431</v>
      </c>
      <c r="D1468" s="1" t="s">
        <v>11219</v>
      </c>
      <c r="E1468" s="15" t="s">
        <v>11204</v>
      </c>
      <c r="F1468" s="15" t="s">
        <v>11204</v>
      </c>
      <c r="G1468" s="1" t="s">
        <v>11204</v>
      </c>
      <c r="H1468" s="1" t="str">
        <f>VLOOKUP(G1468,'languoid 4.0'!$A$1:$I$24439,2,FALSE)</f>
        <v>kiow1265</v>
      </c>
      <c r="I1468" s="1" t="str">
        <f>VLOOKUP(G1468,'languoid 4.0'!$A$1:$I$24439,6,FALSE)</f>
        <v>dialect</v>
      </c>
      <c r="J1468" s="15" t="s">
        <v>38</v>
      </c>
      <c r="K1468" s="15" t="s">
        <v>38</v>
      </c>
      <c r="L1468" s="15" t="s">
        <v>38</v>
      </c>
      <c r="M1468" s="1"/>
      <c r="N1468" s="1"/>
      <c r="O1468" s="15" t="s">
        <v>40</v>
      </c>
      <c r="P1468" s="15" t="s">
        <v>41</v>
      </c>
      <c r="Q1468" s="1" t="s">
        <v>11220</v>
      </c>
      <c r="R1468" s="2" t="s">
        <v>11221</v>
      </c>
      <c r="S1468" s="1" t="s">
        <v>11222</v>
      </c>
      <c r="T1468" s="1" t="s">
        <v>10398</v>
      </c>
      <c r="U1468" s="1" t="s">
        <v>636</v>
      </c>
      <c r="V1468" s="1" t="s">
        <v>45</v>
      </c>
      <c r="W1468" s="1"/>
      <c r="X1468" s="1"/>
      <c r="Y1468" s="1"/>
      <c r="Z1468" s="1" t="s">
        <v>658</v>
      </c>
      <c r="AA1468" s="1" t="s">
        <v>11223</v>
      </c>
      <c r="AB1468" s="1" t="s">
        <v>46</v>
      </c>
      <c r="AC1468" s="1" t="s">
        <v>46</v>
      </c>
      <c r="AD1468" s="1" t="s">
        <v>11224</v>
      </c>
      <c r="AE1468" s="1" t="s">
        <v>641</v>
      </c>
      <c r="AF1468" s="1" t="s">
        <v>45</v>
      </c>
      <c r="AG1468" s="1">
        <v>1</v>
      </c>
      <c r="AH1468" s="1" t="s">
        <v>190</v>
      </c>
      <c r="AI1468" s="1"/>
      <c r="AJ1468" s="1" t="s">
        <v>11225</v>
      </c>
      <c r="AK1468" s="1" t="s">
        <v>4975</v>
      </c>
    </row>
    <row r="1469" spans="1:37">
      <c r="A1469" s="1" t="str">
        <f>VLOOKUP(H1469,Languages!$A$2:$B$430,2,FALSE)</f>
        <v>Kiowa-Tanoan</v>
      </c>
      <c r="B1469" s="1" t="s">
        <v>35</v>
      </c>
      <c r="C1469" s="1" t="s">
        <v>431</v>
      </c>
      <c r="D1469" s="1" t="s">
        <v>10382</v>
      </c>
      <c r="E1469" s="15" t="s">
        <v>5873</v>
      </c>
      <c r="F1469" s="15" t="s">
        <v>5873</v>
      </c>
      <c r="G1469" s="1" t="s">
        <v>5873</v>
      </c>
      <c r="H1469" s="1" t="str">
        <f>VLOOKUP(G1469,'languoid 4.0'!$A$1:$I$24439,2,FALSE)</f>
        <v>kiow1265</v>
      </c>
      <c r="I1469" s="1" t="str">
        <f>VLOOKUP(G1469,'languoid 4.0'!$A$1:$I$24439,6,FALSE)</f>
        <v>language</v>
      </c>
      <c r="J1469" s="15" t="s">
        <v>38</v>
      </c>
      <c r="K1469" s="15" t="s">
        <v>38</v>
      </c>
      <c r="L1469" s="15" t="s">
        <v>38</v>
      </c>
      <c r="M1469" s="1"/>
      <c r="N1469" s="1" t="s">
        <v>5874</v>
      </c>
      <c r="O1469" s="15" t="s">
        <v>40</v>
      </c>
      <c r="P1469" s="15" t="s">
        <v>41</v>
      </c>
      <c r="Q1469" s="1" t="s">
        <v>35</v>
      </c>
      <c r="R1469" s="2" t="s">
        <v>10383</v>
      </c>
      <c r="S1469" s="1" t="s">
        <v>10384</v>
      </c>
      <c r="T1469" s="1" t="s">
        <v>657</v>
      </c>
      <c r="U1469" s="1" t="s">
        <v>636</v>
      </c>
      <c r="V1469" s="1" t="s">
        <v>45</v>
      </c>
      <c r="W1469" s="1"/>
      <c r="X1469" s="1"/>
      <c r="Y1469" s="1"/>
      <c r="Z1469" s="1" t="s">
        <v>658</v>
      </c>
      <c r="AA1469" s="1" t="s">
        <v>10385</v>
      </c>
      <c r="AB1469" s="1" t="s">
        <v>46</v>
      </c>
      <c r="AC1469" s="1" t="s">
        <v>46</v>
      </c>
      <c r="AD1469" s="1" t="s">
        <v>10386</v>
      </c>
      <c r="AE1469" s="1" t="s">
        <v>641</v>
      </c>
      <c r="AF1469" s="1" t="s">
        <v>190</v>
      </c>
      <c r="AG1469" s="1">
        <v>6</v>
      </c>
      <c r="AH1469" s="1" t="s">
        <v>190</v>
      </c>
      <c r="AI1469" s="1" t="s">
        <v>46</v>
      </c>
      <c r="AJ1469" s="1" t="s">
        <v>10387</v>
      </c>
      <c r="AK1469" s="1" t="s">
        <v>4975</v>
      </c>
    </row>
    <row r="1470" spans="1:37">
      <c r="A1470" s="1" t="str">
        <f>VLOOKUP(H1470,Languages!$A$2:$B$430,2,FALSE)</f>
        <v>Kiowa-Tanoan</v>
      </c>
      <c r="B1470" s="1" t="s">
        <v>1750</v>
      </c>
      <c r="C1470" s="1" t="s">
        <v>431</v>
      </c>
      <c r="D1470" s="1" t="s">
        <v>11326</v>
      </c>
      <c r="E1470" s="15" t="s">
        <v>11327</v>
      </c>
      <c r="F1470" s="15" t="s">
        <v>11327</v>
      </c>
      <c r="G1470" s="1" t="s">
        <v>11327</v>
      </c>
      <c r="H1470" s="1" t="str">
        <f>VLOOKUP(G1470,'languoid 4.0'!$A$1:$I$24439,2,FALSE)</f>
        <v>kiow1265</v>
      </c>
      <c r="I1470" s="1" t="str">
        <f>VLOOKUP(G1470,'languoid 4.0'!$A$1:$I$24439,6,FALSE)</f>
        <v>family</v>
      </c>
      <c r="J1470" s="15" t="s">
        <v>38</v>
      </c>
      <c r="K1470" s="15" t="s">
        <v>38</v>
      </c>
      <c r="L1470" s="15" t="s">
        <v>38</v>
      </c>
      <c r="M1470" s="1"/>
      <c r="N1470" s="1"/>
      <c r="O1470" s="15" t="s">
        <v>113</v>
      </c>
      <c r="P1470" s="15" t="s">
        <v>41</v>
      </c>
      <c r="Q1470" s="1" t="s">
        <v>11328</v>
      </c>
      <c r="R1470" s="2" t="s">
        <v>11329</v>
      </c>
      <c r="S1470" s="1" t="s">
        <v>11283</v>
      </c>
      <c r="T1470" s="1" t="s">
        <v>657</v>
      </c>
      <c r="U1470" s="1" t="s">
        <v>67</v>
      </c>
      <c r="V1470" s="1" t="s">
        <v>45</v>
      </c>
      <c r="W1470" s="1"/>
      <c r="X1470" s="1"/>
      <c r="Y1470" s="1"/>
      <c r="Z1470" s="1" t="s">
        <v>673</v>
      </c>
      <c r="AA1470" s="1" t="s">
        <v>11330</v>
      </c>
      <c r="AB1470" s="1" t="s">
        <v>11331</v>
      </c>
      <c r="AC1470" s="1" t="s">
        <v>46</v>
      </c>
      <c r="AD1470" s="1"/>
      <c r="AE1470" s="1" t="s">
        <v>641</v>
      </c>
      <c r="AF1470" s="1" t="s">
        <v>190</v>
      </c>
      <c r="AG1470" s="1">
        <v>6</v>
      </c>
      <c r="AH1470" s="1" t="s">
        <v>190</v>
      </c>
      <c r="AI1470" s="1"/>
      <c r="AJ1470" s="1" t="s">
        <v>11332</v>
      </c>
      <c r="AK1470" s="1" t="s">
        <v>4975</v>
      </c>
    </row>
    <row r="1471" spans="1:37">
      <c r="A1471" s="1" t="str">
        <f>VLOOKUP(H1471,Languages!$A$2:$B$430,2,FALSE)</f>
        <v>Koreanic</v>
      </c>
      <c r="B1471" s="1" t="s">
        <v>59</v>
      </c>
      <c r="C1471" s="1" t="s">
        <v>82</v>
      </c>
      <c r="D1471" s="1" t="s">
        <v>231</v>
      </c>
      <c r="E1471" s="15" t="s">
        <v>232</v>
      </c>
      <c r="F1471" s="15" t="s">
        <v>232</v>
      </c>
      <c r="G1471" s="1" t="s">
        <v>232</v>
      </c>
      <c r="H1471" s="1" t="str">
        <f>VLOOKUP(G1471,'languoid 4.0'!$A$1:$I$24439,2,FALSE)</f>
        <v>kore1284</v>
      </c>
      <c r="I1471" s="1" t="str">
        <f>VLOOKUP(G1471,'languoid 4.0'!$A$1:$I$24439,6,FALSE)</f>
        <v>language</v>
      </c>
      <c r="J1471" s="15" t="s">
        <v>38</v>
      </c>
      <c r="K1471" s="15" t="s">
        <v>38</v>
      </c>
      <c r="L1471" s="15" t="s">
        <v>38</v>
      </c>
      <c r="M1471" s="1"/>
      <c r="N1471" s="1" t="s">
        <v>233</v>
      </c>
      <c r="O1471" s="15" t="s">
        <v>40</v>
      </c>
      <c r="P1471" s="15" t="s">
        <v>41</v>
      </c>
      <c r="Q1471" s="1" t="s">
        <v>234</v>
      </c>
      <c r="R1471" s="2" t="s">
        <v>235</v>
      </c>
      <c r="S1471" s="1" t="s">
        <v>236</v>
      </c>
      <c r="T1471" s="1" t="s">
        <v>44</v>
      </c>
      <c r="U1471" s="1"/>
      <c r="V1471" s="1" t="s">
        <v>45</v>
      </c>
      <c r="W1471" s="1"/>
      <c r="X1471" s="1"/>
      <c r="Y1471" s="1"/>
      <c r="Z1471" s="1"/>
      <c r="AA1471" s="1">
        <v>13</v>
      </c>
      <c r="AB1471" s="1">
        <v>13</v>
      </c>
      <c r="AC1471" s="1" t="s">
        <v>46</v>
      </c>
      <c r="AD1471" s="1"/>
      <c r="AE1471" s="1"/>
      <c r="AF1471" s="1"/>
      <c r="AG1471" s="1"/>
      <c r="AH1471" s="1"/>
      <c r="AI1471" s="1"/>
      <c r="AJ1471" s="3">
        <v>43102.736990740741</v>
      </c>
      <c r="AK1471" s="1" t="s">
        <v>172</v>
      </c>
    </row>
    <row r="1472" spans="1:37">
      <c r="A1472" s="1" t="str">
        <f>VLOOKUP(H1472,Languages!$A$2:$B$430,2,FALSE)</f>
        <v>Koreanic</v>
      </c>
      <c r="B1472" s="1" t="s">
        <v>1726</v>
      </c>
      <c r="C1472" s="1" t="s">
        <v>82</v>
      </c>
      <c r="D1472" s="1" t="s">
        <v>231</v>
      </c>
      <c r="E1472" s="15" t="s">
        <v>232</v>
      </c>
      <c r="F1472" s="15" t="s">
        <v>232</v>
      </c>
      <c r="G1472" s="1" t="s">
        <v>232</v>
      </c>
      <c r="H1472" s="1" t="str">
        <f>VLOOKUP(G1472,'languoid 4.0'!$A$1:$I$24439,2,FALSE)</f>
        <v>kore1284</v>
      </c>
      <c r="I1472" s="1" t="str">
        <f>VLOOKUP(G1472,'languoid 4.0'!$A$1:$I$24439,6,FALSE)</f>
        <v>language</v>
      </c>
      <c r="J1472" s="15" t="s">
        <v>38</v>
      </c>
      <c r="K1472" s="15" t="s">
        <v>38</v>
      </c>
      <c r="L1472" s="15" t="s">
        <v>38</v>
      </c>
      <c r="M1472" s="1"/>
      <c r="N1472" s="1" t="s">
        <v>233</v>
      </c>
      <c r="O1472" s="15" t="s">
        <v>40</v>
      </c>
      <c r="P1472" s="15" t="s">
        <v>41</v>
      </c>
      <c r="Q1472" s="1" t="s">
        <v>7735</v>
      </c>
      <c r="R1472" s="2" t="s">
        <v>7736</v>
      </c>
      <c r="S1472" s="1" t="s">
        <v>46</v>
      </c>
      <c r="T1472" s="1" t="s">
        <v>635</v>
      </c>
      <c r="U1472" s="1" t="s">
        <v>636</v>
      </c>
      <c r="V1472" s="1" t="s">
        <v>45</v>
      </c>
      <c r="W1472" s="1"/>
      <c r="X1472" s="1"/>
      <c r="Y1472" s="1"/>
      <c r="Z1472" s="1" t="s">
        <v>637</v>
      </c>
      <c r="AA1472" s="1" t="s">
        <v>7737</v>
      </c>
      <c r="AB1472" s="1" t="s">
        <v>7738</v>
      </c>
      <c r="AC1472" s="1" t="s">
        <v>7739</v>
      </c>
      <c r="AD1472" s="1"/>
      <c r="AE1472" s="1" t="s">
        <v>641</v>
      </c>
      <c r="AF1472" s="1" t="s">
        <v>190</v>
      </c>
      <c r="AG1472" s="1">
        <v>6</v>
      </c>
      <c r="AH1472" s="1" t="s">
        <v>190</v>
      </c>
      <c r="AI1472" s="1"/>
      <c r="AJ1472" s="1" t="s">
        <v>7740</v>
      </c>
      <c r="AK1472" s="1" t="s">
        <v>4274</v>
      </c>
    </row>
    <row r="1473" spans="1:37">
      <c r="A1473" s="1" t="str">
        <f>VLOOKUP(H1473,Languages!$A$2:$B$430,2,FALSE)</f>
        <v>Koreanic</v>
      </c>
      <c r="B1473" s="1" t="s">
        <v>1750</v>
      </c>
      <c r="C1473" s="1" t="s">
        <v>82</v>
      </c>
      <c r="D1473" s="1" t="s">
        <v>231</v>
      </c>
      <c r="E1473" s="15" t="s">
        <v>232</v>
      </c>
      <c r="F1473" s="15" t="s">
        <v>232</v>
      </c>
      <c r="G1473" s="1" t="s">
        <v>232</v>
      </c>
      <c r="H1473" s="1" t="str">
        <f>VLOOKUP(G1473,'languoid 4.0'!$A$1:$I$24439,2,FALSE)</f>
        <v>kore1284</v>
      </c>
      <c r="I1473" s="1" t="str">
        <f>VLOOKUP(G1473,'languoid 4.0'!$A$1:$I$24439,6,FALSE)</f>
        <v>language</v>
      </c>
      <c r="J1473" s="15" t="s">
        <v>38</v>
      </c>
      <c r="K1473" s="15" t="s">
        <v>38</v>
      </c>
      <c r="L1473" s="15" t="s">
        <v>38</v>
      </c>
      <c r="M1473" s="1"/>
      <c r="N1473" s="1" t="s">
        <v>233</v>
      </c>
      <c r="O1473" s="15" t="s">
        <v>40</v>
      </c>
      <c r="P1473" s="15" t="s">
        <v>41</v>
      </c>
      <c r="Q1473" s="1" t="s">
        <v>5209</v>
      </c>
      <c r="R1473" s="2" t="s">
        <v>5210</v>
      </c>
      <c r="S1473" s="1" t="s">
        <v>656</v>
      </c>
      <c r="T1473" s="1" t="s">
        <v>648</v>
      </c>
      <c r="U1473" s="1" t="s">
        <v>636</v>
      </c>
      <c r="V1473" s="1" t="s">
        <v>45</v>
      </c>
      <c r="W1473" s="1"/>
      <c r="X1473" s="1"/>
      <c r="Y1473" s="1"/>
      <c r="Z1473" s="1" t="s">
        <v>673</v>
      </c>
      <c r="AA1473" s="1" t="s">
        <v>5211</v>
      </c>
      <c r="AB1473" s="1" t="s">
        <v>5212</v>
      </c>
      <c r="AC1473" s="1" t="s">
        <v>5213</v>
      </c>
      <c r="AD1473" s="1"/>
      <c r="AE1473" s="1" t="s">
        <v>641</v>
      </c>
      <c r="AF1473" s="1" t="s">
        <v>190</v>
      </c>
      <c r="AG1473" s="1">
        <v>5</v>
      </c>
      <c r="AH1473" s="1" t="s">
        <v>190</v>
      </c>
      <c r="AI1473" s="1"/>
      <c r="AJ1473" s="1" t="s">
        <v>5214</v>
      </c>
      <c r="AK1473" s="1" t="s">
        <v>4274</v>
      </c>
    </row>
    <row r="1474" spans="1:37">
      <c r="A1474" s="1" t="str">
        <f>VLOOKUP(H1474,Languages!$A$2:$B$430,2,FALSE)</f>
        <v>Koreanic</v>
      </c>
      <c r="B1474" s="1" t="s">
        <v>1750</v>
      </c>
      <c r="C1474" s="1" t="s">
        <v>82</v>
      </c>
      <c r="D1474" s="1" t="s">
        <v>231</v>
      </c>
      <c r="E1474" s="15" t="s">
        <v>232</v>
      </c>
      <c r="F1474" s="15" t="s">
        <v>232</v>
      </c>
      <c r="G1474" s="1" t="s">
        <v>232</v>
      </c>
      <c r="H1474" s="1" t="str">
        <f>VLOOKUP(G1474,'languoid 4.0'!$A$1:$I$24439,2,FALSE)</f>
        <v>kore1284</v>
      </c>
      <c r="I1474" s="1" t="str">
        <f>VLOOKUP(G1474,'languoid 4.0'!$A$1:$I$24439,6,FALSE)</f>
        <v>language</v>
      </c>
      <c r="J1474" s="15" t="s">
        <v>38</v>
      </c>
      <c r="K1474" s="15" t="s">
        <v>38</v>
      </c>
      <c r="L1474" s="15" t="s">
        <v>38</v>
      </c>
      <c r="M1474" s="1"/>
      <c r="N1474" s="1" t="s">
        <v>233</v>
      </c>
      <c r="O1474" s="15" t="s">
        <v>40</v>
      </c>
      <c r="P1474" s="15" t="s">
        <v>41</v>
      </c>
      <c r="Q1474" s="1" t="s">
        <v>6159</v>
      </c>
      <c r="R1474" s="2" t="s">
        <v>6160</v>
      </c>
      <c r="S1474" s="1" t="s">
        <v>46</v>
      </c>
      <c r="T1474" s="1" t="s">
        <v>648</v>
      </c>
      <c r="U1474" s="1" t="s">
        <v>636</v>
      </c>
      <c r="V1474" s="1" t="s">
        <v>45</v>
      </c>
      <c r="W1474" s="1"/>
      <c r="X1474" s="1"/>
      <c r="Y1474" s="1"/>
      <c r="Z1474" s="1" t="s">
        <v>637</v>
      </c>
      <c r="AA1474" s="1" t="s">
        <v>5211</v>
      </c>
      <c r="AB1474" s="1" t="s">
        <v>6161</v>
      </c>
      <c r="AC1474" s="1" t="s">
        <v>5213</v>
      </c>
      <c r="AD1474" s="1"/>
      <c r="AE1474" s="1" t="s">
        <v>641</v>
      </c>
      <c r="AF1474" s="1" t="s">
        <v>190</v>
      </c>
      <c r="AG1474" s="1">
        <v>5</v>
      </c>
      <c r="AH1474" s="1" t="s">
        <v>190</v>
      </c>
      <c r="AI1474" s="1"/>
      <c r="AJ1474" s="3">
        <v>43138.614305555559</v>
      </c>
      <c r="AK1474" s="1" t="s">
        <v>4274</v>
      </c>
    </row>
    <row r="1475" spans="1:37">
      <c r="A1475" s="1" t="str">
        <f>VLOOKUP(H1475,Languages!$A$2:$B$430,2,FALSE)</f>
        <v>Koreanic</v>
      </c>
      <c r="B1475" s="1" t="s">
        <v>1738</v>
      </c>
      <c r="C1475" s="1" t="s">
        <v>82</v>
      </c>
      <c r="D1475" s="1" t="s">
        <v>231</v>
      </c>
      <c r="E1475" s="15" t="s">
        <v>232</v>
      </c>
      <c r="F1475" s="15" t="s">
        <v>232</v>
      </c>
      <c r="G1475" s="1" t="s">
        <v>232</v>
      </c>
      <c r="H1475" s="1" t="str">
        <f>VLOOKUP(G1475,'languoid 4.0'!$A$1:$I$24439,2,FALSE)</f>
        <v>kore1284</v>
      </c>
      <c r="I1475" s="1" t="str">
        <f>VLOOKUP(G1475,'languoid 4.0'!$A$1:$I$24439,6,FALSE)</f>
        <v>language</v>
      </c>
      <c r="J1475" s="15" t="s">
        <v>38</v>
      </c>
      <c r="K1475" s="15" t="s">
        <v>38</v>
      </c>
      <c r="L1475" s="15" t="s">
        <v>38</v>
      </c>
      <c r="M1475" s="1"/>
      <c r="N1475" s="1" t="s">
        <v>233</v>
      </c>
      <c r="O1475" s="15" t="s">
        <v>40</v>
      </c>
      <c r="P1475" s="15" t="s">
        <v>41</v>
      </c>
      <c r="Q1475" s="1" t="s">
        <v>6153</v>
      </c>
      <c r="R1475" s="2" t="s">
        <v>6154</v>
      </c>
      <c r="S1475" s="1" t="s">
        <v>46</v>
      </c>
      <c r="T1475" s="1" t="s">
        <v>635</v>
      </c>
      <c r="U1475" s="1" t="s">
        <v>6155</v>
      </c>
      <c r="V1475" s="1" t="s">
        <v>45</v>
      </c>
      <c r="W1475" s="1"/>
      <c r="X1475" s="1"/>
      <c r="Y1475" s="1"/>
      <c r="Z1475" s="1" t="s">
        <v>637</v>
      </c>
      <c r="AA1475" s="1" t="s">
        <v>6156</v>
      </c>
      <c r="AB1475" s="1" t="s">
        <v>6157</v>
      </c>
      <c r="AC1475" s="1" t="s">
        <v>6158</v>
      </c>
      <c r="AD1475" s="1"/>
      <c r="AE1475" s="1" t="s">
        <v>641</v>
      </c>
      <c r="AF1475" s="1" t="s">
        <v>190</v>
      </c>
      <c r="AG1475" s="1">
        <v>5</v>
      </c>
      <c r="AH1475" s="1" t="s">
        <v>190</v>
      </c>
      <c r="AI1475" s="1"/>
      <c r="AJ1475" s="3">
        <v>43138.610254629632</v>
      </c>
      <c r="AK1475" s="1" t="s">
        <v>4274</v>
      </c>
    </row>
    <row r="1476" spans="1:37">
      <c r="A1476" s="1" t="str">
        <f>VLOOKUP(H1476,Languages!$A$2:$B$430,2,FALSE)</f>
        <v>Koreanic</v>
      </c>
      <c r="B1476" s="1" t="s">
        <v>1738</v>
      </c>
      <c r="C1476" s="1" t="s">
        <v>82</v>
      </c>
      <c r="D1476" s="1" t="s">
        <v>9802</v>
      </c>
      <c r="E1476" s="15" t="s">
        <v>232</v>
      </c>
      <c r="F1476" s="15" t="s">
        <v>232</v>
      </c>
      <c r="G1476" s="1" t="s">
        <v>232</v>
      </c>
      <c r="H1476" s="1" t="str">
        <f>VLOOKUP(G1476,'languoid 4.0'!$A$1:$I$24439,2,FALSE)</f>
        <v>kore1284</v>
      </c>
      <c r="I1476" s="1" t="str">
        <f>VLOOKUP(G1476,'languoid 4.0'!$A$1:$I$24439,6,FALSE)</f>
        <v>language</v>
      </c>
      <c r="J1476" s="15" t="s">
        <v>38</v>
      </c>
      <c r="K1476" s="15" t="s">
        <v>38</v>
      </c>
      <c r="L1476" s="15" t="s">
        <v>38</v>
      </c>
      <c r="M1476" s="1"/>
      <c r="N1476" s="1" t="s">
        <v>233</v>
      </c>
      <c r="O1476" s="15" t="s">
        <v>40</v>
      </c>
      <c r="P1476" s="15" t="s">
        <v>41</v>
      </c>
      <c r="Q1476" s="1" t="s">
        <v>9814</v>
      </c>
      <c r="R1476" s="2" t="s">
        <v>9810</v>
      </c>
      <c r="S1476" s="1" t="s">
        <v>9815</v>
      </c>
      <c r="T1476" s="1" t="s">
        <v>9816</v>
      </c>
      <c r="U1476" s="1" t="s">
        <v>9817</v>
      </c>
      <c r="V1476" s="1" t="s">
        <v>45</v>
      </c>
      <c r="W1476" s="1"/>
      <c r="X1476" s="1"/>
      <c r="Y1476" s="1"/>
      <c r="Z1476" s="1" t="s">
        <v>673</v>
      </c>
      <c r="AA1476" s="1" t="s">
        <v>46</v>
      </c>
      <c r="AB1476" s="1" t="s">
        <v>9818</v>
      </c>
      <c r="AC1476" s="1" t="s">
        <v>46</v>
      </c>
      <c r="AD1476" s="1" t="s">
        <v>9819</v>
      </c>
      <c r="AE1476" s="1" t="s">
        <v>641</v>
      </c>
      <c r="AF1476" s="1" t="s">
        <v>190</v>
      </c>
      <c r="AG1476" s="1">
        <v>5</v>
      </c>
      <c r="AH1476" s="1" t="s">
        <v>190</v>
      </c>
      <c r="AI1476" s="1"/>
      <c r="AJ1476" s="1" t="s">
        <v>9820</v>
      </c>
      <c r="AK1476" s="1" t="s">
        <v>9595</v>
      </c>
    </row>
    <row r="1477" spans="1:37">
      <c r="A1477" s="1" t="str">
        <f>VLOOKUP(H1477,Languages!$A$2:$B$430,2,FALSE)</f>
        <v>Koreanic</v>
      </c>
      <c r="B1477" s="1" t="s">
        <v>1812</v>
      </c>
      <c r="C1477" s="1" t="s">
        <v>82</v>
      </c>
      <c r="D1477" s="1" t="s">
        <v>231</v>
      </c>
      <c r="E1477" s="15" t="s">
        <v>232</v>
      </c>
      <c r="F1477" s="15" t="s">
        <v>232</v>
      </c>
      <c r="G1477" s="1" t="s">
        <v>232</v>
      </c>
      <c r="H1477" s="1" t="str">
        <f>VLOOKUP(G1477,'languoid 4.0'!$A$1:$I$24439,2,FALSE)</f>
        <v>kore1284</v>
      </c>
      <c r="I1477" s="1" t="str">
        <f>VLOOKUP(G1477,'languoid 4.0'!$A$1:$I$24439,6,FALSE)</f>
        <v>language</v>
      </c>
      <c r="J1477" s="15" t="s">
        <v>38</v>
      </c>
      <c r="K1477" s="15" t="s">
        <v>38</v>
      </c>
      <c r="L1477" s="15" t="s">
        <v>38</v>
      </c>
      <c r="M1477" s="1"/>
      <c r="N1477" s="1" t="s">
        <v>233</v>
      </c>
      <c r="O1477" s="15" t="s">
        <v>40</v>
      </c>
      <c r="P1477" s="15" t="s">
        <v>41</v>
      </c>
      <c r="Q1477" s="1" t="s">
        <v>4269</v>
      </c>
      <c r="R1477" s="2" t="s">
        <v>4270</v>
      </c>
      <c r="S1477" s="1" t="s">
        <v>683</v>
      </c>
      <c r="T1477" s="1" t="s">
        <v>657</v>
      </c>
      <c r="U1477" s="1" t="s">
        <v>636</v>
      </c>
      <c r="V1477" s="1" t="s">
        <v>45</v>
      </c>
      <c r="W1477" s="1"/>
      <c r="X1477" s="1"/>
      <c r="Y1477" s="1"/>
      <c r="Z1477" s="1" t="s">
        <v>673</v>
      </c>
      <c r="AA1477" s="1" t="s">
        <v>4271</v>
      </c>
      <c r="AB1477" s="1" t="s">
        <v>4272</v>
      </c>
      <c r="AC1477" s="1" t="s">
        <v>4271</v>
      </c>
      <c r="AD1477" s="1"/>
      <c r="AE1477" s="1" t="s">
        <v>641</v>
      </c>
      <c r="AF1477" s="1" t="s">
        <v>190</v>
      </c>
      <c r="AG1477" s="1">
        <v>4</v>
      </c>
      <c r="AH1477" s="1" t="s">
        <v>190</v>
      </c>
      <c r="AI1477" s="1"/>
      <c r="AJ1477" s="1" t="s">
        <v>4273</v>
      </c>
      <c r="AK1477" s="1" t="s">
        <v>4274</v>
      </c>
    </row>
    <row r="1478" spans="1:37">
      <c r="A1478" s="1" t="str">
        <f>VLOOKUP(H1478,Languages!$A$2:$B$430,2,FALSE)</f>
        <v>Koreanic</v>
      </c>
      <c r="B1478" s="1" t="s">
        <v>1812</v>
      </c>
      <c r="C1478" s="1" t="s">
        <v>82</v>
      </c>
      <c r="D1478" s="1" t="s">
        <v>231</v>
      </c>
      <c r="E1478" s="15" t="s">
        <v>232</v>
      </c>
      <c r="F1478" s="15" t="s">
        <v>232</v>
      </c>
      <c r="G1478" s="1" t="s">
        <v>232</v>
      </c>
      <c r="H1478" s="1" t="str">
        <f>VLOOKUP(G1478,'languoid 4.0'!$A$1:$I$24439,2,FALSE)</f>
        <v>kore1284</v>
      </c>
      <c r="I1478" s="1" t="str">
        <f>VLOOKUP(G1478,'languoid 4.0'!$A$1:$I$24439,6,FALSE)</f>
        <v>language</v>
      </c>
      <c r="J1478" s="15" t="s">
        <v>38</v>
      </c>
      <c r="K1478" s="15" t="s">
        <v>38</v>
      </c>
      <c r="L1478" s="15" t="s">
        <v>38</v>
      </c>
      <c r="M1478" s="1"/>
      <c r="N1478" s="1" t="s">
        <v>233</v>
      </c>
      <c r="O1478" s="15" t="s">
        <v>40</v>
      </c>
      <c r="P1478" s="15" t="s">
        <v>41</v>
      </c>
      <c r="Q1478" s="1" t="s">
        <v>4269</v>
      </c>
      <c r="R1478" s="2" t="s">
        <v>4275</v>
      </c>
      <c r="S1478" s="1" t="s">
        <v>647</v>
      </c>
      <c r="T1478" s="1" t="s">
        <v>657</v>
      </c>
      <c r="U1478" s="1" t="s">
        <v>636</v>
      </c>
      <c r="V1478" s="1" t="s">
        <v>45</v>
      </c>
      <c r="W1478" s="1"/>
      <c r="X1478" s="1"/>
      <c r="Y1478" s="1"/>
      <c r="Z1478" s="1" t="s">
        <v>673</v>
      </c>
      <c r="AA1478" s="1" t="s">
        <v>4276</v>
      </c>
      <c r="AB1478" s="1" t="s">
        <v>4277</v>
      </c>
      <c r="AC1478" s="1" t="s">
        <v>4276</v>
      </c>
      <c r="AD1478" s="1"/>
      <c r="AE1478" s="1" t="s">
        <v>641</v>
      </c>
      <c r="AF1478" s="1" t="s">
        <v>190</v>
      </c>
      <c r="AG1478" s="1">
        <v>4</v>
      </c>
      <c r="AH1478" s="1" t="s">
        <v>190</v>
      </c>
      <c r="AI1478" s="1" t="s">
        <v>4278</v>
      </c>
      <c r="AJ1478" s="1" t="s">
        <v>4279</v>
      </c>
      <c r="AK1478" s="1" t="s">
        <v>4274</v>
      </c>
    </row>
    <row r="1479" spans="1:37">
      <c r="A1479" s="1" t="str">
        <f>VLOOKUP(H1479,Languages!$A$2:$B$430,2,FALSE)</f>
        <v>Koreanic</v>
      </c>
      <c r="B1479" s="1" t="s">
        <v>1812</v>
      </c>
      <c r="C1479" s="1" t="s">
        <v>82</v>
      </c>
      <c r="D1479" s="1" t="s">
        <v>9802</v>
      </c>
      <c r="E1479" s="15" t="s">
        <v>232</v>
      </c>
      <c r="F1479" s="15" t="s">
        <v>232</v>
      </c>
      <c r="G1479" s="1" t="s">
        <v>232</v>
      </c>
      <c r="H1479" s="1" t="str">
        <f>VLOOKUP(G1479,'languoid 4.0'!$A$1:$I$24439,2,FALSE)</f>
        <v>kore1284</v>
      </c>
      <c r="I1479" s="1" t="str">
        <f>VLOOKUP(G1479,'languoid 4.0'!$A$1:$I$24439,6,FALSE)</f>
        <v>language</v>
      </c>
      <c r="J1479" s="15" t="s">
        <v>38</v>
      </c>
      <c r="K1479" s="15" t="s">
        <v>38</v>
      </c>
      <c r="L1479" s="15" t="s">
        <v>38</v>
      </c>
      <c r="M1479" s="1"/>
      <c r="N1479" s="1" t="s">
        <v>233</v>
      </c>
      <c r="O1479" s="15" t="s">
        <v>40</v>
      </c>
      <c r="P1479" s="15" t="s">
        <v>41</v>
      </c>
      <c r="Q1479" s="1" t="s">
        <v>9803</v>
      </c>
      <c r="R1479" s="2" t="s">
        <v>9804</v>
      </c>
      <c r="S1479" s="1">
        <v>1</v>
      </c>
      <c r="T1479" s="1" t="s">
        <v>8277</v>
      </c>
      <c r="U1479" s="1" t="s">
        <v>109</v>
      </c>
      <c r="V1479" s="1" t="s">
        <v>45</v>
      </c>
      <c r="W1479" s="1"/>
      <c r="X1479" s="1"/>
      <c r="Y1479" s="1"/>
      <c r="Z1479" s="1" t="s">
        <v>673</v>
      </c>
      <c r="AA1479" s="1" t="s">
        <v>46</v>
      </c>
      <c r="AB1479" s="1" t="s">
        <v>9805</v>
      </c>
      <c r="AC1479" s="1" t="s">
        <v>46</v>
      </c>
      <c r="AD1479" s="1" t="s">
        <v>9806</v>
      </c>
      <c r="AE1479" s="1" t="s">
        <v>641</v>
      </c>
      <c r="AF1479" s="1" t="s">
        <v>190</v>
      </c>
      <c r="AG1479" s="1">
        <v>2</v>
      </c>
      <c r="AH1479" s="1" t="s">
        <v>190</v>
      </c>
      <c r="AI1479" s="1" t="s">
        <v>9807</v>
      </c>
      <c r="AJ1479" s="1" t="s">
        <v>9808</v>
      </c>
      <c r="AK1479" s="1" t="s">
        <v>9595</v>
      </c>
    </row>
    <row r="1480" spans="1:37">
      <c r="A1480" s="1" t="str">
        <f>VLOOKUP(H1480,Languages!$A$2:$B$430,2,FALSE)</f>
        <v>Koreanic</v>
      </c>
      <c r="B1480" s="1" t="s">
        <v>1707</v>
      </c>
      <c r="C1480" s="1" t="s">
        <v>82</v>
      </c>
      <c r="D1480" s="1" t="s">
        <v>9802</v>
      </c>
      <c r="E1480" s="15" t="s">
        <v>232</v>
      </c>
      <c r="F1480" s="15" t="s">
        <v>232</v>
      </c>
      <c r="G1480" s="1" t="s">
        <v>232</v>
      </c>
      <c r="H1480" s="1" t="str">
        <f>VLOOKUP(G1480,'languoid 4.0'!$A$1:$I$24439,2,FALSE)</f>
        <v>kore1284</v>
      </c>
      <c r="I1480" s="1" t="str">
        <f>VLOOKUP(G1480,'languoid 4.0'!$A$1:$I$24439,6,FALSE)</f>
        <v>language</v>
      </c>
      <c r="J1480" s="15" t="s">
        <v>38</v>
      </c>
      <c r="K1480" s="15" t="s">
        <v>38</v>
      </c>
      <c r="L1480" s="15" t="s">
        <v>38</v>
      </c>
      <c r="M1480" s="1"/>
      <c r="N1480" s="1" t="s">
        <v>233</v>
      </c>
      <c r="O1480" s="15" t="s">
        <v>40</v>
      </c>
      <c r="P1480" s="15" t="s">
        <v>41</v>
      </c>
      <c r="Q1480" s="1" t="s">
        <v>9809</v>
      </c>
      <c r="R1480" s="2" t="s">
        <v>9810</v>
      </c>
      <c r="S1480" s="1" t="s">
        <v>9811</v>
      </c>
      <c r="T1480" s="1" t="s">
        <v>8277</v>
      </c>
      <c r="U1480" s="1" t="s">
        <v>636</v>
      </c>
      <c r="V1480" s="1" t="s">
        <v>45</v>
      </c>
      <c r="W1480" s="1"/>
      <c r="X1480" s="1"/>
      <c r="Y1480" s="1"/>
      <c r="Z1480" s="1" t="s">
        <v>673</v>
      </c>
      <c r="AA1480" s="1" t="s">
        <v>46</v>
      </c>
      <c r="AB1480" s="1" t="s">
        <v>9812</v>
      </c>
      <c r="AC1480" s="1" t="s">
        <v>46</v>
      </c>
      <c r="AD1480" s="1"/>
      <c r="AE1480" s="1" t="s">
        <v>641</v>
      </c>
      <c r="AF1480" s="1" t="s">
        <v>190</v>
      </c>
      <c r="AG1480" s="1">
        <v>2</v>
      </c>
      <c r="AH1480" s="1" t="s">
        <v>190</v>
      </c>
      <c r="AI1480" s="1"/>
      <c r="AJ1480" s="1" t="s">
        <v>9813</v>
      </c>
      <c r="AK1480" s="1" t="s">
        <v>9595</v>
      </c>
    </row>
    <row r="1481" spans="1:37">
      <c r="A1481" s="1" t="str">
        <f>VLOOKUP(H1481,Languages!$A$2:$B$430,2,FALSE)</f>
        <v>Kxa</v>
      </c>
      <c r="B1481" s="1" t="s">
        <v>59</v>
      </c>
      <c r="C1481" s="1" t="s">
        <v>255</v>
      </c>
      <c r="D1481" s="1" t="s">
        <v>2092</v>
      </c>
      <c r="E1481" s="15" t="s">
        <v>2093</v>
      </c>
      <c r="F1481" s="15" t="s">
        <v>2094</v>
      </c>
      <c r="G1481" s="1" t="s">
        <v>2093</v>
      </c>
      <c r="H1481" s="1" t="str">
        <f>VLOOKUP(G1481,'languoid 4.0'!$A$1:$I$24439,2,FALSE)</f>
        <v>kxaa1236</v>
      </c>
      <c r="I1481" s="1" t="str">
        <f>VLOOKUP(G1481,'languoid 4.0'!$A$1:$I$24439,6,FALSE)</f>
        <v>language</v>
      </c>
      <c r="J1481" s="15" t="s">
        <v>52</v>
      </c>
      <c r="K1481" s="15" t="s">
        <v>52</v>
      </c>
      <c r="L1481" s="15" t="s">
        <v>52</v>
      </c>
      <c r="M1481" s="1"/>
      <c r="N1481" s="1" t="s">
        <v>2095</v>
      </c>
      <c r="O1481" s="15" t="s">
        <v>40</v>
      </c>
      <c r="P1481" s="15" t="s">
        <v>41</v>
      </c>
      <c r="Q1481" s="1" t="s">
        <v>2096</v>
      </c>
      <c r="R1481" s="2" t="s">
        <v>2097</v>
      </c>
      <c r="S1481" s="1" t="s">
        <v>46</v>
      </c>
      <c r="T1481" s="1" t="s">
        <v>635</v>
      </c>
      <c r="U1481" s="1" t="s">
        <v>636</v>
      </c>
      <c r="V1481" s="1" t="s">
        <v>45</v>
      </c>
      <c r="W1481" s="1"/>
      <c r="X1481" s="1"/>
      <c r="Y1481" s="1"/>
      <c r="Z1481" s="1" t="s">
        <v>658</v>
      </c>
      <c r="AA1481" s="1" t="s">
        <v>2098</v>
      </c>
      <c r="AB1481" s="1" t="s">
        <v>2099</v>
      </c>
      <c r="AC1481" s="1" t="s">
        <v>46</v>
      </c>
      <c r="AD1481" s="1"/>
      <c r="AE1481" s="1" t="s">
        <v>641</v>
      </c>
      <c r="AF1481" s="1" t="s">
        <v>190</v>
      </c>
      <c r="AG1481" s="1">
        <v>6</v>
      </c>
      <c r="AH1481" s="1" t="s">
        <v>190</v>
      </c>
      <c r="AI1481" s="1"/>
      <c r="AJ1481" s="1" t="s">
        <v>2100</v>
      </c>
      <c r="AK1481" s="1" t="s">
        <v>1749</v>
      </c>
    </row>
    <row r="1482" spans="1:37">
      <c r="A1482" s="1" t="str">
        <f>VLOOKUP(H1482,Languages!$A$2:$B$430,2,FALSE)</f>
        <v>Kxa</v>
      </c>
      <c r="B1482" s="1" t="s">
        <v>59</v>
      </c>
      <c r="C1482" s="1" t="s">
        <v>255</v>
      </c>
      <c r="D1482" s="1" t="s">
        <v>3876</v>
      </c>
      <c r="E1482" s="15" t="s">
        <v>51</v>
      </c>
      <c r="F1482" s="15" t="s">
        <v>2094</v>
      </c>
      <c r="G1482" s="1" t="s">
        <v>2093</v>
      </c>
      <c r="H1482" s="1" t="str">
        <f>VLOOKUP(G1482,'languoid 4.0'!$A$1:$I$24439,2,FALSE)</f>
        <v>kxaa1236</v>
      </c>
      <c r="I1482" s="1" t="str">
        <f>VLOOKUP(G1482,'languoid 4.0'!$A$1:$I$24439,6,FALSE)</f>
        <v>language</v>
      </c>
      <c r="J1482" s="15" t="s">
        <v>52</v>
      </c>
      <c r="K1482" s="15" t="s">
        <v>51</v>
      </c>
      <c r="L1482" s="15" t="s">
        <v>51</v>
      </c>
      <c r="M1482" s="1"/>
      <c r="N1482" s="1" t="e">
        <v>#N/A</v>
      </c>
      <c r="O1482" s="15" t="s">
        <v>690</v>
      </c>
      <c r="P1482" s="15"/>
      <c r="Q1482" s="1" t="s">
        <v>3877</v>
      </c>
      <c r="R1482" s="2" t="s">
        <v>3878</v>
      </c>
      <c r="S1482" s="1" t="s">
        <v>46</v>
      </c>
      <c r="T1482" s="1" t="s">
        <v>635</v>
      </c>
      <c r="U1482" s="1" t="s">
        <v>636</v>
      </c>
      <c r="V1482" s="1" t="s">
        <v>45</v>
      </c>
      <c r="W1482" s="1"/>
      <c r="X1482" s="1"/>
      <c r="Y1482" s="1"/>
      <c r="Z1482" s="1" t="s">
        <v>658</v>
      </c>
      <c r="AA1482" s="1" t="s">
        <v>3879</v>
      </c>
      <c r="AB1482" s="1" t="s">
        <v>3880</v>
      </c>
      <c r="AC1482" s="1" t="s">
        <v>46</v>
      </c>
      <c r="AD1482" s="1"/>
      <c r="AE1482" s="1" t="s">
        <v>641</v>
      </c>
      <c r="AF1482" s="1" t="s">
        <v>190</v>
      </c>
      <c r="AG1482" s="1">
        <v>6</v>
      </c>
      <c r="AH1482" s="1" t="s">
        <v>190</v>
      </c>
      <c r="AI1482" s="1"/>
      <c r="AJ1482" s="1" t="s">
        <v>3881</v>
      </c>
      <c r="AK1482" s="1" t="s">
        <v>1749</v>
      </c>
    </row>
    <row r="1483" spans="1:37">
      <c r="A1483" s="1" t="str">
        <f>VLOOKUP(H1483,Languages!$A$2:$B$430,2,FALSE)</f>
        <v>Kxa</v>
      </c>
      <c r="B1483" s="1" t="s">
        <v>59</v>
      </c>
      <c r="C1483" s="1" t="s">
        <v>255</v>
      </c>
      <c r="D1483" s="1" t="s">
        <v>3876</v>
      </c>
      <c r="E1483" s="15" t="s">
        <v>51</v>
      </c>
      <c r="F1483" s="15" t="s">
        <v>2094</v>
      </c>
      <c r="G1483" s="1" t="s">
        <v>2093</v>
      </c>
      <c r="H1483" s="1" t="str">
        <f>VLOOKUP(G1483,'languoid 4.0'!$A$1:$I$24439,2,FALSE)</f>
        <v>kxaa1236</v>
      </c>
      <c r="I1483" s="1" t="str">
        <f>VLOOKUP(G1483,'languoid 4.0'!$A$1:$I$24439,6,FALSE)</f>
        <v>language</v>
      </c>
      <c r="J1483" s="15" t="s">
        <v>52</v>
      </c>
      <c r="K1483" s="15" t="s">
        <v>51</v>
      </c>
      <c r="L1483" s="15" t="s">
        <v>51</v>
      </c>
      <c r="M1483" s="1"/>
      <c r="N1483" s="1" t="e">
        <v>#N/A</v>
      </c>
      <c r="O1483" s="15" t="s">
        <v>690</v>
      </c>
      <c r="P1483" s="15"/>
      <c r="Q1483" s="1" t="s">
        <v>3882</v>
      </c>
      <c r="R1483" s="2" t="s">
        <v>3883</v>
      </c>
      <c r="S1483" s="1" t="s">
        <v>46</v>
      </c>
      <c r="T1483" s="1" t="s">
        <v>635</v>
      </c>
      <c r="U1483" s="1" t="s">
        <v>636</v>
      </c>
      <c r="V1483" s="1" t="s">
        <v>45</v>
      </c>
      <c r="W1483" s="1"/>
      <c r="X1483" s="1"/>
      <c r="Y1483" s="1"/>
      <c r="Z1483" s="1" t="s">
        <v>658</v>
      </c>
      <c r="AA1483" s="1" t="s">
        <v>3884</v>
      </c>
      <c r="AB1483" s="1" t="s">
        <v>3885</v>
      </c>
      <c r="AC1483" s="1" t="s">
        <v>46</v>
      </c>
      <c r="AD1483" s="1"/>
      <c r="AE1483" s="1" t="s">
        <v>641</v>
      </c>
      <c r="AF1483" s="1" t="s">
        <v>190</v>
      </c>
      <c r="AG1483" s="1">
        <v>6</v>
      </c>
      <c r="AH1483" s="1" t="s">
        <v>190</v>
      </c>
      <c r="AI1483" s="1"/>
      <c r="AJ1483" s="1" t="s">
        <v>3886</v>
      </c>
      <c r="AK1483" s="1" t="s">
        <v>1749</v>
      </c>
    </row>
    <row r="1484" spans="1:37">
      <c r="A1484" s="1" t="str">
        <f>VLOOKUP(H1484,Languages!$A$2:$B$430,2,FALSE)</f>
        <v>Maban</v>
      </c>
      <c r="B1484" s="1" t="s">
        <v>35</v>
      </c>
      <c r="C1484" s="1" t="s">
        <v>255</v>
      </c>
      <c r="D1484" s="1" t="s">
        <v>4078</v>
      </c>
      <c r="E1484" s="15" t="s">
        <v>4079</v>
      </c>
      <c r="F1484" s="15" t="s">
        <v>4079</v>
      </c>
      <c r="G1484" s="1" t="s">
        <v>4079</v>
      </c>
      <c r="H1484" s="1" t="str">
        <f>VLOOKUP(G1484,'languoid 4.0'!$A$1:$I$24439,2,FALSE)</f>
        <v>maba1274</v>
      </c>
      <c r="I1484" s="1" t="str">
        <f>VLOOKUP(G1484,'languoid 4.0'!$A$1:$I$24439,6,FALSE)</f>
        <v>language</v>
      </c>
      <c r="J1484" s="15" t="s">
        <v>38</v>
      </c>
      <c r="K1484" s="15" t="s">
        <v>38</v>
      </c>
      <c r="L1484" s="15" t="s">
        <v>38</v>
      </c>
      <c r="M1484" s="1"/>
      <c r="N1484" s="1" t="s">
        <v>4080</v>
      </c>
      <c r="O1484" s="15" t="s">
        <v>40</v>
      </c>
      <c r="P1484" s="15" t="s">
        <v>41</v>
      </c>
      <c r="Q1484" s="1" t="s">
        <v>4081</v>
      </c>
      <c r="R1484" s="2" t="s">
        <v>4082</v>
      </c>
      <c r="S1484" s="1" t="s">
        <v>46</v>
      </c>
      <c r="T1484" s="1" t="s">
        <v>3824</v>
      </c>
      <c r="U1484" s="1" t="s">
        <v>636</v>
      </c>
      <c r="V1484" s="1" t="s">
        <v>45</v>
      </c>
      <c r="W1484" s="1"/>
      <c r="X1484" s="1"/>
      <c r="Y1484" s="1"/>
      <c r="Z1484" s="1" t="s">
        <v>658</v>
      </c>
      <c r="AA1484" s="1" t="s">
        <v>4083</v>
      </c>
      <c r="AB1484" s="1" t="s">
        <v>4084</v>
      </c>
      <c r="AC1484" s="1" t="s">
        <v>4085</v>
      </c>
      <c r="AD1484" s="1"/>
      <c r="AE1484" s="1" t="s">
        <v>641</v>
      </c>
      <c r="AF1484" s="1" t="s">
        <v>190</v>
      </c>
      <c r="AG1484" s="1">
        <v>6</v>
      </c>
      <c r="AH1484" s="1" t="s">
        <v>190</v>
      </c>
      <c r="AI1484" s="1"/>
      <c r="AJ1484" s="1" t="s">
        <v>4086</v>
      </c>
      <c r="AK1484" s="1" t="s">
        <v>1749</v>
      </c>
    </row>
    <row r="1485" spans="1:37">
      <c r="A1485" s="1" t="str">
        <f>VLOOKUP(H1485,Languages!$A$2:$B$430,2,FALSE)</f>
        <v>Mande</v>
      </c>
      <c r="B1485" s="1" t="s">
        <v>1726</v>
      </c>
      <c r="C1485" s="1" t="s">
        <v>132</v>
      </c>
      <c r="D1485" s="1" t="s">
        <v>2670</v>
      </c>
      <c r="E1485" s="15" t="s">
        <v>51</v>
      </c>
      <c r="F1485" s="15" t="s">
        <v>51</v>
      </c>
      <c r="G1485" s="1" t="s">
        <v>2671</v>
      </c>
      <c r="H1485" s="1" t="str">
        <f>VLOOKUP(G1485,'languoid 4.0'!$A$1:$I$24439,2,FALSE)</f>
        <v>mand1469</v>
      </c>
      <c r="I1485" s="1" t="str">
        <f>VLOOKUP(G1485,'languoid 4.0'!$A$1:$I$24439,6,FALSE)</f>
        <v>family</v>
      </c>
      <c r="J1485" s="15" t="s">
        <v>51</v>
      </c>
      <c r="K1485" s="15" t="s">
        <v>51</v>
      </c>
      <c r="L1485" s="15" t="s">
        <v>51</v>
      </c>
      <c r="M1485" s="1"/>
      <c r="N1485" s="1" t="e">
        <v>#N/A</v>
      </c>
      <c r="O1485" s="15" t="s">
        <v>690</v>
      </c>
      <c r="P1485" s="15"/>
      <c r="Q1485" s="1" t="s">
        <v>2672</v>
      </c>
      <c r="R1485" s="2" t="s">
        <v>2673</v>
      </c>
      <c r="S1485" s="1" t="s">
        <v>46</v>
      </c>
      <c r="T1485" s="1" t="s">
        <v>635</v>
      </c>
      <c r="U1485" s="1" t="s">
        <v>2674</v>
      </c>
      <c r="V1485" s="1" t="s">
        <v>45</v>
      </c>
      <c r="W1485" s="1"/>
      <c r="X1485" s="1"/>
      <c r="Y1485" s="1"/>
      <c r="Z1485" s="1" t="s">
        <v>658</v>
      </c>
      <c r="AA1485" s="1" t="s">
        <v>2675</v>
      </c>
      <c r="AB1485" s="1" t="s">
        <v>2676</v>
      </c>
      <c r="AC1485" s="1" t="s">
        <v>46</v>
      </c>
      <c r="AD1485" s="1"/>
      <c r="AE1485" s="1" t="s">
        <v>641</v>
      </c>
      <c r="AF1485" s="1" t="s">
        <v>190</v>
      </c>
      <c r="AG1485" s="1">
        <v>6</v>
      </c>
      <c r="AH1485" s="1" t="s">
        <v>190</v>
      </c>
      <c r="AI1485" s="1"/>
      <c r="AJ1485" s="3">
        <v>43285.829212962963</v>
      </c>
      <c r="AK1485" s="1" t="s">
        <v>1034</v>
      </c>
    </row>
    <row r="1486" spans="1:37">
      <c r="A1486" s="1" t="str">
        <f>VLOOKUP(H1486,Languages!$A$2:$B$430,2,FALSE)</f>
        <v>Mande</v>
      </c>
      <c r="B1486" s="1" t="s">
        <v>1726</v>
      </c>
      <c r="C1486" s="1" t="s">
        <v>132</v>
      </c>
      <c r="D1486" s="1" t="s">
        <v>4246</v>
      </c>
      <c r="E1486" s="15" t="s">
        <v>4247</v>
      </c>
      <c r="F1486" s="15" t="s">
        <v>4248</v>
      </c>
      <c r="G1486" s="1" t="s">
        <v>4247</v>
      </c>
      <c r="H1486" s="1" t="str">
        <f>VLOOKUP(G1486,'languoid 4.0'!$A$1:$I$24439,2,FALSE)</f>
        <v>mand1469</v>
      </c>
      <c r="I1486" s="1" t="str">
        <f>VLOOKUP(G1486,'languoid 4.0'!$A$1:$I$24439,6,FALSE)</f>
        <v>language</v>
      </c>
      <c r="J1486" s="15" t="s">
        <v>52</v>
      </c>
      <c r="K1486" s="15" t="s">
        <v>38</v>
      </c>
      <c r="L1486" s="15" t="s">
        <v>38</v>
      </c>
      <c r="M1486" s="1"/>
      <c r="N1486" s="1" t="s">
        <v>4249</v>
      </c>
      <c r="O1486" s="15" t="s">
        <v>40</v>
      </c>
      <c r="P1486" s="15" t="s">
        <v>41</v>
      </c>
      <c r="Q1486" s="1" t="s">
        <v>2672</v>
      </c>
      <c r="R1486" s="2" t="s">
        <v>2673</v>
      </c>
      <c r="S1486" s="1" t="s">
        <v>46</v>
      </c>
      <c r="T1486" s="1" t="s">
        <v>635</v>
      </c>
      <c r="U1486" s="1" t="s">
        <v>2674</v>
      </c>
      <c r="V1486" s="1" t="s">
        <v>45</v>
      </c>
      <c r="W1486" s="1"/>
      <c r="X1486" s="1"/>
      <c r="Y1486" s="1"/>
      <c r="Z1486" s="1" t="s">
        <v>658</v>
      </c>
      <c r="AA1486" s="1" t="s">
        <v>4250</v>
      </c>
      <c r="AB1486" s="1" t="s">
        <v>4251</v>
      </c>
      <c r="AC1486" s="1" t="s">
        <v>46</v>
      </c>
      <c r="AD1486" s="1"/>
      <c r="AE1486" s="1" t="s">
        <v>641</v>
      </c>
      <c r="AF1486" s="1" t="s">
        <v>190</v>
      </c>
      <c r="AG1486" s="1">
        <v>6</v>
      </c>
      <c r="AH1486" s="1" t="s">
        <v>190</v>
      </c>
      <c r="AI1486" s="1"/>
      <c r="AJ1486" s="1" t="s">
        <v>4252</v>
      </c>
      <c r="AK1486" s="1" t="s">
        <v>1034</v>
      </c>
    </row>
    <row r="1487" spans="1:37">
      <c r="A1487" s="1" t="str">
        <f>VLOOKUP(H1487,Languages!$A$2:$B$430,2,FALSE)</f>
        <v>Mande</v>
      </c>
      <c r="B1487" s="1" t="s">
        <v>1726</v>
      </c>
      <c r="C1487" s="1" t="s">
        <v>132</v>
      </c>
      <c r="D1487" s="1" t="s">
        <v>4253</v>
      </c>
      <c r="E1487" s="15" t="s">
        <v>4247</v>
      </c>
      <c r="F1487" s="15" t="s">
        <v>4248</v>
      </c>
      <c r="G1487" s="1" t="s">
        <v>4247</v>
      </c>
      <c r="H1487" s="1" t="str">
        <f>VLOOKUP(G1487,'languoid 4.0'!$A$1:$I$24439,2,FALSE)</f>
        <v>mand1469</v>
      </c>
      <c r="I1487" s="1" t="str">
        <f>VLOOKUP(G1487,'languoid 4.0'!$A$1:$I$24439,6,FALSE)</f>
        <v>language</v>
      </c>
      <c r="J1487" s="15" t="s">
        <v>52</v>
      </c>
      <c r="K1487" s="15" t="s">
        <v>38</v>
      </c>
      <c r="L1487" s="15" t="s">
        <v>38</v>
      </c>
      <c r="M1487" s="1"/>
      <c r="N1487" s="1" t="s">
        <v>4249</v>
      </c>
      <c r="O1487" s="15" t="s">
        <v>40</v>
      </c>
      <c r="P1487" s="15" t="s">
        <v>41</v>
      </c>
      <c r="Q1487" s="1" t="s">
        <v>4254</v>
      </c>
      <c r="R1487" s="2" t="s">
        <v>4255</v>
      </c>
      <c r="S1487" s="1" t="s">
        <v>46</v>
      </c>
      <c r="T1487" s="1" t="s">
        <v>635</v>
      </c>
      <c r="U1487" s="1" t="s">
        <v>2674</v>
      </c>
      <c r="V1487" s="1" t="s">
        <v>45</v>
      </c>
      <c r="W1487" s="1"/>
      <c r="X1487" s="1"/>
      <c r="Y1487" s="1"/>
      <c r="Z1487" s="1" t="s">
        <v>658</v>
      </c>
      <c r="AA1487" s="1" t="s">
        <v>4256</v>
      </c>
      <c r="AB1487" s="1" t="s">
        <v>4257</v>
      </c>
      <c r="AC1487" s="1" t="s">
        <v>46</v>
      </c>
      <c r="AD1487" s="1"/>
      <c r="AE1487" s="1" t="s">
        <v>641</v>
      </c>
      <c r="AF1487" s="1" t="s">
        <v>190</v>
      </c>
      <c r="AG1487" s="1">
        <v>6</v>
      </c>
      <c r="AH1487" s="1" t="s">
        <v>190</v>
      </c>
      <c r="AI1487" s="1"/>
      <c r="AJ1487" s="1" t="s">
        <v>4258</v>
      </c>
      <c r="AK1487" s="1" t="s">
        <v>1034</v>
      </c>
    </row>
    <row r="1488" spans="1:37">
      <c r="A1488" s="1" t="str">
        <f>VLOOKUP(H1488,Languages!$A$2:$B$430,2,FALSE)</f>
        <v>Matacoan</v>
      </c>
      <c r="B1488" s="1" t="s">
        <v>67</v>
      </c>
      <c r="C1488" s="1" t="s">
        <v>206</v>
      </c>
      <c r="D1488" s="1" t="s">
        <v>388</v>
      </c>
      <c r="E1488" s="15" t="s">
        <v>389</v>
      </c>
      <c r="F1488" s="15" t="s">
        <v>598</v>
      </c>
      <c r="G1488" s="1" t="s">
        <v>598</v>
      </c>
      <c r="H1488" s="1" t="str">
        <f>VLOOKUP(G1488,'languoid 4.0'!$A$1:$I$24439,2,FALSE)</f>
        <v>mata1289</v>
      </c>
      <c r="I1488" s="1" t="str">
        <f>VLOOKUP(G1488,'languoid 4.0'!$A$1:$I$24439,6,FALSE)</f>
        <v>family</v>
      </c>
      <c r="J1488" s="15" t="s">
        <v>52</v>
      </c>
      <c r="K1488" s="15" t="s">
        <v>368</v>
      </c>
      <c r="L1488" s="15" t="s">
        <v>38</v>
      </c>
      <c r="M1488" s="1"/>
      <c r="N1488" s="1"/>
      <c r="O1488" s="15" t="s">
        <v>40</v>
      </c>
      <c r="P1488" s="15" t="s">
        <v>41</v>
      </c>
      <c r="Q1488" s="1" t="s">
        <v>599</v>
      </c>
      <c r="R1488" s="2" t="s">
        <v>391</v>
      </c>
      <c r="S1488" s="1" t="s">
        <v>600</v>
      </c>
      <c r="T1488" s="1" t="s">
        <v>44</v>
      </c>
      <c r="U1488" s="1"/>
      <c r="V1488" s="1" t="s">
        <v>45</v>
      </c>
      <c r="W1488" s="1"/>
      <c r="X1488" s="1"/>
      <c r="Y1488" s="1"/>
      <c r="Z1488" s="1"/>
      <c r="AA1488" s="1">
        <v>2</v>
      </c>
      <c r="AB1488" s="1">
        <v>2</v>
      </c>
      <c r="AC1488" s="1" t="s">
        <v>46</v>
      </c>
      <c r="AD1488" s="1"/>
      <c r="AE1488" s="1"/>
      <c r="AF1488" s="1"/>
      <c r="AG1488" s="1"/>
      <c r="AH1488" s="1"/>
      <c r="AI1488" s="1"/>
      <c r="AJ1488" s="3">
        <v>43102.763842592591</v>
      </c>
      <c r="AK1488" s="1" t="s">
        <v>57</v>
      </c>
    </row>
    <row r="1489" spans="1:37">
      <c r="A1489" s="1" t="str">
        <f>VLOOKUP(H1489,Languages!$A$2:$B$430,2,FALSE)</f>
        <v>Matacoan</v>
      </c>
      <c r="B1489" s="1" t="s">
        <v>67</v>
      </c>
      <c r="C1489" s="1" t="s">
        <v>206</v>
      </c>
      <c r="D1489" s="1" t="s">
        <v>2594</v>
      </c>
      <c r="E1489" s="15" t="s">
        <v>2595</v>
      </c>
      <c r="F1489" s="15" t="s">
        <v>389</v>
      </c>
      <c r="G1489" s="1" t="s">
        <v>598</v>
      </c>
      <c r="H1489" s="1" t="str">
        <f>VLOOKUP(G1489,'languoid 4.0'!$A$1:$I$24439,2,FALSE)</f>
        <v>mata1289</v>
      </c>
      <c r="I1489" s="1" t="str">
        <f>VLOOKUP(G1489,'languoid 4.0'!$A$1:$I$24439,6,FALSE)</f>
        <v>family</v>
      </c>
      <c r="J1489" s="15" t="s">
        <v>52</v>
      </c>
      <c r="K1489" s="15" t="s">
        <v>368</v>
      </c>
      <c r="L1489" s="15" t="s">
        <v>38</v>
      </c>
      <c r="M1489" s="1"/>
      <c r="N1489" s="1" t="s">
        <v>2596</v>
      </c>
      <c r="O1489" s="15" t="s">
        <v>40</v>
      </c>
      <c r="P1489" s="15" t="s">
        <v>41</v>
      </c>
      <c r="Q1489" s="1" t="s">
        <v>2597</v>
      </c>
      <c r="R1489" s="2" t="s">
        <v>2598</v>
      </c>
      <c r="S1489" s="1" t="s">
        <v>46</v>
      </c>
      <c r="T1489" s="1" t="s">
        <v>635</v>
      </c>
      <c r="U1489" s="1" t="s">
        <v>636</v>
      </c>
      <c r="V1489" s="1" t="s">
        <v>45</v>
      </c>
      <c r="W1489" s="1"/>
      <c r="X1489" s="1"/>
      <c r="Y1489" s="1"/>
      <c r="Z1489" s="1" t="s">
        <v>658</v>
      </c>
      <c r="AA1489" s="1" t="s">
        <v>2599</v>
      </c>
      <c r="AB1489" s="1" t="s">
        <v>2534</v>
      </c>
      <c r="AC1489" s="1" t="s">
        <v>2534</v>
      </c>
      <c r="AD1489" s="1" t="s">
        <v>2600</v>
      </c>
      <c r="AE1489" s="1" t="s">
        <v>641</v>
      </c>
      <c r="AF1489" s="1" t="s">
        <v>190</v>
      </c>
      <c r="AG1489" s="1">
        <v>5</v>
      </c>
      <c r="AH1489" s="1" t="s">
        <v>190</v>
      </c>
      <c r="AI1489" s="1"/>
      <c r="AJ1489" s="3">
        <v>43255.589918981481</v>
      </c>
      <c r="AK1489" s="1" t="s">
        <v>1246</v>
      </c>
    </row>
    <row r="1490" spans="1:37">
      <c r="A1490" s="1" t="str">
        <f>VLOOKUP(H1490,Languages!$A$2:$B$430,2,FALSE)</f>
        <v>Matacoan</v>
      </c>
      <c r="B1490" s="1" t="s">
        <v>67</v>
      </c>
      <c r="C1490" s="1" t="s">
        <v>206</v>
      </c>
      <c r="D1490" s="1" t="s">
        <v>2594</v>
      </c>
      <c r="E1490" s="15" t="s">
        <v>2595</v>
      </c>
      <c r="F1490" s="15" t="s">
        <v>389</v>
      </c>
      <c r="G1490" s="1" t="s">
        <v>598</v>
      </c>
      <c r="H1490" s="1" t="str">
        <f>VLOOKUP(G1490,'languoid 4.0'!$A$1:$I$24439,2,FALSE)</f>
        <v>mata1289</v>
      </c>
      <c r="I1490" s="1" t="str">
        <f>VLOOKUP(G1490,'languoid 4.0'!$A$1:$I$24439,6,FALSE)</f>
        <v>family</v>
      </c>
      <c r="J1490" s="15" t="s">
        <v>52</v>
      </c>
      <c r="K1490" s="15" t="s">
        <v>368</v>
      </c>
      <c r="L1490" s="15" t="s">
        <v>38</v>
      </c>
      <c r="M1490" s="1"/>
      <c r="N1490" s="1" t="s">
        <v>2596</v>
      </c>
      <c r="O1490" s="15" t="s">
        <v>40</v>
      </c>
      <c r="P1490" s="15" t="s">
        <v>41</v>
      </c>
      <c r="Q1490" s="1" t="s">
        <v>2601</v>
      </c>
      <c r="R1490" s="2" t="s">
        <v>2602</v>
      </c>
      <c r="S1490" s="1" t="s">
        <v>2534</v>
      </c>
      <c r="T1490" s="1" t="s">
        <v>635</v>
      </c>
      <c r="U1490" s="1" t="s">
        <v>59</v>
      </c>
      <c r="V1490" s="1" t="s">
        <v>45</v>
      </c>
      <c r="W1490" s="1"/>
      <c r="X1490" s="1"/>
      <c r="Y1490" s="1"/>
      <c r="Z1490" s="1" t="s">
        <v>658</v>
      </c>
      <c r="AA1490" s="1" t="s">
        <v>2603</v>
      </c>
      <c r="AB1490" s="1" t="s">
        <v>2534</v>
      </c>
      <c r="AC1490" s="1" t="s">
        <v>2534</v>
      </c>
      <c r="AD1490" s="1" t="s">
        <v>2604</v>
      </c>
      <c r="AE1490" s="1" t="s">
        <v>641</v>
      </c>
      <c r="AF1490" s="1" t="s">
        <v>190</v>
      </c>
      <c r="AG1490" s="1">
        <v>6</v>
      </c>
      <c r="AH1490" s="1" t="s">
        <v>190</v>
      </c>
      <c r="AI1490" s="1"/>
      <c r="AJ1490" s="3">
        <v>43255.595960648148</v>
      </c>
      <c r="AK1490" s="1" t="s">
        <v>1246</v>
      </c>
    </row>
    <row r="1491" spans="1:37">
      <c r="A1491" s="1" t="str">
        <f>VLOOKUP(H1491,Languages!$A$2:$B$430,2,FALSE)</f>
        <v>Matacoan</v>
      </c>
      <c r="B1491" s="1" t="s">
        <v>67</v>
      </c>
      <c r="C1491" s="1" t="s">
        <v>206</v>
      </c>
      <c r="D1491" s="1" t="s">
        <v>2594</v>
      </c>
      <c r="E1491" s="15" t="s">
        <v>2595</v>
      </c>
      <c r="F1491" s="15" t="s">
        <v>389</v>
      </c>
      <c r="G1491" s="1" t="s">
        <v>598</v>
      </c>
      <c r="H1491" s="1" t="str">
        <f>VLOOKUP(G1491,'languoid 4.0'!$A$1:$I$24439,2,FALSE)</f>
        <v>mata1289</v>
      </c>
      <c r="I1491" s="1" t="str">
        <f>VLOOKUP(G1491,'languoid 4.0'!$A$1:$I$24439,6,FALSE)</f>
        <v>family</v>
      </c>
      <c r="J1491" s="15" t="s">
        <v>52</v>
      </c>
      <c r="K1491" s="15" t="s">
        <v>368</v>
      </c>
      <c r="L1491" s="15" t="s">
        <v>38</v>
      </c>
      <c r="M1491" s="1"/>
      <c r="N1491" s="1" t="s">
        <v>2596</v>
      </c>
      <c r="O1491" s="15" t="s">
        <v>40</v>
      </c>
      <c r="P1491" s="15" t="s">
        <v>41</v>
      </c>
      <c r="Q1491" s="1" t="s">
        <v>2613</v>
      </c>
      <c r="R1491" s="2" t="s">
        <v>2614</v>
      </c>
      <c r="S1491" s="1" t="s">
        <v>2534</v>
      </c>
      <c r="T1491" s="1" t="s">
        <v>635</v>
      </c>
      <c r="U1491" s="1" t="s">
        <v>636</v>
      </c>
      <c r="V1491" s="1" t="s">
        <v>45</v>
      </c>
      <c r="W1491" s="1"/>
      <c r="X1491" s="1"/>
      <c r="Y1491" s="1"/>
      <c r="Z1491" s="1" t="s">
        <v>658</v>
      </c>
      <c r="AA1491" s="1" t="s">
        <v>2615</v>
      </c>
      <c r="AB1491" s="1" t="s">
        <v>2534</v>
      </c>
      <c r="AC1491" s="1" t="s">
        <v>2534</v>
      </c>
      <c r="AD1491" s="1" t="s">
        <v>2616</v>
      </c>
      <c r="AE1491" s="1" t="s">
        <v>641</v>
      </c>
      <c r="AF1491" s="1" t="s">
        <v>190</v>
      </c>
      <c r="AG1491" s="1">
        <v>5</v>
      </c>
      <c r="AH1491" s="1" t="s">
        <v>190</v>
      </c>
      <c r="AI1491" s="1"/>
      <c r="AJ1491" s="3">
        <v>43255.600347222222</v>
      </c>
      <c r="AK1491" s="1" t="s">
        <v>1246</v>
      </c>
    </row>
    <row r="1492" spans="1:37">
      <c r="A1492" s="1" t="str">
        <f>VLOOKUP(H1492,Languages!$A$2:$B$430,2,FALSE)</f>
        <v>Matacoan</v>
      </c>
      <c r="B1492" s="1" t="s">
        <v>1812</v>
      </c>
      <c r="C1492" s="1" t="s">
        <v>407</v>
      </c>
      <c r="D1492" s="1" t="s">
        <v>388</v>
      </c>
      <c r="E1492" s="15" t="s">
        <v>10921</v>
      </c>
      <c r="F1492" s="15" t="s">
        <v>10921</v>
      </c>
      <c r="G1492" s="1" t="s">
        <v>10921</v>
      </c>
      <c r="H1492" s="1" t="str">
        <f>VLOOKUP(G1492,'languoid 4.0'!$A$1:$I$24439,2,FALSE)</f>
        <v>mata1289</v>
      </c>
      <c r="I1492" s="1" t="str">
        <f>VLOOKUP(G1492,'languoid 4.0'!$A$1:$I$24439,6,FALSE)</f>
        <v>language</v>
      </c>
      <c r="J1492" s="15" t="s">
        <v>38</v>
      </c>
      <c r="K1492" s="15" t="s">
        <v>38</v>
      </c>
      <c r="L1492" s="15" t="s">
        <v>38</v>
      </c>
      <c r="M1492" s="1"/>
      <c r="N1492" s="1" t="s">
        <v>10922</v>
      </c>
      <c r="O1492" s="15" t="s">
        <v>40</v>
      </c>
      <c r="P1492" s="15" t="s">
        <v>41</v>
      </c>
      <c r="Q1492" s="1" t="s">
        <v>10923</v>
      </c>
      <c r="R1492" s="2" t="s">
        <v>10924</v>
      </c>
      <c r="S1492" s="1" t="s">
        <v>46</v>
      </c>
      <c r="T1492" s="1" t="s">
        <v>2967</v>
      </c>
      <c r="U1492" s="1" t="s">
        <v>636</v>
      </c>
      <c r="V1492" s="1" t="s">
        <v>45</v>
      </c>
      <c r="W1492" s="1"/>
      <c r="X1492" s="1"/>
      <c r="Y1492" s="1"/>
      <c r="Z1492" s="1" t="s">
        <v>658</v>
      </c>
      <c r="AA1492" s="1" t="s">
        <v>10925</v>
      </c>
      <c r="AB1492" s="1" t="s">
        <v>46</v>
      </c>
      <c r="AC1492" s="1" t="s">
        <v>46</v>
      </c>
      <c r="AD1492" s="1"/>
      <c r="AE1492" s="1" t="s">
        <v>641</v>
      </c>
      <c r="AF1492" s="1" t="s">
        <v>190</v>
      </c>
      <c r="AG1492" s="1">
        <v>5</v>
      </c>
      <c r="AH1492" s="1" t="s">
        <v>190</v>
      </c>
      <c r="AI1492" s="1"/>
      <c r="AJ1492" s="1" t="s">
        <v>10926</v>
      </c>
      <c r="AK1492" s="1" t="s">
        <v>10927</v>
      </c>
    </row>
    <row r="1493" spans="1:37">
      <c r="A1493" s="1" t="str">
        <f>VLOOKUP(H1493,Languages!$A$2:$B$430,2,FALSE)</f>
        <v>Mayan</v>
      </c>
      <c r="B1493" s="1" t="s">
        <v>67</v>
      </c>
      <c r="C1493" s="1" t="s">
        <v>267</v>
      </c>
      <c r="D1493" s="1" t="s">
        <v>5917</v>
      </c>
      <c r="E1493" s="15" t="s">
        <v>5910</v>
      </c>
      <c r="F1493" s="15" t="s">
        <v>5911</v>
      </c>
      <c r="G1493" s="1" t="s">
        <v>5910</v>
      </c>
      <c r="H1493" s="1" t="str">
        <f>VLOOKUP(G1493,'languoid 4.0'!$A$1:$I$24439,2,FALSE)</f>
        <v>maya1287</v>
      </c>
      <c r="I1493" s="1" t="str">
        <f>VLOOKUP(G1493,'languoid 4.0'!$A$1:$I$24439,6,FALSE)</f>
        <v>language</v>
      </c>
      <c r="J1493" s="15" t="s">
        <v>52</v>
      </c>
      <c r="K1493" s="15" t="s">
        <v>368</v>
      </c>
      <c r="L1493" s="15" t="s">
        <v>38</v>
      </c>
      <c r="M1493" s="1"/>
      <c r="N1493" s="1" t="s">
        <v>5912</v>
      </c>
      <c r="O1493" s="15" t="s">
        <v>40</v>
      </c>
      <c r="P1493" s="15" t="s">
        <v>41</v>
      </c>
      <c r="Q1493" s="1" t="s">
        <v>5918</v>
      </c>
      <c r="R1493" s="2" t="s">
        <v>5919</v>
      </c>
      <c r="S1493" s="1" t="s">
        <v>46</v>
      </c>
      <c r="T1493" s="1" t="s">
        <v>635</v>
      </c>
      <c r="U1493" s="1" t="s">
        <v>636</v>
      </c>
      <c r="V1493" s="1" t="s">
        <v>45</v>
      </c>
      <c r="W1493" s="1"/>
      <c r="X1493" s="1"/>
      <c r="Y1493" s="1"/>
      <c r="Z1493" s="1" t="s">
        <v>637</v>
      </c>
      <c r="AA1493" s="1" t="s">
        <v>5920</v>
      </c>
      <c r="AB1493" s="1" t="s">
        <v>5921</v>
      </c>
      <c r="AC1493" s="1" t="s">
        <v>46</v>
      </c>
      <c r="AD1493" s="1"/>
      <c r="AE1493" s="1" t="s">
        <v>641</v>
      </c>
      <c r="AF1493" s="1" t="s">
        <v>190</v>
      </c>
      <c r="AG1493" s="1">
        <v>6</v>
      </c>
      <c r="AH1493" s="1" t="s">
        <v>190</v>
      </c>
      <c r="AI1493" s="1"/>
      <c r="AJ1493" s="1" t="s">
        <v>5922</v>
      </c>
      <c r="AK1493" s="1" t="s">
        <v>5908</v>
      </c>
    </row>
    <row r="1494" spans="1:37">
      <c r="A1494" s="1" t="str">
        <f>VLOOKUP(H1494,Languages!$A$2:$B$430,2,FALSE)</f>
        <v>Mayan</v>
      </c>
      <c r="B1494" s="1" t="s">
        <v>67</v>
      </c>
      <c r="C1494" s="1" t="s">
        <v>267</v>
      </c>
      <c r="D1494" s="1" t="s">
        <v>8480</v>
      </c>
      <c r="E1494" s="15" t="s">
        <v>8481</v>
      </c>
      <c r="F1494" s="15" t="s">
        <v>8481</v>
      </c>
      <c r="G1494" s="1" t="s">
        <v>8481</v>
      </c>
      <c r="H1494" s="1" t="str">
        <f>VLOOKUP(G1494,'languoid 4.0'!$A$1:$I$24439,2,FALSE)</f>
        <v>maya1287</v>
      </c>
      <c r="I1494" s="1" t="str">
        <f>VLOOKUP(G1494,'languoid 4.0'!$A$1:$I$24439,6,FALSE)</f>
        <v>language</v>
      </c>
      <c r="J1494" s="15" t="s">
        <v>38</v>
      </c>
      <c r="K1494" s="15" t="s">
        <v>38</v>
      </c>
      <c r="L1494" s="15" t="s">
        <v>38</v>
      </c>
      <c r="M1494" s="1"/>
      <c r="N1494" s="1" t="s">
        <v>8482</v>
      </c>
      <c r="O1494" s="15" t="s">
        <v>40</v>
      </c>
      <c r="P1494" s="15" t="s">
        <v>41</v>
      </c>
      <c r="Q1494" s="1" t="s">
        <v>8483</v>
      </c>
      <c r="R1494" s="2" t="s">
        <v>8484</v>
      </c>
      <c r="S1494" s="1">
        <v>108</v>
      </c>
      <c r="T1494" s="1" t="s">
        <v>657</v>
      </c>
      <c r="U1494" s="1" t="s">
        <v>636</v>
      </c>
      <c r="V1494" s="1" t="s">
        <v>45</v>
      </c>
      <c r="W1494" s="1"/>
      <c r="X1494" s="1"/>
      <c r="Y1494" s="1"/>
      <c r="Z1494" s="1" t="s">
        <v>637</v>
      </c>
      <c r="AA1494" s="1" t="s">
        <v>46</v>
      </c>
      <c r="AB1494" s="1" t="s">
        <v>8485</v>
      </c>
      <c r="AC1494" s="1" t="s">
        <v>46</v>
      </c>
      <c r="AD1494" s="1"/>
      <c r="AE1494" s="1" t="s">
        <v>641</v>
      </c>
      <c r="AF1494" s="1" t="s">
        <v>45</v>
      </c>
      <c r="AG1494" s="1">
        <v>1</v>
      </c>
      <c r="AH1494" s="1" t="s">
        <v>190</v>
      </c>
      <c r="AI1494" s="1"/>
      <c r="AJ1494" s="3">
        <v>43168.024027777778</v>
      </c>
      <c r="AK1494" s="1" t="s">
        <v>5908</v>
      </c>
    </row>
    <row r="1495" spans="1:37">
      <c r="A1495" s="1" t="str">
        <f>VLOOKUP(H1495,Languages!$A$2:$B$430,2,FALSE)</f>
        <v>Mayan</v>
      </c>
      <c r="B1495" s="1" t="s">
        <v>67</v>
      </c>
      <c r="C1495" s="1" t="s">
        <v>267</v>
      </c>
      <c r="D1495" s="1" t="s">
        <v>9735</v>
      </c>
      <c r="E1495" s="15" t="s">
        <v>5910</v>
      </c>
      <c r="F1495" s="15" t="s">
        <v>7055</v>
      </c>
      <c r="G1495" s="1" t="s">
        <v>5910</v>
      </c>
      <c r="H1495" s="1" t="str">
        <f>VLOOKUP(G1495,'languoid 4.0'!$A$1:$I$24439,2,FALSE)</f>
        <v>maya1287</v>
      </c>
      <c r="I1495" s="1" t="str">
        <f>VLOOKUP(G1495,'languoid 4.0'!$A$1:$I$24439,6,FALSE)</f>
        <v>language</v>
      </c>
      <c r="J1495" s="15" t="s">
        <v>52</v>
      </c>
      <c r="K1495" s="15" t="s">
        <v>38</v>
      </c>
      <c r="L1495" s="15" t="s">
        <v>38</v>
      </c>
      <c r="M1495" s="1"/>
      <c r="N1495" s="1" t="s">
        <v>5912</v>
      </c>
      <c r="O1495" s="15" t="s">
        <v>40</v>
      </c>
      <c r="P1495" s="15" t="s">
        <v>41</v>
      </c>
      <c r="Q1495" s="1" t="s">
        <v>9736</v>
      </c>
      <c r="R1495" s="2" t="s">
        <v>9737</v>
      </c>
      <c r="S1495" s="1" t="s">
        <v>46</v>
      </c>
      <c r="T1495" s="1" t="s">
        <v>635</v>
      </c>
      <c r="U1495" s="1" t="s">
        <v>636</v>
      </c>
      <c r="V1495" s="1" t="s">
        <v>45</v>
      </c>
      <c r="W1495" s="1"/>
      <c r="X1495" s="1"/>
      <c r="Y1495" s="1"/>
      <c r="Z1495" s="1" t="s">
        <v>658</v>
      </c>
      <c r="AA1495" s="1" t="s">
        <v>9738</v>
      </c>
      <c r="AB1495" s="1" t="s">
        <v>46</v>
      </c>
      <c r="AC1495" s="1" t="s">
        <v>46</v>
      </c>
      <c r="AD1495" s="1"/>
      <c r="AE1495" s="1"/>
      <c r="AF1495" s="1"/>
      <c r="AG1495" s="1"/>
      <c r="AH1495" s="1" t="s">
        <v>45</v>
      </c>
      <c r="AI1495" s="1"/>
      <c r="AJ1495" s="1" t="s">
        <v>9739</v>
      </c>
      <c r="AK1495" s="1" t="s">
        <v>4945</v>
      </c>
    </row>
    <row r="1496" spans="1:37">
      <c r="A1496" s="1" t="str">
        <f>VLOOKUP(H1496,Languages!$A$2:$B$430,2,FALSE)</f>
        <v>Mayan</v>
      </c>
      <c r="B1496" s="1" t="s">
        <v>67</v>
      </c>
      <c r="C1496" s="1" t="s">
        <v>267</v>
      </c>
      <c r="D1496" s="1" t="s">
        <v>268</v>
      </c>
      <c r="E1496" s="15" t="s">
        <v>9785</v>
      </c>
      <c r="F1496" s="15" t="s">
        <v>9785</v>
      </c>
      <c r="G1496" s="1" t="s">
        <v>9785</v>
      </c>
      <c r="H1496" s="1" t="str">
        <f>VLOOKUP(G1496,'languoid 4.0'!$A$1:$I$24439,2,FALSE)</f>
        <v>maya1287</v>
      </c>
      <c r="I1496" s="1" t="str">
        <f>VLOOKUP(G1496,'languoid 4.0'!$A$1:$I$24439,6,FALSE)</f>
        <v>language</v>
      </c>
      <c r="J1496" s="15" t="s">
        <v>38</v>
      </c>
      <c r="K1496" s="15" t="s">
        <v>38</v>
      </c>
      <c r="L1496" s="15" t="s">
        <v>38</v>
      </c>
      <c r="M1496" s="1"/>
      <c r="N1496" s="1" t="s">
        <v>9786</v>
      </c>
      <c r="O1496" s="15" t="s">
        <v>40</v>
      </c>
      <c r="P1496" s="15" t="s">
        <v>41</v>
      </c>
      <c r="Q1496" s="1" t="s">
        <v>9787</v>
      </c>
      <c r="R1496" s="2" t="s">
        <v>9788</v>
      </c>
      <c r="S1496" s="1" t="s">
        <v>81</v>
      </c>
      <c r="T1496" s="1" t="s">
        <v>3307</v>
      </c>
      <c r="U1496" s="1" t="s">
        <v>636</v>
      </c>
      <c r="V1496" s="1" t="s">
        <v>45</v>
      </c>
      <c r="W1496" s="1"/>
      <c r="X1496" s="1"/>
      <c r="Y1496" s="1"/>
      <c r="Z1496" s="1" t="s">
        <v>658</v>
      </c>
      <c r="AA1496" s="1" t="s">
        <v>9789</v>
      </c>
      <c r="AB1496" s="1" t="s">
        <v>46</v>
      </c>
      <c r="AC1496" s="1" t="s">
        <v>46</v>
      </c>
      <c r="AD1496" s="1"/>
      <c r="AE1496" s="1" t="s">
        <v>641</v>
      </c>
      <c r="AF1496" s="1" t="s">
        <v>45</v>
      </c>
      <c r="AG1496" s="1">
        <v>1</v>
      </c>
      <c r="AH1496" s="1" t="s">
        <v>190</v>
      </c>
      <c r="AI1496" s="1"/>
      <c r="AJ1496" s="1" t="s">
        <v>9790</v>
      </c>
      <c r="AK1496" s="1" t="s">
        <v>4945</v>
      </c>
    </row>
    <row r="1497" spans="1:37">
      <c r="A1497" s="1" t="str">
        <f>VLOOKUP(H1497,Languages!$A$2:$B$430,2,FALSE)</f>
        <v>Mayan</v>
      </c>
      <c r="B1497" s="1" t="s">
        <v>67</v>
      </c>
      <c r="C1497" s="1" t="s">
        <v>267</v>
      </c>
      <c r="D1497" s="1" t="s">
        <v>9795</v>
      </c>
      <c r="E1497" s="15" t="s">
        <v>6934</v>
      </c>
      <c r="F1497" s="15" t="s">
        <v>6934</v>
      </c>
      <c r="G1497" s="1" t="s">
        <v>6934</v>
      </c>
      <c r="H1497" s="1" t="str">
        <f>VLOOKUP(G1497,'languoid 4.0'!$A$1:$I$24439,2,FALSE)</f>
        <v>maya1287</v>
      </c>
      <c r="I1497" s="1" t="str">
        <f>VLOOKUP(G1497,'languoid 4.0'!$A$1:$I$24439,6,FALSE)</f>
        <v>language</v>
      </c>
      <c r="J1497" s="15" t="s">
        <v>38</v>
      </c>
      <c r="K1497" s="15" t="s">
        <v>38</v>
      </c>
      <c r="L1497" s="15" t="s">
        <v>38</v>
      </c>
      <c r="M1497" s="1"/>
      <c r="N1497" s="1" t="s">
        <v>6935</v>
      </c>
      <c r="O1497" s="15" t="s">
        <v>40</v>
      </c>
      <c r="P1497" s="15" t="s">
        <v>41</v>
      </c>
      <c r="Q1497" s="1" t="s">
        <v>9799</v>
      </c>
      <c r="R1497" s="2" t="s">
        <v>9792</v>
      </c>
      <c r="S1497" s="1" t="s">
        <v>600</v>
      </c>
      <c r="T1497" s="1" t="s">
        <v>3307</v>
      </c>
      <c r="U1497" s="1" t="s">
        <v>636</v>
      </c>
      <c r="V1497" s="1" t="s">
        <v>45</v>
      </c>
      <c r="W1497" s="1"/>
      <c r="X1497" s="1"/>
      <c r="Y1497" s="1"/>
      <c r="Z1497" s="1" t="s">
        <v>658</v>
      </c>
      <c r="AA1497" s="1" t="s">
        <v>9800</v>
      </c>
      <c r="AB1497" s="1" t="s">
        <v>46</v>
      </c>
      <c r="AC1497" s="1" t="s">
        <v>46</v>
      </c>
      <c r="AD1497" s="1"/>
      <c r="AE1497" s="1" t="s">
        <v>641</v>
      </c>
      <c r="AF1497" s="1" t="s">
        <v>45</v>
      </c>
      <c r="AG1497" s="1">
        <v>1</v>
      </c>
      <c r="AH1497" s="1" t="s">
        <v>190</v>
      </c>
      <c r="AI1497" s="1"/>
      <c r="AJ1497" s="1" t="s">
        <v>9801</v>
      </c>
      <c r="AK1497" s="1" t="s">
        <v>4945</v>
      </c>
    </row>
    <row r="1498" spans="1:37">
      <c r="A1498" s="1" t="str">
        <f>VLOOKUP(H1498,Languages!$A$2:$B$430,2,FALSE)</f>
        <v>Mayan</v>
      </c>
      <c r="B1498" s="1" t="s">
        <v>67</v>
      </c>
      <c r="C1498" s="1" t="s">
        <v>267</v>
      </c>
      <c r="D1498" s="1" t="s">
        <v>9864</v>
      </c>
      <c r="E1498" s="15" t="s">
        <v>9865</v>
      </c>
      <c r="F1498" s="15" t="s">
        <v>9865</v>
      </c>
      <c r="G1498" s="1" t="s">
        <v>9865</v>
      </c>
      <c r="H1498" s="1" t="str">
        <f>VLOOKUP(G1498,'languoid 4.0'!$A$1:$I$24439,2,FALSE)</f>
        <v>maya1287</v>
      </c>
      <c r="I1498" s="1" t="str">
        <f>VLOOKUP(G1498,'languoid 4.0'!$A$1:$I$24439,6,FALSE)</f>
        <v>language</v>
      </c>
      <c r="J1498" s="15" t="s">
        <v>38</v>
      </c>
      <c r="K1498" s="15" t="s">
        <v>38</v>
      </c>
      <c r="L1498" s="15" t="s">
        <v>38</v>
      </c>
      <c r="M1498" s="1"/>
      <c r="N1498" s="1" t="s">
        <v>9866</v>
      </c>
      <c r="O1498" s="15" t="s">
        <v>40</v>
      </c>
      <c r="P1498" s="15" t="s">
        <v>41</v>
      </c>
      <c r="Q1498" s="1" t="s">
        <v>9867</v>
      </c>
      <c r="R1498" s="2" t="s">
        <v>9868</v>
      </c>
      <c r="S1498" s="1" t="s">
        <v>130</v>
      </c>
      <c r="T1498" s="1" t="s">
        <v>9174</v>
      </c>
      <c r="U1498" s="1" t="s">
        <v>636</v>
      </c>
      <c r="V1498" s="1" t="s">
        <v>45</v>
      </c>
      <c r="W1498" s="1"/>
      <c r="X1498" s="1"/>
      <c r="Y1498" s="1"/>
      <c r="Z1498" s="1" t="s">
        <v>673</v>
      </c>
      <c r="AA1498" s="1" t="s">
        <v>46</v>
      </c>
      <c r="AB1498" s="1" t="s">
        <v>9869</v>
      </c>
      <c r="AC1498" s="1" t="s">
        <v>46</v>
      </c>
      <c r="AD1498" s="1"/>
      <c r="AE1498" s="1" t="s">
        <v>641</v>
      </c>
      <c r="AF1498" s="1" t="s">
        <v>45</v>
      </c>
      <c r="AG1498" s="1">
        <v>1</v>
      </c>
      <c r="AH1498" s="1" t="s">
        <v>190</v>
      </c>
      <c r="AI1498" s="1"/>
      <c r="AJ1498" s="1" t="s">
        <v>9870</v>
      </c>
      <c r="AK1498" s="1" t="s">
        <v>4945</v>
      </c>
    </row>
    <row r="1499" spans="1:37">
      <c r="A1499" s="1" t="str">
        <f>VLOOKUP(H1499,Languages!$A$2:$B$430,2,FALSE)</f>
        <v>Mayan</v>
      </c>
      <c r="B1499" s="1" t="s">
        <v>67</v>
      </c>
      <c r="C1499" s="1" t="s">
        <v>267</v>
      </c>
      <c r="D1499" s="1" t="s">
        <v>9864</v>
      </c>
      <c r="E1499" s="15" t="s">
        <v>9865</v>
      </c>
      <c r="F1499" s="15" t="s">
        <v>9865</v>
      </c>
      <c r="G1499" s="1" t="s">
        <v>9865</v>
      </c>
      <c r="H1499" s="1" t="str">
        <f>VLOOKUP(G1499,'languoid 4.0'!$A$1:$I$24439,2,FALSE)</f>
        <v>maya1287</v>
      </c>
      <c r="I1499" s="1" t="str">
        <f>VLOOKUP(G1499,'languoid 4.0'!$A$1:$I$24439,6,FALSE)</f>
        <v>language</v>
      </c>
      <c r="J1499" s="15" t="s">
        <v>38</v>
      </c>
      <c r="K1499" s="15" t="s">
        <v>38</v>
      </c>
      <c r="L1499" s="15" t="s">
        <v>38</v>
      </c>
      <c r="M1499" s="1"/>
      <c r="N1499" s="1" t="s">
        <v>9866</v>
      </c>
      <c r="O1499" s="15" t="s">
        <v>40</v>
      </c>
      <c r="P1499" s="15" t="s">
        <v>41</v>
      </c>
      <c r="Q1499" s="1" t="s">
        <v>9871</v>
      </c>
      <c r="R1499" s="2" t="s">
        <v>9872</v>
      </c>
      <c r="S1499" s="1" t="s">
        <v>600</v>
      </c>
      <c r="T1499" s="1" t="s">
        <v>9174</v>
      </c>
      <c r="U1499" s="1" t="s">
        <v>636</v>
      </c>
      <c r="V1499" s="1" t="s">
        <v>45</v>
      </c>
      <c r="W1499" s="1"/>
      <c r="X1499" s="1"/>
      <c r="Y1499" s="1"/>
      <c r="Z1499" s="1" t="s">
        <v>673</v>
      </c>
      <c r="AA1499" s="1" t="s">
        <v>46</v>
      </c>
      <c r="AB1499" s="1" t="s">
        <v>9869</v>
      </c>
      <c r="AC1499" s="1" t="s">
        <v>46</v>
      </c>
      <c r="AD1499" s="1"/>
      <c r="AE1499" s="1" t="s">
        <v>641</v>
      </c>
      <c r="AF1499" s="1" t="s">
        <v>45</v>
      </c>
      <c r="AG1499" s="1">
        <v>1</v>
      </c>
      <c r="AH1499" s="1" t="s">
        <v>190</v>
      </c>
      <c r="AI1499" s="1"/>
      <c r="AJ1499" s="1" t="s">
        <v>9873</v>
      </c>
      <c r="AK1499" s="1" t="s">
        <v>4945</v>
      </c>
    </row>
    <row r="1500" spans="1:37">
      <c r="A1500" s="1" t="str">
        <f>VLOOKUP(H1500,Languages!$A$2:$B$430,2,FALSE)</f>
        <v>Mayan</v>
      </c>
      <c r="B1500" s="1" t="s">
        <v>67</v>
      </c>
      <c r="C1500" s="1" t="s">
        <v>267</v>
      </c>
      <c r="D1500" s="1" t="s">
        <v>9864</v>
      </c>
      <c r="E1500" s="15" t="s">
        <v>9865</v>
      </c>
      <c r="F1500" s="15" t="s">
        <v>9865</v>
      </c>
      <c r="G1500" s="1" t="s">
        <v>9865</v>
      </c>
      <c r="H1500" s="1" t="str">
        <f>VLOOKUP(G1500,'languoid 4.0'!$A$1:$I$24439,2,FALSE)</f>
        <v>maya1287</v>
      </c>
      <c r="I1500" s="1" t="str">
        <f>VLOOKUP(G1500,'languoid 4.0'!$A$1:$I$24439,6,FALSE)</f>
        <v>language</v>
      </c>
      <c r="J1500" s="15" t="s">
        <v>38</v>
      </c>
      <c r="K1500" s="15" t="s">
        <v>38</v>
      </c>
      <c r="L1500" s="15" t="s">
        <v>38</v>
      </c>
      <c r="M1500" s="1"/>
      <c r="N1500" s="1" t="s">
        <v>9866</v>
      </c>
      <c r="O1500" s="15" t="s">
        <v>40</v>
      </c>
      <c r="P1500" s="15" t="s">
        <v>41</v>
      </c>
      <c r="Q1500" s="1" t="s">
        <v>9874</v>
      </c>
      <c r="R1500" s="2" t="s">
        <v>9875</v>
      </c>
      <c r="S1500" s="1" t="s">
        <v>9876</v>
      </c>
      <c r="T1500" s="1" t="s">
        <v>9174</v>
      </c>
      <c r="U1500" s="1" t="s">
        <v>636</v>
      </c>
      <c r="V1500" s="1" t="s">
        <v>45</v>
      </c>
      <c r="W1500" s="1"/>
      <c r="X1500" s="1"/>
      <c r="Y1500" s="1"/>
      <c r="Z1500" s="1" t="s">
        <v>673</v>
      </c>
      <c r="AA1500" s="1" t="s">
        <v>46</v>
      </c>
      <c r="AB1500" s="1" t="s">
        <v>9869</v>
      </c>
      <c r="AC1500" s="1" t="s">
        <v>46</v>
      </c>
      <c r="AD1500" s="1"/>
      <c r="AE1500" s="1" t="s">
        <v>641</v>
      </c>
      <c r="AF1500" s="1" t="s">
        <v>45</v>
      </c>
      <c r="AG1500" s="1">
        <v>1</v>
      </c>
      <c r="AH1500" s="1" t="s">
        <v>190</v>
      </c>
      <c r="AI1500" s="1"/>
      <c r="AJ1500" s="1" t="s">
        <v>9877</v>
      </c>
      <c r="AK1500" s="1" t="s">
        <v>4945</v>
      </c>
    </row>
    <row r="1501" spans="1:37">
      <c r="A1501" s="1" t="str">
        <f>VLOOKUP(H1501,Languages!$A$2:$B$430,2,FALSE)</f>
        <v>Mayan</v>
      </c>
      <c r="B1501" s="1" t="s">
        <v>67</v>
      </c>
      <c r="C1501" s="1" t="s">
        <v>267</v>
      </c>
      <c r="D1501" s="1" t="s">
        <v>9864</v>
      </c>
      <c r="E1501" s="15" t="s">
        <v>9865</v>
      </c>
      <c r="F1501" s="15" t="s">
        <v>9865</v>
      </c>
      <c r="G1501" s="1" t="s">
        <v>9865</v>
      </c>
      <c r="H1501" s="1" t="str">
        <f>VLOOKUP(G1501,'languoid 4.0'!$A$1:$I$24439,2,FALSE)</f>
        <v>maya1287</v>
      </c>
      <c r="I1501" s="1" t="str">
        <f>VLOOKUP(G1501,'languoid 4.0'!$A$1:$I$24439,6,FALSE)</f>
        <v>language</v>
      </c>
      <c r="J1501" s="15" t="s">
        <v>38</v>
      </c>
      <c r="K1501" s="15" t="s">
        <v>38</v>
      </c>
      <c r="L1501" s="15" t="s">
        <v>38</v>
      </c>
      <c r="M1501" s="1"/>
      <c r="N1501" s="1" t="s">
        <v>9866</v>
      </c>
      <c r="O1501" s="15" t="s">
        <v>40</v>
      </c>
      <c r="P1501" s="15" t="s">
        <v>41</v>
      </c>
      <c r="Q1501" s="1" t="s">
        <v>9878</v>
      </c>
      <c r="R1501" s="2" t="s">
        <v>9879</v>
      </c>
      <c r="S1501" s="1" t="s">
        <v>265</v>
      </c>
      <c r="T1501" s="1" t="s">
        <v>9174</v>
      </c>
      <c r="U1501" s="1" t="s">
        <v>636</v>
      </c>
      <c r="V1501" s="1" t="s">
        <v>45</v>
      </c>
      <c r="W1501" s="1"/>
      <c r="X1501" s="1"/>
      <c r="Y1501" s="1"/>
      <c r="Z1501" s="1" t="s">
        <v>673</v>
      </c>
      <c r="AA1501" s="1" t="s">
        <v>46</v>
      </c>
      <c r="AB1501" s="1" t="s">
        <v>9869</v>
      </c>
      <c r="AC1501" s="1" t="s">
        <v>46</v>
      </c>
      <c r="AD1501" s="1"/>
      <c r="AE1501" s="1" t="s">
        <v>641</v>
      </c>
      <c r="AF1501" s="1" t="s">
        <v>45</v>
      </c>
      <c r="AG1501" s="1">
        <v>1</v>
      </c>
      <c r="AH1501" s="1" t="s">
        <v>190</v>
      </c>
      <c r="AI1501" s="1"/>
      <c r="AJ1501" s="1" t="s">
        <v>9880</v>
      </c>
      <c r="AK1501" s="1" t="s">
        <v>4945</v>
      </c>
    </row>
    <row r="1502" spans="1:37">
      <c r="A1502" s="1" t="str">
        <f>VLOOKUP(H1502,Languages!$A$2:$B$430,2,FALSE)</f>
        <v>Mayan</v>
      </c>
      <c r="B1502" s="1" t="s">
        <v>67</v>
      </c>
      <c r="C1502" s="1" t="s">
        <v>267</v>
      </c>
      <c r="D1502" s="1" t="s">
        <v>9911</v>
      </c>
      <c r="E1502" s="15" t="s">
        <v>8481</v>
      </c>
      <c r="F1502" s="15" t="s">
        <v>8481</v>
      </c>
      <c r="G1502" s="1" t="s">
        <v>8481</v>
      </c>
      <c r="H1502" s="1" t="str">
        <f>VLOOKUP(G1502,'languoid 4.0'!$A$1:$I$24439,2,FALSE)</f>
        <v>maya1287</v>
      </c>
      <c r="I1502" s="1" t="str">
        <f>VLOOKUP(G1502,'languoid 4.0'!$A$1:$I$24439,6,FALSE)</f>
        <v>language</v>
      </c>
      <c r="J1502" s="15" t="s">
        <v>38</v>
      </c>
      <c r="K1502" s="15" t="s">
        <v>38</v>
      </c>
      <c r="L1502" s="15" t="s">
        <v>38</v>
      </c>
      <c r="M1502" s="1"/>
      <c r="N1502" s="1" t="s">
        <v>8482</v>
      </c>
      <c r="O1502" s="15" t="s">
        <v>40</v>
      </c>
      <c r="P1502" s="15" t="s">
        <v>41</v>
      </c>
      <c r="Q1502" s="1" t="s">
        <v>9912</v>
      </c>
      <c r="R1502" s="2" t="s">
        <v>9913</v>
      </c>
      <c r="S1502" s="1" t="s">
        <v>323</v>
      </c>
      <c r="T1502" s="1" t="s">
        <v>9174</v>
      </c>
      <c r="U1502" s="1" t="s">
        <v>636</v>
      </c>
      <c r="V1502" s="1" t="s">
        <v>45</v>
      </c>
      <c r="W1502" s="1"/>
      <c r="X1502" s="1"/>
      <c r="Y1502" s="1"/>
      <c r="Z1502" s="1" t="s">
        <v>673</v>
      </c>
      <c r="AA1502" s="1" t="s">
        <v>46</v>
      </c>
      <c r="AB1502" s="1" t="s">
        <v>9914</v>
      </c>
      <c r="AC1502" s="1" t="s">
        <v>46</v>
      </c>
      <c r="AD1502" s="1"/>
      <c r="AE1502" s="1" t="s">
        <v>641</v>
      </c>
      <c r="AF1502" s="1" t="s">
        <v>45</v>
      </c>
      <c r="AG1502" s="1">
        <v>1</v>
      </c>
      <c r="AH1502" s="1" t="s">
        <v>190</v>
      </c>
      <c r="AI1502" s="1"/>
      <c r="AJ1502" s="1" t="s">
        <v>9915</v>
      </c>
      <c r="AK1502" s="1" t="s">
        <v>4945</v>
      </c>
    </row>
    <row r="1503" spans="1:37">
      <c r="A1503" s="1" t="str">
        <f>VLOOKUP(H1503,Languages!$A$2:$B$430,2,FALSE)</f>
        <v>Mayan</v>
      </c>
      <c r="B1503" s="1" t="s">
        <v>109</v>
      </c>
      <c r="C1503" s="1" t="s">
        <v>267</v>
      </c>
      <c r="D1503" s="1" t="s">
        <v>5909</v>
      </c>
      <c r="E1503" s="15" t="s">
        <v>5910</v>
      </c>
      <c r="F1503" s="15" t="s">
        <v>5911</v>
      </c>
      <c r="G1503" s="1" t="s">
        <v>5910</v>
      </c>
      <c r="H1503" s="1" t="str">
        <f>VLOOKUP(G1503,'languoid 4.0'!$A$1:$I$24439,2,FALSE)</f>
        <v>maya1287</v>
      </c>
      <c r="I1503" s="1" t="str">
        <f>VLOOKUP(G1503,'languoid 4.0'!$A$1:$I$24439,6,FALSE)</f>
        <v>language</v>
      </c>
      <c r="J1503" s="15" t="s">
        <v>52</v>
      </c>
      <c r="K1503" s="15" t="s">
        <v>368</v>
      </c>
      <c r="L1503" s="15" t="s">
        <v>38</v>
      </c>
      <c r="M1503" s="1"/>
      <c r="N1503" s="1" t="s">
        <v>5912</v>
      </c>
      <c r="O1503" s="15" t="s">
        <v>40</v>
      </c>
      <c r="P1503" s="15" t="s">
        <v>41</v>
      </c>
      <c r="Q1503" s="1" t="s">
        <v>748</v>
      </c>
      <c r="R1503" s="2" t="s">
        <v>5913</v>
      </c>
      <c r="S1503" s="1" t="s">
        <v>46</v>
      </c>
      <c r="T1503" s="1" t="s">
        <v>635</v>
      </c>
      <c r="U1503" s="1" t="s">
        <v>636</v>
      </c>
      <c r="V1503" s="1" t="s">
        <v>45</v>
      </c>
      <c r="W1503" s="1"/>
      <c r="X1503" s="1"/>
      <c r="Y1503" s="1"/>
      <c r="Z1503" s="1" t="s">
        <v>637</v>
      </c>
      <c r="AA1503" s="1" t="s">
        <v>5914</v>
      </c>
      <c r="AB1503" s="1" t="s">
        <v>5915</v>
      </c>
      <c r="AC1503" s="1" t="s">
        <v>46</v>
      </c>
      <c r="AD1503" s="1"/>
      <c r="AE1503" s="1" t="s">
        <v>641</v>
      </c>
      <c r="AF1503" s="1" t="s">
        <v>190</v>
      </c>
      <c r="AG1503" s="1">
        <v>6</v>
      </c>
      <c r="AH1503" s="1" t="s">
        <v>190</v>
      </c>
      <c r="AI1503" s="1"/>
      <c r="AJ1503" s="1" t="s">
        <v>5916</v>
      </c>
      <c r="AK1503" s="1" t="s">
        <v>5908</v>
      </c>
    </row>
    <row r="1504" spans="1:37">
      <c r="A1504" s="1" t="str">
        <f>VLOOKUP(H1504,Languages!$A$2:$B$430,2,FALSE)</f>
        <v>Mayan</v>
      </c>
      <c r="B1504" s="1" t="s">
        <v>109</v>
      </c>
      <c r="C1504" s="1" t="s">
        <v>267</v>
      </c>
      <c r="D1504" s="1" t="s">
        <v>5917</v>
      </c>
      <c r="E1504" s="15" t="s">
        <v>5910</v>
      </c>
      <c r="F1504" s="15" t="s">
        <v>7055</v>
      </c>
      <c r="G1504" s="1" t="s">
        <v>5910</v>
      </c>
      <c r="H1504" s="1" t="str">
        <f>VLOOKUP(G1504,'languoid 4.0'!$A$1:$I$24439,2,FALSE)</f>
        <v>maya1287</v>
      </c>
      <c r="I1504" s="1" t="str">
        <f>VLOOKUP(G1504,'languoid 4.0'!$A$1:$I$24439,6,FALSE)</f>
        <v>language</v>
      </c>
      <c r="J1504" s="15" t="s">
        <v>52</v>
      </c>
      <c r="K1504" s="15" t="s">
        <v>38</v>
      </c>
      <c r="L1504" s="15" t="s">
        <v>38</v>
      </c>
      <c r="M1504" s="1"/>
      <c r="N1504" s="1" t="s">
        <v>5912</v>
      </c>
      <c r="O1504" s="15" t="s">
        <v>40</v>
      </c>
      <c r="P1504" s="15" t="s">
        <v>41</v>
      </c>
      <c r="Q1504" s="1" t="s">
        <v>748</v>
      </c>
      <c r="R1504" s="2" t="s">
        <v>7056</v>
      </c>
      <c r="S1504" s="1" t="s">
        <v>46</v>
      </c>
      <c r="T1504" s="1" t="s">
        <v>635</v>
      </c>
      <c r="U1504" s="1" t="s">
        <v>636</v>
      </c>
      <c r="V1504" s="1" t="s">
        <v>45</v>
      </c>
      <c r="W1504" s="1"/>
      <c r="X1504" s="1"/>
      <c r="Y1504" s="1"/>
      <c r="Z1504" s="1" t="s">
        <v>637</v>
      </c>
      <c r="AA1504" s="1" t="s">
        <v>7057</v>
      </c>
      <c r="AB1504" s="1" t="s">
        <v>7058</v>
      </c>
      <c r="AC1504" s="1" t="s">
        <v>46</v>
      </c>
      <c r="AD1504" s="1"/>
      <c r="AE1504" s="1" t="s">
        <v>641</v>
      </c>
      <c r="AF1504" s="1" t="s">
        <v>190</v>
      </c>
      <c r="AG1504" s="1">
        <v>6</v>
      </c>
      <c r="AH1504" s="1" t="s">
        <v>190</v>
      </c>
      <c r="AI1504" s="1" t="s">
        <v>7059</v>
      </c>
      <c r="AJ1504" s="3">
        <v>43167.98238425926</v>
      </c>
      <c r="AK1504" s="1" t="s">
        <v>5908</v>
      </c>
    </row>
    <row r="1505" spans="1:37">
      <c r="A1505" s="1" t="str">
        <f>VLOOKUP(H1505,Languages!$A$2:$B$430,2,FALSE)</f>
        <v>Mayan</v>
      </c>
      <c r="B1505" s="1" t="s">
        <v>109</v>
      </c>
      <c r="C1505" s="1" t="s">
        <v>267</v>
      </c>
      <c r="D1505" s="1" t="s">
        <v>5917</v>
      </c>
      <c r="E1505" s="15" t="s">
        <v>5910</v>
      </c>
      <c r="F1505" s="15" t="s">
        <v>7055</v>
      </c>
      <c r="G1505" s="1" t="s">
        <v>5910</v>
      </c>
      <c r="H1505" s="1" t="str">
        <f>VLOOKUP(G1505,'languoid 4.0'!$A$1:$I$24439,2,FALSE)</f>
        <v>maya1287</v>
      </c>
      <c r="I1505" s="1" t="str">
        <f>VLOOKUP(G1505,'languoid 4.0'!$A$1:$I$24439,6,FALSE)</f>
        <v>language</v>
      </c>
      <c r="J1505" s="15" t="s">
        <v>52</v>
      </c>
      <c r="K1505" s="15" t="s">
        <v>38</v>
      </c>
      <c r="L1505" s="15" t="s">
        <v>38</v>
      </c>
      <c r="M1505" s="1"/>
      <c r="N1505" s="1" t="s">
        <v>5912</v>
      </c>
      <c r="O1505" s="15" t="s">
        <v>40</v>
      </c>
      <c r="P1505" s="15" t="s">
        <v>41</v>
      </c>
      <c r="Q1505" s="1" t="s">
        <v>748</v>
      </c>
      <c r="R1505" s="2" t="s">
        <v>7060</v>
      </c>
      <c r="S1505" s="1" t="s">
        <v>46</v>
      </c>
      <c r="T1505" s="1" t="s">
        <v>635</v>
      </c>
      <c r="U1505" s="1" t="s">
        <v>636</v>
      </c>
      <c r="V1505" s="1" t="s">
        <v>45</v>
      </c>
      <c r="W1505" s="1"/>
      <c r="X1505" s="1"/>
      <c r="Y1505" s="1"/>
      <c r="Z1505" s="1" t="s">
        <v>637</v>
      </c>
      <c r="AA1505" s="1" t="s">
        <v>7061</v>
      </c>
      <c r="AB1505" s="1" t="s">
        <v>7062</v>
      </c>
      <c r="AC1505" s="1" t="s">
        <v>46</v>
      </c>
      <c r="AD1505" s="1"/>
      <c r="AE1505" s="1" t="s">
        <v>641</v>
      </c>
      <c r="AF1505" s="1" t="s">
        <v>190</v>
      </c>
      <c r="AG1505" s="1">
        <v>6</v>
      </c>
      <c r="AH1505" s="1" t="s">
        <v>190</v>
      </c>
      <c r="AI1505" s="1" t="s">
        <v>7063</v>
      </c>
      <c r="AJ1505" s="3">
        <v>43167.9846875</v>
      </c>
      <c r="AK1505" s="1" t="s">
        <v>5908</v>
      </c>
    </row>
    <row r="1506" spans="1:37">
      <c r="A1506" s="1" t="str">
        <f>VLOOKUP(H1506,Languages!$A$2:$B$430,2,FALSE)</f>
        <v>Mayan</v>
      </c>
      <c r="B1506" s="1" t="s">
        <v>109</v>
      </c>
      <c r="C1506" s="1" t="s">
        <v>267</v>
      </c>
      <c r="D1506" s="1" t="s">
        <v>5917</v>
      </c>
      <c r="E1506" s="15" t="s">
        <v>5910</v>
      </c>
      <c r="F1506" s="15" t="s">
        <v>7055</v>
      </c>
      <c r="G1506" s="1" t="s">
        <v>5910</v>
      </c>
      <c r="H1506" s="1" t="str">
        <f>VLOOKUP(G1506,'languoid 4.0'!$A$1:$I$24439,2,FALSE)</f>
        <v>maya1287</v>
      </c>
      <c r="I1506" s="1" t="str">
        <f>VLOOKUP(G1506,'languoid 4.0'!$A$1:$I$24439,6,FALSE)</f>
        <v>language</v>
      </c>
      <c r="J1506" s="15" t="s">
        <v>52</v>
      </c>
      <c r="K1506" s="15" t="s">
        <v>38</v>
      </c>
      <c r="L1506" s="15" t="s">
        <v>38</v>
      </c>
      <c r="M1506" s="1"/>
      <c r="N1506" s="1" t="s">
        <v>5912</v>
      </c>
      <c r="O1506" s="15" t="s">
        <v>40</v>
      </c>
      <c r="P1506" s="15" t="s">
        <v>41</v>
      </c>
      <c r="Q1506" s="1" t="s">
        <v>748</v>
      </c>
      <c r="R1506" s="2" t="s">
        <v>7064</v>
      </c>
      <c r="S1506" s="1" t="s">
        <v>46</v>
      </c>
      <c r="T1506" s="1" t="s">
        <v>635</v>
      </c>
      <c r="U1506" s="1" t="s">
        <v>636</v>
      </c>
      <c r="V1506" s="1" t="s">
        <v>45</v>
      </c>
      <c r="W1506" s="1"/>
      <c r="X1506" s="1"/>
      <c r="Y1506" s="1"/>
      <c r="Z1506" s="1" t="s">
        <v>637</v>
      </c>
      <c r="AA1506" s="1" t="s">
        <v>7065</v>
      </c>
      <c r="AB1506" s="1" t="s">
        <v>7066</v>
      </c>
      <c r="AC1506" s="1" t="s">
        <v>46</v>
      </c>
      <c r="AD1506" s="1"/>
      <c r="AE1506" s="1" t="s">
        <v>641</v>
      </c>
      <c r="AF1506" s="1" t="s">
        <v>190</v>
      </c>
      <c r="AG1506" s="1">
        <v>6</v>
      </c>
      <c r="AH1506" s="1" t="s">
        <v>190</v>
      </c>
      <c r="AI1506" s="1" t="s">
        <v>7067</v>
      </c>
      <c r="AJ1506" s="3">
        <v>43167.988576388889</v>
      </c>
      <c r="AK1506" s="1" t="s">
        <v>5908</v>
      </c>
    </row>
    <row r="1507" spans="1:37">
      <c r="A1507" s="1" t="str">
        <f>VLOOKUP(H1507,Languages!$A$2:$B$430,2,FALSE)</f>
        <v>Mayan</v>
      </c>
      <c r="B1507" s="1" t="s">
        <v>35</v>
      </c>
      <c r="C1507" s="1" t="s">
        <v>267</v>
      </c>
      <c r="D1507" s="1" t="s">
        <v>8472</v>
      </c>
      <c r="E1507" s="15" t="s">
        <v>8473</v>
      </c>
      <c r="F1507" s="15" t="s">
        <v>8473</v>
      </c>
      <c r="G1507" s="1" t="s">
        <v>8473</v>
      </c>
      <c r="H1507" s="1" t="str">
        <f>VLOOKUP(G1507,'languoid 4.0'!$A$1:$I$24439,2,FALSE)</f>
        <v>maya1287</v>
      </c>
      <c r="I1507" s="1" t="str">
        <f>VLOOKUP(G1507,'languoid 4.0'!$A$1:$I$24439,6,FALSE)</f>
        <v>language</v>
      </c>
      <c r="J1507" s="15" t="s">
        <v>38</v>
      </c>
      <c r="K1507" s="15" t="s">
        <v>38</v>
      </c>
      <c r="L1507" s="15" t="s">
        <v>38</v>
      </c>
      <c r="M1507" s="1"/>
      <c r="N1507" s="1" t="s">
        <v>8474</v>
      </c>
      <c r="O1507" s="15" t="s">
        <v>40</v>
      </c>
      <c r="P1507" s="15" t="s">
        <v>41</v>
      </c>
      <c r="Q1507" s="1" t="s">
        <v>8475</v>
      </c>
      <c r="R1507" s="2" t="s">
        <v>4918</v>
      </c>
      <c r="S1507" s="1">
        <v>201</v>
      </c>
      <c r="T1507" s="1" t="s">
        <v>657</v>
      </c>
      <c r="U1507" s="1" t="s">
        <v>636</v>
      </c>
      <c r="V1507" s="1" t="s">
        <v>45</v>
      </c>
      <c r="W1507" s="1"/>
      <c r="X1507" s="1"/>
      <c r="Y1507" s="1"/>
      <c r="Z1507" s="1" t="s">
        <v>823</v>
      </c>
      <c r="AA1507" s="1" t="s">
        <v>8463</v>
      </c>
      <c r="AB1507" s="1" t="s">
        <v>8476</v>
      </c>
      <c r="AC1507" s="1" t="s">
        <v>8477</v>
      </c>
      <c r="AD1507" s="1" t="s">
        <v>8478</v>
      </c>
      <c r="AE1507" s="1"/>
      <c r="AF1507" s="1"/>
      <c r="AG1507" s="1"/>
      <c r="AH1507" s="1" t="s">
        <v>45</v>
      </c>
      <c r="AI1507" s="1" t="s">
        <v>8479</v>
      </c>
      <c r="AJ1507" s="3">
        <v>43168.008993055555</v>
      </c>
      <c r="AK1507" s="1" t="s">
        <v>5908</v>
      </c>
    </row>
    <row r="1508" spans="1:37">
      <c r="A1508" s="1" t="str">
        <f>VLOOKUP(H1508,Languages!$A$2:$B$430,2,FALSE)</f>
        <v>Mayan</v>
      </c>
      <c r="B1508" s="1" t="s">
        <v>1726</v>
      </c>
      <c r="C1508" s="1" t="s">
        <v>267</v>
      </c>
      <c r="D1508" s="1" t="s">
        <v>9728</v>
      </c>
      <c r="E1508" s="15" t="s">
        <v>9729</v>
      </c>
      <c r="F1508" s="15" t="s">
        <v>9729</v>
      </c>
      <c r="G1508" s="1" t="s">
        <v>9729</v>
      </c>
      <c r="H1508" s="1" t="str">
        <f>VLOOKUP(G1508,'languoid 4.0'!$A$1:$I$24439,2,FALSE)</f>
        <v>maya1287</v>
      </c>
      <c r="I1508" s="1" t="str">
        <f>VLOOKUP(G1508,'languoid 4.0'!$A$1:$I$24439,6,FALSE)</f>
        <v>language</v>
      </c>
      <c r="J1508" s="15" t="s">
        <v>38</v>
      </c>
      <c r="K1508" s="15" t="s">
        <v>38</v>
      </c>
      <c r="L1508" s="15" t="s">
        <v>38</v>
      </c>
      <c r="M1508" s="1"/>
      <c r="N1508" s="1" t="s">
        <v>9730</v>
      </c>
      <c r="O1508" s="15" t="s">
        <v>40</v>
      </c>
      <c r="P1508" s="15" t="s">
        <v>41</v>
      </c>
      <c r="Q1508" s="1" t="s">
        <v>9731</v>
      </c>
      <c r="R1508" s="2" t="s">
        <v>9732</v>
      </c>
      <c r="S1508" s="1" t="s">
        <v>46</v>
      </c>
      <c r="T1508" s="1" t="s">
        <v>635</v>
      </c>
      <c r="U1508" s="1" t="s">
        <v>636</v>
      </c>
      <c r="V1508" s="1" t="s">
        <v>45</v>
      </c>
      <c r="W1508" s="1"/>
      <c r="X1508" s="1"/>
      <c r="Y1508" s="1"/>
      <c r="Z1508" s="1" t="s">
        <v>673</v>
      </c>
      <c r="AA1508" s="1" t="s">
        <v>46</v>
      </c>
      <c r="AB1508" s="1" t="s">
        <v>9733</v>
      </c>
      <c r="AC1508" s="1" t="s">
        <v>46</v>
      </c>
      <c r="AD1508" s="1"/>
      <c r="AE1508" s="1" t="s">
        <v>641</v>
      </c>
      <c r="AF1508" s="1" t="s">
        <v>190</v>
      </c>
      <c r="AG1508" s="1">
        <v>6</v>
      </c>
      <c r="AH1508" s="1" t="s">
        <v>190</v>
      </c>
      <c r="AI1508" s="1"/>
      <c r="AJ1508" s="1" t="s">
        <v>9734</v>
      </c>
      <c r="AK1508" s="1" t="s">
        <v>4945</v>
      </c>
    </row>
    <row r="1509" spans="1:37">
      <c r="A1509" s="1" t="str">
        <f>VLOOKUP(H1509,Languages!$A$2:$B$430,2,FALSE)</f>
        <v>Mayan</v>
      </c>
      <c r="B1509" s="1" t="s">
        <v>1750</v>
      </c>
      <c r="C1509" s="1" t="s">
        <v>267</v>
      </c>
      <c r="D1509" s="1" t="s">
        <v>8486</v>
      </c>
      <c r="E1509" s="15" t="s">
        <v>8487</v>
      </c>
      <c r="F1509" s="15" t="s">
        <v>8487</v>
      </c>
      <c r="G1509" s="1" t="s">
        <v>8487</v>
      </c>
      <c r="H1509" s="1" t="str">
        <f>VLOOKUP(G1509,'languoid 4.0'!$A$1:$I$24439,2,FALSE)</f>
        <v>maya1287</v>
      </c>
      <c r="I1509" s="1" t="str">
        <f>VLOOKUP(G1509,'languoid 4.0'!$A$1:$I$24439,6,FALSE)</f>
        <v>language</v>
      </c>
      <c r="J1509" s="15" t="s">
        <v>38</v>
      </c>
      <c r="K1509" s="15" t="s">
        <v>38</v>
      </c>
      <c r="L1509" s="15" t="s">
        <v>38</v>
      </c>
      <c r="M1509" s="1"/>
      <c r="N1509" s="1" t="s">
        <v>8488</v>
      </c>
      <c r="O1509" s="15" t="s">
        <v>40</v>
      </c>
      <c r="P1509" s="15" t="s">
        <v>41</v>
      </c>
      <c r="Q1509" s="1" t="s">
        <v>8489</v>
      </c>
      <c r="R1509" s="2" t="s">
        <v>8484</v>
      </c>
      <c r="S1509" s="1">
        <v>110</v>
      </c>
      <c r="T1509" s="1" t="s">
        <v>657</v>
      </c>
      <c r="U1509" s="1" t="s">
        <v>636</v>
      </c>
      <c r="V1509" s="1" t="s">
        <v>45</v>
      </c>
      <c r="W1509" s="1"/>
      <c r="X1509" s="1"/>
      <c r="Y1509" s="1"/>
      <c r="Z1509" s="1" t="s">
        <v>1893</v>
      </c>
      <c r="AA1509" s="1" t="s">
        <v>8490</v>
      </c>
      <c r="AB1509" s="1" t="s">
        <v>46</v>
      </c>
      <c r="AC1509" s="1" t="s">
        <v>8491</v>
      </c>
      <c r="AD1509" s="1"/>
      <c r="AE1509" s="1" t="s">
        <v>641</v>
      </c>
      <c r="AF1509" s="1" t="s">
        <v>190</v>
      </c>
      <c r="AG1509" s="1">
        <v>5</v>
      </c>
      <c r="AH1509" s="1" t="s">
        <v>190</v>
      </c>
      <c r="AI1509" s="1"/>
      <c r="AJ1509" s="3">
        <v>43168.030972222223</v>
      </c>
      <c r="AK1509" s="1" t="s">
        <v>5908</v>
      </c>
    </row>
    <row r="1510" spans="1:37">
      <c r="A1510" s="1" t="str">
        <f>VLOOKUP(H1510,Languages!$A$2:$B$430,2,FALSE)</f>
        <v>Mayan</v>
      </c>
      <c r="B1510" s="1" t="s">
        <v>1750</v>
      </c>
      <c r="C1510" s="1" t="s">
        <v>267</v>
      </c>
      <c r="D1510" s="1" t="s">
        <v>8486</v>
      </c>
      <c r="E1510" s="15" t="s">
        <v>8487</v>
      </c>
      <c r="F1510" s="15" t="s">
        <v>8487</v>
      </c>
      <c r="G1510" s="1" t="s">
        <v>8487</v>
      </c>
      <c r="H1510" s="1" t="str">
        <f>VLOOKUP(G1510,'languoid 4.0'!$A$1:$I$24439,2,FALSE)</f>
        <v>maya1287</v>
      </c>
      <c r="I1510" s="1" t="str">
        <f>VLOOKUP(G1510,'languoid 4.0'!$A$1:$I$24439,6,FALSE)</f>
        <v>language</v>
      </c>
      <c r="J1510" s="15" t="s">
        <v>38</v>
      </c>
      <c r="K1510" s="15" t="s">
        <v>38</v>
      </c>
      <c r="L1510" s="15" t="s">
        <v>38</v>
      </c>
      <c r="M1510" s="1"/>
      <c r="N1510" s="1" t="s">
        <v>8488</v>
      </c>
      <c r="O1510" s="15" t="s">
        <v>40</v>
      </c>
      <c r="P1510" s="15" t="s">
        <v>41</v>
      </c>
      <c r="Q1510" s="1" t="s">
        <v>8489</v>
      </c>
      <c r="R1510" s="2" t="s">
        <v>8484</v>
      </c>
      <c r="S1510" s="1">
        <v>112</v>
      </c>
      <c r="T1510" s="1" t="s">
        <v>657</v>
      </c>
      <c r="U1510" s="1" t="s">
        <v>636</v>
      </c>
      <c r="V1510" s="1" t="s">
        <v>45</v>
      </c>
      <c r="W1510" s="1"/>
      <c r="X1510" s="1"/>
      <c r="Y1510" s="1"/>
      <c r="Z1510" s="1" t="s">
        <v>673</v>
      </c>
      <c r="AA1510" s="1" t="s">
        <v>8492</v>
      </c>
      <c r="AB1510" s="1" t="s">
        <v>8493</v>
      </c>
      <c r="AC1510" s="1" t="s">
        <v>46</v>
      </c>
      <c r="AD1510" s="1"/>
      <c r="AE1510" s="1" t="s">
        <v>641</v>
      </c>
      <c r="AF1510" s="1" t="s">
        <v>190</v>
      </c>
      <c r="AG1510" s="1">
        <v>6</v>
      </c>
      <c r="AH1510" s="1" t="s">
        <v>190</v>
      </c>
      <c r="AI1510" s="1"/>
      <c r="AJ1510" s="3">
        <v>43168.033958333333</v>
      </c>
      <c r="AK1510" s="1" t="s">
        <v>5908</v>
      </c>
    </row>
    <row r="1511" spans="1:37">
      <c r="A1511" s="1" t="str">
        <f>VLOOKUP(H1511,Languages!$A$2:$B$430,2,FALSE)</f>
        <v>Mayan</v>
      </c>
      <c r="B1511" s="1" t="s">
        <v>1738</v>
      </c>
      <c r="C1511" s="1" t="s">
        <v>267</v>
      </c>
      <c r="D1511" s="1" t="s">
        <v>5899</v>
      </c>
      <c r="E1511" s="15" t="s">
        <v>5900</v>
      </c>
      <c r="F1511" s="15" t="s">
        <v>5900</v>
      </c>
      <c r="G1511" s="1" t="s">
        <v>5900</v>
      </c>
      <c r="H1511" s="1" t="str">
        <f>VLOOKUP(G1511,'languoid 4.0'!$A$1:$I$24439,2,FALSE)</f>
        <v>maya1287</v>
      </c>
      <c r="I1511" s="1" t="str">
        <f>VLOOKUP(G1511,'languoid 4.0'!$A$1:$I$24439,6,FALSE)</f>
        <v>language</v>
      </c>
      <c r="J1511" s="15" t="s">
        <v>38</v>
      </c>
      <c r="K1511" s="15" t="s">
        <v>38</v>
      </c>
      <c r="L1511" s="15" t="s">
        <v>38</v>
      </c>
      <c r="M1511" s="1"/>
      <c r="N1511" s="1" t="s">
        <v>5901</v>
      </c>
      <c r="O1511" s="15" t="s">
        <v>40</v>
      </c>
      <c r="P1511" s="15" t="s">
        <v>41</v>
      </c>
      <c r="Q1511" s="1" t="s">
        <v>5902</v>
      </c>
      <c r="R1511" s="2" t="s">
        <v>5903</v>
      </c>
      <c r="S1511" s="1" t="s">
        <v>46</v>
      </c>
      <c r="T1511" s="1" t="s">
        <v>635</v>
      </c>
      <c r="U1511" s="1" t="s">
        <v>5904</v>
      </c>
      <c r="V1511" s="1" t="s">
        <v>45</v>
      </c>
      <c r="W1511" s="1"/>
      <c r="X1511" s="1"/>
      <c r="Y1511" s="1"/>
      <c r="Z1511" s="1" t="s">
        <v>637</v>
      </c>
      <c r="AA1511" s="1" t="s">
        <v>5905</v>
      </c>
      <c r="AB1511" s="1" t="s">
        <v>5906</v>
      </c>
      <c r="AC1511" s="1" t="s">
        <v>46</v>
      </c>
      <c r="AD1511" s="1"/>
      <c r="AE1511" s="1" t="s">
        <v>641</v>
      </c>
      <c r="AF1511" s="1" t="s">
        <v>190</v>
      </c>
      <c r="AG1511" s="1">
        <v>4</v>
      </c>
      <c r="AH1511" s="1" t="s">
        <v>190</v>
      </c>
      <c r="AI1511" s="1"/>
      <c r="AJ1511" s="1" t="s">
        <v>5907</v>
      </c>
      <c r="AK1511" s="1" t="s">
        <v>5908</v>
      </c>
    </row>
    <row r="1512" spans="1:37">
      <c r="A1512" s="1" t="str">
        <f>VLOOKUP(H1512,Languages!$A$2:$B$430,2,FALSE)</f>
        <v>Mayan</v>
      </c>
      <c r="B1512" s="1" t="s">
        <v>1738</v>
      </c>
      <c r="C1512" s="1" t="s">
        <v>267</v>
      </c>
      <c r="D1512" s="1" t="s">
        <v>5899</v>
      </c>
      <c r="E1512" s="15" t="s">
        <v>5900</v>
      </c>
      <c r="F1512" s="15" t="s">
        <v>5900</v>
      </c>
      <c r="G1512" s="1" t="s">
        <v>5900</v>
      </c>
      <c r="H1512" s="1" t="str">
        <f>VLOOKUP(G1512,'languoid 4.0'!$A$1:$I$24439,2,FALSE)</f>
        <v>maya1287</v>
      </c>
      <c r="I1512" s="1" t="str">
        <f>VLOOKUP(G1512,'languoid 4.0'!$A$1:$I$24439,6,FALSE)</f>
        <v>language</v>
      </c>
      <c r="J1512" s="15" t="s">
        <v>38</v>
      </c>
      <c r="K1512" s="15" t="s">
        <v>38</v>
      </c>
      <c r="L1512" s="15" t="s">
        <v>38</v>
      </c>
      <c r="M1512" s="1"/>
      <c r="N1512" s="1" t="s">
        <v>5901</v>
      </c>
      <c r="O1512" s="15" t="s">
        <v>40</v>
      </c>
      <c r="P1512" s="15" t="s">
        <v>41</v>
      </c>
      <c r="Q1512" s="1" t="s">
        <v>5902</v>
      </c>
      <c r="R1512" s="2" t="s">
        <v>6723</v>
      </c>
      <c r="S1512" s="1" t="s">
        <v>46</v>
      </c>
      <c r="T1512" s="1" t="s">
        <v>635</v>
      </c>
      <c r="U1512" s="1" t="s">
        <v>5904</v>
      </c>
      <c r="V1512" s="1" t="s">
        <v>45</v>
      </c>
      <c r="W1512" s="1"/>
      <c r="X1512" s="1"/>
      <c r="Y1512" s="1"/>
      <c r="Z1512" s="1" t="s">
        <v>637</v>
      </c>
      <c r="AA1512" s="1" t="s">
        <v>6724</v>
      </c>
      <c r="AB1512" s="1" t="s">
        <v>6725</v>
      </c>
      <c r="AC1512" s="1" t="s">
        <v>46</v>
      </c>
      <c r="AD1512" s="1"/>
      <c r="AE1512" s="1" t="s">
        <v>641</v>
      </c>
      <c r="AF1512" s="1" t="s">
        <v>190</v>
      </c>
      <c r="AG1512" s="1">
        <v>4</v>
      </c>
      <c r="AH1512" s="1" t="s">
        <v>190</v>
      </c>
      <c r="AI1512" s="1" t="s">
        <v>6726</v>
      </c>
      <c r="AJ1512" s="1" t="s">
        <v>6727</v>
      </c>
      <c r="AK1512" s="1" t="s">
        <v>5908</v>
      </c>
    </row>
    <row r="1513" spans="1:37">
      <c r="A1513" s="1" t="str">
        <f>VLOOKUP(H1513,Languages!$A$2:$B$430,2,FALSE)</f>
        <v>Mayan</v>
      </c>
      <c r="B1513" s="1" t="s">
        <v>1738</v>
      </c>
      <c r="C1513" s="1" t="s">
        <v>267</v>
      </c>
      <c r="D1513" s="1" t="s">
        <v>6728</v>
      </c>
      <c r="E1513" s="15" t="s">
        <v>5900</v>
      </c>
      <c r="F1513" s="15" t="s">
        <v>5900</v>
      </c>
      <c r="G1513" s="1" t="s">
        <v>5900</v>
      </c>
      <c r="H1513" s="1" t="str">
        <f>VLOOKUP(G1513,'languoid 4.0'!$A$1:$I$24439,2,FALSE)</f>
        <v>maya1287</v>
      </c>
      <c r="I1513" s="1" t="str">
        <f>VLOOKUP(G1513,'languoid 4.0'!$A$1:$I$24439,6,FALSE)</f>
        <v>language</v>
      </c>
      <c r="J1513" s="15" t="s">
        <v>38</v>
      </c>
      <c r="K1513" s="15" t="s">
        <v>38</v>
      </c>
      <c r="L1513" s="15" t="s">
        <v>38</v>
      </c>
      <c r="M1513" s="1"/>
      <c r="N1513" s="1" t="s">
        <v>5901</v>
      </c>
      <c r="O1513" s="15" t="s">
        <v>40</v>
      </c>
      <c r="P1513" s="15" t="s">
        <v>41</v>
      </c>
      <c r="Q1513" s="1" t="s">
        <v>6729</v>
      </c>
      <c r="R1513" s="2" t="s">
        <v>6730</v>
      </c>
      <c r="S1513" s="1" t="s">
        <v>46</v>
      </c>
      <c r="T1513" s="1" t="s">
        <v>635</v>
      </c>
      <c r="U1513" s="1" t="s">
        <v>636</v>
      </c>
      <c r="V1513" s="1" t="s">
        <v>45</v>
      </c>
      <c r="W1513" s="1"/>
      <c r="X1513" s="1"/>
      <c r="Y1513" s="1"/>
      <c r="Z1513" s="1" t="s">
        <v>637</v>
      </c>
      <c r="AA1513" s="1" t="s">
        <v>6731</v>
      </c>
      <c r="AB1513" s="1" t="s">
        <v>6732</v>
      </c>
      <c r="AC1513" s="1" t="s">
        <v>46</v>
      </c>
      <c r="AD1513" s="1"/>
      <c r="AE1513" s="1" t="s">
        <v>641</v>
      </c>
      <c r="AF1513" s="1" t="s">
        <v>45</v>
      </c>
      <c r="AG1513" s="1">
        <v>1</v>
      </c>
      <c r="AH1513" s="1" t="s">
        <v>190</v>
      </c>
      <c r="AI1513" s="1"/>
      <c r="AJ1513" s="1" t="s">
        <v>6733</v>
      </c>
      <c r="AK1513" s="1" t="s">
        <v>5908</v>
      </c>
    </row>
    <row r="1514" spans="1:37">
      <c r="A1514" s="1" t="str">
        <f>VLOOKUP(H1514,Languages!$A$2:$B$430,2,FALSE)</f>
        <v>Mayan</v>
      </c>
      <c r="B1514" s="1" t="s">
        <v>1738</v>
      </c>
      <c r="C1514" s="1" t="s">
        <v>267</v>
      </c>
      <c r="D1514" s="1" t="s">
        <v>6933</v>
      </c>
      <c r="E1514" s="15" t="s">
        <v>6934</v>
      </c>
      <c r="F1514" s="15" t="s">
        <v>6934</v>
      </c>
      <c r="G1514" s="1" t="s">
        <v>6934</v>
      </c>
      <c r="H1514" s="1" t="str">
        <f>VLOOKUP(G1514,'languoid 4.0'!$A$1:$I$24439,2,FALSE)</f>
        <v>maya1287</v>
      </c>
      <c r="I1514" s="1" t="str">
        <f>VLOOKUP(G1514,'languoid 4.0'!$A$1:$I$24439,6,FALSE)</f>
        <v>language</v>
      </c>
      <c r="J1514" s="15" t="s">
        <v>38</v>
      </c>
      <c r="K1514" s="15" t="s">
        <v>38</v>
      </c>
      <c r="L1514" s="15" t="s">
        <v>38</v>
      </c>
      <c r="M1514" s="1"/>
      <c r="N1514" s="1" t="s">
        <v>6935</v>
      </c>
      <c r="O1514" s="15" t="s">
        <v>40</v>
      </c>
      <c r="P1514" s="15" t="s">
        <v>41</v>
      </c>
      <c r="Q1514" s="1" t="s">
        <v>6936</v>
      </c>
      <c r="R1514" s="2" t="s">
        <v>6937</v>
      </c>
      <c r="S1514" s="1" t="s">
        <v>153</v>
      </c>
      <c r="T1514" s="1" t="s">
        <v>657</v>
      </c>
      <c r="U1514" s="1" t="s">
        <v>6938</v>
      </c>
      <c r="V1514" s="1" t="s">
        <v>45</v>
      </c>
      <c r="W1514" s="1"/>
      <c r="X1514" s="1"/>
      <c r="Y1514" s="1"/>
      <c r="Z1514" s="1" t="s">
        <v>637</v>
      </c>
      <c r="AA1514" s="1" t="s">
        <v>6939</v>
      </c>
      <c r="AB1514" s="1" t="s">
        <v>6940</v>
      </c>
      <c r="AC1514" s="1" t="s">
        <v>46</v>
      </c>
      <c r="AD1514" s="1"/>
      <c r="AE1514" s="1" t="s">
        <v>641</v>
      </c>
      <c r="AF1514" s="1" t="s">
        <v>45</v>
      </c>
      <c r="AG1514" s="1">
        <v>1</v>
      </c>
      <c r="AH1514" s="1" t="s">
        <v>190</v>
      </c>
      <c r="AI1514" s="1"/>
      <c r="AJ1514" s="1" t="s">
        <v>6941</v>
      </c>
      <c r="AK1514" s="1" t="s">
        <v>5908</v>
      </c>
    </row>
    <row r="1515" spans="1:37">
      <c r="A1515" s="1" t="str">
        <f>VLOOKUP(H1515,Languages!$A$2:$B$430,2,FALSE)</f>
        <v>Mayan</v>
      </c>
      <c r="B1515" s="1" t="s">
        <v>1738</v>
      </c>
      <c r="C1515" s="1" t="s">
        <v>267</v>
      </c>
      <c r="D1515" s="1" t="s">
        <v>5899</v>
      </c>
      <c r="E1515" s="15" t="s">
        <v>5900</v>
      </c>
      <c r="F1515" s="15" t="s">
        <v>5900</v>
      </c>
      <c r="G1515" s="1" t="s">
        <v>5900</v>
      </c>
      <c r="H1515" s="1" t="str">
        <f>VLOOKUP(G1515,'languoid 4.0'!$A$1:$I$24439,2,FALSE)</f>
        <v>maya1287</v>
      </c>
      <c r="I1515" s="1" t="str">
        <f>VLOOKUP(G1515,'languoid 4.0'!$A$1:$I$24439,6,FALSE)</f>
        <v>language</v>
      </c>
      <c r="J1515" s="15" t="s">
        <v>38</v>
      </c>
      <c r="K1515" s="15" t="s">
        <v>38</v>
      </c>
      <c r="L1515" s="15" t="s">
        <v>38</v>
      </c>
      <c r="M1515" s="1"/>
      <c r="N1515" s="1" t="s">
        <v>5901</v>
      </c>
      <c r="O1515" s="15" t="s">
        <v>40</v>
      </c>
      <c r="P1515" s="15" t="s">
        <v>41</v>
      </c>
      <c r="Q1515" s="1" t="s">
        <v>5902</v>
      </c>
      <c r="R1515" s="2" t="s">
        <v>6723</v>
      </c>
      <c r="S1515" s="1" t="s">
        <v>46</v>
      </c>
      <c r="T1515" s="1" t="s">
        <v>635</v>
      </c>
      <c r="U1515" s="1" t="s">
        <v>7068</v>
      </c>
      <c r="V1515" s="1" t="s">
        <v>45</v>
      </c>
      <c r="W1515" s="1"/>
      <c r="X1515" s="1"/>
      <c r="Y1515" s="1"/>
      <c r="Z1515" s="1" t="s">
        <v>673</v>
      </c>
      <c r="AA1515" s="1" t="s">
        <v>7069</v>
      </c>
      <c r="AB1515" s="1" t="s">
        <v>7070</v>
      </c>
      <c r="AC1515" s="1" t="s">
        <v>46</v>
      </c>
      <c r="AD1515" s="1"/>
      <c r="AE1515" s="1" t="s">
        <v>641</v>
      </c>
      <c r="AF1515" s="1" t="s">
        <v>190</v>
      </c>
      <c r="AG1515" s="1">
        <v>2</v>
      </c>
      <c r="AH1515" s="1" t="s">
        <v>190</v>
      </c>
      <c r="AI1515" s="1" t="s">
        <v>7071</v>
      </c>
      <c r="AJ1515" s="3">
        <v>43198.01189814815</v>
      </c>
      <c r="AK1515" s="1" t="s">
        <v>5908</v>
      </c>
    </row>
    <row r="1516" spans="1:37">
      <c r="A1516" s="1" t="str">
        <f>VLOOKUP(H1516,Languages!$A$2:$B$430,2,FALSE)</f>
        <v>Mayan</v>
      </c>
      <c r="B1516" s="1" t="s">
        <v>1738</v>
      </c>
      <c r="C1516" s="1" t="s">
        <v>267</v>
      </c>
      <c r="D1516" s="1" t="s">
        <v>6728</v>
      </c>
      <c r="E1516" s="15" t="s">
        <v>5900</v>
      </c>
      <c r="F1516" s="15" t="s">
        <v>5900</v>
      </c>
      <c r="G1516" s="1" t="s">
        <v>5900</v>
      </c>
      <c r="H1516" s="1" t="str">
        <f>VLOOKUP(G1516,'languoid 4.0'!$A$1:$I$24439,2,FALSE)</f>
        <v>maya1287</v>
      </c>
      <c r="I1516" s="1" t="str">
        <f>VLOOKUP(G1516,'languoid 4.0'!$A$1:$I$24439,6,FALSE)</f>
        <v>language</v>
      </c>
      <c r="J1516" s="15" t="s">
        <v>38</v>
      </c>
      <c r="K1516" s="15" t="s">
        <v>38</v>
      </c>
      <c r="L1516" s="15" t="s">
        <v>38</v>
      </c>
      <c r="M1516" s="1"/>
      <c r="N1516" s="1" t="s">
        <v>5901</v>
      </c>
      <c r="O1516" s="15" t="s">
        <v>40</v>
      </c>
      <c r="P1516" s="15" t="s">
        <v>41</v>
      </c>
      <c r="Q1516" s="1" t="s">
        <v>8646</v>
      </c>
      <c r="R1516" s="2" t="s">
        <v>8647</v>
      </c>
      <c r="S1516" s="1">
        <v>103</v>
      </c>
      <c r="T1516" s="1" t="s">
        <v>657</v>
      </c>
      <c r="U1516" s="1" t="s">
        <v>6613</v>
      </c>
      <c r="V1516" s="1" t="s">
        <v>45</v>
      </c>
      <c r="W1516" s="1"/>
      <c r="X1516" s="1"/>
      <c r="Y1516" s="1"/>
      <c r="Z1516" s="1" t="s">
        <v>673</v>
      </c>
      <c r="AA1516" s="1" t="s">
        <v>8648</v>
      </c>
      <c r="AB1516" s="1" t="s">
        <v>8649</v>
      </c>
      <c r="AC1516" s="1" t="s">
        <v>46</v>
      </c>
      <c r="AD1516" s="1"/>
      <c r="AE1516" s="1" t="s">
        <v>641</v>
      </c>
      <c r="AF1516" s="1" t="s">
        <v>45</v>
      </c>
      <c r="AG1516" s="1">
        <v>1</v>
      </c>
      <c r="AH1516" s="1" t="s">
        <v>190</v>
      </c>
      <c r="AI1516" s="1"/>
      <c r="AJ1516" s="3">
        <v>43229.981446759259</v>
      </c>
      <c r="AK1516" s="1" t="s">
        <v>5908</v>
      </c>
    </row>
    <row r="1517" spans="1:37">
      <c r="A1517" s="1" t="str">
        <f>VLOOKUP(H1517,Languages!$A$2:$B$430,2,FALSE)</f>
        <v>Mayan</v>
      </c>
      <c r="B1517" s="1" t="s">
        <v>1738</v>
      </c>
      <c r="C1517" s="1" t="s">
        <v>267</v>
      </c>
      <c r="D1517" s="1" t="s">
        <v>6933</v>
      </c>
      <c r="E1517" s="15" t="s">
        <v>6934</v>
      </c>
      <c r="F1517" s="15" t="s">
        <v>6934</v>
      </c>
      <c r="G1517" s="1" t="s">
        <v>6934</v>
      </c>
      <c r="H1517" s="1" t="str">
        <f>VLOOKUP(G1517,'languoid 4.0'!$A$1:$I$24439,2,FALSE)</f>
        <v>maya1287</v>
      </c>
      <c r="I1517" s="1" t="str">
        <f>VLOOKUP(G1517,'languoid 4.0'!$A$1:$I$24439,6,FALSE)</f>
        <v>language</v>
      </c>
      <c r="J1517" s="15" t="s">
        <v>38</v>
      </c>
      <c r="K1517" s="15" t="s">
        <v>38</v>
      </c>
      <c r="L1517" s="15" t="s">
        <v>38</v>
      </c>
      <c r="M1517" s="1"/>
      <c r="N1517" s="1" t="s">
        <v>6935</v>
      </c>
      <c r="O1517" s="15" t="s">
        <v>40</v>
      </c>
      <c r="P1517" s="15" t="s">
        <v>41</v>
      </c>
      <c r="Q1517" s="1" t="s">
        <v>8650</v>
      </c>
      <c r="R1517" s="2" t="s">
        <v>8651</v>
      </c>
      <c r="S1517" s="1">
        <v>102</v>
      </c>
      <c r="T1517" s="1" t="s">
        <v>657</v>
      </c>
      <c r="U1517" s="1" t="s">
        <v>6938</v>
      </c>
      <c r="V1517" s="1" t="s">
        <v>45</v>
      </c>
      <c r="W1517" s="1"/>
      <c r="X1517" s="1"/>
      <c r="Y1517" s="1"/>
      <c r="Z1517" s="1" t="s">
        <v>637</v>
      </c>
      <c r="AA1517" s="1" t="s">
        <v>8652</v>
      </c>
      <c r="AB1517" s="1" t="s">
        <v>8653</v>
      </c>
      <c r="AC1517" s="1" t="s">
        <v>46</v>
      </c>
      <c r="AD1517" s="1"/>
      <c r="AE1517" s="1" t="s">
        <v>641</v>
      </c>
      <c r="AF1517" s="1" t="s">
        <v>190</v>
      </c>
      <c r="AG1517" s="1">
        <v>6</v>
      </c>
      <c r="AH1517" s="1" t="s">
        <v>190</v>
      </c>
      <c r="AI1517" s="1"/>
      <c r="AJ1517" s="3">
        <v>43229.985995370371</v>
      </c>
      <c r="AK1517" s="1" t="s">
        <v>5908</v>
      </c>
    </row>
    <row r="1518" spans="1:37">
      <c r="A1518" s="1" t="str">
        <f>VLOOKUP(H1518,Languages!$A$2:$B$430,2,FALSE)</f>
        <v>Mayan</v>
      </c>
      <c r="B1518" s="1" t="s">
        <v>1738</v>
      </c>
      <c r="C1518" s="1" t="s">
        <v>267</v>
      </c>
      <c r="D1518" s="1" t="s">
        <v>9791</v>
      </c>
      <c r="E1518" s="15" t="s">
        <v>6934</v>
      </c>
      <c r="F1518" s="15" t="s">
        <v>6934</v>
      </c>
      <c r="G1518" s="1" t="s">
        <v>6934</v>
      </c>
      <c r="H1518" s="1" t="str">
        <f>VLOOKUP(G1518,'languoid 4.0'!$A$1:$I$24439,2,FALSE)</f>
        <v>maya1287</v>
      </c>
      <c r="I1518" s="1" t="str">
        <f>VLOOKUP(G1518,'languoid 4.0'!$A$1:$I$24439,6,FALSE)</f>
        <v>language</v>
      </c>
      <c r="J1518" s="15" t="s">
        <v>38</v>
      </c>
      <c r="K1518" s="15" t="s">
        <v>38</v>
      </c>
      <c r="L1518" s="15" t="s">
        <v>38</v>
      </c>
      <c r="M1518" s="1"/>
      <c r="N1518" s="1" t="s">
        <v>6935</v>
      </c>
      <c r="O1518" s="15" t="s">
        <v>40</v>
      </c>
      <c r="P1518" s="15" t="s">
        <v>41</v>
      </c>
      <c r="Q1518" s="1" t="s">
        <v>6936</v>
      </c>
      <c r="R1518" s="2" t="s">
        <v>9792</v>
      </c>
      <c r="S1518" s="1" t="s">
        <v>225</v>
      </c>
      <c r="T1518" s="1" t="s">
        <v>9174</v>
      </c>
      <c r="U1518" s="1" t="s">
        <v>1738</v>
      </c>
      <c r="V1518" s="1" t="s">
        <v>45</v>
      </c>
      <c r="W1518" s="1"/>
      <c r="X1518" s="1"/>
      <c r="Y1518" s="1"/>
      <c r="Z1518" s="1" t="s">
        <v>658</v>
      </c>
      <c r="AA1518" s="1" t="s">
        <v>9793</v>
      </c>
      <c r="AB1518" s="1" t="s">
        <v>46</v>
      </c>
      <c r="AC1518" s="1" t="s">
        <v>46</v>
      </c>
      <c r="AD1518" s="1"/>
      <c r="AE1518" s="1" t="s">
        <v>641</v>
      </c>
      <c r="AF1518" s="1" t="s">
        <v>45</v>
      </c>
      <c r="AG1518" s="1">
        <v>1</v>
      </c>
      <c r="AH1518" s="1" t="s">
        <v>190</v>
      </c>
      <c r="AI1518" s="1"/>
      <c r="AJ1518" s="1" t="s">
        <v>9794</v>
      </c>
      <c r="AK1518" s="1" t="s">
        <v>4945</v>
      </c>
    </row>
    <row r="1519" spans="1:37">
      <c r="A1519" s="1" t="str">
        <f>VLOOKUP(H1519,Languages!$A$2:$B$430,2,FALSE)</f>
        <v>Mayan</v>
      </c>
      <c r="B1519" s="1" t="s">
        <v>1738</v>
      </c>
      <c r="C1519" s="1" t="s">
        <v>267</v>
      </c>
      <c r="D1519" s="1" t="s">
        <v>9795</v>
      </c>
      <c r="E1519" s="15" t="s">
        <v>6934</v>
      </c>
      <c r="F1519" s="15" t="s">
        <v>6934</v>
      </c>
      <c r="G1519" s="1" t="s">
        <v>6934</v>
      </c>
      <c r="H1519" s="1" t="str">
        <f>VLOOKUP(G1519,'languoid 4.0'!$A$1:$I$24439,2,FALSE)</f>
        <v>maya1287</v>
      </c>
      <c r="I1519" s="1" t="str">
        <f>VLOOKUP(G1519,'languoid 4.0'!$A$1:$I$24439,6,FALSE)</f>
        <v>language</v>
      </c>
      <c r="J1519" s="15" t="s">
        <v>38</v>
      </c>
      <c r="K1519" s="15" t="s">
        <v>38</v>
      </c>
      <c r="L1519" s="15" t="s">
        <v>38</v>
      </c>
      <c r="M1519" s="1"/>
      <c r="N1519" s="1" t="s">
        <v>6935</v>
      </c>
      <c r="O1519" s="15" t="s">
        <v>40</v>
      </c>
      <c r="P1519" s="15" t="s">
        <v>41</v>
      </c>
      <c r="Q1519" s="1" t="s">
        <v>9796</v>
      </c>
      <c r="R1519" s="2" t="s">
        <v>9792</v>
      </c>
      <c r="S1519" s="1" t="s">
        <v>138</v>
      </c>
      <c r="T1519" s="1" t="s">
        <v>3307</v>
      </c>
      <c r="U1519" s="1" t="s">
        <v>636</v>
      </c>
      <c r="V1519" s="1" t="s">
        <v>45</v>
      </c>
      <c r="W1519" s="1"/>
      <c r="X1519" s="1"/>
      <c r="Y1519" s="1"/>
      <c r="Z1519" s="1" t="s">
        <v>658</v>
      </c>
      <c r="AA1519" s="1" t="s">
        <v>9797</v>
      </c>
      <c r="AB1519" s="1" t="s">
        <v>46</v>
      </c>
      <c r="AC1519" s="1" t="s">
        <v>46</v>
      </c>
      <c r="AD1519" s="1"/>
      <c r="AE1519" s="1" t="s">
        <v>641</v>
      </c>
      <c r="AF1519" s="1" t="s">
        <v>190</v>
      </c>
      <c r="AG1519" s="1">
        <v>6</v>
      </c>
      <c r="AH1519" s="1" t="s">
        <v>190</v>
      </c>
      <c r="AI1519" s="1"/>
      <c r="AJ1519" s="1" t="s">
        <v>9798</v>
      </c>
      <c r="AK1519" s="1" t="s">
        <v>4945</v>
      </c>
    </row>
    <row r="1520" spans="1:37">
      <c r="A1520" s="1" t="str">
        <f>VLOOKUP(H1520,Languages!$A$2:$B$430,2,FALSE)</f>
        <v>Mayan</v>
      </c>
      <c r="B1520" s="1" t="s">
        <v>1812</v>
      </c>
      <c r="C1520" s="1" t="s">
        <v>267</v>
      </c>
      <c r="D1520" s="1" t="s">
        <v>9916</v>
      </c>
      <c r="E1520" s="15" t="s">
        <v>9917</v>
      </c>
      <c r="F1520" s="15" t="s">
        <v>9917</v>
      </c>
      <c r="G1520" s="1" t="s">
        <v>9917</v>
      </c>
      <c r="H1520" s="1" t="str">
        <f>VLOOKUP(G1520,'languoid 4.0'!$A$1:$I$24439,2,FALSE)</f>
        <v>maya1287</v>
      </c>
      <c r="I1520" s="1" t="str">
        <f>VLOOKUP(G1520,'languoid 4.0'!$A$1:$I$24439,6,FALSE)</f>
        <v>language</v>
      </c>
      <c r="J1520" s="15" t="s">
        <v>38</v>
      </c>
      <c r="K1520" s="15" t="s">
        <v>38</v>
      </c>
      <c r="L1520" s="15" t="s">
        <v>38</v>
      </c>
      <c r="M1520" s="1"/>
      <c r="N1520" s="1" t="s">
        <v>9918</v>
      </c>
      <c r="O1520" s="15" t="s">
        <v>40</v>
      </c>
      <c r="P1520" s="15" t="s">
        <v>41</v>
      </c>
      <c r="Q1520" s="1" t="s">
        <v>9919</v>
      </c>
      <c r="R1520" s="2" t="s">
        <v>9920</v>
      </c>
      <c r="S1520" s="1" t="s">
        <v>225</v>
      </c>
      <c r="T1520" s="1" t="s">
        <v>9174</v>
      </c>
      <c r="U1520" s="1" t="s">
        <v>9921</v>
      </c>
      <c r="V1520" s="1" t="s">
        <v>45</v>
      </c>
      <c r="W1520" s="1"/>
      <c r="X1520" s="1"/>
      <c r="Y1520" s="1"/>
      <c r="Z1520" s="1" t="s">
        <v>673</v>
      </c>
      <c r="AA1520" s="1" t="s">
        <v>46</v>
      </c>
      <c r="AB1520" s="1" t="s">
        <v>9922</v>
      </c>
      <c r="AC1520" s="1" t="s">
        <v>46</v>
      </c>
      <c r="AD1520" s="1"/>
      <c r="AE1520" s="1" t="s">
        <v>641</v>
      </c>
      <c r="AF1520" s="1" t="s">
        <v>45</v>
      </c>
      <c r="AG1520" s="1">
        <v>1</v>
      </c>
      <c r="AH1520" s="1" t="s">
        <v>190</v>
      </c>
      <c r="AI1520" s="1"/>
      <c r="AJ1520" s="1" t="s">
        <v>9923</v>
      </c>
      <c r="AK1520" s="1" t="s">
        <v>4945</v>
      </c>
    </row>
    <row r="1521" spans="1:37">
      <c r="A1521" s="1" t="str">
        <f>VLOOKUP(H1521,Languages!$A$2:$B$430,2,FALSE)</f>
        <v>Misumalpan</v>
      </c>
      <c r="B1521" s="1" t="s">
        <v>1812</v>
      </c>
      <c r="C1521" s="1" t="s">
        <v>154</v>
      </c>
      <c r="D1521" s="1" t="s">
        <v>6421</v>
      </c>
      <c r="E1521" s="15" t="s">
        <v>6422</v>
      </c>
      <c r="F1521" s="15" t="s">
        <v>6422</v>
      </c>
      <c r="G1521" s="1" t="s">
        <v>6422</v>
      </c>
      <c r="H1521" s="1" t="str">
        <f>VLOOKUP(G1521,'languoid 4.0'!$A$1:$I$24439,2,FALSE)</f>
        <v>misu1242</v>
      </c>
      <c r="I1521" s="1" t="str">
        <f>VLOOKUP(G1521,'languoid 4.0'!$A$1:$I$24439,6,FALSE)</f>
        <v>language</v>
      </c>
      <c r="J1521" s="15" t="s">
        <v>38</v>
      </c>
      <c r="K1521" s="15" t="s">
        <v>38</v>
      </c>
      <c r="L1521" s="15" t="s">
        <v>38</v>
      </c>
      <c r="M1521" s="1"/>
      <c r="N1521" s="1" t="s">
        <v>6423</v>
      </c>
      <c r="O1521" s="15" t="s">
        <v>40</v>
      </c>
      <c r="P1521" s="15" t="s">
        <v>41</v>
      </c>
      <c r="Q1521" s="1" t="s">
        <v>6424</v>
      </c>
      <c r="R1521" s="2" t="s">
        <v>6425</v>
      </c>
      <c r="S1521" s="1" t="s">
        <v>6016</v>
      </c>
      <c r="T1521" s="1" t="s">
        <v>648</v>
      </c>
      <c r="U1521" s="1" t="s">
        <v>636</v>
      </c>
      <c r="V1521" s="1" t="s">
        <v>45</v>
      </c>
      <c r="W1521" s="1"/>
      <c r="X1521" s="1"/>
      <c r="Y1521" s="1"/>
      <c r="Z1521" s="1" t="s">
        <v>1893</v>
      </c>
      <c r="AA1521" s="1" t="s">
        <v>46</v>
      </c>
      <c r="AB1521" s="1" t="s">
        <v>46</v>
      </c>
      <c r="AC1521" s="1" t="s">
        <v>6426</v>
      </c>
      <c r="AD1521" s="1"/>
      <c r="AE1521" s="1" t="s">
        <v>641</v>
      </c>
      <c r="AF1521" s="1" t="s">
        <v>190</v>
      </c>
      <c r="AG1521" s="1">
        <v>4</v>
      </c>
      <c r="AH1521" s="1" t="s">
        <v>190</v>
      </c>
      <c r="AI1521" s="1"/>
      <c r="AJ1521" s="3">
        <v>43319.688668981478</v>
      </c>
      <c r="AK1521" s="1" t="s">
        <v>6365</v>
      </c>
    </row>
    <row r="1522" spans="1:37">
      <c r="A1522" s="1" t="str">
        <f>VLOOKUP(H1522,Languages!$A$2:$B$430,2,FALSE)</f>
        <v>Misumalpan</v>
      </c>
      <c r="B1522" s="1" t="s">
        <v>1812</v>
      </c>
      <c r="C1522" s="1" t="s">
        <v>154</v>
      </c>
      <c r="D1522" s="1" t="s">
        <v>6421</v>
      </c>
      <c r="E1522" s="15" t="s">
        <v>6422</v>
      </c>
      <c r="F1522" s="15" t="s">
        <v>6422</v>
      </c>
      <c r="G1522" s="1" t="s">
        <v>6422</v>
      </c>
      <c r="H1522" s="1" t="str">
        <f>VLOOKUP(G1522,'languoid 4.0'!$A$1:$I$24439,2,FALSE)</f>
        <v>misu1242</v>
      </c>
      <c r="I1522" s="1" t="str">
        <f>VLOOKUP(G1522,'languoid 4.0'!$A$1:$I$24439,6,FALSE)</f>
        <v>language</v>
      </c>
      <c r="J1522" s="15" t="s">
        <v>38</v>
      </c>
      <c r="K1522" s="15" t="s">
        <v>38</v>
      </c>
      <c r="L1522" s="15" t="s">
        <v>38</v>
      </c>
      <c r="M1522" s="1"/>
      <c r="N1522" s="1" t="s">
        <v>6423</v>
      </c>
      <c r="O1522" s="15" t="s">
        <v>40</v>
      </c>
      <c r="P1522" s="15" t="s">
        <v>41</v>
      </c>
      <c r="Q1522" s="1" t="s">
        <v>6427</v>
      </c>
      <c r="R1522" s="2" t="s">
        <v>6425</v>
      </c>
      <c r="S1522" s="1" t="s">
        <v>6369</v>
      </c>
      <c r="T1522" s="1" t="s">
        <v>6428</v>
      </c>
      <c r="U1522" s="1" t="s">
        <v>6429</v>
      </c>
      <c r="V1522" s="1" t="s">
        <v>45</v>
      </c>
      <c r="W1522" s="1"/>
      <c r="X1522" s="1"/>
      <c r="Y1522" s="1"/>
      <c r="Z1522" s="1" t="s">
        <v>1893</v>
      </c>
      <c r="AA1522" s="1" t="s">
        <v>46</v>
      </c>
      <c r="AB1522" s="1" t="s">
        <v>46</v>
      </c>
      <c r="AC1522" s="1" t="s">
        <v>6430</v>
      </c>
      <c r="AD1522" s="1"/>
      <c r="AE1522" s="1" t="s">
        <v>641</v>
      </c>
      <c r="AF1522" s="1" t="s">
        <v>190</v>
      </c>
      <c r="AG1522" s="1">
        <v>4</v>
      </c>
      <c r="AH1522" s="1" t="s">
        <v>190</v>
      </c>
      <c r="AI1522" s="1"/>
      <c r="AJ1522" s="3">
        <v>43319.694351851853</v>
      </c>
      <c r="AK1522" s="1" t="s">
        <v>6365</v>
      </c>
    </row>
    <row r="1523" spans="1:37">
      <c r="A1523" s="1" t="str">
        <f>VLOOKUP(H1523,Languages!$A$2:$B$430,2,FALSE)</f>
        <v>Misumalpan</v>
      </c>
      <c r="B1523" s="1" t="s">
        <v>1812</v>
      </c>
      <c r="C1523" s="1" t="s">
        <v>154</v>
      </c>
      <c r="D1523" s="1" t="s">
        <v>6421</v>
      </c>
      <c r="E1523" s="15" t="s">
        <v>6422</v>
      </c>
      <c r="F1523" s="15" t="s">
        <v>6422</v>
      </c>
      <c r="G1523" s="1" t="s">
        <v>6422</v>
      </c>
      <c r="H1523" s="1" t="str">
        <f>VLOOKUP(G1523,'languoid 4.0'!$A$1:$I$24439,2,FALSE)</f>
        <v>misu1242</v>
      </c>
      <c r="I1523" s="1" t="str">
        <f>VLOOKUP(G1523,'languoid 4.0'!$A$1:$I$24439,6,FALSE)</f>
        <v>language</v>
      </c>
      <c r="J1523" s="15" t="s">
        <v>38</v>
      </c>
      <c r="K1523" s="15" t="s">
        <v>38</v>
      </c>
      <c r="L1523" s="15" t="s">
        <v>38</v>
      </c>
      <c r="M1523" s="1"/>
      <c r="N1523" s="1" t="s">
        <v>6423</v>
      </c>
      <c r="O1523" s="15" t="s">
        <v>40</v>
      </c>
      <c r="P1523" s="15" t="s">
        <v>41</v>
      </c>
      <c r="Q1523" s="1" t="s">
        <v>6431</v>
      </c>
      <c r="R1523" s="2" t="s">
        <v>6425</v>
      </c>
      <c r="S1523" s="1" t="s">
        <v>6432</v>
      </c>
      <c r="T1523" s="1" t="s">
        <v>6428</v>
      </c>
      <c r="U1523" s="1" t="s">
        <v>636</v>
      </c>
      <c r="V1523" s="1" t="s">
        <v>45</v>
      </c>
      <c r="W1523" s="1"/>
      <c r="X1523" s="1"/>
      <c r="Y1523" s="1"/>
      <c r="Z1523" s="1" t="s">
        <v>673</v>
      </c>
      <c r="AA1523" s="1" t="s">
        <v>46</v>
      </c>
      <c r="AB1523" s="1" t="s">
        <v>6433</v>
      </c>
      <c r="AC1523" s="1" t="s">
        <v>46</v>
      </c>
      <c r="AD1523" s="1"/>
      <c r="AE1523" s="1" t="s">
        <v>641</v>
      </c>
      <c r="AF1523" s="1" t="s">
        <v>190</v>
      </c>
      <c r="AG1523" s="1">
        <v>4</v>
      </c>
      <c r="AH1523" s="1" t="s">
        <v>190</v>
      </c>
      <c r="AI1523" s="1"/>
      <c r="AJ1523" s="3">
        <v>43319.702581018515</v>
      </c>
      <c r="AK1523" s="1" t="s">
        <v>6365</v>
      </c>
    </row>
    <row r="1524" spans="1:37">
      <c r="A1524" s="1" t="str">
        <f>VLOOKUP(H1524,Languages!$A$2:$B$430,2,FALSE)</f>
        <v>Mongolic</v>
      </c>
      <c r="B1524" s="1" t="s">
        <v>67</v>
      </c>
      <c r="C1524" s="1" t="s">
        <v>317</v>
      </c>
      <c r="D1524" s="1" t="s">
        <v>2128</v>
      </c>
      <c r="E1524" s="15" t="s">
        <v>2129</v>
      </c>
      <c r="F1524" s="15" t="s">
        <v>2130</v>
      </c>
      <c r="G1524" s="1" t="s">
        <v>2130</v>
      </c>
      <c r="H1524" s="1" t="str">
        <f>VLOOKUP(G1524,'languoid 4.0'!$A$1:$I$24439,2,FALSE)</f>
        <v>mong1329</v>
      </c>
      <c r="I1524" s="1" t="str">
        <f>VLOOKUP(G1524,'languoid 4.0'!$A$1:$I$24439,6,FALSE)</f>
        <v>family</v>
      </c>
      <c r="J1524" s="15" t="s">
        <v>52</v>
      </c>
      <c r="K1524" s="15" t="s">
        <v>38</v>
      </c>
      <c r="L1524" s="15" t="s">
        <v>38</v>
      </c>
      <c r="M1524" s="1" t="s">
        <v>2131</v>
      </c>
      <c r="N1524" s="1" t="s">
        <v>2132</v>
      </c>
      <c r="O1524" s="15" t="s">
        <v>40</v>
      </c>
      <c r="P1524" s="15" t="s">
        <v>41</v>
      </c>
      <c r="Q1524" s="1" t="s">
        <v>2133</v>
      </c>
      <c r="R1524" s="2" t="s">
        <v>2134</v>
      </c>
      <c r="S1524" s="1" t="s">
        <v>46</v>
      </c>
      <c r="T1524" s="1" t="s">
        <v>635</v>
      </c>
      <c r="U1524" s="1" t="s">
        <v>636</v>
      </c>
      <c r="V1524" s="1" t="s">
        <v>45</v>
      </c>
      <c r="W1524" s="1"/>
      <c r="X1524" s="1"/>
      <c r="Y1524" s="1"/>
      <c r="Z1524" s="1" t="s">
        <v>658</v>
      </c>
      <c r="AA1524" s="1" t="s">
        <v>2135</v>
      </c>
      <c r="AB1524" s="1" t="s">
        <v>46</v>
      </c>
      <c r="AC1524" s="1" t="s">
        <v>46</v>
      </c>
      <c r="AD1524" s="1"/>
      <c r="AE1524" s="1" t="s">
        <v>641</v>
      </c>
      <c r="AF1524" s="1" t="s">
        <v>190</v>
      </c>
      <c r="AG1524" s="1">
        <v>6</v>
      </c>
      <c r="AH1524" s="1" t="s">
        <v>190</v>
      </c>
      <c r="AI1524" s="1"/>
      <c r="AJ1524" s="1" t="s">
        <v>2136</v>
      </c>
      <c r="AK1524" s="1" t="s">
        <v>2040</v>
      </c>
    </row>
    <row r="1525" spans="1:37">
      <c r="A1525" s="1" t="str">
        <f>VLOOKUP(H1525,Languages!$A$2:$B$430,2,FALSE)</f>
        <v>Mongolic</v>
      </c>
      <c r="B1525" s="1" t="s">
        <v>652</v>
      </c>
      <c r="C1525" s="1" t="s">
        <v>317</v>
      </c>
      <c r="D1525" s="1" t="s">
        <v>7155</v>
      </c>
      <c r="E1525" s="15" t="s">
        <v>2129</v>
      </c>
      <c r="F1525" s="15" t="s">
        <v>2130</v>
      </c>
      <c r="G1525" s="1" t="s">
        <v>2129</v>
      </c>
      <c r="H1525" s="1" t="str">
        <f>VLOOKUP(G1525,'languoid 4.0'!$A$1:$I$24439,2,FALSE)</f>
        <v>mong1329</v>
      </c>
      <c r="I1525" s="1" t="str">
        <f>VLOOKUP(G1525,'languoid 4.0'!$A$1:$I$24439,6,FALSE)</f>
        <v>language</v>
      </c>
      <c r="J1525" s="15" t="s">
        <v>52</v>
      </c>
      <c r="K1525" s="15" t="s">
        <v>38</v>
      </c>
      <c r="L1525" s="15" t="s">
        <v>38</v>
      </c>
      <c r="M1525" s="1"/>
      <c r="N1525" s="1" t="s">
        <v>2132</v>
      </c>
      <c r="O1525" s="15" t="s">
        <v>40</v>
      </c>
      <c r="P1525" s="15" t="s">
        <v>41</v>
      </c>
      <c r="Q1525" s="1" t="s">
        <v>7160</v>
      </c>
      <c r="R1525" s="2" t="s">
        <v>7149</v>
      </c>
      <c r="S1525" s="1" t="s">
        <v>7161</v>
      </c>
      <c r="T1525" s="1" t="s">
        <v>7151</v>
      </c>
      <c r="U1525" s="1" t="s">
        <v>636</v>
      </c>
      <c r="V1525" s="1" t="s">
        <v>45</v>
      </c>
      <c r="W1525" s="1"/>
      <c r="X1525" s="1"/>
      <c r="Y1525" s="1"/>
      <c r="Z1525" s="1" t="s">
        <v>658</v>
      </c>
      <c r="AA1525" s="1" t="s">
        <v>7162</v>
      </c>
      <c r="AB1525" s="1" t="s">
        <v>7163</v>
      </c>
      <c r="AC1525" s="1" t="s">
        <v>46</v>
      </c>
      <c r="AD1525" s="1" t="s">
        <v>7154</v>
      </c>
      <c r="AE1525" s="1" t="s">
        <v>641</v>
      </c>
      <c r="AF1525" s="1" t="s">
        <v>190</v>
      </c>
      <c r="AG1525" s="1">
        <v>6</v>
      </c>
      <c r="AH1525" s="1" t="s">
        <v>190</v>
      </c>
      <c r="AI1525" s="1"/>
      <c r="AJ1525" s="3">
        <v>43259.49832175926</v>
      </c>
      <c r="AK1525" s="1" t="s">
        <v>5871</v>
      </c>
    </row>
    <row r="1526" spans="1:37">
      <c r="A1526" s="1" t="str">
        <f>VLOOKUP(H1526,Languages!$A$2:$B$430,2,FALSE)</f>
        <v>Mongolic</v>
      </c>
      <c r="B1526" s="1" t="s">
        <v>1812</v>
      </c>
      <c r="C1526" s="1" t="s">
        <v>317</v>
      </c>
      <c r="D1526" s="1" t="s">
        <v>7147</v>
      </c>
      <c r="E1526" s="15" t="s">
        <v>2129</v>
      </c>
      <c r="F1526" s="15" t="s">
        <v>2130</v>
      </c>
      <c r="G1526" s="1" t="s">
        <v>2129</v>
      </c>
      <c r="H1526" s="1" t="str">
        <f>VLOOKUP(G1526,'languoid 4.0'!$A$1:$I$24439,2,FALSE)</f>
        <v>mong1329</v>
      </c>
      <c r="I1526" s="1" t="str">
        <f>VLOOKUP(G1526,'languoid 4.0'!$A$1:$I$24439,6,FALSE)</f>
        <v>language</v>
      </c>
      <c r="J1526" s="15" t="s">
        <v>52</v>
      </c>
      <c r="K1526" s="15" t="s">
        <v>38</v>
      </c>
      <c r="L1526" s="15" t="s">
        <v>38</v>
      </c>
      <c r="M1526" s="1"/>
      <c r="N1526" s="1" t="s">
        <v>2132</v>
      </c>
      <c r="O1526" s="15" t="s">
        <v>40</v>
      </c>
      <c r="P1526" s="15" t="s">
        <v>41</v>
      </c>
      <c r="Q1526" s="1" t="s">
        <v>7148</v>
      </c>
      <c r="R1526" s="2" t="s">
        <v>7149</v>
      </c>
      <c r="S1526" s="1" t="s">
        <v>7150</v>
      </c>
      <c r="T1526" s="1" t="s">
        <v>7151</v>
      </c>
      <c r="U1526" s="1" t="s">
        <v>636</v>
      </c>
      <c r="V1526" s="1" t="s">
        <v>45</v>
      </c>
      <c r="W1526" s="1"/>
      <c r="X1526" s="1"/>
      <c r="Y1526" s="1"/>
      <c r="Z1526" s="1" t="s">
        <v>658</v>
      </c>
      <c r="AA1526" s="1" t="s">
        <v>7152</v>
      </c>
      <c r="AB1526" s="1" t="s">
        <v>7153</v>
      </c>
      <c r="AC1526" s="1" t="s">
        <v>46</v>
      </c>
      <c r="AD1526" s="1" t="s">
        <v>7154</v>
      </c>
      <c r="AE1526" s="1" t="s">
        <v>641</v>
      </c>
      <c r="AF1526" s="1" t="s">
        <v>190</v>
      </c>
      <c r="AG1526" s="1">
        <v>6</v>
      </c>
      <c r="AH1526" s="1" t="s">
        <v>190</v>
      </c>
      <c r="AI1526" s="1"/>
      <c r="AJ1526" s="3">
        <v>43259.491423611114</v>
      </c>
      <c r="AK1526" s="1" t="s">
        <v>5871</v>
      </c>
    </row>
    <row r="1527" spans="1:37">
      <c r="A1527" s="1" t="str">
        <f>VLOOKUP(H1527,Languages!$A$2:$B$430,2,FALSE)</f>
        <v>Mongolic</v>
      </c>
      <c r="B1527" s="1" t="s">
        <v>1812</v>
      </c>
      <c r="C1527" s="1" t="s">
        <v>317</v>
      </c>
      <c r="D1527" s="1" t="s">
        <v>7155</v>
      </c>
      <c r="E1527" s="15" t="s">
        <v>2129</v>
      </c>
      <c r="F1527" s="15" t="s">
        <v>2130</v>
      </c>
      <c r="G1527" s="1" t="s">
        <v>2129</v>
      </c>
      <c r="H1527" s="1" t="str">
        <f>VLOOKUP(G1527,'languoid 4.0'!$A$1:$I$24439,2,FALSE)</f>
        <v>mong1329</v>
      </c>
      <c r="I1527" s="1" t="str">
        <f>VLOOKUP(G1527,'languoid 4.0'!$A$1:$I$24439,6,FALSE)</f>
        <v>language</v>
      </c>
      <c r="J1527" s="15" t="s">
        <v>52</v>
      </c>
      <c r="K1527" s="15" t="s">
        <v>38</v>
      </c>
      <c r="L1527" s="15" t="s">
        <v>38</v>
      </c>
      <c r="M1527" s="1"/>
      <c r="N1527" s="1" t="s">
        <v>2132</v>
      </c>
      <c r="O1527" s="15" t="s">
        <v>40</v>
      </c>
      <c r="P1527" s="15" t="s">
        <v>41</v>
      </c>
      <c r="Q1527" s="1" t="s">
        <v>7156</v>
      </c>
      <c r="R1527" s="2" t="s">
        <v>7149</v>
      </c>
      <c r="S1527" s="1" t="s">
        <v>7157</v>
      </c>
      <c r="T1527" s="1" t="s">
        <v>7151</v>
      </c>
      <c r="U1527" s="1" t="s">
        <v>636</v>
      </c>
      <c r="V1527" s="1" t="s">
        <v>45</v>
      </c>
      <c r="W1527" s="1"/>
      <c r="X1527" s="1"/>
      <c r="Y1527" s="1"/>
      <c r="Z1527" s="1" t="s">
        <v>658</v>
      </c>
      <c r="AA1527" s="1" t="s">
        <v>7158</v>
      </c>
      <c r="AB1527" s="1" t="s">
        <v>7159</v>
      </c>
      <c r="AC1527" s="1" t="s">
        <v>46</v>
      </c>
      <c r="AD1527" s="1" t="s">
        <v>7154</v>
      </c>
      <c r="AE1527" s="1" t="s">
        <v>641</v>
      </c>
      <c r="AF1527" s="1" t="s">
        <v>190</v>
      </c>
      <c r="AG1527" s="1">
        <v>6</v>
      </c>
      <c r="AH1527" s="1" t="s">
        <v>190</v>
      </c>
      <c r="AI1527" s="1"/>
      <c r="AJ1527" s="3">
        <v>43259.49422453704</v>
      </c>
      <c r="AK1527" s="1" t="s">
        <v>5871</v>
      </c>
    </row>
    <row r="1528" spans="1:37">
      <c r="A1528" s="1" t="str">
        <f>VLOOKUP(H1528,Languages!$A$2:$B$430,2,FALSE)</f>
        <v>Muskogean</v>
      </c>
      <c r="B1528" s="1" t="s">
        <v>59</v>
      </c>
      <c r="C1528" s="1" t="s">
        <v>298</v>
      </c>
      <c r="D1528" s="1" t="s">
        <v>8593</v>
      </c>
      <c r="E1528" s="15" t="s">
        <v>8594</v>
      </c>
      <c r="F1528" s="15" t="s">
        <v>8594</v>
      </c>
      <c r="G1528" s="1" t="s">
        <v>8594</v>
      </c>
      <c r="H1528" s="1" t="str">
        <f>VLOOKUP(G1528,'languoid 4.0'!$A$1:$I$24439,2,FALSE)</f>
        <v>musk1252</v>
      </c>
      <c r="I1528" s="1" t="str">
        <f>VLOOKUP(G1528,'languoid 4.0'!$A$1:$I$24439,6,FALSE)</f>
        <v>language</v>
      </c>
      <c r="J1528" s="15" t="s">
        <v>38</v>
      </c>
      <c r="K1528" s="15" t="s">
        <v>38</v>
      </c>
      <c r="L1528" s="15" t="s">
        <v>38</v>
      </c>
      <c r="M1528" s="1"/>
      <c r="N1528" s="1" t="s">
        <v>8596</v>
      </c>
      <c r="O1528" s="15" t="s">
        <v>40</v>
      </c>
      <c r="P1528" s="15" t="s">
        <v>41</v>
      </c>
      <c r="Q1528" s="1" t="s">
        <v>10909</v>
      </c>
      <c r="R1528" s="2" t="s">
        <v>10910</v>
      </c>
      <c r="S1528" s="1" t="s">
        <v>656</v>
      </c>
      <c r="T1528" s="1" t="s">
        <v>657</v>
      </c>
      <c r="U1528" s="1" t="s">
        <v>636</v>
      </c>
      <c r="V1528" s="1" t="s">
        <v>45</v>
      </c>
      <c r="W1528" s="1"/>
      <c r="X1528" s="1"/>
      <c r="Y1528" s="1"/>
      <c r="Z1528" s="1" t="s">
        <v>637</v>
      </c>
      <c r="AA1528" s="1" t="s">
        <v>10911</v>
      </c>
      <c r="AB1528" s="1" t="s">
        <v>10912</v>
      </c>
      <c r="AC1528" s="1" t="s">
        <v>46</v>
      </c>
      <c r="AD1528" s="1" t="s">
        <v>8498</v>
      </c>
      <c r="AE1528" s="1" t="s">
        <v>641</v>
      </c>
      <c r="AF1528" s="1" t="s">
        <v>190</v>
      </c>
      <c r="AG1528" s="1">
        <v>4</v>
      </c>
      <c r="AH1528" s="1" t="s">
        <v>190</v>
      </c>
      <c r="AI1528" s="1"/>
      <c r="AJ1528" s="3">
        <v>43416.600578703707</v>
      </c>
      <c r="AK1528" s="1" t="s">
        <v>7652</v>
      </c>
    </row>
    <row r="1529" spans="1:37">
      <c r="A1529" s="1" t="str">
        <f>VLOOKUP(H1529,Languages!$A$2:$B$430,2,FALSE)</f>
        <v>Muskogean</v>
      </c>
      <c r="B1529" s="1" t="s">
        <v>1812</v>
      </c>
      <c r="C1529" s="1" t="s">
        <v>298</v>
      </c>
      <c r="D1529" s="1" t="s">
        <v>8593</v>
      </c>
      <c r="E1529" s="15" t="s">
        <v>8594</v>
      </c>
      <c r="F1529" s="15" t="s">
        <v>8594</v>
      </c>
      <c r="G1529" s="1" t="s">
        <v>8595</v>
      </c>
      <c r="H1529" s="1" t="str">
        <f>VLOOKUP(G1529,'languoid 4.0'!$A$1:$I$24439,2,FALSE)</f>
        <v>musk1252</v>
      </c>
      <c r="I1529" s="1" t="str">
        <f>VLOOKUP(G1529,'languoid 4.0'!$A$1:$I$24439,6,FALSE)</f>
        <v>dialect</v>
      </c>
      <c r="J1529" s="15" t="s">
        <v>38</v>
      </c>
      <c r="K1529" s="15" t="s">
        <v>38</v>
      </c>
      <c r="L1529" s="15" t="s">
        <v>38</v>
      </c>
      <c r="M1529" s="1"/>
      <c r="N1529" s="1" t="s">
        <v>8596</v>
      </c>
      <c r="O1529" s="15" t="s">
        <v>40</v>
      </c>
      <c r="P1529" s="15" t="s">
        <v>41</v>
      </c>
      <c r="Q1529" s="1" t="s">
        <v>8597</v>
      </c>
      <c r="R1529" s="2" t="s">
        <v>8598</v>
      </c>
      <c r="S1529" s="1" t="s">
        <v>557</v>
      </c>
      <c r="T1529" s="1" t="s">
        <v>657</v>
      </c>
      <c r="U1529" s="1" t="s">
        <v>636</v>
      </c>
      <c r="V1529" s="1" t="s">
        <v>45</v>
      </c>
      <c r="W1529" s="1"/>
      <c r="X1529" s="1"/>
      <c r="Y1529" s="1"/>
      <c r="Z1529" s="1" t="s">
        <v>637</v>
      </c>
      <c r="AA1529" s="1" t="s">
        <v>8599</v>
      </c>
      <c r="AB1529" s="1" t="s">
        <v>8600</v>
      </c>
      <c r="AC1529" s="1" t="s">
        <v>46</v>
      </c>
      <c r="AD1529" s="1" t="s">
        <v>8498</v>
      </c>
      <c r="AE1529" s="1" t="s">
        <v>641</v>
      </c>
      <c r="AF1529" s="1" t="s">
        <v>190</v>
      </c>
      <c r="AG1529" s="1">
        <v>5</v>
      </c>
      <c r="AH1529" s="1" t="s">
        <v>190</v>
      </c>
      <c r="AI1529" s="1" t="s">
        <v>8499</v>
      </c>
      <c r="AJ1529" s="3">
        <v>43199.333854166667</v>
      </c>
      <c r="AK1529" s="1" t="s">
        <v>7652</v>
      </c>
    </row>
    <row r="1530" spans="1:37">
      <c r="A1530" s="1" t="str">
        <f>VLOOKUP(H1530,Languages!$A$2:$B$430,2,FALSE)</f>
        <v>Muskogean</v>
      </c>
      <c r="B1530" s="1" t="s">
        <v>1812</v>
      </c>
      <c r="C1530" s="1" t="s">
        <v>298</v>
      </c>
      <c r="D1530" s="1" t="s">
        <v>8593</v>
      </c>
      <c r="E1530" s="15" t="s">
        <v>8594</v>
      </c>
      <c r="F1530" s="15" t="s">
        <v>8594</v>
      </c>
      <c r="G1530" s="1" t="s">
        <v>8594</v>
      </c>
      <c r="H1530" s="1" t="str">
        <f>VLOOKUP(G1530,'languoid 4.0'!$A$1:$I$24439,2,FALSE)</f>
        <v>musk1252</v>
      </c>
      <c r="I1530" s="1" t="str">
        <f>VLOOKUP(G1530,'languoid 4.0'!$A$1:$I$24439,6,FALSE)</f>
        <v>language</v>
      </c>
      <c r="J1530" s="15" t="s">
        <v>38</v>
      </c>
      <c r="K1530" s="15" t="s">
        <v>38</v>
      </c>
      <c r="L1530" s="15" t="s">
        <v>38</v>
      </c>
      <c r="M1530" s="1"/>
      <c r="N1530" s="1" t="s">
        <v>8596</v>
      </c>
      <c r="O1530" s="15" t="s">
        <v>40</v>
      </c>
      <c r="P1530" s="15" t="s">
        <v>41</v>
      </c>
      <c r="Q1530" s="1" t="s">
        <v>10904</v>
      </c>
      <c r="R1530" s="2" t="s">
        <v>10905</v>
      </c>
      <c r="S1530" s="1" t="s">
        <v>3414</v>
      </c>
      <c r="T1530" s="1" t="s">
        <v>657</v>
      </c>
      <c r="U1530" s="1" t="s">
        <v>636</v>
      </c>
      <c r="V1530" s="1" t="s">
        <v>45</v>
      </c>
      <c r="W1530" s="1"/>
      <c r="X1530" s="1"/>
      <c r="Y1530" s="1"/>
      <c r="Z1530" s="1" t="s">
        <v>823</v>
      </c>
      <c r="AA1530" s="1" t="s">
        <v>10906</v>
      </c>
      <c r="AB1530" s="1" t="s">
        <v>10907</v>
      </c>
      <c r="AC1530" s="1" t="s">
        <v>10908</v>
      </c>
      <c r="AD1530" s="1" t="s">
        <v>8498</v>
      </c>
      <c r="AE1530" s="1" t="s">
        <v>641</v>
      </c>
      <c r="AF1530" s="1" t="s">
        <v>190</v>
      </c>
      <c r="AG1530" s="1">
        <v>4</v>
      </c>
      <c r="AH1530" s="1" t="s">
        <v>190</v>
      </c>
      <c r="AI1530" s="1"/>
      <c r="AJ1530" s="3">
        <v>43416.593113425923</v>
      </c>
      <c r="AK1530" s="1" t="s">
        <v>7652</v>
      </c>
    </row>
    <row r="1531" spans="1:37">
      <c r="A1531" s="1" t="str">
        <f>VLOOKUP(H1531,Languages!$A$2:$B$430,2,FALSE)</f>
        <v>Narrow Talodi</v>
      </c>
      <c r="B1531" s="1" t="s">
        <v>67</v>
      </c>
      <c r="C1531" s="1" t="s">
        <v>214</v>
      </c>
      <c r="D1531" s="1" t="s">
        <v>3163</v>
      </c>
      <c r="E1531" s="15" t="s">
        <v>3164</v>
      </c>
      <c r="F1531" s="15" t="s">
        <v>3165</v>
      </c>
      <c r="G1531" s="1" t="s">
        <v>3166</v>
      </c>
      <c r="H1531" s="1" t="str">
        <f>VLOOKUP(G1531,'languoid 4.0'!$A$1:$I$24439,2,FALSE)</f>
        <v>narr1279</v>
      </c>
      <c r="I1531" s="1" t="str">
        <f>VLOOKUP(G1531,'languoid 4.0'!$A$1:$I$24439,6,FALSE)</f>
        <v>language</v>
      </c>
      <c r="J1531" s="15" t="s">
        <v>52</v>
      </c>
      <c r="K1531" s="15" t="s">
        <v>52</v>
      </c>
      <c r="L1531" s="15" t="s">
        <v>52</v>
      </c>
      <c r="M1531" s="1"/>
      <c r="N1531" s="1"/>
      <c r="O1531" s="15" t="s">
        <v>113</v>
      </c>
      <c r="P1531" s="15" t="s">
        <v>632</v>
      </c>
      <c r="Q1531" s="1" t="s">
        <v>3182</v>
      </c>
      <c r="R1531" s="2" t="s">
        <v>3183</v>
      </c>
      <c r="S1531" s="1" t="s">
        <v>46</v>
      </c>
      <c r="T1531" s="1" t="s">
        <v>635</v>
      </c>
      <c r="U1531" s="1" t="s">
        <v>636</v>
      </c>
      <c r="V1531" s="1" t="s">
        <v>45</v>
      </c>
      <c r="W1531" s="1"/>
      <c r="X1531" s="1"/>
      <c r="Y1531" s="1"/>
      <c r="Z1531" s="1" t="s">
        <v>658</v>
      </c>
      <c r="AA1531" s="1" t="s">
        <v>3184</v>
      </c>
      <c r="AB1531" s="1" t="s">
        <v>46</v>
      </c>
      <c r="AC1531" s="1" t="s">
        <v>46</v>
      </c>
      <c r="AD1531" s="1"/>
      <c r="AE1531" s="1" t="s">
        <v>641</v>
      </c>
      <c r="AF1531" s="1" t="s">
        <v>190</v>
      </c>
      <c r="AG1531" s="1">
        <v>5</v>
      </c>
      <c r="AH1531" s="1" t="s">
        <v>190</v>
      </c>
      <c r="AI1531" s="1"/>
      <c r="AJ1531" s="1" t="s">
        <v>3185</v>
      </c>
      <c r="AK1531" s="1" t="s">
        <v>3060</v>
      </c>
    </row>
    <row r="1532" spans="1:37">
      <c r="A1532" s="1" t="str">
        <f>VLOOKUP(H1532,Languages!$A$2:$B$430,2,FALSE)</f>
        <v>Narrow Talodi</v>
      </c>
      <c r="B1532" s="1" t="s">
        <v>1750</v>
      </c>
      <c r="C1532" s="1" t="s">
        <v>214</v>
      </c>
      <c r="D1532" s="1" t="s">
        <v>3163</v>
      </c>
      <c r="E1532" s="15" t="s">
        <v>3164</v>
      </c>
      <c r="F1532" s="15" t="s">
        <v>3165</v>
      </c>
      <c r="G1532" s="1" t="s">
        <v>3166</v>
      </c>
      <c r="H1532" s="1" t="str">
        <f>VLOOKUP(G1532,'languoid 4.0'!$A$1:$I$24439,2,FALSE)</f>
        <v>narr1279</v>
      </c>
      <c r="I1532" s="1" t="str">
        <f>VLOOKUP(G1532,'languoid 4.0'!$A$1:$I$24439,6,FALSE)</f>
        <v>language</v>
      </c>
      <c r="J1532" s="15" t="s">
        <v>52</v>
      </c>
      <c r="K1532" s="15" t="s">
        <v>52</v>
      </c>
      <c r="L1532" s="15" t="s">
        <v>52</v>
      </c>
      <c r="M1532" s="1"/>
      <c r="N1532" s="1"/>
      <c r="O1532" s="15" t="s">
        <v>113</v>
      </c>
      <c r="P1532" s="15" t="s">
        <v>632</v>
      </c>
      <c r="Q1532" s="1" t="s">
        <v>3177</v>
      </c>
      <c r="R1532" s="2" t="s">
        <v>3178</v>
      </c>
      <c r="S1532" s="1" t="s">
        <v>46</v>
      </c>
      <c r="T1532" s="1" t="s">
        <v>635</v>
      </c>
      <c r="U1532" s="1" t="s">
        <v>636</v>
      </c>
      <c r="V1532" s="1" t="s">
        <v>45</v>
      </c>
      <c r="W1532" s="1"/>
      <c r="X1532" s="1"/>
      <c r="Y1532" s="1"/>
      <c r="Z1532" s="1" t="s">
        <v>3169</v>
      </c>
      <c r="AA1532" s="1" t="s">
        <v>3179</v>
      </c>
      <c r="AB1532" s="1" t="s">
        <v>3180</v>
      </c>
      <c r="AC1532" s="1" t="s">
        <v>46</v>
      </c>
      <c r="AD1532" s="1"/>
      <c r="AE1532" s="1" t="s">
        <v>641</v>
      </c>
      <c r="AF1532" s="1" t="s">
        <v>190</v>
      </c>
      <c r="AG1532" s="1">
        <v>4</v>
      </c>
      <c r="AH1532" s="1" t="s">
        <v>190</v>
      </c>
      <c r="AI1532" s="1"/>
      <c r="AJ1532" s="1" t="s">
        <v>3181</v>
      </c>
      <c r="AK1532" s="1" t="s">
        <v>3060</v>
      </c>
    </row>
    <row r="1533" spans="1:37">
      <c r="A1533" s="1" t="str">
        <f>VLOOKUP(H1533,Languages!$A$2:$B$430,2,FALSE)</f>
        <v>Narrow Talodi</v>
      </c>
      <c r="B1533" s="1" t="s">
        <v>1812</v>
      </c>
      <c r="C1533" s="1" t="s">
        <v>214</v>
      </c>
      <c r="D1533" s="1" t="s">
        <v>3163</v>
      </c>
      <c r="E1533" s="15" t="s">
        <v>3164</v>
      </c>
      <c r="F1533" s="15" t="s">
        <v>3165</v>
      </c>
      <c r="G1533" s="1" t="s">
        <v>3166</v>
      </c>
      <c r="H1533" s="1" t="str">
        <f>VLOOKUP(G1533,'languoid 4.0'!$A$1:$I$24439,2,FALSE)</f>
        <v>narr1279</v>
      </c>
      <c r="I1533" s="1" t="str">
        <f>VLOOKUP(G1533,'languoid 4.0'!$A$1:$I$24439,6,FALSE)</f>
        <v>language</v>
      </c>
      <c r="J1533" s="15" t="s">
        <v>52</v>
      </c>
      <c r="K1533" s="15" t="s">
        <v>52</v>
      </c>
      <c r="L1533" s="15" t="s">
        <v>52</v>
      </c>
      <c r="M1533" s="1"/>
      <c r="N1533" s="1"/>
      <c r="O1533" s="15" t="s">
        <v>113</v>
      </c>
      <c r="P1533" s="15" t="s">
        <v>632</v>
      </c>
      <c r="Q1533" s="1" t="s">
        <v>3173</v>
      </c>
      <c r="R1533" s="2" t="s">
        <v>3174</v>
      </c>
      <c r="S1533" s="1" t="s">
        <v>46</v>
      </c>
      <c r="T1533" s="1" t="s">
        <v>635</v>
      </c>
      <c r="U1533" s="1" t="s">
        <v>636</v>
      </c>
      <c r="V1533" s="1" t="s">
        <v>45</v>
      </c>
      <c r="W1533" s="1"/>
      <c r="X1533" s="1"/>
      <c r="Y1533" s="1"/>
      <c r="Z1533" s="1" t="s">
        <v>658</v>
      </c>
      <c r="AA1533" s="1" t="s">
        <v>3175</v>
      </c>
      <c r="AB1533" s="1" t="s">
        <v>46</v>
      </c>
      <c r="AC1533" s="1" t="s">
        <v>46</v>
      </c>
      <c r="AD1533" s="1"/>
      <c r="AE1533" s="1" t="s">
        <v>641</v>
      </c>
      <c r="AF1533" s="1" t="s">
        <v>190</v>
      </c>
      <c r="AG1533" s="1">
        <v>6</v>
      </c>
      <c r="AH1533" s="1" t="s">
        <v>190</v>
      </c>
      <c r="AI1533" s="1"/>
      <c r="AJ1533" s="1" t="s">
        <v>3176</v>
      </c>
      <c r="AK1533" s="1" t="s">
        <v>3060</v>
      </c>
    </row>
    <row r="1534" spans="1:37">
      <c r="A1534" s="1" t="str">
        <f>VLOOKUP(H1534,Languages!$A$2:$B$430,2,FALSE)</f>
        <v>Narrow Talodi</v>
      </c>
      <c r="B1534" s="1" t="s">
        <v>1707</v>
      </c>
      <c r="C1534" s="1" t="s">
        <v>214</v>
      </c>
      <c r="D1534" s="1" t="s">
        <v>3163</v>
      </c>
      <c r="E1534" s="15" t="s">
        <v>3164</v>
      </c>
      <c r="F1534" s="15" t="s">
        <v>3165</v>
      </c>
      <c r="G1534" s="1" t="s">
        <v>3166</v>
      </c>
      <c r="H1534" s="1" t="str">
        <f>VLOOKUP(G1534,'languoid 4.0'!$A$1:$I$24439,2,FALSE)</f>
        <v>narr1279</v>
      </c>
      <c r="I1534" s="1" t="str">
        <f>VLOOKUP(G1534,'languoid 4.0'!$A$1:$I$24439,6,FALSE)</f>
        <v>language</v>
      </c>
      <c r="J1534" s="15" t="s">
        <v>52</v>
      </c>
      <c r="K1534" s="15" t="s">
        <v>52</v>
      </c>
      <c r="L1534" s="15" t="s">
        <v>52</v>
      </c>
      <c r="M1534" s="1"/>
      <c r="N1534" s="1"/>
      <c r="O1534" s="15" t="s">
        <v>113</v>
      </c>
      <c r="P1534" s="15" t="s">
        <v>632</v>
      </c>
      <c r="Q1534" s="1" t="s">
        <v>3167</v>
      </c>
      <c r="R1534" s="2" t="s">
        <v>3168</v>
      </c>
      <c r="S1534" s="1" t="s">
        <v>46</v>
      </c>
      <c r="T1534" s="1" t="s">
        <v>635</v>
      </c>
      <c r="U1534" s="1" t="s">
        <v>636</v>
      </c>
      <c r="V1534" s="1" t="s">
        <v>45</v>
      </c>
      <c r="W1534" s="1"/>
      <c r="X1534" s="1"/>
      <c r="Y1534" s="1"/>
      <c r="Z1534" s="1" t="s">
        <v>3169</v>
      </c>
      <c r="AA1534" s="1" t="s">
        <v>3170</v>
      </c>
      <c r="AB1534" s="8" t="s">
        <v>3171</v>
      </c>
      <c r="AC1534" s="1" t="s">
        <v>46</v>
      </c>
      <c r="AD1534" s="1"/>
      <c r="AE1534" s="1" t="s">
        <v>641</v>
      </c>
      <c r="AF1534" s="1" t="s">
        <v>190</v>
      </c>
      <c r="AG1534" s="1">
        <v>6</v>
      </c>
      <c r="AH1534" s="1" t="s">
        <v>190</v>
      </c>
      <c r="AI1534" s="1"/>
      <c r="AJ1534" s="1" t="s">
        <v>3172</v>
      </c>
      <c r="AK1534" s="1" t="s">
        <v>3060</v>
      </c>
    </row>
    <row r="1535" spans="1:37">
      <c r="A1535" s="1" t="str">
        <f>VLOOKUP(H1535,Languages!$A$2:$B$430,2,FALSE)</f>
        <v>Ndu</v>
      </c>
      <c r="B1535" s="1" t="s">
        <v>1707</v>
      </c>
      <c r="C1535" s="1" t="s">
        <v>75</v>
      </c>
      <c r="D1535" s="1" t="s">
        <v>6322</v>
      </c>
      <c r="E1535" s="15" t="s">
        <v>6323</v>
      </c>
      <c r="F1535" s="15" t="s">
        <v>6323</v>
      </c>
      <c r="G1535" s="1" t="s">
        <v>6323</v>
      </c>
      <c r="H1535" s="1" t="str">
        <f>VLOOKUP(G1535,'languoid 4.0'!$A$1:$I$24439,2,FALSE)</f>
        <v>nduu1242</v>
      </c>
      <c r="I1535" s="1" t="str">
        <f>VLOOKUP(G1535,'languoid 4.0'!$A$1:$I$24439,6,FALSE)</f>
        <v>language</v>
      </c>
      <c r="J1535" s="15" t="s">
        <v>38</v>
      </c>
      <c r="K1535" s="15" t="s">
        <v>38</v>
      </c>
      <c r="L1535" s="15" t="s">
        <v>38</v>
      </c>
      <c r="M1535" s="1"/>
      <c r="N1535" s="1" t="s">
        <v>6324</v>
      </c>
      <c r="O1535" s="15" t="s">
        <v>40</v>
      </c>
      <c r="P1535" s="15" t="s">
        <v>41</v>
      </c>
      <c r="Q1535" s="1" t="s">
        <v>6325</v>
      </c>
      <c r="R1535" s="2" t="s">
        <v>6326</v>
      </c>
      <c r="S1535" s="1" t="s">
        <v>46</v>
      </c>
      <c r="T1535" s="1" t="s">
        <v>635</v>
      </c>
      <c r="U1535" s="1" t="s">
        <v>636</v>
      </c>
      <c r="V1535" s="1" t="s">
        <v>45</v>
      </c>
      <c r="W1535" s="1"/>
      <c r="X1535" s="1"/>
      <c r="Y1535" s="1"/>
      <c r="Z1535" s="1" t="s">
        <v>658</v>
      </c>
      <c r="AA1535" s="1" t="s">
        <v>6327</v>
      </c>
      <c r="AB1535" s="1" t="s">
        <v>46</v>
      </c>
      <c r="AC1535" s="1" t="s">
        <v>46</v>
      </c>
      <c r="AD1535" s="1" t="s">
        <v>6328</v>
      </c>
      <c r="AE1535" s="1" t="s">
        <v>641</v>
      </c>
      <c r="AF1535" s="1" t="s">
        <v>190</v>
      </c>
      <c r="AG1535" s="1">
        <v>5</v>
      </c>
      <c r="AH1535" s="1" t="s">
        <v>190</v>
      </c>
      <c r="AI1535" s="1"/>
      <c r="AJ1535" s="3">
        <v>43258.740925925929</v>
      </c>
      <c r="AK1535" s="1" t="s">
        <v>5640</v>
      </c>
    </row>
    <row r="1536" spans="1:37">
      <c r="A1536" s="1" t="str">
        <f>VLOOKUP(H1536,Languages!$A$2:$B$430,2,FALSE)</f>
        <v>Nilotic</v>
      </c>
      <c r="B1536" s="1" t="s">
        <v>67</v>
      </c>
      <c r="C1536" s="1" t="s">
        <v>48</v>
      </c>
      <c r="D1536" s="1" t="s">
        <v>5982</v>
      </c>
      <c r="E1536" s="15" t="s">
        <v>883</v>
      </c>
      <c r="F1536" s="15" t="s">
        <v>883</v>
      </c>
      <c r="G1536" s="1" t="s">
        <v>883</v>
      </c>
      <c r="H1536" s="1" t="str">
        <f>VLOOKUP(G1536,'languoid 4.0'!$A$1:$I$24439,2,FALSE)</f>
        <v>nilo1247</v>
      </c>
      <c r="I1536" s="1" t="str">
        <f>VLOOKUP(G1536,'languoid 4.0'!$A$1:$I$24439,6,FALSE)</f>
        <v>language</v>
      </c>
      <c r="J1536" s="15" t="s">
        <v>38</v>
      </c>
      <c r="K1536" s="15" t="s">
        <v>38</v>
      </c>
      <c r="L1536" s="15" t="s">
        <v>38</v>
      </c>
      <c r="M1536" s="1"/>
      <c r="N1536" s="1" t="s">
        <v>884</v>
      </c>
      <c r="O1536" s="15" t="s">
        <v>40</v>
      </c>
      <c r="P1536" s="15" t="s">
        <v>41</v>
      </c>
      <c r="Q1536" s="1" t="s">
        <v>5983</v>
      </c>
      <c r="R1536" s="2" t="s">
        <v>5984</v>
      </c>
      <c r="S1536" s="1" t="s">
        <v>46</v>
      </c>
      <c r="T1536" s="1" t="s">
        <v>635</v>
      </c>
      <c r="U1536" s="1" t="s">
        <v>636</v>
      </c>
      <c r="V1536" s="1" t="s">
        <v>45</v>
      </c>
      <c r="W1536" s="1"/>
      <c r="X1536" s="1"/>
      <c r="Y1536" s="1"/>
      <c r="Z1536" s="1" t="s">
        <v>637</v>
      </c>
      <c r="AA1536" s="1" t="s">
        <v>5985</v>
      </c>
      <c r="AB1536" s="1" t="s">
        <v>5986</v>
      </c>
      <c r="AC1536" s="1" t="s">
        <v>46</v>
      </c>
      <c r="AD1536" s="1"/>
      <c r="AE1536" s="1" t="s">
        <v>641</v>
      </c>
      <c r="AF1536" s="1" t="s">
        <v>190</v>
      </c>
      <c r="AG1536" s="1">
        <v>1</v>
      </c>
      <c r="AH1536" s="1" t="s">
        <v>190</v>
      </c>
      <c r="AI1536" s="1"/>
      <c r="AJ1536" s="1" t="s">
        <v>5987</v>
      </c>
      <c r="AK1536" s="1" t="s">
        <v>5542</v>
      </c>
    </row>
    <row r="1537" spans="1:37">
      <c r="A1537" s="1" t="str">
        <f>VLOOKUP(H1537,Languages!$A$2:$B$430,2,FALSE)</f>
        <v>Nilotic</v>
      </c>
      <c r="B1537" s="1" t="s">
        <v>67</v>
      </c>
      <c r="C1537" s="1" t="s">
        <v>48</v>
      </c>
      <c r="D1537" s="1" t="s">
        <v>7078</v>
      </c>
      <c r="E1537" s="15" t="s">
        <v>5990</v>
      </c>
      <c r="F1537" s="15" t="s">
        <v>5990</v>
      </c>
      <c r="G1537" s="1" t="s">
        <v>5990</v>
      </c>
      <c r="H1537" s="1" t="str">
        <f>VLOOKUP(G1537,'languoid 4.0'!$A$1:$I$24439,2,FALSE)</f>
        <v>nilo1247</v>
      </c>
      <c r="I1537" s="1" t="str">
        <f>VLOOKUP(G1537,'languoid 4.0'!$A$1:$I$24439,6,FALSE)</f>
        <v>language</v>
      </c>
      <c r="J1537" s="15" t="s">
        <v>38</v>
      </c>
      <c r="K1537" s="15" t="s">
        <v>38</v>
      </c>
      <c r="L1537" s="15" t="s">
        <v>38</v>
      </c>
      <c r="M1537" s="1"/>
      <c r="N1537" s="1" t="s">
        <v>7079</v>
      </c>
      <c r="O1537" s="15" t="s">
        <v>40</v>
      </c>
      <c r="P1537" s="15" t="s">
        <v>41</v>
      </c>
      <c r="Q1537" s="1" t="s">
        <v>7080</v>
      </c>
      <c r="R1537" s="2" t="s">
        <v>7081</v>
      </c>
      <c r="S1537" s="1" t="s">
        <v>46</v>
      </c>
      <c r="T1537" s="1" t="s">
        <v>1007</v>
      </c>
      <c r="U1537" s="1" t="s">
        <v>1225</v>
      </c>
      <c r="V1537" s="1" t="s">
        <v>45</v>
      </c>
      <c r="W1537" s="1"/>
      <c r="X1537" s="1"/>
      <c r="Y1537" s="1"/>
      <c r="Z1537" s="1" t="s">
        <v>637</v>
      </c>
      <c r="AA1537" s="1" t="s">
        <v>7082</v>
      </c>
      <c r="AB1537" s="1" t="s">
        <v>7083</v>
      </c>
      <c r="AC1537" s="1" t="s">
        <v>46</v>
      </c>
      <c r="AD1537" s="1"/>
      <c r="AE1537" s="1" t="s">
        <v>641</v>
      </c>
      <c r="AF1537" s="1" t="s">
        <v>190</v>
      </c>
      <c r="AG1537" s="1">
        <v>6</v>
      </c>
      <c r="AH1537" s="1" t="s">
        <v>190</v>
      </c>
      <c r="AI1537" s="1"/>
      <c r="AJ1537" s="3">
        <v>43198.496516203704</v>
      </c>
      <c r="AK1537" s="1" t="s">
        <v>5542</v>
      </c>
    </row>
    <row r="1538" spans="1:37">
      <c r="A1538" s="1" t="str">
        <f>VLOOKUP(H1538,Languages!$A$2:$B$430,2,FALSE)</f>
        <v>Nilotic</v>
      </c>
      <c r="B1538" s="1" t="s">
        <v>67</v>
      </c>
      <c r="C1538" s="1" t="s">
        <v>214</v>
      </c>
      <c r="D1538" s="1" t="s">
        <v>215</v>
      </c>
      <c r="E1538" s="15" t="s">
        <v>216</v>
      </c>
      <c r="F1538" s="15" t="s">
        <v>216</v>
      </c>
      <c r="G1538" s="1" t="s">
        <v>216</v>
      </c>
      <c r="H1538" s="1" t="str">
        <f>VLOOKUP(G1538,'languoid 4.0'!$A$1:$I$24439,2,FALSE)</f>
        <v>nilo1247</v>
      </c>
      <c r="I1538" s="1" t="str">
        <f>VLOOKUP(G1538,'languoid 4.0'!$A$1:$I$24439,6,FALSE)</f>
        <v>language</v>
      </c>
      <c r="J1538" s="15" t="s">
        <v>38</v>
      </c>
      <c r="K1538" s="15" t="s">
        <v>38</v>
      </c>
      <c r="L1538" s="15" t="s">
        <v>38</v>
      </c>
      <c r="M1538" s="1"/>
      <c r="N1538" s="1" t="s">
        <v>217</v>
      </c>
      <c r="O1538" s="15" t="s">
        <v>40</v>
      </c>
      <c r="P1538" s="15" t="s">
        <v>41</v>
      </c>
      <c r="Q1538" s="1" t="s">
        <v>218</v>
      </c>
      <c r="R1538" s="2" t="s">
        <v>219</v>
      </c>
      <c r="S1538" s="1" t="s">
        <v>204</v>
      </c>
      <c r="T1538" s="1" t="s">
        <v>44</v>
      </c>
      <c r="U1538" s="1"/>
      <c r="V1538" s="1" t="s">
        <v>45</v>
      </c>
      <c r="W1538" s="1"/>
      <c r="X1538" s="1"/>
      <c r="Y1538" s="1"/>
      <c r="Z1538" s="1"/>
      <c r="AA1538" s="1">
        <v>17</v>
      </c>
      <c r="AB1538" s="1">
        <v>17</v>
      </c>
      <c r="AC1538" s="1" t="s">
        <v>46</v>
      </c>
      <c r="AD1538" s="1"/>
      <c r="AE1538" s="1"/>
      <c r="AF1538" s="1"/>
      <c r="AG1538" s="1"/>
      <c r="AH1538" s="1"/>
      <c r="AI1538" s="1"/>
      <c r="AJ1538" s="3">
        <v>43102.735775462963</v>
      </c>
      <c r="AK1538" s="1" t="s">
        <v>172</v>
      </c>
    </row>
    <row r="1539" spans="1:37">
      <c r="A1539" s="1" t="str">
        <f>VLOOKUP(H1539,Languages!$A$2:$B$430,2,FALSE)</f>
        <v>Nilotic</v>
      </c>
      <c r="B1539" s="1" t="s">
        <v>67</v>
      </c>
      <c r="C1539" s="1" t="s">
        <v>214</v>
      </c>
      <c r="D1539" s="1" t="s">
        <v>1001</v>
      </c>
      <c r="E1539" s="15" t="s">
        <v>1002</v>
      </c>
      <c r="F1539" s="15" t="s">
        <v>1003</v>
      </c>
      <c r="G1539" s="1" t="s">
        <v>1003</v>
      </c>
      <c r="H1539" s="1" t="str">
        <f>VLOOKUP(G1539,'languoid 4.0'!$A$1:$I$24439,2,FALSE)</f>
        <v>nilo1247</v>
      </c>
      <c r="I1539" s="1" t="str">
        <f>VLOOKUP(G1539,'languoid 4.0'!$A$1:$I$24439,6,FALSE)</f>
        <v>language</v>
      </c>
      <c r="J1539" s="15" t="s">
        <v>52</v>
      </c>
      <c r="K1539" s="15" t="s">
        <v>38</v>
      </c>
      <c r="L1539" s="15" t="s">
        <v>38</v>
      </c>
      <c r="M1539" s="1"/>
      <c r="N1539" s="1" t="s">
        <v>1004</v>
      </c>
      <c r="O1539" s="15" t="s">
        <v>113</v>
      </c>
      <c r="P1539" s="15" t="s">
        <v>41</v>
      </c>
      <c r="Q1539" s="1" t="s">
        <v>1005</v>
      </c>
      <c r="R1539" s="2" t="s">
        <v>1006</v>
      </c>
      <c r="S1539" s="1" t="s">
        <v>46</v>
      </c>
      <c r="T1539" s="1" t="s">
        <v>1007</v>
      </c>
      <c r="U1539" s="1" t="s">
        <v>1008</v>
      </c>
      <c r="V1539" s="1" t="s">
        <v>45</v>
      </c>
      <c r="W1539" s="1"/>
      <c r="X1539" s="1"/>
      <c r="Y1539" s="1"/>
      <c r="Z1539" s="1" t="s">
        <v>637</v>
      </c>
      <c r="AA1539" s="1" t="s">
        <v>1009</v>
      </c>
      <c r="AB1539" s="1" t="s">
        <v>1010</v>
      </c>
      <c r="AC1539" s="1" t="s">
        <v>46</v>
      </c>
      <c r="AD1539" s="1" t="s">
        <v>1011</v>
      </c>
      <c r="AE1539" s="1" t="s">
        <v>641</v>
      </c>
      <c r="AF1539" s="1" t="s">
        <v>190</v>
      </c>
      <c r="AG1539" s="1">
        <v>6</v>
      </c>
      <c r="AH1539" s="1" t="s">
        <v>190</v>
      </c>
      <c r="AI1539" s="1"/>
      <c r="AJ1539" s="3">
        <v>43314.614201388889</v>
      </c>
      <c r="AK1539" s="1" t="s">
        <v>740</v>
      </c>
    </row>
    <row r="1540" spans="1:37">
      <c r="A1540" s="1" t="str">
        <f>VLOOKUP(H1540,Languages!$A$2:$B$430,2,FALSE)</f>
        <v>Nilotic</v>
      </c>
      <c r="B1540" s="1" t="s">
        <v>67</v>
      </c>
      <c r="C1540" s="1" t="s">
        <v>214</v>
      </c>
      <c r="D1540" s="1" t="s">
        <v>3238</v>
      </c>
      <c r="E1540" s="15" t="s">
        <v>3239</v>
      </c>
      <c r="F1540" s="15" t="s">
        <v>3240</v>
      </c>
      <c r="G1540" s="1" t="s">
        <v>3239</v>
      </c>
      <c r="H1540" s="1" t="str">
        <f>VLOOKUP(G1540,'languoid 4.0'!$A$1:$I$24439,2,FALSE)</f>
        <v>nilo1247</v>
      </c>
      <c r="I1540" s="1" t="str">
        <f>VLOOKUP(G1540,'languoid 4.0'!$A$1:$I$24439,6,FALSE)</f>
        <v>language</v>
      </c>
      <c r="J1540" s="15" t="s">
        <v>52</v>
      </c>
      <c r="K1540" s="15" t="s">
        <v>38</v>
      </c>
      <c r="L1540" s="15" t="s">
        <v>38</v>
      </c>
      <c r="M1540" s="1"/>
      <c r="N1540" s="1" t="s">
        <v>3241</v>
      </c>
      <c r="O1540" s="15" t="s">
        <v>40</v>
      </c>
      <c r="P1540" s="15" t="s">
        <v>41</v>
      </c>
      <c r="Q1540" s="1" t="s">
        <v>937</v>
      </c>
      <c r="R1540" s="2" t="s">
        <v>3242</v>
      </c>
      <c r="S1540" s="1" t="s">
        <v>46</v>
      </c>
      <c r="T1540" s="1" t="s">
        <v>635</v>
      </c>
      <c r="U1540" s="1" t="s">
        <v>636</v>
      </c>
      <c r="V1540" s="1" t="s">
        <v>45</v>
      </c>
      <c r="W1540" s="1"/>
      <c r="X1540" s="1"/>
      <c r="Y1540" s="1"/>
      <c r="Z1540" s="1" t="s">
        <v>637</v>
      </c>
      <c r="AA1540" s="1" t="s">
        <v>3243</v>
      </c>
      <c r="AB1540" s="1" t="s">
        <v>3244</v>
      </c>
      <c r="AC1540" s="1" t="s">
        <v>46</v>
      </c>
      <c r="AD1540" s="1"/>
      <c r="AE1540" s="1" t="s">
        <v>641</v>
      </c>
      <c r="AF1540" s="1" t="s">
        <v>190</v>
      </c>
      <c r="AG1540" s="1">
        <v>5</v>
      </c>
      <c r="AH1540" s="1" t="s">
        <v>190</v>
      </c>
      <c r="AI1540" s="1"/>
      <c r="AJ1540" s="1" t="s">
        <v>3245</v>
      </c>
      <c r="AK1540" s="1" t="s">
        <v>3060</v>
      </c>
    </row>
    <row r="1541" spans="1:37">
      <c r="A1541" s="1" t="str">
        <f>VLOOKUP(H1541,Languages!$A$2:$B$430,2,FALSE)</f>
        <v>Nilotic</v>
      </c>
      <c r="B1541" s="1" t="s">
        <v>67</v>
      </c>
      <c r="C1541" s="1" t="s">
        <v>214</v>
      </c>
      <c r="D1541" s="1" t="s">
        <v>922</v>
      </c>
      <c r="E1541" s="15" t="s">
        <v>923</v>
      </c>
      <c r="F1541" s="15" t="s">
        <v>923</v>
      </c>
      <c r="G1541" s="1" t="s">
        <v>923</v>
      </c>
      <c r="H1541" s="1" t="str">
        <f>VLOOKUP(G1541,'languoid 4.0'!$A$1:$I$24439,2,FALSE)</f>
        <v>nilo1247</v>
      </c>
      <c r="I1541" s="1" t="str">
        <f>VLOOKUP(G1541,'languoid 4.0'!$A$1:$I$24439,6,FALSE)</f>
        <v>language</v>
      </c>
      <c r="J1541" s="15" t="s">
        <v>38</v>
      </c>
      <c r="K1541" s="15" t="s">
        <v>38</v>
      </c>
      <c r="L1541" s="15" t="s">
        <v>38</v>
      </c>
      <c r="M1541" s="1"/>
      <c r="N1541" s="1" t="s">
        <v>924</v>
      </c>
      <c r="O1541" s="15" t="s">
        <v>40</v>
      </c>
      <c r="P1541" s="15" t="s">
        <v>41</v>
      </c>
      <c r="Q1541" s="1" t="s">
        <v>3246</v>
      </c>
      <c r="R1541" s="2" t="s">
        <v>3247</v>
      </c>
      <c r="S1541" s="1" t="s">
        <v>46</v>
      </c>
      <c r="T1541" s="1" t="s">
        <v>635</v>
      </c>
      <c r="U1541" s="1" t="s">
        <v>636</v>
      </c>
      <c r="V1541" s="1" t="s">
        <v>45</v>
      </c>
      <c r="W1541" s="1"/>
      <c r="X1541" s="1"/>
      <c r="Y1541" s="1"/>
      <c r="Z1541" s="1" t="s">
        <v>637</v>
      </c>
      <c r="AA1541" s="1" t="s">
        <v>3248</v>
      </c>
      <c r="AB1541" s="1" t="s">
        <v>3249</v>
      </c>
      <c r="AC1541" s="1" t="s">
        <v>46</v>
      </c>
      <c r="AD1541" s="1"/>
      <c r="AE1541" s="1" t="s">
        <v>641</v>
      </c>
      <c r="AF1541" s="1" t="s">
        <v>190</v>
      </c>
      <c r="AG1541" s="1">
        <v>2</v>
      </c>
      <c r="AH1541" s="1" t="s">
        <v>190</v>
      </c>
      <c r="AI1541" s="1"/>
      <c r="AJ1541" s="1" t="s">
        <v>3250</v>
      </c>
      <c r="AK1541" s="1" t="s">
        <v>3060</v>
      </c>
    </row>
    <row r="1542" spans="1:37">
      <c r="A1542" s="1" t="str">
        <f>VLOOKUP(H1542,Languages!$A$2:$B$430,2,FALSE)</f>
        <v>Nilotic</v>
      </c>
      <c r="B1542" s="1" t="s">
        <v>59</v>
      </c>
      <c r="C1542" s="1" t="s">
        <v>214</v>
      </c>
      <c r="D1542" s="1" t="s">
        <v>922</v>
      </c>
      <c r="E1542" s="15" t="s">
        <v>923</v>
      </c>
      <c r="F1542" s="15" t="s">
        <v>923</v>
      </c>
      <c r="G1542" s="1" t="s">
        <v>923</v>
      </c>
      <c r="H1542" s="1" t="str">
        <f>VLOOKUP(G1542,'languoid 4.0'!$A$1:$I$24439,2,FALSE)</f>
        <v>nilo1247</v>
      </c>
      <c r="I1542" s="1" t="str">
        <f>VLOOKUP(G1542,'languoid 4.0'!$A$1:$I$24439,6,FALSE)</f>
        <v>language</v>
      </c>
      <c r="J1542" s="15" t="s">
        <v>38</v>
      </c>
      <c r="K1542" s="15" t="s">
        <v>38</v>
      </c>
      <c r="L1542" s="15" t="s">
        <v>38</v>
      </c>
      <c r="M1542" s="1"/>
      <c r="N1542" s="1" t="s">
        <v>924</v>
      </c>
      <c r="O1542" s="15" t="s">
        <v>40</v>
      </c>
      <c r="P1542" s="15" t="s">
        <v>41</v>
      </c>
      <c r="Q1542" s="1" t="s">
        <v>925</v>
      </c>
      <c r="R1542" s="2" t="s">
        <v>926</v>
      </c>
      <c r="S1542" s="1" t="s">
        <v>46</v>
      </c>
      <c r="T1542" s="1" t="s">
        <v>635</v>
      </c>
      <c r="U1542" s="1" t="s">
        <v>927</v>
      </c>
      <c r="V1542" s="1" t="s">
        <v>45</v>
      </c>
      <c r="W1542" s="1"/>
      <c r="X1542" s="1"/>
      <c r="Y1542" s="1"/>
      <c r="Z1542" s="1" t="s">
        <v>658</v>
      </c>
      <c r="AA1542" s="1" t="s">
        <v>928</v>
      </c>
      <c r="AB1542" s="1" t="s">
        <v>46</v>
      </c>
      <c r="AC1542" s="1" t="s">
        <v>46</v>
      </c>
      <c r="AD1542" s="1" t="s">
        <v>929</v>
      </c>
      <c r="AE1542" s="1" t="s">
        <v>641</v>
      </c>
      <c r="AF1542" s="1" t="s">
        <v>190</v>
      </c>
      <c r="AG1542" s="1">
        <v>4</v>
      </c>
      <c r="AH1542" s="1" t="s">
        <v>190</v>
      </c>
      <c r="AI1542" s="1"/>
      <c r="AJ1542" s="3">
        <v>43253.71837962963</v>
      </c>
      <c r="AK1542" s="1" t="s">
        <v>740</v>
      </c>
    </row>
    <row r="1543" spans="1:37">
      <c r="A1543" s="1" t="str">
        <f>VLOOKUP(H1543,Languages!$A$2:$B$430,2,FALSE)</f>
        <v>Nilotic</v>
      </c>
      <c r="B1543" s="1" t="s">
        <v>59</v>
      </c>
      <c r="C1543" s="1" t="s">
        <v>108</v>
      </c>
      <c r="D1543" s="1" t="s">
        <v>6209</v>
      </c>
      <c r="E1543" s="15" t="s">
        <v>923</v>
      </c>
      <c r="F1543" s="15" t="s">
        <v>923</v>
      </c>
      <c r="G1543" s="1" t="s">
        <v>923</v>
      </c>
      <c r="H1543" s="1" t="str">
        <f>VLOOKUP(G1543,'languoid 4.0'!$A$1:$I$24439,2,FALSE)</f>
        <v>nilo1247</v>
      </c>
      <c r="I1543" s="1" t="str">
        <f>VLOOKUP(G1543,'languoid 4.0'!$A$1:$I$24439,6,FALSE)</f>
        <v>language</v>
      </c>
      <c r="J1543" s="15" t="s">
        <v>38</v>
      </c>
      <c r="K1543" s="15" t="s">
        <v>38</v>
      </c>
      <c r="L1543" s="15" t="s">
        <v>38</v>
      </c>
      <c r="M1543" s="1"/>
      <c r="N1543" s="1" t="s">
        <v>924</v>
      </c>
      <c r="O1543" s="15" t="s">
        <v>40</v>
      </c>
      <c r="P1543" s="15" t="s">
        <v>41</v>
      </c>
      <c r="Q1543" s="1" t="s">
        <v>925</v>
      </c>
      <c r="R1543" s="2" t="s">
        <v>926</v>
      </c>
      <c r="S1543" s="1" t="s">
        <v>46</v>
      </c>
      <c r="T1543" s="1" t="s">
        <v>635</v>
      </c>
      <c r="U1543" s="1" t="s">
        <v>636</v>
      </c>
      <c r="V1543" s="1" t="s">
        <v>45</v>
      </c>
      <c r="W1543" s="1"/>
      <c r="X1543" s="1"/>
      <c r="Y1543" s="1"/>
      <c r="Z1543" s="1" t="s">
        <v>658</v>
      </c>
      <c r="AA1543" s="1" t="s">
        <v>79</v>
      </c>
      <c r="AB1543" s="1" t="s">
        <v>6210</v>
      </c>
      <c r="AC1543" s="1" t="s">
        <v>46</v>
      </c>
      <c r="AD1543" s="1"/>
      <c r="AE1543" s="1" t="s">
        <v>641</v>
      </c>
      <c r="AF1543" s="1" t="s">
        <v>190</v>
      </c>
      <c r="AG1543" s="1">
        <v>4</v>
      </c>
      <c r="AH1543" s="1" t="s">
        <v>190</v>
      </c>
      <c r="AI1543" s="1"/>
      <c r="AJ1543" s="3">
        <v>43197.786064814813</v>
      </c>
      <c r="AK1543" s="1" t="s">
        <v>5723</v>
      </c>
    </row>
    <row r="1544" spans="1:37">
      <c r="A1544" s="1" t="str">
        <f>VLOOKUP(H1544,Languages!$A$2:$B$430,2,FALSE)</f>
        <v>Nilotic</v>
      </c>
      <c r="B1544" s="1" t="s">
        <v>109</v>
      </c>
      <c r="C1544" s="1" t="s">
        <v>48</v>
      </c>
      <c r="D1544" s="1" t="s">
        <v>7084</v>
      </c>
      <c r="E1544" s="15" t="s">
        <v>5990</v>
      </c>
      <c r="F1544" s="15" t="s">
        <v>5990</v>
      </c>
      <c r="G1544" s="1" t="s">
        <v>5990</v>
      </c>
      <c r="H1544" s="1" t="str">
        <f>VLOOKUP(G1544,'languoid 4.0'!$A$1:$I$24439,2,FALSE)</f>
        <v>nilo1247</v>
      </c>
      <c r="I1544" s="1" t="str">
        <f>VLOOKUP(G1544,'languoid 4.0'!$A$1:$I$24439,6,FALSE)</f>
        <v>language</v>
      </c>
      <c r="J1544" s="15" t="s">
        <v>38</v>
      </c>
      <c r="K1544" s="15" t="s">
        <v>38</v>
      </c>
      <c r="L1544" s="15" t="s">
        <v>38</v>
      </c>
      <c r="M1544" s="1"/>
      <c r="N1544" s="1" t="s">
        <v>7079</v>
      </c>
      <c r="O1544" s="15" t="s">
        <v>40</v>
      </c>
      <c r="P1544" s="15" t="s">
        <v>41</v>
      </c>
      <c r="Q1544" s="1" t="s">
        <v>7090</v>
      </c>
      <c r="R1544" s="2" t="s">
        <v>7091</v>
      </c>
      <c r="S1544" s="1" t="s">
        <v>46</v>
      </c>
      <c r="T1544" s="1" t="s">
        <v>1007</v>
      </c>
      <c r="U1544" s="1" t="s">
        <v>636</v>
      </c>
      <c r="V1544" s="1" t="s">
        <v>45</v>
      </c>
      <c r="W1544" s="1"/>
      <c r="X1544" s="1"/>
      <c r="Y1544" s="1"/>
      <c r="Z1544" s="1" t="s">
        <v>637</v>
      </c>
      <c r="AA1544" s="1" t="s">
        <v>7092</v>
      </c>
      <c r="AB1544" s="1" t="s">
        <v>7093</v>
      </c>
      <c r="AC1544" s="1" t="s">
        <v>46</v>
      </c>
      <c r="AD1544" s="1"/>
      <c r="AE1544" s="1" t="s">
        <v>641</v>
      </c>
      <c r="AF1544" s="1" t="s">
        <v>190</v>
      </c>
      <c r="AG1544" s="1">
        <v>5</v>
      </c>
      <c r="AH1544" s="1" t="s">
        <v>190</v>
      </c>
      <c r="AI1544" s="1"/>
      <c r="AJ1544" s="3">
        <v>43198.50309027778</v>
      </c>
      <c r="AK1544" s="1" t="s">
        <v>5542</v>
      </c>
    </row>
    <row r="1545" spans="1:37">
      <c r="A1545" s="1" t="str">
        <f>VLOOKUP(H1545,Languages!$A$2:$B$430,2,FALSE)</f>
        <v>Nilotic</v>
      </c>
      <c r="B1545" s="1" t="s">
        <v>109</v>
      </c>
      <c r="C1545" s="1" t="s">
        <v>214</v>
      </c>
      <c r="D1545" s="1" t="s">
        <v>757</v>
      </c>
      <c r="E1545" s="15" t="s">
        <v>216</v>
      </c>
      <c r="F1545" s="15" t="s">
        <v>216</v>
      </c>
      <c r="G1545" s="1" t="s">
        <v>216</v>
      </c>
      <c r="H1545" s="1" t="str">
        <f>VLOOKUP(G1545,'languoid 4.0'!$A$1:$I$24439,2,FALSE)</f>
        <v>nilo1247</v>
      </c>
      <c r="I1545" s="1" t="str">
        <f>VLOOKUP(G1545,'languoid 4.0'!$A$1:$I$24439,6,FALSE)</f>
        <v>language</v>
      </c>
      <c r="J1545" s="15" t="s">
        <v>38</v>
      </c>
      <c r="K1545" s="15" t="s">
        <v>38</v>
      </c>
      <c r="L1545" s="15" t="s">
        <v>38</v>
      </c>
      <c r="M1545" s="1"/>
      <c r="N1545" s="1" t="s">
        <v>217</v>
      </c>
      <c r="O1545" s="15" t="s">
        <v>40</v>
      </c>
      <c r="P1545" s="15" t="s">
        <v>41</v>
      </c>
      <c r="Q1545" s="1" t="s">
        <v>758</v>
      </c>
      <c r="R1545" s="2" t="s">
        <v>759</v>
      </c>
      <c r="S1545" s="1" t="s">
        <v>46</v>
      </c>
      <c r="T1545" s="1" t="s">
        <v>760</v>
      </c>
      <c r="U1545" s="1" t="s">
        <v>636</v>
      </c>
      <c r="V1545" s="1" t="s">
        <v>45</v>
      </c>
      <c r="W1545" s="1"/>
      <c r="X1545" s="1"/>
      <c r="Y1545" s="1"/>
      <c r="Z1545" s="1" t="s">
        <v>658</v>
      </c>
      <c r="AA1545" s="1" t="s">
        <v>761</v>
      </c>
      <c r="AB1545" s="1" t="s">
        <v>46</v>
      </c>
      <c r="AC1545" s="1" t="s">
        <v>46</v>
      </c>
      <c r="AD1545" s="1" t="s">
        <v>762</v>
      </c>
      <c r="AE1545" s="1" t="s">
        <v>641</v>
      </c>
      <c r="AF1545" s="1" t="s">
        <v>190</v>
      </c>
      <c r="AG1545" s="1">
        <v>6</v>
      </c>
      <c r="AH1545" s="1" t="s">
        <v>190</v>
      </c>
      <c r="AI1545" s="1"/>
      <c r="AJ1545" s="3">
        <v>43222.538240740738</v>
      </c>
      <c r="AK1545" s="1" t="s">
        <v>740</v>
      </c>
    </row>
    <row r="1546" spans="1:37">
      <c r="A1546" s="1" t="str">
        <f>VLOOKUP(H1546,Languages!$A$2:$B$430,2,FALSE)</f>
        <v>Nilotic</v>
      </c>
      <c r="B1546" s="1" t="s">
        <v>109</v>
      </c>
      <c r="C1546" s="1" t="s">
        <v>214</v>
      </c>
      <c r="D1546" s="1" t="s">
        <v>944</v>
      </c>
      <c r="E1546" s="15" t="s">
        <v>945</v>
      </c>
      <c r="F1546" s="15" t="s">
        <v>945</v>
      </c>
      <c r="G1546" s="1" t="s">
        <v>945</v>
      </c>
      <c r="H1546" s="1" t="str">
        <f>VLOOKUP(G1546,'languoid 4.0'!$A$1:$I$24439,2,FALSE)</f>
        <v>nilo1247</v>
      </c>
      <c r="I1546" s="1" t="str">
        <f>VLOOKUP(G1546,'languoid 4.0'!$A$1:$I$24439,6,FALSE)</f>
        <v>language</v>
      </c>
      <c r="J1546" s="15" t="s">
        <v>38</v>
      </c>
      <c r="K1546" s="15" t="s">
        <v>38</v>
      </c>
      <c r="L1546" s="15" t="s">
        <v>38</v>
      </c>
      <c r="M1546" s="1"/>
      <c r="N1546" s="1" t="s">
        <v>946</v>
      </c>
      <c r="O1546" s="15" t="s">
        <v>40</v>
      </c>
      <c r="P1546" s="15" t="s">
        <v>41</v>
      </c>
      <c r="Q1546" s="1" t="s">
        <v>947</v>
      </c>
      <c r="R1546" s="2" t="s">
        <v>948</v>
      </c>
      <c r="S1546" s="1" t="s">
        <v>46</v>
      </c>
      <c r="T1546" s="1" t="s">
        <v>949</v>
      </c>
      <c r="U1546" s="1" t="s">
        <v>636</v>
      </c>
      <c r="V1546" s="1" t="s">
        <v>45</v>
      </c>
      <c r="W1546" s="1"/>
      <c r="X1546" s="1"/>
      <c r="Y1546" s="1"/>
      <c r="Z1546" s="1" t="s">
        <v>637</v>
      </c>
      <c r="AA1546" s="1" t="s">
        <v>950</v>
      </c>
      <c r="AB1546" s="1" t="s">
        <v>951</v>
      </c>
      <c r="AC1546" s="1" t="s">
        <v>46</v>
      </c>
      <c r="AD1546" s="1" t="s">
        <v>952</v>
      </c>
      <c r="AE1546" s="1" t="s">
        <v>641</v>
      </c>
      <c r="AF1546" s="1" t="s">
        <v>190</v>
      </c>
      <c r="AG1546" s="1">
        <v>5</v>
      </c>
      <c r="AH1546" s="1" t="s">
        <v>190</v>
      </c>
      <c r="AI1546" s="1"/>
      <c r="AJ1546" s="3">
        <v>43253.732106481482</v>
      </c>
      <c r="AK1546" s="1" t="s">
        <v>740</v>
      </c>
    </row>
    <row r="1547" spans="1:37">
      <c r="A1547" s="1" t="str">
        <f>VLOOKUP(H1547,Languages!$A$2:$B$430,2,FALSE)</f>
        <v>Nilotic</v>
      </c>
      <c r="B1547" s="1" t="s">
        <v>35</v>
      </c>
      <c r="C1547" s="1" t="s">
        <v>214</v>
      </c>
      <c r="D1547" s="1" t="s">
        <v>505</v>
      </c>
      <c r="E1547" s="15" t="s">
        <v>506</v>
      </c>
      <c r="F1547" s="15" t="s">
        <v>51</v>
      </c>
      <c r="G1547" s="1" t="s">
        <v>506</v>
      </c>
      <c r="H1547" s="1" t="str">
        <f>VLOOKUP(G1547,'languoid 4.0'!$A$1:$I$24439,2,FALSE)</f>
        <v>nilo1247</v>
      </c>
      <c r="I1547" s="1" t="str">
        <f>VLOOKUP(G1547,'languoid 4.0'!$A$1:$I$24439,6,FALSE)</f>
        <v>language</v>
      </c>
      <c r="J1547" s="15" t="s">
        <v>52</v>
      </c>
      <c r="K1547" s="15" t="s">
        <v>51</v>
      </c>
      <c r="L1547" s="15" t="s">
        <v>51</v>
      </c>
      <c r="M1547" s="1"/>
      <c r="N1547" s="1" t="s">
        <v>507</v>
      </c>
      <c r="O1547" s="15" t="s">
        <v>40</v>
      </c>
      <c r="P1547" s="15" t="s">
        <v>41</v>
      </c>
      <c r="Q1547" s="1" t="s">
        <v>508</v>
      </c>
      <c r="R1547" s="2" t="s">
        <v>509</v>
      </c>
      <c r="S1547" s="1" t="s">
        <v>46</v>
      </c>
      <c r="T1547" s="1" t="s">
        <v>44</v>
      </c>
      <c r="U1547" s="1"/>
      <c r="V1547" s="1" t="s">
        <v>190</v>
      </c>
      <c r="W1547" s="1" t="s">
        <v>510</v>
      </c>
      <c r="X1547" s="1" t="s">
        <v>511</v>
      </c>
      <c r="Y1547" s="1" t="s">
        <v>512</v>
      </c>
      <c r="Z1547" s="1"/>
      <c r="AA1547" s="1" t="s">
        <v>46</v>
      </c>
      <c r="AB1547" s="1">
        <v>1</v>
      </c>
      <c r="AC1547" s="1">
        <v>1</v>
      </c>
      <c r="AD1547" s="1"/>
      <c r="AE1547" s="1"/>
      <c r="AF1547" s="1"/>
      <c r="AG1547" s="1"/>
      <c r="AH1547" s="1"/>
      <c r="AI1547" s="1"/>
      <c r="AJ1547" s="3">
        <v>43102.753009259257</v>
      </c>
      <c r="AK1547" s="1" t="s">
        <v>172</v>
      </c>
    </row>
    <row r="1548" spans="1:37">
      <c r="A1548" s="1" t="str">
        <f>VLOOKUP(H1548,Languages!$A$2:$B$430,2,FALSE)</f>
        <v>Nilotic</v>
      </c>
      <c r="B1548" s="1" t="s">
        <v>35</v>
      </c>
      <c r="C1548" s="1" t="s">
        <v>214</v>
      </c>
      <c r="D1548" s="1" t="s">
        <v>882</v>
      </c>
      <c r="E1548" s="15" t="s">
        <v>883</v>
      </c>
      <c r="F1548" s="15" t="s">
        <v>883</v>
      </c>
      <c r="G1548" s="1" t="s">
        <v>883</v>
      </c>
      <c r="H1548" s="1" t="str">
        <f>VLOOKUP(G1548,'languoid 4.0'!$A$1:$I$24439,2,FALSE)</f>
        <v>nilo1247</v>
      </c>
      <c r="I1548" s="1" t="str">
        <f>VLOOKUP(G1548,'languoid 4.0'!$A$1:$I$24439,6,FALSE)</f>
        <v>language</v>
      </c>
      <c r="J1548" s="15" t="s">
        <v>38</v>
      </c>
      <c r="K1548" s="15" t="s">
        <v>38</v>
      </c>
      <c r="L1548" s="15" t="s">
        <v>38</v>
      </c>
      <c r="M1548" s="1"/>
      <c r="N1548" s="1" t="s">
        <v>884</v>
      </c>
      <c r="O1548" s="15" t="s">
        <v>40</v>
      </c>
      <c r="P1548" s="15" t="s">
        <v>41</v>
      </c>
      <c r="Q1548" s="1" t="s">
        <v>899</v>
      </c>
      <c r="R1548" s="2" t="s">
        <v>900</v>
      </c>
      <c r="S1548" s="1" t="s">
        <v>901</v>
      </c>
      <c r="T1548" s="1" t="s">
        <v>822</v>
      </c>
      <c r="U1548" s="1" t="s">
        <v>636</v>
      </c>
      <c r="V1548" s="1" t="s">
        <v>45</v>
      </c>
      <c r="W1548" s="1"/>
      <c r="X1548" s="1"/>
      <c r="Y1548" s="1"/>
      <c r="Z1548" s="1" t="s">
        <v>637</v>
      </c>
      <c r="AA1548" s="1" t="s">
        <v>902</v>
      </c>
      <c r="AB1548" s="1" t="s">
        <v>903</v>
      </c>
      <c r="AC1548" s="1" t="s">
        <v>46</v>
      </c>
      <c r="AD1548" s="1" t="s">
        <v>904</v>
      </c>
      <c r="AE1548" s="1" t="s">
        <v>641</v>
      </c>
      <c r="AF1548" s="1" t="s">
        <v>190</v>
      </c>
      <c r="AG1548" s="1">
        <v>4</v>
      </c>
      <c r="AH1548" s="1" t="s">
        <v>190</v>
      </c>
      <c r="AI1548" s="1"/>
      <c r="AJ1548" s="3">
        <v>43253.686516203707</v>
      </c>
      <c r="AK1548" s="1" t="s">
        <v>740</v>
      </c>
    </row>
    <row r="1549" spans="1:37">
      <c r="A1549" s="1" t="str">
        <f>VLOOKUP(H1549,Languages!$A$2:$B$430,2,FALSE)</f>
        <v>Nilotic</v>
      </c>
      <c r="B1549" s="1" t="s">
        <v>35</v>
      </c>
      <c r="C1549" s="1" t="s">
        <v>419</v>
      </c>
      <c r="D1549" s="1" t="s">
        <v>9065</v>
      </c>
      <c r="E1549" s="15" t="s">
        <v>9058</v>
      </c>
      <c r="F1549" s="15" t="s">
        <v>9059</v>
      </c>
      <c r="G1549" s="1" t="s">
        <v>9059</v>
      </c>
      <c r="H1549" s="1" t="str">
        <f>VLOOKUP(G1549,'languoid 4.0'!$A$1:$I$24439,2,FALSE)</f>
        <v>nilo1247</v>
      </c>
      <c r="I1549" s="1" t="str">
        <f>VLOOKUP(G1549,'languoid 4.0'!$A$1:$I$24439,6,FALSE)</f>
        <v>language</v>
      </c>
      <c r="J1549" s="15" t="s">
        <v>52</v>
      </c>
      <c r="K1549" s="15" t="s">
        <v>38</v>
      </c>
      <c r="L1549" s="15" t="s">
        <v>38</v>
      </c>
      <c r="M1549" s="1"/>
      <c r="N1549" s="1"/>
      <c r="O1549" s="15" t="s">
        <v>40</v>
      </c>
      <c r="P1549" s="15" t="s">
        <v>41</v>
      </c>
      <c r="Q1549" s="1" t="s">
        <v>9066</v>
      </c>
      <c r="R1549" s="2" t="s">
        <v>9067</v>
      </c>
      <c r="S1549" s="1" t="s">
        <v>46</v>
      </c>
      <c r="T1549" s="1" t="s">
        <v>635</v>
      </c>
      <c r="U1549" s="1" t="s">
        <v>636</v>
      </c>
      <c r="V1549" s="1" t="s">
        <v>45</v>
      </c>
      <c r="W1549" s="1"/>
      <c r="X1549" s="1"/>
      <c r="Y1549" s="1"/>
      <c r="Z1549" s="1" t="s">
        <v>658</v>
      </c>
      <c r="AA1549" s="1" t="s">
        <v>9068</v>
      </c>
      <c r="AB1549" s="1" t="s">
        <v>46</v>
      </c>
      <c r="AC1549" s="1" t="s">
        <v>46</v>
      </c>
      <c r="AD1549" s="1"/>
      <c r="AE1549" s="1" t="s">
        <v>641</v>
      </c>
      <c r="AF1549" s="1" t="s">
        <v>190</v>
      </c>
      <c r="AG1549" s="1">
        <v>6</v>
      </c>
      <c r="AH1549" s="1" t="s">
        <v>190</v>
      </c>
      <c r="AI1549" s="1"/>
      <c r="AJ1549" s="1" t="s">
        <v>9069</v>
      </c>
      <c r="AK1549" s="1" t="s">
        <v>8989</v>
      </c>
    </row>
    <row r="1550" spans="1:37">
      <c r="A1550" s="1" t="str">
        <f>VLOOKUP(H1550,Languages!$A$2:$B$430,2,FALSE)</f>
        <v>Nilotic</v>
      </c>
      <c r="B1550" s="1" t="s">
        <v>1726</v>
      </c>
      <c r="C1550" s="1" t="s">
        <v>108</v>
      </c>
      <c r="D1550" s="1" t="s">
        <v>944</v>
      </c>
      <c r="E1550" s="15" t="s">
        <v>945</v>
      </c>
      <c r="F1550" s="15" t="s">
        <v>945</v>
      </c>
      <c r="G1550" s="1" t="s">
        <v>945</v>
      </c>
      <c r="H1550" s="1" t="str">
        <f>VLOOKUP(G1550,'languoid 4.0'!$A$1:$I$24439,2,FALSE)</f>
        <v>nilo1247</v>
      </c>
      <c r="I1550" s="1" t="str">
        <f>VLOOKUP(G1550,'languoid 4.0'!$A$1:$I$24439,6,FALSE)</f>
        <v>language</v>
      </c>
      <c r="J1550" s="15" t="s">
        <v>38</v>
      </c>
      <c r="K1550" s="15" t="s">
        <v>38</v>
      </c>
      <c r="L1550" s="15" t="s">
        <v>38</v>
      </c>
      <c r="M1550" s="1"/>
      <c r="N1550" s="1" t="s">
        <v>946</v>
      </c>
      <c r="O1550" s="15" t="s">
        <v>40</v>
      </c>
      <c r="P1550" s="15" t="s">
        <v>41</v>
      </c>
      <c r="Q1550" s="1" t="s">
        <v>6222</v>
      </c>
      <c r="R1550" s="2" t="s">
        <v>6223</v>
      </c>
      <c r="S1550" s="1" t="s">
        <v>46</v>
      </c>
      <c r="T1550" s="1" t="s">
        <v>635</v>
      </c>
      <c r="U1550" s="1" t="s">
        <v>1812</v>
      </c>
      <c r="V1550" s="1" t="s">
        <v>45</v>
      </c>
      <c r="W1550" s="1"/>
      <c r="X1550" s="1"/>
      <c r="Y1550" s="1"/>
      <c r="Z1550" s="1" t="s">
        <v>658</v>
      </c>
      <c r="AA1550" s="1" t="s">
        <v>6222</v>
      </c>
      <c r="AB1550" s="1" t="s">
        <v>6224</v>
      </c>
      <c r="AC1550" s="1" t="s">
        <v>46</v>
      </c>
      <c r="AD1550" s="1"/>
      <c r="AE1550" s="1" t="s">
        <v>641</v>
      </c>
      <c r="AF1550" s="1" t="s">
        <v>190</v>
      </c>
      <c r="AG1550" s="1">
        <v>5</v>
      </c>
      <c r="AH1550" s="1" t="s">
        <v>190</v>
      </c>
      <c r="AI1550" s="1"/>
      <c r="AJ1550" s="3">
        <v>43197.896145833336</v>
      </c>
      <c r="AK1550" s="1" t="s">
        <v>5723</v>
      </c>
    </row>
    <row r="1551" spans="1:37">
      <c r="A1551" s="1" t="str">
        <f>VLOOKUP(H1551,Languages!$A$2:$B$430,2,FALSE)</f>
        <v>Nilotic</v>
      </c>
      <c r="B1551" s="1" t="s">
        <v>1726</v>
      </c>
      <c r="C1551" s="1" t="s">
        <v>108</v>
      </c>
      <c r="D1551" s="1" t="s">
        <v>6225</v>
      </c>
      <c r="E1551" s="15" t="s">
        <v>3292</v>
      </c>
      <c r="F1551" s="15" t="s">
        <v>3292</v>
      </c>
      <c r="G1551" s="1" t="s">
        <v>3292</v>
      </c>
      <c r="H1551" s="1" t="str">
        <f>VLOOKUP(G1551,'languoid 4.0'!$A$1:$I$24439,2,FALSE)</f>
        <v>nilo1247</v>
      </c>
      <c r="I1551" s="1" t="str">
        <f>VLOOKUP(G1551,'languoid 4.0'!$A$1:$I$24439,6,FALSE)</f>
        <v>language</v>
      </c>
      <c r="J1551" s="15" t="s">
        <v>38</v>
      </c>
      <c r="K1551" s="15" t="s">
        <v>38</v>
      </c>
      <c r="L1551" s="15" t="s">
        <v>38</v>
      </c>
      <c r="M1551" s="1"/>
      <c r="N1551" s="1" t="s">
        <v>3293</v>
      </c>
      <c r="O1551" s="15" t="s">
        <v>40</v>
      </c>
      <c r="P1551" s="15" t="s">
        <v>41</v>
      </c>
      <c r="Q1551" s="1" t="s">
        <v>6226</v>
      </c>
      <c r="R1551" s="2" t="s">
        <v>6227</v>
      </c>
      <c r="S1551" s="1" t="s">
        <v>46</v>
      </c>
      <c r="T1551" s="1" t="s">
        <v>635</v>
      </c>
      <c r="U1551" s="1" t="s">
        <v>636</v>
      </c>
      <c r="V1551" s="1" t="s">
        <v>45</v>
      </c>
      <c r="W1551" s="1"/>
      <c r="X1551" s="1"/>
      <c r="Y1551" s="1"/>
      <c r="Z1551" s="1" t="s">
        <v>658</v>
      </c>
      <c r="AA1551" s="1" t="s">
        <v>6226</v>
      </c>
      <c r="AB1551" s="1" t="s">
        <v>6228</v>
      </c>
      <c r="AC1551" s="1" t="s">
        <v>46</v>
      </c>
      <c r="AD1551" s="1"/>
      <c r="AE1551" s="1" t="s">
        <v>641</v>
      </c>
      <c r="AF1551" s="1" t="s">
        <v>190</v>
      </c>
      <c r="AG1551" s="1">
        <v>6</v>
      </c>
      <c r="AH1551" s="1" t="s">
        <v>190</v>
      </c>
      <c r="AI1551" s="1"/>
      <c r="AJ1551" s="3">
        <v>43197.898217592592</v>
      </c>
      <c r="AK1551" s="1" t="s">
        <v>5723</v>
      </c>
    </row>
    <row r="1552" spans="1:37">
      <c r="A1552" s="1" t="str">
        <f>VLOOKUP(H1552,Languages!$A$2:$B$430,2,FALSE)</f>
        <v>Nilotic</v>
      </c>
      <c r="B1552" s="1" t="s">
        <v>1726</v>
      </c>
      <c r="C1552" s="1" t="s">
        <v>108</v>
      </c>
      <c r="D1552" s="1" t="s">
        <v>6225</v>
      </c>
      <c r="E1552" s="15" t="s">
        <v>3292</v>
      </c>
      <c r="F1552" s="15" t="s">
        <v>3292</v>
      </c>
      <c r="G1552" s="1" t="s">
        <v>3292</v>
      </c>
      <c r="H1552" s="1" t="str">
        <f>VLOOKUP(G1552,'languoid 4.0'!$A$1:$I$24439,2,FALSE)</f>
        <v>nilo1247</v>
      </c>
      <c r="I1552" s="1" t="str">
        <f>VLOOKUP(G1552,'languoid 4.0'!$A$1:$I$24439,6,FALSE)</f>
        <v>language</v>
      </c>
      <c r="J1552" s="15" t="s">
        <v>38</v>
      </c>
      <c r="K1552" s="15" t="s">
        <v>38</v>
      </c>
      <c r="L1552" s="15" t="s">
        <v>38</v>
      </c>
      <c r="M1552" s="1"/>
      <c r="N1552" s="1" t="s">
        <v>3293</v>
      </c>
      <c r="O1552" s="15" t="s">
        <v>40</v>
      </c>
      <c r="P1552" s="15" t="s">
        <v>41</v>
      </c>
      <c r="Q1552" s="1" t="s">
        <v>6229</v>
      </c>
      <c r="R1552" s="2" t="s">
        <v>6230</v>
      </c>
      <c r="S1552" s="1" t="s">
        <v>46</v>
      </c>
      <c r="T1552" s="1" t="s">
        <v>635</v>
      </c>
      <c r="U1552" s="1" t="s">
        <v>636</v>
      </c>
      <c r="V1552" s="1" t="s">
        <v>45</v>
      </c>
      <c r="W1552" s="1"/>
      <c r="X1552" s="1"/>
      <c r="Y1552" s="1"/>
      <c r="Z1552" s="1" t="s">
        <v>658</v>
      </c>
      <c r="AA1552" s="1" t="s">
        <v>6228</v>
      </c>
      <c r="AB1552" s="1" t="s">
        <v>6231</v>
      </c>
      <c r="AC1552" s="1" t="s">
        <v>46</v>
      </c>
      <c r="AD1552" s="1"/>
      <c r="AE1552" s="1" t="s">
        <v>641</v>
      </c>
      <c r="AF1552" s="1" t="s">
        <v>190</v>
      </c>
      <c r="AG1552" s="1">
        <v>5</v>
      </c>
      <c r="AH1552" s="1" t="s">
        <v>190</v>
      </c>
      <c r="AI1552" s="1"/>
      <c r="AJ1552" s="3">
        <v>43197.901319444441</v>
      </c>
      <c r="AK1552" s="1" t="s">
        <v>5723</v>
      </c>
    </row>
    <row r="1553" spans="1:37">
      <c r="A1553" s="1" t="str">
        <f>VLOOKUP(H1553,Languages!$A$2:$B$430,2,FALSE)</f>
        <v>Nilotic</v>
      </c>
      <c r="B1553" s="1" t="s">
        <v>1726</v>
      </c>
      <c r="C1553" s="1" t="s">
        <v>108</v>
      </c>
      <c r="D1553" s="1" t="s">
        <v>6225</v>
      </c>
      <c r="E1553" s="15" t="s">
        <v>3292</v>
      </c>
      <c r="F1553" s="15" t="s">
        <v>3292</v>
      </c>
      <c r="G1553" s="1" t="s">
        <v>3292</v>
      </c>
      <c r="H1553" s="1" t="str">
        <f>VLOOKUP(G1553,'languoid 4.0'!$A$1:$I$24439,2,FALSE)</f>
        <v>nilo1247</v>
      </c>
      <c r="I1553" s="1" t="str">
        <f>VLOOKUP(G1553,'languoid 4.0'!$A$1:$I$24439,6,FALSE)</f>
        <v>language</v>
      </c>
      <c r="J1553" s="15" t="s">
        <v>38</v>
      </c>
      <c r="K1553" s="15" t="s">
        <v>38</v>
      </c>
      <c r="L1553" s="15" t="s">
        <v>38</v>
      </c>
      <c r="M1553" s="1"/>
      <c r="N1553" s="1" t="s">
        <v>3293</v>
      </c>
      <c r="O1553" s="15" t="s">
        <v>40</v>
      </c>
      <c r="P1553" s="15" t="s">
        <v>41</v>
      </c>
      <c r="Q1553" s="1" t="s">
        <v>6232</v>
      </c>
      <c r="R1553" s="2" t="s">
        <v>6233</v>
      </c>
      <c r="S1553" s="1" t="s">
        <v>46</v>
      </c>
      <c r="T1553" s="1" t="s">
        <v>635</v>
      </c>
      <c r="U1553" s="1" t="s">
        <v>636</v>
      </c>
      <c r="V1553" s="1" t="s">
        <v>45</v>
      </c>
      <c r="W1553" s="1"/>
      <c r="X1553" s="1"/>
      <c r="Y1553" s="1"/>
      <c r="Z1553" s="1" t="s">
        <v>658</v>
      </c>
      <c r="AA1553" s="1" t="s">
        <v>6228</v>
      </c>
      <c r="AB1553" s="1" t="s">
        <v>6234</v>
      </c>
      <c r="AC1553" s="1" t="s">
        <v>46</v>
      </c>
      <c r="AD1553" s="1"/>
      <c r="AE1553" s="1" t="s">
        <v>641</v>
      </c>
      <c r="AF1553" s="1" t="s">
        <v>190</v>
      </c>
      <c r="AG1553" s="1">
        <v>5</v>
      </c>
      <c r="AH1553" s="1" t="s">
        <v>190</v>
      </c>
      <c r="AI1553" s="1"/>
      <c r="AJ1553" s="3">
        <v>43197.904999999999</v>
      </c>
      <c r="AK1553" s="1" t="s">
        <v>5723</v>
      </c>
    </row>
    <row r="1554" spans="1:37">
      <c r="A1554" s="1" t="str">
        <f>VLOOKUP(H1554,Languages!$A$2:$B$430,2,FALSE)</f>
        <v>Nilotic</v>
      </c>
      <c r="B1554" s="1" t="s">
        <v>1726</v>
      </c>
      <c r="C1554" s="1" t="s">
        <v>108</v>
      </c>
      <c r="D1554" s="1" t="s">
        <v>6225</v>
      </c>
      <c r="E1554" s="15" t="s">
        <v>3292</v>
      </c>
      <c r="F1554" s="15" t="s">
        <v>3292</v>
      </c>
      <c r="G1554" s="1" t="s">
        <v>3292</v>
      </c>
      <c r="H1554" s="1" t="str">
        <f>VLOOKUP(G1554,'languoid 4.0'!$A$1:$I$24439,2,FALSE)</f>
        <v>nilo1247</v>
      </c>
      <c r="I1554" s="1" t="str">
        <f>VLOOKUP(G1554,'languoid 4.0'!$A$1:$I$24439,6,FALSE)</f>
        <v>language</v>
      </c>
      <c r="J1554" s="15" t="s">
        <v>38</v>
      </c>
      <c r="K1554" s="15" t="s">
        <v>38</v>
      </c>
      <c r="L1554" s="15" t="s">
        <v>38</v>
      </c>
      <c r="M1554" s="1"/>
      <c r="N1554" s="1" t="s">
        <v>3293</v>
      </c>
      <c r="O1554" s="15" t="s">
        <v>40</v>
      </c>
      <c r="P1554" s="15" t="s">
        <v>41</v>
      </c>
      <c r="Q1554" s="1" t="s">
        <v>6235</v>
      </c>
      <c r="R1554" s="2" t="s">
        <v>6236</v>
      </c>
      <c r="S1554" s="1" t="s">
        <v>46</v>
      </c>
      <c r="T1554" s="1" t="s">
        <v>635</v>
      </c>
      <c r="U1554" s="1" t="s">
        <v>636</v>
      </c>
      <c r="V1554" s="1" t="s">
        <v>45</v>
      </c>
      <c r="W1554" s="1"/>
      <c r="X1554" s="1"/>
      <c r="Y1554" s="1"/>
      <c r="Z1554" s="1" t="s">
        <v>658</v>
      </c>
      <c r="AA1554" s="1" t="s">
        <v>6228</v>
      </c>
      <c r="AB1554" s="1" t="s">
        <v>6237</v>
      </c>
      <c r="AC1554" s="1" t="s">
        <v>46</v>
      </c>
      <c r="AD1554" s="1"/>
      <c r="AE1554" s="1" t="s">
        <v>641</v>
      </c>
      <c r="AF1554" s="1" t="s">
        <v>190</v>
      </c>
      <c r="AG1554" s="1">
        <v>5</v>
      </c>
      <c r="AH1554" s="1" t="s">
        <v>190</v>
      </c>
      <c r="AI1554" s="1"/>
      <c r="AJ1554" s="3">
        <v>43197.906307870369</v>
      </c>
      <c r="AK1554" s="1" t="s">
        <v>5723</v>
      </c>
    </row>
    <row r="1555" spans="1:37">
      <c r="A1555" s="1" t="str">
        <f>VLOOKUP(H1555,Languages!$A$2:$B$430,2,FALSE)</f>
        <v>Nilotic</v>
      </c>
      <c r="B1555" s="1" t="s">
        <v>1726</v>
      </c>
      <c r="C1555" s="1" t="s">
        <v>108</v>
      </c>
      <c r="D1555" s="1" t="s">
        <v>6225</v>
      </c>
      <c r="E1555" s="15" t="s">
        <v>3292</v>
      </c>
      <c r="F1555" s="15" t="s">
        <v>3292</v>
      </c>
      <c r="G1555" s="1" t="s">
        <v>3292</v>
      </c>
      <c r="H1555" s="1" t="str">
        <f>VLOOKUP(G1555,'languoid 4.0'!$A$1:$I$24439,2,FALSE)</f>
        <v>nilo1247</v>
      </c>
      <c r="I1555" s="1" t="str">
        <f>VLOOKUP(G1555,'languoid 4.0'!$A$1:$I$24439,6,FALSE)</f>
        <v>language</v>
      </c>
      <c r="J1555" s="15" t="s">
        <v>38</v>
      </c>
      <c r="K1555" s="15" t="s">
        <v>38</v>
      </c>
      <c r="L1555" s="15" t="s">
        <v>38</v>
      </c>
      <c r="M1555" s="1"/>
      <c r="N1555" s="1" t="s">
        <v>3293</v>
      </c>
      <c r="O1555" s="15" t="s">
        <v>40</v>
      </c>
      <c r="P1555" s="15" t="s">
        <v>41</v>
      </c>
      <c r="Q1555" s="1" t="s">
        <v>6238</v>
      </c>
      <c r="R1555" s="2" t="s">
        <v>6239</v>
      </c>
      <c r="S1555" s="1" t="s">
        <v>46</v>
      </c>
      <c r="T1555" s="1" t="s">
        <v>635</v>
      </c>
      <c r="U1555" s="1" t="s">
        <v>636</v>
      </c>
      <c r="V1555" s="1" t="s">
        <v>45</v>
      </c>
      <c r="W1555" s="1"/>
      <c r="X1555" s="1"/>
      <c r="Y1555" s="1"/>
      <c r="Z1555" s="1" t="s">
        <v>658</v>
      </c>
      <c r="AA1555" s="1" t="s">
        <v>6228</v>
      </c>
      <c r="AB1555" s="1" t="s">
        <v>6228</v>
      </c>
      <c r="AC1555" s="1" t="s">
        <v>46</v>
      </c>
      <c r="AD1555" s="1"/>
      <c r="AE1555" s="1" t="s">
        <v>641</v>
      </c>
      <c r="AF1555" s="1" t="s">
        <v>190</v>
      </c>
      <c r="AG1555" s="1">
        <v>6</v>
      </c>
      <c r="AH1555" s="1" t="s">
        <v>190</v>
      </c>
      <c r="AI1555" s="1"/>
      <c r="AJ1555" s="3">
        <v>43197.908275462964</v>
      </c>
      <c r="AK1555" s="1" t="s">
        <v>5723</v>
      </c>
    </row>
    <row r="1556" spans="1:37">
      <c r="A1556" s="1" t="str">
        <f>VLOOKUP(H1556,Languages!$A$2:$B$430,2,FALSE)</f>
        <v>Nilotic</v>
      </c>
      <c r="B1556" s="1" t="s">
        <v>1726</v>
      </c>
      <c r="C1556" s="1" t="s">
        <v>419</v>
      </c>
      <c r="D1556" s="1" t="s">
        <v>9057</v>
      </c>
      <c r="E1556" s="15" t="s">
        <v>9058</v>
      </c>
      <c r="F1556" s="15" t="s">
        <v>9059</v>
      </c>
      <c r="G1556" s="1" t="s">
        <v>9059</v>
      </c>
      <c r="H1556" s="1" t="str">
        <f>VLOOKUP(G1556,'languoid 4.0'!$A$1:$I$24439,2,FALSE)</f>
        <v>nilo1247</v>
      </c>
      <c r="I1556" s="1" t="str">
        <f>VLOOKUP(G1556,'languoid 4.0'!$A$1:$I$24439,6,FALSE)</f>
        <v>language</v>
      </c>
      <c r="J1556" s="15" t="s">
        <v>52</v>
      </c>
      <c r="K1556" s="15" t="s">
        <v>38</v>
      </c>
      <c r="L1556" s="15" t="s">
        <v>38</v>
      </c>
      <c r="M1556" s="1"/>
      <c r="N1556" s="1"/>
      <c r="O1556" s="15" t="s">
        <v>40</v>
      </c>
      <c r="P1556" s="15" t="s">
        <v>41</v>
      </c>
      <c r="Q1556" s="1" t="s">
        <v>9060</v>
      </c>
      <c r="R1556" s="2" t="s">
        <v>9061</v>
      </c>
      <c r="S1556" s="1" t="s">
        <v>46</v>
      </c>
      <c r="T1556" s="1" t="s">
        <v>635</v>
      </c>
      <c r="U1556" s="1" t="s">
        <v>636</v>
      </c>
      <c r="V1556" s="1" t="s">
        <v>45</v>
      </c>
      <c r="W1556" s="1"/>
      <c r="X1556" s="1"/>
      <c r="Y1556" s="1"/>
      <c r="Z1556" s="1" t="s">
        <v>673</v>
      </c>
      <c r="AA1556" s="1" t="s">
        <v>9062</v>
      </c>
      <c r="AB1556" s="1" t="s">
        <v>9063</v>
      </c>
      <c r="AC1556" s="1" t="s">
        <v>46</v>
      </c>
      <c r="AD1556" s="1"/>
      <c r="AE1556" s="1" t="s">
        <v>641</v>
      </c>
      <c r="AF1556" s="1" t="s">
        <v>190</v>
      </c>
      <c r="AG1556" s="1">
        <v>4</v>
      </c>
      <c r="AH1556" s="1" t="s">
        <v>190</v>
      </c>
      <c r="AI1556" s="1"/>
      <c r="AJ1556" s="1" t="s">
        <v>9064</v>
      </c>
      <c r="AK1556" s="1" t="s">
        <v>8989</v>
      </c>
    </row>
    <row r="1557" spans="1:37">
      <c r="A1557" s="1" t="str">
        <f>VLOOKUP(H1557,Languages!$A$2:$B$430,2,FALSE)</f>
        <v>Nilotic</v>
      </c>
      <c r="B1557" s="1" t="s">
        <v>652</v>
      </c>
      <c r="C1557" s="1" t="s">
        <v>214</v>
      </c>
      <c r="D1557" s="1" t="s">
        <v>882</v>
      </c>
      <c r="E1557" s="15" t="s">
        <v>883</v>
      </c>
      <c r="F1557" s="15" t="s">
        <v>883</v>
      </c>
      <c r="G1557" s="1" t="s">
        <v>883</v>
      </c>
      <c r="H1557" s="1" t="str">
        <f>VLOOKUP(G1557,'languoid 4.0'!$A$1:$I$24439,2,FALSE)</f>
        <v>nilo1247</v>
      </c>
      <c r="I1557" s="1" t="str">
        <f>VLOOKUP(G1557,'languoid 4.0'!$A$1:$I$24439,6,FALSE)</f>
        <v>language</v>
      </c>
      <c r="J1557" s="15" t="s">
        <v>38</v>
      </c>
      <c r="K1557" s="15" t="s">
        <v>38</v>
      </c>
      <c r="L1557" s="15" t="s">
        <v>38</v>
      </c>
      <c r="M1557" s="1"/>
      <c r="N1557" s="1" t="s">
        <v>884</v>
      </c>
      <c r="O1557" s="15" t="s">
        <v>40</v>
      </c>
      <c r="P1557" s="15" t="s">
        <v>41</v>
      </c>
      <c r="Q1557" s="1" t="s">
        <v>885</v>
      </c>
      <c r="R1557" s="2" t="s">
        <v>886</v>
      </c>
      <c r="S1557" s="1" t="s">
        <v>46</v>
      </c>
      <c r="T1557" s="1" t="s">
        <v>822</v>
      </c>
      <c r="U1557" s="1" t="s">
        <v>636</v>
      </c>
      <c r="V1557" s="1" t="s">
        <v>45</v>
      </c>
      <c r="W1557" s="1"/>
      <c r="X1557" s="1"/>
      <c r="Y1557" s="1"/>
      <c r="Z1557" s="1" t="s">
        <v>887</v>
      </c>
      <c r="AA1557" s="1" t="s">
        <v>654</v>
      </c>
      <c r="AB1557" s="1" t="s">
        <v>46</v>
      </c>
      <c r="AC1557" s="1" t="s">
        <v>888</v>
      </c>
      <c r="AD1557" s="1" t="s">
        <v>889</v>
      </c>
      <c r="AE1557" s="1" t="s">
        <v>641</v>
      </c>
      <c r="AF1557" s="1" t="s">
        <v>190</v>
      </c>
      <c r="AG1557" s="1">
        <v>5</v>
      </c>
      <c r="AH1557" s="1" t="s">
        <v>190</v>
      </c>
      <c r="AI1557" s="1"/>
      <c r="AJ1557" s="3">
        <v>43253.650648148148</v>
      </c>
      <c r="AK1557" s="1" t="s">
        <v>740</v>
      </c>
    </row>
    <row r="1558" spans="1:37">
      <c r="A1558" s="1" t="str">
        <f>VLOOKUP(H1558,Languages!$A$2:$B$430,2,FALSE)</f>
        <v>Nilotic</v>
      </c>
      <c r="B1558" s="1" t="s">
        <v>652</v>
      </c>
      <c r="C1558" s="1" t="s">
        <v>214</v>
      </c>
      <c r="D1558" s="1" t="s">
        <v>890</v>
      </c>
      <c r="E1558" s="15" t="s">
        <v>891</v>
      </c>
      <c r="F1558" s="15" t="s">
        <v>891</v>
      </c>
      <c r="G1558" s="1" t="s">
        <v>891</v>
      </c>
      <c r="H1558" s="1" t="str">
        <f>VLOOKUP(G1558,'languoid 4.0'!$A$1:$I$24439,2,FALSE)</f>
        <v>nilo1247</v>
      </c>
      <c r="I1558" s="1" t="str">
        <f>VLOOKUP(G1558,'languoid 4.0'!$A$1:$I$24439,6,FALSE)</f>
        <v>language</v>
      </c>
      <c r="J1558" s="15" t="s">
        <v>38</v>
      </c>
      <c r="K1558" s="15" t="s">
        <v>38</v>
      </c>
      <c r="L1558" s="15" t="s">
        <v>38</v>
      </c>
      <c r="M1558" s="1"/>
      <c r="N1558" s="1" t="s">
        <v>892</v>
      </c>
      <c r="O1558" s="15" t="s">
        <v>40</v>
      </c>
      <c r="P1558" s="15" t="s">
        <v>41</v>
      </c>
      <c r="Q1558" s="1" t="s">
        <v>893</v>
      </c>
      <c r="R1558" s="2" t="s">
        <v>894</v>
      </c>
      <c r="S1558" s="1" t="s">
        <v>46</v>
      </c>
      <c r="T1558" s="1" t="s">
        <v>822</v>
      </c>
      <c r="U1558" s="1" t="s">
        <v>636</v>
      </c>
      <c r="V1558" s="1" t="s">
        <v>45</v>
      </c>
      <c r="W1558" s="1"/>
      <c r="X1558" s="1"/>
      <c r="Y1558" s="1"/>
      <c r="Z1558" s="1" t="s">
        <v>823</v>
      </c>
      <c r="AA1558" s="1" t="s">
        <v>895</v>
      </c>
      <c r="AB1558" s="1" t="s">
        <v>896</v>
      </c>
      <c r="AC1558" s="1" t="s">
        <v>897</v>
      </c>
      <c r="AD1558" s="1" t="s">
        <v>898</v>
      </c>
      <c r="AE1558" s="1" t="s">
        <v>641</v>
      </c>
      <c r="AF1558" s="1" t="s">
        <v>190</v>
      </c>
      <c r="AG1558" s="1">
        <v>5</v>
      </c>
      <c r="AH1558" s="1" t="s">
        <v>190</v>
      </c>
      <c r="AI1558" s="1"/>
      <c r="AJ1558" s="3">
        <v>43253.654386574075</v>
      </c>
      <c r="AK1558" s="1" t="s">
        <v>740</v>
      </c>
    </row>
    <row r="1559" spans="1:37">
      <c r="A1559" s="1" t="str">
        <f>VLOOKUP(H1559,Languages!$A$2:$B$430,2,FALSE)</f>
        <v>Nilotic</v>
      </c>
      <c r="B1559" s="1" t="s">
        <v>652</v>
      </c>
      <c r="C1559" s="1" t="s">
        <v>214</v>
      </c>
      <c r="D1559" s="1" t="s">
        <v>1146</v>
      </c>
      <c r="E1559" s="15" t="s">
        <v>1147</v>
      </c>
      <c r="F1559" s="15" t="s">
        <v>1148</v>
      </c>
      <c r="G1559" s="1" t="s">
        <v>1147</v>
      </c>
      <c r="H1559" s="1" t="str">
        <f>VLOOKUP(G1559,'languoid 4.0'!$A$1:$I$24439,2,FALSE)</f>
        <v>nilo1247</v>
      </c>
      <c r="I1559" s="1" t="str">
        <f>VLOOKUP(G1559,'languoid 4.0'!$A$1:$I$24439,6,FALSE)</f>
        <v>dialect</v>
      </c>
      <c r="J1559" s="15" t="s">
        <v>52</v>
      </c>
      <c r="K1559" s="15" t="s">
        <v>38</v>
      </c>
      <c r="L1559" s="15" t="s">
        <v>38</v>
      </c>
      <c r="M1559" s="1"/>
      <c r="N1559" s="1"/>
      <c r="O1559" s="15" t="s">
        <v>40</v>
      </c>
      <c r="P1559" s="15" t="s">
        <v>41</v>
      </c>
      <c r="Q1559" s="1" t="s">
        <v>1149</v>
      </c>
      <c r="R1559" s="2" t="s">
        <v>1150</v>
      </c>
      <c r="S1559" s="1" t="s">
        <v>46</v>
      </c>
      <c r="T1559" s="1" t="s">
        <v>822</v>
      </c>
      <c r="U1559" s="1" t="s">
        <v>636</v>
      </c>
      <c r="V1559" s="1" t="s">
        <v>45</v>
      </c>
      <c r="W1559" s="1"/>
      <c r="X1559" s="1"/>
      <c r="Y1559" s="1"/>
      <c r="Z1559" s="1" t="s">
        <v>1151</v>
      </c>
      <c r="AA1559" s="1" t="s">
        <v>1152</v>
      </c>
      <c r="AB1559" s="1" t="s">
        <v>1153</v>
      </c>
      <c r="AC1559" s="1" t="s">
        <v>1154</v>
      </c>
      <c r="AD1559" s="1" t="s">
        <v>1155</v>
      </c>
      <c r="AE1559" s="1" t="s">
        <v>641</v>
      </c>
      <c r="AF1559" s="1" t="s">
        <v>190</v>
      </c>
      <c r="AG1559" s="1">
        <v>5</v>
      </c>
      <c r="AH1559" s="1" t="s">
        <v>190</v>
      </c>
      <c r="AI1559" s="1"/>
      <c r="AJ1559" s="1" t="s">
        <v>1156</v>
      </c>
      <c r="AK1559" s="1" t="s">
        <v>740</v>
      </c>
    </row>
    <row r="1560" spans="1:37">
      <c r="A1560" s="1" t="str">
        <f>VLOOKUP(H1560,Languages!$A$2:$B$430,2,FALSE)</f>
        <v>Nilotic</v>
      </c>
      <c r="B1560" s="1" t="s">
        <v>652</v>
      </c>
      <c r="C1560" s="1" t="s">
        <v>214</v>
      </c>
      <c r="D1560" s="1" t="s">
        <v>1157</v>
      </c>
      <c r="E1560" s="15" t="s">
        <v>883</v>
      </c>
      <c r="F1560" s="15" t="s">
        <v>51</v>
      </c>
      <c r="G1560" s="1" t="s">
        <v>1158</v>
      </c>
      <c r="H1560" s="1" t="str">
        <f>VLOOKUP(G1560,'languoid 4.0'!$A$1:$I$24439,2,FALSE)</f>
        <v>nilo1247</v>
      </c>
      <c r="I1560" s="1" t="str">
        <f>VLOOKUP(G1560,'languoid 4.0'!$A$1:$I$24439,6,FALSE)</f>
        <v>dialect</v>
      </c>
      <c r="J1560" s="15" t="s">
        <v>52</v>
      </c>
      <c r="K1560" s="15" t="s">
        <v>51</v>
      </c>
      <c r="L1560" s="15" t="s">
        <v>51</v>
      </c>
      <c r="M1560" s="1"/>
      <c r="N1560" s="1" t="s">
        <v>884</v>
      </c>
      <c r="O1560" s="15" t="s">
        <v>40</v>
      </c>
      <c r="P1560" s="15" t="s">
        <v>41</v>
      </c>
      <c r="Q1560" s="1" t="s">
        <v>1159</v>
      </c>
      <c r="R1560" s="2" t="s">
        <v>1160</v>
      </c>
      <c r="S1560" s="1" t="s">
        <v>46</v>
      </c>
      <c r="T1560" s="1" t="s">
        <v>822</v>
      </c>
      <c r="U1560" s="1" t="s">
        <v>636</v>
      </c>
      <c r="V1560" s="1" t="s">
        <v>45</v>
      </c>
      <c r="W1560" s="1"/>
      <c r="X1560" s="1"/>
      <c r="Y1560" s="1"/>
      <c r="Z1560" s="1" t="s">
        <v>637</v>
      </c>
      <c r="AA1560" s="1" t="s">
        <v>1161</v>
      </c>
      <c r="AB1560" s="1" t="s">
        <v>1162</v>
      </c>
      <c r="AC1560" s="1" t="s">
        <v>46</v>
      </c>
      <c r="AD1560" s="1" t="s">
        <v>1163</v>
      </c>
      <c r="AE1560" s="1" t="s">
        <v>641</v>
      </c>
      <c r="AF1560" s="1" t="s">
        <v>190</v>
      </c>
      <c r="AG1560" s="1">
        <v>4</v>
      </c>
      <c r="AH1560" s="1" t="s">
        <v>190</v>
      </c>
      <c r="AI1560" s="1"/>
      <c r="AJ1560" s="1" t="s">
        <v>1164</v>
      </c>
      <c r="AK1560" s="1" t="s">
        <v>740</v>
      </c>
    </row>
    <row r="1561" spans="1:37">
      <c r="A1561" s="1" t="str">
        <f>VLOOKUP(H1561,Languages!$A$2:$B$430,2,FALSE)</f>
        <v>Nilotic</v>
      </c>
      <c r="B1561" s="1" t="s">
        <v>652</v>
      </c>
      <c r="C1561" s="1" t="s">
        <v>214</v>
      </c>
      <c r="D1561" s="1" t="s">
        <v>1165</v>
      </c>
      <c r="E1561" s="15" t="s">
        <v>1166</v>
      </c>
      <c r="F1561" s="15" t="s">
        <v>1167</v>
      </c>
      <c r="G1561" s="1" t="s">
        <v>1167</v>
      </c>
      <c r="H1561" s="1" t="str">
        <f>VLOOKUP(G1561,'languoid 4.0'!$A$1:$I$24439,2,FALSE)</f>
        <v>nilo1247</v>
      </c>
      <c r="I1561" s="1" t="str">
        <f>VLOOKUP(G1561,'languoid 4.0'!$A$1:$I$24439,6,FALSE)</f>
        <v>dialect</v>
      </c>
      <c r="J1561" s="15" t="s">
        <v>52</v>
      </c>
      <c r="K1561" s="15" t="s">
        <v>38</v>
      </c>
      <c r="L1561" s="15" t="s">
        <v>38</v>
      </c>
      <c r="M1561" s="1"/>
      <c r="N1561" s="1" t="s">
        <v>1168</v>
      </c>
      <c r="O1561" s="15" t="s">
        <v>40</v>
      </c>
      <c r="P1561" s="15" t="s">
        <v>41</v>
      </c>
      <c r="Q1561" s="1" t="s">
        <v>1169</v>
      </c>
      <c r="R1561" s="2" t="s">
        <v>1170</v>
      </c>
      <c r="S1561" s="1" t="s">
        <v>46</v>
      </c>
      <c r="T1561" s="1" t="s">
        <v>822</v>
      </c>
      <c r="U1561" s="1" t="s">
        <v>636</v>
      </c>
      <c r="V1561" s="1" t="s">
        <v>45</v>
      </c>
      <c r="W1561" s="1"/>
      <c r="X1561" s="1"/>
      <c r="Y1561" s="1"/>
      <c r="Z1561" s="1" t="s">
        <v>658</v>
      </c>
      <c r="AA1561" s="1" t="s">
        <v>1171</v>
      </c>
      <c r="AB1561" s="1" t="s">
        <v>46</v>
      </c>
      <c r="AC1561" s="1" t="s">
        <v>46</v>
      </c>
      <c r="AD1561" s="1" t="s">
        <v>1172</v>
      </c>
      <c r="AE1561" s="1" t="s">
        <v>641</v>
      </c>
      <c r="AF1561" s="1" t="s">
        <v>190</v>
      </c>
      <c r="AG1561" s="1">
        <v>4</v>
      </c>
      <c r="AH1561" s="1" t="s">
        <v>190</v>
      </c>
      <c r="AI1561" s="1"/>
      <c r="AJ1561" s="1" t="s">
        <v>1173</v>
      </c>
      <c r="AK1561" s="1" t="s">
        <v>740</v>
      </c>
    </row>
    <row r="1562" spans="1:37">
      <c r="A1562" s="1" t="str">
        <f>VLOOKUP(H1562,Languages!$A$2:$B$430,2,FALSE)</f>
        <v>Nilotic</v>
      </c>
      <c r="B1562" s="1" t="s">
        <v>1750</v>
      </c>
      <c r="C1562" s="1" t="s">
        <v>48</v>
      </c>
      <c r="D1562" s="1" t="s">
        <v>5988</v>
      </c>
      <c r="E1562" s="15" t="s">
        <v>5989</v>
      </c>
      <c r="F1562" s="15" t="s">
        <v>5989</v>
      </c>
      <c r="G1562" s="1" t="s">
        <v>5990</v>
      </c>
      <c r="H1562" s="1" t="str">
        <f>VLOOKUP(G1562,'languoid 4.0'!$A$1:$I$24439,2,FALSE)</f>
        <v>nilo1247</v>
      </c>
      <c r="I1562" s="1" t="str">
        <f>VLOOKUP(G1562,'languoid 4.0'!$A$1:$I$24439,6,FALSE)</f>
        <v>language</v>
      </c>
      <c r="J1562" s="15" t="s">
        <v>38</v>
      </c>
      <c r="K1562" s="15" t="s">
        <v>38</v>
      </c>
      <c r="L1562" s="15" t="s">
        <v>38</v>
      </c>
      <c r="M1562" s="1"/>
      <c r="N1562" s="1" t="e">
        <v>#N/A</v>
      </c>
      <c r="O1562" s="15" t="s">
        <v>40</v>
      </c>
      <c r="P1562" s="15" t="s">
        <v>41</v>
      </c>
      <c r="Q1562" s="1" t="s">
        <v>5991</v>
      </c>
      <c r="R1562" s="2" t="s">
        <v>5992</v>
      </c>
      <c r="S1562" s="1" t="s">
        <v>46</v>
      </c>
      <c r="T1562" s="1" t="s">
        <v>635</v>
      </c>
      <c r="U1562" s="1" t="s">
        <v>636</v>
      </c>
      <c r="V1562" s="1" t="s">
        <v>45</v>
      </c>
      <c r="W1562" s="1"/>
      <c r="X1562" s="1"/>
      <c r="Y1562" s="1"/>
      <c r="Z1562" s="1" t="s">
        <v>673</v>
      </c>
      <c r="AA1562" s="1" t="s">
        <v>46</v>
      </c>
      <c r="AB1562" s="1" t="s">
        <v>5993</v>
      </c>
      <c r="AC1562" s="1" t="s">
        <v>46</v>
      </c>
      <c r="AD1562" s="1"/>
      <c r="AE1562" s="1" t="s">
        <v>641</v>
      </c>
      <c r="AF1562" s="1" t="s">
        <v>190</v>
      </c>
      <c r="AG1562" s="1">
        <v>6</v>
      </c>
      <c r="AH1562" s="1" t="s">
        <v>190</v>
      </c>
      <c r="AI1562" s="1"/>
      <c r="AJ1562" s="1" t="s">
        <v>5994</v>
      </c>
      <c r="AK1562" s="1" t="s">
        <v>5542</v>
      </c>
    </row>
    <row r="1563" spans="1:37">
      <c r="A1563" s="1" t="str">
        <f>VLOOKUP(H1563,Languages!$A$2:$B$430,2,FALSE)</f>
        <v>Nilotic</v>
      </c>
      <c r="B1563" s="1" t="s">
        <v>1750</v>
      </c>
      <c r="C1563" s="1" t="s">
        <v>48</v>
      </c>
      <c r="D1563" s="1" t="s">
        <v>7084</v>
      </c>
      <c r="E1563" s="15" t="s">
        <v>5990</v>
      </c>
      <c r="F1563" s="15" t="s">
        <v>5990</v>
      </c>
      <c r="G1563" s="1" t="s">
        <v>5990</v>
      </c>
      <c r="H1563" s="1" t="str">
        <f>VLOOKUP(G1563,'languoid 4.0'!$A$1:$I$24439,2,FALSE)</f>
        <v>nilo1247</v>
      </c>
      <c r="I1563" s="1" t="str">
        <f>VLOOKUP(G1563,'languoid 4.0'!$A$1:$I$24439,6,FALSE)</f>
        <v>language</v>
      </c>
      <c r="J1563" s="15" t="s">
        <v>38</v>
      </c>
      <c r="K1563" s="15" t="s">
        <v>38</v>
      </c>
      <c r="L1563" s="15" t="s">
        <v>38</v>
      </c>
      <c r="M1563" s="1"/>
      <c r="N1563" s="1" t="s">
        <v>7079</v>
      </c>
      <c r="O1563" s="15" t="s">
        <v>40</v>
      </c>
      <c r="P1563" s="15" t="s">
        <v>41</v>
      </c>
      <c r="Q1563" s="1" t="s">
        <v>7085</v>
      </c>
      <c r="R1563" s="2" t="s">
        <v>7086</v>
      </c>
      <c r="S1563" s="1" t="s">
        <v>46</v>
      </c>
      <c r="T1563" s="1" t="s">
        <v>1007</v>
      </c>
      <c r="U1563" s="1" t="s">
        <v>7087</v>
      </c>
      <c r="V1563" s="1" t="s">
        <v>45</v>
      </c>
      <c r="W1563" s="1"/>
      <c r="X1563" s="1"/>
      <c r="Y1563" s="1"/>
      <c r="Z1563" s="1" t="s">
        <v>637</v>
      </c>
      <c r="AA1563" s="1" t="s">
        <v>7088</v>
      </c>
      <c r="AB1563" s="1" t="s">
        <v>7089</v>
      </c>
      <c r="AC1563" s="1" t="s">
        <v>46</v>
      </c>
      <c r="AD1563" s="1"/>
      <c r="AE1563" s="1" t="s">
        <v>641</v>
      </c>
      <c r="AF1563" s="1" t="s">
        <v>190</v>
      </c>
      <c r="AG1563" s="1">
        <v>6</v>
      </c>
      <c r="AH1563" s="1" t="s">
        <v>190</v>
      </c>
      <c r="AI1563" s="1"/>
      <c r="AJ1563" s="3">
        <v>43198.500543981485</v>
      </c>
      <c r="AK1563" s="1" t="s">
        <v>5542</v>
      </c>
    </row>
    <row r="1564" spans="1:37">
      <c r="A1564" s="1" t="str">
        <f>VLOOKUP(H1564,Languages!$A$2:$B$430,2,FALSE)</f>
        <v>Nilotic</v>
      </c>
      <c r="B1564" s="1" t="s">
        <v>1750</v>
      </c>
      <c r="C1564" s="1" t="s">
        <v>214</v>
      </c>
      <c r="D1564" s="1" t="s">
        <v>1855</v>
      </c>
      <c r="E1564" s="15" t="s">
        <v>1856</v>
      </c>
      <c r="F1564" s="15" t="s">
        <v>1856</v>
      </c>
      <c r="G1564" s="1" t="s">
        <v>1856</v>
      </c>
      <c r="H1564" s="1" t="str">
        <f>VLOOKUP(G1564,'languoid 4.0'!$A$1:$I$24439,2,FALSE)</f>
        <v>nilo1247</v>
      </c>
      <c r="I1564" s="1" t="str">
        <f>VLOOKUP(G1564,'languoid 4.0'!$A$1:$I$24439,6,FALSE)</f>
        <v>language</v>
      </c>
      <c r="J1564" s="15" t="s">
        <v>38</v>
      </c>
      <c r="K1564" s="15" t="s">
        <v>38</v>
      </c>
      <c r="L1564" s="15" t="s">
        <v>38</v>
      </c>
      <c r="M1564" s="1"/>
      <c r="N1564" s="1" t="s">
        <v>1857</v>
      </c>
      <c r="O1564" s="15" t="s">
        <v>40</v>
      </c>
      <c r="P1564" s="15" t="s">
        <v>41</v>
      </c>
      <c r="Q1564" s="1" t="s">
        <v>1858</v>
      </c>
      <c r="R1564" s="2" t="s">
        <v>1859</v>
      </c>
      <c r="S1564" s="1" t="s">
        <v>1021</v>
      </c>
      <c r="T1564" s="1" t="s">
        <v>1007</v>
      </c>
      <c r="U1564" s="1" t="s">
        <v>636</v>
      </c>
      <c r="V1564" s="1" t="s">
        <v>45</v>
      </c>
      <c r="W1564" s="1"/>
      <c r="X1564" s="1"/>
      <c r="Y1564" s="1"/>
      <c r="Z1564" s="1" t="s">
        <v>637</v>
      </c>
      <c r="AA1564" s="1" t="s">
        <v>1860</v>
      </c>
      <c r="AB1564" s="1" t="s">
        <v>1861</v>
      </c>
      <c r="AC1564" s="1" t="s">
        <v>1021</v>
      </c>
      <c r="AD1564" s="1" t="s">
        <v>1862</v>
      </c>
      <c r="AE1564" s="1" t="s">
        <v>641</v>
      </c>
      <c r="AF1564" s="1" t="s">
        <v>190</v>
      </c>
      <c r="AG1564" s="1">
        <v>6</v>
      </c>
      <c r="AH1564" s="1" t="s">
        <v>190</v>
      </c>
      <c r="AI1564" s="1"/>
      <c r="AJ1564" s="3">
        <v>43437.500381944446</v>
      </c>
      <c r="AK1564" s="1" t="s">
        <v>740</v>
      </c>
    </row>
    <row r="1565" spans="1:37">
      <c r="A1565" s="1" t="str">
        <f>VLOOKUP(H1565,Languages!$A$2:$B$430,2,FALSE)</f>
        <v>Nilotic</v>
      </c>
      <c r="B1565" s="1" t="s">
        <v>1750</v>
      </c>
      <c r="C1565" s="1" t="s">
        <v>214</v>
      </c>
      <c r="D1565" s="1" t="s">
        <v>1873</v>
      </c>
      <c r="E1565" s="15" t="s">
        <v>1874</v>
      </c>
      <c r="F1565" s="15" t="s">
        <v>1148</v>
      </c>
      <c r="G1565" s="1" t="s">
        <v>1874</v>
      </c>
      <c r="H1565" s="1" t="str">
        <f>VLOOKUP(G1565,'languoid 4.0'!$A$1:$I$24439,2,FALSE)</f>
        <v>nilo1247</v>
      </c>
      <c r="I1565" s="1" t="str">
        <f>VLOOKUP(G1565,'languoid 4.0'!$A$1:$I$24439,6,FALSE)</f>
        <v>dialect</v>
      </c>
      <c r="J1565" s="15" t="s">
        <v>52</v>
      </c>
      <c r="K1565" s="15" t="s">
        <v>38</v>
      </c>
      <c r="L1565" s="15" t="s">
        <v>38</v>
      </c>
      <c r="M1565" s="1"/>
      <c r="N1565" s="1"/>
      <c r="O1565" s="15" t="s">
        <v>40</v>
      </c>
      <c r="P1565" s="15" t="s">
        <v>41</v>
      </c>
      <c r="Q1565" s="1" t="s">
        <v>1888</v>
      </c>
      <c r="R1565" s="2" t="s">
        <v>1889</v>
      </c>
      <c r="S1565" s="1" t="s">
        <v>1021</v>
      </c>
      <c r="T1565" s="1" t="s">
        <v>822</v>
      </c>
      <c r="U1565" s="1" t="s">
        <v>636</v>
      </c>
      <c r="V1565" s="1" t="s">
        <v>45</v>
      </c>
      <c r="W1565" s="1"/>
      <c r="X1565" s="1"/>
      <c r="Y1565" s="1"/>
      <c r="Z1565" s="1" t="s">
        <v>673</v>
      </c>
      <c r="AA1565" s="1" t="s">
        <v>1021</v>
      </c>
      <c r="AB1565" s="1" t="s">
        <v>1890</v>
      </c>
      <c r="AC1565" s="1" t="s">
        <v>1021</v>
      </c>
      <c r="AD1565" s="1"/>
      <c r="AE1565" s="1" t="s">
        <v>641</v>
      </c>
      <c r="AF1565" s="1" t="s">
        <v>190</v>
      </c>
      <c r="AG1565" s="1">
        <v>5</v>
      </c>
      <c r="AH1565" s="1" t="s">
        <v>190</v>
      </c>
      <c r="AI1565" s="1"/>
      <c r="AJ1565" s="3">
        <v>43437.519583333335</v>
      </c>
      <c r="AK1565" s="1" t="s">
        <v>740</v>
      </c>
    </row>
    <row r="1566" spans="1:37">
      <c r="A1566" s="1" t="str">
        <f>VLOOKUP(H1566,Languages!$A$2:$B$430,2,FALSE)</f>
        <v>Nilotic</v>
      </c>
      <c r="B1566" s="1" t="s">
        <v>1750</v>
      </c>
      <c r="C1566" s="1" t="s">
        <v>214</v>
      </c>
      <c r="D1566" s="1" t="s">
        <v>1146</v>
      </c>
      <c r="E1566" s="15" t="s">
        <v>1147</v>
      </c>
      <c r="F1566" s="15" t="s">
        <v>1148</v>
      </c>
      <c r="G1566" s="1" t="s">
        <v>1147</v>
      </c>
      <c r="H1566" s="1" t="str">
        <f>VLOOKUP(G1566,'languoid 4.0'!$A$1:$I$24439,2,FALSE)</f>
        <v>nilo1247</v>
      </c>
      <c r="I1566" s="1" t="str">
        <f>VLOOKUP(G1566,'languoid 4.0'!$A$1:$I$24439,6,FALSE)</f>
        <v>dialect</v>
      </c>
      <c r="J1566" s="15" t="s">
        <v>52</v>
      </c>
      <c r="K1566" s="15" t="s">
        <v>38</v>
      </c>
      <c r="L1566" s="15" t="s">
        <v>38</v>
      </c>
      <c r="M1566" s="1"/>
      <c r="N1566" s="1"/>
      <c r="O1566" s="15" t="s">
        <v>40</v>
      </c>
      <c r="P1566" s="15" t="s">
        <v>41</v>
      </c>
      <c r="Q1566" s="1" t="s">
        <v>2159</v>
      </c>
      <c r="R1566" s="2" t="s">
        <v>2160</v>
      </c>
      <c r="S1566" s="1" t="s">
        <v>1021</v>
      </c>
      <c r="T1566" s="1" t="s">
        <v>822</v>
      </c>
      <c r="U1566" s="1" t="s">
        <v>636</v>
      </c>
      <c r="V1566" s="1" t="s">
        <v>45</v>
      </c>
      <c r="W1566" s="1"/>
      <c r="X1566" s="1"/>
      <c r="Y1566" s="1"/>
      <c r="Z1566" s="1" t="s">
        <v>1151</v>
      </c>
      <c r="AA1566" s="1" t="s">
        <v>1021</v>
      </c>
      <c r="AB1566" s="1" t="s">
        <v>2161</v>
      </c>
      <c r="AC1566" s="1" t="s">
        <v>2162</v>
      </c>
      <c r="AD1566" s="1" t="s">
        <v>2163</v>
      </c>
      <c r="AE1566" s="1" t="s">
        <v>641</v>
      </c>
      <c r="AF1566" s="1" t="s">
        <v>190</v>
      </c>
      <c r="AG1566" s="1">
        <v>6</v>
      </c>
      <c r="AH1566" s="1" t="s">
        <v>190</v>
      </c>
      <c r="AI1566" s="1"/>
      <c r="AJ1566" s="1" t="s">
        <v>2164</v>
      </c>
      <c r="AK1566" s="1" t="s">
        <v>740</v>
      </c>
    </row>
    <row r="1567" spans="1:37">
      <c r="A1567" s="1" t="str">
        <f>VLOOKUP(H1567,Languages!$A$2:$B$430,2,FALSE)</f>
        <v>Nilotic</v>
      </c>
      <c r="B1567" s="1" t="s">
        <v>1750</v>
      </c>
      <c r="C1567" s="1" t="s">
        <v>214</v>
      </c>
      <c r="D1567" s="1" t="s">
        <v>3238</v>
      </c>
      <c r="E1567" s="15" t="s">
        <v>3239</v>
      </c>
      <c r="F1567" s="15" t="s">
        <v>3240</v>
      </c>
      <c r="G1567" s="1" t="s">
        <v>3239</v>
      </c>
      <c r="H1567" s="1" t="str">
        <f>VLOOKUP(G1567,'languoid 4.0'!$A$1:$I$24439,2,FALSE)</f>
        <v>nilo1247</v>
      </c>
      <c r="I1567" s="1" t="str">
        <f>VLOOKUP(G1567,'languoid 4.0'!$A$1:$I$24439,6,FALSE)</f>
        <v>language</v>
      </c>
      <c r="J1567" s="15" t="s">
        <v>52</v>
      </c>
      <c r="K1567" s="15" t="s">
        <v>38</v>
      </c>
      <c r="L1567" s="15" t="s">
        <v>38</v>
      </c>
      <c r="M1567" s="1"/>
      <c r="N1567" s="1" t="s">
        <v>3241</v>
      </c>
      <c r="O1567" s="15" t="s">
        <v>40</v>
      </c>
      <c r="P1567" s="15" t="s">
        <v>41</v>
      </c>
      <c r="Q1567" s="1" t="s">
        <v>3280</v>
      </c>
      <c r="R1567" s="2" t="s">
        <v>3281</v>
      </c>
      <c r="S1567" s="1" t="s">
        <v>46</v>
      </c>
      <c r="T1567" s="1" t="s">
        <v>635</v>
      </c>
      <c r="U1567" s="1" t="s">
        <v>1268</v>
      </c>
      <c r="V1567" s="1" t="s">
        <v>45</v>
      </c>
      <c r="W1567" s="1"/>
      <c r="X1567" s="1"/>
      <c r="Y1567" s="1"/>
      <c r="Z1567" s="1" t="s">
        <v>637</v>
      </c>
      <c r="AA1567" s="1" t="s">
        <v>3282</v>
      </c>
      <c r="AB1567" s="1" t="s">
        <v>3283</v>
      </c>
      <c r="AC1567" s="1" t="s">
        <v>46</v>
      </c>
      <c r="AD1567" s="1"/>
      <c r="AE1567" s="1" t="s">
        <v>641</v>
      </c>
      <c r="AF1567" s="1" t="s">
        <v>190</v>
      </c>
      <c r="AG1567" s="1">
        <v>6</v>
      </c>
      <c r="AH1567" s="1" t="s">
        <v>190</v>
      </c>
      <c r="AI1567" s="1"/>
      <c r="AJ1567" s="1" t="s">
        <v>3284</v>
      </c>
      <c r="AK1567" s="1" t="s">
        <v>3060</v>
      </c>
    </row>
    <row r="1568" spans="1:37">
      <c r="A1568" s="1" t="str">
        <f>VLOOKUP(H1568,Languages!$A$2:$B$430,2,FALSE)</f>
        <v>Nilotic</v>
      </c>
      <c r="B1568" s="1" t="s">
        <v>1750</v>
      </c>
      <c r="C1568" s="1" t="s">
        <v>214</v>
      </c>
      <c r="D1568" s="1" t="s">
        <v>3285</v>
      </c>
      <c r="E1568" s="15" t="s">
        <v>945</v>
      </c>
      <c r="F1568" s="15" t="s">
        <v>945</v>
      </c>
      <c r="G1568" s="1" t="s">
        <v>945</v>
      </c>
      <c r="H1568" s="1" t="str">
        <f>VLOOKUP(G1568,'languoid 4.0'!$A$1:$I$24439,2,FALSE)</f>
        <v>nilo1247</v>
      </c>
      <c r="I1568" s="1" t="str">
        <f>VLOOKUP(G1568,'languoid 4.0'!$A$1:$I$24439,6,FALSE)</f>
        <v>language</v>
      </c>
      <c r="J1568" s="15" t="s">
        <v>38</v>
      </c>
      <c r="K1568" s="15" t="s">
        <v>38</v>
      </c>
      <c r="L1568" s="15" t="s">
        <v>38</v>
      </c>
      <c r="M1568" s="1"/>
      <c r="N1568" s="1" t="s">
        <v>946</v>
      </c>
      <c r="O1568" s="15" t="s">
        <v>40</v>
      </c>
      <c r="P1568" s="15" t="s">
        <v>41</v>
      </c>
      <c r="Q1568" s="1" t="s">
        <v>3286</v>
      </c>
      <c r="R1568" s="2" t="s">
        <v>3287</v>
      </c>
      <c r="S1568" s="1" t="s">
        <v>46</v>
      </c>
      <c r="T1568" s="1" t="s">
        <v>635</v>
      </c>
      <c r="U1568" s="1" t="s">
        <v>1268</v>
      </c>
      <c r="V1568" s="1" t="s">
        <v>45</v>
      </c>
      <c r="W1568" s="1"/>
      <c r="X1568" s="1"/>
      <c r="Y1568" s="1"/>
      <c r="Z1568" s="1" t="s">
        <v>637</v>
      </c>
      <c r="AA1568" s="1" t="s">
        <v>3288</v>
      </c>
      <c r="AB1568" s="1" t="s">
        <v>3289</v>
      </c>
      <c r="AC1568" s="1" t="s">
        <v>46</v>
      </c>
      <c r="AD1568" s="1"/>
      <c r="AE1568" s="1" t="s">
        <v>641</v>
      </c>
      <c r="AF1568" s="1" t="s">
        <v>190</v>
      </c>
      <c r="AG1568" s="1">
        <v>6</v>
      </c>
      <c r="AH1568" s="1" t="s">
        <v>190</v>
      </c>
      <c r="AI1568" s="1"/>
      <c r="AJ1568" s="1" t="s">
        <v>3290</v>
      </c>
      <c r="AK1568" s="1" t="s">
        <v>3060</v>
      </c>
    </row>
    <row r="1569" spans="1:37">
      <c r="A1569" s="1" t="str">
        <f>VLOOKUP(H1569,Languages!$A$2:$B$430,2,FALSE)</f>
        <v>Nilotic</v>
      </c>
      <c r="B1569" s="1" t="s">
        <v>1750</v>
      </c>
      <c r="C1569" s="1" t="s">
        <v>214</v>
      </c>
      <c r="D1569" s="1" t="s">
        <v>3291</v>
      </c>
      <c r="E1569" s="15" t="s">
        <v>3292</v>
      </c>
      <c r="F1569" s="15" t="s">
        <v>3292</v>
      </c>
      <c r="G1569" s="1" t="s">
        <v>3292</v>
      </c>
      <c r="H1569" s="1" t="str">
        <f>VLOOKUP(G1569,'languoid 4.0'!$A$1:$I$24439,2,FALSE)</f>
        <v>nilo1247</v>
      </c>
      <c r="I1569" s="1" t="str">
        <f>VLOOKUP(G1569,'languoid 4.0'!$A$1:$I$24439,6,FALSE)</f>
        <v>language</v>
      </c>
      <c r="J1569" s="15" t="s">
        <v>38</v>
      </c>
      <c r="K1569" s="15" t="s">
        <v>38</v>
      </c>
      <c r="L1569" s="15" t="s">
        <v>38</v>
      </c>
      <c r="M1569" s="1"/>
      <c r="N1569" s="1" t="s">
        <v>3293</v>
      </c>
      <c r="O1569" s="15" t="s">
        <v>40</v>
      </c>
      <c r="P1569" s="15" t="s">
        <v>41</v>
      </c>
      <c r="Q1569" s="1" t="s">
        <v>3294</v>
      </c>
      <c r="R1569" s="2" t="s">
        <v>3295</v>
      </c>
      <c r="S1569" s="1" t="s">
        <v>46</v>
      </c>
      <c r="T1569" s="1" t="s">
        <v>635</v>
      </c>
      <c r="U1569" s="1" t="s">
        <v>636</v>
      </c>
      <c r="V1569" s="1" t="s">
        <v>45</v>
      </c>
      <c r="W1569" s="1"/>
      <c r="X1569" s="1"/>
      <c r="Y1569" s="1"/>
      <c r="Z1569" s="1" t="s">
        <v>637</v>
      </c>
      <c r="AA1569" s="1" t="s">
        <v>3296</v>
      </c>
      <c r="AB1569" s="1" t="s">
        <v>3297</v>
      </c>
      <c r="AC1569" s="1" t="s">
        <v>46</v>
      </c>
      <c r="AD1569" s="1"/>
      <c r="AE1569" s="1" t="s">
        <v>641</v>
      </c>
      <c r="AF1569" s="1" t="s">
        <v>190</v>
      </c>
      <c r="AG1569" s="1">
        <v>6</v>
      </c>
      <c r="AH1569" s="1" t="s">
        <v>190</v>
      </c>
      <c r="AI1569" s="1"/>
      <c r="AJ1569" s="1" t="s">
        <v>3298</v>
      </c>
      <c r="AK1569" s="1" t="s">
        <v>3060</v>
      </c>
    </row>
    <row r="1570" spans="1:37">
      <c r="A1570" s="1" t="str">
        <f>VLOOKUP(H1570,Languages!$A$2:$B$430,2,FALSE)</f>
        <v>Nilotic</v>
      </c>
      <c r="B1570" s="1" t="s">
        <v>1750</v>
      </c>
      <c r="C1570" s="1" t="s">
        <v>214</v>
      </c>
      <c r="D1570" s="1" t="s">
        <v>922</v>
      </c>
      <c r="E1570" s="15" t="s">
        <v>923</v>
      </c>
      <c r="F1570" s="15" t="s">
        <v>923</v>
      </c>
      <c r="G1570" s="1" t="s">
        <v>923</v>
      </c>
      <c r="H1570" s="1" t="str">
        <f>VLOOKUP(G1570,'languoid 4.0'!$A$1:$I$24439,2,FALSE)</f>
        <v>nilo1247</v>
      </c>
      <c r="I1570" s="1" t="str">
        <f>VLOOKUP(G1570,'languoid 4.0'!$A$1:$I$24439,6,FALSE)</f>
        <v>language</v>
      </c>
      <c r="J1570" s="15" t="s">
        <v>38</v>
      </c>
      <c r="K1570" s="15" t="s">
        <v>38</v>
      </c>
      <c r="L1570" s="15" t="s">
        <v>38</v>
      </c>
      <c r="M1570" s="1"/>
      <c r="N1570" s="1" t="s">
        <v>924</v>
      </c>
      <c r="O1570" s="15" t="s">
        <v>40</v>
      </c>
      <c r="P1570" s="15" t="s">
        <v>41</v>
      </c>
      <c r="Q1570" s="1" t="s">
        <v>3299</v>
      </c>
      <c r="R1570" s="2" t="s">
        <v>3300</v>
      </c>
      <c r="S1570" s="1" t="s">
        <v>46</v>
      </c>
      <c r="T1570" s="1" t="s">
        <v>635</v>
      </c>
      <c r="U1570" s="1" t="s">
        <v>636</v>
      </c>
      <c r="V1570" s="1" t="s">
        <v>45</v>
      </c>
      <c r="W1570" s="1"/>
      <c r="X1570" s="1"/>
      <c r="Y1570" s="1"/>
      <c r="Z1570" s="1" t="s">
        <v>658</v>
      </c>
      <c r="AA1570" s="1" t="s">
        <v>3301</v>
      </c>
      <c r="AB1570" s="1" t="s">
        <v>46</v>
      </c>
      <c r="AC1570" s="1" t="s">
        <v>46</v>
      </c>
      <c r="AD1570" s="1"/>
      <c r="AE1570" s="1" t="s">
        <v>641</v>
      </c>
      <c r="AF1570" s="1" t="s">
        <v>190</v>
      </c>
      <c r="AG1570" s="1">
        <v>3</v>
      </c>
      <c r="AH1570" s="1" t="s">
        <v>190</v>
      </c>
      <c r="AI1570" s="1"/>
      <c r="AJ1570" s="1" t="s">
        <v>3302</v>
      </c>
      <c r="AK1570" s="1" t="s">
        <v>3060</v>
      </c>
    </row>
    <row r="1571" spans="1:37">
      <c r="A1571" s="1" t="str">
        <f>VLOOKUP(H1571,Languages!$A$2:$B$430,2,FALSE)</f>
        <v>Nilotic</v>
      </c>
      <c r="B1571" s="1" t="s">
        <v>1738</v>
      </c>
      <c r="C1571" s="1" t="s">
        <v>214</v>
      </c>
      <c r="D1571" s="1" t="s">
        <v>1873</v>
      </c>
      <c r="E1571" s="15" t="s">
        <v>1874</v>
      </c>
      <c r="F1571" s="15" t="s">
        <v>1148</v>
      </c>
      <c r="G1571" s="1" t="s">
        <v>1874</v>
      </c>
      <c r="H1571" s="1" t="str">
        <f>VLOOKUP(G1571,'languoid 4.0'!$A$1:$I$24439,2,FALSE)</f>
        <v>nilo1247</v>
      </c>
      <c r="I1571" s="1" t="str">
        <f>VLOOKUP(G1571,'languoid 4.0'!$A$1:$I$24439,6,FALSE)</f>
        <v>dialect</v>
      </c>
      <c r="J1571" s="15" t="s">
        <v>52</v>
      </c>
      <c r="K1571" s="15" t="s">
        <v>38</v>
      </c>
      <c r="L1571" s="15" t="s">
        <v>38</v>
      </c>
      <c r="M1571" s="1"/>
      <c r="N1571" s="1"/>
      <c r="O1571" s="15" t="s">
        <v>40</v>
      </c>
      <c r="P1571" s="15" t="s">
        <v>41</v>
      </c>
      <c r="Q1571" s="1" t="s">
        <v>1875</v>
      </c>
      <c r="R1571" s="2" t="s">
        <v>1876</v>
      </c>
      <c r="S1571" s="1" t="s">
        <v>1021</v>
      </c>
      <c r="T1571" s="1" t="s">
        <v>822</v>
      </c>
      <c r="U1571" s="1" t="s">
        <v>1796</v>
      </c>
      <c r="V1571" s="1" t="s">
        <v>45</v>
      </c>
      <c r="W1571" s="1"/>
      <c r="X1571" s="1"/>
      <c r="Y1571" s="1"/>
      <c r="Z1571" s="1" t="s">
        <v>637</v>
      </c>
      <c r="AA1571" s="1" t="s">
        <v>1877</v>
      </c>
      <c r="AB1571" s="1" t="s">
        <v>1878</v>
      </c>
      <c r="AC1571" s="1" t="s">
        <v>1021</v>
      </c>
      <c r="AD1571" s="1" t="s">
        <v>1879</v>
      </c>
      <c r="AE1571" s="1" t="s">
        <v>641</v>
      </c>
      <c r="AF1571" s="1" t="s">
        <v>190</v>
      </c>
      <c r="AG1571" s="1">
        <v>5</v>
      </c>
      <c r="AH1571" s="1" t="s">
        <v>190</v>
      </c>
      <c r="AI1571" s="1"/>
      <c r="AJ1571" s="3">
        <v>43437.51116898148</v>
      </c>
      <c r="AK1571" s="1" t="s">
        <v>740</v>
      </c>
    </row>
    <row r="1572" spans="1:37">
      <c r="A1572" s="1" t="str">
        <f>VLOOKUP(H1572,Languages!$A$2:$B$430,2,FALSE)</f>
        <v>Nilotic</v>
      </c>
      <c r="B1572" s="1" t="s">
        <v>1738</v>
      </c>
      <c r="C1572" s="1" t="s">
        <v>108</v>
      </c>
      <c r="D1572" s="1" t="s">
        <v>944</v>
      </c>
      <c r="E1572" s="15" t="s">
        <v>945</v>
      </c>
      <c r="F1572" s="15" t="s">
        <v>945</v>
      </c>
      <c r="G1572" s="1" t="s">
        <v>945</v>
      </c>
      <c r="H1572" s="1" t="str">
        <f>VLOOKUP(G1572,'languoid 4.0'!$A$1:$I$24439,2,FALSE)</f>
        <v>nilo1247</v>
      </c>
      <c r="I1572" s="1" t="str">
        <f>VLOOKUP(G1572,'languoid 4.0'!$A$1:$I$24439,6,FALSE)</f>
        <v>language</v>
      </c>
      <c r="J1572" s="15" t="s">
        <v>38</v>
      </c>
      <c r="K1572" s="15" t="s">
        <v>38</v>
      </c>
      <c r="L1572" s="15" t="s">
        <v>38</v>
      </c>
      <c r="M1572" s="1"/>
      <c r="N1572" s="1" t="s">
        <v>946</v>
      </c>
      <c r="O1572" s="15" t="s">
        <v>40</v>
      </c>
      <c r="P1572" s="15" t="s">
        <v>41</v>
      </c>
      <c r="Q1572" s="1" t="s">
        <v>6219</v>
      </c>
      <c r="R1572" s="2" t="s">
        <v>6220</v>
      </c>
      <c r="S1572" s="1" t="s">
        <v>46</v>
      </c>
      <c r="T1572" s="1" t="s">
        <v>635</v>
      </c>
      <c r="U1572" s="1" t="s">
        <v>636</v>
      </c>
      <c r="V1572" s="1" t="s">
        <v>45</v>
      </c>
      <c r="W1572" s="1"/>
      <c r="X1572" s="1"/>
      <c r="Y1572" s="1"/>
      <c r="Z1572" s="1" t="s">
        <v>658</v>
      </c>
      <c r="AA1572" s="1" t="s">
        <v>6219</v>
      </c>
      <c r="AB1572" s="1" t="s">
        <v>6221</v>
      </c>
      <c r="AC1572" s="1" t="s">
        <v>46</v>
      </c>
      <c r="AD1572" s="1"/>
      <c r="AE1572" s="1" t="s">
        <v>641</v>
      </c>
      <c r="AF1572" s="1" t="s">
        <v>190</v>
      </c>
      <c r="AG1572" s="1">
        <v>6</v>
      </c>
      <c r="AH1572" s="1" t="s">
        <v>190</v>
      </c>
      <c r="AI1572" s="1"/>
      <c r="AJ1572" s="3">
        <v>43197.893368055556</v>
      </c>
      <c r="AK1572" s="1" t="s">
        <v>5723</v>
      </c>
    </row>
    <row r="1573" spans="1:37">
      <c r="A1573" s="1" t="str">
        <f>VLOOKUP(H1573,Languages!$A$2:$B$430,2,FALSE)</f>
        <v>Nilotic</v>
      </c>
      <c r="B1573" s="1" t="s">
        <v>1812</v>
      </c>
      <c r="C1573" s="1" t="s">
        <v>214</v>
      </c>
      <c r="D1573" s="1" t="s">
        <v>757</v>
      </c>
      <c r="E1573" s="15" t="s">
        <v>216</v>
      </c>
      <c r="F1573" s="15" t="s">
        <v>216</v>
      </c>
      <c r="G1573" s="1" t="s">
        <v>216</v>
      </c>
      <c r="H1573" s="1" t="str">
        <f>VLOOKUP(G1573,'languoid 4.0'!$A$1:$I$24439,2,FALSE)</f>
        <v>nilo1247</v>
      </c>
      <c r="I1573" s="1" t="str">
        <f>VLOOKUP(G1573,'languoid 4.0'!$A$1:$I$24439,6,FALSE)</f>
        <v>language</v>
      </c>
      <c r="J1573" s="15" t="s">
        <v>38</v>
      </c>
      <c r="K1573" s="15" t="s">
        <v>38</v>
      </c>
      <c r="L1573" s="15" t="s">
        <v>38</v>
      </c>
      <c r="M1573" s="1"/>
      <c r="N1573" s="1" t="s">
        <v>217</v>
      </c>
      <c r="O1573" s="15" t="s">
        <v>40</v>
      </c>
      <c r="P1573" s="15" t="s">
        <v>41</v>
      </c>
      <c r="Q1573" s="1" t="s">
        <v>1828</v>
      </c>
      <c r="R1573" s="2" t="s">
        <v>1829</v>
      </c>
      <c r="S1573" s="1" t="s">
        <v>1021</v>
      </c>
      <c r="T1573" s="1" t="s">
        <v>1007</v>
      </c>
      <c r="U1573" s="1" t="s">
        <v>1830</v>
      </c>
      <c r="V1573" s="1" t="s">
        <v>45</v>
      </c>
      <c r="W1573" s="1"/>
      <c r="X1573" s="1"/>
      <c r="Y1573" s="1"/>
      <c r="Z1573" s="1" t="s">
        <v>637</v>
      </c>
      <c r="AA1573" s="1" t="s">
        <v>1831</v>
      </c>
      <c r="AB1573" s="1" t="s">
        <v>1832</v>
      </c>
      <c r="AC1573" s="1" t="s">
        <v>1021</v>
      </c>
      <c r="AD1573" s="1" t="s">
        <v>1833</v>
      </c>
      <c r="AE1573" s="1" t="s">
        <v>641</v>
      </c>
      <c r="AF1573" s="1" t="s">
        <v>190</v>
      </c>
      <c r="AG1573" s="1">
        <v>6</v>
      </c>
      <c r="AH1573" s="1" t="s">
        <v>190</v>
      </c>
      <c r="AI1573" s="1"/>
      <c r="AJ1573" s="3">
        <v>43437.485648148147</v>
      </c>
      <c r="AK1573" s="1" t="s">
        <v>740</v>
      </c>
    </row>
    <row r="1574" spans="1:37">
      <c r="A1574" s="1" t="str">
        <f>VLOOKUP(H1574,Languages!$A$2:$B$430,2,FALSE)</f>
        <v>Nilotic</v>
      </c>
      <c r="B1574" s="1" t="s">
        <v>1707</v>
      </c>
      <c r="C1574" s="1" t="s">
        <v>214</v>
      </c>
      <c r="D1574" s="1" t="s">
        <v>1873</v>
      </c>
      <c r="E1574" s="15" t="s">
        <v>1874</v>
      </c>
      <c r="F1574" s="15" t="s">
        <v>1148</v>
      </c>
      <c r="G1574" s="1" t="s">
        <v>1874</v>
      </c>
      <c r="H1574" s="1" t="str">
        <f>VLOOKUP(G1574,'languoid 4.0'!$A$1:$I$24439,2,FALSE)</f>
        <v>nilo1247</v>
      </c>
      <c r="I1574" s="1" t="str">
        <f>VLOOKUP(G1574,'languoid 4.0'!$A$1:$I$24439,6,FALSE)</f>
        <v>dialect</v>
      </c>
      <c r="J1574" s="15" t="s">
        <v>52</v>
      </c>
      <c r="K1574" s="15" t="s">
        <v>38</v>
      </c>
      <c r="L1574" s="15" t="s">
        <v>38</v>
      </c>
      <c r="M1574" s="1"/>
      <c r="N1574" s="1"/>
      <c r="O1574" s="15" t="s">
        <v>40</v>
      </c>
      <c r="P1574" s="15" t="s">
        <v>41</v>
      </c>
      <c r="Q1574" s="1" t="s">
        <v>1891</v>
      </c>
      <c r="R1574" s="2" t="s">
        <v>1892</v>
      </c>
      <c r="S1574" s="1" t="s">
        <v>1021</v>
      </c>
      <c r="T1574" s="1" t="s">
        <v>822</v>
      </c>
      <c r="U1574" s="1" t="s">
        <v>636</v>
      </c>
      <c r="V1574" s="1" t="s">
        <v>45</v>
      </c>
      <c r="W1574" s="1"/>
      <c r="X1574" s="1"/>
      <c r="Y1574" s="1"/>
      <c r="Z1574" s="1" t="s">
        <v>1893</v>
      </c>
      <c r="AA1574" s="1" t="s">
        <v>1021</v>
      </c>
      <c r="AB1574" s="1" t="s">
        <v>1021</v>
      </c>
      <c r="AC1574" s="1" t="s">
        <v>1894</v>
      </c>
      <c r="AD1574" s="1"/>
      <c r="AE1574" s="1" t="s">
        <v>641</v>
      </c>
      <c r="AF1574" s="1" t="s">
        <v>190</v>
      </c>
      <c r="AG1574" s="1">
        <v>5</v>
      </c>
      <c r="AH1574" s="1" t="s">
        <v>190</v>
      </c>
      <c r="AI1574" s="1"/>
      <c r="AJ1574" s="3">
        <v>43437.600960648146</v>
      </c>
      <c r="AK1574" s="1" t="s">
        <v>740</v>
      </c>
    </row>
    <row r="1575" spans="1:37">
      <c r="A1575" s="1" t="str">
        <f>VLOOKUP(H1575,Languages!$A$2:$B$430,2,FALSE)</f>
        <v>Nilotic</v>
      </c>
      <c r="B1575" s="1" t="s">
        <v>1707</v>
      </c>
      <c r="C1575" s="1" t="s">
        <v>108</v>
      </c>
      <c r="D1575" s="1" t="s">
        <v>6593</v>
      </c>
      <c r="E1575" s="15" t="s">
        <v>3239</v>
      </c>
      <c r="F1575" s="15" t="s">
        <v>6594</v>
      </c>
      <c r="G1575" s="1" t="s">
        <v>3240</v>
      </c>
      <c r="H1575" s="1" t="str">
        <f>VLOOKUP(G1575,'languoid 4.0'!$A$1:$I$24439,2,FALSE)</f>
        <v>nilo1247</v>
      </c>
      <c r="I1575" s="1" t="str">
        <f>VLOOKUP(G1575,'languoid 4.0'!$A$1:$I$24439,6,FALSE)</f>
        <v>family</v>
      </c>
      <c r="J1575" s="15" t="s">
        <v>52</v>
      </c>
      <c r="K1575" s="15" t="s">
        <v>38</v>
      </c>
      <c r="L1575" s="15" t="s">
        <v>38</v>
      </c>
      <c r="M1575" s="1"/>
      <c r="N1575" s="1" t="s">
        <v>3241</v>
      </c>
      <c r="O1575" s="15" t="s">
        <v>40</v>
      </c>
      <c r="P1575" s="15" t="s">
        <v>41</v>
      </c>
      <c r="Q1575" s="1" t="s">
        <v>6595</v>
      </c>
      <c r="R1575" s="2" t="s">
        <v>6596</v>
      </c>
      <c r="S1575" s="1" t="s">
        <v>46</v>
      </c>
      <c r="T1575" s="1" t="s">
        <v>635</v>
      </c>
      <c r="U1575" s="1" t="s">
        <v>636</v>
      </c>
      <c r="V1575" s="1" t="s">
        <v>45</v>
      </c>
      <c r="W1575" s="1"/>
      <c r="X1575" s="1"/>
      <c r="Y1575" s="1"/>
      <c r="Z1575" s="1" t="s">
        <v>658</v>
      </c>
      <c r="AA1575" s="1" t="s">
        <v>6597</v>
      </c>
      <c r="AB1575" s="1" t="s">
        <v>6598</v>
      </c>
      <c r="AC1575" s="1" t="s">
        <v>46</v>
      </c>
      <c r="AD1575" s="1"/>
      <c r="AE1575" s="1" t="s">
        <v>641</v>
      </c>
      <c r="AF1575" s="1" t="s">
        <v>190</v>
      </c>
      <c r="AG1575" s="1">
        <v>5</v>
      </c>
      <c r="AH1575" s="1" t="s">
        <v>190</v>
      </c>
      <c r="AI1575" s="1"/>
      <c r="AJ1575" s="1" t="s">
        <v>6599</v>
      </c>
      <c r="AK1575" s="1" t="s">
        <v>5723</v>
      </c>
    </row>
    <row r="1576" spans="1:37">
      <c r="A1576" s="1" t="str">
        <f>VLOOKUP(H1576,Languages!$A$2:$B$430,2,FALSE)</f>
        <v>Nuclear Torricelli</v>
      </c>
      <c r="B1576" s="1" t="s">
        <v>59</v>
      </c>
      <c r="C1576" s="1" t="s">
        <v>75</v>
      </c>
      <c r="D1576" s="1" t="s">
        <v>8866</v>
      </c>
      <c r="E1576" s="15" t="s">
        <v>8867</v>
      </c>
      <c r="F1576" s="15" t="s">
        <v>8868</v>
      </c>
      <c r="G1576" s="1" t="s">
        <v>8868</v>
      </c>
      <c r="H1576" s="1" t="str">
        <f>VLOOKUP(G1576,'languoid 4.0'!$A$1:$I$24439,2,FALSE)</f>
        <v>nucl1708</v>
      </c>
      <c r="I1576" s="1" t="str">
        <f>VLOOKUP(G1576,'languoid 4.0'!$A$1:$I$24439,6,FALSE)</f>
        <v>family</v>
      </c>
      <c r="J1576" s="15" t="s">
        <v>52</v>
      </c>
      <c r="K1576" s="15" t="s">
        <v>52</v>
      </c>
      <c r="L1576" s="15" t="s">
        <v>38</v>
      </c>
      <c r="M1576" s="1"/>
      <c r="N1576" s="1" t="s">
        <v>8869</v>
      </c>
      <c r="O1576" s="15" t="s">
        <v>40</v>
      </c>
      <c r="P1576" s="15" t="s">
        <v>41</v>
      </c>
      <c r="Q1576" s="1" t="s">
        <v>8870</v>
      </c>
      <c r="R1576" s="2" t="s">
        <v>8871</v>
      </c>
      <c r="S1576" s="1" t="s">
        <v>46</v>
      </c>
      <c r="T1576" s="1" t="s">
        <v>648</v>
      </c>
      <c r="U1576" s="1" t="s">
        <v>636</v>
      </c>
      <c r="V1576" s="1" t="s">
        <v>45</v>
      </c>
      <c r="W1576" s="1"/>
      <c r="X1576" s="1"/>
      <c r="Y1576" s="1"/>
      <c r="Z1576" s="1" t="s">
        <v>637</v>
      </c>
      <c r="AA1576" s="1" t="s">
        <v>8872</v>
      </c>
      <c r="AB1576" s="1" t="s">
        <v>8873</v>
      </c>
      <c r="AC1576" s="1" t="s">
        <v>46</v>
      </c>
      <c r="AD1576" s="2" t="s">
        <v>8874</v>
      </c>
      <c r="AE1576" s="1" t="s">
        <v>641</v>
      </c>
      <c r="AF1576" s="1" t="s">
        <v>190</v>
      </c>
      <c r="AG1576" s="1">
        <v>6</v>
      </c>
      <c r="AH1576" s="1" t="s">
        <v>190</v>
      </c>
      <c r="AI1576" s="1"/>
      <c r="AJ1576" s="3">
        <v>43443.780844907407</v>
      </c>
      <c r="AK1576" s="1" t="s">
        <v>5640</v>
      </c>
    </row>
    <row r="1577" spans="1:37">
      <c r="A1577" s="1" t="str">
        <f>VLOOKUP(H1577,Languages!$A$2:$B$430,2,FALSE)</f>
        <v>Nuclear Trans New Guinea</v>
      </c>
      <c r="B1577" s="1" t="s">
        <v>59</v>
      </c>
      <c r="C1577" s="1" t="s">
        <v>75</v>
      </c>
      <c r="D1577" s="1" t="s">
        <v>7676</v>
      </c>
      <c r="E1577" s="15" t="s">
        <v>5602</v>
      </c>
      <c r="F1577" s="15" t="s">
        <v>5602</v>
      </c>
      <c r="G1577" s="1" t="s">
        <v>5602</v>
      </c>
      <c r="H1577" s="1" t="str">
        <f>VLOOKUP(G1577,'languoid 4.0'!$A$1:$I$24439,2,FALSE)</f>
        <v>nucl1709</v>
      </c>
      <c r="I1577" s="1" t="str">
        <f>VLOOKUP(G1577,'languoid 4.0'!$A$1:$I$24439,6,FALSE)</f>
        <v>language</v>
      </c>
      <c r="J1577" s="15" t="s">
        <v>38</v>
      </c>
      <c r="K1577" s="15" t="s">
        <v>38</v>
      </c>
      <c r="L1577" s="15" t="s">
        <v>38</v>
      </c>
      <c r="M1577" s="1"/>
      <c r="N1577" s="1" t="s">
        <v>5603</v>
      </c>
      <c r="O1577" s="15" t="s">
        <v>40</v>
      </c>
      <c r="P1577" s="15" t="s">
        <v>41</v>
      </c>
      <c r="Q1577" s="1" t="s">
        <v>5604</v>
      </c>
      <c r="R1577" s="2" t="s">
        <v>7677</v>
      </c>
      <c r="S1577" s="1" t="s">
        <v>46</v>
      </c>
      <c r="T1577" s="1" t="s">
        <v>635</v>
      </c>
      <c r="U1577" s="1" t="s">
        <v>636</v>
      </c>
      <c r="V1577" s="1" t="s">
        <v>45</v>
      </c>
      <c r="W1577" s="1"/>
      <c r="X1577" s="1"/>
      <c r="Y1577" s="1"/>
      <c r="Z1577" s="1" t="s">
        <v>658</v>
      </c>
      <c r="AA1577" s="1" t="s">
        <v>7678</v>
      </c>
      <c r="AB1577" s="1" t="s">
        <v>46</v>
      </c>
      <c r="AC1577" s="1" t="s">
        <v>46</v>
      </c>
      <c r="AD1577" s="1" t="s">
        <v>7679</v>
      </c>
      <c r="AE1577" s="1" t="s">
        <v>641</v>
      </c>
      <c r="AF1577" s="1" t="s">
        <v>190</v>
      </c>
      <c r="AG1577" s="1">
        <v>6</v>
      </c>
      <c r="AH1577" s="1" t="s">
        <v>190</v>
      </c>
      <c r="AI1577" s="1"/>
      <c r="AJ1577" s="1" t="s">
        <v>7680</v>
      </c>
      <c r="AK1577" s="1" t="s">
        <v>5640</v>
      </c>
    </row>
    <row r="1578" spans="1:37">
      <c r="A1578" s="1" t="str">
        <f>VLOOKUP(H1578,Languages!$A$2:$B$430,2,FALSE)</f>
        <v>Nuclear Trans New Guinea</v>
      </c>
      <c r="B1578" s="1" t="s">
        <v>59</v>
      </c>
      <c r="C1578" s="1" t="s">
        <v>75</v>
      </c>
      <c r="D1578" s="1" t="s">
        <v>7741</v>
      </c>
      <c r="E1578" s="15" t="s">
        <v>5648</v>
      </c>
      <c r="F1578" s="15" t="s">
        <v>5649</v>
      </c>
      <c r="G1578" s="1" t="s">
        <v>5648</v>
      </c>
      <c r="H1578" s="1" t="str">
        <f>VLOOKUP(G1578,'languoid 4.0'!$A$1:$I$24439,2,FALSE)</f>
        <v>nucl1709</v>
      </c>
      <c r="I1578" s="1" t="str">
        <f>VLOOKUP(G1578,'languoid 4.0'!$A$1:$I$24439,6,FALSE)</f>
        <v>family</v>
      </c>
      <c r="J1578" s="15" t="s">
        <v>52</v>
      </c>
      <c r="K1578" s="15" t="s">
        <v>38</v>
      </c>
      <c r="L1578" s="15" t="s">
        <v>38</v>
      </c>
      <c r="M1578" s="1"/>
      <c r="N1578" s="1"/>
      <c r="O1578" s="15" t="s">
        <v>40</v>
      </c>
      <c r="P1578" s="15" t="s">
        <v>41</v>
      </c>
      <c r="Q1578" s="1" t="s">
        <v>5650</v>
      </c>
      <c r="R1578" s="2" t="s">
        <v>7742</v>
      </c>
      <c r="S1578" s="1" t="s">
        <v>46</v>
      </c>
      <c r="T1578" s="1" t="s">
        <v>635</v>
      </c>
      <c r="U1578" s="1" t="s">
        <v>636</v>
      </c>
      <c r="V1578" s="1" t="s">
        <v>45</v>
      </c>
      <c r="W1578" s="1"/>
      <c r="X1578" s="1"/>
      <c r="Y1578" s="1"/>
      <c r="Z1578" s="1" t="s">
        <v>658</v>
      </c>
      <c r="AA1578" s="1" t="s">
        <v>7743</v>
      </c>
      <c r="AB1578" s="1" t="s">
        <v>46</v>
      </c>
      <c r="AC1578" s="1" t="s">
        <v>46</v>
      </c>
      <c r="AD1578" s="1" t="s">
        <v>7744</v>
      </c>
      <c r="AE1578" s="1" t="s">
        <v>641</v>
      </c>
      <c r="AF1578" s="1" t="s">
        <v>190</v>
      </c>
      <c r="AG1578" s="1">
        <v>6</v>
      </c>
      <c r="AH1578" s="1" t="s">
        <v>190</v>
      </c>
      <c r="AI1578" s="1"/>
      <c r="AJ1578" s="1" t="s">
        <v>7745</v>
      </c>
      <c r="AK1578" s="1" t="s">
        <v>5640</v>
      </c>
    </row>
    <row r="1579" spans="1:37">
      <c r="A1579" s="1" t="str">
        <f>VLOOKUP(H1579,Languages!$A$2:$B$430,2,FALSE)</f>
        <v>Nuclear Trans New Guinea</v>
      </c>
      <c r="B1579" s="1" t="s">
        <v>59</v>
      </c>
      <c r="C1579" s="1" t="s">
        <v>117</v>
      </c>
      <c r="D1579" s="1" t="s">
        <v>5601</v>
      </c>
      <c r="E1579" s="15" t="s">
        <v>5602</v>
      </c>
      <c r="F1579" s="15" t="s">
        <v>5602</v>
      </c>
      <c r="G1579" s="1" t="s">
        <v>5602</v>
      </c>
      <c r="H1579" s="1" t="str">
        <f>VLOOKUP(G1579,'languoid 4.0'!$A$1:$I$24439,2,FALSE)</f>
        <v>nucl1709</v>
      </c>
      <c r="I1579" s="1" t="str">
        <f>VLOOKUP(G1579,'languoid 4.0'!$A$1:$I$24439,6,FALSE)</f>
        <v>language</v>
      </c>
      <c r="J1579" s="15" t="s">
        <v>38</v>
      </c>
      <c r="K1579" s="15" t="s">
        <v>38</v>
      </c>
      <c r="L1579" s="15" t="s">
        <v>38</v>
      </c>
      <c r="M1579" s="1"/>
      <c r="N1579" s="1" t="s">
        <v>5603</v>
      </c>
      <c r="O1579" s="15" t="s">
        <v>40</v>
      </c>
      <c r="P1579" s="15" t="s">
        <v>41</v>
      </c>
      <c r="Q1579" s="1" t="s">
        <v>5604</v>
      </c>
      <c r="R1579" s="2" t="s">
        <v>4512</v>
      </c>
      <c r="S1579" s="1" t="s">
        <v>46</v>
      </c>
      <c r="T1579" s="1" t="s">
        <v>635</v>
      </c>
      <c r="U1579" s="1" t="s">
        <v>636</v>
      </c>
      <c r="V1579" s="1" t="s">
        <v>45</v>
      </c>
      <c r="W1579" s="1"/>
      <c r="X1579" s="1"/>
      <c r="Y1579" s="1"/>
      <c r="Z1579" s="1" t="s">
        <v>658</v>
      </c>
      <c r="AA1579" s="1" t="s">
        <v>5605</v>
      </c>
      <c r="AB1579" s="1" t="s">
        <v>46</v>
      </c>
      <c r="AC1579" s="1" t="s">
        <v>46</v>
      </c>
      <c r="AD1579" s="1" t="s">
        <v>5606</v>
      </c>
      <c r="AE1579" s="1" t="s">
        <v>641</v>
      </c>
      <c r="AF1579" s="1" t="s">
        <v>190</v>
      </c>
      <c r="AG1579" s="1">
        <v>6</v>
      </c>
      <c r="AH1579" s="1" t="s">
        <v>190</v>
      </c>
      <c r="AI1579" s="1"/>
      <c r="AJ1579" s="1" t="s">
        <v>5607</v>
      </c>
      <c r="AK1579" s="1" t="s">
        <v>4268</v>
      </c>
    </row>
    <row r="1580" spans="1:37">
      <c r="A1580" s="1" t="str">
        <f>VLOOKUP(H1580,Languages!$A$2:$B$430,2,FALSE)</f>
        <v>Nuclear Trans New Guinea</v>
      </c>
      <c r="B1580" s="1" t="s">
        <v>59</v>
      </c>
      <c r="C1580" s="1" t="s">
        <v>117</v>
      </c>
      <c r="D1580" s="1" t="s">
        <v>5647</v>
      </c>
      <c r="E1580" s="15" t="s">
        <v>5648</v>
      </c>
      <c r="F1580" s="15" t="s">
        <v>5649</v>
      </c>
      <c r="G1580" s="1" t="s">
        <v>5649</v>
      </c>
      <c r="H1580" s="1" t="str">
        <f>VLOOKUP(G1580,'languoid 4.0'!$A$1:$I$24439,2,FALSE)</f>
        <v>nucl1709</v>
      </c>
      <c r="I1580" s="1" t="str">
        <f>VLOOKUP(G1580,'languoid 4.0'!$A$1:$I$24439,6,FALSE)</f>
        <v>language</v>
      </c>
      <c r="J1580" s="15" t="s">
        <v>52</v>
      </c>
      <c r="K1580" s="15" t="s">
        <v>38</v>
      </c>
      <c r="L1580" s="15" t="s">
        <v>38</v>
      </c>
      <c r="M1580" s="1"/>
      <c r="N1580" s="1"/>
      <c r="O1580" s="15" t="s">
        <v>40</v>
      </c>
      <c r="P1580" s="15" t="s">
        <v>41</v>
      </c>
      <c r="Q1580" s="1" t="s">
        <v>5650</v>
      </c>
      <c r="R1580" s="2" t="s">
        <v>4512</v>
      </c>
      <c r="S1580" s="1" t="s">
        <v>46</v>
      </c>
      <c r="T1580" s="1" t="s">
        <v>635</v>
      </c>
      <c r="U1580" s="1" t="s">
        <v>636</v>
      </c>
      <c r="V1580" s="1" t="s">
        <v>45</v>
      </c>
      <c r="W1580" s="1"/>
      <c r="X1580" s="1"/>
      <c r="Y1580" s="1"/>
      <c r="Z1580" s="1" t="s">
        <v>637</v>
      </c>
      <c r="AA1580" s="1" t="s">
        <v>5651</v>
      </c>
      <c r="AB1580" s="1" t="s">
        <v>5652</v>
      </c>
      <c r="AC1580" s="1" t="s">
        <v>46</v>
      </c>
      <c r="AD1580" s="1" t="s">
        <v>5653</v>
      </c>
      <c r="AE1580" s="1" t="s">
        <v>641</v>
      </c>
      <c r="AF1580" s="1" t="s">
        <v>190</v>
      </c>
      <c r="AG1580" s="1">
        <v>3</v>
      </c>
      <c r="AH1580" s="1" t="s">
        <v>190</v>
      </c>
      <c r="AI1580" s="1"/>
      <c r="AJ1580" s="1" t="s">
        <v>5654</v>
      </c>
      <c r="AK1580" s="1" t="s">
        <v>4268</v>
      </c>
    </row>
    <row r="1581" spans="1:37">
      <c r="A1581" s="1" t="str">
        <f>VLOOKUP(H1581,Languages!$A$2:$B$430,2,FALSE)</f>
        <v>Nuclear Trans New Guinea</v>
      </c>
      <c r="B1581" s="1" t="s">
        <v>109</v>
      </c>
      <c r="C1581" s="1" t="s">
        <v>75</v>
      </c>
      <c r="D1581" s="1" t="s">
        <v>375</v>
      </c>
      <c r="E1581" s="15" t="s">
        <v>376</v>
      </c>
      <c r="F1581" s="15" t="s">
        <v>376</v>
      </c>
      <c r="G1581" s="1" t="s">
        <v>376</v>
      </c>
      <c r="H1581" s="1" t="str">
        <f>VLOOKUP(G1581,'languoid 4.0'!$A$1:$I$24439,2,FALSE)</f>
        <v>nucl1709</v>
      </c>
      <c r="I1581" s="1" t="str">
        <f>VLOOKUP(G1581,'languoid 4.0'!$A$1:$I$24439,6,FALSE)</f>
        <v>language</v>
      </c>
      <c r="J1581" s="15" t="s">
        <v>38</v>
      </c>
      <c r="K1581" s="15" t="s">
        <v>38</v>
      </c>
      <c r="L1581" s="15" t="s">
        <v>38</v>
      </c>
      <c r="M1581" s="1"/>
      <c r="N1581" s="1" t="s">
        <v>377</v>
      </c>
      <c r="O1581" s="15" t="s">
        <v>40</v>
      </c>
      <c r="P1581" s="15" t="s">
        <v>41</v>
      </c>
      <c r="Q1581" s="1" t="s">
        <v>378</v>
      </c>
      <c r="R1581" s="2" t="s">
        <v>379</v>
      </c>
      <c r="S1581" s="1" t="s">
        <v>46</v>
      </c>
      <c r="T1581" s="1" t="s">
        <v>44</v>
      </c>
      <c r="U1581" s="1"/>
      <c r="V1581" s="1" t="s">
        <v>190</v>
      </c>
      <c r="W1581" s="1" t="s">
        <v>380</v>
      </c>
      <c r="X1581" s="1" t="s">
        <v>381</v>
      </c>
      <c r="Y1581" s="1" t="s">
        <v>382</v>
      </c>
      <c r="Z1581" s="1"/>
      <c r="AA1581" s="1" t="s">
        <v>46</v>
      </c>
      <c r="AB1581" s="1">
        <v>1</v>
      </c>
      <c r="AC1581" s="1" t="s">
        <v>46</v>
      </c>
      <c r="AD1581" s="1"/>
      <c r="AE1581" s="1"/>
      <c r="AF1581" s="1"/>
      <c r="AG1581" s="1"/>
      <c r="AH1581" s="1"/>
      <c r="AI1581" s="1"/>
      <c r="AJ1581" s="3">
        <v>43102.745625000003</v>
      </c>
      <c r="AK1581" s="1" t="s">
        <v>57</v>
      </c>
    </row>
    <row r="1582" spans="1:37">
      <c r="A1582" s="1" t="str">
        <f>VLOOKUP(H1582,Languages!$A$2:$B$430,2,FALSE)</f>
        <v>Nuclear Trans New Guinea</v>
      </c>
      <c r="B1582" s="1" t="s">
        <v>1726</v>
      </c>
      <c r="C1582" s="1" t="s">
        <v>75</v>
      </c>
      <c r="D1582" s="1" t="s">
        <v>7429</v>
      </c>
      <c r="E1582" s="15" t="s">
        <v>51</v>
      </c>
      <c r="F1582" s="15" t="s">
        <v>7430</v>
      </c>
      <c r="G1582" s="1" t="s">
        <v>7430</v>
      </c>
      <c r="H1582" s="1" t="str">
        <f>VLOOKUP(G1582,'languoid 4.0'!$A$1:$I$24439,2,FALSE)</f>
        <v>nucl1709</v>
      </c>
      <c r="I1582" s="1" t="str">
        <f>VLOOKUP(G1582,'languoid 4.0'!$A$1:$I$24439,6,FALSE)</f>
        <v>language</v>
      </c>
      <c r="J1582" s="15" t="s">
        <v>52</v>
      </c>
      <c r="K1582" s="15" t="s">
        <v>51</v>
      </c>
      <c r="L1582" s="15" t="s">
        <v>51</v>
      </c>
      <c r="M1582" s="1"/>
      <c r="N1582" s="1" t="e">
        <v>#N/A</v>
      </c>
      <c r="O1582" s="15" t="s">
        <v>690</v>
      </c>
      <c r="P1582" s="15"/>
      <c r="Q1582" s="1" t="s">
        <v>7431</v>
      </c>
      <c r="R1582" s="2" t="s">
        <v>7432</v>
      </c>
      <c r="S1582" s="1" t="s">
        <v>46</v>
      </c>
      <c r="T1582" s="1" t="s">
        <v>635</v>
      </c>
      <c r="U1582" s="1" t="s">
        <v>636</v>
      </c>
      <c r="V1582" s="1" t="s">
        <v>45</v>
      </c>
      <c r="W1582" s="1"/>
      <c r="X1582" s="1"/>
      <c r="Y1582" s="1"/>
      <c r="Z1582" s="1" t="s">
        <v>637</v>
      </c>
      <c r="AA1582" s="1" t="s">
        <v>7433</v>
      </c>
      <c r="AB1582" s="1" t="s">
        <v>46</v>
      </c>
      <c r="AC1582" s="1" t="s">
        <v>46</v>
      </c>
      <c r="AD1582" s="1" t="s">
        <v>7434</v>
      </c>
      <c r="AE1582" s="1" t="s">
        <v>641</v>
      </c>
      <c r="AF1582" s="1" t="s">
        <v>190</v>
      </c>
      <c r="AG1582" s="1">
        <v>6</v>
      </c>
      <c r="AH1582" s="1" t="s">
        <v>190</v>
      </c>
      <c r="AI1582" s="1"/>
      <c r="AJ1582" s="1" t="s">
        <v>7435</v>
      </c>
      <c r="AK1582" s="1" t="s">
        <v>5640</v>
      </c>
    </row>
    <row r="1583" spans="1:37">
      <c r="A1583" s="1" t="str">
        <f>VLOOKUP(H1583,Languages!$A$2:$B$430,2,FALSE)</f>
        <v>Nuclear Trans New Guinea</v>
      </c>
      <c r="B1583" s="1" t="s">
        <v>1726</v>
      </c>
      <c r="C1583" s="1" t="s">
        <v>75</v>
      </c>
      <c r="D1583" s="1" t="s">
        <v>7676</v>
      </c>
      <c r="E1583" s="15" t="s">
        <v>5602</v>
      </c>
      <c r="F1583" s="15" t="s">
        <v>5602</v>
      </c>
      <c r="G1583" s="1" t="s">
        <v>5602</v>
      </c>
      <c r="H1583" s="1" t="str">
        <f>VLOOKUP(G1583,'languoid 4.0'!$A$1:$I$24439,2,FALSE)</f>
        <v>nucl1709</v>
      </c>
      <c r="I1583" s="1" t="str">
        <f>VLOOKUP(G1583,'languoid 4.0'!$A$1:$I$24439,6,FALSE)</f>
        <v>language</v>
      </c>
      <c r="J1583" s="15" t="s">
        <v>38</v>
      </c>
      <c r="K1583" s="15" t="s">
        <v>38</v>
      </c>
      <c r="L1583" s="15" t="s">
        <v>38</v>
      </c>
      <c r="M1583" s="1"/>
      <c r="N1583" s="1" t="s">
        <v>5603</v>
      </c>
      <c r="O1583" s="15" t="s">
        <v>40</v>
      </c>
      <c r="P1583" s="15" t="s">
        <v>41</v>
      </c>
      <c r="Q1583" s="1" t="s">
        <v>5608</v>
      </c>
      <c r="R1583" s="2" t="s">
        <v>7681</v>
      </c>
      <c r="S1583" s="1" t="s">
        <v>46</v>
      </c>
      <c r="T1583" s="1" t="s">
        <v>635</v>
      </c>
      <c r="U1583" s="1" t="s">
        <v>636</v>
      </c>
      <c r="V1583" s="1" t="s">
        <v>45</v>
      </c>
      <c r="W1583" s="1"/>
      <c r="X1583" s="1"/>
      <c r="Y1583" s="1"/>
      <c r="Z1583" s="1" t="s">
        <v>637</v>
      </c>
      <c r="AA1583" s="1" t="s">
        <v>7682</v>
      </c>
      <c r="AB1583" s="1" t="s">
        <v>46</v>
      </c>
      <c r="AC1583" s="1" t="s">
        <v>46</v>
      </c>
      <c r="AD1583" s="1" t="s">
        <v>7683</v>
      </c>
      <c r="AE1583" s="1" t="s">
        <v>641</v>
      </c>
      <c r="AF1583" s="1" t="s">
        <v>190</v>
      </c>
      <c r="AG1583" s="1">
        <v>6</v>
      </c>
      <c r="AH1583" s="1" t="s">
        <v>190</v>
      </c>
      <c r="AI1583" s="1"/>
      <c r="AJ1583" s="1" t="s">
        <v>7684</v>
      </c>
      <c r="AK1583" s="1" t="s">
        <v>5640</v>
      </c>
    </row>
    <row r="1584" spans="1:37">
      <c r="A1584" s="1" t="str">
        <f>VLOOKUP(H1584,Languages!$A$2:$B$430,2,FALSE)</f>
        <v>Nuclear Trans New Guinea</v>
      </c>
      <c r="B1584" s="1" t="s">
        <v>1726</v>
      </c>
      <c r="C1584" s="1" t="s">
        <v>75</v>
      </c>
      <c r="D1584" s="1" t="s">
        <v>5591</v>
      </c>
      <c r="E1584" s="15" t="s">
        <v>5592</v>
      </c>
      <c r="F1584" s="15" t="s">
        <v>5593</v>
      </c>
      <c r="G1584" s="1" t="s">
        <v>5593</v>
      </c>
      <c r="H1584" s="1" t="str">
        <f>VLOOKUP(G1584,'languoid 4.0'!$A$1:$I$24439,2,FALSE)</f>
        <v>nucl1709</v>
      </c>
      <c r="I1584" s="1" t="str">
        <f>VLOOKUP(G1584,'languoid 4.0'!$A$1:$I$24439,6,FALSE)</f>
        <v>family</v>
      </c>
      <c r="J1584" s="15" t="s">
        <v>52</v>
      </c>
      <c r="K1584" s="15" t="s">
        <v>38</v>
      </c>
      <c r="L1584" s="15" t="s">
        <v>38</v>
      </c>
      <c r="M1584" s="1"/>
      <c r="N1584" s="1" t="s">
        <v>5594</v>
      </c>
      <c r="O1584" s="15" t="s">
        <v>40</v>
      </c>
      <c r="P1584" s="15" t="s">
        <v>41</v>
      </c>
      <c r="Q1584" s="1" t="s">
        <v>7746</v>
      </c>
      <c r="R1584" s="2" t="s">
        <v>7747</v>
      </c>
      <c r="S1584" s="1" t="s">
        <v>46</v>
      </c>
      <c r="T1584" s="1" t="s">
        <v>635</v>
      </c>
      <c r="U1584" s="1" t="s">
        <v>636</v>
      </c>
      <c r="V1584" s="1" t="s">
        <v>45</v>
      </c>
      <c r="W1584" s="1"/>
      <c r="X1584" s="1"/>
      <c r="Y1584" s="1"/>
      <c r="Z1584" s="1" t="s">
        <v>658</v>
      </c>
      <c r="AA1584" s="1" t="s">
        <v>7748</v>
      </c>
      <c r="AB1584" s="1" t="s">
        <v>46</v>
      </c>
      <c r="AC1584" s="1" t="s">
        <v>46</v>
      </c>
      <c r="AD1584" s="1" t="s">
        <v>7749</v>
      </c>
      <c r="AE1584" s="1" t="s">
        <v>641</v>
      </c>
      <c r="AF1584" s="1" t="s">
        <v>190</v>
      </c>
      <c r="AG1584" s="1">
        <v>6</v>
      </c>
      <c r="AH1584" s="1" t="s">
        <v>190</v>
      </c>
      <c r="AI1584" s="1"/>
      <c r="AJ1584" s="1" t="s">
        <v>7750</v>
      </c>
      <c r="AK1584" s="1" t="s">
        <v>5640</v>
      </c>
    </row>
    <row r="1585" spans="1:37">
      <c r="A1585" s="1" t="str">
        <f>VLOOKUP(H1585,Languages!$A$2:$B$430,2,FALSE)</f>
        <v>Nuclear Trans New Guinea</v>
      </c>
      <c r="B1585" s="1" t="s">
        <v>1726</v>
      </c>
      <c r="C1585" s="1" t="s">
        <v>117</v>
      </c>
      <c r="D1585" s="1" t="s">
        <v>5601</v>
      </c>
      <c r="E1585" s="15" t="s">
        <v>5602</v>
      </c>
      <c r="F1585" s="15" t="s">
        <v>5602</v>
      </c>
      <c r="G1585" s="1" t="s">
        <v>5602</v>
      </c>
      <c r="H1585" s="1" t="str">
        <f>VLOOKUP(G1585,'languoid 4.0'!$A$1:$I$24439,2,FALSE)</f>
        <v>nucl1709</v>
      </c>
      <c r="I1585" s="1" t="str">
        <f>VLOOKUP(G1585,'languoid 4.0'!$A$1:$I$24439,6,FALSE)</f>
        <v>language</v>
      </c>
      <c r="J1585" s="15" t="s">
        <v>38</v>
      </c>
      <c r="K1585" s="15" t="s">
        <v>38</v>
      </c>
      <c r="L1585" s="15" t="s">
        <v>38</v>
      </c>
      <c r="M1585" s="1"/>
      <c r="N1585" s="1" t="s">
        <v>5603</v>
      </c>
      <c r="O1585" s="15" t="s">
        <v>40</v>
      </c>
      <c r="P1585" s="15" t="s">
        <v>41</v>
      </c>
      <c r="Q1585" s="1" t="s">
        <v>5608</v>
      </c>
      <c r="R1585" s="2" t="s">
        <v>4512</v>
      </c>
      <c r="S1585" s="1" t="s">
        <v>46</v>
      </c>
      <c r="T1585" s="1" t="s">
        <v>635</v>
      </c>
      <c r="U1585" s="1" t="s">
        <v>636</v>
      </c>
      <c r="V1585" s="1" t="s">
        <v>45</v>
      </c>
      <c r="W1585" s="1"/>
      <c r="X1585" s="1"/>
      <c r="Y1585" s="1"/>
      <c r="Z1585" s="1" t="s">
        <v>637</v>
      </c>
      <c r="AA1585" s="1" t="s">
        <v>5609</v>
      </c>
      <c r="AB1585" s="1" t="s">
        <v>5610</v>
      </c>
      <c r="AC1585" s="1" t="s">
        <v>46</v>
      </c>
      <c r="AD1585" s="1" t="s">
        <v>5611</v>
      </c>
      <c r="AE1585" s="1" t="s">
        <v>641</v>
      </c>
      <c r="AF1585" s="1" t="s">
        <v>190</v>
      </c>
      <c r="AG1585" s="1">
        <v>6</v>
      </c>
      <c r="AH1585" s="1" t="s">
        <v>190</v>
      </c>
      <c r="AI1585" s="1"/>
      <c r="AJ1585" s="1" t="s">
        <v>5612</v>
      </c>
      <c r="AK1585" s="1" t="s">
        <v>4268</v>
      </c>
    </row>
    <row r="1586" spans="1:37">
      <c r="A1586" s="1" t="str">
        <f>VLOOKUP(H1586,Languages!$A$2:$B$430,2,FALSE)</f>
        <v>Nuclear Trans New Guinea</v>
      </c>
      <c r="B1586" s="1" t="s">
        <v>1726</v>
      </c>
      <c r="C1586" s="1" t="s">
        <v>117</v>
      </c>
      <c r="D1586" s="1" t="s">
        <v>5601</v>
      </c>
      <c r="E1586" s="15" t="s">
        <v>5602</v>
      </c>
      <c r="F1586" s="15" t="s">
        <v>5602</v>
      </c>
      <c r="G1586" s="1" t="s">
        <v>5602</v>
      </c>
      <c r="H1586" s="1" t="str">
        <f>VLOOKUP(G1586,'languoid 4.0'!$A$1:$I$24439,2,FALSE)</f>
        <v>nucl1709</v>
      </c>
      <c r="I1586" s="1" t="str">
        <f>VLOOKUP(G1586,'languoid 4.0'!$A$1:$I$24439,6,FALSE)</f>
        <v>language</v>
      </c>
      <c r="J1586" s="15" t="s">
        <v>38</v>
      </c>
      <c r="K1586" s="15" t="s">
        <v>38</v>
      </c>
      <c r="L1586" s="15" t="s">
        <v>38</v>
      </c>
      <c r="M1586" s="1"/>
      <c r="N1586" s="1" t="s">
        <v>5603</v>
      </c>
      <c r="O1586" s="15" t="s">
        <v>40</v>
      </c>
      <c r="P1586" s="15" t="s">
        <v>41</v>
      </c>
      <c r="Q1586" s="1" t="s">
        <v>5613</v>
      </c>
      <c r="R1586" s="2" t="s">
        <v>4512</v>
      </c>
      <c r="S1586" s="1" t="s">
        <v>46</v>
      </c>
      <c r="T1586" s="1" t="s">
        <v>635</v>
      </c>
      <c r="U1586" s="1" t="s">
        <v>636</v>
      </c>
      <c r="V1586" s="1" t="s">
        <v>45</v>
      </c>
      <c r="W1586" s="1"/>
      <c r="X1586" s="1"/>
      <c r="Y1586" s="1"/>
      <c r="Z1586" s="1" t="s">
        <v>637</v>
      </c>
      <c r="AA1586" s="1" t="s">
        <v>5614</v>
      </c>
      <c r="AB1586" s="1" t="s">
        <v>5615</v>
      </c>
      <c r="AC1586" s="1" t="s">
        <v>46</v>
      </c>
      <c r="AD1586" s="1" t="s">
        <v>5616</v>
      </c>
      <c r="AE1586" s="1" t="s">
        <v>641</v>
      </c>
      <c r="AF1586" s="1" t="s">
        <v>190</v>
      </c>
      <c r="AG1586" s="1">
        <v>6</v>
      </c>
      <c r="AH1586" s="1" t="s">
        <v>190</v>
      </c>
      <c r="AI1586" s="1" t="s">
        <v>5617</v>
      </c>
      <c r="AJ1586" s="1" t="s">
        <v>5618</v>
      </c>
      <c r="AK1586" s="1" t="s">
        <v>4268</v>
      </c>
    </row>
    <row r="1587" spans="1:37">
      <c r="A1587" s="1" t="str">
        <f>VLOOKUP(H1587,Languages!$A$2:$B$430,2,FALSE)</f>
        <v>Nuclear Trans New Guinea</v>
      </c>
      <c r="B1587" s="1" t="s">
        <v>652</v>
      </c>
      <c r="C1587" s="1" t="s">
        <v>117</v>
      </c>
      <c r="D1587" s="1" t="s">
        <v>5601</v>
      </c>
      <c r="E1587" s="15" t="s">
        <v>5602</v>
      </c>
      <c r="F1587" s="15" t="s">
        <v>5602</v>
      </c>
      <c r="G1587" s="1" t="s">
        <v>5602</v>
      </c>
      <c r="H1587" s="1" t="str">
        <f>VLOOKUP(G1587,'languoid 4.0'!$A$1:$I$24439,2,FALSE)</f>
        <v>nucl1709</v>
      </c>
      <c r="I1587" s="1" t="str">
        <f>VLOOKUP(G1587,'languoid 4.0'!$A$1:$I$24439,6,FALSE)</f>
        <v>language</v>
      </c>
      <c r="J1587" s="15" t="s">
        <v>38</v>
      </c>
      <c r="K1587" s="15" t="s">
        <v>38</v>
      </c>
      <c r="L1587" s="15" t="s">
        <v>38</v>
      </c>
      <c r="M1587" s="1"/>
      <c r="N1587" s="1" t="s">
        <v>5603</v>
      </c>
      <c r="O1587" s="15" t="s">
        <v>40</v>
      </c>
      <c r="P1587" s="15" t="s">
        <v>41</v>
      </c>
      <c r="Q1587" s="1" t="s">
        <v>5619</v>
      </c>
      <c r="R1587" s="2" t="s">
        <v>4512</v>
      </c>
      <c r="S1587" s="1" t="s">
        <v>46</v>
      </c>
      <c r="T1587" s="1" t="s">
        <v>635</v>
      </c>
      <c r="U1587" s="1" t="s">
        <v>636</v>
      </c>
      <c r="V1587" s="1" t="s">
        <v>45</v>
      </c>
      <c r="W1587" s="1"/>
      <c r="X1587" s="1"/>
      <c r="Y1587" s="1"/>
      <c r="Z1587" s="1" t="s">
        <v>658</v>
      </c>
      <c r="AA1587" s="1" t="s">
        <v>5620</v>
      </c>
      <c r="AB1587" s="1" t="s">
        <v>46</v>
      </c>
      <c r="AC1587" s="1" t="s">
        <v>46</v>
      </c>
      <c r="AD1587" s="1" t="s">
        <v>5621</v>
      </c>
      <c r="AE1587" s="1" t="s">
        <v>641</v>
      </c>
      <c r="AF1587" s="1" t="s">
        <v>190</v>
      </c>
      <c r="AG1587" s="1">
        <v>6</v>
      </c>
      <c r="AH1587" s="1" t="s">
        <v>190</v>
      </c>
      <c r="AI1587" s="1" t="s">
        <v>5622</v>
      </c>
      <c r="AJ1587" s="1" t="s">
        <v>5623</v>
      </c>
      <c r="AK1587" s="1" t="s">
        <v>4268</v>
      </c>
    </row>
    <row r="1588" spans="1:37">
      <c r="A1588" s="1" t="str">
        <f>VLOOKUP(H1588,Languages!$A$2:$B$430,2,FALSE)</f>
        <v>Nuclear Trans New Guinea</v>
      </c>
      <c r="B1588" s="1" t="s">
        <v>1738</v>
      </c>
      <c r="C1588" s="1" t="s">
        <v>75</v>
      </c>
      <c r="D1588" s="1" t="s">
        <v>7841</v>
      </c>
      <c r="E1588" s="15" t="s">
        <v>51</v>
      </c>
      <c r="F1588" s="15" t="s">
        <v>7842</v>
      </c>
      <c r="G1588" s="1" t="s">
        <v>7842</v>
      </c>
      <c r="H1588" s="1" t="str">
        <f>VLOOKUP(G1588,'languoid 4.0'!$A$1:$I$24439,2,FALSE)</f>
        <v>nucl1709</v>
      </c>
      <c r="I1588" s="1" t="str">
        <f>VLOOKUP(G1588,'languoid 4.0'!$A$1:$I$24439,6,FALSE)</f>
        <v>language</v>
      </c>
      <c r="J1588" s="15" t="s">
        <v>52</v>
      </c>
      <c r="K1588" s="15" t="s">
        <v>51</v>
      </c>
      <c r="L1588" s="15" t="s">
        <v>51</v>
      </c>
      <c r="M1588" s="1"/>
      <c r="N1588" s="1" t="e">
        <v>#N/A</v>
      </c>
      <c r="O1588" s="15" t="s">
        <v>690</v>
      </c>
      <c r="P1588" s="15"/>
      <c r="Q1588" s="1" t="s">
        <v>7843</v>
      </c>
      <c r="R1588" s="2" t="s">
        <v>7844</v>
      </c>
      <c r="S1588" s="1" t="s">
        <v>46</v>
      </c>
      <c r="T1588" s="1" t="s">
        <v>635</v>
      </c>
      <c r="U1588" s="1" t="s">
        <v>636</v>
      </c>
      <c r="V1588" s="1" t="s">
        <v>45</v>
      </c>
      <c r="W1588" s="1"/>
      <c r="X1588" s="1"/>
      <c r="Y1588" s="1"/>
      <c r="Z1588" s="1" t="s">
        <v>658</v>
      </c>
      <c r="AA1588" s="1" t="s">
        <v>7845</v>
      </c>
      <c r="AB1588" s="1" t="s">
        <v>46</v>
      </c>
      <c r="AC1588" s="1" t="s">
        <v>46</v>
      </c>
      <c r="AD1588" s="1" t="s">
        <v>7846</v>
      </c>
      <c r="AE1588" s="1" t="s">
        <v>641</v>
      </c>
      <c r="AF1588" s="1" t="s">
        <v>190</v>
      </c>
      <c r="AG1588" s="1">
        <v>6</v>
      </c>
      <c r="AH1588" s="1" t="s">
        <v>190</v>
      </c>
      <c r="AI1588" s="1"/>
      <c r="AJ1588" s="1" t="s">
        <v>7847</v>
      </c>
      <c r="AK1588" s="1" t="s">
        <v>5640</v>
      </c>
    </row>
    <row r="1589" spans="1:37">
      <c r="A1589" s="1" t="str">
        <f>VLOOKUP(H1589,Languages!$A$2:$B$430,2,FALSE)</f>
        <v>Nuclear Trans New Guinea</v>
      </c>
      <c r="B1589" s="1" t="s">
        <v>1738</v>
      </c>
      <c r="C1589" s="1" t="s">
        <v>75</v>
      </c>
      <c r="D1589" s="1" t="s">
        <v>7848</v>
      </c>
      <c r="E1589" s="15" t="s">
        <v>51</v>
      </c>
      <c r="F1589" s="15" t="s">
        <v>7842</v>
      </c>
      <c r="G1589" s="1" t="s">
        <v>7842</v>
      </c>
      <c r="H1589" s="1" t="str">
        <f>VLOOKUP(G1589,'languoid 4.0'!$A$1:$I$24439,2,FALSE)</f>
        <v>nucl1709</v>
      </c>
      <c r="I1589" s="1" t="str">
        <f>VLOOKUP(G1589,'languoid 4.0'!$A$1:$I$24439,6,FALSE)</f>
        <v>language</v>
      </c>
      <c r="J1589" s="15" t="s">
        <v>52</v>
      </c>
      <c r="K1589" s="15" t="s">
        <v>51</v>
      </c>
      <c r="L1589" s="15" t="s">
        <v>51</v>
      </c>
      <c r="M1589" s="1"/>
      <c r="N1589" s="1" t="e">
        <v>#N/A</v>
      </c>
      <c r="O1589" s="15" t="s">
        <v>690</v>
      </c>
      <c r="P1589" s="15"/>
      <c r="Q1589" s="1" t="s">
        <v>7843</v>
      </c>
      <c r="R1589" s="2" t="s">
        <v>7849</v>
      </c>
      <c r="S1589" s="1" t="s">
        <v>46</v>
      </c>
      <c r="T1589" s="1" t="s">
        <v>635</v>
      </c>
      <c r="U1589" s="1" t="s">
        <v>636</v>
      </c>
      <c r="V1589" s="1" t="s">
        <v>45</v>
      </c>
      <c r="W1589" s="1"/>
      <c r="X1589" s="1"/>
      <c r="Y1589" s="1"/>
      <c r="Z1589" s="1" t="s">
        <v>658</v>
      </c>
      <c r="AA1589" s="1" t="s">
        <v>7850</v>
      </c>
      <c r="AB1589" s="1" t="s">
        <v>46</v>
      </c>
      <c r="AC1589" s="1" t="s">
        <v>46</v>
      </c>
      <c r="AD1589" s="1" t="s">
        <v>7851</v>
      </c>
      <c r="AE1589" s="1" t="s">
        <v>641</v>
      </c>
      <c r="AF1589" s="1" t="s">
        <v>190</v>
      </c>
      <c r="AG1589" s="1">
        <v>6</v>
      </c>
      <c r="AH1589" s="1" t="s">
        <v>190</v>
      </c>
      <c r="AI1589" s="1"/>
      <c r="AJ1589" s="1" t="s">
        <v>7852</v>
      </c>
      <c r="AK1589" s="1" t="s">
        <v>5640</v>
      </c>
    </row>
    <row r="1590" spans="1:37">
      <c r="A1590" s="1" t="str">
        <f>VLOOKUP(H1590,Languages!$A$2:$B$430,2,FALSE)</f>
        <v>Nuclear Trans New Guinea</v>
      </c>
      <c r="B1590" s="1" t="s">
        <v>1738</v>
      </c>
      <c r="C1590" s="1" t="s">
        <v>75</v>
      </c>
      <c r="D1590" s="1" t="s">
        <v>8694</v>
      </c>
      <c r="E1590" s="15" t="s">
        <v>8695</v>
      </c>
      <c r="F1590" s="15" t="s">
        <v>8696</v>
      </c>
      <c r="G1590" s="1" t="s">
        <v>8696</v>
      </c>
      <c r="H1590" s="1" t="str">
        <f>VLOOKUP(G1590,'languoid 4.0'!$A$1:$I$24439,2,FALSE)</f>
        <v>nucl1709</v>
      </c>
      <c r="I1590" s="1" t="str">
        <f>VLOOKUP(G1590,'languoid 4.0'!$A$1:$I$24439,6,FALSE)</f>
        <v>family</v>
      </c>
      <c r="J1590" s="15" t="s">
        <v>52</v>
      </c>
      <c r="K1590" s="15" t="s">
        <v>38</v>
      </c>
      <c r="L1590" s="15" t="s">
        <v>38</v>
      </c>
      <c r="M1590" s="1"/>
      <c r="N1590" s="1" t="s">
        <v>8697</v>
      </c>
      <c r="O1590" s="15" t="s">
        <v>40</v>
      </c>
      <c r="P1590" s="15" t="s">
        <v>41</v>
      </c>
      <c r="Q1590" s="1" t="s">
        <v>7843</v>
      </c>
      <c r="R1590" s="2" t="s">
        <v>8698</v>
      </c>
      <c r="S1590" s="1" t="s">
        <v>46</v>
      </c>
      <c r="T1590" s="1" t="s">
        <v>635</v>
      </c>
      <c r="U1590" s="1" t="s">
        <v>636</v>
      </c>
      <c r="V1590" s="1" t="s">
        <v>45</v>
      </c>
      <c r="W1590" s="1"/>
      <c r="X1590" s="1"/>
      <c r="Y1590" s="1"/>
      <c r="Z1590" s="1" t="s">
        <v>637</v>
      </c>
      <c r="AA1590" s="1" t="s">
        <v>8699</v>
      </c>
      <c r="AB1590" s="1" t="s">
        <v>46</v>
      </c>
      <c r="AC1590" s="1" t="s">
        <v>46</v>
      </c>
      <c r="AD1590" s="1" t="s">
        <v>8700</v>
      </c>
      <c r="AE1590" s="1" t="s">
        <v>641</v>
      </c>
      <c r="AF1590" s="1" t="s">
        <v>190</v>
      </c>
      <c r="AG1590" s="1">
        <v>6</v>
      </c>
      <c r="AH1590" s="1" t="s">
        <v>190</v>
      </c>
      <c r="AI1590" s="1"/>
      <c r="AJ1590" s="3">
        <v>43321.826435185183</v>
      </c>
      <c r="AK1590" s="1" t="s">
        <v>5640</v>
      </c>
    </row>
    <row r="1591" spans="1:37">
      <c r="A1591" s="1" t="str">
        <f>VLOOKUP(H1591,Languages!$A$2:$B$430,2,FALSE)</f>
        <v>Nuclear Trans New Guinea</v>
      </c>
      <c r="B1591" s="1" t="s">
        <v>1738</v>
      </c>
      <c r="C1591" s="1" t="s">
        <v>75</v>
      </c>
      <c r="D1591" s="1" t="s">
        <v>8701</v>
      </c>
      <c r="E1591" s="15" t="s">
        <v>8695</v>
      </c>
      <c r="F1591" s="15" t="s">
        <v>8696</v>
      </c>
      <c r="G1591" s="1" t="s">
        <v>8696</v>
      </c>
      <c r="H1591" s="1" t="str">
        <f>VLOOKUP(G1591,'languoid 4.0'!$A$1:$I$24439,2,FALSE)</f>
        <v>nucl1709</v>
      </c>
      <c r="I1591" s="1" t="str">
        <f>VLOOKUP(G1591,'languoid 4.0'!$A$1:$I$24439,6,FALSE)</f>
        <v>family</v>
      </c>
      <c r="J1591" s="15" t="s">
        <v>52</v>
      </c>
      <c r="K1591" s="15" t="s">
        <v>38</v>
      </c>
      <c r="L1591" s="15" t="s">
        <v>38</v>
      </c>
      <c r="M1591" s="1"/>
      <c r="N1591" s="1" t="s">
        <v>8697</v>
      </c>
      <c r="O1591" s="15" t="s">
        <v>40</v>
      </c>
      <c r="P1591" s="15" t="s">
        <v>41</v>
      </c>
      <c r="Q1591" s="1" t="s">
        <v>8702</v>
      </c>
      <c r="R1591" s="2" t="s">
        <v>8703</v>
      </c>
      <c r="S1591" s="1" t="s">
        <v>46</v>
      </c>
      <c r="T1591" s="1" t="s">
        <v>635</v>
      </c>
      <c r="U1591" s="1" t="s">
        <v>1707</v>
      </c>
      <c r="V1591" s="1" t="s">
        <v>45</v>
      </c>
      <c r="W1591" s="1"/>
      <c r="X1591" s="1"/>
      <c r="Y1591" s="1"/>
      <c r="Z1591" s="1" t="s">
        <v>637</v>
      </c>
      <c r="AA1591" s="1" t="s">
        <v>8704</v>
      </c>
      <c r="AB1591" s="1" t="s">
        <v>46</v>
      </c>
      <c r="AC1591" s="1" t="s">
        <v>46</v>
      </c>
      <c r="AD1591" s="1" t="s">
        <v>8705</v>
      </c>
      <c r="AE1591" s="1" t="s">
        <v>641</v>
      </c>
      <c r="AF1591" s="1" t="s">
        <v>190</v>
      </c>
      <c r="AG1591" s="1">
        <v>5</v>
      </c>
      <c r="AH1591" s="1" t="s">
        <v>190</v>
      </c>
      <c r="AI1591" s="1"/>
      <c r="AJ1591" s="3">
        <v>43321.829618055555</v>
      </c>
      <c r="AK1591" s="1" t="s">
        <v>5640</v>
      </c>
    </row>
    <row r="1592" spans="1:37">
      <c r="A1592" s="1" t="str">
        <f>VLOOKUP(H1592,Languages!$A$2:$B$430,2,FALSE)</f>
        <v>Nuclear Trans New Guinea</v>
      </c>
      <c r="B1592" s="1" t="s">
        <v>1812</v>
      </c>
      <c r="C1592" s="1" t="s">
        <v>75</v>
      </c>
      <c r="D1592" s="1" t="s">
        <v>7789</v>
      </c>
      <c r="E1592" s="15" t="s">
        <v>51</v>
      </c>
      <c r="F1592" s="15" t="s">
        <v>7790</v>
      </c>
      <c r="G1592" s="1" t="s">
        <v>7790</v>
      </c>
      <c r="H1592" s="1" t="str">
        <f>VLOOKUP(G1592,'languoid 4.0'!$A$1:$I$24439,2,FALSE)</f>
        <v>nucl1709</v>
      </c>
      <c r="I1592" s="1" t="str">
        <f>VLOOKUP(G1592,'languoid 4.0'!$A$1:$I$24439,6,FALSE)</f>
        <v>dialect</v>
      </c>
      <c r="J1592" s="15" t="s">
        <v>52</v>
      </c>
      <c r="K1592" s="15" t="s">
        <v>51</v>
      </c>
      <c r="L1592" s="15" t="s">
        <v>51</v>
      </c>
      <c r="M1592" s="1"/>
      <c r="N1592" s="1" t="e">
        <v>#N/A</v>
      </c>
      <c r="O1592" s="15" t="s">
        <v>690</v>
      </c>
      <c r="P1592" s="15"/>
      <c r="Q1592" s="1" t="s">
        <v>7791</v>
      </c>
      <c r="R1592" s="2" t="s">
        <v>7792</v>
      </c>
      <c r="S1592" s="1" t="s">
        <v>46</v>
      </c>
      <c r="T1592" s="1" t="s">
        <v>635</v>
      </c>
      <c r="U1592" s="1" t="s">
        <v>636</v>
      </c>
      <c r="V1592" s="1" t="s">
        <v>45</v>
      </c>
      <c r="W1592" s="1"/>
      <c r="X1592" s="1"/>
      <c r="Y1592" s="1"/>
      <c r="Z1592" s="1" t="s">
        <v>637</v>
      </c>
      <c r="AA1592" s="1" t="s">
        <v>7793</v>
      </c>
      <c r="AB1592" s="1" t="s">
        <v>46</v>
      </c>
      <c r="AC1592" s="1" t="s">
        <v>46</v>
      </c>
      <c r="AD1592" s="1" t="s">
        <v>7794</v>
      </c>
      <c r="AE1592" s="1" t="s">
        <v>641</v>
      </c>
      <c r="AF1592" s="1" t="s">
        <v>190</v>
      </c>
      <c r="AG1592" s="1">
        <v>6</v>
      </c>
      <c r="AH1592" s="1" t="s">
        <v>190</v>
      </c>
      <c r="AI1592" s="1"/>
      <c r="AJ1592" s="1" t="s">
        <v>7795</v>
      </c>
      <c r="AK1592" s="1" t="s">
        <v>5640</v>
      </c>
    </row>
    <row r="1593" spans="1:37">
      <c r="A1593" s="1" t="str">
        <f>VLOOKUP(H1593,Languages!$A$2:$B$430,2,FALSE)</f>
        <v>Nuclear Trans New Guinea</v>
      </c>
      <c r="B1593" s="1" t="s">
        <v>1812</v>
      </c>
      <c r="C1593" s="1" t="s">
        <v>117</v>
      </c>
      <c r="D1593" s="1" t="s">
        <v>5591</v>
      </c>
      <c r="E1593" s="15" t="s">
        <v>5592</v>
      </c>
      <c r="F1593" s="15" t="s">
        <v>5593</v>
      </c>
      <c r="G1593" s="1" t="s">
        <v>5593</v>
      </c>
      <c r="H1593" s="1" t="str">
        <f>VLOOKUP(G1593,'languoid 4.0'!$A$1:$I$24439,2,FALSE)</f>
        <v>nucl1709</v>
      </c>
      <c r="I1593" s="1" t="str">
        <f>VLOOKUP(G1593,'languoid 4.0'!$A$1:$I$24439,6,FALSE)</f>
        <v>family</v>
      </c>
      <c r="J1593" s="15" t="s">
        <v>52</v>
      </c>
      <c r="K1593" s="15" t="s">
        <v>38</v>
      </c>
      <c r="L1593" s="15" t="s">
        <v>38</v>
      </c>
      <c r="M1593" s="1"/>
      <c r="N1593" s="1" t="s">
        <v>5594</v>
      </c>
      <c r="O1593" s="15" t="s">
        <v>40</v>
      </c>
      <c r="P1593" s="15" t="s">
        <v>41</v>
      </c>
      <c r="Q1593" s="1" t="s">
        <v>5595</v>
      </c>
      <c r="R1593" s="2" t="s">
        <v>5596</v>
      </c>
      <c r="S1593" s="1" t="s">
        <v>46</v>
      </c>
      <c r="T1593" s="1" t="s">
        <v>635</v>
      </c>
      <c r="U1593" s="1" t="s">
        <v>636</v>
      </c>
      <c r="V1593" s="1" t="s">
        <v>45</v>
      </c>
      <c r="W1593" s="1"/>
      <c r="X1593" s="1"/>
      <c r="Y1593" s="1"/>
      <c r="Z1593" s="1" t="s">
        <v>637</v>
      </c>
      <c r="AA1593" s="1" t="s">
        <v>5597</v>
      </c>
      <c r="AB1593" s="1" t="s">
        <v>5598</v>
      </c>
      <c r="AC1593" s="1" t="s">
        <v>46</v>
      </c>
      <c r="AD1593" s="1" t="s">
        <v>5599</v>
      </c>
      <c r="AE1593" s="1" t="s">
        <v>641</v>
      </c>
      <c r="AF1593" s="1" t="s">
        <v>190</v>
      </c>
      <c r="AG1593" s="1">
        <v>6</v>
      </c>
      <c r="AH1593" s="1" t="s">
        <v>190</v>
      </c>
      <c r="AI1593" s="1"/>
      <c r="AJ1593" s="1" t="s">
        <v>5600</v>
      </c>
      <c r="AK1593" s="1" t="s">
        <v>4268</v>
      </c>
    </row>
    <row r="1594" spans="1:37">
      <c r="A1594" s="1" t="str">
        <f>VLOOKUP(H1594,Languages!$A$2:$B$430,2,FALSE)</f>
        <v>Nuclear Trans New Guinea</v>
      </c>
      <c r="B1594" s="1" t="s">
        <v>1707</v>
      </c>
      <c r="C1594" s="1" t="s">
        <v>75</v>
      </c>
      <c r="D1594" s="1" t="s">
        <v>7676</v>
      </c>
      <c r="E1594" s="15" t="s">
        <v>5602</v>
      </c>
      <c r="F1594" s="15" t="s">
        <v>5602</v>
      </c>
      <c r="G1594" s="1" t="s">
        <v>5602</v>
      </c>
      <c r="H1594" s="1" t="str">
        <f>VLOOKUP(G1594,'languoid 4.0'!$A$1:$I$24439,2,FALSE)</f>
        <v>nucl1709</v>
      </c>
      <c r="I1594" s="1" t="str">
        <f>VLOOKUP(G1594,'languoid 4.0'!$A$1:$I$24439,6,FALSE)</f>
        <v>language</v>
      </c>
      <c r="J1594" s="15" t="s">
        <v>38</v>
      </c>
      <c r="K1594" s="15" t="s">
        <v>38</v>
      </c>
      <c r="L1594" s="15" t="s">
        <v>38</v>
      </c>
      <c r="M1594" s="1"/>
      <c r="N1594" s="1" t="s">
        <v>5603</v>
      </c>
      <c r="O1594" s="15" t="s">
        <v>40</v>
      </c>
      <c r="P1594" s="15" t="s">
        <v>41</v>
      </c>
      <c r="Q1594" s="1" t="s">
        <v>7685</v>
      </c>
      <c r="R1594" s="2" t="s">
        <v>7686</v>
      </c>
      <c r="S1594" s="1" t="s">
        <v>46</v>
      </c>
      <c r="T1594" s="1" t="s">
        <v>635</v>
      </c>
      <c r="U1594" s="1" t="s">
        <v>636</v>
      </c>
      <c r="V1594" s="1" t="s">
        <v>45</v>
      </c>
      <c r="W1594" s="1"/>
      <c r="X1594" s="1"/>
      <c r="Y1594" s="1"/>
      <c r="Z1594" s="1" t="s">
        <v>658</v>
      </c>
      <c r="AA1594" s="1" t="s">
        <v>7687</v>
      </c>
      <c r="AB1594" s="1" t="s">
        <v>46</v>
      </c>
      <c r="AC1594" s="1" t="s">
        <v>46</v>
      </c>
      <c r="AD1594" s="1" t="s">
        <v>7688</v>
      </c>
      <c r="AE1594" s="1" t="s">
        <v>641</v>
      </c>
      <c r="AF1594" s="1" t="s">
        <v>190</v>
      </c>
      <c r="AG1594" s="1">
        <v>6</v>
      </c>
      <c r="AH1594" s="1" t="s">
        <v>190</v>
      </c>
      <c r="AI1594" s="1"/>
      <c r="AJ1594" s="1" t="s">
        <v>7689</v>
      </c>
      <c r="AK1594" s="1" t="s">
        <v>5640</v>
      </c>
    </row>
    <row r="1595" spans="1:37">
      <c r="A1595" s="1" t="str">
        <f>VLOOKUP(H1595,Languages!$A$2:$B$430,2,FALSE)</f>
        <v>Nuclear Trans New Guinea</v>
      </c>
      <c r="B1595" s="1" t="s">
        <v>1707</v>
      </c>
      <c r="C1595" s="1" t="s">
        <v>75</v>
      </c>
      <c r="D1595" s="1" t="s">
        <v>7853</v>
      </c>
      <c r="E1595" s="15" t="s">
        <v>7854</v>
      </c>
      <c r="F1595" s="15" t="s">
        <v>7854</v>
      </c>
      <c r="G1595" s="1" t="s">
        <v>7854</v>
      </c>
      <c r="H1595" s="1" t="str">
        <f>VLOOKUP(G1595,'languoid 4.0'!$A$1:$I$24439,2,FALSE)</f>
        <v>nucl1709</v>
      </c>
      <c r="I1595" s="1" t="str">
        <f>VLOOKUP(G1595,'languoid 4.0'!$A$1:$I$24439,6,FALSE)</f>
        <v>language</v>
      </c>
      <c r="J1595" s="15" t="s">
        <v>38</v>
      </c>
      <c r="K1595" s="15" t="s">
        <v>38</v>
      </c>
      <c r="L1595" s="15" t="s">
        <v>38</v>
      </c>
      <c r="M1595" s="1"/>
      <c r="N1595" s="1" t="s">
        <v>7855</v>
      </c>
      <c r="O1595" s="15" t="s">
        <v>40</v>
      </c>
      <c r="P1595" s="15" t="s">
        <v>41</v>
      </c>
      <c r="Q1595" s="1" t="s">
        <v>7856</v>
      </c>
      <c r="R1595" s="2" t="s">
        <v>7857</v>
      </c>
      <c r="S1595" s="1" t="s">
        <v>46</v>
      </c>
      <c r="T1595" s="1" t="s">
        <v>635</v>
      </c>
      <c r="U1595" s="1" t="s">
        <v>636</v>
      </c>
      <c r="V1595" s="1" t="s">
        <v>45</v>
      </c>
      <c r="W1595" s="1"/>
      <c r="X1595" s="1"/>
      <c r="Y1595" s="1"/>
      <c r="Z1595" s="1" t="s">
        <v>658</v>
      </c>
      <c r="AA1595" s="1" t="s">
        <v>7858</v>
      </c>
      <c r="AB1595" s="1" t="s">
        <v>46</v>
      </c>
      <c r="AC1595" s="1" t="s">
        <v>46</v>
      </c>
      <c r="AD1595" s="1" t="s">
        <v>7859</v>
      </c>
      <c r="AE1595" s="1" t="s">
        <v>641</v>
      </c>
      <c r="AF1595" s="1" t="s">
        <v>190</v>
      </c>
      <c r="AG1595" s="1">
        <v>6</v>
      </c>
      <c r="AH1595" s="1" t="s">
        <v>190</v>
      </c>
      <c r="AI1595" s="1"/>
      <c r="AJ1595" s="1" t="s">
        <v>7860</v>
      </c>
      <c r="AK1595" s="1" t="s">
        <v>5640</v>
      </c>
    </row>
    <row r="1596" spans="1:37">
      <c r="A1596" s="1" t="str">
        <f>VLOOKUP(H1596,Languages!$A$2:$B$430,2,FALSE)</f>
        <v>Nuclear-Macro-Je</v>
      </c>
      <c r="B1596" s="1" t="s">
        <v>67</v>
      </c>
      <c r="C1596" s="1" t="s">
        <v>477</v>
      </c>
      <c r="D1596" s="1" t="s">
        <v>642</v>
      </c>
      <c r="E1596" s="15" t="s">
        <v>643</v>
      </c>
      <c r="F1596" s="15" t="s">
        <v>643</v>
      </c>
      <c r="G1596" s="1" t="s">
        <v>643</v>
      </c>
      <c r="H1596" s="1" t="str">
        <f>VLOOKUP(G1596,'languoid 4.0'!$A$1:$I$24439,2,FALSE)</f>
        <v>nucl1710</v>
      </c>
      <c r="I1596" s="1" t="str">
        <f>VLOOKUP(G1596,'languoid 4.0'!$A$1:$I$24439,6,FALSE)</f>
        <v>language</v>
      </c>
      <c r="J1596" s="15" t="s">
        <v>38</v>
      </c>
      <c r="K1596" s="15" t="s">
        <v>38</v>
      </c>
      <c r="L1596" s="15" t="s">
        <v>38</v>
      </c>
      <c r="M1596" s="1"/>
      <c r="N1596" s="1" t="s">
        <v>644</v>
      </c>
      <c r="O1596" s="15" t="s">
        <v>40</v>
      </c>
      <c r="P1596" s="15" t="s">
        <v>41</v>
      </c>
      <c r="Q1596" s="1" t="s">
        <v>645</v>
      </c>
      <c r="R1596" s="2" t="s">
        <v>646</v>
      </c>
      <c r="S1596" s="1" t="s">
        <v>647</v>
      </c>
      <c r="T1596" s="1" t="s">
        <v>648</v>
      </c>
      <c r="U1596" s="1" t="s">
        <v>636</v>
      </c>
      <c r="V1596" s="1" t="s">
        <v>45</v>
      </c>
      <c r="W1596" s="1"/>
      <c r="X1596" s="1"/>
      <c r="Y1596" s="1"/>
      <c r="Z1596" s="1" t="s">
        <v>637</v>
      </c>
      <c r="AA1596" s="1" t="s">
        <v>649</v>
      </c>
      <c r="AB1596" s="1" t="s">
        <v>650</v>
      </c>
      <c r="AC1596" s="1" t="s">
        <v>46</v>
      </c>
      <c r="AD1596" s="1"/>
      <c r="AE1596" s="1" t="s">
        <v>641</v>
      </c>
      <c r="AF1596" s="1" t="s">
        <v>190</v>
      </c>
      <c r="AG1596" s="1">
        <v>5</v>
      </c>
      <c r="AH1596" s="1" t="s">
        <v>190</v>
      </c>
      <c r="AI1596" s="1"/>
      <c r="AJ1596" s="3">
        <v>43133.544895833336</v>
      </c>
      <c r="AK1596" s="1" t="s">
        <v>651</v>
      </c>
    </row>
    <row r="1597" spans="1:37">
      <c r="A1597" s="1" t="str">
        <f>VLOOKUP(H1597,Languages!$A$2:$B$430,2,FALSE)</f>
        <v>Nuclear-Macro-Je</v>
      </c>
      <c r="B1597" s="1" t="s">
        <v>67</v>
      </c>
      <c r="C1597" s="1" t="s">
        <v>477</v>
      </c>
      <c r="D1597" s="1" t="s">
        <v>677</v>
      </c>
      <c r="E1597" s="15" t="s">
        <v>678</v>
      </c>
      <c r="F1597" s="15" t="s">
        <v>679</v>
      </c>
      <c r="G1597" s="1" t="s">
        <v>679</v>
      </c>
      <c r="H1597" s="1" t="str">
        <f>VLOOKUP(G1597,'languoid 4.0'!$A$1:$I$24439,2,FALSE)</f>
        <v>nucl1710</v>
      </c>
      <c r="I1597" s="1" t="str">
        <f>VLOOKUP(G1597,'languoid 4.0'!$A$1:$I$24439,6,FALSE)</f>
        <v>dialect</v>
      </c>
      <c r="J1597" s="15" t="s">
        <v>52</v>
      </c>
      <c r="K1597" s="15" t="s">
        <v>38</v>
      </c>
      <c r="L1597" s="15" t="s">
        <v>38</v>
      </c>
      <c r="M1597" s="1"/>
      <c r="N1597" s="1" t="s">
        <v>680</v>
      </c>
      <c r="O1597" s="15" t="s">
        <v>113</v>
      </c>
      <c r="P1597" s="15" t="s">
        <v>41</v>
      </c>
      <c r="Q1597" s="1" t="s">
        <v>681</v>
      </c>
      <c r="R1597" s="2" t="s">
        <v>682</v>
      </c>
      <c r="S1597" s="1" t="s">
        <v>683</v>
      </c>
      <c r="T1597" s="1" t="s">
        <v>657</v>
      </c>
      <c r="U1597" s="1" t="s">
        <v>636</v>
      </c>
      <c r="V1597" s="1" t="s">
        <v>45</v>
      </c>
      <c r="W1597" s="1"/>
      <c r="X1597" s="1"/>
      <c r="Y1597" s="1"/>
      <c r="Z1597" s="1" t="s">
        <v>673</v>
      </c>
      <c r="AA1597" s="1" t="s">
        <v>684</v>
      </c>
      <c r="AB1597" s="1" t="s">
        <v>685</v>
      </c>
      <c r="AC1597" s="1" t="s">
        <v>46</v>
      </c>
      <c r="AD1597" s="1" t="s">
        <v>686</v>
      </c>
      <c r="AE1597" s="1" t="s">
        <v>641</v>
      </c>
      <c r="AF1597" s="1" t="s">
        <v>190</v>
      </c>
      <c r="AG1597" s="1">
        <v>3</v>
      </c>
      <c r="AH1597" s="1" t="s">
        <v>190</v>
      </c>
      <c r="AI1597" s="1"/>
      <c r="AJ1597" s="3">
        <v>43133.5780787037</v>
      </c>
      <c r="AK1597" s="1" t="s">
        <v>651</v>
      </c>
    </row>
    <row r="1598" spans="1:37">
      <c r="A1598" s="1" t="str">
        <f>VLOOKUP(H1598,Languages!$A$2:$B$430,2,FALSE)</f>
        <v>Nuclear-Macro-Je</v>
      </c>
      <c r="B1598" s="1" t="s">
        <v>67</v>
      </c>
      <c r="C1598" s="1" t="s">
        <v>477</v>
      </c>
      <c r="D1598" s="1" t="s">
        <v>696</v>
      </c>
      <c r="E1598" s="15" t="s">
        <v>697</v>
      </c>
      <c r="F1598" s="15" t="s">
        <v>697</v>
      </c>
      <c r="G1598" s="1" t="s">
        <v>697</v>
      </c>
      <c r="H1598" s="1" t="str">
        <f>VLOOKUP(G1598,'languoid 4.0'!$A$1:$I$24439,2,FALSE)</f>
        <v>nucl1710</v>
      </c>
      <c r="I1598" s="1" t="str">
        <f>VLOOKUP(G1598,'languoid 4.0'!$A$1:$I$24439,6,FALSE)</f>
        <v>language</v>
      </c>
      <c r="J1598" s="15" t="s">
        <v>38</v>
      </c>
      <c r="K1598" s="15" t="s">
        <v>38</v>
      </c>
      <c r="L1598" s="15" t="s">
        <v>38</v>
      </c>
      <c r="M1598" s="1"/>
      <c r="N1598" s="1" t="s">
        <v>698</v>
      </c>
      <c r="O1598" s="15" t="s">
        <v>113</v>
      </c>
      <c r="P1598" s="15" t="s">
        <v>632</v>
      </c>
      <c r="Q1598" s="1" t="s">
        <v>699</v>
      </c>
      <c r="R1598" s="2" t="s">
        <v>700</v>
      </c>
      <c r="S1598" s="1" t="s">
        <v>46</v>
      </c>
      <c r="T1598" s="1" t="s">
        <v>635</v>
      </c>
      <c r="U1598" s="1" t="s">
        <v>701</v>
      </c>
      <c r="V1598" s="1" t="s">
        <v>45</v>
      </c>
      <c r="W1598" s="1"/>
      <c r="X1598" s="1"/>
      <c r="Y1598" s="1"/>
      <c r="Z1598" s="1" t="s">
        <v>658</v>
      </c>
      <c r="AA1598" s="1" t="s">
        <v>702</v>
      </c>
      <c r="AB1598" s="1" t="s">
        <v>703</v>
      </c>
      <c r="AC1598" s="1" t="s">
        <v>46</v>
      </c>
      <c r="AD1598" s="1"/>
      <c r="AE1598" s="1" t="s">
        <v>641</v>
      </c>
      <c r="AF1598" s="1" t="s">
        <v>190</v>
      </c>
      <c r="AG1598" s="1">
        <v>5</v>
      </c>
      <c r="AH1598" s="1" t="s">
        <v>190</v>
      </c>
      <c r="AI1598" s="1"/>
      <c r="AJ1598" s="3">
        <v>43133.611018518517</v>
      </c>
      <c r="AK1598" s="1" t="s">
        <v>651</v>
      </c>
    </row>
    <row r="1599" spans="1:37">
      <c r="A1599" s="1" t="str">
        <f>VLOOKUP(H1599,Languages!$A$2:$B$430,2,FALSE)</f>
        <v>Nuclear-Macro-Je</v>
      </c>
      <c r="B1599" s="1" t="s">
        <v>67</v>
      </c>
      <c r="C1599" s="1" t="s">
        <v>477</v>
      </c>
      <c r="D1599" s="1" t="s">
        <v>696</v>
      </c>
      <c r="E1599" s="15" t="s">
        <v>697</v>
      </c>
      <c r="F1599" s="15" t="s">
        <v>697</v>
      </c>
      <c r="G1599" s="1" t="s">
        <v>697</v>
      </c>
      <c r="H1599" s="1" t="str">
        <f>VLOOKUP(G1599,'languoid 4.0'!$A$1:$I$24439,2,FALSE)</f>
        <v>nucl1710</v>
      </c>
      <c r="I1599" s="1" t="str">
        <f>VLOOKUP(G1599,'languoid 4.0'!$A$1:$I$24439,6,FALSE)</f>
        <v>language</v>
      </c>
      <c r="J1599" s="15" t="s">
        <v>38</v>
      </c>
      <c r="K1599" s="15" t="s">
        <v>38</v>
      </c>
      <c r="L1599" s="15" t="s">
        <v>38</v>
      </c>
      <c r="M1599" s="1"/>
      <c r="N1599" s="1" t="s">
        <v>698</v>
      </c>
      <c r="O1599" s="15" t="s">
        <v>113</v>
      </c>
      <c r="P1599" s="15" t="s">
        <v>632</v>
      </c>
      <c r="Q1599" s="1" t="s">
        <v>836</v>
      </c>
      <c r="R1599" s="2" t="s">
        <v>837</v>
      </c>
      <c r="S1599" s="1" t="s">
        <v>46</v>
      </c>
      <c r="T1599" s="1" t="s">
        <v>635</v>
      </c>
      <c r="U1599" s="1" t="s">
        <v>636</v>
      </c>
      <c r="V1599" s="1" t="s">
        <v>45</v>
      </c>
      <c r="W1599" s="1"/>
      <c r="X1599" s="1"/>
      <c r="Y1599" s="1"/>
      <c r="Z1599" s="1" t="s">
        <v>637</v>
      </c>
      <c r="AA1599" s="1" t="s">
        <v>838</v>
      </c>
      <c r="AB1599" s="1" t="s">
        <v>839</v>
      </c>
      <c r="AC1599" s="1" t="s">
        <v>46</v>
      </c>
      <c r="AD1599" s="1"/>
      <c r="AE1599" s="1" t="s">
        <v>641</v>
      </c>
      <c r="AF1599" s="1" t="s">
        <v>190</v>
      </c>
      <c r="AG1599" s="1">
        <v>3</v>
      </c>
      <c r="AH1599" s="1" t="s">
        <v>190</v>
      </c>
      <c r="AI1599" s="1"/>
      <c r="AJ1599" s="3">
        <v>43253.520474537036</v>
      </c>
      <c r="AK1599" s="1" t="s">
        <v>651</v>
      </c>
    </row>
    <row r="1600" spans="1:37">
      <c r="A1600" s="1" t="str">
        <f>VLOOKUP(H1600,Languages!$A$2:$B$430,2,FALSE)</f>
        <v>Nuclear-Macro-Je</v>
      </c>
      <c r="B1600" s="1" t="s">
        <v>67</v>
      </c>
      <c r="C1600" s="1" t="s">
        <v>477</v>
      </c>
      <c r="D1600" s="1" t="s">
        <v>696</v>
      </c>
      <c r="E1600" s="15" t="s">
        <v>697</v>
      </c>
      <c r="F1600" s="15" t="s">
        <v>697</v>
      </c>
      <c r="G1600" s="1" t="s">
        <v>697</v>
      </c>
      <c r="H1600" s="1" t="str">
        <f>VLOOKUP(G1600,'languoid 4.0'!$A$1:$I$24439,2,FALSE)</f>
        <v>nucl1710</v>
      </c>
      <c r="I1600" s="1" t="str">
        <f>VLOOKUP(G1600,'languoid 4.0'!$A$1:$I$24439,6,FALSE)</f>
        <v>language</v>
      </c>
      <c r="J1600" s="15" t="s">
        <v>38</v>
      </c>
      <c r="K1600" s="15" t="s">
        <v>38</v>
      </c>
      <c r="L1600" s="15" t="s">
        <v>38</v>
      </c>
      <c r="M1600" s="1"/>
      <c r="N1600" s="1" t="s">
        <v>698</v>
      </c>
      <c r="O1600" s="15" t="s">
        <v>113</v>
      </c>
      <c r="P1600" s="15" t="s">
        <v>632</v>
      </c>
      <c r="Q1600" s="1" t="s">
        <v>840</v>
      </c>
      <c r="R1600" s="2" t="s">
        <v>841</v>
      </c>
      <c r="S1600" s="1" t="s">
        <v>46</v>
      </c>
      <c r="T1600" s="1" t="s">
        <v>635</v>
      </c>
      <c r="U1600" s="1" t="s">
        <v>636</v>
      </c>
      <c r="V1600" s="1" t="s">
        <v>45</v>
      </c>
      <c r="W1600" s="1"/>
      <c r="X1600" s="1"/>
      <c r="Y1600" s="1"/>
      <c r="Z1600" s="1" t="s">
        <v>637</v>
      </c>
      <c r="AA1600" s="1" t="s">
        <v>842</v>
      </c>
      <c r="AB1600" s="1" t="s">
        <v>843</v>
      </c>
      <c r="AC1600" s="1" t="s">
        <v>46</v>
      </c>
      <c r="AD1600" s="1"/>
      <c r="AE1600" s="1" t="s">
        <v>641</v>
      </c>
      <c r="AF1600" s="1" t="s">
        <v>190</v>
      </c>
      <c r="AG1600" s="1">
        <v>4</v>
      </c>
      <c r="AH1600" s="1" t="s">
        <v>190</v>
      </c>
      <c r="AI1600" s="1"/>
      <c r="AJ1600" s="3">
        <v>43253.525000000001</v>
      </c>
      <c r="AK1600" s="1" t="s">
        <v>651</v>
      </c>
    </row>
    <row r="1601" spans="1:37">
      <c r="A1601" s="1" t="str">
        <f>VLOOKUP(H1601,Languages!$A$2:$B$430,2,FALSE)</f>
        <v>Nuclear-Macro-Je</v>
      </c>
      <c r="B1601" s="1" t="s">
        <v>67</v>
      </c>
      <c r="C1601" s="1" t="s">
        <v>407</v>
      </c>
      <c r="D1601" s="1" t="s">
        <v>5752</v>
      </c>
      <c r="E1601" s="15" t="s">
        <v>678</v>
      </c>
      <c r="F1601" s="15" t="s">
        <v>678</v>
      </c>
      <c r="G1601" s="1" t="s">
        <v>678</v>
      </c>
      <c r="H1601" s="1" t="str">
        <f>VLOOKUP(G1601,'languoid 4.0'!$A$1:$I$24439,2,FALSE)</f>
        <v>nucl1710</v>
      </c>
      <c r="I1601" s="1" t="str">
        <f>VLOOKUP(G1601,'languoid 4.0'!$A$1:$I$24439,6,FALSE)</f>
        <v>language</v>
      </c>
      <c r="J1601" s="15" t="s">
        <v>38</v>
      </c>
      <c r="K1601" s="15" t="s">
        <v>38</v>
      </c>
      <c r="L1601" s="15" t="s">
        <v>38</v>
      </c>
      <c r="M1601" s="1"/>
      <c r="N1601" s="1" t="s">
        <v>680</v>
      </c>
      <c r="O1601" s="15" t="s">
        <v>40</v>
      </c>
      <c r="P1601" s="15" t="s">
        <v>41</v>
      </c>
      <c r="Q1601" s="1" t="s">
        <v>5753</v>
      </c>
      <c r="R1601" s="2" t="s">
        <v>5754</v>
      </c>
      <c r="S1601" s="1" t="s">
        <v>46</v>
      </c>
      <c r="T1601" s="1" t="s">
        <v>635</v>
      </c>
      <c r="U1601" s="1" t="s">
        <v>5755</v>
      </c>
      <c r="V1601" s="1" t="s">
        <v>45</v>
      </c>
      <c r="W1601" s="1"/>
      <c r="X1601" s="1"/>
      <c r="Y1601" s="1"/>
      <c r="Z1601" s="1" t="s">
        <v>658</v>
      </c>
      <c r="AA1601" s="1" t="s">
        <v>5756</v>
      </c>
      <c r="AB1601" s="1" t="s">
        <v>5757</v>
      </c>
      <c r="AC1601" s="1" t="s">
        <v>46</v>
      </c>
      <c r="AD1601" s="1"/>
      <c r="AE1601" s="1" t="s">
        <v>641</v>
      </c>
      <c r="AF1601" s="1" t="s">
        <v>190</v>
      </c>
      <c r="AG1601" s="1">
        <v>4</v>
      </c>
      <c r="AH1601" s="1" t="s">
        <v>190</v>
      </c>
      <c r="AI1601" s="1"/>
      <c r="AJ1601" s="1" t="s">
        <v>5758</v>
      </c>
      <c r="AK1601" s="1" t="s">
        <v>5093</v>
      </c>
    </row>
    <row r="1602" spans="1:37">
      <c r="A1602" s="1" t="str">
        <f>VLOOKUP(H1602,Languages!$A$2:$B$430,2,FALSE)</f>
        <v>Nuclear-Macro-Je</v>
      </c>
      <c r="B1602" s="1" t="s">
        <v>67</v>
      </c>
      <c r="C1602" s="1" t="s">
        <v>407</v>
      </c>
      <c r="D1602" s="1" t="s">
        <v>5759</v>
      </c>
      <c r="E1602" s="15" t="s">
        <v>678</v>
      </c>
      <c r="F1602" s="15" t="s">
        <v>678</v>
      </c>
      <c r="G1602" s="1" t="s">
        <v>678</v>
      </c>
      <c r="H1602" s="1" t="str">
        <f>VLOOKUP(G1602,'languoid 4.0'!$A$1:$I$24439,2,FALSE)</f>
        <v>nucl1710</v>
      </c>
      <c r="I1602" s="1" t="str">
        <f>VLOOKUP(G1602,'languoid 4.0'!$A$1:$I$24439,6,FALSE)</f>
        <v>language</v>
      </c>
      <c r="J1602" s="15" t="s">
        <v>38</v>
      </c>
      <c r="K1602" s="15" t="s">
        <v>38</v>
      </c>
      <c r="L1602" s="15" t="s">
        <v>38</v>
      </c>
      <c r="M1602" s="1"/>
      <c r="N1602" s="1" t="s">
        <v>680</v>
      </c>
      <c r="O1602" s="15" t="s">
        <v>40</v>
      </c>
      <c r="P1602" s="15" t="s">
        <v>41</v>
      </c>
      <c r="Q1602" s="1" t="s">
        <v>5760</v>
      </c>
      <c r="R1602" s="2" t="s">
        <v>5761</v>
      </c>
      <c r="S1602" s="1" t="s">
        <v>46</v>
      </c>
      <c r="T1602" s="1" t="s">
        <v>635</v>
      </c>
      <c r="U1602" s="1" t="s">
        <v>5762</v>
      </c>
      <c r="V1602" s="1" t="s">
        <v>45</v>
      </c>
      <c r="W1602" s="1"/>
      <c r="X1602" s="1"/>
      <c r="Y1602" s="1"/>
      <c r="Z1602" s="1" t="s">
        <v>658</v>
      </c>
      <c r="AA1602" s="1" t="s">
        <v>5763</v>
      </c>
      <c r="AB1602" s="1" t="s">
        <v>46</v>
      </c>
      <c r="AC1602" s="1" t="s">
        <v>46</v>
      </c>
      <c r="AD1602" s="1" t="s">
        <v>46</v>
      </c>
      <c r="AE1602" s="1" t="s">
        <v>641</v>
      </c>
      <c r="AF1602" s="1" t="s">
        <v>190</v>
      </c>
      <c r="AG1602" s="1">
        <v>5</v>
      </c>
      <c r="AH1602" s="1" t="s">
        <v>190</v>
      </c>
      <c r="AI1602" s="1"/>
      <c r="AJ1602" s="1" t="s">
        <v>5764</v>
      </c>
      <c r="AK1602" s="1" t="s">
        <v>5093</v>
      </c>
    </row>
    <row r="1603" spans="1:37">
      <c r="A1603" s="1" t="str">
        <f>VLOOKUP(H1603,Languages!$A$2:$B$430,2,FALSE)</f>
        <v>Nuclear-Macro-Je</v>
      </c>
      <c r="B1603" s="1" t="s">
        <v>67</v>
      </c>
      <c r="C1603" s="1" t="s">
        <v>407</v>
      </c>
      <c r="D1603" s="1" t="s">
        <v>5765</v>
      </c>
      <c r="E1603" s="15" t="s">
        <v>678</v>
      </c>
      <c r="F1603" s="15" t="s">
        <v>678</v>
      </c>
      <c r="G1603" s="1" t="s">
        <v>678</v>
      </c>
      <c r="H1603" s="1" t="str">
        <f>VLOOKUP(G1603,'languoid 4.0'!$A$1:$I$24439,2,FALSE)</f>
        <v>nucl1710</v>
      </c>
      <c r="I1603" s="1" t="str">
        <f>VLOOKUP(G1603,'languoid 4.0'!$A$1:$I$24439,6,FALSE)</f>
        <v>language</v>
      </c>
      <c r="J1603" s="15" t="s">
        <v>38</v>
      </c>
      <c r="K1603" s="15" t="s">
        <v>38</v>
      </c>
      <c r="L1603" s="15" t="s">
        <v>38</v>
      </c>
      <c r="M1603" s="1"/>
      <c r="N1603" s="1" t="s">
        <v>680</v>
      </c>
      <c r="O1603" s="15" t="s">
        <v>40</v>
      </c>
      <c r="P1603" s="15" t="s">
        <v>41</v>
      </c>
      <c r="Q1603" s="1" t="s">
        <v>5766</v>
      </c>
      <c r="R1603" s="2" t="s">
        <v>5767</v>
      </c>
      <c r="S1603" s="1" t="s">
        <v>46</v>
      </c>
      <c r="T1603" s="1" t="s">
        <v>635</v>
      </c>
      <c r="U1603" s="1" t="s">
        <v>5768</v>
      </c>
      <c r="V1603" s="1" t="s">
        <v>45</v>
      </c>
      <c r="W1603" s="1"/>
      <c r="X1603" s="1"/>
      <c r="Y1603" s="1"/>
      <c r="Z1603" s="1" t="s">
        <v>658</v>
      </c>
      <c r="AA1603" s="1" t="s">
        <v>5769</v>
      </c>
      <c r="AB1603" s="1" t="s">
        <v>5770</v>
      </c>
      <c r="AC1603" s="1" t="s">
        <v>46</v>
      </c>
      <c r="AD1603" s="1" t="s">
        <v>46</v>
      </c>
      <c r="AE1603" s="1" t="s">
        <v>641</v>
      </c>
      <c r="AF1603" s="1" t="s">
        <v>190</v>
      </c>
      <c r="AG1603" s="1">
        <v>5</v>
      </c>
      <c r="AH1603" s="1" t="s">
        <v>190</v>
      </c>
      <c r="AI1603" s="1"/>
      <c r="AJ1603" s="1" t="s">
        <v>5771</v>
      </c>
      <c r="AK1603" s="1" t="s">
        <v>5093</v>
      </c>
    </row>
    <row r="1604" spans="1:37">
      <c r="A1604" s="1" t="str">
        <f>VLOOKUP(H1604,Languages!$A$2:$B$430,2,FALSE)</f>
        <v>Nuclear-Macro-Je</v>
      </c>
      <c r="B1604" s="1" t="s">
        <v>59</v>
      </c>
      <c r="C1604" s="1" t="s">
        <v>477</v>
      </c>
      <c r="D1604" s="1" t="s">
        <v>844</v>
      </c>
      <c r="E1604" s="15" t="s">
        <v>845</v>
      </c>
      <c r="F1604" s="15" t="s">
        <v>845</v>
      </c>
      <c r="G1604" s="1" t="s">
        <v>845</v>
      </c>
      <c r="H1604" s="1" t="str">
        <f>VLOOKUP(G1604,'languoid 4.0'!$A$1:$I$24439,2,FALSE)</f>
        <v>nucl1710</v>
      </c>
      <c r="I1604" s="1" t="str">
        <f>VLOOKUP(G1604,'languoid 4.0'!$A$1:$I$24439,6,FALSE)</f>
        <v>language</v>
      </c>
      <c r="J1604" s="15" t="s">
        <v>38</v>
      </c>
      <c r="K1604" s="15" t="s">
        <v>38</v>
      </c>
      <c r="L1604" s="15" t="s">
        <v>38</v>
      </c>
      <c r="M1604" s="1"/>
      <c r="N1604" s="1" t="s">
        <v>846</v>
      </c>
      <c r="O1604" s="15" t="s">
        <v>40</v>
      </c>
      <c r="P1604" s="15" t="s">
        <v>41</v>
      </c>
      <c r="Q1604" s="1" t="s">
        <v>847</v>
      </c>
      <c r="R1604" s="2" t="s">
        <v>848</v>
      </c>
      <c r="S1604" s="1" t="s">
        <v>849</v>
      </c>
      <c r="T1604" s="1" t="s">
        <v>635</v>
      </c>
      <c r="U1604" s="1" t="s">
        <v>850</v>
      </c>
      <c r="V1604" s="1" t="s">
        <v>45</v>
      </c>
      <c r="W1604" s="1"/>
      <c r="X1604" s="1"/>
      <c r="Y1604" s="1"/>
      <c r="Z1604" s="1" t="s">
        <v>637</v>
      </c>
      <c r="AA1604" s="1" t="s">
        <v>851</v>
      </c>
      <c r="AB1604" s="1" t="s">
        <v>852</v>
      </c>
      <c r="AC1604" s="1" t="s">
        <v>46</v>
      </c>
      <c r="AD1604" s="1"/>
      <c r="AE1604" s="1" t="s">
        <v>641</v>
      </c>
      <c r="AF1604" s="1" t="s">
        <v>190</v>
      </c>
      <c r="AG1604" s="1">
        <v>6</v>
      </c>
      <c r="AH1604" s="1" t="s">
        <v>190</v>
      </c>
      <c r="AI1604" s="1" t="s">
        <v>853</v>
      </c>
      <c r="AJ1604" s="3">
        <v>43253.551168981481</v>
      </c>
      <c r="AK1604" s="1" t="s">
        <v>651</v>
      </c>
    </row>
    <row r="1605" spans="1:37">
      <c r="A1605" s="1" t="str">
        <f>VLOOKUP(H1605,Languages!$A$2:$B$430,2,FALSE)</f>
        <v>Nuclear-Macro-Je</v>
      </c>
      <c r="B1605" s="1" t="s">
        <v>109</v>
      </c>
      <c r="C1605" s="1" t="s">
        <v>477</v>
      </c>
      <c r="D1605" s="1" t="s">
        <v>696</v>
      </c>
      <c r="E1605" s="15" t="s">
        <v>697</v>
      </c>
      <c r="F1605" s="15" t="s">
        <v>697</v>
      </c>
      <c r="G1605" s="1" t="s">
        <v>697</v>
      </c>
      <c r="H1605" s="1" t="str">
        <f>VLOOKUP(G1605,'languoid 4.0'!$A$1:$I$24439,2,FALSE)</f>
        <v>nucl1710</v>
      </c>
      <c r="I1605" s="1" t="str">
        <f>VLOOKUP(G1605,'languoid 4.0'!$A$1:$I$24439,6,FALSE)</f>
        <v>language</v>
      </c>
      <c r="J1605" s="15" t="s">
        <v>38</v>
      </c>
      <c r="K1605" s="15" t="s">
        <v>38</v>
      </c>
      <c r="L1605" s="15" t="s">
        <v>38</v>
      </c>
      <c r="M1605" s="1"/>
      <c r="N1605" s="1" t="s">
        <v>698</v>
      </c>
      <c r="O1605" s="15" t="s">
        <v>113</v>
      </c>
      <c r="P1605" s="15" t="s">
        <v>632</v>
      </c>
      <c r="Q1605" s="1" t="s">
        <v>828</v>
      </c>
      <c r="R1605" s="2" t="s">
        <v>829</v>
      </c>
      <c r="S1605" s="1" t="s">
        <v>46</v>
      </c>
      <c r="T1605" s="1" t="s">
        <v>635</v>
      </c>
      <c r="U1605" s="1" t="s">
        <v>636</v>
      </c>
      <c r="V1605" s="1" t="s">
        <v>45</v>
      </c>
      <c r="W1605" s="1"/>
      <c r="X1605" s="1"/>
      <c r="Y1605" s="1"/>
      <c r="Z1605" s="1" t="s">
        <v>658</v>
      </c>
      <c r="AA1605" s="1" t="s">
        <v>830</v>
      </c>
      <c r="AB1605" s="1" t="s">
        <v>46</v>
      </c>
      <c r="AC1605" s="1" t="s">
        <v>46</v>
      </c>
      <c r="AD1605" s="1"/>
      <c r="AE1605" s="1" t="s">
        <v>641</v>
      </c>
      <c r="AF1605" s="1" t="s">
        <v>190</v>
      </c>
      <c r="AG1605" s="1">
        <v>5</v>
      </c>
      <c r="AH1605" s="1" t="s">
        <v>190</v>
      </c>
      <c r="AI1605" s="1"/>
      <c r="AJ1605" s="3">
        <v>43253.509108796294</v>
      </c>
      <c r="AK1605" s="1" t="s">
        <v>651</v>
      </c>
    </row>
    <row r="1606" spans="1:37">
      <c r="A1606" s="1" t="str">
        <f>VLOOKUP(H1606,Languages!$A$2:$B$430,2,FALSE)</f>
        <v>Nuclear-Macro-Je</v>
      </c>
      <c r="B1606" s="1" t="s">
        <v>35</v>
      </c>
      <c r="C1606" s="1" t="s">
        <v>477</v>
      </c>
      <c r="D1606" s="1" t="s">
        <v>544</v>
      </c>
      <c r="E1606" s="15" t="s">
        <v>545</v>
      </c>
      <c r="F1606" s="15" t="s">
        <v>51</v>
      </c>
      <c r="G1606" s="1" t="s">
        <v>545</v>
      </c>
      <c r="H1606" s="1" t="str">
        <f>VLOOKUP(G1606,'languoid 4.0'!$A$1:$I$24439,2,FALSE)</f>
        <v>nucl1710</v>
      </c>
      <c r="I1606" s="1" t="str">
        <f>VLOOKUP(G1606,'languoid 4.0'!$A$1:$I$24439,6,FALSE)</f>
        <v>dialect</v>
      </c>
      <c r="J1606" s="15" t="s">
        <v>52</v>
      </c>
      <c r="K1606" s="15" t="s">
        <v>51</v>
      </c>
      <c r="L1606" s="15" t="s">
        <v>51</v>
      </c>
      <c r="M1606" s="1"/>
      <c r="N1606" s="1"/>
      <c r="O1606" s="15" t="s">
        <v>40</v>
      </c>
      <c r="P1606" s="15" t="s">
        <v>41</v>
      </c>
      <c r="Q1606" s="1" t="s">
        <v>546</v>
      </c>
      <c r="R1606" s="2" t="s">
        <v>547</v>
      </c>
      <c r="S1606" s="1" t="s">
        <v>197</v>
      </c>
      <c r="T1606" s="1" t="s">
        <v>44</v>
      </c>
      <c r="U1606" s="1"/>
      <c r="V1606" s="1" t="s">
        <v>45</v>
      </c>
      <c r="W1606" s="1"/>
      <c r="X1606" s="1"/>
      <c r="Y1606" s="1"/>
      <c r="Z1606" s="1"/>
      <c r="AA1606" s="1">
        <v>1</v>
      </c>
      <c r="AB1606" s="1">
        <v>2</v>
      </c>
      <c r="AC1606" s="1" t="s">
        <v>46</v>
      </c>
      <c r="AD1606" s="1"/>
      <c r="AE1606" s="1"/>
      <c r="AF1606" s="1"/>
      <c r="AG1606" s="1"/>
      <c r="AH1606" s="1"/>
      <c r="AI1606" s="1"/>
      <c r="AJ1606" s="3">
        <v>43102.755682870367</v>
      </c>
      <c r="AK1606" s="1" t="s">
        <v>57</v>
      </c>
    </row>
    <row r="1607" spans="1:37">
      <c r="A1607" s="1" t="str">
        <f>VLOOKUP(H1607,Languages!$A$2:$B$430,2,FALSE)</f>
        <v>Nuclear-Macro-Je</v>
      </c>
      <c r="B1607" s="1" t="s">
        <v>35</v>
      </c>
      <c r="C1607" s="1" t="s">
        <v>407</v>
      </c>
      <c r="D1607" s="1" t="s">
        <v>11393</v>
      </c>
      <c r="E1607" s="15" t="s">
        <v>643</v>
      </c>
      <c r="F1607" s="15" t="s">
        <v>643</v>
      </c>
      <c r="G1607" s="1" t="s">
        <v>643</v>
      </c>
      <c r="H1607" s="1" t="str">
        <f>VLOOKUP(G1607,'languoid 4.0'!$A$1:$I$24439,2,FALSE)</f>
        <v>nucl1710</v>
      </c>
      <c r="I1607" s="1" t="str">
        <f>VLOOKUP(G1607,'languoid 4.0'!$A$1:$I$24439,6,FALSE)</f>
        <v>language</v>
      </c>
      <c r="J1607" s="15" t="s">
        <v>38</v>
      </c>
      <c r="K1607" s="15" t="s">
        <v>38</v>
      </c>
      <c r="L1607" s="15" t="s">
        <v>38</v>
      </c>
      <c r="M1607" s="1"/>
      <c r="N1607" s="1" t="s">
        <v>644</v>
      </c>
      <c r="O1607" s="15" t="s">
        <v>40</v>
      </c>
      <c r="P1607" s="15" t="s">
        <v>41</v>
      </c>
      <c r="Q1607" s="1" t="s">
        <v>35</v>
      </c>
      <c r="R1607" s="2" t="s">
        <v>11394</v>
      </c>
      <c r="S1607" s="1" t="s">
        <v>46</v>
      </c>
      <c r="T1607" s="1" t="s">
        <v>635</v>
      </c>
      <c r="U1607" s="1" t="s">
        <v>636</v>
      </c>
      <c r="V1607" s="1" t="s">
        <v>45</v>
      </c>
      <c r="W1607" s="1"/>
      <c r="X1607" s="1"/>
      <c r="Y1607" s="1"/>
      <c r="Z1607" s="1" t="s">
        <v>658</v>
      </c>
      <c r="AA1607" s="1" t="s">
        <v>11395</v>
      </c>
      <c r="AB1607" s="1" t="s">
        <v>46</v>
      </c>
      <c r="AC1607" s="1" t="s">
        <v>46</v>
      </c>
      <c r="AD1607" s="1"/>
      <c r="AE1607" s="1" t="s">
        <v>641</v>
      </c>
      <c r="AF1607" s="1" t="s">
        <v>190</v>
      </c>
      <c r="AG1607" s="1">
        <v>4</v>
      </c>
      <c r="AH1607" s="1" t="s">
        <v>190</v>
      </c>
      <c r="AI1607" s="1"/>
      <c r="AJ1607" s="1" t="s">
        <v>11396</v>
      </c>
      <c r="AK1607" s="1" t="s">
        <v>4386</v>
      </c>
    </row>
    <row r="1608" spans="1:37">
      <c r="A1608" s="1" t="str">
        <f>VLOOKUP(H1608,Languages!$A$2:$B$430,2,FALSE)</f>
        <v>Nuclear-Macro-Je</v>
      </c>
      <c r="B1608" s="1" t="s">
        <v>35</v>
      </c>
      <c r="C1608" s="1" t="s">
        <v>407</v>
      </c>
      <c r="D1608" s="1" t="s">
        <v>11393</v>
      </c>
      <c r="E1608" s="15" t="s">
        <v>643</v>
      </c>
      <c r="F1608" s="15" t="s">
        <v>643</v>
      </c>
      <c r="G1608" s="1" t="s">
        <v>643</v>
      </c>
      <c r="H1608" s="1" t="str">
        <f>VLOOKUP(G1608,'languoid 4.0'!$A$1:$I$24439,2,FALSE)</f>
        <v>nucl1710</v>
      </c>
      <c r="I1608" s="1" t="str">
        <f>VLOOKUP(G1608,'languoid 4.0'!$A$1:$I$24439,6,FALSE)</f>
        <v>language</v>
      </c>
      <c r="J1608" s="15" t="s">
        <v>38</v>
      </c>
      <c r="K1608" s="15" t="s">
        <v>38</v>
      </c>
      <c r="L1608" s="15" t="s">
        <v>38</v>
      </c>
      <c r="M1608" s="1"/>
      <c r="N1608" s="1" t="s">
        <v>644</v>
      </c>
      <c r="O1608" s="15" t="s">
        <v>40</v>
      </c>
      <c r="P1608" s="15" t="s">
        <v>41</v>
      </c>
      <c r="Q1608" s="1" t="s">
        <v>35</v>
      </c>
      <c r="R1608" s="2" t="s">
        <v>11397</v>
      </c>
      <c r="S1608" s="1" t="s">
        <v>46</v>
      </c>
      <c r="T1608" s="1" t="s">
        <v>635</v>
      </c>
      <c r="U1608" s="1" t="s">
        <v>636</v>
      </c>
      <c r="V1608" s="1" t="s">
        <v>45</v>
      </c>
      <c r="W1608" s="1"/>
      <c r="X1608" s="1"/>
      <c r="Y1608" s="1"/>
      <c r="Z1608" s="1" t="s">
        <v>637</v>
      </c>
      <c r="AA1608" s="1" t="s">
        <v>11398</v>
      </c>
      <c r="AB1608" s="1" t="s">
        <v>11399</v>
      </c>
      <c r="AC1608" s="1" t="s">
        <v>46</v>
      </c>
      <c r="AD1608" s="1"/>
      <c r="AE1608" s="1" t="s">
        <v>641</v>
      </c>
      <c r="AF1608" s="1" t="s">
        <v>190</v>
      </c>
      <c r="AG1608" s="1">
        <v>6</v>
      </c>
      <c r="AH1608" s="1" t="s">
        <v>190</v>
      </c>
      <c r="AI1608" s="1"/>
      <c r="AJ1608" s="1" t="s">
        <v>11400</v>
      </c>
      <c r="AK1608" s="1" t="s">
        <v>4386</v>
      </c>
    </row>
    <row r="1609" spans="1:37">
      <c r="A1609" s="1" t="str">
        <f>VLOOKUP(H1609,Languages!$A$2:$B$430,2,FALSE)</f>
        <v>Nuclear-Macro-Je</v>
      </c>
      <c r="B1609" s="1" t="s">
        <v>1726</v>
      </c>
      <c r="C1609" s="1" t="s">
        <v>477</v>
      </c>
      <c r="D1609" s="1" t="s">
        <v>1721</v>
      </c>
      <c r="E1609" s="15" t="s">
        <v>678</v>
      </c>
      <c r="F1609" s="15" t="s">
        <v>679</v>
      </c>
      <c r="G1609" s="1" t="s">
        <v>678</v>
      </c>
      <c r="H1609" s="1" t="str">
        <f>VLOOKUP(G1609,'languoid 4.0'!$A$1:$I$24439,2,FALSE)</f>
        <v>nucl1710</v>
      </c>
      <c r="I1609" s="1" t="str">
        <f>VLOOKUP(G1609,'languoid 4.0'!$A$1:$I$24439,6,FALSE)</f>
        <v>language</v>
      </c>
      <c r="J1609" s="15" t="s">
        <v>52</v>
      </c>
      <c r="K1609" s="15" t="s">
        <v>38</v>
      </c>
      <c r="L1609" s="15" t="s">
        <v>38</v>
      </c>
      <c r="M1609" s="1"/>
      <c r="N1609" s="1" t="s">
        <v>680</v>
      </c>
      <c r="O1609" s="15" t="s">
        <v>40</v>
      </c>
      <c r="P1609" s="15" t="s">
        <v>41</v>
      </c>
      <c r="Q1609" s="1" t="s">
        <v>1727</v>
      </c>
      <c r="R1609" s="2" t="s">
        <v>1728</v>
      </c>
      <c r="S1609" s="1" t="s">
        <v>46</v>
      </c>
      <c r="T1609" s="1" t="s">
        <v>635</v>
      </c>
      <c r="U1609" s="1" t="s">
        <v>636</v>
      </c>
      <c r="V1609" s="1" t="s">
        <v>45</v>
      </c>
      <c r="W1609" s="1"/>
      <c r="X1609" s="1"/>
      <c r="Y1609" s="1"/>
      <c r="Z1609" s="1" t="s">
        <v>637</v>
      </c>
      <c r="AA1609" s="1" t="s">
        <v>1729</v>
      </c>
      <c r="AB1609" s="1" t="s">
        <v>1730</v>
      </c>
      <c r="AC1609" s="1" t="s">
        <v>46</v>
      </c>
      <c r="AD1609" s="1"/>
      <c r="AE1609" s="1" t="s">
        <v>641</v>
      </c>
      <c r="AF1609" s="1" t="s">
        <v>190</v>
      </c>
      <c r="AG1609" s="1">
        <v>4</v>
      </c>
      <c r="AH1609" s="1" t="s">
        <v>190</v>
      </c>
      <c r="AI1609" s="1"/>
      <c r="AJ1609" s="3">
        <v>43346.594490740739</v>
      </c>
      <c r="AK1609" s="1" t="s">
        <v>651</v>
      </c>
    </row>
    <row r="1610" spans="1:37">
      <c r="A1610" s="1" t="str">
        <f>VLOOKUP(H1610,Languages!$A$2:$B$430,2,FALSE)</f>
        <v>Nuclear-Macro-Je</v>
      </c>
      <c r="B1610" s="1" t="s">
        <v>1726</v>
      </c>
      <c r="C1610" s="1" t="s">
        <v>407</v>
      </c>
      <c r="D1610" s="1" t="s">
        <v>5100</v>
      </c>
      <c r="E1610" s="15" t="s">
        <v>5101</v>
      </c>
      <c r="F1610" s="15" t="s">
        <v>5102</v>
      </c>
      <c r="G1610" s="1" t="s">
        <v>5102</v>
      </c>
      <c r="H1610" s="1" t="str">
        <f>VLOOKUP(G1610,'languoid 4.0'!$A$1:$I$24439,2,FALSE)</f>
        <v>nucl1710</v>
      </c>
      <c r="I1610" s="1" t="str">
        <f>VLOOKUP(G1610,'languoid 4.0'!$A$1:$I$24439,6,FALSE)</f>
        <v>language</v>
      </c>
      <c r="J1610" s="15" t="s">
        <v>52</v>
      </c>
      <c r="K1610" s="15" t="s">
        <v>38</v>
      </c>
      <c r="L1610" s="15" t="s">
        <v>38</v>
      </c>
      <c r="M1610" s="1"/>
      <c r="N1610" s="1" t="s">
        <v>5103</v>
      </c>
      <c r="O1610" s="15" t="s">
        <v>40</v>
      </c>
      <c r="P1610" s="15" t="s">
        <v>41</v>
      </c>
      <c r="Q1610" s="1" t="s">
        <v>5104</v>
      </c>
      <c r="R1610" s="2" t="s">
        <v>5105</v>
      </c>
      <c r="S1610" s="1" t="s">
        <v>46</v>
      </c>
      <c r="T1610" s="1" t="s">
        <v>635</v>
      </c>
      <c r="U1610" s="1" t="s">
        <v>636</v>
      </c>
      <c r="V1610" s="1" t="s">
        <v>45</v>
      </c>
      <c r="W1610" s="1"/>
      <c r="X1610" s="1"/>
      <c r="Y1610" s="1"/>
      <c r="Z1610" s="1" t="s">
        <v>658</v>
      </c>
      <c r="AA1610" s="1" t="s">
        <v>5106</v>
      </c>
      <c r="AB1610" s="1" t="s">
        <v>5107</v>
      </c>
      <c r="AC1610" s="1" t="s">
        <v>46</v>
      </c>
      <c r="AD1610" s="1"/>
      <c r="AE1610" s="1" t="s">
        <v>641</v>
      </c>
      <c r="AF1610" s="1" t="s">
        <v>190</v>
      </c>
      <c r="AG1610" s="1">
        <v>4</v>
      </c>
      <c r="AH1610" s="1" t="s">
        <v>190</v>
      </c>
      <c r="AI1610" s="1"/>
      <c r="AJ1610" s="1" t="s">
        <v>5108</v>
      </c>
      <c r="AK1610" s="1" t="s">
        <v>5093</v>
      </c>
    </row>
    <row r="1611" spans="1:37">
      <c r="A1611" s="1" t="str">
        <f>VLOOKUP(H1611,Languages!$A$2:$B$430,2,FALSE)</f>
        <v>Nuclear-Macro-Je</v>
      </c>
      <c r="B1611" s="1" t="s">
        <v>1726</v>
      </c>
      <c r="C1611" s="1" t="s">
        <v>407</v>
      </c>
      <c r="D1611" s="1" t="s">
        <v>11393</v>
      </c>
      <c r="E1611" s="15" t="s">
        <v>643</v>
      </c>
      <c r="F1611" s="15" t="s">
        <v>643</v>
      </c>
      <c r="G1611" s="1" t="s">
        <v>643</v>
      </c>
      <c r="H1611" s="1" t="str">
        <f>VLOOKUP(G1611,'languoid 4.0'!$A$1:$I$24439,2,FALSE)</f>
        <v>nucl1710</v>
      </c>
      <c r="I1611" s="1" t="str">
        <f>VLOOKUP(G1611,'languoid 4.0'!$A$1:$I$24439,6,FALSE)</f>
        <v>language</v>
      </c>
      <c r="J1611" s="15" t="s">
        <v>38</v>
      </c>
      <c r="K1611" s="15" t="s">
        <v>38</v>
      </c>
      <c r="L1611" s="15" t="s">
        <v>38</v>
      </c>
      <c r="M1611" s="1"/>
      <c r="N1611" s="1" t="s">
        <v>644</v>
      </c>
      <c r="O1611" s="15" t="s">
        <v>40</v>
      </c>
      <c r="P1611" s="15" t="s">
        <v>41</v>
      </c>
      <c r="Q1611" s="1" t="s">
        <v>11401</v>
      </c>
      <c r="R1611" s="2" t="s">
        <v>11402</v>
      </c>
      <c r="S1611" s="1" t="s">
        <v>46</v>
      </c>
      <c r="T1611" s="1" t="s">
        <v>635</v>
      </c>
      <c r="U1611" s="1" t="s">
        <v>636</v>
      </c>
      <c r="V1611" s="1" t="s">
        <v>45</v>
      </c>
      <c r="W1611" s="1"/>
      <c r="X1611" s="1"/>
      <c r="Y1611" s="1"/>
      <c r="Z1611" s="1" t="s">
        <v>637</v>
      </c>
      <c r="AA1611" s="1" t="s">
        <v>11403</v>
      </c>
      <c r="AB1611" s="1" t="s">
        <v>11404</v>
      </c>
      <c r="AC1611" s="1" t="s">
        <v>46</v>
      </c>
      <c r="AD1611" s="1"/>
      <c r="AE1611" s="1" t="s">
        <v>641</v>
      </c>
      <c r="AF1611" s="1" t="s">
        <v>190</v>
      </c>
      <c r="AG1611" s="1">
        <v>4</v>
      </c>
      <c r="AH1611" s="1" t="s">
        <v>190</v>
      </c>
      <c r="AI1611" s="1"/>
      <c r="AJ1611" s="1" t="s">
        <v>11405</v>
      </c>
      <c r="AK1611" s="1" t="s">
        <v>4386</v>
      </c>
    </row>
    <row r="1612" spans="1:37">
      <c r="A1612" s="1" t="str">
        <f>VLOOKUP(H1612,Languages!$A$2:$B$430,2,FALSE)</f>
        <v>Nuclear-Macro-Je</v>
      </c>
      <c r="B1612" s="1" t="s">
        <v>1750</v>
      </c>
      <c r="C1612" s="1" t="s">
        <v>477</v>
      </c>
      <c r="D1612" s="1" t="s">
        <v>2449</v>
      </c>
      <c r="E1612" s="15" t="s">
        <v>697</v>
      </c>
      <c r="F1612" s="15" t="s">
        <v>697</v>
      </c>
      <c r="G1612" s="1" t="s">
        <v>697</v>
      </c>
      <c r="H1612" s="1" t="str">
        <f>VLOOKUP(G1612,'languoid 4.0'!$A$1:$I$24439,2,FALSE)</f>
        <v>nucl1710</v>
      </c>
      <c r="I1612" s="1" t="str">
        <f>VLOOKUP(G1612,'languoid 4.0'!$A$1:$I$24439,6,FALSE)</f>
        <v>language</v>
      </c>
      <c r="J1612" s="15" t="s">
        <v>38</v>
      </c>
      <c r="K1612" s="15" t="s">
        <v>38</v>
      </c>
      <c r="L1612" s="15" t="s">
        <v>38</v>
      </c>
      <c r="M1612" s="1"/>
      <c r="N1612" s="1" t="s">
        <v>698</v>
      </c>
      <c r="O1612" s="15" t="s">
        <v>40</v>
      </c>
      <c r="P1612" s="15" t="s">
        <v>41</v>
      </c>
      <c r="Q1612" s="1" t="s">
        <v>2450</v>
      </c>
      <c r="R1612" s="2" t="s">
        <v>2451</v>
      </c>
      <c r="S1612" s="1">
        <v>1</v>
      </c>
      <c r="T1612" s="1" t="s">
        <v>1689</v>
      </c>
      <c r="U1612" s="1" t="s">
        <v>636</v>
      </c>
      <c r="V1612" s="1" t="s">
        <v>45</v>
      </c>
      <c r="W1612" s="1"/>
      <c r="X1612" s="1"/>
      <c r="Y1612" s="1"/>
      <c r="Z1612" s="1" t="s">
        <v>673</v>
      </c>
      <c r="AA1612" s="1" t="s">
        <v>46</v>
      </c>
      <c r="AB1612" s="1" t="s">
        <v>2452</v>
      </c>
      <c r="AC1612" s="1" t="s">
        <v>46</v>
      </c>
      <c r="AD1612" s="1"/>
      <c r="AE1612" s="1" t="s">
        <v>641</v>
      </c>
      <c r="AF1612" s="1" t="s">
        <v>190</v>
      </c>
      <c r="AG1612" s="1">
        <v>2</v>
      </c>
      <c r="AH1612" s="1" t="s">
        <v>190</v>
      </c>
      <c r="AI1612" s="1"/>
      <c r="AJ1612" s="1" t="s">
        <v>2453</v>
      </c>
      <c r="AK1612" s="1" t="s">
        <v>651</v>
      </c>
    </row>
    <row r="1613" spans="1:37">
      <c r="A1613" s="1" t="str">
        <f>VLOOKUP(H1613,Languages!$A$2:$B$430,2,FALSE)</f>
        <v>Nuclear-Macro-Je</v>
      </c>
      <c r="B1613" s="1" t="s">
        <v>1738</v>
      </c>
      <c r="C1613" s="1" t="s">
        <v>477</v>
      </c>
      <c r="D1613" s="1" t="s">
        <v>696</v>
      </c>
      <c r="E1613" s="15" t="s">
        <v>697</v>
      </c>
      <c r="F1613" s="15" t="s">
        <v>697</v>
      </c>
      <c r="G1613" s="1" t="s">
        <v>697</v>
      </c>
      <c r="H1613" s="1" t="str">
        <f>VLOOKUP(G1613,'languoid 4.0'!$A$1:$I$24439,2,FALSE)</f>
        <v>nucl1710</v>
      </c>
      <c r="I1613" s="1" t="str">
        <f>VLOOKUP(G1613,'languoid 4.0'!$A$1:$I$24439,6,FALSE)</f>
        <v>language</v>
      </c>
      <c r="J1613" s="15" t="s">
        <v>38</v>
      </c>
      <c r="K1613" s="15" t="s">
        <v>38</v>
      </c>
      <c r="L1613" s="15" t="s">
        <v>38</v>
      </c>
      <c r="M1613" s="1"/>
      <c r="N1613" s="1" t="s">
        <v>698</v>
      </c>
      <c r="O1613" s="15" t="s">
        <v>113</v>
      </c>
      <c r="P1613" s="15" t="s">
        <v>632</v>
      </c>
      <c r="Q1613" s="1" t="s">
        <v>1739</v>
      </c>
      <c r="R1613" s="2" t="s">
        <v>1740</v>
      </c>
      <c r="S1613" s="1" t="s">
        <v>46</v>
      </c>
      <c r="T1613" s="1" t="s">
        <v>635</v>
      </c>
      <c r="U1613" s="1" t="s">
        <v>636</v>
      </c>
      <c r="V1613" s="1" t="s">
        <v>45</v>
      </c>
      <c r="W1613" s="1"/>
      <c r="X1613" s="1"/>
      <c r="Y1613" s="1"/>
      <c r="Z1613" s="1" t="s">
        <v>637</v>
      </c>
      <c r="AA1613" s="1" t="s">
        <v>1741</v>
      </c>
      <c r="AB1613" s="1" t="s">
        <v>1742</v>
      </c>
      <c r="AC1613" s="1" t="s">
        <v>46</v>
      </c>
      <c r="AD1613" s="1"/>
      <c r="AE1613" s="1" t="s">
        <v>641</v>
      </c>
      <c r="AF1613" s="1" t="s">
        <v>190</v>
      </c>
      <c r="AG1613" s="1">
        <v>1</v>
      </c>
      <c r="AH1613" s="1" t="s">
        <v>190</v>
      </c>
      <c r="AI1613" s="1"/>
      <c r="AJ1613" s="3">
        <v>43346.604375000003</v>
      </c>
      <c r="AK1613" s="1" t="s">
        <v>651</v>
      </c>
    </row>
    <row r="1614" spans="1:37">
      <c r="A1614" s="1" t="str">
        <f>VLOOKUP(H1614,Languages!$A$2:$B$430,2,FALSE)</f>
        <v>Nuclear-Macro-Je</v>
      </c>
      <c r="B1614" s="1" t="s">
        <v>1707</v>
      </c>
      <c r="C1614" s="1" t="s">
        <v>477</v>
      </c>
      <c r="D1614" s="1" t="s">
        <v>1721</v>
      </c>
      <c r="E1614" s="15" t="s">
        <v>678</v>
      </c>
      <c r="F1614" s="15" t="s">
        <v>679</v>
      </c>
      <c r="G1614" s="1" t="s">
        <v>678</v>
      </c>
      <c r="H1614" s="1" t="str">
        <f>VLOOKUP(G1614,'languoid 4.0'!$A$1:$I$24439,2,FALSE)</f>
        <v>nucl1710</v>
      </c>
      <c r="I1614" s="1" t="str">
        <f>VLOOKUP(G1614,'languoid 4.0'!$A$1:$I$24439,6,FALSE)</f>
        <v>language</v>
      </c>
      <c r="J1614" s="15" t="s">
        <v>52</v>
      </c>
      <c r="K1614" s="15" t="s">
        <v>38</v>
      </c>
      <c r="L1614" s="15" t="s">
        <v>38</v>
      </c>
      <c r="M1614" s="1"/>
      <c r="N1614" s="1" t="s">
        <v>680</v>
      </c>
      <c r="O1614" s="15" t="s">
        <v>40</v>
      </c>
      <c r="P1614" s="15" t="s">
        <v>41</v>
      </c>
      <c r="Q1614" s="1" t="s">
        <v>1722</v>
      </c>
      <c r="R1614" s="2" t="s">
        <v>1723</v>
      </c>
      <c r="S1614" s="1" t="s">
        <v>46</v>
      </c>
      <c r="T1614" s="1" t="s">
        <v>635</v>
      </c>
      <c r="U1614" s="1" t="s">
        <v>636</v>
      </c>
      <c r="V1614" s="1" t="s">
        <v>45</v>
      </c>
      <c r="W1614" s="1"/>
      <c r="X1614" s="1"/>
      <c r="Y1614" s="1"/>
      <c r="Z1614" s="1" t="s">
        <v>637</v>
      </c>
      <c r="AA1614" s="1" t="s">
        <v>1724</v>
      </c>
      <c r="AB1614" s="1" t="s">
        <v>1725</v>
      </c>
      <c r="AC1614" s="1" t="s">
        <v>46</v>
      </c>
      <c r="AD1614" s="1"/>
      <c r="AE1614" s="1" t="s">
        <v>641</v>
      </c>
      <c r="AF1614" s="1" t="s">
        <v>190</v>
      </c>
      <c r="AG1614" s="1">
        <v>4</v>
      </c>
      <c r="AH1614" s="1" t="s">
        <v>190</v>
      </c>
      <c r="AI1614" s="1"/>
      <c r="AJ1614" s="3">
        <v>43346.589166666665</v>
      </c>
      <c r="AK1614" s="1" t="s">
        <v>651</v>
      </c>
    </row>
    <row r="1615" spans="1:37">
      <c r="A1615" s="1" t="str">
        <f>VLOOKUP(H1615,Languages!$A$2:$B$430,2,FALSE)</f>
        <v>Nyulnyulan</v>
      </c>
      <c r="B1615" s="1" t="s">
        <v>67</v>
      </c>
      <c r="C1615" s="1" t="s">
        <v>34</v>
      </c>
      <c r="D1615" s="1" t="s">
        <v>2642</v>
      </c>
      <c r="E1615" s="15" t="s">
        <v>2643</v>
      </c>
      <c r="F1615" s="15" t="s">
        <v>180</v>
      </c>
      <c r="G1615" s="1" t="s">
        <v>2643</v>
      </c>
      <c r="H1615" s="1" t="str">
        <f>VLOOKUP(G1615,'languoid 4.0'!$A$1:$I$24439,2,FALSE)</f>
        <v>nyul1248</v>
      </c>
      <c r="I1615" s="1" t="str">
        <f>VLOOKUP(G1615,'languoid 4.0'!$A$1:$I$24439,6,FALSE)</f>
        <v>language</v>
      </c>
      <c r="J1615" s="15" t="s">
        <v>52</v>
      </c>
      <c r="K1615" s="15" t="s">
        <v>52</v>
      </c>
      <c r="L1615" s="15" t="s">
        <v>52</v>
      </c>
      <c r="M1615" s="1"/>
      <c r="N1615" s="1" t="s">
        <v>2644</v>
      </c>
      <c r="O1615" s="15" t="s">
        <v>40</v>
      </c>
      <c r="P1615" s="15" t="s">
        <v>41</v>
      </c>
      <c r="Q1615" s="1" t="s">
        <v>2645</v>
      </c>
      <c r="R1615" s="2" t="s">
        <v>2646</v>
      </c>
      <c r="S1615" s="1">
        <v>3</v>
      </c>
      <c r="T1615" s="1" t="s">
        <v>1585</v>
      </c>
      <c r="U1615" s="1" t="s">
        <v>636</v>
      </c>
      <c r="V1615" s="1" t="s">
        <v>45</v>
      </c>
      <c r="W1615" s="1"/>
      <c r="X1615" s="1"/>
      <c r="Y1615" s="1"/>
      <c r="Z1615" s="1" t="s">
        <v>673</v>
      </c>
      <c r="AA1615" s="1" t="s">
        <v>46</v>
      </c>
      <c r="AB1615" s="1" t="s">
        <v>2647</v>
      </c>
      <c r="AC1615" s="1" t="s">
        <v>46</v>
      </c>
      <c r="AD1615" s="1" t="s">
        <v>2648</v>
      </c>
      <c r="AE1615" s="1"/>
      <c r="AF1615" s="1"/>
      <c r="AG1615" s="1"/>
      <c r="AH1615" s="1" t="s">
        <v>45</v>
      </c>
      <c r="AI1615" s="1"/>
      <c r="AJ1615" s="3">
        <v>43255.744409722225</v>
      </c>
      <c r="AK1615" s="1" t="s">
        <v>676</v>
      </c>
    </row>
    <row r="1616" spans="1:37">
      <c r="A1616" s="1" t="str">
        <f>VLOOKUP(H1616,Languages!$A$2:$B$430,2,FALSE)</f>
        <v>Otomanguean</v>
      </c>
      <c r="B1616" s="1" t="s">
        <v>67</v>
      </c>
      <c r="C1616" s="1" t="s">
        <v>5463</v>
      </c>
      <c r="D1616" s="1" t="s">
        <v>5464</v>
      </c>
      <c r="E1616" s="15" t="s">
        <v>5465</v>
      </c>
      <c r="F1616" s="15" t="s">
        <v>5465</v>
      </c>
      <c r="G1616" s="1" t="s">
        <v>5465</v>
      </c>
      <c r="H1616" s="1" t="str">
        <f>VLOOKUP(G1616,'languoid 4.0'!$A$1:$I$24439,2,FALSE)</f>
        <v>otom1299</v>
      </c>
      <c r="I1616" s="1" t="str">
        <f>VLOOKUP(G1616,'languoid 4.0'!$A$1:$I$24439,6,FALSE)</f>
        <v>family</v>
      </c>
      <c r="J1616" s="15" t="s">
        <v>38</v>
      </c>
      <c r="K1616" s="15" t="s">
        <v>38</v>
      </c>
      <c r="L1616" s="15" t="s">
        <v>38</v>
      </c>
      <c r="M1616" s="1"/>
      <c r="N1616" s="1"/>
      <c r="O1616" s="15" t="s">
        <v>113</v>
      </c>
      <c r="P1616" s="15" t="s">
        <v>41</v>
      </c>
      <c r="Q1616" s="1" t="s">
        <v>6317</v>
      </c>
      <c r="R1616" s="2" t="s">
        <v>6318</v>
      </c>
      <c r="S1616" s="1" t="s">
        <v>43</v>
      </c>
      <c r="T1616" s="1" t="s">
        <v>657</v>
      </c>
      <c r="U1616" s="1" t="s">
        <v>636</v>
      </c>
      <c r="V1616" s="1" t="s">
        <v>45</v>
      </c>
      <c r="W1616" s="1"/>
      <c r="X1616" s="1"/>
      <c r="Y1616" s="1"/>
      <c r="Z1616" s="1" t="s">
        <v>637</v>
      </c>
      <c r="AA1616" s="1" t="s">
        <v>6319</v>
      </c>
      <c r="AB1616" s="1" t="s">
        <v>6320</v>
      </c>
      <c r="AC1616" s="1" t="s">
        <v>46</v>
      </c>
      <c r="AD1616" s="1"/>
      <c r="AE1616" s="1" t="s">
        <v>641</v>
      </c>
      <c r="AF1616" s="1" t="s">
        <v>45</v>
      </c>
      <c r="AG1616" s="1">
        <v>1</v>
      </c>
      <c r="AH1616" s="1" t="s">
        <v>190</v>
      </c>
      <c r="AI1616" s="1" t="s">
        <v>6321</v>
      </c>
      <c r="AJ1616" s="3">
        <v>43258.688194444447</v>
      </c>
      <c r="AK1616" s="1" t="s">
        <v>5472</v>
      </c>
    </row>
    <row r="1617" spans="1:37">
      <c r="A1617" s="1" t="str">
        <f>VLOOKUP(H1617,Languages!$A$2:$B$430,2,FALSE)</f>
        <v>Otomanguean</v>
      </c>
      <c r="B1617" s="1" t="s">
        <v>67</v>
      </c>
      <c r="C1617" s="1" t="s">
        <v>5463</v>
      </c>
      <c r="D1617" s="1" t="s">
        <v>9628</v>
      </c>
      <c r="E1617" s="15" t="s">
        <v>9629</v>
      </c>
      <c r="F1617" s="15" t="s">
        <v>9629</v>
      </c>
      <c r="G1617" s="1" t="s">
        <v>9629</v>
      </c>
      <c r="H1617" s="1" t="str">
        <f>VLOOKUP(G1617,'languoid 4.0'!$A$1:$I$24439,2,FALSE)</f>
        <v>otom1299</v>
      </c>
      <c r="I1617" s="1" t="str">
        <f>VLOOKUP(G1617,'languoid 4.0'!$A$1:$I$24439,6,FALSE)</f>
        <v>language</v>
      </c>
      <c r="J1617" s="15" t="s">
        <v>38</v>
      </c>
      <c r="K1617" s="15" t="s">
        <v>38</v>
      </c>
      <c r="L1617" s="15" t="s">
        <v>38</v>
      </c>
      <c r="M1617" s="1"/>
      <c r="N1617" s="1" t="s">
        <v>9630</v>
      </c>
      <c r="O1617" s="15" t="s">
        <v>40</v>
      </c>
      <c r="P1617" s="15" t="s">
        <v>41</v>
      </c>
      <c r="Q1617" s="1" t="s">
        <v>9631</v>
      </c>
      <c r="R1617" s="2" t="s">
        <v>9632</v>
      </c>
      <c r="S1617" s="1" t="s">
        <v>46</v>
      </c>
      <c r="T1617" s="1" t="s">
        <v>822</v>
      </c>
      <c r="U1617" s="1" t="s">
        <v>636</v>
      </c>
      <c r="V1617" s="1" t="s">
        <v>45</v>
      </c>
      <c r="W1617" s="1"/>
      <c r="X1617" s="1"/>
      <c r="Y1617" s="1"/>
      <c r="Z1617" s="1" t="s">
        <v>658</v>
      </c>
      <c r="AA1617" s="1" t="s">
        <v>9633</v>
      </c>
      <c r="AB1617" s="1" t="s">
        <v>46</v>
      </c>
      <c r="AC1617" s="1" t="s">
        <v>46</v>
      </c>
      <c r="AD1617" s="1" t="s">
        <v>9634</v>
      </c>
      <c r="AE1617" s="1"/>
      <c r="AF1617" s="1"/>
      <c r="AG1617" s="1"/>
      <c r="AH1617" s="1" t="s">
        <v>45</v>
      </c>
      <c r="AI1617" s="1"/>
      <c r="AJ1617" s="3">
        <v>43414.69971064815</v>
      </c>
      <c r="AK1617" s="1" t="s">
        <v>5472</v>
      </c>
    </row>
    <row r="1618" spans="1:37">
      <c r="A1618" s="1" t="str">
        <f>VLOOKUP(H1618,Languages!$A$2:$B$430,2,FALSE)</f>
        <v>Otomanguean</v>
      </c>
      <c r="B1618" s="1" t="s">
        <v>59</v>
      </c>
      <c r="C1618" s="1" t="s">
        <v>5463</v>
      </c>
      <c r="D1618" s="1" t="s">
        <v>8446</v>
      </c>
      <c r="E1618" s="15" t="s">
        <v>6067</v>
      </c>
      <c r="F1618" s="15" t="s">
        <v>6067</v>
      </c>
      <c r="G1618" s="1" t="s">
        <v>6067</v>
      </c>
      <c r="H1618" s="1" t="str">
        <f>VLOOKUP(G1618,'languoid 4.0'!$A$1:$I$24439,2,FALSE)</f>
        <v>otom1299</v>
      </c>
      <c r="I1618" s="1" t="str">
        <f>VLOOKUP(G1618,'languoid 4.0'!$A$1:$I$24439,6,FALSE)</f>
        <v>language</v>
      </c>
      <c r="J1618" s="15" t="s">
        <v>38</v>
      </c>
      <c r="K1618" s="15" t="s">
        <v>38</v>
      </c>
      <c r="L1618" s="15" t="s">
        <v>38</v>
      </c>
      <c r="M1618" s="1"/>
      <c r="N1618" s="1" t="s">
        <v>6068</v>
      </c>
      <c r="O1618" s="15" t="s">
        <v>40</v>
      </c>
      <c r="P1618" s="15" t="s">
        <v>41</v>
      </c>
      <c r="Q1618" s="1" t="s">
        <v>8447</v>
      </c>
      <c r="R1618" s="2" t="s">
        <v>8440</v>
      </c>
      <c r="S1618" s="1" t="s">
        <v>46</v>
      </c>
      <c r="T1618" s="1" t="s">
        <v>754</v>
      </c>
      <c r="U1618" s="1" t="s">
        <v>636</v>
      </c>
      <c r="V1618" s="1" t="s">
        <v>45</v>
      </c>
      <c r="W1618" s="1"/>
      <c r="X1618" s="1"/>
      <c r="Y1618" s="1"/>
      <c r="Z1618" s="1" t="s">
        <v>637</v>
      </c>
      <c r="AA1618" s="1" t="s">
        <v>7553</v>
      </c>
      <c r="AB1618" s="1" t="s">
        <v>8445</v>
      </c>
      <c r="AC1618" s="1" t="s">
        <v>46</v>
      </c>
      <c r="AD1618" s="1" t="s">
        <v>8448</v>
      </c>
      <c r="AE1618" s="1"/>
      <c r="AF1618" s="1"/>
      <c r="AG1618" s="1"/>
      <c r="AH1618" s="1" t="s">
        <v>45</v>
      </c>
      <c r="AI1618" s="1"/>
      <c r="AJ1618" s="3">
        <v>43140.757523148146</v>
      </c>
      <c r="AK1618" s="1" t="s">
        <v>5472</v>
      </c>
    </row>
    <row r="1619" spans="1:37">
      <c r="A1619" s="1" t="str">
        <f>VLOOKUP(H1619,Languages!$A$2:$B$430,2,FALSE)</f>
        <v>Otomanguean</v>
      </c>
      <c r="B1619" s="1" t="s">
        <v>109</v>
      </c>
      <c r="C1619" s="1" t="s">
        <v>5463</v>
      </c>
      <c r="D1619" s="1" t="s">
        <v>5464</v>
      </c>
      <c r="E1619" s="15" t="s">
        <v>5465</v>
      </c>
      <c r="F1619" s="15" t="s">
        <v>5465</v>
      </c>
      <c r="G1619" s="1" t="s">
        <v>5465</v>
      </c>
      <c r="H1619" s="1" t="str">
        <f>VLOOKUP(G1619,'languoid 4.0'!$A$1:$I$24439,2,FALSE)</f>
        <v>otom1299</v>
      </c>
      <c r="I1619" s="1" t="str">
        <f>VLOOKUP(G1619,'languoid 4.0'!$A$1:$I$24439,6,FALSE)</f>
        <v>family</v>
      </c>
      <c r="J1619" s="15" t="s">
        <v>38</v>
      </c>
      <c r="K1619" s="15" t="s">
        <v>38</v>
      </c>
      <c r="L1619" s="15" t="s">
        <v>38</v>
      </c>
      <c r="M1619" s="1"/>
      <c r="N1619" s="1"/>
      <c r="O1619" s="15" t="s">
        <v>113</v>
      </c>
      <c r="P1619" s="15" t="s">
        <v>41</v>
      </c>
      <c r="Q1619" s="1" t="s">
        <v>5473</v>
      </c>
      <c r="R1619" s="2" t="s">
        <v>5474</v>
      </c>
      <c r="S1619" s="1" t="s">
        <v>46</v>
      </c>
      <c r="T1619" s="1" t="s">
        <v>635</v>
      </c>
      <c r="U1619" s="1" t="s">
        <v>636</v>
      </c>
      <c r="V1619" s="1" t="s">
        <v>45</v>
      </c>
      <c r="W1619" s="1"/>
      <c r="X1619" s="1"/>
      <c r="Y1619" s="1"/>
      <c r="Z1619" s="1" t="s">
        <v>658</v>
      </c>
      <c r="AA1619" s="1" t="s">
        <v>5475</v>
      </c>
      <c r="AB1619" s="1" t="s">
        <v>5476</v>
      </c>
      <c r="AC1619" s="1" t="s">
        <v>46</v>
      </c>
      <c r="AD1619" s="1" t="s">
        <v>5477</v>
      </c>
      <c r="AE1619" s="1" t="s">
        <v>641</v>
      </c>
      <c r="AF1619" s="1" t="s">
        <v>190</v>
      </c>
      <c r="AG1619" s="1">
        <v>4</v>
      </c>
      <c r="AH1619" s="1" t="s">
        <v>190</v>
      </c>
      <c r="AI1619" s="1"/>
      <c r="AJ1619" s="1" t="s">
        <v>5478</v>
      </c>
      <c r="AK1619" s="1" t="s">
        <v>5472</v>
      </c>
    </row>
    <row r="1620" spans="1:37">
      <c r="A1620" s="1" t="str">
        <f>VLOOKUP(H1620,Languages!$A$2:$B$430,2,FALSE)</f>
        <v>Otomanguean</v>
      </c>
      <c r="B1620" s="1" t="s">
        <v>109</v>
      </c>
      <c r="C1620" s="1" t="s">
        <v>5463</v>
      </c>
      <c r="D1620" s="1" t="s">
        <v>8181</v>
      </c>
      <c r="E1620" s="15" t="s">
        <v>8182</v>
      </c>
      <c r="F1620" s="15" t="s">
        <v>8183</v>
      </c>
      <c r="G1620" s="1" t="s">
        <v>8182</v>
      </c>
      <c r="H1620" s="1" t="str">
        <f>VLOOKUP(G1620,'languoid 4.0'!$A$1:$I$24439,2,FALSE)</f>
        <v>otom1299</v>
      </c>
      <c r="I1620" s="1" t="str">
        <f>VLOOKUP(G1620,'languoid 4.0'!$A$1:$I$24439,6,FALSE)</f>
        <v>language</v>
      </c>
      <c r="J1620" s="15" t="s">
        <v>52</v>
      </c>
      <c r="K1620" s="15" t="s">
        <v>38</v>
      </c>
      <c r="L1620" s="15" t="s">
        <v>38</v>
      </c>
      <c r="M1620" s="1"/>
      <c r="N1620" s="1" t="s">
        <v>8184</v>
      </c>
      <c r="O1620" s="15" t="s">
        <v>40</v>
      </c>
      <c r="P1620" s="15" t="s">
        <v>41</v>
      </c>
      <c r="Q1620" s="1" t="s">
        <v>748</v>
      </c>
      <c r="R1620" s="2" t="s">
        <v>7552</v>
      </c>
      <c r="S1620" s="1" t="s">
        <v>8185</v>
      </c>
      <c r="T1620" s="1" t="s">
        <v>754</v>
      </c>
      <c r="U1620" s="1" t="s">
        <v>636</v>
      </c>
      <c r="V1620" s="1" t="s">
        <v>45</v>
      </c>
      <c r="W1620" s="1"/>
      <c r="X1620" s="1"/>
      <c r="Y1620" s="1"/>
      <c r="Z1620" s="1" t="s">
        <v>658</v>
      </c>
      <c r="AA1620" s="1" t="s">
        <v>8186</v>
      </c>
      <c r="AB1620" s="1" t="s">
        <v>46</v>
      </c>
      <c r="AC1620" s="1" t="s">
        <v>46</v>
      </c>
      <c r="AD1620" s="1" t="s">
        <v>8187</v>
      </c>
      <c r="AE1620" s="1"/>
      <c r="AF1620" s="1"/>
      <c r="AG1620" s="1"/>
      <c r="AH1620" s="1" t="s">
        <v>45</v>
      </c>
      <c r="AI1620" s="1" t="s">
        <v>8188</v>
      </c>
      <c r="AJ1620" s="1" t="s">
        <v>8189</v>
      </c>
      <c r="AK1620" s="1" t="s">
        <v>5472</v>
      </c>
    </row>
    <row r="1621" spans="1:37">
      <c r="A1621" s="1" t="str">
        <f>VLOOKUP(H1621,Languages!$A$2:$B$430,2,FALSE)</f>
        <v>Otomanguean</v>
      </c>
      <c r="B1621" s="1" t="s">
        <v>109</v>
      </c>
      <c r="C1621" s="1" t="s">
        <v>5463</v>
      </c>
      <c r="D1621" s="1" t="s">
        <v>5464</v>
      </c>
      <c r="E1621" s="15" t="s">
        <v>8431</v>
      </c>
      <c r="F1621" s="15" t="s">
        <v>8431</v>
      </c>
      <c r="G1621" s="1" t="s">
        <v>8431</v>
      </c>
      <c r="H1621" s="1" t="str">
        <f>VLOOKUP(G1621,'languoid 4.0'!$A$1:$I$24439,2,FALSE)</f>
        <v>otom1299</v>
      </c>
      <c r="I1621" s="1" t="str">
        <f>VLOOKUP(G1621,'languoid 4.0'!$A$1:$I$24439,6,FALSE)</f>
        <v>language</v>
      </c>
      <c r="J1621" s="15" t="s">
        <v>38</v>
      </c>
      <c r="K1621" s="15" t="s">
        <v>38</v>
      </c>
      <c r="L1621" s="15" t="s">
        <v>38</v>
      </c>
      <c r="M1621" s="1"/>
      <c r="N1621" s="1" t="s">
        <v>8432</v>
      </c>
      <c r="O1621" s="15" t="s">
        <v>40</v>
      </c>
      <c r="P1621" s="15" t="s">
        <v>41</v>
      </c>
      <c r="Q1621" s="1" t="s">
        <v>8541</v>
      </c>
      <c r="R1621" s="2" t="s">
        <v>8539</v>
      </c>
      <c r="S1621" s="1" t="s">
        <v>46</v>
      </c>
      <c r="T1621" s="1" t="s">
        <v>754</v>
      </c>
      <c r="U1621" s="1" t="s">
        <v>636</v>
      </c>
      <c r="V1621" s="1" t="s">
        <v>45</v>
      </c>
      <c r="W1621" s="1"/>
      <c r="X1621" s="1"/>
      <c r="Y1621" s="1"/>
      <c r="Z1621" s="1" t="s">
        <v>658</v>
      </c>
      <c r="AA1621" s="1" t="s">
        <v>8186</v>
      </c>
      <c r="AB1621" s="1" t="s">
        <v>46</v>
      </c>
      <c r="AC1621" s="1" t="s">
        <v>46</v>
      </c>
      <c r="AD1621" s="1" t="s">
        <v>8542</v>
      </c>
      <c r="AE1621" s="1"/>
      <c r="AF1621" s="1"/>
      <c r="AG1621" s="1"/>
      <c r="AH1621" s="1" t="s">
        <v>45</v>
      </c>
      <c r="AI1621" s="1"/>
      <c r="AJ1621" s="3">
        <v>43168.672962962963</v>
      </c>
      <c r="AK1621" s="1" t="s">
        <v>5472</v>
      </c>
    </row>
    <row r="1622" spans="1:37">
      <c r="A1622" s="1" t="str">
        <f>VLOOKUP(H1622,Languages!$A$2:$B$430,2,FALSE)</f>
        <v>Otomanguean</v>
      </c>
      <c r="B1622" s="1" t="s">
        <v>35</v>
      </c>
      <c r="C1622" s="1" t="s">
        <v>5463</v>
      </c>
      <c r="D1622" s="1" t="s">
        <v>5464</v>
      </c>
      <c r="E1622" s="15" t="s">
        <v>5465</v>
      </c>
      <c r="F1622" s="15" t="s">
        <v>5465</v>
      </c>
      <c r="G1622" s="1" t="s">
        <v>5465</v>
      </c>
      <c r="H1622" s="1" t="str">
        <f>VLOOKUP(G1622,'languoid 4.0'!$A$1:$I$24439,2,FALSE)</f>
        <v>otom1299</v>
      </c>
      <c r="I1622" s="1" t="str">
        <f>VLOOKUP(G1622,'languoid 4.0'!$A$1:$I$24439,6,FALSE)</f>
        <v>family</v>
      </c>
      <c r="J1622" s="15" t="s">
        <v>38</v>
      </c>
      <c r="K1622" s="15" t="s">
        <v>38</v>
      </c>
      <c r="L1622" s="15" t="s">
        <v>38</v>
      </c>
      <c r="M1622" s="1"/>
      <c r="N1622" s="1"/>
      <c r="O1622" s="15" t="s">
        <v>113</v>
      </c>
      <c r="P1622" s="15" t="s">
        <v>41</v>
      </c>
      <c r="Q1622" s="1" t="s">
        <v>5466</v>
      </c>
      <c r="R1622" s="2" t="s">
        <v>5467</v>
      </c>
      <c r="S1622" s="1" t="s">
        <v>46</v>
      </c>
      <c r="T1622" s="1" t="s">
        <v>635</v>
      </c>
      <c r="U1622" s="1" t="s">
        <v>636</v>
      </c>
      <c r="V1622" s="1" t="s">
        <v>45</v>
      </c>
      <c r="W1622" s="1"/>
      <c r="X1622" s="1"/>
      <c r="Y1622" s="1"/>
      <c r="Z1622" s="1" t="s">
        <v>658</v>
      </c>
      <c r="AA1622" s="1" t="s">
        <v>5468</v>
      </c>
      <c r="AB1622" s="1" t="s">
        <v>5469</v>
      </c>
      <c r="AC1622" s="1" t="s">
        <v>46</v>
      </c>
      <c r="AD1622" s="1" t="s">
        <v>5470</v>
      </c>
      <c r="AE1622" s="1" t="s">
        <v>641</v>
      </c>
      <c r="AF1622" s="1" t="s">
        <v>190</v>
      </c>
      <c r="AG1622" s="1">
        <v>5</v>
      </c>
      <c r="AH1622" s="1" t="s">
        <v>190</v>
      </c>
      <c r="AI1622" s="1"/>
      <c r="AJ1622" s="1" t="s">
        <v>5471</v>
      </c>
      <c r="AK1622" s="1" t="s">
        <v>5472</v>
      </c>
    </row>
    <row r="1623" spans="1:37">
      <c r="A1623" s="1" t="str">
        <f>VLOOKUP(H1623,Languages!$A$2:$B$430,2,FALSE)</f>
        <v>Otomanguean</v>
      </c>
      <c r="B1623" s="1" t="s">
        <v>35</v>
      </c>
      <c r="C1623" s="1" t="s">
        <v>5463</v>
      </c>
      <c r="D1623" s="1" t="s">
        <v>5464</v>
      </c>
      <c r="E1623" s="15" t="s">
        <v>8431</v>
      </c>
      <c r="F1623" s="15" t="s">
        <v>8431</v>
      </c>
      <c r="G1623" s="1" t="s">
        <v>8431</v>
      </c>
      <c r="H1623" s="1" t="str">
        <f>VLOOKUP(G1623,'languoid 4.0'!$A$1:$I$24439,2,FALSE)</f>
        <v>otom1299</v>
      </c>
      <c r="I1623" s="1" t="str">
        <f>VLOOKUP(G1623,'languoid 4.0'!$A$1:$I$24439,6,FALSE)</f>
        <v>language</v>
      </c>
      <c r="J1623" s="15" t="s">
        <v>38</v>
      </c>
      <c r="K1623" s="15" t="s">
        <v>38</v>
      </c>
      <c r="L1623" s="15" t="s">
        <v>38</v>
      </c>
      <c r="M1623" s="1"/>
      <c r="N1623" s="1" t="s">
        <v>8432</v>
      </c>
      <c r="O1623" s="15" t="s">
        <v>40</v>
      </c>
      <c r="P1623" s="15" t="s">
        <v>41</v>
      </c>
      <c r="Q1623" s="1" t="s">
        <v>8433</v>
      </c>
      <c r="R1623" s="2" t="s">
        <v>8434</v>
      </c>
      <c r="S1623" s="1" t="s">
        <v>46</v>
      </c>
      <c r="T1623" s="1" t="s">
        <v>754</v>
      </c>
      <c r="U1623" s="1" t="s">
        <v>636</v>
      </c>
      <c r="V1623" s="1" t="s">
        <v>45</v>
      </c>
      <c r="W1623" s="1"/>
      <c r="X1623" s="1"/>
      <c r="Y1623" s="1"/>
      <c r="Z1623" s="1" t="s">
        <v>658</v>
      </c>
      <c r="AA1623" s="1" t="s">
        <v>7547</v>
      </c>
      <c r="AB1623" s="1" t="s">
        <v>46</v>
      </c>
      <c r="AC1623" s="1" t="s">
        <v>46</v>
      </c>
      <c r="AD1623" s="1" t="s">
        <v>8435</v>
      </c>
      <c r="AE1623" s="1"/>
      <c r="AF1623" s="1"/>
      <c r="AG1623" s="1"/>
      <c r="AH1623" s="1" t="s">
        <v>45</v>
      </c>
      <c r="AI1623" s="1"/>
      <c r="AJ1623" s="3">
        <v>43140.715381944443</v>
      </c>
      <c r="AK1623" s="1" t="s">
        <v>5472</v>
      </c>
    </row>
    <row r="1624" spans="1:37">
      <c r="A1624" s="1" t="str">
        <f>VLOOKUP(H1624,Languages!$A$2:$B$430,2,FALSE)</f>
        <v>Otomanguean</v>
      </c>
      <c r="B1624" s="1" t="s">
        <v>652</v>
      </c>
      <c r="C1624" s="1" t="s">
        <v>5463</v>
      </c>
      <c r="D1624" s="1" t="s">
        <v>8446</v>
      </c>
      <c r="E1624" s="15" t="s">
        <v>6067</v>
      </c>
      <c r="F1624" s="15" t="s">
        <v>6067</v>
      </c>
      <c r="G1624" s="1" t="s">
        <v>6067</v>
      </c>
      <c r="H1624" s="1" t="str">
        <f>VLOOKUP(G1624,'languoid 4.0'!$A$1:$I$24439,2,FALSE)</f>
        <v>otom1299</v>
      </c>
      <c r="I1624" s="1" t="str">
        <f>VLOOKUP(G1624,'languoid 4.0'!$A$1:$I$24439,6,FALSE)</f>
        <v>language</v>
      </c>
      <c r="J1624" s="15" t="s">
        <v>38</v>
      </c>
      <c r="K1624" s="15" t="s">
        <v>38</v>
      </c>
      <c r="L1624" s="15" t="s">
        <v>38</v>
      </c>
      <c r="M1624" s="1"/>
      <c r="N1624" s="1" t="s">
        <v>6068</v>
      </c>
      <c r="O1624" s="15" t="s">
        <v>40</v>
      </c>
      <c r="P1624" s="15" t="s">
        <v>41</v>
      </c>
      <c r="Q1624" s="1" t="s">
        <v>8547</v>
      </c>
      <c r="R1624" s="2" t="s">
        <v>8548</v>
      </c>
      <c r="S1624" s="1" t="s">
        <v>46</v>
      </c>
      <c r="T1624" s="1" t="s">
        <v>754</v>
      </c>
      <c r="U1624" s="1" t="s">
        <v>636</v>
      </c>
      <c r="V1624" s="1" t="s">
        <v>45</v>
      </c>
      <c r="W1624" s="1"/>
      <c r="X1624" s="1"/>
      <c r="Y1624" s="1"/>
      <c r="Z1624" s="1" t="s">
        <v>637</v>
      </c>
      <c r="AA1624" s="1" t="s">
        <v>8549</v>
      </c>
      <c r="AB1624" s="1" t="s">
        <v>8550</v>
      </c>
      <c r="AC1624" s="1" t="s">
        <v>46</v>
      </c>
      <c r="AD1624" s="1" t="s">
        <v>8455</v>
      </c>
      <c r="AE1624" s="1"/>
      <c r="AF1624" s="1"/>
      <c r="AG1624" s="1"/>
      <c r="AH1624" s="1" t="s">
        <v>45</v>
      </c>
      <c r="AI1624" s="1"/>
      <c r="AJ1624" s="3">
        <v>43168.694791666669</v>
      </c>
      <c r="AK1624" s="1" t="s">
        <v>5472</v>
      </c>
    </row>
    <row r="1625" spans="1:37">
      <c r="A1625" s="1" t="str">
        <f>VLOOKUP(H1625,Languages!$A$2:$B$430,2,FALSE)</f>
        <v>Otomanguean</v>
      </c>
      <c r="B1625" s="1" t="s">
        <v>652</v>
      </c>
      <c r="C1625" s="1" t="s">
        <v>5463</v>
      </c>
      <c r="D1625" s="1" t="s">
        <v>5464</v>
      </c>
      <c r="E1625" s="15" t="s">
        <v>8431</v>
      </c>
      <c r="F1625" s="15" t="s">
        <v>8431</v>
      </c>
      <c r="G1625" s="1" t="s">
        <v>8431</v>
      </c>
      <c r="H1625" s="1" t="str">
        <f>VLOOKUP(G1625,'languoid 4.0'!$A$1:$I$24439,2,FALSE)</f>
        <v>otom1299</v>
      </c>
      <c r="I1625" s="1" t="str">
        <f>VLOOKUP(G1625,'languoid 4.0'!$A$1:$I$24439,6,FALSE)</f>
        <v>language</v>
      </c>
      <c r="J1625" s="15" t="s">
        <v>38</v>
      </c>
      <c r="K1625" s="15" t="s">
        <v>38</v>
      </c>
      <c r="L1625" s="15" t="s">
        <v>38</v>
      </c>
      <c r="M1625" s="1"/>
      <c r="N1625" s="1" t="s">
        <v>8432</v>
      </c>
      <c r="O1625" s="15" t="s">
        <v>40</v>
      </c>
      <c r="P1625" s="15" t="s">
        <v>41</v>
      </c>
      <c r="Q1625" s="1" t="s">
        <v>8551</v>
      </c>
      <c r="R1625" s="2" t="s">
        <v>8548</v>
      </c>
      <c r="S1625" s="1" t="s">
        <v>46</v>
      </c>
      <c r="T1625" s="1" t="s">
        <v>754</v>
      </c>
      <c r="U1625" s="1" t="s">
        <v>636</v>
      </c>
      <c r="V1625" s="1" t="s">
        <v>45</v>
      </c>
      <c r="W1625" s="1"/>
      <c r="X1625" s="1"/>
      <c r="Y1625" s="1"/>
      <c r="Z1625" s="1" t="s">
        <v>637</v>
      </c>
      <c r="AA1625" s="1" t="s">
        <v>8549</v>
      </c>
      <c r="AB1625" s="1" t="s">
        <v>8550</v>
      </c>
      <c r="AC1625" s="1" t="s">
        <v>46</v>
      </c>
      <c r="AD1625" s="1" t="s">
        <v>8545</v>
      </c>
      <c r="AE1625" s="1"/>
      <c r="AF1625" s="1"/>
      <c r="AG1625" s="1"/>
      <c r="AH1625" s="1" t="s">
        <v>45</v>
      </c>
      <c r="AI1625" s="1"/>
      <c r="AJ1625" s="3">
        <v>43168.698321759257</v>
      </c>
      <c r="AK1625" s="1" t="s">
        <v>5472</v>
      </c>
    </row>
    <row r="1626" spans="1:37">
      <c r="A1626" s="1" t="str">
        <f>VLOOKUP(H1626,Languages!$A$2:$B$430,2,FALSE)</f>
        <v>Otomanguean</v>
      </c>
      <c r="B1626" s="1" t="s">
        <v>1750</v>
      </c>
      <c r="C1626" s="1" t="s">
        <v>5463</v>
      </c>
      <c r="D1626" s="1" t="s">
        <v>6066</v>
      </c>
      <c r="E1626" s="15" t="s">
        <v>6067</v>
      </c>
      <c r="F1626" s="15" t="s">
        <v>6067</v>
      </c>
      <c r="G1626" s="1" t="s">
        <v>6067</v>
      </c>
      <c r="H1626" s="1" t="str">
        <f>VLOOKUP(G1626,'languoid 4.0'!$A$1:$I$24439,2,FALSE)</f>
        <v>otom1299</v>
      </c>
      <c r="I1626" s="1" t="str">
        <f>VLOOKUP(G1626,'languoid 4.0'!$A$1:$I$24439,6,FALSE)</f>
        <v>language</v>
      </c>
      <c r="J1626" s="15" t="s">
        <v>38</v>
      </c>
      <c r="K1626" s="15" t="s">
        <v>38</v>
      </c>
      <c r="L1626" s="15" t="s">
        <v>38</v>
      </c>
      <c r="M1626" s="1"/>
      <c r="N1626" s="1" t="s">
        <v>6068</v>
      </c>
      <c r="O1626" s="15" t="s">
        <v>40</v>
      </c>
      <c r="P1626" s="15" t="s">
        <v>41</v>
      </c>
      <c r="Q1626" s="1" t="s">
        <v>6069</v>
      </c>
      <c r="R1626" s="2" t="s">
        <v>6070</v>
      </c>
      <c r="S1626" s="1" t="s">
        <v>46</v>
      </c>
      <c r="T1626" s="1" t="s">
        <v>635</v>
      </c>
      <c r="U1626" s="1" t="s">
        <v>636</v>
      </c>
      <c r="V1626" s="1" t="s">
        <v>45</v>
      </c>
      <c r="W1626" s="1"/>
      <c r="X1626" s="1"/>
      <c r="Y1626" s="1"/>
      <c r="Z1626" s="1" t="s">
        <v>658</v>
      </c>
      <c r="AA1626" s="1" t="s">
        <v>6071</v>
      </c>
      <c r="AB1626" s="1" t="s">
        <v>46</v>
      </c>
      <c r="AC1626" s="1" t="s">
        <v>46</v>
      </c>
      <c r="AD1626" s="1"/>
      <c r="AE1626" s="1" t="s">
        <v>641</v>
      </c>
      <c r="AF1626" s="1" t="s">
        <v>190</v>
      </c>
      <c r="AG1626" s="1">
        <v>6</v>
      </c>
      <c r="AH1626" s="1" t="s">
        <v>190</v>
      </c>
      <c r="AI1626" s="1"/>
      <c r="AJ1626" s="3">
        <v>43138.367129629631</v>
      </c>
      <c r="AK1626" s="1" t="s">
        <v>5472</v>
      </c>
    </row>
    <row r="1627" spans="1:37">
      <c r="A1627" s="1" t="str">
        <f>VLOOKUP(H1627,Languages!$A$2:$B$430,2,FALSE)</f>
        <v>Otomanguean</v>
      </c>
      <c r="B1627" s="1" t="s">
        <v>1812</v>
      </c>
      <c r="C1627" s="1" t="s">
        <v>5463</v>
      </c>
      <c r="D1627" s="1" t="s">
        <v>5464</v>
      </c>
      <c r="E1627" s="15" t="s">
        <v>8431</v>
      </c>
      <c r="F1627" s="15" t="s">
        <v>8431</v>
      </c>
      <c r="G1627" s="1" t="s">
        <v>8431</v>
      </c>
      <c r="H1627" s="1" t="str">
        <f>VLOOKUP(G1627,'languoid 4.0'!$A$1:$I$24439,2,FALSE)</f>
        <v>otom1299</v>
      </c>
      <c r="I1627" s="1" t="str">
        <f>VLOOKUP(G1627,'languoid 4.0'!$A$1:$I$24439,6,FALSE)</f>
        <v>language</v>
      </c>
      <c r="J1627" s="15" t="s">
        <v>38</v>
      </c>
      <c r="K1627" s="15" t="s">
        <v>38</v>
      </c>
      <c r="L1627" s="15" t="s">
        <v>38</v>
      </c>
      <c r="M1627" s="1"/>
      <c r="N1627" s="1" t="s">
        <v>8432</v>
      </c>
      <c r="O1627" s="15" t="s">
        <v>40</v>
      </c>
      <c r="P1627" s="15" t="s">
        <v>41</v>
      </c>
      <c r="Q1627" s="1" t="s">
        <v>8436</v>
      </c>
      <c r="R1627" s="2" t="s">
        <v>7559</v>
      </c>
      <c r="S1627" s="1" t="s">
        <v>46</v>
      </c>
      <c r="T1627" s="1" t="s">
        <v>754</v>
      </c>
      <c r="U1627" s="1" t="s">
        <v>636</v>
      </c>
      <c r="V1627" s="1" t="s">
        <v>45</v>
      </c>
      <c r="W1627" s="1"/>
      <c r="X1627" s="1"/>
      <c r="Y1627" s="1"/>
      <c r="Z1627" s="1" t="s">
        <v>658</v>
      </c>
      <c r="AA1627" s="1" t="s">
        <v>8437</v>
      </c>
      <c r="AB1627" s="1" t="s">
        <v>46</v>
      </c>
      <c r="AC1627" s="1" t="s">
        <v>46</v>
      </c>
      <c r="AD1627" s="1" t="s">
        <v>8438</v>
      </c>
      <c r="AE1627" s="1"/>
      <c r="AF1627" s="1"/>
      <c r="AG1627" s="1"/>
      <c r="AH1627" s="1" t="s">
        <v>45</v>
      </c>
      <c r="AI1627" s="1"/>
      <c r="AJ1627" s="3">
        <v>43140.723900462966</v>
      </c>
      <c r="AK1627" s="1" t="s">
        <v>5472</v>
      </c>
    </row>
    <row r="1628" spans="1:37">
      <c r="A1628" s="1" t="str">
        <f>VLOOKUP(H1628,Languages!$A$2:$B$430,2,FALSE)</f>
        <v>Pama-Nyungan</v>
      </c>
      <c r="B1628" s="1" t="s">
        <v>67</v>
      </c>
      <c r="C1628" s="1" t="s">
        <v>34</v>
      </c>
      <c r="D1628" s="1" t="s">
        <v>360</v>
      </c>
      <c r="E1628" s="15" t="s">
        <v>361</v>
      </c>
      <c r="F1628" s="15" t="s">
        <v>180</v>
      </c>
      <c r="G1628" s="1" t="s">
        <v>361</v>
      </c>
      <c r="H1628" s="1" t="str">
        <f>VLOOKUP(G1628,'languoid 4.0'!$A$1:$I$24439,2,FALSE)</f>
        <v>pama1250</v>
      </c>
      <c r="I1628" s="1" t="str">
        <f>VLOOKUP(G1628,'languoid 4.0'!$A$1:$I$24439,6,FALSE)</f>
        <v>family</v>
      </c>
      <c r="J1628" s="15" t="s">
        <v>52</v>
      </c>
      <c r="K1628" s="15" t="s">
        <v>52</v>
      </c>
      <c r="L1628" s="15" t="s">
        <v>52</v>
      </c>
      <c r="M1628" s="1"/>
      <c r="N1628" s="1"/>
      <c r="O1628" s="15" t="s">
        <v>113</v>
      </c>
      <c r="P1628" s="15" t="s">
        <v>41</v>
      </c>
      <c r="Q1628" s="1" t="s">
        <v>362</v>
      </c>
      <c r="R1628" s="2" t="s">
        <v>363</v>
      </c>
      <c r="S1628" s="1" t="s">
        <v>364</v>
      </c>
      <c r="T1628" s="1" t="s">
        <v>44</v>
      </c>
      <c r="U1628" s="1"/>
      <c r="V1628" s="1" t="s">
        <v>45</v>
      </c>
      <c r="W1628" s="1"/>
      <c r="X1628" s="1"/>
      <c r="Y1628" s="1"/>
      <c r="Z1628" s="1"/>
      <c r="AA1628" s="1">
        <v>5</v>
      </c>
      <c r="AB1628" s="1">
        <v>5</v>
      </c>
      <c r="AC1628" s="1">
        <v>5</v>
      </c>
      <c r="AD1628" s="1"/>
      <c r="AE1628" s="1"/>
      <c r="AF1628" s="1"/>
      <c r="AG1628" s="1"/>
      <c r="AH1628" s="1"/>
      <c r="AI1628" s="1"/>
      <c r="AJ1628" s="3">
        <v>43102.743750000001</v>
      </c>
      <c r="AK1628" s="1" t="s">
        <v>47</v>
      </c>
    </row>
    <row r="1629" spans="1:37">
      <c r="A1629" s="1" t="str">
        <f>VLOOKUP(H1629,Languages!$A$2:$B$430,2,FALSE)</f>
        <v>Pama-Nyungan</v>
      </c>
      <c r="B1629" s="1" t="s">
        <v>67</v>
      </c>
      <c r="C1629" s="1" t="s">
        <v>34</v>
      </c>
      <c r="D1629" s="1" t="s">
        <v>667</v>
      </c>
      <c r="E1629" s="15" t="s">
        <v>668</v>
      </c>
      <c r="F1629" s="15" t="s">
        <v>51</v>
      </c>
      <c r="G1629" s="1" t="s">
        <v>668</v>
      </c>
      <c r="H1629" s="1" t="str">
        <f>VLOOKUP(G1629,'languoid 4.0'!$A$1:$I$24439,2,FALSE)</f>
        <v>pama1250</v>
      </c>
      <c r="I1629" s="1" t="str">
        <f>VLOOKUP(G1629,'languoid 4.0'!$A$1:$I$24439,6,FALSE)</f>
        <v>language</v>
      </c>
      <c r="J1629" s="15" t="s">
        <v>52</v>
      </c>
      <c r="K1629" s="15" t="s">
        <v>51</v>
      </c>
      <c r="L1629" s="15" t="s">
        <v>51</v>
      </c>
      <c r="M1629" s="1"/>
      <c r="N1629" s="1" t="s">
        <v>669</v>
      </c>
      <c r="O1629" s="15" t="s">
        <v>40</v>
      </c>
      <c r="P1629" s="15" t="s">
        <v>41</v>
      </c>
      <c r="Q1629" s="1" t="s">
        <v>670</v>
      </c>
      <c r="R1629" s="2" t="s">
        <v>671</v>
      </c>
      <c r="S1629" s="1" t="s">
        <v>672</v>
      </c>
      <c r="T1629" s="1" t="s">
        <v>648</v>
      </c>
      <c r="U1629" s="1" t="s">
        <v>636</v>
      </c>
      <c r="V1629" s="1" t="s">
        <v>45</v>
      </c>
      <c r="W1629" s="1"/>
      <c r="X1629" s="1"/>
      <c r="Y1629" s="1"/>
      <c r="Z1629" s="1" t="s">
        <v>673</v>
      </c>
      <c r="AA1629" s="1"/>
      <c r="AB1629" s="1" t="s">
        <v>674</v>
      </c>
      <c r="AC1629" s="1" t="s">
        <v>46</v>
      </c>
      <c r="AD1629" s="1" t="s">
        <v>675</v>
      </c>
      <c r="AE1629" s="1" t="s">
        <v>641</v>
      </c>
      <c r="AF1629" s="1" t="s">
        <v>190</v>
      </c>
      <c r="AG1629" s="1">
        <v>3</v>
      </c>
      <c r="AH1629" s="1" t="s">
        <v>190</v>
      </c>
      <c r="AI1629" s="1"/>
      <c r="AJ1629" s="3">
        <v>43133.565868055557</v>
      </c>
      <c r="AK1629" s="1" t="s">
        <v>676</v>
      </c>
    </row>
    <row r="1630" spans="1:37">
      <c r="A1630" s="1" t="str">
        <f>VLOOKUP(H1630,Languages!$A$2:$B$430,2,FALSE)</f>
        <v>Pama-Nyungan</v>
      </c>
      <c r="B1630" s="1" t="s">
        <v>67</v>
      </c>
      <c r="C1630" s="1" t="s">
        <v>34</v>
      </c>
      <c r="D1630" s="1" t="s">
        <v>687</v>
      </c>
      <c r="E1630" s="15" t="s">
        <v>688</v>
      </c>
      <c r="F1630" s="15" t="s">
        <v>688</v>
      </c>
      <c r="G1630" s="1" t="s">
        <v>688</v>
      </c>
      <c r="H1630" s="1" t="str">
        <f>VLOOKUP(G1630,'languoid 4.0'!$A$1:$I$24439,2,FALSE)</f>
        <v>pama1250</v>
      </c>
      <c r="I1630" s="1" t="str">
        <f>VLOOKUP(G1630,'languoid 4.0'!$A$1:$I$24439,6,FALSE)</f>
        <v>language</v>
      </c>
      <c r="J1630" s="15" t="s">
        <v>38</v>
      </c>
      <c r="K1630" s="15" t="s">
        <v>38</v>
      </c>
      <c r="L1630" s="15" t="s">
        <v>38</v>
      </c>
      <c r="M1630" s="1"/>
      <c r="N1630" s="1" t="s">
        <v>689</v>
      </c>
      <c r="O1630" s="15" t="s">
        <v>690</v>
      </c>
      <c r="P1630" s="15" t="s">
        <v>41</v>
      </c>
      <c r="Q1630" s="1" t="s">
        <v>691</v>
      </c>
      <c r="R1630" s="2" t="s">
        <v>692</v>
      </c>
      <c r="S1630" s="1" t="s">
        <v>46</v>
      </c>
      <c r="T1630" s="1" t="s">
        <v>693</v>
      </c>
      <c r="U1630" s="1" t="s">
        <v>636</v>
      </c>
      <c r="V1630" s="1" t="s">
        <v>45</v>
      </c>
      <c r="W1630" s="1"/>
      <c r="X1630" s="1"/>
      <c r="Y1630" s="1"/>
      <c r="Z1630" s="1" t="s">
        <v>673</v>
      </c>
      <c r="AA1630" s="1" t="s">
        <v>694</v>
      </c>
      <c r="AB1630" s="1" t="s">
        <v>695</v>
      </c>
      <c r="AC1630" s="1" t="s">
        <v>46</v>
      </c>
      <c r="AD1630" s="1"/>
      <c r="AE1630" s="1" t="s">
        <v>641</v>
      </c>
      <c r="AF1630" s="1" t="s">
        <v>190</v>
      </c>
      <c r="AG1630" s="1">
        <v>4</v>
      </c>
      <c r="AH1630" s="1" t="s">
        <v>190</v>
      </c>
      <c r="AI1630" s="1"/>
      <c r="AJ1630" s="3">
        <v>43133.579606481479</v>
      </c>
      <c r="AK1630" s="1" t="s">
        <v>676</v>
      </c>
    </row>
    <row r="1631" spans="1:37">
      <c r="A1631" s="1" t="str">
        <f>VLOOKUP(H1631,Languages!$A$2:$B$430,2,FALSE)</f>
        <v>Pama-Nyungan</v>
      </c>
      <c r="B1631" s="1" t="s">
        <v>67</v>
      </c>
      <c r="C1631" s="1" t="s">
        <v>34</v>
      </c>
      <c r="D1631" s="1" t="s">
        <v>4497</v>
      </c>
      <c r="E1631" s="15" t="s">
        <v>668</v>
      </c>
      <c r="F1631" s="15" t="s">
        <v>180</v>
      </c>
      <c r="G1631" s="1" t="s">
        <v>668</v>
      </c>
      <c r="H1631" s="1" t="str">
        <f>VLOOKUP(G1631,'languoid 4.0'!$A$1:$I$24439,2,FALSE)</f>
        <v>pama1250</v>
      </c>
      <c r="I1631" s="1" t="str">
        <f>VLOOKUP(G1631,'languoid 4.0'!$A$1:$I$24439,6,FALSE)</f>
        <v>language</v>
      </c>
      <c r="J1631" s="15" t="s">
        <v>52</v>
      </c>
      <c r="K1631" s="15" t="s">
        <v>52</v>
      </c>
      <c r="L1631" s="15" t="s">
        <v>52</v>
      </c>
      <c r="M1631" s="1"/>
      <c r="N1631" s="1" t="s">
        <v>669</v>
      </c>
      <c r="O1631" s="15" t="s">
        <v>40</v>
      </c>
      <c r="P1631" s="15" t="s">
        <v>632</v>
      </c>
      <c r="Q1631" s="1" t="s">
        <v>4498</v>
      </c>
      <c r="R1631" s="2" t="s">
        <v>4499</v>
      </c>
      <c r="S1631" s="1" t="s">
        <v>4500</v>
      </c>
      <c r="T1631" s="1" t="s">
        <v>2948</v>
      </c>
      <c r="U1631" s="1" t="s">
        <v>636</v>
      </c>
      <c r="V1631" s="1" t="s">
        <v>45</v>
      </c>
      <c r="W1631" s="1"/>
      <c r="X1631" s="1"/>
      <c r="Y1631" s="1"/>
      <c r="Z1631" s="1" t="s">
        <v>658</v>
      </c>
      <c r="AA1631" s="1" t="s">
        <v>4501</v>
      </c>
      <c r="AB1631" s="1" t="s">
        <v>46</v>
      </c>
      <c r="AC1631" s="1" t="s">
        <v>46</v>
      </c>
      <c r="AD1631" s="1" t="s">
        <v>4502</v>
      </c>
      <c r="AE1631" s="1" t="s">
        <v>641</v>
      </c>
      <c r="AF1631" s="1" t="s">
        <v>190</v>
      </c>
      <c r="AG1631" s="1">
        <v>6</v>
      </c>
      <c r="AH1631" s="1" t="s">
        <v>190</v>
      </c>
      <c r="AI1631" s="1" t="s">
        <v>4503</v>
      </c>
      <c r="AJ1631" s="3">
        <v>43257.477256944447</v>
      </c>
      <c r="AK1631" s="1" t="s">
        <v>4504</v>
      </c>
    </row>
    <row r="1632" spans="1:37">
      <c r="A1632" s="1" t="str">
        <f>VLOOKUP(H1632,Languages!$A$2:$B$430,2,FALSE)</f>
        <v>Pama-Nyungan</v>
      </c>
      <c r="B1632" s="1" t="s">
        <v>59</v>
      </c>
      <c r="C1632" s="1" t="s">
        <v>34</v>
      </c>
      <c r="D1632" s="1" t="s">
        <v>401</v>
      </c>
      <c r="E1632" s="15" t="s">
        <v>402</v>
      </c>
      <c r="F1632" s="15" t="s">
        <v>51</v>
      </c>
      <c r="G1632" s="1" t="s">
        <v>402</v>
      </c>
      <c r="H1632" s="1" t="str">
        <f>VLOOKUP(G1632,'languoid 4.0'!$A$1:$I$24439,2,FALSE)</f>
        <v>pama1250</v>
      </c>
      <c r="I1632" s="1" t="str">
        <f>VLOOKUP(G1632,'languoid 4.0'!$A$1:$I$24439,6,FALSE)</f>
        <v>language</v>
      </c>
      <c r="J1632" s="15" t="s">
        <v>52</v>
      </c>
      <c r="K1632" s="15" t="s">
        <v>51</v>
      </c>
      <c r="L1632" s="15" t="s">
        <v>51</v>
      </c>
      <c r="M1632" s="1"/>
      <c r="N1632" s="1" t="s">
        <v>403</v>
      </c>
      <c r="O1632" s="15" t="s">
        <v>40</v>
      </c>
      <c r="P1632" s="15" t="s">
        <v>41</v>
      </c>
      <c r="Q1632" s="1" t="s">
        <v>404</v>
      </c>
      <c r="R1632" s="2" t="s">
        <v>405</v>
      </c>
      <c r="S1632" s="1" t="s">
        <v>406</v>
      </c>
      <c r="T1632" s="1" t="s">
        <v>44</v>
      </c>
      <c r="U1632" s="1"/>
      <c r="V1632" s="1" t="s">
        <v>45</v>
      </c>
      <c r="W1632" s="1"/>
      <c r="X1632" s="1"/>
      <c r="Y1632" s="1"/>
      <c r="Z1632" s="1"/>
      <c r="AA1632" s="1">
        <v>5</v>
      </c>
      <c r="AB1632" s="1">
        <v>5</v>
      </c>
      <c r="AC1632" s="1" t="s">
        <v>46</v>
      </c>
      <c r="AD1632" s="1"/>
      <c r="AE1632" s="1"/>
      <c r="AF1632" s="1"/>
      <c r="AG1632" s="1"/>
      <c r="AH1632" s="1"/>
      <c r="AI1632" s="1"/>
      <c r="AJ1632" s="3">
        <v>43102.746817129628</v>
      </c>
      <c r="AK1632" s="1" t="s">
        <v>74</v>
      </c>
    </row>
    <row r="1633" spans="1:37">
      <c r="A1633" s="1" t="str">
        <f>VLOOKUP(H1633,Languages!$A$2:$B$430,2,FALSE)</f>
        <v>Pama-Nyungan</v>
      </c>
      <c r="B1633" s="1" t="s">
        <v>59</v>
      </c>
      <c r="C1633" s="1" t="s">
        <v>34</v>
      </c>
      <c r="D1633" s="1" t="s">
        <v>2623</v>
      </c>
      <c r="E1633" s="15" t="s">
        <v>2624</v>
      </c>
      <c r="F1633" s="15" t="s">
        <v>2625</v>
      </c>
      <c r="G1633" s="1" t="s">
        <v>2624</v>
      </c>
      <c r="H1633" s="1" t="str">
        <f>VLOOKUP(G1633,'languoid 4.0'!$A$1:$I$24439,2,FALSE)</f>
        <v>pama1250</v>
      </c>
      <c r="I1633" s="1" t="str">
        <f>VLOOKUP(G1633,'languoid 4.0'!$A$1:$I$24439,6,FALSE)</f>
        <v>language</v>
      </c>
      <c r="J1633" s="15" t="s">
        <v>52</v>
      </c>
      <c r="K1633" s="15" t="s">
        <v>52</v>
      </c>
      <c r="L1633" s="15" t="s">
        <v>38</v>
      </c>
      <c r="M1633" s="1"/>
      <c r="N1633" s="1" t="s">
        <v>2626</v>
      </c>
      <c r="O1633" s="15" t="s">
        <v>40</v>
      </c>
      <c r="P1633" s="15" t="s">
        <v>41</v>
      </c>
      <c r="Q1633" s="1" t="s">
        <v>690</v>
      </c>
      <c r="R1633" s="2" t="s">
        <v>2627</v>
      </c>
      <c r="S1633" s="1" t="s">
        <v>690</v>
      </c>
      <c r="T1633" s="1" t="s">
        <v>2628</v>
      </c>
      <c r="U1633" s="1" t="s">
        <v>636</v>
      </c>
      <c r="V1633" s="1" t="s">
        <v>45</v>
      </c>
      <c r="W1633" s="1"/>
      <c r="X1633" s="1"/>
      <c r="Y1633" s="1"/>
      <c r="Z1633" s="1" t="s">
        <v>673</v>
      </c>
      <c r="AA1633" s="1" t="s">
        <v>46</v>
      </c>
      <c r="AB1633" s="1" t="s">
        <v>2629</v>
      </c>
      <c r="AC1633" s="1" t="s">
        <v>46</v>
      </c>
      <c r="AD1633" s="1" t="s">
        <v>2630</v>
      </c>
      <c r="AE1633" s="1"/>
      <c r="AF1633" s="1"/>
      <c r="AG1633" s="1"/>
      <c r="AH1633" s="1" t="s">
        <v>45</v>
      </c>
      <c r="AI1633" s="1" t="s">
        <v>2631</v>
      </c>
      <c r="AJ1633" s="3">
        <v>43255.715300925927</v>
      </c>
      <c r="AK1633" s="1" t="s">
        <v>676</v>
      </c>
    </row>
    <row r="1634" spans="1:37">
      <c r="A1634" s="1" t="str">
        <f>VLOOKUP(H1634,Languages!$A$2:$B$430,2,FALSE)</f>
        <v>Pama-Nyungan</v>
      </c>
      <c r="B1634" s="1" t="s">
        <v>59</v>
      </c>
      <c r="C1634" s="1" t="s">
        <v>34</v>
      </c>
      <c r="D1634" s="1" t="s">
        <v>2632</v>
      </c>
      <c r="E1634" s="15" t="s">
        <v>668</v>
      </c>
      <c r="F1634" s="15" t="s">
        <v>180</v>
      </c>
      <c r="G1634" s="1" t="s">
        <v>668</v>
      </c>
      <c r="H1634" s="1" t="str">
        <f>VLOOKUP(G1634,'languoid 4.0'!$A$1:$I$24439,2,FALSE)</f>
        <v>pama1250</v>
      </c>
      <c r="I1634" s="1" t="str">
        <f>VLOOKUP(G1634,'languoid 4.0'!$A$1:$I$24439,6,FALSE)</f>
        <v>language</v>
      </c>
      <c r="J1634" s="15" t="s">
        <v>52</v>
      </c>
      <c r="K1634" s="15" t="s">
        <v>52</v>
      </c>
      <c r="L1634" s="15" t="s">
        <v>52</v>
      </c>
      <c r="M1634" s="1"/>
      <c r="N1634" s="1" t="s">
        <v>669</v>
      </c>
      <c r="O1634" s="15" t="s">
        <v>40</v>
      </c>
      <c r="P1634" s="15" t="s">
        <v>41</v>
      </c>
      <c r="Q1634" s="1" t="s">
        <v>2633</v>
      </c>
      <c r="R1634" s="2" t="s">
        <v>2634</v>
      </c>
      <c r="S1634" s="1">
        <v>1</v>
      </c>
      <c r="T1634" s="1" t="s">
        <v>754</v>
      </c>
      <c r="U1634" s="1" t="s">
        <v>636</v>
      </c>
      <c r="V1634" s="1" t="s">
        <v>45</v>
      </c>
      <c r="W1634" s="1"/>
      <c r="X1634" s="1"/>
      <c r="Y1634" s="1"/>
      <c r="Z1634" s="1" t="s">
        <v>658</v>
      </c>
      <c r="AA1634" s="1" t="s">
        <v>2635</v>
      </c>
      <c r="AB1634" s="1" t="s">
        <v>46</v>
      </c>
      <c r="AC1634" s="1" t="s">
        <v>46</v>
      </c>
      <c r="AD1634" s="1"/>
      <c r="AE1634" s="1" t="s">
        <v>641</v>
      </c>
      <c r="AF1634" s="1" t="s">
        <v>45</v>
      </c>
      <c r="AG1634" s="1">
        <v>1</v>
      </c>
      <c r="AH1634" s="1" t="s">
        <v>190</v>
      </c>
      <c r="AI1634" s="1"/>
      <c r="AJ1634" s="3">
        <v>43255.722604166665</v>
      </c>
      <c r="AK1634" s="1" t="s">
        <v>676</v>
      </c>
    </row>
    <row r="1635" spans="1:37">
      <c r="A1635" s="1" t="str">
        <f>VLOOKUP(H1635,Languages!$A$2:$B$430,2,FALSE)</f>
        <v>Pama-Nyungan</v>
      </c>
      <c r="B1635" s="1" t="s">
        <v>59</v>
      </c>
      <c r="C1635" s="1" t="s">
        <v>34</v>
      </c>
      <c r="D1635" s="1" t="s">
        <v>2632</v>
      </c>
      <c r="E1635" s="15" t="s">
        <v>668</v>
      </c>
      <c r="F1635" s="15" t="s">
        <v>180</v>
      </c>
      <c r="G1635" s="1" t="s">
        <v>668</v>
      </c>
      <c r="H1635" s="1" t="str">
        <f>VLOOKUP(G1635,'languoid 4.0'!$A$1:$I$24439,2,FALSE)</f>
        <v>pama1250</v>
      </c>
      <c r="I1635" s="1" t="str">
        <f>VLOOKUP(G1635,'languoid 4.0'!$A$1:$I$24439,6,FALSE)</f>
        <v>language</v>
      </c>
      <c r="J1635" s="15" t="s">
        <v>52</v>
      </c>
      <c r="K1635" s="15" t="s">
        <v>52</v>
      </c>
      <c r="L1635" s="15" t="s">
        <v>52</v>
      </c>
      <c r="M1635" s="1"/>
      <c r="N1635" s="1" t="s">
        <v>669</v>
      </c>
      <c r="O1635" s="15" t="s">
        <v>40</v>
      </c>
      <c r="P1635" s="15" t="s">
        <v>41</v>
      </c>
      <c r="Q1635" s="1" t="s">
        <v>2636</v>
      </c>
      <c r="R1635" s="2" t="s">
        <v>2634</v>
      </c>
      <c r="S1635" s="1">
        <v>2</v>
      </c>
      <c r="T1635" s="1" t="s">
        <v>754</v>
      </c>
      <c r="U1635" s="1" t="s">
        <v>636</v>
      </c>
      <c r="V1635" s="1" t="s">
        <v>45</v>
      </c>
      <c r="W1635" s="1"/>
      <c r="X1635" s="1"/>
      <c r="Y1635" s="1"/>
      <c r="Z1635" s="1" t="s">
        <v>658</v>
      </c>
      <c r="AA1635" s="1" t="s">
        <v>2637</v>
      </c>
      <c r="AB1635" s="1" t="s">
        <v>46</v>
      </c>
      <c r="AC1635" s="1" t="s">
        <v>46</v>
      </c>
      <c r="AD1635" s="1"/>
      <c r="AE1635" s="1" t="s">
        <v>641</v>
      </c>
      <c r="AF1635" s="1" t="s">
        <v>45</v>
      </c>
      <c r="AG1635" s="1">
        <v>1</v>
      </c>
      <c r="AH1635" s="1" t="s">
        <v>190</v>
      </c>
      <c r="AI1635" s="1"/>
      <c r="AJ1635" s="3">
        <v>43255.723645833335</v>
      </c>
      <c r="AK1635" s="1" t="s">
        <v>676</v>
      </c>
    </row>
    <row r="1636" spans="1:37">
      <c r="A1636" s="1" t="str">
        <f>VLOOKUP(H1636,Languages!$A$2:$B$430,2,FALSE)</f>
        <v>Pama-Nyungan</v>
      </c>
      <c r="B1636" s="1" t="s">
        <v>59</v>
      </c>
      <c r="C1636" s="1" t="s">
        <v>34</v>
      </c>
      <c r="D1636" s="1" t="s">
        <v>2632</v>
      </c>
      <c r="E1636" s="15" t="s">
        <v>668</v>
      </c>
      <c r="F1636" s="15" t="s">
        <v>180</v>
      </c>
      <c r="G1636" s="1" t="s">
        <v>668</v>
      </c>
      <c r="H1636" s="1" t="str">
        <f>VLOOKUP(G1636,'languoid 4.0'!$A$1:$I$24439,2,FALSE)</f>
        <v>pama1250</v>
      </c>
      <c r="I1636" s="1" t="str">
        <f>VLOOKUP(G1636,'languoid 4.0'!$A$1:$I$24439,6,FALSE)</f>
        <v>language</v>
      </c>
      <c r="J1636" s="15" t="s">
        <v>52</v>
      </c>
      <c r="K1636" s="15" t="s">
        <v>52</v>
      </c>
      <c r="L1636" s="15" t="s">
        <v>52</v>
      </c>
      <c r="M1636" s="1"/>
      <c r="N1636" s="1" t="s">
        <v>669</v>
      </c>
      <c r="O1636" s="15" t="s">
        <v>40</v>
      </c>
      <c r="P1636" s="15" t="s">
        <v>41</v>
      </c>
      <c r="Q1636" s="1" t="s">
        <v>2638</v>
      </c>
      <c r="R1636" s="2" t="s">
        <v>2634</v>
      </c>
      <c r="S1636" s="1">
        <v>3</v>
      </c>
      <c r="T1636" s="1" t="s">
        <v>754</v>
      </c>
      <c r="U1636" s="1" t="s">
        <v>636</v>
      </c>
      <c r="V1636" s="1" t="s">
        <v>45</v>
      </c>
      <c r="W1636" s="1"/>
      <c r="X1636" s="1"/>
      <c r="Y1636" s="1"/>
      <c r="Z1636" s="1" t="s">
        <v>658</v>
      </c>
      <c r="AA1636" s="1" t="s">
        <v>2639</v>
      </c>
      <c r="AB1636" s="1" t="s">
        <v>46</v>
      </c>
      <c r="AC1636" s="1" t="s">
        <v>46</v>
      </c>
      <c r="AD1636" s="1"/>
      <c r="AE1636" s="1" t="s">
        <v>641</v>
      </c>
      <c r="AF1636" s="1" t="s">
        <v>45</v>
      </c>
      <c r="AG1636" s="1">
        <v>1</v>
      </c>
      <c r="AH1636" s="1" t="s">
        <v>190</v>
      </c>
      <c r="AI1636" s="1"/>
      <c r="AJ1636" s="3">
        <v>43255.724849537037</v>
      </c>
      <c r="AK1636" s="1" t="s">
        <v>676</v>
      </c>
    </row>
    <row r="1637" spans="1:37">
      <c r="A1637" s="1" t="str">
        <f>VLOOKUP(H1637,Languages!$A$2:$B$430,2,FALSE)</f>
        <v>Pama-Nyungan</v>
      </c>
      <c r="B1637" s="1" t="s">
        <v>59</v>
      </c>
      <c r="C1637" s="1" t="s">
        <v>34</v>
      </c>
      <c r="D1637" s="1" t="s">
        <v>2632</v>
      </c>
      <c r="E1637" s="15" t="s">
        <v>668</v>
      </c>
      <c r="F1637" s="15" t="s">
        <v>180</v>
      </c>
      <c r="G1637" s="1" t="s">
        <v>668</v>
      </c>
      <c r="H1637" s="1" t="str">
        <f>VLOOKUP(G1637,'languoid 4.0'!$A$1:$I$24439,2,FALSE)</f>
        <v>pama1250</v>
      </c>
      <c r="I1637" s="1" t="str">
        <f>VLOOKUP(G1637,'languoid 4.0'!$A$1:$I$24439,6,FALSE)</f>
        <v>language</v>
      </c>
      <c r="J1637" s="15" t="s">
        <v>52</v>
      </c>
      <c r="K1637" s="15" t="s">
        <v>52</v>
      </c>
      <c r="L1637" s="15" t="s">
        <v>52</v>
      </c>
      <c r="M1637" s="1"/>
      <c r="N1637" s="1" t="s">
        <v>669</v>
      </c>
      <c r="O1637" s="15" t="s">
        <v>40</v>
      </c>
      <c r="P1637" s="15" t="s">
        <v>41</v>
      </c>
      <c r="Q1637" s="1" t="s">
        <v>2640</v>
      </c>
      <c r="R1637" s="2" t="s">
        <v>2634</v>
      </c>
      <c r="S1637" s="1">
        <v>4</v>
      </c>
      <c r="T1637" s="1" t="s">
        <v>754</v>
      </c>
      <c r="U1637" s="1" t="s">
        <v>67</v>
      </c>
      <c r="V1637" s="1" t="s">
        <v>45</v>
      </c>
      <c r="W1637" s="1"/>
      <c r="X1637" s="1"/>
      <c r="Y1637" s="1"/>
      <c r="Z1637" s="1" t="s">
        <v>658</v>
      </c>
      <c r="AA1637" s="1" t="s">
        <v>2641</v>
      </c>
      <c r="AB1637" s="1" t="s">
        <v>46</v>
      </c>
      <c r="AC1637" s="1" t="s">
        <v>46</v>
      </c>
      <c r="AD1637" s="1"/>
      <c r="AE1637" s="1" t="s">
        <v>641</v>
      </c>
      <c r="AF1637" s="1" t="s">
        <v>45</v>
      </c>
      <c r="AG1637" s="1">
        <v>1</v>
      </c>
      <c r="AH1637" s="1" t="s">
        <v>190</v>
      </c>
      <c r="AI1637" s="1"/>
      <c r="AJ1637" s="3">
        <v>43255.725555555553</v>
      </c>
      <c r="AK1637" s="1" t="s">
        <v>676</v>
      </c>
    </row>
    <row r="1638" spans="1:37">
      <c r="A1638" s="1" t="str">
        <f>VLOOKUP(H1638,Languages!$A$2:$B$430,2,FALSE)</f>
        <v>Pama-Nyungan</v>
      </c>
      <c r="B1638" s="1" t="s">
        <v>109</v>
      </c>
      <c r="C1638" s="1" t="s">
        <v>34</v>
      </c>
      <c r="D1638" s="1" t="s">
        <v>831</v>
      </c>
      <c r="E1638" s="15" t="s">
        <v>51</v>
      </c>
      <c r="F1638" s="15" t="s">
        <v>51</v>
      </c>
      <c r="G1638" s="1" t="s">
        <v>361</v>
      </c>
      <c r="H1638" s="1" t="str">
        <f>VLOOKUP(G1638,'languoid 4.0'!$A$1:$I$24439,2,FALSE)</f>
        <v>pama1250</v>
      </c>
      <c r="I1638" s="1" t="str">
        <f>VLOOKUP(G1638,'languoid 4.0'!$A$1:$I$24439,6,FALSE)</f>
        <v>family</v>
      </c>
      <c r="J1638" s="15" t="s">
        <v>51</v>
      </c>
      <c r="K1638" s="15" t="s">
        <v>51</v>
      </c>
      <c r="L1638" s="15" t="s">
        <v>51</v>
      </c>
      <c r="M1638" s="1"/>
      <c r="N1638" s="1"/>
      <c r="O1638" s="15" t="s">
        <v>690</v>
      </c>
      <c r="P1638" s="15"/>
      <c r="Q1638" s="1" t="s">
        <v>832</v>
      </c>
      <c r="R1638" s="2" t="s">
        <v>833</v>
      </c>
      <c r="S1638" s="1" t="s">
        <v>834</v>
      </c>
      <c r="T1638" s="1" t="s">
        <v>657</v>
      </c>
      <c r="U1638" s="1" t="s">
        <v>636</v>
      </c>
      <c r="V1638" s="1" t="s">
        <v>45</v>
      </c>
      <c r="W1638" s="1"/>
      <c r="X1638" s="1"/>
      <c r="Y1638" s="1"/>
      <c r="Z1638" s="1" t="s">
        <v>673</v>
      </c>
      <c r="AA1638" s="1" t="s">
        <v>46</v>
      </c>
      <c r="AB1638" s="1" t="s">
        <v>835</v>
      </c>
      <c r="AC1638" s="1" t="s">
        <v>46</v>
      </c>
      <c r="AD1638" s="1"/>
      <c r="AE1638" s="1" t="s">
        <v>641</v>
      </c>
      <c r="AF1638" s="1" t="s">
        <v>190</v>
      </c>
      <c r="AG1638" s="1">
        <v>5</v>
      </c>
      <c r="AH1638" s="1" t="s">
        <v>190</v>
      </c>
      <c r="AI1638" s="1"/>
      <c r="AJ1638" s="3">
        <v>43253.515613425923</v>
      </c>
      <c r="AK1638" s="1" t="s">
        <v>676</v>
      </c>
    </row>
    <row r="1639" spans="1:37">
      <c r="A1639" s="1" t="str">
        <f>VLOOKUP(H1639,Languages!$A$2:$B$430,2,FALSE)</f>
        <v>Pama-Nyungan</v>
      </c>
      <c r="B1639" s="1" t="s">
        <v>109</v>
      </c>
      <c r="C1639" s="1" t="s">
        <v>34</v>
      </c>
      <c r="D1639" s="1" t="s">
        <v>1570</v>
      </c>
      <c r="E1639" s="15" t="s">
        <v>668</v>
      </c>
      <c r="F1639" s="15" t="s">
        <v>51</v>
      </c>
      <c r="G1639" s="1" t="s">
        <v>668</v>
      </c>
      <c r="H1639" s="1" t="str">
        <f>VLOOKUP(G1639,'languoid 4.0'!$A$1:$I$24439,2,FALSE)</f>
        <v>pama1250</v>
      </c>
      <c r="I1639" s="1" t="str">
        <f>VLOOKUP(G1639,'languoid 4.0'!$A$1:$I$24439,6,FALSE)</f>
        <v>language</v>
      </c>
      <c r="J1639" s="15" t="s">
        <v>52</v>
      </c>
      <c r="K1639" s="15" t="s">
        <v>51</v>
      </c>
      <c r="L1639" s="15" t="s">
        <v>51</v>
      </c>
      <c r="M1639" s="1"/>
      <c r="N1639" s="1" t="s">
        <v>669</v>
      </c>
      <c r="O1639" s="15" t="s">
        <v>40</v>
      </c>
      <c r="P1639" s="15" t="s">
        <v>41</v>
      </c>
      <c r="Q1639" s="1" t="s">
        <v>1571</v>
      </c>
      <c r="R1639" s="2" t="s">
        <v>1572</v>
      </c>
      <c r="S1639" s="1" t="s">
        <v>600</v>
      </c>
      <c r="T1639" s="1" t="s">
        <v>754</v>
      </c>
      <c r="U1639" s="1" t="s">
        <v>636</v>
      </c>
      <c r="V1639" s="1" t="s">
        <v>45</v>
      </c>
      <c r="W1639" s="1"/>
      <c r="X1639" s="1"/>
      <c r="Y1639" s="1"/>
      <c r="Z1639" s="1" t="s">
        <v>658</v>
      </c>
      <c r="AA1639" s="1" t="s">
        <v>1573</v>
      </c>
      <c r="AB1639" s="1" t="s">
        <v>46</v>
      </c>
      <c r="AC1639" s="1" t="s">
        <v>46</v>
      </c>
      <c r="AD1639" s="1"/>
      <c r="AE1639" s="1" t="s">
        <v>641</v>
      </c>
      <c r="AF1639" s="1" t="s">
        <v>190</v>
      </c>
      <c r="AG1639" s="1">
        <v>3</v>
      </c>
      <c r="AH1639" s="1" t="s">
        <v>190</v>
      </c>
      <c r="AI1639" s="1" t="s">
        <v>1574</v>
      </c>
      <c r="AJ1639" s="3">
        <v>43103.437650462962</v>
      </c>
      <c r="AK1639" s="1" t="s">
        <v>676</v>
      </c>
    </row>
    <row r="1640" spans="1:37">
      <c r="A1640" s="1" t="str">
        <f>VLOOKUP(H1640,Languages!$A$2:$B$430,2,FALSE)</f>
        <v>Pama-Nyungan</v>
      </c>
      <c r="B1640" s="1" t="s">
        <v>109</v>
      </c>
      <c r="C1640" s="1" t="s">
        <v>34</v>
      </c>
      <c r="D1640" s="1" t="s">
        <v>1575</v>
      </c>
      <c r="E1640" s="15" t="s">
        <v>51</v>
      </c>
      <c r="F1640" s="15" t="s">
        <v>51</v>
      </c>
      <c r="G1640" s="1" t="s">
        <v>361</v>
      </c>
      <c r="H1640" s="1" t="str">
        <f>VLOOKUP(G1640,'languoid 4.0'!$A$1:$I$24439,2,FALSE)</f>
        <v>pama1250</v>
      </c>
      <c r="I1640" s="1" t="str">
        <f>VLOOKUP(G1640,'languoid 4.0'!$A$1:$I$24439,6,FALSE)</f>
        <v>family</v>
      </c>
      <c r="J1640" s="15" t="s">
        <v>51</v>
      </c>
      <c r="K1640" s="15" t="s">
        <v>51</v>
      </c>
      <c r="L1640" s="15" t="s">
        <v>51</v>
      </c>
      <c r="M1640" s="1"/>
      <c r="N1640" s="1" t="e">
        <v>#N/A</v>
      </c>
      <c r="O1640" s="15" t="s">
        <v>690</v>
      </c>
      <c r="P1640" s="15"/>
      <c r="Q1640" s="1" t="s">
        <v>1576</v>
      </c>
      <c r="R1640" s="2" t="s">
        <v>1577</v>
      </c>
      <c r="S1640" s="1" t="s">
        <v>1578</v>
      </c>
      <c r="T1640" s="1" t="s">
        <v>754</v>
      </c>
      <c r="U1640" s="1" t="s">
        <v>636</v>
      </c>
      <c r="V1640" s="1" t="s">
        <v>45</v>
      </c>
      <c r="W1640" s="1"/>
      <c r="X1640" s="1"/>
      <c r="Y1640" s="1"/>
      <c r="Z1640" s="1" t="s">
        <v>658</v>
      </c>
      <c r="AA1640" s="1" t="s">
        <v>1579</v>
      </c>
      <c r="AB1640" s="1" t="s">
        <v>46</v>
      </c>
      <c r="AC1640" s="1" t="s">
        <v>46</v>
      </c>
      <c r="AD1640" s="1"/>
      <c r="AE1640" s="1" t="s">
        <v>641</v>
      </c>
      <c r="AF1640" s="1" t="s">
        <v>190</v>
      </c>
      <c r="AG1640" s="1">
        <v>6</v>
      </c>
      <c r="AH1640" s="1" t="s">
        <v>190</v>
      </c>
      <c r="AI1640" s="1"/>
      <c r="AJ1640" s="3">
        <v>43103.464537037034</v>
      </c>
      <c r="AK1640" s="1" t="s">
        <v>676</v>
      </c>
    </row>
    <row r="1641" spans="1:37">
      <c r="A1641" s="1" t="str">
        <f>VLOOKUP(H1641,Languages!$A$2:$B$430,2,FALSE)</f>
        <v>Pama-Nyungan</v>
      </c>
      <c r="B1641" s="1" t="s">
        <v>109</v>
      </c>
      <c r="C1641" s="1" t="s">
        <v>34</v>
      </c>
      <c r="D1641" s="1" t="s">
        <v>1575</v>
      </c>
      <c r="E1641" s="15" t="s">
        <v>51</v>
      </c>
      <c r="F1641" s="15" t="s">
        <v>51</v>
      </c>
      <c r="G1641" s="1" t="s">
        <v>361</v>
      </c>
      <c r="H1641" s="1" t="str">
        <f>VLOOKUP(G1641,'languoid 4.0'!$A$1:$I$24439,2,FALSE)</f>
        <v>pama1250</v>
      </c>
      <c r="I1641" s="1" t="str">
        <f>VLOOKUP(G1641,'languoid 4.0'!$A$1:$I$24439,6,FALSE)</f>
        <v>family</v>
      </c>
      <c r="J1641" s="15" t="s">
        <v>51</v>
      </c>
      <c r="K1641" s="15" t="s">
        <v>51</v>
      </c>
      <c r="L1641" s="15" t="s">
        <v>51</v>
      </c>
      <c r="M1641" s="1"/>
      <c r="N1641" s="1" t="e">
        <v>#N/A</v>
      </c>
      <c r="O1641" s="15" t="s">
        <v>690</v>
      </c>
      <c r="P1641" s="15"/>
      <c r="Q1641" s="1" t="s">
        <v>1580</v>
      </c>
      <c r="R1641" s="2" t="s">
        <v>1577</v>
      </c>
      <c r="S1641" s="1" t="s">
        <v>1581</v>
      </c>
      <c r="T1641" s="1" t="s">
        <v>754</v>
      </c>
      <c r="U1641" s="1" t="s">
        <v>109</v>
      </c>
      <c r="V1641" s="1" t="s">
        <v>45</v>
      </c>
      <c r="W1641" s="1"/>
      <c r="X1641" s="1"/>
      <c r="Y1641" s="1"/>
      <c r="Z1641" s="1" t="s">
        <v>658</v>
      </c>
      <c r="AA1641" s="1" t="s">
        <v>1579</v>
      </c>
      <c r="AB1641" s="1" t="s">
        <v>46</v>
      </c>
      <c r="AC1641" s="1" t="s">
        <v>46</v>
      </c>
      <c r="AD1641" s="1"/>
      <c r="AE1641" s="1" t="s">
        <v>641</v>
      </c>
      <c r="AF1641" s="1" t="s">
        <v>190</v>
      </c>
      <c r="AG1641" s="1">
        <v>6</v>
      </c>
      <c r="AH1641" s="1" t="s">
        <v>190</v>
      </c>
      <c r="AI1641" s="1"/>
      <c r="AJ1641" s="3">
        <v>43103.465729166666</v>
      </c>
      <c r="AK1641" s="1" t="s">
        <v>676</v>
      </c>
    </row>
    <row r="1642" spans="1:37">
      <c r="A1642" s="1" t="str">
        <f>VLOOKUP(H1642,Languages!$A$2:$B$430,2,FALSE)</f>
        <v>Pama-Nyungan</v>
      </c>
      <c r="B1642" s="1" t="s">
        <v>35</v>
      </c>
      <c r="C1642" s="1" t="s">
        <v>34</v>
      </c>
      <c r="D1642" s="1" t="s">
        <v>1582</v>
      </c>
      <c r="E1642" s="15" t="s">
        <v>51</v>
      </c>
      <c r="F1642" s="15" t="s">
        <v>180</v>
      </c>
      <c r="G1642" s="1" t="s">
        <v>361</v>
      </c>
      <c r="H1642" s="1" t="str">
        <f>VLOOKUP(G1642,'languoid 4.0'!$A$1:$I$24439,2,FALSE)</f>
        <v>pama1250</v>
      </c>
      <c r="I1642" s="1" t="str">
        <f>VLOOKUP(G1642,'languoid 4.0'!$A$1:$I$24439,6,FALSE)</f>
        <v>family</v>
      </c>
      <c r="J1642" s="15" t="s">
        <v>52</v>
      </c>
      <c r="K1642" s="15" t="s">
        <v>51</v>
      </c>
      <c r="L1642" s="15" t="s">
        <v>51</v>
      </c>
      <c r="M1642" s="1"/>
      <c r="N1642" s="1" t="e">
        <v>#N/A</v>
      </c>
      <c r="O1642" s="15" t="s">
        <v>690</v>
      </c>
      <c r="P1642" s="15"/>
      <c r="Q1642" s="1" t="s">
        <v>1583</v>
      </c>
      <c r="R1642" s="2" t="s">
        <v>1584</v>
      </c>
      <c r="S1642" s="1" t="s">
        <v>130</v>
      </c>
      <c r="T1642" s="1" t="s">
        <v>1585</v>
      </c>
      <c r="U1642" s="1" t="s">
        <v>636</v>
      </c>
      <c r="V1642" s="1" t="s">
        <v>45</v>
      </c>
      <c r="W1642" s="1"/>
      <c r="X1642" s="1"/>
      <c r="Y1642" s="1"/>
      <c r="Z1642" s="1" t="s">
        <v>658</v>
      </c>
      <c r="AA1642" s="1" t="s">
        <v>1586</v>
      </c>
      <c r="AB1642" s="1" t="s">
        <v>46</v>
      </c>
      <c r="AC1642" s="1" t="s">
        <v>46</v>
      </c>
      <c r="AD1642" s="1"/>
      <c r="AE1642" s="1"/>
      <c r="AF1642" s="1"/>
      <c r="AG1642" s="1"/>
      <c r="AH1642" s="1" t="s">
        <v>45</v>
      </c>
      <c r="AI1642" s="1"/>
      <c r="AJ1642" s="3">
        <v>43103.475925925923</v>
      </c>
      <c r="AK1642" s="1" t="s">
        <v>676</v>
      </c>
    </row>
    <row r="1643" spans="1:37">
      <c r="A1643" s="1" t="str">
        <f>VLOOKUP(H1643,Languages!$A$2:$B$430,2,FALSE)</f>
        <v>Pama-Nyungan</v>
      </c>
      <c r="B1643" s="1" t="s">
        <v>35</v>
      </c>
      <c r="C1643" s="1" t="s">
        <v>34</v>
      </c>
      <c r="D1643" s="1" t="s">
        <v>2605</v>
      </c>
      <c r="E1643" s="15" t="s">
        <v>2606</v>
      </c>
      <c r="F1643" s="15" t="s">
        <v>51</v>
      </c>
      <c r="G1643" s="1" t="s">
        <v>2607</v>
      </c>
      <c r="H1643" s="1" t="str">
        <f>VLOOKUP(G1643,'languoid 4.0'!$A$1:$I$24439,2,FALSE)</f>
        <v>pama1250</v>
      </c>
      <c r="I1643" s="1" t="str">
        <f>VLOOKUP(G1643,'languoid 4.0'!$A$1:$I$24439,6,FALSE)</f>
        <v>language</v>
      </c>
      <c r="J1643" s="15" t="s">
        <v>52</v>
      </c>
      <c r="K1643" s="15" t="s">
        <v>51</v>
      </c>
      <c r="L1643" s="15" t="s">
        <v>51</v>
      </c>
      <c r="M1643" s="1"/>
      <c r="N1643" s="1"/>
      <c r="O1643" s="15" t="s">
        <v>40</v>
      </c>
      <c r="P1643" s="15" t="s">
        <v>632</v>
      </c>
      <c r="Q1643" s="1" t="s">
        <v>2608</v>
      </c>
      <c r="R1643" s="2" t="s">
        <v>2609</v>
      </c>
      <c r="S1643" s="1" t="s">
        <v>46</v>
      </c>
      <c r="T1643" s="1" t="s">
        <v>2610</v>
      </c>
      <c r="U1643" s="1" t="s">
        <v>636</v>
      </c>
      <c r="V1643" s="1" t="s">
        <v>45</v>
      </c>
      <c r="W1643" s="1"/>
      <c r="X1643" s="1"/>
      <c r="Y1643" s="1"/>
      <c r="Z1643" s="1" t="s">
        <v>1893</v>
      </c>
      <c r="AA1643" s="1" t="s">
        <v>46</v>
      </c>
      <c r="AB1643" s="1" t="s">
        <v>46</v>
      </c>
      <c r="AC1643" s="1" t="s">
        <v>2611</v>
      </c>
      <c r="AD1643" s="1" t="s">
        <v>2612</v>
      </c>
      <c r="AE1643" s="1" t="s">
        <v>641</v>
      </c>
      <c r="AF1643" s="1" t="s">
        <v>190</v>
      </c>
      <c r="AG1643" s="1">
        <v>6</v>
      </c>
      <c r="AH1643" s="1" t="s">
        <v>190</v>
      </c>
      <c r="AI1643" s="1"/>
      <c r="AJ1643" s="3">
        <v>43255.598483796297</v>
      </c>
      <c r="AK1643" s="1" t="s">
        <v>676</v>
      </c>
    </row>
    <row r="1644" spans="1:37">
      <c r="A1644" s="1" t="str">
        <f>VLOOKUP(H1644,Languages!$A$2:$B$430,2,FALSE)</f>
        <v>Pama-Nyungan</v>
      </c>
      <c r="B1644" s="1" t="s">
        <v>35</v>
      </c>
      <c r="C1644" s="1" t="s">
        <v>34</v>
      </c>
      <c r="D1644" s="1" t="s">
        <v>2617</v>
      </c>
      <c r="E1644" s="15" t="s">
        <v>51</v>
      </c>
      <c r="F1644" s="15" t="s">
        <v>51</v>
      </c>
      <c r="G1644" s="1" t="s">
        <v>2618</v>
      </c>
      <c r="H1644" s="1" t="str">
        <f>VLOOKUP(G1644,'languoid 4.0'!$A$1:$I$24439,2,FALSE)</f>
        <v>pama1250</v>
      </c>
      <c r="I1644" s="1" t="str">
        <f>VLOOKUP(G1644,'languoid 4.0'!$A$1:$I$24439,6,FALSE)</f>
        <v>family</v>
      </c>
      <c r="J1644" s="15" t="s">
        <v>51</v>
      </c>
      <c r="K1644" s="15" t="s">
        <v>51</v>
      </c>
      <c r="L1644" s="15" t="s">
        <v>51</v>
      </c>
      <c r="M1644" s="1"/>
      <c r="N1644" s="1" t="e">
        <v>#N/A</v>
      </c>
      <c r="O1644" s="15" t="s">
        <v>690</v>
      </c>
      <c r="P1644" s="15"/>
      <c r="Q1644" s="1" t="s">
        <v>2619</v>
      </c>
      <c r="R1644" s="2" t="s">
        <v>2620</v>
      </c>
      <c r="S1644" s="1" t="s">
        <v>46</v>
      </c>
      <c r="T1644" s="1" t="s">
        <v>2621</v>
      </c>
      <c r="U1644" s="1" t="s">
        <v>636</v>
      </c>
      <c r="V1644" s="1" t="s">
        <v>45</v>
      </c>
      <c r="W1644" s="1"/>
      <c r="X1644" s="1"/>
      <c r="Y1644" s="1"/>
      <c r="Z1644" s="1" t="s">
        <v>658</v>
      </c>
      <c r="AA1644" s="1" t="s">
        <v>2622</v>
      </c>
      <c r="AB1644" s="1" t="s">
        <v>46</v>
      </c>
      <c r="AC1644" s="1" t="s">
        <v>46</v>
      </c>
      <c r="AD1644" s="1"/>
      <c r="AE1644" s="1" t="s">
        <v>641</v>
      </c>
      <c r="AF1644" s="1" t="s">
        <v>190</v>
      </c>
      <c r="AG1644" s="1">
        <v>5</v>
      </c>
      <c r="AH1644" s="1" t="s">
        <v>190</v>
      </c>
      <c r="AI1644" s="1"/>
      <c r="AJ1644" s="3">
        <v>43255.601875</v>
      </c>
      <c r="AK1644" s="1" t="s">
        <v>676</v>
      </c>
    </row>
    <row r="1645" spans="1:37">
      <c r="A1645" s="1" t="str">
        <f>VLOOKUP(H1645,Languages!$A$2:$B$430,2,FALSE)</f>
        <v>Pama-Nyungan</v>
      </c>
      <c r="B1645" s="1" t="s">
        <v>1726</v>
      </c>
      <c r="C1645" s="1" t="s">
        <v>34</v>
      </c>
      <c r="D1645" s="1" t="s">
        <v>9531</v>
      </c>
      <c r="E1645" s="15" t="s">
        <v>51</v>
      </c>
      <c r="F1645" s="15" t="s">
        <v>361</v>
      </c>
      <c r="G1645" s="1" t="s">
        <v>361</v>
      </c>
      <c r="H1645" s="1" t="str">
        <f>VLOOKUP(G1645,'languoid 4.0'!$A$1:$I$24439,2,FALSE)</f>
        <v>pama1250</v>
      </c>
      <c r="I1645" s="1" t="str">
        <f>VLOOKUP(G1645,'languoid 4.0'!$A$1:$I$24439,6,FALSE)</f>
        <v>family</v>
      </c>
      <c r="J1645" s="15" t="s">
        <v>52</v>
      </c>
      <c r="K1645" s="15" t="s">
        <v>51</v>
      </c>
      <c r="L1645" s="15" t="s">
        <v>51</v>
      </c>
      <c r="M1645" s="1"/>
      <c r="N1645" s="1" t="e">
        <v>#N/A</v>
      </c>
      <c r="O1645" s="15" t="s">
        <v>690</v>
      </c>
      <c r="P1645" s="15"/>
      <c r="Q1645" s="1" t="s">
        <v>9532</v>
      </c>
      <c r="R1645" s="2" t="s">
        <v>4512</v>
      </c>
      <c r="S1645" s="1" t="s">
        <v>46</v>
      </c>
      <c r="T1645" s="1" t="s">
        <v>635</v>
      </c>
      <c r="U1645" s="1" t="s">
        <v>636</v>
      </c>
      <c r="V1645" s="1" t="s">
        <v>45</v>
      </c>
      <c r="W1645" s="1"/>
      <c r="X1645" s="1"/>
      <c r="Y1645" s="1"/>
      <c r="Z1645" s="1" t="s">
        <v>9533</v>
      </c>
      <c r="AA1645" s="1" t="s">
        <v>9534</v>
      </c>
      <c r="AB1645" s="10" t="s">
        <v>9535</v>
      </c>
      <c r="AC1645" s="1" t="s">
        <v>46</v>
      </c>
      <c r="AD1645" s="1"/>
      <c r="AE1645" s="1"/>
      <c r="AF1645" s="1"/>
      <c r="AG1645" s="1"/>
      <c r="AH1645" s="1" t="s">
        <v>45</v>
      </c>
      <c r="AI1645" s="1" t="s">
        <v>9536</v>
      </c>
      <c r="AJ1645" s="3">
        <v>43291.723622685182</v>
      </c>
      <c r="AK1645" s="1" t="s">
        <v>9537</v>
      </c>
    </row>
    <row r="1646" spans="1:37">
      <c r="A1646" s="1" t="str">
        <f>VLOOKUP(H1646,Languages!$A$2:$B$430,2,FALSE)</f>
        <v>Pama-Nyungan</v>
      </c>
      <c r="B1646" s="1" t="s">
        <v>652</v>
      </c>
      <c r="C1646" s="1" t="s">
        <v>34</v>
      </c>
      <c r="D1646" s="1" t="s">
        <v>10227</v>
      </c>
      <c r="E1646" s="15" t="s">
        <v>10228</v>
      </c>
      <c r="F1646" s="15" t="s">
        <v>10228</v>
      </c>
      <c r="G1646" s="1" t="s">
        <v>10228</v>
      </c>
      <c r="H1646" s="1" t="str">
        <f>VLOOKUP(G1646,'languoid 4.0'!$A$1:$I$24439,2,FALSE)</f>
        <v>pama1250</v>
      </c>
      <c r="I1646" s="1" t="str">
        <f>VLOOKUP(G1646,'languoid 4.0'!$A$1:$I$24439,6,FALSE)</f>
        <v>dialect</v>
      </c>
      <c r="J1646" s="15" t="s">
        <v>38</v>
      </c>
      <c r="K1646" s="15" t="s">
        <v>38</v>
      </c>
      <c r="L1646" s="15" t="s">
        <v>38</v>
      </c>
      <c r="M1646" s="1"/>
      <c r="N1646" s="1"/>
      <c r="O1646" s="15" t="s">
        <v>40</v>
      </c>
      <c r="P1646" s="15" t="s">
        <v>41</v>
      </c>
      <c r="Q1646" s="1" t="s">
        <v>670</v>
      </c>
      <c r="R1646" s="2" t="s">
        <v>10229</v>
      </c>
      <c r="S1646" s="1" t="s">
        <v>10230</v>
      </c>
      <c r="T1646" s="1" t="s">
        <v>657</v>
      </c>
      <c r="U1646" s="1" t="s">
        <v>67</v>
      </c>
      <c r="V1646" s="1" t="s">
        <v>45</v>
      </c>
      <c r="W1646" s="1"/>
      <c r="X1646" s="1"/>
      <c r="Y1646" s="1"/>
      <c r="Z1646" s="1" t="s">
        <v>673</v>
      </c>
      <c r="AA1646" s="1" t="s">
        <v>10231</v>
      </c>
      <c r="AB1646" s="1" t="s">
        <v>10232</v>
      </c>
      <c r="AC1646" s="1" t="s">
        <v>10233</v>
      </c>
      <c r="AD1646" s="1"/>
      <c r="AE1646" s="1"/>
      <c r="AF1646" s="1"/>
      <c r="AG1646" s="1"/>
      <c r="AH1646" s="1" t="s">
        <v>45</v>
      </c>
      <c r="AI1646" s="1"/>
      <c r="AJ1646" s="1" t="s">
        <v>10234</v>
      </c>
      <c r="AK1646" s="1" t="s">
        <v>9537</v>
      </c>
    </row>
    <row r="1647" spans="1:37">
      <c r="A1647" s="1" t="str">
        <f>VLOOKUP(H1647,Languages!$A$2:$B$430,2,FALSE)</f>
        <v>Pama-Nyungan</v>
      </c>
      <c r="B1647" s="1" t="s">
        <v>652</v>
      </c>
      <c r="C1647" s="1" t="s">
        <v>34</v>
      </c>
      <c r="D1647" s="1" t="s">
        <v>10602</v>
      </c>
      <c r="E1647" s="15" t="s">
        <v>51</v>
      </c>
      <c r="F1647" s="15" t="s">
        <v>51</v>
      </c>
      <c r="G1647" s="1" t="s">
        <v>688</v>
      </c>
      <c r="H1647" s="1" t="str">
        <f>VLOOKUP(G1647,'languoid 4.0'!$A$1:$I$24439,2,FALSE)</f>
        <v>pama1250</v>
      </c>
      <c r="I1647" s="1" t="str">
        <f>VLOOKUP(G1647,'languoid 4.0'!$A$1:$I$24439,6,FALSE)</f>
        <v>language</v>
      </c>
      <c r="J1647" s="15" t="s">
        <v>51</v>
      </c>
      <c r="K1647" s="15" t="s">
        <v>51</v>
      </c>
      <c r="L1647" s="15" t="s">
        <v>51</v>
      </c>
      <c r="M1647" s="1"/>
      <c r="N1647" s="1" t="e">
        <v>#N/A</v>
      </c>
      <c r="O1647" s="15" t="s">
        <v>690</v>
      </c>
      <c r="P1647" s="15"/>
      <c r="Q1647" s="1" t="s">
        <v>10603</v>
      </c>
      <c r="R1647" s="2" t="s">
        <v>10604</v>
      </c>
      <c r="S1647" s="1" t="s">
        <v>46</v>
      </c>
      <c r="T1647" s="1" t="s">
        <v>754</v>
      </c>
      <c r="U1647" s="1" t="s">
        <v>636</v>
      </c>
      <c r="V1647" s="1" t="s">
        <v>45</v>
      </c>
      <c r="W1647" s="1"/>
      <c r="X1647" s="1"/>
      <c r="Y1647" s="1"/>
      <c r="Z1647" s="1" t="s">
        <v>658</v>
      </c>
      <c r="AA1647" s="1" t="s">
        <v>10605</v>
      </c>
      <c r="AB1647" s="1" t="s">
        <v>46</v>
      </c>
      <c r="AC1647" s="1" t="s">
        <v>46</v>
      </c>
      <c r="AD1647" s="1" t="s">
        <v>10606</v>
      </c>
      <c r="AE1647" s="1" t="s">
        <v>641</v>
      </c>
      <c r="AF1647" s="1" t="s">
        <v>190</v>
      </c>
      <c r="AG1647" s="1">
        <v>6</v>
      </c>
      <c r="AH1647" s="1" t="s">
        <v>190</v>
      </c>
      <c r="AI1647" s="1" t="s">
        <v>10607</v>
      </c>
      <c r="AJ1647" s="1" t="s">
        <v>10608</v>
      </c>
      <c r="AK1647" s="1" t="s">
        <v>9537</v>
      </c>
    </row>
    <row r="1648" spans="1:37">
      <c r="A1648" s="1" t="str">
        <f>VLOOKUP(H1648,Languages!$A$2:$B$430,2,FALSE)</f>
        <v>Pama-Nyungan</v>
      </c>
      <c r="B1648" s="1" t="s">
        <v>1750</v>
      </c>
      <c r="C1648" s="1" t="s">
        <v>34</v>
      </c>
      <c r="D1648" s="1" t="s">
        <v>10028</v>
      </c>
      <c r="E1648" s="15" t="s">
        <v>10029</v>
      </c>
      <c r="F1648" s="15" t="s">
        <v>688</v>
      </c>
      <c r="G1648" s="1" t="s">
        <v>10030</v>
      </c>
      <c r="H1648" s="1" t="str">
        <f>VLOOKUP(G1648,'languoid 4.0'!$A$1:$I$24439,2,FALSE)</f>
        <v>pama1250</v>
      </c>
      <c r="I1648" s="1" t="str">
        <f>VLOOKUP(G1648,'languoid 4.0'!$A$1:$I$24439,6,FALSE)</f>
        <v>family</v>
      </c>
      <c r="J1648" s="15" t="s">
        <v>52</v>
      </c>
      <c r="K1648" s="15" t="s">
        <v>52</v>
      </c>
      <c r="L1648" s="15" t="s">
        <v>38</v>
      </c>
      <c r="M1648" s="1"/>
      <c r="N1648" s="1" t="s">
        <v>10031</v>
      </c>
      <c r="O1648" s="15" t="s">
        <v>40</v>
      </c>
      <c r="P1648" s="15" t="s">
        <v>41</v>
      </c>
      <c r="Q1648" s="1" t="s">
        <v>10032</v>
      </c>
      <c r="R1648" s="2" t="s">
        <v>4512</v>
      </c>
      <c r="S1648" s="1" t="s">
        <v>46</v>
      </c>
      <c r="T1648" s="1" t="s">
        <v>635</v>
      </c>
      <c r="U1648" s="1" t="s">
        <v>636</v>
      </c>
      <c r="V1648" s="1" t="s">
        <v>45</v>
      </c>
      <c r="W1648" s="1"/>
      <c r="X1648" s="1"/>
      <c r="Y1648" s="1"/>
      <c r="Z1648" s="1" t="s">
        <v>658</v>
      </c>
      <c r="AA1648" s="1" t="s">
        <v>10033</v>
      </c>
      <c r="AB1648" s="1" t="s">
        <v>46</v>
      </c>
      <c r="AC1648" s="1" t="s">
        <v>46</v>
      </c>
      <c r="AD1648" s="1"/>
      <c r="AE1648" s="1"/>
      <c r="AF1648" s="1"/>
      <c r="AG1648" s="1"/>
      <c r="AH1648" s="1" t="s">
        <v>45</v>
      </c>
      <c r="AI1648" s="1"/>
      <c r="AJ1648" s="3">
        <v>43201.69</v>
      </c>
      <c r="AK1648" s="1" t="s">
        <v>9537</v>
      </c>
    </row>
    <row r="1649" spans="1:37">
      <c r="A1649" s="1" t="str">
        <f>VLOOKUP(H1649,Languages!$A$2:$B$430,2,FALSE)</f>
        <v>Pama-Nyungan</v>
      </c>
      <c r="B1649" s="1" t="s">
        <v>1750</v>
      </c>
      <c r="C1649" s="1" t="s">
        <v>34</v>
      </c>
      <c r="D1649" s="1" t="s">
        <v>10034</v>
      </c>
      <c r="E1649" s="15" t="s">
        <v>10029</v>
      </c>
      <c r="F1649" s="15" t="s">
        <v>688</v>
      </c>
      <c r="G1649" s="1" t="s">
        <v>10030</v>
      </c>
      <c r="H1649" s="1" t="str">
        <f>VLOOKUP(G1649,'languoid 4.0'!$A$1:$I$24439,2,FALSE)</f>
        <v>pama1250</v>
      </c>
      <c r="I1649" s="1" t="str">
        <f>VLOOKUP(G1649,'languoid 4.0'!$A$1:$I$24439,6,FALSE)</f>
        <v>family</v>
      </c>
      <c r="J1649" s="15" t="s">
        <v>52</v>
      </c>
      <c r="K1649" s="15" t="s">
        <v>52</v>
      </c>
      <c r="L1649" s="15" t="s">
        <v>38</v>
      </c>
      <c r="M1649" s="1"/>
      <c r="N1649" s="1" t="s">
        <v>10031</v>
      </c>
      <c r="O1649" s="15" t="s">
        <v>40</v>
      </c>
      <c r="P1649" s="15" t="s">
        <v>41</v>
      </c>
      <c r="Q1649" s="1" t="s">
        <v>10035</v>
      </c>
      <c r="R1649" s="2" t="s">
        <v>4512</v>
      </c>
      <c r="S1649" s="1" t="s">
        <v>46</v>
      </c>
      <c r="T1649" s="1" t="s">
        <v>635</v>
      </c>
      <c r="U1649" s="1" t="s">
        <v>636</v>
      </c>
      <c r="V1649" s="1" t="s">
        <v>45</v>
      </c>
      <c r="W1649" s="1"/>
      <c r="X1649" s="1"/>
      <c r="Y1649" s="1"/>
      <c r="Z1649" s="1" t="s">
        <v>658</v>
      </c>
      <c r="AA1649" s="1" t="s">
        <v>10036</v>
      </c>
      <c r="AB1649" s="1" t="s">
        <v>10037</v>
      </c>
      <c r="AC1649" s="1" t="s">
        <v>46</v>
      </c>
      <c r="AD1649" s="1"/>
      <c r="AE1649" s="1"/>
      <c r="AF1649" s="1"/>
      <c r="AG1649" s="1"/>
      <c r="AH1649" s="1" t="s">
        <v>45</v>
      </c>
      <c r="AI1649" s="1" t="s">
        <v>10038</v>
      </c>
      <c r="AJ1649" s="3">
        <v>43201.694085648145</v>
      </c>
      <c r="AK1649" s="1" t="s">
        <v>9537</v>
      </c>
    </row>
    <row r="1650" spans="1:37">
      <c r="A1650" s="1" t="str">
        <f>VLOOKUP(H1650,Languages!$A$2:$B$430,2,FALSE)</f>
        <v>Pama-Nyungan</v>
      </c>
      <c r="B1650" s="1" t="s">
        <v>1750</v>
      </c>
      <c r="C1650" s="1" t="s">
        <v>34</v>
      </c>
      <c r="D1650" s="1" t="s">
        <v>10235</v>
      </c>
      <c r="E1650" s="15" t="s">
        <v>10228</v>
      </c>
      <c r="F1650" s="15" t="s">
        <v>10228</v>
      </c>
      <c r="G1650" s="1" t="s">
        <v>10228</v>
      </c>
      <c r="H1650" s="1" t="str">
        <f>VLOOKUP(G1650,'languoid 4.0'!$A$1:$I$24439,2,FALSE)</f>
        <v>pama1250</v>
      </c>
      <c r="I1650" s="1" t="str">
        <f>VLOOKUP(G1650,'languoid 4.0'!$A$1:$I$24439,6,FALSE)</f>
        <v>dialect</v>
      </c>
      <c r="J1650" s="15" t="s">
        <v>38</v>
      </c>
      <c r="K1650" s="15" t="s">
        <v>38</v>
      </c>
      <c r="L1650" s="15" t="s">
        <v>38</v>
      </c>
      <c r="M1650" s="1"/>
      <c r="N1650" s="1"/>
      <c r="O1650" s="15" t="s">
        <v>40</v>
      </c>
      <c r="P1650" s="15" t="s">
        <v>41</v>
      </c>
      <c r="Q1650" s="1" t="s">
        <v>362</v>
      </c>
      <c r="R1650" s="2" t="s">
        <v>10229</v>
      </c>
      <c r="S1650" s="1" t="s">
        <v>10236</v>
      </c>
      <c r="T1650" s="1" t="s">
        <v>657</v>
      </c>
      <c r="U1650" s="1" t="s">
        <v>67</v>
      </c>
      <c r="V1650" s="1" t="s">
        <v>45</v>
      </c>
      <c r="W1650" s="1"/>
      <c r="X1650" s="1"/>
      <c r="Y1650" s="1"/>
      <c r="Z1650" s="1" t="s">
        <v>673</v>
      </c>
      <c r="AA1650" s="1" t="s">
        <v>10231</v>
      </c>
      <c r="AB1650" s="1" t="s">
        <v>10237</v>
      </c>
      <c r="AC1650" s="1" t="s">
        <v>46</v>
      </c>
      <c r="AD1650" s="1"/>
      <c r="AE1650" s="1"/>
      <c r="AF1650" s="1"/>
      <c r="AG1650" s="1"/>
      <c r="AH1650" s="1" t="s">
        <v>45</v>
      </c>
      <c r="AI1650" s="1"/>
      <c r="AJ1650" s="1" t="s">
        <v>10238</v>
      </c>
      <c r="AK1650" s="1" t="s">
        <v>9537</v>
      </c>
    </row>
    <row r="1651" spans="1:37">
      <c r="A1651" s="1" t="str">
        <f>VLOOKUP(H1651,Languages!$A$2:$B$430,2,FALSE)</f>
        <v>Pama-Nyungan</v>
      </c>
      <c r="B1651" s="1" t="s">
        <v>1738</v>
      </c>
      <c r="C1651" s="1" t="s">
        <v>34</v>
      </c>
      <c r="D1651" s="1" t="s">
        <v>10194</v>
      </c>
      <c r="E1651" s="15" t="s">
        <v>10195</v>
      </c>
      <c r="F1651" s="15" t="s">
        <v>10195</v>
      </c>
      <c r="G1651" s="1" t="s">
        <v>402</v>
      </c>
      <c r="H1651" s="1" t="str">
        <f>VLOOKUP(G1651,'languoid 4.0'!$A$1:$I$24439,2,FALSE)</f>
        <v>pama1250</v>
      </c>
      <c r="I1651" s="1" t="str">
        <f>VLOOKUP(G1651,'languoid 4.0'!$A$1:$I$24439,6,FALSE)</f>
        <v>language</v>
      </c>
      <c r="J1651" s="15" t="s">
        <v>38</v>
      </c>
      <c r="K1651" s="15" t="s">
        <v>38</v>
      </c>
      <c r="L1651" s="15" t="s">
        <v>38</v>
      </c>
      <c r="M1651" s="1"/>
      <c r="N1651" s="1" t="s">
        <v>10196</v>
      </c>
      <c r="O1651" s="15" t="s">
        <v>40</v>
      </c>
      <c r="P1651" s="15" t="s">
        <v>41</v>
      </c>
      <c r="Q1651" s="1" t="s">
        <v>10197</v>
      </c>
      <c r="R1651" s="2" t="s">
        <v>2767</v>
      </c>
      <c r="S1651" s="1" t="s">
        <v>9845</v>
      </c>
      <c r="T1651" s="1" t="s">
        <v>657</v>
      </c>
      <c r="U1651" s="1" t="s">
        <v>636</v>
      </c>
      <c r="V1651" s="1" t="s">
        <v>45</v>
      </c>
      <c r="W1651" s="1"/>
      <c r="X1651" s="1"/>
      <c r="Y1651" s="1"/>
      <c r="Z1651" s="1" t="s">
        <v>673</v>
      </c>
      <c r="AA1651" s="1" t="s">
        <v>10191</v>
      </c>
      <c r="AB1651" s="1" t="s">
        <v>10198</v>
      </c>
      <c r="AC1651" s="1" t="s">
        <v>46</v>
      </c>
      <c r="AD1651" s="1"/>
      <c r="AE1651" s="1"/>
      <c r="AF1651" s="1"/>
      <c r="AG1651" s="1"/>
      <c r="AH1651" s="1" t="s">
        <v>45</v>
      </c>
      <c r="AI1651" s="1"/>
      <c r="AJ1651" s="1" t="s">
        <v>10199</v>
      </c>
      <c r="AK1651" s="1" t="s">
        <v>9537</v>
      </c>
    </row>
    <row r="1652" spans="1:37">
      <c r="A1652" s="1" t="str">
        <f>VLOOKUP(H1652,Languages!$A$2:$B$430,2,FALSE)</f>
        <v>Pama-Nyungan</v>
      </c>
      <c r="B1652" s="1" t="s">
        <v>1812</v>
      </c>
      <c r="C1652" s="1" t="s">
        <v>34</v>
      </c>
      <c r="D1652" s="1" t="s">
        <v>9542</v>
      </c>
      <c r="E1652" s="15" t="s">
        <v>51</v>
      </c>
      <c r="F1652" s="15" t="s">
        <v>51</v>
      </c>
      <c r="G1652" s="1" t="s">
        <v>361</v>
      </c>
      <c r="H1652" s="1" t="str">
        <f>VLOOKUP(G1652,'languoid 4.0'!$A$1:$I$24439,2,FALSE)</f>
        <v>pama1250</v>
      </c>
      <c r="I1652" s="1" t="str">
        <f>VLOOKUP(G1652,'languoid 4.0'!$A$1:$I$24439,6,FALSE)</f>
        <v>family</v>
      </c>
      <c r="J1652" s="15" t="s">
        <v>51</v>
      </c>
      <c r="K1652" s="15" t="s">
        <v>51</v>
      </c>
      <c r="L1652" s="15" t="s">
        <v>51</v>
      </c>
      <c r="M1652" s="1"/>
      <c r="N1652" s="1" t="e">
        <v>#N/A</v>
      </c>
      <c r="O1652" s="15" t="s">
        <v>690</v>
      </c>
      <c r="P1652" s="15"/>
      <c r="Q1652" s="1" t="s">
        <v>9543</v>
      </c>
      <c r="R1652" s="2" t="s">
        <v>4512</v>
      </c>
      <c r="S1652" s="1" t="s">
        <v>46</v>
      </c>
      <c r="T1652" s="1" t="s">
        <v>635</v>
      </c>
      <c r="U1652" s="1" t="s">
        <v>636</v>
      </c>
      <c r="V1652" s="1" t="s">
        <v>45</v>
      </c>
      <c r="W1652" s="1"/>
      <c r="X1652" s="1"/>
      <c r="Y1652" s="1"/>
      <c r="Z1652" s="1" t="s">
        <v>673</v>
      </c>
      <c r="AA1652" s="1" t="s">
        <v>9544</v>
      </c>
      <c r="AB1652" s="1" t="s">
        <v>46</v>
      </c>
      <c r="AC1652" s="1" t="s">
        <v>46</v>
      </c>
      <c r="AD1652" s="1"/>
      <c r="AE1652" s="1"/>
      <c r="AF1652" s="1"/>
      <c r="AG1652" s="1"/>
      <c r="AH1652" s="1" t="s">
        <v>45</v>
      </c>
      <c r="AI1652" s="1" t="s">
        <v>9545</v>
      </c>
      <c r="AJ1652" s="3">
        <v>43291.729780092595</v>
      </c>
      <c r="AK1652" s="1" t="s">
        <v>9537</v>
      </c>
    </row>
    <row r="1653" spans="1:37">
      <c r="A1653" s="1" t="str">
        <f>VLOOKUP(H1653,Languages!$A$2:$B$430,2,FALSE)</f>
        <v>Pama-Nyungan</v>
      </c>
      <c r="B1653" s="1" t="s">
        <v>1812</v>
      </c>
      <c r="C1653" s="1" t="s">
        <v>34</v>
      </c>
      <c r="D1653" s="1" t="s">
        <v>10179</v>
      </c>
      <c r="E1653" s="15" t="s">
        <v>10180</v>
      </c>
      <c r="F1653" s="15" t="s">
        <v>10180</v>
      </c>
      <c r="G1653" s="1" t="s">
        <v>10180</v>
      </c>
      <c r="H1653" s="1" t="str">
        <f>VLOOKUP(G1653,'languoid 4.0'!$A$1:$I$24439,2,FALSE)</f>
        <v>pama1250</v>
      </c>
      <c r="I1653" s="1" t="str">
        <f>VLOOKUP(G1653,'languoid 4.0'!$A$1:$I$24439,6,FALSE)</f>
        <v>language</v>
      </c>
      <c r="J1653" s="15" t="s">
        <v>38</v>
      </c>
      <c r="K1653" s="15" t="s">
        <v>38</v>
      </c>
      <c r="L1653" s="15" t="s">
        <v>38</v>
      </c>
      <c r="M1653" s="1"/>
      <c r="N1653" s="1" t="s">
        <v>10181</v>
      </c>
      <c r="O1653" s="15" t="s">
        <v>40</v>
      </c>
      <c r="P1653" s="15" t="s">
        <v>41</v>
      </c>
      <c r="Q1653" s="1" t="s">
        <v>10182</v>
      </c>
      <c r="R1653" s="2" t="s">
        <v>10168</v>
      </c>
      <c r="S1653" s="1" t="s">
        <v>10183</v>
      </c>
      <c r="T1653" s="1" t="s">
        <v>657</v>
      </c>
      <c r="U1653" s="1" t="s">
        <v>636</v>
      </c>
      <c r="V1653" s="1" t="s">
        <v>45</v>
      </c>
      <c r="W1653" s="1"/>
      <c r="X1653" s="1"/>
      <c r="Y1653" s="1"/>
      <c r="Z1653" s="1" t="s">
        <v>673</v>
      </c>
      <c r="AA1653" s="1" t="s">
        <v>10170</v>
      </c>
      <c r="AB1653" s="1" t="s">
        <v>10184</v>
      </c>
      <c r="AC1653" s="1" t="s">
        <v>10185</v>
      </c>
      <c r="AD1653" s="1"/>
      <c r="AE1653" s="1"/>
      <c r="AF1653" s="1"/>
      <c r="AG1653" s="1"/>
      <c r="AH1653" s="1" t="s">
        <v>45</v>
      </c>
      <c r="AI1653" s="1"/>
      <c r="AJ1653" s="1" t="s">
        <v>10186</v>
      </c>
      <c r="AK1653" s="1" t="s">
        <v>9537</v>
      </c>
    </row>
    <row r="1654" spans="1:37">
      <c r="A1654" s="1" t="str">
        <f>VLOOKUP(H1654,Languages!$A$2:$B$430,2,FALSE)</f>
        <v>Pano-Tacanan</v>
      </c>
      <c r="B1654" s="1" t="s">
        <v>67</v>
      </c>
      <c r="C1654" s="1" t="s">
        <v>139</v>
      </c>
      <c r="D1654" s="1" t="s">
        <v>7568</v>
      </c>
      <c r="E1654" s="15" t="s">
        <v>7569</v>
      </c>
      <c r="F1654" s="15" t="s">
        <v>7570</v>
      </c>
      <c r="G1654" s="1" t="s">
        <v>7570</v>
      </c>
      <c r="H1654" s="1" t="str">
        <f>VLOOKUP(G1654,'languoid 4.0'!$A$1:$I$24439,2,FALSE)</f>
        <v>pano1259</v>
      </c>
      <c r="I1654" s="1" t="str">
        <f>VLOOKUP(G1654,'languoid 4.0'!$A$1:$I$24439,6,FALSE)</f>
        <v>language</v>
      </c>
      <c r="J1654" s="15" t="s">
        <v>52</v>
      </c>
      <c r="K1654" s="15" t="s">
        <v>38</v>
      </c>
      <c r="L1654" s="15" t="s">
        <v>38</v>
      </c>
      <c r="M1654" s="1"/>
      <c r="N1654" s="1"/>
      <c r="O1654" s="15" t="s">
        <v>40</v>
      </c>
      <c r="P1654" s="15" t="s">
        <v>41</v>
      </c>
      <c r="Q1654" s="1" t="s">
        <v>7563</v>
      </c>
      <c r="R1654" s="2" t="s">
        <v>7571</v>
      </c>
      <c r="S1654" s="1" t="s">
        <v>7572</v>
      </c>
      <c r="T1654" s="1" t="s">
        <v>648</v>
      </c>
      <c r="U1654" s="1" t="s">
        <v>636</v>
      </c>
      <c r="V1654" s="1" t="s">
        <v>45</v>
      </c>
      <c r="W1654" s="1"/>
      <c r="X1654" s="1"/>
      <c r="Y1654" s="1"/>
      <c r="Z1654" s="1" t="s">
        <v>637</v>
      </c>
      <c r="AA1654" s="1" t="s">
        <v>7573</v>
      </c>
      <c r="AB1654" s="1" t="s">
        <v>7574</v>
      </c>
      <c r="AC1654" s="1" t="s">
        <v>46</v>
      </c>
      <c r="AD1654" s="1"/>
      <c r="AE1654" s="1" t="s">
        <v>641</v>
      </c>
      <c r="AF1654" s="1" t="s">
        <v>45</v>
      </c>
      <c r="AG1654" s="1">
        <v>1</v>
      </c>
      <c r="AH1654" s="1" t="s">
        <v>190</v>
      </c>
      <c r="AI1654" s="1"/>
      <c r="AJ1654" s="1" t="s">
        <v>7575</v>
      </c>
      <c r="AK1654" s="1" t="s">
        <v>6411</v>
      </c>
    </row>
    <row r="1655" spans="1:37">
      <c r="A1655" s="1" t="str">
        <f>VLOOKUP(H1655,Languages!$A$2:$B$430,2,FALSE)</f>
        <v>Pano-Tacanan</v>
      </c>
      <c r="B1655" s="1" t="s">
        <v>35</v>
      </c>
      <c r="C1655" s="1" t="s">
        <v>139</v>
      </c>
      <c r="D1655" s="1" t="s">
        <v>9088</v>
      </c>
      <c r="E1655" s="15" t="s">
        <v>7570</v>
      </c>
      <c r="F1655" s="15" t="s">
        <v>7569</v>
      </c>
      <c r="G1655" s="1" t="s">
        <v>7569</v>
      </c>
      <c r="H1655" s="1" t="str">
        <f>VLOOKUP(G1655,'languoid 4.0'!$A$1:$I$24439,2,FALSE)</f>
        <v>pano1259</v>
      </c>
      <c r="I1655" s="1" t="str">
        <f>VLOOKUP(G1655,'languoid 4.0'!$A$1:$I$24439,6,FALSE)</f>
        <v>dialect</v>
      </c>
      <c r="J1655" s="15" t="s">
        <v>52</v>
      </c>
      <c r="K1655" s="15" t="s">
        <v>38</v>
      </c>
      <c r="L1655" s="15" t="s">
        <v>38</v>
      </c>
      <c r="M1655" s="1"/>
      <c r="N1655" s="1" t="s">
        <v>9089</v>
      </c>
      <c r="O1655" s="15" t="s">
        <v>40</v>
      </c>
      <c r="P1655" s="15" t="s">
        <v>41</v>
      </c>
      <c r="Q1655" s="1" t="s">
        <v>9090</v>
      </c>
      <c r="R1655" s="2" t="s">
        <v>9091</v>
      </c>
      <c r="S1655" s="1" t="s">
        <v>46</v>
      </c>
      <c r="T1655" s="1" t="s">
        <v>635</v>
      </c>
      <c r="U1655" s="1" t="s">
        <v>636</v>
      </c>
      <c r="V1655" s="1" t="s">
        <v>45</v>
      </c>
      <c r="W1655" s="1"/>
      <c r="X1655" s="1"/>
      <c r="Y1655" s="1"/>
      <c r="Z1655" s="1" t="s">
        <v>658</v>
      </c>
      <c r="AA1655" s="1" t="s">
        <v>9092</v>
      </c>
      <c r="AB1655" s="1" t="s">
        <v>46</v>
      </c>
      <c r="AC1655" s="1" t="s">
        <v>46</v>
      </c>
      <c r="AD1655" s="1"/>
      <c r="AE1655" s="1" t="s">
        <v>641</v>
      </c>
      <c r="AF1655" s="1" t="s">
        <v>190</v>
      </c>
      <c r="AG1655" s="1">
        <v>6</v>
      </c>
      <c r="AH1655" s="1" t="s">
        <v>190</v>
      </c>
      <c r="AI1655" s="1"/>
      <c r="AJ1655" s="1" t="s">
        <v>9093</v>
      </c>
      <c r="AK1655" s="1" t="s">
        <v>8645</v>
      </c>
    </row>
    <row r="1656" spans="1:37">
      <c r="A1656" s="1" t="str">
        <f>VLOOKUP(H1656,Languages!$A$2:$B$430,2,FALSE)</f>
        <v>Quechuan</v>
      </c>
      <c r="B1656" s="1" t="s">
        <v>59</v>
      </c>
      <c r="C1656" s="1" t="s">
        <v>139</v>
      </c>
      <c r="D1656" s="1" t="s">
        <v>460</v>
      </c>
      <c r="E1656" s="15" t="s">
        <v>141</v>
      </c>
      <c r="F1656" s="15" t="s">
        <v>51</v>
      </c>
      <c r="G1656" s="1" t="s">
        <v>461</v>
      </c>
      <c r="H1656" s="1" t="str">
        <f>VLOOKUP(G1656,'languoid 4.0'!$A$1:$I$24439,2,FALSE)</f>
        <v>quec1387</v>
      </c>
      <c r="I1656" s="1" t="str">
        <f>VLOOKUP(G1656,'languoid 4.0'!$A$1:$I$24439,6,FALSE)</f>
        <v>family</v>
      </c>
      <c r="J1656" s="15" t="s">
        <v>52</v>
      </c>
      <c r="K1656" s="15" t="s">
        <v>51</v>
      </c>
      <c r="L1656" s="15" t="s">
        <v>51</v>
      </c>
      <c r="M1656" s="1"/>
      <c r="N1656" s="1"/>
      <c r="O1656" s="15" t="s">
        <v>113</v>
      </c>
      <c r="P1656" s="15" t="s">
        <v>41</v>
      </c>
      <c r="Q1656" s="1" t="s">
        <v>462</v>
      </c>
      <c r="R1656" s="2" t="s">
        <v>463</v>
      </c>
      <c r="S1656" s="1" t="s">
        <v>464</v>
      </c>
      <c r="T1656" s="1" t="s">
        <v>44</v>
      </c>
      <c r="U1656" s="1"/>
      <c r="V1656" s="1" t="s">
        <v>45</v>
      </c>
      <c r="W1656" s="1"/>
      <c r="X1656" s="1"/>
      <c r="Y1656" s="1"/>
      <c r="Z1656" s="1"/>
      <c r="AA1656" s="1">
        <v>2</v>
      </c>
      <c r="AB1656" s="1">
        <v>2</v>
      </c>
      <c r="AC1656" s="1" t="s">
        <v>46</v>
      </c>
      <c r="AD1656" s="1"/>
      <c r="AE1656" s="1"/>
      <c r="AF1656" s="1"/>
      <c r="AG1656" s="1"/>
      <c r="AH1656" s="1"/>
      <c r="AI1656" s="1"/>
      <c r="AJ1656" s="3">
        <v>43102.750104166669</v>
      </c>
      <c r="AK1656" s="1" t="s">
        <v>74</v>
      </c>
    </row>
    <row r="1657" spans="1:37">
      <c r="A1657" s="1" t="str">
        <f>VLOOKUP(H1657,Languages!$A$2:$B$430,2,FALSE)</f>
        <v>Quechuan</v>
      </c>
      <c r="B1657" s="1" t="s">
        <v>59</v>
      </c>
      <c r="C1657" s="1" t="s">
        <v>139</v>
      </c>
      <c r="D1657" s="1" t="s">
        <v>10687</v>
      </c>
      <c r="E1657" s="15" t="s">
        <v>10678</v>
      </c>
      <c r="F1657" s="15" t="s">
        <v>10678</v>
      </c>
      <c r="G1657" s="1" t="s">
        <v>10678</v>
      </c>
      <c r="H1657" s="1" t="str">
        <f>VLOOKUP(G1657,'languoid 4.0'!$A$1:$I$24439,2,FALSE)</f>
        <v>quec1387</v>
      </c>
      <c r="I1657" s="1" t="str">
        <f>VLOOKUP(G1657,'languoid 4.0'!$A$1:$I$24439,6,FALSE)</f>
        <v>language</v>
      </c>
      <c r="J1657" s="15" t="s">
        <v>38</v>
      </c>
      <c r="K1657" s="15" t="s">
        <v>38</v>
      </c>
      <c r="L1657" s="15" t="s">
        <v>38</v>
      </c>
      <c r="M1657" s="1"/>
      <c r="N1657" s="1" t="s">
        <v>10679</v>
      </c>
      <c r="O1657" s="15" t="s">
        <v>40</v>
      </c>
      <c r="P1657" s="15" t="s">
        <v>41</v>
      </c>
      <c r="Q1657" s="1" t="s">
        <v>10695</v>
      </c>
      <c r="R1657" s="2" t="s">
        <v>10689</v>
      </c>
      <c r="S1657" s="1" t="s">
        <v>2718</v>
      </c>
      <c r="T1657" s="1" t="s">
        <v>10692</v>
      </c>
      <c r="U1657" s="1" t="s">
        <v>636</v>
      </c>
      <c r="V1657" s="1" t="s">
        <v>45</v>
      </c>
      <c r="W1657" s="1"/>
      <c r="X1657" s="1"/>
      <c r="Y1657" s="1"/>
      <c r="Z1657" s="1" t="s">
        <v>673</v>
      </c>
      <c r="AA1657" s="1" t="s">
        <v>46</v>
      </c>
      <c r="AB1657" s="1" t="s">
        <v>10696</v>
      </c>
      <c r="AC1657" s="1" t="s">
        <v>46</v>
      </c>
      <c r="AD1657" s="1"/>
      <c r="AE1657" s="1" t="s">
        <v>641</v>
      </c>
      <c r="AF1657" s="1" t="s">
        <v>45</v>
      </c>
      <c r="AG1657" s="1">
        <v>1</v>
      </c>
      <c r="AH1657" s="1" t="s">
        <v>190</v>
      </c>
      <c r="AI1657" s="1"/>
      <c r="AJ1657" s="3">
        <v>43202.606423611112</v>
      </c>
      <c r="AK1657" s="1" t="s">
        <v>8947</v>
      </c>
    </row>
    <row r="1658" spans="1:37">
      <c r="A1658" s="1" t="str">
        <f>VLOOKUP(H1658,Languages!$A$2:$B$430,2,FALSE)</f>
        <v>Quechuan</v>
      </c>
      <c r="B1658" s="1" t="s">
        <v>59</v>
      </c>
      <c r="C1658" s="1" t="s">
        <v>419</v>
      </c>
      <c r="D1658" s="1" t="s">
        <v>6868</v>
      </c>
      <c r="E1658" s="15" t="s">
        <v>141</v>
      </c>
      <c r="F1658" s="15" t="s">
        <v>6869</v>
      </c>
      <c r="G1658" s="1" t="s">
        <v>461</v>
      </c>
      <c r="H1658" s="1" t="str">
        <f>VLOOKUP(G1658,'languoid 4.0'!$A$1:$I$24439,2,FALSE)</f>
        <v>quec1387</v>
      </c>
      <c r="I1658" s="1" t="str">
        <f>VLOOKUP(G1658,'languoid 4.0'!$A$1:$I$24439,6,FALSE)</f>
        <v>family</v>
      </c>
      <c r="J1658" s="15" t="s">
        <v>52</v>
      </c>
      <c r="K1658" s="15" t="s">
        <v>38</v>
      </c>
      <c r="L1658" s="15" t="s">
        <v>38</v>
      </c>
      <c r="M1658" s="1"/>
      <c r="N1658" s="1"/>
      <c r="O1658" s="15" t="s">
        <v>113</v>
      </c>
      <c r="P1658" s="15" t="s">
        <v>41</v>
      </c>
      <c r="Q1658" s="1" t="s">
        <v>973</v>
      </c>
      <c r="R1658" s="2" t="s">
        <v>6870</v>
      </c>
      <c r="S1658" s="1" t="s">
        <v>2080</v>
      </c>
      <c r="T1658" s="1" t="s">
        <v>635</v>
      </c>
      <c r="U1658" s="1" t="s">
        <v>636</v>
      </c>
      <c r="V1658" s="1" t="s">
        <v>45</v>
      </c>
      <c r="W1658" s="1"/>
      <c r="X1658" s="1"/>
      <c r="Y1658" s="1"/>
      <c r="Z1658" s="1" t="s">
        <v>658</v>
      </c>
      <c r="AA1658" s="1" t="s">
        <v>6871</v>
      </c>
      <c r="AB1658" s="1" t="s">
        <v>46</v>
      </c>
      <c r="AC1658" s="1" t="s">
        <v>46</v>
      </c>
      <c r="AD1658" s="1" t="s">
        <v>46</v>
      </c>
      <c r="AE1658" s="1" t="s">
        <v>641</v>
      </c>
      <c r="AF1658" s="1" t="s">
        <v>190</v>
      </c>
      <c r="AG1658" s="1">
        <v>5</v>
      </c>
      <c r="AH1658" s="1" t="s">
        <v>190</v>
      </c>
      <c r="AI1658" s="1" t="s">
        <v>46</v>
      </c>
      <c r="AJ1658" s="1" t="s">
        <v>6872</v>
      </c>
      <c r="AK1658" s="1" t="s">
        <v>1607</v>
      </c>
    </row>
    <row r="1659" spans="1:37">
      <c r="A1659" s="1" t="str">
        <f>VLOOKUP(H1659,Languages!$A$2:$B$430,2,FALSE)</f>
        <v>Quechuan</v>
      </c>
      <c r="B1659" s="1" t="s">
        <v>59</v>
      </c>
      <c r="C1659" s="1" t="s">
        <v>419</v>
      </c>
      <c r="D1659" s="1" t="s">
        <v>8998</v>
      </c>
      <c r="E1659" s="15" t="s">
        <v>141</v>
      </c>
      <c r="F1659" s="15" t="s">
        <v>8999</v>
      </c>
      <c r="G1659" s="1" t="s">
        <v>461</v>
      </c>
      <c r="H1659" s="1" t="str">
        <f>VLOOKUP(G1659,'languoid 4.0'!$A$1:$I$24439,2,FALSE)</f>
        <v>quec1387</v>
      </c>
      <c r="I1659" s="1" t="str">
        <f>VLOOKUP(G1659,'languoid 4.0'!$A$1:$I$24439,6,FALSE)</f>
        <v>family</v>
      </c>
      <c r="J1659" s="15" t="s">
        <v>52</v>
      </c>
      <c r="K1659" s="15" t="s">
        <v>38</v>
      </c>
      <c r="L1659" s="15" t="s">
        <v>38</v>
      </c>
      <c r="M1659" s="1"/>
      <c r="N1659" s="1"/>
      <c r="O1659" s="15" t="s">
        <v>113</v>
      </c>
      <c r="P1659" s="15" t="s">
        <v>41</v>
      </c>
      <c r="Q1659" s="1" t="s">
        <v>973</v>
      </c>
      <c r="R1659" s="2" t="s">
        <v>9000</v>
      </c>
      <c r="S1659" s="1" t="s">
        <v>46</v>
      </c>
      <c r="T1659" s="1" t="s">
        <v>635</v>
      </c>
      <c r="U1659" s="1" t="s">
        <v>636</v>
      </c>
      <c r="V1659" s="1" t="s">
        <v>45</v>
      </c>
      <c r="W1659" s="1"/>
      <c r="X1659" s="1"/>
      <c r="Y1659" s="1"/>
      <c r="Z1659" s="1" t="s">
        <v>658</v>
      </c>
      <c r="AA1659" s="1" t="s">
        <v>9001</v>
      </c>
      <c r="AB1659" s="1" t="s">
        <v>46</v>
      </c>
      <c r="AC1659" s="1" t="s">
        <v>46</v>
      </c>
      <c r="AD1659" s="1"/>
      <c r="AE1659" s="1" t="s">
        <v>641</v>
      </c>
      <c r="AF1659" s="1" t="s">
        <v>190</v>
      </c>
      <c r="AG1659" s="1">
        <v>5</v>
      </c>
      <c r="AH1659" s="1" t="s">
        <v>190</v>
      </c>
      <c r="AI1659" s="1"/>
      <c r="AJ1659" s="1" t="s">
        <v>9002</v>
      </c>
      <c r="AK1659" s="1" t="s">
        <v>8989</v>
      </c>
    </row>
    <row r="1660" spans="1:37">
      <c r="A1660" s="1" t="str">
        <f>VLOOKUP(H1660,Languages!$A$2:$B$430,2,FALSE)</f>
        <v>Quechuan</v>
      </c>
      <c r="B1660" s="1" t="s">
        <v>109</v>
      </c>
      <c r="C1660" s="1" t="s">
        <v>139</v>
      </c>
      <c r="D1660" s="1" t="s">
        <v>140</v>
      </c>
      <c r="E1660" s="15" t="s">
        <v>141</v>
      </c>
      <c r="F1660" s="15" t="s">
        <v>142</v>
      </c>
      <c r="G1660" s="1" t="s">
        <v>143</v>
      </c>
      <c r="H1660" s="1" t="str">
        <f>VLOOKUP(G1660,'languoid 4.0'!$A$1:$I$24439,2,FALSE)</f>
        <v>quec1387</v>
      </c>
      <c r="I1660" s="1" t="str">
        <f>VLOOKUP(G1660,'languoid 4.0'!$A$1:$I$24439,6,FALSE)</f>
        <v>family</v>
      </c>
      <c r="J1660" s="15" t="s">
        <v>52</v>
      </c>
      <c r="K1660" s="15" t="s">
        <v>52</v>
      </c>
      <c r="L1660" s="15" t="s">
        <v>52</v>
      </c>
      <c r="M1660" s="1"/>
      <c r="N1660" s="1"/>
      <c r="O1660" s="15" t="s">
        <v>113</v>
      </c>
      <c r="P1660" s="15" t="s">
        <v>41</v>
      </c>
      <c r="Q1660" s="1" t="s">
        <v>144</v>
      </c>
      <c r="R1660" s="2" t="s">
        <v>145</v>
      </c>
      <c r="S1660" s="1" t="s">
        <v>146</v>
      </c>
      <c r="T1660" s="1" t="s">
        <v>44</v>
      </c>
      <c r="U1660" s="1"/>
      <c r="V1660" s="1" t="s">
        <v>45</v>
      </c>
      <c r="W1660" s="1"/>
      <c r="X1660" s="1"/>
      <c r="Y1660" s="1"/>
      <c r="Z1660" s="1"/>
      <c r="AA1660" s="1">
        <v>6</v>
      </c>
      <c r="AB1660" s="4">
        <v>43621</v>
      </c>
      <c r="AC1660" s="1">
        <v>6</v>
      </c>
      <c r="AD1660" s="1"/>
      <c r="AE1660" s="1"/>
      <c r="AF1660" s="1"/>
      <c r="AG1660" s="1"/>
      <c r="AH1660" s="1"/>
      <c r="AI1660" s="1"/>
      <c r="AJ1660" s="3">
        <v>43102.731180555558</v>
      </c>
      <c r="AK1660" s="1" t="s">
        <v>57</v>
      </c>
    </row>
    <row r="1661" spans="1:37">
      <c r="A1661" s="1" t="str">
        <f>VLOOKUP(H1661,Languages!$A$2:$B$430,2,FALSE)</f>
        <v>Quechuan</v>
      </c>
      <c r="B1661" s="1" t="s">
        <v>109</v>
      </c>
      <c r="C1661" s="1" t="s">
        <v>139</v>
      </c>
      <c r="D1661" s="1" t="s">
        <v>8676</v>
      </c>
      <c r="E1661" s="15" t="s">
        <v>141</v>
      </c>
      <c r="F1661" s="15" t="s">
        <v>141</v>
      </c>
      <c r="G1661" s="1" t="s">
        <v>143</v>
      </c>
      <c r="H1661" s="1" t="str">
        <f>VLOOKUP(G1661,'languoid 4.0'!$A$1:$I$24439,2,FALSE)</f>
        <v>quec1387</v>
      </c>
      <c r="I1661" s="1" t="str">
        <f>VLOOKUP(G1661,'languoid 4.0'!$A$1:$I$24439,6,FALSE)</f>
        <v>family</v>
      </c>
      <c r="J1661" s="15" t="s">
        <v>38</v>
      </c>
      <c r="K1661" s="15" t="s">
        <v>38</v>
      </c>
      <c r="L1661" s="15" t="s">
        <v>38</v>
      </c>
      <c r="M1661" s="1"/>
      <c r="N1661" s="1"/>
      <c r="O1661" s="15" t="s">
        <v>113</v>
      </c>
      <c r="P1661" s="15" t="s">
        <v>41</v>
      </c>
      <c r="Q1661" s="1" t="s">
        <v>748</v>
      </c>
      <c r="R1661" s="2" t="s">
        <v>8677</v>
      </c>
      <c r="S1661" s="1" t="s">
        <v>46</v>
      </c>
      <c r="T1661" s="1" t="s">
        <v>635</v>
      </c>
      <c r="U1661" s="1" t="s">
        <v>636</v>
      </c>
      <c r="V1661" s="1" t="s">
        <v>45</v>
      </c>
      <c r="W1661" s="1"/>
      <c r="X1661" s="1"/>
      <c r="Y1661" s="1"/>
      <c r="Z1661" s="1" t="s">
        <v>637</v>
      </c>
      <c r="AA1661" s="1" t="s">
        <v>748</v>
      </c>
      <c r="AB1661" s="1" t="s">
        <v>8678</v>
      </c>
      <c r="AC1661" s="1" t="s">
        <v>8679</v>
      </c>
      <c r="AD1661" s="1" t="s">
        <v>2080</v>
      </c>
      <c r="AE1661" s="1" t="s">
        <v>641</v>
      </c>
      <c r="AF1661" s="1" t="s">
        <v>190</v>
      </c>
      <c r="AG1661" s="1">
        <v>6</v>
      </c>
      <c r="AH1661" s="1" t="s">
        <v>190</v>
      </c>
      <c r="AI1661" s="1" t="s">
        <v>8680</v>
      </c>
      <c r="AJ1661" s="3">
        <v>43321.81621527778</v>
      </c>
      <c r="AK1661" s="1" t="s">
        <v>8645</v>
      </c>
    </row>
    <row r="1662" spans="1:37">
      <c r="A1662" s="1" t="str">
        <f>VLOOKUP(H1662,Languages!$A$2:$B$430,2,FALSE)</f>
        <v>Quechuan</v>
      </c>
      <c r="B1662" s="1" t="s">
        <v>109</v>
      </c>
      <c r="C1662" s="1" t="s">
        <v>139</v>
      </c>
      <c r="D1662" s="1" t="s">
        <v>10677</v>
      </c>
      <c r="E1662" s="15" t="s">
        <v>10678</v>
      </c>
      <c r="F1662" s="15" t="s">
        <v>10678</v>
      </c>
      <c r="G1662" s="1" t="s">
        <v>10678</v>
      </c>
      <c r="H1662" s="1" t="str">
        <f>VLOOKUP(G1662,'languoid 4.0'!$A$1:$I$24439,2,FALSE)</f>
        <v>quec1387</v>
      </c>
      <c r="I1662" s="1" t="str">
        <f>VLOOKUP(G1662,'languoid 4.0'!$A$1:$I$24439,6,FALSE)</f>
        <v>language</v>
      </c>
      <c r="J1662" s="15" t="s">
        <v>38</v>
      </c>
      <c r="K1662" s="15" t="s">
        <v>38</v>
      </c>
      <c r="L1662" s="15" t="s">
        <v>38</v>
      </c>
      <c r="M1662" s="1"/>
      <c r="N1662" s="1" t="s">
        <v>10679</v>
      </c>
      <c r="O1662" s="15" t="s">
        <v>40</v>
      </c>
      <c r="P1662" s="15" t="s">
        <v>41</v>
      </c>
      <c r="Q1662" s="1" t="s">
        <v>10680</v>
      </c>
      <c r="R1662" s="2" t="s">
        <v>10670</v>
      </c>
      <c r="S1662" s="1" t="s">
        <v>2961</v>
      </c>
      <c r="T1662" s="1" t="s">
        <v>10398</v>
      </c>
      <c r="U1662" s="1" t="s">
        <v>636</v>
      </c>
      <c r="V1662" s="1" t="s">
        <v>45</v>
      </c>
      <c r="W1662" s="1"/>
      <c r="X1662" s="1"/>
      <c r="Y1662" s="1"/>
      <c r="Z1662" s="1" t="s">
        <v>673</v>
      </c>
      <c r="AA1662" s="1" t="s">
        <v>46</v>
      </c>
      <c r="AB1662" s="1" t="s">
        <v>10681</v>
      </c>
      <c r="AC1662" s="1" t="s">
        <v>46</v>
      </c>
      <c r="AD1662" s="1"/>
      <c r="AE1662" s="1" t="s">
        <v>641</v>
      </c>
      <c r="AF1662" s="1" t="s">
        <v>190</v>
      </c>
      <c r="AG1662" s="1">
        <v>6</v>
      </c>
      <c r="AH1662" s="1" t="s">
        <v>190</v>
      </c>
      <c r="AI1662" s="1"/>
      <c r="AJ1662" s="3">
        <v>43171.59851851852</v>
      </c>
      <c r="AK1662" s="1" t="s">
        <v>8947</v>
      </c>
    </row>
    <row r="1663" spans="1:37">
      <c r="A1663" s="1" t="str">
        <f>VLOOKUP(H1663,Languages!$A$2:$B$430,2,FALSE)</f>
        <v>Quechuan</v>
      </c>
      <c r="B1663" s="1" t="s">
        <v>35</v>
      </c>
      <c r="C1663" s="1" t="s">
        <v>139</v>
      </c>
      <c r="D1663" s="1" t="s">
        <v>140</v>
      </c>
      <c r="E1663" s="15" t="s">
        <v>141</v>
      </c>
      <c r="F1663" s="15" t="s">
        <v>142</v>
      </c>
      <c r="G1663" s="1" t="s">
        <v>143</v>
      </c>
      <c r="H1663" s="1" t="str">
        <f>VLOOKUP(G1663,'languoid 4.0'!$A$1:$I$24439,2,FALSE)</f>
        <v>quec1387</v>
      </c>
      <c r="I1663" s="1" t="str">
        <f>VLOOKUP(G1663,'languoid 4.0'!$A$1:$I$24439,6,FALSE)</f>
        <v>family</v>
      </c>
      <c r="J1663" s="15" t="s">
        <v>52</v>
      </c>
      <c r="K1663" s="15" t="s">
        <v>52</v>
      </c>
      <c r="L1663" s="15" t="s">
        <v>52</v>
      </c>
      <c r="M1663" s="1"/>
      <c r="N1663" s="1"/>
      <c r="O1663" s="15" t="s">
        <v>113</v>
      </c>
      <c r="P1663" s="15" t="s">
        <v>41</v>
      </c>
      <c r="Q1663" s="1" t="s">
        <v>35</v>
      </c>
      <c r="R1663" s="2" t="s">
        <v>145</v>
      </c>
      <c r="S1663" s="1" t="s">
        <v>291</v>
      </c>
      <c r="T1663" s="1" t="s">
        <v>44</v>
      </c>
      <c r="U1663" s="1"/>
      <c r="V1663" s="1" t="s">
        <v>45</v>
      </c>
      <c r="W1663" s="1"/>
      <c r="X1663" s="1"/>
      <c r="Y1663" s="1"/>
      <c r="Z1663" s="1"/>
      <c r="AA1663" s="1">
        <v>6</v>
      </c>
      <c r="AB1663" s="4">
        <v>43621</v>
      </c>
      <c r="AC1663" s="1">
        <v>6</v>
      </c>
      <c r="AD1663" s="1"/>
      <c r="AE1663" s="1"/>
      <c r="AF1663" s="1"/>
      <c r="AG1663" s="1"/>
      <c r="AH1663" s="1"/>
      <c r="AI1663" s="1"/>
      <c r="AJ1663" s="3">
        <v>43102.740104166667</v>
      </c>
      <c r="AK1663" s="1" t="s">
        <v>74</v>
      </c>
    </row>
    <row r="1664" spans="1:37">
      <c r="A1664" s="1" t="str">
        <f>VLOOKUP(H1664,Languages!$A$2:$B$430,2,FALSE)</f>
        <v>Quechuan</v>
      </c>
      <c r="B1664" s="1" t="s">
        <v>35</v>
      </c>
      <c r="C1664" s="1" t="s">
        <v>139</v>
      </c>
      <c r="D1664" s="1" t="s">
        <v>7576</v>
      </c>
      <c r="E1664" s="15" t="s">
        <v>51</v>
      </c>
      <c r="F1664" s="15" t="s">
        <v>142</v>
      </c>
      <c r="G1664" s="1" t="s">
        <v>143</v>
      </c>
      <c r="H1664" s="1" t="str">
        <f>VLOOKUP(G1664,'languoid 4.0'!$A$1:$I$24439,2,FALSE)</f>
        <v>quec1387</v>
      </c>
      <c r="I1664" s="1" t="str">
        <f>VLOOKUP(G1664,'languoid 4.0'!$A$1:$I$24439,6,FALSE)</f>
        <v>family</v>
      </c>
      <c r="J1664" s="15" t="s">
        <v>52</v>
      </c>
      <c r="K1664" s="15" t="s">
        <v>51</v>
      </c>
      <c r="L1664" s="15" t="s">
        <v>51</v>
      </c>
      <c r="M1664" s="1"/>
      <c r="N1664" s="1" t="e">
        <v>#N/A</v>
      </c>
      <c r="O1664" s="15" t="s">
        <v>690</v>
      </c>
      <c r="P1664" s="15"/>
      <c r="Q1664" s="1" t="s">
        <v>35</v>
      </c>
      <c r="R1664" s="2" t="s">
        <v>7577</v>
      </c>
      <c r="S1664" s="1" t="s">
        <v>7578</v>
      </c>
      <c r="T1664" s="1" t="s">
        <v>648</v>
      </c>
      <c r="U1664" s="1" t="s">
        <v>636</v>
      </c>
      <c r="V1664" s="1" t="s">
        <v>45</v>
      </c>
      <c r="W1664" s="1"/>
      <c r="X1664" s="1"/>
      <c r="Y1664" s="1"/>
      <c r="Z1664" s="1" t="s">
        <v>637</v>
      </c>
      <c r="AA1664" s="1" t="s">
        <v>7579</v>
      </c>
      <c r="AB1664" s="1" t="s">
        <v>7580</v>
      </c>
      <c r="AC1664" s="1" t="s">
        <v>46</v>
      </c>
      <c r="AD1664" s="1"/>
      <c r="AE1664" s="1" t="s">
        <v>641</v>
      </c>
      <c r="AF1664" s="1" t="s">
        <v>190</v>
      </c>
      <c r="AG1664" s="1">
        <v>6</v>
      </c>
      <c r="AH1664" s="1" t="s">
        <v>190</v>
      </c>
      <c r="AI1664" s="1"/>
      <c r="AJ1664" s="1" t="s">
        <v>7581</v>
      </c>
      <c r="AK1664" s="1" t="s">
        <v>6411</v>
      </c>
    </row>
    <row r="1665" spans="1:37">
      <c r="A1665" s="1" t="str">
        <f>VLOOKUP(H1665,Languages!$A$2:$B$430,2,FALSE)</f>
        <v>Quechuan</v>
      </c>
      <c r="B1665" s="1" t="s">
        <v>35</v>
      </c>
      <c r="C1665" s="1" t="s">
        <v>139</v>
      </c>
      <c r="D1665" s="1" t="s">
        <v>8676</v>
      </c>
      <c r="E1665" s="15" t="s">
        <v>141</v>
      </c>
      <c r="F1665" s="15" t="s">
        <v>141</v>
      </c>
      <c r="G1665" s="1" t="s">
        <v>143</v>
      </c>
      <c r="H1665" s="1" t="str">
        <f>VLOOKUP(G1665,'languoid 4.0'!$A$1:$I$24439,2,FALSE)</f>
        <v>quec1387</v>
      </c>
      <c r="I1665" s="1" t="str">
        <f>VLOOKUP(G1665,'languoid 4.0'!$A$1:$I$24439,6,FALSE)</f>
        <v>family</v>
      </c>
      <c r="J1665" s="15" t="s">
        <v>38</v>
      </c>
      <c r="K1665" s="15" t="s">
        <v>38</v>
      </c>
      <c r="L1665" s="15" t="s">
        <v>38</v>
      </c>
      <c r="M1665" s="1"/>
      <c r="N1665" s="1"/>
      <c r="O1665" s="15" t="s">
        <v>113</v>
      </c>
      <c r="P1665" s="15" t="s">
        <v>41</v>
      </c>
      <c r="Q1665" s="1" t="s">
        <v>35</v>
      </c>
      <c r="R1665" s="2" t="s">
        <v>9370</v>
      </c>
      <c r="S1665" s="1" t="s">
        <v>46</v>
      </c>
      <c r="T1665" s="1" t="s">
        <v>635</v>
      </c>
      <c r="U1665" s="1" t="s">
        <v>35</v>
      </c>
      <c r="V1665" s="1" t="s">
        <v>45</v>
      </c>
      <c r="W1665" s="1"/>
      <c r="X1665" s="1"/>
      <c r="Y1665" s="1"/>
      <c r="Z1665" s="1" t="s">
        <v>658</v>
      </c>
      <c r="AA1665" s="1" t="s">
        <v>9371</v>
      </c>
      <c r="AB1665" s="1" t="s">
        <v>46</v>
      </c>
      <c r="AC1665" s="1" t="s">
        <v>46</v>
      </c>
      <c r="AD1665" s="1"/>
      <c r="AE1665" s="1" t="s">
        <v>641</v>
      </c>
      <c r="AF1665" s="1" t="s">
        <v>190</v>
      </c>
      <c r="AG1665" s="1">
        <v>6</v>
      </c>
      <c r="AH1665" s="1" t="s">
        <v>190</v>
      </c>
      <c r="AI1665" s="1"/>
      <c r="AJ1665" s="1" t="s">
        <v>9372</v>
      </c>
      <c r="AK1665" s="1" t="s">
        <v>8645</v>
      </c>
    </row>
    <row r="1666" spans="1:37">
      <c r="A1666" s="1" t="str">
        <f>VLOOKUP(H1666,Languages!$A$2:$B$430,2,FALSE)</f>
        <v>Quechuan</v>
      </c>
      <c r="B1666" s="1" t="s">
        <v>1726</v>
      </c>
      <c r="C1666" s="1" t="s">
        <v>139</v>
      </c>
      <c r="D1666" s="1" t="s">
        <v>10687</v>
      </c>
      <c r="E1666" s="15" t="s">
        <v>10678</v>
      </c>
      <c r="F1666" s="15" t="s">
        <v>10678</v>
      </c>
      <c r="G1666" s="1" t="s">
        <v>10678</v>
      </c>
      <c r="H1666" s="1" t="str">
        <f>VLOOKUP(G1666,'languoid 4.0'!$A$1:$I$24439,2,FALSE)</f>
        <v>quec1387</v>
      </c>
      <c r="I1666" s="1" t="str">
        <f>VLOOKUP(G1666,'languoid 4.0'!$A$1:$I$24439,6,FALSE)</f>
        <v>language</v>
      </c>
      <c r="J1666" s="15" t="s">
        <v>38</v>
      </c>
      <c r="K1666" s="15" t="s">
        <v>38</v>
      </c>
      <c r="L1666" s="15" t="s">
        <v>38</v>
      </c>
      <c r="M1666" s="1"/>
      <c r="N1666" s="1" t="s">
        <v>10679</v>
      </c>
      <c r="O1666" s="15" t="s">
        <v>40</v>
      </c>
      <c r="P1666" s="15" t="s">
        <v>41</v>
      </c>
      <c r="Q1666" s="1" t="s">
        <v>10697</v>
      </c>
      <c r="R1666" s="2" t="s">
        <v>10689</v>
      </c>
      <c r="S1666" s="1" t="s">
        <v>248</v>
      </c>
      <c r="T1666" s="1" t="s">
        <v>10692</v>
      </c>
      <c r="U1666" s="1" t="s">
        <v>636</v>
      </c>
      <c r="V1666" s="1" t="s">
        <v>45</v>
      </c>
      <c r="W1666" s="1"/>
      <c r="X1666" s="1"/>
      <c r="Y1666" s="1"/>
      <c r="Z1666" s="1" t="s">
        <v>673</v>
      </c>
      <c r="AA1666" s="1" t="s">
        <v>46</v>
      </c>
      <c r="AB1666" s="1" t="s">
        <v>10698</v>
      </c>
      <c r="AC1666" s="1" t="s">
        <v>46</v>
      </c>
      <c r="AD1666" s="1"/>
      <c r="AE1666" s="1" t="s">
        <v>641</v>
      </c>
      <c r="AF1666" s="1" t="s">
        <v>190</v>
      </c>
      <c r="AG1666" s="1">
        <v>6</v>
      </c>
      <c r="AH1666" s="1" t="s">
        <v>190</v>
      </c>
      <c r="AI1666" s="1"/>
      <c r="AJ1666" s="3">
        <v>43202.614571759259</v>
      </c>
      <c r="AK1666" s="1" t="s">
        <v>8947</v>
      </c>
    </row>
    <row r="1667" spans="1:37">
      <c r="A1667" s="1" t="str">
        <f>VLOOKUP(H1667,Languages!$A$2:$B$430,2,FALSE)</f>
        <v>Quechuan</v>
      </c>
      <c r="B1667" s="1" t="s">
        <v>652</v>
      </c>
      <c r="C1667" s="1" t="s">
        <v>139</v>
      </c>
      <c r="D1667" s="1" t="s">
        <v>10706</v>
      </c>
      <c r="E1667" s="15" t="s">
        <v>10707</v>
      </c>
      <c r="F1667" s="15" t="s">
        <v>10707</v>
      </c>
      <c r="G1667" s="1" t="s">
        <v>10707</v>
      </c>
      <c r="H1667" s="1" t="str">
        <f>VLOOKUP(G1667,'languoid 4.0'!$A$1:$I$24439,2,FALSE)</f>
        <v>quec1387</v>
      </c>
      <c r="I1667" s="1" t="str">
        <f>VLOOKUP(G1667,'languoid 4.0'!$A$1:$I$24439,6,FALSE)</f>
        <v>language</v>
      </c>
      <c r="J1667" s="15" t="s">
        <v>38</v>
      </c>
      <c r="K1667" s="15" t="s">
        <v>38</v>
      </c>
      <c r="L1667" s="15" t="s">
        <v>38</v>
      </c>
      <c r="M1667" s="1"/>
      <c r="N1667" s="1" t="s">
        <v>10708</v>
      </c>
      <c r="O1667" s="15" t="s">
        <v>40</v>
      </c>
      <c r="P1667" s="15" t="s">
        <v>41</v>
      </c>
      <c r="Q1667" s="1" t="s">
        <v>10709</v>
      </c>
      <c r="R1667" s="2" t="s">
        <v>10710</v>
      </c>
      <c r="S1667" s="1" t="s">
        <v>43</v>
      </c>
      <c r="T1667" s="1" t="s">
        <v>10692</v>
      </c>
      <c r="U1667" s="1" t="s">
        <v>636</v>
      </c>
      <c r="V1667" s="1" t="s">
        <v>45</v>
      </c>
      <c r="W1667" s="1"/>
      <c r="X1667" s="1"/>
      <c r="Y1667" s="1"/>
      <c r="Z1667" s="1" t="s">
        <v>637</v>
      </c>
      <c r="AA1667" s="1" t="s">
        <v>10711</v>
      </c>
      <c r="AB1667" s="1" t="s">
        <v>10712</v>
      </c>
      <c r="AC1667" s="1" t="s">
        <v>46</v>
      </c>
      <c r="AD1667" s="1"/>
      <c r="AE1667" s="1" t="s">
        <v>641</v>
      </c>
      <c r="AF1667" s="1" t="s">
        <v>190</v>
      </c>
      <c r="AG1667" s="1">
        <v>6</v>
      </c>
      <c r="AH1667" s="1" t="s">
        <v>190</v>
      </c>
      <c r="AI1667" s="1" t="s">
        <v>10713</v>
      </c>
      <c r="AJ1667" s="3">
        <v>43202.663217592592</v>
      </c>
      <c r="AK1667" s="1" t="s">
        <v>8947</v>
      </c>
    </row>
    <row r="1668" spans="1:37">
      <c r="A1668" s="1" t="str">
        <f>VLOOKUP(H1668,Languages!$A$2:$B$430,2,FALSE)</f>
        <v>Quechuan</v>
      </c>
      <c r="B1668" s="1" t="s">
        <v>652</v>
      </c>
      <c r="C1668" s="1" t="s">
        <v>139</v>
      </c>
      <c r="D1668" s="1" t="s">
        <v>10714</v>
      </c>
      <c r="E1668" s="15" t="s">
        <v>10707</v>
      </c>
      <c r="F1668" s="15" t="s">
        <v>10707</v>
      </c>
      <c r="G1668" s="1" t="s">
        <v>10707</v>
      </c>
      <c r="H1668" s="1" t="str">
        <f>VLOOKUP(G1668,'languoid 4.0'!$A$1:$I$24439,2,FALSE)</f>
        <v>quec1387</v>
      </c>
      <c r="I1668" s="1" t="str">
        <f>VLOOKUP(G1668,'languoid 4.0'!$A$1:$I$24439,6,FALSE)</f>
        <v>language</v>
      </c>
      <c r="J1668" s="15" t="s">
        <v>38</v>
      </c>
      <c r="K1668" s="15" t="s">
        <v>38</v>
      </c>
      <c r="L1668" s="15" t="s">
        <v>38</v>
      </c>
      <c r="M1668" s="1"/>
      <c r="N1668" s="1" t="s">
        <v>10708</v>
      </c>
      <c r="O1668" s="15" t="s">
        <v>40</v>
      </c>
      <c r="P1668" s="15" t="s">
        <v>41</v>
      </c>
      <c r="Q1668" s="1" t="s">
        <v>10715</v>
      </c>
      <c r="R1668" s="2" t="s">
        <v>10710</v>
      </c>
      <c r="S1668" s="1" t="s">
        <v>265</v>
      </c>
      <c r="T1668" s="1" t="s">
        <v>3307</v>
      </c>
      <c r="U1668" s="1" t="s">
        <v>636</v>
      </c>
      <c r="V1668" s="1" t="s">
        <v>45</v>
      </c>
      <c r="W1668" s="1"/>
      <c r="X1668" s="1"/>
      <c r="Y1668" s="1"/>
      <c r="Z1668" s="1" t="s">
        <v>637</v>
      </c>
      <c r="AA1668" s="1" t="s">
        <v>10716</v>
      </c>
      <c r="AB1668" s="1" t="s">
        <v>10717</v>
      </c>
      <c r="AC1668" s="1" t="s">
        <v>46</v>
      </c>
      <c r="AD1668" s="1"/>
      <c r="AE1668" s="1" t="s">
        <v>641</v>
      </c>
      <c r="AF1668" s="1" t="s">
        <v>190</v>
      </c>
      <c r="AG1668" s="1">
        <v>6</v>
      </c>
      <c r="AH1668" s="1" t="s">
        <v>190</v>
      </c>
      <c r="AI1668" s="1"/>
      <c r="AJ1668" s="3">
        <v>43202.666643518518</v>
      </c>
      <c r="AK1668" s="1" t="s">
        <v>8947</v>
      </c>
    </row>
    <row r="1669" spans="1:37">
      <c r="A1669" s="1" t="str">
        <f>VLOOKUP(H1669,Languages!$A$2:$B$430,2,FALSE)</f>
        <v>Quechuan</v>
      </c>
      <c r="B1669" s="1" t="s">
        <v>652</v>
      </c>
      <c r="C1669" s="1" t="s">
        <v>139</v>
      </c>
      <c r="D1669" s="1" t="s">
        <v>10718</v>
      </c>
      <c r="E1669" s="15" t="s">
        <v>10707</v>
      </c>
      <c r="F1669" s="15" t="s">
        <v>10707</v>
      </c>
      <c r="G1669" s="1" t="s">
        <v>10707</v>
      </c>
      <c r="H1669" s="1" t="str">
        <f>VLOOKUP(G1669,'languoid 4.0'!$A$1:$I$24439,2,FALSE)</f>
        <v>quec1387</v>
      </c>
      <c r="I1669" s="1" t="str">
        <f>VLOOKUP(G1669,'languoid 4.0'!$A$1:$I$24439,6,FALSE)</f>
        <v>language</v>
      </c>
      <c r="J1669" s="15" t="s">
        <v>38</v>
      </c>
      <c r="K1669" s="15" t="s">
        <v>38</v>
      </c>
      <c r="L1669" s="15" t="s">
        <v>38</v>
      </c>
      <c r="M1669" s="1"/>
      <c r="N1669" s="1" t="s">
        <v>10708</v>
      </c>
      <c r="O1669" s="15" t="s">
        <v>40</v>
      </c>
      <c r="P1669" s="15" t="s">
        <v>41</v>
      </c>
      <c r="Q1669" s="1" t="s">
        <v>10719</v>
      </c>
      <c r="R1669" s="2" t="s">
        <v>10710</v>
      </c>
      <c r="S1669" s="1" t="s">
        <v>130</v>
      </c>
      <c r="T1669" s="1" t="s">
        <v>3307</v>
      </c>
      <c r="U1669" s="1" t="s">
        <v>636</v>
      </c>
      <c r="V1669" s="1" t="s">
        <v>45</v>
      </c>
      <c r="W1669" s="1"/>
      <c r="X1669" s="1"/>
      <c r="Y1669" s="1"/>
      <c r="Z1669" s="1" t="s">
        <v>637</v>
      </c>
      <c r="AA1669" s="1" t="s">
        <v>10720</v>
      </c>
      <c r="AB1669" s="1" t="s">
        <v>10721</v>
      </c>
      <c r="AC1669" s="1" t="s">
        <v>46</v>
      </c>
      <c r="AD1669" s="1"/>
      <c r="AE1669" s="1" t="s">
        <v>641</v>
      </c>
      <c r="AF1669" s="1" t="s">
        <v>190</v>
      </c>
      <c r="AG1669" s="1">
        <v>6</v>
      </c>
      <c r="AH1669" s="1" t="s">
        <v>190</v>
      </c>
      <c r="AI1669" s="1"/>
      <c r="AJ1669" s="3">
        <v>43202.668425925927</v>
      </c>
      <c r="AK1669" s="1" t="s">
        <v>8947</v>
      </c>
    </row>
    <row r="1670" spans="1:37">
      <c r="A1670" s="1" t="str">
        <f>VLOOKUP(H1670,Languages!$A$2:$B$430,2,FALSE)</f>
        <v>Quechuan</v>
      </c>
      <c r="B1670" s="1" t="s">
        <v>1750</v>
      </c>
      <c r="C1670" s="1" t="s">
        <v>139</v>
      </c>
      <c r="D1670" s="1" t="s">
        <v>10687</v>
      </c>
      <c r="E1670" s="15" t="s">
        <v>10678</v>
      </c>
      <c r="F1670" s="15" t="s">
        <v>10678</v>
      </c>
      <c r="G1670" s="1" t="s">
        <v>10678</v>
      </c>
      <c r="H1670" s="1" t="str">
        <f>VLOOKUP(G1670,'languoid 4.0'!$A$1:$I$24439,2,FALSE)</f>
        <v>quec1387</v>
      </c>
      <c r="I1670" s="1" t="str">
        <f>VLOOKUP(G1670,'languoid 4.0'!$A$1:$I$24439,6,FALSE)</f>
        <v>language</v>
      </c>
      <c r="J1670" s="15" t="s">
        <v>38</v>
      </c>
      <c r="K1670" s="15" t="s">
        <v>38</v>
      </c>
      <c r="L1670" s="15" t="s">
        <v>38</v>
      </c>
      <c r="M1670" s="1"/>
      <c r="N1670" s="1" t="s">
        <v>10679</v>
      </c>
      <c r="O1670" s="15" t="s">
        <v>40</v>
      </c>
      <c r="P1670" s="15" t="s">
        <v>41</v>
      </c>
      <c r="Q1670" s="1" t="s">
        <v>10688</v>
      </c>
      <c r="R1670" s="2" t="s">
        <v>10689</v>
      </c>
      <c r="S1670" s="1" t="s">
        <v>600</v>
      </c>
      <c r="T1670" s="1" t="s">
        <v>3307</v>
      </c>
      <c r="U1670" s="1" t="s">
        <v>636</v>
      </c>
      <c r="V1670" s="1" t="s">
        <v>45</v>
      </c>
      <c r="W1670" s="1"/>
      <c r="X1670" s="1"/>
      <c r="Y1670" s="1"/>
      <c r="Z1670" s="1" t="s">
        <v>673</v>
      </c>
      <c r="AA1670" s="1" t="s">
        <v>46</v>
      </c>
      <c r="AB1670" s="1" t="s">
        <v>10690</v>
      </c>
      <c r="AC1670" s="1" t="s">
        <v>46</v>
      </c>
      <c r="AD1670" s="1"/>
      <c r="AE1670" s="1" t="s">
        <v>641</v>
      </c>
      <c r="AF1670" s="1" t="s">
        <v>190</v>
      </c>
      <c r="AG1670" s="1">
        <v>6</v>
      </c>
      <c r="AH1670" s="1" t="s">
        <v>190</v>
      </c>
      <c r="AI1670" s="1"/>
      <c r="AJ1670" s="3">
        <v>43202.577939814815</v>
      </c>
      <c r="AK1670" s="1" t="s">
        <v>8947</v>
      </c>
    </row>
    <row r="1671" spans="1:37">
      <c r="A1671" s="1" t="str">
        <f>VLOOKUP(H1671,Languages!$A$2:$B$430,2,FALSE)</f>
        <v>Quechuan</v>
      </c>
      <c r="B1671" s="1" t="s">
        <v>1738</v>
      </c>
      <c r="C1671" s="1" t="s">
        <v>139</v>
      </c>
      <c r="D1671" s="1" t="s">
        <v>9094</v>
      </c>
      <c r="E1671" s="15" t="s">
        <v>9095</v>
      </c>
      <c r="F1671" s="15" t="s">
        <v>9095</v>
      </c>
      <c r="G1671" s="1" t="s">
        <v>9095</v>
      </c>
      <c r="H1671" s="1" t="str">
        <f>VLOOKUP(G1671,'languoid 4.0'!$A$1:$I$24439,2,FALSE)</f>
        <v>quec1387</v>
      </c>
      <c r="I1671" s="1" t="str">
        <f>VLOOKUP(G1671,'languoid 4.0'!$A$1:$I$24439,6,FALSE)</f>
        <v>language</v>
      </c>
      <c r="J1671" s="15" t="s">
        <v>38</v>
      </c>
      <c r="K1671" s="15" t="s">
        <v>38</v>
      </c>
      <c r="L1671" s="15" t="s">
        <v>38</v>
      </c>
      <c r="M1671" s="1"/>
      <c r="N1671" s="1" t="s">
        <v>9096</v>
      </c>
      <c r="O1671" s="15" t="s">
        <v>40</v>
      </c>
      <c r="P1671" s="15" t="s">
        <v>41</v>
      </c>
      <c r="Q1671" s="1" t="s">
        <v>9097</v>
      </c>
      <c r="R1671" s="2" t="s">
        <v>9098</v>
      </c>
      <c r="S1671" s="1" t="s">
        <v>46</v>
      </c>
      <c r="T1671" s="1" t="s">
        <v>635</v>
      </c>
      <c r="U1671" s="1" t="s">
        <v>67</v>
      </c>
      <c r="V1671" s="1" t="s">
        <v>45</v>
      </c>
      <c r="W1671" s="1"/>
      <c r="X1671" s="1"/>
      <c r="Y1671" s="1"/>
      <c r="Z1671" s="1" t="s">
        <v>673</v>
      </c>
      <c r="AA1671" s="1" t="s">
        <v>9099</v>
      </c>
      <c r="AB1671" s="1" t="s">
        <v>9100</v>
      </c>
      <c r="AC1671" s="1" t="s">
        <v>46</v>
      </c>
      <c r="AD1671" s="1"/>
      <c r="AE1671" s="1" t="s">
        <v>641</v>
      </c>
      <c r="AF1671" s="1" t="s">
        <v>190</v>
      </c>
      <c r="AG1671" s="1">
        <v>5</v>
      </c>
      <c r="AH1671" s="1" t="s">
        <v>190</v>
      </c>
      <c r="AI1671" s="1"/>
      <c r="AJ1671" s="1" t="s">
        <v>9101</v>
      </c>
      <c r="AK1671" s="1" t="s">
        <v>8645</v>
      </c>
    </row>
    <row r="1672" spans="1:37">
      <c r="A1672" s="1" t="str">
        <f>VLOOKUP(H1672,Languages!$A$2:$B$430,2,FALSE)</f>
        <v>Quechuan</v>
      </c>
      <c r="B1672" s="1" t="s">
        <v>1738</v>
      </c>
      <c r="C1672" s="1" t="s">
        <v>139</v>
      </c>
      <c r="D1672" s="1" t="s">
        <v>10667</v>
      </c>
      <c r="E1672" s="15" t="s">
        <v>8706</v>
      </c>
      <c r="F1672" s="15" t="s">
        <v>8706</v>
      </c>
      <c r="G1672" s="1" t="s">
        <v>8706</v>
      </c>
      <c r="H1672" s="1" t="str">
        <f>VLOOKUP(G1672,'languoid 4.0'!$A$1:$I$24439,2,FALSE)</f>
        <v>quec1387</v>
      </c>
      <c r="I1672" s="1" t="str">
        <f>VLOOKUP(G1672,'languoid 4.0'!$A$1:$I$24439,6,FALSE)</f>
        <v>language</v>
      </c>
      <c r="J1672" s="15" t="s">
        <v>38</v>
      </c>
      <c r="K1672" s="15" t="s">
        <v>38</v>
      </c>
      <c r="L1672" s="15" t="s">
        <v>38</v>
      </c>
      <c r="M1672" s="1"/>
      <c r="N1672" s="1" t="s">
        <v>10668</v>
      </c>
      <c r="O1672" s="15" t="s">
        <v>40</v>
      </c>
      <c r="P1672" s="15" t="s">
        <v>41</v>
      </c>
      <c r="Q1672" s="1" t="s">
        <v>10669</v>
      </c>
      <c r="R1672" s="2" t="s">
        <v>10670</v>
      </c>
      <c r="S1672" s="1" t="s">
        <v>342</v>
      </c>
      <c r="T1672" s="1" t="s">
        <v>657</v>
      </c>
      <c r="U1672" s="1" t="s">
        <v>10671</v>
      </c>
      <c r="V1672" s="1" t="s">
        <v>45</v>
      </c>
      <c r="W1672" s="1"/>
      <c r="X1672" s="1"/>
      <c r="Y1672" s="1"/>
      <c r="Z1672" s="1" t="s">
        <v>673</v>
      </c>
      <c r="AA1672" s="1" t="s">
        <v>46</v>
      </c>
      <c r="AB1672" s="1" t="s">
        <v>10672</v>
      </c>
      <c r="AC1672" s="1" t="s">
        <v>46</v>
      </c>
      <c r="AD1672" s="1"/>
      <c r="AE1672" s="1" t="s">
        <v>641</v>
      </c>
      <c r="AF1672" s="1" t="s">
        <v>190</v>
      </c>
      <c r="AG1672" s="1">
        <v>6</v>
      </c>
      <c r="AH1672" s="1" t="s">
        <v>190</v>
      </c>
      <c r="AI1672" s="1" t="s">
        <v>10673</v>
      </c>
      <c r="AJ1672" s="3">
        <v>43171.572847222225</v>
      </c>
      <c r="AK1672" s="1" t="s">
        <v>8947</v>
      </c>
    </row>
    <row r="1673" spans="1:37">
      <c r="A1673" s="1" t="str">
        <f>VLOOKUP(H1673,Languages!$A$2:$B$430,2,FALSE)</f>
        <v>Quechuan</v>
      </c>
      <c r="B1673" s="1" t="s">
        <v>1738</v>
      </c>
      <c r="C1673" s="1" t="s">
        <v>139</v>
      </c>
      <c r="D1673" s="1" t="s">
        <v>10674</v>
      </c>
      <c r="E1673" s="15" t="s">
        <v>141</v>
      </c>
      <c r="F1673" s="15" t="s">
        <v>141</v>
      </c>
      <c r="G1673" s="1" t="s">
        <v>8706</v>
      </c>
      <c r="H1673" s="1" t="str">
        <f>VLOOKUP(G1673,'languoid 4.0'!$A$1:$I$24439,2,FALSE)</f>
        <v>quec1387</v>
      </c>
      <c r="I1673" s="1" t="str">
        <f>VLOOKUP(G1673,'languoid 4.0'!$A$1:$I$24439,6,FALSE)</f>
        <v>language</v>
      </c>
      <c r="J1673" s="15" t="s">
        <v>38</v>
      </c>
      <c r="K1673" s="15" t="s">
        <v>38</v>
      </c>
      <c r="L1673" s="15" t="s">
        <v>38</v>
      </c>
      <c r="M1673" s="1"/>
      <c r="N1673" s="1"/>
      <c r="O1673" s="15" t="s">
        <v>113</v>
      </c>
      <c r="P1673" s="15" t="s">
        <v>41</v>
      </c>
      <c r="Q1673" s="1" t="s">
        <v>10675</v>
      </c>
      <c r="R1673" s="2" t="s">
        <v>10670</v>
      </c>
      <c r="S1673" s="1" t="s">
        <v>328</v>
      </c>
      <c r="T1673" s="1" t="s">
        <v>657</v>
      </c>
      <c r="U1673" s="1" t="s">
        <v>1812</v>
      </c>
      <c r="V1673" s="1" t="s">
        <v>45</v>
      </c>
      <c r="W1673" s="1"/>
      <c r="X1673" s="1"/>
      <c r="Y1673" s="1"/>
      <c r="Z1673" s="1" t="s">
        <v>673</v>
      </c>
      <c r="AA1673" s="1" t="s">
        <v>46</v>
      </c>
      <c r="AB1673" s="1" t="s">
        <v>10676</v>
      </c>
      <c r="AC1673" s="1" t="s">
        <v>46</v>
      </c>
      <c r="AD1673" s="1"/>
      <c r="AE1673" s="1" t="s">
        <v>641</v>
      </c>
      <c r="AF1673" s="1" t="s">
        <v>45</v>
      </c>
      <c r="AG1673" s="1">
        <v>1</v>
      </c>
      <c r="AH1673" s="1" t="s">
        <v>190</v>
      </c>
      <c r="AI1673" s="1"/>
      <c r="AJ1673" s="3">
        <v>43171.585046296299</v>
      </c>
      <c r="AK1673" s="1" t="s">
        <v>8947</v>
      </c>
    </row>
    <row r="1674" spans="1:37">
      <c r="A1674" s="1" t="str">
        <f>VLOOKUP(H1674,Languages!$A$2:$B$430,2,FALSE)</f>
        <v>Quechuan</v>
      </c>
      <c r="B1674" s="1" t="s">
        <v>1812</v>
      </c>
      <c r="C1674" s="1" t="s">
        <v>139</v>
      </c>
      <c r="D1674" s="1" t="s">
        <v>8676</v>
      </c>
      <c r="E1674" s="15" t="s">
        <v>141</v>
      </c>
      <c r="F1674" s="15" t="s">
        <v>8706</v>
      </c>
      <c r="G1674" s="1" t="s">
        <v>143</v>
      </c>
      <c r="H1674" s="1" t="str">
        <f>VLOOKUP(G1674,'languoid 4.0'!$A$1:$I$24439,2,FALSE)</f>
        <v>quec1387</v>
      </c>
      <c r="I1674" s="1" t="str">
        <f>VLOOKUP(G1674,'languoid 4.0'!$A$1:$I$24439,6,FALSE)</f>
        <v>family</v>
      </c>
      <c r="J1674" s="15" t="s">
        <v>52</v>
      </c>
      <c r="K1674" s="15" t="s">
        <v>38</v>
      </c>
      <c r="L1674" s="15" t="s">
        <v>38</v>
      </c>
      <c r="M1674" s="1"/>
      <c r="N1674" s="1"/>
      <c r="O1674" s="15" t="s">
        <v>113</v>
      </c>
      <c r="P1674" s="15" t="s">
        <v>41</v>
      </c>
      <c r="Q1674" s="1" t="s">
        <v>8707</v>
      </c>
      <c r="R1674" s="2" t="s">
        <v>8708</v>
      </c>
      <c r="S1674" s="1" t="s">
        <v>46</v>
      </c>
      <c r="T1674" s="1" t="s">
        <v>635</v>
      </c>
      <c r="U1674" s="1" t="s">
        <v>8709</v>
      </c>
      <c r="V1674" s="1" t="s">
        <v>45</v>
      </c>
      <c r="W1674" s="1"/>
      <c r="X1674" s="1"/>
      <c r="Y1674" s="1"/>
      <c r="Z1674" s="1" t="s">
        <v>673</v>
      </c>
      <c r="AA1674" s="1" t="s">
        <v>8710</v>
      </c>
      <c r="AB1674" s="1" t="s">
        <v>8711</v>
      </c>
      <c r="AC1674" s="1" t="s">
        <v>46</v>
      </c>
      <c r="AD1674" s="1"/>
      <c r="AE1674" s="1" t="s">
        <v>641</v>
      </c>
      <c r="AF1674" s="1" t="s">
        <v>190</v>
      </c>
      <c r="AG1674" s="1">
        <v>6</v>
      </c>
      <c r="AH1674" s="1" t="s">
        <v>190</v>
      </c>
      <c r="AI1674" s="1"/>
      <c r="AJ1674" s="3">
        <v>43321.845810185187</v>
      </c>
      <c r="AK1674" s="1" t="s">
        <v>8645</v>
      </c>
    </row>
    <row r="1675" spans="1:37">
      <c r="A1675" s="1" t="str">
        <f>VLOOKUP(H1675,Languages!$A$2:$B$430,2,FALSE)</f>
        <v>Quechuan</v>
      </c>
      <c r="B1675" s="1" t="s">
        <v>1707</v>
      </c>
      <c r="C1675" s="1" t="s">
        <v>139</v>
      </c>
      <c r="D1675" s="1" t="s">
        <v>10687</v>
      </c>
      <c r="E1675" s="15" t="s">
        <v>10678</v>
      </c>
      <c r="F1675" s="15" t="s">
        <v>10678</v>
      </c>
      <c r="G1675" s="1" t="s">
        <v>10678</v>
      </c>
      <c r="H1675" s="1" t="str">
        <f>VLOOKUP(G1675,'languoid 4.0'!$A$1:$I$24439,2,FALSE)</f>
        <v>quec1387</v>
      </c>
      <c r="I1675" s="1" t="str">
        <f>VLOOKUP(G1675,'languoid 4.0'!$A$1:$I$24439,6,FALSE)</f>
        <v>language</v>
      </c>
      <c r="J1675" s="15" t="s">
        <v>38</v>
      </c>
      <c r="K1675" s="15" t="s">
        <v>38</v>
      </c>
      <c r="L1675" s="15" t="s">
        <v>38</v>
      </c>
      <c r="M1675" s="1"/>
      <c r="N1675" s="1" t="s">
        <v>10679</v>
      </c>
      <c r="O1675" s="15" t="s">
        <v>40</v>
      </c>
      <c r="P1675" s="15" t="s">
        <v>41</v>
      </c>
      <c r="Q1675" s="1" t="s">
        <v>10691</v>
      </c>
      <c r="R1675" s="2" t="s">
        <v>10689</v>
      </c>
      <c r="S1675" s="1" t="s">
        <v>81</v>
      </c>
      <c r="T1675" s="1" t="s">
        <v>10692</v>
      </c>
      <c r="U1675" s="1" t="s">
        <v>636</v>
      </c>
      <c r="V1675" s="1" t="s">
        <v>45</v>
      </c>
      <c r="W1675" s="1"/>
      <c r="X1675" s="1"/>
      <c r="Y1675" s="1"/>
      <c r="Z1675" s="1" t="s">
        <v>1151</v>
      </c>
      <c r="AA1675" s="1" t="s">
        <v>46</v>
      </c>
      <c r="AB1675" s="1" t="s">
        <v>10693</v>
      </c>
      <c r="AC1675" s="1" t="s">
        <v>10694</v>
      </c>
      <c r="AD1675" s="1"/>
      <c r="AE1675" s="1" t="s">
        <v>641</v>
      </c>
      <c r="AF1675" s="1" t="s">
        <v>190</v>
      </c>
      <c r="AG1675" s="1">
        <v>6</v>
      </c>
      <c r="AH1675" s="1" t="s">
        <v>190</v>
      </c>
      <c r="AI1675" s="1"/>
      <c r="AJ1675" s="3">
        <v>43202.599826388891</v>
      </c>
      <c r="AK1675" s="1" t="s">
        <v>8947</v>
      </c>
    </row>
    <row r="1676" spans="1:37">
      <c r="A1676" s="1" t="str">
        <f>VLOOKUP(H1676,Languages!$A$2:$B$430,2,FALSE)</f>
        <v>Saharan</v>
      </c>
      <c r="B1676" s="1" t="s">
        <v>35</v>
      </c>
      <c r="C1676" s="1" t="s">
        <v>48</v>
      </c>
      <c r="D1676" s="1" t="s">
        <v>6756</v>
      </c>
      <c r="E1676" s="15" t="s">
        <v>6757</v>
      </c>
      <c r="F1676" s="15" t="s">
        <v>6758</v>
      </c>
      <c r="G1676" s="1" t="s">
        <v>6758</v>
      </c>
      <c r="H1676" s="1" t="str">
        <f>VLOOKUP(G1676,'languoid 4.0'!$A$1:$I$24439,2,FALSE)</f>
        <v>saha1256</v>
      </c>
      <c r="I1676" s="1" t="str">
        <f>VLOOKUP(G1676,'languoid 4.0'!$A$1:$I$24439,6,FALSE)</f>
        <v>family</v>
      </c>
      <c r="J1676" s="15" t="s">
        <v>52</v>
      </c>
      <c r="K1676" s="15" t="s">
        <v>38</v>
      </c>
      <c r="L1676" s="15" t="s">
        <v>38</v>
      </c>
      <c r="M1676" s="1"/>
      <c r="N1676" s="1" t="s">
        <v>6759</v>
      </c>
      <c r="O1676" s="15" t="s">
        <v>40</v>
      </c>
      <c r="P1676" s="15" t="s">
        <v>41</v>
      </c>
      <c r="Q1676" s="1" t="s">
        <v>6760</v>
      </c>
      <c r="R1676" s="2" t="s">
        <v>6761</v>
      </c>
      <c r="S1676" s="1" t="s">
        <v>6762</v>
      </c>
      <c r="T1676" s="1" t="s">
        <v>1689</v>
      </c>
      <c r="U1676" s="1" t="s">
        <v>636</v>
      </c>
      <c r="V1676" s="1" t="s">
        <v>45</v>
      </c>
      <c r="W1676" s="1"/>
      <c r="X1676" s="1"/>
      <c r="Y1676" s="1"/>
      <c r="Z1676" s="1" t="s">
        <v>637</v>
      </c>
      <c r="AA1676" s="1" t="s">
        <v>6763</v>
      </c>
      <c r="AB1676" s="1" t="s">
        <v>6764</v>
      </c>
      <c r="AC1676" s="1" t="s">
        <v>46</v>
      </c>
      <c r="AD1676" s="1"/>
      <c r="AE1676" s="1" t="s">
        <v>641</v>
      </c>
      <c r="AF1676" s="1" t="s">
        <v>190</v>
      </c>
      <c r="AG1676" s="1">
        <v>6</v>
      </c>
      <c r="AH1676" s="1" t="s">
        <v>190</v>
      </c>
      <c r="AI1676" s="1"/>
      <c r="AJ1676" s="1" t="s">
        <v>6765</v>
      </c>
      <c r="AK1676" s="1" t="s">
        <v>5542</v>
      </c>
    </row>
    <row r="1677" spans="1:37">
      <c r="A1677" s="1" t="str">
        <f>VLOOKUP(H1677,Languages!$A$2:$B$430,2,FALSE)</f>
        <v>Saharan</v>
      </c>
      <c r="B1677" s="1" t="s">
        <v>1750</v>
      </c>
      <c r="C1677" s="1" t="s">
        <v>48</v>
      </c>
      <c r="D1677" s="1" t="s">
        <v>3351</v>
      </c>
      <c r="E1677" s="15" t="s">
        <v>3352</v>
      </c>
      <c r="F1677" s="15" t="s">
        <v>3352</v>
      </c>
      <c r="G1677" s="1" t="s">
        <v>3352</v>
      </c>
      <c r="H1677" s="1" t="str">
        <f>VLOOKUP(G1677,'languoid 4.0'!$A$1:$I$24439,2,FALSE)</f>
        <v>saha1256</v>
      </c>
      <c r="I1677" s="1" t="str">
        <f>VLOOKUP(G1677,'languoid 4.0'!$A$1:$I$24439,6,FALSE)</f>
        <v>language</v>
      </c>
      <c r="J1677" s="15" t="s">
        <v>38</v>
      </c>
      <c r="K1677" s="15" t="s">
        <v>38</v>
      </c>
      <c r="L1677" s="15" t="s">
        <v>38</v>
      </c>
      <c r="M1677" s="1"/>
      <c r="N1677" s="1" t="s">
        <v>3353</v>
      </c>
      <c r="O1677" s="15" t="s">
        <v>40</v>
      </c>
      <c r="P1677" s="15" t="s">
        <v>41</v>
      </c>
      <c r="Q1677" s="1" t="s">
        <v>3354</v>
      </c>
      <c r="R1677" s="2" t="s">
        <v>3355</v>
      </c>
      <c r="S1677" s="1" t="s">
        <v>46</v>
      </c>
      <c r="T1677" s="1" t="s">
        <v>635</v>
      </c>
      <c r="U1677" s="1" t="s">
        <v>636</v>
      </c>
      <c r="V1677" s="1" t="s">
        <v>45</v>
      </c>
      <c r="W1677" s="1"/>
      <c r="X1677" s="1"/>
      <c r="Y1677" s="1"/>
      <c r="Z1677" s="1" t="s">
        <v>658</v>
      </c>
      <c r="AA1677" s="1" t="s">
        <v>3356</v>
      </c>
      <c r="AB1677" s="1" t="s">
        <v>46</v>
      </c>
      <c r="AC1677" s="1" t="s">
        <v>46</v>
      </c>
      <c r="AD1677" s="1"/>
      <c r="AE1677" s="1" t="s">
        <v>641</v>
      </c>
      <c r="AF1677" s="1" t="s">
        <v>190</v>
      </c>
      <c r="AG1677" s="1">
        <v>5</v>
      </c>
      <c r="AH1677" s="1" t="s">
        <v>190</v>
      </c>
      <c r="AI1677" s="1"/>
      <c r="AJ1677" s="1" t="s">
        <v>3357</v>
      </c>
      <c r="AK1677" s="1" t="s">
        <v>3060</v>
      </c>
    </row>
    <row r="1678" spans="1:37">
      <c r="A1678" s="1" t="str">
        <f>VLOOKUP(H1678,Languages!$A$2:$B$430,2,FALSE)</f>
        <v>Salishan</v>
      </c>
      <c r="B1678" s="1" t="s">
        <v>59</v>
      </c>
      <c r="C1678" s="1" t="s">
        <v>89</v>
      </c>
      <c r="D1678" s="1" t="s">
        <v>8911</v>
      </c>
      <c r="E1678" s="15" t="s">
        <v>8224</v>
      </c>
      <c r="F1678" s="15" t="s">
        <v>51</v>
      </c>
      <c r="G1678" s="1" t="s">
        <v>8225</v>
      </c>
      <c r="H1678" s="1" t="str">
        <f>VLOOKUP(G1678,'languoid 4.0'!$A$1:$I$24439,2,FALSE)</f>
        <v>sali1255</v>
      </c>
      <c r="I1678" s="1" t="str">
        <f>VLOOKUP(G1678,'languoid 4.0'!$A$1:$I$24439,6,FALSE)</f>
        <v>family</v>
      </c>
      <c r="J1678" s="15" t="s">
        <v>52</v>
      </c>
      <c r="K1678" s="15" t="s">
        <v>51</v>
      </c>
      <c r="L1678" s="15" t="s">
        <v>51</v>
      </c>
      <c r="M1678" s="1"/>
      <c r="N1678" s="1" t="s">
        <v>8226</v>
      </c>
      <c r="O1678" s="15" t="s">
        <v>40</v>
      </c>
      <c r="P1678" s="15" t="s">
        <v>41</v>
      </c>
      <c r="Q1678" s="1" t="s">
        <v>8912</v>
      </c>
      <c r="R1678" s="2" t="s">
        <v>8227</v>
      </c>
      <c r="S1678" s="1" t="s">
        <v>8913</v>
      </c>
      <c r="T1678" s="1" t="s">
        <v>657</v>
      </c>
      <c r="U1678" s="1" t="s">
        <v>636</v>
      </c>
      <c r="V1678" s="1" t="s">
        <v>45</v>
      </c>
      <c r="W1678" s="1"/>
      <c r="X1678" s="1"/>
      <c r="Y1678" s="1"/>
      <c r="Z1678" s="1" t="s">
        <v>673</v>
      </c>
      <c r="AA1678" s="1" t="s">
        <v>8914</v>
      </c>
      <c r="AB1678" s="1" t="s">
        <v>8915</v>
      </c>
      <c r="AC1678" s="1" t="s">
        <v>46</v>
      </c>
      <c r="AD1678" s="1"/>
      <c r="AE1678" s="1" t="s">
        <v>641</v>
      </c>
      <c r="AF1678" s="1" t="s">
        <v>190</v>
      </c>
      <c r="AG1678" s="1">
        <v>6</v>
      </c>
      <c r="AH1678" s="1" t="s">
        <v>190</v>
      </c>
      <c r="AI1678" s="1"/>
      <c r="AJ1678" s="1" t="s">
        <v>8916</v>
      </c>
      <c r="AK1678" s="1" t="s">
        <v>5865</v>
      </c>
    </row>
    <row r="1679" spans="1:37">
      <c r="A1679" s="1" t="str">
        <f>VLOOKUP(H1679,Languages!$A$2:$B$430,2,FALSE)</f>
        <v>Salishan</v>
      </c>
      <c r="B1679" s="1" t="s">
        <v>109</v>
      </c>
      <c r="C1679" s="1" t="s">
        <v>304</v>
      </c>
      <c r="D1679" s="1" t="s">
        <v>9332</v>
      </c>
      <c r="E1679" s="15" t="s">
        <v>9071</v>
      </c>
      <c r="F1679" s="15" t="s">
        <v>8224</v>
      </c>
      <c r="G1679" s="1" t="s">
        <v>8224</v>
      </c>
      <c r="H1679" s="1" t="str">
        <f>VLOOKUP(G1679,'languoid 4.0'!$A$1:$I$24439,2,FALSE)</f>
        <v>sali1255</v>
      </c>
      <c r="I1679" s="1" t="str">
        <f>VLOOKUP(G1679,'languoid 4.0'!$A$1:$I$24439,6,FALSE)</f>
        <v>language</v>
      </c>
      <c r="J1679" s="15" t="s">
        <v>52</v>
      </c>
      <c r="K1679" s="15" t="s">
        <v>38</v>
      </c>
      <c r="L1679" s="15" t="s">
        <v>38</v>
      </c>
      <c r="M1679" s="1"/>
      <c r="N1679" s="1"/>
      <c r="O1679" s="15" t="s">
        <v>113</v>
      </c>
      <c r="P1679" s="15" t="s">
        <v>41</v>
      </c>
      <c r="Q1679" s="1" t="s">
        <v>748</v>
      </c>
      <c r="R1679" s="2" t="s">
        <v>9556</v>
      </c>
      <c r="S1679" s="1" t="s">
        <v>1596</v>
      </c>
      <c r="T1679" s="1" t="s">
        <v>657</v>
      </c>
      <c r="U1679" s="1" t="s">
        <v>636</v>
      </c>
      <c r="V1679" s="1" t="s">
        <v>45</v>
      </c>
      <c r="W1679" s="1"/>
      <c r="X1679" s="1"/>
      <c r="Y1679" s="1"/>
      <c r="Z1679" s="1" t="s">
        <v>658</v>
      </c>
      <c r="AA1679" s="1" t="s">
        <v>46</v>
      </c>
      <c r="AB1679" s="1" t="s">
        <v>46</v>
      </c>
      <c r="AC1679" s="1" t="s">
        <v>46</v>
      </c>
      <c r="AD1679" s="1" t="s">
        <v>9557</v>
      </c>
      <c r="AE1679" s="1" t="s">
        <v>641</v>
      </c>
      <c r="AF1679" s="1" t="s">
        <v>45</v>
      </c>
      <c r="AG1679" s="1">
        <v>6</v>
      </c>
      <c r="AH1679" s="1" t="s">
        <v>190</v>
      </c>
      <c r="AI1679" s="1"/>
      <c r="AJ1679" s="3">
        <v>43322.512303240743</v>
      </c>
      <c r="AK1679" s="1" t="s">
        <v>6441</v>
      </c>
    </row>
    <row r="1680" spans="1:37">
      <c r="A1680" s="1" t="str">
        <f>VLOOKUP(H1680,Languages!$A$2:$B$430,2,FALSE)</f>
        <v>Salishan</v>
      </c>
      <c r="B1680" s="1" t="s">
        <v>109</v>
      </c>
      <c r="C1680" s="1" t="s">
        <v>89</v>
      </c>
      <c r="D1680" s="1" t="s">
        <v>8223</v>
      </c>
      <c r="E1680" s="15" t="s">
        <v>8224</v>
      </c>
      <c r="F1680" s="15" t="s">
        <v>8224</v>
      </c>
      <c r="G1680" s="1" t="s">
        <v>8225</v>
      </c>
      <c r="H1680" s="1" t="str">
        <f>VLOOKUP(G1680,'languoid 4.0'!$A$1:$I$24439,2,FALSE)</f>
        <v>sali1255</v>
      </c>
      <c r="I1680" s="1" t="str">
        <f>VLOOKUP(G1680,'languoid 4.0'!$A$1:$I$24439,6,FALSE)</f>
        <v>family</v>
      </c>
      <c r="J1680" s="15" t="s">
        <v>38</v>
      </c>
      <c r="K1680" s="15" t="s">
        <v>38</v>
      </c>
      <c r="L1680" s="15" t="s">
        <v>38</v>
      </c>
      <c r="M1680" s="1"/>
      <c r="N1680" s="1" t="s">
        <v>8226</v>
      </c>
      <c r="O1680" s="15" t="s">
        <v>40</v>
      </c>
      <c r="P1680" s="15" t="s">
        <v>632</v>
      </c>
      <c r="Q1680" s="1" t="s">
        <v>748</v>
      </c>
      <c r="R1680" s="2" t="s">
        <v>8227</v>
      </c>
      <c r="S1680" s="1" t="s">
        <v>455</v>
      </c>
      <c r="T1680" s="1" t="s">
        <v>657</v>
      </c>
      <c r="U1680" s="1" t="s">
        <v>636</v>
      </c>
      <c r="V1680" s="1" t="s">
        <v>45</v>
      </c>
      <c r="W1680" s="1"/>
      <c r="X1680" s="1"/>
      <c r="Y1680" s="1"/>
      <c r="Z1680" s="1" t="s">
        <v>658</v>
      </c>
      <c r="AA1680" s="1" t="s">
        <v>8228</v>
      </c>
      <c r="AB1680" s="1" t="s">
        <v>8229</v>
      </c>
      <c r="AC1680" s="1" t="s">
        <v>46</v>
      </c>
      <c r="AD1680" s="1"/>
      <c r="AE1680" s="1" t="s">
        <v>641</v>
      </c>
      <c r="AF1680" s="1" t="s">
        <v>190</v>
      </c>
      <c r="AG1680" s="1">
        <v>6</v>
      </c>
      <c r="AH1680" s="1" t="s">
        <v>190</v>
      </c>
      <c r="AI1680" s="1"/>
      <c r="AJ1680" s="1" t="s">
        <v>8230</v>
      </c>
      <c r="AK1680" s="1" t="s">
        <v>5865</v>
      </c>
    </row>
    <row r="1681" spans="1:37">
      <c r="A1681" s="1" t="str">
        <f>VLOOKUP(H1681,Languages!$A$2:$B$430,2,FALSE)</f>
        <v>Salishan</v>
      </c>
      <c r="B1681" s="1" t="s">
        <v>35</v>
      </c>
      <c r="C1681" s="1" t="s">
        <v>304</v>
      </c>
      <c r="D1681" s="1" t="s">
        <v>9332</v>
      </c>
      <c r="E1681" s="15" t="s">
        <v>9071</v>
      </c>
      <c r="F1681" s="15" t="s">
        <v>8224</v>
      </c>
      <c r="G1681" s="1" t="s">
        <v>8224</v>
      </c>
      <c r="H1681" s="1" t="str">
        <f>VLOOKUP(G1681,'languoid 4.0'!$A$1:$I$24439,2,FALSE)</f>
        <v>sali1255</v>
      </c>
      <c r="I1681" s="1" t="str">
        <f>VLOOKUP(G1681,'languoid 4.0'!$A$1:$I$24439,6,FALSE)</f>
        <v>language</v>
      </c>
      <c r="J1681" s="15" t="s">
        <v>52</v>
      </c>
      <c r="K1681" s="15" t="s">
        <v>38</v>
      </c>
      <c r="L1681" s="15" t="s">
        <v>38</v>
      </c>
      <c r="M1681" s="1"/>
      <c r="N1681" s="1"/>
      <c r="O1681" s="15" t="s">
        <v>113</v>
      </c>
      <c r="P1681" s="15" t="s">
        <v>41</v>
      </c>
      <c r="Q1681" s="1" t="s">
        <v>35</v>
      </c>
      <c r="R1681" s="2" t="s">
        <v>9554</v>
      </c>
      <c r="S1681" s="1" t="s">
        <v>579</v>
      </c>
      <c r="T1681" s="1" t="s">
        <v>657</v>
      </c>
      <c r="U1681" s="1" t="s">
        <v>636</v>
      </c>
      <c r="V1681" s="1" t="s">
        <v>45</v>
      </c>
      <c r="W1681" s="1"/>
      <c r="X1681" s="1"/>
      <c r="Y1681" s="1"/>
      <c r="Z1681" s="1" t="s">
        <v>658</v>
      </c>
      <c r="AA1681" s="1" t="s">
        <v>46</v>
      </c>
      <c r="AB1681" s="1" t="s">
        <v>46</v>
      </c>
      <c r="AC1681" s="1" t="s">
        <v>46</v>
      </c>
      <c r="AD1681" s="1" t="s">
        <v>9555</v>
      </c>
      <c r="AE1681" s="1" t="s">
        <v>641</v>
      </c>
      <c r="AF1681" s="1" t="s">
        <v>45</v>
      </c>
      <c r="AG1681" s="1">
        <v>6</v>
      </c>
      <c r="AH1681" s="1" t="s">
        <v>190</v>
      </c>
      <c r="AI1681" s="1"/>
      <c r="AJ1681" s="3">
        <v>43322.510347222225</v>
      </c>
      <c r="AK1681" s="1" t="s">
        <v>6441</v>
      </c>
    </row>
    <row r="1682" spans="1:37">
      <c r="A1682" s="1" t="str">
        <f>VLOOKUP(H1682,Languages!$A$2:$B$430,2,FALSE)</f>
        <v>Salishan</v>
      </c>
      <c r="B1682" s="1" t="s">
        <v>35</v>
      </c>
      <c r="C1682" s="1" t="s">
        <v>89</v>
      </c>
      <c r="D1682" s="1" t="s">
        <v>9070</v>
      </c>
      <c r="E1682" s="15" t="s">
        <v>8224</v>
      </c>
      <c r="F1682" s="15" t="s">
        <v>9071</v>
      </c>
      <c r="G1682" s="1" t="s">
        <v>8224</v>
      </c>
      <c r="H1682" s="1" t="str">
        <f>VLOOKUP(G1682,'languoid 4.0'!$A$1:$I$24439,2,FALSE)</f>
        <v>sali1255</v>
      </c>
      <c r="I1682" s="1" t="str">
        <f>VLOOKUP(G1682,'languoid 4.0'!$A$1:$I$24439,6,FALSE)</f>
        <v>language</v>
      </c>
      <c r="J1682" s="15" t="s">
        <v>52</v>
      </c>
      <c r="K1682" s="15" t="s">
        <v>38</v>
      </c>
      <c r="L1682" s="15" t="s">
        <v>38</v>
      </c>
      <c r="M1682" s="1"/>
      <c r="N1682" s="1" t="s">
        <v>8226</v>
      </c>
      <c r="O1682" s="15" t="s">
        <v>40</v>
      </c>
      <c r="P1682" s="15" t="s">
        <v>41</v>
      </c>
      <c r="Q1682" s="1" t="s">
        <v>35</v>
      </c>
      <c r="R1682" s="2" t="s">
        <v>8227</v>
      </c>
      <c r="S1682" s="1" t="s">
        <v>100</v>
      </c>
      <c r="T1682" s="1" t="s">
        <v>657</v>
      </c>
      <c r="U1682" s="1" t="s">
        <v>636</v>
      </c>
      <c r="V1682" s="1" t="s">
        <v>45</v>
      </c>
      <c r="W1682" s="1"/>
      <c r="X1682" s="1"/>
      <c r="Y1682" s="1"/>
      <c r="Z1682" s="1" t="s">
        <v>637</v>
      </c>
      <c r="AA1682" s="1" t="s">
        <v>9072</v>
      </c>
      <c r="AB1682" s="1" t="s">
        <v>9073</v>
      </c>
      <c r="AC1682" s="1" t="s">
        <v>46</v>
      </c>
      <c r="AD1682" s="1"/>
      <c r="AE1682" s="1" t="s">
        <v>641</v>
      </c>
      <c r="AF1682" s="1" t="s">
        <v>190</v>
      </c>
      <c r="AG1682" s="1">
        <v>6</v>
      </c>
      <c r="AH1682" s="1" t="s">
        <v>190</v>
      </c>
      <c r="AI1682" s="1"/>
      <c r="AJ1682" s="1" t="s">
        <v>9074</v>
      </c>
      <c r="AK1682" s="1" t="s">
        <v>5865</v>
      </c>
    </row>
    <row r="1683" spans="1:37">
      <c r="A1683" s="1" t="str">
        <f>VLOOKUP(H1683,Languages!$A$2:$B$430,2,FALSE)</f>
        <v>Salishan</v>
      </c>
      <c r="B1683" s="1" t="s">
        <v>652</v>
      </c>
      <c r="C1683" s="1" t="s">
        <v>304</v>
      </c>
      <c r="D1683" s="1" t="s">
        <v>9317</v>
      </c>
      <c r="E1683" s="15" t="s">
        <v>51</v>
      </c>
      <c r="F1683" s="15" t="s">
        <v>9318</v>
      </c>
      <c r="G1683" s="1" t="s">
        <v>9318</v>
      </c>
      <c r="H1683" s="1" t="str">
        <f>VLOOKUP(G1683,'languoid 4.0'!$A$1:$I$24439,2,FALSE)</f>
        <v>sali1255</v>
      </c>
      <c r="I1683" s="1" t="str">
        <f>VLOOKUP(G1683,'languoid 4.0'!$A$1:$I$24439,6,FALSE)</f>
        <v>language</v>
      </c>
      <c r="J1683" s="15" t="s">
        <v>52</v>
      </c>
      <c r="K1683" s="15" t="s">
        <v>51</v>
      </c>
      <c r="L1683" s="15" t="s">
        <v>51</v>
      </c>
      <c r="M1683" s="1"/>
      <c r="N1683" s="1" t="e">
        <v>#N/A</v>
      </c>
      <c r="O1683" s="15" t="s">
        <v>690</v>
      </c>
      <c r="P1683" s="15"/>
      <c r="Q1683" s="1" t="s">
        <v>9319</v>
      </c>
      <c r="R1683" s="2" t="s">
        <v>4512</v>
      </c>
      <c r="S1683" s="1" t="s">
        <v>46</v>
      </c>
      <c r="T1683" s="1" t="s">
        <v>635</v>
      </c>
      <c r="U1683" s="1" t="s">
        <v>636</v>
      </c>
      <c r="V1683" s="1" t="s">
        <v>45</v>
      </c>
      <c r="W1683" s="1"/>
      <c r="X1683" s="1"/>
      <c r="Y1683" s="1"/>
      <c r="Z1683" s="1" t="s">
        <v>658</v>
      </c>
      <c r="AA1683" s="1" t="s">
        <v>9320</v>
      </c>
      <c r="AB1683" s="1" t="s">
        <v>46</v>
      </c>
      <c r="AC1683" s="1" t="s">
        <v>46</v>
      </c>
      <c r="AD1683" s="1" t="s">
        <v>9321</v>
      </c>
      <c r="AE1683" s="1"/>
      <c r="AF1683" s="1"/>
      <c r="AG1683" s="1"/>
      <c r="AH1683" s="1" t="s">
        <v>45</v>
      </c>
      <c r="AI1683" s="1" t="s">
        <v>9315</v>
      </c>
      <c r="AJ1683" s="1" t="s">
        <v>9322</v>
      </c>
      <c r="AK1683" s="1" t="s">
        <v>6441</v>
      </c>
    </row>
    <row r="1684" spans="1:37">
      <c r="A1684" s="1" t="str">
        <f>VLOOKUP(H1684,Languages!$A$2:$B$430,2,FALSE)</f>
        <v>Salishan</v>
      </c>
      <c r="B1684" s="1" t="s">
        <v>1707</v>
      </c>
      <c r="C1684" s="1" t="s">
        <v>304</v>
      </c>
      <c r="D1684" s="1" t="s">
        <v>11452</v>
      </c>
      <c r="E1684" s="15" t="s">
        <v>11453</v>
      </c>
      <c r="F1684" s="15" t="s">
        <v>11453</v>
      </c>
      <c r="G1684" s="1" t="s">
        <v>11453</v>
      </c>
      <c r="H1684" s="1" t="str">
        <f>VLOOKUP(G1684,'languoid 4.0'!$A$1:$I$24439,2,FALSE)</f>
        <v>sali1255</v>
      </c>
      <c r="I1684" s="1" t="str">
        <f>VLOOKUP(G1684,'languoid 4.0'!$A$1:$I$24439,6,FALSE)</f>
        <v>dialect</v>
      </c>
      <c r="J1684" s="15" t="s">
        <v>38</v>
      </c>
      <c r="K1684" s="15" t="s">
        <v>38</v>
      </c>
      <c r="L1684" s="15" t="s">
        <v>38</v>
      </c>
      <c r="M1684" s="1"/>
      <c r="N1684" s="1"/>
      <c r="O1684" s="15" t="s">
        <v>40</v>
      </c>
      <c r="P1684" s="15" t="s">
        <v>41</v>
      </c>
      <c r="Q1684" s="1" t="s">
        <v>11454</v>
      </c>
      <c r="R1684" s="2" t="s">
        <v>11455</v>
      </c>
      <c r="S1684" s="1" t="s">
        <v>1596</v>
      </c>
      <c r="T1684" s="1" t="s">
        <v>657</v>
      </c>
      <c r="U1684" s="1" t="s">
        <v>636</v>
      </c>
      <c r="V1684" s="1" t="s">
        <v>45</v>
      </c>
      <c r="W1684" s="1"/>
      <c r="X1684" s="1"/>
      <c r="Y1684" s="1"/>
      <c r="Z1684" s="1" t="s">
        <v>658</v>
      </c>
      <c r="AA1684" s="1" t="s">
        <v>46</v>
      </c>
      <c r="AB1684" s="1" t="s">
        <v>46</v>
      </c>
      <c r="AC1684" s="1" t="s">
        <v>46</v>
      </c>
      <c r="AD1684" s="1"/>
      <c r="AE1684" s="1" t="s">
        <v>641</v>
      </c>
      <c r="AF1684" s="1" t="s">
        <v>45</v>
      </c>
      <c r="AG1684" s="1">
        <v>6</v>
      </c>
      <c r="AH1684" s="1" t="s">
        <v>190</v>
      </c>
      <c r="AI1684" s="1"/>
      <c r="AJ1684" s="3">
        <v>43466.979363425926</v>
      </c>
      <c r="AK1684" s="1" t="s">
        <v>6441</v>
      </c>
    </row>
    <row r="1685" spans="1:37">
      <c r="A1685" s="1" t="str">
        <f>VLOOKUP(H1685,Languages!$A$2:$B$430,2,FALSE)</f>
        <v>Senagi</v>
      </c>
      <c r="B1685" s="1" t="s">
        <v>59</v>
      </c>
      <c r="C1685" s="1" t="s">
        <v>75</v>
      </c>
      <c r="D1685" s="1" t="s">
        <v>76</v>
      </c>
      <c r="E1685" s="15" t="s">
        <v>77</v>
      </c>
      <c r="F1685" s="15" t="s">
        <v>77</v>
      </c>
      <c r="G1685" s="1" t="s">
        <v>77</v>
      </c>
      <c r="H1685" s="1" t="str">
        <f>VLOOKUP(G1685,'languoid 4.0'!$A$1:$I$24439,2,FALSE)</f>
        <v>sena1264</v>
      </c>
      <c r="I1685" s="1" t="str">
        <f>VLOOKUP(G1685,'languoid 4.0'!$A$1:$I$24439,6,FALSE)</f>
        <v>language</v>
      </c>
      <c r="J1685" s="15" t="s">
        <v>38</v>
      </c>
      <c r="K1685" s="15" t="s">
        <v>38</v>
      </c>
      <c r="L1685" s="15" t="s">
        <v>38</v>
      </c>
      <c r="M1685" s="1"/>
      <c r="N1685" s="1" t="s">
        <v>78</v>
      </c>
      <c r="O1685" s="15" t="s">
        <v>40</v>
      </c>
      <c r="P1685" s="15" t="s">
        <v>41</v>
      </c>
      <c r="Q1685" s="1" t="s">
        <v>79</v>
      </c>
      <c r="R1685" s="2" t="s">
        <v>80</v>
      </c>
      <c r="S1685" s="1" t="s">
        <v>81</v>
      </c>
      <c r="T1685" s="1" t="s">
        <v>44</v>
      </c>
      <c r="U1685" s="1"/>
      <c r="V1685" s="1" t="s">
        <v>45</v>
      </c>
      <c r="W1685" s="1"/>
      <c r="X1685" s="1"/>
      <c r="Y1685" s="1"/>
      <c r="Z1685" s="1"/>
      <c r="AA1685" s="1">
        <v>8</v>
      </c>
      <c r="AB1685" s="1">
        <v>8</v>
      </c>
      <c r="AC1685" s="1" t="s">
        <v>46</v>
      </c>
      <c r="AD1685" s="1"/>
      <c r="AE1685" s="1"/>
      <c r="AF1685" s="1"/>
      <c r="AG1685" s="1"/>
      <c r="AH1685" s="1"/>
      <c r="AI1685" s="1"/>
      <c r="AJ1685" s="3">
        <v>43102.723032407404</v>
      </c>
      <c r="AK1685" s="1" t="s">
        <v>47</v>
      </c>
    </row>
    <row r="1686" spans="1:37">
      <c r="A1686" s="1" t="str">
        <f>VLOOKUP(H1686,Languages!$A$2:$B$430,2,FALSE)</f>
        <v>Sino-Tibetan</v>
      </c>
      <c r="B1686" s="1" t="s">
        <v>67</v>
      </c>
      <c r="C1686" s="1" t="s">
        <v>82</v>
      </c>
      <c r="D1686" s="1" t="s">
        <v>6133</v>
      </c>
      <c r="E1686" s="15" t="s">
        <v>6134</v>
      </c>
      <c r="F1686" s="15" t="s">
        <v>6134</v>
      </c>
      <c r="G1686" s="1" t="s">
        <v>6134</v>
      </c>
      <c r="H1686" s="1" t="str">
        <f>VLOOKUP(G1686,'languoid 4.0'!$A$1:$I$24439,2,FALSE)</f>
        <v>sino1245</v>
      </c>
      <c r="I1686" s="1" t="str">
        <f>VLOOKUP(G1686,'languoid 4.0'!$A$1:$I$24439,6,FALSE)</f>
        <v>language</v>
      </c>
      <c r="J1686" s="15" t="s">
        <v>38</v>
      </c>
      <c r="K1686" s="15" t="s">
        <v>38</v>
      </c>
      <c r="L1686" s="15" t="s">
        <v>38</v>
      </c>
      <c r="M1686" s="1"/>
      <c r="N1686" s="1" t="s">
        <v>6135</v>
      </c>
      <c r="O1686" s="15" t="s">
        <v>40</v>
      </c>
      <c r="P1686" s="15" t="s">
        <v>41</v>
      </c>
      <c r="Q1686" s="1" t="s">
        <v>6136</v>
      </c>
      <c r="R1686" s="2" t="s">
        <v>6137</v>
      </c>
      <c r="S1686" s="1" t="s">
        <v>46</v>
      </c>
      <c r="T1686" s="1" t="s">
        <v>635</v>
      </c>
      <c r="U1686" s="1" t="s">
        <v>636</v>
      </c>
      <c r="V1686" s="1" t="s">
        <v>45</v>
      </c>
      <c r="W1686" s="1"/>
      <c r="X1686" s="1"/>
      <c r="Y1686" s="1"/>
      <c r="Z1686" s="1" t="s">
        <v>637</v>
      </c>
      <c r="AA1686" s="1" t="s">
        <v>6138</v>
      </c>
      <c r="AB1686" s="1" t="s">
        <v>6139</v>
      </c>
      <c r="AC1686" s="1" t="s">
        <v>6140</v>
      </c>
      <c r="AD1686" s="1"/>
      <c r="AE1686" s="1" t="s">
        <v>641</v>
      </c>
      <c r="AF1686" s="1" t="s">
        <v>190</v>
      </c>
      <c r="AG1686" s="1">
        <v>6</v>
      </c>
      <c r="AH1686" s="1" t="s">
        <v>190</v>
      </c>
      <c r="AI1686" s="1"/>
      <c r="AJ1686" s="3">
        <v>43138.598622685182</v>
      </c>
      <c r="AK1686" s="1" t="s">
        <v>4274</v>
      </c>
    </row>
    <row r="1687" spans="1:37">
      <c r="A1687" s="1" t="str">
        <f>VLOOKUP(H1687,Languages!$A$2:$B$430,2,FALSE)</f>
        <v>Sino-Tibetan</v>
      </c>
      <c r="B1687" s="1" t="s">
        <v>67</v>
      </c>
      <c r="C1687" s="1" t="s">
        <v>124</v>
      </c>
      <c r="D1687" s="1" t="s">
        <v>125</v>
      </c>
      <c r="E1687" s="15" t="s">
        <v>126</v>
      </c>
      <c r="F1687" s="15" t="s">
        <v>126</v>
      </c>
      <c r="G1687" s="1" t="s">
        <v>126</v>
      </c>
      <c r="H1687" s="1" t="str">
        <f>VLOOKUP(G1687,'languoid 4.0'!$A$1:$I$24439,2,FALSE)</f>
        <v>sino1245</v>
      </c>
      <c r="I1687" s="1" t="str">
        <f>VLOOKUP(G1687,'languoid 4.0'!$A$1:$I$24439,6,FALSE)</f>
        <v>language</v>
      </c>
      <c r="J1687" s="15" t="s">
        <v>38</v>
      </c>
      <c r="K1687" s="15" t="s">
        <v>38</v>
      </c>
      <c r="L1687" s="15" t="s">
        <v>38</v>
      </c>
      <c r="M1687" s="1"/>
      <c r="N1687" s="1" t="s">
        <v>127</v>
      </c>
      <c r="O1687" s="15" t="s">
        <v>40</v>
      </c>
      <c r="P1687" s="15" t="s">
        <v>41</v>
      </c>
      <c r="Q1687" s="1" t="s">
        <v>128</v>
      </c>
      <c r="R1687" s="2" t="s">
        <v>129</v>
      </c>
      <c r="S1687" s="1" t="s">
        <v>130</v>
      </c>
      <c r="T1687" s="1" t="s">
        <v>44</v>
      </c>
      <c r="U1687" s="1"/>
      <c r="V1687" s="1" t="s">
        <v>45</v>
      </c>
      <c r="W1687" s="1"/>
      <c r="X1687" s="1"/>
      <c r="Y1687" s="1"/>
      <c r="Z1687" s="1"/>
      <c r="AA1687" s="1">
        <v>25</v>
      </c>
      <c r="AB1687" s="1" t="s">
        <v>131</v>
      </c>
      <c r="AC1687" s="1">
        <v>12</v>
      </c>
      <c r="AD1687" s="1"/>
      <c r="AE1687" s="1"/>
      <c r="AF1687" s="1"/>
      <c r="AG1687" s="1"/>
      <c r="AH1687" s="1"/>
      <c r="AI1687" s="1"/>
      <c r="AJ1687" s="3">
        <v>43102.729930555557</v>
      </c>
      <c r="AK1687" s="1" t="s">
        <v>57</v>
      </c>
    </row>
    <row r="1688" spans="1:37">
      <c r="A1688" s="1" t="str">
        <f>VLOOKUP(H1688,Languages!$A$2:$B$430,2,FALSE)</f>
        <v>Sino-Tibetan</v>
      </c>
      <c r="B1688" s="1" t="s">
        <v>67</v>
      </c>
      <c r="C1688" s="1" t="s">
        <v>124</v>
      </c>
      <c r="D1688" s="1" t="s">
        <v>1247</v>
      </c>
      <c r="E1688" s="15" t="s">
        <v>1248</v>
      </c>
      <c r="F1688" s="15" t="s">
        <v>186</v>
      </c>
      <c r="G1688" s="1" t="s">
        <v>1248</v>
      </c>
      <c r="H1688" s="1" t="str">
        <f>VLOOKUP(G1688,'languoid 4.0'!$A$1:$I$24439,2,FALSE)</f>
        <v>sino1245</v>
      </c>
      <c r="I1688" s="1" t="str">
        <f>VLOOKUP(G1688,'languoid 4.0'!$A$1:$I$24439,6,FALSE)</f>
        <v>dialect</v>
      </c>
      <c r="J1688" s="15" t="s">
        <v>52</v>
      </c>
      <c r="K1688" s="15" t="s">
        <v>52</v>
      </c>
      <c r="L1688" s="15" t="s">
        <v>52</v>
      </c>
      <c r="M1688" s="1"/>
      <c r="N1688" s="1"/>
      <c r="O1688" s="15" t="s">
        <v>40</v>
      </c>
      <c r="P1688" s="15" t="s">
        <v>632</v>
      </c>
      <c r="Q1688" s="1" t="s">
        <v>1249</v>
      </c>
      <c r="R1688" s="2" t="s">
        <v>1250</v>
      </c>
      <c r="S1688" s="1">
        <v>1</v>
      </c>
      <c r="T1688" s="1" t="s">
        <v>635</v>
      </c>
      <c r="U1688" s="1" t="s">
        <v>636</v>
      </c>
      <c r="V1688" s="1" t="s">
        <v>45</v>
      </c>
      <c r="W1688" s="1"/>
      <c r="X1688" s="1"/>
      <c r="Y1688" s="1"/>
      <c r="Z1688" s="1" t="s">
        <v>658</v>
      </c>
      <c r="AA1688" s="1" t="s">
        <v>1251</v>
      </c>
      <c r="AB1688" s="1" t="s">
        <v>46</v>
      </c>
      <c r="AC1688" s="1" t="s">
        <v>46</v>
      </c>
      <c r="AD1688" s="1" t="s">
        <v>1252</v>
      </c>
      <c r="AE1688" s="1" t="s">
        <v>641</v>
      </c>
      <c r="AF1688" s="1" t="s">
        <v>190</v>
      </c>
      <c r="AG1688" s="1">
        <v>3</v>
      </c>
      <c r="AH1688" s="1" t="s">
        <v>190</v>
      </c>
      <c r="AI1688" s="1"/>
      <c r="AJ1688" s="1" t="s">
        <v>1253</v>
      </c>
      <c r="AK1688" s="1" t="s">
        <v>1126</v>
      </c>
    </row>
    <row r="1689" spans="1:37">
      <c r="A1689" s="1" t="str">
        <f>VLOOKUP(H1689,Languages!$A$2:$B$430,2,FALSE)</f>
        <v>Sino-Tibetan</v>
      </c>
      <c r="B1689" s="1" t="s">
        <v>67</v>
      </c>
      <c r="C1689" s="1" t="s">
        <v>124</v>
      </c>
      <c r="D1689" s="1" t="s">
        <v>2165</v>
      </c>
      <c r="E1689" s="15" t="s">
        <v>2166</v>
      </c>
      <c r="F1689" s="15" t="s">
        <v>2166</v>
      </c>
      <c r="G1689" s="1" t="s">
        <v>2166</v>
      </c>
      <c r="H1689" s="1" t="str">
        <f>VLOOKUP(G1689,'languoid 4.0'!$A$1:$I$24439,2,FALSE)</f>
        <v>sino1245</v>
      </c>
      <c r="I1689" s="1" t="str">
        <f>VLOOKUP(G1689,'languoid 4.0'!$A$1:$I$24439,6,FALSE)</f>
        <v>language</v>
      </c>
      <c r="J1689" s="15" t="s">
        <v>38</v>
      </c>
      <c r="K1689" s="15" t="s">
        <v>38</v>
      </c>
      <c r="L1689" s="15" t="s">
        <v>38</v>
      </c>
      <c r="M1689" s="1"/>
      <c r="N1689" s="1" t="s">
        <v>2167</v>
      </c>
      <c r="O1689" s="15" t="s">
        <v>40</v>
      </c>
      <c r="P1689" s="15" t="s">
        <v>41</v>
      </c>
      <c r="Q1689" s="1" t="s">
        <v>2168</v>
      </c>
      <c r="R1689" s="2" t="s">
        <v>2169</v>
      </c>
      <c r="S1689" s="1" t="s">
        <v>46</v>
      </c>
      <c r="T1689" s="1" t="s">
        <v>635</v>
      </c>
      <c r="U1689" s="1" t="s">
        <v>1750</v>
      </c>
      <c r="V1689" s="1" t="s">
        <v>45</v>
      </c>
      <c r="W1689" s="1"/>
      <c r="X1689" s="1"/>
      <c r="Y1689" s="1"/>
      <c r="Z1689" s="1" t="s">
        <v>658</v>
      </c>
      <c r="AA1689" s="1" t="s">
        <v>2170</v>
      </c>
      <c r="AB1689" s="1" t="s">
        <v>46</v>
      </c>
      <c r="AC1689" s="1" t="s">
        <v>46</v>
      </c>
      <c r="AD1689" s="1" t="s">
        <v>2171</v>
      </c>
      <c r="AE1689" s="1" t="s">
        <v>641</v>
      </c>
      <c r="AF1689" s="1" t="s">
        <v>190</v>
      </c>
      <c r="AG1689" s="1">
        <v>6</v>
      </c>
      <c r="AH1689" s="1" t="s">
        <v>190</v>
      </c>
      <c r="AI1689" s="1"/>
      <c r="AJ1689" s="1" t="s">
        <v>2172</v>
      </c>
      <c r="AK1689" s="1" t="s">
        <v>1126</v>
      </c>
    </row>
    <row r="1690" spans="1:37">
      <c r="A1690" s="1" t="str">
        <f>VLOOKUP(H1690,Languages!$A$2:$B$430,2,FALSE)</f>
        <v>Sino-Tibetan</v>
      </c>
      <c r="B1690" s="1" t="s">
        <v>67</v>
      </c>
      <c r="C1690" s="1" t="s">
        <v>124</v>
      </c>
      <c r="D1690" s="1" t="s">
        <v>2165</v>
      </c>
      <c r="E1690" s="15" t="s">
        <v>2166</v>
      </c>
      <c r="F1690" s="15" t="s">
        <v>2166</v>
      </c>
      <c r="G1690" s="1" t="s">
        <v>2166</v>
      </c>
      <c r="H1690" s="1" t="str">
        <f>VLOOKUP(G1690,'languoid 4.0'!$A$1:$I$24439,2,FALSE)</f>
        <v>sino1245</v>
      </c>
      <c r="I1690" s="1" t="str">
        <f>VLOOKUP(G1690,'languoid 4.0'!$A$1:$I$24439,6,FALSE)</f>
        <v>language</v>
      </c>
      <c r="J1690" s="15" t="s">
        <v>38</v>
      </c>
      <c r="K1690" s="15" t="s">
        <v>38</v>
      </c>
      <c r="L1690" s="15" t="s">
        <v>38</v>
      </c>
      <c r="M1690" s="1"/>
      <c r="N1690" s="1" t="s">
        <v>2167</v>
      </c>
      <c r="O1690" s="15" t="s">
        <v>40</v>
      </c>
      <c r="P1690" s="15" t="s">
        <v>41</v>
      </c>
      <c r="Q1690" s="1" t="s">
        <v>2179</v>
      </c>
      <c r="R1690" s="2" t="s">
        <v>2180</v>
      </c>
      <c r="S1690" s="1" t="s">
        <v>46</v>
      </c>
      <c r="T1690" s="1" t="s">
        <v>635</v>
      </c>
      <c r="U1690" s="1" t="s">
        <v>2181</v>
      </c>
      <c r="V1690" s="1" t="s">
        <v>45</v>
      </c>
      <c r="W1690" s="1"/>
      <c r="X1690" s="1"/>
      <c r="Y1690" s="1"/>
      <c r="Z1690" s="1" t="s">
        <v>658</v>
      </c>
      <c r="AA1690" s="1" t="s">
        <v>2182</v>
      </c>
      <c r="AB1690" s="1" t="s">
        <v>46</v>
      </c>
      <c r="AC1690" s="1" t="s">
        <v>46</v>
      </c>
      <c r="AD1690" s="1" t="s">
        <v>2183</v>
      </c>
      <c r="AE1690" s="1" t="s">
        <v>641</v>
      </c>
      <c r="AF1690" s="1" t="s">
        <v>190</v>
      </c>
      <c r="AG1690" s="1">
        <v>4</v>
      </c>
      <c r="AH1690" s="1" t="s">
        <v>190</v>
      </c>
      <c r="AI1690" s="1"/>
      <c r="AJ1690" s="1" t="s">
        <v>2184</v>
      </c>
      <c r="AK1690" s="1" t="s">
        <v>1126</v>
      </c>
    </row>
    <row r="1691" spans="1:37">
      <c r="A1691" s="1" t="str">
        <f>VLOOKUP(H1691,Languages!$A$2:$B$430,2,FALSE)</f>
        <v>Sino-Tibetan</v>
      </c>
      <c r="B1691" s="1" t="s">
        <v>67</v>
      </c>
      <c r="C1691" s="1" t="s">
        <v>124</v>
      </c>
      <c r="D1691" s="1" t="s">
        <v>9605</v>
      </c>
      <c r="E1691" s="15" t="s">
        <v>1248</v>
      </c>
      <c r="F1691" s="15" t="s">
        <v>1248</v>
      </c>
      <c r="G1691" s="1" t="s">
        <v>1248</v>
      </c>
      <c r="H1691" s="1" t="str">
        <f>VLOOKUP(G1691,'languoid 4.0'!$A$1:$I$24439,2,FALSE)</f>
        <v>sino1245</v>
      </c>
      <c r="I1691" s="1" t="str">
        <f>VLOOKUP(G1691,'languoid 4.0'!$A$1:$I$24439,6,FALSE)</f>
        <v>dialect</v>
      </c>
      <c r="J1691" s="15" t="s">
        <v>38</v>
      </c>
      <c r="K1691" s="15" t="s">
        <v>38</v>
      </c>
      <c r="L1691" s="15" t="s">
        <v>38</v>
      </c>
      <c r="M1691" s="1"/>
      <c r="N1691" s="1"/>
      <c r="O1691" s="15" t="s">
        <v>40</v>
      </c>
      <c r="P1691" s="15" t="s">
        <v>632</v>
      </c>
      <c r="Q1691" s="1" t="s">
        <v>1249</v>
      </c>
      <c r="R1691" s="2" t="s">
        <v>9606</v>
      </c>
      <c r="S1691" s="1" t="s">
        <v>225</v>
      </c>
      <c r="T1691" s="1" t="s">
        <v>3307</v>
      </c>
      <c r="U1691" s="1" t="s">
        <v>636</v>
      </c>
      <c r="V1691" s="1" t="s">
        <v>45</v>
      </c>
      <c r="W1691" s="1"/>
      <c r="X1691" s="1"/>
      <c r="Y1691" s="1"/>
      <c r="Z1691" s="1" t="s">
        <v>658</v>
      </c>
      <c r="AA1691" s="1" t="s">
        <v>9607</v>
      </c>
      <c r="AB1691" s="1" t="s">
        <v>46</v>
      </c>
      <c r="AC1691" s="1" t="s">
        <v>46</v>
      </c>
      <c r="AD1691" s="1"/>
      <c r="AE1691" s="1" t="s">
        <v>641</v>
      </c>
      <c r="AF1691" s="1" t="s">
        <v>190</v>
      </c>
      <c r="AG1691" s="1">
        <v>4</v>
      </c>
      <c r="AH1691" s="1" t="s">
        <v>190</v>
      </c>
      <c r="AI1691" s="1"/>
      <c r="AJ1691" s="3">
        <v>43414.619189814817</v>
      </c>
      <c r="AK1691" s="1" t="s">
        <v>4945</v>
      </c>
    </row>
    <row r="1692" spans="1:37">
      <c r="A1692" s="1" t="str">
        <f>VLOOKUP(H1692,Languages!$A$2:$B$430,2,FALSE)</f>
        <v>Sino-Tibetan</v>
      </c>
      <c r="B1692" s="1" t="s">
        <v>67</v>
      </c>
      <c r="C1692" s="1" t="s">
        <v>117</v>
      </c>
      <c r="D1692" s="1" t="s">
        <v>5109</v>
      </c>
      <c r="E1692" s="15" t="s">
        <v>51</v>
      </c>
      <c r="F1692" s="15" t="s">
        <v>5110</v>
      </c>
      <c r="G1692" s="1" t="s">
        <v>5110</v>
      </c>
      <c r="H1692" s="1" t="str">
        <f>VLOOKUP(G1692,'languoid 4.0'!$A$1:$I$24439,2,FALSE)</f>
        <v>sino1245</v>
      </c>
      <c r="I1692" s="1" t="str">
        <f>VLOOKUP(G1692,'languoid 4.0'!$A$1:$I$24439,6,FALSE)</f>
        <v>language</v>
      </c>
      <c r="J1692" s="15" t="s">
        <v>52</v>
      </c>
      <c r="K1692" s="15" t="s">
        <v>51</v>
      </c>
      <c r="L1692" s="15" t="s">
        <v>51</v>
      </c>
      <c r="M1692" s="1"/>
      <c r="N1692" s="1" t="e">
        <v>#N/A</v>
      </c>
      <c r="O1692" s="15" t="s">
        <v>690</v>
      </c>
      <c r="P1692" s="15"/>
      <c r="Q1692" s="1" t="s">
        <v>5111</v>
      </c>
      <c r="R1692" s="2" t="s">
        <v>5112</v>
      </c>
      <c r="S1692" s="1" t="s">
        <v>5113</v>
      </c>
      <c r="T1692" s="1" t="s">
        <v>657</v>
      </c>
      <c r="U1692" s="1" t="s">
        <v>636</v>
      </c>
      <c r="V1692" s="1" t="s">
        <v>45</v>
      </c>
      <c r="W1692" s="1"/>
      <c r="X1692" s="1"/>
      <c r="Y1692" s="1"/>
      <c r="Z1692" s="1" t="s">
        <v>637</v>
      </c>
      <c r="AA1692" s="1" t="s">
        <v>5114</v>
      </c>
      <c r="AB1692" s="1" t="s">
        <v>5115</v>
      </c>
      <c r="AC1692" s="1" t="s">
        <v>46</v>
      </c>
      <c r="AD1692" s="1" t="s">
        <v>5116</v>
      </c>
      <c r="AE1692" s="1" t="s">
        <v>641</v>
      </c>
      <c r="AF1692" s="1" t="s">
        <v>190</v>
      </c>
      <c r="AG1692" s="1">
        <v>4</v>
      </c>
      <c r="AH1692" s="1" t="s">
        <v>190</v>
      </c>
      <c r="AI1692" s="1"/>
      <c r="AJ1692" s="1" t="s">
        <v>5117</v>
      </c>
      <c r="AK1692" s="1" t="s">
        <v>4268</v>
      </c>
    </row>
    <row r="1693" spans="1:37">
      <c r="A1693" s="1" t="str">
        <f>VLOOKUP(H1693,Languages!$A$2:$B$430,2,FALSE)</f>
        <v>Sino-Tibetan</v>
      </c>
      <c r="B1693" s="1" t="s">
        <v>109</v>
      </c>
      <c r="C1693" s="1" t="s">
        <v>82</v>
      </c>
      <c r="D1693" s="1" t="s">
        <v>447</v>
      </c>
      <c r="E1693" s="15" t="s">
        <v>448</v>
      </c>
      <c r="F1693" s="15" t="s">
        <v>51</v>
      </c>
      <c r="G1693" s="1" t="s">
        <v>448</v>
      </c>
      <c r="H1693" s="1" t="str">
        <f>VLOOKUP(G1693,'languoid 4.0'!$A$1:$I$24439,2,FALSE)</f>
        <v>sino1245</v>
      </c>
      <c r="I1693" s="1" t="str">
        <f>VLOOKUP(G1693,'languoid 4.0'!$A$1:$I$24439,6,FALSE)</f>
        <v>family</v>
      </c>
      <c r="J1693" s="15" t="s">
        <v>52</v>
      </c>
      <c r="K1693" s="15" t="s">
        <v>51</v>
      </c>
      <c r="L1693" s="15" t="s">
        <v>51</v>
      </c>
      <c r="M1693" s="1"/>
      <c r="N1693" s="1"/>
      <c r="O1693" s="15" t="s">
        <v>113</v>
      </c>
      <c r="P1693" s="15" t="s">
        <v>41</v>
      </c>
      <c r="Q1693" s="1" t="s">
        <v>449</v>
      </c>
      <c r="R1693" s="2" t="s">
        <v>450</v>
      </c>
      <c r="S1693" s="1" t="s">
        <v>272</v>
      </c>
      <c r="T1693" s="1" t="s">
        <v>44</v>
      </c>
      <c r="U1693" s="1"/>
      <c r="V1693" s="1" t="s">
        <v>45</v>
      </c>
      <c r="W1693" s="1"/>
      <c r="X1693" s="1"/>
      <c r="Y1693" s="1"/>
      <c r="Z1693" s="1"/>
      <c r="AA1693" s="1">
        <v>5</v>
      </c>
      <c r="AB1693" s="1">
        <v>5</v>
      </c>
      <c r="AC1693" s="4">
        <v>43621</v>
      </c>
      <c r="AD1693" s="1"/>
      <c r="AE1693" s="1"/>
      <c r="AF1693" s="1"/>
      <c r="AG1693" s="1"/>
      <c r="AH1693" s="1"/>
      <c r="AI1693" s="1"/>
      <c r="AJ1693" s="3">
        <v>43102.749097222222</v>
      </c>
      <c r="AK1693" s="1" t="s">
        <v>47</v>
      </c>
    </row>
    <row r="1694" spans="1:37">
      <c r="A1694" s="1" t="str">
        <f>VLOOKUP(H1694,Languages!$A$2:$B$430,2,FALSE)</f>
        <v>Sino-Tibetan</v>
      </c>
      <c r="B1694" s="1" t="s">
        <v>109</v>
      </c>
      <c r="C1694" s="1" t="s">
        <v>82</v>
      </c>
      <c r="D1694" s="1" t="s">
        <v>6133</v>
      </c>
      <c r="E1694" s="15" t="s">
        <v>6134</v>
      </c>
      <c r="F1694" s="15" t="s">
        <v>6134</v>
      </c>
      <c r="G1694" s="1" t="s">
        <v>6134</v>
      </c>
      <c r="H1694" s="1" t="str">
        <f>VLOOKUP(G1694,'languoid 4.0'!$A$1:$I$24439,2,FALSE)</f>
        <v>sino1245</v>
      </c>
      <c r="I1694" s="1" t="str">
        <f>VLOOKUP(G1694,'languoid 4.0'!$A$1:$I$24439,6,FALSE)</f>
        <v>language</v>
      </c>
      <c r="J1694" s="15" t="s">
        <v>38</v>
      </c>
      <c r="K1694" s="15" t="s">
        <v>38</v>
      </c>
      <c r="L1694" s="15" t="s">
        <v>38</v>
      </c>
      <c r="M1694" s="1"/>
      <c r="N1694" s="1" t="s">
        <v>6135</v>
      </c>
      <c r="O1694" s="15" t="s">
        <v>40</v>
      </c>
      <c r="P1694" s="15" t="s">
        <v>41</v>
      </c>
      <c r="Q1694" s="1" t="s">
        <v>6141</v>
      </c>
      <c r="R1694" s="2" t="s">
        <v>6142</v>
      </c>
      <c r="S1694" s="1" t="s">
        <v>46</v>
      </c>
      <c r="T1694" s="1" t="s">
        <v>635</v>
      </c>
      <c r="U1694" s="1" t="s">
        <v>636</v>
      </c>
      <c r="V1694" s="1" t="s">
        <v>45</v>
      </c>
      <c r="W1694" s="1"/>
      <c r="X1694" s="1"/>
      <c r="Y1694" s="1"/>
      <c r="Z1694" s="1" t="s">
        <v>637</v>
      </c>
      <c r="AA1694" s="1" t="s">
        <v>6143</v>
      </c>
      <c r="AB1694" s="1" t="s">
        <v>6144</v>
      </c>
      <c r="AC1694" s="1" t="s">
        <v>6145</v>
      </c>
      <c r="AD1694" s="1"/>
      <c r="AE1694" s="1" t="s">
        <v>641</v>
      </c>
      <c r="AF1694" s="1" t="s">
        <v>190</v>
      </c>
      <c r="AG1694" s="1">
        <v>6</v>
      </c>
      <c r="AH1694" s="1" t="s">
        <v>190</v>
      </c>
      <c r="AI1694" s="1"/>
      <c r="AJ1694" s="3">
        <v>43138.602141203701</v>
      </c>
      <c r="AK1694" s="1" t="s">
        <v>4274</v>
      </c>
    </row>
    <row r="1695" spans="1:37">
      <c r="A1695" s="1" t="str">
        <f>VLOOKUP(H1695,Languages!$A$2:$B$430,2,FALSE)</f>
        <v>Sino-Tibetan</v>
      </c>
      <c r="B1695" s="1" t="s">
        <v>109</v>
      </c>
      <c r="C1695" s="1" t="s">
        <v>124</v>
      </c>
      <c r="D1695" s="1" t="s">
        <v>1296</v>
      </c>
      <c r="E1695" s="15" t="s">
        <v>1297</v>
      </c>
      <c r="F1695" s="15" t="s">
        <v>1298</v>
      </c>
      <c r="G1695" s="1" t="s">
        <v>1298</v>
      </c>
      <c r="H1695" s="1" t="str">
        <f>VLOOKUP(G1695,'languoid 4.0'!$A$1:$I$24439,2,FALSE)</f>
        <v>sino1245</v>
      </c>
      <c r="I1695" s="1" t="str">
        <f>VLOOKUP(G1695,'languoid 4.0'!$A$1:$I$24439,6,FALSE)</f>
        <v>language</v>
      </c>
      <c r="J1695" s="15" t="s">
        <v>52</v>
      </c>
      <c r="K1695" s="15" t="s">
        <v>52</v>
      </c>
      <c r="L1695" s="15" t="s">
        <v>52</v>
      </c>
      <c r="M1695" s="1"/>
      <c r="N1695" s="1" t="s">
        <v>1299</v>
      </c>
      <c r="O1695" s="15" t="s">
        <v>40</v>
      </c>
      <c r="P1695" s="15" t="s">
        <v>41</v>
      </c>
      <c r="Q1695" s="1" t="s">
        <v>1300</v>
      </c>
      <c r="R1695" s="2" t="s">
        <v>1301</v>
      </c>
      <c r="S1695" s="1">
        <v>8</v>
      </c>
      <c r="T1695" s="1" t="s">
        <v>635</v>
      </c>
      <c r="U1695" s="1" t="s">
        <v>636</v>
      </c>
      <c r="V1695" s="1" t="s">
        <v>45</v>
      </c>
      <c r="W1695" s="1"/>
      <c r="X1695" s="1"/>
      <c r="Y1695" s="1"/>
      <c r="Z1695" s="1" t="s">
        <v>658</v>
      </c>
      <c r="AA1695" s="1" t="s">
        <v>1286</v>
      </c>
      <c r="AB1695" s="1" t="s">
        <v>46</v>
      </c>
      <c r="AC1695" s="1" t="s">
        <v>46</v>
      </c>
      <c r="AD1695" s="1"/>
      <c r="AE1695" s="1" t="s">
        <v>641</v>
      </c>
      <c r="AF1695" s="1" t="s">
        <v>190</v>
      </c>
      <c r="AG1695" s="1">
        <v>6</v>
      </c>
      <c r="AH1695" s="1" t="s">
        <v>190</v>
      </c>
      <c r="AI1695" s="1"/>
      <c r="AJ1695" s="1" t="s">
        <v>1302</v>
      </c>
      <c r="AK1695" s="1" t="s">
        <v>1126</v>
      </c>
    </row>
    <row r="1696" spans="1:37">
      <c r="A1696" s="1" t="str">
        <f>VLOOKUP(H1696,Languages!$A$2:$B$430,2,FALSE)</f>
        <v>Sino-Tibetan</v>
      </c>
      <c r="B1696" s="1" t="s">
        <v>35</v>
      </c>
      <c r="C1696" s="1" t="s">
        <v>117</v>
      </c>
      <c r="D1696" s="1" t="s">
        <v>5426</v>
      </c>
      <c r="E1696" s="15" t="s">
        <v>5427</v>
      </c>
      <c r="F1696" s="15" t="s">
        <v>5428</v>
      </c>
      <c r="G1696" s="1" t="s">
        <v>5428</v>
      </c>
      <c r="H1696" s="1" t="str">
        <f>VLOOKUP(G1696,'languoid 4.0'!$A$1:$I$24439,2,FALSE)</f>
        <v>sino1245</v>
      </c>
      <c r="I1696" s="1" t="str">
        <f>VLOOKUP(G1696,'languoid 4.0'!$A$1:$I$24439,6,FALSE)</f>
        <v>family</v>
      </c>
      <c r="J1696" s="15" t="s">
        <v>52</v>
      </c>
      <c r="K1696" s="15" t="s">
        <v>38</v>
      </c>
      <c r="L1696" s="15" t="s">
        <v>38</v>
      </c>
      <c r="M1696" s="1"/>
      <c r="N1696" s="1"/>
      <c r="O1696" s="15" t="s">
        <v>113</v>
      </c>
      <c r="P1696" s="15" t="s">
        <v>41</v>
      </c>
      <c r="Q1696" s="1" t="s">
        <v>35</v>
      </c>
      <c r="R1696" s="2" t="s">
        <v>4512</v>
      </c>
      <c r="S1696" s="1" t="s">
        <v>46</v>
      </c>
      <c r="T1696" s="1" t="s">
        <v>635</v>
      </c>
      <c r="U1696" s="1" t="s">
        <v>636</v>
      </c>
      <c r="V1696" s="1" t="s">
        <v>45</v>
      </c>
      <c r="W1696" s="1"/>
      <c r="X1696" s="1"/>
      <c r="Y1696" s="1"/>
      <c r="Z1696" s="1" t="s">
        <v>887</v>
      </c>
      <c r="AA1696" s="1" t="s">
        <v>5429</v>
      </c>
      <c r="AB1696" s="1" t="s">
        <v>46</v>
      </c>
      <c r="AC1696" s="1" t="s">
        <v>5430</v>
      </c>
      <c r="AD1696" s="1" t="s">
        <v>5431</v>
      </c>
      <c r="AE1696" s="1" t="s">
        <v>641</v>
      </c>
      <c r="AF1696" s="1" t="s">
        <v>190</v>
      </c>
      <c r="AG1696" s="1">
        <v>6</v>
      </c>
      <c r="AH1696" s="1" t="s">
        <v>190</v>
      </c>
      <c r="AI1696" s="1"/>
      <c r="AJ1696" s="1" t="s">
        <v>5432</v>
      </c>
      <c r="AK1696" s="1" t="s">
        <v>4268</v>
      </c>
    </row>
    <row r="1697" spans="1:37">
      <c r="A1697" s="1" t="str">
        <f>VLOOKUP(H1697,Languages!$A$2:$B$430,2,FALSE)</f>
        <v>Sino-Tibetan</v>
      </c>
      <c r="B1697" s="1" t="s">
        <v>1750</v>
      </c>
      <c r="C1697" s="1" t="s">
        <v>82</v>
      </c>
      <c r="D1697" s="1" t="s">
        <v>5200</v>
      </c>
      <c r="E1697" s="15" t="s">
        <v>5201</v>
      </c>
      <c r="F1697" s="15" t="s">
        <v>5202</v>
      </c>
      <c r="G1697" s="1" t="s">
        <v>5202</v>
      </c>
      <c r="H1697" s="1" t="str">
        <f>VLOOKUP(G1697,'languoid 4.0'!$A$1:$I$24439,2,FALSE)</f>
        <v>sino1245</v>
      </c>
      <c r="I1697" s="1" t="str">
        <f>VLOOKUP(G1697,'languoid 4.0'!$A$1:$I$24439,6,FALSE)</f>
        <v>family</v>
      </c>
      <c r="J1697" s="15" t="s">
        <v>52</v>
      </c>
      <c r="K1697" s="15" t="s">
        <v>368</v>
      </c>
      <c r="L1697" s="15" t="s">
        <v>368</v>
      </c>
      <c r="M1697" s="1" t="s">
        <v>865</v>
      </c>
      <c r="N1697" s="1" t="e">
        <v>#N/A</v>
      </c>
      <c r="O1697" s="15" t="s">
        <v>113</v>
      </c>
      <c r="P1697" s="15" t="s">
        <v>41</v>
      </c>
      <c r="Q1697" s="1" t="s">
        <v>5203</v>
      </c>
      <c r="R1697" s="2" t="s">
        <v>5204</v>
      </c>
      <c r="S1697" s="1" t="s">
        <v>46</v>
      </c>
      <c r="T1697" s="1" t="s">
        <v>635</v>
      </c>
      <c r="U1697" s="1" t="s">
        <v>636</v>
      </c>
      <c r="V1697" s="1" t="s">
        <v>45</v>
      </c>
      <c r="W1697" s="1"/>
      <c r="X1697" s="1"/>
      <c r="Y1697" s="1"/>
      <c r="Z1697" s="1" t="s">
        <v>637</v>
      </c>
      <c r="AA1697" s="1" t="s">
        <v>5205</v>
      </c>
      <c r="AB1697" s="1" t="s">
        <v>5206</v>
      </c>
      <c r="AC1697" s="1" t="s">
        <v>5207</v>
      </c>
      <c r="AD1697" s="1"/>
      <c r="AE1697" s="1" t="s">
        <v>641</v>
      </c>
      <c r="AF1697" s="1" t="s">
        <v>190</v>
      </c>
      <c r="AG1697" s="1">
        <v>6</v>
      </c>
      <c r="AH1697" s="1" t="s">
        <v>190</v>
      </c>
      <c r="AI1697" s="1"/>
      <c r="AJ1697" s="1" t="s">
        <v>5208</v>
      </c>
      <c r="AK1697" s="1" t="s">
        <v>4274</v>
      </c>
    </row>
    <row r="1698" spans="1:37">
      <c r="A1698" s="1" t="str">
        <f>VLOOKUP(H1698,Languages!$A$2:$B$430,2,FALSE)</f>
        <v>Sino-Tibetan</v>
      </c>
      <c r="B1698" s="1" t="s">
        <v>1750</v>
      </c>
      <c r="C1698" s="1" t="s">
        <v>124</v>
      </c>
      <c r="D1698" s="1" t="s">
        <v>2165</v>
      </c>
      <c r="E1698" s="15" t="s">
        <v>2166</v>
      </c>
      <c r="F1698" s="15" t="s">
        <v>2166</v>
      </c>
      <c r="G1698" s="1" t="s">
        <v>2166</v>
      </c>
      <c r="H1698" s="1" t="str">
        <f>VLOOKUP(G1698,'languoid 4.0'!$A$1:$I$24439,2,FALSE)</f>
        <v>sino1245</v>
      </c>
      <c r="I1698" s="1" t="str">
        <f>VLOOKUP(G1698,'languoid 4.0'!$A$1:$I$24439,6,FALSE)</f>
        <v>language</v>
      </c>
      <c r="J1698" s="15" t="s">
        <v>38</v>
      </c>
      <c r="K1698" s="15" t="s">
        <v>38</v>
      </c>
      <c r="L1698" s="15" t="s">
        <v>38</v>
      </c>
      <c r="M1698" s="1"/>
      <c r="N1698" s="1" t="s">
        <v>2167</v>
      </c>
      <c r="O1698" s="15" t="s">
        <v>40</v>
      </c>
      <c r="P1698" s="15" t="s">
        <v>41</v>
      </c>
      <c r="Q1698" s="1" t="s">
        <v>2173</v>
      </c>
      <c r="R1698" s="2" t="s">
        <v>2174</v>
      </c>
      <c r="S1698" s="1" t="s">
        <v>46</v>
      </c>
      <c r="T1698" s="1" t="s">
        <v>635</v>
      </c>
      <c r="U1698" s="1" t="s">
        <v>636</v>
      </c>
      <c r="V1698" s="1" t="s">
        <v>45</v>
      </c>
      <c r="W1698" s="1"/>
      <c r="X1698" s="1"/>
      <c r="Y1698" s="1"/>
      <c r="Z1698" s="1" t="s">
        <v>658</v>
      </c>
      <c r="AA1698" s="1" t="s">
        <v>2175</v>
      </c>
      <c r="AB1698" s="1" t="s">
        <v>2176</v>
      </c>
      <c r="AC1698" s="1" t="s">
        <v>46</v>
      </c>
      <c r="AD1698" s="1" t="s">
        <v>2177</v>
      </c>
      <c r="AE1698" s="1" t="s">
        <v>641</v>
      </c>
      <c r="AF1698" s="1" t="s">
        <v>190</v>
      </c>
      <c r="AG1698" s="1">
        <v>6</v>
      </c>
      <c r="AH1698" s="1" t="s">
        <v>190</v>
      </c>
      <c r="AI1698" s="1"/>
      <c r="AJ1698" s="1" t="s">
        <v>2178</v>
      </c>
      <c r="AK1698" s="1" t="s">
        <v>1126</v>
      </c>
    </row>
    <row r="1699" spans="1:37">
      <c r="A1699" s="1" t="str">
        <f>VLOOKUP(H1699,Languages!$A$2:$B$430,2,FALSE)</f>
        <v>Sino-Tibetan</v>
      </c>
      <c r="B1699" s="1" t="s">
        <v>1750</v>
      </c>
      <c r="C1699" s="1" t="s">
        <v>124</v>
      </c>
      <c r="D1699" s="1" t="s">
        <v>3590</v>
      </c>
      <c r="E1699" s="15" t="s">
        <v>3591</v>
      </c>
      <c r="F1699" s="15" t="s">
        <v>3592</v>
      </c>
      <c r="G1699" s="1" t="s">
        <v>3592</v>
      </c>
      <c r="H1699" s="1" t="str">
        <f>VLOOKUP(G1699,'languoid 4.0'!$A$1:$I$24439,2,FALSE)</f>
        <v>sino1245</v>
      </c>
      <c r="I1699" s="1" t="str">
        <f>VLOOKUP(G1699,'languoid 4.0'!$A$1:$I$24439,6,FALSE)</f>
        <v>language</v>
      </c>
      <c r="J1699" s="15" t="s">
        <v>52</v>
      </c>
      <c r="K1699" s="15" t="s">
        <v>368</v>
      </c>
      <c r="L1699" s="15" t="s">
        <v>368</v>
      </c>
      <c r="M1699" s="1" t="s">
        <v>3593</v>
      </c>
      <c r="N1699" s="1" t="s">
        <v>3594</v>
      </c>
      <c r="O1699" s="15" t="s">
        <v>40</v>
      </c>
      <c r="P1699" s="15" t="s">
        <v>41</v>
      </c>
      <c r="Q1699" s="1" t="s">
        <v>3595</v>
      </c>
      <c r="R1699" s="2" t="s">
        <v>3596</v>
      </c>
      <c r="S1699" s="1" t="s">
        <v>46</v>
      </c>
      <c r="T1699" s="1" t="s">
        <v>822</v>
      </c>
      <c r="U1699" s="1" t="s">
        <v>67</v>
      </c>
      <c r="V1699" s="1" t="s">
        <v>45</v>
      </c>
      <c r="W1699" s="1"/>
      <c r="X1699" s="1"/>
      <c r="Y1699" s="1"/>
      <c r="Z1699" s="1" t="s">
        <v>1151</v>
      </c>
      <c r="AA1699" s="1" t="s">
        <v>3597</v>
      </c>
      <c r="AB1699" s="1" t="s">
        <v>3598</v>
      </c>
      <c r="AC1699" s="1" t="s">
        <v>3599</v>
      </c>
      <c r="AD1699" s="1"/>
      <c r="AE1699" s="1" t="s">
        <v>641</v>
      </c>
      <c r="AF1699" s="1" t="s">
        <v>190</v>
      </c>
      <c r="AG1699" s="1">
        <v>6</v>
      </c>
      <c r="AH1699" s="1" t="s">
        <v>190</v>
      </c>
      <c r="AI1699" s="1"/>
      <c r="AJ1699" s="3">
        <v>43164.983240740738</v>
      </c>
      <c r="AK1699" s="1" t="s">
        <v>1126</v>
      </c>
    </row>
    <row r="1700" spans="1:37">
      <c r="A1700" s="1" t="str">
        <f>VLOOKUP(H1700,Languages!$A$2:$B$430,2,FALSE)</f>
        <v>Sino-Tibetan</v>
      </c>
      <c r="B1700" s="1" t="s">
        <v>1750</v>
      </c>
      <c r="C1700" s="1" t="s">
        <v>124</v>
      </c>
      <c r="D1700" s="1" t="s">
        <v>6928</v>
      </c>
      <c r="E1700" s="15" t="s">
        <v>3591</v>
      </c>
      <c r="F1700" s="15" t="s">
        <v>3592</v>
      </c>
      <c r="G1700" s="1" t="s">
        <v>3592</v>
      </c>
      <c r="H1700" s="1" t="str">
        <f>VLOOKUP(G1700,'languoid 4.0'!$A$1:$I$24439,2,FALSE)</f>
        <v>sino1245</v>
      </c>
      <c r="I1700" s="1" t="str">
        <f>VLOOKUP(G1700,'languoid 4.0'!$A$1:$I$24439,6,FALSE)</f>
        <v>language</v>
      </c>
      <c r="J1700" s="15" t="s">
        <v>52</v>
      </c>
      <c r="K1700" s="15" t="s">
        <v>368</v>
      </c>
      <c r="L1700" s="15" t="s">
        <v>368</v>
      </c>
      <c r="M1700" s="1" t="s">
        <v>3593</v>
      </c>
      <c r="N1700" s="1" t="s">
        <v>3594</v>
      </c>
      <c r="O1700" s="15" t="s">
        <v>40</v>
      </c>
      <c r="P1700" s="15" t="s">
        <v>41</v>
      </c>
      <c r="Q1700" s="1" t="s">
        <v>3595</v>
      </c>
      <c r="R1700" s="2" t="s">
        <v>3596</v>
      </c>
      <c r="S1700" s="1" t="s">
        <v>46</v>
      </c>
      <c r="T1700" s="1" t="s">
        <v>822</v>
      </c>
      <c r="U1700" s="1" t="s">
        <v>636</v>
      </c>
      <c r="V1700" s="1" t="s">
        <v>45</v>
      </c>
      <c r="W1700" s="1"/>
      <c r="X1700" s="1"/>
      <c r="Y1700" s="1"/>
      <c r="Z1700" s="1" t="s">
        <v>887</v>
      </c>
      <c r="AA1700" s="1" t="s">
        <v>6929</v>
      </c>
      <c r="AB1700" s="1" t="s">
        <v>46</v>
      </c>
      <c r="AC1700" s="1" t="s">
        <v>6930</v>
      </c>
      <c r="AD1700" s="1" t="s">
        <v>6931</v>
      </c>
      <c r="AE1700" s="1" t="s">
        <v>641</v>
      </c>
      <c r="AF1700" s="1" t="s">
        <v>190</v>
      </c>
      <c r="AG1700" s="1">
        <v>6</v>
      </c>
      <c r="AH1700" s="1" t="s">
        <v>190</v>
      </c>
      <c r="AI1700" s="1"/>
      <c r="AJ1700" s="1" t="s">
        <v>6932</v>
      </c>
      <c r="AK1700" s="1" t="s">
        <v>4945</v>
      </c>
    </row>
    <row r="1701" spans="1:37">
      <c r="A1701" s="1" t="str">
        <f>VLOOKUP(H1701,Languages!$A$2:$B$430,2,FALSE)</f>
        <v>Sino-Tibetan</v>
      </c>
      <c r="B1701" s="1" t="s">
        <v>1750</v>
      </c>
      <c r="C1701" s="1" t="s">
        <v>117</v>
      </c>
      <c r="D1701" s="1" t="s">
        <v>5261</v>
      </c>
      <c r="E1701" s="15" t="s">
        <v>5110</v>
      </c>
      <c r="F1701" s="15" t="s">
        <v>5110</v>
      </c>
      <c r="G1701" s="1" t="s">
        <v>5110</v>
      </c>
      <c r="H1701" s="1" t="str">
        <f>VLOOKUP(G1701,'languoid 4.0'!$A$1:$I$24439,2,FALSE)</f>
        <v>sino1245</v>
      </c>
      <c r="I1701" s="1" t="str">
        <f>VLOOKUP(G1701,'languoid 4.0'!$A$1:$I$24439,6,FALSE)</f>
        <v>language</v>
      </c>
      <c r="J1701" s="15" t="s">
        <v>38</v>
      </c>
      <c r="K1701" s="15" t="s">
        <v>38</v>
      </c>
      <c r="L1701" s="15" t="s">
        <v>38</v>
      </c>
      <c r="M1701" s="1"/>
      <c r="N1701" s="1" t="s">
        <v>5262</v>
      </c>
      <c r="O1701" s="15" t="s">
        <v>40</v>
      </c>
      <c r="P1701" s="15" t="s">
        <v>41</v>
      </c>
      <c r="Q1701" s="1" t="s">
        <v>5263</v>
      </c>
      <c r="R1701" s="2" t="s">
        <v>5264</v>
      </c>
      <c r="S1701" s="1">
        <v>102</v>
      </c>
      <c r="T1701" s="1" t="s">
        <v>657</v>
      </c>
      <c r="U1701" s="1" t="s">
        <v>636</v>
      </c>
      <c r="V1701" s="1" t="s">
        <v>45</v>
      </c>
      <c r="W1701" s="1"/>
      <c r="X1701" s="1"/>
      <c r="Y1701" s="1"/>
      <c r="Z1701" s="1" t="s">
        <v>673</v>
      </c>
      <c r="AA1701" s="1" t="s">
        <v>46</v>
      </c>
      <c r="AB1701" s="1" t="s">
        <v>5265</v>
      </c>
      <c r="AC1701" s="1" t="s">
        <v>46</v>
      </c>
      <c r="AD1701" s="1" t="s">
        <v>5266</v>
      </c>
      <c r="AE1701" s="1" t="s">
        <v>641</v>
      </c>
      <c r="AF1701" s="1" t="s">
        <v>190</v>
      </c>
      <c r="AG1701" s="1">
        <v>6</v>
      </c>
      <c r="AH1701" s="1" t="s">
        <v>190</v>
      </c>
      <c r="AI1701" s="1"/>
      <c r="AJ1701" s="1" t="s">
        <v>5267</v>
      </c>
      <c r="AK1701" s="1" t="s">
        <v>4268</v>
      </c>
    </row>
    <row r="1702" spans="1:37">
      <c r="A1702" s="1" t="str">
        <f>VLOOKUP(H1702,Languages!$A$2:$B$430,2,FALSE)</f>
        <v>Sino-Tibetan</v>
      </c>
      <c r="B1702" s="1" t="s">
        <v>1750</v>
      </c>
      <c r="C1702" s="1" t="s">
        <v>117</v>
      </c>
      <c r="D1702" s="1" t="s">
        <v>5261</v>
      </c>
      <c r="E1702" s="15" t="s">
        <v>5110</v>
      </c>
      <c r="F1702" s="15" t="s">
        <v>5110</v>
      </c>
      <c r="G1702" s="1" t="s">
        <v>5110</v>
      </c>
      <c r="H1702" s="1" t="str">
        <f>VLOOKUP(G1702,'languoid 4.0'!$A$1:$I$24439,2,FALSE)</f>
        <v>sino1245</v>
      </c>
      <c r="I1702" s="1" t="str">
        <f>VLOOKUP(G1702,'languoid 4.0'!$A$1:$I$24439,6,FALSE)</f>
        <v>language</v>
      </c>
      <c r="J1702" s="15" t="s">
        <v>38</v>
      </c>
      <c r="K1702" s="15" t="s">
        <v>38</v>
      </c>
      <c r="L1702" s="15" t="s">
        <v>38</v>
      </c>
      <c r="M1702" s="1"/>
      <c r="N1702" s="1" t="s">
        <v>5262</v>
      </c>
      <c r="O1702" s="15" t="s">
        <v>40</v>
      </c>
      <c r="P1702" s="15" t="s">
        <v>41</v>
      </c>
      <c r="Q1702" s="1" t="s">
        <v>5661</v>
      </c>
      <c r="R1702" s="2" t="s">
        <v>4512</v>
      </c>
      <c r="S1702" s="1" t="s">
        <v>46</v>
      </c>
      <c r="T1702" s="1" t="s">
        <v>635</v>
      </c>
      <c r="U1702" s="1" t="s">
        <v>636</v>
      </c>
      <c r="V1702" s="1" t="s">
        <v>45</v>
      </c>
      <c r="W1702" s="1"/>
      <c r="X1702" s="1"/>
      <c r="Y1702" s="1"/>
      <c r="Z1702" s="1" t="s">
        <v>637</v>
      </c>
      <c r="AA1702" s="1" t="s">
        <v>5662</v>
      </c>
      <c r="AB1702" s="1" t="s">
        <v>5663</v>
      </c>
      <c r="AC1702" s="1" t="s">
        <v>46</v>
      </c>
      <c r="AD1702" s="1" t="s">
        <v>5664</v>
      </c>
      <c r="AE1702" s="1" t="s">
        <v>641</v>
      </c>
      <c r="AF1702" s="1" t="s">
        <v>190</v>
      </c>
      <c r="AG1702" s="1">
        <v>6</v>
      </c>
      <c r="AH1702" s="1" t="s">
        <v>190</v>
      </c>
      <c r="AI1702" s="1"/>
      <c r="AJ1702" s="1" t="s">
        <v>5665</v>
      </c>
      <c r="AK1702" s="1" t="s">
        <v>4268</v>
      </c>
    </row>
    <row r="1703" spans="1:37">
      <c r="A1703" s="1" t="str">
        <f>VLOOKUP(H1703,Languages!$A$2:$B$430,2,FALSE)</f>
        <v>Sino-Tibetan</v>
      </c>
      <c r="B1703" s="1" t="s">
        <v>1812</v>
      </c>
      <c r="C1703" s="1" t="s">
        <v>82</v>
      </c>
      <c r="D1703" s="1" t="s">
        <v>6111</v>
      </c>
      <c r="E1703" s="15" t="s">
        <v>6112</v>
      </c>
      <c r="F1703" s="15" t="s">
        <v>6112</v>
      </c>
      <c r="G1703" s="1" t="s">
        <v>6112</v>
      </c>
      <c r="H1703" s="1" t="str">
        <f>VLOOKUP(G1703,'languoid 4.0'!$A$1:$I$24439,2,FALSE)</f>
        <v>sino1245</v>
      </c>
      <c r="I1703" s="1" t="str">
        <f>VLOOKUP(G1703,'languoid 4.0'!$A$1:$I$24439,6,FALSE)</f>
        <v>language</v>
      </c>
      <c r="J1703" s="15" t="s">
        <v>38</v>
      </c>
      <c r="K1703" s="15" t="s">
        <v>38</v>
      </c>
      <c r="L1703" s="15" t="s">
        <v>38</v>
      </c>
      <c r="M1703" s="1"/>
      <c r="N1703" s="1" t="s">
        <v>6113</v>
      </c>
      <c r="O1703" s="15" t="s">
        <v>40</v>
      </c>
      <c r="P1703" s="15" t="s">
        <v>41</v>
      </c>
      <c r="Q1703" s="1" t="s">
        <v>6114</v>
      </c>
      <c r="R1703" s="2" t="s">
        <v>6115</v>
      </c>
      <c r="S1703" s="1" t="s">
        <v>46</v>
      </c>
      <c r="T1703" s="1" t="s">
        <v>635</v>
      </c>
      <c r="U1703" s="1" t="s">
        <v>636</v>
      </c>
      <c r="V1703" s="1" t="s">
        <v>45</v>
      </c>
      <c r="W1703" s="1"/>
      <c r="X1703" s="1"/>
      <c r="Y1703" s="1"/>
      <c r="Z1703" s="1" t="s">
        <v>637</v>
      </c>
      <c r="AA1703" s="1" t="s">
        <v>6116</v>
      </c>
      <c r="AB1703" s="1" t="s">
        <v>6117</v>
      </c>
      <c r="AC1703" s="1" t="s">
        <v>6118</v>
      </c>
      <c r="AD1703" s="1"/>
      <c r="AE1703" s="1" t="s">
        <v>641</v>
      </c>
      <c r="AF1703" s="1" t="s">
        <v>190</v>
      </c>
      <c r="AG1703" s="1">
        <v>6</v>
      </c>
      <c r="AH1703" s="1" t="s">
        <v>190</v>
      </c>
      <c r="AI1703" s="1" t="s">
        <v>6119</v>
      </c>
      <c r="AJ1703" s="3">
        <v>43138.586435185185</v>
      </c>
      <c r="AK1703" s="1" t="s">
        <v>4274</v>
      </c>
    </row>
    <row r="1704" spans="1:37">
      <c r="A1704" s="1" t="str">
        <f>VLOOKUP(H1704,Languages!$A$2:$B$430,2,FALSE)</f>
        <v>Sino-Tibetan</v>
      </c>
      <c r="B1704" s="1" t="s">
        <v>1707</v>
      </c>
      <c r="C1704" s="1" t="s">
        <v>82</v>
      </c>
      <c r="D1704" s="1" t="s">
        <v>6120</v>
      </c>
      <c r="E1704" s="15" t="s">
        <v>6112</v>
      </c>
      <c r="F1704" s="15" t="s">
        <v>6112</v>
      </c>
      <c r="G1704" s="1" t="s">
        <v>6112</v>
      </c>
      <c r="H1704" s="1" t="str">
        <f>VLOOKUP(G1704,'languoid 4.0'!$A$1:$I$24439,2,FALSE)</f>
        <v>sino1245</v>
      </c>
      <c r="I1704" s="1" t="str">
        <f>VLOOKUP(G1704,'languoid 4.0'!$A$1:$I$24439,6,FALSE)</f>
        <v>language</v>
      </c>
      <c r="J1704" s="15" t="s">
        <v>38</v>
      </c>
      <c r="K1704" s="15" t="s">
        <v>38</v>
      </c>
      <c r="L1704" s="15" t="s">
        <v>38</v>
      </c>
      <c r="M1704" s="1"/>
      <c r="N1704" s="1" t="s">
        <v>6113</v>
      </c>
      <c r="O1704" s="15" t="s">
        <v>40</v>
      </c>
      <c r="P1704" s="15" t="s">
        <v>41</v>
      </c>
      <c r="Q1704" s="1" t="s">
        <v>6121</v>
      </c>
      <c r="R1704" s="2" t="s">
        <v>6122</v>
      </c>
      <c r="S1704" s="1" t="s">
        <v>46</v>
      </c>
      <c r="T1704" s="1" t="s">
        <v>635</v>
      </c>
      <c r="U1704" s="1" t="s">
        <v>636</v>
      </c>
      <c r="V1704" s="1" t="s">
        <v>45</v>
      </c>
      <c r="W1704" s="1"/>
      <c r="X1704" s="1"/>
      <c r="Y1704" s="1"/>
      <c r="Z1704" s="1" t="s">
        <v>637</v>
      </c>
      <c r="AA1704" s="1" t="s">
        <v>6123</v>
      </c>
      <c r="AB1704" s="1" t="s">
        <v>6124</v>
      </c>
      <c r="AC1704" s="1" t="s">
        <v>6125</v>
      </c>
      <c r="AD1704" s="1"/>
      <c r="AE1704" s="1" t="s">
        <v>641</v>
      </c>
      <c r="AF1704" s="1" t="s">
        <v>190</v>
      </c>
      <c r="AG1704" s="1">
        <v>6</v>
      </c>
      <c r="AH1704" s="1" t="s">
        <v>190</v>
      </c>
      <c r="AI1704" s="1" t="s">
        <v>6126</v>
      </c>
      <c r="AJ1704" s="3">
        <v>43138.59033564815</v>
      </c>
      <c r="AK1704" s="1" t="s">
        <v>4274</v>
      </c>
    </row>
    <row r="1705" spans="1:37">
      <c r="A1705" s="1" t="str">
        <f>VLOOKUP(H1705,Languages!$A$2:$B$430,2,FALSE)</f>
        <v>Sino-Tibetan</v>
      </c>
      <c r="B1705" s="1" t="s">
        <v>1707</v>
      </c>
      <c r="C1705" s="1" t="s">
        <v>82</v>
      </c>
      <c r="D1705" s="1" t="s">
        <v>6120</v>
      </c>
      <c r="E1705" s="15" t="s">
        <v>6112</v>
      </c>
      <c r="F1705" s="15" t="s">
        <v>6112</v>
      </c>
      <c r="G1705" s="1" t="s">
        <v>6112</v>
      </c>
      <c r="H1705" s="1" t="str">
        <f>VLOOKUP(G1705,'languoid 4.0'!$A$1:$I$24439,2,FALSE)</f>
        <v>sino1245</v>
      </c>
      <c r="I1705" s="1" t="str">
        <f>VLOOKUP(G1705,'languoid 4.0'!$A$1:$I$24439,6,FALSE)</f>
        <v>language</v>
      </c>
      <c r="J1705" s="15" t="s">
        <v>38</v>
      </c>
      <c r="K1705" s="15" t="s">
        <v>38</v>
      </c>
      <c r="L1705" s="15" t="s">
        <v>38</v>
      </c>
      <c r="M1705" s="1"/>
      <c r="N1705" s="1" t="s">
        <v>6113</v>
      </c>
      <c r="O1705" s="15" t="s">
        <v>40</v>
      </c>
      <c r="P1705" s="15" t="s">
        <v>41</v>
      </c>
      <c r="Q1705" s="1" t="s">
        <v>6127</v>
      </c>
      <c r="R1705" s="2" t="s">
        <v>6128</v>
      </c>
      <c r="S1705" s="1" t="s">
        <v>46</v>
      </c>
      <c r="T1705" s="1" t="s">
        <v>635</v>
      </c>
      <c r="U1705" s="1" t="s">
        <v>636</v>
      </c>
      <c r="V1705" s="1" t="s">
        <v>45</v>
      </c>
      <c r="W1705" s="1"/>
      <c r="X1705" s="1"/>
      <c r="Y1705" s="1"/>
      <c r="Z1705" s="1" t="s">
        <v>637</v>
      </c>
      <c r="AA1705" s="1" t="s">
        <v>6129</v>
      </c>
      <c r="AB1705" s="1" t="s">
        <v>6130</v>
      </c>
      <c r="AC1705" s="1" t="s">
        <v>6131</v>
      </c>
      <c r="AD1705" s="1"/>
      <c r="AE1705" s="1" t="s">
        <v>641</v>
      </c>
      <c r="AF1705" s="1" t="s">
        <v>190</v>
      </c>
      <c r="AG1705" s="1">
        <v>6</v>
      </c>
      <c r="AH1705" s="1" t="s">
        <v>190</v>
      </c>
      <c r="AI1705" s="1" t="s">
        <v>6132</v>
      </c>
      <c r="AJ1705" s="3">
        <v>43138.592800925922</v>
      </c>
      <c r="AK1705" s="1" t="s">
        <v>4274</v>
      </c>
    </row>
    <row r="1706" spans="1:37">
      <c r="A1706" s="1" t="str">
        <f>VLOOKUP(H1706,Languages!$A$2:$B$430,2,FALSE)</f>
        <v>Sino-Tibetan</v>
      </c>
      <c r="B1706" s="1" t="s">
        <v>1707</v>
      </c>
      <c r="C1706" s="1" t="s">
        <v>82</v>
      </c>
      <c r="D1706" s="1" t="s">
        <v>6146</v>
      </c>
      <c r="E1706" s="15" t="s">
        <v>6112</v>
      </c>
      <c r="F1706" s="15" t="s">
        <v>6112</v>
      </c>
      <c r="G1706" s="1" t="s">
        <v>6112</v>
      </c>
      <c r="H1706" s="1" t="str">
        <f>VLOOKUP(G1706,'languoid 4.0'!$A$1:$I$24439,2,FALSE)</f>
        <v>sino1245</v>
      </c>
      <c r="I1706" s="1" t="str">
        <f>VLOOKUP(G1706,'languoid 4.0'!$A$1:$I$24439,6,FALSE)</f>
        <v>language</v>
      </c>
      <c r="J1706" s="15" t="s">
        <v>38</v>
      </c>
      <c r="K1706" s="15" t="s">
        <v>38</v>
      </c>
      <c r="L1706" s="15" t="s">
        <v>38</v>
      </c>
      <c r="M1706" s="1"/>
      <c r="N1706" s="1" t="s">
        <v>6113</v>
      </c>
      <c r="O1706" s="15" t="s">
        <v>40</v>
      </c>
      <c r="P1706" s="15" t="s">
        <v>41</v>
      </c>
      <c r="Q1706" s="1" t="s">
        <v>6147</v>
      </c>
      <c r="R1706" s="2" t="s">
        <v>6148</v>
      </c>
      <c r="S1706" s="1" t="s">
        <v>46</v>
      </c>
      <c r="T1706" s="1" t="s">
        <v>635</v>
      </c>
      <c r="U1706" s="1" t="s">
        <v>636</v>
      </c>
      <c r="V1706" s="1" t="s">
        <v>45</v>
      </c>
      <c r="W1706" s="1"/>
      <c r="X1706" s="1"/>
      <c r="Y1706" s="1"/>
      <c r="Z1706" s="1" t="s">
        <v>637</v>
      </c>
      <c r="AA1706" s="1" t="s">
        <v>6149</v>
      </c>
      <c r="AB1706" s="1" t="s">
        <v>6150</v>
      </c>
      <c r="AC1706" s="1" t="s">
        <v>6151</v>
      </c>
      <c r="AD1706" s="1"/>
      <c r="AE1706" s="1" t="s">
        <v>641</v>
      </c>
      <c r="AF1706" s="1" t="s">
        <v>190</v>
      </c>
      <c r="AG1706" s="1">
        <v>6</v>
      </c>
      <c r="AH1706" s="1" t="s">
        <v>190</v>
      </c>
      <c r="AI1706" s="1" t="s">
        <v>6152</v>
      </c>
      <c r="AJ1706" s="3">
        <v>43138.605115740742</v>
      </c>
      <c r="AK1706" s="1" t="s">
        <v>4274</v>
      </c>
    </row>
    <row r="1707" spans="1:37">
      <c r="A1707" s="1" t="str">
        <f>VLOOKUP(H1707,Languages!$A$2:$B$430,2,FALSE)</f>
        <v>Siouan</v>
      </c>
      <c r="B1707" s="1" t="s">
        <v>59</v>
      </c>
      <c r="C1707" s="1" t="s">
        <v>89</v>
      </c>
      <c r="D1707" s="1" t="s">
        <v>9102</v>
      </c>
      <c r="E1707" s="15" t="s">
        <v>9103</v>
      </c>
      <c r="F1707" s="15" t="s">
        <v>9103</v>
      </c>
      <c r="G1707" s="1" t="s">
        <v>9103</v>
      </c>
      <c r="H1707" s="1" t="str">
        <f>VLOOKUP(G1707,'languoid 4.0'!$A$1:$I$24439,2,FALSE)</f>
        <v>siou1252</v>
      </c>
      <c r="I1707" s="1" t="str">
        <f>VLOOKUP(G1707,'languoid 4.0'!$A$1:$I$24439,6,FALSE)</f>
        <v>language</v>
      </c>
      <c r="J1707" s="15" t="s">
        <v>38</v>
      </c>
      <c r="K1707" s="15" t="s">
        <v>38</v>
      </c>
      <c r="L1707" s="15" t="s">
        <v>38</v>
      </c>
      <c r="M1707" s="1"/>
      <c r="N1707" s="1" t="s">
        <v>9104</v>
      </c>
      <c r="O1707" s="15" t="s">
        <v>40</v>
      </c>
      <c r="P1707" s="15" t="s">
        <v>41</v>
      </c>
      <c r="Q1707" s="1" t="s">
        <v>9105</v>
      </c>
      <c r="R1707" s="2" t="s">
        <v>9106</v>
      </c>
      <c r="S1707" s="1" t="s">
        <v>9107</v>
      </c>
      <c r="T1707" s="1" t="s">
        <v>9108</v>
      </c>
      <c r="U1707" s="1" t="s">
        <v>636</v>
      </c>
      <c r="V1707" s="1" t="s">
        <v>45</v>
      </c>
      <c r="W1707" s="1"/>
      <c r="X1707" s="1"/>
      <c r="Y1707" s="1"/>
      <c r="Z1707" s="1" t="s">
        <v>637</v>
      </c>
      <c r="AA1707" s="1" t="s">
        <v>9109</v>
      </c>
      <c r="AB1707" s="1" t="s">
        <v>9110</v>
      </c>
      <c r="AC1707" s="1" t="s">
        <v>9111</v>
      </c>
      <c r="AD1707" s="1" t="s">
        <v>9112</v>
      </c>
      <c r="AE1707" s="1"/>
      <c r="AF1707" s="1"/>
      <c r="AG1707" s="1"/>
      <c r="AH1707" s="1" t="s">
        <v>45</v>
      </c>
      <c r="AI1707" s="1"/>
      <c r="AJ1707" s="1" t="s">
        <v>9113</v>
      </c>
      <c r="AK1707" s="1" t="s">
        <v>5865</v>
      </c>
    </row>
    <row r="1708" spans="1:37">
      <c r="A1708" s="1" t="str">
        <f>VLOOKUP(H1708,Languages!$A$2:$B$430,2,FALSE)</f>
        <v>Siouan</v>
      </c>
      <c r="B1708" s="1" t="s">
        <v>35</v>
      </c>
      <c r="C1708" s="1" t="s">
        <v>89</v>
      </c>
      <c r="D1708" s="1" t="s">
        <v>9123</v>
      </c>
      <c r="E1708" s="15" t="s">
        <v>9103</v>
      </c>
      <c r="F1708" s="15" t="s">
        <v>9103</v>
      </c>
      <c r="G1708" s="1" t="s">
        <v>9103</v>
      </c>
      <c r="H1708" s="1" t="str">
        <f>VLOOKUP(G1708,'languoid 4.0'!$A$1:$I$24439,2,FALSE)</f>
        <v>siou1252</v>
      </c>
      <c r="I1708" s="1" t="str">
        <f>VLOOKUP(G1708,'languoid 4.0'!$A$1:$I$24439,6,FALSE)</f>
        <v>language</v>
      </c>
      <c r="J1708" s="15" t="s">
        <v>38</v>
      </c>
      <c r="K1708" s="15" t="s">
        <v>38</v>
      </c>
      <c r="L1708" s="15" t="s">
        <v>38</v>
      </c>
      <c r="M1708" s="1"/>
      <c r="N1708" s="1" t="s">
        <v>9104</v>
      </c>
      <c r="O1708" s="15" t="s">
        <v>40</v>
      </c>
      <c r="P1708" s="15" t="s">
        <v>632</v>
      </c>
      <c r="Q1708" s="1" t="s">
        <v>35</v>
      </c>
      <c r="R1708" s="2" t="s">
        <v>9124</v>
      </c>
      <c r="S1708" s="1" t="s">
        <v>9125</v>
      </c>
      <c r="T1708" s="1" t="s">
        <v>9108</v>
      </c>
      <c r="U1708" s="1" t="s">
        <v>35</v>
      </c>
      <c r="V1708" s="1" t="s">
        <v>45</v>
      </c>
      <c r="W1708" s="1"/>
      <c r="X1708" s="1"/>
      <c r="Y1708" s="1"/>
      <c r="Z1708" s="1" t="s">
        <v>823</v>
      </c>
      <c r="AA1708" s="1" t="s">
        <v>35</v>
      </c>
      <c r="AB1708" s="1" t="s">
        <v>9126</v>
      </c>
      <c r="AC1708" s="1" t="s">
        <v>9127</v>
      </c>
      <c r="AD1708" s="1" t="s">
        <v>9128</v>
      </c>
      <c r="AE1708" s="1"/>
      <c r="AF1708" s="1"/>
      <c r="AG1708" s="1"/>
      <c r="AH1708" s="1" t="s">
        <v>45</v>
      </c>
      <c r="AI1708" s="1"/>
      <c r="AJ1708" s="1" t="s">
        <v>9129</v>
      </c>
      <c r="AK1708" s="1" t="s">
        <v>5865</v>
      </c>
    </row>
    <row r="1709" spans="1:37">
      <c r="A1709" s="1" t="str">
        <f>VLOOKUP(H1709,Languages!$A$2:$B$430,2,FALSE)</f>
        <v>Siouan</v>
      </c>
      <c r="B1709" s="1" t="s">
        <v>652</v>
      </c>
      <c r="C1709" s="1" t="s">
        <v>89</v>
      </c>
      <c r="D1709" s="1" t="s">
        <v>9102</v>
      </c>
      <c r="E1709" s="15" t="s">
        <v>9103</v>
      </c>
      <c r="F1709" s="15" t="s">
        <v>9103</v>
      </c>
      <c r="G1709" s="1" t="s">
        <v>9103</v>
      </c>
      <c r="H1709" s="1" t="str">
        <f>VLOOKUP(G1709,'languoid 4.0'!$A$1:$I$24439,2,FALSE)</f>
        <v>siou1252</v>
      </c>
      <c r="I1709" s="1" t="str">
        <f>VLOOKUP(G1709,'languoid 4.0'!$A$1:$I$24439,6,FALSE)</f>
        <v>language</v>
      </c>
      <c r="J1709" s="15" t="s">
        <v>38</v>
      </c>
      <c r="K1709" s="15" t="s">
        <v>38</v>
      </c>
      <c r="L1709" s="15" t="s">
        <v>38</v>
      </c>
      <c r="M1709" s="1"/>
      <c r="N1709" s="1" t="s">
        <v>9104</v>
      </c>
      <c r="O1709" s="15" t="s">
        <v>40</v>
      </c>
      <c r="P1709" s="15" t="s">
        <v>41</v>
      </c>
      <c r="Q1709" s="1" t="s">
        <v>9114</v>
      </c>
      <c r="R1709" s="2" t="s">
        <v>9115</v>
      </c>
      <c r="S1709" s="1" t="s">
        <v>9116</v>
      </c>
      <c r="T1709" s="1" t="s">
        <v>9108</v>
      </c>
      <c r="U1709" s="1" t="s">
        <v>636</v>
      </c>
      <c r="V1709" s="1" t="s">
        <v>45</v>
      </c>
      <c r="W1709" s="1"/>
      <c r="X1709" s="1"/>
      <c r="Y1709" s="1"/>
      <c r="Z1709" s="1" t="s">
        <v>637</v>
      </c>
      <c r="AA1709" s="1" t="s">
        <v>9117</v>
      </c>
      <c r="AB1709" s="1" t="s">
        <v>9118</v>
      </c>
      <c r="AC1709" s="1" t="s">
        <v>9119</v>
      </c>
      <c r="AD1709" s="1" t="s">
        <v>9120</v>
      </c>
      <c r="AE1709" s="1"/>
      <c r="AF1709" s="1"/>
      <c r="AG1709" s="1"/>
      <c r="AH1709" s="1" t="s">
        <v>45</v>
      </c>
      <c r="AI1709" s="1" t="s">
        <v>9121</v>
      </c>
      <c r="AJ1709" s="1" t="s">
        <v>9122</v>
      </c>
      <c r="AK1709" s="1" t="s">
        <v>5865</v>
      </c>
    </row>
    <row r="1710" spans="1:37">
      <c r="A1710" s="1" t="str">
        <f>VLOOKUP(H1710,Languages!$A$2:$B$430,2,FALSE)</f>
        <v>Siouan</v>
      </c>
      <c r="B1710" s="1" t="s">
        <v>1750</v>
      </c>
      <c r="C1710" s="1" t="s">
        <v>89</v>
      </c>
      <c r="D1710" s="1" t="s">
        <v>5890</v>
      </c>
      <c r="E1710" s="15" t="s">
        <v>5891</v>
      </c>
      <c r="F1710" s="15" t="s">
        <v>5891</v>
      </c>
      <c r="G1710" s="1" t="s">
        <v>5891</v>
      </c>
      <c r="H1710" s="1" t="str">
        <f>VLOOKUP(G1710,'languoid 4.0'!$A$1:$I$24439,2,FALSE)</f>
        <v>siou1252</v>
      </c>
      <c r="I1710" s="1" t="str">
        <f>VLOOKUP(G1710,'languoid 4.0'!$A$1:$I$24439,6,FALSE)</f>
        <v>language</v>
      </c>
      <c r="J1710" s="15" t="s">
        <v>38</v>
      </c>
      <c r="K1710" s="15" t="s">
        <v>38</v>
      </c>
      <c r="L1710" s="15" t="s">
        <v>38</v>
      </c>
      <c r="M1710" s="1"/>
      <c r="N1710" s="1" t="s">
        <v>5892</v>
      </c>
      <c r="O1710" s="15" t="s">
        <v>40</v>
      </c>
      <c r="P1710" s="15" t="s">
        <v>41</v>
      </c>
      <c r="Q1710" s="1" t="s">
        <v>5893</v>
      </c>
      <c r="R1710" s="2" t="s">
        <v>5894</v>
      </c>
      <c r="S1710" s="1" t="s">
        <v>5895</v>
      </c>
      <c r="T1710" s="1" t="s">
        <v>648</v>
      </c>
      <c r="U1710" s="1" t="s">
        <v>636</v>
      </c>
      <c r="V1710" s="1" t="s">
        <v>45</v>
      </c>
      <c r="W1710" s="1"/>
      <c r="X1710" s="1"/>
      <c r="Y1710" s="1"/>
      <c r="Z1710" s="1" t="s">
        <v>637</v>
      </c>
      <c r="AA1710" s="1" t="s">
        <v>5896</v>
      </c>
      <c r="AB1710" s="1" t="s">
        <v>5897</v>
      </c>
      <c r="AC1710" s="1" t="s">
        <v>46</v>
      </c>
      <c r="AD1710" s="1"/>
      <c r="AE1710" s="1" t="s">
        <v>641</v>
      </c>
      <c r="AF1710" s="1" t="s">
        <v>190</v>
      </c>
      <c r="AG1710" s="1">
        <v>6</v>
      </c>
      <c r="AH1710" s="1" t="s">
        <v>190</v>
      </c>
      <c r="AI1710" s="1"/>
      <c r="AJ1710" s="1" t="s">
        <v>5898</v>
      </c>
      <c r="AK1710" s="1" t="s">
        <v>5865</v>
      </c>
    </row>
    <row r="1711" spans="1:37">
      <c r="A1711" s="1" t="str">
        <f>VLOOKUP(H1711,Languages!$A$2:$B$430,2,FALSE)</f>
        <v>South Omotic</v>
      </c>
      <c r="B1711" s="1" t="s">
        <v>109</v>
      </c>
      <c r="C1711" s="1" t="s">
        <v>214</v>
      </c>
      <c r="D1711" s="1" t="s">
        <v>772</v>
      </c>
      <c r="E1711" s="15" t="s">
        <v>773</v>
      </c>
      <c r="F1711" s="15" t="s">
        <v>773</v>
      </c>
      <c r="G1711" s="1" t="s">
        <v>773</v>
      </c>
      <c r="H1711" s="1" t="str">
        <f>VLOOKUP(G1711,'languoid 4.0'!$A$1:$I$24439,2,FALSE)</f>
        <v>sout2845</v>
      </c>
      <c r="I1711" s="1" t="str">
        <f>VLOOKUP(G1711,'languoid 4.0'!$A$1:$I$24439,6,FALSE)</f>
        <v>language</v>
      </c>
      <c r="J1711" s="15" t="s">
        <v>38</v>
      </c>
      <c r="K1711" s="15" t="s">
        <v>38</v>
      </c>
      <c r="L1711" s="15" t="s">
        <v>38</v>
      </c>
      <c r="M1711" s="1"/>
      <c r="N1711" s="1" t="s">
        <v>774</v>
      </c>
      <c r="O1711" s="15" t="s">
        <v>40</v>
      </c>
      <c r="P1711" s="15" t="s">
        <v>41</v>
      </c>
      <c r="Q1711" s="1" t="s">
        <v>775</v>
      </c>
      <c r="R1711" s="2" t="s">
        <v>776</v>
      </c>
      <c r="S1711" s="1" t="s">
        <v>46</v>
      </c>
      <c r="T1711" s="1" t="s">
        <v>767</v>
      </c>
      <c r="U1711" s="1" t="s">
        <v>636</v>
      </c>
      <c r="V1711" s="1" t="s">
        <v>45</v>
      </c>
      <c r="W1711" s="1"/>
      <c r="X1711" s="1"/>
      <c r="Y1711" s="1"/>
      <c r="Z1711" s="1" t="s">
        <v>658</v>
      </c>
      <c r="AA1711" s="1" t="s">
        <v>777</v>
      </c>
      <c r="AB1711" s="1" t="s">
        <v>46</v>
      </c>
      <c r="AC1711" s="1" t="s">
        <v>46</v>
      </c>
      <c r="AD1711" s="1" t="s">
        <v>778</v>
      </c>
      <c r="AE1711" s="1" t="s">
        <v>641</v>
      </c>
      <c r="AF1711" s="1" t="s">
        <v>190</v>
      </c>
      <c r="AG1711" s="1">
        <v>5</v>
      </c>
      <c r="AH1711" s="1" t="s">
        <v>190</v>
      </c>
      <c r="AI1711" s="1"/>
      <c r="AJ1711" s="3">
        <v>43222.554097222222</v>
      </c>
      <c r="AK1711" s="1" t="s">
        <v>740</v>
      </c>
    </row>
    <row r="1712" spans="1:37">
      <c r="A1712" s="1" t="str">
        <f>VLOOKUP(H1712,Languages!$A$2:$B$430,2,FALSE)</f>
        <v>South Omotic</v>
      </c>
      <c r="B1712" s="1" t="s">
        <v>109</v>
      </c>
      <c r="C1712" s="1" t="s">
        <v>214</v>
      </c>
      <c r="D1712" s="1" t="s">
        <v>1035</v>
      </c>
      <c r="E1712" s="15" t="s">
        <v>773</v>
      </c>
      <c r="F1712" s="15" t="s">
        <v>773</v>
      </c>
      <c r="G1712" s="1" t="s">
        <v>773</v>
      </c>
      <c r="H1712" s="1" t="str">
        <f>VLOOKUP(G1712,'languoid 4.0'!$A$1:$I$24439,2,FALSE)</f>
        <v>sout2845</v>
      </c>
      <c r="I1712" s="1" t="str">
        <f>VLOOKUP(G1712,'languoid 4.0'!$A$1:$I$24439,6,FALSE)</f>
        <v>language</v>
      </c>
      <c r="J1712" s="15" t="s">
        <v>38</v>
      </c>
      <c r="K1712" s="15" t="s">
        <v>38</v>
      </c>
      <c r="L1712" s="15" t="s">
        <v>38</v>
      </c>
      <c r="M1712" s="1"/>
      <c r="N1712" s="1" t="s">
        <v>774</v>
      </c>
      <c r="O1712" s="15" t="s">
        <v>40</v>
      </c>
      <c r="P1712" s="15" t="s">
        <v>41</v>
      </c>
      <c r="Q1712" s="1" t="s">
        <v>1036</v>
      </c>
      <c r="R1712" s="2" t="s">
        <v>1037</v>
      </c>
      <c r="S1712" s="1" t="s">
        <v>46</v>
      </c>
      <c r="T1712" s="1" t="s">
        <v>1038</v>
      </c>
      <c r="U1712" s="1" t="s">
        <v>1039</v>
      </c>
      <c r="V1712" s="1" t="s">
        <v>45</v>
      </c>
      <c r="W1712" s="1"/>
      <c r="X1712" s="1"/>
      <c r="Y1712" s="1"/>
      <c r="Z1712" s="1" t="s">
        <v>637</v>
      </c>
      <c r="AA1712" s="1" t="s">
        <v>1040</v>
      </c>
      <c r="AB1712" s="1" t="s">
        <v>1041</v>
      </c>
      <c r="AC1712" s="1" t="s">
        <v>46</v>
      </c>
      <c r="AD1712" s="1" t="s">
        <v>1042</v>
      </c>
      <c r="AE1712" s="1" t="s">
        <v>641</v>
      </c>
      <c r="AF1712" s="1" t="s">
        <v>190</v>
      </c>
      <c r="AG1712" s="1">
        <v>5</v>
      </c>
      <c r="AH1712" s="1" t="s">
        <v>190</v>
      </c>
      <c r="AI1712" s="1"/>
      <c r="AJ1712" s="1" t="s">
        <v>1043</v>
      </c>
      <c r="AK1712" s="1" t="s">
        <v>740</v>
      </c>
    </row>
    <row r="1713" spans="1:37">
      <c r="A1713" s="1" t="str">
        <f>VLOOKUP(H1713,Languages!$A$2:$B$430,2,FALSE)</f>
        <v>South Omotic</v>
      </c>
      <c r="B1713" s="1" t="s">
        <v>1750</v>
      </c>
      <c r="C1713" s="1" t="s">
        <v>214</v>
      </c>
      <c r="D1713" s="1" t="s">
        <v>1035</v>
      </c>
      <c r="E1713" s="15" t="s">
        <v>773</v>
      </c>
      <c r="F1713" s="15" t="s">
        <v>773</v>
      </c>
      <c r="G1713" s="1" t="s">
        <v>773</v>
      </c>
      <c r="H1713" s="1" t="str">
        <f>VLOOKUP(G1713,'languoid 4.0'!$A$1:$I$24439,2,FALSE)</f>
        <v>sout2845</v>
      </c>
      <c r="I1713" s="1" t="str">
        <f>VLOOKUP(G1713,'languoid 4.0'!$A$1:$I$24439,6,FALSE)</f>
        <v>language</v>
      </c>
      <c r="J1713" s="15" t="s">
        <v>38</v>
      </c>
      <c r="K1713" s="15" t="s">
        <v>38</v>
      </c>
      <c r="L1713" s="15" t="s">
        <v>38</v>
      </c>
      <c r="M1713" s="1"/>
      <c r="N1713" s="1" t="s">
        <v>774</v>
      </c>
      <c r="O1713" s="15" t="s">
        <v>40</v>
      </c>
      <c r="P1713" s="15" t="s">
        <v>41</v>
      </c>
      <c r="Q1713" s="1" t="s">
        <v>1839</v>
      </c>
      <c r="R1713" s="2" t="s">
        <v>1840</v>
      </c>
      <c r="S1713" s="1" t="s">
        <v>1021</v>
      </c>
      <c r="T1713" s="1" t="s">
        <v>635</v>
      </c>
      <c r="U1713" s="1" t="s">
        <v>636</v>
      </c>
      <c r="V1713" s="1" t="s">
        <v>45</v>
      </c>
      <c r="W1713" s="1"/>
      <c r="X1713" s="1"/>
      <c r="Y1713" s="1"/>
      <c r="Z1713" s="1" t="s">
        <v>637</v>
      </c>
      <c r="AA1713" s="1" t="s">
        <v>1841</v>
      </c>
      <c r="AB1713" s="1" t="s">
        <v>1842</v>
      </c>
      <c r="AC1713" s="1" t="s">
        <v>1021</v>
      </c>
      <c r="AD1713" s="1" t="s">
        <v>1843</v>
      </c>
      <c r="AE1713" s="1" t="s">
        <v>641</v>
      </c>
      <c r="AF1713" s="1" t="s">
        <v>190</v>
      </c>
      <c r="AG1713" s="1">
        <v>6</v>
      </c>
      <c r="AH1713" s="1" t="s">
        <v>190</v>
      </c>
      <c r="AI1713" s="1"/>
      <c r="AJ1713" s="3">
        <v>43437.492974537039</v>
      </c>
      <c r="AK1713" s="1" t="s">
        <v>740</v>
      </c>
    </row>
    <row r="1714" spans="1:37">
      <c r="A1714" s="1" t="str">
        <f>VLOOKUP(H1714,Languages!$A$2:$B$430,2,FALSE)</f>
        <v>South Omotic</v>
      </c>
      <c r="B1714" s="1" t="s">
        <v>1738</v>
      </c>
      <c r="C1714" s="1" t="s">
        <v>214</v>
      </c>
      <c r="D1714" s="1" t="s">
        <v>1035</v>
      </c>
      <c r="E1714" s="15" t="s">
        <v>773</v>
      </c>
      <c r="F1714" s="15" t="s">
        <v>773</v>
      </c>
      <c r="G1714" s="1" t="s">
        <v>773</v>
      </c>
      <c r="H1714" s="1" t="str">
        <f>VLOOKUP(G1714,'languoid 4.0'!$A$1:$I$24439,2,FALSE)</f>
        <v>sout2845</v>
      </c>
      <c r="I1714" s="1" t="str">
        <f>VLOOKUP(G1714,'languoid 4.0'!$A$1:$I$24439,6,FALSE)</f>
        <v>language</v>
      </c>
      <c r="J1714" s="15" t="s">
        <v>38</v>
      </c>
      <c r="K1714" s="15" t="s">
        <v>38</v>
      </c>
      <c r="L1714" s="15" t="s">
        <v>38</v>
      </c>
      <c r="M1714" s="1"/>
      <c r="N1714" s="1" t="s">
        <v>774</v>
      </c>
      <c r="O1714" s="15" t="s">
        <v>40</v>
      </c>
      <c r="P1714" s="15" t="s">
        <v>41</v>
      </c>
      <c r="Q1714" s="1" t="s">
        <v>1794</v>
      </c>
      <c r="R1714" s="2" t="s">
        <v>1795</v>
      </c>
      <c r="S1714" s="1" t="s">
        <v>1021</v>
      </c>
      <c r="T1714" s="1" t="s">
        <v>635</v>
      </c>
      <c r="U1714" s="1" t="s">
        <v>1796</v>
      </c>
      <c r="V1714" s="1" t="s">
        <v>45</v>
      </c>
      <c r="W1714" s="1"/>
      <c r="X1714" s="1"/>
      <c r="Y1714" s="1"/>
      <c r="Z1714" s="1" t="s">
        <v>637</v>
      </c>
      <c r="AA1714" s="1" t="s">
        <v>1797</v>
      </c>
      <c r="AB1714" s="1" t="s">
        <v>1798</v>
      </c>
      <c r="AC1714" s="1" t="s">
        <v>1021</v>
      </c>
      <c r="AD1714" s="1" t="s">
        <v>1799</v>
      </c>
      <c r="AE1714" s="1" t="s">
        <v>641</v>
      </c>
      <c r="AF1714" s="1" t="s">
        <v>190</v>
      </c>
      <c r="AG1714" s="1">
        <v>4</v>
      </c>
      <c r="AH1714" s="1" t="s">
        <v>190</v>
      </c>
      <c r="AI1714" s="1"/>
      <c r="AJ1714" s="3">
        <v>43437.472708333335</v>
      </c>
      <c r="AK1714" s="1" t="s">
        <v>740</v>
      </c>
    </row>
    <row r="1715" spans="1:37">
      <c r="A1715" s="1" t="str">
        <f>VLOOKUP(H1715,Languages!$A$2:$B$430,2,FALSE)</f>
        <v>South Omotic</v>
      </c>
      <c r="B1715" s="1" t="s">
        <v>1707</v>
      </c>
      <c r="C1715" s="1" t="s">
        <v>214</v>
      </c>
      <c r="D1715" s="1" t="s">
        <v>1762</v>
      </c>
      <c r="E1715" s="15" t="s">
        <v>1763</v>
      </c>
      <c r="F1715" s="15" t="s">
        <v>1763</v>
      </c>
      <c r="G1715" s="1" t="s">
        <v>1763</v>
      </c>
      <c r="H1715" s="1" t="str">
        <f>VLOOKUP(G1715,'languoid 4.0'!$A$1:$I$24439,2,FALSE)</f>
        <v>sout2845</v>
      </c>
      <c r="I1715" s="1" t="str">
        <f>VLOOKUP(G1715,'languoid 4.0'!$A$1:$I$24439,6,FALSE)</f>
        <v>language</v>
      </c>
      <c r="J1715" s="15" t="s">
        <v>38</v>
      </c>
      <c r="K1715" s="15" t="s">
        <v>38</v>
      </c>
      <c r="L1715" s="15" t="s">
        <v>38</v>
      </c>
      <c r="M1715" s="1"/>
      <c r="N1715" s="1" t="s">
        <v>1764</v>
      </c>
      <c r="O1715" s="15" t="s">
        <v>40</v>
      </c>
      <c r="P1715" s="15" t="s">
        <v>41</v>
      </c>
      <c r="Q1715" s="1" t="s">
        <v>1765</v>
      </c>
      <c r="R1715" s="2" t="s">
        <v>1766</v>
      </c>
      <c r="S1715" s="1" t="s">
        <v>1021</v>
      </c>
      <c r="T1715" s="1" t="s">
        <v>693</v>
      </c>
      <c r="U1715" s="1" t="s">
        <v>1767</v>
      </c>
      <c r="V1715" s="1" t="s">
        <v>45</v>
      </c>
      <c r="W1715" s="1"/>
      <c r="X1715" s="1"/>
      <c r="Y1715" s="1"/>
      <c r="Z1715" s="1" t="s">
        <v>637</v>
      </c>
      <c r="AA1715" s="1" t="s">
        <v>1768</v>
      </c>
      <c r="AB1715" s="1" t="s">
        <v>1769</v>
      </c>
      <c r="AC1715" s="1" t="s">
        <v>1021</v>
      </c>
      <c r="AD1715" s="1" t="s">
        <v>1770</v>
      </c>
      <c r="AE1715" s="1" t="s">
        <v>641</v>
      </c>
      <c r="AF1715" s="1" t="s">
        <v>190</v>
      </c>
      <c r="AG1715" s="1">
        <v>6</v>
      </c>
      <c r="AH1715" s="1" t="s">
        <v>190</v>
      </c>
      <c r="AI1715" s="1"/>
      <c r="AJ1715" s="3">
        <v>43437.460810185185</v>
      </c>
      <c r="AK1715" s="1" t="s">
        <v>740</v>
      </c>
    </row>
    <row r="1716" spans="1:37">
      <c r="A1716" s="1" t="str">
        <f>VLOOKUP(H1716,Languages!$A$2:$B$430,2,FALSE)</f>
        <v>Ta-Ne-Omotic</v>
      </c>
      <c r="B1716" s="1" t="s">
        <v>1812</v>
      </c>
      <c r="C1716" s="1" t="s">
        <v>214</v>
      </c>
      <c r="D1716" s="1" t="s">
        <v>1813</v>
      </c>
      <c r="E1716" s="15" t="s">
        <v>1814</v>
      </c>
      <c r="F1716" s="15" t="s">
        <v>1815</v>
      </c>
      <c r="G1716" s="1" t="s">
        <v>1814</v>
      </c>
      <c r="H1716" s="1" t="str">
        <f>VLOOKUP(G1716,'languoid 4.0'!$A$1:$I$24439,2,FALSE)</f>
        <v>gong1255</v>
      </c>
      <c r="I1716" s="1" t="str">
        <f>VLOOKUP(G1716,'languoid 4.0'!$A$1:$I$24439,6,FALSE)</f>
        <v>language</v>
      </c>
      <c r="J1716" s="15" t="s">
        <v>52</v>
      </c>
      <c r="K1716" s="15" t="s">
        <v>368</v>
      </c>
      <c r="L1716" s="15" t="s">
        <v>368</v>
      </c>
      <c r="M1716" s="1" t="s">
        <v>616</v>
      </c>
      <c r="N1716" s="1" t="s">
        <v>1816</v>
      </c>
      <c r="O1716" s="15" t="s">
        <v>40</v>
      </c>
      <c r="P1716" s="15" t="s">
        <v>41</v>
      </c>
      <c r="Q1716" s="1" t="s">
        <v>1817</v>
      </c>
      <c r="R1716" s="2" t="s">
        <v>1818</v>
      </c>
      <c r="S1716" s="1" t="s">
        <v>1021</v>
      </c>
      <c r="T1716" s="1" t="s">
        <v>635</v>
      </c>
      <c r="U1716" s="1" t="s">
        <v>1819</v>
      </c>
      <c r="V1716" s="1" t="s">
        <v>45</v>
      </c>
      <c r="W1716" s="1"/>
      <c r="X1716" s="1"/>
      <c r="Y1716" s="1"/>
      <c r="Z1716" s="1" t="s">
        <v>637</v>
      </c>
      <c r="AA1716" s="1" t="s">
        <v>1820</v>
      </c>
      <c r="AB1716" s="1" t="s">
        <v>1821</v>
      </c>
      <c r="AC1716" s="1" t="s">
        <v>1021</v>
      </c>
      <c r="AD1716" s="1" t="s">
        <v>1822</v>
      </c>
      <c r="AE1716" s="1" t="s">
        <v>641</v>
      </c>
      <c r="AF1716" s="1" t="s">
        <v>190</v>
      </c>
      <c r="AG1716" s="1">
        <v>6</v>
      </c>
      <c r="AH1716" s="1" t="s">
        <v>190</v>
      </c>
      <c r="AI1716" s="1"/>
      <c r="AJ1716" s="3">
        <v>43437.480624999997</v>
      </c>
      <c r="AK1716" s="1" t="s">
        <v>740</v>
      </c>
    </row>
    <row r="1717" spans="1:37">
      <c r="A1717" s="1" t="str">
        <f>VLOOKUP(H1717,Languages!$A$2:$B$430,2,FALSE)</f>
        <v>Tai-Kadai</v>
      </c>
      <c r="B1717" s="1" t="s">
        <v>67</v>
      </c>
      <c r="C1717" s="1" t="s">
        <v>117</v>
      </c>
      <c r="D1717" s="1" t="s">
        <v>5066</v>
      </c>
      <c r="E1717" s="15" t="s">
        <v>347</v>
      </c>
      <c r="F1717" s="15" t="s">
        <v>51</v>
      </c>
      <c r="G1717" s="1" t="s">
        <v>347</v>
      </c>
      <c r="H1717" s="1" t="str">
        <f>VLOOKUP(G1717,'languoid 4.0'!$A$1:$I$24439,2,FALSE)</f>
        <v>taik1256</v>
      </c>
      <c r="I1717" s="1" t="str">
        <f>VLOOKUP(G1717,'languoid 4.0'!$A$1:$I$24439,6,FALSE)</f>
        <v>language</v>
      </c>
      <c r="J1717" s="15" t="s">
        <v>52</v>
      </c>
      <c r="K1717" s="15" t="s">
        <v>51</v>
      </c>
      <c r="L1717" s="15" t="s">
        <v>51</v>
      </c>
      <c r="M1717" s="1"/>
      <c r="N1717" s="1" t="s">
        <v>521</v>
      </c>
      <c r="O1717" s="15" t="s">
        <v>40</v>
      </c>
      <c r="P1717" s="15" t="s">
        <v>41</v>
      </c>
      <c r="Q1717" s="1" t="s">
        <v>5067</v>
      </c>
      <c r="R1717" s="2" t="s">
        <v>5068</v>
      </c>
      <c r="S1717" s="1" t="s">
        <v>5069</v>
      </c>
      <c r="T1717" s="1" t="s">
        <v>657</v>
      </c>
      <c r="U1717" s="1" t="s">
        <v>636</v>
      </c>
      <c r="V1717" s="1" t="s">
        <v>45</v>
      </c>
      <c r="W1717" s="1"/>
      <c r="X1717" s="1"/>
      <c r="Y1717" s="1"/>
      <c r="Z1717" s="1" t="s">
        <v>637</v>
      </c>
      <c r="AA1717" s="1" t="s">
        <v>5070</v>
      </c>
      <c r="AB1717" s="1" t="s">
        <v>5071</v>
      </c>
      <c r="AC1717" s="1" t="s">
        <v>46</v>
      </c>
      <c r="AD1717" s="1" t="s">
        <v>5072</v>
      </c>
      <c r="AE1717" s="1" t="s">
        <v>641</v>
      </c>
      <c r="AF1717" s="1" t="s">
        <v>45</v>
      </c>
      <c r="AG1717" s="1">
        <v>1</v>
      </c>
      <c r="AH1717" s="1" t="s">
        <v>190</v>
      </c>
      <c r="AI1717" s="1"/>
      <c r="AJ1717" s="1" t="s">
        <v>5073</v>
      </c>
      <c r="AK1717" s="1" t="s">
        <v>4268</v>
      </c>
    </row>
    <row r="1718" spans="1:37">
      <c r="A1718" s="1" t="str">
        <f>VLOOKUP(H1718,Languages!$A$2:$B$430,2,FALSE)</f>
        <v>Tai-Kadai</v>
      </c>
      <c r="B1718" s="1" t="s">
        <v>35</v>
      </c>
      <c r="C1718" s="1" t="s">
        <v>117</v>
      </c>
      <c r="D1718" s="1" t="s">
        <v>520</v>
      </c>
      <c r="E1718" s="15" t="s">
        <v>347</v>
      </c>
      <c r="F1718" s="15" t="s">
        <v>347</v>
      </c>
      <c r="G1718" s="1" t="s">
        <v>347</v>
      </c>
      <c r="H1718" s="1" t="str">
        <f>VLOOKUP(G1718,'languoid 4.0'!$A$1:$I$24439,2,FALSE)</f>
        <v>taik1256</v>
      </c>
      <c r="I1718" s="1" t="str">
        <f>VLOOKUP(G1718,'languoid 4.0'!$A$1:$I$24439,6,FALSE)</f>
        <v>language</v>
      </c>
      <c r="J1718" s="15" t="s">
        <v>38</v>
      </c>
      <c r="K1718" s="15" t="s">
        <v>38</v>
      </c>
      <c r="L1718" s="15" t="s">
        <v>38</v>
      </c>
      <c r="M1718" s="1"/>
      <c r="N1718" s="1" t="s">
        <v>521</v>
      </c>
      <c r="O1718" s="15" t="s">
        <v>40</v>
      </c>
      <c r="P1718" s="15" t="s">
        <v>41</v>
      </c>
      <c r="Q1718" s="1" t="s">
        <v>357</v>
      </c>
      <c r="R1718" s="2" t="s">
        <v>522</v>
      </c>
      <c r="S1718" s="1" t="s">
        <v>523</v>
      </c>
      <c r="T1718" s="1" t="s">
        <v>44</v>
      </c>
      <c r="U1718" s="1"/>
      <c r="V1718" s="1" t="s">
        <v>45</v>
      </c>
      <c r="W1718" s="1"/>
      <c r="X1718" s="1"/>
      <c r="Y1718" s="1"/>
      <c r="Z1718" s="1"/>
      <c r="AA1718" s="1">
        <v>11</v>
      </c>
      <c r="AB1718" s="1">
        <v>11</v>
      </c>
      <c r="AC1718" s="1" t="s">
        <v>46</v>
      </c>
      <c r="AD1718" s="1"/>
      <c r="AE1718" s="1"/>
      <c r="AF1718" s="1"/>
      <c r="AG1718" s="1"/>
      <c r="AH1718" s="1"/>
      <c r="AI1718" s="1"/>
      <c r="AJ1718" s="3">
        <v>43102.753703703704</v>
      </c>
      <c r="AK1718" s="1" t="s">
        <v>74</v>
      </c>
    </row>
    <row r="1719" spans="1:37">
      <c r="A1719" s="1" t="str">
        <f>VLOOKUP(H1719,Languages!$A$2:$B$430,2,FALSE)</f>
        <v>Tai-Kadai</v>
      </c>
      <c r="B1719" s="1" t="s">
        <v>1812</v>
      </c>
      <c r="C1719" s="1" t="s">
        <v>117</v>
      </c>
      <c r="D1719" s="1" t="s">
        <v>5066</v>
      </c>
      <c r="E1719" s="15" t="s">
        <v>347</v>
      </c>
      <c r="F1719" s="15" t="s">
        <v>51</v>
      </c>
      <c r="G1719" s="1" t="s">
        <v>347</v>
      </c>
      <c r="H1719" s="1" t="str">
        <f>VLOOKUP(G1719,'languoid 4.0'!$A$1:$I$24439,2,FALSE)</f>
        <v>taik1256</v>
      </c>
      <c r="I1719" s="1" t="str">
        <f>VLOOKUP(G1719,'languoid 4.0'!$A$1:$I$24439,6,FALSE)</f>
        <v>language</v>
      </c>
      <c r="J1719" s="15" t="s">
        <v>52</v>
      </c>
      <c r="K1719" s="15" t="s">
        <v>51</v>
      </c>
      <c r="L1719" s="15" t="s">
        <v>51</v>
      </c>
      <c r="M1719" s="1"/>
      <c r="N1719" s="1" t="s">
        <v>521</v>
      </c>
      <c r="O1719" s="15" t="s">
        <v>40</v>
      </c>
      <c r="P1719" s="15" t="s">
        <v>41</v>
      </c>
      <c r="Q1719" s="1" t="s">
        <v>5074</v>
      </c>
      <c r="R1719" s="2" t="s">
        <v>5075</v>
      </c>
      <c r="S1719" s="1" t="s">
        <v>5076</v>
      </c>
      <c r="T1719" s="1" t="s">
        <v>657</v>
      </c>
      <c r="U1719" s="1" t="s">
        <v>636</v>
      </c>
      <c r="V1719" s="1" t="s">
        <v>45</v>
      </c>
      <c r="W1719" s="1"/>
      <c r="X1719" s="1"/>
      <c r="Y1719" s="1"/>
      <c r="Z1719" s="1" t="s">
        <v>637</v>
      </c>
      <c r="AA1719" s="1" t="s">
        <v>5077</v>
      </c>
      <c r="AB1719" s="1" t="s">
        <v>5078</v>
      </c>
      <c r="AC1719" s="1" t="s">
        <v>46</v>
      </c>
      <c r="AD1719" s="1" t="s">
        <v>5079</v>
      </c>
      <c r="AE1719" s="1" t="s">
        <v>641</v>
      </c>
      <c r="AF1719" s="1" t="s">
        <v>190</v>
      </c>
      <c r="AG1719" s="1">
        <v>5</v>
      </c>
      <c r="AH1719" s="1" t="s">
        <v>190</v>
      </c>
      <c r="AI1719" s="1"/>
      <c r="AJ1719" s="1" t="s">
        <v>5080</v>
      </c>
      <c r="AK1719" s="1" t="s">
        <v>4268</v>
      </c>
    </row>
    <row r="1720" spans="1:37">
      <c r="A1720" s="1" t="str">
        <f>VLOOKUP(H1720,Languages!$A$2:$B$430,2,FALSE)</f>
        <v>Tangkic</v>
      </c>
      <c r="B1720" s="1" t="s">
        <v>35</v>
      </c>
      <c r="C1720" s="1" t="s">
        <v>34</v>
      </c>
      <c r="D1720" s="1" t="s">
        <v>36</v>
      </c>
      <c r="E1720" s="15" t="s">
        <v>37</v>
      </c>
      <c r="F1720" s="15" t="s">
        <v>37</v>
      </c>
      <c r="G1720" s="1" t="s">
        <v>37</v>
      </c>
      <c r="H1720" s="1" t="str">
        <f>VLOOKUP(G1720,'languoid 4.0'!$A$1:$I$24439,2,FALSE)</f>
        <v>tang1340</v>
      </c>
      <c r="I1720" s="1" t="str">
        <f>VLOOKUP(G1720,'languoid 4.0'!$A$1:$I$24439,6,FALSE)</f>
        <v>language</v>
      </c>
      <c r="J1720" s="15" t="s">
        <v>38</v>
      </c>
      <c r="K1720" s="15" t="s">
        <v>38</v>
      </c>
      <c r="L1720" s="15" t="s">
        <v>38</v>
      </c>
      <c r="M1720" s="1"/>
      <c r="N1720" s="1" t="s">
        <v>39</v>
      </c>
      <c r="O1720" s="15" t="s">
        <v>40</v>
      </c>
      <c r="P1720" s="15" t="s">
        <v>41</v>
      </c>
      <c r="Q1720" s="1" t="s">
        <v>35</v>
      </c>
      <c r="R1720" s="2" t="s">
        <v>42</v>
      </c>
      <c r="S1720" s="1" t="s">
        <v>43</v>
      </c>
      <c r="T1720" s="1" t="s">
        <v>44</v>
      </c>
      <c r="U1720" s="1"/>
      <c r="V1720" s="1" t="s">
        <v>45</v>
      </c>
      <c r="W1720" s="1"/>
      <c r="X1720" s="1"/>
      <c r="Y1720" s="1"/>
      <c r="Z1720" s="1"/>
      <c r="AA1720" s="1">
        <v>9</v>
      </c>
      <c r="AB1720" s="1">
        <v>9</v>
      </c>
      <c r="AC1720" s="1" t="s">
        <v>46</v>
      </c>
      <c r="AD1720" s="1"/>
      <c r="AE1720" s="1"/>
      <c r="AF1720" s="1"/>
      <c r="AG1720" s="1"/>
      <c r="AH1720" s="1"/>
      <c r="AI1720" s="1"/>
      <c r="AJ1720" s="3">
        <v>43102.719317129631</v>
      </c>
      <c r="AK1720" s="1" t="s">
        <v>47</v>
      </c>
    </row>
    <row r="1721" spans="1:37">
      <c r="A1721" s="1" t="str">
        <f>VLOOKUP(H1721,Languages!$A$2:$B$430,2,FALSE)</f>
        <v>Tarascan</v>
      </c>
      <c r="B1721" s="1" t="s">
        <v>67</v>
      </c>
      <c r="C1721" s="1" t="s">
        <v>5463</v>
      </c>
      <c r="D1721" s="1" t="s">
        <v>6887</v>
      </c>
      <c r="E1721" s="15" t="s">
        <v>6558</v>
      </c>
      <c r="F1721" s="15" t="s">
        <v>6558</v>
      </c>
      <c r="G1721" s="1" t="s">
        <v>6558</v>
      </c>
      <c r="H1721" s="1" t="str">
        <f>VLOOKUP(G1721,'languoid 4.0'!$A$1:$I$24439,2,FALSE)</f>
        <v>tara1323</v>
      </c>
      <c r="I1721" s="1" t="str">
        <f>VLOOKUP(G1721,'languoid 4.0'!$A$1:$I$24439,6,FALSE)</f>
        <v>language</v>
      </c>
      <c r="J1721" s="15" t="s">
        <v>38</v>
      </c>
      <c r="K1721" s="15" t="s">
        <v>38</v>
      </c>
      <c r="L1721" s="15" t="s">
        <v>38</v>
      </c>
      <c r="M1721" s="1"/>
      <c r="N1721" s="1" t="s">
        <v>6559</v>
      </c>
      <c r="O1721" s="15" t="s">
        <v>40</v>
      </c>
      <c r="P1721" s="15" t="s">
        <v>41</v>
      </c>
      <c r="Q1721" s="1" t="s">
        <v>6888</v>
      </c>
      <c r="R1721" s="2" t="s">
        <v>6889</v>
      </c>
      <c r="S1721" s="1" t="s">
        <v>666</v>
      </c>
      <c r="T1721" s="1" t="s">
        <v>657</v>
      </c>
      <c r="U1721" s="1" t="s">
        <v>636</v>
      </c>
      <c r="V1721" s="1" t="s">
        <v>45</v>
      </c>
      <c r="W1721" s="1"/>
      <c r="X1721" s="1"/>
      <c r="Y1721" s="1"/>
      <c r="Z1721" s="1" t="s">
        <v>637</v>
      </c>
      <c r="AA1721" s="1" t="s">
        <v>6890</v>
      </c>
      <c r="AB1721" s="1" t="s">
        <v>6891</v>
      </c>
      <c r="AC1721" s="1" t="s">
        <v>46</v>
      </c>
      <c r="AD1721" s="1" t="s">
        <v>6892</v>
      </c>
      <c r="AE1721" s="1" t="s">
        <v>641</v>
      </c>
      <c r="AF1721" s="1" t="s">
        <v>45</v>
      </c>
      <c r="AG1721" s="1">
        <v>1</v>
      </c>
      <c r="AH1721" s="1" t="s">
        <v>190</v>
      </c>
      <c r="AI1721" s="1" t="s">
        <v>6893</v>
      </c>
      <c r="AJ1721" s="1" t="s">
        <v>6894</v>
      </c>
      <c r="AK1721" s="1" t="s">
        <v>5472</v>
      </c>
    </row>
    <row r="1722" spans="1:37">
      <c r="A1722" s="1" t="str">
        <f>VLOOKUP(H1722,Languages!$A$2:$B$430,2,FALSE)</f>
        <v>Tarascan</v>
      </c>
      <c r="B1722" s="1" t="s">
        <v>67</v>
      </c>
      <c r="C1722" s="1" t="s">
        <v>5463</v>
      </c>
      <c r="D1722" s="1" t="s">
        <v>6887</v>
      </c>
      <c r="E1722" s="15" t="s">
        <v>6558</v>
      </c>
      <c r="F1722" s="15" t="s">
        <v>6558</v>
      </c>
      <c r="G1722" s="1" t="s">
        <v>6558</v>
      </c>
      <c r="H1722" s="1" t="str">
        <f>VLOOKUP(G1722,'languoid 4.0'!$A$1:$I$24439,2,FALSE)</f>
        <v>tara1323</v>
      </c>
      <c r="I1722" s="1" t="str">
        <f>VLOOKUP(G1722,'languoid 4.0'!$A$1:$I$24439,6,FALSE)</f>
        <v>language</v>
      </c>
      <c r="J1722" s="15" t="s">
        <v>38</v>
      </c>
      <c r="K1722" s="15" t="s">
        <v>38</v>
      </c>
      <c r="L1722" s="15" t="s">
        <v>38</v>
      </c>
      <c r="M1722" s="1"/>
      <c r="N1722" s="1" t="s">
        <v>6559</v>
      </c>
      <c r="O1722" s="15" t="s">
        <v>40</v>
      </c>
      <c r="P1722" s="15" t="s">
        <v>41</v>
      </c>
      <c r="Q1722" s="1" t="s">
        <v>6895</v>
      </c>
      <c r="R1722" s="2" t="s">
        <v>6896</v>
      </c>
      <c r="S1722" s="1" t="s">
        <v>663</v>
      </c>
      <c r="T1722" s="1" t="s">
        <v>657</v>
      </c>
      <c r="U1722" s="1" t="s">
        <v>636</v>
      </c>
      <c r="V1722" s="1" t="s">
        <v>45</v>
      </c>
      <c r="W1722" s="1"/>
      <c r="X1722" s="1"/>
      <c r="Y1722" s="1"/>
      <c r="Z1722" s="1" t="s">
        <v>637</v>
      </c>
      <c r="AA1722" s="1" t="s">
        <v>6897</v>
      </c>
      <c r="AB1722" s="1" t="s">
        <v>6898</v>
      </c>
      <c r="AC1722" s="1" t="s">
        <v>46</v>
      </c>
      <c r="AD1722" s="1" t="s">
        <v>6892</v>
      </c>
      <c r="AE1722" s="1" t="s">
        <v>641</v>
      </c>
      <c r="AF1722" s="1" t="s">
        <v>45</v>
      </c>
      <c r="AG1722" s="1">
        <v>1</v>
      </c>
      <c r="AH1722" s="1" t="s">
        <v>190</v>
      </c>
      <c r="AI1722" s="1" t="s">
        <v>6893</v>
      </c>
      <c r="AJ1722" s="1" t="s">
        <v>6899</v>
      </c>
      <c r="AK1722" s="1" t="s">
        <v>5472</v>
      </c>
    </row>
    <row r="1723" spans="1:37">
      <c r="A1723" s="1" t="str">
        <f>VLOOKUP(H1723,Languages!$A$2:$B$430,2,FALSE)</f>
        <v>Tarascan</v>
      </c>
      <c r="B1723" s="1" t="s">
        <v>67</v>
      </c>
      <c r="C1723" s="1" t="s">
        <v>5463</v>
      </c>
      <c r="D1723" s="1" t="s">
        <v>6887</v>
      </c>
      <c r="E1723" s="15" t="s">
        <v>6558</v>
      </c>
      <c r="F1723" s="15" t="s">
        <v>6558</v>
      </c>
      <c r="G1723" s="1" t="s">
        <v>6558</v>
      </c>
      <c r="H1723" s="1" t="str">
        <f>VLOOKUP(G1723,'languoid 4.0'!$A$1:$I$24439,2,FALSE)</f>
        <v>tara1323</v>
      </c>
      <c r="I1723" s="1" t="str">
        <f>VLOOKUP(G1723,'languoid 4.0'!$A$1:$I$24439,6,FALSE)</f>
        <v>language</v>
      </c>
      <c r="J1723" s="15" t="s">
        <v>38</v>
      </c>
      <c r="K1723" s="15" t="s">
        <v>38</v>
      </c>
      <c r="L1723" s="15" t="s">
        <v>38</v>
      </c>
      <c r="M1723" s="1"/>
      <c r="N1723" s="1" t="s">
        <v>6559</v>
      </c>
      <c r="O1723" s="15" t="s">
        <v>40</v>
      </c>
      <c r="P1723" s="15" t="s">
        <v>41</v>
      </c>
      <c r="Q1723" s="1" t="s">
        <v>6900</v>
      </c>
      <c r="R1723" s="2" t="s">
        <v>6901</v>
      </c>
      <c r="S1723" s="1" t="s">
        <v>1361</v>
      </c>
      <c r="T1723" s="1" t="s">
        <v>657</v>
      </c>
      <c r="U1723" s="1" t="s">
        <v>636</v>
      </c>
      <c r="V1723" s="1" t="s">
        <v>45</v>
      </c>
      <c r="W1723" s="1"/>
      <c r="X1723" s="1"/>
      <c r="Y1723" s="1"/>
      <c r="Z1723" s="1" t="s">
        <v>637</v>
      </c>
      <c r="AA1723" s="1" t="s">
        <v>6902</v>
      </c>
      <c r="AB1723" s="1" t="s">
        <v>6903</v>
      </c>
      <c r="AC1723" s="1" t="s">
        <v>46</v>
      </c>
      <c r="AD1723" s="1" t="s">
        <v>6892</v>
      </c>
      <c r="AE1723" s="1" t="s">
        <v>641</v>
      </c>
      <c r="AF1723" s="1" t="s">
        <v>45</v>
      </c>
      <c r="AG1723" s="1">
        <v>1</v>
      </c>
      <c r="AH1723" s="1" t="s">
        <v>190</v>
      </c>
      <c r="AI1723" s="1" t="s">
        <v>6893</v>
      </c>
      <c r="AJ1723" s="1" t="s">
        <v>6904</v>
      </c>
      <c r="AK1723" s="1" t="s">
        <v>5472</v>
      </c>
    </row>
    <row r="1724" spans="1:37">
      <c r="A1724" s="1" t="str">
        <f>VLOOKUP(H1724,Languages!$A$2:$B$430,2,FALSE)</f>
        <v>Tarascan</v>
      </c>
      <c r="B1724" s="1" t="s">
        <v>109</v>
      </c>
      <c r="C1724" s="1" t="s">
        <v>5463</v>
      </c>
      <c r="D1724" s="1" t="s">
        <v>6557</v>
      </c>
      <c r="E1724" s="15" t="s">
        <v>6558</v>
      </c>
      <c r="F1724" s="15" t="s">
        <v>6558</v>
      </c>
      <c r="G1724" s="1" t="s">
        <v>6558</v>
      </c>
      <c r="H1724" s="1" t="str">
        <f>VLOOKUP(G1724,'languoid 4.0'!$A$1:$I$24439,2,FALSE)</f>
        <v>tara1323</v>
      </c>
      <c r="I1724" s="1" t="str">
        <f>VLOOKUP(G1724,'languoid 4.0'!$A$1:$I$24439,6,FALSE)</f>
        <v>language</v>
      </c>
      <c r="J1724" s="15" t="s">
        <v>38</v>
      </c>
      <c r="K1724" s="15" t="s">
        <v>38</v>
      </c>
      <c r="L1724" s="15" t="s">
        <v>38</v>
      </c>
      <c r="M1724" s="1"/>
      <c r="N1724" s="1" t="s">
        <v>6559</v>
      </c>
      <c r="O1724" s="15" t="s">
        <v>40</v>
      </c>
      <c r="P1724" s="15" t="s">
        <v>41</v>
      </c>
      <c r="Q1724" s="1" t="s">
        <v>6560</v>
      </c>
      <c r="R1724" s="2" t="s">
        <v>6561</v>
      </c>
      <c r="S1724" s="1" t="s">
        <v>6562</v>
      </c>
      <c r="T1724" s="1" t="s">
        <v>657</v>
      </c>
      <c r="U1724" s="1" t="s">
        <v>636</v>
      </c>
      <c r="V1724" s="1" t="s">
        <v>45</v>
      </c>
      <c r="W1724" s="1"/>
      <c r="X1724" s="1"/>
      <c r="Y1724" s="1"/>
      <c r="Z1724" s="1" t="s">
        <v>1893</v>
      </c>
      <c r="AA1724" s="1" t="s">
        <v>6563</v>
      </c>
      <c r="AB1724" s="1" t="s">
        <v>46</v>
      </c>
      <c r="AC1724" s="1" t="s">
        <v>6564</v>
      </c>
      <c r="AD1724" s="1" t="s">
        <v>6565</v>
      </c>
      <c r="AE1724" s="1" t="s">
        <v>641</v>
      </c>
      <c r="AF1724" s="1" t="s">
        <v>45</v>
      </c>
      <c r="AG1724" s="1">
        <v>1</v>
      </c>
      <c r="AH1724" s="1" t="s">
        <v>190</v>
      </c>
      <c r="AI1724" s="1" t="s">
        <v>6566</v>
      </c>
      <c r="AJ1724" s="1" t="s">
        <v>6567</v>
      </c>
      <c r="AK1724" s="1" t="s">
        <v>5472</v>
      </c>
    </row>
    <row r="1725" spans="1:37">
      <c r="A1725" s="1" t="str">
        <f>VLOOKUP(H1725,Languages!$A$2:$B$430,2,FALSE)</f>
        <v>Tarascan</v>
      </c>
      <c r="B1725" s="1" t="s">
        <v>109</v>
      </c>
      <c r="C1725" s="1" t="s">
        <v>5463</v>
      </c>
      <c r="D1725" s="1" t="s">
        <v>6557</v>
      </c>
      <c r="E1725" s="15" t="s">
        <v>6558</v>
      </c>
      <c r="F1725" s="15" t="s">
        <v>6558</v>
      </c>
      <c r="G1725" s="1" t="s">
        <v>6558</v>
      </c>
      <c r="H1725" s="1" t="str">
        <f>VLOOKUP(G1725,'languoid 4.0'!$A$1:$I$24439,2,FALSE)</f>
        <v>tara1323</v>
      </c>
      <c r="I1725" s="1" t="str">
        <f>VLOOKUP(G1725,'languoid 4.0'!$A$1:$I$24439,6,FALSE)</f>
        <v>language</v>
      </c>
      <c r="J1725" s="15" t="s">
        <v>38</v>
      </c>
      <c r="K1725" s="15" t="s">
        <v>38</v>
      </c>
      <c r="L1725" s="15" t="s">
        <v>38</v>
      </c>
      <c r="M1725" s="1"/>
      <c r="N1725" s="1" t="s">
        <v>6559</v>
      </c>
      <c r="O1725" s="15" t="s">
        <v>40</v>
      </c>
      <c r="P1725" s="15" t="s">
        <v>41</v>
      </c>
      <c r="Q1725" s="1" t="s">
        <v>6568</v>
      </c>
      <c r="R1725" s="2" t="s">
        <v>6569</v>
      </c>
      <c r="S1725" s="1" t="s">
        <v>399</v>
      </c>
      <c r="T1725" s="1" t="s">
        <v>657</v>
      </c>
      <c r="U1725" s="1" t="s">
        <v>636</v>
      </c>
      <c r="V1725" s="1" t="s">
        <v>45</v>
      </c>
      <c r="W1725" s="1"/>
      <c r="X1725" s="1"/>
      <c r="Y1725" s="1"/>
      <c r="Z1725" s="1" t="s">
        <v>887</v>
      </c>
      <c r="AA1725" s="1" t="s">
        <v>6570</v>
      </c>
      <c r="AB1725" s="1" t="s">
        <v>46</v>
      </c>
      <c r="AC1725" s="1" t="s">
        <v>6571</v>
      </c>
      <c r="AD1725" s="1" t="s">
        <v>6572</v>
      </c>
      <c r="AE1725" s="1" t="s">
        <v>641</v>
      </c>
      <c r="AF1725" s="1" t="s">
        <v>190</v>
      </c>
      <c r="AG1725" s="1">
        <v>6</v>
      </c>
      <c r="AH1725" s="1" t="s">
        <v>190</v>
      </c>
      <c r="AI1725" s="1" t="s">
        <v>6573</v>
      </c>
      <c r="AJ1725" s="1" t="s">
        <v>6574</v>
      </c>
      <c r="AK1725" s="1" t="s">
        <v>5472</v>
      </c>
    </row>
    <row r="1726" spans="1:37">
      <c r="A1726" s="1" t="str">
        <f>VLOOKUP(H1726,Languages!$A$2:$B$430,2,FALSE)</f>
        <v>Tarascan</v>
      </c>
      <c r="B1726" s="1" t="s">
        <v>109</v>
      </c>
      <c r="C1726" s="1" t="s">
        <v>5463</v>
      </c>
      <c r="D1726" s="1" t="s">
        <v>6887</v>
      </c>
      <c r="E1726" s="15" t="s">
        <v>6558</v>
      </c>
      <c r="F1726" s="16" t="s">
        <v>6558</v>
      </c>
      <c r="G1726" s="6" t="s">
        <v>6558</v>
      </c>
      <c r="H1726" s="1" t="str">
        <f>VLOOKUP(G1726,'languoid 4.0'!$A$1:$I$24439,2,FALSE)</f>
        <v>tara1323</v>
      </c>
      <c r="I1726" s="1" t="str">
        <f>VLOOKUP(G1726,'languoid 4.0'!$A$1:$I$24439,6,FALSE)</f>
        <v>language</v>
      </c>
      <c r="J1726" s="15" t="s">
        <v>38</v>
      </c>
      <c r="K1726" s="15" t="s">
        <v>38</v>
      </c>
      <c r="L1726" s="15" t="s">
        <v>38</v>
      </c>
      <c r="M1726" s="1"/>
      <c r="N1726" s="1" t="s">
        <v>6559</v>
      </c>
      <c r="O1726" s="15" t="s">
        <v>40</v>
      </c>
      <c r="P1726" s="15" t="s">
        <v>41</v>
      </c>
      <c r="Q1726" s="1" t="s">
        <v>8809</v>
      </c>
      <c r="R1726" s="2" t="s">
        <v>8810</v>
      </c>
      <c r="S1726" s="1" t="s">
        <v>1596</v>
      </c>
      <c r="T1726" s="1" t="s">
        <v>657</v>
      </c>
      <c r="U1726" s="1" t="s">
        <v>636</v>
      </c>
      <c r="V1726" s="1" t="s">
        <v>45</v>
      </c>
      <c r="W1726" s="1"/>
      <c r="X1726" s="1"/>
      <c r="Y1726" s="1"/>
      <c r="Z1726" s="1" t="s">
        <v>823</v>
      </c>
      <c r="AA1726" s="1" t="s">
        <v>8811</v>
      </c>
      <c r="AB1726" s="1" t="s">
        <v>8812</v>
      </c>
      <c r="AC1726" s="1" t="s">
        <v>8813</v>
      </c>
      <c r="AD1726" s="1"/>
      <c r="AE1726" s="1" t="s">
        <v>641</v>
      </c>
      <c r="AF1726" s="1" t="s">
        <v>190</v>
      </c>
      <c r="AG1726" s="1">
        <v>6</v>
      </c>
      <c r="AH1726" s="1" t="s">
        <v>190</v>
      </c>
      <c r="AI1726" s="1" t="s">
        <v>8814</v>
      </c>
      <c r="AJ1726" s="3">
        <v>43382.670162037037</v>
      </c>
      <c r="AK1726" s="1" t="s">
        <v>5472</v>
      </c>
    </row>
    <row r="1727" spans="1:37">
      <c r="A1727" s="1" t="str">
        <f>VLOOKUP(H1727,Languages!$A$2:$B$430,2,FALSE)</f>
        <v>Tarascan</v>
      </c>
      <c r="B1727" s="1" t="s">
        <v>109</v>
      </c>
      <c r="C1727" s="1" t="s">
        <v>5463</v>
      </c>
      <c r="D1727" s="1" t="s">
        <v>6887</v>
      </c>
      <c r="E1727" s="15" t="s">
        <v>6558</v>
      </c>
      <c r="F1727" s="16" t="s">
        <v>6558</v>
      </c>
      <c r="G1727" s="6" t="s">
        <v>6558</v>
      </c>
      <c r="H1727" s="1" t="str">
        <f>VLOOKUP(G1727,'languoid 4.0'!$A$1:$I$24439,2,FALSE)</f>
        <v>tara1323</v>
      </c>
      <c r="I1727" s="1" t="str">
        <f>VLOOKUP(G1727,'languoid 4.0'!$A$1:$I$24439,6,FALSE)</f>
        <v>language</v>
      </c>
      <c r="J1727" s="15" t="s">
        <v>38</v>
      </c>
      <c r="K1727" s="15" t="s">
        <v>38</v>
      </c>
      <c r="L1727" s="15" t="s">
        <v>38</v>
      </c>
      <c r="M1727" s="1"/>
      <c r="N1727" s="1" t="s">
        <v>6559</v>
      </c>
      <c r="O1727" s="15" t="s">
        <v>40</v>
      </c>
      <c r="P1727" s="15" t="s">
        <v>41</v>
      </c>
      <c r="Q1727" s="1" t="s">
        <v>8820</v>
      </c>
      <c r="R1727" s="2" t="s">
        <v>6561</v>
      </c>
      <c r="S1727" s="1" t="s">
        <v>8821</v>
      </c>
      <c r="T1727" s="1" t="s">
        <v>657</v>
      </c>
      <c r="U1727" s="1" t="s">
        <v>636</v>
      </c>
      <c r="V1727" s="1" t="s">
        <v>45</v>
      </c>
      <c r="W1727" s="1"/>
      <c r="X1727" s="1"/>
      <c r="Y1727" s="1"/>
      <c r="Z1727" s="1" t="s">
        <v>887</v>
      </c>
      <c r="AA1727" s="1" t="s">
        <v>8822</v>
      </c>
      <c r="AB1727" s="1" t="s">
        <v>46</v>
      </c>
      <c r="AC1727" s="1" t="s">
        <v>8823</v>
      </c>
      <c r="AD1727" s="1"/>
      <c r="AE1727" s="1" t="s">
        <v>641</v>
      </c>
      <c r="AF1727" s="1" t="s">
        <v>190</v>
      </c>
      <c r="AG1727" s="1">
        <v>6</v>
      </c>
      <c r="AH1727" s="1" t="s">
        <v>190</v>
      </c>
      <c r="AI1727" s="1"/>
      <c r="AJ1727" s="3">
        <v>43382.692476851851</v>
      </c>
      <c r="AK1727" s="1" t="s">
        <v>5472</v>
      </c>
    </row>
    <row r="1728" spans="1:37">
      <c r="A1728" s="1" t="str">
        <f>VLOOKUP(H1728,Languages!$A$2:$B$430,2,FALSE)</f>
        <v>Tarascan</v>
      </c>
      <c r="B1728" s="1" t="s">
        <v>109</v>
      </c>
      <c r="C1728" s="1" t="s">
        <v>5463</v>
      </c>
      <c r="D1728" s="1" t="s">
        <v>6887</v>
      </c>
      <c r="E1728" s="15" t="s">
        <v>6558</v>
      </c>
      <c r="F1728" s="16" t="s">
        <v>6558</v>
      </c>
      <c r="G1728" s="6" t="s">
        <v>6558</v>
      </c>
      <c r="H1728" s="1" t="str">
        <f>VLOOKUP(G1728,'languoid 4.0'!$A$1:$I$24439,2,FALSE)</f>
        <v>tara1323</v>
      </c>
      <c r="I1728" s="1" t="str">
        <f>VLOOKUP(G1728,'languoid 4.0'!$A$1:$I$24439,6,FALSE)</f>
        <v>language</v>
      </c>
      <c r="J1728" s="15" t="s">
        <v>38</v>
      </c>
      <c r="K1728" s="15" t="s">
        <v>38</v>
      </c>
      <c r="L1728" s="15" t="s">
        <v>38</v>
      </c>
      <c r="M1728" s="1"/>
      <c r="N1728" s="1" t="s">
        <v>6559</v>
      </c>
      <c r="O1728" s="15" t="s">
        <v>40</v>
      </c>
      <c r="P1728" s="15" t="s">
        <v>41</v>
      </c>
      <c r="Q1728" s="1" t="s">
        <v>8824</v>
      </c>
      <c r="R1728" s="2" t="s">
        <v>8825</v>
      </c>
      <c r="S1728" s="1" t="s">
        <v>717</v>
      </c>
      <c r="T1728" s="1" t="s">
        <v>657</v>
      </c>
      <c r="U1728" s="1" t="s">
        <v>636</v>
      </c>
      <c r="V1728" s="1" t="s">
        <v>45</v>
      </c>
      <c r="W1728" s="1"/>
      <c r="X1728" s="1"/>
      <c r="Y1728" s="1"/>
      <c r="Z1728" s="1" t="s">
        <v>1893</v>
      </c>
      <c r="AA1728" s="1" t="s">
        <v>8826</v>
      </c>
      <c r="AB1728" s="1" t="s">
        <v>46</v>
      </c>
      <c r="AC1728" s="1" t="s">
        <v>8827</v>
      </c>
      <c r="AD1728" s="1"/>
      <c r="AE1728" s="1" t="s">
        <v>641</v>
      </c>
      <c r="AF1728" s="1" t="s">
        <v>190</v>
      </c>
      <c r="AG1728" s="1">
        <v>6</v>
      </c>
      <c r="AH1728" s="1" t="s">
        <v>190</v>
      </c>
      <c r="AI1728" s="1"/>
      <c r="AJ1728" s="3">
        <v>43382.697581018518</v>
      </c>
      <c r="AK1728" s="1" t="s">
        <v>5472</v>
      </c>
    </row>
    <row r="1729" spans="1:37">
      <c r="A1729" s="1" t="str">
        <f>VLOOKUP(H1729,Languages!$A$2:$B$430,2,FALSE)</f>
        <v>Tarascan</v>
      </c>
      <c r="B1729" s="1" t="s">
        <v>652</v>
      </c>
      <c r="C1729" s="1" t="s">
        <v>5463</v>
      </c>
      <c r="D1729" s="1" t="s">
        <v>8552</v>
      </c>
      <c r="E1729" s="15" t="s">
        <v>6558</v>
      </c>
      <c r="F1729" s="15" t="s">
        <v>6558</v>
      </c>
      <c r="G1729" s="1" t="s">
        <v>6558</v>
      </c>
      <c r="H1729" s="1" t="str">
        <f>VLOOKUP(G1729,'languoid 4.0'!$A$1:$I$24439,2,FALSE)</f>
        <v>tara1323</v>
      </c>
      <c r="I1729" s="1" t="str">
        <f>VLOOKUP(G1729,'languoid 4.0'!$A$1:$I$24439,6,FALSE)</f>
        <v>language</v>
      </c>
      <c r="J1729" s="15" t="s">
        <v>38</v>
      </c>
      <c r="K1729" s="15" t="s">
        <v>38</v>
      </c>
      <c r="L1729" s="15" t="s">
        <v>38</v>
      </c>
      <c r="M1729" s="1"/>
      <c r="N1729" s="1" t="s">
        <v>6559</v>
      </c>
      <c r="O1729" s="15" t="s">
        <v>40</v>
      </c>
      <c r="P1729" s="15" t="s">
        <v>41</v>
      </c>
      <c r="Q1729" s="1" t="s">
        <v>8553</v>
      </c>
      <c r="R1729" s="2" t="s">
        <v>8548</v>
      </c>
      <c r="S1729" s="1" t="s">
        <v>46</v>
      </c>
      <c r="T1729" s="1" t="s">
        <v>754</v>
      </c>
      <c r="U1729" s="1" t="s">
        <v>636</v>
      </c>
      <c r="V1729" s="1" t="s">
        <v>45</v>
      </c>
      <c r="W1729" s="1"/>
      <c r="X1729" s="1"/>
      <c r="Y1729" s="1"/>
      <c r="Z1729" s="1" t="s">
        <v>637</v>
      </c>
      <c r="AA1729" s="1" t="s">
        <v>8549</v>
      </c>
      <c r="AB1729" s="1" t="s">
        <v>8550</v>
      </c>
      <c r="AC1729" s="1" t="s">
        <v>46</v>
      </c>
      <c r="AD1729" s="1" t="s">
        <v>8554</v>
      </c>
      <c r="AE1729" s="1"/>
      <c r="AF1729" s="1"/>
      <c r="AG1729" s="1"/>
      <c r="AH1729" s="1" t="s">
        <v>45</v>
      </c>
      <c r="AI1729" s="1"/>
      <c r="AJ1729" s="3">
        <v>43168.700578703705</v>
      </c>
      <c r="AK1729" s="1" t="s">
        <v>5472</v>
      </c>
    </row>
    <row r="1730" spans="1:37">
      <c r="A1730" s="1" t="str">
        <f>VLOOKUP(H1730,Languages!$A$2:$B$430,2,FALSE)</f>
        <v>Tarascan</v>
      </c>
      <c r="B1730" s="1" t="s">
        <v>652</v>
      </c>
      <c r="C1730" s="1" t="s">
        <v>5463</v>
      </c>
      <c r="D1730" s="1" t="s">
        <v>8552</v>
      </c>
      <c r="E1730" s="15" t="s">
        <v>6558</v>
      </c>
      <c r="F1730" s="15" t="s">
        <v>6558</v>
      </c>
      <c r="G1730" s="1" t="s">
        <v>6558</v>
      </c>
      <c r="H1730" s="1" t="str">
        <f>VLOOKUP(G1730,'languoid 4.0'!$A$1:$I$24439,2,FALSE)</f>
        <v>tara1323</v>
      </c>
      <c r="I1730" s="1" t="str">
        <f>VLOOKUP(G1730,'languoid 4.0'!$A$1:$I$24439,6,FALSE)</f>
        <v>language</v>
      </c>
      <c r="J1730" s="15" t="s">
        <v>38</v>
      </c>
      <c r="K1730" s="15" t="s">
        <v>38</v>
      </c>
      <c r="L1730" s="15" t="s">
        <v>38</v>
      </c>
      <c r="M1730" s="1"/>
      <c r="N1730" s="1" t="s">
        <v>6559</v>
      </c>
      <c r="O1730" s="15" t="s">
        <v>40</v>
      </c>
      <c r="P1730" s="15" t="s">
        <v>41</v>
      </c>
      <c r="Q1730" s="1" t="s">
        <v>8555</v>
      </c>
      <c r="R1730" s="2" t="s">
        <v>8548</v>
      </c>
      <c r="S1730" s="1" t="s">
        <v>46</v>
      </c>
      <c r="T1730" s="1" t="s">
        <v>754</v>
      </c>
      <c r="U1730" s="1" t="s">
        <v>636</v>
      </c>
      <c r="V1730" s="1" t="s">
        <v>45</v>
      </c>
      <c r="W1730" s="1"/>
      <c r="X1730" s="1"/>
      <c r="Y1730" s="1"/>
      <c r="Z1730" s="1" t="s">
        <v>637</v>
      </c>
      <c r="AA1730" s="1" t="s">
        <v>8549</v>
      </c>
      <c r="AB1730" s="1" t="s">
        <v>8550</v>
      </c>
      <c r="AC1730" s="1" t="s">
        <v>46</v>
      </c>
      <c r="AD1730" s="1" t="s">
        <v>8554</v>
      </c>
      <c r="AE1730" s="1"/>
      <c r="AF1730" s="1"/>
      <c r="AG1730" s="1"/>
      <c r="AH1730" s="1" t="s">
        <v>45</v>
      </c>
      <c r="AI1730" s="1"/>
      <c r="AJ1730" s="3">
        <v>43168.7033912037</v>
      </c>
      <c r="AK1730" s="1" t="s">
        <v>5472</v>
      </c>
    </row>
    <row r="1731" spans="1:37">
      <c r="A1731" s="1" t="str">
        <f>VLOOKUP(H1731,Languages!$A$2:$B$430,2,FALSE)</f>
        <v>Tarascan</v>
      </c>
      <c r="B1731" s="1" t="s">
        <v>1750</v>
      </c>
      <c r="C1731" s="1" t="s">
        <v>5463</v>
      </c>
      <c r="D1731" s="1" t="s">
        <v>6557</v>
      </c>
      <c r="E1731" s="15" t="s">
        <v>6558</v>
      </c>
      <c r="F1731" s="15" t="s">
        <v>6558</v>
      </c>
      <c r="G1731" s="1" t="s">
        <v>6558</v>
      </c>
      <c r="H1731" s="1" t="str">
        <f>VLOOKUP(G1731,'languoid 4.0'!$A$1:$I$24439,2,FALSE)</f>
        <v>tara1323</v>
      </c>
      <c r="I1731" s="1" t="str">
        <f>VLOOKUP(G1731,'languoid 4.0'!$A$1:$I$24439,6,FALSE)</f>
        <v>language</v>
      </c>
      <c r="J1731" s="15" t="s">
        <v>38</v>
      </c>
      <c r="K1731" s="15" t="s">
        <v>38</v>
      </c>
      <c r="L1731" s="15" t="s">
        <v>38</v>
      </c>
      <c r="M1731" s="1"/>
      <c r="N1731" s="1" t="s">
        <v>6559</v>
      </c>
      <c r="O1731" s="15" t="s">
        <v>40</v>
      </c>
      <c r="P1731" s="15" t="s">
        <v>41</v>
      </c>
      <c r="Q1731" s="1" t="s">
        <v>6575</v>
      </c>
      <c r="R1731" s="2" t="s">
        <v>6576</v>
      </c>
      <c r="S1731" s="1" t="s">
        <v>4821</v>
      </c>
      <c r="T1731" s="1" t="s">
        <v>657</v>
      </c>
      <c r="U1731" s="1" t="s">
        <v>636</v>
      </c>
      <c r="V1731" s="1" t="s">
        <v>45</v>
      </c>
      <c r="W1731" s="1"/>
      <c r="X1731" s="1"/>
      <c r="Y1731" s="1"/>
      <c r="Z1731" s="1" t="s">
        <v>1893</v>
      </c>
      <c r="AA1731" s="1" t="s">
        <v>6577</v>
      </c>
      <c r="AB1731" s="1" t="s">
        <v>46</v>
      </c>
      <c r="AC1731" s="1" t="s">
        <v>6578</v>
      </c>
      <c r="AD1731" s="1" t="s">
        <v>6572</v>
      </c>
      <c r="AE1731" s="1" t="s">
        <v>641</v>
      </c>
      <c r="AF1731" s="1" t="s">
        <v>190</v>
      </c>
      <c r="AG1731" s="1">
        <v>6</v>
      </c>
      <c r="AH1731" s="1" t="s">
        <v>190</v>
      </c>
      <c r="AI1731" s="1" t="s">
        <v>6579</v>
      </c>
      <c r="AJ1731" s="1" t="s">
        <v>6580</v>
      </c>
      <c r="AK1731" s="1" t="s">
        <v>5472</v>
      </c>
    </row>
    <row r="1732" spans="1:37">
      <c r="A1732" s="1" t="str">
        <f>VLOOKUP(H1732,Languages!$A$2:$B$430,2,FALSE)</f>
        <v>Tarascan</v>
      </c>
      <c r="B1732" s="1" t="s">
        <v>1750</v>
      </c>
      <c r="C1732" s="1" t="s">
        <v>5463</v>
      </c>
      <c r="D1732" s="1" t="s">
        <v>6887</v>
      </c>
      <c r="E1732" s="15" t="s">
        <v>6558</v>
      </c>
      <c r="F1732" s="16" t="s">
        <v>6558</v>
      </c>
      <c r="G1732" s="6" t="s">
        <v>6558</v>
      </c>
      <c r="H1732" s="1" t="str">
        <f>VLOOKUP(G1732,'languoid 4.0'!$A$1:$I$24439,2,FALSE)</f>
        <v>tara1323</v>
      </c>
      <c r="I1732" s="1" t="str">
        <f>VLOOKUP(G1732,'languoid 4.0'!$A$1:$I$24439,6,FALSE)</f>
        <v>language</v>
      </c>
      <c r="J1732" s="15" t="s">
        <v>38</v>
      </c>
      <c r="K1732" s="15" t="s">
        <v>38</v>
      </c>
      <c r="L1732" s="15" t="s">
        <v>38</v>
      </c>
      <c r="M1732" s="1"/>
      <c r="N1732" s="1" t="s">
        <v>6559</v>
      </c>
      <c r="O1732" s="15" t="s">
        <v>40</v>
      </c>
      <c r="P1732" s="15" t="s">
        <v>41</v>
      </c>
      <c r="Q1732" s="1" t="s">
        <v>8806</v>
      </c>
      <c r="R1732" s="2" t="s">
        <v>8807</v>
      </c>
      <c r="S1732" s="1" t="s">
        <v>647</v>
      </c>
      <c r="T1732" s="1" t="s">
        <v>657</v>
      </c>
      <c r="U1732" s="1" t="s">
        <v>636</v>
      </c>
      <c r="V1732" s="1" t="s">
        <v>45</v>
      </c>
      <c r="W1732" s="1"/>
      <c r="X1732" s="1"/>
      <c r="Y1732" s="1"/>
      <c r="Z1732" s="1" t="s">
        <v>658</v>
      </c>
      <c r="AA1732" s="1" t="s">
        <v>8808</v>
      </c>
      <c r="AB1732" s="1" t="s">
        <v>46</v>
      </c>
      <c r="AC1732" s="1" t="s">
        <v>46</v>
      </c>
      <c r="AD1732" s="1"/>
      <c r="AE1732" s="1" t="s">
        <v>641</v>
      </c>
      <c r="AF1732" s="1" t="s">
        <v>45</v>
      </c>
      <c r="AG1732" s="1">
        <v>1</v>
      </c>
      <c r="AH1732" s="1" t="s">
        <v>190</v>
      </c>
      <c r="AI1732" s="1"/>
      <c r="AJ1732" s="3">
        <v>43352.732997685183</v>
      </c>
      <c r="AK1732" s="1" t="s">
        <v>5472</v>
      </c>
    </row>
    <row r="1733" spans="1:37">
      <c r="A1733" s="1" t="str">
        <f>VLOOKUP(H1733,Languages!$A$2:$B$430,2,FALSE)</f>
        <v>Tarascan</v>
      </c>
      <c r="B1733" s="1" t="s">
        <v>1750</v>
      </c>
      <c r="C1733" s="1" t="s">
        <v>5463</v>
      </c>
      <c r="D1733" s="1" t="s">
        <v>6887</v>
      </c>
      <c r="E1733" s="15" t="s">
        <v>6558</v>
      </c>
      <c r="F1733" s="16" t="s">
        <v>6558</v>
      </c>
      <c r="G1733" s="6" t="s">
        <v>6558</v>
      </c>
      <c r="H1733" s="1" t="str">
        <f>VLOOKUP(G1733,'languoid 4.0'!$A$1:$I$24439,2,FALSE)</f>
        <v>tara1323</v>
      </c>
      <c r="I1733" s="1" t="str">
        <f>VLOOKUP(G1733,'languoid 4.0'!$A$1:$I$24439,6,FALSE)</f>
        <v>language</v>
      </c>
      <c r="J1733" s="15" t="s">
        <v>38</v>
      </c>
      <c r="K1733" s="15" t="s">
        <v>38</v>
      </c>
      <c r="L1733" s="15" t="s">
        <v>38</v>
      </c>
      <c r="M1733" s="1"/>
      <c r="N1733" s="1" t="s">
        <v>6559</v>
      </c>
      <c r="O1733" s="15" t="s">
        <v>40</v>
      </c>
      <c r="P1733" s="15" t="s">
        <v>41</v>
      </c>
      <c r="Q1733" s="1" t="s">
        <v>8815</v>
      </c>
      <c r="R1733" s="2" t="s">
        <v>6561</v>
      </c>
      <c r="S1733" s="1" t="s">
        <v>8816</v>
      </c>
      <c r="T1733" s="1" t="s">
        <v>657</v>
      </c>
      <c r="U1733" s="1" t="s">
        <v>636</v>
      </c>
      <c r="V1733" s="1" t="s">
        <v>45</v>
      </c>
      <c r="W1733" s="1"/>
      <c r="X1733" s="1"/>
      <c r="Y1733" s="1"/>
      <c r="Z1733" s="1" t="s">
        <v>1893</v>
      </c>
      <c r="AA1733" s="1" t="s">
        <v>8817</v>
      </c>
      <c r="AB1733" s="1" t="s">
        <v>46</v>
      </c>
      <c r="AC1733" s="1" t="s">
        <v>8818</v>
      </c>
      <c r="AD1733" s="1"/>
      <c r="AE1733" s="1"/>
      <c r="AF1733" s="1"/>
      <c r="AG1733" s="1"/>
      <c r="AH1733" s="1" t="s">
        <v>45</v>
      </c>
      <c r="AI1733" s="1" t="s">
        <v>8819</v>
      </c>
      <c r="AJ1733" s="3">
        <v>43382.680636574078</v>
      </c>
      <c r="AK1733" s="1" t="s">
        <v>5472</v>
      </c>
    </row>
    <row r="1734" spans="1:37">
      <c r="A1734" s="1" t="str">
        <f>VLOOKUP(H1734,Languages!$A$2:$B$430,2,FALSE)</f>
        <v>Tarascan</v>
      </c>
      <c r="B1734" s="1" t="s">
        <v>1750</v>
      </c>
      <c r="C1734" s="1" t="s">
        <v>5463</v>
      </c>
      <c r="D1734" s="1" t="s">
        <v>6887</v>
      </c>
      <c r="E1734" s="15" t="s">
        <v>6558</v>
      </c>
      <c r="F1734" s="16" t="s">
        <v>6558</v>
      </c>
      <c r="G1734" s="6" t="s">
        <v>6558</v>
      </c>
      <c r="H1734" s="1" t="str">
        <f>VLOOKUP(G1734,'languoid 4.0'!$A$1:$I$24439,2,FALSE)</f>
        <v>tara1323</v>
      </c>
      <c r="I1734" s="1" t="str">
        <f>VLOOKUP(G1734,'languoid 4.0'!$A$1:$I$24439,6,FALSE)</f>
        <v>language</v>
      </c>
      <c r="J1734" s="15" t="s">
        <v>38</v>
      </c>
      <c r="K1734" s="15" t="s">
        <v>38</v>
      </c>
      <c r="L1734" s="15" t="s">
        <v>38</v>
      </c>
      <c r="M1734" s="1"/>
      <c r="N1734" s="1" t="s">
        <v>6559</v>
      </c>
      <c r="O1734" s="15" t="s">
        <v>40</v>
      </c>
      <c r="P1734" s="15" t="s">
        <v>41</v>
      </c>
      <c r="Q1734" s="1" t="s">
        <v>8837</v>
      </c>
      <c r="R1734" s="2" t="s">
        <v>8838</v>
      </c>
      <c r="S1734" s="1" t="s">
        <v>724</v>
      </c>
      <c r="T1734" s="1" t="s">
        <v>657</v>
      </c>
      <c r="U1734" s="1" t="s">
        <v>636</v>
      </c>
      <c r="V1734" s="1" t="s">
        <v>45</v>
      </c>
      <c r="W1734" s="1"/>
      <c r="X1734" s="1"/>
      <c r="Y1734" s="1"/>
      <c r="Z1734" s="1" t="s">
        <v>673</v>
      </c>
      <c r="AA1734" s="1" t="s">
        <v>8839</v>
      </c>
      <c r="AB1734" s="1" t="s">
        <v>8840</v>
      </c>
      <c r="AC1734" s="1" t="s">
        <v>46</v>
      </c>
      <c r="AD1734" s="1"/>
      <c r="AE1734" s="1" t="s">
        <v>641</v>
      </c>
      <c r="AF1734" s="1" t="s">
        <v>190</v>
      </c>
      <c r="AG1734" s="1">
        <v>5</v>
      </c>
      <c r="AH1734" s="1" t="s">
        <v>190</v>
      </c>
      <c r="AI1734" s="1"/>
      <c r="AJ1734" s="3">
        <v>43382.73096064815</v>
      </c>
      <c r="AK1734" s="1" t="s">
        <v>5472</v>
      </c>
    </row>
    <row r="1735" spans="1:37">
      <c r="A1735" s="1" t="str">
        <f>VLOOKUP(H1735,Languages!$A$2:$B$430,2,FALSE)</f>
        <v>Tarascan</v>
      </c>
      <c r="B1735" s="1" t="s">
        <v>1750</v>
      </c>
      <c r="C1735" s="1" t="s">
        <v>5463</v>
      </c>
      <c r="D1735" s="1" t="s">
        <v>6887</v>
      </c>
      <c r="E1735" s="15" t="s">
        <v>6558</v>
      </c>
      <c r="F1735" s="15" t="s">
        <v>6558</v>
      </c>
      <c r="G1735" s="1" t="s">
        <v>6558</v>
      </c>
      <c r="H1735" s="1" t="str">
        <f>VLOOKUP(G1735,'languoid 4.0'!$A$1:$I$24439,2,FALSE)</f>
        <v>tara1323</v>
      </c>
      <c r="I1735" s="1" t="str">
        <f>VLOOKUP(G1735,'languoid 4.0'!$A$1:$I$24439,6,FALSE)</f>
        <v>language</v>
      </c>
      <c r="J1735" s="15" t="s">
        <v>38</v>
      </c>
      <c r="K1735" s="15" t="s">
        <v>38</v>
      </c>
      <c r="L1735" s="15" t="s">
        <v>38</v>
      </c>
      <c r="M1735" s="1"/>
      <c r="N1735" s="1" t="s">
        <v>6559</v>
      </c>
      <c r="O1735" s="15" t="s">
        <v>40</v>
      </c>
      <c r="P1735" s="15" t="s">
        <v>41</v>
      </c>
      <c r="Q1735" s="1" t="s">
        <v>9526</v>
      </c>
      <c r="R1735" s="2" t="s">
        <v>9527</v>
      </c>
      <c r="S1735" s="1" t="s">
        <v>46</v>
      </c>
      <c r="T1735" s="1" t="s">
        <v>822</v>
      </c>
      <c r="U1735" s="1" t="s">
        <v>636</v>
      </c>
      <c r="V1735" s="1" t="s">
        <v>45</v>
      </c>
      <c r="W1735" s="1"/>
      <c r="X1735" s="1"/>
      <c r="Y1735" s="1"/>
      <c r="Z1735" s="1" t="s">
        <v>658</v>
      </c>
      <c r="AA1735" s="1" t="s">
        <v>9528</v>
      </c>
      <c r="AB1735" s="1" t="s">
        <v>46</v>
      </c>
      <c r="AC1735" s="1" t="s">
        <v>46</v>
      </c>
      <c r="AD1735" s="1" t="s">
        <v>9529</v>
      </c>
      <c r="AE1735" s="1"/>
      <c r="AF1735" s="1"/>
      <c r="AG1735" s="1"/>
      <c r="AH1735" s="1" t="s">
        <v>45</v>
      </c>
      <c r="AI1735" s="1" t="s">
        <v>9530</v>
      </c>
      <c r="AJ1735" s="3">
        <v>43291.722280092596</v>
      </c>
      <c r="AK1735" s="1" t="s">
        <v>5472</v>
      </c>
    </row>
    <row r="1736" spans="1:37">
      <c r="A1736" s="1" t="str">
        <f>VLOOKUP(H1736,Languages!$A$2:$B$430,2,FALSE)</f>
        <v>Tarascan</v>
      </c>
      <c r="B1736" s="1" t="s">
        <v>1738</v>
      </c>
      <c r="C1736" s="1" t="s">
        <v>5463</v>
      </c>
      <c r="D1736" s="1" t="s">
        <v>6887</v>
      </c>
      <c r="E1736" s="15" t="s">
        <v>6558</v>
      </c>
      <c r="F1736" s="16" t="s">
        <v>6558</v>
      </c>
      <c r="G1736" s="6" t="s">
        <v>6558</v>
      </c>
      <c r="H1736" s="1" t="str">
        <f>VLOOKUP(G1736,'languoid 4.0'!$A$1:$I$24439,2,FALSE)</f>
        <v>tara1323</v>
      </c>
      <c r="I1736" s="1" t="str">
        <f>VLOOKUP(G1736,'languoid 4.0'!$A$1:$I$24439,6,FALSE)</f>
        <v>language</v>
      </c>
      <c r="J1736" s="15" t="s">
        <v>38</v>
      </c>
      <c r="K1736" s="15" t="s">
        <v>38</v>
      </c>
      <c r="L1736" s="15" t="s">
        <v>38</v>
      </c>
      <c r="M1736" s="1"/>
      <c r="N1736" s="1" t="s">
        <v>6559</v>
      </c>
      <c r="O1736" s="15" t="s">
        <v>40</v>
      </c>
      <c r="P1736" s="15" t="s">
        <v>41</v>
      </c>
      <c r="Q1736" s="1" t="s">
        <v>8828</v>
      </c>
      <c r="R1736" s="2" t="s">
        <v>8829</v>
      </c>
      <c r="S1736" s="1" t="s">
        <v>4323</v>
      </c>
      <c r="T1736" s="1" t="s">
        <v>657</v>
      </c>
      <c r="U1736" s="1" t="s">
        <v>8830</v>
      </c>
      <c r="V1736" s="1" t="s">
        <v>45</v>
      </c>
      <c r="W1736" s="1"/>
      <c r="X1736" s="1"/>
      <c r="Y1736" s="1"/>
      <c r="Z1736" s="1" t="s">
        <v>637</v>
      </c>
      <c r="AA1736" s="1" t="s">
        <v>8831</v>
      </c>
      <c r="AB1736" s="1" t="s">
        <v>8832</v>
      </c>
      <c r="AC1736" s="1" t="s">
        <v>46</v>
      </c>
      <c r="AD1736" s="1"/>
      <c r="AE1736" s="1" t="s">
        <v>641</v>
      </c>
      <c r="AF1736" s="1" t="s">
        <v>190</v>
      </c>
      <c r="AG1736" s="1">
        <v>1</v>
      </c>
      <c r="AH1736" s="1" t="s">
        <v>190</v>
      </c>
      <c r="AI1736" s="1"/>
      <c r="AJ1736" s="3">
        <v>43382.719421296293</v>
      </c>
      <c r="AK1736" s="1" t="s">
        <v>5472</v>
      </c>
    </row>
    <row r="1737" spans="1:37">
      <c r="A1737" s="1" t="str">
        <f>VLOOKUP(H1737,Languages!$A$2:$B$430,2,FALSE)</f>
        <v>Tarascan</v>
      </c>
      <c r="B1737" s="1" t="s">
        <v>1738</v>
      </c>
      <c r="C1737" s="1" t="s">
        <v>5463</v>
      </c>
      <c r="D1737" s="1" t="s">
        <v>6887</v>
      </c>
      <c r="E1737" s="15" t="s">
        <v>6558</v>
      </c>
      <c r="F1737" s="16" t="s">
        <v>6558</v>
      </c>
      <c r="G1737" s="6" t="s">
        <v>6558</v>
      </c>
      <c r="H1737" s="1" t="str">
        <f>VLOOKUP(G1737,'languoid 4.0'!$A$1:$I$24439,2,FALSE)</f>
        <v>tara1323</v>
      </c>
      <c r="I1737" s="1" t="str">
        <f>VLOOKUP(G1737,'languoid 4.0'!$A$1:$I$24439,6,FALSE)</f>
        <v>language</v>
      </c>
      <c r="J1737" s="15" t="s">
        <v>38</v>
      </c>
      <c r="K1737" s="15" t="s">
        <v>38</v>
      </c>
      <c r="L1737" s="15" t="s">
        <v>38</v>
      </c>
      <c r="M1737" s="1"/>
      <c r="N1737" s="1" t="s">
        <v>6559</v>
      </c>
      <c r="O1737" s="15" t="s">
        <v>40</v>
      </c>
      <c r="P1737" s="15" t="s">
        <v>41</v>
      </c>
      <c r="Q1737" s="1" t="s">
        <v>8833</v>
      </c>
      <c r="R1737" s="2" t="s">
        <v>8834</v>
      </c>
      <c r="S1737" s="1" t="s">
        <v>579</v>
      </c>
      <c r="T1737" s="1" t="s">
        <v>657</v>
      </c>
      <c r="U1737" s="1" t="s">
        <v>8830</v>
      </c>
      <c r="V1737" s="1" t="s">
        <v>45</v>
      </c>
      <c r="W1737" s="1"/>
      <c r="X1737" s="1"/>
      <c r="Y1737" s="1"/>
      <c r="Z1737" s="1" t="s">
        <v>637</v>
      </c>
      <c r="AA1737" s="1" t="s">
        <v>8835</v>
      </c>
      <c r="AB1737" s="1" t="s">
        <v>8836</v>
      </c>
      <c r="AC1737" s="1" t="s">
        <v>46</v>
      </c>
      <c r="AD1737" s="1"/>
      <c r="AE1737" s="1" t="s">
        <v>641</v>
      </c>
      <c r="AF1737" s="1" t="s">
        <v>45</v>
      </c>
      <c r="AG1737" s="1">
        <v>1</v>
      </c>
      <c r="AH1737" s="1" t="s">
        <v>190</v>
      </c>
      <c r="AI1737" s="1"/>
      <c r="AJ1737" s="3">
        <v>43382.724074074074</v>
      </c>
      <c r="AK1737" s="1" t="s">
        <v>5472</v>
      </c>
    </row>
    <row r="1738" spans="1:37">
      <c r="A1738" s="1" t="str">
        <f>VLOOKUP(H1738,Languages!$A$2:$B$430,2,FALSE)</f>
        <v>Tarascan</v>
      </c>
      <c r="B1738" s="1" t="s">
        <v>1812</v>
      </c>
      <c r="C1738" s="1" t="s">
        <v>5463</v>
      </c>
      <c r="D1738" s="1" t="s">
        <v>6887</v>
      </c>
      <c r="E1738" s="15" t="s">
        <v>6558</v>
      </c>
      <c r="F1738" s="15" t="s">
        <v>6558</v>
      </c>
      <c r="G1738" s="1" t="s">
        <v>6558</v>
      </c>
      <c r="H1738" s="1" t="str">
        <f>VLOOKUP(G1738,'languoid 4.0'!$A$1:$I$24439,2,FALSE)</f>
        <v>tara1323</v>
      </c>
      <c r="I1738" s="1" t="str">
        <f>VLOOKUP(G1738,'languoid 4.0'!$A$1:$I$24439,6,FALSE)</f>
        <v>language</v>
      </c>
      <c r="J1738" s="15" t="s">
        <v>38</v>
      </c>
      <c r="K1738" s="15" t="s">
        <v>38</v>
      </c>
      <c r="L1738" s="15" t="s">
        <v>38</v>
      </c>
      <c r="M1738" s="1"/>
      <c r="N1738" s="1" t="s">
        <v>6559</v>
      </c>
      <c r="O1738" s="15" t="s">
        <v>40</v>
      </c>
      <c r="P1738" s="15" t="s">
        <v>41</v>
      </c>
      <c r="Q1738" s="1" t="s">
        <v>9538</v>
      </c>
      <c r="R1738" s="2" t="s">
        <v>9539</v>
      </c>
      <c r="S1738" s="1" t="s">
        <v>46</v>
      </c>
      <c r="T1738" s="1" t="s">
        <v>822</v>
      </c>
      <c r="U1738" s="1" t="s">
        <v>636</v>
      </c>
      <c r="V1738" s="1" t="s">
        <v>45</v>
      </c>
      <c r="W1738" s="1"/>
      <c r="X1738" s="1"/>
      <c r="Y1738" s="1"/>
      <c r="Z1738" s="1" t="s">
        <v>658</v>
      </c>
      <c r="AA1738" s="1" t="s">
        <v>9540</v>
      </c>
      <c r="AB1738" s="1" t="s">
        <v>46</v>
      </c>
      <c r="AC1738" s="1" t="s">
        <v>46</v>
      </c>
      <c r="AD1738" s="1" t="s">
        <v>9541</v>
      </c>
      <c r="AE1738" s="1"/>
      <c r="AF1738" s="1"/>
      <c r="AG1738" s="1"/>
      <c r="AH1738" s="1" t="s">
        <v>45</v>
      </c>
      <c r="AI1738" s="1"/>
      <c r="AJ1738" s="3">
        <v>43291.728645833333</v>
      </c>
      <c r="AK1738" s="1" t="s">
        <v>5472</v>
      </c>
    </row>
    <row r="1739" spans="1:37">
      <c r="A1739" s="1" t="str">
        <f>VLOOKUP(H1739,Languages!$A$2:$B$430,2,FALSE)</f>
        <v>Tarascan</v>
      </c>
      <c r="B1739" s="1" t="s">
        <v>1812</v>
      </c>
      <c r="C1739" s="1" t="s">
        <v>5463</v>
      </c>
      <c r="D1739" s="1" t="s">
        <v>6887</v>
      </c>
      <c r="E1739" s="15" t="s">
        <v>6558</v>
      </c>
      <c r="F1739" s="15" t="s">
        <v>6558</v>
      </c>
      <c r="G1739" s="1" t="s">
        <v>6558</v>
      </c>
      <c r="H1739" s="1" t="str">
        <f>VLOOKUP(G1739,'languoid 4.0'!$A$1:$I$24439,2,FALSE)</f>
        <v>tara1323</v>
      </c>
      <c r="I1739" s="1" t="str">
        <f>VLOOKUP(G1739,'languoid 4.0'!$A$1:$I$24439,6,FALSE)</f>
        <v>language</v>
      </c>
      <c r="J1739" s="15" t="s">
        <v>38</v>
      </c>
      <c r="K1739" s="15" t="s">
        <v>38</v>
      </c>
      <c r="L1739" s="15" t="s">
        <v>38</v>
      </c>
      <c r="M1739" s="1"/>
      <c r="N1739" s="1" t="s">
        <v>6559</v>
      </c>
      <c r="O1739" s="15" t="s">
        <v>40</v>
      </c>
      <c r="P1739" s="15" t="s">
        <v>41</v>
      </c>
      <c r="Q1739" s="1" t="s">
        <v>9546</v>
      </c>
      <c r="R1739" s="2" t="s">
        <v>9547</v>
      </c>
      <c r="S1739" s="1" t="s">
        <v>46</v>
      </c>
      <c r="T1739" s="1" t="s">
        <v>822</v>
      </c>
      <c r="U1739" s="1" t="s">
        <v>636</v>
      </c>
      <c r="V1739" s="1" t="s">
        <v>45</v>
      </c>
      <c r="W1739" s="1"/>
      <c r="X1739" s="1"/>
      <c r="Y1739" s="1"/>
      <c r="Z1739" s="1" t="s">
        <v>658</v>
      </c>
      <c r="AA1739" s="1" t="s">
        <v>9540</v>
      </c>
      <c r="AB1739" s="1" t="s">
        <v>46</v>
      </c>
      <c r="AC1739" s="1" t="s">
        <v>46</v>
      </c>
      <c r="AD1739" s="1" t="s">
        <v>9548</v>
      </c>
      <c r="AE1739" s="1"/>
      <c r="AF1739" s="1"/>
      <c r="AG1739" s="1"/>
      <c r="AH1739" s="1" t="s">
        <v>45</v>
      </c>
      <c r="AI1739" s="1" t="s">
        <v>9549</v>
      </c>
      <c r="AJ1739" s="3">
        <v>43291.732905092591</v>
      </c>
      <c r="AK1739" s="1" t="s">
        <v>5472</v>
      </c>
    </row>
    <row r="1740" spans="1:37">
      <c r="A1740" s="1" t="str">
        <f>VLOOKUP(H1740,Languages!$A$2:$B$430,2,FALSE)</f>
        <v>Tarascan</v>
      </c>
      <c r="B1740" s="1" t="s">
        <v>1707</v>
      </c>
      <c r="C1740" s="1" t="s">
        <v>5463</v>
      </c>
      <c r="D1740" s="1" t="s">
        <v>8203</v>
      </c>
      <c r="E1740" s="15" t="s">
        <v>6558</v>
      </c>
      <c r="F1740" s="15" t="s">
        <v>6558</v>
      </c>
      <c r="G1740" s="1" t="s">
        <v>6558</v>
      </c>
      <c r="H1740" s="1" t="str">
        <f>VLOOKUP(G1740,'languoid 4.0'!$A$1:$I$24439,2,FALSE)</f>
        <v>tara1323</v>
      </c>
      <c r="I1740" s="1" t="str">
        <f>VLOOKUP(G1740,'languoid 4.0'!$A$1:$I$24439,6,FALSE)</f>
        <v>language</v>
      </c>
      <c r="J1740" s="15" t="s">
        <v>38</v>
      </c>
      <c r="K1740" s="15" t="s">
        <v>38</v>
      </c>
      <c r="L1740" s="15" t="s">
        <v>38</v>
      </c>
      <c r="M1740" s="1"/>
      <c r="N1740" s="1" t="s">
        <v>6559</v>
      </c>
      <c r="O1740" s="15" t="s">
        <v>40</v>
      </c>
      <c r="P1740" s="15" t="s">
        <v>41</v>
      </c>
      <c r="Q1740" s="1" t="s">
        <v>8204</v>
      </c>
      <c r="R1740" s="2" t="s">
        <v>7552</v>
      </c>
      <c r="S1740" s="1" t="s">
        <v>557</v>
      </c>
      <c r="T1740" s="1" t="s">
        <v>754</v>
      </c>
      <c r="U1740" s="1" t="s">
        <v>636</v>
      </c>
      <c r="V1740" s="1" t="s">
        <v>45</v>
      </c>
      <c r="W1740" s="1"/>
      <c r="X1740" s="1"/>
      <c r="Y1740" s="1"/>
      <c r="Z1740" s="1" t="s">
        <v>658</v>
      </c>
      <c r="AA1740" s="1" t="s">
        <v>8205</v>
      </c>
      <c r="AB1740" s="1" t="s">
        <v>46</v>
      </c>
      <c r="AC1740" s="1" t="s">
        <v>46</v>
      </c>
      <c r="AD1740" s="1" t="s">
        <v>8206</v>
      </c>
      <c r="AE1740" s="1" t="s">
        <v>641</v>
      </c>
      <c r="AF1740" s="1" t="s">
        <v>45</v>
      </c>
      <c r="AG1740" s="1">
        <v>1</v>
      </c>
      <c r="AH1740" s="1" t="s">
        <v>190</v>
      </c>
      <c r="AI1740" s="1" t="s">
        <v>8207</v>
      </c>
      <c r="AJ1740" s="1" t="s">
        <v>8208</v>
      </c>
      <c r="AK1740" s="1" t="s">
        <v>5472</v>
      </c>
    </row>
    <row r="1741" spans="1:37">
      <c r="A1741" s="1" t="str">
        <f>VLOOKUP(H1741,Languages!$A$2:$B$430,2,FALSE)</f>
        <v>Totonacan</v>
      </c>
      <c r="B1741" s="1" t="s">
        <v>1726</v>
      </c>
      <c r="C1741" s="1" t="s">
        <v>5463</v>
      </c>
      <c r="D1741" s="1" t="s">
        <v>6041</v>
      </c>
      <c r="E1741" s="15" t="s">
        <v>6042</v>
      </c>
      <c r="F1741" s="15" t="s">
        <v>6042</v>
      </c>
      <c r="G1741" s="1" t="s">
        <v>6042</v>
      </c>
      <c r="H1741" s="1" t="str">
        <f>VLOOKUP(G1741,'languoid 4.0'!$A$1:$I$24439,2,FALSE)</f>
        <v>toto1251</v>
      </c>
      <c r="I1741" s="1" t="str">
        <f>VLOOKUP(G1741,'languoid 4.0'!$A$1:$I$24439,6,FALSE)</f>
        <v>language</v>
      </c>
      <c r="J1741" s="15" t="s">
        <v>38</v>
      </c>
      <c r="K1741" s="15" t="s">
        <v>38</v>
      </c>
      <c r="L1741" s="15" t="s">
        <v>38</v>
      </c>
      <c r="M1741" s="1"/>
      <c r="N1741" s="1" t="s">
        <v>6043</v>
      </c>
      <c r="O1741" s="15" t="s">
        <v>40</v>
      </c>
      <c r="P1741" s="15" t="s">
        <v>41</v>
      </c>
      <c r="Q1741" s="1" t="s">
        <v>6044</v>
      </c>
      <c r="R1741" s="2" t="s">
        <v>6045</v>
      </c>
      <c r="S1741" s="1" t="s">
        <v>46</v>
      </c>
      <c r="T1741" s="1" t="s">
        <v>635</v>
      </c>
      <c r="U1741" s="1" t="s">
        <v>1738</v>
      </c>
      <c r="V1741" s="1" t="s">
        <v>45</v>
      </c>
      <c r="W1741" s="1"/>
      <c r="X1741" s="1"/>
      <c r="Y1741" s="1"/>
      <c r="Z1741" s="1" t="s">
        <v>658</v>
      </c>
      <c r="AA1741" s="1" t="s">
        <v>6046</v>
      </c>
      <c r="AB1741" s="1" t="s">
        <v>46</v>
      </c>
      <c r="AC1741" s="1" t="s">
        <v>46</v>
      </c>
      <c r="AD1741" s="1"/>
      <c r="AE1741" s="1" t="s">
        <v>641</v>
      </c>
      <c r="AF1741" s="1" t="s">
        <v>190</v>
      </c>
      <c r="AG1741" s="1">
        <v>2</v>
      </c>
      <c r="AH1741" s="1" t="s">
        <v>190</v>
      </c>
      <c r="AI1741" s="1"/>
      <c r="AJ1741" s="3">
        <v>43107.639722222222</v>
      </c>
      <c r="AK1741" s="1" t="s">
        <v>5472</v>
      </c>
    </row>
    <row r="1742" spans="1:37">
      <c r="A1742" s="1" t="str">
        <f>VLOOKUP(H1742,Languages!$A$2:$B$430,2,FALSE)</f>
        <v>Totonacan</v>
      </c>
      <c r="B1742" s="1" t="s">
        <v>1726</v>
      </c>
      <c r="C1742" s="1" t="s">
        <v>5463</v>
      </c>
      <c r="D1742" s="1" t="s">
        <v>6041</v>
      </c>
      <c r="E1742" s="15" t="s">
        <v>6042</v>
      </c>
      <c r="F1742" s="15" t="s">
        <v>6042</v>
      </c>
      <c r="G1742" s="1" t="s">
        <v>6042</v>
      </c>
      <c r="H1742" s="1" t="str">
        <f>VLOOKUP(G1742,'languoid 4.0'!$A$1:$I$24439,2,FALSE)</f>
        <v>toto1251</v>
      </c>
      <c r="I1742" s="1" t="str">
        <f>VLOOKUP(G1742,'languoid 4.0'!$A$1:$I$24439,6,FALSE)</f>
        <v>language</v>
      </c>
      <c r="J1742" s="15" t="s">
        <v>38</v>
      </c>
      <c r="K1742" s="15" t="s">
        <v>38</v>
      </c>
      <c r="L1742" s="15" t="s">
        <v>38</v>
      </c>
      <c r="M1742" s="1"/>
      <c r="N1742" s="1" t="s">
        <v>6043</v>
      </c>
      <c r="O1742" s="15" t="s">
        <v>40</v>
      </c>
      <c r="P1742" s="15" t="s">
        <v>41</v>
      </c>
      <c r="Q1742" s="1" t="s">
        <v>6105</v>
      </c>
      <c r="R1742" s="2" t="s">
        <v>6045</v>
      </c>
      <c r="S1742" s="1" t="s">
        <v>46</v>
      </c>
      <c r="T1742" s="1" t="s">
        <v>635</v>
      </c>
      <c r="U1742" s="1" t="s">
        <v>636</v>
      </c>
      <c r="V1742" s="1" t="s">
        <v>45</v>
      </c>
      <c r="W1742" s="1"/>
      <c r="X1742" s="1"/>
      <c r="Y1742" s="1"/>
      <c r="Z1742" s="1" t="s">
        <v>658</v>
      </c>
      <c r="AA1742" s="1" t="s">
        <v>6106</v>
      </c>
      <c r="AB1742" s="1" t="s">
        <v>46</v>
      </c>
      <c r="AC1742" s="1" t="s">
        <v>46</v>
      </c>
      <c r="AD1742" s="1"/>
      <c r="AE1742" s="1"/>
      <c r="AF1742" s="1"/>
      <c r="AG1742" s="1"/>
      <c r="AH1742" s="1" t="s">
        <v>45</v>
      </c>
      <c r="AI1742" s="1"/>
      <c r="AJ1742" s="3">
        <v>43138.570347222223</v>
      </c>
      <c r="AK1742" s="1" t="s">
        <v>5472</v>
      </c>
    </row>
    <row r="1743" spans="1:37">
      <c r="A1743" s="1" t="str">
        <f>VLOOKUP(H1743,Languages!$A$2:$B$430,2,FALSE)</f>
        <v>Totonacan</v>
      </c>
      <c r="B1743" s="1" t="s">
        <v>1726</v>
      </c>
      <c r="C1743" s="1" t="s">
        <v>5463</v>
      </c>
      <c r="D1743" s="1" t="s">
        <v>6041</v>
      </c>
      <c r="E1743" s="15" t="s">
        <v>6042</v>
      </c>
      <c r="F1743" s="15" t="s">
        <v>6042</v>
      </c>
      <c r="G1743" s="1" t="s">
        <v>6042</v>
      </c>
      <c r="H1743" s="1" t="str">
        <f>VLOOKUP(G1743,'languoid 4.0'!$A$1:$I$24439,2,FALSE)</f>
        <v>toto1251</v>
      </c>
      <c r="I1743" s="1" t="str">
        <f>VLOOKUP(G1743,'languoid 4.0'!$A$1:$I$24439,6,FALSE)</f>
        <v>language</v>
      </c>
      <c r="J1743" s="15" t="s">
        <v>38</v>
      </c>
      <c r="K1743" s="15" t="s">
        <v>38</v>
      </c>
      <c r="L1743" s="15" t="s">
        <v>38</v>
      </c>
      <c r="M1743" s="1"/>
      <c r="N1743" s="1" t="s">
        <v>6043</v>
      </c>
      <c r="O1743" s="15" t="s">
        <v>40</v>
      </c>
      <c r="P1743" s="15" t="s">
        <v>41</v>
      </c>
      <c r="Q1743" s="1" t="s">
        <v>6107</v>
      </c>
      <c r="R1743" s="2" t="s">
        <v>6045</v>
      </c>
      <c r="S1743" s="1" t="s">
        <v>46</v>
      </c>
      <c r="T1743" s="1" t="s">
        <v>635</v>
      </c>
      <c r="U1743" s="1" t="s">
        <v>636</v>
      </c>
      <c r="V1743" s="1" t="s">
        <v>45</v>
      </c>
      <c r="W1743" s="1"/>
      <c r="X1743" s="1"/>
      <c r="Y1743" s="1"/>
      <c r="Z1743" s="1" t="s">
        <v>658</v>
      </c>
      <c r="AA1743" s="1" t="s">
        <v>6108</v>
      </c>
      <c r="AB1743" s="1" t="s">
        <v>46</v>
      </c>
      <c r="AC1743" s="1" t="s">
        <v>46</v>
      </c>
      <c r="AD1743" s="1"/>
      <c r="AE1743" s="1"/>
      <c r="AF1743" s="1"/>
      <c r="AG1743" s="1"/>
      <c r="AH1743" s="1" t="s">
        <v>45</v>
      </c>
      <c r="AI1743" s="1"/>
      <c r="AJ1743" s="3">
        <v>43138.573495370372</v>
      </c>
      <c r="AK1743" s="1" t="s">
        <v>5472</v>
      </c>
    </row>
    <row r="1744" spans="1:37">
      <c r="A1744" s="1" t="str">
        <f>VLOOKUP(H1744,Languages!$A$2:$B$430,2,FALSE)</f>
        <v>Totonacan</v>
      </c>
      <c r="B1744" s="1" t="s">
        <v>1726</v>
      </c>
      <c r="C1744" s="1" t="s">
        <v>5463</v>
      </c>
      <c r="D1744" s="1" t="s">
        <v>6041</v>
      </c>
      <c r="E1744" s="15" t="s">
        <v>6042</v>
      </c>
      <c r="F1744" s="15" t="s">
        <v>6042</v>
      </c>
      <c r="G1744" s="1" t="s">
        <v>6042</v>
      </c>
      <c r="H1744" s="1" t="str">
        <f>VLOOKUP(G1744,'languoid 4.0'!$A$1:$I$24439,2,FALSE)</f>
        <v>toto1251</v>
      </c>
      <c r="I1744" s="1" t="str">
        <f>VLOOKUP(G1744,'languoid 4.0'!$A$1:$I$24439,6,FALSE)</f>
        <v>language</v>
      </c>
      <c r="J1744" s="15" t="s">
        <v>38</v>
      </c>
      <c r="K1744" s="15" t="s">
        <v>38</v>
      </c>
      <c r="L1744" s="15" t="s">
        <v>38</v>
      </c>
      <c r="M1744" s="1"/>
      <c r="N1744" s="1" t="s">
        <v>6043</v>
      </c>
      <c r="O1744" s="15" t="s">
        <v>40</v>
      </c>
      <c r="P1744" s="15" t="s">
        <v>41</v>
      </c>
      <c r="Q1744" s="1" t="s">
        <v>6109</v>
      </c>
      <c r="R1744" s="2" t="s">
        <v>6045</v>
      </c>
      <c r="S1744" s="1" t="s">
        <v>46</v>
      </c>
      <c r="T1744" s="1" t="s">
        <v>635</v>
      </c>
      <c r="U1744" s="1" t="s">
        <v>636</v>
      </c>
      <c r="V1744" s="1" t="s">
        <v>45</v>
      </c>
      <c r="W1744" s="1"/>
      <c r="X1744" s="1"/>
      <c r="Y1744" s="1"/>
      <c r="Z1744" s="1" t="s">
        <v>658</v>
      </c>
      <c r="AA1744" s="1" t="s">
        <v>6110</v>
      </c>
      <c r="AB1744" s="1" t="s">
        <v>46</v>
      </c>
      <c r="AC1744" s="1" t="s">
        <v>46</v>
      </c>
      <c r="AD1744" s="1"/>
      <c r="AE1744" s="1"/>
      <c r="AF1744" s="1"/>
      <c r="AG1744" s="1"/>
      <c r="AH1744" s="1" t="s">
        <v>45</v>
      </c>
      <c r="AI1744" s="1"/>
      <c r="AJ1744" s="3">
        <v>43138.576689814814</v>
      </c>
      <c r="AK1744" s="1" t="s">
        <v>5472</v>
      </c>
    </row>
    <row r="1745" spans="1:37">
      <c r="A1745" s="1" t="str">
        <f>VLOOKUP(H1745,Languages!$A$2:$B$430,2,FALSE)</f>
        <v>Tsimshian</v>
      </c>
      <c r="B1745" s="1" t="s">
        <v>1726</v>
      </c>
      <c r="C1745" s="1" t="s">
        <v>304</v>
      </c>
      <c r="D1745" s="1" t="s">
        <v>6434</v>
      </c>
      <c r="E1745" s="15" t="s">
        <v>6435</v>
      </c>
      <c r="F1745" s="15" t="s">
        <v>6436</v>
      </c>
      <c r="G1745" s="1" t="s">
        <v>6435</v>
      </c>
      <c r="H1745" s="1" t="str">
        <f>VLOOKUP(G1745,'languoid 4.0'!$A$1:$I$24439,2,FALSE)</f>
        <v>tsim1258</v>
      </c>
      <c r="I1745" s="1" t="str">
        <f>VLOOKUP(G1745,'languoid 4.0'!$A$1:$I$24439,6,FALSE)</f>
        <v>language</v>
      </c>
      <c r="J1745" s="15" t="s">
        <v>52</v>
      </c>
      <c r="K1745" s="15" t="s">
        <v>38</v>
      </c>
      <c r="L1745" s="15" t="s">
        <v>38</v>
      </c>
      <c r="M1745" s="1"/>
      <c r="N1745" s="1" t="s">
        <v>6437</v>
      </c>
      <c r="O1745" s="15" t="s">
        <v>40</v>
      </c>
      <c r="P1745" s="15" t="s">
        <v>41</v>
      </c>
      <c r="Q1745" s="1" t="s">
        <v>6438</v>
      </c>
      <c r="R1745" s="2" t="s">
        <v>4512</v>
      </c>
      <c r="S1745" s="1" t="s">
        <v>46</v>
      </c>
      <c r="T1745" s="1" t="s">
        <v>635</v>
      </c>
      <c r="U1745" s="1" t="s">
        <v>636</v>
      </c>
      <c r="V1745" s="1" t="s">
        <v>45</v>
      </c>
      <c r="W1745" s="1"/>
      <c r="X1745" s="1"/>
      <c r="Y1745" s="1"/>
      <c r="Z1745" s="1" t="s">
        <v>658</v>
      </c>
      <c r="AA1745" s="1" t="s">
        <v>6439</v>
      </c>
      <c r="AB1745" s="1" t="s">
        <v>46</v>
      </c>
      <c r="AC1745" s="1" t="s">
        <v>46</v>
      </c>
      <c r="AD1745" s="1"/>
      <c r="AE1745" s="1"/>
      <c r="AF1745" s="1"/>
      <c r="AG1745" s="1"/>
      <c r="AH1745" s="1" t="s">
        <v>45</v>
      </c>
      <c r="AI1745" s="1" t="s">
        <v>6440</v>
      </c>
      <c r="AJ1745" s="3">
        <v>43350.401886574073</v>
      </c>
      <c r="AK1745" s="1" t="s">
        <v>6441</v>
      </c>
    </row>
    <row r="1746" spans="1:37">
      <c r="A1746" s="1" t="str">
        <f>VLOOKUP(H1746,Languages!$A$2:$B$430,2,FALSE)</f>
        <v>Tsimshian</v>
      </c>
      <c r="B1746" s="1" t="s">
        <v>1812</v>
      </c>
      <c r="C1746" s="1" t="s">
        <v>304</v>
      </c>
      <c r="D1746" s="1" t="s">
        <v>6434</v>
      </c>
      <c r="E1746" s="15" t="s">
        <v>6435</v>
      </c>
      <c r="F1746" s="15" t="s">
        <v>6436</v>
      </c>
      <c r="G1746" s="1" t="s">
        <v>6435</v>
      </c>
      <c r="H1746" s="1" t="str">
        <f>VLOOKUP(G1746,'languoid 4.0'!$A$1:$I$24439,2,FALSE)</f>
        <v>tsim1258</v>
      </c>
      <c r="I1746" s="1" t="str">
        <f>VLOOKUP(G1746,'languoid 4.0'!$A$1:$I$24439,6,FALSE)</f>
        <v>language</v>
      </c>
      <c r="J1746" s="15" t="s">
        <v>52</v>
      </c>
      <c r="K1746" s="15" t="s">
        <v>38</v>
      </c>
      <c r="L1746" s="15" t="s">
        <v>38</v>
      </c>
      <c r="M1746" s="1"/>
      <c r="N1746" s="1" t="s">
        <v>6437</v>
      </c>
      <c r="O1746" s="15" t="s">
        <v>40</v>
      </c>
      <c r="P1746" s="15" t="s">
        <v>41</v>
      </c>
      <c r="Q1746" s="1" t="s">
        <v>46</v>
      </c>
      <c r="R1746" s="2" t="s">
        <v>4512</v>
      </c>
      <c r="S1746" s="1" t="s">
        <v>46</v>
      </c>
      <c r="T1746" s="1" t="s">
        <v>635</v>
      </c>
      <c r="U1746" s="1" t="s">
        <v>636</v>
      </c>
      <c r="V1746" s="1" t="s">
        <v>45</v>
      </c>
      <c r="W1746" s="1"/>
      <c r="X1746" s="1"/>
      <c r="Y1746" s="1"/>
      <c r="Z1746" s="1" t="s">
        <v>658</v>
      </c>
      <c r="AA1746" s="1" t="s">
        <v>6721</v>
      </c>
      <c r="AB1746" s="1" t="s">
        <v>46</v>
      </c>
      <c r="AC1746" s="1" t="s">
        <v>46</v>
      </c>
      <c r="AD1746" s="1"/>
      <c r="AE1746" s="1"/>
      <c r="AF1746" s="1"/>
      <c r="AG1746" s="1"/>
      <c r="AH1746" s="1" t="s">
        <v>45</v>
      </c>
      <c r="AI1746" s="1" t="s">
        <v>6440</v>
      </c>
      <c r="AJ1746" s="1" t="s">
        <v>6722</v>
      </c>
      <c r="AK1746" s="1" t="s">
        <v>6441</v>
      </c>
    </row>
    <row r="1747" spans="1:37">
      <c r="A1747" s="1" t="str">
        <f>VLOOKUP(H1747,Languages!$A$2:$B$430,2,FALSE)</f>
        <v>Tucanoan</v>
      </c>
      <c r="B1747" s="1" t="s">
        <v>67</v>
      </c>
      <c r="C1747" s="1" t="s">
        <v>477</v>
      </c>
      <c r="D1747" s="1" t="s">
        <v>1214</v>
      </c>
      <c r="E1747" s="15" t="s">
        <v>1215</v>
      </c>
      <c r="F1747" s="15" t="s">
        <v>1215</v>
      </c>
      <c r="G1747" s="1" t="s">
        <v>1215</v>
      </c>
      <c r="H1747" s="1" t="str">
        <f>VLOOKUP(G1747,'languoid 4.0'!$A$1:$I$24439,2,FALSE)</f>
        <v>tuca1253</v>
      </c>
      <c r="I1747" s="1" t="str">
        <f>VLOOKUP(G1747,'languoid 4.0'!$A$1:$I$24439,6,FALSE)</f>
        <v>language</v>
      </c>
      <c r="J1747" s="15" t="s">
        <v>38</v>
      </c>
      <c r="K1747" s="15" t="s">
        <v>38</v>
      </c>
      <c r="L1747" s="15" t="s">
        <v>38</v>
      </c>
      <c r="M1747" s="1"/>
      <c r="N1747" s="1" t="s">
        <v>1216</v>
      </c>
      <c r="O1747" s="15" t="s">
        <v>40</v>
      </c>
      <c r="P1747" s="15" t="s">
        <v>41</v>
      </c>
      <c r="Q1747" s="1" t="s">
        <v>1217</v>
      </c>
      <c r="R1747" s="2" t="s">
        <v>1218</v>
      </c>
      <c r="S1747" s="1" t="s">
        <v>46</v>
      </c>
      <c r="T1747" s="1" t="s">
        <v>635</v>
      </c>
      <c r="U1747" s="1" t="s">
        <v>1219</v>
      </c>
      <c r="V1747" s="1" t="s">
        <v>45</v>
      </c>
      <c r="W1747" s="1"/>
      <c r="X1747" s="1"/>
      <c r="Y1747" s="1"/>
      <c r="Z1747" s="1" t="s">
        <v>658</v>
      </c>
      <c r="AA1747" s="1" t="s">
        <v>1220</v>
      </c>
      <c r="AB1747" s="1" t="s">
        <v>1221</v>
      </c>
      <c r="AC1747" s="1" t="s">
        <v>46</v>
      </c>
      <c r="AD1747" s="1"/>
      <c r="AE1747" s="1" t="s">
        <v>641</v>
      </c>
      <c r="AF1747" s="1" t="s">
        <v>190</v>
      </c>
      <c r="AG1747" s="1">
        <v>3</v>
      </c>
      <c r="AH1747" s="1" t="s">
        <v>190</v>
      </c>
      <c r="AI1747" s="1"/>
      <c r="AJ1747" s="1" t="s">
        <v>1222</v>
      </c>
      <c r="AK1747" s="1" t="s">
        <v>651</v>
      </c>
    </row>
    <row r="1748" spans="1:37">
      <c r="A1748" s="1" t="str">
        <f>VLOOKUP(H1748,Languages!$A$2:$B$430,2,FALSE)</f>
        <v>Tucanoan</v>
      </c>
      <c r="B1748" s="1" t="s">
        <v>67</v>
      </c>
      <c r="C1748" s="1" t="s">
        <v>477</v>
      </c>
      <c r="D1748" s="1" t="s">
        <v>1214</v>
      </c>
      <c r="E1748" s="15" t="s">
        <v>1215</v>
      </c>
      <c r="F1748" s="15" t="s">
        <v>1215</v>
      </c>
      <c r="G1748" s="1" t="s">
        <v>1215</v>
      </c>
      <c r="H1748" s="1" t="str">
        <f>VLOOKUP(G1748,'languoid 4.0'!$A$1:$I$24439,2,FALSE)</f>
        <v>tuca1253</v>
      </c>
      <c r="I1748" s="1" t="str">
        <f>VLOOKUP(G1748,'languoid 4.0'!$A$1:$I$24439,6,FALSE)</f>
        <v>language</v>
      </c>
      <c r="J1748" s="15" t="s">
        <v>38</v>
      </c>
      <c r="K1748" s="15" t="s">
        <v>38</v>
      </c>
      <c r="L1748" s="15" t="s">
        <v>38</v>
      </c>
      <c r="M1748" s="1"/>
      <c r="N1748" s="1" t="s">
        <v>1216</v>
      </c>
      <c r="O1748" s="15" t="s">
        <v>40</v>
      </c>
      <c r="P1748" s="15" t="s">
        <v>41</v>
      </c>
      <c r="Q1748" s="1" t="s">
        <v>1223</v>
      </c>
      <c r="R1748" s="2" t="s">
        <v>1224</v>
      </c>
      <c r="S1748" s="1" t="s">
        <v>46</v>
      </c>
      <c r="T1748" s="1" t="s">
        <v>635</v>
      </c>
      <c r="U1748" s="1" t="s">
        <v>1225</v>
      </c>
      <c r="V1748" s="1" t="s">
        <v>45</v>
      </c>
      <c r="W1748" s="1"/>
      <c r="X1748" s="1"/>
      <c r="Y1748" s="1"/>
      <c r="Z1748" s="1" t="s">
        <v>673</v>
      </c>
      <c r="AA1748" s="1" t="s">
        <v>46</v>
      </c>
      <c r="AB1748" s="1" t="s">
        <v>1226</v>
      </c>
      <c r="AC1748" s="1" t="s">
        <v>46</v>
      </c>
      <c r="AD1748" s="1"/>
      <c r="AE1748" s="1" t="s">
        <v>641</v>
      </c>
      <c r="AF1748" s="1" t="s">
        <v>190</v>
      </c>
      <c r="AG1748" s="1">
        <v>1</v>
      </c>
      <c r="AH1748" s="1" t="s">
        <v>190</v>
      </c>
      <c r="AI1748" s="1"/>
      <c r="AJ1748" s="1" t="s">
        <v>1227</v>
      </c>
      <c r="AK1748" s="1" t="s">
        <v>651</v>
      </c>
    </row>
    <row r="1749" spans="1:37">
      <c r="A1749" s="1" t="str">
        <f>VLOOKUP(H1749,Languages!$A$2:$B$430,2,FALSE)</f>
        <v>Tucanoan</v>
      </c>
      <c r="B1749" s="1" t="s">
        <v>1707</v>
      </c>
      <c r="C1749" s="1" t="s">
        <v>477</v>
      </c>
      <c r="D1749" s="1" t="s">
        <v>1214</v>
      </c>
      <c r="E1749" s="15" t="s">
        <v>1215</v>
      </c>
      <c r="F1749" s="15" t="s">
        <v>1215</v>
      </c>
      <c r="G1749" s="1" t="s">
        <v>1215</v>
      </c>
      <c r="H1749" s="1" t="str">
        <f>VLOOKUP(G1749,'languoid 4.0'!$A$1:$I$24439,2,FALSE)</f>
        <v>tuca1253</v>
      </c>
      <c r="I1749" s="1" t="str">
        <f>VLOOKUP(G1749,'languoid 4.0'!$A$1:$I$24439,6,FALSE)</f>
        <v>language</v>
      </c>
      <c r="J1749" s="15" t="s">
        <v>38</v>
      </c>
      <c r="K1749" s="15" t="s">
        <v>38</v>
      </c>
      <c r="L1749" s="15" t="s">
        <v>38</v>
      </c>
      <c r="M1749" s="1"/>
      <c r="N1749" s="1" t="s">
        <v>1216</v>
      </c>
      <c r="O1749" s="15" t="s">
        <v>40</v>
      </c>
      <c r="P1749" s="15" t="s">
        <v>41</v>
      </c>
      <c r="Q1749" s="1" t="s">
        <v>1708</v>
      </c>
      <c r="R1749" s="2" t="s">
        <v>1709</v>
      </c>
      <c r="S1749" s="1" t="s">
        <v>46</v>
      </c>
      <c r="T1749" s="1" t="s">
        <v>635</v>
      </c>
      <c r="U1749" s="1" t="s">
        <v>636</v>
      </c>
      <c r="V1749" s="1" t="s">
        <v>45</v>
      </c>
      <c r="W1749" s="1"/>
      <c r="X1749" s="1"/>
      <c r="Y1749" s="1"/>
      <c r="Z1749" s="1" t="s">
        <v>658</v>
      </c>
      <c r="AA1749" s="1" t="s">
        <v>1710</v>
      </c>
      <c r="AB1749" s="1" t="s">
        <v>1711</v>
      </c>
      <c r="AC1749" s="1" t="s">
        <v>46</v>
      </c>
      <c r="AD1749" s="1"/>
      <c r="AE1749" s="1" t="s">
        <v>641</v>
      </c>
      <c r="AF1749" s="1" t="s">
        <v>190</v>
      </c>
      <c r="AG1749" s="1">
        <v>3</v>
      </c>
      <c r="AH1749" s="1" t="s">
        <v>190</v>
      </c>
      <c r="AI1749" s="1"/>
      <c r="AJ1749" s="3">
        <v>43346.574907407405</v>
      </c>
      <c r="AK1749" s="1" t="s">
        <v>651</v>
      </c>
    </row>
    <row r="1750" spans="1:37">
      <c r="A1750" s="1" t="str">
        <f>VLOOKUP(H1750,Languages!$A$2:$B$430,2,FALSE)</f>
        <v>Tucanoan</v>
      </c>
      <c r="B1750" s="1" t="s">
        <v>1707</v>
      </c>
      <c r="C1750" s="1" t="s">
        <v>419</v>
      </c>
      <c r="D1750" s="1" t="s">
        <v>1214</v>
      </c>
      <c r="E1750" s="15" t="s">
        <v>1215</v>
      </c>
      <c r="F1750" s="15" t="s">
        <v>1215</v>
      </c>
      <c r="G1750" s="1" t="s">
        <v>1215</v>
      </c>
      <c r="H1750" s="1" t="str">
        <f>VLOOKUP(G1750,'languoid 4.0'!$A$1:$I$24439,2,FALSE)</f>
        <v>tuca1253</v>
      </c>
      <c r="I1750" s="1" t="str">
        <f>VLOOKUP(G1750,'languoid 4.0'!$A$1:$I$24439,6,FALSE)</f>
        <v>language</v>
      </c>
      <c r="J1750" s="15" t="s">
        <v>38</v>
      </c>
      <c r="K1750" s="15" t="s">
        <v>38</v>
      </c>
      <c r="L1750" s="15" t="s">
        <v>38</v>
      </c>
      <c r="M1750" s="1"/>
      <c r="N1750" s="1" t="s">
        <v>1216</v>
      </c>
      <c r="O1750" s="15" t="s">
        <v>40</v>
      </c>
      <c r="P1750" s="15" t="s">
        <v>41</v>
      </c>
      <c r="Q1750" s="1" t="s">
        <v>1708</v>
      </c>
      <c r="R1750" s="2" t="s">
        <v>9574</v>
      </c>
      <c r="S1750" s="1" t="s">
        <v>46</v>
      </c>
      <c r="T1750" s="1" t="s">
        <v>635</v>
      </c>
      <c r="U1750" s="1" t="s">
        <v>636</v>
      </c>
      <c r="V1750" s="1" t="s">
        <v>45</v>
      </c>
      <c r="W1750" s="1"/>
      <c r="X1750" s="1"/>
      <c r="Y1750" s="1"/>
      <c r="Z1750" s="1" t="s">
        <v>637</v>
      </c>
      <c r="AA1750" s="1" t="s">
        <v>9575</v>
      </c>
      <c r="AB1750" s="1" t="s">
        <v>9576</v>
      </c>
      <c r="AC1750" s="1" t="s">
        <v>46</v>
      </c>
      <c r="AD1750" s="1"/>
      <c r="AE1750" s="1" t="s">
        <v>641</v>
      </c>
      <c r="AF1750" s="1" t="s">
        <v>190</v>
      </c>
      <c r="AG1750" s="1">
        <v>4</v>
      </c>
      <c r="AH1750" s="1" t="s">
        <v>190</v>
      </c>
      <c r="AI1750" s="1"/>
      <c r="AJ1750" s="3">
        <v>43383.546793981484</v>
      </c>
      <c r="AK1750" s="1" t="s">
        <v>8989</v>
      </c>
    </row>
    <row r="1751" spans="1:37">
      <c r="A1751" s="1" t="str">
        <f>VLOOKUP(H1751,Languages!$A$2:$B$430,2,FALSE)</f>
        <v>Tungusic</v>
      </c>
      <c r="B1751" s="1" t="s">
        <v>67</v>
      </c>
      <c r="C1751" s="1" t="s">
        <v>317</v>
      </c>
      <c r="D1751" s="1" t="s">
        <v>6181</v>
      </c>
      <c r="E1751" s="15" t="s">
        <v>6182</v>
      </c>
      <c r="F1751" s="15" t="s">
        <v>6182</v>
      </c>
      <c r="G1751" s="1" t="s">
        <v>6182</v>
      </c>
      <c r="H1751" s="1" t="str">
        <f>VLOOKUP(G1751,'languoid 4.0'!$A$1:$I$24439,2,FALSE)</f>
        <v>tung1282</v>
      </c>
      <c r="I1751" s="1" t="str">
        <f>VLOOKUP(G1751,'languoid 4.0'!$A$1:$I$24439,6,FALSE)</f>
        <v>language</v>
      </c>
      <c r="J1751" s="15" t="s">
        <v>38</v>
      </c>
      <c r="K1751" s="15" t="s">
        <v>38</v>
      </c>
      <c r="L1751" s="15" t="s">
        <v>38</v>
      </c>
      <c r="M1751" s="1"/>
      <c r="N1751" s="1" t="s">
        <v>6184</v>
      </c>
      <c r="O1751" s="15" t="s">
        <v>40</v>
      </c>
      <c r="P1751" s="15" t="s">
        <v>41</v>
      </c>
      <c r="Q1751" s="1" t="s">
        <v>6202</v>
      </c>
      <c r="R1751" s="2" t="s">
        <v>6186</v>
      </c>
      <c r="S1751" s="1" t="s">
        <v>6203</v>
      </c>
      <c r="T1751" s="2" t="s">
        <v>6199</v>
      </c>
      <c r="U1751" s="1" t="s">
        <v>636</v>
      </c>
      <c r="V1751" s="1" t="s">
        <v>45</v>
      </c>
      <c r="W1751" s="1"/>
      <c r="X1751" s="1"/>
      <c r="Y1751" s="1"/>
      <c r="Z1751" s="1" t="s">
        <v>658</v>
      </c>
      <c r="AA1751" s="1" t="s">
        <v>6204</v>
      </c>
      <c r="AB1751" s="1" t="s">
        <v>6205</v>
      </c>
      <c r="AC1751" s="1" t="s">
        <v>46</v>
      </c>
      <c r="AD1751" s="1" t="s">
        <v>6190</v>
      </c>
      <c r="AE1751" s="1"/>
      <c r="AF1751" s="1"/>
      <c r="AG1751" s="1"/>
      <c r="AH1751" s="1" t="s">
        <v>45</v>
      </c>
      <c r="AI1751" s="1" t="s">
        <v>6191</v>
      </c>
      <c r="AJ1751" s="3">
        <v>43197.476469907408</v>
      </c>
      <c r="AK1751" s="1" t="s">
        <v>5871</v>
      </c>
    </row>
    <row r="1752" spans="1:37">
      <c r="A1752" s="1" t="str">
        <f>VLOOKUP(H1752,Languages!$A$2:$B$430,2,FALSE)</f>
        <v>Tungusic</v>
      </c>
      <c r="B1752" s="1" t="s">
        <v>67</v>
      </c>
      <c r="C1752" s="1" t="s">
        <v>317</v>
      </c>
      <c r="D1752" s="1" t="s">
        <v>6181</v>
      </c>
      <c r="E1752" s="15" t="s">
        <v>6182</v>
      </c>
      <c r="F1752" s="15" t="s">
        <v>6182</v>
      </c>
      <c r="G1752" s="1" t="s">
        <v>6182</v>
      </c>
      <c r="H1752" s="1" t="str">
        <f>VLOOKUP(G1752,'languoid 4.0'!$A$1:$I$24439,2,FALSE)</f>
        <v>tung1282</v>
      </c>
      <c r="I1752" s="1" t="str">
        <f>VLOOKUP(G1752,'languoid 4.0'!$A$1:$I$24439,6,FALSE)</f>
        <v>language</v>
      </c>
      <c r="J1752" s="15" t="s">
        <v>38</v>
      </c>
      <c r="K1752" s="15" t="s">
        <v>38</v>
      </c>
      <c r="L1752" s="15" t="s">
        <v>38</v>
      </c>
      <c r="M1752" s="1"/>
      <c r="N1752" s="1" t="s">
        <v>6184</v>
      </c>
      <c r="O1752" s="15" t="s">
        <v>40</v>
      </c>
      <c r="P1752" s="15" t="s">
        <v>41</v>
      </c>
      <c r="Q1752" s="1" t="s">
        <v>6206</v>
      </c>
      <c r="R1752" s="2" t="s">
        <v>6186</v>
      </c>
      <c r="S1752" s="1" t="s">
        <v>442</v>
      </c>
      <c r="T1752" s="2" t="s">
        <v>6199</v>
      </c>
      <c r="U1752" s="1" t="s">
        <v>636</v>
      </c>
      <c r="V1752" s="1" t="s">
        <v>45</v>
      </c>
      <c r="W1752" s="1"/>
      <c r="X1752" s="1"/>
      <c r="Y1752" s="1"/>
      <c r="Z1752" s="1" t="s">
        <v>658</v>
      </c>
      <c r="AA1752" s="1" t="s">
        <v>6207</v>
      </c>
      <c r="AB1752" s="1" t="s">
        <v>6208</v>
      </c>
      <c r="AC1752" s="1" t="s">
        <v>46</v>
      </c>
      <c r="AD1752" s="1" t="s">
        <v>6190</v>
      </c>
      <c r="AE1752" s="1"/>
      <c r="AF1752" s="1"/>
      <c r="AG1752" s="1"/>
      <c r="AH1752" s="1" t="s">
        <v>45</v>
      </c>
      <c r="AI1752" s="1" t="s">
        <v>6191</v>
      </c>
      <c r="AJ1752" s="3">
        <v>43197.479120370372</v>
      </c>
      <c r="AK1752" s="1" t="s">
        <v>5871</v>
      </c>
    </row>
    <row r="1753" spans="1:37">
      <c r="A1753" s="1" t="str">
        <f>VLOOKUP(H1753,Languages!$A$2:$B$430,2,FALSE)</f>
        <v>Tungusic</v>
      </c>
      <c r="B1753" s="1" t="s">
        <v>59</v>
      </c>
      <c r="C1753" s="1" t="s">
        <v>317</v>
      </c>
      <c r="D1753" s="1" t="s">
        <v>318</v>
      </c>
      <c r="E1753" s="15" t="s">
        <v>319</v>
      </c>
      <c r="F1753" s="15" t="s">
        <v>319</v>
      </c>
      <c r="G1753" s="1" t="s">
        <v>319</v>
      </c>
      <c r="H1753" s="1" t="str">
        <f>VLOOKUP(G1753,'languoid 4.0'!$A$1:$I$24439,2,FALSE)</f>
        <v>tung1282</v>
      </c>
      <c r="I1753" s="1" t="str">
        <f>VLOOKUP(G1753,'languoid 4.0'!$A$1:$I$24439,6,FALSE)</f>
        <v>language</v>
      </c>
      <c r="J1753" s="15" t="s">
        <v>38</v>
      </c>
      <c r="K1753" s="15" t="s">
        <v>38</v>
      </c>
      <c r="L1753" s="15" t="s">
        <v>38</v>
      </c>
      <c r="M1753" s="1"/>
      <c r="N1753" s="1" t="s">
        <v>320</v>
      </c>
      <c r="O1753" s="15" t="s">
        <v>40</v>
      </c>
      <c r="P1753" s="15" t="s">
        <v>41</v>
      </c>
      <c r="Q1753" s="1" t="s">
        <v>321</v>
      </c>
      <c r="R1753" s="2" t="s">
        <v>322</v>
      </c>
      <c r="S1753" s="1" t="s">
        <v>323</v>
      </c>
      <c r="T1753" s="1" t="s">
        <v>44</v>
      </c>
      <c r="U1753" s="1"/>
      <c r="V1753" s="1" t="s">
        <v>45</v>
      </c>
      <c r="W1753" s="1"/>
      <c r="X1753" s="1"/>
      <c r="Y1753" s="1"/>
      <c r="Z1753" s="1"/>
      <c r="AA1753" s="1">
        <v>26</v>
      </c>
      <c r="AB1753" s="1">
        <v>26</v>
      </c>
      <c r="AC1753" s="1">
        <v>26</v>
      </c>
      <c r="AD1753" s="1"/>
      <c r="AE1753" s="1"/>
      <c r="AF1753" s="1"/>
      <c r="AG1753" s="1"/>
      <c r="AH1753" s="1"/>
      <c r="AI1753" s="1"/>
      <c r="AJ1753" s="3">
        <v>43102.741516203707</v>
      </c>
      <c r="AK1753" s="1" t="s">
        <v>74</v>
      </c>
    </row>
    <row r="1754" spans="1:37">
      <c r="A1754" s="1" t="str">
        <f>VLOOKUP(H1754,Languages!$A$2:$B$430,2,FALSE)</f>
        <v>Tungusic</v>
      </c>
      <c r="B1754" s="1" t="s">
        <v>59</v>
      </c>
      <c r="C1754" s="1" t="s">
        <v>317</v>
      </c>
      <c r="D1754" s="1" t="s">
        <v>6181</v>
      </c>
      <c r="E1754" s="15" t="s">
        <v>6182</v>
      </c>
      <c r="F1754" s="15" t="s">
        <v>6182</v>
      </c>
      <c r="G1754" s="1" t="s">
        <v>6182</v>
      </c>
      <c r="H1754" s="1" t="str">
        <f>VLOOKUP(G1754,'languoid 4.0'!$A$1:$I$24439,2,FALSE)</f>
        <v>tung1282</v>
      </c>
      <c r="I1754" s="1" t="str">
        <f>VLOOKUP(G1754,'languoid 4.0'!$A$1:$I$24439,6,FALSE)</f>
        <v>language</v>
      </c>
      <c r="J1754" s="15" t="s">
        <v>38</v>
      </c>
      <c r="K1754" s="15" t="s">
        <v>38</v>
      </c>
      <c r="L1754" s="15" t="s">
        <v>38</v>
      </c>
      <c r="M1754" s="1" t="s">
        <v>6183</v>
      </c>
      <c r="N1754" s="1" t="s">
        <v>6184</v>
      </c>
      <c r="O1754" s="15" t="s">
        <v>40</v>
      </c>
      <c r="P1754" s="15" t="s">
        <v>41</v>
      </c>
      <c r="Q1754" s="1" t="s">
        <v>6185</v>
      </c>
      <c r="R1754" s="2" t="s">
        <v>6186</v>
      </c>
      <c r="S1754" s="1" t="s">
        <v>471</v>
      </c>
      <c r="T1754" s="1" t="s">
        <v>6187</v>
      </c>
      <c r="U1754" s="1" t="s">
        <v>636</v>
      </c>
      <c r="V1754" s="1" t="s">
        <v>45</v>
      </c>
      <c r="W1754" s="1"/>
      <c r="X1754" s="1"/>
      <c r="Y1754" s="1"/>
      <c r="Z1754" s="1" t="s">
        <v>673</v>
      </c>
      <c r="AA1754" s="1" t="s">
        <v>6188</v>
      </c>
      <c r="AB1754" s="1" t="s">
        <v>6189</v>
      </c>
      <c r="AC1754" s="1" t="s">
        <v>46</v>
      </c>
      <c r="AD1754" s="1" t="s">
        <v>6190</v>
      </c>
      <c r="AE1754" s="1"/>
      <c r="AF1754" s="1"/>
      <c r="AG1754" s="1"/>
      <c r="AH1754" s="1" t="s">
        <v>45</v>
      </c>
      <c r="AI1754" s="1" t="s">
        <v>6191</v>
      </c>
      <c r="AJ1754" s="3">
        <v>43138.765428240738</v>
      </c>
      <c r="AK1754" s="1" t="s">
        <v>5871</v>
      </c>
    </row>
    <row r="1755" spans="1:37">
      <c r="A1755" s="1" t="str">
        <f>VLOOKUP(H1755,Languages!$A$2:$B$430,2,FALSE)</f>
        <v>Tungusic</v>
      </c>
      <c r="B1755" s="1" t="s">
        <v>59</v>
      </c>
      <c r="C1755" s="1" t="s">
        <v>317</v>
      </c>
      <c r="D1755" s="1" t="s">
        <v>6181</v>
      </c>
      <c r="E1755" s="15" t="s">
        <v>6182</v>
      </c>
      <c r="F1755" s="15" t="s">
        <v>6182</v>
      </c>
      <c r="G1755" s="1" t="s">
        <v>6182</v>
      </c>
      <c r="H1755" s="1" t="str">
        <f>VLOOKUP(G1755,'languoid 4.0'!$A$1:$I$24439,2,FALSE)</f>
        <v>tung1282</v>
      </c>
      <c r="I1755" s="1" t="str">
        <f>VLOOKUP(G1755,'languoid 4.0'!$A$1:$I$24439,6,FALSE)</f>
        <v>language</v>
      </c>
      <c r="J1755" s="15" t="s">
        <v>38</v>
      </c>
      <c r="K1755" s="15" t="s">
        <v>38</v>
      </c>
      <c r="L1755" s="15" t="s">
        <v>38</v>
      </c>
      <c r="M1755" s="1" t="s">
        <v>6183</v>
      </c>
      <c r="N1755" s="1" t="s">
        <v>6184</v>
      </c>
      <c r="O1755" s="15" t="s">
        <v>40</v>
      </c>
      <c r="P1755" s="15" t="s">
        <v>41</v>
      </c>
      <c r="Q1755" s="1" t="s">
        <v>6185</v>
      </c>
      <c r="R1755" s="2" t="s">
        <v>6186</v>
      </c>
      <c r="S1755" s="1" t="s">
        <v>130</v>
      </c>
      <c r="T1755" s="1" t="s">
        <v>6187</v>
      </c>
      <c r="U1755" s="1" t="s">
        <v>636</v>
      </c>
      <c r="V1755" s="1" t="s">
        <v>45</v>
      </c>
      <c r="W1755" s="1"/>
      <c r="X1755" s="1"/>
      <c r="Y1755" s="1"/>
      <c r="Z1755" s="1" t="s">
        <v>637</v>
      </c>
      <c r="AA1755" s="1" t="s">
        <v>6192</v>
      </c>
      <c r="AB1755" s="1" t="s">
        <v>6193</v>
      </c>
      <c r="AC1755" s="1" t="s">
        <v>46</v>
      </c>
      <c r="AD1755" s="1" t="s">
        <v>6190</v>
      </c>
      <c r="AE1755" s="1"/>
      <c r="AF1755" s="1"/>
      <c r="AG1755" s="1"/>
      <c r="AH1755" s="1" t="s">
        <v>45</v>
      </c>
      <c r="AI1755" s="1" t="s">
        <v>6191</v>
      </c>
      <c r="AJ1755" s="3">
        <v>43138.769293981481</v>
      </c>
      <c r="AK1755" s="1" t="s">
        <v>5871</v>
      </c>
    </row>
    <row r="1756" spans="1:37">
      <c r="A1756" s="1" t="str">
        <f>VLOOKUP(H1756,Languages!$A$2:$B$430,2,FALSE)</f>
        <v>Tungusic</v>
      </c>
      <c r="B1756" s="1" t="s">
        <v>35</v>
      </c>
      <c r="C1756" s="1" t="s">
        <v>317</v>
      </c>
      <c r="D1756" s="1" t="s">
        <v>2056</v>
      </c>
      <c r="E1756" s="15" t="s">
        <v>2057</v>
      </c>
      <c r="F1756" s="15" t="s">
        <v>2057</v>
      </c>
      <c r="G1756" s="1" t="s">
        <v>2057</v>
      </c>
      <c r="H1756" s="1" t="str">
        <f>VLOOKUP(G1756,'languoid 4.0'!$A$1:$I$24439,2,FALSE)</f>
        <v>tung1282</v>
      </c>
      <c r="I1756" s="1" t="str">
        <f>VLOOKUP(G1756,'languoid 4.0'!$A$1:$I$24439,6,FALSE)</f>
        <v>language</v>
      </c>
      <c r="J1756" s="15" t="s">
        <v>38</v>
      </c>
      <c r="K1756" s="15" t="s">
        <v>38</v>
      </c>
      <c r="L1756" s="15" t="s">
        <v>38</v>
      </c>
      <c r="M1756" s="1"/>
      <c r="N1756" s="1" t="s">
        <v>2058</v>
      </c>
      <c r="O1756" s="15" t="s">
        <v>40</v>
      </c>
      <c r="P1756" s="15" t="s">
        <v>41</v>
      </c>
      <c r="Q1756" s="1" t="s">
        <v>35</v>
      </c>
      <c r="R1756" s="2" t="s">
        <v>2059</v>
      </c>
      <c r="S1756" s="1" t="s">
        <v>46</v>
      </c>
      <c r="T1756" s="1" t="s">
        <v>635</v>
      </c>
      <c r="U1756" s="1" t="s">
        <v>636</v>
      </c>
      <c r="V1756" s="1" t="s">
        <v>45</v>
      </c>
      <c r="W1756" s="1"/>
      <c r="X1756" s="1"/>
      <c r="Y1756" s="1"/>
      <c r="Z1756" s="1" t="s">
        <v>658</v>
      </c>
      <c r="AA1756" s="1" t="s">
        <v>2060</v>
      </c>
      <c r="AB1756" s="1" t="s">
        <v>46</v>
      </c>
      <c r="AC1756" s="1" t="s">
        <v>46</v>
      </c>
      <c r="AD1756" s="1"/>
      <c r="AE1756" s="1" t="s">
        <v>641</v>
      </c>
      <c r="AF1756" s="1" t="s">
        <v>190</v>
      </c>
      <c r="AG1756" s="1">
        <v>6</v>
      </c>
      <c r="AH1756" s="1" t="s">
        <v>190</v>
      </c>
      <c r="AI1756" s="1"/>
      <c r="AJ1756" s="1" t="s">
        <v>2061</v>
      </c>
      <c r="AK1756" s="1" t="s">
        <v>2040</v>
      </c>
    </row>
    <row r="1757" spans="1:37">
      <c r="A1757" s="1" t="str">
        <f>VLOOKUP(H1757,Languages!$A$2:$B$430,2,FALSE)</f>
        <v>Tungusic</v>
      </c>
      <c r="B1757" s="1" t="s">
        <v>35</v>
      </c>
      <c r="C1757" s="1" t="s">
        <v>317</v>
      </c>
      <c r="D1757" s="1" t="s">
        <v>2122</v>
      </c>
      <c r="E1757" s="15" t="s">
        <v>2123</v>
      </c>
      <c r="F1757" s="15" t="s">
        <v>51</v>
      </c>
      <c r="G1757" s="1" t="s">
        <v>2123</v>
      </c>
      <c r="H1757" s="1" t="str">
        <f>VLOOKUP(G1757,'languoid 4.0'!$A$1:$I$24439,2,FALSE)</f>
        <v>tung1282</v>
      </c>
      <c r="I1757" s="1" t="str">
        <f>VLOOKUP(G1757,'languoid 4.0'!$A$1:$I$24439,6,FALSE)</f>
        <v>language</v>
      </c>
      <c r="J1757" s="15" t="s">
        <v>52</v>
      </c>
      <c r="K1757" s="15" t="s">
        <v>51</v>
      </c>
      <c r="L1757" s="15" t="s">
        <v>51</v>
      </c>
      <c r="M1757" s="1"/>
      <c r="N1757" s="1" t="s">
        <v>2124</v>
      </c>
      <c r="O1757" s="15" t="s">
        <v>40</v>
      </c>
      <c r="P1757" s="15" t="s">
        <v>41</v>
      </c>
      <c r="Q1757" s="1" t="s">
        <v>1436</v>
      </c>
      <c r="R1757" s="2" t="s">
        <v>2125</v>
      </c>
      <c r="S1757" s="1" t="s">
        <v>46</v>
      </c>
      <c r="T1757" s="1" t="s">
        <v>635</v>
      </c>
      <c r="U1757" s="1" t="s">
        <v>636</v>
      </c>
      <c r="V1757" s="1" t="s">
        <v>45</v>
      </c>
      <c r="W1757" s="1"/>
      <c r="X1757" s="1"/>
      <c r="Y1757" s="1"/>
      <c r="Z1757" s="1" t="s">
        <v>658</v>
      </c>
      <c r="AA1757" s="1" t="s">
        <v>2126</v>
      </c>
      <c r="AB1757" s="1" t="s">
        <v>46</v>
      </c>
      <c r="AC1757" s="1" t="s">
        <v>46</v>
      </c>
      <c r="AD1757" s="1"/>
      <c r="AE1757" s="1" t="s">
        <v>641</v>
      </c>
      <c r="AF1757" s="1" t="s">
        <v>190</v>
      </c>
      <c r="AG1757" s="1">
        <v>4</v>
      </c>
      <c r="AH1757" s="1" t="s">
        <v>190</v>
      </c>
      <c r="AI1757" s="1"/>
      <c r="AJ1757" s="1" t="s">
        <v>2127</v>
      </c>
      <c r="AK1757" s="1" t="s">
        <v>2040</v>
      </c>
    </row>
    <row r="1758" spans="1:37">
      <c r="A1758" s="1" t="str">
        <f>VLOOKUP(H1758,Languages!$A$2:$B$430,2,FALSE)</f>
        <v>Tungusic</v>
      </c>
      <c r="B1758" s="1" t="s">
        <v>35</v>
      </c>
      <c r="C1758" s="1" t="s">
        <v>317</v>
      </c>
      <c r="D1758" s="1" t="s">
        <v>6855</v>
      </c>
      <c r="E1758" s="15" t="s">
        <v>319</v>
      </c>
      <c r="F1758" s="15" t="s">
        <v>319</v>
      </c>
      <c r="G1758" s="1" t="s">
        <v>319</v>
      </c>
      <c r="H1758" s="1" t="str">
        <f>VLOOKUP(G1758,'languoid 4.0'!$A$1:$I$24439,2,FALSE)</f>
        <v>tung1282</v>
      </c>
      <c r="I1758" s="1" t="str">
        <f>VLOOKUP(G1758,'languoid 4.0'!$A$1:$I$24439,6,FALSE)</f>
        <v>language</v>
      </c>
      <c r="J1758" s="15" t="s">
        <v>38</v>
      </c>
      <c r="K1758" s="15" t="s">
        <v>38</v>
      </c>
      <c r="L1758" s="15" t="s">
        <v>38</v>
      </c>
      <c r="M1758" s="1"/>
      <c r="N1758" s="1" t="s">
        <v>320</v>
      </c>
      <c r="O1758" s="15" t="s">
        <v>40</v>
      </c>
      <c r="P1758" s="15" t="s">
        <v>41</v>
      </c>
      <c r="Q1758" s="1" t="s">
        <v>35</v>
      </c>
      <c r="R1758" s="2" t="s">
        <v>6853</v>
      </c>
      <c r="S1758" s="1" t="s">
        <v>225</v>
      </c>
      <c r="T1758" s="1" t="s">
        <v>6845</v>
      </c>
      <c r="U1758" s="1" t="s">
        <v>636</v>
      </c>
      <c r="V1758" s="1" t="s">
        <v>45</v>
      </c>
      <c r="W1758" s="1"/>
      <c r="X1758" s="1"/>
      <c r="Y1758" s="1"/>
      <c r="Z1758" s="1" t="s">
        <v>658</v>
      </c>
      <c r="AA1758" s="1" t="s">
        <v>46</v>
      </c>
      <c r="AB1758" s="1" t="s">
        <v>46</v>
      </c>
      <c r="AC1758" s="1" t="s">
        <v>46</v>
      </c>
      <c r="AD1758" s="1" t="s">
        <v>6850</v>
      </c>
      <c r="AE1758" s="1" t="s">
        <v>641</v>
      </c>
      <c r="AF1758" s="1" t="s">
        <v>190</v>
      </c>
      <c r="AG1758" s="1">
        <v>6</v>
      </c>
      <c r="AH1758" s="1" t="s">
        <v>190</v>
      </c>
      <c r="AI1758" s="1"/>
      <c r="AJ1758" s="1" t="s">
        <v>6856</v>
      </c>
      <c r="AK1758" s="1" t="s">
        <v>5871</v>
      </c>
    </row>
    <row r="1759" spans="1:37">
      <c r="A1759" s="1" t="str">
        <f>VLOOKUP(H1759,Languages!$A$2:$B$430,2,FALSE)</f>
        <v>Tungusic</v>
      </c>
      <c r="B1759" s="1" t="s">
        <v>652</v>
      </c>
      <c r="C1759" s="1" t="s">
        <v>317</v>
      </c>
      <c r="D1759" s="1" t="s">
        <v>6181</v>
      </c>
      <c r="E1759" s="15" t="s">
        <v>6182</v>
      </c>
      <c r="F1759" s="15" t="s">
        <v>6182</v>
      </c>
      <c r="G1759" s="1" t="s">
        <v>6182</v>
      </c>
      <c r="H1759" s="1" t="str">
        <f>VLOOKUP(G1759,'languoid 4.0'!$A$1:$I$24439,2,FALSE)</f>
        <v>tung1282</v>
      </c>
      <c r="I1759" s="1" t="str">
        <f>VLOOKUP(G1759,'languoid 4.0'!$A$1:$I$24439,6,FALSE)</f>
        <v>language</v>
      </c>
      <c r="J1759" s="15" t="s">
        <v>38</v>
      </c>
      <c r="K1759" s="15" t="s">
        <v>38</v>
      </c>
      <c r="L1759" s="15" t="s">
        <v>38</v>
      </c>
      <c r="M1759" s="1"/>
      <c r="N1759" s="1" t="s">
        <v>6184</v>
      </c>
      <c r="O1759" s="15" t="s">
        <v>40</v>
      </c>
      <c r="P1759" s="15" t="s">
        <v>41</v>
      </c>
      <c r="Q1759" s="1" t="s">
        <v>6198</v>
      </c>
      <c r="R1759" s="2" t="s">
        <v>6186</v>
      </c>
      <c r="S1759" s="1" t="s">
        <v>272</v>
      </c>
      <c r="T1759" s="2" t="s">
        <v>6199</v>
      </c>
      <c r="U1759" s="1" t="s">
        <v>2181</v>
      </c>
      <c r="V1759" s="1" t="s">
        <v>45</v>
      </c>
      <c r="W1759" s="1"/>
      <c r="X1759" s="1"/>
      <c r="Y1759" s="1"/>
      <c r="Z1759" s="1" t="s">
        <v>658</v>
      </c>
      <c r="AA1759" s="1" t="s">
        <v>6200</v>
      </c>
      <c r="AB1759" s="1" t="s">
        <v>6201</v>
      </c>
      <c r="AC1759" s="1" t="s">
        <v>46</v>
      </c>
      <c r="AD1759" s="1" t="s">
        <v>6190</v>
      </c>
      <c r="AE1759" s="1"/>
      <c r="AF1759" s="1"/>
      <c r="AG1759" s="1"/>
      <c r="AH1759" s="1" t="s">
        <v>45</v>
      </c>
      <c r="AI1759" s="1" t="s">
        <v>6191</v>
      </c>
      <c r="AJ1759" s="3">
        <v>43197.470138888886</v>
      </c>
      <c r="AK1759" s="1" t="s">
        <v>5871</v>
      </c>
    </row>
    <row r="1760" spans="1:37">
      <c r="A1760" s="1" t="str">
        <f>VLOOKUP(H1760,Languages!$A$2:$B$430,2,FALSE)</f>
        <v>Tungusic</v>
      </c>
      <c r="B1760" s="1" t="s">
        <v>1812</v>
      </c>
      <c r="C1760" s="1" t="s">
        <v>317</v>
      </c>
      <c r="D1760" s="1" t="s">
        <v>318</v>
      </c>
      <c r="E1760" s="15" t="s">
        <v>319</v>
      </c>
      <c r="F1760" s="15" t="s">
        <v>319</v>
      </c>
      <c r="G1760" s="1" t="s">
        <v>319</v>
      </c>
      <c r="H1760" s="1" t="str">
        <f>VLOOKUP(G1760,'languoid 4.0'!$A$1:$I$24439,2,FALSE)</f>
        <v>tung1282</v>
      </c>
      <c r="I1760" s="1" t="str">
        <f>VLOOKUP(G1760,'languoid 4.0'!$A$1:$I$24439,6,FALSE)</f>
        <v>language</v>
      </c>
      <c r="J1760" s="15" t="s">
        <v>38</v>
      </c>
      <c r="K1760" s="15" t="s">
        <v>38</v>
      </c>
      <c r="L1760" s="15" t="s">
        <v>38</v>
      </c>
      <c r="M1760" s="1"/>
      <c r="N1760" s="1" t="s">
        <v>320</v>
      </c>
      <c r="O1760" s="15" t="s">
        <v>40</v>
      </c>
      <c r="P1760" s="15" t="s">
        <v>41</v>
      </c>
      <c r="Q1760" s="1" t="s">
        <v>6852</v>
      </c>
      <c r="R1760" s="2" t="s">
        <v>6853</v>
      </c>
      <c r="S1760" s="1" t="s">
        <v>272</v>
      </c>
      <c r="T1760" s="1" t="s">
        <v>6845</v>
      </c>
      <c r="U1760" s="1" t="s">
        <v>636</v>
      </c>
      <c r="V1760" s="1" t="s">
        <v>45</v>
      </c>
      <c r="W1760" s="1"/>
      <c r="X1760" s="1"/>
      <c r="Y1760" s="1"/>
      <c r="Z1760" s="1" t="s">
        <v>658</v>
      </c>
      <c r="AA1760" s="1" t="s">
        <v>46</v>
      </c>
      <c r="AB1760" s="1" t="s">
        <v>46</v>
      </c>
      <c r="AC1760" s="1" t="s">
        <v>46</v>
      </c>
      <c r="AD1760" s="1" t="s">
        <v>6850</v>
      </c>
      <c r="AE1760" s="1" t="s">
        <v>641</v>
      </c>
      <c r="AF1760" s="1" t="s">
        <v>190</v>
      </c>
      <c r="AG1760" s="1">
        <v>6</v>
      </c>
      <c r="AH1760" s="1" t="s">
        <v>190</v>
      </c>
      <c r="AI1760" s="1"/>
      <c r="AJ1760" s="1" t="s">
        <v>6854</v>
      </c>
      <c r="AK1760" s="1" t="s">
        <v>5871</v>
      </c>
    </row>
    <row r="1761" spans="1:37">
      <c r="A1761" s="1" t="str">
        <f>VLOOKUP(H1761,Languages!$A$2:$B$430,2,FALSE)</f>
        <v>Tungusic</v>
      </c>
      <c r="B1761" s="1" t="s">
        <v>1707</v>
      </c>
      <c r="C1761" s="1" t="s">
        <v>317</v>
      </c>
      <c r="D1761" s="1" t="s">
        <v>2122</v>
      </c>
      <c r="E1761" s="15" t="s">
        <v>2123</v>
      </c>
      <c r="F1761" s="15" t="s">
        <v>51</v>
      </c>
      <c r="G1761" s="1" t="s">
        <v>2123</v>
      </c>
      <c r="H1761" s="1" t="str">
        <f>VLOOKUP(G1761,'languoid 4.0'!$A$1:$I$24439,2,FALSE)</f>
        <v>tung1282</v>
      </c>
      <c r="I1761" s="1" t="str">
        <f>VLOOKUP(G1761,'languoid 4.0'!$A$1:$I$24439,6,FALSE)</f>
        <v>language</v>
      </c>
      <c r="J1761" s="15" t="s">
        <v>52</v>
      </c>
      <c r="K1761" s="15" t="s">
        <v>51</v>
      </c>
      <c r="L1761" s="15" t="s">
        <v>51</v>
      </c>
      <c r="M1761" s="1"/>
      <c r="N1761" s="1" t="s">
        <v>2124</v>
      </c>
      <c r="O1761" s="15" t="s">
        <v>40</v>
      </c>
      <c r="P1761" s="15" t="s">
        <v>41</v>
      </c>
      <c r="Q1761" s="1" t="s">
        <v>3382</v>
      </c>
      <c r="R1761" s="2" t="s">
        <v>3383</v>
      </c>
      <c r="S1761" s="1" t="s">
        <v>46</v>
      </c>
      <c r="T1761" s="1" t="s">
        <v>635</v>
      </c>
      <c r="U1761" s="1" t="s">
        <v>3384</v>
      </c>
      <c r="V1761" s="1" t="s">
        <v>45</v>
      </c>
      <c r="W1761" s="1"/>
      <c r="X1761" s="1"/>
      <c r="Y1761" s="1"/>
      <c r="Z1761" s="1" t="s">
        <v>658</v>
      </c>
      <c r="AA1761" s="1" t="s">
        <v>3385</v>
      </c>
      <c r="AB1761" s="1" t="s">
        <v>46</v>
      </c>
      <c r="AC1761" s="1" t="s">
        <v>46</v>
      </c>
      <c r="AD1761" s="1"/>
      <c r="AE1761" s="1" t="s">
        <v>641</v>
      </c>
      <c r="AF1761" s="1" t="s">
        <v>190</v>
      </c>
      <c r="AG1761" s="1">
        <v>4</v>
      </c>
      <c r="AH1761" s="1" t="s">
        <v>190</v>
      </c>
      <c r="AI1761" s="1"/>
      <c r="AJ1761" s="1" t="s">
        <v>3386</v>
      </c>
      <c r="AK1761" s="1" t="s">
        <v>2040</v>
      </c>
    </row>
    <row r="1762" spans="1:37">
      <c r="A1762" s="1" t="str">
        <f>VLOOKUP(H1762,Languages!$A$2:$B$430,2,FALSE)</f>
        <v>Tungusic</v>
      </c>
      <c r="B1762" s="1" t="s">
        <v>1707</v>
      </c>
      <c r="C1762" s="1" t="s">
        <v>317</v>
      </c>
      <c r="D1762" s="1" t="s">
        <v>6855</v>
      </c>
      <c r="E1762" s="15" t="s">
        <v>319</v>
      </c>
      <c r="F1762" s="15" t="s">
        <v>319</v>
      </c>
      <c r="G1762" s="1" t="s">
        <v>319</v>
      </c>
      <c r="H1762" s="1" t="str">
        <f>VLOOKUP(G1762,'languoid 4.0'!$A$1:$I$24439,2,FALSE)</f>
        <v>tung1282</v>
      </c>
      <c r="I1762" s="1" t="str">
        <f>VLOOKUP(G1762,'languoid 4.0'!$A$1:$I$24439,6,FALSE)</f>
        <v>language</v>
      </c>
      <c r="J1762" s="15" t="s">
        <v>38</v>
      </c>
      <c r="K1762" s="15" t="s">
        <v>38</v>
      </c>
      <c r="L1762" s="15" t="s">
        <v>38</v>
      </c>
      <c r="M1762" s="1"/>
      <c r="N1762" s="1" t="s">
        <v>320</v>
      </c>
      <c r="O1762" s="15" t="s">
        <v>40</v>
      </c>
      <c r="P1762" s="15" t="s">
        <v>41</v>
      </c>
      <c r="Q1762" s="1" t="s">
        <v>6857</v>
      </c>
      <c r="R1762" s="2" t="s">
        <v>6853</v>
      </c>
      <c r="S1762" s="1" t="s">
        <v>387</v>
      </c>
      <c r="T1762" s="1" t="s">
        <v>6845</v>
      </c>
      <c r="U1762" s="1" t="s">
        <v>636</v>
      </c>
      <c r="V1762" s="1" t="s">
        <v>45</v>
      </c>
      <c r="W1762" s="1"/>
      <c r="X1762" s="1"/>
      <c r="Y1762" s="1"/>
      <c r="Z1762" s="1" t="s">
        <v>658</v>
      </c>
      <c r="AA1762" s="1" t="s">
        <v>46</v>
      </c>
      <c r="AB1762" s="1" t="s">
        <v>46</v>
      </c>
      <c r="AC1762" s="1" t="s">
        <v>46</v>
      </c>
      <c r="AD1762" s="1" t="s">
        <v>6850</v>
      </c>
      <c r="AE1762" s="1" t="s">
        <v>641</v>
      </c>
      <c r="AF1762" s="1" t="s">
        <v>190</v>
      </c>
      <c r="AG1762" s="1">
        <v>6</v>
      </c>
      <c r="AH1762" s="1" t="s">
        <v>190</v>
      </c>
      <c r="AI1762" s="1"/>
      <c r="AJ1762" s="1" t="s">
        <v>6858</v>
      </c>
      <c r="AK1762" s="1" t="s">
        <v>5871</v>
      </c>
    </row>
    <row r="1763" spans="1:37">
      <c r="A1763" s="1" t="str">
        <f>VLOOKUP(H1763,Languages!$A$2:$B$430,2,FALSE)</f>
        <v>Tupian</v>
      </c>
      <c r="B1763" s="1" t="s">
        <v>67</v>
      </c>
      <c r="C1763" s="1" t="s">
        <v>477</v>
      </c>
      <c r="D1763" s="1" t="s">
        <v>875</v>
      </c>
      <c r="E1763" s="15" t="s">
        <v>876</v>
      </c>
      <c r="F1763" s="15" t="s">
        <v>876</v>
      </c>
      <c r="G1763" s="1" t="s">
        <v>876</v>
      </c>
      <c r="H1763" s="1" t="str">
        <f>VLOOKUP(G1763,'languoid 4.0'!$A$1:$I$24439,2,FALSE)</f>
        <v>tupi1275</v>
      </c>
      <c r="I1763" s="1" t="str">
        <f>VLOOKUP(G1763,'languoid 4.0'!$A$1:$I$24439,6,FALSE)</f>
        <v>language</v>
      </c>
      <c r="J1763" s="15" t="s">
        <v>38</v>
      </c>
      <c r="K1763" s="15" t="s">
        <v>38</v>
      </c>
      <c r="L1763" s="15" t="s">
        <v>38</v>
      </c>
      <c r="M1763" s="1"/>
      <c r="N1763" s="1" t="s">
        <v>877</v>
      </c>
      <c r="O1763" s="15" t="s">
        <v>40</v>
      </c>
      <c r="P1763" s="15" t="s">
        <v>41</v>
      </c>
      <c r="Q1763" s="1" t="s">
        <v>878</v>
      </c>
      <c r="R1763" s="2" t="s">
        <v>879</v>
      </c>
      <c r="S1763" s="1" t="s">
        <v>46</v>
      </c>
      <c r="T1763" s="1" t="s">
        <v>635</v>
      </c>
      <c r="U1763" s="1" t="s">
        <v>636</v>
      </c>
      <c r="V1763" s="1" t="s">
        <v>45</v>
      </c>
      <c r="W1763" s="1"/>
      <c r="X1763" s="1"/>
      <c r="Y1763" s="1"/>
      <c r="Z1763" s="1" t="s">
        <v>637</v>
      </c>
      <c r="AA1763" s="1" t="s">
        <v>880</v>
      </c>
      <c r="AB1763" s="1" t="s">
        <v>881</v>
      </c>
      <c r="AC1763" s="1" t="s">
        <v>46</v>
      </c>
      <c r="AD1763" s="1"/>
      <c r="AE1763" s="1" t="s">
        <v>641</v>
      </c>
      <c r="AF1763" s="1" t="s">
        <v>190</v>
      </c>
      <c r="AG1763" s="1">
        <v>5</v>
      </c>
      <c r="AH1763" s="1" t="s">
        <v>190</v>
      </c>
      <c r="AI1763" s="1"/>
      <c r="AJ1763" s="3">
        <v>43253.582187499997</v>
      </c>
      <c r="AK1763" s="1" t="s">
        <v>651</v>
      </c>
    </row>
    <row r="1764" spans="1:37">
      <c r="A1764" s="1" t="str">
        <f>VLOOKUP(H1764,Languages!$A$2:$B$430,2,FALSE)</f>
        <v>Tupian</v>
      </c>
      <c r="B1764" s="1" t="s">
        <v>67</v>
      </c>
      <c r="C1764" s="1" t="s">
        <v>407</v>
      </c>
      <c r="D1764" s="1" t="s">
        <v>11507</v>
      </c>
      <c r="E1764" s="15" t="s">
        <v>11508</v>
      </c>
      <c r="F1764" s="15" t="s">
        <v>11508</v>
      </c>
      <c r="G1764" s="1" t="s">
        <v>11508</v>
      </c>
      <c r="H1764" s="1" t="str">
        <f>VLOOKUP(G1764,'languoid 4.0'!$A$1:$I$24439,2,FALSE)</f>
        <v>tupi1275</v>
      </c>
      <c r="I1764" s="1" t="str">
        <f>VLOOKUP(G1764,'languoid 4.0'!$A$1:$I$24439,6,FALSE)</f>
        <v>language</v>
      </c>
      <c r="J1764" s="15" t="s">
        <v>38</v>
      </c>
      <c r="K1764" s="15" t="s">
        <v>38</v>
      </c>
      <c r="L1764" s="15" t="s">
        <v>38</v>
      </c>
      <c r="M1764" s="1"/>
      <c r="N1764" s="1" t="s">
        <v>11509</v>
      </c>
      <c r="O1764" s="15" t="s">
        <v>40</v>
      </c>
      <c r="P1764" s="15" t="s">
        <v>41</v>
      </c>
      <c r="Q1764" s="1" t="s">
        <v>11510</v>
      </c>
      <c r="R1764" s="2" t="s">
        <v>11511</v>
      </c>
      <c r="S1764" s="1" t="s">
        <v>2080</v>
      </c>
      <c r="T1764" s="1" t="s">
        <v>1689</v>
      </c>
      <c r="U1764" s="1" t="s">
        <v>636</v>
      </c>
      <c r="V1764" s="1" t="s">
        <v>45</v>
      </c>
      <c r="W1764" s="1"/>
      <c r="X1764" s="1"/>
      <c r="Y1764" s="1"/>
      <c r="Z1764" s="1" t="s">
        <v>658</v>
      </c>
      <c r="AA1764" s="1" t="s">
        <v>11512</v>
      </c>
      <c r="AB1764" s="1" t="s">
        <v>46</v>
      </c>
      <c r="AC1764" s="1" t="s">
        <v>46</v>
      </c>
      <c r="AD1764" s="1"/>
      <c r="AE1764" s="1"/>
      <c r="AF1764" s="1"/>
      <c r="AG1764" s="1"/>
      <c r="AH1764" s="1" t="s">
        <v>45</v>
      </c>
      <c r="AI1764" s="1"/>
      <c r="AJ1764" s="3">
        <v>43525.88590277778</v>
      </c>
      <c r="AK1764" s="1" t="s">
        <v>10927</v>
      </c>
    </row>
    <row r="1765" spans="1:37">
      <c r="A1765" s="1" t="str">
        <f>VLOOKUP(H1765,Languages!$A$2:$B$430,2,FALSE)</f>
        <v>Tupian</v>
      </c>
      <c r="B1765" s="1" t="s">
        <v>109</v>
      </c>
      <c r="C1765" s="1" t="s">
        <v>407</v>
      </c>
      <c r="D1765" s="1" t="s">
        <v>408</v>
      </c>
      <c r="E1765" s="15" t="s">
        <v>409</v>
      </c>
      <c r="F1765" s="15" t="s">
        <v>51</v>
      </c>
      <c r="G1765" s="1" t="s">
        <v>409</v>
      </c>
      <c r="H1765" s="1" t="str">
        <f>VLOOKUP(G1765,'languoid 4.0'!$A$1:$I$24439,2,FALSE)</f>
        <v>tupi1275</v>
      </c>
      <c r="I1765" s="1" t="str">
        <f>VLOOKUP(G1765,'languoid 4.0'!$A$1:$I$24439,6,FALSE)</f>
        <v>family</v>
      </c>
      <c r="J1765" s="15" t="s">
        <v>52</v>
      </c>
      <c r="K1765" s="15" t="s">
        <v>51</v>
      </c>
      <c r="L1765" s="15" t="s">
        <v>51</v>
      </c>
      <c r="M1765" s="1"/>
      <c r="N1765" s="1"/>
      <c r="O1765" s="15" t="s">
        <v>113</v>
      </c>
      <c r="P1765" s="15" t="s">
        <v>41</v>
      </c>
      <c r="Q1765" s="1" t="s">
        <v>2707</v>
      </c>
      <c r="R1765" s="2" t="s">
        <v>2708</v>
      </c>
      <c r="S1765" s="1" t="s">
        <v>116</v>
      </c>
      <c r="T1765" s="1" t="s">
        <v>44</v>
      </c>
      <c r="U1765" s="1"/>
      <c r="V1765" s="1" t="s">
        <v>45</v>
      </c>
      <c r="W1765" s="1"/>
      <c r="X1765" s="1"/>
      <c r="Y1765" s="1"/>
      <c r="Z1765" s="1" t="s">
        <v>637</v>
      </c>
      <c r="AA1765" s="1">
        <v>2</v>
      </c>
      <c r="AB1765" s="1">
        <v>2</v>
      </c>
      <c r="AC1765" s="1" t="s">
        <v>46</v>
      </c>
      <c r="AD1765" s="1"/>
      <c r="AE1765" s="1"/>
      <c r="AF1765" s="1"/>
      <c r="AG1765" s="1"/>
      <c r="AH1765" s="1"/>
      <c r="AI1765" s="1"/>
      <c r="AJ1765" s="3">
        <v>43347.780740740738</v>
      </c>
      <c r="AK1765" s="1" t="s">
        <v>47</v>
      </c>
    </row>
    <row r="1766" spans="1:37">
      <c r="A1766" s="1" t="str">
        <f>VLOOKUP(H1766,Languages!$A$2:$B$430,2,FALSE)</f>
        <v>Tupian</v>
      </c>
      <c r="B1766" s="1" t="s">
        <v>35</v>
      </c>
      <c r="C1766" s="1" t="s">
        <v>477</v>
      </c>
      <c r="D1766" s="1" t="s">
        <v>2419</v>
      </c>
      <c r="E1766" s="15" t="s">
        <v>2420</v>
      </c>
      <c r="F1766" s="15" t="s">
        <v>51</v>
      </c>
      <c r="G1766" s="1" t="s">
        <v>2421</v>
      </c>
      <c r="H1766" s="1" t="str">
        <f>VLOOKUP(G1766,'languoid 4.0'!$A$1:$I$24439,2,FALSE)</f>
        <v>tupi1275</v>
      </c>
      <c r="I1766" s="1" t="str">
        <f>VLOOKUP(G1766,'languoid 4.0'!$A$1:$I$24439,6,FALSE)</f>
        <v>language</v>
      </c>
      <c r="J1766" s="15" t="s">
        <v>52</v>
      </c>
      <c r="K1766" s="15" t="s">
        <v>51</v>
      </c>
      <c r="L1766" s="15" t="s">
        <v>51</v>
      </c>
      <c r="M1766" s="1"/>
      <c r="N1766" s="1" t="s">
        <v>2422</v>
      </c>
      <c r="O1766" s="15" t="s">
        <v>40</v>
      </c>
      <c r="P1766" s="15" t="s">
        <v>41</v>
      </c>
      <c r="Q1766" s="1" t="s">
        <v>2423</v>
      </c>
      <c r="R1766" s="2" t="s">
        <v>2424</v>
      </c>
      <c r="S1766" s="4">
        <v>43526</v>
      </c>
      <c r="T1766" s="1" t="s">
        <v>1689</v>
      </c>
      <c r="U1766" s="1" t="s">
        <v>636</v>
      </c>
      <c r="V1766" s="1" t="s">
        <v>45</v>
      </c>
      <c r="W1766" s="1"/>
      <c r="X1766" s="1"/>
      <c r="Y1766" s="1"/>
      <c r="Z1766" s="1" t="s">
        <v>658</v>
      </c>
      <c r="AA1766" s="1" t="s">
        <v>2425</v>
      </c>
      <c r="AB1766" s="1" t="s">
        <v>46</v>
      </c>
      <c r="AC1766" s="1" t="s">
        <v>46</v>
      </c>
      <c r="AD1766" s="1"/>
      <c r="AE1766" s="1" t="s">
        <v>641</v>
      </c>
      <c r="AF1766" s="1" t="s">
        <v>190</v>
      </c>
      <c r="AG1766" s="1">
        <v>4</v>
      </c>
      <c r="AH1766" s="1" t="s">
        <v>190</v>
      </c>
      <c r="AI1766" s="1"/>
      <c r="AJ1766" s="1" t="s">
        <v>2426</v>
      </c>
      <c r="AK1766" s="1" t="s">
        <v>651</v>
      </c>
    </row>
    <row r="1767" spans="1:37">
      <c r="A1767" s="1" t="str">
        <f>VLOOKUP(H1767,Languages!$A$2:$B$430,2,FALSE)</f>
        <v>Tupian</v>
      </c>
      <c r="B1767" s="1" t="s">
        <v>35</v>
      </c>
      <c r="C1767" s="1" t="s">
        <v>407</v>
      </c>
      <c r="D1767" s="1" t="s">
        <v>408</v>
      </c>
      <c r="E1767" s="15" t="s">
        <v>409</v>
      </c>
      <c r="F1767" s="15" t="s">
        <v>239</v>
      </c>
      <c r="G1767" s="1" t="s">
        <v>409</v>
      </c>
      <c r="H1767" s="1" t="str">
        <f>VLOOKUP(G1767,'languoid 4.0'!$A$1:$I$24439,2,FALSE)</f>
        <v>tupi1275</v>
      </c>
      <c r="I1767" s="1" t="str">
        <f>VLOOKUP(G1767,'languoid 4.0'!$A$1:$I$24439,6,FALSE)</f>
        <v>family</v>
      </c>
      <c r="J1767" s="15" t="s">
        <v>52</v>
      </c>
      <c r="K1767" s="15" t="s">
        <v>52</v>
      </c>
      <c r="L1767" s="15" t="s">
        <v>52</v>
      </c>
      <c r="M1767" s="1"/>
      <c r="N1767" s="1"/>
      <c r="O1767" s="15" t="s">
        <v>113</v>
      </c>
      <c r="P1767" s="15" t="s">
        <v>41</v>
      </c>
      <c r="Q1767" s="1" t="s">
        <v>410</v>
      </c>
      <c r="R1767" s="2" t="s">
        <v>411</v>
      </c>
      <c r="S1767" s="1" t="s">
        <v>412</v>
      </c>
      <c r="T1767" s="1" t="s">
        <v>44</v>
      </c>
      <c r="U1767" s="1"/>
      <c r="V1767" s="1" t="s">
        <v>45</v>
      </c>
      <c r="W1767" s="1"/>
      <c r="X1767" s="1"/>
      <c r="Y1767" s="1"/>
      <c r="Z1767" s="1"/>
      <c r="AA1767" s="1">
        <v>21</v>
      </c>
      <c r="AB1767" s="1">
        <v>21</v>
      </c>
      <c r="AC1767" s="1">
        <v>21</v>
      </c>
      <c r="AD1767" s="1"/>
      <c r="AE1767" s="1"/>
      <c r="AF1767" s="1"/>
      <c r="AG1767" s="1"/>
      <c r="AH1767" s="1"/>
      <c r="AI1767" s="1"/>
      <c r="AJ1767" s="3">
        <v>43102.747152777774</v>
      </c>
      <c r="AK1767" s="1" t="s">
        <v>57</v>
      </c>
    </row>
    <row r="1768" spans="1:37">
      <c r="A1768" s="1" t="str">
        <f>VLOOKUP(H1768,Languages!$A$2:$B$430,2,FALSE)</f>
        <v>Tupian</v>
      </c>
      <c r="B1768" s="1" t="s">
        <v>1812</v>
      </c>
      <c r="C1768" s="1" t="s">
        <v>477</v>
      </c>
      <c r="D1768" s="1" t="s">
        <v>2444</v>
      </c>
      <c r="E1768" s="15" t="s">
        <v>876</v>
      </c>
      <c r="F1768" s="15" t="s">
        <v>876</v>
      </c>
      <c r="G1768" s="1" t="s">
        <v>876</v>
      </c>
      <c r="H1768" s="1" t="str">
        <f>VLOOKUP(G1768,'languoid 4.0'!$A$1:$I$24439,2,FALSE)</f>
        <v>tupi1275</v>
      </c>
      <c r="I1768" s="1" t="str">
        <f>VLOOKUP(G1768,'languoid 4.0'!$A$1:$I$24439,6,FALSE)</f>
        <v>language</v>
      </c>
      <c r="J1768" s="15" t="s">
        <v>38</v>
      </c>
      <c r="K1768" s="15" t="s">
        <v>38</v>
      </c>
      <c r="L1768" s="15" t="s">
        <v>38</v>
      </c>
      <c r="M1768" s="1"/>
      <c r="N1768" s="1" t="s">
        <v>877</v>
      </c>
      <c r="O1768" s="15" t="s">
        <v>40</v>
      </c>
      <c r="P1768" s="15" t="s">
        <v>41</v>
      </c>
      <c r="Q1768" s="1" t="s">
        <v>2445</v>
      </c>
      <c r="R1768" s="2" t="s">
        <v>2446</v>
      </c>
      <c r="S1768" s="1">
        <v>1</v>
      </c>
      <c r="T1768" s="1" t="s">
        <v>1689</v>
      </c>
      <c r="U1768" s="1" t="s">
        <v>636</v>
      </c>
      <c r="V1768" s="1" t="s">
        <v>45</v>
      </c>
      <c r="W1768" s="1"/>
      <c r="X1768" s="1"/>
      <c r="Y1768" s="1"/>
      <c r="Z1768" s="1" t="s">
        <v>673</v>
      </c>
      <c r="AA1768" s="1" t="s">
        <v>46</v>
      </c>
      <c r="AB1768" s="1" t="s">
        <v>2447</v>
      </c>
      <c r="AC1768" s="1" t="s">
        <v>46</v>
      </c>
      <c r="AD1768" s="1"/>
      <c r="AE1768" s="1" t="s">
        <v>641</v>
      </c>
      <c r="AF1768" s="1" t="s">
        <v>190</v>
      </c>
      <c r="AG1768" s="1">
        <v>4</v>
      </c>
      <c r="AH1768" s="1" t="s">
        <v>190</v>
      </c>
      <c r="AI1768" s="1"/>
      <c r="AJ1768" s="1" t="s">
        <v>2448</v>
      </c>
      <c r="AK1768" s="1" t="s">
        <v>651</v>
      </c>
    </row>
    <row r="1769" spans="1:37">
      <c r="A1769" s="1" t="str">
        <f>VLOOKUP(H1769,Languages!$A$2:$B$430,2,FALSE)</f>
        <v>Tupian</v>
      </c>
      <c r="B1769" s="1" t="s">
        <v>1707</v>
      </c>
      <c r="C1769" s="1" t="s">
        <v>407</v>
      </c>
      <c r="D1769" s="1" t="s">
        <v>9148</v>
      </c>
      <c r="E1769" s="15" t="s">
        <v>409</v>
      </c>
      <c r="F1769" s="15" t="s">
        <v>9149</v>
      </c>
      <c r="G1769" s="1" t="s">
        <v>9149</v>
      </c>
      <c r="H1769" s="1" t="str">
        <f>VLOOKUP(G1769,'languoid 4.0'!$A$1:$I$24439,2,FALSE)</f>
        <v>tupi1275</v>
      </c>
      <c r="I1769" s="1" t="str">
        <f>VLOOKUP(G1769,'languoid 4.0'!$A$1:$I$24439,6,FALSE)</f>
        <v>language</v>
      </c>
      <c r="J1769" s="15" t="s">
        <v>52</v>
      </c>
      <c r="K1769" s="15" t="s">
        <v>38</v>
      </c>
      <c r="L1769" s="15" t="s">
        <v>38</v>
      </c>
      <c r="M1769" s="1"/>
      <c r="N1769" s="1"/>
      <c r="O1769" s="15" t="s">
        <v>113</v>
      </c>
      <c r="P1769" s="15" t="s">
        <v>41</v>
      </c>
      <c r="Q1769" s="1" t="s">
        <v>9150</v>
      </c>
      <c r="R1769" s="2" t="s">
        <v>9151</v>
      </c>
      <c r="S1769" s="1" t="s">
        <v>46</v>
      </c>
      <c r="T1769" s="1" t="s">
        <v>635</v>
      </c>
      <c r="U1769" s="1" t="s">
        <v>636</v>
      </c>
      <c r="V1769" s="1" t="s">
        <v>45</v>
      </c>
      <c r="W1769" s="1"/>
      <c r="X1769" s="1"/>
      <c r="Y1769" s="1"/>
      <c r="Z1769" s="1" t="s">
        <v>637</v>
      </c>
      <c r="AA1769" s="1" t="s">
        <v>9152</v>
      </c>
      <c r="AB1769" s="1" t="s">
        <v>9153</v>
      </c>
      <c r="AC1769" s="1" t="s">
        <v>46</v>
      </c>
      <c r="AD1769" s="1"/>
      <c r="AE1769" s="1"/>
      <c r="AF1769" s="1"/>
      <c r="AG1769" s="1"/>
      <c r="AH1769" s="1" t="s">
        <v>45</v>
      </c>
      <c r="AI1769" s="1"/>
      <c r="AJ1769" s="1" t="s">
        <v>9154</v>
      </c>
      <c r="AK1769" s="1" t="s">
        <v>4386</v>
      </c>
    </row>
    <row r="1770" spans="1:37">
      <c r="A1770" s="1" t="str">
        <f>VLOOKUP(H1770,Languages!$A$2:$B$430,2,FALSE)</f>
        <v>Tupian</v>
      </c>
      <c r="B1770" s="1" t="s">
        <v>1707</v>
      </c>
      <c r="C1770" s="1" t="s">
        <v>407</v>
      </c>
      <c r="D1770" s="1" t="s">
        <v>9148</v>
      </c>
      <c r="E1770" s="15" t="s">
        <v>409</v>
      </c>
      <c r="F1770" s="15" t="s">
        <v>9149</v>
      </c>
      <c r="G1770" s="1" t="s">
        <v>9149</v>
      </c>
      <c r="H1770" s="1" t="str">
        <f>VLOOKUP(G1770,'languoid 4.0'!$A$1:$I$24439,2,FALSE)</f>
        <v>tupi1275</v>
      </c>
      <c r="I1770" s="1" t="str">
        <f>VLOOKUP(G1770,'languoid 4.0'!$A$1:$I$24439,6,FALSE)</f>
        <v>language</v>
      </c>
      <c r="J1770" s="15" t="s">
        <v>52</v>
      </c>
      <c r="K1770" s="15" t="s">
        <v>38</v>
      </c>
      <c r="L1770" s="15" t="s">
        <v>38</v>
      </c>
      <c r="M1770" s="1"/>
      <c r="N1770" s="1"/>
      <c r="O1770" s="15" t="s">
        <v>113</v>
      </c>
      <c r="P1770" s="15" t="s">
        <v>41</v>
      </c>
      <c r="Q1770" s="1" t="s">
        <v>10158</v>
      </c>
      <c r="R1770" s="2" t="s">
        <v>9151</v>
      </c>
      <c r="S1770" s="1" t="s">
        <v>46</v>
      </c>
      <c r="T1770" s="1" t="s">
        <v>635</v>
      </c>
      <c r="U1770" s="1" t="s">
        <v>636</v>
      </c>
      <c r="V1770" s="1" t="s">
        <v>45</v>
      </c>
      <c r="W1770" s="1"/>
      <c r="X1770" s="1"/>
      <c r="Y1770" s="1"/>
      <c r="Z1770" s="1" t="s">
        <v>637</v>
      </c>
      <c r="AA1770" s="1" t="s">
        <v>10159</v>
      </c>
      <c r="AB1770" s="1" t="s">
        <v>10160</v>
      </c>
      <c r="AC1770" s="1" t="s">
        <v>46</v>
      </c>
      <c r="AD1770" s="1"/>
      <c r="AE1770" s="1"/>
      <c r="AF1770" s="1"/>
      <c r="AG1770" s="1"/>
      <c r="AH1770" s="1" t="s">
        <v>45</v>
      </c>
      <c r="AI1770" s="1"/>
      <c r="AJ1770" s="1" t="s">
        <v>10161</v>
      </c>
      <c r="AK1770" s="1" t="s">
        <v>4386</v>
      </c>
    </row>
    <row r="1771" spans="1:37">
      <c r="A1771" s="1" t="str">
        <f>VLOOKUP(H1771,Languages!$A$2:$B$430,2,FALSE)</f>
        <v>Tupian</v>
      </c>
      <c r="B1771" s="1" t="s">
        <v>1707</v>
      </c>
      <c r="C1771" s="1" t="s">
        <v>407</v>
      </c>
      <c r="D1771" s="1" t="s">
        <v>9148</v>
      </c>
      <c r="E1771" s="15" t="s">
        <v>409</v>
      </c>
      <c r="F1771" s="15" t="s">
        <v>9149</v>
      </c>
      <c r="G1771" s="1" t="s">
        <v>9149</v>
      </c>
      <c r="H1771" s="1" t="str">
        <f>VLOOKUP(G1771,'languoid 4.0'!$A$1:$I$24439,2,FALSE)</f>
        <v>tupi1275</v>
      </c>
      <c r="I1771" s="1" t="str">
        <f>VLOOKUP(G1771,'languoid 4.0'!$A$1:$I$24439,6,FALSE)</f>
        <v>language</v>
      </c>
      <c r="J1771" s="15" t="s">
        <v>52</v>
      </c>
      <c r="K1771" s="15" t="s">
        <v>38</v>
      </c>
      <c r="L1771" s="15" t="s">
        <v>38</v>
      </c>
      <c r="M1771" s="1"/>
      <c r="N1771" s="1"/>
      <c r="O1771" s="15" t="s">
        <v>113</v>
      </c>
      <c r="P1771" s="15" t="s">
        <v>41</v>
      </c>
      <c r="Q1771" s="1" t="s">
        <v>10162</v>
      </c>
      <c r="R1771" s="2" t="s">
        <v>9151</v>
      </c>
      <c r="S1771" s="1" t="s">
        <v>46</v>
      </c>
      <c r="T1771" s="1" t="s">
        <v>635</v>
      </c>
      <c r="U1771" s="1" t="s">
        <v>636</v>
      </c>
      <c r="V1771" s="1" t="s">
        <v>45</v>
      </c>
      <c r="W1771" s="1"/>
      <c r="X1771" s="1"/>
      <c r="Y1771" s="1"/>
      <c r="Z1771" s="1" t="s">
        <v>637</v>
      </c>
      <c r="AA1771" s="1" t="s">
        <v>10163</v>
      </c>
      <c r="AB1771" s="1" t="s">
        <v>10164</v>
      </c>
      <c r="AC1771" s="1" t="s">
        <v>46</v>
      </c>
      <c r="AD1771" s="1"/>
      <c r="AE1771" s="1"/>
      <c r="AF1771" s="1"/>
      <c r="AG1771" s="1"/>
      <c r="AH1771" s="1" t="s">
        <v>45</v>
      </c>
      <c r="AI1771" s="1"/>
      <c r="AJ1771" s="1" t="s">
        <v>10165</v>
      </c>
      <c r="AK1771" s="1" t="s">
        <v>4386</v>
      </c>
    </row>
    <row r="1772" spans="1:37">
      <c r="A1772" s="1" t="str">
        <f>VLOOKUP(H1772,Languages!$A$2:$B$430,2,FALSE)</f>
        <v>Turkic</v>
      </c>
      <c r="B1772" s="1" t="s">
        <v>67</v>
      </c>
      <c r="C1772" s="1" t="s">
        <v>7017</v>
      </c>
      <c r="D1772" s="1" t="s">
        <v>7366</v>
      </c>
      <c r="E1772" s="15" t="s">
        <v>4402</v>
      </c>
      <c r="F1772" s="15" t="s">
        <v>4402</v>
      </c>
      <c r="G1772" s="1" t="s">
        <v>4402</v>
      </c>
      <c r="H1772" s="1" t="str">
        <f>VLOOKUP(G1772,'languoid 4.0'!$A$1:$I$24439,2,FALSE)</f>
        <v>turk1311</v>
      </c>
      <c r="I1772" s="1" t="str">
        <f>VLOOKUP(G1772,'languoid 4.0'!$A$1:$I$24439,6,FALSE)</f>
        <v>family</v>
      </c>
      <c r="J1772" s="15" t="s">
        <v>38</v>
      </c>
      <c r="K1772" s="15" t="s">
        <v>38</v>
      </c>
      <c r="L1772" s="15" t="s">
        <v>38</v>
      </c>
      <c r="M1772" s="1"/>
      <c r="N1772" s="1"/>
      <c r="O1772" s="15" t="s">
        <v>113</v>
      </c>
      <c r="P1772" s="15" t="s">
        <v>41</v>
      </c>
      <c r="Q1772" s="1" t="s">
        <v>7893</v>
      </c>
      <c r="R1772" s="2" t="s">
        <v>7885</v>
      </c>
      <c r="S1772" s="1" t="s">
        <v>2718</v>
      </c>
      <c r="T1772" s="1" t="s">
        <v>2948</v>
      </c>
      <c r="U1772" s="1" t="s">
        <v>636</v>
      </c>
      <c r="V1772" s="1" t="s">
        <v>45</v>
      </c>
      <c r="W1772" s="1"/>
      <c r="X1772" s="1"/>
      <c r="Y1772" s="1"/>
      <c r="Z1772" s="1" t="s">
        <v>673</v>
      </c>
      <c r="AA1772" s="1" t="s">
        <v>46</v>
      </c>
      <c r="AB1772" s="1" t="s">
        <v>7894</v>
      </c>
      <c r="AC1772" s="1" t="s">
        <v>46</v>
      </c>
      <c r="AD1772" s="1"/>
      <c r="AE1772" s="1" t="s">
        <v>641</v>
      </c>
      <c r="AF1772" s="1" t="s">
        <v>45</v>
      </c>
      <c r="AG1772" s="1">
        <v>1</v>
      </c>
      <c r="AH1772" s="1" t="s">
        <v>190</v>
      </c>
      <c r="AI1772" s="1"/>
      <c r="AJ1772" s="1" t="s">
        <v>7895</v>
      </c>
      <c r="AK1772" s="1" t="s">
        <v>7022</v>
      </c>
    </row>
    <row r="1773" spans="1:37">
      <c r="A1773" s="1" t="str">
        <f>VLOOKUP(H1773,Languages!$A$2:$B$430,2,FALSE)</f>
        <v>Turkic</v>
      </c>
      <c r="B1773" s="1" t="s">
        <v>67</v>
      </c>
      <c r="C1773" s="1" t="s">
        <v>7017</v>
      </c>
      <c r="D1773" s="1" t="s">
        <v>7366</v>
      </c>
      <c r="E1773" s="15" t="s">
        <v>4402</v>
      </c>
      <c r="F1773" s="15" t="s">
        <v>4402</v>
      </c>
      <c r="G1773" s="1" t="s">
        <v>4402</v>
      </c>
      <c r="H1773" s="1" t="str">
        <f>VLOOKUP(G1773,'languoid 4.0'!$A$1:$I$24439,2,FALSE)</f>
        <v>turk1311</v>
      </c>
      <c r="I1773" s="1" t="str">
        <f>VLOOKUP(G1773,'languoid 4.0'!$A$1:$I$24439,6,FALSE)</f>
        <v>family</v>
      </c>
      <c r="J1773" s="15" t="s">
        <v>38</v>
      </c>
      <c r="K1773" s="15" t="s">
        <v>38</v>
      </c>
      <c r="L1773" s="15" t="s">
        <v>38</v>
      </c>
      <c r="M1773" s="1"/>
      <c r="N1773" s="1"/>
      <c r="O1773" s="15" t="s">
        <v>113</v>
      </c>
      <c r="P1773" s="15" t="s">
        <v>41</v>
      </c>
      <c r="Q1773" s="1" t="s">
        <v>7896</v>
      </c>
      <c r="R1773" s="2" t="s">
        <v>7885</v>
      </c>
      <c r="S1773" s="1" t="s">
        <v>2714</v>
      </c>
      <c r="T1773" s="1" t="s">
        <v>2948</v>
      </c>
      <c r="U1773" s="1" t="s">
        <v>636</v>
      </c>
      <c r="V1773" s="1" t="s">
        <v>45</v>
      </c>
      <c r="W1773" s="1"/>
      <c r="X1773" s="1"/>
      <c r="Y1773" s="1"/>
      <c r="Z1773" s="1" t="s">
        <v>673</v>
      </c>
      <c r="AA1773" s="1" t="s">
        <v>46</v>
      </c>
      <c r="AB1773" s="1" t="s">
        <v>7897</v>
      </c>
      <c r="AC1773" s="1" t="s">
        <v>46</v>
      </c>
      <c r="AD1773" s="1"/>
      <c r="AE1773" s="1" t="s">
        <v>641</v>
      </c>
      <c r="AF1773" s="1" t="s">
        <v>45</v>
      </c>
      <c r="AG1773" s="1">
        <v>1</v>
      </c>
      <c r="AH1773" s="1" t="s">
        <v>190</v>
      </c>
      <c r="AI1773" s="1" t="s">
        <v>7898</v>
      </c>
      <c r="AJ1773" s="1" t="s">
        <v>7899</v>
      </c>
      <c r="AK1773" s="1" t="s">
        <v>7022</v>
      </c>
    </row>
    <row r="1774" spans="1:37">
      <c r="A1774" s="1" t="str">
        <f>VLOOKUP(H1774,Languages!$A$2:$B$430,2,FALSE)</f>
        <v>Turkic</v>
      </c>
      <c r="B1774" s="1" t="s">
        <v>67</v>
      </c>
      <c r="C1774" s="1" t="s">
        <v>4965</v>
      </c>
      <c r="D1774" s="1" t="s">
        <v>5222</v>
      </c>
      <c r="E1774" s="15" t="s">
        <v>5223</v>
      </c>
      <c r="F1774" s="15" t="s">
        <v>5224</v>
      </c>
      <c r="G1774" s="1" t="s">
        <v>5223</v>
      </c>
      <c r="H1774" s="1" t="str">
        <f>VLOOKUP(G1774,'languoid 4.0'!$A$1:$I$24439,2,FALSE)</f>
        <v>turk1311</v>
      </c>
      <c r="I1774" s="1" t="str">
        <f>VLOOKUP(G1774,'languoid 4.0'!$A$1:$I$24439,6,FALSE)</f>
        <v>language</v>
      </c>
      <c r="J1774" s="15" t="s">
        <v>52</v>
      </c>
      <c r="K1774" s="15" t="s">
        <v>38</v>
      </c>
      <c r="L1774" s="15" t="s">
        <v>38</v>
      </c>
      <c r="M1774" s="1"/>
      <c r="N1774" s="1" t="s">
        <v>5225</v>
      </c>
      <c r="O1774" s="15" t="s">
        <v>40</v>
      </c>
      <c r="P1774" s="15" t="s">
        <v>41</v>
      </c>
      <c r="Q1774" s="1" t="s">
        <v>5226</v>
      </c>
      <c r="R1774" s="2" t="s">
        <v>5227</v>
      </c>
      <c r="S1774" s="1" t="s">
        <v>5228</v>
      </c>
      <c r="T1774" s="1" t="s">
        <v>635</v>
      </c>
      <c r="U1774" s="1" t="s">
        <v>636</v>
      </c>
      <c r="V1774" s="1" t="s">
        <v>45</v>
      </c>
      <c r="W1774" s="1"/>
      <c r="X1774" s="1"/>
      <c r="Y1774" s="1"/>
      <c r="Z1774" s="1" t="s">
        <v>658</v>
      </c>
      <c r="AA1774" s="1" t="s">
        <v>5229</v>
      </c>
      <c r="AB1774" s="1" t="s">
        <v>46</v>
      </c>
      <c r="AC1774" s="1" t="s">
        <v>46</v>
      </c>
      <c r="AD1774" s="1"/>
      <c r="AE1774" s="1" t="s">
        <v>641</v>
      </c>
      <c r="AF1774" s="1" t="s">
        <v>190</v>
      </c>
      <c r="AG1774" s="1">
        <v>6</v>
      </c>
      <c r="AH1774" s="1" t="s">
        <v>190</v>
      </c>
      <c r="AI1774" s="1"/>
      <c r="AJ1774" s="1" t="s">
        <v>5230</v>
      </c>
      <c r="AK1774" s="1" t="s">
        <v>4975</v>
      </c>
    </row>
    <row r="1775" spans="1:37">
      <c r="A1775" s="1" t="str">
        <f>VLOOKUP(H1775,Languages!$A$2:$B$430,2,FALSE)</f>
        <v>Turkic</v>
      </c>
      <c r="B1775" s="1" t="s">
        <v>67</v>
      </c>
      <c r="C1775" s="1" t="s">
        <v>4965</v>
      </c>
      <c r="D1775" s="1" t="s">
        <v>5273</v>
      </c>
      <c r="E1775" s="15" t="s">
        <v>5223</v>
      </c>
      <c r="F1775" s="15" t="s">
        <v>5224</v>
      </c>
      <c r="G1775" s="1" t="s">
        <v>5223</v>
      </c>
      <c r="H1775" s="1" t="str">
        <f>VLOOKUP(G1775,'languoid 4.0'!$A$1:$I$24439,2,FALSE)</f>
        <v>turk1311</v>
      </c>
      <c r="I1775" s="1" t="str">
        <f>VLOOKUP(G1775,'languoid 4.0'!$A$1:$I$24439,6,FALSE)</f>
        <v>language</v>
      </c>
      <c r="J1775" s="15" t="s">
        <v>52</v>
      </c>
      <c r="K1775" s="15" t="s">
        <v>38</v>
      </c>
      <c r="L1775" s="15" t="s">
        <v>38</v>
      </c>
      <c r="M1775" s="1"/>
      <c r="N1775" s="1" t="s">
        <v>5225</v>
      </c>
      <c r="O1775" s="15" t="s">
        <v>40</v>
      </c>
      <c r="P1775" s="15" t="s">
        <v>41</v>
      </c>
      <c r="Q1775" s="1" t="s">
        <v>5274</v>
      </c>
      <c r="R1775" s="2" t="s">
        <v>5275</v>
      </c>
      <c r="S1775" s="1" t="s">
        <v>5276</v>
      </c>
      <c r="T1775" s="1" t="s">
        <v>635</v>
      </c>
      <c r="U1775" s="1" t="s">
        <v>636</v>
      </c>
      <c r="V1775" s="1" t="s">
        <v>45</v>
      </c>
      <c r="W1775" s="1"/>
      <c r="X1775" s="1"/>
      <c r="Y1775" s="1"/>
      <c r="Z1775" s="1" t="s">
        <v>658</v>
      </c>
      <c r="AA1775" s="1" t="s">
        <v>5277</v>
      </c>
      <c r="AB1775" s="1" t="s">
        <v>5278</v>
      </c>
      <c r="AC1775" s="1" t="s">
        <v>5279</v>
      </c>
      <c r="AD1775" s="1"/>
      <c r="AE1775" s="1" t="s">
        <v>641</v>
      </c>
      <c r="AF1775" s="1" t="s">
        <v>190</v>
      </c>
      <c r="AG1775" s="1">
        <v>6</v>
      </c>
      <c r="AH1775" s="1" t="s">
        <v>190</v>
      </c>
      <c r="AI1775" s="1"/>
      <c r="AJ1775" s="1" t="s">
        <v>5280</v>
      </c>
      <c r="AK1775" s="1" t="s">
        <v>4975</v>
      </c>
    </row>
    <row r="1776" spans="1:37">
      <c r="A1776" s="1" t="str">
        <f>VLOOKUP(H1776,Languages!$A$2:$B$430,2,FALSE)</f>
        <v>Turkic</v>
      </c>
      <c r="B1776" s="1" t="s">
        <v>67</v>
      </c>
      <c r="C1776" s="1" t="s">
        <v>317</v>
      </c>
      <c r="D1776" s="1" t="s">
        <v>2070</v>
      </c>
      <c r="E1776" s="15" t="s">
        <v>2071</v>
      </c>
      <c r="F1776" s="15" t="s">
        <v>2071</v>
      </c>
      <c r="G1776" s="1" t="s">
        <v>2071</v>
      </c>
      <c r="H1776" s="1" t="str">
        <f>VLOOKUP(G1776,'languoid 4.0'!$A$1:$I$24439,2,FALSE)</f>
        <v>turk1311</v>
      </c>
      <c r="I1776" s="1" t="str">
        <f>VLOOKUP(G1776,'languoid 4.0'!$A$1:$I$24439,6,FALSE)</f>
        <v>language</v>
      </c>
      <c r="J1776" s="15" t="s">
        <v>38</v>
      </c>
      <c r="K1776" s="15" t="s">
        <v>38</v>
      </c>
      <c r="L1776" s="15" t="s">
        <v>38</v>
      </c>
      <c r="M1776" s="1"/>
      <c r="N1776" s="1" t="s">
        <v>2072</v>
      </c>
      <c r="O1776" s="15" t="s">
        <v>40</v>
      </c>
      <c r="P1776" s="15" t="s">
        <v>41</v>
      </c>
      <c r="Q1776" s="1" t="s">
        <v>2118</v>
      </c>
      <c r="R1776" s="2" t="s">
        <v>2119</v>
      </c>
      <c r="S1776" s="1" t="s">
        <v>46</v>
      </c>
      <c r="T1776" s="1" t="s">
        <v>635</v>
      </c>
      <c r="U1776" s="1" t="s">
        <v>636</v>
      </c>
      <c r="V1776" s="1" t="s">
        <v>45</v>
      </c>
      <c r="W1776" s="1"/>
      <c r="X1776" s="1"/>
      <c r="Y1776" s="1"/>
      <c r="Z1776" s="1" t="s">
        <v>658</v>
      </c>
      <c r="AA1776" s="1" t="s">
        <v>2120</v>
      </c>
      <c r="AB1776" s="1" t="s">
        <v>46</v>
      </c>
      <c r="AC1776" s="1" t="s">
        <v>46</v>
      </c>
      <c r="AD1776" s="1"/>
      <c r="AE1776" s="1" t="s">
        <v>641</v>
      </c>
      <c r="AF1776" s="1" t="s">
        <v>190</v>
      </c>
      <c r="AG1776" s="1">
        <v>5</v>
      </c>
      <c r="AH1776" s="1" t="s">
        <v>190</v>
      </c>
      <c r="AI1776" s="1"/>
      <c r="AJ1776" s="1" t="s">
        <v>2121</v>
      </c>
      <c r="AK1776" s="1" t="s">
        <v>2040</v>
      </c>
    </row>
    <row r="1777" spans="1:37">
      <c r="A1777" s="1" t="str">
        <f>VLOOKUP(H1777,Languages!$A$2:$B$430,2,FALSE)</f>
        <v>Turkic</v>
      </c>
      <c r="B1777" s="1" t="s">
        <v>67</v>
      </c>
      <c r="C1777" s="1" t="s">
        <v>58</v>
      </c>
      <c r="D1777" s="1" t="s">
        <v>4409</v>
      </c>
      <c r="E1777" s="15" t="s">
        <v>4410</v>
      </c>
      <c r="F1777" s="15" t="s">
        <v>4410</v>
      </c>
      <c r="G1777" s="1" t="s">
        <v>4410</v>
      </c>
      <c r="H1777" s="1" t="str">
        <f>VLOOKUP(G1777,'languoid 4.0'!$A$1:$I$24439,2,FALSE)</f>
        <v>turk1311</v>
      </c>
      <c r="I1777" s="1" t="str">
        <f>VLOOKUP(G1777,'languoid 4.0'!$A$1:$I$24439,6,FALSE)</f>
        <v>language</v>
      </c>
      <c r="J1777" s="15" t="s">
        <v>38</v>
      </c>
      <c r="K1777" s="15" t="s">
        <v>38</v>
      </c>
      <c r="L1777" s="15" t="s">
        <v>38</v>
      </c>
      <c r="M1777" s="1"/>
      <c r="N1777" s="1" t="s">
        <v>4411</v>
      </c>
      <c r="O1777" s="15" t="s">
        <v>40</v>
      </c>
      <c r="P1777" s="15" t="s">
        <v>41</v>
      </c>
      <c r="Q1777" s="1" t="s">
        <v>4904</v>
      </c>
      <c r="R1777" s="2" t="s">
        <v>4905</v>
      </c>
      <c r="S1777" s="1" t="s">
        <v>579</v>
      </c>
      <c r="T1777" s="1" t="s">
        <v>4906</v>
      </c>
      <c r="U1777" s="1" t="s">
        <v>4907</v>
      </c>
      <c r="V1777" s="1" t="s">
        <v>45</v>
      </c>
      <c r="W1777" s="1"/>
      <c r="X1777" s="1"/>
      <c r="Y1777" s="1"/>
      <c r="Z1777" s="1" t="s">
        <v>658</v>
      </c>
      <c r="AA1777" s="1" t="s">
        <v>4908</v>
      </c>
      <c r="AB1777" s="1" t="s">
        <v>4909</v>
      </c>
      <c r="AC1777" s="1" t="s">
        <v>46</v>
      </c>
      <c r="AD1777" s="1"/>
      <c r="AE1777" s="1" t="s">
        <v>641</v>
      </c>
      <c r="AF1777" s="1" t="s">
        <v>190</v>
      </c>
      <c r="AG1777" s="1">
        <v>6</v>
      </c>
      <c r="AH1777" s="1" t="s">
        <v>190</v>
      </c>
      <c r="AI1777" s="1"/>
      <c r="AJ1777" s="3">
        <v>43440.59134259259</v>
      </c>
      <c r="AK1777" s="1" t="s">
        <v>4408</v>
      </c>
    </row>
    <row r="1778" spans="1:37">
      <c r="A1778" s="1" t="str">
        <f>VLOOKUP(H1778,Languages!$A$2:$B$430,2,FALSE)</f>
        <v>Turkic</v>
      </c>
      <c r="B1778" s="1" t="s">
        <v>59</v>
      </c>
      <c r="C1778" s="1" t="s">
        <v>4965</v>
      </c>
      <c r="D1778" s="1" t="s">
        <v>8379</v>
      </c>
      <c r="E1778" s="15" t="s">
        <v>5223</v>
      </c>
      <c r="F1778" s="15" t="s">
        <v>5223</v>
      </c>
      <c r="G1778" s="1" t="s">
        <v>5223</v>
      </c>
      <c r="H1778" s="1" t="str">
        <f>VLOOKUP(G1778,'languoid 4.0'!$A$1:$I$24439,2,FALSE)</f>
        <v>turk1311</v>
      </c>
      <c r="I1778" s="1" t="str">
        <f>VLOOKUP(G1778,'languoid 4.0'!$A$1:$I$24439,6,FALSE)</f>
        <v>language</v>
      </c>
      <c r="J1778" s="15" t="s">
        <v>38</v>
      </c>
      <c r="K1778" s="15" t="s">
        <v>38</v>
      </c>
      <c r="L1778" s="15" t="s">
        <v>38</v>
      </c>
      <c r="M1778" s="1"/>
      <c r="N1778" s="1" t="s">
        <v>5225</v>
      </c>
      <c r="O1778" s="15" t="s">
        <v>40</v>
      </c>
      <c r="P1778" s="15" t="s">
        <v>41</v>
      </c>
      <c r="Q1778" s="1" t="s">
        <v>8380</v>
      </c>
      <c r="R1778" s="2" t="s">
        <v>8381</v>
      </c>
      <c r="S1778" s="1" t="s">
        <v>8382</v>
      </c>
      <c r="T1778" s="1" t="s">
        <v>657</v>
      </c>
      <c r="U1778" s="1" t="s">
        <v>636</v>
      </c>
      <c r="V1778" s="1" t="s">
        <v>45</v>
      </c>
      <c r="W1778" s="1"/>
      <c r="X1778" s="1"/>
      <c r="Y1778" s="1"/>
      <c r="Z1778" s="1" t="s">
        <v>673</v>
      </c>
      <c r="AA1778" s="1" t="s">
        <v>8383</v>
      </c>
      <c r="AB1778" s="1" t="s">
        <v>8384</v>
      </c>
      <c r="AC1778" s="1" t="s">
        <v>46</v>
      </c>
      <c r="AD1778" s="1"/>
      <c r="AE1778" s="1" t="s">
        <v>641</v>
      </c>
      <c r="AF1778" s="1" t="s">
        <v>190</v>
      </c>
      <c r="AG1778" s="1">
        <v>6</v>
      </c>
      <c r="AH1778" s="1" t="s">
        <v>190</v>
      </c>
      <c r="AI1778" s="1"/>
      <c r="AJ1778" s="1" t="s">
        <v>8385</v>
      </c>
      <c r="AK1778" s="1" t="s">
        <v>4975</v>
      </c>
    </row>
    <row r="1779" spans="1:37">
      <c r="A1779" s="1" t="str">
        <f>VLOOKUP(H1779,Languages!$A$2:$B$430,2,FALSE)</f>
        <v>Turkic</v>
      </c>
      <c r="B1779" s="1" t="s">
        <v>59</v>
      </c>
      <c r="C1779" s="1" t="s">
        <v>4965</v>
      </c>
      <c r="D1779" s="1" t="s">
        <v>8386</v>
      </c>
      <c r="E1779" s="15" t="s">
        <v>3480</v>
      </c>
      <c r="F1779" s="15" t="s">
        <v>3480</v>
      </c>
      <c r="G1779" s="1" t="s">
        <v>3480</v>
      </c>
      <c r="H1779" s="1" t="str">
        <f>VLOOKUP(G1779,'languoid 4.0'!$A$1:$I$24439,2,FALSE)</f>
        <v>turk1311</v>
      </c>
      <c r="I1779" s="1" t="str">
        <f>VLOOKUP(G1779,'languoid 4.0'!$A$1:$I$24439,6,FALSE)</f>
        <v>language</v>
      </c>
      <c r="J1779" s="15" t="s">
        <v>38</v>
      </c>
      <c r="K1779" s="15" t="s">
        <v>38</v>
      </c>
      <c r="L1779" s="15" t="s">
        <v>38</v>
      </c>
      <c r="M1779" s="1"/>
      <c r="N1779" s="1" t="s">
        <v>5566</v>
      </c>
      <c r="O1779" s="15" t="s">
        <v>40</v>
      </c>
      <c r="P1779" s="15" t="s">
        <v>41</v>
      </c>
      <c r="Q1779" s="1" t="s">
        <v>8387</v>
      </c>
      <c r="R1779" s="2" t="s">
        <v>8388</v>
      </c>
      <c r="S1779" s="1" t="s">
        <v>8389</v>
      </c>
      <c r="T1779" s="1" t="s">
        <v>657</v>
      </c>
      <c r="U1779" s="1" t="s">
        <v>636</v>
      </c>
      <c r="V1779" s="1" t="s">
        <v>45</v>
      </c>
      <c r="W1779" s="1"/>
      <c r="X1779" s="1"/>
      <c r="Y1779" s="1"/>
      <c r="Z1779" s="1" t="s">
        <v>673</v>
      </c>
      <c r="AA1779" s="1" t="s">
        <v>8390</v>
      </c>
      <c r="AB1779" s="1" t="s">
        <v>8391</v>
      </c>
      <c r="AC1779" s="1" t="s">
        <v>46</v>
      </c>
      <c r="AD1779" s="1"/>
      <c r="AE1779" s="1" t="s">
        <v>641</v>
      </c>
      <c r="AF1779" s="1" t="s">
        <v>45</v>
      </c>
      <c r="AG1779" s="1">
        <v>1</v>
      </c>
      <c r="AH1779" s="1" t="s">
        <v>190</v>
      </c>
      <c r="AI1779" s="1"/>
      <c r="AJ1779" s="1" t="s">
        <v>8392</v>
      </c>
      <c r="AK1779" s="1" t="s">
        <v>4975</v>
      </c>
    </row>
    <row r="1780" spans="1:37">
      <c r="A1780" s="1" t="str">
        <f>VLOOKUP(H1780,Languages!$A$2:$B$430,2,FALSE)</f>
        <v>Turkic</v>
      </c>
      <c r="B1780" s="1" t="s">
        <v>59</v>
      </c>
      <c r="C1780" s="1" t="s">
        <v>4965</v>
      </c>
      <c r="D1780" s="1" t="s">
        <v>8411</v>
      </c>
      <c r="E1780" s="15" t="s">
        <v>3426</v>
      </c>
      <c r="F1780" s="15" t="s">
        <v>3426</v>
      </c>
      <c r="G1780" s="1" t="s">
        <v>3426</v>
      </c>
      <c r="H1780" s="1" t="str">
        <f>VLOOKUP(G1780,'languoid 4.0'!$A$1:$I$24439,2,FALSE)</f>
        <v>turk1311</v>
      </c>
      <c r="I1780" s="1" t="str">
        <f>VLOOKUP(G1780,'languoid 4.0'!$A$1:$I$24439,6,FALSE)</f>
        <v>language</v>
      </c>
      <c r="J1780" s="15" t="s">
        <v>38</v>
      </c>
      <c r="K1780" s="15" t="s">
        <v>38</v>
      </c>
      <c r="L1780" s="15" t="s">
        <v>38</v>
      </c>
      <c r="M1780" s="1"/>
      <c r="N1780" s="1" t="s">
        <v>3427</v>
      </c>
      <c r="O1780" s="15" t="s">
        <v>40</v>
      </c>
      <c r="P1780" s="15" t="s">
        <v>41</v>
      </c>
      <c r="Q1780" s="1" t="s">
        <v>8412</v>
      </c>
      <c r="R1780" s="2" t="s">
        <v>3433</v>
      </c>
      <c r="S1780" s="1" t="s">
        <v>3434</v>
      </c>
      <c r="T1780" s="1" t="s">
        <v>657</v>
      </c>
      <c r="U1780" s="1" t="s">
        <v>636</v>
      </c>
      <c r="V1780" s="1" t="s">
        <v>45</v>
      </c>
      <c r="W1780" s="1"/>
      <c r="X1780" s="1"/>
      <c r="Y1780" s="1"/>
      <c r="Z1780" s="1" t="s">
        <v>658</v>
      </c>
      <c r="AA1780" s="1" t="s">
        <v>8413</v>
      </c>
      <c r="AB1780" s="1" t="s">
        <v>46</v>
      </c>
      <c r="AC1780" s="1" t="s">
        <v>46</v>
      </c>
      <c r="AD1780" s="1"/>
      <c r="AE1780" s="1" t="s">
        <v>641</v>
      </c>
      <c r="AF1780" s="1" t="s">
        <v>190</v>
      </c>
      <c r="AG1780" s="1">
        <v>6</v>
      </c>
      <c r="AH1780" s="1" t="s">
        <v>190</v>
      </c>
      <c r="AI1780" s="1"/>
      <c r="AJ1780" s="1" t="s">
        <v>8414</v>
      </c>
      <c r="AK1780" s="1" t="s">
        <v>4975</v>
      </c>
    </row>
    <row r="1781" spans="1:37">
      <c r="A1781" s="1" t="str">
        <f>VLOOKUP(H1781,Languages!$A$2:$B$430,2,FALSE)</f>
        <v>Turkic</v>
      </c>
      <c r="B1781" s="1" t="s">
        <v>59</v>
      </c>
      <c r="C1781" s="1" t="s">
        <v>159</v>
      </c>
      <c r="D1781" s="1" t="s">
        <v>330</v>
      </c>
      <c r="E1781" s="15" t="s">
        <v>331</v>
      </c>
      <c r="F1781" s="15" t="s">
        <v>332</v>
      </c>
      <c r="G1781" s="1" t="s">
        <v>332</v>
      </c>
      <c r="H1781" s="1" t="str">
        <f>VLOOKUP(G1781,'languoid 4.0'!$A$1:$I$24439,2,FALSE)</f>
        <v>turk1311</v>
      </c>
      <c r="I1781" s="1" t="str">
        <f>VLOOKUP(G1781,'languoid 4.0'!$A$1:$I$24439,6,FALSE)</f>
        <v>language</v>
      </c>
      <c r="J1781" s="15" t="s">
        <v>52</v>
      </c>
      <c r="K1781" s="15" t="s">
        <v>38</v>
      </c>
      <c r="L1781" s="15" t="s">
        <v>38</v>
      </c>
      <c r="M1781" s="1"/>
      <c r="N1781" s="1"/>
      <c r="O1781" s="15" t="s">
        <v>113</v>
      </c>
      <c r="P1781" s="15" t="s">
        <v>41</v>
      </c>
      <c r="Q1781" s="1" t="s">
        <v>333</v>
      </c>
      <c r="R1781" s="2" t="s">
        <v>334</v>
      </c>
      <c r="S1781" s="1" t="s">
        <v>335</v>
      </c>
      <c r="T1781" s="1" t="s">
        <v>44</v>
      </c>
      <c r="U1781" s="1"/>
      <c r="V1781" s="1" t="s">
        <v>45</v>
      </c>
      <c r="W1781" s="1"/>
      <c r="X1781" s="1"/>
      <c r="Y1781" s="1"/>
      <c r="Z1781" s="1"/>
      <c r="AA1781" s="1">
        <v>7</v>
      </c>
      <c r="AB1781" s="1" t="s">
        <v>336</v>
      </c>
      <c r="AC1781" s="1" t="s">
        <v>46</v>
      </c>
      <c r="AD1781" s="1"/>
      <c r="AE1781" s="1"/>
      <c r="AF1781" s="1"/>
      <c r="AG1781" s="1"/>
      <c r="AH1781" s="1"/>
      <c r="AI1781" s="1"/>
      <c r="AJ1781" s="3">
        <v>43102.742395833331</v>
      </c>
      <c r="AK1781" s="1" t="s">
        <v>172</v>
      </c>
    </row>
    <row r="1782" spans="1:37">
      <c r="A1782" s="1" t="str">
        <f>VLOOKUP(H1782,Languages!$A$2:$B$430,2,FALSE)</f>
        <v>Turkic</v>
      </c>
      <c r="B1782" s="1" t="s">
        <v>59</v>
      </c>
      <c r="C1782" s="1" t="s">
        <v>317</v>
      </c>
      <c r="D1782" s="1" t="s">
        <v>3425</v>
      </c>
      <c r="E1782" s="15" t="s">
        <v>3426</v>
      </c>
      <c r="F1782" s="15" t="s">
        <v>3426</v>
      </c>
      <c r="G1782" s="1" t="s">
        <v>3426</v>
      </c>
      <c r="H1782" s="1" t="str">
        <f>VLOOKUP(G1782,'languoid 4.0'!$A$1:$I$24439,2,FALSE)</f>
        <v>turk1311</v>
      </c>
      <c r="I1782" s="1" t="str">
        <f>VLOOKUP(G1782,'languoid 4.0'!$A$1:$I$24439,6,FALSE)</f>
        <v>language</v>
      </c>
      <c r="J1782" s="15" t="s">
        <v>38</v>
      </c>
      <c r="K1782" s="15" t="s">
        <v>38</v>
      </c>
      <c r="L1782" s="15" t="s">
        <v>38</v>
      </c>
      <c r="M1782" s="1"/>
      <c r="N1782" s="1" t="s">
        <v>3427</v>
      </c>
      <c r="O1782" s="15" t="s">
        <v>40</v>
      </c>
      <c r="P1782" s="15" t="s">
        <v>41</v>
      </c>
      <c r="Q1782" s="1" t="s">
        <v>3432</v>
      </c>
      <c r="R1782" s="2" t="s">
        <v>3433</v>
      </c>
      <c r="S1782" s="1" t="s">
        <v>3434</v>
      </c>
      <c r="T1782" s="1" t="s">
        <v>657</v>
      </c>
      <c r="U1782" s="1" t="s">
        <v>636</v>
      </c>
      <c r="V1782" s="1" t="s">
        <v>45</v>
      </c>
      <c r="W1782" s="1"/>
      <c r="X1782" s="1"/>
      <c r="Y1782" s="1"/>
      <c r="Z1782" s="1" t="s">
        <v>658</v>
      </c>
      <c r="AA1782" s="1" t="s">
        <v>46</v>
      </c>
      <c r="AB1782" s="1" t="s">
        <v>46</v>
      </c>
      <c r="AC1782" s="1" t="s">
        <v>46</v>
      </c>
      <c r="AD1782" s="1"/>
      <c r="AE1782" s="1" t="s">
        <v>641</v>
      </c>
      <c r="AF1782" s="1" t="s">
        <v>190</v>
      </c>
      <c r="AG1782" s="1">
        <v>4</v>
      </c>
      <c r="AH1782" s="1" t="s">
        <v>190</v>
      </c>
      <c r="AI1782" s="1" t="s">
        <v>3435</v>
      </c>
      <c r="AJ1782" s="1" t="s">
        <v>3436</v>
      </c>
      <c r="AK1782" s="1" t="s">
        <v>2040</v>
      </c>
    </row>
    <row r="1783" spans="1:37">
      <c r="A1783" s="1" t="str">
        <f>VLOOKUP(H1783,Languages!$A$2:$B$430,2,FALSE)</f>
        <v>Turkic</v>
      </c>
      <c r="B1783" s="1" t="s">
        <v>109</v>
      </c>
      <c r="C1783" s="1" t="s">
        <v>7017</v>
      </c>
      <c r="D1783" s="1" t="s">
        <v>7366</v>
      </c>
      <c r="E1783" s="15" t="s">
        <v>4402</v>
      </c>
      <c r="F1783" s="15" t="s">
        <v>4402</v>
      </c>
      <c r="G1783" s="1" t="s">
        <v>4402</v>
      </c>
      <c r="H1783" s="1" t="str">
        <f>VLOOKUP(G1783,'languoid 4.0'!$A$1:$I$24439,2,FALSE)</f>
        <v>turk1311</v>
      </c>
      <c r="I1783" s="1" t="str">
        <f>VLOOKUP(G1783,'languoid 4.0'!$A$1:$I$24439,6,FALSE)</f>
        <v>family</v>
      </c>
      <c r="J1783" s="15" t="s">
        <v>38</v>
      </c>
      <c r="K1783" s="15" t="s">
        <v>38</v>
      </c>
      <c r="L1783" s="15" t="s">
        <v>38</v>
      </c>
      <c r="M1783" s="1"/>
      <c r="N1783" s="1"/>
      <c r="O1783" s="15" t="s">
        <v>113</v>
      </c>
      <c r="P1783" s="15" t="s">
        <v>41</v>
      </c>
      <c r="Q1783" s="1" t="s">
        <v>7367</v>
      </c>
      <c r="R1783" s="2" t="s">
        <v>7368</v>
      </c>
      <c r="S1783" s="1" t="s">
        <v>7369</v>
      </c>
      <c r="T1783" s="1" t="s">
        <v>2948</v>
      </c>
      <c r="U1783" s="1" t="s">
        <v>636</v>
      </c>
      <c r="V1783" s="1" t="s">
        <v>45</v>
      </c>
      <c r="W1783" s="1"/>
      <c r="X1783" s="1"/>
      <c r="Y1783" s="1"/>
      <c r="Z1783" s="1" t="s">
        <v>1151</v>
      </c>
      <c r="AA1783" s="1" t="s">
        <v>46</v>
      </c>
      <c r="AB1783" s="1" t="s">
        <v>7370</v>
      </c>
      <c r="AC1783" s="1" t="s">
        <v>7371</v>
      </c>
      <c r="AD1783" s="1" t="s">
        <v>7372</v>
      </c>
      <c r="AE1783" s="1" t="s">
        <v>641</v>
      </c>
      <c r="AF1783" s="1" t="s">
        <v>190</v>
      </c>
      <c r="AG1783" s="1">
        <v>6</v>
      </c>
      <c r="AH1783" s="1" t="s">
        <v>190</v>
      </c>
      <c r="AI1783" s="1"/>
      <c r="AJ1783" s="3">
        <v>43442.675428240742</v>
      </c>
      <c r="AK1783" s="1" t="s">
        <v>7022</v>
      </c>
    </row>
    <row r="1784" spans="1:37">
      <c r="A1784" s="1" t="str">
        <f>VLOOKUP(H1784,Languages!$A$2:$B$430,2,FALSE)</f>
        <v>Turkic</v>
      </c>
      <c r="B1784" s="1" t="s">
        <v>109</v>
      </c>
      <c r="C1784" s="1" t="s">
        <v>7017</v>
      </c>
      <c r="D1784" s="1" t="s">
        <v>7366</v>
      </c>
      <c r="E1784" s="15" t="s">
        <v>4402</v>
      </c>
      <c r="F1784" s="15" t="s">
        <v>4402</v>
      </c>
      <c r="G1784" s="1" t="s">
        <v>4402</v>
      </c>
      <c r="H1784" s="1" t="str">
        <f>VLOOKUP(G1784,'languoid 4.0'!$A$1:$I$24439,2,FALSE)</f>
        <v>turk1311</v>
      </c>
      <c r="I1784" s="1" t="str">
        <f>VLOOKUP(G1784,'languoid 4.0'!$A$1:$I$24439,6,FALSE)</f>
        <v>family</v>
      </c>
      <c r="J1784" s="15" t="s">
        <v>38</v>
      </c>
      <c r="K1784" s="15" t="s">
        <v>38</v>
      </c>
      <c r="L1784" s="15" t="s">
        <v>38</v>
      </c>
      <c r="M1784" s="1"/>
      <c r="N1784" s="1"/>
      <c r="O1784" s="15" t="s">
        <v>113</v>
      </c>
      <c r="P1784" s="15" t="s">
        <v>41</v>
      </c>
      <c r="Q1784" s="1" t="s">
        <v>7889</v>
      </c>
      <c r="R1784" s="2" t="s">
        <v>7885</v>
      </c>
      <c r="S1784" s="1" t="s">
        <v>81</v>
      </c>
      <c r="T1784" s="1" t="s">
        <v>2948</v>
      </c>
      <c r="U1784" s="1" t="s">
        <v>636</v>
      </c>
      <c r="V1784" s="1" t="s">
        <v>45</v>
      </c>
      <c r="W1784" s="1"/>
      <c r="X1784" s="1"/>
      <c r="Y1784" s="1"/>
      <c r="Z1784" s="1" t="s">
        <v>673</v>
      </c>
      <c r="AA1784" s="1" t="s">
        <v>46</v>
      </c>
      <c r="AB1784" s="1" t="s">
        <v>7890</v>
      </c>
      <c r="AC1784" s="1" t="s">
        <v>46</v>
      </c>
      <c r="AD1784" s="1"/>
      <c r="AE1784" s="1" t="s">
        <v>641</v>
      </c>
      <c r="AF1784" s="1" t="s">
        <v>190</v>
      </c>
      <c r="AG1784" s="1">
        <v>5</v>
      </c>
      <c r="AH1784" s="1" t="s">
        <v>190</v>
      </c>
      <c r="AI1784" s="1" t="s">
        <v>7891</v>
      </c>
      <c r="AJ1784" s="1" t="s">
        <v>7892</v>
      </c>
      <c r="AK1784" s="1" t="s">
        <v>7022</v>
      </c>
    </row>
    <row r="1785" spans="1:37">
      <c r="A1785" s="1" t="str">
        <f>VLOOKUP(H1785,Languages!$A$2:$B$430,2,FALSE)</f>
        <v>Turkic</v>
      </c>
      <c r="B1785" s="1" t="s">
        <v>109</v>
      </c>
      <c r="C1785" s="1" t="s">
        <v>7017</v>
      </c>
      <c r="D1785" s="1" t="s">
        <v>7366</v>
      </c>
      <c r="E1785" s="15" t="s">
        <v>4402</v>
      </c>
      <c r="F1785" s="15" t="s">
        <v>4402</v>
      </c>
      <c r="G1785" s="1" t="s">
        <v>4402</v>
      </c>
      <c r="H1785" s="1" t="str">
        <f>VLOOKUP(G1785,'languoid 4.0'!$A$1:$I$24439,2,FALSE)</f>
        <v>turk1311</v>
      </c>
      <c r="I1785" s="1" t="str">
        <f>VLOOKUP(G1785,'languoid 4.0'!$A$1:$I$24439,6,FALSE)</f>
        <v>family</v>
      </c>
      <c r="J1785" s="15" t="s">
        <v>38</v>
      </c>
      <c r="K1785" s="15" t="s">
        <v>38</v>
      </c>
      <c r="L1785" s="15" t="s">
        <v>38</v>
      </c>
      <c r="M1785" s="1"/>
      <c r="N1785" s="1"/>
      <c r="O1785" s="15" t="s">
        <v>113</v>
      </c>
      <c r="P1785" s="15" t="s">
        <v>41</v>
      </c>
      <c r="Q1785" s="1" t="s">
        <v>7947</v>
      </c>
      <c r="R1785" s="2" t="s">
        <v>7948</v>
      </c>
      <c r="S1785" s="1" t="s">
        <v>323</v>
      </c>
      <c r="T1785" s="1" t="s">
        <v>2948</v>
      </c>
      <c r="U1785" s="1" t="s">
        <v>636</v>
      </c>
      <c r="V1785" s="1" t="s">
        <v>45</v>
      </c>
      <c r="W1785" s="1"/>
      <c r="X1785" s="1"/>
      <c r="Y1785" s="1"/>
      <c r="Z1785" s="1" t="s">
        <v>1893</v>
      </c>
      <c r="AA1785" s="1" t="s">
        <v>46</v>
      </c>
      <c r="AB1785" s="1" t="s">
        <v>46</v>
      </c>
      <c r="AC1785" s="1" t="s">
        <v>7949</v>
      </c>
      <c r="AD1785" s="1"/>
      <c r="AE1785" s="1" t="s">
        <v>641</v>
      </c>
      <c r="AF1785" s="1" t="s">
        <v>190</v>
      </c>
      <c r="AG1785" s="1">
        <v>6</v>
      </c>
      <c r="AH1785" s="1" t="s">
        <v>190</v>
      </c>
      <c r="AI1785" s="1"/>
      <c r="AJ1785" s="1" t="s">
        <v>7950</v>
      </c>
      <c r="AK1785" s="1" t="s">
        <v>7022</v>
      </c>
    </row>
    <row r="1786" spans="1:37">
      <c r="A1786" s="1" t="str">
        <f>VLOOKUP(H1786,Languages!$A$2:$B$430,2,FALSE)</f>
        <v>Turkic</v>
      </c>
      <c r="B1786" s="1" t="s">
        <v>109</v>
      </c>
      <c r="C1786" s="1" t="s">
        <v>7017</v>
      </c>
      <c r="D1786" s="1" t="s">
        <v>7366</v>
      </c>
      <c r="E1786" s="15" t="s">
        <v>4402</v>
      </c>
      <c r="F1786" s="15" t="s">
        <v>4402</v>
      </c>
      <c r="G1786" s="1" t="s">
        <v>4402</v>
      </c>
      <c r="H1786" s="1" t="str">
        <f>VLOOKUP(G1786,'languoid 4.0'!$A$1:$I$24439,2,FALSE)</f>
        <v>turk1311</v>
      </c>
      <c r="I1786" s="1" t="str">
        <f>VLOOKUP(G1786,'languoid 4.0'!$A$1:$I$24439,6,FALSE)</f>
        <v>family</v>
      </c>
      <c r="J1786" s="15" t="s">
        <v>38</v>
      </c>
      <c r="K1786" s="15" t="s">
        <v>38</v>
      </c>
      <c r="L1786" s="15" t="s">
        <v>38</v>
      </c>
      <c r="M1786" s="1"/>
      <c r="N1786" s="1"/>
      <c r="O1786" s="15" t="s">
        <v>113</v>
      </c>
      <c r="P1786" s="15" t="s">
        <v>41</v>
      </c>
      <c r="Q1786" s="1" t="s">
        <v>7951</v>
      </c>
      <c r="R1786" s="2" t="s">
        <v>7948</v>
      </c>
      <c r="S1786" s="1" t="s">
        <v>81</v>
      </c>
      <c r="T1786" s="1" t="s">
        <v>2948</v>
      </c>
      <c r="U1786" s="1" t="s">
        <v>1812</v>
      </c>
      <c r="V1786" s="1" t="s">
        <v>45</v>
      </c>
      <c r="W1786" s="1"/>
      <c r="X1786" s="1"/>
      <c r="Y1786" s="1"/>
      <c r="Z1786" s="1" t="s">
        <v>1151</v>
      </c>
      <c r="AA1786" s="1" t="s">
        <v>46</v>
      </c>
      <c r="AB1786" s="1" t="s">
        <v>7952</v>
      </c>
      <c r="AC1786" s="1" t="s">
        <v>7953</v>
      </c>
      <c r="AD1786" s="1"/>
      <c r="AE1786" s="1" t="s">
        <v>641</v>
      </c>
      <c r="AF1786" s="1" t="s">
        <v>190</v>
      </c>
      <c r="AG1786" s="1">
        <v>6</v>
      </c>
      <c r="AH1786" s="1" t="s">
        <v>190</v>
      </c>
      <c r="AI1786" s="1"/>
      <c r="AJ1786" s="1" t="s">
        <v>7954</v>
      </c>
      <c r="AK1786" s="1" t="s">
        <v>7022</v>
      </c>
    </row>
    <row r="1787" spans="1:37">
      <c r="A1787" s="1" t="str">
        <f>VLOOKUP(H1787,Languages!$A$2:$B$430,2,FALSE)</f>
        <v>Turkic</v>
      </c>
      <c r="B1787" s="1" t="s">
        <v>109</v>
      </c>
      <c r="C1787" s="1" t="s">
        <v>7017</v>
      </c>
      <c r="D1787" s="1" t="s">
        <v>7366</v>
      </c>
      <c r="E1787" s="15" t="s">
        <v>4402</v>
      </c>
      <c r="F1787" s="15" t="s">
        <v>4402</v>
      </c>
      <c r="G1787" s="1" t="s">
        <v>4402</v>
      </c>
      <c r="H1787" s="1" t="str">
        <f>VLOOKUP(G1787,'languoid 4.0'!$A$1:$I$24439,2,FALSE)</f>
        <v>turk1311</v>
      </c>
      <c r="I1787" s="1" t="str">
        <f>VLOOKUP(G1787,'languoid 4.0'!$A$1:$I$24439,6,FALSE)</f>
        <v>family</v>
      </c>
      <c r="J1787" s="15" t="s">
        <v>38</v>
      </c>
      <c r="K1787" s="15" t="s">
        <v>38</v>
      </c>
      <c r="L1787" s="15" t="s">
        <v>38</v>
      </c>
      <c r="M1787" s="1"/>
      <c r="N1787" s="1"/>
      <c r="O1787" s="15" t="s">
        <v>113</v>
      </c>
      <c r="P1787" s="15" t="s">
        <v>41</v>
      </c>
      <c r="Q1787" s="1" t="s">
        <v>7955</v>
      </c>
      <c r="R1787" s="2" t="s">
        <v>7948</v>
      </c>
      <c r="S1787" s="1" t="s">
        <v>2718</v>
      </c>
      <c r="T1787" s="1" t="s">
        <v>2948</v>
      </c>
      <c r="U1787" s="1" t="s">
        <v>636</v>
      </c>
      <c r="V1787" s="1" t="s">
        <v>45</v>
      </c>
      <c r="W1787" s="1"/>
      <c r="X1787" s="1"/>
      <c r="Y1787" s="1"/>
      <c r="Z1787" s="1" t="s">
        <v>1893</v>
      </c>
      <c r="AA1787" s="1" t="s">
        <v>46</v>
      </c>
      <c r="AB1787" s="1" t="s">
        <v>46</v>
      </c>
      <c r="AC1787" s="1" t="s">
        <v>7956</v>
      </c>
      <c r="AD1787" s="1"/>
      <c r="AE1787" s="1" t="s">
        <v>641</v>
      </c>
      <c r="AF1787" s="1" t="s">
        <v>190</v>
      </c>
      <c r="AG1787" s="1">
        <v>6</v>
      </c>
      <c r="AH1787" s="1" t="s">
        <v>190</v>
      </c>
      <c r="AI1787" s="1"/>
      <c r="AJ1787" s="1" t="s">
        <v>7957</v>
      </c>
      <c r="AK1787" s="1" t="s">
        <v>7022</v>
      </c>
    </row>
    <row r="1788" spans="1:37">
      <c r="A1788" s="1" t="str">
        <f>VLOOKUP(H1788,Languages!$A$2:$B$430,2,FALSE)</f>
        <v>Turkic</v>
      </c>
      <c r="B1788" s="1" t="s">
        <v>109</v>
      </c>
      <c r="C1788" s="1" t="s">
        <v>4965</v>
      </c>
      <c r="D1788" s="1" t="s">
        <v>4966</v>
      </c>
      <c r="E1788" s="15" t="s">
        <v>4967</v>
      </c>
      <c r="F1788" s="15" t="s">
        <v>51</v>
      </c>
      <c r="G1788" s="1" t="s">
        <v>4967</v>
      </c>
      <c r="H1788" s="1" t="str">
        <f>VLOOKUP(G1788,'languoid 4.0'!$A$1:$I$24439,2,FALSE)</f>
        <v>turk1311</v>
      </c>
      <c r="I1788" s="1" t="str">
        <f>VLOOKUP(G1788,'languoid 4.0'!$A$1:$I$24439,6,FALSE)</f>
        <v>language</v>
      </c>
      <c r="J1788" s="15" t="s">
        <v>52</v>
      </c>
      <c r="K1788" s="15" t="s">
        <v>51</v>
      </c>
      <c r="L1788" s="15" t="s">
        <v>51</v>
      </c>
      <c r="M1788" s="1"/>
      <c r="N1788" s="1" t="s">
        <v>4968</v>
      </c>
      <c r="O1788" s="15" t="s">
        <v>40</v>
      </c>
      <c r="P1788" s="15" t="s">
        <v>41</v>
      </c>
      <c r="Q1788" s="1" t="s">
        <v>4969</v>
      </c>
      <c r="R1788" s="2" t="s">
        <v>4970</v>
      </c>
      <c r="S1788" s="1" t="s">
        <v>4971</v>
      </c>
      <c r="T1788" s="1" t="s">
        <v>635</v>
      </c>
      <c r="U1788" s="1" t="s">
        <v>636</v>
      </c>
      <c r="V1788" s="1" t="s">
        <v>45</v>
      </c>
      <c r="W1788" s="1"/>
      <c r="X1788" s="1"/>
      <c r="Y1788" s="1"/>
      <c r="Z1788" s="1" t="s">
        <v>887</v>
      </c>
      <c r="AA1788" s="1" t="s">
        <v>4972</v>
      </c>
      <c r="AB1788" s="1" t="s">
        <v>4973</v>
      </c>
      <c r="AC1788" s="1" t="s">
        <v>46</v>
      </c>
      <c r="AD1788" s="1" t="s">
        <v>46</v>
      </c>
      <c r="AE1788" s="1" t="s">
        <v>641</v>
      </c>
      <c r="AF1788" s="1" t="s">
        <v>190</v>
      </c>
      <c r="AG1788" s="1">
        <v>6</v>
      </c>
      <c r="AH1788" s="1" t="s">
        <v>190</v>
      </c>
      <c r="AI1788" s="1"/>
      <c r="AJ1788" s="1" t="s">
        <v>4974</v>
      </c>
      <c r="AK1788" s="1" t="s">
        <v>4975</v>
      </c>
    </row>
    <row r="1789" spans="1:37">
      <c r="A1789" s="1" t="str">
        <f>VLOOKUP(H1789,Languages!$A$2:$B$430,2,FALSE)</f>
        <v>Turkic</v>
      </c>
      <c r="B1789" s="1" t="s">
        <v>109</v>
      </c>
      <c r="C1789" s="1" t="s">
        <v>4965</v>
      </c>
      <c r="D1789" s="1" t="s">
        <v>4976</v>
      </c>
      <c r="E1789" s="15" t="s">
        <v>4967</v>
      </c>
      <c r="F1789" s="15" t="s">
        <v>4977</v>
      </c>
      <c r="G1789" s="1" t="s">
        <v>4967</v>
      </c>
      <c r="H1789" s="1" t="str">
        <f>VLOOKUP(G1789,'languoid 4.0'!$A$1:$I$24439,2,FALSE)</f>
        <v>turk1311</v>
      </c>
      <c r="I1789" s="1" t="str">
        <f>VLOOKUP(G1789,'languoid 4.0'!$A$1:$I$24439,6,FALSE)</f>
        <v>language</v>
      </c>
      <c r="J1789" s="15" t="s">
        <v>52</v>
      </c>
      <c r="K1789" s="15" t="s">
        <v>38</v>
      </c>
      <c r="L1789" s="15" t="s">
        <v>38</v>
      </c>
      <c r="M1789" s="1"/>
      <c r="N1789" s="1" t="s">
        <v>4968</v>
      </c>
      <c r="O1789" s="15" t="s">
        <v>40</v>
      </c>
      <c r="P1789" s="15" t="s">
        <v>41</v>
      </c>
      <c r="Q1789" s="1" t="s">
        <v>4978</v>
      </c>
      <c r="R1789" s="2" t="s">
        <v>4979</v>
      </c>
      <c r="S1789" s="1" t="s">
        <v>4980</v>
      </c>
      <c r="T1789" s="1" t="s">
        <v>635</v>
      </c>
      <c r="U1789" s="1" t="s">
        <v>636</v>
      </c>
      <c r="V1789" s="1" t="s">
        <v>45</v>
      </c>
      <c r="W1789" s="1"/>
      <c r="X1789" s="1"/>
      <c r="Y1789" s="1"/>
      <c r="Z1789" s="1" t="s">
        <v>637</v>
      </c>
      <c r="AA1789" s="1" t="s">
        <v>4981</v>
      </c>
      <c r="AB1789" s="1" t="s">
        <v>4982</v>
      </c>
      <c r="AC1789" s="1" t="s">
        <v>46</v>
      </c>
      <c r="AD1789" s="1" t="s">
        <v>46</v>
      </c>
      <c r="AE1789" s="1" t="s">
        <v>641</v>
      </c>
      <c r="AF1789" s="1" t="s">
        <v>190</v>
      </c>
      <c r="AG1789" s="1">
        <v>4</v>
      </c>
      <c r="AH1789" s="1" t="s">
        <v>190</v>
      </c>
      <c r="AI1789" s="1"/>
      <c r="AJ1789" s="1" t="s">
        <v>4983</v>
      </c>
      <c r="AK1789" s="1" t="s">
        <v>4975</v>
      </c>
    </row>
    <row r="1790" spans="1:37">
      <c r="A1790" s="1" t="str">
        <f>VLOOKUP(H1790,Languages!$A$2:$B$430,2,FALSE)</f>
        <v>Turkic</v>
      </c>
      <c r="B1790" s="1" t="s">
        <v>109</v>
      </c>
      <c r="C1790" s="1" t="s">
        <v>4965</v>
      </c>
      <c r="D1790" s="1" t="s">
        <v>5231</v>
      </c>
      <c r="E1790" s="15" t="s">
        <v>5223</v>
      </c>
      <c r="F1790" s="15" t="s">
        <v>5224</v>
      </c>
      <c r="G1790" s="1" t="s">
        <v>5223</v>
      </c>
      <c r="H1790" s="1" t="str">
        <f>VLOOKUP(G1790,'languoid 4.0'!$A$1:$I$24439,2,FALSE)</f>
        <v>turk1311</v>
      </c>
      <c r="I1790" s="1" t="str">
        <f>VLOOKUP(G1790,'languoid 4.0'!$A$1:$I$24439,6,FALSE)</f>
        <v>language</v>
      </c>
      <c r="J1790" s="15" t="s">
        <v>52</v>
      </c>
      <c r="K1790" s="15" t="s">
        <v>38</v>
      </c>
      <c r="L1790" s="15" t="s">
        <v>38</v>
      </c>
      <c r="M1790" s="1"/>
      <c r="N1790" s="1" t="s">
        <v>5225</v>
      </c>
      <c r="O1790" s="15" t="s">
        <v>40</v>
      </c>
      <c r="P1790" s="15" t="s">
        <v>41</v>
      </c>
      <c r="Q1790" s="1" t="s">
        <v>5232</v>
      </c>
      <c r="R1790" s="2" t="s">
        <v>5233</v>
      </c>
      <c r="S1790" s="1" t="s">
        <v>5234</v>
      </c>
      <c r="T1790" s="1" t="s">
        <v>635</v>
      </c>
      <c r="U1790" s="1" t="s">
        <v>636</v>
      </c>
      <c r="V1790" s="1" t="s">
        <v>45</v>
      </c>
      <c r="W1790" s="1"/>
      <c r="X1790" s="1"/>
      <c r="Y1790" s="1"/>
      <c r="Z1790" s="1" t="s">
        <v>658</v>
      </c>
      <c r="AA1790" s="1" t="s">
        <v>5235</v>
      </c>
      <c r="AB1790" s="1" t="s">
        <v>46</v>
      </c>
      <c r="AC1790" s="1" t="s">
        <v>46</v>
      </c>
      <c r="AD1790" s="1"/>
      <c r="AE1790" s="1" t="s">
        <v>641</v>
      </c>
      <c r="AF1790" s="1" t="s">
        <v>190</v>
      </c>
      <c r="AG1790" s="1">
        <v>6</v>
      </c>
      <c r="AH1790" s="1" t="s">
        <v>190</v>
      </c>
      <c r="AI1790" s="1"/>
      <c r="AJ1790" s="1" t="s">
        <v>5236</v>
      </c>
      <c r="AK1790" s="1" t="s">
        <v>4975</v>
      </c>
    </row>
    <row r="1791" spans="1:37">
      <c r="A1791" s="1" t="str">
        <f>VLOOKUP(H1791,Languages!$A$2:$B$430,2,FALSE)</f>
        <v>Turkic</v>
      </c>
      <c r="B1791" s="1" t="s">
        <v>109</v>
      </c>
      <c r="C1791" s="1" t="s">
        <v>4965</v>
      </c>
      <c r="D1791" s="1" t="s">
        <v>5237</v>
      </c>
      <c r="E1791" s="15" t="s">
        <v>5223</v>
      </c>
      <c r="F1791" s="15" t="s">
        <v>5224</v>
      </c>
      <c r="G1791" s="1" t="s">
        <v>5223</v>
      </c>
      <c r="H1791" s="1" t="str">
        <f>VLOOKUP(G1791,'languoid 4.0'!$A$1:$I$24439,2,FALSE)</f>
        <v>turk1311</v>
      </c>
      <c r="I1791" s="1" t="str">
        <f>VLOOKUP(G1791,'languoid 4.0'!$A$1:$I$24439,6,FALSE)</f>
        <v>language</v>
      </c>
      <c r="J1791" s="15" t="s">
        <v>52</v>
      </c>
      <c r="K1791" s="15" t="s">
        <v>38</v>
      </c>
      <c r="L1791" s="15" t="s">
        <v>38</v>
      </c>
      <c r="M1791" s="1"/>
      <c r="N1791" s="1" t="s">
        <v>5225</v>
      </c>
      <c r="O1791" s="15" t="s">
        <v>40</v>
      </c>
      <c r="P1791" s="15" t="s">
        <v>41</v>
      </c>
      <c r="Q1791" s="1" t="s">
        <v>5238</v>
      </c>
      <c r="R1791" s="2" t="s">
        <v>5239</v>
      </c>
      <c r="S1791" s="1" t="s">
        <v>5240</v>
      </c>
      <c r="T1791" s="1" t="s">
        <v>635</v>
      </c>
      <c r="U1791" s="1" t="s">
        <v>636</v>
      </c>
      <c r="V1791" s="1" t="s">
        <v>45</v>
      </c>
      <c r="W1791" s="1"/>
      <c r="X1791" s="1"/>
      <c r="Y1791" s="1"/>
      <c r="Z1791" s="1" t="s">
        <v>658</v>
      </c>
      <c r="AA1791" s="1" t="s">
        <v>5241</v>
      </c>
      <c r="AB1791" s="1" t="s">
        <v>46</v>
      </c>
      <c r="AC1791" s="1" t="s">
        <v>46</v>
      </c>
      <c r="AD1791" s="1"/>
      <c r="AE1791" s="1" t="s">
        <v>641</v>
      </c>
      <c r="AF1791" s="1" t="s">
        <v>190</v>
      </c>
      <c r="AG1791" s="1">
        <v>6</v>
      </c>
      <c r="AH1791" s="1" t="s">
        <v>190</v>
      </c>
      <c r="AI1791" s="1"/>
      <c r="AJ1791" s="1" t="s">
        <v>5242</v>
      </c>
      <c r="AK1791" s="1" t="s">
        <v>4975</v>
      </c>
    </row>
    <row r="1792" spans="1:37">
      <c r="A1792" s="1" t="str">
        <f>VLOOKUP(H1792,Languages!$A$2:$B$430,2,FALSE)</f>
        <v>Turkic</v>
      </c>
      <c r="B1792" s="1" t="s">
        <v>109</v>
      </c>
      <c r="C1792" s="1" t="s">
        <v>4965</v>
      </c>
      <c r="D1792" s="1" t="s">
        <v>5237</v>
      </c>
      <c r="E1792" s="15" t="s">
        <v>5223</v>
      </c>
      <c r="F1792" s="15" t="s">
        <v>5224</v>
      </c>
      <c r="G1792" s="1" t="s">
        <v>5223</v>
      </c>
      <c r="H1792" s="1" t="str">
        <f>VLOOKUP(G1792,'languoid 4.0'!$A$1:$I$24439,2,FALSE)</f>
        <v>turk1311</v>
      </c>
      <c r="I1792" s="1" t="str">
        <f>VLOOKUP(G1792,'languoid 4.0'!$A$1:$I$24439,6,FALSE)</f>
        <v>language</v>
      </c>
      <c r="J1792" s="15" t="s">
        <v>52</v>
      </c>
      <c r="K1792" s="15" t="s">
        <v>38</v>
      </c>
      <c r="L1792" s="15" t="s">
        <v>38</v>
      </c>
      <c r="M1792" s="1"/>
      <c r="N1792" s="1" t="s">
        <v>5225</v>
      </c>
      <c r="O1792" s="15" t="s">
        <v>40</v>
      </c>
      <c r="P1792" s="15" t="s">
        <v>41</v>
      </c>
      <c r="Q1792" s="1" t="s">
        <v>5243</v>
      </c>
      <c r="R1792" s="2" t="s">
        <v>5244</v>
      </c>
      <c r="S1792" s="1" t="s">
        <v>5245</v>
      </c>
      <c r="T1792" s="1" t="s">
        <v>635</v>
      </c>
      <c r="U1792" s="1" t="s">
        <v>636</v>
      </c>
      <c r="V1792" s="1" t="s">
        <v>45</v>
      </c>
      <c r="W1792" s="1"/>
      <c r="X1792" s="1"/>
      <c r="Y1792" s="1"/>
      <c r="Z1792" s="1" t="s">
        <v>658</v>
      </c>
      <c r="AA1792" s="1" t="s">
        <v>5246</v>
      </c>
      <c r="AB1792" s="1" t="s">
        <v>5247</v>
      </c>
      <c r="AC1792" s="1" t="s">
        <v>46</v>
      </c>
      <c r="AD1792" s="1"/>
      <c r="AE1792" s="1" t="s">
        <v>641</v>
      </c>
      <c r="AF1792" s="1" t="s">
        <v>190</v>
      </c>
      <c r="AG1792" s="1">
        <v>5</v>
      </c>
      <c r="AH1792" s="1" t="s">
        <v>190</v>
      </c>
      <c r="AI1792" s="1"/>
      <c r="AJ1792" s="1" t="s">
        <v>5248</v>
      </c>
      <c r="AK1792" s="1" t="s">
        <v>4975</v>
      </c>
    </row>
    <row r="1793" spans="1:37">
      <c r="A1793" s="1" t="str">
        <f>VLOOKUP(H1793,Languages!$A$2:$B$430,2,FALSE)</f>
        <v>Turkic</v>
      </c>
      <c r="B1793" s="1" t="s">
        <v>109</v>
      </c>
      <c r="C1793" s="1" t="s">
        <v>4965</v>
      </c>
      <c r="D1793" s="1" t="s">
        <v>5237</v>
      </c>
      <c r="E1793" s="15" t="s">
        <v>5223</v>
      </c>
      <c r="F1793" s="15" t="s">
        <v>5224</v>
      </c>
      <c r="G1793" s="1" t="s">
        <v>5223</v>
      </c>
      <c r="H1793" s="1" t="str">
        <f>VLOOKUP(G1793,'languoid 4.0'!$A$1:$I$24439,2,FALSE)</f>
        <v>turk1311</v>
      </c>
      <c r="I1793" s="1" t="str">
        <f>VLOOKUP(G1793,'languoid 4.0'!$A$1:$I$24439,6,FALSE)</f>
        <v>language</v>
      </c>
      <c r="J1793" s="15" t="s">
        <v>52</v>
      </c>
      <c r="K1793" s="15" t="s">
        <v>38</v>
      </c>
      <c r="L1793" s="15" t="s">
        <v>38</v>
      </c>
      <c r="M1793" s="1"/>
      <c r="N1793" s="1" t="s">
        <v>5225</v>
      </c>
      <c r="O1793" s="15" t="s">
        <v>40</v>
      </c>
      <c r="P1793" s="15" t="s">
        <v>41</v>
      </c>
      <c r="Q1793" s="1" t="s">
        <v>5249</v>
      </c>
      <c r="R1793" s="2" t="s">
        <v>5250</v>
      </c>
      <c r="S1793" s="1" t="s">
        <v>5251</v>
      </c>
      <c r="T1793" s="1" t="s">
        <v>635</v>
      </c>
      <c r="U1793" s="1" t="s">
        <v>636</v>
      </c>
      <c r="V1793" s="1" t="s">
        <v>45</v>
      </c>
      <c r="W1793" s="1"/>
      <c r="X1793" s="1"/>
      <c r="Y1793" s="1"/>
      <c r="Z1793" s="1" t="s">
        <v>658</v>
      </c>
      <c r="AA1793" s="1" t="s">
        <v>5252</v>
      </c>
      <c r="AB1793" s="1" t="s">
        <v>46</v>
      </c>
      <c r="AC1793" s="1" t="s">
        <v>46</v>
      </c>
      <c r="AD1793" s="1"/>
      <c r="AE1793" s="1" t="s">
        <v>641</v>
      </c>
      <c r="AF1793" s="1" t="s">
        <v>190</v>
      </c>
      <c r="AG1793" s="1">
        <v>6</v>
      </c>
      <c r="AH1793" s="1" t="s">
        <v>190</v>
      </c>
      <c r="AI1793" s="1"/>
      <c r="AJ1793" s="1" t="s">
        <v>5253</v>
      </c>
      <c r="AK1793" s="1" t="s">
        <v>4975</v>
      </c>
    </row>
    <row r="1794" spans="1:37">
      <c r="A1794" s="1" t="str">
        <f>VLOOKUP(H1794,Languages!$A$2:$B$430,2,FALSE)</f>
        <v>Turkic</v>
      </c>
      <c r="B1794" s="1" t="s">
        <v>109</v>
      </c>
      <c r="C1794" s="1" t="s">
        <v>4965</v>
      </c>
      <c r="D1794" s="1" t="s">
        <v>5237</v>
      </c>
      <c r="E1794" s="15" t="s">
        <v>5223</v>
      </c>
      <c r="F1794" s="15" t="s">
        <v>5224</v>
      </c>
      <c r="G1794" s="1" t="s">
        <v>5223</v>
      </c>
      <c r="H1794" s="1" t="str">
        <f>VLOOKUP(G1794,'languoid 4.0'!$A$1:$I$24439,2,FALSE)</f>
        <v>turk1311</v>
      </c>
      <c r="I1794" s="1" t="str">
        <f>VLOOKUP(G1794,'languoid 4.0'!$A$1:$I$24439,6,FALSE)</f>
        <v>language</v>
      </c>
      <c r="J1794" s="15" t="s">
        <v>52</v>
      </c>
      <c r="K1794" s="15" t="s">
        <v>38</v>
      </c>
      <c r="L1794" s="15" t="s">
        <v>38</v>
      </c>
      <c r="M1794" s="1"/>
      <c r="N1794" s="1" t="s">
        <v>5225</v>
      </c>
      <c r="O1794" s="15" t="s">
        <v>40</v>
      </c>
      <c r="P1794" s="15" t="s">
        <v>41</v>
      </c>
      <c r="Q1794" s="1" t="s">
        <v>5287</v>
      </c>
      <c r="R1794" s="2" t="s">
        <v>5288</v>
      </c>
      <c r="S1794" s="1" t="s">
        <v>5289</v>
      </c>
      <c r="T1794" s="1" t="s">
        <v>635</v>
      </c>
      <c r="U1794" s="1" t="s">
        <v>636</v>
      </c>
      <c r="V1794" s="1" t="s">
        <v>45</v>
      </c>
      <c r="W1794" s="1"/>
      <c r="X1794" s="1"/>
      <c r="Y1794" s="1"/>
      <c r="Z1794" s="1" t="s">
        <v>658</v>
      </c>
      <c r="AA1794" s="1" t="s">
        <v>5290</v>
      </c>
      <c r="AB1794" s="1" t="s">
        <v>46</v>
      </c>
      <c r="AC1794" s="1" t="s">
        <v>46</v>
      </c>
      <c r="AD1794" s="1"/>
      <c r="AE1794" s="1" t="s">
        <v>641</v>
      </c>
      <c r="AF1794" s="1" t="s">
        <v>190</v>
      </c>
      <c r="AG1794" s="1">
        <v>3</v>
      </c>
      <c r="AH1794" s="1" t="s">
        <v>190</v>
      </c>
      <c r="AI1794" s="1"/>
      <c r="AJ1794" s="1" t="s">
        <v>5291</v>
      </c>
      <c r="AK1794" s="1" t="s">
        <v>4975</v>
      </c>
    </row>
    <row r="1795" spans="1:37">
      <c r="A1795" s="1" t="str">
        <f>VLOOKUP(H1795,Languages!$A$2:$B$430,2,FALSE)</f>
        <v>Turkic</v>
      </c>
      <c r="B1795" s="1" t="s">
        <v>109</v>
      </c>
      <c r="C1795" s="1" t="s">
        <v>4965</v>
      </c>
      <c r="D1795" s="1" t="s">
        <v>6379</v>
      </c>
      <c r="E1795" s="15" t="s">
        <v>4977</v>
      </c>
      <c r="F1795" s="15" t="s">
        <v>5803</v>
      </c>
      <c r="G1795" s="1" t="s">
        <v>5803</v>
      </c>
      <c r="H1795" s="1" t="str">
        <f>VLOOKUP(G1795,'languoid 4.0'!$A$1:$I$24439,2,FALSE)</f>
        <v>turk1311</v>
      </c>
      <c r="I1795" s="1" t="str">
        <f>VLOOKUP(G1795,'languoid 4.0'!$A$1:$I$24439,6,FALSE)</f>
        <v>language</v>
      </c>
      <c r="J1795" s="15" t="s">
        <v>52</v>
      </c>
      <c r="K1795" s="15" t="s">
        <v>38</v>
      </c>
      <c r="L1795" s="15" t="s">
        <v>38</v>
      </c>
      <c r="M1795" s="1"/>
      <c r="N1795" s="1" t="s">
        <v>5812</v>
      </c>
      <c r="O1795" s="15" t="s">
        <v>40</v>
      </c>
      <c r="P1795" s="15" t="s">
        <v>41</v>
      </c>
      <c r="Q1795" s="1" t="s">
        <v>6380</v>
      </c>
      <c r="R1795" s="2" t="s">
        <v>6381</v>
      </c>
      <c r="S1795" s="1" t="s">
        <v>46</v>
      </c>
      <c r="T1795" s="1" t="s">
        <v>822</v>
      </c>
      <c r="U1795" s="1" t="s">
        <v>636</v>
      </c>
      <c r="V1795" s="1" t="s">
        <v>45</v>
      </c>
      <c r="W1795" s="1"/>
      <c r="X1795" s="1"/>
      <c r="Y1795" s="1"/>
      <c r="Z1795" s="1" t="s">
        <v>637</v>
      </c>
      <c r="AA1795" s="1" t="s">
        <v>6382</v>
      </c>
      <c r="AB1795" s="1" t="s">
        <v>6383</v>
      </c>
      <c r="AC1795" s="1" t="s">
        <v>46</v>
      </c>
      <c r="AD1795" s="1" t="s">
        <v>6384</v>
      </c>
      <c r="AE1795" s="1" t="s">
        <v>641</v>
      </c>
      <c r="AF1795" s="1" t="s">
        <v>190</v>
      </c>
      <c r="AG1795" s="1">
        <v>5</v>
      </c>
      <c r="AH1795" s="1" t="s">
        <v>190</v>
      </c>
      <c r="AI1795" s="1"/>
      <c r="AJ1795" s="3">
        <v>43319.603379629632</v>
      </c>
      <c r="AK1795" s="1" t="s">
        <v>4975</v>
      </c>
    </row>
    <row r="1796" spans="1:37">
      <c r="A1796" s="1" t="str">
        <f>VLOOKUP(H1796,Languages!$A$2:$B$430,2,FALSE)</f>
        <v>Turkic</v>
      </c>
      <c r="B1796" s="1" t="s">
        <v>109</v>
      </c>
      <c r="C1796" s="1" t="s">
        <v>4965</v>
      </c>
      <c r="D1796" s="1" t="s">
        <v>6385</v>
      </c>
      <c r="E1796" s="15" t="s">
        <v>4977</v>
      </c>
      <c r="F1796" s="15" t="s">
        <v>5803</v>
      </c>
      <c r="G1796" s="1" t="s">
        <v>5803</v>
      </c>
      <c r="H1796" s="1" t="str">
        <f>VLOOKUP(G1796,'languoid 4.0'!$A$1:$I$24439,2,FALSE)</f>
        <v>turk1311</v>
      </c>
      <c r="I1796" s="1" t="str">
        <f>VLOOKUP(G1796,'languoid 4.0'!$A$1:$I$24439,6,FALSE)</f>
        <v>language</v>
      </c>
      <c r="J1796" s="15" t="s">
        <v>52</v>
      </c>
      <c r="K1796" s="15" t="s">
        <v>38</v>
      </c>
      <c r="L1796" s="15" t="s">
        <v>38</v>
      </c>
      <c r="M1796" s="1"/>
      <c r="N1796" s="1" t="s">
        <v>5812</v>
      </c>
      <c r="O1796" s="15" t="s">
        <v>40</v>
      </c>
      <c r="P1796" s="15" t="s">
        <v>41</v>
      </c>
      <c r="Q1796" s="1" t="s">
        <v>6386</v>
      </c>
      <c r="R1796" s="2" t="s">
        <v>6387</v>
      </c>
      <c r="S1796" s="1" t="s">
        <v>46</v>
      </c>
      <c r="T1796" s="1" t="s">
        <v>822</v>
      </c>
      <c r="U1796" s="1" t="s">
        <v>636</v>
      </c>
      <c r="V1796" s="1" t="s">
        <v>45</v>
      </c>
      <c r="W1796" s="1"/>
      <c r="X1796" s="1"/>
      <c r="Y1796" s="1"/>
      <c r="Z1796" s="1" t="s">
        <v>658</v>
      </c>
      <c r="AA1796" s="1" t="s">
        <v>6388</v>
      </c>
      <c r="AB1796" s="1" t="s">
        <v>46</v>
      </c>
      <c r="AC1796" s="1" t="s">
        <v>46</v>
      </c>
      <c r="AD1796" s="1" t="s">
        <v>6389</v>
      </c>
      <c r="AE1796" s="1" t="s">
        <v>641</v>
      </c>
      <c r="AF1796" s="1" t="s">
        <v>190</v>
      </c>
      <c r="AG1796" s="1">
        <v>2</v>
      </c>
      <c r="AH1796" s="1" t="s">
        <v>190</v>
      </c>
      <c r="AI1796" s="1"/>
      <c r="AJ1796" s="3">
        <v>43319.607731481483</v>
      </c>
      <c r="AK1796" s="1" t="s">
        <v>4975</v>
      </c>
    </row>
    <row r="1797" spans="1:37">
      <c r="A1797" s="1" t="str">
        <f>VLOOKUP(H1797,Languages!$A$2:$B$430,2,FALSE)</f>
        <v>Turkic</v>
      </c>
      <c r="B1797" s="1" t="s">
        <v>109</v>
      </c>
      <c r="C1797" s="1" t="s">
        <v>317</v>
      </c>
      <c r="D1797" s="1" t="s">
        <v>2070</v>
      </c>
      <c r="E1797" s="15" t="s">
        <v>2071</v>
      </c>
      <c r="F1797" s="15" t="s">
        <v>2071</v>
      </c>
      <c r="G1797" s="1" t="s">
        <v>2071</v>
      </c>
      <c r="H1797" s="1" t="str">
        <f>VLOOKUP(G1797,'languoid 4.0'!$A$1:$I$24439,2,FALSE)</f>
        <v>turk1311</v>
      </c>
      <c r="I1797" s="1" t="str">
        <f>VLOOKUP(G1797,'languoid 4.0'!$A$1:$I$24439,6,FALSE)</f>
        <v>language</v>
      </c>
      <c r="J1797" s="15" t="s">
        <v>38</v>
      </c>
      <c r="K1797" s="15" t="s">
        <v>38</v>
      </c>
      <c r="L1797" s="15" t="s">
        <v>38</v>
      </c>
      <c r="M1797" s="1"/>
      <c r="N1797" s="1" t="s">
        <v>2072</v>
      </c>
      <c r="O1797" s="15" t="s">
        <v>40</v>
      </c>
      <c r="P1797" s="15" t="s">
        <v>41</v>
      </c>
      <c r="Q1797" s="1" t="s">
        <v>3369</v>
      </c>
      <c r="R1797" s="2" t="s">
        <v>3370</v>
      </c>
      <c r="S1797" s="1" t="s">
        <v>46</v>
      </c>
      <c r="T1797" s="1" t="s">
        <v>635</v>
      </c>
      <c r="U1797" s="1" t="s">
        <v>636</v>
      </c>
      <c r="V1797" s="1" t="s">
        <v>45</v>
      </c>
      <c r="W1797" s="1"/>
      <c r="X1797" s="1"/>
      <c r="Y1797" s="1"/>
      <c r="Z1797" s="1" t="s">
        <v>673</v>
      </c>
      <c r="AA1797" s="1" t="s">
        <v>46</v>
      </c>
      <c r="AB1797" s="1" t="s">
        <v>3371</v>
      </c>
      <c r="AC1797" s="1" t="s">
        <v>46</v>
      </c>
      <c r="AD1797" s="1"/>
      <c r="AE1797" s="1" t="s">
        <v>641</v>
      </c>
      <c r="AF1797" s="1" t="s">
        <v>190</v>
      </c>
      <c r="AG1797" s="1">
        <v>5</v>
      </c>
      <c r="AH1797" s="1" t="s">
        <v>190</v>
      </c>
      <c r="AI1797" s="1"/>
      <c r="AJ1797" s="1" t="s">
        <v>3372</v>
      </c>
      <c r="AK1797" s="1" t="s">
        <v>2040</v>
      </c>
    </row>
    <row r="1798" spans="1:37">
      <c r="A1798" s="1" t="str">
        <f>VLOOKUP(H1798,Languages!$A$2:$B$430,2,FALSE)</f>
        <v>Turkic</v>
      </c>
      <c r="B1798" s="1" t="s">
        <v>109</v>
      </c>
      <c r="C1798" s="1" t="s">
        <v>58</v>
      </c>
      <c r="D1798" s="1" t="s">
        <v>4409</v>
      </c>
      <c r="E1798" s="15" t="s">
        <v>4410</v>
      </c>
      <c r="F1798" s="15" t="s">
        <v>4410</v>
      </c>
      <c r="G1798" s="1" t="s">
        <v>4410</v>
      </c>
      <c r="H1798" s="1" t="str">
        <f>VLOOKUP(G1798,'languoid 4.0'!$A$1:$I$24439,2,FALSE)</f>
        <v>turk1311</v>
      </c>
      <c r="I1798" s="1" t="str">
        <f>VLOOKUP(G1798,'languoid 4.0'!$A$1:$I$24439,6,FALSE)</f>
        <v>language</v>
      </c>
      <c r="J1798" s="15" t="s">
        <v>38</v>
      </c>
      <c r="K1798" s="15" t="s">
        <v>38</v>
      </c>
      <c r="L1798" s="15" t="s">
        <v>38</v>
      </c>
      <c r="M1798" s="1" t="s">
        <v>4854</v>
      </c>
      <c r="N1798" s="1" t="s">
        <v>4411</v>
      </c>
      <c r="O1798" s="15" t="s">
        <v>40</v>
      </c>
      <c r="P1798" s="15" t="s">
        <v>41</v>
      </c>
      <c r="Q1798" s="1" t="s">
        <v>4855</v>
      </c>
      <c r="R1798" s="2" t="s">
        <v>4856</v>
      </c>
      <c r="S1798" s="1" t="s">
        <v>4857</v>
      </c>
      <c r="T1798" s="1" t="s">
        <v>4858</v>
      </c>
      <c r="U1798" s="1" t="s">
        <v>636</v>
      </c>
      <c r="V1798" s="1" t="s">
        <v>45</v>
      </c>
      <c r="W1798" s="1"/>
      <c r="X1798" s="1"/>
      <c r="Y1798" s="1"/>
      <c r="Z1798" s="1" t="s">
        <v>637</v>
      </c>
      <c r="AA1798" s="1" t="s">
        <v>4859</v>
      </c>
      <c r="AB1798" s="1" t="s">
        <v>4860</v>
      </c>
      <c r="AC1798" s="1" t="s">
        <v>46</v>
      </c>
      <c r="AD1798" s="1"/>
      <c r="AE1798" s="1" t="s">
        <v>641</v>
      </c>
      <c r="AF1798" s="1" t="s">
        <v>190</v>
      </c>
      <c r="AG1798" s="1">
        <v>5</v>
      </c>
      <c r="AH1798" s="1" t="s">
        <v>190</v>
      </c>
      <c r="AI1798" s="1" t="s">
        <v>4409</v>
      </c>
      <c r="AJ1798" s="3">
        <v>43440.543194444443</v>
      </c>
      <c r="AK1798" s="1" t="s">
        <v>4408</v>
      </c>
    </row>
    <row r="1799" spans="1:37">
      <c r="A1799" s="1" t="str">
        <f>VLOOKUP(H1799,Languages!$A$2:$B$430,2,FALSE)</f>
        <v>Turkic</v>
      </c>
      <c r="B1799" s="1" t="s">
        <v>109</v>
      </c>
      <c r="C1799" s="1" t="s">
        <v>58</v>
      </c>
      <c r="D1799" s="1" t="s">
        <v>4409</v>
      </c>
      <c r="E1799" s="15" t="s">
        <v>4410</v>
      </c>
      <c r="F1799" s="15" t="s">
        <v>4410</v>
      </c>
      <c r="G1799" s="1" t="s">
        <v>4410</v>
      </c>
      <c r="H1799" s="1" t="str">
        <f>VLOOKUP(G1799,'languoid 4.0'!$A$1:$I$24439,2,FALSE)</f>
        <v>turk1311</v>
      </c>
      <c r="I1799" s="1" t="str">
        <f>VLOOKUP(G1799,'languoid 4.0'!$A$1:$I$24439,6,FALSE)</f>
        <v>language</v>
      </c>
      <c r="J1799" s="15" t="s">
        <v>38</v>
      </c>
      <c r="K1799" s="15" t="s">
        <v>38</v>
      </c>
      <c r="L1799" s="15" t="s">
        <v>38</v>
      </c>
      <c r="M1799" s="1"/>
      <c r="N1799" s="1" t="s">
        <v>4411</v>
      </c>
      <c r="O1799" s="15" t="s">
        <v>40</v>
      </c>
      <c r="P1799" s="15" t="s">
        <v>41</v>
      </c>
      <c r="Q1799" s="1" t="s">
        <v>4952</v>
      </c>
      <c r="R1799" s="2" t="s">
        <v>4953</v>
      </c>
      <c r="S1799" s="1" t="s">
        <v>399</v>
      </c>
      <c r="T1799" s="1" t="s">
        <v>648</v>
      </c>
      <c r="U1799" s="1" t="s">
        <v>1812</v>
      </c>
      <c r="V1799" s="1" t="s">
        <v>45</v>
      </c>
      <c r="W1799" s="1"/>
      <c r="X1799" s="1"/>
      <c r="Y1799" s="1"/>
      <c r="Z1799" s="1" t="s">
        <v>658</v>
      </c>
      <c r="AA1799" s="1" t="s">
        <v>4954</v>
      </c>
      <c r="AB1799" s="1" t="s">
        <v>4955</v>
      </c>
      <c r="AC1799" s="1" t="s">
        <v>46</v>
      </c>
      <c r="AD1799" s="1"/>
      <c r="AE1799" s="1" t="s">
        <v>641</v>
      </c>
      <c r="AF1799" s="1" t="s">
        <v>190</v>
      </c>
      <c r="AG1799" s="1">
        <v>4</v>
      </c>
      <c r="AH1799" s="1" t="s">
        <v>190</v>
      </c>
      <c r="AI1799" s="1"/>
      <c r="AJ1799" s="1" t="s">
        <v>4956</v>
      </c>
      <c r="AK1799" s="1" t="s">
        <v>4408</v>
      </c>
    </row>
    <row r="1800" spans="1:37">
      <c r="A1800" s="1" t="str">
        <f>VLOOKUP(H1800,Languages!$A$2:$B$430,2,FALSE)</f>
        <v>Turkic</v>
      </c>
      <c r="B1800" s="1" t="s">
        <v>35</v>
      </c>
      <c r="C1800" s="1" t="s">
        <v>4965</v>
      </c>
      <c r="D1800" s="1" t="s">
        <v>5268</v>
      </c>
      <c r="E1800" s="15" t="s">
        <v>5223</v>
      </c>
      <c r="F1800" s="15" t="s">
        <v>5224</v>
      </c>
      <c r="G1800" s="1" t="s">
        <v>5223</v>
      </c>
      <c r="H1800" s="1" t="str">
        <f>VLOOKUP(G1800,'languoid 4.0'!$A$1:$I$24439,2,FALSE)</f>
        <v>turk1311</v>
      </c>
      <c r="I1800" s="1" t="str">
        <f>VLOOKUP(G1800,'languoid 4.0'!$A$1:$I$24439,6,FALSE)</f>
        <v>language</v>
      </c>
      <c r="J1800" s="15" t="s">
        <v>52</v>
      </c>
      <c r="K1800" s="15" t="s">
        <v>38</v>
      </c>
      <c r="L1800" s="15" t="s">
        <v>38</v>
      </c>
      <c r="M1800" s="1"/>
      <c r="N1800" s="1" t="s">
        <v>5225</v>
      </c>
      <c r="O1800" s="15" t="s">
        <v>40</v>
      </c>
      <c r="P1800" s="15" t="s">
        <v>41</v>
      </c>
      <c r="Q1800" s="1" t="s">
        <v>35</v>
      </c>
      <c r="R1800" s="2" t="s">
        <v>5269</v>
      </c>
      <c r="S1800" s="1" t="s">
        <v>5270</v>
      </c>
      <c r="T1800" s="1" t="s">
        <v>635</v>
      </c>
      <c r="U1800" s="1" t="s">
        <v>636</v>
      </c>
      <c r="V1800" s="1" t="s">
        <v>45</v>
      </c>
      <c r="W1800" s="1"/>
      <c r="X1800" s="1"/>
      <c r="Y1800" s="1"/>
      <c r="Z1800" s="1" t="s">
        <v>658</v>
      </c>
      <c r="AA1800" s="1" t="s">
        <v>5271</v>
      </c>
      <c r="AB1800" s="1" t="s">
        <v>46</v>
      </c>
      <c r="AC1800" s="1" t="s">
        <v>46</v>
      </c>
      <c r="AD1800" s="1"/>
      <c r="AE1800" s="1" t="s">
        <v>641</v>
      </c>
      <c r="AF1800" s="1" t="s">
        <v>190</v>
      </c>
      <c r="AG1800" s="1">
        <v>6</v>
      </c>
      <c r="AH1800" s="1" t="s">
        <v>190</v>
      </c>
      <c r="AI1800" s="1"/>
      <c r="AJ1800" s="1" t="s">
        <v>5272</v>
      </c>
      <c r="AK1800" s="1" t="s">
        <v>4975</v>
      </c>
    </row>
    <row r="1801" spans="1:37">
      <c r="A1801" s="1" t="str">
        <f>VLOOKUP(H1801,Languages!$A$2:$B$430,2,FALSE)</f>
        <v>Turkic</v>
      </c>
      <c r="B1801" s="1" t="s">
        <v>35</v>
      </c>
      <c r="C1801" s="1" t="s">
        <v>4965</v>
      </c>
      <c r="D1801" s="1" t="s">
        <v>5802</v>
      </c>
      <c r="E1801" s="15" t="s">
        <v>5803</v>
      </c>
      <c r="F1801" s="15" t="s">
        <v>5803</v>
      </c>
      <c r="G1801" s="1" t="s">
        <v>5803</v>
      </c>
      <c r="H1801" s="1" t="str">
        <f>VLOOKUP(G1801,'languoid 4.0'!$A$1:$I$24439,2,FALSE)</f>
        <v>turk1311</v>
      </c>
      <c r="I1801" s="1" t="str">
        <f>VLOOKUP(G1801,'languoid 4.0'!$A$1:$I$24439,6,FALSE)</f>
        <v>language</v>
      </c>
      <c r="J1801" s="15" t="s">
        <v>38</v>
      </c>
      <c r="K1801" s="15" t="s">
        <v>38</v>
      </c>
      <c r="L1801" s="15" t="s">
        <v>38</v>
      </c>
      <c r="M1801" s="1"/>
      <c r="N1801" s="1" t="s">
        <v>5804</v>
      </c>
      <c r="O1801" s="15" t="s">
        <v>40</v>
      </c>
      <c r="P1801" s="15" t="s">
        <v>41</v>
      </c>
      <c r="Q1801" s="1" t="s">
        <v>5805</v>
      </c>
      <c r="R1801" s="2" t="s">
        <v>5806</v>
      </c>
      <c r="S1801" s="1" t="s">
        <v>5807</v>
      </c>
      <c r="T1801" s="1" t="s">
        <v>657</v>
      </c>
      <c r="U1801" s="1" t="s">
        <v>636</v>
      </c>
      <c r="V1801" s="1" t="s">
        <v>45</v>
      </c>
      <c r="W1801" s="1"/>
      <c r="X1801" s="1"/>
      <c r="Y1801" s="1"/>
      <c r="Z1801" s="1" t="s">
        <v>658</v>
      </c>
      <c r="AA1801" s="1" t="s">
        <v>5808</v>
      </c>
      <c r="AB1801" s="1" t="s">
        <v>46</v>
      </c>
      <c r="AC1801" s="1" t="s">
        <v>46</v>
      </c>
      <c r="AD1801" s="1" t="s">
        <v>5809</v>
      </c>
      <c r="AE1801" s="1" t="s">
        <v>641</v>
      </c>
      <c r="AF1801" s="1" t="s">
        <v>190</v>
      </c>
      <c r="AG1801" s="1">
        <v>6</v>
      </c>
      <c r="AH1801" s="1" t="s">
        <v>190</v>
      </c>
      <c r="AI1801" s="1"/>
      <c r="AJ1801" s="1" t="s">
        <v>5810</v>
      </c>
      <c r="AK1801" s="1" t="s">
        <v>4975</v>
      </c>
    </row>
    <row r="1802" spans="1:37">
      <c r="A1802" s="1" t="str">
        <f>VLOOKUP(H1802,Languages!$A$2:$B$430,2,FALSE)</f>
        <v>Turkic</v>
      </c>
      <c r="B1802" s="1" t="s">
        <v>35</v>
      </c>
      <c r="C1802" s="1" t="s">
        <v>4965</v>
      </c>
      <c r="D1802" s="1" t="s">
        <v>8398</v>
      </c>
      <c r="E1802" s="15" t="s">
        <v>3426</v>
      </c>
      <c r="F1802" s="15" t="s">
        <v>3426</v>
      </c>
      <c r="G1802" s="1" t="s">
        <v>3426</v>
      </c>
      <c r="H1802" s="1" t="str">
        <f>VLOOKUP(G1802,'languoid 4.0'!$A$1:$I$24439,2,FALSE)</f>
        <v>turk1311</v>
      </c>
      <c r="I1802" s="1" t="str">
        <f>VLOOKUP(G1802,'languoid 4.0'!$A$1:$I$24439,6,FALSE)</f>
        <v>language</v>
      </c>
      <c r="J1802" s="15" t="s">
        <v>38</v>
      </c>
      <c r="K1802" s="15" t="s">
        <v>38</v>
      </c>
      <c r="L1802" s="15" t="s">
        <v>38</v>
      </c>
      <c r="M1802" s="1"/>
      <c r="N1802" s="1" t="s">
        <v>3427</v>
      </c>
      <c r="O1802" s="15" t="s">
        <v>40</v>
      </c>
      <c r="P1802" s="15" t="s">
        <v>41</v>
      </c>
      <c r="Q1802" s="1" t="s">
        <v>35</v>
      </c>
      <c r="R1802" s="2" t="s">
        <v>3428</v>
      </c>
      <c r="S1802" s="1" t="s">
        <v>3429</v>
      </c>
      <c r="T1802" s="1" t="s">
        <v>657</v>
      </c>
      <c r="U1802" s="1" t="s">
        <v>636</v>
      </c>
      <c r="V1802" s="1" t="s">
        <v>45</v>
      </c>
      <c r="W1802" s="1"/>
      <c r="X1802" s="1"/>
      <c r="Y1802" s="1"/>
      <c r="Z1802" s="1" t="s">
        <v>658</v>
      </c>
      <c r="AA1802" s="1" t="s">
        <v>8404</v>
      </c>
      <c r="AB1802" s="1" t="s">
        <v>46</v>
      </c>
      <c r="AC1802" s="1" t="s">
        <v>46</v>
      </c>
      <c r="AD1802" s="1"/>
      <c r="AE1802" s="1" t="s">
        <v>641</v>
      </c>
      <c r="AF1802" s="1" t="s">
        <v>190</v>
      </c>
      <c r="AG1802" s="1">
        <v>6</v>
      </c>
      <c r="AH1802" s="1" t="s">
        <v>190</v>
      </c>
      <c r="AI1802" s="1"/>
      <c r="AJ1802" s="1" t="s">
        <v>8405</v>
      </c>
      <c r="AK1802" s="1" t="s">
        <v>4975</v>
      </c>
    </row>
    <row r="1803" spans="1:37">
      <c r="A1803" s="1" t="str">
        <f>VLOOKUP(H1803,Languages!$A$2:$B$430,2,FALSE)</f>
        <v>Turkic</v>
      </c>
      <c r="B1803" s="1" t="s">
        <v>35</v>
      </c>
      <c r="C1803" s="1" t="s">
        <v>4965</v>
      </c>
      <c r="D1803" s="1" t="s">
        <v>8398</v>
      </c>
      <c r="E1803" s="15" t="s">
        <v>3426</v>
      </c>
      <c r="F1803" s="15" t="s">
        <v>3426</v>
      </c>
      <c r="G1803" s="1" t="s">
        <v>3426</v>
      </c>
      <c r="H1803" s="1" t="str">
        <f>VLOOKUP(G1803,'languoid 4.0'!$A$1:$I$24439,2,FALSE)</f>
        <v>turk1311</v>
      </c>
      <c r="I1803" s="1" t="str">
        <f>VLOOKUP(G1803,'languoid 4.0'!$A$1:$I$24439,6,FALSE)</f>
        <v>language</v>
      </c>
      <c r="J1803" s="15" t="s">
        <v>38</v>
      </c>
      <c r="K1803" s="15" t="s">
        <v>38</v>
      </c>
      <c r="L1803" s="15" t="s">
        <v>38</v>
      </c>
      <c r="M1803" s="1"/>
      <c r="N1803" s="1" t="s">
        <v>3427</v>
      </c>
      <c r="O1803" s="15" t="s">
        <v>40</v>
      </c>
      <c r="P1803" s="15" t="s">
        <v>41</v>
      </c>
      <c r="Q1803" s="1" t="s">
        <v>8406</v>
      </c>
      <c r="R1803" s="2" t="s">
        <v>8407</v>
      </c>
      <c r="S1803" s="1" t="s">
        <v>8408</v>
      </c>
      <c r="T1803" s="1" t="s">
        <v>657</v>
      </c>
      <c r="U1803" s="1" t="s">
        <v>636</v>
      </c>
      <c r="V1803" s="1" t="s">
        <v>45</v>
      </c>
      <c r="W1803" s="1"/>
      <c r="X1803" s="1"/>
      <c r="Y1803" s="1"/>
      <c r="Z1803" s="1" t="s">
        <v>658</v>
      </c>
      <c r="AA1803" s="1" t="s">
        <v>8409</v>
      </c>
      <c r="AB1803" s="1" t="s">
        <v>46</v>
      </c>
      <c r="AC1803" s="1" t="s">
        <v>46</v>
      </c>
      <c r="AD1803" s="1"/>
      <c r="AE1803" s="1" t="s">
        <v>641</v>
      </c>
      <c r="AF1803" s="1" t="s">
        <v>190</v>
      </c>
      <c r="AG1803" s="1">
        <v>6</v>
      </c>
      <c r="AH1803" s="1" t="s">
        <v>190</v>
      </c>
      <c r="AI1803" s="1"/>
      <c r="AJ1803" s="1" t="s">
        <v>8410</v>
      </c>
      <c r="AK1803" s="1" t="s">
        <v>4975</v>
      </c>
    </row>
    <row r="1804" spans="1:37">
      <c r="A1804" s="1" t="str">
        <f>VLOOKUP(H1804,Languages!$A$2:$B$430,2,FALSE)</f>
        <v>Turkic</v>
      </c>
      <c r="B1804" s="1" t="s">
        <v>35</v>
      </c>
      <c r="C1804" s="1" t="s">
        <v>317</v>
      </c>
      <c r="D1804" s="1" t="s">
        <v>3425</v>
      </c>
      <c r="E1804" s="15" t="s">
        <v>3426</v>
      </c>
      <c r="F1804" s="15" t="s">
        <v>3426</v>
      </c>
      <c r="G1804" s="1" t="s">
        <v>3426</v>
      </c>
      <c r="H1804" s="1" t="str">
        <f>VLOOKUP(G1804,'languoid 4.0'!$A$1:$I$24439,2,FALSE)</f>
        <v>turk1311</v>
      </c>
      <c r="I1804" s="1" t="str">
        <f>VLOOKUP(G1804,'languoid 4.0'!$A$1:$I$24439,6,FALSE)</f>
        <v>language</v>
      </c>
      <c r="J1804" s="15" t="s">
        <v>38</v>
      </c>
      <c r="K1804" s="15" t="s">
        <v>38</v>
      </c>
      <c r="L1804" s="15" t="s">
        <v>38</v>
      </c>
      <c r="M1804" s="1"/>
      <c r="N1804" s="1" t="s">
        <v>3427</v>
      </c>
      <c r="O1804" s="15" t="s">
        <v>40</v>
      </c>
      <c r="P1804" s="15" t="s">
        <v>41</v>
      </c>
      <c r="Q1804" s="1" t="s">
        <v>35</v>
      </c>
      <c r="R1804" s="2" t="s">
        <v>3428</v>
      </c>
      <c r="S1804" s="1" t="s">
        <v>3429</v>
      </c>
      <c r="T1804" s="1" t="s">
        <v>657</v>
      </c>
      <c r="U1804" s="1" t="s">
        <v>636</v>
      </c>
      <c r="V1804" s="1" t="s">
        <v>45</v>
      </c>
      <c r="W1804" s="1"/>
      <c r="X1804" s="1"/>
      <c r="Y1804" s="1"/>
      <c r="Z1804" s="1" t="s">
        <v>658</v>
      </c>
      <c r="AA1804" s="1" t="s">
        <v>3430</v>
      </c>
      <c r="AB1804" s="1" t="s">
        <v>46</v>
      </c>
      <c r="AC1804" s="1" t="s">
        <v>46</v>
      </c>
      <c r="AD1804" s="1"/>
      <c r="AE1804" s="1" t="s">
        <v>641</v>
      </c>
      <c r="AF1804" s="1" t="s">
        <v>190</v>
      </c>
      <c r="AG1804" s="1">
        <v>5</v>
      </c>
      <c r="AH1804" s="1" t="s">
        <v>190</v>
      </c>
      <c r="AI1804" s="1"/>
      <c r="AJ1804" s="1" t="s">
        <v>3431</v>
      </c>
      <c r="AK1804" s="1" t="s">
        <v>2040</v>
      </c>
    </row>
    <row r="1805" spans="1:37">
      <c r="A1805" s="1" t="str">
        <f>VLOOKUP(H1805,Languages!$A$2:$B$430,2,FALSE)</f>
        <v>Turkic</v>
      </c>
      <c r="B1805" s="1" t="s">
        <v>35</v>
      </c>
      <c r="C1805" s="1" t="s">
        <v>317</v>
      </c>
      <c r="D1805" s="1" t="s">
        <v>2070</v>
      </c>
      <c r="E1805" s="15" t="s">
        <v>2071</v>
      </c>
      <c r="F1805" s="15" t="s">
        <v>2071</v>
      </c>
      <c r="G1805" s="1" t="s">
        <v>2071</v>
      </c>
      <c r="H1805" s="1" t="str">
        <f>VLOOKUP(G1805,'languoid 4.0'!$A$1:$I$24439,2,FALSE)</f>
        <v>turk1311</v>
      </c>
      <c r="I1805" s="1" t="str">
        <f>VLOOKUP(G1805,'languoid 4.0'!$A$1:$I$24439,6,FALSE)</f>
        <v>language</v>
      </c>
      <c r="J1805" s="15" t="s">
        <v>38</v>
      </c>
      <c r="K1805" s="15" t="s">
        <v>38</v>
      </c>
      <c r="L1805" s="15" t="s">
        <v>38</v>
      </c>
      <c r="M1805" s="1"/>
      <c r="N1805" s="1" t="s">
        <v>2072</v>
      </c>
      <c r="O1805" s="15" t="s">
        <v>40</v>
      </c>
      <c r="P1805" s="15" t="s">
        <v>41</v>
      </c>
      <c r="Q1805" s="1" t="s">
        <v>35</v>
      </c>
      <c r="R1805" s="2" t="s">
        <v>7149</v>
      </c>
      <c r="S1805" s="1" t="s">
        <v>7171</v>
      </c>
      <c r="T1805" s="1" t="s">
        <v>7151</v>
      </c>
      <c r="U1805" s="1" t="s">
        <v>636</v>
      </c>
      <c r="V1805" s="1" t="s">
        <v>45</v>
      </c>
      <c r="W1805" s="1"/>
      <c r="X1805" s="1"/>
      <c r="Y1805" s="1"/>
      <c r="Z1805" s="1" t="s">
        <v>658</v>
      </c>
      <c r="AA1805" s="1" t="s">
        <v>46</v>
      </c>
      <c r="AB1805" s="1" t="s">
        <v>7172</v>
      </c>
      <c r="AC1805" s="1" t="s">
        <v>46</v>
      </c>
      <c r="AD1805" s="1" t="s">
        <v>7154</v>
      </c>
      <c r="AE1805" s="1" t="s">
        <v>641</v>
      </c>
      <c r="AF1805" s="1" t="s">
        <v>190</v>
      </c>
      <c r="AG1805" s="1">
        <v>6</v>
      </c>
      <c r="AH1805" s="1" t="s">
        <v>190</v>
      </c>
      <c r="AI1805" s="1"/>
      <c r="AJ1805" s="3">
        <v>43259.513553240744</v>
      </c>
      <c r="AK1805" s="1" t="s">
        <v>5871</v>
      </c>
    </row>
    <row r="1806" spans="1:37">
      <c r="A1806" s="1" t="str">
        <f>VLOOKUP(H1806,Languages!$A$2:$B$430,2,FALSE)</f>
        <v>Turkic</v>
      </c>
      <c r="B1806" s="1" t="s">
        <v>35</v>
      </c>
      <c r="C1806" s="1" t="s">
        <v>317</v>
      </c>
      <c r="D1806" s="1" t="s">
        <v>7173</v>
      </c>
      <c r="E1806" s="15" t="s">
        <v>3426</v>
      </c>
      <c r="F1806" s="15" t="s">
        <v>3426</v>
      </c>
      <c r="G1806" s="1" t="s">
        <v>3426</v>
      </c>
      <c r="H1806" s="1" t="str">
        <f>VLOOKUP(G1806,'languoid 4.0'!$A$1:$I$24439,2,FALSE)</f>
        <v>turk1311</v>
      </c>
      <c r="I1806" s="1" t="str">
        <f>VLOOKUP(G1806,'languoid 4.0'!$A$1:$I$24439,6,FALSE)</f>
        <v>language</v>
      </c>
      <c r="J1806" s="15" t="s">
        <v>38</v>
      </c>
      <c r="K1806" s="15" t="s">
        <v>38</v>
      </c>
      <c r="L1806" s="15" t="s">
        <v>38</v>
      </c>
      <c r="M1806" s="1"/>
      <c r="N1806" s="1" t="s">
        <v>3427</v>
      </c>
      <c r="O1806" s="15" t="s">
        <v>40</v>
      </c>
      <c r="P1806" s="15" t="s">
        <v>41</v>
      </c>
      <c r="Q1806" s="1" t="s">
        <v>7174</v>
      </c>
      <c r="R1806" s="2" t="s">
        <v>7149</v>
      </c>
      <c r="S1806" s="1" t="s">
        <v>7175</v>
      </c>
      <c r="T1806" s="1" t="s">
        <v>7151</v>
      </c>
      <c r="U1806" s="1" t="s">
        <v>636</v>
      </c>
      <c r="V1806" s="1" t="s">
        <v>45</v>
      </c>
      <c r="W1806" s="1"/>
      <c r="X1806" s="1"/>
      <c r="Y1806" s="1"/>
      <c r="Z1806" s="1" t="s">
        <v>658</v>
      </c>
      <c r="AA1806" s="1" t="s">
        <v>7176</v>
      </c>
      <c r="AB1806" s="1" t="s">
        <v>7177</v>
      </c>
      <c r="AC1806" s="1" t="s">
        <v>46</v>
      </c>
      <c r="AD1806" s="1" t="s">
        <v>7154</v>
      </c>
      <c r="AE1806" s="1" t="s">
        <v>641</v>
      </c>
      <c r="AF1806" s="1" t="s">
        <v>190</v>
      </c>
      <c r="AG1806" s="1">
        <v>6</v>
      </c>
      <c r="AH1806" s="1" t="s">
        <v>190</v>
      </c>
      <c r="AI1806" s="1"/>
      <c r="AJ1806" s="3">
        <v>43259.520104166666</v>
      </c>
      <c r="AK1806" s="1" t="s">
        <v>5871</v>
      </c>
    </row>
    <row r="1807" spans="1:37">
      <c r="A1807" s="1" t="str">
        <f>VLOOKUP(H1807,Languages!$A$2:$B$430,2,FALSE)</f>
        <v>Turkic</v>
      </c>
      <c r="B1807" s="1" t="s">
        <v>1726</v>
      </c>
      <c r="C1807" s="1" t="s">
        <v>4965</v>
      </c>
      <c r="D1807" s="1" t="s">
        <v>6349</v>
      </c>
      <c r="E1807" s="15" t="s">
        <v>3480</v>
      </c>
      <c r="F1807" s="15" t="s">
        <v>5803</v>
      </c>
      <c r="G1807" s="1" t="s">
        <v>5803</v>
      </c>
      <c r="H1807" s="1" t="str">
        <f>VLOOKUP(G1807,'languoid 4.0'!$A$1:$I$24439,2,FALSE)</f>
        <v>turk1311</v>
      </c>
      <c r="I1807" s="1" t="str">
        <f>VLOOKUP(G1807,'languoid 4.0'!$A$1:$I$24439,6,FALSE)</f>
        <v>language</v>
      </c>
      <c r="J1807" s="15" t="s">
        <v>52</v>
      </c>
      <c r="K1807" s="15" t="s">
        <v>38</v>
      </c>
      <c r="L1807" s="15" t="s">
        <v>38</v>
      </c>
      <c r="M1807" s="1"/>
      <c r="N1807" s="1" t="s">
        <v>5566</v>
      </c>
      <c r="O1807" s="15" t="s">
        <v>40</v>
      </c>
      <c r="P1807" s="15" t="s">
        <v>41</v>
      </c>
      <c r="Q1807" s="1" t="s">
        <v>46</v>
      </c>
      <c r="R1807" s="2" t="s">
        <v>6350</v>
      </c>
      <c r="S1807" s="1" t="s">
        <v>46</v>
      </c>
      <c r="T1807" s="1" t="s">
        <v>822</v>
      </c>
      <c r="U1807" s="1" t="s">
        <v>636</v>
      </c>
      <c r="V1807" s="1" t="s">
        <v>45</v>
      </c>
      <c r="W1807" s="1"/>
      <c r="X1807" s="1"/>
      <c r="Y1807" s="1"/>
      <c r="Z1807" s="1" t="s">
        <v>658</v>
      </c>
      <c r="AA1807" s="1" t="s">
        <v>6351</v>
      </c>
      <c r="AB1807" s="1" t="s">
        <v>46</v>
      </c>
      <c r="AC1807" s="1" t="s">
        <v>46</v>
      </c>
      <c r="AD1807" s="1" t="s">
        <v>6352</v>
      </c>
      <c r="AE1807" s="1" t="s">
        <v>641</v>
      </c>
      <c r="AF1807" s="1" t="s">
        <v>190</v>
      </c>
      <c r="AG1807" s="1">
        <v>5</v>
      </c>
      <c r="AH1807" s="1" t="s">
        <v>190</v>
      </c>
      <c r="AI1807" s="1"/>
      <c r="AJ1807" s="3">
        <v>43258.80364583333</v>
      </c>
      <c r="AK1807" s="1" t="s">
        <v>4975</v>
      </c>
    </row>
    <row r="1808" spans="1:37">
      <c r="A1808" s="1" t="str">
        <f>VLOOKUP(H1808,Languages!$A$2:$B$430,2,FALSE)</f>
        <v>Turkic</v>
      </c>
      <c r="B1808" s="1" t="s">
        <v>1726</v>
      </c>
      <c r="C1808" s="1" t="s">
        <v>4965</v>
      </c>
      <c r="D1808" s="1" t="s">
        <v>6353</v>
      </c>
      <c r="E1808" s="15" t="s">
        <v>5004</v>
      </c>
      <c r="F1808" s="15" t="s">
        <v>5803</v>
      </c>
      <c r="G1808" s="1" t="s">
        <v>5803</v>
      </c>
      <c r="H1808" s="1" t="str">
        <f>VLOOKUP(G1808,'languoid 4.0'!$A$1:$I$24439,2,FALSE)</f>
        <v>turk1311</v>
      </c>
      <c r="I1808" s="1" t="str">
        <f>VLOOKUP(G1808,'languoid 4.0'!$A$1:$I$24439,6,FALSE)</f>
        <v>language</v>
      </c>
      <c r="J1808" s="15" t="s">
        <v>52</v>
      </c>
      <c r="K1808" s="15" t="s">
        <v>38</v>
      </c>
      <c r="L1808" s="15" t="s">
        <v>38</v>
      </c>
      <c r="M1808" s="1"/>
      <c r="N1808" s="1" t="s">
        <v>5005</v>
      </c>
      <c r="O1808" s="15" t="s">
        <v>40</v>
      </c>
      <c r="P1808" s="15" t="s">
        <v>41</v>
      </c>
      <c r="Q1808" s="1" t="s">
        <v>6354</v>
      </c>
      <c r="R1808" s="2" t="s">
        <v>6355</v>
      </c>
      <c r="S1808" s="1" t="s">
        <v>46</v>
      </c>
      <c r="T1808" s="1" t="s">
        <v>822</v>
      </c>
      <c r="U1808" s="1" t="s">
        <v>636</v>
      </c>
      <c r="V1808" s="1" t="s">
        <v>45</v>
      </c>
      <c r="W1808" s="1"/>
      <c r="X1808" s="1"/>
      <c r="Y1808" s="1"/>
      <c r="Z1808" s="1" t="s">
        <v>658</v>
      </c>
      <c r="AA1808" s="1" t="s">
        <v>6356</v>
      </c>
      <c r="AB1808" s="1" t="s">
        <v>46</v>
      </c>
      <c r="AC1808" s="1" t="s">
        <v>46</v>
      </c>
      <c r="AD1808" s="1" t="s">
        <v>6357</v>
      </c>
      <c r="AE1808" s="1" t="s">
        <v>641</v>
      </c>
      <c r="AF1808" s="1" t="s">
        <v>45</v>
      </c>
      <c r="AG1808" s="1">
        <v>1</v>
      </c>
      <c r="AH1808" s="1" t="s">
        <v>190</v>
      </c>
      <c r="AI1808" s="1"/>
      <c r="AJ1808" s="3">
        <v>43258.813483796293</v>
      </c>
      <c r="AK1808" s="1" t="s">
        <v>4975</v>
      </c>
    </row>
    <row r="1809" spans="1:37">
      <c r="A1809" s="1" t="str">
        <f>VLOOKUP(H1809,Languages!$A$2:$B$430,2,FALSE)</f>
        <v>Turkic</v>
      </c>
      <c r="B1809" s="1" t="s">
        <v>1726</v>
      </c>
      <c r="C1809" s="1" t="s">
        <v>4965</v>
      </c>
      <c r="D1809" s="1" t="s">
        <v>6397</v>
      </c>
      <c r="E1809" s="15" t="s">
        <v>5004</v>
      </c>
      <c r="F1809" s="15" t="s">
        <v>5004</v>
      </c>
      <c r="G1809" s="1" t="s">
        <v>5004</v>
      </c>
      <c r="H1809" s="1" t="str">
        <f>VLOOKUP(G1809,'languoid 4.0'!$A$1:$I$24439,2,FALSE)</f>
        <v>turk1311</v>
      </c>
      <c r="I1809" s="1" t="str">
        <f>VLOOKUP(G1809,'languoid 4.0'!$A$1:$I$24439,6,FALSE)</f>
        <v>language</v>
      </c>
      <c r="J1809" s="15" t="s">
        <v>38</v>
      </c>
      <c r="K1809" s="15" t="s">
        <v>38</v>
      </c>
      <c r="L1809" s="15" t="s">
        <v>38</v>
      </c>
      <c r="M1809" s="1"/>
      <c r="N1809" s="1" t="s">
        <v>5005</v>
      </c>
      <c r="O1809" s="15" t="s">
        <v>40</v>
      </c>
      <c r="P1809" s="15" t="s">
        <v>41</v>
      </c>
      <c r="Q1809" s="1" t="s">
        <v>6398</v>
      </c>
      <c r="R1809" s="2" t="s">
        <v>6399</v>
      </c>
      <c r="S1809" s="1" t="s">
        <v>6400</v>
      </c>
      <c r="T1809" s="1" t="s">
        <v>657</v>
      </c>
      <c r="U1809" s="1" t="s">
        <v>109</v>
      </c>
      <c r="V1809" s="1" t="s">
        <v>45</v>
      </c>
      <c r="W1809" s="1"/>
      <c r="X1809" s="1"/>
      <c r="Y1809" s="1"/>
      <c r="Z1809" s="1" t="s">
        <v>658</v>
      </c>
      <c r="AA1809" s="1" t="s">
        <v>6401</v>
      </c>
      <c r="AB1809" s="1" t="s">
        <v>6402</v>
      </c>
      <c r="AC1809" s="1" t="s">
        <v>46</v>
      </c>
      <c r="AD1809" s="1" t="s">
        <v>6403</v>
      </c>
      <c r="AE1809" s="1" t="s">
        <v>641</v>
      </c>
      <c r="AF1809" s="1" t="s">
        <v>190</v>
      </c>
      <c r="AG1809" s="1">
        <v>6</v>
      </c>
      <c r="AH1809" s="1" t="s">
        <v>190</v>
      </c>
      <c r="AI1809" s="1"/>
      <c r="AJ1809" s="3">
        <v>43319.629699074074</v>
      </c>
      <c r="AK1809" s="1" t="s">
        <v>4975</v>
      </c>
    </row>
    <row r="1810" spans="1:37">
      <c r="A1810" s="1" t="str">
        <f>VLOOKUP(H1810,Languages!$A$2:$B$430,2,FALSE)</f>
        <v>Turkic</v>
      </c>
      <c r="B1810" s="1" t="s">
        <v>1726</v>
      </c>
      <c r="C1810" s="1" t="s">
        <v>4965</v>
      </c>
      <c r="D1810" s="1" t="s">
        <v>7719</v>
      </c>
      <c r="E1810" s="15" t="s">
        <v>5004</v>
      </c>
      <c r="F1810" s="15" t="s">
        <v>5004</v>
      </c>
      <c r="G1810" s="1" t="s">
        <v>5004</v>
      </c>
      <c r="H1810" s="1" t="str">
        <f>VLOOKUP(G1810,'languoid 4.0'!$A$1:$I$24439,2,FALSE)</f>
        <v>turk1311</v>
      </c>
      <c r="I1810" s="1" t="str">
        <f>VLOOKUP(G1810,'languoid 4.0'!$A$1:$I$24439,6,FALSE)</f>
        <v>language</v>
      </c>
      <c r="J1810" s="15" t="s">
        <v>38</v>
      </c>
      <c r="K1810" s="15" t="s">
        <v>38</v>
      </c>
      <c r="L1810" s="15" t="s">
        <v>38</v>
      </c>
      <c r="M1810" s="1"/>
      <c r="N1810" s="1" t="s">
        <v>5005</v>
      </c>
      <c r="O1810" s="15" t="s">
        <v>40</v>
      </c>
      <c r="P1810" s="15" t="s">
        <v>41</v>
      </c>
      <c r="Q1810" s="1" t="s">
        <v>7720</v>
      </c>
      <c r="R1810" s="2" t="s">
        <v>7721</v>
      </c>
      <c r="S1810" s="1" t="s">
        <v>123</v>
      </c>
      <c r="T1810" s="1" t="s">
        <v>7402</v>
      </c>
      <c r="U1810" s="1" t="s">
        <v>636</v>
      </c>
      <c r="V1810" s="1" t="s">
        <v>45</v>
      </c>
      <c r="W1810" s="1"/>
      <c r="X1810" s="1"/>
      <c r="Y1810" s="1"/>
      <c r="Z1810" s="1" t="s">
        <v>673</v>
      </c>
      <c r="AA1810" s="1" t="s">
        <v>7722</v>
      </c>
      <c r="AB1810" s="1" t="s">
        <v>7723</v>
      </c>
      <c r="AC1810" s="1" t="s">
        <v>46</v>
      </c>
      <c r="AD1810" s="1" t="s">
        <v>7724</v>
      </c>
      <c r="AE1810" s="1" t="s">
        <v>641</v>
      </c>
      <c r="AF1810" s="1" t="s">
        <v>190</v>
      </c>
      <c r="AG1810" s="1">
        <v>4</v>
      </c>
      <c r="AH1810" s="1" t="s">
        <v>190</v>
      </c>
      <c r="AI1810" s="1"/>
      <c r="AJ1810" s="1" t="s">
        <v>7725</v>
      </c>
      <c r="AK1810" s="1" t="s">
        <v>4975</v>
      </c>
    </row>
    <row r="1811" spans="1:37">
      <c r="A1811" s="1" t="str">
        <f>VLOOKUP(H1811,Languages!$A$2:$B$430,2,FALSE)</f>
        <v>Turkic</v>
      </c>
      <c r="B1811" s="1" t="s">
        <v>1726</v>
      </c>
      <c r="C1811" s="1" t="s">
        <v>4965</v>
      </c>
      <c r="D1811" s="1" t="s">
        <v>8398</v>
      </c>
      <c r="E1811" s="15" t="s">
        <v>3426</v>
      </c>
      <c r="F1811" s="15" t="s">
        <v>3426</v>
      </c>
      <c r="G1811" s="1" t="s">
        <v>3426</v>
      </c>
      <c r="H1811" s="1" t="str">
        <f>VLOOKUP(G1811,'languoid 4.0'!$A$1:$I$24439,2,FALSE)</f>
        <v>turk1311</v>
      </c>
      <c r="I1811" s="1" t="str">
        <f>VLOOKUP(G1811,'languoid 4.0'!$A$1:$I$24439,6,FALSE)</f>
        <v>language</v>
      </c>
      <c r="J1811" s="15" t="s">
        <v>38</v>
      </c>
      <c r="K1811" s="15" t="s">
        <v>38</v>
      </c>
      <c r="L1811" s="15" t="s">
        <v>38</v>
      </c>
      <c r="M1811" s="1"/>
      <c r="N1811" s="1" t="s">
        <v>3427</v>
      </c>
      <c r="O1811" s="15" t="s">
        <v>40</v>
      </c>
      <c r="P1811" s="15" t="s">
        <v>41</v>
      </c>
      <c r="Q1811" s="1" t="s">
        <v>3438</v>
      </c>
      <c r="R1811" s="2" t="s">
        <v>3439</v>
      </c>
      <c r="S1811" s="1" t="s">
        <v>3440</v>
      </c>
      <c r="T1811" s="1" t="s">
        <v>657</v>
      </c>
      <c r="U1811" s="1" t="s">
        <v>1738</v>
      </c>
      <c r="V1811" s="1" t="s">
        <v>45</v>
      </c>
      <c r="W1811" s="1"/>
      <c r="X1811" s="1"/>
      <c r="Y1811" s="1"/>
      <c r="Z1811" s="1" t="s">
        <v>658</v>
      </c>
      <c r="AA1811" s="1" t="s">
        <v>8415</v>
      </c>
      <c r="AB1811" s="1" t="s">
        <v>46</v>
      </c>
      <c r="AC1811" s="1" t="s">
        <v>46</v>
      </c>
      <c r="AD1811" s="1"/>
      <c r="AE1811" s="1" t="s">
        <v>641</v>
      </c>
      <c r="AF1811" s="1" t="s">
        <v>190</v>
      </c>
      <c r="AG1811" s="1">
        <v>6</v>
      </c>
      <c r="AH1811" s="1" t="s">
        <v>190</v>
      </c>
      <c r="AI1811" s="1"/>
      <c r="AJ1811" s="1" t="s">
        <v>8416</v>
      </c>
      <c r="AK1811" s="1" t="s">
        <v>4975</v>
      </c>
    </row>
    <row r="1812" spans="1:37">
      <c r="A1812" s="1" t="str">
        <f>VLOOKUP(H1812,Languages!$A$2:$B$430,2,FALSE)</f>
        <v>Turkic</v>
      </c>
      <c r="B1812" s="1" t="s">
        <v>1726</v>
      </c>
      <c r="C1812" s="1" t="s">
        <v>317</v>
      </c>
      <c r="D1812" s="1" t="s">
        <v>2070</v>
      </c>
      <c r="E1812" s="15" t="s">
        <v>2071</v>
      </c>
      <c r="F1812" s="15" t="s">
        <v>2071</v>
      </c>
      <c r="G1812" s="1" t="s">
        <v>2071</v>
      </c>
      <c r="H1812" s="1" t="str">
        <f>VLOOKUP(G1812,'languoid 4.0'!$A$1:$I$24439,2,FALSE)</f>
        <v>turk1311</v>
      </c>
      <c r="I1812" s="1" t="str">
        <f>VLOOKUP(G1812,'languoid 4.0'!$A$1:$I$24439,6,FALSE)</f>
        <v>language</v>
      </c>
      <c r="J1812" s="15" t="s">
        <v>38</v>
      </c>
      <c r="K1812" s="15" t="s">
        <v>38</v>
      </c>
      <c r="L1812" s="15" t="s">
        <v>38</v>
      </c>
      <c r="M1812" s="1"/>
      <c r="N1812" s="1" t="s">
        <v>2072</v>
      </c>
      <c r="O1812" s="15" t="s">
        <v>40</v>
      </c>
      <c r="P1812" s="15" t="s">
        <v>41</v>
      </c>
      <c r="Q1812" s="1" t="s">
        <v>2073</v>
      </c>
      <c r="R1812" s="2" t="s">
        <v>2074</v>
      </c>
      <c r="S1812" s="1" t="s">
        <v>46</v>
      </c>
      <c r="T1812" s="1" t="s">
        <v>635</v>
      </c>
      <c r="U1812" s="1" t="s">
        <v>636</v>
      </c>
      <c r="V1812" s="1" t="s">
        <v>45</v>
      </c>
      <c r="W1812" s="1"/>
      <c r="X1812" s="1"/>
      <c r="Y1812" s="1"/>
      <c r="Z1812" s="1" t="s">
        <v>658</v>
      </c>
      <c r="AA1812" s="1" t="s">
        <v>2075</v>
      </c>
      <c r="AB1812" s="1" t="s">
        <v>46</v>
      </c>
      <c r="AC1812" s="1" t="s">
        <v>46</v>
      </c>
      <c r="AD1812" s="1"/>
      <c r="AE1812" s="1" t="s">
        <v>641</v>
      </c>
      <c r="AF1812" s="1" t="s">
        <v>190</v>
      </c>
      <c r="AG1812" s="1">
        <v>5</v>
      </c>
      <c r="AH1812" s="1" t="s">
        <v>190</v>
      </c>
      <c r="AI1812" s="1"/>
      <c r="AJ1812" s="1" t="s">
        <v>2076</v>
      </c>
      <c r="AK1812" s="1" t="s">
        <v>2040</v>
      </c>
    </row>
    <row r="1813" spans="1:37">
      <c r="A1813" s="1" t="str">
        <f>VLOOKUP(H1813,Languages!$A$2:$B$430,2,FALSE)</f>
        <v>Turkic</v>
      </c>
      <c r="B1813" s="1" t="s">
        <v>1726</v>
      </c>
      <c r="C1813" s="1" t="s">
        <v>317</v>
      </c>
      <c r="D1813" s="1" t="s">
        <v>3437</v>
      </c>
      <c r="E1813" s="15" t="s">
        <v>3426</v>
      </c>
      <c r="F1813" s="15" t="s">
        <v>3426</v>
      </c>
      <c r="G1813" s="1" t="s">
        <v>3426</v>
      </c>
      <c r="H1813" s="1" t="str">
        <f>VLOOKUP(G1813,'languoid 4.0'!$A$1:$I$24439,2,FALSE)</f>
        <v>turk1311</v>
      </c>
      <c r="I1813" s="1" t="str">
        <f>VLOOKUP(G1813,'languoid 4.0'!$A$1:$I$24439,6,FALSE)</f>
        <v>language</v>
      </c>
      <c r="J1813" s="15" t="s">
        <v>38</v>
      </c>
      <c r="K1813" s="15" t="s">
        <v>38</v>
      </c>
      <c r="L1813" s="15" t="s">
        <v>38</v>
      </c>
      <c r="M1813" s="1"/>
      <c r="N1813" s="1" t="s">
        <v>3427</v>
      </c>
      <c r="O1813" s="15" t="s">
        <v>40</v>
      </c>
      <c r="P1813" s="15" t="s">
        <v>41</v>
      </c>
      <c r="Q1813" s="1" t="s">
        <v>3438</v>
      </c>
      <c r="R1813" s="2" t="s">
        <v>3439</v>
      </c>
      <c r="S1813" s="1" t="s">
        <v>3440</v>
      </c>
      <c r="T1813" s="1" t="s">
        <v>657</v>
      </c>
      <c r="U1813" s="1" t="s">
        <v>636</v>
      </c>
      <c r="V1813" s="1" t="s">
        <v>45</v>
      </c>
      <c r="W1813" s="1"/>
      <c r="X1813" s="1"/>
      <c r="Y1813" s="1"/>
      <c r="Z1813" s="1" t="s">
        <v>658</v>
      </c>
      <c r="AA1813" s="1" t="s">
        <v>46</v>
      </c>
      <c r="AB1813" s="1" t="s">
        <v>46</v>
      </c>
      <c r="AC1813" s="1" t="s">
        <v>46</v>
      </c>
      <c r="AD1813" s="1"/>
      <c r="AE1813" s="1" t="s">
        <v>641</v>
      </c>
      <c r="AF1813" s="1" t="s">
        <v>190</v>
      </c>
      <c r="AG1813" s="1">
        <v>4</v>
      </c>
      <c r="AH1813" s="1" t="s">
        <v>190</v>
      </c>
      <c r="AI1813" s="1"/>
      <c r="AJ1813" s="1" t="s">
        <v>3441</v>
      </c>
      <c r="AK1813" s="1" t="s">
        <v>2040</v>
      </c>
    </row>
    <row r="1814" spans="1:37">
      <c r="A1814" s="1" t="str">
        <f>VLOOKUP(H1814,Languages!$A$2:$B$430,2,FALSE)</f>
        <v>Turkic</v>
      </c>
      <c r="B1814" s="1" t="s">
        <v>1726</v>
      </c>
      <c r="C1814" s="1" t="s">
        <v>58</v>
      </c>
      <c r="D1814" s="1" t="s">
        <v>4409</v>
      </c>
      <c r="E1814" s="15" t="s">
        <v>4410</v>
      </c>
      <c r="F1814" s="15" t="s">
        <v>51</v>
      </c>
      <c r="G1814" s="1" t="s">
        <v>4410</v>
      </c>
      <c r="H1814" s="1" t="str">
        <f>VLOOKUP(G1814,'languoid 4.0'!$A$1:$I$24439,2,FALSE)</f>
        <v>turk1311</v>
      </c>
      <c r="I1814" s="1" t="str">
        <f>VLOOKUP(G1814,'languoid 4.0'!$A$1:$I$24439,6,FALSE)</f>
        <v>language</v>
      </c>
      <c r="J1814" s="15" t="s">
        <v>52</v>
      </c>
      <c r="K1814" s="15" t="s">
        <v>51</v>
      </c>
      <c r="L1814" s="15" t="s">
        <v>51</v>
      </c>
      <c r="M1814" s="1"/>
      <c r="N1814" s="1" t="s">
        <v>4411</v>
      </c>
      <c r="O1814" s="15" t="s">
        <v>40</v>
      </c>
      <c r="P1814" s="15" t="s">
        <v>41</v>
      </c>
      <c r="Q1814" s="1" t="s">
        <v>4412</v>
      </c>
      <c r="R1814" s="2" t="s">
        <v>4413</v>
      </c>
      <c r="S1814" s="1" t="s">
        <v>4414</v>
      </c>
      <c r="T1814" s="1" t="s">
        <v>635</v>
      </c>
      <c r="U1814" s="1" t="s">
        <v>636</v>
      </c>
      <c r="V1814" s="1" t="s">
        <v>45</v>
      </c>
      <c r="W1814" s="1"/>
      <c r="X1814" s="1"/>
      <c r="Y1814" s="1"/>
      <c r="Z1814" s="1" t="s">
        <v>673</v>
      </c>
      <c r="AA1814" s="1" t="s">
        <v>4415</v>
      </c>
      <c r="AB1814" s="1" t="s">
        <v>4416</v>
      </c>
      <c r="AC1814" s="1" t="s">
        <v>46</v>
      </c>
      <c r="AD1814" s="1"/>
      <c r="AE1814" s="1" t="s">
        <v>641</v>
      </c>
      <c r="AF1814" s="1" t="s">
        <v>190</v>
      </c>
      <c r="AG1814" s="1">
        <v>6</v>
      </c>
      <c r="AH1814" s="1" t="s">
        <v>190</v>
      </c>
      <c r="AI1814" s="1"/>
      <c r="AJ1814" s="3">
        <v>43226.500324074077</v>
      </c>
      <c r="AK1814" s="1" t="s">
        <v>4408</v>
      </c>
    </row>
    <row r="1815" spans="1:37">
      <c r="A1815" s="1" t="str">
        <f>VLOOKUP(H1815,Languages!$A$2:$B$430,2,FALSE)</f>
        <v>Turkic</v>
      </c>
      <c r="B1815" s="1" t="s">
        <v>652</v>
      </c>
      <c r="C1815" s="1" t="s">
        <v>317</v>
      </c>
      <c r="D1815" s="1" t="s">
        <v>2070</v>
      </c>
      <c r="E1815" s="15" t="s">
        <v>2071</v>
      </c>
      <c r="F1815" s="15" t="s">
        <v>2071</v>
      </c>
      <c r="G1815" s="1" t="s">
        <v>2071</v>
      </c>
      <c r="H1815" s="1" t="str">
        <f>VLOOKUP(G1815,'languoid 4.0'!$A$1:$I$24439,2,FALSE)</f>
        <v>turk1311</v>
      </c>
      <c r="I1815" s="1" t="str">
        <f>VLOOKUP(G1815,'languoid 4.0'!$A$1:$I$24439,6,FALSE)</f>
        <v>language</v>
      </c>
      <c r="J1815" s="15" t="s">
        <v>38</v>
      </c>
      <c r="K1815" s="15" t="s">
        <v>38</v>
      </c>
      <c r="L1815" s="15" t="s">
        <v>38</v>
      </c>
      <c r="M1815" s="1"/>
      <c r="N1815" s="1" t="s">
        <v>2072</v>
      </c>
      <c r="O1815" s="15" t="s">
        <v>40</v>
      </c>
      <c r="P1815" s="15" t="s">
        <v>41</v>
      </c>
      <c r="Q1815" s="1" t="s">
        <v>7164</v>
      </c>
      <c r="R1815" s="2" t="s">
        <v>7149</v>
      </c>
      <c r="S1815" s="1" t="s">
        <v>7165</v>
      </c>
      <c r="T1815" s="1" t="s">
        <v>7151</v>
      </c>
      <c r="U1815" s="1" t="s">
        <v>636</v>
      </c>
      <c r="V1815" s="1" t="s">
        <v>45</v>
      </c>
      <c r="W1815" s="1"/>
      <c r="X1815" s="1"/>
      <c r="Y1815" s="1"/>
      <c r="Z1815" s="1" t="s">
        <v>658</v>
      </c>
      <c r="AA1815" s="1" t="s">
        <v>7162</v>
      </c>
      <c r="AB1815" s="1" t="s">
        <v>7166</v>
      </c>
      <c r="AC1815" s="1" t="s">
        <v>46</v>
      </c>
      <c r="AD1815" s="1" t="s">
        <v>7154</v>
      </c>
      <c r="AE1815" s="1" t="s">
        <v>641</v>
      </c>
      <c r="AF1815" s="1" t="s">
        <v>190</v>
      </c>
      <c r="AG1815" s="1">
        <v>6</v>
      </c>
      <c r="AH1815" s="1" t="s">
        <v>190</v>
      </c>
      <c r="AI1815" s="1"/>
      <c r="AJ1815" s="3">
        <v>43259.507951388892</v>
      </c>
      <c r="AK1815" s="1" t="s">
        <v>5871</v>
      </c>
    </row>
    <row r="1816" spans="1:37">
      <c r="A1816" s="1" t="str">
        <f>VLOOKUP(H1816,Languages!$A$2:$B$430,2,FALSE)</f>
        <v>Turkic</v>
      </c>
      <c r="B1816" s="1" t="s">
        <v>1750</v>
      </c>
      <c r="C1816" s="1" t="s">
        <v>4965</v>
      </c>
      <c r="D1816" s="1" t="s">
        <v>6644</v>
      </c>
      <c r="E1816" s="15" t="s">
        <v>5223</v>
      </c>
      <c r="F1816" s="15" t="s">
        <v>5223</v>
      </c>
      <c r="G1816" s="1" t="s">
        <v>5223</v>
      </c>
      <c r="H1816" s="1" t="str">
        <f>VLOOKUP(G1816,'languoid 4.0'!$A$1:$I$24439,2,FALSE)</f>
        <v>turk1311</v>
      </c>
      <c r="I1816" s="1" t="str">
        <f>VLOOKUP(G1816,'languoid 4.0'!$A$1:$I$24439,6,FALSE)</f>
        <v>language</v>
      </c>
      <c r="J1816" s="15" t="s">
        <v>38</v>
      </c>
      <c r="K1816" s="15" t="s">
        <v>38</v>
      </c>
      <c r="L1816" s="15" t="s">
        <v>38</v>
      </c>
      <c r="M1816" s="1"/>
      <c r="N1816" s="1" t="s">
        <v>5225</v>
      </c>
      <c r="O1816" s="15" t="s">
        <v>40</v>
      </c>
      <c r="P1816" s="15" t="s">
        <v>41</v>
      </c>
      <c r="Q1816" s="1" t="s">
        <v>6645</v>
      </c>
      <c r="R1816" s="2" t="s">
        <v>6646</v>
      </c>
      <c r="S1816" s="1" t="s">
        <v>6647</v>
      </c>
      <c r="T1816" s="1" t="s">
        <v>657</v>
      </c>
      <c r="U1816" s="1" t="s">
        <v>6648</v>
      </c>
      <c r="V1816" s="1" t="s">
        <v>45</v>
      </c>
      <c r="W1816" s="1"/>
      <c r="X1816" s="1"/>
      <c r="Y1816" s="1"/>
      <c r="Z1816" s="1" t="s">
        <v>658</v>
      </c>
      <c r="AA1816" s="1" t="s">
        <v>6649</v>
      </c>
      <c r="AB1816" s="1" t="s">
        <v>46</v>
      </c>
      <c r="AC1816" s="1" t="s">
        <v>46</v>
      </c>
      <c r="AD1816" s="1" t="s">
        <v>6650</v>
      </c>
      <c r="AE1816" s="1" t="s">
        <v>641</v>
      </c>
      <c r="AF1816" s="1" t="s">
        <v>45</v>
      </c>
      <c r="AG1816" s="1">
        <v>3</v>
      </c>
      <c r="AH1816" s="1" t="s">
        <v>190</v>
      </c>
      <c r="AI1816" s="1"/>
      <c r="AJ1816" s="1" t="s">
        <v>6651</v>
      </c>
      <c r="AK1816" s="1" t="s">
        <v>4975</v>
      </c>
    </row>
    <row r="1817" spans="1:37">
      <c r="A1817" s="1" t="str">
        <f>VLOOKUP(H1817,Languages!$A$2:$B$430,2,FALSE)</f>
        <v>Turkic</v>
      </c>
      <c r="B1817" s="1" t="s">
        <v>1750</v>
      </c>
      <c r="C1817" s="1" t="s">
        <v>4965</v>
      </c>
      <c r="D1817" s="1" t="s">
        <v>8290</v>
      </c>
      <c r="E1817" s="15" t="s">
        <v>51</v>
      </c>
      <c r="F1817" s="15" t="s">
        <v>51</v>
      </c>
      <c r="G1817" s="1" t="s">
        <v>5223</v>
      </c>
      <c r="H1817" s="1" t="str">
        <f>VLOOKUP(G1817,'languoid 4.0'!$A$1:$I$24439,2,FALSE)</f>
        <v>turk1311</v>
      </c>
      <c r="I1817" s="1" t="str">
        <f>VLOOKUP(G1817,'languoid 4.0'!$A$1:$I$24439,6,FALSE)</f>
        <v>language</v>
      </c>
      <c r="J1817" s="15" t="s">
        <v>51</v>
      </c>
      <c r="K1817" s="15" t="s">
        <v>51</v>
      </c>
      <c r="L1817" s="15" t="s">
        <v>51</v>
      </c>
      <c r="M1817" s="1"/>
      <c r="N1817" s="1" t="e">
        <v>#N/A</v>
      </c>
      <c r="O1817" s="15" t="s">
        <v>690</v>
      </c>
      <c r="P1817" s="15"/>
      <c r="Q1817" s="1" t="s">
        <v>8291</v>
      </c>
      <c r="R1817" s="2" t="s">
        <v>8269</v>
      </c>
      <c r="S1817" s="1" t="s">
        <v>138</v>
      </c>
      <c r="T1817" s="1" t="s">
        <v>8286</v>
      </c>
      <c r="U1817" s="1" t="s">
        <v>636</v>
      </c>
      <c r="V1817" s="1" t="s">
        <v>45</v>
      </c>
      <c r="W1817" s="1"/>
      <c r="X1817" s="1"/>
      <c r="Y1817" s="1"/>
      <c r="Z1817" s="1" t="s">
        <v>1151</v>
      </c>
      <c r="AA1817" s="1" t="s">
        <v>8292</v>
      </c>
      <c r="AB1817" s="1" t="s">
        <v>8293</v>
      </c>
      <c r="AC1817" s="1" t="s">
        <v>8294</v>
      </c>
      <c r="AD1817" s="1"/>
      <c r="AE1817" s="1" t="s">
        <v>641</v>
      </c>
      <c r="AF1817" s="1" t="s">
        <v>190</v>
      </c>
      <c r="AG1817" s="1">
        <v>6</v>
      </c>
      <c r="AH1817" s="1" t="s">
        <v>190</v>
      </c>
      <c r="AI1817" s="1"/>
      <c r="AJ1817" s="1" t="s">
        <v>8295</v>
      </c>
      <c r="AK1817" s="1" t="s">
        <v>4975</v>
      </c>
    </row>
    <row r="1818" spans="1:37">
      <c r="A1818" s="1" t="str">
        <f>VLOOKUP(H1818,Languages!$A$2:$B$430,2,FALSE)</f>
        <v>Turkic</v>
      </c>
      <c r="B1818" s="1" t="s">
        <v>1750</v>
      </c>
      <c r="C1818" s="1" t="s">
        <v>4965</v>
      </c>
      <c r="D1818" s="1" t="s">
        <v>8398</v>
      </c>
      <c r="E1818" s="15" t="s">
        <v>3426</v>
      </c>
      <c r="F1818" s="15" t="s">
        <v>3426</v>
      </c>
      <c r="G1818" s="1" t="s">
        <v>3426</v>
      </c>
      <c r="H1818" s="1" t="str">
        <f>VLOOKUP(G1818,'languoid 4.0'!$A$1:$I$24439,2,FALSE)</f>
        <v>turk1311</v>
      </c>
      <c r="I1818" s="1" t="str">
        <f>VLOOKUP(G1818,'languoid 4.0'!$A$1:$I$24439,6,FALSE)</f>
        <v>language</v>
      </c>
      <c r="J1818" s="15" t="s">
        <v>38</v>
      </c>
      <c r="K1818" s="15" t="s">
        <v>38</v>
      </c>
      <c r="L1818" s="15" t="s">
        <v>38</v>
      </c>
      <c r="M1818" s="1"/>
      <c r="N1818" s="1" t="s">
        <v>3427</v>
      </c>
      <c r="O1818" s="15" t="s">
        <v>40</v>
      </c>
      <c r="P1818" s="15" t="s">
        <v>41</v>
      </c>
      <c r="Q1818" s="1" t="s">
        <v>8399</v>
      </c>
      <c r="R1818" s="2" t="s">
        <v>8400</v>
      </c>
      <c r="S1818" s="1" t="s">
        <v>8401</v>
      </c>
      <c r="T1818" s="1" t="s">
        <v>657</v>
      </c>
      <c r="U1818" s="1" t="s">
        <v>1738</v>
      </c>
      <c r="V1818" s="1" t="s">
        <v>45</v>
      </c>
      <c r="W1818" s="1"/>
      <c r="X1818" s="1"/>
      <c r="Y1818" s="1"/>
      <c r="Z1818" s="1" t="s">
        <v>658</v>
      </c>
      <c r="AA1818" s="1" t="s">
        <v>8402</v>
      </c>
      <c r="AB1818" s="1" t="s">
        <v>46</v>
      </c>
      <c r="AC1818" s="1" t="s">
        <v>46</v>
      </c>
      <c r="AD1818" s="1"/>
      <c r="AE1818" s="1" t="s">
        <v>641</v>
      </c>
      <c r="AF1818" s="1" t="s">
        <v>190</v>
      </c>
      <c r="AG1818" s="1">
        <v>6</v>
      </c>
      <c r="AH1818" s="1" t="s">
        <v>190</v>
      </c>
      <c r="AI1818" s="1"/>
      <c r="AJ1818" s="1" t="s">
        <v>8403</v>
      </c>
      <c r="AK1818" s="1" t="s">
        <v>4975</v>
      </c>
    </row>
    <row r="1819" spans="1:37">
      <c r="A1819" s="1" t="str">
        <f>VLOOKUP(H1819,Languages!$A$2:$B$430,2,FALSE)</f>
        <v>Turkic</v>
      </c>
      <c r="B1819" s="1" t="s">
        <v>1738</v>
      </c>
      <c r="C1819" s="1" t="s">
        <v>7017</v>
      </c>
      <c r="D1819" s="1" t="s">
        <v>7366</v>
      </c>
      <c r="E1819" s="15" t="s">
        <v>4402</v>
      </c>
      <c r="F1819" s="15" t="s">
        <v>4402</v>
      </c>
      <c r="G1819" s="1" t="s">
        <v>4402</v>
      </c>
      <c r="H1819" s="1" t="str">
        <f>VLOOKUP(G1819,'languoid 4.0'!$A$1:$I$24439,2,FALSE)</f>
        <v>turk1311</v>
      </c>
      <c r="I1819" s="1" t="str">
        <f>VLOOKUP(G1819,'languoid 4.0'!$A$1:$I$24439,6,FALSE)</f>
        <v>family</v>
      </c>
      <c r="J1819" s="15" t="s">
        <v>38</v>
      </c>
      <c r="K1819" s="15" t="s">
        <v>38</v>
      </c>
      <c r="L1819" s="15" t="s">
        <v>38</v>
      </c>
      <c r="M1819" s="1"/>
      <c r="N1819" s="1"/>
      <c r="O1819" s="15" t="s">
        <v>113</v>
      </c>
      <c r="P1819" s="15" t="s">
        <v>41</v>
      </c>
      <c r="Q1819" s="1" t="s">
        <v>7884</v>
      </c>
      <c r="R1819" s="2" t="s">
        <v>7885</v>
      </c>
      <c r="S1819" s="1" t="s">
        <v>265</v>
      </c>
      <c r="T1819" s="1" t="s">
        <v>2948</v>
      </c>
      <c r="U1819" s="1" t="s">
        <v>7886</v>
      </c>
      <c r="V1819" s="1" t="s">
        <v>45</v>
      </c>
      <c r="W1819" s="1"/>
      <c r="X1819" s="1"/>
      <c r="Y1819" s="1"/>
      <c r="Z1819" s="1" t="s">
        <v>673</v>
      </c>
      <c r="AA1819" s="1" t="s">
        <v>46</v>
      </c>
      <c r="AB1819" s="1" t="s">
        <v>7887</v>
      </c>
      <c r="AC1819" s="1" t="s">
        <v>46</v>
      </c>
      <c r="AD1819" s="1"/>
      <c r="AE1819" s="1" t="s">
        <v>641</v>
      </c>
      <c r="AF1819" s="1" t="s">
        <v>45</v>
      </c>
      <c r="AG1819" s="1">
        <v>1</v>
      </c>
      <c r="AH1819" s="1" t="s">
        <v>190</v>
      </c>
      <c r="AI1819" s="1"/>
      <c r="AJ1819" s="1" t="s">
        <v>7888</v>
      </c>
      <c r="AK1819" s="1" t="s">
        <v>7022</v>
      </c>
    </row>
    <row r="1820" spans="1:37">
      <c r="A1820" s="1" t="str">
        <f>VLOOKUP(H1820,Languages!$A$2:$B$430,2,FALSE)</f>
        <v>Turkic</v>
      </c>
      <c r="B1820" s="1" t="s">
        <v>1738</v>
      </c>
      <c r="C1820" s="1" t="s">
        <v>4965</v>
      </c>
      <c r="D1820" s="1" t="s">
        <v>8267</v>
      </c>
      <c r="E1820" s="15" t="s">
        <v>51</v>
      </c>
      <c r="F1820" s="15" t="s">
        <v>51</v>
      </c>
      <c r="G1820" s="1" t="s">
        <v>5223</v>
      </c>
      <c r="H1820" s="1" t="str">
        <f>VLOOKUP(G1820,'languoid 4.0'!$A$1:$I$24439,2,FALSE)</f>
        <v>turk1311</v>
      </c>
      <c r="I1820" s="1" t="str">
        <f>VLOOKUP(G1820,'languoid 4.0'!$A$1:$I$24439,6,FALSE)</f>
        <v>language</v>
      </c>
      <c r="J1820" s="15" t="s">
        <v>51</v>
      </c>
      <c r="K1820" s="15" t="s">
        <v>51</v>
      </c>
      <c r="L1820" s="15" t="s">
        <v>51</v>
      </c>
      <c r="M1820" s="1"/>
      <c r="N1820" s="1" t="e">
        <v>#N/A</v>
      </c>
      <c r="O1820" s="15" t="s">
        <v>690</v>
      </c>
      <c r="P1820" s="15"/>
      <c r="Q1820" s="1" t="s">
        <v>8268</v>
      </c>
      <c r="R1820" s="2" t="s">
        <v>8269</v>
      </c>
      <c r="S1820" s="1" t="s">
        <v>225</v>
      </c>
      <c r="T1820" s="1" t="s">
        <v>7402</v>
      </c>
      <c r="U1820" s="1" t="s">
        <v>636</v>
      </c>
      <c r="V1820" s="1" t="s">
        <v>45</v>
      </c>
      <c r="W1820" s="1"/>
      <c r="X1820" s="1"/>
      <c r="Y1820" s="1"/>
      <c r="Z1820" s="1" t="s">
        <v>1151</v>
      </c>
      <c r="AA1820" s="1" t="s">
        <v>8270</v>
      </c>
      <c r="AB1820" s="1" t="s">
        <v>8271</v>
      </c>
      <c r="AC1820" s="1" t="s">
        <v>8272</v>
      </c>
      <c r="AD1820" s="1" t="s">
        <v>8273</v>
      </c>
      <c r="AE1820" s="1" t="s">
        <v>641</v>
      </c>
      <c r="AF1820" s="1" t="s">
        <v>190</v>
      </c>
      <c r="AG1820" s="1">
        <v>6</v>
      </c>
      <c r="AH1820" s="1" t="s">
        <v>190</v>
      </c>
      <c r="AI1820" s="1"/>
      <c r="AJ1820" s="1" t="s">
        <v>8274</v>
      </c>
      <c r="AK1820" s="1" t="s">
        <v>4975</v>
      </c>
    </row>
    <row r="1821" spans="1:37">
      <c r="A1821" s="1" t="str">
        <f>VLOOKUP(H1821,Languages!$A$2:$B$430,2,FALSE)</f>
        <v>Turkic</v>
      </c>
      <c r="B1821" s="1" t="s">
        <v>1738</v>
      </c>
      <c r="C1821" s="1" t="s">
        <v>4965</v>
      </c>
      <c r="D1821" s="1" t="s">
        <v>8275</v>
      </c>
      <c r="E1821" s="15" t="s">
        <v>51</v>
      </c>
      <c r="F1821" s="15" t="s">
        <v>51</v>
      </c>
      <c r="G1821" s="1" t="s">
        <v>5223</v>
      </c>
      <c r="H1821" s="1" t="str">
        <f>VLOOKUP(G1821,'languoid 4.0'!$A$1:$I$24439,2,FALSE)</f>
        <v>turk1311</v>
      </c>
      <c r="I1821" s="1" t="str">
        <f>VLOOKUP(G1821,'languoid 4.0'!$A$1:$I$24439,6,FALSE)</f>
        <v>language</v>
      </c>
      <c r="J1821" s="15" t="s">
        <v>51</v>
      </c>
      <c r="K1821" s="15" t="s">
        <v>51</v>
      </c>
      <c r="L1821" s="15" t="s">
        <v>51</v>
      </c>
      <c r="M1821" s="1"/>
      <c r="N1821" s="1" t="e">
        <v>#N/A</v>
      </c>
      <c r="O1821" s="15" t="s">
        <v>690</v>
      </c>
      <c r="P1821" s="15"/>
      <c r="Q1821" s="1" t="s">
        <v>8276</v>
      </c>
      <c r="R1821" s="2" t="s">
        <v>8269</v>
      </c>
      <c r="S1821" s="1" t="s">
        <v>600</v>
      </c>
      <c r="T1821" s="1" t="s">
        <v>8277</v>
      </c>
      <c r="U1821" s="1" t="s">
        <v>636</v>
      </c>
      <c r="V1821" s="1" t="s">
        <v>45</v>
      </c>
      <c r="W1821" s="1"/>
      <c r="X1821" s="1"/>
      <c r="Y1821" s="1"/>
      <c r="Z1821" s="1" t="s">
        <v>1151</v>
      </c>
      <c r="AA1821" s="1" t="s">
        <v>8278</v>
      </c>
      <c r="AB1821" s="1" t="s">
        <v>8271</v>
      </c>
      <c r="AC1821" s="1" t="s">
        <v>8279</v>
      </c>
      <c r="AD1821" s="1"/>
      <c r="AE1821" s="1" t="s">
        <v>641</v>
      </c>
      <c r="AF1821" s="1" t="s">
        <v>45</v>
      </c>
      <c r="AG1821" s="1">
        <v>0</v>
      </c>
      <c r="AH1821" s="1" t="s">
        <v>190</v>
      </c>
      <c r="AI1821" s="1"/>
      <c r="AJ1821" s="1" t="s">
        <v>8280</v>
      </c>
      <c r="AK1821" s="1" t="s">
        <v>4975</v>
      </c>
    </row>
    <row r="1822" spans="1:37">
      <c r="A1822" s="1" t="str">
        <f>VLOOKUP(H1822,Languages!$A$2:$B$430,2,FALSE)</f>
        <v>Turkic</v>
      </c>
      <c r="B1822" s="1" t="s">
        <v>1738</v>
      </c>
      <c r="C1822" s="1" t="s">
        <v>4965</v>
      </c>
      <c r="D1822" s="1" t="s">
        <v>8275</v>
      </c>
      <c r="E1822" s="15" t="s">
        <v>51</v>
      </c>
      <c r="F1822" s="15" t="s">
        <v>51</v>
      </c>
      <c r="G1822" s="1" t="s">
        <v>5223</v>
      </c>
      <c r="H1822" s="1" t="str">
        <f>VLOOKUP(G1822,'languoid 4.0'!$A$1:$I$24439,2,FALSE)</f>
        <v>turk1311</v>
      </c>
      <c r="I1822" s="1" t="str">
        <f>VLOOKUP(G1822,'languoid 4.0'!$A$1:$I$24439,6,FALSE)</f>
        <v>language</v>
      </c>
      <c r="J1822" s="15" t="s">
        <v>51</v>
      </c>
      <c r="K1822" s="15" t="s">
        <v>51</v>
      </c>
      <c r="L1822" s="15" t="s">
        <v>51</v>
      </c>
      <c r="M1822" s="1"/>
      <c r="N1822" s="1" t="e">
        <v>#N/A</v>
      </c>
      <c r="O1822" s="15" t="s">
        <v>690</v>
      </c>
      <c r="P1822" s="15"/>
      <c r="Q1822" s="1" t="s">
        <v>8281</v>
      </c>
      <c r="R1822" s="2" t="s">
        <v>8269</v>
      </c>
      <c r="S1822" s="1" t="s">
        <v>471</v>
      </c>
      <c r="T1822" s="1" t="s">
        <v>7402</v>
      </c>
      <c r="U1822" s="1" t="s">
        <v>636</v>
      </c>
      <c r="V1822" s="1" t="s">
        <v>45</v>
      </c>
      <c r="W1822" s="1"/>
      <c r="X1822" s="1"/>
      <c r="Y1822" s="1"/>
      <c r="Z1822" s="1" t="s">
        <v>1151</v>
      </c>
      <c r="AA1822" s="1" t="s">
        <v>8282</v>
      </c>
      <c r="AB1822" s="1" t="s">
        <v>8271</v>
      </c>
      <c r="AC1822" s="1" t="s">
        <v>8283</v>
      </c>
      <c r="AD1822" s="1"/>
      <c r="AE1822" s="1" t="s">
        <v>641</v>
      </c>
      <c r="AF1822" s="1" t="s">
        <v>190</v>
      </c>
      <c r="AG1822" s="1">
        <v>6</v>
      </c>
      <c r="AH1822" s="1" t="s">
        <v>190</v>
      </c>
      <c r="AI1822" s="1"/>
      <c r="AJ1822" s="1" t="s">
        <v>8284</v>
      </c>
      <c r="AK1822" s="1" t="s">
        <v>4975</v>
      </c>
    </row>
    <row r="1823" spans="1:37">
      <c r="A1823" s="1" t="str">
        <f>VLOOKUP(H1823,Languages!$A$2:$B$430,2,FALSE)</f>
        <v>Turkic</v>
      </c>
      <c r="B1823" s="1" t="s">
        <v>1738</v>
      </c>
      <c r="C1823" s="1" t="s">
        <v>4965</v>
      </c>
      <c r="D1823" s="1" t="s">
        <v>8275</v>
      </c>
      <c r="E1823" s="15" t="s">
        <v>51</v>
      </c>
      <c r="F1823" s="15" t="s">
        <v>51</v>
      </c>
      <c r="G1823" s="1" t="s">
        <v>5223</v>
      </c>
      <c r="H1823" s="1" t="str">
        <f>VLOOKUP(G1823,'languoid 4.0'!$A$1:$I$24439,2,FALSE)</f>
        <v>turk1311</v>
      </c>
      <c r="I1823" s="1" t="str">
        <f>VLOOKUP(G1823,'languoid 4.0'!$A$1:$I$24439,6,FALSE)</f>
        <v>language</v>
      </c>
      <c r="J1823" s="15" t="s">
        <v>51</v>
      </c>
      <c r="K1823" s="15" t="s">
        <v>51</v>
      </c>
      <c r="L1823" s="15" t="s">
        <v>51</v>
      </c>
      <c r="M1823" s="1"/>
      <c r="N1823" s="1" t="e">
        <v>#N/A</v>
      </c>
      <c r="O1823" s="15" t="s">
        <v>690</v>
      </c>
      <c r="P1823" s="15"/>
      <c r="Q1823" s="1" t="s">
        <v>8285</v>
      </c>
      <c r="R1823" s="2" t="s">
        <v>8269</v>
      </c>
      <c r="S1823" s="1" t="s">
        <v>43</v>
      </c>
      <c r="T1823" s="1" t="s">
        <v>8286</v>
      </c>
      <c r="U1823" s="1" t="s">
        <v>636</v>
      </c>
      <c r="V1823" s="1" t="s">
        <v>45</v>
      </c>
      <c r="W1823" s="1"/>
      <c r="X1823" s="1"/>
      <c r="Y1823" s="1"/>
      <c r="Z1823" s="1" t="s">
        <v>1151</v>
      </c>
      <c r="AA1823" s="1" t="s">
        <v>8287</v>
      </c>
      <c r="AB1823" s="1" t="s">
        <v>8271</v>
      </c>
      <c r="AC1823" s="1" t="s">
        <v>8288</v>
      </c>
      <c r="AD1823" s="1"/>
      <c r="AE1823" s="1" t="s">
        <v>641</v>
      </c>
      <c r="AF1823" s="1" t="s">
        <v>190</v>
      </c>
      <c r="AG1823" s="1">
        <v>5</v>
      </c>
      <c r="AH1823" s="1" t="s">
        <v>190</v>
      </c>
      <c r="AI1823" s="1"/>
      <c r="AJ1823" s="1" t="s">
        <v>8289</v>
      </c>
      <c r="AK1823" s="1" t="s">
        <v>4975</v>
      </c>
    </row>
    <row r="1824" spans="1:37">
      <c r="A1824" s="1" t="str">
        <f>VLOOKUP(H1824,Languages!$A$2:$B$430,2,FALSE)</f>
        <v>Turkic</v>
      </c>
      <c r="B1824" s="1" t="s">
        <v>1812</v>
      </c>
      <c r="C1824" s="1" t="s">
        <v>4965</v>
      </c>
      <c r="D1824" s="1" t="s">
        <v>4984</v>
      </c>
      <c r="E1824" s="15" t="s">
        <v>4967</v>
      </c>
      <c r="F1824" s="15" t="s">
        <v>4977</v>
      </c>
      <c r="G1824" s="1" t="s">
        <v>4967</v>
      </c>
      <c r="H1824" s="1" t="str">
        <f>VLOOKUP(G1824,'languoid 4.0'!$A$1:$I$24439,2,FALSE)</f>
        <v>turk1311</v>
      </c>
      <c r="I1824" s="1" t="str">
        <f>VLOOKUP(G1824,'languoid 4.0'!$A$1:$I$24439,6,FALSE)</f>
        <v>language</v>
      </c>
      <c r="J1824" s="15" t="s">
        <v>52</v>
      </c>
      <c r="K1824" s="15" t="s">
        <v>38</v>
      </c>
      <c r="L1824" s="15" t="s">
        <v>38</v>
      </c>
      <c r="M1824" s="1"/>
      <c r="N1824" s="1" t="s">
        <v>4968</v>
      </c>
      <c r="O1824" s="15" t="s">
        <v>40</v>
      </c>
      <c r="P1824" s="15" t="s">
        <v>41</v>
      </c>
      <c r="Q1824" s="1" t="s">
        <v>4985</v>
      </c>
      <c r="R1824" s="2" t="s">
        <v>4986</v>
      </c>
      <c r="S1824" s="1" t="s">
        <v>4987</v>
      </c>
      <c r="T1824" s="1" t="s">
        <v>635</v>
      </c>
      <c r="U1824" s="1" t="s">
        <v>636</v>
      </c>
      <c r="V1824" s="1" t="s">
        <v>45</v>
      </c>
      <c r="W1824" s="1"/>
      <c r="X1824" s="1"/>
      <c r="Y1824" s="1"/>
      <c r="Z1824" s="1" t="s">
        <v>658</v>
      </c>
      <c r="AA1824" s="1" t="s">
        <v>4988</v>
      </c>
      <c r="AB1824" s="1" t="s">
        <v>46</v>
      </c>
      <c r="AC1824" s="1" t="s">
        <v>46</v>
      </c>
      <c r="AD1824" s="1"/>
      <c r="AE1824" s="1" t="s">
        <v>641</v>
      </c>
      <c r="AF1824" s="1" t="s">
        <v>190</v>
      </c>
      <c r="AG1824" s="1">
        <v>4</v>
      </c>
      <c r="AH1824" s="1" t="s">
        <v>190</v>
      </c>
      <c r="AI1824" s="1"/>
      <c r="AJ1824" s="1" t="s">
        <v>4989</v>
      </c>
      <c r="AK1824" s="1" t="s">
        <v>4975</v>
      </c>
    </row>
    <row r="1825" spans="1:37">
      <c r="A1825" s="1" t="str">
        <f>VLOOKUP(H1825,Languages!$A$2:$B$430,2,FALSE)</f>
        <v>Turkic</v>
      </c>
      <c r="B1825" s="1" t="s">
        <v>1812</v>
      </c>
      <c r="C1825" s="1" t="s">
        <v>4965</v>
      </c>
      <c r="D1825" s="1" t="s">
        <v>5003</v>
      </c>
      <c r="E1825" s="15" t="s">
        <v>5004</v>
      </c>
      <c r="F1825" s="15" t="s">
        <v>51</v>
      </c>
      <c r="G1825" s="1" t="s">
        <v>5004</v>
      </c>
      <c r="H1825" s="1" t="str">
        <f>VLOOKUP(G1825,'languoid 4.0'!$A$1:$I$24439,2,FALSE)</f>
        <v>turk1311</v>
      </c>
      <c r="I1825" s="1" t="str">
        <f>VLOOKUP(G1825,'languoid 4.0'!$A$1:$I$24439,6,FALSE)</f>
        <v>language</v>
      </c>
      <c r="J1825" s="15" t="s">
        <v>52</v>
      </c>
      <c r="K1825" s="15" t="s">
        <v>51</v>
      </c>
      <c r="L1825" s="15" t="s">
        <v>51</v>
      </c>
      <c r="M1825" s="1"/>
      <c r="N1825" s="1" t="s">
        <v>5005</v>
      </c>
      <c r="O1825" s="15" t="s">
        <v>40</v>
      </c>
      <c r="P1825" s="15" t="s">
        <v>41</v>
      </c>
      <c r="Q1825" s="1" t="s">
        <v>5006</v>
      </c>
      <c r="R1825" s="2" t="s">
        <v>5007</v>
      </c>
      <c r="S1825" s="1" t="s">
        <v>5008</v>
      </c>
      <c r="T1825" s="1" t="s">
        <v>635</v>
      </c>
      <c r="U1825" s="1" t="s">
        <v>636</v>
      </c>
      <c r="V1825" s="1" t="s">
        <v>45</v>
      </c>
      <c r="W1825" s="1"/>
      <c r="X1825" s="1"/>
      <c r="Y1825" s="1"/>
      <c r="Z1825" s="1" t="s">
        <v>658</v>
      </c>
      <c r="AA1825" s="1" t="s">
        <v>5009</v>
      </c>
      <c r="AB1825" s="1" t="s">
        <v>46</v>
      </c>
      <c r="AC1825" s="1" t="s">
        <v>46</v>
      </c>
      <c r="AD1825" s="1"/>
      <c r="AE1825" s="1" t="s">
        <v>641</v>
      </c>
      <c r="AF1825" s="1" t="s">
        <v>190</v>
      </c>
      <c r="AG1825" s="1">
        <v>3</v>
      </c>
      <c r="AH1825" s="1" t="s">
        <v>190</v>
      </c>
      <c r="AI1825" s="1"/>
      <c r="AJ1825" s="1" t="s">
        <v>5010</v>
      </c>
      <c r="AK1825" s="1" t="s">
        <v>4975</v>
      </c>
    </row>
    <row r="1826" spans="1:37">
      <c r="A1826" s="1" t="str">
        <f>VLOOKUP(H1826,Languages!$A$2:$B$430,2,FALSE)</f>
        <v>Turkic</v>
      </c>
      <c r="B1826" s="1" t="s">
        <v>1812</v>
      </c>
      <c r="C1826" s="1" t="s">
        <v>4965</v>
      </c>
      <c r="D1826" s="1" t="s">
        <v>5237</v>
      </c>
      <c r="E1826" s="15" t="s">
        <v>5223</v>
      </c>
      <c r="F1826" s="15" t="s">
        <v>5224</v>
      </c>
      <c r="G1826" s="1" t="s">
        <v>5223</v>
      </c>
      <c r="H1826" s="1" t="str">
        <f>VLOOKUP(G1826,'languoid 4.0'!$A$1:$I$24439,2,FALSE)</f>
        <v>turk1311</v>
      </c>
      <c r="I1826" s="1" t="str">
        <f>VLOOKUP(G1826,'languoid 4.0'!$A$1:$I$24439,6,FALSE)</f>
        <v>language</v>
      </c>
      <c r="J1826" s="15" t="s">
        <v>52</v>
      </c>
      <c r="K1826" s="15" t="s">
        <v>38</v>
      </c>
      <c r="L1826" s="15" t="s">
        <v>38</v>
      </c>
      <c r="M1826" s="1"/>
      <c r="N1826" s="1" t="s">
        <v>5225</v>
      </c>
      <c r="O1826" s="15" t="s">
        <v>40</v>
      </c>
      <c r="P1826" s="15" t="s">
        <v>41</v>
      </c>
      <c r="Q1826" s="1" t="s">
        <v>5281</v>
      </c>
      <c r="R1826" s="2" t="s">
        <v>5282</v>
      </c>
      <c r="S1826" s="1" t="s">
        <v>5283</v>
      </c>
      <c r="T1826" s="1" t="s">
        <v>635</v>
      </c>
      <c r="U1826" s="1" t="s">
        <v>636</v>
      </c>
      <c r="V1826" s="1" t="s">
        <v>45</v>
      </c>
      <c r="W1826" s="1"/>
      <c r="X1826" s="1"/>
      <c r="Y1826" s="1"/>
      <c r="Z1826" s="1" t="s">
        <v>658</v>
      </c>
      <c r="AA1826" s="1" t="s">
        <v>5284</v>
      </c>
      <c r="AB1826" s="1" t="s">
        <v>5285</v>
      </c>
      <c r="AC1826" s="1" t="s">
        <v>46</v>
      </c>
      <c r="AD1826" s="1"/>
      <c r="AE1826" s="1" t="s">
        <v>641</v>
      </c>
      <c r="AF1826" s="1" t="s">
        <v>190</v>
      </c>
      <c r="AG1826" s="1">
        <v>2</v>
      </c>
      <c r="AH1826" s="1" t="s">
        <v>190</v>
      </c>
      <c r="AI1826" s="1"/>
      <c r="AJ1826" s="1" t="s">
        <v>5286</v>
      </c>
      <c r="AK1826" s="1" t="s">
        <v>4975</v>
      </c>
    </row>
    <row r="1827" spans="1:37">
      <c r="A1827" s="1" t="str">
        <f>VLOOKUP(H1827,Languages!$A$2:$B$430,2,FALSE)</f>
        <v>Turkic</v>
      </c>
      <c r="B1827" s="1" t="s">
        <v>1812</v>
      </c>
      <c r="C1827" s="1" t="s">
        <v>4965</v>
      </c>
      <c r="D1827" s="1" t="s">
        <v>330</v>
      </c>
      <c r="E1827" s="15" t="s">
        <v>332</v>
      </c>
      <c r="F1827" s="15" t="s">
        <v>332</v>
      </c>
      <c r="G1827" s="1" t="s">
        <v>332</v>
      </c>
      <c r="H1827" s="1" t="str">
        <f>VLOOKUP(G1827,'languoid 4.0'!$A$1:$I$24439,2,FALSE)</f>
        <v>turk1311</v>
      </c>
      <c r="I1827" s="1" t="str">
        <f>VLOOKUP(G1827,'languoid 4.0'!$A$1:$I$24439,6,FALSE)</f>
        <v>language</v>
      </c>
      <c r="J1827" s="15" t="s">
        <v>38</v>
      </c>
      <c r="K1827" s="15" t="s">
        <v>38</v>
      </c>
      <c r="L1827" s="15" t="s">
        <v>38</v>
      </c>
      <c r="M1827" s="1"/>
      <c r="N1827" s="1" t="s">
        <v>5560</v>
      </c>
      <c r="O1827" s="15" t="s">
        <v>40</v>
      </c>
      <c r="P1827" s="15" t="s">
        <v>41</v>
      </c>
      <c r="Q1827" s="1" t="s">
        <v>3378</v>
      </c>
      <c r="R1827" s="2" t="s">
        <v>5561</v>
      </c>
      <c r="S1827" s="1" t="s">
        <v>5562</v>
      </c>
      <c r="T1827" s="1" t="s">
        <v>635</v>
      </c>
      <c r="U1827" s="1" t="s">
        <v>636</v>
      </c>
      <c r="V1827" s="1" t="s">
        <v>45</v>
      </c>
      <c r="W1827" s="1"/>
      <c r="X1827" s="1"/>
      <c r="Y1827" s="1"/>
      <c r="Z1827" s="1" t="s">
        <v>658</v>
      </c>
      <c r="AA1827" s="1" t="s">
        <v>5563</v>
      </c>
      <c r="AB1827" s="1" t="s">
        <v>46</v>
      </c>
      <c r="AC1827" s="1" t="s">
        <v>46</v>
      </c>
      <c r="AD1827" s="1"/>
      <c r="AE1827" s="1" t="s">
        <v>641</v>
      </c>
      <c r="AF1827" s="1" t="s">
        <v>190</v>
      </c>
      <c r="AG1827" s="1">
        <v>3</v>
      </c>
      <c r="AH1827" s="1" t="s">
        <v>190</v>
      </c>
      <c r="AI1827" s="1"/>
      <c r="AJ1827" s="1" t="s">
        <v>5564</v>
      </c>
      <c r="AK1827" s="1" t="s">
        <v>4975</v>
      </c>
    </row>
    <row r="1828" spans="1:37">
      <c r="A1828" s="1" t="str">
        <f>VLOOKUP(H1828,Languages!$A$2:$B$430,2,FALSE)</f>
        <v>Turkic</v>
      </c>
      <c r="B1828" s="1" t="s">
        <v>1812</v>
      </c>
      <c r="C1828" s="1" t="s">
        <v>4965</v>
      </c>
      <c r="D1828" s="1" t="s">
        <v>5772</v>
      </c>
      <c r="E1828" s="15" t="s">
        <v>3480</v>
      </c>
      <c r="F1828" s="15" t="s">
        <v>3480</v>
      </c>
      <c r="G1828" s="1" t="s">
        <v>3480</v>
      </c>
      <c r="H1828" s="1" t="str">
        <f>VLOOKUP(G1828,'languoid 4.0'!$A$1:$I$24439,2,FALSE)</f>
        <v>turk1311</v>
      </c>
      <c r="I1828" s="1" t="str">
        <f>VLOOKUP(G1828,'languoid 4.0'!$A$1:$I$24439,6,FALSE)</f>
        <v>language</v>
      </c>
      <c r="J1828" s="15" t="s">
        <v>38</v>
      </c>
      <c r="K1828" s="15" t="s">
        <v>38</v>
      </c>
      <c r="L1828" s="15" t="s">
        <v>38</v>
      </c>
      <c r="M1828" s="1"/>
      <c r="N1828" s="1" t="s">
        <v>5566</v>
      </c>
      <c r="O1828" s="15" t="s">
        <v>40</v>
      </c>
      <c r="P1828" s="15" t="s">
        <v>41</v>
      </c>
      <c r="Q1828" s="1" t="s">
        <v>5773</v>
      </c>
      <c r="R1828" s="2" t="s">
        <v>5774</v>
      </c>
      <c r="S1828" s="1" t="s">
        <v>5775</v>
      </c>
      <c r="T1828" s="1" t="s">
        <v>657</v>
      </c>
      <c r="U1828" s="1" t="s">
        <v>5776</v>
      </c>
      <c r="V1828" s="1" t="s">
        <v>45</v>
      </c>
      <c r="W1828" s="1"/>
      <c r="X1828" s="1"/>
      <c r="Y1828" s="1"/>
      <c r="Z1828" s="1" t="s">
        <v>658</v>
      </c>
      <c r="AA1828" s="1" t="s">
        <v>5777</v>
      </c>
      <c r="AB1828" s="1" t="s">
        <v>46</v>
      </c>
      <c r="AC1828" s="1" t="s">
        <v>46</v>
      </c>
      <c r="AD1828" s="1" t="s">
        <v>5778</v>
      </c>
      <c r="AE1828" s="1" t="s">
        <v>641</v>
      </c>
      <c r="AF1828" s="1" t="s">
        <v>190</v>
      </c>
      <c r="AG1828" s="1">
        <v>6</v>
      </c>
      <c r="AH1828" s="1" t="s">
        <v>190</v>
      </c>
      <c r="AI1828" s="1"/>
      <c r="AJ1828" s="1" t="s">
        <v>5779</v>
      </c>
      <c r="AK1828" s="1" t="s">
        <v>4975</v>
      </c>
    </row>
    <row r="1829" spans="1:37">
      <c r="A1829" s="1" t="str">
        <f>VLOOKUP(H1829,Languages!$A$2:$B$430,2,FALSE)</f>
        <v>Turkic</v>
      </c>
      <c r="B1829" s="1" t="s">
        <v>1812</v>
      </c>
      <c r="C1829" s="1" t="s">
        <v>4965</v>
      </c>
      <c r="D1829" s="1" t="s">
        <v>5780</v>
      </c>
      <c r="E1829" s="15" t="s">
        <v>3480</v>
      </c>
      <c r="F1829" s="15" t="s">
        <v>3480</v>
      </c>
      <c r="G1829" s="1" t="s">
        <v>3480</v>
      </c>
      <c r="H1829" s="1" t="str">
        <f>VLOOKUP(G1829,'languoid 4.0'!$A$1:$I$24439,2,FALSE)</f>
        <v>turk1311</v>
      </c>
      <c r="I1829" s="1" t="str">
        <f>VLOOKUP(G1829,'languoid 4.0'!$A$1:$I$24439,6,FALSE)</f>
        <v>language</v>
      </c>
      <c r="J1829" s="15" t="s">
        <v>38</v>
      </c>
      <c r="K1829" s="15" t="s">
        <v>38</v>
      </c>
      <c r="L1829" s="15" t="s">
        <v>38</v>
      </c>
      <c r="M1829" s="1"/>
      <c r="N1829" s="1" t="s">
        <v>5566</v>
      </c>
      <c r="O1829" s="15" t="s">
        <v>40</v>
      </c>
      <c r="P1829" s="15" t="s">
        <v>41</v>
      </c>
      <c r="Q1829" s="1" t="s">
        <v>5781</v>
      </c>
      <c r="R1829" s="2" t="s">
        <v>5782</v>
      </c>
      <c r="S1829" s="1" t="s">
        <v>5783</v>
      </c>
      <c r="T1829" s="1" t="s">
        <v>657</v>
      </c>
      <c r="U1829" s="1" t="s">
        <v>636</v>
      </c>
      <c r="V1829" s="1" t="s">
        <v>45</v>
      </c>
      <c r="W1829" s="1"/>
      <c r="X1829" s="1"/>
      <c r="Y1829" s="1"/>
      <c r="Z1829" s="1" t="s">
        <v>673</v>
      </c>
      <c r="AA1829" s="1" t="s">
        <v>5784</v>
      </c>
      <c r="AB1829" s="1" t="s">
        <v>5785</v>
      </c>
      <c r="AC1829" s="1" t="s">
        <v>46</v>
      </c>
      <c r="AD1829" s="1" t="s">
        <v>5571</v>
      </c>
      <c r="AE1829" s="1" t="s">
        <v>641</v>
      </c>
      <c r="AF1829" s="1" t="s">
        <v>190</v>
      </c>
      <c r="AG1829" s="1">
        <v>5</v>
      </c>
      <c r="AH1829" s="1" t="s">
        <v>190</v>
      </c>
      <c r="AI1829" s="1"/>
      <c r="AJ1829" s="1" t="s">
        <v>5786</v>
      </c>
      <c r="AK1829" s="1" t="s">
        <v>4975</v>
      </c>
    </row>
    <row r="1830" spans="1:37">
      <c r="A1830" s="1" t="str">
        <f>VLOOKUP(H1830,Languages!$A$2:$B$430,2,FALSE)</f>
        <v>Turkic</v>
      </c>
      <c r="B1830" s="1" t="s">
        <v>1812</v>
      </c>
      <c r="C1830" s="1" t="s">
        <v>4965</v>
      </c>
      <c r="D1830" s="1" t="s">
        <v>5793</v>
      </c>
      <c r="E1830" s="15" t="s">
        <v>5794</v>
      </c>
      <c r="F1830" s="15" t="s">
        <v>5794</v>
      </c>
      <c r="G1830" s="1" t="s">
        <v>5794</v>
      </c>
      <c r="H1830" s="1" t="str">
        <f>VLOOKUP(G1830,'languoid 4.0'!$A$1:$I$24439,2,FALSE)</f>
        <v>turk1311</v>
      </c>
      <c r="I1830" s="1" t="str">
        <f>VLOOKUP(G1830,'languoid 4.0'!$A$1:$I$24439,6,FALSE)</f>
        <v>language</v>
      </c>
      <c r="J1830" s="15" t="s">
        <v>38</v>
      </c>
      <c r="K1830" s="15" t="s">
        <v>38</v>
      </c>
      <c r="L1830" s="15" t="s">
        <v>38</v>
      </c>
      <c r="M1830" s="1"/>
      <c r="N1830" s="1" t="s">
        <v>5795</v>
      </c>
      <c r="O1830" s="15" t="s">
        <v>40</v>
      </c>
      <c r="P1830" s="15" t="s">
        <v>41</v>
      </c>
      <c r="Q1830" s="1" t="s">
        <v>5796</v>
      </c>
      <c r="R1830" s="2" t="s">
        <v>5797</v>
      </c>
      <c r="S1830" s="1" t="s">
        <v>5798</v>
      </c>
      <c r="T1830" s="1" t="s">
        <v>657</v>
      </c>
      <c r="U1830" s="1" t="s">
        <v>636</v>
      </c>
      <c r="V1830" s="1" t="s">
        <v>45</v>
      </c>
      <c r="W1830" s="1"/>
      <c r="X1830" s="1"/>
      <c r="Y1830" s="1"/>
      <c r="Z1830" s="1" t="s">
        <v>673</v>
      </c>
      <c r="AA1830" s="1" t="s">
        <v>5799</v>
      </c>
      <c r="AB1830" s="1" t="s">
        <v>5800</v>
      </c>
      <c r="AC1830" s="1" t="s">
        <v>46</v>
      </c>
      <c r="AD1830" s="1" t="s">
        <v>5571</v>
      </c>
      <c r="AE1830" s="1" t="s">
        <v>641</v>
      </c>
      <c r="AF1830" s="1" t="s">
        <v>45</v>
      </c>
      <c r="AG1830" s="1">
        <v>1</v>
      </c>
      <c r="AH1830" s="1" t="s">
        <v>190</v>
      </c>
      <c r="AI1830" s="1"/>
      <c r="AJ1830" s="1" t="s">
        <v>5801</v>
      </c>
      <c r="AK1830" s="1" t="s">
        <v>4975</v>
      </c>
    </row>
    <row r="1831" spans="1:37">
      <c r="A1831" s="1" t="str">
        <f>VLOOKUP(H1831,Languages!$A$2:$B$430,2,FALSE)</f>
        <v>Turkic</v>
      </c>
      <c r="B1831" s="1" t="s">
        <v>1812</v>
      </c>
      <c r="C1831" s="1" t="s">
        <v>4965</v>
      </c>
      <c r="D1831" s="1" t="s">
        <v>5811</v>
      </c>
      <c r="E1831" s="15" t="s">
        <v>4977</v>
      </c>
      <c r="F1831" s="15" t="s">
        <v>4977</v>
      </c>
      <c r="G1831" s="1" t="s">
        <v>4977</v>
      </c>
      <c r="H1831" s="1" t="str">
        <f>VLOOKUP(G1831,'languoid 4.0'!$A$1:$I$24439,2,FALSE)</f>
        <v>turk1311</v>
      </c>
      <c r="I1831" s="1" t="str">
        <f>VLOOKUP(G1831,'languoid 4.0'!$A$1:$I$24439,6,FALSE)</f>
        <v>family</v>
      </c>
      <c r="J1831" s="15" t="s">
        <v>38</v>
      </c>
      <c r="K1831" s="15" t="s">
        <v>38</v>
      </c>
      <c r="L1831" s="15" t="s">
        <v>38</v>
      </c>
      <c r="M1831" s="1"/>
      <c r="N1831" s="1" t="s">
        <v>5812</v>
      </c>
      <c r="O1831" s="15" t="s">
        <v>113</v>
      </c>
      <c r="P1831" s="15" t="s">
        <v>41</v>
      </c>
      <c r="Q1831" s="1" t="s">
        <v>5813</v>
      </c>
      <c r="R1831" s="2" t="s">
        <v>5814</v>
      </c>
      <c r="S1831" s="1" t="s">
        <v>5815</v>
      </c>
      <c r="T1831" s="1" t="s">
        <v>657</v>
      </c>
      <c r="U1831" s="1" t="s">
        <v>636</v>
      </c>
      <c r="V1831" s="1" t="s">
        <v>45</v>
      </c>
      <c r="W1831" s="1"/>
      <c r="X1831" s="1"/>
      <c r="Y1831" s="1"/>
      <c r="Z1831" s="1" t="s">
        <v>673</v>
      </c>
      <c r="AA1831" s="1" t="s">
        <v>5816</v>
      </c>
      <c r="AB1831" s="1" t="s">
        <v>5817</v>
      </c>
      <c r="AC1831" s="1" t="s">
        <v>46</v>
      </c>
      <c r="AD1831" s="1"/>
      <c r="AE1831" s="1" t="s">
        <v>641</v>
      </c>
      <c r="AF1831" s="1" t="s">
        <v>190</v>
      </c>
      <c r="AG1831" s="1">
        <v>5</v>
      </c>
      <c r="AH1831" s="1" t="s">
        <v>190</v>
      </c>
      <c r="AI1831" s="1"/>
      <c r="AJ1831" s="1" t="s">
        <v>5818</v>
      </c>
      <c r="AK1831" s="1" t="s">
        <v>4975</v>
      </c>
    </row>
    <row r="1832" spans="1:37">
      <c r="A1832" s="1" t="str">
        <f>VLOOKUP(H1832,Languages!$A$2:$B$430,2,FALSE)</f>
        <v>Turkic</v>
      </c>
      <c r="B1832" s="1" t="s">
        <v>1812</v>
      </c>
      <c r="C1832" s="1" t="s">
        <v>4965</v>
      </c>
      <c r="D1832" s="1" t="s">
        <v>5827</v>
      </c>
      <c r="E1832" s="15" t="s">
        <v>332</v>
      </c>
      <c r="F1832" s="15" t="s">
        <v>332</v>
      </c>
      <c r="G1832" s="1" t="s">
        <v>332</v>
      </c>
      <c r="H1832" s="1" t="str">
        <f>VLOOKUP(G1832,'languoid 4.0'!$A$1:$I$24439,2,FALSE)</f>
        <v>turk1311</v>
      </c>
      <c r="I1832" s="1" t="str">
        <f>VLOOKUP(G1832,'languoid 4.0'!$A$1:$I$24439,6,FALSE)</f>
        <v>language</v>
      </c>
      <c r="J1832" s="15" t="s">
        <v>38</v>
      </c>
      <c r="K1832" s="15" t="s">
        <v>38</v>
      </c>
      <c r="L1832" s="15" t="s">
        <v>38</v>
      </c>
      <c r="M1832" s="1"/>
      <c r="N1832" s="1" t="s">
        <v>5560</v>
      </c>
      <c r="O1832" s="15" t="s">
        <v>40</v>
      </c>
      <c r="P1832" s="15" t="s">
        <v>41</v>
      </c>
      <c r="Q1832" s="1" t="s">
        <v>5828</v>
      </c>
      <c r="R1832" s="2" t="s">
        <v>5829</v>
      </c>
      <c r="S1832" s="1" t="s">
        <v>5830</v>
      </c>
      <c r="T1832" s="1" t="s">
        <v>657</v>
      </c>
      <c r="U1832" s="1" t="s">
        <v>636</v>
      </c>
      <c r="V1832" s="1" t="s">
        <v>45</v>
      </c>
      <c r="W1832" s="1"/>
      <c r="X1832" s="1"/>
      <c r="Y1832" s="1"/>
      <c r="Z1832" s="1" t="s">
        <v>673</v>
      </c>
      <c r="AA1832" s="1" t="s">
        <v>5831</v>
      </c>
      <c r="AB1832" s="1" t="s">
        <v>5832</v>
      </c>
      <c r="AC1832" s="1" t="s">
        <v>46</v>
      </c>
      <c r="AD1832" s="1" t="s">
        <v>5833</v>
      </c>
      <c r="AE1832" s="1" t="s">
        <v>641</v>
      </c>
      <c r="AF1832" s="1" t="s">
        <v>45</v>
      </c>
      <c r="AG1832" s="1">
        <v>1</v>
      </c>
      <c r="AH1832" s="1" t="s">
        <v>190</v>
      </c>
      <c r="AI1832" s="1"/>
      <c r="AJ1832" s="1" t="s">
        <v>5834</v>
      </c>
      <c r="AK1832" s="1" t="s">
        <v>4975</v>
      </c>
    </row>
    <row r="1833" spans="1:37">
      <c r="A1833" s="1" t="str">
        <f>VLOOKUP(H1833,Languages!$A$2:$B$430,2,FALSE)</f>
        <v>Turkic</v>
      </c>
      <c r="B1833" s="1" t="s">
        <v>1812</v>
      </c>
      <c r="C1833" s="1" t="s">
        <v>4965</v>
      </c>
      <c r="D1833" s="1" t="s">
        <v>5827</v>
      </c>
      <c r="E1833" s="15" t="s">
        <v>332</v>
      </c>
      <c r="F1833" s="15" t="s">
        <v>5820</v>
      </c>
      <c r="G1833" s="1" t="s">
        <v>332</v>
      </c>
      <c r="H1833" s="1" t="str">
        <f>VLOOKUP(G1833,'languoid 4.0'!$A$1:$I$24439,2,FALSE)</f>
        <v>turk1311</v>
      </c>
      <c r="I1833" s="1" t="str">
        <f>VLOOKUP(G1833,'languoid 4.0'!$A$1:$I$24439,6,FALSE)</f>
        <v>language</v>
      </c>
      <c r="J1833" s="15" t="s">
        <v>52</v>
      </c>
      <c r="K1833" s="15" t="s">
        <v>52</v>
      </c>
      <c r="L1833" s="15" t="s">
        <v>52</v>
      </c>
      <c r="M1833" s="1"/>
      <c r="N1833" s="1" t="s">
        <v>5560</v>
      </c>
      <c r="O1833" s="15" t="s">
        <v>40</v>
      </c>
      <c r="P1833" s="15" t="s">
        <v>41</v>
      </c>
      <c r="Q1833" s="1" t="s">
        <v>5835</v>
      </c>
      <c r="R1833" s="2" t="s">
        <v>5836</v>
      </c>
      <c r="S1833" s="1" t="s">
        <v>5837</v>
      </c>
      <c r="T1833" s="1" t="s">
        <v>657</v>
      </c>
      <c r="U1833" s="1" t="s">
        <v>636</v>
      </c>
      <c r="V1833" s="1" t="s">
        <v>45</v>
      </c>
      <c r="W1833" s="1"/>
      <c r="X1833" s="1"/>
      <c r="Y1833" s="1"/>
      <c r="Z1833" s="1" t="s">
        <v>673</v>
      </c>
      <c r="AA1833" s="1" t="s">
        <v>5838</v>
      </c>
      <c r="AB1833" s="1" t="s">
        <v>5839</v>
      </c>
      <c r="AC1833" s="1" t="s">
        <v>46</v>
      </c>
      <c r="AD1833" s="1"/>
      <c r="AE1833" s="1" t="s">
        <v>641</v>
      </c>
      <c r="AF1833" s="1" t="s">
        <v>45</v>
      </c>
      <c r="AG1833" s="1">
        <v>1</v>
      </c>
      <c r="AH1833" s="1" t="s">
        <v>190</v>
      </c>
      <c r="AI1833" s="1"/>
      <c r="AJ1833" s="1" t="s">
        <v>5840</v>
      </c>
      <c r="AK1833" s="1" t="s">
        <v>4975</v>
      </c>
    </row>
    <row r="1834" spans="1:37">
      <c r="A1834" s="1" t="str">
        <f>VLOOKUP(H1834,Languages!$A$2:$B$430,2,FALSE)</f>
        <v>Turkic</v>
      </c>
      <c r="B1834" s="1" t="s">
        <v>1812</v>
      </c>
      <c r="C1834" s="1" t="s">
        <v>4965</v>
      </c>
      <c r="D1834" s="1" t="s">
        <v>5827</v>
      </c>
      <c r="E1834" s="15" t="s">
        <v>332</v>
      </c>
      <c r="F1834" s="15" t="s">
        <v>5820</v>
      </c>
      <c r="G1834" s="1" t="s">
        <v>332</v>
      </c>
      <c r="H1834" s="1" t="str">
        <f>VLOOKUP(G1834,'languoid 4.0'!$A$1:$I$24439,2,FALSE)</f>
        <v>turk1311</v>
      </c>
      <c r="I1834" s="1" t="str">
        <f>VLOOKUP(G1834,'languoid 4.0'!$A$1:$I$24439,6,FALSE)</f>
        <v>language</v>
      </c>
      <c r="J1834" s="15" t="s">
        <v>52</v>
      </c>
      <c r="K1834" s="15" t="s">
        <v>52</v>
      </c>
      <c r="L1834" s="15" t="s">
        <v>52</v>
      </c>
      <c r="M1834" s="1"/>
      <c r="N1834" s="1" t="s">
        <v>5560</v>
      </c>
      <c r="O1834" s="15" t="s">
        <v>40</v>
      </c>
      <c r="P1834" s="15" t="s">
        <v>41</v>
      </c>
      <c r="Q1834" s="1" t="s">
        <v>5841</v>
      </c>
      <c r="R1834" s="2" t="s">
        <v>5842</v>
      </c>
      <c r="S1834" s="1" t="s">
        <v>5843</v>
      </c>
      <c r="T1834" s="1" t="s">
        <v>657</v>
      </c>
      <c r="U1834" s="1" t="s">
        <v>636</v>
      </c>
      <c r="V1834" s="1" t="s">
        <v>45</v>
      </c>
      <c r="W1834" s="1"/>
      <c r="X1834" s="1"/>
      <c r="Y1834" s="1"/>
      <c r="Z1834" s="1" t="s">
        <v>673</v>
      </c>
      <c r="AA1834" s="1" t="s">
        <v>5844</v>
      </c>
      <c r="AB1834" s="1" t="s">
        <v>5845</v>
      </c>
      <c r="AC1834" s="1" t="s">
        <v>46</v>
      </c>
      <c r="AD1834" s="1" t="s">
        <v>5846</v>
      </c>
      <c r="AE1834" s="1" t="s">
        <v>641</v>
      </c>
      <c r="AF1834" s="1" t="s">
        <v>190</v>
      </c>
      <c r="AG1834" s="1">
        <v>6</v>
      </c>
      <c r="AH1834" s="1" t="s">
        <v>190</v>
      </c>
      <c r="AI1834" s="1"/>
      <c r="AJ1834" s="1" t="s">
        <v>5847</v>
      </c>
      <c r="AK1834" s="1" t="s">
        <v>4975</v>
      </c>
    </row>
    <row r="1835" spans="1:37">
      <c r="A1835" s="1" t="str">
        <f>VLOOKUP(H1835,Languages!$A$2:$B$430,2,FALSE)</f>
        <v>Turkic</v>
      </c>
      <c r="B1835" s="1" t="s">
        <v>1812</v>
      </c>
      <c r="C1835" s="1" t="s">
        <v>4965</v>
      </c>
      <c r="D1835" s="1" t="s">
        <v>5848</v>
      </c>
      <c r="E1835" s="15" t="s">
        <v>332</v>
      </c>
      <c r="F1835" s="15" t="s">
        <v>5820</v>
      </c>
      <c r="G1835" s="1" t="s">
        <v>332</v>
      </c>
      <c r="H1835" s="1" t="str">
        <f>VLOOKUP(G1835,'languoid 4.0'!$A$1:$I$24439,2,FALSE)</f>
        <v>turk1311</v>
      </c>
      <c r="I1835" s="1" t="str">
        <f>VLOOKUP(G1835,'languoid 4.0'!$A$1:$I$24439,6,FALSE)</f>
        <v>language</v>
      </c>
      <c r="J1835" s="15" t="s">
        <v>52</v>
      </c>
      <c r="K1835" s="15" t="s">
        <v>52</v>
      </c>
      <c r="L1835" s="15" t="s">
        <v>52</v>
      </c>
      <c r="M1835" s="1"/>
      <c r="N1835" s="1" t="s">
        <v>5560</v>
      </c>
      <c r="O1835" s="15" t="s">
        <v>40</v>
      </c>
      <c r="P1835" s="15" t="s">
        <v>41</v>
      </c>
      <c r="Q1835" s="1" t="s">
        <v>5849</v>
      </c>
      <c r="R1835" s="2" t="s">
        <v>5850</v>
      </c>
      <c r="S1835" s="1" t="s">
        <v>5851</v>
      </c>
      <c r="T1835" s="1" t="s">
        <v>657</v>
      </c>
      <c r="U1835" s="1" t="s">
        <v>636</v>
      </c>
      <c r="V1835" s="1" t="s">
        <v>45</v>
      </c>
      <c r="W1835" s="1"/>
      <c r="X1835" s="1"/>
      <c r="Y1835" s="1"/>
      <c r="Z1835" s="1" t="s">
        <v>673</v>
      </c>
      <c r="AA1835" s="1" t="s">
        <v>5852</v>
      </c>
      <c r="AB1835" s="1" t="s">
        <v>5853</v>
      </c>
      <c r="AC1835" s="1" t="s">
        <v>46</v>
      </c>
      <c r="AD1835" s="1" t="s">
        <v>5854</v>
      </c>
      <c r="AE1835" s="1" t="s">
        <v>641</v>
      </c>
      <c r="AF1835" s="1" t="s">
        <v>45</v>
      </c>
      <c r="AG1835" s="1">
        <v>1</v>
      </c>
      <c r="AH1835" s="1" t="s">
        <v>190</v>
      </c>
      <c r="AI1835" s="1"/>
      <c r="AJ1835" s="1" t="s">
        <v>5855</v>
      </c>
      <c r="AK1835" s="1" t="s">
        <v>4975</v>
      </c>
    </row>
    <row r="1836" spans="1:37">
      <c r="A1836" s="1" t="str">
        <f>VLOOKUP(H1836,Languages!$A$2:$B$430,2,FALSE)</f>
        <v>Turkic</v>
      </c>
      <c r="B1836" s="1" t="s">
        <v>1812</v>
      </c>
      <c r="C1836" s="1" t="s">
        <v>1405</v>
      </c>
      <c r="D1836" s="1" t="s">
        <v>3479</v>
      </c>
      <c r="E1836" s="15" t="s">
        <v>51</v>
      </c>
      <c r="F1836" s="15" t="s">
        <v>3480</v>
      </c>
      <c r="G1836" s="1" t="s">
        <v>3480</v>
      </c>
      <c r="H1836" s="1" t="str">
        <f>VLOOKUP(G1836,'languoid 4.0'!$A$1:$I$24439,2,FALSE)</f>
        <v>turk1311</v>
      </c>
      <c r="I1836" s="1" t="str">
        <f>VLOOKUP(G1836,'languoid 4.0'!$A$1:$I$24439,6,FALSE)</f>
        <v>language</v>
      </c>
      <c r="J1836" s="15" t="s">
        <v>52</v>
      </c>
      <c r="K1836" s="15" t="s">
        <v>51</v>
      </c>
      <c r="L1836" s="15" t="s">
        <v>51</v>
      </c>
      <c r="M1836" s="1"/>
      <c r="N1836" s="1" t="e">
        <v>#N/A</v>
      </c>
      <c r="O1836" s="15" t="s">
        <v>690</v>
      </c>
      <c r="P1836" s="15"/>
      <c r="Q1836" s="1" t="s">
        <v>3481</v>
      </c>
      <c r="R1836" s="2" t="s">
        <v>3482</v>
      </c>
      <c r="S1836" s="1" t="s">
        <v>46</v>
      </c>
      <c r="T1836" s="1" t="s">
        <v>635</v>
      </c>
      <c r="U1836" s="1" t="s">
        <v>636</v>
      </c>
      <c r="V1836" s="1" t="s">
        <v>45</v>
      </c>
      <c r="W1836" s="1"/>
      <c r="X1836" s="1"/>
      <c r="Y1836" s="1"/>
      <c r="Z1836" s="1" t="s">
        <v>658</v>
      </c>
      <c r="AA1836" s="1" t="s">
        <v>3483</v>
      </c>
      <c r="AB1836" s="1" t="s">
        <v>46</v>
      </c>
      <c r="AC1836" s="1" t="s">
        <v>46</v>
      </c>
      <c r="AD1836" s="1"/>
      <c r="AE1836" s="1" t="s">
        <v>641</v>
      </c>
      <c r="AF1836" s="1" t="s">
        <v>190</v>
      </c>
      <c r="AG1836" s="1">
        <v>4</v>
      </c>
      <c r="AH1836" s="1" t="s">
        <v>190</v>
      </c>
      <c r="AI1836" s="1"/>
      <c r="AJ1836" s="1" t="s">
        <v>3484</v>
      </c>
      <c r="AK1836" s="1" t="s">
        <v>1598</v>
      </c>
    </row>
    <row r="1837" spans="1:37">
      <c r="A1837" s="1" t="str">
        <f>VLOOKUP(H1837,Languages!$A$2:$B$430,2,FALSE)</f>
        <v>Turkic</v>
      </c>
      <c r="B1837" s="1" t="s">
        <v>1812</v>
      </c>
      <c r="C1837" s="1" t="s">
        <v>317</v>
      </c>
      <c r="D1837" s="1" t="s">
        <v>2070</v>
      </c>
      <c r="E1837" s="15" t="s">
        <v>2071</v>
      </c>
      <c r="F1837" s="15" t="s">
        <v>2071</v>
      </c>
      <c r="G1837" s="1" t="s">
        <v>2071</v>
      </c>
      <c r="H1837" s="1" t="str">
        <f>VLOOKUP(G1837,'languoid 4.0'!$A$1:$I$24439,2,FALSE)</f>
        <v>turk1311</v>
      </c>
      <c r="I1837" s="1" t="str">
        <f>VLOOKUP(G1837,'languoid 4.0'!$A$1:$I$24439,6,FALSE)</f>
        <v>language</v>
      </c>
      <c r="J1837" s="15" t="s">
        <v>38</v>
      </c>
      <c r="K1837" s="15" t="s">
        <v>38</v>
      </c>
      <c r="L1837" s="15" t="s">
        <v>38</v>
      </c>
      <c r="M1837" s="1"/>
      <c r="N1837" s="1" t="s">
        <v>2072</v>
      </c>
      <c r="O1837" s="15" t="s">
        <v>40</v>
      </c>
      <c r="P1837" s="15" t="s">
        <v>41</v>
      </c>
      <c r="Q1837" s="1" t="s">
        <v>3358</v>
      </c>
      <c r="R1837" s="2" t="s">
        <v>3359</v>
      </c>
      <c r="S1837" s="1" t="s">
        <v>46</v>
      </c>
      <c r="T1837" s="1" t="s">
        <v>635</v>
      </c>
      <c r="U1837" s="1" t="s">
        <v>3360</v>
      </c>
      <c r="V1837" s="1" t="s">
        <v>45</v>
      </c>
      <c r="W1837" s="1"/>
      <c r="X1837" s="1"/>
      <c r="Y1837" s="1"/>
      <c r="Z1837" s="1" t="s">
        <v>673</v>
      </c>
      <c r="AA1837" s="1" t="s">
        <v>3361</v>
      </c>
      <c r="AB1837" s="1" t="s">
        <v>3362</v>
      </c>
      <c r="AC1837" s="1" t="s">
        <v>46</v>
      </c>
      <c r="AD1837" s="1"/>
      <c r="AE1837" s="1" t="s">
        <v>641</v>
      </c>
      <c r="AF1837" s="1" t="s">
        <v>190</v>
      </c>
      <c r="AG1837" s="1">
        <v>4</v>
      </c>
      <c r="AH1837" s="1" t="s">
        <v>190</v>
      </c>
      <c r="AI1837" s="1"/>
      <c r="AJ1837" s="1" t="s">
        <v>3363</v>
      </c>
      <c r="AK1837" s="1" t="s">
        <v>2040</v>
      </c>
    </row>
    <row r="1838" spans="1:37">
      <c r="A1838" s="1" t="str">
        <f>VLOOKUP(H1838,Languages!$A$2:$B$430,2,FALSE)</f>
        <v>Turkic</v>
      </c>
      <c r="B1838" s="1" t="s">
        <v>1812</v>
      </c>
      <c r="C1838" s="1" t="s">
        <v>317</v>
      </c>
      <c r="D1838" s="1" t="s">
        <v>2070</v>
      </c>
      <c r="E1838" s="15" t="s">
        <v>2071</v>
      </c>
      <c r="F1838" s="15" t="s">
        <v>2071</v>
      </c>
      <c r="G1838" s="1" t="s">
        <v>2071</v>
      </c>
      <c r="H1838" s="1" t="str">
        <f>VLOOKUP(G1838,'languoid 4.0'!$A$1:$I$24439,2,FALSE)</f>
        <v>turk1311</v>
      </c>
      <c r="I1838" s="1" t="str">
        <f>VLOOKUP(G1838,'languoid 4.0'!$A$1:$I$24439,6,FALSE)</f>
        <v>language</v>
      </c>
      <c r="J1838" s="15" t="s">
        <v>38</v>
      </c>
      <c r="K1838" s="15" t="s">
        <v>38</v>
      </c>
      <c r="L1838" s="15" t="s">
        <v>38</v>
      </c>
      <c r="M1838" s="1"/>
      <c r="N1838" s="1" t="s">
        <v>2072</v>
      </c>
      <c r="O1838" s="15" t="s">
        <v>40</v>
      </c>
      <c r="P1838" s="15" t="s">
        <v>41</v>
      </c>
      <c r="Q1838" s="1" t="s">
        <v>3364</v>
      </c>
      <c r="R1838" s="2" t="s">
        <v>3365</v>
      </c>
      <c r="S1838" s="1" t="s">
        <v>46</v>
      </c>
      <c r="T1838" s="1" t="s">
        <v>635</v>
      </c>
      <c r="U1838" s="1" t="s">
        <v>3360</v>
      </c>
      <c r="V1838" s="1" t="s">
        <v>45</v>
      </c>
      <c r="W1838" s="1"/>
      <c r="X1838" s="1"/>
      <c r="Y1838" s="1"/>
      <c r="Z1838" s="1" t="s">
        <v>673</v>
      </c>
      <c r="AA1838" s="1" t="s">
        <v>3366</v>
      </c>
      <c r="AB1838" s="1" t="s">
        <v>3367</v>
      </c>
      <c r="AC1838" s="1" t="s">
        <v>46</v>
      </c>
      <c r="AD1838" s="1"/>
      <c r="AE1838" s="1" t="s">
        <v>641</v>
      </c>
      <c r="AF1838" s="1" t="s">
        <v>190</v>
      </c>
      <c r="AG1838" s="1">
        <v>5</v>
      </c>
      <c r="AH1838" s="1" t="s">
        <v>190</v>
      </c>
      <c r="AI1838" s="1"/>
      <c r="AJ1838" s="1" t="s">
        <v>3368</v>
      </c>
      <c r="AK1838" s="1" t="s">
        <v>2040</v>
      </c>
    </row>
    <row r="1839" spans="1:37">
      <c r="A1839" s="1" t="str">
        <f>VLOOKUP(H1839,Languages!$A$2:$B$430,2,FALSE)</f>
        <v>Turkic</v>
      </c>
      <c r="B1839" s="1" t="s">
        <v>1812</v>
      </c>
      <c r="C1839" s="1" t="s">
        <v>317</v>
      </c>
      <c r="D1839" s="1" t="s">
        <v>2070</v>
      </c>
      <c r="E1839" s="15" t="s">
        <v>2071</v>
      </c>
      <c r="F1839" s="15" t="s">
        <v>2071</v>
      </c>
      <c r="G1839" s="1" t="s">
        <v>2071</v>
      </c>
      <c r="H1839" s="1" t="str">
        <f>VLOOKUP(G1839,'languoid 4.0'!$A$1:$I$24439,2,FALSE)</f>
        <v>turk1311</v>
      </c>
      <c r="I1839" s="1" t="str">
        <f>VLOOKUP(G1839,'languoid 4.0'!$A$1:$I$24439,6,FALSE)</f>
        <v>language</v>
      </c>
      <c r="J1839" s="15" t="s">
        <v>38</v>
      </c>
      <c r="K1839" s="15" t="s">
        <v>38</v>
      </c>
      <c r="L1839" s="15" t="s">
        <v>38</v>
      </c>
      <c r="M1839" s="1"/>
      <c r="N1839" s="1" t="s">
        <v>2072</v>
      </c>
      <c r="O1839" s="15" t="s">
        <v>40</v>
      </c>
      <c r="P1839" s="15" t="s">
        <v>41</v>
      </c>
      <c r="Q1839" s="1" t="s">
        <v>6248</v>
      </c>
      <c r="R1839" s="2" t="s">
        <v>6249</v>
      </c>
      <c r="S1839" s="1" t="s">
        <v>471</v>
      </c>
      <c r="T1839" s="1" t="s">
        <v>6250</v>
      </c>
      <c r="U1839" s="1" t="s">
        <v>636</v>
      </c>
      <c r="V1839" s="1" t="s">
        <v>45</v>
      </c>
      <c r="W1839" s="1"/>
      <c r="X1839" s="1"/>
      <c r="Y1839" s="1"/>
      <c r="Z1839" s="1" t="s">
        <v>658</v>
      </c>
      <c r="AA1839" s="1" t="s">
        <v>46</v>
      </c>
      <c r="AB1839" s="1" t="s">
        <v>46</v>
      </c>
      <c r="AC1839" s="1" t="s">
        <v>6251</v>
      </c>
      <c r="AD1839" s="1" t="s">
        <v>6252</v>
      </c>
      <c r="AE1839" s="1" t="s">
        <v>641</v>
      </c>
      <c r="AF1839" s="1" t="s">
        <v>190</v>
      </c>
      <c r="AG1839" s="1">
        <v>6</v>
      </c>
      <c r="AH1839" s="1" t="s">
        <v>190</v>
      </c>
      <c r="AI1839" s="1"/>
      <c r="AJ1839" s="3">
        <v>43227.489374999997</v>
      </c>
      <c r="AK1839" s="1" t="s">
        <v>5871</v>
      </c>
    </row>
    <row r="1840" spans="1:37">
      <c r="A1840" s="1" t="str">
        <f>VLOOKUP(H1840,Languages!$A$2:$B$430,2,FALSE)</f>
        <v>Turkic</v>
      </c>
      <c r="B1840" s="1" t="s">
        <v>1812</v>
      </c>
      <c r="C1840" s="1" t="s">
        <v>317</v>
      </c>
      <c r="D1840" s="1" t="s">
        <v>7173</v>
      </c>
      <c r="E1840" s="15" t="s">
        <v>3426</v>
      </c>
      <c r="F1840" s="15" t="s">
        <v>3426</v>
      </c>
      <c r="G1840" s="1" t="s">
        <v>3426</v>
      </c>
      <c r="H1840" s="1" t="str">
        <f>VLOOKUP(G1840,'languoid 4.0'!$A$1:$I$24439,2,FALSE)</f>
        <v>turk1311</v>
      </c>
      <c r="I1840" s="1" t="str">
        <f>VLOOKUP(G1840,'languoid 4.0'!$A$1:$I$24439,6,FALSE)</f>
        <v>language</v>
      </c>
      <c r="J1840" s="15" t="s">
        <v>38</v>
      </c>
      <c r="K1840" s="15" t="s">
        <v>38</v>
      </c>
      <c r="L1840" s="15" t="s">
        <v>38</v>
      </c>
      <c r="M1840" s="1"/>
      <c r="N1840" s="1" t="s">
        <v>3427</v>
      </c>
      <c r="O1840" s="15" t="s">
        <v>40</v>
      </c>
      <c r="P1840" s="15" t="s">
        <v>41</v>
      </c>
      <c r="Q1840" s="1" t="s">
        <v>7178</v>
      </c>
      <c r="R1840" s="2" t="s">
        <v>7149</v>
      </c>
      <c r="S1840" s="1" t="s">
        <v>7179</v>
      </c>
      <c r="T1840" s="1" t="s">
        <v>7151</v>
      </c>
      <c r="U1840" s="1" t="s">
        <v>636</v>
      </c>
      <c r="V1840" s="1" t="s">
        <v>45</v>
      </c>
      <c r="W1840" s="1"/>
      <c r="X1840" s="1"/>
      <c r="Y1840" s="1"/>
      <c r="Z1840" s="1" t="s">
        <v>658</v>
      </c>
      <c r="AA1840" s="1" t="s">
        <v>7180</v>
      </c>
      <c r="AB1840" s="1" t="s">
        <v>7181</v>
      </c>
      <c r="AC1840" s="1" t="s">
        <v>46</v>
      </c>
      <c r="AD1840" s="1" t="s">
        <v>7154</v>
      </c>
      <c r="AE1840" s="1" t="s">
        <v>641</v>
      </c>
      <c r="AF1840" s="1" t="s">
        <v>190</v>
      </c>
      <c r="AG1840" s="1">
        <v>6</v>
      </c>
      <c r="AH1840" s="1" t="s">
        <v>190</v>
      </c>
      <c r="AI1840" s="1"/>
      <c r="AJ1840" s="3">
        <v>43259.525601851848</v>
      </c>
      <c r="AK1840" s="1" t="s">
        <v>5871</v>
      </c>
    </row>
    <row r="1841" spans="1:37">
      <c r="A1841" s="1" t="str">
        <f>VLOOKUP(H1841,Languages!$A$2:$B$430,2,FALSE)</f>
        <v>Turkic</v>
      </c>
      <c r="B1841" s="1" t="s">
        <v>1812</v>
      </c>
      <c r="C1841" s="1" t="s">
        <v>317</v>
      </c>
      <c r="D1841" s="1" t="s">
        <v>7173</v>
      </c>
      <c r="E1841" s="15" t="s">
        <v>3426</v>
      </c>
      <c r="F1841" s="15" t="s">
        <v>3426</v>
      </c>
      <c r="G1841" s="1" t="s">
        <v>3426</v>
      </c>
      <c r="H1841" s="1" t="str">
        <f>VLOOKUP(G1841,'languoid 4.0'!$A$1:$I$24439,2,FALSE)</f>
        <v>turk1311</v>
      </c>
      <c r="I1841" s="1" t="str">
        <f>VLOOKUP(G1841,'languoid 4.0'!$A$1:$I$24439,6,FALSE)</f>
        <v>language</v>
      </c>
      <c r="J1841" s="15" t="s">
        <v>38</v>
      </c>
      <c r="K1841" s="15" t="s">
        <v>38</v>
      </c>
      <c r="L1841" s="15" t="s">
        <v>38</v>
      </c>
      <c r="M1841" s="1"/>
      <c r="N1841" s="1" t="s">
        <v>3427</v>
      </c>
      <c r="O1841" s="15" t="s">
        <v>40</v>
      </c>
      <c r="P1841" s="15" t="s">
        <v>41</v>
      </c>
      <c r="Q1841" s="1" t="s">
        <v>7182</v>
      </c>
      <c r="R1841" s="2" t="s">
        <v>7149</v>
      </c>
      <c r="S1841" s="1" t="s">
        <v>7183</v>
      </c>
      <c r="T1841" s="1" t="s">
        <v>7151</v>
      </c>
      <c r="U1841" s="1" t="s">
        <v>636</v>
      </c>
      <c r="V1841" s="1" t="s">
        <v>45</v>
      </c>
      <c r="W1841" s="1"/>
      <c r="X1841" s="1"/>
      <c r="Y1841" s="1"/>
      <c r="Z1841" s="1" t="s">
        <v>658</v>
      </c>
      <c r="AA1841" s="1" t="s">
        <v>7184</v>
      </c>
      <c r="AB1841" s="1" t="s">
        <v>7185</v>
      </c>
      <c r="AC1841" s="1" t="s">
        <v>46</v>
      </c>
      <c r="AD1841" s="1" t="s">
        <v>7154</v>
      </c>
      <c r="AE1841" s="1" t="s">
        <v>641</v>
      </c>
      <c r="AF1841" s="1" t="s">
        <v>190</v>
      </c>
      <c r="AG1841" s="1">
        <v>6</v>
      </c>
      <c r="AH1841" s="1" t="s">
        <v>190</v>
      </c>
      <c r="AI1841" s="1"/>
      <c r="AJ1841" s="3">
        <v>43259.528935185182</v>
      </c>
      <c r="AK1841" s="1" t="s">
        <v>5871</v>
      </c>
    </row>
    <row r="1842" spans="1:37">
      <c r="A1842" s="1" t="str">
        <f>VLOOKUP(H1842,Languages!$A$2:$B$430,2,FALSE)</f>
        <v>Turkic</v>
      </c>
      <c r="B1842" s="1" t="s">
        <v>1707</v>
      </c>
      <c r="C1842" s="1" t="s">
        <v>4965</v>
      </c>
      <c r="D1842" s="1" t="s">
        <v>5565</v>
      </c>
      <c r="E1842" s="15" t="s">
        <v>3480</v>
      </c>
      <c r="F1842" s="15" t="s">
        <v>3480</v>
      </c>
      <c r="G1842" s="1" t="s">
        <v>3480</v>
      </c>
      <c r="H1842" s="1" t="str">
        <f>VLOOKUP(G1842,'languoid 4.0'!$A$1:$I$24439,2,FALSE)</f>
        <v>turk1311</v>
      </c>
      <c r="I1842" s="1" t="str">
        <f>VLOOKUP(G1842,'languoid 4.0'!$A$1:$I$24439,6,FALSE)</f>
        <v>language</v>
      </c>
      <c r="J1842" s="15" t="s">
        <v>38</v>
      </c>
      <c r="K1842" s="15" t="s">
        <v>38</v>
      </c>
      <c r="L1842" s="15" t="s">
        <v>38</v>
      </c>
      <c r="M1842" s="1"/>
      <c r="N1842" s="1" t="s">
        <v>5566</v>
      </c>
      <c r="O1842" s="15" t="s">
        <v>40</v>
      </c>
      <c r="P1842" s="15" t="s">
        <v>41</v>
      </c>
      <c r="Q1842" s="1" t="s">
        <v>5567</v>
      </c>
      <c r="R1842" s="2" t="s">
        <v>5568</v>
      </c>
      <c r="S1842" s="1" t="s">
        <v>5569</v>
      </c>
      <c r="T1842" s="1" t="s">
        <v>657</v>
      </c>
      <c r="U1842" s="1" t="s">
        <v>636</v>
      </c>
      <c r="V1842" s="1" t="s">
        <v>45</v>
      </c>
      <c r="W1842" s="1"/>
      <c r="X1842" s="1"/>
      <c r="Y1842" s="1"/>
      <c r="Z1842" s="1" t="s">
        <v>658</v>
      </c>
      <c r="AA1842" s="1" t="s">
        <v>46</v>
      </c>
      <c r="AB1842" s="1" t="s">
        <v>5570</v>
      </c>
      <c r="AC1842" s="1" t="s">
        <v>46</v>
      </c>
      <c r="AD1842" s="1" t="s">
        <v>5571</v>
      </c>
      <c r="AE1842" s="1" t="s">
        <v>641</v>
      </c>
      <c r="AF1842" s="1" t="s">
        <v>190</v>
      </c>
      <c r="AG1842" s="1">
        <v>6</v>
      </c>
      <c r="AH1842" s="1" t="s">
        <v>190</v>
      </c>
      <c r="AI1842" s="1"/>
      <c r="AJ1842" s="1" t="s">
        <v>5572</v>
      </c>
      <c r="AK1842" s="1" t="s">
        <v>4975</v>
      </c>
    </row>
    <row r="1843" spans="1:37">
      <c r="A1843" s="1" t="str">
        <f>VLOOKUP(H1843,Languages!$A$2:$B$430,2,FALSE)</f>
        <v>Turkic</v>
      </c>
      <c r="B1843" s="1" t="s">
        <v>1707</v>
      </c>
      <c r="C1843" s="1" t="s">
        <v>4965</v>
      </c>
      <c r="D1843" s="1" t="s">
        <v>6652</v>
      </c>
      <c r="E1843" s="15" t="s">
        <v>5004</v>
      </c>
      <c r="F1843" s="15" t="s">
        <v>5004</v>
      </c>
      <c r="G1843" s="1" t="s">
        <v>5004</v>
      </c>
      <c r="H1843" s="1" t="str">
        <f>VLOOKUP(G1843,'languoid 4.0'!$A$1:$I$24439,2,FALSE)</f>
        <v>turk1311</v>
      </c>
      <c r="I1843" s="1" t="str">
        <f>VLOOKUP(G1843,'languoid 4.0'!$A$1:$I$24439,6,FALSE)</f>
        <v>language</v>
      </c>
      <c r="J1843" s="15" t="s">
        <v>38</v>
      </c>
      <c r="K1843" s="15" t="s">
        <v>38</v>
      </c>
      <c r="L1843" s="15" t="s">
        <v>38</v>
      </c>
      <c r="M1843" s="1"/>
      <c r="N1843" s="1" t="s">
        <v>5005</v>
      </c>
      <c r="O1843" s="15" t="s">
        <v>40</v>
      </c>
      <c r="P1843" s="15" t="s">
        <v>41</v>
      </c>
      <c r="Q1843" s="1" t="s">
        <v>6653</v>
      </c>
      <c r="R1843" s="2" t="s">
        <v>6654</v>
      </c>
      <c r="S1843" s="1" t="s">
        <v>6655</v>
      </c>
      <c r="T1843" s="1" t="s">
        <v>657</v>
      </c>
      <c r="U1843" s="1" t="s">
        <v>6656</v>
      </c>
      <c r="V1843" s="1" t="s">
        <v>45</v>
      </c>
      <c r="W1843" s="1"/>
      <c r="X1843" s="1"/>
      <c r="Y1843" s="1"/>
      <c r="Z1843" s="1" t="s">
        <v>637</v>
      </c>
      <c r="AA1843" s="1" t="s">
        <v>6657</v>
      </c>
      <c r="AB1843" s="1" t="s">
        <v>6658</v>
      </c>
      <c r="AC1843" s="1" t="s">
        <v>46</v>
      </c>
      <c r="AD1843" s="1" t="s">
        <v>6659</v>
      </c>
      <c r="AE1843" s="1" t="s">
        <v>641</v>
      </c>
      <c r="AF1843" s="1" t="s">
        <v>45</v>
      </c>
      <c r="AG1843" s="1">
        <v>3</v>
      </c>
      <c r="AH1843" s="1" t="s">
        <v>190</v>
      </c>
      <c r="AI1843" s="1"/>
      <c r="AJ1843" s="1" t="s">
        <v>6660</v>
      </c>
      <c r="AK1843" s="1" t="s">
        <v>4975</v>
      </c>
    </row>
    <row r="1844" spans="1:37">
      <c r="A1844" s="1" t="str">
        <f>VLOOKUP(H1844,Languages!$A$2:$B$430,2,FALSE)</f>
        <v>Turkic</v>
      </c>
      <c r="B1844" s="1" t="s">
        <v>1707</v>
      </c>
      <c r="C1844" s="1" t="s">
        <v>317</v>
      </c>
      <c r="D1844" s="1" t="s">
        <v>2070</v>
      </c>
      <c r="E1844" s="15" t="s">
        <v>2071</v>
      </c>
      <c r="F1844" s="15" t="s">
        <v>2071</v>
      </c>
      <c r="G1844" s="1" t="s">
        <v>2071</v>
      </c>
      <c r="H1844" s="1" t="str">
        <f>VLOOKUP(G1844,'languoid 4.0'!$A$1:$I$24439,2,FALSE)</f>
        <v>turk1311</v>
      </c>
      <c r="I1844" s="1" t="str">
        <f>VLOOKUP(G1844,'languoid 4.0'!$A$1:$I$24439,6,FALSE)</f>
        <v>language</v>
      </c>
      <c r="J1844" s="15" t="s">
        <v>38</v>
      </c>
      <c r="K1844" s="15" t="s">
        <v>38</v>
      </c>
      <c r="L1844" s="15" t="s">
        <v>38</v>
      </c>
      <c r="M1844" s="1"/>
      <c r="N1844" s="1" t="s">
        <v>2072</v>
      </c>
      <c r="O1844" s="15" t="s">
        <v>40</v>
      </c>
      <c r="P1844" s="15" t="s">
        <v>41</v>
      </c>
      <c r="Q1844" s="1" t="s">
        <v>7167</v>
      </c>
      <c r="R1844" s="2" t="s">
        <v>7149</v>
      </c>
      <c r="S1844" s="1" t="s">
        <v>7168</v>
      </c>
      <c r="T1844" s="1" t="s">
        <v>7151</v>
      </c>
      <c r="U1844" s="1" t="s">
        <v>636</v>
      </c>
      <c r="V1844" s="1" t="s">
        <v>45</v>
      </c>
      <c r="W1844" s="1"/>
      <c r="X1844" s="1"/>
      <c r="Y1844" s="1"/>
      <c r="Z1844" s="1" t="s">
        <v>658</v>
      </c>
      <c r="AA1844" s="1" t="s">
        <v>7169</v>
      </c>
      <c r="AB1844" s="1" t="s">
        <v>7170</v>
      </c>
      <c r="AC1844" s="1" t="s">
        <v>46</v>
      </c>
      <c r="AD1844" s="1" t="s">
        <v>7154</v>
      </c>
      <c r="AE1844" s="1" t="s">
        <v>641</v>
      </c>
      <c r="AF1844" s="1" t="s">
        <v>190</v>
      </c>
      <c r="AG1844" s="1">
        <v>6</v>
      </c>
      <c r="AH1844" s="1" t="s">
        <v>190</v>
      </c>
      <c r="AI1844" s="1"/>
      <c r="AJ1844" s="3">
        <v>43259.511319444442</v>
      </c>
      <c r="AK1844" s="1" t="s">
        <v>5871</v>
      </c>
    </row>
    <row r="1845" spans="1:37">
      <c r="A1845" s="1" t="str">
        <f>VLOOKUP(H1845,Languages!$A$2:$B$430,2,FALSE)</f>
        <v>Unattested</v>
      </c>
      <c r="B1845" s="1" t="s">
        <v>67</v>
      </c>
      <c r="C1845" s="1" t="s">
        <v>214</v>
      </c>
      <c r="D1845" s="1" t="s">
        <v>789</v>
      </c>
      <c r="E1845" s="15" t="s">
        <v>790</v>
      </c>
      <c r="F1845" s="15" t="s">
        <v>790</v>
      </c>
      <c r="G1845" s="1" t="s">
        <v>790</v>
      </c>
      <c r="H1845" s="1" t="str">
        <f>VLOOKUP(G1845,'languoid 4.0'!$A$1:$I$24439,2,FALSE)</f>
        <v>unat1236</v>
      </c>
      <c r="I1845" s="1" t="str">
        <f>VLOOKUP(G1845,'languoid 4.0'!$A$1:$I$24439,6,FALSE)</f>
        <v>language</v>
      </c>
      <c r="J1845" s="15" t="s">
        <v>38</v>
      </c>
      <c r="K1845" s="15" t="s">
        <v>38</v>
      </c>
      <c r="L1845" s="15" t="s">
        <v>38</v>
      </c>
      <c r="M1845" s="1"/>
      <c r="N1845" s="1" t="s">
        <v>791</v>
      </c>
      <c r="O1845" s="15" t="s">
        <v>40</v>
      </c>
      <c r="P1845" s="15" t="s">
        <v>632</v>
      </c>
      <c r="Q1845" s="1" t="s">
        <v>792</v>
      </c>
      <c r="R1845" s="2" t="s">
        <v>793</v>
      </c>
      <c r="S1845" s="1" t="s">
        <v>46</v>
      </c>
      <c r="T1845" s="1" t="s">
        <v>767</v>
      </c>
      <c r="U1845" s="1" t="s">
        <v>794</v>
      </c>
      <c r="V1845" s="1" t="s">
        <v>45</v>
      </c>
      <c r="W1845" s="1"/>
      <c r="X1845" s="1"/>
      <c r="Y1845" s="1"/>
      <c r="Z1845" s="1" t="s">
        <v>658</v>
      </c>
      <c r="AA1845" s="1" t="s">
        <v>795</v>
      </c>
      <c r="AB1845" s="1" t="s">
        <v>46</v>
      </c>
      <c r="AC1845" s="1" t="s">
        <v>46</v>
      </c>
      <c r="AD1845" s="1" t="s">
        <v>796</v>
      </c>
      <c r="AE1845" s="1" t="s">
        <v>641</v>
      </c>
      <c r="AF1845" s="1" t="s">
        <v>190</v>
      </c>
      <c r="AG1845" s="1">
        <v>5</v>
      </c>
      <c r="AH1845" s="1" t="s">
        <v>190</v>
      </c>
      <c r="AI1845" s="1"/>
      <c r="AJ1845" s="3">
        <v>43222.57372685185</v>
      </c>
      <c r="AK1845" s="1" t="s">
        <v>740</v>
      </c>
    </row>
    <row r="1846" spans="1:37">
      <c r="A1846" s="1" t="str">
        <f>VLOOKUP(H1846,Languages!$A$2:$B$430,2,FALSE)</f>
        <v>Uralic</v>
      </c>
      <c r="B1846" s="1" t="s">
        <v>67</v>
      </c>
      <c r="C1846" s="1" t="s">
        <v>10200</v>
      </c>
      <c r="D1846" s="1" t="s">
        <v>10267</v>
      </c>
      <c r="E1846" s="15" t="s">
        <v>10255</v>
      </c>
      <c r="F1846" s="15" t="s">
        <v>10255</v>
      </c>
      <c r="G1846" s="1" t="s">
        <v>10255</v>
      </c>
      <c r="H1846" s="1" t="str">
        <f>VLOOKUP(G1846,'languoid 4.0'!$A$1:$I$24439,2,FALSE)</f>
        <v>ural1272</v>
      </c>
      <c r="I1846" s="1" t="str">
        <f>VLOOKUP(G1846,'languoid 4.0'!$A$1:$I$24439,6,FALSE)</f>
        <v>language</v>
      </c>
      <c r="J1846" s="15" t="s">
        <v>38</v>
      </c>
      <c r="K1846" s="15" t="s">
        <v>38</v>
      </c>
      <c r="L1846" s="15" t="s">
        <v>38</v>
      </c>
      <c r="M1846" s="1"/>
      <c r="N1846" s="1" t="s">
        <v>10262</v>
      </c>
      <c r="O1846" s="15" t="s">
        <v>40</v>
      </c>
      <c r="P1846" s="15" t="s">
        <v>41</v>
      </c>
      <c r="Q1846" s="1" t="s">
        <v>10272</v>
      </c>
      <c r="R1846" s="2" t="s">
        <v>10273</v>
      </c>
      <c r="S1846" s="1" t="s">
        <v>46</v>
      </c>
      <c r="T1846" s="1" t="s">
        <v>635</v>
      </c>
      <c r="U1846" s="1" t="s">
        <v>636</v>
      </c>
      <c r="V1846" s="1" t="s">
        <v>45</v>
      </c>
      <c r="W1846" s="1"/>
      <c r="X1846" s="1"/>
      <c r="Y1846" s="1"/>
      <c r="Z1846" s="1" t="s">
        <v>673</v>
      </c>
      <c r="AA1846" s="1" t="s">
        <v>46</v>
      </c>
      <c r="AB1846" s="1" t="s">
        <v>10274</v>
      </c>
      <c r="AC1846" s="1" t="s">
        <v>46</v>
      </c>
      <c r="AD1846" s="1"/>
      <c r="AE1846" s="1" t="s">
        <v>641</v>
      </c>
      <c r="AF1846" s="1" t="s">
        <v>190</v>
      </c>
      <c r="AG1846" s="1">
        <v>6</v>
      </c>
      <c r="AH1846" s="1" t="s">
        <v>190</v>
      </c>
      <c r="AI1846" s="1"/>
      <c r="AJ1846" s="1" t="s">
        <v>10275</v>
      </c>
      <c r="AK1846" s="1" t="s">
        <v>4945</v>
      </c>
    </row>
    <row r="1847" spans="1:37">
      <c r="A1847" s="1" t="str">
        <f>VLOOKUP(H1847,Languages!$A$2:$B$430,2,FALSE)</f>
        <v>Uralic</v>
      </c>
      <c r="B1847" s="1" t="s">
        <v>67</v>
      </c>
      <c r="C1847" s="1" t="s">
        <v>10200</v>
      </c>
      <c r="D1847" s="1" t="s">
        <v>10267</v>
      </c>
      <c r="E1847" s="15" t="s">
        <v>10255</v>
      </c>
      <c r="F1847" s="15" t="s">
        <v>10255</v>
      </c>
      <c r="G1847" s="1" t="s">
        <v>10255</v>
      </c>
      <c r="H1847" s="1" t="str">
        <f>VLOOKUP(G1847,'languoid 4.0'!$A$1:$I$24439,2,FALSE)</f>
        <v>ural1272</v>
      </c>
      <c r="I1847" s="1" t="str">
        <f>VLOOKUP(G1847,'languoid 4.0'!$A$1:$I$24439,6,FALSE)</f>
        <v>language</v>
      </c>
      <c r="J1847" s="15" t="s">
        <v>38</v>
      </c>
      <c r="K1847" s="15" t="s">
        <v>38</v>
      </c>
      <c r="L1847" s="15" t="s">
        <v>38</v>
      </c>
      <c r="M1847" s="1"/>
      <c r="N1847" s="1" t="s">
        <v>10262</v>
      </c>
      <c r="O1847" s="15" t="s">
        <v>40</v>
      </c>
      <c r="P1847" s="15" t="s">
        <v>41</v>
      </c>
      <c r="Q1847" s="1" t="s">
        <v>10288</v>
      </c>
      <c r="R1847" s="2" t="s">
        <v>10289</v>
      </c>
      <c r="S1847" s="1" t="s">
        <v>46</v>
      </c>
      <c r="T1847" s="1" t="s">
        <v>635</v>
      </c>
      <c r="U1847" s="1" t="s">
        <v>636</v>
      </c>
      <c r="V1847" s="1" t="s">
        <v>45</v>
      </c>
      <c r="W1847" s="1"/>
      <c r="X1847" s="1"/>
      <c r="Y1847" s="1"/>
      <c r="Z1847" s="1" t="s">
        <v>673</v>
      </c>
      <c r="AA1847" s="1" t="s">
        <v>46</v>
      </c>
      <c r="AB1847" s="1" t="s">
        <v>10290</v>
      </c>
      <c r="AC1847" s="1" t="s">
        <v>46</v>
      </c>
      <c r="AD1847" s="1"/>
      <c r="AE1847" s="1" t="s">
        <v>641</v>
      </c>
      <c r="AF1847" s="1" t="s">
        <v>190</v>
      </c>
      <c r="AG1847" s="1">
        <v>6</v>
      </c>
      <c r="AH1847" s="1" t="s">
        <v>190</v>
      </c>
      <c r="AI1847" s="1"/>
      <c r="AJ1847" s="1" t="s">
        <v>10291</v>
      </c>
      <c r="AK1847" s="1" t="s">
        <v>4945</v>
      </c>
    </row>
    <row r="1848" spans="1:37">
      <c r="A1848" s="1" t="str">
        <f>VLOOKUP(H1848,Languages!$A$2:$B$430,2,FALSE)</f>
        <v>Uralic</v>
      </c>
      <c r="B1848" s="1" t="s">
        <v>67</v>
      </c>
      <c r="C1848" s="1" t="s">
        <v>1405</v>
      </c>
      <c r="D1848" s="1" t="s">
        <v>1460</v>
      </c>
      <c r="E1848" s="15" t="s">
        <v>1461</v>
      </c>
      <c r="F1848" s="15" t="s">
        <v>1462</v>
      </c>
      <c r="G1848" s="1" t="s">
        <v>1461</v>
      </c>
      <c r="H1848" s="1" t="str">
        <f>VLOOKUP(G1848,'languoid 4.0'!$A$1:$I$24439,2,FALSE)</f>
        <v>ural1272</v>
      </c>
      <c r="I1848" s="1" t="str">
        <f>VLOOKUP(G1848,'languoid 4.0'!$A$1:$I$24439,6,FALSE)</f>
        <v>dialect</v>
      </c>
      <c r="J1848" s="15" t="s">
        <v>52</v>
      </c>
      <c r="K1848" s="15" t="s">
        <v>38</v>
      </c>
      <c r="L1848" s="15" t="s">
        <v>38</v>
      </c>
      <c r="M1848" s="1"/>
      <c r="N1848" s="1"/>
      <c r="O1848" s="15" t="s">
        <v>40</v>
      </c>
      <c r="P1848" s="15" t="s">
        <v>41</v>
      </c>
      <c r="Q1848" s="1" t="s">
        <v>1463</v>
      </c>
      <c r="R1848" s="2" t="s">
        <v>1464</v>
      </c>
      <c r="S1848" s="1" t="s">
        <v>1021</v>
      </c>
      <c r="T1848" s="1" t="s">
        <v>822</v>
      </c>
      <c r="U1848" s="1" t="s">
        <v>1465</v>
      </c>
      <c r="V1848" s="1" t="s">
        <v>45</v>
      </c>
      <c r="W1848" s="1"/>
      <c r="X1848" s="1"/>
      <c r="Y1848" s="1"/>
      <c r="Z1848" s="1" t="s">
        <v>658</v>
      </c>
      <c r="AA1848" s="1" t="s">
        <v>1466</v>
      </c>
      <c r="AB1848" s="1" t="s">
        <v>1021</v>
      </c>
      <c r="AC1848" s="1" t="s">
        <v>1021</v>
      </c>
      <c r="AD1848" s="1"/>
      <c r="AE1848" s="1" t="s">
        <v>641</v>
      </c>
      <c r="AF1848" s="1" t="s">
        <v>190</v>
      </c>
      <c r="AG1848" s="1">
        <v>5</v>
      </c>
      <c r="AH1848" s="1" t="s">
        <v>190</v>
      </c>
      <c r="AI1848" s="1"/>
      <c r="AJ1848" s="1" t="s">
        <v>1467</v>
      </c>
      <c r="AK1848" s="1" t="s">
        <v>740</v>
      </c>
    </row>
    <row r="1849" spans="1:37">
      <c r="A1849" s="1" t="str">
        <f>VLOOKUP(H1849,Languages!$A$2:$B$430,2,FALSE)</f>
        <v>Uralic</v>
      </c>
      <c r="B1849" s="1" t="s">
        <v>67</v>
      </c>
      <c r="C1849" s="1" t="s">
        <v>1405</v>
      </c>
      <c r="D1849" s="1" t="s">
        <v>1502</v>
      </c>
      <c r="E1849" s="15" t="s">
        <v>1503</v>
      </c>
      <c r="F1849" s="15" t="s">
        <v>1503</v>
      </c>
      <c r="G1849" s="1" t="s">
        <v>1503</v>
      </c>
      <c r="H1849" s="1" t="str">
        <f>VLOOKUP(G1849,'languoid 4.0'!$A$1:$I$24439,2,FALSE)</f>
        <v>ural1272</v>
      </c>
      <c r="I1849" s="1" t="str">
        <f>VLOOKUP(G1849,'languoid 4.0'!$A$1:$I$24439,6,FALSE)</f>
        <v>language</v>
      </c>
      <c r="J1849" s="15" t="s">
        <v>38</v>
      </c>
      <c r="K1849" s="15" t="s">
        <v>38</v>
      </c>
      <c r="L1849" s="15" t="s">
        <v>38</v>
      </c>
      <c r="M1849" s="1"/>
      <c r="N1849" s="1" t="s">
        <v>1504</v>
      </c>
      <c r="O1849" s="15" t="s">
        <v>40</v>
      </c>
      <c r="P1849" s="15" t="s">
        <v>41</v>
      </c>
      <c r="Q1849" s="1" t="s">
        <v>3528</v>
      </c>
      <c r="R1849" s="2" t="s">
        <v>3529</v>
      </c>
      <c r="S1849" s="1" t="s">
        <v>46</v>
      </c>
      <c r="T1849" s="1" t="s">
        <v>635</v>
      </c>
      <c r="U1849" s="1" t="s">
        <v>636</v>
      </c>
      <c r="V1849" s="1" t="s">
        <v>45</v>
      </c>
      <c r="W1849" s="1"/>
      <c r="X1849" s="1"/>
      <c r="Y1849" s="1"/>
      <c r="Z1849" s="1" t="s">
        <v>658</v>
      </c>
      <c r="AA1849" s="1" t="s">
        <v>3530</v>
      </c>
      <c r="AB1849" s="1" t="s">
        <v>46</v>
      </c>
      <c r="AC1849" s="1" t="s">
        <v>46</v>
      </c>
      <c r="AD1849" s="1"/>
      <c r="AE1849" s="1" t="s">
        <v>641</v>
      </c>
      <c r="AF1849" s="1" t="s">
        <v>190</v>
      </c>
      <c r="AG1849" s="1">
        <v>6</v>
      </c>
      <c r="AH1849" s="1" t="s">
        <v>190</v>
      </c>
      <c r="AI1849" s="1"/>
      <c r="AJ1849" s="3">
        <v>43105.325694444444</v>
      </c>
      <c r="AK1849" s="1" t="s">
        <v>1598</v>
      </c>
    </row>
    <row r="1850" spans="1:37">
      <c r="A1850" s="1" t="str">
        <f>VLOOKUP(H1850,Languages!$A$2:$B$430,2,FALSE)</f>
        <v>Uralic</v>
      </c>
      <c r="B1850" s="1" t="s">
        <v>67</v>
      </c>
      <c r="C1850" s="1" t="s">
        <v>249</v>
      </c>
      <c r="D1850" s="1" t="s">
        <v>437</v>
      </c>
      <c r="E1850" s="15" t="s">
        <v>251</v>
      </c>
      <c r="F1850" s="15" t="s">
        <v>438</v>
      </c>
      <c r="G1850" s="1" t="s">
        <v>439</v>
      </c>
      <c r="H1850" s="1" t="str">
        <f>VLOOKUP(G1850,'languoid 4.0'!$A$1:$I$24439,2,FALSE)</f>
        <v>ural1272</v>
      </c>
      <c r="I1850" s="1" t="str">
        <f>VLOOKUP(G1850,'languoid 4.0'!$A$1:$I$24439,6,FALSE)</f>
        <v>language</v>
      </c>
      <c r="J1850" s="15" t="s">
        <v>52</v>
      </c>
      <c r="K1850" s="15" t="s">
        <v>52</v>
      </c>
      <c r="L1850" s="15" t="s">
        <v>52</v>
      </c>
      <c r="M1850" s="1"/>
      <c r="N1850" s="1"/>
      <c r="O1850" s="15" t="s">
        <v>113</v>
      </c>
      <c r="P1850" s="15" t="s">
        <v>41</v>
      </c>
      <c r="Q1850" s="1" t="s">
        <v>440</v>
      </c>
      <c r="R1850" s="2" t="s">
        <v>441</v>
      </c>
      <c r="S1850" s="1" t="s">
        <v>442</v>
      </c>
      <c r="T1850" s="1" t="s">
        <v>44</v>
      </c>
      <c r="U1850" s="1"/>
      <c r="V1850" s="1" t="s">
        <v>45</v>
      </c>
      <c r="W1850" s="1"/>
      <c r="X1850" s="1"/>
      <c r="Y1850" s="1"/>
      <c r="Z1850" s="1"/>
      <c r="AA1850" s="1">
        <v>23</v>
      </c>
      <c r="AB1850" s="1">
        <v>21</v>
      </c>
      <c r="AC1850" s="1" t="s">
        <v>46</v>
      </c>
      <c r="AD1850" s="1"/>
      <c r="AE1850" s="1"/>
      <c r="AF1850" s="1"/>
      <c r="AG1850" s="1"/>
      <c r="AH1850" s="1"/>
      <c r="AI1850" s="1"/>
      <c r="AJ1850" s="3">
        <v>43102.748749999999</v>
      </c>
      <c r="AK1850" s="1" t="s">
        <v>57</v>
      </c>
    </row>
    <row r="1851" spans="1:37">
      <c r="A1851" s="1" t="str">
        <f>VLOOKUP(H1851,Languages!$A$2:$B$430,2,FALSE)</f>
        <v>Uralic</v>
      </c>
      <c r="B1851" s="1" t="s">
        <v>109</v>
      </c>
      <c r="C1851" s="1" t="s">
        <v>10200</v>
      </c>
      <c r="D1851" s="1" t="s">
        <v>10261</v>
      </c>
      <c r="E1851" s="15" t="s">
        <v>10255</v>
      </c>
      <c r="F1851" s="15" t="s">
        <v>10255</v>
      </c>
      <c r="G1851" s="1" t="s">
        <v>10255</v>
      </c>
      <c r="H1851" s="1" t="str">
        <f>VLOOKUP(G1851,'languoid 4.0'!$A$1:$I$24439,2,FALSE)</f>
        <v>ural1272</v>
      </c>
      <c r="I1851" s="1" t="str">
        <f>VLOOKUP(G1851,'languoid 4.0'!$A$1:$I$24439,6,FALSE)</f>
        <v>language</v>
      </c>
      <c r="J1851" s="15" t="s">
        <v>38</v>
      </c>
      <c r="K1851" s="15" t="s">
        <v>38</v>
      </c>
      <c r="L1851" s="15" t="s">
        <v>38</v>
      </c>
      <c r="M1851" s="1"/>
      <c r="N1851" s="1" t="s">
        <v>10262</v>
      </c>
      <c r="O1851" s="15" t="s">
        <v>40</v>
      </c>
      <c r="P1851" s="15" t="s">
        <v>41</v>
      </c>
      <c r="Q1851" s="1" t="s">
        <v>10263</v>
      </c>
      <c r="R1851" s="2" t="s">
        <v>10264</v>
      </c>
      <c r="S1851" s="1" t="s">
        <v>46</v>
      </c>
      <c r="T1851" s="1" t="s">
        <v>635</v>
      </c>
      <c r="U1851" s="1" t="s">
        <v>636</v>
      </c>
      <c r="V1851" s="1" t="s">
        <v>45</v>
      </c>
      <c r="W1851" s="1"/>
      <c r="X1851" s="1"/>
      <c r="Y1851" s="1"/>
      <c r="Z1851" s="1" t="s">
        <v>673</v>
      </c>
      <c r="AA1851" s="1" t="s">
        <v>46</v>
      </c>
      <c r="AB1851" s="1" t="s">
        <v>10265</v>
      </c>
      <c r="AC1851" s="1" t="s">
        <v>46</v>
      </c>
      <c r="AD1851" s="1"/>
      <c r="AE1851" s="1" t="s">
        <v>641</v>
      </c>
      <c r="AF1851" s="1" t="s">
        <v>190</v>
      </c>
      <c r="AG1851" s="1">
        <v>6</v>
      </c>
      <c r="AH1851" s="1" t="s">
        <v>190</v>
      </c>
      <c r="AI1851" s="1"/>
      <c r="AJ1851" s="1" t="s">
        <v>10266</v>
      </c>
      <c r="AK1851" s="1" t="s">
        <v>4945</v>
      </c>
    </row>
    <row r="1852" spans="1:37">
      <c r="A1852" s="1" t="str">
        <f>VLOOKUP(H1852,Languages!$A$2:$B$430,2,FALSE)</f>
        <v>Uralic</v>
      </c>
      <c r="B1852" s="1" t="s">
        <v>109</v>
      </c>
      <c r="C1852" s="1" t="s">
        <v>10200</v>
      </c>
      <c r="D1852" s="1" t="s">
        <v>10267</v>
      </c>
      <c r="E1852" s="15" t="s">
        <v>10255</v>
      </c>
      <c r="F1852" s="15" t="s">
        <v>10255</v>
      </c>
      <c r="G1852" s="1" t="s">
        <v>10255</v>
      </c>
      <c r="H1852" s="1" t="str">
        <f>VLOOKUP(G1852,'languoid 4.0'!$A$1:$I$24439,2,FALSE)</f>
        <v>ural1272</v>
      </c>
      <c r="I1852" s="1" t="str">
        <f>VLOOKUP(G1852,'languoid 4.0'!$A$1:$I$24439,6,FALSE)</f>
        <v>language</v>
      </c>
      <c r="J1852" s="15" t="s">
        <v>38</v>
      </c>
      <c r="K1852" s="15" t="s">
        <v>38</v>
      </c>
      <c r="L1852" s="15" t="s">
        <v>38</v>
      </c>
      <c r="M1852" s="1"/>
      <c r="N1852" s="1" t="s">
        <v>10262</v>
      </c>
      <c r="O1852" s="15" t="s">
        <v>40</v>
      </c>
      <c r="P1852" s="15" t="s">
        <v>41</v>
      </c>
      <c r="Q1852" s="1" t="s">
        <v>10268</v>
      </c>
      <c r="R1852" s="2" t="s">
        <v>10269</v>
      </c>
      <c r="S1852" s="1" t="s">
        <v>46</v>
      </c>
      <c r="T1852" s="1" t="s">
        <v>635</v>
      </c>
      <c r="U1852" s="1" t="s">
        <v>652</v>
      </c>
      <c r="V1852" s="1" t="s">
        <v>45</v>
      </c>
      <c r="W1852" s="1"/>
      <c r="X1852" s="1"/>
      <c r="Y1852" s="1"/>
      <c r="Z1852" s="1" t="s">
        <v>673</v>
      </c>
      <c r="AA1852" s="1" t="s">
        <v>46</v>
      </c>
      <c r="AB1852" s="1" t="s">
        <v>10270</v>
      </c>
      <c r="AC1852" s="1" t="s">
        <v>46</v>
      </c>
      <c r="AD1852" s="1"/>
      <c r="AE1852" s="1" t="s">
        <v>641</v>
      </c>
      <c r="AF1852" s="1" t="s">
        <v>190</v>
      </c>
      <c r="AG1852" s="1">
        <v>6</v>
      </c>
      <c r="AH1852" s="1" t="s">
        <v>190</v>
      </c>
      <c r="AI1852" s="1"/>
      <c r="AJ1852" s="1" t="s">
        <v>10271</v>
      </c>
      <c r="AK1852" s="1" t="s">
        <v>4945</v>
      </c>
    </row>
    <row r="1853" spans="1:37">
      <c r="A1853" s="1" t="str">
        <f>VLOOKUP(H1853,Languages!$A$2:$B$430,2,FALSE)</f>
        <v>Uralic</v>
      </c>
      <c r="B1853" s="1" t="s">
        <v>109</v>
      </c>
      <c r="C1853" s="1" t="s">
        <v>1405</v>
      </c>
      <c r="D1853" s="1" t="s">
        <v>1448</v>
      </c>
      <c r="E1853" s="15" t="s">
        <v>1449</v>
      </c>
      <c r="F1853" s="15" t="s">
        <v>1450</v>
      </c>
      <c r="G1853" s="1" t="s">
        <v>1451</v>
      </c>
      <c r="H1853" s="1" t="str">
        <f>VLOOKUP(G1853,'languoid 4.0'!$A$1:$I$24439,2,FALSE)</f>
        <v>ural1272</v>
      </c>
      <c r="I1853" s="1" t="str">
        <f>VLOOKUP(G1853,'languoid 4.0'!$A$1:$I$24439,6,FALSE)</f>
        <v>family</v>
      </c>
      <c r="J1853" s="15" t="s">
        <v>52</v>
      </c>
      <c r="K1853" s="15" t="s">
        <v>38</v>
      </c>
      <c r="L1853" s="15" t="s">
        <v>38</v>
      </c>
      <c r="M1853" s="1"/>
      <c r="N1853" s="1" t="s">
        <v>1452</v>
      </c>
      <c r="O1853" s="15" t="s">
        <v>40</v>
      </c>
      <c r="P1853" s="15" t="s">
        <v>41</v>
      </c>
      <c r="Q1853" s="1" t="s">
        <v>1453</v>
      </c>
      <c r="R1853" s="2" t="s">
        <v>1454</v>
      </c>
      <c r="S1853" s="1" t="s">
        <v>1021</v>
      </c>
      <c r="T1853" s="1" t="s">
        <v>635</v>
      </c>
      <c r="U1853" s="1" t="s">
        <v>1455</v>
      </c>
      <c r="V1853" s="1" t="s">
        <v>45</v>
      </c>
      <c r="W1853" s="1"/>
      <c r="X1853" s="1"/>
      <c r="Y1853" s="1"/>
      <c r="Z1853" s="1" t="s">
        <v>637</v>
      </c>
      <c r="AA1853" s="1" t="s">
        <v>1456</v>
      </c>
      <c r="AB1853" s="1" t="s">
        <v>1457</v>
      </c>
      <c r="AC1853" s="1" t="s">
        <v>1021</v>
      </c>
      <c r="AD1853" s="1" t="s">
        <v>1458</v>
      </c>
      <c r="AE1853" s="1" t="s">
        <v>641</v>
      </c>
      <c r="AF1853" s="1" t="s">
        <v>190</v>
      </c>
      <c r="AG1853" s="1">
        <v>4</v>
      </c>
      <c r="AH1853" s="1" t="s">
        <v>190</v>
      </c>
      <c r="AI1853" s="1"/>
      <c r="AJ1853" s="1" t="s">
        <v>1459</v>
      </c>
      <c r="AK1853" s="1" t="s">
        <v>740</v>
      </c>
    </row>
    <row r="1854" spans="1:37">
      <c r="A1854" s="1" t="str">
        <f>VLOOKUP(H1854,Languages!$A$2:$B$430,2,FALSE)</f>
        <v>Uralic</v>
      </c>
      <c r="B1854" s="1" t="s">
        <v>109</v>
      </c>
      <c r="C1854" s="1" t="s">
        <v>1405</v>
      </c>
      <c r="D1854" s="1" t="s">
        <v>1460</v>
      </c>
      <c r="E1854" s="15" t="s">
        <v>1462</v>
      </c>
      <c r="F1854" s="15" t="s">
        <v>1462</v>
      </c>
      <c r="G1854" s="1" t="s">
        <v>1462</v>
      </c>
      <c r="H1854" s="1" t="str">
        <f>VLOOKUP(G1854,'languoid 4.0'!$A$1:$I$24439,2,FALSE)</f>
        <v>ural1272</v>
      </c>
      <c r="I1854" s="1" t="str">
        <f>VLOOKUP(G1854,'languoid 4.0'!$A$1:$I$24439,6,FALSE)</f>
        <v>language</v>
      </c>
      <c r="J1854" s="15" t="s">
        <v>38</v>
      </c>
      <c r="K1854" s="15" t="s">
        <v>38</v>
      </c>
      <c r="L1854" s="15" t="s">
        <v>38</v>
      </c>
      <c r="M1854" s="1"/>
      <c r="N1854" s="1" t="s">
        <v>9470</v>
      </c>
      <c r="O1854" s="15" t="s">
        <v>40</v>
      </c>
      <c r="P1854" s="15" t="s">
        <v>41</v>
      </c>
      <c r="Q1854" s="1" t="s">
        <v>9471</v>
      </c>
      <c r="R1854" s="2" t="s">
        <v>9472</v>
      </c>
      <c r="S1854" s="1" t="s">
        <v>46</v>
      </c>
      <c r="T1854" s="1" t="s">
        <v>822</v>
      </c>
      <c r="U1854" s="1" t="s">
        <v>636</v>
      </c>
      <c r="V1854" s="1" t="s">
        <v>45</v>
      </c>
      <c r="W1854" s="1"/>
      <c r="X1854" s="1"/>
      <c r="Y1854" s="1"/>
      <c r="Z1854" s="1" t="s">
        <v>658</v>
      </c>
      <c r="AA1854" s="1" t="s">
        <v>9473</v>
      </c>
      <c r="AB1854" s="1" t="s">
        <v>46</v>
      </c>
      <c r="AC1854" s="1" t="s">
        <v>46</v>
      </c>
      <c r="AD1854" s="1"/>
      <c r="AE1854" s="1" t="s">
        <v>641</v>
      </c>
      <c r="AF1854" s="1" t="s">
        <v>190</v>
      </c>
      <c r="AG1854" s="1">
        <v>5</v>
      </c>
      <c r="AH1854" s="1" t="s">
        <v>190</v>
      </c>
      <c r="AI1854" s="1"/>
      <c r="AJ1854" s="3">
        <v>43291.316145833334</v>
      </c>
      <c r="AK1854" s="1" t="s">
        <v>1598</v>
      </c>
    </row>
    <row r="1855" spans="1:37">
      <c r="A1855" s="1" t="str">
        <f>VLOOKUP(H1855,Languages!$A$2:$B$430,2,FALSE)</f>
        <v>Uralic</v>
      </c>
      <c r="B1855" s="1" t="s">
        <v>109</v>
      </c>
      <c r="C1855" s="1" t="s">
        <v>317</v>
      </c>
      <c r="D1855" s="1" t="s">
        <v>574</v>
      </c>
      <c r="E1855" s="15" t="s">
        <v>575</v>
      </c>
      <c r="F1855" s="15" t="s">
        <v>575</v>
      </c>
      <c r="G1855" s="1" t="s">
        <v>575</v>
      </c>
      <c r="H1855" s="1" t="str">
        <f>VLOOKUP(G1855,'languoid 4.0'!$A$1:$I$24439,2,FALSE)</f>
        <v>ural1272</v>
      </c>
      <c r="I1855" s="1" t="str">
        <f>VLOOKUP(G1855,'languoid 4.0'!$A$1:$I$24439,6,FALSE)</f>
        <v>language</v>
      </c>
      <c r="J1855" s="15" t="s">
        <v>38</v>
      </c>
      <c r="K1855" s="15" t="s">
        <v>38</v>
      </c>
      <c r="L1855" s="15" t="s">
        <v>38</v>
      </c>
      <c r="M1855" s="1"/>
      <c r="N1855" s="1" t="s">
        <v>576</v>
      </c>
      <c r="O1855" s="15" t="s">
        <v>40</v>
      </c>
      <c r="P1855" s="15" t="s">
        <v>41</v>
      </c>
      <c r="Q1855" s="1" t="s">
        <v>577</v>
      </c>
      <c r="R1855" s="2" t="s">
        <v>578</v>
      </c>
      <c r="S1855" s="1" t="s">
        <v>579</v>
      </c>
      <c r="T1855" s="1" t="s">
        <v>44</v>
      </c>
      <c r="U1855" s="1"/>
      <c r="V1855" s="1" t="s">
        <v>45</v>
      </c>
      <c r="W1855" s="1"/>
      <c r="X1855" s="1"/>
      <c r="Y1855" s="1"/>
      <c r="Z1855" s="1"/>
      <c r="AA1855" s="1">
        <v>15</v>
      </c>
      <c r="AB1855" s="1">
        <v>15</v>
      </c>
      <c r="AC1855" s="1">
        <v>15</v>
      </c>
      <c r="AD1855" s="1"/>
      <c r="AE1855" s="1"/>
      <c r="AF1855" s="1"/>
      <c r="AG1855" s="1"/>
      <c r="AH1855" s="1"/>
      <c r="AI1855" s="1"/>
      <c r="AJ1855" s="3">
        <v>43102.758842592593</v>
      </c>
      <c r="AK1855" s="1" t="s">
        <v>74</v>
      </c>
    </row>
    <row r="1856" spans="1:37">
      <c r="A1856" s="1" t="str">
        <f>VLOOKUP(H1856,Languages!$A$2:$B$430,2,FALSE)</f>
        <v>Uralic</v>
      </c>
      <c r="B1856" s="1" t="s">
        <v>109</v>
      </c>
      <c r="C1856" s="1" t="s">
        <v>249</v>
      </c>
      <c r="D1856" s="1" t="s">
        <v>250</v>
      </c>
      <c r="E1856" s="15" t="s">
        <v>251</v>
      </c>
      <c r="F1856" s="15" t="s">
        <v>251</v>
      </c>
      <c r="G1856" s="1" t="s">
        <v>251</v>
      </c>
      <c r="H1856" s="1" t="str">
        <f>VLOOKUP(G1856,'languoid 4.0'!$A$1:$I$24439,2,FALSE)</f>
        <v>ural1272</v>
      </c>
      <c r="I1856" s="1" t="str">
        <f>VLOOKUP(G1856,'languoid 4.0'!$A$1:$I$24439,6,FALSE)</f>
        <v>family</v>
      </c>
      <c r="J1856" s="15" t="s">
        <v>38</v>
      </c>
      <c r="K1856" s="15" t="s">
        <v>38</v>
      </c>
      <c r="L1856" s="15" t="s">
        <v>38</v>
      </c>
      <c r="M1856" s="1"/>
      <c r="N1856" s="1"/>
      <c r="O1856" s="15" t="s">
        <v>113</v>
      </c>
      <c r="P1856" s="15" t="s">
        <v>41</v>
      </c>
      <c r="Q1856" s="1" t="s">
        <v>252</v>
      </c>
      <c r="R1856" s="2" t="s">
        <v>253</v>
      </c>
      <c r="S1856" s="1" t="s">
        <v>254</v>
      </c>
      <c r="T1856" s="1" t="s">
        <v>44</v>
      </c>
      <c r="U1856" s="1"/>
      <c r="V1856" s="1" t="s">
        <v>45</v>
      </c>
      <c r="W1856" s="1"/>
      <c r="X1856" s="1"/>
      <c r="Y1856" s="1"/>
      <c r="Z1856" s="1"/>
      <c r="AA1856" s="1">
        <v>14</v>
      </c>
      <c r="AB1856" s="1" t="s">
        <v>46</v>
      </c>
      <c r="AC1856" s="1">
        <v>18</v>
      </c>
      <c r="AD1856" s="1"/>
      <c r="AE1856" s="1"/>
      <c r="AF1856" s="1"/>
      <c r="AG1856" s="1"/>
      <c r="AH1856" s="1"/>
      <c r="AI1856" s="1"/>
      <c r="AJ1856" s="3">
        <v>43102.73778935185</v>
      </c>
      <c r="AK1856" s="1" t="s">
        <v>57</v>
      </c>
    </row>
    <row r="1857" spans="1:37" ht="409.6">
      <c r="A1857" s="1" t="str">
        <f>VLOOKUP(H1857,Languages!$A$2:$B$430,2,FALSE)</f>
        <v>Uralic</v>
      </c>
      <c r="B1857" s="1" t="s">
        <v>109</v>
      </c>
      <c r="C1857" s="1" t="s">
        <v>249</v>
      </c>
      <c r="D1857" s="1" t="s">
        <v>10114</v>
      </c>
      <c r="E1857" s="15" t="s">
        <v>10115</v>
      </c>
      <c r="F1857" s="15" t="s">
        <v>10115</v>
      </c>
      <c r="G1857" s="1" t="s">
        <v>10115</v>
      </c>
      <c r="H1857" s="1" t="str">
        <f>VLOOKUP(G1857,'languoid 4.0'!$A$1:$I$24439,2,FALSE)</f>
        <v>ural1272</v>
      </c>
      <c r="I1857" s="1" t="str">
        <f>VLOOKUP(G1857,'languoid 4.0'!$A$1:$I$24439,6,FALSE)</f>
        <v>language</v>
      </c>
      <c r="J1857" s="15" t="s">
        <v>38</v>
      </c>
      <c r="K1857" s="15" t="s">
        <v>38</v>
      </c>
      <c r="L1857" s="15" t="s">
        <v>38</v>
      </c>
      <c r="M1857" s="1"/>
      <c r="N1857" s="1" t="s">
        <v>10116</v>
      </c>
      <c r="O1857" s="15" t="s">
        <v>40</v>
      </c>
      <c r="P1857" s="15" t="s">
        <v>41</v>
      </c>
      <c r="Q1857" s="1" t="s">
        <v>11456</v>
      </c>
      <c r="R1857" s="2" t="s">
        <v>11457</v>
      </c>
      <c r="S1857" s="1" t="s">
        <v>4414</v>
      </c>
      <c r="T1857" s="1" t="s">
        <v>657</v>
      </c>
      <c r="U1857" s="1" t="s">
        <v>636</v>
      </c>
      <c r="V1857" s="1" t="s">
        <v>45</v>
      </c>
      <c r="W1857" s="1"/>
      <c r="X1857" s="1"/>
      <c r="Y1857" s="1"/>
      <c r="Z1857" s="1" t="s">
        <v>823</v>
      </c>
      <c r="AA1857" s="1" t="s">
        <v>11458</v>
      </c>
      <c r="AB1857" s="1" t="s">
        <v>46</v>
      </c>
      <c r="AC1857" s="11" t="s">
        <v>11459</v>
      </c>
      <c r="AD1857" s="1"/>
      <c r="AE1857" s="1" t="s">
        <v>641</v>
      </c>
      <c r="AF1857" s="1" t="s">
        <v>190</v>
      </c>
      <c r="AG1857" s="1">
        <v>6</v>
      </c>
      <c r="AH1857" s="1" t="s">
        <v>190</v>
      </c>
      <c r="AI1857" s="1"/>
      <c r="AJ1857" s="3">
        <v>43497.862881944442</v>
      </c>
      <c r="AK1857" s="1" t="s">
        <v>5640</v>
      </c>
    </row>
    <row r="1858" spans="1:37">
      <c r="A1858" s="1" t="str">
        <f>VLOOKUP(H1858,Languages!$A$2:$B$430,2,FALSE)</f>
        <v>Uralic</v>
      </c>
      <c r="B1858" s="1" t="s">
        <v>35</v>
      </c>
      <c r="C1858" s="1" t="s">
        <v>10200</v>
      </c>
      <c r="D1858" s="1" t="s">
        <v>10620</v>
      </c>
      <c r="E1858" s="15" t="s">
        <v>10255</v>
      </c>
      <c r="F1858" s="15" t="s">
        <v>10255</v>
      </c>
      <c r="G1858" s="1" t="s">
        <v>10255</v>
      </c>
      <c r="H1858" s="1" t="str">
        <f>VLOOKUP(G1858,'languoid 4.0'!$A$1:$I$24439,2,FALSE)</f>
        <v>ural1272</v>
      </c>
      <c r="I1858" s="1" t="str">
        <f>VLOOKUP(G1858,'languoid 4.0'!$A$1:$I$24439,6,FALSE)</f>
        <v>language</v>
      </c>
      <c r="J1858" s="15" t="s">
        <v>38</v>
      </c>
      <c r="K1858" s="15" t="s">
        <v>38</v>
      </c>
      <c r="L1858" s="15" t="s">
        <v>38</v>
      </c>
      <c r="M1858" s="1"/>
      <c r="N1858" s="1" t="s">
        <v>10262</v>
      </c>
      <c r="O1858" s="15" t="s">
        <v>40</v>
      </c>
      <c r="P1858" s="15" t="s">
        <v>41</v>
      </c>
      <c r="Q1858" s="1" t="s">
        <v>10621</v>
      </c>
      <c r="R1858" s="2" t="s">
        <v>10622</v>
      </c>
      <c r="S1858" s="1" t="s">
        <v>342</v>
      </c>
      <c r="T1858" s="1" t="s">
        <v>10617</v>
      </c>
      <c r="U1858" s="1" t="s">
        <v>636</v>
      </c>
      <c r="V1858" s="1" t="s">
        <v>45</v>
      </c>
      <c r="W1858" s="1"/>
      <c r="X1858" s="1"/>
      <c r="Y1858" s="1"/>
      <c r="Z1858" s="1" t="s">
        <v>658</v>
      </c>
      <c r="AA1858" s="1" t="s">
        <v>10623</v>
      </c>
      <c r="AB1858" s="1" t="s">
        <v>46</v>
      </c>
      <c r="AC1858" s="1" t="s">
        <v>46</v>
      </c>
      <c r="AD1858" s="1"/>
      <c r="AE1858" s="1" t="s">
        <v>641</v>
      </c>
      <c r="AF1858" s="1" t="s">
        <v>190</v>
      </c>
      <c r="AG1858" s="1">
        <v>6</v>
      </c>
      <c r="AH1858" s="1" t="s">
        <v>190</v>
      </c>
      <c r="AI1858" s="1"/>
      <c r="AJ1858" s="1" t="s">
        <v>10624</v>
      </c>
      <c r="AK1858" s="1" t="s">
        <v>4945</v>
      </c>
    </row>
    <row r="1859" spans="1:37">
      <c r="A1859" s="1" t="str">
        <f>VLOOKUP(H1859,Languages!$A$2:$B$430,2,FALSE)</f>
        <v>Uralic</v>
      </c>
      <c r="B1859" s="1" t="s">
        <v>35</v>
      </c>
      <c r="C1859" s="1" t="s">
        <v>1405</v>
      </c>
      <c r="D1859" s="1" t="s">
        <v>1460</v>
      </c>
      <c r="E1859" s="15" t="s">
        <v>1461</v>
      </c>
      <c r="F1859" s="15" t="s">
        <v>1462</v>
      </c>
      <c r="G1859" s="1" t="s">
        <v>1461</v>
      </c>
      <c r="H1859" s="1" t="str">
        <f>VLOOKUP(G1859,'languoid 4.0'!$A$1:$I$24439,2,FALSE)</f>
        <v>ural1272</v>
      </c>
      <c r="I1859" s="1" t="str">
        <f>VLOOKUP(G1859,'languoid 4.0'!$A$1:$I$24439,6,FALSE)</f>
        <v>dialect</v>
      </c>
      <c r="J1859" s="15" t="s">
        <v>52</v>
      </c>
      <c r="K1859" s="15" t="s">
        <v>38</v>
      </c>
      <c r="L1859" s="15" t="s">
        <v>38</v>
      </c>
      <c r="M1859" s="1"/>
      <c r="N1859" s="1"/>
      <c r="O1859" s="15" t="s">
        <v>40</v>
      </c>
      <c r="P1859" s="15" t="s">
        <v>41</v>
      </c>
      <c r="Q1859" s="1" t="s">
        <v>1468</v>
      </c>
      <c r="R1859" s="2" t="s">
        <v>1469</v>
      </c>
      <c r="S1859" s="1" t="s">
        <v>1021</v>
      </c>
      <c r="T1859" s="1" t="s">
        <v>822</v>
      </c>
      <c r="U1859" s="1" t="s">
        <v>636</v>
      </c>
      <c r="V1859" s="1" t="s">
        <v>45</v>
      </c>
      <c r="W1859" s="1"/>
      <c r="X1859" s="1"/>
      <c r="Y1859" s="1"/>
      <c r="Z1859" s="1" t="s">
        <v>658</v>
      </c>
      <c r="AA1859" s="1" t="s">
        <v>1470</v>
      </c>
      <c r="AB1859" s="1" t="s">
        <v>1021</v>
      </c>
      <c r="AC1859" s="1" t="s">
        <v>1021</v>
      </c>
      <c r="AD1859" s="1" t="s">
        <v>1471</v>
      </c>
      <c r="AE1859" s="1" t="s">
        <v>641</v>
      </c>
      <c r="AF1859" s="1" t="s">
        <v>190</v>
      </c>
      <c r="AG1859" s="1">
        <v>6</v>
      </c>
      <c r="AH1859" s="1" t="s">
        <v>190</v>
      </c>
      <c r="AI1859" s="1"/>
      <c r="AJ1859" s="1" t="s">
        <v>1472</v>
      </c>
      <c r="AK1859" s="1" t="s">
        <v>740</v>
      </c>
    </row>
    <row r="1860" spans="1:37">
      <c r="A1860" s="1" t="str">
        <f>VLOOKUP(H1860,Languages!$A$2:$B$430,2,FALSE)</f>
        <v>Uralic</v>
      </c>
      <c r="B1860" s="1" t="s">
        <v>35</v>
      </c>
      <c r="C1860" s="1" t="s">
        <v>1405</v>
      </c>
      <c r="D1860" s="1" t="s">
        <v>1502</v>
      </c>
      <c r="E1860" s="15" t="s">
        <v>1503</v>
      </c>
      <c r="F1860" s="15" t="s">
        <v>1503</v>
      </c>
      <c r="G1860" s="1" t="s">
        <v>1503</v>
      </c>
      <c r="H1860" s="1" t="str">
        <f>VLOOKUP(G1860,'languoid 4.0'!$A$1:$I$24439,2,FALSE)</f>
        <v>ural1272</v>
      </c>
      <c r="I1860" s="1" t="str">
        <f>VLOOKUP(G1860,'languoid 4.0'!$A$1:$I$24439,6,FALSE)</f>
        <v>language</v>
      </c>
      <c r="J1860" s="15" t="s">
        <v>38</v>
      </c>
      <c r="K1860" s="15" t="s">
        <v>38</v>
      </c>
      <c r="L1860" s="15" t="s">
        <v>38</v>
      </c>
      <c r="M1860" s="1"/>
      <c r="N1860" s="1" t="s">
        <v>1504</v>
      </c>
      <c r="O1860" s="15" t="s">
        <v>40</v>
      </c>
      <c r="P1860" s="15" t="s">
        <v>41</v>
      </c>
      <c r="Q1860" s="1" t="s">
        <v>1505</v>
      </c>
      <c r="R1860" s="2" t="s">
        <v>1506</v>
      </c>
      <c r="S1860" s="1" t="s">
        <v>1507</v>
      </c>
      <c r="T1860" s="1" t="s">
        <v>718</v>
      </c>
      <c r="U1860" s="1" t="s">
        <v>636</v>
      </c>
      <c r="V1860" s="1" t="s">
        <v>45</v>
      </c>
      <c r="W1860" s="1"/>
      <c r="X1860" s="1"/>
      <c r="Y1860" s="1"/>
      <c r="Z1860" s="1" t="s">
        <v>887</v>
      </c>
      <c r="AA1860" s="1" t="s">
        <v>1508</v>
      </c>
      <c r="AB1860" s="1" t="s">
        <v>1021</v>
      </c>
      <c r="AC1860" s="1" t="s">
        <v>1509</v>
      </c>
      <c r="AD1860" s="1" t="s">
        <v>1510</v>
      </c>
      <c r="AE1860" s="1" t="s">
        <v>641</v>
      </c>
      <c r="AF1860" s="1" t="s">
        <v>190</v>
      </c>
      <c r="AG1860" s="1">
        <v>5</v>
      </c>
      <c r="AH1860" s="1" t="s">
        <v>190</v>
      </c>
      <c r="AI1860" s="1"/>
      <c r="AJ1860" s="1" t="s">
        <v>1511</v>
      </c>
      <c r="AK1860" s="1" t="s">
        <v>740</v>
      </c>
    </row>
    <row r="1861" spans="1:37">
      <c r="A1861" s="1" t="str">
        <f>VLOOKUP(H1861,Languages!$A$2:$B$430,2,FALSE)</f>
        <v>Uralic</v>
      </c>
      <c r="B1861" s="1" t="s">
        <v>35</v>
      </c>
      <c r="C1861" s="1" t="s">
        <v>249</v>
      </c>
      <c r="D1861" s="1" t="s">
        <v>250</v>
      </c>
      <c r="E1861" s="15" t="s">
        <v>251</v>
      </c>
      <c r="F1861" s="15" t="s">
        <v>180</v>
      </c>
      <c r="G1861" s="1" t="s">
        <v>251</v>
      </c>
      <c r="H1861" s="1" t="str">
        <f>VLOOKUP(G1861,'languoid 4.0'!$A$1:$I$24439,2,FALSE)</f>
        <v>ural1272</v>
      </c>
      <c r="I1861" s="1" t="str">
        <f>VLOOKUP(G1861,'languoid 4.0'!$A$1:$I$24439,6,FALSE)</f>
        <v>family</v>
      </c>
      <c r="J1861" s="15" t="s">
        <v>52</v>
      </c>
      <c r="K1861" s="15" t="s">
        <v>52</v>
      </c>
      <c r="L1861" s="15" t="s">
        <v>52</v>
      </c>
      <c r="M1861" s="1"/>
      <c r="N1861" s="1"/>
      <c r="O1861" s="15" t="s">
        <v>113</v>
      </c>
      <c r="P1861" s="15" t="s">
        <v>41</v>
      </c>
      <c r="Q1861" s="1" t="s">
        <v>518</v>
      </c>
      <c r="R1861" s="2" t="s">
        <v>519</v>
      </c>
      <c r="S1861" s="1" t="s">
        <v>442</v>
      </c>
      <c r="T1861" s="1" t="s">
        <v>44</v>
      </c>
      <c r="U1861" s="1"/>
      <c r="V1861" s="1" t="s">
        <v>45</v>
      </c>
      <c r="W1861" s="1"/>
      <c r="X1861" s="1"/>
      <c r="Y1861" s="1"/>
      <c r="Z1861" s="1"/>
      <c r="AA1861" s="1">
        <v>7</v>
      </c>
      <c r="AB1861" s="1">
        <v>7</v>
      </c>
      <c r="AC1861" s="1" t="s">
        <v>46</v>
      </c>
      <c r="AD1861" s="1"/>
      <c r="AE1861" s="1"/>
      <c r="AF1861" s="1"/>
      <c r="AG1861" s="1"/>
      <c r="AH1861" s="1"/>
      <c r="AI1861" s="1"/>
      <c r="AJ1861" s="3">
        <v>43102.753506944442</v>
      </c>
      <c r="AK1861" s="1" t="s">
        <v>47</v>
      </c>
    </row>
    <row r="1862" spans="1:37">
      <c r="A1862" s="1" t="str">
        <f>VLOOKUP(H1862,Languages!$A$2:$B$430,2,FALSE)</f>
        <v>Uralic</v>
      </c>
      <c r="B1862" s="1" t="s">
        <v>35</v>
      </c>
      <c r="C1862" s="1" t="s">
        <v>249</v>
      </c>
      <c r="D1862" s="1" t="s">
        <v>10098</v>
      </c>
      <c r="E1862" s="15" t="s">
        <v>10099</v>
      </c>
      <c r="F1862" s="15" t="s">
        <v>10100</v>
      </c>
      <c r="G1862" s="1" t="s">
        <v>10100</v>
      </c>
      <c r="H1862" s="1" t="str">
        <f>VLOOKUP(G1862,'languoid 4.0'!$A$1:$I$24439,2,FALSE)</f>
        <v>ural1272</v>
      </c>
      <c r="I1862" s="1" t="str">
        <f>VLOOKUP(G1862,'languoid 4.0'!$A$1:$I$24439,6,FALSE)</f>
        <v>language</v>
      </c>
      <c r="J1862" s="15" t="s">
        <v>52</v>
      </c>
      <c r="K1862" s="15" t="s">
        <v>38</v>
      </c>
      <c r="L1862" s="15" t="s">
        <v>38</v>
      </c>
      <c r="M1862" s="1"/>
      <c r="N1862" s="1" t="s">
        <v>10101</v>
      </c>
      <c r="O1862" s="15" t="s">
        <v>40</v>
      </c>
      <c r="P1862" s="15" t="s">
        <v>41</v>
      </c>
      <c r="Q1862" s="1" t="s">
        <v>35</v>
      </c>
      <c r="R1862" s="2" t="s">
        <v>10102</v>
      </c>
      <c r="S1862" s="1" t="s">
        <v>46</v>
      </c>
      <c r="T1862" s="1" t="s">
        <v>10103</v>
      </c>
      <c r="U1862" s="1" t="s">
        <v>636</v>
      </c>
      <c r="V1862" s="1" t="s">
        <v>45</v>
      </c>
      <c r="W1862" s="1"/>
      <c r="X1862" s="1"/>
      <c r="Y1862" s="1"/>
      <c r="Z1862" s="1" t="s">
        <v>658</v>
      </c>
      <c r="AA1862" s="1" t="s">
        <v>10104</v>
      </c>
      <c r="AB1862" s="1" t="s">
        <v>46</v>
      </c>
      <c r="AC1862" s="1" t="s">
        <v>46</v>
      </c>
      <c r="AD1862" s="1" t="s">
        <v>10105</v>
      </c>
      <c r="AE1862" s="1" t="s">
        <v>641</v>
      </c>
      <c r="AF1862" s="1" t="s">
        <v>190</v>
      </c>
      <c r="AG1862" s="1">
        <v>6</v>
      </c>
      <c r="AH1862" s="1" t="s">
        <v>190</v>
      </c>
      <c r="AI1862" s="1"/>
      <c r="AJ1862" s="3">
        <v>43262.709027777775</v>
      </c>
      <c r="AK1862" s="1" t="s">
        <v>5640</v>
      </c>
    </row>
    <row r="1863" spans="1:37">
      <c r="A1863" s="1" t="str">
        <f>VLOOKUP(H1863,Languages!$A$2:$B$430,2,FALSE)</f>
        <v>Uralic</v>
      </c>
      <c r="B1863" s="1" t="s">
        <v>1726</v>
      </c>
      <c r="C1863" s="1" t="s">
        <v>10200</v>
      </c>
      <c r="D1863" s="1" t="s">
        <v>10267</v>
      </c>
      <c r="E1863" s="15" t="s">
        <v>10255</v>
      </c>
      <c r="F1863" s="15" t="s">
        <v>10255</v>
      </c>
      <c r="G1863" s="1" t="s">
        <v>10255</v>
      </c>
      <c r="H1863" s="1" t="str">
        <f>VLOOKUP(G1863,'languoid 4.0'!$A$1:$I$24439,2,FALSE)</f>
        <v>ural1272</v>
      </c>
      <c r="I1863" s="1" t="str">
        <f>VLOOKUP(G1863,'languoid 4.0'!$A$1:$I$24439,6,FALSE)</f>
        <v>language</v>
      </c>
      <c r="J1863" s="15" t="s">
        <v>38</v>
      </c>
      <c r="K1863" s="15" t="s">
        <v>38</v>
      </c>
      <c r="L1863" s="15" t="s">
        <v>38</v>
      </c>
      <c r="M1863" s="1"/>
      <c r="N1863" s="1" t="s">
        <v>10262</v>
      </c>
      <c r="O1863" s="15" t="s">
        <v>40</v>
      </c>
      <c r="P1863" s="15" t="s">
        <v>41</v>
      </c>
      <c r="Q1863" s="1" t="s">
        <v>10280</v>
      </c>
      <c r="R1863" s="2" t="s">
        <v>10281</v>
      </c>
      <c r="S1863" s="1" t="s">
        <v>46</v>
      </c>
      <c r="T1863" s="1" t="s">
        <v>635</v>
      </c>
      <c r="U1863" s="1" t="s">
        <v>636</v>
      </c>
      <c r="V1863" s="1" t="s">
        <v>45</v>
      </c>
      <c r="W1863" s="1"/>
      <c r="X1863" s="1"/>
      <c r="Y1863" s="1"/>
      <c r="Z1863" s="1" t="s">
        <v>673</v>
      </c>
      <c r="AA1863" s="1" t="s">
        <v>46</v>
      </c>
      <c r="AB1863" s="1" t="s">
        <v>10282</v>
      </c>
      <c r="AC1863" s="1" t="s">
        <v>46</v>
      </c>
      <c r="AD1863" s="1"/>
      <c r="AE1863" s="1" t="s">
        <v>641</v>
      </c>
      <c r="AF1863" s="1" t="s">
        <v>190</v>
      </c>
      <c r="AG1863" s="1">
        <v>6</v>
      </c>
      <c r="AH1863" s="1" t="s">
        <v>190</v>
      </c>
      <c r="AI1863" s="1"/>
      <c r="AJ1863" s="1" t="s">
        <v>10283</v>
      </c>
      <c r="AK1863" s="1" t="s">
        <v>4945</v>
      </c>
    </row>
    <row r="1864" spans="1:37">
      <c r="A1864" s="1" t="str">
        <f>VLOOKUP(H1864,Languages!$A$2:$B$430,2,FALSE)</f>
        <v>Uralic</v>
      </c>
      <c r="B1864" s="1" t="s">
        <v>1726</v>
      </c>
      <c r="C1864" s="1" t="s">
        <v>10200</v>
      </c>
      <c r="D1864" s="1" t="s">
        <v>10267</v>
      </c>
      <c r="E1864" s="15" t="s">
        <v>10255</v>
      </c>
      <c r="F1864" s="15" t="s">
        <v>10255</v>
      </c>
      <c r="G1864" s="1" t="s">
        <v>10255</v>
      </c>
      <c r="H1864" s="1" t="str">
        <f>VLOOKUP(G1864,'languoid 4.0'!$A$1:$I$24439,2,FALSE)</f>
        <v>ural1272</v>
      </c>
      <c r="I1864" s="1" t="str">
        <f>VLOOKUP(G1864,'languoid 4.0'!$A$1:$I$24439,6,FALSE)</f>
        <v>language</v>
      </c>
      <c r="J1864" s="15" t="s">
        <v>38</v>
      </c>
      <c r="K1864" s="15" t="s">
        <v>38</v>
      </c>
      <c r="L1864" s="15" t="s">
        <v>38</v>
      </c>
      <c r="M1864" s="1"/>
      <c r="N1864" s="1" t="s">
        <v>10262</v>
      </c>
      <c r="O1864" s="15" t="s">
        <v>40</v>
      </c>
      <c r="P1864" s="15" t="s">
        <v>41</v>
      </c>
      <c r="Q1864" s="1" t="s">
        <v>10292</v>
      </c>
      <c r="R1864" s="2" t="s">
        <v>10293</v>
      </c>
      <c r="S1864" s="1" t="s">
        <v>46</v>
      </c>
      <c r="T1864" s="1" t="s">
        <v>635</v>
      </c>
      <c r="U1864" s="1" t="s">
        <v>5142</v>
      </c>
      <c r="V1864" s="1" t="s">
        <v>45</v>
      </c>
      <c r="W1864" s="1"/>
      <c r="X1864" s="1"/>
      <c r="Y1864" s="1"/>
      <c r="Z1864" s="1" t="s">
        <v>673</v>
      </c>
      <c r="AA1864" s="1" t="s">
        <v>46</v>
      </c>
      <c r="AB1864" s="1" t="s">
        <v>10294</v>
      </c>
      <c r="AC1864" s="1" t="s">
        <v>46</v>
      </c>
      <c r="AD1864" s="1"/>
      <c r="AE1864" s="1" t="s">
        <v>641</v>
      </c>
      <c r="AF1864" s="1" t="s">
        <v>190</v>
      </c>
      <c r="AG1864" s="1">
        <v>6</v>
      </c>
      <c r="AH1864" s="1" t="s">
        <v>190</v>
      </c>
      <c r="AI1864" s="1"/>
      <c r="AJ1864" s="1" t="s">
        <v>10295</v>
      </c>
      <c r="AK1864" s="1" t="s">
        <v>4945</v>
      </c>
    </row>
    <row r="1865" spans="1:37">
      <c r="A1865" s="1" t="str">
        <f>VLOOKUP(H1865,Languages!$A$2:$B$430,2,FALSE)</f>
        <v>Uralic</v>
      </c>
      <c r="B1865" s="1" t="s">
        <v>1726</v>
      </c>
      <c r="C1865" s="1" t="s">
        <v>10200</v>
      </c>
      <c r="D1865" s="1" t="s">
        <v>10525</v>
      </c>
      <c r="E1865" s="15" t="s">
        <v>10255</v>
      </c>
      <c r="F1865" s="15" t="s">
        <v>10255</v>
      </c>
      <c r="G1865" s="1" t="s">
        <v>10255</v>
      </c>
      <c r="H1865" s="1" t="str">
        <f>VLOOKUP(G1865,'languoid 4.0'!$A$1:$I$24439,2,FALSE)</f>
        <v>ural1272</v>
      </c>
      <c r="I1865" s="1" t="str">
        <f>VLOOKUP(G1865,'languoid 4.0'!$A$1:$I$24439,6,FALSE)</f>
        <v>language</v>
      </c>
      <c r="J1865" s="15" t="s">
        <v>38</v>
      </c>
      <c r="K1865" s="15" t="s">
        <v>38</v>
      </c>
      <c r="L1865" s="15" t="s">
        <v>38</v>
      </c>
      <c r="M1865" s="1"/>
      <c r="N1865" s="1" t="s">
        <v>10262</v>
      </c>
      <c r="O1865" s="15" t="s">
        <v>40</v>
      </c>
      <c r="P1865" s="15" t="s">
        <v>41</v>
      </c>
      <c r="Q1865" s="1" t="s">
        <v>10526</v>
      </c>
      <c r="R1865" s="2" t="s">
        <v>10527</v>
      </c>
      <c r="S1865" s="1" t="s">
        <v>272</v>
      </c>
      <c r="T1865" s="1" t="s">
        <v>10528</v>
      </c>
      <c r="U1865" s="1" t="s">
        <v>636</v>
      </c>
      <c r="V1865" s="1" t="s">
        <v>45</v>
      </c>
      <c r="W1865" s="1"/>
      <c r="X1865" s="1"/>
      <c r="Y1865" s="1"/>
      <c r="Z1865" s="1" t="s">
        <v>658</v>
      </c>
      <c r="AA1865" s="1" t="s">
        <v>10529</v>
      </c>
      <c r="AB1865" s="1" t="s">
        <v>46</v>
      </c>
      <c r="AC1865" s="1" t="s">
        <v>46</v>
      </c>
      <c r="AD1865" s="1"/>
      <c r="AE1865" s="1" t="s">
        <v>641</v>
      </c>
      <c r="AF1865" s="1" t="s">
        <v>190</v>
      </c>
      <c r="AG1865" s="1">
        <v>6</v>
      </c>
      <c r="AH1865" s="1" t="s">
        <v>190</v>
      </c>
      <c r="AI1865" s="1"/>
      <c r="AJ1865" s="1" t="s">
        <v>10530</v>
      </c>
      <c r="AK1865" s="1" t="s">
        <v>4945</v>
      </c>
    </row>
    <row r="1866" spans="1:37">
      <c r="A1866" s="1" t="str">
        <f>VLOOKUP(H1866,Languages!$A$2:$B$430,2,FALSE)</f>
        <v>Uralic</v>
      </c>
      <c r="B1866" s="1" t="s">
        <v>1726</v>
      </c>
      <c r="C1866" s="1" t="s">
        <v>1405</v>
      </c>
      <c r="D1866" s="1" t="s">
        <v>1460</v>
      </c>
      <c r="E1866" s="15" t="s">
        <v>1461</v>
      </c>
      <c r="F1866" s="15" t="s">
        <v>1462</v>
      </c>
      <c r="G1866" s="1" t="s">
        <v>1461</v>
      </c>
      <c r="H1866" s="1" t="str">
        <f>VLOOKUP(G1866,'languoid 4.0'!$A$1:$I$24439,2,FALSE)</f>
        <v>ural1272</v>
      </c>
      <c r="I1866" s="1" t="str">
        <f>VLOOKUP(G1866,'languoid 4.0'!$A$1:$I$24439,6,FALSE)</f>
        <v>dialect</v>
      </c>
      <c r="J1866" s="15" t="s">
        <v>52</v>
      </c>
      <c r="K1866" s="15" t="s">
        <v>38</v>
      </c>
      <c r="L1866" s="15" t="s">
        <v>38</v>
      </c>
      <c r="M1866" s="1"/>
      <c r="N1866" s="1"/>
      <c r="O1866" s="15" t="s">
        <v>40</v>
      </c>
      <c r="P1866" s="15" t="s">
        <v>41</v>
      </c>
      <c r="Q1866" s="1" t="s">
        <v>3802</v>
      </c>
      <c r="R1866" s="2" t="s">
        <v>3803</v>
      </c>
      <c r="S1866" s="1" t="s">
        <v>46</v>
      </c>
      <c r="T1866" s="1" t="s">
        <v>822</v>
      </c>
      <c r="U1866" s="1" t="s">
        <v>636</v>
      </c>
      <c r="V1866" s="1" t="s">
        <v>45</v>
      </c>
      <c r="W1866" s="1"/>
      <c r="X1866" s="1"/>
      <c r="Y1866" s="1"/>
      <c r="Z1866" s="1" t="s">
        <v>658</v>
      </c>
      <c r="AA1866" s="1" t="s">
        <v>3804</v>
      </c>
      <c r="AB1866" s="1" t="s">
        <v>46</v>
      </c>
      <c r="AC1866" s="1" t="s">
        <v>46</v>
      </c>
      <c r="AD1866" s="1"/>
      <c r="AE1866" s="1" t="s">
        <v>641</v>
      </c>
      <c r="AF1866" s="1" t="s">
        <v>190</v>
      </c>
      <c r="AG1866" s="1">
        <v>6</v>
      </c>
      <c r="AH1866" s="1" t="s">
        <v>190</v>
      </c>
      <c r="AI1866" s="1"/>
      <c r="AJ1866" s="1" t="s">
        <v>3805</v>
      </c>
      <c r="AK1866" s="1" t="s">
        <v>1598</v>
      </c>
    </row>
    <row r="1867" spans="1:37">
      <c r="A1867" s="1" t="str">
        <f>VLOOKUP(H1867,Languages!$A$2:$B$430,2,FALSE)</f>
        <v>Uralic</v>
      </c>
      <c r="B1867" s="1" t="s">
        <v>1726</v>
      </c>
      <c r="C1867" s="1" t="s">
        <v>1405</v>
      </c>
      <c r="D1867" s="1" t="s">
        <v>1460</v>
      </c>
      <c r="E1867" s="15" t="s">
        <v>1461</v>
      </c>
      <c r="F1867" s="15" t="s">
        <v>1462</v>
      </c>
      <c r="G1867" s="1" t="s">
        <v>1461</v>
      </c>
      <c r="H1867" s="1" t="str">
        <f>VLOOKUP(G1867,'languoid 4.0'!$A$1:$I$24439,2,FALSE)</f>
        <v>ural1272</v>
      </c>
      <c r="I1867" s="1" t="str">
        <f>VLOOKUP(G1867,'languoid 4.0'!$A$1:$I$24439,6,FALSE)</f>
        <v>dialect</v>
      </c>
      <c r="J1867" s="15" t="s">
        <v>52</v>
      </c>
      <c r="K1867" s="15" t="s">
        <v>38</v>
      </c>
      <c r="L1867" s="15" t="s">
        <v>38</v>
      </c>
      <c r="M1867" s="1"/>
      <c r="N1867" s="1"/>
      <c r="O1867" s="15" t="s">
        <v>40</v>
      </c>
      <c r="P1867" s="15" t="s">
        <v>41</v>
      </c>
      <c r="Q1867" s="1" t="s">
        <v>3806</v>
      </c>
      <c r="R1867" s="2" t="s">
        <v>3807</v>
      </c>
      <c r="S1867" s="1" t="s">
        <v>46</v>
      </c>
      <c r="T1867" s="1" t="s">
        <v>822</v>
      </c>
      <c r="U1867" s="1" t="s">
        <v>636</v>
      </c>
      <c r="V1867" s="1" t="s">
        <v>45</v>
      </c>
      <c r="W1867" s="1"/>
      <c r="X1867" s="1"/>
      <c r="Y1867" s="1"/>
      <c r="Z1867" s="1" t="s">
        <v>658</v>
      </c>
      <c r="AA1867" s="1" t="s">
        <v>3808</v>
      </c>
      <c r="AB1867" s="1" t="s">
        <v>46</v>
      </c>
      <c r="AC1867" s="1" t="s">
        <v>46</v>
      </c>
      <c r="AD1867" s="1"/>
      <c r="AE1867" s="1" t="s">
        <v>641</v>
      </c>
      <c r="AF1867" s="1" t="s">
        <v>190</v>
      </c>
      <c r="AG1867" s="1">
        <v>6</v>
      </c>
      <c r="AH1867" s="1" t="s">
        <v>190</v>
      </c>
      <c r="AI1867" s="1"/>
      <c r="AJ1867" s="1" t="s">
        <v>3809</v>
      </c>
      <c r="AK1867" s="1" t="s">
        <v>1598</v>
      </c>
    </row>
    <row r="1868" spans="1:37">
      <c r="A1868" s="1" t="str">
        <f>VLOOKUP(H1868,Languages!$A$2:$B$430,2,FALSE)</f>
        <v>Uralic</v>
      </c>
      <c r="B1868" s="1" t="s">
        <v>1726</v>
      </c>
      <c r="C1868" s="1" t="s">
        <v>1405</v>
      </c>
      <c r="D1868" s="1" t="s">
        <v>3810</v>
      </c>
      <c r="E1868" s="15" t="s">
        <v>1461</v>
      </c>
      <c r="F1868" s="15" t="s">
        <v>1462</v>
      </c>
      <c r="G1868" s="1" t="s">
        <v>1461</v>
      </c>
      <c r="H1868" s="1" t="str">
        <f>VLOOKUP(G1868,'languoid 4.0'!$A$1:$I$24439,2,FALSE)</f>
        <v>ural1272</v>
      </c>
      <c r="I1868" s="1" t="str">
        <f>VLOOKUP(G1868,'languoid 4.0'!$A$1:$I$24439,6,FALSE)</f>
        <v>dialect</v>
      </c>
      <c r="J1868" s="15" t="s">
        <v>52</v>
      </c>
      <c r="K1868" s="15" t="s">
        <v>38</v>
      </c>
      <c r="L1868" s="15" t="s">
        <v>38</v>
      </c>
      <c r="M1868" s="1"/>
      <c r="N1868" s="1"/>
      <c r="O1868" s="15" t="s">
        <v>40</v>
      </c>
      <c r="P1868" s="15" t="s">
        <v>41</v>
      </c>
      <c r="Q1868" s="1" t="s">
        <v>3811</v>
      </c>
      <c r="R1868" s="2" t="s">
        <v>3812</v>
      </c>
      <c r="S1868" s="1" t="s">
        <v>46</v>
      </c>
      <c r="T1868" s="1" t="s">
        <v>822</v>
      </c>
      <c r="U1868" s="1" t="s">
        <v>636</v>
      </c>
      <c r="V1868" s="1" t="s">
        <v>45</v>
      </c>
      <c r="W1868" s="1"/>
      <c r="X1868" s="1"/>
      <c r="Y1868" s="1"/>
      <c r="Z1868" s="1" t="s">
        <v>658</v>
      </c>
      <c r="AA1868" s="1" t="s">
        <v>3813</v>
      </c>
      <c r="AB1868" s="1" t="s">
        <v>46</v>
      </c>
      <c r="AC1868" s="1" t="s">
        <v>46</v>
      </c>
      <c r="AD1868" s="1"/>
      <c r="AE1868" s="1" t="s">
        <v>641</v>
      </c>
      <c r="AF1868" s="1" t="s">
        <v>190</v>
      </c>
      <c r="AG1868" s="1">
        <v>6</v>
      </c>
      <c r="AH1868" s="1" t="s">
        <v>190</v>
      </c>
      <c r="AI1868" s="1"/>
      <c r="AJ1868" s="1" t="s">
        <v>3814</v>
      </c>
      <c r="AK1868" s="1" t="s">
        <v>1598</v>
      </c>
    </row>
    <row r="1869" spans="1:37">
      <c r="A1869" s="1" t="str">
        <f>VLOOKUP(H1869,Languages!$A$2:$B$430,2,FALSE)</f>
        <v>Uralic</v>
      </c>
      <c r="B1869" s="1" t="s">
        <v>1726</v>
      </c>
      <c r="C1869" s="1" t="s">
        <v>1405</v>
      </c>
      <c r="D1869" s="1" t="s">
        <v>1460</v>
      </c>
      <c r="E1869" s="15" t="s">
        <v>1461</v>
      </c>
      <c r="F1869" s="15" t="s">
        <v>1462</v>
      </c>
      <c r="G1869" s="1" t="s">
        <v>1461</v>
      </c>
      <c r="H1869" s="1" t="str">
        <f>VLOOKUP(G1869,'languoid 4.0'!$A$1:$I$24439,2,FALSE)</f>
        <v>ural1272</v>
      </c>
      <c r="I1869" s="1" t="str">
        <f>VLOOKUP(G1869,'languoid 4.0'!$A$1:$I$24439,6,FALSE)</f>
        <v>dialect</v>
      </c>
      <c r="J1869" s="15" t="s">
        <v>52</v>
      </c>
      <c r="K1869" s="15" t="s">
        <v>38</v>
      </c>
      <c r="L1869" s="15" t="s">
        <v>38</v>
      </c>
      <c r="M1869" s="1"/>
      <c r="N1869" s="1"/>
      <c r="O1869" s="15" t="s">
        <v>40</v>
      </c>
      <c r="P1869" s="15" t="s">
        <v>41</v>
      </c>
      <c r="Q1869" s="1" t="s">
        <v>3815</v>
      </c>
      <c r="R1869" s="2" t="s">
        <v>3816</v>
      </c>
      <c r="S1869" s="1" t="s">
        <v>46</v>
      </c>
      <c r="T1869" s="1" t="s">
        <v>822</v>
      </c>
      <c r="U1869" s="1" t="s">
        <v>636</v>
      </c>
      <c r="V1869" s="1" t="s">
        <v>45</v>
      </c>
      <c r="W1869" s="1"/>
      <c r="X1869" s="1"/>
      <c r="Y1869" s="1"/>
      <c r="Z1869" s="1" t="s">
        <v>658</v>
      </c>
      <c r="AA1869" s="1" t="s">
        <v>3817</v>
      </c>
      <c r="AB1869" s="1" t="s">
        <v>46</v>
      </c>
      <c r="AC1869" s="1" t="s">
        <v>46</v>
      </c>
      <c r="AD1869" s="1"/>
      <c r="AE1869" s="1" t="s">
        <v>641</v>
      </c>
      <c r="AF1869" s="1" t="s">
        <v>190</v>
      </c>
      <c r="AG1869" s="1">
        <v>6</v>
      </c>
      <c r="AH1869" s="1" t="s">
        <v>190</v>
      </c>
      <c r="AI1869" s="1"/>
      <c r="AJ1869" s="1" t="s">
        <v>3818</v>
      </c>
      <c r="AK1869" s="1" t="s">
        <v>1598</v>
      </c>
    </row>
    <row r="1870" spans="1:37">
      <c r="A1870" s="1" t="str">
        <f>VLOOKUP(H1870,Languages!$A$2:$B$430,2,FALSE)</f>
        <v>Uralic</v>
      </c>
      <c r="B1870" s="1" t="s">
        <v>1726</v>
      </c>
      <c r="C1870" s="1" t="s">
        <v>249</v>
      </c>
      <c r="D1870" s="1" t="s">
        <v>10560</v>
      </c>
      <c r="E1870" s="15" t="s">
        <v>10561</v>
      </c>
      <c r="F1870" s="15" t="s">
        <v>10561</v>
      </c>
      <c r="G1870" s="1" t="s">
        <v>10115</v>
      </c>
      <c r="H1870" s="1" t="str">
        <f>VLOOKUP(G1870,'languoid 4.0'!$A$1:$I$24439,2,FALSE)</f>
        <v>ural1272</v>
      </c>
      <c r="I1870" s="1" t="str">
        <f>VLOOKUP(G1870,'languoid 4.0'!$A$1:$I$24439,6,FALSE)</f>
        <v>language</v>
      </c>
      <c r="J1870" s="15" t="s">
        <v>38</v>
      </c>
      <c r="K1870" s="15" t="s">
        <v>38</v>
      </c>
      <c r="L1870" s="15" t="s">
        <v>38</v>
      </c>
      <c r="M1870" s="1"/>
      <c r="N1870" s="1" t="s">
        <v>10562</v>
      </c>
      <c r="O1870" s="15" t="s">
        <v>40</v>
      </c>
      <c r="P1870" s="15" t="s">
        <v>41</v>
      </c>
      <c r="Q1870" s="1" t="s">
        <v>11460</v>
      </c>
      <c r="R1870" s="2" t="s">
        <v>11461</v>
      </c>
      <c r="S1870" s="1" t="s">
        <v>11462</v>
      </c>
      <c r="T1870" s="1" t="s">
        <v>657</v>
      </c>
      <c r="U1870" s="1" t="s">
        <v>636</v>
      </c>
      <c r="V1870" s="1" t="s">
        <v>45</v>
      </c>
      <c r="W1870" s="1"/>
      <c r="X1870" s="1"/>
      <c r="Y1870" s="1"/>
      <c r="Z1870" s="1" t="s">
        <v>1151</v>
      </c>
      <c r="AA1870" s="1" t="s">
        <v>11463</v>
      </c>
      <c r="AB1870" s="1" t="s">
        <v>46</v>
      </c>
      <c r="AC1870" s="1" t="s">
        <v>11464</v>
      </c>
      <c r="AD1870" s="1"/>
      <c r="AE1870" s="1" t="s">
        <v>641</v>
      </c>
      <c r="AF1870" s="1" t="s">
        <v>190</v>
      </c>
      <c r="AG1870" s="1">
        <v>6</v>
      </c>
      <c r="AH1870" s="1" t="s">
        <v>190</v>
      </c>
      <c r="AI1870" s="1"/>
      <c r="AJ1870" s="3">
        <v>43497.871967592589</v>
      </c>
      <c r="AK1870" s="1" t="s">
        <v>5640</v>
      </c>
    </row>
    <row r="1871" spans="1:37" ht="409.6">
      <c r="A1871" s="1" t="str">
        <f>VLOOKUP(H1871,Languages!$A$2:$B$430,2,FALSE)</f>
        <v>Uralic</v>
      </c>
      <c r="B1871" s="1" t="s">
        <v>1726</v>
      </c>
      <c r="C1871" s="1" t="s">
        <v>249</v>
      </c>
      <c r="D1871" s="1" t="s">
        <v>10114</v>
      </c>
      <c r="E1871" s="15" t="s">
        <v>10115</v>
      </c>
      <c r="F1871" s="15" t="s">
        <v>10115</v>
      </c>
      <c r="G1871" s="1" t="s">
        <v>10115</v>
      </c>
      <c r="H1871" s="1" t="str">
        <f>VLOOKUP(G1871,'languoid 4.0'!$A$1:$I$24439,2,FALSE)</f>
        <v>ural1272</v>
      </c>
      <c r="I1871" s="1" t="str">
        <f>VLOOKUP(G1871,'languoid 4.0'!$A$1:$I$24439,6,FALSE)</f>
        <v>language</v>
      </c>
      <c r="J1871" s="15" t="s">
        <v>38</v>
      </c>
      <c r="K1871" s="15" t="s">
        <v>38</v>
      </c>
      <c r="L1871" s="15" t="s">
        <v>38</v>
      </c>
      <c r="M1871" s="1"/>
      <c r="N1871" s="1" t="s">
        <v>10116</v>
      </c>
      <c r="O1871" s="15" t="s">
        <v>40</v>
      </c>
      <c r="P1871" s="15" t="s">
        <v>41</v>
      </c>
      <c r="Q1871" s="1" t="s">
        <v>11465</v>
      </c>
      <c r="R1871" s="2" t="s">
        <v>11466</v>
      </c>
      <c r="S1871" s="1" t="s">
        <v>672</v>
      </c>
      <c r="T1871" s="1" t="s">
        <v>657</v>
      </c>
      <c r="U1871" s="1" t="s">
        <v>636</v>
      </c>
      <c r="V1871" s="1" t="s">
        <v>45</v>
      </c>
      <c r="W1871" s="1"/>
      <c r="X1871" s="1"/>
      <c r="Y1871" s="1"/>
      <c r="Z1871" s="1" t="s">
        <v>1151</v>
      </c>
      <c r="AA1871" s="1" t="s">
        <v>11467</v>
      </c>
      <c r="AB1871" s="1" t="s">
        <v>46</v>
      </c>
      <c r="AC1871" s="11" t="s">
        <v>11468</v>
      </c>
      <c r="AD1871" s="1"/>
      <c r="AE1871" s="1" t="s">
        <v>641</v>
      </c>
      <c r="AF1871" s="1" t="s">
        <v>190</v>
      </c>
      <c r="AG1871" s="1">
        <v>6</v>
      </c>
      <c r="AH1871" s="1" t="s">
        <v>190</v>
      </c>
      <c r="AI1871" s="1"/>
      <c r="AJ1871" s="3">
        <v>43497.961261574077</v>
      </c>
      <c r="AK1871" s="1" t="s">
        <v>5640</v>
      </c>
    </row>
    <row r="1872" spans="1:37">
      <c r="A1872" s="1" t="str">
        <f>VLOOKUP(H1872,Languages!$A$2:$B$430,2,FALSE)</f>
        <v>Uralic</v>
      </c>
      <c r="B1872" s="1" t="s">
        <v>652</v>
      </c>
      <c r="C1872" s="1" t="s">
        <v>1405</v>
      </c>
      <c r="D1872" s="1" t="s">
        <v>1460</v>
      </c>
      <c r="E1872" s="15" t="s">
        <v>1461</v>
      </c>
      <c r="F1872" s="15" t="s">
        <v>1462</v>
      </c>
      <c r="G1872" s="1" t="s">
        <v>1461</v>
      </c>
      <c r="H1872" s="1" t="str">
        <f>VLOOKUP(G1872,'languoid 4.0'!$A$1:$I$24439,2,FALSE)</f>
        <v>ural1272</v>
      </c>
      <c r="I1872" s="1" t="str">
        <f>VLOOKUP(G1872,'languoid 4.0'!$A$1:$I$24439,6,FALSE)</f>
        <v>dialect</v>
      </c>
      <c r="J1872" s="15" t="s">
        <v>52</v>
      </c>
      <c r="K1872" s="15" t="s">
        <v>38</v>
      </c>
      <c r="L1872" s="15" t="s">
        <v>38</v>
      </c>
      <c r="M1872" s="1"/>
      <c r="N1872" s="1"/>
      <c r="O1872" s="15" t="s">
        <v>40</v>
      </c>
      <c r="P1872" s="15" t="s">
        <v>41</v>
      </c>
      <c r="Q1872" s="1" t="s">
        <v>1473</v>
      </c>
      <c r="R1872" s="2" t="s">
        <v>1474</v>
      </c>
      <c r="S1872" s="1" t="s">
        <v>1021</v>
      </c>
      <c r="T1872" s="1" t="s">
        <v>822</v>
      </c>
      <c r="U1872" s="1" t="s">
        <v>636</v>
      </c>
      <c r="V1872" s="1" t="s">
        <v>45</v>
      </c>
      <c r="W1872" s="1"/>
      <c r="X1872" s="1"/>
      <c r="Y1872" s="1"/>
      <c r="Z1872" s="1" t="s">
        <v>658</v>
      </c>
      <c r="AA1872" s="1" t="s">
        <v>1475</v>
      </c>
      <c r="AB1872" s="1" t="s">
        <v>1021</v>
      </c>
      <c r="AC1872" s="1" t="s">
        <v>1021</v>
      </c>
      <c r="AD1872" s="1"/>
      <c r="AE1872" s="1" t="s">
        <v>641</v>
      </c>
      <c r="AF1872" s="1" t="s">
        <v>190</v>
      </c>
      <c r="AG1872" s="1">
        <v>6</v>
      </c>
      <c r="AH1872" s="1" t="s">
        <v>190</v>
      </c>
      <c r="AI1872" s="1"/>
      <c r="AJ1872" s="1" t="s">
        <v>1476</v>
      </c>
      <c r="AK1872" s="1" t="s">
        <v>740</v>
      </c>
    </row>
    <row r="1873" spans="1:37">
      <c r="A1873" s="1" t="str">
        <f>VLOOKUP(H1873,Languages!$A$2:$B$430,2,FALSE)</f>
        <v>Uralic</v>
      </c>
      <c r="B1873" s="1" t="s">
        <v>652</v>
      </c>
      <c r="C1873" s="1" t="s">
        <v>1405</v>
      </c>
      <c r="D1873" s="1" t="s">
        <v>1460</v>
      </c>
      <c r="E1873" s="15" t="s">
        <v>1461</v>
      </c>
      <c r="F1873" s="15" t="s">
        <v>1462</v>
      </c>
      <c r="G1873" s="1" t="s">
        <v>1461</v>
      </c>
      <c r="H1873" s="1" t="str">
        <f>VLOOKUP(G1873,'languoid 4.0'!$A$1:$I$24439,2,FALSE)</f>
        <v>ural1272</v>
      </c>
      <c r="I1873" s="1" t="str">
        <f>VLOOKUP(G1873,'languoid 4.0'!$A$1:$I$24439,6,FALSE)</f>
        <v>dialect</v>
      </c>
      <c r="J1873" s="15" t="s">
        <v>52</v>
      </c>
      <c r="K1873" s="15" t="s">
        <v>38</v>
      </c>
      <c r="L1873" s="15" t="s">
        <v>38</v>
      </c>
      <c r="M1873" s="1"/>
      <c r="N1873" s="1"/>
      <c r="O1873" s="15" t="s">
        <v>40</v>
      </c>
      <c r="P1873" s="15" t="s">
        <v>41</v>
      </c>
      <c r="Q1873" s="1" t="s">
        <v>1477</v>
      </c>
      <c r="R1873" s="2" t="s">
        <v>1478</v>
      </c>
      <c r="S1873" s="1" t="s">
        <v>1021</v>
      </c>
      <c r="T1873" s="1" t="s">
        <v>822</v>
      </c>
      <c r="U1873" s="1" t="s">
        <v>636</v>
      </c>
      <c r="V1873" s="1" t="s">
        <v>45</v>
      </c>
      <c r="W1873" s="1"/>
      <c r="X1873" s="1"/>
      <c r="Y1873" s="1"/>
      <c r="Z1873" s="1" t="s">
        <v>658</v>
      </c>
      <c r="AA1873" s="1" t="s">
        <v>1479</v>
      </c>
      <c r="AB1873" s="1" t="s">
        <v>1021</v>
      </c>
      <c r="AC1873" s="1" t="s">
        <v>1021</v>
      </c>
      <c r="AD1873" s="1"/>
      <c r="AE1873" s="1" t="s">
        <v>641</v>
      </c>
      <c r="AF1873" s="1" t="s">
        <v>190</v>
      </c>
      <c r="AG1873" s="1">
        <v>5</v>
      </c>
      <c r="AH1873" s="1" t="s">
        <v>190</v>
      </c>
      <c r="AI1873" s="1"/>
      <c r="AJ1873" s="1" t="s">
        <v>1480</v>
      </c>
      <c r="AK1873" s="1" t="s">
        <v>740</v>
      </c>
    </row>
    <row r="1874" spans="1:37">
      <c r="A1874" s="1" t="str">
        <f>VLOOKUP(H1874,Languages!$A$2:$B$430,2,FALSE)</f>
        <v>Uralic</v>
      </c>
      <c r="B1874" s="1" t="s">
        <v>652</v>
      </c>
      <c r="C1874" s="1" t="s">
        <v>1405</v>
      </c>
      <c r="D1874" s="1" t="s">
        <v>1460</v>
      </c>
      <c r="E1874" s="15" t="s">
        <v>1462</v>
      </c>
      <c r="F1874" s="15" t="s">
        <v>1462</v>
      </c>
      <c r="G1874" s="1" t="s">
        <v>1462</v>
      </c>
      <c r="H1874" s="1" t="str">
        <f>VLOOKUP(G1874,'languoid 4.0'!$A$1:$I$24439,2,FALSE)</f>
        <v>ural1272</v>
      </c>
      <c r="I1874" s="1" t="str">
        <f>VLOOKUP(G1874,'languoid 4.0'!$A$1:$I$24439,6,FALSE)</f>
        <v>language</v>
      </c>
      <c r="J1874" s="15" t="s">
        <v>38</v>
      </c>
      <c r="K1874" s="15" t="s">
        <v>38</v>
      </c>
      <c r="L1874" s="15" t="s">
        <v>38</v>
      </c>
      <c r="M1874" s="1"/>
      <c r="N1874" s="1" t="s">
        <v>9470</v>
      </c>
      <c r="O1874" s="15" t="s">
        <v>40</v>
      </c>
      <c r="P1874" s="15" t="s">
        <v>41</v>
      </c>
      <c r="Q1874" s="1" t="s">
        <v>9477</v>
      </c>
      <c r="R1874" s="2" t="s">
        <v>9478</v>
      </c>
      <c r="S1874" s="1" t="s">
        <v>46</v>
      </c>
      <c r="T1874" s="1" t="s">
        <v>822</v>
      </c>
      <c r="U1874" s="1" t="s">
        <v>636</v>
      </c>
      <c r="V1874" s="1" t="s">
        <v>45</v>
      </c>
      <c r="W1874" s="1"/>
      <c r="X1874" s="1"/>
      <c r="Y1874" s="1"/>
      <c r="Z1874" s="1" t="s">
        <v>658</v>
      </c>
      <c r="AA1874" s="1" t="s">
        <v>9479</v>
      </c>
      <c r="AB1874" s="1" t="s">
        <v>46</v>
      </c>
      <c r="AC1874" s="1" t="s">
        <v>46</v>
      </c>
      <c r="AD1874" s="1"/>
      <c r="AE1874" s="1" t="s">
        <v>641</v>
      </c>
      <c r="AF1874" s="1" t="s">
        <v>190</v>
      </c>
      <c r="AG1874" s="1">
        <v>6</v>
      </c>
      <c r="AH1874" s="1" t="s">
        <v>190</v>
      </c>
      <c r="AI1874" s="1"/>
      <c r="AJ1874" s="3">
        <v>43291.331400462965</v>
      </c>
      <c r="AK1874" s="1" t="s">
        <v>1598</v>
      </c>
    </row>
    <row r="1875" spans="1:37">
      <c r="A1875" s="1" t="str">
        <f>VLOOKUP(H1875,Languages!$A$2:$B$430,2,FALSE)</f>
        <v>Uralic</v>
      </c>
      <c r="B1875" s="1" t="s">
        <v>652</v>
      </c>
      <c r="C1875" s="1" t="s">
        <v>1405</v>
      </c>
      <c r="D1875" s="1" t="s">
        <v>1460</v>
      </c>
      <c r="E1875" s="15" t="s">
        <v>1462</v>
      </c>
      <c r="F1875" s="15" t="s">
        <v>1462</v>
      </c>
      <c r="G1875" s="1" t="s">
        <v>1462</v>
      </c>
      <c r="H1875" s="1" t="str">
        <f>VLOOKUP(G1875,'languoid 4.0'!$A$1:$I$24439,2,FALSE)</f>
        <v>ural1272</v>
      </c>
      <c r="I1875" s="1" t="str">
        <f>VLOOKUP(G1875,'languoid 4.0'!$A$1:$I$24439,6,FALSE)</f>
        <v>language</v>
      </c>
      <c r="J1875" s="15" t="s">
        <v>38</v>
      </c>
      <c r="K1875" s="15" t="s">
        <v>38</v>
      </c>
      <c r="L1875" s="15" t="s">
        <v>38</v>
      </c>
      <c r="M1875" s="1"/>
      <c r="N1875" s="1" t="s">
        <v>9470</v>
      </c>
      <c r="O1875" s="15" t="s">
        <v>40</v>
      </c>
      <c r="P1875" s="15" t="s">
        <v>41</v>
      </c>
      <c r="Q1875" s="1" t="s">
        <v>9483</v>
      </c>
      <c r="R1875" s="2" t="s">
        <v>9484</v>
      </c>
      <c r="S1875" s="1" t="s">
        <v>46</v>
      </c>
      <c r="T1875" s="1" t="s">
        <v>822</v>
      </c>
      <c r="U1875" s="1" t="s">
        <v>636</v>
      </c>
      <c r="V1875" s="1" t="s">
        <v>45</v>
      </c>
      <c r="W1875" s="1"/>
      <c r="X1875" s="1"/>
      <c r="Y1875" s="1"/>
      <c r="Z1875" s="1" t="s">
        <v>658</v>
      </c>
      <c r="AA1875" s="1" t="s">
        <v>9485</v>
      </c>
      <c r="AB1875" s="1" t="s">
        <v>46</v>
      </c>
      <c r="AC1875" s="1" t="s">
        <v>46</v>
      </c>
      <c r="AD1875" s="1"/>
      <c r="AE1875" s="1" t="s">
        <v>641</v>
      </c>
      <c r="AF1875" s="1" t="s">
        <v>190</v>
      </c>
      <c r="AG1875" s="1">
        <v>5</v>
      </c>
      <c r="AH1875" s="1" t="s">
        <v>190</v>
      </c>
      <c r="AI1875" s="1"/>
      <c r="AJ1875" s="3">
        <v>43291.334999999999</v>
      </c>
      <c r="AK1875" s="1" t="s">
        <v>1598</v>
      </c>
    </row>
    <row r="1876" spans="1:37">
      <c r="A1876" s="1" t="str">
        <f>VLOOKUP(H1876,Languages!$A$2:$B$430,2,FALSE)</f>
        <v>Uralic</v>
      </c>
      <c r="B1876" s="1" t="s">
        <v>652</v>
      </c>
      <c r="C1876" s="1" t="s">
        <v>1405</v>
      </c>
      <c r="D1876" s="1" t="s">
        <v>1460</v>
      </c>
      <c r="E1876" s="15" t="s">
        <v>1462</v>
      </c>
      <c r="F1876" s="15" t="s">
        <v>1462</v>
      </c>
      <c r="G1876" s="1" t="s">
        <v>1462</v>
      </c>
      <c r="H1876" s="1" t="str">
        <f>VLOOKUP(G1876,'languoid 4.0'!$A$1:$I$24439,2,FALSE)</f>
        <v>ural1272</v>
      </c>
      <c r="I1876" s="1" t="str">
        <f>VLOOKUP(G1876,'languoid 4.0'!$A$1:$I$24439,6,FALSE)</f>
        <v>language</v>
      </c>
      <c r="J1876" s="15" t="s">
        <v>38</v>
      </c>
      <c r="K1876" s="15" t="s">
        <v>38</v>
      </c>
      <c r="L1876" s="15" t="s">
        <v>38</v>
      </c>
      <c r="M1876" s="1"/>
      <c r="N1876" s="1" t="s">
        <v>9470</v>
      </c>
      <c r="O1876" s="15" t="s">
        <v>40</v>
      </c>
      <c r="P1876" s="15" t="s">
        <v>41</v>
      </c>
      <c r="Q1876" s="1" t="s">
        <v>9489</v>
      </c>
      <c r="R1876" s="2" t="s">
        <v>9490</v>
      </c>
      <c r="S1876" s="1" t="s">
        <v>46</v>
      </c>
      <c r="T1876" s="1" t="s">
        <v>822</v>
      </c>
      <c r="U1876" s="1" t="s">
        <v>636</v>
      </c>
      <c r="V1876" s="1" t="s">
        <v>45</v>
      </c>
      <c r="W1876" s="1"/>
      <c r="X1876" s="1"/>
      <c r="Y1876" s="1"/>
      <c r="Z1876" s="1" t="s">
        <v>658</v>
      </c>
      <c r="AA1876" s="1" t="s">
        <v>9491</v>
      </c>
      <c r="AB1876" s="1" t="s">
        <v>46</v>
      </c>
      <c r="AC1876" s="1" t="s">
        <v>46</v>
      </c>
      <c r="AD1876" s="1"/>
      <c r="AE1876" s="1" t="s">
        <v>641</v>
      </c>
      <c r="AF1876" s="1" t="s">
        <v>190</v>
      </c>
      <c r="AG1876" s="1">
        <v>6</v>
      </c>
      <c r="AH1876" s="1" t="s">
        <v>190</v>
      </c>
      <c r="AI1876" s="1"/>
      <c r="AJ1876" s="3">
        <v>43291.34951388889</v>
      </c>
      <c r="AK1876" s="1" t="s">
        <v>1598</v>
      </c>
    </row>
    <row r="1877" spans="1:37">
      <c r="A1877" s="1" t="str">
        <f>VLOOKUP(H1877,Languages!$A$2:$B$430,2,FALSE)</f>
        <v>Uralic</v>
      </c>
      <c r="B1877" s="1" t="s">
        <v>652</v>
      </c>
      <c r="C1877" s="1" t="s">
        <v>1405</v>
      </c>
      <c r="D1877" s="1" t="s">
        <v>1460</v>
      </c>
      <c r="E1877" s="15" t="s">
        <v>1462</v>
      </c>
      <c r="F1877" s="15" t="s">
        <v>1462</v>
      </c>
      <c r="G1877" s="1" t="s">
        <v>1462</v>
      </c>
      <c r="H1877" s="1" t="str">
        <f>VLOOKUP(G1877,'languoid 4.0'!$A$1:$I$24439,2,FALSE)</f>
        <v>ural1272</v>
      </c>
      <c r="I1877" s="1" t="str">
        <f>VLOOKUP(G1877,'languoid 4.0'!$A$1:$I$24439,6,FALSE)</f>
        <v>language</v>
      </c>
      <c r="J1877" s="15" t="s">
        <v>38</v>
      </c>
      <c r="K1877" s="15" t="s">
        <v>38</v>
      </c>
      <c r="L1877" s="15" t="s">
        <v>38</v>
      </c>
      <c r="M1877" s="1"/>
      <c r="N1877" s="1" t="s">
        <v>9470</v>
      </c>
      <c r="O1877" s="15" t="s">
        <v>40</v>
      </c>
      <c r="P1877" s="15" t="s">
        <v>41</v>
      </c>
      <c r="Q1877" s="1" t="s">
        <v>9492</v>
      </c>
      <c r="R1877" s="2" t="s">
        <v>9493</v>
      </c>
      <c r="S1877" s="1" t="s">
        <v>46</v>
      </c>
      <c r="T1877" s="1" t="s">
        <v>822</v>
      </c>
      <c r="U1877" s="1" t="s">
        <v>636</v>
      </c>
      <c r="V1877" s="1" t="s">
        <v>45</v>
      </c>
      <c r="W1877" s="1"/>
      <c r="X1877" s="1"/>
      <c r="Y1877" s="1"/>
      <c r="Z1877" s="1" t="s">
        <v>658</v>
      </c>
      <c r="AA1877" s="1" t="s">
        <v>9494</v>
      </c>
      <c r="AB1877" s="1" t="s">
        <v>46</v>
      </c>
      <c r="AC1877" s="1" t="s">
        <v>46</v>
      </c>
      <c r="AD1877" s="1"/>
      <c r="AE1877" s="1" t="s">
        <v>641</v>
      </c>
      <c r="AF1877" s="1" t="s">
        <v>190</v>
      </c>
      <c r="AG1877" s="1">
        <v>6</v>
      </c>
      <c r="AH1877" s="1" t="s">
        <v>190</v>
      </c>
      <c r="AI1877" s="1"/>
      <c r="AJ1877" s="3">
        <v>43291.351712962962</v>
      </c>
      <c r="AK1877" s="1" t="s">
        <v>1598</v>
      </c>
    </row>
    <row r="1878" spans="1:37">
      <c r="A1878" s="1" t="str">
        <f>VLOOKUP(H1878,Languages!$A$2:$B$430,2,FALSE)</f>
        <v>Uralic</v>
      </c>
      <c r="B1878" s="1" t="s">
        <v>1750</v>
      </c>
      <c r="C1878" s="1" t="s">
        <v>10200</v>
      </c>
      <c r="D1878" s="1" t="s">
        <v>10682</v>
      </c>
      <c r="E1878" s="15" t="s">
        <v>5331</v>
      </c>
      <c r="F1878" s="15" t="s">
        <v>5331</v>
      </c>
      <c r="G1878" s="1" t="s">
        <v>10255</v>
      </c>
      <c r="H1878" s="1" t="str">
        <f>VLOOKUP(G1878,'languoid 4.0'!$A$1:$I$24439,2,FALSE)</f>
        <v>ural1272</v>
      </c>
      <c r="I1878" s="1" t="str">
        <f>VLOOKUP(G1878,'languoid 4.0'!$A$1:$I$24439,6,FALSE)</f>
        <v>language</v>
      </c>
      <c r="J1878" s="15" t="s">
        <v>38</v>
      </c>
      <c r="K1878" s="15" t="s">
        <v>38</v>
      </c>
      <c r="L1878" s="15" t="s">
        <v>38</v>
      </c>
      <c r="M1878" s="1"/>
      <c r="N1878" s="1" t="s">
        <v>5361</v>
      </c>
      <c r="O1878" s="15" t="s">
        <v>40</v>
      </c>
      <c r="P1878" s="15" t="s">
        <v>41</v>
      </c>
      <c r="Q1878" s="1" t="s">
        <v>10683</v>
      </c>
      <c r="R1878" s="2" t="s">
        <v>10684</v>
      </c>
      <c r="S1878" s="1" t="s">
        <v>471</v>
      </c>
      <c r="T1878" s="1" t="s">
        <v>10685</v>
      </c>
      <c r="U1878" s="1" t="s">
        <v>1726</v>
      </c>
      <c r="V1878" s="1" t="s">
        <v>45</v>
      </c>
      <c r="W1878" s="1"/>
      <c r="X1878" s="1"/>
      <c r="Y1878" s="1"/>
      <c r="Z1878" s="1" t="s">
        <v>658</v>
      </c>
      <c r="AA1878" s="1" t="s">
        <v>10686</v>
      </c>
      <c r="AB1878" s="1" t="s">
        <v>46</v>
      </c>
      <c r="AC1878" s="1" t="s">
        <v>46</v>
      </c>
      <c r="AD1878" s="1"/>
      <c r="AE1878" s="1" t="s">
        <v>641</v>
      </c>
      <c r="AF1878" s="1" t="s">
        <v>190</v>
      </c>
      <c r="AG1878" s="1">
        <v>6</v>
      </c>
      <c r="AH1878" s="1" t="s">
        <v>190</v>
      </c>
      <c r="AI1878" s="1"/>
      <c r="AJ1878" s="3">
        <v>43202.556608796294</v>
      </c>
      <c r="AK1878" s="1" t="s">
        <v>4945</v>
      </c>
    </row>
    <row r="1879" spans="1:37">
      <c r="A1879" s="1" t="str">
        <f>VLOOKUP(H1879,Languages!$A$2:$B$430,2,FALSE)</f>
        <v>Uralic</v>
      </c>
      <c r="B1879" s="1" t="s">
        <v>1738</v>
      </c>
      <c r="C1879" s="1" t="s">
        <v>10200</v>
      </c>
      <c r="D1879" s="1" t="s">
        <v>10537</v>
      </c>
      <c r="E1879" s="15" t="s">
        <v>10255</v>
      </c>
      <c r="F1879" s="15" t="s">
        <v>10255</v>
      </c>
      <c r="G1879" s="1" t="s">
        <v>10255</v>
      </c>
      <c r="H1879" s="1" t="str">
        <f>VLOOKUP(G1879,'languoid 4.0'!$A$1:$I$24439,2,FALSE)</f>
        <v>ural1272</v>
      </c>
      <c r="I1879" s="1" t="str">
        <f>VLOOKUP(G1879,'languoid 4.0'!$A$1:$I$24439,6,FALSE)</f>
        <v>language</v>
      </c>
      <c r="J1879" s="15" t="s">
        <v>38</v>
      </c>
      <c r="K1879" s="15" t="s">
        <v>38</v>
      </c>
      <c r="L1879" s="15" t="s">
        <v>38</v>
      </c>
      <c r="M1879" s="1"/>
      <c r="N1879" s="1" t="s">
        <v>10262</v>
      </c>
      <c r="O1879" s="15" t="s">
        <v>40</v>
      </c>
      <c r="P1879" s="15" t="s">
        <v>41</v>
      </c>
      <c r="Q1879" s="1" t="s">
        <v>10538</v>
      </c>
      <c r="R1879" s="2" t="s">
        <v>10539</v>
      </c>
      <c r="S1879" s="1" t="s">
        <v>248</v>
      </c>
      <c r="T1879" s="1" t="s">
        <v>10534</v>
      </c>
      <c r="U1879" s="1" t="s">
        <v>5142</v>
      </c>
      <c r="V1879" s="1" t="s">
        <v>45</v>
      </c>
      <c r="W1879" s="1"/>
      <c r="X1879" s="1"/>
      <c r="Y1879" s="1"/>
      <c r="Z1879" s="1" t="s">
        <v>658</v>
      </c>
      <c r="AA1879" s="1" t="s">
        <v>10540</v>
      </c>
      <c r="AB1879" s="1" t="s">
        <v>46</v>
      </c>
      <c r="AC1879" s="1" t="s">
        <v>46</v>
      </c>
      <c r="AD1879" s="1"/>
      <c r="AE1879" s="1" t="s">
        <v>641</v>
      </c>
      <c r="AF1879" s="1" t="s">
        <v>45</v>
      </c>
      <c r="AG1879" s="1">
        <v>1</v>
      </c>
      <c r="AH1879" s="1" t="s">
        <v>190</v>
      </c>
      <c r="AI1879" s="1"/>
      <c r="AJ1879" s="1" t="s">
        <v>10541</v>
      </c>
      <c r="AK1879" s="1" t="s">
        <v>4945</v>
      </c>
    </row>
    <row r="1880" spans="1:37">
      <c r="A1880" s="1" t="str">
        <f>VLOOKUP(H1880,Languages!$A$2:$B$430,2,FALSE)</f>
        <v>Uralic</v>
      </c>
      <c r="B1880" s="1" t="s">
        <v>1738</v>
      </c>
      <c r="C1880" s="1" t="s">
        <v>1405</v>
      </c>
      <c r="D1880" s="1" t="s">
        <v>3458</v>
      </c>
      <c r="E1880" s="15" t="s">
        <v>1407</v>
      </c>
      <c r="F1880" s="15" t="s">
        <v>3459</v>
      </c>
      <c r="G1880" s="1" t="s">
        <v>3459</v>
      </c>
      <c r="H1880" s="1" t="str">
        <f>VLOOKUP(G1880,'languoid 4.0'!$A$1:$I$24439,2,FALSE)</f>
        <v>ural1272</v>
      </c>
      <c r="I1880" s="1" t="str">
        <f>VLOOKUP(G1880,'languoid 4.0'!$A$1:$I$24439,6,FALSE)</f>
        <v>language</v>
      </c>
      <c r="J1880" s="15" t="s">
        <v>52</v>
      </c>
      <c r="K1880" s="15" t="s">
        <v>52</v>
      </c>
      <c r="L1880" s="15" t="s">
        <v>52</v>
      </c>
      <c r="M1880" s="1"/>
      <c r="N1880" s="1" t="s">
        <v>1409</v>
      </c>
      <c r="O1880" s="15" t="s">
        <v>40</v>
      </c>
      <c r="P1880" s="15" t="s">
        <v>632</v>
      </c>
      <c r="Q1880" s="1" t="s">
        <v>3464</v>
      </c>
      <c r="R1880" s="2" t="s">
        <v>3465</v>
      </c>
      <c r="S1880" s="1" t="s">
        <v>46</v>
      </c>
      <c r="T1880" s="1" t="s">
        <v>635</v>
      </c>
      <c r="U1880" s="1" t="s">
        <v>2511</v>
      </c>
      <c r="V1880" s="1" t="s">
        <v>45</v>
      </c>
      <c r="W1880" s="1"/>
      <c r="X1880" s="1"/>
      <c r="Y1880" s="1"/>
      <c r="Z1880" s="1" t="s">
        <v>658</v>
      </c>
      <c r="AA1880" s="1" t="s">
        <v>3466</v>
      </c>
      <c r="AB1880" s="1" t="s">
        <v>46</v>
      </c>
      <c r="AC1880" s="1" t="s">
        <v>46</v>
      </c>
      <c r="AD1880" s="1"/>
      <c r="AE1880" s="1" t="s">
        <v>641</v>
      </c>
      <c r="AF1880" s="1" t="s">
        <v>190</v>
      </c>
      <c r="AG1880" s="1">
        <v>4</v>
      </c>
      <c r="AH1880" s="1" t="s">
        <v>190</v>
      </c>
      <c r="AI1880" s="1"/>
      <c r="AJ1880" s="1" t="s">
        <v>3467</v>
      </c>
      <c r="AK1880" s="1" t="s">
        <v>1598</v>
      </c>
    </row>
    <row r="1881" spans="1:37">
      <c r="A1881" s="1" t="str">
        <f>VLOOKUP(H1881,Languages!$A$2:$B$430,2,FALSE)</f>
        <v>Uralic</v>
      </c>
      <c r="B1881" s="1" t="s">
        <v>1812</v>
      </c>
      <c r="C1881" s="1" t="s">
        <v>10200</v>
      </c>
      <c r="D1881" s="1" t="s">
        <v>10254</v>
      </c>
      <c r="E1881" s="15" t="s">
        <v>10209</v>
      </c>
      <c r="F1881" s="15" t="s">
        <v>10255</v>
      </c>
      <c r="G1881" s="1" t="s">
        <v>10255</v>
      </c>
      <c r="H1881" s="1" t="str">
        <f>VLOOKUP(G1881,'languoid 4.0'!$A$1:$I$24439,2,FALSE)</f>
        <v>ural1272</v>
      </c>
      <c r="I1881" s="1" t="str">
        <f>VLOOKUP(G1881,'languoid 4.0'!$A$1:$I$24439,6,FALSE)</f>
        <v>language</v>
      </c>
      <c r="J1881" s="15" t="s">
        <v>52</v>
      </c>
      <c r="K1881" s="15" t="s">
        <v>52</v>
      </c>
      <c r="L1881" s="15" t="s">
        <v>52</v>
      </c>
      <c r="M1881" s="1"/>
      <c r="N1881" s="1" t="s">
        <v>10256</v>
      </c>
      <c r="O1881" s="15" t="s">
        <v>40</v>
      </c>
      <c r="P1881" s="15" t="s">
        <v>41</v>
      </c>
      <c r="Q1881" s="1" t="s">
        <v>10257</v>
      </c>
      <c r="R1881" s="2" t="s">
        <v>10258</v>
      </c>
      <c r="S1881" s="1" t="s">
        <v>46</v>
      </c>
      <c r="T1881" s="1" t="s">
        <v>635</v>
      </c>
      <c r="U1881" s="1" t="s">
        <v>636</v>
      </c>
      <c r="V1881" s="1" t="s">
        <v>45</v>
      </c>
      <c r="W1881" s="1"/>
      <c r="X1881" s="1"/>
      <c r="Y1881" s="1"/>
      <c r="Z1881" s="1" t="s">
        <v>673</v>
      </c>
      <c r="AA1881" s="1" t="s">
        <v>46</v>
      </c>
      <c r="AB1881" s="1" t="s">
        <v>10259</v>
      </c>
      <c r="AC1881" s="1" t="s">
        <v>46</v>
      </c>
      <c r="AD1881" s="1"/>
      <c r="AE1881" s="1" t="s">
        <v>641</v>
      </c>
      <c r="AF1881" s="1" t="s">
        <v>190</v>
      </c>
      <c r="AG1881" s="1">
        <v>6</v>
      </c>
      <c r="AH1881" s="1" t="s">
        <v>190</v>
      </c>
      <c r="AI1881" s="1"/>
      <c r="AJ1881" s="1" t="s">
        <v>10260</v>
      </c>
      <c r="AK1881" s="1" t="s">
        <v>4945</v>
      </c>
    </row>
    <row r="1882" spans="1:37">
      <c r="A1882" s="1" t="str">
        <f>VLOOKUP(H1882,Languages!$A$2:$B$430,2,FALSE)</f>
        <v>Uralic</v>
      </c>
      <c r="B1882" s="1" t="s">
        <v>1812</v>
      </c>
      <c r="C1882" s="1" t="s">
        <v>10200</v>
      </c>
      <c r="D1882" s="1" t="s">
        <v>10267</v>
      </c>
      <c r="E1882" s="15" t="s">
        <v>10255</v>
      </c>
      <c r="F1882" s="15" t="s">
        <v>10255</v>
      </c>
      <c r="G1882" s="1" t="s">
        <v>10255</v>
      </c>
      <c r="H1882" s="1" t="str">
        <f>VLOOKUP(G1882,'languoid 4.0'!$A$1:$I$24439,2,FALSE)</f>
        <v>ural1272</v>
      </c>
      <c r="I1882" s="1" t="str">
        <f>VLOOKUP(G1882,'languoid 4.0'!$A$1:$I$24439,6,FALSE)</f>
        <v>language</v>
      </c>
      <c r="J1882" s="15" t="s">
        <v>38</v>
      </c>
      <c r="K1882" s="15" t="s">
        <v>38</v>
      </c>
      <c r="L1882" s="15" t="s">
        <v>38</v>
      </c>
      <c r="M1882" s="1"/>
      <c r="N1882" s="1" t="s">
        <v>10262</v>
      </c>
      <c r="O1882" s="15" t="s">
        <v>40</v>
      </c>
      <c r="P1882" s="15" t="s">
        <v>41</v>
      </c>
      <c r="Q1882" s="1" t="s">
        <v>10276</v>
      </c>
      <c r="R1882" s="2" t="s">
        <v>10277</v>
      </c>
      <c r="S1882" s="1" t="s">
        <v>46</v>
      </c>
      <c r="T1882" s="1" t="s">
        <v>635</v>
      </c>
      <c r="U1882" s="1" t="s">
        <v>636</v>
      </c>
      <c r="V1882" s="1" t="s">
        <v>45</v>
      </c>
      <c r="W1882" s="1"/>
      <c r="X1882" s="1"/>
      <c r="Y1882" s="1"/>
      <c r="Z1882" s="1" t="s">
        <v>673</v>
      </c>
      <c r="AA1882" s="1" t="s">
        <v>46</v>
      </c>
      <c r="AB1882" s="1" t="s">
        <v>10278</v>
      </c>
      <c r="AC1882" s="1" t="s">
        <v>46</v>
      </c>
      <c r="AD1882" s="1"/>
      <c r="AE1882" s="1" t="s">
        <v>641</v>
      </c>
      <c r="AF1882" s="1" t="s">
        <v>190</v>
      </c>
      <c r="AG1882" s="1">
        <v>6</v>
      </c>
      <c r="AH1882" s="1" t="s">
        <v>190</v>
      </c>
      <c r="AI1882" s="1"/>
      <c r="AJ1882" s="1" t="s">
        <v>10279</v>
      </c>
      <c r="AK1882" s="1" t="s">
        <v>4945</v>
      </c>
    </row>
    <row r="1883" spans="1:37">
      <c r="A1883" s="1" t="str">
        <f>VLOOKUP(H1883,Languages!$A$2:$B$430,2,FALSE)</f>
        <v>Uralic</v>
      </c>
      <c r="B1883" s="1" t="s">
        <v>1812</v>
      </c>
      <c r="C1883" s="1" t="s">
        <v>1405</v>
      </c>
      <c r="D1883" s="1" t="s">
        <v>3442</v>
      </c>
      <c r="E1883" s="15" t="s">
        <v>3443</v>
      </c>
      <c r="F1883" s="15" t="s">
        <v>3443</v>
      </c>
      <c r="G1883" s="1" t="s">
        <v>3443</v>
      </c>
      <c r="H1883" s="1" t="str">
        <f>VLOOKUP(G1883,'languoid 4.0'!$A$1:$I$24439,2,FALSE)</f>
        <v>ural1272</v>
      </c>
      <c r="I1883" s="1" t="str">
        <f>VLOOKUP(G1883,'languoid 4.0'!$A$1:$I$24439,6,FALSE)</f>
        <v>family</v>
      </c>
      <c r="J1883" s="15" t="s">
        <v>38</v>
      </c>
      <c r="K1883" s="15" t="s">
        <v>38</v>
      </c>
      <c r="L1883" s="15" t="s">
        <v>38</v>
      </c>
      <c r="M1883" s="1"/>
      <c r="N1883" s="1" t="s">
        <v>3444</v>
      </c>
      <c r="O1883" s="15" t="s">
        <v>113</v>
      </c>
      <c r="P1883" s="15" t="s">
        <v>41</v>
      </c>
      <c r="Q1883" s="1" t="s">
        <v>3445</v>
      </c>
      <c r="R1883" s="2" t="s">
        <v>3446</v>
      </c>
      <c r="S1883" s="1" t="s">
        <v>46</v>
      </c>
      <c r="T1883" s="1" t="s">
        <v>635</v>
      </c>
      <c r="U1883" s="1" t="s">
        <v>636</v>
      </c>
      <c r="V1883" s="1" t="s">
        <v>45</v>
      </c>
      <c r="W1883" s="1"/>
      <c r="X1883" s="1"/>
      <c r="Y1883" s="1"/>
      <c r="Z1883" s="1" t="s">
        <v>658</v>
      </c>
      <c r="AA1883" s="1" t="s">
        <v>3447</v>
      </c>
      <c r="AB1883" s="1" t="s">
        <v>46</v>
      </c>
      <c r="AC1883" s="1" t="s">
        <v>46</v>
      </c>
      <c r="AD1883" s="1"/>
      <c r="AE1883" s="1" t="s">
        <v>641</v>
      </c>
      <c r="AF1883" s="1" t="s">
        <v>190</v>
      </c>
      <c r="AG1883" s="1">
        <v>5</v>
      </c>
      <c r="AH1883" s="1" t="s">
        <v>190</v>
      </c>
      <c r="AI1883" s="1"/>
      <c r="AJ1883" s="1" t="s">
        <v>3448</v>
      </c>
      <c r="AK1883" s="1" t="s">
        <v>1598</v>
      </c>
    </row>
    <row r="1884" spans="1:37">
      <c r="A1884" s="1" t="str">
        <f>VLOOKUP(H1884,Languages!$A$2:$B$430,2,FALSE)</f>
        <v>Uralic</v>
      </c>
      <c r="B1884" s="1" t="s">
        <v>1812</v>
      </c>
      <c r="C1884" s="1" t="s">
        <v>1405</v>
      </c>
      <c r="D1884" s="1" t="s">
        <v>3458</v>
      </c>
      <c r="E1884" s="15" t="s">
        <v>1407</v>
      </c>
      <c r="F1884" s="15" t="s">
        <v>3459</v>
      </c>
      <c r="G1884" s="1" t="s">
        <v>3459</v>
      </c>
      <c r="H1884" s="1" t="str">
        <f>VLOOKUP(G1884,'languoid 4.0'!$A$1:$I$24439,2,FALSE)</f>
        <v>ural1272</v>
      </c>
      <c r="I1884" s="1" t="str">
        <f>VLOOKUP(G1884,'languoid 4.0'!$A$1:$I$24439,6,FALSE)</f>
        <v>language</v>
      </c>
      <c r="J1884" s="15" t="s">
        <v>52</v>
      </c>
      <c r="K1884" s="15" t="s">
        <v>52</v>
      </c>
      <c r="L1884" s="15" t="s">
        <v>52</v>
      </c>
      <c r="M1884" s="1"/>
      <c r="N1884" s="1" t="s">
        <v>1409</v>
      </c>
      <c r="O1884" s="15" t="s">
        <v>40</v>
      </c>
      <c r="P1884" s="15" t="s">
        <v>632</v>
      </c>
      <c r="Q1884" s="1" t="s">
        <v>3460</v>
      </c>
      <c r="R1884" s="2" t="s">
        <v>3461</v>
      </c>
      <c r="S1884" s="1" t="s">
        <v>46</v>
      </c>
      <c r="T1884" s="1" t="s">
        <v>635</v>
      </c>
      <c r="U1884" s="1" t="s">
        <v>636</v>
      </c>
      <c r="V1884" s="1" t="s">
        <v>45</v>
      </c>
      <c r="W1884" s="1"/>
      <c r="X1884" s="1"/>
      <c r="Y1884" s="1"/>
      <c r="Z1884" s="1" t="s">
        <v>658</v>
      </c>
      <c r="AA1884" s="1" t="s">
        <v>3462</v>
      </c>
      <c r="AB1884" s="1" t="s">
        <v>46</v>
      </c>
      <c r="AC1884" s="1" t="s">
        <v>46</v>
      </c>
      <c r="AD1884" s="1"/>
      <c r="AE1884" s="1" t="s">
        <v>641</v>
      </c>
      <c r="AF1884" s="1" t="s">
        <v>190</v>
      </c>
      <c r="AG1884" s="1">
        <v>5</v>
      </c>
      <c r="AH1884" s="1" t="s">
        <v>190</v>
      </c>
      <c r="AI1884" s="1"/>
      <c r="AJ1884" s="1" t="s">
        <v>3463</v>
      </c>
      <c r="AK1884" s="1" t="s">
        <v>1598</v>
      </c>
    </row>
    <row r="1885" spans="1:37">
      <c r="A1885" s="1" t="str">
        <f>VLOOKUP(H1885,Languages!$A$2:$B$430,2,FALSE)</f>
        <v>Uralic</v>
      </c>
      <c r="B1885" s="1" t="s">
        <v>1812</v>
      </c>
      <c r="C1885" s="1" t="s">
        <v>1405</v>
      </c>
      <c r="D1885" s="1" t="s">
        <v>1448</v>
      </c>
      <c r="E1885" s="15" t="s">
        <v>51</v>
      </c>
      <c r="F1885" s="15" t="s">
        <v>1450</v>
      </c>
      <c r="G1885" s="1" t="s">
        <v>1451</v>
      </c>
      <c r="H1885" s="1" t="str">
        <f>VLOOKUP(G1885,'languoid 4.0'!$A$1:$I$24439,2,FALSE)</f>
        <v>ural1272</v>
      </c>
      <c r="I1885" s="1" t="str">
        <f>VLOOKUP(G1885,'languoid 4.0'!$A$1:$I$24439,6,FALSE)</f>
        <v>family</v>
      </c>
      <c r="J1885" s="15" t="s">
        <v>52</v>
      </c>
      <c r="K1885" s="15" t="s">
        <v>51</v>
      </c>
      <c r="L1885" s="15" t="s">
        <v>51</v>
      </c>
      <c r="M1885" s="1"/>
      <c r="N1885" s="1" t="e">
        <v>#N/A</v>
      </c>
      <c r="O1885" s="15" t="s">
        <v>690</v>
      </c>
      <c r="P1885" s="15"/>
      <c r="Q1885" s="1" t="s">
        <v>3468</v>
      </c>
      <c r="R1885" s="2" t="s">
        <v>3469</v>
      </c>
      <c r="S1885" s="1" t="s">
        <v>46</v>
      </c>
      <c r="T1885" s="1" t="s">
        <v>635</v>
      </c>
      <c r="U1885" s="1" t="s">
        <v>636</v>
      </c>
      <c r="V1885" s="1" t="s">
        <v>45</v>
      </c>
      <c r="W1885" s="1"/>
      <c r="X1885" s="1"/>
      <c r="Y1885" s="1"/>
      <c r="Z1885" s="1" t="s">
        <v>658</v>
      </c>
      <c r="AA1885" s="1" t="s">
        <v>3470</v>
      </c>
      <c r="AB1885" s="1" t="s">
        <v>46</v>
      </c>
      <c r="AC1885" s="1" t="s">
        <v>46</v>
      </c>
      <c r="AD1885" s="1"/>
      <c r="AE1885" s="1" t="s">
        <v>641</v>
      </c>
      <c r="AF1885" s="1" t="s">
        <v>190</v>
      </c>
      <c r="AG1885" s="1">
        <v>6</v>
      </c>
      <c r="AH1885" s="1" t="s">
        <v>190</v>
      </c>
      <c r="AI1885" s="1"/>
      <c r="AJ1885" s="1" t="s">
        <v>3471</v>
      </c>
      <c r="AK1885" s="1" t="s">
        <v>1598</v>
      </c>
    </row>
    <row r="1886" spans="1:37">
      <c r="A1886" s="1" t="str">
        <f>VLOOKUP(H1886,Languages!$A$2:$B$430,2,FALSE)</f>
        <v>Uralic</v>
      </c>
      <c r="B1886" s="1" t="s">
        <v>1812</v>
      </c>
      <c r="C1886" s="1" t="s">
        <v>1405</v>
      </c>
      <c r="D1886" s="1" t="s">
        <v>1502</v>
      </c>
      <c r="E1886" s="15" t="s">
        <v>1503</v>
      </c>
      <c r="F1886" s="15" t="s">
        <v>1503</v>
      </c>
      <c r="G1886" s="1" t="s">
        <v>1503</v>
      </c>
      <c r="H1886" s="1" t="str">
        <f>VLOOKUP(G1886,'languoid 4.0'!$A$1:$I$24439,2,FALSE)</f>
        <v>ural1272</v>
      </c>
      <c r="I1886" s="1" t="str">
        <f>VLOOKUP(G1886,'languoid 4.0'!$A$1:$I$24439,6,FALSE)</f>
        <v>language</v>
      </c>
      <c r="J1886" s="15" t="s">
        <v>38</v>
      </c>
      <c r="K1886" s="15" t="s">
        <v>38</v>
      </c>
      <c r="L1886" s="15" t="s">
        <v>38</v>
      </c>
      <c r="M1886" s="1"/>
      <c r="N1886" s="1" t="s">
        <v>1504</v>
      </c>
      <c r="O1886" s="15" t="s">
        <v>40</v>
      </c>
      <c r="P1886" s="15" t="s">
        <v>41</v>
      </c>
      <c r="Q1886" s="1" t="s">
        <v>3531</v>
      </c>
      <c r="R1886" s="2" t="s">
        <v>3532</v>
      </c>
      <c r="S1886" s="1" t="s">
        <v>46</v>
      </c>
      <c r="T1886" s="1" t="s">
        <v>635</v>
      </c>
      <c r="U1886" s="1" t="s">
        <v>636</v>
      </c>
      <c r="V1886" s="1" t="s">
        <v>45</v>
      </c>
      <c r="W1886" s="1"/>
      <c r="X1886" s="1"/>
      <c r="Y1886" s="1"/>
      <c r="Z1886" s="1" t="s">
        <v>658</v>
      </c>
      <c r="AA1886" s="1" t="s">
        <v>3533</v>
      </c>
      <c r="AB1886" s="1" t="s">
        <v>46</v>
      </c>
      <c r="AC1886" s="1" t="s">
        <v>46</v>
      </c>
      <c r="AD1886" s="1"/>
      <c r="AE1886" s="1" t="s">
        <v>641</v>
      </c>
      <c r="AF1886" s="1" t="s">
        <v>190</v>
      </c>
      <c r="AG1886" s="1">
        <v>6</v>
      </c>
      <c r="AH1886" s="1" t="s">
        <v>190</v>
      </c>
      <c r="AI1886" s="1"/>
      <c r="AJ1886" s="3">
        <v>43105.328449074077</v>
      </c>
      <c r="AK1886" s="1" t="s">
        <v>1598</v>
      </c>
    </row>
    <row r="1887" spans="1:37">
      <c r="A1887" s="1" t="str">
        <f>VLOOKUP(H1887,Languages!$A$2:$B$430,2,FALSE)</f>
        <v>Uralic</v>
      </c>
      <c r="B1887" s="1" t="s">
        <v>1812</v>
      </c>
      <c r="C1887" s="1" t="s">
        <v>317</v>
      </c>
      <c r="D1887" s="1" t="s">
        <v>574</v>
      </c>
      <c r="E1887" s="15" t="s">
        <v>3373</v>
      </c>
      <c r="F1887" s="15" t="s">
        <v>3374</v>
      </c>
      <c r="G1887" s="1" t="s">
        <v>3373</v>
      </c>
      <c r="H1887" s="1" t="str">
        <f>VLOOKUP(G1887,'languoid 4.0'!$A$1:$I$24439,2,FALSE)</f>
        <v>ural1272</v>
      </c>
      <c r="I1887" s="1" t="str">
        <f>VLOOKUP(G1887,'languoid 4.0'!$A$1:$I$24439,6,FALSE)</f>
        <v>language</v>
      </c>
      <c r="J1887" s="15" t="s">
        <v>52</v>
      </c>
      <c r="K1887" s="15" t="s">
        <v>38</v>
      </c>
      <c r="L1887" s="15" t="s">
        <v>38</v>
      </c>
      <c r="M1887" s="1"/>
      <c r="N1887" s="1" t="s">
        <v>3375</v>
      </c>
      <c r="O1887" s="15" t="s">
        <v>40</v>
      </c>
      <c r="P1887" s="15" t="s">
        <v>41</v>
      </c>
      <c r="Q1887" s="1" t="s">
        <v>3376</v>
      </c>
      <c r="R1887" s="2" t="s">
        <v>3377</v>
      </c>
      <c r="S1887" s="1" t="s">
        <v>46</v>
      </c>
      <c r="T1887" s="1" t="s">
        <v>635</v>
      </c>
      <c r="U1887" s="1" t="s">
        <v>3378</v>
      </c>
      <c r="V1887" s="1" t="s">
        <v>45</v>
      </c>
      <c r="W1887" s="1"/>
      <c r="X1887" s="1"/>
      <c r="Y1887" s="1"/>
      <c r="Z1887" s="1" t="s">
        <v>658</v>
      </c>
      <c r="AA1887" s="1" t="s">
        <v>3379</v>
      </c>
      <c r="AB1887" s="1" t="s">
        <v>3380</v>
      </c>
      <c r="AC1887" s="1" t="s">
        <v>46</v>
      </c>
      <c r="AD1887" s="1"/>
      <c r="AE1887" s="1" t="s">
        <v>641</v>
      </c>
      <c r="AF1887" s="1" t="s">
        <v>190</v>
      </c>
      <c r="AG1887" s="1">
        <v>4</v>
      </c>
      <c r="AH1887" s="1" t="s">
        <v>190</v>
      </c>
      <c r="AI1887" s="1"/>
      <c r="AJ1887" s="1" t="s">
        <v>3381</v>
      </c>
      <c r="AK1887" s="1" t="s">
        <v>2040</v>
      </c>
    </row>
    <row r="1888" spans="1:37">
      <c r="A1888" s="1" t="str">
        <f>VLOOKUP(H1888,Languages!$A$2:$B$430,2,FALSE)</f>
        <v>Uralic</v>
      </c>
      <c r="B1888" s="1" t="s">
        <v>1812</v>
      </c>
      <c r="C1888" s="1" t="s">
        <v>317</v>
      </c>
      <c r="D1888" s="1" t="s">
        <v>7186</v>
      </c>
      <c r="E1888" s="15" t="s">
        <v>7187</v>
      </c>
      <c r="F1888" s="15" t="s">
        <v>7187</v>
      </c>
      <c r="G1888" s="1" t="s">
        <v>7187</v>
      </c>
      <c r="H1888" s="1" t="str">
        <f>VLOOKUP(G1888,'languoid 4.0'!$A$1:$I$24439,2,FALSE)</f>
        <v>ural1272</v>
      </c>
      <c r="I1888" s="1" t="str">
        <f>VLOOKUP(G1888,'languoid 4.0'!$A$1:$I$24439,6,FALSE)</f>
        <v>language</v>
      </c>
      <c r="J1888" s="15" t="s">
        <v>38</v>
      </c>
      <c r="K1888" s="15" t="s">
        <v>38</v>
      </c>
      <c r="L1888" s="15" t="s">
        <v>38</v>
      </c>
      <c r="M1888" s="1"/>
      <c r="N1888" s="1" t="s">
        <v>7188</v>
      </c>
      <c r="O1888" s="15" t="s">
        <v>40</v>
      </c>
      <c r="P1888" s="15" t="s">
        <v>41</v>
      </c>
      <c r="Q1888" s="1" t="s">
        <v>7189</v>
      </c>
      <c r="R1888" s="2" t="s">
        <v>7149</v>
      </c>
      <c r="S1888" s="1" t="s">
        <v>7190</v>
      </c>
      <c r="T1888" s="1" t="s">
        <v>7151</v>
      </c>
      <c r="U1888" s="1" t="s">
        <v>636</v>
      </c>
      <c r="V1888" s="1" t="s">
        <v>45</v>
      </c>
      <c r="W1888" s="1"/>
      <c r="X1888" s="1"/>
      <c r="Y1888" s="1"/>
      <c r="Z1888" s="1" t="s">
        <v>658</v>
      </c>
      <c r="AA1888" s="1" t="s">
        <v>7191</v>
      </c>
      <c r="AB1888" s="1" t="s">
        <v>7192</v>
      </c>
      <c r="AC1888" s="1" t="s">
        <v>46</v>
      </c>
      <c r="AD1888" s="1" t="s">
        <v>7154</v>
      </c>
      <c r="AE1888" s="1" t="s">
        <v>641</v>
      </c>
      <c r="AF1888" s="1" t="s">
        <v>190</v>
      </c>
      <c r="AG1888" s="1">
        <v>6</v>
      </c>
      <c r="AH1888" s="1" t="s">
        <v>190</v>
      </c>
      <c r="AI1888" s="1"/>
      <c r="AJ1888" s="3">
        <v>43259.531458333331</v>
      </c>
      <c r="AK1888" s="1" t="s">
        <v>5871</v>
      </c>
    </row>
    <row r="1889" spans="1:37">
      <c r="A1889" s="1" t="str">
        <f>VLOOKUP(H1889,Languages!$A$2:$B$430,2,FALSE)</f>
        <v>Uralic</v>
      </c>
      <c r="B1889" s="1" t="s">
        <v>1812</v>
      </c>
      <c r="C1889" s="1" t="s">
        <v>249</v>
      </c>
      <c r="D1889" s="1" t="s">
        <v>250</v>
      </c>
      <c r="E1889" s="15" t="s">
        <v>251</v>
      </c>
      <c r="F1889" s="15" t="s">
        <v>251</v>
      </c>
      <c r="G1889" s="1" t="s">
        <v>251</v>
      </c>
      <c r="H1889" s="1" t="str">
        <f>VLOOKUP(G1889,'languoid 4.0'!$A$1:$I$24439,2,FALSE)</f>
        <v>ural1272</v>
      </c>
      <c r="I1889" s="1" t="str">
        <f>VLOOKUP(G1889,'languoid 4.0'!$A$1:$I$24439,6,FALSE)</f>
        <v>family</v>
      </c>
      <c r="J1889" s="15" t="s">
        <v>38</v>
      </c>
      <c r="K1889" s="15" t="s">
        <v>38</v>
      </c>
      <c r="L1889" s="15" t="s">
        <v>38</v>
      </c>
      <c r="M1889" s="1"/>
      <c r="N1889" s="1"/>
      <c r="O1889" s="15" t="s">
        <v>113</v>
      </c>
      <c r="P1889" s="15" t="s">
        <v>41</v>
      </c>
      <c r="Q1889" s="1" t="s">
        <v>6485</v>
      </c>
      <c r="R1889" s="2" t="s">
        <v>6486</v>
      </c>
      <c r="S1889" s="1" t="s">
        <v>46</v>
      </c>
      <c r="T1889" s="1" t="s">
        <v>635</v>
      </c>
      <c r="U1889" s="1" t="s">
        <v>636</v>
      </c>
      <c r="V1889" s="1" t="s">
        <v>45</v>
      </c>
      <c r="W1889" s="1"/>
      <c r="X1889" s="1"/>
      <c r="Y1889" s="1"/>
      <c r="Z1889" s="1" t="s">
        <v>673</v>
      </c>
      <c r="AA1889" s="1" t="s">
        <v>46</v>
      </c>
      <c r="AB1889" s="1" t="s">
        <v>6487</v>
      </c>
      <c r="AC1889" s="1" t="s">
        <v>46</v>
      </c>
      <c r="AD1889" s="1"/>
      <c r="AE1889" s="1" t="s">
        <v>641</v>
      </c>
      <c r="AF1889" s="1" t="s">
        <v>190</v>
      </c>
      <c r="AG1889" s="1">
        <v>6</v>
      </c>
      <c r="AH1889" s="1" t="s">
        <v>190</v>
      </c>
      <c r="AI1889" s="1"/>
      <c r="AJ1889" s="3">
        <v>43441.523356481484</v>
      </c>
      <c r="AK1889" s="1" t="s">
        <v>6484</v>
      </c>
    </row>
    <row r="1890" spans="1:37">
      <c r="A1890" s="1" t="str">
        <f>VLOOKUP(H1890,Languages!$A$2:$B$430,2,FALSE)</f>
        <v>Uralic</v>
      </c>
      <c r="B1890" s="1" t="s">
        <v>1812</v>
      </c>
      <c r="C1890" s="1" t="s">
        <v>249</v>
      </c>
      <c r="D1890" s="1" t="s">
        <v>10114</v>
      </c>
      <c r="E1890" s="15" t="s">
        <v>10115</v>
      </c>
      <c r="F1890" s="15" t="s">
        <v>10115</v>
      </c>
      <c r="G1890" s="1" t="s">
        <v>10115</v>
      </c>
      <c r="H1890" s="1" t="str">
        <f>VLOOKUP(G1890,'languoid 4.0'!$A$1:$I$24439,2,FALSE)</f>
        <v>ural1272</v>
      </c>
      <c r="I1890" s="1" t="str">
        <f>VLOOKUP(G1890,'languoid 4.0'!$A$1:$I$24439,6,FALSE)</f>
        <v>language</v>
      </c>
      <c r="J1890" s="15" t="s">
        <v>38</v>
      </c>
      <c r="K1890" s="15" t="s">
        <v>38</v>
      </c>
      <c r="L1890" s="15" t="s">
        <v>38</v>
      </c>
      <c r="M1890" s="1"/>
      <c r="N1890" s="1" t="s">
        <v>10116</v>
      </c>
      <c r="O1890" s="15" t="s">
        <v>40</v>
      </c>
      <c r="P1890" s="15" t="s">
        <v>41</v>
      </c>
      <c r="Q1890" s="1" t="s">
        <v>10117</v>
      </c>
      <c r="R1890" s="2" t="s">
        <v>10118</v>
      </c>
      <c r="S1890" s="1" t="s">
        <v>46</v>
      </c>
      <c r="T1890" s="1" t="s">
        <v>10103</v>
      </c>
      <c r="U1890" s="1" t="s">
        <v>636</v>
      </c>
      <c r="V1890" s="1" t="s">
        <v>45</v>
      </c>
      <c r="W1890" s="1"/>
      <c r="X1890" s="1"/>
      <c r="Y1890" s="1"/>
      <c r="Z1890" s="1" t="s">
        <v>658</v>
      </c>
      <c r="AA1890" s="1" t="s">
        <v>10119</v>
      </c>
      <c r="AB1890" s="1" t="s">
        <v>46</v>
      </c>
      <c r="AC1890" s="1" t="s">
        <v>46</v>
      </c>
      <c r="AD1890" s="1" t="s">
        <v>10120</v>
      </c>
      <c r="AE1890" s="1" t="s">
        <v>641</v>
      </c>
      <c r="AF1890" s="1" t="s">
        <v>190</v>
      </c>
      <c r="AG1890" s="1">
        <v>6</v>
      </c>
      <c r="AH1890" s="1" t="s">
        <v>190</v>
      </c>
      <c r="AI1890" s="1"/>
      <c r="AJ1890" s="3">
        <v>43262.72859953704</v>
      </c>
      <c r="AK1890" s="1" t="s">
        <v>5640</v>
      </c>
    </row>
    <row r="1891" spans="1:37">
      <c r="A1891" s="1" t="str">
        <f>VLOOKUP(H1891,Languages!$A$2:$B$430,2,FALSE)</f>
        <v>Uralic</v>
      </c>
      <c r="B1891" s="1" t="s">
        <v>1707</v>
      </c>
      <c r="C1891" s="1" t="s">
        <v>10200</v>
      </c>
      <c r="D1891" s="1" t="s">
        <v>10267</v>
      </c>
      <c r="E1891" s="15" t="s">
        <v>10255</v>
      </c>
      <c r="F1891" s="15" t="s">
        <v>10255</v>
      </c>
      <c r="G1891" s="1" t="s">
        <v>10255</v>
      </c>
      <c r="H1891" s="1" t="str">
        <f>VLOOKUP(G1891,'languoid 4.0'!$A$1:$I$24439,2,FALSE)</f>
        <v>ural1272</v>
      </c>
      <c r="I1891" s="1" t="str">
        <f>VLOOKUP(G1891,'languoid 4.0'!$A$1:$I$24439,6,FALSE)</f>
        <v>language</v>
      </c>
      <c r="J1891" s="15" t="s">
        <v>38</v>
      </c>
      <c r="K1891" s="15" t="s">
        <v>38</v>
      </c>
      <c r="L1891" s="15" t="s">
        <v>38</v>
      </c>
      <c r="M1891" s="1"/>
      <c r="N1891" s="1" t="s">
        <v>10262</v>
      </c>
      <c r="O1891" s="15" t="s">
        <v>40</v>
      </c>
      <c r="P1891" s="15" t="s">
        <v>41</v>
      </c>
      <c r="Q1891" s="1" t="s">
        <v>10284</v>
      </c>
      <c r="R1891" s="2" t="s">
        <v>10285</v>
      </c>
      <c r="S1891" s="1" t="s">
        <v>46</v>
      </c>
      <c r="T1891" s="1" t="s">
        <v>635</v>
      </c>
      <c r="U1891" s="1" t="s">
        <v>636</v>
      </c>
      <c r="V1891" s="1" t="s">
        <v>45</v>
      </c>
      <c r="W1891" s="1"/>
      <c r="X1891" s="1"/>
      <c r="Y1891" s="1"/>
      <c r="Z1891" s="1" t="s">
        <v>673</v>
      </c>
      <c r="AA1891" s="1" t="s">
        <v>46</v>
      </c>
      <c r="AB1891" s="1" t="s">
        <v>10286</v>
      </c>
      <c r="AC1891" s="1" t="s">
        <v>46</v>
      </c>
      <c r="AD1891" s="1"/>
      <c r="AE1891" s="1" t="s">
        <v>641</v>
      </c>
      <c r="AF1891" s="1" t="s">
        <v>190</v>
      </c>
      <c r="AG1891" s="1">
        <v>6</v>
      </c>
      <c r="AH1891" s="1" t="s">
        <v>190</v>
      </c>
      <c r="AI1891" s="1"/>
      <c r="AJ1891" s="1" t="s">
        <v>10287</v>
      </c>
      <c r="AK1891" s="1" t="s">
        <v>4945</v>
      </c>
    </row>
    <row r="1892" spans="1:37">
      <c r="A1892" s="1" t="str">
        <f>VLOOKUP(H1892,Languages!$A$2:$B$430,2,FALSE)</f>
        <v>Uralic</v>
      </c>
      <c r="B1892" s="1" t="s">
        <v>1707</v>
      </c>
      <c r="C1892" s="1" t="s">
        <v>1405</v>
      </c>
      <c r="D1892" s="1" t="s">
        <v>3472</v>
      </c>
      <c r="E1892" s="15" t="s">
        <v>3473</v>
      </c>
      <c r="F1892" s="15" t="s">
        <v>3473</v>
      </c>
      <c r="G1892" s="1" t="s">
        <v>3473</v>
      </c>
      <c r="H1892" s="1" t="str">
        <f>VLOOKUP(G1892,'languoid 4.0'!$A$1:$I$24439,2,FALSE)</f>
        <v>ural1272</v>
      </c>
      <c r="I1892" s="1" t="str">
        <f>VLOOKUP(G1892,'languoid 4.0'!$A$1:$I$24439,6,FALSE)</f>
        <v>family</v>
      </c>
      <c r="J1892" s="15" t="s">
        <v>38</v>
      </c>
      <c r="K1892" s="15" t="s">
        <v>38</v>
      </c>
      <c r="L1892" s="15" t="s">
        <v>38</v>
      </c>
      <c r="M1892" s="1"/>
      <c r="N1892" s="1" t="s">
        <v>3474</v>
      </c>
      <c r="O1892" s="15" t="s">
        <v>113</v>
      </c>
      <c r="P1892" s="15" t="s">
        <v>41</v>
      </c>
      <c r="Q1892" s="1" t="s">
        <v>3475</v>
      </c>
      <c r="R1892" s="2" t="s">
        <v>3476</v>
      </c>
      <c r="S1892" s="1" t="s">
        <v>46</v>
      </c>
      <c r="T1892" s="1" t="s">
        <v>635</v>
      </c>
      <c r="U1892" s="1" t="s">
        <v>636</v>
      </c>
      <c r="V1892" s="1" t="s">
        <v>45</v>
      </c>
      <c r="W1892" s="1"/>
      <c r="X1892" s="1"/>
      <c r="Y1892" s="1"/>
      <c r="Z1892" s="1" t="s">
        <v>658</v>
      </c>
      <c r="AA1892" s="1" t="s">
        <v>3477</v>
      </c>
      <c r="AB1892" s="1" t="s">
        <v>46</v>
      </c>
      <c r="AC1892" s="1" t="s">
        <v>46</v>
      </c>
      <c r="AD1892" s="1"/>
      <c r="AE1892" s="1" t="s">
        <v>641</v>
      </c>
      <c r="AF1892" s="1" t="s">
        <v>190</v>
      </c>
      <c r="AG1892" s="1">
        <v>4</v>
      </c>
      <c r="AH1892" s="1" t="s">
        <v>190</v>
      </c>
      <c r="AI1892" s="1"/>
      <c r="AJ1892" s="1" t="s">
        <v>3478</v>
      </c>
      <c r="AK1892" s="1" t="s">
        <v>1598</v>
      </c>
    </row>
    <row r="1893" spans="1:37">
      <c r="A1893" s="1" t="str">
        <f>VLOOKUP(H1893,Languages!$A$2:$B$430,2,FALSE)</f>
        <v>Uralic</v>
      </c>
      <c r="B1893" s="1" t="s">
        <v>1707</v>
      </c>
      <c r="C1893" s="1" t="s">
        <v>249</v>
      </c>
      <c r="D1893" s="1" t="s">
        <v>250</v>
      </c>
      <c r="E1893" s="15" t="s">
        <v>251</v>
      </c>
      <c r="F1893" s="15" t="s">
        <v>251</v>
      </c>
      <c r="G1893" s="1" t="s">
        <v>251</v>
      </c>
      <c r="H1893" s="1" t="str">
        <f>VLOOKUP(G1893,'languoid 4.0'!$A$1:$I$24439,2,FALSE)</f>
        <v>ural1272</v>
      </c>
      <c r="I1893" s="1" t="str">
        <f>VLOOKUP(G1893,'languoid 4.0'!$A$1:$I$24439,6,FALSE)</f>
        <v>family</v>
      </c>
      <c r="J1893" s="15" t="s">
        <v>38</v>
      </c>
      <c r="K1893" s="15" t="s">
        <v>38</v>
      </c>
      <c r="L1893" s="15" t="s">
        <v>38</v>
      </c>
      <c r="M1893" s="1"/>
      <c r="N1893" s="1"/>
      <c r="O1893" s="15" t="s">
        <v>113</v>
      </c>
      <c r="P1893" s="15" t="s">
        <v>41</v>
      </c>
      <c r="Q1893" s="1" t="s">
        <v>6481</v>
      </c>
      <c r="R1893" s="2" t="s">
        <v>6482</v>
      </c>
      <c r="S1893" s="1" t="s">
        <v>46</v>
      </c>
      <c r="T1893" s="1" t="s">
        <v>635</v>
      </c>
      <c r="U1893" s="1" t="s">
        <v>636</v>
      </c>
      <c r="V1893" s="1" t="s">
        <v>45</v>
      </c>
      <c r="W1893" s="1"/>
      <c r="X1893" s="1"/>
      <c r="Y1893" s="1"/>
      <c r="Z1893" s="1" t="s">
        <v>658</v>
      </c>
      <c r="AA1893" s="1" t="s">
        <v>6483</v>
      </c>
      <c r="AB1893" s="1" t="s">
        <v>46</v>
      </c>
      <c r="AC1893" s="1" t="s">
        <v>46</v>
      </c>
      <c r="AD1893" s="1"/>
      <c r="AE1893" s="1" t="s">
        <v>641</v>
      </c>
      <c r="AF1893" s="1" t="s">
        <v>190</v>
      </c>
      <c r="AG1893" s="1">
        <v>6</v>
      </c>
      <c r="AH1893" s="1" t="s">
        <v>190</v>
      </c>
      <c r="AI1893" s="1"/>
      <c r="AJ1893" s="3">
        <v>43441.501261574071</v>
      </c>
      <c r="AK1893" s="1" t="s">
        <v>6484</v>
      </c>
    </row>
    <row r="1894" spans="1:37">
      <c r="A1894" s="1" t="str">
        <f>VLOOKUP(H1894,Languages!$A$2:$B$430,2,FALSE)</f>
        <v>Uralic</v>
      </c>
      <c r="B1894" s="1" t="s">
        <v>1707</v>
      </c>
      <c r="C1894" s="1" t="s">
        <v>249</v>
      </c>
      <c r="D1894" s="1" t="s">
        <v>250</v>
      </c>
      <c r="E1894" s="15" t="s">
        <v>251</v>
      </c>
      <c r="F1894" s="15" t="s">
        <v>251</v>
      </c>
      <c r="G1894" s="1" t="s">
        <v>251</v>
      </c>
      <c r="H1894" s="1" t="str">
        <f>VLOOKUP(G1894,'languoid 4.0'!$A$1:$I$24439,2,FALSE)</f>
        <v>ural1272</v>
      </c>
      <c r="I1894" s="1" t="str">
        <f>VLOOKUP(G1894,'languoid 4.0'!$A$1:$I$24439,6,FALSE)</f>
        <v>family</v>
      </c>
      <c r="J1894" s="15" t="s">
        <v>38</v>
      </c>
      <c r="K1894" s="15" t="s">
        <v>38</v>
      </c>
      <c r="L1894" s="15" t="s">
        <v>38</v>
      </c>
      <c r="M1894" s="1"/>
      <c r="N1894" s="1"/>
      <c r="O1894" s="15" t="s">
        <v>113</v>
      </c>
      <c r="P1894" s="15" t="s">
        <v>41</v>
      </c>
      <c r="Q1894" s="1" t="s">
        <v>6481</v>
      </c>
      <c r="R1894" s="2" t="s">
        <v>6488</v>
      </c>
      <c r="S1894" s="1" t="s">
        <v>46</v>
      </c>
      <c r="T1894" s="1" t="s">
        <v>648</v>
      </c>
      <c r="U1894" s="1" t="s">
        <v>636</v>
      </c>
      <c r="V1894" s="1" t="s">
        <v>45</v>
      </c>
      <c r="W1894" s="1"/>
      <c r="X1894" s="1"/>
      <c r="Y1894" s="1"/>
      <c r="Z1894" s="1" t="s">
        <v>658</v>
      </c>
      <c r="AA1894" s="1" t="s">
        <v>3204</v>
      </c>
      <c r="AB1894" s="1" t="s">
        <v>6489</v>
      </c>
      <c r="AC1894" s="1" t="s">
        <v>46</v>
      </c>
      <c r="AD1894" s="1"/>
      <c r="AE1894" s="1" t="s">
        <v>641</v>
      </c>
      <c r="AF1894" s="1" t="s">
        <v>190</v>
      </c>
      <c r="AG1894" s="1">
        <v>6</v>
      </c>
      <c r="AH1894" s="1" t="s">
        <v>190</v>
      </c>
      <c r="AI1894" s="1"/>
      <c r="AJ1894" s="3">
        <v>43441.528541666667</v>
      </c>
      <c r="AK1894" s="1" t="s">
        <v>6484</v>
      </c>
    </row>
    <row r="1895" spans="1:37">
      <c r="A1895" s="1" t="str">
        <f>VLOOKUP(H1895,Languages!$A$2:$B$430,2,FALSE)</f>
        <v>Uralic</v>
      </c>
      <c r="B1895" s="1" t="s">
        <v>1707</v>
      </c>
      <c r="C1895" s="1" t="s">
        <v>249</v>
      </c>
      <c r="D1895" s="1" t="s">
        <v>10098</v>
      </c>
      <c r="E1895" s="15" t="s">
        <v>10099</v>
      </c>
      <c r="F1895" s="15" t="s">
        <v>10100</v>
      </c>
      <c r="G1895" s="1" t="s">
        <v>10100</v>
      </c>
      <c r="H1895" s="1" t="str">
        <f>VLOOKUP(G1895,'languoid 4.0'!$A$1:$I$24439,2,FALSE)</f>
        <v>ural1272</v>
      </c>
      <c r="I1895" s="1" t="str">
        <f>VLOOKUP(G1895,'languoid 4.0'!$A$1:$I$24439,6,FALSE)</f>
        <v>language</v>
      </c>
      <c r="J1895" s="15" t="s">
        <v>52</v>
      </c>
      <c r="K1895" s="15" t="s">
        <v>38</v>
      </c>
      <c r="L1895" s="15" t="s">
        <v>38</v>
      </c>
      <c r="M1895" s="1"/>
      <c r="N1895" s="1" t="s">
        <v>10101</v>
      </c>
      <c r="O1895" s="15" t="s">
        <v>40</v>
      </c>
      <c r="P1895" s="15" t="s">
        <v>41</v>
      </c>
      <c r="Q1895" s="1" t="s">
        <v>10106</v>
      </c>
      <c r="R1895" s="2" t="s">
        <v>10107</v>
      </c>
      <c r="S1895" s="1" t="s">
        <v>46</v>
      </c>
      <c r="T1895" s="1" t="s">
        <v>10103</v>
      </c>
      <c r="U1895" s="1" t="s">
        <v>636</v>
      </c>
      <c r="V1895" s="1" t="s">
        <v>45</v>
      </c>
      <c r="W1895" s="1"/>
      <c r="X1895" s="1"/>
      <c r="Y1895" s="1"/>
      <c r="Z1895" s="1" t="s">
        <v>658</v>
      </c>
      <c r="AA1895" s="1" t="s">
        <v>10108</v>
      </c>
      <c r="AB1895" s="1" t="s">
        <v>46</v>
      </c>
      <c r="AC1895" s="1" t="s">
        <v>46</v>
      </c>
      <c r="AD1895" s="1" t="s">
        <v>10109</v>
      </c>
      <c r="AE1895" s="1" t="s">
        <v>641</v>
      </c>
      <c r="AF1895" s="1" t="s">
        <v>190</v>
      </c>
      <c r="AG1895" s="1">
        <v>6</v>
      </c>
      <c r="AH1895" s="1" t="s">
        <v>190</v>
      </c>
      <c r="AI1895" s="1"/>
      <c r="AJ1895" s="3">
        <v>43262.722314814811</v>
      </c>
      <c r="AK1895" s="1" t="s">
        <v>5640</v>
      </c>
    </row>
    <row r="1896" spans="1:37">
      <c r="A1896" s="1" t="str">
        <f>VLOOKUP(H1896,Languages!$A$2:$B$430,2,FALSE)</f>
        <v>Uralic</v>
      </c>
      <c r="B1896" s="1" t="s">
        <v>1707</v>
      </c>
      <c r="C1896" s="1" t="s">
        <v>249</v>
      </c>
      <c r="D1896" s="1" t="s">
        <v>10098</v>
      </c>
      <c r="E1896" s="15" t="s">
        <v>10099</v>
      </c>
      <c r="F1896" s="15" t="s">
        <v>10100</v>
      </c>
      <c r="G1896" s="1" t="s">
        <v>10100</v>
      </c>
      <c r="H1896" s="1" t="str">
        <f>VLOOKUP(G1896,'languoid 4.0'!$A$1:$I$24439,2,FALSE)</f>
        <v>ural1272</v>
      </c>
      <c r="I1896" s="1" t="str">
        <f>VLOOKUP(G1896,'languoid 4.0'!$A$1:$I$24439,6,FALSE)</f>
        <v>language</v>
      </c>
      <c r="J1896" s="15" t="s">
        <v>52</v>
      </c>
      <c r="K1896" s="15" t="s">
        <v>38</v>
      </c>
      <c r="L1896" s="15" t="s">
        <v>38</v>
      </c>
      <c r="M1896" s="1"/>
      <c r="N1896" s="1" t="s">
        <v>10101</v>
      </c>
      <c r="O1896" s="15" t="s">
        <v>40</v>
      </c>
      <c r="P1896" s="15" t="s">
        <v>41</v>
      </c>
      <c r="Q1896" s="1" t="s">
        <v>10110</v>
      </c>
      <c r="R1896" s="2" t="s">
        <v>10111</v>
      </c>
      <c r="S1896" s="1" t="s">
        <v>46</v>
      </c>
      <c r="T1896" s="1" t="s">
        <v>10103</v>
      </c>
      <c r="U1896" s="1" t="s">
        <v>636</v>
      </c>
      <c r="V1896" s="1" t="s">
        <v>45</v>
      </c>
      <c r="W1896" s="1"/>
      <c r="X1896" s="1"/>
      <c r="Y1896" s="1"/>
      <c r="Z1896" s="1" t="s">
        <v>658</v>
      </c>
      <c r="AA1896" s="1" t="s">
        <v>10112</v>
      </c>
      <c r="AB1896" s="1" t="s">
        <v>46</v>
      </c>
      <c r="AC1896" s="1" t="s">
        <v>46</v>
      </c>
      <c r="AD1896" s="1" t="s">
        <v>10113</v>
      </c>
      <c r="AE1896" s="1" t="s">
        <v>641</v>
      </c>
      <c r="AF1896" s="1" t="s">
        <v>190</v>
      </c>
      <c r="AG1896" s="1">
        <v>6</v>
      </c>
      <c r="AH1896" s="1" t="s">
        <v>190</v>
      </c>
      <c r="AI1896" s="1"/>
      <c r="AJ1896" s="3">
        <v>43262.724594907406</v>
      </c>
      <c r="AK1896" s="1" t="s">
        <v>5640</v>
      </c>
    </row>
    <row r="1897" spans="1:37">
      <c r="A1897" s="1" t="str">
        <f>VLOOKUP(H1897,Languages!$A$2:$B$430,2,FALSE)</f>
        <v>Uralic</v>
      </c>
      <c r="B1897" s="1" t="s">
        <v>1707</v>
      </c>
      <c r="C1897" s="1" t="s">
        <v>249</v>
      </c>
      <c r="D1897" s="1" t="s">
        <v>10114</v>
      </c>
      <c r="E1897" s="15" t="s">
        <v>10115</v>
      </c>
      <c r="F1897" s="15" t="s">
        <v>10115</v>
      </c>
      <c r="G1897" s="1" t="s">
        <v>10115</v>
      </c>
      <c r="H1897" s="1" t="str">
        <f>VLOOKUP(G1897,'languoid 4.0'!$A$1:$I$24439,2,FALSE)</f>
        <v>ural1272</v>
      </c>
      <c r="I1897" s="1" t="str">
        <f>VLOOKUP(G1897,'languoid 4.0'!$A$1:$I$24439,6,FALSE)</f>
        <v>language</v>
      </c>
      <c r="J1897" s="15" t="s">
        <v>38</v>
      </c>
      <c r="K1897" s="15" t="s">
        <v>38</v>
      </c>
      <c r="L1897" s="15" t="s">
        <v>38</v>
      </c>
      <c r="M1897" s="1"/>
      <c r="N1897" s="1" t="s">
        <v>10116</v>
      </c>
      <c r="O1897" s="15" t="s">
        <v>40</v>
      </c>
      <c r="P1897" s="15" t="s">
        <v>41</v>
      </c>
      <c r="Q1897" s="1" t="s">
        <v>3204</v>
      </c>
      <c r="R1897" s="2" t="s">
        <v>10121</v>
      </c>
      <c r="S1897" s="1" t="s">
        <v>46</v>
      </c>
      <c r="T1897" s="1" t="s">
        <v>10103</v>
      </c>
      <c r="U1897" s="1" t="s">
        <v>636</v>
      </c>
      <c r="V1897" s="1" t="s">
        <v>45</v>
      </c>
      <c r="W1897" s="1"/>
      <c r="X1897" s="1"/>
      <c r="Y1897" s="1"/>
      <c r="Z1897" s="1" t="s">
        <v>658</v>
      </c>
      <c r="AA1897" s="1" t="s">
        <v>10122</v>
      </c>
      <c r="AB1897" s="1" t="s">
        <v>46</v>
      </c>
      <c r="AC1897" s="1" t="s">
        <v>46</v>
      </c>
      <c r="AD1897" s="1" t="s">
        <v>10123</v>
      </c>
      <c r="AE1897" s="1" t="s">
        <v>641</v>
      </c>
      <c r="AF1897" s="1" t="s">
        <v>190</v>
      </c>
      <c r="AG1897" s="1">
        <v>6</v>
      </c>
      <c r="AH1897" s="1" t="s">
        <v>190</v>
      </c>
      <c r="AI1897" s="1"/>
      <c r="AJ1897" s="3">
        <v>43262.731122685182</v>
      </c>
      <c r="AK1897" s="1" t="s">
        <v>5640</v>
      </c>
    </row>
    <row r="1898" spans="1:37">
      <c r="A1898" s="1" t="str">
        <f>VLOOKUP(H1898,Languages!$A$2:$B$430,2,FALSE)</f>
        <v>Uralic</v>
      </c>
      <c r="B1898" s="1" t="s">
        <v>1707</v>
      </c>
      <c r="C1898" s="1" t="s">
        <v>249</v>
      </c>
      <c r="D1898" s="1" t="s">
        <v>10114</v>
      </c>
      <c r="E1898" s="15" t="s">
        <v>10115</v>
      </c>
      <c r="F1898" s="15" t="s">
        <v>10115</v>
      </c>
      <c r="G1898" s="1" t="s">
        <v>10115</v>
      </c>
      <c r="H1898" s="1" t="str">
        <f>VLOOKUP(G1898,'languoid 4.0'!$A$1:$I$24439,2,FALSE)</f>
        <v>ural1272</v>
      </c>
      <c r="I1898" s="1" t="str">
        <f>VLOOKUP(G1898,'languoid 4.0'!$A$1:$I$24439,6,FALSE)</f>
        <v>language</v>
      </c>
      <c r="J1898" s="15" t="s">
        <v>38</v>
      </c>
      <c r="K1898" s="15" t="s">
        <v>38</v>
      </c>
      <c r="L1898" s="15" t="s">
        <v>38</v>
      </c>
      <c r="M1898" s="1"/>
      <c r="N1898" s="1" t="s">
        <v>10116</v>
      </c>
      <c r="O1898" s="15" t="s">
        <v>40</v>
      </c>
      <c r="P1898" s="15" t="s">
        <v>41</v>
      </c>
      <c r="Q1898" s="1" t="s">
        <v>10124</v>
      </c>
      <c r="R1898" s="2" t="s">
        <v>10125</v>
      </c>
      <c r="S1898" s="1" t="s">
        <v>46</v>
      </c>
      <c r="T1898" s="1" t="s">
        <v>10103</v>
      </c>
      <c r="U1898" s="1" t="s">
        <v>636</v>
      </c>
      <c r="V1898" s="1" t="s">
        <v>45</v>
      </c>
      <c r="W1898" s="1"/>
      <c r="X1898" s="1"/>
      <c r="Y1898" s="1"/>
      <c r="Z1898" s="1" t="s">
        <v>658</v>
      </c>
      <c r="AA1898" s="1" t="s">
        <v>10126</v>
      </c>
      <c r="AB1898" s="1" t="s">
        <v>46</v>
      </c>
      <c r="AC1898" s="1" t="s">
        <v>46</v>
      </c>
      <c r="AD1898" s="1" t="s">
        <v>10127</v>
      </c>
      <c r="AE1898" s="1" t="s">
        <v>641</v>
      </c>
      <c r="AF1898" s="1" t="s">
        <v>190</v>
      </c>
      <c r="AG1898" s="1">
        <v>6</v>
      </c>
      <c r="AH1898" s="1" t="s">
        <v>190</v>
      </c>
      <c r="AI1898" s="1"/>
      <c r="AJ1898" s="3">
        <v>43262.733715277776</v>
      </c>
      <c r="AK1898" s="1" t="s">
        <v>5640</v>
      </c>
    </row>
    <row r="1899" spans="1:37">
      <c r="A1899" s="1" t="str">
        <f>VLOOKUP(H1899,Languages!$A$2:$B$430,2,FALSE)</f>
        <v>Uru-Chipaya</v>
      </c>
      <c r="B1899" s="1" t="s">
        <v>1707</v>
      </c>
      <c r="C1899" s="1" t="s">
        <v>139</v>
      </c>
      <c r="D1899" s="1" t="s">
        <v>9831</v>
      </c>
      <c r="E1899" s="15" t="s">
        <v>9832</v>
      </c>
      <c r="F1899" s="15" t="s">
        <v>9832</v>
      </c>
      <c r="G1899" s="1" t="s">
        <v>9832</v>
      </c>
      <c r="H1899" s="1" t="str">
        <f>VLOOKUP(G1899,'languoid 4.0'!$A$1:$I$24439,2,FALSE)</f>
        <v>uruc1242</v>
      </c>
      <c r="I1899" s="1" t="str">
        <f>VLOOKUP(G1899,'languoid 4.0'!$A$1:$I$24439,6,FALSE)</f>
        <v>language</v>
      </c>
      <c r="J1899" s="15" t="s">
        <v>38</v>
      </c>
      <c r="K1899" s="15" t="s">
        <v>38</v>
      </c>
      <c r="L1899" s="15" t="s">
        <v>38</v>
      </c>
      <c r="M1899" s="1"/>
      <c r="N1899" s="1" t="s">
        <v>9833</v>
      </c>
      <c r="O1899" s="15" t="s">
        <v>40</v>
      </c>
      <c r="P1899" s="15" t="s">
        <v>41</v>
      </c>
      <c r="Q1899" s="1" t="s">
        <v>9834</v>
      </c>
      <c r="R1899" s="2" t="s">
        <v>9835</v>
      </c>
      <c r="S1899" s="1" t="s">
        <v>46</v>
      </c>
      <c r="T1899" s="1" t="s">
        <v>635</v>
      </c>
      <c r="U1899" s="1" t="s">
        <v>636</v>
      </c>
      <c r="V1899" s="1" t="s">
        <v>45</v>
      </c>
      <c r="W1899" s="1"/>
      <c r="X1899" s="1"/>
      <c r="Y1899" s="1"/>
      <c r="Z1899" s="1" t="s">
        <v>658</v>
      </c>
      <c r="AA1899" s="1" t="s">
        <v>9836</v>
      </c>
      <c r="AB1899" s="1" t="s">
        <v>46</v>
      </c>
      <c r="AC1899" s="1" t="s">
        <v>46</v>
      </c>
      <c r="AD1899" s="1" t="s">
        <v>46</v>
      </c>
      <c r="AE1899" s="1" t="s">
        <v>641</v>
      </c>
      <c r="AF1899" s="1" t="s">
        <v>190</v>
      </c>
      <c r="AG1899" s="1">
        <v>6</v>
      </c>
      <c r="AH1899" s="1" t="s">
        <v>190</v>
      </c>
      <c r="AI1899" s="1"/>
      <c r="AJ1899" s="1" t="s">
        <v>9837</v>
      </c>
      <c r="AK1899" s="1" t="s">
        <v>8645</v>
      </c>
    </row>
    <row r="1900" spans="1:37">
      <c r="A1900" s="1" t="str">
        <f>VLOOKUP(H1900,Languages!$A$2:$B$430,2,FALSE)</f>
        <v>Uto-Aztecan</v>
      </c>
      <c r="B1900" s="1" t="s">
        <v>67</v>
      </c>
      <c r="C1900" s="1" t="s">
        <v>154</v>
      </c>
      <c r="D1900" s="1" t="s">
        <v>6608</v>
      </c>
      <c r="E1900" s="15" t="s">
        <v>6609</v>
      </c>
      <c r="F1900" s="15" t="s">
        <v>6609</v>
      </c>
      <c r="G1900" s="1" t="s">
        <v>6609</v>
      </c>
      <c r="H1900" s="1" t="str">
        <f>VLOOKUP(G1900,'languoid 4.0'!$A$1:$I$24439,2,FALSE)</f>
        <v>utoa1244</v>
      </c>
      <c r="I1900" s="1" t="str">
        <f>VLOOKUP(G1900,'languoid 4.0'!$A$1:$I$24439,6,FALSE)</f>
        <v>language</v>
      </c>
      <c r="J1900" s="15" t="s">
        <v>38</v>
      </c>
      <c r="K1900" s="15" t="s">
        <v>38</v>
      </c>
      <c r="L1900" s="15" t="s">
        <v>38</v>
      </c>
      <c r="M1900" s="1"/>
      <c r="N1900" s="1" t="s">
        <v>6610</v>
      </c>
      <c r="O1900" s="15" t="s">
        <v>40</v>
      </c>
      <c r="P1900" s="15" t="s">
        <v>41</v>
      </c>
      <c r="Q1900" s="1" t="s">
        <v>6611</v>
      </c>
      <c r="R1900" s="2" t="s">
        <v>6612</v>
      </c>
      <c r="S1900" s="1" t="s">
        <v>6378</v>
      </c>
      <c r="T1900" s="1" t="s">
        <v>6428</v>
      </c>
      <c r="U1900" s="1" t="s">
        <v>6613</v>
      </c>
      <c r="V1900" s="1" t="s">
        <v>45</v>
      </c>
      <c r="W1900" s="1"/>
      <c r="X1900" s="1"/>
      <c r="Y1900" s="1"/>
      <c r="Z1900" s="1" t="s">
        <v>637</v>
      </c>
      <c r="AA1900" s="1" t="s">
        <v>6614</v>
      </c>
      <c r="AB1900" s="1" t="s">
        <v>6615</v>
      </c>
      <c r="AC1900" s="1" t="s">
        <v>46</v>
      </c>
      <c r="AD1900" s="1"/>
      <c r="AE1900" s="1" t="s">
        <v>641</v>
      </c>
      <c r="AF1900" s="1" t="s">
        <v>190</v>
      </c>
      <c r="AG1900" s="1">
        <v>5</v>
      </c>
      <c r="AH1900" s="1" t="s">
        <v>190</v>
      </c>
      <c r="AI1900" s="1"/>
      <c r="AJ1900" s="1" t="s">
        <v>6616</v>
      </c>
      <c r="AK1900" s="1" t="s">
        <v>6365</v>
      </c>
    </row>
    <row r="1901" spans="1:37">
      <c r="A1901" s="1" t="str">
        <f>VLOOKUP(H1901,Languages!$A$2:$B$430,2,FALSE)</f>
        <v>Uto-Aztecan</v>
      </c>
      <c r="B1901" s="1" t="s">
        <v>67</v>
      </c>
      <c r="C1901" s="1" t="s">
        <v>154</v>
      </c>
      <c r="D1901" s="1" t="s">
        <v>6608</v>
      </c>
      <c r="E1901" s="15" t="s">
        <v>6609</v>
      </c>
      <c r="F1901" s="15" t="s">
        <v>6609</v>
      </c>
      <c r="G1901" s="1" t="s">
        <v>6609</v>
      </c>
      <c r="H1901" s="1" t="str">
        <f>VLOOKUP(G1901,'languoid 4.0'!$A$1:$I$24439,2,FALSE)</f>
        <v>utoa1244</v>
      </c>
      <c r="I1901" s="1" t="str">
        <f>VLOOKUP(G1901,'languoid 4.0'!$A$1:$I$24439,6,FALSE)</f>
        <v>language</v>
      </c>
      <c r="J1901" s="15" t="s">
        <v>38</v>
      </c>
      <c r="K1901" s="15" t="s">
        <v>38</v>
      </c>
      <c r="L1901" s="15" t="s">
        <v>38</v>
      </c>
      <c r="M1901" s="1"/>
      <c r="N1901" s="1" t="s">
        <v>6610</v>
      </c>
      <c r="O1901" s="15" t="s">
        <v>40</v>
      </c>
      <c r="P1901" s="15" t="s">
        <v>41</v>
      </c>
      <c r="Q1901" s="1" t="s">
        <v>6617</v>
      </c>
      <c r="R1901" s="2" t="s">
        <v>6612</v>
      </c>
      <c r="S1901" s="1" t="s">
        <v>6618</v>
      </c>
      <c r="T1901" s="1" t="s">
        <v>6428</v>
      </c>
      <c r="U1901" s="1" t="s">
        <v>636</v>
      </c>
      <c r="V1901" s="1" t="s">
        <v>45</v>
      </c>
      <c r="W1901" s="1"/>
      <c r="X1901" s="1"/>
      <c r="Y1901" s="1"/>
      <c r="Z1901" s="1" t="s">
        <v>673</v>
      </c>
      <c r="AA1901" s="1" t="s">
        <v>46</v>
      </c>
      <c r="AB1901" s="1" t="s">
        <v>6619</v>
      </c>
      <c r="AC1901" s="1" t="s">
        <v>46</v>
      </c>
      <c r="AD1901" s="1"/>
      <c r="AE1901" s="1" t="s">
        <v>641</v>
      </c>
      <c r="AF1901" s="1" t="s">
        <v>45</v>
      </c>
      <c r="AG1901" s="1">
        <v>1</v>
      </c>
      <c r="AH1901" s="1" t="s">
        <v>190</v>
      </c>
      <c r="AI1901" s="1"/>
      <c r="AJ1901" s="1" t="s">
        <v>6620</v>
      </c>
      <c r="AK1901" s="1" t="s">
        <v>6365</v>
      </c>
    </row>
    <row r="1902" spans="1:37">
      <c r="A1902" s="1" t="str">
        <f>VLOOKUP(H1902,Languages!$A$2:$B$430,2,FALSE)</f>
        <v>Uto-Aztecan</v>
      </c>
      <c r="B1902" s="1" t="s">
        <v>67</v>
      </c>
      <c r="C1902" s="1" t="s">
        <v>5463</v>
      </c>
      <c r="D1902" s="1" t="s">
        <v>6253</v>
      </c>
      <c r="E1902" s="15" t="s">
        <v>2723</v>
      </c>
      <c r="F1902" s="15" t="s">
        <v>2723</v>
      </c>
      <c r="G1902" s="1" t="s">
        <v>2723</v>
      </c>
      <c r="H1902" s="1" t="str">
        <f>VLOOKUP(G1902,'languoid 4.0'!$A$1:$I$24439,2,FALSE)</f>
        <v>utoa1244</v>
      </c>
      <c r="I1902" s="1" t="str">
        <f>VLOOKUP(G1902,'languoid 4.0'!$A$1:$I$24439,6,FALSE)</f>
        <v>language</v>
      </c>
      <c r="J1902" s="15" t="s">
        <v>38</v>
      </c>
      <c r="K1902" s="15" t="s">
        <v>38</v>
      </c>
      <c r="L1902" s="15" t="s">
        <v>38</v>
      </c>
      <c r="M1902" s="1"/>
      <c r="N1902" s="1" t="s">
        <v>2724</v>
      </c>
      <c r="O1902" s="15" t="s">
        <v>40</v>
      </c>
      <c r="P1902" s="15" t="s">
        <v>41</v>
      </c>
      <c r="Q1902" s="1" t="s">
        <v>6254</v>
      </c>
      <c r="R1902" s="2" t="s">
        <v>6255</v>
      </c>
      <c r="S1902" s="1" t="s">
        <v>46</v>
      </c>
      <c r="T1902" s="1" t="s">
        <v>635</v>
      </c>
      <c r="U1902" s="1" t="s">
        <v>1738</v>
      </c>
      <c r="V1902" s="1" t="s">
        <v>45</v>
      </c>
      <c r="W1902" s="1"/>
      <c r="X1902" s="1"/>
      <c r="Y1902" s="1"/>
      <c r="Z1902" s="1" t="s">
        <v>658</v>
      </c>
      <c r="AA1902" s="1" t="s">
        <v>6256</v>
      </c>
      <c r="AB1902" s="1" t="s">
        <v>46</v>
      </c>
      <c r="AC1902" s="1" t="s">
        <v>46</v>
      </c>
      <c r="AD1902" s="1"/>
      <c r="AE1902" s="1" t="s">
        <v>641</v>
      </c>
      <c r="AF1902" s="1" t="s">
        <v>190</v>
      </c>
      <c r="AG1902" s="1">
        <v>3</v>
      </c>
      <c r="AH1902" s="1" t="s">
        <v>190</v>
      </c>
      <c r="AI1902" s="1"/>
      <c r="AJ1902" s="3">
        <v>43227.500937500001</v>
      </c>
      <c r="AK1902" s="1" t="s">
        <v>5472</v>
      </c>
    </row>
    <row r="1903" spans="1:37">
      <c r="A1903" s="1" t="str">
        <f>VLOOKUP(H1903,Languages!$A$2:$B$430,2,FALSE)</f>
        <v>Uto-Aztecan</v>
      </c>
      <c r="B1903" s="1" t="s">
        <v>67</v>
      </c>
      <c r="C1903" s="1" t="s">
        <v>5463</v>
      </c>
      <c r="D1903" s="1" t="s">
        <v>6253</v>
      </c>
      <c r="E1903" s="15" t="s">
        <v>2723</v>
      </c>
      <c r="F1903" s="15" t="s">
        <v>2723</v>
      </c>
      <c r="G1903" s="1" t="s">
        <v>2723</v>
      </c>
      <c r="H1903" s="1" t="str">
        <f>VLOOKUP(G1903,'languoid 4.0'!$A$1:$I$24439,2,FALSE)</f>
        <v>utoa1244</v>
      </c>
      <c r="I1903" s="1" t="str">
        <f>VLOOKUP(G1903,'languoid 4.0'!$A$1:$I$24439,6,FALSE)</f>
        <v>language</v>
      </c>
      <c r="J1903" s="15" t="s">
        <v>38</v>
      </c>
      <c r="K1903" s="15" t="s">
        <v>38</v>
      </c>
      <c r="L1903" s="15" t="s">
        <v>38</v>
      </c>
      <c r="M1903" s="1"/>
      <c r="N1903" s="1" t="s">
        <v>2724</v>
      </c>
      <c r="O1903" s="15" t="s">
        <v>40</v>
      </c>
      <c r="P1903" s="15" t="s">
        <v>41</v>
      </c>
      <c r="Q1903" s="1" t="s">
        <v>6254</v>
      </c>
      <c r="R1903" s="2" t="s">
        <v>6257</v>
      </c>
      <c r="S1903" s="1" t="s">
        <v>46</v>
      </c>
      <c r="T1903" s="1" t="s">
        <v>635</v>
      </c>
      <c r="U1903" s="1" t="s">
        <v>1738</v>
      </c>
      <c r="V1903" s="1" t="s">
        <v>45</v>
      </c>
      <c r="W1903" s="1"/>
      <c r="X1903" s="1"/>
      <c r="Y1903" s="1"/>
      <c r="Z1903" s="1" t="s">
        <v>658</v>
      </c>
      <c r="AA1903" s="1" t="s">
        <v>6258</v>
      </c>
      <c r="AB1903" s="1" t="s">
        <v>46</v>
      </c>
      <c r="AC1903" s="1" t="s">
        <v>46</v>
      </c>
      <c r="AD1903" s="1"/>
      <c r="AE1903" s="1" t="s">
        <v>641</v>
      </c>
      <c r="AF1903" s="1" t="s">
        <v>190</v>
      </c>
      <c r="AG1903" s="1">
        <v>5</v>
      </c>
      <c r="AH1903" s="1" t="s">
        <v>190</v>
      </c>
      <c r="AI1903" s="1"/>
      <c r="AJ1903" s="3">
        <v>43227.508194444446</v>
      </c>
      <c r="AK1903" s="1" t="s">
        <v>5472</v>
      </c>
    </row>
    <row r="1904" spans="1:37">
      <c r="A1904" s="1" t="str">
        <f>VLOOKUP(H1904,Languages!$A$2:$B$430,2,FALSE)</f>
        <v>Uto-Aztecan</v>
      </c>
      <c r="B1904" s="1" t="s">
        <v>67</v>
      </c>
      <c r="C1904" s="1" t="s">
        <v>5463</v>
      </c>
      <c r="D1904" s="1" t="s">
        <v>6253</v>
      </c>
      <c r="E1904" s="15" t="s">
        <v>2723</v>
      </c>
      <c r="F1904" s="15" t="s">
        <v>2723</v>
      </c>
      <c r="G1904" s="1" t="s">
        <v>2723</v>
      </c>
      <c r="H1904" s="1" t="str">
        <f>VLOOKUP(G1904,'languoid 4.0'!$A$1:$I$24439,2,FALSE)</f>
        <v>utoa1244</v>
      </c>
      <c r="I1904" s="1" t="str">
        <f>VLOOKUP(G1904,'languoid 4.0'!$A$1:$I$24439,6,FALSE)</f>
        <v>language</v>
      </c>
      <c r="J1904" s="15" t="s">
        <v>38</v>
      </c>
      <c r="K1904" s="15" t="s">
        <v>38</v>
      </c>
      <c r="L1904" s="15" t="s">
        <v>38</v>
      </c>
      <c r="M1904" s="1"/>
      <c r="N1904" s="1" t="s">
        <v>2724</v>
      </c>
      <c r="O1904" s="15" t="s">
        <v>40</v>
      </c>
      <c r="P1904" s="15" t="s">
        <v>41</v>
      </c>
      <c r="Q1904" s="1" t="s">
        <v>6293</v>
      </c>
      <c r="R1904" s="2" t="s">
        <v>6294</v>
      </c>
      <c r="S1904" s="1" t="s">
        <v>46</v>
      </c>
      <c r="T1904" s="1" t="s">
        <v>635</v>
      </c>
      <c r="U1904" s="1" t="s">
        <v>636</v>
      </c>
      <c r="V1904" s="1" t="s">
        <v>45</v>
      </c>
      <c r="W1904" s="1"/>
      <c r="X1904" s="1"/>
      <c r="Y1904" s="1"/>
      <c r="Z1904" s="1" t="s">
        <v>658</v>
      </c>
      <c r="AA1904" s="1" t="s">
        <v>6295</v>
      </c>
      <c r="AB1904" s="1" t="s">
        <v>46</v>
      </c>
      <c r="AC1904" s="1" t="s">
        <v>46</v>
      </c>
      <c r="AD1904" s="1"/>
      <c r="AE1904" s="1" t="s">
        <v>641</v>
      </c>
      <c r="AF1904" s="1" t="s">
        <v>190</v>
      </c>
      <c r="AG1904" s="1">
        <v>6</v>
      </c>
      <c r="AH1904" s="1" t="s">
        <v>190</v>
      </c>
      <c r="AI1904" s="1"/>
      <c r="AJ1904" s="3">
        <v>43227.537476851852</v>
      </c>
      <c r="AK1904" s="1" t="s">
        <v>5472</v>
      </c>
    </row>
    <row r="1905" spans="1:37">
      <c r="A1905" s="1" t="str">
        <f>VLOOKUP(H1905,Languages!$A$2:$B$430,2,FALSE)</f>
        <v>Uto-Aztecan</v>
      </c>
      <c r="B1905" s="1" t="s">
        <v>67</v>
      </c>
      <c r="C1905" s="1" t="s">
        <v>5463</v>
      </c>
      <c r="D1905" s="1" t="s">
        <v>6253</v>
      </c>
      <c r="E1905" s="15" t="s">
        <v>2723</v>
      </c>
      <c r="F1905" s="15" t="s">
        <v>2723</v>
      </c>
      <c r="G1905" s="1" t="s">
        <v>2723</v>
      </c>
      <c r="H1905" s="1" t="str">
        <f>VLOOKUP(G1905,'languoid 4.0'!$A$1:$I$24439,2,FALSE)</f>
        <v>utoa1244</v>
      </c>
      <c r="I1905" s="1" t="str">
        <f>VLOOKUP(G1905,'languoid 4.0'!$A$1:$I$24439,6,FALSE)</f>
        <v>language</v>
      </c>
      <c r="J1905" s="15" t="s">
        <v>38</v>
      </c>
      <c r="K1905" s="15" t="s">
        <v>38</v>
      </c>
      <c r="L1905" s="15" t="s">
        <v>38</v>
      </c>
      <c r="M1905" s="1"/>
      <c r="N1905" s="1" t="s">
        <v>2724</v>
      </c>
      <c r="O1905" s="15" t="s">
        <v>40</v>
      </c>
      <c r="P1905" s="15" t="s">
        <v>41</v>
      </c>
      <c r="Q1905" s="1" t="s">
        <v>6296</v>
      </c>
      <c r="R1905" s="2" t="s">
        <v>6297</v>
      </c>
      <c r="S1905" s="1" t="s">
        <v>46</v>
      </c>
      <c r="T1905" s="1" t="s">
        <v>635</v>
      </c>
      <c r="U1905" s="1" t="s">
        <v>636</v>
      </c>
      <c r="V1905" s="1" t="s">
        <v>45</v>
      </c>
      <c r="W1905" s="1"/>
      <c r="X1905" s="1"/>
      <c r="Y1905" s="1"/>
      <c r="Z1905" s="1" t="s">
        <v>658</v>
      </c>
      <c r="AA1905" s="1" t="s">
        <v>6298</v>
      </c>
      <c r="AB1905" s="1" t="s">
        <v>46</v>
      </c>
      <c r="AC1905" s="1" t="s">
        <v>46</v>
      </c>
      <c r="AD1905" s="1"/>
      <c r="AE1905" s="1" t="s">
        <v>641</v>
      </c>
      <c r="AF1905" s="1" t="s">
        <v>190</v>
      </c>
      <c r="AG1905" s="1">
        <v>6</v>
      </c>
      <c r="AH1905" s="1" t="s">
        <v>190</v>
      </c>
      <c r="AI1905" s="1"/>
      <c r="AJ1905" s="3">
        <v>43227.541238425925</v>
      </c>
      <c r="AK1905" s="1" t="s">
        <v>5472</v>
      </c>
    </row>
    <row r="1906" spans="1:37">
      <c r="A1906" s="1" t="str">
        <f>VLOOKUP(H1906,Languages!$A$2:$B$430,2,FALSE)</f>
        <v>Uto-Aztecan</v>
      </c>
      <c r="B1906" s="1" t="s">
        <v>67</v>
      </c>
      <c r="C1906" s="1" t="s">
        <v>5463</v>
      </c>
      <c r="D1906" s="1" t="s">
        <v>6253</v>
      </c>
      <c r="E1906" s="15" t="s">
        <v>2723</v>
      </c>
      <c r="F1906" s="15" t="s">
        <v>2723</v>
      </c>
      <c r="G1906" s="1" t="s">
        <v>2723</v>
      </c>
      <c r="H1906" s="1" t="str">
        <f>VLOOKUP(G1906,'languoid 4.0'!$A$1:$I$24439,2,FALSE)</f>
        <v>utoa1244</v>
      </c>
      <c r="I1906" s="1" t="str">
        <f>VLOOKUP(G1906,'languoid 4.0'!$A$1:$I$24439,6,FALSE)</f>
        <v>language</v>
      </c>
      <c r="J1906" s="15" t="s">
        <v>38</v>
      </c>
      <c r="K1906" s="15" t="s">
        <v>38</v>
      </c>
      <c r="L1906" s="15" t="s">
        <v>38</v>
      </c>
      <c r="M1906" s="1"/>
      <c r="N1906" s="1" t="s">
        <v>2724</v>
      </c>
      <c r="O1906" s="15" t="s">
        <v>40</v>
      </c>
      <c r="P1906" s="15" t="s">
        <v>41</v>
      </c>
      <c r="Q1906" s="1" t="s">
        <v>6307</v>
      </c>
      <c r="R1906" s="2" t="s">
        <v>6308</v>
      </c>
      <c r="S1906" s="1" t="s">
        <v>46</v>
      </c>
      <c r="T1906" s="1" t="s">
        <v>635</v>
      </c>
      <c r="U1906" s="1" t="s">
        <v>636</v>
      </c>
      <c r="V1906" s="1" t="s">
        <v>45</v>
      </c>
      <c r="W1906" s="1"/>
      <c r="X1906" s="1"/>
      <c r="Y1906" s="1"/>
      <c r="Z1906" s="1" t="s">
        <v>658</v>
      </c>
      <c r="AA1906" s="1" t="s">
        <v>6309</v>
      </c>
      <c r="AB1906" s="1" t="s">
        <v>46</v>
      </c>
      <c r="AC1906" s="1" t="s">
        <v>46</v>
      </c>
      <c r="AD1906" s="1"/>
      <c r="AE1906" s="1" t="s">
        <v>641</v>
      </c>
      <c r="AF1906" s="1" t="s">
        <v>190</v>
      </c>
      <c r="AG1906" s="1">
        <v>4</v>
      </c>
      <c r="AH1906" s="1" t="s">
        <v>190</v>
      </c>
      <c r="AI1906" s="1"/>
      <c r="AJ1906" s="3">
        <v>43227.59952546296</v>
      </c>
      <c r="AK1906" s="1" t="s">
        <v>5472</v>
      </c>
    </row>
    <row r="1907" spans="1:37">
      <c r="A1907" s="1" t="str">
        <f>VLOOKUP(H1907,Languages!$A$2:$B$430,2,FALSE)</f>
        <v>Uto-Aztecan</v>
      </c>
      <c r="B1907" s="1" t="s">
        <v>67</v>
      </c>
      <c r="C1907" s="1" t="s">
        <v>5463</v>
      </c>
      <c r="D1907" s="1" t="s">
        <v>6329</v>
      </c>
      <c r="E1907" s="15" t="s">
        <v>6330</v>
      </c>
      <c r="F1907" s="15" t="s">
        <v>444</v>
      </c>
      <c r="G1907" s="1" t="s">
        <v>444</v>
      </c>
      <c r="H1907" s="1" t="str">
        <f>VLOOKUP(G1907,'languoid 4.0'!$A$1:$I$24439,2,FALSE)</f>
        <v>utoa1244</v>
      </c>
      <c r="I1907" s="1" t="str">
        <f>VLOOKUP(G1907,'languoid 4.0'!$A$1:$I$24439,6,FALSE)</f>
        <v>family</v>
      </c>
      <c r="J1907" s="15" t="s">
        <v>52</v>
      </c>
      <c r="K1907" s="15" t="s">
        <v>38</v>
      </c>
      <c r="L1907" s="15" t="s">
        <v>38</v>
      </c>
      <c r="M1907" s="1"/>
      <c r="N1907" s="1" t="s">
        <v>6331</v>
      </c>
      <c r="O1907" s="15" t="s">
        <v>40</v>
      </c>
      <c r="P1907" s="15" t="s">
        <v>41</v>
      </c>
      <c r="Q1907" s="1" t="s">
        <v>6332</v>
      </c>
      <c r="R1907" s="2" t="s">
        <v>6333</v>
      </c>
      <c r="S1907" s="1" t="s">
        <v>471</v>
      </c>
      <c r="T1907" s="1" t="s">
        <v>657</v>
      </c>
      <c r="U1907" s="1" t="s">
        <v>636</v>
      </c>
      <c r="V1907" s="1" t="s">
        <v>45</v>
      </c>
      <c r="W1907" s="1"/>
      <c r="X1907" s="1"/>
      <c r="Y1907" s="1"/>
      <c r="Z1907" s="1" t="s">
        <v>637</v>
      </c>
      <c r="AA1907" s="1" t="s">
        <v>6334</v>
      </c>
      <c r="AB1907" s="1" t="s">
        <v>6335</v>
      </c>
      <c r="AC1907" s="1" t="s">
        <v>46</v>
      </c>
      <c r="AD1907" s="1"/>
      <c r="AE1907" s="1" t="s">
        <v>641</v>
      </c>
      <c r="AF1907" s="1" t="s">
        <v>45</v>
      </c>
      <c r="AG1907" s="1">
        <v>1</v>
      </c>
      <c r="AH1907" s="1" t="s">
        <v>190</v>
      </c>
      <c r="AI1907" s="1" t="s">
        <v>6321</v>
      </c>
      <c r="AJ1907" s="3">
        <v>43258.745891203704</v>
      </c>
      <c r="AK1907" s="1" t="s">
        <v>5472</v>
      </c>
    </row>
    <row r="1908" spans="1:37">
      <c r="A1908" s="1" t="str">
        <f>VLOOKUP(H1908,Languages!$A$2:$B$430,2,FALSE)</f>
        <v>Uto-Aztecan</v>
      </c>
      <c r="B1908" s="1" t="s">
        <v>67</v>
      </c>
      <c r="C1908" s="1" t="s">
        <v>5463</v>
      </c>
      <c r="D1908" s="1" t="s">
        <v>6329</v>
      </c>
      <c r="E1908" s="15" t="s">
        <v>6330</v>
      </c>
      <c r="F1908" s="15" t="s">
        <v>444</v>
      </c>
      <c r="G1908" s="1" t="s">
        <v>444</v>
      </c>
      <c r="H1908" s="1" t="str">
        <f>VLOOKUP(G1908,'languoid 4.0'!$A$1:$I$24439,2,FALSE)</f>
        <v>utoa1244</v>
      </c>
      <c r="I1908" s="1" t="str">
        <f>VLOOKUP(G1908,'languoid 4.0'!$A$1:$I$24439,6,FALSE)</f>
        <v>family</v>
      </c>
      <c r="J1908" s="15" t="s">
        <v>52</v>
      </c>
      <c r="K1908" s="15" t="s">
        <v>38</v>
      </c>
      <c r="L1908" s="15" t="s">
        <v>38</v>
      </c>
      <c r="M1908" s="1"/>
      <c r="N1908" s="1" t="s">
        <v>6331</v>
      </c>
      <c r="O1908" s="15" t="s">
        <v>40</v>
      </c>
      <c r="P1908" s="15" t="s">
        <v>41</v>
      </c>
      <c r="Q1908" s="1" t="s">
        <v>6336</v>
      </c>
      <c r="R1908" s="2" t="s">
        <v>6337</v>
      </c>
      <c r="S1908" s="1" t="s">
        <v>43</v>
      </c>
      <c r="T1908" s="1" t="s">
        <v>657</v>
      </c>
      <c r="U1908" s="1" t="s">
        <v>636</v>
      </c>
      <c r="V1908" s="1" t="s">
        <v>45</v>
      </c>
      <c r="W1908" s="1"/>
      <c r="X1908" s="1"/>
      <c r="Y1908" s="1"/>
      <c r="Z1908" s="1" t="s">
        <v>637</v>
      </c>
      <c r="AA1908" s="1" t="s">
        <v>6338</v>
      </c>
      <c r="AB1908" s="1" t="s">
        <v>6339</v>
      </c>
      <c r="AC1908" s="1" t="s">
        <v>46</v>
      </c>
      <c r="AD1908" s="1" t="s">
        <v>6340</v>
      </c>
      <c r="AE1908" s="1" t="s">
        <v>641</v>
      </c>
      <c r="AF1908" s="1" t="s">
        <v>45</v>
      </c>
      <c r="AG1908" s="1">
        <v>1</v>
      </c>
      <c r="AH1908" s="1" t="s">
        <v>190</v>
      </c>
      <c r="AI1908" s="1" t="s">
        <v>6321</v>
      </c>
      <c r="AJ1908" s="3">
        <v>43258.76803240741</v>
      </c>
      <c r="AK1908" s="1" t="s">
        <v>5472</v>
      </c>
    </row>
    <row r="1909" spans="1:37">
      <c r="A1909" s="1" t="str">
        <f>VLOOKUP(H1909,Languages!$A$2:$B$430,2,FALSE)</f>
        <v>Uto-Aztecan</v>
      </c>
      <c r="B1909" s="1" t="s">
        <v>67</v>
      </c>
      <c r="C1909" s="1" t="s">
        <v>5463</v>
      </c>
      <c r="D1909" s="1" t="s">
        <v>6329</v>
      </c>
      <c r="E1909" s="15" t="s">
        <v>6330</v>
      </c>
      <c r="F1909" s="15" t="s">
        <v>444</v>
      </c>
      <c r="G1909" s="1" t="s">
        <v>444</v>
      </c>
      <c r="H1909" s="1" t="str">
        <f>VLOOKUP(G1909,'languoid 4.0'!$A$1:$I$24439,2,FALSE)</f>
        <v>utoa1244</v>
      </c>
      <c r="I1909" s="1" t="str">
        <f>VLOOKUP(G1909,'languoid 4.0'!$A$1:$I$24439,6,FALSE)</f>
        <v>family</v>
      </c>
      <c r="J1909" s="15" t="s">
        <v>52</v>
      </c>
      <c r="K1909" s="15" t="s">
        <v>38</v>
      </c>
      <c r="L1909" s="15" t="s">
        <v>38</v>
      </c>
      <c r="M1909" s="1"/>
      <c r="N1909" s="1" t="s">
        <v>6331</v>
      </c>
      <c r="O1909" s="15" t="s">
        <v>40</v>
      </c>
      <c r="P1909" s="15" t="s">
        <v>41</v>
      </c>
      <c r="Q1909" s="1" t="s">
        <v>6341</v>
      </c>
      <c r="R1909" s="2" t="s">
        <v>6342</v>
      </c>
      <c r="S1909" s="1" t="s">
        <v>600</v>
      </c>
      <c r="T1909" s="1" t="s">
        <v>657</v>
      </c>
      <c r="U1909" s="1" t="s">
        <v>636</v>
      </c>
      <c r="V1909" s="1" t="s">
        <v>45</v>
      </c>
      <c r="W1909" s="1"/>
      <c r="X1909" s="1"/>
      <c r="Y1909" s="1"/>
      <c r="Z1909" s="1" t="s">
        <v>637</v>
      </c>
      <c r="AA1909" s="1" t="s">
        <v>6343</v>
      </c>
      <c r="AB1909" s="1" t="s">
        <v>6344</v>
      </c>
      <c r="AC1909" s="1" t="s">
        <v>46</v>
      </c>
      <c r="AD1909" s="1" t="s">
        <v>6340</v>
      </c>
      <c r="AE1909" s="1"/>
      <c r="AF1909" s="1"/>
      <c r="AG1909" s="1">
        <v>1</v>
      </c>
      <c r="AH1909" s="1" t="s">
        <v>190</v>
      </c>
      <c r="AI1909" s="1" t="s">
        <v>6321</v>
      </c>
      <c r="AJ1909" s="3">
        <v>43258.785520833335</v>
      </c>
      <c r="AK1909" s="1" t="s">
        <v>5472</v>
      </c>
    </row>
    <row r="1910" spans="1:37">
      <c r="A1910" s="1" t="str">
        <f>VLOOKUP(H1910,Languages!$A$2:$B$430,2,FALSE)</f>
        <v>Uto-Aztecan</v>
      </c>
      <c r="B1910" s="1" t="s">
        <v>67</v>
      </c>
      <c r="C1910" s="1" t="s">
        <v>5463</v>
      </c>
      <c r="D1910" s="1" t="s">
        <v>6329</v>
      </c>
      <c r="E1910" s="15" t="s">
        <v>6330</v>
      </c>
      <c r="F1910" s="15" t="s">
        <v>444</v>
      </c>
      <c r="G1910" s="1" t="s">
        <v>444</v>
      </c>
      <c r="H1910" s="1" t="str">
        <f>VLOOKUP(G1910,'languoid 4.0'!$A$1:$I$24439,2,FALSE)</f>
        <v>utoa1244</v>
      </c>
      <c r="I1910" s="1" t="str">
        <f>VLOOKUP(G1910,'languoid 4.0'!$A$1:$I$24439,6,FALSE)</f>
        <v>family</v>
      </c>
      <c r="J1910" s="15" t="s">
        <v>52</v>
      </c>
      <c r="K1910" s="15" t="s">
        <v>38</v>
      </c>
      <c r="L1910" s="15" t="s">
        <v>38</v>
      </c>
      <c r="M1910" s="1"/>
      <c r="N1910" s="1" t="s">
        <v>6331</v>
      </c>
      <c r="O1910" s="15" t="s">
        <v>40</v>
      </c>
      <c r="P1910" s="15" t="s">
        <v>41</v>
      </c>
      <c r="Q1910" s="1" t="s">
        <v>6345</v>
      </c>
      <c r="R1910" s="2" t="s">
        <v>6346</v>
      </c>
      <c r="S1910" s="1" t="s">
        <v>265</v>
      </c>
      <c r="T1910" s="1" t="s">
        <v>657</v>
      </c>
      <c r="U1910" s="1" t="s">
        <v>636</v>
      </c>
      <c r="V1910" s="1" t="s">
        <v>45</v>
      </c>
      <c r="W1910" s="1"/>
      <c r="X1910" s="1"/>
      <c r="Y1910" s="1"/>
      <c r="Z1910" s="1" t="s">
        <v>637</v>
      </c>
      <c r="AA1910" s="1" t="s">
        <v>6347</v>
      </c>
      <c r="AB1910" s="1" t="s">
        <v>6348</v>
      </c>
      <c r="AC1910" s="1" t="s">
        <v>46</v>
      </c>
      <c r="AD1910" s="1" t="s">
        <v>6340</v>
      </c>
      <c r="AE1910" s="1"/>
      <c r="AF1910" s="1"/>
      <c r="AG1910" s="1">
        <v>1</v>
      </c>
      <c r="AH1910" s="1" t="s">
        <v>190</v>
      </c>
      <c r="AI1910" s="1" t="s">
        <v>6321</v>
      </c>
      <c r="AJ1910" s="3">
        <v>43258.789236111108</v>
      </c>
      <c r="AK1910" s="1" t="s">
        <v>5472</v>
      </c>
    </row>
    <row r="1911" spans="1:37">
      <c r="A1911" s="1" t="str">
        <f>VLOOKUP(H1911,Languages!$A$2:$B$430,2,FALSE)</f>
        <v>Uto-Aztecan</v>
      </c>
      <c r="B1911" s="1" t="s">
        <v>67</v>
      </c>
      <c r="C1911" s="1" t="s">
        <v>101</v>
      </c>
      <c r="D1911" s="1" t="s">
        <v>484</v>
      </c>
      <c r="E1911" s="15" t="s">
        <v>485</v>
      </c>
      <c r="F1911" s="15" t="s">
        <v>239</v>
      </c>
      <c r="G1911" s="1" t="s">
        <v>485</v>
      </c>
      <c r="H1911" s="1" t="str">
        <f>VLOOKUP(G1911,'languoid 4.0'!$A$1:$I$24439,2,FALSE)</f>
        <v>utoa1244</v>
      </c>
      <c r="I1911" s="1" t="str">
        <f>VLOOKUP(G1911,'languoid 4.0'!$A$1:$I$24439,6,FALSE)</f>
        <v>language</v>
      </c>
      <c r="J1911" s="15" t="s">
        <v>52</v>
      </c>
      <c r="K1911" s="15" t="s">
        <v>52</v>
      </c>
      <c r="L1911" s="15" t="s">
        <v>52</v>
      </c>
      <c r="M1911" s="1"/>
      <c r="N1911" s="1" t="s">
        <v>486</v>
      </c>
      <c r="O1911" s="15" t="s">
        <v>40</v>
      </c>
      <c r="P1911" s="15" t="s">
        <v>41</v>
      </c>
      <c r="Q1911" s="1" t="s">
        <v>487</v>
      </c>
      <c r="R1911" s="2" t="s">
        <v>488</v>
      </c>
      <c r="S1911" s="1" t="s">
        <v>489</v>
      </c>
      <c r="T1911" s="1" t="s">
        <v>44</v>
      </c>
      <c r="U1911" s="1"/>
      <c r="V1911" s="1" t="s">
        <v>45</v>
      </c>
      <c r="W1911" s="1"/>
      <c r="X1911" s="1"/>
      <c r="Y1911" s="1"/>
      <c r="Z1911" s="1"/>
      <c r="AA1911" s="1">
        <v>2</v>
      </c>
      <c r="AB1911" s="1">
        <v>2</v>
      </c>
      <c r="AC1911" s="1" t="s">
        <v>46</v>
      </c>
      <c r="AD1911" s="1"/>
      <c r="AE1911" s="1"/>
      <c r="AF1911" s="1"/>
      <c r="AG1911" s="1"/>
      <c r="AH1911" s="1"/>
      <c r="AI1911" s="1"/>
      <c r="AJ1911" s="3">
        <v>43102.752291666664</v>
      </c>
      <c r="AK1911" s="1" t="s">
        <v>74</v>
      </c>
    </row>
    <row r="1912" spans="1:37">
      <c r="A1912" s="1" t="str">
        <f>VLOOKUP(H1912,Languages!$A$2:$B$430,2,FALSE)</f>
        <v>Uto-Aztecan</v>
      </c>
      <c r="B1912" s="1" t="s">
        <v>67</v>
      </c>
      <c r="C1912" s="1" t="s">
        <v>101</v>
      </c>
      <c r="D1912" s="1" t="s">
        <v>6633</v>
      </c>
      <c r="E1912" s="15" t="s">
        <v>6330</v>
      </c>
      <c r="F1912" s="15" t="s">
        <v>485</v>
      </c>
      <c r="G1912" s="1" t="s">
        <v>6330</v>
      </c>
      <c r="H1912" s="1" t="str">
        <f>VLOOKUP(G1912,'languoid 4.0'!$A$1:$I$24439,2,FALSE)</f>
        <v>utoa1244</v>
      </c>
      <c r="I1912" s="1" t="str">
        <f>VLOOKUP(G1912,'languoid 4.0'!$A$1:$I$24439,6,FALSE)</f>
        <v>language</v>
      </c>
      <c r="J1912" s="15" t="s">
        <v>52</v>
      </c>
      <c r="K1912" s="15" t="s">
        <v>38</v>
      </c>
      <c r="L1912" s="15" t="s">
        <v>38</v>
      </c>
      <c r="M1912" s="1"/>
      <c r="N1912" s="1" t="s">
        <v>6331</v>
      </c>
      <c r="O1912" s="15" t="s">
        <v>40</v>
      </c>
      <c r="P1912" s="15" t="s">
        <v>41</v>
      </c>
      <c r="Q1912" s="1" t="s">
        <v>6634</v>
      </c>
      <c r="R1912" s="2" t="s">
        <v>6635</v>
      </c>
      <c r="S1912" s="1">
        <v>8</v>
      </c>
      <c r="T1912" s="1" t="s">
        <v>635</v>
      </c>
      <c r="U1912" s="1" t="s">
        <v>1268</v>
      </c>
      <c r="V1912" s="1" t="s">
        <v>45</v>
      </c>
      <c r="W1912" s="1"/>
      <c r="X1912" s="1"/>
      <c r="Y1912" s="1"/>
      <c r="Z1912" s="1" t="s">
        <v>658</v>
      </c>
      <c r="AA1912" s="1" t="s">
        <v>6636</v>
      </c>
      <c r="AB1912" s="1" t="s">
        <v>46</v>
      </c>
      <c r="AC1912" s="1" t="s">
        <v>46</v>
      </c>
      <c r="AD1912" s="1" t="s">
        <v>6637</v>
      </c>
      <c r="AE1912" s="1" t="s">
        <v>641</v>
      </c>
      <c r="AF1912" s="1" t="s">
        <v>190</v>
      </c>
      <c r="AG1912" s="1">
        <v>5</v>
      </c>
      <c r="AH1912" s="1" t="s">
        <v>190</v>
      </c>
      <c r="AI1912" s="1"/>
      <c r="AJ1912" s="1" t="s">
        <v>6638</v>
      </c>
      <c r="AK1912" s="1" t="s">
        <v>6639</v>
      </c>
    </row>
    <row r="1913" spans="1:37">
      <c r="A1913" s="1" t="str">
        <f>VLOOKUP(H1913,Languages!$A$2:$B$430,2,FALSE)</f>
        <v>Uto-Aztecan</v>
      </c>
      <c r="B1913" s="1" t="s">
        <v>67</v>
      </c>
      <c r="C1913" s="1" t="s">
        <v>101</v>
      </c>
      <c r="D1913" s="1" t="s">
        <v>6661</v>
      </c>
      <c r="E1913" s="15" t="s">
        <v>6662</v>
      </c>
      <c r="F1913" s="15" t="s">
        <v>6663</v>
      </c>
      <c r="G1913" s="1" t="s">
        <v>6662</v>
      </c>
      <c r="H1913" s="1" t="str">
        <f>VLOOKUP(G1913,'languoid 4.0'!$A$1:$I$24439,2,FALSE)</f>
        <v>utoa1244</v>
      </c>
      <c r="I1913" s="1" t="str">
        <f>VLOOKUP(G1913,'languoid 4.0'!$A$1:$I$24439,6,FALSE)</f>
        <v>language</v>
      </c>
      <c r="J1913" s="15" t="s">
        <v>52</v>
      </c>
      <c r="K1913" s="15" t="s">
        <v>38</v>
      </c>
      <c r="L1913" s="15" t="s">
        <v>38</v>
      </c>
      <c r="M1913" s="1"/>
      <c r="N1913" s="1" t="s">
        <v>6664</v>
      </c>
      <c r="O1913" s="15" t="s">
        <v>40</v>
      </c>
      <c r="P1913" s="15" t="s">
        <v>41</v>
      </c>
      <c r="Q1913" s="1" t="s">
        <v>6665</v>
      </c>
      <c r="R1913" s="2" t="s">
        <v>6666</v>
      </c>
      <c r="S1913" s="1" t="s">
        <v>6369</v>
      </c>
      <c r="T1913" s="1" t="s">
        <v>635</v>
      </c>
      <c r="U1913" s="1" t="s">
        <v>1943</v>
      </c>
      <c r="V1913" s="1" t="s">
        <v>45</v>
      </c>
      <c r="W1913" s="1"/>
      <c r="X1913" s="1"/>
      <c r="Y1913" s="1"/>
      <c r="Z1913" s="1" t="s">
        <v>658</v>
      </c>
      <c r="AA1913" s="1" t="s">
        <v>6667</v>
      </c>
      <c r="AB1913" s="1" t="s">
        <v>6668</v>
      </c>
      <c r="AC1913" s="1" t="s">
        <v>46</v>
      </c>
      <c r="AD1913" s="1"/>
      <c r="AE1913" s="1" t="s">
        <v>641</v>
      </c>
      <c r="AF1913" s="1" t="s">
        <v>45</v>
      </c>
      <c r="AG1913" s="1">
        <v>1</v>
      </c>
      <c r="AH1913" s="1" t="s">
        <v>190</v>
      </c>
      <c r="AI1913" s="1"/>
      <c r="AJ1913" s="1" t="s">
        <v>6669</v>
      </c>
      <c r="AK1913" s="1" t="s">
        <v>6639</v>
      </c>
    </row>
    <row r="1914" spans="1:37">
      <c r="A1914" s="1" t="str">
        <f>VLOOKUP(H1914,Languages!$A$2:$B$430,2,FALSE)</f>
        <v>Uto-Aztecan</v>
      </c>
      <c r="B1914" s="1" t="s">
        <v>67</v>
      </c>
      <c r="C1914" s="1" t="s">
        <v>101</v>
      </c>
      <c r="D1914" s="1" t="s">
        <v>6633</v>
      </c>
      <c r="E1914" s="15" t="s">
        <v>6330</v>
      </c>
      <c r="F1914" s="15" t="s">
        <v>485</v>
      </c>
      <c r="G1914" s="1" t="s">
        <v>6330</v>
      </c>
      <c r="H1914" s="1" t="str">
        <f>VLOOKUP(G1914,'languoid 4.0'!$A$1:$I$24439,2,FALSE)</f>
        <v>utoa1244</v>
      </c>
      <c r="I1914" s="1" t="str">
        <f>VLOOKUP(G1914,'languoid 4.0'!$A$1:$I$24439,6,FALSE)</f>
        <v>language</v>
      </c>
      <c r="J1914" s="15" t="s">
        <v>52</v>
      </c>
      <c r="K1914" s="15" t="s">
        <v>38</v>
      </c>
      <c r="L1914" s="15" t="s">
        <v>38</v>
      </c>
      <c r="M1914" s="1"/>
      <c r="N1914" s="1" t="s">
        <v>6331</v>
      </c>
      <c r="O1914" s="15" t="s">
        <v>40</v>
      </c>
      <c r="P1914" s="15" t="s">
        <v>41</v>
      </c>
      <c r="Q1914" s="1" t="s">
        <v>6681</v>
      </c>
      <c r="R1914" s="2" t="s">
        <v>6682</v>
      </c>
      <c r="S1914" s="1" t="s">
        <v>46</v>
      </c>
      <c r="T1914" s="1" t="s">
        <v>635</v>
      </c>
      <c r="U1914" s="1" t="s">
        <v>850</v>
      </c>
      <c r="V1914" s="1" t="s">
        <v>45</v>
      </c>
      <c r="W1914" s="1"/>
      <c r="X1914" s="1"/>
      <c r="Y1914" s="1"/>
      <c r="Z1914" s="1" t="s">
        <v>658</v>
      </c>
      <c r="AA1914" s="1" t="s">
        <v>6683</v>
      </c>
      <c r="AB1914" s="1" t="s">
        <v>6684</v>
      </c>
      <c r="AC1914" s="1" t="s">
        <v>46</v>
      </c>
      <c r="AD1914" s="1"/>
      <c r="AE1914" s="1" t="s">
        <v>641</v>
      </c>
      <c r="AF1914" s="1" t="s">
        <v>190</v>
      </c>
      <c r="AG1914" s="1">
        <v>3</v>
      </c>
      <c r="AH1914" s="1" t="s">
        <v>190</v>
      </c>
      <c r="AI1914" s="1"/>
      <c r="AJ1914" s="1" t="s">
        <v>6685</v>
      </c>
      <c r="AK1914" s="1" t="s">
        <v>6639</v>
      </c>
    </row>
    <row r="1915" spans="1:37">
      <c r="A1915" s="1" t="str">
        <f>VLOOKUP(H1915,Languages!$A$2:$B$430,2,FALSE)</f>
        <v>Uto-Aztecan</v>
      </c>
      <c r="B1915" s="1" t="s">
        <v>67</v>
      </c>
      <c r="C1915" s="1" t="s">
        <v>101</v>
      </c>
      <c r="D1915" s="1" t="s">
        <v>6686</v>
      </c>
      <c r="E1915" s="15" t="s">
        <v>2723</v>
      </c>
      <c r="F1915" s="15" t="s">
        <v>2723</v>
      </c>
      <c r="G1915" s="1" t="s">
        <v>2723</v>
      </c>
      <c r="H1915" s="1" t="str">
        <f>VLOOKUP(G1915,'languoid 4.0'!$A$1:$I$24439,2,FALSE)</f>
        <v>utoa1244</v>
      </c>
      <c r="I1915" s="1" t="str">
        <f>VLOOKUP(G1915,'languoid 4.0'!$A$1:$I$24439,6,FALSE)</f>
        <v>language</v>
      </c>
      <c r="J1915" s="15" t="s">
        <v>38</v>
      </c>
      <c r="K1915" s="15" t="s">
        <v>38</v>
      </c>
      <c r="L1915" s="15" t="s">
        <v>38</v>
      </c>
      <c r="M1915" s="1"/>
      <c r="N1915" s="1" t="s">
        <v>2724</v>
      </c>
      <c r="O1915" s="15" t="s">
        <v>40</v>
      </c>
      <c r="P1915" s="15" t="s">
        <v>41</v>
      </c>
      <c r="Q1915" s="1" t="s">
        <v>6307</v>
      </c>
      <c r="R1915" s="2" t="s">
        <v>6308</v>
      </c>
      <c r="S1915" s="1" t="s">
        <v>46</v>
      </c>
      <c r="T1915" s="1" t="s">
        <v>635</v>
      </c>
      <c r="U1915" s="1" t="s">
        <v>636</v>
      </c>
      <c r="V1915" s="1" t="s">
        <v>45</v>
      </c>
      <c r="W1915" s="1"/>
      <c r="X1915" s="1"/>
      <c r="Y1915" s="1"/>
      <c r="Z1915" s="1" t="s">
        <v>658</v>
      </c>
      <c r="AA1915" s="1" t="s">
        <v>6690</v>
      </c>
      <c r="AB1915" s="1" t="s">
        <v>6691</v>
      </c>
      <c r="AC1915" s="1" t="s">
        <v>46</v>
      </c>
      <c r="AD1915" s="1"/>
      <c r="AE1915" s="1" t="s">
        <v>641</v>
      </c>
      <c r="AF1915" s="1" t="s">
        <v>190</v>
      </c>
      <c r="AG1915" s="1">
        <v>4</v>
      </c>
      <c r="AH1915" s="1" t="s">
        <v>190</v>
      </c>
      <c r="AI1915" s="1"/>
      <c r="AJ1915" s="1" t="s">
        <v>6692</v>
      </c>
      <c r="AK1915" s="1" t="s">
        <v>6639</v>
      </c>
    </row>
    <row r="1916" spans="1:37">
      <c r="A1916" s="1" t="str">
        <f>VLOOKUP(H1916,Languages!$A$2:$B$430,2,FALSE)</f>
        <v>Uto-Aztecan</v>
      </c>
      <c r="B1916" s="1" t="s">
        <v>67</v>
      </c>
      <c r="C1916" s="1" t="s">
        <v>101</v>
      </c>
      <c r="D1916" s="1" t="s">
        <v>7467</v>
      </c>
      <c r="E1916" s="15" t="s">
        <v>6662</v>
      </c>
      <c r="F1916" s="15" t="s">
        <v>51</v>
      </c>
      <c r="G1916" s="1" t="s">
        <v>6662</v>
      </c>
      <c r="H1916" s="1" t="str">
        <f>VLOOKUP(G1916,'languoid 4.0'!$A$1:$I$24439,2,FALSE)</f>
        <v>utoa1244</v>
      </c>
      <c r="I1916" s="1" t="str">
        <f>VLOOKUP(G1916,'languoid 4.0'!$A$1:$I$24439,6,FALSE)</f>
        <v>language</v>
      </c>
      <c r="J1916" s="15" t="s">
        <v>52</v>
      </c>
      <c r="K1916" s="15" t="s">
        <v>51</v>
      </c>
      <c r="L1916" s="15" t="s">
        <v>51</v>
      </c>
      <c r="M1916" s="1"/>
      <c r="N1916" s="1" t="s">
        <v>6664</v>
      </c>
      <c r="O1916" s="15" t="s">
        <v>40</v>
      </c>
      <c r="P1916" s="15" t="s">
        <v>41</v>
      </c>
      <c r="Q1916" s="1" t="s">
        <v>7468</v>
      </c>
      <c r="R1916" s="2" t="s">
        <v>7469</v>
      </c>
      <c r="S1916" s="1" t="s">
        <v>611</v>
      </c>
      <c r="T1916" s="1" t="s">
        <v>657</v>
      </c>
      <c r="U1916" s="1" t="s">
        <v>636</v>
      </c>
      <c r="V1916" s="1" t="s">
        <v>45</v>
      </c>
      <c r="W1916" s="1"/>
      <c r="X1916" s="1"/>
      <c r="Y1916" s="1"/>
      <c r="Z1916" s="1" t="s">
        <v>637</v>
      </c>
      <c r="AA1916" s="1" t="s">
        <v>46</v>
      </c>
      <c r="AB1916" s="1" t="s">
        <v>7470</v>
      </c>
      <c r="AC1916" s="1" t="s">
        <v>46</v>
      </c>
      <c r="AD1916" s="1"/>
      <c r="AE1916" s="1" t="s">
        <v>641</v>
      </c>
      <c r="AF1916" s="1" t="s">
        <v>45</v>
      </c>
      <c r="AG1916" s="1">
        <v>1</v>
      </c>
      <c r="AH1916" s="1" t="s">
        <v>190</v>
      </c>
      <c r="AI1916" s="1"/>
      <c r="AJ1916" s="1" t="s">
        <v>7471</v>
      </c>
      <c r="AK1916" s="1" t="s">
        <v>6639</v>
      </c>
    </row>
    <row r="1917" spans="1:37">
      <c r="A1917" s="1" t="str">
        <f>VLOOKUP(H1917,Languages!$A$2:$B$430,2,FALSE)</f>
        <v>Uto-Aztecan</v>
      </c>
      <c r="B1917" s="1" t="s">
        <v>67</v>
      </c>
      <c r="C1917" s="1" t="s">
        <v>101</v>
      </c>
      <c r="D1917" s="1" t="s">
        <v>7510</v>
      </c>
      <c r="E1917" s="15" t="s">
        <v>51</v>
      </c>
      <c r="F1917" s="15" t="s">
        <v>51</v>
      </c>
      <c r="G1917" s="1" t="s">
        <v>7511</v>
      </c>
      <c r="H1917" s="1" t="str">
        <f>VLOOKUP(G1917,'languoid 4.0'!$A$1:$I$24439,2,FALSE)</f>
        <v>utoa1244</v>
      </c>
      <c r="I1917" s="1" t="str">
        <f>VLOOKUP(G1917,'languoid 4.0'!$A$1:$I$24439,6,FALSE)</f>
        <v>language</v>
      </c>
      <c r="J1917" s="15" t="s">
        <v>51</v>
      </c>
      <c r="K1917" s="15" t="s">
        <v>51</v>
      </c>
      <c r="L1917" s="15" t="s">
        <v>51</v>
      </c>
      <c r="M1917" s="1"/>
      <c r="N1917" s="1" t="e">
        <v>#N/A</v>
      </c>
      <c r="O1917" s="15" t="s">
        <v>690</v>
      </c>
      <c r="P1917" s="15"/>
      <c r="Q1917" s="1" t="s">
        <v>7512</v>
      </c>
      <c r="R1917" s="2" t="s">
        <v>7493</v>
      </c>
      <c r="S1917" s="1" t="s">
        <v>600</v>
      </c>
      <c r="T1917" s="1" t="s">
        <v>657</v>
      </c>
      <c r="U1917" s="1" t="s">
        <v>636</v>
      </c>
      <c r="V1917" s="1" t="s">
        <v>45</v>
      </c>
      <c r="W1917" s="1"/>
      <c r="X1917" s="1"/>
      <c r="Y1917" s="1"/>
      <c r="Z1917" s="1" t="s">
        <v>637</v>
      </c>
      <c r="AA1917" s="1" t="s">
        <v>46</v>
      </c>
      <c r="AB1917" s="1" t="s">
        <v>7513</v>
      </c>
      <c r="AC1917" s="1" t="s">
        <v>46</v>
      </c>
      <c r="AD1917" s="1"/>
      <c r="AE1917" s="1" t="s">
        <v>641</v>
      </c>
      <c r="AF1917" s="1" t="s">
        <v>190</v>
      </c>
      <c r="AG1917" s="1">
        <v>1</v>
      </c>
      <c r="AH1917" s="1" t="s">
        <v>190</v>
      </c>
      <c r="AI1917" s="1"/>
      <c r="AJ1917" s="1" t="s">
        <v>7514</v>
      </c>
      <c r="AK1917" s="1" t="s">
        <v>6639</v>
      </c>
    </row>
    <row r="1918" spans="1:37">
      <c r="A1918" s="1" t="str">
        <f>VLOOKUP(H1918,Languages!$A$2:$B$430,2,FALSE)</f>
        <v>Uto-Aztecan</v>
      </c>
      <c r="B1918" s="1" t="s">
        <v>67</v>
      </c>
      <c r="C1918" s="1" t="s">
        <v>101</v>
      </c>
      <c r="D1918" s="1" t="s">
        <v>7526</v>
      </c>
      <c r="E1918" s="15" t="s">
        <v>7527</v>
      </c>
      <c r="F1918" s="15" t="s">
        <v>51</v>
      </c>
      <c r="G1918" s="1" t="s">
        <v>7527</v>
      </c>
      <c r="H1918" s="1" t="str">
        <f>VLOOKUP(G1918,'languoid 4.0'!$A$1:$I$24439,2,FALSE)</f>
        <v>utoa1244</v>
      </c>
      <c r="I1918" s="1" t="str">
        <f>VLOOKUP(G1918,'languoid 4.0'!$A$1:$I$24439,6,FALSE)</f>
        <v>family</v>
      </c>
      <c r="J1918" s="15" t="s">
        <v>52</v>
      </c>
      <c r="K1918" s="15" t="s">
        <v>51</v>
      </c>
      <c r="L1918" s="15" t="s">
        <v>51</v>
      </c>
      <c r="M1918" s="1"/>
      <c r="N1918" s="1"/>
      <c r="O1918" s="15" t="s">
        <v>113</v>
      </c>
      <c r="P1918" s="15" t="s">
        <v>41</v>
      </c>
      <c r="Q1918" s="1" t="s">
        <v>7528</v>
      </c>
      <c r="R1918" s="2" t="s">
        <v>7493</v>
      </c>
      <c r="S1918" s="1" t="s">
        <v>130</v>
      </c>
      <c r="T1918" s="1" t="s">
        <v>657</v>
      </c>
      <c r="U1918" s="1" t="s">
        <v>1707</v>
      </c>
      <c r="V1918" s="1" t="s">
        <v>45</v>
      </c>
      <c r="W1918" s="1"/>
      <c r="X1918" s="1"/>
      <c r="Y1918" s="1"/>
      <c r="Z1918" s="1" t="s">
        <v>637</v>
      </c>
      <c r="AA1918" s="1" t="s">
        <v>46</v>
      </c>
      <c r="AB1918" s="1" t="s">
        <v>7529</v>
      </c>
      <c r="AC1918" s="1" t="s">
        <v>46</v>
      </c>
      <c r="AD1918" s="1"/>
      <c r="AE1918" s="1" t="s">
        <v>641</v>
      </c>
      <c r="AF1918" s="1" t="s">
        <v>190</v>
      </c>
      <c r="AG1918" s="1">
        <v>1</v>
      </c>
      <c r="AH1918" s="1" t="s">
        <v>190</v>
      </c>
      <c r="AI1918" s="1"/>
      <c r="AJ1918" s="1" t="s">
        <v>7530</v>
      </c>
      <c r="AK1918" s="1" t="s">
        <v>6639</v>
      </c>
    </row>
    <row r="1919" spans="1:37">
      <c r="A1919" s="1" t="str">
        <f>VLOOKUP(H1919,Languages!$A$2:$B$430,2,FALSE)</f>
        <v>Uto-Aztecan</v>
      </c>
      <c r="B1919" s="1" t="s">
        <v>67</v>
      </c>
      <c r="C1919" s="1" t="s">
        <v>431</v>
      </c>
      <c r="D1919" s="1" t="s">
        <v>432</v>
      </c>
      <c r="E1919" s="15" t="s">
        <v>433</v>
      </c>
      <c r="F1919" s="15" t="s">
        <v>433</v>
      </c>
      <c r="G1919" s="1" t="s">
        <v>433</v>
      </c>
      <c r="H1919" s="1" t="str">
        <f>VLOOKUP(G1919,'languoid 4.0'!$A$1:$I$24439,2,FALSE)</f>
        <v>utoa1244</v>
      </c>
      <c r="I1919" s="1" t="str">
        <f>VLOOKUP(G1919,'languoid 4.0'!$A$1:$I$24439,6,FALSE)</f>
        <v>language</v>
      </c>
      <c r="J1919" s="15" t="s">
        <v>38</v>
      </c>
      <c r="K1919" s="15" t="s">
        <v>38</v>
      </c>
      <c r="L1919" s="15" t="s">
        <v>38</v>
      </c>
      <c r="M1919" s="1"/>
      <c r="N1919" s="1" t="s">
        <v>434</v>
      </c>
      <c r="O1919" s="15" t="s">
        <v>40</v>
      </c>
      <c r="P1919" s="15" t="s">
        <v>41</v>
      </c>
      <c r="Q1919" s="1" t="s">
        <v>435</v>
      </c>
      <c r="R1919" s="2" t="s">
        <v>436</v>
      </c>
      <c r="S1919" s="1" t="s">
        <v>197</v>
      </c>
      <c r="T1919" s="1" t="s">
        <v>44</v>
      </c>
      <c r="U1919" s="1"/>
      <c r="V1919" s="1" t="s">
        <v>45</v>
      </c>
      <c r="W1919" s="1"/>
      <c r="X1919" s="1"/>
      <c r="Y1919" s="1"/>
      <c r="Z1919" s="1"/>
      <c r="AA1919" s="1">
        <v>5</v>
      </c>
      <c r="AB1919" s="1">
        <v>5</v>
      </c>
      <c r="AC1919" s="1" t="s">
        <v>46</v>
      </c>
      <c r="AD1919" s="1"/>
      <c r="AE1919" s="1"/>
      <c r="AF1919" s="1"/>
      <c r="AG1919" s="1"/>
      <c r="AH1919" s="1"/>
      <c r="AI1919" s="1"/>
      <c r="AJ1919" s="3">
        <v>43102.748749999999</v>
      </c>
      <c r="AK1919" s="1" t="s">
        <v>74</v>
      </c>
    </row>
    <row r="1920" spans="1:37">
      <c r="A1920" s="1" t="str">
        <f>VLOOKUP(H1920,Languages!$A$2:$B$430,2,FALSE)</f>
        <v>Uto-Aztecan</v>
      </c>
      <c r="B1920" s="1" t="s">
        <v>67</v>
      </c>
      <c r="C1920" s="1" t="s">
        <v>431</v>
      </c>
      <c r="D1920" s="1" t="s">
        <v>10394</v>
      </c>
      <c r="E1920" s="15" t="s">
        <v>485</v>
      </c>
      <c r="F1920" s="15" t="s">
        <v>485</v>
      </c>
      <c r="G1920" s="1" t="s">
        <v>485</v>
      </c>
      <c r="H1920" s="1" t="str">
        <f>VLOOKUP(G1920,'languoid 4.0'!$A$1:$I$24439,2,FALSE)</f>
        <v>utoa1244</v>
      </c>
      <c r="I1920" s="1" t="str">
        <f>VLOOKUP(G1920,'languoid 4.0'!$A$1:$I$24439,6,FALSE)</f>
        <v>language</v>
      </c>
      <c r="J1920" s="15" t="s">
        <v>38</v>
      </c>
      <c r="K1920" s="15" t="s">
        <v>38</v>
      </c>
      <c r="L1920" s="15" t="s">
        <v>38</v>
      </c>
      <c r="M1920" s="1"/>
      <c r="N1920" s="1" t="s">
        <v>486</v>
      </c>
      <c r="O1920" s="15" t="s">
        <v>40</v>
      </c>
      <c r="P1920" s="15" t="s">
        <v>41</v>
      </c>
      <c r="Q1920" s="1" t="s">
        <v>10395</v>
      </c>
      <c r="R1920" s="2" t="s">
        <v>10396</v>
      </c>
      <c r="S1920" s="1" t="s">
        <v>10397</v>
      </c>
      <c r="T1920" s="1" t="s">
        <v>10398</v>
      </c>
      <c r="U1920" s="1" t="s">
        <v>636</v>
      </c>
      <c r="V1920" s="1" t="s">
        <v>45</v>
      </c>
      <c r="W1920" s="1"/>
      <c r="X1920" s="1"/>
      <c r="Y1920" s="1"/>
      <c r="Z1920" s="1" t="s">
        <v>673</v>
      </c>
      <c r="AA1920" s="1" t="s">
        <v>10399</v>
      </c>
      <c r="AB1920" s="1" t="s">
        <v>10400</v>
      </c>
      <c r="AC1920" s="1" t="s">
        <v>46</v>
      </c>
      <c r="AD1920" s="1" t="s">
        <v>10401</v>
      </c>
      <c r="AE1920" s="1" t="s">
        <v>641</v>
      </c>
      <c r="AF1920" s="1" t="s">
        <v>45</v>
      </c>
      <c r="AG1920" s="1">
        <v>1</v>
      </c>
      <c r="AH1920" s="1" t="s">
        <v>190</v>
      </c>
      <c r="AI1920" s="1" t="s">
        <v>3114</v>
      </c>
      <c r="AJ1920" s="1" t="s">
        <v>10402</v>
      </c>
      <c r="AK1920" s="1" t="s">
        <v>4975</v>
      </c>
    </row>
    <row r="1921" spans="1:37">
      <c r="A1921" s="1" t="str">
        <f>VLOOKUP(H1921,Languages!$A$2:$B$430,2,FALSE)</f>
        <v>Uto-Aztecan</v>
      </c>
      <c r="B1921" s="1" t="s">
        <v>67</v>
      </c>
      <c r="C1921" s="1" t="s">
        <v>431</v>
      </c>
      <c r="D1921" s="1" t="s">
        <v>10403</v>
      </c>
      <c r="E1921" s="15" t="s">
        <v>485</v>
      </c>
      <c r="F1921" s="15" t="s">
        <v>485</v>
      </c>
      <c r="G1921" s="1" t="s">
        <v>485</v>
      </c>
      <c r="H1921" s="1" t="str">
        <f>VLOOKUP(G1921,'languoid 4.0'!$A$1:$I$24439,2,FALSE)</f>
        <v>utoa1244</v>
      </c>
      <c r="I1921" s="1" t="str">
        <f>VLOOKUP(G1921,'languoid 4.0'!$A$1:$I$24439,6,FALSE)</f>
        <v>language</v>
      </c>
      <c r="J1921" s="15" t="s">
        <v>38</v>
      </c>
      <c r="K1921" s="15" t="s">
        <v>38</v>
      </c>
      <c r="L1921" s="15" t="s">
        <v>38</v>
      </c>
      <c r="M1921" s="1"/>
      <c r="N1921" s="1" t="s">
        <v>486</v>
      </c>
      <c r="O1921" s="15" t="s">
        <v>40</v>
      </c>
      <c r="P1921" s="15" t="s">
        <v>41</v>
      </c>
      <c r="Q1921" s="1" t="s">
        <v>10404</v>
      </c>
      <c r="R1921" s="2" t="s">
        <v>10405</v>
      </c>
      <c r="S1921" s="1" t="s">
        <v>10406</v>
      </c>
      <c r="T1921" s="1" t="s">
        <v>657</v>
      </c>
      <c r="U1921" s="1" t="s">
        <v>636</v>
      </c>
      <c r="V1921" s="1" t="s">
        <v>45</v>
      </c>
      <c r="W1921" s="1"/>
      <c r="X1921" s="1"/>
      <c r="Y1921" s="1"/>
      <c r="Z1921" s="1" t="s">
        <v>673</v>
      </c>
      <c r="AA1921" s="1" t="s">
        <v>10407</v>
      </c>
      <c r="AB1921" s="1" t="s">
        <v>10408</v>
      </c>
      <c r="AC1921" s="1" t="s">
        <v>3114</v>
      </c>
      <c r="AD1921" s="1" t="s">
        <v>10409</v>
      </c>
      <c r="AE1921" s="1" t="s">
        <v>641</v>
      </c>
      <c r="AF1921" s="1" t="s">
        <v>45</v>
      </c>
      <c r="AG1921" s="1">
        <v>1</v>
      </c>
      <c r="AH1921" s="1" t="s">
        <v>190</v>
      </c>
      <c r="AI1921" s="1" t="s">
        <v>46</v>
      </c>
      <c r="AJ1921" s="1" t="s">
        <v>10410</v>
      </c>
      <c r="AK1921" s="1" t="s">
        <v>4975</v>
      </c>
    </row>
    <row r="1922" spans="1:37">
      <c r="A1922" s="1" t="str">
        <f>VLOOKUP(H1922,Languages!$A$2:$B$430,2,FALSE)</f>
        <v>Uto-Aztecan</v>
      </c>
      <c r="B1922" s="1" t="s">
        <v>67</v>
      </c>
      <c r="C1922" s="1" t="s">
        <v>431</v>
      </c>
      <c r="D1922" s="1" t="s">
        <v>10411</v>
      </c>
      <c r="E1922" s="15" t="s">
        <v>485</v>
      </c>
      <c r="F1922" s="15" t="s">
        <v>485</v>
      </c>
      <c r="G1922" s="1" t="s">
        <v>485</v>
      </c>
      <c r="H1922" s="1" t="str">
        <f>VLOOKUP(G1922,'languoid 4.0'!$A$1:$I$24439,2,FALSE)</f>
        <v>utoa1244</v>
      </c>
      <c r="I1922" s="1" t="str">
        <f>VLOOKUP(G1922,'languoid 4.0'!$A$1:$I$24439,6,FALSE)</f>
        <v>language</v>
      </c>
      <c r="J1922" s="15" t="s">
        <v>38</v>
      </c>
      <c r="K1922" s="15" t="s">
        <v>38</v>
      </c>
      <c r="L1922" s="15" t="s">
        <v>38</v>
      </c>
      <c r="M1922" s="1"/>
      <c r="N1922" s="1" t="s">
        <v>486</v>
      </c>
      <c r="O1922" s="15" t="s">
        <v>40</v>
      </c>
      <c r="P1922" s="15" t="s">
        <v>41</v>
      </c>
      <c r="Q1922" s="1" t="s">
        <v>10412</v>
      </c>
      <c r="R1922" s="2" t="s">
        <v>10413</v>
      </c>
      <c r="S1922" s="1" t="s">
        <v>10371</v>
      </c>
      <c r="T1922" s="1" t="s">
        <v>657</v>
      </c>
      <c r="U1922" s="1" t="s">
        <v>636</v>
      </c>
      <c r="V1922" s="1" t="s">
        <v>45</v>
      </c>
      <c r="W1922" s="1"/>
      <c r="X1922" s="1"/>
      <c r="Y1922" s="1"/>
      <c r="Z1922" s="1" t="s">
        <v>637</v>
      </c>
      <c r="AA1922" s="1" t="s">
        <v>10414</v>
      </c>
      <c r="AB1922" s="1" t="s">
        <v>10415</v>
      </c>
      <c r="AC1922" s="1" t="s">
        <v>46</v>
      </c>
      <c r="AD1922" s="1" t="s">
        <v>10409</v>
      </c>
      <c r="AE1922" s="1" t="s">
        <v>641</v>
      </c>
      <c r="AF1922" s="1" t="s">
        <v>45</v>
      </c>
      <c r="AG1922" s="1">
        <v>1</v>
      </c>
      <c r="AH1922" s="1" t="s">
        <v>190</v>
      </c>
      <c r="AI1922" s="1"/>
      <c r="AJ1922" s="1" t="s">
        <v>10416</v>
      </c>
      <c r="AK1922" s="1" t="s">
        <v>4975</v>
      </c>
    </row>
    <row r="1923" spans="1:37">
      <c r="A1923" s="1" t="str">
        <f>VLOOKUP(H1923,Languages!$A$2:$B$430,2,FALSE)</f>
        <v>Uto-Aztecan</v>
      </c>
      <c r="B1923" s="1" t="s">
        <v>67</v>
      </c>
      <c r="C1923" s="1" t="s">
        <v>431</v>
      </c>
      <c r="D1923" s="1" t="s">
        <v>10424</v>
      </c>
      <c r="E1923" s="15" t="s">
        <v>10425</v>
      </c>
      <c r="F1923" s="15" t="s">
        <v>10425</v>
      </c>
      <c r="G1923" s="1" t="s">
        <v>10425</v>
      </c>
      <c r="H1923" s="1" t="str">
        <f>VLOOKUP(G1923,'languoid 4.0'!$A$1:$I$24439,2,FALSE)</f>
        <v>utoa1244</v>
      </c>
      <c r="I1923" s="1" t="str">
        <f>VLOOKUP(G1923,'languoid 4.0'!$A$1:$I$24439,6,FALSE)</f>
        <v>dialect</v>
      </c>
      <c r="J1923" s="15" t="s">
        <v>38</v>
      </c>
      <c r="K1923" s="15" t="s">
        <v>38</v>
      </c>
      <c r="L1923" s="15" t="s">
        <v>38</v>
      </c>
      <c r="M1923" s="1"/>
      <c r="N1923" s="1"/>
      <c r="O1923" s="15" t="s">
        <v>40</v>
      </c>
      <c r="P1923" s="15" t="s">
        <v>41</v>
      </c>
      <c r="Q1923" s="1" t="s">
        <v>10426</v>
      </c>
      <c r="R1923" s="2" t="s">
        <v>10427</v>
      </c>
      <c r="S1923" s="1" t="s">
        <v>10428</v>
      </c>
      <c r="T1923" s="1" t="s">
        <v>635</v>
      </c>
      <c r="U1923" s="1" t="s">
        <v>636</v>
      </c>
      <c r="V1923" s="1" t="s">
        <v>45</v>
      </c>
      <c r="W1923" s="1"/>
      <c r="X1923" s="1"/>
      <c r="Y1923" s="1"/>
      <c r="Z1923" s="1" t="s">
        <v>637</v>
      </c>
      <c r="AA1923" s="1" t="s">
        <v>10429</v>
      </c>
      <c r="AB1923" s="1" t="s">
        <v>10430</v>
      </c>
      <c r="AC1923" s="1" t="s">
        <v>46</v>
      </c>
      <c r="AD1923" s="1"/>
      <c r="AE1923" s="1" t="s">
        <v>641</v>
      </c>
      <c r="AF1923" s="1" t="s">
        <v>190</v>
      </c>
      <c r="AG1923" s="1">
        <v>6</v>
      </c>
      <c r="AH1923" s="1" t="s">
        <v>190</v>
      </c>
      <c r="AI1923" s="1"/>
      <c r="AJ1923" s="1" t="s">
        <v>10431</v>
      </c>
      <c r="AK1923" s="1" t="s">
        <v>4975</v>
      </c>
    </row>
    <row r="1924" spans="1:37">
      <c r="A1924" s="1" t="str">
        <f>VLOOKUP(H1924,Languages!$A$2:$B$430,2,FALSE)</f>
        <v>Uto-Aztecan</v>
      </c>
      <c r="B1924" s="1" t="s">
        <v>67</v>
      </c>
      <c r="C1924" s="1" t="s">
        <v>431</v>
      </c>
      <c r="D1924" s="1" t="s">
        <v>11167</v>
      </c>
      <c r="E1924" s="15" t="s">
        <v>10425</v>
      </c>
      <c r="F1924" s="15" t="s">
        <v>10425</v>
      </c>
      <c r="G1924" s="1" t="s">
        <v>10425</v>
      </c>
      <c r="H1924" s="1" t="str">
        <f>VLOOKUP(G1924,'languoid 4.0'!$A$1:$I$24439,2,FALSE)</f>
        <v>utoa1244</v>
      </c>
      <c r="I1924" s="1" t="str">
        <f>VLOOKUP(G1924,'languoid 4.0'!$A$1:$I$24439,6,FALSE)</f>
        <v>dialect</v>
      </c>
      <c r="J1924" s="15" t="s">
        <v>38</v>
      </c>
      <c r="K1924" s="15" t="s">
        <v>38</v>
      </c>
      <c r="L1924" s="15" t="s">
        <v>38</v>
      </c>
      <c r="M1924" s="1"/>
      <c r="N1924" s="1"/>
      <c r="O1924" s="15" t="s">
        <v>40</v>
      </c>
      <c r="P1924" s="15" t="s">
        <v>41</v>
      </c>
      <c r="Q1924" s="1" t="s">
        <v>11168</v>
      </c>
      <c r="R1924" s="2" t="s">
        <v>11169</v>
      </c>
      <c r="S1924" s="1" t="s">
        <v>11170</v>
      </c>
      <c r="T1924" s="1" t="s">
        <v>635</v>
      </c>
      <c r="U1924" s="1" t="s">
        <v>636</v>
      </c>
      <c r="V1924" s="1" t="s">
        <v>45</v>
      </c>
      <c r="W1924" s="1"/>
      <c r="X1924" s="1"/>
      <c r="Y1924" s="1"/>
      <c r="Z1924" s="1" t="s">
        <v>658</v>
      </c>
      <c r="AA1924" s="1" t="s">
        <v>11171</v>
      </c>
      <c r="AB1924" s="1" t="s">
        <v>11172</v>
      </c>
      <c r="AC1924" s="1" t="s">
        <v>46</v>
      </c>
      <c r="AD1924" s="1"/>
      <c r="AE1924" s="1" t="s">
        <v>641</v>
      </c>
      <c r="AF1924" s="1" t="s">
        <v>190</v>
      </c>
      <c r="AG1924" s="1">
        <v>6</v>
      </c>
      <c r="AH1924" s="1" t="s">
        <v>190</v>
      </c>
      <c r="AI1924" s="1"/>
      <c r="AJ1924" s="1" t="s">
        <v>11173</v>
      </c>
      <c r="AK1924" s="1" t="s">
        <v>4975</v>
      </c>
    </row>
    <row r="1925" spans="1:37">
      <c r="A1925" s="1" t="str">
        <f>VLOOKUP(H1925,Languages!$A$2:$B$430,2,FALSE)</f>
        <v>Uto-Aztecan</v>
      </c>
      <c r="B1925" s="1" t="s">
        <v>67</v>
      </c>
      <c r="C1925" s="1" t="s">
        <v>431</v>
      </c>
      <c r="D1925" s="1" t="s">
        <v>10432</v>
      </c>
      <c r="E1925" s="15" t="s">
        <v>10425</v>
      </c>
      <c r="F1925" s="15" t="s">
        <v>10425</v>
      </c>
      <c r="G1925" s="1" t="s">
        <v>10425</v>
      </c>
      <c r="H1925" s="1" t="str">
        <f>VLOOKUP(G1925,'languoid 4.0'!$A$1:$I$24439,2,FALSE)</f>
        <v>utoa1244</v>
      </c>
      <c r="I1925" s="1" t="str">
        <f>VLOOKUP(G1925,'languoid 4.0'!$A$1:$I$24439,6,FALSE)</f>
        <v>dialect</v>
      </c>
      <c r="J1925" s="15" t="s">
        <v>38</v>
      </c>
      <c r="K1925" s="15" t="s">
        <v>38</v>
      </c>
      <c r="L1925" s="15" t="s">
        <v>38</v>
      </c>
      <c r="M1925" s="1"/>
      <c r="N1925" s="1"/>
      <c r="O1925" s="15" t="s">
        <v>40</v>
      </c>
      <c r="P1925" s="15" t="s">
        <v>41</v>
      </c>
      <c r="Q1925" s="1" t="s">
        <v>11174</v>
      </c>
      <c r="R1925" s="2" t="s">
        <v>11175</v>
      </c>
      <c r="S1925" s="1" t="s">
        <v>11176</v>
      </c>
      <c r="T1925" s="1" t="s">
        <v>635</v>
      </c>
      <c r="U1925" s="1" t="s">
        <v>636</v>
      </c>
      <c r="V1925" s="1" t="s">
        <v>45</v>
      </c>
      <c r="W1925" s="1"/>
      <c r="X1925" s="1"/>
      <c r="Y1925" s="1"/>
      <c r="Z1925" s="1" t="s">
        <v>658</v>
      </c>
      <c r="AA1925" s="1" t="s">
        <v>11177</v>
      </c>
      <c r="AB1925" s="1" t="s">
        <v>11178</v>
      </c>
      <c r="AC1925" s="1" t="s">
        <v>46</v>
      </c>
      <c r="AD1925" s="1"/>
      <c r="AE1925" s="1" t="s">
        <v>641</v>
      </c>
      <c r="AF1925" s="1" t="s">
        <v>190</v>
      </c>
      <c r="AG1925" s="1">
        <v>6</v>
      </c>
      <c r="AH1925" s="1" t="s">
        <v>190</v>
      </c>
      <c r="AI1925" s="1"/>
      <c r="AJ1925" s="1" t="s">
        <v>11179</v>
      </c>
      <c r="AK1925" s="1" t="s">
        <v>4975</v>
      </c>
    </row>
    <row r="1926" spans="1:37">
      <c r="A1926" s="1" t="str">
        <f>VLOOKUP(H1926,Languages!$A$2:$B$430,2,FALSE)</f>
        <v>Uto-Aztecan</v>
      </c>
      <c r="B1926" s="1" t="s">
        <v>67</v>
      </c>
      <c r="C1926" s="1" t="s">
        <v>431</v>
      </c>
      <c r="D1926" s="1" t="s">
        <v>11180</v>
      </c>
      <c r="E1926" s="15" t="s">
        <v>485</v>
      </c>
      <c r="F1926" s="15" t="s">
        <v>485</v>
      </c>
      <c r="G1926" s="1" t="s">
        <v>485</v>
      </c>
      <c r="H1926" s="1" t="str">
        <f>VLOOKUP(G1926,'languoid 4.0'!$A$1:$I$24439,2,FALSE)</f>
        <v>utoa1244</v>
      </c>
      <c r="I1926" s="1" t="str">
        <f>VLOOKUP(G1926,'languoid 4.0'!$A$1:$I$24439,6,FALSE)</f>
        <v>language</v>
      </c>
      <c r="J1926" s="15" t="s">
        <v>38</v>
      </c>
      <c r="K1926" s="15" t="s">
        <v>38</v>
      </c>
      <c r="L1926" s="15" t="s">
        <v>38</v>
      </c>
      <c r="M1926" s="1"/>
      <c r="N1926" s="1" t="s">
        <v>486</v>
      </c>
      <c r="O1926" s="15" t="s">
        <v>40</v>
      </c>
      <c r="P1926" s="15" t="s">
        <v>41</v>
      </c>
      <c r="Q1926" s="1" t="s">
        <v>11181</v>
      </c>
      <c r="R1926" s="2" t="s">
        <v>11182</v>
      </c>
      <c r="S1926" s="1" t="s">
        <v>557</v>
      </c>
      <c r="T1926" s="1" t="s">
        <v>657</v>
      </c>
      <c r="U1926" s="1" t="s">
        <v>636</v>
      </c>
      <c r="V1926" s="1" t="s">
        <v>45</v>
      </c>
      <c r="W1926" s="1"/>
      <c r="X1926" s="1"/>
      <c r="Y1926" s="1"/>
      <c r="Z1926" s="1" t="s">
        <v>658</v>
      </c>
      <c r="AA1926" s="1" t="s">
        <v>11183</v>
      </c>
      <c r="AB1926" s="1" t="s">
        <v>11184</v>
      </c>
      <c r="AC1926" s="1" t="s">
        <v>46</v>
      </c>
      <c r="AD1926" s="1" t="s">
        <v>11185</v>
      </c>
      <c r="AE1926" s="1" t="s">
        <v>641</v>
      </c>
      <c r="AF1926" s="1" t="s">
        <v>45</v>
      </c>
      <c r="AG1926" s="1">
        <v>1</v>
      </c>
      <c r="AH1926" s="1" t="s">
        <v>190</v>
      </c>
      <c r="AI1926" s="1"/>
      <c r="AJ1926" s="1" t="s">
        <v>11186</v>
      </c>
      <c r="AK1926" s="1" t="s">
        <v>4975</v>
      </c>
    </row>
    <row r="1927" spans="1:37">
      <c r="A1927" s="1" t="str">
        <f>VLOOKUP(H1927,Languages!$A$2:$B$430,2,FALSE)</f>
        <v>Uto-Aztecan</v>
      </c>
      <c r="B1927" s="1" t="s">
        <v>59</v>
      </c>
      <c r="C1927" s="1" t="s">
        <v>5463</v>
      </c>
      <c r="D1927" s="1" t="s">
        <v>6253</v>
      </c>
      <c r="E1927" s="15" t="s">
        <v>2723</v>
      </c>
      <c r="F1927" s="15" t="s">
        <v>2723</v>
      </c>
      <c r="G1927" s="1" t="s">
        <v>2723</v>
      </c>
      <c r="H1927" s="1" t="str">
        <f>VLOOKUP(G1927,'languoid 4.0'!$A$1:$I$24439,2,FALSE)</f>
        <v>utoa1244</v>
      </c>
      <c r="I1927" s="1" t="str">
        <f>VLOOKUP(G1927,'languoid 4.0'!$A$1:$I$24439,6,FALSE)</f>
        <v>language</v>
      </c>
      <c r="J1927" s="15" t="s">
        <v>38</v>
      </c>
      <c r="K1927" s="15" t="s">
        <v>38</v>
      </c>
      <c r="L1927" s="15" t="s">
        <v>38</v>
      </c>
      <c r="M1927" s="1"/>
      <c r="N1927" s="1" t="s">
        <v>2724</v>
      </c>
      <c r="O1927" s="15" t="s">
        <v>40</v>
      </c>
      <c r="P1927" s="15" t="s">
        <v>41</v>
      </c>
      <c r="Q1927" s="1" t="s">
        <v>6302</v>
      </c>
      <c r="R1927" s="2" t="s">
        <v>6303</v>
      </c>
      <c r="S1927" s="1" t="s">
        <v>46</v>
      </c>
      <c r="T1927" s="1" t="s">
        <v>635</v>
      </c>
      <c r="U1927" s="1" t="s">
        <v>636</v>
      </c>
      <c r="V1927" s="1" t="s">
        <v>45</v>
      </c>
      <c r="W1927" s="1"/>
      <c r="X1927" s="1"/>
      <c r="Y1927" s="1"/>
      <c r="Z1927" s="1" t="s">
        <v>658</v>
      </c>
      <c r="AA1927" s="1" t="s">
        <v>6304</v>
      </c>
      <c r="AB1927" s="1" t="s">
        <v>46</v>
      </c>
      <c r="AC1927" s="1" t="s">
        <v>46</v>
      </c>
      <c r="AD1927" s="1"/>
      <c r="AE1927" s="1" t="s">
        <v>641</v>
      </c>
      <c r="AF1927" s="1" t="s">
        <v>190</v>
      </c>
      <c r="AG1927" s="1">
        <v>6</v>
      </c>
      <c r="AH1927" s="1" t="s">
        <v>190</v>
      </c>
      <c r="AI1927" s="1"/>
      <c r="AJ1927" s="3">
        <v>43227.591273148151</v>
      </c>
      <c r="AK1927" s="1" t="s">
        <v>5472</v>
      </c>
    </row>
    <row r="1928" spans="1:37">
      <c r="A1928" s="1" t="str">
        <f>VLOOKUP(H1928,Languages!$A$2:$B$430,2,FALSE)</f>
        <v>Uto-Aztecan</v>
      </c>
      <c r="B1928" s="1" t="s">
        <v>59</v>
      </c>
      <c r="C1928" s="1" t="s">
        <v>5463</v>
      </c>
      <c r="D1928" s="1" t="s">
        <v>6253</v>
      </c>
      <c r="E1928" s="15" t="s">
        <v>2723</v>
      </c>
      <c r="F1928" s="15" t="s">
        <v>2723</v>
      </c>
      <c r="G1928" s="1" t="s">
        <v>2723</v>
      </c>
      <c r="H1928" s="1" t="str">
        <f>VLOOKUP(G1928,'languoid 4.0'!$A$1:$I$24439,2,FALSE)</f>
        <v>utoa1244</v>
      </c>
      <c r="I1928" s="1" t="str">
        <f>VLOOKUP(G1928,'languoid 4.0'!$A$1:$I$24439,6,FALSE)</f>
        <v>language</v>
      </c>
      <c r="J1928" s="15" t="s">
        <v>38</v>
      </c>
      <c r="K1928" s="15" t="s">
        <v>38</v>
      </c>
      <c r="L1928" s="15" t="s">
        <v>38</v>
      </c>
      <c r="M1928" s="1"/>
      <c r="N1928" s="1" t="s">
        <v>2724</v>
      </c>
      <c r="O1928" s="15" t="s">
        <v>40</v>
      </c>
      <c r="P1928" s="15" t="s">
        <v>41</v>
      </c>
      <c r="Q1928" s="1" t="s">
        <v>6302</v>
      </c>
      <c r="R1928" s="2" t="s">
        <v>6305</v>
      </c>
      <c r="S1928" s="1" t="s">
        <v>46</v>
      </c>
      <c r="T1928" s="1" t="s">
        <v>635</v>
      </c>
      <c r="U1928" s="1" t="s">
        <v>636</v>
      </c>
      <c r="V1928" s="1" t="s">
        <v>45</v>
      </c>
      <c r="W1928" s="1"/>
      <c r="X1928" s="1"/>
      <c r="Y1928" s="1"/>
      <c r="Z1928" s="1" t="s">
        <v>658</v>
      </c>
      <c r="AA1928" s="1" t="s">
        <v>6306</v>
      </c>
      <c r="AB1928" s="1" t="s">
        <v>46</v>
      </c>
      <c r="AC1928" s="1" t="s">
        <v>46</v>
      </c>
      <c r="AD1928" s="1"/>
      <c r="AE1928" s="1" t="s">
        <v>641</v>
      </c>
      <c r="AF1928" s="1" t="s">
        <v>190</v>
      </c>
      <c r="AG1928" s="1">
        <v>6</v>
      </c>
      <c r="AH1928" s="1" t="s">
        <v>190</v>
      </c>
      <c r="AI1928" s="1"/>
      <c r="AJ1928" s="3">
        <v>43227.594560185185</v>
      </c>
      <c r="AK1928" s="1" t="s">
        <v>5472</v>
      </c>
    </row>
    <row r="1929" spans="1:37">
      <c r="A1929" s="1" t="str">
        <f>VLOOKUP(H1929,Languages!$A$2:$B$430,2,FALSE)</f>
        <v>Uto-Aztecan</v>
      </c>
      <c r="B1929" s="1" t="s">
        <v>59</v>
      </c>
      <c r="C1929" s="1" t="s">
        <v>5463</v>
      </c>
      <c r="D1929" s="1" t="s">
        <v>2722</v>
      </c>
      <c r="E1929" s="15" t="s">
        <v>2723</v>
      </c>
      <c r="F1929" s="15" t="s">
        <v>2723</v>
      </c>
      <c r="G1929" s="1" t="s">
        <v>2723</v>
      </c>
      <c r="H1929" s="1" t="str">
        <f>VLOOKUP(G1929,'languoid 4.0'!$A$1:$I$24439,2,FALSE)</f>
        <v>utoa1244</v>
      </c>
      <c r="I1929" s="1" t="str">
        <f>VLOOKUP(G1929,'languoid 4.0'!$A$1:$I$24439,6,FALSE)</f>
        <v>language</v>
      </c>
      <c r="J1929" s="15" t="s">
        <v>38</v>
      </c>
      <c r="K1929" s="15" t="s">
        <v>38</v>
      </c>
      <c r="L1929" s="15" t="s">
        <v>38</v>
      </c>
      <c r="M1929" s="1"/>
      <c r="N1929" s="1" t="s">
        <v>2724</v>
      </c>
      <c r="O1929" s="15" t="s">
        <v>40</v>
      </c>
      <c r="P1929" s="15" t="s">
        <v>41</v>
      </c>
      <c r="Q1929" s="1" t="s">
        <v>7551</v>
      </c>
      <c r="R1929" s="2" t="s">
        <v>7552</v>
      </c>
      <c r="S1929" s="1" t="s">
        <v>647</v>
      </c>
      <c r="T1929" s="1" t="s">
        <v>754</v>
      </c>
      <c r="U1929" s="1" t="s">
        <v>636</v>
      </c>
      <c r="V1929" s="1" t="s">
        <v>45</v>
      </c>
      <c r="W1929" s="1"/>
      <c r="X1929" s="1"/>
      <c r="Y1929" s="1"/>
      <c r="Z1929" s="1" t="s">
        <v>658</v>
      </c>
      <c r="AA1929" s="1" t="s">
        <v>7553</v>
      </c>
      <c r="AB1929" s="1" t="s">
        <v>46</v>
      </c>
      <c r="AC1929" s="1" t="s">
        <v>46</v>
      </c>
      <c r="AD1929" s="1" t="s">
        <v>7554</v>
      </c>
      <c r="AE1929" s="1"/>
      <c r="AF1929" s="1"/>
      <c r="AG1929" s="1"/>
      <c r="AH1929" s="1" t="s">
        <v>45</v>
      </c>
      <c r="AI1929" s="1" t="s">
        <v>7555</v>
      </c>
      <c r="AJ1929" s="1" t="s">
        <v>7556</v>
      </c>
      <c r="AK1929" s="1" t="s">
        <v>5472</v>
      </c>
    </row>
    <row r="1930" spans="1:37">
      <c r="A1930" s="1" t="str">
        <f>VLOOKUP(H1930,Languages!$A$2:$B$430,2,FALSE)</f>
        <v>Uto-Aztecan</v>
      </c>
      <c r="B1930" s="1" t="s">
        <v>59</v>
      </c>
      <c r="C1930" s="1" t="s">
        <v>5463</v>
      </c>
      <c r="D1930" s="1" t="s">
        <v>6633</v>
      </c>
      <c r="E1930" s="15" t="s">
        <v>6330</v>
      </c>
      <c r="F1930" s="15" t="s">
        <v>6330</v>
      </c>
      <c r="G1930" s="1" t="s">
        <v>6330</v>
      </c>
      <c r="H1930" s="1" t="str">
        <f>VLOOKUP(G1930,'languoid 4.0'!$A$1:$I$24439,2,FALSE)</f>
        <v>utoa1244</v>
      </c>
      <c r="I1930" s="1" t="str">
        <f>VLOOKUP(G1930,'languoid 4.0'!$A$1:$I$24439,6,FALSE)</f>
        <v>language</v>
      </c>
      <c r="J1930" s="15" t="s">
        <v>38</v>
      </c>
      <c r="K1930" s="15" t="s">
        <v>38</v>
      </c>
      <c r="L1930" s="15" t="s">
        <v>38</v>
      </c>
      <c r="M1930" s="1"/>
      <c r="N1930" s="1" t="s">
        <v>6331</v>
      </c>
      <c r="O1930" s="15" t="s">
        <v>40</v>
      </c>
      <c r="P1930" s="15" t="s">
        <v>41</v>
      </c>
      <c r="Q1930" s="1" t="s">
        <v>8444</v>
      </c>
      <c r="R1930" s="2" t="s">
        <v>8440</v>
      </c>
      <c r="S1930" s="1" t="s">
        <v>46</v>
      </c>
      <c r="T1930" s="1" t="s">
        <v>754</v>
      </c>
      <c r="U1930" s="1" t="s">
        <v>636</v>
      </c>
      <c r="V1930" s="1" t="s">
        <v>45</v>
      </c>
      <c r="W1930" s="1"/>
      <c r="X1930" s="1"/>
      <c r="Y1930" s="1"/>
      <c r="Z1930" s="1" t="s">
        <v>637</v>
      </c>
      <c r="AA1930" s="1" t="s">
        <v>7553</v>
      </c>
      <c r="AB1930" s="1" t="s">
        <v>8445</v>
      </c>
      <c r="AC1930" s="1" t="s">
        <v>46</v>
      </c>
      <c r="AD1930" s="1" t="s">
        <v>8441</v>
      </c>
      <c r="AE1930" s="1"/>
      <c r="AF1930" s="1"/>
      <c r="AG1930" s="1"/>
      <c r="AH1930" s="1" t="s">
        <v>45</v>
      </c>
      <c r="AI1930" s="1"/>
      <c r="AJ1930" s="3">
        <v>43140.754120370373</v>
      </c>
      <c r="AK1930" s="1" t="s">
        <v>5472</v>
      </c>
    </row>
    <row r="1931" spans="1:37">
      <c r="A1931" s="1" t="str">
        <f>VLOOKUP(H1931,Languages!$A$2:$B$430,2,FALSE)</f>
        <v>Uto-Aztecan</v>
      </c>
      <c r="B1931" s="1" t="s">
        <v>59</v>
      </c>
      <c r="C1931" s="1" t="s">
        <v>5463</v>
      </c>
      <c r="D1931" s="1" t="s">
        <v>2722</v>
      </c>
      <c r="E1931" s="15" t="s">
        <v>2723</v>
      </c>
      <c r="F1931" s="15" t="s">
        <v>2723</v>
      </c>
      <c r="G1931" s="1" t="s">
        <v>2723</v>
      </c>
      <c r="H1931" s="1" t="str">
        <f>VLOOKUP(G1931,'languoid 4.0'!$A$1:$I$24439,2,FALSE)</f>
        <v>utoa1244</v>
      </c>
      <c r="I1931" s="1" t="str">
        <f>VLOOKUP(G1931,'languoid 4.0'!$A$1:$I$24439,6,FALSE)</f>
        <v>language</v>
      </c>
      <c r="J1931" s="15" t="s">
        <v>38</v>
      </c>
      <c r="K1931" s="15" t="s">
        <v>38</v>
      </c>
      <c r="L1931" s="15" t="s">
        <v>38</v>
      </c>
      <c r="M1931" s="1"/>
      <c r="N1931" s="1" t="s">
        <v>2724</v>
      </c>
      <c r="O1931" s="15" t="s">
        <v>40</v>
      </c>
      <c r="P1931" s="15" t="s">
        <v>41</v>
      </c>
      <c r="Q1931" s="1" t="s">
        <v>9519</v>
      </c>
      <c r="R1931" s="2" t="s">
        <v>9511</v>
      </c>
      <c r="S1931" s="1" t="s">
        <v>46</v>
      </c>
      <c r="T1931" s="1" t="s">
        <v>822</v>
      </c>
      <c r="U1931" s="1" t="s">
        <v>636</v>
      </c>
      <c r="V1931" s="1" t="s">
        <v>45</v>
      </c>
      <c r="W1931" s="1"/>
      <c r="X1931" s="1"/>
      <c r="Y1931" s="1"/>
      <c r="Z1931" s="1" t="s">
        <v>658</v>
      </c>
      <c r="AA1931" s="1" t="s">
        <v>9520</v>
      </c>
      <c r="AB1931" s="1" t="s">
        <v>46</v>
      </c>
      <c r="AC1931" s="1" t="s">
        <v>46</v>
      </c>
      <c r="AD1931" s="1" t="s">
        <v>9521</v>
      </c>
      <c r="AE1931" s="1"/>
      <c r="AF1931" s="1"/>
      <c r="AG1931" s="1"/>
      <c r="AH1931" s="1" t="s">
        <v>45</v>
      </c>
      <c r="AI1931" s="1"/>
      <c r="AJ1931" s="3">
        <v>43291.703912037039</v>
      </c>
      <c r="AK1931" s="1" t="s">
        <v>5472</v>
      </c>
    </row>
    <row r="1932" spans="1:37">
      <c r="A1932" s="1" t="str">
        <f>VLOOKUP(H1932,Languages!$A$2:$B$430,2,FALSE)</f>
        <v>Uto-Aztecan</v>
      </c>
      <c r="B1932" s="1" t="s">
        <v>59</v>
      </c>
      <c r="C1932" s="1" t="s">
        <v>101</v>
      </c>
      <c r="D1932" s="1" t="s">
        <v>6686</v>
      </c>
      <c r="E1932" s="15" t="s">
        <v>2723</v>
      </c>
      <c r="F1932" s="15" t="s">
        <v>2723</v>
      </c>
      <c r="G1932" s="1" t="s">
        <v>2723</v>
      </c>
      <c r="H1932" s="1" t="str">
        <f>VLOOKUP(G1932,'languoid 4.0'!$A$1:$I$24439,2,FALSE)</f>
        <v>utoa1244</v>
      </c>
      <c r="I1932" s="1" t="str">
        <f>VLOOKUP(G1932,'languoid 4.0'!$A$1:$I$24439,6,FALSE)</f>
        <v>language</v>
      </c>
      <c r="J1932" s="15" t="s">
        <v>38</v>
      </c>
      <c r="K1932" s="15" t="s">
        <v>38</v>
      </c>
      <c r="L1932" s="15" t="s">
        <v>38</v>
      </c>
      <c r="M1932" s="1"/>
      <c r="N1932" s="1" t="s">
        <v>2724</v>
      </c>
      <c r="O1932" s="15" t="s">
        <v>40</v>
      </c>
      <c r="P1932" s="15" t="s">
        <v>41</v>
      </c>
      <c r="Q1932" s="1" t="s">
        <v>6302</v>
      </c>
      <c r="R1932" s="2" t="s">
        <v>6305</v>
      </c>
      <c r="S1932" s="1" t="s">
        <v>46</v>
      </c>
      <c r="T1932" s="1" t="s">
        <v>635</v>
      </c>
      <c r="U1932" s="1" t="s">
        <v>636</v>
      </c>
      <c r="V1932" s="1" t="s">
        <v>45</v>
      </c>
      <c r="W1932" s="1"/>
      <c r="X1932" s="1"/>
      <c r="Y1932" s="1"/>
      <c r="Z1932" s="1" t="s">
        <v>658</v>
      </c>
      <c r="AA1932" s="1" t="s">
        <v>6687</v>
      </c>
      <c r="AB1932" s="1" t="s">
        <v>6688</v>
      </c>
      <c r="AC1932" s="1" t="s">
        <v>46</v>
      </c>
      <c r="AD1932" s="1"/>
      <c r="AE1932" s="1" t="s">
        <v>641</v>
      </c>
      <c r="AF1932" s="1" t="s">
        <v>190</v>
      </c>
      <c r="AG1932" s="1">
        <v>6</v>
      </c>
      <c r="AH1932" s="1" t="s">
        <v>190</v>
      </c>
      <c r="AI1932" s="1"/>
      <c r="AJ1932" s="1" t="s">
        <v>6689</v>
      </c>
      <c r="AK1932" s="1" t="s">
        <v>6639</v>
      </c>
    </row>
    <row r="1933" spans="1:37">
      <c r="A1933" s="1" t="str">
        <f>VLOOKUP(H1933,Languages!$A$2:$B$430,2,FALSE)</f>
        <v>Uto-Aztecan</v>
      </c>
      <c r="B1933" s="1" t="s">
        <v>59</v>
      </c>
      <c r="C1933" s="1" t="s">
        <v>431</v>
      </c>
      <c r="D1933" s="1" t="s">
        <v>10432</v>
      </c>
      <c r="E1933" s="15" t="s">
        <v>10425</v>
      </c>
      <c r="F1933" s="15" t="s">
        <v>10425</v>
      </c>
      <c r="G1933" s="1" t="s">
        <v>10425</v>
      </c>
      <c r="H1933" s="1" t="str">
        <f>VLOOKUP(G1933,'languoid 4.0'!$A$1:$I$24439,2,FALSE)</f>
        <v>utoa1244</v>
      </c>
      <c r="I1933" s="1" t="str">
        <f>VLOOKUP(G1933,'languoid 4.0'!$A$1:$I$24439,6,FALSE)</f>
        <v>dialect</v>
      </c>
      <c r="J1933" s="15" t="s">
        <v>38</v>
      </c>
      <c r="K1933" s="15" t="s">
        <v>38</v>
      </c>
      <c r="L1933" s="15" t="s">
        <v>38</v>
      </c>
      <c r="M1933" s="1"/>
      <c r="N1933" s="1"/>
      <c r="O1933" s="15" t="s">
        <v>40</v>
      </c>
      <c r="P1933" s="15" t="s">
        <v>41</v>
      </c>
      <c r="Q1933" s="1" t="s">
        <v>10433</v>
      </c>
      <c r="R1933" s="2" t="s">
        <v>10434</v>
      </c>
      <c r="S1933" s="1" t="s">
        <v>10435</v>
      </c>
      <c r="T1933" s="1" t="s">
        <v>648</v>
      </c>
      <c r="U1933" s="1" t="s">
        <v>636</v>
      </c>
      <c r="V1933" s="1" t="s">
        <v>45</v>
      </c>
      <c r="W1933" s="1"/>
      <c r="X1933" s="1"/>
      <c r="Y1933" s="1"/>
      <c r="Z1933" s="1" t="s">
        <v>637</v>
      </c>
      <c r="AA1933" s="1" t="s">
        <v>10436</v>
      </c>
      <c r="AB1933" s="1" t="s">
        <v>10437</v>
      </c>
      <c r="AC1933" s="1" t="s">
        <v>46</v>
      </c>
      <c r="AD1933" s="1"/>
      <c r="AE1933" s="1" t="s">
        <v>641</v>
      </c>
      <c r="AF1933" s="1" t="s">
        <v>190</v>
      </c>
      <c r="AG1933" s="1">
        <v>6</v>
      </c>
      <c r="AH1933" s="1" t="s">
        <v>190</v>
      </c>
      <c r="AI1933" s="1"/>
      <c r="AJ1933" s="1" t="s">
        <v>10438</v>
      </c>
      <c r="AK1933" s="1" t="s">
        <v>4975</v>
      </c>
    </row>
    <row r="1934" spans="1:37">
      <c r="A1934" s="1" t="str">
        <f>VLOOKUP(H1934,Languages!$A$2:$B$430,2,FALSE)</f>
        <v>Uto-Aztecan</v>
      </c>
      <c r="B1934" s="1" t="s">
        <v>59</v>
      </c>
      <c r="C1934" s="1" t="s">
        <v>431</v>
      </c>
      <c r="D1934" s="1" t="s">
        <v>10439</v>
      </c>
      <c r="E1934" s="15" t="s">
        <v>10440</v>
      </c>
      <c r="F1934" s="15" t="s">
        <v>10441</v>
      </c>
      <c r="G1934" s="1" t="s">
        <v>10440</v>
      </c>
      <c r="H1934" s="1" t="str">
        <f>VLOOKUP(G1934,'languoid 4.0'!$A$1:$I$24439,2,FALSE)</f>
        <v>utoa1244</v>
      </c>
      <c r="I1934" s="1" t="str">
        <f>VLOOKUP(G1934,'languoid 4.0'!$A$1:$I$24439,6,FALSE)</f>
        <v>dialect</v>
      </c>
      <c r="J1934" s="15" t="s">
        <v>52</v>
      </c>
      <c r="K1934" s="15" t="s">
        <v>38</v>
      </c>
      <c r="L1934" s="15" t="s">
        <v>38</v>
      </c>
      <c r="M1934" s="1"/>
      <c r="N1934" s="1"/>
      <c r="O1934" s="15" t="s">
        <v>40</v>
      </c>
      <c r="P1934" s="15" t="s">
        <v>41</v>
      </c>
      <c r="Q1934" s="1" t="s">
        <v>6210</v>
      </c>
      <c r="R1934" s="2" t="s">
        <v>10442</v>
      </c>
      <c r="S1934" s="1" t="s">
        <v>10443</v>
      </c>
      <c r="T1934" s="1" t="s">
        <v>635</v>
      </c>
      <c r="U1934" s="1" t="s">
        <v>636</v>
      </c>
      <c r="V1934" s="1" t="s">
        <v>45</v>
      </c>
      <c r="W1934" s="1"/>
      <c r="X1934" s="1"/>
      <c r="Y1934" s="1"/>
      <c r="Z1934" s="1" t="s">
        <v>637</v>
      </c>
      <c r="AA1934" s="1" t="s">
        <v>10444</v>
      </c>
      <c r="AB1934" s="1" t="s">
        <v>10445</v>
      </c>
      <c r="AC1934" s="1" t="s">
        <v>46</v>
      </c>
      <c r="AD1934" s="1"/>
      <c r="AE1934" s="1" t="s">
        <v>641</v>
      </c>
      <c r="AF1934" s="1" t="s">
        <v>190</v>
      </c>
      <c r="AG1934" s="1">
        <v>6</v>
      </c>
      <c r="AH1934" s="1" t="s">
        <v>190</v>
      </c>
      <c r="AI1934" s="1"/>
      <c r="AJ1934" s="1" t="s">
        <v>10446</v>
      </c>
      <c r="AK1934" s="1" t="s">
        <v>4975</v>
      </c>
    </row>
    <row r="1935" spans="1:37">
      <c r="A1935" s="1" t="str">
        <f>VLOOKUP(H1935,Languages!$A$2:$B$430,2,FALSE)</f>
        <v>Uto-Aztecan</v>
      </c>
      <c r="B1935" s="1" t="s">
        <v>59</v>
      </c>
      <c r="C1935" s="1" t="s">
        <v>431</v>
      </c>
      <c r="D1935" s="1" t="s">
        <v>10439</v>
      </c>
      <c r="E1935" s="15" t="s">
        <v>10440</v>
      </c>
      <c r="F1935" s="15" t="s">
        <v>10461</v>
      </c>
      <c r="G1935" s="1" t="s">
        <v>10440</v>
      </c>
      <c r="H1935" s="1" t="str">
        <f>VLOOKUP(G1935,'languoid 4.0'!$A$1:$I$24439,2,FALSE)</f>
        <v>utoa1244</v>
      </c>
      <c r="I1935" s="1" t="str">
        <f>VLOOKUP(G1935,'languoid 4.0'!$A$1:$I$24439,6,FALSE)</f>
        <v>dialect</v>
      </c>
      <c r="J1935" s="15" t="s">
        <v>52</v>
      </c>
      <c r="K1935" s="15" t="s">
        <v>38</v>
      </c>
      <c r="L1935" s="15" t="s">
        <v>38</v>
      </c>
      <c r="M1935" s="1"/>
      <c r="N1935" s="1"/>
      <c r="O1935" s="15" t="s">
        <v>40</v>
      </c>
      <c r="P1935" s="15" t="s">
        <v>41</v>
      </c>
      <c r="Q1935" s="1" t="s">
        <v>10462</v>
      </c>
      <c r="R1935" s="2" t="s">
        <v>10463</v>
      </c>
      <c r="S1935" s="1" t="s">
        <v>10464</v>
      </c>
      <c r="T1935" s="1" t="s">
        <v>635</v>
      </c>
      <c r="U1935" s="1" t="s">
        <v>636</v>
      </c>
      <c r="V1935" s="1" t="s">
        <v>45</v>
      </c>
      <c r="W1935" s="1"/>
      <c r="X1935" s="1"/>
      <c r="Y1935" s="1"/>
      <c r="Z1935" s="1" t="s">
        <v>637</v>
      </c>
      <c r="AA1935" s="1" t="s">
        <v>10465</v>
      </c>
      <c r="AB1935" s="1" t="s">
        <v>10466</v>
      </c>
      <c r="AC1935" s="1" t="s">
        <v>46</v>
      </c>
      <c r="AD1935" s="1"/>
      <c r="AE1935" s="1" t="s">
        <v>641</v>
      </c>
      <c r="AF1935" s="1" t="s">
        <v>190</v>
      </c>
      <c r="AG1935" s="1">
        <v>6</v>
      </c>
      <c r="AH1935" s="1" t="s">
        <v>190</v>
      </c>
      <c r="AI1935" s="1"/>
      <c r="AJ1935" s="1" t="s">
        <v>10467</v>
      </c>
      <c r="AK1935" s="1" t="s">
        <v>4975</v>
      </c>
    </row>
    <row r="1936" spans="1:37">
      <c r="A1936" s="1" t="str">
        <f>VLOOKUP(H1936,Languages!$A$2:$B$430,2,FALSE)</f>
        <v>Uto-Aztecan</v>
      </c>
      <c r="B1936" s="1" t="s">
        <v>59</v>
      </c>
      <c r="C1936" s="1" t="s">
        <v>431</v>
      </c>
      <c r="D1936" s="1" t="s">
        <v>10439</v>
      </c>
      <c r="E1936" s="15" t="s">
        <v>10440</v>
      </c>
      <c r="F1936" s="15" t="s">
        <v>10468</v>
      </c>
      <c r="G1936" s="1" t="s">
        <v>10440</v>
      </c>
      <c r="H1936" s="1" t="str">
        <f>VLOOKUP(G1936,'languoid 4.0'!$A$1:$I$24439,2,FALSE)</f>
        <v>utoa1244</v>
      </c>
      <c r="I1936" s="1" t="str">
        <f>VLOOKUP(G1936,'languoid 4.0'!$A$1:$I$24439,6,FALSE)</f>
        <v>dialect</v>
      </c>
      <c r="J1936" s="15" t="s">
        <v>52</v>
      </c>
      <c r="K1936" s="15" t="s">
        <v>38</v>
      </c>
      <c r="L1936" s="15" t="s">
        <v>38</v>
      </c>
      <c r="M1936" s="1"/>
      <c r="N1936" s="1"/>
      <c r="O1936" s="15" t="s">
        <v>40</v>
      </c>
      <c r="P1936" s="15" t="s">
        <v>41</v>
      </c>
      <c r="Q1936" s="1" t="s">
        <v>6210</v>
      </c>
      <c r="R1936" s="2" t="s">
        <v>10469</v>
      </c>
      <c r="S1936" s="1" t="s">
        <v>10470</v>
      </c>
      <c r="T1936" s="1" t="s">
        <v>635</v>
      </c>
      <c r="U1936" s="1" t="s">
        <v>636</v>
      </c>
      <c r="V1936" s="1" t="s">
        <v>45</v>
      </c>
      <c r="W1936" s="1"/>
      <c r="X1936" s="1"/>
      <c r="Y1936" s="1"/>
      <c r="Z1936" s="1" t="s">
        <v>637</v>
      </c>
      <c r="AA1936" s="1" t="s">
        <v>10471</v>
      </c>
      <c r="AB1936" s="1" t="s">
        <v>10472</v>
      </c>
      <c r="AC1936" s="1" t="s">
        <v>46</v>
      </c>
      <c r="AD1936" s="1"/>
      <c r="AE1936" s="1" t="s">
        <v>641</v>
      </c>
      <c r="AF1936" s="1" t="s">
        <v>190</v>
      </c>
      <c r="AG1936" s="1">
        <v>6</v>
      </c>
      <c r="AH1936" s="1" t="s">
        <v>190</v>
      </c>
      <c r="AI1936" s="1"/>
      <c r="AJ1936" s="1" t="s">
        <v>10473</v>
      </c>
      <c r="AK1936" s="1" t="s">
        <v>4975</v>
      </c>
    </row>
    <row r="1937" spans="1:37">
      <c r="A1937" s="1" t="str">
        <f>VLOOKUP(H1937,Languages!$A$2:$B$430,2,FALSE)</f>
        <v>Uto-Aztecan</v>
      </c>
      <c r="B1937" s="1" t="s">
        <v>109</v>
      </c>
      <c r="C1937" s="1" t="s">
        <v>5463</v>
      </c>
      <c r="D1937" s="1" t="s">
        <v>6253</v>
      </c>
      <c r="E1937" s="15" t="s">
        <v>2723</v>
      </c>
      <c r="F1937" s="15" t="s">
        <v>2723</v>
      </c>
      <c r="G1937" s="1" t="s">
        <v>2723</v>
      </c>
      <c r="H1937" s="1" t="str">
        <f>VLOOKUP(G1937,'languoid 4.0'!$A$1:$I$24439,2,FALSE)</f>
        <v>utoa1244</v>
      </c>
      <c r="I1937" s="1" t="str">
        <f>VLOOKUP(G1937,'languoid 4.0'!$A$1:$I$24439,6,FALSE)</f>
        <v>language</v>
      </c>
      <c r="J1937" s="15" t="s">
        <v>38</v>
      </c>
      <c r="K1937" s="15" t="s">
        <v>38</v>
      </c>
      <c r="L1937" s="15" t="s">
        <v>38</v>
      </c>
      <c r="M1937" s="1"/>
      <c r="N1937" s="1" t="s">
        <v>2724</v>
      </c>
      <c r="O1937" s="15" t="s">
        <v>40</v>
      </c>
      <c r="P1937" s="15" t="s">
        <v>41</v>
      </c>
      <c r="Q1937" s="1" t="s">
        <v>6284</v>
      </c>
      <c r="R1937" s="2" t="s">
        <v>6285</v>
      </c>
      <c r="S1937" s="1" t="s">
        <v>46</v>
      </c>
      <c r="T1937" s="1" t="s">
        <v>635</v>
      </c>
      <c r="U1937" s="1" t="s">
        <v>636</v>
      </c>
      <c r="V1937" s="1" t="s">
        <v>45</v>
      </c>
      <c r="W1937" s="1"/>
      <c r="X1937" s="1"/>
      <c r="Y1937" s="1"/>
      <c r="Z1937" s="1" t="s">
        <v>658</v>
      </c>
      <c r="AA1937" s="1" t="s">
        <v>6286</v>
      </c>
      <c r="AB1937" s="1" t="s">
        <v>46</v>
      </c>
      <c r="AC1937" s="1" t="s">
        <v>46</v>
      </c>
      <c r="AD1937" s="1"/>
      <c r="AE1937" s="1" t="s">
        <v>641</v>
      </c>
      <c r="AF1937" s="1" t="s">
        <v>190</v>
      </c>
      <c r="AG1937" s="1">
        <v>6</v>
      </c>
      <c r="AH1937" s="1" t="s">
        <v>190</v>
      </c>
      <c r="AI1937" s="1"/>
      <c r="AJ1937" s="3">
        <v>43227.533472222225</v>
      </c>
      <c r="AK1937" s="1" t="s">
        <v>5472</v>
      </c>
    </row>
    <row r="1938" spans="1:37">
      <c r="A1938" s="1" t="str">
        <f>VLOOKUP(H1938,Languages!$A$2:$B$430,2,FALSE)</f>
        <v>Uto-Aztecan</v>
      </c>
      <c r="B1938" s="1" t="s">
        <v>109</v>
      </c>
      <c r="C1938" s="1" t="s">
        <v>5463</v>
      </c>
      <c r="D1938" s="1" t="s">
        <v>8196</v>
      </c>
      <c r="E1938" s="15" t="s">
        <v>444</v>
      </c>
      <c r="F1938" s="15" t="s">
        <v>444</v>
      </c>
      <c r="G1938" s="1" t="s">
        <v>444</v>
      </c>
      <c r="H1938" s="1" t="str">
        <f>VLOOKUP(G1938,'languoid 4.0'!$A$1:$I$24439,2,FALSE)</f>
        <v>utoa1244</v>
      </c>
      <c r="I1938" s="1" t="str">
        <f>VLOOKUP(G1938,'languoid 4.0'!$A$1:$I$24439,6,FALSE)</f>
        <v>family</v>
      </c>
      <c r="J1938" s="15" t="s">
        <v>38</v>
      </c>
      <c r="K1938" s="15" t="s">
        <v>38</v>
      </c>
      <c r="L1938" s="15" t="s">
        <v>38</v>
      </c>
      <c r="M1938" s="1"/>
      <c r="N1938" s="1"/>
      <c r="O1938" s="15" t="s">
        <v>113</v>
      </c>
      <c r="P1938" s="15" t="s">
        <v>41</v>
      </c>
      <c r="Q1938" s="1" t="s">
        <v>144</v>
      </c>
      <c r="R1938" s="2" t="s">
        <v>8539</v>
      </c>
      <c r="S1938" s="1" t="s">
        <v>46</v>
      </c>
      <c r="T1938" s="1" t="s">
        <v>754</v>
      </c>
      <c r="U1938" s="1" t="s">
        <v>636</v>
      </c>
      <c r="V1938" s="1" t="s">
        <v>45</v>
      </c>
      <c r="W1938" s="1"/>
      <c r="X1938" s="1"/>
      <c r="Y1938" s="1"/>
      <c r="Z1938" s="1" t="s">
        <v>658</v>
      </c>
      <c r="AA1938" s="1" t="s">
        <v>8186</v>
      </c>
      <c r="AB1938" s="1" t="s">
        <v>46</v>
      </c>
      <c r="AC1938" s="1" t="s">
        <v>46</v>
      </c>
      <c r="AD1938" s="1" t="s">
        <v>8540</v>
      </c>
      <c r="AE1938" s="1"/>
      <c r="AF1938" s="1"/>
      <c r="AG1938" s="1"/>
      <c r="AH1938" s="1" t="s">
        <v>45</v>
      </c>
      <c r="AI1938" s="1"/>
      <c r="AJ1938" s="3">
        <v>43168.669814814813</v>
      </c>
      <c r="AK1938" s="1" t="s">
        <v>5472</v>
      </c>
    </row>
    <row r="1939" spans="1:37">
      <c r="A1939" s="1" t="str">
        <f>VLOOKUP(H1939,Languages!$A$2:$B$430,2,FALSE)</f>
        <v>Uto-Aztecan</v>
      </c>
      <c r="B1939" s="1" t="s">
        <v>109</v>
      </c>
      <c r="C1939" s="1" t="s">
        <v>267</v>
      </c>
      <c r="D1939" s="1" t="s">
        <v>443</v>
      </c>
      <c r="E1939" s="15" t="s">
        <v>444</v>
      </c>
      <c r="F1939" s="15" t="s">
        <v>444</v>
      </c>
      <c r="G1939" s="1" t="s">
        <v>444</v>
      </c>
      <c r="H1939" s="1" t="str">
        <f>VLOOKUP(G1939,'languoid 4.0'!$A$1:$I$24439,2,FALSE)</f>
        <v>utoa1244</v>
      </c>
      <c r="I1939" s="1" t="str">
        <f>VLOOKUP(G1939,'languoid 4.0'!$A$1:$I$24439,6,FALSE)</f>
        <v>family</v>
      </c>
      <c r="J1939" s="15" t="s">
        <v>38</v>
      </c>
      <c r="K1939" s="15" t="s">
        <v>38</v>
      </c>
      <c r="L1939" s="15" t="s">
        <v>38</v>
      </c>
      <c r="M1939" s="1"/>
      <c r="N1939" s="1"/>
      <c r="O1939" s="15" t="s">
        <v>113</v>
      </c>
      <c r="P1939" s="15" t="s">
        <v>41</v>
      </c>
      <c r="Q1939" s="1" t="s">
        <v>445</v>
      </c>
      <c r="R1939" s="2" t="s">
        <v>446</v>
      </c>
      <c r="S1939" s="1" t="s">
        <v>138</v>
      </c>
      <c r="T1939" s="1" t="s">
        <v>44</v>
      </c>
      <c r="U1939" s="1"/>
      <c r="V1939" s="1" t="s">
        <v>45</v>
      </c>
      <c r="W1939" s="1"/>
      <c r="X1939" s="1"/>
      <c r="Y1939" s="1"/>
      <c r="Z1939" s="1"/>
      <c r="AA1939" s="1">
        <v>21</v>
      </c>
      <c r="AB1939" s="1">
        <v>21</v>
      </c>
      <c r="AC1939" s="1">
        <v>21</v>
      </c>
      <c r="AD1939" s="1"/>
      <c r="AE1939" s="1"/>
      <c r="AF1939" s="1"/>
      <c r="AG1939" s="1"/>
      <c r="AH1939" s="1"/>
      <c r="AI1939" s="1"/>
      <c r="AJ1939" s="3">
        <v>43102.74894675926</v>
      </c>
      <c r="AK1939" s="1" t="s">
        <v>172</v>
      </c>
    </row>
    <row r="1940" spans="1:37">
      <c r="A1940" s="1" t="str">
        <f>VLOOKUP(H1940,Languages!$A$2:$B$430,2,FALSE)</f>
        <v>Uto-Aztecan</v>
      </c>
      <c r="B1940" s="1" t="s">
        <v>109</v>
      </c>
      <c r="C1940" s="1" t="s">
        <v>101</v>
      </c>
      <c r="D1940" s="1" t="s">
        <v>2722</v>
      </c>
      <c r="E1940" s="15" t="s">
        <v>2723</v>
      </c>
      <c r="F1940" s="15" t="s">
        <v>239</v>
      </c>
      <c r="G1940" s="1" t="s">
        <v>2723</v>
      </c>
      <c r="H1940" s="1" t="str">
        <f>VLOOKUP(G1940,'languoid 4.0'!$A$1:$I$24439,2,FALSE)</f>
        <v>utoa1244</v>
      </c>
      <c r="I1940" s="1" t="str">
        <f>VLOOKUP(G1940,'languoid 4.0'!$A$1:$I$24439,6,FALSE)</f>
        <v>language</v>
      </c>
      <c r="J1940" s="15" t="s">
        <v>52</v>
      </c>
      <c r="K1940" s="15" t="s">
        <v>52</v>
      </c>
      <c r="L1940" s="15" t="s">
        <v>52</v>
      </c>
      <c r="M1940" s="1"/>
      <c r="N1940" s="1" t="s">
        <v>2724</v>
      </c>
      <c r="O1940" s="15" t="s">
        <v>40</v>
      </c>
      <c r="P1940" s="15" t="s">
        <v>41</v>
      </c>
      <c r="Q1940" s="1" t="s">
        <v>2725</v>
      </c>
      <c r="R1940" s="2" t="s">
        <v>2726</v>
      </c>
      <c r="S1940" s="1" t="s">
        <v>197</v>
      </c>
      <c r="T1940" s="1" t="s">
        <v>44</v>
      </c>
      <c r="U1940" s="1"/>
      <c r="V1940" s="1" t="s">
        <v>45</v>
      </c>
      <c r="W1940" s="1"/>
      <c r="X1940" s="1"/>
      <c r="Y1940" s="1"/>
      <c r="Z1940" s="1" t="s">
        <v>637</v>
      </c>
      <c r="AA1940" s="1">
        <v>37</v>
      </c>
      <c r="AB1940" s="1" t="s">
        <v>2727</v>
      </c>
      <c r="AC1940" s="1" t="s">
        <v>46</v>
      </c>
      <c r="AD1940" s="1"/>
      <c r="AE1940" s="1"/>
      <c r="AF1940" s="1"/>
      <c r="AG1940" s="1"/>
      <c r="AH1940" s="1"/>
      <c r="AI1940" s="1"/>
      <c r="AJ1940" s="3">
        <v>43347.786759259259</v>
      </c>
      <c r="AK1940" s="1" t="s">
        <v>47</v>
      </c>
    </row>
    <row r="1941" spans="1:37">
      <c r="A1941" s="1" t="str">
        <f>VLOOKUP(H1941,Languages!$A$2:$B$430,2,FALSE)</f>
        <v>Uto-Aztecan</v>
      </c>
      <c r="B1941" s="1" t="s">
        <v>109</v>
      </c>
      <c r="C1941" s="1" t="s">
        <v>101</v>
      </c>
      <c r="D1941" s="1" t="s">
        <v>6640</v>
      </c>
      <c r="E1941" s="15" t="s">
        <v>2723</v>
      </c>
      <c r="F1941" s="15" t="s">
        <v>2723</v>
      </c>
      <c r="G1941" s="1" t="s">
        <v>2723</v>
      </c>
      <c r="H1941" s="1" t="str">
        <f>VLOOKUP(G1941,'languoid 4.0'!$A$1:$I$24439,2,FALSE)</f>
        <v>utoa1244</v>
      </c>
      <c r="I1941" s="1" t="str">
        <f>VLOOKUP(G1941,'languoid 4.0'!$A$1:$I$24439,6,FALSE)</f>
        <v>language</v>
      </c>
      <c r="J1941" s="15" t="s">
        <v>38</v>
      </c>
      <c r="K1941" s="15" t="s">
        <v>38</v>
      </c>
      <c r="L1941" s="15" t="s">
        <v>38</v>
      </c>
      <c r="M1941" s="1"/>
      <c r="N1941" s="1" t="s">
        <v>2724</v>
      </c>
      <c r="O1941" s="15" t="s">
        <v>40</v>
      </c>
      <c r="P1941" s="15" t="s">
        <v>41</v>
      </c>
      <c r="Q1941" s="1" t="s">
        <v>6284</v>
      </c>
      <c r="R1941" s="2" t="s">
        <v>6285</v>
      </c>
      <c r="S1941" s="1" t="s">
        <v>46</v>
      </c>
      <c r="T1941" s="1" t="s">
        <v>635</v>
      </c>
      <c r="U1941" s="1" t="s">
        <v>67</v>
      </c>
      <c r="V1941" s="1" t="s">
        <v>45</v>
      </c>
      <c r="W1941" s="1"/>
      <c r="X1941" s="1"/>
      <c r="Y1941" s="1"/>
      <c r="Z1941" s="1" t="s">
        <v>658</v>
      </c>
      <c r="AA1941" s="1" t="s">
        <v>6641</v>
      </c>
      <c r="AB1941" s="1" t="s">
        <v>6642</v>
      </c>
      <c r="AC1941" s="1" t="s">
        <v>46</v>
      </c>
      <c r="AD1941" s="1"/>
      <c r="AE1941" s="1" t="s">
        <v>641</v>
      </c>
      <c r="AF1941" s="1" t="s">
        <v>190</v>
      </c>
      <c r="AG1941" s="1">
        <v>4</v>
      </c>
      <c r="AH1941" s="1" t="s">
        <v>190</v>
      </c>
      <c r="AI1941" s="1"/>
      <c r="AJ1941" s="1" t="s">
        <v>6643</v>
      </c>
      <c r="AK1941" s="1" t="s">
        <v>6639</v>
      </c>
    </row>
    <row r="1942" spans="1:37">
      <c r="A1942" s="1" t="str">
        <f>VLOOKUP(H1942,Languages!$A$2:$B$430,2,FALSE)</f>
        <v>Uto-Aztecan</v>
      </c>
      <c r="B1942" s="1" t="s">
        <v>35</v>
      </c>
      <c r="C1942" s="1" t="s">
        <v>5463</v>
      </c>
      <c r="D1942" s="1" t="s">
        <v>432</v>
      </c>
      <c r="E1942" s="15" t="s">
        <v>433</v>
      </c>
      <c r="F1942" s="15" t="s">
        <v>433</v>
      </c>
      <c r="G1942" s="1" t="s">
        <v>433</v>
      </c>
      <c r="H1942" s="1" t="str">
        <f>VLOOKUP(G1942,'languoid 4.0'!$A$1:$I$24439,2,FALSE)</f>
        <v>utoa1244</v>
      </c>
      <c r="I1942" s="1" t="str">
        <f>VLOOKUP(G1942,'languoid 4.0'!$A$1:$I$24439,6,FALSE)</f>
        <v>language</v>
      </c>
      <c r="J1942" s="15" t="s">
        <v>38</v>
      </c>
      <c r="K1942" s="15" t="s">
        <v>38</v>
      </c>
      <c r="L1942" s="15" t="s">
        <v>38</v>
      </c>
      <c r="M1942" s="1"/>
      <c r="N1942" s="1" t="s">
        <v>434</v>
      </c>
      <c r="O1942" s="15" t="s">
        <v>40</v>
      </c>
      <c r="P1942" s="15" t="s">
        <v>41</v>
      </c>
      <c r="Q1942" s="1" t="s">
        <v>35</v>
      </c>
      <c r="R1942" s="2" t="s">
        <v>7546</v>
      </c>
      <c r="S1942" s="1" t="s">
        <v>557</v>
      </c>
      <c r="T1942" s="1" t="s">
        <v>754</v>
      </c>
      <c r="U1942" s="1" t="s">
        <v>636</v>
      </c>
      <c r="V1942" s="1" t="s">
        <v>45</v>
      </c>
      <c r="W1942" s="1"/>
      <c r="X1942" s="1"/>
      <c r="Y1942" s="1"/>
      <c r="Z1942" s="1" t="s">
        <v>658</v>
      </c>
      <c r="AA1942" s="1" t="s">
        <v>7547</v>
      </c>
      <c r="AB1942" s="1" t="s">
        <v>46</v>
      </c>
      <c r="AC1942" s="1" t="s">
        <v>46</v>
      </c>
      <c r="AD1942" s="1" t="s">
        <v>7548</v>
      </c>
      <c r="AE1942" s="1"/>
      <c r="AF1942" s="1"/>
      <c r="AG1942" s="1"/>
      <c r="AH1942" s="1" t="s">
        <v>45</v>
      </c>
      <c r="AI1942" s="1" t="s">
        <v>7549</v>
      </c>
      <c r="AJ1942" s="1" t="s">
        <v>7550</v>
      </c>
      <c r="AK1942" s="1" t="s">
        <v>5472</v>
      </c>
    </row>
    <row r="1943" spans="1:37">
      <c r="A1943" s="1" t="str">
        <f>VLOOKUP(H1943,Languages!$A$2:$B$430,2,FALSE)</f>
        <v>Uto-Aztecan</v>
      </c>
      <c r="B1943" s="1" t="s">
        <v>35</v>
      </c>
      <c r="C1943" s="1" t="s">
        <v>5463</v>
      </c>
      <c r="D1943" s="1" t="s">
        <v>6633</v>
      </c>
      <c r="E1943" s="15" t="s">
        <v>6330</v>
      </c>
      <c r="F1943" s="15" t="s">
        <v>6330</v>
      </c>
      <c r="G1943" s="1" t="s">
        <v>6330</v>
      </c>
      <c r="H1943" s="1" t="str">
        <f>VLOOKUP(G1943,'languoid 4.0'!$A$1:$I$24439,2,FALSE)</f>
        <v>utoa1244</v>
      </c>
      <c r="I1943" s="1" t="str">
        <f>VLOOKUP(G1943,'languoid 4.0'!$A$1:$I$24439,6,FALSE)</f>
        <v>language</v>
      </c>
      <c r="J1943" s="15" t="s">
        <v>38</v>
      </c>
      <c r="K1943" s="15" t="s">
        <v>38</v>
      </c>
      <c r="L1943" s="15" t="s">
        <v>38</v>
      </c>
      <c r="M1943" s="1"/>
      <c r="N1943" s="1" t="s">
        <v>6331</v>
      </c>
      <c r="O1943" s="15" t="s">
        <v>40</v>
      </c>
      <c r="P1943" s="15" t="s">
        <v>41</v>
      </c>
      <c r="Q1943" s="1" t="s">
        <v>8442</v>
      </c>
      <c r="R1943" s="2" t="s">
        <v>8440</v>
      </c>
      <c r="S1943" s="1" t="s">
        <v>46</v>
      </c>
      <c r="T1943" s="1" t="s">
        <v>754</v>
      </c>
      <c r="U1943" s="1" t="s">
        <v>636</v>
      </c>
      <c r="V1943" s="1" t="s">
        <v>45</v>
      </c>
      <c r="W1943" s="1"/>
      <c r="X1943" s="1"/>
      <c r="Y1943" s="1"/>
      <c r="Z1943" s="1" t="s">
        <v>658</v>
      </c>
      <c r="AA1943" s="1" t="s">
        <v>7547</v>
      </c>
      <c r="AB1943" s="1" t="s">
        <v>46</v>
      </c>
      <c r="AC1943" s="1" t="s">
        <v>46</v>
      </c>
      <c r="AD1943" s="1" t="s">
        <v>8443</v>
      </c>
      <c r="AE1943" s="1"/>
      <c r="AF1943" s="1"/>
      <c r="AG1943" s="1"/>
      <c r="AH1943" s="1" t="s">
        <v>45</v>
      </c>
      <c r="AI1943" s="1"/>
      <c r="AJ1943" s="3">
        <v>43140.751157407409</v>
      </c>
      <c r="AK1943" s="1" t="s">
        <v>5472</v>
      </c>
    </row>
    <row r="1944" spans="1:37">
      <c r="A1944" s="1" t="str">
        <f>VLOOKUP(H1944,Languages!$A$2:$B$430,2,FALSE)</f>
        <v>Uto-Aztecan</v>
      </c>
      <c r="B1944" s="1" t="s">
        <v>35</v>
      </c>
      <c r="C1944" s="1" t="s">
        <v>5463</v>
      </c>
      <c r="D1944" s="1" t="s">
        <v>8196</v>
      </c>
      <c r="E1944" s="15" t="s">
        <v>444</v>
      </c>
      <c r="F1944" s="15" t="s">
        <v>444</v>
      </c>
      <c r="G1944" s="1" t="s">
        <v>444</v>
      </c>
      <c r="H1944" s="1" t="str">
        <f>VLOOKUP(G1944,'languoid 4.0'!$A$1:$I$24439,2,FALSE)</f>
        <v>utoa1244</v>
      </c>
      <c r="I1944" s="1" t="str">
        <f>VLOOKUP(G1944,'languoid 4.0'!$A$1:$I$24439,6,FALSE)</f>
        <v>family</v>
      </c>
      <c r="J1944" s="15" t="s">
        <v>38</v>
      </c>
      <c r="K1944" s="15" t="s">
        <v>38</v>
      </c>
      <c r="L1944" s="15" t="s">
        <v>38</v>
      </c>
      <c r="M1944" s="1"/>
      <c r="N1944" s="1"/>
      <c r="O1944" s="15" t="s">
        <v>113</v>
      </c>
      <c r="P1944" s="15" t="s">
        <v>41</v>
      </c>
      <c r="Q1944" s="1" t="s">
        <v>8536</v>
      </c>
      <c r="R1944" s="2" t="s">
        <v>8537</v>
      </c>
      <c r="S1944" s="1" t="s">
        <v>46</v>
      </c>
      <c r="T1944" s="1" t="s">
        <v>754</v>
      </c>
      <c r="U1944" s="1" t="s">
        <v>636</v>
      </c>
      <c r="V1944" s="1" t="s">
        <v>45</v>
      </c>
      <c r="W1944" s="1"/>
      <c r="X1944" s="1"/>
      <c r="Y1944" s="1"/>
      <c r="Z1944" s="1" t="s">
        <v>658</v>
      </c>
      <c r="AA1944" s="1" t="s">
        <v>7547</v>
      </c>
      <c r="AB1944" s="1" t="s">
        <v>46</v>
      </c>
      <c r="AC1944" s="1" t="s">
        <v>46</v>
      </c>
      <c r="AD1944" s="1" t="s">
        <v>8538</v>
      </c>
      <c r="AE1944" s="1"/>
      <c r="AF1944" s="1"/>
      <c r="AG1944" s="1"/>
      <c r="AH1944" s="1" t="s">
        <v>45</v>
      </c>
      <c r="AI1944" s="1"/>
      <c r="AJ1944" s="3">
        <v>43168.648495370369</v>
      </c>
      <c r="AK1944" s="1" t="s">
        <v>5472</v>
      </c>
    </row>
    <row r="1945" spans="1:37">
      <c r="A1945" s="1" t="str">
        <f>VLOOKUP(H1945,Languages!$A$2:$B$430,2,FALSE)</f>
        <v>Uto-Aztecan</v>
      </c>
      <c r="B1945" s="1" t="s">
        <v>35</v>
      </c>
      <c r="C1945" s="1" t="s">
        <v>267</v>
      </c>
      <c r="D1945" s="1" t="s">
        <v>443</v>
      </c>
      <c r="E1945" s="15" t="s">
        <v>444</v>
      </c>
      <c r="F1945" s="15" t="s">
        <v>444</v>
      </c>
      <c r="G1945" s="1" t="s">
        <v>444</v>
      </c>
      <c r="H1945" s="1" t="str">
        <f>VLOOKUP(G1945,'languoid 4.0'!$A$1:$I$24439,2,FALSE)</f>
        <v>utoa1244</v>
      </c>
      <c r="I1945" s="1" t="str">
        <f>VLOOKUP(G1945,'languoid 4.0'!$A$1:$I$24439,6,FALSE)</f>
        <v>family</v>
      </c>
      <c r="J1945" s="15" t="s">
        <v>38</v>
      </c>
      <c r="K1945" s="15" t="s">
        <v>38</v>
      </c>
      <c r="L1945" s="15" t="s">
        <v>38</v>
      </c>
      <c r="M1945" s="1"/>
      <c r="N1945" s="1"/>
      <c r="O1945" s="15" t="s">
        <v>113</v>
      </c>
      <c r="P1945" s="15" t="s">
        <v>41</v>
      </c>
      <c r="Q1945" s="1" t="s">
        <v>493</v>
      </c>
      <c r="R1945" s="2" t="s">
        <v>446</v>
      </c>
      <c r="S1945" s="1" t="s">
        <v>225</v>
      </c>
      <c r="T1945" s="1" t="s">
        <v>44</v>
      </c>
      <c r="U1945" s="1"/>
      <c r="V1945" s="1" t="s">
        <v>45</v>
      </c>
      <c r="W1945" s="1"/>
      <c r="X1945" s="1"/>
      <c r="Y1945" s="1"/>
      <c r="Z1945" s="1" t="s">
        <v>823</v>
      </c>
      <c r="AA1945" s="1">
        <v>19</v>
      </c>
      <c r="AB1945" s="1">
        <v>19</v>
      </c>
      <c r="AC1945" s="1">
        <v>20</v>
      </c>
      <c r="AD1945" s="1"/>
      <c r="AE1945" s="1"/>
      <c r="AF1945" s="1"/>
      <c r="AG1945" s="1"/>
      <c r="AH1945" s="1"/>
      <c r="AI1945" s="1"/>
      <c r="AJ1945" s="3">
        <v>43347.781851851854</v>
      </c>
      <c r="AK1945" s="1" t="s">
        <v>47</v>
      </c>
    </row>
    <row r="1946" spans="1:37">
      <c r="A1946" s="1" t="str">
        <f>VLOOKUP(H1946,Languages!$A$2:$B$430,2,FALSE)</f>
        <v>Uto-Aztecan</v>
      </c>
      <c r="B1946" s="1" t="s">
        <v>35</v>
      </c>
      <c r="C1946" s="1" t="s">
        <v>431</v>
      </c>
      <c r="D1946" s="1" t="s">
        <v>432</v>
      </c>
      <c r="E1946" s="15" t="s">
        <v>433</v>
      </c>
      <c r="F1946" s="15" t="s">
        <v>433</v>
      </c>
      <c r="G1946" s="1" t="s">
        <v>433</v>
      </c>
      <c r="H1946" s="1" t="str">
        <f>VLOOKUP(G1946,'languoid 4.0'!$A$1:$I$24439,2,FALSE)</f>
        <v>utoa1244</v>
      </c>
      <c r="I1946" s="1" t="str">
        <f>VLOOKUP(G1946,'languoid 4.0'!$A$1:$I$24439,6,FALSE)</f>
        <v>language</v>
      </c>
      <c r="J1946" s="15" t="s">
        <v>38</v>
      </c>
      <c r="K1946" s="15" t="s">
        <v>38</v>
      </c>
      <c r="L1946" s="15" t="s">
        <v>38</v>
      </c>
      <c r="M1946" s="1"/>
      <c r="N1946" s="1" t="s">
        <v>434</v>
      </c>
      <c r="O1946" s="15" t="s">
        <v>40</v>
      </c>
      <c r="P1946" s="15" t="s">
        <v>41</v>
      </c>
      <c r="Q1946" s="1" t="s">
        <v>451</v>
      </c>
      <c r="R1946" s="2" t="s">
        <v>452</v>
      </c>
      <c r="S1946" s="1" t="s">
        <v>323</v>
      </c>
      <c r="T1946" s="1" t="s">
        <v>44</v>
      </c>
      <c r="U1946" s="1"/>
      <c r="V1946" s="1" t="s">
        <v>45</v>
      </c>
      <c r="W1946" s="1"/>
      <c r="X1946" s="1"/>
      <c r="Y1946" s="1"/>
      <c r="Z1946" s="1"/>
      <c r="AA1946" s="1">
        <v>4</v>
      </c>
      <c r="AB1946" s="1">
        <v>4</v>
      </c>
      <c r="AC1946" s="1">
        <v>4</v>
      </c>
      <c r="AD1946" s="1"/>
      <c r="AE1946" s="1"/>
      <c r="AF1946" s="1"/>
      <c r="AG1946" s="1"/>
      <c r="AH1946" s="1"/>
      <c r="AI1946" s="1"/>
      <c r="AJ1946" s="3">
        <v>43102.749374999999</v>
      </c>
      <c r="AK1946" s="1" t="s">
        <v>74</v>
      </c>
    </row>
    <row r="1947" spans="1:37">
      <c r="A1947" s="1" t="str">
        <f>VLOOKUP(H1947,Languages!$A$2:$B$430,2,FALSE)</f>
        <v>Uto-Aztecan</v>
      </c>
      <c r="B1947" s="1" t="s">
        <v>1726</v>
      </c>
      <c r="C1947" s="1" t="s">
        <v>5463</v>
      </c>
      <c r="D1947" s="1" t="s">
        <v>6633</v>
      </c>
      <c r="E1947" s="15" t="s">
        <v>6330</v>
      </c>
      <c r="F1947" s="15" t="s">
        <v>6330</v>
      </c>
      <c r="G1947" s="1" t="s">
        <v>6330</v>
      </c>
      <c r="H1947" s="1" t="str">
        <f>VLOOKUP(G1947,'languoid 4.0'!$A$1:$I$24439,2,FALSE)</f>
        <v>utoa1244</v>
      </c>
      <c r="I1947" s="1" t="str">
        <f>VLOOKUP(G1947,'languoid 4.0'!$A$1:$I$24439,6,FALSE)</f>
        <v>language</v>
      </c>
      <c r="J1947" s="15" t="s">
        <v>38</v>
      </c>
      <c r="K1947" s="15" t="s">
        <v>38</v>
      </c>
      <c r="L1947" s="15" t="s">
        <v>38</v>
      </c>
      <c r="M1947" s="1"/>
      <c r="N1947" s="1" t="s">
        <v>6331</v>
      </c>
      <c r="O1947" s="15" t="s">
        <v>40</v>
      </c>
      <c r="P1947" s="15" t="s">
        <v>41</v>
      </c>
      <c r="Q1947" s="1" t="s">
        <v>8452</v>
      </c>
      <c r="R1947" s="2" t="s">
        <v>8440</v>
      </c>
      <c r="S1947" s="1" t="s">
        <v>46</v>
      </c>
      <c r="T1947" s="1" t="s">
        <v>754</v>
      </c>
      <c r="U1947" s="1" t="s">
        <v>636</v>
      </c>
      <c r="V1947" s="1" t="s">
        <v>45</v>
      </c>
      <c r="W1947" s="1"/>
      <c r="X1947" s="1"/>
      <c r="Y1947" s="1"/>
      <c r="Z1947" s="1" t="s">
        <v>637</v>
      </c>
      <c r="AA1947" s="1" t="s">
        <v>8453</v>
      </c>
      <c r="AB1947" s="1" t="s">
        <v>8454</v>
      </c>
      <c r="AC1947" s="1" t="s">
        <v>46</v>
      </c>
      <c r="AD1947" s="1" t="s">
        <v>8455</v>
      </c>
      <c r="AE1947" s="1"/>
      <c r="AF1947" s="1"/>
      <c r="AG1947" s="1"/>
      <c r="AH1947" s="1" t="s">
        <v>45</v>
      </c>
      <c r="AI1947" s="1"/>
      <c r="AJ1947" s="3">
        <v>43140.770497685182</v>
      </c>
      <c r="AK1947" s="1" t="s">
        <v>5472</v>
      </c>
    </row>
    <row r="1948" spans="1:37">
      <c r="A1948" s="1" t="str">
        <f>VLOOKUP(H1948,Languages!$A$2:$B$430,2,FALSE)</f>
        <v>Uto-Aztecan</v>
      </c>
      <c r="B1948" s="1" t="s">
        <v>1726</v>
      </c>
      <c r="C1948" s="1" t="s">
        <v>5463</v>
      </c>
      <c r="D1948" s="1" t="s">
        <v>6633</v>
      </c>
      <c r="E1948" s="15" t="s">
        <v>6330</v>
      </c>
      <c r="F1948" s="15" t="s">
        <v>6330</v>
      </c>
      <c r="G1948" s="1" t="s">
        <v>6330</v>
      </c>
      <c r="H1948" s="1" t="str">
        <f>VLOOKUP(G1948,'languoid 4.0'!$A$1:$I$24439,2,FALSE)</f>
        <v>utoa1244</v>
      </c>
      <c r="I1948" s="1" t="str">
        <f>VLOOKUP(G1948,'languoid 4.0'!$A$1:$I$24439,6,FALSE)</f>
        <v>language</v>
      </c>
      <c r="J1948" s="15" t="s">
        <v>38</v>
      </c>
      <c r="K1948" s="15" t="s">
        <v>38</v>
      </c>
      <c r="L1948" s="15" t="s">
        <v>38</v>
      </c>
      <c r="M1948" s="1"/>
      <c r="N1948" s="1" t="s">
        <v>6331</v>
      </c>
      <c r="O1948" s="15" t="s">
        <v>40</v>
      </c>
      <c r="P1948" s="15" t="s">
        <v>41</v>
      </c>
      <c r="Q1948" s="1" t="s">
        <v>8456</v>
      </c>
      <c r="R1948" s="2" t="s">
        <v>8440</v>
      </c>
      <c r="S1948" s="1" t="s">
        <v>46</v>
      </c>
      <c r="T1948" s="1" t="s">
        <v>754</v>
      </c>
      <c r="U1948" s="1" t="s">
        <v>636</v>
      </c>
      <c r="V1948" s="1" t="s">
        <v>45</v>
      </c>
      <c r="W1948" s="1"/>
      <c r="X1948" s="1"/>
      <c r="Y1948" s="1"/>
      <c r="Z1948" s="1" t="s">
        <v>637</v>
      </c>
      <c r="AA1948" s="1" t="s">
        <v>8453</v>
      </c>
      <c r="AB1948" s="1" t="s">
        <v>8454</v>
      </c>
      <c r="AC1948" s="1" t="s">
        <v>46</v>
      </c>
      <c r="AD1948" s="1" t="s">
        <v>8457</v>
      </c>
      <c r="AE1948" s="1"/>
      <c r="AF1948" s="1"/>
      <c r="AG1948" s="1"/>
      <c r="AH1948" s="1" t="s">
        <v>45</v>
      </c>
      <c r="AI1948" s="1"/>
      <c r="AJ1948" s="3">
        <v>43140.774212962962</v>
      </c>
      <c r="AK1948" s="1" t="s">
        <v>5472</v>
      </c>
    </row>
    <row r="1949" spans="1:37">
      <c r="A1949" s="1" t="str">
        <f>VLOOKUP(H1949,Languages!$A$2:$B$430,2,FALSE)</f>
        <v>Uto-Aztecan</v>
      </c>
      <c r="B1949" s="1" t="s">
        <v>1726</v>
      </c>
      <c r="C1949" s="1" t="s">
        <v>431</v>
      </c>
      <c r="D1949" s="1" t="s">
        <v>11246</v>
      </c>
      <c r="E1949" s="15" t="s">
        <v>433</v>
      </c>
      <c r="F1949" s="15" t="s">
        <v>433</v>
      </c>
      <c r="G1949" s="1" t="s">
        <v>433</v>
      </c>
      <c r="H1949" s="1" t="str">
        <f>VLOOKUP(G1949,'languoid 4.0'!$A$1:$I$24439,2,FALSE)</f>
        <v>utoa1244</v>
      </c>
      <c r="I1949" s="1" t="str">
        <f>VLOOKUP(G1949,'languoid 4.0'!$A$1:$I$24439,6,FALSE)</f>
        <v>language</v>
      </c>
      <c r="J1949" s="15" t="s">
        <v>38</v>
      </c>
      <c r="K1949" s="15" t="s">
        <v>38</v>
      </c>
      <c r="L1949" s="15" t="s">
        <v>38</v>
      </c>
      <c r="M1949" s="1"/>
      <c r="N1949" s="1" t="s">
        <v>434</v>
      </c>
      <c r="O1949" s="15" t="s">
        <v>40</v>
      </c>
      <c r="P1949" s="15" t="s">
        <v>41</v>
      </c>
      <c r="Q1949" s="1" t="s">
        <v>11247</v>
      </c>
      <c r="R1949" s="2" t="s">
        <v>11248</v>
      </c>
      <c r="S1949" s="1" t="s">
        <v>11249</v>
      </c>
      <c r="T1949" s="1" t="s">
        <v>657</v>
      </c>
      <c r="U1949" s="1" t="s">
        <v>636</v>
      </c>
      <c r="V1949" s="1" t="s">
        <v>45</v>
      </c>
      <c r="W1949" s="1"/>
      <c r="X1949" s="1"/>
      <c r="Y1949" s="1"/>
      <c r="Z1949" s="1" t="s">
        <v>658</v>
      </c>
      <c r="AA1949" s="1" t="s">
        <v>11250</v>
      </c>
      <c r="AB1949" s="1" t="s">
        <v>46</v>
      </c>
      <c r="AC1949" s="1" t="s">
        <v>46</v>
      </c>
      <c r="AD1949" s="1"/>
      <c r="AE1949" s="1" t="s">
        <v>641</v>
      </c>
      <c r="AF1949" s="1" t="s">
        <v>190</v>
      </c>
      <c r="AG1949" s="1">
        <v>6</v>
      </c>
      <c r="AH1949" s="1" t="s">
        <v>190</v>
      </c>
      <c r="AI1949" s="1"/>
      <c r="AJ1949" s="1" t="s">
        <v>11251</v>
      </c>
      <c r="AK1949" s="1" t="s">
        <v>4975</v>
      </c>
    </row>
    <row r="1950" spans="1:37">
      <c r="A1950" s="1" t="str">
        <f>VLOOKUP(H1950,Languages!$A$2:$B$430,2,FALSE)</f>
        <v>Uto-Aztecan</v>
      </c>
      <c r="B1950" s="1" t="s">
        <v>1750</v>
      </c>
      <c r="C1950" s="1" t="s">
        <v>5463</v>
      </c>
      <c r="D1950" s="1" t="s">
        <v>6329</v>
      </c>
      <c r="E1950" s="15" t="s">
        <v>6330</v>
      </c>
      <c r="F1950" s="15" t="s">
        <v>6442</v>
      </c>
      <c r="G1950" s="1" t="s">
        <v>444</v>
      </c>
      <c r="H1950" s="1" t="str">
        <f>VLOOKUP(G1950,'languoid 4.0'!$A$1:$I$24439,2,FALSE)</f>
        <v>utoa1244</v>
      </c>
      <c r="I1950" s="1" t="str">
        <f>VLOOKUP(G1950,'languoid 4.0'!$A$1:$I$24439,6,FALSE)</f>
        <v>family</v>
      </c>
      <c r="J1950" s="15" t="s">
        <v>52</v>
      </c>
      <c r="K1950" s="15" t="s">
        <v>368</v>
      </c>
      <c r="L1950" s="15" t="s">
        <v>368</v>
      </c>
      <c r="M1950" s="1" t="s">
        <v>616</v>
      </c>
      <c r="N1950" s="1" t="s">
        <v>6331</v>
      </c>
      <c r="O1950" s="15" t="s">
        <v>40</v>
      </c>
      <c r="P1950" s="15" t="s">
        <v>41</v>
      </c>
      <c r="Q1950" s="1" t="s">
        <v>6443</v>
      </c>
      <c r="R1950" s="2" t="s">
        <v>6444</v>
      </c>
      <c r="S1950" s="1" t="s">
        <v>2718</v>
      </c>
      <c r="T1950" s="1" t="s">
        <v>657</v>
      </c>
      <c r="U1950" s="1" t="s">
        <v>636</v>
      </c>
      <c r="V1950" s="1" t="s">
        <v>45</v>
      </c>
      <c r="W1950" s="1"/>
      <c r="X1950" s="1"/>
      <c r="Y1950" s="1"/>
      <c r="Z1950" s="1" t="s">
        <v>887</v>
      </c>
      <c r="AA1950" s="1" t="s">
        <v>6445</v>
      </c>
      <c r="AB1950" s="1" t="s">
        <v>46</v>
      </c>
      <c r="AC1950" s="1" t="s">
        <v>6446</v>
      </c>
      <c r="AD1950" s="1" t="s">
        <v>6447</v>
      </c>
      <c r="AE1950" s="1" t="s">
        <v>641</v>
      </c>
      <c r="AF1950" s="1" t="s">
        <v>190</v>
      </c>
      <c r="AG1950" s="1">
        <v>6</v>
      </c>
      <c r="AH1950" s="1" t="s">
        <v>190</v>
      </c>
      <c r="AI1950" s="1"/>
      <c r="AJ1950" s="3">
        <v>43380.738206018519</v>
      </c>
      <c r="AK1950" s="1" t="s">
        <v>5472</v>
      </c>
    </row>
    <row r="1951" spans="1:37">
      <c r="A1951" s="1" t="str">
        <f>VLOOKUP(H1951,Languages!$A$2:$B$430,2,FALSE)</f>
        <v>Uto-Aztecan</v>
      </c>
      <c r="B1951" s="1" t="s">
        <v>1750</v>
      </c>
      <c r="C1951" s="1" t="s">
        <v>5463</v>
      </c>
      <c r="D1951" s="1" t="s">
        <v>7557</v>
      </c>
      <c r="E1951" s="15" t="s">
        <v>239</v>
      </c>
      <c r="F1951" s="15" t="s">
        <v>51</v>
      </c>
      <c r="G1951" s="1" t="s">
        <v>7527</v>
      </c>
      <c r="H1951" s="1" t="str">
        <f>VLOOKUP(G1951,'languoid 4.0'!$A$1:$I$24439,2,FALSE)</f>
        <v>utoa1244</v>
      </c>
      <c r="I1951" s="1" t="str">
        <f>VLOOKUP(G1951,'languoid 4.0'!$A$1:$I$24439,6,FALSE)</f>
        <v>family</v>
      </c>
      <c r="J1951" s="15" t="s">
        <v>52</v>
      </c>
      <c r="K1951" s="15" t="s">
        <v>51</v>
      </c>
      <c r="L1951" s="15" t="s">
        <v>51</v>
      </c>
      <c r="M1951" s="1"/>
      <c r="N1951" s="1" t="s">
        <v>269</v>
      </c>
      <c r="O1951" s="15" t="s">
        <v>40</v>
      </c>
      <c r="P1951" s="15" t="s">
        <v>41</v>
      </c>
      <c r="Q1951" s="1" t="s">
        <v>7558</v>
      </c>
      <c r="R1951" s="2" t="s">
        <v>7559</v>
      </c>
      <c r="S1951" s="1" t="s">
        <v>683</v>
      </c>
      <c r="T1951" s="1" t="s">
        <v>754</v>
      </c>
      <c r="U1951" s="1" t="s">
        <v>636</v>
      </c>
      <c r="V1951" s="1" t="s">
        <v>45</v>
      </c>
      <c r="W1951" s="1"/>
      <c r="X1951" s="1"/>
      <c r="Y1951" s="1"/>
      <c r="Z1951" s="1" t="s">
        <v>658</v>
      </c>
      <c r="AA1951" s="1" t="s">
        <v>7560</v>
      </c>
      <c r="AB1951" s="1" t="s">
        <v>46</v>
      </c>
      <c r="AC1951" s="1" t="s">
        <v>46</v>
      </c>
      <c r="AD1951" s="1" t="s">
        <v>7561</v>
      </c>
      <c r="AE1951" s="1"/>
      <c r="AF1951" s="1"/>
      <c r="AG1951" s="1"/>
      <c r="AH1951" s="1" t="s">
        <v>45</v>
      </c>
      <c r="AI1951" s="1"/>
      <c r="AJ1951" s="1" t="s">
        <v>7562</v>
      </c>
      <c r="AK1951" s="1" t="s">
        <v>5472</v>
      </c>
    </row>
    <row r="1952" spans="1:37">
      <c r="A1952" s="1" t="str">
        <f>VLOOKUP(H1952,Languages!$A$2:$B$430,2,FALSE)</f>
        <v>Uto-Aztecan</v>
      </c>
      <c r="B1952" s="1" t="s">
        <v>1750</v>
      </c>
      <c r="C1952" s="1" t="s">
        <v>5463</v>
      </c>
      <c r="D1952" s="1" t="s">
        <v>8196</v>
      </c>
      <c r="E1952" s="15" t="s">
        <v>444</v>
      </c>
      <c r="F1952" s="15" t="s">
        <v>444</v>
      </c>
      <c r="G1952" s="1" t="s">
        <v>444</v>
      </c>
      <c r="H1952" s="1" t="str">
        <f>VLOOKUP(G1952,'languoid 4.0'!$A$1:$I$24439,2,FALSE)</f>
        <v>utoa1244</v>
      </c>
      <c r="I1952" s="1" t="str">
        <f>VLOOKUP(G1952,'languoid 4.0'!$A$1:$I$24439,6,FALSE)</f>
        <v>family</v>
      </c>
      <c r="J1952" s="15" t="s">
        <v>38</v>
      </c>
      <c r="K1952" s="15" t="s">
        <v>38</v>
      </c>
      <c r="L1952" s="15" t="s">
        <v>38</v>
      </c>
      <c r="M1952" s="1"/>
      <c r="N1952" s="1"/>
      <c r="O1952" s="15" t="s">
        <v>113</v>
      </c>
      <c r="P1952" s="15" t="s">
        <v>41</v>
      </c>
      <c r="Q1952" s="1" t="s">
        <v>8197</v>
      </c>
      <c r="R1952" s="2" t="s">
        <v>7552</v>
      </c>
      <c r="S1952" s="1" t="s">
        <v>8198</v>
      </c>
      <c r="T1952" s="1" t="s">
        <v>754</v>
      </c>
      <c r="U1952" s="1" t="s">
        <v>1738</v>
      </c>
      <c r="V1952" s="1" t="s">
        <v>45</v>
      </c>
      <c r="W1952" s="1"/>
      <c r="X1952" s="1"/>
      <c r="Y1952" s="1"/>
      <c r="Z1952" s="1" t="s">
        <v>658</v>
      </c>
      <c r="AA1952" s="1" t="s">
        <v>8199</v>
      </c>
      <c r="AB1952" s="1" t="s">
        <v>46</v>
      </c>
      <c r="AC1952" s="1" t="s">
        <v>46</v>
      </c>
      <c r="AD1952" s="1" t="s">
        <v>8200</v>
      </c>
      <c r="AE1952" s="1" t="s">
        <v>641</v>
      </c>
      <c r="AF1952" s="1" t="s">
        <v>45</v>
      </c>
      <c r="AG1952" s="1">
        <v>1</v>
      </c>
      <c r="AH1952" s="1" t="s">
        <v>190</v>
      </c>
      <c r="AI1952" s="1" t="s">
        <v>8201</v>
      </c>
      <c r="AJ1952" s="1" t="s">
        <v>8202</v>
      </c>
      <c r="AK1952" s="1" t="s">
        <v>5472</v>
      </c>
    </row>
    <row r="1953" spans="1:37">
      <c r="A1953" s="1" t="str">
        <f>VLOOKUP(H1953,Languages!$A$2:$B$430,2,FALSE)</f>
        <v>Uto-Aztecan</v>
      </c>
      <c r="B1953" s="1" t="s">
        <v>1750</v>
      </c>
      <c r="C1953" s="1" t="s">
        <v>5463</v>
      </c>
      <c r="D1953" s="1" t="s">
        <v>6633</v>
      </c>
      <c r="E1953" s="15" t="s">
        <v>6330</v>
      </c>
      <c r="F1953" s="15" t="s">
        <v>444</v>
      </c>
      <c r="G1953" s="1" t="s">
        <v>444</v>
      </c>
      <c r="H1953" s="1" t="str">
        <f>VLOOKUP(G1953,'languoid 4.0'!$A$1:$I$24439,2,FALSE)</f>
        <v>utoa1244</v>
      </c>
      <c r="I1953" s="1" t="str">
        <f>VLOOKUP(G1953,'languoid 4.0'!$A$1:$I$24439,6,FALSE)</f>
        <v>family</v>
      </c>
      <c r="J1953" s="15" t="s">
        <v>52</v>
      </c>
      <c r="K1953" s="15" t="s">
        <v>38</v>
      </c>
      <c r="L1953" s="15" t="s">
        <v>38</v>
      </c>
      <c r="M1953" s="1"/>
      <c r="N1953" s="1" t="s">
        <v>6331</v>
      </c>
      <c r="O1953" s="15" t="s">
        <v>40</v>
      </c>
      <c r="P1953" s="15" t="s">
        <v>41</v>
      </c>
      <c r="Q1953" s="1" t="s">
        <v>8544</v>
      </c>
      <c r="R1953" s="2" t="s">
        <v>8539</v>
      </c>
      <c r="S1953" s="1" t="s">
        <v>46</v>
      </c>
      <c r="T1953" s="1" t="s">
        <v>754</v>
      </c>
      <c r="U1953" s="1" t="s">
        <v>636</v>
      </c>
      <c r="V1953" s="1" t="s">
        <v>45</v>
      </c>
      <c r="W1953" s="1"/>
      <c r="X1953" s="1"/>
      <c r="Y1953" s="1"/>
      <c r="Z1953" s="1" t="s">
        <v>658</v>
      </c>
      <c r="AA1953" s="1" t="s">
        <v>8199</v>
      </c>
      <c r="AB1953" s="1" t="s">
        <v>46</v>
      </c>
      <c r="AC1953" s="1" t="s">
        <v>46</v>
      </c>
      <c r="AD1953" s="1" t="s">
        <v>8545</v>
      </c>
      <c r="AE1953" s="1"/>
      <c r="AF1953" s="1"/>
      <c r="AG1953" s="1"/>
      <c r="AH1953" s="1" t="s">
        <v>45</v>
      </c>
      <c r="AI1953" s="1"/>
      <c r="AJ1953" s="3">
        <v>43168.678888888891</v>
      </c>
      <c r="AK1953" s="1" t="s">
        <v>5472</v>
      </c>
    </row>
    <row r="1954" spans="1:37">
      <c r="A1954" s="1" t="str">
        <f>VLOOKUP(H1954,Languages!$A$2:$B$430,2,FALSE)</f>
        <v>Uto-Aztecan</v>
      </c>
      <c r="B1954" s="1" t="s">
        <v>1750</v>
      </c>
      <c r="C1954" s="1" t="s">
        <v>431</v>
      </c>
      <c r="D1954" s="1" t="s">
        <v>11308</v>
      </c>
      <c r="E1954" s="15" t="s">
        <v>10441</v>
      </c>
      <c r="F1954" s="15" t="s">
        <v>10441</v>
      </c>
      <c r="G1954" s="1" t="s">
        <v>10441</v>
      </c>
      <c r="H1954" s="1" t="str">
        <f>VLOOKUP(G1954,'languoid 4.0'!$A$1:$I$24439,2,FALSE)</f>
        <v>utoa1244</v>
      </c>
      <c r="I1954" s="1" t="str">
        <f>VLOOKUP(G1954,'languoid 4.0'!$A$1:$I$24439,6,FALSE)</f>
        <v>language</v>
      </c>
      <c r="J1954" s="15" t="s">
        <v>38</v>
      </c>
      <c r="K1954" s="15" t="s">
        <v>38</v>
      </c>
      <c r="L1954" s="15" t="s">
        <v>38</v>
      </c>
      <c r="M1954" s="1"/>
      <c r="N1954" s="1" t="s">
        <v>11309</v>
      </c>
      <c r="O1954" s="15" t="s">
        <v>40</v>
      </c>
      <c r="P1954" s="15" t="s">
        <v>41</v>
      </c>
      <c r="Q1954" s="1" t="s">
        <v>11310</v>
      </c>
      <c r="R1954" s="2" t="s">
        <v>11311</v>
      </c>
      <c r="S1954" s="1" t="s">
        <v>11312</v>
      </c>
      <c r="T1954" s="1" t="s">
        <v>657</v>
      </c>
      <c r="U1954" s="1" t="s">
        <v>636</v>
      </c>
      <c r="V1954" s="1" t="s">
        <v>45</v>
      </c>
      <c r="W1954" s="1"/>
      <c r="X1954" s="1"/>
      <c r="Y1954" s="1"/>
      <c r="Z1954" s="1" t="s">
        <v>673</v>
      </c>
      <c r="AA1954" s="1" t="s">
        <v>11313</v>
      </c>
      <c r="AB1954" s="1" t="s">
        <v>11314</v>
      </c>
      <c r="AC1954" s="1" t="s">
        <v>46</v>
      </c>
      <c r="AD1954" s="1"/>
      <c r="AE1954" s="1" t="s">
        <v>641</v>
      </c>
      <c r="AF1954" s="1" t="s">
        <v>190</v>
      </c>
      <c r="AG1954" s="1">
        <v>6</v>
      </c>
      <c r="AH1954" s="1" t="s">
        <v>190</v>
      </c>
      <c r="AI1954" s="1"/>
      <c r="AJ1954" s="1" t="s">
        <v>11315</v>
      </c>
      <c r="AK1954" s="1" t="s">
        <v>4975</v>
      </c>
    </row>
    <row r="1955" spans="1:37">
      <c r="A1955" s="1" t="str">
        <f>VLOOKUP(H1955,Languages!$A$2:$B$430,2,FALSE)</f>
        <v>Uto-Aztecan</v>
      </c>
      <c r="B1955" s="1" t="s">
        <v>1750</v>
      </c>
      <c r="C1955" s="1" t="s">
        <v>431</v>
      </c>
      <c r="D1955" s="1" t="s">
        <v>11246</v>
      </c>
      <c r="E1955" s="15" t="s">
        <v>433</v>
      </c>
      <c r="F1955" s="15" t="s">
        <v>433</v>
      </c>
      <c r="G1955" s="1" t="s">
        <v>433</v>
      </c>
      <c r="H1955" s="1" t="str">
        <f>VLOOKUP(G1955,'languoid 4.0'!$A$1:$I$24439,2,FALSE)</f>
        <v>utoa1244</v>
      </c>
      <c r="I1955" s="1" t="str">
        <f>VLOOKUP(G1955,'languoid 4.0'!$A$1:$I$24439,6,FALSE)</f>
        <v>language</v>
      </c>
      <c r="J1955" s="15" t="s">
        <v>38</v>
      </c>
      <c r="K1955" s="15" t="s">
        <v>38</v>
      </c>
      <c r="L1955" s="15" t="s">
        <v>38</v>
      </c>
      <c r="M1955" s="1"/>
      <c r="N1955" s="1" t="s">
        <v>434</v>
      </c>
      <c r="O1955" s="15" t="s">
        <v>40</v>
      </c>
      <c r="P1955" s="15" t="s">
        <v>41</v>
      </c>
      <c r="Q1955" s="1" t="s">
        <v>11316</v>
      </c>
      <c r="R1955" s="2" t="s">
        <v>11317</v>
      </c>
      <c r="S1955" s="1" t="s">
        <v>4821</v>
      </c>
      <c r="T1955" s="1" t="s">
        <v>657</v>
      </c>
      <c r="U1955" s="1" t="s">
        <v>67</v>
      </c>
      <c r="V1955" s="1" t="s">
        <v>45</v>
      </c>
      <c r="W1955" s="1"/>
      <c r="X1955" s="1"/>
      <c r="Y1955" s="1"/>
      <c r="Z1955" s="1" t="s">
        <v>673</v>
      </c>
      <c r="AA1955" s="1" t="s">
        <v>11318</v>
      </c>
      <c r="AB1955" s="1" t="s">
        <v>11319</v>
      </c>
      <c r="AC1955" s="1" t="s">
        <v>46</v>
      </c>
      <c r="AD1955" s="1"/>
      <c r="AE1955" s="1" t="s">
        <v>641</v>
      </c>
      <c r="AF1955" s="1" t="s">
        <v>190</v>
      </c>
      <c r="AG1955" s="1">
        <v>6</v>
      </c>
      <c r="AH1955" s="1" t="s">
        <v>190</v>
      </c>
      <c r="AI1955" s="1"/>
      <c r="AJ1955" s="1" t="s">
        <v>11320</v>
      </c>
      <c r="AK1955" s="1" t="s">
        <v>4975</v>
      </c>
    </row>
    <row r="1956" spans="1:37">
      <c r="A1956" s="1" t="str">
        <f>VLOOKUP(H1956,Languages!$A$2:$B$430,2,FALSE)</f>
        <v>Uto-Aztecan</v>
      </c>
      <c r="B1956" s="1" t="s">
        <v>1738</v>
      </c>
      <c r="C1956" s="1" t="s">
        <v>5463</v>
      </c>
      <c r="D1956" s="1" t="s">
        <v>6253</v>
      </c>
      <c r="E1956" s="15" t="s">
        <v>2723</v>
      </c>
      <c r="F1956" s="15" t="s">
        <v>2723</v>
      </c>
      <c r="G1956" s="1" t="s">
        <v>2723</v>
      </c>
      <c r="H1956" s="1" t="str">
        <f>VLOOKUP(G1956,'languoid 4.0'!$A$1:$I$24439,2,FALSE)</f>
        <v>utoa1244</v>
      </c>
      <c r="I1956" s="1" t="str">
        <f>VLOOKUP(G1956,'languoid 4.0'!$A$1:$I$24439,6,FALSE)</f>
        <v>language</v>
      </c>
      <c r="J1956" s="15" t="s">
        <v>38</v>
      </c>
      <c r="K1956" s="15" t="s">
        <v>38</v>
      </c>
      <c r="L1956" s="15" t="s">
        <v>38</v>
      </c>
      <c r="M1956" s="1"/>
      <c r="N1956" s="1" t="s">
        <v>2724</v>
      </c>
      <c r="O1956" s="15" t="s">
        <v>40</v>
      </c>
      <c r="P1956" s="15" t="s">
        <v>41</v>
      </c>
      <c r="Q1956" s="1" t="s">
        <v>6310</v>
      </c>
      <c r="R1956" s="2" t="s">
        <v>6311</v>
      </c>
      <c r="S1956" s="1" t="s">
        <v>46</v>
      </c>
      <c r="T1956" s="1" t="s">
        <v>635</v>
      </c>
      <c r="U1956" s="1" t="s">
        <v>6312</v>
      </c>
      <c r="V1956" s="1" t="s">
        <v>45</v>
      </c>
      <c r="W1956" s="1"/>
      <c r="X1956" s="1"/>
      <c r="Y1956" s="1"/>
      <c r="Z1956" s="1" t="s">
        <v>658</v>
      </c>
      <c r="AA1956" s="1" t="s">
        <v>6313</v>
      </c>
      <c r="AB1956" s="1" t="s">
        <v>46</v>
      </c>
      <c r="AC1956" s="1" t="s">
        <v>46</v>
      </c>
      <c r="AD1956" s="1"/>
      <c r="AE1956" s="1" t="s">
        <v>641</v>
      </c>
      <c r="AF1956" s="1" t="s">
        <v>190</v>
      </c>
      <c r="AG1956" s="1">
        <v>6</v>
      </c>
      <c r="AH1956" s="1" t="s">
        <v>190</v>
      </c>
      <c r="AI1956" s="1"/>
      <c r="AJ1956" s="3">
        <v>43258.564212962963</v>
      </c>
      <c r="AK1956" s="1" t="s">
        <v>5472</v>
      </c>
    </row>
    <row r="1957" spans="1:37">
      <c r="A1957" s="1" t="str">
        <f>VLOOKUP(H1957,Languages!$A$2:$B$430,2,FALSE)</f>
        <v>Uto-Aztecan</v>
      </c>
      <c r="B1957" s="1" t="s">
        <v>1738</v>
      </c>
      <c r="C1957" s="1" t="s">
        <v>5463</v>
      </c>
      <c r="D1957" s="1" t="s">
        <v>6253</v>
      </c>
      <c r="E1957" s="15" t="s">
        <v>2723</v>
      </c>
      <c r="F1957" s="15" t="s">
        <v>2723</v>
      </c>
      <c r="G1957" s="1" t="s">
        <v>2723</v>
      </c>
      <c r="H1957" s="1" t="str">
        <f>VLOOKUP(G1957,'languoid 4.0'!$A$1:$I$24439,2,FALSE)</f>
        <v>utoa1244</v>
      </c>
      <c r="I1957" s="1" t="str">
        <f>VLOOKUP(G1957,'languoid 4.0'!$A$1:$I$24439,6,FALSE)</f>
        <v>language</v>
      </c>
      <c r="J1957" s="15" t="s">
        <v>38</v>
      </c>
      <c r="K1957" s="15" t="s">
        <v>38</v>
      </c>
      <c r="L1957" s="15" t="s">
        <v>38</v>
      </c>
      <c r="M1957" s="1"/>
      <c r="N1957" s="1" t="s">
        <v>2724</v>
      </c>
      <c r="O1957" s="15" t="s">
        <v>40</v>
      </c>
      <c r="P1957" s="15" t="s">
        <v>41</v>
      </c>
      <c r="Q1957" s="1" t="s">
        <v>6310</v>
      </c>
      <c r="R1957" s="2" t="s">
        <v>6314</v>
      </c>
      <c r="S1957" s="1" t="s">
        <v>46</v>
      </c>
      <c r="T1957" s="1" t="s">
        <v>635</v>
      </c>
      <c r="U1957" s="1" t="s">
        <v>6315</v>
      </c>
      <c r="V1957" s="1" t="s">
        <v>45</v>
      </c>
      <c r="W1957" s="1"/>
      <c r="X1957" s="1"/>
      <c r="Y1957" s="1"/>
      <c r="Z1957" s="1" t="s">
        <v>658</v>
      </c>
      <c r="AA1957" s="1" t="s">
        <v>6316</v>
      </c>
      <c r="AB1957" s="1" t="s">
        <v>46</v>
      </c>
      <c r="AC1957" s="1" t="s">
        <v>46</v>
      </c>
      <c r="AD1957" s="1"/>
      <c r="AE1957" s="1" t="s">
        <v>641</v>
      </c>
      <c r="AF1957" s="1" t="s">
        <v>190</v>
      </c>
      <c r="AG1957" s="1">
        <v>5</v>
      </c>
      <c r="AH1957" s="1" t="s">
        <v>190</v>
      </c>
      <c r="AI1957" s="1"/>
      <c r="AJ1957" s="3">
        <v>43258.568101851852</v>
      </c>
      <c r="AK1957" s="1" t="s">
        <v>5472</v>
      </c>
    </row>
    <row r="1958" spans="1:37">
      <c r="A1958" s="1" t="str">
        <f>VLOOKUP(H1958,Languages!$A$2:$B$430,2,FALSE)</f>
        <v>Uto-Aztecan</v>
      </c>
      <c r="B1958" s="1" t="s">
        <v>1738</v>
      </c>
      <c r="C1958" s="1" t="s">
        <v>5463</v>
      </c>
      <c r="D1958" s="1" t="s">
        <v>6055</v>
      </c>
      <c r="E1958" s="15" t="s">
        <v>6056</v>
      </c>
      <c r="F1958" s="15" t="s">
        <v>6056</v>
      </c>
      <c r="G1958" s="1" t="s">
        <v>6056</v>
      </c>
      <c r="H1958" s="1" t="str">
        <f>VLOOKUP(G1958,'languoid 4.0'!$A$1:$I$24439,2,FALSE)</f>
        <v>utoa1244</v>
      </c>
      <c r="I1958" s="1" t="str">
        <f>VLOOKUP(G1958,'languoid 4.0'!$A$1:$I$24439,6,FALSE)</f>
        <v>family</v>
      </c>
      <c r="J1958" s="15" t="s">
        <v>38</v>
      </c>
      <c r="K1958" s="15" t="s">
        <v>38</v>
      </c>
      <c r="L1958" s="15" t="s">
        <v>38</v>
      </c>
      <c r="M1958" s="1"/>
      <c r="N1958" s="1"/>
      <c r="O1958" s="15" t="s">
        <v>113</v>
      </c>
      <c r="P1958" s="15" t="s">
        <v>41</v>
      </c>
      <c r="Q1958" s="1" t="s">
        <v>6525</v>
      </c>
      <c r="R1958" s="2" t="s">
        <v>6526</v>
      </c>
      <c r="S1958" s="1" t="s">
        <v>1596</v>
      </c>
      <c r="T1958" s="1" t="s">
        <v>657</v>
      </c>
      <c r="U1958" s="1" t="s">
        <v>1738</v>
      </c>
      <c r="V1958" s="1" t="s">
        <v>45</v>
      </c>
      <c r="W1958" s="1"/>
      <c r="X1958" s="1"/>
      <c r="Y1958" s="1"/>
      <c r="Z1958" s="1" t="s">
        <v>673</v>
      </c>
      <c r="AA1958" s="1" t="s">
        <v>6527</v>
      </c>
      <c r="AB1958" s="1" t="s">
        <v>6528</v>
      </c>
      <c r="AC1958" s="1" t="s">
        <v>46</v>
      </c>
      <c r="AD1958" s="1" t="s">
        <v>6529</v>
      </c>
      <c r="AE1958" s="1" t="s">
        <v>641</v>
      </c>
      <c r="AF1958" s="1" t="s">
        <v>190</v>
      </c>
      <c r="AG1958" s="1">
        <v>4</v>
      </c>
      <c r="AH1958" s="1" t="s">
        <v>190</v>
      </c>
      <c r="AI1958" s="1"/>
      <c r="AJ1958" s="3">
        <v>43441.781319444446</v>
      </c>
      <c r="AK1958" s="1" t="s">
        <v>5472</v>
      </c>
    </row>
    <row r="1959" spans="1:37">
      <c r="A1959" s="1" t="str">
        <f>VLOOKUP(H1959,Languages!$A$2:$B$430,2,FALSE)</f>
        <v>Uto-Aztecan</v>
      </c>
      <c r="B1959" s="1" t="s">
        <v>1738</v>
      </c>
      <c r="C1959" s="1" t="s">
        <v>5463</v>
      </c>
      <c r="D1959" s="1" t="s">
        <v>6055</v>
      </c>
      <c r="E1959" s="15" t="s">
        <v>6056</v>
      </c>
      <c r="F1959" s="15" t="s">
        <v>6056</v>
      </c>
      <c r="G1959" s="1" t="s">
        <v>6056</v>
      </c>
      <c r="H1959" s="1" t="str">
        <f>VLOOKUP(G1959,'languoid 4.0'!$A$1:$I$24439,2,FALSE)</f>
        <v>utoa1244</v>
      </c>
      <c r="I1959" s="1" t="str">
        <f>VLOOKUP(G1959,'languoid 4.0'!$A$1:$I$24439,6,FALSE)</f>
        <v>family</v>
      </c>
      <c r="J1959" s="15" t="s">
        <v>38</v>
      </c>
      <c r="K1959" s="15" t="s">
        <v>38</v>
      </c>
      <c r="L1959" s="15" t="s">
        <v>38</v>
      </c>
      <c r="M1959" s="1"/>
      <c r="N1959" s="1"/>
      <c r="O1959" s="15" t="s">
        <v>113</v>
      </c>
      <c r="P1959" s="15" t="s">
        <v>41</v>
      </c>
      <c r="Q1959" s="1" t="s">
        <v>6530</v>
      </c>
      <c r="R1959" s="2" t="s">
        <v>6531</v>
      </c>
      <c r="S1959" s="1" t="s">
        <v>6532</v>
      </c>
      <c r="T1959" s="1" t="s">
        <v>657</v>
      </c>
      <c r="U1959" s="1" t="s">
        <v>6533</v>
      </c>
      <c r="V1959" s="1" t="s">
        <v>45</v>
      </c>
      <c r="W1959" s="1"/>
      <c r="X1959" s="1"/>
      <c r="Y1959" s="1"/>
      <c r="Z1959" s="1" t="s">
        <v>637</v>
      </c>
      <c r="AA1959" s="1" t="s">
        <v>6534</v>
      </c>
      <c r="AB1959" s="1" t="s">
        <v>6535</v>
      </c>
      <c r="AC1959" s="1" t="s">
        <v>46</v>
      </c>
      <c r="AD1959" s="1" t="s">
        <v>6529</v>
      </c>
      <c r="AE1959" s="1" t="s">
        <v>641</v>
      </c>
      <c r="AF1959" s="1" t="s">
        <v>45</v>
      </c>
      <c r="AG1959" s="1">
        <v>1</v>
      </c>
      <c r="AH1959" s="1" t="s">
        <v>190</v>
      </c>
      <c r="AI1959" s="1"/>
      <c r="AJ1959" s="3">
        <v>43441.786203703705</v>
      </c>
      <c r="AK1959" s="1" t="s">
        <v>5472</v>
      </c>
    </row>
    <row r="1960" spans="1:37">
      <c r="A1960" s="1" t="str">
        <f>VLOOKUP(H1960,Languages!$A$2:$B$430,2,FALSE)</f>
        <v>Uto-Aztecan</v>
      </c>
      <c r="B1960" s="1" t="s">
        <v>1738</v>
      </c>
      <c r="C1960" s="1" t="s">
        <v>5463</v>
      </c>
      <c r="D1960" s="1" t="s">
        <v>6055</v>
      </c>
      <c r="E1960" s="15" t="s">
        <v>6056</v>
      </c>
      <c r="F1960" s="15" t="s">
        <v>6056</v>
      </c>
      <c r="G1960" s="1" t="s">
        <v>6056</v>
      </c>
      <c r="H1960" s="1" t="str">
        <f>VLOOKUP(G1960,'languoid 4.0'!$A$1:$I$24439,2,FALSE)</f>
        <v>utoa1244</v>
      </c>
      <c r="I1960" s="1" t="str">
        <f>VLOOKUP(G1960,'languoid 4.0'!$A$1:$I$24439,6,FALSE)</f>
        <v>family</v>
      </c>
      <c r="J1960" s="15" t="s">
        <v>38</v>
      </c>
      <c r="K1960" s="15" t="s">
        <v>38</v>
      </c>
      <c r="L1960" s="15" t="s">
        <v>38</v>
      </c>
      <c r="M1960" s="1"/>
      <c r="N1960" s="1"/>
      <c r="O1960" s="15" t="s">
        <v>113</v>
      </c>
      <c r="P1960" s="15" t="s">
        <v>41</v>
      </c>
      <c r="Q1960" s="1" t="s">
        <v>6536</v>
      </c>
      <c r="R1960" s="2" t="s">
        <v>6537</v>
      </c>
      <c r="S1960" s="1" t="s">
        <v>6538</v>
      </c>
      <c r="T1960" s="1" t="s">
        <v>657</v>
      </c>
      <c r="U1960" s="1" t="s">
        <v>6533</v>
      </c>
      <c r="V1960" s="1" t="s">
        <v>45</v>
      </c>
      <c r="W1960" s="1"/>
      <c r="X1960" s="1"/>
      <c r="Y1960" s="1"/>
      <c r="Z1960" s="1" t="s">
        <v>637</v>
      </c>
      <c r="AA1960" s="1" t="s">
        <v>6539</v>
      </c>
      <c r="AB1960" s="1" t="s">
        <v>6540</v>
      </c>
      <c r="AC1960" s="1" t="s">
        <v>46</v>
      </c>
      <c r="AD1960" s="1" t="s">
        <v>6529</v>
      </c>
      <c r="AE1960" s="1" t="s">
        <v>641</v>
      </c>
      <c r="AF1960" s="1" t="s">
        <v>45</v>
      </c>
      <c r="AG1960" s="1">
        <v>1</v>
      </c>
      <c r="AH1960" s="1" t="s">
        <v>190</v>
      </c>
      <c r="AI1960" s="1"/>
      <c r="AJ1960" s="3">
        <v>43441.790162037039</v>
      </c>
      <c r="AK1960" s="1" t="s">
        <v>5472</v>
      </c>
    </row>
    <row r="1961" spans="1:37">
      <c r="A1961" s="1" t="str">
        <f>VLOOKUP(H1961,Languages!$A$2:$B$430,2,FALSE)</f>
        <v>Uto-Aztecan</v>
      </c>
      <c r="B1961" s="1" t="s">
        <v>1738</v>
      </c>
      <c r="C1961" s="1" t="s">
        <v>5463</v>
      </c>
      <c r="D1961" s="1" t="s">
        <v>2722</v>
      </c>
      <c r="E1961" s="15" t="s">
        <v>2723</v>
      </c>
      <c r="F1961" s="15" t="s">
        <v>2723</v>
      </c>
      <c r="G1961" s="1" t="s">
        <v>2723</v>
      </c>
      <c r="H1961" s="1" t="str">
        <f>VLOOKUP(G1961,'languoid 4.0'!$A$1:$I$24439,2,FALSE)</f>
        <v>utoa1244</v>
      </c>
      <c r="I1961" s="1" t="str">
        <f>VLOOKUP(G1961,'languoid 4.0'!$A$1:$I$24439,6,FALSE)</f>
        <v>language</v>
      </c>
      <c r="J1961" s="15" t="s">
        <v>38</v>
      </c>
      <c r="K1961" s="15" t="s">
        <v>38</v>
      </c>
      <c r="L1961" s="15" t="s">
        <v>38</v>
      </c>
      <c r="M1961" s="1"/>
      <c r="N1961" s="1" t="s">
        <v>2724</v>
      </c>
      <c r="O1961" s="15" t="s">
        <v>40</v>
      </c>
      <c r="P1961" s="15" t="s">
        <v>41</v>
      </c>
      <c r="Q1961" s="1" t="s">
        <v>8209</v>
      </c>
      <c r="R1961" s="2" t="s">
        <v>7552</v>
      </c>
      <c r="S1961" s="1" t="s">
        <v>717</v>
      </c>
      <c r="T1961" s="1" t="s">
        <v>754</v>
      </c>
      <c r="U1961" s="1" t="s">
        <v>636</v>
      </c>
      <c r="V1961" s="1" t="s">
        <v>45</v>
      </c>
      <c r="W1961" s="1"/>
      <c r="X1961" s="1"/>
      <c r="Y1961" s="1"/>
      <c r="Z1961" s="1" t="s">
        <v>658</v>
      </c>
      <c r="AA1961" s="1" t="s">
        <v>8210</v>
      </c>
      <c r="AB1961" s="1" t="s">
        <v>46</v>
      </c>
      <c r="AC1961" s="1" t="s">
        <v>46</v>
      </c>
      <c r="AD1961" s="1" t="s">
        <v>8211</v>
      </c>
      <c r="AE1961" s="1" t="s">
        <v>641</v>
      </c>
      <c r="AF1961" s="1" t="s">
        <v>190</v>
      </c>
      <c r="AG1961" s="1">
        <v>6</v>
      </c>
      <c r="AH1961" s="1" t="s">
        <v>190</v>
      </c>
      <c r="AI1961" s="1" t="s">
        <v>8212</v>
      </c>
      <c r="AJ1961" s="1" t="s">
        <v>8213</v>
      </c>
      <c r="AK1961" s="1" t="s">
        <v>5472</v>
      </c>
    </row>
    <row r="1962" spans="1:37">
      <c r="A1962" s="1" t="str">
        <f>VLOOKUP(H1962,Languages!$A$2:$B$430,2,FALSE)</f>
        <v>Uto-Aztecan</v>
      </c>
      <c r="B1962" s="1" t="s">
        <v>1738</v>
      </c>
      <c r="C1962" s="1" t="s">
        <v>5463</v>
      </c>
      <c r="D1962" s="1" t="s">
        <v>2722</v>
      </c>
      <c r="E1962" s="15" t="s">
        <v>2723</v>
      </c>
      <c r="F1962" s="15" t="s">
        <v>2723</v>
      </c>
      <c r="G1962" s="1" t="s">
        <v>2723</v>
      </c>
      <c r="H1962" s="1" t="str">
        <f>VLOOKUP(G1962,'languoid 4.0'!$A$1:$I$24439,2,FALSE)</f>
        <v>utoa1244</v>
      </c>
      <c r="I1962" s="1" t="str">
        <f>VLOOKUP(G1962,'languoid 4.0'!$A$1:$I$24439,6,FALSE)</f>
        <v>language</v>
      </c>
      <c r="J1962" s="15" t="s">
        <v>38</v>
      </c>
      <c r="K1962" s="15" t="s">
        <v>38</v>
      </c>
      <c r="L1962" s="15" t="s">
        <v>38</v>
      </c>
      <c r="M1962" s="1"/>
      <c r="N1962" s="1" t="s">
        <v>2724</v>
      </c>
      <c r="O1962" s="15" t="s">
        <v>40</v>
      </c>
      <c r="P1962" s="15" t="s">
        <v>41</v>
      </c>
      <c r="Q1962" s="1" t="s">
        <v>8219</v>
      </c>
      <c r="R1962" s="2" t="s">
        <v>8220</v>
      </c>
      <c r="S1962" s="1" t="s">
        <v>46</v>
      </c>
      <c r="T1962" s="1" t="s">
        <v>754</v>
      </c>
      <c r="U1962" s="1" t="s">
        <v>8221</v>
      </c>
      <c r="V1962" s="1" t="s">
        <v>45</v>
      </c>
      <c r="W1962" s="1"/>
      <c r="X1962" s="1"/>
      <c r="Y1962" s="1"/>
      <c r="Z1962" s="1" t="s">
        <v>658</v>
      </c>
      <c r="AA1962" s="1" t="s">
        <v>8210</v>
      </c>
      <c r="AB1962" s="1" t="s">
        <v>46</v>
      </c>
      <c r="AC1962" s="1" t="s">
        <v>46</v>
      </c>
      <c r="AD1962" s="1"/>
      <c r="AE1962" s="1"/>
      <c r="AF1962" s="1"/>
      <c r="AG1962" s="1"/>
      <c r="AH1962" s="1" t="s">
        <v>45</v>
      </c>
      <c r="AI1962" s="1"/>
      <c r="AJ1962" s="1" t="s">
        <v>8222</v>
      </c>
      <c r="AK1962" s="1" t="s">
        <v>5472</v>
      </c>
    </row>
    <row r="1963" spans="1:37">
      <c r="A1963" s="1" t="str">
        <f>VLOOKUP(H1963,Languages!$A$2:$B$430,2,FALSE)</f>
        <v>Uto-Aztecan</v>
      </c>
      <c r="B1963" s="1" t="s">
        <v>1738</v>
      </c>
      <c r="C1963" s="1" t="s">
        <v>5463</v>
      </c>
      <c r="D1963" s="1" t="s">
        <v>2722</v>
      </c>
      <c r="E1963" s="15" t="s">
        <v>2723</v>
      </c>
      <c r="F1963" s="15" t="s">
        <v>2723</v>
      </c>
      <c r="G1963" s="1" t="s">
        <v>2723</v>
      </c>
      <c r="H1963" s="1" t="str">
        <f>VLOOKUP(G1963,'languoid 4.0'!$A$1:$I$24439,2,FALSE)</f>
        <v>utoa1244</v>
      </c>
      <c r="I1963" s="1" t="str">
        <f>VLOOKUP(G1963,'languoid 4.0'!$A$1:$I$24439,6,FALSE)</f>
        <v>language</v>
      </c>
      <c r="J1963" s="15" t="s">
        <v>38</v>
      </c>
      <c r="K1963" s="15" t="s">
        <v>38</v>
      </c>
      <c r="L1963" s="15" t="s">
        <v>38</v>
      </c>
      <c r="M1963" s="1"/>
      <c r="N1963" s="1" t="s">
        <v>2724</v>
      </c>
      <c r="O1963" s="15" t="s">
        <v>40</v>
      </c>
      <c r="P1963" s="15" t="s">
        <v>41</v>
      </c>
      <c r="Q1963" s="1" t="s">
        <v>9510</v>
      </c>
      <c r="R1963" s="2" t="s">
        <v>9511</v>
      </c>
      <c r="S1963" s="1" t="s">
        <v>46</v>
      </c>
      <c r="T1963" s="1" t="s">
        <v>822</v>
      </c>
      <c r="U1963" s="1" t="s">
        <v>636</v>
      </c>
      <c r="V1963" s="1" t="s">
        <v>45</v>
      </c>
      <c r="W1963" s="1"/>
      <c r="X1963" s="1"/>
      <c r="Y1963" s="1"/>
      <c r="Z1963" s="1" t="s">
        <v>658</v>
      </c>
      <c r="AA1963" s="1" t="s">
        <v>9512</v>
      </c>
      <c r="AB1963" s="1" t="s">
        <v>46</v>
      </c>
      <c r="AC1963" s="1" t="s">
        <v>46</v>
      </c>
      <c r="AD1963" s="1" t="s">
        <v>9513</v>
      </c>
      <c r="AE1963" s="1"/>
      <c r="AF1963" s="1"/>
      <c r="AG1963" s="1"/>
      <c r="AH1963" s="1" t="s">
        <v>45</v>
      </c>
      <c r="AI1963" s="1" t="s">
        <v>9514</v>
      </c>
      <c r="AJ1963" s="3">
        <v>43291.690069444441</v>
      </c>
      <c r="AK1963" s="1" t="s">
        <v>5472</v>
      </c>
    </row>
    <row r="1964" spans="1:37">
      <c r="A1964" s="1" t="str">
        <f>VLOOKUP(H1964,Languages!$A$2:$B$430,2,FALSE)</f>
        <v>Uto-Aztecan</v>
      </c>
      <c r="B1964" s="1" t="s">
        <v>1738</v>
      </c>
      <c r="C1964" s="1" t="s">
        <v>431</v>
      </c>
      <c r="D1964" s="1" t="s">
        <v>10474</v>
      </c>
      <c r="E1964" s="15" t="s">
        <v>2723</v>
      </c>
      <c r="F1964" s="15" t="s">
        <v>2723</v>
      </c>
      <c r="G1964" s="1" t="s">
        <v>2723</v>
      </c>
      <c r="H1964" s="1" t="str">
        <f>VLOOKUP(G1964,'languoid 4.0'!$A$1:$I$24439,2,FALSE)</f>
        <v>utoa1244</v>
      </c>
      <c r="I1964" s="1" t="str">
        <f>VLOOKUP(G1964,'languoid 4.0'!$A$1:$I$24439,6,FALSE)</f>
        <v>language</v>
      </c>
      <c r="J1964" s="15" t="s">
        <v>38</v>
      </c>
      <c r="K1964" s="15" t="s">
        <v>38</v>
      </c>
      <c r="L1964" s="15" t="s">
        <v>38</v>
      </c>
      <c r="M1964" s="1"/>
      <c r="N1964" s="1" t="s">
        <v>2724</v>
      </c>
      <c r="O1964" s="15" t="s">
        <v>40</v>
      </c>
      <c r="P1964" s="15" t="s">
        <v>41</v>
      </c>
      <c r="Q1964" s="1" t="s">
        <v>6254</v>
      </c>
      <c r="R1964" s="2" t="s">
        <v>6255</v>
      </c>
      <c r="S1964" s="1" t="s">
        <v>10475</v>
      </c>
      <c r="T1964" s="1" t="s">
        <v>635</v>
      </c>
      <c r="U1964" s="1" t="s">
        <v>67</v>
      </c>
      <c r="V1964" s="1" t="s">
        <v>45</v>
      </c>
      <c r="W1964" s="1"/>
      <c r="X1964" s="1"/>
      <c r="Y1964" s="1"/>
      <c r="Z1964" s="1" t="s">
        <v>637</v>
      </c>
      <c r="AA1964" s="1" t="s">
        <v>10476</v>
      </c>
      <c r="AB1964" s="1" t="s">
        <v>10477</v>
      </c>
      <c r="AC1964" s="1" t="s">
        <v>46</v>
      </c>
      <c r="AD1964" s="1"/>
      <c r="AE1964" s="1" t="s">
        <v>641</v>
      </c>
      <c r="AF1964" s="1" t="s">
        <v>190</v>
      </c>
      <c r="AG1964" s="1">
        <v>6</v>
      </c>
      <c r="AH1964" s="1" t="s">
        <v>190</v>
      </c>
      <c r="AI1964" s="1"/>
      <c r="AJ1964" s="1" t="s">
        <v>10478</v>
      </c>
      <c r="AK1964" s="1" t="s">
        <v>4975</v>
      </c>
    </row>
    <row r="1965" spans="1:37">
      <c r="A1965" s="1" t="str">
        <f>VLOOKUP(H1965,Languages!$A$2:$B$430,2,FALSE)</f>
        <v>Uto-Aztecan</v>
      </c>
      <c r="B1965" s="1" t="s">
        <v>1738</v>
      </c>
      <c r="C1965" s="1" t="s">
        <v>431</v>
      </c>
      <c r="D1965" s="1" t="s">
        <v>11246</v>
      </c>
      <c r="E1965" s="15" t="s">
        <v>433</v>
      </c>
      <c r="F1965" s="15" t="s">
        <v>433</v>
      </c>
      <c r="G1965" s="1" t="s">
        <v>433</v>
      </c>
      <c r="H1965" s="1" t="str">
        <f>VLOOKUP(G1965,'languoid 4.0'!$A$1:$I$24439,2,FALSE)</f>
        <v>utoa1244</v>
      </c>
      <c r="I1965" s="1" t="str">
        <f>VLOOKUP(G1965,'languoid 4.0'!$A$1:$I$24439,6,FALSE)</f>
        <v>language</v>
      </c>
      <c r="J1965" s="15" t="s">
        <v>38</v>
      </c>
      <c r="K1965" s="15" t="s">
        <v>38</v>
      </c>
      <c r="L1965" s="15" t="s">
        <v>38</v>
      </c>
      <c r="M1965" s="1"/>
      <c r="N1965" s="1" t="s">
        <v>434</v>
      </c>
      <c r="O1965" s="15" t="s">
        <v>40</v>
      </c>
      <c r="P1965" s="15" t="s">
        <v>41</v>
      </c>
      <c r="Q1965" s="1" t="s">
        <v>11298</v>
      </c>
      <c r="R1965" s="2" t="s">
        <v>11299</v>
      </c>
      <c r="S1965" s="1" t="s">
        <v>11300</v>
      </c>
      <c r="T1965" s="1" t="s">
        <v>657</v>
      </c>
      <c r="U1965" s="1" t="s">
        <v>636</v>
      </c>
      <c r="V1965" s="1" t="s">
        <v>45</v>
      </c>
      <c r="W1965" s="1"/>
      <c r="X1965" s="1"/>
      <c r="Y1965" s="1"/>
      <c r="Z1965" s="1" t="s">
        <v>658</v>
      </c>
      <c r="AA1965" s="1" t="s">
        <v>11301</v>
      </c>
      <c r="AB1965" s="1" t="s">
        <v>46</v>
      </c>
      <c r="AC1965" s="1" t="s">
        <v>46</v>
      </c>
      <c r="AD1965" s="1"/>
      <c r="AE1965" s="1" t="s">
        <v>641</v>
      </c>
      <c r="AF1965" s="1" t="s">
        <v>190</v>
      </c>
      <c r="AG1965" s="1">
        <v>3</v>
      </c>
      <c r="AH1965" s="1" t="s">
        <v>190</v>
      </c>
      <c r="AI1965" s="1"/>
      <c r="AJ1965" s="1" t="s">
        <v>11302</v>
      </c>
      <c r="AK1965" s="1" t="s">
        <v>4975</v>
      </c>
    </row>
    <row r="1966" spans="1:37">
      <c r="A1966" s="1" t="str">
        <f>VLOOKUP(H1966,Languages!$A$2:$B$430,2,FALSE)</f>
        <v>Uto-Aztecan</v>
      </c>
      <c r="B1966" s="1" t="s">
        <v>1812</v>
      </c>
      <c r="C1966" s="1" t="s">
        <v>5463</v>
      </c>
      <c r="D1966" s="1" t="s">
        <v>6633</v>
      </c>
      <c r="E1966" s="15" t="s">
        <v>6330</v>
      </c>
      <c r="F1966" s="15" t="s">
        <v>444</v>
      </c>
      <c r="G1966" s="1" t="s">
        <v>444</v>
      </c>
      <c r="H1966" s="1" t="str">
        <f>VLOOKUP(G1966,'languoid 4.0'!$A$1:$I$24439,2,FALSE)</f>
        <v>utoa1244</v>
      </c>
      <c r="I1966" s="1" t="str">
        <f>VLOOKUP(G1966,'languoid 4.0'!$A$1:$I$24439,6,FALSE)</f>
        <v>family</v>
      </c>
      <c r="J1966" s="15" t="s">
        <v>52</v>
      </c>
      <c r="K1966" s="15" t="s">
        <v>38</v>
      </c>
      <c r="L1966" s="15" t="s">
        <v>38</v>
      </c>
      <c r="M1966" s="1"/>
      <c r="N1966" s="1" t="s">
        <v>6331</v>
      </c>
      <c r="O1966" s="15" t="s">
        <v>40</v>
      </c>
      <c r="P1966" s="15" t="s">
        <v>41</v>
      </c>
      <c r="Q1966" s="1" t="s">
        <v>8543</v>
      </c>
      <c r="R1966" s="2" t="s">
        <v>8539</v>
      </c>
      <c r="S1966" s="1" t="s">
        <v>46</v>
      </c>
      <c r="T1966" s="1" t="s">
        <v>754</v>
      </c>
      <c r="U1966" s="1" t="s">
        <v>636</v>
      </c>
      <c r="V1966" s="1" t="s">
        <v>45</v>
      </c>
      <c r="W1966" s="1"/>
      <c r="X1966" s="1"/>
      <c r="Y1966" s="1"/>
      <c r="Z1966" s="1" t="s">
        <v>658</v>
      </c>
      <c r="AA1966" s="1" t="s">
        <v>8437</v>
      </c>
      <c r="AB1966" s="1" t="s">
        <v>46</v>
      </c>
      <c r="AC1966" s="1" t="s">
        <v>46</v>
      </c>
      <c r="AD1966" s="1" t="s">
        <v>8542</v>
      </c>
      <c r="AE1966" s="1"/>
      <c r="AF1966" s="1"/>
      <c r="AG1966" s="1"/>
      <c r="AH1966" s="1" t="s">
        <v>45</v>
      </c>
      <c r="AI1966" s="1"/>
      <c r="AJ1966" s="3">
        <v>43168.675671296296</v>
      </c>
      <c r="AK1966" s="1" t="s">
        <v>5472</v>
      </c>
    </row>
    <row r="1967" spans="1:37">
      <c r="A1967" s="1" t="str">
        <f>VLOOKUP(H1967,Languages!$A$2:$B$430,2,FALSE)</f>
        <v>Uto-Aztecan</v>
      </c>
      <c r="B1967" s="1" t="s">
        <v>1812</v>
      </c>
      <c r="C1967" s="1" t="s">
        <v>5463</v>
      </c>
      <c r="D1967" s="1" t="s">
        <v>6633</v>
      </c>
      <c r="E1967" s="15" t="s">
        <v>6330</v>
      </c>
      <c r="F1967" s="15" t="s">
        <v>444</v>
      </c>
      <c r="G1967" s="1" t="s">
        <v>444</v>
      </c>
      <c r="H1967" s="1" t="str">
        <f>VLOOKUP(G1967,'languoid 4.0'!$A$1:$I$24439,2,FALSE)</f>
        <v>utoa1244</v>
      </c>
      <c r="I1967" s="1" t="str">
        <f>VLOOKUP(G1967,'languoid 4.0'!$A$1:$I$24439,6,FALSE)</f>
        <v>family</v>
      </c>
      <c r="J1967" s="15" t="s">
        <v>52</v>
      </c>
      <c r="K1967" s="15" t="s">
        <v>38</v>
      </c>
      <c r="L1967" s="15" t="s">
        <v>38</v>
      </c>
      <c r="M1967" s="1"/>
      <c r="N1967" s="1" t="s">
        <v>6331</v>
      </c>
      <c r="O1967" s="15" t="s">
        <v>40</v>
      </c>
      <c r="P1967" s="15" t="s">
        <v>41</v>
      </c>
      <c r="Q1967" s="1" t="s">
        <v>8546</v>
      </c>
      <c r="R1967" s="2" t="s">
        <v>8539</v>
      </c>
      <c r="S1967" s="1" t="s">
        <v>46</v>
      </c>
      <c r="T1967" s="1" t="s">
        <v>754</v>
      </c>
      <c r="U1967" s="1" t="s">
        <v>636</v>
      </c>
      <c r="V1967" s="1" t="s">
        <v>45</v>
      </c>
      <c r="W1967" s="1"/>
      <c r="X1967" s="1"/>
      <c r="Y1967" s="1"/>
      <c r="Z1967" s="1" t="s">
        <v>658</v>
      </c>
      <c r="AA1967" s="1" t="s">
        <v>8437</v>
      </c>
      <c r="AB1967" s="1" t="s">
        <v>46</v>
      </c>
      <c r="AC1967" s="1" t="s">
        <v>46</v>
      </c>
      <c r="AD1967" s="1" t="s">
        <v>8545</v>
      </c>
      <c r="AE1967" s="1"/>
      <c r="AF1967" s="1"/>
      <c r="AG1967" s="1"/>
      <c r="AH1967" s="1" t="s">
        <v>45</v>
      </c>
      <c r="AI1967" s="1"/>
      <c r="AJ1967" s="3">
        <v>43168.681620370371</v>
      </c>
      <c r="AK1967" s="1" t="s">
        <v>5472</v>
      </c>
    </row>
    <row r="1968" spans="1:37">
      <c r="A1968" s="1" t="str">
        <f>VLOOKUP(H1968,Languages!$A$2:$B$430,2,FALSE)</f>
        <v>Uto-Aztecan</v>
      </c>
      <c r="B1968" s="1" t="s">
        <v>1812</v>
      </c>
      <c r="C1968" s="1" t="s">
        <v>5463</v>
      </c>
      <c r="D1968" s="1" t="s">
        <v>8196</v>
      </c>
      <c r="E1968" s="15" t="s">
        <v>444</v>
      </c>
      <c r="F1968" s="15" t="s">
        <v>444</v>
      </c>
      <c r="G1968" s="1" t="s">
        <v>444</v>
      </c>
      <c r="H1968" s="1" t="str">
        <f>VLOOKUP(G1968,'languoid 4.0'!$A$1:$I$24439,2,FALSE)</f>
        <v>utoa1244</v>
      </c>
      <c r="I1968" s="1" t="str">
        <f>VLOOKUP(G1968,'languoid 4.0'!$A$1:$I$24439,6,FALSE)</f>
        <v>family</v>
      </c>
      <c r="J1968" s="15" t="s">
        <v>38</v>
      </c>
      <c r="K1968" s="15" t="s">
        <v>38</v>
      </c>
      <c r="L1968" s="15" t="s">
        <v>38</v>
      </c>
      <c r="M1968" s="1"/>
      <c r="N1968" s="1"/>
      <c r="O1968" s="15" t="s">
        <v>113</v>
      </c>
      <c r="P1968" s="15" t="s">
        <v>41</v>
      </c>
      <c r="Q1968" s="1" t="s">
        <v>9552</v>
      </c>
      <c r="R1968" s="2" t="s">
        <v>9553</v>
      </c>
      <c r="S1968" s="1" t="s">
        <v>46</v>
      </c>
      <c r="T1968" s="1" t="s">
        <v>822</v>
      </c>
      <c r="U1968" s="1" t="s">
        <v>636</v>
      </c>
      <c r="V1968" s="1" t="s">
        <v>45</v>
      </c>
      <c r="W1968" s="1"/>
      <c r="X1968" s="1"/>
      <c r="Y1968" s="1"/>
      <c r="Z1968" s="1" t="s">
        <v>658</v>
      </c>
      <c r="AA1968" s="1" t="s">
        <v>9540</v>
      </c>
      <c r="AB1968" s="1" t="s">
        <v>46</v>
      </c>
      <c r="AC1968" s="1" t="s">
        <v>46</v>
      </c>
      <c r="AD1968" s="1" t="s">
        <v>9548</v>
      </c>
      <c r="AE1968" s="1"/>
      <c r="AF1968" s="1"/>
      <c r="AG1968" s="1"/>
      <c r="AH1968" s="1" t="s">
        <v>45</v>
      </c>
      <c r="AI1968" s="1"/>
      <c r="AJ1968" s="3">
        <v>43291.763472222221</v>
      </c>
      <c r="AK1968" s="1" t="s">
        <v>5472</v>
      </c>
    </row>
    <row r="1969" spans="1:37">
      <c r="A1969" s="1" t="str">
        <f>VLOOKUP(H1969,Languages!$A$2:$B$430,2,FALSE)</f>
        <v>Uto-Aztecan</v>
      </c>
      <c r="B1969" s="1" t="s">
        <v>1812</v>
      </c>
      <c r="C1969" s="1" t="s">
        <v>101</v>
      </c>
      <c r="D1969" s="1" t="s">
        <v>7479</v>
      </c>
      <c r="E1969" s="15" t="s">
        <v>6662</v>
      </c>
      <c r="F1969" s="15" t="s">
        <v>51</v>
      </c>
      <c r="G1969" s="1" t="s">
        <v>6662</v>
      </c>
      <c r="H1969" s="1" t="str">
        <f>VLOOKUP(G1969,'languoid 4.0'!$A$1:$I$24439,2,FALSE)</f>
        <v>utoa1244</v>
      </c>
      <c r="I1969" s="1" t="str">
        <f>VLOOKUP(G1969,'languoid 4.0'!$A$1:$I$24439,6,FALSE)</f>
        <v>language</v>
      </c>
      <c r="J1969" s="15" t="s">
        <v>52</v>
      </c>
      <c r="K1969" s="15" t="s">
        <v>51</v>
      </c>
      <c r="L1969" s="15" t="s">
        <v>51</v>
      </c>
      <c r="M1969" s="1"/>
      <c r="N1969" s="1" t="s">
        <v>6664</v>
      </c>
      <c r="O1969" s="15" t="s">
        <v>40</v>
      </c>
      <c r="P1969" s="15" t="s">
        <v>41</v>
      </c>
      <c r="Q1969" s="1" t="s">
        <v>7480</v>
      </c>
      <c r="R1969" s="2" t="s">
        <v>7469</v>
      </c>
      <c r="S1969" s="1" t="s">
        <v>6538</v>
      </c>
      <c r="T1969" s="1" t="s">
        <v>657</v>
      </c>
      <c r="U1969" s="1" t="s">
        <v>652</v>
      </c>
      <c r="V1969" s="1" t="s">
        <v>45</v>
      </c>
      <c r="W1969" s="1"/>
      <c r="X1969" s="1"/>
      <c r="Y1969" s="1"/>
      <c r="Z1969" s="1" t="s">
        <v>637</v>
      </c>
      <c r="AA1969" s="1" t="s">
        <v>46</v>
      </c>
      <c r="AB1969" s="1" t="s">
        <v>7481</v>
      </c>
      <c r="AC1969" s="1" t="s">
        <v>46</v>
      </c>
      <c r="AD1969" s="1"/>
      <c r="AE1969" s="1" t="s">
        <v>641</v>
      </c>
      <c r="AF1969" s="1" t="s">
        <v>190</v>
      </c>
      <c r="AG1969" s="1">
        <v>6</v>
      </c>
      <c r="AH1969" s="1" t="s">
        <v>190</v>
      </c>
      <c r="AI1969" s="1"/>
      <c r="AJ1969" s="1" t="s">
        <v>7482</v>
      </c>
      <c r="AK1969" s="1" t="s">
        <v>6639</v>
      </c>
    </row>
    <row r="1970" spans="1:37">
      <c r="A1970" s="1" t="str">
        <f>VLOOKUP(H1970,Languages!$A$2:$B$430,2,FALSE)</f>
        <v>Uto-Aztecan</v>
      </c>
      <c r="B1970" s="1" t="s">
        <v>1812</v>
      </c>
      <c r="C1970" s="1" t="s">
        <v>431</v>
      </c>
      <c r="D1970" s="1" t="s">
        <v>10439</v>
      </c>
      <c r="E1970" s="15" t="s">
        <v>10440</v>
      </c>
      <c r="F1970" s="15" t="s">
        <v>10440</v>
      </c>
      <c r="G1970" s="1" t="s">
        <v>10440</v>
      </c>
      <c r="H1970" s="1" t="str">
        <f>VLOOKUP(G1970,'languoid 4.0'!$A$1:$I$24439,2,FALSE)</f>
        <v>utoa1244</v>
      </c>
      <c r="I1970" s="1" t="str">
        <f>VLOOKUP(G1970,'languoid 4.0'!$A$1:$I$24439,6,FALSE)</f>
        <v>dialect</v>
      </c>
      <c r="J1970" s="15" t="s">
        <v>38</v>
      </c>
      <c r="K1970" s="15" t="s">
        <v>38</v>
      </c>
      <c r="L1970" s="15" t="s">
        <v>38</v>
      </c>
      <c r="M1970" s="1"/>
      <c r="N1970" s="1"/>
      <c r="O1970" s="15" t="s">
        <v>40</v>
      </c>
      <c r="P1970" s="15" t="s">
        <v>41</v>
      </c>
      <c r="Q1970" s="1" t="s">
        <v>10447</v>
      </c>
      <c r="R1970" s="2" t="s">
        <v>10448</v>
      </c>
      <c r="S1970" s="1" t="s">
        <v>10449</v>
      </c>
      <c r="T1970" s="1" t="s">
        <v>635</v>
      </c>
      <c r="U1970" s="1" t="s">
        <v>636</v>
      </c>
      <c r="V1970" s="1" t="s">
        <v>45</v>
      </c>
      <c r="W1970" s="1"/>
      <c r="X1970" s="1"/>
      <c r="Y1970" s="1"/>
      <c r="Z1970" s="1" t="s">
        <v>637</v>
      </c>
      <c r="AA1970" s="1" t="s">
        <v>10450</v>
      </c>
      <c r="AB1970" s="1" t="s">
        <v>10451</v>
      </c>
      <c r="AC1970" s="1" t="s">
        <v>46</v>
      </c>
      <c r="AD1970" s="1"/>
      <c r="AE1970" s="1" t="s">
        <v>641</v>
      </c>
      <c r="AF1970" s="1" t="s">
        <v>190</v>
      </c>
      <c r="AG1970" s="1">
        <v>6</v>
      </c>
      <c r="AH1970" s="1" t="s">
        <v>190</v>
      </c>
      <c r="AI1970" s="1"/>
      <c r="AJ1970" s="1" t="s">
        <v>10452</v>
      </c>
      <c r="AK1970" s="1" t="s">
        <v>4975</v>
      </c>
    </row>
    <row r="1971" spans="1:37">
      <c r="A1971" s="1" t="str">
        <f>VLOOKUP(H1971,Languages!$A$2:$B$430,2,FALSE)</f>
        <v>Uto-Aztecan</v>
      </c>
      <c r="B1971" s="1" t="s">
        <v>1812</v>
      </c>
      <c r="C1971" s="1" t="s">
        <v>431</v>
      </c>
      <c r="D1971" s="1" t="s">
        <v>10453</v>
      </c>
      <c r="E1971" s="15" t="s">
        <v>10440</v>
      </c>
      <c r="F1971" s="15" t="s">
        <v>10454</v>
      </c>
      <c r="G1971" s="1" t="s">
        <v>10440</v>
      </c>
      <c r="H1971" s="1" t="str">
        <f>VLOOKUP(G1971,'languoid 4.0'!$A$1:$I$24439,2,FALSE)</f>
        <v>utoa1244</v>
      </c>
      <c r="I1971" s="1" t="str">
        <f>VLOOKUP(G1971,'languoid 4.0'!$A$1:$I$24439,6,FALSE)</f>
        <v>dialect</v>
      </c>
      <c r="J1971" s="15" t="s">
        <v>52</v>
      </c>
      <c r="K1971" s="15" t="s">
        <v>38</v>
      </c>
      <c r="L1971" s="15" t="s">
        <v>38</v>
      </c>
      <c r="M1971" s="1"/>
      <c r="N1971" s="1"/>
      <c r="O1971" s="15" t="s">
        <v>40</v>
      </c>
      <c r="P1971" s="15" t="s">
        <v>41</v>
      </c>
      <c r="Q1971" s="1" t="s">
        <v>10455</v>
      </c>
      <c r="R1971" s="2" t="s">
        <v>10456</v>
      </c>
      <c r="S1971" s="1" t="s">
        <v>10457</v>
      </c>
      <c r="T1971" s="1" t="s">
        <v>635</v>
      </c>
      <c r="U1971" s="1" t="s">
        <v>636</v>
      </c>
      <c r="V1971" s="1" t="s">
        <v>45</v>
      </c>
      <c r="W1971" s="1"/>
      <c r="X1971" s="1"/>
      <c r="Y1971" s="1"/>
      <c r="Z1971" s="1" t="s">
        <v>637</v>
      </c>
      <c r="AA1971" s="1" t="s">
        <v>10458</v>
      </c>
      <c r="AB1971" s="1" t="s">
        <v>10459</v>
      </c>
      <c r="AC1971" s="1" t="s">
        <v>46</v>
      </c>
      <c r="AD1971" s="1"/>
      <c r="AE1971" s="1" t="s">
        <v>641</v>
      </c>
      <c r="AF1971" s="1" t="s">
        <v>190</v>
      </c>
      <c r="AG1971" s="1">
        <v>6</v>
      </c>
      <c r="AH1971" s="1" t="s">
        <v>190</v>
      </c>
      <c r="AI1971" s="1"/>
      <c r="AJ1971" s="1" t="s">
        <v>10460</v>
      </c>
      <c r="AK1971" s="1" t="s">
        <v>4975</v>
      </c>
    </row>
    <row r="1972" spans="1:37">
      <c r="A1972" s="1" t="str">
        <f>VLOOKUP(H1972,Languages!$A$2:$B$430,2,FALSE)</f>
        <v>Uto-Aztecan</v>
      </c>
      <c r="B1972" s="1" t="s">
        <v>1812</v>
      </c>
      <c r="C1972" s="1" t="s">
        <v>431</v>
      </c>
      <c r="D1972" s="1" t="s">
        <v>11246</v>
      </c>
      <c r="E1972" s="15" t="s">
        <v>433</v>
      </c>
      <c r="F1972" s="15" t="s">
        <v>433</v>
      </c>
      <c r="G1972" s="1" t="s">
        <v>433</v>
      </c>
      <c r="H1972" s="1" t="str">
        <f>VLOOKUP(G1972,'languoid 4.0'!$A$1:$I$24439,2,FALSE)</f>
        <v>utoa1244</v>
      </c>
      <c r="I1972" s="1" t="str">
        <f>VLOOKUP(G1972,'languoid 4.0'!$A$1:$I$24439,6,FALSE)</f>
        <v>language</v>
      </c>
      <c r="J1972" s="15" t="s">
        <v>38</v>
      </c>
      <c r="K1972" s="15" t="s">
        <v>38</v>
      </c>
      <c r="L1972" s="15" t="s">
        <v>38</v>
      </c>
      <c r="M1972" s="1"/>
      <c r="N1972" s="1" t="s">
        <v>434</v>
      </c>
      <c r="O1972" s="15" t="s">
        <v>40</v>
      </c>
      <c r="P1972" s="15" t="s">
        <v>41</v>
      </c>
      <c r="Q1972" s="1" t="s">
        <v>11303</v>
      </c>
      <c r="R1972" s="2" t="s">
        <v>11304</v>
      </c>
      <c r="S1972" s="1" t="s">
        <v>11305</v>
      </c>
      <c r="T1972" s="1" t="s">
        <v>657</v>
      </c>
      <c r="U1972" s="1" t="s">
        <v>636</v>
      </c>
      <c r="V1972" s="1" t="s">
        <v>45</v>
      </c>
      <c r="W1972" s="1"/>
      <c r="X1972" s="1"/>
      <c r="Y1972" s="1"/>
      <c r="Z1972" s="1" t="s">
        <v>658</v>
      </c>
      <c r="AA1972" s="1" t="s">
        <v>11306</v>
      </c>
      <c r="AB1972" s="1" t="s">
        <v>46</v>
      </c>
      <c r="AC1972" s="1" t="s">
        <v>46</v>
      </c>
      <c r="AD1972" s="1"/>
      <c r="AE1972" s="1" t="s">
        <v>641</v>
      </c>
      <c r="AF1972" s="1" t="s">
        <v>190</v>
      </c>
      <c r="AG1972" s="1">
        <v>6</v>
      </c>
      <c r="AH1972" s="1" t="s">
        <v>190</v>
      </c>
      <c r="AI1972" s="1"/>
      <c r="AJ1972" s="1" t="s">
        <v>11307</v>
      </c>
      <c r="AK1972" s="1" t="s">
        <v>4975</v>
      </c>
    </row>
    <row r="1973" spans="1:37">
      <c r="A1973" s="1" t="str">
        <f>VLOOKUP(H1973,Languages!$A$2:$B$430,2,FALSE)</f>
        <v>Uto-Aztecan</v>
      </c>
      <c r="B1973" s="1" t="s">
        <v>1707</v>
      </c>
      <c r="C1973" s="1" t="s">
        <v>5463</v>
      </c>
      <c r="D1973" s="1" t="s">
        <v>6055</v>
      </c>
      <c r="E1973" s="15" t="s">
        <v>6056</v>
      </c>
      <c r="F1973" s="15" t="s">
        <v>6056</v>
      </c>
      <c r="G1973" s="1" t="s">
        <v>6056</v>
      </c>
      <c r="H1973" s="1" t="str">
        <f>VLOOKUP(G1973,'languoid 4.0'!$A$1:$I$24439,2,FALSE)</f>
        <v>utoa1244</v>
      </c>
      <c r="I1973" s="1" t="str">
        <f>VLOOKUP(G1973,'languoid 4.0'!$A$1:$I$24439,6,FALSE)</f>
        <v>family</v>
      </c>
      <c r="J1973" s="15" t="s">
        <v>38</v>
      </c>
      <c r="K1973" s="15" t="s">
        <v>38</v>
      </c>
      <c r="L1973" s="15" t="s">
        <v>38</v>
      </c>
      <c r="M1973" s="1"/>
      <c r="N1973" s="1"/>
      <c r="O1973" s="15" t="s">
        <v>113</v>
      </c>
      <c r="P1973" s="15" t="s">
        <v>41</v>
      </c>
      <c r="Q1973" s="1" t="s">
        <v>6057</v>
      </c>
      <c r="R1973" s="2" t="s">
        <v>6058</v>
      </c>
      <c r="S1973" s="1" t="s">
        <v>46</v>
      </c>
      <c r="T1973" s="1" t="s">
        <v>635</v>
      </c>
      <c r="U1973" s="1" t="s">
        <v>59</v>
      </c>
      <c r="V1973" s="1" t="s">
        <v>45</v>
      </c>
      <c r="W1973" s="1"/>
      <c r="X1973" s="1"/>
      <c r="Y1973" s="1"/>
      <c r="Z1973" s="1" t="s">
        <v>658</v>
      </c>
      <c r="AA1973" s="1" t="s">
        <v>6059</v>
      </c>
      <c r="AB1973" s="1" t="s">
        <v>46</v>
      </c>
      <c r="AC1973" s="1" t="s">
        <v>46</v>
      </c>
      <c r="AD1973" s="1"/>
      <c r="AE1973" s="1" t="s">
        <v>641</v>
      </c>
      <c r="AF1973" s="1" t="s">
        <v>190</v>
      </c>
      <c r="AG1973" s="1">
        <v>5</v>
      </c>
      <c r="AH1973" s="1" t="s">
        <v>190</v>
      </c>
      <c r="AI1973" s="1"/>
      <c r="AJ1973" s="3">
        <v>43138.295543981483</v>
      </c>
      <c r="AK1973" s="1" t="s">
        <v>5472</v>
      </c>
    </row>
    <row r="1974" spans="1:37">
      <c r="A1974" s="1" t="str">
        <f>VLOOKUP(H1974,Languages!$A$2:$B$430,2,FALSE)</f>
        <v>Uto-Aztecan</v>
      </c>
      <c r="B1974" s="1" t="s">
        <v>1707</v>
      </c>
      <c r="C1974" s="1" t="s">
        <v>5463</v>
      </c>
      <c r="D1974" s="1" t="s">
        <v>6055</v>
      </c>
      <c r="E1974" s="15" t="s">
        <v>6056</v>
      </c>
      <c r="F1974" s="15" t="s">
        <v>6056</v>
      </c>
      <c r="G1974" s="1" t="s">
        <v>6056</v>
      </c>
      <c r="H1974" s="1" t="str">
        <f>VLOOKUP(G1974,'languoid 4.0'!$A$1:$I$24439,2,FALSE)</f>
        <v>utoa1244</v>
      </c>
      <c r="I1974" s="1" t="str">
        <f>VLOOKUP(G1974,'languoid 4.0'!$A$1:$I$24439,6,FALSE)</f>
        <v>family</v>
      </c>
      <c r="J1974" s="15" t="s">
        <v>38</v>
      </c>
      <c r="K1974" s="15" t="s">
        <v>38</v>
      </c>
      <c r="L1974" s="15" t="s">
        <v>38</v>
      </c>
      <c r="M1974" s="1"/>
      <c r="N1974" s="1"/>
      <c r="O1974" s="15" t="s">
        <v>113</v>
      </c>
      <c r="P1974" s="15" t="s">
        <v>41</v>
      </c>
      <c r="Q1974" s="1" t="s">
        <v>6060</v>
      </c>
      <c r="R1974" s="2" t="s">
        <v>6061</v>
      </c>
      <c r="S1974" s="1" t="s">
        <v>46</v>
      </c>
      <c r="T1974" s="1" t="s">
        <v>635</v>
      </c>
      <c r="U1974" s="1" t="s">
        <v>59</v>
      </c>
      <c r="V1974" s="1" t="s">
        <v>45</v>
      </c>
      <c r="W1974" s="1"/>
      <c r="X1974" s="1"/>
      <c r="Y1974" s="1"/>
      <c r="Z1974" s="1" t="s">
        <v>658</v>
      </c>
      <c r="AA1974" s="1" t="s">
        <v>6062</v>
      </c>
      <c r="AB1974" s="1" t="s">
        <v>46</v>
      </c>
      <c r="AC1974" s="1" t="s">
        <v>46</v>
      </c>
      <c r="AD1974" s="1"/>
      <c r="AE1974" s="1" t="s">
        <v>641</v>
      </c>
      <c r="AF1974" s="1" t="s">
        <v>190</v>
      </c>
      <c r="AG1974" s="1">
        <v>4</v>
      </c>
      <c r="AH1974" s="1" t="s">
        <v>190</v>
      </c>
      <c r="AI1974" s="1"/>
      <c r="AJ1974" s="3">
        <v>43138.335694444446</v>
      </c>
      <c r="AK1974" s="1" t="s">
        <v>5472</v>
      </c>
    </row>
    <row r="1975" spans="1:37">
      <c r="A1975" s="1" t="str">
        <f>VLOOKUP(H1975,Languages!$A$2:$B$430,2,FALSE)</f>
        <v>Uto-Aztecan</v>
      </c>
      <c r="B1975" s="1" t="s">
        <v>1707</v>
      </c>
      <c r="C1975" s="1" t="s">
        <v>5463</v>
      </c>
      <c r="D1975" s="1" t="s">
        <v>6055</v>
      </c>
      <c r="E1975" s="15" t="s">
        <v>6056</v>
      </c>
      <c r="F1975" s="15" t="s">
        <v>6056</v>
      </c>
      <c r="G1975" s="1" t="s">
        <v>6056</v>
      </c>
      <c r="H1975" s="1" t="str">
        <f>VLOOKUP(G1975,'languoid 4.0'!$A$1:$I$24439,2,FALSE)</f>
        <v>utoa1244</v>
      </c>
      <c r="I1975" s="1" t="str">
        <f>VLOOKUP(G1975,'languoid 4.0'!$A$1:$I$24439,6,FALSE)</f>
        <v>family</v>
      </c>
      <c r="J1975" s="15" t="s">
        <v>38</v>
      </c>
      <c r="K1975" s="15" t="s">
        <v>38</v>
      </c>
      <c r="L1975" s="15" t="s">
        <v>38</v>
      </c>
      <c r="M1975" s="1"/>
      <c r="N1975" s="1"/>
      <c r="O1975" s="15" t="s">
        <v>113</v>
      </c>
      <c r="P1975" s="15" t="s">
        <v>41</v>
      </c>
      <c r="Q1975" s="1" t="s">
        <v>6063</v>
      </c>
      <c r="R1975" s="2" t="s">
        <v>6064</v>
      </c>
      <c r="S1975" s="1" t="s">
        <v>46</v>
      </c>
      <c r="T1975" s="1" t="s">
        <v>635</v>
      </c>
      <c r="U1975" s="1" t="s">
        <v>59</v>
      </c>
      <c r="V1975" s="1" t="s">
        <v>45</v>
      </c>
      <c r="W1975" s="1"/>
      <c r="X1975" s="1"/>
      <c r="Y1975" s="1"/>
      <c r="Z1975" s="1" t="s">
        <v>658</v>
      </c>
      <c r="AA1975" s="1" t="s">
        <v>6065</v>
      </c>
      <c r="AB1975" s="1" t="s">
        <v>46</v>
      </c>
      <c r="AC1975" s="1" t="s">
        <v>46</v>
      </c>
      <c r="AD1975" s="1"/>
      <c r="AE1975" s="1" t="s">
        <v>641</v>
      </c>
      <c r="AF1975" s="1" t="s">
        <v>190</v>
      </c>
      <c r="AG1975" s="1">
        <v>5</v>
      </c>
      <c r="AH1975" s="1" t="s">
        <v>190</v>
      </c>
      <c r="AI1975" s="1"/>
      <c r="AJ1975" s="3">
        <v>43138.34302083333</v>
      </c>
      <c r="AK1975" s="1" t="s">
        <v>5472</v>
      </c>
    </row>
    <row r="1976" spans="1:37">
      <c r="A1976" s="1" t="str">
        <f>VLOOKUP(H1976,Languages!$A$2:$B$430,2,FALSE)</f>
        <v>Uto-Aztecan</v>
      </c>
      <c r="B1976" s="1" t="s">
        <v>1707</v>
      </c>
      <c r="C1976" s="1" t="s">
        <v>5463</v>
      </c>
      <c r="D1976" s="1" t="s">
        <v>6253</v>
      </c>
      <c r="E1976" s="15" t="s">
        <v>2723</v>
      </c>
      <c r="F1976" s="15" t="s">
        <v>2723</v>
      </c>
      <c r="G1976" s="1" t="s">
        <v>2723</v>
      </c>
      <c r="H1976" s="1" t="str">
        <f>VLOOKUP(G1976,'languoid 4.0'!$A$1:$I$24439,2,FALSE)</f>
        <v>utoa1244</v>
      </c>
      <c r="I1976" s="1" t="str">
        <f>VLOOKUP(G1976,'languoid 4.0'!$A$1:$I$24439,6,FALSE)</f>
        <v>language</v>
      </c>
      <c r="J1976" s="15" t="s">
        <v>38</v>
      </c>
      <c r="K1976" s="15" t="s">
        <v>38</v>
      </c>
      <c r="L1976" s="15" t="s">
        <v>38</v>
      </c>
      <c r="M1976" s="1"/>
      <c r="N1976" s="1" t="s">
        <v>2724</v>
      </c>
      <c r="O1976" s="15" t="s">
        <v>40</v>
      </c>
      <c r="P1976" s="15" t="s">
        <v>41</v>
      </c>
      <c r="Q1976" s="1" t="s">
        <v>6299</v>
      </c>
      <c r="R1976" s="2" t="s">
        <v>6300</v>
      </c>
      <c r="S1976" s="1" t="s">
        <v>46</v>
      </c>
      <c r="T1976" s="1" t="s">
        <v>635</v>
      </c>
      <c r="U1976" s="1" t="s">
        <v>636</v>
      </c>
      <c r="V1976" s="1" t="s">
        <v>45</v>
      </c>
      <c r="W1976" s="1"/>
      <c r="X1976" s="1"/>
      <c r="Y1976" s="1"/>
      <c r="Z1976" s="1" t="s">
        <v>658</v>
      </c>
      <c r="AA1976" s="1" t="s">
        <v>6301</v>
      </c>
      <c r="AB1976" s="1" t="s">
        <v>46</v>
      </c>
      <c r="AC1976" s="1" t="s">
        <v>46</v>
      </c>
      <c r="AD1976" s="1"/>
      <c r="AE1976" s="1" t="s">
        <v>641</v>
      </c>
      <c r="AF1976" s="1" t="s">
        <v>190</v>
      </c>
      <c r="AG1976" s="1">
        <v>6</v>
      </c>
      <c r="AH1976" s="1" t="s">
        <v>190</v>
      </c>
      <c r="AI1976" s="1"/>
      <c r="AJ1976" s="3">
        <v>43227.586921296293</v>
      </c>
      <c r="AK1976" s="1" t="s">
        <v>5472</v>
      </c>
    </row>
    <row r="1977" spans="1:37">
      <c r="A1977" s="1" t="str">
        <f>VLOOKUP(H1977,Languages!$A$2:$B$430,2,FALSE)</f>
        <v>Uto-Aztecan</v>
      </c>
      <c r="B1977" s="1" t="s">
        <v>1707</v>
      </c>
      <c r="C1977" s="1" t="s">
        <v>5463</v>
      </c>
      <c r="D1977" s="1" t="s">
        <v>8196</v>
      </c>
      <c r="E1977" s="15" t="s">
        <v>444</v>
      </c>
      <c r="F1977" s="15" t="s">
        <v>444</v>
      </c>
      <c r="G1977" s="1" t="s">
        <v>444</v>
      </c>
      <c r="H1977" s="1" t="str">
        <f>VLOOKUP(G1977,'languoid 4.0'!$A$1:$I$24439,2,FALSE)</f>
        <v>utoa1244</v>
      </c>
      <c r="I1977" s="1" t="str">
        <f>VLOOKUP(G1977,'languoid 4.0'!$A$1:$I$24439,6,FALSE)</f>
        <v>family</v>
      </c>
      <c r="J1977" s="15" t="s">
        <v>38</v>
      </c>
      <c r="K1977" s="15" t="s">
        <v>38</v>
      </c>
      <c r="L1977" s="15" t="s">
        <v>38</v>
      </c>
      <c r="M1977" s="1"/>
      <c r="N1977" s="1"/>
      <c r="O1977" s="15" t="s">
        <v>113</v>
      </c>
      <c r="P1977" s="15" t="s">
        <v>41</v>
      </c>
      <c r="Q1977" s="1" t="s">
        <v>8214</v>
      </c>
      <c r="R1977" s="2" t="s">
        <v>7552</v>
      </c>
      <c r="S1977" s="1" t="s">
        <v>611</v>
      </c>
      <c r="T1977" s="1" t="s">
        <v>8215</v>
      </c>
      <c r="U1977" s="1" t="s">
        <v>636</v>
      </c>
      <c r="V1977" s="1" t="s">
        <v>45</v>
      </c>
      <c r="W1977" s="1"/>
      <c r="X1977" s="1"/>
      <c r="Y1977" s="1"/>
      <c r="Z1977" s="1" t="s">
        <v>658</v>
      </c>
      <c r="AA1977" s="1" t="s">
        <v>8205</v>
      </c>
      <c r="AB1977" s="1" t="s">
        <v>46</v>
      </c>
      <c r="AC1977" s="1" t="s">
        <v>46</v>
      </c>
      <c r="AD1977" s="1" t="s">
        <v>8216</v>
      </c>
      <c r="AE1977" s="1" t="s">
        <v>641</v>
      </c>
      <c r="AF1977" s="1" t="s">
        <v>45</v>
      </c>
      <c r="AG1977" s="1">
        <v>1</v>
      </c>
      <c r="AH1977" s="1" t="s">
        <v>190</v>
      </c>
      <c r="AI1977" s="1" t="s">
        <v>8217</v>
      </c>
      <c r="AJ1977" s="1" t="s">
        <v>8218</v>
      </c>
      <c r="AK1977" s="1" t="s">
        <v>5472</v>
      </c>
    </row>
    <row r="1978" spans="1:37">
      <c r="A1978" s="1" t="str">
        <f>VLOOKUP(H1978,Languages!$A$2:$B$430,2,FALSE)</f>
        <v>Uto-Aztecan</v>
      </c>
      <c r="B1978" s="1" t="s">
        <v>1707</v>
      </c>
      <c r="C1978" s="1" t="s">
        <v>5463</v>
      </c>
      <c r="D1978" s="1" t="s">
        <v>6633</v>
      </c>
      <c r="E1978" s="15" t="s">
        <v>6330</v>
      </c>
      <c r="F1978" s="15" t="s">
        <v>6330</v>
      </c>
      <c r="G1978" s="1" t="s">
        <v>6330</v>
      </c>
      <c r="H1978" s="1" t="str">
        <f>VLOOKUP(G1978,'languoid 4.0'!$A$1:$I$24439,2,FALSE)</f>
        <v>utoa1244</v>
      </c>
      <c r="I1978" s="1" t="str">
        <f>VLOOKUP(G1978,'languoid 4.0'!$A$1:$I$24439,6,FALSE)</f>
        <v>language</v>
      </c>
      <c r="J1978" s="15" t="s">
        <v>38</v>
      </c>
      <c r="K1978" s="15" t="s">
        <v>38</v>
      </c>
      <c r="L1978" s="15" t="s">
        <v>38</v>
      </c>
      <c r="M1978" s="1"/>
      <c r="N1978" s="1" t="s">
        <v>6331</v>
      </c>
      <c r="O1978" s="15" t="s">
        <v>40</v>
      </c>
      <c r="P1978" s="15" t="s">
        <v>41</v>
      </c>
      <c r="Q1978" s="1" t="s">
        <v>8439</v>
      </c>
      <c r="R1978" s="2" t="s">
        <v>8440</v>
      </c>
      <c r="S1978" s="1" t="s">
        <v>46</v>
      </c>
      <c r="T1978" s="1" t="s">
        <v>754</v>
      </c>
      <c r="U1978" s="1" t="s">
        <v>636</v>
      </c>
      <c r="V1978" s="1" t="s">
        <v>45</v>
      </c>
      <c r="W1978" s="1"/>
      <c r="X1978" s="1"/>
      <c r="Y1978" s="1"/>
      <c r="Z1978" s="1" t="s">
        <v>658</v>
      </c>
      <c r="AA1978" s="1" t="s">
        <v>8205</v>
      </c>
      <c r="AB1978" s="1" t="s">
        <v>46</v>
      </c>
      <c r="AC1978" s="1" t="s">
        <v>46</v>
      </c>
      <c r="AD1978" s="1" t="s">
        <v>8441</v>
      </c>
      <c r="AE1978" s="1"/>
      <c r="AF1978" s="1"/>
      <c r="AG1978" s="1"/>
      <c r="AH1978" s="1" t="s">
        <v>45</v>
      </c>
      <c r="AI1978" s="1"/>
      <c r="AJ1978" s="3">
        <v>43140.742303240739</v>
      </c>
      <c r="AK1978" s="1" t="s">
        <v>5472</v>
      </c>
    </row>
    <row r="1979" spans="1:37">
      <c r="A1979" s="1" t="str">
        <f>VLOOKUP(H1979,Languages!$A$2:$B$430,2,FALSE)</f>
        <v>Uto-Aztecan</v>
      </c>
      <c r="B1979" s="1" t="s">
        <v>1707</v>
      </c>
      <c r="C1979" s="1" t="s">
        <v>5463</v>
      </c>
      <c r="D1979" s="1" t="s">
        <v>6633</v>
      </c>
      <c r="E1979" s="15" t="s">
        <v>6330</v>
      </c>
      <c r="F1979" s="15" t="s">
        <v>6330</v>
      </c>
      <c r="G1979" s="1" t="s">
        <v>6330</v>
      </c>
      <c r="H1979" s="1" t="str">
        <f>VLOOKUP(G1979,'languoid 4.0'!$A$1:$I$24439,2,FALSE)</f>
        <v>utoa1244</v>
      </c>
      <c r="I1979" s="1" t="str">
        <f>VLOOKUP(G1979,'languoid 4.0'!$A$1:$I$24439,6,FALSE)</f>
        <v>language</v>
      </c>
      <c r="J1979" s="15" t="s">
        <v>38</v>
      </c>
      <c r="K1979" s="15" t="s">
        <v>38</v>
      </c>
      <c r="L1979" s="15" t="s">
        <v>38</v>
      </c>
      <c r="M1979" s="1"/>
      <c r="N1979" s="1" t="s">
        <v>6331</v>
      </c>
      <c r="O1979" s="15" t="s">
        <v>40</v>
      </c>
      <c r="P1979" s="15" t="s">
        <v>41</v>
      </c>
      <c r="Q1979" s="1" t="s">
        <v>8449</v>
      </c>
      <c r="R1979" s="2" t="s">
        <v>8440</v>
      </c>
      <c r="S1979" s="1" t="s">
        <v>46</v>
      </c>
      <c r="T1979" s="1" t="s">
        <v>754</v>
      </c>
      <c r="U1979" s="1" t="s">
        <v>636</v>
      </c>
      <c r="V1979" s="1" t="s">
        <v>45</v>
      </c>
      <c r="W1979" s="1"/>
      <c r="X1979" s="1"/>
      <c r="Y1979" s="1"/>
      <c r="Z1979" s="1" t="s">
        <v>637</v>
      </c>
      <c r="AA1979" s="1" t="s">
        <v>8205</v>
      </c>
      <c r="AB1979" s="1" t="s">
        <v>8450</v>
      </c>
      <c r="AC1979" s="1" t="s">
        <v>46</v>
      </c>
      <c r="AD1979" s="1" t="s">
        <v>8451</v>
      </c>
      <c r="AE1979" s="1"/>
      <c r="AF1979" s="1"/>
      <c r="AG1979" s="1"/>
      <c r="AH1979" s="1" t="s">
        <v>45</v>
      </c>
      <c r="AI1979" s="1"/>
      <c r="AJ1979" s="3">
        <v>43140.760879629626</v>
      </c>
      <c r="AK1979" s="1" t="s">
        <v>5472</v>
      </c>
    </row>
    <row r="1980" spans="1:37">
      <c r="A1980" s="1" t="str">
        <f>VLOOKUP(H1980,Languages!$A$2:$B$430,2,FALSE)</f>
        <v>Uto-Aztecan</v>
      </c>
      <c r="B1980" s="1" t="s">
        <v>1707</v>
      </c>
      <c r="C1980" s="1" t="s">
        <v>5463</v>
      </c>
      <c r="D1980" s="1" t="s">
        <v>2722</v>
      </c>
      <c r="E1980" s="15" t="s">
        <v>2723</v>
      </c>
      <c r="F1980" s="15" t="s">
        <v>2723</v>
      </c>
      <c r="G1980" s="1" t="s">
        <v>2723</v>
      </c>
      <c r="H1980" s="1" t="str">
        <f>VLOOKUP(G1980,'languoid 4.0'!$A$1:$I$24439,2,FALSE)</f>
        <v>utoa1244</v>
      </c>
      <c r="I1980" s="1" t="str">
        <f>VLOOKUP(G1980,'languoid 4.0'!$A$1:$I$24439,6,FALSE)</f>
        <v>language</v>
      </c>
      <c r="J1980" s="15" t="s">
        <v>38</v>
      </c>
      <c r="K1980" s="15" t="s">
        <v>38</v>
      </c>
      <c r="L1980" s="15" t="s">
        <v>38</v>
      </c>
      <c r="M1980" s="1"/>
      <c r="N1980" s="1" t="s">
        <v>2724</v>
      </c>
      <c r="O1980" s="15" t="s">
        <v>40</v>
      </c>
      <c r="P1980" s="15" t="s">
        <v>41</v>
      </c>
      <c r="Q1980" s="1" t="s">
        <v>9515</v>
      </c>
      <c r="R1980" s="2" t="s">
        <v>9516</v>
      </c>
      <c r="S1980" s="1" t="s">
        <v>46</v>
      </c>
      <c r="T1980" s="1" t="s">
        <v>822</v>
      </c>
      <c r="U1980" s="1" t="s">
        <v>636</v>
      </c>
      <c r="V1980" s="1" t="s">
        <v>45</v>
      </c>
      <c r="W1980" s="1"/>
      <c r="X1980" s="1"/>
      <c r="Y1980" s="1"/>
      <c r="Z1980" s="1" t="s">
        <v>658</v>
      </c>
      <c r="AA1980" s="1" t="s">
        <v>8205</v>
      </c>
      <c r="AB1980" s="1" t="s">
        <v>46</v>
      </c>
      <c r="AC1980" s="1" t="s">
        <v>46</v>
      </c>
      <c r="AD1980" s="1" t="s">
        <v>9517</v>
      </c>
      <c r="AE1980" s="1"/>
      <c r="AF1980" s="1"/>
      <c r="AG1980" s="1"/>
      <c r="AH1980" s="1" t="s">
        <v>45</v>
      </c>
      <c r="AI1980" s="1" t="s">
        <v>9518</v>
      </c>
      <c r="AJ1980" s="3">
        <v>43291.697731481479</v>
      </c>
      <c r="AK1980" s="1" t="s">
        <v>5472</v>
      </c>
    </row>
    <row r="1981" spans="1:37">
      <c r="A1981" s="1" t="str">
        <f>VLOOKUP(H1981,Languages!$A$2:$B$430,2,FALSE)</f>
        <v>Uto-Aztecan</v>
      </c>
      <c r="B1981" s="1" t="s">
        <v>1707</v>
      </c>
      <c r="C1981" s="1" t="s">
        <v>5463</v>
      </c>
      <c r="D1981" s="1" t="s">
        <v>2722</v>
      </c>
      <c r="E1981" s="15" t="s">
        <v>2723</v>
      </c>
      <c r="F1981" s="15" t="s">
        <v>2723</v>
      </c>
      <c r="G1981" s="1" t="s">
        <v>2723</v>
      </c>
      <c r="H1981" s="1" t="str">
        <f>VLOOKUP(G1981,'languoid 4.0'!$A$1:$I$24439,2,FALSE)</f>
        <v>utoa1244</v>
      </c>
      <c r="I1981" s="1" t="str">
        <f>VLOOKUP(G1981,'languoid 4.0'!$A$1:$I$24439,6,FALSE)</f>
        <v>language</v>
      </c>
      <c r="J1981" s="15" t="s">
        <v>38</v>
      </c>
      <c r="K1981" s="15" t="s">
        <v>38</v>
      </c>
      <c r="L1981" s="15" t="s">
        <v>38</v>
      </c>
      <c r="M1981" s="1"/>
      <c r="N1981" s="1" t="s">
        <v>2724</v>
      </c>
      <c r="O1981" s="15" t="s">
        <v>40</v>
      </c>
      <c r="P1981" s="15" t="s">
        <v>41</v>
      </c>
      <c r="Q1981" s="1" t="s">
        <v>9522</v>
      </c>
      <c r="R1981" s="2" t="s">
        <v>9523</v>
      </c>
      <c r="S1981" s="1" t="s">
        <v>46</v>
      </c>
      <c r="T1981" s="1" t="s">
        <v>822</v>
      </c>
      <c r="U1981" s="1" t="s">
        <v>636</v>
      </c>
      <c r="V1981" s="1" t="s">
        <v>45</v>
      </c>
      <c r="W1981" s="1"/>
      <c r="X1981" s="1"/>
      <c r="Y1981" s="1"/>
      <c r="Z1981" s="1" t="s">
        <v>658</v>
      </c>
      <c r="AA1981" s="1" t="s">
        <v>9524</v>
      </c>
      <c r="AB1981" s="1" t="s">
        <v>46</v>
      </c>
      <c r="AC1981" s="1" t="s">
        <v>46</v>
      </c>
      <c r="AD1981" s="1" t="s">
        <v>9525</v>
      </c>
      <c r="AE1981" s="1"/>
      <c r="AF1981" s="1"/>
      <c r="AG1981" s="1"/>
      <c r="AH1981" s="1" t="s">
        <v>45</v>
      </c>
      <c r="AI1981" s="1"/>
      <c r="AJ1981" s="3">
        <v>43291.709398148145</v>
      </c>
      <c r="AK1981" s="1" t="s">
        <v>5472</v>
      </c>
    </row>
    <row r="1982" spans="1:37">
      <c r="A1982" s="1" t="str">
        <f>VLOOKUP(H1982,Languages!$A$2:$B$430,2,FALSE)</f>
        <v>Uto-Aztecan</v>
      </c>
      <c r="B1982" s="1" t="s">
        <v>1707</v>
      </c>
      <c r="C1982" s="1" t="s">
        <v>101</v>
      </c>
      <c r="D1982" s="1" t="s">
        <v>2722</v>
      </c>
      <c r="E1982" s="15" t="s">
        <v>2723</v>
      </c>
      <c r="F1982" s="15" t="s">
        <v>2723</v>
      </c>
      <c r="G1982" s="1" t="s">
        <v>2723</v>
      </c>
      <c r="H1982" s="1" t="str">
        <f>VLOOKUP(G1982,'languoid 4.0'!$A$1:$I$24439,2,FALSE)</f>
        <v>utoa1244</v>
      </c>
      <c r="I1982" s="1" t="str">
        <f>VLOOKUP(G1982,'languoid 4.0'!$A$1:$I$24439,6,FALSE)</f>
        <v>language</v>
      </c>
      <c r="J1982" s="15" t="s">
        <v>38</v>
      </c>
      <c r="K1982" s="15" t="s">
        <v>38</v>
      </c>
      <c r="L1982" s="15" t="s">
        <v>38</v>
      </c>
      <c r="M1982" s="1"/>
      <c r="N1982" s="1" t="s">
        <v>2724</v>
      </c>
      <c r="O1982" s="15" t="s">
        <v>40</v>
      </c>
      <c r="P1982" s="15" t="s">
        <v>41</v>
      </c>
      <c r="Q1982" s="1" t="s">
        <v>6838</v>
      </c>
      <c r="R1982" s="2" t="s">
        <v>6834</v>
      </c>
      <c r="S1982" s="1" t="s">
        <v>2718</v>
      </c>
      <c r="T1982" s="1" t="s">
        <v>657</v>
      </c>
      <c r="U1982" s="1" t="s">
        <v>67</v>
      </c>
      <c r="V1982" s="1" t="s">
        <v>45</v>
      </c>
      <c r="W1982" s="1"/>
      <c r="X1982" s="1"/>
      <c r="Y1982" s="1"/>
      <c r="Z1982" s="1" t="s">
        <v>637</v>
      </c>
      <c r="AA1982" s="1" t="s">
        <v>46</v>
      </c>
      <c r="AB1982" s="1" t="s">
        <v>6839</v>
      </c>
      <c r="AC1982" s="1" t="s">
        <v>46</v>
      </c>
      <c r="AD1982" s="1"/>
      <c r="AE1982" s="1" t="s">
        <v>641</v>
      </c>
      <c r="AF1982" s="1" t="s">
        <v>190</v>
      </c>
      <c r="AG1982" s="1">
        <v>3</v>
      </c>
      <c r="AH1982" s="1" t="s">
        <v>190</v>
      </c>
      <c r="AI1982" s="1"/>
      <c r="AJ1982" s="1" t="s">
        <v>6840</v>
      </c>
      <c r="AK1982" s="1" t="s">
        <v>6639</v>
      </c>
    </row>
    <row r="1983" spans="1:37">
      <c r="A1983" s="1" t="str">
        <f>VLOOKUP(H1983,Languages!$A$2:$B$430,2,FALSE)</f>
        <v>Uto-Aztecan</v>
      </c>
      <c r="B1983" s="1" t="s">
        <v>1707</v>
      </c>
      <c r="C1983" s="1" t="s">
        <v>101</v>
      </c>
      <c r="D1983" s="1" t="s">
        <v>6055</v>
      </c>
      <c r="E1983" s="15" t="s">
        <v>6056</v>
      </c>
      <c r="F1983" s="15" t="s">
        <v>6056</v>
      </c>
      <c r="G1983" s="1" t="s">
        <v>6056</v>
      </c>
      <c r="H1983" s="1" t="str">
        <f>VLOOKUP(G1983,'languoid 4.0'!$A$1:$I$24439,2,FALSE)</f>
        <v>utoa1244</v>
      </c>
      <c r="I1983" s="1" t="str">
        <f>VLOOKUP(G1983,'languoid 4.0'!$A$1:$I$24439,6,FALSE)</f>
        <v>family</v>
      </c>
      <c r="J1983" s="15" t="s">
        <v>38</v>
      </c>
      <c r="K1983" s="15" t="s">
        <v>38</v>
      </c>
      <c r="L1983" s="15" t="s">
        <v>38</v>
      </c>
      <c r="M1983" s="1"/>
      <c r="N1983" s="1"/>
      <c r="O1983" s="15" t="s">
        <v>113</v>
      </c>
      <c r="P1983" s="15" t="s">
        <v>41</v>
      </c>
      <c r="Q1983" s="1" t="s">
        <v>10491</v>
      </c>
      <c r="R1983" s="2" t="s">
        <v>10492</v>
      </c>
      <c r="S1983" s="1" t="s">
        <v>1596</v>
      </c>
      <c r="T1983" s="1" t="s">
        <v>657</v>
      </c>
      <c r="U1983" s="1" t="s">
        <v>67</v>
      </c>
      <c r="V1983" s="1" t="s">
        <v>45</v>
      </c>
      <c r="W1983" s="1"/>
      <c r="X1983" s="1"/>
      <c r="Y1983" s="1"/>
      <c r="Z1983" s="1" t="s">
        <v>658</v>
      </c>
      <c r="AA1983" s="1" t="s">
        <v>10493</v>
      </c>
      <c r="AB1983" s="1" t="s">
        <v>46</v>
      </c>
      <c r="AC1983" s="1" t="s">
        <v>46</v>
      </c>
      <c r="AD1983" s="1" t="s">
        <v>10494</v>
      </c>
      <c r="AE1983" s="1" t="s">
        <v>641</v>
      </c>
      <c r="AF1983" s="1" t="s">
        <v>190</v>
      </c>
      <c r="AG1983" s="1">
        <v>5</v>
      </c>
      <c r="AH1983" s="1" t="s">
        <v>190</v>
      </c>
      <c r="AI1983" s="1" t="s">
        <v>10484</v>
      </c>
      <c r="AJ1983" s="1" t="s">
        <v>10495</v>
      </c>
      <c r="AK1983" s="1" t="s">
        <v>9565</v>
      </c>
    </row>
    <row r="1984" spans="1:37">
      <c r="A1984" s="1" t="str">
        <f>VLOOKUP(H1984,Languages!$A$2:$B$430,2,FALSE)</f>
        <v>Uto-Aztecan</v>
      </c>
      <c r="B1984" s="1" t="s">
        <v>1707</v>
      </c>
      <c r="C1984" s="1" t="s">
        <v>431</v>
      </c>
      <c r="D1984" s="1" t="s">
        <v>10417</v>
      </c>
      <c r="E1984" s="15" t="s">
        <v>6056</v>
      </c>
      <c r="F1984" s="15" t="s">
        <v>6056</v>
      </c>
      <c r="G1984" s="1" t="s">
        <v>6056</v>
      </c>
      <c r="H1984" s="1" t="str">
        <f>VLOOKUP(G1984,'languoid 4.0'!$A$1:$I$24439,2,FALSE)</f>
        <v>utoa1244</v>
      </c>
      <c r="I1984" s="1" t="str">
        <f>VLOOKUP(G1984,'languoid 4.0'!$A$1:$I$24439,6,FALSE)</f>
        <v>family</v>
      </c>
      <c r="J1984" s="15" t="s">
        <v>38</v>
      </c>
      <c r="K1984" s="15" t="s">
        <v>38</v>
      </c>
      <c r="L1984" s="15" t="s">
        <v>38</v>
      </c>
      <c r="M1984" s="1"/>
      <c r="N1984" s="1"/>
      <c r="O1984" s="15" t="s">
        <v>113</v>
      </c>
      <c r="P1984" s="15" t="s">
        <v>41</v>
      </c>
      <c r="Q1984" s="1" t="s">
        <v>10418</v>
      </c>
      <c r="R1984" s="2" t="s">
        <v>10419</v>
      </c>
      <c r="S1984" s="1" t="s">
        <v>10420</v>
      </c>
      <c r="T1984" s="1" t="s">
        <v>657</v>
      </c>
      <c r="U1984" s="1" t="s">
        <v>636</v>
      </c>
      <c r="V1984" s="1" t="s">
        <v>45</v>
      </c>
      <c r="W1984" s="1"/>
      <c r="X1984" s="1"/>
      <c r="Y1984" s="1"/>
      <c r="Z1984" s="1" t="s">
        <v>658</v>
      </c>
      <c r="AA1984" s="1" t="s">
        <v>10421</v>
      </c>
      <c r="AB1984" s="1" t="s">
        <v>46</v>
      </c>
      <c r="AC1984" s="1" t="s">
        <v>46</v>
      </c>
      <c r="AD1984" s="1" t="s">
        <v>10422</v>
      </c>
      <c r="AE1984" s="1" t="s">
        <v>641</v>
      </c>
      <c r="AF1984" s="1" t="s">
        <v>190</v>
      </c>
      <c r="AG1984" s="1">
        <v>6</v>
      </c>
      <c r="AH1984" s="1" t="s">
        <v>190</v>
      </c>
      <c r="AI1984" s="1"/>
      <c r="AJ1984" s="1" t="s">
        <v>10423</v>
      </c>
      <c r="AK1984" s="1" t="s">
        <v>4975</v>
      </c>
    </row>
    <row r="1985" spans="1:37">
      <c r="A1985" s="1" t="str">
        <f>VLOOKUP(H1985,Languages!$A$2:$B$430,2,FALSE)</f>
        <v>Uto-Aztecan</v>
      </c>
      <c r="B1985" s="1" t="s">
        <v>1707</v>
      </c>
      <c r="C1985" s="1" t="s">
        <v>431</v>
      </c>
      <c r="D1985" s="1" t="s">
        <v>11242</v>
      </c>
      <c r="E1985" s="15" t="s">
        <v>2723</v>
      </c>
      <c r="F1985" s="15" t="s">
        <v>2723</v>
      </c>
      <c r="G1985" s="1" t="s">
        <v>2723</v>
      </c>
      <c r="H1985" s="1" t="str">
        <f>VLOOKUP(G1985,'languoid 4.0'!$A$1:$I$24439,2,FALSE)</f>
        <v>utoa1244</v>
      </c>
      <c r="I1985" s="1" t="str">
        <f>VLOOKUP(G1985,'languoid 4.0'!$A$1:$I$24439,6,FALSE)</f>
        <v>language</v>
      </c>
      <c r="J1985" s="15" t="s">
        <v>38</v>
      </c>
      <c r="K1985" s="15" t="s">
        <v>38</v>
      </c>
      <c r="L1985" s="15" t="s">
        <v>38</v>
      </c>
      <c r="M1985" s="1"/>
      <c r="N1985" s="1" t="s">
        <v>2724</v>
      </c>
      <c r="O1985" s="15" t="s">
        <v>40</v>
      </c>
      <c r="P1985" s="15" t="s">
        <v>41</v>
      </c>
      <c r="Q1985" s="1" t="s">
        <v>6551</v>
      </c>
      <c r="R1985" s="2" t="s">
        <v>6552</v>
      </c>
      <c r="S1985" s="1" t="s">
        <v>11243</v>
      </c>
      <c r="T1985" s="1" t="s">
        <v>718</v>
      </c>
      <c r="U1985" s="1" t="s">
        <v>636</v>
      </c>
      <c r="V1985" s="1" t="s">
        <v>45</v>
      </c>
      <c r="W1985" s="1"/>
      <c r="X1985" s="1"/>
      <c r="Y1985" s="1"/>
      <c r="Z1985" s="1" t="s">
        <v>658</v>
      </c>
      <c r="AA1985" s="1" t="s">
        <v>11244</v>
      </c>
      <c r="AB1985" s="1" t="s">
        <v>46</v>
      </c>
      <c r="AC1985" s="1" t="s">
        <v>46</v>
      </c>
      <c r="AD1985" s="1"/>
      <c r="AE1985" s="1" t="s">
        <v>641</v>
      </c>
      <c r="AF1985" s="1" t="s">
        <v>190</v>
      </c>
      <c r="AG1985" s="1">
        <v>6</v>
      </c>
      <c r="AH1985" s="1" t="s">
        <v>190</v>
      </c>
      <c r="AI1985" s="1"/>
      <c r="AJ1985" s="1" t="s">
        <v>11245</v>
      </c>
      <c r="AK1985" s="1" t="s">
        <v>4975</v>
      </c>
    </row>
    <row r="1986" spans="1:37">
      <c r="A1986" s="1" t="str">
        <f>VLOOKUP(H1986,Languages!$A$2:$B$430,2,FALSE)</f>
        <v>Wakashan</v>
      </c>
      <c r="B1986" s="1" t="s">
        <v>67</v>
      </c>
      <c r="C1986" s="1" t="s">
        <v>304</v>
      </c>
      <c r="D1986" s="1" t="s">
        <v>8061</v>
      </c>
      <c r="E1986" s="15" t="s">
        <v>306</v>
      </c>
      <c r="F1986" s="15" t="s">
        <v>306</v>
      </c>
      <c r="G1986" s="1" t="s">
        <v>306</v>
      </c>
      <c r="H1986" s="1" t="str">
        <f>VLOOKUP(G1986,'languoid 4.0'!$A$1:$I$24439,2,FALSE)</f>
        <v>waka1280</v>
      </c>
      <c r="I1986" s="1" t="str">
        <f>VLOOKUP(G1986,'languoid 4.0'!$A$1:$I$24439,6,FALSE)</f>
        <v>language</v>
      </c>
      <c r="J1986" s="15" t="s">
        <v>38</v>
      </c>
      <c r="K1986" s="15" t="s">
        <v>38</v>
      </c>
      <c r="L1986" s="15" t="s">
        <v>38</v>
      </c>
      <c r="M1986" s="1"/>
      <c r="N1986" s="1" t="s">
        <v>307</v>
      </c>
      <c r="O1986" s="15" t="s">
        <v>40</v>
      </c>
      <c r="P1986" s="15" t="s">
        <v>41</v>
      </c>
      <c r="Q1986" s="1" t="s">
        <v>8066</v>
      </c>
      <c r="R1986" s="2" t="s">
        <v>8067</v>
      </c>
      <c r="S1986" s="1" t="s">
        <v>1526</v>
      </c>
      <c r="T1986" s="1" t="s">
        <v>657</v>
      </c>
      <c r="U1986" s="1" t="s">
        <v>636</v>
      </c>
      <c r="V1986" s="1" t="s">
        <v>45</v>
      </c>
      <c r="W1986" s="1"/>
      <c r="X1986" s="1"/>
      <c r="Y1986" s="1"/>
      <c r="Z1986" s="1" t="s">
        <v>658</v>
      </c>
      <c r="AA1986" s="1" t="s">
        <v>46</v>
      </c>
      <c r="AB1986" s="1" t="s">
        <v>46</v>
      </c>
      <c r="AC1986" s="1" t="s">
        <v>46</v>
      </c>
      <c r="AD1986" s="1"/>
      <c r="AE1986" s="1" t="s">
        <v>641</v>
      </c>
      <c r="AF1986" s="1" t="s">
        <v>45</v>
      </c>
      <c r="AG1986" s="1">
        <v>6</v>
      </c>
      <c r="AH1986" s="1" t="s">
        <v>190</v>
      </c>
      <c r="AI1986" s="1"/>
      <c r="AJ1986" s="1" t="s">
        <v>8068</v>
      </c>
      <c r="AK1986" s="1" t="s">
        <v>6441</v>
      </c>
    </row>
    <row r="1987" spans="1:37">
      <c r="A1987" s="1" t="str">
        <f>VLOOKUP(H1987,Languages!$A$2:$B$430,2,FALSE)</f>
        <v>Wakashan</v>
      </c>
      <c r="B1987" s="1" t="s">
        <v>67</v>
      </c>
      <c r="C1987" s="1" t="s">
        <v>304</v>
      </c>
      <c r="D1987" s="1" t="s">
        <v>9337</v>
      </c>
      <c r="E1987" s="15" t="s">
        <v>9338</v>
      </c>
      <c r="F1987" s="15" t="s">
        <v>9339</v>
      </c>
      <c r="G1987" s="1" t="s">
        <v>9338</v>
      </c>
      <c r="H1987" s="1" t="str">
        <f>VLOOKUP(G1987,'languoid 4.0'!$A$1:$I$24439,2,FALSE)</f>
        <v>waka1280</v>
      </c>
      <c r="I1987" s="1" t="str">
        <f>VLOOKUP(G1987,'languoid 4.0'!$A$1:$I$24439,6,FALSE)</f>
        <v>language</v>
      </c>
      <c r="J1987" s="15" t="s">
        <v>52</v>
      </c>
      <c r="K1987" s="15" t="s">
        <v>368</v>
      </c>
      <c r="L1987" s="15" t="s">
        <v>368</v>
      </c>
      <c r="M1987" s="1" t="s">
        <v>9340</v>
      </c>
      <c r="N1987" s="1" t="s">
        <v>9341</v>
      </c>
      <c r="O1987" s="15" t="s">
        <v>40</v>
      </c>
      <c r="P1987" s="15" t="s">
        <v>41</v>
      </c>
      <c r="Q1987" s="1" t="s">
        <v>9342</v>
      </c>
      <c r="R1987" s="2" t="s">
        <v>4512</v>
      </c>
      <c r="S1987" s="1" t="s">
        <v>46</v>
      </c>
      <c r="T1987" s="1" t="s">
        <v>635</v>
      </c>
      <c r="U1987" s="1" t="s">
        <v>636</v>
      </c>
      <c r="V1987" s="1" t="s">
        <v>45</v>
      </c>
      <c r="W1987" s="1"/>
      <c r="X1987" s="1"/>
      <c r="Y1987" s="1"/>
      <c r="Z1987" s="1" t="s">
        <v>658</v>
      </c>
      <c r="AA1987" s="1" t="s">
        <v>9343</v>
      </c>
      <c r="AB1987" s="1" t="s">
        <v>46</v>
      </c>
      <c r="AC1987" s="1" t="s">
        <v>46</v>
      </c>
      <c r="AD1987" s="1" t="s">
        <v>9344</v>
      </c>
      <c r="AE1987" s="1"/>
      <c r="AF1987" s="1"/>
      <c r="AG1987" s="1"/>
      <c r="AH1987" s="1" t="s">
        <v>45</v>
      </c>
      <c r="AI1987" s="1" t="s">
        <v>6440</v>
      </c>
      <c r="AJ1987" s="1" t="s">
        <v>9345</v>
      </c>
      <c r="AK1987" s="1" t="s">
        <v>6441</v>
      </c>
    </row>
    <row r="1988" spans="1:37">
      <c r="A1988" s="1" t="str">
        <f>VLOOKUP(H1988,Languages!$A$2:$B$430,2,FALSE)</f>
        <v>Wakashan</v>
      </c>
      <c r="B1988" s="1" t="s">
        <v>67</v>
      </c>
      <c r="C1988" s="1" t="s">
        <v>304</v>
      </c>
      <c r="D1988" s="1" t="s">
        <v>8061</v>
      </c>
      <c r="E1988" s="15" t="s">
        <v>306</v>
      </c>
      <c r="F1988" s="15" t="s">
        <v>306</v>
      </c>
      <c r="G1988" s="1" t="s">
        <v>306</v>
      </c>
      <c r="H1988" s="1" t="str">
        <f>VLOOKUP(G1988,'languoid 4.0'!$A$1:$I$24439,2,FALSE)</f>
        <v>waka1280</v>
      </c>
      <c r="I1988" s="1" t="str">
        <f>VLOOKUP(G1988,'languoid 4.0'!$A$1:$I$24439,6,FALSE)</f>
        <v>language</v>
      </c>
      <c r="J1988" s="15" t="s">
        <v>38</v>
      </c>
      <c r="K1988" s="15" t="s">
        <v>38</v>
      </c>
      <c r="L1988" s="15" t="s">
        <v>38</v>
      </c>
      <c r="M1988" s="1"/>
      <c r="N1988" s="1" t="s">
        <v>307</v>
      </c>
      <c r="O1988" s="15" t="s">
        <v>40</v>
      </c>
      <c r="P1988" s="15" t="s">
        <v>41</v>
      </c>
      <c r="Q1988" s="1" t="s">
        <v>9460</v>
      </c>
      <c r="R1988" s="2" t="s">
        <v>9461</v>
      </c>
      <c r="S1988" s="1" t="s">
        <v>4414</v>
      </c>
      <c r="T1988" s="1" t="s">
        <v>657</v>
      </c>
      <c r="U1988" s="1" t="s">
        <v>636</v>
      </c>
      <c r="V1988" s="1" t="s">
        <v>45</v>
      </c>
      <c r="W1988" s="1"/>
      <c r="X1988" s="1"/>
      <c r="Y1988" s="1"/>
      <c r="Z1988" s="1" t="s">
        <v>658</v>
      </c>
      <c r="AA1988" s="1" t="s">
        <v>46</v>
      </c>
      <c r="AB1988" s="1" t="s">
        <v>46</v>
      </c>
      <c r="AC1988" s="1" t="s">
        <v>46</v>
      </c>
      <c r="AD1988" s="1" t="s">
        <v>9462</v>
      </c>
      <c r="AE1988" s="1" t="s">
        <v>641</v>
      </c>
      <c r="AF1988" s="1" t="s">
        <v>45</v>
      </c>
      <c r="AG1988" s="1">
        <v>4</v>
      </c>
      <c r="AH1988" s="1" t="s">
        <v>190</v>
      </c>
      <c r="AI1988" s="1"/>
      <c r="AJ1988" s="3">
        <v>43230.646921296298</v>
      </c>
      <c r="AK1988" s="1" t="s">
        <v>6441</v>
      </c>
    </row>
    <row r="1989" spans="1:37">
      <c r="A1989" s="1" t="str">
        <f>VLOOKUP(H1989,Languages!$A$2:$B$430,2,FALSE)</f>
        <v>Wakashan</v>
      </c>
      <c r="B1989" s="1" t="s">
        <v>67</v>
      </c>
      <c r="C1989" s="1" t="s">
        <v>304</v>
      </c>
      <c r="D1989" s="1" t="s">
        <v>8061</v>
      </c>
      <c r="E1989" s="15" t="s">
        <v>306</v>
      </c>
      <c r="F1989" s="15" t="s">
        <v>306</v>
      </c>
      <c r="G1989" s="1" t="s">
        <v>306</v>
      </c>
      <c r="H1989" s="1" t="str">
        <f>VLOOKUP(G1989,'languoid 4.0'!$A$1:$I$24439,2,FALSE)</f>
        <v>waka1280</v>
      </c>
      <c r="I1989" s="1" t="str">
        <f>VLOOKUP(G1989,'languoid 4.0'!$A$1:$I$24439,6,FALSE)</f>
        <v>language</v>
      </c>
      <c r="J1989" s="15" t="s">
        <v>38</v>
      </c>
      <c r="K1989" s="15" t="s">
        <v>38</v>
      </c>
      <c r="L1989" s="15" t="s">
        <v>38</v>
      </c>
      <c r="M1989" s="1"/>
      <c r="N1989" s="1" t="s">
        <v>307</v>
      </c>
      <c r="O1989" s="15" t="s">
        <v>40</v>
      </c>
      <c r="P1989" s="15" t="s">
        <v>41</v>
      </c>
      <c r="Q1989" s="1" t="s">
        <v>8252</v>
      </c>
      <c r="R1989" s="2" t="s">
        <v>9463</v>
      </c>
      <c r="S1989" s="1" t="s">
        <v>724</v>
      </c>
      <c r="T1989" s="1" t="s">
        <v>657</v>
      </c>
      <c r="U1989" s="1" t="s">
        <v>636</v>
      </c>
      <c r="V1989" s="1" t="s">
        <v>45</v>
      </c>
      <c r="W1989" s="1"/>
      <c r="X1989" s="1"/>
      <c r="Y1989" s="1"/>
      <c r="Z1989" s="1" t="s">
        <v>658</v>
      </c>
      <c r="AA1989" s="1" t="s">
        <v>46</v>
      </c>
      <c r="AB1989" s="1" t="s">
        <v>46</v>
      </c>
      <c r="AC1989" s="1" t="s">
        <v>46</v>
      </c>
      <c r="AD1989" s="1" t="s">
        <v>9464</v>
      </c>
      <c r="AE1989" s="1" t="s">
        <v>641</v>
      </c>
      <c r="AF1989" s="1" t="s">
        <v>45</v>
      </c>
      <c r="AG1989" s="1">
        <v>6</v>
      </c>
      <c r="AH1989" s="1" t="s">
        <v>190</v>
      </c>
      <c r="AI1989" s="1"/>
      <c r="AJ1989" s="3">
        <v>43230.648726851854</v>
      </c>
      <c r="AK1989" s="1" t="s">
        <v>6441</v>
      </c>
    </row>
    <row r="1990" spans="1:37">
      <c r="A1990" s="1" t="str">
        <f>VLOOKUP(H1990,Languages!$A$2:$B$430,2,FALSE)</f>
        <v>Wakashan</v>
      </c>
      <c r="B1990" s="1" t="s">
        <v>59</v>
      </c>
      <c r="C1990" s="1" t="s">
        <v>304</v>
      </c>
      <c r="D1990" s="1" t="s">
        <v>305</v>
      </c>
      <c r="E1990" s="17" t="s">
        <v>306</v>
      </c>
      <c r="F1990" s="16" t="s">
        <v>456</v>
      </c>
      <c r="G1990" s="6" t="s">
        <v>306</v>
      </c>
      <c r="H1990" s="1" t="str">
        <f>VLOOKUP(G1990,'languoid 4.0'!$A$1:$I$24439,2,FALSE)</f>
        <v>waka1280</v>
      </c>
      <c r="I1990" s="1" t="str">
        <f>VLOOKUP(G1990,'languoid 4.0'!$A$1:$I$24439,6,FALSE)</f>
        <v>language</v>
      </c>
      <c r="J1990" s="15" t="s">
        <v>52</v>
      </c>
      <c r="K1990" s="15" t="s">
        <v>38</v>
      </c>
      <c r="L1990" s="15" t="s">
        <v>38</v>
      </c>
      <c r="M1990" s="1"/>
      <c r="N1990" s="1" t="s">
        <v>307</v>
      </c>
      <c r="O1990" s="15" t="s">
        <v>40</v>
      </c>
      <c r="P1990" s="15" t="s">
        <v>41</v>
      </c>
      <c r="Q1990" s="1" t="s">
        <v>457</v>
      </c>
      <c r="R1990" s="2" t="s">
        <v>308</v>
      </c>
      <c r="S1990" s="1" t="s">
        <v>458</v>
      </c>
      <c r="T1990" s="1" t="s">
        <v>44</v>
      </c>
      <c r="U1990" s="1"/>
      <c r="V1990" s="1" t="s">
        <v>45</v>
      </c>
      <c r="W1990" s="1"/>
      <c r="X1990" s="1"/>
      <c r="Y1990" s="1"/>
      <c r="Z1990" s="1"/>
      <c r="AA1990" s="1">
        <v>26</v>
      </c>
      <c r="AB1990" s="1" t="s">
        <v>459</v>
      </c>
      <c r="AC1990" s="1">
        <v>27</v>
      </c>
      <c r="AD1990" s="1"/>
      <c r="AE1990" s="1"/>
      <c r="AF1990" s="1"/>
      <c r="AG1990" s="1"/>
      <c r="AH1990" s="1"/>
      <c r="AI1990" s="1"/>
      <c r="AJ1990" s="3">
        <v>43102.749849537038</v>
      </c>
      <c r="AK1990" s="1" t="s">
        <v>172</v>
      </c>
    </row>
    <row r="1991" spans="1:37">
      <c r="A1991" s="1" t="str">
        <f>VLOOKUP(H1991,Languages!$A$2:$B$430,2,FALSE)</f>
        <v>Wakashan</v>
      </c>
      <c r="B1991" s="1" t="s">
        <v>59</v>
      </c>
      <c r="C1991" s="1" t="s">
        <v>304</v>
      </c>
      <c r="D1991" s="1" t="s">
        <v>9310</v>
      </c>
      <c r="E1991" s="15" t="s">
        <v>306</v>
      </c>
      <c r="F1991" s="15" t="s">
        <v>9311</v>
      </c>
      <c r="G1991" s="1" t="s">
        <v>306</v>
      </c>
      <c r="H1991" s="1" t="str">
        <f>VLOOKUP(G1991,'languoid 4.0'!$A$1:$I$24439,2,FALSE)</f>
        <v>waka1280</v>
      </c>
      <c r="I1991" s="1" t="str">
        <f>VLOOKUP(G1991,'languoid 4.0'!$A$1:$I$24439,6,FALSE)</f>
        <v>language</v>
      </c>
      <c r="J1991" s="15" t="s">
        <v>52</v>
      </c>
      <c r="K1991" s="15" t="s">
        <v>38</v>
      </c>
      <c r="L1991" s="15" t="s">
        <v>38</v>
      </c>
      <c r="M1991" s="1"/>
      <c r="N1991" s="1" t="s">
        <v>307</v>
      </c>
      <c r="O1991" s="15" t="s">
        <v>40</v>
      </c>
      <c r="P1991" s="15" t="s">
        <v>41</v>
      </c>
      <c r="Q1991" s="1" t="s">
        <v>6210</v>
      </c>
      <c r="R1991" s="2" t="s">
        <v>4512</v>
      </c>
      <c r="S1991" s="1" t="s">
        <v>46</v>
      </c>
      <c r="T1991" s="1" t="s">
        <v>635</v>
      </c>
      <c r="U1991" s="1" t="s">
        <v>636</v>
      </c>
      <c r="V1991" s="1" t="s">
        <v>45</v>
      </c>
      <c r="W1991" s="1"/>
      <c r="X1991" s="1"/>
      <c r="Y1991" s="1"/>
      <c r="Z1991" s="1" t="s">
        <v>658</v>
      </c>
      <c r="AA1991" s="1" t="s">
        <v>9323</v>
      </c>
      <c r="AB1991" s="1" t="s">
        <v>46</v>
      </c>
      <c r="AC1991" s="1" t="s">
        <v>46</v>
      </c>
      <c r="AD1991" s="1" t="s">
        <v>9324</v>
      </c>
      <c r="AE1991" s="1"/>
      <c r="AF1991" s="1"/>
      <c r="AG1991" s="1"/>
      <c r="AH1991" s="1" t="s">
        <v>45</v>
      </c>
      <c r="AI1991" s="1" t="s">
        <v>6440</v>
      </c>
      <c r="AJ1991" s="1" t="s">
        <v>9325</v>
      </c>
      <c r="AK1991" s="1" t="s">
        <v>6441</v>
      </c>
    </row>
    <row r="1992" spans="1:37">
      <c r="A1992" s="1" t="str">
        <f>VLOOKUP(H1992,Languages!$A$2:$B$430,2,FALSE)</f>
        <v>Wakashan</v>
      </c>
      <c r="B1992" s="1" t="s">
        <v>59</v>
      </c>
      <c r="C1992" s="1" t="s">
        <v>304</v>
      </c>
      <c r="D1992" s="1" t="s">
        <v>9337</v>
      </c>
      <c r="E1992" s="15" t="s">
        <v>9338</v>
      </c>
      <c r="F1992" s="15" t="s">
        <v>9339</v>
      </c>
      <c r="G1992" s="1" t="s">
        <v>9338</v>
      </c>
      <c r="H1992" s="1" t="str">
        <f>VLOOKUP(G1992,'languoid 4.0'!$A$1:$I$24439,2,FALSE)</f>
        <v>waka1280</v>
      </c>
      <c r="I1992" s="1" t="str">
        <f>VLOOKUP(G1992,'languoid 4.0'!$A$1:$I$24439,6,FALSE)</f>
        <v>language</v>
      </c>
      <c r="J1992" s="15" t="s">
        <v>52</v>
      </c>
      <c r="K1992" s="15" t="s">
        <v>368</v>
      </c>
      <c r="L1992" s="15" t="s">
        <v>368</v>
      </c>
      <c r="M1992" s="1" t="s">
        <v>9340</v>
      </c>
      <c r="N1992" s="1" t="s">
        <v>9341</v>
      </c>
      <c r="O1992" s="15" t="s">
        <v>40</v>
      </c>
      <c r="P1992" s="15" t="s">
        <v>41</v>
      </c>
      <c r="Q1992" s="1" t="s">
        <v>2553</v>
      </c>
      <c r="R1992" s="2" t="s">
        <v>9465</v>
      </c>
      <c r="S1992" s="1" t="s">
        <v>1596</v>
      </c>
      <c r="T1992" s="1" t="s">
        <v>657</v>
      </c>
      <c r="U1992" s="1" t="s">
        <v>636</v>
      </c>
      <c r="V1992" s="1" t="s">
        <v>45</v>
      </c>
      <c r="W1992" s="1"/>
      <c r="X1992" s="1"/>
      <c r="Y1992" s="1"/>
      <c r="Z1992" s="1" t="s">
        <v>658</v>
      </c>
      <c r="AA1992" s="1" t="s">
        <v>46</v>
      </c>
      <c r="AB1992" s="1" t="s">
        <v>46</v>
      </c>
      <c r="AC1992" s="1" t="s">
        <v>46</v>
      </c>
      <c r="AD1992" s="1" t="s">
        <v>9466</v>
      </c>
      <c r="AE1992" s="1" t="s">
        <v>641</v>
      </c>
      <c r="AF1992" s="1" t="s">
        <v>45</v>
      </c>
      <c r="AG1992" s="1">
        <v>6</v>
      </c>
      <c r="AH1992" s="1" t="s">
        <v>190</v>
      </c>
      <c r="AI1992" s="1"/>
      <c r="AJ1992" s="3">
        <v>43230.650011574071</v>
      </c>
      <c r="AK1992" s="1" t="s">
        <v>6441</v>
      </c>
    </row>
    <row r="1993" spans="1:37">
      <c r="A1993" s="1" t="str">
        <f>VLOOKUP(H1993,Languages!$A$2:$B$430,2,FALSE)</f>
        <v>Wakashan</v>
      </c>
      <c r="B1993" s="1" t="s">
        <v>109</v>
      </c>
      <c r="C1993" s="1" t="s">
        <v>304</v>
      </c>
      <c r="D1993" s="1" t="s">
        <v>305</v>
      </c>
      <c r="E1993" s="15" t="s">
        <v>306</v>
      </c>
      <c r="F1993" s="15" t="s">
        <v>306</v>
      </c>
      <c r="G1993" s="1" t="s">
        <v>306</v>
      </c>
      <c r="H1993" s="1" t="str">
        <f>VLOOKUP(G1993,'languoid 4.0'!$A$1:$I$24439,2,FALSE)</f>
        <v>waka1280</v>
      </c>
      <c r="I1993" s="1" t="str">
        <f>VLOOKUP(G1993,'languoid 4.0'!$A$1:$I$24439,6,FALSE)</f>
        <v>language</v>
      </c>
      <c r="J1993" s="15" t="s">
        <v>38</v>
      </c>
      <c r="K1993" s="15" t="s">
        <v>38</v>
      </c>
      <c r="L1993" s="15" t="s">
        <v>38</v>
      </c>
      <c r="M1993" s="1"/>
      <c r="N1993" s="1" t="s">
        <v>307</v>
      </c>
      <c r="O1993" s="15" t="s">
        <v>40</v>
      </c>
      <c r="P1993" s="15" t="s">
        <v>41</v>
      </c>
      <c r="Q1993" s="1" t="s">
        <v>144</v>
      </c>
      <c r="R1993" s="2" t="s">
        <v>308</v>
      </c>
      <c r="S1993" s="1" t="s">
        <v>309</v>
      </c>
      <c r="T1993" s="1" t="s">
        <v>44</v>
      </c>
      <c r="U1993" s="1"/>
      <c r="V1993" s="1" t="s">
        <v>45</v>
      </c>
      <c r="W1993" s="1"/>
      <c r="X1993" s="1"/>
      <c r="Y1993" s="1"/>
      <c r="Z1993" s="1"/>
      <c r="AA1993" s="1">
        <v>28</v>
      </c>
      <c r="AB1993" s="1" t="s">
        <v>310</v>
      </c>
      <c r="AC1993" s="1">
        <v>28</v>
      </c>
      <c r="AD1993" s="1"/>
      <c r="AE1993" s="1"/>
      <c r="AF1993" s="1"/>
      <c r="AG1993" s="1"/>
      <c r="AH1993" s="1"/>
      <c r="AI1993" s="1"/>
      <c r="AJ1993" s="3">
        <v>43102.741111111114</v>
      </c>
      <c r="AK1993" s="1" t="s">
        <v>47</v>
      </c>
    </row>
    <row r="1994" spans="1:37">
      <c r="A1994" s="1" t="str">
        <f>VLOOKUP(H1994,Languages!$A$2:$B$430,2,FALSE)</f>
        <v>Wakashan</v>
      </c>
      <c r="B1994" s="1" t="s">
        <v>109</v>
      </c>
      <c r="C1994" s="1" t="s">
        <v>304</v>
      </c>
      <c r="D1994" s="1" t="s">
        <v>8061</v>
      </c>
      <c r="E1994" s="15" t="s">
        <v>306</v>
      </c>
      <c r="F1994" s="15" t="s">
        <v>306</v>
      </c>
      <c r="G1994" s="1" t="s">
        <v>306</v>
      </c>
      <c r="H1994" s="1" t="str">
        <f>VLOOKUP(G1994,'languoid 4.0'!$A$1:$I$24439,2,FALSE)</f>
        <v>waka1280</v>
      </c>
      <c r="I1994" s="1" t="str">
        <f>VLOOKUP(G1994,'languoid 4.0'!$A$1:$I$24439,6,FALSE)</f>
        <v>language</v>
      </c>
      <c r="J1994" s="15" t="s">
        <v>38</v>
      </c>
      <c r="K1994" s="15" t="s">
        <v>38</v>
      </c>
      <c r="L1994" s="15" t="s">
        <v>38</v>
      </c>
      <c r="M1994" s="1"/>
      <c r="N1994" s="1" t="s">
        <v>307</v>
      </c>
      <c r="O1994" s="15" t="s">
        <v>40</v>
      </c>
      <c r="P1994" s="15" t="s">
        <v>41</v>
      </c>
      <c r="Q1994" s="1" t="s">
        <v>8062</v>
      </c>
      <c r="R1994" s="2" t="s">
        <v>8063</v>
      </c>
      <c r="S1994" s="1" t="s">
        <v>8064</v>
      </c>
      <c r="T1994" s="1" t="s">
        <v>657</v>
      </c>
      <c r="U1994" s="1" t="s">
        <v>636</v>
      </c>
      <c r="V1994" s="1" t="s">
        <v>45</v>
      </c>
      <c r="W1994" s="1"/>
      <c r="X1994" s="1"/>
      <c r="Y1994" s="1"/>
      <c r="Z1994" s="1" t="s">
        <v>658</v>
      </c>
      <c r="AA1994" s="1" t="s">
        <v>46</v>
      </c>
      <c r="AB1994" s="1" t="s">
        <v>46</v>
      </c>
      <c r="AC1994" s="1" t="s">
        <v>46</v>
      </c>
      <c r="AD1994" s="1"/>
      <c r="AE1994" s="1" t="s">
        <v>641</v>
      </c>
      <c r="AF1994" s="1" t="s">
        <v>45</v>
      </c>
      <c r="AG1994" s="1">
        <v>6</v>
      </c>
      <c r="AH1994" s="1" t="s">
        <v>190</v>
      </c>
      <c r="AI1994" s="1"/>
      <c r="AJ1994" s="1" t="s">
        <v>8065</v>
      </c>
      <c r="AK1994" s="1" t="s">
        <v>6441</v>
      </c>
    </row>
    <row r="1995" spans="1:37">
      <c r="A1995" s="1" t="str">
        <f>VLOOKUP(H1995,Languages!$A$2:$B$430,2,FALSE)</f>
        <v>Wakashan</v>
      </c>
      <c r="B1995" s="1" t="s">
        <v>1726</v>
      </c>
      <c r="C1995" s="1" t="s">
        <v>304</v>
      </c>
      <c r="D1995" s="1" t="s">
        <v>8061</v>
      </c>
      <c r="E1995" s="15" t="s">
        <v>306</v>
      </c>
      <c r="F1995" s="15" t="s">
        <v>306</v>
      </c>
      <c r="G1995" s="1" t="s">
        <v>306</v>
      </c>
      <c r="H1995" s="1" t="str">
        <f>VLOOKUP(G1995,'languoid 4.0'!$A$1:$I$24439,2,FALSE)</f>
        <v>waka1280</v>
      </c>
      <c r="I1995" s="1" t="str">
        <f>VLOOKUP(G1995,'languoid 4.0'!$A$1:$I$24439,6,FALSE)</f>
        <v>language</v>
      </c>
      <c r="J1995" s="15" t="s">
        <v>38</v>
      </c>
      <c r="K1995" s="15" t="s">
        <v>38</v>
      </c>
      <c r="L1995" s="15" t="s">
        <v>38</v>
      </c>
      <c r="M1995" s="1"/>
      <c r="N1995" s="1" t="s">
        <v>307</v>
      </c>
      <c r="O1995" s="15" t="s">
        <v>40</v>
      </c>
      <c r="P1995" s="15" t="s">
        <v>41</v>
      </c>
      <c r="Q1995" s="1" t="s">
        <v>2566</v>
      </c>
      <c r="R1995" s="2" t="s">
        <v>8076</v>
      </c>
      <c r="S1995" s="1" t="s">
        <v>6995</v>
      </c>
      <c r="T1995" s="1" t="s">
        <v>657</v>
      </c>
      <c r="U1995" s="1" t="s">
        <v>636</v>
      </c>
      <c r="V1995" s="1" t="s">
        <v>45</v>
      </c>
      <c r="W1995" s="1"/>
      <c r="X1995" s="1"/>
      <c r="Y1995" s="1"/>
      <c r="Z1995" s="1" t="s">
        <v>658</v>
      </c>
      <c r="AA1995" s="1" t="s">
        <v>46</v>
      </c>
      <c r="AB1995" s="1" t="s">
        <v>46</v>
      </c>
      <c r="AC1995" s="1" t="s">
        <v>46</v>
      </c>
      <c r="AD1995" s="1"/>
      <c r="AE1995" s="1" t="s">
        <v>641</v>
      </c>
      <c r="AF1995" s="1" t="s">
        <v>45</v>
      </c>
      <c r="AG1995" s="1">
        <v>6</v>
      </c>
      <c r="AH1995" s="1" t="s">
        <v>190</v>
      </c>
      <c r="AI1995" s="1"/>
      <c r="AJ1995" s="1" t="s">
        <v>8077</v>
      </c>
      <c r="AK1995" s="1" t="s">
        <v>6441</v>
      </c>
    </row>
    <row r="1996" spans="1:37">
      <c r="A1996" s="1" t="str">
        <f>VLOOKUP(H1996,Languages!$A$2:$B$430,2,FALSE)</f>
        <v>Wakashan</v>
      </c>
      <c r="B1996" s="1" t="s">
        <v>1750</v>
      </c>
      <c r="C1996" s="1" t="s">
        <v>304</v>
      </c>
      <c r="D1996" s="1" t="s">
        <v>8061</v>
      </c>
      <c r="E1996" s="15" t="s">
        <v>306</v>
      </c>
      <c r="F1996" s="15" t="s">
        <v>306</v>
      </c>
      <c r="G1996" s="1" t="s">
        <v>306</v>
      </c>
      <c r="H1996" s="1" t="str">
        <f>VLOOKUP(G1996,'languoid 4.0'!$A$1:$I$24439,2,FALSE)</f>
        <v>waka1280</v>
      </c>
      <c r="I1996" s="1" t="str">
        <f>VLOOKUP(G1996,'languoid 4.0'!$A$1:$I$24439,6,FALSE)</f>
        <v>language</v>
      </c>
      <c r="J1996" s="15" t="s">
        <v>38</v>
      </c>
      <c r="K1996" s="15" t="s">
        <v>38</v>
      </c>
      <c r="L1996" s="15" t="s">
        <v>38</v>
      </c>
      <c r="M1996" s="1"/>
      <c r="N1996" s="1" t="s">
        <v>307</v>
      </c>
      <c r="O1996" s="15" t="s">
        <v>40</v>
      </c>
      <c r="P1996" s="15" t="s">
        <v>41</v>
      </c>
      <c r="Q1996" s="1" t="s">
        <v>11438</v>
      </c>
      <c r="R1996" s="2" t="s">
        <v>11439</v>
      </c>
      <c r="S1996" s="1" t="s">
        <v>611</v>
      </c>
      <c r="T1996" s="1" t="s">
        <v>657</v>
      </c>
      <c r="U1996" s="1" t="s">
        <v>636</v>
      </c>
      <c r="V1996" s="1" t="s">
        <v>45</v>
      </c>
      <c r="W1996" s="1"/>
      <c r="X1996" s="1"/>
      <c r="Y1996" s="1"/>
      <c r="Z1996" s="1" t="s">
        <v>658</v>
      </c>
      <c r="AA1996" s="1" t="s">
        <v>46</v>
      </c>
      <c r="AB1996" s="1" t="s">
        <v>46</v>
      </c>
      <c r="AC1996" s="1" t="s">
        <v>46</v>
      </c>
      <c r="AD1996" s="1"/>
      <c r="AE1996" s="1" t="s">
        <v>641</v>
      </c>
      <c r="AF1996" s="1" t="s">
        <v>45</v>
      </c>
      <c r="AG1996" s="1">
        <v>6</v>
      </c>
      <c r="AH1996" s="1" t="s">
        <v>190</v>
      </c>
      <c r="AI1996" s="1"/>
      <c r="AJ1996" s="3">
        <v>43466.966261574074</v>
      </c>
      <c r="AK1996" s="1" t="s">
        <v>6441</v>
      </c>
    </row>
    <row r="1997" spans="1:37">
      <c r="A1997" s="1" t="str">
        <f>VLOOKUP(H1997,Languages!$A$2:$B$430,2,FALSE)</f>
        <v>Wakashan</v>
      </c>
      <c r="B1997" s="1" t="s">
        <v>1750</v>
      </c>
      <c r="C1997" s="1" t="s">
        <v>304</v>
      </c>
      <c r="D1997" s="1" t="s">
        <v>11440</v>
      </c>
      <c r="E1997" s="15" t="s">
        <v>306</v>
      </c>
      <c r="F1997" s="15" t="s">
        <v>306</v>
      </c>
      <c r="G1997" s="1" t="s">
        <v>306</v>
      </c>
      <c r="H1997" s="1" t="str">
        <f>VLOOKUP(G1997,'languoid 4.0'!$A$1:$I$24439,2,FALSE)</f>
        <v>waka1280</v>
      </c>
      <c r="I1997" s="1" t="str">
        <f>VLOOKUP(G1997,'languoid 4.0'!$A$1:$I$24439,6,FALSE)</f>
        <v>language</v>
      </c>
      <c r="J1997" s="15" t="s">
        <v>38</v>
      </c>
      <c r="K1997" s="15" t="s">
        <v>38</v>
      </c>
      <c r="L1997" s="15" t="s">
        <v>38</v>
      </c>
      <c r="M1997" s="1"/>
      <c r="N1997" s="1" t="s">
        <v>307</v>
      </c>
      <c r="O1997" s="15" t="s">
        <v>40</v>
      </c>
      <c r="P1997" s="15" t="s">
        <v>41</v>
      </c>
      <c r="Q1997" s="1" t="s">
        <v>11441</v>
      </c>
      <c r="R1997" s="2" t="s">
        <v>11442</v>
      </c>
      <c r="S1997" s="1" t="s">
        <v>11443</v>
      </c>
      <c r="T1997" s="1" t="s">
        <v>657</v>
      </c>
      <c r="U1997" s="1" t="s">
        <v>636</v>
      </c>
      <c r="V1997" s="1" t="s">
        <v>45</v>
      </c>
      <c r="W1997" s="1"/>
      <c r="X1997" s="1"/>
      <c r="Y1997" s="1"/>
      <c r="Z1997" s="1" t="s">
        <v>658</v>
      </c>
      <c r="AA1997" s="1" t="s">
        <v>46</v>
      </c>
      <c r="AB1997" s="1" t="s">
        <v>46</v>
      </c>
      <c r="AC1997" s="1" t="s">
        <v>46</v>
      </c>
      <c r="AD1997" s="1"/>
      <c r="AE1997" s="1" t="s">
        <v>641</v>
      </c>
      <c r="AF1997" s="1" t="s">
        <v>45</v>
      </c>
      <c r="AG1997" s="1">
        <v>6</v>
      </c>
      <c r="AH1997" s="1" t="s">
        <v>190</v>
      </c>
      <c r="AI1997" s="1"/>
      <c r="AJ1997" s="3">
        <v>43466.96943287037</v>
      </c>
      <c r="AK1997" s="1" t="s">
        <v>6441</v>
      </c>
    </row>
    <row r="1998" spans="1:37">
      <c r="A1998" s="1" t="str">
        <f>VLOOKUP(H1998,Languages!$A$2:$B$430,2,FALSE)</f>
        <v>Wakashan</v>
      </c>
      <c r="B1998" s="1" t="s">
        <v>1750</v>
      </c>
      <c r="C1998" s="1" t="s">
        <v>304</v>
      </c>
      <c r="D1998" s="1" t="s">
        <v>9337</v>
      </c>
      <c r="E1998" s="15" t="s">
        <v>9338</v>
      </c>
      <c r="F1998" s="15" t="s">
        <v>9339</v>
      </c>
      <c r="G1998" s="1" t="s">
        <v>9338</v>
      </c>
      <c r="H1998" s="1" t="str">
        <f>VLOOKUP(G1998,'languoid 4.0'!$A$1:$I$24439,2,FALSE)</f>
        <v>waka1280</v>
      </c>
      <c r="I1998" s="1" t="str">
        <f>VLOOKUP(G1998,'languoid 4.0'!$A$1:$I$24439,6,FALSE)</f>
        <v>language</v>
      </c>
      <c r="J1998" s="15" t="s">
        <v>52</v>
      </c>
      <c r="K1998" s="15" t="s">
        <v>368</v>
      </c>
      <c r="L1998" s="15" t="s">
        <v>368</v>
      </c>
      <c r="M1998" s="1" t="s">
        <v>9340</v>
      </c>
      <c r="N1998" s="1" t="s">
        <v>9341</v>
      </c>
      <c r="O1998" s="15" t="s">
        <v>40</v>
      </c>
      <c r="P1998" s="15" t="s">
        <v>41</v>
      </c>
      <c r="Q1998" s="1" t="s">
        <v>11444</v>
      </c>
      <c r="R1998" s="2" t="s">
        <v>11445</v>
      </c>
      <c r="S1998" s="1" t="s">
        <v>6538</v>
      </c>
      <c r="T1998" s="1" t="s">
        <v>657</v>
      </c>
      <c r="U1998" s="1" t="s">
        <v>636</v>
      </c>
      <c r="V1998" s="1" t="s">
        <v>45</v>
      </c>
      <c r="W1998" s="1"/>
      <c r="X1998" s="1"/>
      <c r="Y1998" s="1"/>
      <c r="Z1998" s="1" t="s">
        <v>658</v>
      </c>
      <c r="AA1998" s="1" t="s">
        <v>46</v>
      </c>
      <c r="AB1998" s="1" t="s">
        <v>46</v>
      </c>
      <c r="AC1998" s="1" t="s">
        <v>46</v>
      </c>
      <c r="AD1998" s="1"/>
      <c r="AE1998" s="1" t="s">
        <v>641</v>
      </c>
      <c r="AF1998" s="1" t="s">
        <v>45</v>
      </c>
      <c r="AG1998" s="1">
        <v>6</v>
      </c>
      <c r="AH1998" s="1" t="s">
        <v>190</v>
      </c>
      <c r="AI1998" s="1"/>
      <c r="AJ1998" s="3">
        <v>43466.971388888887</v>
      </c>
      <c r="AK1998" s="1" t="s">
        <v>6441</v>
      </c>
    </row>
    <row r="1999" spans="1:37">
      <c r="A1999" s="1" t="str">
        <f>VLOOKUP(H1999,Languages!$A$2:$B$430,2,FALSE)</f>
        <v>Wakashan</v>
      </c>
      <c r="B1999" s="1" t="s">
        <v>1738</v>
      </c>
      <c r="C1999" s="1" t="s">
        <v>304</v>
      </c>
      <c r="D1999" s="1" t="s">
        <v>9310</v>
      </c>
      <c r="E1999" s="15" t="s">
        <v>306</v>
      </c>
      <c r="F1999" s="15" t="s">
        <v>9311</v>
      </c>
      <c r="G1999" s="1" t="s">
        <v>306</v>
      </c>
      <c r="H1999" s="1" t="str">
        <f>VLOOKUP(G1999,'languoid 4.0'!$A$1:$I$24439,2,FALSE)</f>
        <v>waka1280</v>
      </c>
      <c r="I1999" s="1" t="str">
        <f>VLOOKUP(G1999,'languoid 4.0'!$A$1:$I$24439,6,FALSE)</f>
        <v>language</v>
      </c>
      <c r="J1999" s="15" t="s">
        <v>52</v>
      </c>
      <c r="K1999" s="15" t="s">
        <v>38</v>
      </c>
      <c r="L1999" s="15" t="s">
        <v>38</v>
      </c>
      <c r="M1999" s="1"/>
      <c r="N1999" s="1" t="s">
        <v>307</v>
      </c>
      <c r="O1999" s="15" t="s">
        <v>40</v>
      </c>
      <c r="P1999" s="15" t="s">
        <v>41</v>
      </c>
      <c r="Q1999" s="1" t="s">
        <v>9312</v>
      </c>
      <c r="R1999" s="2" t="s">
        <v>4512</v>
      </c>
      <c r="S1999" s="1" t="s">
        <v>46</v>
      </c>
      <c r="T1999" s="1" t="s">
        <v>635</v>
      </c>
      <c r="U1999" s="1" t="s">
        <v>67</v>
      </c>
      <c r="V1999" s="1" t="s">
        <v>45</v>
      </c>
      <c r="W1999" s="1"/>
      <c r="X1999" s="1"/>
      <c r="Y1999" s="1"/>
      <c r="Z1999" s="1" t="s">
        <v>658</v>
      </c>
      <c r="AA1999" s="1" t="s">
        <v>9313</v>
      </c>
      <c r="AB1999" s="1" t="s">
        <v>46</v>
      </c>
      <c r="AC1999" s="1" t="s">
        <v>46</v>
      </c>
      <c r="AD1999" s="1" t="s">
        <v>9314</v>
      </c>
      <c r="AE1999" s="1"/>
      <c r="AF1999" s="1"/>
      <c r="AG1999" s="1"/>
      <c r="AH1999" s="1" t="s">
        <v>45</v>
      </c>
      <c r="AI1999" s="1" t="s">
        <v>9315</v>
      </c>
      <c r="AJ1999" s="1" t="s">
        <v>9316</v>
      </c>
      <c r="AK1999" s="1" t="s">
        <v>6441</v>
      </c>
    </row>
    <row r="2000" spans="1:37">
      <c r="A2000" s="1" t="str">
        <f>VLOOKUP(H2000,Languages!$A$2:$B$430,2,FALSE)</f>
        <v>Wakashan</v>
      </c>
      <c r="B2000" s="1" t="s">
        <v>1738</v>
      </c>
      <c r="C2000" s="1" t="s">
        <v>304</v>
      </c>
      <c r="D2000" s="1" t="s">
        <v>11446</v>
      </c>
      <c r="E2000" s="15" t="s">
        <v>9339</v>
      </c>
      <c r="F2000" s="15" t="s">
        <v>9339</v>
      </c>
      <c r="G2000" s="1" t="s">
        <v>9338</v>
      </c>
      <c r="H2000" s="1" t="str">
        <f>VLOOKUP(G2000,'languoid 4.0'!$A$1:$I$24439,2,FALSE)</f>
        <v>waka1280</v>
      </c>
      <c r="I2000" s="1" t="str">
        <f>VLOOKUP(G2000,'languoid 4.0'!$A$1:$I$24439,6,FALSE)</f>
        <v>language</v>
      </c>
      <c r="J2000" s="15" t="s">
        <v>38</v>
      </c>
      <c r="K2000" s="15" t="s">
        <v>38</v>
      </c>
      <c r="L2000" s="15" t="s">
        <v>38</v>
      </c>
      <c r="M2000" s="1"/>
      <c r="N2000" s="1" t="s">
        <v>11447</v>
      </c>
      <c r="O2000" s="15" t="s">
        <v>40</v>
      </c>
      <c r="P2000" s="15" t="s">
        <v>41</v>
      </c>
      <c r="Q2000" s="1" t="s">
        <v>11448</v>
      </c>
      <c r="R2000" s="2" t="s">
        <v>11449</v>
      </c>
      <c r="S2000" s="1" t="s">
        <v>9468</v>
      </c>
      <c r="T2000" s="1" t="s">
        <v>657</v>
      </c>
      <c r="U2000" s="1" t="s">
        <v>636</v>
      </c>
      <c r="V2000" s="1" t="s">
        <v>45</v>
      </c>
      <c r="W2000" s="1"/>
      <c r="X2000" s="1"/>
      <c r="Y2000" s="1"/>
      <c r="Z2000" s="1" t="s">
        <v>658</v>
      </c>
      <c r="AA2000" s="1" t="s">
        <v>46</v>
      </c>
      <c r="AB2000" s="1" t="s">
        <v>46</v>
      </c>
      <c r="AC2000" s="1" t="s">
        <v>46</v>
      </c>
      <c r="AD2000" s="1"/>
      <c r="AE2000" s="1" t="s">
        <v>641</v>
      </c>
      <c r="AF2000" s="1" t="s">
        <v>45</v>
      </c>
      <c r="AG2000" s="1">
        <v>6</v>
      </c>
      <c r="AH2000" s="1" t="s">
        <v>190</v>
      </c>
      <c r="AI2000" s="1"/>
      <c r="AJ2000" s="3">
        <v>43466.974548611113</v>
      </c>
      <c r="AK2000" s="1" t="s">
        <v>6441</v>
      </c>
    </row>
    <row r="2001" spans="1:37">
      <c r="A2001" s="1" t="str">
        <f>VLOOKUP(H2001,Languages!$A$2:$B$430,2,FALSE)</f>
        <v>Wakashan</v>
      </c>
      <c r="B2001" s="1" t="s">
        <v>1738</v>
      </c>
      <c r="C2001" s="1" t="s">
        <v>304</v>
      </c>
      <c r="D2001" s="1" t="s">
        <v>9337</v>
      </c>
      <c r="E2001" s="15" t="s">
        <v>9338</v>
      </c>
      <c r="F2001" s="15" t="s">
        <v>9339</v>
      </c>
      <c r="G2001" s="1" t="s">
        <v>9338</v>
      </c>
      <c r="H2001" s="1" t="str">
        <f>VLOOKUP(G2001,'languoid 4.0'!$A$1:$I$24439,2,FALSE)</f>
        <v>waka1280</v>
      </c>
      <c r="I2001" s="1" t="str">
        <f>VLOOKUP(G2001,'languoid 4.0'!$A$1:$I$24439,6,FALSE)</f>
        <v>language</v>
      </c>
      <c r="J2001" s="15" t="s">
        <v>52</v>
      </c>
      <c r="K2001" s="15" t="s">
        <v>368</v>
      </c>
      <c r="L2001" s="15" t="s">
        <v>368</v>
      </c>
      <c r="M2001" s="1" t="s">
        <v>9340</v>
      </c>
      <c r="N2001" s="1" t="s">
        <v>9341</v>
      </c>
      <c r="O2001" s="15" t="s">
        <v>40</v>
      </c>
      <c r="P2001" s="15" t="s">
        <v>41</v>
      </c>
      <c r="Q2001" s="1" t="s">
        <v>11450</v>
      </c>
      <c r="R2001" s="2" t="s">
        <v>11451</v>
      </c>
      <c r="S2001" s="1" t="s">
        <v>6553</v>
      </c>
      <c r="T2001" s="1" t="s">
        <v>657</v>
      </c>
      <c r="U2001" s="1" t="s">
        <v>636</v>
      </c>
      <c r="V2001" s="1" t="s">
        <v>45</v>
      </c>
      <c r="W2001" s="1"/>
      <c r="X2001" s="1"/>
      <c r="Y2001" s="1"/>
      <c r="Z2001" s="1" t="s">
        <v>658</v>
      </c>
      <c r="AA2001" s="1" t="s">
        <v>46</v>
      </c>
      <c r="AB2001" s="1" t="s">
        <v>46</v>
      </c>
      <c r="AC2001" s="1" t="s">
        <v>46</v>
      </c>
      <c r="AD2001" s="1"/>
      <c r="AE2001" s="1" t="s">
        <v>641</v>
      </c>
      <c r="AF2001" s="1" t="s">
        <v>45</v>
      </c>
      <c r="AG2001" s="1">
        <v>6</v>
      </c>
      <c r="AH2001" s="1" t="s">
        <v>190</v>
      </c>
      <c r="AI2001" s="1"/>
      <c r="AJ2001" s="3">
        <v>43466.976539351854</v>
      </c>
      <c r="AK2001" s="1" t="s">
        <v>6441</v>
      </c>
    </row>
    <row r="2002" spans="1:37">
      <c r="A2002" s="1" t="str">
        <f>VLOOKUP(H2002,Languages!$A$2:$B$430,2,FALSE)</f>
        <v>Wakashan</v>
      </c>
      <c r="B2002" s="1" t="s">
        <v>1812</v>
      </c>
      <c r="C2002" s="1" t="s">
        <v>304</v>
      </c>
      <c r="D2002" s="1" t="s">
        <v>8061</v>
      </c>
      <c r="E2002" s="15" t="s">
        <v>306</v>
      </c>
      <c r="F2002" s="15" t="s">
        <v>306</v>
      </c>
      <c r="G2002" s="1" t="s">
        <v>306</v>
      </c>
      <c r="H2002" s="1" t="str">
        <f>VLOOKUP(G2002,'languoid 4.0'!$A$1:$I$24439,2,FALSE)</f>
        <v>waka1280</v>
      </c>
      <c r="I2002" s="1" t="str">
        <f>VLOOKUP(G2002,'languoid 4.0'!$A$1:$I$24439,6,FALSE)</f>
        <v>language</v>
      </c>
      <c r="J2002" s="15" t="s">
        <v>38</v>
      </c>
      <c r="K2002" s="15" t="s">
        <v>38</v>
      </c>
      <c r="L2002" s="15" t="s">
        <v>38</v>
      </c>
      <c r="M2002" s="1"/>
      <c r="N2002" s="1" t="s">
        <v>307</v>
      </c>
      <c r="O2002" s="15" t="s">
        <v>40</v>
      </c>
      <c r="P2002" s="15" t="s">
        <v>41</v>
      </c>
      <c r="Q2002" s="1" t="s">
        <v>8069</v>
      </c>
      <c r="R2002" s="2" t="s">
        <v>8070</v>
      </c>
      <c r="S2002" s="1" t="s">
        <v>236</v>
      </c>
      <c r="T2002" s="1" t="s">
        <v>657</v>
      </c>
      <c r="U2002" s="1" t="s">
        <v>636</v>
      </c>
      <c r="V2002" s="1" t="s">
        <v>45</v>
      </c>
      <c r="W2002" s="1"/>
      <c r="X2002" s="1"/>
      <c r="Y2002" s="1"/>
      <c r="Z2002" s="1" t="s">
        <v>658</v>
      </c>
      <c r="AA2002" s="1" t="s">
        <v>46</v>
      </c>
      <c r="AB2002" s="1" t="s">
        <v>46</v>
      </c>
      <c r="AC2002" s="1" t="s">
        <v>46</v>
      </c>
      <c r="AD2002" s="1"/>
      <c r="AE2002" s="1" t="s">
        <v>641</v>
      </c>
      <c r="AF2002" s="1" t="s">
        <v>45</v>
      </c>
      <c r="AG2002" s="1">
        <v>5</v>
      </c>
      <c r="AH2002" s="1" t="s">
        <v>190</v>
      </c>
      <c r="AI2002" s="1"/>
      <c r="AJ2002" s="1" t="s">
        <v>8071</v>
      </c>
      <c r="AK2002" s="1" t="s">
        <v>6441</v>
      </c>
    </row>
    <row r="2003" spans="1:37">
      <c r="A2003" s="1" t="str">
        <f>VLOOKUP(H2003,Languages!$A$2:$B$430,2,FALSE)</f>
        <v>Worrorran</v>
      </c>
      <c r="B2003" s="1" t="s">
        <v>67</v>
      </c>
      <c r="C2003" s="1" t="s">
        <v>34</v>
      </c>
      <c r="D2003" s="1" t="s">
        <v>2649</v>
      </c>
      <c r="E2003" s="15" t="s">
        <v>2650</v>
      </c>
      <c r="F2003" s="15" t="s">
        <v>180</v>
      </c>
      <c r="G2003" s="1" t="s">
        <v>2650</v>
      </c>
      <c r="H2003" s="1" t="str">
        <f>VLOOKUP(G2003,'languoid 4.0'!$A$1:$I$24439,2,FALSE)</f>
        <v>worr1236</v>
      </c>
      <c r="I2003" s="1" t="str">
        <f>VLOOKUP(G2003,'languoid 4.0'!$A$1:$I$24439,6,FALSE)</f>
        <v>language</v>
      </c>
      <c r="J2003" s="15" t="s">
        <v>52</v>
      </c>
      <c r="K2003" s="15" t="s">
        <v>52</v>
      </c>
      <c r="L2003" s="15" t="s">
        <v>52</v>
      </c>
      <c r="M2003" s="1"/>
      <c r="N2003" s="1" t="s">
        <v>2651</v>
      </c>
      <c r="O2003" s="15" t="s">
        <v>40</v>
      </c>
      <c r="P2003" s="15" t="s">
        <v>41</v>
      </c>
      <c r="Q2003" s="1" t="s">
        <v>2652</v>
      </c>
      <c r="R2003" s="2" t="s">
        <v>2646</v>
      </c>
      <c r="S2003" s="1">
        <v>5</v>
      </c>
      <c r="T2003" s="1" t="s">
        <v>1585</v>
      </c>
      <c r="U2003" s="1" t="s">
        <v>636</v>
      </c>
      <c r="V2003" s="1" t="s">
        <v>45</v>
      </c>
      <c r="W2003" s="1"/>
      <c r="X2003" s="1"/>
      <c r="Y2003" s="1"/>
      <c r="Z2003" s="1" t="s">
        <v>673</v>
      </c>
      <c r="AA2003" s="1" t="s">
        <v>46</v>
      </c>
      <c r="AB2003" s="1" t="s">
        <v>2653</v>
      </c>
      <c r="AC2003" s="1" t="s">
        <v>46</v>
      </c>
      <c r="AD2003" s="1" t="s">
        <v>2654</v>
      </c>
      <c r="AE2003" s="1"/>
      <c r="AF2003" s="1"/>
      <c r="AG2003" s="1"/>
      <c r="AH2003" s="1" t="s">
        <v>45</v>
      </c>
      <c r="AI2003" s="1"/>
      <c r="AJ2003" s="3">
        <v>43255.74628472222</v>
      </c>
      <c r="AK2003" s="1" t="s">
        <v>676</v>
      </c>
    </row>
    <row r="2004" spans="1:37">
      <c r="A2004" s="1" t="str">
        <f>VLOOKUP(H2004,Languages!$A$2:$B$430,2,FALSE)</f>
        <v>Worrorran</v>
      </c>
      <c r="B2004" s="1" t="s">
        <v>109</v>
      </c>
      <c r="C2004" s="1" t="s">
        <v>34</v>
      </c>
      <c r="D2004" s="1" t="s">
        <v>2655</v>
      </c>
      <c r="E2004" s="15" t="s">
        <v>2656</v>
      </c>
      <c r="F2004" s="15" t="s">
        <v>180</v>
      </c>
      <c r="G2004" s="1" t="s">
        <v>2656</v>
      </c>
      <c r="H2004" s="1" t="str">
        <f>VLOOKUP(G2004,'languoid 4.0'!$A$1:$I$24439,2,FALSE)</f>
        <v>worr1236</v>
      </c>
      <c r="I2004" s="1" t="str">
        <f>VLOOKUP(G2004,'languoid 4.0'!$A$1:$I$24439,6,FALSE)</f>
        <v>language</v>
      </c>
      <c r="J2004" s="15" t="s">
        <v>52</v>
      </c>
      <c r="K2004" s="15" t="s">
        <v>52</v>
      </c>
      <c r="L2004" s="15" t="s">
        <v>52</v>
      </c>
      <c r="M2004" s="1"/>
      <c r="N2004" s="1" t="s">
        <v>2657</v>
      </c>
      <c r="O2004" s="15" t="s">
        <v>40</v>
      </c>
      <c r="P2004" s="15" t="s">
        <v>41</v>
      </c>
      <c r="Q2004" s="1" t="s">
        <v>2658</v>
      </c>
      <c r="R2004" s="2" t="s">
        <v>2646</v>
      </c>
      <c r="S2004" s="1">
        <v>4</v>
      </c>
      <c r="T2004" s="1" t="s">
        <v>1585</v>
      </c>
      <c r="U2004" s="1" t="s">
        <v>636</v>
      </c>
      <c r="V2004" s="1" t="s">
        <v>45</v>
      </c>
      <c r="W2004" s="1"/>
      <c r="X2004" s="1"/>
      <c r="Y2004" s="1"/>
      <c r="Z2004" s="1" t="s">
        <v>673</v>
      </c>
      <c r="AA2004" s="1" t="s">
        <v>46</v>
      </c>
      <c r="AB2004" s="1" t="s">
        <v>2659</v>
      </c>
      <c r="AC2004" s="1" t="s">
        <v>46</v>
      </c>
      <c r="AD2004" s="1" t="s">
        <v>2654</v>
      </c>
      <c r="AE2004" s="1"/>
      <c r="AF2004" s="1"/>
      <c r="AG2004" s="1"/>
      <c r="AH2004" s="1" t="s">
        <v>45</v>
      </c>
      <c r="AI2004" s="1"/>
      <c r="AJ2004" s="3">
        <v>43255.747847222221</v>
      </c>
      <c r="AK2004" s="1" t="s">
        <v>676</v>
      </c>
    </row>
    <row r="2005" spans="1:37">
      <c r="A2005" s="1" t="str">
        <f>VLOOKUP(H2005,Languages!$A$2:$B$430,2,FALSE)</f>
        <v>Worrorran</v>
      </c>
      <c r="B2005" s="1" t="s">
        <v>1726</v>
      </c>
      <c r="C2005" s="1" t="s">
        <v>34</v>
      </c>
      <c r="D2005" s="1" t="s">
        <v>10187</v>
      </c>
      <c r="E2005" s="15" t="s">
        <v>10188</v>
      </c>
      <c r="F2005" s="15" t="s">
        <v>10188</v>
      </c>
      <c r="G2005" s="1" t="s">
        <v>10188</v>
      </c>
      <c r="H2005" s="1" t="str">
        <f>VLOOKUP(G2005,'languoid 4.0'!$A$1:$I$24439,2,FALSE)</f>
        <v>worr1236</v>
      </c>
      <c r="I2005" s="1" t="str">
        <f>VLOOKUP(G2005,'languoid 4.0'!$A$1:$I$24439,6,FALSE)</f>
        <v>language</v>
      </c>
      <c r="J2005" s="15" t="s">
        <v>38</v>
      </c>
      <c r="K2005" s="15" t="s">
        <v>38</v>
      </c>
      <c r="L2005" s="15" t="s">
        <v>38</v>
      </c>
      <c r="M2005" s="1"/>
      <c r="N2005" s="1" t="s">
        <v>10189</v>
      </c>
      <c r="O2005" s="15" t="s">
        <v>40</v>
      </c>
      <c r="P2005" s="15" t="s">
        <v>41</v>
      </c>
      <c r="Q2005" s="1" t="s">
        <v>10190</v>
      </c>
      <c r="R2005" s="2" t="s">
        <v>2767</v>
      </c>
      <c r="S2005" s="1" t="s">
        <v>9854</v>
      </c>
      <c r="T2005" s="1" t="s">
        <v>657</v>
      </c>
      <c r="U2005" s="1" t="s">
        <v>109</v>
      </c>
      <c r="V2005" s="1" t="s">
        <v>45</v>
      </c>
      <c r="W2005" s="1"/>
      <c r="X2005" s="1"/>
      <c r="Y2005" s="1"/>
      <c r="Z2005" s="1" t="s">
        <v>673</v>
      </c>
      <c r="AA2005" s="1" t="s">
        <v>10191</v>
      </c>
      <c r="AB2005" s="1" t="s">
        <v>10192</v>
      </c>
      <c r="AC2005" s="1" t="s">
        <v>46</v>
      </c>
      <c r="AD2005" s="1"/>
      <c r="AE2005" s="1"/>
      <c r="AF2005" s="1"/>
      <c r="AG2005" s="1"/>
      <c r="AH2005" s="1" t="s">
        <v>45</v>
      </c>
      <c r="AI2005" s="1"/>
      <c r="AJ2005" s="1" t="s">
        <v>10193</v>
      </c>
      <c r="AK2005" s="1" t="s">
        <v>9537</v>
      </c>
    </row>
    <row r="2006" spans="1:37">
      <c r="A2006" s="1" t="str">
        <f>VLOOKUP(H2006,Languages!$A$2:$B$430,2,FALSE)</f>
        <v>Worrorran</v>
      </c>
      <c r="B2006" s="1" t="s">
        <v>1812</v>
      </c>
      <c r="C2006" s="1" t="s">
        <v>34</v>
      </c>
      <c r="D2006" s="1" t="s">
        <v>2945</v>
      </c>
      <c r="E2006" s="15" t="s">
        <v>2650</v>
      </c>
      <c r="F2006" s="15" t="s">
        <v>51</v>
      </c>
      <c r="G2006" s="1" t="s">
        <v>2650</v>
      </c>
      <c r="H2006" s="1" t="str">
        <f>VLOOKUP(G2006,'languoid 4.0'!$A$1:$I$24439,2,FALSE)</f>
        <v>worr1236</v>
      </c>
      <c r="I2006" s="1" t="str">
        <f>VLOOKUP(G2006,'languoid 4.0'!$A$1:$I$24439,6,FALSE)</f>
        <v>language</v>
      </c>
      <c r="J2006" s="15" t="s">
        <v>52</v>
      </c>
      <c r="K2006" s="15" t="s">
        <v>51</v>
      </c>
      <c r="L2006" s="15" t="s">
        <v>51</v>
      </c>
      <c r="M2006" s="1"/>
      <c r="N2006" s="1" t="s">
        <v>2651</v>
      </c>
      <c r="O2006" s="15" t="s">
        <v>40</v>
      </c>
      <c r="P2006" s="15" t="s">
        <v>41</v>
      </c>
      <c r="Q2006" s="1" t="s">
        <v>2946</v>
      </c>
      <c r="R2006" s="2" t="s">
        <v>2947</v>
      </c>
      <c r="S2006" s="1" t="s">
        <v>1200</v>
      </c>
      <c r="T2006" s="1" t="s">
        <v>2948</v>
      </c>
      <c r="U2006" s="1" t="s">
        <v>636</v>
      </c>
      <c r="V2006" s="1" t="s">
        <v>45</v>
      </c>
      <c r="W2006" s="1"/>
      <c r="X2006" s="1"/>
      <c r="Y2006" s="1"/>
      <c r="Z2006" s="1" t="s">
        <v>637</v>
      </c>
      <c r="AA2006" s="1" t="s">
        <v>46</v>
      </c>
      <c r="AB2006" s="1" t="s">
        <v>2949</v>
      </c>
      <c r="AC2006" s="1" t="s">
        <v>46</v>
      </c>
      <c r="AD2006" s="1"/>
      <c r="AE2006" s="1" t="s">
        <v>641</v>
      </c>
      <c r="AF2006" s="1" t="s">
        <v>190</v>
      </c>
      <c r="AG2006" s="1">
        <v>5</v>
      </c>
      <c r="AH2006" s="1" t="s">
        <v>190</v>
      </c>
      <c r="AI2006" s="1"/>
      <c r="AJ2006" s="1" t="s">
        <v>2950</v>
      </c>
      <c r="AK2006" s="1" t="s">
        <v>676</v>
      </c>
    </row>
    <row r="2007" spans="1:37">
      <c r="A2007" s="1" t="str">
        <f>VLOOKUP(H2007,Languages!$A$2:$B$430,2,FALSE)</f>
        <v>Worrorran</v>
      </c>
      <c r="B2007" s="1" t="s">
        <v>1812</v>
      </c>
      <c r="C2007" s="1" t="s">
        <v>34</v>
      </c>
      <c r="D2007" s="1" t="s">
        <v>2945</v>
      </c>
      <c r="E2007" s="15" t="s">
        <v>2650</v>
      </c>
      <c r="F2007" s="15" t="s">
        <v>51</v>
      </c>
      <c r="G2007" s="1" t="s">
        <v>2650</v>
      </c>
      <c r="H2007" s="1" t="str">
        <f>VLOOKUP(G2007,'languoid 4.0'!$A$1:$I$24439,2,FALSE)</f>
        <v>worr1236</v>
      </c>
      <c r="I2007" s="1" t="str">
        <f>VLOOKUP(G2007,'languoid 4.0'!$A$1:$I$24439,6,FALSE)</f>
        <v>language</v>
      </c>
      <c r="J2007" s="15" t="s">
        <v>52</v>
      </c>
      <c r="K2007" s="15" t="s">
        <v>51</v>
      </c>
      <c r="L2007" s="15" t="s">
        <v>51</v>
      </c>
      <c r="M2007" s="1"/>
      <c r="N2007" s="1" t="s">
        <v>2651</v>
      </c>
      <c r="O2007" s="15" t="s">
        <v>40</v>
      </c>
      <c r="P2007" s="15" t="s">
        <v>41</v>
      </c>
      <c r="Q2007" s="1" t="s">
        <v>2951</v>
      </c>
      <c r="R2007" s="2" t="s">
        <v>2947</v>
      </c>
      <c r="S2007" s="1" t="s">
        <v>1202</v>
      </c>
      <c r="T2007" s="1" t="s">
        <v>2948</v>
      </c>
      <c r="U2007" s="1" t="s">
        <v>636</v>
      </c>
      <c r="V2007" s="1" t="s">
        <v>45</v>
      </c>
      <c r="W2007" s="1"/>
      <c r="X2007" s="1"/>
      <c r="Y2007" s="1"/>
      <c r="Z2007" s="1" t="s">
        <v>673</v>
      </c>
      <c r="AA2007" s="1" t="s">
        <v>46</v>
      </c>
      <c r="AB2007" s="1" t="s">
        <v>2949</v>
      </c>
      <c r="AC2007" s="1" t="s">
        <v>46</v>
      </c>
      <c r="AD2007" s="1"/>
      <c r="AE2007" s="1" t="s">
        <v>641</v>
      </c>
      <c r="AF2007" s="1" t="s">
        <v>190</v>
      </c>
      <c r="AG2007" s="1">
        <v>6</v>
      </c>
      <c r="AH2007" s="1" t="s">
        <v>190</v>
      </c>
      <c r="AI2007" s="1"/>
      <c r="AJ2007" s="1" t="s">
        <v>2952</v>
      </c>
      <c r="AK2007" s="1" t="s">
        <v>676</v>
      </c>
    </row>
    <row r="2008" spans="1:37">
      <c r="A2008" s="1" t="str">
        <f>VLOOKUP(H2008,Languages!$A$2:$B$430,2,FALSE)</f>
        <v>Worrorran</v>
      </c>
      <c r="B2008" s="1" t="s">
        <v>1812</v>
      </c>
      <c r="C2008" s="1" t="s">
        <v>34</v>
      </c>
      <c r="D2008" s="1" t="s">
        <v>2945</v>
      </c>
      <c r="E2008" s="15" t="s">
        <v>2650</v>
      </c>
      <c r="F2008" s="15" t="s">
        <v>51</v>
      </c>
      <c r="G2008" s="1" t="s">
        <v>2650</v>
      </c>
      <c r="H2008" s="1" t="str">
        <f>VLOOKUP(G2008,'languoid 4.0'!$A$1:$I$24439,2,FALSE)</f>
        <v>worr1236</v>
      </c>
      <c r="I2008" s="1" t="str">
        <f>VLOOKUP(G2008,'languoid 4.0'!$A$1:$I$24439,6,FALSE)</f>
        <v>language</v>
      </c>
      <c r="J2008" s="15" t="s">
        <v>52</v>
      </c>
      <c r="K2008" s="15" t="s">
        <v>51</v>
      </c>
      <c r="L2008" s="15" t="s">
        <v>51</v>
      </c>
      <c r="M2008" s="1"/>
      <c r="N2008" s="1" t="s">
        <v>2651</v>
      </c>
      <c r="O2008" s="15" t="s">
        <v>40</v>
      </c>
      <c r="P2008" s="15" t="s">
        <v>41</v>
      </c>
      <c r="Q2008" s="1" t="s">
        <v>2953</v>
      </c>
      <c r="R2008" s="2" t="s">
        <v>2947</v>
      </c>
      <c r="S2008" s="1" t="s">
        <v>73</v>
      </c>
      <c r="T2008" s="1" t="s">
        <v>2948</v>
      </c>
      <c r="U2008" s="1" t="s">
        <v>636</v>
      </c>
      <c r="V2008" s="1" t="s">
        <v>45</v>
      </c>
      <c r="W2008" s="1"/>
      <c r="X2008" s="1"/>
      <c r="Y2008" s="1"/>
      <c r="Z2008" s="1" t="s">
        <v>673</v>
      </c>
      <c r="AA2008" s="1" t="s">
        <v>46</v>
      </c>
      <c r="AB2008" s="1" t="s">
        <v>2949</v>
      </c>
      <c r="AC2008" s="1" t="s">
        <v>46</v>
      </c>
      <c r="AD2008" s="1"/>
      <c r="AE2008" s="1" t="s">
        <v>641</v>
      </c>
      <c r="AF2008" s="1" t="s">
        <v>190</v>
      </c>
      <c r="AG2008" s="1">
        <v>6</v>
      </c>
      <c r="AH2008" s="1" t="s">
        <v>190</v>
      </c>
      <c r="AI2008" s="1"/>
      <c r="AJ2008" s="1" t="s">
        <v>2954</v>
      </c>
      <c r="AK2008" s="1" t="s">
        <v>676</v>
      </c>
    </row>
    <row r="2009" spans="1:37">
      <c r="A2009" s="1" t="str">
        <f>VLOOKUP(H2009,Languages!$A$2:$B$430,2,FALSE)</f>
        <v>Worrorran</v>
      </c>
      <c r="B2009" s="1" t="s">
        <v>1812</v>
      </c>
      <c r="C2009" s="1" t="s">
        <v>34</v>
      </c>
      <c r="D2009" s="1" t="s">
        <v>2945</v>
      </c>
      <c r="E2009" s="15" t="s">
        <v>2650</v>
      </c>
      <c r="F2009" s="15" t="s">
        <v>51</v>
      </c>
      <c r="G2009" s="1" t="s">
        <v>2650</v>
      </c>
      <c r="H2009" s="1" t="str">
        <f>VLOOKUP(G2009,'languoid 4.0'!$A$1:$I$24439,2,FALSE)</f>
        <v>worr1236</v>
      </c>
      <c r="I2009" s="1" t="str">
        <f>VLOOKUP(G2009,'languoid 4.0'!$A$1:$I$24439,6,FALSE)</f>
        <v>language</v>
      </c>
      <c r="J2009" s="15" t="s">
        <v>52</v>
      </c>
      <c r="K2009" s="15" t="s">
        <v>51</v>
      </c>
      <c r="L2009" s="15" t="s">
        <v>51</v>
      </c>
      <c r="M2009" s="1"/>
      <c r="N2009" s="1" t="s">
        <v>2651</v>
      </c>
      <c r="O2009" s="15" t="s">
        <v>40</v>
      </c>
      <c r="P2009" s="15" t="s">
        <v>41</v>
      </c>
      <c r="Q2009" s="1" t="s">
        <v>2955</v>
      </c>
      <c r="R2009" s="2" t="s">
        <v>2947</v>
      </c>
      <c r="S2009" s="1" t="s">
        <v>1205</v>
      </c>
      <c r="T2009" s="1" t="s">
        <v>2948</v>
      </c>
      <c r="U2009" s="1" t="s">
        <v>636</v>
      </c>
      <c r="V2009" s="1" t="s">
        <v>45</v>
      </c>
      <c r="W2009" s="1"/>
      <c r="X2009" s="1"/>
      <c r="Y2009" s="1"/>
      <c r="Z2009" s="1" t="s">
        <v>673</v>
      </c>
      <c r="AA2009" s="1" t="s">
        <v>46</v>
      </c>
      <c r="AB2009" s="1" t="s">
        <v>2949</v>
      </c>
      <c r="AC2009" s="1" t="s">
        <v>46</v>
      </c>
      <c r="AD2009" s="1"/>
      <c r="AE2009" s="1" t="s">
        <v>641</v>
      </c>
      <c r="AF2009" s="1" t="s">
        <v>190</v>
      </c>
      <c r="AG2009" s="1">
        <v>6</v>
      </c>
      <c r="AH2009" s="1" t="s">
        <v>190</v>
      </c>
      <c r="AI2009" s="1"/>
      <c r="AJ2009" s="1" t="s">
        <v>2956</v>
      </c>
      <c r="AK2009" s="1" t="s">
        <v>676</v>
      </c>
    </row>
    <row r="2010" spans="1:37">
      <c r="A2010" s="1" t="str">
        <f>VLOOKUP(H2010,Languages!$A$2:$B$430,2,FALSE)</f>
        <v>Worrorran</v>
      </c>
      <c r="B2010" s="1" t="s">
        <v>1812</v>
      </c>
      <c r="C2010" s="1" t="s">
        <v>34</v>
      </c>
      <c r="D2010" s="1" t="s">
        <v>2945</v>
      </c>
      <c r="E2010" s="15" t="s">
        <v>2650</v>
      </c>
      <c r="F2010" s="15" t="s">
        <v>51</v>
      </c>
      <c r="G2010" s="1" t="s">
        <v>2650</v>
      </c>
      <c r="H2010" s="1" t="str">
        <f>VLOOKUP(G2010,'languoid 4.0'!$A$1:$I$24439,2,FALSE)</f>
        <v>worr1236</v>
      </c>
      <c r="I2010" s="1" t="str">
        <f>VLOOKUP(G2010,'languoid 4.0'!$A$1:$I$24439,6,FALSE)</f>
        <v>language</v>
      </c>
      <c r="J2010" s="15" t="s">
        <v>52</v>
      </c>
      <c r="K2010" s="15" t="s">
        <v>51</v>
      </c>
      <c r="L2010" s="15" t="s">
        <v>51</v>
      </c>
      <c r="M2010" s="1"/>
      <c r="N2010" s="1" t="s">
        <v>2651</v>
      </c>
      <c r="O2010" s="15" t="s">
        <v>40</v>
      </c>
      <c r="P2010" s="15" t="s">
        <v>41</v>
      </c>
      <c r="Q2010" s="1" t="s">
        <v>2957</v>
      </c>
      <c r="R2010" s="2" t="s">
        <v>2947</v>
      </c>
      <c r="S2010" s="1" t="s">
        <v>328</v>
      </c>
      <c r="T2010" s="1" t="s">
        <v>2948</v>
      </c>
      <c r="U2010" s="1" t="s">
        <v>636</v>
      </c>
      <c r="V2010" s="1" t="s">
        <v>45</v>
      </c>
      <c r="W2010" s="1"/>
      <c r="X2010" s="1"/>
      <c r="Y2010" s="1"/>
      <c r="Z2010" s="1" t="s">
        <v>673</v>
      </c>
      <c r="AA2010" s="1" t="s">
        <v>46</v>
      </c>
      <c r="AB2010" s="1" t="s">
        <v>2958</v>
      </c>
      <c r="AC2010" s="1" t="s">
        <v>46</v>
      </c>
      <c r="AD2010" s="1"/>
      <c r="AE2010" s="1" t="s">
        <v>641</v>
      </c>
      <c r="AF2010" s="1" t="s">
        <v>190</v>
      </c>
      <c r="AG2010" s="1">
        <v>6</v>
      </c>
      <c r="AH2010" s="1" t="s">
        <v>190</v>
      </c>
      <c r="AI2010" s="1"/>
      <c r="AJ2010" s="1" t="s">
        <v>2959</v>
      </c>
      <c r="AK2010" s="1" t="s">
        <v>676</v>
      </c>
    </row>
    <row r="2011" spans="1:37">
      <c r="A2011" s="1" t="str">
        <f>VLOOKUP(H2011,Languages!$A$2:$B$430,2,FALSE)</f>
        <v>Worrorran</v>
      </c>
      <c r="B2011" s="1" t="s">
        <v>1812</v>
      </c>
      <c r="C2011" s="1" t="s">
        <v>34</v>
      </c>
      <c r="D2011" s="1" t="s">
        <v>2945</v>
      </c>
      <c r="E2011" s="15" t="s">
        <v>2650</v>
      </c>
      <c r="F2011" s="15" t="s">
        <v>51</v>
      </c>
      <c r="G2011" s="1" t="s">
        <v>2650</v>
      </c>
      <c r="H2011" s="1" t="str">
        <f>VLOOKUP(G2011,'languoid 4.0'!$A$1:$I$24439,2,FALSE)</f>
        <v>worr1236</v>
      </c>
      <c r="I2011" s="1" t="str">
        <f>VLOOKUP(G2011,'languoid 4.0'!$A$1:$I$24439,6,FALSE)</f>
        <v>language</v>
      </c>
      <c r="J2011" s="15" t="s">
        <v>52</v>
      </c>
      <c r="K2011" s="15" t="s">
        <v>51</v>
      </c>
      <c r="L2011" s="15" t="s">
        <v>51</v>
      </c>
      <c r="M2011" s="1"/>
      <c r="N2011" s="1" t="s">
        <v>2651</v>
      </c>
      <c r="O2011" s="15" t="s">
        <v>40</v>
      </c>
      <c r="P2011" s="15" t="s">
        <v>41</v>
      </c>
      <c r="Q2011" s="1" t="s">
        <v>2960</v>
      </c>
      <c r="R2011" s="2" t="s">
        <v>2947</v>
      </c>
      <c r="S2011" s="1" t="s">
        <v>2961</v>
      </c>
      <c r="T2011" s="1" t="s">
        <v>2948</v>
      </c>
      <c r="U2011" s="1" t="s">
        <v>636</v>
      </c>
      <c r="V2011" s="1" t="s">
        <v>45</v>
      </c>
      <c r="W2011" s="1"/>
      <c r="X2011" s="1"/>
      <c r="Y2011" s="1"/>
      <c r="Z2011" s="1" t="s">
        <v>673</v>
      </c>
      <c r="AA2011" s="1" t="s">
        <v>46</v>
      </c>
      <c r="AB2011" s="1" t="s">
        <v>2958</v>
      </c>
      <c r="AC2011" s="1" t="s">
        <v>46</v>
      </c>
      <c r="AD2011" s="1"/>
      <c r="AE2011" s="1" t="s">
        <v>641</v>
      </c>
      <c r="AF2011" s="1" t="s">
        <v>190</v>
      </c>
      <c r="AG2011" s="1">
        <v>6</v>
      </c>
      <c r="AH2011" s="1" t="s">
        <v>190</v>
      </c>
      <c r="AI2011" s="1"/>
      <c r="AJ2011" s="1" t="s">
        <v>2962</v>
      </c>
      <c r="AK2011" s="1" t="s">
        <v>676</v>
      </c>
    </row>
    <row r="2012" spans="1:37">
      <c r="A2012" s="1" t="str">
        <f>VLOOKUP(H2012,Languages!$A$2:$B$430,2,FALSE)</f>
        <v>Worrorran</v>
      </c>
      <c r="B2012" s="1" t="s">
        <v>1812</v>
      </c>
      <c r="C2012" s="1" t="s">
        <v>34</v>
      </c>
      <c r="D2012" s="1" t="s">
        <v>2945</v>
      </c>
      <c r="E2012" s="15" t="s">
        <v>2650</v>
      </c>
      <c r="F2012" s="15" t="s">
        <v>51</v>
      </c>
      <c r="G2012" s="1" t="s">
        <v>2650</v>
      </c>
      <c r="H2012" s="1" t="str">
        <f>VLOOKUP(G2012,'languoid 4.0'!$A$1:$I$24439,2,FALSE)</f>
        <v>worr1236</v>
      </c>
      <c r="I2012" s="1" t="str">
        <f>VLOOKUP(G2012,'languoid 4.0'!$A$1:$I$24439,6,FALSE)</f>
        <v>language</v>
      </c>
      <c r="J2012" s="15" t="s">
        <v>52</v>
      </c>
      <c r="K2012" s="15" t="s">
        <v>51</v>
      </c>
      <c r="L2012" s="15" t="s">
        <v>51</v>
      </c>
      <c r="M2012" s="1"/>
      <c r="N2012" s="1" t="s">
        <v>2651</v>
      </c>
      <c r="O2012" s="15" t="s">
        <v>40</v>
      </c>
      <c r="P2012" s="15" t="s">
        <v>41</v>
      </c>
      <c r="Q2012" s="1" t="s">
        <v>2971</v>
      </c>
      <c r="R2012" s="2" t="s">
        <v>2947</v>
      </c>
      <c r="S2012" s="1" t="s">
        <v>146</v>
      </c>
      <c r="T2012" s="1" t="s">
        <v>635</v>
      </c>
      <c r="U2012" s="1" t="s">
        <v>636</v>
      </c>
      <c r="V2012" s="1" t="s">
        <v>45</v>
      </c>
      <c r="W2012" s="1"/>
      <c r="X2012" s="1"/>
      <c r="Y2012" s="1"/>
      <c r="Z2012" s="1" t="s">
        <v>673</v>
      </c>
      <c r="AA2012" s="1" t="s">
        <v>46</v>
      </c>
      <c r="AB2012" s="1" t="s">
        <v>2958</v>
      </c>
      <c r="AC2012" s="1" t="s">
        <v>46</v>
      </c>
      <c r="AD2012" s="1"/>
      <c r="AE2012" s="1" t="s">
        <v>641</v>
      </c>
      <c r="AF2012" s="1" t="s">
        <v>190</v>
      </c>
      <c r="AG2012" s="1">
        <v>6</v>
      </c>
      <c r="AH2012" s="1" t="s">
        <v>190</v>
      </c>
      <c r="AI2012" s="1"/>
      <c r="AJ2012" s="1" t="s">
        <v>2972</v>
      </c>
      <c r="AK2012" s="1" t="s">
        <v>676</v>
      </c>
    </row>
    <row r="2013" spans="1:37">
      <c r="A2013" s="1" t="str">
        <f>VLOOKUP(H2013,Languages!$A$2:$B$430,2,FALSE)</f>
        <v>Yanomamic</v>
      </c>
      <c r="B2013" s="1" t="s">
        <v>652</v>
      </c>
      <c r="C2013" s="1" t="s">
        <v>477</v>
      </c>
      <c r="D2013" s="1" t="s">
        <v>6097</v>
      </c>
      <c r="E2013" s="15" t="s">
        <v>6098</v>
      </c>
      <c r="F2013" s="15" t="s">
        <v>51</v>
      </c>
      <c r="G2013" s="1" t="s">
        <v>6098</v>
      </c>
      <c r="H2013" s="1" t="str">
        <f>VLOOKUP(G2013,'languoid 4.0'!$A$1:$I$24439,2,FALSE)</f>
        <v>yano1268</v>
      </c>
      <c r="I2013" s="1" t="str">
        <f>VLOOKUP(G2013,'languoid 4.0'!$A$1:$I$24439,6,FALSE)</f>
        <v>language</v>
      </c>
      <c r="J2013" s="15" t="s">
        <v>52</v>
      </c>
      <c r="K2013" s="15" t="s">
        <v>51</v>
      </c>
      <c r="L2013" s="15" t="s">
        <v>51</v>
      </c>
      <c r="M2013" s="1"/>
      <c r="N2013" s="1" t="s">
        <v>6099</v>
      </c>
      <c r="O2013" s="15" t="s">
        <v>40</v>
      </c>
      <c r="P2013" s="15" t="s">
        <v>41</v>
      </c>
      <c r="Q2013" s="1" t="s">
        <v>6194</v>
      </c>
      <c r="R2013" s="2" t="s">
        <v>6195</v>
      </c>
      <c r="S2013" s="1">
        <v>1</v>
      </c>
      <c r="T2013" s="1" t="s">
        <v>2967</v>
      </c>
      <c r="U2013" s="1" t="s">
        <v>636</v>
      </c>
      <c r="V2013" s="1" t="s">
        <v>45</v>
      </c>
      <c r="W2013" s="1"/>
      <c r="X2013" s="1"/>
      <c r="Y2013" s="1"/>
      <c r="Z2013" s="1" t="s">
        <v>673</v>
      </c>
      <c r="AA2013" s="1" t="s">
        <v>46</v>
      </c>
      <c r="AB2013" s="1" t="s">
        <v>6196</v>
      </c>
      <c r="AC2013" s="1" t="s">
        <v>46</v>
      </c>
      <c r="AD2013" s="1"/>
      <c r="AE2013" s="1"/>
      <c r="AF2013" s="1"/>
      <c r="AG2013" s="1"/>
      <c r="AH2013" s="1" t="s">
        <v>45</v>
      </c>
      <c r="AI2013" s="1" t="s">
        <v>6197</v>
      </c>
      <c r="AJ2013" s="3">
        <v>43166.426655092589</v>
      </c>
      <c r="AK2013" s="1" t="s">
        <v>5678</v>
      </c>
    </row>
    <row r="2014" spans="1:37">
      <c r="A2014" s="1" t="str">
        <f>VLOOKUP(H2014,Languages!$A$2:$B$430,2,FALSE)</f>
        <v>Yanomamic</v>
      </c>
      <c r="B2014" s="1" t="s">
        <v>1707</v>
      </c>
      <c r="C2014" s="1" t="s">
        <v>477</v>
      </c>
      <c r="D2014" s="1" t="s">
        <v>6097</v>
      </c>
      <c r="E2014" s="15" t="s">
        <v>6098</v>
      </c>
      <c r="F2014" s="15" t="s">
        <v>6098</v>
      </c>
      <c r="G2014" s="1" t="s">
        <v>6098</v>
      </c>
      <c r="H2014" s="1" t="str">
        <f>VLOOKUP(G2014,'languoid 4.0'!$A$1:$I$24439,2,FALSE)</f>
        <v>yano1268</v>
      </c>
      <c r="I2014" s="1" t="str">
        <f>VLOOKUP(G2014,'languoid 4.0'!$A$1:$I$24439,6,FALSE)</f>
        <v>language</v>
      </c>
      <c r="J2014" s="15" t="s">
        <v>38</v>
      </c>
      <c r="K2014" s="15" t="s">
        <v>38</v>
      </c>
      <c r="L2014" s="15" t="s">
        <v>38</v>
      </c>
      <c r="M2014" s="1"/>
      <c r="N2014" s="1" t="s">
        <v>6099</v>
      </c>
      <c r="O2014" s="15" t="s">
        <v>40</v>
      </c>
      <c r="P2014" s="15" t="s">
        <v>41</v>
      </c>
      <c r="Q2014" s="1" t="s">
        <v>6100</v>
      </c>
      <c r="R2014" s="2" t="s">
        <v>6101</v>
      </c>
      <c r="S2014" s="1" t="s">
        <v>6102</v>
      </c>
      <c r="T2014" s="1" t="s">
        <v>657</v>
      </c>
      <c r="U2014" s="1" t="s">
        <v>636</v>
      </c>
      <c r="V2014" s="1" t="s">
        <v>45</v>
      </c>
      <c r="W2014" s="1"/>
      <c r="X2014" s="1"/>
      <c r="Y2014" s="1"/>
      <c r="Z2014" s="1" t="s">
        <v>673</v>
      </c>
      <c r="AA2014" s="1" t="s">
        <v>46</v>
      </c>
      <c r="AB2014" s="1" t="s">
        <v>6103</v>
      </c>
      <c r="AC2014" s="1" t="s">
        <v>6104</v>
      </c>
      <c r="AD2014" s="1"/>
      <c r="AE2014" s="1" t="s">
        <v>641</v>
      </c>
      <c r="AF2014" s="1" t="s">
        <v>190</v>
      </c>
      <c r="AG2014" s="1">
        <v>3</v>
      </c>
      <c r="AH2014" s="1" t="s">
        <v>190</v>
      </c>
      <c r="AI2014" s="1"/>
      <c r="AJ2014" s="3">
        <v>43138.47179398148</v>
      </c>
      <c r="AK2014" s="1" t="s">
        <v>5678</v>
      </c>
    </row>
    <row r="2015" spans="1:37">
      <c r="A2015" s="1" t="str">
        <f>VLOOKUP(H2015,Languages!$A$2:$B$430,2,FALSE)</f>
        <v>Yokutsan</v>
      </c>
      <c r="B2015" s="1" t="s">
        <v>652</v>
      </c>
      <c r="C2015" s="1" t="s">
        <v>304</v>
      </c>
      <c r="D2015" s="1" t="s">
        <v>9346</v>
      </c>
      <c r="E2015" s="15" t="s">
        <v>9347</v>
      </c>
      <c r="F2015" s="15" t="s">
        <v>9348</v>
      </c>
      <c r="G2015" s="1" t="s">
        <v>9347</v>
      </c>
      <c r="H2015" s="1" t="str">
        <f>VLOOKUP(G2015,'languoid 4.0'!$A$1:$I$24439,2,FALSE)</f>
        <v>yoku1255</v>
      </c>
      <c r="I2015" s="1" t="str">
        <f>VLOOKUP(G2015,'languoid 4.0'!$A$1:$I$24439,6,FALSE)</f>
        <v>dialect</v>
      </c>
      <c r="J2015" s="15" t="s">
        <v>52</v>
      </c>
      <c r="K2015" s="15" t="s">
        <v>368</v>
      </c>
      <c r="L2015" s="15" t="s">
        <v>38</v>
      </c>
      <c r="M2015" s="1"/>
      <c r="N2015" s="1"/>
      <c r="O2015" s="15" t="s">
        <v>40</v>
      </c>
      <c r="P2015" s="15" t="s">
        <v>41</v>
      </c>
      <c r="Q2015" s="1" t="s">
        <v>9349</v>
      </c>
      <c r="R2015" s="2" t="s">
        <v>4512</v>
      </c>
      <c r="S2015" s="1" t="s">
        <v>46</v>
      </c>
      <c r="T2015" s="1" t="s">
        <v>635</v>
      </c>
      <c r="U2015" s="1" t="s">
        <v>636</v>
      </c>
      <c r="V2015" s="1" t="s">
        <v>45</v>
      </c>
      <c r="W2015" s="1"/>
      <c r="X2015" s="1"/>
      <c r="Y2015" s="1"/>
      <c r="Z2015" s="1" t="s">
        <v>658</v>
      </c>
      <c r="AA2015" s="1" t="s">
        <v>9350</v>
      </c>
      <c r="AB2015" s="1" t="s">
        <v>46</v>
      </c>
      <c r="AC2015" s="1" t="s">
        <v>46</v>
      </c>
      <c r="AD2015" s="1" t="s">
        <v>9351</v>
      </c>
      <c r="AE2015" s="1"/>
      <c r="AF2015" s="1"/>
      <c r="AG2015" s="1"/>
      <c r="AH2015" s="1" t="s">
        <v>45</v>
      </c>
      <c r="AI2015" s="1" t="s">
        <v>6440</v>
      </c>
      <c r="AJ2015" s="1" t="s">
        <v>9352</v>
      </c>
      <c r="AK2015" s="1" t="s">
        <v>6441</v>
      </c>
    </row>
    <row r="2016" spans="1:37">
      <c r="A2016" s="1" t="str">
        <f>VLOOKUP(H2016,Languages!$A$2:$B$430,2,FALSE)</f>
        <v>Yukaghir</v>
      </c>
      <c r="B2016" s="1" t="s">
        <v>67</v>
      </c>
      <c r="C2016" s="1" t="s">
        <v>317</v>
      </c>
      <c r="D2016" s="1" t="s">
        <v>2062</v>
      </c>
      <c r="E2016" s="15" t="s">
        <v>2063</v>
      </c>
      <c r="F2016" s="15" t="s">
        <v>2064</v>
      </c>
      <c r="G2016" s="1" t="s">
        <v>2063</v>
      </c>
      <c r="H2016" s="1" t="str">
        <f>VLOOKUP(G2016,'languoid 4.0'!$A$1:$I$24439,2,FALSE)</f>
        <v>yuka1259</v>
      </c>
      <c r="I2016" s="1" t="str">
        <f>VLOOKUP(G2016,'languoid 4.0'!$A$1:$I$24439,6,FALSE)</f>
        <v>language</v>
      </c>
      <c r="J2016" s="15" t="s">
        <v>52</v>
      </c>
      <c r="K2016" s="15" t="s">
        <v>38</v>
      </c>
      <c r="L2016" s="15" t="s">
        <v>38</v>
      </c>
      <c r="M2016" s="1"/>
      <c r="N2016" s="1" t="s">
        <v>2065</v>
      </c>
      <c r="O2016" s="15" t="s">
        <v>40</v>
      </c>
      <c r="P2016" s="15" t="s">
        <v>41</v>
      </c>
      <c r="Q2016" s="1" t="s">
        <v>2066</v>
      </c>
      <c r="R2016" s="2" t="s">
        <v>2067</v>
      </c>
      <c r="S2016" s="1" t="s">
        <v>46</v>
      </c>
      <c r="T2016" s="1" t="s">
        <v>635</v>
      </c>
      <c r="U2016" s="1" t="s">
        <v>636</v>
      </c>
      <c r="V2016" s="1" t="s">
        <v>45</v>
      </c>
      <c r="W2016" s="1"/>
      <c r="X2016" s="1"/>
      <c r="Y2016" s="1"/>
      <c r="Z2016" s="1" t="s">
        <v>658</v>
      </c>
      <c r="AA2016" s="1" t="s">
        <v>2068</v>
      </c>
      <c r="AB2016" s="1" t="s">
        <v>46</v>
      </c>
      <c r="AC2016" s="1" t="s">
        <v>46</v>
      </c>
      <c r="AD2016" s="1"/>
      <c r="AE2016" s="1" t="s">
        <v>641</v>
      </c>
      <c r="AF2016" s="1" t="s">
        <v>190</v>
      </c>
      <c r="AG2016" s="1">
        <v>2</v>
      </c>
      <c r="AH2016" s="1" t="s">
        <v>190</v>
      </c>
      <c r="AI2016" s="1"/>
      <c r="AJ2016" s="1" t="s">
        <v>2069</v>
      </c>
      <c r="AK2016" s="1" t="s">
        <v>2040</v>
      </c>
    </row>
    <row r="2017" spans="1:37">
      <c r="A2017" s="1" t="str">
        <f>VLOOKUP(H2017,Languages!$A$2:$B$430,2,FALSE)</f>
        <v>Yukaghir</v>
      </c>
      <c r="B2017" s="1" t="s">
        <v>67</v>
      </c>
      <c r="C2017" s="1" t="s">
        <v>317</v>
      </c>
      <c r="D2017" s="1" t="s">
        <v>2062</v>
      </c>
      <c r="E2017" s="15" t="s">
        <v>2063</v>
      </c>
      <c r="F2017" s="15" t="s">
        <v>5866</v>
      </c>
      <c r="G2017" s="1" t="s">
        <v>2063</v>
      </c>
      <c r="H2017" s="1" t="str">
        <f>VLOOKUP(G2017,'languoid 4.0'!$A$1:$I$24439,2,FALSE)</f>
        <v>yuka1259</v>
      </c>
      <c r="I2017" s="1" t="str">
        <f>VLOOKUP(G2017,'languoid 4.0'!$A$1:$I$24439,6,FALSE)</f>
        <v>language</v>
      </c>
      <c r="J2017" s="15" t="s">
        <v>52</v>
      </c>
      <c r="K2017" s="15" t="s">
        <v>368</v>
      </c>
      <c r="L2017" s="15" t="s">
        <v>368</v>
      </c>
      <c r="M2017" s="1" t="s">
        <v>616</v>
      </c>
      <c r="N2017" s="1" t="s">
        <v>2065</v>
      </c>
      <c r="O2017" s="15" t="s">
        <v>40</v>
      </c>
      <c r="P2017" s="15" t="s">
        <v>41</v>
      </c>
      <c r="Q2017" s="1" t="s">
        <v>5867</v>
      </c>
      <c r="R2017" s="2" t="s">
        <v>5868</v>
      </c>
      <c r="S2017" s="1" t="s">
        <v>46</v>
      </c>
      <c r="T2017" s="1" t="s">
        <v>635</v>
      </c>
      <c r="U2017" s="1" t="s">
        <v>636</v>
      </c>
      <c r="V2017" s="1" t="s">
        <v>45</v>
      </c>
      <c r="W2017" s="1"/>
      <c r="X2017" s="1"/>
      <c r="Y2017" s="1"/>
      <c r="Z2017" s="1" t="s">
        <v>658</v>
      </c>
      <c r="AA2017" s="1" t="s">
        <v>5869</v>
      </c>
      <c r="AB2017" s="1" t="s">
        <v>46</v>
      </c>
      <c r="AC2017" s="1" t="s">
        <v>46</v>
      </c>
      <c r="AD2017" s="1"/>
      <c r="AE2017" s="1" t="s">
        <v>641</v>
      </c>
      <c r="AF2017" s="1" t="s">
        <v>190</v>
      </c>
      <c r="AG2017" s="1">
        <v>3</v>
      </c>
      <c r="AH2017" s="1" t="s">
        <v>190</v>
      </c>
      <c r="AI2017" s="1"/>
      <c r="AJ2017" s="1" t="s">
        <v>5870</v>
      </c>
      <c r="AK2017" s="1" t="s">
        <v>5871</v>
      </c>
    </row>
    <row r="2018" spans="1:37">
      <c r="A2018" s="1" t="str">
        <f>VLOOKUP(H2018,Languages!$A$2:$B$430,2,FALSE)</f>
        <v>Yukaghir</v>
      </c>
      <c r="B2018" s="1" t="s">
        <v>35</v>
      </c>
      <c r="C2018" s="1" t="s">
        <v>317</v>
      </c>
      <c r="D2018" s="1" t="s">
        <v>2702</v>
      </c>
      <c r="E2018" s="15" t="s">
        <v>2063</v>
      </c>
      <c r="F2018" s="15" t="s">
        <v>2064</v>
      </c>
      <c r="G2018" s="1" t="s">
        <v>2063</v>
      </c>
      <c r="H2018" s="1" t="str">
        <f>VLOOKUP(G2018,'languoid 4.0'!$A$1:$I$24439,2,FALSE)</f>
        <v>yuka1259</v>
      </c>
      <c r="I2018" s="1" t="str">
        <f>VLOOKUP(G2018,'languoid 4.0'!$A$1:$I$24439,6,FALSE)</f>
        <v>language</v>
      </c>
      <c r="J2018" s="15" t="s">
        <v>52</v>
      </c>
      <c r="K2018" s="15" t="s">
        <v>38</v>
      </c>
      <c r="L2018" s="15" t="s">
        <v>38</v>
      </c>
      <c r="M2018" s="1"/>
      <c r="N2018" s="1" t="s">
        <v>2065</v>
      </c>
      <c r="O2018" s="15" t="s">
        <v>40</v>
      </c>
      <c r="P2018" s="15" t="s">
        <v>41</v>
      </c>
      <c r="Q2018" s="1" t="s">
        <v>2703</v>
      </c>
      <c r="R2018" s="2" t="s">
        <v>2704</v>
      </c>
      <c r="S2018" s="1" t="s">
        <v>46</v>
      </c>
      <c r="T2018" s="1" t="s">
        <v>635</v>
      </c>
      <c r="U2018" s="1" t="s">
        <v>636</v>
      </c>
      <c r="V2018" s="1" t="s">
        <v>45</v>
      </c>
      <c r="W2018" s="1"/>
      <c r="X2018" s="1"/>
      <c r="Y2018" s="1"/>
      <c r="Z2018" s="1" t="s">
        <v>673</v>
      </c>
      <c r="AA2018" s="1" t="s">
        <v>2705</v>
      </c>
      <c r="AB2018" s="1" t="s">
        <v>2706</v>
      </c>
      <c r="AC2018" s="1" t="s">
        <v>46</v>
      </c>
      <c r="AD2018" s="1"/>
      <c r="AE2018" s="1" t="s">
        <v>641</v>
      </c>
      <c r="AF2018" s="1" t="s">
        <v>190</v>
      </c>
      <c r="AG2018" s="1">
        <v>5</v>
      </c>
      <c r="AH2018" s="1" t="s">
        <v>190</v>
      </c>
      <c r="AI2018" s="1"/>
      <c r="AJ2018" s="3">
        <v>43347.51898148148</v>
      </c>
      <c r="AK2018" s="1" t="s">
        <v>2040</v>
      </c>
    </row>
    <row r="2019" spans="1:37">
      <c r="A2019" s="1" t="e">
        <f>VLOOKUP(H2019,Languages!$A$2:$B$430,2,FALSE)</f>
        <v>#N/A</v>
      </c>
      <c r="B2019" s="1" t="s">
        <v>67</v>
      </c>
      <c r="C2019" s="1" t="s">
        <v>477</v>
      </c>
      <c r="D2019" s="1" t="s">
        <v>953</v>
      </c>
      <c r="E2019" s="15" t="s">
        <v>954</v>
      </c>
      <c r="F2019" s="15" t="s">
        <v>954</v>
      </c>
      <c r="G2019" s="1" t="s">
        <v>954</v>
      </c>
      <c r="H2019" s="1">
        <f>VLOOKUP(G2019,'languoid 4.0'!$A$1:$I$24439,2,FALSE)</f>
        <v>0</v>
      </c>
      <c r="I2019" s="1" t="str">
        <f>VLOOKUP(G2019,'languoid 4.0'!$A$1:$I$24439,6,FALSE)</f>
        <v>language</v>
      </c>
      <c r="J2019" s="15" t="s">
        <v>38</v>
      </c>
      <c r="K2019" s="15" t="s">
        <v>38</v>
      </c>
      <c r="L2019" s="15" t="s">
        <v>38</v>
      </c>
      <c r="M2019" s="1"/>
      <c r="N2019" s="1" t="s">
        <v>955</v>
      </c>
      <c r="O2019" s="15" t="s">
        <v>40</v>
      </c>
      <c r="P2019" s="15" t="s">
        <v>41</v>
      </c>
      <c r="Q2019" s="1" t="s">
        <v>956</v>
      </c>
      <c r="R2019" s="2" t="s">
        <v>957</v>
      </c>
      <c r="S2019" s="1" t="s">
        <v>46</v>
      </c>
      <c r="T2019" s="1" t="s">
        <v>635</v>
      </c>
      <c r="U2019" s="1" t="s">
        <v>850</v>
      </c>
      <c r="V2019" s="1" t="s">
        <v>45</v>
      </c>
      <c r="W2019" s="1"/>
      <c r="X2019" s="1"/>
      <c r="Y2019" s="1"/>
      <c r="Z2019" s="1" t="s">
        <v>637</v>
      </c>
      <c r="AA2019" s="1" t="s">
        <v>958</v>
      </c>
      <c r="AB2019" s="1" t="s">
        <v>959</v>
      </c>
      <c r="AC2019" s="1" t="s">
        <v>46</v>
      </c>
      <c r="AD2019" s="1"/>
      <c r="AE2019" s="1" t="s">
        <v>641</v>
      </c>
      <c r="AF2019" s="1" t="s">
        <v>190</v>
      </c>
      <c r="AG2019" s="1">
        <v>4</v>
      </c>
      <c r="AH2019" s="1" t="s">
        <v>190</v>
      </c>
      <c r="AI2019" s="1"/>
      <c r="AJ2019" s="3">
        <v>43283.436284722222</v>
      </c>
      <c r="AK2019" s="1" t="s">
        <v>651</v>
      </c>
    </row>
    <row r="2020" spans="1:37">
      <c r="A2020" s="1" t="e">
        <f>VLOOKUP(H2020,Languages!$A$2:$B$430,2,FALSE)</f>
        <v>#N/A</v>
      </c>
      <c r="B2020" s="1" t="s">
        <v>67</v>
      </c>
      <c r="C2020" s="1" t="s">
        <v>34</v>
      </c>
      <c r="D2020" s="1" t="s">
        <v>704</v>
      </c>
      <c r="E2020" s="15" t="s">
        <v>705</v>
      </c>
      <c r="F2020" s="15" t="s">
        <v>705</v>
      </c>
      <c r="G2020" s="1" t="s">
        <v>705</v>
      </c>
      <c r="H2020" s="1">
        <f>VLOOKUP(G2020,'languoid 4.0'!$A$1:$I$24439,2,FALSE)</f>
        <v>0</v>
      </c>
      <c r="I2020" s="1" t="str">
        <f>VLOOKUP(G2020,'languoid 4.0'!$A$1:$I$24439,6,FALSE)</f>
        <v>language</v>
      </c>
      <c r="J2020" s="15" t="s">
        <v>38</v>
      </c>
      <c r="K2020" s="15" t="s">
        <v>38</v>
      </c>
      <c r="L2020" s="15" t="s">
        <v>38</v>
      </c>
      <c r="M2020" s="1"/>
      <c r="N2020" s="1" t="s">
        <v>706</v>
      </c>
      <c r="O2020" s="15" t="s">
        <v>40</v>
      </c>
      <c r="P2020" s="15" t="s">
        <v>41</v>
      </c>
      <c r="Q2020" s="1" t="s">
        <v>707</v>
      </c>
      <c r="R2020" s="2" t="s">
        <v>708</v>
      </c>
      <c r="S2020" s="1" t="s">
        <v>709</v>
      </c>
      <c r="T2020" s="1" t="s">
        <v>657</v>
      </c>
      <c r="U2020" s="1" t="s">
        <v>636</v>
      </c>
      <c r="V2020" s="1" t="s">
        <v>45</v>
      </c>
      <c r="W2020" s="1"/>
      <c r="X2020" s="1"/>
      <c r="Y2020" s="1"/>
      <c r="Z2020" s="1" t="s">
        <v>658</v>
      </c>
      <c r="AA2020" s="1" t="s">
        <v>710</v>
      </c>
      <c r="AB2020" s="1" t="s">
        <v>711</v>
      </c>
      <c r="AC2020" s="1" t="s">
        <v>46</v>
      </c>
      <c r="AD2020" s="1"/>
      <c r="AE2020" s="1" t="s">
        <v>641</v>
      </c>
      <c r="AF2020" s="1" t="s">
        <v>190</v>
      </c>
      <c r="AG2020" s="1">
        <v>5</v>
      </c>
      <c r="AH2020" s="1" t="s">
        <v>190</v>
      </c>
      <c r="AI2020" s="1"/>
      <c r="AJ2020" s="3">
        <v>43133.612083333333</v>
      </c>
      <c r="AK2020" s="1" t="s">
        <v>676</v>
      </c>
    </row>
    <row r="2021" spans="1:37">
      <c r="A2021" s="1" t="e">
        <f>VLOOKUP(H2021,Languages!$A$2:$B$430,2,FALSE)</f>
        <v>#N/A</v>
      </c>
      <c r="B2021" s="1" t="s">
        <v>67</v>
      </c>
      <c r="C2021" s="1" t="s">
        <v>34</v>
      </c>
      <c r="D2021" s="1" t="s">
        <v>2660</v>
      </c>
      <c r="E2021" s="15" t="s">
        <v>51</v>
      </c>
      <c r="F2021" s="15" t="s">
        <v>180</v>
      </c>
      <c r="G2021" s="1" t="s">
        <v>1588</v>
      </c>
      <c r="H2021" s="1">
        <f>VLOOKUP(G2021,'languoid 4.0'!$A$1:$I$24439,2,FALSE)</f>
        <v>0</v>
      </c>
      <c r="I2021" s="1" t="str">
        <f>VLOOKUP(G2021,'languoid 4.0'!$A$1:$I$24439,6,FALSE)</f>
        <v>family</v>
      </c>
      <c r="J2021" s="15" t="s">
        <v>52</v>
      </c>
      <c r="K2021" s="15" t="s">
        <v>51</v>
      </c>
      <c r="L2021" s="15" t="s">
        <v>51</v>
      </c>
      <c r="M2021" s="1"/>
      <c r="N2021" s="1" t="e">
        <v>#N/A</v>
      </c>
      <c r="O2021" s="15" t="s">
        <v>690</v>
      </c>
      <c r="P2021" s="15"/>
      <c r="Q2021" s="1" t="s">
        <v>2661</v>
      </c>
      <c r="R2021" s="2" t="s">
        <v>2646</v>
      </c>
      <c r="S2021" s="1">
        <v>7</v>
      </c>
      <c r="T2021" s="1" t="s">
        <v>1585</v>
      </c>
      <c r="U2021" s="1" t="s">
        <v>636</v>
      </c>
      <c r="V2021" s="1" t="s">
        <v>45</v>
      </c>
      <c r="W2021" s="1"/>
      <c r="X2021" s="1"/>
      <c r="Y2021" s="1"/>
      <c r="Z2021" s="1" t="s">
        <v>673</v>
      </c>
      <c r="AA2021" s="1" t="s">
        <v>46</v>
      </c>
      <c r="AB2021" s="1" t="s">
        <v>2662</v>
      </c>
      <c r="AC2021" s="1" t="s">
        <v>46</v>
      </c>
      <c r="AD2021" s="1" t="s">
        <v>2663</v>
      </c>
      <c r="AE2021" s="1"/>
      <c r="AF2021" s="1"/>
      <c r="AG2021" s="1"/>
      <c r="AH2021" s="1" t="s">
        <v>45</v>
      </c>
      <c r="AI2021" s="1"/>
      <c r="AJ2021" s="3">
        <v>43255.749583333331</v>
      </c>
      <c r="AK2021" s="1" t="s">
        <v>676</v>
      </c>
    </row>
    <row r="2022" spans="1:37">
      <c r="A2022" s="1" t="e">
        <f>VLOOKUP(H2022,Languages!$A$2:$B$430,2,FALSE)</f>
        <v>#N/A</v>
      </c>
      <c r="B2022" s="1" t="s">
        <v>67</v>
      </c>
      <c r="C2022" s="1" t="s">
        <v>34</v>
      </c>
      <c r="D2022" s="1" t="s">
        <v>2664</v>
      </c>
      <c r="E2022" s="15" t="s">
        <v>51</v>
      </c>
      <c r="F2022" s="15" t="s">
        <v>180</v>
      </c>
      <c r="G2022" s="1" t="s">
        <v>2665</v>
      </c>
      <c r="H2022" s="1">
        <f>VLOOKUP(G2022,'languoid 4.0'!$A$1:$I$24439,2,FALSE)</f>
        <v>0</v>
      </c>
      <c r="I2022" s="1" t="str">
        <f>VLOOKUP(G2022,'languoid 4.0'!$A$1:$I$24439,6,FALSE)</f>
        <v>family</v>
      </c>
      <c r="J2022" s="15" t="s">
        <v>52</v>
      </c>
      <c r="K2022" s="15" t="s">
        <v>51</v>
      </c>
      <c r="L2022" s="15" t="s">
        <v>51</v>
      </c>
      <c r="M2022" s="1" t="s">
        <v>2666</v>
      </c>
      <c r="N2022" s="1" t="e">
        <v>#N/A</v>
      </c>
      <c r="O2022" s="15" t="s">
        <v>690</v>
      </c>
      <c r="P2022" s="15"/>
      <c r="Q2022" s="1" t="s">
        <v>2667</v>
      </c>
      <c r="R2022" s="2" t="s">
        <v>2646</v>
      </c>
      <c r="S2022" s="1">
        <v>8</v>
      </c>
      <c r="T2022" s="1" t="s">
        <v>1585</v>
      </c>
      <c r="U2022" s="1" t="s">
        <v>636</v>
      </c>
      <c r="V2022" s="1" t="s">
        <v>45</v>
      </c>
      <c r="W2022" s="1"/>
      <c r="X2022" s="1"/>
      <c r="Y2022" s="1"/>
      <c r="Z2022" s="1" t="s">
        <v>673</v>
      </c>
      <c r="AA2022" s="1" t="s">
        <v>46</v>
      </c>
      <c r="AB2022" s="1" t="s">
        <v>2668</v>
      </c>
      <c r="AC2022" s="1" t="s">
        <v>46</v>
      </c>
      <c r="AD2022" s="2" t="s">
        <v>2669</v>
      </c>
      <c r="AE2022" s="1"/>
      <c r="AF2022" s="1"/>
      <c r="AG2022" s="1"/>
      <c r="AH2022" s="1" t="s">
        <v>45</v>
      </c>
      <c r="AI2022" s="1"/>
      <c r="AJ2022" s="3">
        <v>43255.750972222224</v>
      </c>
      <c r="AK2022" s="1" t="s">
        <v>676</v>
      </c>
    </row>
    <row r="2023" spans="1:37">
      <c r="A2023" s="1" t="e">
        <f>VLOOKUP(H2023,Languages!$A$2:$B$430,2,FALSE)</f>
        <v>#N/A</v>
      </c>
      <c r="B2023" s="1" t="s">
        <v>67</v>
      </c>
      <c r="C2023" s="1" t="s">
        <v>139</v>
      </c>
      <c r="D2023" s="1" t="s">
        <v>392</v>
      </c>
      <c r="E2023" s="15" t="s">
        <v>393</v>
      </c>
      <c r="F2023" s="15" t="s">
        <v>393</v>
      </c>
      <c r="G2023" s="1" t="s">
        <v>393</v>
      </c>
      <c r="H2023" s="1">
        <f>VLOOKUP(G2023,'languoid 4.0'!$A$1:$I$24439,2,FALSE)</f>
        <v>0</v>
      </c>
      <c r="I2023" s="1" t="str">
        <f>VLOOKUP(G2023,'languoid 4.0'!$A$1:$I$24439,6,FALSE)</f>
        <v>family</v>
      </c>
      <c r="J2023" s="15" t="s">
        <v>38</v>
      </c>
      <c r="K2023" s="15" t="s">
        <v>38</v>
      </c>
      <c r="L2023" s="15" t="s">
        <v>38</v>
      </c>
      <c r="M2023" s="1"/>
      <c r="N2023" s="1"/>
      <c r="O2023" s="15" t="s">
        <v>113</v>
      </c>
      <c r="P2023" s="15" t="s">
        <v>41</v>
      </c>
      <c r="Q2023" s="1" t="s">
        <v>394</v>
      </c>
      <c r="R2023" s="2" t="s">
        <v>395</v>
      </c>
      <c r="S2023" s="1" t="s">
        <v>138</v>
      </c>
      <c r="T2023" s="1" t="s">
        <v>44</v>
      </c>
      <c r="U2023" s="1"/>
      <c r="V2023" s="1" t="s">
        <v>45</v>
      </c>
      <c r="W2023" s="1"/>
      <c r="X2023" s="1"/>
      <c r="Y2023" s="1"/>
      <c r="Z2023" s="1"/>
      <c r="AA2023" s="1">
        <v>5</v>
      </c>
      <c r="AB2023" s="4">
        <v>43621</v>
      </c>
      <c r="AC2023" s="1">
        <v>5</v>
      </c>
      <c r="AD2023" s="1"/>
      <c r="AE2023" s="1"/>
      <c r="AF2023" s="1"/>
      <c r="AG2023" s="1"/>
      <c r="AH2023" s="1"/>
      <c r="AI2023" s="1"/>
      <c r="AJ2023" s="3">
        <v>43102.746412037035</v>
      </c>
      <c r="AK2023" s="1" t="s">
        <v>47</v>
      </c>
    </row>
    <row r="2024" spans="1:37">
      <c r="A2024" s="1" t="e">
        <f>VLOOKUP(H2024,Languages!$A$2:$B$430,2,FALSE)</f>
        <v>#N/A</v>
      </c>
      <c r="B2024" s="1" t="s">
        <v>67</v>
      </c>
      <c r="C2024" s="1" t="s">
        <v>139</v>
      </c>
      <c r="D2024" s="1" t="s">
        <v>8640</v>
      </c>
      <c r="E2024" s="15" t="s">
        <v>51</v>
      </c>
      <c r="F2024" s="15" t="s">
        <v>141</v>
      </c>
      <c r="G2024" s="1" t="s">
        <v>141</v>
      </c>
      <c r="H2024" s="1">
        <f>VLOOKUP(G2024,'languoid 4.0'!$A$1:$I$24439,2,FALSE)</f>
        <v>0</v>
      </c>
      <c r="I2024" s="1" t="str">
        <f>VLOOKUP(G2024,'languoid 4.0'!$A$1:$I$24439,6,FALSE)</f>
        <v>family</v>
      </c>
      <c r="J2024" s="15" t="s">
        <v>52</v>
      </c>
      <c r="K2024" s="15" t="s">
        <v>51</v>
      </c>
      <c r="L2024" s="15" t="s">
        <v>51</v>
      </c>
      <c r="M2024" s="1"/>
      <c r="N2024" s="1" t="e">
        <v>#N/A</v>
      </c>
      <c r="O2024" s="15" t="s">
        <v>690</v>
      </c>
      <c r="P2024" s="15"/>
      <c r="Q2024" s="1" t="s">
        <v>8641</v>
      </c>
      <c r="R2024" s="2" t="s">
        <v>8642</v>
      </c>
      <c r="S2024" s="1" t="s">
        <v>46</v>
      </c>
      <c r="T2024" s="1" t="s">
        <v>635</v>
      </c>
      <c r="U2024" s="1" t="s">
        <v>636</v>
      </c>
      <c r="V2024" s="1" t="s">
        <v>45</v>
      </c>
      <c r="W2024" s="1"/>
      <c r="X2024" s="1"/>
      <c r="Y2024" s="1"/>
      <c r="Z2024" s="1" t="s">
        <v>637</v>
      </c>
      <c r="AA2024" s="1" t="s">
        <v>8643</v>
      </c>
      <c r="AB2024" s="1" t="s">
        <v>8644</v>
      </c>
      <c r="AC2024" s="1" t="s">
        <v>46</v>
      </c>
      <c r="AD2024" s="1"/>
      <c r="AE2024" s="1" t="s">
        <v>641</v>
      </c>
      <c r="AF2024" s="1" t="s">
        <v>45</v>
      </c>
      <c r="AG2024" s="1">
        <v>1</v>
      </c>
      <c r="AH2024" s="1" t="s">
        <v>190</v>
      </c>
      <c r="AI2024" s="1"/>
      <c r="AJ2024" s="3">
        <v>43229.788599537038</v>
      </c>
      <c r="AK2024" s="1" t="s">
        <v>8645</v>
      </c>
    </row>
    <row r="2025" spans="1:37">
      <c r="A2025" s="1" t="e">
        <f>VLOOKUP(H2025,Languages!$A$2:$B$430,2,FALSE)</f>
        <v>#N/A</v>
      </c>
      <c r="B2025" s="1" t="s">
        <v>67</v>
      </c>
      <c r="C2025" s="1" t="s">
        <v>139</v>
      </c>
      <c r="D2025" s="1" t="s">
        <v>9075</v>
      </c>
      <c r="E2025" s="15" t="s">
        <v>141</v>
      </c>
      <c r="F2025" s="15" t="s">
        <v>141</v>
      </c>
      <c r="G2025" s="1" t="s">
        <v>141</v>
      </c>
      <c r="H2025" s="1">
        <f>VLOOKUP(G2025,'languoid 4.0'!$A$1:$I$24439,2,FALSE)</f>
        <v>0</v>
      </c>
      <c r="I2025" s="1" t="str">
        <f>VLOOKUP(G2025,'languoid 4.0'!$A$1:$I$24439,6,FALSE)</f>
        <v>family</v>
      </c>
      <c r="J2025" s="15" t="s">
        <v>38</v>
      </c>
      <c r="K2025" s="15" t="s">
        <v>38</v>
      </c>
      <c r="L2025" s="15" t="s">
        <v>38</v>
      </c>
      <c r="M2025" s="1"/>
      <c r="N2025" s="1"/>
      <c r="O2025" s="15" t="s">
        <v>113</v>
      </c>
      <c r="P2025" s="15" t="s">
        <v>41</v>
      </c>
      <c r="Q2025" s="1" t="s">
        <v>9079</v>
      </c>
      <c r="R2025" s="2" t="s">
        <v>9080</v>
      </c>
      <c r="S2025" s="1" t="s">
        <v>46</v>
      </c>
      <c r="T2025" s="1" t="s">
        <v>635</v>
      </c>
      <c r="U2025" s="1" t="s">
        <v>636</v>
      </c>
      <c r="V2025" s="1" t="s">
        <v>45</v>
      </c>
      <c r="W2025" s="1"/>
      <c r="X2025" s="1"/>
      <c r="Y2025" s="1"/>
      <c r="Z2025" s="1" t="s">
        <v>673</v>
      </c>
      <c r="AA2025" s="1" t="s">
        <v>46</v>
      </c>
      <c r="AB2025" s="1" t="s">
        <v>9081</v>
      </c>
      <c r="AC2025" s="1" t="s">
        <v>46</v>
      </c>
      <c r="AD2025" s="1"/>
      <c r="AE2025" s="1" t="s">
        <v>641</v>
      </c>
      <c r="AF2025" s="1" t="s">
        <v>190</v>
      </c>
      <c r="AG2025" s="1">
        <v>6</v>
      </c>
      <c r="AH2025" s="1" t="s">
        <v>190</v>
      </c>
      <c r="AI2025" s="1"/>
      <c r="AJ2025" s="1" t="s">
        <v>9082</v>
      </c>
      <c r="AK2025" s="1" t="s">
        <v>8645</v>
      </c>
    </row>
    <row r="2026" spans="1:37">
      <c r="A2026" s="1" t="e">
        <f>VLOOKUP(H2026,Languages!$A$2:$B$430,2,FALSE)</f>
        <v>#N/A</v>
      </c>
      <c r="B2026" s="1" t="s">
        <v>67</v>
      </c>
      <c r="C2026" s="1" t="s">
        <v>139</v>
      </c>
      <c r="D2026" s="1" t="s">
        <v>9075</v>
      </c>
      <c r="E2026" s="15" t="s">
        <v>141</v>
      </c>
      <c r="F2026" s="15" t="s">
        <v>141</v>
      </c>
      <c r="G2026" s="1" t="s">
        <v>141</v>
      </c>
      <c r="H2026" s="1">
        <f>VLOOKUP(G2026,'languoid 4.0'!$A$1:$I$24439,2,FALSE)</f>
        <v>0</v>
      </c>
      <c r="I2026" s="1" t="str">
        <f>VLOOKUP(G2026,'languoid 4.0'!$A$1:$I$24439,6,FALSE)</f>
        <v>family</v>
      </c>
      <c r="J2026" s="15" t="s">
        <v>38</v>
      </c>
      <c r="K2026" s="15" t="s">
        <v>38</v>
      </c>
      <c r="L2026" s="15" t="s">
        <v>38</v>
      </c>
      <c r="M2026" s="1"/>
      <c r="N2026" s="1"/>
      <c r="O2026" s="15" t="s">
        <v>113</v>
      </c>
      <c r="P2026" s="15" t="s">
        <v>41</v>
      </c>
      <c r="Q2026" s="1" t="s">
        <v>9083</v>
      </c>
      <c r="R2026" s="2" t="s">
        <v>9084</v>
      </c>
      <c r="S2026" s="1" t="s">
        <v>46</v>
      </c>
      <c r="T2026" s="1" t="s">
        <v>635</v>
      </c>
      <c r="U2026" s="1" t="s">
        <v>636</v>
      </c>
      <c r="V2026" s="1" t="s">
        <v>45</v>
      </c>
      <c r="W2026" s="1"/>
      <c r="X2026" s="1"/>
      <c r="Y2026" s="1"/>
      <c r="Z2026" s="1" t="s">
        <v>637</v>
      </c>
      <c r="AA2026" s="1" t="s">
        <v>9085</v>
      </c>
      <c r="AB2026" s="1" t="s">
        <v>9086</v>
      </c>
      <c r="AC2026" s="1" t="s">
        <v>46</v>
      </c>
      <c r="AD2026" s="1" t="s">
        <v>46</v>
      </c>
      <c r="AE2026" s="1" t="s">
        <v>641</v>
      </c>
      <c r="AF2026" s="1" t="s">
        <v>190</v>
      </c>
      <c r="AG2026" s="1">
        <v>6</v>
      </c>
      <c r="AH2026" s="1" t="s">
        <v>190</v>
      </c>
      <c r="AI2026" s="1"/>
      <c r="AJ2026" s="1" t="s">
        <v>9087</v>
      </c>
      <c r="AK2026" s="1" t="s">
        <v>8645</v>
      </c>
    </row>
    <row r="2027" spans="1:37">
      <c r="A2027" s="1" t="e">
        <f>VLOOKUP(H2027,Languages!$A$2:$B$430,2,FALSE)</f>
        <v>#N/A</v>
      </c>
      <c r="B2027" s="1" t="s">
        <v>67</v>
      </c>
      <c r="C2027" s="1" t="s">
        <v>139</v>
      </c>
      <c r="D2027" s="1" t="s">
        <v>9075</v>
      </c>
      <c r="E2027" s="15" t="s">
        <v>141</v>
      </c>
      <c r="F2027" s="15" t="s">
        <v>141</v>
      </c>
      <c r="G2027" s="1" t="s">
        <v>141</v>
      </c>
      <c r="H2027" s="1">
        <f>VLOOKUP(G2027,'languoid 4.0'!$A$1:$I$24439,2,FALSE)</f>
        <v>0</v>
      </c>
      <c r="I2027" s="1" t="str">
        <f>VLOOKUP(G2027,'languoid 4.0'!$A$1:$I$24439,6,FALSE)</f>
        <v>family</v>
      </c>
      <c r="J2027" s="15" t="s">
        <v>38</v>
      </c>
      <c r="K2027" s="15" t="s">
        <v>38</v>
      </c>
      <c r="L2027" s="15" t="s">
        <v>38</v>
      </c>
      <c r="M2027" s="1"/>
      <c r="N2027" s="1"/>
      <c r="O2027" s="15" t="s">
        <v>113</v>
      </c>
      <c r="P2027" s="15" t="s">
        <v>41</v>
      </c>
      <c r="Q2027" s="1" t="s">
        <v>9083</v>
      </c>
      <c r="R2027" s="2" t="s">
        <v>9084</v>
      </c>
      <c r="S2027" s="1" t="s">
        <v>46</v>
      </c>
      <c r="T2027" s="1" t="s">
        <v>635</v>
      </c>
      <c r="U2027" s="1" t="s">
        <v>636</v>
      </c>
      <c r="V2027" s="1" t="s">
        <v>45</v>
      </c>
      <c r="W2027" s="1"/>
      <c r="X2027" s="1"/>
      <c r="Y2027" s="1"/>
      <c r="Z2027" s="1" t="s">
        <v>658</v>
      </c>
      <c r="AA2027" s="1" t="s">
        <v>9368</v>
      </c>
      <c r="AB2027" s="1" t="s">
        <v>46</v>
      </c>
      <c r="AC2027" s="1" t="s">
        <v>46</v>
      </c>
      <c r="AD2027" s="1" t="s">
        <v>46</v>
      </c>
      <c r="AE2027" s="1" t="s">
        <v>641</v>
      </c>
      <c r="AF2027" s="1" t="s">
        <v>190</v>
      </c>
      <c r="AG2027" s="1">
        <v>6</v>
      </c>
      <c r="AH2027" s="1" t="s">
        <v>190</v>
      </c>
      <c r="AI2027" s="1"/>
      <c r="AJ2027" s="1" t="s">
        <v>9369</v>
      </c>
      <c r="AK2027" s="1" t="s">
        <v>8645</v>
      </c>
    </row>
    <row r="2028" spans="1:37">
      <c r="A2028" s="1" t="e">
        <f>VLOOKUP(H2028,Languages!$A$2:$B$430,2,FALSE)</f>
        <v>#N/A</v>
      </c>
      <c r="B2028" s="1" t="s">
        <v>67</v>
      </c>
      <c r="C2028" s="1" t="s">
        <v>214</v>
      </c>
      <c r="D2028" s="1" t="s">
        <v>934</v>
      </c>
      <c r="E2028" s="15" t="s">
        <v>935</v>
      </c>
      <c r="F2028" s="15" t="s">
        <v>935</v>
      </c>
      <c r="G2028" s="1" t="s">
        <v>935</v>
      </c>
      <c r="H2028" s="1">
        <f>VLOOKUP(G2028,'languoid 4.0'!$A$1:$I$24439,2,FALSE)</f>
        <v>0</v>
      </c>
      <c r="I2028" s="1" t="str">
        <f>VLOOKUP(G2028,'languoid 4.0'!$A$1:$I$24439,6,FALSE)</f>
        <v>language</v>
      </c>
      <c r="J2028" s="15" t="s">
        <v>38</v>
      </c>
      <c r="K2028" s="15" t="s">
        <v>38</v>
      </c>
      <c r="L2028" s="15" t="s">
        <v>38</v>
      </c>
      <c r="M2028" s="1"/>
      <c r="N2028" s="1" t="s">
        <v>936</v>
      </c>
      <c r="O2028" s="15" t="s">
        <v>40</v>
      </c>
      <c r="P2028" s="15" t="s">
        <v>41</v>
      </c>
      <c r="Q2028" s="1" t="s">
        <v>937</v>
      </c>
      <c r="R2028" s="2" t="s">
        <v>938</v>
      </c>
      <c r="S2028" s="1" t="s">
        <v>46</v>
      </c>
      <c r="T2028" s="1" t="s">
        <v>939</v>
      </c>
      <c r="U2028" s="1" t="s">
        <v>940</v>
      </c>
      <c r="V2028" s="1" t="s">
        <v>45</v>
      </c>
      <c r="W2028" s="1"/>
      <c r="X2028" s="1"/>
      <c r="Y2028" s="1"/>
      <c r="Z2028" s="1" t="s">
        <v>637</v>
      </c>
      <c r="AA2028" s="1" t="s">
        <v>941</v>
      </c>
      <c r="AB2028" s="1" t="s">
        <v>942</v>
      </c>
      <c r="AC2028" s="1" t="s">
        <v>46</v>
      </c>
      <c r="AD2028" s="1" t="s">
        <v>943</v>
      </c>
      <c r="AE2028" s="1" t="s">
        <v>641</v>
      </c>
      <c r="AF2028" s="1" t="s">
        <v>190</v>
      </c>
      <c r="AG2028" s="1">
        <v>3</v>
      </c>
      <c r="AH2028" s="1" t="s">
        <v>190</v>
      </c>
      <c r="AI2028" s="1"/>
      <c r="AJ2028" s="3">
        <v>43253.728055555555</v>
      </c>
      <c r="AK2028" s="1" t="s">
        <v>740</v>
      </c>
    </row>
    <row r="2029" spans="1:37">
      <c r="A2029" s="1" t="e">
        <f>VLOOKUP(H2029,Languages!$A$2:$B$430,2,FALSE)</f>
        <v>#N/A</v>
      </c>
      <c r="B2029" s="1" t="s">
        <v>67</v>
      </c>
      <c r="C2029" s="1" t="s">
        <v>214</v>
      </c>
      <c r="D2029" s="1" t="s">
        <v>3224</v>
      </c>
      <c r="E2029" s="15" t="s">
        <v>51</v>
      </c>
      <c r="F2029" s="15" t="s">
        <v>51</v>
      </c>
      <c r="G2029" s="1" t="s">
        <v>3164</v>
      </c>
      <c r="H2029" s="1">
        <f>VLOOKUP(G2029,'languoid 4.0'!$A$1:$I$24439,2,FALSE)</f>
        <v>0</v>
      </c>
      <c r="I2029" s="1" t="str">
        <f>VLOOKUP(G2029,'languoid 4.0'!$A$1:$I$24439,6,FALSE)</f>
        <v>family</v>
      </c>
      <c r="J2029" s="15" t="s">
        <v>51</v>
      </c>
      <c r="K2029" s="15" t="s">
        <v>51</v>
      </c>
      <c r="L2029" s="15" t="s">
        <v>51</v>
      </c>
      <c r="M2029" s="1"/>
      <c r="N2029" s="1" t="e">
        <v>#N/A</v>
      </c>
      <c r="O2029" s="15" t="s">
        <v>690</v>
      </c>
      <c r="P2029" s="15"/>
      <c r="Q2029" s="1" t="s">
        <v>3225</v>
      </c>
      <c r="R2029" s="2" t="s">
        <v>3226</v>
      </c>
      <c r="S2029" s="1" t="s">
        <v>46</v>
      </c>
      <c r="T2029" s="1" t="s">
        <v>635</v>
      </c>
      <c r="U2029" s="1" t="s">
        <v>636</v>
      </c>
      <c r="V2029" s="1" t="s">
        <v>45</v>
      </c>
      <c r="W2029" s="1"/>
      <c r="X2029" s="1"/>
      <c r="Y2029" s="1"/>
      <c r="Z2029" s="1" t="s">
        <v>637</v>
      </c>
      <c r="AA2029" s="1" t="s">
        <v>3227</v>
      </c>
      <c r="AB2029" s="1" t="s">
        <v>3228</v>
      </c>
      <c r="AC2029" s="1" t="s">
        <v>46</v>
      </c>
      <c r="AD2029" s="1"/>
      <c r="AE2029" s="1" t="s">
        <v>641</v>
      </c>
      <c r="AF2029" s="1" t="s">
        <v>190</v>
      </c>
      <c r="AG2029" s="1">
        <v>5</v>
      </c>
      <c r="AH2029" s="1" t="s">
        <v>190</v>
      </c>
      <c r="AI2029" s="1"/>
      <c r="AJ2029" s="1" t="s">
        <v>3229</v>
      </c>
      <c r="AK2029" s="1" t="s">
        <v>3060</v>
      </c>
    </row>
    <row r="2030" spans="1:37">
      <c r="A2030" s="1" t="e">
        <f>VLOOKUP(H2030,Languages!$A$2:$B$430,2,FALSE)</f>
        <v>#N/A</v>
      </c>
      <c r="B2030" s="1" t="s">
        <v>67</v>
      </c>
      <c r="C2030" s="1" t="s">
        <v>298</v>
      </c>
      <c r="D2030" s="1" t="s">
        <v>299</v>
      </c>
      <c r="E2030" s="15" t="s">
        <v>300</v>
      </c>
      <c r="F2030" s="15" t="s">
        <v>468</v>
      </c>
      <c r="G2030" s="1" t="s">
        <v>300</v>
      </c>
      <c r="H2030" s="1">
        <f>VLOOKUP(G2030,'languoid 4.0'!$A$1:$I$24439,2,FALSE)</f>
        <v>0</v>
      </c>
      <c r="I2030" s="1" t="str">
        <f>VLOOKUP(G2030,'languoid 4.0'!$A$1:$I$24439,6,FALSE)</f>
        <v>family</v>
      </c>
      <c r="J2030" s="15" t="s">
        <v>52</v>
      </c>
      <c r="K2030" s="15" t="s">
        <v>38</v>
      </c>
      <c r="L2030" s="15" t="s">
        <v>38</v>
      </c>
      <c r="M2030" s="1"/>
      <c r="N2030" s="1"/>
      <c r="O2030" s="15" t="s">
        <v>40</v>
      </c>
      <c r="P2030" s="15" t="s">
        <v>41</v>
      </c>
      <c r="Q2030" s="1" t="s">
        <v>8296</v>
      </c>
      <c r="R2030" s="2" t="s">
        <v>8297</v>
      </c>
      <c r="S2030" s="1" t="s">
        <v>4414</v>
      </c>
      <c r="T2030" s="1" t="s">
        <v>657</v>
      </c>
      <c r="U2030" s="1" t="s">
        <v>1750</v>
      </c>
      <c r="V2030" s="1" t="s">
        <v>45</v>
      </c>
      <c r="W2030" s="1"/>
      <c r="X2030" s="1"/>
      <c r="Y2030" s="1"/>
      <c r="Z2030" s="1" t="s">
        <v>637</v>
      </c>
      <c r="AA2030" s="1" t="s">
        <v>8298</v>
      </c>
      <c r="AB2030" s="1" t="s">
        <v>8299</v>
      </c>
      <c r="AC2030" s="1" t="s">
        <v>46</v>
      </c>
      <c r="AD2030" s="1" t="s">
        <v>8300</v>
      </c>
      <c r="AE2030" s="1" t="s">
        <v>641</v>
      </c>
      <c r="AF2030" s="1" t="s">
        <v>190</v>
      </c>
      <c r="AG2030" s="1">
        <v>6</v>
      </c>
      <c r="AH2030" s="1" t="s">
        <v>190</v>
      </c>
      <c r="AI2030" s="1"/>
      <c r="AJ2030" s="1" t="s">
        <v>8301</v>
      </c>
      <c r="AK2030" s="1" t="s">
        <v>7652</v>
      </c>
    </row>
    <row r="2031" spans="1:37">
      <c r="A2031" s="1" t="e">
        <f>VLOOKUP(H2031,Languages!$A$2:$B$430,2,FALSE)</f>
        <v>#N/A</v>
      </c>
      <c r="B2031" s="1" t="s">
        <v>67</v>
      </c>
      <c r="C2031" s="1" t="s">
        <v>298</v>
      </c>
      <c r="D2031" s="1" t="s">
        <v>299</v>
      </c>
      <c r="E2031" s="15" t="s">
        <v>300</v>
      </c>
      <c r="F2031" s="15" t="s">
        <v>8302</v>
      </c>
      <c r="G2031" s="1" t="s">
        <v>300</v>
      </c>
      <c r="H2031" s="1">
        <f>VLOOKUP(G2031,'languoid 4.0'!$A$1:$I$24439,2,FALSE)</f>
        <v>0</v>
      </c>
      <c r="I2031" s="1" t="str">
        <f>VLOOKUP(G2031,'languoid 4.0'!$A$1:$I$24439,6,FALSE)</f>
        <v>family</v>
      </c>
      <c r="J2031" s="15" t="s">
        <v>52</v>
      </c>
      <c r="K2031" s="15" t="s">
        <v>38</v>
      </c>
      <c r="L2031" s="15" t="s">
        <v>38</v>
      </c>
      <c r="M2031" s="1"/>
      <c r="N2031" s="1"/>
      <c r="O2031" s="15" t="s">
        <v>40</v>
      </c>
      <c r="P2031" s="15" t="s">
        <v>41</v>
      </c>
      <c r="Q2031" s="1" t="s">
        <v>8303</v>
      </c>
      <c r="R2031" s="2" t="s">
        <v>8304</v>
      </c>
      <c r="S2031" s="1" t="s">
        <v>557</v>
      </c>
      <c r="T2031" s="1" t="s">
        <v>657</v>
      </c>
      <c r="U2031" s="1" t="s">
        <v>59</v>
      </c>
      <c r="V2031" s="1" t="s">
        <v>45</v>
      </c>
      <c r="W2031" s="1"/>
      <c r="X2031" s="1"/>
      <c r="Y2031" s="1"/>
      <c r="Z2031" s="1" t="s">
        <v>637</v>
      </c>
      <c r="AA2031" s="1" t="s">
        <v>8305</v>
      </c>
      <c r="AB2031" s="1" t="s">
        <v>8306</v>
      </c>
      <c r="AC2031" s="1" t="s">
        <v>46</v>
      </c>
      <c r="AD2031" s="1" t="s">
        <v>8307</v>
      </c>
      <c r="AE2031" s="1" t="s">
        <v>641</v>
      </c>
      <c r="AF2031" s="1" t="s">
        <v>190</v>
      </c>
      <c r="AG2031" s="1">
        <v>6</v>
      </c>
      <c r="AH2031" s="1" t="s">
        <v>190</v>
      </c>
      <c r="AI2031" s="1"/>
      <c r="AJ2031" s="1" t="s">
        <v>8308</v>
      </c>
      <c r="AK2031" s="1" t="s">
        <v>7652</v>
      </c>
    </row>
    <row r="2032" spans="1:37">
      <c r="A2032" s="1" t="e">
        <f>VLOOKUP(H2032,Languages!$A$2:$B$430,2,FALSE)</f>
        <v>#N/A</v>
      </c>
      <c r="B2032" s="1" t="s">
        <v>67</v>
      </c>
      <c r="C2032" s="1" t="s">
        <v>267</v>
      </c>
      <c r="D2032" s="1" t="s">
        <v>8246</v>
      </c>
      <c r="E2032" s="15" t="s">
        <v>5911</v>
      </c>
      <c r="F2032" s="15" t="s">
        <v>5911</v>
      </c>
      <c r="G2032" s="1" t="s">
        <v>5911</v>
      </c>
      <c r="H2032" s="1">
        <f>VLOOKUP(G2032,'languoid 4.0'!$A$1:$I$24439,2,FALSE)</f>
        <v>0</v>
      </c>
      <c r="I2032" s="1" t="str">
        <f>VLOOKUP(G2032,'languoid 4.0'!$A$1:$I$24439,6,FALSE)</f>
        <v>family</v>
      </c>
      <c r="J2032" s="15" t="s">
        <v>38</v>
      </c>
      <c r="K2032" s="15" t="s">
        <v>38</v>
      </c>
      <c r="L2032" s="15" t="s">
        <v>38</v>
      </c>
      <c r="M2032" s="1"/>
      <c r="N2032" s="1"/>
      <c r="O2032" s="15" t="s">
        <v>113</v>
      </c>
      <c r="P2032" s="15" t="s">
        <v>41</v>
      </c>
      <c r="Q2032" s="1" t="s">
        <v>8252</v>
      </c>
      <c r="R2032" s="2" t="s">
        <v>8253</v>
      </c>
      <c r="S2032" s="1">
        <v>9</v>
      </c>
      <c r="T2032" s="1" t="s">
        <v>8249</v>
      </c>
      <c r="U2032" s="1" t="s">
        <v>636</v>
      </c>
      <c r="V2032" s="1" t="s">
        <v>45</v>
      </c>
      <c r="W2032" s="1"/>
      <c r="X2032" s="1"/>
      <c r="Y2032" s="1"/>
      <c r="Z2032" s="1" t="s">
        <v>658</v>
      </c>
      <c r="AA2032" s="1" t="s">
        <v>8254</v>
      </c>
      <c r="AB2032" s="1" t="s">
        <v>46</v>
      </c>
      <c r="AC2032" s="1" t="s">
        <v>46</v>
      </c>
      <c r="AD2032" s="1"/>
      <c r="AE2032" s="1" t="s">
        <v>641</v>
      </c>
      <c r="AF2032" s="1" t="s">
        <v>190</v>
      </c>
      <c r="AG2032" s="1">
        <v>2</v>
      </c>
      <c r="AH2032" s="1" t="s">
        <v>190</v>
      </c>
      <c r="AI2032" s="1"/>
      <c r="AJ2032" s="1" t="s">
        <v>8255</v>
      </c>
      <c r="AK2032" s="1" t="s">
        <v>5908</v>
      </c>
    </row>
    <row r="2033" spans="1:37">
      <c r="A2033" s="1" t="e">
        <f>VLOOKUP(H2033,Languages!$A$2:$B$430,2,FALSE)</f>
        <v>#N/A</v>
      </c>
      <c r="B2033" s="1" t="s">
        <v>67</v>
      </c>
      <c r="C2033" s="1" t="s">
        <v>267</v>
      </c>
      <c r="D2033" s="1" t="s">
        <v>8246</v>
      </c>
      <c r="E2033" s="15" t="s">
        <v>5911</v>
      </c>
      <c r="F2033" s="15" t="s">
        <v>5911</v>
      </c>
      <c r="G2033" s="1" t="s">
        <v>5911</v>
      </c>
      <c r="H2033" s="1">
        <f>VLOOKUP(G2033,'languoid 4.0'!$A$1:$I$24439,2,FALSE)</f>
        <v>0</v>
      </c>
      <c r="I2033" s="1" t="str">
        <f>VLOOKUP(G2033,'languoid 4.0'!$A$1:$I$24439,6,FALSE)</f>
        <v>family</v>
      </c>
      <c r="J2033" s="15" t="s">
        <v>38</v>
      </c>
      <c r="K2033" s="15" t="s">
        <v>38</v>
      </c>
      <c r="L2033" s="15" t="s">
        <v>38</v>
      </c>
      <c r="M2033" s="1"/>
      <c r="N2033" s="1"/>
      <c r="O2033" s="15" t="s">
        <v>113</v>
      </c>
      <c r="P2033" s="15" t="s">
        <v>41</v>
      </c>
      <c r="Q2033" s="1" t="s">
        <v>8261</v>
      </c>
      <c r="R2033" s="2" t="s">
        <v>8262</v>
      </c>
      <c r="S2033" s="1" t="s">
        <v>8263</v>
      </c>
      <c r="T2033" s="1" t="s">
        <v>8249</v>
      </c>
      <c r="U2033" s="1" t="s">
        <v>636</v>
      </c>
      <c r="V2033" s="1" t="s">
        <v>45</v>
      </c>
      <c r="W2033" s="1"/>
      <c r="X2033" s="1"/>
      <c r="Y2033" s="1"/>
      <c r="Z2033" s="1" t="s">
        <v>658</v>
      </c>
      <c r="AA2033" s="1" t="s">
        <v>8264</v>
      </c>
      <c r="AB2033" s="1" t="s">
        <v>46</v>
      </c>
      <c r="AC2033" s="1" t="s">
        <v>46</v>
      </c>
      <c r="AD2033" s="1" t="s">
        <v>8265</v>
      </c>
      <c r="AE2033" s="1" t="s">
        <v>641</v>
      </c>
      <c r="AF2033" s="1" t="s">
        <v>190</v>
      </c>
      <c r="AG2033" s="1">
        <v>6</v>
      </c>
      <c r="AH2033" s="1" t="s">
        <v>190</v>
      </c>
      <c r="AI2033" s="1"/>
      <c r="AJ2033" s="1" t="s">
        <v>8266</v>
      </c>
      <c r="AK2033" s="1" t="s">
        <v>5908</v>
      </c>
    </row>
    <row r="2034" spans="1:37">
      <c r="A2034" s="1" t="e">
        <f>VLOOKUP(H2034,Languages!$A$2:$B$430,2,FALSE)</f>
        <v>#N/A</v>
      </c>
      <c r="B2034" s="1" t="s">
        <v>67</v>
      </c>
      <c r="C2034" s="1" t="s">
        <v>304</v>
      </c>
      <c r="D2034" s="1" t="s">
        <v>606</v>
      </c>
      <c r="E2034" s="15" t="s">
        <v>607</v>
      </c>
      <c r="F2034" s="15" t="s">
        <v>607</v>
      </c>
      <c r="G2034" s="1" t="s">
        <v>607</v>
      </c>
      <c r="H2034" s="1">
        <f>VLOOKUP(G2034,'languoid 4.0'!$A$1:$I$24439,2,FALSE)</f>
        <v>0</v>
      </c>
      <c r="I2034" s="1" t="str">
        <f>VLOOKUP(G2034,'languoid 4.0'!$A$1:$I$24439,6,FALSE)</f>
        <v>family</v>
      </c>
      <c r="J2034" s="15" t="s">
        <v>38</v>
      </c>
      <c r="K2034" s="15" t="s">
        <v>38</v>
      </c>
      <c r="L2034" s="15" t="s">
        <v>38</v>
      </c>
      <c r="M2034" s="1"/>
      <c r="N2034" s="1" t="s">
        <v>608</v>
      </c>
      <c r="O2034" s="15" t="s">
        <v>113</v>
      </c>
      <c r="P2034" s="15" t="s">
        <v>41</v>
      </c>
      <c r="Q2034" s="1" t="s">
        <v>46</v>
      </c>
      <c r="R2034" s="2" t="s">
        <v>4512</v>
      </c>
      <c r="S2034" s="1" t="s">
        <v>46</v>
      </c>
      <c r="T2034" s="1" t="s">
        <v>635</v>
      </c>
      <c r="U2034" s="1" t="s">
        <v>636</v>
      </c>
      <c r="V2034" s="1" t="s">
        <v>45</v>
      </c>
      <c r="W2034" s="1"/>
      <c r="X2034" s="1"/>
      <c r="Y2034" s="1"/>
      <c r="Z2034" s="1" t="s">
        <v>658</v>
      </c>
      <c r="AA2034" s="1" t="s">
        <v>6748</v>
      </c>
      <c r="AB2034" s="1" t="s">
        <v>46</v>
      </c>
      <c r="AC2034" s="1" t="s">
        <v>46</v>
      </c>
      <c r="AD2034" s="1"/>
      <c r="AE2034" s="1"/>
      <c r="AF2034" s="1"/>
      <c r="AG2034" s="1"/>
      <c r="AH2034" s="1" t="s">
        <v>45</v>
      </c>
      <c r="AI2034" s="1" t="s">
        <v>6440</v>
      </c>
      <c r="AJ2034" s="1" t="s">
        <v>6749</v>
      </c>
      <c r="AK2034" s="1" t="s">
        <v>6441</v>
      </c>
    </row>
    <row r="2035" spans="1:37">
      <c r="A2035" s="1" t="e">
        <f>VLOOKUP(H2035,Languages!$A$2:$B$430,2,FALSE)</f>
        <v>#N/A</v>
      </c>
      <c r="B2035" s="1" t="s">
        <v>67</v>
      </c>
      <c r="C2035" s="1" t="s">
        <v>304</v>
      </c>
      <c r="D2035" s="1" t="s">
        <v>606</v>
      </c>
      <c r="E2035" s="15" t="s">
        <v>607</v>
      </c>
      <c r="F2035" s="15" t="s">
        <v>607</v>
      </c>
      <c r="G2035" s="1" t="s">
        <v>607</v>
      </c>
      <c r="H2035" s="1">
        <f>VLOOKUP(G2035,'languoid 4.0'!$A$1:$I$24439,2,FALSE)</f>
        <v>0</v>
      </c>
      <c r="I2035" s="1" t="str">
        <f>VLOOKUP(G2035,'languoid 4.0'!$A$1:$I$24439,6,FALSE)</f>
        <v>family</v>
      </c>
      <c r="J2035" s="15" t="s">
        <v>38</v>
      </c>
      <c r="K2035" s="15" t="s">
        <v>38</v>
      </c>
      <c r="L2035" s="15" t="s">
        <v>38</v>
      </c>
      <c r="M2035" s="1"/>
      <c r="N2035" s="1" t="s">
        <v>608</v>
      </c>
      <c r="O2035" s="15" t="s">
        <v>113</v>
      </c>
      <c r="P2035" s="15" t="s">
        <v>41</v>
      </c>
      <c r="Q2035" s="1" t="s">
        <v>8081</v>
      </c>
      <c r="R2035" s="2" t="s">
        <v>8082</v>
      </c>
      <c r="S2035" s="1" t="s">
        <v>8083</v>
      </c>
      <c r="T2035" s="1" t="s">
        <v>657</v>
      </c>
      <c r="U2035" s="1" t="s">
        <v>636</v>
      </c>
      <c r="V2035" s="1" t="s">
        <v>45</v>
      </c>
      <c r="W2035" s="1"/>
      <c r="X2035" s="1"/>
      <c r="Y2035" s="1"/>
      <c r="Z2035" s="1" t="s">
        <v>658</v>
      </c>
      <c r="AA2035" s="1" t="s">
        <v>46</v>
      </c>
      <c r="AB2035" s="1" t="s">
        <v>46</v>
      </c>
      <c r="AC2035" s="1" t="s">
        <v>46</v>
      </c>
      <c r="AD2035" s="1"/>
      <c r="AE2035" s="1" t="s">
        <v>641</v>
      </c>
      <c r="AF2035" s="1" t="s">
        <v>45</v>
      </c>
      <c r="AG2035" s="1">
        <v>6</v>
      </c>
      <c r="AH2035" s="1" t="s">
        <v>190</v>
      </c>
      <c r="AI2035" s="1"/>
      <c r="AJ2035" s="1" t="s">
        <v>8084</v>
      </c>
      <c r="AK2035" s="1" t="s">
        <v>6441</v>
      </c>
    </row>
    <row r="2036" spans="1:37">
      <c r="A2036" s="1" t="e">
        <f>VLOOKUP(H2036,Languages!$A$2:$B$430,2,FALSE)</f>
        <v>#N/A</v>
      </c>
      <c r="B2036" s="1" t="s">
        <v>67</v>
      </c>
      <c r="C2036" s="1" t="s">
        <v>419</v>
      </c>
      <c r="D2036" s="1" t="s">
        <v>977</v>
      </c>
      <c r="E2036" s="15" t="s">
        <v>978</v>
      </c>
      <c r="F2036" s="15" t="s">
        <v>979</v>
      </c>
      <c r="G2036" s="1" t="s">
        <v>978</v>
      </c>
      <c r="H2036" s="1">
        <f>VLOOKUP(G2036,'languoid 4.0'!$A$1:$I$24439,2,FALSE)</f>
        <v>0</v>
      </c>
      <c r="I2036" s="1" t="str">
        <f>VLOOKUP(G2036,'languoid 4.0'!$A$1:$I$24439,6,FALSE)</f>
        <v>family</v>
      </c>
      <c r="J2036" s="15" t="s">
        <v>52</v>
      </c>
      <c r="K2036" s="15" t="s">
        <v>368</v>
      </c>
      <c r="L2036" s="15" t="s">
        <v>38</v>
      </c>
      <c r="M2036" s="1"/>
      <c r="N2036" s="1"/>
      <c r="O2036" s="15" t="s">
        <v>113</v>
      </c>
      <c r="P2036" s="15" t="s">
        <v>41</v>
      </c>
      <c r="Q2036" s="1" t="s">
        <v>983</v>
      </c>
      <c r="R2036" s="2" t="s">
        <v>1622</v>
      </c>
      <c r="S2036" s="1" t="s">
        <v>46</v>
      </c>
      <c r="T2036" s="1" t="s">
        <v>635</v>
      </c>
      <c r="U2036" s="1" t="s">
        <v>636</v>
      </c>
      <c r="V2036" s="1" t="s">
        <v>45</v>
      </c>
      <c r="W2036" s="1"/>
      <c r="X2036" s="1"/>
      <c r="Y2036" s="1"/>
      <c r="Z2036" s="1" t="s">
        <v>637</v>
      </c>
      <c r="AA2036" s="1" t="s">
        <v>1623</v>
      </c>
      <c r="AB2036" s="1" t="s">
        <v>1624</v>
      </c>
      <c r="AC2036" s="1" t="s">
        <v>46</v>
      </c>
      <c r="AD2036" s="1" t="s">
        <v>1625</v>
      </c>
      <c r="AE2036" s="1" t="s">
        <v>641</v>
      </c>
      <c r="AF2036" s="1" t="s">
        <v>190</v>
      </c>
      <c r="AG2036" s="1">
        <v>5</v>
      </c>
      <c r="AH2036" s="1" t="s">
        <v>190</v>
      </c>
      <c r="AI2036" s="1" t="s">
        <v>46</v>
      </c>
      <c r="AJ2036" s="3">
        <v>43162.64503472222</v>
      </c>
      <c r="AK2036" s="1" t="s">
        <v>1607</v>
      </c>
    </row>
    <row r="2037" spans="1:37">
      <c r="A2037" s="1" t="e">
        <f>VLOOKUP(H2037,Languages!$A$2:$B$430,2,FALSE)</f>
        <v>#N/A</v>
      </c>
      <c r="B2037" s="1" t="s">
        <v>67</v>
      </c>
      <c r="C2037" s="1" t="s">
        <v>89</v>
      </c>
      <c r="D2037" s="1" t="s">
        <v>8145</v>
      </c>
      <c r="E2037" s="15" t="s">
        <v>8146</v>
      </c>
      <c r="F2037" s="15" t="s">
        <v>312</v>
      </c>
      <c r="G2037" s="1" t="s">
        <v>8146</v>
      </c>
      <c r="H2037" s="1">
        <f>VLOOKUP(G2037,'languoid 4.0'!$A$1:$I$24439,2,FALSE)</f>
        <v>0</v>
      </c>
      <c r="I2037" s="1" t="str">
        <f>VLOOKUP(G2037,'languoid 4.0'!$A$1:$I$24439,6,FALSE)</f>
        <v>family</v>
      </c>
      <c r="J2037" s="15" t="s">
        <v>52</v>
      </c>
      <c r="K2037" s="15" t="s">
        <v>38</v>
      </c>
      <c r="L2037" s="15" t="s">
        <v>38</v>
      </c>
      <c r="M2037" s="1"/>
      <c r="N2037" s="1"/>
      <c r="O2037" s="15" t="s">
        <v>113</v>
      </c>
      <c r="P2037" s="15" t="s">
        <v>41</v>
      </c>
      <c r="Q2037" s="1" t="s">
        <v>8147</v>
      </c>
      <c r="R2037" s="2" t="s">
        <v>8148</v>
      </c>
      <c r="S2037" s="1" t="s">
        <v>46</v>
      </c>
      <c r="T2037" s="1" t="s">
        <v>635</v>
      </c>
      <c r="U2037" s="1" t="s">
        <v>636</v>
      </c>
      <c r="V2037" s="1" t="s">
        <v>45</v>
      </c>
      <c r="W2037" s="1"/>
      <c r="X2037" s="1"/>
      <c r="Y2037" s="1"/>
      <c r="Z2037" s="1" t="s">
        <v>637</v>
      </c>
      <c r="AA2037" s="1" t="s">
        <v>8149</v>
      </c>
      <c r="AB2037" s="1" t="s">
        <v>8150</v>
      </c>
      <c r="AC2037" s="1" t="s">
        <v>46</v>
      </c>
      <c r="AD2037" s="1" t="s">
        <v>8151</v>
      </c>
      <c r="AE2037" s="1"/>
      <c r="AF2037" s="1"/>
      <c r="AG2037" s="1"/>
      <c r="AH2037" s="1" t="s">
        <v>45</v>
      </c>
      <c r="AI2037" s="1" t="s">
        <v>8152</v>
      </c>
      <c r="AJ2037" s="1" t="s">
        <v>8153</v>
      </c>
      <c r="AK2037" s="1" t="s">
        <v>5865</v>
      </c>
    </row>
    <row r="2038" spans="1:37">
      <c r="A2038" s="1" t="e">
        <f>VLOOKUP(H2038,Languages!$A$2:$B$430,2,FALSE)</f>
        <v>#N/A</v>
      </c>
      <c r="B2038" s="1" t="s">
        <v>67</v>
      </c>
      <c r="C2038" s="1" t="s">
        <v>117</v>
      </c>
      <c r="D2038" s="1" t="s">
        <v>5125</v>
      </c>
      <c r="E2038" s="15" t="s">
        <v>5126</v>
      </c>
      <c r="F2038" s="15" t="s">
        <v>5127</v>
      </c>
      <c r="G2038" s="1" t="s">
        <v>5126</v>
      </c>
      <c r="H2038" s="1">
        <f>VLOOKUP(G2038,'languoid 4.0'!$A$1:$I$24439,2,FALSE)</f>
        <v>0</v>
      </c>
      <c r="I2038" s="1" t="str">
        <f>VLOOKUP(G2038,'languoid 4.0'!$A$1:$I$24439,6,FALSE)</f>
        <v>family</v>
      </c>
      <c r="J2038" s="15" t="s">
        <v>52</v>
      </c>
      <c r="K2038" s="15" t="s">
        <v>368</v>
      </c>
      <c r="L2038" s="15" t="s">
        <v>38</v>
      </c>
      <c r="M2038" s="1"/>
      <c r="N2038" s="1"/>
      <c r="O2038" s="15" t="s">
        <v>113</v>
      </c>
      <c r="P2038" s="15" t="s">
        <v>41</v>
      </c>
      <c r="Q2038" s="1" t="s">
        <v>5128</v>
      </c>
      <c r="R2038" s="2" t="s">
        <v>5129</v>
      </c>
      <c r="S2038" s="1" t="s">
        <v>5130</v>
      </c>
      <c r="T2038" s="1" t="s">
        <v>657</v>
      </c>
      <c r="U2038" s="1" t="s">
        <v>636</v>
      </c>
      <c r="V2038" s="1" t="s">
        <v>45</v>
      </c>
      <c r="W2038" s="1"/>
      <c r="X2038" s="1"/>
      <c r="Y2038" s="1"/>
      <c r="Z2038" s="1" t="s">
        <v>658</v>
      </c>
      <c r="AA2038" s="1" t="s">
        <v>5131</v>
      </c>
      <c r="AB2038" s="1" t="s">
        <v>5132</v>
      </c>
      <c r="AC2038" s="1" t="s">
        <v>46</v>
      </c>
      <c r="AD2038" s="1" t="s">
        <v>5133</v>
      </c>
      <c r="AE2038" s="1" t="s">
        <v>641</v>
      </c>
      <c r="AF2038" s="1" t="s">
        <v>190</v>
      </c>
      <c r="AG2038" s="1">
        <v>6</v>
      </c>
      <c r="AH2038" s="1" t="s">
        <v>190</v>
      </c>
      <c r="AI2038" s="1"/>
      <c r="AJ2038" s="1" t="s">
        <v>5134</v>
      </c>
      <c r="AK2038" s="1" t="s">
        <v>4268</v>
      </c>
    </row>
    <row r="2039" spans="1:37">
      <c r="A2039" s="1" t="e">
        <f>VLOOKUP(H2039,Languages!$A$2:$B$430,2,FALSE)</f>
        <v>#N/A</v>
      </c>
      <c r="B2039" s="1" t="s">
        <v>67</v>
      </c>
      <c r="C2039" s="1" t="s">
        <v>206</v>
      </c>
      <c r="D2039" s="1" t="s">
        <v>9130</v>
      </c>
      <c r="E2039" s="15" t="s">
        <v>389</v>
      </c>
      <c r="F2039" s="15" t="s">
        <v>389</v>
      </c>
      <c r="G2039" s="1" t="s">
        <v>389</v>
      </c>
      <c r="H2039" s="1">
        <f>VLOOKUP(G2039,'languoid 4.0'!$A$1:$I$24439,2,FALSE)</f>
        <v>0</v>
      </c>
      <c r="I2039" s="1" t="str">
        <f>VLOOKUP(G2039,'languoid 4.0'!$A$1:$I$24439,6,FALSE)</f>
        <v>family</v>
      </c>
      <c r="J2039" s="15" t="s">
        <v>38</v>
      </c>
      <c r="K2039" s="15" t="s">
        <v>38</v>
      </c>
      <c r="L2039" s="15" t="s">
        <v>38</v>
      </c>
      <c r="M2039" s="1"/>
      <c r="N2039" s="1"/>
      <c r="O2039" s="15" t="s">
        <v>40</v>
      </c>
      <c r="P2039" s="15" t="s">
        <v>41</v>
      </c>
      <c r="Q2039" s="1" t="s">
        <v>9140</v>
      </c>
      <c r="R2039" s="2" t="s">
        <v>9132</v>
      </c>
      <c r="S2039" s="1" t="s">
        <v>471</v>
      </c>
      <c r="T2039" s="1" t="s">
        <v>9133</v>
      </c>
      <c r="U2039" s="1" t="s">
        <v>9027</v>
      </c>
      <c r="V2039" s="1" t="s">
        <v>45</v>
      </c>
      <c r="W2039" s="1"/>
      <c r="X2039" s="1"/>
      <c r="Y2039" s="1"/>
      <c r="Z2039" s="1" t="s">
        <v>637</v>
      </c>
      <c r="AA2039" s="1" t="s">
        <v>9141</v>
      </c>
      <c r="AB2039" s="1" t="s">
        <v>46</v>
      </c>
      <c r="AC2039" s="1" t="s">
        <v>46</v>
      </c>
      <c r="AD2039" s="1"/>
      <c r="AE2039" s="1" t="s">
        <v>641</v>
      </c>
      <c r="AF2039" s="1" t="s">
        <v>190</v>
      </c>
      <c r="AG2039" s="1">
        <v>6</v>
      </c>
      <c r="AH2039" s="1" t="s">
        <v>190</v>
      </c>
      <c r="AI2039" s="1"/>
      <c r="AJ2039" s="1" t="s">
        <v>9142</v>
      </c>
      <c r="AK2039" s="1" t="s">
        <v>8686</v>
      </c>
    </row>
    <row r="2040" spans="1:37">
      <c r="A2040" s="1" t="e">
        <f>VLOOKUP(H2040,Languages!$A$2:$B$430,2,FALSE)</f>
        <v>#N/A</v>
      </c>
      <c r="B2040" s="1" t="s">
        <v>67</v>
      </c>
      <c r="C2040" s="1" t="s">
        <v>206</v>
      </c>
      <c r="D2040" s="1" t="s">
        <v>9130</v>
      </c>
      <c r="E2040" s="15" t="s">
        <v>389</v>
      </c>
      <c r="F2040" s="15" t="s">
        <v>389</v>
      </c>
      <c r="G2040" s="1" t="s">
        <v>389</v>
      </c>
      <c r="H2040" s="1">
        <f>VLOOKUP(G2040,'languoid 4.0'!$A$1:$I$24439,2,FALSE)</f>
        <v>0</v>
      </c>
      <c r="I2040" s="1" t="str">
        <f>VLOOKUP(G2040,'languoid 4.0'!$A$1:$I$24439,6,FALSE)</f>
        <v>family</v>
      </c>
      <c r="J2040" s="15" t="s">
        <v>38</v>
      </c>
      <c r="K2040" s="15" t="s">
        <v>38</v>
      </c>
      <c r="L2040" s="15" t="s">
        <v>38</v>
      </c>
      <c r="M2040" s="1"/>
      <c r="N2040" s="1"/>
      <c r="O2040" s="15" t="s">
        <v>40</v>
      </c>
      <c r="P2040" s="15" t="s">
        <v>41</v>
      </c>
      <c r="Q2040" s="1" t="s">
        <v>9140</v>
      </c>
      <c r="R2040" s="2" t="s">
        <v>9132</v>
      </c>
      <c r="S2040" s="1" t="s">
        <v>130</v>
      </c>
      <c r="T2040" s="1" t="s">
        <v>9133</v>
      </c>
      <c r="U2040" s="1" t="s">
        <v>9027</v>
      </c>
      <c r="V2040" s="1" t="s">
        <v>45</v>
      </c>
      <c r="W2040" s="1"/>
      <c r="X2040" s="1"/>
      <c r="Y2040" s="1"/>
      <c r="Z2040" s="1" t="s">
        <v>637</v>
      </c>
      <c r="AA2040" s="1" t="s">
        <v>9143</v>
      </c>
      <c r="AB2040" s="1" t="s">
        <v>46</v>
      </c>
      <c r="AC2040" s="1" t="s">
        <v>46</v>
      </c>
      <c r="AD2040" s="1"/>
      <c r="AE2040" s="1" t="s">
        <v>641</v>
      </c>
      <c r="AF2040" s="1" t="s">
        <v>190</v>
      </c>
      <c r="AG2040" s="1">
        <v>6</v>
      </c>
      <c r="AH2040" s="1" t="s">
        <v>190</v>
      </c>
      <c r="AI2040" s="1"/>
      <c r="AJ2040" s="1" t="s">
        <v>9144</v>
      </c>
      <c r="AK2040" s="1" t="s">
        <v>8686</v>
      </c>
    </row>
    <row r="2041" spans="1:37">
      <c r="A2041" s="1" t="e">
        <f>VLOOKUP(H2041,Languages!$A$2:$B$430,2,FALSE)</f>
        <v>#N/A</v>
      </c>
      <c r="B2041" s="1" t="s">
        <v>67</v>
      </c>
      <c r="C2041" s="1" t="s">
        <v>206</v>
      </c>
      <c r="D2041" s="1" t="s">
        <v>9130</v>
      </c>
      <c r="E2041" s="15" t="s">
        <v>389</v>
      </c>
      <c r="F2041" s="15" t="s">
        <v>389</v>
      </c>
      <c r="G2041" s="1" t="s">
        <v>389</v>
      </c>
      <c r="H2041" s="1">
        <f>VLOOKUP(G2041,'languoid 4.0'!$A$1:$I$24439,2,FALSE)</f>
        <v>0</v>
      </c>
      <c r="I2041" s="1" t="str">
        <f>VLOOKUP(G2041,'languoid 4.0'!$A$1:$I$24439,6,FALSE)</f>
        <v>family</v>
      </c>
      <c r="J2041" s="15" t="s">
        <v>38</v>
      </c>
      <c r="K2041" s="15" t="s">
        <v>38</v>
      </c>
      <c r="L2041" s="15" t="s">
        <v>38</v>
      </c>
      <c r="M2041" s="1"/>
      <c r="N2041" s="1"/>
      <c r="O2041" s="15" t="s">
        <v>40</v>
      </c>
      <c r="P2041" s="15" t="s">
        <v>41</v>
      </c>
      <c r="Q2041" s="1" t="s">
        <v>9140</v>
      </c>
      <c r="R2041" s="2" t="s">
        <v>9132</v>
      </c>
      <c r="S2041" s="1" t="s">
        <v>6203</v>
      </c>
      <c r="T2041" s="1" t="s">
        <v>9133</v>
      </c>
      <c r="U2041" s="1" t="s">
        <v>9027</v>
      </c>
      <c r="V2041" s="1" t="s">
        <v>45</v>
      </c>
      <c r="W2041" s="1"/>
      <c r="X2041" s="1"/>
      <c r="Y2041" s="1"/>
      <c r="Z2041" s="1" t="s">
        <v>637</v>
      </c>
      <c r="AA2041" s="1" t="s">
        <v>9145</v>
      </c>
      <c r="AB2041" s="1" t="s">
        <v>9146</v>
      </c>
      <c r="AC2041" s="1" t="s">
        <v>46</v>
      </c>
      <c r="AD2041" s="1"/>
      <c r="AE2041" s="1" t="s">
        <v>641</v>
      </c>
      <c r="AF2041" s="1" t="s">
        <v>190</v>
      </c>
      <c r="AG2041" s="1">
        <v>6</v>
      </c>
      <c r="AH2041" s="1" t="s">
        <v>190</v>
      </c>
      <c r="AI2041" s="1"/>
      <c r="AJ2041" s="1" t="s">
        <v>9147</v>
      </c>
      <c r="AK2041" s="1" t="s">
        <v>8686</v>
      </c>
    </row>
    <row r="2042" spans="1:37">
      <c r="A2042" s="1" t="e">
        <f>VLOOKUP(H2042,Languages!$A$2:$B$430,2,FALSE)</f>
        <v>#N/A</v>
      </c>
      <c r="B2042" s="1" t="s">
        <v>67</v>
      </c>
      <c r="C2042" s="1" t="s">
        <v>431</v>
      </c>
      <c r="D2042" s="1" t="s">
        <v>10367</v>
      </c>
      <c r="E2042" s="15" t="s">
        <v>10368</v>
      </c>
      <c r="F2042" s="15" t="s">
        <v>10368</v>
      </c>
      <c r="G2042" s="1" t="s">
        <v>10368</v>
      </c>
      <c r="H2042" s="1">
        <f>VLOOKUP(G2042,'languoid 4.0'!$A$1:$I$24439,2,FALSE)</f>
        <v>0</v>
      </c>
      <c r="I2042" s="1" t="str">
        <f>VLOOKUP(G2042,'languoid 4.0'!$A$1:$I$24439,6,FALSE)</f>
        <v>family</v>
      </c>
      <c r="J2042" s="15" t="s">
        <v>38</v>
      </c>
      <c r="K2042" s="15" t="s">
        <v>38</v>
      </c>
      <c r="L2042" s="15" t="s">
        <v>38</v>
      </c>
      <c r="M2042" s="1"/>
      <c r="N2042" s="1"/>
      <c r="O2042" s="15" t="s">
        <v>40</v>
      </c>
      <c r="P2042" s="15" t="s">
        <v>41</v>
      </c>
      <c r="Q2042" s="1" t="s">
        <v>10369</v>
      </c>
      <c r="R2042" s="2" t="s">
        <v>10370</v>
      </c>
      <c r="S2042" s="1" t="s">
        <v>10371</v>
      </c>
      <c r="T2042" s="1" t="s">
        <v>657</v>
      </c>
      <c r="U2042" s="1" t="s">
        <v>636</v>
      </c>
      <c r="V2042" s="1" t="s">
        <v>45</v>
      </c>
      <c r="W2042" s="1"/>
      <c r="X2042" s="1"/>
      <c r="Y2042" s="1"/>
      <c r="Z2042" s="1" t="s">
        <v>658</v>
      </c>
      <c r="AA2042" s="1" t="s">
        <v>10372</v>
      </c>
      <c r="AB2042" s="1" t="s">
        <v>10373</v>
      </c>
      <c r="AC2042" s="1" t="s">
        <v>46</v>
      </c>
      <c r="AD2042" s="1" t="s">
        <v>46</v>
      </c>
      <c r="AE2042" s="1" t="s">
        <v>641</v>
      </c>
      <c r="AF2042" s="1" t="s">
        <v>190</v>
      </c>
      <c r="AG2042" s="1">
        <v>6</v>
      </c>
      <c r="AH2042" s="1" t="s">
        <v>190</v>
      </c>
      <c r="AI2042" s="1" t="s">
        <v>46</v>
      </c>
      <c r="AJ2042" s="1" t="s">
        <v>10374</v>
      </c>
      <c r="AK2042" s="1" t="s">
        <v>4975</v>
      </c>
    </row>
    <row r="2043" spans="1:37">
      <c r="A2043" s="1" t="e">
        <f>VLOOKUP(H2043,Languages!$A$2:$B$430,2,FALSE)</f>
        <v>#N/A</v>
      </c>
      <c r="B2043" s="1" t="s">
        <v>67</v>
      </c>
      <c r="C2043" s="1" t="s">
        <v>431</v>
      </c>
      <c r="D2043" s="1" t="s">
        <v>10375</v>
      </c>
      <c r="E2043" s="15" t="s">
        <v>10368</v>
      </c>
      <c r="F2043" s="15" t="s">
        <v>10368</v>
      </c>
      <c r="G2043" s="1" t="s">
        <v>10368</v>
      </c>
      <c r="H2043" s="1">
        <f>VLOOKUP(G2043,'languoid 4.0'!$A$1:$I$24439,2,FALSE)</f>
        <v>0</v>
      </c>
      <c r="I2043" s="1" t="str">
        <f>VLOOKUP(G2043,'languoid 4.0'!$A$1:$I$24439,6,FALSE)</f>
        <v>family</v>
      </c>
      <c r="J2043" s="15" t="s">
        <v>38</v>
      </c>
      <c r="K2043" s="15" t="s">
        <v>38</v>
      </c>
      <c r="L2043" s="15" t="s">
        <v>38</v>
      </c>
      <c r="M2043" s="1"/>
      <c r="N2043" s="1"/>
      <c r="O2043" s="15" t="s">
        <v>40</v>
      </c>
      <c r="P2043" s="15" t="s">
        <v>41</v>
      </c>
      <c r="Q2043" s="1" t="s">
        <v>10376</v>
      </c>
      <c r="R2043" s="2" t="s">
        <v>10377</v>
      </c>
      <c r="S2043" s="1" t="s">
        <v>10378</v>
      </c>
      <c r="T2043" s="1" t="s">
        <v>657</v>
      </c>
      <c r="U2043" s="1" t="s">
        <v>636</v>
      </c>
      <c r="V2043" s="1" t="s">
        <v>45</v>
      </c>
      <c r="W2043" s="1"/>
      <c r="X2043" s="1"/>
      <c r="Y2043" s="1"/>
      <c r="Z2043" s="1" t="s">
        <v>637</v>
      </c>
      <c r="AA2043" s="1" t="s">
        <v>10379</v>
      </c>
      <c r="AB2043" s="1" t="s">
        <v>10380</v>
      </c>
      <c r="AC2043" s="1" t="s">
        <v>46</v>
      </c>
      <c r="AD2043" s="1" t="s">
        <v>46</v>
      </c>
      <c r="AE2043" s="1" t="s">
        <v>641</v>
      </c>
      <c r="AF2043" s="1" t="s">
        <v>190</v>
      </c>
      <c r="AG2043" s="1">
        <v>6</v>
      </c>
      <c r="AH2043" s="1" t="s">
        <v>190</v>
      </c>
      <c r="AI2043" s="1"/>
      <c r="AJ2043" s="1" t="s">
        <v>10381</v>
      </c>
      <c r="AK2043" s="1" t="s">
        <v>4975</v>
      </c>
    </row>
    <row r="2044" spans="1:37">
      <c r="A2044" s="1" t="e">
        <f>VLOOKUP(H2044,Languages!$A$2:$B$430,2,FALSE)</f>
        <v>#N/A</v>
      </c>
      <c r="B2044" s="1" t="s">
        <v>67</v>
      </c>
      <c r="C2044" s="1" t="s">
        <v>4417</v>
      </c>
      <c r="D2044" s="1" t="s">
        <v>4723</v>
      </c>
      <c r="E2044" s="15" t="s">
        <v>4725</v>
      </c>
      <c r="F2044" s="15" t="s">
        <v>4725</v>
      </c>
      <c r="G2044" s="1" t="s">
        <v>4725</v>
      </c>
      <c r="H2044" s="1">
        <f>VLOOKUP(G2044,'languoid 4.0'!$A$1:$I$24439,2,FALSE)</f>
        <v>0</v>
      </c>
      <c r="I2044" s="1" t="str">
        <f>VLOOKUP(G2044,'languoid 4.0'!$A$1:$I$24439,6,FALSE)</f>
        <v>language</v>
      </c>
      <c r="J2044" s="15" t="s">
        <v>38</v>
      </c>
      <c r="K2044" s="15" t="s">
        <v>38</v>
      </c>
      <c r="L2044" s="15" t="s">
        <v>38</v>
      </c>
      <c r="M2044" s="1"/>
      <c r="N2044" s="1" t="s">
        <v>7299</v>
      </c>
      <c r="O2044" s="15" t="s">
        <v>40</v>
      </c>
      <c r="P2044" s="15" t="s">
        <v>41</v>
      </c>
      <c r="Q2044" s="1" t="s">
        <v>7323</v>
      </c>
      <c r="R2044" s="2" t="s">
        <v>7324</v>
      </c>
      <c r="S2044" s="1" t="s">
        <v>46</v>
      </c>
      <c r="T2044" s="1" t="s">
        <v>7307</v>
      </c>
      <c r="U2044" s="1" t="s">
        <v>636</v>
      </c>
      <c r="V2044" s="1" t="s">
        <v>45</v>
      </c>
      <c r="W2044" s="1"/>
      <c r="X2044" s="1"/>
      <c r="Y2044" s="1"/>
      <c r="Z2044" s="1" t="s">
        <v>673</v>
      </c>
      <c r="AA2044" s="1" t="s">
        <v>46</v>
      </c>
      <c r="AB2044" s="1" t="s">
        <v>7325</v>
      </c>
      <c r="AC2044" s="1" t="s">
        <v>46</v>
      </c>
      <c r="AD2044" s="1"/>
      <c r="AE2044" s="1" t="s">
        <v>641</v>
      </c>
      <c r="AF2044" s="1" t="s">
        <v>190</v>
      </c>
      <c r="AG2044" s="1">
        <v>6</v>
      </c>
      <c r="AH2044" s="1" t="s">
        <v>190</v>
      </c>
      <c r="AI2044" s="1"/>
      <c r="AJ2044" s="3">
        <v>43381.96601851852</v>
      </c>
      <c r="AK2044" s="1" t="s">
        <v>4424</v>
      </c>
    </row>
    <row r="2045" spans="1:37">
      <c r="A2045" s="1" t="e">
        <f>VLOOKUP(H2045,Languages!$A$2:$B$430,2,FALSE)</f>
        <v>#N/A</v>
      </c>
      <c r="B2045" s="1" t="s">
        <v>59</v>
      </c>
      <c r="C2045" s="1" t="s">
        <v>477</v>
      </c>
      <c r="D2045" s="1" t="s">
        <v>953</v>
      </c>
      <c r="E2045" s="15" t="s">
        <v>954</v>
      </c>
      <c r="F2045" s="15" t="s">
        <v>954</v>
      </c>
      <c r="G2045" s="1" t="s">
        <v>954</v>
      </c>
      <c r="H2045" s="1">
        <f>VLOOKUP(G2045,'languoid 4.0'!$A$1:$I$24439,2,FALSE)</f>
        <v>0</v>
      </c>
      <c r="I2045" s="1" t="str">
        <f>VLOOKUP(G2045,'languoid 4.0'!$A$1:$I$24439,6,FALSE)</f>
        <v>language</v>
      </c>
      <c r="J2045" s="15" t="s">
        <v>38</v>
      </c>
      <c r="K2045" s="15" t="s">
        <v>38</v>
      </c>
      <c r="L2045" s="15" t="s">
        <v>38</v>
      </c>
      <c r="M2045" s="1"/>
      <c r="N2045" s="1" t="s">
        <v>955</v>
      </c>
      <c r="O2045" s="15" t="s">
        <v>40</v>
      </c>
      <c r="P2045" s="15" t="s">
        <v>41</v>
      </c>
      <c r="Q2045" s="1" t="s">
        <v>960</v>
      </c>
      <c r="R2045" s="2" t="s">
        <v>961</v>
      </c>
      <c r="S2045" s="1" t="s">
        <v>46</v>
      </c>
      <c r="T2045" s="1" t="s">
        <v>635</v>
      </c>
      <c r="U2045" s="1" t="s">
        <v>636</v>
      </c>
      <c r="V2045" s="1" t="s">
        <v>45</v>
      </c>
      <c r="W2045" s="1"/>
      <c r="X2045" s="1"/>
      <c r="Y2045" s="1"/>
      <c r="Z2045" s="1" t="s">
        <v>658</v>
      </c>
      <c r="AA2045" s="1" t="s">
        <v>962</v>
      </c>
      <c r="AB2045" s="1" t="s">
        <v>46</v>
      </c>
      <c r="AC2045" s="1" t="s">
        <v>46</v>
      </c>
      <c r="AD2045" s="1"/>
      <c r="AE2045" s="1" t="s">
        <v>641</v>
      </c>
      <c r="AF2045" s="1" t="s">
        <v>190</v>
      </c>
      <c r="AG2045" s="1">
        <v>5</v>
      </c>
      <c r="AH2045" s="1" t="s">
        <v>190</v>
      </c>
      <c r="AI2045" s="1"/>
      <c r="AJ2045" s="3">
        <v>43283.443854166668</v>
      </c>
      <c r="AK2045" s="1" t="s">
        <v>651</v>
      </c>
    </row>
    <row r="2046" spans="1:37">
      <c r="A2046" s="1" t="e">
        <f>VLOOKUP(H2046,Languages!$A$2:$B$430,2,FALSE)</f>
        <v>#N/A</v>
      </c>
      <c r="B2046" s="1" t="s">
        <v>59</v>
      </c>
      <c r="C2046" s="1" t="s">
        <v>477</v>
      </c>
      <c r="D2046" s="1" t="s">
        <v>970</v>
      </c>
      <c r="E2046" s="15" t="s">
        <v>971</v>
      </c>
      <c r="F2046" s="15" t="s">
        <v>971</v>
      </c>
      <c r="G2046" s="1" t="s">
        <v>971</v>
      </c>
      <c r="H2046" s="1">
        <f>VLOOKUP(G2046,'languoid 4.0'!$A$1:$I$24439,2,FALSE)</f>
        <v>0</v>
      </c>
      <c r="I2046" s="1" t="str">
        <f>VLOOKUP(G2046,'languoid 4.0'!$A$1:$I$24439,6,FALSE)</f>
        <v>language</v>
      </c>
      <c r="J2046" s="15" t="s">
        <v>38</v>
      </c>
      <c r="K2046" s="15" t="s">
        <v>38</v>
      </c>
      <c r="L2046" s="15" t="s">
        <v>38</v>
      </c>
      <c r="M2046" s="1"/>
      <c r="N2046" s="1" t="s">
        <v>972</v>
      </c>
      <c r="O2046" s="15" t="s">
        <v>40</v>
      </c>
      <c r="P2046" s="15" t="s">
        <v>41</v>
      </c>
      <c r="Q2046" s="1" t="s">
        <v>973</v>
      </c>
      <c r="R2046" s="2" t="s">
        <v>974</v>
      </c>
      <c r="S2046" s="1" t="s">
        <v>46</v>
      </c>
      <c r="T2046" s="1" t="s">
        <v>635</v>
      </c>
      <c r="U2046" s="1" t="s">
        <v>636</v>
      </c>
      <c r="V2046" s="1" t="s">
        <v>45</v>
      </c>
      <c r="W2046" s="1"/>
      <c r="X2046" s="1"/>
      <c r="Y2046" s="1"/>
      <c r="Z2046" s="1" t="s">
        <v>658</v>
      </c>
      <c r="AA2046" s="1" t="s">
        <v>975</v>
      </c>
      <c r="AB2046" s="1" t="s">
        <v>976</v>
      </c>
      <c r="AC2046" s="1" t="s">
        <v>46</v>
      </c>
      <c r="AD2046" s="1"/>
      <c r="AE2046" s="1" t="s">
        <v>641</v>
      </c>
      <c r="AF2046" s="1" t="s">
        <v>190</v>
      </c>
      <c r="AG2046" s="1">
        <v>4</v>
      </c>
      <c r="AH2046" s="1" t="s">
        <v>190</v>
      </c>
      <c r="AI2046" s="1"/>
      <c r="AJ2046" s="3">
        <v>43283.47210648148</v>
      </c>
      <c r="AK2046" s="1" t="s">
        <v>651</v>
      </c>
    </row>
    <row r="2047" spans="1:37">
      <c r="A2047" s="1" t="e">
        <f>VLOOKUP(H2047,Languages!$A$2:$B$430,2,FALSE)</f>
        <v>#N/A</v>
      </c>
      <c r="B2047" s="1" t="s">
        <v>59</v>
      </c>
      <c r="C2047" s="1" t="s">
        <v>477</v>
      </c>
      <c r="D2047" s="1" t="s">
        <v>2973</v>
      </c>
      <c r="E2047" s="15" t="s">
        <v>2974</v>
      </c>
      <c r="F2047" s="15" t="s">
        <v>2975</v>
      </c>
      <c r="G2047" s="1" t="s">
        <v>2975</v>
      </c>
      <c r="H2047" s="1">
        <f>VLOOKUP(G2047,'languoid 4.0'!$A$1:$I$24439,2,FALSE)</f>
        <v>0</v>
      </c>
      <c r="I2047" s="1" t="str">
        <f>VLOOKUP(G2047,'languoid 4.0'!$A$1:$I$24439,6,FALSE)</f>
        <v>family</v>
      </c>
      <c r="J2047" s="15" t="s">
        <v>52</v>
      </c>
      <c r="K2047" s="15" t="s">
        <v>38</v>
      </c>
      <c r="L2047" s="15" t="s">
        <v>38</v>
      </c>
      <c r="M2047" s="1"/>
      <c r="N2047" s="1" t="s">
        <v>2976</v>
      </c>
      <c r="O2047" s="15" t="s">
        <v>40</v>
      </c>
      <c r="P2047" s="15" t="s">
        <v>41</v>
      </c>
      <c r="Q2047" s="1" t="s">
        <v>2977</v>
      </c>
      <c r="R2047" s="2" t="s">
        <v>2978</v>
      </c>
      <c r="S2047" s="1">
        <v>1</v>
      </c>
      <c r="T2047" s="1" t="s">
        <v>2967</v>
      </c>
      <c r="U2047" s="1" t="s">
        <v>636</v>
      </c>
      <c r="V2047" s="1" t="s">
        <v>45</v>
      </c>
      <c r="W2047" s="1"/>
      <c r="X2047" s="1"/>
      <c r="Y2047" s="1"/>
      <c r="Z2047" s="1" t="s">
        <v>637</v>
      </c>
      <c r="AA2047" s="1" t="s">
        <v>2979</v>
      </c>
      <c r="AB2047" s="1" t="s">
        <v>46</v>
      </c>
      <c r="AC2047" s="1" t="s">
        <v>46</v>
      </c>
      <c r="AD2047" s="1"/>
      <c r="AE2047" s="1" t="s">
        <v>2980</v>
      </c>
      <c r="AF2047" s="1" t="s">
        <v>190</v>
      </c>
      <c r="AG2047" s="1">
        <v>3</v>
      </c>
      <c r="AH2047" s="1" t="s">
        <v>190</v>
      </c>
      <c r="AI2047" s="1"/>
      <c r="AJ2047" s="1" t="s">
        <v>2981</v>
      </c>
      <c r="AK2047" s="1" t="s">
        <v>651</v>
      </c>
    </row>
    <row r="2048" spans="1:37">
      <c r="A2048" s="1" t="e">
        <f>VLOOKUP(H2048,Languages!$A$2:$B$430,2,FALSE)</f>
        <v>#N/A</v>
      </c>
      <c r="B2048" s="1" t="s">
        <v>59</v>
      </c>
      <c r="C2048" s="1" t="s">
        <v>214</v>
      </c>
      <c r="D2048" s="1" t="s">
        <v>913</v>
      </c>
      <c r="E2048" s="15" t="s">
        <v>51</v>
      </c>
      <c r="F2048" s="15" t="s">
        <v>180</v>
      </c>
      <c r="G2048" s="1" t="s">
        <v>51</v>
      </c>
      <c r="H2048" s="1" t="e">
        <f>VLOOKUP(G2048,'languoid 4.0'!$A$1:$I$24439,2,FALSE)</f>
        <v>#N/A</v>
      </c>
      <c r="I2048" s="1" t="e">
        <f>VLOOKUP(G2048,'languoid 4.0'!$A$1:$I$24439,6,FALSE)</f>
        <v>#N/A</v>
      </c>
      <c r="J2048" s="15" t="s">
        <v>52</v>
      </c>
      <c r="K2048" s="15" t="s">
        <v>51</v>
      </c>
      <c r="L2048" s="15" t="s">
        <v>51</v>
      </c>
      <c r="M2048" s="1"/>
      <c r="N2048" s="1" t="e">
        <v>#N/A</v>
      </c>
      <c r="O2048" s="15" t="s">
        <v>690</v>
      </c>
      <c r="P2048" s="15"/>
      <c r="Q2048" s="1" t="s">
        <v>914</v>
      </c>
      <c r="R2048" s="2" t="s">
        <v>915</v>
      </c>
      <c r="S2048" s="1" t="s">
        <v>656</v>
      </c>
      <c r="T2048" s="1" t="s">
        <v>657</v>
      </c>
      <c r="U2048" s="1" t="s">
        <v>916</v>
      </c>
      <c r="V2048" s="1" t="s">
        <v>45</v>
      </c>
      <c r="W2048" s="1"/>
      <c r="X2048" s="1"/>
      <c r="Y2048" s="1"/>
      <c r="Z2048" s="1" t="s">
        <v>823</v>
      </c>
      <c r="AA2048" s="1" t="s">
        <v>917</v>
      </c>
      <c r="AB2048" s="1" t="s">
        <v>918</v>
      </c>
      <c r="AC2048" s="1" t="s">
        <v>919</v>
      </c>
      <c r="AD2048" s="1" t="s">
        <v>920</v>
      </c>
      <c r="AE2048" s="1" t="s">
        <v>641</v>
      </c>
      <c r="AF2048" s="1" t="s">
        <v>190</v>
      </c>
      <c r="AG2048" s="1">
        <v>5</v>
      </c>
      <c r="AH2048" s="1" t="s">
        <v>190</v>
      </c>
      <c r="AI2048" s="1" t="s">
        <v>921</v>
      </c>
      <c r="AJ2048" s="3">
        <v>43253.708391203705</v>
      </c>
      <c r="AK2048" s="1" t="s">
        <v>740</v>
      </c>
    </row>
    <row r="2049" spans="1:37">
      <c r="A2049" s="1" t="e">
        <f>VLOOKUP(H2049,Languages!$A$2:$B$430,2,FALSE)</f>
        <v>#N/A</v>
      </c>
      <c r="B2049" s="1" t="s">
        <v>59</v>
      </c>
      <c r="C2049" s="1" t="s">
        <v>298</v>
      </c>
      <c r="D2049" s="1" t="s">
        <v>299</v>
      </c>
      <c r="E2049" s="15" t="s">
        <v>300</v>
      </c>
      <c r="F2049" s="15" t="s">
        <v>300</v>
      </c>
      <c r="G2049" s="1" t="s">
        <v>300</v>
      </c>
      <c r="H2049" s="1">
        <f>VLOOKUP(G2049,'languoid 4.0'!$A$1:$I$24439,2,FALSE)</f>
        <v>0</v>
      </c>
      <c r="I2049" s="1" t="str">
        <f>VLOOKUP(G2049,'languoid 4.0'!$A$1:$I$24439,6,FALSE)</f>
        <v>family</v>
      </c>
      <c r="J2049" s="15" t="s">
        <v>38</v>
      </c>
      <c r="K2049" s="15" t="s">
        <v>38</v>
      </c>
      <c r="L2049" s="15" t="s">
        <v>38</v>
      </c>
      <c r="M2049" s="1"/>
      <c r="N2049" s="1"/>
      <c r="O2049" s="15" t="s">
        <v>40</v>
      </c>
      <c r="P2049" s="15" t="s">
        <v>41</v>
      </c>
      <c r="Q2049" s="1" t="s">
        <v>453</v>
      </c>
      <c r="R2049" s="2" t="s">
        <v>454</v>
      </c>
      <c r="S2049" s="1" t="s">
        <v>455</v>
      </c>
      <c r="T2049" s="1" t="s">
        <v>44</v>
      </c>
      <c r="U2049" s="1"/>
      <c r="V2049" s="1" t="s">
        <v>45</v>
      </c>
      <c r="W2049" s="1"/>
      <c r="X2049" s="1"/>
      <c r="Y2049" s="1"/>
      <c r="Z2049" s="1"/>
      <c r="AA2049" s="1">
        <v>2</v>
      </c>
      <c r="AB2049" s="4">
        <v>43683</v>
      </c>
      <c r="AC2049" s="4">
        <v>43652</v>
      </c>
      <c r="AD2049" s="1"/>
      <c r="AE2049" s="1"/>
      <c r="AF2049" s="1"/>
      <c r="AG2049" s="1"/>
      <c r="AH2049" s="1"/>
      <c r="AI2049" s="1"/>
      <c r="AJ2049" s="3">
        <v>43102.749710648146</v>
      </c>
      <c r="AK2049" s="1" t="s">
        <v>57</v>
      </c>
    </row>
    <row r="2050" spans="1:37">
      <c r="A2050" s="1" t="e">
        <f>VLOOKUP(H2050,Languages!$A$2:$B$430,2,FALSE)</f>
        <v>#N/A</v>
      </c>
      <c r="B2050" s="1" t="s">
        <v>59</v>
      </c>
      <c r="C2050" s="1" t="s">
        <v>101</v>
      </c>
      <c r="D2050" s="1" t="s">
        <v>102</v>
      </c>
      <c r="E2050" s="15" t="s">
        <v>103</v>
      </c>
      <c r="F2050" s="15" t="s">
        <v>239</v>
      </c>
      <c r="G2050" s="1" t="s">
        <v>103</v>
      </c>
      <c r="H2050" s="1">
        <f>VLOOKUP(G2050,'languoid 4.0'!$A$1:$I$24439,2,FALSE)</f>
        <v>0</v>
      </c>
      <c r="I2050" s="1" t="str">
        <f>VLOOKUP(G2050,'languoid 4.0'!$A$1:$I$24439,6,FALSE)</f>
        <v>language</v>
      </c>
      <c r="J2050" s="15" t="s">
        <v>52</v>
      </c>
      <c r="K2050" s="15" t="s">
        <v>52</v>
      </c>
      <c r="L2050" s="15" t="s">
        <v>368</v>
      </c>
      <c r="M2050" s="1" t="s">
        <v>566</v>
      </c>
      <c r="N2050" s="1" t="s">
        <v>104</v>
      </c>
      <c r="O2050" s="15" t="s">
        <v>40</v>
      </c>
      <c r="P2050" s="15" t="s">
        <v>41</v>
      </c>
      <c r="Q2050" s="1" t="s">
        <v>567</v>
      </c>
      <c r="R2050" s="2" t="s">
        <v>488</v>
      </c>
      <c r="S2050" s="1" t="s">
        <v>179</v>
      </c>
      <c r="T2050" s="1" t="s">
        <v>44</v>
      </c>
      <c r="U2050" s="1"/>
      <c r="V2050" s="1" t="s">
        <v>45</v>
      </c>
      <c r="W2050" s="1"/>
      <c r="X2050" s="1"/>
      <c r="Y2050" s="1"/>
      <c r="Z2050" s="1"/>
      <c r="AA2050" s="1">
        <v>2</v>
      </c>
      <c r="AB2050" s="1">
        <v>2</v>
      </c>
      <c r="AC2050" s="1" t="s">
        <v>46</v>
      </c>
      <c r="AD2050" s="1"/>
      <c r="AE2050" s="1"/>
      <c r="AF2050" s="1"/>
      <c r="AG2050" s="1"/>
      <c r="AH2050" s="1"/>
      <c r="AI2050" s="1"/>
      <c r="AJ2050" s="3">
        <v>43102.757650462961</v>
      </c>
      <c r="AK2050" s="1" t="s">
        <v>47</v>
      </c>
    </row>
    <row r="2051" spans="1:37">
      <c r="A2051" s="1" t="e">
        <f>VLOOKUP(H2051,Languages!$A$2:$B$430,2,FALSE)</f>
        <v>#N/A</v>
      </c>
      <c r="B2051" s="1" t="s">
        <v>59</v>
      </c>
      <c r="C2051" s="1" t="s">
        <v>419</v>
      </c>
      <c r="D2051" s="1" t="s">
        <v>970</v>
      </c>
      <c r="E2051" s="15" t="s">
        <v>971</v>
      </c>
      <c r="F2051" s="15" t="s">
        <v>971</v>
      </c>
      <c r="G2051" s="1" t="s">
        <v>971</v>
      </c>
      <c r="H2051" s="1">
        <f>VLOOKUP(G2051,'languoid 4.0'!$A$1:$I$24439,2,FALSE)</f>
        <v>0</v>
      </c>
      <c r="I2051" s="1" t="str">
        <f>VLOOKUP(G2051,'languoid 4.0'!$A$1:$I$24439,6,FALSE)</f>
        <v>language</v>
      </c>
      <c r="J2051" s="15" t="s">
        <v>38</v>
      </c>
      <c r="K2051" s="15" t="s">
        <v>38</v>
      </c>
      <c r="L2051" s="15" t="s">
        <v>38</v>
      </c>
      <c r="M2051" s="1"/>
      <c r="N2051" s="1" t="s">
        <v>972</v>
      </c>
      <c r="O2051" s="15" t="s">
        <v>40</v>
      </c>
      <c r="P2051" s="15" t="s">
        <v>41</v>
      </c>
      <c r="Q2051" s="1" t="s">
        <v>973</v>
      </c>
      <c r="R2051" s="2" t="s">
        <v>1614</v>
      </c>
      <c r="S2051" s="1" t="s">
        <v>46</v>
      </c>
      <c r="T2051" s="1" t="s">
        <v>635</v>
      </c>
      <c r="U2051" s="1" t="s">
        <v>636</v>
      </c>
      <c r="V2051" s="1" t="s">
        <v>45</v>
      </c>
      <c r="W2051" s="1"/>
      <c r="X2051" s="1"/>
      <c r="Y2051" s="1"/>
      <c r="Z2051" s="1" t="s">
        <v>637</v>
      </c>
      <c r="AA2051" s="1" t="s">
        <v>1615</v>
      </c>
      <c r="AB2051" s="1" t="s">
        <v>1616</v>
      </c>
      <c r="AC2051" s="1" t="s">
        <v>46</v>
      </c>
      <c r="AD2051" s="1" t="s">
        <v>1617</v>
      </c>
      <c r="AE2051" s="1" t="s">
        <v>641</v>
      </c>
      <c r="AF2051" s="1" t="s">
        <v>190</v>
      </c>
      <c r="AG2051" s="1">
        <v>6</v>
      </c>
      <c r="AH2051" s="1" t="s">
        <v>190</v>
      </c>
      <c r="AI2051" s="1" t="s">
        <v>46</v>
      </c>
      <c r="AJ2051" s="3">
        <v>43162.633101851854</v>
      </c>
      <c r="AK2051" s="1" t="s">
        <v>1607</v>
      </c>
    </row>
    <row r="2052" spans="1:37">
      <c r="A2052" s="1" t="e">
        <f>VLOOKUP(H2052,Languages!$A$2:$B$430,2,FALSE)</f>
        <v>#N/A</v>
      </c>
      <c r="B2052" s="1" t="s">
        <v>59</v>
      </c>
      <c r="C2052" s="1" t="s">
        <v>419</v>
      </c>
      <c r="D2052" s="1" t="s">
        <v>1618</v>
      </c>
      <c r="E2052" s="15" t="s">
        <v>978</v>
      </c>
      <c r="F2052" s="15" t="s">
        <v>979</v>
      </c>
      <c r="G2052" s="1" t="s">
        <v>978</v>
      </c>
      <c r="H2052" s="1">
        <f>VLOOKUP(G2052,'languoid 4.0'!$A$1:$I$24439,2,FALSE)</f>
        <v>0</v>
      </c>
      <c r="I2052" s="1" t="str">
        <f>VLOOKUP(G2052,'languoid 4.0'!$A$1:$I$24439,6,FALSE)</f>
        <v>family</v>
      </c>
      <c r="J2052" s="15" t="s">
        <v>52</v>
      </c>
      <c r="K2052" s="15" t="s">
        <v>368</v>
      </c>
      <c r="L2052" s="15" t="s">
        <v>38</v>
      </c>
      <c r="M2052" s="1"/>
      <c r="N2052" s="1"/>
      <c r="O2052" s="15" t="s">
        <v>113</v>
      </c>
      <c r="P2052" s="15" t="s">
        <v>41</v>
      </c>
      <c r="Q2052" s="1" t="s">
        <v>79</v>
      </c>
      <c r="R2052" s="2" t="s">
        <v>1619</v>
      </c>
      <c r="S2052" s="1" t="s">
        <v>46</v>
      </c>
      <c r="T2052" s="1" t="s">
        <v>635</v>
      </c>
      <c r="U2052" s="1" t="s">
        <v>636</v>
      </c>
      <c r="V2052" s="1" t="s">
        <v>45</v>
      </c>
      <c r="W2052" s="1"/>
      <c r="X2052" s="1"/>
      <c r="Y2052" s="1"/>
      <c r="Z2052" s="1" t="s">
        <v>637</v>
      </c>
      <c r="AA2052" s="1" t="s">
        <v>79</v>
      </c>
      <c r="AB2052" s="1" t="s">
        <v>1620</v>
      </c>
      <c r="AC2052" s="1" t="s">
        <v>46</v>
      </c>
      <c r="AD2052" s="1" t="s">
        <v>1621</v>
      </c>
      <c r="AE2052" s="1" t="s">
        <v>641</v>
      </c>
      <c r="AF2052" s="1" t="s">
        <v>190</v>
      </c>
      <c r="AG2052" s="1">
        <v>6</v>
      </c>
      <c r="AH2052" s="1" t="s">
        <v>190</v>
      </c>
      <c r="AI2052" s="1" t="s">
        <v>46</v>
      </c>
      <c r="AJ2052" s="3">
        <v>43162.640682870369</v>
      </c>
      <c r="AK2052" s="1" t="s">
        <v>1607</v>
      </c>
    </row>
    <row r="2053" spans="1:37">
      <c r="A2053" s="1" t="e">
        <f>VLOOKUP(H2053,Languages!$A$2:$B$430,2,FALSE)</f>
        <v>#N/A</v>
      </c>
      <c r="B2053" s="1" t="s">
        <v>59</v>
      </c>
      <c r="C2053" s="1" t="s">
        <v>89</v>
      </c>
      <c r="D2053" s="1" t="s">
        <v>8896</v>
      </c>
      <c r="E2053" s="15" t="s">
        <v>51</v>
      </c>
      <c r="F2053" s="15" t="s">
        <v>51</v>
      </c>
      <c r="G2053" s="1" t="s">
        <v>8897</v>
      </c>
      <c r="H2053" s="1">
        <f>VLOOKUP(G2053,'languoid 4.0'!$A$1:$I$24439,2,FALSE)</f>
        <v>0</v>
      </c>
      <c r="I2053" s="1" t="str">
        <f>VLOOKUP(G2053,'languoid 4.0'!$A$1:$I$24439,6,FALSE)</f>
        <v>family</v>
      </c>
      <c r="J2053" s="15" t="s">
        <v>51</v>
      </c>
      <c r="K2053" s="15" t="s">
        <v>51</v>
      </c>
      <c r="L2053" s="15" t="s">
        <v>51</v>
      </c>
      <c r="M2053" s="1"/>
      <c r="N2053" s="1" t="e">
        <v>#N/A</v>
      </c>
      <c r="O2053" s="15" t="s">
        <v>690</v>
      </c>
      <c r="P2053" s="15"/>
      <c r="Q2053" s="1" t="s">
        <v>8898</v>
      </c>
      <c r="R2053" s="2" t="s">
        <v>8899</v>
      </c>
      <c r="S2053" s="1" t="s">
        <v>4821</v>
      </c>
      <c r="T2053" s="1" t="s">
        <v>657</v>
      </c>
      <c r="U2053" s="1" t="s">
        <v>636</v>
      </c>
      <c r="V2053" s="1" t="s">
        <v>45</v>
      </c>
      <c r="W2053" s="1"/>
      <c r="X2053" s="1"/>
      <c r="Y2053" s="1"/>
      <c r="Z2053" s="1" t="s">
        <v>673</v>
      </c>
      <c r="AA2053" s="1" t="s">
        <v>8900</v>
      </c>
      <c r="AB2053" s="1" t="s">
        <v>8901</v>
      </c>
      <c r="AC2053" s="1" t="s">
        <v>8902</v>
      </c>
      <c r="AD2053" s="1"/>
      <c r="AE2053" s="1" t="s">
        <v>641</v>
      </c>
      <c r="AF2053" s="1" t="s">
        <v>190</v>
      </c>
      <c r="AG2053" s="1">
        <v>6</v>
      </c>
      <c r="AH2053" s="1" t="s">
        <v>190</v>
      </c>
      <c r="AI2053" s="1"/>
      <c r="AJ2053" s="1" t="s">
        <v>8903</v>
      </c>
      <c r="AK2053" s="1" t="s">
        <v>5865</v>
      </c>
    </row>
    <row r="2054" spans="1:37">
      <c r="A2054" s="1" t="e">
        <f>VLOOKUP(H2054,Languages!$A$2:$B$430,2,FALSE)</f>
        <v>#N/A</v>
      </c>
      <c r="B2054" s="1" t="s">
        <v>59</v>
      </c>
      <c r="C2054" s="1" t="s">
        <v>124</v>
      </c>
      <c r="D2054" s="1" t="s">
        <v>9598</v>
      </c>
      <c r="E2054" s="15" t="s">
        <v>51</v>
      </c>
      <c r="F2054" s="15" t="s">
        <v>51</v>
      </c>
      <c r="G2054" s="1" t="s">
        <v>51</v>
      </c>
      <c r="H2054" s="1" t="e">
        <f>VLOOKUP(G2054,'languoid 4.0'!$A$1:$I$24439,2,FALSE)</f>
        <v>#N/A</v>
      </c>
      <c r="I2054" s="1" t="e">
        <f>VLOOKUP(G2054,'languoid 4.0'!$A$1:$I$24439,6,FALSE)</f>
        <v>#N/A</v>
      </c>
      <c r="J2054" s="15" t="s">
        <v>51</v>
      </c>
      <c r="K2054" s="15" t="s">
        <v>51</v>
      </c>
      <c r="L2054" s="15" t="s">
        <v>51</v>
      </c>
      <c r="M2054" s="1"/>
      <c r="N2054" s="1" t="e">
        <v>#N/A</v>
      </c>
      <c r="O2054" s="15" t="s">
        <v>690</v>
      </c>
      <c r="P2054" s="15"/>
      <c r="Q2054" s="1" t="s">
        <v>9599</v>
      </c>
      <c r="R2054" s="2" t="s">
        <v>9600</v>
      </c>
      <c r="S2054" s="1" t="s">
        <v>225</v>
      </c>
      <c r="T2054" s="1" t="s">
        <v>9601</v>
      </c>
      <c r="U2054" s="1" t="s">
        <v>9602</v>
      </c>
      <c r="V2054" s="1" t="s">
        <v>45</v>
      </c>
      <c r="W2054" s="1"/>
      <c r="X2054" s="1"/>
      <c r="Y2054" s="1"/>
      <c r="Z2054" s="1" t="s">
        <v>637</v>
      </c>
      <c r="AA2054" s="1" t="s">
        <v>9603</v>
      </c>
      <c r="AB2054" s="1" t="s">
        <v>9604</v>
      </c>
      <c r="AC2054" s="1" t="s">
        <v>46</v>
      </c>
      <c r="AD2054" s="1"/>
      <c r="AE2054" s="1" t="s">
        <v>641</v>
      </c>
      <c r="AF2054" s="1" t="s">
        <v>45</v>
      </c>
      <c r="AG2054" s="1">
        <v>1</v>
      </c>
      <c r="AH2054" s="1" t="s">
        <v>190</v>
      </c>
      <c r="AI2054" s="1"/>
      <c r="AJ2054" s="3">
        <v>43414.603506944448</v>
      </c>
      <c r="AK2054" s="1" t="s">
        <v>4945</v>
      </c>
    </row>
    <row r="2055" spans="1:37">
      <c r="A2055" s="1" t="e">
        <f>VLOOKUP(H2055,Languages!$A$2:$B$430,2,FALSE)</f>
        <v>#N/A</v>
      </c>
      <c r="B2055" s="1" t="s">
        <v>59</v>
      </c>
      <c r="C2055" s="1" t="s">
        <v>206</v>
      </c>
      <c r="D2055" s="1" t="s">
        <v>388</v>
      </c>
      <c r="E2055" s="15" t="s">
        <v>389</v>
      </c>
      <c r="F2055" s="15" t="s">
        <v>389</v>
      </c>
      <c r="G2055" s="1" t="s">
        <v>389</v>
      </c>
      <c r="H2055" s="1">
        <f>VLOOKUP(G2055,'languoid 4.0'!$A$1:$I$24439,2,FALSE)</f>
        <v>0</v>
      </c>
      <c r="I2055" s="1" t="str">
        <f>VLOOKUP(G2055,'languoid 4.0'!$A$1:$I$24439,6,FALSE)</f>
        <v>family</v>
      </c>
      <c r="J2055" s="15" t="s">
        <v>38</v>
      </c>
      <c r="K2055" s="15" t="s">
        <v>38</v>
      </c>
      <c r="L2055" s="15" t="s">
        <v>38</v>
      </c>
      <c r="M2055" s="1"/>
      <c r="N2055" s="1"/>
      <c r="O2055" s="15" t="s">
        <v>40</v>
      </c>
      <c r="P2055" s="15" t="s">
        <v>41</v>
      </c>
      <c r="Q2055" s="1" t="s">
        <v>390</v>
      </c>
      <c r="R2055" s="2" t="s">
        <v>391</v>
      </c>
      <c r="S2055" s="1" t="s">
        <v>197</v>
      </c>
      <c r="T2055" s="1" t="s">
        <v>44</v>
      </c>
      <c r="U2055" s="1"/>
      <c r="V2055" s="1" t="s">
        <v>45</v>
      </c>
      <c r="W2055" s="1"/>
      <c r="X2055" s="1"/>
      <c r="Y2055" s="1"/>
      <c r="Z2055" s="1"/>
      <c r="AA2055" s="1">
        <v>2</v>
      </c>
      <c r="AB2055" s="1">
        <v>2</v>
      </c>
      <c r="AC2055" s="1" t="s">
        <v>46</v>
      </c>
      <c r="AD2055" s="1"/>
      <c r="AE2055" s="1"/>
      <c r="AF2055" s="1"/>
      <c r="AG2055" s="1"/>
      <c r="AH2055" s="1"/>
      <c r="AI2055" s="1"/>
      <c r="AJ2055" s="3">
        <v>43102.74596064815</v>
      </c>
      <c r="AK2055" s="1" t="s">
        <v>74</v>
      </c>
    </row>
    <row r="2056" spans="1:37">
      <c r="A2056" s="1" t="e">
        <f>VLOOKUP(H2056,Languages!$A$2:$B$430,2,FALSE)</f>
        <v>#N/A</v>
      </c>
      <c r="B2056" s="1" t="s">
        <v>59</v>
      </c>
      <c r="C2056" s="1" t="s">
        <v>132</v>
      </c>
      <c r="D2056" s="1" t="s">
        <v>1341</v>
      </c>
      <c r="E2056" s="15" t="s">
        <v>1342</v>
      </c>
      <c r="F2056" s="15" t="s">
        <v>1342</v>
      </c>
      <c r="G2056" s="1" t="s">
        <v>1342</v>
      </c>
      <c r="H2056" s="1">
        <f>VLOOKUP(G2056,'languoid 4.0'!$A$1:$I$24439,2,FALSE)</f>
        <v>0</v>
      </c>
      <c r="I2056" s="1" t="str">
        <f>VLOOKUP(G2056,'languoid 4.0'!$A$1:$I$24439,6,FALSE)</f>
        <v>family</v>
      </c>
      <c r="J2056" s="15" t="s">
        <v>38</v>
      </c>
      <c r="K2056" s="15" t="s">
        <v>38</v>
      </c>
      <c r="L2056" s="15" t="s">
        <v>38</v>
      </c>
      <c r="M2056" s="1"/>
      <c r="N2056" s="1"/>
      <c r="O2056" s="15" t="s">
        <v>113</v>
      </c>
      <c r="P2056" s="15" t="s">
        <v>41</v>
      </c>
      <c r="Q2056" s="1" t="s">
        <v>79</v>
      </c>
      <c r="R2056" s="2" t="s">
        <v>1343</v>
      </c>
      <c r="S2056" s="1" t="s">
        <v>46</v>
      </c>
      <c r="T2056" s="1" t="s">
        <v>635</v>
      </c>
      <c r="U2056" s="1" t="s">
        <v>636</v>
      </c>
      <c r="V2056" s="1" t="s">
        <v>45</v>
      </c>
      <c r="W2056" s="1"/>
      <c r="X2056" s="1"/>
      <c r="Y2056" s="1"/>
      <c r="Z2056" s="1" t="s">
        <v>1344</v>
      </c>
      <c r="AA2056" s="1" t="s">
        <v>1345</v>
      </c>
      <c r="AB2056" s="1" t="s">
        <v>1346</v>
      </c>
      <c r="AC2056" s="1" t="s">
        <v>46</v>
      </c>
      <c r="AD2056" s="1" t="s">
        <v>46</v>
      </c>
      <c r="AE2056" s="1" t="s">
        <v>641</v>
      </c>
      <c r="AF2056" s="1" t="s">
        <v>45</v>
      </c>
      <c r="AG2056" s="1">
        <v>1</v>
      </c>
      <c r="AH2056" s="1" t="s">
        <v>190</v>
      </c>
      <c r="AI2056" s="1"/>
      <c r="AJ2056" s="1" t="s">
        <v>1347</v>
      </c>
      <c r="AK2056" s="1" t="s">
        <v>1034</v>
      </c>
    </row>
    <row r="2057" spans="1:37">
      <c r="A2057" s="1" t="e">
        <f>VLOOKUP(H2057,Languages!$A$2:$B$430,2,FALSE)</f>
        <v>#N/A</v>
      </c>
      <c r="B2057" s="1" t="s">
        <v>109</v>
      </c>
      <c r="C2057" s="1" t="s">
        <v>477</v>
      </c>
      <c r="D2057" s="1" t="s">
        <v>953</v>
      </c>
      <c r="E2057" s="15" t="s">
        <v>954</v>
      </c>
      <c r="F2057" s="15" t="s">
        <v>954</v>
      </c>
      <c r="G2057" s="1" t="s">
        <v>954</v>
      </c>
      <c r="H2057" s="1">
        <f>VLOOKUP(G2057,'languoid 4.0'!$A$1:$I$24439,2,FALSE)</f>
        <v>0</v>
      </c>
      <c r="I2057" s="1" t="str">
        <f>VLOOKUP(G2057,'languoid 4.0'!$A$1:$I$24439,6,FALSE)</f>
        <v>language</v>
      </c>
      <c r="J2057" s="15" t="s">
        <v>38</v>
      </c>
      <c r="K2057" s="15" t="s">
        <v>38</v>
      </c>
      <c r="L2057" s="15" t="s">
        <v>38</v>
      </c>
      <c r="M2057" s="1"/>
      <c r="N2057" s="1" t="s">
        <v>955</v>
      </c>
      <c r="O2057" s="15" t="s">
        <v>40</v>
      </c>
      <c r="P2057" s="15" t="s">
        <v>41</v>
      </c>
      <c r="Q2057" s="1" t="s">
        <v>6000</v>
      </c>
      <c r="R2057" s="2" t="s">
        <v>6001</v>
      </c>
      <c r="S2057" s="1" t="s">
        <v>6002</v>
      </c>
      <c r="T2057" s="1" t="s">
        <v>657</v>
      </c>
      <c r="U2057" s="1" t="s">
        <v>636</v>
      </c>
      <c r="V2057" s="1" t="s">
        <v>45</v>
      </c>
      <c r="W2057" s="1"/>
      <c r="X2057" s="1"/>
      <c r="Y2057" s="1"/>
      <c r="Z2057" s="1" t="s">
        <v>673</v>
      </c>
      <c r="AA2057" s="1" t="s">
        <v>46</v>
      </c>
      <c r="AB2057" s="1" t="s">
        <v>6003</v>
      </c>
      <c r="AC2057" s="1" t="s">
        <v>46</v>
      </c>
      <c r="AD2057" s="1"/>
      <c r="AE2057" s="1" t="s">
        <v>641</v>
      </c>
      <c r="AF2057" s="1" t="s">
        <v>190</v>
      </c>
      <c r="AG2057" s="1">
        <v>6</v>
      </c>
      <c r="AH2057" s="1" t="s">
        <v>190</v>
      </c>
      <c r="AI2057" s="1"/>
      <c r="AJ2057" s="1" t="s">
        <v>6004</v>
      </c>
      <c r="AK2057" s="1" t="s">
        <v>5678</v>
      </c>
    </row>
    <row r="2058" spans="1:37">
      <c r="A2058" s="1" t="e">
        <f>VLOOKUP(H2058,Languages!$A$2:$B$430,2,FALSE)</f>
        <v>#N/A</v>
      </c>
      <c r="B2058" s="1" t="s">
        <v>109</v>
      </c>
      <c r="C2058" s="1" t="s">
        <v>34</v>
      </c>
      <c r="D2058" s="1" t="s">
        <v>1587</v>
      </c>
      <c r="E2058" s="15" t="s">
        <v>51</v>
      </c>
      <c r="F2058" s="15" t="s">
        <v>51</v>
      </c>
      <c r="G2058" s="1" t="s">
        <v>1588</v>
      </c>
      <c r="H2058" s="1">
        <f>VLOOKUP(G2058,'languoid 4.0'!$A$1:$I$24439,2,FALSE)</f>
        <v>0</v>
      </c>
      <c r="I2058" s="1" t="str">
        <f>VLOOKUP(G2058,'languoid 4.0'!$A$1:$I$24439,6,FALSE)</f>
        <v>family</v>
      </c>
      <c r="J2058" s="15" t="s">
        <v>51</v>
      </c>
      <c r="K2058" s="15" t="s">
        <v>51</v>
      </c>
      <c r="L2058" s="15" t="s">
        <v>51</v>
      </c>
      <c r="M2058" s="1"/>
      <c r="N2058" s="1" t="e">
        <v>#N/A</v>
      </c>
      <c r="O2058" s="15" t="s">
        <v>690</v>
      </c>
      <c r="P2058" s="15"/>
      <c r="Q2058" s="1" t="s">
        <v>748</v>
      </c>
      <c r="R2058" s="2" t="s">
        <v>1589</v>
      </c>
      <c r="S2058" s="1" t="s">
        <v>225</v>
      </c>
      <c r="T2058" s="1" t="s">
        <v>754</v>
      </c>
      <c r="U2058" s="1" t="s">
        <v>636</v>
      </c>
      <c r="V2058" s="1" t="s">
        <v>45</v>
      </c>
      <c r="W2058" s="1"/>
      <c r="X2058" s="1"/>
      <c r="Y2058" s="1"/>
      <c r="Z2058" s="1" t="s">
        <v>658</v>
      </c>
      <c r="AA2058" s="1" t="s">
        <v>1590</v>
      </c>
      <c r="AB2058" s="1" t="s">
        <v>46</v>
      </c>
      <c r="AC2058" s="1" t="s">
        <v>46</v>
      </c>
      <c r="AD2058" s="1"/>
      <c r="AE2058" s="1" t="s">
        <v>641</v>
      </c>
      <c r="AF2058" s="1" t="s">
        <v>190</v>
      </c>
      <c r="AG2058" s="1">
        <v>6</v>
      </c>
      <c r="AH2058" s="1" t="s">
        <v>190</v>
      </c>
      <c r="AI2058" s="1"/>
      <c r="AJ2058" s="3">
        <v>43103.516192129631</v>
      </c>
      <c r="AK2058" s="1" t="s">
        <v>676</v>
      </c>
    </row>
    <row r="2059" spans="1:37">
      <c r="A2059" s="1" t="e">
        <f>VLOOKUP(H2059,Languages!$A$2:$B$430,2,FALSE)</f>
        <v>#N/A</v>
      </c>
      <c r="B2059" s="1" t="s">
        <v>109</v>
      </c>
      <c r="C2059" s="1" t="s">
        <v>34</v>
      </c>
      <c r="D2059" s="1" t="s">
        <v>1587</v>
      </c>
      <c r="E2059" s="15" t="s">
        <v>51</v>
      </c>
      <c r="F2059" s="15" t="s">
        <v>51</v>
      </c>
      <c r="G2059" s="1" t="s">
        <v>1588</v>
      </c>
      <c r="H2059" s="1">
        <f>VLOOKUP(G2059,'languoid 4.0'!$A$1:$I$24439,2,FALSE)</f>
        <v>0</v>
      </c>
      <c r="I2059" s="1" t="str">
        <f>VLOOKUP(G2059,'languoid 4.0'!$A$1:$I$24439,6,FALSE)</f>
        <v>family</v>
      </c>
      <c r="J2059" s="15" t="s">
        <v>51</v>
      </c>
      <c r="K2059" s="15" t="s">
        <v>51</v>
      </c>
      <c r="L2059" s="15" t="s">
        <v>51</v>
      </c>
      <c r="M2059" s="1"/>
      <c r="N2059" s="1" t="e">
        <v>#N/A</v>
      </c>
      <c r="O2059" s="15" t="s">
        <v>690</v>
      </c>
      <c r="P2059" s="15"/>
      <c r="Q2059" s="1" t="s">
        <v>748</v>
      </c>
      <c r="R2059" s="2" t="s">
        <v>1589</v>
      </c>
      <c r="S2059" s="1" t="s">
        <v>372</v>
      </c>
      <c r="T2059" s="1" t="s">
        <v>754</v>
      </c>
      <c r="U2059" s="1" t="s">
        <v>636</v>
      </c>
      <c r="V2059" s="1" t="s">
        <v>45</v>
      </c>
      <c r="W2059" s="1"/>
      <c r="X2059" s="1"/>
      <c r="Y2059" s="1"/>
      <c r="Z2059" s="1" t="s">
        <v>658</v>
      </c>
      <c r="AA2059" s="1" t="s">
        <v>1590</v>
      </c>
      <c r="AB2059" s="1" t="s">
        <v>46</v>
      </c>
      <c r="AC2059" s="1" t="s">
        <v>46</v>
      </c>
      <c r="AD2059" s="1"/>
      <c r="AE2059" s="1" t="s">
        <v>641</v>
      </c>
      <c r="AF2059" s="1" t="s">
        <v>190</v>
      </c>
      <c r="AG2059" s="1">
        <v>6</v>
      </c>
      <c r="AH2059" s="1" t="s">
        <v>190</v>
      </c>
      <c r="AI2059" s="1"/>
      <c r="AJ2059" s="3">
        <v>43103.517372685186</v>
      </c>
      <c r="AK2059" s="1" t="s">
        <v>676</v>
      </c>
    </row>
    <row r="2060" spans="1:37">
      <c r="A2060" s="1" t="e">
        <f>VLOOKUP(H2060,Languages!$A$2:$B$430,2,FALSE)</f>
        <v>#N/A</v>
      </c>
      <c r="B2060" s="1" t="s">
        <v>109</v>
      </c>
      <c r="C2060" s="1" t="s">
        <v>214</v>
      </c>
      <c r="D2060" s="1" t="s">
        <v>3274</v>
      </c>
      <c r="E2060" s="15" t="s">
        <v>3164</v>
      </c>
      <c r="F2060" s="15" t="s">
        <v>51</v>
      </c>
      <c r="G2060" s="1" t="s">
        <v>3164</v>
      </c>
      <c r="H2060" s="1">
        <f>VLOOKUP(G2060,'languoid 4.0'!$A$1:$I$24439,2,FALSE)</f>
        <v>0</v>
      </c>
      <c r="I2060" s="1" t="str">
        <f>VLOOKUP(G2060,'languoid 4.0'!$A$1:$I$24439,6,FALSE)</f>
        <v>family</v>
      </c>
      <c r="J2060" s="15" t="s">
        <v>52</v>
      </c>
      <c r="K2060" s="15" t="s">
        <v>51</v>
      </c>
      <c r="L2060" s="15" t="s">
        <v>51</v>
      </c>
      <c r="M2060" s="1"/>
      <c r="N2060" s="1"/>
      <c r="O2060" s="15" t="s">
        <v>113</v>
      </c>
      <c r="P2060" s="15" t="s">
        <v>632</v>
      </c>
      <c r="Q2060" s="1" t="s">
        <v>3318</v>
      </c>
      <c r="R2060" s="2" t="s">
        <v>3319</v>
      </c>
      <c r="S2060" s="1" t="s">
        <v>46</v>
      </c>
      <c r="T2060" s="1" t="s">
        <v>635</v>
      </c>
      <c r="U2060" s="1" t="s">
        <v>636</v>
      </c>
      <c r="V2060" s="1" t="s">
        <v>45</v>
      </c>
      <c r="W2060" s="1"/>
      <c r="X2060" s="1"/>
      <c r="Y2060" s="1"/>
      <c r="Z2060" s="1" t="s">
        <v>637</v>
      </c>
      <c r="AA2060" s="1" t="s">
        <v>3320</v>
      </c>
      <c r="AB2060" s="1" t="s">
        <v>3321</v>
      </c>
      <c r="AC2060" s="1" t="s">
        <v>46</v>
      </c>
      <c r="AD2060" s="1"/>
      <c r="AE2060" s="1" t="s">
        <v>641</v>
      </c>
      <c r="AF2060" s="1" t="s">
        <v>190</v>
      </c>
      <c r="AG2060" s="1">
        <v>5</v>
      </c>
      <c r="AH2060" s="1" t="s">
        <v>190</v>
      </c>
      <c r="AI2060" s="1"/>
      <c r="AJ2060" s="1" t="s">
        <v>3322</v>
      </c>
      <c r="AK2060" s="1" t="s">
        <v>3060</v>
      </c>
    </row>
    <row r="2061" spans="1:37">
      <c r="A2061" s="1" t="e">
        <f>VLOOKUP(H2061,Languages!$A$2:$B$430,2,FALSE)</f>
        <v>#N/A</v>
      </c>
      <c r="B2061" s="1" t="s">
        <v>109</v>
      </c>
      <c r="C2061" s="1" t="s">
        <v>1405</v>
      </c>
      <c r="D2061" s="1" t="s">
        <v>1415</v>
      </c>
      <c r="E2061" s="15" t="s">
        <v>51</v>
      </c>
      <c r="F2061" s="15" t="s">
        <v>1416</v>
      </c>
      <c r="G2061" s="1" t="s">
        <v>51</v>
      </c>
      <c r="H2061" s="1" t="e">
        <f>VLOOKUP(G2061,'languoid 4.0'!$A$1:$I$24439,2,FALSE)</f>
        <v>#N/A</v>
      </c>
      <c r="I2061" s="1" t="e">
        <f>VLOOKUP(G2061,'languoid 4.0'!$A$1:$I$24439,6,FALSE)</f>
        <v>#N/A</v>
      </c>
      <c r="J2061" s="15" t="s">
        <v>52</v>
      </c>
      <c r="K2061" s="15" t="s">
        <v>51</v>
      </c>
      <c r="L2061" s="15" t="s">
        <v>51</v>
      </c>
      <c r="M2061" s="1" t="s">
        <v>1417</v>
      </c>
      <c r="N2061" s="1" t="e">
        <v>#N/A</v>
      </c>
      <c r="O2061" s="15" t="s">
        <v>690</v>
      </c>
      <c r="P2061" s="15"/>
      <c r="Q2061" s="1" t="s">
        <v>1418</v>
      </c>
      <c r="R2061" s="2" t="s">
        <v>1419</v>
      </c>
      <c r="S2061" s="1" t="s">
        <v>1021</v>
      </c>
      <c r="T2061" s="1" t="s">
        <v>693</v>
      </c>
      <c r="U2061" s="1" t="s">
        <v>636</v>
      </c>
      <c r="V2061" s="1" t="s">
        <v>45</v>
      </c>
      <c r="W2061" s="1"/>
      <c r="X2061" s="1"/>
      <c r="Y2061" s="1"/>
      <c r="Z2061" s="1" t="s">
        <v>658</v>
      </c>
      <c r="AA2061" s="1" t="s">
        <v>1420</v>
      </c>
      <c r="AB2061" s="1" t="s">
        <v>1021</v>
      </c>
      <c r="AC2061" s="1" t="s">
        <v>1021</v>
      </c>
      <c r="AD2061" s="1" t="s">
        <v>1421</v>
      </c>
      <c r="AE2061" s="1" t="s">
        <v>641</v>
      </c>
      <c r="AF2061" s="1" t="s">
        <v>190</v>
      </c>
      <c r="AG2061" s="1">
        <v>5</v>
      </c>
      <c r="AH2061" s="1" t="s">
        <v>190</v>
      </c>
      <c r="AI2061" s="1"/>
      <c r="AJ2061" s="1" t="s">
        <v>1422</v>
      </c>
      <c r="AK2061" s="1" t="s">
        <v>740</v>
      </c>
    </row>
    <row r="2062" spans="1:37" ht="155">
      <c r="A2062" s="1" t="e">
        <f>VLOOKUP(H2062,Languages!$A$2:$B$430,2,FALSE)</f>
        <v>#N/A</v>
      </c>
      <c r="B2062" s="1" t="s">
        <v>109</v>
      </c>
      <c r="C2062" s="1" t="s">
        <v>298</v>
      </c>
      <c r="D2062" s="1" t="s">
        <v>299</v>
      </c>
      <c r="E2062" s="15" t="s">
        <v>300</v>
      </c>
      <c r="F2062" s="15" t="s">
        <v>300</v>
      </c>
      <c r="G2062" s="1" t="s">
        <v>300</v>
      </c>
      <c r="H2062" s="1">
        <f>VLOOKUP(G2062,'languoid 4.0'!$A$1:$I$24439,2,FALSE)</f>
        <v>0</v>
      </c>
      <c r="I2062" s="1" t="str">
        <f>VLOOKUP(G2062,'languoid 4.0'!$A$1:$I$24439,6,FALSE)</f>
        <v>family</v>
      </c>
      <c r="J2062" s="15" t="s">
        <v>38</v>
      </c>
      <c r="K2062" s="15" t="s">
        <v>38</v>
      </c>
      <c r="L2062" s="15" t="s">
        <v>38</v>
      </c>
      <c r="M2062" s="1"/>
      <c r="N2062" s="1"/>
      <c r="O2062" s="15" t="s">
        <v>40</v>
      </c>
      <c r="P2062" s="15" t="s">
        <v>41</v>
      </c>
      <c r="Q2062" s="1" t="s">
        <v>11040</v>
      </c>
      <c r="R2062" s="2" t="s">
        <v>4512</v>
      </c>
      <c r="S2062" s="1" t="s">
        <v>46</v>
      </c>
      <c r="T2062" s="1" t="s">
        <v>635</v>
      </c>
      <c r="U2062" s="1" t="s">
        <v>636</v>
      </c>
      <c r="V2062" s="1" t="s">
        <v>45</v>
      </c>
      <c r="W2062" s="1"/>
      <c r="X2062" s="1"/>
      <c r="Y2062" s="1"/>
      <c r="Z2062" s="1" t="s">
        <v>673</v>
      </c>
      <c r="AA2062" s="11" t="s">
        <v>11041</v>
      </c>
      <c r="AB2062" s="1" t="s">
        <v>46</v>
      </c>
      <c r="AC2062" s="1" t="s">
        <v>46</v>
      </c>
      <c r="AD2062" s="1" t="s">
        <v>11042</v>
      </c>
      <c r="AE2062" s="1"/>
      <c r="AF2062" s="1"/>
      <c r="AG2062" s="1"/>
      <c r="AH2062" s="1" t="s">
        <v>45</v>
      </c>
      <c r="AI2062" s="1"/>
      <c r="AJ2062" s="1" t="s">
        <v>11043</v>
      </c>
      <c r="AK2062" s="1" t="s">
        <v>7652</v>
      </c>
    </row>
    <row r="2063" spans="1:37">
      <c r="A2063" s="1" t="e">
        <f>VLOOKUP(H2063,Languages!$A$2:$B$430,2,FALSE)</f>
        <v>#N/A</v>
      </c>
      <c r="B2063" s="1" t="s">
        <v>109</v>
      </c>
      <c r="C2063" s="1" t="s">
        <v>108</v>
      </c>
      <c r="D2063" s="1" t="s">
        <v>3323</v>
      </c>
      <c r="E2063" s="15" t="s">
        <v>3324</v>
      </c>
      <c r="F2063" s="15" t="s">
        <v>51</v>
      </c>
      <c r="G2063" s="1" t="s">
        <v>3164</v>
      </c>
      <c r="H2063" s="1">
        <f>VLOOKUP(G2063,'languoid 4.0'!$A$1:$I$24439,2,FALSE)</f>
        <v>0</v>
      </c>
      <c r="I2063" s="1" t="str">
        <f>VLOOKUP(G2063,'languoid 4.0'!$A$1:$I$24439,6,FALSE)</f>
        <v>family</v>
      </c>
      <c r="J2063" s="15" t="s">
        <v>52</v>
      </c>
      <c r="K2063" s="15" t="s">
        <v>51</v>
      </c>
      <c r="L2063" s="15" t="s">
        <v>51</v>
      </c>
      <c r="M2063" s="1"/>
      <c r="N2063" s="1" t="s">
        <v>3325</v>
      </c>
      <c r="O2063" s="15" t="s">
        <v>113</v>
      </c>
      <c r="P2063" s="15" t="s">
        <v>632</v>
      </c>
      <c r="Q2063" s="1" t="s">
        <v>3326</v>
      </c>
      <c r="R2063" s="2" t="s">
        <v>3327</v>
      </c>
      <c r="S2063" s="1" t="s">
        <v>46</v>
      </c>
      <c r="T2063" s="1" t="s">
        <v>635</v>
      </c>
      <c r="U2063" s="1" t="s">
        <v>636</v>
      </c>
      <c r="V2063" s="1" t="s">
        <v>45</v>
      </c>
      <c r="W2063" s="1"/>
      <c r="X2063" s="1"/>
      <c r="Y2063" s="1"/>
      <c r="Z2063" s="1" t="s">
        <v>637</v>
      </c>
      <c r="AA2063" s="1" t="s">
        <v>3328</v>
      </c>
      <c r="AB2063" s="1" t="s">
        <v>3329</v>
      </c>
      <c r="AC2063" s="1" t="s">
        <v>46</v>
      </c>
      <c r="AD2063" s="1"/>
      <c r="AE2063" s="1" t="s">
        <v>641</v>
      </c>
      <c r="AF2063" s="1" t="s">
        <v>190</v>
      </c>
      <c r="AG2063" s="1">
        <v>5</v>
      </c>
      <c r="AH2063" s="1" t="s">
        <v>190</v>
      </c>
      <c r="AI2063" s="1"/>
      <c r="AJ2063" s="1" t="s">
        <v>3330</v>
      </c>
      <c r="AK2063" s="1" t="s">
        <v>3060</v>
      </c>
    </row>
    <row r="2064" spans="1:37">
      <c r="A2064" s="1" t="e">
        <f>VLOOKUP(H2064,Languages!$A$2:$B$430,2,FALSE)</f>
        <v>#N/A</v>
      </c>
      <c r="B2064" s="1" t="s">
        <v>109</v>
      </c>
      <c r="C2064" s="1" t="s">
        <v>304</v>
      </c>
      <c r="D2064" s="1" t="s">
        <v>606</v>
      </c>
      <c r="E2064" s="15" t="s">
        <v>607</v>
      </c>
      <c r="F2064" s="15" t="s">
        <v>51</v>
      </c>
      <c r="G2064" s="1" t="s">
        <v>607</v>
      </c>
      <c r="H2064" s="1">
        <f>VLOOKUP(G2064,'languoid 4.0'!$A$1:$I$24439,2,FALSE)</f>
        <v>0</v>
      </c>
      <c r="I2064" s="1" t="str">
        <f>VLOOKUP(G2064,'languoid 4.0'!$A$1:$I$24439,6,FALSE)</f>
        <v>family</v>
      </c>
      <c r="J2064" s="15" t="s">
        <v>52</v>
      </c>
      <c r="K2064" s="15" t="s">
        <v>51</v>
      </c>
      <c r="L2064" s="15" t="s">
        <v>51</v>
      </c>
      <c r="M2064" s="1"/>
      <c r="N2064" s="1" t="s">
        <v>608</v>
      </c>
      <c r="O2064" s="15" t="s">
        <v>113</v>
      </c>
      <c r="P2064" s="15" t="s">
        <v>41</v>
      </c>
      <c r="Q2064" s="1" t="s">
        <v>748</v>
      </c>
      <c r="R2064" s="2" t="s">
        <v>4512</v>
      </c>
      <c r="S2064" s="1" t="s">
        <v>46</v>
      </c>
      <c r="T2064" s="1" t="s">
        <v>635</v>
      </c>
      <c r="U2064" s="1" t="s">
        <v>636</v>
      </c>
      <c r="V2064" s="1" t="s">
        <v>45</v>
      </c>
      <c r="W2064" s="1"/>
      <c r="X2064" s="1"/>
      <c r="Y2064" s="1"/>
      <c r="Z2064" s="1" t="s">
        <v>658</v>
      </c>
      <c r="AA2064" s="1" t="s">
        <v>7396</v>
      </c>
      <c r="AB2064" s="1" t="s">
        <v>46</v>
      </c>
      <c r="AC2064" s="1" t="s">
        <v>46</v>
      </c>
      <c r="AD2064" s="1"/>
      <c r="AE2064" s="1"/>
      <c r="AF2064" s="1"/>
      <c r="AG2064" s="1"/>
      <c r="AH2064" s="1" t="s">
        <v>45</v>
      </c>
      <c r="AI2064" s="1" t="s">
        <v>6440</v>
      </c>
      <c r="AJ2064" s="1" t="s">
        <v>7397</v>
      </c>
      <c r="AK2064" s="1" t="s">
        <v>6441</v>
      </c>
    </row>
    <row r="2065" spans="1:37">
      <c r="A2065" s="1" t="e">
        <f>VLOOKUP(H2065,Languages!$A$2:$B$430,2,FALSE)</f>
        <v>#N/A</v>
      </c>
      <c r="B2065" s="1" t="s">
        <v>109</v>
      </c>
      <c r="C2065" s="1" t="s">
        <v>304</v>
      </c>
      <c r="D2065" s="1" t="s">
        <v>9332</v>
      </c>
      <c r="E2065" s="15" t="s">
        <v>9071</v>
      </c>
      <c r="F2065" s="15" t="s">
        <v>9071</v>
      </c>
      <c r="G2065" s="1" t="s">
        <v>9071</v>
      </c>
      <c r="H2065" s="1">
        <f>VLOOKUP(G2065,'languoid 4.0'!$A$1:$I$24439,2,FALSE)</f>
        <v>0</v>
      </c>
      <c r="I2065" s="1" t="str">
        <f>VLOOKUP(G2065,'languoid 4.0'!$A$1:$I$24439,6,FALSE)</f>
        <v>family</v>
      </c>
      <c r="J2065" s="15" t="s">
        <v>38</v>
      </c>
      <c r="K2065" s="15" t="s">
        <v>38</v>
      </c>
      <c r="L2065" s="15" t="s">
        <v>38</v>
      </c>
      <c r="M2065" s="1"/>
      <c r="N2065" s="1"/>
      <c r="O2065" s="15" t="s">
        <v>113</v>
      </c>
      <c r="P2065" s="15" t="s">
        <v>41</v>
      </c>
      <c r="Q2065" s="1" t="s">
        <v>4404</v>
      </c>
      <c r="R2065" s="2" t="s">
        <v>9467</v>
      </c>
      <c r="S2065" s="1" t="s">
        <v>9468</v>
      </c>
      <c r="T2065" s="1" t="s">
        <v>657</v>
      </c>
      <c r="U2065" s="1" t="s">
        <v>636</v>
      </c>
      <c r="V2065" s="1" t="s">
        <v>45</v>
      </c>
      <c r="W2065" s="1"/>
      <c r="X2065" s="1"/>
      <c r="Y2065" s="1"/>
      <c r="Z2065" s="1" t="s">
        <v>658</v>
      </c>
      <c r="AA2065" s="1" t="s">
        <v>46</v>
      </c>
      <c r="AB2065" s="1" t="s">
        <v>46</v>
      </c>
      <c r="AC2065" s="1" t="s">
        <v>46</v>
      </c>
      <c r="AD2065" s="1" t="s">
        <v>9469</v>
      </c>
      <c r="AE2065" s="1" t="s">
        <v>641</v>
      </c>
      <c r="AF2065" s="1" t="s">
        <v>45</v>
      </c>
      <c r="AG2065" s="1">
        <v>1</v>
      </c>
      <c r="AH2065" s="1" t="s">
        <v>190</v>
      </c>
      <c r="AI2065" s="1"/>
      <c r="AJ2065" s="3">
        <v>43230.653298611112</v>
      </c>
      <c r="AK2065" s="1" t="s">
        <v>6441</v>
      </c>
    </row>
    <row r="2066" spans="1:37">
      <c r="A2066" s="1" t="e">
        <f>VLOOKUP(H2066,Languages!$A$2:$B$430,2,FALSE)</f>
        <v>#N/A</v>
      </c>
      <c r="B2066" s="1" t="s">
        <v>109</v>
      </c>
      <c r="C2066" s="1" t="s">
        <v>124</v>
      </c>
      <c r="D2066" s="1" t="s">
        <v>8019</v>
      </c>
      <c r="E2066" s="15" t="s">
        <v>51</v>
      </c>
      <c r="F2066" s="15" t="s">
        <v>51</v>
      </c>
      <c r="G2066" s="1" t="s">
        <v>7926</v>
      </c>
      <c r="H2066" s="1">
        <f>VLOOKUP(G2066,'languoid 4.0'!$A$1:$I$24439,2,FALSE)</f>
        <v>0</v>
      </c>
      <c r="I2066" s="1" t="str">
        <f>VLOOKUP(G2066,'languoid 4.0'!$A$1:$I$24439,6,FALSE)</f>
        <v>language</v>
      </c>
      <c r="J2066" s="15" t="s">
        <v>51</v>
      </c>
      <c r="K2066" s="15" t="s">
        <v>51</v>
      </c>
      <c r="L2066" s="15" t="s">
        <v>51</v>
      </c>
      <c r="M2066" s="8" t="s">
        <v>7993</v>
      </c>
      <c r="N2066" s="1" t="e">
        <v>#N/A</v>
      </c>
      <c r="O2066" s="15" t="s">
        <v>690</v>
      </c>
      <c r="P2066" s="15"/>
      <c r="Q2066" s="1" t="s">
        <v>8020</v>
      </c>
      <c r="R2066" s="2" t="s">
        <v>8021</v>
      </c>
      <c r="S2066" s="1" t="s">
        <v>46</v>
      </c>
      <c r="T2066" s="1" t="s">
        <v>822</v>
      </c>
      <c r="U2066" s="1" t="s">
        <v>636</v>
      </c>
      <c r="V2066" s="1" t="s">
        <v>45</v>
      </c>
      <c r="W2066" s="1"/>
      <c r="X2066" s="1"/>
      <c r="Y2066" s="1"/>
      <c r="Z2066" s="1" t="s">
        <v>658</v>
      </c>
      <c r="AA2066" s="1" t="s">
        <v>8022</v>
      </c>
      <c r="AB2066" s="1" t="s">
        <v>8023</v>
      </c>
      <c r="AC2066" s="1" t="s">
        <v>46</v>
      </c>
      <c r="AD2066" s="1"/>
      <c r="AE2066" s="1" t="s">
        <v>641</v>
      </c>
      <c r="AF2066" s="1" t="s">
        <v>190</v>
      </c>
      <c r="AG2066" s="1">
        <v>6</v>
      </c>
      <c r="AH2066" s="1" t="s">
        <v>190</v>
      </c>
      <c r="AI2066" s="1"/>
      <c r="AJ2066" s="1" t="s">
        <v>8024</v>
      </c>
      <c r="AK2066" s="1" t="s">
        <v>4945</v>
      </c>
    </row>
    <row r="2067" spans="1:37">
      <c r="A2067" s="1" t="e">
        <f>VLOOKUP(H2067,Languages!$A$2:$B$430,2,FALSE)</f>
        <v>#N/A</v>
      </c>
      <c r="B2067" s="1" t="s">
        <v>109</v>
      </c>
      <c r="C2067" s="1" t="s">
        <v>4417</v>
      </c>
      <c r="D2067" s="1" t="s">
        <v>7304</v>
      </c>
      <c r="E2067" s="15" t="s">
        <v>4725</v>
      </c>
      <c r="F2067" s="15" t="s">
        <v>4725</v>
      </c>
      <c r="G2067" s="1" t="s">
        <v>4725</v>
      </c>
      <c r="H2067" s="1">
        <f>VLOOKUP(G2067,'languoid 4.0'!$A$1:$I$24439,2,FALSE)</f>
        <v>0</v>
      </c>
      <c r="I2067" s="1" t="str">
        <f>VLOOKUP(G2067,'languoid 4.0'!$A$1:$I$24439,6,FALSE)</f>
        <v>language</v>
      </c>
      <c r="J2067" s="15" t="s">
        <v>38</v>
      </c>
      <c r="K2067" s="15" t="s">
        <v>38</v>
      </c>
      <c r="L2067" s="15" t="s">
        <v>38</v>
      </c>
      <c r="M2067" s="1"/>
      <c r="N2067" s="1" t="s">
        <v>7299</v>
      </c>
      <c r="O2067" s="15" t="s">
        <v>40</v>
      </c>
      <c r="P2067" s="15" t="s">
        <v>41</v>
      </c>
      <c r="Q2067" s="1" t="s">
        <v>7309</v>
      </c>
      <c r="R2067" s="2" t="s">
        <v>7310</v>
      </c>
      <c r="S2067" s="1" t="s">
        <v>46</v>
      </c>
      <c r="T2067" s="1" t="s">
        <v>7307</v>
      </c>
      <c r="U2067" s="1" t="s">
        <v>636</v>
      </c>
      <c r="V2067" s="1" t="s">
        <v>45</v>
      </c>
      <c r="W2067" s="1"/>
      <c r="X2067" s="1"/>
      <c r="Y2067" s="1"/>
      <c r="Z2067" s="1" t="s">
        <v>673</v>
      </c>
      <c r="AA2067" s="1" t="s">
        <v>46</v>
      </c>
      <c r="AB2067" s="1" t="s">
        <v>46</v>
      </c>
      <c r="AC2067" s="1" t="s">
        <v>7311</v>
      </c>
      <c r="AD2067" s="1"/>
      <c r="AE2067" s="1" t="s">
        <v>641</v>
      </c>
      <c r="AF2067" s="1" t="s">
        <v>190</v>
      </c>
      <c r="AG2067" s="1">
        <v>6</v>
      </c>
      <c r="AH2067" s="1" t="s">
        <v>190</v>
      </c>
      <c r="AI2067" s="1"/>
      <c r="AJ2067" s="3">
        <v>43381.883946759262</v>
      </c>
      <c r="AK2067" s="1" t="s">
        <v>4424</v>
      </c>
    </row>
    <row r="2068" spans="1:37">
      <c r="A2068" s="1" t="e">
        <f>VLOOKUP(H2068,Languages!$A$2:$B$430,2,FALSE)</f>
        <v>#N/A</v>
      </c>
      <c r="B2068" s="1" t="s">
        <v>109</v>
      </c>
      <c r="C2068" s="1" t="s">
        <v>4417</v>
      </c>
      <c r="D2068" s="1" t="s">
        <v>7304</v>
      </c>
      <c r="E2068" s="15" t="s">
        <v>4725</v>
      </c>
      <c r="F2068" s="15" t="s">
        <v>4725</v>
      </c>
      <c r="G2068" s="1" t="s">
        <v>4725</v>
      </c>
      <c r="H2068" s="1">
        <f>VLOOKUP(G2068,'languoid 4.0'!$A$1:$I$24439,2,FALSE)</f>
        <v>0</v>
      </c>
      <c r="I2068" s="1" t="str">
        <f>VLOOKUP(G2068,'languoid 4.0'!$A$1:$I$24439,6,FALSE)</f>
        <v>language</v>
      </c>
      <c r="J2068" s="15" t="s">
        <v>38</v>
      </c>
      <c r="K2068" s="15" t="s">
        <v>38</v>
      </c>
      <c r="L2068" s="15" t="s">
        <v>38</v>
      </c>
      <c r="M2068" s="1"/>
      <c r="N2068" s="1" t="s">
        <v>7299</v>
      </c>
      <c r="O2068" s="15" t="s">
        <v>40</v>
      </c>
      <c r="P2068" s="15" t="s">
        <v>41</v>
      </c>
      <c r="Q2068" s="1" t="s">
        <v>7315</v>
      </c>
      <c r="R2068" s="2" t="s">
        <v>7316</v>
      </c>
      <c r="S2068" s="1" t="s">
        <v>46</v>
      </c>
      <c r="T2068" s="1" t="s">
        <v>7317</v>
      </c>
      <c r="U2068" s="1" t="s">
        <v>636</v>
      </c>
      <c r="V2068" s="1" t="s">
        <v>45</v>
      </c>
      <c r="W2068" s="1"/>
      <c r="X2068" s="1"/>
      <c r="Y2068" s="1"/>
      <c r="Z2068" s="1" t="s">
        <v>673</v>
      </c>
      <c r="AA2068" s="1" t="s">
        <v>46</v>
      </c>
      <c r="AB2068" s="1" t="s">
        <v>7318</v>
      </c>
      <c r="AC2068" s="1" t="s">
        <v>46</v>
      </c>
      <c r="AD2068" s="1"/>
      <c r="AE2068" s="1" t="s">
        <v>641</v>
      </c>
      <c r="AF2068" s="1" t="s">
        <v>190</v>
      </c>
      <c r="AG2068" s="1">
        <v>6</v>
      </c>
      <c r="AH2068" s="1" t="s">
        <v>190</v>
      </c>
      <c r="AI2068" s="1"/>
      <c r="AJ2068" s="3">
        <v>43381.959270833337</v>
      </c>
      <c r="AK2068" s="1" t="s">
        <v>4424</v>
      </c>
    </row>
    <row r="2069" spans="1:37">
      <c r="A2069" s="1" t="e">
        <f>VLOOKUP(H2069,Languages!$A$2:$B$430,2,FALSE)</f>
        <v>#N/A</v>
      </c>
      <c r="B2069" s="1" t="s">
        <v>109</v>
      </c>
      <c r="C2069" s="1" t="s">
        <v>4417</v>
      </c>
      <c r="D2069" s="1" t="s">
        <v>7319</v>
      </c>
      <c r="E2069" s="15" t="s">
        <v>4725</v>
      </c>
      <c r="F2069" s="15" t="s">
        <v>4725</v>
      </c>
      <c r="G2069" s="1" t="s">
        <v>4725</v>
      </c>
      <c r="H2069" s="1">
        <f>VLOOKUP(G2069,'languoid 4.0'!$A$1:$I$24439,2,FALSE)</f>
        <v>0</v>
      </c>
      <c r="I2069" s="1" t="str">
        <f>VLOOKUP(G2069,'languoid 4.0'!$A$1:$I$24439,6,FALSE)</f>
        <v>language</v>
      </c>
      <c r="J2069" s="15" t="s">
        <v>38</v>
      </c>
      <c r="K2069" s="15" t="s">
        <v>38</v>
      </c>
      <c r="L2069" s="15" t="s">
        <v>38</v>
      </c>
      <c r="M2069" s="1"/>
      <c r="N2069" s="1" t="s">
        <v>7299</v>
      </c>
      <c r="O2069" s="15" t="s">
        <v>40</v>
      </c>
      <c r="P2069" s="15" t="s">
        <v>41</v>
      </c>
      <c r="Q2069" s="1" t="s">
        <v>7320</v>
      </c>
      <c r="R2069" s="2" t="s">
        <v>7321</v>
      </c>
      <c r="S2069" s="1" t="s">
        <v>46</v>
      </c>
      <c r="T2069" s="1" t="s">
        <v>7307</v>
      </c>
      <c r="U2069" s="1" t="s">
        <v>636</v>
      </c>
      <c r="V2069" s="1" t="s">
        <v>45</v>
      </c>
      <c r="W2069" s="1"/>
      <c r="X2069" s="1"/>
      <c r="Y2069" s="1"/>
      <c r="Z2069" s="1" t="s">
        <v>673</v>
      </c>
      <c r="AA2069" s="1" t="s">
        <v>46</v>
      </c>
      <c r="AB2069" s="1" t="s">
        <v>7322</v>
      </c>
      <c r="AC2069" s="1" t="s">
        <v>46</v>
      </c>
      <c r="AD2069" s="1"/>
      <c r="AE2069" s="1" t="s">
        <v>641</v>
      </c>
      <c r="AF2069" s="1" t="s">
        <v>190</v>
      </c>
      <c r="AG2069" s="1">
        <v>6</v>
      </c>
      <c r="AH2069" s="1" t="s">
        <v>190</v>
      </c>
      <c r="AI2069" s="1"/>
      <c r="AJ2069" s="3">
        <v>43381.963217592594</v>
      </c>
      <c r="AK2069" s="1" t="s">
        <v>4424</v>
      </c>
    </row>
    <row r="2070" spans="1:37">
      <c r="A2070" s="1" t="e">
        <f>VLOOKUP(H2070,Languages!$A$2:$B$430,2,FALSE)</f>
        <v>#N/A</v>
      </c>
      <c r="B2070" s="1" t="s">
        <v>109</v>
      </c>
      <c r="C2070" s="1" t="s">
        <v>4417</v>
      </c>
      <c r="D2070" s="1" t="s">
        <v>4723</v>
      </c>
      <c r="E2070" s="15" t="s">
        <v>4725</v>
      </c>
      <c r="F2070" s="15" t="s">
        <v>4725</v>
      </c>
      <c r="G2070" s="1" t="s">
        <v>4725</v>
      </c>
      <c r="H2070" s="1">
        <f>VLOOKUP(G2070,'languoid 4.0'!$A$1:$I$24439,2,FALSE)</f>
        <v>0</v>
      </c>
      <c r="I2070" s="1" t="str">
        <f>VLOOKUP(G2070,'languoid 4.0'!$A$1:$I$24439,6,FALSE)</f>
        <v>language</v>
      </c>
      <c r="J2070" s="15" t="s">
        <v>38</v>
      </c>
      <c r="K2070" s="15" t="s">
        <v>38</v>
      </c>
      <c r="L2070" s="15" t="s">
        <v>38</v>
      </c>
      <c r="M2070" s="1"/>
      <c r="N2070" s="1" t="s">
        <v>7299</v>
      </c>
      <c r="O2070" s="15" t="s">
        <v>40</v>
      </c>
      <c r="P2070" s="15" t="s">
        <v>41</v>
      </c>
      <c r="Q2070" s="1" t="s">
        <v>7341</v>
      </c>
      <c r="R2070" s="2" t="s">
        <v>7342</v>
      </c>
      <c r="S2070" s="1" t="s">
        <v>46</v>
      </c>
      <c r="T2070" s="1" t="s">
        <v>7302</v>
      </c>
      <c r="U2070" s="1" t="s">
        <v>636</v>
      </c>
      <c r="V2070" s="1" t="s">
        <v>45</v>
      </c>
      <c r="W2070" s="1"/>
      <c r="X2070" s="1"/>
      <c r="Y2070" s="1"/>
      <c r="Z2070" s="1" t="s">
        <v>673</v>
      </c>
      <c r="AA2070" s="1" t="s">
        <v>46</v>
      </c>
      <c r="AB2070" s="1" t="s">
        <v>7343</v>
      </c>
      <c r="AC2070" s="1" t="s">
        <v>46</v>
      </c>
      <c r="AD2070" s="1"/>
      <c r="AE2070" s="1" t="s">
        <v>641</v>
      </c>
      <c r="AF2070" s="1" t="s">
        <v>190</v>
      </c>
      <c r="AG2070" s="1">
        <v>6</v>
      </c>
      <c r="AH2070" s="1" t="s">
        <v>190</v>
      </c>
      <c r="AI2070" s="1"/>
      <c r="AJ2070" s="3">
        <v>43381.985636574071</v>
      </c>
      <c r="AK2070" s="1" t="s">
        <v>4424</v>
      </c>
    </row>
    <row r="2071" spans="1:37">
      <c r="A2071" s="1" t="e">
        <f>VLOOKUP(H2071,Languages!$A$2:$B$430,2,FALSE)</f>
        <v>#N/A</v>
      </c>
      <c r="B2071" s="1" t="s">
        <v>109</v>
      </c>
      <c r="C2071" s="1" t="s">
        <v>4417</v>
      </c>
      <c r="D2071" s="1" t="s">
        <v>4723</v>
      </c>
      <c r="E2071" s="15" t="s">
        <v>4725</v>
      </c>
      <c r="F2071" s="15" t="s">
        <v>4725</v>
      </c>
      <c r="G2071" s="1" t="s">
        <v>4725</v>
      </c>
      <c r="H2071" s="1">
        <f>VLOOKUP(G2071,'languoid 4.0'!$A$1:$I$24439,2,FALSE)</f>
        <v>0</v>
      </c>
      <c r="I2071" s="1" t="str">
        <f>VLOOKUP(G2071,'languoid 4.0'!$A$1:$I$24439,6,FALSE)</f>
        <v>language</v>
      </c>
      <c r="J2071" s="15" t="s">
        <v>38</v>
      </c>
      <c r="K2071" s="15" t="s">
        <v>38</v>
      </c>
      <c r="L2071" s="15" t="s">
        <v>38</v>
      </c>
      <c r="M2071" s="1"/>
      <c r="N2071" s="1" t="s">
        <v>7299</v>
      </c>
      <c r="O2071" s="15" t="s">
        <v>40</v>
      </c>
      <c r="P2071" s="15" t="s">
        <v>41</v>
      </c>
      <c r="Q2071" s="1" t="s">
        <v>7344</v>
      </c>
      <c r="R2071" s="2" t="s">
        <v>7348</v>
      </c>
      <c r="S2071" s="1" t="s">
        <v>46</v>
      </c>
      <c r="T2071" s="1" t="s">
        <v>7302</v>
      </c>
      <c r="U2071" s="1" t="s">
        <v>636</v>
      </c>
      <c r="V2071" s="1" t="s">
        <v>45</v>
      </c>
      <c r="W2071" s="1"/>
      <c r="X2071" s="1"/>
      <c r="Y2071" s="1"/>
      <c r="Z2071" s="1" t="s">
        <v>673</v>
      </c>
      <c r="AA2071" s="1" t="s">
        <v>46</v>
      </c>
      <c r="AB2071" s="1" t="s">
        <v>7349</v>
      </c>
      <c r="AC2071" s="1" t="s">
        <v>46</v>
      </c>
      <c r="AD2071" s="1" t="s">
        <v>7350</v>
      </c>
      <c r="AE2071" s="1" t="s">
        <v>641</v>
      </c>
      <c r="AF2071" s="1" t="s">
        <v>190</v>
      </c>
      <c r="AG2071" s="1">
        <v>5</v>
      </c>
      <c r="AH2071" s="1" t="s">
        <v>190</v>
      </c>
      <c r="AI2071" s="1"/>
      <c r="AJ2071" s="3">
        <v>43381.990740740737</v>
      </c>
      <c r="AK2071" s="1" t="s">
        <v>4424</v>
      </c>
    </row>
    <row r="2072" spans="1:37">
      <c r="A2072" s="1" t="e">
        <f>VLOOKUP(H2072,Languages!$A$2:$B$430,2,FALSE)</f>
        <v>#N/A</v>
      </c>
      <c r="B2072" s="1" t="s">
        <v>35</v>
      </c>
      <c r="C2072" s="1" t="s">
        <v>477</v>
      </c>
      <c r="D2072" s="1" t="s">
        <v>953</v>
      </c>
      <c r="E2072" s="15" t="s">
        <v>954</v>
      </c>
      <c r="F2072" s="15" t="s">
        <v>954</v>
      </c>
      <c r="G2072" s="1" t="s">
        <v>954</v>
      </c>
      <c r="H2072" s="1">
        <f>VLOOKUP(G2072,'languoid 4.0'!$A$1:$I$24439,2,FALSE)</f>
        <v>0</v>
      </c>
      <c r="I2072" s="1" t="str">
        <f>VLOOKUP(G2072,'languoid 4.0'!$A$1:$I$24439,6,FALSE)</f>
        <v>language</v>
      </c>
      <c r="J2072" s="15" t="s">
        <v>38</v>
      </c>
      <c r="K2072" s="15" t="s">
        <v>38</v>
      </c>
      <c r="L2072" s="15" t="s">
        <v>38</v>
      </c>
      <c r="M2072" s="1"/>
      <c r="N2072" s="1" t="s">
        <v>955</v>
      </c>
      <c r="O2072" s="15" t="s">
        <v>40</v>
      </c>
      <c r="P2072" s="15" t="s">
        <v>41</v>
      </c>
      <c r="Q2072" s="1" t="s">
        <v>35</v>
      </c>
      <c r="R2072" s="2" t="s">
        <v>963</v>
      </c>
      <c r="S2072" s="1" t="s">
        <v>46</v>
      </c>
      <c r="T2072" s="1" t="s">
        <v>635</v>
      </c>
      <c r="U2072" s="1" t="s">
        <v>850</v>
      </c>
      <c r="V2072" s="1" t="s">
        <v>45</v>
      </c>
      <c r="W2072" s="1"/>
      <c r="X2072" s="1"/>
      <c r="Y2072" s="1"/>
      <c r="Z2072" s="1" t="s">
        <v>637</v>
      </c>
      <c r="AA2072" s="1" t="s">
        <v>964</v>
      </c>
      <c r="AB2072" s="1" t="s">
        <v>965</v>
      </c>
      <c r="AC2072" s="1" t="s">
        <v>46</v>
      </c>
      <c r="AD2072" s="1"/>
      <c r="AE2072" s="1" t="s">
        <v>641</v>
      </c>
      <c r="AF2072" s="1" t="s">
        <v>190</v>
      </c>
      <c r="AG2072" s="1">
        <v>4</v>
      </c>
      <c r="AH2072" s="1" t="s">
        <v>190</v>
      </c>
      <c r="AI2072" s="1"/>
      <c r="AJ2072" s="3">
        <v>43283.459363425929</v>
      </c>
      <c r="AK2072" s="1" t="s">
        <v>651</v>
      </c>
    </row>
    <row r="2073" spans="1:37">
      <c r="A2073" s="1" t="e">
        <f>VLOOKUP(H2073,Languages!$A$2:$B$430,2,FALSE)</f>
        <v>#N/A</v>
      </c>
      <c r="B2073" s="1" t="s">
        <v>35</v>
      </c>
      <c r="C2073" s="1" t="s">
        <v>477</v>
      </c>
      <c r="D2073" s="1" t="s">
        <v>953</v>
      </c>
      <c r="E2073" s="15" t="s">
        <v>954</v>
      </c>
      <c r="F2073" s="15" t="s">
        <v>954</v>
      </c>
      <c r="G2073" s="1" t="s">
        <v>954</v>
      </c>
      <c r="H2073" s="1">
        <f>VLOOKUP(G2073,'languoid 4.0'!$A$1:$I$24439,2,FALSE)</f>
        <v>0</v>
      </c>
      <c r="I2073" s="1" t="str">
        <f>VLOOKUP(G2073,'languoid 4.0'!$A$1:$I$24439,6,FALSE)</f>
        <v>language</v>
      </c>
      <c r="J2073" s="15" t="s">
        <v>38</v>
      </c>
      <c r="K2073" s="15" t="s">
        <v>38</v>
      </c>
      <c r="L2073" s="15" t="s">
        <v>38</v>
      </c>
      <c r="M2073" s="1"/>
      <c r="N2073" s="1" t="s">
        <v>955</v>
      </c>
      <c r="O2073" s="15" t="s">
        <v>40</v>
      </c>
      <c r="P2073" s="15" t="s">
        <v>41</v>
      </c>
      <c r="Q2073" s="1" t="s">
        <v>5995</v>
      </c>
      <c r="R2073" s="2" t="s">
        <v>5996</v>
      </c>
      <c r="S2073" s="1" t="s">
        <v>5997</v>
      </c>
      <c r="T2073" s="1" t="s">
        <v>657</v>
      </c>
      <c r="U2073" s="1" t="s">
        <v>636</v>
      </c>
      <c r="V2073" s="1" t="s">
        <v>45</v>
      </c>
      <c r="W2073" s="1"/>
      <c r="X2073" s="1"/>
      <c r="Y2073" s="1"/>
      <c r="Z2073" s="1" t="s">
        <v>673</v>
      </c>
      <c r="AA2073" s="1" t="s">
        <v>46</v>
      </c>
      <c r="AB2073" s="1" t="s">
        <v>5998</v>
      </c>
      <c r="AC2073" s="1" t="s">
        <v>46</v>
      </c>
      <c r="AD2073" s="1"/>
      <c r="AE2073" s="1" t="s">
        <v>641</v>
      </c>
      <c r="AF2073" s="1" t="s">
        <v>190</v>
      </c>
      <c r="AG2073" s="1">
        <v>6</v>
      </c>
      <c r="AH2073" s="1" t="s">
        <v>190</v>
      </c>
      <c r="AI2073" s="1"/>
      <c r="AJ2073" s="1" t="s">
        <v>5999</v>
      </c>
      <c r="AK2073" s="1" t="s">
        <v>5678</v>
      </c>
    </row>
    <row r="2074" spans="1:37">
      <c r="A2074" s="1" t="e">
        <f>VLOOKUP(H2074,Languages!$A$2:$B$430,2,FALSE)</f>
        <v>#N/A</v>
      </c>
      <c r="B2074" s="1" t="s">
        <v>35</v>
      </c>
      <c r="C2074" s="1" t="s">
        <v>139</v>
      </c>
      <c r="D2074" s="1" t="s">
        <v>392</v>
      </c>
      <c r="E2074" s="15" t="s">
        <v>393</v>
      </c>
      <c r="F2074" s="15" t="s">
        <v>393</v>
      </c>
      <c r="G2074" s="1" t="s">
        <v>393</v>
      </c>
      <c r="H2074" s="1">
        <f>VLOOKUP(G2074,'languoid 4.0'!$A$1:$I$24439,2,FALSE)</f>
        <v>0</v>
      </c>
      <c r="I2074" s="1" t="str">
        <f>VLOOKUP(G2074,'languoid 4.0'!$A$1:$I$24439,6,FALSE)</f>
        <v>family</v>
      </c>
      <c r="J2074" s="15" t="s">
        <v>38</v>
      </c>
      <c r="K2074" s="15" t="s">
        <v>38</v>
      </c>
      <c r="L2074" s="15" t="s">
        <v>38</v>
      </c>
      <c r="M2074" s="1"/>
      <c r="N2074" s="1"/>
      <c r="O2074" s="15" t="s">
        <v>113</v>
      </c>
      <c r="P2074" s="15" t="s">
        <v>41</v>
      </c>
      <c r="Q2074" s="1" t="s">
        <v>6407</v>
      </c>
      <c r="R2074" s="2" t="s">
        <v>6408</v>
      </c>
      <c r="S2074" s="1" t="s">
        <v>1187</v>
      </c>
      <c r="T2074" s="1" t="s">
        <v>635</v>
      </c>
      <c r="U2074" s="1" t="s">
        <v>636</v>
      </c>
      <c r="V2074" s="1" t="s">
        <v>45</v>
      </c>
      <c r="W2074" s="1"/>
      <c r="X2074" s="1"/>
      <c r="Y2074" s="1"/>
      <c r="Z2074" s="1" t="s">
        <v>887</v>
      </c>
      <c r="AA2074" s="1" t="s">
        <v>35</v>
      </c>
      <c r="AB2074" s="1" t="s">
        <v>6409</v>
      </c>
      <c r="AC2074" s="1" t="s">
        <v>6410</v>
      </c>
      <c r="AD2074" s="1"/>
      <c r="AE2074" s="1" t="s">
        <v>641</v>
      </c>
      <c r="AF2074" s="1" t="s">
        <v>190</v>
      </c>
      <c r="AG2074" s="1">
        <v>6</v>
      </c>
      <c r="AH2074" s="1" t="s">
        <v>190</v>
      </c>
      <c r="AI2074" s="1"/>
      <c r="AJ2074" s="3">
        <v>43319.65283564815</v>
      </c>
      <c r="AK2074" s="1" t="s">
        <v>6411</v>
      </c>
    </row>
    <row r="2075" spans="1:37">
      <c r="A2075" s="1" t="e">
        <f>VLOOKUP(H2075,Languages!$A$2:$B$430,2,FALSE)</f>
        <v>#N/A</v>
      </c>
      <c r="B2075" s="1" t="s">
        <v>35</v>
      </c>
      <c r="C2075" s="1" t="s">
        <v>139</v>
      </c>
      <c r="D2075" s="1" t="s">
        <v>392</v>
      </c>
      <c r="E2075" s="15" t="s">
        <v>393</v>
      </c>
      <c r="F2075" s="15" t="s">
        <v>393</v>
      </c>
      <c r="G2075" s="1" t="s">
        <v>393</v>
      </c>
      <c r="H2075" s="1">
        <f>VLOOKUP(G2075,'languoid 4.0'!$A$1:$I$24439,2,FALSE)</f>
        <v>0</v>
      </c>
      <c r="I2075" s="1" t="str">
        <f>VLOOKUP(G2075,'languoid 4.0'!$A$1:$I$24439,6,FALSE)</f>
        <v>family</v>
      </c>
      <c r="J2075" s="15" t="s">
        <v>38</v>
      </c>
      <c r="K2075" s="15" t="s">
        <v>38</v>
      </c>
      <c r="L2075" s="15" t="s">
        <v>38</v>
      </c>
      <c r="M2075" s="1"/>
      <c r="N2075" s="1"/>
      <c r="O2075" s="15" t="s">
        <v>113</v>
      </c>
      <c r="P2075" s="15" t="s">
        <v>41</v>
      </c>
      <c r="Q2075" s="1" t="s">
        <v>35</v>
      </c>
      <c r="R2075" s="2" t="s">
        <v>9361</v>
      </c>
      <c r="S2075" s="1" t="s">
        <v>46</v>
      </c>
      <c r="T2075" s="1" t="s">
        <v>635</v>
      </c>
      <c r="U2075" s="1" t="s">
        <v>636</v>
      </c>
      <c r="V2075" s="1" t="s">
        <v>45</v>
      </c>
      <c r="W2075" s="1"/>
      <c r="X2075" s="1"/>
      <c r="Y2075" s="1"/>
      <c r="Z2075" s="1" t="s">
        <v>658</v>
      </c>
      <c r="AA2075" s="1" t="s">
        <v>9362</v>
      </c>
      <c r="AB2075" s="1" t="s">
        <v>46</v>
      </c>
      <c r="AC2075" s="1" t="s">
        <v>46</v>
      </c>
      <c r="AD2075" s="1" t="s">
        <v>46</v>
      </c>
      <c r="AE2075" s="1" t="s">
        <v>641</v>
      </c>
      <c r="AF2075" s="1" t="s">
        <v>190</v>
      </c>
      <c r="AG2075" s="1">
        <v>6</v>
      </c>
      <c r="AH2075" s="1" t="s">
        <v>190</v>
      </c>
      <c r="AI2075" s="1" t="s">
        <v>46</v>
      </c>
      <c r="AJ2075" s="1" t="s">
        <v>9363</v>
      </c>
      <c r="AK2075" s="1" t="s">
        <v>8645</v>
      </c>
    </row>
    <row r="2076" spans="1:37">
      <c r="A2076" s="1" t="e">
        <f>VLOOKUP(H2076,Languages!$A$2:$B$430,2,FALSE)</f>
        <v>#N/A</v>
      </c>
      <c r="B2076" s="1" t="s">
        <v>35</v>
      </c>
      <c r="C2076" s="1" t="s">
        <v>82</v>
      </c>
      <c r="D2076" s="1" t="s">
        <v>4340</v>
      </c>
      <c r="E2076" s="15" t="s">
        <v>4314</v>
      </c>
      <c r="F2076" s="15" t="s">
        <v>4341</v>
      </c>
      <c r="G2076" s="1" t="s">
        <v>4342</v>
      </c>
      <c r="H2076" s="1">
        <f>VLOOKUP(G2076,'languoid 4.0'!$A$1:$I$24439,2,FALSE)</f>
        <v>0</v>
      </c>
      <c r="I2076" s="1" t="str">
        <f>VLOOKUP(G2076,'languoid 4.0'!$A$1:$I$24439,6,FALSE)</f>
        <v>family</v>
      </c>
      <c r="J2076" s="15" t="s">
        <v>52</v>
      </c>
      <c r="K2076" s="15" t="s">
        <v>52</v>
      </c>
      <c r="L2076" s="15" t="s">
        <v>38</v>
      </c>
      <c r="M2076" s="1"/>
      <c r="N2076" s="1" t="s">
        <v>4315</v>
      </c>
      <c r="O2076" s="15" t="s">
        <v>40</v>
      </c>
      <c r="P2076" s="15" t="s">
        <v>41</v>
      </c>
      <c r="Q2076" s="1" t="s">
        <v>4348</v>
      </c>
      <c r="R2076" s="2" t="s">
        <v>4349</v>
      </c>
      <c r="S2076" s="1" t="s">
        <v>2589</v>
      </c>
      <c r="T2076" s="1" t="s">
        <v>635</v>
      </c>
      <c r="U2076" s="1" t="s">
        <v>636</v>
      </c>
      <c r="V2076" s="1" t="s">
        <v>45</v>
      </c>
      <c r="W2076" s="1"/>
      <c r="X2076" s="1"/>
      <c r="Y2076" s="1"/>
      <c r="Z2076" s="1" t="s">
        <v>658</v>
      </c>
      <c r="AA2076" s="1" t="s">
        <v>4350</v>
      </c>
      <c r="AB2076" s="1" t="s">
        <v>4351</v>
      </c>
      <c r="AC2076" s="1" t="s">
        <v>4351</v>
      </c>
      <c r="AD2076" s="1"/>
      <c r="AE2076" s="1" t="s">
        <v>641</v>
      </c>
      <c r="AF2076" s="1" t="s">
        <v>190</v>
      </c>
      <c r="AG2076" s="1">
        <v>6</v>
      </c>
      <c r="AH2076" s="1" t="s">
        <v>190</v>
      </c>
      <c r="AI2076" s="1"/>
      <c r="AJ2076" s="3">
        <v>43106.758530092593</v>
      </c>
      <c r="AK2076" s="1" t="s">
        <v>4274</v>
      </c>
    </row>
    <row r="2077" spans="1:37">
      <c r="A2077" s="1" t="e">
        <f>VLOOKUP(H2077,Languages!$A$2:$B$430,2,FALSE)</f>
        <v>#N/A</v>
      </c>
      <c r="B2077" s="1" t="s">
        <v>35</v>
      </c>
      <c r="C2077" s="1" t="s">
        <v>214</v>
      </c>
      <c r="D2077" s="1" t="s">
        <v>1522</v>
      </c>
      <c r="E2077" s="15" t="s">
        <v>51</v>
      </c>
      <c r="F2077" s="15" t="s">
        <v>1523</v>
      </c>
      <c r="G2077" s="1" t="s">
        <v>51</v>
      </c>
      <c r="H2077" s="1" t="e">
        <f>VLOOKUP(G2077,'languoid 4.0'!$A$1:$I$24439,2,FALSE)</f>
        <v>#N/A</v>
      </c>
      <c r="I2077" s="1" t="e">
        <f>VLOOKUP(G2077,'languoid 4.0'!$A$1:$I$24439,6,FALSE)</f>
        <v>#N/A</v>
      </c>
      <c r="J2077" s="15" t="s">
        <v>52</v>
      </c>
      <c r="K2077" s="15" t="s">
        <v>51</v>
      </c>
      <c r="L2077" s="15" t="s">
        <v>51</v>
      </c>
      <c r="M2077" s="1"/>
      <c r="N2077" s="1" t="e">
        <v>#N/A</v>
      </c>
      <c r="O2077" s="15" t="s">
        <v>690</v>
      </c>
      <c r="P2077" s="15"/>
      <c r="Q2077" s="1" t="s">
        <v>1524</v>
      </c>
      <c r="R2077" s="2" t="s">
        <v>1525</v>
      </c>
      <c r="S2077" s="1" t="s">
        <v>1526</v>
      </c>
      <c r="T2077" s="1" t="s">
        <v>718</v>
      </c>
      <c r="U2077" s="1" t="s">
        <v>636</v>
      </c>
      <c r="V2077" s="1" t="s">
        <v>45</v>
      </c>
      <c r="W2077" s="1"/>
      <c r="X2077" s="1"/>
      <c r="Y2077" s="1"/>
      <c r="Z2077" s="1" t="s">
        <v>637</v>
      </c>
      <c r="AA2077" s="1" t="s">
        <v>1527</v>
      </c>
      <c r="AB2077" s="1" t="s">
        <v>1528</v>
      </c>
      <c r="AC2077" s="1" t="s">
        <v>1021</v>
      </c>
      <c r="AD2077" s="1" t="s">
        <v>1529</v>
      </c>
      <c r="AE2077" s="1" t="s">
        <v>641</v>
      </c>
      <c r="AF2077" s="1" t="s">
        <v>190</v>
      </c>
      <c r="AG2077" s="1">
        <v>6</v>
      </c>
      <c r="AH2077" s="1" t="s">
        <v>190</v>
      </c>
      <c r="AI2077" s="1"/>
      <c r="AJ2077" s="1" t="s">
        <v>1530</v>
      </c>
      <c r="AK2077" s="1" t="s">
        <v>740</v>
      </c>
    </row>
    <row r="2078" spans="1:37">
      <c r="A2078" s="1" t="e">
        <f>VLOOKUP(H2078,Languages!$A$2:$B$430,2,FALSE)</f>
        <v>#N/A</v>
      </c>
      <c r="B2078" s="1" t="s">
        <v>35</v>
      </c>
      <c r="C2078" s="1" t="s">
        <v>298</v>
      </c>
      <c r="D2078" s="1" t="s">
        <v>299</v>
      </c>
      <c r="E2078" s="15" t="s">
        <v>300</v>
      </c>
      <c r="F2078" s="15" t="s">
        <v>180</v>
      </c>
      <c r="G2078" s="1" t="s">
        <v>300</v>
      </c>
      <c r="H2078" s="1">
        <f>VLOOKUP(G2078,'languoid 4.0'!$A$1:$I$24439,2,FALSE)</f>
        <v>0</v>
      </c>
      <c r="I2078" s="1" t="str">
        <f>VLOOKUP(G2078,'languoid 4.0'!$A$1:$I$24439,6,FALSE)</f>
        <v>family</v>
      </c>
      <c r="J2078" s="15" t="s">
        <v>52</v>
      </c>
      <c r="K2078" s="15" t="s">
        <v>52</v>
      </c>
      <c r="L2078" s="15" t="s">
        <v>52</v>
      </c>
      <c r="M2078" s="1"/>
      <c r="N2078" s="1"/>
      <c r="O2078" s="15" t="s">
        <v>40</v>
      </c>
      <c r="P2078" s="15" t="s">
        <v>41</v>
      </c>
      <c r="Q2078" s="1" t="s">
        <v>301</v>
      </c>
      <c r="R2078" s="2" t="s">
        <v>302</v>
      </c>
      <c r="S2078" s="1" t="s">
        <v>303</v>
      </c>
      <c r="T2078" s="1" t="s">
        <v>44</v>
      </c>
      <c r="U2078" s="1"/>
      <c r="V2078" s="1" t="s">
        <v>45</v>
      </c>
      <c r="W2078" s="1"/>
      <c r="X2078" s="1"/>
      <c r="Y2078" s="1"/>
      <c r="Z2078" s="1"/>
      <c r="AA2078" s="1">
        <v>3</v>
      </c>
      <c r="AB2078" s="1">
        <v>3</v>
      </c>
      <c r="AC2078" s="1">
        <v>3</v>
      </c>
      <c r="AD2078" s="1"/>
      <c r="AE2078" s="1"/>
      <c r="AF2078" s="1"/>
      <c r="AG2078" s="1"/>
      <c r="AH2078" s="1"/>
      <c r="AI2078" s="1"/>
      <c r="AJ2078" s="3">
        <v>43102.74077546296</v>
      </c>
      <c r="AK2078" s="1" t="s">
        <v>74</v>
      </c>
    </row>
    <row r="2079" spans="1:37">
      <c r="A2079" s="1" t="e">
        <f>VLOOKUP(H2079,Languages!$A$2:$B$430,2,FALSE)</f>
        <v>#N/A</v>
      </c>
      <c r="B2079" s="1" t="s">
        <v>35</v>
      </c>
      <c r="C2079" s="1" t="s">
        <v>298</v>
      </c>
      <c r="D2079" s="1" t="s">
        <v>299</v>
      </c>
      <c r="E2079" s="15" t="s">
        <v>180</v>
      </c>
      <c r="F2079" s="15" t="s">
        <v>180</v>
      </c>
      <c r="G2079" s="1" t="s">
        <v>300</v>
      </c>
      <c r="H2079" s="1">
        <f>VLOOKUP(G2079,'languoid 4.0'!$A$1:$I$24439,2,FALSE)</f>
        <v>0</v>
      </c>
      <c r="I2079" s="1" t="str">
        <f>VLOOKUP(G2079,'languoid 4.0'!$A$1:$I$24439,6,FALSE)</f>
        <v>family</v>
      </c>
      <c r="J2079" s="15" t="s">
        <v>38</v>
      </c>
      <c r="K2079" s="15" t="s">
        <v>38</v>
      </c>
      <c r="L2079" s="15" t="s">
        <v>38</v>
      </c>
      <c r="M2079" s="1"/>
      <c r="N2079" s="1" t="s">
        <v>4842</v>
      </c>
      <c r="O2079" s="15" t="s">
        <v>40</v>
      </c>
      <c r="P2079" s="15" t="s">
        <v>41</v>
      </c>
      <c r="Q2079" s="1" t="s">
        <v>7648</v>
      </c>
      <c r="R2079" s="2" t="s">
        <v>7649</v>
      </c>
      <c r="S2079" s="1" t="s">
        <v>2714</v>
      </c>
      <c r="T2079" s="1" t="s">
        <v>657</v>
      </c>
      <c r="U2079" s="1" t="s">
        <v>636</v>
      </c>
      <c r="V2079" s="1" t="s">
        <v>45</v>
      </c>
      <c r="W2079" s="1"/>
      <c r="X2079" s="1"/>
      <c r="Y2079" s="1"/>
      <c r="Z2079" s="1" t="s">
        <v>658</v>
      </c>
      <c r="AA2079" s="1" t="s">
        <v>7650</v>
      </c>
      <c r="AB2079" s="1" t="s">
        <v>46</v>
      </c>
      <c r="AC2079" s="1" t="s">
        <v>46</v>
      </c>
      <c r="AD2079" s="1"/>
      <c r="AE2079" s="1" t="s">
        <v>641</v>
      </c>
      <c r="AF2079" s="1" t="s">
        <v>190</v>
      </c>
      <c r="AG2079" s="1">
        <v>6</v>
      </c>
      <c r="AH2079" s="1" t="s">
        <v>190</v>
      </c>
      <c r="AI2079" s="1"/>
      <c r="AJ2079" s="1" t="s">
        <v>7651</v>
      </c>
      <c r="AK2079" s="1" t="s">
        <v>7652</v>
      </c>
    </row>
    <row r="2080" spans="1:37">
      <c r="A2080" s="1" t="e">
        <f>VLOOKUP(H2080,Languages!$A$2:$B$430,2,FALSE)</f>
        <v>#N/A</v>
      </c>
      <c r="B2080" s="1" t="s">
        <v>35</v>
      </c>
      <c r="C2080" s="1" t="s">
        <v>267</v>
      </c>
      <c r="D2080" s="1" t="s">
        <v>8461</v>
      </c>
      <c r="E2080" s="15" t="s">
        <v>5911</v>
      </c>
      <c r="F2080" s="15" t="s">
        <v>5911</v>
      </c>
      <c r="G2080" s="1" t="s">
        <v>5911</v>
      </c>
      <c r="H2080" s="1">
        <f>VLOOKUP(G2080,'languoid 4.0'!$A$1:$I$24439,2,FALSE)</f>
        <v>0</v>
      </c>
      <c r="I2080" s="1" t="str">
        <f>VLOOKUP(G2080,'languoid 4.0'!$A$1:$I$24439,6,FALSE)</f>
        <v>family</v>
      </c>
      <c r="J2080" s="15" t="s">
        <v>38</v>
      </c>
      <c r="K2080" s="15" t="s">
        <v>38</v>
      </c>
      <c r="L2080" s="15" t="s">
        <v>38</v>
      </c>
      <c r="M2080" s="1"/>
      <c r="N2080" s="1"/>
      <c r="O2080" s="15" t="s">
        <v>113</v>
      </c>
      <c r="P2080" s="15" t="s">
        <v>41</v>
      </c>
      <c r="Q2080" s="1" t="s">
        <v>8462</v>
      </c>
      <c r="R2080" s="2" t="s">
        <v>4918</v>
      </c>
      <c r="S2080" s="1">
        <v>101</v>
      </c>
      <c r="T2080" s="1" t="s">
        <v>657</v>
      </c>
      <c r="U2080" s="1" t="s">
        <v>636</v>
      </c>
      <c r="V2080" s="1" t="s">
        <v>45</v>
      </c>
      <c r="W2080" s="1"/>
      <c r="X2080" s="1"/>
      <c r="Y2080" s="1"/>
      <c r="Z2080" s="1" t="s">
        <v>637</v>
      </c>
      <c r="AA2080" s="1" t="s">
        <v>8463</v>
      </c>
      <c r="AB2080" s="1" t="s">
        <v>8464</v>
      </c>
      <c r="AC2080" s="1" t="s">
        <v>46</v>
      </c>
      <c r="AD2080" s="1" t="s">
        <v>8465</v>
      </c>
      <c r="AE2080" s="1"/>
      <c r="AF2080" s="1"/>
      <c r="AG2080" s="1"/>
      <c r="AH2080" s="1" t="s">
        <v>45</v>
      </c>
      <c r="AI2080" s="1" t="s">
        <v>8466</v>
      </c>
      <c r="AJ2080" s="3">
        <v>43140.993344907409</v>
      </c>
      <c r="AK2080" s="1" t="s">
        <v>5908</v>
      </c>
    </row>
    <row r="2081" spans="1:37">
      <c r="A2081" s="1" t="e">
        <f>VLOOKUP(H2081,Languages!$A$2:$B$430,2,FALSE)</f>
        <v>#N/A</v>
      </c>
      <c r="B2081" s="1" t="s">
        <v>35</v>
      </c>
      <c r="C2081" s="1" t="s">
        <v>75</v>
      </c>
      <c r="D2081" s="1" t="s">
        <v>8748</v>
      </c>
      <c r="E2081" s="15" t="s">
        <v>8749</v>
      </c>
      <c r="F2081" s="15" t="s">
        <v>8749</v>
      </c>
      <c r="G2081" s="1" t="s">
        <v>8749</v>
      </c>
      <c r="H2081" s="1">
        <f>VLOOKUP(G2081,'languoid 4.0'!$A$1:$I$24439,2,FALSE)</f>
        <v>0</v>
      </c>
      <c r="I2081" s="1" t="str">
        <f>VLOOKUP(G2081,'languoid 4.0'!$A$1:$I$24439,6,FALSE)</f>
        <v>language</v>
      </c>
      <c r="J2081" s="15" t="s">
        <v>38</v>
      </c>
      <c r="K2081" s="15" t="s">
        <v>38</v>
      </c>
      <c r="L2081" s="15" t="s">
        <v>38</v>
      </c>
      <c r="M2081" s="1"/>
      <c r="N2081" s="1" t="s">
        <v>8750</v>
      </c>
      <c r="O2081" s="15" t="s">
        <v>40</v>
      </c>
      <c r="P2081" s="15" t="s">
        <v>41</v>
      </c>
      <c r="Q2081" s="1" t="s">
        <v>8751</v>
      </c>
      <c r="R2081" s="2" t="s">
        <v>8752</v>
      </c>
      <c r="S2081" s="1" t="s">
        <v>46</v>
      </c>
      <c r="T2081" s="1" t="s">
        <v>8753</v>
      </c>
      <c r="U2081" s="1" t="s">
        <v>636</v>
      </c>
      <c r="V2081" s="1" t="s">
        <v>45</v>
      </c>
      <c r="W2081" s="1"/>
      <c r="X2081" s="1"/>
      <c r="Y2081" s="1"/>
      <c r="Z2081" s="1" t="s">
        <v>658</v>
      </c>
      <c r="AA2081" s="1" t="s">
        <v>8754</v>
      </c>
      <c r="AB2081" s="1" t="s">
        <v>46</v>
      </c>
      <c r="AC2081" s="1" t="s">
        <v>46</v>
      </c>
      <c r="AD2081" s="1" t="s">
        <v>8755</v>
      </c>
      <c r="AE2081" s="1" t="s">
        <v>641</v>
      </c>
      <c r="AF2081" s="1" t="s">
        <v>190</v>
      </c>
      <c r="AG2081" s="1">
        <v>6</v>
      </c>
      <c r="AH2081" s="1" t="s">
        <v>190</v>
      </c>
      <c r="AI2081" s="1"/>
      <c r="AJ2081" s="3">
        <v>43321.875983796293</v>
      </c>
      <c r="AK2081" s="1" t="s">
        <v>5640</v>
      </c>
    </row>
    <row r="2082" spans="1:37">
      <c r="A2082" s="1" t="e">
        <f>VLOOKUP(H2082,Languages!$A$2:$B$430,2,FALSE)</f>
        <v>#N/A</v>
      </c>
      <c r="B2082" s="1" t="s">
        <v>35</v>
      </c>
      <c r="C2082" s="1" t="s">
        <v>317</v>
      </c>
      <c r="D2082" s="1" t="s">
        <v>6841</v>
      </c>
      <c r="E2082" s="15" t="s">
        <v>6842</v>
      </c>
      <c r="F2082" s="15" t="s">
        <v>6842</v>
      </c>
      <c r="G2082" s="1" t="s">
        <v>6842</v>
      </c>
      <c r="H2082" s="1">
        <f>VLOOKUP(G2082,'languoid 4.0'!$A$1:$I$24439,2,FALSE)</f>
        <v>0</v>
      </c>
      <c r="I2082" s="1" t="str">
        <f>VLOOKUP(G2082,'languoid 4.0'!$A$1:$I$24439,6,FALSE)</f>
        <v>language</v>
      </c>
      <c r="J2082" s="15" t="s">
        <v>38</v>
      </c>
      <c r="K2082" s="15" t="s">
        <v>38</v>
      </c>
      <c r="L2082" s="15" t="s">
        <v>38</v>
      </c>
      <c r="M2082" s="1"/>
      <c r="N2082" s="1" t="s">
        <v>6843</v>
      </c>
      <c r="O2082" s="15" t="s">
        <v>40</v>
      </c>
      <c r="P2082" s="15" t="s">
        <v>41</v>
      </c>
      <c r="Q2082" s="1" t="s">
        <v>35</v>
      </c>
      <c r="R2082" s="2" t="s">
        <v>6844</v>
      </c>
      <c r="S2082" s="1" t="s">
        <v>1200</v>
      </c>
      <c r="T2082" s="1" t="s">
        <v>6845</v>
      </c>
      <c r="U2082" s="1" t="s">
        <v>636</v>
      </c>
      <c r="V2082" s="1" t="s">
        <v>45</v>
      </c>
      <c r="W2082" s="1"/>
      <c r="X2082" s="1"/>
      <c r="Y2082" s="1"/>
      <c r="Z2082" s="1" t="s">
        <v>658</v>
      </c>
      <c r="AA2082" s="1" t="s">
        <v>46</v>
      </c>
      <c r="AB2082" s="1" t="s">
        <v>46</v>
      </c>
      <c r="AC2082" s="1" t="s">
        <v>46</v>
      </c>
      <c r="AD2082" s="1" t="s">
        <v>6846</v>
      </c>
      <c r="AE2082" s="1" t="s">
        <v>641</v>
      </c>
      <c r="AF2082" s="1" t="s">
        <v>190</v>
      </c>
      <c r="AG2082" s="1">
        <v>6</v>
      </c>
      <c r="AH2082" s="1" t="s">
        <v>190</v>
      </c>
      <c r="AI2082" s="1"/>
      <c r="AJ2082" s="1" t="s">
        <v>6847</v>
      </c>
      <c r="AK2082" s="1" t="s">
        <v>5871</v>
      </c>
    </row>
    <row r="2083" spans="1:37">
      <c r="A2083" s="1" t="e">
        <f>VLOOKUP(H2083,Languages!$A$2:$B$430,2,FALSE)</f>
        <v>#N/A</v>
      </c>
      <c r="B2083" s="1" t="s">
        <v>35</v>
      </c>
      <c r="C2083" s="1" t="s">
        <v>317</v>
      </c>
      <c r="D2083" s="1" t="s">
        <v>6841</v>
      </c>
      <c r="E2083" s="15" t="s">
        <v>6842</v>
      </c>
      <c r="F2083" s="15" t="s">
        <v>6842</v>
      </c>
      <c r="G2083" s="1" t="s">
        <v>6842</v>
      </c>
      <c r="H2083" s="1">
        <f>VLOOKUP(G2083,'languoid 4.0'!$A$1:$I$24439,2,FALSE)</f>
        <v>0</v>
      </c>
      <c r="I2083" s="1" t="str">
        <f>VLOOKUP(G2083,'languoid 4.0'!$A$1:$I$24439,6,FALSE)</f>
        <v>language</v>
      </c>
      <c r="J2083" s="15" t="s">
        <v>38</v>
      </c>
      <c r="K2083" s="15" t="s">
        <v>38</v>
      </c>
      <c r="L2083" s="15" t="s">
        <v>38</v>
      </c>
      <c r="M2083" s="1"/>
      <c r="N2083" s="1" t="s">
        <v>6843</v>
      </c>
      <c r="O2083" s="15" t="s">
        <v>40</v>
      </c>
      <c r="P2083" s="15" t="s">
        <v>41</v>
      </c>
      <c r="Q2083" s="1" t="s">
        <v>35</v>
      </c>
      <c r="R2083" s="2" t="s">
        <v>6844</v>
      </c>
      <c r="S2083" s="1" t="s">
        <v>146</v>
      </c>
      <c r="T2083" s="1" t="s">
        <v>6845</v>
      </c>
      <c r="U2083" s="1" t="s">
        <v>636</v>
      </c>
      <c r="V2083" s="1" t="s">
        <v>45</v>
      </c>
      <c r="W2083" s="1"/>
      <c r="X2083" s="1"/>
      <c r="Y2083" s="1"/>
      <c r="Z2083" s="1" t="s">
        <v>658</v>
      </c>
      <c r="AA2083" s="1" t="s">
        <v>46</v>
      </c>
      <c r="AB2083" s="1" t="s">
        <v>46</v>
      </c>
      <c r="AC2083" s="1" t="s">
        <v>46</v>
      </c>
      <c r="AD2083" s="1" t="s">
        <v>6850</v>
      </c>
      <c r="AE2083" s="1" t="s">
        <v>641</v>
      </c>
      <c r="AF2083" s="1" t="s">
        <v>190</v>
      </c>
      <c r="AG2083" s="1">
        <v>6</v>
      </c>
      <c r="AH2083" s="1" t="s">
        <v>190</v>
      </c>
      <c r="AI2083" s="1"/>
      <c r="AJ2083" s="1" t="s">
        <v>6851</v>
      </c>
      <c r="AK2083" s="1" t="s">
        <v>5871</v>
      </c>
    </row>
    <row r="2084" spans="1:37">
      <c r="A2084" s="1" t="e">
        <f>VLOOKUP(H2084,Languages!$A$2:$B$430,2,FALSE)</f>
        <v>#N/A</v>
      </c>
      <c r="B2084" s="1" t="s">
        <v>35</v>
      </c>
      <c r="C2084" s="1" t="s">
        <v>101</v>
      </c>
      <c r="D2084" s="1" t="s">
        <v>102</v>
      </c>
      <c r="E2084" s="15" t="s">
        <v>103</v>
      </c>
      <c r="F2084" s="15" t="s">
        <v>103</v>
      </c>
      <c r="G2084" s="1" t="s">
        <v>103</v>
      </c>
      <c r="H2084" s="1">
        <f>VLOOKUP(G2084,'languoid 4.0'!$A$1:$I$24439,2,FALSE)</f>
        <v>0</v>
      </c>
      <c r="I2084" s="1" t="str">
        <f>VLOOKUP(G2084,'languoid 4.0'!$A$1:$I$24439,6,FALSE)</f>
        <v>language</v>
      </c>
      <c r="J2084" s="15" t="s">
        <v>38</v>
      </c>
      <c r="K2084" s="15" t="s">
        <v>38</v>
      </c>
      <c r="L2084" s="15" t="s">
        <v>38</v>
      </c>
      <c r="M2084" s="1"/>
      <c r="N2084" s="1" t="s">
        <v>104</v>
      </c>
      <c r="O2084" s="15" t="s">
        <v>40</v>
      </c>
      <c r="P2084" s="15" t="s">
        <v>41</v>
      </c>
      <c r="Q2084" s="1" t="s">
        <v>105</v>
      </c>
      <c r="R2084" s="2" t="s">
        <v>106</v>
      </c>
      <c r="S2084" s="1" t="s">
        <v>107</v>
      </c>
      <c r="T2084" s="1" t="s">
        <v>44</v>
      </c>
      <c r="U2084" s="1"/>
      <c r="V2084" s="1" t="s">
        <v>45</v>
      </c>
      <c r="W2084" s="1"/>
      <c r="X2084" s="1"/>
      <c r="Y2084" s="1"/>
      <c r="Z2084" s="1"/>
      <c r="AA2084" s="1">
        <v>2</v>
      </c>
      <c r="AB2084" s="1" t="s">
        <v>46</v>
      </c>
      <c r="AC2084" s="1" t="s">
        <v>46</v>
      </c>
      <c r="AD2084" s="1"/>
      <c r="AE2084" s="1"/>
      <c r="AF2084" s="1"/>
      <c r="AG2084" s="1"/>
      <c r="AH2084" s="1"/>
      <c r="AI2084" s="1"/>
      <c r="AJ2084" s="3">
        <v>43102.725740740738</v>
      </c>
      <c r="AK2084" s="1" t="s">
        <v>57</v>
      </c>
    </row>
    <row r="2085" spans="1:37">
      <c r="A2085" s="1" t="e">
        <f>VLOOKUP(H2085,Languages!$A$2:$B$430,2,FALSE)</f>
        <v>#N/A</v>
      </c>
      <c r="B2085" s="1" t="s">
        <v>35</v>
      </c>
      <c r="C2085" s="1" t="s">
        <v>304</v>
      </c>
      <c r="D2085" s="1" t="s">
        <v>606</v>
      </c>
      <c r="E2085" s="15" t="s">
        <v>607</v>
      </c>
      <c r="F2085" s="15" t="s">
        <v>607</v>
      </c>
      <c r="G2085" s="1" t="s">
        <v>607</v>
      </c>
      <c r="H2085" s="1">
        <f>VLOOKUP(G2085,'languoid 4.0'!$A$1:$I$24439,2,FALSE)</f>
        <v>0</v>
      </c>
      <c r="I2085" s="1" t="str">
        <f>VLOOKUP(G2085,'languoid 4.0'!$A$1:$I$24439,6,FALSE)</f>
        <v>family</v>
      </c>
      <c r="J2085" s="15" t="s">
        <v>38</v>
      </c>
      <c r="K2085" s="15" t="s">
        <v>38</v>
      </c>
      <c r="L2085" s="15" t="s">
        <v>38</v>
      </c>
      <c r="M2085" s="1"/>
      <c r="N2085" s="1" t="s">
        <v>608</v>
      </c>
      <c r="O2085" s="15" t="s">
        <v>113</v>
      </c>
      <c r="P2085" s="15" t="s">
        <v>41</v>
      </c>
      <c r="Q2085" s="1" t="s">
        <v>609</v>
      </c>
      <c r="R2085" s="2" t="s">
        <v>610</v>
      </c>
      <c r="S2085" s="1" t="s">
        <v>611</v>
      </c>
      <c r="T2085" s="1" t="s">
        <v>44</v>
      </c>
      <c r="U2085" s="1"/>
      <c r="V2085" s="1" t="s">
        <v>45</v>
      </c>
      <c r="W2085" s="1"/>
      <c r="X2085" s="1"/>
      <c r="Y2085" s="1"/>
      <c r="Z2085" s="1"/>
      <c r="AA2085" s="1">
        <v>9</v>
      </c>
      <c r="AB2085" s="1" t="s">
        <v>612</v>
      </c>
      <c r="AC2085" s="1" t="s">
        <v>46</v>
      </c>
      <c r="AD2085" s="1"/>
      <c r="AE2085" s="1"/>
      <c r="AF2085" s="1"/>
      <c r="AG2085" s="1"/>
      <c r="AH2085" s="1"/>
      <c r="AI2085" s="1"/>
      <c r="AJ2085" s="3">
        <v>43102.765219907407</v>
      </c>
      <c r="AK2085" s="1" t="s">
        <v>57</v>
      </c>
    </row>
    <row r="2086" spans="1:37">
      <c r="A2086" s="1" t="e">
        <f>VLOOKUP(H2086,Languages!$A$2:$B$430,2,FALSE)</f>
        <v>#N/A</v>
      </c>
      <c r="B2086" s="1" t="s">
        <v>35</v>
      </c>
      <c r="C2086" s="1" t="s">
        <v>304</v>
      </c>
      <c r="D2086" s="1" t="s">
        <v>606</v>
      </c>
      <c r="E2086" s="15" t="s">
        <v>607</v>
      </c>
      <c r="F2086" s="15" t="s">
        <v>607</v>
      </c>
      <c r="G2086" s="1" t="s">
        <v>607</v>
      </c>
      <c r="H2086" s="1">
        <f>VLOOKUP(G2086,'languoid 4.0'!$A$1:$I$24439,2,FALSE)</f>
        <v>0</v>
      </c>
      <c r="I2086" s="1" t="str">
        <f>VLOOKUP(G2086,'languoid 4.0'!$A$1:$I$24439,6,FALSE)</f>
        <v>family</v>
      </c>
      <c r="J2086" s="15" t="s">
        <v>38</v>
      </c>
      <c r="K2086" s="15" t="s">
        <v>38</v>
      </c>
      <c r="L2086" s="15" t="s">
        <v>38</v>
      </c>
      <c r="M2086" s="1"/>
      <c r="N2086" s="1" t="s">
        <v>608</v>
      </c>
      <c r="O2086" s="15" t="s">
        <v>113</v>
      </c>
      <c r="P2086" s="15" t="s">
        <v>41</v>
      </c>
      <c r="Q2086" s="1" t="s">
        <v>46</v>
      </c>
      <c r="R2086" s="2" t="s">
        <v>4512</v>
      </c>
      <c r="S2086" s="1" t="s">
        <v>46</v>
      </c>
      <c r="T2086" s="1" t="s">
        <v>635</v>
      </c>
      <c r="U2086" s="1" t="s">
        <v>636</v>
      </c>
      <c r="V2086" s="1" t="s">
        <v>45</v>
      </c>
      <c r="W2086" s="1"/>
      <c r="X2086" s="1"/>
      <c r="Y2086" s="1"/>
      <c r="Z2086" s="1" t="s">
        <v>658</v>
      </c>
      <c r="AA2086" s="1" t="s">
        <v>7733</v>
      </c>
      <c r="AB2086" s="1" t="s">
        <v>46</v>
      </c>
      <c r="AC2086" s="1" t="s">
        <v>46</v>
      </c>
      <c r="AD2086" s="1"/>
      <c r="AE2086" s="1"/>
      <c r="AF2086" s="1"/>
      <c r="AG2086" s="1"/>
      <c r="AH2086" s="1" t="s">
        <v>45</v>
      </c>
      <c r="AI2086" s="1" t="s">
        <v>6440</v>
      </c>
      <c r="AJ2086" s="1" t="s">
        <v>7734</v>
      </c>
      <c r="AK2086" s="1" t="s">
        <v>6441</v>
      </c>
    </row>
    <row r="2087" spans="1:37">
      <c r="A2087" s="1" t="e">
        <f>VLOOKUP(H2087,Languages!$A$2:$B$430,2,FALSE)</f>
        <v>#N/A</v>
      </c>
      <c r="B2087" s="1" t="s">
        <v>35</v>
      </c>
      <c r="C2087" s="1" t="s">
        <v>304</v>
      </c>
      <c r="D2087" s="1" t="s">
        <v>606</v>
      </c>
      <c r="E2087" s="15" t="s">
        <v>607</v>
      </c>
      <c r="F2087" s="15" t="s">
        <v>607</v>
      </c>
      <c r="G2087" s="1" t="s">
        <v>607</v>
      </c>
      <c r="H2087" s="1">
        <f>VLOOKUP(G2087,'languoid 4.0'!$A$1:$I$24439,2,FALSE)</f>
        <v>0</v>
      </c>
      <c r="I2087" s="1" t="str">
        <f>VLOOKUP(G2087,'languoid 4.0'!$A$1:$I$24439,6,FALSE)</f>
        <v>family</v>
      </c>
      <c r="J2087" s="15" t="s">
        <v>38</v>
      </c>
      <c r="K2087" s="15" t="s">
        <v>38</v>
      </c>
      <c r="L2087" s="15" t="s">
        <v>38</v>
      </c>
      <c r="M2087" s="1"/>
      <c r="N2087" s="1" t="s">
        <v>608</v>
      </c>
      <c r="O2087" s="15" t="s">
        <v>113</v>
      </c>
      <c r="P2087" s="15" t="s">
        <v>41</v>
      </c>
      <c r="Q2087" s="1" t="s">
        <v>8078</v>
      </c>
      <c r="R2087" s="2" t="s">
        <v>8079</v>
      </c>
      <c r="S2087" s="1" t="s">
        <v>611</v>
      </c>
      <c r="T2087" s="1" t="s">
        <v>657</v>
      </c>
      <c r="U2087" s="1" t="s">
        <v>636</v>
      </c>
      <c r="V2087" s="1" t="s">
        <v>45</v>
      </c>
      <c r="W2087" s="1"/>
      <c r="X2087" s="1"/>
      <c r="Y2087" s="1"/>
      <c r="Z2087" s="1" t="s">
        <v>658</v>
      </c>
      <c r="AA2087" s="1" t="s">
        <v>46</v>
      </c>
      <c r="AB2087" s="1" t="s">
        <v>46</v>
      </c>
      <c r="AC2087" s="1" t="s">
        <v>46</v>
      </c>
      <c r="AD2087" s="1"/>
      <c r="AE2087" s="1" t="s">
        <v>641</v>
      </c>
      <c r="AF2087" s="1" t="s">
        <v>45</v>
      </c>
      <c r="AG2087" s="1">
        <v>6</v>
      </c>
      <c r="AH2087" s="1" t="s">
        <v>190</v>
      </c>
      <c r="AI2087" s="1"/>
      <c r="AJ2087" s="1" t="s">
        <v>8080</v>
      </c>
      <c r="AK2087" s="1" t="s">
        <v>6441</v>
      </c>
    </row>
    <row r="2088" spans="1:37">
      <c r="A2088" s="1" t="e">
        <f>VLOOKUP(H2088,Languages!$A$2:$B$430,2,FALSE)</f>
        <v>#N/A</v>
      </c>
      <c r="B2088" s="1" t="s">
        <v>35</v>
      </c>
      <c r="C2088" s="1" t="s">
        <v>431</v>
      </c>
      <c r="D2088" s="1" t="s">
        <v>11252</v>
      </c>
      <c r="E2088" s="15" t="s">
        <v>11253</v>
      </c>
      <c r="F2088" s="15" t="s">
        <v>11253</v>
      </c>
      <c r="G2088" s="1" t="s">
        <v>11253</v>
      </c>
      <c r="H2088" s="1">
        <f>VLOOKUP(G2088,'languoid 4.0'!$A$1:$I$24439,2,FALSE)</f>
        <v>0</v>
      </c>
      <c r="I2088" s="1" t="str">
        <f>VLOOKUP(G2088,'languoid 4.0'!$A$1:$I$24439,6,FALSE)</f>
        <v>language</v>
      </c>
      <c r="J2088" s="15" t="s">
        <v>38</v>
      </c>
      <c r="K2088" s="15" t="s">
        <v>38</v>
      </c>
      <c r="L2088" s="15" t="s">
        <v>38</v>
      </c>
      <c r="M2088" s="1"/>
      <c r="N2088" s="1" t="s">
        <v>11254</v>
      </c>
      <c r="O2088" s="15" t="s">
        <v>40</v>
      </c>
      <c r="P2088" s="15" t="s">
        <v>41</v>
      </c>
      <c r="Q2088" s="1" t="s">
        <v>35</v>
      </c>
      <c r="R2088" s="2" t="s">
        <v>11255</v>
      </c>
      <c r="S2088" s="1" t="s">
        <v>56</v>
      </c>
      <c r="T2088" s="1" t="s">
        <v>657</v>
      </c>
      <c r="U2088" s="1" t="s">
        <v>636</v>
      </c>
      <c r="V2088" s="1" t="s">
        <v>45</v>
      </c>
      <c r="W2088" s="1"/>
      <c r="X2088" s="1"/>
      <c r="Y2088" s="1"/>
      <c r="Z2088" s="1" t="s">
        <v>658</v>
      </c>
      <c r="AA2088" s="1" t="s">
        <v>11256</v>
      </c>
      <c r="AB2088" s="1" t="s">
        <v>46</v>
      </c>
      <c r="AC2088" s="1" t="s">
        <v>46</v>
      </c>
      <c r="AD2088" s="1"/>
      <c r="AE2088" s="1" t="s">
        <v>641</v>
      </c>
      <c r="AF2088" s="1" t="s">
        <v>190</v>
      </c>
      <c r="AG2088" s="1">
        <v>6</v>
      </c>
      <c r="AH2088" s="1" t="s">
        <v>190</v>
      </c>
      <c r="AI2088" s="1"/>
      <c r="AJ2088" s="1" t="s">
        <v>11257</v>
      </c>
      <c r="AK2088" s="1" t="s">
        <v>4975</v>
      </c>
    </row>
    <row r="2089" spans="1:37">
      <c r="A2089" s="1" t="e">
        <f>VLOOKUP(H2089,Languages!$A$2:$B$430,2,FALSE)</f>
        <v>#N/A</v>
      </c>
      <c r="B2089" s="1" t="s">
        <v>35</v>
      </c>
      <c r="C2089" s="1" t="s">
        <v>132</v>
      </c>
      <c r="D2089" s="1" t="s">
        <v>6741</v>
      </c>
      <c r="E2089" s="15" t="s">
        <v>51</v>
      </c>
      <c r="F2089" s="15" t="s">
        <v>6742</v>
      </c>
      <c r="G2089" s="1" t="s">
        <v>6742</v>
      </c>
      <c r="H2089" s="1">
        <f>VLOOKUP(G2089,'languoid 4.0'!$A$1:$I$24439,2,FALSE)</f>
        <v>0</v>
      </c>
      <c r="I2089" s="1" t="str">
        <f>VLOOKUP(G2089,'languoid 4.0'!$A$1:$I$24439,6,FALSE)</f>
        <v>family</v>
      </c>
      <c r="J2089" s="15" t="s">
        <v>52</v>
      </c>
      <c r="K2089" s="15" t="s">
        <v>51</v>
      </c>
      <c r="L2089" s="15" t="s">
        <v>51</v>
      </c>
      <c r="M2089" s="1"/>
      <c r="N2089" s="1" t="e">
        <v>#N/A</v>
      </c>
      <c r="O2089" s="15" t="s">
        <v>690</v>
      </c>
      <c r="P2089" s="15"/>
      <c r="Q2089" s="1" t="s">
        <v>6743</v>
      </c>
      <c r="R2089" s="2" t="s">
        <v>6744</v>
      </c>
      <c r="S2089" s="1" t="s">
        <v>6745</v>
      </c>
      <c r="T2089" s="1" t="s">
        <v>657</v>
      </c>
      <c r="U2089" s="1" t="s">
        <v>636</v>
      </c>
      <c r="V2089" s="1" t="s">
        <v>45</v>
      </c>
      <c r="W2089" s="1"/>
      <c r="X2089" s="1"/>
      <c r="Y2089" s="1"/>
      <c r="Z2089" s="1" t="s">
        <v>658</v>
      </c>
      <c r="AA2089" s="1" t="s">
        <v>6746</v>
      </c>
      <c r="AB2089" s="1" t="s">
        <v>46</v>
      </c>
      <c r="AC2089" s="1" t="s">
        <v>46</v>
      </c>
      <c r="AD2089" s="1"/>
      <c r="AE2089" s="1" t="s">
        <v>641</v>
      </c>
      <c r="AF2089" s="1" t="s">
        <v>190</v>
      </c>
      <c r="AG2089" s="1">
        <v>6</v>
      </c>
      <c r="AH2089" s="1" t="s">
        <v>190</v>
      </c>
      <c r="AI2089" s="1"/>
      <c r="AJ2089" s="1" t="s">
        <v>6747</v>
      </c>
      <c r="AK2089" s="1" t="s">
        <v>1034</v>
      </c>
    </row>
    <row r="2090" spans="1:37">
      <c r="A2090" s="1" t="e">
        <f>VLOOKUP(H2090,Languages!$A$2:$B$430,2,FALSE)</f>
        <v>#N/A</v>
      </c>
      <c r="B2090" s="1" t="s">
        <v>35</v>
      </c>
      <c r="C2090" s="1" t="s">
        <v>4417</v>
      </c>
      <c r="D2090" s="1" t="s">
        <v>4723</v>
      </c>
      <c r="E2090" s="15" t="s">
        <v>3656</v>
      </c>
      <c r="F2090" s="15" t="s">
        <v>4724</v>
      </c>
      <c r="G2090" s="1" t="s">
        <v>4725</v>
      </c>
      <c r="H2090" s="1">
        <f>VLOOKUP(G2090,'languoid 4.0'!$A$1:$I$24439,2,FALSE)</f>
        <v>0</v>
      </c>
      <c r="I2090" s="1" t="str">
        <f>VLOOKUP(G2090,'languoid 4.0'!$A$1:$I$24439,6,FALSE)</f>
        <v>language</v>
      </c>
      <c r="J2090" s="15" t="s">
        <v>52</v>
      </c>
      <c r="K2090" s="15" t="s">
        <v>38</v>
      </c>
      <c r="L2090" s="15" t="s">
        <v>38</v>
      </c>
      <c r="M2090" s="1"/>
      <c r="N2090" s="1" t="s">
        <v>4419</v>
      </c>
      <c r="O2090" s="15" t="s">
        <v>40</v>
      </c>
      <c r="P2090" s="15" t="s">
        <v>41</v>
      </c>
      <c r="Q2090" s="1" t="s">
        <v>4726</v>
      </c>
      <c r="R2090" s="2" t="s">
        <v>4727</v>
      </c>
      <c r="S2090" s="1" t="s">
        <v>46</v>
      </c>
      <c r="T2090" s="1" t="s">
        <v>635</v>
      </c>
      <c r="U2090" s="1" t="s">
        <v>636</v>
      </c>
      <c r="V2090" s="1" t="s">
        <v>45</v>
      </c>
      <c r="W2090" s="1"/>
      <c r="X2090" s="1"/>
      <c r="Y2090" s="1"/>
      <c r="Z2090" s="1" t="s">
        <v>658</v>
      </c>
      <c r="AA2090" s="1" t="s">
        <v>4728</v>
      </c>
      <c r="AB2090" s="1" t="s">
        <v>4728</v>
      </c>
      <c r="AC2090" s="1" t="s">
        <v>46</v>
      </c>
      <c r="AD2090" s="1" t="s">
        <v>4729</v>
      </c>
      <c r="AE2090" s="1" t="s">
        <v>641</v>
      </c>
      <c r="AF2090" s="1" t="s">
        <v>190</v>
      </c>
      <c r="AG2090" s="1">
        <v>6</v>
      </c>
      <c r="AH2090" s="1" t="s">
        <v>190</v>
      </c>
      <c r="AI2090" s="1"/>
      <c r="AJ2090" s="3">
        <v>43349.600243055553</v>
      </c>
      <c r="AK2090" s="1" t="s">
        <v>4424</v>
      </c>
    </row>
    <row r="2091" spans="1:37">
      <c r="A2091" s="1" t="e">
        <f>VLOOKUP(H2091,Languages!$A$2:$B$430,2,FALSE)</f>
        <v>#N/A</v>
      </c>
      <c r="B2091" s="1" t="s">
        <v>1726</v>
      </c>
      <c r="C2091" s="1" t="s">
        <v>477</v>
      </c>
      <c r="D2091" s="1" t="s">
        <v>8309</v>
      </c>
      <c r="E2091" s="15" t="s">
        <v>8310</v>
      </c>
      <c r="F2091" s="15" t="s">
        <v>8311</v>
      </c>
      <c r="G2091" s="1" t="s">
        <v>8310</v>
      </c>
      <c r="H2091" s="1">
        <f>VLOOKUP(G2091,'languoid 4.0'!$A$1:$I$24439,2,FALSE)</f>
        <v>0</v>
      </c>
      <c r="I2091" s="1" t="str">
        <f>VLOOKUP(G2091,'languoid 4.0'!$A$1:$I$24439,6,FALSE)</f>
        <v>family</v>
      </c>
      <c r="J2091" s="15" t="s">
        <v>52</v>
      </c>
      <c r="K2091" s="15" t="s">
        <v>52</v>
      </c>
      <c r="L2091" s="15" t="s">
        <v>52</v>
      </c>
      <c r="M2091" s="1"/>
      <c r="N2091" s="1"/>
      <c r="O2091" s="15" t="s">
        <v>113</v>
      </c>
      <c r="P2091" s="15" t="s">
        <v>41</v>
      </c>
      <c r="Q2091" s="1" t="s">
        <v>8312</v>
      </c>
      <c r="R2091" s="2" t="s">
        <v>8313</v>
      </c>
      <c r="S2091" s="1" t="s">
        <v>204</v>
      </c>
      <c r="T2091" s="1" t="s">
        <v>3307</v>
      </c>
      <c r="U2091" s="1" t="s">
        <v>636</v>
      </c>
      <c r="V2091" s="1" t="s">
        <v>45</v>
      </c>
      <c r="W2091" s="1"/>
      <c r="X2091" s="1"/>
      <c r="Y2091" s="1"/>
      <c r="Z2091" s="1" t="s">
        <v>673</v>
      </c>
      <c r="AA2091" s="1" t="s">
        <v>1021</v>
      </c>
      <c r="AB2091" s="1" t="s">
        <v>8314</v>
      </c>
      <c r="AC2091" s="1" t="s">
        <v>1021</v>
      </c>
      <c r="AD2091" s="1" t="s">
        <v>8315</v>
      </c>
      <c r="AE2091" s="1" t="s">
        <v>641</v>
      </c>
      <c r="AF2091" s="1" t="s">
        <v>190</v>
      </c>
      <c r="AG2091" s="1">
        <v>5</v>
      </c>
      <c r="AH2091" s="1" t="s">
        <v>190</v>
      </c>
      <c r="AI2091" s="1" t="s">
        <v>8316</v>
      </c>
      <c r="AJ2091" s="1" t="s">
        <v>8317</v>
      </c>
      <c r="AK2091" s="1" t="s">
        <v>5678</v>
      </c>
    </row>
    <row r="2092" spans="1:37">
      <c r="A2092" s="1" t="e">
        <f>VLOOKUP(H2092,Languages!$A$2:$B$430,2,FALSE)</f>
        <v>#N/A</v>
      </c>
      <c r="B2092" s="1" t="s">
        <v>1726</v>
      </c>
      <c r="C2092" s="1" t="s">
        <v>34</v>
      </c>
      <c r="D2092" s="1" t="s">
        <v>2745</v>
      </c>
      <c r="E2092" s="15" t="s">
        <v>705</v>
      </c>
      <c r="F2092" s="15" t="s">
        <v>51</v>
      </c>
      <c r="G2092" s="1" t="s">
        <v>705</v>
      </c>
      <c r="H2092" s="1">
        <f>VLOOKUP(G2092,'languoid 4.0'!$A$1:$I$24439,2,FALSE)</f>
        <v>0</v>
      </c>
      <c r="I2092" s="1" t="str">
        <f>VLOOKUP(G2092,'languoid 4.0'!$A$1:$I$24439,6,FALSE)</f>
        <v>language</v>
      </c>
      <c r="J2092" s="15" t="s">
        <v>52</v>
      </c>
      <c r="K2092" s="15" t="s">
        <v>51</v>
      </c>
      <c r="L2092" s="15" t="s">
        <v>51</v>
      </c>
      <c r="M2092" s="1"/>
      <c r="N2092" s="1" t="s">
        <v>706</v>
      </c>
      <c r="O2092" s="15" t="s">
        <v>40</v>
      </c>
      <c r="P2092" s="15" t="s">
        <v>41</v>
      </c>
      <c r="Q2092" s="1" t="s">
        <v>2746</v>
      </c>
      <c r="R2092" s="2" t="s">
        <v>2747</v>
      </c>
      <c r="S2092" s="1" t="s">
        <v>2748</v>
      </c>
      <c r="T2092" s="1" t="s">
        <v>635</v>
      </c>
      <c r="U2092" s="1" t="s">
        <v>636</v>
      </c>
      <c r="V2092" s="1" t="s">
        <v>45</v>
      </c>
      <c r="W2092" s="1"/>
      <c r="X2092" s="1"/>
      <c r="Y2092" s="1"/>
      <c r="Z2092" s="1" t="s">
        <v>658</v>
      </c>
      <c r="AA2092" s="1" t="s">
        <v>2749</v>
      </c>
      <c r="AB2092" s="1" t="s">
        <v>46</v>
      </c>
      <c r="AC2092" s="1" t="s">
        <v>46</v>
      </c>
      <c r="AD2092" s="1" t="s">
        <v>2750</v>
      </c>
      <c r="AE2092" s="1"/>
      <c r="AF2092" s="1"/>
      <c r="AG2092" s="1"/>
      <c r="AH2092" s="1" t="s">
        <v>45</v>
      </c>
      <c r="AI2092" s="1"/>
      <c r="AJ2092" s="3">
        <v>43377.513923611114</v>
      </c>
      <c r="AK2092" s="1" t="s">
        <v>676</v>
      </c>
    </row>
    <row r="2093" spans="1:37">
      <c r="A2093" s="1" t="e">
        <f>VLOOKUP(H2093,Languages!$A$2:$B$430,2,FALSE)</f>
        <v>#N/A</v>
      </c>
      <c r="B2093" s="1" t="s">
        <v>1726</v>
      </c>
      <c r="C2093" s="1" t="s">
        <v>34</v>
      </c>
      <c r="D2093" s="1" t="s">
        <v>9958</v>
      </c>
      <c r="E2093" s="15" t="s">
        <v>705</v>
      </c>
      <c r="F2093" s="15" t="s">
        <v>705</v>
      </c>
      <c r="G2093" s="1" t="s">
        <v>705</v>
      </c>
      <c r="H2093" s="1">
        <f>VLOOKUP(G2093,'languoid 4.0'!$A$1:$I$24439,2,FALSE)</f>
        <v>0</v>
      </c>
      <c r="I2093" s="1" t="str">
        <f>VLOOKUP(G2093,'languoid 4.0'!$A$1:$I$24439,6,FALSE)</f>
        <v>language</v>
      </c>
      <c r="J2093" s="15" t="s">
        <v>38</v>
      </c>
      <c r="K2093" s="15" t="s">
        <v>38</v>
      </c>
      <c r="L2093" s="15" t="s">
        <v>38</v>
      </c>
      <c r="M2093" s="1"/>
      <c r="N2093" s="1" t="s">
        <v>706</v>
      </c>
      <c r="O2093" s="15" t="s">
        <v>40</v>
      </c>
      <c r="P2093" s="15" t="s">
        <v>41</v>
      </c>
      <c r="Q2093" s="1" t="s">
        <v>2566</v>
      </c>
      <c r="R2093" s="2" t="s">
        <v>4512</v>
      </c>
      <c r="S2093" s="1" t="s">
        <v>46</v>
      </c>
      <c r="T2093" s="1" t="s">
        <v>635</v>
      </c>
      <c r="U2093" s="1" t="s">
        <v>636</v>
      </c>
      <c r="V2093" s="1" t="s">
        <v>45</v>
      </c>
      <c r="W2093" s="1"/>
      <c r="X2093" s="1"/>
      <c r="Y2093" s="1"/>
      <c r="Z2093" s="1" t="s">
        <v>658</v>
      </c>
      <c r="AA2093" s="1" t="s">
        <v>9959</v>
      </c>
      <c r="AB2093" s="1" t="s">
        <v>9960</v>
      </c>
      <c r="AC2093" s="1" t="s">
        <v>46</v>
      </c>
      <c r="AD2093" s="1"/>
      <c r="AE2093" s="1"/>
      <c r="AF2093" s="1"/>
      <c r="AG2093" s="1"/>
      <c r="AH2093" s="1" t="s">
        <v>45</v>
      </c>
      <c r="AI2093" s="1" t="s">
        <v>9902</v>
      </c>
      <c r="AJ2093" s="1" t="s">
        <v>9961</v>
      </c>
      <c r="AK2093" s="1" t="s">
        <v>9537</v>
      </c>
    </row>
    <row r="2094" spans="1:37">
      <c r="A2094" s="1" t="e">
        <f>VLOOKUP(H2094,Languages!$A$2:$B$430,2,FALSE)</f>
        <v>#N/A</v>
      </c>
      <c r="B2094" s="1" t="s">
        <v>1726</v>
      </c>
      <c r="C2094" s="1" t="s">
        <v>139</v>
      </c>
      <c r="D2094" s="1" t="s">
        <v>9075</v>
      </c>
      <c r="E2094" s="15" t="s">
        <v>141</v>
      </c>
      <c r="F2094" s="15" t="s">
        <v>141</v>
      </c>
      <c r="G2094" s="1" t="s">
        <v>141</v>
      </c>
      <c r="H2094" s="1">
        <f>VLOOKUP(G2094,'languoid 4.0'!$A$1:$I$24439,2,FALSE)</f>
        <v>0</v>
      </c>
      <c r="I2094" s="1" t="str">
        <f>VLOOKUP(G2094,'languoid 4.0'!$A$1:$I$24439,6,FALSE)</f>
        <v>family</v>
      </c>
      <c r="J2094" s="15" t="s">
        <v>38</v>
      </c>
      <c r="K2094" s="15" t="s">
        <v>38</v>
      </c>
      <c r="L2094" s="15" t="s">
        <v>38</v>
      </c>
      <c r="M2094" s="1"/>
      <c r="N2094" s="1"/>
      <c r="O2094" s="15" t="s">
        <v>113</v>
      </c>
      <c r="P2094" s="15" t="s">
        <v>41</v>
      </c>
      <c r="Q2094" s="1" t="s">
        <v>9131</v>
      </c>
      <c r="R2094" s="2" t="s">
        <v>9499</v>
      </c>
      <c r="S2094" s="1" t="s">
        <v>46</v>
      </c>
      <c r="T2094" s="1" t="s">
        <v>635</v>
      </c>
      <c r="U2094" s="1" t="s">
        <v>636</v>
      </c>
      <c r="V2094" s="1" t="s">
        <v>45</v>
      </c>
      <c r="W2094" s="1"/>
      <c r="X2094" s="1"/>
      <c r="Y2094" s="1"/>
      <c r="Z2094" s="1" t="s">
        <v>658</v>
      </c>
      <c r="AA2094" s="1" t="s">
        <v>9500</v>
      </c>
      <c r="AB2094" s="1" t="s">
        <v>46</v>
      </c>
      <c r="AC2094" s="1" t="s">
        <v>46</v>
      </c>
      <c r="AD2094" s="1"/>
      <c r="AE2094" s="1"/>
      <c r="AF2094" s="1"/>
      <c r="AG2094" s="1"/>
      <c r="AH2094" s="1" t="s">
        <v>45</v>
      </c>
      <c r="AI2094" s="1"/>
      <c r="AJ2094" s="3">
        <v>43291.513657407406</v>
      </c>
      <c r="AK2094" s="1" t="s">
        <v>8645</v>
      </c>
    </row>
    <row r="2095" spans="1:37">
      <c r="A2095" s="1" t="e">
        <f>VLOOKUP(H2095,Languages!$A$2:$B$430,2,FALSE)</f>
        <v>#N/A</v>
      </c>
      <c r="B2095" s="1" t="s">
        <v>1726</v>
      </c>
      <c r="C2095" s="1" t="s">
        <v>139</v>
      </c>
      <c r="D2095" s="1" t="s">
        <v>392</v>
      </c>
      <c r="E2095" s="15" t="s">
        <v>393</v>
      </c>
      <c r="F2095" s="15" t="s">
        <v>393</v>
      </c>
      <c r="G2095" s="1" t="s">
        <v>393</v>
      </c>
      <c r="H2095" s="1">
        <f>VLOOKUP(G2095,'languoid 4.0'!$A$1:$I$24439,2,FALSE)</f>
        <v>0</v>
      </c>
      <c r="I2095" s="1" t="str">
        <f>VLOOKUP(G2095,'languoid 4.0'!$A$1:$I$24439,6,FALSE)</f>
        <v>family</v>
      </c>
      <c r="J2095" s="15" t="s">
        <v>38</v>
      </c>
      <c r="K2095" s="15" t="s">
        <v>38</v>
      </c>
      <c r="L2095" s="15" t="s">
        <v>38</v>
      </c>
      <c r="M2095" s="1"/>
      <c r="N2095" s="1"/>
      <c r="O2095" s="15" t="s">
        <v>113</v>
      </c>
      <c r="P2095" s="15" t="s">
        <v>41</v>
      </c>
      <c r="Q2095" s="1" t="s">
        <v>9508</v>
      </c>
      <c r="R2095" s="2" t="s">
        <v>9506</v>
      </c>
      <c r="S2095" s="1" t="s">
        <v>46</v>
      </c>
      <c r="T2095" s="1" t="s">
        <v>635</v>
      </c>
      <c r="U2095" s="1" t="s">
        <v>636</v>
      </c>
      <c r="V2095" s="1" t="s">
        <v>45</v>
      </c>
      <c r="W2095" s="1"/>
      <c r="X2095" s="1"/>
      <c r="Y2095" s="1"/>
      <c r="Z2095" s="1" t="s">
        <v>658</v>
      </c>
      <c r="AA2095" s="1" t="s">
        <v>9509</v>
      </c>
      <c r="AB2095" s="1" t="s">
        <v>46</v>
      </c>
      <c r="AC2095" s="1" t="s">
        <v>46</v>
      </c>
      <c r="AD2095" s="1"/>
      <c r="AE2095" s="1"/>
      <c r="AF2095" s="1"/>
      <c r="AG2095" s="1"/>
      <c r="AH2095" s="1" t="s">
        <v>45</v>
      </c>
      <c r="AI2095" s="1"/>
      <c r="AJ2095" s="3">
        <v>43291.541597222225</v>
      </c>
      <c r="AK2095" s="1" t="s">
        <v>8645</v>
      </c>
    </row>
    <row r="2096" spans="1:37">
      <c r="A2096" s="1" t="e">
        <f>VLOOKUP(H2096,Languages!$A$2:$B$430,2,FALSE)</f>
        <v>#N/A</v>
      </c>
      <c r="B2096" s="1" t="s">
        <v>1726</v>
      </c>
      <c r="C2096" s="1" t="s">
        <v>267</v>
      </c>
      <c r="D2096" s="1" t="s">
        <v>8246</v>
      </c>
      <c r="E2096" s="15" t="s">
        <v>5911</v>
      </c>
      <c r="F2096" s="15" t="s">
        <v>5911</v>
      </c>
      <c r="G2096" s="1" t="s">
        <v>5911</v>
      </c>
      <c r="H2096" s="1">
        <f>VLOOKUP(G2096,'languoid 4.0'!$A$1:$I$24439,2,FALSE)</f>
        <v>0</v>
      </c>
      <c r="I2096" s="1" t="str">
        <f>VLOOKUP(G2096,'languoid 4.0'!$A$1:$I$24439,6,FALSE)</f>
        <v>family</v>
      </c>
      <c r="J2096" s="15" t="s">
        <v>38</v>
      </c>
      <c r="K2096" s="15" t="s">
        <v>38</v>
      </c>
      <c r="L2096" s="15" t="s">
        <v>38</v>
      </c>
      <c r="M2096" s="1"/>
      <c r="N2096" s="1"/>
      <c r="O2096" s="15" t="s">
        <v>113</v>
      </c>
      <c r="P2096" s="15" t="s">
        <v>41</v>
      </c>
      <c r="Q2096" s="1" t="s">
        <v>8247</v>
      </c>
      <c r="R2096" s="2" t="s">
        <v>8248</v>
      </c>
      <c r="S2096" s="1">
        <v>1</v>
      </c>
      <c r="T2096" s="1" t="s">
        <v>8249</v>
      </c>
      <c r="U2096" s="1" t="s">
        <v>636</v>
      </c>
      <c r="V2096" s="1" t="s">
        <v>45</v>
      </c>
      <c r="W2096" s="1"/>
      <c r="X2096" s="1"/>
      <c r="Y2096" s="1"/>
      <c r="Z2096" s="1" t="s">
        <v>673</v>
      </c>
      <c r="AA2096" s="1" t="s">
        <v>46</v>
      </c>
      <c r="AB2096" s="1" t="s">
        <v>8250</v>
      </c>
      <c r="AC2096" s="1" t="s">
        <v>46</v>
      </c>
      <c r="AD2096" s="1"/>
      <c r="AE2096" s="1" t="s">
        <v>641</v>
      </c>
      <c r="AF2096" s="1" t="s">
        <v>190</v>
      </c>
      <c r="AG2096" s="1">
        <v>5</v>
      </c>
      <c r="AH2096" s="1" t="s">
        <v>190</v>
      </c>
      <c r="AI2096" s="1"/>
      <c r="AJ2096" s="1" t="s">
        <v>8251</v>
      </c>
      <c r="AK2096" s="1" t="s">
        <v>5908</v>
      </c>
    </row>
    <row r="2097" spans="1:37">
      <c r="A2097" s="1" t="e">
        <f>VLOOKUP(H2097,Languages!$A$2:$B$430,2,FALSE)</f>
        <v>#N/A</v>
      </c>
      <c r="B2097" s="1" t="s">
        <v>1726</v>
      </c>
      <c r="C2097" s="1" t="s">
        <v>267</v>
      </c>
      <c r="D2097" s="1" t="s">
        <v>46</v>
      </c>
      <c r="E2097" s="15" t="s">
        <v>5911</v>
      </c>
      <c r="F2097" s="15" t="s">
        <v>5911</v>
      </c>
      <c r="G2097" s="1" t="s">
        <v>5911</v>
      </c>
      <c r="H2097" s="1">
        <f>VLOOKUP(G2097,'languoid 4.0'!$A$1:$I$24439,2,FALSE)</f>
        <v>0</v>
      </c>
      <c r="I2097" s="1" t="str">
        <f>VLOOKUP(G2097,'languoid 4.0'!$A$1:$I$24439,6,FALSE)</f>
        <v>family</v>
      </c>
      <c r="J2097" s="15" t="s">
        <v>38</v>
      </c>
      <c r="K2097" s="15" t="s">
        <v>38</v>
      </c>
      <c r="L2097" s="15" t="s">
        <v>38</v>
      </c>
      <c r="M2097" s="1"/>
      <c r="N2097" s="1"/>
      <c r="O2097" s="15" t="s">
        <v>113</v>
      </c>
      <c r="P2097" s="15" t="s">
        <v>41</v>
      </c>
      <c r="Q2097" s="1" t="s">
        <v>9781</v>
      </c>
      <c r="R2097" s="2" t="s">
        <v>9782</v>
      </c>
      <c r="S2097" s="1" t="s">
        <v>46</v>
      </c>
      <c r="T2097" s="1" t="s">
        <v>9174</v>
      </c>
      <c r="U2097" s="1" t="s">
        <v>636</v>
      </c>
      <c r="V2097" s="1" t="s">
        <v>45</v>
      </c>
      <c r="W2097" s="1"/>
      <c r="X2097" s="1"/>
      <c r="Y2097" s="1"/>
      <c r="Z2097" s="1" t="s">
        <v>673</v>
      </c>
      <c r="AA2097" s="1" t="s">
        <v>46</v>
      </c>
      <c r="AB2097" s="1" t="s">
        <v>9783</v>
      </c>
      <c r="AC2097" s="1" t="s">
        <v>46</v>
      </c>
      <c r="AD2097" s="1"/>
      <c r="AE2097" s="1" t="s">
        <v>641</v>
      </c>
      <c r="AF2097" s="1" t="s">
        <v>45</v>
      </c>
      <c r="AG2097" s="1">
        <v>1</v>
      </c>
      <c r="AH2097" s="1" t="s">
        <v>190</v>
      </c>
      <c r="AI2097" s="1"/>
      <c r="AJ2097" s="1" t="s">
        <v>9784</v>
      </c>
      <c r="AK2097" s="1" t="s">
        <v>4945</v>
      </c>
    </row>
    <row r="2098" spans="1:37">
      <c r="A2098" s="1" t="e">
        <f>VLOOKUP(H2098,Languages!$A$2:$B$430,2,FALSE)</f>
        <v>#N/A</v>
      </c>
      <c r="B2098" s="1" t="s">
        <v>1726</v>
      </c>
      <c r="C2098" s="1" t="s">
        <v>108</v>
      </c>
      <c r="D2098" s="1" t="s">
        <v>6216</v>
      </c>
      <c r="E2098" s="15" t="s">
        <v>3164</v>
      </c>
      <c r="F2098" s="15" t="s">
        <v>51</v>
      </c>
      <c r="G2098" s="1" t="s">
        <v>3164</v>
      </c>
      <c r="H2098" s="1">
        <f>VLOOKUP(G2098,'languoid 4.0'!$A$1:$I$24439,2,FALSE)</f>
        <v>0</v>
      </c>
      <c r="I2098" s="1" t="str">
        <f>VLOOKUP(G2098,'languoid 4.0'!$A$1:$I$24439,6,FALSE)</f>
        <v>family</v>
      </c>
      <c r="J2098" s="15" t="s">
        <v>52</v>
      </c>
      <c r="K2098" s="15" t="s">
        <v>51</v>
      </c>
      <c r="L2098" s="15" t="s">
        <v>51</v>
      </c>
      <c r="M2098" s="1"/>
      <c r="N2098" s="1"/>
      <c r="O2098" s="15" t="s">
        <v>113</v>
      </c>
      <c r="P2098" s="15" t="s">
        <v>632</v>
      </c>
      <c r="Q2098" s="1" t="s">
        <v>6217</v>
      </c>
      <c r="R2098" s="2" t="s">
        <v>6218</v>
      </c>
      <c r="S2098" s="1" t="s">
        <v>46</v>
      </c>
      <c r="T2098" s="1" t="s">
        <v>635</v>
      </c>
      <c r="U2098" s="1" t="s">
        <v>636</v>
      </c>
      <c r="V2098" s="1" t="s">
        <v>45</v>
      </c>
      <c r="W2098" s="1"/>
      <c r="X2098" s="1"/>
      <c r="Y2098" s="1"/>
      <c r="Z2098" s="1" t="s">
        <v>658</v>
      </c>
      <c r="AA2098" s="1" t="s">
        <v>6217</v>
      </c>
      <c r="AB2098" s="1" t="s">
        <v>2674</v>
      </c>
      <c r="AC2098" s="1" t="s">
        <v>46</v>
      </c>
      <c r="AD2098" s="1"/>
      <c r="AE2098" s="1" t="s">
        <v>641</v>
      </c>
      <c r="AF2098" s="1" t="s">
        <v>190</v>
      </c>
      <c r="AG2098" s="1">
        <v>3</v>
      </c>
      <c r="AH2098" s="1" t="s">
        <v>190</v>
      </c>
      <c r="AI2098" s="1"/>
      <c r="AJ2098" s="3">
        <v>43197.890127314815</v>
      </c>
      <c r="AK2098" s="1" t="s">
        <v>5723</v>
      </c>
    </row>
    <row r="2099" spans="1:37">
      <c r="A2099" s="1" t="e">
        <f>VLOOKUP(H2099,Languages!$A$2:$B$430,2,FALSE)</f>
        <v>#N/A</v>
      </c>
      <c r="B2099" s="1" t="s">
        <v>1726</v>
      </c>
      <c r="C2099" s="1" t="s">
        <v>419</v>
      </c>
      <c r="D2099" s="1" t="s">
        <v>9577</v>
      </c>
      <c r="E2099" s="15" t="s">
        <v>9578</v>
      </c>
      <c r="F2099" s="15" t="s">
        <v>9578</v>
      </c>
      <c r="G2099" s="1" t="s">
        <v>9578</v>
      </c>
      <c r="H2099" s="1">
        <f>VLOOKUP(G2099,'languoid 4.0'!$A$1:$I$24439,2,FALSE)</f>
        <v>0</v>
      </c>
      <c r="I2099" s="1" t="str">
        <f>VLOOKUP(G2099,'languoid 4.0'!$A$1:$I$24439,6,FALSE)</f>
        <v>family</v>
      </c>
      <c r="J2099" s="15" t="s">
        <v>38</v>
      </c>
      <c r="K2099" s="15" t="s">
        <v>38</v>
      </c>
      <c r="L2099" s="15" t="s">
        <v>38</v>
      </c>
      <c r="M2099" s="1"/>
      <c r="N2099" s="1"/>
      <c r="O2099" s="15" t="s">
        <v>113</v>
      </c>
      <c r="P2099" s="15" t="s">
        <v>41</v>
      </c>
      <c r="Q2099" s="1" t="s">
        <v>9579</v>
      </c>
      <c r="R2099" s="2" t="s">
        <v>9580</v>
      </c>
      <c r="S2099" s="1" t="s">
        <v>9581</v>
      </c>
      <c r="T2099" s="1" t="s">
        <v>657</v>
      </c>
      <c r="U2099" s="1" t="s">
        <v>636</v>
      </c>
      <c r="V2099" s="1" t="s">
        <v>45</v>
      </c>
      <c r="W2099" s="1"/>
      <c r="X2099" s="1"/>
      <c r="Y2099" s="1"/>
      <c r="Z2099" s="1" t="s">
        <v>673</v>
      </c>
      <c r="AA2099" s="1" t="s">
        <v>46</v>
      </c>
      <c r="AB2099" s="1" t="s">
        <v>9582</v>
      </c>
      <c r="AC2099" s="1" t="s">
        <v>46</v>
      </c>
      <c r="AD2099" s="1"/>
      <c r="AE2099" s="1" t="s">
        <v>641</v>
      </c>
      <c r="AF2099" s="1" t="s">
        <v>190</v>
      </c>
      <c r="AG2099" s="1">
        <v>6</v>
      </c>
      <c r="AH2099" s="1" t="s">
        <v>190</v>
      </c>
      <c r="AI2099" s="1"/>
      <c r="AJ2099" s="3">
        <v>43383.618738425925</v>
      </c>
      <c r="AK2099" s="1" t="s">
        <v>8989</v>
      </c>
    </row>
    <row r="2100" spans="1:37">
      <c r="A2100" s="1" t="e">
        <f>VLOOKUP(H2100,Languages!$A$2:$B$430,2,FALSE)</f>
        <v>#N/A</v>
      </c>
      <c r="B2100" s="1" t="s">
        <v>1726</v>
      </c>
      <c r="C2100" s="1" t="s">
        <v>419</v>
      </c>
      <c r="D2100" s="1" t="s">
        <v>9583</v>
      </c>
      <c r="E2100" s="15" t="s">
        <v>9578</v>
      </c>
      <c r="F2100" s="15" t="s">
        <v>9578</v>
      </c>
      <c r="G2100" s="1" t="s">
        <v>9578</v>
      </c>
      <c r="H2100" s="1">
        <f>VLOOKUP(G2100,'languoid 4.0'!$A$1:$I$24439,2,FALSE)</f>
        <v>0</v>
      </c>
      <c r="I2100" s="1" t="str">
        <f>VLOOKUP(G2100,'languoid 4.0'!$A$1:$I$24439,6,FALSE)</f>
        <v>family</v>
      </c>
      <c r="J2100" s="15" t="s">
        <v>38</v>
      </c>
      <c r="K2100" s="15" t="s">
        <v>38</v>
      </c>
      <c r="L2100" s="15" t="s">
        <v>38</v>
      </c>
      <c r="M2100" s="1"/>
      <c r="N2100" s="1"/>
      <c r="O2100" s="15" t="s">
        <v>113</v>
      </c>
      <c r="P2100" s="15" t="s">
        <v>41</v>
      </c>
      <c r="Q2100" s="1" t="s">
        <v>9584</v>
      </c>
      <c r="R2100" s="2" t="s">
        <v>9580</v>
      </c>
      <c r="S2100" s="1" t="s">
        <v>9585</v>
      </c>
      <c r="T2100" s="1" t="s">
        <v>657</v>
      </c>
      <c r="U2100" s="1" t="s">
        <v>1726</v>
      </c>
      <c r="V2100" s="1" t="s">
        <v>45</v>
      </c>
      <c r="W2100" s="1"/>
      <c r="X2100" s="1"/>
      <c r="Y2100" s="1"/>
      <c r="Z2100" s="1" t="s">
        <v>673</v>
      </c>
      <c r="AA2100" s="1" t="s">
        <v>46</v>
      </c>
      <c r="AB2100" s="1" t="s">
        <v>9586</v>
      </c>
      <c r="AC2100" s="1" t="s">
        <v>46</v>
      </c>
      <c r="AD2100" s="1"/>
      <c r="AE2100" s="1" t="s">
        <v>641</v>
      </c>
      <c r="AF2100" s="1" t="s">
        <v>190</v>
      </c>
      <c r="AG2100" s="1">
        <v>6</v>
      </c>
      <c r="AH2100" s="1" t="s">
        <v>190</v>
      </c>
      <c r="AI2100" s="1"/>
      <c r="AJ2100" s="3">
        <v>43383.63244212963</v>
      </c>
      <c r="AK2100" s="1" t="s">
        <v>8989</v>
      </c>
    </row>
    <row r="2101" spans="1:37">
      <c r="A2101" s="1" t="e">
        <f>VLOOKUP(H2101,Languages!$A$2:$B$430,2,FALSE)</f>
        <v>#N/A</v>
      </c>
      <c r="B2101" s="1" t="s">
        <v>1726</v>
      </c>
      <c r="C2101" s="1" t="s">
        <v>419</v>
      </c>
      <c r="D2101" s="1" t="s">
        <v>9577</v>
      </c>
      <c r="E2101" s="15" t="s">
        <v>9578</v>
      </c>
      <c r="F2101" s="15" t="s">
        <v>9578</v>
      </c>
      <c r="G2101" s="1" t="s">
        <v>9578</v>
      </c>
      <c r="H2101" s="1">
        <f>VLOOKUP(G2101,'languoid 4.0'!$A$1:$I$24439,2,FALSE)</f>
        <v>0</v>
      </c>
      <c r="I2101" s="1" t="str">
        <f>VLOOKUP(G2101,'languoid 4.0'!$A$1:$I$24439,6,FALSE)</f>
        <v>family</v>
      </c>
      <c r="J2101" s="15" t="s">
        <v>38</v>
      </c>
      <c r="K2101" s="15" t="s">
        <v>38</v>
      </c>
      <c r="L2101" s="15" t="s">
        <v>38</v>
      </c>
      <c r="M2101" s="1"/>
      <c r="N2101" s="1"/>
      <c r="O2101" s="15" t="s">
        <v>113</v>
      </c>
      <c r="P2101" s="15" t="s">
        <v>41</v>
      </c>
      <c r="Q2101" s="1" t="s">
        <v>9587</v>
      </c>
      <c r="R2101" s="2" t="s">
        <v>9580</v>
      </c>
      <c r="S2101" s="1" t="s">
        <v>9588</v>
      </c>
      <c r="T2101" s="1" t="s">
        <v>657</v>
      </c>
      <c r="U2101" s="1" t="s">
        <v>636</v>
      </c>
      <c r="V2101" s="1" t="s">
        <v>45</v>
      </c>
      <c r="W2101" s="1"/>
      <c r="X2101" s="1"/>
      <c r="Y2101" s="1"/>
      <c r="Z2101" s="1" t="s">
        <v>673</v>
      </c>
      <c r="AA2101" s="1" t="s">
        <v>46</v>
      </c>
      <c r="AB2101" s="1" t="s">
        <v>9589</v>
      </c>
      <c r="AC2101" s="1" t="s">
        <v>46</v>
      </c>
      <c r="AD2101" s="1"/>
      <c r="AE2101" s="1" t="s">
        <v>641</v>
      </c>
      <c r="AF2101" s="1" t="s">
        <v>190</v>
      </c>
      <c r="AG2101" s="1">
        <v>5</v>
      </c>
      <c r="AH2101" s="1" t="s">
        <v>190</v>
      </c>
      <c r="AI2101" s="1"/>
      <c r="AJ2101" s="3">
        <v>43383.643703703703</v>
      </c>
      <c r="AK2101" s="1" t="s">
        <v>8989</v>
      </c>
    </row>
    <row r="2102" spans="1:37">
      <c r="A2102" s="1" t="e">
        <f>VLOOKUP(H2102,Languages!$A$2:$B$430,2,FALSE)</f>
        <v>#N/A</v>
      </c>
      <c r="B2102" s="1" t="s">
        <v>1726</v>
      </c>
      <c r="C2102" s="1" t="s">
        <v>206</v>
      </c>
      <c r="D2102" s="1" t="s">
        <v>2546</v>
      </c>
      <c r="E2102" s="15" t="s">
        <v>2547</v>
      </c>
      <c r="F2102" s="15" t="s">
        <v>2547</v>
      </c>
      <c r="G2102" s="1" t="s">
        <v>2547</v>
      </c>
      <c r="H2102" s="1">
        <f>VLOOKUP(G2102,'languoid 4.0'!$A$1:$I$24439,2,FALSE)</f>
        <v>0</v>
      </c>
      <c r="I2102" s="1" t="str">
        <f>VLOOKUP(G2102,'languoid 4.0'!$A$1:$I$24439,6,FALSE)</f>
        <v>language</v>
      </c>
      <c r="J2102" s="15" t="s">
        <v>38</v>
      </c>
      <c r="K2102" s="15" t="s">
        <v>38</v>
      </c>
      <c r="L2102" s="15" t="s">
        <v>38</v>
      </c>
      <c r="M2102" s="1"/>
      <c r="N2102" s="1" t="s">
        <v>2548</v>
      </c>
      <c r="O2102" s="15" t="s">
        <v>40</v>
      </c>
      <c r="P2102" s="15" t="s">
        <v>41</v>
      </c>
      <c r="Q2102" s="1" t="s">
        <v>2549</v>
      </c>
      <c r="R2102" s="2" t="s">
        <v>2550</v>
      </c>
      <c r="S2102" s="1" t="s">
        <v>2534</v>
      </c>
      <c r="T2102" s="1" t="s">
        <v>635</v>
      </c>
      <c r="U2102" s="1" t="s">
        <v>636</v>
      </c>
      <c r="V2102" s="1" t="s">
        <v>45</v>
      </c>
      <c r="W2102" s="1"/>
      <c r="X2102" s="1"/>
      <c r="Y2102" s="1"/>
      <c r="Z2102" s="1" t="s">
        <v>658</v>
      </c>
      <c r="AA2102" s="1" t="s">
        <v>2551</v>
      </c>
      <c r="AB2102" s="1" t="s">
        <v>2534</v>
      </c>
      <c r="AC2102" s="1" t="s">
        <v>2534</v>
      </c>
      <c r="AD2102" s="1" t="s">
        <v>2552</v>
      </c>
      <c r="AE2102" s="1" t="s">
        <v>641</v>
      </c>
      <c r="AF2102" s="1" t="s">
        <v>190</v>
      </c>
      <c r="AG2102" s="1">
        <v>4</v>
      </c>
      <c r="AH2102" s="1" t="s">
        <v>190</v>
      </c>
      <c r="AI2102" s="1"/>
      <c r="AJ2102" s="3">
        <v>43194.489351851851</v>
      </c>
      <c r="AK2102" s="1" t="s">
        <v>1246</v>
      </c>
    </row>
    <row r="2103" spans="1:37">
      <c r="A2103" s="1" t="e">
        <f>VLOOKUP(H2103,Languages!$A$2:$B$430,2,FALSE)</f>
        <v>#N/A</v>
      </c>
      <c r="B2103" s="1" t="s">
        <v>1726</v>
      </c>
      <c r="C2103" s="1" t="s">
        <v>206</v>
      </c>
      <c r="D2103" s="1" t="s">
        <v>9130</v>
      </c>
      <c r="E2103" s="15" t="s">
        <v>389</v>
      </c>
      <c r="F2103" s="15" t="s">
        <v>389</v>
      </c>
      <c r="G2103" s="1" t="s">
        <v>389</v>
      </c>
      <c r="H2103" s="1">
        <f>VLOOKUP(G2103,'languoid 4.0'!$A$1:$I$24439,2,FALSE)</f>
        <v>0</v>
      </c>
      <c r="I2103" s="1" t="str">
        <f>VLOOKUP(G2103,'languoid 4.0'!$A$1:$I$24439,6,FALSE)</f>
        <v>family</v>
      </c>
      <c r="J2103" s="15" t="s">
        <v>38</v>
      </c>
      <c r="K2103" s="15" t="s">
        <v>38</v>
      </c>
      <c r="L2103" s="15" t="s">
        <v>38</v>
      </c>
      <c r="M2103" s="1"/>
      <c r="N2103" s="1"/>
      <c r="O2103" s="15" t="s">
        <v>40</v>
      </c>
      <c r="P2103" s="15" t="s">
        <v>41</v>
      </c>
      <c r="Q2103" s="1" t="s">
        <v>9131</v>
      </c>
      <c r="R2103" s="2" t="s">
        <v>9132</v>
      </c>
      <c r="S2103" s="1" t="s">
        <v>2961</v>
      </c>
      <c r="T2103" s="1" t="s">
        <v>9133</v>
      </c>
      <c r="U2103" s="1" t="s">
        <v>636</v>
      </c>
      <c r="V2103" s="1" t="s">
        <v>45</v>
      </c>
      <c r="W2103" s="1"/>
      <c r="X2103" s="1"/>
      <c r="Y2103" s="1"/>
      <c r="Z2103" s="1" t="s">
        <v>637</v>
      </c>
      <c r="AA2103" s="1" t="s">
        <v>9134</v>
      </c>
      <c r="AB2103" s="1" t="s">
        <v>9135</v>
      </c>
      <c r="AC2103" s="1" t="s">
        <v>9135</v>
      </c>
      <c r="AD2103" s="1"/>
      <c r="AE2103" s="1" t="s">
        <v>641</v>
      </c>
      <c r="AF2103" s="1" t="s">
        <v>190</v>
      </c>
      <c r="AG2103" s="1">
        <v>5</v>
      </c>
      <c r="AH2103" s="1" t="s">
        <v>190</v>
      </c>
      <c r="AI2103" s="1"/>
      <c r="AJ2103" s="1" t="s">
        <v>9136</v>
      </c>
      <c r="AK2103" s="1" t="s">
        <v>8686</v>
      </c>
    </row>
    <row r="2104" spans="1:37">
      <c r="A2104" s="1" t="e">
        <f>VLOOKUP(H2104,Languages!$A$2:$B$430,2,FALSE)</f>
        <v>#N/A</v>
      </c>
      <c r="B2104" s="1" t="s">
        <v>1726</v>
      </c>
      <c r="C2104" s="1" t="s">
        <v>206</v>
      </c>
      <c r="D2104" s="1" t="s">
        <v>9130</v>
      </c>
      <c r="E2104" s="15" t="s">
        <v>389</v>
      </c>
      <c r="F2104" s="15" t="s">
        <v>389</v>
      </c>
      <c r="G2104" s="1" t="s">
        <v>389</v>
      </c>
      <c r="H2104" s="1">
        <f>VLOOKUP(G2104,'languoid 4.0'!$A$1:$I$24439,2,FALSE)</f>
        <v>0</v>
      </c>
      <c r="I2104" s="1" t="str">
        <f>VLOOKUP(G2104,'languoid 4.0'!$A$1:$I$24439,6,FALSE)</f>
        <v>family</v>
      </c>
      <c r="J2104" s="15" t="s">
        <v>38</v>
      </c>
      <c r="K2104" s="15" t="s">
        <v>38</v>
      </c>
      <c r="L2104" s="15" t="s">
        <v>38</v>
      </c>
      <c r="M2104" s="1"/>
      <c r="N2104" s="1"/>
      <c r="O2104" s="15" t="s">
        <v>40</v>
      </c>
      <c r="P2104" s="15" t="s">
        <v>41</v>
      </c>
      <c r="Q2104" s="1" t="s">
        <v>2566</v>
      </c>
      <c r="R2104" s="2" t="s">
        <v>9132</v>
      </c>
      <c r="S2104" s="1" t="s">
        <v>146</v>
      </c>
      <c r="T2104" s="1" t="s">
        <v>9133</v>
      </c>
      <c r="U2104" s="1" t="s">
        <v>636</v>
      </c>
      <c r="V2104" s="1" t="s">
        <v>45</v>
      </c>
      <c r="W2104" s="1"/>
      <c r="X2104" s="1"/>
      <c r="Y2104" s="1"/>
      <c r="Z2104" s="1" t="s">
        <v>637</v>
      </c>
      <c r="AA2104" s="1" t="s">
        <v>9137</v>
      </c>
      <c r="AB2104" s="1" t="s">
        <v>9138</v>
      </c>
      <c r="AC2104" s="1" t="s">
        <v>9138</v>
      </c>
      <c r="AD2104" s="1"/>
      <c r="AE2104" s="1" t="s">
        <v>641</v>
      </c>
      <c r="AF2104" s="1" t="s">
        <v>190</v>
      </c>
      <c r="AG2104" s="1">
        <v>6</v>
      </c>
      <c r="AH2104" s="1" t="s">
        <v>190</v>
      </c>
      <c r="AI2104" s="1"/>
      <c r="AJ2104" s="1" t="s">
        <v>9139</v>
      </c>
      <c r="AK2104" s="1" t="s">
        <v>8686</v>
      </c>
    </row>
    <row r="2105" spans="1:37">
      <c r="A2105" s="1" t="e">
        <f>VLOOKUP(H2105,Languages!$A$2:$B$430,2,FALSE)</f>
        <v>#N/A</v>
      </c>
      <c r="B2105" s="1" t="s">
        <v>1726</v>
      </c>
      <c r="C2105" s="1" t="s">
        <v>132</v>
      </c>
      <c r="D2105" s="1" t="s">
        <v>1341</v>
      </c>
      <c r="E2105" s="15" t="s">
        <v>1342</v>
      </c>
      <c r="F2105" s="15" t="s">
        <v>1342</v>
      </c>
      <c r="G2105" s="1" t="s">
        <v>1342</v>
      </c>
      <c r="H2105" s="1">
        <f>VLOOKUP(G2105,'languoid 4.0'!$A$1:$I$24439,2,FALSE)</f>
        <v>0</v>
      </c>
      <c r="I2105" s="1" t="str">
        <f>VLOOKUP(G2105,'languoid 4.0'!$A$1:$I$24439,6,FALSE)</f>
        <v>family</v>
      </c>
      <c r="J2105" s="15" t="s">
        <v>38</v>
      </c>
      <c r="K2105" s="15" t="s">
        <v>38</v>
      </c>
      <c r="L2105" s="15" t="s">
        <v>38</v>
      </c>
      <c r="M2105" s="1"/>
      <c r="N2105" s="1"/>
      <c r="O2105" s="15" t="s">
        <v>113</v>
      </c>
      <c r="P2105" s="15" t="s">
        <v>41</v>
      </c>
      <c r="Q2105" s="1" t="s">
        <v>6517</v>
      </c>
      <c r="R2105" s="2" t="s">
        <v>6518</v>
      </c>
      <c r="S2105" s="1" t="s">
        <v>46</v>
      </c>
      <c r="T2105" s="1" t="s">
        <v>635</v>
      </c>
      <c r="U2105" s="1" t="s">
        <v>636</v>
      </c>
      <c r="V2105" s="1" t="s">
        <v>45</v>
      </c>
      <c r="W2105" s="1"/>
      <c r="X2105" s="1"/>
      <c r="Y2105" s="1"/>
      <c r="Z2105" s="1" t="s">
        <v>658</v>
      </c>
      <c r="AA2105" s="1" t="s">
        <v>6519</v>
      </c>
      <c r="AB2105" s="1" t="s">
        <v>6520</v>
      </c>
      <c r="AC2105" s="1" t="s">
        <v>46</v>
      </c>
      <c r="AD2105" s="1"/>
      <c r="AE2105" s="1" t="s">
        <v>641</v>
      </c>
      <c r="AF2105" s="1" t="s">
        <v>190</v>
      </c>
      <c r="AG2105" s="1">
        <v>6</v>
      </c>
      <c r="AH2105" s="1" t="s">
        <v>190</v>
      </c>
      <c r="AI2105" s="1"/>
      <c r="AJ2105" s="3">
        <v>43441.599479166667</v>
      </c>
      <c r="AK2105" s="1" t="s">
        <v>1034</v>
      </c>
    </row>
    <row r="2106" spans="1:37">
      <c r="A2106" s="1" t="e">
        <f>VLOOKUP(H2106,Languages!$A$2:$B$430,2,FALSE)</f>
        <v>#N/A</v>
      </c>
      <c r="B2106" s="1" t="s">
        <v>1726</v>
      </c>
      <c r="C2106" s="1" t="s">
        <v>132</v>
      </c>
      <c r="D2106" s="1" t="s">
        <v>1341</v>
      </c>
      <c r="E2106" s="15" t="s">
        <v>1342</v>
      </c>
      <c r="F2106" s="15" t="s">
        <v>1342</v>
      </c>
      <c r="G2106" s="1" t="s">
        <v>1342</v>
      </c>
      <c r="H2106" s="1">
        <f>VLOOKUP(G2106,'languoid 4.0'!$A$1:$I$24439,2,FALSE)</f>
        <v>0</v>
      </c>
      <c r="I2106" s="1" t="str">
        <f>VLOOKUP(G2106,'languoid 4.0'!$A$1:$I$24439,6,FALSE)</f>
        <v>family</v>
      </c>
      <c r="J2106" s="15" t="s">
        <v>38</v>
      </c>
      <c r="K2106" s="15" t="s">
        <v>38</v>
      </c>
      <c r="L2106" s="15" t="s">
        <v>38</v>
      </c>
      <c r="M2106" s="1"/>
      <c r="N2106" s="1"/>
      <c r="O2106" s="15" t="s">
        <v>113</v>
      </c>
      <c r="P2106" s="15" t="s">
        <v>41</v>
      </c>
      <c r="Q2106" s="1" t="s">
        <v>6521</v>
      </c>
      <c r="R2106" s="2" t="s">
        <v>6522</v>
      </c>
      <c r="S2106" s="1" t="s">
        <v>46</v>
      </c>
      <c r="T2106" s="1" t="s">
        <v>635</v>
      </c>
      <c r="U2106" s="1" t="s">
        <v>2674</v>
      </c>
      <c r="V2106" s="1" t="s">
        <v>45</v>
      </c>
      <c r="W2106" s="1"/>
      <c r="X2106" s="1"/>
      <c r="Y2106" s="1"/>
      <c r="Z2106" s="1" t="s">
        <v>658</v>
      </c>
      <c r="AA2106" s="1" t="s">
        <v>6523</v>
      </c>
      <c r="AB2106" s="1" t="s">
        <v>6524</v>
      </c>
      <c r="AC2106" s="1" t="s">
        <v>46</v>
      </c>
      <c r="AD2106" s="1"/>
      <c r="AE2106" s="1" t="s">
        <v>641</v>
      </c>
      <c r="AF2106" s="1" t="s">
        <v>190</v>
      </c>
      <c r="AG2106" s="1">
        <v>6</v>
      </c>
      <c r="AH2106" s="1" t="s">
        <v>190</v>
      </c>
      <c r="AI2106" s="1"/>
      <c r="AJ2106" s="3">
        <v>43441.617199074077</v>
      </c>
      <c r="AK2106" s="1" t="s">
        <v>1034</v>
      </c>
    </row>
    <row r="2107" spans="1:37">
      <c r="A2107" s="1" t="e">
        <f>VLOOKUP(H2107,Languages!$A$2:$B$430,2,FALSE)</f>
        <v>#N/A</v>
      </c>
      <c r="B2107" s="1" t="s">
        <v>1726</v>
      </c>
      <c r="C2107" s="1" t="s">
        <v>4417</v>
      </c>
      <c r="D2107" s="1" t="s">
        <v>4723</v>
      </c>
      <c r="E2107" s="15" t="s">
        <v>4725</v>
      </c>
      <c r="F2107" s="15" t="s">
        <v>4725</v>
      </c>
      <c r="G2107" s="1" t="s">
        <v>4725</v>
      </c>
      <c r="H2107" s="1">
        <f>VLOOKUP(G2107,'languoid 4.0'!$A$1:$I$24439,2,FALSE)</f>
        <v>0</v>
      </c>
      <c r="I2107" s="1" t="str">
        <f>VLOOKUP(G2107,'languoid 4.0'!$A$1:$I$24439,6,FALSE)</f>
        <v>language</v>
      </c>
      <c r="J2107" s="15" t="s">
        <v>38</v>
      </c>
      <c r="K2107" s="15" t="s">
        <v>38</v>
      </c>
      <c r="L2107" s="15" t="s">
        <v>38</v>
      </c>
      <c r="M2107" s="1"/>
      <c r="N2107" s="1" t="s">
        <v>7299</v>
      </c>
      <c r="O2107" s="15" t="s">
        <v>40</v>
      </c>
      <c r="P2107" s="15" t="s">
        <v>41</v>
      </c>
      <c r="Q2107" s="1" t="s">
        <v>7351</v>
      </c>
      <c r="R2107" s="2" t="s">
        <v>7352</v>
      </c>
      <c r="S2107" s="1" t="s">
        <v>46</v>
      </c>
      <c r="T2107" s="1" t="s">
        <v>7302</v>
      </c>
      <c r="U2107" s="1" t="s">
        <v>636</v>
      </c>
      <c r="V2107" s="1" t="s">
        <v>45</v>
      </c>
      <c r="W2107" s="1"/>
      <c r="X2107" s="1"/>
      <c r="Y2107" s="1"/>
      <c r="Z2107" s="1" t="s">
        <v>673</v>
      </c>
      <c r="AA2107" s="1" t="s">
        <v>46</v>
      </c>
      <c r="AB2107" s="1" t="s">
        <v>7353</v>
      </c>
      <c r="AC2107" s="1" t="s">
        <v>46</v>
      </c>
      <c r="AD2107" s="1" t="s">
        <v>7354</v>
      </c>
      <c r="AE2107" s="1" t="s">
        <v>641</v>
      </c>
      <c r="AF2107" s="1" t="s">
        <v>190</v>
      </c>
      <c r="AG2107" s="1">
        <v>5</v>
      </c>
      <c r="AH2107" s="1" t="s">
        <v>190</v>
      </c>
      <c r="AI2107" s="1"/>
      <c r="AJ2107" s="3">
        <v>43381.993078703701</v>
      </c>
      <c r="AK2107" s="1" t="s">
        <v>4424</v>
      </c>
    </row>
    <row r="2108" spans="1:37">
      <c r="A2108" s="1" t="e">
        <f>VLOOKUP(H2108,Languages!$A$2:$B$430,2,FALSE)</f>
        <v>#N/A</v>
      </c>
      <c r="B2108" s="1" t="s">
        <v>652</v>
      </c>
      <c r="C2108" s="1" t="s">
        <v>477</v>
      </c>
      <c r="D2108" s="1" t="s">
        <v>8343</v>
      </c>
      <c r="E2108" s="15" t="s">
        <v>8344</v>
      </c>
      <c r="F2108" s="15" t="s">
        <v>8344</v>
      </c>
      <c r="G2108" s="1" t="s">
        <v>8345</v>
      </c>
      <c r="H2108" s="1">
        <f>VLOOKUP(G2108,'languoid 4.0'!$A$1:$I$24439,2,FALSE)</f>
        <v>0</v>
      </c>
      <c r="I2108" s="1" t="str">
        <f>VLOOKUP(G2108,'languoid 4.0'!$A$1:$I$24439,6,FALSE)</f>
        <v>family</v>
      </c>
      <c r="J2108" s="15" t="s">
        <v>38</v>
      </c>
      <c r="K2108" s="15" t="s">
        <v>38</v>
      </c>
      <c r="L2108" s="15" t="s">
        <v>38</v>
      </c>
      <c r="M2108" s="1"/>
      <c r="N2108" s="1" t="s">
        <v>8346</v>
      </c>
      <c r="O2108" s="15" t="s">
        <v>40</v>
      </c>
      <c r="P2108" s="15"/>
      <c r="Q2108" s="1" t="s">
        <v>8347</v>
      </c>
      <c r="R2108" s="2" t="s">
        <v>8348</v>
      </c>
      <c r="S2108" s="1" t="s">
        <v>372</v>
      </c>
      <c r="T2108" s="1" t="s">
        <v>754</v>
      </c>
      <c r="U2108" s="1" t="s">
        <v>636</v>
      </c>
      <c r="V2108" s="1" t="s">
        <v>45</v>
      </c>
      <c r="W2108" s="1"/>
      <c r="X2108" s="1"/>
      <c r="Y2108" s="1"/>
      <c r="Z2108" s="1" t="s">
        <v>658</v>
      </c>
      <c r="AA2108" s="1" t="s">
        <v>8349</v>
      </c>
      <c r="AB2108" s="1" t="s">
        <v>46</v>
      </c>
      <c r="AC2108" s="1" t="s">
        <v>46</v>
      </c>
      <c r="AD2108" s="1"/>
      <c r="AE2108" s="1" t="s">
        <v>641</v>
      </c>
      <c r="AF2108" s="1" t="s">
        <v>190</v>
      </c>
      <c r="AG2108" s="1">
        <v>5</v>
      </c>
      <c r="AH2108" s="1" t="s">
        <v>190</v>
      </c>
      <c r="AI2108" s="1" t="s">
        <v>8350</v>
      </c>
      <c r="AJ2108" s="1" t="s">
        <v>8351</v>
      </c>
      <c r="AK2108" s="1" t="s">
        <v>5678</v>
      </c>
    </row>
    <row r="2109" spans="1:37">
      <c r="A2109" s="1" t="e">
        <f>VLOOKUP(H2109,Languages!$A$2:$B$430,2,FALSE)</f>
        <v>#N/A</v>
      </c>
      <c r="B2109" s="1" t="s">
        <v>652</v>
      </c>
      <c r="C2109" s="1" t="s">
        <v>34</v>
      </c>
      <c r="D2109" s="1" t="s">
        <v>10596</v>
      </c>
      <c r="E2109" s="15" t="s">
        <v>51</v>
      </c>
      <c r="F2109" s="15" t="s">
        <v>51</v>
      </c>
      <c r="G2109" s="1" t="s">
        <v>10597</v>
      </c>
      <c r="H2109" s="1">
        <f>VLOOKUP(G2109,'languoid 4.0'!$A$1:$I$24439,2,FALSE)</f>
        <v>0</v>
      </c>
      <c r="I2109" s="1" t="str">
        <f>VLOOKUP(G2109,'languoid 4.0'!$A$1:$I$24439,6,FALSE)</f>
        <v>family</v>
      </c>
      <c r="J2109" s="15" t="s">
        <v>51</v>
      </c>
      <c r="K2109" s="15" t="s">
        <v>51</v>
      </c>
      <c r="L2109" s="15" t="s">
        <v>51</v>
      </c>
      <c r="M2109" s="1"/>
      <c r="N2109" s="1" t="e">
        <v>#N/A</v>
      </c>
      <c r="O2109" s="15" t="s">
        <v>690</v>
      </c>
      <c r="P2109" s="15"/>
      <c r="Q2109" s="1" t="s">
        <v>10598</v>
      </c>
      <c r="R2109" s="2" t="s">
        <v>10599</v>
      </c>
      <c r="S2109" s="1" t="s">
        <v>46</v>
      </c>
      <c r="T2109" s="1" t="s">
        <v>754</v>
      </c>
      <c r="U2109" s="1" t="s">
        <v>636</v>
      </c>
      <c r="V2109" s="1" t="s">
        <v>45</v>
      </c>
      <c r="W2109" s="1"/>
      <c r="X2109" s="1"/>
      <c r="Y2109" s="1"/>
      <c r="Z2109" s="1" t="s">
        <v>658</v>
      </c>
      <c r="AA2109" s="1" t="s">
        <v>10600</v>
      </c>
      <c r="AB2109" s="1" t="s">
        <v>46</v>
      </c>
      <c r="AC2109" s="1" t="s">
        <v>46</v>
      </c>
      <c r="AD2109" s="1"/>
      <c r="AE2109" s="1"/>
      <c r="AF2109" s="1"/>
      <c r="AG2109" s="1"/>
      <c r="AH2109" s="1" t="s">
        <v>45</v>
      </c>
      <c r="AI2109" s="1"/>
      <c r="AJ2109" s="1" t="s">
        <v>10601</v>
      </c>
      <c r="AK2109" s="1" t="s">
        <v>9537</v>
      </c>
    </row>
    <row r="2110" spans="1:37">
      <c r="A2110" s="1" t="e">
        <f>VLOOKUP(H2110,Languages!$A$2:$B$430,2,FALSE)</f>
        <v>#N/A</v>
      </c>
      <c r="B2110" s="1" t="s">
        <v>652</v>
      </c>
      <c r="C2110" s="1" t="s">
        <v>34</v>
      </c>
      <c r="D2110" s="1" t="s">
        <v>10609</v>
      </c>
      <c r="E2110" s="15" t="s">
        <v>51</v>
      </c>
      <c r="F2110" s="15" t="s">
        <v>51</v>
      </c>
      <c r="G2110" s="1" t="s">
        <v>10597</v>
      </c>
      <c r="H2110" s="1">
        <f>VLOOKUP(G2110,'languoid 4.0'!$A$1:$I$24439,2,FALSE)</f>
        <v>0</v>
      </c>
      <c r="I2110" s="1" t="str">
        <f>VLOOKUP(G2110,'languoid 4.0'!$A$1:$I$24439,6,FALSE)</f>
        <v>family</v>
      </c>
      <c r="J2110" s="15" t="s">
        <v>51</v>
      </c>
      <c r="K2110" s="15" t="s">
        <v>51</v>
      </c>
      <c r="L2110" s="15" t="s">
        <v>51</v>
      </c>
      <c r="M2110" s="1"/>
      <c r="N2110" s="1" t="e">
        <v>#N/A</v>
      </c>
      <c r="O2110" s="15" t="s">
        <v>690</v>
      </c>
      <c r="P2110" s="15"/>
      <c r="Q2110" s="1" t="s">
        <v>10610</v>
      </c>
      <c r="R2110" s="2" t="s">
        <v>10611</v>
      </c>
      <c r="S2110" s="1" t="s">
        <v>46</v>
      </c>
      <c r="T2110" s="1" t="s">
        <v>754</v>
      </c>
      <c r="U2110" s="1" t="s">
        <v>636</v>
      </c>
      <c r="V2110" s="1" t="s">
        <v>45</v>
      </c>
      <c r="W2110" s="1"/>
      <c r="X2110" s="1"/>
      <c r="Y2110" s="1"/>
      <c r="Z2110" s="1" t="s">
        <v>658</v>
      </c>
      <c r="AA2110" s="1" t="s">
        <v>10612</v>
      </c>
      <c r="AB2110" s="1" t="s">
        <v>46</v>
      </c>
      <c r="AC2110" s="1" t="s">
        <v>46</v>
      </c>
      <c r="AD2110" s="1"/>
      <c r="AE2110" s="1"/>
      <c r="AF2110" s="1"/>
      <c r="AG2110" s="1"/>
      <c r="AH2110" s="1" t="s">
        <v>45</v>
      </c>
      <c r="AI2110" s="1"/>
      <c r="AJ2110" s="1" t="s">
        <v>10613</v>
      </c>
      <c r="AK2110" s="1" t="s">
        <v>9537</v>
      </c>
    </row>
    <row r="2111" spans="1:37">
      <c r="A2111" s="1" t="e">
        <f>VLOOKUP(H2111,Languages!$A$2:$B$430,2,FALSE)</f>
        <v>#N/A</v>
      </c>
      <c r="B2111" s="1" t="s">
        <v>652</v>
      </c>
      <c r="C2111" s="1" t="s">
        <v>304</v>
      </c>
      <c r="D2111" s="1" t="s">
        <v>8072</v>
      </c>
      <c r="E2111" s="15" t="s">
        <v>306</v>
      </c>
      <c r="F2111" s="15" t="s">
        <v>607</v>
      </c>
      <c r="G2111" s="1" t="s">
        <v>607</v>
      </c>
      <c r="H2111" s="1">
        <f>VLOOKUP(G2111,'languoid 4.0'!$A$1:$I$24439,2,FALSE)</f>
        <v>0</v>
      </c>
      <c r="I2111" s="1" t="str">
        <f>VLOOKUP(G2111,'languoid 4.0'!$A$1:$I$24439,6,FALSE)</f>
        <v>family</v>
      </c>
      <c r="J2111" s="15" t="s">
        <v>52</v>
      </c>
      <c r="K2111" s="15" t="s">
        <v>52</v>
      </c>
      <c r="L2111" s="15" t="s">
        <v>52</v>
      </c>
      <c r="M2111" s="1"/>
      <c r="N2111" s="1" t="s">
        <v>307</v>
      </c>
      <c r="O2111" s="15" t="s">
        <v>40</v>
      </c>
      <c r="P2111" s="15" t="s">
        <v>41</v>
      </c>
      <c r="Q2111" s="1" t="s">
        <v>8073</v>
      </c>
      <c r="R2111" s="2" t="s">
        <v>8074</v>
      </c>
      <c r="S2111" s="1" t="s">
        <v>683</v>
      </c>
      <c r="T2111" s="1" t="s">
        <v>657</v>
      </c>
      <c r="U2111" s="1" t="s">
        <v>636</v>
      </c>
      <c r="V2111" s="1" t="s">
        <v>45</v>
      </c>
      <c r="W2111" s="1"/>
      <c r="X2111" s="1"/>
      <c r="Y2111" s="1"/>
      <c r="Z2111" s="1" t="s">
        <v>658</v>
      </c>
      <c r="AA2111" s="1" t="s">
        <v>46</v>
      </c>
      <c r="AB2111" s="1" t="s">
        <v>46</v>
      </c>
      <c r="AC2111" s="1" t="s">
        <v>46</v>
      </c>
      <c r="AD2111" s="1"/>
      <c r="AE2111" s="1" t="s">
        <v>641</v>
      </c>
      <c r="AF2111" s="1" t="s">
        <v>45</v>
      </c>
      <c r="AG2111" s="1">
        <v>6</v>
      </c>
      <c r="AH2111" s="1" t="s">
        <v>190</v>
      </c>
      <c r="AI2111" s="1"/>
      <c r="AJ2111" s="1" t="s">
        <v>8075</v>
      </c>
      <c r="AK2111" s="1" t="s">
        <v>6441</v>
      </c>
    </row>
    <row r="2112" spans="1:37">
      <c r="A2112" s="1" t="e">
        <f>VLOOKUP(H2112,Languages!$A$2:$B$430,2,FALSE)</f>
        <v>#N/A</v>
      </c>
      <c r="B2112" s="1" t="s">
        <v>652</v>
      </c>
      <c r="C2112" s="1" t="s">
        <v>304</v>
      </c>
      <c r="D2112" s="1" t="s">
        <v>9332</v>
      </c>
      <c r="E2112" s="15" t="s">
        <v>9071</v>
      </c>
      <c r="F2112" s="15" t="s">
        <v>9071</v>
      </c>
      <c r="G2112" s="1" t="s">
        <v>9071</v>
      </c>
      <c r="H2112" s="1">
        <f>VLOOKUP(G2112,'languoid 4.0'!$A$1:$I$24439,2,FALSE)</f>
        <v>0</v>
      </c>
      <c r="I2112" s="1" t="str">
        <f>VLOOKUP(G2112,'languoid 4.0'!$A$1:$I$24439,6,FALSE)</f>
        <v>family</v>
      </c>
      <c r="J2112" s="15" t="s">
        <v>38</v>
      </c>
      <c r="K2112" s="15" t="s">
        <v>38</v>
      </c>
      <c r="L2112" s="15" t="s">
        <v>38</v>
      </c>
      <c r="M2112" s="1"/>
      <c r="N2112" s="1"/>
      <c r="O2112" s="15" t="s">
        <v>113</v>
      </c>
      <c r="P2112" s="15" t="s">
        <v>41</v>
      </c>
      <c r="Q2112" s="1" t="s">
        <v>9333</v>
      </c>
      <c r="R2112" s="2" t="s">
        <v>4512</v>
      </c>
      <c r="S2112" s="1" t="s">
        <v>46</v>
      </c>
      <c r="T2112" s="1" t="s">
        <v>635</v>
      </c>
      <c r="U2112" s="1" t="s">
        <v>636</v>
      </c>
      <c r="V2112" s="1" t="s">
        <v>45</v>
      </c>
      <c r="W2112" s="1"/>
      <c r="X2112" s="1"/>
      <c r="Y2112" s="1"/>
      <c r="Z2112" s="1" t="s">
        <v>658</v>
      </c>
      <c r="AA2112" s="1" t="s">
        <v>9334</v>
      </c>
      <c r="AB2112" s="1" t="s">
        <v>46</v>
      </c>
      <c r="AC2112" s="1" t="s">
        <v>46</v>
      </c>
      <c r="AD2112" s="1" t="s">
        <v>9335</v>
      </c>
      <c r="AE2112" s="1"/>
      <c r="AF2112" s="1"/>
      <c r="AG2112" s="1"/>
      <c r="AH2112" s="1" t="s">
        <v>45</v>
      </c>
      <c r="AI2112" s="1" t="s">
        <v>9315</v>
      </c>
      <c r="AJ2112" s="1" t="s">
        <v>9336</v>
      </c>
      <c r="AK2112" s="1" t="s">
        <v>6441</v>
      </c>
    </row>
    <row r="2113" spans="1:37">
      <c r="A2113" s="1" t="e">
        <f>VLOOKUP(H2113,Languages!$A$2:$B$430,2,FALSE)</f>
        <v>#N/A</v>
      </c>
      <c r="B2113" s="1" t="s">
        <v>1750</v>
      </c>
      <c r="C2113" s="1" t="s">
        <v>477</v>
      </c>
      <c r="D2113" s="1" t="s">
        <v>2454</v>
      </c>
      <c r="E2113" s="15" t="s">
        <v>51</v>
      </c>
      <c r="F2113" s="15" t="s">
        <v>51</v>
      </c>
      <c r="G2113" s="1" t="s">
        <v>2455</v>
      </c>
      <c r="H2113" s="1" t="e">
        <f>VLOOKUP(G2113,'languoid 4.0'!$A$1:$I$24439,2,FALSE)</f>
        <v>#N/A</v>
      </c>
      <c r="I2113" s="1" t="e">
        <f>VLOOKUP(G2113,'languoid 4.0'!$A$1:$I$24439,6,FALSE)</f>
        <v>#N/A</v>
      </c>
      <c r="J2113" s="15" t="s">
        <v>51</v>
      </c>
      <c r="K2113" s="15" t="s">
        <v>51</v>
      </c>
      <c r="L2113" s="15" t="s">
        <v>51</v>
      </c>
      <c r="M2113" s="1"/>
      <c r="N2113" s="1" t="e">
        <v>#N/A</v>
      </c>
      <c r="O2113" s="15" t="s">
        <v>690</v>
      </c>
      <c r="P2113" s="15"/>
      <c r="Q2113" s="1" t="s">
        <v>2456</v>
      </c>
      <c r="R2113" s="2" t="s">
        <v>2457</v>
      </c>
      <c r="S2113" s="4">
        <v>43466</v>
      </c>
      <c r="T2113" s="1" t="s">
        <v>1689</v>
      </c>
      <c r="U2113" s="1" t="s">
        <v>2458</v>
      </c>
      <c r="V2113" s="1" t="s">
        <v>45</v>
      </c>
      <c r="W2113" s="1"/>
      <c r="X2113" s="1"/>
      <c r="Y2113" s="1"/>
      <c r="Z2113" s="1" t="s">
        <v>673</v>
      </c>
      <c r="AA2113" s="1" t="s">
        <v>46</v>
      </c>
      <c r="AB2113" s="1" t="s">
        <v>2459</v>
      </c>
      <c r="AC2113" s="1" t="s">
        <v>46</v>
      </c>
      <c r="AD2113" s="1"/>
      <c r="AE2113" s="1" t="s">
        <v>641</v>
      </c>
      <c r="AF2113" s="1" t="s">
        <v>190</v>
      </c>
      <c r="AG2113" s="1">
        <v>4</v>
      </c>
      <c r="AH2113" s="1" t="s">
        <v>190</v>
      </c>
      <c r="AI2113" s="1"/>
      <c r="AJ2113" s="1" t="s">
        <v>2460</v>
      </c>
      <c r="AK2113" s="1" t="s">
        <v>651</v>
      </c>
    </row>
    <row r="2114" spans="1:37">
      <c r="A2114" s="1" t="e">
        <f>VLOOKUP(H2114,Languages!$A$2:$B$430,2,FALSE)</f>
        <v>#N/A</v>
      </c>
      <c r="B2114" s="1" t="s">
        <v>1750</v>
      </c>
      <c r="C2114" s="1" t="s">
        <v>139</v>
      </c>
      <c r="D2114" s="1" t="s">
        <v>9075</v>
      </c>
      <c r="E2114" s="15" t="s">
        <v>141</v>
      </c>
      <c r="F2114" s="15" t="s">
        <v>141</v>
      </c>
      <c r="G2114" s="1" t="s">
        <v>141</v>
      </c>
      <c r="H2114" s="1">
        <f>VLOOKUP(G2114,'languoid 4.0'!$A$1:$I$24439,2,FALSE)</f>
        <v>0</v>
      </c>
      <c r="I2114" s="1" t="str">
        <f>VLOOKUP(G2114,'languoid 4.0'!$A$1:$I$24439,6,FALSE)</f>
        <v>family</v>
      </c>
      <c r="J2114" s="15" t="s">
        <v>38</v>
      </c>
      <c r="K2114" s="15" t="s">
        <v>38</v>
      </c>
      <c r="L2114" s="15" t="s">
        <v>38</v>
      </c>
      <c r="M2114" s="1"/>
      <c r="N2114" s="1"/>
      <c r="O2114" s="15" t="s">
        <v>113</v>
      </c>
      <c r="P2114" s="15" t="s">
        <v>41</v>
      </c>
      <c r="Q2114" s="1" t="s">
        <v>9503</v>
      </c>
      <c r="R2114" s="2" t="s">
        <v>9080</v>
      </c>
      <c r="S2114" s="1" t="s">
        <v>46</v>
      </c>
      <c r="T2114" s="1" t="s">
        <v>635</v>
      </c>
      <c r="U2114" s="1" t="s">
        <v>636</v>
      </c>
      <c r="V2114" s="1" t="s">
        <v>45</v>
      </c>
      <c r="W2114" s="1"/>
      <c r="X2114" s="1"/>
      <c r="Y2114" s="1"/>
      <c r="Z2114" s="1" t="s">
        <v>658</v>
      </c>
      <c r="AA2114" s="1" t="s">
        <v>9504</v>
      </c>
      <c r="AB2114" s="1" t="s">
        <v>46</v>
      </c>
      <c r="AC2114" s="1" t="s">
        <v>46</v>
      </c>
      <c r="AD2114" s="1"/>
      <c r="AE2114" s="1"/>
      <c r="AF2114" s="1"/>
      <c r="AG2114" s="1"/>
      <c r="AH2114" s="1" t="s">
        <v>45</v>
      </c>
      <c r="AI2114" s="1"/>
      <c r="AJ2114" s="3">
        <v>43291.533761574072</v>
      </c>
      <c r="AK2114" s="1" t="s">
        <v>8645</v>
      </c>
    </row>
    <row r="2115" spans="1:37">
      <c r="A2115" s="1" t="e">
        <f>VLOOKUP(H2115,Languages!$A$2:$B$430,2,FALSE)</f>
        <v>#N/A</v>
      </c>
      <c r="B2115" s="1" t="s">
        <v>1750</v>
      </c>
      <c r="C2115" s="1" t="s">
        <v>139</v>
      </c>
      <c r="D2115" s="1" t="s">
        <v>392</v>
      </c>
      <c r="E2115" s="15" t="s">
        <v>393</v>
      </c>
      <c r="F2115" s="15" t="s">
        <v>393</v>
      </c>
      <c r="G2115" s="1" t="s">
        <v>393</v>
      </c>
      <c r="H2115" s="1">
        <f>VLOOKUP(G2115,'languoid 4.0'!$A$1:$I$24439,2,FALSE)</f>
        <v>0</v>
      </c>
      <c r="I2115" s="1" t="str">
        <f>VLOOKUP(G2115,'languoid 4.0'!$A$1:$I$24439,6,FALSE)</f>
        <v>family</v>
      </c>
      <c r="J2115" s="15" t="s">
        <v>38</v>
      </c>
      <c r="K2115" s="15" t="s">
        <v>38</v>
      </c>
      <c r="L2115" s="15" t="s">
        <v>38</v>
      </c>
      <c r="M2115" s="1"/>
      <c r="N2115" s="1"/>
      <c r="O2115" s="15" t="s">
        <v>113</v>
      </c>
      <c r="P2115" s="15" t="s">
        <v>41</v>
      </c>
      <c r="Q2115" s="1" t="s">
        <v>9505</v>
      </c>
      <c r="R2115" s="2" t="s">
        <v>9506</v>
      </c>
      <c r="S2115" s="1" t="s">
        <v>46</v>
      </c>
      <c r="T2115" s="1" t="s">
        <v>635</v>
      </c>
      <c r="U2115" s="1" t="s">
        <v>636</v>
      </c>
      <c r="V2115" s="1" t="s">
        <v>45</v>
      </c>
      <c r="W2115" s="1"/>
      <c r="X2115" s="1"/>
      <c r="Y2115" s="1"/>
      <c r="Z2115" s="1" t="s">
        <v>658</v>
      </c>
      <c r="AA2115" s="1" t="s">
        <v>9507</v>
      </c>
      <c r="AB2115" s="1" t="s">
        <v>46</v>
      </c>
      <c r="AC2115" s="1" t="s">
        <v>46</v>
      </c>
      <c r="AD2115" s="1"/>
      <c r="AE2115" s="1"/>
      <c r="AF2115" s="1"/>
      <c r="AG2115" s="1"/>
      <c r="AH2115" s="1" t="s">
        <v>45</v>
      </c>
      <c r="AI2115" s="1"/>
      <c r="AJ2115" s="3">
        <v>43291.538159722222</v>
      </c>
      <c r="AK2115" s="1" t="s">
        <v>8645</v>
      </c>
    </row>
    <row r="2116" spans="1:37">
      <c r="A2116" s="1" t="e">
        <f>VLOOKUP(H2116,Languages!$A$2:$B$430,2,FALSE)</f>
        <v>#N/A</v>
      </c>
      <c r="B2116" s="1" t="s">
        <v>1750</v>
      </c>
      <c r="C2116" s="1" t="s">
        <v>139</v>
      </c>
      <c r="D2116" s="1" t="s">
        <v>10662</v>
      </c>
      <c r="E2116" s="15" t="s">
        <v>141</v>
      </c>
      <c r="F2116" s="15" t="s">
        <v>141</v>
      </c>
      <c r="G2116" s="1" t="s">
        <v>141</v>
      </c>
      <c r="H2116" s="1">
        <f>VLOOKUP(G2116,'languoid 4.0'!$A$1:$I$24439,2,FALSE)</f>
        <v>0</v>
      </c>
      <c r="I2116" s="1" t="str">
        <f>VLOOKUP(G2116,'languoid 4.0'!$A$1:$I$24439,6,FALSE)</f>
        <v>family</v>
      </c>
      <c r="J2116" s="15" t="s">
        <v>38</v>
      </c>
      <c r="K2116" s="15" t="s">
        <v>38</v>
      </c>
      <c r="L2116" s="15" t="s">
        <v>38</v>
      </c>
      <c r="M2116" s="1"/>
      <c r="N2116" s="1"/>
      <c r="O2116" s="15" t="s">
        <v>113</v>
      </c>
      <c r="P2116" s="15" t="s">
        <v>41</v>
      </c>
      <c r="Q2116" s="1" t="s">
        <v>10663</v>
      </c>
      <c r="R2116" s="2" t="s">
        <v>10664</v>
      </c>
      <c r="S2116" s="1" t="s">
        <v>1205</v>
      </c>
      <c r="T2116" s="1" t="s">
        <v>657</v>
      </c>
      <c r="U2116" s="1" t="s">
        <v>636</v>
      </c>
      <c r="V2116" s="1" t="s">
        <v>45</v>
      </c>
      <c r="W2116" s="1"/>
      <c r="X2116" s="1"/>
      <c r="Y2116" s="1"/>
      <c r="Z2116" s="1" t="s">
        <v>637</v>
      </c>
      <c r="AA2116" s="1" t="s">
        <v>10665</v>
      </c>
      <c r="AB2116" s="1" t="s">
        <v>10666</v>
      </c>
      <c r="AC2116" s="1" t="s">
        <v>46</v>
      </c>
      <c r="AD2116" s="1"/>
      <c r="AE2116" s="1" t="s">
        <v>641</v>
      </c>
      <c r="AF2116" s="1" t="s">
        <v>45</v>
      </c>
      <c r="AG2116" s="1">
        <v>1</v>
      </c>
      <c r="AH2116" s="1" t="s">
        <v>190</v>
      </c>
      <c r="AI2116" s="1"/>
      <c r="AJ2116" s="3">
        <v>43171.560243055559</v>
      </c>
      <c r="AK2116" s="1" t="s">
        <v>8947</v>
      </c>
    </row>
    <row r="2117" spans="1:37">
      <c r="A2117" s="1" t="e">
        <f>VLOOKUP(H2117,Languages!$A$2:$B$430,2,FALSE)</f>
        <v>#N/A</v>
      </c>
      <c r="B2117" s="1" t="s">
        <v>1750</v>
      </c>
      <c r="C2117" s="1" t="s">
        <v>4965</v>
      </c>
      <c r="D2117" s="1" t="s">
        <v>8358</v>
      </c>
      <c r="E2117" s="15" t="s">
        <v>7926</v>
      </c>
      <c r="F2117" s="15" t="s">
        <v>7926</v>
      </c>
      <c r="G2117" s="1" t="s">
        <v>7926</v>
      </c>
      <c r="H2117" s="1">
        <f>VLOOKUP(G2117,'languoid 4.0'!$A$1:$I$24439,2,FALSE)</f>
        <v>0</v>
      </c>
      <c r="I2117" s="1" t="str">
        <f>VLOOKUP(G2117,'languoid 4.0'!$A$1:$I$24439,6,FALSE)</f>
        <v>language</v>
      </c>
      <c r="J2117" s="15" t="s">
        <v>38</v>
      </c>
      <c r="K2117" s="15" t="s">
        <v>38</v>
      </c>
      <c r="L2117" s="15" t="s">
        <v>38</v>
      </c>
      <c r="M2117" s="1"/>
      <c r="N2117" s="1" t="s">
        <v>7927</v>
      </c>
      <c r="O2117" s="15" t="s">
        <v>40</v>
      </c>
      <c r="P2117" s="15" t="s">
        <v>41</v>
      </c>
      <c r="Q2117" s="1" t="s">
        <v>8359</v>
      </c>
      <c r="R2117" s="2" t="s">
        <v>8360</v>
      </c>
      <c r="S2117" s="1" t="s">
        <v>46</v>
      </c>
      <c r="T2117" s="1" t="s">
        <v>635</v>
      </c>
      <c r="U2117" s="1" t="s">
        <v>1726</v>
      </c>
      <c r="V2117" s="1" t="s">
        <v>45</v>
      </c>
      <c r="W2117" s="1"/>
      <c r="X2117" s="1"/>
      <c r="Y2117" s="1"/>
      <c r="Z2117" s="1" t="s">
        <v>658</v>
      </c>
      <c r="AA2117" s="1" t="s">
        <v>8361</v>
      </c>
      <c r="AB2117" s="1" t="s">
        <v>46</v>
      </c>
      <c r="AC2117" s="1" t="s">
        <v>46</v>
      </c>
      <c r="AD2117" s="1" t="s">
        <v>8362</v>
      </c>
      <c r="AE2117" s="1" t="s">
        <v>641</v>
      </c>
      <c r="AF2117" s="1" t="s">
        <v>190</v>
      </c>
      <c r="AG2117" s="1">
        <v>6</v>
      </c>
      <c r="AH2117" s="1" t="s">
        <v>190</v>
      </c>
      <c r="AI2117" s="1"/>
      <c r="AJ2117" s="1" t="s">
        <v>8363</v>
      </c>
      <c r="AK2117" s="1" t="s">
        <v>4975</v>
      </c>
    </row>
    <row r="2118" spans="1:37">
      <c r="A2118" s="1" t="e">
        <f>VLOOKUP(H2118,Languages!$A$2:$B$430,2,FALSE)</f>
        <v>#N/A</v>
      </c>
      <c r="B2118" s="1" t="s">
        <v>1750</v>
      </c>
      <c r="C2118" s="1" t="s">
        <v>214</v>
      </c>
      <c r="D2118" s="1" t="s">
        <v>3268</v>
      </c>
      <c r="E2118" s="15" t="s">
        <v>3164</v>
      </c>
      <c r="F2118" s="15" t="s">
        <v>51</v>
      </c>
      <c r="G2118" s="1" t="s">
        <v>3164</v>
      </c>
      <c r="H2118" s="1">
        <f>VLOOKUP(G2118,'languoid 4.0'!$A$1:$I$24439,2,FALSE)</f>
        <v>0</v>
      </c>
      <c r="I2118" s="1" t="str">
        <f>VLOOKUP(G2118,'languoid 4.0'!$A$1:$I$24439,6,FALSE)</f>
        <v>family</v>
      </c>
      <c r="J2118" s="15" t="s">
        <v>52</v>
      </c>
      <c r="K2118" s="15" t="s">
        <v>51</v>
      </c>
      <c r="L2118" s="15" t="s">
        <v>51</v>
      </c>
      <c r="M2118" s="1"/>
      <c r="N2118" s="1"/>
      <c r="O2118" s="15" t="s">
        <v>113</v>
      </c>
      <c r="P2118" s="15" t="s">
        <v>632</v>
      </c>
      <c r="Q2118" s="1" t="s">
        <v>3269</v>
      </c>
      <c r="R2118" s="2" t="s">
        <v>3270</v>
      </c>
      <c r="S2118" s="1" t="s">
        <v>46</v>
      </c>
      <c r="T2118" s="1" t="s">
        <v>635</v>
      </c>
      <c r="U2118" s="1" t="s">
        <v>636</v>
      </c>
      <c r="V2118" s="1" t="s">
        <v>45</v>
      </c>
      <c r="W2118" s="1"/>
      <c r="X2118" s="1"/>
      <c r="Y2118" s="1"/>
      <c r="Z2118" s="1" t="s">
        <v>637</v>
      </c>
      <c r="AA2118" s="1" t="s">
        <v>3271</v>
      </c>
      <c r="AB2118" s="1" t="s">
        <v>3272</v>
      </c>
      <c r="AC2118" s="1" t="s">
        <v>46</v>
      </c>
      <c r="AD2118" s="1"/>
      <c r="AE2118" s="1" t="s">
        <v>641</v>
      </c>
      <c r="AF2118" s="1" t="s">
        <v>190</v>
      </c>
      <c r="AG2118" s="1">
        <v>6</v>
      </c>
      <c r="AH2118" s="1" t="s">
        <v>190</v>
      </c>
      <c r="AI2118" s="1"/>
      <c r="AJ2118" s="1" t="s">
        <v>3273</v>
      </c>
      <c r="AK2118" s="1" t="s">
        <v>3060</v>
      </c>
    </row>
    <row r="2119" spans="1:37">
      <c r="A2119" s="1" t="e">
        <f>VLOOKUP(H2119,Languages!$A$2:$B$430,2,FALSE)</f>
        <v>#N/A</v>
      </c>
      <c r="B2119" s="1" t="s">
        <v>1750</v>
      </c>
      <c r="C2119" s="1" t="s">
        <v>214</v>
      </c>
      <c r="D2119" s="1" t="s">
        <v>3274</v>
      </c>
      <c r="E2119" s="15" t="s">
        <v>3164</v>
      </c>
      <c r="F2119" s="15" t="s">
        <v>51</v>
      </c>
      <c r="G2119" s="1" t="s">
        <v>3164</v>
      </c>
      <c r="H2119" s="1">
        <f>VLOOKUP(G2119,'languoid 4.0'!$A$1:$I$24439,2,FALSE)</f>
        <v>0</v>
      </c>
      <c r="I2119" s="1" t="str">
        <f>VLOOKUP(G2119,'languoid 4.0'!$A$1:$I$24439,6,FALSE)</f>
        <v>family</v>
      </c>
      <c r="J2119" s="15" t="s">
        <v>52</v>
      </c>
      <c r="K2119" s="15" t="s">
        <v>51</v>
      </c>
      <c r="L2119" s="15" t="s">
        <v>51</v>
      </c>
      <c r="M2119" s="1"/>
      <c r="N2119" s="1"/>
      <c r="O2119" s="15" t="s">
        <v>113</v>
      </c>
      <c r="P2119" s="15" t="s">
        <v>632</v>
      </c>
      <c r="Q2119" s="1" t="s">
        <v>3275</v>
      </c>
      <c r="R2119" s="2" t="s">
        <v>3276</v>
      </c>
      <c r="S2119" s="1" t="s">
        <v>46</v>
      </c>
      <c r="T2119" s="1" t="s">
        <v>635</v>
      </c>
      <c r="U2119" s="1" t="s">
        <v>636</v>
      </c>
      <c r="V2119" s="1" t="s">
        <v>45</v>
      </c>
      <c r="W2119" s="1"/>
      <c r="X2119" s="1"/>
      <c r="Y2119" s="1"/>
      <c r="Z2119" s="1" t="s">
        <v>637</v>
      </c>
      <c r="AA2119" s="1" t="s">
        <v>3277</v>
      </c>
      <c r="AB2119" s="1" t="s">
        <v>3278</v>
      </c>
      <c r="AC2119" s="1" t="s">
        <v>46</v>
      </c>
      <c r="AD2119" s="1"/>
      <c r="AE2119" s="1" t="s">
        <v>641</v>
      </c>
      <c r="AF2119" s="1" t="s">
        <v>190</v>
      </c>
      <c r="AG2119" s="1">
        <v>5</v>
      </c>
      <c r="AH2119" s="1" t="s">
        <v>190</v>
      </c>
      <c r="AI2119" s="1"/>
      <c r="AJ2119" s="1" t="s">
        <v>3279</v>
      </c>
      <c r="AK2119" s="1" t="s">
        <v>3060</v>
      </c>
    </row>
    <row r="2120" spans="1:37">
      <c r="A2120" s="1" t="e">
        <f>VLOOKUP(H2120,Languages!$A$2:$B$430,2,FALSE)</f>
        <v>#N/A</v>
      </c>
      <c r="B2120" s="1" t="s">
        <v>1750</v>
      </c>
      <c r="C2120" s="1" t="s">
        <v>298</v>
      </c>
      <c r="D2120" s="1" t="s">
        <v>299</v>
      </c>
      <c r="E2120" s="15" t="s">
        <v>300</v>
      </c>
      <c r="F2120" s="15" t="s">
        <v>300</v>
      </c>
      <c r="G2120" s="1" t="s">
        <v>300</v>
      </c>
      <c r="H2120" s="1">
        <f>VLOOKUP(G2120,'languoid 4.0'!$A$1:$I$24439,2,FALSE)</f>
        <v>0</v>
      </c>
      <c r="I2120" s="1" t="str">
        <f>VLOOKUP(G2120,'languoid 4.0'!$A$1:$I$24439,6,FALSE)</f>
        <v>family</v>
      </c>
      <c r="J2120" s="15" t="s">
        <v>38</v>
      </c>
      <c r="K2120" s="15" t="s">
        <v>38</v>
      </c>
      <c r="L2120" s="15" t="s">
        <v>38</v>
      </c>
      <c r="M2120" s="1"/>
      <c r="N2120" s="1"/>
      <c r="O2120" s="15" t="s">
        <v>40</v>
      </c>
      <c r="P2120" s="15" t="s">
        <v>41</v>
      </c>
      <c r="Q2120" s="1" t="s">
        <v>11044</v>
      </c>
      <c r="R2120" s="2" t="s">
        <v>4512</v>
      </c>
      <c r="S2120" s="1" t="s">
        <v>46</v>
      </c>
      <c r="T2120" s="1" t="s">
        <v>635</v>
      </c>
      <c r="U2120" s="1" t="s">
        <v>67</v>
      </c>
      <c r="V2120" s="1" t="s">
        <v>45</v>
      </c>
      <c r="W2120" s="1"/>
      <c r="X2120" s="1"/>
      <c r="Y2120" s="1"/>
      <c r="Z2120" s="1" t="s">
        <v>673</v>
      </c>
      <c r="AA2120" s="1" t="s">
        <v>11045</v>
      </c>
      <c r="AB2120" s="1" t="s">
        <v>11046</v>
      </c>
      <c r="AC2120" s="1" t="s">
        <v>46</v>
      </c>
      <c r="AD2120" s="1" t="s">
        <v>11042</v>
      </c>
      <c r="AE2120" s="1"/>
      <c r="AF2120" s="1"/>
      <c r="AG2120" s="1"/>
      <c r="AH2120" s="1" t="s">
        <v>45</v>
      </c>
      <c r="AI2120" s="1"/>
      <c r="AJ2120" s="1" t="s">
        <v>11047</v>
      </c>
      <c r="AK2120" s="1" t="s">
        <v>7652</v>
      </c>
    </row>
    <row r="2121" spans="1:37">
      <c r="A2121" s="1" t="e">
        <f>VLOOKUP(H2121,Languages!$A$2:$B$430,2,FALSE)</f>
        <v>#N/A</v>
      </c>
      <c r="B2121" s="1" t="s">
        <v>1750</v>
      </c>
      <c r="C2121" s="1" t="s">
        <v>75</v>
      </c>
      <c r="D2121" s="1" t="s">
        <v>8712</v>
      </c>
      <c r="E2121" s="15" t="s">
        <v>51</v>
      </c>
      <c r="F2121" s="15" t="s">
        <v>51</v>
      </c>
      <c r="G2121" s="1" t="s">
        <v>367</v>
      </c>
      <c r="H2121" s="1">
        <f>VLOOKUP(G2121,'languoid 4.0'!$A$1:$I$24439,2,FALSE)</f>
        <v>0</v>
      </c>
      <c r="I2121" s="1" t="str">
        <f>VLOOKUP(G2121,'languoid 4.0'!$A$1:$I$24439,6,FALSE)</f>
        <v>family</v>
      </c>
      <c r="J2121" s="15" t="s">
        <v>51</v>
      </c>
      <c r="K2121" s="15" t="s">
        <v>51</v>
      </c>
      <c r="L2121" s="15" t="s">
        <v>51</v>
      </c>
      <c r="M2121" s="9" t="s">
        <v>8713</v>
      </c>
      <c r="N2121" s="1" t="e">
        <v>#N/A</v>
      </c>
      <c r="O2121" s="15" t="s">
        <v>690</v>
      </c>
      <c r="P2121" s="15"/>
      <c r="Q2121" s="1" t="s">
        <v>8714</v>
      </c>
      <c r="R2121" s="2" t="s">
        <v>8715</v>
      </c>
      <c r="S2121" s="1" t="s">
        <v>46</v>
      </c>
      <c r="T2121" s="1" t="s">
        <v>635</v>
      </c>
      <c r="U2121" s="1" t="s">
        <v>636</v>
      </c>
      <c r="V2121" s="1" t="s">
        <v>45</v>
      </c>
      <c r="W2121" s="1"/>
      <c r="X2121" s="1"/>
      <c r="Y2121" s="1"/>
      <c r="Z2121" s="1" t="s">
        <v>658</v>
      </c>
      <c r="AA2121" s="1" t="s">
        <v>8716</v>
      </c>
      <c r="AB2121" s="1" t="s">
        <v>46</v>
      </c>
      <c r="AC2121" s="1" t="s">
        <v>46</v>
      </c>
      <c r="AD2121" s="1" t="s">
        <v>8717</v>
      </c>
      <c r="AE2121" s="1" t="s">
        <v>641</v>
      </c>
      <c r="AF2121" s="1" t="s">
        <v>190</v>
      </c>
      <c r="AG2121" s="1">
        <v>6</v>
      </c>
      <c r="AH2121" s="1" t="s">
        <v>190</v>
      </c>
      <c r="AI2121" s="1"/>
      <c r="AJ2121" s="3">
        <v>43321.848819444444</v>
      </c>
      <c r="AK2121" s="1" t="s">
        <v>5640</v>
      </c>
    </row>
    <row r="2122" spans="1:37">
      <c r="A2122" s="1" t="e">
        <f>VLOOKUP(H2122,Languages!$A$2:$B$430,2,FALSE)</f>
        <v>#N/A</v>
      </c>
      <c r="B2122" s="1" t="s">
        <v>1750</v>
      </c>
      <c r="C2122" s="1" t="s">
        <v>75</v>
      </c>
      <c r="D2122" s="1" t="s">
        <v>8861</v>
      </c>
      <c r="E2122" s="15" t="s">
        <v>51</v>
      </c>
      <c r="F2122" s="16" t="s">
        <v>51</v>
      </c>
      <c r="G2122" s="1" t="s">
        <v>367</v>
      </c>
      <c r="H2122" s="1">
        <f>VLOOKUP(G2122,'languoid 4.0'!$A$1:$I$24439,2,FALSE)</f>
        <v>0</v>
      </c>
      <c r="I2122" s="1" t="str">
        <f>VLOOKUP(G2122,'languoid 4.0'!$A$1:$I$24439,6,FALSE)</f>
        <v>family</v>
      </c>
      <c r="J2122" s="16" t="s">
        <v>51</v>
      </c>
      <c r="K2122" s="15" t="s">
        <v>51</v>
      </c>
      <c r="L2122" s="15" t="s">
        <v>51</v>
      </c>
      <c r="M2122" s="1"/>
      <c r="N2122" s="1" t="e">
        <v>#N/A</v>
      </c>
      <c r="O2122" s="15" t="s">
        <v>690</v>
      </c>
      <c r="P2122" s="15" t="s">
        <v>632</v>
      </c>
      <c r="Q2122" s="1" t="s">
        <v>8862</v>
      </c>
      <c r="R2122" s="2" t="s">
        <v>8863</v>
      </c>
      <c r="S2122" s="1" t="s">
        <v>81</v>
      </c>
      <c r="T2122" s="1" t="s">
        <v>754</v>
      </c>
      <c r="U2122" s="1" t="s">
        <v>636</v>
      </c>
      <c r="V2122" s="1" t="s">
        <v>45</v>
      </c>
      <c r="W2122" s="1"/>
      <c r="X2122" s="1"/>
      <c r="Y2122" s="1"/>
      <c r="Z2122" s="1" t="s">
        <v>637</v>
      </c>
      <c r="AA2122" s="1" t="s">
        <v>8864</v>
      </c>
      <c r="AB2122" s="1" t="s">
        <v>8865</v>
      </c>
      <c r="AC2122" s="1" t="s">
        <v>46</v>
      </c>
      <c r="AD2122" s="1"/>
      <c r="AE2122" s="1"/>
      <c r="AF2122" s="1"/>
      <c r="AG2122" s="1"/>
      <c r="AH2122" s="1" t="s">
        <v>45</v>
      </c>
      <c r="AI2122" s="1"/>
      <c r="AJ2122" s="3">
        <v>43443.700914351852</v>
      </c>
      <c r="AK2122" s="1" t="s">
        <v>5640</v>
      </c>
    </row>
    <row r="2123" spans="1:37">
      <c r="A2123" s="1" t="e">
        <f>VLOOKUP(H2123,Languages!$A$2:$B$430,2,FALSE)</f>
        <v>#N/A</v>
      </c>
      <c r="B2123" s="1" t="s">
        <v>1750</v>
      </c>
      <c r="C2123" s="1" t="s">
        <v>101</v>
      </c>
      <c r="D2123" s="1" t="s">
        <v>102</v>
      </c>
      <c r="E2123" s="15" t="s">
        <v>103</v>
      </c>
      <c r="F2123" s="15" t="s">
        <v>51</v>
      </c>
      <c r="G2123" s="1" t="s">
        <v>103</v>
      </c>
      <c r="H2123" s="1">
        <f>VLOOKUP(G2123,'languoid 4.0'!$A$1:$I$24439,2,FALSE)</f>
        <v>0</v>
      </c>
      <c r="I2123" s="1" t="str">
        <f>VLOOKUP(G2123,'languoid 4.0'!$A$1:$I$24439,6,FALSE)</f>
        <v>language</v>
      </c>
      <c r="J2123" s="15" t="s">
        <v>52</v>
      </c>
      <c r="K2123" s="15" t="s">
        <v>51</v>
      </c>
      <c r="L2123" s="15" t="s">
        <v>51</v>
      </c>
      <c r="M2123" s="1"/>
      <c r="N2123" s="1" t="s">
        <v>104</v>
      </c>
      <c r="O2123" s="15" t="s">
        <v>40</v>
      </c>
      <c r="P2123" s="15" t="s">
        <v>41</v>
      </c>
      <c r="Q2123" s="1" t="s">
        <v>7492</v>
      </c>
      <c r="R2123" s="2" t="s">
        <v>7493</v>
      </c>
      <c r="S2123" s="1" t="s">
        <v>225</v>
      </c>
      <c r="T2123" s="1" t="s">
        <v>657</v>
      </c>
      <c r="U2123" s="1" t="s">
        <v>67</v>
      </c>
      <c r="V2123" s="1" t="s">
        <v>45</v>
      </c>
      <c r="W2123" s="1"/>
      <c r="X2123" s="1"/>
      <c r="Y2123" s="1"/>
      <c r="Z2123" s="1" t="s">
        <v>637</v>
      </c>
      <c r="AA2123" s="1" t="s">
        <v>46</v>
      </c>
      <c r="AB2123" s="1" t="s">
        <v>7494</v>
      </c>
      <c r="AC2123" s="1" t="s">
        <v>46</v>
      </c>
      <c r="AD2123" s="1"/>
      <c r="AE2123" s="1" t="s">
        <v>641</v>
      </c>
      <c r="AF2123" s="1" t="s">
        <v>190</v>
      </c>
      <c r="AG2123" s="1">
        <v>4</v>
      </c>
      <c r="AH2123" s="1" t="s">
        <v>190</v>
      </c>
      <c r="AI2123" s="1"/>
      <c r="AJ2123" s="1" t="s">
        <v>7495</v>
      </c>
      <c r="AK2123" s="1" t="s">
        <v>6639</v>
      </c>
    </row>
    <row r="2124" spans="1:37">
      <c r="A2124" s="1" t="e">
        <f>VLOOKUP(H2124,Languages!$A$2:$B$430,2,FALSE)</f>
        <v>#N/A</v>
      </c>
      <c r="B2124" s="1" t="s">
        <v>1750</v>
      </c>
      <c r="C2124" s="1" t="s">
        <v>124</v>
      </c>
      <c r="D2124" s="1" t="s">
        <v>7925</v>
      </c>
      <c r="E2124" s="15" t="s">
        <v>7926</v>
      </c>
      <c r="F2124" s="15" t="s">
        <v>7926</v>
      </c>
      <c r="G2124" s="1" t="s">
        <v>7926</v>
      </c>
      <c r="H2124" s="1">
        <f>VLOOKUP(G2124,'languoid 4.0'!$A$1:$I$24439,2,FALSE)</f>
        <v>0</v>
      </c>
      <c r="I2124" s="1" t="str">
        <f>VLOOKUP(G2124,'languoid 4.0'!$A$1:$I$24439,6,FALSE)</f>
        <v>language</v>
      </c>
      <c r="J2124" s="15" t="s">
        <v>38</v>
      </c>
      <c r="K2124" s="15" t="s">
        <v>38</v>
      </c>
      <c r="L2124" s="15" t="s">
        <v>38</v>
      </c>
      <c r="M2124" s="1"/>
      <c r="N2124" s="1" t="s">
        <v>7927</v>
      </c>
      <c r="O2124" s="15" t="s">
        <v>40</v>
      </c>
      <c r="P2124" s="15" t="s">
        <v>41</v>
      </c>
      <c r="Q2124" s="1" t="s">
        <v>7928</v>
      </c>
      <c r="R2124" s="2" t="s">
        <v>7929</v>
      </c>
      <c r="S2124" s="1" t="s">
        <v>46</v>
      </c>
      <c r="T2124" s="1" t="s">
        <v>822</v>
      </c>
      <c r="U2124" s="1" t="s">
        <v>636</v>
      </c>
      <c r="V2124" s="1" t="s">
        <v>45</v>
      </c>
      <c r="W2124" s="1"/>
      <c r="X2124" s="1"/>
      <c r="Y2124" s="1"/>
      <c r="Z2124" s="1" t="s">
        <v>637</v>
      </c>
      <c r="AA2124" s="1" t="s">
        <v>7930</v>
      </c>
      <c r="AB2124" s="1" t="s">
        <v>7931</v>
      </c>
      <c r="AC2124" s="1" t="s">
        <v>46</v>
      </c>
      <c r="AD2124" s="1"/>
      <c r="AE2124" s="1" t="s">
        <v>641</v>
      </c>
      <c r="AF2124" s="1" t="s">
        <v>45</v>
      </c>
      <c r="AG2124" s="1">
        <v>1</v>
      </c>
      <c r="AH2124" s="1" t="s">
        <v>190</v>
      </c>
      <c r="AI2124" s="1"/>
      <c r="AJ2124" s="1" t="s">
        <v>7932</v>
      </c>
      <c r="AK2124" s="1" t="s">
        <v>4945</v>
      </c>
    </row>
    <row r="2125" spans="1:37">
      <c r="A2125" s="1" t="e">
        <f>VLOOKUP(H2125,Languages!$A$2:$B$430,2,FALSE)</f>
        <v>#N/A</v>
      </c>
      <c r="B2125" s="1" t="s">
        <v>1750</v>
      </c>
      <c r="C2125" s="1" t="s">
        <v>124</v>
      </c>
      <c r="D2125" s="1" t="s">
        <v>7933</v>
      </c>
      <c r="E2125" s="15" t="s">
        <v>51</v>
      </c>
      <c r="F2125" s="15" t="s">
        <v>51</v>
      </c>
      <c r="G2125" s="1" t="s">
        <v>7926</v>
      </c>
      <c r="H2125" s="1">
        <f>VLOOKUP(G2125,'languoid 4.0'!$A$1:$I$24439,2,FALSE)</f>
        <v>0</v>
      </c>
      <c r="I2125" s="1" t="str">
        <f>VLOOKUP(G2125,'languoid 4.0'!$A$1:$I$24439,6,FALSE)</f>
        <v>language</v>
      </c>
      <c r="J2125" s="15" t="s">
        <v>51</v>
      </c>
      <c r="K2125" s="15" t="s">
        <v>51</v>
      </c>
      <c r="L2125" s="15" t="s">
        <v>51</v>
      </c>
      <c r="M2125" s="1" t="s">
        <v>7934</v>
      </c>
      <c r="N2125" s="1" t="e">
        <v>#N/A</v>
      </c>
      <c r="O2125" s="15" t="s">
        <v>690</v>
      </c>
      <c r="P2125" s="15"/>
      <c r="Q2125" s="1" t="s">
        <v>7935</v>
      </c>
      <c r="R2125" s="2" t="s">
        <v>7936</v>
      </c>
      <c r="S2125" s="1" t="s">
        <v>46</v>
      </c>
      <c r="T2125" s="1" t="s">
        <v>822</v>
      </c>
      <c r="U2125" s="1" t="s">
        <v>636</v>
      </c>
      <c r="V2125" s="1" t="s">
        <v>45</v>
      </c>
      <c r="W2125" s="1"/>
      <c r="X2125" s="1"/>
      <c r="Y2125" s="1"/>
      <c r="Z2125" s="1" t="s">
        <v>637</v>
      </c>
      <c r="AA2125" s="1" t="s">
        <v>7937</v>
      </c>
      <c r="AB2125" s="1" t="s">
        <v>7938</v>
      </c>
      <c r="AC2125" s="1" t="s">
        <v>46</v>
      </c>
      <c r="AD2125" s="1"/>
      <c r="AE2125" s="1" t="s">
        <v>641</v>
      </c>
      <c r="AF2125" s="1" t="s">
        <v>190</v>
      </c>
      <c r="AG2125" s="1">
        <v>6</v>
      </c>
      <c r="AH2125" s="1" t="s">
        <v>190</v>
      </c>
      <c r="AI2125" s="1"/>
      <c r="AJ2125" s="1" t="s">
        <v>7939</v>
      </c>
      <c r="AK2125" s="1" t="s">
        <v>4945</v>
      </c>
    </row>
    <row r="2126" spans="1:37" ht="307">
      <c r="A2126" s="1" t="e">
        <f>VLOOKUP(H2126,Languages!$A$2:$B$430,2,FALSE)</f>
        <v>#N/A</v>
      </c>
      <c r="B2126" s="1" t="s">
        <v>1750</v>
      </c>
      <c r="C2126" s="1" t="s">
        <v>206</v>
      </c>
      <c r="D2126" s="1" t="s">
        <v>392</v>
      </c>
      <c r="E2126" s="15" t="s">
        <v>393</v>
      </c>
      <c r="F2126" s="15" t="s">
        <v>393</v>
      </c>
      <c r="G2126" s="1" t="s">
        <v>393</v>
      </c>
      <c r="H2126" s="1">
        <f>VLOOKUP(G2126,'languoid 4.0'!$A$1:$I$24439,2,FALSE)</f>
        <v>0</v>
      </c>
      <c r="I2126" s="1" t="str">
        <f>VLOOKUP(G2126,'languoid 4.0'!$A$1:$I$24439,6,FALSE)</f>
        <v>family</v>
      </c>
      <c r="J2126" s="15" t="s">
        <v>38</v>
      </c>
      <c r="K2126" s="15" t="s">
        <v>38</v>
      </c>
      <c r="L2126" s="15" t="s">
        <v>38</v>
      </c>
      <c r="M2126" s="1"/>
      <c r="N2126" s="1"/>
      <c r="O2126" s="15" t="s">
        <v>113</v>
      </c>
      <c r="P2126" s="15" t="s">
        <v>41</v>
      </c>
      <c r="Q2126" s="1" t="s">
        <v>11354</v>
      </c>
      <c r="R2126" s="2" t="s">
        <v>10752</v>
      </c>
      <c r="S2126" s="1" t="s">
        <v>672</v>
      </c>
      <c r="T2126" s="1" t="s">
        <v>657</v>
      </c>
      <c r="U2126" s="1" t="s">
        <v>636</v>
      </c>
      <c r="V2126" s="1" t="s">
        <v>45</v>
      </c>
      <c r="W2126" s="1"/>
      <c r="X2126" s="1"/>
      <c r="Y2126" s="1"/>
      <c r="Z2126" s="1" t="s">
        <v>1151</v>
      </c>
      <c r="AA2126" s="1" t="s">
        <v>46</v>
      </c>
      <c r="AB2126" s="11" t="s">
        <v>11355</v>
      </c>
      <c r="AC2126" s="1" t="s">
        <v>46</v>
      </c>
      <c r="AD2126" s="1"/>
      <c r="AE2126" s="1" t="s">
        <v>641</v>
      </c>
      <c r="AF2126" s="1" t="s">
        <v>45</v>
      </c>
      <c r="AG2126" s="1">
        <v>6</v>
      </c>
      <c r="AH2126" s="1" t="s">
        <v>190</v>
      </c>
      <c r="AI2126" s="1" t="s">
        <v>11356</v>
      </c>
      <c r="AJ2126" s="1" t="s">
        <v>11357</v>
      </c>
      <c r="AK2126" s="1" t="s">
        <v>8686</v>
      </c>
    </row>
    <row r="2127" spans="1:37">
      <c r="A2127" s="1" t="e">
        <f>VLOOKUP(H2127,Languages!$A$2:$B$430,2,FALSE)</f>
        <v>#N/A</v>
      </c>
      <c r="B2127" s="1" t="s">
        <v>1750</v>
      </c>
      <c r="C2127" s="1" t="s">
        <v>206</v>
      </c>
      <c r="D2127" s="1" t="s">
        <v>392</v>
      </c>
      <c r="E2127" s="15" t="s">
        <v>393</v>
      </c>
      <c r="F2127" s="15" t="s">
        <v>393</v>
      </c>
      <c r="G2127" s="1" t="s">
        <v>393</v>
      </c>
      <c r="H2127" s="1">
        <f>VLOOKUP(G2127,'languoid 4.0'!$A$1:$I$24439,2,FALSE)</f>
        <v>0</v>
      </c>
      <c r="I2127" s="1" t="str">
        <f>VLOOKUP(G2127,'languoid 4.0'!$A$1:$I$24439,6,FALSE)</f>
        <v>family</v>
      </c>
      <c r="J2127" s="15" t="s">
        <v>38</v>
      </c>
      <c r="K2127" s="15" t="s">
        <v>38</v>
      </c>
      <c r="L2127" s="15" t="s">
        <v>38</v>
      </c>
      <c r="M2127" s="1"/>
      <c r="N2127" s="1"/>
      <c r="O2127" s="15" t="s">
        <v>113</v>
      </c>
      <c r="P2127" s="15" t="s">
        <v>41</v>
      </c>
      <c r="Q2127" s="1" t="s">
        <v>11358</v>
      </c>
      <c r="R2127" s="2" t="s">
        <v>10757</v>
      </c>
      <c r="S2127" s="1" t="s">
        <v>647</v>
      </c>
      <c r="T2127" s="1" t="s">
        <v>657</v>
      </c>
      <c r="U2127" s="1" t="s">
        <v>10758</v>
      </c>
      <c r="V2127" s="1" t="s">
        <v>45</v>
      </c>
      <c r="W2127" s="1"/>
      <c r="X2127" s="1"/>
      <c r="Y2127" s="1"/>
      <c r="Z2127" s="1" t="s">
        <v>673</v>
      </c>
      <c r="AA2127" s="1" t="s">
        <v>46</v>
      </c>
      <c r="AB2127" s="1" t="s">
        <v>11359</v>
      </c>
      <c r="AC2127" s="1" t="s">
        <v>46</v>
      </c>
      <c r="AD2127" s="1"/>
      <c r="AE2127" s="1" t="s">
        <v>641</v>
      </c>
      <c r="AF2127" s="1" t="s">
        <v>190</v>
      </c>
      <c r="AG2127" s="1">
        <v>5</v>
      </c>
      <c r="AH2127" s="1" t="s">
        <v>190</v>
      </c>
      <c r="AI2127" s="1" t="s">
        <v>11360</v>
      </c>
      <c r="AJ2127" s="1" t="s">
        <v>11361</v>
      </c>
      <c r="AK2127" s="1" t="s">
        <v>8686</v>
      </c>
    </row>
    <row r="2128" spans="1:37">
      <c r="A2128" s="1" t="e">
        <f>VLOOKUP(H2128,Languages!$A$2:$B$430,2,FALSE)</f>
        <v>#N/A</v>
      </c>
      <c r="B2128" s="1" t="s">
        <v>1750</v>
      </c>
      <c r="C2128" s="1" t="s">
        <v>206</v>
      </c>
      <c r="D2128" s="1" t="s">
        <v>392</v>
      </c>
      <c r="E2128" s="15" t="s">
        <v>393</v>
      </c>
      <c r="F2128" s="15" t="s">
        <v>393</v>
      </c>
      <c r="G2128" s="1" t="s">
        <v>393</v>
      </c>
      <c r="H2128" s="1">
        <f>VLOOKUP(G2128,'languoid 4.0'!$A$1:$I$24439,2,FALSE)</f>
        <v>0</v>
      </c>
      <c r="I2128" s="1" t="str">
        <f>VLOOKUP(G2128,'languoid 4.0'!$A$1:$I$24439,6,FALSE)</f>
        <v>family</v>
      </c>
      <c r="J2128" s="15" t="s">
        <v>38</v>
      </c>
      <c r="K2128" s="15" t="s">
        <v>38</v>
      </c>
      <c r="L2128" s="15" t="s">
        <v>38</v>
      </c>
      <c r="M2128" s="1"/>
      <c r="N2128" s="1"/>
      <c r="O2128" s="15" t="s">
        <v>113</v>
      </c>
      <c r="P2128" s="15" t="s">
        <v>41</v>
      </c>
      <c r="Q2128" s="1" t="s">
        <v>11362</v>
      </c>
      <c r="R2128" s="2" t="s">
        <v>10757</v>
      </c>
      <c r="S2128" s="1" t="s">
        <v>647</v>
      </c>
      <c r="T2128" s="1" t="s">
        <v>657</v>
      </c>
      <c r="U2128" s="1" t="s">
        <v>636</v>
      </c>
      <c r="V2128" s="1" t="s">
        <v>45</v>
      </c>
      <c r="W2128" s="1"/>
      <c r="X2128" s="1"/>
      <c r="Y2128" s="1"/>
      <c r="Z2128" s="1" t="s">
        <v>673</v>
      </c>
      <c r="AA2128" s="1" t="s">
        <v>46</v>
      </c>
      <c r="AB2128" s="1" t="s">
        <v>11363</v>
      </c>
      <c r="AC2128" s="1" t="s">
        <v>46</v>
      </c>
      <c r="AD2128" s="1"/>
      <c r="AE2128" s="1" t="s">
        <v>641</v>
      </c>
      <c r="AF2128" s="1" t="s">
        <v>190</v>
      </c>
      <c r="AG2128" s="1">
        <v>5</v>
      </c>
      <c r="AH2128" s="1" t="s">
        <v>190</v>
      </c>
      <c r="AI2128" s="1" t="s">
        <v>11364</v>
      </c>
      <c r="AJ2128" s="1" t="s">
        <v>11365</v>
      </c>
      <c r="AK2128" s="1" t="s">
        <v>8686</v>
      </c>
    </row>
    <row r="2129" spans="1:37">
      <c r="A2129" s="1" t="e">
        <f>VLOOKUP(H2129,Languages!$A$2:$B$430,2,FALSE)</f>
        <v>#N/A</v>
      </c>
      <c r="B2129" s="1" t="s">
        <v>1750</v>
      </c>
      <c r="C2129" s="1" t="s">
        <v>431</v>
      </c>
      <c r="D2129" s="1" t="s">
        <v>11252</v>
      </c>
      <c r="E2129" s="15" t="s">
        <v>11253</v>
      </c>
      <c r="F2129" s="15" t="s">
        <v>11253</v>
      </c>
      <c r="G2129" s="1" t="s">
        <v>11253</v>
      </c>
      <c r="H2129" s="1">
        <f>VLOOKUP(G2129,'languoid 4.0'!$A$1:$I$24439,2,FALSE)</f>
        <v>0</v>
      </c>
      <c r="I2129" s="1" t="str">
        <f>VLOOKUP(G2129,'languoid 4.0'!$A$1:$I$24439,6,FALSE)</f>
        <v>language</v>
      </c>
      <c r="J2129" s="15" t="s">
        <v>38</v>
      </c>
      <c r="K2129" s="15" t="s">
        <v>38</v>
      </c>
      <c r="L2129" s="15" t="s">
        <v>38</v>
      </c>
      <c r="M2129" s="1"/>
      <c r="N2129" s="1" t="s">
        <v>11254</v>
      </c>
      <c r="O2129" s="15" t="s">
        <v>40</v>
      </c>
      <c r="P2129" s="15" t="s">
        <v>41</v>
      </c>
      <c r="Q2129" s="1" t="s">
        <v>11321</v>
      </c>
      <c r="R2129" s="2" t="s">
        <v>11322</v>
      </c>
      <c r="S2129" s="1" t="s">
        <v>11289</v>
      </c>
      <c r="T2129" s="1" t="s">
        <v>657</v>
      </c>
      <c r="U2129" s="1" t="s">
        <v>67</v>
      </c>
      <c r="V2129" s="1" t="s">
        <v>45</v>
      </c>
      <c r="W2129" s="1"/>
      <c r="X2129" s="1"/>
      <c r="Y2129" s="1"/>
      <c r="Z2129" s="1" t="s">
        <v>673</v>
      </c>
      <c r="AA2129" s="1" t="s">
        <v>11323</v>
      </c>
      <c r="AB2129" s="1" t="s">
        <v>11324</v>
      </c>
      <c r="AC2129" s="1" t="s">
        <v>46</v>
      </c>
      <c r="AD2129" s="1"/>
      <c r="AE2129" s="1" t="s">
        <v>641</v>
      </c>
      <c r="AF2129" s="1" t="s">
        <v>190</v>
      </c>
      <c r="AG2129" s="1">
        <v>6</v>
      </c>
      <c r="AH2129" s="1" t="s">
        <v>190</v>
      </c>
      <c r="AI2129" s="1"/>
      <c r="AJ2129" s="1" t="s">
        <v>11325</v>
      </c>
      <c r="AK2129" s="1" t="s">
        <v>4975</v>
      </c>
    </row>
    <row r="2130" spans="1:37">
      <c r="A2130" s="1" t="e">
        <f>VLOOKUP(H2130,Languages!$A$2:$B$430,2,FALSE)</f>
        <v>#N/A</v>
      </c>
      <c r="B2130" s="1" t="s">
        <v>1750</v>
      </c>
      <c r="C2130" s="1" t="s">
        <v>4417</v>
      </c>
      <c r="D2130" s="1" t="s">
        <v>7304</v>
      </c>
      <c r="E2130" s="15" t="s">
        <v>4725</v>
      </c>
      <c r="F2130" s="15" t="s">
        <v>4725</v>
      </c>
      <c r="G2130" s="1" t="s">
        <v>4725</v>
      </c>
      <c r="H2130" s="1">
        <f>VLOOKUP(G2130,'languoid 4.0'!$A$1:$I$24439,2,FALSE)</f>
        <v>0</v>
      </c>
      <c r="I2130" s="1" t="str">
        <f>VLOOKUP(G2130,'languoid 4.0'!$A$1:$I$24439,6,FALSE)</f>
        <v>language</v>
      </c>
      <c r="J2130" s="15" t="s">
        <v>38</v>
      </c>
      <c r="K2130" s="15" t="s">
        <v>38</v>
      </c>
      <c r="L2130" s="15" t="s">
        <v>38</v>
      </c>
      <c r="M2130" s="1"/>
      <c r="N2130" s="1" t="s">
        <v>7299</v>
      </c>
      <c r="O2130" s="15" t="s">
        <v>40</v>
      </c>
      <c r="P2130" s="15" t="s">
        <v>41</v>
      </c>
      <c r="Q2130" s="1" t="s">
        <v>7312</v>
      </c>
      <c r="R2130" s="2" t="s">
        <v>7313</v>
      </c>
      <c r="S2130" s="1" t="s">
        <v>46</v>
      </c>
      <c r="T2130" s="1" t="s">
        <v>7307</v>
      </c>
      <c r="U2130" s="1" t="s">
        <v>636</v>
      </c>
      <c r="V2130" s="1" t="s">
        <v>45</v>
      </c>
      <c r="W2130" s="1"/>
      <c r="X2130" s="1"/>
      <c r="Y2130" s="1"/>
      <c r="Z2130" s="1" t="s">
        <v>673</v>
      </c>
      <c r="AA2130" s="1" t="s">
        <v>46</v>
      </c>
      <c r="AB2130" s="1" t="s">
        <v>7314</v>
      </c>
      <c r="AC2130" s="1" t="s">
        <v>46</v>
      </c>
      <c r="AD2130" s="1"/>
      <c r="AE2130" s="1" t="s">
        <v>641</v>
      </c>
      <c r="AF2130" s="1" t="s">
        <v>190</v>
      </c>
      <c r="AG2130" s="1">
        <v>6</v>
      </c>
      <c r="AH2130" s="1" t="s">
        <v>190</v>
      </c>
      <c r="AI2130" s="1"/>
      <c r="AJ2130" s="3">
        <v>43381.888078703705</v>
      </c>
      <c r="AK2130" s="1" t="s">
        <v>4424</v>
      </c>
    </row>
    <row r="2131" spans="1:37">
      <c r="A2131" s="1" t="e">
        <f>VLOOKUP(H2131,Languages!$A$2:$B$430,2,FALSE)</f>
        <v>#N/A</v>
      </c>
      <c r="B2131" s="1" t="s">
        <v>1750</v>
      </c>
      <c r="C2131" s="1" t="s">
        <v>4417</v>
      </c>
      <c r="D2131" s="1" t="s">
        <v>4723</v>
      </c>
      <c r="E2131" s="15" t="s">
        <v>4725</v>
      </c>
      <c r="F2131" s="15" t="s">
        <v>4725</v>
      </c>
      <c r="G2131" s="1" t="s">
        <v>4725</v>
      </c>
      <c r="H2131" s="1">
        <f>VLOOKUP(G2131,'languoid 4.0'!$A$1:$I$24439,2,FALSE)</f>
        <v>0</v>
      </c>
      <c r="I2131" s="1" t="str">
        <f>VLOOKUP(G2131,'languoid 4.0'!$A$1:$I$24439,6,FALSE)</f>
        <v>language</v>
      </c>
      <c r="J2131" s="15" t="s">
        <v>38</v>
      </c>
      <c r="K2131" s="15" t="s">
        <v>38</v>
      </c>
      <c r="L2131" s="15" t="s">
        <v>38</v>
      </c>
      <c r="M2131" s="1"/>
      <c r="N2131" s="1" t="s">
        <v>7299</v>
      </c>
      <c r="O2131" s="15" t="s">
        <v>40</v>
      </c>
      <c r="P2131" s="15" t="s">
        <v>41</v>
      </c>
      <c r="Q2131" s="1" t="s">
        <v>7344</v>
      </c>
      <c r="R2131" s="2" t="s">
        <v>7345</v>
      </c>
      <c r="S2131" s="1" t="s">
        <v>46</v>
      </c>
      <c r="T2131" s="1" t="s">
        <v>7302</v>
      </c>
      <c r="U2131" s="1" t="s">
        <v>636</v>
      </c>
      <c r="V2131" s="1" t="s">
        <v>45</v>
      </c>
      <c r="W2131" s="1"/>
      <c r="X2131" s="1"/>
      <c r="Y2131" s="1"/>
      <c r="Z2131" s="1" t="s">
        <v>673</v>
      </c>
      <c r="AA2131" s="1" t="s">
        <v>46</v>
      </c>
      <c r="AB2131" s="1" t="s">
        <v>7346</v>
      </c>
      <c r="AC2131" s="1" t="s">
        <v>46</v>
      </c>
      <c r="AD2131" s="1" t="s">
        <v>7347</v>
      </c>
      <c r="AE2131" s="1" t="s">
        <v>641</v>
      </c>
      <c r="AF2131" s="1" t="s">
        <v>190</v>
      </c>
      <c r="AG2131" s="1">
        <v>5</v>
      </c>
      <c r="AH2131" s="1" t="s">
        <v>190</v>
      </c>
      <c r="AI2131" s="1"/>
      <c r="AJ2131" s="3">
        <v>43381.988252314812</v>
      </c>
      <c r="AK2131" s="1" t="s">
        <v>4424</v>
      </c>
    </row>
    <row r="2132" spans="1:37">
      <c r="A2132" s="1" t="e">
        <f>VLOOKUP(H2132,Languages!$A$2:$B$430,2,FALSE)</f>
        <v>#N/A</v>
      </c>
      <c r="B2132" s="1" t="s">
        <v>1738</v>
      </c>
      <c r="C2132" s="1" t="s">
        <v>34</v>
      </c>
      <c r="D2132" s="1" t="s">
        <v>9951</v>
      </c>
      <c r="E2132" s="15" t="s">
        <v>705</v>
      </c>
      <c r="F2132" s="15" t="s">
        <v>705</v>
      </c>
      <c r="G2132" s="1" t="s">
        <v>705</v>
      </c>
      <c r="H2132" s="1">
        <f>VLOOKUP(G2132,'languoid 4.0'!$A$1:$I$24439,2,FALSE)</f>
        <v>0</v>
      </c>
      <c r="I2132" s="1" t="str">
        <f>VLOOKUP(G2132,'languoid 4.0'!$A$1:$I$24439,6,FALSE)</f>
        <v>language</v>
      </c>
      <c r="J2132" s="15" t="s">
        <v>38</v>
      </c>
      <c r="K2132" s="15" t="s">
        <v>38</v>
      </c>
      <c r="L2132" s="15" t="s">
        <v>38</v>
      </c>
      <c r="M2132" s="1"/>
      <c r="N2132" s="1" t="s">
        <v>706</v>
      </c>
      <c r="O2132" s="15" t="s">
        <v>40</v>
      </c>
      <c r="P2132" s="15" t="s">
        <v>41</v>
      </c>
      <c r="Q2132" s="1" t="s">
        <v>9952</v>
      </c>
      <c r="R2132" s="2" t="s">
        <v>4512</v>
      </c>
      <c r="S2132" s="1" t="s">
        <v>46</v>
      </c>
      <c r="T2132" s="1" t="s">
        <v>635</v>
      </c>
      <c r="U2132" s="1" t="s">
        <v>9953</v>
      </c>
      <c r="V2132" s="1" t="s">
        <v>45</v>
      </c>
      <c r="W2132" s="1"/>
      <c r="X2132" s="1"/>
      <c r="Y2132" s="1"/>
      <c r="Z2132" s="1" t="s">
        <v>673</v>
      </c>
      <c r="AA2132" s="1" t="s">
        <v>9954</v>
      </c>
      <c r="AB2132" s="1" t="s">
        <v>9955</v>
      </c>
      <c r="AC2132" s="1" t="s">
        <v>46</v>
      </c>
      <c r="AD2132" s="1"/>
      <c r="AE2132" s="1"/>
      <c r="AF2132" s="1"/>
      <c r="AG2132" s="1"/>
      <c r="AH2132" s="1" t="s">
        <v>45</v>
      </c>
      <c r="AI2132" s="1" t="s">
        <v>9956</v>
      </c>
      <c r="AJ2132" s="1" t="s">
        <v>9957</v>
      </c>
      <c r="AK2132" s="1" t="s">
        <v>9537</v>
      </c>
    </row>
    <row r="2133" spans="1:37">
      <c r="A2133" s="1" t="e">
        <f>VLOOKUP(H2133,Languages!$A$2:$B$430,2,FALSE)</f>
        <v>#N/A</v>
      </c>
      <c r="B2133" s="1" t="s">
        <v>1738</v>
      </c>
      <c r="C2133" s="1" t="s">
        <v>34</v>
      </c>
      <c r="D2133" s="1" t="s">
        <v>9958</v>
      </c>
      <c r="E2133" s="15" t="s">
        <v>705</v>
      </c>
      <c r="F2133" s="15" t="s">
        <v>705</v>
      </c>
      <c r="G2133" s="1" t="s">
        <v>705</v>
      </c>
      <c r="H2133" s="1">
        <f>VLOOKUP(G2133,'languoid 4.0'!$A$1:$I$24439,2,FALSE)</f>
        <v>0</v>
      </c>
      <c r="I2133" s="1" t="str">
        <f>VLOOKUP(G2133,'languoid 4.0'!$A$1:$I$24439,6,FALSE)</f>
        <v>language</v>
      </c>
      <c r="J2133" s="15" t="s">
        <v>38</v>
      </c>
      <c r="K2133" s="15" t="s">
        <v>38</v>
      </c>
      <c r="L2133" s="15" t="s">
        <v>38</v>
      </c>
      <c r="M2133" s="1"/>
      <c r="N2133" s="1" t="s">
        <v>706</v>
      </c>
      <c r="O2133" s="15" t="s">
        <v>40</v>
      </c>
      <c r="P2133" s="15" t="s">
        <v>41</v>
      </c>
      <c r="Q2133" s="1" t="s">
        <v>9952</v>
      </c>
      <c r="R2133" s="2" t="s">
        <v>4512</v>
      </c>
      <c r="S2133" s="1" t="s">
        <v>46</v>
      </c>
      <c r="T2133" s="1" t="s">
        <v>635</v>
      </c>
      <c r="U2133" s="1" t="s">
        <v>9962</v>
      </c>
      <c r="V2133" s="1" t="s">
        <v>45</v>
      </c>
      <c r="W2133" s="1"/>
      <c r="X2133" s="1"/>
      <c r="Y2133" s="1"/>
      <c r="Z2133" s="1" t="s">
        <v>673</v>
      </c>
      <c r="AA2133" s="1" t="s">
        <v>9963</v>
      </c>
      <c r="AB2133" s="1" t="s">
        <v>9964</v>
      </c>
      <c r="AC2133" s="1" t="s">
        <v>46</v>
      </c>
      <c r="AD2133" s="1"/>
      <c r="AE2133" s="1"/>
      <c r="AF2133" s="1"/>
      <c r="AG2133" s="1"/>
      <c r="AH2133" s="1" t="s">
        <v>45</v>
      </c>
      <c r="AI2133" s="1"/>
      <c r="AJ2133" s="1" t="s">
        <v>9965</v>
      </c>
      <c r="AK2133" s="1" t="s">
        <v>9537</v>
      </c>
    </row>
    <row r="2134" spans="1:37">
      <c r="A2134" s="1" t="e">
        <f>VLOOKUP(H2134,Languages!$A$2:$B$430,2,FALSE)</f>
        <v>#N/A</v>
      </c>
      <c r="B2134" s="1" t="s">
        <v>1738</v>
      </c>
      <c r="C2134" s="1" t="s">
        <v>1012</v>
      </c>
      <c r="D2134" s="1" t="s">
        <v>9983</v>
      </c>
      <c r="E2134" s="15" t="s">
        <v>51</v>
      </c>
      <c r="F2134" s="15" t="s">
        <v>51</v>
      </c>
      <c r="G2134" s="1" t="s">
        <v>51</v>
      </c>
      <c r="H2134" s="1" t="e">
        <f>VLOOKUP(G2134,'languoid 4.0'!$A$1:$I$24439,2,FALSE)</f>
        <v>#N/A</v>
      </c>
      <c r="I2134" s="1" t="e">
        <f>VLOOKUP(G2134,'languoid 4.0'!$A$1:$I$24439,6,FALSE)</f>
        <v>#N/A</v>
      </c>
      <c r="J2134" s="15" t="s">
        <v>51</v>
      </c>
      <c r="K2134" s="15" t="s">
        <v>51</v>
      </c>
      <c r="L2134" s="15" t="s">
        <v>51</v>
      </c>
      <c r="M2134" s="1"/>
      <c r="N2134" s="1" t="e">
        <v>#N/A</v>
      </c>
      <c r="O2134" s="15" t="s">
        <v>690</v>
      </c>
      <c r="P2134" s="15"/>
      <c r="Q2134" s="1" t="s">
        <v>9984</v>
      </c>
      <c r="R2134" s="2" t="s">
        <v>9985</v>
      </c>
      <c r="S2134" s="1" t="s">
        <v>138</v>
      </c>
      <c r="T2134" s="1" t="s">
        <v>8277</v>
      </c>
      <c r="U2134" s="1" t="s">
        <v>636</v>
      </c>
      <c r="V2134" s="1" t="s">
        <v>45</v>
      </c>
      <c r="W2134" s="1"/>
      <c r="X2134" s="1"/>
      <c r="Y2134" s="1"/>
      <c r="Z2134" s="1" t="s">
        <v>673</v>
      </c>
      <c r="AA2134" s="1" t="s">
        <v>46</v>
      </c>
      <c r="AB2134" s="1" t="s">
        <v>9986</v>
      </c>
      <c r="AC2134" s="1" t="s">
        <v>46</v>
      </c>
      <c r="AD2134" s="1" t="s">
        <v>9987</v>
      </c>
      <c r="AE2134" s="1" t="s">
        <v>641</v>
      </c>
      <c r="AF2134" s="1" t="s">
        <v>190</v>
      </c>
      <c r="AG2134" s="1">
        <v>6</v>
      </c>
      <c r="AH2134" s="1" t="s">
        <v>190</v>
      </c>
      <c r="AI2134" s="1"/>
      <c r="AJ2134" s="1" t="s">
        <v>9988</v>
      </c>
      <c r="AK2134" s="1" t="s">
        <v>9595</v>
      </c>
    </row>
    <row r="2135" spans="1:37">
      <c r="A2135" s="1" t="e">
        <f>VLOOKUP(H2135,Languages!$A$2:$B$430,2,FALSE)</f>
        <v>#N/A</v>
      </c>
      <c r="B2135" s="1" t="s">
        <v>1738</v>
      </c>
      <c r="C2135" s="1" t="s">
        <v>1012</v>
      </c>
      <c r="D2135" s="1" t="s">
        <v>9989</v>
      </c>
      <c r="E2135" s="15" t="s">
        <v>51</v>
      </c>
      <c r="F2135" s="15" t="s">
        <v>51</v>
      </c>
      <c r="G2135" s="1" t="s">
        <v>51</v>
      </c>
      <c r="H2135" s="1" t="e">
        <f>VLOOKUP(G2135,'languoid 4.0'!$A$1:$I$24439,2,FALSE)</f>
        <v>#N/A</v>
      </c>
      <c r="I2135" s="1" t="e">
        <f>VLOOKUP(G2135,'languoid 4.0'!$A$1:$I$24439,6,FALSE)</f>
        <v>#N/A</v>
      </c>
      <c r="J2135" s="15" t="s">
        <v>51</v>
      </c>
      <c r="K2135" s="15" t="s">
        <v>51</v>
      </c>
      <c r="L2135" s="15" t="s">
        <v>51</v>
      </c>
      <c r="M2135" s="1"/>
      <c r="N2135" s="1" t="e">
        <v>#N/A</v>
      </c>
      <c r="O2135" s="15" t="s">
        <v>690</v>
      </c>
      <c r="P2135" s="15"/>
      <c r="Q2135" s="1" t="s">
        <v>1036</v>
      </c>
      <c r="R2135" s="2" t="s">
        <v>9985</v>
      </c>
      <c r="S2135" s="1" t="s">
        <v>323</v>
      </c>
      <c r="T2135" s="1" t="s">
        <v>8277</v>
      </c>
      <c r="U2135" s="1" t="s">
        <v>1897</v>
      </c>
      <c r="V2135" s="1" t="s">
        <v>45</v>
      </c>
      <c r="W2135" s="1"/>
      <c r="X2135" s="1"/>
      <c r="Y2135" s="1"/>
      <c r="Z2135" s="1" t="s">
        <v>637</v>
      </c>
      <c r="AA2135" s="1" t="s">
        <v>9990</v>
      </c>
      <c r="AB2135" s="1" t="s">
        <v>9991</v>
      </c>
      <c r="AC2135" s="1" t="s">
        <v>46</v>
      </c>
      <c r="AD2135" s="1" t="s">
        <v>9992</v>
      </c>
      <c r="AE2135" s="1" t="s">
        <v>641</v>
      </c>
      <c r="AF2135" s="1" t="s">
        <v>190</v>
      </c>
      <c r="AG2135" s="1">
        <v>6</v>
      </c>
      <c r="AH2135" s="1" t="s">
        <v>190</v>
      </c>
      <c r="AI2135" s="1"/>
      <c r="AJ2135" s="1" t="s">
        <v>9993</v>
      </c>
      <c r="AK2135" s="1" t="s">
        <v>9595</v>
      </c>
    </row>
    <row r="2136" spans="1:37">
      <c r="A2136" s="1" t="e">
        <f>VLOOKUP(H2136,Languages!$A$2:$B$430,2,FALSE)</f>
        <v>#N/A</v>
      </c>
      <c r="B2136" s="1" t="s">
        <v>1738</v>
      </c>
      <c r="C2136" s="1" t="s">
        <v>267</v>
      </c>
      <c r="D2136" s="1" t="s">
        <v>8246</v>
      </c>
      <c r="E2136" s="15" t="s">
        <v>5911</v>
      </c>
      <c r="F2136" s="15" t="s">
        <v>5911</v>
      </c>
      <c r="G2136" s="1" t="s">
        <v>5911</v>
      </c>
      <c r="H2136" s="1">
        <f>VLOOKUP(G2136,'languoid 4.0'!$A$1:$I$24439,2,FALSE)</f>
        <v>0</v>
      </c>
      <c r="I2136" s="1" t="str">
        <f>VLOOKUP(G2136,'languoid 4.0'!$A$1:$I$24439,6,FALSE)</f>
        <v>family</v>
      </c>
      <c r="J2136" s="15" t="s">
        <v>38</v>
      </c>
      <c r="K2136" s="15" t="s">
        <v>38</v>
      </c>
      <c r="L2136" s="15" t="s">
        <v>38</v>
      </c>
      <c r="M2136" s="1"/>
      <c r="N2136" s="1"/>
      <c r="O2136" s="15" t="s">
        <v>113</v>
      </c>
      <c r="P2136" s="15" t="s">
        <v>41</v>
      </c>
      <c r="Q2136" s="1" t="s">
        <v>8256</v>
      </c>
      <c r="R2136" s="2" t="s">
        <v>8257</v>
      </c>
      <c r="S2136" s="1">
        <v>2</v>
      </c>
      <c r="T2136" s="1" t="s">
        <v>8249</v>
      </c>
      <c r="U2136" s="1" t="s">
        <v>8258</v>
      </c>
      <c r="V2136" s="1" t="s">
        <v>45</v>
      </c>
      <c r="W2136" s="1"/>
      <c r="X2136" s="1"/>
      <c r="Y2136" s="1"/>
      <c r="Z2136" s="1" t="s">
        <v>673</v>
      </c>
      <c r="AA2136" s="1" t="s">
        <v>46</v>
      </c>
      <c r="AB2136" s="1" t="s">
        <v>8259</v>
      </c>
      <c r="AC2136" s="1" t="s">
        <v>46</v>
      </c>
      <c r="AD2136" s="1"/>
      <c r="AE2136" s="1" t="s">
        <v>641</v>
      </c>
      <c r="AF2136" s="1" t="s">
        <v>190</v>
      </c>
      <c r="AG2136" s="1">
        <v>6</v>
      </c>
      <c r="AH2136" s="1" t="s">
        <v>190</v>
      </c>
      <c r="AI2136" s="1"/>
      <c r="AJ2136" s="1" t="s">
        <v>8260</v>
      </c>
      <c r="AK2136" s="1" t="s">
        <v>5908</v>
      </c>
    </row>
    <row r="2137" spans="1:37">
      <c r="A2137" s="1" t="e">
        <f>VLOOKUP(H2137,Languages!$A$2:$B$430,2,FALSE)</f>
        <v>#N/A</v>
      </c>
      <c r="B2137" s="1" t="s">
        <v>1738</v>
      </c>
      <c r="C2137" s="1" t="s">
        <v>108</v>
      </c>
      <c r="D2137" s="1" t="s">
        <v>6587</v>
      </c>
      <c r="E2137" s="15" t="s">
        <v>3324</v>
      </c>
      <c r="F2137" s="15" t="s">
        <v>51</v>
      </c>
      <c r="G2137" s="1" t="s">
        <v>3164</v>
      </c>
      <c r="H2137" s="1">
        <f>VLOOKUP(G2137,'languoid 4.0'!$A$1:$I$24439,2,FALSE)</f>
        <v>0</v>
      </c>
      <c r="I2137" s="1" t="str">
        <f>VLOOKUP(G2137,'languoid 4.0'!$A$1:$I$24439,6,FALSE)</f>
        <v>family</v>
      </c>
      <c r="J2137" s="15" t="s">
        <v>52</v>
      </c>
      <c r="K2137" s="15" t="s">
        <v>51</v>
      </c>
      <c r="L2137" s="15" t="s">
        <v>51</v>
      </c>
      <c r="M2137" s="1"/>
      <c r="N2137" s="1" t="s">
        <v>3325</v>
      </c>
      <c r="O2137" s="15" t="s">
        <v>113</v>
      </c>
      <c r="P2137" s="15" t="s">
        <v>632</v>
      </c>
      <c r="Q2137" s="1" t="s">
        <v>6588</v>
      </c>
      <c r="R2137" s="2" t="s">
        <v>6589</v>
      </c>
      <c r="S2137" s="1" t="s">
        <v>46</v>
      </c>
      <c r="T2137" s="1" t="s">
        <v>635</v>
      </c>
      <c r="U2137" s="1" t="s">
        <v>6590</v>
      </c>
      <c r="V2137" s="1" t="s">
        <v>45</v>
      </c>
      <c r="W2137" s="1"/>
      <c r="X2137" s="1"/>
      <c r="Y2137" s="1"/>
      <c r="Z2137" s="1" t="s">
        <v>658</v>
      </c>
      <c r="AA2137" s="1" t="s">
        <v>1036</v>
      </c>
      <c r="AB2137" s="1" t="s">
        <v>6591</v>
      </c>
      <c r="AC2137" s="1" t="s">
        <v>46</v>
      </c>
      <c r="AD2137" s="1"/>
      <c r="AE2137" s="1" t="s">
        <v>641</v>
      </c>
      <c r="AF2137" s="1" t="s">
        <v>190</v>
      </c>
      <c r="AG2137" s="1">
        <v>2</v>
      </c>
      <c r="AH2137" s="1" t="s">
        <v>190</v>
      </c>
      <c r="AI2137" s="1"/>
      <c r="AJ2137" s="1" t="s">
        <v>6592</v>
      </c>
      <c r="AK2137" s="1" t="s">
        <v>5723</v>
      </c>
    </row>
    <row r="2138" spans="1:37">
      <c r="A2138" s="1" t="e">
        <f>VLOOKUP(H2138,Languages!$A$2:$B$430,2,FALSE)</f>
        <v>#N/A</v>
      </c>
      <c r="B2138" s="1" t="s">
        <v>1738</v>
      </c>
      <c r="C2138" s="1" t="s">
        <v>304</v>
      </c>
      <c r="D2138" s="1" t="s">
        <v>606</v>
      </c>
      <c r="E2138" s="15" t="s">
        <v>607</v>
      </c>
      <c r="F2138" s="15" t="s">
        <v>607</v>
      </c>
      <c r="G2138" s="1" t="s">
        <v>607</v>
      </c>
      <c r="H2138" s="1">
        <f>VLOOKUP(G2138,'languoid 4.0'!$A$1:$I$24439,2,FALSE)</f>
        <v>0</v>
      </c>
      <c r="I2138" s="1" t="str">
        <f>VLOOKUP(G2138,'languoid 4.0'!$A$1:$I$24439,6,FALSE)</f>
        <v>family</v>
      </c>
      <c r="J2138" s="15" t="s">
        <v>38</v>
      </c>
      <c r="K2138" s="15" t="s">
        <v>38</v>
      </c>
      <c r="L2138" s="15" t="s">
        <v>38</v>
      </c>
      <c r="M2138" s="1"/>
      <c r="N2138" s="1" t="s">
        <v>608</v>
      </c>
      <c r="O2138" s="15" t="s">
        <v>113</v>
      </c>
      <c r="P2138" s="15" t="s">
        <v>41</v>
      </c>
      <c r="Q2138" s="1" t="s">
        <v>8085</v>
      </c>
      <c r="R2138" s="2" t="s">
        <v>8086</v>
      </c>
      <c r="S2138" s="1" t="s">
        <v>6538</v>
      </c>
      <c r="T2138" s="1" t="s">
        <v>657</v>
      </c>
      <c r="U2138" s="1" t="s">
        <v>636</v>
      </c>
      <c r="V2138" s="1" t="s">
        <v>45</v>
      </c>
      <c r="W2138" s="1"/>
      <c r="X2138" s="1"/>
      <c r="Y2138" s="1"/>
      <c r="Z2138" s="1" t="s">
        <v>658</v>
      </c>
      <c r="AA2138" s="1" t="s">
        <v>46</v>
      </c>
      <c r="AB2138" s="1" t="s">
        <v>46</v>
      </c>
      <c r="AC2138" s="1" t="s">
        <v>46</v>
      </c>
      <c r="AD2138" s="1"/>
      <c r="AE2138" s="1" t="s">
        <v>641</v>
      </c>
      <c r="AF2138" s="1" t="s">
        <v>45</v>
      </c>
      <c r="AG2138" s="1">
        <v>6</v>
      </c>
      <c r="AH2138" s="1" t="s">
        <v>190</v>
      </c>
      <c r="AI2138" s="1"/>
      <c r="AJ2138" s="1" t="s">
        <v>8087</v>
      </c>
      <c r="AK2138" s="1" t="s">
        <v>6441</v>
      </c>
    </row>
    <row r="2139" spans="1:37">
      <c r="A2139" s="1" t="e">
        <f>VLOOKUP(H2139,Languages!$A$2:$B$430,2,FALSE)</f>
        <v>#N/A</v>
      </c>
      <c r="B2139" s="1" t="s">
        <v>1738</v>
      </c>
      <c r="C2139" s="1" t="s">
        <v>124</v>
      </c>
      <c r="D2139" s="1" t="s">
        <v>7940</v>
      </c>
      <c r="E2139" s="15" t="s">
        <v>51</v>
      </c>
      <c r="F2139" s="15" t="s">
        <v>51</v>
      </c>
      <c r="G2139" s="1" t="s">
        <v>7926</v>
      </c>
      <c r="H2139" s="1">
        <f>VLOOKUP(G2139,'languoid 4.0'!$A$1:$I$24439,2,FALSE)</f>
        <v>0</v>
      </c>
      <c r="I2139" s="1" t="str">
        <f>VLOOKUP(G2139,'languoid 4.0'!$A$1:$I$24439,6,FALSE)</f>
        <v>language</v>
      </c>
      <c r="J2139" s="15" t="s">
        <v>51</v>
      </c>
      <c r="K2139" s="15" t="s">
        <v>51</v>
      </c>
      <c r="L2139" s="15" t="s">
        <v>51</v>
      </c>
      <c r="M2139" s="1" t="s">
        <v>7941</v>
      </c>
      <c r="N2139" s="1" t="e">
        <v>#N/A</v>
      </c>
      <c r="O2139" s="15" t="s">
        <v>690</v>
      </c>
      <c r="P2139" s="15"/>
      <c r="Q2139" s="1" t="s">
        <v>7942</v>
      </c>
      <c r="R2139" s="2" t="s">
        <v>7943</v>
      </c>
      <c r="S2139" s="1" t="s">
        <v>46</v>
      </c>
      <c r="T2139" s="1" t="s">
        <v>822</v>
      </c>
      <c r="U2139" s="1" t="s">
        <v>636</v>
      </c>
      <c r="V2139" s="1" t="s">
        <v>45</v>
      </c>
      <c r="W2139" s="1"/>
      <c r="X2139" s="1"/>
      <c r="Y2139" s="1"/>
      <c r="Z2139" s="1" t="s">
        <v>637</v>
      </c>
      <c r="AA2139" s="1" t="s">
        <v>7944</v>
      </c>
      <c r="AB2139" s="1" t="s">
        <v>7945</v>
      </c>
      <c r="AC2139" s="1" t="s">
        <v>46</v>
      </c>
      <c r="AD2139" s="1"/>
      <c r="AE2139" s="1" t="s">
        <v>641</v>
      </c>
      <c r="AF2139" s="1" t="s">
        <v>45</v>
      </c>
      <c r="AG2139" s="1">
        <v>1</v>
      </c>
      <c r="AH2139" s="1" t="s">
        <v>190</v>
      </c>
      <c r="AI2139" s="1"/>
      <c r="AJ2139" s="1" t="s">
        <v>7946</v>
      </c>
      <c r="AK2139" s="1" t="s">
        <v>4945</v>
      </c>
    </row>
    <row r="2140" spans="1:37">
      <c r="A2140" s="1" t="e">
        <f>VLOOKUP(H2140,Languages!$A$2:$B$430,2,FALSE)</f>
        <v>#N/A</v>
      </c>
      <c r="B2140" s="1" t="s">
        <v>1738</v>
      </c>
      <c r="C2140" s="1" t="s">
        <v>124</v>
      </c>
      <c r="D2140" s="1" t="s">
        <v>7925</v>
      </c>
      <c r="E2140" s="15" t="s">
        <v>7926</v>
      </c>
      <c r="F2140" s="15" t="s">
        <v>51</v>
      </c>
      <c r="G2140" s="1" t="s">
        <v>7926</v>
      </c>
      <c r="H2140" s="1">
        <f>VLOOKUP(G2140,'languoid 4.0'!$A$1:$I$24439,2,FALSE)</f>
        <v>0</v>
      </c>
      <c r="I2140" s="1" t="str">
        <f>VLOOKUP(G2140,'languoid 4.0'!$A$1:$I$24439,6,FALSE)</f>
        <v>language</v>
      </c>
      <c r="J2140" s="15" t="s">
        <v>52</v>
      </c>
      <c r="K2140" s="15" t="s">
        <v>51</v>
      </c>
      <c r="L2140" s="15" t="s">
        <v>51</v>
      </c>
      <c r="M2140" s="1"/>
      <c r="N2140" s="1" t="s">
        <v>7927</v>
      </c>
      <c r="O2140" s="15" t="s">
        <v>40</v>
      </c>
      <c r="P2140" s="15" t="s">
        <v>41</v>
      </c>
      <c r="Q2140" s="1" t="s">
        <v>8032</v>
      </c>
      <c r="R2140" s="2" t="s">
        <v>8033</v>
      </c>
      <c r="S2140" s="1" t="s">
        <v>46</v>
      </c>
      <c r="T2140" s="1" t="s">
        <v>822</v>
      </c>
      <c r="U2140" s="1" t="s">
        <v>636</v>
      </c>
      <c r="V2140" s="1" t="s">
        <v>45</v>
      </c>
      <c r="W2140" s="1"/>
      <c r="X2140" s="1"/>
      <c r="Y2140" s="1"/>
      <c r="Z2140" s="1" t="s">
        <v>673</v>
      </c>
      <c r="AA2140" s="1" t="s">
        <v>8034</v>
      </c>
      <c r="AB2140" s="1" t="s">
        <v>8035</v>
      </c>
      <c r="AC2140" s="1" t="s">
        <v>46</v>
      </c>
      <c r="AD2140" s="1"/>
      <c r="AE2140" s="1" t="s">
        <v>641</v>
      </c>
      <c r="AF2140" s="1" t="s">
        <v>45</v>
      </c>
      <c r="AG2140" s="1">
        <v>1</v>
      </c>
      <c r="AH2140" s="1" t="s">
        <v>190</v>
      </c>
      <c r="AI2140" s="1"/>
      <c r="AJ2140" s="1" t="s">
        <v>8036</v>
      </c>
      <c r="AK2140" s="1" t="s">
        <v>4945</v>
      </c>
    </row>
    <row r="2141" spans="1:37">
      <c r="A2141" s="1" t="e">
        <f>VLOOKUP(H2141,Languages!$A$2:$B$430,2,FALSE)</f>
        <v>#N/A</v>
      </c>
      <c r="B2141" s="1" t="s">
        <v>1738</v>
      </c>
      <c r="C2141" s="1" t="s">
        <v>117</v>
      </c>
      <c r="D2141" s="1" t="s">
        <v>5056</v>
      </c>
      <c r="E2141" s="15" t="s">
        <v>5057</v>
      </c>
      <c r="F2141" s="15" t="s">
        <v>5058</v>
      </c>
      <c r="G2141" s="1" t="s">
        <v>5058</v>
      </c>
      <c r="H2141" s="1">
        <f>VLOOKUP(G2141,'languoid 4.0'!$A$1:$I$24439,2,FALSE)</f>
        <v>0</v>
      </c>
      <c r="I2141" s="1" t="str">
        <f>VLOOKUP(G2141,'languoid 4.0'!$A$1:$I$24439,6,FALSE)</f>
        <v>family</v>
      </c>
      <c r="J2141" s="15" t="s">
        <v>52</v>
      </c>
      <c r="K2141" s="15" t="s">
        <v>368</v>
      </c>
      <c r="L2141" s="15" t="s">
        <v>38</v>
      </c>
      <c r="M2141" s="1"/>
      <c r="N2141" s="1"/>
      <c r="O2141" s="15" t="s">
        <v>113</v>
      </c>
      <c r="P2141" s="15" t="s">
        <v>41</v>
      </c>
      <c r="Q2141" s="1" t="s">
        <v>5059</v>
      </c>
      <c r="R2141" s="2" t="s">
        <v>5060</v>
      </c>
      <c r="S2141" s="1" t="s">
        <v>323</v>
      </c>
      <c r="T2141" s="1" t="s">
        <v>657</v>
      </c>
      <c r="U2141" s="1" t="s">
        <v>1897</v>
      </c>
      <c r="V2141" s="1" t="s">
        <v>45</v>
      </c>
      <c r="W2141" s="1"/>
      <c r="X2141" s="1"/>
      <c r="Y2141" s="1"/>
      <c r="Z2141" s="1" t="s">
        <v>637</v>
      </c>
      <c r="AA2141" s="1" t="s">
        <v>5061</v>
      </c>
      <c r="AB2141" s="1" t="s">
        <v>5062</v>
      </c>
      <c r="AC2141" s="1" t="s">
        <v>46</v>
      </c>
      <c r="AD2141" s="1" t="s">
        <v>5063</v>
      </c>
      <c r="AE2141" s="1" t="s">
        <v>641</v>
      </c>
      <c r="AF2141" s="1" t="s">
        <v>190</v>
      </c>
      <c r="AG2141" s="1">
        <v>6</v>
      </c>
      <c r="AH2141" s="1" t="s">
        <v>190</v>
      </c>
      <c r="AI2141" s="1" t="s">
        <v>5064</v>
      </c>
      <c r="AJ2141" s="1" t="s">
        <v>5065</v>
      </c>
      <c r="AK2141" s="1" t="s">
        <v>4268</v>
      </c>
    </row>
    <row r="2142" spans="1:37">
      <c r="A2142" s="1" t="e">
        <f>VLOOKUP(H2142,Languages!$A$2:$B$430,2,FALSE)</f>
        <v>#N/A</v>
      </c>
      <c r="B2142" s="1" t="s">
        <v>1738</v>
      </c>
      <c r="C2142" s="1" t="s">
        <v>206</v>
      </c>
      <c r="D2142" s="1" t="s">
        <v>392</v>
      </c>
      <c r="E2142" s="15" t="s">
        <v>393</v>
      </c>
      <c r="F2142" s="15" t="s">
        <v>393</v>
      </c>
      <c r="G2142" s="1" t="s">
        <v>393</v>
      </c>
      <c r="H2142" s="1">
        <f>VLOOKUP(G2142,'languoid 4.0'!$A$1:$I$24439,2,FALSE)</f>
        <v>0</v>
      </c>
      <c r="I2142" s="1" t="str">
        <f>VLOOKUP(G2142,'languoid 4.0'!$A$1:$I$24439,6,FALSE)</f>
        <v>family</v>
      </c>
      <c r="J2142" s="15" t="s">
        <v>38</v>
      </c>
      <c r="K2142" s="15" t="s">
        <v>38</v>
      </c>
      <c r="L2142" s="15" t="s">
        <v>38</v>
      </c>
      <c r="M2142" s="1"/>
      <c r="N2142" s="1"/>
      <c r="O2142" s="15" t="s">
        <v>113</v>
      </c>
      <c r="P2142" s="15" t="s">
        <v>41</v>
      </c>
      <c r="Q2142" s="1" t="s">
        <v>10496</v>
      </c>
      <c r="R2142" s="2" t="s">
        <v>10497</v>
      </c>
      <c r="S2142" s="1" t="s">
        <v>9034</v>
      </c>
      <c r="T2142" s="1" t="s">
        <v>657</v>
      </c>
      <c r="U2142" s="1" t="s">
        <v>10498</v>
      </c>
      <c r="V2142" s="1" t="s">
        <v>45</v>
      </c>
      <c r="W2142" s="1"/>
      <c r="X2142" s="1"/>
      <c r="Y2142" s="1"/>
      <c r="Z2142" s="1" t="s">
        <v>637</v>
      </c>
      <c r="AA2142" s="1" t="s">
        <v>10499</v>
      </c>
      <c r="AB2142" s="1" t="s">
        <v>46</v>
      </c>
      <c r="AC2142" s="1" t="s">
        <v>46</v>
      </c>
      <c r="AD2142" s="1"/>
      <c r="AE2142" s="1" t="s">
        <v>641</v>
      </c>
      <c r="AF2142" s="1" t="s">
        <v>190</v>
      </c>
      <c r="AG2142" s="1">
        <v>6</v>
      </c>
      <c r="AH2142" s="1" t="s">
        <v>190</v>
      </c>
      <c r="AI2142" s="1"/>
      <c r="AJ2142" s="1" t="s">
        <v>10500</v>
      </c>
      <c r="AK2142" s="1" t="s">
        <v>8686</v>
      </c>
    </row>
    <row r="2143" spans="1:37">
      <c r="A2143" s="1" t="e">
        <f>VLOOKUP(H2143,Languages!$A$2:$B$430,2,FALSE)</f>
        <v>#N/A</v>
      </c>
      <c r="B2143" s="1" t="s">
        <v>1738</v>
      </c>
      <c r="C2143" s="1" t="s">
        <v>206</v>
      </c>
      <c r="D2143" s="1" t="s">
        <v>392</v>
      </c>
      <c r="E2143" s="15" t="s">
        <v>393</v>
      </c>
      <c r="F2143" s="15" t="s">
        <v>393</v>
      </c>
      <c r="G2143" s="1" t="s">
        <v>393</v>
      </c>
      <c r="H2143" s="1">
        <f>VLOOKUP(G2143,'languoid 4.0'!$A$1:$I$24439,2,FALSE)</f>
        <v>0</v>
      </c>
      <c r="I2143" s="1" t="str">
        <f>VLOOKUP(G2143,'languoid 4.0'!$A$1:$I$24439,6,FALSE)</f>
        <v>family</v>
      </c>
      <c r="J2143" s="15" t="s">
        <v>38</v>
      </c>
      <c r="K2143" s="15" t="s">
        <v>38</v>
      </c>
      <c r="L2143" s="15" t="s">
        <v>38</v>
      </c>
      <c r="M2143" s="1"/>
      <c r="N2143" s="1"/>
      <c r="O2143" s="15" t="s">
        <v>113</v>
      </c>
      <c r="P2143" s="15" t="s">
        <v>41</v>
      </c>
      <c r="Q2143" s="1" t="s">
        <v>10756</v>
      </c>
      <c r="R2143" s="2" t="s">
        <v>10757</v>
      </c>
      <c r="S2143" s="1" t="s">
        <v>647</v>
      </c>
      <c r="T2143" s="1" t="s">
        <v>657</v>
      </c>
      <c r="U2143" s="1" t="s">
        <v>10758</v>
      </c>
      <c r="V2143" s="1" t="s">
        <v>45</v>
      </c>
      <c r="W2143" s="1"/>
      <c r="X2143" s="1"/>
      <c r="Y2143" s="1"/>
      <c r="Z2143" s="1" t="s">
        <v>673</v>
      </c>
      <c r="AA2143" s="1" t="s">
        <v>46</v>
      </c>
      <c r="AB2143" s="1" t="s">
        <v>10759</v>
      </c>
      <c r="AC2143" s="1" t="s">
        <v>46</v>
      </c>
      <c r="AD2143" s="1"/>
      <c r="AE2143" s="1" t="s">
        <v>641</v>
      </c>
      <c r="AF2143" s="1" t="s">
        <v>190</v>
      </c>
      <c r="AG2143" s="1">
        <v>5</v>
      </c>
      <c r="AH2143" s="1" t="s">
        <v>190</v>
      </c>
      <c r="AI2143" s="1" t="s">
        <v>10760</v>
      </c>
      <c r="AJ2143" s="3">
        <v>43263.791180555556</v>
      </c>
      <c r="AK2143" s="1" t="s">
        <v>8686</v>
      </c>
    </row>
    <row r="2144" spans="1:37">
      <c r="A2144" s="1" t="e">
        <f>VLOOKUP(H2144,Languages!$A$2:$B$430,2,FALSE)</f>
        <v>#N/A</v>
      </c>
      <c r="B2144" s="1" t="s">
        <v>1738</v>
      </c>
      <c r="C2144" s="1" t="s">
        <v>206</v>
      </c>
      <c r="D2144" s="1" t="s">
        <v>392</v>
      </c>
      <c r="E2144" s="15" t="s">
        <v>393</v>
      </c>
      <c r="F2144" s="15" t="s">
        <v>393</v>
      </c>
      <c r="G2144" s="1" t="s">
        <v>393</v>
      </c>
      <c r="H2144" s="1">
        <f>VLOOKUP(G2144,'languoid 4.0'!$A$1:$I$24439,2,FALSE)</f>
        <v>0</v>
      </c>
      <c r="I2144" s="1" t="str">
        <f>VLOOKUP(G2144,'languoid 4.0'!$A$1:$I$24439,6,FALSE)</f>
        <v>family</v>
      </c>
      <c r="J2144" s="15" t="s">
        <v>38</v>
      </c>
      <c r="K2144" s="15" t="s">
        <v>38</v>
      </c>
      <c r="L2144" s="15" t="s">
        <v>38</v>
      </c>
      <c r="M2144" s="1"/>
      <c r="N2144" s="1"/>
      <c r="O2144" s="15" t="s">
        <v>113</v>
      </c>
      <c r="P2144" s="15" t="s">
        <v>41</v>
      </c>
      <c r="Q2144" s="1" t="s">
        <v>10761</v>
      </c>
      <c r="R2144" s="2" t="s">
        <v>10762</v>
      </c>
      <c r="S2144" s="1" t="s">
        <v>683</v>
      </c>
      <c r="T2144" s="1" t="s">
        <v>657</v>
      </c>
      <c r="U2144" s="1" t="s">
        <v>10763</v>
      </c>
      <c r="V2144" s="1" t="s">
        <v>45</v>
      </c>
      <c r="W2144" s="1"/>
      <c r="X2144" s="1"/>
      <c r="Y2144" s="1"/>
      <c r="Z2144" s="1" t="s">
        <v>673</v>
      </c>
      <c r="AA2144" s="1" t="s">
        <v>46</v>
      </c>
      <c r="AB2144" s="1" t="s">
        <v>10764</v>
      </c>
      <c r="AC2144" s="1" t="s">
        <v>10764</v>
      </c>
      <c r="AD2144" s="1"/>
      <c r="AE2144" s="1" t="s">
        <v>641</v>
      </c>
      <c r="AF2144" s="1" t="s">
        <v>45</v>
      </c>
      <c r="AG2144" s="1">
        <v>5</v>
      </c>
      <c r="AH2144" s="1" t="s">
        <v>190</v>
      </c>
      <c r="AI2144" s="1" t="s">
        <v>10765</v>
      </c>
      <c r="AJ2144" s="3">
        <v>43263.799502314818</v>
      </c>
      <c r="AK2144" s="1" t="s">
        <v>8686</v>
      </c>
    </row>
    <row r="2145" spans="1:37">
      <c r="A2145" s="1" t="e">
        <f>VLOOKUP(H2145,Languages!$A$2:$B$430,2,FALSE)</f>
        <v>#N/A</v>
      </c>
      <c r="B2145" s="1" t="s">
        <v>1738</v>
      </c>
      <c r="C2145" s="1" t="s">
        <v>206</v>
      </c>
      <c r="D2145" s="1" t="s">
        <v>392</v>
      </c>
      <c r="E2145" s="15" t="s">
        <v>393</v>
      </c>
      <c r="F2145" s="15" t="s">
        <v>393</v>
      </c>
      <c r="G2145" s="1" t="s">
        <v>393</v>
      </c>
      <c r="H2145" s="1">
        <f>VLOOKUP(G2145,'languoid 4.0'!$A$1:$I$24439,2,FALSE)</f>
        <v>0</v>
      </c>
      <c r="I2145" s="1" t="str">
        <f>VLOOKUP(G2145,'languoid 4.0'!$A$1:$I$24439,6,FALSE)</f>
        <v>family</v>
      </c>
      <c r="J2145" s="15" t="s">
        <v>38</v>
      </c>
      <c r="K2145" s="15" t="s">
        <v>38</v>
      </c>
      <c r="L2145" s="15" t="s">
        <v>38</v>
      </c>
      <c r="M2145" s="1"/>
      <c r="N2145" s="1"/>
      <c r="O2145" s="15" t="s">
        <v>113</v>
      </c>
      <c r="P2145" s="15" t="s">
        <v>41</v>
      </c>
      <c r="Q2145" s="1" t="s">
        <v>394</v>
      </c>
      <c r="R2145" s="2" t="s">
        <v>10762</v>
      </c>
      <c r="S2145" s="1" t="s">
        <v>683</v>
      </c>
      <c r="T2145" s="1" t="s">
        <v>657</v>
      </c>
      <c r="U2145" s="1" t="s">
        <v>10766</v>
      </c>
      <c r="V2145" s="1" t="s">
        <v>45</v>
      </c>
      <c r="W2145" s="1"/>
      <c r="X2145" s="1"/>
      <c r="Y2145" s="1"/>
      <c r="Z2145" s="1" t="s">
        <v>673</v>
      </c>
      <c r="AA2145" s="1" t="s">
        <v>46</v>
      </c>
      <c r="AB2145" s="1" t="s">
        <v>10767</v>
      </c>
      <c r="AC2145" s="1" t="s">
        <v>46</v>
      </c>
      <c r="AD2145" s="1"/>
      <c r="AE2145" s="1" t="s">
        <v>641</v>
      </c>
      <c r="AF2145" s="1" t="s">
        <v>45</v>
      </c>
      <c r="AG2145" s="1">
        <v>5</v>
      </c>
      <c r="AH2145" s="1" t="s">
        <v>190</v>
      </c>
      <c r="AI2145" s="1" t="s">
        <v>10768</v>
      </c>
      <c r="AJ2145" s="3">
        <v>43263.80940972222</v>
      </c>
      <c r="AK2145" s="1" t="s">
        <v>8686</v>
      </c>
    </row>
    <row r="2146" spans="1:37">
      <c r="A2146" s="1" t="e">
        <f>VLOOKUP(H2146,Languages!$A$2:$B$430,2,FALSE)</f>
        <v>#N/A</v>
      </c>
      <c r="B2146" s="1" t="s">
        <v>1812</v>
      </c>
      <c r="C2146" s="1" t="s">
        <v>139</v>
      </c>
      <c r="D2146" s="1" t="s">
        <v>9075</v>
      </c>
      <c r="E2146" s="15" t="s">
        <v>141</v>
      </c>
      <c r="F2146" s="15" t="s">
        <v>141</v>
      </c>
      <c r="G2146" s="1" t="s">
        <v>141</v>
      </c>
      <c r="H2146" s="1">
        <f>VLOOKUP(G2146,'languoid 4.0'!$A$1:$I$24439,2,FALSE)</f>
        <v>0</v>
      </c>
      <c r="I2146" s="1" t="str">
        <f>VLOOKUP(G2146,'languoid 4.0'!$A$1:$I$24439,6,FALSE)</f>
        <v>family</v>
      </c>
      <c r="J2146" s="15" t="s">
        <v>38</v>
      </c>
      <c r="K2146" s="15" t="s">
        <v>38</v>
      </c>
      <c r="L2146" s="15" t="s">
        <v>38</v>
      </c>
      <c r="M2146" s="1"/>
      <c r="N2146" s="1"/>
      <c r="O2146" s="15" t="s">
        <v>113</v>
      </c>
      <c r="P2146" s="15" t="s">
        <v>41</v>
      </c>
      <c r="Q2146" s="1" t="s">
        <v>8707</v>
      </c>
      <c r="R2146" s="2" t="s">
        <v>9076</v>
      </c>
      <c r="S2146" s="1" t="s">
        <v>46</v>
      </c>
      <c r="T2146" s="1" t="s">
        <v>635</v>
      </c>
      <c r="U2146" s="1" t="s">
        <v>636</v>
      </c>
      <c r="V2146" s="1" t="s">
        <v>45</v>
      </c>
      <c r="W2146" s="1"/>
      <c r="X2146" s="1"/>
      <c r="Y2146" s="1"/>
      <c r="Z2146" s="1" t="s">
        <v>673</v>
      </c>
      <c r="AA2146" s="1" t="s">
        <v>46</v>
      </c>
      <c r="AB2146" s="1" t="s">
        <v>9077</v>
      </c>
      <c r="AC2146" s="1" t="s">
        <v>46</v>
      </c>
      <c r="AD2146" s="1" t="s">
        <v>46</v>
      </c>
      <c r="AE2146" s="1" t="s">
        <v>641</v>
      </c>
      <c r="AF2146" s="1" t="s">
        <v>190</v>
      </c>
      <c r="AG2146" s="1">
        <v>6</v>
      </c>
      <c r="AH2146" s="1" t="s">
        <v>190</v>
      </c>
      <c r="AI2146" s="1" t="s">
        <v>46</v>
      </c>
      <c r="AJ2146" s="1" t="s">
        <v>9078</v>
      </c>
      <c r="AK2146" s="1" t="s">
        <v>8645</v>
      </c>
    </row>
    <row r="2147" spans="1:37">
      <c r="A2147" s="1" t="e">
        <f>VLOOKUP(H2147,Languages!$A$2:$B$430,2,FALSE)</f>
        <v>#N/A</v>
      </c>
      <c r="B2147" s="1" t="s">
        <v>1812</v>
      </c>
      <c r="C2147" s="1" t="s">
        <v>139</v>
      </c>
      <c r="D2147" s="1" t="s">
        <v>392</v>
      </c>
      <c r="E2147" s="15" t="s">
        <v>393</v>
      </c>
      <c r="F2147" s="15" t="s">
        <v>393</v>
      </c>
      <c r="G2147" s="1" t="s">
        <v>393</v>
      </c>
      <c r="H2147" s="1">
        <f>VLOOKUP(G2147,'languoid 4.0'!$A$1:$I$24439,2,FALSE)</f>
        <v>0</v>
      </c>
      <c r="I2147" s="1" t="str">
        <f>VLOOKUP(G2147,'languoid 4.0'!$A$1:$I$24439,6,FALSE)</f>
        <v>family</v>
      </c>
      <c r="J2147" s="15" t="s">
        <v>38</v>
      </c>
      <c r="K2147" s="15" t="s">
        <v>38</v>
      </c>
      <c r="L2147" s="15" t="s">
        <v>38</v>
      </c>
      <c r="M2147" s="1"/>
      <c r="N2147" s="1"/>
      <c r="O2147" s="15" t="s">
        <v>113</v>
      </c>
      <c r="P2147" s="15" t="s">
        <v>41</v>
      </c>
      <c r="Q2147" s="1" t="s">
        <v>9364</v>
      </c>
      <c r="R2147" s="2" t="s">
        <v>9365</v>
      </c>
      <c r="S2147" s="1" t="s">
        <v>46</v>
      </c>
      <c r="T2147" s="1" t="s">
        <v>635</v>
      </c>
      <c r="U2147" s="1" t="s">
        <v>636</v>
      </c>
      <c r="V2147" s="1" t="s">
        <v>45</v>
      </c>
      <c r="W2147" s="1"/>
      <c r="X2147" s="1"/>
      <c r="Y2147" s="1"/>
      <c r="Z2147" s="1" t="s">
        <v>673</v>
      </c>
      <c r="AA2147" s="1" t="s">
        <v>46</v>
      </c>
      <c r="AB2147" s="1" t="s">
        <v>9366</v>
      </c>
      <c r="AC2147" s="1" t="s">
        <v>46</v>
      </c>
      <c r="AD2147" s="1" t="s">
        <v>46</v>
      </c>
      <c r="AE2147" s="1" t="s">
        <v>641</v>
      </c>
      <c r="AF2147" s="1" t="s">
        <v>190</v>
      </c>
      <c r="AG2147" s="1">
        <v>6</v>
      </c>
      <c r="AH2147" s="1" t="s">
        <v>190</v>
      </c>
      <c r="AI2147" s="1" t="s">
        <v>46</v>
      </c>
      <c r="AJ2147" s="1" t="s">
        <v>9367</v>
      </c>
      <c r="AK2147" s="1" t="s">
        <v>8645</v>
      </c>
    </row>
    <row r="2148" spans="1:37">
      <c r="A2148" s="1" t="e">
        <f>VLOOKUP(H2148,Languages!$A$2:$B$430,2,FALSE)</f>
        <v>#N/A</v>
      </c>
      <c r="B2148" s="1" t="s">
        <v>1812</v>
      </c>
      <c r="C2148" s="1" t="s">
        <v>139</v>
      </c>
      <c r="D2148" s="1" t="s">
        <v>9075</v>
      </c>
      <c r="E2148" s="15" t="s">
        <v>141</v>
      </c>
      <c r="F2148" s="15" t="s">
        <v>141</v>
      </c>
      <c r="G2148" s="1" t="s">
        <v>141</v>
      </c>
      <c r="H2148" s="1">
        <f>VLOOKUP(G2148,'languoid 4.0'!$A$1:$I$24439,2,FALSE)</f>
        <v>0</v>
      </c>
      <c r="I2148" s="1" t="str">
        <f>VLOOKUP(G2148,'languoid 4.0'!$A$1:$I$24439,6,FALSE)</f>
        <v>family</v>
      </c>
      <c r="J2148" s="15" t="s">
        <v>38</v>
      </c>
      <c r="K2148" s="15" t="s">
        <v>38</v>
      </c>
      <c r="L2148" s="15" t="s">
        <v>38</v>
      </c>
      <c r="M2148" s="1"/>
      <c r="N2148" s="1"/>
      <c r="O2148" s="15" t="s">
        <v>113</v>
      </c>
      <c r="P2148" s="15" t="s">
        <v>41</v>
      </c>
      <c r="Q2148" s="1" t="s">
        <v>9501</v>
      </c>
      <c r="R2148" s="2" t="s">
        <v>9076</v>
      </c>
      <c r="S2148" s="1" t="s">
        <v>46</v>
      </c>
      <c r="T2148" s="1" t="s">
        <v>635</v>
      </c>
      <c r="U2148" s="1" t="s">
        <v>636</v>
      </c>
      <c r="V2148" s="1" t="s">
        <v>45</v>
      </c>
      <c r="W2148" s="1"/>
      <c r="X2148" s="1"/>
      <c r="Y2148" s="1"/>
      <c r="Z2148" s="1" t="s">
        <v>658</v>
      </c>
      <c r="AA2148" s="1" t="s">
        <v>9502</v>
      </c>
      <c r="AB2148" s="1" t="s">
        <v>46</v>
      </c>
      <c r="AC2148" s="1" t="s">
        <v>46</v>
      </c>
      <c r="AD2148" s="1"/>
      <c r="AE2148" s="1"/>
      <c r="AF2148" s="1"/>
      <c r="AG2148" s="1"/>
      <c r="AH2148" s="1" t="s">
        <v>45</v>
      </c>
      <c r="AI2148" s="1"/>
      <c r="AJ2148" s="3">
        <v>43291.520567129628</v>
      </c>
      <c r="AK2148" s="1" t="s">
        <v>8645</v>
      </c>
    </row>
    <row r="2149" spans="1:37">
      <c r="A2149" s="1" t="e">
        <f>VLOOKUP(H2149,Languages!$A$2:$B$430,2,FALSE)</f>
        <v>#N/A</v>
      </c>
      <c r="B2149" s="1" t="s">
        <v>1812</v>
      </c>
      <c r="C2149" s="1" t="s">
        <v>4965</v>
      </c>
      <c r="D2149" s="1" t="s">
        <v>7712</v>
      </c>
      <c r="E2149" s="15" t="s">
        <v>51</v>
      </c>
      <c r="F2149" s="15" t="s">
        <v>51</v>
      </c>
      <c r="G2149" s="1" t="s">
        <v>331</v>
      </c>
      <c r="H2149" s="1">
        <f>VLOOKUP(G2149,'languoid 4.0'!$A$1:$I$24439,2,FALSE)</f>
        <v>0</v>
      </c>
      <c r="I2149" s="1" t="str">
        <f>VLOOKUP(G2149,'languoid 4.0'!$A$1:$I$24439,6,FALSE)</f>
        <v>family</v>
      </c>
      <c r="J2149" s="15" t="s">
        <v>51</v>
      </c>
      <c r="K2149" s="15" t="s">
        <v>51</v>
      </c>
      <c r="L2149" s="15" t="s">
        <v>51</v>
      </c>
      <c r="M2149" s="1"/>
      <c r="N2149" s="1" t="e">
        <v>#N/A</v>
      </c>
      <c r="O2149" s="15" t="s">
        <v>690</v>
      </c>
      <c r="P2149" s="15"/>
      <c r="Q2149" s="1" t="s">
        <v>7713</v>
      </c>
      <c r="R2149" s="2" t="s">
        <v>7714</v>
      </c>
      <c r="S2149" s="1" t="s">
        <v>197</v>
      </c>
      <c r="T2149" s="1" t="s">
        <v>7402</v>
      </c>
      <c r="U2149" s="1" t="s">
        <v>636</v>
      </c>
      <c r="V2149" s="1" t="s">
        <v>45</v>
      </c>
      <c r="W2149" s="1"/>
      <c r="X2149" s="1"/>
      <c r="Y2149" s="1"/>
      <c r="Z2149" s="1" t="s">
        <v>673</v>
      </c>
      <c r="AA2149" s="1" t="s">
        <v>7715</v>
      </c>
      <c r="AB2149" s="1" t="s">
        <v>7716</v>
      </c>
      <c r="AC2149" s="1" t="s">
        <v>46</v>
      </c>
      <c r="AD2149" s="1" t="s">
        <v>7717</v>
      </c>
      <c r="AE2149" s="1" t="s">
        <v>641</v>
      </c>
      <c r="AF2149" s="1" t="s">
        <v>190</v>
      </c>
      <c r="AG2149" s="1">
        <v>5</v>
      </c>
      <c r="AH2149" s="1" t="s">
        <v>190</v>
      </c>
      <c r="AI2149" s="1"/>
      <c r="AJ2149" s="1" t="s">
        <v>7718</v>
      </c>
      <c r="AK2149" s="1" t="s">
        <v>4975</v>
      </c>
    </row>
    <row r="2150" spans="1:37">
      <c r="A2150" s="1" t="e">
        <f>VLOOKUP(H2150,Languages!$A$2:$B$430,2,FALSE)</f>
        <v>#N/A</v>
      </c>
      <c r="B2150" s="1" t="s">
        <v>1812</v>
      </c>
      <c r="C2150" s="1" t="s">
        <v>101</v>
      </c>
      <c r="D2150" s="1" t="s">
        <v>102</v>
      </c>
      <c r="E2150" s="15" t="s">
        <v>103</v>
      </c>
      <c r="F2150" s="15" t="s">
        <v>103</v>
      </c>
      <c r="G2150" s="1" t="s">
        <v>103</v>
      </c>
      <c r="H2150" s="1">
        <f>VLOOKUP(G2150,'languoid 4.0'!$A$1:$I$24439,2,FALSE)</f>
        <v>0</v>
      </c>
      <c r="I2150" s="1" t="str">
        <f>VLOOKUP(G2150,'languoid 4.0'!$A$1:$I$24439,6,FALSE)</f>
        <v>language</v>
      </c>
      <c r="J2150" s="15" t="s">
        <v>38</v>
      </c>
      <c r="K2150" s="15" t="s">
        <v>38</v>
      </c>
      <c r="L2150" s="15" t="s">
        <v>38</v>
      </c>
      <c r="M2150" s="1"/>
      <c r="N2150" s="1" t="s">
        <v>104</v>
      </c>
      <c r="O2150" s="15" t="s">
        <v>40</v>
      </c>
      <c r="P2150" s="15" t="s">
        <v>41</v>
      </c>
      <c r="Q2150" s="1" t="s">
        <v>6833</v>
      </c>
      <c r="R2150" s="2" t="s">
        <v>6834</v>
      </c>
      <c r="S2150" s="1" t="s">
        <v>372</v>
      </c>
      <c r="T2150" s="1" t="s">
        <v>657</v>
      </c>
      <c r="U2150" s="1" t="s">
        <v>636</v>
      </c>
      <c r="V2150" s="1" t="s">
        <v>45</v>
      </c>
      <c r="W2150" s="1"/>
      <c r="X2150" s="1"/>
      <c r="Y2150" s="1"/>
      <c r="Z2150" s="1" t="s">
        <v>673</v>
      </c>
      <c r="AA2150" s="1" t="s">
        <v>46</v>
      </c>
      <c r="AB2150" s="1" t="s">
        <v>6835</v>
      </c>
      <c r="AC2150" s="1" t="s">
        <v>46</v>
      </c>
      <c r="AD2150" s="1" t="s">
        <v>6836</v>
      </c>
      <c r="AE2150" s="1" t="s">
        <v>641</v>
      </c>
      <c r="AF2150" s="1" t="s">
        <v>190</v>
      </c>
      <c r="AG2150" s="1">
        <v>5</v>
      </c>
      <c r="AH2150" s="1" t="s">
        <v>190</v>
      </c>
      <c r="AI2150" s="1"/>
      <c r="AJ2150" s="1" t="s">
        <v>6837</v>
      </c>
      <c r="AK2150" s="1" t="s">
        <v>6639</v>
      </c>
    </row>
    <row r="2151" spans="1:37">
      <c r="A2151" s="1" t="e">
        <f>VLOOKUP(H2151,Languages!$A$2:$B$430,2,FALSE)</f>
        <v>#N/A</v>
      </c>
      <c r="B2151" s="1" t="s">
        <v>1812</v>
      </c>
      <c r="C2151" s="1" t="s">
        <v>419</v>
      </c>
      <c r="D2151" s="1" t="s">
        <v>9670</v>
      </c>
      <c r="E2151" s="15" t="s">
        <v>9671</v>
      </c>
      <c r="F2151" s="15" t="s">
        <v>9671</v>
      </c>
      <c r="G2151" s="1" t="s">
        <v>9671</v>
      </c>
      <c r="H2151" s="1">
        <f>VLOOKUP(G2151,'languoid 4.0'!$A$1:$I$24439,2,FALSE)</f>
        <v>0</v>
      </c>
      <c r="I2151" s="1" t="str">
        <f>VLOOKUP(G2151,'languoid 4.0'!$A$1:$I$24439,6,FALSE)</f>
        <v>language</v>
      </c>
      <c r="J2151" s="15" t="s">
        <v>38</v>
      </c>
      <c r="K2151" s="15" t="s">
        <v>38</v>
      </c>
      <c r="L2151" s="15" t="s">
        <v>38</v>
      </c>
      <c r="M2151" s="1"/>
      <c r="N2151" s="1" t="s">
        <v>9672</v>
      </c>
      <c r="O2151" s="15" t="s">
        <v>40</v>
      </c>
      <c r="P2151" s="15" t="s">
        <v>41</v>
      </c>
      <c r="Q2151" s="1" t="s">
        <v>1823</v>
      </c>
      <c r="R2151" s="2" t="s">
        <v>9673</v>
      </c>
      <c r="S2151" s="1" t="s">
        <v>9674</v>
      </c>
      <c r="T2151" s="1" t="s">
        <v>657</v>
      </c>
      <c r="U2151" s="1" t="s">
        <v>636</v>
      </c>
      <c r="V2151" s="1" t="s">
        <v>45</v>
      </c>
      <c r="W2151" s="1"/>
      <c r="X2151" s="1"/>
      <c r="Y2151" s="1"/>
      <c r="Z2151" s="1" t="s">
        <v>637</v>
      </c>
      <c r="AA2151" s="1" t="s">
        <v>9675</v>
      </c>
      <c r="AB2151" s="1" t="s">
        <v>9676</v>
      </c>
      <c r="AC2151" s="1" t="s">
        <v>46</v>
      </c>
      <c r="AD2151" s="1"/>
      <c r="AE2151" s="1" t="s">
        <v>641</v>
      </c>
      <c r="AF2151" s="1" t="s">
        <v>190</v>
      </c>
      <c r="AG2151" s="1">
        <v>5</v>
      </c>
      <c r="AH2151" s="1" t="s">
        <v>190</v>
      </c>
      <c r="AI2151" s="1"/>
      <c r="AJ2151" s="3">
        <v>43444.616840277777</v>
      </c>
      <c r="AK2151" s="1" t="s">
        <v>8989</v>
      </c>
    </row>
    <row r="2152" spans="1:37">
      <c r="A2152" s="1" t="e">
        <f>VLOOKUP(H2152,Languages!$A$2:$B$430,2,FALSE)</f>
        <v>#N/A</v>
      </c>
      <c r="B2152" s="1" t="s">
        <v>1812</v>
      </c>
      <c r="C2152" s="1" t="s">
        <v>4417</v>
      </c>
      <c r="D2152" s="1" t="s">
        <v>7304</v>
      </c>
      <c r="E2152" s="15" t="s">
        <v>4725</v>
      </c>
      <c r="F2152" s="15" t="s">
        <v>4725</v>
      </c>
      <c r="G2152" s="1" t="s">
        <v>4725</v>
      </c>
      <c r="H2152" s="1">
        <f>VLOOKUP(G2152,'languoid 4.0'!$A$1:$I$24439,2,FALSE)</f>
        <v>0</v>
      </c>
      <c r="I2152" s="1" t="str">
        <f>VLOOKUP(G2152,'languoid 4.0'!$A$1:$I$24439,6,FALSE)</f>
        <v>language</v>
      </c>
      <c r="J2152" s="15" t="s">
        <v>38</v>
      </c>
      <c r="K2152" s="15" t="s">
        <v>38</v>
      </c>
      <c r="L2152" s="15" t="s">
        <v>38</v>
      </c>
      <c r="M2152" s="1"/>
      <c r="N2152" s="1" t="s">
        <v>7299</v>
      </c>
      <c r="O2152" s="15" t="s">
        <v>40</v>
      </c>
      <c r="P2152" s="15" t="s">
        <v>41</v>
      </c>
      <c r="Q2152" s="1" t="s">
        <v>7305</v>
      </c>
      <c r="R2152" s="2" t="s">
        <v>7306</v>
      </c>
      <c r="S2152" s="1" t="s">
        <v>46</v>
      </c>
      <c r="T2152" s="1" t="s">
        <v>7307</v>
      </c>
      <c r="U2152" s="1" t="s">
        <v>636</v>
      </c>
      <c r="V2152" s="1" t="s">
        <v>45</v>
      </c>
      <c r="W2152" s="1"/>
      <c r="X2152" s="1"/>
      <c r="Y2152" s="1"/>
      <c r="Z2152" s="1" t="s">
        <v>673</v>
      </c>
      <c r="AA2152" s="1" t="s">
        <v>46</v>
      </c>
      <c r="AB2152" s="1" t="s">
        <v>7308</v>
      </c>
      <c r="AC2152" s="1" t="s">
        <v>46</v>
      </c>
      <c r="AD2152" s="1"/>
      <c r="AE2152" s="1" t="s">
        <v>641</v>
      </c>
      <c r="AF2152" s="1" t="s">
        <v>190</v>
      </c>
      <c r="AG2152" s="1">
        <v>6</v>
      </c>
      <c r="AH2152" s="1" t="s">
        <v>190</v>
      </c>
      <c r="AI2152" s="1"/>
      <c r="AJ2152" s="3">
        <v>43381.881886574076</v>
      </c>
      <c r="AK2152" s="1" t="s">
        <v>4424</v>
      </c>
    </row>
    <row r="2153" spans="1:37">
      <c r="A2153" s="1" t="e">
        <f>VLOOKUP(H2153,Languages!$A$2:$B$430,2,FALSE)</f>
        <v>#N/A</v>
      </c>
      <c r="B2153" s="1" t="s">
        <v>1812</v>
      </c>
      <c r="C2153" s="1" t="s">
        <v>4417</v>
      </c>
      <c r="D2153" s="1" t="s">
        <v>4723</v>
      </c>
      <c r="E2153" s="15" t="s">
        <v>4725</v>
      </c>
      <c r="F2153" s="15" t="s">
        <v>4725</v>
      </c>
      <c r="G2153" s="1" t="s">
        <v>4725</v>
      </c>
      <c r="H2153" s="1">
        <f>VLOOKUP(G2153,'languoid 4.0'!$A$1:$I$24439,2,FALSE)</f>
        <v>0</v>
      </c>
      <c r="I2153" s="1" t="str">
        <f>VLOOKUP(G2153,'languoid 4.0'!$A$1:$I$24439,6,FALSE)</f>
        <v>language</v>
      </c>
      <c r="J2153" s="15" t="s">
        <v>38</v>
      </c>
      <c r="K2153" s="15" t="s">
        <v>38</v>
      </c>
      <c r="L2153" s="15" t="s">
        <v>38</v>
      </c>
      <c r="M2153" s="1"/>
      <c r="N2153" s="1" t="s">
        <v>7299</v>
      </c>
      <c r="O2153" s="15" t="s">
        <v>40</v>
      </c>
      <c r="P2153" s="15" t="s">
        <v>41</v>
      </c>
      <c r="Q2153" s="1" t="s">
        <v>7338</v>
      </c>
      <c r="R2153" s="2" t="s">
        <v>7339</v>
      </c>
      <c r="S2153" s="1" t="s">
        <v>46</v>
      </c>
      <c r="T2153" s="1" t="s">
        <v>7302</v>
      </c>
      <c r="U2153" s="1" t="s">
        <v>636</v>
      </c>
      <c r="V2153" s="1" t="s">
        <v>45</v>
      </c>
      <c r="W2153" s="1"/>
      <c r="X2153" s="1"/>
      <c r="Y2153" s="1"/>
      <c r="Z2153" s="1" t="s">
        <v>673</v>
      </c>
      <c r="AA2153" s="1" t="s">
        <v>46</v>
      </c>
      <c r="AB2153" s="1" t="s">
        <v>7340</v>
      </c>
      <c r="AC2153" s="1" t="s">
        <v>46</v>
      </c>
      <c r="AD2153" s="1"/>
      <c r="AE2153" s="1" t="s">
        <v>641</v>
      </c>
      <c r="AF2153" s="1" t="s">
        <v>190</v>
      </c>
      <c r="AG2153" s="1">
        <v>5</v>
      </c>
      <c r="AH2153" s="1" t="s">
        <v>190</v>
      </c>
      <c r="AI2153" s="1"/>
      <c r="AJ2153" s="3">
        <v>43381.983206018522</v>
      </c>
      <c r="AK2153" s="1" t="s">
        <v>4424</v>
      </c>
    </row>
    <row r="2154" spans="1:37">
      <c r="A2154" s="1" t="e">
        <f>VLOOKUP(H2154,Languages!$A$2:$B$430,2,FALSE)</f>
        <v>#N/A</v>
      </c>
      <c r="B2154" s="1" t="s">
        <v>1812</v>
      </c>
      <c r="C2154" s="1" t="s">
        <v>4417</v>
      </c>
      <c r="D2154" s="1" t="s">
        <v>4723</v>
      </c>
      <c r="E2154" s="15" t="s">
        <v>4725</v>
      </c>
      <c r="F2154" s="15" t="s">
        <v>4725</v>
      </c>
      <c r="G2154" s="1" t="s">
        <v>4725</v>
      </c>
      <c r="H2154" s="1">
        <f>VLOOKUP(G2154,'languoid 4.0'!$A$1:$I$24439,2,FALSE)</f>
        <v>0</v>
      </c>
      <c r="I2154" s="1" t="str">
        <f>VLOOKUP(G2154,'languoid 4.0'!$A$1:$I$24439,6,FALSE)</f>
        <v>language</v>
      </c>
      <c r="J2154" s="15" t="s">
        <v>38</v>
      </c>
      <c r="K2154" s="15" t="s">
        <v>38</v>
      </c>
      <c r="L2154" s="15" t="s">
        <v>38</v>
      </c>
      <c r="M2154" s="1"/>
      <c r="N2154" s="1" t="s">
        <v>7299</v>
      </c>
      <c r="O2154" s="15" t="s">
        <v>40</v>
      </c>
      <c r="P2154" s="15" t="s">
        <v>41</v>
      </c>
      <c r="Q2154" s="1" t="s">
        <v>7355</v>
      </c>
      <c r="R2154" s="2" t="s">
        <v>7356</v>
      </c>
      <c r="S2154" s="1" t="s">
        <v>46</v>
      </c>
      <c r="T2154" s="1" t="s">
        <v>7302</v>
      </c>
      <c r="U2154" s="1" t="s">
        <v>636</v>
      </c>
      <c r="V2154" s="1" t="s">
        <v>45</v>
      </c>
      <c r="W2154" s="1"/>
      <c r="X2154" s="1"/>
      <c r="Y2154" s="1"/>
      <c r="Z2154" s="1" t="s">
        <v>673</v>
      </c>
      <c r="AA2154" s="1" t="s">
        <v>46</v>
      </c>
      <c r="AB2154" s="1" t="s">
        <v>7357</v>
      </c>
      <c r="AC2154" s="1" t="s">
        <v>46</v>
      </c>
      <c r="AD2154" s="1"/>
      <c r="AE2154" s="1" t="s">
        <v>641</v>
      </c>
      <c r="AF2154" s="1" t="s">
        <v>190</v>
      </c>
      <c r="AG2154" s="1">
        <v>4</v>
      </c>
      <c r="AH2154" s="1" t="s">
        <v>190</v>
      </c>
      <c r="AI2154" s="1"/>
      <c r="AJ2154" s="3">
        <v>43381.994884259257</v>
      </c>
      <c r="AK2154" s="1" t="s">
        <v>4424</v>
      </c>
    </row>
    <row r="2155" spans="1:37">
      <c r="A2155" s="1" t="e">
        <f>VLOOKUP(H2155,Languages!$A$2:$B$430,2,FALSE)</f>
        <v>#N/A</v>
      </c>
      <c r="B2155" s="1" t="s">
        <v>1707</v>
      </c>
      <c r="C2155" s="1" t="s">
        <v>477</v>
      </c>
      <c r="D2155" s="1" t="s">
        <v>2963</v>
      </c>
      <c r="E2155" s="15" t="s">
        <v>51</v>
      </c>
      <c r="F2155" s="15" t="s">
        <v>2964</v>
      </c>
      <c r="G2155" s="1" t="s">
        <v>2964</v>
      </c>
      <c r="H2155" s="1">
        <f>VLOOKUP(G2155,'languoid 4.0'!$A$1:$I$24439,2,FALSE)</f>
        <v>0</v>
      </c>
      <c r="I2155" s="1" t="str">
        <f>VLOOKUP(G2155,'languoid 4.0'!$A$1:$I$24439,6,FALSE)</f>
        <v>language</v>
      </c>
      <c r="J2155" s="15" t="s">
        <v>52</v>
      </c>
      <c r="K2155" s="15" t="s">
        <v>51</v>
      </c>
      <c r="L2155" s="15" t="s">
        <v>51</v>
      </c>
      <c r="M2155" s="1"/>
      <c r="N2155" s="1" t="e">
        <v>#N/A</v>
      </c>
      <c r="O2155" s="15" t="s">
        <v>690</v>
      </c>
      <c r="P2155" s="15"/>
      <c r="Q2155" s="1" t="s">
        <v>2965</v>
      </c>
      <c r="R2155" s="2" t="s">
        <v>2966</v>
      </c>
      <c r="S2155" s="1" t="s">
        <v>46</v>
      </c>
      <c r="T2155" s="1" t="s">
        <v>2967</v>
      </c>
      <c r="U2155" s="1" t="s">
        <v>636</v>
      </c>
      <c r="V2155" s="1" t="s">
        <v>45</v>
      </c>
      <c r="W2155" s="1"/>
      <c r="X2155" s="1"/>
      <c r="Y2155" s="1"/>
      <c r="Z2155" s="1" t="s">
        <v>658</v>
      </c>
      <c r="AA2155" s="1" t="s">
        <v>2968</v>
      </c>
      <c r="AB2155" s="1" t="s">
        <v>46</v>
      </c>
      <c r="AC2155" s="1" t="s">
        <v>46</v>
      </c>
      <c r="AD2155" s="1"/>
      <c r="AE2155" s="1"/>
      <c r="AF2155" s="1"/>
      <c r="AG2155" s="1"/>
      <c r="AH2155" s="1" t="s">
        <v>45</v>
      </c>
      <c r="AI2155" s="1" t="s">
        <v>2969</v>
      </c>
      <c r="AJ2155" s="1" t="s">
        <v>2970</v>
      </c>
      <c r="AK2155" s="1" t="s">
        <v>651</v>
      </c>
    </row>
    <row r="2156" spans="1:37">
      <c r="A2156" s="1" t="e">
        <f>VLOOKUP(H2156,Languages!$A$2:$B$430,2,FALSE)</f>
        <v>#N/A</v>
      </c>
      <c r="B2156" s="1" t="s">
        <v>1707</v>
      </c>
      <c r="C2156" s="1" t="s">
        <v>34</v>
      </c>
      <c r="D2156" s="1" t="s">
        <v>10359</v>
      </c>
      <c r="E2156" s="15" t="s">
        <v>51</v>
      </c>
      <c r="F2156" s="15" t="s">
        <v>51</v>
      </c>
      <c r="G2156" s="1" t="s">
        <v>10360</v>
      </c>
      <c r="H2156" s="1" t="e">
        <f>VLOOKUP(G2156,'languoid 4.0'!$A$1:$I$24439,2,FALSE)</f>
        <v>#N/A</v>
      </c>
      <c r="I2156" s="1" t="e">
        <f>VLOOKUP(G2156,'languoid 4.0'!$A$1:$I$24439,6,FALSE)</f>
        <v>#N/A</v>
      </c>
      <c r="J2156" s="15" t="s">
        <v>51</v>
      </c>
      <c r="K2156" s="15" t="s">
        <v>51</v>
      </c>
      <c r="L2156" s="15" t="s">
        <v>51</v>
      </c>
      <c r="M2156" s="1"/>
      <c r="N2156" s="1" t="e">
        <v>#N/A</v>
      </c>
      <c r="O2156" s="15" t="s">
        <v>690</v>
      </c>
      <c r="P2156" s="15"/>
      <c r="Q2156" s="1" t="s">
        <v>10361</v>
      </c>
      <c r="R2156" s="2" t="s">
        <v>10362</v>
      </c>
      <c r="S2156" s="1" t="s">
        <v>46</v>
      </c>
      <c r="T2156" s="1" t="s">
        <v>822</v>
      </c>
      <c r="U2156" s="1" t="s">
        <v>636</v>
      </c>
      <c r="V2156" s="1" t="s">
        <v>45</v>
      </c>
      <c r="W2156" s="1"/>
      <c r="X2156" s="1"/>
      <c r="Y2156" s="1"/>
      <c r="Z2156" s="1" t="s">
        <v>658</v>
      </c>
      <c r="AA2156" s="1" t="s">
        <v>46</v>
      </c>
      <c r="AB2156" s="1" t="s">
        <v>46</v>
      </c>
      <c r="AC2156" s="1" t="s">
        <v>46</v>
      </c>
      <c r="AD2156" s="1"/>
      <c r="AE2156" s="1" t="s">
        <v>641</v>
      </c>
      <c r="AF2156" s="1" t="s">
        <v>190</v>
      </c>
      <c r="AG2156" s="1">
        <v>4</v>
      </c>
      <c r="AH2156" s="1" t="s">
        <v>190</v>
      </c>
      <c r="AI2156" s="1"/>
      <c r="AJ2156" s="1" t="s">
        <v>10363</v>
      </c>
      <c r="AK2156" s="1" t="s">
        <v>9537</v>
      </c>
    </row>
    <row r="2157" spans="1:37">
      <c r="A2157" s="1" t="e">
        <f>VLOOKUP(H2157,Languages!$A$2:$B$430,2,FALSE)</f>
        <v>#N/A</v>
      </c>
      <c r="B2157" s="1" t="s">
        <v>1707</v>
      </c>
      <c r="C2157" s="1" t="s">
        <v>34</v>
      </c>
      <c r="D2157" s="1" t="s">
        <v>10359</v>
      </c>
      <c r="E2157" s="15" t="s">
        <v>51</v>
      </c>
      <c r="F2157" s="15" t="s">
        <v>51</v>
      </c>
      <c r="G2157" s="1" t="s">
        <v>10360</v>
      </c>
      <c r="H2157" s="1" t="e">
        <f>VLOOKUP(G2157,'languoid 4.0'!$A$1:$I$24439,2,FALSE)</f>
        <v>#N/A</v>
      </c>
      <c r="I2157" s="1" t="e">
        <f>VLOOKUP(G2157,'languoid 4.0'!$A$1:$I$24439,6,FALSE)</f>
        <v>#N/A</v>
      </c>
      <c r="J2157" s="15" t="s">
        <v>51</v>
      </c>
      <c r="K2157" s="15" t="s">
        <v>51</v>
      </c>
      <c r="L2157" s="15" t="s">
        <v>51</v>
      </c>
      <c r="M2157" s="1"/>
      <c r="N2157" s="1" t="e">
        <v>#N/A</v>
      </c>
      <c r="O2157" s="15" t="s">
        <v>690</v>
      </c>
      <c r="P2157" s="15"/>
      <c r="Q2157" s="1" t="s">
        <v>10364</v>
      </c>
      <c r="R2157" s="2" t="s">
        <v>10365</v>
      </c>
      <c r="S2157" s="1" t="s">
        <v>46</v>
      </c>
      <c r="T2157" s="1" t="s">
        <v>822</v>
      </c>
      <c r="U2157" s="1" t="s">
        <v>636</v>
      </c>
      <c r="V2157" s="1" t="s">
        <v>45</v>
      </c>
      <c r="W2157" s="1"/>
      <c r="X2157" s="1"/>
      <c r="Y2157" s="1"/>
      <c r="Z2157" s="1" t="s">
        <v>658</v>
      </c>
      <c r="AA2157" s="1" t="s">
        <v>46</v>
      </c>
      <c r="AB2157" s="1" t="s">
        <v>46</v>
      </c>
      <c r="AC2157" s="1" t="s">
        <v>46</v>
      </c>
      <c r="AD2157" s="1"/>
      <c r="AE2157" s="1" t="s">
        <v>641</v>
      </c>
      <c r="AF2157" s="1" t="s">
        <v>190</v>
      </c>
      <c r="AG2157" s="1">
        <v>3</v>
      </c>
      <c r="AH2157" s="1" t="s">
        <v>190</v>
      </c>
      <c r="AI2157" s="1"/>
      <c r="AJ2157" s="1" t="s">
        <v>10366</v>
      </c>
      <c r="AK2157" s="1" t="s">
        <v>9537</v>
      </c>
    </row>
    <row r="2158" spans="1:37">
      <c r="A2158" s="1" t="e">
        <f>VLOOKUP(H2158,Languages!$A$2:$B$430,2,FALSE)</f>
        <v>#N/A</v>
      </c>
      <c r="B2158" s="1" t="s">
        <v>1707</v>
      </c>
      <c r="C2158" s="1" t="s">
        <v>48</v>
      </c>
      <c r="D2158" s="1" t="s">
        <v>7762</v>
      </c>
      <c r="E2158" s="15" t="s">
        <v>51</v>
      </c>
      <c r="F2158" s="15" t="s">
        <v>51</v>
      </c>
      <c r="G2158" s="1" t="s">
        <v>51</v>
      </c>
      <c r="H2158" s="1" t="e">
        <f>VLOOKUP(G2158,'languoid 4.0'!$A$1:$I$24439,2,FALSE)</f>
        <v>#N/A</v>
      </c>
      <c r="I2158" s="1" t="e">
        <f>VLOOKUP(G2158,'languoid 4.0'!$A$1:$I$24439,6,FALSE)</f>
        <v>#N/A</v>
      </c>
      <c r="J2158" s="15" t="s">
        <v>51</v>
      </c>
      <c r="K2158" s="15" t="s">
        <v>51</v>
      </c>
      <c r="L2158" s="15" t="s">
        <v>51</v>
      </c>
      <c r="M2158" s="1"/>
      <c r="N2158" s="1" t="e">
        <v>#N/A</v>
      </c>
      <c r="O2158" s="15" t="s">
        <v>690</v>
      </c>
      <c r="P2158" s="15"/>
      <c r="Q2158" s="1" t="s">
        <v>7763</v>
      </c>
      <c r="R2158" s="2" t="s">
        <v>7764</v>
      </c>
      <c r="S2158" s="1" t="s">
        <v>46</v>
      </c>
      <c r="T2158" s="1" t="s">
        <v>635</v>
      </c>
      <c r="U2158" s="1" t="s">
        <v>636</v>
      </c>
      <c r="V2158" s="1" t="s">
        <v>45</v>
      </c>
      <c r="W2158" s="1"/>
      <c r="X2158" s="1"/>
      <c r="Y2158" s="1"/>
      <c r="Z2158" s="1" t="s">
        <v>637</v>
      </c>
      <c r="AA2158" s="1" t="s">
        <v>7765</v>
      </c>
      <c r="AB2158" s="1" t="s">
        <v>7766</v>
      </c>
      <c r="AC2158" s="1" t="s">
        <v>46</v>
      </c>
      <c r="AD2158" s="1"/>
      <c r="AE2158" s="1" t="s">
        <v>641</v>
      </c>
      <c r="AF2158" s="1" t="s">
        <v>190</v>
      </c>
      <c r="AG2158" s="1">
        <v>6</v>
      </c>
      <c r="AH2158" s="1" t="s">
        <v>190</v>
      </c>
      <c r="AI2158" s="1"/>
      <c r="AJ2158" s="1" t="s">
        <v>7767</v>
      </c>
      <c r="AK2158" s="1" t="s">
        <v>5542</v>
      </c>
    </row>
    <row r="2159" spans="1:37">
      <c r="A2159" s="1" t="e">
        <f>VLOOKUP(H2159,Languages!$A$2:$B$430,2,FALSE)</f>
        <v>#N/A</v>
      </c>
      <c r="B2159" s="1" t="s">
        <v>1707</v>
      </c>
      <c r="C2159" s="1" t="s">
        <v>5463</v>
      </c>
      <c r="D2159" s="1" t="s">
        <v>6549</v>
      </c>
      <c r="E2159" s="15" t="s">
        <v>6550</v>
      </c>
      <c r="F2159" s="15" t="s">
        <v>2723</v>
      </c>
      <c r="G2159" s="1" t="s">
        <v>6550</v>
      </c>
      <c r="H2159" s="1" t="e">
        <f>VLOOKUP(G2159,'languoid 4.0'!$A$1:$I$24439,2,FALSE)</f>
        <v>#N/A</v>
      </c>
      <c r="I2159" s="1" t="e">
        <f>VLOOKUP(G2159,'languoid 4.0'!$A$1:$I$24439,6,FALSE)</f>
        <v>#N/A</v>
      </c>
      <c r="J2159" s="15" t="s">
        <v>52</v>
      </c>
      <c r="K2159" s="15" t="s">
        <v>38</v>
      </c>
      <c r="L2159" s="15" t="s">
        <v>38</v>
      </c>
      <c r="M2159" s="1"/>
      <c r="N2159" s="1" t="e">
        <v>#N/A</v>
      </c>
      <c r="O2159" s="15" t="s">
        <v>40</v>
      </c>
      <c r="P2159" s="15" t="s">
        <v>41</v>
      </c>
      <c r="Q2159" s="1" t="s">
        <v>6551</v>
      </c>
      <c r="R2159" s="2" t="s">
        <v>6552</v>
      </c>
      <c r="S2159" s="1" t="s">
        <v>6553</v>
      </c>
      <c r="T2159" s="1" t="s">
        <v>657</v>
      </c>
      <c r="U2159" s="1" t="s">
        <v>636</v>
      </c>
      <c r="V2159" s="1" t="s">
        <v>45</v>
      </c>
      <c r="W2159" s="1"/>
      <c r="X2159" s="1"/>
      <c r="Y2159" s="1"/>
      <c r="Z2159" s="1" t="s">
        <v>658</v>
      </c>
      <c r="AA2159" s="1" t="s">
        <v>6554</v>
      </c>
      <c r="AB2159" s="1" t="s">
        <v>46</v>
      </c>
      <c r="AC2159" s="1" t="s">
        <v>46</v>
      </c>
      <c r="AD2159" s="1"/>
      <c r="AE2159" s="1" t="s">
        <v>641</v>
      </c>
      <c r="AF2159" s="1" t="s">
        <v>190</v>
      </c>
      <c r="AG2159" s="1">
        <v>2</v>
      </c>
      <c r="AH2159" s="1" t="s">
        <v>190</v>
      </c>
      <c r="AI2159" s="1" t="s">
        <v>6555</v>
      </c>
      <c r="AJ2159" s="1" t="s">
        <v>6556</v>
      </c>
      <c r="AK2159" s="1" t="s">
        <v>5472</v>
      </c>
    </row>
    <row r="2160" spans="1:37">
      <c r="A2160" s="1" t="e">
        <f>VLOOKUP(H2160,Languages!$A$2:$B$430,2,FALSE)</f>
        <v>#N/A</v>
      </c>
      <c r="B2160" s="1" t="s">
        <v>1707</v>
      </c>
      <c r="C2160" s="1" t="s">
        <v>82</v>
      </c>
      <c r="D2160" s="1" t="s">
        <v>4340</v>
      </c>
      <c r="E2160" s="15" t="s">
        <v>4314</v>
      </c>
      <c r="F2160" s="15" t="s">
        <v>4341</v>
      </c>
      <c r="G2160" s="1" t="s">
        <v>4342</v>
      </c>
      <c r="H2160" s="1">
        <f>VLOOKUP(G2160,'languoid 4.0'!$A$1:$I$24439,2,FALSE)</f>
        <v>0</v>
      </c>
      <c r="I2160" s="1" t="str">
        <f>VLOOKUP(G2160,'languoid 4.0'!$A$1:$I$24439,6,FALSE)</f>
        <v>family</v>
      </c>
      <c r="J2160" s="15" t="s">
        <v>52</v>
      </c>
      <c r="K2160" s="15" t="s">
        <v>52</v>
      </c>
      <c r="L2160" s="15" t="s">
        <v>38</v>
      </c>
      <c r="M2160" s="1"/>
      <c r="N2160" s="1" t="s">
        <v>4315</v>
      </c>
      <c r="O2160" s="15" t="s">
        <v>40</v>
      </c>
      <c r="P2160" s="15" t="s">
        <v>41</v>
      </c>
      <c r="Q2160" s="1" t="s">
        <v>4343</v>
      </c>
      <c r="R2160" s="2" t="s">
        <v>4344</v>
      </c>
      <c r="S2160" s="1" t="s">
        <v>2589</v>
      </c>
      <c r="T2160" s="1" t="s">
        <v>635</v>
      </c>
      <c r="U2160" s="1" t="s">
        <v>1812</v>
      </c>
      <c r="V2160" s="1" t="s">
        <v>45</v>
      </c>
      <c r="W2160" s="1"/>
      <c r="X2160" s="1"/>
      <c r="Y2160" s="1"/>
      <c r="Z2160" s="1" t="s">
        <v>673</v>
      </c>
      <c r="AA2160" s="1" t="s">
        <v>4345</v>
      </c>
      <c r="AB2160" s="1" t="s">
        <v>4346</v>
      </c>
      <c r="AC2160" s="1" t="s">
        <v>4347</v>
      </c>
      <c r="AD2160" s="1"/>
      <c r="AE2160" s="1" t="s">
        <v>641</v>
      </c>
      <c r="AF2160" s="1" t="s">
        <v>190</v>
      </c>
      <c r="AG2160" s="1">
        <v>6</v>
      </c>
      <c r="AH2160" s="1" t="s">
        <v>190</v>
      </c>
      <c r="AI2160" s="1"/>
      <c r="AJ2160" s="3">
        <v>43106.755798611113</v>
      </c>
      <c r="AK2160" s="1" t="s">
        <v>4274</v>
      </c>
    </row>
    <row r="2161" spans="1:37">
      <c r="A2161" s="1" t="e">
        <f>VLOOKUP(H2161,Languages!$A$2:$B$430,2,FALSE)</f>
        <v>#N/A</v>
      </c>
      <c r="B2161" s="1" t="s">
        <v>1707</v>
      </c>
      <c r="C2161" s="1" t="s">
        <v>75</v>
      </c>
      <c r="D2161" s="1" t="s">
        <v>7861</v>
      </c>
      <c r="E2161" s="15" t="s">
        <v>7862</v>
      </c>
      <c r="F2161" s="15" t="s">
        <v>7863</v>
      </c>
      <c r="G2161" s="1" t="s">
        <v>7862</v>
      </c>
      <c r="H2161" s="1">
        <f>VLOOKUP(G2161,'languoid 4.0'!$A$1:$I$24439,2,FALSE)</f>
        <v>0</v>
      </c>
      <c r="I2161" s="1" t="str">
        <f>VLOOKUP(G2161,'languoid 4.0'!$A$1:$I$24439,6,FALSE)</f>
        <v>family</v>
      </c>
      <c r="J2161" s="15" t="s">
        <v>52</v>
      </c>
      <c r="K2161" s="15" t="s">
        <v>368</v>
      </c>
      <c r="L2161" s="15" t="s">
        <v>38</v>
      </c>
      <c r="M2161" s="1"/>
      <c r="N2161" s="1"/>
      <c r="O2161" s="15" t="s">
        <v>113</v>
      </c>
      <c r="P2161" s="15" t="s">
        <v>41</v>
      </c>
      <c r="Q2161" s="1" t="s">
        <v>7864</v>
      </c>
      <c r="R2161" s="2" t="s">
        <v>7865</v>
      </c>
      <c r="S2161" s="1" t="s">
        <v>46</v>
      </c>
      <c r="T2161" s="1" t="s">
        <v>635</v>
      </c>
      <c r="U2161" s="1" t="s">
        <v>636</v>
      </c>
      <c r="V2161" s="1" t="s">
        <v>45</v>
      </c>
      <c r="W2161" s="1"/>
      <c r="X2161" s="1"/>
      <c r="Y2161" s="1"/>
      <c r="Z2161" s="1" t="s">
        <v>658</v>
      </c>
      <c r="AA2161" s="1" t="s">
        <v>7866</v>
      </c>
      <c r="AB2161" s="1" t="s">
        <v>46</v>
      </c>
      <c r="AC2161" s="1" t="s">
        <v>46</v>
      </c>
      <c r="AD2161" s="1" t="s">
        <v>7867</v>
      </c>
      <c r="AE2161" s="1" t="s">
        <v>641</v>
      </c>
      <c r="AF2161" s="1" t="s">
        <v>190</v>
      </c>
      <c r="AG2161" s="1">
        <v>6</v>
      </c>
      <c r="AH2161" s="1" t="s">
        <v>190</v>
      </c>
      <c r="AI2161" s="1"/>
      <c r="AJ2161" s="1" t="s">
        <v>7868</v>
      </c>
      <c r="AK2161" s="1" t="s">
        <v>5640</v>
      </c>
    </row>
    <row r="2162" spans="1:37">
      <c r="A2162" s="1" t="e">
        <f>VLOOKUP(H2162,Languages!$A$2:$B$430,2,FALSE)</f>
        <v>#N/A</v>
      </c>
      <c r="B2162" s="1" t="s">
        <v>1707</v>
      </c>
      <c r="C2162" s="1" t="s">
        <v>317</v>
      </c>
      <c r="D2162" s="1" t="s">
        <v>6841</v>
      </c>
      <c r="E2162" s="15" t="s">
        <v>6842</v>
      </c>
      <c r="F2162" s="15" t="s">
        <v>6842</v>
      </c>
      <c r="G2162" s="1" t="s">
        <v>6842</v>
      </c>
      <c r="H2162" s="1">
        <f>VLOOKUP(G2162,'languoid 4.0'!$A$1:$I$24439,2,FALSE)</f>
        <v>0</v>
      </c>
      <c r="I2162" s="1" t="str">
        <f>VLOOKUP(G2162,'languoid 4.0'!$A$1:$I$24439,6,FALSE)</f>
        <v>language</v>
      </c>
      <c r="J2162" s="15" t="s">
        <v>38</v>
      </c>
      <c r="K2162" s="15" t="s">
        <v>38</v>
      </c>
      <c r="L2162" s="15" t="s">
        <v>38</v>
      </c>
      <c r="M2162" s="1"/>
      <c r="N2162" s="1" t="s">
        <v>6843</v>
      </c>
      <c r="O2162" s="15" t="s">
        <v>40</v>
      </c>
      <c r="P2162" s="15" t="s">
        <v>41</v>
      </c>
      <c r="Q2162" s="1" t="s">
        <v>6848</v>
      </c>
      <c r="R2162" s="2" t="s">
        <v>6844</v>
      </c>
      <c r="S2162" s="1" t="s">
        <v>1202</v>
      </c>
      <c r="T2162" s="1" t="s">
        <v>6845</v>
      </c>
      <c r="U2162" s="1" t="s">
        <v>636</v>
      </c>
      <c r="V2162" s="1" t="s">
        <v>45</v>
      </c>
      <c r="W2162" s="1"/>
      <c r="X2162" s="1"/>
      <c r="Y2162" s="1"/>
      <c r="Z2162" s="1" t="s">
        <v>658</v>
      </c>
      <c r="AA2162" s="1" t="s">
        <v>46</v>
      </c>
      <c r="AB2162" s="1" t="s">
        <v>46</v>
      </c>
      <c r="AC2162" s="1" t="s">
        <v>46</v>
      </c>
      <c r="AD2162" s="1" t="s">
        <v>6846</v>
      </c>
      <c r="AE2162" s="1" t="s">
        <v>641</v>
      </c>
      <c r="AF2162" s="1" t="s">
        <v>190</v>
      </c>
      <c r="AG2162" s="1">
        <v>6</v>
      </c>
      <c r="AH2162" s="1" t="s">
        <v>190</v>
      </c>
      <c r="AI2162" s="1"/>
      <c r="AJ2162" s="1" t="s">
        <v>6849</v>
      </c>
      <c r="AK2162" s="1" t="s">
        <v>5871</v>
      </c>
    </row>
    <row r="2163" spans="1:37">
      <c r="A2163" s="1" t="e">
        <f>VLOOKUP(H2163,Languages!$A$2:$B$430,2,FALSE)</f>
        <v>#N/A</v>
      </c>
      <c r="B2163" s="1" t="s">
        <v>1707</v>
      </c>
      <c r="C2163" s="1" t="s">
        <v>304</v>
      </c>
      <c r="D2163" s="1" t="s">
        <v>8072</v>
      </c>
      <c r="E2163" s="15" t="s">
        <v>8088</v>
      </c>
      <c r="F2163" s="15" t="s">
        <v>607</v>
      </c>
      <c r="G2163" s="1" t="s">
        <v>607</v>
      </c>
      <c r="H2163" s="1">
        <f>VLOOKUP(G2163,'languoid 4.0'!$A$1:$I$24439,2,FALSE)</f>
        <v>0</v>
      </c>
      <c r="I2163" s="1" t="str">
        <f>VLOOKUP(G2163,'languoid 4.0'!$A$1:$I$24439,6,FALSE)</f>
        <v>family</v>
      </c>
      <c r="J2163" s="15" t="s">
        <v>52</v>
      </c>
      <c r="K2163" s="15" t="s">
        <v>38</v>
      </c>
      <c r="L2163" s="15" t="s">
        <v>38</v>
      </c>
      <c r="M2163" s="1"/>
      <c r="N2163" s="1" t="e">
        <v>#N/A</v>
      </c>
      <c r="O2163" s="15" t="s">
        <v>690</v>
      </c>
      <c r="P2163" s="15" t="s">
        <v>41</v>
      </c>
      <c r="Q2163" s="1" t="s">
        <v>8089</v>
      </c>
      <c r="R2163" s="2" t="s">
        <v>8090</v>
      </c>
      <c r="S2163" s="1" t="s">
        <v>656</v>
      </c>
      <c r="T2163" s="1" t="s">
        <v>657</v>
      </c>
      <c r="U2163" s="1" t="s">
        <v>636</v>
      </c>
      <c r="V2163" s="1" t="s">
        <v>45</v>
      </c>
      <c r="W2163" s="1"/>
      <c r="X2163" s="1"/>
      <c r="Y2163" s="1"/>
      <c r="Z2163" s="1" t="s">
        <v>658</v>
      </c>
      <c r="AA2163" s="1" t="s">
        <v>46</v>
      </c>
      <c r="AB2163" s="1" t="s">
        <v>46</v>
      </c>
      <c r="AC2163" s="1" t="s">
        <v>46</v>
      </c>
      <c r="AD2163" s="1"/>
      <c r="AE2163" s="1" t="s">
        <v>641</v>
      </c>
      <c r="AF2163" s="1" t="s">
        <v>45</v>
      </c>
      <c r="AG2163" s="1">
        <v>6</v>
      </c>
      <c r="AH2163" s="1" t="s">
        <v>190</v>
      </c>
      <c r="AI2163" s="1"/>
      <c r="AJ2163" s="1" t="s">
        <v>8091</v>
      </c>
      <c r="AK2163" s="1" t="s">
        <v>6441</v>
      </c>
    </row>
    <row r="2164" spans="1:37">
      <c r="A2164" s="1" t="e">
        <f>VLOOKUP(H2164,Languages!$A$2:$B$430,2,FALSE)</f>
        <v>#N/A</v>
      </c>
      <c r="B2164" s="1" t="s">
        <v>1707</v>
      </c>
      <c r="C2164" s="1" t="s">
        <v>206</v>
      </c>
      <c r="D2164" s="1" t="s">
        <v>392</v>
      </c>
      <c r="E2164" s="15" t="s">
        <v>393</v>
      </c>
      <c r="F2164" s="15" t="s">
        <v>393</v>
      </c>
      <c r="G2164" s="1" t="s">
        <v>393</v>
      </c>
      <c r="H2164" s="1">
        <f>VLOOKUP(G2164,'languoid 4.0'!$A$1:$I$24439,2,FALSE)</f>
        <v>0</v>
      </c>
      <c r="I2164" s="1" t="str">
        <f>VLOOKUP(G2164,'languoid 4.0'!$A$1:$I$24439,6,FALSE)</f>
        <v>family</v>
      </c>
      <c r="J2164" s="15" t="s">
        <v>38</v>
      </c>
      <c r="K2164" s="15" t="s">
        <v>38</v>
      </c>
      <c r="L2164" s="15" t="s">
        <v>38</v>
      </c>
      <c r="M2164" s="1"/>
      <c r="N2164" s="1"/>
      <c r="O2164" s="15" t="s">
        <v>113</v>
      </c>
      <c r="P2164" s="15" t="s">
        <v>41</v>
      </c>
      <c r="Q2164" s="1" t="s">
        <v>10751</v>
      </c>
      <c r="R2164" s="2" t="s">
        <v>10752</v>
      </c>
      <c r="S2164" s="1" t="s">
        <v>672</v>
      </c>
      <c r="T2164" s="1" t="s">
        <v>657</v>
      </c>
      <c r="U2164" s="1" t="s">
        <v>10753</v>
      </c>
      <c r="V2164" s="1" t="s">
        <v>45</v>
      </c>
      <c r="W2164" s="1"/>
      <c r="X2164" s="1"/>
      <c r="Y2164" s="1"/>
      <c r="Z2164" s="1" t="s">
        <v>673</v>
      </c>
      <c r="AA2164" s="1" t="s">
        <v>46</v>
      </c>
      <c r="AB2164" s="1" t="s">
        <v>10754</v>
      </c>
      <c r="AC2164" s="1" t="s">
        <v>46</v>
      </c>
      <c r="AD2164" s="1"/>
      <c r="AE2164" s="1" t="s">
        <v>641</v>
      </c>
      <c r="AF2164" s="1" t="s">
        <v>45</v>
      </c>
      <c r="AG2164" s="1">
        <v>6</v>
      </c>
      <c r="AH2164" s="1" t="s">
        <v>190</v>
      </c>
      <c r="AI2164" s="1" t="s">
        <v>10755</v>
      </c>
      <c r="AJ2164" s="3">
        <v>43263.779178240744</v>
      </c>
      <c r="AK2164" s="1" t="s">
        <v>8686</v>
      </c>
    </row>
    <row r="2165" spans="1:37">
      <c r="A2165" s="1" t="e">
        <f>VLOOKUP(H2165,Languages!$A$2:$B$430,2,FALSE)</f>
        <v>#N/A</v>
      </c>
      <c r="B2165" s="1" t="s">
        <v>1707</v>
      </c>
      <c r="C2165" s="1" t="s">
        <v>4417</v>
      </c>
      <c r="D2165" s="1" t="s">
        <v>4723</v>
      </c>
      <c r="E2165" s="15" t="s">
        <v>3656</v>
      </c>
      <c r="F2165" s="15" t="s">
        <v>4724</v>
      </c>
      <c r="G2165" s="1" t="s">
        <v>4725</v>
      </c>
      <c r="H2165" s="1">
        <f>VLOOKUP(G2165,'languoid 4.0'!$A$1:$I$24439,2,FALSE)</f>
        <v>0</v>
      </c>
      <c r="I2165" s="1" t="str">
        <f>VLOOKUP(G2165,'languoid 4.0'!$A$1:$I$24439,6,FALSE)</f>
        <v>language</v>
      </c>
      <c r="J2165" s="15" t="s">
        <v>52</v>
      </c>
      <c r="K2165" s="15" t="s">
        <v>38</v>
      </c>
      <c r="L2165" s="15" t="s">
        <v>38</v>
      </c>
      <c r="M2165" s="1"/>
      <c r="N2165" s="1" t="s">
        <v>4419</v>
      </c>
      <c r="O2165" s="15" t="s">
        <v>40</v>
      </c>
      <c r="P2165" s="15" t="s">
        <v>41</v>
      </c>
      <c r="Q2165" s="1" t="s">
        <v>4730</v>
      </c>
      <c r="R2165" s="2" t="s">
        <v>4731</v>
      </c>
      <c r="S2165" s="1" t="s">
        <v>46</v>
      </c>
      <c r="T2165" s="1" t="s">
        <v>635</v>
      </c>
      <c r="U2165" s="1" t="s">
        <v>636</v>
      </c>
      <c r="V2165" s="1" t="s">
        <v>45</v>
      </c>
      <c r="W2165" s="1"/>
      <c r="X2165" s="1"/>
      <c r="Y2165" s="1"/>
      <c r="Z2165" s="1" t="s">
        <v>658</v>
      </c>
      <c r="AA2165" s="1" t="s">
        <v>4732</v>
      </c>
      <c r="AB2165" s="1" t="s">
        <v>4733</v>
      </c>
      <c r="AC2165" s="1" t="s">
        <v>46</v>
      </c>
      <c r="AD2165" s="1" t="s">
        <v>4734</v>
      </c>
      <c r="AE2165" s="1" t="s">
        <v>641</v>
      </c>
      <c r="AF2165" s="1" t="s">
        <v>190</v>
      </c>
      <c r="AG2165" s="1">
        <v>6</v>
      </c>
      <c r="AH2165" s="1" t="s">
        <v>190</v>
      </c>
      <c r="AI2165" s="1"/>
      <c r="AJ2165" s="3">
        <v>43349.604513888888</v>
      </c>
      <c r="AK2165" s="1" t="s">
        <v>4424</v>
      </c>
    </row>
    <row r="2166" spans="1:37">
      <c r="A2166" s="1" t="e">
        <f>VLOOKUP(H2166,Languages!$A$2:$B$430,2,FALSE)</f>
        <v>#N/A</v>
      </c>
      <c r="B2166" s="1" t="s">
        <v>1707</v>
      </c>
      <c r="C2166" s="1" t="s">
        <v>4417</v>
      </c>
      <c r="D2166" s="1" t="s">
        <v>4723</v>
      </c>
      <c r="E2166" s="15" t="s">
        <v>4725</v>
      </c>
      <c r="F2166" s="15" t="s">
        <v>4725</v>
      </c>
      <c r="G2166" s="1" t="s">
        <v>4725</v>
      </c>
      <c r="H2166" s="1">
        <f>VLOOKUP(G2166,'languoid 4.0'!$A$1:$I$24439,2,FALSE)</f>
        <v>0</v>
      </c>
      <c r="I2166" s="1" t="str">
        <f>VLOOKUP(G2166,'languoid 4.0'!$A$1:$I$24439,6,FALSE)</f>
        <v>language</v>
      </c>
      <c r="J2166" s="15" t="s">
        <v>38</v>
      </c>
      <c r="K2166" s="15" t="s">
        <v>38</v>
      </c>
      <c r="L2166" s="15" t="s">
        <v>38</v>
      </c>
      <c r="M2166" s="1"/>
      <c r="N2166" s="1" t="s">
        <v>7299</v>
      </c>
      <c r="O2166" s="15" t="s">
        <v>40</v>
      </c>
      <c r="P2166" s="15" t="s">
        <v>41</v>
      </c>
      <c r="Q2166" s="1" t="s">
        <v>7300</v>
      </c>
      <c r="R2166" s="2" t="s">
        <v>7301</v>
      </c>
      <c r="S2166" s="1" t="s">
        <v>46</v>
      </c>
      <c r="T2166" s="1" t="s">
        <v>7302</v>
      </c>
      <c r="U2166" s="1" t="s">
        <v>636</v>
      </c>
      <c r="V2166" s="1" t="s">
        <v>45</v>
      </c>
      <c r="W2166" s="1"/>
      <c r="X2166" s="1"/>
      <c r="Y2166" s="1"/>
      <c r="Z2166" s="1" t="s">
        <v>673</v>
      </c>
      <c r="AA2166" s="1" t="s">
        <v>46</v>
      </c>
      <c r="AB2166" s="1" t="s">
        <v>7303</v>
      </c>
      <c r="AC2166" s="1" t="s">
        <v>46</v>
      </c>
      <c r="AD2166" s="1"/>
      <c r="AE2166" s="1" t="s">
        <v>641</v>
      </c>
      <c r="AF2166" s="1" t="s">
        <v>190</v>
      </c>
      <c r="AG2166" s="1">
        <v>6</v>
      </c>
      <c r="AH2166" s="1" t="s">
        <v>190</v>
      </c>
      <c r="AI2166" s="1"/>
      <c r="AJ2166" s="3">
        <v>43381.877384259256</v>
      </c>
      <c r="AK2166" s="1" t="s">
        <v>4424</v>
      </c>
    </row>
  </sheetData>
  <autoFilter ref="A1:AK2166" xr:uid="{8FB9619E-2399-2547-8996-955D12CDB2D2}"/>
  <sortState ref="A2:AK2166">
    <sortCondition ref="B2:B2166"/>
  </sortState>
  <hyperlinks>
    <hyperlink ref="R1720" r:id="rId1" xr:uid="{6D5DECF5-E889-3D4F-9224-0CC731693BB8}"/>
    <hyperlink ref="R244" r:id="rId2" xr:uid="{3F55EFBD-7886-D741-A7F6-0E1456B8F321}"/>
    <hyperlink ref="R1415" r:id="rId3" xr:uid="{5E59E188-2746-1643-8821-3D56CF6A29C1}"/>
    <hyperlink ref="R391" r:id="rId4" xr:uid="{A55E30C5-6CD2-A74A-B83F-10CF58009714}"/>
    <hyperlink ref="R1685" r:id="rId5" xr:uid="{EA4D1149-A409-674C-B8EF-749D06D76EC9}"/>
    <hyperlink ref="R115" r:id="rId6" xr:uid="{E78BC588-2E8C-6F46-AC7F-9C18F5343796}"/>
    <hyperlink ref="R134" r:id="rId7" xr:uid="{01842644-1B11-144B-98A9-EB8A921F7D40}"/>
    <hyperlink ref="R1031" r:id="rId8" xr:uid="{FB308607-7E6E-3046-ABE5-40D9401AEFAC}"/>
    <hyperlink ref="R2084" r:id="rId9" xr:uid="{1A716964-C07D-B74A-945F-8B52E0B4714F}"/>
    <hyperlink ref="R49" r:id="rId10" xr:uid="{F1776AFD-CF8E-8D45-889F-AB998EF61DE3}"/>
    <hyperlink ref="R414" r:id="rId11" xr:uid="{F803EE8B-3AB4-8C43-BF38-3A97CFA320B9}"/>
    <hyperlink ref="R1687" r:id="rId12" xr:uid="{16390BD0-AF81-494A-B9D0-3460EAEB7C0A}"/>
    <hyperlink ref="R212" r:id="rId13" xr:uid="{7B73C953-49CA-9349-8537-8A57931DD24B}"/>
    <hyperlink ref="R1660" r:id="rId14" xr:uid="{BD4BF68E-246D-254F-85F6-BE66694A31E0}"/>
    <hyperlink ref="R1000" r:id="rId15" xr:uid="{282DC093-7A81-054E-882B-B6A9CB035492}"/>
    <hyperlink ref="R721" r:id="rId16" xr:uid="{53E19B03-01C4-CD46-9140-94817624D968}"/>
    <hyperlink ref="R1056" r:id="rId17" xr:uid="{253F8DA5-838F-AF43-91B8-227FADAD0825}"/>
    <hyperlink ref="R229" r:id="rId18" xr:uid="{AC66F78E-BAB9-2E47-B8F0-D6E9A373CF4E}"/>
    <hyperlink ref="R260" r:id="rId19" xr:uid="{4DFB941F-732B-064B-BA9D-279484EB5C5D}"/>
    <hyperlink ref="R444" r:id="rId20" xr:uid="{B6A8C2C2-3D20-344B-8312-5059029515BE}"/>
    <hyperlink ref="R957" r:id="rId21" xr:uid="{5DBCFD1C-5062-6A4A-B25D-2CD14F30A451}"/>
    <hyperlink ref="R117" r:id="rId22" xr:uid="{FA58191C-7A06-2243-B52A-9F60D406805A}"/>
    <hyperlink ref="R401" r:id="rId23" xr:uid="{8F7FCA1F-5F74-F746-9973-B5FE9F64D8EF}"/>
    <hyperlink ref="R745" r:id="rId24" xr:uid="{27F820C4-BF64-4A48-ACFF-C3BE8AE5EDFA}"/>
    <hyperlink ref="R1538" r:id="rId25" xr:uid="{089CA4BD-7792-4941-BE03-983437C8ED07}"/>
    <hyperlink ref="R129" r:id="rId26" xr:uid="{88558E43-602D-C141-8C3B-55A5271CC4AC}"/>
    <hyperlink ref="R480" r:id="rId27" xr:uid="{5B2F985D-6613-DC48-B5B8-6627BA8FAB69}"/>
    <hyperlink ref="R1471" r:id="rId28" xr:uid="{2AD95180-6491-9D48-8F9E-CF4510E57A0F}"/>
    <hyperlink ref="R731" r:id="rId29" xr:uid="{690C715E-2635-0D4E-98EE-587164BDCBE4}"/>
    <hyperlink ref="R1010" r:id="rId30" xr:uid="{95C1AB38-B1F0-0B40-ABAC-90571588E5C5}"/>
    <hyperlink ref="R1856" r:id="rId31" xr:uid="{726A4ED2-F266-9C44-91E2-B70887008002}"/>
    <hyperlink ref="R232" r:id="rId32" xr:uid="{5CAF5EDA-4481-774E-BCF6-0EDBCE7ADE97}"/>
    <hyperlink ref="R228" r:id="rId33" xr:uid="{8640961F-3C55-BF4F-A05E-EBCEC007D580}"/>
    <hyperlink ref="R901" r:id="rId34" xr:uid="{5BD14EE0-15CD-A243-8050-96CDE347B23A}"/>
    <hyperlink ref="R454" r:id="rId35" xr:uid="{7D74BDB6-58A6-204F-A0EC-C394F373F6CB}"/>
    <hyperlink ref="R820" r:id="rId36" xr:uid="{A518EB4C-388F-1545-BFB8-8688FA863966}"/>
    <hyperlink ref="R714" r:id="rId37" xr:uid="{9F7E0AD9-8CB8-C04E-9445-A32F211002EF}"/>
    <hyperlink ref="R152" r:id="rId38" xr:uid="{88439EC2-CE6B-224B-93CF-F0F8185659B9}"/>
    <hyperlink ref="R1663" r:id="rId39" xr:uid="{11A6EE87-81F8-CA49-9144-3ED103F902BA}"/>
    <hyperlink ref="R1063" r:id="rId40" xr:uid="{74A8D2FA-A700-394E-9E52-5373AEEF0AD9}"/>
    <hyperlink ref="R2078" r:id="rId41" xr:uid="{0238F750-4BCA-8B4E-9DBC-C0E41B9D63E2}"/>
    <hyperlink ref="R1993" r:id="rId42" xr:uid="{0CB4A9FD-2103-1A4C-B0D0-FFAA18905C7C}"/>
    <hyperlink ref="R674" r:id="rId43" xr:uid="{0AF900CB-F2E9-C64D-BA11-3E1E796403BE}"/>
    <hyperlink ref="R1753" r:id="rId44" xr:uid="{259584FD-4E27-FE46-875C-BD4FE6CD2475}"/>
    <hyperlink ref="R427" r:id="rId45" xr:uid="{CDE4DB15-BE88-B445-8729-387B1FC81143}"/>
    <hyperlink ref="R865" r:id="rId46" xr:uid="{3CA77B52-F4C9-194E-B3E6-B7572802C66A}"/>
    <hyperlink ref="R1781" r:id="rId47" xr:uid="{323D4DD7-B47D-7443-9398-25C561052A9A}"/>
    <hyperlink ref="R1392" r:id="rId48" xr:uid="{90A02FFD-9A53-2144-922E-2479B247296F}"/>
    <hyperlink ref="R242" r:id="rId49" xr:uid="{C418F980-7741-EB46-9D78-FA5827DBE3EF}"/>
    <hyperlink ref="R989" r:id="rId50" xr:uid="{2F154F72-B805-3E41-88B1-5C75C352B843}"/>
    <hyperlink ref="R762" r:id="rId51" xr:uid="{8795C334-C8B0-BE49-AA25-3BBC59BB125C}"/>
    <hyperlink ref="R1628" r:id="rId52" xr:uid="{96A81382-FE6F-6E4E-99C0-570E657B687B}"/>
    <hyperlink ref="R465" r:id="rId53" xr:uid="{B41E8ABC-8877-8C4B-A3C9-FF05870C8936}"/>
    <hyperlink ref="R758" r:id="rId54" xr:uid="{4787E2C8-03C7-5544-9957-6D8EEF74006F}"/>
    <hyperlink ref="R1581" r:id="rId55" xr:uid="{49F5516E-38D9-D749-9539-4E60D3BFCDA9}"/>
    <hyperlink ref="R474" r:id="rId56" xr:uid="{471D72DD-8366-A743-BFFC-4D3DBBFEE707}"/>
    <hyperlink ref="R2055" r:id="rId57" xr:uid="{CB29061D-D6BA-FB4B-953F-52DC5CFB5005}"/>
    <hyperlink ref="R2023" r:id="rId58" xr:uid="{3C7EC467-FD07-6F42-A246-CB3B88C03BFF}"/>
    <hyperlink ref="R1067" r:id="rId59" xr:uid="{6DCC50DE-C1EA-144D-A4E8-D10304F8E6FF}"/>
    <hyperlink ref="R1632" r:id="rId60" xr:uid="{4A89F041-68F9-2940-804D-C5B5172C4063}"/>
    <hyperlink ref="R1767" r:id="rId61" xr:uid="{6170DB3C-482E-854C-83F7-BA78918F7D55}"/>
    <hyperlink ref="R182" r:id="rId62" xr:uid="{219FE9ED-3652-DB4D-BA67-724283B82D81}"/>
    <hyperlink ref="R717" r:id="rId63" xr:uid="{E7554ECA-2203-6046-8724-7A3DA9130A33}"/>
    <hyperlink ref="R58" r:id="rId64" xr:uid="{7134122D-C510-2140-BAE8-9FD65B0B9E09}"/>
    <hyperlink ref="R675" r:id="rId65" xr:uid="{72C18CB1-8043-E648-BF84-F805546CA01C}"/>
    <hyperlink ref="R1919" r:id="rId66" xr:uid="{216078D6-114B-FA4B-8798-25BFFC56D4FE}"/>
    <hyperlink ref="R1850" r:id="rId67" xr:uid="{D630D1BD-A834-014C-BC71-A3839CA6706A}"/>
    <hyperlink ref="R1939" r:id="rId68" xr:uid="{E8625F44-4256-AB47-8845-7557AE5B24C5}"/>
    <hyperlink ref="R1693" r:id="rId69" xr:uid="{E4494AF6-AB35-BC40-8DC5-5DFB10D5F209}"/>
    <hyperlink ref="R1946" r:id="rId70" xr:uid="{56E8F04F-BC77-D244-9FCF-B2231679CBBD}"/>
    <hyperlink ref="R2049" r:id="rId71" xr:uid="{542C8601-9BD9-D946-93F6-DC44DF5EFC1A}"/>
    <hyperlink ref="R1990" r:id="rId72" xr:uid="{9371F12E-AD07-CD45-BACB-EBC5A5676FFC}"/>
    <hyperlink ref="R1656" r:id="rId73" xr:uid="{0D4C2236-4FA8-CE4F-9D74-CE73ACA041AF}"/>
    <hyperlink ref="R961" r:id="rId74" xr:uid="{CC7E157D-7A6B-8347-970B-F0C6DE581739}"/>
    <hyperlink ref="R1370" r:id="rId75" xr:uid="{24550B91-B6A1-CB40-B8A7-318413F694A8}"/>
    <hyperlink ref="R225" r:id="rId76" xr:uid="{1E5EF457-6C8A-E14A-83A6-C8129878BCE0}"/>
    <hyperlink ref="R959" r:id="rId77" xr:uid="{3AED832C-3E8B-CE4E-A756-9CE998608983}"/>
    <hyperlink ref="R478" r:id="rId78" xr:uid="{D39DDB64-DEF9-594C-AC72-12FFF288DED0}"/>
    <hyperlink ref="R1911" r:id="rId79" xr:uid="{B6B0D242-EA12-044D-BFCC-C62961C8B1FE}"/>
    <hyperlink ref="R157" r:id="rId80" xr:uid="{157FF1CB-850B-F74D-80DC-397F7D1E0C28}"/>
    <hyperlink ref="R127" r:id="rId81" xr:uid="{186299B8-1CA0-3A4D-813A-64C8FCFED376}"/>
    <hyperlink ref="R222" r:id="rId82" xr:uid="{8FBD42D6-F052-1240-A6BB-ADCAF82D75B9}"/>
    <hyperlink ref="R1547" r:id="rId83" xr:uid="{3D61F95F-12E2-304C-9A08-C1DCBBC01334}"/>
    <hyperlink ref="R23" r:id="rId84" xr:uid="{8A3B24D0-5023-C646-ADD6-C1E8B18C1701}"/>
    <hyperlink ref="R1861" r:id="rId85" xr:uid="{86301B07-C161-D94C-9425-188D2D530511}"/>
    <hyperlink ref="R1718" r:id="rId86" xr:uid="{EE76D9C9-2931-C040-81C4-46229BD21CC8}"/>
    <hyperlink ref="R1450" r:id="rId87" xr:uid="{D39FF8BE-55DD-1A4A-B065-2A1A337F7076}"/>
    <hyperlink ref="R126" r:id="rId88" xr:uid="{98BEE0AB-9DEC-FF47-A2C8-CF24C37B71E3}"/>
    <hyperlink ref="R189" r:id="rId89" xr:uid="{4D4E576E-0F67-F047-B6A5-D03511F2ADBD}"/>
    <hyperlink ref="R669" r:id="rId90" xr:uid="{EA4A3103-11A2-6845-9594-33F0FB0721CE}"/>
    <hyperlink ref="R1606" r:id="rId91" xr:uid="{8477149D-B84C-C747-97E7-04919A376F8E}"/>
    <hyperlink ref="R433" r:id="rId92" xr:uid="{FDD5EB1E-909F-8540-BB54-BD144ABC83F1}"/>
    <hyperlink ref="R899" r:id="rId93" xr:uid="{4D0712A4-21E4-864E-888F-DDA8C2DC9594}"/>
    <hyperlink ref="R194" r:id="rId94" xr:uid="{FE5F0747-DCE2-4F4B-BC93-5D7688663EC7}"/>
    <hyperlink ref="R251" r:id="rId95" xr:uid="{86B5BDF2-3AF8-4146-AA47-6E22EF055A9E}"/>
    <hyperlink ref="R765" r:id="rId96" xr:uid="{105991E8-E333-7B4D-A81D-CAFDBF612403}"/>
    <hyperlink ref="R2050" r:id="rId97" xr:uid="{7E63D632-BC55-4240-AFC8-3D0F6F7CAC92}"/>
    <hyperlink ref="R383" r:id="rId98" xr:uid="{C38B6AFF-E6C3-5F4F-92BD-2B63DEA0F28F}"/>
    <hyperlink ref="R685" r:id="rId99" xr:uid="{D89F4CD8-138C-934C-96E2-160BDCD8C10C}"/>
    <hyperlink ref="R1855" r:id="rId100" xr:uid="{878B3A36-A62C-6149-8B3B-ED1453411727}"/>
    <hyperlink ref="R226" r:id="rId101" xr:uid="{43C7335E-7E8C-6244-9D96-B38E54176B7D}"/>
    <hyperlink ref="R38" r:id="rId102" xr:uid="{CE488D03-0452-1545-A806-0D7FA72E1794}"/>
    <hyperlink ref="R132" r:id="rId103" xr:uid="{ED7E399F-4446-AB4F-B731-D3F39604B31C}"/>
    <hyperlink ref="R864" r:id="rId104" xr:uid="{9E2E3286-E51A-7543-8632-41CD0F192EB2}"/>
    <hyperlink ref="R1488" r:id="rId105" xr:uid="{E0513ED1-871E-AC4A-95B6-794CA3ADE5C4}"/>
    <hyperlink ref="R40" r:id="rId106" xr:uid="{105A3CB9-FE0E-DA4C-B947-4EFCC0021D87}"/>
    <hyperlink ref="R2085" r:id="rId107" xr:uid="{C1049770-734E-5145-AFB2-79BC0BAA44E8}"/>
    <hyperlink ref="R133" r:id="rId108" xr:uid="{42CB1AAC-68B8-A249-AF9A-7E58EF532D29}"/>
    <hyperlink ref="R918" r:id="rId109" xr:uid="{6796DF06-B369-5A4C-B15E-CF38B578668B}"/>
    <hyperlink ref="R436" r:id="rId110" xr:uid="{D54F0740-AC6E-2048-A4EC-F6F0C69B3E2B}"/>
    <hyperlink ref="R821" r:id="rId111" display="https://theglobaljukebox.org/" xr:uid="{EA7EB2AB-DEBE-8D4E-97C0-0AEEA380E48E}"/>
    <hyperlink ref="R1596" r:id="rId112" xr:uid="{8F31007C-6781-0443-9461-090D8828E937}"/>
    <hyperlink ref="R826" r:id="rId113" xr:uid="{91862EC0-549B-4440-B2F9-D2FF6F32209C}"/>
    <hyperlink ref="R806" r:id="rId114" xr:uid="{DCE7B72B-DE6C-4547-B146-B2D7E695D2F1}"/>
    <hyperlink ref="R807" r:id="rId115" xr:uid="{CA4BF427-7C29-C244-98CB-D0BE1BDFF121}"/>
    <hyperlink ref="R1629" r:id="rId116" xr:uid="{B3C45C81-5F18-3E40-9DB1-50C910CF56AF}"/>
    <hyperlink ref="R1597" r:id="rId117" xr:uid="{58612616-7D5E-3D4A-B705-1E3E884B9118}"/>
    <hyperlink ref="R1630" r:id="rId118" xr:uid="{B842B3A7-0F2E-A048-B7FA-270F616A3394}"/>
    <hyperlink ref="R1598" r:id="rId119" xr:uid="{BB4EEB3E-0FD7-CB49-AAF0-33B5593F44BD}"/>
    <hyperlink ref="R2020" r:id="rId120" xr:uid="{44FBEDEC-A90C-114E-8FB9-ED0E8E48A048}"/>
    <hyperlink ref="R808" r:id="rId121" xr:uid="{447958B7-FF13-5842-BA14-79B4156F74D9}"/>
    <hyperlink ref="R827" r:id="rId122" xr:uid="{CC057A3F-1230-3440-87C8-03DA0D869019}"/>
    <hyperlink ref="R20" r:id="rId123" xr:uid="{E91107E8-5696-FF4A-81C8-C1D16701F027}"/>
    <hyperlink ref="R822" r:id="rId124" xr:uid="{5CC5A9BE-E68F-3B46-BF09-56D7650CB65C}"/>
    <hyperlink ref="R41" r:id="rId125" xr:uid="{E8F9BEE2-7F96-8344-BE26-2DA6060BFF0F}"/>
    <hyperlink ref="R828" r:id="rId126" xr:uid="{6E877E1D-347E-5C4B-9D5B-F5E7B6B7C3C0}"/>
    <hyperlink ref="R1545" r:id="rId127" xr:uid="{5BA29966-A916-5741-8F2C-313B88E20CB1}"/>
    <hyperlink ref="R42" r:id="rId128" xr:uid="{E3FA751B-73D0-FC4C-82B0-A0DA54E7A77C}"/>
    <hyperlink ref="R1711" r:id="rId129" xr:uid="{2817DFEA-D0A3-5944-B48B-6C7EF8A60044}"/>
    <hyperlink ref="R21" r:id="rId130" xr:uid="{AA7A40C9-3CAF-BC49-85A4-8EFC8484DA7E}"/>
    <hyperlink ref="R36" r:id="rId131" xr:uid="{89D86669-4A0B-F549-81E0-D590DE440CD0}"/>
    <hyperlink ref="R1845" r:id="rId132" xr:uid="{F624D511-60C1-2F4C-9DD7-9AF293223D6C}"/>
    <hyperlink ref="R248" r:id="rId133" xr:uid="{D4092635-8032-8A4E-B5BD-E6945A484407}"/>
    <hyperlink ref="R201" r:id="rId134" xr:uid="{C70BFD12-2DED-7046-BA53-D7DF0608B449}"/>
    <hyperlink ref="R202" r:id="rId135" xr:uid="{0FC19D07-B7D1-CE41-A383-E24F0CC6F95A}"/>
    <hyperlink ref="R283" r:id="rId136" xr:uid="{43DF7170-3800-674B-BE97-E2C8D4F0DB8C}"/>
    <hyperlink ref="R1605" r:id="rId137" xr:uid="{602EC203-BA68-5A41-80C4-70229A8552C6}"/>
    <hyperlink ref="R1638" r:id="rId138" xr:uid="{B7B8B89F-88C5-044F-8DBE-200E6AB2E8A1}"/>
    <hyperlink ref="R1599" r:id="rId139" xr:uid="{FA340BCD-54DA-9B45-8966-3242698673C8}"/>
    <hyperlink ref="R1600" r:id="rId140" xr:uid="{347A7960-0F1E-4F45-B2AB-26EFC2AD9935}"/>
    <hyperlink ref="R1604" r:id="rId141" xr:uid="{E500652F-CDCF-314F-8ABD-C1A0E8FABBF2}"/>
    <hyperlink ref="R679" r:id="rId142" xr:uid="{9719102F-2FD7-EF4E-B23A-CD5B2C8BC25B}"/>
    <hyperlink ref="R150" r:id="rId143" xr:uid="{1E2FDE7E-A2BC-2845-A4B5-469EF1266723}"/>
    <hyperlink ref="R141" r:id="rId144" xr:uid="{58597CAD-7712-9946-834B-57F810828F6E}"/>
    <hyperlink ref="R1763" r:id="rId145" xr:uid="{2CD3BD0E-06E7-5445-95CA-7E581B38C068}"/>
    <hyperlink ref="R1557" r:id="rId146" xr:uid="{AF04FEF1-5E10-F846-A93E-783FD1120BB3}"/>
    <hyperlink ref="R1558" r:id="rId147" xr:uid="{55E70D7A-7E13-6A4F-B2CE-3B6022C55D94}"/>
    <hyperlink ref="R1548" r:id="rId148" xr:uid="{E8194417-5472-D246-BBF8-FE227D1C693D}"/>
    <hyperlink ref="R249" r:id="rId149" xr:uid="{CCA36F4D-AD00-7C4A-B6BD-D30FB8A3ABAE}"/>
    <hyperlink ref="R2048" r:id="rId150" xr:uid="{0A8B4B47-8B4C-9246-B6F7-28E5281AF72C}"/>
    <hyperlink ref="R1542" r:id="rId151" xr:uid="{C2A9911D-7DCA-2E43-8B11-C24CF800C96B}"/>
    <hyperlink ref="R37" r:id="rId152" xr:uid="{F58F73E2-CB9C-9840-8703-2A72C789825C}"/>
    <hyperlink ref="R2028" r:id="rId153" xr:uid="{CFC1AD9E-C307-264B-B614-3BEDBDC9E264}"/>
    <hyperlink ref="R1546" r:id="rId154" xr:uid="{445444A0-D5A7-0F48-B2E7-16A4E0DEB0B9}"/>
    <hyperlink ref="R2019" r:id="rId155" xr:uid="{170604D7-58D9-7F4E-B33F-39F9846A02B2}"/>
    <hyperlink ref="R2045" r:id="rId156" xr:uid="{AAB41E08-8EE3-EF4D-9F86-FAA36092B5B0}"/>
    <hyperlink ref="R2072" r:id="rId157" xr:uid="{F4B532A5-B473-974F-92CF-25975FEBF771}"/>
    <hyperlink ref="R695" r:id="rId158" xr:uid="{3D1710E2-1338-FA4E-8CA4-0AAD28092DA8}"/>
    <hyperlink ref="R2046" r:id="rId159" xr:uid="{379A0E8A-3D81-A543-BFD9-25A6A0D14C4E}"/>
    <hyperlink ref="R849" r:id="rId160" xr:uid="{99ACF2B8-EBBC-1841-90F7-323EB0842C58}"/>
    <hyperlink ref="R848" r:id="rId161" xr:uid="{8984F305-B10E-F543-99CC-0849821C79F4}"/>
    <hyperlink ref="R851" r:id="rId162" xr:uid="{198529FC-6C1C-BD47-ABDC-848456A13C93}"/>
    <hyperlink ref="R850" r:id="rId163" xr:uid="{8FBA66A5-96D0-8540-9D83-B8D0258B6400}"/>
    <hyperlink ref="R43" r:id="rId164" xr:uid="{D306FF37-7CF4-414D-BD9E-DEE0E72B4E59}"/>
    <hyperlink ref="R1539" r:id="rId165" xr:uid="{7A7F6EF3-35EB-3A4B-B0A2-774CE8BE7B4A}"/>
    <hyperlink ref="R1120" r:id="rId166" xr:uid="{FCF2640D-7DB4-624E-8D5C-F1C2BFEED2E2}"/>
    <hyperlink ref="R213" r:id="rId167" xr:uid="{C4FD3FC7-9360-614A-8116-048BBEC22006}"/>
    <hyperlink ref="AD213" r:id="rId168" xr:uid="{398EF330-C585-414C-BB35-55BD0C49ADE5}"/>
    <hyperlink ref="R1712" r:id="rId169" xr:uid="{1EB177E9-5D2D-214F-BFDB-CC01AAA4FE19}"/>
    <hyperlink ref="R231" r:id="rId170" xr:uid="{5D47A888-C75E-7F48-8B27-A05824BA863C}"/>
    <hyperlink ref="R44" r:id="rId171" xr:uid="{0E83C47B-C2FF-5A48-973F-E957C6074FCD}"/>
    <hyperlink ref="R203" r:id="rId172" xr:uid="{1DDE576D-32F4-744B-AC23-A6D6B3D8383A}"/>
    <hyperlink ref="R204" r:id="rId173" xr:uid="{375732BE-E59D-4E48-9055-2835B5EAD77C}"/>
    <hyperlink ref="R186" r:id="rId174" display="https://theglobaljukebox.org/" xr:uid="{4AF8622A-FA9F-AA4B-B444-365BCEC580C7}"/>
    <hyperlink ref="R184" r:id="rId175" display="https://theglobaljukebox.org/" xr:uid="{EA3D5CAA-8F40-044A-AF31-D688AC600646}"/>
    <hyperlink ref="R819" r:id="rId176" display="https://theglobaljukebox.org/" xr:uid="{19B5D6DE-3541-E944-BA4B-564D8E9C535F}"/>
    <hyperlink ref="R185" r:id="rId177" display="https://theglobaljukebox.org/" xr:uid="{31F68AC6-C126-6B47-ABDA-9D8199CB3466}"/>
    <hyperlink ref="R829" r:id="rId178" display="https://theglobaljukebox.org/" xr:uid="{9371ECF7-0566-0D4A-88FC-98E4101A5665}"/>
    <hyperlink ref="R187" r:id="rId179" display="https://theglobaljukebox.org/" xr:uid="{63CB9B85-6066-3A41-83DE-DCB2CA8F5F98}"/>
    <hyperlink ref="R181" r:id="rId180" display="https://theglobaljukebox.org/" xr:uid="{31C0A008-2AA4-2146-B688-18600F41E6C6}"/>
    <hyperlink ref="R1001" r:id="rId181" xr:uid="{A8F4294C-1203-7C44-B318-D78649ACC61F}"/>
    <hyperlink ref="R914" r:id="rId182" xr:uid="{B7BCD269-55A1-744B-9869-DA444CEE7019}"/>
    <hyperlink ref="R357" r:id="rId183" xr:uid="{E6598A3C-46A3-F44B-AA43-E589D609A710}"/>
    <hyperlink ref="R1559" r:id="rId184" xr:uid="{F7452A92-9FF8-054C-95A4-8EC65628CA3E}"/>
    <hyperlink ref="R1560" r:id="rId185" xr:uid="{80431D2B-6C90-D74C-941C-966C57F6F3B7}"/>
    <hyperlink ref="R1561" r:id="rId186" xr:uid="{B4538973-0FAF-9C46-A6B7-F70D6FBD570B}"/>
    <hyperlink ref="R284" r:id="rId187" xr:uid="{F6C48F46-571A-8048-BF6E-48A167B17807}"/>
    <hyperlink ref="R250" r:id="rId188" xr:uid="{A2BBDD4C-8C35-7F4C-B6AE-46C5117A942B}"/>
    <hyperlink ref="R823" r:id="rId189" xr:uid="{C3623A0C-5799-C240-A17B-0561A65ED317}"/>
    <hyperlink ref="R813" r:id="rId190" xr:uid="{570CB472-60E9-AD43-BE74-C81DDD8B12CA}"/>
    <hyperlink ref="R814" r:id="rId191" xr:uid="{E2F0BB77-5A77-9449-8CF5-2DA404E16B8D}"/>
    <hyperlink ref="R815" r:id="rId192" xr:uid="{617AFC7F-303D-AE4F-9779-B39A44C517B7}"/>
    <hyperlink ref="R816" r:id="rId193" xr:uid="{0B1A7CC6-037B-9543-9821-B690B345FDF0}"/>
    <hyperlink ref="R817" r:id="rId194" xr:uid="{8FE62EC1-DED4-FD45-8B0A-44F78C4C1FC1}"/>
    <hyperlink ref="R818" r:id="rId195" xr:uid="{2025F84E-FB1B-F141-9C7B-FBB381B68EF1}"/>
    <hyperlink ref="R809" r:id="rId196" xr:uid="{00CDA2FD-58E9-914F-B845-F0125E3624E2}"/>
    <hyperlink ref="R1747" r:id="rId197" xr:uid="{05DDEB27-1BF5-2D4A-868A-B9B6F5139E85}"/>
    <hyperlink ref="R1748" r:id="rId198" xr:uid="{84B6A9BB-09E9-1F49-A48B-10277BF43F15}"/>
    <hyperlink ref="R667" r:id="rId199" xr:uid="{AD622307-EFE5-0840-AEE5-4C9F77498C55}"/>
    <hyperlink ref="R137" r:id="rId200" xr:uid="{D509E47E-0512-1D44-8D5E-6F2F833369DE}"/>
    <hyperlink ref="R1688" r:id="rId201" xr:uid="{1D1AC75D-19EF-1D44-9D14-A7E9C11BE4EC}"/>
    <hyperlink ref="R787" r:id="rId202" xr:uid="{257FC7F6-691A-6447-849E-A7E2BF5016AB}"/>
    <hyperlink ref="R772" r:id="rId203" xr:uid="{70CC6F81-7436-9C49-B52F-687F10461090}"/>
    <hyperlink ref="R958" r:id="rId204" xr:uid="{1EA7BDA4-830E-C545-832D-A73D974AAD4E}"/>
    <hyperlink ref="R1002" r:id="rId205" xr:uid="{A67398C3-21CA-3647-8A94-892C712EE339}"/>
    <hyperlink ref="R1064" r:id="rId206" xr:uid="{C5F7E81C-FFE9-8944-821E-4F1A4D9BA720}"/>
    <hyperlink ref="R1695" r:id="rId207" xr:uid="{CA33DC51-0798-4F48-BE42-4D0313E74937}"/>
    <hyperlink ref="R773" r:id="rId208" xr:uid="{C068519A-93FE-E245-9F04-2B0B7831E00E}"/>
    <hyperlink ref="R777" r:id="rId209" xr:uid="{85FCFCEC-C798-314A-9E4B-FC072A2FDB32}"/>
    <hyperlink ref="R774" r:id="rId210" xr:uid="{DBF62CC0-6A1D-9B4C-9D6A-4D16ABB4381C}"/>
    <hyperlink ref="R780" r:id="rId211" xr:uid="{4A954574-66D6-9B47-99ED-EBD665AE1436}"/>
    <hyperlink ref="R358" r:id="rId212" xr:uid="{4410613B-632C-964B-959D-D8171C11CA1E}"/>
    <hyperlink ref="R2056" r:id="rId213" xr:uid="{0E92A4BD-4962-6A4F-9CF2-BB6ECBD76517}"/>
    <hyperlink ref="R810" r:id="rId214" xr:uid="{88A6A646-FF7A-E143-B3FA-1A2253D49180}"/>
    <hyperlink ref="R811" r:id="rId215" xr:uid="{2D033EED-A1B1-B54F-AD8B-76CCA86A85E7}"/>
    <hyperlink ref="R830" r:id="rId216" xr:uid="{7AF197FB-71A3-6C43-A273-8C0BFA63A449}"/>
    <hyperlink ref="R1394" r:id="rId217" xr:uid="{874FA2F3-C50B-7C43-A8A3-D60B1EE86FE6}"/>
    <hyperlink ref="R1395" r:id="rId218" xr:uid="{0B777064-EA45-2C43-A8A4-5EF70DB61D68}"/>
    <hyperlink ref="R812" r:id="rId219" xr:uid="{051DF96B-4B90-8C4D-AB00-3273D62A776A}"/>
    <hyperlink ref="R831" r:id="rId220" xr:uid="{7F6B3CAB-6DFC-8E4C-84DE-DAC00B7005FE}"/>
    <hyperlink ref="R871" r:id="rId221" xr:uid="{00662ED2-8181-0348-81E1-D09782ACEA3A}"/>
    <hyperlink ref="R872" r:id="rId222" xr:uid="{DB777686-E9DA-B442-8D15-8109983C51B1}"/>
    <hyperlink ref="R214" r:id="rId223" xr:uid="{6E2E0171-4C23-6D40-B649-678637C5412A}"/>
    <hyperlink ref="R984" r:id="rId224" xr:uid="{79E73F1D-629C-3546-AE82-B07D60D62F7E}"/>
    <hyperlink ref="R2061" r:id="rId225" xr:uid="{542DC841-7F16-354A-9FEF-4CA6399BBC40}"/>
    <hyperlink ref="R892" r:id="rId226" xr:uid="{34F1C10D-FCB9-EA4B-8571-B1BD19211412}"/>
    <hyperlink ref="R893" r:id="rId227" xr:uid="{00BE8268-8660-0D4C-9A83-C8F4EE3457F3}"/>
    <hyperlink ref="R1050" r:id="rId228" xr:uid="{57B93A60-B522-EC4C-8A10-928D986DEC8E}"/>
    <hyperlink ref="R1051" r:id="rId229" xr:uid="{34BA3C60-B785-0842-AE63-8B262D775142}"/>
    <hyperlink ref="R1853" r:id="rId230" xr:uid="{2EC73CA9-526D-D648-8000-BBFF513628CD}"/>
    <hyperlink ref="R1848" r:id="rId231" xr:uid="{36BE8E41-7B39-E840-9E9B-31169F926691}"/>
    <hyperlink ref="R1859" r:id="rId232" xr:uid="{D33AA229-CCEF-2E42-A92C-1B9265557FB3}"/>
    <hyperlink ref="R1872" r:id="rId233" xr:uid="{01559847-9F2D-684A-811C-082C524762CD}"/>
    <hyperlink ref="R1873" r:id="rId234" xr:uid="{6B9F8683-4614-AD44-972E-7F825AB968DD}"/>
    <hyperlink ref="R894" r:id="rId235" xr:uid="{244B7731-57C8-A144-A575-BB08B061AAEE}"/>
    <hyperlink ref="R138" r:id="rId236" xr:uid="{52C4C7E7-2DF1-D549-BDDB-47B6B36C78AD}"/>
    <hyperlink ref="R1052" r:id="rId237" xr:uid="{0B7EDB02-E52C-D446-AD12-241B486CB7FD}"/>
    <hyperlink ref="R1860" r:id="rId238" xr:uid="{E05DE20C-EEB4-AC4B-8683-D186B06842DB}"/>
    <hyperlink ref="R1053" r:id="rId239" xr:uid="{D9A9BE23-21B0-884D-AE6D-E0ED00353E61}"/>
    <hyperlink ref="R2077" r:id="rId240" xr:uid="{BBFF9174-40A2-E444-845A-5A203485BE42}"/>
    <hyperlink ref="R737" r:id="rId241" xr:uid="{D18D86BF-2B69-7C47-A839-808C582D0417}"/>
    <hyperlink ref="R1054" r:id="rId242" xr:uid="{9CA6AD55-A752-2E44-9C01-9043D4FCCA92}"/>
    <hyperlink ref="R895" r:id="rId243" xr:uid="{77EE7C5B-C769-5A43-AFB5-DD49D76D669F}"/>
    <hyperlink ref="R738" r:id="rId244" xr:uid="{AEAEBADA-5CCA-A240-AF11-DF38A41A9CED}"/>
    <hyperlink ref="R896" r:id="rId245" xr:uid="{3592E71B-7BEB-EB42-9FCE-59D92C07D14C}"/>
    <hyperlink ref="R739" r:id="rId246" xr:uid="{5115693D-FCE8-194C-8181-2585CCBBDC2B}"/>
    <hyperlink ref="R1639" r:id="rId247" xr:uid="{212BDB3A-D244-B84E-91EF-EE6A2D5382FE}"/>
    <hyperlink ref="R1640" r:id="rId248" xr:uid="{9A3B39A1-C06F-DE46-BFD4-665D86B2C114}"/>
    <hyperlink ref="R1641" r:id="rId249" xr:uid="{C7A39345-2F8F-0245-BD18-DA5AA5725420}"/>
    <hyperlink ref="R1642" r:id="rId250" xr:uid="{7B6EB017-5901-4241-94F0-A4A0C3910805}"/>
    <hyperlink ref="R2058" r:id="rId251" xr:uid="{633B8AAB-54BE-904F-B5A7-73C344697CF3}"/>
    <hyperlink ref="R2059" r:id="rId252" xr:uid="{7FC94C84-64FA-CF43-852F-D3EE24B59CA5}"/>
    <hyperlink ref="R455" r:id="rId253" xr:uid="{1BB160FC-B9FD-C14E-A7ED-655B0EE1DB9D}"/>
    <hyperlink ref="R481" r:id="rId254" xr:uid="{F9BFCDD8-D774-2948-8159-F494A31A9EEE}"/>
    <hyperlink ref="R696" r:id="rId255" xr:uid="{13B98576-450C-6448-BF80-967825D22542}"/>
    <hyperlink ref="R693" r:id="rId256" xr:uid="{4889D895-86BD-5A44-A4F6-02C3ABE5BD9F}"/>
    <hyperlink ref="R2051" r:id="rId257" xr:uid="{1BBE2761-4436-7A4F-9067-FA82718478BC}"/>
    <hyperlink ref="R2052" r:id="rId258" xr:uid="{B1B17A67-DE34-8242-8F89-01C0355116E0}"/>
    <hyperlink ref="R2036" r:id="rId259" xr:uid="{84061557-27B9-9940-AD06-5CEAADFFCDCD}"/>
    <hyperlink ref="R215" r:id="rId260" xr:uid="{EADFB888-9781-ED4E-B609-22F04E83DC0A}"/>
    <hyperlink ref="R216" r:id="rId261" xr:uid="{D520B383-48B9-C842-B930-C19FDE73EE69}"/>
    <hyperlink ref="R261" r:id="rId262" xr:uid="{FE02217F-37DE-E24E-8DC0-8D4EE4C0FF12}"/>
    <hyperlink ref="R402" r:id="rId263" xr:uid="{5F8A6E2F-B413-8141-9420-1CF864FC2F4B}"/>
    <hyperlink ref="R403" r:id="rId264" xr:uid="{6844DC66-3D40-7243-B76A-5DFDAE694B30}"/>
    <hyperlink ref="R404" r:id="rId265" xr:uid="{25802074-2462-0040-8C05-6D74CE3ADCAF}"/>
    <hyperlink ref="R434" r:id="rId266" xr:uid="{C7040FEA-CF8A-0841-A9FD-DE5BEF852F43}"/>
    <hyperlink ref="R405" r:id="rId267" xr:uid="{301A065C-3226-2143-9DAB-84397DCCB06E}"/>
    <hyperlink ref="R406" r:id="rId268" xr:uid="{E12C51EA-10BD-E644-8994-0472A8B3906E}"/>
    <hyperlink ref="R407" r:id="rId269" xr:uid="{0C513DAD-E3C4-6D40-A1D0-D896F74FA0C9}"/>
    <hyperlink ref="R408" r:id="rId270" xr:uid="{A353E60D-3D47-6C4C-9CE4-AEFB4B13E6FC}"/>
    <hyperlink ref="R409" r:id="rId271" xr:uid="{EEF112B7-687A-124F-8B5F-5823A2D1E927}"/>
    <hyperlink ref="R410" r:id="rId272" xr:uid="{814A02F4-5075-734C-9F49-4E720F5042E9}"/>
    <hyperlink ref="R411" r:id="rId273" xr:uid="{9A16AAE9-8A06-474B-8F02-2BFA7B7C224E}"/>
    <hyperlink ref="R482" r:id="rId274" xr:uid="{6B742649-5707-D040-A433-D1F3D5710A10}"/>
    <hyperlink ref="R532" r:id="rId275" xr:uid="{C3E76036-974B-E74F-871D-46B52A783D14}"/>
    <hyperlink ref="R412" r:id="rId276" xr:uid="{02FF9B8C-A162-CC49-AEB9-BF6E02AA268B}"/>
    <hyperlink ref="R413" r:id="rId277" xr:uid="{4E7451E5-F1E7-E848-915D-4E4A14D80197}"/>
    <hyperlink ref="R533" r:id="rId278" xr:uid="{AB0F359A-C3CE-EB4A-A119-0CF89DCCC010}"/>
    <hyperlink ref="R1749" r:id="rId279" xr:uid="{99313CAC-7340-984D-A480-04C3B09E1A61}"/>
    <hyperlink ref="R175" r:id="rId280" xr:uid="{1CDD138B-0EF1-C940-888F-8B1E37EB0DC4}"/>
    <hyperlink ref="R1614" r:id="rId281" xr:uid="{9F1F7CE0-D472-D94B-A47A-4A5D793CACF0}"/>
    <hyperlink ref="R1609" r:id="rId282" xr:uid="{BC3505DB-18B7-C443-ABF2-711165E239A7}"/>
    <hyperlink ref="R697" r:id="rId283" xr:uid="{EF873558-87B8-3949-A67F-E517AF7E55B6}"/>
    <hyperlink ref="R1613" r:id="rId284" xr:uid="{51016825-8B09-0145-9CB3-C3AE2C62A61E}"/>
    <hyperlink ref="R420" r:id="rId285" xr:uid="{65287E14-1BDC-9E41-B5E1-59C9EA3AF40A}"/>
    <hyperlink ref="R295" r:id="rId286" xr:uid="{89B77CF6-65F1-9641-AFFB-F00302C8AA66}"/>
    <hyperlink ref="R105" r:id="rId287" xr:uid="{84D1A4ED-8C08-4B40-8035-98FB542DAB37}"/>
    <hyperlink ref="R1715" r:id="rId288" xr:uid="{24ACB395-C647-F147-B37D-AEB83812E352}"/>
    <hyperlink ref="R338" r:id="rId289" xr:uid="{972F25FC-9E65-224E-87D1-471DB6EC7904}"/>
    <hyperlink ref="R339" r:id="rId290" xr:uid="{2D139A97-FB71-9F49-866F-738339C9A6DA}"/>
    <hyperlink ref="R340" r:id="rId291" xr:uid="{82EE991A-FC92-BF48-9FED-B058D083A696}"/>
    <hyperlink ref="R1714" r:id="rId292" xr:uid="{F360C152-735B-974C-83E3-C40E34F7ED7F}"/>
    <hyperlink ref="R771" r:id="rId293" xr:uid="{1EE6F361-F95B-3242-B834-A3D6627A7F95}"/>
    <hyperlink ref="R267" r:id="rId294" xr:uid="{11B21E65-8D35-2E45-89FA-F47F0AD3600C}"/>
    <hyperlink ref="R1716" r:id="rId295" xr:uid="{7042844D-5FE6-5940-BDEA-3E9FDBD2654D}"/>
    <hyperlink ref="R325" r:id="rId296" xr:uid="{90F387FC-ABDF-4D4B-AAF5-21C17AC13E50}"/>
    <hyperlink ref="R1573" r:id="rId297" xr:uid="{284DC13E-8B31-044A-831B-EE63FFF1275B}"/>
    <hyperlink ref="R72" r:id="rId298" xr:uid="{D5B7A2C7-26A9-FC4E-8E8D-68D4565D26FE}"/>
    <hyperlink ref="R1713" r:id="rId299" xr:uid="{F927CDDE-B0A8-A14B-8EB0-9A763CC4F19A}"/>
    <hyperlink ref="R73" r:id="rId300" xr:uid="{D40890D6-6484-F54C-A07A-4342059B919D}"/>
    <hyperlink ref="R74" r:id="rId301" xr:uid="{FAC07ADD-D6AD-0B4A-8186-ADEAACDAED2B}"/>
    <hyperlink ref="R1564" r:id="rId302" xr:uid="{7C379227-E732-1F4D-9E64-2282A14C835A}"/>
    <hyperlink ref="R294" r:id="rId303" xr:uid="{723AA897-46CE-A24E-A60E-FB9A5A7DD21D}"/>
    <hyperlink ref="R1571" r:id="rId304" xr:uid="{E5F5285A-CFB8-484B-BC17-EC9422E7BAE9}"/>
    <hyperlink ref="R709" r:id="rId305" xr:uid="{8D52DCD7-18D3-AB40-B26E-3DA46343D794}"/>
    <hyperlink ref="R1565" r:id="rId306" xr:uid="{E50E03D2-77E5-CC41-BFCB-98BB45E9F78A}"/>
    <hyperlink ref="R1574" r:id="rId307" xr:uid="{55988810-B074-E44C-A687-C549AAC85E2B}"/>
    <hyperlink ref="R312" r:id="rId308" xr:uid="{22B31F13-A188-5D46-97F6-DF031FB0BF22}"/>
    <hyperlink ref="R205" r:id="rId309" xr:uid="{D9C47027-5609-F84C-849D-F471BED22863}"/>
    <hyperlink ref="R206" r:id="rId310" xr:uid="{1BE68890-40F1-0C4C-B75F-DA70CE63FB5F}"/>
    <hyperlink ref="R313" r:id="rId311" xr:uid="{89687483-46A1-A241-8446-AA0C9611A4F3}"/>
    <hyperlink ref="R252" r:id="rId312" xr:uid="{D260748A-35CE-2541-8F01-43C383DEED74}"/>
    <hyperlink ref="R296" r:id="rId313" xr:uid="{FEC11C9A-C30D-4C4C-9E71-3FD8A021ABFA}"/>
    <hyperlink ref="R341" r:id="rId314" xr:uid="{622D22DC-383E-7A42-8709-BC247D31E5F7}"/>
    <hyperlink ref="R217" r:id="rId315" xr:uid="{1E185B1B-4E66-3E4F-AAA7-2FB178F6A71E}"/>
    <hyperlink ref="R218" r:id="rId316" xr:uid="{01793932-C3D4-7B41-AE77-3067A2E96B15}"/>
    <hyperlink ref="R610" r:id="rId317" xr:uid="{D475496F-A8A6-0544-AA95-852ECB3A966A}"/>
    <hyperlink ref="R559" r:id="rId318" xr:uid="{6159E113-0AA1-2F4F-ABBC-902A6BE1DA7C}"/>
    <hyperlink ref="R560" r:id="rId319" xr:uid="{3B55C481-DB77-E44B-92F9-947BE805E8C7}"/>
    <hyperlink ref="R650" r:id="rId320" xr:uid="{7519D74B-3458-544C-9EB2-3D906F9803BC}"/>
    <hyperlink ref="R651" r:id="rId321" xr:uid="{9B30E401-1051-5D44-930B-8ABCEA21E672}"/>
    <hyperlink ref="R652" r:id="rId322" xr:uid="{E9B276B6-5517-8E45-9D44-EC5AF7229DAE}"/>
    <hyperlink ref="R508" r:id="rId323" xr:uid="{82DE4164-81C6-3244-AF96-75EFA2C09090}"/>
    <hyperlink ref="R653" r:id="rId324" xr:uid="{F9ED6EDE-6880-5941-AA58-EA429D579A7C}"/>
    <hyperlink ref="R561" r:id="rId325" xr:uid="{CC1B9D38-78AA-AF4A-B434-16BB582FCA80}"/>
    <hyperlink ref="R908" r:id="rId326" xr:uid="{E358CCC6-7A41-4D41-A843-0CCD55F04DEE}"/>
    <hyperlink ref="R909" r:id="rId327" xr:uid="{379699AB-86CF-3E41-AA60-FFC5918CD345}"/>
    <hyperlink ref="R654" r:id="rId328" xr:uid="{8CA1EEA2-C343-8041-A7AF-6531C8F30A03}"/>
    <hyperlink ref="R509" r:id="rId329" xr:uid="{75C0508D-BCEE-7A4D-B8F2-48423CF5477C}"/>
    <hyperlink ref="R510" r:id="rId330" xr:uid="{7C0B66F6-99E7-A04E-98A0-11A6B31C3E32}"/>
    <hyperlink ref="R511" r:id="rId331" xr:uid="{AF090223-C756-1E4B-B90F-420B57272CDA}"/>
    <hyperlink ref="R512" r:id="rId332" xr:uid="{526DC837-E4F8-1D4F-8C3A-7722D053A94B}"/>
    <hyperlink ref="R611" r:id="rId333" xr:uid="{A58E879D-0468-B54A-A5DC-4C1618E55CF6}"/>
    <hyperlink ref="R513" r:id="rId334" xr:uid="{E6B05691-ABCE-B043-8E85-D242E950E4DD}"/>
    <hyperlink ref="R759" r:id="rId335" xr:uid="{9E1FB096-DDE6-1A44-A514-A83D6AA7EFE2}"/>
    <hyperlink ref="R760" r:id="rId336" xr:uid="{017BDDE1-920E-2944-A71E-F7369D9447C8}"/>
    <hyperlink ref="R761" r:id="rId337" xr:uid="{9516B257-0074-C540-82E9-7E1440062D87}"/>
    <hyperlink ref="R118" r:id="rId338" xr:uid="{477F4D34-6DB9-B44C-A2DF-A68748812D18}"/>
    <hyperlink ref="R1756" r:id="rId339" xr:uid="{496C6804-DBF5-E64A-8165-E88A24ECFE86}"/>
    <hyperlink ref="R2016" r:id="rId340" xr:uid="{ED92E76F-655A-8742-89C3-B4D2A7768D81}"/>
    <hyperlink ref="R1812" r:id="rId341" xr:uid="{1CB0C04F-F759-754F-B1B9-6BE83977F4CF}"/>
    <hyperlink ref="R438" r:id="rId342" xr:uid="{7625CFB7-4F03-3843-B673-AA933AB36880}"/>
    <hyperlink ref="R439" r:id="rId343" xr:uid="{5287E1ED-DCA7-6848-90E0-BE7728C1A45A}"/>
    <hyperlink ref="R1481" r:id="rId344" xr:uid="{629682FA-E907-D446-983F-DCB60AE62C13}"/>
    <hyperlink ref="R534" r:id="rId345" xr:uid="{5CC7D9B8-699C-E943-AC24-6846465EE981}"/>
    <hyperlink ref="AD534" r:id="rId346" xr:uid="{D57C87DA-86AE-DD4C-BF85-C49CEED8426C}"/>
    <hyperlink ref="R219" r:id="rId347" xr:uid="{EF704653-5F35-3647-9A81-A32CE3A948A0}"/>
    <hyperlink ref="R1776" r:id="rId348" xr:uid="{2723974A-38E7-6B41-B27A-1030F94FEECC}"/>
    <hyperlink ref="R1757" r:id="rId349" xr:uid="{1FEF8C99-3DFC-9A42-B9B7-AFB5E59EB728}"/>
    <hyperlink ref="R1524" r:id="rId350" xr:uid="{6B67AFCF-43DF-0746-987C-9D41FF875B2B}"/>
    <hyperlink ref="R544" r:id="rId351" xr:uid="{262B8EBE-845A-FC48-9260-F8BB815A74CE}"/>
    <hyperlink ref="R545" r:id="rId352" xr:uid="{7F9D8EA2-0096-B94B-96CC-EC5A705426AE}"/>
    <hyperlink ref="R546" r:id="rId353" xr:uid="{D424F095-1303-954C-AAE2-2F0C0261D382}"/>
    <hyperlink ref="R1566" r:id="rId354" xr:uid="{2CA93232-DF19-5640-822D-0DEC1864B784}"/>
    <hyperlink ref="R1689" r:id="rId355" xr:uid="{F3694A65-9E89-C54C-AA43-54CB07160922}"/>
    <hyperlink ref="R1698" r:id="rId356" xr:uid="{A591E194-5E46-A24B-97E0-11611C4A190B}"/>
    <hyperlink ref="R1690" r:id="rId357" xr:uid="{2693DB17-EC50-A940-9C8F-7812B1020211}"/>
    <hyperlink ref="R915" r:id="rId358" xr:uid="{E0FD4D9F-2B06-6D40-9F45-E992E1B3EE29}"/>
    <hyperlink ref="R1003" r:id="rId359" xr:uid="{D35E413A-540A-2143-86A1-5B384D7E43C7}"/>
    <hyperlink ref="R1004" r:id="rId360" xr:uid="{BC064AD3-89EB-BC4F-99CE-A2D136799B03}"/>
    <hyperlink ref="R1279" r:id="rId361" xr:uid="{F3C33660-7850-594D-AEEA-62536D5D5E0B}"/>
    <hyperlink ref="R1280" r:id="rId362" xr:uid="{4C49F8CA-C43E-0146-A8A7-796E4DF4FAF4}"/>
    <hyperlink ref="R1281" r:id="rId363" xr:uid="{46FF61AC-B525-5B40-B749-C6E5EA645EFD}"/>
    <hyperlink ref="R1211" r:id="rId364" xr:uid="{A2184B25-CE50-424F-B8FB-F4FED2DA267B}"/>
    <hyperlink ref="R1180" r:id="rId365" xr:uid="{4A967D34-304B-BA4B-8502-283C0F6C3E34}"/>
    <hyperlink ref="R1346" r:id="rId366" xr:uid="{2943083E-7002-B448-8660-BFD991E6D6C5}"/>
    <hyperlink ref="R369" r:id="rId367" xr:uid="{1B464E27-DB1A-A949-B4E8-86DB658348B8}"/>
    <hyperlink ref="R370" r:id="rId368" xr:uid="{6E86EAC8-8CBF-1B4A-8542-F063AB0D83F8}"/>
    <hyperlink ref="R791" r:id="rId369" xr:uid="{2D465CB3-BABE-8B4C-9CF2-D8DF0D3B5C6B}"/>
    <hyperlink ref="R781" r:id="rId370" xr:uid="{C07945BA-57B5-7D4F-A6DA-9D061D36CCBC}"/>
    <hyperlink ref="R1065" r:id="rId371" xr:uid="{42D4FADF-5CA5-514C-AE21-1EAFF50B021B}"/>
    <hyperlink ref="R800" r:id="rId372" xr:uid="{5AB18B62-4AB1-1E4E-B4E3-59D4CF00076F}"/>
    <hyperlink ref="R801" r:id="rId373" xr:uid="{8A620678-87EB-6945-8E4A-0F2830876BDC}"/>
    <hyperlink ref="R792" r:id="rId374" xr:uid="{C566D213-0958-6E46-977B-B9AC2A51826B}"/>
    <hyperlink ref="R802" r:id="rId375" xr:uid="{D5FFBBC1-C45F-4543-A1ED-4AB4F70BD469}"/>
    <hyperlink ref="R789" r:id="rId376" xr:uid="{D50B3902-F561-0749-B5C7-62BA9D80C33D}"/>
    <hyperlink ref="R171" r:id="rId377" xr:uid="{1FA7F22C-5070-624B-9616-9B06BEC7DC4B}"/>
    <hyperlink ref="R220" r:id="rId378" xr:uid="{64E473D3-9382-CF44-945B-881F60C47662}"/>
    <hyperlink ref="R435" r:id="rId379" xr:uid="{87E396B7-272C-C447-80F6-9750B92E3D67}"/>
    <hyperlink ref="AD435" r:id="rId380" xr:uid="{302B92E2-917D-C44C-9A96-ED78701B1D1E}"/>
    <hyperlink ref="R456" r:id="rId381" xr:uid="{E57775F1-191F-4244-8669-E8419DC4FBA9}"/>
    <hyperlink ref="AD456" r:id="rId382" xr:uid="{9B766573-655F-F54F-8928-7EC6A10EBE40}"/>
    <hyperlink ref="R457" r:id="rId383" xr:uid="{51773365-6BE7-8E47-A55A-3A41E781E771}"/>
    <hyperlink ref="AD457" r:id="rId384" xr:uid="{26F79491-BFFC-9645-A6A1-D6D4622C52E6}"/>
    <hyperlink ref="R458" r:id="rId385" xr:uid="{CBFAC39F-2D03-0144-90C6-5EF160468DE6}"/>
    <hyperlink ref="AD458" r:id="rId386" xr:uid="{A6E81AF5-3720-0349-9C37-EAF31F45F96E}"/>
    <hyperlink ref="R459" r:id="rId387" xr:uid="{69EFDDD5-B621-5F4B-B6AC-145F5020423A}"/>
    <hyperlink ref="AD459" r:id="rId388" xr:uid="{DE35658E-DC44-9B48-8602-388F187F554E}"/>
    <hyperlink ref="R460" r:id="rId389" xr:uid="{21E79BE2-ADF4-8145-AF59-F57320C8E456}"/>
    <hyperlink ref="AD460" r:id="rId390" xr:uid="{5F152042-8B6C-5E43-BD5F-828521FF4900}"/>
    <hyperlink ref="R461" r:id="rId391" xr:uid="{6328754B-6AB8-3A4F-AD3B-CF3E68704441}"/>
    <hyperlink ref="AD461" r:id="rId392" xr:uid="{C4F8440A-27C2-8B4E-8F7B-AEE4520AB06B}"/>
    <hyperlink ref="R462" r:id="rId393" xr:uid="{C8059B25-1381-FC40-AFF7-F6C80C0CA631}"/>
    <hyperlink ref="AD462" r:id="rId394" xr:uid="{42AE3D5B-F7BF-FC4F-AB9E-8A0498EFC2EC}"/>
    <hyperlink ref="R535" r:id="rId395" xr:uid="{E8676070-0453-0B48-8CA1-B8E0C78F85AE}"/>
    <hyperlink ref="AD535" r:id="rId396" xr:uid="{5F68E11C-88F2-1E42-A7D2-FB661581145A}"/>
    <hyperlink ref="R1213" r:id="rId397" xr:uid="{7003B698-4E65-6C4E-ADFB-8A0F6AB30FAA}"/>
    <hyperlink ref="R1288" r:id="rId398" xr:uid="{E809CC71-95E1-EC49-B44C-4D7F61E14F89}"/>
    <hyperlink ref="R483" r:id="rId399" xr:uid="{1ABAC6C8-2540-E145-861D-D81675D8AEFA}"/>
    <hyperlink ref="AD483" r:id="rId400" xr:uid="{898532B9-B80B-4146-8BCE-4E76FB8E11EF}"/>
    <hyperlink ref="R484" r:id="rId401" xr:uid="{80FDFABB-7772-9642-97EA-4743C0D892C1}"/>
    <hyperlink ref="AD484" r:id="rId402" xr:uid="{B7E80A4B-E67A-4E4F-8E74-EFBB6B02D428}"/>
    <hyperlink ref="R485" r:id="rId403" xr:uid="{A4282187-3C08-FD40-A902-A71C51D0E015}"/>
    <hyperlink ref="AD485" r:id="rId404" xr:uid="{BDDED1F7-766C-814E-B9E3-E45D14CE1E61}"/>
    <hyperlink ref="R486" r:id="rId405" xr:uid="{57E8FBC8-8E21-3A42-82FB-87D010998CC8}"/>
    <hyperlink ref="AD486" r:id="rId406" xr:uid="{E60B6F82-A8EA-1B42-B41A-1DB7083C9505}"/>
    <hyperlink ref="R487" r:id="rId407" xr:uid="{B3B2EF31-B09B-A34B-82D1-59F6E44A5D12}"/>
    <hyperlink ref="AD487" r:id="rId408" xr:uid="{B70B8CF8-D088-9243-91E3-F4F8F372EA3F}"/>
    <hyperlink ref="R488" r:id="rId409" xr:uid="{6145FAD3-44B9-B147-941C-00B96230D909}"/>
    <hyperlink ref="AD488" r:id="rId410" xr:uid="{32183778-E83D-154E-A21B-5411513BF834}"/>
    <hyperlink ref="R489" r:id="rId411" xr:uid="{F861CE6F-E602-B84C-AE7B-AF491097EC60}"/>
    <hyperlink ref="AD489" r:id="rId412" xr:uid="{CD309A39-B44B-1C4B-B4D6-6851753CD069}"/>
    <hyperlink ref="R490" r:id="rId413" xr:uid="{8D594DEE-2C2E-8440-9106-C5AF8D10A5FF}"/>
    <hyperlink ref="AD490" r:id="rId414" xr:uid="{29ADF64E-F46C-A647-B598-4BE04C3E975F}"/>
    <hyperlink ref="R686" r:id="rId415" xr:uid="{C7520EE8-CE3B-D14F-8B40-FBAD0C192C8A}"/>
    <hyperlink ref="R151" r:id="rId416" xr:uid="{9121864E-612F-7C47-8B54-F6E649378EB0}"/>
    <hyperlink ref="R1766" r:id="rId417" xr:uid="{43AC881B-D3EF-644D-83FD-2BB67C97D063}"/>
    <hyperlink ref="R164" r:id="rId418" xr:uid="{3BE6931B-F05B-E344-8129-C8281C4C169E}"/>
    <hyperlink ref="R1232" r:id="rId419" xr:uid="{26639B0E-6738-5040-AE73-A6228DBC5A11}"/>
    <hyperlink ref="R704" r:id="rId420" xr:uid="{AB1B1CA8-DC8E-184C-874D-E46DA4472480}"/>
    <hyperlink ref="R1768" r:id="rId421" xr:uid="{2686FA91-51DE-2043-A357-60C053A67E11}"/>
    <hyperlink ref="R1612" r:id="rId422" xr:uid="{C3F19576-2930-DC48-8C36-3FC36D588B05}"/>
    <hyperlink ref="R2113" r:id="rId423" xr:uid="{14339BCD-AF92-0746-BAE3-131B31F18F7B}"/>
    <hyperlink ref="R687" r:id="rId424" xr:uid="{AB01BFA5-97F4-A04F-94FB-ED0E36DAB9E1}"/>
    <hyperlink ref="R698" r:id="rId425" xr:uid="{D24EC2B4-3381-684B-853B-16C33A444379}"/>
    <hyperlink ref="R1275" r:id="rId426" xr:uid="{18716256-12B4-3243-B1CD-E4CDE8A39963}"/>
    <hyperlink ref="R910" r:id="rId427" xr:uid="{D9116E7A-7966-984A-8C2C-1DF007DDE31C}"/>
    <hyperlink ref="R911" r:id="rId428" xr:uid="{9C91CEFA-59BF-6645-AFFE-525C8AFD86AC}"/>
    <hyperlink ref="R735" r:id="rId429" xr:uid="{2CDC47E0-C909-AA42-AE9D-77DA36655F18}"/>
    <hyperlink ref="R718" r:id="rId430" xr:uid="{13B293EF-990B-A84F-B268-3321845902DD}"/>
    <hyperlink ref="R724" r:id="rId431" xr:uid="{060FC5C3-8560-ED4C-8363-9C83D3B052F5}"/>
    <hyperlink ref="R712" r:id="rId432" xr:uid="{5F0ACA9B-5875-A946-B54F-28C23264C845}"/>
    <hyperlink ref="R732" r:id="rId433" xr:uid="{333625AF-210E-D148-A8DB-122D7F6A9EC7}"/>
    <hyperlink ref="R703" r:id="rId434" xr:uid="{D92CA71F-A69C-CB40-A66E-1494C8188DBF}"/>
    <hyperlink ref="R314" r:id="rId435" xr:uid="{FF20D815-AC95-D646-8637-3E0E14EBA1A1}"/>
    <hyperlink ref="R268" r:id="rId436" xr:uid="{7CF0ED89-B6CC-BA4C-8DBB-D647933AC152}"/>
    <hyperlink ref="R269" r:id="rId437" xr:uid="{291E5A48-90FE-D549-9EF7-369E6B54ECF3}"/>
    <hyperlink ref="R940" r:id="rId438" xr:uid="{D829D267-C0E6-3545-953E-01FE848FECF1}"/>
    <hyperlink ref="R941" r:id="rId439" xr:uid="{1BCEFBD5-33B4-BA45-AA5F-BDC79F6DB3B7}"/>
    <hyperlink ref="R140" r:id="rId440" xr:uid="{CEE4EE86-4264-2C44-8AAF-E218EC26C11D}"/>
    <hyperlink ref="R2102" r:id="rId441" xr:uid="{5939F226-BD43-4D44-948B-341AAEEA675E}"/>
    <hyperlink ref="R740" r:id="rId442" xr:uid="{3C353B6E-64C6-3940-9DA7-9D3A52A30B7D}"/>
    <hyperlink ref="R741" r:id="rId443" xr:uid="{02F8C19D-54E6-0244-9E0C-6FE0E4D16409}"/>
    <hyperlink ref="R746" r:id="rId444" xr:uid="{275428EC-34D9-1849-994B-B93F40B12D2F}"/>
    <hyperlink ref="R747" r:id="rId445" xr:uid="{55D02589-26B4-4446-8F45-F85FADCD8B7E}"/>
    <hyperlink ref="R754" r:id="rId446" xr:uid="{72E58A90-386E-334C-9DD4-01075B4D92CB}"/>
    <hyperlink ref="R852" r:id="rId447" xr:uid="{ACEA912D-E2FD-D74F-8FA6-EA4B55BE8862}"/>
    <hyperlink ref="R361" r:id="rId448" location=".WsavhZPwagw" display="http://www.smileofangkor.info/sounds-of-angkor/ - .WsavhZPwagw" xr:uid="{431219B2-F357-FD4B-BE20-27FF489EF438}"/>
    <hyperlink ref="R1489" r:id="rId449" xr:uid="{59231B21-B4AE-9B45-A62F-982160F336B9}"/>
    <hyperlink ref="R1490" r:id="rId450" xr:uid="{27FDEB37-D249-6C41-B038-C0723A325033}"/>
    <hyperlink ref="R1643" r:id="rId451" xr:uid="{BB500519-84E0-D846-8B2B-99218650C5BF}"/>
    <hyperlink ref="R1491" r:id="rId452" xr:uid="{2A40FFE3-F09E-7A41-9600-881B7885E649}"/>
    <hyperlink ref="R1644" r:id="rId453" xr:uid="{4EC0724F-A416-9B43-9BE5-2B0D3579FDA8}"/>
    <hyperlink ref="R1633" r:id="rId454" xr:uid="{6E5228FF-04FE-4140-989A-7BF20B9A986C}"/>
    <hyperlink ref="R1634" r:id="rId455" xr:uid="{01CA69F6-76C5-D04B-B843-2000485691D9}"/>
    <hyperlink ref="R1635" r:id="rId456" xr:uid="{3FDFFB4B-2148-4B45-89F1-D6F21E654CAF}"/>
    <hyperlink ref="R1636" r:id="rId457" xr:uid="{1023E7DB-90EA-E446-A2B1-9FBA75998F48}"/>
    <hyperlink ref="R1637" r:id="rId458" xr:uid="{3410B5EB-5AF4-F748-904C-C1DC3509D692}"/>
    <hyperlink ref="R1615" r:id="rId459" xr:uid="{7ADC36A8-0B96-8F4C-BB63-B5D6E74D3AB0}"/>
    <hyperlink ref="R2003" r:id="rId460" xr:uid="{24B7D334-14BB-464F-9D76-A3CC4EC9F4AD}"/>
    <hyperlink ref="R2004" r:id="rId461" xr:uid="{D2E3DDB3-F95F-2842-AE8D-397FDF91C3F2}"/>
    <hyperlink ref="R2021" r:id="rId462" xr:uid="{991D793A-E038-7646-88C8-991BF9C88EE1}"/>
    <hyperlink ref="R2022" r:id="rId463" xr:uid="{D4B0C800-29CC-4F45-8F62-DCC7C1E1729E}"/>
    <hyperlink ref="AD2022" r:id="rId464" xr:uid="{04E975CF-C628-B34F-A2A3-01927E04E488}"/>
    <hyperlink ref="R1485" r:id="rId465" xr:uid="{1C09CCC3-CBC4-5D4F-92E2-BAB3E0CA4C2A}"/>
    <hyperlink ref="R763" r:id="rId466" xr:uid="{0E69D9BB-3427-7544-A59E-1E2F6C44722D}"/>
    <hyperlink ref="R764" r:id="rId467" xr:uid="{EBD6A9F6-3F3B-1643-BBC4-92E2AE474F67}"/>
    <hyperlink ref="R121" r:id="rId468" xr:uid="{3D637990-5260-B148-8DC1-BFEA3221053E}"/>
    <hyperlink ref="R120" r:id="rId469" xr:uid="{05E5C8B1-364A-8C4A-86BB-3184B2DD0626}"/>
    <hyperlink ref="R122" r:id="rId470" xr:uid="{593E503F-94B8-0440-87CD-E5CEA9D711BE}"/>
    <hyperlink ref="R123" r:id="rId471" xr:uid="{5C85380C-B411-6748-9663-1CE23F0F4885}"/>
    <hyperlink ref="R2018" r:id="rId472" xr:uid="{A1E8B5A0-0744-E54F-B2A1-02DF69203E2D}"/>
    <hyperlink ref="R1765" r:id="rId473" xr:uid="{553F04EA-AADA-5840-A767-E2351658BABF}"/>
    <hyperlink ref="R1945" r:id="rId474" xr:uid="{98BA3474-5217-4440-B2DF-3D7B3F71DAE5}"/>
    <hyperlink ref="R720" r:id="rId475" xr:uid="{8CEFA0CB-F3E5-CC44-B33C-AAF878F72E9D}"/>
    <hyperlink ref="R956" r:id="rId476" xr:uid="{48484B8F-9364-B042-B257-1E3E74465175}"/>
    <hyperlink ref="R953" r:id="rId477" xr:uid="{0DE9E736-FC5B-2947-BB6B-26FAAF660A4D}"/>
    <hyperlink ref="R207" r:id="rId478" xr:uid="{19675990-AF1E-8C4E-8BDD-289A1026B6D6}"/>
    <hyperlink ref="R1940" r:id="rId479" xr:uid="{DAB7483B-690E-CD40-864C-8C4E98EDC21F}"/>
    <hyperlink ref="R902" r:id="rId480" xr:uid="{9D8A6B0D-1B50-024C-B70D-AEFA853C298F}"/>
    <hyperlink ref="R873" r:id="rId481" xr:uid="{FF153620-6347-594E-A323-42D0FC864B46}"/>
    <hyperlink ref="R874" r:id="rId482" xr:uid="{48EE1D02-92DC-F245-8921-090AD5E5A818}"/>
    <hyperlink ref="R875" r:id="rId483" xr:uid="{C9EC5AE8-AB76-BE41-BFA7-AECA5FF07C3B}"/>
    <hyperlink ref="R2092" r:id="rId484" display="http://colsearch.nfsa.gov.au/nfsa/search/display/display.w3p;adv=;group=;groupequals=;holdingType=;page=0;parentid=;query=Aboriginal Music From The Northern Territory Of Australia, 1948;querytype=;rec=0;resCount=10" xr:uid="{752816D6-3280-2A47-830F-7D468890B61A}"/>
    <hyperlink ref="R876" r:id="rId485" xr:uid="{08876B24-9751-E142-8A67-B04C0C59450D}"/>
    <hyperlink ref="R877" r:id="rId486" xr:uid="{CE8E3DF3-EA6B-5C4A-94C4-4CE6FC9A9558}"/>
    <hyperlink ref="R857" r:id="rId487" xr:uid="{B6061E09-7333-3945-8B4E-CFCBD79A54D4}"/>
    <hyperlink ref="R1248" r:id="rId488" xr:uid="{72D91CE4-75D5-BA4C-9D1D-442069DF8DD6}"/>
    <hyperlink ref="R1319" r:id="rId489" xr:uid="{0D2F63C4-C628-314D-A05D-95C14E4201F0}"/>
    <hyperlink ref="R878" r:id="rId490" xr:uid="{A79A7EB0-C384-274C-812A-5095454F6146}"/>
    <hyperlink ref="R879" r:id="rId491" xr:uid="{D8CAB464-5BC3-6542-890E-A3D658E3AA1D}"/>
    <hyperlink ref="R536" r:id="rId492" xr:uid="{4C0448BD-0D5E-C645-9FE1-F52A0E1EF8EB}"/>
    <hyperlink ref="R537" r:id="rId493" xr:uid="{B6046CD7-D08E-ED49-803A-FF8077BB2864}"/>
    <hyperlink ref="R538" r:id="rId494" xr:uid="{363E4BD9-6FD3-B647-BB59-E55BE5BF18C0}"/>
    <hyperlink ref="R539" r:id="rId495" xr:uid="{7CF61246-448C-BA4D-B69D-85DFBC175F34}"/>
    <hyperlink ref="R540" r:id="rId496" xr:uid="{ACFC7E68-197F-CD47-8B69-5B00390034B2}"/>
    <hyperlink ref="R541" r:id="rId497" xr:uid="{48F15D23-636B-794A-BABF-9B2BEBBF8C08}"/>
    <hyperlink ref="R463" r:id="rId498" xr:uid="{6DE2F003-7364-A845-84D1-31DC6581D2AD}"/>
    <hyperlink ref="R464" r:id="rId499" xr:uid="{BABF84D4-8D43-1C47-B6E5-BA05D886CC87}"/>
    <hyperlink ref="R655" r:id="rId500" xr:uid="{58AC6D89-9054-F44D-A546-3668BBD079E4}"/>
    <hyperlink ref="R656" r:id="rId501" xr:uid="{041411A1-E680-5248-82EB-937D63127938}"/>
    <hyperlink ref="R657" r:id="rId502" xr:uid="{DCAA1A4D-2014-624B-857E-09742379899D}"/>
    <hyperlink ref="R658" r:id="rId503" xr:uid="{2D405652-0B8E-954E-B9A6-8A35839F86FB}"/>
    <hyperlink ref="R659" r:id="rId504" xr:uid="{F1BEDE5A-26A4-9048-A824-69033193CD7E}"/>
    <hyperlink ref="R880" r:id="rId505" xr:uid="{6DAB2A2D-A705-0848-872D-EFB20BE955AB}"/>
    <hyperlink ref="R1249" r:id="rId506" xr:uid="{92B3DD92-AB1D-DF4F-9755-E32C6860DE7A}"/>
    <hyperlink ref="R1320" r:id="rId507" xr:uid="{E321BB7F-AAA4-8246-ADD7-9BF9678DE61D}"/>
    <hyperlink ref="R1121" r:id="rId508" xr:uid="{263DB8C8-AF26-BD40-8E82-C669DA0E91E0}"/>
    <hyperlink ref="R1250" r:id="rId509" xr:uid="{4EFCD65F-C166-0541-8D0F-35069A295EDA}"/>
    <hyperlink ref="R582" r:id="rId510" xr:uid="{7F34FADA-A928-434F-B7F2-2DC79458581B}"/>
    <hyperlink ref="R583" r:id="rId511" xr:uid="{C9DECDB6-1D23-BA4C-B5EB-9BE8348924BF}"/>
    <hyperlink ref="R1321" r:id="rId512" xr:uid="{56AF6DEA-0A1A-844A-A11D-E7AEC3BC72B7}"/>
    <hyperlink ref="R584" r:id="rId513" xr:uid="{85EBC407-E97F-0D49-99E5-ADB644246B6D}"/>
    <hyperlink ref="R1122" r:id="rId514" xr:uid="{3D0DFE14-2782-1A45-A130-6ECFCE63AA02}"/>
    <hyperlink ref="R514" r:id="rId515" xr:uid="{AE4A78AB-FA29-D840-9E24-3A398051414B}"/>
    <hyperlink ref="R515" r:id="rId516" xr:uid="{C7C57F44-E494-5A44-83DE-1F709950A8F3}"/>
    <hyperlink ref="R516" r:id="rId517" xr:uid="{F603DA1F-4F86-A44D-98A8-D9164D71EAC1}"/>
    <hyperlink ref="R517" r:id="rId518" xr:uid="{8D406BA0-0561-AC45-98A2-2334446A2EC2}"/>
    <hyperlink ref="R518" r:id="rId519" xr:uid="{C4DB6C8E-57FC-A842-BF53-2A69D2E93224}"/>
    <hyperlink ref="R519" r:id="rId520" xr:uid="{BBB89C6A-A022-074F-9D3C-7C12331C078C}"/>
    <hyperlink ref="R1086" r:id="rId521" xr:uid="{A444A58D-D8B1-EE42-A709-7005FEC595B8}"/>
    <hyperlink ref="R1123" r:id="rId522" xr:uid="{7B2B6717-7B36-8E4D-99A4-558D909B2B98}"/>
    <hyperlink ref="R966" r:id="rId523" xr:uid="{D30EDD6F-561E-6E41-8DE7-58F93907CA84}"/>
    <hyperlink ref="R1087" r:id="rId524" xr:uid="{DF04A81D-65CC-E04B-AD90-6648097BD2DE}"/>
    <hyperlink ref="R1034" r:id="rId525" xr:uid="{EFA045BC-FBDC-E34D-A92F-4D48C080E366}"/>
    <hyperlink ref="R1088" r:id="rId526" xr:uid="{6552715E-F51D-744D-8883-FF3F22347221}"/>
    <hyperlink ref="R1089" r:id="rId527" xr:uid="{C0883763-35CF-F048-9992-488A8A8A07EB}"/>
    <hyperlink ref="R1235" r:id="rId528" xr:uid="{B48109AC-C561-314B-B8C2-DFCAD6B49C86}"/>
    <hyperlink ref="R1035" r:id="rId529" xr:uid="{1B8047E9-87F3-954A-BCCF-7B75096450E2}"/>
    <hyperlink ref="R1036" r:id="rId530" xr:uid="{E59DCA6B-447F-0C4C-A6F3-82DB6E285F46}"/>
    <hyperlink ref="R1037" r:id="rId531" xr:uid="{C3E0DD66-B644-4C4E-A136-9165C0EE7534}"/>
    <hyperlink ref="R1322" r:id="rId532" xr:uid="{C76997AF-19CA-A342-8DB9-0266FF389CB2}"/>
    <hyperlink ref="R1323" r:id="rId533" xr:uid="{7CA24F89-FD9D-0D4F-BB2A-F6D811E54402}"/>
    <hyperlink ref="R2006" r:id="rId534" xr:uid="{ED7F2097-6486-894B-9C16-CEB79932569B}"/>
    <hyperlink ref="R2007" r:id="rId535" xr:uid="{3167C698-6D35-AB46-9B36-B0F39E3CBDAD}"/>
    <hyperlink ref="R2008" r:id="rId536" xr:uid="{1CBC248A-1EC7-CF4B-9F2A-98F58391F1AB}"/>
    <hyperlink ref="R2009" r:id="rId537" xr:uid="{F7304783-72B0-4A46-9743-EEBE0F351350}"/>
    <hyperlink ref="R2010" r:id="rId538" xr:uid="{B22F9129-6168-6343-A78D-140738FE5C99}"/>
    <hyperlink ref="R2011" r:id="rId539" xr:uid="{6D33A5DD-CDAF-0D46-9FAC-245CFE633FFC}"/>
    <hyperlink ref="R2155" r:id="rId540" xr:uid="{A62B2EC2-4861-CA4A-9474-81E145C855EF}"/>
    <hyperlink ref="R2012" r:id="rId541" xr:uid="{668A5D9A-6AF5-BC41-969D-B90DB02DA55B}"/>
    <hyperlink ref="R2047" r:id="rId542" xr:uid="{AB9B5DFB-13AF-8247-AA22-C4B8DF3C7E42}"/>
    <hyperlink ref="R919" r:id="rId543" xr:uid="{45FAC8BF-37B4-2C4B-BFC5-DB800BC6C750}"/>
    <hyperlink ref="R920" r:id="rId544" xr:uid="{5FF9E6F8-D0E9-2240-B35C-3120C4C0ACBB}"/>
    <hyperlink ref="R921" r:id="rId545" xr:uid="{4C9824ED-E5F8-ED4E-9C09-2D0DC67ABA59}"/>
    <hyperlink ref="R1104" r:id="rId546" xr:uid="{EF3B850C-EBF0-984D-BE09-1C4A138D820B}"/>
    <hyperlink ref="R612" r:id="rId547" xr:uid="{B00C5BA5-96F7-814D-864F-4B9E7530D1F5}"/>
    <hyperlink ref="R613" r:id="rId548" xr:uid="{FD5597EF-628B-354B-A821-A689D4B0862C}"/>
    <hyperlink ref="R614" r:id="rId549" xr:uid="{85F07085-CA82-2646-8671-8586CC6B2651}"/>
    <hyperlink ref="R615" r:id="rId550" xr:uid="{DB2082E8-2F70-504B-8FCC-F15782CC55F9}"/>
    <hyperlink ref="R616" r:id="rId551" xr:uid="{DABDD294-3665-6849-9C53-015F134024F2}"/>
    <hyperlink ref="R617" r:id="rId552" xr:uid="{515DC521-12C6-E94F-94AD-8FDB9B052CE9}"/>
    <hyperlink ref="R618" r:id="rId553" xr:uid="{5941D523-83BB-C54F-BC54-F0E39B7A791E}"/>
    <hyperlink ref="R619" r:id="rId554" xr:uid="{04E9D991-6D07-474D-964C-26EA2EACE104}"/>
    <hyperlink ref="R620" r:id="rId555" xr:uid="{8AA2A70E-C5C4-4641-8F31-C9D16DCF0ED9}"/>
    <hyperlink ref="R562" r:id="rId556" xr:uid="{9F5DD1C2-616C-624E-A873-7CA21534798B}"/>
    <hyperlink ref="R75" r:id="rId557" xr:uid="{F0D64A1F-AA1C-C348-9AB2-39E3520DA934}"/>
    <hyperlink ref="R45" r:id="rId558" xr:uid="{0E7B549A-595B-6342-BEE2-DD4A8BBE61A5}"/>
    <hyperlink ref="R22" r:id="rId559" xr:uid="{C3F79565-E014-B84A-886B-7365F421FDFB}"/>
    <hyperlink ref="R563" r:id="rId560" xr:uid="{1D72003A-A347-C74A-965F-F99D40B2E079}"/>
    <hyperlink ref="R564" r:id="rId561" xr:uid="{CABA0599-0917-5548-87D4-8D4632F7458D}"/>
    <hyperlink ref="R565" r:id="rId562" xr:uid="{97FDEAEE-3C89-6F46-AC9A-552CE63FD43B}"/>
    <hyperlink ref="R566" r:id="rId563" xr:uid="{1E41B32E-002E-4641-B237-DA353AE43264}"/>
    <hyperlink ref="R567" r:id="rId564" xr:uid="{812C5156-C548-314F-B740-6CE711B9F228}"/>
    <hyperlink ref="R568" r:id="rId565" xr:uid="{BCA313FC-2A35-4A40-9B02-E24A2D8AD112}"/>
    <hyperlink ref="R967" r:id="rId566" xr:uid="{2B7EB68C-FDBC-3A4A-9E35-CFBD58752250}"/>
    <hyperlink ref="R1195" r:id="rId567" xr:uid="{CDFCC0DB-B895-3E49-A8C3-399AFF86F1CA}"/>
    <hyperlink ref="R968" r:id="rId568" xr:uid="{49DBB390-8520-AB44-8A27-BF36FAF69DD3}"/>
    <hyperlink ref="R1324" r:id="rId569" xr:uid="{DFD4568A-C8A6-3B42-812E-490B196182E3}"/>
    <hyperlink ref="R1325" r:id="rId570" xr:uid="{3EED00A5-6F24-CD47-B04F-FA76C38C7E2C}"/>
    <hyperlink ref="R1326" r:id="rId571" xr:uid="{B953F0A9-3FEC-8244-9586-0745CD6F17F3}"/>
    <hyperlink ref="R1327" r:id="rId572" xr:uid="{167238EB-E15D-8D4E-A357-CFC33C7DACC4}"/>
    <hyperlink ref="R1328" r:id="rId573" xr:uid="{1C52645C-672C-0F45-A68F-82AA68900C3F}"/>
    <hyperlink ref="R951" r:id="rId574" xr:uid="{D7B58637-824F-774D-96AC-93B524C00ACB}"/>
    <hyperlink ref="R1158" r:id="rId575" xr:uid="{CBDC969B-B7DF-2940-84D6-57B13996BC3D}"/>
    <hyperlink ref="R1124" r:id="rId576" xr:uid="{FA751716-6571-B349-9FF7-076FA058394A}"/>
    <hyperlink ref="R1125" r:id="rId577" xr:uid="{980D15EA-2FA5-E342-83EA-BD77111AB4AB}"/>
    <hyperlink ref="R688" r:id="rId578" xr:uid="{1B322CA4-D911-E74C-8D9D-35A56E7F8AD4}"/>
    <hyperlink ref="R76" r:id="rId579" xr:uid="{34D13B3E-79B9-974A-98FA-91C9C21F2838}"/>
    <hyperlink ref="R1534" r:id="rId580" xr:uid="{9357E066-75DE-354F-ABEA-386FA966B885}"/>
    <hyperlink ref="R1533" r:id="rId581" xr:uid="{8CB37E13-5855-304D-9FD7-DBA6D873A5AB}"/>
    <hyperlink ref="R1532" r:id="rId582" xr:uid="{8BB6BDA9-A3AE-2A4F-B21B-CA577FBE8574}"/>
    <hyperlink ref="R1531" r:id="rId583" xr:uid="{59B1F78F-9205-4A4D-BEFD-91AC0E62B508}"/>
    <hyperlink ref="R277" r:id="rId584" xr:uid="{AE4AC8B0-C89E-6043-AB85-6B6D15896EA3}"/>
    <hyperlink ref="R221" r:id="rId585" xr:uid="{0872E5C7-43D6-A641-8289-FE3CC441D437}"/>
    <hyperlink ref="R350" r:id="rId586" xr:uid="{EDAB750D-CD9D-404F-993C-6AA8F25F449C}"/>
    <hyperlink ref="R331" r:id="rId587" xr:uid="{A209E7A8-AA33-C74F-8BDA-96727CF08213}"/>
    <hyperlink ref="R305" r:id="rId588" xr:uid="{20CF1AA8-691B-4248-8504-F5A47AFCDE78}"/>
    <hyperlink ref="R306" r:id="rId589" xr:uid="{64585F06-773D-C540-B327-592531591C24}"/>
    <hyperlink ref="R2029" r:id="rId590" xr:uid="{2C65227A-38E1-1448-92F5-F3C9DEC4DDF7}"/>
    <hyperlink ref="R845" r:id="rId591" xr:uid="{8CB0097C-B731-2343-8FF1-5570E00C312A}"/>
    <hyperlink ref="R1540" r:id="rId592" xr:uid="{A9E665A6-E2EB-DF4C-B4BD-7F3D0CBD2160}"/>
    <hyperlink ref="R1541" r:id="rId593" xr:uid="{8D1C1E69-3141-A249-ACCE-D20EB9BE6285}"/>
    <hyperlink ref="R24" r:id="rId594" xr:uid="{228D8A41-14B4-674E-96BA-6227D96E6862}"/>
    <hyperlink ref="R25" r:id="rId595" xr:uid="{88EF1543-87FF-9A48-AAF4-6324A134259C}"/>
    <hyperlink ref="R26" r:id="rId596" xr:uid="{91443EF6-010E-2D43-82BA-DA829FC592FC}"/>
    <hyperlink ref="R2118" r:id="rId597" xr:uid="{00B68F5A-A1E4-E044-94D5-66B91C2C5EF4}"/>
    <hyperlink ref="R2119" r:id="rId598" xr:uid="{B54B5764-34B3-F54A-9B32-26018A7A0DA6}"/>
    <hyperlink ref="R1567" r:id="rId599" xr:uid="{54D27A6B-1D39-FD41-82AE-101DDAD31F3C}"/>
    <hyperlink ref="R1568" r:id="rId600" xr:uid="{C7CE870E-0AD6-B944-9099-D4D80CB0F0FE}"/>
    <hyperlink ref="R1569" r:id="rId601" xr:uid="{E0E9CB80-4748-5449-BC99-A7C58E1FDCB1}"/>
    <hyperlink ref="R1570" r:id="rId602" xr:uid="{DF795543-8FF6-F648-84F6-16BE0B50F8E9}"/>
    <hyperlink ref="R689" r:id="rId603" xr:uid="{28A21878-2ED3-6D49-AAF2-086FDD35F8D8}"/>
    <hyperlink ref="R699" r:id="rId604" xr:uid="{25721471-56FD-F94A-9F2F-CA94DD4195B4}"/>
    <hyperlink ref="R2060" r:id="rId605" xr:uid="{25975AF7-5A00-2643-BC52-DC93C1167828}"/>
    <hyperlink ref="R2063" r:id="rId606" xr:uid="{EAEF8E89-72AE-E440-8D8B-181A5EDD544E}"/>
    <hyperlink ref="R50" r:id="rId607" xr:uid="{1EBCA443-7D3D-024D-B0D3-E71A5CCFFB87}"/>
    <hyperlink ref="R51" r:id="rId608" xr:uid="{89DB5609-A6A1-2E41-A9A6-036E976E1E31}"/>
    <hyperlink ref="R52" r:id="rId609" xr:uid="{772BADCE-ACC6-0B4E-A9D3-237B2206EAC2}"/>
    <hyperlink ref="R1677" r:id="rId610" xr:uid="{8A2924B7-0BB8-7D49-97F3-18C628D77083}"/>
    <hyperlink ref="R1837" r:id="rId611" xr:uid="{70291310-4F6F-914E-AEDA-5C303F75B75A}"/>
    <hyperlink ref="R1838" r:id="rId612" xr:uid="{E612EB04-A92D-1145-8D66-EE37E41EDA45}"/>
    <hyperlink ref="R1797" r:id="rId613" xr:uid="{6510A47B-C3DB-5648-BA84-60831C25B147}"/>
    <hyperlink ref="R1887" r:id="rId614" xr:uid="{F52CCD54-67C5-2F4C-8715-F33566381580}"/>
    <hyperlink ref="R1761" r:id="rId615" xr:uid="{323221C8-330D-5446-BC45-7AC10F97109D}"/>
    <hyperlink ref="R969" r:id="rId616" xr:uid="{BB4DDC19-385C-EF40-A0C4-15CDED89FDBD}"/>
    <hyperlink ref="R1251" r:id="rId617" xr:uid="{BE014D5D-1D06-1742-A72B-A23D49EBDC32}"/>
    <hyperlink ref="R172" r:id="rId618" xr:uid="{0C3B5E53-E46C-544E-ADD6-13FDA91AEF19}"/>
    <hyperlink ref="R1396" r:id="rId619" xr:uid="{1C937D8F-44DA-034A-BADA-E7F7C6F5CC06}"/>
    <hyperlink ref="R124" r:id="rId620" xr:uid="{E69F8838-AA4F-FC4E-8727-4620985F1894}"/>
    <hyperlink ref="R116" r:id="rId621" xr:uid="{5CBB76DB-2746-8C4E-B315-5791497218BD}"/>
    <hyperlink ref="R119" r:id="rId622" xr:uid="{015B2575-490E-044D-B898-7CD89229B094}"/>
    <hyperlink ref="R1804" r:id="rId623" xr:uid="{8111663B-D4A9-AC4F-81A2-3CAB677BC89F}"/>
    <hyperlink ref="R1782" r:id="rId624" xr:uid="{EC554A26-E9B0-D84C-8723-60B3E70BD0E0}"/>
    <hyperlink ref="R1813" r:id="rId625" xr:uid="{BF8BDB59-7B3D-3841-8749-A39B56A09400}"/>
    <hyperlink ref="R1883" r:id="rId626" xr:uid="{641084C1-905C-2D43-955D-0D3B566424A3}"/>
    <hyperlink ref="R1337" r:id="rId627" xr:uid="{E7B310DF-5F28-7544-9015-2E80709B5D33}"/>
    <hyperlink ref="R1338" r:id="rId628" xr:uid="{AE175142-6B3F-0743-AA47-E0FC1CCCFDAA}"/>
    <hyperlink ref="R1884" r:id="rId629" xr:uid="{118DB321-CFCA-DA46-86BE-7FC9449CBC24}"/>
    <hyperlink ref="R1880" r:id="rId630" xr:uid="{9BB6AA14-4E30-FB4B-8CD5-BDCB7C4CACA6}"/>
    <hyperlink ref="R1885" r:id="rId631" xr:uid="{2FDF0DC2-B54B-6540-AAF5-FD32B3F7A8AB}"/>
    <hyperlink ref="R1892" r:id="rId632" xr:uid="{91A2F86B-4BF3-454D-BEC6-86750AC4D24B}"/>
    <hyperlink ref="R1836" r:id="rId633" xr:uid="{598D91A1-A2A1-4448-A20B-473B4021FCB1}"/>
    <hyperlink ref="R1200" r:id="rId634" xr:uid="{35F8B0A5-006F-0944-A21D-274E4FEFB2EF}"/>
    <hyperlink ref="R1264" r:id="rId635" xr:uid="{88F207AE-63CC-3546-9C71-6D2583EF8DA2}"/>
    <hyperlink ref="R1201" r:id="rId636" xr:uid="{7CBCA191-1727-FD43-9B77-E92E4E2CC02A}"/>
    <hyperlink ref="R307" r:id="rId637" xr:uid="{9A7AB764-0B2B-9B4E-A24D-BBE2A00C92D8}"/>
    <hyperlink ref="R278" r:id="rId638" xr:uid="{A5318910-D6EE-0446-B6F1-35426F504836}"/>
    <hyperlink ref="R279" r:id="rId639" xr:uid="{75A2873E-FA0B-C14D-978D-3979AD487387}"/>
    <hyperlink ref="R1202" r:id="rId640" xr:uid="{35399D0D-B091-9646-92F0-75A01A5C63F6}"/>
    <hyperlink ref="R897" r:id="rId641" xr:uid="{51E0A2BD-3BD2-3646-AEFC-1CD5199D3568}"/>
    <hyperlink ref="R1093" r:id="rId642" xr:uid="{7EEA0DFF-B140-204D-A5DB-F7A04A5D08CB}"/>
    <hyperlink ref="R898" r:id="rId643" xr:uid="{D73B6DDC-A23D-3240-8577-CC70CF1FF7D2}"/>
    <hyperlink ref="AD898" r:id="rId644" xr:uid="{D1037EEB-3E4E-7E4E-9131-D4AA0AC26378}"/>
    <hyperlink ref="R1849" r:id="rId645" xr:uid="{4CAA7DD6-65F7-ED43-8743-0432AB337112}"/>
    <hyperlink ref="R1886" r:id="rId646" xr:uid="{B01B1D7A-D5A7-F04F-9AB2-98C49A55DD2C}"/>
    <hyperlink ref="R1203" r:id="rId647" xr:uid="{576586D6-D3FB-B246-A908-54A79704D835}"/>
    <hyperlink ref="R1265" r:id="rId648" xr:uid="{C51B00A3-D2E4-DC40-9E40-2DC1D1A36D3E}"/>
    <hyperlink ref="R1339" r:id="rId649" xr:uid="{136F4724-82EC-C74A-910E-A2F52F46F276}"/>
    <hyperlink ref="R1340" r:id="rId650" xr:uid="{C6FA06CB-76F3-E348-899D-10C52AE1C745}"/>
    <hyperlink ref="R1341" r:id="rId651" xr:uid="{BE905AC3-B8AB-6B45-8EBB-346604DB3B1D}"/>
    <hyperlink ref="R1266" r:id="rId652" xr:uid="{B61606B4-F9FC-8943-B5CB-D88953430F55}"/>
    <hyperlink ref="R1094" r:id="rId653" xr:uid="{2B60A42D-C0BB-0B49-81FA-3BCE2696D0A2}"/>
    <hyperlink ref="R1005" r:id="rId654" xr:uid="{8F38E4C5-8A68-604F-B000-59C4118B4F75}"/>
    <hyperlink ref="R1347" r:id="rId655" xr:uid="{9646AED8-019A-F34E-B35D-9DB9868A69F2}"/>
    <hyperlink ref="R1282" r:id="rId656" xr:uid="{1BEE3154-3F13-6642-82FA-2CF4E10071F5}"/>
    <hyperlink ref="R793" r:id="rId657" xr:uid="{E08639E1-2BDB-7448-8EAA-1B213D719BE9}"/>
    <hyperlink ref="R794" r:id="rId658" xr:uid="{4D228DFB-A9A5-7548-A665-27C4E9CCF6DA}"/>
    <hyperlink ref="R1283" r:id="rId659" xr:uid="{5F198320-9778-1341-89D2-5ECDEFDE3D6C}"/>
    <hyperlink ref="R366" r:id="rId660" xr:uid="{7199E0AC-55BD-9647-BE87-4806214E2C21}"/>
    <hyperlink ref="R1699" r:id="rId661" xr:uid="{C10CC26B-44AA-6943-9A7D-72D768AAA9F1}"/>
    <hyperlink ref="R342" r:id="rId662" xr:uid="{5B07B84C-8E2E-3D4B-8461-39640E446F5B}"/>
    <hyperlink ref="R343" r:id="rId663" xr:uid="{94BEC375-EEC7-2848-B2C4-C5106ACEE621}"/>
    <hyperlink ref="R523" r:id="rId664" xr:uid="{B257CD49-6E27-0346-8391-171EDC2A950C}"/>
    <hyperlink ref="R326" r:id="rId665" xr:uid="{E841EACF-C1C0-2740-9582-9E1C77A9AF37}"/>
    <hyperlink ref="R327" r:id="rId666" xr:uid="{71788F11-DA7A-3B45-AC35-D0268553FF64}"/>
    <hyperlink ref="R328" r:id="rId667" xr:uid="{45205314-3FCC-DC41-8D55-BCC4AA4A2F46}"/>
    <hyperlink ref="R570" r:id="rId668" xr:uid="{11A07F2E-505D-0E48-AA8B-450ABCA26279}"/>
    <hyperlink ref="R253" r:id="rId669" xr:uid="{CDB929B7-551A-5141-BE7C-975C65E9F71A}"/>
    <hyperlink ref="R99" r:id="rId670" xr:uid="{E0F261A2-E8BF-A546-AFFE-01896058EDD3}"/>
    <hyperlink ref="R837" r:id="rId671" xr:uid="{3A090157-63A6-AC4B-AB20-76AA7E6C24B8}"/>
    <hyperlink ref="R838" r:id="rId672" xr:uid="{8CC93E81-DC91-3740-8DCC-FCD4127E9757}"/>
    <hyperlink ref="R27" r:id="rId673" xr:uid="{D43AA211-ED27-D847-BD8B-3070987BCCFE}"/>
    <hyperlink ref="R28" r:id="rId674" xr:uid="{4DA20147-C903-E045-BB4D-2954BE633474}"/>
    <hyperlink ref="R29" r:id="rId675" xr:uid="{825BDC5D-D56F-DF4B-A8EA-8CB0C743DBE4}"/>
    <hyperlink ref="R30" r:id="rId676" xr:uid="{B5F15271-09CE-F645-8688-BDB878A68941}"/>
    <hyperlink ref="R31" r:id="rId677" xr:uid="{691FE8A0-8257-314A-986C-21977844BC2A}"/>
    <hyperlink ref="R32" r:id="rId678" xr:uid="{50B1A766-E88C-B14A-B773-AC3AE9B9F8E6}"/>
    <hyperlink ref="R233" r:id="rId679" xr:uid="{73846831-5135-FD4D-89EE-80C0DEC1507D}"/>
    <hyperlink ref="R234" r:id="rId680" xr:uid="{56210503-73FC-1D46-A1E0-22AC376C93DC}"/>
    <hyperlink ref="R53" r:id="rId681" xr:uid="{1E887542-2EF5-4C42-B902-A1938ADE3CF3}"/>
    <hyperlink ref="R54" r:id="rId682" xr:uid="{77CEE030-8454-884E-AA9C-DCFF2F7DB3A3}"/>
    <hyperlink ref="R55" r:id="rId683" xr:uid="{6E1342A3-F8C7-D342-A945-E735060E44F6}"/>
    <hyperlink ref="R100" r:id="rId684" xr:uid="{3AB78C4F-0EB7-7242-AB30-C5A1DEF2A4F9}"/>
    <hyperlink ref="R56" r:id="rId685" xr:uid="{489E5F5E-5252-5B4B-92F1-3331D01B842D}"/>
    <hyperlink ref="R319" r:id="rId686" xr:uid="{A7DCE9FE-E689-CB4A-838B-1D83F748C482}"/>
    <hyperlink ref="R320" r:id="rId687" xr:uid="{B6859E85-B93C-7143-99E7-45E9E8BDE67F}"/>
    <hyperlink ref="R351" r:id="rId688" xr:uid="{10C04D30-39C3-8948-8F7B-15F5AA6073BF}"/>
    <hyperlink ref="R352" r:id="rId689" xr:uid="{62383CD8-C111-2542-847D-BD6430DEB5F1}"/>
    <hyperlink ref="R353" r:id="rId690" xr:uid="{3E4734B2-0141-C944-91A5-C8E08F99368B}"/>
    <hyperlink ref="R321" r:id="rId691" xr:uid="{D0F4D45D-83CA-3D41-B984-645D77913926}"/>
    <hyperlink ref="R262" r:id="rId692" xr:uid="{5E15BEF9-FCA3-B144-AE0B-D26DD10F250B}"/>
    <hyperlink ref="R57" r:id="rId693" xr:uid="{2F2769F2-56BC-DF4A-8C98-32A5386EE725}"/>
    <hyperlink ref="R77" r:id="rId694" xr:uid="{3D5F6D2C-4CE3-F44F-8ED5-2572A35C3822}"/>
    <hyperlink ref="R78" r:id="rId695" xr:uid="{72AE86FC-7563-6F46-95B9-30DA9CCE9DA4}"/>
    <hyperlink ref="R111" r:id="rId696" xr:uid="{081E0C0D-15C9-7041-9642-04E7DDE63349}"/>
    <hyperlink ref="R112" r:id="rId697" xr:uid="{42F464DA-65F2-A949-8A41-EAD7BC17DD12}"/>
    <hyperlink ref="R96" r:id="rId698" xr:uid="{E5631127-6BF7-4C46-AEE8-2E21375C3E39}"/>
    <hyperlink ref="R113" r:id="rId699" xr:uid="{B85BF331-422B-BB46-800E-808F46A22144}"/>
    <hyperlink ref="R39" r:id="rId700" xr:uid="{E1E07C3C-67E5-1647-89FD-E6F56B1EF972}"/>
    <hyperlink ref="R1006" r:id="rId701" xr:uid="{AEC5E461-4ED1-1A46-AB7E-5F09C4741F5F}"/>
    <hyperlink ref="R1348" r:id="rId702" xr:uid="{0D612769-FC1D-7A4C-A387-8EF401767148}"/>
    <hyperlink ref="R101" r:id="rId703" xr:uid="{41991191-ADCD-2548-A9D1-B83FD13F7295}"/>
    <hyperlink ref="R1866" r:id="rId704" xr:uid="{358088D8-3091-1F4F-88F6-4D154833E305}"/>
    <hyperlink ref="R1867" r:id="rId705" xr:uid="{A2901AEB-01DD-BF4B-8601-6E4E01C7778B}"/>
    <hyperlink ref="R1868" r:id="rId706" xr:uid="{28EBB118-6FD7-2945-86E6-E013227510D2}"/>
    <hyperlink ref="R1869" r:id="rId707" xr:uid="{8A1993D3-AF96-2A40-9EE3-FD896B764EA6}"/>
    <hyperlink ref="R235" r:id="rId708" xr:uid="{A1C4B913-8CBB-3B4B-943D-944B894B4648}"/>
    <hyperlink ref="R315" r:id="rId709" xr:uid="{4D1DEA52-A5F7-8849-90B0-A395435DCF6E}"/>
    <hyperlink ref="R297" r:id="rId710" xr:uid="{E084D477-2228-2342-B855-0205FF041D15}"/>
    <hyperlink ref="R298" r:id="rId711" xr:uid="{F09325C4-3E05-534A-B1E4-E7387FB5F268}"/>
    <hyperlink ref="R299" r:id="rId712" xr:uid="{CDDE180D-9435-0446-9937-8574FBEA7B3B}"/>
    <hyperlink ref="R208" r:id="rId713" xr:uid="{6105ED72-FC8F-0F4F-9796-2830A965489F}"/>
    <hyperlink ref="R209" r:id="rId714" xr:uid="{239EFEB6-0183-1141-A327-47DD635BA09D}"/>
    <hyperlink ref="R210" r:id="rId715" xr:uid="{3829F1BE-6F28-4442-99FE-02D3AA3A173B}"/>
    <hyperlink ref="R344" r:id="rId716" xr:uid="{15940398-498D-EC47-9742-364C385CE070}"/>
    <hyperlink ref="R211" r:id="rId717" xr:uid="{150F3142-B052-5F4C-85FF-862A68D35D10}"/>
    <hyperlink ref="R270" r:id="rId718" xr:uid="{D9894605-4C2A-984A-9E20-A3A4BA95F852}"/>
    <hyperlink ref="R1482" r:id="rId719" xr:uid="{BD86855C-560D-634B-83ED-DC699FFBB4D3}"/>
    <hyperlink ref="R1483" r:id="rId720" xr:uid="{3556732F-86F0-FC46-B6B2-68675EB74BF0}"/>
    <hyperlink ref="R666" r:id="rId721" xr:uid="{22F8230C-5A20-2E48-A908-BAD64D20694A}"/>
    <hyperlink ref="R628" r:id="rId722" xr:uid="{30894F21-9883-7843-B06E-20A16D19E44F}"/>
    <hyperlink ref="R421" r:id="rId723" xr:uid="{8CC2B089-0CED-C347-985C-E6943181DEE8}"/>
    <hyperlink ref="R629" r:id="rId724" xr:uid="{CFC55EC2-DDB1-1A43-B1D9-64276A13D92D}"/>
    <hyperlink ref="R591" r:id="rId725" xr:uid="{0A6C1D6A-F285-6346-AB24-AF6D46756BCC}"/>
    <hyperlink ref="R592" r:id="rId726" xr:uid="{0FCC9ED5-01B3-E249-A4B5-93035662C7A2}"/>
    <hyperlink ref="R593" r:id="rId727" xr:uid="{1FE0E727-DA65-7E45-93E9-3D29AE043A8A}"/>
    <hyperlink ref="R422" r:id="rId728" xr:uid="{E20AD910-0A11-FC4A-87C9-ED745EDE68C3}"/>
    <hyperlink ref="R594" r:id="rId729" xr:uid="{B5906F21-3B62-604B-A3A3-644B71DFCE30}"/>
    <hyperlink ref="R300" r:id="rId730" xr:uid="{F79E7BD0-841E-AB4C-9F8C-65F9DF426F33}"/>
    <hyperlink ref="R345" r:id="rId731" xr:uid="{BF7D42E5-98A1-0049-ACB9-6AF70AA82539}"/>
    <hyperlink ref="R301" r:id="rId732" xr:uid="{380A62C1-21AA-4C45-90D5-0BE1ECAA1B13}"/>
    <hyperlink ref="R630" r:id="rId733" xr:uid="{851369AF-E201-3343-9D60-E17C5AA38EF5}"/>
    <hyperlink ref="R631" r:id="rId734" xr:uid="{7E5BA1F7-1F7E-EC47-A4FE-56E92DAC8B2C}"/>
    <hyperlink ref="R632" r:id="rId735" xr:uid="{88DC1981-1B50-A143-8602-10F228C3BFF4}"/>
    <hyperlink ref="R329" r:id="rId736" xr:uid="{673ACF93-95B2-2C4B-BCD8-F2CC4C8B4037}"/>
    <hyperlink ref="R285" r:id="rId737" xr:uid="{B2284780-48C2-0042-8662-AC72DD24818B}"/>
    <hyperlink ref="R286" r:id="rId738" xr:uid="{A01E4CC4-E633-C142-BB49-AC0093093855}"/>
    <hyperlink ref="R287" r:id="rId739" xr:uid="{D1BA444F-3AF2-0A4C-85C0-0A236580367B}"/>
    <hyperlink ref="R288" r:id="rId740" xr:uid="{0B24073A-2704-4C4F-BE43-3B8AC6B47863}"/>
    <hyperlink ref="R289" r:id="rId741" xr:uid="{E7579B9C-46A7-2D42-988B-9CEFB841A9BB}"/>
    <hyperlink ref="R290" r:id="rId742" xr:uid="{D254D582-45C5-294F-A098-1782158132CC}"/>
    <hyperlink ref="R291" r:id="rId743" xr:uid="{1580627E-1805-8C41-B69E-5C451BFADCE6}"/>
    <hyperlink ref="R292" r:id="rId744" xr:uid="{A8064040-DE67-8D48-91F4-2070139860CD}"/>
    <hyperlink ref="R227" r:id="rId745" xr:uid="{03628D9F-DC86-7645-AC68-1ED0E638195F}"/>
    <hyperlink ref="R236" r:id="rId746" xr:uid="{29AAD2C4-9FF8-0E41-A251-54A53100F754}"/>
    <hyperlink ref="R237" r:id="rId747" xr:uid="{F1107808-A9AC-D445-8243-15EF1D46727D}"/>
    <hyperlink ref="R238" r:id="rId748" xr:uid="{3E3803D9-C608-CC49-BB2C-930B38E73DCE}"/>
    <hyperlink ref="R239" r:id="rId749" xr:uid="{F88E2D50-FDB0-1A4D-849B-DBFF0F3E023C}"/>
    <hyperlink ref="R240" r:id="rId750" xr:uid="{A2FB17A1-41C4-9B42-8B09-99B958029C14}"/>
    <hyperlink ref="R241" r:id="rId751" xr:uid="{03378FC1-5527-0B46-817B-413BC188AB3D}"/>
    <hyperlink ref="R254" r:id="rId752" xr:uid="{01828DB9-42D2-204B-8B5D-3E9F616980D7}"/>
    <hyperlink ref="R1484" r:id="rId753" xr:uid="{81BDB45B-D7B6-2649-AD9A-4F1FEDEC4913}"/>
    <hyperlink ref="R1464" r:id="rId754" xr:uid="{0A0CD473-43D0-1149-8ECA-3FC7BC0F19E4}"/>
    <hyperlink ref="R255" r:id="rId755" xr:uid="{4772D904-90F5-DD4D-9214-C29382EC33FD}"/>
    <hyperlink ref="R256" r:id="rId756" xr:uid="{93D0F610-C001-F247-A170-193854FE53FB}"/>
    <hyperlink ref="R257" r:id="rId757" xr:uid="{B9273F52-E80A-0A45-85D5-4A6A27869EE4}"/>
    <hyperlink ref="R258" r:id="rId758" xr:uid="{B6B5E1BA-295A-6443-A514-4BC71A22B7C9}"/>
    <hyperlink ref="R259" r:id="rId759" xr:uid="{31477BFD-B518-A142-B3DC-CB255A49FDB3}"/>
    <hyperlink ref="R316" r:id="rId760" xr:uid="{277F6CF9-E8CD-BB45-9C80-D5B9D67D2C98}"/>
    <hyperlink ref="R317" r:id="rId761" xr:uid="{145E52F6-A655-364B-9062-9EE1C153288F}"/>
    <hyperlink ref="R318" r:id="rId762" xr:uid="{F6D1F799-183B-3D4F-BDFD-268BD088B6B8}"/>
    <hyperlink ref="R271" r:id="rId763" xr:uid="{0FBBF7DE-857E-0648-957D-B84C477026C1}"/>
    <hyperlink ref="R272" r:id="rId764" xr:uid="{FBBB15AC-0692-2041-9535-D0AA264B43CF}"/>
    <hyperlink ref="R273" r:id="rId765" xr:uid="{03961756-10AB-C54A-B7F1-2A14A1EA8570}"/>
    <hyperlink ref="R274" r:id="rId766" xr:uid="{40AF56B0-EAC1-6B4B-AD25-25E7246EB9D7}"/>
    <hyperlink ref="R275" r:id="rId767" xr:uid="{FAC363C5-1449-7443-92D6-638BDBBDA485}"/>
    <hyperlink ref="R276" r:id="rId768" xr:uid="{A05D5C24-CBC4-394B-BAA2-CA5D96127F40}"/>
    <hyperlink ref="R346" r:id="rId769" xr:uid="{E4BC3EDA-F441-9846-B950-48884C6ABEB2}"/>
    <hyperlink ref="R347" r:id="rId770" xr:uid="{2EE3B2B5-D12D-2041-BDBB-D28225A99666}"/>
    <hyperlink ref="R348" r:id="rId771" xr:uid="{7FE45299-58F8-EA46-8D38-F142DCF3474E}"/>
    <hyperlink ref="R349" r:id="rId772" xr:uid="{06BDBA79-8F25-184A-AE31-FFB236A0FF6A}"/>
    <hyperlink ref="R330" r:id="rId773" xr:uid="{C389B95B-8ECC-4C49-95B6-53F07D62E7DD}"/>
    <hyperlink ref="R302" r:id="rId774" xr:uid="{9C30373B-E1A9-A84F-B8BF-72E8FCC1132E}"/>
    <hyperlink ref="R303" r:id="rId775" xr:uid="{86BEE872-5192-E54C-99E8-8C5872701BA2}"/>
    <hyperlink ref="R304" r:id="rId776" xr:uid="{E98D2F70-E0C4-3C4B-BE9D-D3E53C7F1314}"/>
    <hyperlink ref="R1461" r:id="rId777" xr:uid="{C0F1F3A4-A1C3-B04F-A875-6086AB3DDF28}"/>
    <hyperlink ref="R1462" r:id="rId778" xr:uid="{FF79109E-D1EC-5941-9F90-85D64858852F}"/>
    <hyperlink ref="R1463" r:id="rId779" xr:uid="{7D71030D-C8C9-E04B-83BC-8A2BCD3C44F8}"/>
    <hyperlink ref="R1486" r:id="rId780" xr:uid="{E914B564-AAD6-B44F-A75A-4C030F1E9957}"/>
    <hyperlink ref="R1487" r:id="rId781" xr:uid="{86E732F9-68F7-224B-926D-BAC69941BF6F}"/>
    <hyperlink ref="R660" r:id="rId782" xr:uid="{8C4A0E9D-AE89-F043-8AB4-8E3D2D6719B4}"/>
    <hyperlink ref="R1477" r:id="rId783" xr:uid="{E359E622-63EC-8949-9095-D102DE65B1C5}"/>
    <hyperlink ref="R1478" r:id="rId784" xr:uid="{8BA9F5F5-943E-5244-9B07-E7D41FDC1F6A}"/>
    <hyperlink ref="R832" r:id="rId785" xr:uid="{8145B090-7707-7348-91D3-3973DB147789}"/>
    <hyperlink ref="R833" r:id="rId786" xr:uid="{1A508DD0-A034-F54F-8767-B34A4F4C88DC}"/>
    <hyperlink ref="R834" r:id="rId787" xr:uid="{2ADC631C-FBDA-1245-9A9F-1B8613CCF0D1}"/>
    <hyperlink ref="R839" r:id="rId788" xr:uid="{9BC1E959-8012-C44A-84C5-BB0C485CD21A}"/>
    <hyperlink ref="R840" r:id="rId789" xr:uid="{C2942F27-5B95-E446-A2C1-2C8A2C1D52C2}"/>
    <hyperlink ref="R841" r:id="rId790" xr:uid="{F5DB0098-7877-FC40-BB27-A64124CF44BB}"/>
    <hyperlink ref="R836" r:id="rId791" xr:uid="{7E10F4FD-51B7-3845-ABC9-BDA3920E33D1}"/>
    <hyperlink ref="R1405" r:id="rId792" xr:uid="{50FD784E-35E1-0943-9F0E-386B2FB9835D}"/>
    <hyperlink ref="R1402" r:id="rId793" xr:uid="{13F0EFE4-AED7-C54C-B443-B4B28741D7A6}"/>
    <hyperlink ref="R1404" r:id="rId794" xr:uid="{38FBA19C-FCF7-764A-8300-19554CB66579}"/>
    <hyperlink ref="R1406" r:id="rId795" xr:uid="{08302919-16AA-F349-BA26-B08C65B9A67E}"/>
    <hyperlink ref="R2160" r:id="rId796" xr:uid="{BB5004CB-622C-2744-AAA8-8401F25361CF}"/>
    <hyperlink ref="R2076" r:id="rId797" xr:uid="{DD523570-D324-2C44-900D-A26FA2D4DC44}"/>
    <hyperlink ref="R1401" r:id="rId798" xr:uid="{035C4D92-F3D9-3B42-BAC7-A33B5A71F9A5}"/>
    <hyperlink ref="R1399" r:id="rId799" xr:uid="{46A0A5E5-290C-FB41-BE73-8059950E4C77}"/>
    <hyperlink ref="R661" r:id="rId800" xr:uid="{DE93A73B-1A01-C54B-8D71-D212000B6301}"/>
    <hyperlink ref="R621" r:id="rId801" xr:uid="{330B8547-9B7D-3348-A514-3C453D59F10D}"/>
    <hyperlink ref="R933" r:id="rId802" xr:uid="{9173712A-AAF3-B944-88D3-D156C0DA5082}"/>
    <hyperlink ref="R1364" r:id="rId803" xr:uid="{50B0C72F-B953-9D4C-BA1C-372BB6ED13D0}"/>
    <hyperlink ref="R1228" r:id="rId804" xr:uid="{6D5DBF45-9AD0-E24A-8088-AC56A4D083DB}"/>
    <hyperlink ref="R1011" r:id="rId805" xr:uid="{05696F55-B9E3-F745-8B9B-21C414E42982}"/>
    <hyperlink ref="R1814" r:id="rId806" xr:uid="{F0C5C745-6435-DC4C-AC4A-B2581BA48C02}"/>
    <hyperlink ref="R1231" r:id="rId807" xr:uid="{EF664F8E-A521-0B4A-8DC8-D4CD2BE46249}"/>
    <hyperlink ref="R1368" r:id="rId808" display="http://media.theglobaljukebox.org/audio/T5588R01.mp3" xr:uid="{0A949DBA-B551-464F-AD0A-65EB09A8E5A1}"/>
    <hyperlink ref="R125" r:id="rId809" xr:uid="{93DBCFF9-0B9D-6440-9FAB-C3E6DB807CB6}"/>
    <hyperlink ref="R547" r:id="rId810" xr:uid="{463768BA-1189-534F-B308-7DF8C0EA1FAB}"/>
    <hyperlink ref="R571" r:id="rId811" xr:uid="{EBF4E19B-16C2-5E46-9C40-C9D229EC591B}"/>
    <hyperlink ref="R633" r:id="rId812" xr:uid="{FFF7E5BF-423D-2D4C-9CA4-70B747983B1D}"/>
    <hyperlink ref="R472" r:id="rId813" xr:uid="{22946369-D18D-334B-A114-4330CD2BD99F}"/>
    <hyperlink ref="R634" r:id="rId814" xr:uid="{4C58A6DE-44B4-B845-9EBB-F3C599C63794}"/>
    <hyperlink ref="R496" r:id="rId815" xr:uid="{EC2868F4-4094-7849-8BD6-CE569359EE81}"/>
    <hyperlink ref="R423" r:id="rId816" xr:uid="{2FF75818-9F9E-B946-937F-11C1D6CE6FD5}"/>
    <hyperlink ref="R1027" r:id="rId817" xr:uid="{D2094B3F-F9D5-9947-8ADD-05C505C3F4C0}"/>
    <hyperlink ref="R1038" r:id="rId818" xr:uid="{8207526D-4354-B743-A801-932D4647F1F2}"/>
    <hyperlink ref="R742" r:id="rId819" xr:uid="{CFC7D8AA-FC3A-8242-BA6C-90FD04796CEC}"/>
    <hyperlink ref="R1631" r:id="rId820" xr:uid="{615BFBF8-2A1C-1340-802C-726CF9E766D4}"/>
    <hyperlink ref="R755" r:id="rId821" xr:uid="{944AD3D2-687A-D042-9E02-FB965E91FAE2}"/>
    <hyperlink ref="AD755" r:id="rId822" xr:uid="{AA24AA11-6D3A-7A41-992F-02165964B630}"/>
    <hyperlink ref="R188" r:id="rId823" display="https://theglobaljukebox.org/" xr:uid="{AA6D5AAB-ED8D-7546-A7DF-ED2B6535AF58}"/>
    <hyperlink ref="R1252" r:id="rId824" xr:uid="{FC1DB405-351E-C147-AE0B-A0EF9B36AD7E}"/>
    <hyperlink ref="R1090" r:id="rId825" xr:uid="{62AE5AD3-FAC7-2741-A379-59431924B6EB}"/>
    <hyperlink ref="R824" r:id="rId826" xr:uid="{7D88A524-0319-BD49-AE6A-BBDA2B93FC62}"/>
    <hyperlink ref="R835" r:id="rId827" xr:uid="{05E879E1-15BD-9A46-B531-4CEAD2BE1340}"/>
    <hyperlink ref="R825" r:id="rId828" xr:uid="{2D88E1B0-34C2-CD44-89AD-21010E6EDED5}"/>
    <hyperlink ref="R842" r:id="rId829" xr:uid="{7EF63139-F482-F74C-9D87-183E489A8C14}"/>
    <hyperlink ref="R843" r:id="rId830" xr:uid="{3EE054B3-3026-A148-9DCC-EC6A8E0AC13E}"/>
    <hyperlink ref="R844" r:id="rId831" xr:uid="{77153894-544E-704D-80B1-CD1A54401CF2}"/>
    <hyperlink ref="R942" r:id="rId832" xr:uid="{83F77CF2-D952-F144-90EA-841177561FA1}"/>
    <hyperlink ref="R943" r:id="rId833" xr:uid="{8276B027-47E6-AE4D-9BBF-AC36554FE75E}"/>
    <hyperlink ref="R635" r:id="rId834" xr:uid="{E147C916-063F-A546-BF59-425FEE15FF4F}"/>
    <hyperlink ref="R473" r:id="rId835" xr:uid="{383B895B-F6FF-2F4B-B18E-3F358F720784}"/>
    <hyperlink ref="R572" r:id="rId836" xr:uid="{4D8F654E-33EB-2249-84F1-9A6AECEFC37D}"/>
    <hyperlink ref="R424" r:id="rId837" xr:uid="{2A065E74-04AC-9A4E-8ECF-B4F7671637D7}"/>
    <hyperlink ref="R573" r:id="rId838" xr:uid="{E55F532F-4331-124F-BCE3-6CCCE56C7A0C}"/>
    <hyperlink ref="R425" r:id="rId839" xr:uid="{2F392B60-9D14-3746-9104-7ECE2D2449E9}"/>
    <hyperlink ref="R380" r:id="rId840" xr:uid="{3E7023EC-74C3-4B45-BAAA-F505F28261A4}"/>
    <hyperlink ref="R46" r:id="rId841" xr:uid="{BA35D6CE-8A2E-A441-B8B5-4870B93F355F}"/>
    <hyperlink ref="R61" r:id="rId842" xr:uid="{7E4903CF-ED2B-8B45-9793-746C376A8796}"/>
    <hyperlink ref="R98" r:id="rId843" xr:uid="{771EBBAD-631F-5741-A310-6B01DCC4CD64}"/>
    <hyperlink ref="R903" r:id="rId844" xr:uid="{50865591-64EE-7548-A518-523FDEF7AB72}"/>
    <hyperlink ref="R990" r:id="rId845" xr:uid="{BE74F6BB-4391-4C4E-B9A0-4D3E7AA8B6A4}"/>
    <hyperlink ref="R1268" r:id="rId846" xr:uid="{03B0D279-881F-DF40-99D2-798E2A2E59C7}"/>
    <hyperlink ref="R904" r:id="rId847" xr:uid="{2251114B-E867-4340-8C72-70068DEFF6C8}"/>
    <hyperlink ref="R991" r:id="rId848" xr:uid="{A6A1F504-F2D5-0445-B666-E42FFCE36BC8}"/>
    <hyperlink ref="R992" r:id="rId849" xr:uid="{D52CE99C-CDA4-5242-AFA0-FE8678219F6C}"/>
    <hyperlink ref="R993" r:id="rId850" xr:uid="{094AB480-6676-3A49-9ED2-D32287C39D74}"/>
    <hyperlink ref="R1269" r:id="rId851" xr:uid="{1ADD52BD-6A86-9F4D-862B-E80D8749364A}"/>
    <hyperlink ref="R1096" r:id="rId852" xr:uid="{4FEF220D-B2C0-6B4E-A39F-E8041D0E54FF}"/>
    <hyperlink ref="R994" r:id="rId853" xr:uid="{CEB1609B-2583-F44F-A521-ACC00A302C1D}"/>
    <hyperlink ref="R995" r:id="rId854" xr:uid="{FB949AE7-D6BC-E04E-A9BD-0A6DA37B85DE}"/>
    <hyperlink ref="R1270" r:id="rId855" xr:uid="{3F8FF54D-50A3-4640-835D-259151235F8F}"/>
    <hyperlink ref="R106" r:id="rId856" xr:uid="{B8927AB1-42BB-AC47-AB5B-9668EBCB01A3}"/>
    <hyperlink ref="R95" r:id="rId857" xr:uid="{3AFEA580-B564-9546-9FB1-DD9C69C3921D}"/>
    <hyperlink ref="R47" r:id="rId858" xr:uid="{186E2874-4979-5D45-B4F5-308EB8E17DDB}"/>
    <hyperlink ref="R62" r:id="rId859" xr:uid="{8404408B-228D-FA44-A54B-B2D5140FA555}"/>
    <hyperlink ref="R107" r:id="rId860" xr:uid="{27346309-C966-D04C-BE66-98542AEA27EB}"/>
    <hyperlink ref="R108" r:id="rId861" xr:uid="{5EF3097D-ED6D-EE4D-BDC2-5DF05EB3565D}"/>
    <hyperlink ref="R109" r:id="rId862" xr:uid="{1D3E6E17-0E66-4445-918C-39FCCE06D829}"/>
    <hyperlink ref="R110" r:id="rId863" xr:uid="{692B1BD3-B9A2-B741-ADD1-FB4C7B7923AE}"/>
    <hyperlink ref="R48" r:id="rId864" xr:uid="{C75F39D2-24B9-264F-B28A-AE65373850B7}"/>
    <hyperlink ref="R934" r:id="rId865" xr:uid="{5E9A660E-3323-2346-A27F-991A3A79F9CE}"/>
    <hyperlink ref="R1073" r:id="rId866" xr:uid="{27D7D9B0-5EB6-C94C-A49F-C9B5F0D8283B}"/>
    <hyperlink ref="R1078" r:id="rId867" xr:uid="{C0BF2BD9-2E60-AD4E-BFDB-368EDADBFA56}"/>
    <hyperlink ref="R2090" r:id="rId868" xr:uid="{905BBA5B-EC38-AE40-92F6-98EA483FB691}"/>
    <hyperlink ref="R2165" r:id="rId869" xr:uid="{2856CE18-64CB-2640-B606-ECD5B4E82020}"/>
    <hyperlink ref="R944" r:id="rId870" xr:uid="{CD17C93F-C56A-C642-AA9D-4A631323E602}"/>
    <hyperlink ref="R1305" r:id="rId871" xr:uid="{AB3EC91B-6C9E-7E41-B33F-C03AE837C817}"/>
    <hyperlink ref="R1369" r:id="rId872" xr:uid="{F9DDF7FA-E90E-3F4C-8BFD-34EE6183AAB9}"/>
    <hyperlink ref="R1306" r:id="rId873" xr:uid="{E0A8608B-0141-B344-BCEA-1091F9B869FB}"/>
    <hyperlink ref="R371" r:id="rId874" xr:uid="{CD1B8B2D-EB5F-0A41-A1CB-BA6138D8B3A3}"/>
    <hyperlink ref="R377" r:id="rId875" xr:uid="{6BACC456-E2EB-6E48-8E7C-1A92FA5FF378}"/>
    <hyperlink ref="R372" r:id="rId876" xr:uid="{241B70C7-EED9-4E4A-8DC5-CDF902D48AE1}"/>
    <hyperlink ref="R364" r:id="rId877" xr:uid="{BFA0EA28-0378-304C-A44C-AA90E34B477F}"/>
    <hyperlink ref="R622" r:id="rId878" xr:uid="{F7054CBA-A8E7-434B-8E81-AF8175E2FBA9}"/>
    <hyperlink ref="R415" r:id="rId879" xr:uid="{5968A799-73FE-0745-AE78-5A8A716FB755}"/>
    <hyperlink ref="R996" r:id="rId880" xr:uid="{1956E4BF-660E-8F49-9612-E9D1943E56D4}"/>
    <hyperlink ref="R997" r:id="rId881" xr:uid="{C936B139-FC3E-9B48-850C-1BEF93E8DC5C}"/>
    <hyperlink ref="R905" r:id="rId882" xr:uid="{511D24FE-06A3-2F43-9006-8C1D293B2872}"/>
    <hyperlink ref="R1172" r:id="rId883" xr:uid="{63561DF3-F591-0E48-83AB-285467D8408F}"/>
    <hyperlink ref="R906" r:id="rId884" xr:uid="{799EC0E6-3CE0-6849-AAAE-4232C16772C4}"/>
    <hyperlink ref="R907" r:id="rId885" xr:uid="{F1CBCA6E-9BE4-ED4C-AF81-7B13AA7F4D8A}"/>
    <hyperlink ref="R63" r:id="rId886" xr:uid="{E5DDED70-793D-C84E-82E2-3084761DAE34}"/>
    <hyperlink ref="R64" r:id="rId887" xr:uid="{9786C3E5-5B5C-4049-B68C-11910416848A}"/>
    <hyperlink ref="R65" r:id="rId888" xr:uid="{589551FE-B9D5-8242-B58A-2E26D4D2DF8E}"/>
    <hyperlink ref="R66" r:id="rId889" xr:uid="{A8E423AF-644D-7E4B-9779-544435D50E25}"/>
    <hyperlink ref="R67" r:id="rId890" xr:uid="{94C97293-4922-4844-B489-D927729C0A5D}"/>
    <hyperlink ref="R68" r:id="rId891" xr:uid="{6997DFF5-194F-BE45-8FE6-5F3C724CC03F}"/>
    <hyperlink ref="R69" r:id="rId892" xr:uid="{A42E017B-3F5D-D347-9360-B2FDBC27A0A2}"/>
    <hyperlink ref="R1032" r:id="rId893" xr:uid="{073C20CF-93A2-C544-98CF-06CD04347FCB}"/>
    <hyperlink ref="R1314" r:id="rId894" xr:uid="{BF26BC80-8F25-5D42-AC8F-61FEB00BBBD4}"/>
    <hyperlink ref="R935" r:id="rId895" xr:uid="{34A923FF-B4AE-5F4D-86F4-1A272EB8DE14}"/>
    <hyperlink ref="R1798" r:id="rId896" xr:uid="{BA15D17F-2DA9-1D46-8445-812B47D3A9A4}"/>
    <hyperlink ref="R1307" r:id="rId897" xr:uid="{74555025-A8B2-2E41-A630-ED08CA027263}"/>
    <hyperlink ref="R102" r:id="rId898" xr:uid="{D884938B-F266-BC46-8639-278FD65F065D}"/>
    <hyperlink ref="R103" r:id="rId899" xr:uid="{B5DC17AF-FC5B-874F-8158-4E127862C10F}"/>
    <hyperlink ref="R1308" r:id="rId900" xr:uid="{256A90AF-5200-114A-809A-19387AC9F604}"/>
    <hyperlink ref="R1309" r:id="rId901" xr:uid="{F531D5FE-8D7E-C044-93AA-3AF9A2CF1257}"/>
    <hyperlink ref="R1302" r:id="rId902" xr:uid="{BA99F309-FCBF-3344-8A3D-70DBEE116493}"/>
    <hyperlink ref="R1079" r:id="rId903" xr:uid="{700227E8-369D-1E46-AA25-C14E2D6A0726}"/>
    <hyperlink ref="R1777" r:id="rId904" xr:uid="{75C620FD-210E-A243-87A9-CC7AEF781704}"/>
    <hyperlink ref="R945" r:id="rId905" xr:uid="{80056B96-AA96-E645-9745-3A69C85F5D41}"/>
    <hyperlink ref="R1080" r:id="rId906" xr:uid="{E1F7A53D-88D1-C34E-8C97-B148042AD82C}"/>
    <hyperlink ref="R1081" r:id="rId907" xr:uid="{5068456C-83BF-0C41-B448-C43B6CA9DC86}"/>
    <hyperlink ref="R308" r:id="rId908" xr:uid="{1A621592-8B06-C646-8D7D-EE5F71B37B26}"/>
    <hyperlink ref="R33" r:id="rId909" xr:uid="{AC8FF101-27CD-BA44-B4F6-8DD1115E2F4E}"/>
    <hyperlink ref="R775" r:id="rId910" xr:uid="{41998A83-D087-3E40-9C05-D2A15F9BA112}"/>
    <hyperlink ref="R34" r:id="rId911" xr:uid="{2D7B6975-090D-574F-B373-46D4205083B7}"/>
    <hyperlink ref="R1799" r:id="rId912" xr:uid="{505F8C7F-3281-7246-A441-565405D8A7DC}"/>
    <hyperlink ref="R922" r:id="rId913" xr:uid="{33728273-D856-404F-9698-0EC5439FB4F4}"/>
    <hyperlink ref="R1788" r:id="rId914" xr:uid="{3950158B-F064-1049-A758-BABF161F8668}"/>
    <hyperlink ref="R1789" r:id="rId915" xr:uid="{BDA1D30C-29DB-5944-9042-BD2BE4905A7A}"/>
    <hyperlink ref="R1824" r:id="rId916" xr:uid="{BE79C17A-3434-9F46-AE7D-59940C8123E1}"/>
    <hyperlink ref="R972" r:id="rId917" xr:uid="{A427D6E5-549A-334F-B440-55DE1748D346}"/>
    <hyperlink ref="R776" r:id="rId918" xr:uid="{63487028-2826-ED46-BFC0-79FCDC699130}"/>
    <hyperlink ref="R1825" r:id="rId919" xr:uid="{619FFC87-5C0D-7A4D-88DD-82EA3392D04A}"/>
    <hyperlink ref="R790" r:id="rId920" xr:uid="{70DACF98-39AF-0442-89B1-05C347E5810A}"/>
    <hyperlink ref="R962" r:id="rId921" xr:uid="{7AABBD82-57D9-8C42-81E1-ECD5C087D369}"/>
    <hyperlink ref="R963" r:id="rId922" xr:uid="{5104F7EE-8833-DC45-BEC5-EB9BFF4D2DD7}"/>
    <hyperlink ref="R1236" r:id="rId923" xr:uid="{0E93C8A5-8EF8-7E4F-AFB2-D54B78B1BFFB}"/>
    <hyperlink ref="R1315" r:id="rId924" xr:uid="{1E7958FE-A7DD-444F-B32F-C9DC4324D60F}"/>
    <hyperlink ref="R623" r:id="rId925" xr:uid="{13A01932-CE06-AC4D-92C8-B466CACEBACB}"/>
    <hyperlink ref="R585" r:id="rId926" xr:uid="{D1B35F8D-F2FA-0344-8DF8-2B7FBBB4A7DA}"/>
    <hyperlink ref="R2141" r:id="rId927" xr:uid="{A01A8E56-5EA1-7B4C-BA61-CA5204C2D1B3}"/>
    <hyperlink ref="R1717" r:id="rId928" xr:uid="{C74B8F54-1769-2041-B1A5-214ADCFD6249}"/>
    <hyperlink ref="R1719" r:id="rId929" xr:uid="{F6788F9B-F0A7-BD44-8267-318A00D29F88}"/>
    <hyperlink ref="R1237" r:id="rId930" xr:uid="{084654AF-ED35-0247-8567-42C54AE3B833}"/>
    <hyperlink ref="R1342" r:id="rId931" xr:uid="{FEA74ABF-5114-714D-9150-E6D6926B5D9D}"/>
    <hyperlink ref="R900" r:id="rId932" xr:uid="{71D9AFBE-7084-E64A-9B11-E45BB695C42A}"/>
    <hyperlink ref="R1610" r:id="rId933" xr:uid="{A419D3AD-8B88-374B-BA4D-0D936AE92967}"/>
    <hyperlink ref="R1692" r:id="rId934" xr:uid="{5BF0C5CD-2D3F-1942-9414-3C253C688543}"/>
    <hyperlink ref="R491" r:id="rId935" xr:uid="{6B1D5B1D-F1A8-C44D-B504-764A9C0973C4}"/>
    <hyperlink ref="R2038" r:id="rId936" xr:uid="{3D823B40-7D78-234F-A575-DCE8B72AC70C}"/>
    <hyperlink ref="R586" r:id="rId937" xr:uid="{652F5874-2BF6-F544-A67E-1D9D61ECEDDF}"/>
    <hyperlink ref="R378" r:id="rId938" xr:uid="{75FD5887-50F7-9B47-B3D0-C5B424FA7E44}"/>
    <hyperlink ref="R365" r:id="rId939" xr:uid="{DDE4DC80-368C-2040-9DBF-B1FD6A3D90E6}"/>
    <hyperlink ref="R362" r:id="rId940" xr:uid="{4AF05962-437D-584A-AAAD-D1F8CB30E261}"/>
    <hyperlink ref="R363" r:id="rId941" xr:uid="{5BB623ED-4F1C-8F4D-8A30-CCB6C4DA4823}"/>
    <hyperlink ref="R1018" r:id="rId942" xr:uid="{E5E2FD78-1A3B-DA43-AA96-1589A612F9AD}"/>
    <hyperlink ref="R1365" r:id="rId943" xr:uid="{2A732BD2-3B67-C54C-A637-E0A755FA35BE}"/>
    <hyperlink ref="R1019" r:id="rId944" xr:uid="{D95CF3EA-5AB3-8943-907B-2D8918C6ED76}"/>
    <hyperlink ref="R1074" r:id="rId945" xr:uid="{D6BCB2D8-1054-AC40-B8BB-1A595A4C8941}"/>
    <hyperlink ref="R1697" r:id="rId946" xr:uid="{19561392-EAED-0D4D-9812-64E92EC9712A}"/>
    <hyperlink ref="R1473" r:id="rId947" xr:uid="{8E85802B-1484-2D4E-A649-2C30ECD70B33}"/>
    <hyperlink ref="R526" r:id="rId948" xr:uid="{F52BA2FC-0BFA-D24A-BF44-6718C323268B}"/>
    <hyperlink ref="R1774" r:id="rId949" xr:uid="{B051342B-3459-9B43-ADC1-5CA79526EF41}"/>
    <hyperlink ref="R1790" r:id="rId950" xr:uid="{4E1C36FF-8995-DE4E-A414-6D9DB79932A1}"/>
    <hyperlink ref="R1791" r:id="rId951" xr:uid="{7BF8845E-5070-554C-B13A-9927DB3CA1C3}"/>
    <hyperlink ref="R1792" r:id="rId952" xr:uid="{407FA18B-EDF1-1D4F-95F4-068ACC55878B}"/>
    <hyperlink ref="R1793" r:id="rId953" xr:uid="{734FF087-B444-FA49-975C-2C70FAC185CF}"/>
    <hyperlink ref="R492" r:id="rId954" xr:uid="{91C961E4-893F-8240-9245-48B6E9A9D6DB}"/>
    <hyperlink ref="R1701" r:id="rId955" xr:uid="{56458B8A-B0AB-C149-B9BA-B500849FF718}"/>
    <hyperlink ref="R1800" r:id="rId956" xr:uid="{1555537F-7AA7-0B44-BECE-E56C2466404A}"/>
    <hyperlink ref="R1775" r:id="rId957" xr:uid="{0D14C3B7-0E75-BD40-90A6-0D09E7A675DA}"/>
    <hyperlink ref="R1826" r:id="rId958" xr:uid="{526297CF-E66B-2540-8374-CE1EA3EA2834}"/>
    <hyperlink ref="R1794" r:id="rId959" xr:uid="{93B8EE72-951D-4B42-88A2-49429DCD4010}"/>
    <hyperlink ref="R437" r:id="rId960" xr:uid="{E9EAA896-EAF6-C342-846E-24D02BF4F6F4}"/>
    <hyperlink ref="R587" r:id="rId961" xr:uid="{F2BCA39B-C2F4-3844-9368-DF0D9B385AA5}"/>
    <hyperlink ref="R624" r:id="rId962" xr:uid="{6739917C-D60C-2540-BA66-222C9E1FE08E}"/>
    <hyperlink ref="R625" r:id="rId963" xr:uid="{10C435EE-C8F1-1B4C-8A98-934BB76ADBF7}"/>
    <hyperlink ref="R416" r:id="rId964" xr:uid="{0A70CBD2-1D1D-C54E-A47A-6F472705EA93}"/>
    <hyperlink ref="R466" r:id="rId965" xr:uid="{EF680F5E-C460-3B48-93BA-78077F3C5325}"/>
    <hyperlink ref="R375" r:id="rId966" display="https://theglobaljukebox.org/" xr:uid="{D93BD952-D67B-BA4D-8BCA-C44BFFC33075}"/>
    <hyperlink ref="R662" r:id="rId967" xr:uid="{099F7E23-3ED1-0D4C-9782-E1D4915A31C1}"/>
    <hyperlink ref="R493" r:id="rId968" xr:uid="{02051036-2197-4D45-A939-4E76DC80984F}"/>
    <hyperlink ref="R467" r:id="rId969" display="https://theglobaljukebox.org/" xr:uid="{AD036ADA-4E1E-F742-AF5E-261FE3AC7977}"/>
    <hyperlink ref="R626" r:id="rId970" display="https://theglobaljukebox.org/" xr:uid="{79C8348C-26C4-9045-A02B-89972E43FC97}"/>
    <hyperlink ref="R520" r:id="rId971" display="https://theglobaljukebox.org/" xr:uid="{9E45AF41-B590-754A-8D27-87FBED9F4187}"/>
    <hyperlink ref="R468" r:id="rId972" display="https://theglobaljukebox.org/" xr:uid="{A2361B4E-9C8B-C64B-BC5A-A76112EB8789}"/>
    <hyperlink ref="R469" r:id="rId973" xr:uid="{2ECFDEA7-7FAC-B147-9696-57957C5210EB}"/>
    <hyperlink ref="R470" r:id="rId974" xr:uid="{70DECFFA-95BA-8F44-B307-36AB9812C4C2}"/>
    <hyperlink ref="R494" r:id="rId975" xr:uid="{4147D004-CD5C-E049-B1E3-D7DFBAF767BF}"/>
    <hyperlink ref="R495" r:id="rId976" xr:uid="{6D5470EB-073F-F243-B75A-8F97822B257D}"/>
    <hyperlink ref="R417" r:id="rId977" xr:uid="{800A4A73-19BA-024B-BA2A-50949B4AB48B}"/>
    <hyperlink ref="R542" r:id="rId978" display="https://theglobaljukebox.org/" xr:uid="{A52342CA-146E-0C47-9CB9-A6EFB5FA0A0F}"/>
    <hyperlink ref="R861" r:id="rId979" display="https://theglobaljukebox.org/" xr:uid="{8713B009-1099-674A-9453-D8024481BE2B}"/>
    <hyperlink ref="R862" r:id="rId980" display="https://theglobaljukebox.org/" xr:uid="{35DA48E9-E742-F34A-B3F9-5F35611C4C5B}"/>
    <hyperlink ref="R1696" r:id="rId981" display="https://theglobaljukebox.org/" xr:uid="{0607B1E1-7091-8348-9AB4-4B208ED98484}"/>
    <hyperlink ref="R863" r:id="rId982" display="https://theglobaljukebox.org/" xr:uid="{EE4D5992-A702-9346-8F9D-CD0D6775D128}"/>
    <hyperlink ref="R379" r:id="rId983" display="https://theglobaljukebox.org/" xr:uid="{351A73C9-F717-F845-AFF3-FBE47DC906EC}"/>
    <hyperlink ref="R373" r:id="rId984" display="https://theglobaljukebox.org/" xr:uid="{2F1E5591-DC08-9349-964C-0B6415AE62BA}"/>
    <hyperlink ref="R471" r:id="rId985" display="https://theglobaljukebox.org/" xr:uid="{4EC06A12-E629-3844-BE98-AE9ABF011B14}"/>
    <hyperlink ref="R1028" r:id="rId986" xr:uid="{80ADC412-B065-0E40-9A2C-27527C9506F8}"/>
    <hyperlink ref="R1622" r:id="rId987" xr:uid="{AE6BC4A7-E588-0844-A026-7B251649E981}"/>
    <hyperlink ref="R1619" r:id="rId988" display="https://theglobaljukebox.org/?share=Otomi-T5487R31" xr:uid="{8A819271-D656-C345-9727-FA09C298E318}"/>
    <hyperlink ref="R1310" r:id="rId989" xr:uid="{AA98704F-D7CA-5E44-864E-ABC59CE566BA}"/>
    <hyperlink ref="R1311" r:id="rId990" xr:uid="{39A5314D-5D2F-574C-9C5E-C38EBCF67D3C}"/>
    <hyperlink ref="R1312" r:id="rId991" xr:uid="{0421CF79-EC4C-0847-89B4-48393531DE44}"/>
    <hyperlink ref="R521" r:id="rId992" display="https://theglobaljukebox.org/" xr:uid="{E72BBE8C-5FFA-5A47-A2B5-C18D6DEE4439}"/>
    <hyperlink ref="R588" r:id="rId993" xr:uid="{2EAECBCA-CDAC-A943-81C7-22789543FF31}"/>
    <hyperlink ref="R589" r:id="rId994" xr:uid="{B716C281-3450-5745-8568-A7926C1B1279}"/>
    <hyperlink ref="R418" r:id="rId995" xr:uid="{ABBC32BA-6C44-2F44-A340-7340809877CD}"/>
    <hyperlink ref="R663" r:id="rId996" xr:uid="{CD011EA1-347E-6D42-99F0-9784073763D9}"/>
    <hyperlink ref="R419" r:id="rId997" xr:uid="{BE284DC5-EACD-0E4C-8190-2A8C434E0636}"/>
    <hyperlink ref="R376" r:id="rId998" xr:uid="{CB95DDF8-71FE-9E4F-8907-CB69DD251E83}"/>
    <hyperlink ref="R263" r:id="rId999" xr:uid="{9EC7B346-9174-7F45-936A-14D44BE0FEF0}"/>
    <hyperlink ref="R195" r:id="rId1000" xr:uid="{35A6CC4B-5B6B-B94C-880C-9524CEF907A8}"/>
    <hyperlink ref="R707" r:id="rId1001" xr:uid="{B44471C9-28FA-5347-8C0D-F21EBB3CA7B3}"/>
    <hyperlink ref="R1827" r:id="rId1002" xr:uid="{EA627218-FFEF-4447-977C-6D3AD2EEF063}"/>
    <hyperlink ref="R1842" r:id="rId1003" xr:uid="{F5A65B2A-84E6-734B-A019-AB0DBC72851E}"/>
    <hyperlink ref="R664" r:id="rId1004" display="https://theglobaljukebox.org/" xr:uid="{2266B5E3-4413-5541-80B9-2768609803D3}"/>
    <hyperlink ref="R665" r:id="rId1005" display="https://theglobaljukebox.org/" xr:uid="{9361D8BC-B7B5-3146-B5CE-6313F61EF015}"/>
    <hyperlink ref="R590" r:id="rId1006" display="https://theglobaljukebox.org/" xr:uid="{4085A4EC-A54D-D544-A4FC-E6AB94C06C79}"/>
    <hyperlink ref="R1593" r:id="rId1007" xr:uid="{CC4601D5-4604-0C4B-9B9D-2AC392134760}"/>
    <hyperlink ref="R1579" r:id="rId1008" display="https://theglobaljukebox.org/" xr:uid="{B0F35C61-D37C-BD44-8617-AFFDE8A1696D}"/>
    <hyperlink ref="R1585" r:id="rId1009" display="https://theglobaljukebox.org/" xr:uid="{31FDCC90-01FD-C84B-8F5A-C81319963592}"/>
    <hyperlink ref="R1586" r:id="rId1010" display="https://theglobaljukebox.org/" xr:uid="{ED735E20-C173-2547-AB7A-2F9F5810485A}"/>
    <hyperlink ref="R1587" r:id="rId1011" display="https://theglobaljukebox.org/" xr:uid="{98F568E2-0C95-154E-8F5E-6344A70DEB89}"/>
    <hyperlink ref="R627" r:id="rId1012" display="https://theglobaljukebox.org/" xr:uid="{4CF3FF64-ED3D-3545-8D8D-4D569FBDEE81}"/>
    <hyperlink ref="R384" r:id="rId1013" xr:uid="{13B4765B-2175-B74C-BD38-633551D0BDBE}"/>
    <hyperlink ref="R522" r:id="rId1014" display="https://theglobaljukebox.org/" xr:uid="{2FA67C86-84A8-594E-8E4A-6A5ABBEA31AC}"/>
    <hyperlink ref="R1580" r:id="rId1015" display="https://theglobaljukebox.org/" xr:uid="{36EBA0EB-B6CC-284B-A734-3E111E797435}"/>
    <hyperlink ref="R385" r:id="rId1016" xr:uid="{1AB161FA-9471-3442-BBB8-38E39FC343A3}"/>
    <hyperlink ref="R1702" r:id="rId1017" display="https://theglobaljukebox.org/" xr:uid="{A04F824F-3486-D540-8EFC-69E76D358256}"/>
    <hyperlink ref="R569" r:id="rId1018" display="https://theglobaljukebox.org/" xr:uid="{4C3F77D7-CBB3-3848-A07C-E060AF3101FC}"/>
    <hyperlink ref="R543" r:id="rId1019" display="https://theglobaljukebox.org/" xr:uid="{C75D543E-2645-C341-B5E0-69BD0AC5797B}"/>
    <hyperlink ref="R1233" r:id="rId1020" xr:uid="{B20F33E3-3DAE-4546-AEB6-07710C06E68D}"/>
    <hyperlink ref="R672" r:id="rId1021" xr:uid="{27AD8C3C-B92B-1F4A-BF78-BBDC820D2B12}"/>
    <hyperlink ref="R1303" r:id="rId1022" xr:uid="{8DB3CDAA-C2E0-0D4A-8DFD-3A1D0B94334E}"/>
    <hyperlink ref="R1366" r:id="rId1023" xr:uid="{F4A42F15-45F0-4749-A9EA-2B669AEC7D07}"/>
    <hyperlink ref="R936" r:id="rId1024" xr:uid="{1917E30D-70DB-8547-B172-F12BB2F9C7A5}"/>
    <hyperlink ref="R937" r:id="rId1025" xr:uid="{50CB1C88-A175-8E4B-840B-286D1A8134F4}"/>
    <hyperlink ref="R1075" r:id="rId1026" xr:uid="{C22C2981-8FCB-E946-A064-4573083FCBDF}"/>
    <hyperlink ref="R79" r:id="rId1027" xr:uid="{4A96C7B4-99B7-0043-96CA-E41E5137A00F}"/>
    <hyperlink ref="R80" r:id="rId1028" xr:uid="{BA65DDC7-6CEA-A14D-980E-5C4666E008DB}"/>
    <hyperlink ref="R81" r:id="rId1029" display="https://theglobaljukebox.org/?share=Baggara-T5626R17m" xr:uid="{EB5D4D4C-BBBF-094E-879C-6AFB7EC03E12}"/>
    <hyperlink ref="R82" r:id="rId1030" display="https://theglobaljukebox.org/?share=Baggara-T5626R16m" xr:uid="{6DBBACBA-4310-DC4E-B2D0-EBD10693C1E1}"/>
    <hyperlink ref="R83" r:id="rId1031" xr:uid="{4F654F23-F36D-1B40-BE36-0E3EC62440D1}"/>
    <hyperlink ref="R84" r:id="rId1032" xr:uid="{0EC71E6B-C012-E24B-AFFD-DFC098FC1C08}"/>
    <hyperlink ref="R85" r:id="rId1033" xr:uid="{D51E261D-7295-B249-A0C3-A6C9BD78E5F5}"/>
    <hyperlink ref="R86" r:id="rId1034" xr:uid="{D44753A7-CAAC-C544-A2D8-032ADEE0CDD7}"/>
    <hyperlink ref="R87" r:id="rId1035" xr:uid="{DF172853-7913-CD48-A33E-FDFC355E4307}"/>
    <hyperlink ref="R88" r:id="rId1036" xr:uid="{B729FFF9-66AA-0547-B512-1EEAF3B0A113}"/>
    <hyperlink ref="R946" r:id="rId1037" xr:uid="{B79E3CAC-6B39-C04E-A52F-0D19794820F7}"/>
    <hyperlink ref="R1601" r:id="rId1038" xr:uid="{8B414674-7717-B449-AFFE-8DF10E244A9C}"/>
    <hyperlink ref="R1602" r:id="rId1039" xr:uid="{12A089D4-8F33-014A-8CE9-218BE100F76C}"/>
    <hyperlink ref="R1603" r:id="rId1040" xr:uid="{62E62A24-AD43-4D4C-A24B-64A3EF193EDB}"/>
    <hyperlink ref="R1828" r:id="rId1041" xr:uid="{9C2E6989-7FC5-CC41-8641-1EC6FB101578}"/>
    <hyperlink ref="R1829" r:id="rId1042" xr:uid="{105EB33C-C66C-7B4F-9FDF-2738500514B3}"/>
    <hyperlink ref="R973" r:id="rId1043" xr:uid="{683EBA80-A042-244A-B5A3-183839CAA5C8}"/>
    <hyperlink ref="R1830" r:id="rId1044" xr:uid="{83A525E7-705F-B248-8E00-2C041433E534}"/>
    <hyperlink ref="R1801" r:id="rId1045" xr:uid="{CC80C729-FA69-8E4A-B0F8-D08E4414BA29}"/>
    <hyperlink ref="R1831" r:id="rId1046" xr:uid="{49D50828-EE00-A845-B70E-0AB683A18C08}"/>
    <hyperlink ref="R1044" r:id="rId1047" xr:uid="{AEFF6E20-CCE9-E542-AD7E-11983A255631}"/>
    <hyperlink ref="R1832" r:id="rId1048" xr:uid="{75729F74-9C0A-E54F-8796-0B1BAD03119E}"/>
    <hyperlink ref="R1833" r:id="rId1049" xr:uid="{577F98EA-CB89-A642-9AC1-6E233C22785F}"/>
    <hyperlink ref="R1834" r:id="rId1050" xr:uid="{68D6C2E7-8E23-2A40-8149-1112A4330A50}"/>
    <hyperlink ref="R1835" r:id="rId1051" xr:uid="{22030A75-2435-0145-A7C3-6BA51A525221}"/>
    <hyperlink ref="R190" r:id="rId1052" xr:uid="{209ADE5C-F45F-AF49-A7F7-CC733E1DDF09}"/>
    <hyperlink ref="R2017" r:id="rId1053" xr:uid="{8EE35575-49EA-314E-85B2-2E4D1F298692}"/>
    <hyperlink ref="R1465" r:id="rId1054" xr:uid="{435051D0-4EB9-9F47-8817-F789E0DAE69F}"/>
    <hyperlink ref="R710" r:id="rId1055" xr:uid="{DBB6C00D-7D88-7943-9D61-3B555D2C83BB}"/>
    <hyperlink ref="R1710" r:id="rId1056" xr:uid="{8B5DDDA3-FCC6-3E46-9C6E-C696EE0E7938}"/>
    <hyperlink ref="R1511" r:id="rId1057" xr:uid="{2B9F399B-A270-CB4C-BDD2-A59488E75ABA}"/>
    <hyperlink ref="R1503" r:id="rId1058" xr:uid="{5D6C166C-0B5D-0B4E-ACF7-89E95D7AF616}"/>
    <hyperlink ref="R1493" r:id="rId1059" xr:uid="{2BADFBD0-9473-714C-8247-172A68BE7E60}"/>
    <hyperlink ref="R1316" r:id="rId1060" xr:uid="{6EEC27D6-DE00-F148-A9A0-2C52A72D2D3E}"/>
    <hyperlink ref="R947" r:id="rId1061" xr:uid="{1BEC821C-9A48-544A-9066-552236910EEE}"/>
    <hyperlink ref="R866" r:id="rId1062" xr:uid="{12A1F651-3D5D-9A4B-B672-6E81F59A7C74}"/>
    <hyperlink ref="R1238" r:id="rId1063" xr:uid="{9497B8A9-10EF-AD43-8218-6A46A9F4E4EE}"/>
    <hyperlink ref="R964" r:id="rId1064" xr:uid="{7DC1EDFC-A7D6-3547-81AD-EA52D10D13F7}"/>
    <hyperlink ref="R1194" r:id="rId1065" xr:uid="{00661A3D-E4BB-AE46-AC41-D8C2BEA39CFB}"/>
    <hyperlink ref="R1317" r:id="rId1066" xr:uid="{E93F8F9D-DA3D-EC43-BB10-8B3157A6E8B9}"/>
    <hyperlink ref="R1115" r:id="rId1067" xr:uid="{2FB23423-1980-5845-A8CD-26C5D13B65DE}"/>
    <hyperlink ref="R1239" r:id="rId1068" xr:uid="{08B1309B-A001-2343-AEDE-8996A3EDEF3F}"/>
    <hyperlink ref="R196" r:id="rId1069" xr:uid="{DE4D8EEA-8C02-FF4F-B044-3D664006625B}"/>
    <hyperlink ref="R1536" r:id="rId1070" xr:uid="{2E703DEB-DB16-3645-864C-E574692A5D34}"/>
    <hyperlink ref="R1562" r:id="rId1071" xr:uid="{7AE61F16-9BD3-A049-A833-ECB06BBFF3FC}"/>
    <hyperlink ref="R2073" r:id="rId1072" xr:uid="{81FA4C21-85F6-8749-880E-4F532C829ED6}"/>
    <hyperlink ref="R2057" r:id="rId1073" xr:uid="{AD670B16-45F2-5D43-8FC0-950214ED2F74}"/>
    <hyperlink ref="R694" r:id="rId1074" xr:uid="{0D069C85-6360-2A45-9330-89BA8056E641}"/>
    <hyperlink ref="R673" r:id="rId1075" xr:uid="{0E380F01-8E98-2641-89E1-69C767FCC5F6}"/>
    <hyperlink ref="R1234" r:id="rId1076" xr:uid="{2FF044DE-396C-CD46-9E26-847DB6864DE7}"/>
    <hyperlink ref="R1132" r:id="rId1077" xr:uid="{0B45854B-5C47-7F40-8568-AE28857F3148}"/>
    <hyperlink ref="R197" r:id="rId1078" xr:uid="{AED39F08-E989-0D40-A4A1-BA7FF1AD7B92}"/>
    <hyperlink ref="R223" r:id="rId1079" xr:uid="{67FFE21D-C751-0C4B-ACA9-D0AC91AF27A7}"/>
    <hyperlink ref="R332" r:id="rId1080" xr:uid="{C78C72DA-38C2-0C4F-B2A5-5A5B2856AF66}"/>
    <hyperlink ref="R1741" r:id="rId1081" xr:uid="{58EE07FD-F780-F348-9163-BC388F7EF85F}"/>
    <hyperlink ref="R128" r:id="rId1082" xr:uid="{4A46CD0F-9C9C-F740-86FD-9CD991D3AA42}"/>
    <hyperlink ref="R1973" r:id="rId1083" xr:uid="{2162EC62-9A2E-4240-9A83-076B5142D71E}"/>
    <hyperlink ref="R1974" r:id="rId1084" xr:uid="{5B9E7947-8131-BF42-BAD6-6003A939902A}"/>
    <hyperlink ref="R1975" r:id="rId1085" xr:uid="{7600E8A8-9FA2-304C-B271-44BBDFCB7442}"/>
    <hyperlink ref="R1626" r:id="rId1086" xr:uid="{E0A1C1AD-DE75-964F-8920-406AE54E5036}"/>
    <hyperlink ref="R1020" r:id="rId1087" xr:uid="{A2AB4BA0-0181-F34B-AC3A-FEC6A4561910}"/>
    <hyperlink ref="R938" r:id="rId1088" xr:uid="{7CF64EF8-A094-0B40-92C3-96A226F9F156}"/>
    <hyperlink ref="R1304" r:id="rId1089" xr:uid="{CF75BC94-FAE9-C74C-9597-84EFA350A826}"/>
    <hyperlink ref="R1021" r:id="rId1090" xr:uid="{3A92B87E-CCEA-C349-9646-CB7B6BCED214}"/>
    <hyperlink ref="R1367" r:id="rId1091" xr:uid="{7DAD9BCC-71F1-C849-8BEC-29F4D30DE8E6}"/>
    <hyperlink ref="R2014" r:id="rId1092" xr:uid="{B1EC6CAE-8BDD-8B4F-BEF2-ED041E9EF3C2}"/>
    <hyperlink ref="R1742" r:id="rId1093" xr:uid="{5AF637F7-58A6-354A-BF2A-052F2529B8AD}"/>
    <hyperlink ref="R1743" r:id="rId1094" xr:uid="{BC397842-749D-6E43-8507-BE9D02CA5BDA}"/>
    <hyperlink ref="R1744" r:id="rId1095" xr:uid="{A69EBB30-7B43-AA44-B6A7-A4BC03C1662E}"/>
    <hyperlink ref="R1703" r:id="rId1096" xr:uid="{AEB96E3D-3322-684C-B51B-211A96A9BB43}"/>
    <hyperlink ref="R1704" r:id="rId1097" xr:uid="{C788A8A6-795D-F045-AFC8-6012AC17F94A}"/>
    <hyperlink ref="R1705" r:id="rId1098" xr:uid="{ABCB9E2B-E7A8-9E4B-AE2B-321387A08343}"/>
    <hyperlink ref="R1686" r:id="rId1099" xr:uid="{3142F4F8-ED8C-4A41-89DA-1DC4B06961B8}"/>
    <hyperlink ref="R1694" r:id="rId1100" xr:uid="{C4E9775A-4E2C-E640-8968-CF25C9FD0510}"/>
    <hyperlink ref="R1706" r:id="rId1101" xr:uid="{83CE51A4-993C-E740-B410-8599836AA23C}"/>
    <hyperlink ref="R1475" r:id="rId1102" xr:uid="{F097E4DE-0F48-4048-A161-DF7C5CAFE91B}"/>
    <hyperlink ref="R1474" r:id="rId1103" xr:uid="{B815E8A3-C12B-6C4D-851F-25EEC0FF11FC}"/>
    <hyperlink ref="R1403" r:id="rId1104" xr:uid="{B56ECA2C-0F78-0441-B760-03233DC28BE9}"/>
    <hyperlink ref="R1397" r:id="rId1105" xr:uid="{0178030C-D2B2-A845-9FEB-41639C526257}"/>
    <hyperlink ref="R1400" r:id="rId1106" xr:uid="{CBFF1944-84F1-E147-A5A7-F2EE1B319720}"/>
    <hyperlink ref="R1754" r:id="rId1107" xr:uid="{292A90E1-FEF8-C54D-B966-E6EE8FDDC95B}"/>
    <hyperlink ref="R1755" r:id="rId1108" xr:uid="{029CA48B-97A7-1345-A131-FBA8D4F4C018}"/>
    <hyperlink ref="R2013" r:id="rId1109" xr:uid="{409C195C-F7ED-264F-9894-AD386C3E388F}"/>
    <hyperlink ref="R1759" r:id="rId1110" xr:uid="{45491544-F71B-5449-AACA-339ECDFF7191}"/>
    <hyperlink ref="T1759" r:id="rId1111" xr:uid="{FA6D8D96-9004-5949-A0A3-81E1650F98A8}"/>
    <hyperlink ref="R1751" r:id="rId1112" xr:uid="{E6FBE6DA-AF91-0A46-865A-37312891B9B4}"/>
    <hyperlink ref="T1751" r:id="rId1113" xr:uid="{6E49AF5A-6839-1E4B-8FD6-E687F189872C}"/>
    <hyperlink ref="R1752" r:id="rId1114" xr:uid="{5859BB8B-2328-5448-9B3C-3EB96779BBAC}"/>
    <hyperlink ref="T1752" r:id="rId1115" xr:uid="{68941A7C-6ED0-AA47-93AD-B34D6C46EFB0}"/>
    <hyperlink ref="R1543" r:id="rId1116" xr:uid="{E1B2D464-7EBB-3346-B8CD-223E04192276}"/>
    <hyperlink ref="R1460" r:id="rId1117" xr:uid="{96BA420D-C05C-5341-810E-42EC1E0C717A}"/>
    <hyperlink ref="R2098" r:id="rId1118" xr:uid="{120FE835-7FB6-DB46-B5D9-8448F17BD607}"/>
    <hyperlink ref="R1572" r:id="rId1119" xr:uid="{7748205C-7D5B-484F-8717-0BEF422469FD}"/>
    <hyperlink ref="R1550" r:id="rId1120" xr:uid="{B74F77AA-43F0-AF44-AEDB-75D1F5DBB665}"/>
    <hyperlink ref="R1551" r:id="rId1121" xr:uid="{BBC09E2E-292E-3244-963F-9A29C0179F72}"/>
    <hyperlink ref="R1552" r:id="rId1122" xr:uid="{68024DE7-B625-D645-9482-F95DE53D3D8E}"/>
    <hyperlink ref="R1553" r:id="rId1123" xr:uid="{C74C9D84-8312-4747-9BC4-EE37753B571B}"/>
    <hyperlink ref="R1554" r:id="rId1124" xr:uid="{B8F729B6-69E7-BA48-8DF7-43989079D6E9}"/>
    <hyperlink ref="R1555" r:id="rId1125" xr:uid="{B1B8BB94-6AE6-D641-9410-3D62D2C227C8}"/>
    <hyperlink ref="R97" r:id="rId1126" xr:uid="{21F60611-FF23-0B4E-A017-CFB8AF2C10F0}"/>
    <hyperlink ref="R70" r:id="rId1127" xr:uid="{C6EF1F7E-5BA9-A042-BD97-99A664198D63}"/>
    <hyperlink ref="R1839" r:id="rId1128" xr:uid="{0268A52D-1A38-9B42-9EA4-1F85354DAF6E}"/>
    <hyperlink ref="R1902" r:id="rId1129" xr:uid="{C4ED525B-2B07-8F4A-93CB-588AF2A0D5D8}"/>
    <hyperlink ref="R1903" r:id="rId1130" xr:uid="{20C99BC7-6A5D-6241-97AF-70CF4BE9DEE0}"/>
    <hyperlink ref="R1214" r:id="rId1131" xr:uid="{AA597A61-8198-AB40-B78D-F188E7AB49E6}"/>
    <hyperlink ref="R1105" r:id="rId1132" xr:uid="{59E2B548-DFA1-3949-90E8-05A6C80BAA5A}"/>
    <hyperlink ref="R1289" r:id="rId1133" xr:uid="{383A8AAB-4171-7747-8638-D3EEF0C7E541}"/>
    <hyperlink ref="R1351" r:id="rId1134" xr:uid="{11E266BF-7D41-0045-8A00-F5950E54B2EA}"/>
    <hyperlink ref="R1937" r:id="rId1135" xr:uid="{F63C098D-CCAB-7542-A00D-7A3E815420A7}"/>
    <hyperlink ref="R1215" r:id="rId1136" xr:uid="{97BA2AE6-EAD0-EA45-8AA9-98E537824157}"/>
    <hyperlink ref="R1904" r:id="rId1137" xr:uid="{87F85B36-D667-8749-AC38-5A3A4009A731}"/>
    <hyperlink ref="R1905" r:id="rId1138" xr:uid="{ACB60BE9-E6CD-6642-B7D1-6820008743A4}"/>
    <hyperlink ref="R1976" r:id="rId1139" xr:uid="{7A842E03-D009-6E43-A7BF-4A6E8AB9C729}"/>
    <hyperlink ref="R1927" r:id="rId1140" xr:uid="{D0FC5452-5738-EE4B-9FA4-72F65FAF8B38}"/>
    <hyperlink ref="R1928" r:id="rId1141" xr:uid="{6F9ED9D5-0A8B-1044-8F88-CEAA1FE8E5DD}"/>
    <hyperlink ref="R1906" r:id="rId1142" xr:uid="{D3534E6E-5E40-7848-B02E-215A118FEB76}"/>
    <hyperlink ref="R1956" r:id="rId1143" xr:uid="{D7D7DA5B-07C4-C645-BE0C-69D80910EB21}"/>
    <hyperlink ref="R1957" r:id="rId1144" xr:uid="{8DEDF25A-A81C-CD4F-A4E4-A01882BB4A75}"/>
    <hyperlink ref="R1616" r:id="rId1145" xr:uid="{B187BBC1-A22B-0344-AC0E-5F4BF92D137B}"/>
    <hyperlink ref="R1535" r:id="rId1146" xr:uid="{AE53A776-33B0-0041-B488-6B6225A4E26D}"/>
    <hyperlink ref="R1907" r:id="rId1147" xr:uid="{BE2454E0-FD07-644E-B154-F373F460FF50}"/>
    <hyperlink ref="R1908" r:id="rId1148" xr:uid="{A230829D-2D10-BD44-8212-E19D1B89B2B4}"/>
    <hyperlink ref="R1909" r:id="rId1149" xr:uid="{576F962D-5E59-B44F-A338-A3AE70FC9059}"/>
    <hyperlink ref="R1910" r:id="rId1150" xr:uid="{BDFB700F-E4D3-2540-9AF0-F27ED5B96EB2}"/>
    <hyperlink ref="R1807" r:id="rId1151" location="addANote" display="https://sounds.bl.uk/World-and-traditional-music/Colin-Huehns-Pakistan/025M-C0485X0083XX-2800V0 - addANote" xr:uid="{9E30EA77-7A8A-4249-8054-434D154C911D}"/>
    <hyperlink ref="R1808" r:id="rId1152" xr:uid="{2B00E644-C301-7F4B-B1FA-F4DB34D73221}"/>
    <hyperlink ref="R176" r:id="rId1153" xr:uid="{B196AA0A-3BF9-1F4C-AF80-F2D9DE6F3427}"/>
    <hyperlink ref="R883" r:id="rId1154" xr:uid="{51315470-C680-6545-99CB-328845041F58}"/>
    <hyperlink ref="R884" r:id="rId1155" xr:uid="{6117B768-9EB3-1847-9886-C1E77F4278AD}"/>
    <hyperlink ref="R1041" r:id="rId1156" xr:uid="{55C22AFB-0BBC-DF45-859C-0BDBA5E49C59}"/>
    <hyperlink ref="R1795" r:id="rId1157" xr:uid="{ABA513B4-F034-7246-B4D3-C5F190F2EFD6}"/>
    <hyperlink ref="R1796" r:id="rId1158" xr:uid="{F61B157B-4A4C-B242-9FBC-6E0F8E3E4C8C}"/>
    <hyperlink ref="R722" r:id="rId1159" xr:uid="{4318D95B-95A5-5E46-B092-F05B39A39179}"/>
    <hyperlink ref="R723" r:id="rId1160" xr:uid="{7E06446E-3E34-E84C-9B49-CF50AA0A15C1}"/>
    <hyperlink ref="R1809" r:id="rId1161" xr:uid="{2A59D0B5-FEE0-8F43-8D98-ED514D6FBC04}"/>
    <hyperlink ref="R715" r:id="rId1162" xr:uid="{EEE8A625-4127-5149-B7DF-A362FD220A3F}"/>
    <hyperlink ref="R2074" r:id="rId1163" xr:uid="{2F95A073-0216-A949-8885-9EA23EEFDA91}"/>
    <hyperlink ref="R1042" r:id="rId1164" xr:uid="{D755B97C-69DA-6340-B1D3-EE06DE87BBC4}"/>
    <hyperlink ref="R1043" r:id="rId1165" xr:uid="{123FB516-F8A9-C94D-842F-B7AC860855D2}"/>
    <hyperlink ref="R1521" r:id="rId1166" xr:uid="{8C8DC763-0A8B-3D45-9C6D-980CE66455EE}"/>
    <hyperlink ref="R1522" r:id="rId1167" xr:uid="{34DF8510-7258-D846-AAF3-9DFBDDD33B2A}"/>
    <hyperlink ref="R1523" r:id="rId1168" xr:uid="{5BBCC0ED-D9FA-CA4D-AAB3-8112E142954E}"/>
    <hyperlink ref="R1745" r:id="rId1169" display="https://theglobaljukebox.org/" xr:uid="{13751457-6EB3-8344-9AFC-CB19BAD42FDE}"/>
    <hyperlink ref="R1950" r:id="rId1170" xr:uid="{B64CDEA3-B988-1041-87D1-F02CDCFCCA51}"/>
    <hyperlink ref="R923" r:id="rId1171" xr:uid="{E307E648-E2B2-A249-B000-ED5988362C82}"/>
    <hyperlink ref="R1254" r:id="rId1172" xr:uid="{6CE8C1D8-8D13-EA44-9A6C-5489FF6804A3}"/>
    <hyperlink ref="R1255" r:id="rId1173" xr:uid="{6726900F-7E3A-AB4C-866D-90BC834978FE}"/>
    <hyperlink ref="R1161" r:id="rId1174" xr:uid="{5CDFF0A5-F3A1-664E-AE7C-95A6872F4A59}"/>
    <hyperlink ref="R1162" r:id="rId1175" xr:uid="{A4C05FD7-2450-7543-919D-C39CE2530E7C}"/>
    <hyperlink ref="R971" r:id="rId1176" xr:uid="{A6B3C587-B9BF-914A-AEFE-050276331247}"/>
    <hyperlink ref="R1256" r:id="rId1177" xr:uid="{93804B61-C9A5-F24C-85B7-455CC9359F0E}"/>
    <hyperlink ref="R1257" r:id="rId1178" xr:uid="{3D94A49C-404B-114C-A6DD-2A167B82367A}"/>
    <hyperlink ref="R1893" r:id="rId1179" xr:uid="{4DFB34DC-77E1-3348-89D8-7C0C0DD7C061}"/>
    <hyperlink ref="R1889" r:id="rId1180" xr:uid="{0D8DE6B8-32DC-F742-9FB1-34370BF9E214}"/>
    <hyperlink ref="R1894" r:id="rId1181" xr:uid="{A4306A9E-B16E-A24B-A640-A4B07822AD92}"/>
    <hyperlink ref="R89" r:id="rId1182" xr:uid="{1598F768-FEED-6D4E-9F03-B3F94F4FEB37}"/>
    <hyperlink ref="R90" r:id="rId1183" xr:uid="{EEC9ED1F-5A29-F240-A9D1-FF3EF49429F1}"/>
    <hyperlink ref="R91" r:id="rId1184" xr:uid="{081C46AE-04D9-6048-B626-ADACCA97D824}"/>
    <hyperlink ref="R92" r:id="rId1185" xr:uid="{4E816906-08DD-C549-9F8C-0CCBF4F673C8}"/>
    <hyperlink ref="R93" r:id="rId1186" xr:uid="{22E1A5D8-74A0-9949-9BC8-808DCE430BEA}"/>
    <hyperlink ref="R94" r:id="rId1187" xr:uid="{8FF2D768-5E8A-BF4D-9162-9AE1DE2BFDB6}"/>
    <hyperlink ref="R2105" r:id="rId1188" xr:uid="{696F1CB8-B6A2-804E-87D1-33633D5B8AA0}"/>
    <hyperlink ref="R2106" r:id="rId1189" xr:uid="{59365719-921E-6345-AF39-ABF2C678725A}"/>
    <hyperlink ref="R1958" r:id="rId1190" xr:uid="{1C4E6608-0D82-AE4E-B5A2-F846B8B3487A}"/>
    <hyperlink ref="R1959" r:id="rId1191" xr:uid="{19A38E13-74B4-5942-B976-FE1D67A6B0D6}"/>
    <hyperlink ref="R1960" r:id="rId1192" xr:uid="{2ED372AA-4532-8D49-9664-CA69E3DE32BB}"/>
    <hyperlink ref="R71" r:id="rId1193" xr:uid="{C65F07ED-FA4A-4544-9293-6DF909257754}"/>
    <hyperlink ref="R2159" r:id="rId1194" xr:uid="{B2F7A3AF-BB0B-054E-AC05-1AF4180ED8B2}"/>
    <hyperlink ref="R1724" r:id="rId1195" xr:uid="{E7F4A4A0-FB1A-5B49-B704-7A20E20344FB}"/>
    <hyperlink ref="R1725" r:id="rId1196" xr:uid="{0A2D27D3-7BC5-0A43-AE84-0C5C338666FD}"/>
    <hyperlink ref="R1731" r:id="rId1197" xr:uid="{2EAE51A8-A567-0744-8FB5-2A3896291032}"/>
    <hyperlink ref="R1408" r:id="rId1198" xr:uid="{B5B867BC-E810-9A44-8ADA-0264F2BC1573}"/>
    <hyperlink ref="R2137" r:id="rId1199" xr:uid="{3EE7F82E-A3BD-6749-83BA-35B6D50747EC}"/>
    <hyperlink ref="R1575" r:id="rId1200" xr:uid="{E9A6527A-B7DC-024F-8B79-9CE71175CEB5}"/>
    <hyperlink ref="R114" r:id="rId1201" xr:uid="{D857437F-16C6-F645-8644-E0905050B29B}"/>
    <hyperlink ref="R59" r:id="rId1202" xr:uid="{8CFA56E4-E129-904E-85F6-1EB9F48DCBF9}"/>
    <hyperlink ref="R1900" r:id="rId1203" xr:uid="{D755CB25-C1B9-6146-B415-BC4EDBE005BA}"/>
    <hyperlink ref="R1901" r:id="rId1204" xr:uid="{02DE2CD9-A525-644A-8EF6-B49C9073BC5E}"/>
    <hyperlink ref="R1163" r:id="rId1205" xr:uid="{46F560F7-5563-C840-9D3D-2ED72E9EE8C6}"/>
    <hyperlink ref="R1164" r:id="rId1206" xr:uid="{F98E8231-F83A-F94D-A9CE-BB5679EE54A3}"/>
    <hyperlink ref="R1165" r:id="rId1207" xr:uid="{DBBAC093-A4B5-9842-A552-933B7757BE70}"/>
    <hyperlink ref="R1912" r:id="rId1208" xr:uid="{DCA92A8A-063C-7E4D-AE66-43B16F581AE8}"/>
    <hyperlink ref="R1941" r:id="rId1209" xr:uid="{5DEF098F-B19D-B64A-9BE8-4820AC302740}"/>
    <hyperlink ref="R1816" r:id="rId1210" xr:uid="{19F57B41-5174-8B45-9F7B-D1A9AFBC95D6}"/>
    <hyperlink ref="R1843" r:id="rId1211" xr:uid="{ED7BD2D4-BF89-8246-8387-23C1860CB378}"/>
    <hyperlink ref="R1913" r:id="rId1212" xr:uid="{A34D72A8-B40F-FF45-95C6-99F4B151C1E6}"/>
    <hyperlink ref="R1259" r:id="rId1213" xr:uid="{8163A6A1-F871-8949-B874-4E3C4E433271}"/>
    <hyperlink ref="R1260" r:id="rId1214" xr:uid="{A08A7FCB-551D-594B-86FB-F855A9285356}"/>
    <hyperlink ref="R1914" r:id="rId1215" xr:uid="{B4955580-C29B-ED44-B63F-1E6F4ADFD4A5}"/>
    <hyperlink ref="R1932" r:id="rId1216" xr:uid="{6A388E1D-79BE-7445-BB11-81AC4741A78D}"/>
    <hyperlink ref="R1915" r:id="rId1217" xr:uid="{5A694D23-4C1D-914C-8F42-2C829D8C3741}"/>
    <hyperlink ref="R1261" r:id="rId1218" xr:uid="{A174AED5-5E18-A948-9CBF-0F201A68DD7E}"/>
    <hyperlink ref="R1262" r:id="rId1219" xr:uid="{5F52B91C-C881-724B-9723-D0D2C39539B0}"/>
    <hyperlink ref="R1129" r:id="rId1220" xr:uid="{4E44B5AF-A0CF-424F-8346-D7402DD8FF5B}"/>
    <hyperlink ref="R1130" r:id="rId1221" xr:uid="{C060D7A7-A68A-794B-A990-82A06519EDCD}"/>
    <hyperlink ref="R1131" r:id="rId1222" xr:uid="{80280990-FBD2-6D47-8D37-144406458218}"/>
    <hyperlink ref="R1746" r:id="rId1223" display="https://theglobaljukebox.org/" xr:uid="{4E397CA6-D83F-8143-A5DC-3B410A48FA27}"/>
    <hyperlink ref="R1512" r:id="rId1224" xr:uid="{47A22C22-7A0C-484E-8FF4-52F9304DB5E0}"/>
    <hyperlink ref="R1513" r:id="rId1225" xr:uid="{DE4AC355-EADB-9B42-B055-989646A751BB}"/>
    <hyperlink ref="R60" r:id="rId1226" xr:uid="{4DAA7628-0D87-C542-8043-5335A7138A4F}"/>
    <hyperlink ref="R2089" r:id="rId1227" xr:uid="{E0A2ACFC-A34E-EA4B-BF2B-9C20157ECB28}"/>
    <hyperlink ref="R2034" r:id="rId1228" display="https://theglobaljukebox.org/" xr:uid="{6E329ACF-6A04-6942-B002-A1B0C4C9AAE8}"/>
    <hyperlink ref="R104" r:id="rId1229" xr:uid="{515629E5-3189-5140-9B03-8862504D2222}"/>
    <hyperlink ref="R1676" r:id="rId1230" xr:uid="{BB394ED0-C0FB-4D42-8A9D-B63ED5F38279}"/>
    <hyperlink ref="R711" r:id="rId1231" xr:uid="{D552D315-4247-8A46-8399-6C3DA9DFC192}"/>
    <hyperlink ref="R716" r:id="rId1232" xr:uid="{AACCA5AE-F3A9-C84B-80C0-D906643FAB72}"/>
    <hyperlink ref="R733" r:id="rId1233" xr:uid="{F10F6E38-E20D-0A43-A990-CFD01EFCDECF}"/>
    <hyperlink ref="R158" r:id="rId1234" xr:uid="{A971AAB6-3234-E545-9F1E-D78EFFDC9919}"/>
    <hyperlink ref="R159" r:id="rId1235" xr:uid="{995F6656-E924-8E4E-BE48-D6549FC30935}"/>
    <hyperlink ref="R142" r:id="rId1236" xr:uid="{A2EECAC5-566A-2E44-BA00-7A935B9A02BF}"/>
    <hyperlink ref="R143" r:id="rId1237" xr:uid="{781335AD-F1FD-FB41-9621-890CBF375C50}"/>
    <hyperlink ref="R144" r:id="rId1238" xr:uid="{573E23C6-DC35-FE49-8F8C-D28631806FDF}"/>
    <hyperlink ref="R734" r:id="rId1239" xr:uid="{3CCF9E16-138A-0541-BC6D-752B3FE518F2}"/>
    <hyperlink ref="R165" r:id="rId1240" xr:uid="{33CDAC92-7617-9647-B69D-B0759A91F13D}"/>
    <hyperlink ref="R177" r:id="rId1241" xr:uid="{646A5B75-CF44-B24C-9441-F74EEB968A93}"/>
    <hyperlink ref="R178" r:id="rId1242" xr:uid="{3035D703-4DB9-BB44-AAFA-9475F5E46A5F}"/>
    <hyperlink ref="R179" r:id="rId1243" xr:uid="{10B9EC15-AE2B-A44E-9193-25976FBD76E3}"/>
    <hyperlink ref="R1029" r:id="rId1244" xr:uid="{9E7E9D41-4A5F-074F-BB3D-7C3549C2AFB4}"/>
    <hyperlink ref="R1049" r:id="rId1245" xr:uid="{A62B156F-EB54-4C48-9264-A218DFBF5B7D}"/>
    <hyperlink ref="R2150" r:id="rId1246" xr:uid="{59138FE8-F674-4144-BC34-65BD6DF7FC14}"/>
    <hyperlink ref="R1982" r:id="rId1247" xr:uid="{47A1826A-880B-864E-BCFD-46569E8D1D09}"/>
    <hyperlink ref="R2082" r:id="rId1248" xr:uid="{F81CED1A-2AD1-2D46-AED6-C2514A54650F}"/>
    <hyperlink ref="R2162" r:id="rId1249" xr:uid="{2E25D575-9BE6-FE4A-894F-7E251D198111}"/>
    <hyperlink ref="R2083" r:id="rId1250" xr:uid="{67DFCC66-1E8C-AC45-8345-8287675301B3}"/>
    <hyperlink ref="R1760" r:id="rId1251" xr:uid="{908A7CA8-52E4-A14F-BC69-6182E1655307}"/>
    <hyperlink ref="R1758" r:id="rId1252" xr:uid="{D2A3B1F9-FA33-5F43-99AA-7536CEAD2F04}"/>
    <hyperlink ref="R1762" r:id="rId1253" xr:uid="{CAA5DC37-7FEA-8941-9C02-B8BDBAC90712}"/>
    <hyperlink ref="R386" r:id="rId1254" xr:uid="{BBDDDEE2-293E-4B4C-A608-85DB817685AC}"/>
    <hyperlink ref="R1658" r:id="rId1255" xr:uid="{7787E4D8-FCBC-E34D-A009-170F23324EDC}"/>
    <hyperlink ref="R1207" r:id="rId1256" xr:uid="{D8FDF315-B8D3-024E-A483-5CA0592B89A9}"/>
    <hyperlink ref="R1208" r:id="rId1257" xr:uid="{3E87EE38-09CD-A34E-BDE5-0DE0EE492232}"/>
    <hyperlink ref="R1097" r:id="rId1258" xr:uid="{B878A419-BE9E-2949-8577-D330AC244409}"/>
    <hyperlink ref="R1721" r:id="rId1259" xr:uid="{98A8B9B8-4449-BB4B-A120-1767C6C3E127}"/>
    <hyperlink ref="R1722" r:id="rId1260" xr:uid="{3A7DF055-04EA-7B45-8651-3C0589A09B6D}"/>
    <hyperlink ref="R1723" r:id="rId1261" xr:uid="{1A52F1CD-D8CD-224C-BB1D-EC8F300BCCB9}"/>
    <hyperlink ref="R795" r:id="rId1262" xr:uid="{82BB9362-C1C0-5B49-857D-99F80D4CA1B3}"/>
    <hyperlink ref="R796" r:id="rId1263" xr:uid="{742FAE6D-2332-5141-9510-D43E4CBB80E2}"/>
    <hyperlink ref="R367" r:id="rId1264" xr:uid="{ED22DE33-B18F-3E4A-A430-F4E3386CA536}"/>
    <hyperlink ref="R359" r:id="rId1265" xr:uid="{82E61350-3DD6-674D-A388-3C778D9FEFF1}"/>
    <hyperlink ref="R1700" r:id="rId1266" xr:uid="{C3EC1CF0-990B-C54D-A4F8-DD836F401934}"/>
    <hyperlink ref="R1514" r:id="rId1267" xr:uid="{90E5D949-FFDA-3240-9308-BF67F226C0BC}"/>
    <hyperlink ref="R924" r:id="rId1268" xr:uid="{EF700D8E-50A6-9349-B4E7-850CC6AAD81E}"/>
    <hyperlink ref="R1290" r:id="rId1269" xr:uid="{E29E36EE-4863-FB45-872B-A7B11AE63E7C}"/>
    <hyperlink ref="R925" r:id="rId1270" xr:uid="{15C4F4AA-FBE1-FA47-811F-1CFC49C23BAD}"/>
    <hyperlink ref="R1352" r:id="rId1271" xr:uid="{7BC6F740-D0F4-B64E-AA93-35121998759A}"/>
    <hyperlink ref="R1183" r:id="rId1272" xr:uid="{8A56EB6B-48FC-7348-A06B-716E4F4283E9}"/>
    <hyperlink ref="R926" r:id="rId1273" xr:uid="{8A81EB2F-AFC7-1343-B2A9-02F6F08B3AE0}"/>
    <hyperlink ref="R333" r:id="rId1274" xr:uid="{24B175AA-1127-AE4C-B4E0-725211E1EC52}"/>
    <hyperlink ref="R927" r:id="rId1275" xr:uid="{28DFE9D9-1710-5B46-85BB-AEF5BC7FB97F}"/>
    <hyperlink ref="R1106" r:id="rId1276" xr:uid="{FA8EA303-44AE-9142-B2C9-82CD7DCDB66E}"/>
    <hyperlink ref="R322" r:id="rId1277" xr:uid="{ABE37E94-3E6E-A549-B81B-26D1EEFF51A3}"/>
    <hyperlink ref="R1291" r:id="rId1278" xr:uid="{6DED7624-F140-6C4A-89BB-3A0628B3149B}"/>
    <hyperlink ref="R1292" r:id="rId1279" xr:uid="{52C11276-632D-4644-B414-0B85AE2DC1D8}"/>
    <hyperlink ref="R334" r:id="rId1280" xr:uid="{8B6C549A-33C1-1345-9E62-6BC264D126BC}"/>
    <hyperlink ref="R1438" r:id="rId1281" xr:uid="{74CF7716-18B6-0943-AC1A-8381E34C53C9}"/>
    <hyperlink ref="R1439" r:id="rId1282" xr:uid="{32A9407C-B223-1440-B0AE-79A068A2A5ED}"/>
    <hyperlink ref="R1421" r:id="rId1283" xr:uid="{8F8EB648-108B-2241-B0E2-66DE8872FC0C}"/>
    <hyperlink ref="R1412" r:id="rId1284" xr:uid="{1F907527-FA0C-1549-AB39-93F3BF2F5578}"/>
    <hyperlink ref="R1440" r:id="rId1285" xr:uid="{88DA5F06-23E5-3B49-8448-075E1B4DADDC}"/>
    <hyperlink ref="R12" r:id="rId1286" xr:uid="{356264C0-3C4C-1045-A663-C33E7C17F7B0}"/>
    <hyperlink ref="R881" r:id="rId1287" xr:uid="{1FC61DFA-C0B5-744D-B6B7-1DF2CF6D3B57}"/>
    <hyperlink ref="R882" r:id="rId1288" xr:uid="{28109D23-185D-8E40-AE4F-E6370C397737}"/>
    <hyperlink ref="R1504" r:id="rId1289" xr:uid="{635B459C-F40D-B14C-8B7E-9216CFEEE770}"/>
    <hyperlink ref="R1505" r:id="rId1290" xr:uid="{1CD4DA17-91D9-1F41-92E7-1820216AC9F9}"/>
    <hyperlink ref="R1506" r:id="rId1291" xr:uid="{452CB0AD-C7CC-8B41-A3D8-7B674ECBCCF0}"/>
    <hyperlink ref="R1515" r:id="rId1292" xr:uid="{DF195E72-BAC4-DA45-BF66-F95D7ECF7E1C}"/>
    <hyperlink ref="R706" r:id="rId1293" xr:uid="{5ED1E004-6344-9E49-8293-F29FF1EF5820}"/>
    <hyperlink ref="R1537" r:id="rId1294" xr:uid="{20CBA2A3-20D5-B344-A381-9D34B87C038B}"/>
    <hyperlink ref="R1563" r:id="rId1295" xr:uid="{3FD57DDA-5DD3-F64D-88F7-DD2A94E84BBB}"/>
    <hyperlink ref="R1544" r:id="rId1296" xr:uid="{5E0132EC-E4F0-8E46-8EA8-AE6AC1C240D1}"/>
    <hyperlink ref="R198" r:id="rId1297" xr:uid="{D928BA1D-3661-A242-B45E-16B878AA1702}"/>
    <hyperlink ref="R309" r:id="rId1298" xr:uid="{CB7A5123-535A-6647-A6A7-AE8569A59731}"/>
    <hyperlink ref="R199" r:id="rId1299" xr:uid="{D92DB570-D9D1-3247-B79C-B73146177424}"/>
    <hyperlink ref="R310" r:id="rId1300" xr:uid="{2918BEFD-0920-8847-8399-E36349EC9DE8}"/>
    <hyperlink ref="R354" r:id="rId1301" xr:uid="{D0168421-400F-6340-BF76-F3322A664433}"/>
    <hyperlink ref="R355" r:id="rId1302" xr:uid="{D6D9B02C-3CE6-024B-BF6E-8E37029A28C4}"/>
    <hyperlink ref="R356" r:id="rId1303" xr:uid="{D43BDD7C-F9DA-4747-BE36-FB6929A665C0}"/>
    <hyperlink ref="R293" r:id="rId1304" xr:uid="{0D03DD6D-8F1C-E04B-B4CA-35252CC30062}"/>
    <hyperlink ref="R1526" r:id="rId1305" display="https://browse.nypl.org/iii/encore/record/C__Rb18403807__SNon-Russian folk traditions__Orightresult__X6?lang=eng&amp;suite=def" xr:uid="{A05370C0-E04F-F947-B4E2-D0D1A38002C7}"/>
    <hyperlink ref="R1527" r:id="rId1306" display="https://browse.nypl.org/iii/encore/record/C__Rb18403807__SNon-Russian folk traditions__Orightresult__X6?lang=eng&amp;suite=def" xr:uid="{7EA471F8-FC0F-5548-B993-BD012B5B6CAA}"/>
    <hyperlink ref="R1525" r:id="rId1307" display="https://browse.nypl.org/iii/encore/record/C__Rb18403807__SNon-Russian folk traditions__Orightresult__X6?lang=eng&amp;suite=def" xr:uid="{15F5E956-4FD5-0341-A9C0-9C167906743C}"/>
    <hyperlink ref="R1815" r:id="rId1308" display="https://browse.nypl.org/iii/encore/record/C__Rb18403807__SNon-Russian folk traditions__Orightresult__X6?lang=eng&amp;suite=def" xr:uid="{79873532-8507-E441-A839-1B61787CDD0A}"/>
    <hyperlink ref="R1844" r:id="rId1309" display="https://browse.nypl.org/iii/encore/record/C__Rb18403807__SNon-Russian folk traditions__Orightresult__X6?lang=eng&amp;suite=def" xr:uid="{7203A8D2-A0C5-6840-AD13-3FBC089E8CA0}"/>
    <hyperlink ref="R1805" r:id="rId1310" display="https://browse.nypl.org/iii/encore/record/C__Rb18403807__SNon-Russian folk traditions__Orightresult__X6?lang=eng&amp;suite=def" xr:uid="{B6A45809-9B97-0A40-AEE4-CE8C5944AE04}"/>
    <hyperlink ref="R1806" r:id="rId1311" display="https://browse.nypl.org/iii/encore/record/C__Rb18403807__SNon-Russian folk traditions__Orightresult__X6?lang=eng&amp;suite=def" xr:uid="{87247883-A3AC-D646-8DB5-EAF66A8A54A3}"/>
    <hyperlink ref="R1840" r:id="rId1312" display="https://browse.nypl.org/iii/encore/record/C__Rb18403807__SNon-Russian folk traditions__Orightresult__X6?lang=eng&amp;suite=def" xr:uid="{E8ED1BE7-1FA4-D04C-A2FE-3EA649C8D08A}"/>
    <hyperlink ref="R1841" r:id="rId1313" display="https://browse.nypl.org/iii/encore/record/C__Rb18403807__SNon-Russian folk traditions__Orightresult__X6?lang=eng&amp;suite=def" xr:uid="{0F5A4A5B-B0BD-424C-A679-8F78C85DA50C}"/>
    <hyperlink ref="R1888" r:id="rId1314" display="https://browse.nypl.org/iii/encore/record/C__Rb18403807__SNon-Russian folk traditions__Orightresult__X6?lang=eng&amp;suite=def" xr:uid="{70FD3515-9F91-CF45-84DC-08409C7BE6E2}"/>
    <hyperlink ref="R9" r:id="rId1315" xr:uid="{8810930E-F428-BB4D-A9FC-88EDEE6D1722}"/>
    <hyperlink ref="R10" r:id="rId1316" xr:uid="{2BD5C5CE-E7EE-314E-8C2B-56C67A59DFD3}"/>
    <hyperlink ref="R19" r:id="rId1317" xr:uid="{D5DC2569-6001-484B-8C27-DD02D5102C59}"/>
    <hyperlink ref="R7" r:id="rId1318" xr:uid="{3EF2CD7B-6D13-364D-AE0D-9C6ADF589F66}"/>
    <hyperlink ref="R2" r:id="rId1319" xr:uid="{38FC513F-74C6-2E4E-8DF8-DCFCAD3BBB81}"/>
    <hyperlink ref="R13" r:id="rId1320" xr:uid="{80E0A7F4-3642-9947-AB43-86FEE7049881}"/>
    <hyperlink ref="R14" r:id="rId1321" xr:uid="{00E8FD9F-A638-014C-BEE8-B44CBF1A442B}"/>
    <hyperlink ref="R8" r:id="rId1322" xr:uid="{1CF79F45-FF5F-FC44-843C-059F58D5D740}"/>
    <hyperlink ref="R16" r:id="rId1323" xr:uid="{8A57A795-320B-7044-9428-AF91F9A407D1}"/>
    <hyperlink ref="R17" r:id="rId1324" xr:uid="{C6B1A2A3-6578-6645-A279-2AD06DD99EE5}"/>
    <hyperlink ref="R11" r:id="rId1325" xr:uid="{34C709CF-3E93-AE42-B44E-0A03C6794CDD}"/>
    <hyperlink ref="R18" r:id="rId1326" xr:uid="{D28C6369-2080-D941-97CC-B4D21EB13320}"/>
    <hyperlink ref="R15" r:id="rId1327" xr:uid="{C470112A-26EB-164F-AEE3-554B8302F4CA}"/>
    <hyperlink ref="R3" r:id="rId1328" xr:uid="{0832B02C-A290-BE48-B3A0-EDCFA16DAFAB}"/>
    <hyperlink ref="R1436" r:id="rId1329" xr:uid="{5A911751-36B6-674E-80CA-88BD1C2D217B}"/>
    <hyperlink ref="R200" r:id="rId1330" xr:uid="{D7353118-9DF4-BC42-92D3-220283641193}"/>
    <hyperlink ref="R335" r:id="rId1331" xr:uid="{FCCEF1AB-4396-8546-8630-0CAB709440CF}"/>
    <hyperlink ref="R1102" r:id="rId1332" xr:uid="{955E2C02-09FE-6847-8DDC-7CD33138F27F}"/>
    <hyperlink ref="R778" r:id="rId1333" xr:uid="{A89C2903-1FBB-4F4D-82C1-6314B1317E06}"/>
    <hyperlink ref="R1240" r:id="rId1334" xr:uid="{AA7EDFDB-3FF3-344B-B049-B529D005510C}"/>
    <hyperlink ref="R1116" r:id="rId1335" xr:uid="{D9BC3A67-E3F1-9140-832A-59C75FE794A8}"/>
    <hyperlink ref="R1117" r:id="rId1336" xr:uid="{C1668C59-8959-3049-8775-9E96E24F660E}"/>
    <hyperlink ref="R387" r:id="rId1337" xr:uid="{7571A252-F778-7347-AC71-8C89907E0512}"/>
    <hyperlink ref="R527" r:id="rId1338" xr:uid="{061F8846-A8C6-0749-BE62-8D4E4CA74935}"/>
    <hyperlink ref="R638" r:id="rId1339" xr:uid="{111674FF-509B-4F49-A62A-9D96CE7BD7D5}"/>
    <hyperlink ref="R245" r:id="rId1340" xr:uid="{682971F1-4DBF-1F4F-8A0F-24307FFAF4B0}"/>
    <hyperlink ref="R1241" r:id="rId1341" xr:uid="{8C46F1EB-7A5F-9644-85C2-BC7EE8349403}"/>
    <hyperlink ref="R965" r:id="rId1342" xr:uid="{92D68E32-3FDB-8142-8087-19703157D2B2}"/>
    <hyperlink ref="R2166" r:id="rId1343" xr:uid="{20617F06-82C4-D64A-8B97-B218EB521EC6}"/>
    <hyperlink ref="R2152" r:id="rId1344" xr:uid="{397212A2-29A4-7B46-844F-4720DD78350B}"/>
    <hyperlink ref="R2067" r:id="rId1345" xr:uid="{8B4A0E0B-DCEE-9A45-B85F-92557C6A3026}"/>
    <hyperlink ref="R2130" r:id="rId1346" xr:uid="{B9AA64F2-708B-374D-8E5D-69A5D8CD64C1}"/>
    <hyperlink ref="R2068" r:id="rId1347" xr:uid="{7E00DD64-7A1C-F94E-A744-2FE643C1C75C}"/>
    <hyperlink ref="R2069" r:id="rId1348" xr:uid="{C150E51D-9A5D-E441-B3C9-31664AA69788}"/>
    <hyperlink ref="R2044" r:id="rId1349" xr:uid="{236D4D2B-E6D3-0545-89B6-CBE2112BA686}"/>
    <hyperlink ref="R948" r:id="rId1350" xr:uid="{0B4D4405-6565-5943-A9D1-B7B921DFB626}"/>
    <hyperlink ref="R949" r:id="rId1351" xr:uid="{34717F20-7C40-1B45-9BC7-68181139D2F2}"/>
    <hyperlink ref="R950" r:id="rId1352" xr:uid="{31931B2C-5E4E-F846-9A70-E7116488EFC8}"/>
    <hyperlink ref="R2153" r:id="rId1353" xr:uid="{ABEEAF13-2C5C-B941-BA3B-91ECC3669C77}"/>
    <hyperlink ref="R2070" r:id="rId1354" xr:uid="{49D09BE1-ACD8-AB43-894C-A30D1F156C9B}"/>
    <hyperlink ref="R2131" r:id="rId1355" xr:uid="{1F4AA599-A98E-6548-80D3-4EDF7C7DE676}"/>
    <hyperlink ref="R2071" r:id="rId1356" xr:uid="{0053B8B7-F03E-2D43-90C7-B9BAA6BEB59E}"/>
    <hyperlink ref="R2107" r:id="rId1357" xr:uid="{82462996-06FB-BE4B-82B6-1D42F8F8D9A3}"/>
    <hyperlink ref="R2154" r:id="rId1358" xr:uid="{9F26A005-32E7-3248-9BCC-F39D193E4CD8}"/>
    <hyperlink ref="R970" r:id="rId1359" xr:uid="{E942DD24-E109-604D-8D72-C6C92BC48DF5}"/>
    <hyperlink ref="R1444" r:id="rId1360" xr:uid="{1CCDD85F-3784-9648-B314-F6ED9C154FCB}"/>
    <hyperlink ref="R1783" r:id="rId1361" display="https://search.alexanderstreet.com/preview/work/bibliographic_entity%7Cvideo_work%7C3953633" xr:uid="{2A1A237B-94FB-F94B-B7CA-B86F120B5A63}"/>
    <hyperlink ref="R1196" r:id="rId1362" xr:uid="{255FA351-98DE-0A4F-B361-6B1A9E3D876E}"/>
    <hyperlink ref="R1022" r:id="rId1363" xr:uid="{29E67E1F-BBE5-1340-A845-27BCF3D1DBAB}"/>
    <hyperlink ref="R1229" r:id="rId1364" xr:uid="{40DE6459-3BA6-5A47-911D-4820373B882B}"/>
    <hyperlink ref="R1023" r:id="rId1365" xr:uid="{33DF1181-CC0C-A147-8CB4-95D12AD73E30}"/>
    <hyperlink ref="R1024" r:id="rId1366" xr:uid="{BA2FEE48-AF3D-DB41-AA60-D014ED34CA74}"/>
    <hyperlink ref="R2064" r:id="rId1367" display="https://theglobaljukebox.org/" xr:uid="{2DBFEC3F-09F7-0B4A-B69D-4274EB3355CA}"/>
    <hyperlink ref="R974" r:id="rId1368" xr:uid="{EA6841C4-4553-3E4D-B4E6-FCE7C2576ADA}"/>
    <hyperlink ref="R388" r:id="rId1369" xr:uid="{2166FA99-CFE7-EA4C-948A-169E8E72DC72}"/>
    <hyperlink ref="R639" r:id="rId1370" xr:uid="{C71E41B1-B13D-6E4B-A9DD-A9CEB8C25C7C}"/>
    <hyperlink ref="R389" r:id="rId1371" xr:uid="{D67064FB-7B4F-D947-AA55-13F61BA8D46A}"/>
    <hyperlink ref="R640" r:id="rId1372" xr:uid="{B32F6AB1-55C1-6146-B881-06FF855DDC5F}"/>
    <hyperlink ref="R641" r:id="rId1373" xr:uid="{056C8213-5BEB-B74F-A022-80E3C9647C5D}"/>
    <hyperlink ref="R1582" r:id="rId1374" xr:uid="{6EA573C3-3D8C-1E4E-A650-D9DB6249AFC4}"/>
    <hyperlink ref="R642" r:id="rId1375" xr:uid="{4A81291C-D664-774E-B4E8-34213F3348EB}"/>
    <hyperlink ref="R668" r:id="rId1376" xr:uid="{217EF8FA-3778-C141-8A4D-449569A5F079}"/>
    <hyperlink ref="R497" r:id="rId1377" xr:uid="{C0B9BD2A-18E4-3E4D-A77D-4DFFC456FBF0}"/>
    <hyperlink ref="R498" r:id="rId1378" xr:uid="{40AFDFA9-0AAF-4D40-A94F-E1BD1F53241B}"/>
    <hyperlink ref="R499" r:id="rId1379" xr:uid="{A3746D44-0407-6D48-B146-AAE1B7722882}"/>
    <hyperlink ref="R1916" r:id="rId1380" xr:uid="{5A7C11CE-74F4-0D43-8E9C-B2E9B657FF03}"/>
    <hyperlink ref="R916" r:id="rId1381" xr:uid="{CDC4C53E-F7CA-DA4D-8640-E6CFB181A701}"/>
    <hyperlink ref="R1969" r:id="rId1382" xr:uid="{0613A208-5BE7-E746-85C4-803FD1597D14}"/>
    <hyperlink ref="R779" r:id="rId1383" xr:uid="{F73BF7B8-D878-6043-B03C-6246ECB1FCCF}"/>
    <hyperlink ref="R797" r:id="rId1384" xr:uid="{B5C446D2-8A7C-2343-B020-CD7F7030DDD1}"/>
    <hyperlink ref="R2123" r:id="rId1385" xr:uid="{255E418D-30F0-AB40-855E-56E07ACBCB43}"/>
    <hyperlink ref="R1284" r:id="rId1386" xr:uid="{0833D2CC-7692-E345-9DE4-DF2398AAE53A}"/>
    <hyperlink ref="R1066" r:id="rId1387" xr:uid="{5AFBAFFC-ABE7-B94E-A23E-806F2C35A2FF}"/>
    <hyperlink ref="R1917" r:id="rId1388" xr:uid="{F1C7F309-3620-1A47-977E-F6FC9B75D410}"/>
    <hyperlink ref="R1007" r:id="rId1389" xr:uid="{2E0CBE08-7719-8945-91CA-452BA86AB52D}"/>
    <hyperlink ref="R798" r:id="rId1390" xr:uid="{8288B242-0884-5947-9BB3-ED1145AB9C8E}"/>
    <hyperlink ref="R1918" r:id="rId1391" xr:uid="{7D55F85E-2BEC-1045-BD86-D26EDB95C29F}"/>
    <hyperlink ref="R360" r:id="rId1392" xr:uid="{E1C071A4-9492-4C4B-9728-53D3897455A4}"/>
    <hyperlink ref="R368" r:id="rId1393" xr:uid="{DBE168CF-94EC-CC44-931B-E4E906016822}"/>
    <hyperlink ref="R374" r:id="rId1394" xr:uid="{FF7CFCB1-359C-D144-8ECF-A53DA5A9C9D9}"/>
    <hyperlink ref="R1942" r:id="rId1395" location="/oclc/54492669" display="https://uofl-music.on.worldcat.org/search?queryString=no:54492669 - /oclc/54492669" xr:uid="{700FC9BF-3812-A649-81FF-7FE1DD8FDFDD}"/>
    <hyperlink ref="R1929" r:id="rId1396" xr:uid="{289DE786-445B-044E-8D58-6173BB7D647B}"/>
    <hyperlink ref="R1951" r:id="rId1397" xr:uid="{ACFF1994-50E4-AC46-8B24-7B35913F7E90}"/>
    <hyperlink ref="R145" r:id="rId1398" xr:uid="{CD8741AB-CB3C-A74E-A2EF-9D953ADEB1AA}"/>
    <hyperlink ref="R1654" r:id="rId1399" xr:uid="{40289C3C-26E8-CF41-B413-7FB81648A958}"/>
    <hyperlink ref="R1664" r:id="rId1400" xr:uid="{AA0E9EFD-43E8-4449-B2FB-C34C3F6B630C}"/>
    <hyperlink ref="R336" r:id="rId1401" xr:uid="{38040D02-9702-7B4B-9F14-0618BEA7A220}"/>
    <hyperlink ref="R337" r:id="rId1402" xr:uid="{8AB15B26-5A0E-FE42-A7F6-0AFF8A5EE830}"/>
    <hyperlink ref="R975" r:id="rId1403" xr:uid="{A28641CA-C399-8343-99F6-7FA9C3B7F75C}"/>
    <hyperlink ref="R976" r:id="rId1404" xr:uid="{69DE2078-4EC3-1949-A602-DB2D67BA629A}"/>
    <hyperlink ref="R1197" r:id="rId1405" xr:uid="{EA2903A0-A525-7745-B280-25332808B8A1}"/>
    <hyperlink ref="R1045" r:id="rId1406" xr:uid="{F97EF257-DE4E-0741-B520-8C2ED600FF0A}"/>
    <hyperlink ref="R977" r:id="rId1407" xr:uid="{E65E8512-771C-0043-9F02-A54CE94C0804}"/>
    <hyperlink ref="R978" r:id="rId1408" xr:uid="{517310B1-A606-D445-BCED-A84F647617C2}"/>
    <hyperlink ref="R885" r:id="rId1409" xr:uid="{5301DF8B-6D99-624E-B349-716885AA176A}"/>
    <hyperlink ref="R2079" r:id="rId1410" xr:uid="{4B8B3453-E11E-384F-A48A-2549213F0398}"/>
    <hyperlink ref="R4" r:id="rId1411" xr:uid="{1A2F3F69-3828-0946-A27C-9671D8998AF5}"/>
    <hyperlink ref="R5" r:id="rId1412" xr:uid="{70F9C9C6-23C2-E248-A6ED-F989FFF19DF4}"/>
    <hyperlink ref="R6" r:id="rId1413" xr:uid="{E24EAE44-B402-7D43-BDAE-8928527C5A76}"/>
    <hyperlink ref="R979" r:id="rId1414" xr:uid="{A8EF60DC-4B7D-7E49-A7E5-A52263A8F7A0}"/>
    <hyperlink ref="R1577" r:id="rId1415" xr:uid="{2B4B53B5-A52C-DD4B-8D0A-F70669105238}"/>
    <hyperlink ref="R1583" r:id="rId1416" xr:uid="{AF9E2826-D2CA-A744-93B7-081CBC288C01}"/>
    <hyperlink ref="R1594" r:id="rId1417" xr:uid="{13F7123B-18B0-EA4F-8DF2-FD2A74418925}"/>
    <hyperlink ref="R1429" r:id="rId1418" xr:uid="{76B3B741-215D-DD4E-B812-C22E25F7ABC0}"/>
    <hyperlink ref="R980" r:id="rId1419" xr:uid="{E86A25F2-833F-0F45-8544-C964B3A30354}"/>
    <hyperlink ref="R981" r:id="rId1420" xr:uid="{19B3E1B1-1D5F-744B-99A1-5637E1442685}"/>
    <hyperlink ref="R2149" r:id="rId1421" xr:uid="{1F3C2930-5646-2C40-A232-82DF0CBA7471}"/>
    <hyperlink ref="R1810" r:id="rId1422" xr:uid="{0DC391A3-B23E-A348-82FB-21432C37DC88}"/>
    <hyperlink ref="R1274" r:id="rId1423" xr:uid="{25F64226-34D9-124F-ADD4-29F645009220}"/>
    <hyperlink ref="R2086" r:id="rId1424" display="https://theglobaljukebox.org/" xr:uid="{C6575A2C-B28A-4345-9832-90AB89A384E5}"/>
    <hyperlink ref="R1472" r:id="rId1425" xr:uid="{31BA3ADD-25F8-E949-ACA7-EDB2B556065C}"/>
    <hyperlink ref="R1578" r:id="rId1426" xr:uid="{6A12A4DA-DB23-8A44-9F8C-3DB100C214CA}"/>
    <hyperlink ref="R1584" r:id="rId1427" xr:uid="{E65F5600-8585-6442-B05C-19940CB3594C}"/>
    <hyperlink ref="R264" r:id="rId1428" xr:uid="{6C0844F9-E181-3844-86F2-D89955229E7C}"/>
    <hyperlink ref="R265" r:id="rId1429" display="https://theglobaljukebox.org/?share=Azande-T5434R27" xr:uid="{E964E7C3-CD27-5541-9DFC-E7B7A2878609}"/>
    <hyperlink ref="R2158" r:id="rId1430" xr:uid="{95CB1856-01FE-134C-8CA8-79DF8396F586}"/>
    <hyperlink ref="R708" r:id="rId1431" xr:uid="{E61F62D3-16F5-AD43-938C-6C6AF4F91D0A}"/>
    <hyperlink ref="R323" r:id="rId1432" xr:uid="{32E99866-E880-2F4C-9E7F-8C417E3B62C0}"/>
    <hyperlink ref="R280" r:id="rId1433" xr:uid="{F7751388-7E50-5B47-9AC1-2F42CCB9D3F9}"/>
    <hyperlink ref="R1592" r:id="rId1434" xr:uid="{C31F6592-724F-374D-8B85-948F4FEEFE48}"/>
    <hyperlink ref="R500" r:id="rId1435" xr:uid="{C6BDF512-FA0E-F746-8C3A-9779AA7DECE6}"/>
    <hyperlink ref="R390" r:id="rId1436" xr:uid="{7DEC4D07-243B-9644-84E1-F8F7F1B581EC}"/>
    <hyperlink ref="R501" r:id="rId1437" xr:uid="{4120FD86-D9E3-BC4E-82D6-30DE4BED58B7}"/>
    <hyperlink ref="R502" r:id="rId1438" xr:uid="{53F48E75-B40F-DA4E-BD5F-522F0AC651CF}"/>
    <hyperlink ref="R596" r:id="rId1439" xr:uid="{E02BDE05-61E1-9143-8C42-E21764831677}"/>
    <hyperlink ref="R475" r:id="rId1440" xr:uid="{EDB3FFD1-E747-E84D-B6EE-355A6D174132}"/>
    <hyperlink ref="R643" r:id="rId1441" xr:uid="{1C7B2C3C-6118-0744-A082-178602DAAE09}"/>
    <hyperlink ref="R574" r:id="rId1442" xr:uid="{BD4DBABD-8B87-EC45-8968-4704BB2D238C}"/>
    <hyperlink ref="R1588" r:id="rId1443" xr:uid="{786692A1-B1AC-FA42-B40B-05AFA8E18CCE}"/>
    <hyperlink ref="R1589" r:id="rId1444" xr:uid="{C7DAF56C-12EC-7F43-9C7D-F345CE4D46C5}"/>
    <hyperlink ref="R1595" r:id="rId1445" xr:uid="{E6FE6672-B049-BC41-AD5B-8646688B48E7}"/>
    <hyperlink ref="R2161" r:id="rId1446" xr:uid="{7CF136A3-B995-9945-9854-A153D583D4FA}"/>
    <hyperlink ref="R1441" r:id="rId1447" display="https://search.alexanderstreet.com/preview/work/bibliographic_entity%7Cvideo_work%7C3953633" xr:uid="{7B0B25D1-C0D4-3846-B654-0CD17669B1EF}"/>
    <hyperlink ref="R1409" r:id="rId1448" display="https://search.alexanderstreet.com/preview/work/bibliographic_entity%7Cvideo_work%7C3953633" xr:uid="{2480E8B1-65C2-F845-9BCE-9D78F1630DCB}"/>
    <hyperlink ref="R1410" r:id="rId1449" display="https://search.alexanderstreet.com/preview/work/bibliographic_entity%7Cvideo_work%7C3953633" xr:uid="{C18E46B9-B4F5-3540-A861-FBDAFC97D441}"/>
    <hyperlink ref="R1819" r:id="rId1450" xr:uid="{2B17850D-71ED-2946-BABD-BB62A09AC7B1}"/>
    <hyperlink ref="R1784" r:id="rId1451" xr:uid="{063FA55A-122B-6A4C-AFC5-7C648F3AAD0C}"/>
    <hyperlink ref="R1772" r:id="rId1452" xr:uid="{BA961711-1500-0348-AD3D-13B50580C3A6}"/>
    <hyperlink ref="R1773" r:id="rId1453" xr:uid="{2D4FC2A6-B3A7-C843-A6DA-D2DFF249F9FF}"/>
    <hyperlink ref="R1008" r:id="rId1454" xr:uid="{AEC53EAF-6D57-F749-A400-F2D09676C8BC}"/>
    <hyperlink ref="R1349" r:id="rId1455" xr:uid="{67E10615-8730-8B45-82DC-90D035C8E181}"/>
    <hyperlink ref="R1285" r:id="rId1456" xr:uid="{4C30CDE4-B8D4-F84A-9513-60F8ADB09546}"/>
    <hyperlink ref="R1181" r:id="rId1457" xr:uid="{F3F91907-778A-6C47-A42A-EB717FE345BC}"/>
    <hyperlink ref="R917" r:id="rId1458" xr:uid="{02E86022-1077-7643-989F-39AD1E4468DA}"/>
    <hyperlink ref="R2124" r:id="rId1459" xr:uid="{44E12577-DD4C-AF43-9241-77BA6C3E7D83}"/>
    <hyperlink ref="R2125" r:id="rId1460" xr:uid="{93303FE8-0370-1E49-A83E-E395C010C3EF}"/>
    <hyperlink ref="R2139" r:id="rId1461" xr:uid="{9E00081D-4616-FC47-901A-956250AAD2E2}"/>
    <hyperlink ref="R1785" r:id="rId1462" xr:uid="{F1208A54-98E0-B04C-B142-BDE6A3CA429F}"/>
    <hyperlink ref="R1786" r:id="rId1463" xr:uid="{B6447347-B622-D24F-AF37-2ECEE0224D21}"/>
    <hyperlink ref="R1787" r:id="rId1464" xr:uid="{379AE55D-1129-6D4A-9E09-41776C986E3D}"/>
    <hyperlink ref="R846" r:id="rId1465" xr:uid="{9FD1557A-154C-5D43-AFA2-4F756E56BF0D}"/>
    <hyperlink ref="R847" r:id="rId1466" xr:uid="{539FB4FC-26A1-E24B-A16F-51AC967BA95F}"/>
    <hyperlink ref="R442" r:id="rId1467" xr:uid="{32985889-069D-944D-9ADF-692560CAAAF3}"/>
    <hyperlink ref="R443" r:id="rId1468" xr:uid="{8C7492AD-651A-0A43-B07D-E1D43D14ED26}"/>
    <hyperlink ref="R528" r:id="rId1469" xr:uid="{96233EB5-96CA-1348-93DD-85A892DCC855}"/>
    <hyperlink ref="R1182" r:id="rId1470" xr:uid="{7D63BB95-8842-A74E-8154-B056AF0CA2CF}"/>
    <hyperlink ref="R1146" r:id="rId1471" xr:uid="{68ECF447-7917-6B44-9525-A9018788DF67}"/>
    <hyperlink ref="R1212" r:id="rId1472" xr:uid="{6FF3C3C3-AACD-7C4B-A282-786E5D43E406}"/>
    <hyperlink ref="R1147" r:id="rId1473" xr:uid="{A73EE1FE-20CB-6747-9B76-7597673FD8E3}"/>
    <hyperlink ref="R2066" r:id="rId1474" xr:uid="{E4A548DF-5E5C-F04D-A6BD-A1D81D287E21}"/>
    <hyperlink ref="R1286" r:id="rId1475" xr:uid="{06F63E60-6CB1-174A-9CF1-F311CEBF7808}"/>
    <hyperlink ref="R2140" r:id="rId1476" xr:uid="{31BB42EB-F53F-F14B-BEF4-76C6DEAAF19B}"/>
    <hyperlink ref="R1025" r:id="rId1477" xr:uid="{B1AF5D80-C57E-6B46-B469-9B86442B7D13}"/>
    <hyperlink ref="R939" r:id="rId1478" xr:uid="{E7C1EAB5-2CEB-DA4F-B24E-44AEE87E45EA}"/>
    <hyperlink ref="R1411" r:id="rId1479" xr:uid="{F545DC93-5A6B-D349-B1B0-C06AD0A26001}"/>
    <hyperlink ref="R1437" r:id="rId1480" xr:uid="{CE38F49E-70BB-224B-86D8-187ED53F0429}"/>
    <hyperlink ref="R1432" r:id="rId1481" xr:uid="{BD6916AC-7F98-954E-86BF-976853FF481E}"/>
    <hyperlink ref="R1422" r:id="rId1482" xr:uid="{13B3893B-CA0F-DA43-AB97-6C2957CEFC1C}"/>
    <hyperlink ref="R1994" r:id="rId1483" xr:uid="{38B6B7E9-4B36-EF41-95EB-294AED91AF67}"/>
    <hyperlink ref="R1986" r:id="rId1484" xr:uid="{C2A5DAF7-E64B-8041-A484-DFFC38FE5047}"/>
    <hyperlink ref="R2002" r:id="rId1485" xr:uid="{415E9F36-AFD0-8641-A584-D07A47FB1BA1}"/>
    <hyperlink ref="R2111" r:id="rId1486" xr:uid="{49FED5C2-3089-094B-829A-1662755DCDD8}"/>
    <hyperlink ref="R1995" r:id="rId1487" xr:uid="{7A48374F-7358-344D-ACDE-8ED91E13ABF5}"/>
    <hyperlink ref="R2087" r:id="rId1488" xr:uid="{7E14EBFE-76CD-1B45-9CFD-FA6CEF252BC3}"/>
    <hyperlink ref="R2035" r:id="rId1489" xr:uid="{01A4DCB3-E09D-2647-ACFB-422B15781BED}"/>
    <hyperlink ref="R2138" r:id="rId1490" xr:uid="{6D58B4E3-D162-9B43-A5F7-4E6318E719DB}"/>
    <hyperlink ref="R2163" r:id="rId1491" xr:uid="{1680D63D-8A06-2D41-881B-FD9915B81480}"/>
    <hyperlink ref="R183" r:id="rId1492" xr:uid="{729D0561-9459-3847-BF97-ACB1FB46F055}"/>
    <hyperlink ref="R266" r:id="rId1493" xr:uid="{3F8BCECA-9FD9-FC40-84FA-9E6DD0E0A60F}"/>
    <hyperlink ref="R246" r:id="rId1494" xr:uid="{B7F7B9D4-3B4F-EF4F-B637-B3FE94F7869B}"/>
    <hyperlink ref="R281" r:id="rId1495" xr:uid="{A8414F85-E0B6-154A-B5E7-DD61EDA3FA6B}"/>
    <hyperlink ref="R282" r:id="rId1496" xr:uid="{0874044B-1AA2-DD48-B90A-5427B0DA38BC}"/>
    <hyperlink ref="R247" r:id="rId1497" xr:uid="{760C4154-EC34-654C-893F-BF0D26CE5EEE}"/>
    <hyperlink ref="R224" r:id="rId1498" xr:uid="{A55AB2B4-7637-2749-A698-CC5B6161999A}"/>
    <hyperlink ref="R35" r:id="rId1499" xr:uid="{999EABC4-4E1F-7E43-AC65-0BB6E08633C0}"/>
    <hyperlink ref="R324" r:id="rId1500" xr:uid="{9ADF3510-0ADE-0D4E-8012-EB969BF2E464}"/>
    <hyperlink ref="R2037" r:id="rId1501" xr:uid="{10D292EB-3782-9544-A8A9-62939CC7DDE2}"/>
    <hyperlink ref="R1189" r:id="rId1502" xr:uid="{961C99C5-FABC-4346-800E-D4DBB8EBA0C8}"/>
    <hyperlink ref="R1190" r:id="rId1503" xr:uid="{B06E52D0-2196-4F4F-A3AE-3201420D63F6}"/>
    <hyperlink ref="R677" r:id="rId1504" xr:uid="{9FE610C1-DCE7-154A-AFAD-D903CA9F4006}"/>
    <hyperlink ref="R1386" r:id="rId1505" xr:uid="{1A030540-D35B-784A-AFE1-567561A997E2}"/>
    <hyperlink ref="R1620" r:id="rId1506" xr:uid="{8F1CF414-C409-A848-A49F-2AB6F6A88721}"/>
    <hyperlink ref="R891" r:id="rId1507" xr:uid="{AB77E886-2CF6-1449-B733-A2957C9F3318}"/>
    <hyperlink ref="R1952" r:id="rId1508" xr:uid="{F94FC7D4-3162-7E4C-9C9E-3D008D08E2B1}"/>
    <hyperlink ref="R1740" r:id="rId1509" xr:uid="{1B327600-3268-F845-9344-2E6410C1D1F4}"/>
    <hyperlink ref="R1961" r:id="rId1510" xr:uid="{38DF03AB-E0E0-8A4E-9776-B8CCB4458627}"/>
    <hyperlink ref="R1977" r:id="rId1511" xr:uid="{3AD2C516-594D-784B-BDC4-4E129F74E888}"/>
    <hyperlink ref="R1962" r:id="rId1512" xr:uid="{E3B2BFA1-9FCF-EE49-AB43-B88A89E8231B}"/>
    <hyperlink ref="R1680" r:id="rId1513" xr:uid="{2CA4C1EE-BF49-574B-813B-CCBA934C1D0C}"/>
    <hyperlink ref="R1445" r:id="rId1514" xr:uid="{152B0666-3291-B94C-B062-C5819894001E}"/>
    <hyperlink ref="R1423" r:id="rId1515" xr:uid="{3A9EEE73-0AEA-A946-AC1B-2C3E6386E5FA}"/>
    <hyperlink ref="R1442" r:id="rId1516" xr:uid="{5B0AE86F-1372-9441-8099-3F76B22E81D7}"/>
    <hyperlink ref="R1371" r:id="rId1517" xr:uid="{2352F01D-F25F-6B42-8D8D-BEB3D4823023}"/>
    <hyperlink ref="R2096" r:id="rId1518" xr:uid="{FACFE6D6-9CA3-5D4D-A6F5-9BDCE9FB922F}"/>
    <hyperlink ref="R2032" r:id="rId1519" xr:uid="{51F8F335-5D87-0F41-8191-61B20C167450}"/>
    <hyperlink ref="R2136" r:id="rId1520" xr:uid="{69174E22-EC7E-E84C-82B6-C7EACE0F2245}"/>
    <hyperlink ref="R2033" r:id="rId1521" xr:uid="{3E203877-6C75-A848-B228-D5584A410C3E}"/>
    <hyperlink ref="R1820" r:id="rId1522" xr:uid="{52C7D075-8A64-B04B-BE78-284229F29B12}"/>
    <hyperlink ref="R1821" r:id="rId1523" xr:uid="{EF0CD337-6935-BB47-B445-518227432189}"/>
    <hyperlink ref="R1822" r:id="rId1524" xr:uid="{A9DBC3A9-66F6-454A-BDBF-4AA507FE93EC}"/>
    <hyperlink ref="R1823" r:id="rId1525" xr:uid="{3AD3172E-E8DF-554A-8DF6-A55DACA99679}"/>
    <hyperlink ref="R1817" r:id="rId1526" xr:uid="{F7ECF8F7-995A-C146-BADC-6112110991EB}"/>
    <hyperlink ref="R2030" r:id="rId1527" xr:uid="{9E8E1FDC-8280-E64E-9069-52D89EB4E9BE}"/>
    <hyperlink ref="R2031" r:id="rId1528" xr:uid="{15CDC430-E951-FE4C-B5FE-A1399FFF73D1}"/>
    <hyperlink ref="R2091" r:id="rId1529" xr:uid="{7EE00304-1680-C94B-99E9-12C99B859C89}"/>
    <hyperlink ref="R1313" r:id="rId1530" xr:uid="{294C4FAF-E668-C047-8DC2-179194A82EFD}"/>
    <hyperlink ref="R311" r:id="rId1531" xr:uid="{9C2F95BB-372F-4C48-B756-8F24CA659DFA}"/>
    <hyperlink ref="R960" r:id="rId1532" xr:uid="{FEE0D0ED-5E3D-E043-8F84-E83C8B15DDC5}"/>
    <hyperlink ref="R1113" r:id="rId1533" xr:uid="{F269A5C1-A703-AD4F-828C-842BA02155C3}"/>
    <hyperlink ref="R2108" r:id="rId1534" xr:uid="{4EC36197-3F72-E44D-B8D6-80A53ACD0912}"/>
    <hyperlink ref="R1329" r:id="rId1535" xr:uid="{56324B29-52EA-B442-B80C-2E110FEB7B3D}"/>
    <hyperlink ref="R2117" r:id="rId1536" xr:uid="{14D9031E-B329-E042-8FC2-2AF8F102C4DE}"/>
    <hyperlink ref="R1330" r:id="rId1537" xr:uid="{AFFF0BB9-8D99-9F43-BF1E-7603A7A5C772}"/>
    <hyperlink ref="R1166" r:id="rId1538" xr:uid="{3C13606A-5BFC-8942-BF05-3C6173191CBD}"/>
    <hyperlink ref="R1778" r:id="rId1539" xr:uid="{6D0D69CC-4B80-034A-BB1D-020BC1BA6706}"/>
    <hyperlink ref="R1779" r:id="rId1540" xr:uid="{CF92A93C-7106-AE4A-A586-3AEAF9DA9B7C}"/>
    <hyperlink ref="R1167" r:id="rId1541" xr:uid="{1094BDAE-0ECF-4645-949E-A57D9501219E}"/>
    <hyperlink ref="R1818" r:id="rId1542" xr:uid="{8DA81C31-61D4-1B43-93BB-BA87923A1CD0}"/>
    <hyperlink ref="R1802" r:id="rId1543" xr:uid="{0D35A949-B4F8-6A41-81D0-FAE0FF55347A}"/>
    <hyperlink ref="R1803" r:id="rId1544" xr:uid="{80F27665-3458-1049-BE1E-05D985E1383A}"/>
    <hyperlink ref="R1780" r:id="rId1545" xr:uid="{6D6F342C-1C75-F248-A5C1-6B0A8196F366}"/>
    <hyperlink ref="R1811" r:id="rId1546" xr:uid="{910CD69C-E8F6-A04B-93A1-ED0F3E640A84}"/>
    <hyperlink ref="R1114" r:id="rId1547" xr:uid="{06755CAB-7452-0E40-BEB9-B7ACA1EB2EB1}"/>
    <hyperlink ref="R230" r:id="rId1548" xr:uid="{64A12EB9-51AF-0546-8709-DF1941C7F045}"/>
    <hyperlink ref="R1623" r:id="rId1549" xr:uid="{BCCEFF4A-287C-DB45-B6F8-1FECC106BFDF}"/>
    <hyperlink ref="R1627" r:id="rId1550" xr:uid="{F7E81C23-DCF7-AB44-9E65-F657558BD5F3}"/>
    <hyperlink ref="R1978" r:id="rId1551" xr:uid="{C0A11C6C-6B59-7543-BEFA-DB2D91C204C0}"/>
    <hyperlink ref="R1943" r:id="rId1552" xr:uid="{A4B748E7-CE4F-EE4E-A4AC-1CB1EF8870F6}"/>
    <hyperlink ref="R1930" r:id="rId1553" xr:uid="{843A9F32-CCB9-D54E-B24C-5E55719D7CE4}"/>
    <hyperlink ref="R1618" r:id="rId1554" xr:uid="{F84DE54A-35AF-7643-94C0-9D8F5B75967E}"/>
    <hyperlink ref="R1979" r:id="rId1555" xr:uid="{8C0E16C7-103C-DA4A-8D58-E6D79ED02201}"/>
    <hyperlink ref="R1947" r:id="rId1556" xr:uid="{E171B601-43E2-1843-89C2-E7635A68F4E1}"/>
    <hyperlink ref="R1948" r:id="rId1557" xr:uid="{4291D717-7EA8-7B4C-AF6B-079A7C2D81C4}"/>
    <hyperlink ref="R1424" r:id="rId1558" xr:uid="{239B216E-5A53-FB40-8CAC-46AE47E852BB}"/>
    <hyperlink ref="R2080" r:id="rId1559" xr:uid="{8176641A-BE7C-1B48-9B0F-153EDAFDC348}"/>
    <hyperlink ref="R1055" r:id="rId1560" xr:uid="{DE4D5011-A5F1-9A4E-911F-CC0AA5A996E2}"/>
    <hyperlink ref="R1507" r:id="rId1561" xr:uid="{33288A75-AEF9-5047-8E8D-39E460DC42FE}"/>
    <hyperlink ref="R1494" r:id="rId1562" xr:uid="{73A81345-FFCA-8A4D-B983-EA1F19975115}"/>
    <hyperlink ref="R1509" r:id="rId1563" xr:uid="{DCB95C0D-C828-8F44-AE27-0105E921399A}"/>
    <hyperlink ref="R1510" r:id="rId1564" xr:uid="{6BD7C5FD-6C6E-904B-9841-0A9633D43848}"/>
    <hyperlink ref="R1372" r:id="rId1565" xr:uid="{7F9D8071-DC01-1547-9D92-A113B26618FC}"/>
    <hyperlink ref="R1373" r:id="rId1566" xr:uid="{1C03BB87-4E2F-9540-8813-ABF5FB1A7F9F}"/>
    <hyperlink ref="R1374" r:id="rId1567" xr:uid="{DC6D429D-E745-784A-966E-529BB48C1C0C}"/>
    <hyperlink ref="R1375" r:id="rId1568" xr:uid="{BF69C822-5B4B-0642-958B-2141269E4A88}"/>
    <hyperlink ref="R1376" r:id="rId1569" xr:uid="{0A84FB8C-C8E4-C44C-BAC3-F4557943425E}"/>
    <hyperlink ref="R1377" r:id="rId1570" xr:uid="{14A78D1F-8DC3-E24F-819B-8CB73A597439}"/>
    <hyperlink ref="R1378" r:id="rId1571" xr:uid="{340AA6F9-79C5-924C-8F37-F4AD1C80A707}"/>
    <hyperlink ref="R1379" r:id="rId1572" xr:uid="{ECE30A4F-C563-A945-A280-8CA990DC11B3}"/>
    <hyperlink ref="R1381" r:id="rId1573" xr:uid="{CDF38DC6-7618-5543-BD79-619C9EC247BD}"/>
    <hyperlink ref="R1416" r:id="rId1574" xr:uid="{A3037A89-CBB7-E441-877B-CB8835334516}"/>
    <hyperlink ref="R1944" r:id="rId1575" xr:uid="{0C69A812-EBA8-B843-BD3B-2C4EAC274D8D}"/>
    <hyperlink ref="R1938" r:id="rId1576" xr:uid="{1B2507CD-64AC-5740-A77B-C07A91B0CE64}"/>
    <hyperlink ref="R1621" r:id="rId1577" xr:uid="{7ADD8C1A-19BC-D746-9CE8-4132ED813106}"/>
    <hyperlink ref="R1966" r:id="rId1578" xr:uid="{0822452B-E7FE-6943-8B91-5FC9F47E0433}"/>
    <hyperlink ref="R1953" r:id="rId1579" xr:uid="{F8AB9C8E-BB32-6543-AE45-0B60B8C4A7F8}"/>
    <hyperlink ref="R1967" r:id="rId1580" xr:uid="{E0D3CC6A-1DB4-AD47-B696-F8EFC5C5C539}"/>
    <hyperlink ref="R1624" r:id="rId1581" xr:uid="{DCC74823-0D24-2741-AE2E-799F9CF32AD7}"/>
    <hyperlink ref="R1625" r:id="rId1582" xr:uid="{3EE49928-CA99-0D40-8BA0-202B8BE88E6C}"/>
    <hyperlink ref="R1729" r:id="rId1583" xr:uid="{E5A5D2A7-BAFD-A144-BD55-B1CD6AF5AB62}"/>
    <hyperlink ref="R1730" r:id="rId1584" xr:uid="{BE10B49F-8F6F-004F-B0EC-8C8F3B99F93D}"/>
    <hyperlink ref="R1389" r:id="rId1585" xr:uid="{3F8C4EE5-BB8A-2147-AFFB-874E5BE7EE5F}"/>
    <hyperlink ref="R1384" r:id="rId1586" xr:uid="{016E1693-50A4-8545-9BE3-F0374000B861}"/>
    <hyperlink ref="R1382" r:id="rId1587" xr:uid="{A74E8EE2-D4D7-A444-8566-3C5EB7CCB8DA}"/>
    <hyperlink ref="R1380" r:id="rId1588" xr:uid="{726BE340-AFB0-6844-B733-60ABF6FB8B4A}"/>
    <hyperlink ref="R1387" r:id="rId1589" xr:uid="{D07F6A88-9EC3-3542-A1ED-B650BED15DB7}"/>
    <hyperlink ref="R1391" r:id="rId1590" xr:uid="{B88CC477-DFE6-9147-8A9D-47257CFA3113}"/>
    <hyperlink ref="R1383" r:id="rId1591" xr:uid="{A4134241-1639-CB43-BFB3-3AF8B2DBB753}"/>
    <hyperlink ref="R135" r:id="rId1592" xr:uid="{0DD74363-060D-9647-BF64-29CFE6311C2D}"/>
    <hyperlink ref="R1529" r:id="rId1593" xr:uid="{0C9D9914-7411-0344-89C3-15AB9A4A7F20}"/>
    <hyperlink ref="R1150" r:id="rId1594" xr:uid="{3B45D450-DEE0-8546-A328-FEFE807AA5E7}"/>
    <hyperlink ref="R1151" r:id="rId1595" xr:uid="{12E156DA-A07A-B94C-BC3B-BBF4F9C57620}"/>
    <hyperlink ref="R1152" r:id="rId1596" xr:uid="{D1252277-BEA3-F54E-888F-55494F2C6737}"/>
    <hyperlink ref="R1112" r:id="rId1597" xr:uid="{1DC690BB-22EA-AE44-8223-0EEF0E23102A}"/>
    <hyperlink ref="R1230" r:id="rId1598" xr:uid="{9F31CD5E-BE1D-6741-8D02-DFE545E9ADFF}"/>
    <hyperlink ref="R1417" r:id="rId1599" xr:uid="{EF50BD96-BAC2-DA45-B23F-90E9261689B6}"/>
    <hyperlink ref="R1191" r:id="rId1600" xr:uid="{03B5239D-AF89-D640-9BC2-B8A99F7E8E71}"/>
    <hyperlink ref="R1418" r:id="rId1601" xr:uid="{BE479C7F-3DC4-7949-A9A4-3C8AAB1A1D67}"/>
    <hyperlink ref="R1425" r:id="rId1602" xr:uid="{1FC692E8-B1AE-504B-AD10-2FBAAB979C87}"/>
    <hyperlink ref="R1419" r:id="rId1603" xr:uid="{71DA8525-FBFF-B64A-95F6-3EA71BA52C52}"/>
    <hyperlink ref="R1420" r:id="rId1604" xr:uid="{F85EF05A-2478-5D44-9824-E3DE1D5C505C}"/>
    <hyperlink ref="R1413" r:id="rId1605" xr:uid="{D6B90234-3454-084E-BBB7-48C6E0C157D5}"/>
    <hyperlink ref="R1446" r:id="rId1606" xr:uid="{B88EB838-BEB1-CE4C-BFD4-A1B3A5E79123}"/>
    <hyperlink ref="R1030" r:id="rId1607" xr:uid="{ED133A84-FDE7-AB45-B2D4-3A5D58FC0A7C}"/>
    <hyperlink ref="R2024" r:id="rId1608" xr:uid="{422E0601-59D8-C349-A417-23B0935494EF}"/>
    <hyperlink ref="R1516" r:id="rId1609" xr:uid="{07D76B9F-D9F7-D940-9886-B694C73B8E20}"/>
    <hyperlink ref="R1517" r:id="rId1610" xr:uid="{B39AF1A2-7221-8349-A048-C0D432FA75CE}"/>
    <hyperlink ref="R1082" r:id="rId1611" xr:uid="{0C2C0B6E-A94C-8F41-854A-53219ECBB740}"/>
    <hyperlink ref="R1083" r:id="rId1612" xr:uid="{6C39A75A-4766-C442-AF44-4E0A9E229BED}"/>
    <hyperlink ref="R1192" r:id="rId1613" xr:uid="{6D13C071-B16A-8641-B7C0-46599244E9A9}"/>
    <hyperlink ref="R1193" r:id="rId1614" xr:uid="{C5F04F6C-9518-814E-90D9-32D61E2C4F53}"/>
    <hyperlink ref="R725" r:id="rId1615" xr:uid="{F713F586-DF9D-3043-80FF-B6E09AB3F5C2}"/>
    <hyperlink ref="R1661" r:id="rId1616" xr:uid="{FEBA2F9E-5BEB-3249-AE88-BE4F63DD6F31}"/>
    <hyperlink ref="R748" r:id="rId1617" xr:uid="{19966D13-9834-EA4A-A655-884AD937BC08}"/>
    <hyperlink ref="R803" r:id="rId1618" xr:uid="{D9638FDC-06E7-1744-99FD-4323B2CDF3DD}"/>
    <hyperlink ref="R1590" r:id="rId1619" xr:uid="{48593F7D-85E2-D34D-A422-E27E6C050F20}"/>
    <hyperlink ref="R1591" r:id="rId1620" xr:uid="{24C0BC7E-E58A-8049-8C98-1A4F5BB3C283}"/>
    <hyperlink ref="R1674" r:id="rId1621" xr:uid="{AD7E4DAC-CBF9-2C4B-9920-6DD4963F1273}"/>
    <hyperlink ref="R2121" r:id="rId1622" xr:uid="{417B20BE-53E2-F242-98BD-1EF5B5A65C33}"/>
    <hyperlink ref="R548" r:id="rId1623" xr:uid="{F913B666-BDA9-F84D-931C-DB06D4E2661F}"/>
    <hyperlink ref="R597" r:id="rId1624" xr:uid="{8955BA4E-4525-674A-B9F8-4CB9B9A83EE1}"/>
    <hyperlink ref="R529" r:id="rId1625" xr:uid="{8C2CFA39-EC6B-D84B-BBE9-C92017C3498D}"/>
    <hyperlink ref="R530" r:id="rId1626" xr:uid="{6E39F957-5BCE-FF4F-822D-056EF3A6E67A}"/>
    <hyperlink ref="R476" r:id="rId1627" xr:uid="{7807300F-2001-DB43-85F2-11405E9E02F2}"/>
    <hyperlink ref="R2081" r:id="rId1628" xr:uid="{9BF21184-F3D5-354E-ABEE-DAA689916D73}"/>
    <hyperlink ref="R163" r:id="rId1629" xr:uid="{B696184D-89D3-B141-B232-7B806FBC860A}"/>
    <hyperlink ref="R153" r:id="rId1630" xr:uid="{A2756BED-3D84-4049-AA49-4A5434226811}"/>
    <hyperlink ref="R173" r:id="rId1631" xr:uid="{7B9C1D3D-D4EE-8246-9E9E-0E9BE2AA0AB4}"/>
    <hyperlink ref="R162" r:id="rId1632" xr:uid="{C98FFC43-4CA7-6F43-BD19-8EDDD521D971}"/>
    <hyperlink ref="R166" r:id="rId1633" xr:uid="{540DA32B-B896-6D4E-B903-52A4977C1B63}"/>
    <hyperlink ref="R167" r:id="rId1634" xr:uid="{17E7E91D-74FF-1347-B1FF-DBF4F68E1952}"/>
    <hyperlink ref="R168" r:id="rId1635" xr:uid="{5B984486-AF43-AC45-A2F2-2EDFA3CBF96E}"/>
    <hyperlink ref="R169" r:id="rId1636" xr:uid="{4A477C48-3894-3A48-9B46-05B094BD1334}"/>
    <hyperlink ref="R174" r:id="rId1637" xr:uid="{152CA7AF-D95F-8841-BEDA-1A5803920500}"/>
    <hyperlink ref="R1430" r:id="rId1638" xr:uid="{2BB2C8BE-3632-354E-B6A0-DF94E56AFF79}"/>
    <hyperlink ref="R1443" r:id="rId1639" xr:uid="{3424FB83-12BA-5D46-8B73-C4C7E1212F79}"/>
    <hyperlink ref="R1426" r:id="rId1640" xr:uid="{AE0456DC-0710-E545-ABC8-A5F762998D85}"/>
    <hyperlink ref="R1433" r:id="rId1641" xr:uid="{01134351-4807-6349-AD66-1014A647491D}"/>
    <hyperlink ref="R1434" r:id="rId1642" xr:uid="{94DF55BB-BDA5-E447-BFB8-A930C8A3F6AC}"/>
    <hyperlink ref="R1431" r:id="rId1643" xr:uid="{18CF753F-62AC-5A45-92C7-2DA89047880F}"/>
    <hyperlink ref="R1447" r:id="rId1644" xr:uid="{E96313E9-E9B5-E040-B5AB-3EC801069D0B}"/>
    <hyperlink ref="R1732" r:id="rId1645" xr:uid="{55EB25EA-D316-644B-B698-2965E6E7831F}"/>
    <hyperlink ref="R1726" r:id="rId1646" xr:uid="{BB6AEAEA-BF4F-7148-B2C4-A9B38C365C8D}"/>
    <hyperlink ref="R1733" r:id="rId1647" xr:uid="{423CFB76-4224-A543-96A2-E7E58DF2651D}"/>
    <hyperlink ref="R1727" r:id="rId1648" xr:uid="{83103B0F-F28A-3B49-92D6-50374C22EE14}"/>
    <hyperlink ref="R1728" r:id="rId1649" xr:uid="{171DEDE6-577B-2D4F-BDC6-32AAA5E746B9}"/>
    <hyperlink ref="R1736" r:id="rId1650" xr:uid="{C522733C-D54D-1648-89C9-15C85C85A4BD}"/>
    <hyperlink ref="R1737" r:id="rId1651" xr:uid="{80A0EF88-5535-7448-8B54-F354C14D93F5}"/>
    <hyperlink ref="R1734" r:id="rId1652" xr:uid="{454CC503-2224-2046-8018-8D8E441FF0E5}"/>
    <hyperlink ref="R1435" r:id="rId1653" xr:uid="{C643E614-95FE-374C-A0BC-D468F078E162}"/>
    <hyperlink ref="R1427" r:id="rId1654" xr:uid="{1F6BF99B-D3EB-5B44-8D9D-1E17CDB23F5B}"/>
    <hyperlink ref="R1414" r:id="rId1655" xr:uid="{715BDE8D-8511-D74D-BB2D-3E13521B0A76}"/>
    <hyperlink ref="R1448" r:id="rId1656" xr:uid="{99381382-2D5F-5A44-8DF6-A7927ACDB6AD}"/>
    <hyperlink ref="R1428" r:id="rId1657" xr:uid="{781AE101-4C5C-0B47-B319-8D413A38CF97}"/>
    <hyperlink ref="R1449" r:id="rId1658" xr:uid="{6628A9DD-0F23-1A45-8B6E-1DD4DECFA71F}"/>
    <hyperlink ref="R1009" r:id="rId1659" xr:uid="{9111F2B0-5DF6-5041-B3EE-FCBB5312372E}"/>
    <hyperlink ref="R2122" r:id="rId1660" xr:uid="{1DB19739-0CAE-BC43-8640-5B43F7456D6C}"/>
    <hyperlink ref="R1576" r:id="rId1661" xr:uid="{8945F7F1-D50C-D74D-B11B-2CD0AEF0C9BA}"/>
    <hyperlink ref="AD1576" r:id="rId1662" xr:uid="{AE0DA6F0-9079-AE4F-9C67-3B823BA1F498}"/>
    <hyperlink ref="R1242" r:id="rId1663" xr:uid="{7DA77FE4-C784-9E48-92D3-E9B5A1C0AEBA}"/>
    <hyperlink ref="R1243" r:id="rId1664" xr:uid="{2C31F04C-D714-7D40-AD25-3B33D241D07D}"/>
    <hyperlink ref="R1084" r:id="rId1665" xr:uid="{79055513-FB3F-1840-A664-984BF0ADEFE5}"/>
    <hyperlink ref="R867" r:id="rId1666" xr:uid="{A7EDCC46-E318-064F-A9BE-BE2EA0CB33AA}"/>
    <hyperlink ref="R2053" r:id="rId1667" xr:uid="{00EF0154-A290-7E4F-9CCE-BA21BBC090BD}"/>
    <hyperlink ref="R131" r:id="rId1668" xr:uid="{67E2E2CB-D8A0-884E-A4C7-84914FA454EF}"/>
    <hyperlink ref="R1678" r:id="rId1669" xr:uid="{59A1EF9C-C47B-3B49-8E76-F48F570E2D2B}"/>
    <hyperlink ref="R1148" r:id="rId1670" xr:uid="{C5093FBD-27A0-1642-90C4-B95B9EB6B85A}"/>
    <hyperlink ref="R1103" r:id="rId1671" xr:uid="{CA8A1933-CD15-A94D-8ECE-0F8582E43D0C}"/>
    <hyperlink ref="T1103" r:id="rId1672" xr:uid="{FF7B7B8B-BC69-DC44-90DF-A3A316BCFEB0}"/>
    <hyperlink ref="R788" r:id="rId1673" xr:uid="{46084557-A196-E645-9DA2-E9B28248BBBE}"/>
    <hyperlink ref="T788" r:id="rId1674" display="http://richardkwolf.com/" xr:uid="{25CABCC1-D93A-C645-AE2D-BDEE0480021D}"/>
    <hyperlink ref="R928" r:id="rId1675" xr:uid="{89B2F4B5-6248-B74A-BA66-7F5577B49F09}"/>
    <hyperlink ref="R1012" r:id="rId1676" xr:uid="{356A330B-FF08-084E-9118-797E67BAD1A4}"/>
    <hyperlink ref="R1293" r:id="rId1677" xr:uid="{8654E19C-F1B9-4041-9FCD-507D96B42479}"/>
    <hyperlink ref="R1216" r:id="rId1678" xr:uid="{AEA409C1-48D2-2D4A-9E9D-5D10FCF0A463}"/>
    <hyperlink ref="R1013" r:id="rId1679" xr:uid="{A4A30DFB-93D8-7049-AAE6-9731F34FCA04}"/>
    <hyperlink ref="R1217" r:id="rId1680" xr:uid="{A0353C54-F259-984C-9F29-1B0695750053}"/>
    <hyperlink ref="R1218" r:id="rId1681" xr:uid="{4D57C4CC-9F48-0849-8540-18A92316B6B0}"/>
    <hyperlink ref="R154" r:id="rId1682" xr:uid="{B420A20D-F804-6B4B-8D7E-B5642748424C}"/>
    <hyperlink ref="R727" r:id="rId1683" xr:uid="{F8FE4BA5-0089-AE4F-8D2E-43698AEC7D08}"/>
    <hyperlink ref="R728" r:id="rId1684" xr:uid="{5640DC93-DC47-6249-A478-4D93327AF82F}"/>
    <hyperlink ref="R1659" r:id="rId1685" xr:uid="{1DA96EAC-963E-474C-B43D-6CFA26B4C50E}"/>
    <hyperlink ref="R1098" r:id="rId1686" xr:uid="{2B7FDC10-0886-434C-BF24-6D8EA1417F46}"/>
    <hyperlink ref="R1099" r:id="rId1687" xr:uid="{21FF9401-87A5-A24A-B675-E54C16B4EB46}"/>
    <hyperlink ref="R749" r:id="rId1688" xr:uid="{228F0593-83EB-3E44-84B8-33741220DDF2}"/>
    <hyperlink ref="R750" r:id="rId1689" xr:uid="{37159732-AD37-AB42-BDFC-5E9A6180F21A}"/>
    <hyperlink ref="R751" r:id="rId1690" xr:uid="{BD43DBD0-5C22-594E-88A8-1FFE4F0A5090}"/>
    <hyperlink ref="R752" r:id="rId1691" xr:uid="{36F3FD14-26D9-1D43-B8C7-085B3E92848E}"/>
    <hyperlink ref="R753" r:id="rId1692" xr:uid="{8FA4E1C8-AA73-9040-A59E-CFAA7DE24FAE}"/>
    <hyperlink ref="R785" r:id="rId1693" xr:uid="{0070E485-7546-9349-B3CA-3A1BD2C6DC7A}"/>
    <hyperlink ref="T785" r:id="rId1694" display="http://richardkwolf.com/" xr:uid="{84DC7E47-9242-7B45-89E4-4EF0AD77F2EA}"/>
    <hyperlink ref="R786" r:id="rId1695" xr:uid="{5569265B-6853-7144-9187-7640A61DDD4C}"/>
    <hyperlink ref="T786" r:id="rId1696" display="http://richardkwolf.com/" xr:uid="{7D82CAAD-FE08-104A-BCAA-9E917827639B}"/>
    <hyperlink ref="R1556" r:id="rId1697" xr:uid="{175F15A8-6C44-7E48-B057-3C02F9728F90}"/>
    <hyperlink ref="R1549" r:id="rId1698" xr:uid="{2120F114-CBE9-4D43-AC6C-38B431BEC8D6}"/>
    <hyperlink ref="R1682" r:id="rId1699" xr:uid="{6D670F5B-06FF-8147-BF9A-61909DD7F542}"/>
    <hyperlink ref="R2146" r:id="rId1700" xr:uid="{0B7A6B1E-83A6-3547-9806-7E22F97E3A39}"/>
    <hyperlink ref="R2025" r:id="rId1701" xr:uid="{E6C4C812-5B1A-F148-8E3F-047C77A2AF1C}"/>
    <hyperlink ref="R2026" r:id="rId1702" xr:uid="{A42D21A6-2ADF-E944-9A40-92423523BDC2}"/>
    <hyperlink ref="R1655" r:id="rId1703" xr:uid="{66C657F4-814B-B148-9DAE-3301A30D80B9}"/>
    <hyperlink ref="R1671" r:id="rId1704" xr:uid="{1A2EACD4-F9B5-3144-ACB0-B0B2613044C4}"/>
    <hyperlink ref="R1707" r:id="rId1705" xr:uid="{94F200AC-AD96-1C40-ACED-5C317C86A62A}"/>
    <hyperlink ref="R1709" r:id="rId1706" xr:uid="{6EBA604F-59BB-EB45-9A2F-4832DC41CABE}"/>
    <hyperlink ref="R1708" r:id="rId1707" xr:uid="{AB835209-43D1-BE49-855F-F3708547B91D}"/>
    <hyperlink ref="R2103" r:id="rId1708" xr:uid="{D9BB8777-5A5F-284C-8ED8-938FAC2D400D}"/>
    <hyperlink ref="R2104" r:id="rId1709" xr:uid="{19DDADC8-2FA1-C84C-9F7A-F4D01B199AD8}"/>
    <hyperlink ref="R2039" r:id="rId1710" xr:uid="{27CFEB58-71E3-5F49-A186-A4A5BAE57DCC}"/>
    <hyperlink ref="R2040" r:id="rId1711" xr:uid="{3CB6BAE0-0AAD-CC49-9164-651D1D1944F3}"/>
    <hyperlink ref="R2041" r:id="rId1712" xr:uid="{64C3B70E-B107-8A4C-B4CA-C5D3EBDED629}"/>
    <hyperlink ref="R1769" r:id="rId1713" xr:uid="{725F9AB9-10D8-3544-878C-3A1AF21233E3}"/>
    <hyperlink ref="R1244" r:id="rId1714" xr:uid="{91D72308-F804-3E40-A3EA-FF18F08BAE99}"/>
    <hyperlink ref="R1219" r:id="rId1715" xr:uid="{EAEF499D-B7DB-0F48-BCB4-814A29215B07}"/>
    <hyperlink ref="R1353" r:id="rId1716" xr:uid="{BB21BD9B-4A08-9D40-9FB7-7DF4B49AB415}"/>
    <hyperlink ref="R1184" r:id="rId1717" xr:uid="{082E58C9-0490-624D-ADD1-CA13FDF6E992}"/>
    <hyperlink ref="R1294" r:id="rId1718" xr:uid="{92F66042-C2F5-D44E-8EDB-7434034EEFE1}"/>
    <hyperlink ref="R1220" r:id="rId1719" xr:uid="{FBA46201-03C8-7948-AD3B-FAB51AB741C5}"/>
    <hyperlink ref="R1295" r:id="rId1720" xr:uid="{D41A8AFE-18CC-4C4C-979E-1C8BF69B70A0}"/>
    <hyperlink ref="R1296" r:id="rId1721" xr:uid="{89E34B67-2316-5D45-A4BD-99A1DE2BA2FC}"/>
    <hyperlink ref="R1354" r:id="rId1722" xr:uid="{9EB48808-5E9D-3249-A698-9E1DCB269415}"/>
    <hyperlink ref="R1068" r:id="rId1723" xr:uid="{D4493E56-F1DA-A243-A6F2-B989D7F71019}"/>
    <hyperlink ref="R929" r:id="rId1724" xr:uid="{7E8E2035-7B13-1741-95DB-560DFA3ECBF3}"/>
    <hyperlink ref="R1355" r:id="rId1725" xr:uid="{71CEE3C3-3D0A-F94E-BBEF-949BF9B9A541}"/>
    <hyperlink ref="R1014" r:id="rId1726" xr:uid="{914A692D-C934-4940-BE43-A229E7A07178}"/>
    <hyperlink ref="AD1014" r:id="rId1727" xr:uid="{3AD7D2BF-D65C-8847-93CE-7DCD8B77515B}"/>
    <hyperlink ref="R1221" r:id="rId1728" xr:uid="{8A52A531-F3F2-6142-9DEC-226CBE7B3EE4}"/>
    <hyperlink ref="R1297" r:id="rId1729" xr:uid="{90EA8325-FCD8-6C4B-875F-5CCBC58F8B47}"/>
    <hyperlink ref="R1356" r:id="rId1730" xr:uid="{AD09F3C8-B177-CC46-A293-CD8291D43FCC}"/>
    <hyperlink ref="R1069" r:id="rId1731" xr:uid="{08CFE254-8F67-9644-970A-500925512E82}"/>
    <hyperlink ref="R1298" r:id="rId1732" xr:uid="{7E791256-7729-064C-9D26-7E655773AB11}"/>
    <hyperlink ref="R930" r:id="rId1733" xr:uid="{F8A4AC34-12EE-5A4B-BA75-060C9021A3E8}"/>
    <hyperlink ref="R1222" r:id="rId1734" xr:uid="{A509700C-1931-ED49-9566-12812AFA8762}"/>
    <hyperlink ref="R1223" r:id="rId1735" xr:uid="{6BAFF247-8E87-F24E-869B-3B5C5ECE7F4A}"/>
    <hyperlink ref="R1057" r:id="rId1736" xr:uid="{E1C6E80C-0D51-C748-9716-E30B9724ADB0}"/>
    <hyperlink ref="R1058" r:id="rId1737" xr:uid="{56B6142F-07AD-0A43-92C6-1FF1C0D1BFA0}"/>
    <hyperlink ref="R719" r:id="rId1738" xr:uid="{335B19E9-CF11-4247-9D1B-29085A15692A}"/>
    <hyperlink ref="R713" r:id="rId1739" xr:uid="{C312F246-A184-3C43-858B-107AD49A0508}"/>
    <hyperlink ref="R1999" r:id="rId1740" display="https://theglobaljukebox.org/" xr:uid="{032B1E23-7E14-5648-961C-7F500F1FE9D4}"/>
    <hyperlink ref="R1683" r:id="rId1741" display="https://theglobaljukebox.org/" xr:uid="{DDCA9BDF-841D-104D-B327-2D2534E484EF}"/>
    <hyperlink ref="R1991" r:id="rId1742" display="https://theglobaljukebox.org/" xr:uid="{165B6C33-8224-1148-AECD-F2013A59B621}"/>
    <hyperlink ref="R130" r:id="rId1743" display="https://theglobaljukebox.org/" xr:uid="{85351383-9823-FE45-90A4-A4733B39D1FF}"/>
    <hyperlink ref="R2112" r:id="rId1744" display="https://theglobaljukebox.org/" xr:uid="{55695A77-FC87-5548-8161-D7714C067835}"/>
    <hyperlink ref="R1987" r:id="rId1745" display="https://theglobaljukebox.org/" xr:uid="{60B9A752-A5E9-2A4D-BC1C-134219762286}"/>
    <hyperlink ref="R2015" r:id="rId1746" display="https://theglobaljukebox.org/" xr:uid="{421526F6-2E1B-2841-B955-0454FF38B5D4}"/>
    <hyperlink ref="R770" r:id="rId1747" display="https://theglobaljukebox.org/" xr:uid="{B496F60B-3AA7-914D-BCBA-736515448BA5}"/>
    <hyperlink ref="R2075" r:id="rId1748" xr:uid="{1B32AA42-FA79-3649-A140-87788E70F6EB}"/>
    <hyperlink ref="R2147" r:id="rId1749" xr:uid="{2182EA10-A541-AC40-9AEE-5AB2BFAA36FC}"/>
    <hyperlink ref="R2027" r:id="rId1750" xr:uid="{D44E48C9-1999-2947-A65C-15C879A6DD84}"/>
    <hyperlink ref="R1665" r:id="rId1751" xr:uid="{4505D60A-D641-3F4A-B523-85D4EB688558}"/>
    <hyperlink ref="R1118" r:id="rId1752" xr:uid="{3E1D89F8-B96A-3048-ADD6-CBFB130197F0}"/>
    <hyperlink ref="R1318" r:id="rId1753" xr:uid="{2477D119-66DD-EE47-8D97-F94BF388D7E1}"/>
    <hyperlink ref="R1245" r:id="rId1754" xr:uid="{13614CDF-45C8-B246-9FA9-65B7093F2EDA}"/>
    <hyperlink ref="R1357" r:id="rId1755" xr:uid="{F513447C-540F-7B44-B43B-3C4E6B82EDCE}"/>
    <hyperlink ref="R729" r:id="rId1756" xr:uid="{AFAA7D6D-578B-3141-884A-CAE2BFDAF2DD}"/>
    <hyperlink ref="R726" r:id="rId1757" xr:uid="{0FB8007B-FFC9-A543-BFE6-BBF582D68001}"/>
    <hyperlink ref="R799" r:id="rId1758" xr:uid="{3DA5E4BA-828B-CA4E-B000-FE9B73D864EA}"/>
    <hyperlink ref="R1287" r:id="rId1759" xr:uid="{EEAB904D-C811-8D49-9152-B248E279C5EE}"/>
    <hyperlink ref="R1350" r:id="rId1760" xr:uid="{EFEA6DB1-C585-4940-B2E1-C17244962A25}"/>
    <hyperlink ref="R782" r:id="rId1761" xr:uid="{BE875689-9AE6-0E46-B2D4-EDEF91C26FE7}"/>
    <hyperlink ref="R783" r:id="rId1762" xr:uid="{A783B72E-E55B-C940-8584-9CDE58B16A96}"/>
    <hyperlink ref="R784" r:id="rId1763" xr:uid="{37DF4826-8019-B740-A10C-C724DD4EA3F0}"/>
    <hyperlink ref="R1246" r:id="rId1764" xr:uid="{20D5CE76-4AB5-5844-B745-D2708D3DF71B}"/>
    <hyperlink ref="R1299" r:id="rId1765" xr:uid="{16859B83-517C-2145-B230-F2BEA8A80EF9}"/>
    <hyperlink ref="R1224" r:id="rId1766" xr:uid="{E7377FF2-F037-7748-A4C1-E6EB0C3EA162}"/>
    <hyperlink ref="R1358" r:id="rId1767" xr:uid="{8CDB4EB0-40E0-854A-BC8B-9FCBDE0922D7}"/>
    <hyperlink ref="R1359" r:id="rId1768" xr:uid="{BF17BBA7-53EE-0943-9DE2-AB9032FC65DD}"/>
    <hyperlink ref="R1300" r:id="rId1769" xr:uid="{3F9CA1B8-C071-D04E-B05B-DB0642BA4282}"/>
    <hyperlink ref="R931" r:id="rId1770" xr:uid="{8CFDE596-BD4B-4F43-A5F1-B76983795EE4}"/>
    <hyperlink ref="R1988" r:id="rId1771" xr:uid="{339C96F3-24AD-6542-8C7E-EB925D0EDDB3}"/>
    <hyperlink ref="R1989" r:id="rId1772" xr:uid="{B7D0C482-600F-9F45-AB4C-59A8FE13DEB4}"/>
    <hyperlink ref="R1992" r:id="rId1773" xr:uid="{255300B0-B152-B54D-BBEF-170468667720}"/>
    <hyperlink ref="R2065" r:id="rId1774" xr:uid="{AF9F1E96-367F-724E-B1CF-4C71C8C1E79F}"/>
    <hyperlink ref="R1854" r:id="rId1775" xr:uid="{E46722D7-DD8D-A84C-A604-36A8B84EB6BF}"/>
    <hyperlink ref="R952" r:id="rId1776" xr:uid="{9E3AFAC8-0BBC-B342-9EDE-B3B1E0AB8A94}"/>
    <hyperlink ref="R1874" r:id="rId1777" xr:uid="{086B71F0-4795-904F-B8B8-FD37EE31385B}"/>
    <hyperlink ref="R1133" r:id="rId1778" xr:uid="{9B0A21FE-CB2B-4549-90C0-0235C78C300F}"/>
    <hyperlink ref="R1875" r:id="rId1779" xr:uid="{0A10E5AB-E2E2-954F-89AD-55D2149D9EA8}"/>
    <hyperlink ref="R1134" r:id="rId1780" xr:uid="{3842627A-8174-0340-B61A-BDE081AB88AE}"/>
    <hyperlink ref="R1876" r:id="rId1781" xr:uid="{4394DE0F-7A95-9B49-AA1D-49CA4C9F95E4}"/>
    <hyperlink ref="R1877" r:id="rId1782" xr:uid="{9D65252A-FC48-4D48-8F83-009C6246B181}"/>
    <hyperlink ref="R985" r:id="rId1783" xr:uid="{9F8E61B4-60E8-C747-BF18-706CD96033EE}"/>
    <hyperlink ref="R2094" r:id="rId1784" xr:uid="{F636A4E2-B84B-4E4F-B74E-7407590B50F1}"/>
    <hyperlink ref="R2148" r:id="rId1785" xr:uid="{CBA23F2B-A98D-0F4B-B910-44A21C78D942}"/>
    <hyperlink ref="R2114" r:id="rId1786" xr:uid="{05D2A4EF-F83C-7746-9FCA-D7EAD6F9E6FB}"/>
    <hyperlink ref="R2115" r:id="rId1787" xr:uid="{760DEE6E-B681-0048-8759-3D3599784FEA}"/>
    <hyperlink ref="R2095" r:id="rId1788" xr:uid="{632915D7-2E35-164D-AD93-E4827130C903}"/>
    <hyperlink ref="R1963" r:id="rId1789" xr:uid="{8030448C-0A90-3A41-B466-2E3C35A0C657}"/>
    <hyperlink ref="R1980" r:id="rId1790" xr:uid="{E0E5E03B-3E24-E64A-86DD-A7DED434560E}"/>
    <hyperlink ref="R1931" r:id="rId1791" xr:uid="{4C044D6C-93DC-AF46-A67A-076BF90D2B21}"/>
    <hyperlink ref="R1981" r:id="rId1792" xr:uid="{ACC5917A-6CC7-544D-80B1-40B0F973365E}"/>
    <hyperlink ref="R1735" r:id="rId1793" xr:uid="{B04BF9E2-6F23-4848-A49D-9D89B8680BE5}"/>
    <hyperlink ref="R1645" r:id="rId1794" display="https://theglobaljukebox.org/" xr:uid="{736B54F0-658A-1F48-9B5C-C26AA1FFDBF1}"/>
    <hyperlink ref="R1738" r:id="rId1795" xr:uid="{F63D3B5C-6A76-964B-AB91-E0B2BB85568F}"/>
    <hyperlink ref="R1652" r:id="rId1796" display="https://theglobaljukebox.org/" xr:uid="{496B895A-15D4-E344-A5A5-3D8D43E17CA0}"/>
    <hyperlink ref="R1739" r:id="rId1797" xr:uid="{99372E2F-95B6-5041-8B9E-49C1A321F9C7}"/>
    <hyperlink ref="R1263" r:id="rId1798" xr:uid="{18FA44D5-B6EA-5B43-BA33-F333ACDC0B9D}"/>
    <hyperlink ref="R1968" r:id="rId1799" xr:uid="{CE6485EB-B3DA-9A49-8530-16319AD67A27}"/>
    <hyperlink ref="R1681" r:id="rId1800" xr:uid="{3710314A-A93B-CB4E-9122-E45CDEC735C4}"/>
    <hyperlink ref="R1679" r:id="rId1801" xr:uid="{B52B356B-1277-834A-827A-7F4B0DB8C53C}"/>
    <hyperlink ref="R1271" r:id="rId1802" xr:uid="{29B521B4-5B55-F842-AA09-0F1808541435}"/>
    <hyperlink ref="AD1271" r:id="rId1803" xr:uid="{7F275F3B-FD09-EE46-9EDC-213EC1AE39BD}"/>
    <hyperlink ref="R503" r:id="rId1804" xr:uid="{59E01A87-0811-C741-ABD3-55D78362C2BB}"/>
    <hyperlink ref="R1750" r:id="rId1805" xr:uid="{5E646591-3232-C74E-8A1E-27E56F043984}"/>
    <hyperlink ref="R2099" r:id="rId1806" xr:uid="{C9606FA5-ACC6-254B-8D1F-04D51922B7DD}"/>
    <hyperlink ref="R2100" r:id="rId1807" xr:uid="{00CFA21E-8A5D-144F-ABBE-CB4E651BEAC5}"/>
    <hyperlink ref="R2101" r:id="rId1808" xr:uid="{557622E9-5AA6-2744-8601-97E11ECD0446}"/>
    <hyperlink ref="R381" r:id="rId1809" xr:uid="{F1B7B7B1-F155-1747-A4B3-0F68186F7649}"/>
    <hyperlink ref="R426" r:id="rId1810" xr:uid="{A9A45724-3655-9A48-91D9-61969EA5C6C5}"/>
    <hyperlink ref="R2054" r:id="rId1811" xr:uid="{B3D8DC4A-3654-8045-9CDF-7604D6989D52}"/>
    <hyperlink ref="R1691" r:id="rId1812" xr:uid="{5757A92F-3CCF-754A-A2FD-46DC766A2494}"/>
    <hyperlink ref="R595" r:id="rId1813" xr:uid="{90F82D95-1516-5542-9C2D-58B1E4DAE05E}"/>
    <hyperlink ref="R440" r:id="rId1814" xr:uid="{466ABE6D-3DB8-1646-9658-60B4991FF808}"/>
    <hyperlink ref="R382" r:id="rId1815" xr:uid="{80C4A235-CAC6-A84B-A38C-D49F1755E67B}"/>
    <hyperlink ref="R636" r:id="rId1816" xr:uid="{B400FC32-F73F-854C-87C8-5E3C1AE05AF1}"/>
    <hyperlink ref="R637" r:id="rId1817" xr:uid="{28AA0C9F-2D36-504B-8930-8446D8E93B60}"/>
    <hyperlink ref="R441" r:id="rId1818" xr:uid="{0B0CCC07-1CF8-9B49-8ACB-43FD31A16C87}"/>
    <hyperlink ref="R1617" r:id="rId1819" xr:uid="{4BE916CF-1096-D042-839D-7D0E7BBC364A}"/>
    <hyperlink ref="R1398" r:id="rId1820" xr:uid="{9608BD9B-0843-E345-8AA2-CAC9ED511FB5}"/>
    <hyperlink ref="R1360" r:id="rId1821" xr:uid="{E7682887-E2BB-9D4E-8AA8-0D676CE65C58}"/>
    <hyperlink ref="R1301" r:id="rId1822" xr:uid="{811D1CFD-BA08-7247-A017-3D6165A6D061}"/>
    <hyperlink ref="R1361" r:id="rId1823" xr:uid="{3DC91801-5040-E74D-A453-0246872B0E83}"/>
    <hyperlink ref="R1225" r:id="rId1824" xr:uid="{AD1E4D34-F10E-8149-8F15-01B0B4B03CEC}"/>
    <hyperlink ref="R1015" r:id="rId1825" xr:uid="{0E2B40F7-659A-A64E-AD25-4A047103A00F}"/>
    <hyperlink ref="R1070" r:id="rId1826" xr:uid="{32798A3C-CCCC-5B41-A7EB-939806EAB685}"/>
    <hyperlink ref="R2151" r:id="rId1827" xr:uid="{B128F8A4-BF50-4C47-A881-DFBADA49110D}"/>
    <hyperlink ref="R736" r:id="rId1828" xr:uid="{50647D6D-2D31-3F4D-BFA5-25111CF74CBA}"/>
    <hyperlink ref="R868" r:id="rId1829" xr:uid="{E13C788B-0128-464D-8520-62208E4FBEA3}"/>
    <hyperlink ref="R1247" r:id="rId1830" xr:uid="{52451B5F-C608-1D45-9643-30824134F603}"/>
    <hyperlink ref="R869" r:id="rId1831" xr:uid="{10C5D48C-B37B-A040-8F0C-61C6D936FCC5}"/>
    <hyperlink ref="R932" r:id="rId1832" xr:uid="{2EB1A469-4AB3-1D43-A9E1-808CB751FCA0}"/>
    <hyperlink ref="R1362" r:id="rId1833" xr:uid="{9B54AFB3-EC51-8141-9533-FDC6EF535CB3}"/>
    <hyperlink ref="R1226" r:id="rId1834" xr:uid="{FD08A578-7CBE-F646-8A44-4847D31674E8}"/>
    <hyperlink ref="R1363" r:id="rId1835" xr:uid="{D32FC30F-F413-3749-8BCB-A7BCF8F67F8D}"/>
    <hyperlink ref="R1107" r:id="rId1836" xr:uid="{539B383E-DEC7-4D46-AF5B-09536D209B13}"/>
    <hyperlink ref="R1227" r:id="rId1837" xr:uid="{8ABA8B4A-4311-A14F-AAE2-7B1A46992CDD}"/>
    <hyperlink ref="R1508" r:id="rId1838" xr:uid="{C7D499C4-402E-8E49-97E1-78B98793FE95}"/>
    <hyperlink ref="R1495" r:id="rId1839" xr:uid="{94496188-3642-B74F-A8C8-7046489579FB}"/>
    <hyperlink ref="R1108" r:id="rId1840" xr:uid="{D3453297-DC71-7B44-B6AC-A4FCBCFFC71F}"/>
    <hyperlink ref="R1109" r:id="rId1841" xr:uid="{3AC1DCE2-D2C1-0644-9AC1-6ADE6A9841A9}"/>
    <hyperlink ref="R1110" r:id="rId1842" xr:uid="{B75B19A4-B80B-C94E-8E3F-4C8E606F17C3}"/>
    <hyperlink ref="R1016" r:id="rId1843" xr:uid="{06C91EA2-5A55-BB4E-BE47-F5A760F0D726}"/>
    <hyperlink ref="R1111" r:id="rId1844" xr:uid="{6E73CBE0-E0DF-B246-B4D5-55FDB2403990}"/>
    <hyperlink ref="R854" r:id="rId1845" xr:uid="{F7561E6F-4666-B245-91E9-88EEA5ECD25A}"/>
    <hyperlink ref="R1393" r:id="rId1846" xr:uid="{8B897C51-BE9E-9C4E-A937-0287286F83E0}"/>
    <hyperlink ref="R2097" r:id="rId1847" display="http://davesoldier.com/mp3s/GuatemalaWorking/13 Ha tzonhulek_ Yol yib_anh k_inal tik %28fiddle tune%29.mp3" xr:uid="{5CD4BE45-CD05-EE49-B229-AAE1088DFCE3}"/>
    <hyperlink ref="R1496" r:id="rId1848" xr:uid="{7E2E6D00-5D95-6943-AF28-B06C9A205F98}"/>
    <hyperlink ref="R1518" r:id="rId1849" xr:uid="{3B818F6A-6BE6-3548-8DB8-A5DDB94B3509}"/>
    <hyperlink ref="R1519" r:id="rId1850" xr:uid="{B86ACD20-BC50-C64C-969E-ABD255D17FB8}"/>
    <hyperlink ref="R1497" r:id="rId1851" xr:uid="{DB5A7B42-E4BA-5547-B6E5-9A96BAC1E461}"/>
    <hyperlink ref="R1479" r:id="rId1852" xr:uid="{50B5160A-CC8C-5D45-AB9B-5C282439474E}"/>
    <hyperlink ref="R1480" r:id="rId1853" xr:uid="{032BA6F8-9561-E740-9022-2BE43991553A}"/>
    <hyperlink ref="R1476" r:id="rId1854" xr:uid="{800159AB-3E94-1C41-85AC-C48613646A4D}"/>
    <hyperlink ref="R146" r:id="rId1855" xr:uid="{989806E2-DE35-484C-9F34-84A9A4B200BF}"/>
    <hyperlink ref="R147" r:id="rId1856" xr:uid="{B2BED63F-ECB2-B645-BD56-A0CFEC181D4F}"/>
    <hyperlink ref="R180" r:id="rId1857" xr:uid="{046B1303-CFF5-EF4E-AF08-69BA26E20BF0}"/>
    <hyperlink ref="R1899" r:id="rId1858" xr:uid="{6ACE2DA7-A158-9A4C-808E-D222BF2D0636}"/>
    <hyperlink ref="R870" r:id="rId1859" xr:uid="{80B28FAE-BAD5-C04D-A468-E229E490A4EC}"/>
    <hyperlink ref="R598" r:id="rId1860" xr:uid="{98574E9B-9E17-CB40-93E7-6A0C60E00B95}"/>
    <hyperlink ref="R477" r:id="rId1861" xr:uid="{1735C798-DAF3-0D40-BCA7-3F2A44A84C80}"/>
    <hyperlink ref="R599" r:id="rId1862" xr:uid="{928D90E9-63B6-A648-973B-9EB08038AC04}"/>
    <hyperlink ref="R1498" r:id="rId1863" xr:uid="{5BCE767F-1F69-9344-8CFB-4F58EC8B544D}"/>
    <hyperlink ref="R1499" r:id="rId1864" xr:uid="{F0904EF6-9244-1044-9A21-DD592F7C6AB2}"/>
    <hyperlink ref="R1500" r:id="rId1865" xr:uid="{7380BCF8-66F6-F041-BD23-555777622EC2}"/>
    <hyperlink ref="R1501" r:id="rId1866" xr:uid="{54E73560-E91C-D44D-B8BE-6D04EF6BEE00}"/>
    <hyperlink ref="R988" r:id="rId1867" xr:uid="{74DDA065-1CF3-DB49-A4DA-44C0D5E0986C}"/>
    <hyperlink ref="R1100" r:id="rId1868" xr:uid="{3F54518B-6A0D-F648-821D-40CE9BA6C1A0}"/>
    <hyperlink ref="R855" r:id="rId1869" display="https://theglobaljukebox.org/" xr:uid="{A53839E3-B70A-D64F-AD7E-B333BAD30D1D}"/>
    <hyperlink ref="R856" r:id="rId1870" display="https://theglobaljukebox.org/" xr:uid="{9970E13E-8726-6C4A-B10C-7E089C3D7B17}"/>
    <hyperlink ref="R1502" r:id="rId1871" xr:uid="{A2E9A83F-FC25-0C48-A6DE-1100FFD4B1BB}"/>
    <hyperlink ref="R1520" r:id="rId1872" xr:uid="{A4AEA347-184B-0F45-9B74-577F3F69B2B5}"/>
    <hyperlink ref="R160" r:id="rId1873" xr:uid="{B440AF24-A553-0847-BD7F-404487080B09}"/>
    <hyperlink ref="R161" r:id="rId1874" xr:uid="{A5716D12-7736-0341-B20A-775E3B9017E9}"/>
    <hyperlink ref="R155" r:id="rId1875" xr:uid="{1FA2784D-0F5E-CB4B-81E2-338491400B4C}"/>
    <hyperlink ref="R149" r:id="rId1876" xr:uid="{722C4786-FA99-4F4B-842B-289A2A7340BC}"/>
    <hyperlink ref="R156" r:id="rId1877" xr:uid="{40C625A0-9A26-F441-AFAF-5FE958AEF04A}"/>
    <hyperlink ref="R170" r:id="rId1878" xr:uid="{D79046BC-7126-834A-B49E-E705FF37987B}"/>
    <hyperlink ref="R2132" r:id="rId1879" display="https://theglobaljukebox.org/" xr:uid="{A8C753D9-1ED5-A948-AD4F-10F74A85F37F}"/>
    <hyperlink ref="R2093" r:id="rId1880" display="https://theglobaljukebox.org/" xr:uid="{8F457934-782B-7D4C-A88B-C8D0F03B0598}"/>
    <hyperlink ref="R2133" r:id="rId1881" display="https://theglobaljukebox.org/" xr:uid="{B43D7D67-00C0-1341-A175-EC80B3926ACA}"/>
    <hyperlink ref="R1173" r:id="rId1882" xr:uid="{F2AEF88B-F9D7-0845-AB19-EC47F74CFA87}"/>
    <hyperlink ref="R1272" r:id="rId1883" xr:uid="{EEA6AFE7-68DF-DD4F-B67E-E0AD29FC8950}"/>
    <hyperlink ref="R1174" r:id="rId1884" xr:uid="{2C27F33B-18F4-0148-9D85-05A31A0E78DF}"/>
    <hyperlink ref="R2134" r:id="rId1885" xr:uid="{CA79CCD7-C6B5-4140-9E08-9FD6FDE87EB7}"/>
    <hyperlink ref="R2135" r:id="rId1886" xr:uid="{13E10D6A-80C9-654A-9C1D-45E14D7B84FB}"/>
    <hyperlink ref="R1185" r:id="rId1887" xr:uid="{A70E6A2A-96A3-074B-9FEA-C846249C699F}"/>
    <hyperlink ref="R1071" r:id="rId1888" xr:uid="{50CEFCDE-88BE-A14E-A89D-921AF1AFEF7C}"/>
    <hyperlink ref="R1186" r:id="rId1889" xr:uid="{97669FD4-EFD4-5E42-8994-3C840D720C7F}"/>
    <hyperlink ref="R1072" r:id="rId1890" xr:uid="{B015B500-E450-B74B-8BDB-2AA8DBEF9496}"/>
    <hyperlink ref="R1187" r:id="rId1891" xr:uid="{5FF8EEB2-189F-C949-BAF0-5127A76DD80D}"/>
    <hyperlink ref="R1017" r:id="rId1892" xr:uid="{86004C66-DC49-454C-B6A2-47100DDE63B6}"/>
    <hyperlink ref="R1648" r:id="rId1893" display="https://theglobaljukebox.org/" xr:uid="{719DA6D8-25A0-1744-AF59-0B0B362C3986}"/>
    <hyperlink ref="R1649" r:id="rId1894" display="https://theglobaljukebox.org/" xr:uid="{83BF9C22-1C7D-2742-BB28-F4014A133DA2}"/>
    <hyperlink ref="R1119" r:id="rId1895" xr:uid="{BE09AF45-3174-1E4B-B5E2-3B481DBD22E0}"/>
    <hyperlink ref="R1085" r:id="rId1896" xr:uid="{D4266A73-3D30-D44F-8C59-C44AA6A165F6}"/>
    <hyperlink ref="R1033" r:id="rId1897" xr:uid="{44934977-35FD-D34C-AE38-4AFD2F45E46A}"/>
    <hyperlink ref="R1039" r:id="rId1898" xr:uid="{99910898-17DD-8C4A-A11B-67D6854C85EA}"/>
    <hyperlink ref="R1040" r:id="rId1899" xr:uid="{65E7CC0C-5C3D-6E44-A83B-3A588ED3E515}"/>
    <hyperlink ref="R1091" r:id="rId1900" xr:uid="{B479078A-71CC-7644-829F-2235C9E9FE7A}"/>
    <hyperlink ref="R243" r:id="rId1901" xr:uid="{35CF9BD3-92EA-B64A-9A00-B3F7C1040330}"/>
    <hyperlink ref="R1149" r:id="rId1902" xr:uid="{1D43A44D-3427-FC4A-8070-4A2042A25579}"/>
    <hyperlink ref="R1188" r:id="rId1903" xr:uid="{4BA5DA16-9C81-594C-B4CD-0A7563808AA8}"/>
    <hyperlink ref="R1138" r:id="rId1904" xr:uid="{DE3CDCEA-76BD-AB46-B43C-B431D1C51761}"/>
    <hyperlink ref="R1139" r:id="rId1905" xr:uid="{4F68291B-B304-524D-BC9E-4CAEEE99F6C5}"/>
    <hyperlink ref="R1862" r:id="rId1906" xr:uid="{A57275A9-07D8-5F41-B3A7-8E54B109C4DB}"/>
    <hyperlink ref="R1895" r:id="rId1907" xr:uid="{DA4E5042-3A45-9F42-95FF-80D13431200E}"/>
    <hyperlink ref="R1896" r:id="rId1908" xr:uid="{AAB44F91-661D-7542-B02C-F922D5B306CE}"/>
    <hyperlink ref="R1890" r:id="rId1909" xr:uid="{69B58A11-EC83-574C-8325-F9DA4C628543}"/>
    <hyperlink ref="R1897" r:id="rId1910" xr:uid="{811410BC-B31F-5842-9AD5-E0D554F2F2BB}"/>
    <hyperlink ref="R1898" r:id="rId1911" xr:uid="{7C8584C7-28F0-AC4F-A3D1-BD6F6BB8B8A8}"/>
    <hyperlink ref="R1140" r:id="rId1912" xr:uid="{B3D92951-67CB-5249-B7B3-AD521476B49B}"/>
    <hyperlink ref="R1141" r:id="rId1913" xr:uid="{84264357-2D74-AF4E-91FC-8C965835A4E6}"/>
    <hyperlink ref="R1142" r:id="rId1914" xr:uid="{34790841-7768-DE43-ADA3-84CE1CAB3CD5}"/>
    <hyperlink ref="R1143" r:id="rId1915" xr:uid="{31F1C8B3-E2B5-4744-8D1D-5543FC377CB4}"/>
    <hyperlink ref="R1144" r:id="rId1916" xr:uid="{BA73CA9C-2BF2-524C-A3C9-60DAF31D1153}"/>
    <hyperlink ref="R853" r:id="rId1917" xr:uid="{80F385A2-04A4-E24D-BBD8-12B20F157477}"/>
    <hyperlink ref="R1770" r:id="rId1918" xr:uid="{696ED34B-3E13-5C45-8019-E9023722DE22}"/>
    <hyperlink ref="R1771" r:id="rId1919" xr:uid="{F13F7DEA-9731-8748-B6D8-95CEAF99005E}"/>
    <hyperlink ref="R805" r:id="rId1920" xr:uid="{33319352-DBE5-AF40-ACA9-81D2B1AF4D3A}"/>
    <hyperlink ref="R804" r:id="rId1921" xr:uid="{B0298D7C-7B5B-2C43-96CC-656D94F48A67}"/>
    <hyperlink ref="R1653" r:id="rId1922" xr:uid="{51B90C85-DE2F-1A46-B955-0F9858F2249E}"/>
    <hyperlink ref="R2005" r:id="rId1923" xr:uid="{81B5895D-A0BB-634C-B9B5-8A48C659354A}"/>
    <hyperlink ref="R1651" r:id="rId1924" xr:uid="{93BE253E-48CC-8B46-9A33-39AF05FE2110}"/>
    <hyperlink ref="R886" r:id="rId1925" xr:uid="{0C912611-6DA1-1545-82BC-2F5C7D452C4B}"/>
    <hyperlink ref="R1331" r:id="rId1926" xr:uid="{6C522B5A-B948-6A41-9DAB-0AFB5C2CDD2A}"/>
    <hyperlink ref="R1332" r:id="rId1927" xr:uid="{E9A2CC16-90F5-C441-B5C0-F3207A576AA3}"/>
    <hyperlink ref="R858" r:id="rId1928" xr:uid="{0DA67742-695D-7146-B965-E3C4172D81AA}"/>
    <hyperlink ref="R1646" r:id="rId1929" xr:uid="{ABEFF5C3-9AB8-4247-A931-6AE67A654898}"/>
    <hyperlink ref="R1650" r:id="rId1930" xr:uid="{29D37DC8-FC8E-3349-8846-4B76F5C09012}"/>
    <hyperlink ref="R859" r:id="rId1931" xr:uid="{D2F9E3A6-6432-4A4F-BA42-AAC12523D8A6}"/>
    <hyperlink ref="R860" r:id="rId1932" xr:uid="{CE97062E-5D1A-6A42-8A5B-EFE4F3873393}"/>
    <hyperlink ref="R1881" r:id="rId1933" xr:uid="{C6F6BDE4-24AE-FF47-9A37-9C1564EF36B7}"/>
    <hyperlink ref="R1851" r:id="rId1934" xr:uid="{F0F37CFC-4678-7B49-88A6-2026BEA4932F}"/>
    <hyperlink ref="R1852" r:id="rId1935" xr:uid="{3F5958D1-9685-6440-9EBB-D07C0AAF20B5}"/>
    <hyperlink ref="R1846" r:id="rId1936" xr:uid="{206B90FA-D4DD-A349-8437-1A7295C12337}"/>
    <hyperlink ref="R1882" r:id="rId1937" xr:uid="{A64B33F0-2EE3-6248-BF9E-7A0018F524B1}"/>
    <hyperlink ref="R1863" r:id="rId1938" xr:uid="{900C37CB-8A81-FE42-ADB7-B69851F5BE2F}"/>
    <hyperlink ref="R1891" r:id="rId1939" xr:uid="{FF87C2A9-9C20-4344-95A4-89815474AFF0}"/>
    <hyperlink ref="R1847" r:id="rId1940" xr:uid="{0D48BCC7-45AE-5843-90CE-60B125AD138E}"/>
    <hyperlink ref="R1864" r:id="rId1941" xr:uid="{8BCA4EF1-4C58-CC4D-AE96-AC96C7E78A6F}"/>
    <hyperlink ref="R1333" r:id="rId1942" xr:uid="{997E301A-3CA5-C64B-A81B-0AA2ECD7B851}"/>
    <hyperlink ref="R1046" r:id="rId1943" xr:uid="{B200C68E-7396-434E-8D44-F74A309B3494}"/>
    <hyperlink ref="R1334" r:id="rId1944" xr:uid="{27AD4D98-BB46-5842-9E66-15BCD5964495}"/>
    <hyperlink ref="R887" r:id="rId1945" xr:uid="{4BE654D8-28F4-9347-9D32-AF182C8F49A5}"/>
    <hyperlink ref="R1126" r:id="rId1946" xr:uid="{DCA6B917-7140-2E47-9140-84B0F1D23392}"/>
    <hyperlink ref="R1335" r:id="rId1947" xr:uid="{907B2714-9317-394F-B9B9-87C59A254B70}"/>
    <hyperlink ref="R1127" r:id="rId1948" xr:uid="{637D894D-6551-124C-9A6A-E19B235436EC}"/>
    <hyperlink ref="R888" r:id="rId1949" xr:uid="{7D394693-05BF-5B4B-98E5-8D156758523C}"/>
    <hyperlink ref="R1258" r:id="rId1950" xr:uid="{070CC805-2660-1341-A9F9-2938C271F761}"/>
    <hyperlink ref="R889" r:id="rId1951" xr:uid="{BEA4DB8D-DDED-164D-8597-CA70CD208A53}"/>
    <hyperlink ref="R1175" r:id="rId1952" xr:uid="{5CABAB6D-BB4F-7449-97B7-6E8EB8642F01}"/>
    <hyperlink ref="R1176" r:id="rId1953" xr:uid="{15843538-5966-3043-ADF7-6F87D36683E6}"/>
    <hyperlink ref="R2156" r:id="rId1954" xr:uid="{919FC916-CCA4-0E4A-9716-187453F85E17}"/>
    <hyperlink ref="R2157" r:id="rId1955" xr:uid="{FF1F3567-D5A2-4048-B549-F3B356948263}"/>
    <hyperlink ref="R2042" r:id="rId1956" xr:uid="{F4A33746-0E94-DF4A-9FD0-79C352133FD1}"/>
    <hyperlink ref="R2043" r:id="rId1957" xr:uid="{7E6E3297-3855-3F4C-AFF8-BA2C4A04AC60}"/>
    <hyperlink ref="R1469" r:id="rId1958" xr:uid="{90DBA6AD-A436-B94C-B57B-1060BE0B4FDA}"/>
    <hyperlink ref="R1466" r:id="rId1959" xr:uid="{3317214B-A577-6C44-9C80-CB3E794EB6CB}"/>
    <hyperlink ref="R1920" r:id="rId1960" xr:uid="{EDFA710C-A82C-974E-ABBF-AC1623B340F8}"/>
    <hyperlink ref="R1921" r:id="rId1961" xr:uid="{F1E0E916-915B-B14E-8779-69AAA421CD83}"/>
    <hyperlink ref="R1922" r:id="rId1962" xr:uid="{517489FD-16BA-2749-9BC9-48F106C64CC8}"/>
    <hyperlink ref="R1984" r:id="rId1963" xr:uid="{509BC864-CCCF-524C-B9DA-EBA22C8282FF}"/>
    <hyperlink ref="R1923" r:id="rId1964" xr:uid="{0B8D6DAA-4B48-3E49-8ECB-E04F56E41BC3}"/>
    <hyperlink ref="R1933" r:id="rId1965" xr:uid="{E49A8D05-69FD-CB45-8DA0-4ABDDB03DA8F}"/>
    <hyperlink ref="R1934" r:id="rId1966" xr:uid="{3DDAF58B-0DBC-054A-8E32-CC5B07EBE41B}"/>
    <hyperlink ref="R1970" r:id="rId1967" xr:uid="{D3BB893D-E7AB-5B49-8F50-AB154C63FA0C}"/>
    <hyperlink ref="R1971" r:id="rId1968" xr:uid="{D0CE8C21-01F5-734B-8A3F-260D0D744CB4}"/>
    <hyperlink ref="R1935" r:id="rId1969" xr:uid="{B5E2ADE1-C3CA-A64B-8179-59D126C57ED9}"/>
    <hyperlink ref="R1936" r:id="rId1970" xr:uid="{31549755-F491-6F4C-A4A3-0AF5E3122114}"/>
    <hyperlink ref="R1964" r:id="rId1971" xr:uid="{0A583E54-29CA-0C47-B003-8ADAC6DADA90}"/>
    <hyperlink ref="R1273" r:id="rId1972" xr:uid="{B780676A-3238-8747-8E3C-BF45D118F44E}"/>
    <hyperlink ref="R998" r:id="rId1973" xr:uid="{1CFFEB49-82C0-E14A-9D2B-3A8C507E4D40}"/>
    <hyperlink ref="R1983" r:id="rId1974" xr:uid="{D6B31CED-AFFE-DB44-A70F-C620A558D292}"/>
    <hyperlink ref="R2142" r:id="rId1975" xr:uid="{2272473D-B302-C744-862A-A5426F20CE49}"/>
    <hyperlink ref="R1168" r:id="rId1976" xr:uid="{D556923A-A2C1-0444-9875-E36E356F8E97}"/>
    <hyperlink ref="R890" r:id="rId1977" xr:uid="{F9127F6C-23DC-C845-B792-B31B916D52D0}"/>
    <hyperlink ref="R1336" r:id="rId1978" xr:uid="{D61E4F24-68A7-904C-B760-62F0B9E17FD1}"/>
    <hyperlink ref="R1128" r:id="rId1979" xr:uid="{8AB9DBFC-86B9-654E-B7C8-1213C27B0583}"/>
    <hyperlink ref="R1865" r:id="rId1980" xr:uid="{F7C387CD-6811-2844-A591-EFBC2B79FF66}"/>
    <hyperlink ref="R1092" r:id="rId1981" xr:uid="{B5DC011B-E296-BE48-AAD4-6BF9BE178848}"/>
    <hyperlink ref="R1879" r:id="rId1982" xr:uid="{51E88046-A317-F042-A6DE-7F6E28FEF65C}"/>
    <hyperlink ref="R1198" r:id="rId1983" xr:uid="{1929BBA2-4E1F-E34D-BB6A-454AAE4C5042}"/>
    <hyperlink ref="R1199" r:id="rId1984" xr:uid="{AFE32C46-B27A-5840-BC59-6D794F04AB2C}"/>
    <hyperlink ref="R1276" r:id="rId1985" xr:uid="{5DA52AC3-52BA-B14D-B42B-7E4E1985300A}"/>
    <hyperlink ref="AD1276" r:id="rId1986" xr:uid="{C4C68D10-2004-1947-9ECF-4D56270C1B24}"/>
    <hyperlink ref="R1344" r:id="rId1987" xr:uid="{0B73D976-A477-6F4C-8109-406522F3FB74}"/>
    <hyperlink ref="AD1344" r:id="rId1988" xr:uid="{033EAB17-6572-5945-A9E9-2325D4BEC04F}"/>
    <hyperlink ref="R1277" r:id="rId1989" xr:uid="{5F0A8E54-56E8-834D-9E23-4D73D6F60D65}"/>
    <hyperlink ref="AD1277" r:id="rId1990" xr:uid="{14ED7C86-5817-B245-995B-62305C1AD674}"/>
    <hyperlink ref="R1059" r:id="rId1991" xr:uid="{F40EF6AF-1F68-AD47-A2C9-D1FCB6B7601F}"/>
    <hyperlink ref="AD1059" r:id="rId1992" xr:uid="{D56ABC9A-A075-044B-AB6A-8C02A1EFFCDC}"/>
    <hyperlink ref="R912" r:id="rId1993" xr:uid="{1CD4D9F8-8DAF-874A-824B-B0069C440031}"/>
    <hyperlink ref="AD912" r:id="rId1994" xr:uid="{877EDF9A-0D7F-904A-AD42-91A480557E24}"/>
    <hyperlink ref="R1060" r:id="rId1995" xr:uid="{835870D7-C324-4640-A488-D626509B8186}"/>
    <hyperlink ref="AD1060" r:id="rId1996" xr:uid="{F55A53D9-F626-ED4C-8BEB-D4B32A29D654}"/>
    <hyperlink ref="R2109" r:id="rId1997" xr:uid="{4753E803-D035-534E-AF51-8C8D3AEDEAF4}"/>
    <hyperlink ref="R1647" r:id="rId1998" xr:uid="{7DE6895A-4188-8140-AAE3-E72CF7210786}"/>
    <hyperlink ref="R2110" r:id="rId1999" location="relatedsubjects" display="http://www.worldcat.org/title/australian-playground/oclc/879251089&amp;referer=brief_results - relatedsubjects" xr:uid="{C1C26D14-C433-8341-A24B-EE05BAF6B342}"/>
    <hyperlink ref="R1047" r:id="rId2000" xr:uid="{1F8C011A-A45F-1549-A84D-EAB7D2D4A8B5}"/>
    <hyperlink ref="R1858" r:id="rId2001" xr:uid="{B21C19C1-F83C-754F-8586-548B43B4DC29}"/>
    <hyperlink ref="R1048" r:id="rId2002" xr:uid="{9A991CB5-D795-F54C-8878-2D3F5FB4C4EB}"/>
    <hyperlink ref="R982" r:id="rId2003" xr:uid="{26724EED-F102-5D47-B378-A1A3B0A0B29F}"/>
    <hyperlink ref="R983" r:id="rId2004" xr:uid="{A249C123-1748-F741-B783-D19895CAE4C7}"/>
    <hyperlink ref="R1159" r:id="rId2005" xr:uid="{31B91318-61EE-5B46-BC57-2D54D034E3F0}"/>
    <hyperlink ref="R1253" r:id="rId2006" xr:uid="{FDA58ABD-EB28-C84A-AD91-6E5CCF92A044}"/>
    <hyperlink ref="R1160" r:id="rId2007" xr:uid="{71228BE4-EBF5-1A4D-85DD-9821B71C04A8}"/>
    <hyperlink ref="R743" r:id="rId2008" xr:uid="{DF5F098D-4CE5-D24E-A717-4E33606EBB4D}"/>
    <hyperlink ref="R2116" r:id="rId2009" xr:uid="{FA8AA6BE-4F09-0449-866F-F7AEC3686D18}"/>
    <hyperlink ref="R1672" r:id="rId2010" xr:uid="{AD519B43-78CB-084F-9713-EFCCDED18383}"/>
    <hyperlink ref="R1673" r:id="rId2011" xr:uid="{13A6A0F7-53DF-3449-B1AD-BEF8225E37F4}"/>
    <hyperlink ref="R1662" r:id="rId2012" xr:uid="{26C08648-79CB-6A42-8C7B-582AAF060708}"/>
    <hyperlink ref="R1878" r:id="rId2013" xr:uid="{F12C984E-9E0F-474F-B5F5-1586128A114E}"/>
    <hyperlink ref="R1670" r:id="rId2014" xr:uid="{16E7EB36-8CB6-6540-9D08-7FC8DE89D16C}"/>
    <hyperlink ref="R1675" r:id="rId2015" xr:uid="{B1DF8EE4-EC42-D54E-A0E5-6B51858404DC}"/>
    <hyperlink ref="R1657" r:id="rId2016" xr:uid="{FE3CCC9C-6A58-EB46-9527-ADFD426A3750}"/>
    <hyperlink ref="R1666" r:id="rId2017" xr:uid="{CE90289A-3363-984D-8682-FB5C8544725C}"/>
    <hyperlink ref="R670" r:id="rId2018" xr:uid="{B18631D1-2AE4-454B-A91F-4E6758ACB510}"/>
    <hyperlink ref="R671" r:id="rId2019" xr:uid="{E48009D3-A9A1-9549-AC8B-2C90A9F62DE7}"/>
    <hyperlink ref="R1667" r:id="rId2020" xr:uid="{0F263913-43C2-0445-808C-7585E7AD33BD}"/>
    <hyperlink ref="R1668" r:id="rId2021" xr:uid="{1C496175-E6DD-1B46-94A8-EFEF9A0760CC}"/>
    <hyperlink ref="R1669" r:id="rId2022" xr:uid="{9FB4EE57-A989-D848-90A4-EBABCE2F0357}"/>
    <hyperlink ref="R1407" r:id="rId2023" xr:uid="{336D5471-B067-6A46-98E2-E10CB40E5FCF}"/>
    <hyperlink ref="R1177" r:id="rId2024" xr:uid="{76D13034-439A-0448-8E1A-CA9B84D6382B}"/>
    <hyperlink ref="R1343" r:id="rId2025" xr:uid="{F9B2E08C-FF01-2F44-9E68-B37EBAA8FA12}"/>
    <hyperlink ref="R744" r:id="rId2026" xr:uid="{C1AAA6EC-8B43-A145-AFA8-7417F581F6DD}"/>
    <hyperlink ref="R1076" r:id="rId2027" xr:uid="{A727D22C-D16E-3B42-BD60-6428E8EDBC72}"/>
    <hyperlink ref="R2164" r:id="rId2028" xr:uid="{29989131-CC89-F944-857E-22481B378BFD}"/>
    <hyperlink ref="R2143" r:id="rId2029" xr:uid="{96E28188-253E-564D-A7E6-57E9595D5825}"/>
    <hyperlink ref="R2144" r:id="rId2030" xr:uid="{D9D1C1E0-1E22-B148-A341-22AC4E3390D3}"/>
    <hyperlink ref="R2145" r:id="rId2031" xr:uid="{12934049-5A2C-F847-93D6-B4C8179E4F64}"/>
    <hyperlink ref="R1456" r:id="rId2032" xr:uid="{2EADBC53-AAF2-8F44-AFEE-2D99D38FC877}"/>
    <hyperlink ref="R1452" r:id="rId2033" xr:uid="{FE9B4554-02CE-664B-B793-756A9B07B7EB}"/>
    <hyperlink ref="R445" r:id="rId2034" xr:uid="{BBF7DE7B-7BB1-1D44-853A-038668C6ACF8}"/>
    <hyperlink ref="R446" r:id="rId2035" xr:uid="{10ADA13A-3258-3847-B2E2-08691AE59AB5}"/>
    <hyperlink ref="R447" r:id="rId2036" xr:uid="{ADD90B80-D8DE-FB49-97DB-C4EDEC8C5114}"/>
    <hyperlink ref="R392" r:id="rId2037" xr:uid="{AB392F24-29DD-7846-8E77-E9ED528A2CBE}"/>
    <hyperlink ref="R393" r:id="rId2038" xr:uid="{BEEF0867-0935-2249-9712-5DEECAFD8BEB}"/>
    <hyperlink ref="R394" r:id="rId2039" xr:uid="{1B5D1248-A5D6-9144-89B9-190302D44A9D}"/>
    <hyperlink ref="R644" r:id="rId2040" xr:uid="{BE7572A9-3011-104B-9CAA-59F51969284F}"/>
    <hyperlink ref="R395" r:id="rId2041" xr:uid="{554400FD-AA70-AE47-B342-C798DFB6426B}"/>
    <hyperlink ref="R645" r:id="rId2042" xr:uid="{614350E6-5BD8-A841-8D4C-BC6C89729F14}"/>
    <hyperlink ref="R646" r:id="rId2043" xr:uid="{61C6DCC6-01DD-8B4E-A13B-540678B1FA9B}"/>
    <hyperlink ref="R396" r:id="rId2044" xr:uid="{D35752A1-ED83-5041-8C5A-B80AE8D3865F}"/>
    <hyperlink ref="R504" r:id="rId2045" xr:uid="{E1B6ED5C-FCAB-8A4B-B780-F27CA6F476E6}"/>
    <hyperlink ref="R479" r:id="rId2046" xr:uid="{E8096279-7A39-8243-A613-318140279279}"/>
    <hyperlink ref="R397" r:id="rId2047" xr:uid="{10F7C615-E871-E04B-A794-EE2B7B550885}"/>
    <hyperlink ref="R398" r:id="rId2048" xr:uid="{BFB0C89A-33CC-B64F-9EC6-B9C6FCED5500}"/>
    <hyperlink ref="R448" r:id="rId2049" xr:uid="{365244ED-9E0B-CC45-A58F-7B6962054DB1}"/>
    <hyperlink ref="R505" r:id="rId2050" xr:uid="{B3F3EAE6-EF44-0841-A37E-CEB1261A1A42}"/>
    <hyperlink ref="R449" r:id="rId2051" xr:uid="{2BEB5FA6-B40E-E74F-817A-21CF2C409718}"/>
    <hyperlink ref="R549" r:id="rId2052" xr:uid="{47EFEF94-8D3C-8C4A-9811-406B5AFFAAE1}"/>
    <hyperlink ref="R550" r:id="rId2053" xr:uid="{6B899250-537D-FF44-821E-CF7D85C541AD}"/>
    <hyperlink ref="R600" r:id="rId2054" xr:uid="{46E50523-ED14-8446-ABFF-A9D0771F1804}"/>
    <hyperlink ref="R601" r:id="rId2055" xr:uid="{EC64FDF5-61BD-E845-A50A-A01D6DC5E7C0}"/>
    <hyperlink ref="R531" r:id="rId2056" xr:uid="{E7753FE3-1230-BA4F-84DF-923CFFBF2493}"/>
    <hyperlink ref="R575" r:id="rId2057" xr:uid="{59253206-3CEE-6A44-A100-E32DC4899A47}"/>
    <hyperlink ref="R551" r:id="rId2058" xr:uid="{E07BF4BF-7377-AB41-8BB9-8BD15C609E07}"/>
    <hyperlink ref="R602" r:id="rId2059" xr:uid="{91475E10-9D63-D94A-9628-892930D14BB5}"/>
    <hyperlink ref="R428" r:id="rId2060" xr:uid="{D417D7EF-1464-3E47-83CC-BC3B28CA6568}"/>
    <hyperlink ref="R429" r:id="rId2061" xr:uid="{0FEB2E0F-61B6-E849-B964-3FB5956CB0E5}"/>
    <hyperlink ref="R430" r:id="rId2062" xr:uid="{F410BCC4-7C99-D640-A625-3AAA2D032BED}"/>
    <hyperlink ref="R1530" r:id="rId2063" xr:uid="{396E6ECB-CA80-0444-8AF3-9BA62F669702}"/>
    <hyperlink ref="R1528" r:id="rId2064" xr:uid="{6D6E2FBB-ADDC-8B42-A570-CB2856D5CC47}"/>
    <hyperlink ref="R1390" r:id="rId2065" xr:uid="{3510D60E-8F2B-704F-A57C-74904C0B6921}"/>
    <hyperlink ref="R1492" r:id="rId2066" xr:uid="{26F66AA7-0E58-1D4B-A767-1F36FAE21CF8}"/>
    <hyperlink ref="R705" r:id="rId2067" xr:uid="{5E06F545-6668-C142-B11E-0EA3000495CD}"/>
    <hyperlink ref="R1157" r:id="rId2068" xr:uid="{1539E8EB-BC83-154A-9E34-186FC5CDEDAD}"/>
    <hyperlink ref="R576" r:id="rId2069" xr:uid="{5DD5C51B-5A35-044C-9A1C-9A5F03EC3B11}"/>
    <hyperlink ref="R577" r:id="rId2070" xr:uid="{B90A3046-B9CD-7B43-B586-F16C3B897424}"/>
    <hyperlink ref="R450" r:id="rId2071" xr:uid="{93CB860B-1B51-0148-BC03-8558ADA4F039}"/>
    <hyperlink ref="R451" r:id="rId2072" xr:uid="{0CA053F0-7FF8-8043-A55A-AB4FFF60DD39}"/>
    <hyperlink ref="R552" r:id="rId2073" xr:uid="{AF863862-D762-DC44-A5FE-DB2CF8847187}"/>
    <hyperlink ref="R452" r:id="rId2074" xr:uid="{27A110A7-45D8-134B-9F9F-79C8AC56865E}"/>
    <hyperlink ref="R553" r:id="rId2075" xr:uid="{B27A7BCF-3AC4-514B-94D9-D6E58F378CAD}"/>
    <hyperlink ref="R554" r:id="rId2076" xr:uid="{B9CF3E77-CF1C-E246-B2E1-2B7769AEF53A}"/>
    <hyperlink ref="R555" r:id="rId2077" xr:uid="{5EDA2800-4CC3-F34B-809D-30889617E58B}"/>
    <hyperlink ref="R556" r:id="rId2078" xr:uid="{95F94914-BB47-C64E-A565-163C9CA79F91}"/>
    <hyperlink ref="R453" r:id="rId2079" xr:uid="{ED8B864D-5D45-E543-8163-EE8EA71DC17F}"/>
    <hyperlink ref="R557" r:id="rId2080" xr:uid="{2B49E300-5C24-CC4E-9189-95B6D49C86C8}"/>
    <hyperlink ref="R558" r:id="rId2081" xr:uid="{E5F8DBA9-60BF-3547-B5F2-ACDF34114314}"/>
    <hyperlink ref="R647" r:id="rId2082" xr:uid="{D4A81165-8153-7F43-ACFE-ED8129552D3D}"/>
    <hyperlink ref="R399" r:id="rId2083" xr:uid="{B43539FE-3AC3-8743-B09A-2DB139CA8551}"/>
    <hyperlink ref="R578" r:id="rId2084" xr:uid="{18FA687C-AC99-B44F-9C64-379ABE3C32D1}"/>
    <hyperlink ref="R400" r:id="rId2085" xr:uid="{53FB46B4-4B78-044C-B677-E967971CABC5}"/>
    <hyperlink ref="R603" r:id="rId2086" xr:uid="{C4B876AD-CD25-C447-A958-78E8351CE056}"/>
    <hyperlink ref="R506" r:id="rId2087" xr:uid="{95F0F17B-96DC-A340-BBA1-8B72A25B75E9}"/>
    <hyperlink ref="R431" r:id="rId2088" xr:uid="{071F5930-0DE0-8343-AA90-E96441238A91}"/>
    <hyperlink ref="R2062" r:id="rId2089" display="https://theglobaljukebox.org/" xr:uid="{87AB7550-864E-BE47-967E-2FAFC8E1CD23}"/>
    <hyperlink ref="R2120" r:id="rId2090" display="https://theglobaljukebox.org/" xr:uid="{169F11D8-830C-3144-BA6B-D4842282EA00}"/>
    <hyperlink ref="R192" r:id="rId2091" xr:uid="{3AEA1829-F043-DC46-9353-3DC7BF1EE952}"/>
    <hyperlink ref="R1388" r:id="rId2092" xr:uid="{D66741A2-EC2D-114E-9E53-80359B3122D6}"/>
    <hyperlink ref="R1385" r:id="rId2093" xr:uid="{3AF3E0EA-40A2-F148-9272-D548001D1AFF}"/>
    <hyperlink ref="R524" r:id="rId2094" xr:uid="{65E17A71-FD4F-7D49-919E-EA1D987D194A}"/>
    <hyperlink ref="R604" r:id="rId2095" xr:uid="{2162D5FC-A82E-ED49-A8CF-A921973A2D99}"/>
    <hyperlink ref="R525" r:id="rId2096" xr:uid="{227372D2-35D3-9B45-B131-CB9AAA8C21E6}"/>
    <hyperlink ref="R579" r:id="rId2097" xr:uid="{F8E9B08B-BF53-464E-B3A6-43B4C9DE7D4E}"/>
    <hyperlink ref="R580" r:id="rId2098" xr:uid="{88ED6710-1FA2-2A4A-B5D3-F5E4DAEEF001}"/>
    <hyperlink ref="R432" r:id="rId2099" xr:uid="{FCA23833-B328-604A-8FF2-B8BAAC49E5AE}"/>
    <hyperlink ref="R648" r:id="rId2100" xr:uid="{1F3976CB-CC42-F747-88B6-FD896AA24ADC}"/>
    <hyperlink ref="R507" r:id="rId2101" xr:uid="{6C52DD07-64B5-8A40-9DCD-E46CBE8895CB}"/>
    <hyperlink ref="R581" r:id="rId2102" xr:uid="{7F0FD355-F6B8-0846-BCE4-71CF5488859C}"/>
    <hyperlink ref="R605" r:id="rId2103" xr:uid="{F426AF64-5B99-784E-92A5-1B321E690B6C}"/>
    <hyperlink ref="R606" r:id="rId2104" xr:uid="{39B00711-6598-0B4B-A5EE-0D963E74CAE7}"/>
    <hyperlink ref="R607" r:id="rId2105" xr:uid="{CB555D0A-F688-524A-BF84-B685571D66E4}"/>
    <hyperlink ref="R608" r:id="rId2106" xr:uid="{A4EA999A-5FAA-4E46-A325-3FC456C363A1}"/>
    <hyperlink ref="R609" r:id="rId2107" xr:uid="{A70C19F9-8857-6045-AF63-78EAF40B5789}"/>
    <hyperlink ref="R649" r:id="rId2108" xr:uid="{D08B918C-3C71-9D4C-84BD-6CAD20520FC3}"/>
    <hyperlink ref="R1169" r:id="rId2109" xr:uid="{104D6E95-2B16-B945-8564-1541A97F48A9}"/>
    <hyperlink ref="R1170" r:id="rId2110" xr:uid="{F4518374-D7AF-A746-9810-226563E55D81}"/>
    <hyperlink ref="R1171" r:id="rId2111" xr:uid="{0E574CE7-C629-4F48-BA25-E583987C81FF}"/>
    <hyperlink ref="R986" r:id="rId2112" xr:uid="{E2FAB5EC-6AEF-C342-89C1-2E041CF5E8C2}"/>
    <hyperlink ref="R1267" r:id="rId2113" xr:uid="{1A2B1790-13E1-1240-93BF-F5C41769C3D8}"/>
    <hyperlink ref="R987" r:id="rId2114" xr:uid="{FC687CA5-9409-6248-BCC9-23AE3EC94EE0}"/>
    <hyperlink ref="R1924" r:id="rId2115" xr:uid="{C0974606-3566-9042-83AF-507817EE2A20}"/>
    <hyperlink ref="R1925" r:id="rId2116" xr:uid="{75D7CB4C-AEC9-FF43-B2DB-6AD3999CA4C9}"/>
    <hyperlink ref="R1926" r:id="rId2117" xr:uid="{88781EA8-AE09-AF4B-BA04-F342810E3A2A}"/>
    <hyperlink ref="R1026" r:id="rId2118" xr:uid="{9DCF0974-2A2E-0F4D-9E14-FED706CDDA6D}"/>
    <hyperlink ref="R191" r:id="rId2119" xr:uid="{F2EAA39B-6173-4A4E-9D9B-A639656E9306}"/>
    <hyperlink ref="R1467" r:id="rId2120" xr:uid="{D57FEC1B-36EA-A846-9A01-A9532113FBB4}"/>
    <hyperlink ref="R766" r:id="rId2121" xr:uid="{916D5B66-638C-4F4F-B246-6EF93233988B}"/>
    <hyperlink ref="R1468" r:id="rId2122" xr:uid="{E57A1E0F-51FB-4545-9EA6-AB337D99F92B}"/>
    <hyperlink ref="R730" r:id="rId2123" xr:uid="{BD82C1E9-7044-4845-ADEC-3978C75E0E85}"/>
    <hyperlink ref="R193" r:id="rId2124" xr:uid="{2FBD71A1-6A3C-9148-8B43-0FB83F218F5B}"/>
    <hyperlink ref="R1985" r:id="rId2125" xr:uid="{98402E99-390F-CE41-A805-B44A32BA92E2}"/>
    <hyperlink ref="R1949" r:id="rId2126" xr:uid="{C9DFC007-B03A-DE47-AC89-DDA0D2504B77}"/>
    <hyperlink ref="R2088" r:id="rId2127" xr:uid="{A18D53FA-9B2C-7240-B39A-A70CDF5D4E2C}"/>
    <hyperlink ref="R676" r:id="rId2128" xr:uid="{29DB08E7-CC08-7F44-8F61-0C97ED674369}"/>
    <hyperlink ref="AD676" r:id="rId2129" display="https://catalog.loc.gov/vwebv/search?searchCode=LCCN&amp;searchArg=2011655378&amp;searchType=1&amp;permalink=y" xr:uid="{A70244E3-89F1-DA44-B7D8-5C68056DF5B8}"/>
    <hyperlink ref="R1153" r:id="rId2130" xr:uid="{98D7B8F7-9C9E-944D-82EE-DA239752E949}"/>
    <hyperlink ref="R1154" r:id="rId2131" xr:uid="{CAA83D8F-FCC7-E740-9CEB-9838213D617A}"/>
    <hyperlink ref="R1155" r:id="rId2132" xr:uid="{80417072-EA69-A74C-9AE4-56F969910711}"/>
    <hyperlink ref="R1156" r:id="rId2133" xr:uid="{631E7A1B-5D49-AB4F-B5CD-F508A9A30655}"/>
    <hyperlink ref="R1077" r:id="rId2134" xr:uid="{6DC5917E-FD3A-4349-A53A-35FDED1C1456}"/>
    <hyperlink ref="R1965" r:id="rId2135" xr:uid="{BD0A7894-5531-8941-8DA6-13A51310DB2C}"/>
    <hyperlink ref="R1972" r:id="rId2136" xr:uid="{867FBBF4-43E0-6149-B9AE-41B844E85637}"/>
    <hyperlink ref="R1954" r:id="rId2137" xr:uid="{6D681E77-5918-4443-AB95-2CF10219B11F}"/>
    <hyperlink ref="R1955" r:id="rId2138" xr:uid="{C8243B36-88D7-DC4F-A175-0656E2F0FAC7}"/>
    <hyperlink ref="R2129" r:id="rId2139" xr:uid="{31782310-3038-C346-8231-EFE7A37872E1}"/>
    <hyperlink ref="R1470" r:id="rId2140" xr:uid="{9697BF9C-F876-EF44-9FFD-76D53064C8F1}"/>
    <hyperlink ref="R767" r:id="rId2141" xr:uid="{0AE460A6-F163-3C4D-B2F3-997DCDC4251F}"/>
    <hyperlink ref="R768" r:id="rId2142" xr:uid="{510BE008-6B22-114F-913A-0191A98A1844}"/>
    <hyperlink ref="R769" r:id="rId2143" xr:uid="{E9154FC2-C8A2-E34F-A2C8-10934E9AF1D9}"/>
    <hyperlink ref="R2126" r:id="rId2144" xr:uid="{6EFCEB78-78F3-9041-ADC0-EB4200D714C6}"/>
    <hyperlink ref="R2127" r:id="rId2145" xr:uid="{E05CC365-DBD6-0E4A-A415-E05D39820B35}"/>
    <hyperlink ref="R2128" r:id="rId2146" xr:uid="{93817C3B-CBE3-F544-AED6-E7C050A42664}"/>
    <hyperlink ref="R1135" r:id="rId2147" xr:uid="{82D95A4B-73C2-E44A-A949-9DB8B703A21B}"/>
    <hyperlink ref="R1136" r:id="rId2148" xr:uid="{0058B399-4101-8F49-A9B7-80A2FC26A429}"/>
    <hyperlink ref="R1137" r:id="rId2149" xr:uid="{139DED75-3BA9-D243-97E1-31AB0A950F34}"/>
    <hyperlink ref="R1204" r:id="rId2150" xr:uid="{2A2DAAB6-0D16-BD40-9BB1-E5E93AE4E87E}"/>
    <hyperlink ref="R1205" r:id="rId2151" xr:uid="{A603212D-08B0-4249-90A5-BE23ADFD1D20}"/>
    <hyperlink ref="R1206" r:id="rId2152" xr:uid="{0454A40A-1E91-E340-8D5F-25C37F1484DD}"/>
    <hyperlink ref="R954" r:id="rId2153" xr:uid="{1B8B1EA3-BEAE-1B4C-B2E3-B0E0DA0A9A82}"/>
    <hyperlink ref="R955" r:id="rId2154" xr:uid="{333D8891-4BB2-4541-9D1B-F220CD1284B1}"/>
    <hyperlink ref="R1607" r:id="rId2155" xr:uid="{9E542F1E-95DA-DE44-B25E-0A0C676AAF35}"/>
    <hyperlink ref="R1608" r:id="rId2156" xr:uid="{1ABD9DF2-575C-EF44-B6A3-B0A15865829E}"/>
    <hyperlink ref="R1611" r:id="rId2157" xr:uid="{F3D8B25F-4ED9-A441-9B70-8DB24EA37159}"/>
    <hyperlink ref="R1095" r:id="rId2158" xr:uid="{D493098C-9A96-284F-A319-202839456076}"/>
    <hyperlink ref="R678" r:id="rId2159" xr:uid="{FC5DC010-E3A6-E24D-A451-CB7ACC36A8DE}"/>
    <hyperlink ref="R136" r:id="rId2160" xr:uid="{F02F9E17-1A73-3743-AA9F-2A6D2C75EAB1}"/>
    <hyperlink ref="R1457" r:id="rId2161" xr:uid="{6251ED2A-CB33-D942-B8EB-EAAFC9480D20}"/>
    <hyperlink ref="R1458" r:id="rId2162" xr:uid="{D4940875-02B3-3F48-9615-053E7AF7F47B}"/>
    <hyperlink ref="R1459" r:id="rId2163" xr:uid="{2720FDB6-BA53-A74A-A1E0-5CF8C69B63AA}"/>
    <hyperlink ref="R1996" r:id="rId2164" xr:uid="{A697CA29-757D-2E4E-BFC0-09729E213EE5}"/>
    <hyperlink ref="R1997" r:id="rId2165" xr:uid="{10644BED-F8E7-C34A-82C6-7ED2A645DF6B}"/>
    <hyperlink ref="R1998" r:id="rId2166" xr:uid="{864FD112-E113-C745-87FE-A65960E33DA0}"/>
    <hyperlink ref="R2000" r:id="rId2167" xr:uid="{9056AA3F-6E4B-F941-A88F-03B7C08FE92E}"/>
    <hyperlink ref="R2001" r:id="rId2168" xr:uid="{FC964B83-8072-CC40-A55D-F315ED39EE1C}"/>
    <hyperlink ref="R1684" r:id="rId2169" xr:uid="{A9C1FFF5-6B5D-EC4C-9834-27F08E8C1EDC}"/>
    <hyperlink ref="R1857" r:id="rId2170" xr:uid="{C4C088FE-6E54-A847-BC85-6C05BE1D4230}"/>
    <hyperlink ref="R1870" r:id="rId2171" xr:uid="{6E3ECD8C-DAB7-7B43-808C-DAE3607C98BE}"/>
    <hyperlink ref="R1871" r:id="rId2172" xr:uid="{1CA5DA22-B01C-8441-8E35-CAF7539998D4}"/>
    <hyperlink ref="R1209" r:id="rId2173" xr:uid="{8789374B-3195-F942-8281-9BBC9B379C12}"/>
    <hyperlink ref="R1178" r:id="rId2174" xr:uid="{C97FC5E2-DBBD-FF40-9EE5-E259FCE97F22}"/>
    <hyperlink ref="R1061" r:id="rId2175" xr:uid="{62B76A6A-2313-0D40-BA2A-E813D44EBF11}"/>
    <hyperlink ref="R1101" r:id="rId2176" xr:uid="{6D2B192D-224E-044D-A345-E73C8651835C}"/>
    <hyperlink ref="R1179" r:id="rId2177" xr:uid="{9FC8F800-2821-C74B-9B40-8C3052065B5C}"/>
    <hyperlink ref="R1210" r:id="rId2178" xr:uid="{370644EF-7EAE-4240-B5A0-248586EB5B5C}"/>
    <hyperlink ref="R1451" r:id="rId2179" xr:uid="{6945831E-DDBB-624F-950F-93949C052F58}"/>
    <hyperlink ref="R139" r:id="rId2180" xr:uid="{C742F12E-F5BF-534B-80F7-E5D4DEC92563}"/>
    <hyperlink ref="R148" r:id="rId2181" xr:uid="{FCEEAE45-240D-C14E-A2C6-11465266B9CE}"/>
    <hyperlink ref="R1764" r:id="rId2182" xr:uid="{184C4F7D-2A01-5743-93A8-AF75DD047105}"/>
    <hyperlink ref="R1278" r:id="rId2183" xr:uid="{491279E2-098B-E049-87BB-CB9086E2641E}"/>
    <hyperlink ref="R680" r:id="rId2184" xr:uid="{EC700AEA-99C2-5F4C-80D5-4E9D14658B12}"/>
    <hyperlink ref="R1062" r:id="rId2185" xr:uid="{87796964-3D89-AD44-929E-893A8CCAF80B}"/>
    <hyperlink ref="R681" r:id="rId2186" xr:uid="{806D8856-B672-6A4F-9336-E9389BA88367}"/>
    <hyperlink ref="R682" r:id="rId2187" xr:uid="{E2D46C2C-2BDB-5445-A65C-5324650869C6}"/>
    <hyperlink ref="R913" r:id="rId2188" xr:uid="{6B54EB78-66C5-A44B-85F7-C3E4127A1678}"/>
    <hyperlink ref="R690" r:id="rId2189" xr:uid="{D0083101-AC0C-3F4E-9A8E-267E2F604F1D}"/>
    <hyperlink ref="R700" r:id="rId2190" xr:uid="{0B2E2297-3E88-FA46-AC19-3A89243C97C1}"/>
    <hyperlink ref="R1145" r:id="rId2191" xr:uid="{3ABDD8E0-5DAD-9545-9D86-9DFF3714699D}"/>
    <hyperlink ref="R701" r:id="rId2192" xr:uid="{30474E6C-8E33-9748-AD52-1012F9F9F186}"/>
    <hyperlink ref="R702" r:id="rId2193" xr:uid="{3C984D5D-E773-AA49-9136-7C1F3B6103A4}"/>
    <hyperlink ref="R691" r:id="rId2194" xr:uid="{B7707F3D-4073-2247-8C5D-018C06787F05}"/>
    <hyperlink ref="R683" r:id="rId2195" xr:uid="{87E64853-8DBC-D14A-8334-667D562CC5BF}"/>
    <hyperlink ref="R684" r:id="rId2196" xr:uid="{36CC8EA7-0F17-4B40-B5E0-B7593445B700}"/>
    <hyperlink ref="R692" r:id="rId2197" xr:uid="{C0EB20A9-DA21-D349-A62F-18E737E912FA}"/>
    <hyperlink ref="R999" r:id="rId2198" xr:uid="{233B7A5A-7D22-8945-84EB-FA7C6491CB4B}"/>
    <hyperlink ref="R1453" r:id="rId2199" xr:uid="{919BE8D7-7896-8A49-8520-C282EF032AE6}"/>
    <hyperlink ref="R1454" r:id="rId2200" xr:uid="{362EA09B-F5D9-D242-8B88-EE42EC211D63}"/>
    <hyperlink ref="R1455" r:id="rId2201" xr:uid="{A757C8D3-7C40-FF49-BFF5-DB89C0329F99}"/>
    <hyperlink ref="R756" r:id="rId2202" xr:uid="{1238C0E7-987D-4B43-A8B9-8ADFB122BFE5}"/>
    <hyperlink ref="R757" r:id="rId2203" xr:uid="{2809523B-307B-4C43-BBB4-262C8DC20BB8}"/>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CD03A3-190F-154C-8913-CAEC2F4299D3}">
  <dimension ref="A1:O24439"/>
  <sheetViews>
    <sheetView workbookViewId="0"/>
  </sheetViews>
  <sheetFormatPr baseColWidth="10" defaultRowHeight="16"/>
  <sheetData>
    <row r="1" spans="1:15">
      <c r="A1" t="s">
        <v>11591</v>
      </c>
      <c r="B1" t="s">
        <v>11592</v>
      </c>
      <c r="C1" t="s">
        <v>11593</v>
      </c>
      <c r="D1" t="s">
        <v>11594</v>
      </c>
      <c r="E1" t="s">
        <v>11595</v>
      </c>
      <c r="F1" t="s">
        <v>11596</v>
      </c>
      <c r="G1" t="s">
        <v>11597</v>
      </c>
      <c r="H1" t="s">
        <v>11598</v>
      </c>
      <c r="I1" t="s">
        <v>11599</v>
      </c>
      <c r="J1" t="s">
        <v>11600</v>
      </c>
      <c r="K1" t="s">
        <v>11601</v>
      </c>
      <c r="L1" t="s">
        <v>11602</v>
      </c>
      <c r="M1" t="s">
        <v>11603</v>
      </c>
      <c r="N1" t="s">
        <v>11604</v>
      </c>
      <c r="O1" t="s">
        <v>11605</v>
      </c>
    </row>
    <row r="2" spans="1:15">
      <c r="A2" t="s">
        <v>11606</v>
      </c>
      <c r="B2" t="s">
        <v>11607</v>
      </c>
      <c r="C2" t="s">
        <v>11608</v>
      </c>
      <c r="D2" t="s">
        <v>11609</v>
      </c>
      <c r="E2" t="b">
        <v>0</v>
      </c>
      <c r="F2" t="s">
        <v>11610</v>
      </c>
      <c r="L2">
        <v>0</v>
      </c>
      <c r="M2">
        <v>0</v>
      </c>
      <c r="N2">
        <v>0</v>
      </c>
    </row>
    <row r="3" spans="1:15">
      <c r="A3" t="s">
        <v>11611</v>
      </c>
      <c r="B3" t="s">
        <v>367</v>
      </c>
      <c r="C3" t="s">
        <v>11612</v>
      </c>
      <c r="D3" t="s">
        <v>11613</v>
      </c>
      <c r="E3" t="b">
        <v>0</v>
      </c>
      <c r="F3" t="s">
        <v>11610</v>
      </c>
      <c r="L3">
        <v>0</v>
      </c>
      <c r="M3">
        <v>0</v>
      </c>
      <c r="N3">
        <v>0</v>
      </c>
    </row>
    <row r="4" spans="1:15">
      <c r="A4" t="s">
        <v>11614</v>
      </c>
      <c r="B4" t="s">
        <v>11615</v>
      </c>
      <c r="C4" t="s">
        <v>11616</v>
      </c>
      <c r="D4" t="s">
        <v>11617</v>
      </c>
      <c r="E4" t="b">
        <v>0</v>
      </c>
      <c r="F4" t="s">
        <v>11610</v>
      </c>
      <c r="L4">
        <v>0</v>
      </c>
      <c r="M4">
        <v>0</v>
      </c>
      <c r="N4">
        <v>0</v>
      </c>
    </row>
    <row r="5" spans="1:15">
      <c r="A5" t="s">
        <v>11618</v>
      </c>
      <c r="B5" t="s">
        <v>11619</v>
      </c>
      <c r="C5" t="s">
        <v>11620</v>
      </c>
      <c r="D5" t="s">
        <v>11621</v>
      </c>
      <c r="E5" t="b">
        <v>0</v>
      </c>
      <c r="F5" t="s">
        <v>11622</v>
      </c>
      <c r="I5" t="s">
        <v>11623</v>
      </c>
      <c r="L5">
        <v>0</v>
      </c>
      <c r="M5">
        <v>2</v>
      </c>
      <c r="N5">
        <v>0</v>
      </c>
    </row>
    <row r="6" spans="1:15">
      <c r="A6" t="s">
        <v>1763</v>
      </c>
      <c r="B6" t="s">
        <v>11619</v>
      </c>
      <c r="C6" t="s">
        <v>11618</v>
      </c>
      <c r="D6" t="s">
        <v>1762</v>
      </c>
      <c r="E6" t="b">
        <v>0</v>
      </c>
      <c r="F6" t="s">
        <v>11624</v>
      </c>
      <c r="G6">
        <v>5.9503399999999997</v>
      </c>
      <c r="H6">
        <v>36.572099999999999</v>
      </c>
      <c r="I6" t="s">
        <v>1764</v>
      </c>
      <c r="L6">
        <v>0</v>
      </c>
      <c r="M6">
        <v>0</v>
      </c>
      <c r="N6">
        <v>0</v>
      </c>
      <c r="O6" t="s">
        <v>11625</v>
      </c>
    </row>
    <row r="7" spans="1:15">
      <c r="A7" t="s">
        <v>11626</v>
      </c>
      <c r="B7" t="s">
        <v>11627</v>
      </c>
      <c r="C7" t="s">
        <v>11627</v>
      </c>
      <c r="D7" t="s">
        <v>11628</v>
      </c>
      <c r="E7" t="b">
        <v>1</v>
      </c>
      <c r="F7" t="s">
        <v>11624</v>
      </c>
      <c r="I7" t="s">
        <v>11629</v>
      </c>
      <c r="L7">
        <v>0</v>
      </c>
      <c r="M7">
        <v>0</v>
      </c>
      <c r="N7">
        <v>0</v>
      </c>
      <c r="O7" t="s">
        <v>11630</v>
      </c>
    </row>
    <row r="8" spans="1:15">
      <c r="A8" t="s">
        <v>11631</v>
      </c>
      <c r="B8" t="s">
        <v>11607</v>
      </c>
      <c r="C8" t="s">
        <v>11632</v>
      </c>
      <c r="D8" t="s">
        <v>11633</v>
      </c>
      <c r="E8" t="b">
        <v>0</v>
      </c>
      <c r="F8" t="s">
        <v>11624</v>
      </c>
      <c r="G8">
        <v>-4.0067899999999996</v>
      </c>
      <c r="H8">
        <v>36.864800000000002</v>
      </c>
      <c r="I8" t="s">
        <v>11634</v>
      </c>
      <c r="L8">
        <v>0</v>
      </c>
      <c r="M8">
        <v>0</v>
      </c>
      <c r="N8">
        <v>0</v>
      </c>
      <c r="O8" t="s">
        <v>11635</v>
      </c>
    </row>
    <row r="9" spans="1:15">
      <c r="A9" t="s">
        <v>11636</v>
      </c>
      <c r="B9" t="s">
        <v>11637</v>
      </c>
      <c r="C9" t="s">
        <v>11638</v>
      </c>
      <c r="D9" t="s">
        <v>11639</v>
      </c>
      <c r="E9" t="b">
        <v>0</v>
      </c>
      <c r="F9" t="s">
        <v>11610</v>
      </c>
      <c r="L9">
        <v>0</v>
      </c>
      <c r="M9">
        <v>0</v>
      </c>
      <c r="N9">
        <v>0</v>
      </c>
    </row>
    <row r="10" spans="1:15">
      <c r="A10" t="s">
        <v>11640</v>
      </c>
      <c r="B10" t="s">
        <v>11615</v>
      </c>
      <c r="C10" t="s">
        <v>11641</v>
      </c>
      <c r="D10" t="s">
        <v>11642</v>
      </c>
      <c r="E10" t="b">
        <v>0</v>
      </c>
      <c r="F10" t="s">
        <v>11610</v>
      </c>
      <c r="L10">
        <v>0</v>
      </c>
      <c r="M10">
        <v>0</v>
      </c>
      <c r="N10">
        <v>0</v>
      </c>
    </row>
    <row r="11" spans="1:15">
      <c r="A11" t="s">
        <v>11643</v>
      </c>
      <c r="B11" t="s">
        <v>11644</v>
      </c>
      <c r="C11" t="s">
        <v>11645</v>
      </c>
      <c r="D11" t="s">
        <v>11646</v>
      </c>
      <c r="E11" t="b">
        <v>0</v>
      </c>
      <c r="F11" t="s">
        <v>11610</v>
      </c>
      <c r="L11">
        <v>0</v>
      </c>
      <c r="M11">
        <v>0</v>
      </c>
      <c r="N11">
        <v>0</v>
      </c>
    </row>
    <row r="12" spans="1:15">
      <c r="A12" t="s">
        <v>11647</v>
      </c>
      <c r="B12" t="s">
        <v>11607</v>
      </c>
      <c r="C12" t="s">
        <v>11648</v>
      </c>
      <c r="D12" t="s">
        <v>11649</v>
      </c>
      <c r="E12" t="b">
        <v>0</v>
      </c>
      <c r="F12" t="s">
        <v>11610</v>
      </c>
      <c r="L12">
        <v>0</v>
      </c>
      <c r="M12">
        <v>0</v>
      </c>
      <c r="N12">
        <v>0</v>
      </c>
    </row>
    <row r="13" spans="1:15">
      <c r="A13" t="s">
        <v>11650</v>
      </c>
      <c r="B13" t="s">
        <v>6742</v>
      </c>
      <c r="C13" t="s">
        <v>500</v>
      </c>
      <c r="D13" t="s">
        <v>11651</v>
      </c>
      <c r="E13" t="b">
        <v>0</v>
      </c>
      <c r="F13" t="s">
        <v>11622</v>
      </c>
      <c r="L13">
        <v>13</v>
      </c>
      <c r="M13">
        <v>22</v>
      </c>
      <c r="N13">
        <v>29</v>
      </c>
    </row>
    <row r="14" spans="1:15">
      <c r="A14" t="s">
        <v>11652</v>
      </c>
      <c r="B14" t="s">
        <v>11653</v>
      </c>
      <c r="C14" t="s">
        <v>11654</v>
      </c>
      <c r="D14" t="s">
        <v>11655</v>
      </c>
      <c r="E14" t="b">
        <v>0</v>
      </c>
      <c r="F14" t="s">
        <v>11610</v>
      </c>
      <c r="L14">
        <v>0</v>
      </c>
      <c r="M14">
        <v>0</v>
      </c>
      <c r="N14">
        <v>0</v>
      </c>
    </row>
    <row r="15" spans="1:15">
      <c r="A15" t="s">
        <v>11656</v>
      </c>
      <c r="B15" t="s">
        <v>367</v>
      </c>
      <c r="C15" t="s">
        <v>11657</v>
      </c>
      <c r="D15" t="s">
        <v>11658</v>
      </c>
      <c r="E15" t="b">
        <v>0</v>
      </c>
      <c r="F15" t="s">
        <v>11624</v>
      </c>
      <c r="G15">
        <v>-9.0338899999999995</v>
      </c>
      <c r="H15">
        <v>146.99199999999999</v>
      </c>
      <c r="I15" t="s">
        <v>11659</v>
      </c>
      <c r="L15">
        <v>0</v>
      </c>
      <c r="M15">
        <v>0</v>
      </c>
      <c r="N15">
        <v>0</v>
      </c>
      <c r="O15" t="s">
        <v>11660</v>
      </c>
    </row>
    <row r="16" spans="1:15">
      <c r="A16" t="s">
        <v>11661</v>
      </c>
      <c r="B16" t="s">
        <v>11615</v>
      </c>
      <c r="C16" t="s">
        <v>11662</v>
      </c>
      <c r="D16" t="s">
        <v>11663</v>
      </c>
      <c r="E16" t="b">
        <v>0</v>
      </c>
      <c r="F16" t="s">
        <v>11624</v>
      </c>
      <c r="G16">
        <v>-6.1202800000000002</v>
      </c>
      <c r="H16">
        <v>145.66499999999999</v>
      </c>
      <c r="I16" t="s">
        <v>11664</v>
      </c>
      <c r="L16">
        <v>0</v>
      </c>
      <c r="M16">
        <v>0</v>
      </c>
      <c r="N16">
        <v>0</v>
      </c>
      <c r="O16" t="s">
        <v>11660</v>
      </c>
    </row>
    <row r="17" spans="1:15">
      <c r="A17" t="s">
        <v>11665</v>
      </c>
      <c r="B17" t="s">
        <v>367</v>
      </c>
      <c r="C17" t="s">
        <v>11666</v>
      </c>
      <c r="D17" t="s">
        <v>11667</v>
      </c>
      <c r="E17" t="b">
        <v>0</v>
      </c>
      <c r="F17" t="s">
        <v>11610</v>
      </c>
      <c r="L17">
        <v>0</v>
      </c>
      <c r="M17">
        <v>0</v>
      </c>
      <c r="N17">
        <v>0</v>
      </c>
    </row>
    <row r="18" spans="1:15">
      <c r="A18" t="s">
        <v>11668</v>
      </c>
      <c r="B18" t="s">
        <v>367</v>
      </c>
      <c r="C18" t="s">
        <v>11669</v>
      </c>
      <c r="D18" t="s">
        <v>11670</v>
      </c>
      <c r="E18" t="b">
        <v>0</v>
      </c>
      <c r="F18" t="s">
        <v>11624</v>
      </c>
      <c r="G18">
        <v>5.5539399999999999</v>
      </c>
      <c r="H18">
        <v>118.306</v>
      </c>
      <c r="I18" t="s">
        <v>11671</v>
      </c>
      <c r="L18">
        <v>0</v>
      </c>
      <c r="M18">
        <v>0</v>
      </c>
      <c r="N18">
        <v>0</v>
      </c>
      <c r="O18" t="s">
        <v>11672</v>
      </c>
    </row>
    <row r="19" spans="1:15">
      <c r="A19" t="s">
        <v>11673</v>
      </c>
      <c r="B19" t="s">
        <v>367</v>
      </c>
      <c r="C19" t="s">
        <v>11674</v>
      </c>
      <c r="D19" t="s">
        <v>11675</v>
      </c>
      <c r="E19" t="b">
        <v>0</v>
      </c>
      <c r="F19" t="s">
        <v>11624</v>
      </c>
      <c r="L19">
        <v>0</v>
      </c>
      <c r="M19">
        <v>0</v>
      </c>
      <c r="N19">
        <v>0</v>
      </c>
      <c r="O19" t="s">
        <v>11672</v>
      </c>
    </row>
    <row r="20" spans="1:15">
      <c r="A20" t="s">
        <v>11676</v>
      </c>
      <c r="B20" t="s">
        <v>6742</v>
      </c>
      <c r="C20" t="s">
        <v>11677</v>
      </c>
      <c r="D20" t="s">
        <v>11678</v>
      </c>
      <c r="E20" t="b">
        <v>0</v>
      </c>
      <c r="F20" t="s">
        <v>11610</v>
      </c>
      <c r="L20">
        <v>0</v>
      </c>
      <c r="M20">
        <v>0</v>
      </c>
      <c r="N20">
        <v>0</v>
      </c>
    </row>
    <row r="21" spans="1:15">
      <c r="A21" t="s">
        <v>11679</v>
      </c>
      <c r="B21" t="s">
        <v>367</v>
      </c>
      <c r="C21" t="s">
        <v>11680</v>
      </c>
      <c r="D21" t="s">
        <v>11681</v>
      </c>
      <c r="E21" t="b">
        <v>0</v>
      </c>
      <c r="F21" t="s">
        <v>11610</v>
      </c>
      <c r="L21">
        <v>0</v>
      </c>
      <c r="M21">
        <v>0</v>
      </c>
      <c r="N21">
        <v>0</v>
      </c>
    </row>
    <row r="22" spans="1:15">
      <c r="A22" t="s">
        <v>11682</v>
      </c>
      <c r="B22" t="s">
        <v>11683</v>
      </c>
      <c r="C22" t="s">
        <v>11683</v>
      </c>
      <c r="D22" t="s">
        <v>11684</v>
      </c>
      <c r="E22" t="b">
        <v>0</v>
      </c>
      <c r="F22" t="s">
        <v>11610</v>
      </c>
      <c r="L22">
        <v>0</v>
      </c>
      <c r="M22">
        <v>0</v>
      </c>
      <c r="N22">
        <v>0</v>
      </c>
    </row>
    <row r="23" spans="1:15">
      <c r="A23" t="s">
        <v>11685</v>
      </c>
      <c r="B23" t="s">
        <v>11686</v>
      </c>
      <c r="C23" t="s">
        <v>11687</v>
      </c>
      <c r="D23" t="s">
        <v>11688</v>
      </c>
      <c r="E23" t="b">
        <v>0</v>
      </c>
      <c r="F23" t="s">
        <v>11610</v>
      </c>
      <c r="L23">
        <v>0</v>
      </c>
      <c r="M23">
        <v>0</v>
      </c>
      <c r="N23">
        <v>0</v>
      </c>
    </row>
    <row r="24" spans="1:15">
      <c r="A24" t="s">
        <v>11689</v>
      </c>
      <c r="B24" t="s">
        <v>6742</v>
      </c>
      <c r="C24" t="s">
        <v>11690</v>
      </c>
      <c r="D24" t="s">
        <v>11691</v>
      </c>
      <c r="E24" t="b">
        <v>0</v>
      </c>
      <c r="F24" t="s">
        <v>11624</v>
      </c>
      <c r="G24">
        <v>6.30619</v>
      </c>
      <c r="H24">
        <v>8.6305499999999995</v>
      </c>
      <c r="I24" t="s">
        <v>11692</v>
      </c>
      <c r="L24">
        <v>0</v>
      </c>
      <c r="M24">
        <v>0</v>
      </c>
      <c r="N24">
        <v>0</v>
      </c>
      <c r="O24" t="s">
        <v>11693</v>
      </c>
    </row>
    <row r="25" spans="1:15">
      <c r="A25" t="s">
        <v>11694</v>
      </c>
      <c r="B25" t="s">
        <v>141</v>
      </c>
      <c r="C25" t="s">
        <v>11695</v>
      </c>
      <c r="D25" t="s">
        <v>11696</v>
      </c>
      <c r="E25" t="b">
        <v>0</v>
      </c>
      <c r="F25" t="s">
        <v>11610</v>
      </c>
      <c r="L25">
        <v>0</v>
      </c>
      <c r="M25">
        <v>0</v>
      </c>
      <c r="N25">
        <v>0</v>
      </c>
    </row>
    <row r="26" spans="1:15">
      <c r="A26" t="s">
        <v>11690</v>
      </c>
      <c r="B26" t="s">
        <v>6742</v>
      </c>
      <c r="C26" t="s">
        <v>11697</v>
      </c>
      <c r="D26" t="s">
        <v>11698</v>
      </c>
      <c r="E26" t="b">
        <v>0</v>
      </c>
      <c r="F26" t="s">
        <v>11622</v>
      </c>
      <c r="L26">
        <v>0</v>
      </c>
      <c r="M26">
        <v>3</v>
      </c>
      <c r="N26">
        <v>0</v>
      </c>
    </row>
    <row r="27" spans="1:15">
      <c r="A27" t="s">
        <v>11699</v>
      </c>
      <c r="B27" t="s">
        <v>6742</v>
      </c>
      <c r="C27" t="s">
        <v>11700</v>
      </c>
      <c r="D27" t="s">
        <v>11701</v>
      </c>
      <c r="E27" t="b">
        <v>0</v>
      </c>
      <c r="F27" t="s">
        <v>11624</v>
      </c>
      <c r="G27">
        <v>6.5804999999999998</v>
      </c>
      <c r="H27">
        <v>10.226699999999999</v>
      </c>
      <c r="I27" t="s">
        <v>11702</v>
      </c>
      <c r="L27">
        <v>0</v>
      </c>
      <c r="M27">
        <v>0</v>
      </c>
      <c r="N27">
        <v>0</v>
      </c>
      <c r="O27" t="s">
        <v>11703</v>
      </c>
    </row>
    <row r="28" spans="1:15">
      <c r="A28" t="s">
        <v>11704</v>
      </c>
      <c r="B28" t="s">
        <v>11705</v>
      </c>
      <c r="C28" t="s">
        <v>11705</v>
      </c>
      <c r="D28" t="s">
        <v>11706</v>
      </c>
      <c r="E28" t="b">
        <v>0</v>
      </c>
      <c r="F28" t="s">
        <v>11624</v>
      </c>
      <c r="G28">
        <v>-3.9722200000000001</v>
      </c>
      <c r="H28">
        <v>141.32400000000001</v>
      </c>
      <c r="I28" t="s">
        <v>11707</v>
      </c>
      <c r="L28">
        <v>0</v>
      </c>
      <c r="M28">
        <v>0</v>
      </c>
      <c r="N28">
        <v>0</v>
      </c>
      <c r="O28" t="s">
        <v>11660</v>
      </c>
    </row>
    <row r="29" spans="1:15">
      <c r="A29" t="s">
        <v>11708</v>
      </c>
      <c r="B29" t="s">
        <v>6742</v>
      </c>
      <c r="C29" t="s">
        <v>11709</v>
      </c>
      <c r="D29" t="s">
        <v>11710</v>
      </c>
      <c r="E29" t="b">
        <v>0</v>
      </c>
      <c r="F29" t="s">
        <v>11610</v>
      </c>
      <c r="L29">
        <v>0</v>
      </c>
      <c r="M29">
        <v>0</v>
      </c>
      <c r="N29">
        <v>0</v>
      </c>
    </row>
    <row r="30" spans="1:15">
      <c r="A30" t="s">
        <v>11711</v>
      </c>
      <c r="B30" t="s">
        <v>6742</v>
      </c>
      <c r="C30" t="s">
        <v>11712</v>
      </c>
      <c r="D30" t="s">
        <v>11713</v>
      </c>
      <c r="E30" t="b">
        <v>0</v>
      </c>
      <c r="F30" t="s">
        <v>11610</v>
      </c>
      <c r="L30">
        <v>0</v>
      </c>
      <c r="M30">
        <v>0</v>
      </c>
      <c r="N30">
        <v>0</v>
      </c>
    </row>
    <row r="31" spans="1:15">
      <c r="A31" t="s">
        <v>11714</v>
      </c>
      <c r="B31" t="s">
        <v>11653</v>
      </c>
      <c r="C31" t="s">
        <v>11715</v>
      </c>
      <c r="D31" t="s">
        <v>11716</v>
      </c>
      <c r="E31" t="b">
        <v>0</v>
      </c>
      <c r="F31" t="s">
        <v>11624</v>
      </c>
      <c r="G31">
        <v>41.121400000000001</v>
      </c>
      <c r="H31">
        <v>42.7273</v>
      </c>
      <c r="I31" t="s">
        <v>11717</v>
      </c>
      <c r="L31">
        <v>0</v>
      </c>
      <c r="M31">
        <v>0</v>
      </c>
      <c r="N31">
        <v>3</v>
      </c>
      <c r="O31" t="s">
        <v>11718</v>
      </c>
    </row>
    <row r="32" spans="1:15">
      <c r="A32" t="s">
        <v>11719</v>
      </c>
      <c r="B32" t="s">
        <v>6742</v>
      </c>
      <c r="C32" t="s">
        <v>11720</v>
      </c>
      <c r="D32" t="s">
        <v>11721</v>
      </c>
      <c r="E32" t="b">
        <v>0</v>
      </c>
      <c r="F32" t="s">
        <v>11610</v>
      </c>
      <c r="L32">
        <v>0</v>
      </c>
      <c r="M32">
        <v>0</v>
      </c>
      <c r="N32">
        <v>0</v>
      </c>
    </row>
    <row r="33" spans="1:15">
      <c r="A33" t="s">
        <v>11722</v>
      </c>
      <c r="B33" t="s">
        <v>11637</v>
      </c>
      <c r="C33" t="s">
        <v>11723</v>
      </c>
      <c r="D33" t="s">
        <v>11724</v>
      </c>
      <c r="E33" t="b">
        <v>0</v>
      </c>
      <c r="F33" t="s">
        <v>11610</v>
      </c>
      <c r="L33">
        <v>0</v>
      </c>
      <c r="M33">
        <v>0</v>
      </c>
      <c r="N33">
        <v>0</v>
      </c>
    </row>
    <row r="34" spans="1:15">
      <c r="A34" t="s">
        <v>11725</v>
      </c>
      <c r="B34" t="s">
        <v>11607</v>
      </c>
      <c r="C34" t="s">
        <v>11726</v>
      </c>
      <c r="D34" t="s">
        <v>11727</v>
      </c>
      <c r="E34" t="b">
        <v>0</v>
      </c>
      <c r="F34" t="s">
        <v>11610</v>
      </c>
      <c r="L34">
        <v>0</v>
      </c>
      <c r="M34">
        <v>0</v>
      </c>
      <c r="N34">
        <v>0</v>
      </c>
    </row>
    <row r="35" spans="1:15">
      <c r="A35" t="s">
        <v>11728</v>
      </c>
      <c r="B35" t="s">
        <v>11729</v>
      </c>
      <c r="C35" t="s">
        <v>11730</v>
      </c>
      <c r="D35" t="s">
        <v>11731</v>
      </c>
      <c r="E35" t="b">
        <v>0</v>
      </c>
      <c r="F35" t="s">
        <v>11610</v>
      </c>
      <c r="L35">
        <v>0</v>
      </c>
      <c r="M35">
        <v>0</v>
      </c>
      <c r="N35">
        <v>0</v>
      </c>
    </row>
    <row r="36" spans="1:15">
      <c r="A36" t="s">
        <v>11720</v>
      </c>
      <c r="B36" t="s">
        <v>6742</v>
      </c>
      <c r="C36" t="s">
        <v>11732</v>
      </c>
      <c r="D36" t="s">
        <v>11733</v>
      </c>
      <c r="E36" t="b">
        <v>0</v>
      </c>
      <c r="F36" t="s">
        <v>11624</v>
      </c>
      <c r="G36">
        <v>5.5968200000000001</v>
      </c>
      <c r="H36">
        <v>-4.38497</v>
      </c>
      <c r="I36" t="s">
        <v>11734</v>
      </c>
      <c r="L36">
        <v>0</v>
      </c>
      <c r="M36">
        <v>0</v>
      </c>
      <c r="N36">
        <v>4</v>
      </c>
      <c r="O36" t="s">
        <v>11735</v>
      </c>
    </row>
    <row r="37" spans="1:15">
      <c r="A37" t="s">
        <v>11736</v>
      </c>
      <c r="B37" t="s">
        <v>6742</v>
      </c>
      <c r="C37" t="s">
        <v>11737</v>
      </c>
      <c r="D37" t="s">
        <v>11738</v>
      </c>
      <c r="E37" t="b">
        <v>0</v>
      </c>
      <c r="F37" t="s">
        <v>11610</v>
      </c>
      <c r="L37">
        <v>0</v>
      </c>
      <c r="M37">
        <v>0</v>
      </c>
      <c r="N37">
        <v>0</v>
      </c>
    </row>
    <row r="38" spans="1:15">
      <c r="A38" t="s">
        <v>11739</v>
      </c>
      <c r="B38" t="s">
        <v>367</v>
      </c>
      <c r="C38" t="s">
        <v>11740</v>
      </c>
      <c r="D38" t="s">
        <v>11741</v>
      </c>
      <c r="E38" t="b">
        <v>0</v>
      </c>
      <c r="F38" t="s">
        <v>11622</v>
      </c>
      <c r="L38">
        <v>0</v>
      </c>
      <c r="M38">
        <v>2</v>
      </c>
      <c r="N38">
        <v>2</v>
      </c>
    </row>
    <row r="39" spans="1:15">
      <c r="A39" t="s">
        <v>11742</v>
      </c>
      <c r="B39" t="s">
        <v>11644</v>
      </c>
      <c r="C39" t="s">
        <v>126</v>
      </c>
      <c r="D39" t="s">
        <v>11743</v>
      </c>
      <c r="E39" t="b">
        <v>0</v>
      </c>
      <c r="F39" t="s">
        <v>11610</v>
      </c>
      <c r="L39">
        <v>0</v>
      </c>
      <c r="M39">
        <v>0</v>
      </c>
      <c r="N39">
        <v>0</v>
      </c>
    </row>
    <row r="40" spans="1:15">
      <c r="A40" t="s">
        <v>11744</v>
      </c>
      <c r="B40" t="s">
        <v>11644</v>
      </c>
      <c r="C40" t="s">
        <v>126</v>
      </c>
      <c r="D40" t="s">
        <v>11745</v>
      </c>
      <c r="E40" t="b">
        <v>0</v>
      </c>
      <c r="F40" t="s">
        <v>11610</v>
      </c>
      <c r="L40">
        <v>0</v>
      </c>
      <c r="M40">
        <v>0</v>
      </c>
      <c r="N40">
        <v>0</v>
      </c>
    </row>
    <row r="41" spans="1:15">
      <c r="A41" t="s">
        <v>11746</v>
      </c>
      <c r="B41" t="s">
        <v>367</v>
      </c>
      <c r="C41" t="s">
        <v>11739</v>
      </c>
      <c r="D41" t="s">
        <v>11747</v>
      </c>
      <c r="E41" t="b">
        <v>0</v>
      </c>
      <c r="F41" t="s">
        <v>11624</v>
      </c>
      <c r="G41">
        <v>15.4131</v>
      </c>
      <c r="H41">
        <v>120.2</v>
      </c>
      <c r="I41" t="s">
        <v>11748</v>
      </c>
      <c r="L41">
        <v>0</v>
      </c>
      <c r="M41">
        <v>0</v>
      </c>
      <c r="N41">
        <v>0</v>
      </c>
      <c r="O41" t="s">
        <v>11749</v>
      </c>
    </row>
    <row r="42" spans="1:15">
      <c r="A42" t="s">
        <v>11750</v>
      </c>
      <c r="B42" t="s">
        <v>11607</v>
      </c>
      <c r="C42" t="s">
        <v>11751</v>
      </c>
      <c r="D42" t="s">
        <v>11752</v>
      </c>
      <c r="E42" t="b">
        <v>0</v>
      </c>
      <c r="F42" t="s">
        <v>11610</v>
      </c>
      <c r="L42">
        <v>0</v>
      </c>
      <c r="M42">
        <v>0</v>
      </c>
      <c r="N42">
        <v>0</v>
      </c>
    </row>
    <row r="43" spans="1:15">
      <c r="A43" t="s">
        <v>11753</v>
      </c>
      <c r="B43" t="s">
        <v>6742</v>
      </c>
      <c r="C43" t="s">
        <v>11732</v>
      </c>
      <c r="D43" t="s">
        <v>11754</v>
      </c>
      <c r="E43" t="b">
        <v>0</v>
      </c>
      <c r="F43" t="s">
        <v>11624</v>
      </c>
      <c r="G43">
        <v>5.6565599999999998</v>
      </c>
      <c r="H43">
        <v>-4.5842099999999997</v>
      </c>
      <c r="I43" t="s">
        <v>11755</v>
      </c>
      <c r="L43">
        <v>0</v>
      </c>
      <c r="M43">
        <v>0</v>
      </c>
      <c r="N43">
        <v>2</v>
      </c>
      <c r="O43" t="s">
        <v>11735</v>
      </c>
    </row>
    <row r="44" spans="1:15">
      <c r="A44" t="s">
        <v>11756</v>
      </c>
      <c r="B44" t="s">
        <v>11757</v>
      </c>
      <c r="C44" t="s">
        <v>3239</v>
      </c>
      <c r="D44" t="s">
        <v>11758</v>
      </c>
      <c r="E44" t="b">
        <v>0</v>
      </c>
      <c r="F44" t="s">
        <v>11610</v>
      </c>
      <c r="L44">
        <v>0</v>
      </c>
      <c r="M44">
        <v>0</v>
      </c>
      <c r="N44">
        <v>0</v>
      </c>
    </row>
    <row r="45" spans="1:15">
      <c r="A45" t="s">
        <v>11759</v>
      </c>
      <c r="B45" t="s">
        <v>11757</v>
      </c>
      <c r="C45" t="s">
        <v>945</v>
      </c>
      <c r="D45" t="s">
        <v>11760</v>
      </c>
      <c r="E45" t="b">
        <v>0</v>
      </c>
      <c r="F45" t="s">
        <v>11610</v>
      </c>
      <c r="L45">
        <v>0</v>
      </c>
      <c r="M45">
        <v>0</v>
      </c>
      <c r="N45">
        <v>0</v>
      </c>
    </row>
    <row r="46" spans="1:15">
      <c r="A46" t="s">
        <v>11761</v>
      </c>
      <c r="B46" t="s">
        <v>11757</v>
      </c>
      <c r="C46" t="s">
        <v>6594</v>
      </c>
      <c r="D46" t="s">
        <v>11762</v>
      </c>
      <c r="E46" t="b">
        <v>0</v>
      </c>
      <c r="F46" t="s">
        <v>11610</v>
      </c>
      <c r="L46">
        <v>0</v>
      </c>
      <c r="M46">
        <v>0</v>
      </c>
      <c r="N46">
        <v>0</v>
      </c>
    </row>
    <row r="47" spans="1:15">
      <c r="A47" t="s">
        <v>11763</v>
      </c>
      <c r="B47" t="s">
        <v>6742</v>
      </c>
      <c r="C47" t="s">
        <v>11712</v>
      </c>
      <c r="D47" t="s">
        <v>11764</v>
      </c>
      <c r="E47" t="b">
        <v>0</v>
      </c>
      <c r="F47" t="s">
        <v>11610</v>
      </c>
      <c r="L47">
        <v>0</v>
      </c>
      <c r="M47">
        <v>0</v>
      </c>
      <c r="N47">
        <v>0</v>
      </c>
    </row>
    <row r="48" spans="1:15">
      <c r="A48" t="s">
        <v>11765</v>
      </c>
      <c r="D48" t="s">
        <v>11766</v>
      </c>
      <c r="E48" t="b">
        <v>0</v>
      </c>
      <c r="F48" t="s">
        <v>11624</v>
      </c>
      <c r="G48">
        <v>-2.9228100000000001</v>
      </c>
      <c r="H48">
        <v>138.89099999999999</v>
      </c>
      <c r="I48" t="s">
        <v>11767</v>
      </c>
      <c r="L48">
        <v>0</v>
      </c>
      <c r="M48">
        <v>0</v>
      </c>
      <c r="N48">
        <v>0</v>
      </c>
      <c r="O48" t="s">
        <v>11768</v>
      </c>
    </row>
    <row r="49" spans="1:15">
      <c r="A49" t="s">
        <v>11769</v>
      </c>
      <c r="B49" t="s">
        <v>11770</v>
      </c>
      <c r="C49" t="s">
        <v>11771</v>
      </c>
      <c r="D49" t="s">
        <v>11772</v>
      </c>
      <c r="E49" t="b">
        <v>0</v>
      </c>
      <c r="F49" t="s">
        <v>11624</v>
      </c>
      <c r="G49">
        <v>-29</v>
      </c>
      <c r="H49">
        <v>-61</v>
      </c>
      <c r="I49" t="s">
        <v>11773</v>
      </c>
      <c r="L49">
        <v>0</v>
      </c>
      <c r="M49">
        <v>0</v>
      </c>
      <c r="N49">
        <v>0</v>
      </c>
      <c r="O49" t="s">
        <v>11774</v>
      </c>
    </row>
    <row r="50" spans="1:15">
      <c r="A50" t="s">
        <v>11775</v>
      </c>
      <c r="D50" t="s">
        <v>11776</v>
      </c>
      <c r="E50" t="b">
        <v>0</v>
      </c>
      <c r="F50" t="s">
        <v>11624</v>
      </c>
      <c r="G50">
        <v>-1.2840959999999999</v>
      </c>
      <c r="H50">
        <v>-75.084405000000004</v>
      </c>
      <c r="I50" t="s">
        <v>11777</v>
      </c>
      <c r="L50">
        <v>0</v>
      </c>
      <c r="M50">
        <v>0</v>
      </c>
      <c r="N50">
        <v>0</v>
      </c>
      <c r="O50" t="s">
        <v>11778</v>
      </c>
    </row>
    <row r="51" spans="1:15">
      <c r="A51" t="s">
        <v>11779</v>
      </c>
      <c r="B51" t="s">
        <v>11780</v>
      </c>
      <c r="C51" t="s">
        <v>11781</v>
      </c>
      <c r="D51" t="s">
        <v>11782</v>
      </c>
      <c r="E51" t="b">
        <v>0</v>
      </c>
      <c r="F51" t="s">
        <v>11610</v>
      </c>
      <c r="L51">
        <v>0</v>
      </c>
      <c r="M51">
        <v>0</v>
      </c>
      <c r="N51">
        <v>0</v>
      </c>
    </row>
    <row r="52" spans="1:15">
      <c r="A52" t="s">
        <v>11653</v>
      </c>
      <c r="D52" t="s">
        <v>11783</v>
      </c>
      <c r="E52" t="b">
        <v>0</v>
      </c>
      <c r="F52" t="s">
        <v>11622</v>
      </c>
      <c r="L52">
        <v>2</v>
      </c>
      <c r="M52">
        <v>5</v>
      </c>
      <c r="N52">
        <v>12</v>
      </c>
    </row>
    <row r="53" spans="1:15">
      <c r="A53" t="s">
        <v>11715</v>
      </c>
      <c r="B53" t="s">
        <v>11653</v>
      </c>
      <c r="C53" t="s">
        <v>11653</v>
      </c>
      <c r="D53" t="s">
        <v>11784</v>
      </c>
      <c r="E53" t="b">
        <v>0</v>
      </c>
      <c r="F53" t="s">
        <v>11622</v>
      </c>
      <c r="L53">
        <v>0</v>
      </c>
      <c r="M53">
        <v>2</v>
      </c>
      <c r="N53">
        <v>6</v>
      </c>
    </row>
    <row r="54" spans="1:15">
      <c r="A54" t="s">
        <v>7039</v>
      </c>
      <c r="B54" t="s">
        <v>11653</v>
      </c>
      <c r="C54" t="s">
        <v>11715</v>
      </c>
      <c r="D54" t="s">
        <v>11785</v>
      </c>
      <c r="E54" t="b">
        <v>0</v>
      </c>
      <c r="F54" t="s">
        <v>11624</v>
      </c>
      <c r="G54">
        <v>43.056218000000001</v>
      </c>
      <c r="H54">
        <v>41.159115</v>
      </c>
      <c r="I54" t="s">
        <v>7040</v>
      </c>
      <c r="L54">
        <v>0</v>
      </c>
      <c r="M54">
        <v>0</v>
      </c>
      <c r="N54">
        <v>3</v>
      </c>
      <c r="O54" t="s">
        <v>11786</v>
      </c>
    </row>
    <row r="55" spans="1:15">
      <c r="A55" t="s">
        <v>11787</v>
      </c>
      <c r="B55" t="s">
        <v>367</v>
      </c>
      <c r="C55" t="s">
        <v>11788</v>
      </c>
      <c r="D55" t="s">
        <v>11789</v>
      </c>
      <c r="E55" t="b">
        <v>0</v>
      </c>
      <c r="F55" t="s">
        <v>11610</v>
      </c>
      <c r="L55">
        <v>0</v>
      </c>
      <c r="M55">
        <v>0</v>
      </c>
      <c r="N55">
        <v>0</v>
      </c>
    </row>
    <row r="56" spans="1:15">
      <c r="A56" t="s">
        <v>11790</v>
      </c>
      <c r="B56" t="s">
        <v>6742</v>
      </c>
      <c r="C56" t="s">
        <v>11791</v>
      </c>
      <c r="D56" t="s">
        <v>11792</v>
      </c>
      <c r="E56" t="b">
        <v>0</v>
      </c>
      <c r="F56" t="s">
        <v>11622</v>
      </c>
      <c r="L56">
        <v>0</v>
      </c>
      <c r="M56">
        <v>2</v>
      </c>
      <c r="N56">
        <v>0</v>
      </c>
    </row>
    <row r="57" spans="1:15">
      <c r="A57" t="s">
        <v>11793</v>
      </c>
      <c r="B57" t="s">
        <v>11794</v>
      </c>
      <c r="C57" t="s">
        <v>11795</v>
      </c>
      <c r="D57" t="s">
        <v>11796</v>
      </c>
      <c r="E57" t="b">
        <v>0</v>
      </c>
      <c r="F57" t="s">
        <v>11624</v>
      </c>
      <c r="G57">
        <v>-8.4244800000000009</v>
      </c>
      <c r="H57">
        <v>142.84200000000001</v>
      </c>
      <c r="I57" t="s">
        <v>11797</v>
      </c>
      <c r="L57">
        <v>0</v>
      </c>
      <c r="M57">
        <v>0</v>
      </c>
      <c r="N57">
        <v>0</v>
      </c>
      <c r="O57" t="s">
        <v>11660</v>
      </c>
    </row>
    <row r="58" spans="1:15">
      <c r="A58" t="s">
        <v>11798</v>
      </c>
      <c r="B58" t="s">
        <v>6742</v>
      </c>
      <c r="C58" t="s">
        <v>11799</v>
      </c>
      <c r="D58" t="s">
        <v>11800</v>
      </c>
      <c r="E58" t="b">
        <v>0</v>
      </c>
      <c r="F58" t="s">
        <v>11624</v>
      </c>
      <c r="G58">
        <v>6.9062099999999997</v>
      </c>
      <c r="H58">
        <v>10.876899999999999</v>
      </c>
      <c r="I58" t="s">
        <v>11801</v>
      </c>
      <c r="L58">
        <v>0</v>
      </c>
      <c r="M58">
        <v>0</v>
      </c>
      <c r="N58">
        <v>0</v>
      </c>
      <c r="O58" t="s">
        <v>11802</v>
      </c>
    </row>
    <row r="59" spans="1:15">
      <c r="A59" t="s">
        <v>11803</v>
      </c>
      <c r="B59" t="s">
        <v>6742</v>
      </c>
      <c r="C59" t="s">
        <v>11804</v>
      </c>
      <c r="D59" t="s">
        <v>11805</v>
      </c>
      <c r="E59" t="b">
        <v>0</v>
      </c>
      <c r="F59" t="s">
        <v>11610</v>
      </c>
      <c r="L59">
        <v>0</v>
      </c>
      <c r="M59">
        <v>0</v>
      </c>
      <c r="N59">
        <v>0</v>
      </c>
    </row>
    <row r="60" spans="1:15">
      <c r="A60" t="s">
        <v>11806</v>
      </c>
      <c r="B60" t="s">
        <v>6742</v>
      </c>
      <c r="C60" t="s">
        <v>11807</v>
      </c>
      <c r="D60" t="s">
        <v>11808</v>
      </c>
      <c r="E60" t="b">
        <v>0</v>
      </c>
      <c r="F60" t="s">
        <v>11610</v>
      </c>
      <c r="L60">
        <v>0</v>
      </c>
      <c r="M60">
        <v>0</v>
      </c>
      <c r="N60">
        <v>0</v>
      </c>
    </row>
    <row r="61" spans="1:15">
      <c r="A61" t="s">
        <v>11809</v>
      </c>
      <c r="B61" t="s">
        <v>11810</v>
      </c>
      <c r="C61" t="s">
        <v>11811</v>
      </c>
      <c r="D61" t="s">
        <v>11812</v>
      </c>
      <c r="E61" t="b">
        <v>0</v>
      </c>
      <c r="F61" t="s">
        <v>11610</v>
      </c>
      <c r="L61">
        <v>0</v>
      </c>
      <c r="M61">
        <v>0</v>
      </c>
      <c r="N61">
        <v>0</v>
      </c>
    </row>
    <row r="62" spans="1:15">
      <c r="A62" t="s">
        <v>11813</v>
      </c>
      <c r="B62" t="s">
        <v>367</v>
      </c>
      <c r="C62" t="s">
        <v>11814</v>
      </c>
      <c r="D62" t="s">
        <v>11815</v>
      </c>
      <c r="E62" t="b">
        <v>0</v>
      </c>
      <c r="F62" t="s">
        <v>11610</v>
      </c>
      <c r="L62">
        <v>0</v>
      </c>
      <c r="M62">
        <v>0</v>
      </c>
      <c r="N62">
        <v>0</v>
      </c>
    </row>
    <row r="63" spans="1:15">
      <c r="A63" t="s">
        <v>11816</v>
      </c>
      <c r="B63" t="s">
        <v>6742</v>
      </c>
      <c r="C63" t="s">
        <v>11817</v>
      </c>
      <c r="D63" t="s">
        <v>11818</v>
      </c>
      <c r="E63" t="b">
        <v>0</v>
      </c>
      <c r="F63" t="s">
        <v>11624</v>
      </c>
      <c r="G63">
        <v>7.7209399999999997</v>
      </c>
      <c r="H63">
        <v>-2.5028899999999998</v>
      </c>
      <c r="I63" t="s">
        <v>11819</v>
      </c>
      <c r="L63">
        <v>0</v>
      </c>
      <c r="M63">
        <v>0</v>
      </c>
      <c r="N63">
        <v>0</v>
      </c>
      <c r="O63" t="s">
        <v>11820</v>
      </c>
    </row>
    <row r="64" spans="1:15">
      <c r="A64" t="s">
        <v>11821</v>
      </c>
      <c r="B64" t="s">
        <v>11637</v>
      </c>
      <c r="C64" t="s">
        <v>11822</v>
      </c>
      <c r="D64" t="s">
        <v>11823</v>
      </c>
      <c r="E64" t="b">
        <v>0</v>
      </c>
      <c r="F64" t="s">
        <v>11610</v>
      </c>
      <c r="L64">
        <v>0</v>
      </c>
      <c r="M64">
        <v>0</v>
      </c>
      <c r="N64">
        <v>0</v>
      </c>
    </row>
    <row r="65" spans="1:15">
      <c r="A65" t="s">
        <v>11824</v>
      </c>
      <c r="B65" t="s">
        <v>11637</v>
      </c>
      <c r="C65" t="s">
        <v>11825</v>
      </c>
      <c r="D65" t="s">
        <v>11826</v>
      </c>
      <c r="E65" t="b">
        <v>0</v>
      </c>
      <c r="F65" t="s">
        <v>11610</v>
      </c>
      <c r="L65">
        <v>0</v>
      </c>
      <c r="M65">
        <v>0</v>
      </c>
      <c r="N65">
        <v>0</v>
      </c>
    </row>
    <row r="66" spans="1:15">
      <c r="A66" t="s">
        <v>11827</v>
      </c>
      <c r="B66" t="s">
        <v>6742</v>
      </c>
      <c r="C66" t="s">
        <v>11828</v>
      </c>
      <c r="D66" t="s">
        <v>11829</v>
      </c>
      <c r="E66" t="b">
        <v>0</v>
      </c>
      <c r="F66" t="s">
        <v>11622</v>
      </c>
      <c r="L66">
        <v>0</v>
      </c>
      <c r="M66">
        <v>2</v>
      </c>
      <c r="N66">
        <v>6</v>
      </c>
    </row>
    <row r="67" spans="1:15">
      <c r="A67" t="s">
        <v>11830</v>
      </c>
      <c r="B67" t="s">
        <v>6742</v>
      </c>
      <c r="C67" t="s">
        <v>11827</v>
      </c>
      <c r="D67" t="s">
        <v>11831</v>
      </c>
      <c r="E67" t="b">
        <v>0</v>
      </c>
      <c r="F67" t="s">
        <v>11624</v>
      </c>
      <c r="G67">
        <v>4.8305699999999998</v>
      </c>
      <c r="H67">
        <v>6.6149199999999997</v>
      </c>
      <c r="I67" t="s">
        <v>11832</v>
      </c>
      <c r="L67">
        <v>0</v>
      </c>
      <c r="M67">
        <v>0</v>
      </c>
      <c r="N67">
        <v>4</v>
      </c>
      <c r="O67" t="s">
        <v>11693</v>
      </c>
    </row>
    <row r="68" spans="1:15">
      <c r="A68" t="s">
        <v>11833</v>
      </c>
      <c r="B68" t="s">
        <v>11834</v>
      </c>
      <c r="C68" t="s">
        <v>11835</v>
      </c>
      <c r="D68" t="s">
        <v>11836</v>
      </c>
      <c r="E68" t="b">
        <v>0</v>
      </c>
      <c r="F68" t="s">
        <v>11624</v>
      </c>
      <c r="G68">
        <v>-3.4616120000000001</v>
      </c>
      <c r="H68">
        <v>142.91703100000001</v>
      </c>
      <c r="I68" t="s">
        <v>11837</v>
      </c>
      <c r="L68">
        <v>0</v>
      </c>
      <c r="M68">
        <v>0</v>
      </c>
      <c r="N68">
        <v>0</v>
      </c>
      <c r="O68" t="s">
        <v>11660</v>
      </c>
    </row>
    <row r="69" spans="1:15">
      <c r="A69" t="s">
        <v>11838</v>
      </c>
      <c r="B69" t="s">
        <v>11839</v>
      </c>
      <c r="C69" t="s">
        <v>11840</v>
      </c>
      <c r="D69" t="s">
        <v>11841</v>
      </c>
      <c r="E69" t="b">
        <v>0</v>
      </c>
      <c r="F69" t="s">
        <v>11624</v>
      </c>
      <c r="G69">
        <v>-8.3105799999999999</v>
      </c>
      <c r="H69">
        <v>124.58799999999999</v>
      </c>
      <c r="I69" t="s">
        <v>11842</v>
      </c>
      <c r="L69">
        <v>0</v>
      </c>
      <c r="M69">
        <v>0</v>
      </c>
      <c r="N69">
        <v>3</v>
      </c>
      <c r="O69" t="s">
        <v>11768</v>
      </c>
    </row>
    <row r="70" spans="1:15">
      <c r="A70" t="s">
        <v>11843</v>
      </c>
      <c r="B70" t="s">
        <v>11844</v>
      </c>
      <c r="C70" t="s">
        <v>11845</v>
      </c>
      <c r="D70" t="s">
        <v>11846</v>
      </c>
      <c r="E70" t="b">
        <v>0</v>
      </c>
      <c r="F70" t="s">
        <v>11610</v>
      </c>
      <c r="L70">
        <v>0</v>
      </c>
      <c r="M70">
        <v>0</v>
      </c>
      <c r="N70">
        <v>0</v>
      </c>
    </row>
    <row r="71" spans="1:15">
      <c r="A71" t="s">
        <v>11847</v>
      </c>
      <c r="B71" t="s">
        <v>11757</v>
      </c>
      <c r="C71" t="s">
        <v>11848</v>
      </c>
      <c r="D71" t="s">
        <v>11849</v>
      </c>
      <c r="E71" t="b">
        <v>0</v>
      </c>
      <c r="F71" t="s">
        <v>11610</v>
      </c>
      <c r="L71">
        <v>0</v>
      </c>
      <c r="M71">
        <v>0</v>
      </c>
      <c r="N71">
        <v>0</v>
      </c>
    </row>
    <row r="72" spans="1:15">
      <c r="A72" t="s">
        <v>11850</v>
      </c>
      <c r="D72" t="s">
        <v>11851</v>
      </c>
      <c r="E72" t="b">
        <v>0</v>
      </c>
      <c r="F72" t="s">
        <v>11624</v>
      </c>
      <c r="G72">
        <v>-0.57072999999999996</v>
      </c>
      <c r="H72">
        <v>132.416</v>
      </c>
      <c r="I72" t="s">
        <v>11852</v>
      </c>
      <c r="L72">
        <v>0</v>
      </c>
      <c r="M72">
        <v>0</v>
      </c>
      <c r="N72">
        <v>3</v>
      </c>
      <c r="O72" t="s">
        <v>11768</v>
      </c>
    </row>
    <row r="73" spans="1:15">
      <c r="A73" t="s">
        <v>11853</v>
      </c>
      <c r="B73" t="s">
        <v>11850</v>
      </c>
      <c r="C73" t="s">
        <v>11850</v>
      </c>
      <c r="D73" t="s">
        <v>11854</v>
      </c>
      <c r="E73" t="b">
        <v>0</v>
      </c>
      <c r="F73" t="s">
        <v>11610</v>
      </c>
      <c r="L73">
        <v>0</v>
      </c>
      <c r="M73">
        <v>0</v>
      </c>
      <c r="N73">
        <v>0</v>
      </c>
    </row>
    <row r="74" spans="1:15">
      <c r="A74" t="s">
        <v>11855</v>
      </c>
      <c r="B74" t="s">
        <v>11850</v>
      </c>
      <c r="C74" t="s">
        <v>11850</v>
      </c>
      <c r="D74" t="s">
        <v>11856</v>
      </c>
      <c r="E74" t="b">
        <v>0</v>
      </c>
      <c r="F74" t="s">
        <v>11610</v>
      </c>
      <c r="L74">
        <v>0</v>
      </c>
      <c r="M74">
        <v>0</v>
      </c>
      <c r="N74">
        <v>0</v>
      </c>
    </row>
    <row r="75" spans="1:15">
      <c r="A75" t="s">
        <v>11857</v>
      </c>
      <c r="B75" t="s">
        <v>11850</v>
      </c>
      <c r="C75" t="s">
        <v>11850</v>
      </c>
      <c r="D75" t="s">
        <v>11858</v>
      </c>
      <c r="E75" t="b">
        <v>0</v>
      </c>
      <c r="F75" t="s">
        <v>11610</v>
      </c>
      <c r="L75">
        <v>0</v>
      </c>
      <c r="M75">
        <v>0</v>
      </c>
      <c r="N75">
        <v>0</v>
      </c>
    </row>
    <row r="76" spans="1:15">
      <c r="A76" t="s">
        <v>11859</v>
      </c>
      <c r="B76" t="s">
        <v>6742</v>
      </c>
      <c r="C76" t="s">
        <v>11860</v>
      </c>
      <c r="D76" t="s">
        <v>11861</v>
      </c>
      <c r="E76" t="b">
        <v>0</v>
      </c>
      <c r="F76" t="s">
        <v>11624</v>
      </c>
      <c r="G76">
        <v>5.2153400000000003</v>
      </c>
      <c r="H76">
        <v>-3.6412300000000002</v>
      </c>
      <c r="I76" t="s">
        <v>11862</v>
      </c>
      <c r="L76">
        <v>0</v>
      </c>
      <c r="M76">
        <v>0</v>
      </c>
      <c r="N76">
        <v>0</v>
      </c>
      <c r="O76" t="s">
        <v>11735</v>
      </c>
    </row>
    <row r="77" spans="1:15">
      <c r="A77" t="s">
        <v>11863</v>
      </c>
      <c r="B77" t="s">
        <v>6742</v>
      </c>
      <c r="C77" t="s">
        <v>11864</v>
      </c>
      <c r="D77" t="s">
        <v>11865</v>
      </c>
      <c r="E77" t="b">
        <v>0</v>
      </c>
      <c r="F77" t="s">
        <v>11624</v>
      </c>
      <c r="G77">
        <v>4.6230099999999998</v>
      </c>
      <c r="H77">
        <v>6.5063399999999998</v>
      </c>
      <c r="I77" t="s">
        <v>11866</v>
      </c>
      <c r="L77">
        <v>0</v>
      </c>
      <c r="M77">
        <v>0</v>
      </c>
      <c r="N77">
        <v>0</v>
      </c>
      <c r="O77" t="s">
        <v>11693</v>
      </c>
    </row>
    <row r="78" spans="1:15">
      <c r="A78" t="s">
        <v>11867</v>
      </c>
      <c r="B78" t="s">
        <v>11868</v>
      </c>
      <c r="C78" t="s">
        <v>11869</v>
      </c>
      <c r="D78" t="s">
        <v>11870</v>
      </c>
      <c r="E78" t="b">
        <v>0</v>
      </c>
      <c r="F78" t="s">
        <v>11610</v>
      </c>
      <c r="L78">
        <v>0</v>
      </c>
      <c r="M78">
        <v>0</v>
      </c>
      <c r="N78">
        <v>0</v>
      </c>
    </row>
    <row r="79" spans="1:15">
      <c r="A79" t="s">
        <v>1128</v>
      </c>
      <c r="B79" t="s">
        <v>11871</v>
      </c>
      <c r="C79" t="s">
        <v>11872</v>
      </c>
      <c r="D79" t="s">
        <v>11873</v>
      </c>
      <c r="E79" t="b">
        <v>0</v>
      </c>
      <c r="F79" t="s">
        <v>11624</v>
      </c>
      <c r="G79">
        <v>-4.2402699999999998</v>
      </c>
      <c r="H79">
        <v>144.47399999999999</v>
      </c>
      <c r="I79" t="s">
        <v>1130</v>
      </c>
      <c r="L79">
        <v>0</v>
      </c>
      <c r="M79">
        <v>0</v>
      </c>
      <c r="N79">
        <v>3</v>
      </c>
      <c r="O79" t="s">
        <v>11660</v>
      </c>
    </row>
    <row r="80" spans="1:15">
      <c r="A80" t="s">
        <v>11874</v>
      </c>
      <c r="B80" t="s">
        <v>11653</v>
      </c>
      <c r="C80" t="s">
        <v>7039</v>
      </c>
      <c r="D80" t="s">
        <v>11875</v>
      </c>
      <c r="E80" t="b">
        <v>0</v>
      </c>
      <c r="F80" t="s">
        <v>11610</v>
      </c>
      <c r="L80">
        <v>0</v>
      </c>
      <c r="M80">
        <v>0</v>
      </c>
      <c r="N80">
        <v>0</v>
      </c>
    </row>
    <row r="81" spans="1:15">
      <c r="A81" t="s">
        <v>11876</v>
      </c>
      <c r="B81" t="s">
        <v>11637</v>
      </c>
      <c r="C81" t="s">
        <v>3656</v>
      </c>
      <c r="D81" t="s">
        <v>11877</v>
      </c>
      <c r="E81" t="b">
        <v>0</v>
      </c>
      <c r="F81" t="s">
        <v>11610</v>
      </c>
      <c r="L81">
        <v>0</v>
      </c>
      <c r="M81">
        <v>0</v>
      </c>
      <c r="N81">
        <v>0</v>
      </c>
    </row>
    <row r="82" spans="1:15">
      <c r="A82" t="s">
        <v>11878</v>
      </c>
      <c r="B82" t="s">
        <v>11879</v>
      </c>
      <c r="C82" t="s">
        <v>11880</v>
      </c>
      <c r="D82" t="s">
        <v>11881</v>
      </c>
      <c r="E82" t="b">
        <v>0</v>
      </c>
      <c r="F82" t="s">
        <v>11624</v>
      </c>
      <c r="G82">
        <v>17.103400000000001</v>
      </c>
      <c r="H82">
        <v>-99.060199999999995</v>
      </c>
      <c r="I82" t="s">
        <v>11882</v>
      </c>
      <c r="L82">
        <v>0</v>
      </c>
      <c r="M82">
        <v>0</v>
      </c>
      <c r="N82">
        <v>3</v>
      </c>
      <c r="O82" t="s">
        <v>11883</v>
      </c>
    </row>
    <row r="83" spans="1:15">
      <c r="A83" t="s">
        <v>11884</v>
      </c>
      <c r="B83" t="s">
        <v>11879</v>
      </c>
      <c r="C83" t="s">
        <v>11878</v>
      </c>
      <c r="D83" t="s">
        <v>11885</v>
      </c>
      <c r="E83" t="b">
        <v>0</v>
      </c>
      <c r="F83" t="s">
        <v>11610</v>
      </c>
      <c r="L83">
        <v>0</v>
      </c>
      <c r="M83">
        <v>0</v>
      </c>
      <c r="N83">
        <v>0</v>
      </c>
    </row>
    <row r="84" spans="1:15">
      <c r="A84" t="s">
        <v>11886</v>
      </c>
      <c r="B84" t="s">
        <v>11637</v>
      </c>
      <c r="C84" t="s">
        <v>148</v>
      </c>
      <c r="D84" t="s">
        <v>11887</v>
      </c>
      <c r="E84" t="b">
        <v>0</v>
      </c>
      <c r="F84" t="s">
        <v>11610</v>
      </c>
      <c r="L84">
        <v>0</v>
      </c>
      <c r="M84">
        <v>0</v>
      </c>
      <c r="N84">
        <v>0</v>
      </c>
    </row>
    <row r="85" spans="1:15">
      <c r="A85" t="s">
        <v>11888</v>
      </c>
      <c r="B85" t="s">
        <v>11644</v>
      </c>
      <c r="C85" t="s">
        <v>11889</v>
      </c>
      <c r="D85" t="s">
        <v>11890</v>
      </c>
      <c r="E85" t="b">
        <v>0</v>
      </c>
      <c r="F85" t="s">
        <v>11624</v>
      </c>
      <c r="G85">
        <v>24.347899999999999</v>
      </c>
      <c r="H85">
        <v>97.743799999999993</v>
      </c>
      <c r="I85" t="s">
        <v>11891</v>
      </c>
      <c r="L85">
        <v>0</v>
      </c>
      <c r="M85">
        <v>0</v>
      </c>
      <c r="N85">
        <v>3</v>
      </c>
      <c r="O85" t="s">
        <v>11892</v>
      </c>
    </row>
    <row r="86" spans="1:15">
      <c r="A86" t="s">
        <v>11893</v>
      </c>
      <c r="B86" t="s">
        <v>11894</v>
      </c>
      <c r="C86" t="s">
        <v>11895</v>
      </c>
      <c r="D86" t="s">
        <v>11896</v>
      </c>
      <c r="E86" t="b">
        <v>0</v>
      </c>
      <c r="F86" t="s">
        <v>11624</v>
      </c>
      <c r="G86">
        <v>4.3864900000000002</v>
      </c>
      <c r="H86">
        <v>-72.200500000000005</v>
      </c>
      <c r="I86" t="s">
        <v>11897</v>
      </c>
      <c r="L86">
        <v>0</v>
      </c>
      <c r="M86">
        <v>0</v>
      </c>
      <c r="N86">
        <v>0</v>
      </c>
      <c r="O86" t="s">
        <v>11898</v>
      </c>
    </row>
    <row r="87" spans="1:15">
      <c r="A87" t="s">
        <v>11889</v>
      </c>
      <c r="B87" t="s">
        <v>11644</v>
      </c>
      <c r="C87" t="s">
        <v>11899</v>
      </c>
      <c r="D87" t="s">
        <v>11900</v>
      </c>
      <c r="E87" t="b">
        <v>0</v>
      </c>
      <c r="F87" t="s">
        <v>11622</v>
      </c>
      <c r="L87">
        <v>0</v>
      </c>
      <c r="M87">
        <v>4</v>
      </c>
      <c r="N87">
        <v>3</v>
      </c>
    </row>
    <row r="88" spans="1:15">
      <c r="A88" t="s">
        <v>11901</v>
      </c>
      <c r="B88" t="s">
        <v>11644</v>
      </c>
      <c r="C88" t="s">
        <v>11902</v>
      </c>
      <c r="D88" t="s">
        <v>11903</v>
      </c>
      <c r="E88" t="b">
        <v>0</v>
      </c>
      <c r="F88" t="s">
        <v>11624</v>
      </c>
      <c r="G88">
        <v>24.152000000000001</v>
      </c>
      <c r="H88">
        <v>102.446</v>
      </c>
      <c r="I88" t="s">
        <v>11904</v>
      </c>
      <c r="L88">
        <v>0</v>
      </c>
      <c r="M88">
        <v>0</v>
      </c>
      <c r="N88">
        <v>0</v>
      </c>
      <c r="O88" t="s">
        <v>11905</v>
      </c>
    </row>
    <row r="89" spans="1:15">
      <c r="A89" t="s">
        <v>11906</v>
      </c>
      <c r="B89" t="s">
        <v>3165</v>
      </c>
      <c r="C89" t="s">
        <v>11907</v>
      </c>
      <c r="D89" t="s">
        <v>11908</v>
      </c>
      <c r="E89" t="b">
        <v>0</v>
      </c>
      <c r="F89" t="s">
        <v>11624</v>
      </c>
      <c r="G89">
        <v>10.8827</v>
      </c>
      <c r="H89">
        <v>30.3187</v>
      </c>
      <c r="I89" t="s">
        <v>11909</v>
      </c>
      <c r="L89">
        <v>0</v>
      </c>
      <c r="M89">
        <v>0</v>
      </c>
      <c r="N89">
        <v>2</v>
      </c>
      <c r="O89" t="s">
        <v>11910</v>
      </c>
    </row>
    <row r="90" spans="1:15">
      <c r="A90" t="s">
        <v>11911</v>
      </c>
      <c r="B90" t="s">
        <v>11912</v>
      </c>
      <c r="C90" t="s">
        <v>11913</v>
      </c>
      <c r="D90" t="s">
        <v>11914</v>
      </c>
      <c r="E90" t="b">
        <v>0</v>
      </c>
      <c r="F90" t="s">
        <v>11624</v>
      </c>
      <c r="G90">
        <v>-25.586500000000001</v>
      </c>
      <c r="H90">
        <v>-56.469700000000003</v>
      </c>
      <c r="I90" t="s">
        <v>11915</v>
      </c>
      <c r="L90">
        <v>0</v>
      </c>
      <c r="M90">
        <v>0</v>
      </c>
      <c r="N90">
        <v>0</v>
      </c>
      <c r="O90" t="s">
        <v>11916</v>
      </c>
    </row>
    <row r="91" spans="1:15">
      <c r="A91" t="s">
        <v>11907</v>
      </c>
      <c r="B91" t="s">
        <v>3165</v>
      </c>
      <c r="C91" t="s">
        <v>11917</v>
      </c>
      <c r="D91" t="s">
        <v>11918</v>
      </c>
      <c r="E91" t="b">
        <v>0</v>
      </c>
      <c r="F91" t="s">
        <v>11622</v>
      </c>
      <c r="L91">
        <v>0</v>
      </c>
      <c r="M91">
        <v>2</v>
      </c>
      <c r="N91">
        <v>2</v>
      </c>
    </row>
    <row r="92" spans="1:15">
      <c r="A92" t="s">
        <v>11919</v>
      </c>
      <c r="B92" t="s">
        <v>11644</v>
      </c>
      <c r="C92" t="s">
        <v>126</v>
      </c>
      <c r="D92" t="s">
        <v>11920</v>
      </c>
      <c r="E92" t="b">
        <v>0</v>
      </c>
      <c r="F92" t="s">
        <v>11610</v>
      </c>
      <c r="L92">
        <v>0</v>
      </c>
      <c r="M92">
        <v>0</v>
      </c>
      <c r="N92">
        <v>0</v>
      </c>
    </row>
    <row r="93" spans="1:15">
      <c r="A93" t="s">
        <v>11921</v>
      </c>
      <c r="B93" t="s">
        <v>11644</v>
      </c>
      <c r="C93" t="s">
        <v>126</v>
      </c>
      <c r="D93" t="s">
        <v>11922</v>
      </c>
      <c r="E93" t="b">
        <v>0</v>
      </c>
      <c r="F93" t="s">
        <v>11610</v>
      </c>
      <c r="L93">
        <v>0</v>
      </c>
      <c r="M93">
        <v>0</v>
      </c>
      <c r="N93">
        <v>0</v>
      </c>
    </row>
    <row r="94" spans="1:15">
      <c r="A94" t="s">
        <v>11923</v>
      </c>
      <c r="B94" t="s">
        <v>5911</v>
      </c>
      <c r="C94" t="s">
        <v>11924</v>
      </c>
      <c r="D94" t="s">
        <v>11925</v>
      </c>
      <c r="E94" t="b">
        <v>0</v>
      </c>
      <c r="F94" t="s">
        <v>11624</v>
      </c>
      <c r="G94">
        <v>15.073</v>
      </c>
      <c r="H94">
        <v>-90.351299999999995</v>
      </c>
      <c r="I94" t="s">
        <v>11926</v>
      </c>
      <c r="L94">
        <v>0</v>
      </c>
      <c r="M94">
        <v>0</v>
      </c>
      <c r="N94">
        <v>0</v>
      </c>
      <c r="O94" t="s">
        <v>11927</v>
      </c>
    </row>
    <row r="95" spans="1:15">
      <c r="A95" t="s">
        <v>11928</v>
      </c>
      <c r="B95" t="s">
        <v>367</v>
      </c>
      <c r="C95" t="s">
        <v>11929</v>
      </c>
      <c r="D95" t="s">
        <v>11930</v>
      </c>
      <c r="E95" t="b">
        <v>0</v>
      </c>
      <c r="F95" t="s">
        <v>11624</v>
      </c>
      <c r="G95">
        <v>3.9075700000000002</v>
      </c>
      <c r="H95">
        <v>96.603200000000001</v>
      </c>
      <c r="I95" t="s">
        <v>11931</v>
      </c>
      <c r="L95">
        <v>0</v>
      </c>
      <c r="M95">
        <v>0</v>
      </c>
      <c r="N95">
        <v>7</v>
      </c>
      <c r="O95" t="s">
        <v>11768</v>
      </c>
    </row>
    <row r="96" spans="1:15">
      <c r="A96" t="s">
        <v>11932</v>
      </c>
      <c r="B96" t="s">
        <v>11627</v>
      </c>
      <c r="C96" t="s">
        <v>11627</v>
      </c>
      <c r="D96" t="s">
        <v>11933</v>
      </c>
      <c r="E96" t="b">
        <v>1</v>
      </c>
      <c r="F96" t="s">
        <v>11624</v>
      </c>
      <c r="I96" t="s">
        <v>11934</v>
      </c>
      <c r="L96">
        <v>0</v>
      </c>
      <c r="M96">
        <v>0</v>
      </c>
      <c r="N96">
        <v>0</v>
      </c>
      <c r="O96" t="s">
        <v>11927</v>
      </c>
    </row>
    <row r="97" spans="1:15">
      <c r="A97" t="s">
        <v>11935</v>
      </c>
      <c r="B97" t="s">
        <v>11637</v>
      </c>
      <c r="C97" t="s">
        <v>11936</v>
      </c>
      <c r="D97" t="s">
        <v>11937</v>
      </c>
      <c r="E97" t="b">
        <v>0</v>
      </c>
      <c r="F97" t="s">
        <v>11610</v>
      </c>
      <c r="G97">
        <v>52.021000000000001</v>
      </c>
      <c r="H97">
        <v>6.4752099999999997</v>
      </c>
      <c r="I97" t="s">
        <v>11938</v>
      </c>
      <c r="L97">
        <v>0</v>
      </c>
      <c r="M97">
        <v>0</v>
      </c>
      <c r="N97">
        <v>0</v>
      </c>
      <c r="O97" t="s">
        <v>11939</v>
      </c>
    </row>
    <row r="98" spans="1:15">
      <c r="A98" t="s">
        <v>11940</v>
      </c>
      <c r="B98" t="s">
        <v>11941</v>
      </c>
      <c r="C98" t="s">
        <v>11941</v>
      </c>
      <c r="D98" t="s">
        <v>11942</v>
      </c>
      <c r="E98" t="b">
        <v>0</v>
      </c>
      <c r="F98" t="s">
        <v>11624</v>
      </c>
      <c r="G98">
        <v>41.097900000000003</v>
      </c>
      <c r="H98">
        <v>-121.191</v>
      </c>
      <c r="I98" t="s">
        <v>11943</v>
      </c>
      <c r="L98">
        <v>0</v>
      </c>
      <c r="M98">
        <v>0</v>
      </c>
      <c r="N98">
        <v>0</v>
      </c>
      <c r="O98" t="s">
        <v>11944</v>
      </c>
    </row>
    <row r="99" spans="1:15">
      <c r="A99" t="s">
        <v>11945</v>
      </c>
      <c r="B99" t="s">
        <v>11946</v>
      </c>
      <c r="C99" t="s">
        <v>8670</v>
      </c>
      <c r="D99" t="s">
        <v>11947</v>
      </c>
      <c r="E99" t="b">
        <v>0</v>
      </c>
      <c r="F99" t="s">
        <v>11624</v>
      </c>
      <c r="G99">
        <v>-2.82646</v>
      </c>
      <c r="H99">
        <v>-77.264099999999999</v>
      </c>
      <c r="I99" t="s">
        <v>11948</v>
      </c>
      <c r="L99">
        <v>0</v>
      </c>
      <c r="M99">
        <v>0</v>
      </c>
      <c r="N99">
        <v>2</v>
      </c>
      <c r="O99" t="s">
        <v>11949</v>
      </c>
    </row>
    <row r="100" spans="1:15">
      <c r="A100" t="s">
        <v>11950</v>
      </c>
      <c r="B100" t="s">
        <v>11946</v>
      </c>
      <c r="C100" t="s">
        <v>11945</v>
      </c>
      <c r="D100" t="s">
        <v>11951</v>
      </c>
      <c r="E100" t="b">
        <v>0</v>
      </c>
      <c r="F100" t="s">
        <v>11610</v>
      </c>
      <c r="L100">
        <v>0</v>
      </c>
      <c r="M100">
        <v>0</v>
      </c>
      <c r="N100">
        <v>0</v>
      </c>
    </row>
    <row r="101" spans="1:15">
      <c r="A101" t="s">
        <v>11952</v>
      </c>
      <c r="B101" t="s">
        <v>11615</v>
      </c>
      <c r="C101" t="s">
        <v>11953</v>
      </c>
      <c r="D101" t="s">
        <v>11954</v>
      </c>
      <c r="E101" t="b">
        <v>0</v>
      </c>
      <c r="F101" t="s">
        <v>11610</v>
      </c>
      <c r="L101">
        <v>0</v>
      </c>
      <c r="M101">
        <v>0</v>
      </c>
      <c r="N101">
        <v>0</v>
      </c>
    </row>
    <row r="102" spans="1:15">
      <c r="A102" t="s">
        <v>11955</v>
      </c>
      <c r="B102" t="s">
        <v>11615</v>
      </c>
      <c r="C102" t="s">
        <v>11956</v>
      </c>
      <c r="D102" t="s">
        <v>11957</v>
      </c>
      <c r="E102" t="b">
        <v>0</v>
      </c>
      <c r="F102" t="s">
        <v>11610</v>
      </c>
      <c r="L102">
        <v>0</v>
      </c>
      <c r="M102">
        <v>0</v>
      </c>
      <c r="N102">
        <v>0</v>
      </c>
    </row>
    <row r="103" spans="1:15">
      <c r="A103" t="s">
        <v>883</v>
      </c>
      <c r="B103" t="s">
        <v>11757</v>
      </c>
      <c r="C103" t="s">
        <v>11958</v>
      </c>
      <c r="D103" t="s">
        <v>11959</v>
      </c>
      <c r="E103" t="b">
        <v>0</v>
      </c>
      <c r="F103" t="s">
        <v>11624</v>
      </c>
      <c r="G103">
        <v>3.5773799999999998</v>
      </c>
      <c r="H103">
        <v>32.514699999999998</v>
      </c>
      <c r="I103" t="s">
        <v>884</v>
      </c>
      <c r="L103">
        <v>0</v>
      </c>
      <c r="M103">
        <v>0</v>
      </c>
      <c r="N103">
        <v>3</v>
      </c>
      <c r="O103" t="s">
        <v>11960</v>
      </c>
    </row>
    <row r="104" spans="1:15">
      <c r="A104" t="s">
        <v>11961</v>
      </c>
      <c r="B104" t="s">
        <v>10368</v>
      </c>
      <c r="C104" t="s">
        <v>11962</v>
      </c>
      <c r="D104" t="s">
        <v>11963</v>
      </c>
      <c r="E104" t="b">
        <v>0</v>
      </c>
      <c r="F104" t="s">
        <v>11610</v>
      </c>
      <c r="L104">
        <v>0</v>
      </c>
      <c r="M104">
        <v>0</v>
      </c>
      <c r="N104">
        <v>0</v>
      </c>
    </row>
    <row r="105" spans="1:15">
      <c r="A105" t="s">
        <v>11964</v>
      </c>
      <c r="B105" t="s">
        <v>11965</v>
      </c>
      <c r="C105" t="s">
        <v>11966</v>
      </c>
      <c r="D105" t="s">
        <v>11967</v>
      </c>
      <c r="E105" t="b">
        <v>0</v>
      </c>
      <c r="F105" t="s">
        <v>11624</v>
      </c>
      <c r="G105">
        <v>-12.593999999999999</v>
      </c>
      <c r="H105">
        <v>-40.214449999999999</v>
      </c>
      <c r="I105" t="s">
        <v>11968</v>
      </c>
      <c r="L105">
        <v>0</v>
      </c>
      <c r="M105">
        <v>0</v>
      </c>
      <c r="N105">
        <v>0</v>
      </c>
      <c r="O105" t="s">
        <v>11969</v>
      </c>
    </row>
    <row r="106" spans="1:15">
      <c r="A106" t="s">
        <v>11970</v>
      </c>
      <c r="B106" t="s">
        <v>6742</v>
      </c>
      <c r="C106" t="s">
        <v>11971</v>
      </c>
      <c r="D106" t="s">
        <v>11972</v>
      </c>
      <c r="E106" t="b">
        <v>0</v>
      </c>
      <c r="F106" t="s">
        <v>11610</v>
      </c>
      <c r="L106">
        <v>0</v>
      </c>
      <c r="M106">
        <v>0</v>
      </c>
      <c r="N106">
        <v>0</v>
      </c>
    </row>
    <row r="107" spans="1:15">
      <c r="A107" t="s">
        <v>11973</v>
      </c>
      <c r="B107" t="s">
        <v>11627</v>
      </c>
      <c r="C107" t="s">
        <v>11627</v>
      </c>
      <c r="D107" t="s">
        <v>11974</v>
      </c>
      <c r="E107" t="b">
        <v>1</v>
      </c>
      <c r="F107" t="s">
        <v>11624</v>
      </c>
      <c r="G107">
        <v>-8.2267399999999995</v>
      </c>
      <c r="H107">
        <v>125.57599999999999</v>
      </c>
      <c r="I107" t="s">
        <v>11975</v>
      </c>
      <c r="L107">
        <v>0</v>
      </c>
      <c r="M107">
        <v>0</v>
      </c>
      <c r="N107">
        <v>0</v>
      </c>
      <c r="O107" t="s">
        <v>11976</v>
      </c>
    </row>
    <row r="108" spans="1:15">
      <c r="A108" t="s">
        <v>11977</v>
      </c>
      <c r="D108" t="s">
        <v>11978</v>
      </c>
      <c r="E108" t="b">
        <v>0</v>
      </c>
      <c r="F108" t="s">
        <v>11624</v>
      </c>
      <c r="G108">
        <v>31.631399999999999</v>
      </c>
      <c r="H108">
        <v>-92.005899999999997</v>
      </c>
      <c r="I108" t="s">
        <v>11979</v>
      </c>
      <c r="L108">
        <v>0</v>
      </c>
      <c r="M108">
        <v>0</v>
      </c>
      <c r="N108">
        <v>0</v>
      </c>
      <c r="O108" t="s">
        <v>11944</v>
      </c>
    </row>
    <row r="109" spans="1:15">
      <c r="A109" t="s">
        <v>11980</v>
      </c>
      <c r="B109" t="s">
        <v>11981</v>
      </c>
      <c r="C109" t="s">
        <v>11982</v>
      </c>
      <c r="D109" t="s">
        <v>11983</v>
      </c>
      <c r="E109" t="b">
        <v>0</v>
      </c>
      <c r="F109" t="s">
        <v>11624</v>
      </c>
      <c r="G109">
        <v>5.8339999999999996</v>
      </c>
      <c r="H109">
        <v>-0.151</v>
      </c>
      <c r="I109" t="s">
        <v>11984</v>
      </c>
      <c r="L109">
        <v>0</v>
      </c>
      <c r="M109">
        <v>0</v>
      </c>
      <c r="N109">
        <v>0</v>
      </c>
      <c r="O109" t="s">
        <v>11985</v>
      </c>
    </row>
    <row r="110" spans="1:15">
      <c r="A110" t="s">
        <v>11986</v>
      </c>
      <c r="B110" t="s">
        <v>6742</v>
      </c>
      <c r="C110" t="s">
        <v>11987</v>
      </c>
      <c r="D110" t="s">
        <v>11988</v>
      </c>
      <c r="E110" t="b">
        <v>0</v>
      </c>
      <c r="F110" t="s">
        <v>11624</v>
      </c>
      <c r="G110">
        <v>8.140326</v>
      </c>
      <c r="H110">
        <v>13.077337999999999</v>
      </c>
      <c r="I110" t="s">
        <v>11989</v>
      </c>
      <c r="L110">
        <v>0</v>
      </c>
      <c r="M110">
        <v>0</v>
      </c>
      <c r="N110">
        <v>6</v>
      </c>
      <c r="O110" t="s">
        <v>11990</v>
      </c>
    </row>
    <row r="111" spans="1:15">
      <c r="A111" t="s">
        <v>11991</v>
      </c>
      <c r="B111" t="s">
        <v>6742</v>
      </c>
      <c r="C111" t="s">
        <v>11992</v>
      </c>
      <c r="D111" t="s">
        <v>11993</v>
      </c>
      <c r="E111" t="b">
        <v>0</v>
      </c>
      <c r="F111" t="s">
        <v>11622</v>
      </c>
      <c r="L111">
        <v>0</v>
      </c>
      <c r="M111">
        <v>2</v>
      </c>
      <c r="N111">
        <v>6</v>
      </c>
    </row>
    <row r="112" spans="1:15">
      <c r="A112" t="s">
        <v>11994</v>
      </c>
      <c r="B112" t="s">
        <v>6742</v>
      </c>
      <c r="C112" t="s">
        <v>11995</v>
      </c>
      <c r="D112" t="s">
        <v>11996</v>
      </c>
      <c r="E112" t="b">
        <v>0</v>
      </c>
      <c r="F112" t="s">
        <v>11622</v>
      </c>
      <c r="L112">
        <v>9</v>
      </c>
      <c r="M112">
        <v>11</v>
      </c>
      <c r="N112">
        <v>16</v>
      </c>
    </row>
    <row r="113" spans="1:15">
      <c r="A113" t="s">
        <v>11987</v>
      </c>
      <c r="B113" t="s">
        <v>6742</v>
      </c>
      <c r="C113" t="s">
        <v>11997</v>
      </c>
      <c r="D113" t="s">
        <v>11998</v>
      </c>
      <c r="E113" t="b">
        <v>0</v>
      </c>
      <c r="F113" t="s">
        <v>11622</v>
      </c>
      <c r="L113">
        <v>0</v>
      </c>
      <c r="M113">
        <v>2</v>
      </c>
      <c r="N113">
        <v>6</v>
      </c>
    </row>
    <row r="114" spans="1:15">
      <c r="A114" t="s">
        <v>11971</v>
      </c>
      <c r="B114" t="s">
        <v>6742</v>
      </c>
      <c r="C114" t="s">
        <v>11999</v>
      </c>
      <c r="D114" t="s">
        <v>12000</v>
      </c>
      <c r="E114" t="b">
        <v>0</v>
      </c>
      <c r="F114" t="s">
        <v>11624</v>
      </c>
      <c r="G114">
        <v>5.9436999999999998</v>
      </c>
      <c r="H114">
        <v>0.13242999999999999</v>
      </c>
      <c r="I114" t="s">
        <v>12001</v>
      </c>
      <c r="L114">
        <v>0</v>
      </c>
      <c r="M114">
        <v>0</v>
      </c>
      <c r="N114">
        <v>6</v>
      </c>
      <c r="O114" t="s">
        <v>11985</v>
      </c>
    </row>
    <row r="115" spans="1:15">
      <c r="A115" t="s">
        <v>12002</v>
      </c>
      <c r="B115" t="s">
        <v>6742</v>
      </c>
      <c r="C115" t="s">
        <v>12003</v>
      </c>
      <c r="D115" t="s">
        <v>12004</v>
      </c>
      <c r="E115" t="b">
        <v>0</v>
      </c>
      <c r="F115" t="s">
        <v>11624</v>
      </c>
      <c r="G115">
        <v>6.5054600000000002</v>
      </c>
      <c r="H115">
        <v>0.727155</v>
      </c>
      <c r="I115" t="s">
        <v>12005</v>
      </c>
      <c r="L115">
        <v>0</v>
      </c>
      <c r="M115">
        <v>0</v>
      </c>
      <c r="N115">
        <v>0</v>
      </c>
      <c r="O115" t="s">
        <v>12006</v>
      </c>
    </row>
    <row r="116" spans="1:15">
      <c r="A116" t="s">
        <v>12007</v>
      </c>
      <c r="B116" t="s">
        <v>6742</v>
      </c>
      <c r="C116" t="s">
        <v>134</v>
      </c>
      <c r="D116" t="s">
        <v>12008</v>
      </c>
      <c r="E116" t="b">
        <v>0</v>
      </c>
      <c r="F116" t="s">
        <v>11610</v>
      </c>
      <c r="L116">
        <v>0</v>
      </c>
      <c r="M116">
        <v>0</v>
      </c>
      <c r="N116">
        <v>0</v>
      </c>
    </row>
    <row r="117" spans="1:15">
      <c r="A117" t="s">
        <v>12009</v>
      </c>
      <c r="B117" t="s">
        <v>367</v>
      </c>
      <c r="C117" t="s">
        <v>11666</v>
      </c>
      <c r="D117" t="s">
        <v>12010</v>
      </c>
      <c r="E117" t="b">
        <v>0</v>
      </c>
      <c r="F117" t="s">
        <v>11610</v>
      </c>
      <c r="L117">
        <v>0</v>
      </c>
      <c r="M117">
        <v>0</v>
      </c>
      <c r="N117">
        <v>0</v>
      </c>
    </row>
    <row r="118" spans="1:15">
      <c r="A118" t="s">
        <v>12011</v>
      </c>
      <c r="B118" t="s">
        <v>11839</v>
      </c>
      <c r="C118" t="s">
        <v>12012</v>
      </c>
      <c r="D118" t="s">
        <v>12013</v>
      </c>
      <c r="E118" t="b">
        <v>0</v>
      </c>
      <c r="F118" t="s">
        <v>11624</v>
      </c>
      <c r="G118">
        <v>-8.1895799999999994</v>
      </c>
      <c r="H118">
        <v>124.44799999999999</v>
      </c>
      <c r="I118" t="s">
        <v>12014</v>
      </c>
      <c r="L118">
        <v>0</v>
      </c>
      <c r="M118">
        <v>0</v>
      </c>
      <c r="N118">
        <v>1</v>
      </c>
      <c r="O118" t="s">
        <v>11768</v>
      </c>
    </row>
    <row r="119" spans="1:15">
      <c r="A119" t="s">
        <v>12012</v>
      </c>
      <c r="B119" t="s">
        <v>11839</v>
      </c>
      <c r="C119" t="s">
        <v>12015</v>
      </c>
      <c r="D119" t="s">
        <v>12016</v>
      </c>
      <c r="E119" t="b">
        <v>0</v>
      </c>
      <c r="F119" t="s">
        <v>11622</v>
      </c>
      <c r="L119">
        <v>0</v>
      </c>
      <c r="M119">
        <v>3</v>
      </c>
      <c r="N119">
        <v>6</v>
      </c>
    </row>
    <row r="120" spans="1:15">
      <c r="A120" t="s">
        <v>12017</v>
      </c>
      <c r="B120" t="s">
        <v>11627</v>
      </c>
      <c r="C120" t="s">
        <v>11627</v>
      </c>
      <c r="D120" t="s">
        <v>12018</v>
      </c>
      <c r="E120" t="b">
        <v>1</v>
      </c>
      <c r="F120" t="s">
        <v>11624</v>
      </c>
      <c r="G120">
        <v>27.140999999999998</v>
      </c>
      <c r="H120">
        <v>90.3369</v>
      </c>
      <c r="I120" t="s">
        <v>12019</v>
      </c>
      <c r="L120">
        <v>0</v>
      </c>
      <c r="M120">
        <v>0</v>
      </c>
      <c r="N120">
        <v>0</v>
      </c>
      <c r="O120" t="s">
        <v>12020</v>
      </c>
    </row>
    <row r="121" spans="1:15">
      <c r="A121" t="s">
        <v>12021</v>
      </c>
      <c r="B121" t="s">
        <v>11607</v>
      </c>
      <c r="C121" t="s">
        <v>12022</v>
      </c>
      <c r="D121" t="s">
        <v>12023</v>
      </c>
      <c r="E121" t="b">
        <v>0</v>
      </c>
      <c r="F121" t="s">
        <v>11610</v>
      </c>
      <c r="L121">
        <v>0</v>
      </c>
      <c r="M121">
        <v>0</v>
      </c>
      <c r="N121">
        <v>0</v>
      </c>
    </row>
    <row r="122" spans="1:15">
      <c r="A122" t="s">
        <v>12024</v>
      </c>
      <c r="B122" t="s">
        <v>367</v>
      </c>
      <c r="C122" t="s">
        <v>12025</v>
      </c>
      <c r="D122" t="s">
        <v>12026</v>
      </c>
      <c r="E122" t="b">
        <v>0</v>
      </c>
      <c r="F122" t="s">
        <v>11624</v>
      </c>
      <c r="G122">
        <v>17.8187</v>
      </c>
      <c r="H122">
        <v>120.905</v>
      </c>
      <c r="I122" t="s">
        <v>12027</v>
      </c>
      <c r="L122">
        <v>0</v>
      </c>
      <c r="M122">
        <v>0</v>
      </c>
      <c r="N122">
        <v>2</v>
      </c>
      <c r="O122" t="s">
        <v>11749</v>
      </c>
    </row>
    <row r="123" spans="1:15">
      <c r="A123" t="s">
        <v>12028</v>
      </c>
      <c r="B123" t="s">
        <v>6742</v>
      </c>
      <c r="C123" t="s">
        <v>12029</v>
      </c>
      <c r="D123" t="s">
        <v>12030</v>
      </c>
      <c r="E123" t="b">
        <v>0</v>
      </c>
      <c r="F123" t="s">
        <v>11624</v>
      </c>
      <c r="G123">
        <v>8.1697500000000005</v>
      </c>
      <c r="H123">
        <v>0.61918499999999999</v>
      </c>
      <c r="I123" t="s">
        <v>12031</v>
      </c>
      <c r="L123">
        <v>0</v>
      </c>
      <c r="M123">
        <v>0</v>
      </c>
      <c r="N123">
        <v>2</v>
      </c>
      <c r="O123" t="s">
        <v>12006</v>
      </c>
    </row>
    <row r="124" spans="1:15">
      <c r="A124" t="s">
        <v>12032</v>
      </c>
      <c r="B124" t="s">
        <v>11607</v>
      </c>
      <c r="C124" t="s">
        <v>12033</v>
      </c>
      <c r="D124" t="s">
        <v>12034</v>
      </c>
      <c r="E124" t="b">
        <v>0</v>
      </c>
      <c r="F124" t="s">
        <v>11610</v>
      </c>
      <c r="L124">
        <v>0</v>
      </c>
      <c r="M124">
        <v>0</v>
      </c>
      <c r="N124">
        <v>0</v>
      </c>
    </row>
    <row r="125" spans="1:15">
      <c r="A125" t="s">
        <v>12035</v>
      </c>
      <c r="B125" t="s">
        <v>11607</v>
      </c>
      <c r="C125" t="s">
        <v>4703</v>
      </c>
      <c r="D125" t="s">
        <v>12036</v>
      </c>
      <c r="E125" t="b">
        <v>0</v>
      </c>
      <c r="F125" t="s">
        <v>11610</v>
      </c>
      <c r="L125">
        <v>0</v>
      </c>
      <c r="M125">
        <v>0</v>
      </c>
      <c r="N125">
        <v>0</v>
      </c>
    </row>
    <row r="126" spans="1:15">
      <c r="A126" t="s">
        <v>12037</v>
      </c>
      <c r="B126" t="s">
        <v>11607</v>
      </c>
      <c r="C126" t="s">
        <v>6491</v>
      </c>
      <c r="D126" t="s">
        <v>12038</v>
      </c>
      <c r="E126" t="b">
        <v>0</v>
      </c>
      <c r="F126" t="s">
        <v>11610</v>
      </c>
      <c r="L126">
        <v>0</v>
      </c>
      <c r="M126">
        <v>0</v>
      </c>
      <c r="N126">
        <v>0</v>
      </c>
    </row>
    <row r="127" spans="1:15">
      <c r="A127" t="s">
        <v>12039</v>
      </c>
      <c r="B127" t="s">
        <v>11844</v>
      </c>
      <c r="C127" t="s">
        <v>11845</v>
      </c>
      <c r="D127" t="s">
        <v>12040</v>
      </c>
      <c r="E127" t="b">
        <v>0</v>
      </c>
      <c r="F127" t="s">
        <v>11610</v>
      </c>
      <c r="L127">
        <v>0</v>
      </c>
      <c r="M127">
        <v>0</v>
      </c>
      <c r="N127">
        <v>0</v>
      </c>
    </row>
    <row r="128" spans="1:15">
      <c r="A128" t="s">
        <v>12041</v>
      </c>
      <c r="B128" t="s">
        <v>367</v>
      </c>
      <c r="C128" t="s">
        <v>5372</v>
      </c>
      <c r="D128" t="s">
        <v>12042</v>
      </c>
      <c r="E128" t="b">
        <v>0</v>
      </c>
      <c r="F128" t="s">
        <v>11610</v>
      </c>
      <c r="L128">
        <v>0</v>
      </c>
      <c r="M128">
        <v>0</v>
      </c>
      <c r="N128">
        <v>0</v>
      </c>
    </row>
    <row r="129" spans="1:15">
      <c r="A129" t="s">
        <v>12043</v>
      </c>
      <c r="B129" t="s">
        <v>367</v>
      </c>
      <c r="C129" t="s">
        <v>12044</v>
      </c>
      <c r="D129" t="s">
        <v>12045</v>
      </c>
      <c r="E129" t="b">
        <v>0</v>
      </c>
      <c r="F129" t="s">
        <v>11610</v>
      </c>
      <c r="L129">
        <v>0</v>
      </c>
      <c r="M129">
        <v>0</v>
      </c>
      <c r="N129">
        <v>0</v>
      </c>
    </row>
    <row r="130" spans="1:15">
      <c r="A130" t="s">
        <v>12046</v>
      </c>
      <c r="B130" t="s">
        <v>11637</v>
      </c>
      <c r="C130" t="s">
        <v>12047</v>
      </c>
      <c r="D130" t="s">
        <v>12048</v>
      </c>
      <c r="E130" t="b">
        <v>0</v>
      </c>
      <c r="F130" t="s">
        <v>11624</v>
      </c>
      <c r="G130">
        <v>40.049999999999997</v>
      </c>
      <c r="H130">
        <v>48.06</v>
      </c>
      <c r="L130">
        <v>0</v>
      </c>
      <c r="M130">
        <v>0</v>
      </c>
      <c r="N130">
        <v>0</v>
      </c>
      <c r="O130" t="s">
        <v>12049</v>
      </c>
    </row>
    <row r="131" spans="1:15">
      <c r="A131" t="s">
        <v>12050</v>
      </c>
      <c r="B131" t="s">
        <v>11757</v>
      </c>
      <c r="C131" t="s">
        <v>11958</v>
      </c>
      <c r="D131" t="s">
        <v>12051</v>
      </c>
      <c r="E131" t="b">
        <v>0</v>
      </c>
      <c r="F131" t="s">
        <v>11622</v>
      </c>
      <c r="L131">
        <v>1</v>
      </c>
      <c r="M131">
        <v>3</v>
      </c>
      <c r="N131">
        <v>4</v>
      </c>
    </row>
    <row r="132" spans="1:15">
      <c r="A132" t="s">
        <v>12052</v>
      </c>
      <c r="B132" t="s">
        <v>11757</v>
      </c>
      <c r="C132" t="s">
        <v>12050</v>
      </c>
      <c r="D132" t="s">
        <v>12053</v>
      </c>
      <c r="E132" t="b">
        <v>0</v>
      </c>
      <c r="F132" t="s">
        <v>11622</v>
      </c>
      <c r="L132">
        <v>0</v>
      </c>
      <c r="M132">
        <v>2</v>
      </c>
      <c r="N132">
        <v>0</v>
      </c>
    </row>
    <row r="133" spans="1:15">
      <c r="A133" t="s">
        <v>12054</v>
      </c>
      <c r="B133" t="s">
        <v>11757</v>
      </c>
      <c r="C133" t="s">
        <v>12052</v>
      </c>
      <c r="D133" t="s">
        <v>12055</v>
      </c>
      <c r="E133" t="b">
        <v>0</v>
      </c>
      <c r="F133" t="s">
        <v>11624</v>
      </c>
      <c r="G133">
        <v>0.73234999999999995</v>
      </c>
      <c r="H133">
        <v>34.034100000000002</v>
      </c>
      <c r="I133" t="s">
        <v>12056</v>
      </c>
      <c r="L133">
        <v>0</v>
      </c>
      <c r="M133">
        <v>0</v>
      </c>
      <c r="N133">
        <v>0</v>
      </c>
      <c r="O133" t="s">
        <v>12057</v>
      </c>
    </row>
    <row r="134" spans="1:15">
      <c r="A134" t="s">
        <v>12058</v>
      </c>
      <c r="B134" t="s">
        <v>6742</v>
      </c>
      <c r="C134" t="s">
        <v>12059</v>
      </c>
      <c r="D134" t="s">
        <v>12060</v>
      </c>
      <c r="E134" t="b">
        <v>0</v>
      </c>
      <c r="F134" t="s">
        <v>11610</v>
      </c>
      <c r="L134">
        <v>0</v>
      </c>
      <c r="M134">
        <v>0</v>
      </c>
      <c r="N134">
        <v>0</v>
      </c>
    </row>
    <row r="135" spans="1:15">
      <c r="A135" t="s">
        <v>12061</v>
      </c>
      <c r="B135" t="s">
        <v>11844</v>
      </c>
      <c r="C135" t="s">
        <v>9047</v>
      </c>
      <c r="D135" t="s">
        <v>12062</v>
      </c>
      <c r="E135" t="b">
        <v>0</v>
      </c>
      <c r="F135" t="s">
        <v>11610</v>
      </c>
      <c r="L135">
        <v>0</v>
      </c>
      <c r="M135">
        <v>0</v>
      </c>
      <c r="N135">
        <v>0</v>
      </c>
    </row>
    <row r="136" spans="1:15">
      <c r="A136" t="s">
        <v>12063</v>
      </c>
      <c r="B136" t="s">
        <v>6742</v>
      </c>
      <c r="C136" t="s">
        <v>12064</v>
      </c>
      <c r="D136" t="s">
        <v>12065</v>
      </c>
      <c r="E136" t="b">
        <v>0</v>
      </c>
      <c r="F136" t="s">
        <v>11610</v>
      </c>
      <c r="L136">
        <v>0</v>
      </c>
      <c r="M136">
        <v>0</v>
      </c>
      <c r="N136">
        <v>0</v>
      </c>
    </row>
    <row r="137" spans="1:15">
      <c r="A137" t="s">
        <v>12066</v>
      </c>
      <c r="B137" t="s">
        <v>12067</v>
      </c>
      <c r="C137" t="s">
        <v>12068</v>
      </c>
      <c r="D137" t="s">
        <v>12069</v>
      </c>
      <c r="E137" t="b">
        <v>0</v>
      </c>
      <c r="F137" t="s">
        <v>11610</v>
      </c>
      <c r="L137">
        <v>0</v>
      </c>
      <c r="M137">
        <v>0</v>
      </c>
      <c r="N137">
        <v>0</v>
      </c>
    </row>
    <row r="138" spans="1:15">
      <c r="A138" t="s">
        <v>12070</v>
      </c>
      <c r="B138" t="s">
        <v>367</v>
      </c>
      <c r="C138" t="s">
        <v>12071</v>
      </c>
      <c r="D138" t="s">
        <v>12072</v>
      </c>
      <c r="E138" t="b">
        <v>0</v>
      </c>
      <c r="F138" t="s">
        <v>11610</v>
      </c>
      <c r="L138">
        <v>0</v>
      </c>
      <c r="M138">
        <v>0</v>
      </c>
      <c r="N138">
        <v>0</v>
      </c>
    </row>
    <row r="139" spans="1:15">
      <c r="A139" t="s">
        <v>12073</v>
      </c>
      <c r="B139" t="s">
        <v>6742</v>
      </c>
      <c r="C139" t="s">
        <v>11712</v>
      </c>
      <c r="D139" t="s">
        <v>12074</v>
      </c>
      <c r="E139" t="b">
        <v>0</v>
      </c>
      <c r="F139" t="s">
        <v>11610</v>
      </c>
      <c r="L139">
        <v>0</v>
      </c>
      <c r="M139">
        <v>0</v>
      </c>
      <c r="N139">
        <v>0</v>
      </c>
    </row>
    <row r="140" spans="1:15">
      <c r="A140" t="s">
        <v>12075</v>
      </c>
      <c r="B140" t="s">
        <v>6742</v>
      </c>
      <c r="C140" t="s">
        <v>11732</v>
      </c>
      <c r="D140" t="s">
        <v>12076</v>
      </c>
      <c r="E140" t="b">
        <v>0</v>
      </c>
      <c r="F140" t="s">
        <v>11624</v>
      </c>
      <c r="G140">
        <v>5.3822799999999997</v>
      </c>
      <c r="H140">
        <v>-4.52522</v>
      </c>
      <c r="I140" t="s">
        <v>12077</v>
      </c>
      <c r="L140">
        <v>0</v>
      </c>
      <c r="M140">
        <v>0</v>
      </c>
      <c r="N140">
        <v>0</v>
      </c>
      <c r="O140" t="s">
        <v>11735</v>
      </c>
    </row>
    <row r="141" spans="1:15">
      <c r="A141" t="s">
        <v>12078</v>
      </c>
      <c r="B141" t="s">
        <v>11637</v>
      </c>
      <c r="C141" t="s">
        <v>12079</v>
      </c>
      <c r="D141" t="s">
        <v>12080</v>
      </c>
      <c r="E141" t="b">
        <v>0</v>
      </c>
      <c r="F141" t="s">
        <v>11610</v>
      </c>
      <c r="L141">
        <v>0</v>
      </c>
      <c r="M141">
        <v>0</v>
      </c>
      <c r="N141">
        <v>0</v>
      </c>
    </row>
    <row r="142" spans="1:15">
      <c r="A142" t="s">
        <v>12081</v>
      </c>
      <c r="B142" t="s">
        <v>11637</v>
      </c>
      <c r="C142" t="s">
        <v>12082</v>
      </c>
      <c r="D142" t="s">
        <v>12083</v>
      </c>
      <c r="E142" t="b">
        <v>0</v>
      </c>
      <c r="F142" t="s">
        <v>11624</v>
      </c>
      <c r="G142">
        <v>18.104600000000001</v>
      </c>
      <c r="H142">
        <v>82.848699999999994</v>
      </c>
      <c r="I142" t="s">
        <v>12084</v>
      </c>
      <c r="L142">
        <v>0</v>
      </c>
      <c r="M142">
        <v>0</v>
      </c>
      <c r="N142">
        <v>0</v>
      </c>
      <c r="O142" t="s">
        <v>11630</v>
      </c>
    </row>
    <row r="143" spans="1:15">
      <c r="A143" t="s">
        <v>12085</v>
      </c>
      <c r="B143" t="s">
        <v>11637</v>
      </c>
      <c r="C143" t="s">
        <v>12086</v>
      </c>
      <c r="D143" t="s">
        <v>12087</v>
      </c>
      <c r="E143" t="b">
        <v>0</v>
      </c>
      <c r="F143" t="s">
        <v>11624</v>
      </c>
      <c r="G143">
        <v>24.071200000000001</v>
      </c>
      <c r="H143">
        <v>73.142600000000002</v>
      </c>
      <c r="I143" t="s">
        <v>12088</v>
      </c>
      <c r="L143">
        <v>0</v>
      </c>
      <c r="M143">
        <v>0</v>
      </c>
      <c r="N143">
        <v>0</v>
      </c>
      <c r="O143" t="s">
        <v>11630</v>
      </c>
    </row>
    <row r="144" spans="1:15">
      <c r="A144" t="s">
        <v>12089</v>
      </c>
      <c r="B144" t="s">
        <v>11844</v>
      </c>
      <c r="C144" t="s">
        <v>12090</v>
      </c>
      <c r="D144" t="s">
        <v>12091</v>
      </c>
      <c r="E144" t="b">
        <v>0</v>
      </c>
      <c r="F144" t="s">
        <v>11610</v>
      </c>
      <c r="L144">
        <v>0</v>
      </c>
      <c r="M144">
        <v>0</v>
      </c>
      <c r="N144">
        <v>0</v>
      </c>
    </row>
    <row r="145" spans="1:15">
      <c r="A145" t="s">
        <v>12092</v>
      </c>
      <c r="B145" t="s">
        <v>10597</v>
      </c>
      <c r="C145" t="s">
        <v>12093</v>
      </c>
      <c r="D145" t="s">
        <v>12094</v>
      </c>
      <c r="E145" t="b">
        <v>0</v>
      </c>
      <c r="F145" t="s">
        <v>11610</v>
      </c>
      <c r="L145">
        <v>0</v>
      </c>
      <c r="M145">
        <v>0</v>
      </c>
      <c r="N145">
        <v>0</v>
      </c>
    </row>
    <row r="146" spans="1:15">
      <c r="A146" t="s">
        <v>12095</v>
      </c>
      <c r="B146" t="s">
        <v>11729</v>
      </c>
      <c r="C146" t="s">
        <v>1881</v>
      </c>
      <c r="D146" t="s">
        <v>12096</v>
      </c>
      <c r="E146" t="b">
        <v>0</v>
      </c>
      <c r="F146" t="s">
        <v>11610</v>
      </c>
      <c r="L146">
        <v>0</v>
      </c>
      <c r="M146">
        <v>0</v>
      </c>
      <c r="N146">
        <v>0</v>
      </c>
    </row>
    <row r="147" spans="1:15">
      <c r="A147" t="s">
        <v>12097</v>
      </c>
      <c r="B147" t="s">
        <v>11637</v>
      </c>
      <c r="C147" t="s">
        <v>12098</v>
      </c>
      <c r="D147" t="s">
        <v>12099</v>
      </c>
      <c r="E147" t="b">
        <v>0</v>
      </c>
      <c r="F147" t="s">
        <v>11610</v>
      </c>
      <c r="L147">
        <v>0</v>
      </c>
      <c r="M147">
        <v>0</v>
      </c>
      <c r="N147">
        <v>0</v>
      </c>
    </row>
    <row r="148" spans="1:15">
      <c r="A148" t="s">
        <v>12100</v>
      </c>
      <c r="B148" t="s">
        <v>367</v>
      </c>
      <c r="C148" t="s">
        <v>12101</v>
      </c>
      <c r="D148" t="s">
        <v>12102</v>
      </c>
      <c r="E148" t="b">
        <v>0</v>
      </c>
      <c r="F148" t="s">
        <v>11622</v>
      </c>
      <c r="L148">
        <v>15</v>
      </c>
      <c r="M148">
        <v>32</v>
      </c>
      <c r="N148">
        <v>18</v>
      </c>
    </row>
    <row r="149" spans="1:15">
      <c r="A149" t="s">
        <v>12103</v>
      </c>
      <c r="B149" t="s">
        <v>10597</v>
      </c>
      <c r="C149" t="s">
        <v>12104</v>
      </c>
      <c r="D149" t="s">
        <v>12105</v>
      </c>
      <c r="E149" t="b">
        <v>0</v>
      </c>
      <c r="F149" t="s">
        <v>11624</v>
      </c>
      <c r="G149">
        <v>-30.145099999999999</v>
      </c>
      <c r="H149">
        <v>138.67099999999999</v>
      </c>
      <c r="I149" t="s">
        <v>12106</v>
      </c>
      <c r="L149">
        <v>0</v>
      </c>
      <c r="M149">
        <v>0</v>
      </c>
      <c r="N149">
        <v>0</v>
      </c>
      <c r="O149" t="s">
        <v>12107</v>
      </c>
    </row>
    <row r="150" spans="1:15">
      <c r="A150" t="s">
        <v>12108</v>
      </c>
      <c r="B150" t="s">
        <v>6742</v>
      </c>
      <c r="C150" t="s">
        <v>12109</v>
      </c>
      <c r="D150" t="s">
        <v>12110</v>
      </c>
      <c r="E150" t="b">
        <v>0</v>
      </c>
      <c r="F150" t="s">
        <v>11610</v>
      </c>
      <c r="L150">
        <v>0</v>
      </c>
      <c r="M150">
        <v>0</v>
      </c>
      <c r="N150">
        <v>0</v>
      </c>
    </row>
    <row r="151" spans="1:15">
      <c r="A151" t="s">
        <v>12111</v>
      </c>
      <c r="B151" t="s">
        <v>367</v>
      </c>
      <c r="C151" t="s">
        <v>12112</v>
      </c>
      <c r="D151" t="s">
        <v>12113</v>
      </c>
      <c r="E151" t="b">
        <v>0</v>
      </c>
      <c r="F151" t="s">
        <v>11624</v>
      </c>
      <c r="G151">
        <v>-8.3202700000000007</v>
      </c>
      <c r="H151">
        <v>123.15900000000001</v>
      </c>
      <c r="I151" t="s">
        <v>12114</v>
      </c>
      <c r="L151">
        <v>0</v>
      </c>
      <c r="M151">
        <v>0</v>
      </c>
      <c r="N151">
        <v>10</v>
      </c>
      <c r="O151" t="s">
        <v>11768</v>
      </c>
    </row>
    <row r="152" spans="1:15">
      <c r="A152" t="s">
        <v>12115</v>
      </c>
      <c r="B152" t="s">
        <v>367</v>
      </c>
      <c r="C152" t="s">
        <v>12116</v>
      </c>
      <c r="D152" t="s">
        <v>12117</v>
      </c>
      <c r="E152" t="b">
        <v>0</v>
      </c>
      <c r="F152" t="s">
        <v>11610</v>
      </c>
      <c r="L152">
        <v>0</v>
      </c>
      <c r="M152">
        <v>0</v>
      </c>
      <c r="N152">
        <v>0</v>
      </c>
    </row>
    <row r="153" spans="1:15">
      <c r="A153" t="s">
        <v>12118</v>
      </c>
      <c r="B153" t="s">
        <v>11757</v>
      </c>
      <c r="C153" t="s">
        <v>12119</v>
      </c>
      <c r="D153" t="s">
        <v>12120</v>
      </c>
      <c r="E153" t="b">
        <v>0</v>
      </c>
      <c r="F153" t="s">
        <v>11610</v>
      </c>
      <c r="L153">
        <v>0</v>
      </c>
      <c r="M153">
        <v>0</v>
      </c>
      <c r="N153">
        <v>0</v>
      </c>
    </row>
    <row r="154" spans="1:15">
      <c r="A154" t="s">
        <v>12121</v>
      </c>
      <c r="B154" t="s">
        <v>11627</v>
      </c>
      <c r="C154" t="s">
        <v>11627</v>
      </c>
      <c r="D154" t="s">
        <v>12122</v>
      </c>
      <c r="E154" t="b">
        <v>1</v>
      </c>
      <c r="F154" t="s">
        <v>11624</v>
      </c>
      <c r="G154">
        <v>7.64567</v>
      </c>
      <c r="H154">
        <v>6.1308499999999997</v>
      </c>
      <c r="I154" t="s">
        <v>12123</v>
      </c>
      <c r="L154">
        <v>0</v>
      </c>
      <c r="M154">
        <v>0</v>
      </c>
      <c r="N154">
        <v>0</v>
      </c>
      <c r="O154" t="s">
        <v>11693</v>
      </c>
    </row>
    <row r="155" spans="1:15">
      <c r="A155" t="s">
        <v>12124</v>
      </c>
      <c r="B155" t="s">
        <v>6742</v>
      </c>
      <c r="C155" t="s">
        <v>12125</v>
      </c>
      <c r="D155" t="s">
        <v>12126</v>
      </c>
      <c r="E155" t="b">
        <v>0</v>
      </c>
      <c r="F155" t="s">
        <v>11610</v>
      </c>
      <c r="L155">
        <v>0</v>
      </c>
      <c r="M155">
        <v>0</v>
      </c>
      <c r="N155">
        <v>0</v>
      </c>
    </row>
    <row r="156" spans="1:15">
      <c r="A156" t="s">
        <v>12127</v>
      </c>
      <c r="B156" t="s">
        <v>12128</v>
      </c>
      <c r="C156" t="s">
        <v>12129</v>
      </c>
      <c r="D156" t="s">
        <v>12130</v>
      </c>
      <c r="E156" t="b">
        <v>0</v>
      </c>
      <c r="F156" t="s">
        <v>11624</v>
      </c>
      <c r="L156">
        <v>0</v>
      </c>
      <c r="M156">
        <v>0</v>
      </c>
      <c r="N156">
        <v>0</v>
      </c>
      <c r="O156" t="s">
        <v>12131</v>
      </c>
    </row>
    <row r="157" spans="1:15">
      <c r="A157" t="s">
        <v>12132</v>
      </c>
      <c r="B157" t="s">
        <v>12133</v>
      </c>
      <c r="C157" t="s">
        <v>12134</v>
      </c>
      <c r="D157" t="s">
        <v>12135</v>
      </c>
      <c r="E157" t="b">
        <v>0</v>
      </c>
      <c r="F157" t="s">
        <v>11610</v>
      </c>
      <c r="L157">
        <v>0</v>
      </c>
      <c r="M157">
        <v>0</v>
      </c>
      <c r="N157">
        <v>0</v>
      </c>
    </row>
    <row r="158" spans="1:15">
      <c r="A158" t="s">
        <v>11654</v>
      </c>
      <c r="B158" t="s">
        <v>11653</v>
      </c>
      <c r="C158" t="s">
        <v>12136</v>
      </c>
      <c r="D158" t="s">
        <v>12137</v>
      </c>
      <c r="E158" t="b">
        <v>0</v>
      </c>
      <c r="F158" t="s">
        <v>11624</v>
      </c>
      <c r="G158">
        <v>44</v>
      </c>
      <c r="H158">
        <v>39.33</v>
      </c>
      <c r="I158" t="s">
        <v>12138</v>
      </c>
      <c r="L158">
        <v>0</v>
      </c>
      <c r="M158">
        <v>0</v>
      </c>
      <c r="N158">
        <v>5</v>
      </c>
      <c r="O158" t="s">
        <v>12139</v>
      </c>
    </row>
    <row r="159" spans="1:15">
      <c r="A159" t="s">
        <v>12140</v>
      </c>
      <c r="B159" t="s">
        <v>367</v>
      </c>
      <c r="C159" t="s">
        <v>12141</v>
      </c>
      <c r="D159" t="s">
        <v>12142</v>
      </c>
      <c r="E159" t="b">
        <v>0</v>
      </c>
      <c r="F159" t="s">
        <v>11624</v>
      </c>
      <c r="G159">
        <v>-6.3939399999999997</v>
      </c>
      <c r="H159">
        <v>146.29400000000001</v>
      </c>
      <c r="I159" t="s">
        <v>12143</v>
      </c>
      <c r="L159">
        <v>0</v>
      </c>
      <c r="M159">
        <v>0</v>
      </c>
      <c r="N159">
        <v>0</v>
      </c>
      <c r="O159" t="s">
        <v>11660</v>
      </c>
    </row>
    <row r="160" spans="1:15">
      <c r="A160" t="s">
        <v>12144</v>
      </c>
      <c r="B160" t="s">
        <v>11627</v>
      </c>
      <c r="C160" t="s">
        <v>11627</v>
      </c>
      <c r="D160" t="s">
        <v>12145</v>
      </c>
      <c r="E160" t="b">
        <v>1</v>
      </c>
      <c r="F160" t="s">
        <v>11624</v>
      </c>
      <c r="I160" t="s">
        <v>12146</v>
      </c>
      <c r="L160">
        <v>0</v>
      </c>
      <c r="M160">
        <v>0</v>
      </c>
      <c r="N160">
        <v>0</v>
      </c>
    </row>
    <row r="161" spans="1:15">
      <c r="A161" t="s">
        <v>12147</v>
      </c>
      <c r="B161" t="s">
        <v>12148</v>
      </c>
      <c r="C161" t="s">
        <v>61</v>
      </c>
      <c r="D161" t="s">
        <v>12149</v>
      </c>
      <c r="E161" t="b">
        <v>0</v>
      </c>
      <c r="F161" t="s">
        <v>11610</v>
      </c>
      <c r="L161">
        <v>0</v>
      </c>
      <c r="M161">
        <v>0</v>
      </c>
      <c r="N161">
        <v>0</v>
      </c>
    </row>
    <row r="162" spans="1:15">
      <c r="A162" t="s">
        <v>12150</v>
      </c>
      <c r="B162" t="s">
        <v>11637</v>
      </c>
      <c r="C162" t="s">
        <v>12151</v>
      </c>
      <c r="D162" t="s">
        <v>12152</v>
      </c>
      <c r="E162" t="b">
        <v>0</v>
      </c>
      <c r="F162" t="s">
        <v>11610</v>
      </c>
      <c r="L162">
        <v>0</v>
      </c>
      <c r="M162">
        <v>0</v>
      </c>
      <c r="N162">
        <v>0</v>
      </c>
    </row>
    <row r="163" spans="1:15">
      <c r="A163" t="s">
        <v>12153</v>
      </c>
      <c r="B163" t="s">
        <v>11615</v>
      </c>
      <c r="C163" t="s">
        <v>12154</v>
      </c>
      <c r="D163" t="s">
        <v>12155</v>
      </c>
      <c r="E163" t="b">
        <v>0</v>
      </c>
      <c r="F163" t="s">
        <v>11624</v>
      </c>
      <c r="G163">
        <v>-8.8550950000000004</v>
      </c>
      <c r="H163">
        <v>147.99476999999999</v>
      </c>
      <c r="I163" t="s">
        <v>12156</v>
      </c>
      <c r="L163">
        <v>0</v>
      </c>
      <c r="M163">
        <v>0</v>
      </c>
      <c r="N163">
        <v>0</v>
      </c>
      <c r="O163" t="s">
        <v>11660</v>
      </c>
    </row>
    <row r="164" spans="1:15">
      <c r="A164" t="s">
        <v>12157</v>
      </c>
      <c r="B164" t="s">
        <v>12158</v>
      </c>
      <c r="C164" t="s">
        <v>12159</v>
      </c>
      <c r="D164" t="s">
        <v>12160</v>
      </c>
      <c r="E164" t="b">
        <v>0</v>
      </c>
      <c r="F164" t="s">
        <v>11624</v>
      </c>
      <c r="G164">
        <v>-5.8847800000000001</v>
      </c>
      <c r="H164">
        <v>141.53200000000001</v>
      </c>
      <c r="I164" t="s">
        <v>12161</v>
      </c>
      <c r="L164">
        <v>0</v>
      </c>
      <c r="M164">
        <v>0</v>
      </c>
      <c r="N164">
        <v>3</v>
      </c>
      <c r="O164" t="s">
        <v>11660</v>
      </c>
    </row>
    <row r="165" spans="1:15">
      <c r="A165" t="s">
        <v>12162</v>
      </c>
      <c r="B165" t="s">
        <v>11637</v>
      </c>
      <c r="C165" t="s">
        <v>12163</v>
      </c>
      <c r="D165" t="s">
        <v>12164</v>
      </c>
      <c r="E165" t="b">
        <v>0</v>
      </c>
      <c r="F165" t="s">
        <v>11610</v>
      </c>
      <c r="L165">
        <v>0</v>
      </c>
      <c r="M165">
        <v>0</v>
      </c>
      <c r="N165">
        <v>0</v>
      </c>
    </row>
    <row r="166" spans="1:15">
      <c r="A166" t="s">
        <v>12165</v>
      </c>
      <c r="B166" t="s">
        <v>11637</v>
      </c>
      <c r="C166" t="s">
        <v>12166</v>
      </c>
      <c r="D166" t="s">
        <v>12167</v>
      </c>
      <c r="E166" t="b">
        <v>0</v>
      </c>
      <c r="F166" t="s">
        <v>11610</v>
      </c>
      <c r="L166">
        <v>0</v>
      </c>
      <c r="M166">
        <v>0</v>
      </c>
      <c r="N166">
        <v>0</v>
      </c>
    </row>
    <row r="167" spans="1:15">
      <c r="A167" t="s">
        <v>12168</v>
      </c>
      <c r="B167" t="s">
        <v>11637</v>
      </c>
      <c r="C167" t="s">
        <v>12169</v>
      </c>
      <c r="D167" t="s">
        <v>12170</v>
      </c>
      <c r="E167" t="b">
        <v>0</v>
      </c>
      <c r="F167" t="s">
        <v>11624</v>
      </c>
      <c r="G167">
        <v>25.254000000000001</v>
      </c>
      <c r="H167">
        <v>69.028999999999996</v>
      </c>
      <c r="I167" t="s">
        <v>12171</v>
      </c>
      <c r="L167">
        <v>0</v>
      </c>
      <c r="M167">
        <v>0</v>
      </c>
      <c r="N167">
        <v>2</v>
      </c>
      <c r="O167" t="s">
        <v>12172</v>
      </c>
    </row>
    <row r="168" spans="1:15">
      <c r="A168" t="s">
        <v>12173</v>
      </c>
      <c r="B168" t="s">
        <v>11794</v>
      </c>
      <c r="C168" t="s">
        <v>12174</v>
      </c>
      <c r="D168" t="s">
        <v>12175</v>
      </c>
      <c r="E168" t="b">
        <v>0</v>
      </c>
      <c r="F168" t="s">
        <v>11610</v>
      </c>
      <c r="L168">
        <v>0</v>
      </c>
      <c r="M168">
        <v>0</v>
      </c>
      <c r="N168">
        <v>0</v>
      </c>
    </row>
    <row r="169" spans="1:15">
      <c r="A169" t="s">
        <v>12176</v>
      </c>
      <c r="B169" t="s">
        <v>6742</v>
      </c>
      <c r="C169" t="s">
        <v>12177</v>
      </c>
      <c r="D169" t="s">
        <v>12178</v>
      </c>
      <c r="E169" t="b">
        <v>0</v>
      </c>
      <c r="F169" t="s">
        <v>11610</v>
      </c>
      <c r="L169">
        <v>0</v>
      </c>
      <c r="M169">
        <v>0</v>
      </c>
      <c r="N169">
        <v>0</v>
      </c>
    </row>
    <row r="170" spans="1:15">
      <c r="A170" t="s">
        <v>12179</v>
      </c>
      <c r="B170" t="s">
        <v>11607</v>
      </c>
      <c r="C170" t="s">
        <v>12180</v>
      </c>
      <c r="D170" t="s">
        <v>12181</v>
      </c>
      <c r="E170" t="b">
        <v>0</v>
      </c>
      <c r="F170" t="s">
        <v>11624</v>
      </c>
      <c r="G170">
        <v>12.055099999999999</v>
      </c>
      <c r="H170">
        <v>14.6343</v>
      </c>
      <c r="I170" t="s">
        <v>12182</v>
      </c>
      <c r="L170">
        <v>0</v>
      </c>
      <c r="M170">
        <v>0</v>
      </c>
      <c r="N170">
        <v>0</v>
      </c>
      <c r="O170" t="s">
        <v>11802</v>
      </c>
    </row>
    <row r="171" spans="1:15">
      <c r="A171" t="s">
        <v>996</v>
      </c>
      <c r="B171" t="s">
        <v>11607</v>
      </c>
      <c r="C171" t="s">
        <v>12183</v>
      </c>
      <c r="D171" t="s">
        <v>995</v>
      </c>
      <c r="E171" t="b">
        <v>0</v>
      </c>
      <c r="F171" t="s">
        <v>11624</v>
      </c>
      <c r="G171">
        <v>12.2281</v>
      </c>
      <c r="H171">
        <v>41.808300000000003</v>
      </c>
      <c r="I171" t="s">
        <v>997</v>
      </c>
      <c r="L171">
        <v>0</v>
      </c>
      <c r="M171">
        <v>0</v>
      </c>
      <c r="N171">
        <v>4</v>
      </c>
      <c r="O171" t="s">
        <v>12184</v>
      </c>
    </row>
    <row r="172" spans="1:15">
      <c r="A172" t="s">
        <v>12185</v>
      </c>
      <c r="B172" t="s">
        <v>11607</v>
      </c>
      <c r="C172" t="s">
        <v>765</v>
      </c>
      <c r="D172" t="s">
        <v>12186</v>
      </c>
      <c r="E172" t="b">
        <v>0</v>
      </c>
      <c r="F172" t="s">
        <v>11610</v>
      </c>
      <c r="L172">
        <v>0</v>
      </c>
      <c r="M172">
        <v>0</v>
      </c>
      <c r="N172">
        <v>0</v>
      </c>
    </row>
    <row r="173" spans="1:15">
      <c r="A173" t="s">
        <v>12187</v>
      </c>
      <c r="B173" t="s">
        <v>6742</v>
      </c>
      <c r="C173" t="s">
        <v>12188</v>
      </c>
      <c r="D173" t="s">
        <v>12189</v>
      </c>
      <c r="E173" t="b">
        <v>0</v>
      </c>
      <c r="F173" t="s">
        <v>11622</v>
      </c>
      <c r="L173">
        <v>1</v>
      </c>
      <c r="M173">
        <v>3</v>
      </c>
      <c r="N173">
        <v>8</v>
      </c>
    </row>
    <row r="174" spans="1:15">
      <c r="A174" t="s">
        <v>12190</v>
      </c>
      <c r="B174" t="s">
        <v>11607</v>
      </c>
      <c r="C174" t="s">
        <v>12191</v>
      </c>
      <c r="D174" t="s">
        <v>12192</v>
      </c>
      <c r="E174" t="b">
        <v>0</v>
      </c>
      <c r="F174" t="s">
        <v>11610</v>
      </c>
      <c r="L174">
        <v>0</v>
      </c>
      <c r="M174">
        <v>0</v>
      </c>
      <c r="N174">
        <v>0</v>
      </c>
    </row>
    <row r="175" spans="1:15">
      <c r="A175" t="s">
        <v>12193</v>
      </c>
      <c r="B175" t="s">
        <v>6742</v>
      </c>
      <c r="C175" t="s">
        <v>12194</v>
      </c>
      <c r="D175" t="s">
        <v>12195</v>
      </c>
      <c r="E175" t="b">
        <v>0</v>
      </c>
      <c r="F175" t="s">
        <v>11610</v>
      </c>
      <c r="L175">
        <v>0</v>
      </c>
      <c r="M175">
        <v>0</v>
      </c>
      <c r="N175">
        <v>0</v>
      </c>
    </row>
    <row r="176" spans="1:15">
      <c r="A176" t="s">
        <v>12196</v>
      </c>
      <c r="B176" t="s">
        <v>11607</v>
      </c>
      <c r="C176" t="s">
        <v>12197</v>
      </c>
      <c r="D176" t="s">
        <v>12198</v>
      </c>
      <c r="E176" t="b">
        <v>0</v>
      </c>
      <c r="F176" t="s">
        <v>11622</v>
      </c>
      <c r="L176">
        <v>0</v>
      </c>
      <c r="M176">
        <v>2</v>
      </c>
      <c r="N176">
        <v>3</v>
      </c>
    </row>
    <row r="177" spans="1:15">
      <c r="A177" t="s">
        <v>12199</v>
      </c>
      <c r="B177" t="s">
        <v>11981</v>
      </c>
      <c r="C177" t="s">
        <v>12200</v>
      </c>
      <c r="D177" t="s">
        <v>12201</v>
      </c>
      <c r="E177" t="b">
        <v>0</v>
      </c>
      <c r="F177" t="s">
        <v>11624</v>
      </c>
      <c r="G177">
        <v>34.434167000000002</v>
      </c>
      <c r="H177">
        <v>70.447778</v>
      </c>
      <c r="I177" t="s">
        <v>12202</v>
      </c>
      <c r="L177">
        <v>0</v>
      </c>
      <c r="M177">
        <v>0</v>
      </c>
      <c r="N177">
        <v>0</v>
      </c>
      <c r="O177" t="s">
        <v>12131</v>
      </c>
    </row>
    <row r="178" spans="1:15">
      <c r="A178" t="s">
        <v>12203</v>
      </c>
      <c r="B178" t="s">
        <v>12204</v>
      </c>
      <c r="C178" t="s">
        <v>12205</v>
      </c>
      <c r="D178" t="s">
        <v>12206</v>
      </c>
      <c r="E178" t="b">
        <v>0</v>
      </c>
      <c r="F178" t="s">
        <v>11624</v>
      </c>
      <c r="L178">
        <v>0</v>
      </c>
      <c r="M178">
        <v>0</v>
      </c>
      <c r="N178">
        <v>0</v>
      </c>
      <c r="O178" t="s">
        <v>12131</v>
      </c>
    </row>
    <row r="179" spans="1:15">
      <c r="A179" t="s">
        <v>12207</v>
      </c>
      <c r="B179" t="s">
        <v>11607</v>
      </c>
      <c r="C179" t="s">
        <v>12208</v>
      </c>
      <c r="D179" t="s">
        <v>12209</v>
      </c>
      <c r="E179" t="b">
        <v>0</v>
      </c>
      <c r="F179" t="s">
        <v>11610</v>
      </c>
      <c r="L179">
        <v>0</v>
      </c>
      <c r="M179">
        <v>0</v>
      </c>
      <c r="N179">
        <v>0</v>
      </c>
    </row>
    <row r="180" spans="1:15">
      <c r="A180" t="s">
        <v>12210</v>
      </c>
      <c r="B180" t="s">
        <v>6742</v>
      </c>
      <c r="C180" t="s">
        <v>12211</v>
      </c>
      <c r="D180" t="s">
        <v>12212</v>
      </c>
      <c r="E180" t="b">
        <v>0</v>
      </c>
      <c r="F180" t="s">
        <v>11610</v>
      </c>
      <c r="L180">
        <v>0</v>
      </c>
      <c r="M180">
        <v>0</v>
      </c>
      <c r="N180">
        <v>0</v>
      </c>
    </row>
    <row r="181" spans="1:15">
      <c r="A181" t="s">
        <v>12213</v>
      </c>
      <c r="B181" t="s">
        <v>12214</v>
      </c>
      <c r="C181" t="s">
        <v>12214</v>
      </c>
      <c r="D181" t="s">
        <v>12215</v>
      </c>
      <c r="E181" t="b">
        <v>0</v>
      </c>
      <c r="F181" t="s">
        <v>11624</v>
      </c>
      <c r="G181">
        <v>12.446</v>
      </c>
      <c r="H181">
        <v>30.761099999999999</v>
      </c>
      <c r="I181" t="s">
        <v>12216</v>
      </c>
      <c r="L181">
        <v>0</v>
      </c>
      <c r="M181">
        <v>0</v>
      </c>
      <c r="N181">
        <v>0</v>
      </c>
      <c r="O181" t="s">
        <v>11910</v>
      </c>
    </row>
    <row r="182" spans="1:15">
      <c r="A182" t="s">
        <v>12217</v>
      </c>
      <c r="B182" t="s">
        <v>12218</v>
      </c>
      <c r="C182" t="s">
        <v>12219</v>
      </c>
      <c r="D182" t="s">
        <v>12220</v>
      </c>
      <c r="E182" t="b">
        <v>0</v>
      </c>
      <c r="F182" t="s">
        <v>11610</v>
      </c>
      <c r="L182">
        <v>0</v>
      </c>
      <c r="M182">
        <v>0</v>
      </c>
      <c r="N182">
        <v>0</v>
      </c>
    </row>
    <row r="183" spans="1:15">
      <c r="A183" t="s">
        <v>12221</v>
      </c>
      <c r="B183" t="s">
        <v>11637</v>
      </c>
      <c r="C183" t="s">
        <v>12222</v>
      </c>
      <c r="D183" t="s">
        <v>12223</v>
      </c>
      <c r="E183" t="b">
        <v>0</v>
      </c>
      <c r="F183" t="s">
        <v>11610</v>
      </c>
      <c r="L183">
        <v>0</v>
      </c>
      <c r="M183">
        <v>0</v>
      </c>
      <c r="N183">
        <v>0</v>
      </c>
    </row>
    <row r="184" spans="1:15">
      <c r="A184" t="s">
        <v>12224</v>
      </c>
      <c r="B184" t="s">
        <v>6742</v>
      </c>
      <c r="C184" t="s">
        <v>12225</v>
      </c>
      <c r="D184" t="s">
        <v>12226</v>
      </c>
      <c r="E184" t="b">
        <v>0</v>
      </c>
      <c r="F184" t="s">
        <v>11610</v>
      </c>
      <c r="L184">
        <v>0</v>
      </c>
      <c r="M184">
        <v>0</v>
      </c>
      <c r="N184">
        <v>0</v>
      </c>
    </row>
    <row r="185" spans="1:15">
      <c r="A185" t="s">
        <v>12227</v>
      </c>
      <c r="B185" t="s">
        <v>11637</v>
      </c>
      <c r="C185" t="s">
        <v>12228</v>
      </c>
      <c r="D185" t="s">
        <v>12229</v>
      </c>
      <c r="E185" t="b">
        <v>0</v>
      </c>
      <c r="F185" t="s">
        <v>11622</v>
      </c>
      <c r="L185">
        <v>0</v>
      </c>
      <c r="M185">
        <v>2</v>
      </c>
      <c r="N185">
        <v>3</v>
      </c>
    </row>
    <row r="186" spans="1:15">
      <c r="A186" t="s">
        <v>12230</v>
      </c>
      <c r="B186" t="s">
        <v>11637</v>
      </c>
      <c r="C186" t="s">
        <v>12227</v>
      </c>
      <c r="D186" t="s">
        <v>12231</v>
      </c>
      <c r="E186" t="b">
        <v>0</v>
      </c>
      <c r="F186" t="s">
        <v>11624</v>
      </c>
      <c r="G186">
        <v>-22</v>
      </c>
      <c r="H186">
        <v>30</v>
      </c>
      <c r="I186" t="s">
        <v>12232</v>
      </c>
      <c r="L186">
        <v>0</v>
      </c>
      <c r="M186">
        <v>0</v>
      </c>
      <c r="N186">
        <v>3</v>
      </c>
      <c r="O186" t="s">
        <v>12233</v>
      </c>
    </row>
    <row r="187" spans="1:15">
      <c r="A187" t="s">
        <v>12234</v>
      </c>
      <c r="B187" t="s">
        <v>11637</v>
      </c>
      <c r="C187" t="s">
        <v>12235</v>
      </c>
      <c r="D187" t="s">
        <v>12236</v>
      </c>
      <c r="E187" t="b">
        <v>0</v>
      </c>
      <c r="F187" t="s">
        <v>11624</v>
      </c>
      <c r="G187">
        <v>31.784300000000002</v>
      </c>
      <c r="H187">
        <v>-99.293400000000005</v>
      </c>
      <c r="I187" t="s">
        <v>12237</v>
      </c>
      <c r="L187">
        <v>0</v>
      </c>
      <c r="M187">
        <v>0</v>
      </c>
      <c r="N187">
        <v>0</v>
      </c>
      <c r="O187" t="s">
        <v>12238</v>
      </c>
    </row>
    <row r="188" spans="1:15">
      <c r="A188" t="s">
        <v>11607</v>
      </c>
      <c r="D188" t="s">
        <v>12239</v>
      </c>
      <c r="E188" t="b">
        <v>0</v>
      </c>
      <c r="F188" t="s">
        <v>11622</v>
      </c>
      <c r="L188">
        <v>216</v>
      </c>
      <c r="M188">
        <v>373</v>
      </c>
      <c r="N188">
        <v>704</v>
      </c>
    </row>
    <row r="189" spans="1:15">
      <c r="A189" t="s">
        <v>12240</v>
      </c>
      <c r="B189" t="s">
        <v>12241</v>
      </c>
      <c r="C189" t="s">
        <v>12241</v>
      </c>
      <c r="D189" t="s">
        <v>12242</v>
      </c>
      <c r="E189" t="b">
        <v>0</v>
      </c>
      <c r="F189" t="s">
        <v>11622</v>
      </c>
      <c r="L189">
        <v>0</v>
      </c>
      <c r="M189">
        <v>1</v>
      </c>
      <c r="N189">
        <v>2</v>
      </c>
    </row>
    <row r="190" spans="1:15">
      <c r="A190" t="s">
        <v>12243</v>
      </c>
      <c r="B190" t="s">
        <v>331</v>
      </c>
      <c r="C190" t="s">
        <v>12244</v>
      </c>
      <c r="D190" t="s">
        <v>12245</v>
      </c>
      <c r="E190" t="b">
        <v>0</v>
      </c>
      <c r="F190" t="s">
        <v>11610</v>
      </c>
      <c r="L190">
        <v>0</v>
      </c>
      <c r="M190">
        <v>0</v>
      </c>
      <c r="N190">
        <v>0</v>
      </c>
    </row>
    <row r="191" spans="1:15">
      <c r="A191" t="s">
        <v>12246</v>
      </c>
      <c r="B191" t="s">
        <v>6742</v>
      </c>
      <c r="C191" t="s">
        <v>12247</v>
      </c>
      <c r="D191" t="s">
        <v>12248</v>
      </c>
      <c r="E191" t="b">
        <v>0</v>
      </c>
      <c r="F191" t="s">
        <v>11624</v>
      </c>
      <c r="L191">
        <v>0</v>
      </c>
      <c r="M191">
        <v>0</v>
      </c>
      <c r="N191">
        <v>0</v>
      </c>
      <c r="O191" t="s">
        <v>11693</v>
      </c>
    </row>
    <row r="192" spans="1:15">
      <c r="A192" t="s">
        <v>12249</v>
      </c>
      <c r="B192" t="s">
        <v>12250</v>
      </c>
      <c r="C192" t="s">
        <v>12251</v>
      </c>
      <c r="D192" t="s">
        <v>12252</v>
      </c>
      <c r="E192" t="b">
        <v>0</v>
      </c>
      <c r="F192" t="s">
        <v>11610</v>
      </c>
      <c r="L192">
        <v>0</v>
      </c>
      <c r="M192">
        <v>0</v>
      </c>
      <c r="N192">
        <v>0</v>
      </c>
    </row>
    <row r="193" spans="1:15">
      <c r="A193" t="s">
        <v>12253</v>
      </c>
      <c r="B193" t="s">
        <v>12254</v>
      </c>
      <c r="C193" t="s">
        <v>12255</v>
      </c>
      <c r="D193" t="s">
        <v>12256</v>
      </c>
      <c r="E193" t="b">
        <v>0</v>
      </c>
      <c r="F193" t="s">
        <v>11610</v>
      </c>
      <c r="L193">
        <v>0</v>
      </c>
      <c r="M193">
        <v>0</v>
      </c>
      <c r="N193">
        <v>0</v>
      </c>
    </row>
    <row r="194" spans="1:15">
      <c r="A194" t="s">
        <v>12257</v>
      </c>
      <c r="B194" t="s">
        <v>367</v>
      </c>
      <c r="C194" t="s">
        <v>5309</v>
      </c>
      <c r="D194" t="s">
        <v>12258</v>
      </c>
      <c r="E194" t="b">
        <v>0</v>
      </c>
      <c r="F194" t="s">
        <v>11610</v>
      </c>
      <c r="L194">
        <v>0</v>
      </c>
      <c r="M194">
        <v>0</v>
      </c>
      <c r="N194">
        <v>0</v>
      </c>
    </row>
    <row r="195" spans="1:15">
      <c r="A195" t="s">
        <v>12259</v>
      </c>
      <c r="B195" t="s">
        <v>12260</v>
      </c>
      <c r="C195" t="s">
        <v>12261</v>
      </c>
      <c r="D195" t="s">
        <v>12262</v>
      </c>
      <c r="E195" t="b">
        <v>0</v>
      </c>
      <c r="F195" t="s">
        <v>11610</v>
      </c>
      <c r="L195">
        <v>0</v>
      </c>
      <c r="M195">
        <v>0</v>
      </c>
      <c r="N195">
        <v>0</v>
      </c>
    </row>
    <row r="196" spans="1:15">
      <c r="A196" t="s">
        <v>12263</v>
      </c>
      <c r="B196" t="s">
        <v>12260</v>
      </c>
      <c r="C196" t="s">
        <v>12264</v>
      </c>
      <c r="D196" t="s">
        <v>12265</v>
      </c>
      <c r="E196" t="b">
        <v>0</v>
      </c>
      <c r="F196" t="s">
        <v>11610</v>
      </c>
      <c r="L196">
        <v>0</v>
      </c>
      <c r="M196">
        <v>0</v>
      </c>
      <c r="N196">
        <v>0</v>
      </c>
    </row>
    <row r="197" spans="1:15">
      <c r="A197" t="s">
        <v>12266</v>
      </c>
      <c r="B197" t="s">
        <v>11757</v>
      </c>
      <c r="C197" t="s">
        <v>12267</v>
      </c>
      <c r="D197" t="s">
        <v>12268</v>
      </c>
      <c r="E197" t="b">
        <v>0</v>
      </c>
      <c r="F197" t="s">
        <v>11610</v>
      </c>
      <c r="L197">
        <v>0</v>
      </c>
      <c r="M197">
        <v>0</v>
      </c>
      <c r="N197">
        <v>0</v>
      </c>
    </row>
    <row r="198" spans="1:15">
      <c r="A198" t="s">
        <v>12269</v>
      </c>
      <c r="B198" t="s">
        <v>11637</v>
      </c>
      <c r="C198" t="s">
        <v>12270</v>
      </c>
      <c r="D198" t="s">
        <v>12271</v>
      </c>
      <c r="E198" t="b">
        <v>0</v>
      </c>
      <c r="F198" t="s">
        <v>11610</v>
      </c>
      <c r="L198">
        <v>0</v>
      </c>
      <c r="M198">
        <v>0</v>
      </c>
      <c r="N198">
        <v>0</v>
      </c>
    </row>
    <row r="199" spans="1:15">
      <c r="A199" t="s">
        <v>12272</v>
      </c>
      <c r="B199" t="s">
        <v>12241</v>
      </c>
      <c r="C199" t="s">
        <v>12273</v>
      </c>
      <c r="D199" t="s">
        <v>12274</v>
      </c>
      <c r="E199" t="b">
        <v>0</v>
      </c>
      <c r="F199" t="s">
        <v>11624</v>
      </c>
      <c r="G199">
        <v>24.502400000000002</v>
      </c>
      <c r="H199">
        <v>82.296999999999997</v>
      </c>
      <c r="I199" t="s">
        <v>12275</v>
      </c>
      <c r="L199">
        <v>0</v>
      </c>
      <c r="M199">
        <v>0</v>
      </c>
      <c r="N199">
        <v>0</v>
      </c>
      <c r="O199" t="s">
        <v>11630</v>
      </c>
    </row>
    <row r="200" spans="1:15">
      <c r="A200" t="s">
        <v>12276</v>
      </c>
      <c r="B200" t="s">
        <v>11615</v>
      </c>
      <c r="C200" t="s">
        <v>12277</v>
      </c>
      <c r="D200" t="s">
        <v>12278</v>
      </c>
      <c r="E200" t="b">
        <v>0</v>
      </c>
      <c r="F200" t="s">
        <v>11624</v>
      </c>
      <c r="G200">
        <v>-6.2060399999999998</v>
      </c>
      <c r="H200">
        <v>145.917</v>
      </c>
      <c r="I200" t="s">
        <v>12279</v>
      </c>
      <c r="L200">
        <v>0</v>
      </c>
      <c r="M200">
        <v>0</v>
      </c>
      <c r="N200">
        <v>0</v>
      </c>
      <c r="O200" t="s">
        <v>11660</v>
      </c>
    </row>
    <row r="201" spans="1:15">
      <c r="A201" t="s">
        <v>12280</v>
      </c>
      <c r="B201" t="s">
        <v>6742</v>
      </c>
      <c r="C201" t="s">
        <v>12281</v>
      </c>
      <c r="D201" t="s">
        <v>12282</v>
      </c>
      <c r="E201" t="b">
        <v>0</v>
      </c>
      <c r="F201" t="s">
        <v>11624</v>
      </c>
      <c r="G201">
        <v>7.9791499999999997</v>
      </c>
      <c r="H201">
        <v>7.7163899999999996</v>
      </c>
      <c r="I201" t="s">
        <v>12283</v>
      </c>
      <c r="L201">
        <v>0</v>
      </c>
      <c r="M201">
        <v>0</v>
      </c>
      <c r="N201">
        <v>0</v>
      </c>
      <c r="O201" t="s">
        <v>11693</v>
      </c>
    </row>
    <row r="202" spans="1:15">
      <c r="A202" t="s">
        <v>12284</v>
      </c>
      <c r="B202" t="s">
        <v>6742</v>
      </c>
      <c r="C202" t="s">
        <v>12285</v>
      </c>
      <c r="D202" t="s">
        <v>12286</v>
      </c>
      <c r="E202" t="b">
        <v>0</v>
      </c>
      <c r="F202" t="s">
        <v>11610</v>
      </c>
      <c r="L202">
        <v>0</v>
      </c>
      <c r="M202">
        <v>0</v>
      </c>
      <c r="N202">
        <v>0</v>
      </c>
    </row>
    <row r="203" spans="1:15">
      <c r="A203" t="s">
        <v>12287</v>
      </c>
      <c r="B203" t="s">
        <v>12241</v>
      </c>
      <c r="C203" t="s">
        <v>12288</v>
      </c>
      <c r="D203" t="s">
        <v>12289</v>
      </c>
      <c r="E203" t="b">
        <v>0</v>
      </c>
      <c r="F203" t="s">
        <v>11624</v>
      </c>
      <c r="G203">
        <v>-13.298489999999999</v>
      </c>
      <c r="H203">
        <v>-53.439360000000001</v>
      </c>
      <c r="I203" t="s">
        <v>12290</v>
      </c>
      <c r="L203">
        <v>0</v>
      </c>
      <c r="M203">
        <v>0</v>
      </c>
      <c r="N203">
        <v>0</v>
      </c>
      <c r="O203" t="s">
        <v>11969</v>
      </c>
    </row>
    <row r="204" spans="1:15">
      <c r="A204" t="s">
        <v>12291</v>
      </c>
      <c r="B204" t="s">
        <v>6742</v>
      </c>
      <c r="C204" t="s">
        <v>12292</v>
      </c>
      <c r="D204" t="s">
        <v>12293</v>
      </c>
      <c r="E204" t="b">
        <v>0</v>
      </c>
      <c r="F204" t="s">
        <v>11610</v>
      </c>
      <c r="L204">
        <v>0</v>
      </c>
      <c r="M204">
        <v>0</v>
      </c>
      <c r="N204">
        <v>0</v>
      </c>
    </row>
    <row r="205" spans="1:15">
      <c r="A205" t="s">
        <v>12294</v>
      </c>
      <c r="B205" t="s">
        <v>12128</v>
      </c>
      <c r="C205" t="s">
        <v>12295</v>
      </c>
      <c r="D205" t="s">
        <v>12296</v>
      </c>
      <c r="E205" t="b">
        <v>0</v>
      </c>
      <c r="F205" t="s">
        <v>11624</v>
      </c>
      <c r="L205">
        <v>0</v>
      </c>
      <c r="M205">
        <v>0</v>
      </c>
      <c r="N205">
        <v>0</v>
      </c>
      <c r="O205" t="s">
        <v>11693</v>
      </c>
    </row>
    <row r="206" spans="1:15">
      <c r="A206" t="s">
        <v>12297</v>
      </c>
      <c r="B206" t="s">
        <v>6742</v>
      </c>
      <c r="C206" t="s">
        <v>1387</v>
      </c>
      <c r="D206" t="s">
        <v>12298</v>
      </c>
      <c r="E206" t="b">
        <v>0</v>
      </c>
      <c r="F206" t="s">
        <v>11610</v>
      </c>
      <c r="L206">
        <v>0</v>
      </c>
      <c r="M206">
        <v>0</v>
      </c>
      <c r="N206">
        <v>0</v>
      </c>
    </row>
    <row r="207" spans="1:15">
      <c r="A207" t="s">
        <v>12299</v>
      </c>
      <c r="B207" t="s">
        <v>6742</v>
      </c>
      <c r="C207" t="s">
        <v>12292</v>
      </c>
      <c r="D207" t="s">
        <v>12300</v>
      </c>
      <c r="E207" t="b">
        <v>0</v>
      </c>
      <c r="F207" t="s">
        <v>11610</v>
      </c>
      <c r="L207">
        <v>0</v>
      </c>
      <c r="M207">
        <v>0</v>
      </c>
      <c r="N207">
        <v>0</v>
      </c>
    </row>
    <row r="208" spans="1:15">
      <c r="A208" t="s">
        <v>12301</v>
      </c>
      <c r="B208" t="s">
        <v>11757</v>
      </c>
      <c r="C208" t="s">
        <v>6594</v>
      </c>
      <c r="D208" t="s">
        <v>12302</v>
      </c>
      <c r="E208" t="b">
        <v>0</v>
      </c>
      <c r="F208" t="s">
        <v>11610</v>
      </c>
      <c r="L208">
        <v>0</v>
      </c>
      <c r="M208">
        <v>0</v>
      </c>
      <c r="N208">
        <v>0</v>
      </c>
    </row>
    <row r="209" spans="1:15">
      <c r="A209" t="s">
        <v>12303</v>
      </c>
      <c r="B209" t="s">
        <v>6742</v>
      </c>
      <c r="C209" t="s">
        <v>12304</v>
      </c>
      <c r="D209" t="s">
        <v>12305</v>
      </c>
      <c r="E209" t="b">
        <v>0</v>
      </c>
      <c r="F209" t="s">
        <v>11624</v>
      </c>
      <c r="G209">
        <v>6.3895600000000004</v>
      </c>
      <c r="H209">
        <v>10.0807</v>
      </c>
      <c r="I209" t="s">
        <v>12306</v>
      </c>
      <c r="L209">
        <v>0</v>
      </c>
      <c r="M209">
        <v>0</v>
      </c>
      <c r="N209">
        <v>0</v>
      </c>
      <c r="O209" t="s">
        <v>11703</v>
      </c>
    </row>
    <row r="210" spans="1:15">
      <c r="A210" t="s">
        <v>12307</v>
      </c>
      <c r="B210" t="s">
        <v>6742</v>
      </c>
      <c r="C210" t="s">
        <v>12308</v>
      </c>
      <c r="D210" t="s">
        <v>12309</v>
      </c>
      <c r="E210" t="b">
        <v>0</v>
      </c>
      <c r="F210" t="s">
        <v>11610</v>
      </c>
      <c r="L210">
        <v>0</v>
      </c>
      <c r="M210">
        <v>0</v>
      </c>
      <c r="N210">
        <v>0</v>
      </c>
    </row>
    <row r="211" spans="1:15">
      <c r="A211" t="s">
        <v>12310</v>
      </c>
      <c r="B211" t="s">
        <v>12311</v>
      </c>
      <c r="C211" t="s">
        <v>12312</v>
      </c>
      <c r="D211" t="s">
        <v>12313</v>
      </c>
      <c r="E211" t="b">
        <v>0</v>
      </c>
      <c r="F211" t="s">
        <v>11624</v>
      </c>
      <c r="G211">
        <v>41.924199999999999</v>
      </c>
      <c r="H211">
        <v>47.584299999999999</v>
      </c>
      <c r="I211" t="s">
        <v>12314</v>
      </c>
      <c r="L211">
        <v>0</v>
      </c>
      <c r="M211">
        <v>0</v>
      </c>
      <c r="N211">
        <v>4</v>
      </c>
      <c r="O211" t="s">
        <v>12315</v>
      </c>
    </row>
    <row r="212" spans="1:15">
      <c r="A212" t="s">
        <v>12316</v>
      </c>
      <c r="B212" t="s">
        <v>10597</v>
      </c>
      <c r="C212" t="s">
        <v>12317</v>
      </c>
      <c r="D212" t="s">
        <v>12318</v>
      </c>
      <c r="E212" t="b">
        <v>0</v>
      </c>
      <c r="F212" t="s">
        <v>11624</v>
      </c>
      <c r="G212">
        <v>-13.734999999999999</v>
      </c>
      <c r="H212">
        <v>142.42599999999999</v>
      </c>
      <c r="I212" t="s">
        <v>12319</v>
      </c>
      <c r="L212">
        <v>0</v>
      </c>
      <c r="M212">
        <v>0</v>
      </c>
      <c r="N212">
        <v>0</v>
      </c>
      <c r="O212" t="s">
        <v>12107</v>
      </c>
    </row>
    <row r="213" spans="1:15">
      <c r="A213" t="s">
        <v>12320</v>
      </c>
      <c r="B213" t="s">
        <v>11615</v>
      </c>
      <c r="C213" t="s">
        <v>12321</v>
      </c>
      <c r="D213" t="s">
        <v>12322</v>
      </c>
      <c r="E213" t="b">
        <v>0</v>
      </c>
      <c r="F213" t="s">
        <v>11624</v>
      </c>
      <c r="G213">
        <v>-6.3467399999999996</v>
      </c>
      <c r="H213">
        <v>140.04300000000001</v>
      </c>
      <c r="I213" t="s">
        <v>12323</v>
      </c>
      <c r="L213">
        <v>0</v>
      </c>
      <c r="M213">
        <v>0</v>
      </c>
      <c r="N213">
        <v>0</v>
      </c>
      <c r="O213" t="s">
        <v>11768</v>
      </c>
    </row>
    <row r="214" spans="1:15">
      <c r="A214" t="s">
        <v>12324</v>
      </c>
      <c r="B214" t="s">
        <v>11627</v>
      </c>
      <c r="C214" t="s">
        <v>11627</v>
      </c>
      <c r="D214" t="s">
        <v>12325</v>
      </c>
      <c r="E214" t="b">
        <v>1</v>
      </c>
      <c r="F214" t="s">
        <v>11624</v>
      </c>
      <c r="G214">
        <v>-15</v>
      </c>
      <c r="H214">
        <v>144</v>
      </c>
      <c r="I214" t="s">
        <v>12326</v>
      </c>
      <c r="L214">
        <v>0</v>
      </c>
      <c r="M214">
        <v>0</v>
      </c>
      <c r="N214">
        <v>0</v>
      </c>
      <c r="O214" t="s">
        <v>12107</v>
      </c>
    </row>
    <row r="215" spans="1:15">
      <c r="A215" t="s">
        <v>12312</v>
      </c>
      <c r="B215" t="s">
        <v>12311</v>
      </c>
      <c r="C215" t="s">
        <v>12327</v>
      </c>
      <c r="D215" t="s">
        <v>12328</v>
      </c>
      <c r="E215" t="b">
        <v>0</v>
      </c>
      <c r="F215" t="s">
        <v>11622</v>
      </c>
      <c r="L215">
        <v>0</v>
      </c>
      <c r="M215">
        <v>2</v>
      </c>
      <c r="N215">
        <v>12</v>
      </c>
    </row>
    <row r="216" spans="1:15">
      <c r="A216" t="s">
        <v>12329</v>
      </c>
      <c r="B216" t="s">
        <v>12311</v>
      </c>
      <c r="C216" t="s">
        <v>12330</v>
      </c>
      <c r="D216" t="s">
        <v>12331</v>
      </c>
      <c r="E216" t="b">
        <v>0</v>
      </c>
      <c r="F216" t="s">
        <v>11624</v>
      </c>
      <c r="G216">
        <v>40.374443999999997</v>
      </c>
      <c r="H216">
        <v>47.126666999999998</v>
      </c>
      <c r="I216" t="s">
        <v>12332</v>
      </c>
      <c r="L216">
        <v>0</v>
      </c>
      <c r="M216">
        <v>0</v>
      </c>
      <c r="N216">
        <v>0</v>
      </c>
      <c r="O216" t="s">
        <v>12049</v>
      </c>
    </row>
    <row r="217" spans="1:15">
      <c r="A217" t="s">
        <v>12333</v>
      </c>
      <c r="B217" t="s">
        <v>11729</v>
      </c>
      <c r="C217" t="s">
        <v>12334</v>
      </c>
      <c r="D217" t="s">
        <v>12335</v>
      </c>
      <c r="E217" t="b">
        <v>0</v>
      </c>
      <c r="F217" t="s">
        <v>11610</v>
      </c>
      <c r="L217">
        <v>0</v>
      </c>
      <c r="M217">
        <v>0</v>
      </c>
      <c r="N217">
        <v>0</v>
      </c>
    </row>
    <row r="218" spans="1:15">
      <c r="A218" t="s">
        <v>12336</v>
      </c>
      <c r="B218" t="s">
        <v>11834</v>
      </c>
      <c r="C218" t="s">
        <v>12337</v>
      </c>
      <c r="D218" t="s">
        <v>12338</v>
      </c>
      <c r="E218" t="b">
        <v>0</v>
      </c>
      <c r="F218" t="s">
        <v>11624</v>
      </c>
      <c r="G218">
        <v>-3.4910399999999999</v>
      </c>
      <c r="H218">
        <v>142.387</v>
      </c>
      <c r="I218" t="s">
        <v>12339</v>
      </c>
      <c r="L218">
        <v>0</v>
      </c>
      <c r="M218">
        <v>0</v>
      </c>
      <c r="N218">
        <v>0</v>
      </c>
      <c r="O218" t="s">
        <v>11660</v>
      </c>
    </row>
    <row r="219" spans="1:15">
      <c r="A219" t="s">
        <v>12337</v>
      </c>
      <c r="B219" t="s">
        <v>11834</v>
      </c>
      <c r="C219" t="s">
        <v>12340</v>
      </c>
      <c r="D219" t="s">
        <v>12341</v>
      </c>
      <c r="E219" t="b">
        <v>0</v>
      </c>
      <c r="F219" t="s">
        <v>11622</v>
      </c>
      <c r="L219">
        <v>0</v>
      </c>
      <c r="M219">
        <v>2</v>
      </c>
      <c r="N219">
        <v>0</v>
      </c>
    </row>
    <row r="220" spans="1:15">
      <c r="A220" t="s">
        <v>11732</v>
      </c>
      <c r="B220" t="s">
        <v>6742</v>
      </c>
      <c r="C220" t="s">
        <v>12342</v>
      </c>
      <c r="D220" t="s">
        <v>12343</v>
      </c>
      <c r="E220" t="b">
        <v>0</v>
      </c>
      <c r="F220" t="s">
        <v>11622</v>
      </c>
      <c r="L220">
        <v>0</v>
      </c>
      <c r="M220">
        <v>3</v>
      </c>
      <c r="N220">
        <v>6</v>
      </c>
    </row>
    <row r="221" spans="1:15">
      <c r="A221" t="s">
        <v>11872</v>
      </c>
      <c r="B221" t="s">
        <v>11871</v>
      </c>
      <c r="C221" t="s">
        <v>12344</v>
      </c>
      <c r="D221" t="s">
        <v>12345</v>
      </c>
      <c r="E221" t="b">
        <v>0</v>
      </c>
      <c r="F221" t="s">
        <v>11622</v>
      </c>
      <c r="L221">
        <v>0</v>
      </c>
      <c r="M221">
        <v>2</v>
      </c>
      <c r="N221">
        <v>3</v>
      </c>
    </row>
    <row r="222" spans="1:15">
      <c r="A222" t="s">
        <v>12346</v>
      </c>
      <c r="B222" t="s">
        <v>12347</v>
      </c>
      <c r="C222" t="s">
        <v>12347</v>
      </c>
      <c r="D222" t="s">
        <v>12348</v>
      </c>
      <c r="E222" t="b">
        <v>0</v>
      </c>
      <c r="F222" t="s">
        <v>11624</v>
      </c>
      <c r="G222">
        <v>-9.08521</v>
      </c>
      <c r="H222">
        <v>142.53200000000001</v>
      </c>
      <c r="I222" t="s">
        <v>12349</v>
      </c>
      <c r="L222">
        <v>0</v>
      </c>
      <c r="M222">
        <v>0</v>
      </c>
      <c r="N222">
        <v>3</v>
      </c>
      <c r="O222" t="s">
        <v>11660</v>
      </c>
    </row>
    <row r="223" spans="1:15">
      <c r="A223" t="s">
        <v>12350</v>
      </c>
      <c r="B223" t="s">
        <v>12347</v>
      </c>
      <c r="C223" t="s">
        <v>12346</v>
      </c>
      <c r="D223" t="s">
        <v>12351</v>
      </c>
      <c r="E223" t="b">
        <v>0</v>
      </c>
      <c r="F223" t="s">
        <v>11610</v>
      </c>
      <c r="L223">
        <v>0</v>
      </c>
      <c r="M223">
        <v>0</v>
      </c>
      <c r="N223">
        <v>0</v>
      </c>
    </row>
    <row r="224" spans="1:15">
      <c r="A224" t="s">
        <v>12352</v>
      </c>
      <c r="B224" t="s">
        <v>6742</v>
      </c>
      <c r="C224" t="s">
        <v>12353</v>
      </c>
      <c r="D224" t="s">
        <v>12354</v>
      </c>
      <c r="E224" t="b">
        <v>0</v>
      </c>
      <c r="F224" t="s">
        <v>11610</v>
      </c>
      <c r="L224">
        <v>0</v>
      </c>
      <c r="M224">
        <v>0</v>
      </c>
      <c r="N224">
        <v>0</v>
      </c>
    </row>
    <row r="225" spans="1:15">
      <c r="A225" t="s">
        <v>12355</v>
      </c>
      <c r="B225" t="s">
        <v>6742</v>
      </c>
      <c r="C225" t="s">
        <v>12356</v>
      </c>
      <c r="D225" t="s">
        <v>12357</v>
      </c>
      <c r="E225" t="b">
        <v>0</v>
      </c>
      <c r="F225" t="s">
        <v>11622</v>
      </c>
      <c r="L225">
        <v>0</v>
      </c>
      <c r="M225">
        <v>3</v>
      </c>
      <c r="N225">
        <v>1</v>
      </c>
    </row>
    <row r="226" spans="1:15">
      <c r="A226" t="s">
        <v>12358</v>
      </c>
      <c r="B226" t="s">
        <v>6742</v>
      </c>
      <c r="C226" t="s">
        <v>12355</v>
      </c>
      <c r="D226" t="s">
        <v>12359</v>
      </c>
      <c r="E226" t="b">
        <v>0</v>
      </c>
      <c r="F226" t="s">
        <v>11624</v>
      </c>
      <c r="G226">
        <v>5.8795299999999999</v>
      </c>
      <c r="H226">
        <v>8.2162900000000008</v>
      </c>
      <c r="I226" t="s">
        <v>12360</v>
      </c>
      <c r="L226">
        <v>0</v>
      </c>
      <c r="M226">
        <v>0</v>
      </c>
      <c r="N226">
        <v>1</v>
      </c>
      <c r="O226" t="s">
        <v>11693</v>
      </c>
    </row>
    <row r="227" spans="1:15">
      <c r="A227" t="s">
        <v>12361</v>
      </c>
      <c r="B227" t="s">
        <v>6742</v>
      </c>
      <c r="C227" t="s">
        <v>50</v>
      </c>
      <c r="D227" t="s">
        <v>12362</v>
      </c>
      <c r="E227" t="b">
        <v>0</v>
      </c>
      <c r="F227" t="s">
        <v>11610</v>
      </c>
      <c r="L227">
        <v>0</v>
      </c>
      <c r="M227">
        <v>0</v>
      </c>
      <c r="N227">
        <v>0</v>
      </c>
    </row>
    <row r="228" spans="1:15">
      <c r="A228" t="s">
        <v>12363</v>
      </c>
      <c r="B228" t="s">
        <v>11607</v>
      </c>
      <c r="C228" t="s">
        <v>11751</v>
      </c>
      <c r="D228" t="s">
        <v>12364</v>
      </c>
      <c r="E228" t="b">
        <v>0</v>
      </c>
      <c r="F228" t="s">
        <v>11610</v>
      </c>
      <c r="L228">
        <v>0</v>
      </c>
      <c r="M228">
        <v>0</v>
      </c>
      <c r="N228">
        <v>0</v>
      </c>
    </row>
    <row r="229" spans="1:15">
      <c r="A229" t="s">
        <v>12365</v>
      </c>
      <c r="B229" t="s">
        <v>367</v>
      </c>
      <c r="C229" t="s">
        <v>12366</v>
      </c>
      <c r="D229" t="s">
        <v>12367</v>
      </c>
      <c r="E229" t="b">
        <v>0</v>
      </c>
      <c r="F229" t="s">
        <v>11624</v>
      </c>
      <c r="I229" t="s">
        <v>12368</v>
      </c>
      <c r="L229">
        <v>0</v>
      </c>
      <c r="M229">
        <v>0</v>
      </c>
      <c r="N229">
        <v>0</v>
      </c>
      <c r="O229" t="s">
        <v>11749</v>
      </c>
    </row>
    <row r="230" spans="1:15">
      <c r="A230" t="s">
        <v>12369</v>
      </c>
      <c r="B230" t="s">
        <v>12241</v>
      </c>
      <c r="C230" t="s">
        <v>12288</v>
      </c>
      <c r="D230" t="s">
        <v>12370</v>
      </c>
      <c r="E230" t="b">
        <v>0</v>
      </c>
      <c r="F230" t="s">
        <v>11624</v>
      </c>
      <c r="G230">
        <v>-5.25</v>
      </c>
      <c r="H230">
        <v>-75.833299999999994</v>
      </c>
      <c r="I230" t="s">
        <v>12371</v>
      </c>
      <c r="L230">
        <v>0</v>
      </c>
      <c r="M230">
        <v>0</v>
      </c>
      <c r="N230">
        <v>0</v>
      </c>
      <c r="O230" t="s">
        <v>11778</v>
      </c>
    </row>
    <row r="231" spans="1:15">
      <c r="A231" t="s">
        <v>12372</v>
      </c>
      <c r="B231" t="s">
        <v>5911</v>
      </c>
      <c r="C231" t="s">
        <v>12373</v>
      </c>
      <c r="D231" t="s">
        <v>12374</v>
      </c>
      <c r="E231" t="b">
        <v>0</v>
      </c>
      <c r="F231" t="s">
        <v>11624</v>
      </c>
      <c r="G231">
        <v>15.3307</v>
      </c>
      <c r="H231">
        <v>-91.315299999999993</v>
      </c>
      <c r="I231" t="s">
        <v>12375</v>
      </c>
      <c r="L231">
        <v>0</v>
      </c>
      <c r="M231">
        <v>0</v>
      </c>
      <c r="N231">
        <v>0</v>
      </c>
      <c r="O231" t="s">
        <v>11927</v>
      </c>
    </row>
    <row r="232" spans="1:15">
      <c r="A232" t="s">
        <v>12376</v>
      </c>
      <c r="B232" t="s">
        <v>11946</v>
      </c>
      <c r="C232" t="s">
        <v>11946</v>
      </c>
      <c r="D232" t="s">
        <v>12377</v>
      </c>
      <c r="E232" t="b">
        <v>0</v>
      </c>
      <c r="F232" t="s">
        <v>11624</v>
      </c>
      <c r="G232">
        <v>-5.30044</v>
      </c>
      <c r="H232">
        <v>-77.921800000000005</v>
      </c>
      <c r="I232" t="s">
        <v>12378</v>
      </c>
      <c r="L232">
        <v>0</v>
      </c>
      <c r="M232">
        <v>0</v>
      </c>
      <c r="N232">
        <v>0</v>
      </c>
      <c r="O232" t="s">
        <v>11778</v>
      </c>
    </row>
    <row r="233" spans="1:15">
      <c r="A233" t="s">
        <v>12379</v>
      </c>
      <c r="B233" t="s">
        <v>12380</v>
      </c>
      <c r="C233" t="s">
        <v>12380</v>
      </c>
      <c r="D233" t="s">
        <v>12381</v>
      </c>
      <c r="E233" t="b">
        <v>0</v>
      </c>
      <c r="F233" t="s">
        <v>11610</v>
      </c>
      <c r="L233">
        <v>0</v>
      </c>
      <c r="M233">
        <v>0</v>
      </c>
      <c r="N233">
        <v>0</v>
      </c>
    </row>
    <row r="234" spans="1:15">
      <c r="A234" t="s">
        <v>12382</v>
      </c>
      <c r="B234" t="s">
        <v>367</v>
      </c>
      <c r="C234" t="s">
        <v>12383</v>
      </c>
      <c r="D234" t="s">
        <v>12384</v>
      </c>
      <c r="E234" t="b">
        <v>0</v>
      </c>
      <c r="F234" t="s">
        <v>11610</v>
      </c>
      <c r="L234">
        <v>0</v>
      </c>
      <c r="M234">
        <v>0</v>
      </c>
      <c r="N234">
        <v>0</v>
      </c>
    </row>
    <row r="235" spans="1:15">
      <c r="A235" t="s">
        <v>12385</v>
      </c>
      <c r="B235" t="s">
        <v>11637</v>
      </c>
      <c r="C235" t="s">
        <v>12386</v>
      </c>
      <c r="D235" t="s">
        <v>12387</v>
      </c>
      <c r="E235" t="b">
        <v>0</v>
      </c>
      <c r="F235" t="s">
        <v>11610</v>
      </c>
      <c r="L235">
        <v>0</v>
      </c>
      <c r="M235">
        <v>0</v>
      </c>
      <c r="N235">
        <v>0</v>
      </c>
    </row>
    <row r="236" spans="1:15">
      <c r="A236" t="s">
        <v>12388</v>
      </c>
      <c r="B236" t="s">
        <v>12311</v>
      </c>
      <c r="C236" t="s">
        <v>12310</v>
      </c>
      <c r="D236" t="s">
        <v>12389</v>
      </c>
      <c r="E236" t="b">
        <v>0</v>
      </c>
      <c r="F236" t="s">
        <v>11610</v>
      </c>
      <c r="L236">
        <v>0</v>
      </c>
      <c r="M236">
        <v>0</v>
      </c>
      <c r="N236">
        <v>0</v>
      </c>
    </row>
    <row r="237" spans="1:15">
      <c r="A237" t="s">
        <v>12386</v>
      </c>
      <c r="B237" t="s">
        <v>11637</v>
      </c>
      <c r="C237" t="s">
        <v>7044</v>
      </c>
      <c r="D237" t="s">
        <v>12390</v>
      </c>
      <c r="E237" t="b">
        <v>0</v>
      </c>
      <c r="F237" t="s">
        <v>11610</v>
      </c>
      <c r="L237">
        <v>0</v>
      </c>
      <c r="M237">
        <v>0</v>
      </c>
      <c r="N237">
        <v>2</v>
      </c>
    </row>
    <row r="238" spans="1:15">
      <c r="A238" t="s">
        <v>12391</v>
      </c>
      <c r="B238" t="s">
        <v>6742</v>
      </c>
      <c r="C238" t="s">
        <v>12003</v>
      </c>
      <c r="D238" t="s">
        <v>12392</v>
      </c>
      <c r="E238" t="b">
        <v>0</v>
      </c>
      <c r="F238" t="s">
        <v>11624</v>
      </c>
      <c r="G238">
        <v>7.4925600000000001</v>
      </c>
      <c r="H238">
        <v>1.7445200000000001</v>
      </c>
      <c r="I238" t="s">
        <v>12393</v>
      </c>
      <c r="L238">
        <v>0</v>
      </c>
      <c r="M238">
        <v>0</v>
      </c>
      <c r="N238">
        <v>0</v>
      </c>
      <c r="O238" t="s">
        <v>12394</v>
      </c>
    </row>
    <row r="239" spans="1:15">
      <c r="A239" t="s">
        <v>12395</v>
      </c>
      <c r="B239" t="s">
        <v>11757</v>
      </c>
      <c r="C239" t="s">
        <v>3239</v>
      </c>
      <c r="D239" t="s">
        <v>12396</v>
      </c>
      <c r="E239" t="b">
        <v>0</v>
      </c>
      <c r="F239" t="s">
        <v>11610</v>
      </c>
      <c r="L239">
        <v>0</v>
      </c>
      <c r="M239">
        <v>0</v>
      </c>
      <c r="N239">
        <v>0</v>
      </c>
    </row>
    <row r="240" spans="1:15">
      <c r="A240" t="s">
        <v>5372</v>
      </c>
      <c r="B240" t="s">
        <v>367</v>
      </c>
      <c r="C240" t="s">
        <v>12397</v>
      </c>
      <c r="D240" t="s">
        <v>12398</v>
      </c>
      <c r="E240" t="b">
        <v>0</v>
      </c>
      <c r="F240" t="s">
        <v>11624</v>
      </c>
      <c r="G240">
        <v>8.6273099999999996</v>
      </c>
      <c r="H240">
        <v>125.742</v>
      </c>
      <c r="I240" t="s">
        <v>5374</v>
      </c>
      <c r="L240">
        <v>0</v>
      </c>
      <c r="M240">
        <v>0</v>
      </c>
      <c r="N240">
        <v>3</v>
      </c>
      <c r="O240" t="s">
        <v>11749</v>
      </c>
    </row>
    <row r="241" spans="1:15">
      <c r="A241" t="s">
        <v>12399</v>
      </c>
      <c r="B241" t="s">
        <v>367</v>
      </c>
      <c r="C241" t="s">
        <v>12400</v>
      </c>
      <c r="D241" t="s">
        <v>12401</v>
      </c>
      <c r="E241" t="b">
        <v>0</v>
      </c>
      <c r="F241" t="s">
        <v>11624</v>
      </c>
      <c r="G241">
        <v>10.5328</v>
      </c>
      <c r="H241">
        <v>119.655</v>
      </c>
      <c r="I241" t="s">
        <v>12402</v>
      </c>
      <c r="L241">
        <v>0</v>
      </c>
      <c r="M241">
        <v>0</v>
      </c>
      <c r="N241">
        <v>0</v>
      </c>
      <c r="O241" t="s">
        <v>11749</v>
      </c>
    </row>
    <row r="242" spans="1:15">
      <c r="A242" t="s">
        <v>12403</v>
      </c>
      <c r="B242" t="s">
        <v>11644</v>
      </c>
      <c r="C242" t="s">
        <v>12404</v>
      </c>
      <c r="D242" t="s">
        <v>12405</v>
      </c>
      <c r="E242" t="b">
        <v>0</v>
      </c>
      <c r="F242" t="s">
        <v>11610</v>
      </c>
      <c r="L242">
        <v>0</v>
      </c>
      <c r="M242">
        <v>0</v>
      </c>
      <c r="N242">
        <v>0</v>
      </c>
    </row>
    <row r="243" spans="1:15">
      <c r="A243" t="s">
        <v>12406</v>
      </c>
      <c r="B243" t="s">
        <v>6742</v>
      </c>
      <c r="C243" t="s">
        <v>134</v>
      </c>
      <c r="D243" t="s">
        <v>12407</v>
      </c>
      <c r="E243" t="b">
        <v>0</v>
      </c>
      <c r="F243" t="s">
        <v>11610</v>
      </c>
      <c r="L243">
        <v>0</v>
      </c>
      <c r="M243">
        <v>0</v>
      </c>
      <c r="N243">
        <v>0</v>
      </c>
    </row>
    <row r="244" spans="1:15">
      <c r="A244" t="s">
        <v>12408</v>
      </c>
      <c r="B244" t="s">
        <v>6742</v>
      </c>
      <c r="C244" t="s">
        <v>12409</v>
      </c>
      <c r="D244" t="s">
        <v>12410</v>
      </c>
      <c r="E244" t="b">
        <v>0</v>
      </c>
      <c r="F244" t="s">
        <v>11610</v>
      </c>
      <c r="L244">
        <v>0</v>
      </c>
      <c r="M244">
        <v>0</v>
      </c>
      <c r="N244">
        <v>0</v>
      </c>
    </row>
    <row r="245" spans="1:15">
      <c r="A245" t="s">
        <v>11712</v>
      </c>
      <c r="B245" t="s">
        <v>6742</v>
      </c>
      <c r="C245" t="s">
        <v>12411</v>
      </c>
      <c r="D245" t="s">
        <v>12412</v>
      </c>
      <c r="E245" t="b">
        <v>0</v>
      </c>
      <c r="F245" t="s">
        <v>11624</v>
      </c>
      <c r="G245">
        <v>5.8105500000000001</v>
      </c>
      <c r="H245">
        <v>8.0316600000000005</v>
      </c>
      <c r="I245" t="s">
        <v>12413</v>
      </c>
      <c r="L245">
        <v>0</v>
      </c>
      <c r="M245">
        <v>0</v>
      </c>
      <c r="N245">
        <v>7</v>
      </c>
      <c r="O245" t="s">
        <v>11693</v>
      </c>
    </row>
    <row r="246" spans="1:15">
      <c r="A246" t="s">
        <v>12414</v>
      </c>
      <c r="B246" t="s">
        <v>6742</v>
      </c>
      <c r="C246" t="s">
        <v>50</v>
      </c>
      <c r="D246" t="s">
        <v>12415</v>
      </c>
      <c r="E246" t="b">
        <v>0</v>
      </c>
      <c r="F246" t="s">
        <v>11610</v>
      </c>
      <c r="L246">
        <v>0</v>
      </c>
      <c r="M246">
        <v>0</v>
      </c>
      <c r="N246">
        <v>0</v>
      </c>
    </row>
    <row r="247" spans="1:15">
      <c r="A247" t="s">
        <v>12416</v>
      </c>
      <c r="B247" t="s">
        <v>6742</v>
      </c>
      <c r="C247" t="s">
        <v>12417</v>
      </c>
      <c r="D247" t="s">
        <v>12418</v>
      </c>
      <c r="E247" t="b">
        <v>0</v>
      </c>
      <c r="F247" t="s">
        <v>11624</v>
      </c>
      <c r="G247">
        <v>4.8514699999999999</v>
      </c>
      <c r="H247">
        <v>-1.9465699999999999</v>
      </c>
      <c r="I247" t="s">
        <v>12419</v>
      </c>
      <c r="L247">
        <v>0</v>
      </c>
      <c r="M247">
        <v>0</v>
      </c>
      <c r="N247">
        <v>0</v>
      </c>
      <c r="O247" t="s">
        <v>11985</v>
      </c>
    </row>
    <row r="248" spans="1:15">
      <c r="A248" t="s">
        <v>12420</v>
      </c>
      <c r="B248" t="s">
        <v>6742</v>
      </c>
      <c r="C248" t="s">
        <v>12421</v>
      </c>
      <c r="D248" t="s">
        <v>12422</v>
      </c>
      <c r="E248" t="b">
        <v>0</v>
      </c>
      <c r="F248" t="s">
        <v>11624</v>
      </c>
      <c r="G248">
        <v>7.4413900000000002</v>
      </c>
      <c r="H248">
        <v>6.0089600000000001</v>
      </c>
      <c r="I248" t="s">
        <v>12423</v>
      </c>
      <c r="L248">
        <v>0</v>
      </c>
      <c r="M248">
        <v>0</v>
      </c>
      <c r="N248">
        <v>0</v>
      </c>
      <c r="O248" t="s">
        <v>11693</v>
      </c>
    </row>
    <row r="249" spans="1:15">
      <c r="A249" t="s">
        <v>12424</v>
      </c>
      <c r="B249" t="s">
        <v>12425</v>
      </c>
      <c r="C249" t="s">
        <v>12426</v>
      </c>
      <c r="D249" t="s">
        <v>12427</v>
      </c>
      <c r="E249" t="b">
        <v>0</v>
      </c>
      <c r="F249" t="s">
        <v>11610</v>
      </c>
      <c r="L249">
        <v>0</v>
      </c>
      <c r="M249">
        <v>0</v>
      </c>
      <c r="N249">
        <v>0</v>
      </c>
    </row>
    <row r="250" spans="1:15">
      <c r="A250" t="s">
        <v>12428</v>
      </c>
      <c r="B250" t="s">
        <v>11627</v>
      </c>
      <c r="C250" t="s">
        <v>11627</v>
      </c>
      <c r="D250" t="s">
        <v>12429</v>
      </c>
      <c r="E250" t="b">
        <v>1</v>
      </c>
      <c r="F250" t="s">
        <v>11624</v>
      </c>
      <c r="I250" t="s">
        <v>12430</v>
      </c>
      <c r="L250">
        <v>0</v>
      </c>
      <c r="M250">
        <v>0</v>
      </c>
      <c r="N250">
        <v>0</v>
      </c>
    </row>
    <row r="251" spans="1:15">
      <c r="A251" t="s">
        <v>12431</v>
      </c>
      <c r="B251" t="s">
        <v>3165</v>
      </c>
      <c r="C251" t="s">
        <v>12432</v>
      </c>
      <c r="D251" t="s">
        <v>12433</v>
      </c>
      <c r="E251" t="b">
        <v>0</v>
      </c>
      <c r="F251" t="s">
        <v>11610</v>
      </c>
      <c r="L251">
        <v>0</v>
      </c>
      <c r="M251">
        <v>0</v>
      </c>
      <c r="N251">
        <v>0</v>
      </c>
    </row>
    <row r="252" spans="1:15">
      <c r="A252" t="s">
        <v>12434</v>
      </c>
      <c r="B252" t="s">
        <v>11844</v>
      </c>
      <c r="C252" t="s">
        <v>12435</v>
      </c>
      <c r="D252" t="s">
        <v>12436</v>
      </c>
      <c r="E252" t="b">
        <v>0</v>
      </c>
      <c r="F252" t="s">
        <v>11610</v>
      </c>
      <c r="L252">
        <v>0</v>
      </c>
      <c r="M252">
        <v>0</v>
      </c>
      <c r="N252">
        <v>0</v>
      </c>
    </row>
    <row r="253" spans="1:15">
      <c r="A253" t="s">
        <v>12437</v>
      </c>
      <c r="B253" t="s">
        <v>12438</v>
      </c>
      <c r="C253" t="s">
        <v>12439</v>
      </c>
      <c r="D253" t="s">
        <v>12440</v>
      </c>
      <c r="E253" t="b">
        <v>0</v>
      </c>
      <c r="F253" t="s">
        <v>11624</v>
      </c>
      <c r="G253">
        <v>17.765499999999999</v>
      </c>
      <c r="H253">
        <v>104.229</v>
      </c>
      <c r="I253" t="s">
        <v>12441</v>
      </c>
      <c r="L253">
        <v>0</v>
      </c>
      <c r="M253">
        <v>0</v>
      </c>
      <c r="N253">
        <v>0</v>
      </c>
      <c r="O253" t="s">
        <v>12442</v>
      </c>
    </row>
    <row r="254" spans="1:15">
      <c r="A254" t="s">
        <v>12443</v>
      </c>
      <c r="B254" t="s">
        <v>367</v>
      </c>
      <c r="C254" t="s">
        <v>12444</v>
      </c>
      <c r="D254" t="s">
        <v>12445</v>
      </c>
      <c r="E254" t="b">
        <v>0</v>
      </c>
      <c r="F254" t="s">
        <v>11624</v>
      </c>
      <c r="G254">
        <v>16.321000000000002</v>
      </c>
      <c r="H254">
        <v>120.90003</v>
      </c>
      <c r="I254" t="s">
        <v>12446</v>
      </c>
      <c r="L254">
        <v>0</v>
      </c>
      <c r="M254">
        <v>0</v>
      </c>
      <c r="N254">
        <v>2</v>
      </c>
      <c r="O254" t="s">
        <v>11749</v>
      </c>
    </row>
    <row r="255" spans="1:15">
      <c r="A255" t="s">
        <v>9412</v>
      </c>
      <c r="B255" t="s">
        <v>11637</v>
      </c>
      <c r="C255" t="s">
        <v>1273</v>
      </c>
      <c r="D255" t="s">
        <v>12447</v>
      </c>
      <c r="E255" t="b">
        <v>0</v>
      </c>
      <c r="F255" t="s">
        <v>11610</v>
      </c>
      <c r="L255">
        <v>0</v>
      </c>
      <c r="M255">
        <v>0</v>
      </c>
      <c r="N255">
        <v>0</v>
      </c>
    </row>
    <row r="256" spans="1:15">
      <c r="A256" t="s">
        <v>12448</v>
      </c>
      <c r="B256" t="s">
        <v>11627</v>
      </c>
      <c r="C256" t="s">
        <v>11627</v>
      </c>
      <c r="D256" t="s">
        <v>12449</v>
      </c>
      <c r="E256" t="b">
        <v>1</v>
      </c>
      <c r="F256" t="s">
        <v>11624</v>
      </c>
      <c r="G256">
        <v>21.552</v>
      </c>
      <c r="H256">
        <v>73.685000000000002</v>
      </c>
      <c r="I256" t="s">
        <v>12450</v>
      </c>
      <c r="L256">
        <v>0</v>
      </c>
      <c r="M256">
        <v>0</v>
      </c>
      <c r="N256">
        <v>0</v>
      </c>
      <c r="O256" t="s">
        <v>11630</v>
      </c>
    </row>
    <row r="257" spans="1:15">
      <c r="A257" t="s">
        <v>11620</v>
      </c>
      <c r="B257" t="s">
        <v>11619</v>
      </c>
      <c r="C257" t="s">
        <v>11619</v>
      </c>
      <c r="D257" t="s">
        <v>12451</v>
      </c>
      <c r="E257" t="b">
        <v>0</v>
      </c>
      <c r="F257" t="s">
        <v>11622</v>
      </c>
      <c r="L257">
        <v>2</v>
      </c>
      <c r="M257">
        <v>4</v>
      </c>
      <c r="N257">
        <v>0</v>
      </c>
    </row>
    <row r="258" spans="1:15">
      <c r="A258" t="s">
        <v>12452</v>
      </c>
      <c r="B258" t="s">
        <v>5126</v>
      </c>
      <c r="C258" t="s">
        <v>12453</v>
      </c>
      <c r="D258" t="s">
        <v>12454</v>
      </c>
      <c r="E258" t="b">
        <v>0</v>
      </c>
      <c r="F258" t="s">
        <v>11624</v>
      </c>
      <c r="G258">
        <v>27.277799999999999</v>
      </c>
      <c r="H258">
        <v>88.463999999999999</v>
      </c>
      <c r="I258" t="s">
        <v>12455</v>
      </c>
      <c r="L258">
        <v>0</v>
      </c>
      <c r="M258">
        <v>0</v>
      </c>
      <c r="N258">
        <v>0</v>
      </c>
      <c r="O258" t="s">
        <v>11630</v>
      </c>
    </row>
    <row r="259" spans="1:15">
      <c r="A259" t="s">
        <v>12456</v>
      </c>
      <c r="B259" t="s">
        <v>5126</v>
      </c>
      <c r="C259" t="s">
        <v>12457</v>
      </c>
      <c r="D259" t="s">
        <v>12458</v>
      </c>
      <c r="E259" t="b">
        <v>0</v>
      </c>
      <c r="F259" t="s">
        <v>11622</v>
      </c>
      <c r="L259">
        <v>0</v>
      </c>
      <c r="M259">
        <v>2</v>
      </c>
      <c r="N259">
        <v>2</v>
      </c>
    </row>
    <row r="260" spans="1:15">
      <c r="A260" t="s">
        <v>12459</v>
      </c>
      <c r="B260" t="s">
        <v>12460</v>
      </c>
      <c r="C260" t="s">
        <v>12461</v>
      </c>
      <c r="D260" t="s">
        <v>12462</v>
      </c>
      <c r="E260" t="b">
        <v>0</v>
      </c>
      <c r="F260" t="s">
        <v>11624</v>
      </c>
      <c r="G260">
        <v>61.706800000000001</v>
      </c>
      <c r="H260">
        <v>-144.88900000000001</v>
      </c>
      <c r="I260" t="s">
        <v>12463</v>
      </c>
      <c r="L260">
        <v>0</v>
      </c>
      <c r="M260">
        <v>0</v>
      </c>
      <c r="N260">
        <v>0</v>
      </c>
      <c r="O260" t="s">
        <v>11944</v>
      </c>
    </row>
    <row r="261" spans="1:15">
      <c r="A261" t="s">
        <v>12464</v>
      </c>
      <c r="B261" t="s">
        <v>11879</v>
      </c>
      <c r="C261" t="s">
        <v>12465</v>
      </c>
      <c r="D261" t="s">
        <v>12466</v>
      </c>
      <c r="E261" t="b">
        <v>0</v>
      </c>
      <c r="F261" t="s">
        <v>11610</v>
      </c>
      <c r="L261">
        <v>0</v>
      </c>
      <c r="M261">
        <v>0</v>
      </c>
      <c r="N261">
        <v>0</v>
      </c>
    </row>
    <row r="262" spans="1:15">
      <c r="A262" t="s">
        <v>12467</v>
      </c>
      <c r="B262" t="s">
        <v>6742</v>
      </c>
      <c r="C262" t="s">
        <v>12468</v>
      </c>
      <c r="D262" t="s">
        <v>12469</v>
      </c>
      <c r="E262" t="b">
        <v>0</v>
      </c>
      <c r="F262" t="s">
        <v>11624</v>
      </c>
      <c r="G262">
        <v>9.1763499999999993</v>
      </c>
      <c r="H262">
        <v>8.5620499999999993</v>
      </c>
      <c r="I262" t="s">
        <v>12470</v>
      </c>
      <c r="L262">
        <v>0</v>
      </c>
      <c r="M262">
        <v>0</v>
      </c>
      <c r="N262">
        <v>0</v>
      </c>
      <c r="O262" t="s">
        <v>11693</v>
      </c>
    </row>
    <row r="263" spans="1:15">
      <c r="A263" t="s">
        <v>12471</v>
      </c>
      <c r="B263" t="s">
        <v>11607</v>
      </c>
      <c r="C263" t="s">
        <v>12472</v>
      </c>
      <c r="D263" t="s">
        <v>12473</v>
      </c>
      <c r="E263" t="b">
        <v>0</v>
      </c>
      <c r="F263" t="s">
        <v>11610</v>
      </c>
      <c r="L263">
        <v>0</v>
      </c>
      <c r="M263">
        <v>0</v>
      </c>
      <c r="N263">
        <v>0</v>
      </c>
    </row>
    <row r="264" spans="1:15">
      <c r="A264" t="s">
        <v>12474</v>
      </c>
      <c r="B264" t="s">
        <v>367</v>
      </c>
      <c r="C264" t="s">
        <v>12475</v>
      </c>
      <c r="D264" t="s">
        <v>12476</v>
      </c>
      <c r="E264" t="b">
        <v>0</v>
      </c>
      <c r="F264" t="s">
        <v>11610</v>
      </c>
      <c r="L264">
        <v>0</v>
      </c>
      <c r="M264">
        <v>0</v>
      </c>
      <c r="N264">
        <v>0</v>
      </c>
    </row>
    <row r="265" spans="1:15">
      <c r="A265" t="s">
        <v>12477</v>
      </c>
      <c r="B265" t="s">
        <v>11871</v>
      </c>
      <c r="C265" t="s">
        <v>12344</v>
      </c>
      <c r="D265" t="s">
        <v>12478</v>
      </c>
      <c r="E265" t="b">
        <v>0</v>
      </c>
      <c r="F265" t="s">
        <v>11622</v>
      </c>
      <c r="L265">
        <v>0</v>
      </c>
      <c r="M265">
        <v>2</v>
      </c>
      <c r="N265">
        <v>0</v>
      </c>
    </row>
    <row r="266" spans="1:15">
      <c r="A266" t="s">
        <v>12479</v>
      </c>
      <c r="B266" t="s">
        <v>367</v>
      </c>
      <c r="C266" t="s">
        <v>12480</v>
      </c>
      <c r="D266" t="s">
        <v>12481</v>
      </c>
      <c r="E266" t="b">
        <v>0</v>
      </c>
      <c r="F266" t="s">
        <v>11610</v>
      </c>
      <c r="L266">
        <v>0</v>
      </c>
      <c r="M266">
        <v>0</v>
      </c>
      <c r="N266">
        <v>0</v>
      </c>
    </row>
    <row r="267" spans="1:15">
      <c r="A267" t="s">
        <v>12482</v>
      </c>
      <c r="B267" t="s">
        <v>5126</v>
      </c>
      <c r="C267" t="s">
        <v>12483</v>
      </c>
      <c r="D267" t="s">
        <v>12484</v>
      </c>
      <c r="E267" t="b">
        <v>0</v>
      </c>
      <c r="F267" t="s">
        <v>11624</v>
      </c>
      <c r="G267">
        <v>25.4908</v>
      </c>
      <c r="H267">
        <v>107.84399999999999</v>
      </c>
      <c r="I267" t="s">
        <v>12485</v>
      </c>
      <c r="L267">
        <v>0</v>
      </c>
      <c r="M267">
        <v>0</v>
      </c>
      <c r="N267">
        <v>2</v>
      </c>
      <c r="O267" t="s">
        <v>11905</v>
      </c>
    </row>
    <row r="268" spans="1:15">
      <c r="A268" t="s">
        <v>12486</v>
      </c>
      <c r="B268" t="s">
        <v>12487</v>
      </c>
      <c r="C268" t="s">
        <v>12488</v>
      </c>
      <c r="D268" t="s">
        <v>12489</v>
      </c>
      <c r="E268" t="b">
        <v>0</v>
      </c>
      <c r="F268" t="s">
        <v>11610</v>
      </c>
      <c r="L268">
        <v>0</v>
      </c>
      <c r="M268">
        <v>0</v>
      </c>
      <c r="N268">
        <v>0</v>
      </c>
    </row>
    <row r="269" spans="1:15">
      <c r="A269" t="s">
        <v>12490</v>
      </c>
      <c r="B269" t="s">
        <v>367</v>
      </c>
      <c r="C269" t="s">
        <v>12491</v>
      </c>
      <c r="D269" t="s">
        <v>12492</v>
      </c>
      <c r="E269" t="b">
        <v>0</v>
      </c>
      <c r="F269" t="s">
        <v>11624</v>
      </c>
      <c r="G269">
        <v>-5.9948800000000002</v>
      </c>
      <c r="H269">
        <v>150.27199999999999</v>
      </c>
      <c r="I269" t="s">
        <v>12493</v>
      </c>
      <c r="L269">
        <v>0</v>
      </c>
      <c r="M269">
        <v>0</v>
      </c>
      <c r="N269">
        <v>3</v>
      </c>
      <c r="O269" t="s">
        <v>11660</v>
      </c>
    </row>
    <row r="270" spans="1:15">
      <c r="A270" t="s">
        <v>12494</v>
      </c>
      <c r="B270" t="s">
        <v>367</v>
      </c>
      <c r="C270" t="s">
        <v>12490</v>
      </c>
      <c r="D270" t="s">
        <v>12495</v>
      </c>
      <c r="E270" t="b">
        <v>0</v>
      </c>
      <c r="F270" t="s">
        <v>11610</v>
      </c>
      <c r="L270">
        <v>0</v>
      </c>
      <c r="M270">
        <v>0</v>
      </c>
      <c r="N270">
        <v>0</v>
      </c>
    </row>
    <row r="271" spans="1:15">
      <c r="A271" t="s">
        <v>12496</v>
      </c>
      <c r="D271" t="s">
        <v>12497</v>
      </c>
      <c r="E271" t="b">
        <v>0</v>
      </c>
      <c r="F271" t="s">
        <v>11624</v>
      </c>
      <c r="G271">
        <v>-12.669499999999999</v>
      </c>
      <c r="H271">
        <v>-60.535299999999999</v>
      </c>
      <c r="I271" t="s">
        <v>12498</v>
      </c>
      <c r="L271">
        <v>0</v>
      </c>
      <c r="M271">
        <v>0</v>
      </c>
      <c r="N271">
        <v>1</v>
      </c>
      <c r="O271" t="s">
        <v>11969</v>
      </c>
    </row>
    <row r="272" spans="1:15">
      <c r="A272" t="s">
        <v>12499</v>
      </c>
      <c r="B272" t="s">
        <v>367</v>
      </c>
      <c r="C272" t="s">
        <v>12500</v>
      </c>
      <c r="D272" t="s">
        <v>12501</v>
      </c>
      <c r="E272" t="b">
        <v>0</v>
      </c>
      <c r="F272" t="s">
        <v>11624</v>
      </c>
      <c r="G272">
        <v>-6.2357500000000003</v>
      </c>
      <c r="H272">
        <v>149.571</v>
      </c>
      <c r="I272" t="s">
        <v>12502</v>
      </c>
      <c r="L272">
        <v>0</v>
      </c>
      <c r="M272">
        <v>0</v>
      </c>
      <c r="N272">
        <v>0</v>
      </c>
      <c r="O272" t="s">
        <v>11660</v>
      </c>
    </row>
    <row r="273" spans="1:15">
      <c r="A273" t="s">
        <v>12503</v>
      </c>
      <c r="B273" t="s">
        <v>367</v>
      </c>
      <c r="C273" t="s">
        <v>12504</v>
      </c>
      <c r="D273" t="s">
        <v>12505</v>
      </c>
      <c r="E273" t="b">
        <v>0</v>
      </c>
      <c r="F273" t="s">
        <v>11610</v>
      </c>
      <c r="L273">
        <v>0</v>
      </c>
      <c r="M273">
        <v>0</v>
      </c>
      <c r="N273">
        <v>0</v>
      </c>
    </row>
    <row r="274" spans="1:15">
      <c r="A274" t="s">
        <v>12506</v>
      </c>
      <c r="B274" t="s">
        <v>11627</v>
      </c>
      <c r="C274" t="s">
        <v>11627</v>
      </c>
      <c r="D274" t="s">
        <v>12507</v>
      </c>
      <c r="E274" t="b">
        <v>1</v>
      </c>
      <c r="F274" t="s">
        <v>11624</v>
      </c>
      <c r="I274" t="s">
        <v>12508</v>
      </c>
      <c r="L274">
        <v>0</v>
      </c>
      <c r="M274">
        <v>0</v>
      </c>
      <c r="N274">
        <v>0</v>
      </c>
    </row>
    <row r="275" spans="1:15">
      <c r="A275" t="s">
        <v>12509</v>
      </c>
      <c r="B275" t="s">
        <v>11637</v>
      </c>
      <c r="C275" t="s">
        <v>12510</v>
      </c>
      <c r="D275" t="s">
        <v>12511</v>
      </c>
      <c r="E275" t="b">
        <v>0</v>
      </c>
      <c r="F275" t="s">
        <v>11624</v>
      </c>
      <c r="G275">
        <v>35.283000000000001</v>
      </c>
      <c r="H275">
        <v>59.175600000000003</v>
      </c>
      <c r="I275" t="s">
        <v>12512</v>
      </c>
      <c r="L275">
        <v>0</v>
      </c>
      <c r="M275">
        <v>0</v>
      </c>
      <c r="N275">
        <v>10</v>
      </c>
      <c r="O275" t="s">
        <v>12513</v>
      </c>
    </row>
    <row r="276" spans="1:15">
      <c r="A276" t="s">
        <v>1228</v>
      </c>
      <c r="B276" t="s">
        <v>12514</v>
      </c>
      <c r="C276" t="s">
        <v>12514</v>
      </c>
      <c r="D276" t="s">
        <v>12515</v>
      </c>
      <c r="E276" t="b">
        <v>0</v>
      </c>
      <c r="F276" t="s">
        <v>11610</v>
      </c>
      <c r="L276">
        <v>0</v>
      </c>
      <c r="M276">
        <v>0</v>
      </c>
      <c r="N276">
        <v>0</v>
      </c>
    </row>
    <row r="277" spans="1:15">
      <c r="A277" t="s">
        <v>12516</v>
      </c>
      <c r="B277" t="s">
        <v>7862</v>
      </c>
      <c r="C277" t="s">
        <v>12517</v>
      </c>
      <c r="D277" t="s">
        <v>12518</v>
      </c>
      <c r="E277" t="b">
        <v>0</v>
      </c>
      <c r="F277" t="s">
        <v>11624</v>
      </c>
      <c r="G277">
        <v>-6.6865600000000001</v>
      </c>
      <c r="H277">
        <v>142.65600000000001</v>
      </c>
      <c r="I277" t="s">
        <v>12519</v>
      </c>
      <c r="L277">
        <v>0</v>
      </c>
      <c r="M277">
        <v>0</v>
      </c>
      <c r="N277">
        <v>0</v>
      </c>
      <c r="O277" t="s">
        <v>11660</v>
      </c>
    </row>
    <row r="278" spans="1:15">
      <c r="A278" t="s">
        <v>12520</v>
      </c>
      <c r="B278" t="s">
        <v>11644</v>
      </c>
      <c r="C278" t="s">
        <v>12521</v>
      </c>
      <c r="D278" t="s">
        <v>12522</v>
      </c>
      <c r="E278" t="b">
        <v>0</v>
      </c>
      <c r="F278" t="s">
        <v>11624</v>
      </c>
      <c r="G278">
        <v>24.643699999999999</v>
      </c>
      <c r="H278">
        <v>94.355599999999995</v>
      </c>
      <c r="I278" t="s">
        <v>12523</v>
      </c>
      <c r="L278">
        <v>0</v>
      </c>
      <c r="M278">
        <v>0</v>
      </c>
      <c r="N278">
        <v>1</v>
      </c>
      <c r="O278" t="s">
        <v>12524</v>
      </c>
    </row>
    <row r="279" spans="1:15">
      <c r="A279" t="s">
        <v>12525</v>
      </c>
      <c r="B279" t="s">
        <v>11839</v>
      </c>
      <c r="C279" t="s">
        <v>12011</v>
      </c>
      <c r="D279" t="s">
        <v>12526</v>
      </c>
      <c r="E279" t="b">
        <v>0</v>
      </c>
      <c r="F279" t="s">
        <v>11610</v>
      </c>
      <c r="L279">
        <v>0</v>
      </c>
      <c r="M279">
        <v>0</v>
      </c>
      <c r="N279">
        <v>0</v>
      </c>
    </row>
    <row r="280" spans="1:15">
      <c r="A280" t="s">
        <v>12527</v>
      </c>
      <c r="B280" t="s">
        <v>11965</v>
      </c>
      <c r="C280" t="s">
        <v>11965</v>
      </c>
      <c r="D280" t="s">
        <v>12528</v>
      </c>
      <c r="E280" t="b">
        <v>0</v>
      </c>
      <c r="F280" t="s">
        <v>11622</v>
      </c>
      <c r="L280">
        <v>0</v>
      </c>
      <c r="M280">
        <v>2</v>
      </c>
      <c r="N280">
        <v>0</v>
      </c>
    </row>
    <row r="281" spans="1:15">
      <c r="A281" t="s">
        <v>12521</v>
      </c>
      <c r="B281" t="s">
        <v>11644</v>
      </c>
      <c r="C281" t="s">
        <v>12529</v>
      </c>
      <c r="D281" t="s">
        <v>12530</v>
      </c>
      <c r="E281" t="b">
        <v>0</v>
      </c>
      <c r="F281" t="s">
        <v>11622</v>
      </c>
      <c r="L281">
        <v>0</v>
      </c>
      <c r="M281">
        <v>2</v>
      </c>
      <c r="N281">
        <v>1</v>
      </c>
    </row>
    <row r="282" spans="1:15">
      <c r="A282" t="s">
        <v>12531</v>
      </c>
      <c r="B282" t="s">
        <v>12532</v>
      </c>
      <c r="C282" t="s">
        <v>12533</v>
      </c>
      <c r="D282" t="s">
        <v>12534</v>
      </c>
      <c r="E282" t="b">
        <v>0</v>
      </c>
      <c r="F282" t="s">
        <v>11624</v>
      </c>
      <c r="G282">
        <v>-3.0921400000000001</v>
      </c>
      <c r="H282">
        <v>141.149</v>
      </c>
      <c r="I282" t="s">
        <v>12535</v>
      </c>
      <c r="L282">
        <v>0</v>
      </c>
      <c r="M282">
        <v>0</v>
      </c>
      <c r="N282">
        <v>0</v>
      </c>
      <c r="O282" t="s">
        <v>11660</v>
      </c>
    </row>
    <row r="283" spans="1:15">
      <c r="A283" t="s">
        <v>12536</v>
      </c>
      <c r="B283" t="s">
        <v>11844</v>
      </c>
      <c r="C283" t="s">
        <v>9420</v>
      </c>
      <c r="D283" t="s">
        <v>12537</v>
      </c>
      <c r="E283" t="b">
        <v>0</v>
      </c>
      <c r="F283" t="s">
        <v>11610</v>
      </c>
      <c r="L283">
        <v>0</v>
      </c>
      <c r="M283">
        <v>0</v>
      </c>
      <c r="N283">
        <v>0</v>
      </c>
    </row>
    <row r="284" spans="1:15">
      <c r="A284" t="s">
        <v>84</v>
      </c>
      <c r="B284" t="s">
        <v>85</v>
      </c>
      <c r="C284" t="s">
        <v>194</v>
      </c>
      <c r="D284" t="s">
        <v>12538</v>
      </c>
      <c r="E284" t="b">
        <v>0</v>
      </c>
      <c r="F284" t="s">
        <v>11624</v>
      </c>
      <c r="G284">
        <v>43.633654</v>
      </c>
      <c r="H284">
        <v>142.46167</v>
      </c>
      <c r="I284" t="s">
        <v>86</v>
      </c>
      <c r="L284">
        <v>0</v>
      </c>
      <c r="M284">
        <v>0</v>
      </c>
      <c r="N284">
        <v>2</v>
      </c>
      <c r="O284" t="s">
        <v>12539</v>
      </c>
    </row>
    <row r="285" spans="1:15">
      <c r="A285" t="s">
        <v>12540</v>
      </c>
      <c r="B285" t="s">
        <v>331</v>
      </c>
      <c r="C285" t="s">
        <v>12541</v>
      </c>
      <c r="D285" t="s">
        <v>12542</v>
      </c>
      <c r="E285" t="b">
        <v>0</v>
      </c>
      <c r="F285" t="s">
        <v>11624</v>
      </c>
      <c r="G285">
        <v>39.2714</v>
      </c>
      <c r="H285">
        <v>76.420900000000003</v>
      </c>
      <c r="I285" t="s">
        <v>12543</v>
      </c>
      <c r="L285">
        <v>0</v>
      </c>
      <c r="M285">
        <v>0</v>
      </c>
      <c r="N285">
        <v>0</v>
      </c>
      <c r="O285" t="s">
        <v>11905</v>
      </c>
    </row>
    <row r="286" spans="1:15">
      <c r="A286" t="s">
        <v>85</v>
      </c>
      <c r="D286" t="s">
        <v>83</v>
      </c>
      <c r="E286" t="b">
        <v>0</v>
      </c>
      <c r="F286" t="s">
        <v>11622</v>
      </c>
      <c r="L286">
        <v>1</v>
      </c>
      <c r="M286">
        <v>3</v>
      </c>
      <c r="N286">
        <v>2</v>
      </c>
    </row>
    <row r="287" spans="1:15">
      <c r="A287" t="s">
        <v>12544</v>
      </c>
      <c r="B287" t="s">
        <v>11871</v>
      </c>
      <c r="C287" t="s">
        <v>12477</v>
      </c>
      <c r="D287" t="s">
        <v>12545</v>
      </c>
      <c r="E287" t="b">
        <v>0</v>
      </c>
      <c r="F287" t="s">
        <v>11624</v>
      </c>
      <c r="G287">
        <v>-5.1346699999999998</v>
      </c>
      <c r="H287">
        <v>144.76499999999999</v>
      </c>
      <c r="I287" t="s">
        <v>12546</v>
      </c>
      <c r="L287">
        <v>0</v>
      </c>
      <c r="M287">
        <v>0</v>
      </c>
      <c r="N287">
        <v>0</v>
      </c>
      <c r="O287" t="s">
        <v>11660</v>
      </c>
    </row>
    <row r="288" spans="1:15">
      <c r="A288" t="s">
        <v>12547</v>
      </c>
      <c r="B288" t="s">
        <v>12548</v>
      </c>
      <c r="C288" t="s">
        <v>12548</v>
      </c>
      <c r="D288" t="s">
        <v>12549</v>
      </c>
      <c r="E288" t="b">
        <v>0</v>
      </c>
      <c r="F288" t="s">
        <v>11610</v>
      </c>
      <c r="L288">
        <v>0</v>
      </c>
      <c r="M288">
        <v>0</v>
      </c>
      <c r="N288">
        <v>0</v>
      </c>
    </row>
    <row r="289" spans="1:15">
      <c r="A289" t="s">
        <v>12550</v>
      </c>
      <c r="B289" t="s">
        <v>367</v>
      </c>
      <c r="C289" t="s">
        <v>12551</v>
      </c>
      <c r="D289" t="s">
        <v>12552</v>
      </c>
      <c r="E289" t="b">
        <v>0</v>
      </c>
      <c r="F289" t="s">
        <v>11610</v>
      </c>
      <c r="L289">
        <v>0</v>
      </c>
      <c r="M289">
        <v>0</v>
      </c>
      <c r="N289">
        <v>0</v>
      </c>
    </row>
    <row r="290" spans="1:15">
      <c r="A290" t="s">
        <v>12553</v>
      </c>
      <c r="B290" t="s">
        <v>367</v>
      </c>
      <c r="C290" t="s">
        <v>12554</v>
      </c>
      <c r="D290" t="s">
        <v>12555</v>
      </c>
      <c r="E290" t="b">
        <v>0</v>
      </c>
      <c r="F290" t="s">
        <v>11610</v>
      </c>
      <c r="L290">
        <v>0</v>
      </c>
      <c r="M290">
        <v>0</v>
      </c>
      <c r="N290">
        <v>0</v>
      </c>
    </row>
    <row r="291" spans="1:15">
      <c r="A291" t="s">
        <v>12556</v>
      </c>
      <c r="B291" t="s">
        <v>12557</v>
      </c>
      <c r="C291" t="s">
        <v>12558</v>
      </c>
      <c r="D291" t="s">
        <v>12559</v>
      </c>
      <c r="E291" t="b">
        <v>0</v>
      </c>
      <c r="F291" t="s">
        <v>11624</v>
      </c>
      <c r="G291">
        <v>-1.8522000000000001</v>
      </c>
      <c r="H291">
        <v>138.15799999999999</v>
      </c>
      <c r="I291" t="s">
        <v>12560</v>
      </c>
      <c r="L291">
        <v>0</v>
      </c>
      <c r="M291">
        <v>0</v>
      </c>
      <c r="N291">
        <v>0</v>
      </c>
      <c r="O291" t="s">
        <v>11768</v>
      </c>
    </row>
    <row r="292" spans="1:15">
      <c r="A292" t="s">
        <v>12561</v>
      </c>
      <c r="B292" t="s">
        <v>12562</v>
      </c>
      <c r="C292" t="s">
        <v>12563</v>
      </c>
      <c r="D292" t="s">
        <v>12564</v>
      </c>
      <c r="E292" t="b">
        <v>0</v>
      </c>
      <c r="F292" t="s">
        <v>11610</v>
      </c>
      <c r="L292">
        <v>0</v>
      </c>
      <c r="M292">
        <v>0</v>
      </c>
      <c r="N292">
        <v>0</v>
      </c>
    </row>
    <row r="293" spans="1:15">
      <c r="A293" t="s">
        <v>12565</v>
      </c>
      <c r="B293" t="s">
        <v>11607</v>
      </c>
      <c r="C293" t="s">
        <v>12566</v>
      </c>
      <c r="D293" t="s">
        <v>12567</v>
      </c>
      <c r="E293" t="b">
        <v>0</v>
      </c>
      <c r="F293" t="s">
        <v>11610</v>
      </c>
      <c r="L293">
        <v>0</v>
      </c>
      <c r="M293">
        <v>0</v>
      </c>
      <c r="N293">
        <v>0</v>
      </c>
    </row>
    <row r="294" spans="1:15">
      <c r="A294" t="s">
        <v>12568</v>
      </c>
      <c r="B294" t="s">
        <v>331</v>
      </c>
      <c r="C294" t="s">
        <v>12569</v>
      </c>
      <c r="D294" t="s">
        <v>12570</v>
      </c>
      <c r="E294" t="b">
        <v>0</v>
      </c>
      <c r="F294" t="s">
        <v>11610</v>
      </c>
      <c r="L294">
        <v>0</v>
      </c>
      <c r="M294">
        <v>0</v>
      </c>
      <c r="N294">
        <v>0</v>
      </c>
    </row>
    <row r="295" spans="1:15">
      <c r="A295" t="s">
        <v>12571</v>
      </c>
      <c r="B295" t="s">
        <v>11615</v>
      </c>
      <c r="C295" t="s">
        <v>12572</v>
      </c>
      <c r="D295" t="s">
        <v>12573</v>
      </c>
      <c r="E295" t="b">
        <v>0</v>
      </c>
      <c r="F295" t="s">
        <v>11622</v>
      </c>
      <c r="L295">
        <v>0</v>
      </c>
      <c r="M295">
        <v>2</v>
      </c>
      <c r="N295">
        <v>0</v>
      </c>
    </row>
    <row r="296" spans="1:15">
      <c r="A296" t="s">
        <v>12574</v>
      </c>
      <c r="B296" t="s">
        <v>12575</v>
      </c>
      <c r="C296" t="s">
        <v>12576</v>
      </c>
      <c r="D296" t="s">
        <v>12577</v>
      </c>
      <c r="E296" t="b">
        <v>0</v>
      </c>
      <c r="F296" t="s">
        <v>11610</v>
      </c>
      <c r="L296">
        <v>0</v>
      </c>
      <c r="M296">
        <v>0</v>
      </c>
      <c r="N296">
        <v>0</v>
      </c>
    </row>
    <row r="297" spans="1:15">
      <c r="A297" t="s">
        <v>12578</v>
      </c>
      <c r="B297" t="s">
        <v>5126</v>
      </c>
      <c r="C297" t="s">
        <v>12579</v>
      </c>
      <c r="D297" t="s">
        <v>12580</v>
      </c>
      <c r="E297" t="b">
        <v>0</v>
      </c>
      <c r="F297" t="s">
        <v>11624</v>
      </c>
      <c r="G297">
        <v>26.514500000000002</v>
      </c>
      <c r="H297">
        <v>92.316900000000004</v>
      </c>
      <c r="I297" t="s">
        <v>12581</v>
      </c>
      <c r="L297">
        <v>0</v>
      </c>
      <c r="M297">
        <v>0</v>
      </c>
      <c r="N297">
        <v>0</v>
      </c>
      <c r="O297" t="s">
        <v>11630</v>
      </c>
    </row>
    <row r="298" spans="1:15">
      <c r="A298" t="s">
        <v>12582</v>
      </c>
      <c r="B298" t="s">
        <v>367</v>
      </c>
      <c r="C298" t="s">
        <v>1970</v>
      </c>
      <c r="D298" t="s">
        <v>12583</v>
      </c>
      <c r="E298" t="b">
        <v>0</v>
      </c>
      <c r="F298" t="s">
        <v>11610</v>
      </c>
      <c r="L298">
        <v>0</v>
      </c>
      <c r="M298">
        <v>0</v>
      </c>
      <c r="N298">
        <v>0</v>
      </c>
    </row>
    <row r="299" spans="1:15">
      <c r="A299" t="s">
        <v>12584</v>
      </c>
      <c r="B299" t="s">
        <v>11844</v>
      </c>
      <c r="C299" t="s">
        <v>9047</v>
      </c>
      <c r="D299" t="s">
        <v>12585</v>
      </c>
      <c r="E299" t="b">
        <v>0</v>
      </c>
      <c r="F299" t="s">
        <v>11610</v>
      </c>
      <c r="L299">
        <v>0</v>
      </c>
      <c r="M299">
        <v>0</v>
      </c>
      <c r="N299">
        <v>0</v>
      </c>
    </row>
    <row r="300" spans="1:15">
      <c r="A300" t="s">
        <v>12586</v>
      </c>
      <c r="B300" t="s">
        <v>11844</v>
      </c>
      <c r="C300" t="s">
        <v>9047</v>
      </c>
      <c r="D300" t="s">
        <v>12587</v>
      </c>
      <c r="E300" t="b">
        <v>0</v>
      </c>
      <c r="F300" t="s">
        <v>11610</v>
      </c>
      <c r="L300">
        <v>0</v>
      </c>
      <c r="M300">
        <v>0</v>
      </c>
      <c r="N300">
        <v>0</v>
      </c>
    </row>
    <row r="301" spans="1:15">
      <c r="A301" t="s">
        <v>12588</v>
      </c>
      <c r="B301" t="s">
        <v>6742</v>
      </c>
      <c r="C301" t="s">
        <v>12589</v>
      </c>
      <c r="D301" t="s">
        <v>12590</v>
      </c>
      <c r="E301" t="b">
        <v>0</v>
      </c>
      <c r="F301" t="s">
        <v>11610</v>
      </c>
      <c r="L301">
        <v>0</v>
      </c>
      <c r="M301">
        <v>0</v>
      </c>
      <c r="N301">
        <v>0</v>
      </c>
    </row>
    <row r="302" spans="1:15">
      <c r="A302" t="s">
        <v>12591</v>
      </c>
      <c r="B302" t="s">
        <v>4236</v>
      </c>
      <c r="C302" t="s">
        <v>12592</v>
      </c>
      <c r="D302" t="s">
        <v>12593</v>
      </c>
      <c r="E302" t="b">
        <v>0</v>
      </c>
      <c r="F302" t="s">
        <v>11610</v>
      </c>
      <c r="L302">
        <v>0</v>
      </c>
      <c r="M302">
        <v>0</v>
      </c>
      <c r="N302">
        <v>0</v>
      </c>
    </row>
    <row r="303" spans="1:15">
      <c r="A303" t="s">
        <v>12594</v>
      </c>
      <c r="B303" t="s">
        <v>6742</v>
      </c>
      <c r="C303" t="s">
        <v>12595</v>
      </c>
      <c r="D303" t="s">
        <v>12596</v>
      </c>
      <c r="E303" t="b">
        <v>0</v>
      </c>
      <c r="F303" t="s">
        <v>11622</v>
      </c>
      <c r="L303">
        <v>0</v>
      </c>
      <c r="M303">
        <v>2</v>
      </c>
      <c r="N303">
        <v>0</v>
      </c>
    </row>
    <row r="304" spans="1:15">
      <c r="A304" t="s">
        <v>12597</v>
      </c>
      <c r="B304" t="s">
        <v>4342</v>
      </c>
      <c r="C304" t="s">
        <v>12598</v>
      </c>
      <c r="D304" t="s">
        <v>12599</v>
      </c>
      <c r="E304" t="b">
        <v>0</v>
      </c>
      <c r="F304" t="s">
        <v>11610</v>
      </c>
      <c r="L304">
        <v>0</v>
      </c>
      <c r="M304">
        <v>0</v>
      </c>
      <c r="N304">
        <v>0</v>
      </c>
    </row>
    <row r="305" spans="1:15">
      <c r="A305" t="s">
        <v>12600</v>
      </c>
      <c r="B305" t="s">
        <v>11912</v>
      </c>
      <c r="C305" t="s">
        <v>12601</v>
      </c>
      <c r="D305" t="s">
        <v>12602</v>
      </c>
      <c r="E305" t="b">
        <v>0</v>
      </c>
      <c r="F305" t="s">
        <v>11610</v>
      </c>
      <c r="L305">
        <v>0</v>
      </c>
      <c r="M305">
        <v>0</v>
      </c>
      <c r="N305">
        <v>0</v>
      </c>
    </row>
    <row r="306" spans="1:15">
      <c r="A306" t="s">
        <v>12603</v>
      </c>
      <c r="B306" t="s">
        <v>6742</v>
      </c>
      <c r="C306" t="s">
        <v>12604</v>
      </c>
      <c r="D306" t="s">
        <v>12605</v>
      </c>
      <c r="E306" t="b">
        <v>0</v>
      </c>
      <c r="F306" t="s">
        <v>11624</v>
      </c>
      <c r="G306">
        <v>7.0663400000000003</v>
      </c>
      <c r="H306">
        <v>1.6499200000000001</v>
      </c>
      <c r="I306" t="s">
        <v>12606</v>
      </c>
      <c r="L306">
        <v>0</v>
      </c>
      <c r="M306">
        <v>0</v>
      </c>
      <c r="N306">
        <v>6</v>
      </c>
      <c r="O306" t="s">
        <v>12394</v>
      </c>
    </row>
    <row r="307" spans="1:15">
      <c r="A307" t="s">
        <v>12607</v>
      </c>
      <c r="B307" t="s">
        <v>11615</v>
      </c>
      <c r="C307" t="s">
        <v>12608</v>
      </c>
      <c r="D307" t="s">
        <v>12609</v>
      </c>
      <c r="E307" t="b">
        <v>0</v>
      </c>
      <c r="F307" t="s">
        <v>11610</v>
      </c>
      <c r="L307">
        <v>0</v>
      </c>
      <c r="M307">
        <v>0</v>
      </c>
      <c r="N307">
        <v>0</v>
      </c>
    </row>
    <row r="308" spans="1:15">
      <c r="A308" t="s">
        <v>12610</v>
      </c>
      <c r="B308" t="s">
        <v>12611</v>
      </c>
      <c r="C308" t="s">
        <v>12611</v>
      </c>
      <c r="D308" t="s">
        <v>12612</v>
      </c>
      <c r="E308" t="b">
        <v>0</v>
      </c>
      <c r="F308" t="s">
        <v>11624</v>
      </c>
      <c r="G308">
        <v>8.5800300000000007</v>
      </c>
      <c r="H308">
        <v>25.612200000000001</v>
      </c>
      <c r="I308" t="s">
        <v>12613</v>
      </c>
      <c r="L308">
        <v>0</v>
      </c>
      <c r="M308">
        <v>0</v>
      </c>
      <c r="N308">
        <v>0</v>
      </c>
      <c r="O308" t="s">
        <v>11910</v>
      </c>
    </row>
    <row r="309" spans="1:15">
      <c r="A309" t="s">
        <v>12614</v>
      </c>
      <c r="B309" t="s">
        <v>11607</v>
      </c>
      <c r="C309" t="s">
        <v>12615</v>
      </c>
      <c r="D309" t="s">
        <v>12616</v>
      </c>
      <c r="E309" t="b">
        <v>0</v>
      </c>
      <c r="F309" t="s">
        <v>11624</v>
      </c>
      <c r="G309">
        <v>10.210000000000001</v>
      </c>
      <c r="H309">
        <v>9.8920499999999993</v>
      </c>
      <c r="I309" t="s">
        <v>12617</v>
      </c>
      <c r="L309">
        <v>0</v>
      </c>
      <c r="M309">
        <v>0</v>
      </c>
      <c r="N309">
        <v>0</v>
      </c>
      <c r="O309" t="s">
        <v>11693</v>
      </c>
    </row>
    <row r="310" spans="1:15">
      <c r="A310" t="s">
        <v>12618</v>
      </c>
      <c r="B310" t="s">
        <v>6742</v>
      </c>
      <c r="C310" t="s">
        <v>12177</v>
      </c>
      <c r="D310" t="s">
        <v>12619</v>
      </c>
      <c r="E310" t="b">
        <v>0</v>
      </c>
      <c r="F310" t="s">
        <v>11610</v>
      </c>
      <c r="L310">
        <v>0</v>
      </c>
      <c r="M310">
        <v>0</v>
      </c>
      <c r="N310">
        <v>0</v>
      </c>
    </row>
    <row r="311" spans="1:15">
      <c r="A311" t="s">
        <v>12620</v>
      </c>
      <c r="B311" t="s">
        <v>367</v>
      </c>
      <c r="C311" t="s">
        <v>12621</v>
      </c>
      <c r="D311" t="s">
        <v>12622</v>
      </c>
      <c r="E311" t="b">
        <v>0</v>
      </c>
      <c r="F311" t="s">
        <v>11624</v>
      </c>
      <c r="G311">
        <v>-21.302900000000001</v>
      </c>
      <c r="H311">
        <v>165.46799999999999</v>
      </c>
      <c r="I311" t="s">
        <v>12623</v>
      </c>
      <c r="L311">
        <v>0</v>
      </c>
      <c r="M311">
        <v>0</v>
      </c>
      <c r="N311">
        <v>0</v>
      </c>
      <c r="O311" t="s">
        <v>12624</v>
      </c>
    </row>
    <row r="312" spans="1:15">
      <c r="A312" t="s">
        <v>12625</v>
      </c>
      <c r="B312" t="s">
        <v>11637</v>
      </c>
      <c r="C312" t="s">
        <v>12626</v>
      </c>
      <c r="D312" t="s">
        <v>12627</v>
      </c>
      <c r="E312" t="b">
        <v>0</v>
      </c>
      <c r="F312" t="s">
        <v>11610</v>
      </c>
      <c r="L312">
        <v>0</v>
      </c>
      <c r="M312">
        <v>0</v>
      </c>
      <c r="N312">
        <v>0</v>
      </c>
    </row>
    <row r="313" spans="1:15">
      <c r="A313" t="s">
        <v>12628</v>
      </c>
      <c r="B313" t="s">
        <v>12629</v>
      </c>
      <c r="C313" t="s">
        <v>12629</v>
      </c>
      <c r="D313" t="s">
        <v>12630</v>
      </c>
      <c r="E313" t="b">
        <v>0</v>
      </c>
      <c r="F313" t="s">
        <v>11610</v>
      </c>
      <c r="L313">
        <v>0</v>
      </c>
      <c r="M313">
        <v>0</v>
      </c>
      <c r="N313">
        <v>0</v>
      </c>
    </row>
    <row r="314" spans="1:15">
      <c r="A314" t="s">
        <v>12631</v>
      </c>
      <c r="B314" t="s">
        <v>6742</v>
      </c>
      <c r="C314" t="s">
        <v>12632</v>
      </c>
      <c r="D314" t="s">
        <v>12633</v>
      </c>
      <c r="E314" t="b">
        <v>0</v>
      </c>
      <c r="F314" t="s">
        <v>11610</v>
      </c>
      <c r="L314">
        <v>0</v>
      </c>
      <c r="M314">
        <v>0</v>
      </c>
      <c r="N314">
        <v>0</v>
      </c>
    </row>
    <row r="315" spans="1:15">
      <c r="A315" t="s">
        <v>12634</v>
      </c>
      <c r="B315" t="s">
        <v>11729</v>
      </c>
      <c r="C315" t="s">
        <v>12635</v>
      </c>
      <c r="D315" t="s">
        <v>12636</v>
      </c>
      <c r="E315" t="b">
        <v>0</v>
      </c>
      <c r="F315" t="s">
        <v>11610</v>
      </c>
      <c r="L315">
        <v>0</v>
      </c>
      <c r="M315">
        <v>0</v>
      </c>
      <c r="N315">
        <v>0</v>
      </c>
    </row>
    <row r="316" spans="1:15">
      <c r="A316" t="s">
        <v>12637</v>
      </c>
      <c r="B316" t="s">
        <v>367</v>
      </c>
      <c r="C316" t="s">
        <v>12638</v>
      </c>
      <c r="D316" t="s">
        <v>12639</v>
      </c>
      <c r="E316" t="b">
        <v>0</v>
      </c>
      <c r="F316" t="s">
        <v>11610</v>
      </c>
      <c r="L316">
        <v>0</v>
      </c>
      <c r="M316">
        <v>0</v>
      </c>
      <c r="N316">
        <v>0</v>
      </c>
    </row>
    <row r="317" spans="1:15">
      <c r="A317" t="s">
        <v>12640</v>
      </c>
      <c r="B317" t="s">
        <v>6742</v>
      </c>
      <c r="C317" t="s">
        <v>12641</v>
      </c>
      <c r="D317" t="s">
        <v>12642</v>
      </c>
      <c r="E317" t="b">
        <v>0</v>
      </c>
      <c r="F317" t="s">
        <v>11610</v>
      </c>
      <c r="L317">
        <v>0</v>
      </c>
      <c r="M317">
        <v>0</v>
      </c>
      <c r="N317">
        <v>0</v>
      </c>
    </row>
    <row r="318" spans="1:15">
      <c r="A318" t="s">
        <v>1713</v>
      </c>
      <c r="B318" t="s">
        <v>11894</v>
      </c>
      <c r="C318" t="s">
        <v>12643</v>
      </c>
      <c r="D318" t="s">
        <v>12644</v>
      </c>
      <c r="E318" t="b">
        <v>0</v>
      </c>
      <c r="F318" t="s">
        <v>11624</v>
      </c>
      <c r="G318">
        <v>-9.8236399999999993</v>
      </c>
      <c r="H318">
        <v>-74.619470000000007</v>
      </c>
      <c r="I318" t="s">
        <v>1715</v>
      </c>
      <c r="L318">
        <v>0</v>
      </c>
      <c r="M318">
        <v>0</v>
      </c>
      <c r="N318">
        <v>0</v>
      </c>
      <c r="O318" t="s">
        <v>11778</v>
      </c>
    </row>
    <row r="319" spans="1:15">
      <c r="A319" t="s">
        <v>12645</v>
      </c>
      <c r="B319" t="s">
        <v>12646</v>
      </c>
      <c r="C319" t="s">
        <v>12647</v>
      </c>
      <c r="D319" t="s">
        <v>49</v>
      </c>
      <c r="E319" t="b">
        <v>0</v>
      </c>
      <c r="F319" t="s">
        <v>11624</v>
      </c>
      <c r="G319">
        <v>11.210100000000001</v>
      </c>
      <c r="H319">
        <v>33.6524</v>
      </c>
      <c r="I319" t="s">
        <v>12648</v>
      </c>
      <c r="L319">
        <v>0</v>
      </c>
      <c r="M319">
        <v>0</v>
      </c>
      <c r="N319">
        <v>0</v>
      </c>
      <c r="O319" t="s">
        <v>11910</v>
      </c>
    </row>
    <row r="320" spans="1:15">
      <c r="A320" t="s">
        <v>12649</v>
      </c>
      <c r="B320" t="s">
        <v>12650</v>
      </c>
      <c r="C320" t="s">
        <v>12651</v>
      </c>
      <c r="D320" t="s">
        <v>12652</v>
      </c>
      <c r="E320" t="b">
        <v>0</v>
      </c>
      <c r="F320" t="s">
        <v>11624</v>
      </c>
      <c r="G320">
        <v>12.3629</v>
      </c>
      <c r="H320">
        <v>92.801100000000005</v>
      </c>
      <c r="I320" t="s">
        <v>12653</v>
      </c>
      <c r="L320">
        <v>0</v>
      </c>
      <c r="M320">
        <v>0</v>
      </c>
      <c r="N320">
        <v>0</v>
      </c>
      <c r="O320" t="s">
        <v>11630</v>
      </c>
    </row>
    <row r="321" spans="1:15">
      <c r="A321" t="s">
        <v>12654</v>
      </c>
      <c r="B321" t="s">
        <v>12650</v>
      </c>
      <c r="C321" t="s">
        <v>12655</v>
      </c>
      <c r="D321" t="s">
        <v>12656</v>
      </c>
      <c r="E321" t="b">
        <v>0</v>
      </c>
      <c r="F321" t="s">
        <v>11624</v>
      </c>
      <c r="G321">
        <v>12.3782</v>
      </c>
      <c r="H321">
        <v>92.781800000000004</v>
      </c>
      <c r="I321" t="s">
        <v>12657</v>
      </c>
      <c r="L321">
        <v>0</v>
      </c>
      <c r="M321">
        <v>0</v>
      </c>
      <c r="N321">
        <v>0</v>
      </c>
      <c r="O321" t="s">
        <v>11630</v>
      </c>
    </row>
    <row r="322" spans="1:15">
      <c r="A322" t="s">
        <v>12658</v>
      </c>
      <c r="B322" t="s">
        <v>12218</v>
      </c>
      <c r="C322" t="s">
        <v>12219</v>
      </c>
      <c r="D322" t="s">
        <v>12659</v>
      </c>
      <c r="E322" t="b">
        <v>0</v>
      </c>
      <c r="F322" t="s">
        <v>11610</v>
      </c>
      <c r="L322">
        <v>0</v>
      </c>
      <c r="M322">
        <v>0</v>
      </c>
      <c r="N322">
        <v>0</v>
      </c>
    </row>
    <row r="323" spans="1:15">
      <c r="A323" t="s">
        <v>12660</v>
      </c>
      <c r="B323" t="s">
        <v>12650</v>
      </c>
      <c r="C323" t="s">
        <v>12651</v>
      </c>
      <c r="D323" t="s">
        <v>12661</v>
      </c>
      <c r="E323" t="b">
        <v>0</v>
      </c>
      <c r="F323" t="s">
        <v>11624</v>
      </c>
      <c r="G323">
        <v>13.49086</v>
      </c>
      <c r="H323">
        <v>92.948549999999997</v>
      </c>
      <c r="I323" t="s">
        <v>12662</v>
      </c>
      <c r="L323">
        <v>0</v>
      </c>
      <c r="M323">
        <v>0</v>
      </c>
      <c r="N323">
        <v>0</v>
      </c>
      <c r="O323" t="s">
        <v>11630</v>
      </c>
    </row>
    <row r="324" spans="1:15">
      <c r="A324" t="s">
        <v>12663</v>
      </c>
      <c r="B324" t="s">
        <v>12650</v>
      </c>
      <c r="C324" t="s">
        <v>12664</v>
      </c>
      <c r="D324" t="s">
        <v>12665</v>
      </c>
      <c r="E324" t="b">
        <v>0</v>
      </c>
      <c r="F324" t="s">
        <v>11624</v>
      </c>
      <c r="G324">
        <v>13.1525</v>
      </c>
      <c r="H324">
        <v>92.950400000000002</v>
      </c>
      <c r="I324" t="s">
        <v>12666</v>
      </c>
      <c r="L324">
        <v>0</v>
      </c>
      <c r="M324">
        <v>0</v>
      </c>
      <c r="N324">
        <v>1</v>
      </c>
      <c r="O324" t="s">
        <v>11630</v>
      </c>
    </row>
    <row r="325" spans="1:15">
      <c r="A325" t="s">
        <v>12667</v>
      </c>
      <c r="B325" t="s">
        <v>12650</v>
      </c>
      <c r="C325" t="s">
        <v>12664</v>
      </c>
      <c r="D325" t="s">
        <v>12668</v>
      </c>
      <c r="E325" t="b">
        <v>0</v>
      </c>
      <c r="F325" t="s">
        <v>11624</v>
      </c>
      <c r="G325">
        <v>12.0944</v>
      </c>
      <c r="H325">
        <v>92.746600000000001</v>
      </c>
      <c r="I325" t="s">
        <v>12669</v>
      </c>
      <c r="L325">
        <v>0</v>
      </c>
      <c r="M325">
        <v>0</v>
      </c>
      <c r="N325">
        <v>0</v>
      </c>
      <c r="O325" t="s">
        <v>11630</v>
      </c>
    </row>
    <row r="326" spans="1:15">
      <c r="A326" t="s">
        <v>12670</v>
      </c>
      <c r="B326" t="s">
        <v>12650</v>
      </c>
      <c r="C326" t="s">
        <v>12671</v>
      </c>
      <c r="D326" t="s">
        <v>12672</v>
      </c>
      <c r="E326" t="b">
        <v>0</v>
      </c>
      <c r="F326" t="s">
        <v>11624</v>
      </c>
      <c r="G326">
        <v>12.849399999999999</v>
      </c>
      <c r="H326">
        <v>92.822699999999998</v>
      </c>
      <c r="I326" t="s">
        <v>12673</v>
      </c>
      <c r="L326">
        <v>0</v>
      </c>
      <c r="M326">
        <v>0</v>
      </c>
      <c r="N326">
        <v>0</v>
      </c>
      <c r="O326" t="s">
        <v>11630</v>
      </c>
    </row>
    <row r="327" spans="1:15">
      <c r="A327" t="s">
        <v>12674</v>
      </c>
      <c r="B327" t="s">
        <v>12650</v>
      </c>
      <c r="C327" t="s">
        <v>12675</v>
      </c>
      <c r="D327" t="s">
        <v>12676</v>
      </c>
      <c r="E327" t="b">
        <v>0</v>
      </c>
      <c r="F327" t="s">
        <v>11624</v>
      </c>
      <c r="G327">
        <v>12.732530000000001</v>
      </c>
      <c r="H327">
        <v>92.786609999999996</v>
      </c>
      <c r="I327" t="s">
        <v>12677</v>
      </c>
      <c r="L327">
        <v>0</v>
      </c>
      <c r="M327">
        <v>0</v>
      </c>
      <c r="N327">
        <v>0</v>
      </c>
      <c r="O327" t="s">
        <v>11630</v>
      </c>
    </row>
    <row r="328" spans="1:15">
      <c r="A328" t="s">
        <v>12647</v>
      </c>
      <c r="B328" t="s">
        <v>12646</v>
      </c>
      <c r="C328" t="s">
        <v>12646</v>
      </c>
      <c r="D328" t="s">
        <v>12678</v>
      </c>
      <c r="E328" t="b">
        <v>0</v>
      </c>
      <c r="F328" t="s">
        <v>11622</v>
      </c>
      <c r="L328">
        <v>0</v>
      </c>
      <c r="M328">
        <v>3</v>
      </c>
      <c r="N328">
        <v>2</v>
      </c>
    </row>
    <row r="329" spans="1:15">
      <c r="A329" t="s">
        <v>12679</v>
      </c>
      <c r="B329" t="s">
        <v>11644</v>
      </c>
      <c r="C329" t="s">
        <v>12680</v>
      </c>
      <c r="D329" t="s">
        <v>12681</v>
      </c>
      <c r="E329" t="b">
        <v>0</v>
      </c>
      <c r="F329" t="s">
        <v>11610</v>
      </c>
      <c r="L329">
        <v>0</v>
      </c>
      <c r="M329">
        <v>0</v>
      </c>
      <c r="N329">
        <v>0</v>
      </c>
    </row>
    <row r="330" spans="1:15">
      <c r="A330" t="s">
        <v>12682</v>
      </c>
      <c r="B330" t="s">
        <v>6742</v>
      </c>
      <c r="C330" t="s">
        <v>12683</v>
      </c>
      <c r="D330" t="s">
        <v>12684</v>
      </c>
      <c r="E330" t="b">
        <v>0</v>
      </c>
      <c r="F330" t="s">
        <v>11610</v>
      </c>
      <c r="L330">
        <v>0</v>
      </c>
      <c r="M330">
        <v>0</v>
      </c>
      <c r="N330">
        <v>0</v>
      </c>
    </row>
    <row r="331" spans="1:15">
      <c r="A331" t="s">
        <v>12685</v>
      </c>
      <c r="B331" t="s">
        <v>12686</v>
      </c>
      <c r="C331" t="s">
        <v>319</v>
      </c>
      <c r="D331" t="s">
        <v>12687</v>
      </c>
      <c r="E331" t="b">
        <v>0</v>
      </c>
      <c r="F331" t="s">
        <v>11610</v>
      </c>
      <c r="L331">
        <v>0</v>
      </c>
      <c r="M331">
        <v>0</v>
      </c>
      <c r="N331">
        <v>0</v>
      </c>
    </row>
    <row r="332" spans="1:15">
      <c r="A332" t="s">
        <v>50</v>
      </c>
      <c r="B332" t="s">
        <v>6742</v>
      </c>
      <c r="C332" t="s">
        <v>11817</v>
      </c>
      <c r="D332" t="s">
        <v>262</v>
      </c>
      <c r="E332" t="b">
        <v>0</v>
      </c>
      <c r="F332" t="s">
        <v>11624</v>
      </c>
      <c r="G332">
        <v>6.3475599999999996</v>
      </c>
      <c r="H332">
        <v>-1.3325400000000001</v>
      </c>
      <c r="I332" t="s">
        <v>53</v>
      </c>
      <c r="L332">
        <v>0</v>
      </c>
      <c r="M332">
        <v>0</v>
      </c>
      <c r="N332">
        <v>10</v>
      </c>
      <c r="O332" t="s">
        <v>12006</v>
      </c>
    </row>
    <row r="333" spans="1:15">
      <c r="A333" t="s">
        <v>11817</v>
      </c>
      <c r="B333" t="s">
        <v>6742</v>
      </c>
      <c r="C333" t="s">
        <v>12688</v>
      </c>
      <c r="D333" t="s">
        <v>12689</v>
      </c>
      <c r="E333" t="b">
        <v>0</v>
      </c>
      <c r="F333" t="s">
        <v>11622</v>
      </c>
      <c r="L333">
        <v>0</v>
      </c>
      <c r="M333">
        <v>3</v>
      </c>
      <c r="N333">
        <v>12</v>
      </c>
    </row>
    <row r="334" spans="1:15">
      <c r="A334" t="s">
        <v>12690</v>
      </c>
      <c r="B334" t="s">
        <v>12650</v>
      </c>
      <c r="C334" t="s">
        <v>12655</v>
      </c>
      <c r="D334" t="s">
        <v>12691</v>
      </c>
      <c r="E334" t="b">
        <v>0</v>
      </c>
      <c r="F334" t="s">
        <v>11624</v>
      </c>
      <c r="G334">
        <v>12.6663</v>
      </c>
      <c r="H334">
        <v>92.827799999999996</v>
      </c>
      <c r="I334" t="s">
        <v>12692</v>
      </c>
      <c r="L334">
        <v>0</v>
      </c>
      <c r="M334">
        <v>0</v>
      </c>
      <c r="N334">
        <v>0</v>
      </c>
      <c r="O334" t="s">
        <v>11630</v>
      </c>
    </row>
    <row r="335" spans="1:15">
      <c r="A335" t="s">
        <v>12693</v>
      </c>
      <c r="B335" t="s">
        <v>10597</v>
      </c>
      <c r="C335" t="s">
        <v>12694</v>
      </c>
      <c r="D335" t="s">
        <v>12695</v>
      </c>
      <c r="E335" t="b">
        <v>0</v>
      </c>
      <c r="F335" t="s">
        <v>11610</v>
      </c>
      <c r="L335">
        <v>0</v>
      </c>
      <c r="M335">
        <v>0</v>
      </c>
      <c r="N335">
        <v>0</v>
      </c>
    </row>
    <row r="336" spans="1:15">
      <c r="A336" t="s">
        <v>12696</v>
      </c>
      <c r="B336" t="s">
        <v>12697</v>
      </c>
      <c r="C336" t="s">
        <v>12698</v>
      </c>
      <c r="D336" t="s">
        <v>12699</v>
      </c>
      <c r="E336" t="b">
        <v>0</v>
      </c>
      <c r="F336" t="s">
        <v>11610</v>
      </c>
      <c r="L336">
        <v>0</v>
      </c>
      <c r="M336">
        <v>0</v>
      </c>
      <c r="N336">
        <v>0</v>
      </c>
    </row>
    <row r="337" spans="1:15">
      <c r="A337" t="s">
        <v>12700</v>
      </c>
      <c r="B337" t="s">
        <v>6742</v>
      </c>
      <c r="C337" t="s">
        <v>12701</v>
      </c>
      <c r="D337" t="s">
        <v>12702</v>
      </c>
      <c r="E337" t="b">
        <v>0</v>
      </c>
      <c r="F337" t="s">
        <v>11624</v>
      </c>
      <c r="G337">
        <v>8.8857999999999997</v>
      </c>
      <c r="H337">
        <v>1.37035</v>
      </c>
      <c r="I337" t="s">
        <v>12703</v>
      </c>
      <c r="L337">
        <v>0</v>
      </c>
      <c r="M337">
        <v>0</v>
      </c>
      <c r="N337">
        <v>0</v>
      </c>
      <c r="O337" t="s">
        <v>12704</v>
      </c>
    </row>
    <row r="338" spans="1:15">
      <c r="A338" t="s">
        <v>3150</v>
      </c>
      <c r="B338" t="s">
        <v>8310</v>
      </c>
      <c r="C338" t="s">
        <v>12705</v>
      </c>
      <c r="D338" t="s">
        <v>3149</v>
      </c>
      <c r="E338" t="b">
        <v>0</v>
      </c>
      <c r="F338" t="s">
        <v>11624</v>
      </c>
      <c r="G338">
        <v>6.1627700000000001</v>
      </c>
      <c r="H338">
        <v>-60.862000000000002</v>
      </c>
      <c r="I338" t="s">
        <v>3151</v>
      </c>
      <c r="L338">
        <v>0</v>
      </c>
      <c r="M338">
        <v>0</v>
      </c>
      <c r="N338">
        <v>0</v>
      </c>
      <c r="O338" t="s">
        <v>12706</v>
      </c>
    </row>
    <row r="339" spans="1:15">
      <c r="A339" t="s">
        <v>12707</v>
      </c>
      <c r="B339" t="s">
        <v>6742</v>
      </c>
      <c r="C339" t="s">
        <v>12708</v>
      </c>
      <c r="D339" t="s">
        <v>12709</v>
      </c>
      <c r="E339" t="b">
        <v>0</v>
      </c>
      <c r="F339" t="s">
        <v>11624</v>
      </c>
      <c r="G339">
        <v>7.7836499999999997</v>
      </c>
      <c r="H339">
        <v>0.77668000000000004</v>
      </c>
      <c r="I339" t="s">
        <v>12710</v>
      </c>
      <c r="L339">
        <v>0</v>
      </c>
      <c r="M339">
        <v>0</v>
      </c>
      <c r="N339">
        <v>0</v>
      </c>
      <c r="O339" t="s">
        <v>12704</v>
      </c>
    </row>
    <row r="340" spans="1:15">
      <c r="A340" t="s">
        <v>12711</v>
      </c>
      <c r="B340" t="s">
        <v>6742</v>
      </c>
      <c r="C340" t="s">
        <v>12712</v>
      </c>
      <c r="D340" t="s">
        <v>12713</v>
      </c>
      <c r="E340" t="b">
        <v>0</v>
      </c>
      <c r="F340" t="s">
        <v>11624</v>
      </c>
      <c r="G340">
        <v>8.5954300000000003</v>
      </c>
      <c r="H340">
        <v>8.7576800000000006</v>
      </c>
      <c r="I340" t="s">
        <v>12714</v>
      </c>
      <c r="L340">
        <v>0</v>
      </c>
      <c r="M340">
        <v>0</v>
      </c>
      <c r="N340">
        <v>0</v>
      </c>
      <c r="O340" t="s">
        <v>11693</v>
      </c>
    </row>
    <row r="341" spans="1:15">
      <c r="A341" t="s">
        <v>12715</v>
      </c>
      <c r="B341" t="s">
        <v>367</v>
      </c>
      <c r="C341" t="s">
        <v>12716</v>
      </c>
      <c r="D341" t="s">
        <v>12717</v>
      </c>
      <c r="E341" t="b">
        <v>0</v>
      </c>
      <c r="F341" t="s">
        <v>11624</v>
      </c>
      <c r="G341">
        <v>-15.637700000000001</v>
      </c>
      <c r="H341">
        <v>166.767</v>
      </c>
      <c r="I341" t="s">
        <v>12718</v>
      </c>
      <c r="L341">
        <v>0</v>
      </c>
      <c r="M341">
        <v>0</v>
      </c>
      <c r="N341">
        <v>0</v>
      </c>
      <c r="O341" t="s">
        <v>12719</v>
      </c>
    </row>
    <row r="342" spans="1:15">
      <c r="A342" t="s">
        <v>12720</v>
      </c>
      <c r="B342" t="s">
        <v>10597</v>
      </c>
      <c r="C342" t="s">
        <v>12721</v>
      </c>
      <c r="D342" t="s">
        <v>12722</v>
      </c>
      <c r="E342" t="b">
        <v>0</v>
      </c>
      <c r="F342" t="s">
        <v>11610</v>
      </c>
      <c r="L342">
        <v>0</v>
      </c>
      <c r="M342">
        <v>0</v>
      </c>
      <c r="N342">
        <v>0</v>
      </c>
    </row>
    <row r="343" spans="1:15">
      <c r="A343" t="s">
        <v>12723</v>
      </c>
      <c r="B343" t="s">
        <v>11644</v>
      </c>
      <c r="C343" t="s">
        <v>12724</v>
      </c>
      <c r="D343" t="s">
        <v>12725</v>
      </c>
      <c r="E343" t="b">
        <v>0</v>
      </c>
      <c r="F343" t="s">
        <v>11624</v>
      </c>
      <c r="I343" t="s">
        <v>12726</v>
      </c>
      <c r="L343">
        <v>0</v>
      </c>
      <c r="M343">
        <v>0</v>
      </c>
      <c r="N343">
        <v>0</v>
      </c>
      <c r="O343" t="s">
        <v>12727</v>
      </c>
    </row>
    <row r="344" spans="1:15">
      <c r="A344" t="s">
        <v>12728</v>
      </c>
      <c r="B344" t="s">
        <v>11644</v>
      </c>
      <c r="C344" t="s">
        <v>12724</v>
      </c>
      <c r="D344" t="s">
        <v>12729</v>
      </c>
      <c r="E344" t="b">
        <v>0</v>
      </c>
      <c r="F344" t="s">
        <v>11624</v>
      </c>
      <c r="G344">
        <v>21.230899999999998</v>
      </c>
      <c r="H344">
        <v>100.964</v>
      </c>
      <c r="I344" t="s">
        <v>12730</v>
      </c>
      <c r="L344">
        <v>0</v>
      </c>
      <c r="M344">
        <v>0</v>
      </c>
      <c r="N344">
        <v>2</v>
      </c>
      <c r="O344" t="s">
        <v>12731</v>
      </c>
    </row>
    <row r="345" spans="1:15">
      <c r="A345" t="s">
        <v>12724</v>
      </c>
      <c r="B345" t="s">
        <v>11644</v>
      </c>
      <c r="C345" t="s">
        <v>12732</v>
      </c>
      <c r="D345" t="s">
        <v>12733</v>
      </c>
      <c r="E345" t="b">
        <v>0</v>
      </c>
      <c r="F345" t="s">
        <v>11622</v>
      </c>
      <c r="L345">
        <v>0</v>
      </c>
      <c r="M345">
        <v>4</v>
      </c>
      <c r="N345">
        <v>2</v>
      </c>
    </row>
    <row r="346" spans="1:15">
      <c r="A346" t="s">
        <v>12734</v>
      </c>
      <c r="B346" t="s">
        <v>11607</v>
      </c>
      <c r="C346" t="s">
        <v>12735</v>
      </c>
      <c r="D346" t="s">
        <v>12736</v>
      </c>
      <c r="E346" t="b">
        <v>0</v>
      </c>
      <c r="F346" t="s">
        <v>11610</v>
      </c>
      <c r="L346">
        <v>0</v>
      </c>
      <c r="M346">
        <v>0</v>
      </c>
      <c r="N346">
        <v>0</v>
      </c>
    </row>
    <row r="347" spans="1:15">
      <c r="A347" t="s">
        <v>12737</v>
      </c>
      <c r="B347" t="s">
        <v>12738</v>
      </c>
      <c r="C347" t="s">
        <v>12739</v>
      </c>
      <c r="D347" t="s">
        <v>12740</v>
      </c>
      <c r="E347" t="b">
        <v>0</v>
      </c>
      <c r="F347" t="s">
        <v>11610</v>
      </c>
      <c r="L347">
        <v>0</v>
      </c>
      <c r="M347">
        <v>0</v>
      </c>
      <c r="N347">
        <v>0</v>
      </c>
    </row>
    <row r="348" spans="1:15">
      <c r="A348" t="s">
        <v>12741</v>
      </c>
      <c r="B348" t="s">
        <v>12311</v>
      </c>
      <c r="C348" t="s">
        <v>12742</v>
      </c>
      <c r="D348" t="s">
        <v>12743</v>
      </c>
      <c r="E348" t="b">
        <v>0</v>
      </c>
      <c r="F348" t="s">
        <v>11610</v>
      </c>
      <c r="L348">
        <v>0</v>
      </c>
      <c r="M348">
        <v>0</v>
      </c>
      <c r="N348">
        <v>0</v>
      </c>
    </row>
    <row r="349" spans="1:15">
      <c r="A349" t="s">
        <v>12744</v>
      </c>
      <c r="B349" t="s">
        <v>12311</v>
      </c>
      <c r="C349" t="s">
        <v>12745</v>
      </c>
      <c r="D349" t="s">
        <v>12746</v>
      </c>
      <c r="E349" t="b">
        <v>0</v>
      </c>
      <c r="F349" t="s">
        <v>11624</v>
      </c>
      <c r="G349">
        <v>42.400300000000001</v>
      </c>
      <c r="H349">
        <v>46.303699999999999</v>
      </c>
      <c r="I349" t="s">
        <v>12747</v>
      </c>
      <c r="L349">
        <v>0</v>
      </c>
      <c r="M349">
        <v>0</v>
      </c>
      <c r="N349">
        <v>0</v>
      </c>
      <c r="O349" t="s">
        <v>12748</v>
      </c>
    </row>
    <row r="350" spans="1:15">
      <c r="A350" t="s">
        <v>12749</v>
      </c>
      <c r="B350" t="s">
        <v>11615</v>
      </c>
      <c r="C350" t="s">
        <v>11953</v>
      </c>
      <c r="D350" t="s">
        <v>12750</v>
      </c>
      <c r="E350" t="b">
        <v>0</v>
      </c>
      <c r="F350" t="s">
        <v>11610</v>
      </c>
      <c r="L350">
        <v>0</v>
      </c>
      <c r="M350">
        <v>0</v>
      </c>
      <c r="N350">
        <v>0</v>
      </c>
    </row>
    <row r="351" spans="1:15">
      <c r="A351" t="s">
        <v>10425</v>
      </c>
      <c r="B351" t="s">
        <v>12751</v>
      </c>
      <c r="C351" t="s">
        <v>10441</v>
      </c>
      <c r="D351" t="s">
        <v>10432</v>
      </c>
      <c r="E351" t="b">
        <v>0</v>
      </c>
      <c r="F351" t="s">
        <v>11610</v>
      </c>
      <c r="L351">
        <v>0</v>
      </c>
      <c r="M351">
        <v>0</v>
      </c>
      <c r="N351">
        <v>0</v>
      </c>
    </row>
    <row r="352" spans="1:15">
      <c r="A352" t="s">
        <v>12752</v>
      </c>
      <c r="B352" t="s">
        <v>367</v>
      </c>
      <c r="C352" t="s">
        <v>12753</v>
      </c>
      <c r="D352" t="s">
        <v>12754</v>
      </c>
      <c r="E352" t="b">
        <v>0</v>
      </c>
      <c r="F352" t="s">
        <v>11610</v>
      </c>
      <c r="L352">
        <v>0</v>
      </c>
      <c r="M352">
        <v>0</v>
      </c>
      <c r="N352">
        <v>0</v>
      </c>
    </row>
    <row r="353" spans="1:15">
      <c r="A353" t="s">
        <v>12755</v>
      </c>
      <c r="B353" t="s">
        <v>4342</v>
      </c>
      <c r="C353" t="s">
        <v>1360</v>
      </c>
      <c r="D353" t="s">
        <v>12756</v>
      </c>
      <c r="E353" t="b">
        <v>0</v>
      </c>
      <c r="F353" t="s">
        <v>11610</v>
      </c>
      <c r="L353">
        <v>0</v>
      </c>
      <c r="M353">
        <v>0</v>
      </c>
      <c r="N353">
        <v>0</v>
      </c>
    </row>
    <row r="354" spans="1:15">
      <c r="A354" t="s">
        <v>12757</v>
      </c>
      <c r="B354" t="s">
        <v>12260</v>
      </c>
      <c r="C354" t="s">
        <v>12758</v>
      </c>
      <c r="D354" t="s">
        <v>12759</v>
      </c>
      <c r="E354" t="b">
        <v>0</v>
      </c>
      <c r="F354" t="s">
        <v>11624</v>
      </c>
      <c r="G354">
        <v>67.862499999999997</v>
      </c>
      <c r="H354">
        <v>32.404600000000002</v>
      </c>
      <c r="I354" t="s">
        <v>12760</v>
      </c>
      <c r="L354">
        <v>0</v>
      </c>
      <c r="M354">
        <v>0</v>
      </c>
      <c r="N354">
        <v>0</v>
      </c>
      <c r="O354" t="s">
        <v>12748</v>
      </c>
    </row>
    <row r="355" spans="1:15">
      <c r="A355" t="s">
        <v>12761</v>
      </c>
      <c r="B355" t="s">
        <v>11607</v>
      </c>
      <c r="C355" t="s">
        <v>12762</v>
      </c>
      <c r="D355" t="s">
        <v>12763</v>
      </c>
      <c r="E355" t="b">
        <v>0</v>
      </c>
      <c r="F355" t="s">
        <v>11624</v>
      </c>
      <c r="G355">
        <v>33.1</v>
      </c>
      <c r="H355">
        <v>44.1</v>
      </c>
      <c r="I355" t="s">
        <v>12764</v>
      </c>
      <c r="L355">
        <v>0</v>
      </c>
      <c r="M355">
        <v>0</v>
      </c>
      <c r="N355">
        <v>0</v>
      </c>
      <c r="O355" t="s">
        <v>12765</v>
      </c>
    </row>
    <row r="356" spans="1:15">
      <c r="A356" t="s">
        <v>12766</v>
      </c>
      <c r="B356" t="s">
        <v>11705</v>
      </c>
      <c r="C356" t="s">
        <v>12767</v>
      </c>
      <c r="D356" t="s">
        <v>12768</v>
      </c>
      <c r="E356" t="b">
        <v>0</v>
      </c>
      <c r="F356" t="s">
        <v>11624</v>
      </c>
      <c r="G356">
        <v>-3.5702600000000002</v>
      </c>
      <c r="H356">
        <v>141.78399999999999</v>
      </c>
      <c r="I356" t="s">
        <v>12769</v>
      </c>
      <c r="L356">
        <v>0</v>
      </c>
      <c r="M356">
        <v>0</v>
      </c>
      <c r="N356">
        <v>0</v>
      </c>
      <c r="O356" t="s">
        <v>11660</v>
      </c>
    </row>
    <row r="357" spans="1:15">
      <c r="A357" t="s">
        <v>12770</v>
      </c>
      <c r="B357" t="s">
        <v>367</v>
      </c>
      <c r="C357" t="s">
        <v>12771</v>
      </c>
      <c r="D357" t="s">
        <v>12772</v>
      </c>
      <c r="E357" t="b">
        <v>0</v>
      </c>
      <c r="F357" t="s">
        <v>11622</v>
      </c>
      <c r="L357">
        <v>0</v>
      </c>
      <c r="M357">
        <v>2</v>
      </c>
      <c r="N357">
        <v>0</v>
      </c>
    </row>
    <row r="358" spans="1:15">
      <c r="A358" t="s">
        <v>12773</v>
      </c>
      <c r="B358" t="s">
        <v>367</v>
      </c>
      <c r="C358" t="s">
        <v>12770</v>
      </c>
      <c r="D358" t="s">
        <v>12774</v>
      </c>
      <c r="E358" t="b">
        <v>0</v>
      </c>
      <c r="F358" t="s">
        <v>11624</v>
      </c>
      <c r="G358">
        <v>11.5543</v>
      </c>
      <c r="H358">
        <v>122.354</v>
      </c>
      <c r="I358" t="s">
        <v>12775</v>
      </c>
      <c r="L358">
        <v>0</v>
      </c>
      <c r="M358">
        <v>0</v>
      </c>
      <c r="N358">
        <v>0</v>
      </c>
      <c r="O358" t="s">
        <v>11749</v>
      </c>
    </row>
    <row r="359" spans="1:15">
      <c r="A359" t="s">
        <v>12776</v>
      </c>
      <c r="B359" t="s">
        <v>11637</v>
      </c>
      <c r="C359" t="s">
        <v>12777</v>
      </c>
      <c r="D359" t="s">
        <v>12778</v>
      </c>
      <c r="E359" t="b">
        <v>0</v>
      </c>
      <c r="F359" t="s">
        <v>11610</v>
      </c>
      <c r="L359">
        <v>0</v>
      </c>
      <c r="M359">
        <v>0</v>
      </c>
      <c r="N359">
        <v>0</v>
      </c>
    </row>
    <row r="360" spans="1:15">
      <c r="A360" t="s">
        <v>12779</v>
      </c>
      <c r="B360" t="s">
        <v>367</v>
      </c>
      <c r="C360" t="s">
        <v>12780</v>
      </c>
      <c r="D360" t="s">
        <v>12781</v>
      </c>
      <c r="E360" t="b">
        <v>0</v>
      </c>
      <c r="F360" t="s">
        <v>11624</v>
      </c>
      <c r="G360">
        <v>-6.2271099999999997</v>
      </c>
      <c r="H360">
        <v>150.18199999999999</v>
      </c>
      <c r="I360" t="s">
        <v>12782</v>
      </c>
      <c r="L360">
        <v>0</v>
      </c>
      <c r="M360">
        <v>0</v>
      </c>
      <c r="N360">
        <v>0</v>
      </c>
      <c r="O360" t="s">
        <v>11660</v>
      </c>
    </row>
    <row r="361" spans="1:15">
      <c r="A361" t="s">
        <v>12783</v>
      </c>
      <c r="B361" t="s">
        <v>6742</v>
      </c>
      <c r="C361" t="s">
        <v>3193</v>
      </c>
      <c r="D361" t="s">
        <v>12784</v>
      </c>
      <c r="E361" t="b">
        <v>0</v>
      </c>
      <c r="F361" t="s">
        <v>11610</v>
      </c>
      <c r="L361">
        <v>0</v>
      </c>
      <c r="M361">
        <v>0</v>
      </c>
      <c r="N361">
        <v>0</v>
      </c>
    </row>
    <row r="362" spans="1:15">
      <c r="A362" t="s">
        <v>12785</v>
      </c>
      <c r="B362" t="s">
        <v>11644</v>
      </c>
      <c r="C362" t="s">
        <v>12728</v>
      </c>
      <c r="D362" t="s">
        <v>12786</v>
      </c>
      <c r="E362" t="b">
        <v>0</v>
      </c>
      <c r="F362" t="s">
        <v>11610</v>
      </c>
      <c r="L362">
        <v>0</v>
      </c>
      <c r="M362">
        <v>0</v>
      </c>
      <c r="N362">
        <v>0</v>
      </c>
    </row>
    <row r="363" spans="1:15">
      <c r="A363" t="s">
        <v>12787</v>
      </c>
      <c r="B363" t="s">
        <v>6742</v>
      </c>
      <c r="C363" t="s">
        <v>12788</v>
      </c>
      <c r="D363" t="s">
        <v>12789</v>
      </c>
      <c r="E363" t="b">
        <v>0</v>
      </c>
      <c r="F363" t="s">
        <v>11624</v>
      </c>
      <c r="G363">
        <v>4.9242999999999997</v>
      </c>
      <c r="H363">
        <v>9.6552199999999999</v>
      </c>
      <c r="I363" t="s">
        <v>12790</v>
      </c>
      <c r="L363">
        <v>0</v>
      </c>
      <c r="M363">
        <v>0</v>
      </c>
      <c r="N363">
        <v>7</v>
      </c>
      <c r="O363" t="s">
        <v>11703</v>
      </c>
    </row>
    <row r="364" spans="1:15">
      <c r="A364" t="s">
        <v>12791</v>
      </c>
      <c r="B364" t="s">
        <v>6742</v>
      </c>
      <c r="C364" t="s">
        <v>12792</v>
      </c>
      <c r="D364" t="s">
        <v>12793</v>
      </c>
      <c r="E364" t="b">
        <v>0</v>
      </c>
      <c r="F364" t="s">
        <v>11610</v>
      </c>
      <c r="L364">
        <v>0</v>
      </c>
      <c r="M364">
        <v>0</v>
      </c>
      <c r="N364">
        <v>0</v>
      </c>
    </row>
    <row r="365" spans="1:15">
      <c r="A365" t="s">
        <v>12794</v>
      </c>
      <c r="B365" t="s">
        <v>367</v>
      </c>
      <c r="C365" t="s">
        <v>12795</v>
      </c>
      <c r="D365" t="s">
        <v>12796</v>
      </c>
      <c r="E365" t="b">
        <v>0</v>
      </c>
      <c r="F365" t="s">
        <v>11610</v>
      </c>
      <c r="L365">
        <v>0</v>
      </c>
      <c r="M365">
        <v>0</v>
      </c>
      <c r="N365">
        <v>0</v>
      </c>
    </row>
    <row r="366" spans="1:15">
      <c r="A366" t="s">
        <v>12797</v>
      </c>
      <c r="B366" t="s">
        <v>12487</v>
      </c>
      <c r="C366" t="s">
        <v>12798</v>
      </c>
      <c r="D366" t="s">
        <v>12799</v>
      </c>
      <c r="E366" t="b">
        <v>0</v>
      </c>
      <c r="F366" t="s">
        <v>11624</v>
      </c>
      <c r="G366">
        <v>-7.6606699999999996</v>
      </c>
      <c r="H366">
        <v>145.66900000000001</v>
      </c>
      <c r="I366" t="s">
        <v>12800</v>
      </c>
      <c r="L366">
        <v>0</v>
      </c>
      <c r="M366">
        <v>0</v>
      </c>
      <c r="N366">
        <v>0</v>
      </c>
      <c r="O366" t="s">
        <v>11660</v>
      </c>
    </row>
    <row r="367" spans="1:15">
      <c r="A367" t="s">
        <v>12801</v>
      </c>
      <c r="B367" t="s">
        <v>6742</v>
      </c>
      <c r="C367" t="s">
        <v>12802</v>
      </c>
      <c r="D367" t="s">
        <v>12803</v>
      </c>
      <c r="E367" t="b">
        <v>0</v>
      </c>
      <c r="F367" t="s">
        <v>11624</v>
      </c>
      <c r="G367">
        <v>7.3258599999999996</v>
      </c>
      <c r="H367">
        <v>8.0162899999999997</v>
      </c>
      <c r="I367" t="s">
        <v>12804</v>
      </c>
      <c r="L367">
        <v>0</v>
      </c>
      <c r="M367">
        <v>0</v>
      </c>
      <c r="N367">
        <v>0</v>
      </c>
      <c r="O367" t="s">
        <v>11693</v>
      </c>
    </row>
    <row r="368" spans="1:15">
      <c r="A368" t="s">
        <v>12805</v>
      </c>
      <c r="B368" t="s">
        <v>6742</v>
      </c>
      <c r="C368" t="s">
        <v>12806</v>
      </c>
      <c r="D368" t="s">
        <v>12807</v>
      </c>
      <c r="E368" t="b">
        <v>0</v>
      </c>
      <c r="F368" t="s">
        <v>11610</v>
      </c>
      <c r="L368">
        <v>0</v>
      </c>
      <c r="M368">
        <v>0</v>
      </c>
      <c r="N368">
        <v>0</v>
      </c>
    </row>
    <row r="369" spans="1:15">
      <c r="A369" t="s">
        <v>12808</v>
      </c>
      <c r="B369" t="s">
        <v>6742</v>
      </c>
      <c r="C369" t="s">
        <v>12809</v>
      </c>
      <c r="D369" t="s">
        <v>12810</v>
      </c>
      <c r="E369" t="b">
        <v>0</v>
      </c>
      <c r="F369" t="s">
        <v>11610</v>
      </c>
      <c r="L369">
        <v>0</v>
      </c>
      <c r="M369">
        <v>0</v>
      </c>
      <c r="N369">
        <v>0</v>
      </c>
    </row>
    <row r="370" spans="1:15">
      <c r="A370" t="s">
        <v>12811</v>
      </c>
      <c r="B370" t="s">
        <v>6742</v>
      </c>
      <c r="C370" t="s">
        <v>12812</v>
      </c>
      <c r="D370" t="s">
        <v>12813</v>
      </c>
      <c r="E370" t="b">
        <v>0</v>
      </c>
      <c r="F370" t="s">
        <v>11624</v>
      </c>
      <c r="G370">
        <v>7.5025599999999999</v>
      </c>
      <c r="H370">
        <v>5.9555899999999999</v>
      </c>
      <c r="I370" t="s">
        <v>12814</v>
      </c>
      <c r="L370">
        <v>0</v>
      </c>
      <c r="M370">
        <v>0</v>
      </c>
      <c r="N370">
        <v>9</v>
      </c>
      <c r="O370" t="s">
        <v>11693</v>
      </c>
    </row>
    <row r="371" spans="1:15">
      <c r="A371" t="s">
        <v>12812</v>
      </c>
      <c r="B371" t="s">
        <v>6742</v>
      </c>
      <c r="C371" t="s">
        <v>12815</v>
      </c>
      <c r="D371" t="s">
        <v>12816</v>
      </c>
      <c r="E371" t="b">
        <v>0</v>
      </c>
      <c r="F371" t="s">
        <v>11622</v>
      </c>
      <c r="L371">
        <v>15</v>
      </c>
      <c r="M371">
        <v>29</v>
      </c>
      <c r="N371">
        <v>84</v>
      </c>
    </row>
    <row r="372" spans="1:15">
      <c r="A372" t="s">
        <v>12817</v>
      </c>
      <c r="B372" t="s">
        <v>6742</v>
      </c>
      <c r="C372" t="s">
        <v>12818</v>
      </c>
      <c r="D372" t="s">
        <v>12819</v>
      </c>
      <c r="E372" t="b">
        <v>0</v>
      </c>
      <c r="F372" t="s">
        <v>11610</v>
      </c>
      <c r="L372">
        <v>0</v>
      </c>
      <c r="M372">
        <v>0</v>
      </c>
      <c r="N372">
        <v>0</v>
      </c>
    </row>
    <row r="373" spans="1:15">
      <c r="A373" t="s">
        <v>12820</v>
      </c>
      <c r="B373" t="s">
        <v>6742</v>
      </c>
      <c r="C373" t="s">
        <v>12821</v>
      </c>
      <c r="D373" t="s">
        <v>12822</v>
      </c>
      <c r="E373" t="b">
        <v>0</v>
      </c>
      <c r="F373" t="s">
        <v>11624</v>
      </c>
      <c r="G373">
        <v>9.2352319999999999</v>
      </c>
      <c r="H373">
        <v>8.5454539999999994</v>
      </c>
      <c r="L373">
        <v>0</v>
      </c>
      <c r="M373">
        <v>0</v>
      </c>
      <c r="N373">
        <v>0</v>
      </c>
      <c r="O373" t="s">
        <v>11693</v>
      </c>
    </row>
    <row r="374" spans="1:15">
      <c r="A374" t="s">
        <v>12823</v>
      </c>
      <c r="B374" t="s">
        <v>11637</v>
      </c>
      <c r="C374" t="s">
        <v>12824</v>
      </c>
      <c r="D374" t="s">
        <v>12825</v>
      </c>
      <c r="E374" t="b">
        <v>0</v>
      </c>
      <c r="F374" t="s">
        <v>11610</v>
      </c>
      <c r="L374">
        <v>0</v>
      </c>
      <c r="M374">
        <v>0</v>
      </c>
      <c r="N374">
        <v>0</v>
      </c>
    </row>
    <row r="375" spans="1:15">
      <c r="A375" t="s">
        <v>12826</v>
      </c>
      <c r="B375" t="s">
        <v>11871</v>
      </c>
      <c r="C375" t="s">
        <v>12827</v>
      </c>
      <c r="D375" t="s">
        <v>12828</v>
      </c>
      <c r="E375" t="b">
        <v>0</v>
      </c>
      <c r="F375" t="s">
        <v>11624</v>
      </c>
      <c r="G375">
        <v>-4.88687</v>
      </c>
      <c r="H375">
        <v>144.821</v>
      </c>
      <c r="I375" t="s">
        <v>12829</v>
      </c>
      <c r="L375">
        <v>0</v>
      </c>
      <c r="M375">
        <v>0</v>
      </c>
      <c r="N375">
        <v>0</v>
      </c>
      <c r="O375" t="s">
        <v>11660</v>
      </c>
    </row>
    <row r="376" spans="1:15">
      <c r="A376" t="s">
        <v>12830</v>
      </c>
      <c r="B376" t="s">
        <v>525</v>
      </c>
      <c r="C376" t="s">
        <v>526</v>
      </c>
      <c r="D376" t="s">
        <v>12831</v>
      </c>
      <c r="E376" t="b">
        <v>0</v>
      </c>
      <c r="F376" t="s">
        <v>11610</v>
      </c>
      <c r="L376">
        <v>0</v>
      </c>
      <c r="M376">
        <v>0</v>
      </c>
      <c r="N376">
        <v>0</v>
      </c>
    </row>
    <row r="377" spans="1:15">
      <c r="A377" t="s">
        <v>12832</v>
      </c>
      <c r="B377" t="s">
        <v>6742</v>
      </c>
      <c r="C377" t="s">
        <v>12833</v>
      </c>
      <c r="D377" t="s">
        <v>12834</v>
      </c>
      <c r="E377" t="b">
        <v>0</v>
      </c>
      <c r="F377" t="s">
        <v>11610</v>
      </c>
      <c r="L377">
        <v>0</v>
      </c>
      <c r="M377">
        <v>0</v>
      </c>
      <c r="N377">
        <v>0</v>
      </c>
    </row>
    <row r="378" spans="1:15">
      <c r="A378" t="s">
        <v>12835</v>
      </c>
      <c r="B378" t="s">
        <v>6742</v>
      </c>
      <c r="C378" t="s">
        <v>12836</v>
      </c>
      <c r="D378" t="s">
        <v>12837</v>
      </c>
      <c r="E378" t="b">
        <v>0</v>
      </c>
      <c r="F378" t="s">
        <v>11624</v>
      </c>
      <c r="G378">
        <v>7.4035399999999996</v>
      </c>
      <c r="H378">
        <v>6.3426400000000003</v>
      </c>
      <c r="I378" t="s">
        <v>12838</v>
      </c>
      <c r="L378">
        <v>0</v>
      </c>
      <c r="M378">
        <v>0</v>
      </c>
      <c r="N378">
        <v>0</v>
      </c>
      <c r="O378" t="s">
        <v>11693</v>
      </c>
    </row>
    <row r="379" spans="1:15">
      <c r="A379" t="s">
        <v>12839</v>
      </c>
      <c r="B379" t="s">
        <v>6742</v>
      </c>
      <c r="C379" t="s">
        <v>12840</v>
      </c>
      <c r="D379" t="s">
        <v>12841</v>
      </c>
      <c r="E379" t="b">
        <v>0</v>
      </c>
      <c r="F379" t="s">
        <v>11624</v>
      </c>
      <c r="G379">
        <v>6.8571600000000004</v>
      </c>
      <c r="H379">
        <v>9.9626099999999997</v>
      </c>
      <c r="I379" t="s">
        <v>12842</v>
      </c>
      <c r="L379">
        <v>0</v>
      </c>
      <c r="M379">
        <v>0</v>
      </c>
      <c r="N379">
        <v>0</v>
      </c>
      <c r="O379" t="s">
        <v>11802</v>
      </c>
    </row>
    <row r="380" spans="1:15">
      <c r="A380" t="s">
        <v>12840</v>
      </c>
      <c r="B380" t="s">
        <v>6742</v>
      </c>
      <c r="C380" t="s">
        <v>12843</v>
      </c>
      <c r="D380" t="s">
        <v>12844</v>
      </c>
      <c r="E380" t="b">
        <v>0</v>
      </c>
      <c r="F380" t="s">
        <v>11622</v>
      </c>
      <c r="L380">
        <v>1</v>
      </c>
      <c r="M380">
        <v>3</v>
      </c>
      <c r="N380">
        <v>0</v>
      </c>
    </row>
    <row r="381" spans="1:15">
      <c r="A381" t="s">
        <v>12845</v>
      </c>
      <c r="B381" t="s">
        <v>6742</v>
      </c>
      <c r="C381" t="s">
        <v>12811</v>
      </c>
      <c r="D381" t="s">
        <v>12846</v>
      </c>
      <c r="E381" t="b">
        <v>0</v>
      </c>
      <c r="F381" t="s">
        <v>11610</v>
      </c>
      <c r="L381">
        <v>0</v>
      </c>
      <c r="M381">
        <v>0</v>
      </c>
      <c r="N381">
        <v>0</v>
      </c>
    </row>
    <row r="382" spans="1:15">
      <c r="A382" t="s">
        <v>12847</v>
      </c>
      <c r="B382" t="s">
        <v>11912</v>
      </c>
      <c r="C382" t="s">
        <v>12848</v>
      </c>
      <c r="D382" t="s">
        <v>12849</v>
      </c>
      <c r="E382" t="b">
        <v>0</v>
      </c>
      <c r="F382" t="s">
        <v>11624</v>
      </c>
      <c r="G382">
        <v>-12.8322</v>
      </c>
      <c r="H382">
        <v>-60.971600000000002</v>
      </c>
      <c r="I382" t="s">
        <v>12850</v>
      </c>
      <c r="L382">
        <v>0</v>
      </c>
      <c r="M382">
        <v>0</v>
      </c>
      <c r="N382">
        <v>0</v>
      </c>
      <c r="O382" t="s">
        <v>11969</v>
      </c>
    </row>
    <row r="383" spans="1:15">
      <c r="A383" t="s">
        <v>12848</v>
      </c>
      <c r="B383" t="s">
        <v>11912</v>
      </c>
      <c r="C383" t="s">
        <v>12851</v>
      </c>
      <c r="D383" t="s">
        <v>12852</v>
      </c>
      <c r="E383" t="b">
        <v>0</v>
      </c>
      <c r="F383" t="s">
        <v>11622</v>
      </c>
      <c r="L383">
        <v>0</v>
      </c>
      <c r="M383">
        <v>2</v>
      </c>
      <c r="N383">
        <v>0</v>
      </c>
    </row>
    <row r="384" spans="1:15">
      <c r="A384" t="s">
        <v>12853</v>
      </c>
      <c r="B384" t="s">
        <v>8310</v>
      </c>
      <c r="C384" t="s">
        <v>12854</v>
      </c>
      <c r="D384" t="s">
        <v>12855</v>
      </c>
      <c r="E384" t="b">
        <v>0</v>
      </c>
      <c r="F384" t="s">
        <v>11624</v>
      </c>
      <c r="G384">
        <v>3.1960700000000002</v>
      </c>
      <c r="H384">
        <v>-55.629399999999997</v>
      </c>
      <c r="I384" t="s">
        <v>12856</v>
      </c>
      <c r="L384">
        <v>0</v>
      </c>
      <c r="M384">
        <v>0</v>
      </c>
      <c r="N384">
        <v>0</v>
      </c>
      <c r="O384" t="s">
        <v>12857</v>
      </c>
    </row>
    <row r="385" spans="1:15">
      <c r="A385" t="s">
        <v>12858</v>
      </c>
      <c r="B385" t="s">
        <v>12311</v>
      </c>
      <c r="C385" t="s">
        <v>12859</v>
      </c>
      <c r="D385" t="s">
        <v>12860</v>
      </c>
      <c r="E385" t="b">
        <v>0</v>
      </c>
      <c r="F385" t="s">
        <v>11610</v>
      </c>
      <c r="L385">
        <v>0</v>
      </c>
      <c r="M385">
        <v>0</v>
      </c>
      <c r="N385">
        <v>0</v>
      </c>
    </row>
    <row r="386" spans="1:15">
      <c r="A386" t="s">
        <v>12861</v>
      </c>
      <c r="B386" t="s">
        <v>6742</v>
      </c>
      <c r="C386" t="s">
        <v>12862</v>
      </c>
      <c r="D386" t="s">
        <v>12863</v>
      </c>
      <c r="E386" t="b">
        <v>0</v>
      </c>
      <c r="F386" t="s">
        <v>11610</v>
      </c>
      <c r="L386">
        <v>0</v>
      </c>
      <c r="M386">
        <v>0</v>
      </c>
      <c r="N386">
        <v>0</v>
      </c>
    </row>
    <row r="387" spans="1:15">
      <c r="A387" t="s">
        <v>12864</v>
      </c>
      <c r="B387" t="s">
        <v>6742</v>
      </c>
      <c r="C387" t="s">
        <v>12865</v>
      </c>
      <c r="D387" t="s">
        <v>12866</v>
      </c>
      <c r="E387" t="b">
        <v>0</v>
      </c>
      <c r="F387" t="s">
        <v>11624</v>
      </c>
      <c r="G387">
        <v>-0.39896999999999999</v>
      </c>
      <c r="H387">
        <v>15.462300000000001</v>
      </c>
      <c r="I387" t="s">
        <v>12867</v>
      </c>
      <c r="L387">
        <v>0</v>
      </c>
      <c r="M387">
        <v>0</v>
      </c>
      <c r="N387">
        <v>0</v>
      </c>
      <c r="O387" t="s">
        <v>12868</v>
      </c>
    </row>
    <row r="388" spans="1:15">
      <c r="A388" t="s">
        <v>12869</v>
      </c>
      <c r="B388" t="s">
        <v>6742</v>
      </c>
      <c r="C388" t="s">
        <v>12870</v>
      </c>
      <c r="D388" t="s">
        <v>12871</v>
      </c>
      <c r="E388" t="b">
        <v>0</v>
      </c>
      <c r="F388" t="s">
        <v>11610</v>
      </c>
      <c r="L388">
        <v>0</v>
      </c>
      <c r="M388">
        <v>0</v>
      </c>
      <c r="N388">
        <v>0</v>
      </c>
    </row>
    <row r="389" spans="1:15">
      <c r="A389" t="s">
        <v>12872</v>
      </c>
      <c r="B389" t="s">
        <v>6742</v>
      </c>
      <c r="C389" t="s">
        <v>50</v>
      </c>
      <c r="D389" t="s">
        <v>12873</v>
      </c>
      <c r="E389" t="b">
        <v>0</v>
      </c>
      <c r="F389" t="s">
        <v>11610</v>
      </c>
      <c r="L389">
        <v>0</v>
      </c>
      <c r="M389">
        <v>0</v>
      </c>
      <c r="N389">
        <v>0</v>
      </c>
    </row>
    <row r="390" spans="1:15">
      <c r="A390" t="s">
        <v>12874</v>
      </c>
      <c r="B390" t="s">
        <v>12875</v>
      </c>
      <c r="C390" t="s">
        <v>12876</v>
      </c>
      <c r="D390" t="s">
        <v>12877</v>
      </c>
      <c r="E390" t="b">
        <v>0</v>
      </c>
      <c r="F390" t="s">
        <v>11624</v>
      </c>
      <c r="G390">
        <v>30.767379999999999</v>
      </c>
      <c r="H390">
        <v>-94.628479999999996</v>
      </c>
      <c r="I390" t="s">
        <v>12878</v>
      </c>
      <c r="L390">
        <v>0</v>
      </c>
      <c r="M390">
        <v>0</v>
      </c>
      <c r="N390">
        <v>0</v>
      </c>
      <c r="O390" t="s">
        <v>11944</v>
      </c>
    </row>
    <row r="391" spans="1:15">
      <c r="A391" t="s">
        <v>12879</v>
      </c>
      <c r="B391" t="s">
        <v>367</v>
      </c>
      <c r="C391" t="s">
        <v>12880</v>
      </c>
      <c r="D391" t="s">
        <v>12881</v>
      </c>
      <c r="E391" t="b">
        <v>0</v>
      </c>
      <c r="F391" t="s">
        <v>11624</v>
      </c>
      <c r="G391">
        <v>14.121700000000001</v>
      </c>
      <c r="H391">
        <v>122.014</v>
      </c>
      <c r="I391" t="s">
        <v>12882</v>
      </c>
      <c r="L391">
        <v>0</v>
      </c>
      <c r="M391">
        <v>0</v>
      </c>
      <c r="N391">
        <v>0</v>
      </c>
      <c r="O391" t="s">
        <v>11749</v>
      </c>
    </row>
    <row r="392" spans="1:15">
      <c r="A392" t="s">
        <v>12876</v>
      </c>
      <c r="B392" t="s">
        <v>12875</v>
      </c>
      <c r="C392" t="s">
        <v>12875</v>
      </c>
      <c r="D392" t="s">
        <v>12883</v>
      </c>
      <c r="E392" t="b">
        <v>0</v>
      </c>
      <c r="F392" t="s">
        <v>11622</v>
      </c>
      <c r="L392">
        <v>0</v>
      </c>
      <c r="M392">
        <v>3</v>
      </c>
      <c r="N392">
        <v>0</v>
      </c>
    </row>
    <row r="393" spans="1:15">
      <c r="A393" t="s">
        <v>12884</v>
      </c>
      <c r="B393" t="s">
        <v>11607</v>
      </c>
      <c r="C393" t="s">
        <v>12885</v>
      </c>
      <c r="D393" t="s">
        <v>12886</v>
      </c>
      <c r="E393" t="b">
        <v>0</v>
      </c>
      <c r="F393" t="s">
        <v>11624</v>
      </c>
      <c r="G393">
        <v>7.3901399999999997</v>
      </c>
      <c r="H393">
        <v>38.173200000000001</v>
      </c>
      <c r="I393" t="s">
        <v>12887</v>
      </c>
      <c r="L393">
        <v>0</v>
      </c>
      <c r="M393">
        <v>0</v>
      </c>
      <c r="N393">
        <v>0</v>
      </c>
      <c r="O393" t="s">
        <v>11625</v>
      </c>
    </row>
    <row r="394" spans="1:15">
      <c r="A394" t="s">
        <v>12880</v>
      </c>
      <c r="B394" t="s">
        <v>367</v>
      </c>
      <c r="C394" t="s">
        <v>12888</v>
      </c>
      <c r="D394" t="s">
        <v>12889</v>
      </c>
      <c r="E394" t="b">
        <v>0</v>
      </c>
      <c r="F394" t="s">
        <v>11622</v>
      </c>
      <c r="L394">
        <v>0</v>
      </c>
      <c r="M394">
        <v>2</v>
      </c>
      <c r="N394">
        <v>0</v>
      </c>
    </row>
    <row r="395" spans="1:15">
      <c r="A395" t="s">
        <v>12890</v>
      </c>
      <c r="B395" t="s">
        <v>331</v>
      </c>
      <c r="C395" t="s">
        <v>12891</v>
      </c>
      <c r="D395" t="s">
        <v>12892</v>
      </c>
      <c r="E395" t="b">
        <v>0</v>
      </c>
      <c r="F395" t="s">
        <v>11610</v>
      </c>
      <c r="L395">
        <v>0</v>
      </c>
      <c r="M395">
        <v>0</v>
      </c>
      <c r="N395">
        <v>0</v>
      </c>
    </row>
    <row r="396" spans="1:15">
      <c r="A396" t="s">
        <v>12893</v>
      </c>
      <c r="B396" t="s">
        <v>525</v>
      </c>
      <c r="C396" t="s">
        <v>525</v>
      </c>
      <c r="D396" t="s">
        <v>12894</v>
      </c>
      <c r="E396" t="b">
        <v>0</v>
      </c>
      <c r="F396" t="s">
        <v>11624</v>
      </c>
      <c r="G396">
        <v>-54.788017000000004</v>
      </c>
      <c r="H396">
        <v>-70.140381000000005</v>
      </c>
      <c r="L396">
        <v>0</v>
      </c>
      <c r="M396">
        <v>0</v>
      </c>
      <c r="N396">
        <v>0</v>
      </c>
      <c r="O396" t="s">
        <v>12895</v>
      </c>
    </row>
    <row r="397" spans="1:15">
      <c r="A397" t="s">
        <v>12896</v>
      </c>
      <c r="B397" t="s">
        <v>525</v>
      </c>
      <c r="C397" t="s">
        <v>1237</v>
      </c>
      <c r="D397" t="s">
        <v>12897</v>
      </c>
      <c r="E397" t="b">
        <v>0</v>
      </c>
      <c r="F397" t="s">
        <v>11624</v>
      </c>
      <c r="G397">
        <v>-53.435718999999999</v>
      </c>
      <c r="H397">
        <v>-71.041259999999994</v>
      </c>
      <c r="L397">
        <v>0</v>
      </c>
      <c r="M397">
        <v>0</v>
      </c>
      <c r="N397">
        <v>0</v>
      </c>
      <c r="O397" t="s">
        <v>11774</v>
      </c>
    </row>
    <row r="398" spans="1:15">
      <c r="A398" t="s">
        <v>12898</v>
      </c>
      <c r="B398" t="s">
        <v>11879</v>
      </c>
      <c r="C398" t="s">
        <v>12899</v>
      </c>
      <c r="D398" t="s">
        <v>12900</v>
      </c>
      <c r="E398" t="b">
        <v>0</v>
      </c>
      <c r="F398" t="s">
        <v>11624</v>
      </c>
      <c r="G398">
        <v>17.494399999999999</v>
      </c>
      <c r="H398">
        <v>-98.467399999999998</v>
      </c>
      <c r="I398" t="s">
        <v>12901</v>
      </c>
      <c r="L398">
        <v>0</v>
      </c>
      <c r="M398">
        <v>0</v>
      </c>
      <c r="N398">
        <v>5</v>
      </c>
      <c r="O398" t="s">
        <v>11883</v>
      </c>
    </row>
    <row r="399" spans="1:15">
      <c r="A399" t="s">
        <v>12902</v>
      </c>
      <c r="B399" t="s">
        <v>6742</v>
      </c>
      <c r="C399" t="s">
        <v>12632</v>
      </c>
      <c r="D399" t="s">
        <v>12903</v>
      </c>
      <c r="E399" t="b">
        <v>0</v>
      </c>
      <c r="F399" t="s">
        <v>11610</v>
      </c>
      <c r="L399">
        <v>0</v>
      </c>
      <c r="M399">
        <v>0</v>
      </c>
      <c r="N399">
        <v>0</v>
      </c>
    </row>
    <row r="400" spans="1:15">
      <c r="A400" t="s">
        <v>12409</v>
      </c>
      <c r="B400" t="s">
        <v>6742</v>
      </c>
      <c r="C400" t="s">
        <v>12281</v>
      </c>
      <c r="D400" t="s">
        <v>12904</v>
      </c>
      <c r="E400" t="b">
        <v>0</v>
      </c>
      <c r="F400" t="s">
        <v>11624</v>
      </c>
      <c r="G400">
        <v>8.3498599999999996</v>
      </c>
      <c r="H400">
        <v>8.5208499999999994</v>
      </c>
      <c r="I400" t="s">
        <v>12905</v>
      </c>
      <c r="L400">
        <v>0</v>
      </c>
      <c r="M400">
        <v>0</v>
      </c>
      <c r="N400">
        <v>4</v>
      </c>
      <c r="O400" t="s">
        <v>11693</v>
      </c>
    </row>
    <row r="401" spans="1:15">
      <c r="A401" t="s">
        <v>12906</v>
      </c>
      <c r="B401" t="s">
        <v>367</v>
      </c>
      <c r="C401" t="s">
        <v>11814</v>
      </c>
      <c r="D401" t="s">
        <v>12907</v>
      </c>
      <c r="E401" t="b">
        <v>0</v>
      </c>
      <c r="F401" t="s">
        <v>11610</v>
      </c>
      <c r="L401">
        <v>0</v>
      </c>
      <c r="M401">
        <v>0</v>
      </c>
      <c r="N401">
        <v>0</v>
      </c>
    </row>
    <row r="402" spans="1:15">
      <c r="A402" t="s">
        <v>12908</v>
      </c>
      <c r="B402" t="s">
        <v>11607</v>
      </c>
      <c r="C402" t="s">
        <v>12909</v>
      </c>
      <c r="D402" t="s">
        <v>12910</v>
      </c>
      <c r="E402" t="b">
        <v>0</v>
      </c>
      <c r="F402" t="s">
        <v>11624</v>
      </c>
      <c r="G402">
        <v>-4.6414799999999996</v>
      </c>
      <c r="H402">
        <v>35.723100000000002</v>
      </c>
      <c r="I402" t="s">
        <v>12911</v>
      </c>
      <c r="L402">
        <v>0</v>
      </c>
      <c r="M402">
        <v>0</v>
      </c>
      <c r="N402">
        <v>0</v>
      </c>
      <c r="O402" t="s">
        <v>11635</v>
      </c>
    </row>
    <row r="403" spans="1:15">
      <c r="A403" t="s">
        <v>12912</v>
      </c>
      <c r="B403" t="s">
        <v>11627</v>
      </c>
      <c r="C403" t="s">
        <v>11627</v>
      </c>
      <c r="D403" t="s">
        <v>12913</v>
      </c>
      <c r="E403" t="b">
        <v>1</v>
      </c>
      <c r="F403" t="s">
        <v>11624</v>
      </c>
      <c r="L403">
        <v>0</v>
      </c>
      <c r="M403">
        <v>0</v>
      </c>
      <c r="N403">
        <v>0</v>
      </c>
      <c r="O403" t="s">
        <v>11927</v>
      </c>
    </row>
    <row r="404" spans="1:15">
      <c r="A404" t="s">
        <v>12914</v>
      </c>
      <c r="B404" t="s">
        <v>12438</v>
      </c>
      <c r="C404" t="s">
        <v>12915</v>
      </c>
      <c r="D404" t="s">
        <v>12916</v>
      </c>
      <c r="E404" t="b">
        <v>0</v>
      </c>
      <c r="F404" t="s">
        <v>11610</v>
      </c>
      <c r="L404">
        <v>0</v>
      </c>
      <c r="M404">
        <v>0</v>
      </c>
      <c r="N404">
        <v>0</v>
      </c>
    </row>
    <row r="405" spans="1:15">
      <c r="A405" t="s">
        <v>12917</v>
      </c>
      <c r="B405" t="s">
        <v>12438</v>
      </c>
      <c r="C405" t="s">
        <v>12918</v>
      </c>
      <c r="D405" t="s">
        <v>12919</v>
      </c>
      <c r="E405" t="b">
        <v>0</v>
      </c>
      <c r="F405" t="s">
        <v>11624</v>
      </c>
      <c r="G405">
        <v>15.5565</v>
      </c>
      <c r="H405">
        <v>106.59699999999999</v>
      </c>
      <c r="I405" t="s">
        <v>12920</v>
      </c>
      <c r="L405">
        <v>0</v>
      </c>
      <c r="M405">
        <v>0</v>
      </c>
      <c r="N405">
        <v>0</v>
      </c>
      <c r="O405" t="s">
        <v>12921</v>
      </c>
    </row>
    <row r="406" spans="1:15">
      <c r="A406" t="s">
        <v>12922</v>
      </c>
      <c r="B406" t="s">
        <v>11839</v>
      </c>
      <c r="C406" t="s">
        <v>11838</v>
      </c>
      <c r="D406" t="s">
        <v>12923</v>
      </c>
      <c r="E406" t="b">
        <v>0</v>
      </c>
      <c r="F406" t="s">
        <v>11610</v>
      </c>
      <c r="L406">
        <v>0</v>
      </c>
      <c r="M406">
        <v>0</v>
      </c>
      <c r="N406">
        <v>0</v>
      </c>
    </row>
    <row r="407" spans="1:15">
      <c r="A407" t="s">
        <v>12924</v>
      </c>
      <c r="B407" t="s">
        <v>11705</v>
      </c>
      <c r="C407" t="s">
        <v>12925</v>
      </c>
      <c r="D407" t="s">
        <v>12926</v>
      </c>
      <c r="E407" t="b">
        <v>0</v>
      </c>
      <c r="F407" t="s">
        <v>11624</v>
      </c>
      <c r="G407">
        <v>-4.6630700000000003</v>
      </c>
      <c r="H407">
        <v>143.316</v>
      </c>
      <c r="I407" t="s">
        <v>12927</v>
      </c>
      <c r="L407">
        <v>0</v>
      </c>
      <c r="M407">
        <v>0</v>
      </c>
      <c r="N407">
        <v>2</v>
      </c>
      <c r="O407" t="s">
        <v>11660</v>
      </c>
    </row>
    <row r="408" spans="1:15">
      <c r="A408" t="s">
        <v>12928</v>
      </c>
      <c r="B408" t="s">
        <v>11637</v>
      </c>
      <c r="C408" t="s">
        <v>12929</v>
      </c>
      <c r="D408" t="s">
        <v>12930</v>
      </c>
      <c r="E408" t="b">
        <v>0</v>
      </c>
      <c r="F408" t="s">
        <v>11610</v>
      </c>
      <c r="L408">
        <v>0</v>
      </c>
      <c r="M408">
        <v>0</v>
      </c>
      <c r="N408">
        <v>0</v>
      </c>
    </row>
    <row r="409" spans="1:15">
      <c r="A409" t="s">
        <v>12931</v>
      </c>
      <c r="B409" t="s">
        <v>6742</v>
      </c>
      <c r="C409" t="s">
        <v>11737</v>
      </c>
      <c r="D409" t="s">
        <v>12932</v>
      </c>
      <c r="E409" t="b">
        <v>0</v>
      </c>
      <c r="F409" t="s">
        <v>11610</v>
      </c>
      <c r="L409">
        <v>0</v>
      </c>
      <c r="M409">
        <v>0</v>
      </c>
      <c r="N409">
        <v>0</v>
      </c>
    </row>
    <row r="410" spans="1:15">
      <c r="A410" t="s">
        <v>12933</v>
      </c>
      <c r="B410" t="s">
        <v>367</v>
      </c>
      <c r="C410" t="s">
        <v>12934</v>
      </c>
      <c r="D410" t="s">
        <v>12935</v>
      </c>
      <c r="E410" t="b">
        <v>0</v>
      </c>
      <c r="F410" t="s">
        <v>11624</v>
      </c>
      <c r="G410">
        <v>13.0982</v>
      </c>
      <c r="H410">
        <v>121.02200000000001</v>
      </c>
      <c r="I410" t="s">
        <v>12936</v>
      </c>
      <c r="L410">
        <v>0</v>
      </c>
      <c r="M410">
        <v>0</v>
      </c>
      <c r="N410">
        <v>0</v>
      </c>
      <c r="O410" t="s">
        <v>11749</v>
      </c>
    </row>
    <row r="411" spans="1:15">
      <c r="A411" t="s">
        <v>12937</v>
      </c>
      <c r="B411" t="s">
        <v>11615</v>
      </c>
      <c r="C411" t="s">
        <v>12938</v>
      </c>
      <c r="D411" t="s">
        <v>12939</v>
      </c>
      <c r="E411" t="b">
        <v>0</v>
      </c>
      <c r="F411" t="s">
        <v>11610</v>
      </c>
      <c r="L411">
        <v>0</v>
      </c>
      <c r="M411">
        <v>0</v>
      </c>
      <c r="N411">
        <v>0</v>
      </c>
    </row>
    <row r="412" spans="1:15">
      <c r="A412" t="s">
        <v>12940</v>
      </c>
      <c r="B412" t="s">
        <v>12241</v>
      </c>
      <c r="C412" t="s">
        <v>12941</v>
      </c>
      <c r="D412" t="s">
        <v>12942</v>
      </c>
      <c r="E412" t="b">
        <v>0</v>
      </c>
      <c r="F412" t="s">
        <v>11624</v>
      </c>
      <c r="G412">
        <v>-12.329886</v>
      </c>
      <c r="H412">
        <v>-59.996701999999999</v>
      </c>
      <c r="I412" t="s">
        <v>12943</v>
      </c>
      <c r="L412">
        <v>0</v>
      </c>
      <c r="M412">
        <v>0</v>
      </c>
      <c r="N412">
        <v>0</v>
      </c>
      <c r="O412" t="s">
        <v>11969</v>
      </c>
    </row>
    <row r="413" spans="1:15">
      <c r="A413" t="s">
        <v>12944</v>
      </c>
      <c r="B413" t="s">
        <v>12250</v>
      </c>
      <c r="C413" t="s">
        <v>2129</v>
      </c>
      <c r="D413" t="s">
        <v>12945</v>
      </c>
      <c r="E413" t="b">
        <v>0</v>
      </c>
      <c r="F413" t="s">
        <v>11610</v>
      </c>
      <c r="L413">
        <v>0</v>
      </c>
      <c r="M413">
        <v>0</v>
      </c>
      <c r="N413">
        <v>0</v>
      </c>
    </row>
    <row r="414" spans="1:15">
      <c r="A414" t="s">
        <v>12946</v>
      </c>
      <c r="B414" t="s">
        <v>11637</v>
      </c>
      <c r="C414" t="s">
        <v>12947</v>
      </c>
      <c r="D414" t="s">
        <v>12948</v>
      </c>
      <c r="E414" t="b">
        <v>0</v>
      </c>
      <c r="F414" t="s">
        <v>11610</v>
      </c>
      <c r="L414">
        <v>0</v>
      </c>
      <c r="M414">
        <v>0</v>
      </c>
      <c r="N414">
        <v>0</v>
      </c>
    </row>
    <row r="415" spans="1:15">
      <c r="A415" t="s">
        <v>12949</v>
      </c>
      <c r="B415" t="s">
        <v>367</v>
      </c>
      <c r="C415" t="s">
        <v>12950</v>
      </c>
      <c r="D415" t="s">
        <v>12951</v>
      </c>
      <c r="E415" t="b">
        <v>0</v>
      </c>
      <c r="F415" t="s">
        <v>11610</v>
      </c>
      <c r="L415">
        <v>0</v>
      </c>
      <c r="M415">
        <v>0</v>
      </c>
      <c r="N415">
        <v>0</v>
      </c>
    </row>
    <row r="416" spans="1:15">
      <c r="A416" t="s">
        <v>12952</v>
      </c>
      <c r="B416" t="s">
        <v>12250</v>
      </c>
      <c r="C416" t="s">
        <v>12953</v>
      </c>
      <c r="D416" t="s">
        <v>12954</v>
      </c>
      <c r="E416" t="b">
        <v>0</v>
      </c>
      <c r="F416" t="s">
        <v>11610</v>
      </c>
      <c r="L416">
        <v>0</v>
      </c>
      <c r="M416">
        <v>0</v>
      </c>
      <c r="N416">
        <v>0</v>
      </c>
    </row>
    <row r="417" spans="1:15">
      <c r="A417" t="s">
        <v>12955</v>
      </c>
      <c r="B417" t="s">
        <v>6742</v>
      </c>
      <c r="C417" t="s">
        <v>12956</v>
      </c>
      <c r="D417" t="s">
        <v>12957</v>
      </c>
      <c r="E417" t="b">
        <v>0</v>
      </c>
      <c r="F417" t="s">
        <v>11610</v>
      </c>
      <c r="L417">
        <v>0</v>
      </c>
      <c r="M417">
        <v>0</v>
      </c>
      <c r="N417">
        <v>0</v>
      </c>
    </row>
    <row r="418" spans="1:15">
      <c r="A418" t="s">
        <v>12958</v>
      </c>
      <c r="B418" t="s">
        <v>12959</v>
      </c>
      <c r="C418" t="s">
        <v>12960</v>
      </c>
      <c r="D418" t="s">
        <v>12961</v>
      </c>
      <c r="E418" t="b">
        <v>0</v>
      </c>
      <c r="F418" t="s">
        <v>11610</v>
      </c>
      <c r="L418">
        <v>0</v>
      </c>
      <c r="M418">
        <v>0</v>
      </c>
      <c r="N418">
        <v>0</v>
      </c>
    </row>
    <row r="419" spans="1:15">
      <c r="A419" t="s">
        <v>12962</v>
      </c>
      <c r="B419" t="s">
        <v>12963</v>
      </c>
      <c r="C419" t="s">
        <v>12964</v>
      </c>
      <c r="D419" t="s">
        <v>12965</v>
      </c>
      <c r="E419" t="b">
        <v>0</v>
      </c>
      <c r="F419" t="s">
        <v>11624</v>
      </c>
      <c r="G419">
        <v>-15.5458</v>
      </c>
      <c r="H419">
        <v>134.28200000000001</v>
      </c>
      <c r="I419" t="s">
        <v>12966</v>
      </c>
      <c r="L419">
        <v>0</v>
      </c>
      <c r="M419">
        <v>0</v>
      </c>
      <c r="N419">
        <v>0</v>
      </c>
      <c r="O419" t="s">
        <v>12107</v>
      </c>
    </row>
    <row r="420" spans="1:15">
      <c r="A420" t="s">
        <v>12967</v>
      </c>
      <c r="B420" t="s">
        <v>10597</v>
      </c>
      <c r="C420" t="s">
        <v>12968</v>
      </c>
      <c r="D420" t="s">
        <v>12969</v>
      </c>
      <c r="E420" t="b">
        <v>0</v>
      </c>
      <c r="F420" t="s">
        <v>11622</v>
      </c>
      <c r="L420">
        <v>3</v>
      </c>
      <c r="M420">
        <v>7</v>
      </c>
      <c r="N420">
        <v>3</v>
      </c>
    </row>
    <row r="421" spans="1:15">
      <c r="A421" t="s">
        <v>5172</v>
      </c>
      <c r="B421" t="s">
        <v>11637</v>
      </c>
      <c r="C421" t="s">
        <v>11637</v>
      </c>
      <c r="D421" t="s">
        <v>12970</v>
      </c>
      <c r="E421" t="b">
        <v>0</v>
      </c>
      <c r="F421" t="s">
        <v>11622</v>
      </c>
      <c r="I421" t="s">
        <v>5174</v>
      </c>
      <c r="L421">
        <v>1</v>
      </c>
      <c r="M421">
        <v>4</v>
      </c>
      <c r="N421">
        <v>18</v>
      </c>
      <c r="O421" t="s">
        <v>12971</v>
      </c>
    </row>
    <row r="422" spans="1:15">
      <c r="A422" t="s">
        <v>12972</v>
      </c>
      <c r="B422" t="s">
        <v>11637</v>
      </c>
      <c r="C422" t="s">
        <v>5172</v>
      </c>
      <c r="D422" t="s">
        <v>12973</v>
      </c>
      <c r="E422" t="b">
        <v>0</v>
      </c>
      <c r="F422" t="s">
        <v>11622</v>
      </c>
      <c r="L422">
        <v>0</v>
      </c>
      <c r="M422">
        <v>3</v>
      </c>
      <c r="N422">
        <v>11</v>
      </c>
    </row>
    <row r="423" spans="1:15">
      <c r="A423" t="s">
        <v>12974</v>
      </c>
      <c r="B423" t="s">
        <v>367</v>
      </c>
      <c r="C423" t="s">
        <v>12975</v>
      </c>
      <c r="D423" t="s">
        <v>12976</v>
      </c>
      <c r="E423" t="b">
        <v>0</v>
      </c>
      <c r="F423" t="s">
        <v>11624</v>
      </c>
      <c r="G423">
        <v>13.1989</v>
      </c>
      <c r="H423">
        <v>123.49</v>
      </c>
      <c r="I423" t="s">
        <v>12977</v>
      </c>
      <c r="L423">
        <v>0</v>
      </c>
      <c r="M423">
        <v>0</v>
      </c>
      <c r="N423">
        <v>5</v>
      </c>
      <c r="O423" t="s">
        <v>11749</v>
      </c>
    </row>
    <row r="424" spans="1:15">
      <c r="A424" t="s">
        <v>12978</v>
      </c>
      <c r="B424" t="s">
        <v>12979</v>
      </c>
      <c r="C424" t="s">
        <v>12980</v>
      </c>
      <c r="D424" t="s">
        <v>12981</v>
      </c>
      <c r="E424" t="b">
        <v>0</v>
      </c>
      <c r="F424" t="s">
        <v>11610</v>
      </c>
      <c r="L424">
        <v>0</v>
      </c>
      <c r="M424">
        <v>0</v>
      </c>
      <c r="N424">
        <v>0</v>
      </c>
    </row>
    <row r="425" spans="1:15">
      <c r="A425" t="s">
        <v>12982</v>
      </c>
      <c r="B425" t="s">
        <v>11981</v>
      </c>
      <c r="C425" t="s">
        <v>12200</v>
      </c>
      <c r="D425" t="s">
        <v>12983</v>
      </c>
      <c r="E425" t="b">
        <v>0</v>
      </c>
      <c r="F425" t="s">
        <v>11624</v>
      </c>
      <c r="G425">
        <v>41.328888999999997</v>
      </c>
      <c r="H425">
        <v>19.817778000000001</v>
      </c>
      <c r="I425" t="s">
        <v>12984</v>
      </c>
      <c r="L425">
        <v>0</v>
      </c>
      <c r="M425">
        <v>0</v>
      </c>
      <c r="N425">
        <v>0</v>
      </c>
      <c r="O425" t="s">
        <v>12971</v>
      </c>
    </row>
    <row r="426" spans="1:15">
      <c r="A426" t="s">
        <v>12985</v>
      </c>
      <c r="B426" t="s">
        <v>10597</v>
      </c>
      <c r="C426" t="s">
        <v>12986</v>
      </c>
      <c r="D426" t="s">
        <v>12987</v>
      </c>
      <c r="E426" t="b">
        <v>0</v>
      </c>
      <c r="F426" t="s">
        <v>11622</v>
      </c>
      <c r="L426">
        <v>2</v>
      </c>
      <c r="M426">
        <v>4</v>
      </c>
      <c r="N426">
        <v>5</v>
      </c>
    </row>
    <row r="427" spans="1:15">
      <c r="A427" t="s">
        <v>12988</v>
      </c>
      <c r="B427" t="s">
        <v>367</v>
      </c>
      <c r="C427" t="s">
        <v>12989</v>
      </c>
      <c r="D427" t="s">
        <v>12990</v>
      </c>
      <c r="E427" t="b">
        <v>0</v>
      </c>
      <c r="F427" t="s">
        <v>11610</v>
      </c>
      <c r="L427">
        <v>0</v>
      </c>
      <c r="M427">
        <v>0</v>
      </c>
      <c r="N427">
        <v>0</v>
      </c>
    </row>
    <row r="428" spans="1:15">
      <c r="A428" t="s">
        <v>12991</v>
      </c>
      <c r="B428" t="s">
        <v>11879</v>
      </c>
      <c r="C428" t="s">
        <v>12899</v>
      </c>
      <c r="D428" t="s">
        <v>12992</v>
      </c>
      <c r="E428" t="b">
        <v>0</v>
      </c>
      <c r="F428" t="s">
        <v>11624</v>
      </c>
      <c r="G428">
        <v>17.3687</v>
      </c>
      <c r="H428">
        <v>-98.396900000000002</v>
      </c>
      <c r="I428" t="s">
        <v>12993</v>
      </c>
      <c r="L428">
        <v>0</v>
      </c>
      <c r="M428">
        <v>0</v>
      </c>
      <c r="N428">
        <v>2</v>
      </c>
      <c r="O428" t="s">
        <v>11883</v>
      </c>
    </row>
    <row r="429" spans="1:15">
      <c r="A429" t="s">
        <v>12994</v>
      </c>
      <c r="B429" t="s">
        <v>12686</v>
      </c>
      <c r="C429" t="s">
        <v>2123</v>
      </c>
      <c r="D429" t="s">
        <v>12995</v>
      </c>
      <c r="E429" t="b">
        <v>0</v>
      </c>
      <c r="F429" t="s">
        <v>11610</v>
      </c>
      <c r="L429">
        <v>0</v>
      </c>
      <c r="M429">
        <v>0</v>
      </c>
      <c r="N429">
        <v>0</v>
      </c>
    </row>
    <row r="430" spans="1:15">
      <c r="A430" t="s">
        <v>12996</v>
      </c>
      <c r="B430" t="s">
        <v>6742</v>
      </c>
      <c r="C430" t="s">
        <v>12997</v>
      </c>
      <c r="D430" t="s">
        <v>12998</v>
      </c>
      <c r="E430" t="b">
        <v>0</v>
      </c>
      <c r="F430" t="s">
        <v>11624</v>
      </c>
      <c r="G430">
        <v>6.5942299999999996</v>
      </c>
      <c r="H430">
        <v>9.0039400000000001</v>
      </c>
      <c r="I430" t="s">
        <v>12999</v>
      </c>
      <c r="L430">
        <v>0</v>
      </c>
      <c r="M430">
        <v>0</v>
      </c>
      <c r="N430">
        <v>0</v>
      </c>
      <c r="O430" t="s">
        <v>11693</v>
      </c>
    </row>
    <row r="431" spans="1:15">
      <c r="A431" t="s">
        <v>13000</v>
      </c>
      <c r="B431" t="s">
        <v>11615</v>
      </c>
      <c r="C431" t="s">
        <v>13001</v>
      </c>
      <c r="D431" t="s">
        <v>13002</v>
      </c>
      <c r="E431" t="b">
        <v>0</v>
      </c>
      <c r="F431" t="s">
        <v>11624</v>
      </c>
      <c r="G431">
        <v>-6.0390100000000002</v>
      </c>
      <c r="H431">
        <v>145.387</v>
      </c>
      <c r="I431" t="s">
        <v>13003</v>
      </c>
      <c r="L431">
        <v>0</v>
      </c>
      <c r="M431">
        <v>0</v>
      </c>
      <c r="N431">
        <v>0</v>
      </c>
      <c r="O431" t="s">
        <v>11660</v>
      </c>
    </row>
    <row r="432" spans="1:15">
      <c r="A432" t="s">
        <v>13004</v>
      </c>
      <c r="B432" t="s">
        <v>11637</v>
      </c>
      <c r="C432" t="s">
        <v>13005</v>
      </c>
      <c r="D432" t="s">
        <v>13006</v>
      </c>
      <c r="E432" t="b">
        <v>0</v>
      </c>
      <c r="F432" t="s">
        <v>11622</v>
      </c>
      <c r="L432">
        <v>2</v>
      </c>
      <c r="M432">
        <v>4</v>
      </c>
      <c r="N432">
        <v>17</v>
      </c>
    </row>
    <row r="433" spans="1:15">
      <c r="A433" t="s">
        <v>13007</v>
      </c>
      <c r="B433" t="s">
        <v>367</v>
      </c>
      <c r="C433" t="s">
        <v>13008</v>
      </c>
      <c r="D433" t="s">
        <v>13009</v>
      </c>
      <c r="E433" t="b">
        <v>0</v>
      </c>
      <c r="F433" t="s">
        <v>11610</v>
      </c>
      <c r="L433">
        <v>0</v>
      </c>
      <c r="M433">
        <v>0</v>
      </c>
      <c r="N433">
        <v>0</v>
      </c>
    </row>
    <row r="434" spans="1:15">
      <c r="A434" t="s">
        <v>13010</v>
      </c>
      <c r="B434" t="s">
        <v>11607</v>
      </c>
      <c r="C434" t="s">
        <v>13011</v>
      </c>
      <c r="D434" t="s">
        <v>13012</v>
      </c>
      <c r="E434" t="b">
        <v>0</v>
      </c>
      <c r="F434" t="s">
        <v>11610</v>
      </c>
      <c r="L434">
        <v>0</v>
      </c>
      <c r="M434">
        <v>0</v>
      </c>
      <c r="N434">
        <v>0</v>
      </c>
    </row>
    <row r="435" spans="1:15">
      <c r="A435" t="s">
        <v>13013</v>
      </c>
      <c r="B435" t="s">
        <v>13014</v>
      </c>
      <c r="C435" t="s">
        <v>13014</v>
      </c>
      <c r="D435" t="s">
        <v>13015</v>
      </c>
      <c r="E435" t="b">
        <v>0</v>
      </c>
      <c r="F435" t="s">
        <v>11624</v>
      </c>
      <c r="G435">
        <v>52.122799999999998</v>
      </c>
      <c r="H435">
        <v>-174.29</v>
      </c>
      <c r="I435" t="s">
        <v>13016</v>
      </c>
      <c r="L435">
        <v>0</v>
      </c>
      <c r="M435">
        <v>0</v>
      </c>
      <c r="N435">
        <v>2</v>
      </c>
      <c r="O435" t="s">
        <v>13017</v>
      </c>
    </row>
    <row r="436" spans="1:15">
      <c r="A436" t="s">
        <v>13018</v>
      </c>
      <c r="B436" t="s">
        <v>367</v>
      </c>
      <c r="C436" t="s">
        <v>13019</v>
      </c>
      <c r="D436" t="s">
        <v>13020</v>
      </c>
      <c r="E436" t="b">
        <v>0</v>
      </c>
      <c r="F436" t="s">
        <v>11610</v>
      </c>
      <c r="L436">
        <v>0</v>
      </c>
      <c r="M436">
        <v>0</v>
      </c>
      <c r="N436">
        <v>0</v>
      </c>
    </row>
    <row r="437" spans="1:15">
      <c r="A437" t="s">
        <v>13021</v>
      </c>
      <c r="B437" t="s">
        <v>12260</v>
      </c>
      <c r="C437" t="s">
        <v>10255</v>
      </c>
      <c r="D437" t="s">
        <v>13022</v>
      </c>
      <c r="E437" t="b">
        <v>0</v>
      </c>
      <c r="F437" t="s">
        <v>11610</v>
      </c>
      <c r="L437">
        <v>0</v>
      </c>
      <c r="M437">
        <v>0</v>
      </c>
      <c r="N437">
        <v>0</v>
      </c>
    </row>
    <row r="438" spans="1:15">
      <c r="A438" t="s">
        <v>13023</v>
      </c>
      <c r="B438" t="s">
        <v>11607</v>
      </c>
      <c r="C438" t="s">
        <v>11608</v>
      </c>
      <c r="D438" t="s">
        <v>13024</v>
      </c>
      <c r="E438" t="b">
        <v>0</v>
      </c>
      <c r="F438" t="s">
        <v>11610</v>
      </c>
      <c r="L438">
        <v>0</v>
      </c>
      <c r="M438">
        <v>0</v>
      </c>
      <c r="N438">
        <v>0</v>
      </c>
    </row>
    <row r="439" spans="1:15">
      <c r="A439" t="s">
        <v>13025</v>
      </c>
      <c r="B439" t="s">
        <v>11981</v>
      </c>
      <c r="C439" t="s">
        <v>13026</v>
      </c>
      <c r="D439" t="s">
        <v>13027</v>
      </c>
      <c r="E439" t="b">
        <v>0</v>
      </c>
      <c r="F439" t="s">
        <v>11624</v>
      </c>
      <c r="G439">
        <v>36.476199999999999</v>
      </c>
      <c r="H439">
        <v>3.5461999999999998</v>
      </c>
      <c r="I439" t="s">
        <v>13028</v>
      </c>
      <c r="L439">
        <v>0</v>
      </c>
      <c r="M439">
        <v>0</v>
      </c>
      <c r="N439">
        <v>0</v>
      </c>
      <c r="O439" t="s">
        <v>13029</v>
      </c>
    </row>
    <row r="440" spans="1:15">
      <c r="A440" t="s">
        <v>13030</v>
      </c>
      <c r="B440" t="s">
        <v>11607</v>
      </c>
      <c r="C440" t="s">
        <v>13031</v>
      </c>
      <c r="D440" t="s">
        <v>13032</v>
      </c>
      <c r="E440" t="b">
        <v>0</v>
      </c>
      <c r="F440" t="s">
        <v>11624</v>
      </c>
      <c r="G440">
        <v>35.4208</v>
      </c>
      <c r="H440">
        <v>3.2303299999999999</v>
      </c>
      <c r="I440" t="s">
        <v>13033</v>
      </c>
      <c r="L440">
        <v>0</v>
      </c>
      <c r="M440">
        <v>0</v>
      </c>
      <c r="N440">
        <v>3</v>
      </c>
      <c r="O440" t="s">
        <v>13034</v>
      </c>
    </row>
    <row r="441" spans="1:15">
      <c r="A441" t="s">
        <v>13035</v>
      </c>
      <c r="B441" t="s">
        <v>11607</v>
      </c>
      <c r="C441" t="s">
        <v>13031</v>
      </c>
      <c r="D441" t="s">
        <v>13036</v>
      </c>
      <c r="E441" t="b">
        <v>0</v>
      </c>
      <c r="F441" t="s">
        <v>11624</v>
      </c>
      <c r="G441">
        <v>20.888400000000001</v>
      </c>
      <c r="H441">
        <v>4.80626</v>
      </c>
      <c r="I441" t="s">
        <v>13037</v>
      </c>
      <c r="L441">
        <v>0</v>
      </c>
      <c r="M441">
        <v>0</v>
      </c>
      <c r="N441">
        <v>0</v>
      </c>
      <c r="O441" t="s">
        <v>13038</v>
      </c>
    </row>
    <row r="442" spans="1:15">
      <c r="A442" t="s">
        <v>13039</v>
      </c>
      <c r="B442" t="s">
        <v>11637</v>
      </c>
      <c r="C442" t="s">
        <v>13040</v>
      </c>
      <c r="D442" t="s">
        <v>13041</v>
      </c>
      <c r="E442" t="b">
        <v>0</v>
      </c>
      <c r="F442" t="s">
        <v>11610</v>
      </c>
      <c r="L442">
        <v>0</v>
      </c>
      <c r="M442">
        <v>0</v>
      </c>
      <c r="N442">
        <v>0</v>
      </c>
    </row>
    <row r="443" spans="1:15">
      <c r="A443" t="s">
        <v>13042</v>
      </c>
      <c r="B443" t="s">
        <v>11607</v>
      </c>
      <c r="C443" t="s">
        <v>13030</v>
      </c>
      <c r="D443" t="s">
        <v>13043</v>
      </c>
      <c r="E443" t="b">
        <v>0</v>
      </c>
      <c r="F443" t="s">
        <v>11610</v>
      </c>
      <c r="L443">
        <v>0</v>
      </c>
      <c r="M443">
        <v>0</v>
      </c>
      <c r="N443">
        <v>0</v>
      </c>
    </row>
    <row r="444" spans="1:15">
      <c r="A444" t="s">
        <v>12979</v>
      </c>
      <c r="D444" t="s">
        <v>13044</v>
      </c>
      <c r="E444" t="b">
        <v>0</v>
      </c>
      <c r="F444" t="s">
        <v>11622</v>
      </c>
      <c r="L444">
        <v>18</v>
      </c>
      <c r="M444">
        <v>45</v>
      </c>
      <c r="N444">
        <v>40</v>
      </c>
    </row>
    <row r="445" spans="1:15">
      <c r="A445" t="s">
        <v>13045</v>
      </c>
      <c r="B445" t="s">
        <v>12979</v>
      </c>
      <c r="C445" t="s">
        <v>13046</v>
      </c>
      <c r="D445" t="s">
        <v>13047</v>
      </c>
      <c r="E445" t="b">
        <v>0</v>
      </c>
      <c r="F445" t="s">
        <v>11624</v>
      </c>
      <c r="G445">
        <v>47.387599999999999</v>
      </c>
      <c r="H445">
        <v>-77.525800000000004</v>
      </c>
      <c r="I445" t="s">
        <v>13048</v>
      </c>
      <c r="L445">
        <v>0</v>
      </c>
      <c r="M445">
        <v>0</v>
      </c>
      <c r="N445">
        <v>2</v>
      </c>
      <c r="O445" t="s">
        <v>13049</v>
      </c>
    </row>
    <row r="446" spans="1:15">
      <c r="A446" t="s">
        <v>13050</v>
      </c>
      <c r="B446" t="s">
        <v>12979</v>
      </c>
      <c r="C446" t="s">
        <v>12979</v>
      </c>
      <c r="D446" t="s">
        <v>13051</v>
      </c>
      <c r="E446" t="b">
        <v>0</v>
      </c>
      <c r="F446" t="s">
        <v>11622</v>
      </c>
      <c r="L446">
        <v>17</v>
      </c>
      <c r="M446">
        <v>43</v>
      </c>
      <c r="N446">
        <v>40</v>
      </c>
    </row>
    <row r="447" spans="1:15">
      <c r="A447" t="s">
        <v>13052</v>
      </c>
      <c r="B447" t="s">
        <v>11607</v>
      </c>
      <c r="C447" t="s">
        <v>13053</v>
      </c>
      <c r="D447" t="s">
        <v>13054</v>
      </c>
      <c r="E447" t="b">
        <v>0</v>
      </c>
      <c r="F447" t="s">
        <v>11610</v>
      </c>
      <c r="L447">
        <v>0</v>
      </c>
      <c r="M447">
        <v>0</v>
      </c>
      <c r="N447">
        <v>0</v>
      </c>
    </row>
    <row r="448" spans="1:15">
      <c r="A448" t="s">
        <v>13055</v>
      </c>
      <c r="B448" t="s">
        <v>11607</v>
      </c>
      <c r="C448" t="s">
        <v>13053</v>
      </c>
      <c r="D448" t="s">
        <v>13056</v>
      </c>
      <c r="E448" t="b">
        <v>0</v>
      </c>
      <c r="F448" t="s">
        <v>11610</v>
      </c>
      <c r="L448">
        <v>0</v>
      </c>
      <c r="M448">
        <v>0</v>
      </c>
      <c r="N448">
        <v>0</v>
      </c>
    </row>
    <row r="449" spans="1:15">
      <c r="A449" t="s">
        <v>13057</v>
      </c>
      <c r="B449" t="s">
        <v>11757</v>
      </c>
      <c r="C449" t="s">
        <v>12267</v>
      </c>
      <c r="D449" t="s">
        <v>13058</v>
      </c>
      <c r="E449" t="b">
        <v>0</v>
      </c>
      <c r="F449" t="s">
        <v>11610</v>
      </c>
      <c r="L449">
        <v>0</v>
      </c>
      <c r="M449">
        <v>0</v>
      </c>
      <c r="N449">
        <v>0</v>
      </c>
    </row>
    <row r="450" spans="1:15">
      <c r="A450" t="s">
        <v>13059</v>
      </c>
      <c r="B450" t="s">
        <v>6742</v>
      </c>
      <c r="C450" t="s">
        <v>13060</v>
      </c>
      <c r="D450" t="s">
        <v>13061</v>
      </c>
      <c r="E450" t="b">
        <v>0</v>
      </c>
      <c r="F450" t="s">
        <v>11610</v>
      </c>
      <c r="L450">
        <v>0</v>
      </c>
      <c r="M450">
        <v>0</v>
      </c>
      <c r="N450">
        <v>0</v>
      </c>
    </row>
    <row r="451" spans="1:15">
      <c r="A451" t="s">
        <v>13062</v>
      </c>
      <c r="B451" t="s">
        <v>11637</v>
      </c>
      <c r="C451" t="s">
        <v>13063</v>
      </c>
      <c r="D451" t="s">
        <v>13064</v>
      </c>
      <c r="E451" t="b">
        <v>0</v>
      </c>
      <c r="F451" t="s">
        <v>11610</v>
      </c>
      <c r="L451">
        <v>0</v>
      </c>
      <c r="M451">
        <v>0</v>
      </c>
      <c r="N451">
        <v>0</v>
      </c>
    </row>
    <row r="452" spans="1:15">
      <c r="A452" t="s">
        <v>13065</v>
      </c>
      <c r="B452" t="s">
        <v>6742</v>
      </c>
      <c r="C452" t="s">
        <v>13066</v>
      </c>
      <c r="D452" t="s">
        <v>13067</v>
      </c>
      <c r="E452" t="b">
        <v>0</v>
      </c>
      <c r="F452" t="s">
        <v>11624</v>
      </c>
      <c r="G452">
        <v>4.6001399999999997</v>
      </c>
      <c r="H452">
        <v>18.0352</v>
      </c>
      <c r="I452" t="s">
        <v>13068</v>
      </c>
      <c r="L452">
        <v>0</v>
      </c>
      <c r="M452">
        <v>0</v>
      </c>
      <c r="N452">
        <v>0</v>
      </c>
      <c r="O452" t="s">
        <v>13069</v>
      </c>
    </row>
    <row r="453" spans="1:15">
      <c r="A453" t="s">
        <v>13070</v>
      </c>
      <c r="B453" t="s">
        <v>367</v>
      </c>
      <c r="C453" t="s">
        <v>13071</v>
      </c>
      <c r="D453" t="s">
        <v>13072</v>
      </c>
      <c r="E453" t="b">
        <v>0</v>
      </c>
      <c r="F453" t="s">
        <v>11610</v>
      </c>
      <c r="L453">
        <v>0</v>
      </c>
      <c r="M453">
        <v>0</v>
      </c>
      <c r="N453">
        <v>0</v>
      </c>
    </row>
    <row r="454" spans="1:15">
      <c r="A454" t="s">
        <v>13073</v>
      </c>
      <c r="B454" t="s">
        <v>11894</v>
      </c>
      <c r="C454" t="s">
        <v>13074</v>
      </c>
      <c r="D454" t="s">
        <v>13075</v>
      </c>
      <c r="E454" t="b">
        <v>0</v>
      </c>
      <c r="F454" t="s">
        <v>11610</v>
      </c>
      <c r="L454">
        <v>0</v>
      </c>
      <c r="M454">
        <v>0</v>
      </c>
      <c r="N454">
        <v>0</v>
      </c>
    </row>
    <row r="455" spans="1:15">
      <c r="A455" t="s">
        <v>13076</v>
      </c>
      <c r="B455" t="s">
        <v>11637</v>
      </c>
      <c r="C455" t="s">
        <v>13077</v>
      </c>
      <c r="D455" t="s">
        <v>13078</v>
      </c>
      <c r="E455" t="b">
        <v>0</v>
      </c>
      <c r="F455" t="s">
        <v>11610</v>
      </c>
      <c r="L455">
        <v>0</v>
      </c>
      <c r="M455">
        <v>0</v>
      </c>
      <c r="N455">
        <v>0</v>
      </c>
    </row>
    <row r="456" spans="1:15">
      <c r="A456" t="s">
        <v>13079</v>
      </c>
      <c r="B456" t="s">
        <v>11981</v>
      </c>
      <c r="C456" t="s">
        <v>11982</v>
      </c>
      <c r="D456" t="s">
        <v>13080</v>
      </c>
      <c r="E456" t="b">
        <v>0</v>
      </c>
      <c r="F456" t="s">
        <v>11624</v>
      </c>
      <c r="G456">
        <v>16.843564000000001</v>
      </c>
      <c r="H456">
        <v>77.107524999999995</v>
      </c>
      <c r="L456">
        <v>0</v>
      </c>
      <c r="M456">
        <v>0</v>
      </c>
      <c r="N456">
        <v>0</v>
      </c>
      <c r="O456" t="s">
        <v>11630</v>
      </c>
    </row>
    <row r="457" spans="1:15">
      <c r="A457" t="s">
        <v>13081</v>
      </c>
      <c r="B457" t="s">
        <v>367</v>
      </c>
      <c r="C457" t="s">
        <v>13082</v>
      </c>
      <c r="D457" t="s">
        <v>13083</v>
      </c>
      <c r="E457" t="b">
        <v>0</v>
      </c>
      <c r="F457" t="s">
        <v>11622</v>
      </c>
      <c r="L457">
        <v>0</v>
      </c>
      <c r="M457">
        <v>2</v>
      </c>
      <c r="N457">
        <v>2</v>
      </c>
    </row>
    <row r="458" spans="1:15">
      <c r="A458" t="s">
        <v>13084</v>
      </c>
      <c r="B458" t="s">
        <v>11637</v>
      </c>
      <c r="C458" t="s">
        <v>13085</v>
      </c>
      <c r="D458" t="s">
        <v>13086</v>
      </c>
      <c r="E458" t="b">
        <v>0</v>
      </c>
      <c r="F458" t="s">
        <v>11610</v>
      </c>
      <c r="L458">
        <v>0</v>
      </c>
      <c r="M458">
        <v>0</v>
      </c>
      <c r="N458">
        <v>0</v>
      </c>
    </row>
    <row r="459" spans="1:15">
      <c r="A459" t="s">
        <v>13087</v>
      </c>
      <c r="B459" t="s">
        <v>11844</v>
      </c>
      <c r="C459" t="s">
        <v>13088</v>
      </c>
      <c r="D459" t="s">
        <v>13089</v>
      </c>
      <c r="E459" t="b">
        <v>0</v>
      </c>
      <c r="F459" t="s">
        <v>11624</v>
      </c>
      <c r="G459">
        <v>11.080299999999999</v>
      </c>
      <c r="H459">
        <v>76.659300000000002</v>
      </c>
      <c r="I459" t="s">
        <v>13090</v>
      </c>
      <c r="L459">
        <v>0</v>
      </c>
      <c r="M459">
        <v>0</v>
      </c>
      <c r="N459">
        <v>0</v>
      </c>
      <c r="O459" t="s">
        <v>11630</v>
      </c>
    </row>
    <row r="460" spans="1:15">
      <c r="A460" t="s">
        <v>13091</v>
      </c>
      <c r="B460" t="s">
        <v>6742</v>
      </c>
      <c r="C460" t="s">
        <v>13092</v>
      </c>
      <c r="D460" t="s">
        <v>13093</v>
      </c>
      <c r="E460" t="b">
        <v>0</v>
      </c>
      <c r="F460" t="s">
        <v>11624</v>
      </c>
      <c r="G460">
        <v>5.2237099999999996</v>
      </c>
      <c r="H460">
        <v>-4.4264700000000001</v>
      </c>
      <c r="I460" t="s">
        <v>13094</v>
      </c>
      <c r="L460">
        <v>0</v>
      </c>
      <c r="M460">
        <v>0</v>
      </c>
      <c r="N460">
        <v>0</v>
      </c>
      <c r="O460" t="s">
        <v>11735</v>
      </c>
    </row>
    <row r="461" spans="1:15">
      <c r="A461" t="s">
        <v>13095</v>
      </c>
      <c r="B461" t="s">
        <v>367</v>
      </c>
      <c r="C461" t="s">
        <v>13096</v>
      </c>
      <c r="D461" t="s">
        <v>13097</v>
      </c>
      <c r="E461" t="b">
        <v>0</v>
      </c>
      <c r="F461" t="s">
        <v>11610</v>
      </c>
      <c r="L461">
        <v>0</v>
      </c>
      <c r="M461">
        <v>0</v>
      </c>
      <c r="N461">
        <v>0</v>
      </c>
    </row>
    <row r="462" spans="1:15">
      <c r="A462" t="s">
        <v>13098</v>
      </c>
      <c r="B462" t="s">
        <v>12686</v>
      </c>
      <c r="C462" t="s">
        <v>13099</v>
      </c>
      <c r="D462" t="s">
        <v>13100</v>
      </c>
      <c r="E462" t="b">
        <v>0</v>
      </c>
      <c r="F462" t="s">
        <v>11610</v>
      </c>
      <c r="L462">
        <v>0</v>
      </c>
      <c r="M462">
        <v>0</v>
      </c>
      <c r="N462">
        <v>0</v>
      </c>
    </row>
    <row r="463" spans="1:15">
      <c r="A463" t="s">
        <v>13101</v>
      </c>
      <c r="B463" t="s">
        <v>13102</v>
      </c>
      <c r="C463" t="s">
        <v>13102</v>
      </c>
      <c r="D463" t="s">
        <v>13103</v>
      </c>
      <c r="E463" t="b">
        <v>0</v>
      </c>
      <c r="F463" t="s">
        <v>11624</v>
      </c>
      <c r="G463">
        <v>-33.480938000000002</v>
      </c>
      <c r="H463">
        <v>-68.096924000000001</v>
      </c>
      <c r="L463">
        <v>0</v>
      </c>
      <c r="M463">
        <v>0</v>
      </c>
      <c r="N463">
        <v>0</v>
      </c>
      <c r="O463" t="s">
        <v>11774</v>
      </c>
    </row>
    <row r="464" spans="1:15">
      <c r="A464" t="s">
        <v>13104</v>
      </c>
      <c r="B464" t="s">
        <v>11637</v>
      </c>
      <c r="C464" t="s">
        <v>13105</v>
      </c>
      <c r="D464" t="s">
        <v>13106</v>
      </c>
      <c r="E464" t="b">
        <v>0</v>
      </c>
      <c r="F464" t="s">
        <v>11610</v>
      </c>
      <c r="L464">
        <v>0</v>
      </c>
      <c r="M464">
        <v>0</v>
      </c>
      <c r="N464">
        <v>0</v>
      </c>
    </row>
    <row r="465" spans="1:15">
      <c r="A465" t="s">
        <v>13107</v>
      </c>
      <c r="B465" t="s">
        <v>11607</v>
      </c>
      <c r="C465" t="s">
        <v>13108</v>
      </c>
      <c r="D465" t="s">
        <v>13109</v>
      </c>
      <c r="E465" t="b">
        <v>0</v>
      </c>
      <c r="F465" t="s">
        <v>11610</v>
      </c>
      <c r="L465">
        <v>0</v>
      </c>
      <c r="M465">
        <v>0</v>
      </c>
      <c r="N465">
        <v>0</v>
      </c>
    </row>
    <row r="466" spans="1:15">
      <c r="A466" t="s">
        <v>13110</v>
      </c>
      <c r="B466" t="s">
        <v>10597</v>
      </c>
      <c r="C466" t="s">
        <v>13111</v>
      </c>
      <c r="D466" t="s">
        <v>13112</v>
      </c>
      <c r="E466" t="b">
        <v>0</v>
      </c>
      <c r="F466" t="s">
        <v>11624</v>
      </c>
      <c r="G466">
        <v>-12.532400000000001</v>
      </c>
      <c r="H466">
        <v>141.93799999999999</v>
      </c>
      <c r="I466" t="s">
        <v>13113</v>
      </c>
      <c r="L466">
        <v>0</v>
      </c>
      <c r="M466">
        <v>0</v>
      </c>
      <c r="N466">
        <v>0</v>
      </c>
      <c r="O466" t="s">
        <v>12107</v>
      </c>
    </row>
    <row r="467" spans="1:15">
      <c r="A467" t="s">
        <v>13114</v>
      </c>
      <c r="B467" t="s">
        <v>11879</v>
      </c>
      <c r="C467" t="s">
        <v>13115</v>
      </c>
      <c r="D467" t="s">
        <v>13116</v>
      </c>
      <c r="E467" t="b">
        <v>0</v>
      </c>
      <c r="F467" t="s">
        <v>11624</v>
      </c>
      <c r="G467">
        <v>17.413699999999999</v>
      </c>
      <c r="H467">
        <v>-96.743799999999993</v>
      </c>
      <c r="I467" t="s">
        <v>13117</v>
      </c>
      <c r="L467">
        <v>0</v>
      </c>
      <c r="M467">
        <v>0</v>
      </c>
      <c r="N467">
        <v>0</v>
      </c>
      <c r="O467" t="s">
        <v>11883</v>
      </c>
    </row>
    <row r="468" spans="1:15">
      <c r="A468" t="s">
        <v>13118</v>
      </c>
      <c r="B468" t="s">
        <v>11607</v>
      </c>
      <c r="C468" t="s">
        <v>13119</v>
      </c>
      <c r="D468" t="s">
        <v>13120</v>
      </c>
      <c r="E468" t="b">
        <v>0</v>
      </c>
      <c r="F468" t="s">
        <v>11610</v>
      </c>
      <c r="L468">
        <v>0</v>
      </c>
      <c r="M468">
        <v>0</v>
      </c>
      <c r="N468">
        <v>0</v>
      </c>
    </row>
    <row r="469" spans="1:15">
      <c r="A469" t="s">
        <v>13121</v>
      </c>
      <c r="B469" t="s">
        <v>11644</v>
      </c>
      <c r="C469" t="s">
        <v>13122</v>
      </c>
      <c r="D469" t="s">
        <v>13123</v>
      </c>
      <c r="E469" t="b">
        <v>0</v>
      </c>
      <c r="F469" t="s">
        <v>11624</v>
      </c>
      <c r="G469">
        <v>23.59</v>
      </c>
      <c r="H469">
        <v>101.93300000000001</v>
      </c>
      <c r="I469" t="s">
        <v>13124</v>
      </c>
      <c r="L469">
        <v>0</v>
      </c>
      <c r="M469">
        <v>0</v>
      </c>
      <c r="N469">
        <v>0</v>
      </c>
      <c r="O469" t="s">
        <v>11905</v>
      </c>
    </row>
    <row r="470" spans="1:15">
      <c r="A470" t="s">
        <v>13125</v>
      </c>
      <c r="B470" t="s">
        <v>11757</v>
      </c>
      <c r="C470" t="s">
        <v>13126</v>
      </c>
      <c r="D470" t="s">
        <v>13127</v>
      </c>
      <c r="E470" t="b">
        <v>0</v>
      </c>
      <c r="F470" t="s">
        <v>11610</v>
      </c>
      <c r="L470">
        <v>0</v>
      </c>
      <c r="M470">
        <v>0</v>
      </c>
      <c r="N470">
        <v>0</v>
      </c>
    </row>
    <row r="471" spans="1:15">
      <c r="A471" t="s">
        <v>13128</v>
      </c>
      <c r="B471" t="s">
        <v>367</v>
      </c>
      <c r="C471" t="s">
        <v>13129</v>
      </c>
      <c r="D471" t="s">
        <v>13130</v>
      </c>
      <c r="E471" t="b">
        <v>0</v>
      </c>
      <c r="F471" t="s">
        <v>11624</v>
      </c>
      <c r="G471">
        <v>-8.2038200000000003</v>
      </c>
      <c r="H471">
        <v>124.264</v>
      </c>
      <c r="I471" t="s">
        <v>13131</v>
      </c>
      <c r="L471">
        <v>0</v>
      </c>
      <c r="M471">
        <v>0</v>
      </c>
      <c r="N471">
        <v>0</v>
      </c>
      <c r="O471" t="s">
        <v>11768</v>
      </c>
    </row>
    <row r="472" spans="1:15">
      <c r="A472" t="s">
        <v>13132</v>
      </c>
      <c r="B472" t="s">
        <v>11839</v>
      </c>
      <c r="C472" t="s">
        <v>11839</v>
      </c>
      <c r="D472" t="s">
        <v>13133</v>
      </c>
      <c r="E472" t="b">
        <v>0</v>
      </c>
      <c r="F472" t="s">
        <v>11622</v>
      </c>
      <c r="L472">
        <v>9</v>
      </c>
      <c r="M472">
        <v>19</v>
      </c>
      <c r="N472">
        <v>48</v>
      </c>
    </row>
    <row r="473" spans="1:15">
      <c r="A473" t="s">
        <v>11840</v>
      </c>
      <c r="B473" t="s">
        <v>11839</v>
      </c>
      <c r="C473" t="s">
        <v>13132</v>
      </c>
      <c r="D473" t="s">
        <v>13134</v>
      </c>
      <c r="E473" t="b">
        <v>0</v>
      </c>
      <c r="F473" t="s">
        <v>11622</v>
      </c>
      <c r="L473">
        <v>7</v>
      </c>
      <c r="M473">
        <v>14</v>
      </c>
      <c r="N473">
        <v>42</v>
      </c>
    </row>
    <row r="474" spans="1:15">
      <c r="A474" t="s">
        <v>13135</v>
      </c>
      <c r="B474" t="s">
        <v>11637</v>
      </c>
      <c r="C474" t="s">
        <v>13136</v>
      </c>
      <c r="D474" t="s">
        <v>13137</v>
      </c>
      <c r="E474" t="b">
        <v>0</v>
      </c>
      <c r="F474" t="s">
        <v>11610</v>
      </c>
      <c r="L474">
        <v>0</v>
      </c>
      <c r="M474">
        <v>0</v>
      </c>
      <c r="N474">
        <v>0</v>
      </c>
    </row>
    <row r="475" spans="1:15">
      <c r="A475" t="s">
        <v>13138</v>
      </c>
      <c r="B475" t="s">
        <v>11607</v>
      </c>
      <c r="C475" t="s">
        <v>13139</v>
      </c>
      <c r="D475" t="s">
        <v>13140</v>
      </c>
      <c r="E475" t="b">
        <v>0</v>
      </c>
      <c r="F475" t="s">
        <v>11610</v>
      </c>
      <c r="L475">
        <v>0</v>
      </c>
      <c r="M475">
        <v>0</v>
      </c>
      <c r="N475">
        <v>0</v>
      </c>
    </row>
    <row r="476" spans="1:15">
      <c r="A476" t="s">
        <v>13141</v>
      </c>
      <c r="B476" t="s">
        <v>11637</v>
      </c>
      <c r="C476" t="s">
        <v>13142</v>
      </c>
      <c r="D476" t="s">
        <v>13143</v>
      </c>
      <c r="E476" t="b">
        <v>0</v>
      </c>
      <c r="F476" t="s">
        <v>11610</v>
      </c>
      <c r="L476">
        <v>0</v>
      </c>
      <c r="M476">
        <v>0</v>
      </c>
      <c r="N476">
        <v>0</v>
      </c>
    </row>
    <row r="477" spans="1:15">
      <c r="A477" t="s">
        <v>13144</v>
      </c>
      <c r="B477" t="s">
        <v>11981</v>
      </c>
      <c r="C477" t="s">
        <v>11982</v>
      </c>
      <c r="D477" t="s">
        <v>13145</v>
      </c>
      <c r="E477" t="b">
        <v>0</v>
      </c>
      <c r="F477" t="s">
        <v>11624</v>
      </c>
      <c r="G477">
        <v>31.284444000000001</v>
      </c>
      <c r="H477">
        <v>34.916111000000001</v>
      </c>
      <c r="I477" t="s">
        <v>13146</v>
      </c>
      <c r="L477">
        <v>0</v>
      </c>
      <c r="M477">
        <v>0</v>
      </c>
      <c r="N477">
        <v>0</v>
      </c>
      <c r="O477" t="s">
        <v>13147</v>
      </c>
    </row>
    <row r="478" spans="1:15">
      <c r="A478" t="s">
        <v>13148</v>
      </c>
      <c r="D478" t="s">
        <v>13149</v>
      </c>
      <c r="E478" t="b">
        <v>0</v>
      </c>
      <c r="F478" t="s">
        <v>11624</v>
      </c>
      <c r="G478">
        <v>44.408000000000001</v>
      </c>
      <c r="H478">
        <v>-123.94</v>
      </c>
      <c r="I478" t="s">
        <v>13150</v>
      </c>
      <c r="L478">
        <v>0</v>
      </c>
      <c r="M478">
        <v>0</v>
      </c>
      <c r="N478">
        <v>2</v>
      </c>
      <c r="O478" t="s">
        <v>11944</v>
      </c>
    </row>
    <row r="479" spans="1:15">
      <c r="A479" t="s">
        <v>13151</v>
      </c>
      <c r="B479" t="s">
        <v>13148</v>
      </c>
      <c r="C479" t="s">
        <v>13148</v>
      </c>
      <c r="D479" t="s">
        <v>13152</v>
      </c>
      <c r="E479" t="b">
        <v>0</v>
      </c>
      <c r="F479" t="s">
        <v>11610</v>
      </c>
      <c r="L479">
        <v>0</v>
      </c>
      <c r="M479">
        <v>0</v>
      </c>
      <c r="N479">
        <v>0</v>
      </c>
    </row>
    <row r="480" spans="1:15">
      <c r="A480" t="s">
        <v>13153</v>
      </c>
      <c r="B480" t="s">
        <v>331</v>
      </c>
      <c r="C480" t="s">
        <v>13154</v>
      </c>
      <c r="D480" t="s">
        <v>13155</v>
      </c>
      <c r="E480" t="b">
        <v>0</v>
      </c>
      <c r="F480" t="s">
        <v>11610</v>
      </c>
      <c r="L480">
        <v>0</v>
      </c>
      <c r="M480">
        <v>0</v>
      </c>
      <c r="N480">
        <v>0</v>
      </c>
    </row>
    <row r="481" spans="1:15">
      <c r="A481" t="s">
        <v>13156</v>
      </c>
      <c r="B481" t="s">
        <v>12250</v>
      </c>
      <c r="C481" t="s">
        <v>13157</v>
      </c>
      <c r="D481" t="s">
        <v>13158</v>
      </c>
      <c r="E481" t="b">
        <v>0</v>
      </c>
      <c r="F481" t="s">
        <v>11610</v>
      </c>
      <c r="L481">
        <v>0</v>
      </c>
      <c r="M481">
        <v>0</v>
      </c>
      <c r="N481">
        <v>0</v>
      </c>
    </row>
    <row r="482" spans="1:15">
      <c r="A482" t="s">
        <v>13159</v>
      </c>
      <c r="B482" t="s">
        <v>12250</v>
      </c>
      <c r="C482" t="s">
        <v>13157</v>
      </c>
      <c r="D482" t="s">
        <v>13160</v>
      </c>
      <c r="E482" t="b">
        <v>0</v>
      </c>
      <c r="F482" t="s">
        <v>11610</v>
      </c>
      <c r="L482">
        <v>0</v>
      </c>
      <c r="M482">
        <v>0</v>
      </c>
      <c r="N482">
        <v>0</v>
      </c>
    </row>
    <row r="483" spans="1:15">
      <c r="A483" t="s">
        <v>13161</v>
      </c>
      <c r="B483" t="s">
        <v>4725</v>
      </c>
      <c r="C483" t="s">
        <v>4725</v>
      </c>
      <c r="D483" t="s">
        <v>13162</v>
      </c>
      <c r="E483" t="b">
        <v>0</v>
      </c>
      <c r="F483" t="s">
        <v>11610</v>
      </c>
      <c r="L483">
        <v>0</v>
      </c>
      <c r="M483">
        <v>0</v>
      </c>
      <c r="N483">
        <v>0</v>
      </c>
    </row>
    <row r="484" spans="1:15">
      <c r="A484" t="s">
        <v>13163</v>
      </c>
      <c r="B484" t="s">
        <v>4725</v>
      </c>
      <c r="C484" t="s">
        <v>4725</v>
      </c>
      <c r="D484" t="s">
        <v>13164</v>
      </c>
      <c r="E484" t="b">
        <v>0</v>
      </c>
      <c r="F484" t="s">
        <v>11610</v>
      </c>
      <c r="L484">
        <v>0</v>
      </c>
      <c r="M484">
        <v>0</v>
      </c>
      <c r="N484">
        <v>0</v>
      </c>
    </row>
    <row r="485" spans="1:15">
      <c r="A485" t="s">
        <v>13165</v>
      </c>
      <c r="B485" t="s">
        <v>11894</v>
      </c>
      <c r="C485" t="s">
        <v>13166</v>
      </c>
      <c r="D485" t="s">
        <v>13167</v>
      </c>
      <c r="E485" t="b">
        <v>0</v>
      </c>
      <c r="F485" t="s">
        <v>11622</v>
      </c>
      <c r="L485">
        <v>2</v>
      </c>
      <c r="M485">
        <v>4</v>
      </c>
      <c r="N485">
        <v>4</v>
      </c>
    </row>
    <row r="486" spans="1:15">
      <c r="A486" t="s">
        <v>13168</v>
      </c>
      <c r="B486" t="s">
        <v>11894</v>
      </c>
      <c r="C486" t="s">
        <v>13169</v>
      </c>
      <c r="D486" t="s">
        <v>13170</v>
      </c>
      <c r="E486" t="b">
        <v>0</v>
      </c>
      <c r="F486" t="s">
        <v>11622</v>
      </c>
      <c r="L486">
        <v>0</v>
      </c>
      <c r="M486">
        <v>4</v>
      </c>
      <c r="N486">
        <v>0</v>
      </c>
    </row>
    <row r="487" spans="1:15">
      <c r="A487" t="s">
        <v>13171</v>
      </c>
      <c r="B487" t="s">
        <v>11637</v>
      </c>
      <c r="C487" t="s">
        <v>13172</v>
      </c>
      <c r="D487" t="s">
        <v>13173</v>
      </c>
      <c r="E487" t="b">
        <v>0</v>
      </c>
      <c r="F487" t="s">
        <v>11622</v>
      </c>
      <c r="L487">
        <v>5</v>
      </c>
      <c r="M487">
        <v>8</v>
      </c>
      <c r="N487">
        <v>40</v>
      </c>
    </row>
    <row r="488" spans="1:15">
      <c r="A488" t="s">
        <v>13174</v>
      </c>
      <c r="B488" t="s">
        <v>11644</v>
      </c>
      <c r="C488" t="s">
        <v>13175</v>
      </c>
      <c r="D488" t="s">
        <v>13176</v>
      </c>
      <c r="E488" t="b">
        <v>0</v>
      </c>
      <c r="F488" t="s">
        <v>11624</v>
      </c>
      <c r="G488">
        <v>23</v>
      </c>
      <c r="H488">
        <v>103</v>
      </c>
      <c r="I488" t="s">
        <v>13177</v>
      </c>
      <c r="L488">
        <v>0</v>
      </c>
      <c r="M488">
        <v>0</v>
      </c>
      <c r="N488">
        <v>0</v>
      </c>
      <c r="O488" t="s">
        <v>11905</v>
      </c>
    </row>
    <row r="489" spans="1:15">
      <c r="A489" t="s">
        <v>13178</v>
      </c>
      <c r="B489" t="s">
        <v>11844</v>
      </c>
      <c r="C489" t="s">
        <v>13179</v>
      </c>
      <c r="D489" t="s">
        <v>13180</v>
      </c>
      <c r="E489" t="b">
        <v>0</v>
      </c>
      <c r="F489" t="s">
        <v>11624</v>
      </c>
      <c r="G489">
        <v>11.345599999999999</v>
      </c>
      <c r="H489">
        <v>76.799499999999995</v>
      </c>
      <c r="I489" t="s">
        <v>13181</v>
      </c>
      <c r="L489">
        <v>0</v>
      </c>
      <c r="M489">
        <v>0</v>
      </c>
      <c r="N489">
        <v>0</v>
      </c>
      <c r="O489" t="s">
        <v>11630</v>
      </c>
    </row>
    <row r="490" spans="1:15">
      <c r="A490" t="s">
        <v>13182</v>
      </c>
      <c r="B490" t="s">
        <v>11637</v>
      </c>
      <c r="C490" t="s">
        <v>13183</v>
      </c>
      <c r="D490" t="s">
        <v>13184</v>
      </c>
      <c r="E490" t="b">
        <v>0</v>
      </c>
      <c r="F490" t="s">
        <v>11610</v>
      </c>
      <c r="L490">
        <v>0</v>
      </c>
      <c r="M490">
        <v>0</v>
      </c>
      <c r="N490">
        <v>0</v>
      </c>
    </row>
    <row r="491" spans="1:15">
      <c r="A491" t="s">
        <v>13185</v>
      </c>
      <c r="B491" t="s">
        <v>6742</v>
      </c>
      <c r="C491" t="s">
        <v>12821</v>
      </c>
      <c r="D491" t="s">
        <v>13186</v>
      </c>
      <c r="E491" t="b">
        <v>0</v>
      </c>
      <c r="F491" t="s">
        <v>11624</v>
      </c>
      <c r="G491">
        <v>9.0151299999999992</v>
      </c>
      <c r="H491">
        <v>8.5595599999999994</v>
      </c>
      <c r="I491" t="s">
        <v>13187</v>
      </c>
      <c r="L491">
        <v>0</v>
      </c>
      <c r="M491">
        <v>0</v>
      </c>
      <c r="N491">
        <v>2</v>
      </c>
      <c r="O491" t="s">
        <v>11693</v>
      </c>
    </row>
    <row r="492" spans="1:15">
      <c r="A492" t="s">
        <v>13188</v>
      </c>
      <c r="B492" t="s">
        <v>6742</v>
      </c>
      <c r="C492" t="s">
        <v>13185</v>
      </c>
      <c r="D492" t="s">
        <v>13189</v>
      </c>
      <c r="E492" t="b">
        <v>0</v>
      </c>
      <c r="F492" t="s">
        <v>11610</v>
      </c>
      <c r="L492">
        <v>0</v>
      </c>
      <c r="M492">
        <v>0</v>
      </c>
      <c r="N492">
        <v>0</v>
      </c>
    </row>
    <row r="493" spans="1:15">
      <c r="A493" t="s">
        <v>13190</v>
      </c>
      <c r="B493" t="s">
        <v>367</v>
      </c>
      <c r="C493" t="s">
        <v>13191</v>
      </c>
      <c r="D493" t="s">
        <v>13192</v>
      </c>
      <c r="E493" t="b">
        <v>0</v>
      </c>
      <c r="F493" t="s">
        <v>11610</v>
      </c>
      <c r="L493">
        <v>0</v>
      </c>
      <c r="M493">
        <v>0</v>
      </c>
      <c r="N493">
        <v>0</v>
      </c>
    </row>
    <row r="494" spans="1:15">
      <c r="A494" t="s">
        <v>13193</v>
      </c>
      <c r="B494" t="s">
        <v>6742</v>
      </c>
      <c r="C494" t="s">
        <v>12468</v>
      </c>
      <c r="D494" t="s">
        <v>13194</v>
      </c>
      <c r="E494" t="b">
        <v>0</v>
      </c>
      <c r="F494" t="s">
        <v>11622</v>
      </c>
      <c r="L494">
        <v>6</v>
      </c>
      <c r="M494">
        <v>10</v>
      </c>
      <c r="N494">
        <v>2</v>
      </c>
    </row>
    <row r="495" spans="1:15">
      <c r="A495" t="s">
        <v>13195</v>
      </c>
      <c r="B495" t="s">
        <v>6742</v>
      </c>
      <c r="C495" t="s">
        <v>13193</v>
      </c>
      <c r="D495" t="s">
        <v>13196</v>
      </c>
      <c r="E495" t="b">
        <v>0</v>
      </c>
      <c r="F495" t="s">
        <v>11622</v>
      </c>
      <c r="L495">
        <v>2</v>
      </c>
      <c r="M495">
        <v>5</v>
      </c>
      <c r="N495">
        <v>2</v>
      </c>
    </row>
    <row r="496" spans="1:15">
      <c r="A496" t="s">
        <v>12821</v>
      </c>
      <c r="B496" t="s">
        <v>6742</v>
      </c>
      <c r="C496" t="s">
        <v>13195</v>
      </c>
      <c r="D496" t="s">
        <v>13197</v>
      </c>
      <c r="E496" t="b">
        <v>0</v>
      </c>
      <c r="F496" t="s">
        <v>11622</v>
      </c>
      <c r="L496">
        <v>0</v>
      </c>
      <c r="M496">
        <v>2</v>
      </c>
      <c r="N496">
        <v>2</v>
      </c>
    </row>
    <row r="497" spans="1:15">
      <c r="A497" t="s">
        <v>13198</v>
      </c>
      <c r="B497" t="s">
        <v>367</v>
      </c>
      <c r="C497" t="s">
        <v>13199</v>
      </c>
      <c r="D497" t="s">
        <v>13200</v>
      </c>
      <c r="E497" t="b">
        <v>0</v>
      </c>
      <c r="F497" t="s">
        <v>11624</v>
      </c>
      <c r="G497">
        <v>-3.11477</v>
      </c>
      <c r="H497">
        <v>128.39400000000001</v>
      </c>
      <c r="I497" t="s">
        <v>13201</v>
      </c>
      <c r="L497">
        <v>0</v>
      </c>
      <c r="M497">
        <v>0</v>
      </c>
      <c r="N497">
        <v>5</v>
      </c>
      <c r="O497" t="s">
        <v>11768</v>
      </c>
    </row>
    <row r="498" spans="1:15">
      <c r="A498" t="s">
        <v>13202</v>
      </c>
      <c r="B498" t="s">
        <v>11644</v>
      </c>
      <c r="C498" t="s">
        <v>13203</v>
      </c>
      <c r="D498" t="s">
        <v>13204</v>
      </c>
      <c r="E498" t="b">
        <v>0</v>
      </c>
      <c r="F498" t="s">
        <v>11624</v>
      </c>
      <c r="G498">
        <v>26</v>
      </c>
      <c r="H498">
        <v>102</v>
      </c>
      <c r="I498" t="s">
        <v>13205</v>
      </c>
      <c r="L498">
        <v>0</v>
      </c>
      <c r="M498">
        <v>0</v>
      </c>
      <c r="N498">
        <v>0</v>
      </c>
      <c r="O498" t="s">
        <v>11905</v>
      </c>
    </row>
    <row r="499" spans="1:15">
      <c r="A499" t="s">
        <v>13206</v>
      </c>
      <c r="B499" t="s">
        <v>11729</v>
      </c>
      <c r="C499" t="s">
        <v>11730</v>
      </c>
      <c r="D499" t="s">
        <v>13207</v>
      </c>
      <c r="E499" t="b">
        <v>0</v>
      </c>
      <c r="F499" t="s">
        <v>11610</v>
      </c>
      <c r="L499">
        <v>0</v>
      </c>
      <c r="M499">
        <v>0</v>
      </c>
      <c r="N499">
        <v>0</v>
      </c>
    </row>
    <row r="500" spans="1:15">
      <c r="A500" t="s">
        <v>1166</v>
      </c>
      <c r="B500" t="s">
        <v>11757</v>
      </c>
      <c r="C500" t="s">
        <v>12050</v>
      </c>
      <c r="D500" t="s">
        <v>1165</v>
      </c>
      <c r="E500" t="b">
        <v>0</v>
      </c>
      <c r="F500" t="s">
        <v>11624</v>
      </c>
      <c r="G500">
        <v>2.3621300000000001</v>
      </c>
      <c r="H500">
        <v>31.0016</v>
      </c>
      <c r="I500" t="s">
        <v>1168</v>
      </c>
      <c r="L500">
        <v>0</v>
      </c>
      <c r="M500">
        <v>0</v>
      </c>
      <c r="N500">
        <v>4</v>
      </c>
      <c r="O500" t="s">
        <v>13208</v>
      </c>
    </row>
    <row r="501" spans="1:15">
      <c r="A501" t="s">
        <v>13209</v>
      </c>
      <c r="B501" t="s">
        <v>13210</v>
      </c>
      <c r="C501" t="s">
        <v>13211</v>
      </c>
      <c r="D501" t="s">
        <v>13212</v>
      </c>
      <c r="E501" t="b">
        <v>0</v>
      </c>
      <c r="F501" t="s">
        <v>11624</v>
      </c>
      <c r="G501">
        <v>60.384399999999999</v>
      </c>
      <c r="H501">
        <v>165.65299999999999</v>
      </c>
      <c r="I501" t="s">
        <v>13213</v>
      </c>
      <c r="L501">
        <v>0</v>
      </c>
      <c r="M501">
        <v>0</v>
      </c>
      <c r="N501">
        <v>3</v>
      </c>
      <c r="O501" t="s">
        <v>12748</v>
      </c>
    </row>
    <row r="502" spans="1:15">
      <c r="A502" t="s">
        <v>13214</v>
      </c>
      <c r="B502" t="s">
        <v>13210</v>
      </c>
      <c r="C502" t="s">
        <v>13209</v>
      </c>
      <c r="D502" t="s">
        <v>13215</v>
      </c>
      <c r="E502" t="b">
        <v>0</v>
      </c>
      <c r="F502" t="s">
        <v>11610</v>
      </c>
      <c r="L502">
        <v>0</v>
      </c>
      <c r="M502">
        <v>0</v>
      </c>
      <c r="N502">
        <v>0</v>
      </c>
    </row>
    <row r="503" spans="1:15">
      <c r="A503" t="s">
        <v>13216</v>
      </c>
      <c r="B503" t="s">
        <v>6742</v>
      </c>
      <c r="C503" t="s">
        <v>12818</v>
      </c>
      <c r="D503" t="s">
        <v>13217</v>
      </c>
      <c r="E503" t="b">
        <v>0</v>
      </c>
      <c r="F503" t="s">
        <v>11610</v>
      </c>
      <c r="L503">
        <v>0</v>
      </c>
      <c r="M503">
        <v>0</v>
      </c>
      <c r="N503">
        <v>0</v>
      </c>
    </row>
    <row r="504" spans="1:15">
      <c r="A504" t="s">
        <v>13218</v>
      </c>
      <c r="B504" t="s">
        <v>367</v>
      </c>
      <c r="C504" t="s">
        <v>13219</v>
      </c>
      <c r="D504" t="s">
        <v>13220</v>
      </c>
      <c r="E504" t="b">
        <v>0</v>
      </c>
      <c r="F504" t="s">
        <v>11610</v>
      </c>
      <c r="L504">
        <v>0</v>
      </c>
      <c r="M504">
        <v>0</v>
      </c>
      <c r="N504">
        <v>0</v>
      </c>
    </row>
    <row r="505" spans="1:15">
      <c r="A505" t="s">
        <v>13221</v>
      </c>
      <c r="B505" t="s">
        <v>11637</v>
      </c>
      <c r="C505" t="s">
        <v>13222</v>
      </c>
      <c r="D505" t="s">
        <v>13223</v>
      </c>
      <c r="E505" t="b">
        <v>0</v>
      </c>
      <c r="F505" t="s">
        <v>11624</v>
      </c>
      <c r="G505">
        <v>35.0075</v>
      </c>
      <c r="H505">
        <v>50.379399999999997</v>
      </c>
      <c r="I505" t="s">
        <v>13224</v>
      </c>
      <c r="L505">
        <v>0</v>
      </c>
      <c r="M505">
        <v>0</v>
      </c>
      <c r="N505">
        <v>2</v>
      </c>
      <c r="O505" t="s">
        <v>13225</v>
      </c>
    </row>
    <row r="506" spans="1:15">
      <c r="A506" t="s">
        <v>13226</v>
      </c>
      <c r="B506" t="s">
        <v>11637</v>
      </c>
      <c r="C506" t="s">
        <v>13221</v>
      </c>
      <c r="D506" t="s">
        <v>13227</v>
      </c>
      <c r="E506" t="b">
        <v>0</v>
      </c>
      <c r="F506" t="s">
        <v>11610</v>
      </c>
      <c r="L506">
        <v>0</v>
      </c>
      <c r="M506">
        <v>0</v>
      </c>
      <c r="N506">
        <v>0</v>
      </c>
    </row>
    <row r="507" spans="1:15">
      <c r="A507" t="s">
        <v>13228</v>
      </c>
      <c r="B507" t="s">
        <v>10597</v>
      </c>
      <c r="C507" t="s">
        <v>2625</v>
      </c>
      <c r="D507" t="s">
        <v>13229</v>
      </c>
      <c r="E507" t="b">
        <v>0</v>
      </c>
      <c r="F507" t="s">
        <v>11624</v>
      </c>
      <c r="G507">
        <v>-21.0427</v>
      </c>
      <c r="H507">
        <v>136.83500000000001</v>
      </c>
      <c r="I507" t="s">
        <v>13230</v>
      </c>
      <c r="L507">
        <v>0</v>
      </c>
      <c r="M507">
        <v>0</v>
      </c>
      <c r="N507">
        <v>0</v>
      </c>
      <c r="O507" t="s">
        <v>12107</v>
      </c>
    </row>
    <row r="508" spans="1:15">
      <c r="A508" t="s">
        <v>13231</v>
      </c>
      <c r="B508" t="s">
        <v>12311</v>
      </c>
      <c r="C508" t="s">
        <v>13232</v>
      </c>
      <c r="D508" t="s">
        <v>13233</v>
      </c>
      <c r="E508" t="b">
        <v>0</v>
      </c>
      <c r="F508" t="s">
        <v>11610</v>
      </c>
      <c r="L508">
        <v>0</v>
      </c>
      <c r="M508">
        <v>0</v>
      </c>
      <c r="N508">
        <v>0</v>
      </c>
    </row>
    <row r="509" spans="1:15">
      <c r="A509" t="s">
        <v>13234</v>
      </c>
      <c r="B509" t="s">
        <v>11637</v>
      </c>
      <c r="C509" t="s">
        <v>12824</v>
      </c>
      <c r="D509" t="s">
        <v>13235</v>
      </c>
      <c r="E509" t="b">
        <v>0</v>
      </c>
      <c r="F509" t="s">
        <v>11610</v>
      </c>
      <c r="L509">
        <v>0</v>
      </c>
      <c r="M509">
        <v>0</v>
      </c>
      <c r="N509">
        <v>0</v>
      </c>
    </row>
    <row r="510" spans="1:15">
      <c r="A510" t="s">
        <v>13236</v>
      </c>
      <c r="B510" t="s">
        <v>11607</v>
      </c>
      <c r="C510" t="s">
        <v>13237</v>
      </c>
      <c r="D510" t="s">
        <v>13238</v>
      </c>
      <c r="E510" t="b">
        <v>0</v>
      </c>
      <c r="F510" t="s">
        <v>11610</v>
      </c>
      <c r="L510">
        <v>0</v>
      </c>
      <c r="M510">
        <v>0</v>
      </c>
      <c r="N510">
        <v>0</v>
      </c>
    </row>
    <row r="511" spans="1:15">
      <c r="A511" t="s">
        <v>13239</v>
      </c>
      <c r="B511" t="s">
        <v>367</v>
      </c>
      <c r="C511" t="s">
        <v>13240</v>
      </c>
      <c r="D511" t="s">
        <v>13241</v>
      </c>
      <c r="E511" t="b">
        <v>0</v>
      </c>
      <c r="F511" t="s">
        <v>11624</v>
      </c>
      <c r="G511">
        <v>-3.3202799999999999</v>
      </c>
      <c r="H511">
        <v>128.93899999999999</v>
      </c>
      <c r="I511" t="s">
        <v>13242</v>
      </c>
      <c r="L511">
        <v>0</v>
      </c>
      <c r="M511">
        <v>0</v>
      </c>
      <c r="N511">
        <v>3</v>
      </c>
      <c r="O511" t="s">
        <v>11768</v>
      </c>
    </row>
    <row r="512" spans="1:15">
      <c r="A512" t="s">
        <v>13243</v>
      </c>
      <c r="B512" t="s">
        <v>13244</v>
      </c>
      <c r="C512" t="s">
        <v>13245</v>
      </c>
      <c r="D512" t="s">
        <v>13246</v>
      </c>
      <c r="E512" t="b">
        <v>0</v>
      </c>
      <c r="F512" t="s">
        <v>11624</v>
      </c>
      <c r="G512">
        <v>-10.2012</v>
      </c>
      <c r="H512">
        <v>-72.320800000000006</v>
      </c>
      <c r="I512" t="s">
        <v>13247</v>
      </c>
      <c r="L512">
        <v>0</v>
      </c>
      <c r="M512">
        <v>0</v>
      </c>
      <c r="N512">
        <v>2</v>
      </c>
      <c r="O512" t="s">
        <v>13248</v>
      </c>
    </row>
    <row r="513" spans="1:15">
      <c r="A513" t="s">
        <v>13249</v>
      </c>
      <c r="B513" t="s">
        <v>11615</v>
      </c>
      <c r="C513" t="s">
        <v>13250</v>
      </c>
      <c r="D513" t="s">
        <v>13251</v>
      </c>
      <c r="E513" t="b">
        <v>0</v>
      </c>
      <c r="F513" t="s">
        <v>11624</v>
      </c>
      <c r="G513">
        <v>-5.1874200000000004</v>
      </c>
      <c r="H513">
        <v>145.36799999999999</v>
      </c>
      <c r="I513" t="s">
        <v>13252</v>
      </c>
      <c r="L513">
        <v>0</v>
      </c>
      <c r="M513">
        <v>0</v>
      </c>
      <c r="N513">
        <v>0</v>
      </c>
      <c r="O513" t="s">
        <v>11660</v>
      </c>
    </row>
    <row r="514" spans="1:15">
      <c r="A514" t="s">
        <v>13253</v>
      </c>
      <c r="B514" t="s">
        <v>11615</v>
      </c>
      <c r="C514" t="s">
        <v>13254</v>
      </c>
      <c r="D514" t="s">
        <v>13255</v>
      </c>
      <c r="E514" t="b">
        <v>0</v>
      </c>
      <c r="F514" t="s">
        <v>11610</v>
      </c>
      <c r="L514">
        <v>0</v>
      </c>
      <c r="M514">
        <v>0</v>
      </c>
      <c r="N514">
        <v>0</v>
      </c>
    </row>
    <row r="515" spans="1:15">
      <c r="A515" t="s">
        <v>13256</v>
      </c>
      <c r="B515" t="s">
        <v>11705</v>
      </c>
      <c r="C515" t="s">
        <v>11705</v>
      </c>
      <c r="D515" t="s">
        <v>13257</v>
      </c>
      <c r="E515" t="b">
        <v>0</v>
      </c>
      <c r="F515" t="s">
        <v>11624</v>
      </c>
      <c r="G515">
        <v>-4.0451699999999997</v>
      </c>
      <c r="H515">
        <v>141.995</v>
      </c>
      <c r="I515" t="s">
        <v>13258</v>
      </c>
      <c r="L515">
        <v>0</v>
      </c>
      <c r="M515">
        <v>0</v>
      </c>
      <c r="N515">
        <v>0</v>
      </c>
      <c r="O515" t="s">
        <v>11660</v>
      </c>
    </row>
    <row r="516" spans="1:15">
      <c r="A516" t="s">
        <v>13259</v>
      </c>
      <c r="B516" t="s">
        <v>367</v>
      </c>
      <c r="C516" t="s">
        <v>13260</v>
      </c>
      <c r="D516" t="s">
        <v>13261</v>
      </c>
      <c r="E516" t="b">
        <v>0</v>
      </c>
      <c r="F516" t="s">
        <v>11622</v>
      </c>
      <c r="L516">
        <v>2</v>
      </c>
      <c r="M516">
        <v>7</v>
      </c>
      <c r="N516">
        <v>9</v>
      </c>
    </row>
    <row r="517" spans="1:15">
      <c r="A517" t="s">
        <v>6162</v>
      </c>
      <c r="B517" t="s">
        <v>4342</v>
      </c>
      <c r="C517" t="s">
        <v>13262</v>
      </c>
      <c r="D517" t="s">
        <v>3403</v>
      </c>
      <c r="E517" t="b">
        <v>0</v>
      </c>
      <c r="F517" t="s">
        <v>11622</v>
      </c>
      <c r="L517">
        <v>3</v>
      </c>
      <c r="M517">
        <v>6</v>
      </c>
      <c r="N517">
        <v>6</v>
      </c>
    </row>
    <row r="518" spans="1:15">
      <c r="A518" t="s">
        <v>13263</v>
      </c>
      <c r="B518" t="s">
        <v>13264</v>
      </c>
      <c r="C518" t="s">
        <v>13265</v>
      </c>
      <c r="D518" t="s">
        <v>13266</v>
      </c>
      <c r="E518" t="b">
        <v>0</v>
      </c>
      <c r="F518" t="s">
        <v>11624</v>
      </c>
      <c r="G518">
        <v>-7.8498210000000004</v>
      </c>
      <c r="H518">
        <v>146.958832</v>
      </c>
      <c r="L518">
        <v>0</v>
      </c>
      <c r="M518">
        <v>0</v>
      </c>
      <c r="N518">
        <v>0</v>
      </c>
      <c r="O518" t="s">
        <v>11660</v>
      </c>
    </row>
    <row r="519" spans="1:15">
      <c r="A519" t="s">
        <v>13267</v>
      </c>
      <c r="B519" t="s">
        <v>11981</v>
      </c>
      <c r="C519" t="s">
        <v>11982</v>
      </c>
      <c r="D519" t="s">
        <v>13268</v>
      </c>
      <c r="E519" t="b">
        <v>0</v>
      </c>
      <c r="F519" t="s">
        <v>11624</v>
      </c>
      <c r="G519">
        <v>28.268371999999999</v>
      </c>
      <c r="H519">
        <v>129.358991</v>
      </c>
      <c r="L519">
        <v>0</v>
      </c>
      <c r="M519">
        <v>0</v>
      </c>
      <c r="N519">
        <v>0</v>
      </c>
      <c r="O519" t="s">
        <v>12539</v>
      </c>
    </row>
    <row r="520" spans="1:15">
      <c r="A520" t="s">
        <v>13269</v>
      </c>
      <c r="B520" t="s">
        <v>6742</v>
      </c>
      <c r="C520" t="s">
        <v>13270</v>
      </c>
      <c r="D520" t="s">
        <v>13271</v>
      </c>
      <c r="E520" t="b">
        <v>0</v>
      </c>
      <c r="F520" t="s">
        <v>11610</v>
      </c>
      <c r="L520">
        <v>0</v>
      </c>
      <c r="M520">
        <v>0</v>
      </c>
      <c r="N520">
        <v>0</v>
      </c>
    </row>
    <row r="521" spans="1:15">
      <c r="A521" t="s">
        <v>13272</v>
      </c>
      <c r="B521" t="s">
        <v>6742</v>
      </c>
      <c r="C521" t="s">
        <v>13273</v>
      </c>
      <c r="D521" t="s">
        <v>13274</v>
      </c>
      <c r="E521" t="b">
        <v>0</v>
      </c>
      <c r="F521" t="s">
        <v>11610</v>
      </c>
      <c r="L521">
        <v>0</v>
      </c>
      <c r="M521">
        <v>0</v>
      </c>
      <c r="N521">
        <v>0</v>
      </c>
    </row>
    <row r="522" spans="1:15">
      <c r="A522" t="s">
        <v>13275</v>
      </c>
      <c r="B522" t="s">
        <v>13276</v>
      </c>
      <c r="C522" t="s">
        <v>13277</v>
      </c>
      <c r="D522" t="s">
        <v>13278</v>
      </c>
      <c r="E522" t="b">
        <v>0</v>
      </c>
      <c r="F522" t="s">
        <v>11610</v>
      </c>
      <c r="L522">
        <v>0</v>
      </c>
      <c r="M522">
        <v>0</v>
      </c>
      <c r="N522">
        <v>0</v>
      </c>
    </row>
    <row r="523" spans="1:15">
      <c r="A523" t="s">
        <v>13279</v>
      </c>
      <c r="B523" t="s">
        <v>367</v>
      </c>
      <c r="C523" t="s">
        <v>13280</v>
      </c>
      <c r="D523" t="s">
        <v>13281</v>
      </c>
      <c r="E523" t="b">
        <v>0</v>
      </c>
      <c r="F523" t="s">
        <v>11610</v>
      </c>
      <c r="L523">
        <v>0</v>
      </c>
      <c r="M523">
        <v>0</v>
      </c>
      <c r="N523">
        <v>0</v>
      </c>
    </row>
    <row r="524" spans="1:15">
      <c r="A524" t="s">
        <v>13282</v>
      </c>
      <c r="B524" t="s">
        <v>12532</v>
      </c>
      <c r="C524" t="s">
        <v>13283</v>
      </c>
      <c r="D524" t="s">
        <v>13284</v>
      </c>
      <c r="E524" t="b">
        <v>0</v>
      </c>
      <c r="F524" t="s">
        <v>11624</v>
      </c>
      <c r="G524">
        <v>-3.5151599999999998</v>
      </c>
      <c r="H524">
        <v>141.178</v>
      </c>
      <c r="I524" t="s">
        <v>13285</v>
      </c>
      <c r="L524">
        <v>0</v>
      </c>
      <c r="M524">
        <v>0</v>
      </c>
      <c r="N524">
        <v>0</v>
      </c>
      <c r="O524" t="s">
        <v>11660</v>
      </c>
    </row>
    <row r="525" spans="1:15">
      <c r="A525" t="s">
        <v>13286</v>
      </c>
      <c r="B525" t="s">
        <v>11912</v>
      </c>
      <c r="C525" t="s">
        <v>13287</v>
      </c>
      <c r="D525" t="s">
        <v>13288</v>
      </c>
      <c r="E525" t="b">
        <v>0</v>
      </c>
      <c r="F525" t="s">
        <v>11624</v>
      </c>
      <c r="G525">
        <v>-3.79772</v>
      </c>
      <c r="H525">
        <v>-48.661299999999997</v>
      </c>
      <c r="I525" t="s">
        <v>13289</v>
      </c>
      <c r="L525">
        <v>0</v>
      </c>
      <c r="M525">
        <v>0</v>
      </c>
      <c r="N525">
        <v>0</v>
      </c>
      <c r="O525" t="s">
        <v>11969</v>
      </c>
    </row>
    <row r="526" spans="1:15">
      <c r="A526" t="s">
        <v>13290</v>
      </c>
      <c r="B526" t="s">
        <v>13291</v>
      </c>
      <c r="C526" t="s">
        <v>13292</v>
      </c>
      <c r="D526" t="s">
        <v>13293</v>
      </c>
      <c r="E526" t="b">
        <v>0</v>
      </c>
      <c r="F526" t="s">
        <v>11624</v>
      </c>
      <c r="G526">
        <v>-4.2019200000000003</v>
      </c>
      <c r="H526">
        <v>141.65799999999999</v>
      </c>
      <c r="I526" t="s">
        <v>13294</v>
      </c>
      <c r="L526">
        <v>0</v>
      </c>
      <c r="M526">
        <v>0</v>
      </c>
      <c r="N526">
        <v>0</v>
      </c>
      <c r="O526" t="s">
        <v>11660</v>
      </c>
    </row>
    <row r="527" spans="1:15">
      <c r="A527" t="s">
        <v>13295</v>
      </c>
      <c r="B527" t="s">
        <v>11627</v>
      </c>
      <c r="C527" t="s">
        <v>11627</v>
      </c>
      <c r="D527" t="s">
        <v>13296</v>
      </c>
      <c r="E527" t="b">
        <v>1</v>
      </c>
      <c r="F527" t="s">
        <v>11624</v>
      </c>
      <c r="I527" t="s">
        <v>13297</v>
      </c>
      <c r="L527">
        <v>0</v>
      </c>
      <c r="M527">
        <v>0</v>
      </c>
      <c r="N527">
        <v>0</v>
      </c>
    </row>
    <row r="528" spans="1:15">
      <c r="A528" t="s">
        <v>13298</v>
      </c>
      <c r="B528" t="s">
        <v>11894</v>
      </c>
      <c r="C528" t="s">
        <v>13299</v>
      </c>
      <c r="D528" t="s">
        <v>13300</v>
      </c>
      <c r="E528" t="b">
        <v>0</v>
      </c>
      <c r="F528" t="s">
        <v>11610</v>
      </c>
      <c r="L528">
        <v>0</v>
      </c>
      <c r="M528">
        <v>0</v>
      </c>
      <c r="N528">
        <v>0</v>
      </c>
    </row>
    <row r="529" spans="1:15">
      <c r="A529" t="s">
        <v>13301</v>
      </c>
      <c r="B529" t="s">
        <v>13302</v>
      </c>
      <c r="C529" t="s">
        <v>13302</v>
      </c>
      <c r="D529" t="s">
        <v>13303</v>
      </c>
      <c r="E529" t="b">
        <v>0</v>
      </c>
      <c r="F529" t="s">
        <v>11624</v>
      </c>
      <c r="G529">
        <v>-11.9876</v>
      </c>
      <c r="H529">
        <v>132.87799999999999</v>
      </c>
      <c r="I529" t="s">
        <v>13304</v>
      </c>
      <c r="L529">
        <v>0</v>
      </c>
      <c r="M529">
        <v>0</v>
      </c>
      <c r="N529">
        <v>0</v>
      </c>
      <c r="O529" t="s">
        <v>12107</v>
      </c>
    </row>
    <row r="530" spans="1:15">
      <c r="A530" t="s">
        <v>13305</v>
      </c>
      <c r="B530" t="s">
        <v>367</v>
      </c>
      <c r="C530" t="s">
        <v>13306</v>
      </c>
      <c r="D530" t="s">
        <v>13307</v>
      </c>
      <c r="E530" t="b">
        <v>0</v>
      </c>
      <c r="F530" t="s">
        <v>11624</v>
      </c>
      <c r="G530">
        <v>-5.5577800000000002</v>
      </c>
      <c r="H530">
        <v>148.68</v>
      </c>
      <c r="I530" t="s">
        <v>13308</v>
      </c>
      <c r="L530">
        <v>0</v>
      </c>
      <c r="M530">
        <v>0</v>
      </c>
      <c r="N530">
        <v>0</v>
      </c>
      <c r="O530" t="s">
        <v>11660</v>
      </c>
    </row>
    <row r="531" spans="1:15">
      <c r="A531" t="s">
        <v>13309</v>
      </c>
      <c r="B531" t="s">
        <v>367</v>
      </c>
      <c r="C531" t="s">
        <v>13310</v>
      </c>
      <c r="D531" t="s">
        <v>13311</v>
      </c>
      <c r="E531" t="b">
        <v>0</v>
      </c>
      <c r="F531" t="s">
        <v>11624</v>
      </c>
      <c r="G531">
        <v>-10.217510000000001</v>
      </c>
      <c r="H531">
        <v>123.96373</v>
      </c>
      <c r="I531" t="s">
        <v>13312</v>
      </c>
      <c r="L531">
        <v>0</v>
      </c>
      <c r="M531">
        <v>0</v>
      </c>
      <c r="N531">
        <v>4</v>
      </c>
      <c r="O531" t="s">
        <v>11768</v>
      </c>
    </row>
    <row r="532" spans="1:15">
      <c r="A532" t="s">
        <v>13313</v>
      </c>
      <c r="B532" t="s">
        <v>13314</v>
      </c>
      <c r="C532" t="s">
        <v>13314</v>
      </c>
      <c r="D532" t="s">
        <v>13315</v>
      </c>
      <c r="E532" t="b">
        <v>0</v>
      </c>
      <c r="F532" t="s">
        <v>11624</v>
      </c>
      <c r="G532">
        <v>-12.4931</v>
      </c>
      <c r="H532">
        <v>-70.553299999999993</v>
      </c>
      <c r="I532" t="s">
        <v>13316</v>
      </c>
      <c r="L532">
        <v>0</v>
      </c>
      <c r="M532">
        <v>0</v>
      </c>
      <c r="N532">
        <v>1</v>
      </c>
      <c r="O532" t="s">
        <v>11778</v>
      </c>
    </row>
    <row r="533" spans="1:15">
      <c r="A533" t="s">
        <v>13317</v>
      </c>
      <c r="B533" t="s">
        <v>978</v>
      </c>
      <c r="C533" t="s">
        <v>13318</v>
      </c>
      <c r="D533" t="s">
        <v>13319</v>
      </c>
      <c r="E533" t="b">
        <v>0</v>
      </c>
      <c r="F533" t="s">
        <v>11610</v>
      </c>
      <c r="L533">
        <v>0</v>
      </c>
      <c r="M533">
        <v>0</v>
      </c>
      <c r="N533">
        <v>0</v>
      </c>
    </row>
    <row r="534" spans="1:15">
      <c r="A534" t="s">
        <v>13320</v>
      </c>
      <c r="B534" t="s">
        <v>11607</v>
      </c>
      <c r="C534" t="s">
        <v>11648</v>
      </c>
      <c r="D534" t="s">
        <v>13321</v>
      </c>
      <c r="E534" t="b">
        <v>0</v>
      </c>
      <c r="F534" t="s">
        <v>11610</v>
      </c>
      <c r="L534">
        <v>0</v>
      </c>
      <c r="M534">
        <v>0</v>
      </c>
      <c r="N534">
        <v>0</v>
      </c>
    </row>
    <row r="535" spans="1:15">
      <c r="A535" t="s">
        <v>13322</v>
      </c>
      <c r="B535" t="s">
        <v>12214</v>
      </c>
      <c r="C535" t="s">
        <v>12214</v>
      </c>
      <c r="D535" t="s">
        <v>13323</v>
      </c>
      <c r="E535" t="b">
        <v>0</v>
      </c>
      <c r="F535" t="s">
        <v>11624</v>
      </c>
      <c r="G535">
        <v>12.099299999999999</v>
      </c>
      <c r="H535">
        <v>29.433199999999999</v>
      </c>
      <c r="I535" t="s">
        <v>13324</v>
      </c>
      <c r="L535">
        <v>0</v>
      </c>
      <c r="M535">
        <v>0</v>
      </c>
      <c r="N535">
        <v>0</v>
      </c>
      <c r="O535" t="s">
        <v>11910</v>
      </c>
    </row>
    <row r="536" spans="1:15">
      <c r="A536" t="s">
        <v>13325</v>
      </c>
      <c r="B536" t="s">
        <v>11879</v>
      </c>
      <c r="C536" t="s">
        <v>13326</v>
      </c>
      <c r="D536" t="s">
        <v>13327</v>
      </c>
      <c r="E536" t="b">
        <v>0</v>
      </c>
      <c r="F536" t="s">
        <v>11624</v>
      </c>
      <c r="G536">
        <v>16.270700000000001</v>
      </c>
      <c r="H536">
        <v>-96.400300000000001</v>
      </c>
      <c r="I536" t="s">
        <v>13328</v>
      </c>
      <c r="L536">
        <v>0</v>
      </c>
      <c r="M536">
        <v>0</v>
      </c>
      <c r="N536">
        <v>0</v>
      </c>
      <c r="O536" t="s">
        <v>11883</v>
      </c>
    </row>
    <row r="537" spans="1:15">
      <c r="A537" t="s">
        <v>13329</v>
      </c>
      <c r="B537" t="s">
        <v>6742</v>
      </c>
      <c r="C537" t="s">
        <v>13273</v>
      </c>
      <c r="D537" t="s">
        <v>13330</v>
      </c>
      <c r="E537" t="b">
        <v>0</v>
      </c>
      <c r="F537" t="s">
        <v>11610</v>
      </c>
      <c r="L537">
        <v>0</v>
      </c>
      <c r="M537">
        <v>0</v>
      </c>
      <c r="N537">
        <v>0</v>
      </c>
    </row>
    <row r="538" spans="1:15">
      <c r="A538" t="s">
        <v>13331</v>
      </c>
      <c r="B538" t="s">
        <v>6742</v>
      </c>
      <c r="C538" t="s">
        <v>13332</v>
      </c>
      <c r="D538" t="s">
        <v>13333</v>
      </c>
      <c r="E538" t="b">
        <v>0</v>
      </c>
      <c r="F538" t="s">
        <v>11624</v>
      </c>
      <c r="G538">
        <v>0.81206</v>
      </c>
      <c r="H538">
        <v>30.0014</v>
      </c>
      <c r="I538" t="s">
        <v>13334</v>
      </c>
      <c r="L538">
        <v>0</v>
      </c>
      <c r="M538">
        <v>0</v>
      </c>
      <c r="N538">
        <v>3</v>
      </c>
      <c r="O538" t="s">
        <v>13208</v>
      </c>
    </row>
    <row r="539" spans="1:15">
      <c r="A539" t="s">
        <v>13335</v>
      </c>
      <c r="B539" t="s">
        <v>367</v>
      </c>
      <c r="C539" t="s">
        <v>13336</v>
      </c>
      <c r="D539" t="s">
        <v>13337</v>
      </c>
      <c r="E539" t="b">
        <v>0</v>
      </c>
      <c r="F539" t="s">
        <v>11610</v>
      </c>
      <c r="L539">
        <v>0</v>
      </c>
      <c r="M539">
        <v>0</v>
      </c>
      <c r="N539">
        <v>0</v>
      </c>
    </row>
    <row r="540" spans="1:15">
      <c r="A540" t="s">
        <v>13338</v>
      </c>
      <c r="B540" t="s">
        <v>367</v>
      </c>
      <c r="C540" t="s">
        <v>13339</v>
      </c>
      <c r="D540" t="s">
        <v>13340</v>
      </c>
      <c r="E540" t="b">
        <v>0</v>
      </c>
      <c r="F540" t="s">
        <v>11624</v>
      </c>
      <c r="G540">
        <v>-1.8812599999999999</v>
      </c>
      <c r="H540">
        <v>136.52600000000001</v>
      </c>
      <c r="I540" t="s">
        <v>13341</v>
      </c>
      <c r="L540">
        <v>0</v>
      </c>
      <c r="M540">
        <v>0</v>
      </c>
      <c r="N540">
        <v>3</v>
      </c>
      <c r="O540" t="s">
        <v>11768</v>
      </c>
    </row>
    <row r="541" spans="1:15">
      <c r="A541" t="s">
        <v>13342</v>
      </c>
      <c r="B541" t="s">
        <v>367</v>
      </c>
      <c r="C541" t="s">
        <v>13343</v>
      </c>
      <c r="D541" t="s">
        <v>13344</v>
      </c>
      <c r="E541" t="b">
        <v>0</v>
      </c>
      <c r="F541" t="s">
        <v>11624</v>
      </c>
      <c r="G541">
        <v>-11.2958</v>
      </c>
      <c r="H541">
        <v>166.49799999999999</v>
      </c>
      <c r="I541" t="s">
        <v>13345</v>
      </c>
      <c r="L541">
        <v>0</v>
      </c>
      <c r="M541">
        <v>0</v>
      </c>
      <c r="N541">
        <v>0</v>
      </c>
      <c r="O541" t="s">
        <v>13346</v>
      </c>
    </row>
    <row r="542" spans="1:15">
      <c r="A542" t="s">
        <v>13347</v>
      </c>
      <c r="B542" t="s">
        <v>367</v>
      </c>
      <c r="C542" t="s">
        <v>11740</v>
      </c>
      <c r="D542" t="s">
        <v>13348</v>
      </c>
      <c r="E542" t="b">
        <v>0</v>
      </c>
      <c r="F542" t="s">
        <v>11624</v>
      </c>
      <c r="G542">
        <v>14.8156</v>
      </c>
      <c r="H542">
        <v>120.283</v>
      </c>
      <c r="I542" t="s">
        <v>13349</v>
      </c>
      <c r="L542">
        <v>0</v>
      </c>
      <c r="M542">
        <v>0</v>
      </c>
      <c r="N542">
        <v>0</v>
      </c>
      <c r="O542" t="s">
        <v>11749</v>
      </c>
    </row>
    <row r="543" spans="1:15">
      <c r="A543" t="s">
        <v>13350</v>
      </c>
      <c r="B543" t="s">
        <v>11615</v>
      </c>
      <c r="C543" t="s">
        <v>13351</v>
      </c>
      <c r="D543" t="s">
        <v>13352</v>
      </c>
      <c r="E543" t="b">
        <v>0</v>
      </c>
      <c r="F543" t="s">
        <v>11610</v>
      </c>
      <c r="L543">
        <v>0</v>
      </c>
      <c r="M543">
        <v>0</v>
      </c>
      <c r="N543">
        <v>0</v>
      </c>
    </row>
    <row r="544" spans="1:15">
      <c r="A544" t="s">
        <v>13353</v>
      </c>
      <c r="D544" t="s">
        <v>13354</v>
      </c>
      <c r="E544" t="b">
        <v>0</v>
      </c>
      <c r="F544" t="s">
        <v>11624</v>
      </c>
      <c r="G544">
        <v>-4.2318100000000003</v>
      </c>
      <c r="H544">
        <v>144.285</v>
      </c>
      <c r="I544" t="s">
        <v>13355</v>
      </c>
      <c r="L544">
        <v>0</v>
      </c>
      <c r="M544">
        <v>0</v>
      </c>
      <c r="N544">
        <v>2</v>
      </c>
      <c r="O544" t="s">
        <v>11660</v>
      </c>
    </row>
    <row r="545" spans="1:15">
      <c r="A545" t="s">
        <v>13356</v>
      </c>
      <c r="B545" t="s">
        <v>367</v>
      </c>
      <c r="C545" t="s">
        <v>13357</v>
      </c>
      <c r="D545" t="s">
        <v>13358</v>
      </c>
      <c r="E545" t="b">
        <v>0</v>
      </c>
      <c r="F545" t="s">
        <v>11622</v>
      </c>
      <c r="L545">
        <v>0</v>
      </c>
      <c r="M545">
        <v>2</v>
      </c>
      <c r="N545">
        <v>5</v>
      </c>
    </row>
    <row r="546" spans="1:15">
      <c r="A546" t="s">
        <v>13359</v>
      </c>
      <c r="B546" t="s">
        <v>13360</v>
      </c>
      <c r="C546" t="s">
        <v>13360</v>
      </c>
      <c r="D546" t="s">
        <v>13361</v>
      </c>
      <c r="E546" t="b">
        <v>0</v>
      </c>
      <c r="F546" t="s">
        <v>11624</v>
      </c>
      <c r="G546">
        <v>-1.763355</v>
      </c>
      <c r="H546">
        <v>137.903651</v>
      </c>
      <c r="L546">
        <v>0</v>
      </c>
      <c r="M546">
        <v>0</v>
      </c>
      <c r="N546">
        <v>0</v>
      </c>
      <c r="O546" t="s">
        <v>11768</v>
      </c>
    </row>
    <row r="547" spans="1:15">
      <c r="A547" t="s">
        <v>13362</v>
      </c>
      <c r="B547" t="s">
        <v>6742</v>
      </c>
      <c r="C547" t="s">
        <v>13363</v>
      </c>
      <c r="D547" t="s">
        <v>13364</v>
      </c>
      <c r="E547" t="b">
        <v>0</v>
      </c>
      <c r="F547" t="s">
        <v>11624</v>
      </c>
      <c r="G547">
        <v>5.9404300000000001</v>
      </c>
      <c r="H547">
        <v>9.6202799999999993</v>
      </c>
      <c r="I547" t="s">
        <v>13365</v>
      </c>
      <c r="L547">
        <v>0</v>
      </c>
      <c r="M547">
        <v>0</v>
      </c>
      <c r="N547">
        <v>0</v>
      </c>
      <c r="O547" t="s">
        <v>11703</v>
      </c>
    </row>
    <row r="548" spans="1:15">
      <c r="A548" t="s">
        <v>13366</v>
      </c>
      <c r="B548" t="s">
        <v>367</v>
      </c>
      <c r="C548" t="s">
        <v>13367</v>
      </c>
      <c r="D548" t="s">
        <v>13368</v>
      </c>
      <c r="E548" t="b">
        <v>0</v>
      </c>
      <c r="F548" t="s">
        <v>11624</v>
      </c>
      <c r="G548">
        <v>-3.8591899999999999</v>
      </c>
      <c r="H548">
        <v>127.196</v>
      </c>
      <c r="I548" t="s">
        <v>13369</v>
      </c>
      <c r="L548">
        <v>0</v>
      </c>
      <c r="M548">
        <v>0</v>
      </c>
      <c r="N548">
        <v>0</v>
      </c>
      <c r="O548" t="s">
        <v>11768</v>
      </c>
    </row>
    <row r="549" spans="1:15">
      <c r="A549" t="s">
        <v>13370</v>
      </c>
      <c r="B549" t="s">
        <v>367</v>
      </c>
      <c r="C549" t="s">
        <v>13371</v>
      </c>
      <c r="D549" t="s">
        <v>13372</v>
      </c>
      <c r="E549" t="b">
        <v>0</v>
      </c>
      <c r="F549" t="s">
        <v>11622</v>
      </c>
      <c r="L549">
        <v>0</v>
      </c>
      <c r="M549">
        <v>2</v>
      </c>
      <c r="N549">
        <v>2</v>
      </c>
    </row>
    <row r="550" spans="1:15">
      <c r="A550" t="s">
        <v>13373</v>
      </c>
      <c r="B550" t="s">
        <v>367</v>
      </c>
      <c r="C550" t="s">
        <v>13374</v>
      </c>
      <c r="D550" t="s">
        <v>13375</v>
      </c>
      <c r="E550" t="b">
        <v>0</v>
      </c>
      <c r="F550" t="s">
        <v>11624</v>
      </c>
      <c r="G550">
        <v>-15.5169</v>
      </c>
      <c r="H550">
        <v>166.95</v>
      </c>
      <c r="I550" t="s">
        <v>13376</v>
      </c>
      <c r="L550">
        <v>0</v>
      </c>
      <c r="M550">
        <v>0</v>
      </c>
      <c r="N550">
        <v>0</v>
      </c>
      <c r="O550" t="s">
        <v>12719</v>
      </c>
    </row>
    <row r="551" spans="1:15">
      <c r="A551" t="s">
        <v>13377</v>
      </c>
      <c r="B551" t="s">
        <v>11637</v>
      </c>
      <c r="C551" t="s">
        <v>13378</v>
      </c>
      <c r="D551" t="s">
        <v>13379</v>
      </c>
      <c r="E551" t="b">
        <v>0</v>
      </c>
      <c r="F551" t="s">
        <v>11610</v>
      </c>
      <c r="L551">
        <v>0</v>
      </c>
      <c r="M551">
        <v>0</v>
      </c>
      <c r="N551">
        <v>0</v>
      </c>
    </row>
    <row r="552" spans="1:15">
      <c r="A552" t="s">
        <v>13380</v>
      </c>
      <c r="B552" t="s">
        <v>6742</v>
      </c>
      <c r="C552" t="s">
        <v>4141</v>
      </c>
      <c r="D552" t="s">
        <v>13381</v>
      </c>
      <c r="E552" t="b">
        <v>0</v>
      </c>
      <c r="F552" t="s">
        <v>11610</v>
      </c>
      <c r="L552">
        <v>0</v>
      </c>
      <c r="M552">
        <v>0</v>
      </c>
      <c r="N552">
        <v>0</v>
      </c>
    </row>
    <row r="553" spans="1:15">
      <c r="A553" t="s">
        <v>13382</v>
      </c>
      <c r="B553" t="s">
        <v>6742</v>
      </c>
      <c r="C553" t="s">
        <v>11799</v>
      </c>
      <c r="D553" t="s">
        <v>13383</v>
      </c>
      <c r="E553" t="b">
        <v>0</v>
      </c>
      <c r="F553" t="s">
        <v>11624</v>
      </c>
      <c r="G553">
        <v>7.0763699999999998</v>
      </c>
      <c r="H553">
        <v>10.7798</v>
      </c>
      <c r="I553" t="s">
        <v>13384</v>
      </c>
      <c r="L553">
        <v>0</v>
      </c>
      <c r="M553">
        <v>0</v>
      </c>
      <c r="N553">
        <v>0</v>
      </c>
      <c r="O553" t="s">
        <v>11693</v>
      </c>
    </row>
    <row r="554" spans="1:15">
      <c r="A554" t="s">
        <v>13385</v>
      </c>
      <c r="B554" t="s">
        <v>367</v>
      </c>
      <c r="C554" t="s">
        <v>13386</v>
      </c>
      <c r="D554" t="s">
        <v>13387</v>
      </c>
      <c r="E554" t="b">
        <v>0</v>
      </c>
      <c r="F554" t="s">
        <v>11624</v>
      </c>
      <c r="G554">
        <v>-3.7134200000000002</v>
      </c>
      <c r="H554">
        <v>128.184</v>
      </c>
      <c r="I554" t="s">
        <v>13388</v>
      </c>
      <c r="L554">
        <v>0</v>
      </c>
      <c r="M554">
        <v>0</v>
      </c>
      <c r="N554">
        <v>1</v>
      </c>
      <c r="O554" t="s">
        <v>11768</v>
      </c>
    </row>
    <row r="555" spans="1:15">
      <c r="A555" t="s">
        <v>13389</v>
      </c>
      <c r="B555" t="s">
        <v>141</v>
      </c>
      <c r="C555" t="s">
        <v>13390</v>
      </c>
      <c r="D555" t="s">
        <v>13391</v>
      </c>
      <c r="E555" t="b">
        <v>0</v>
      </c>
      <c r="F555" t="s">
        <v>11624</v>
      </c>
      <c r="G555">
        <v>-10.5138</v>
      </c>
      <c r="H555">
        <v>-76.113500000000002</v>
      </c>
      <c r="I555" t="s">
        <v>13392</v>
      </c>
      <c r="L555">
        <v>0</v>
      </c>
      <c r="M555">
        <v>0</v>
      </c>
      <c r="N555">
        <v>0</v>
      </c>
      <c r="O555" t="s">
        <v>11778</v>
      </c>
    </row>
    <row r="556" spans="1:15">
      <c r="A556" t="s">
        <v>13386</v>
      </c>
      <c r="B556" t="s">
        <v>367</v>
      </c>
      <c r="C556" t="s">
        <v>13393</v>
      </c>
      <c r="D556" t="s">
        <v>13394</v>
      </c>
      <c r="E556" t="b">
        <v>0</v>
      </c>
      <c r="F556" t="s">
        <v>11622</v>
      </c>
      <c r="L556">
        <v>0</v>
      </c>
      <c r="M556">
        <v>2</v>
      </c>
      <c r="N556">
        <v>1</v>
      </c>
    </row>
    <row r="557" spans="1:15">
      <c r="A557" t="s">
        <v>13395</v>
      </c>
      <c r="B557" t="s">
        <v>367</v>
      </c>
      <c r="C557" t="s">
        <v>13396</v>
      </c>
      <c r="D557" t="s">
        <v>13397</v>
      </c>
      <c r="E557" t="b">
        <v>0</v>
      </c>
      <c r="F557" t="s">
        <v>11622</v>
      </c>
      <c r="L557">
        <v>2</v>
      </c>
      <c r="M557">
        <v>4</v>
      </c>
      <c r="N557">
        <v>11</v>
      </c>
    </row>
    <row r="558" spans="1:15">
      <c r="A558" t="s">
        <v>13398</v>
      </c>
      <c r="B558" t="s">
        <v>11834</v>
      </c>
      <c r="C558" t="s">
        <v>13399</v>
      </c>
      <c r="D558" t="s">
        <v>13400</v>
      </c>
      <c r="E558" t="b">
        <v>0</v>
      </c>
      <c r="F558" t="s">
        <v>11624</v>
      </c>
      <c r="G558">
        <v>-3.61</v>
      </c>
      <c r="H558">
        <v>142.56</v>
      </c>
      <c r="I558" t="s">
        <v>13401</v>
      </c>
      <c r="L558">
        <v>0</v>
      </c>
      <c r="M558">
        <v>0</v>
      </c>
      <c r="N558">
        <v>0</v>
      </c>
      <c r="O558" t="s">
        <v>11660</v>
      </c>
    </row>
    <row r="559" spans="1:15">
      <c r="A559" t="s">
        <v>13402</v>
      </c>
      <c r="B559" t="s">
        <v>367</v>
      </c>
      <c r="C559" t="s">
        <v>13403</v>
      </c>
      <c r="D559" t="s">
        <v>13404</v>
      </c>
      <c r="E559" t="b">
        <v>0</v>
      </c>
      <c r="F559" t="s">
        <v>11622</v>
      </c>
      <c r="L559">
        <v>2</v>
      </c>
      <c r="M559">
        <v>6</v>
      </c>
      <c r="N559">
        <v>9</v>
      </c>
    </row>
    <row r="560" spans="1:15">
      <c r="A560" t="s">
        <v>13405</v>
      </c>
      <c r="B560" t="s">
        <v>367</v>
      </c>
      <c r="C560" t="s">
        <v>12480</v>
      </c>
      <c r="D560" t="s">
        <v>13406</v>
      </c>
      <c r="E560" t="b">
        <v>0</v>
      </c>
      <c r="F560" t="s">
        <v>11610</v>
      </c>
      <c r="L560">
        <v>0</v>
      </c>
      <c r="M560">
        <v>0</v>
      </c>
      <c r="N560">
        <v>0</v>
      </c>
    </row>
    <row r="561" spans="1:15">
      <c r="A561" t="s">
        <v>13407</v>
      </c>
      <c r="B561" t="s">
        <v>367</v>
      </c>
      <c r="C561" t="s">
        <v>13408</v>
      </c>
      <c r="D561" t="s">
        <v>13409</v>
      </c>
      <c r="E561" t="b">
        <v>0</v>
      </c>
      <c r="F561" t="s">
        <v>11610</v>
      </c>
      <c r="L561">
        <v>0</v>
      </c>
      <c r="M561">
        <v>0</v>
      </c>
      <c r="N561">
        <v>0</v>
      </c>
    </row>
    <row r="562" spans="1:15">
      <c r="A562" t="s">
        <v>13410</v>
      </c>
      <c r="B562" t="s">
        <v>13411</v>
      </c>
      <c r="C562" t="s">
        <v>13412</v>
      </c>
      <c r="D562" t="s">
        <v>13413</v>
      </c>
      <c r="E562" t="b">
        <v>0</v>
      </c>
      <c r="F562" t="s">
        <v>11622</v>
      </c>
      <c r="L562">
        <v>0</v>
      </c>
      <c r="M562">
        <v>2</v>
      </c>
      <c r="N562">
        <v>4</v>
      </c>
    </row>
    <row r="563" spans="1:15">
      <c r="A563" t="s">
        <v>13414</v>
      </c>
      <c r="B563" t="s">
        <v>13411</v>
      </c>
      <c r="C563" t="s">
        <v>13410</v>
      </c>
      <c r="D563" t="s">
        <v>13415</v>
      </c>
      <c r="E563" t="b">
        <v>0</v>
      </c>
      <c r="F563" t="s">
        <v>11624</v>
      </c>
      <c r="G563">
        <v>-3.7801</v>
      </c>
      <c r="H563">
        <v>143.059</v>
      </c>
      <c r="I563" t="s">
        <v>13416</v>
      </c>
      <c r="L563">
        <v>0</v>
      </c>
      <c r="M563">
        <v>0</v>
      </c>
      <c r="N563">
        <v>4</v>
      </c>
      <c r="O563" t="s">
        <v>11660</v>
      </c>
    </row>
    <row r="564" spans="1:15">
      <c r="A564" t="s">
        <v>13417</v>
      </c>
      <c r="B564" t="s">
        <v>13418</v>
      </c>
      <c r="C564" t="s">
        <v>13418</v>
      </c>
      <c r="D564" t="s">
        <v>13419</v>
      </c>
      <c r="E564" t="b">
        <v>0</v>
      </c>
      <c r="F564" t="s">
        <v>11624</v>
      </c>
      <c r="G564">
        <v>14.752800000000001</v>
      </c>
      <c r="H564">
        <v>20.891200000000001</v>
      </c>
      <c r="I564" t="s">
        <v>13420</v>
      </c>
      <c r="L564">
        <v>0</v>
      </c>
      <c r="M564">
        <v>0</v>
      </c>
      <c r="N564">
        <v>0</v>
      </c>
      <c r="O564" t="s">
        <v>13421</v>
      </c>
    </row>
    <row r="565" spans="1:15">
      <c r="A565" t="s">
        <v>13422</v>
      </c>
      <c r="B565" t="s">
        <v>11644</v>
      </c>
      <c r="C565" t="s">
        <v>13423</v>
      </c>
      <c r="D565" t="s">
        <v>13424</v>
      </c>
      <c r="E565" t="b">
        <v>0</v>
      </c>
      <c r="F565" t="s">
        <v>11624</v>
      </c>
      <c r="G565">
        <v>34.517699999999998</v>
      </c>
      <c r="H565">
        <v>100.485</v>
      </c>
      <c r="I565" t="s">
        <v>13425</v>
      </c>
      <c r="L565">
        <v>0</v>
      </c>
      <c r="M565">
        <v>0</v>
      </c>
      <c r="N565">
        <v>23</v>
      </c>
      <c r="O565" t="s">
        <v>11905</v>
      </c>
    </row>
    <row r="566" spans="1:15">
      <c r="A566" t="s">
        <v>13426</v>
      </c>
      <c r="B566" t="s">
        <v>11644</v>
      </c>
      <c r="C566" t="s">
        <v>13427</v>
      </c>
      <c r="D566" t="s">
        <v>13428</v>
      </c>
      <c r="E566" t="b">
        <v>0</v>
      </c>
      <c r="F566" t="s">
        <v>11610</v>
      </c>
      <c r="L566">
        <v>0</v>
      </c>
      <c r="M566">
        <v>0</v>
      </c>
      <c r="N566">
        <v>0</v>
      </c>
    </row>
    <row r="567" spans="1:15">
      <c r="A567" t="s">
        <v>13429</v>
      </c>
      <c r="B567" t="s">
        <v>11615</v>
      </c>
      <c r="C567" t="s">
        <v>13430</v>
      </c>
      <c r="D567" t="s">
        <v>13431</v>
      </c>
      <c r="E567" t="b">
        <v>0</v>
      </c>
      <c r="F567" t="s">
        <v>11624</v>
      </c>
      <c r="G567">
        <v>-5.2912600000000003</v>
      </c>
      <c r="H567">
        <v>145.68700000000001</v>
      </c>
      <c r="I567" t="s">
        <v>13432</v>
      </c>
      <c r="L567">
        <v>0</v>
      </c>
      <c r="M567">
        <v>0</v>
      </c>
      <c r="N567">
        <v>3</v>
      </c>
      <c r="O567" t="s">
        <v>11660</v>
      </c>
    </row>
    <row r="568" spans="1:15">
      <c r="A568" t="s">
        <v>13433</v>
      </c>
      <c r="B568" t="s">
        <v>13434</v>
      </c>
      <c r="C568" t="s">
        <v>13435</v>
      </c>
      <c r="D568" t="s">
        <v>13436</v>
      </c>
      <c r="E568" t="b">
        <v>0</v>
      </c>
      <c r="F568" t="s">
        <v>11622</v>
      </c>
      <c r="L568">
        <v>0</v>
      </c>
      <c r="M568">
        <v>2</v>
      </c>
      <c r="N568">
        <v>0</v>
      </c>
    </row>
    <row r="569" spans="1:15">
      <c r="A569" t="s">
        <v>13437</v>
      </c>
      <c r="B569" t="s">
        <v>6742</v>
      </c>
      <c r="C569" t="s">
        <v>13438</v>
      </c>
      <c r="D569" t="s">
        <v>13439</v>
      </c>
      <c r="E569" t="b">
        <v>0</v>
      </c>
      <c r="F569" t="s">
        <v>11610</v>
      </c>
      <c r="L569">
        <v>0</v>
      </c>
      <c r="M569">
        <v>0</v>
      </c>
      <c r="N569">
        <v>0</v>
      </c>
    </row>
    <row r="570" spans="1:15">
      <c r="A570" t="s">
        <v>13440</v>
      </c>
      <c r="B570" t="s">
        <v>11729</v>
      </c>
      <c r="C570" t="s">
        <v>5552</v>
      </c>
      <c r="D570" t="s">
        <v>13441</v>
      </c>
      <c r="E570" t="b">
        <v>0</v>
      </c>
      <c r="F570" t="s">
        <v>11610</v>
      </c>
      <c r="L570">
        <v>0</v>
      </c>
      <c r="M570">
        <v>0</v>
      </c>
      <c r="N570">
        <v>0</v>
      </c>
    </row>
    <row r="571" spans="1:15">
      <c r="A571" t="s">
        <v>13442</v>
      </c>
      <c r="B571" t="s">
        <v>11981</v>
      </c>
      <c r="C571" t="s">
        <v>13443</v>
      </c>
      <c r="D571" t="s">
        <v>13444</v>
      </c>
      <c r="E571" t="b">
        <v>0</v>
      </c>
      <c r="F571" t="s">
        <v>11624</v>
      </c>
      <c r="G571">
        <v>33.811700000000002</v>
      </c>
      <c r="H571">
        <v>-81.612099999999998</v>
      </c>
      <c r="I571" t="s">
        <v>13445</v>
      </c>
      <c r="L571">
        <v>0</v>
      </c>
      <c r="M571">
        <v>0</v>
      </c>
      <c r="N571">
        <v>0</v>
      </c>
      <c r="O571" t="s">
        <v>13446</v>
      </c>
    </row>
    <row r="572" spans="1:15">
      <c r="A572" t="s">
        <v>13447</v>
      </c>
      <c r="B572" t="s">
        <v>11637</v>
      </c>
      <c r="C572" t="s">
        <v>239</v>
      </c>
      <c r="D572" t="s">
        <v>13448</v>
      </c>
      <c r="E572" t="b">
        <v>0</v>
      </c>
      <c r="F572" t="s">
        <v>11610</v>
      </c>
      <c r="L572">
        <v>0</v>
      </c>
      <c r="M572">
        <v>0</v>
      </c>
      <c r="N572">
        <v>0</v>
      </c>
    </row>
    <row r="573" spans="1:15">
      <c r="A573" t="s">
        <v>13449</v>
      </c>
      <c r="B573" t="s">
        <v>13450</v>
      </c>
      <c r="C573" t="s">
        <v>13451</v>
      </c>
      <c r="D573" t="s">
        <v>13452</v>
      </c>
      <c r="E573" t="b">
        <v>0</v>
      </c>
      <c r="F573" t="s">
        <v>11624</v>
      </c>
      <c r="L573">
        <v>0</v>
      </c>
      <c r="M573">
        <v>0</v>
      </c>
      <c r="N573">
        <v>0</v>
      </c>
      <c r="O573" t="s">
        <v>11944</v>
      </c>
    </row>
    <row r="574" spans="1:15">
      <c r="A574" t="s">
        <v>13453</v>
      </c>
      <c r="B574" t="s">
        <v>11627</v>
      </c>
      <c r="C574" t="s">
        <v>11627</v>
      </c>
      <c r="D574" t="s">
        <v>13454</v>
      </c>
      <c r="E574" t="b">
        <v>1</v>
      </c>
      <c r="F574" t="s">
        <v>11624</v>
      </c>
      <c r="I574" t="s">
        <v>13455</v>
      </c>
      <c r="L574">
        <v>0</v>
      </c>
      <c r="M574">
        <v>0</v>
      </c>
      <c r="N574">
        <v>0</v>
      </c>
    </row>
    <row r="575" spans="1:15">
      <c r="A575" t="s">
        <v>13443</v>
      </c>
      <c r="B575" t="s">
        <v>11981</v>
      </c>
      <c r="C575" t="s">
        <v>13456</v>
      </c>
      <c r="D575" t="s">
        <v>13457</v>
      </c>
      <c r="E575" t="b">
        <v>0</v>
      </c>
      <c r="F575" t="s">
        <v>11622</v>
      </c>
      <c r="L575">
        <v>0</v>
      </c>
      <c r="M575">
        <v>2</v>
      </c>
      <c r="N575">
        <v>0</v>
      </c>
    </row>
    <row r="576" spans="1:15">
      <c r="A576" t="s">
        <v>13458</v>
      </c>
      <c r="B576" t="s">
        <v>11637</v>
      </c>
      <c r="C576" t="s">
        <v>13459</v>
      </c>
      <c r="D576" t="s">
        <v>13460</v>
      </c>
      <c r="E576" t="b">
        <v>0</v>
      </c>
      <c r="F576" t="s">
        <v>11610</v>
      </c>
      <c r="L576">
        <v>0</v>
      </c>
      <c r="M576">
        <v>0</v>
      </c>
      <c r="N576">
        <v>0</v>
      </c>
    </row>
    <row r="577" spans="1:15">
      <c r="A577" t="s">
        <v>13461</v>
      </c>
      <c r="B577" t="s">
        <v>367</v>
      </c>
      <c r="C577" t="s">
        <v>13280</v>
      </c>
      <c r="D577" t="s">
        <v>13462</v>
      </c>
      <c r="E577" t="b">
        <v>0</v>
      </c>
      <c r="F577" t="s">
        <v>11610</v>
      </c>
      <c r="L577">
        <v>0</v>
      </c>
      <c r="M577">
        <v>0</v>
      </c>
      <c r="N577">
        <v>0</v>
      </c>
    </row>
    <row r="578" spans="1:15">
      <c r="A578" t="s">
        <v>13463</v>
      </c>
      <c r="B578" t="s">
        <v>367</v>
      </c>
      <c r="C578" t="s">
        <v>13464</v>
      </c>
      <c r="D578" t="s">
        <v>13465</v>
      </c>
      <c r="E578" t="b">
        <v>0</v>
      </c>
      <c r="F578" t="s">
        <v>11624</v>
      </c>
      <c r="G578">
        <v>16.901599999999998</v>
      </c>
      <c r="H578">
        <v>121.042</v>
      </c>
      <c r="I578" t="s">
        <v>13466</v>
      </c>
      <c r="L578">
        <v>0</v>
      </c>
      <c r="M578">
        <v>0</v>
      </c>
      <c r="N578">
        <v>2</v>
      </c>
      <c r="O578" t="s">
        <v>11749</v>
      </c>
    </row>
    <row r="579" spans="1:15">
      <c r="A579" t="s">
        <v>13467</v>
      </c>
      <c r="B579" t="s">
        <v>11607</v>
      </c>
      <c r="C579" t="s">
        <v>13468</v>
      </c>
      <c r="D579" t="s">
        <v>13469</v>
      </c>
      <c r="E579" t="b">
        <v>0</v>
      </c>
      <c r="F579" t="s">
        <v>11622</v>
      </c>
      <c r="L579">
        <v>0</v>
      </c>
      <c r="M579">
        <v>2</v>
      </c>
      <c r="N579">
        <v>0</v>
      </c>
    </row>
    <row r="580" spans="1:15">
      <c r="A580" t="s">
        <v>602</v>
      </c>
      <c r="B580" t="s">
        <v>11607</v>
      </c>
      <c r="C580" t="s">
        <v>13467</v>
      </c>
      <c r="D580" t="s">
        <v>13470</v>
      </c>
      <c r="E580" t="b">
        <v>0</v>
      </c>
      <c r="F580" t="s">
        <v>11624</v>
      </c>
      <c r="G580">
        <v>11.708182000000001</v>
      </c>
      <c r="H580">
        <v>39.543455999999999</v>
      </c>
      <c r="I580" t="s">
        <v>603</v>
      </c>
      <c r="L580">
        <v>0</v>
      </c>
      <c r="M580">
        <v>0</v>
      </c>
      <c r="N580">
        <v>0</v>
      </c>
      <c r="O580" t="s">
        <v>13471</v>
      </c>
    </row>
    <row r="581" spans="1:15">
      <c r="A581" t="s">
        <v>13472</v>
      </c>
      <c r="B581" t="s">
        <v>11637</v>
      </c>
      <c r="C581" t="s">
        <v>13473</v>
      </c>
      <c r="D581" t="s">
        <v>13474</v>
      </c>
      <c r="E581" t="b">
        <v>0</v>
      </c>
      <c r="F581" t="s">
        <v>11610</v>
      </c>
      <c r="L581">
        <v>0</v>
      </c>
      <c r="M581">
        <v>0</v>
      </c>
      <c r="N581">
        <v>0</v>
      </c>
    </row>
    <row r="582" spans="1:15">
      <c r="A582" t="s">
        <v>13475</v>
      </c>
      <c r="B582" t="s">
        <v>13434</v>
      </c>
      <c r="C582" t="s">
        <v>13433</v>
      </c>
      <c r="D582" t="s">
        <v>4579</v>
      </c>
      <c r="E582" t="b">
        <v>0</v>
      </c>
      <c r="F582" t="s">
        <v>11624</v>
      </c>
      <c r="G582">
        <v>-13.5573</v>
      </c>
      <c r="H582">
        <v>130.04</v>
      </c>
      <c r="I582" t="s">
        <v>13476</v>
      </c>
      <c r="L582">
        <v>0</v>
      </c>
      <c r="M582">
        <v>0</v>
      </c>
      <c r="N582">
        <v>0</v>
      </c>
      <c r="O582" t="s">
        <v>12107</v>
      </c>
    </row>
    <row r="583" spans="1:15">
      <c r="A583" t="s">
        <v>13477</v>
      </c>
      <c r="B583" t="s">
        <v>11627</v>
      </c>
      <c r="C583" t="s">
        <v>11627</v>
      </c>
      <c r="D583" t="s">
        <v>13478</v>
      </c>
      <c r="E583" t="b">
        <v>1</v>
      </c>
      <c r="F583" t="s">
        <v>11624</v>
      </c>
      <c r="I583" t="s">
        <v>13479</v>
      </c>
      <c r="L583">
        <v>0</v>
      </c>
      <c r="M583">
        <v>0</v>
      </c>
      <c r="N583">
        <v>0</v>
      </c>
    </row>
    <row r="584" spans="1:15">
      <c r="A584" t="s">
        <v>13480</v>
      </c>
      <c r="B584" t="s">
        <v>11637</v>
      </c>
      <c r="C584" t="s">
        <v>13481</v>
      </c>
      <c r="D584" t="s">
        <v>13482</v>
      </c>
      <c r="E584" t="b">
        <v>0</v>
      </c>
      <c r="F584" t="s">
        <v>11610</v>
      </c>
      <c r="L584">
        <v>0</v>
      </c>
      <c r="M584">
        <v>0</v>
      </c>
      <c r="N584">
        <v>0</v>
      </c>
    </row>
    <row r="585" spans="1:15">
      <c r="A585" t="s">
        <v>4580</v>
      </c>
      <c r="B585" t="s">
        <v>367</v>
      </c>
      <c r="C585" t="s">
        <v>13483</v>
      </c>
      <c r="D585" t="s">
        <v>9620</v>
      </c>
      <c r="E585" t="b">
        <v>0</v>
      </c>
      <c r="F585" t="s">
        <v>11624</v>
      </c>
      <c r="G585">
        <v>23.091699999999999</v>
      </c>
      <c r="H585">
        <v>121.348</v>
      </c>
      <c r="I585" t="s">
        <v>4581</v>
      </c>
      <c r="L585">
        <v>0</v>
      </c>
      <c r="M585">
        <v>0</v>
      </c>
      <c r="N585">
        <v>4</v>
      </c>
      <c r="O585" t="s">
        <v>13484</v>
      </c>
    </row>
    <row r="586" spans="1:15">
      <c r="A586" t="s">
        <v>13485</v>
      </c>
      <c r="B586" t="s">
        <v>11627</v>
      </c>
      <c r="C586" t="s">
        <v>11627</v>
      </c>
      <c r="D586" t="s">
        <v>13486</v>
      </c>
      <c r="E586" t="b">
        <v>1</v>
      </c>
      <c r="F586" t="s">
        <v>11624</v>
      </c>
      <c r="I586" t="s">
        <v>13487</v>
      </c>
      <c r="L586">
        <v>0</v>
      </c>
      <c r="M586">
        <v>0</v>
      </c>
      <c r="N586">
        <v>0</v>
      </c>
      <c r="O586" t="s">
        <v>13488</v>
      </c>
    </row>
    <row r="587" spans="1:15">
      <c r="A587" t="s">
        <v>13489</v>
      </c>
      <c r="B587" t="s">
        <v>11912</v>
      </c>
      <c r="C587" t="s">
        <v>13490</v>
      </c>
      <c r="D587" t="s">
        <v>13491</v>
      </c>
      <c r="E587" t="b">
        <v>0</v>
      </c>
      <c r="F587" t="s">
        <v>11610</v>
      </c>
      <c r="L587">
        <v>0</v>
      </c>
      <c r="M587">
        <v>0</v>
      </c>
      <c r="N587">
        <v>0</v>
      </c>
    </row>
    <row r="588" spans="1:15">
      <c r="A588" t="s">
        <v>13492</v>
      </c>
      <c r="B588" t="s">
        <v>11834</v>
      </c>
      <c r="C588" t="s">
        <v>13493</v>
      </c>
      <c r="D588" t="s">
        <v>13494</v>
      </c>
      <c r="E588" t="b">
        <v>0</v>
      </c>
      <c r="F588" t="s">
        <v>11624</v>
      </c>
      <c r="G588">
        <v>-3.4684300000000001</v>
      </c>
      <c r="H588">
        <v>142.53200000000001</v>
      </c>
      <c r="I588" t="s">
        <v>13495</v>
      </c>
      <c r="L588">
        <v>0</v>
      </c>
      <c r="M588">
        <v>0</v>
      </c>
      <c r="N588">
        <v>0</v>
      </c>
      <c r="O588" t="s">
        <v>11660</v>
      </c>
    </row>
    <row r="589" spans="1:15">
      <c r="A589" t="s">
        <v>13496</v>
      </c>
      <c r="B589" t="s">
        <v>11879</v>
      </c>
      <c r="C589" t="s">
        <v>8183</v>
      </c>
      <c r="D589" t="s">
        <v>13497</v>
      </c>
      <c r="E589" t="b">
        <v>0</v>
      </c>
      <c r="F589" t="s">
        <v>11624</v>
      </c>
      <c r="G589">
        <v>16.652100000000001</v>
      </c>
      <c r="H589">
        <v>-97.451800000000006</v>
      </c>
      <c r="I589" t="s">
        <v>13498</v>
      </c>
      <c r="L589">
        <v>0</v>
      </c>
      <c r="M589">
        <v>0</v>
      </c>
      <c r="N589">
        <v>0</v>
      </c>
      <c r="O589" t="s">
        <v>11883</v>
      </c>
    </row>
    <row r="590" spans="1:15">
      <c r="A590" t="s">
        <v>13499</v>
      </c>
      <c r="B590" t="s">
        <v>13500</v>
      </c>
      <c r="C590" t="s">
        <v>13500</v>
      </c>
      <c r="D590" t="s">
        <v>13501</v>
      </c>
      <c r="E590" t="b">
        <v>0</v>
      </c>
      <c r="F590" t="s">
        <v>11610</v>
      </c>
      <c r="L590">
        <v>0</v>
      </c>
      <c r="M590">
        <v>0</v>
      </c>
      <c r="N590">
        <v>0</v>
      </c>
    </row>
    <row r="591" spans="1:15">
      <c r="A591" t="s">
        <v>13502</v>
      </c>
      <c r="B591" t="s">
        <v>11912</v>
      </c>
      <c r="C591" t="s">
        <v>13503</v>
      </c>
      <c r="D591" t="s">
        <v>13504</v>
      </c>
      <c r="E591" t="b">
        <v>0</v>
      </c>
      <c r="F591" t="s">
        <v>11622</v>
      </c>
      <c r="L591">
        <v>0</v>
      </c>
      <c r="M591">
        <v>2</v>
      </c>
      <c r="N591">
        <v>0</v>
      </c>
    </row>
    <row r="592" spans="1:15">
      <c r="A592" t="s">
        <v>13505</v>
      </c>
      <c r="B592" t="s">
        <v>6742</v>
      </c>
      <c r="C592" t="s">
        <v>13506</v>
      </c>
      <c r="D592" t="s">
        <v>13507</v>
      </c>
      <c r="E592" t="b">
        <v>0</v>
      </c>
      <c r="F592" t="s">
        <v>11624</v>
      </c>
      <c r="G592">
        <v>10.322900000000001</v>
      </c>
      <c r="H592">
        <v>8.6540499999999998</v>
      </c>
      <c r="I592" t="s">
        <v>13508</v>
      </c>
      <c r="L592">
        <v>0</v>
      </c>
      <c r="M592">
        <v>0</v>
      </c>
      <c r="N592">
        <v>0</v>
      </c>
      <c r="O592" t="s">
        <v>11693</v>
      </c>
    </row>
    <row r="593" spans="1:15">
      <c r="A593" t="s">
        <v>13509</v>
      </c>
      <c r="B593" t="s">
        <v>978</v>
      </c>
      <c r="C593" t="s">
        <v>979</v>
      </c>
      <c r="D593" t="s">
        <v>13510</v>
      </c>
      <c r="E593" t="b">
        <v>0</v>
      </c>
      <c r="F593" t="s">
        <v>11610</v>
      </c>
      <c r="L593">
        <v>0</v>
      </c>
      <c r="M593">
        <v>0</v>
      </c>
      <c r="N593">
        <v>0</v>
      </c>
    </row>
    <row r="594" spans="1:15">
      <c r="A594" t="s">
        <v>13511</v>
      </c>
      <c r="B594" t="s">
        <v>11607</v>
      </c>
      <c r="C594" t="s">
        <v>13512</v>
      </c>
      <c r="D594" t="s">
        <v>13513</v>
      </c>
      <c r="E594" t="b">
        <v>0</v>
      </c>
      <c r="F594" t="s">
        <v>11624</v>
      </c>
      <c r="L594">
        <v>0</v>
      </c>
      <c r="M594">
        <v>0</v>
      </c>
      <c r="N594">
        <v>0</v>
      </c>
      <c r="O594" t="s">
        <v>13514</v>
      </c>
    </row>
    <row r="595" spans="1:15">
      <c r="A595" t="s">
        <v>13515</v>
      </c>
      <c r="B595" t="s">
        <v>13360</v>
      </c>
      <c r="C595" t="s">
        <v>13360</v>
      </c>
      <c r="D595" t="s">
        <v>13516</v>
      </c>
      <c r="E595" t="b">
        <v>0</v>
      </c>
      <c r="F595" t="s">
        <v>11624</v>
      </c>
      <c r="L595">
        <v>0</v>
      </c>
      <c r="M595">
        <v>0</v>
      </c>
      <c r="N595">
        <v>0</v>
      </c>
      <c r="O595" t="s">
        <v>11883</v>
      </c>
    </row>
    <row r="596" spans="1:15">
      <c r="A596" t="s">
        <v>13517</v>
      </c>
      <c r="B596" t="s">
        <v>13518</v>
      </c>
      <c r="C596" t="s">
        <v>13519</v>
      </c>
      <c r="D596" t="s">
        <v>13520</v>
      </c>
      <c r="E596" t="b">
        <v>0</v>
      </c>
      <c r="F596" t="s">
        <v>11610</v>
      </c>
      <c r="L596">
        <v>0</v>
      </c>
      <c r="M596">
        <v>0</v>
      </c>
      <c r="N596">
        <v>0</v>
      </c>
    </row>
    <row r="597" spans="1:15">
      <c r="A597" t="s">
        <v>13521</v>
      </c>
      <c r="B597" t="s">
        <v>6742</v>
      </c>
      <c r="C597" t="s">
        <v>13522</v>
      </c>
      <c r="D597" t="s">
        <v>13523</v>
      </c>
      <c r="E597" t="b">
        <v>0</v>
      </c>
      <c r="F597" t="s">
        <v>11610</v>
      </c>
      <c r="L597">
        <v>0</v>
      </c>
      <c r="M597">
        <v>0</v>
      </c>
      <c r="N597">
        <v>0</v>
      </c>
    </row>
    <row r="598" spans="1:15">
      <c r="A598" t="s">
        <v>13524</v>
      </c>
      <c r="B598" t="s">
        <v>1342</v>
      </c>
      <c r="C598" t="s">
        <v>13525</v>
      </c>
      <c r="D598" t="s">
        <v>13526</v>
      </c>
      <c r="E598" t="b">
        <v>0</v>
      </c>
      <c r="F598" t="s">
        <v>11624</v>
      </c>
      <c r="G598">
        <v>14.15</v>
      </c>
      <c r="H598">
        <v>-3.55</v>
      </c>
      <c r="I598" t="s">
        <v>13527</v>
      </c>
      <c r="L598">
        <v>0</v>
      </c>
      <c r="M598">
        <v>0</v>
      </c>
      <c r="N598">
        <v>0</v>
      </c>
      <c r="O598" t="s">
        <v>13528</v>
      </c>
    </row>
    <row r="599" spans="1:15">
      <c r="A599" t="s">
        <v>13529</v>
      </c>
      <c r="B599" t="s">
        <v>367</v>
      </c>
      <c r="C599" t="s">
        <v>13530</v>
      </c>
      <c r="D599" t="s">
        <v>13531</v>
      </c>
      <c r="E599" t="b">
        <v>0</v>
      </c>
      <c r="F599" t="s">
        <v>11624</v>
      </c>
      <c r="G599">
        <v>-0.79259000000000002</v>
      </c>
      <c r="H599">
        <v>116.349</v>
      </c>
      <c r="I599" t="s">
        <v>13532</v>
      </c>
      <c r="L599">
        <v>0</v>
      </c>
      <c r="M599">
        <v>0</v>
      </c>
      <c r="N599">
        <v>0</v>
      </c>
      <c r="O599" t="s">
        <v>11768</v>
      </c>
    </row>
    <row r="600" spans="1:15">
      <c r="A600" t="s">
        <v>13533</v>
      </c>
      <c r="B600" t="s">
        <v>11637</v>
      </c>
      <c r="C600" t="s">
        <v>13534</v>
      </c>
      <c r="D600" t="s">
        <v>13535</v>
      </c>
      <c r="E600" t="b">
        <v>0</v>
      </c>
      <c r="F600" t="s">
        <v>11610</v>
      </c>
      <c r="L600">
        <v>0</v>
      </c>
      <c r="M600">
        <v>0</v>
      </c>
      <c r="N600">
        <v>0</v>
      </c>
    </row>
    <row r="601" spans="1:15">
      <c r="A601" t="s">
        <v>13536</v>
      </c>
      <c r="B601" t="s">
        <v>367</v>
      </c>
      <c r="C601" t="s">
        <v>13537</v>
      </c>
      <c r="D601" t="s">
        <v>13538</v>
      </c>
      <c r="E601" t="b">
        <v>0</v>
      </c>
      <c r="F601" t="s">
        <v>11610</v>
      </c>
      <c r="L601">
        <v>0</v>
      </c>
      <c r="M601">
        <v>0</v>
      </c>
      <c r="N601">
        <v>0</v>
      </c>
    </row>
    <row r="602" spans="1:15">
      <c r="A602" t="s">
        <v>13539</v>
      </c>
      <c r="B602" t="s">
        <v>11844</v>
      </c>
      <c r="C602" t="s">
        <v>13540</v>
      </c>
      <c r="D602" t="s">
        <v>13541</v>
      </c>
      <c r="E602" t="b">
        <v>0</v>
      </c>
      <c r="F602" t="s">
        <v>11610</v>
      </c>
      <c r="L602">
        <v>0</v>
      </c>
      <c r="M602">
        <v>0</v>
      </c>
      <c r="N602">
        <v>0</v>
      </c>
    </row>
    <row r="603" spans="1:15">
      <c r="A603" t="s">
        <v>13542</v>
      </c>
      <c r="B603" t="s">
        <v>11644</v>
      </c>
      <c r="C603" t="s">
        <v>13543</v>
      </c>
      <c r="D603" t="s">
        <v>13544</v>
      </c>
      <c r="E603" t="b">
        <v>0</v>
      </c>
      <c r="F603" t="s">
        <v>11624</v>
      </c>
      <c r="G603">
        <v>26.024000000000001</v>
      </c>
      <c r="H603">
        <v>91.481999999999999</v>
      </c>
      <c r="I603" t="s">
        <v>13545</v>
      </c>
      <c r="L603">
        <v>0</v>
      </c>
      <c r="M603">
        <v>0</v>
      </c>
      <c r="N603">
        <v>0</v>
      </c>
      <c r="O603" t="s">
        <v>11630</v>
      </c>
    </row>
    <row r="604" spans="1:15">
      <c r="A604" t="s">
        <v>13546</v>
      </c>
      <c r="B604" t="s">
        <v>11637</v>
      </c>
      <c r="C604" t="s">
        <v>13547</v>
      </c>
      <c r="D604" t="s">
        <v>13548</v>
      </c>
      <c r="E604" t="b">
        <v>0</v>
      </c>
      <c r="F604" t="s">
        <v>11610</v>
      </c>
      <c r="L604">
        <v>0</v>
      </c>
      <c r="M604">
        <v>0</v>
      </c>
      <c r="N604">
        <v>0</v>
      </c>
    </row>
    <row r="605" spans="1:15">
      <c r="A605" t="s">
        <v>13549</v>
      </c>
      <c r="D605" t="s">
        <v>13550</v>
      </c>
      <c r="E605" t="b">
        <v>0</v>
      </c>
      <c r="F605" t="s">
        <v>11622</v>
      </c>
      <c r="L605">
        <v>0</v>
      </c>
      <c r="M605">
        <v>2</v>
      </c>
      <c r="N605">
        <v>0</v>
      </c>
    </row>
    <row r="606" spans="1:15">
      <c r="A606" t="s">
        <v>13551</v>
      </c>
      <c r="B606" t="s">
        <v>13549</v>
      </c>
      <c r="C606" t="s">
        <v>13549</v>
      </c>
      <c r="D606" t="s">
        <v>13552</v>
      </c>
      <c r="E606" t="b">
        <v>0</v>
      </c>
      <c r="F606" t="s">
        <v>11624</v>
      </c>
      <c r="G606">
        <v>-4.1216499999999998</v>
      </c>
      <c r="H606">
        <v>141.339</v>
      </c>
      <c r="I606" t="s">
        <v>13553</v>
      </c>
      <c r="L606">
        <v>0</v>
      </c>
      <c r="M606">
        <v>0</v>
      </c>
      <c r="N606">
        <v>0</v>
      </c>
      <c r="O606" t="s">
        <v>11660</v>
      </c>
    </row>
    <row r="607" spans="1:15">
      <c r="A607" t="s">
        <v>13554</v>
      </c>
      <c r="B607" t="s">
        <v>6455</v>
      </c>
      <c r="C607" t="s">
        <v>13555</v>
      </c>
      <c r="D607" t="s">
        <v>13556</v>
      </c>
      <c r="E607" t="b">
        <v>0</v>
      </c>
      <c r="F607" t="s">
        <v>11610</v>
      </c>
      <c r="L607">
        <v>0</v>
      </c>
      <c r="M607">
        <v>0</v>
      </c>
      <c r="N607">
        <v>0</v>
      </c>
    </row>
    <row r="608" spans="1:15">
      <c r="A608" t="s">
        <v>13557</v>
      </c>
      <c r="B608" t="s">
        <v>11615</v>
      </c>
      <c r="C608" t="s">
        <v>13558</v>
      </c>
      <c r="D608" t="s">
        <v>13559</v>
      </c>
      <c r="E608" t="b">
        <v>0</v>
      </c>
      <c r="F608" t="s">
        <v>11610</v>
      </c>
      <c r="L608">
        <v>0</v>
      </c>
      <c r="M608">
        <v>0</v>
      </c>
      <c r="N608">
        <v>0</v>
      </c>
    </row>
    <row r="609" spans="1:15">
      <c r="A609" t="s">
        <v>13560</v>
      </c>
      <c r="B609" t="s">
        <v>367</v>
      </c>
      <c r="C609" t="s">
        <v>13561</v>
      </c>
      <c r="D609" t="s">
        <v>13562</v>
      </c>
      <c r="E609" t="b">
        <v>0</v>
      </c>
      <c r="F609" t="s">
        <v>11610</v>
      </c>
      <c r="L609">
        <v>0</v>
      </c>
      <c r="M609">
        <v>0</v>
      </c>
      <c r="N609">
        <v>0</v>
      </c>
    </row>
    <row r="610" spans="1:15">
      <c r="A610" t="s">
        <v>13563</v>
      </c>
      <c r="B610" t="s">
        <v>13500</v>
      </c>
      <c r="C610" t="s">
        <v>13500</v>
      </c>
      <c r="D610" t="s">
        <v>13564</v>
      </c>
      <c r="E610" t="b">
        <v>0</v>
      </c>
      <c r="F610" t="s">
        <v>11610</v>
      </c>
      <c r="L610">
        <v>0</v>
      </c>
      <c r="M610">
        <v>0</v>
      </c>
      <c r="N610">
        <v>0</v>
      </c>
    </row>
    <row r="611" spans="1:15">
      <c r="A611" t="s">
        <v>13565</v>
      </c>
      <c r="B611" t="s">
        <v>11912</v>
      </c>
      <c r="C611" t="s">
        <v>13502</v>
      </c>
      <c r="D611" t="s">
        <v>13566</v>
      </c>
      <c r="E611" t="b">
        <v>0</v>
      </c>
      <c r="F611" t="s">
        <v>11624</v>
      </c>
      <c r="G611">
        <v>-9.0402299999999993</v>
      </c>
      <c r="H611">
        <v>-62.306399999999996</v>
      </c>
      <c r="I611" t="s">
        <v>13567</v>
      </c>
      <c r="L611">
        <v>0</v>
      </c>
      <c r="M611">
        <v>0</v>
      </c>
      <c r="N611">
        <v>0</v>
      </c>
      <c r="O611" t="s">
        <v>11969</v>
      </c>
    </row>
    <row r="612" spans="1:15">
      <c r="A612" t="s">
        <v>13568</v>
      </c>
      <c r="B612" t="s">
        <v>6842</v>
      </c>
      <c r="C612" t="s">
        <v>6842</v>
      </c>
      <c r="D612" t="s">
        <v>13569</v>
      </c>
      <c r="E612" t="b">
        <v>0</v>
      </c>
      <c r="F612" t="s">
        <v>11610</v>
      </c>
      <c r="L612">
        <v>0</v>
      </c>
      <c r="M612">
        <v>0</v>
      </c>
      <c r="N612">
        <v>0</v>
      </c>
    </row>
    <row r="613" spans="1:15">
      <c r="A613" t="s">
        <v>13570</v>
      </c>
      <c r="B613" t="s">
        <v>13571</v>
      </c>
      <c r="C613" t="s">
        <v>13572</v>
      </c>
      <c r="D613" t="s">
        <v>13573</v>
      </c>
      <c r="E613" t="b">
        <v>0</v>
      </c>
      <c r="F613" t="s">
        <v>11610</v>
      </c>
      <c r="L613">
        <v>0</v>
      </c>
      <c r="M613">
        <v>0</v>
      </c>
      <c r="N613">
        <v>0</v>
      </c>
    </row>
    <row r="614" spans="1:15">
      <c r="A614" t="s">
        <v>13574</v>
      </c>
      <c r="B614" t="s">
        <v>6742</v>
      </c>
      <c r="C614" t="s">
        <v>13575</v>
      </c>
      <c r="D614" t="s">
        <v>13576</v>
      </c>
      <c r="E614" t="b">
        <v>0</v>
      </c>
      <c r="F614" t="s">
        <v>11610</v>
      </c>
      <c r="L614">
        <v>0</v>
      </c>
      <c r="M614">
        <v>0</v>
      </c>
      <c r="N614">
        <v>0</v>
      </c>
    </row>
    <row r="615" spans="1:15">
      <c r="A615" t="s">
        <v>13577</v>
      </c>
      <c r="B615" t="s">
        <v>12311</v>
      </c>
      <c r="C615" t="s">
        <v>13578</v>
      </c>
      <c r="D615" t="s">
        <v>13579</v>
      </c>
      <c r="E615" t="b">
        <v>0</v>
      </c>
      <c r="F615" t="s">
        <v>11610</v>
      </c>
      <c r="L615">
        <v>0</v>
      </c>
      <c r="M615">
        <v>0</v>
      </c>
      <c r="N615">
        <v>0</v>
      </c>
    </row>
    <row r="616" spans="1:15">
      <c r="A616" t="s">
        <v>13580</v>
      </c>
      <c r="B616" t="s">
        <v>11879</v>
      </c>
      <c r="C616" t="s">
        <v>13581</v>
      </c>
      <c r="D616" t="s">
        <v>13582</v>
      </c>
      <c r="E616" t="b">
        <v>0</v>
      </c>
      <c r="F616" t="s">
        <v>11622</v>
      </c>
      <c r="L616">
        <v>18</v>
      </c>
      <c r="M616">
        <v>60</v>
      </c>
      <c r="N616">
        <v>34</v>
      </c>
    </row>
    <row r="617" spans="1:15">
      <c r="A617" t="s">
        <v>13583</v>
      </c>
      <c r="B617" t="s">
        <v>11879</v>
      </c>
      <c r="C617" t="s">
        <v>13580</v>
      </c>
      <c r="D617" t="s">
        <v>13584</v>
      </c>
      <c r="E617" t="b">
        <v>0</v>
      </c>
      <c r="F617" t="s">
        <v>11622</v>
      </c>
      <c r="L617">
        <v>0</v>
      </c>
      <c r="M617">
        <v>3</v>
      </c>
      <c r="N617">
        <v>0</v>
      </c>
    </row>
    <row r="618" spans="1:15">
      <c r="A618" t="s">
        <v>11677</v>
      </c>
      <c r="B618" t="s">
        <v>6742</v>
      </c>
      <c r="C618" t="s">
        <v>13585</v>
      </c>
      <c r="D618" t="s">
        <v>13586</v>
      </c>
      <c r="E618" t="b">
        <v>0</v>
      </c>
      <c r="F618" t="s">
        <v>11624</v>
      </c>
      <c r="G618">
        <v>4.9483199999999998</v>
      </c>
      <c r="H618">
        <v>7.5796900000000003</v>
      </c>
      <c r="I618" t="s">
        <v>13587</v>
      </c>
      <c r="L618">
        <v>0</v>
      </c>
      <c r="M618">
        <v>0</v>
      </c>
      <c r="N618">
        <v>3</v>
      </c>
      <c r="O618" t="s">
        <v>11693</v>
      </c>
    </row>
    <row r="619" spans="1:15">
      <c r="A619" t="s">
        <v>13588</v>
      </c>
      <c r="B619" t="s">
        <v>4236</v>
      </c>
      <c r="C619" t="s">
        <v>13589</v>
      </c>
      <c r="D619" t="s">
        <v>13590</v>
      </c>
      <c r="E619" t="b">
        <v>0</v>
      </c>
      <c r="F619" t="s">
        <v>11622</v>
      </c>
      <c r="L619">
        <v>0</v>
      </c>
      <c r="M619">
        <v>2</v>
      </c>
      <c r="N619">
        <v>5</v>
      </c>
    </row>
    <row r="620" spans="1:15">
      <c r="A620" t="s">
        <v>13591</v>
      </c>
      <c r="B620" t="s">
        <v>367</v>
      </c>
      <c r="C620" t="s">
        <v>13592</v>
      </c>
      <c r="D620" t="s">
        <v>13593</v>
      </c>
      <c r="E620" t="b">
        <v>0</v>
      </c>
      <c r="F620" t="s">
        <v>11624</v>
      </c>
      <c r="G620">
        <v>-9.6342499999999998</v>
      </c>
      <c r="H620">
        <v>119.605</v>
      </c>
      <c r="I620" t="s">
        <v>13594</v>
      </c>
      <c r="L620">
        <v>0</v>
      </c>
      <c r="M620">
        <v>0</v>
      </c>
      <c r="N620">
        <v>0</v>
      </c>
      <c r="O620" t="s">
        <v>11768</v>
      </c>
    </row>
    <row r="621" spans="1:15">
      <c r="A621" t="s">
        <v>13595</v>
      </c>
      <c r="B621" t="s">
        <v>11644</v>
      </c>
      <c r="C621" t="s">
        <v>12529</v>
      </c>
      <c r="D621" t="s">
        <v>13596</v>
      </c>
      <c r="E621" t="b">
        <v>0</v>
      </c>
      <c r="F621" t="s">
        <v>11624</v>
      </c>
      <c r="G621">
        <v>24.050599999999999</v>
      </c>
      <c r="H621">
        <v>94.280600000000007</v>
      </c>
      <c r="I621" t="s">
        <v>13597</v>
      </c>
      <c r="L621">
        <v>0</v>
      </c>
      <c r="M621">
        <v>0</v>
      </c>
      <c r="N621">
        <v>2</v>
      </c>
      <c r="O621" t="s">
        <v>13598</v>
      </c>
    </row>
    <row r="622" spans="1:15">
      <c r="A622" t="s">
        <v>13599</v>
      </c>
      <c r="B622" t="s">
        <v>11615</v>
      </c>
      <c r="C622" t="s">
        <v>13600</v>
      </c>
      <c r="D622" t="s">
        <v>13601</v>
      </c>
      <c r="E622" t="b">
        <v>0</v>
      </c>
      <c r="F622" t="s">
        <v>11624</v>
      </c>
      <c r="G622">
        <v>-4.6886900000000002</v>
      </c>
      <c r="H622">
        <v>145.05099999999999</v>
      </c>
      <c r="I622" t="s">
        <v>13602</v>
      </c>
      <c r="L622">
        <v>0</v>
      </c>
      <c r="M622">
        <v>0</v>
      </c>
      <c r="N622">
        <v>0</v>
      </c>
      <c r="O622" t="s">
        <v>11660</v>
      </c>
    </row>
    <row r="623" spans="1:15">
      <c r="A623" t="s">
        <v>13603</v>
      </c>
      <c r="B623" t="s">
        <v>11615</v>
      </c>
      <c r="C623" t="s">
        <v>13604</v>
      </c>
      <c r="D623" t="s">
        <v>13605</v>
      </c>
      <c r="E623" t="b">
        <v>0</v>
      </c>
      <c r="F623" t="s">
        <v>11624</v>
      </c>
      <c r="G623">
        <v>-4.6376200000000001</v>
      </c>
      <c r="H623">
        <v>144.99100000000001</v>
      </c>
      <c r="I623" t="s">
        <v>13606</v>
      </c>
      <c r="L623">
        <v>0</v>
      </c>
      <c r="M623">
        <v>0</v>
      </c>
      <c r="N623">
        <v>0</v>
      </c>
      <c r="O623" t="s">
        <v>11660</v>
      </c>
    </row>
    <row r="624" spans="1:15">
      <c r="A624" t="s">
        <v>13607</v>
      </c>
      <c r="B624" t="s">
        <v>11912</v>
      </c>
      <c r="C624" t="s">
        <v>13287</v>
      </c>
      <c r="D624" t="s">
        <v>13608</v>
      </c>
      <c r="E624" t="b">
        <v>0</v>
      </c>
      <c r="F624" t="s">
        <v>11624</v>
      </c>
      <c r="G624">
        <v>-2.7111900000000002</v>
      </c>
      <c r="H624">
        <v>-49.302999999999997</v>
      </c>
      <c r="I624" t="s">
        <v>13609</v>
      </c>
      <c r="L624">
        <v>0</v>
      </c>
      <c r="M624">
        <v>0</v>
      </c>
      <c r="N624">
        <v>0</v>
      </c>
      <c r="O624" t="s">
        <v>11969</v>
      </c>
    </row>
    <row r="625" spans="1:15">
      <c r="A625" t="s">
        <v>13604</v>
      </c>
      <c r="B625" t="s">
        <v>11615</v>
      </c>
      <c r="C625" t="s">
        <v>13600</v>
      </c>
      <c r="D625" t="s">
        <v>13610</v>
      </c>
      <c r="E625" t="b">
        <v>0</v>
      </c>
      <c r="F625" t="s">
        <v>11622</v>
      </c>
      <c r="L625">
        <v>0</v>
      </c>
      <c r="M625">
        <v>2</v>
      </c>
      <c r="N625">
        <v>0</v>
      </c>
    </row>
    <row r="626" spans="1:15">
      <c r="A626" t="s">
        <v>13611</v>
      </c>
      <c r="B626" t="s">
        <v>11912</v>
      </c>
      <c r="C626" t="s">
        <v>13612</v>
      </c>
      <c r="D626" t="s">
        <v>13613</v>
      </c>
      <c r="E626" t="b">
        <v>0</v>
      </c>
      <c r="F626" t="s">
        <v>11610</v>
      </c>
      <c r="L626">
        <v>0</v>
      </c>
      <c r="M626">
        <v>0</v>
      </c>
      <c r="N626">
        <v>0</v>
      </c>
    </row>
    <row r="627" spans="1:15">
      <c r="A627" t="s">
        <v>13614</v>
      </c>
      <c r="B627" t="s">
        <v>6742</v>
      </c>
      <c r="C627" t="s">
        <v>12809</v>
      </c>
      <c r="D627" t="s">
        <v>13615</v>
      </c>
      <c r="E627" t="b">
        <v>0</v>
      </c>
      <c r="F627" t="s">
        <v>11610</v>
      </c>
      <c r="L627">
        <v>0</v>
      </c>
      <c r="M627">
        <v>0</v>
      </c>
      <c r="N627">
        <v>0</v>
      </c>
    </row>
    <row r="628" spans="1:15">
      <c r="A628" t="s">
        <v>13616</v>
      </c>
      <c r="B628" t="s">
        <v>11637</v>
      </c>
      <c r="C628" t="s">
        <v>13617</v>
      </c>
      <c r="D628" t="s">
        <v>13618</v>
      </c>
      <c r="E628" t="b">
        <v>0</v>
      </c>
      <c r="F628" t="s">
        <v>11610</v>
      </c>
      <c r="L628">
        <v>0</v>
      </c>
      <c r="M628">
        <v>0</v>
      </c>
      <c r="N628">
        <v>0</v>
      </c>
    </row>
    <row r="629" spans="1:15">
      <c r="A629" t="s">
        <v>13619</v>
      </c>
      <c r="B629" t="s">
        <v>11637</v>
      </c>
      <c r="C629" t="s">
        <v>1273</v>
      </c>
      <c r="D629" t="s">
        <v>13620</v>
      </c>
      <c r="E629" t="b">
        <v>0</v>
      </c>
      <c r="F629" t="s">
        <v>11610</v>
      </c>
      <c r="L629">
        <v>0</v>
      </c>
      <c r="M629">
        <v>0</v>
      </c>
      <c r="N629">
        <v>0</v>
      </c>
    </row>
    <row r="630" spans="1:15">
      <c r="A630" t="s">
        <v>13621</v>
      </c>
      <c r="B630" t="s">
        <v>11627</v>
      </c>
      <c r="C630" t="s">
        <v>11627</v>
      </c>
      <c r="D630" t="s">
        <v>13622</v>
      </c>
      <c r="E630" t="b">
        <v>1</v>
      </c>
      <c r="F630" t="s">
        <v>11624</v>
      </c>
      <c r="G630">
        <v>-1.73908</v>
      </c>
      <c r="H630">
        <v>137.71600000000001</v>
      </c>
      <c r="I630" t="s">
        <v>13623</v>
      </c>
      <c r="L630">
        <v>0</v>
      </c>
      <c r="M630">
        <v>0</v>
      </c>
      <c r="N630">
        <v>0</v>
      </c>
      <c r="O630" t="s">
        <v>11768</v>
      </c>
    </row>
    <row r="631" spans="1:15">
      <c r="A631" t="s">
        <v>13624</v>
      </c>
      <c r="B631" t="s">
        <v>331</v>
      </c>
      <c r="C631" t="s">
        <v>13625</v>
      </c>
      <c r="D631" t="s">
        <v>13626</v>
      </c>
      <c r="E631" t="b">
        <v>0</v>
      </c>
      <c r="F631" t="s">
        <v>11610</v>
      </c>
      <c r="L631">
        <v>0</v>
      </c>
      <c r="M631">
        <v>0</v>
      </c>
      <c r="N631">
        <v>0</v>
      </c>
    </row>
    <row r="632" spans="1:15">
      <c r="A632" t="s">
        <v>13627</v>
      </c>
      <c r="B632" t="s">
        <v>1342</v>
      </c>
      <c r="C632" t="s">
        <v>13628</v>
      </c>
      <c r="D632" t="s">
        <v>13629</v>
      </c>
      <c r="E632" t="b">
        <v>0</v>
      </c>
      <c r="F632" t="s">
        <v>11624</v>
      </c>
      <c r="G632">
        <v>14.6669</v>
      </c>
      <c r="H632">
        <v>-3.1168</v>
      </c>
      <c r="I632" t="s">
        <v>13630</v>
      </c>
      <c r="L632">
        <v>0</v>
      </c>
      <c r="M632">
        <v>0</v>
      </c>
      <c r="N632">
        <v>0</v>
      </c>
      <c r="O632" t="s">
        <v>13528</v>
      </c>
    </row>
    <row r="633" spans="1:15">
      <c r="A633" t="s">
        <v>13631</v>
      </c>
      <c r="B633" t="s">
        <v>11607</v>
      </c>
      <c r="C633" t="s">
        <v>13632</v>
      </c>
      <c r="D633" t="s">
        <v>13633</v>
      </c>
      <c r="E633" t="b">
        <v>0</v>
      </c>
      <c r="F633" t="s">
        <v>11610</v>
      </c>
      <c r="L633">
        <v>0</v>
      </c>
      <c r="M633">
        <v>0</v>
      </c>
      <c r="N633">
        <v>0</v>
      </c>
    </row>
    <row r="634" spans="1:15">
      <c r="A634" t="s">
        <v>13634</v>
      </c>
      <c r="B634" t="s">
        <v>11607</v>
      </c>
      <c r="C634" t="s">
        <v>13635</v>
      </c>
      <c r="D634" t="s">
        <v>13636</v>
      </c>
      <c r="E634" t="b">
        <v>0</v>
      </c>
      <c r="F634" t="s">
        <v>11610</v>
      </c>
      <c r="L634">
        <v>0</v>
      </c>
      <c r="M634">
        <v>0</v>
      </c>
      <c r="N634">
        <v>0</v>
      </c>
    </row>
    <row r="635" spans="1:15">
      <c r="A635" t="s">
        <v>13637</v>
      </c>
      <c r="B635" t="s">
        <v>11637</v>
      </c>
      <c r="C635" t="s">
        <v>11637</v>
      </c>
      <c r="D635" t="s">
        <v>13638</v>
      </c>
      <c r="E635" t="b">
        <v>0</v>
      </c>
      <c r="F635" t="s">
        <v>11622</v>
      </c>
      <c r="L635">
        <v>5</v>
      </c>
      <c r="M635">
        <v>10</v>
      </c>
      <c r="N635">
        <v>0</v>
      </c>
    </row>
    <row r="636" spans="1:15">
      <c r="A636" t="s">
        <v>13639</v>
      </c>
      <c r="B636" t="s">
        <v>331</v>
      </c>
      <c r="C636" t="s">
        <v>4410</v>
      </c>
      <c r="D636" t="s">
        <v>13640</v>
      </c>
      <c r="E636" t="b">
        <v>0</v>
      </c>
      <c r="F636" t="s">
        <v>11610</v>
      </c>
      <c r="L636">
        <v>0</v>
      </c>
      <c r="M636">
        <v>0</v>
      </c>
      <c r="N636">
        <v>6</v>
      </c>
    </row>
    <row r="637" spans="1:15">
      <c r="A637" t="s">
        <v>13641</v>
      </c>
      <c r="B637" t="s">
        <v>11637</v>
      </c>
      <c r="C637" t="s">
        <v>2354</v>
      </c>
      <c r="D637" t="s">
        <v>13642</v>
      </c>
      <c r="E637" t="b">
        <v>0</v>
      </c>
      <c r="F637" t="s">
        <v>11610</v>
      </c>
      <c r="L637">
        <v>0</v>
      </c>
      <c r="M637">
        <v>0</v>
      </c>
      <c r="N637">
        <v>0</v>
      </c>
    </row>
    <row r="638" spans="1:15">
      <c r="A638" t="s">
        <v>13643</v>
      </c>
      <c r="B638" t="s">
        <v>331</v>
      </c>
      <c r="C638" t="s">
        <v>332</v>
      </c>
      <c r="D638" t="s">
        <v>13644</v>
      </c>
      <c r="E638" t="b">
        <v>0</v>
      </c>
      <c r="F638" t="s">
        <v>11610</v>
      </c>
      <c r="L638">
        <v>0</v>
      </c>
      <c r="M638">
        <v>0</v>
      </c>
      <c r="N638">
        <v>0</v>
      </c>
    </row>
    <row r="639" spans="1:15">
      <c r="A639" t="s">
        <v>13645</v>
      </c>
      <c r="B639" t="s">
        <v>11894</v>
      </c>
      <c r="C639" t="s">
        <v>13168</v>
      </c>
      <c r="D639" t="s">
        <v>13646</v>
      </c>
      <c r="E639" t="b">
        <v>0</v>
      </c>
      <c r="F639" t="s">
        <v>11624</v>
      </c>
      <c r="L639">
        <v>0</v>
      </c>
      <c r="M639">
        <v>0</v>
      </c>
      <c r="N639">
        <v>0</v>
      </c>
      <c r="O639" t="s">
        <v>11969</v>
      </c>
    </row>
    <row r="640" spans="1:15">
      <c r="A640" t="s">
        <v>13647</v>
      </c>
      <c r="B640" t="s">
        <v>11627</v>
      </c>
      <c r="C640" t="s">
        <v>11627</v>
      </c>
      <c r="D640" t="s">
        <v>13648</v>
      </c>
      <c r="E640" t="b">
        <v>1</v>
      </c>
      <c r="F640" t="s">
        <v>11624</v>
      </c>
      <c r="G640">
        <v>6.6652399999999998</v>
      </c>
      <c r="H640">
        <v>11.108700000000001</v>
      </c>
      <c r="I640" t="s">
        <v>13649</v>
      </c>
      <c r="L640">
        <v>0</v>
      </c>
      <c r="M640">
        <v>0</v>
      </c>
      <c r="N640">
        <v>0</v>
      </c>
      <c r="O640" t="s">
        <v>11693</v>
      </c>
    </row>
    <row r="641" spans="1:15">
      <c r="A641" t="s">
        <v>13650</v>
      </c>
      <c r="B641" t="s">
        <v>367</v>
      </c>
      <c r="C641" t="s">
        <v>13651</v>
      </c>
      <c r="D641" t="s">
        <v>13652</v>
      </c>
      <c r="E641" t="b">
        <v>0</v>
      </c>
      <c r="F641" t="s">
        <v>11610</v>
      </c>
      <c r="L641">
        <v>0</v>
      </c>
      <c r="M641">
        <v>0</v>
      </c>
      <c r="N641">
        <v>0</v>
      </c>
    </row>
    <row r="642" spans="1:15">
      <c r="A642" t="s">
        <v>13653</v>
      </c>
      <c r="B642" t="s">
        <v>12311</v>
      </c>
      <c r="C642" t="s">
        <v>13654</v>
      </c>
      <c r="D642" t="s">
        <v>13655</v>
      </c>
      <c r="E642" t="b">
        <v>0</v>
      </c>
      <c r="F642" t="s">
        <v>11610</v>
      </c>
      <c r="L642">
        <v>0</v>
      </c>
      <c r="M642">
        <v>0</v>
      </c>
      <c r="N642">
        <v>0</v>
      </c>
    </row>
    <row r="643" spans="1:15">
      <c r="A643" t="s">
        <v>13656</v>
      </c>
      <c r="B643" t="s">
        <v>367</v>
      </c>
      <c r="C643" t="s">
        <v>13657</v>
      </c>
      <c r="D643" t="s">
        <v>13658</v>
      </c>
      <c r="E643" t="b">
        <v>0</v>
      </c>
      <c r="F643" t="s">
        <v>11622</v>
      </c>
      <c r="L643">
        <v>0</v>
      </c>
      <c r="M643">
        <v>2</v>
      </c>
      <c r="N643">
        <v>0</v>
      </c>
    </row>
    <row r="644" spans="1:15">
      <c r="A644" t="s">
        <v>13659</v>
      </c>
      <c r="B644" t="s">
        <v>6742</v>
      </c>
      <c r="C644" t="s">
        <v>12870</v>
      </c>
      <c r="D644" t="s">
        <v>13660</v>
      </c>
      <c r="E644" t="b">
        <v>0</v>
      </c>
      <c r="F644" t="s">
        <v>11610</v>
      </c>
      <c r="L644">
        <v>0</v>
      </c>
      <c r="M644">
        <v>0</v>
      </c>
      <c r="N644">
        <v>0</v>
      </c>
    </row>
    <row r="645" spans="1:15">
      <c r="A645" t="s">
        <v>12163</v>
      </c>
      <c r="B645" t="s">
        <v>11637</v>
      </c>
      <c r="C645" t="s">
        <v>13661</v>
      </c>
      <c r="D645" t="s">
        <v>13662</v>
      </c>
      <c r="E645" t="b">
        <v>0</v>
      </c>
      <c r="F645" t="s">
        <v>11624</v>
      </c>
      <c r="G645">
        <v>39.8155</v>
      </c>
      <c r="H645">
        <v>21.9129</v>
      </c>
      <c r="I645" t="s">
        <v>13663</v>
      </c>
      <c r="L645">
        <v>0</v>
      </c>
      <c r="M645">
        <v>0</v>
      </c>
      <c r="N645">
        <v>6</v>
      </c>
      <c r="O645" t="s">
        <v>13664</v>
      </c>
    </row>
    <row r="646" spans="1:15">
      <c r="A646" t="s">
        <v>13665</v>
      </c>
      <c r="B646" t="s">
        <v>11607</v>
      </c>
      <c r="C646" t="s">
        <v>13666</v>
      </c>
      <c r="D646" t="s">
        <v>13667</v>
      </c>
      <c r="E646" t="b">
        <v>0</v>
      </c>
      <c r="F646" t="s">
        <v>11624</v>
      </c>
      <c r="G646">
        <v>31.7761</v>
      </c>
      <c r="H646">
        <v>35.172499999999999</v>
      </c>
      <c r="I646" t="s">
        <v>13668</v>
      </c>
      <c r="L646">
        <v>0</v>
      </c>
      <c r="M646">
        <v>0</v>
      </c>
      <c r="N646">
        <v>0</v>
      </c>
      <c r="O646" t="s">
        <v>13147</v>
      </c>
    </row>
    <row r="647" spans="1:15">
      <c r="A647" t="s">
        <v>13669</v>
      </c>
      <c r="B647" t="s">
        <v>11607</v>
      </c>
      <c r="C647" t="s">
        <v>13670</v>
      </c>
      <c r="D647" t="s">
        <v>13671</v>
      </c>
      <c r="E647" t="b">
        <v>0</v>
      </c>
      <c r="F647" t="s">
        <v>11624</v>
      </c>
      <c r="I647" t="s">
        <v>13672</v>
      </c>
      <c r="L647">
        <v>0</v>
      </c>
      <c r="M647">
        <v>0</v>
      </c>
      <c r="N647">
        <v>6</v>
      </c>
      <c r="O647" t="s">
        <v>12765</v>
      </c>
    </row>
    <row r="648" spans="1:15">
      <c r="A648" t="s">
        <v>13673</v>
      </c>
      <c r="B648" t="s">
        <v>13360</v>
      </c>
      <c r="C648" t="s">
        <v>13360</v>
      </c>
      <c r="D648" t="s">
        <v>13674</v>
      </c>
      <c r="E648" t="b">
        <v>0</v>
      </c>
      <c r="F648" t="s">
        <v>11624</v>
      </c>
      <c r="I648" t="s">
        <v>13675</v>
      </c>
      <c r="L648">
        <v>0</v>
      </c>
      <c r="M648">
        <v>0</v>
      </c>
      <c r="N648">
        <v>0</v>
      </c>
      <c r="O648" t="s">
        <v>13676</v>
      </c>
    </row>
    <row r="649" spans="1:15">
      <c r="A649" t="s">
        <v>13677</v>
      </c>
      <c r="B649" t="s">
        <v>12311</v>
      </c>
      <c r="C649" t="s">
        <v>13678</v>
      </c>
      <c r="D649" t="s">
        <v>13679</v>
      </c>
      <c r="E649" t="b">
        <v>0</v>
      </c>
      <c r="F649" t="s">
        <v>11610</v>
      </c>
      <c r="L649">
        <v>0</v>
      </c>
      <c r="M649">
        <v>0</v>
      </c>
      <c r="N649">
        <v>0</v>
      </c>
    </row>
    <row r="650" spans="1:15">
      <c r="A650" t="s">
        <v>13680</v>
      </c>
      <c r="B650" t="s">
        <v>11637</v>
      </c>
      <c r="C650" t="s">
        <v>239</v>
      </c>
      <c r="D650" t="s">
        <v>13681</v>
      </c>
      <c r="E650" t="b">
        <v>0</v>
      </c>
      <c r="F650" t="s">
        <v>11610</v>
      </c>
      <c r="L650">
        <v>0</v>
      </c>
      <c r="M650">
        <v>0</v>
      </c>
      <c r="N650">
        <v>0</v>
      </c>
    </row>
    <row r="651" spans="1:15">
      <c r="A651" t="s">
        <v>13682</v>
      </c>
      <c r="B651" t="s">
        <v>11637</v>
      </c>
      <c r="C651" t="s">
        <v>13683</v>
      </c>
      <c r="D651" t="s">
        <v>13684</v>
      </c>
      <c r="E651" t="b">
        <v>0</v>
      </c>
      <c r="F651" t="s">
        <v>11624</v>
      </c>
      <c r="G651">
        <v>11.676</v>
      </c>
      <c r="H651">
        <v>92.738</v>
      </c>
      <c r="I651" t="s">
        <v>13685</v>
      </c>
      <c r="L651">
        <v>0</v>
      </c>
      <c r="M651">
        <v>0</v>
      </c>
      <c r="N651">
        <v>0</v>
      </c>
      <c r="O651" t="s">
        <v>11630</v>
      </c>
    </row>
    <row r="652" spans="1:15">
      <c r="A652" t="s">
        <v>13686</v>
      </c>
      <c r="B652" t="s">
        <v>12311</v>
      </c>
      <c r="C652" t="s">
        <v>13678</v>
      </c>
      <c r="D652" t="s">
        <v>13687</v>
      </c>
      <c r="E652" t="b">
        <v>0</v>
      </c>
      <c r="F652" t="s">
        <v>11610</v>
      </c>
      <c r="L652">
        <v>0</v>
      </c>
      <c r="M652">
        <v>0</v>
      </c>
      <c r="N652">
        <v>0</v>
      </c>
    </row>
    <row r="653" spans="1:15">
      <c r="A653" t="s">
        <v>13688</v>
      </c>
      <c r="B653" t="s">
        <v>1588</v>
      </c>
      <c r="C653" t="s">
        <v>2656</v>
      </c>
      <c r="D653" t="s">
        <v>13689</v>
      </c>
      <c r="E653" t="b">
        <v>0</v>
      </c>
      <c r="F653" t="s">
        <v>11610</v>
      </c>
      <c r="G653">
        <v>-16.531222</v>
      </c>
      <c r="H653">
        <v>127.693718</v>
      </c>
      <c r="L653">
        <v>0</v>
      </c>
      <c r="M653">
        <v>0</v>
      </c>
      <c r="N653">
        <v>0</v>
      </c>
    </row>
    <row r="654" spans="1:15">
      <c r="A654" t="s">
        <v>13690</v>
      </c>
      <c r="B654" t="s">
        <v>13691</v>
      </c>
      <c r="C654" t="s">
        <v>13691</v>
      </c>
      <c r="D654" t="s">
        <v>13692</v>
      </c>
      <c r="E654" t="b">
        <v>0</v>
      </c>
      <c r="F654" t="s">
        <v>11624</v>
      </c>
      <c r="G654">
        <v>-4.9644899999999996</v>
      </c>
      <c r="H654">
        <v>143.637</v>
      </c>
      <c r="I654" t="s">
        <v>13693</v>
      </c>
      <c r="L654">
        <v>0</v>
      </c>
      <c r="M654">
        <v>0</v>
      </c>
      <c r="N654">
        <v>0</v>
      </c>
      <c r="O654" t="s">
        <v>11660</v>
      </c>
    </row>
    <row r="655" spans="1:15">
      <c r="A655" t="s">
        <v>13694</v>
      </c>
      <c r="B655" t="s">
        <v>11871</v>
      </c>
      <c r="C655" t="s">
        <v>13695</v>
      </c>
      <c r="D655" t="s">
        <v>13696</v>
      </c>
      <c r="E655" t="b">
        <v>0</v>
      </c>
      <c r="F655" t="s">
        <v>11624</v>
      </c>
      <c r="G655">
        <v>-4.4873399999999997</v>
      </c>
      <c r="H655">
        <v>144.767</v>
      </c>
      <c r="I655" t="s">
        <v>13697</v>
      </c>
      <c r="L655">
        <v>0</v>
      </c>
      <c r="M655">
        <v>0</v>
      </c>
      <c r="N655">
        <v>0</v>
      </c>
      <c r="O655" t="s">
        <v>11660</v>
      </c>
    </row>
    <row r="656" spans="1:15">
      <c r="A656" t="s">
        <v>13698</v>
      </c>
      <c r="B656" t="s">
        <v>141</v>
      </c>
      <c r="C656" t="s">
        <v>10678</v>
      </c>
      <c r="D656" t="s">
        <v>13699</v>
      </c>
      <c r="E656" t="b">
        <v>0</v>
      </c>
      <c r="F656" t="s">
        <v>11610</v>
      </c>
      <c r="L656">
        <v>0</v>
      </c>
      <c r="M656">
        <v>0</v>
      </c>
      <c r="N656">
        <v>0</v>
      </c>
    </row>
    <row r="657" spans="1:15">
      <c r="A657" t="s">
        <v>13700</v>
      </c>
      <c r="D657" t="s">
        <v>13701</v>
      </c>
      <c r="E657" t="b">
        <v>0</v>
      </c>
      <c r="F657" t="s">
        <v>11624</v>
      </c>
      <c r="G657">
        <v>2.7499899999999999</v>
      </c>
      <c r="H657">
        <v>-76</v>
      </c>
      <c r="I657" t="s">
        <v>13702</v>
      </c>
      <c r="L657">
        <v>0</v>
      </c>
      <c r="M657">
        <v>0</v>
      </c>
      <c r="N657">
        <v>0</v>
      </c>
      <c r="O657" t="s">
        <v>11898</v>
      </c>
    </row>
    <row r="658" spans="1:15">
      <c r="A658" t="s">
        <v>13703</v>
      </c>
      <c r="B658" t="s">
        <v>11607</v>
      </c>
      <c r="C658" t="s">
        <v>13704</v>
      </c>
      <c r="D658" t="s">
        <v>13705</v>
      </c>
      <c r="E658" t="b">
        <v>0</v>
      </c>
      <c r="F658" t="s">
        <v>11624</v>
      </c>
      <c r="I658" t="s">
        <v>13706</v>
      </c>
      <c r="L658">
        <v>0</v>
      </c>
      <c r="M658">
        <v>0</v>
      </c>
      <c r="N658">
        <v>0</v>
      </c>
      <c r="O658" t="s">
        <v>13707</v>
      </c>
    </row>
    <row r="659" spans="1:15">
      <c r="A659" t="s">
        <v>13708</v>
      </c>
      <c r="B659" t="s">
        <v>11844</v>
      </c>
      <c r="C659" t="s">
        <v>13709</v>
      </c>
      <c r="D659" t="s">
        <v>13710</v>
      </c>
      <c r="E659" t="b">
        <v>0</v>
      </c>
      <c r="F659" t="s">
        <v>11610</v>
      </c>
      <c r="L659">
        <v>0</v>
      </c>
      <c r="M659">
        <v>0</v>
      </c>
      <c r="N659">
        <v>0</v>
      </c>
    </row>
    <row r="660" spans="1:15">
      <c r="A660" t="s">
        <v>13711</v>
      </c>
      <c r="B660" t="s">
        <v>10597</v>
      </c>
      <c r="C660" t="s">
        <v>2625</v>
      </c>
      <c r="D660" t="s">
        <v>13712</v>
      </c>
      <c r="E660" t="b">
        <v>0</v>
      </c>
      <c r="F660" t="s">
        <v>11624</v>
      </c>
      <c r="G660">
        <v>-22.512779999999999</v>
      </c>
      <c r="H660">
        <v>137.35149999999999</v>
      </c>
      <c r="I660" t="s">
        <v>13713</v>
      </c>
      <c r="L660">
        <v>0</v>
      </c>
      <c r="M660">
        <v>0</v>
      </c>
      <c r="N660">
        <v>1</v>
      </c>
      <c r="O660" t="s">
        <v>12107</v>
      </c>
    </row>
    <row r="661" spans="1:15">
      <c r="A661" t="s">
        <v>13714</v>
      </c>
      <c r="B661" t="s">
        <v>11615</v>
      </c>
      <c r="C661" t="s">
        <v>8695</v>
      </c>
      <c r="D661" t="s">
        <v>13715</v>
      </c>
      <c r="E661" t="b">
        <v>0</v>
      </c>
      <c r="F661" t="s">
        <v>11610</v>
      </c>
      <c r="L661">
        <v>0</v>
      </c>
      <c r="M661">
        <v>0</v>
      </c>
      <c r="N661">
        <v>0</v>
      </c>
    </row>
    <row r="662" spans="1:15">
      <c r="A662" t="s">
        <v>13716</v>
      </c>
      <c r="B662" t="s">
        <v>11637</v>
      </c>
      <c r="C662" t="s">
        <v>13717</v>
      </c>
      <c r="D662" t="s">
        <v>13718</v>
      </c>
      <c r="E662" t="b">
        <v>0</v>
      </c>
      <c r="F662" t="s">
        <v>11610</v>
      </c>
      <c r="L662">
        <v>0</v>
      </c>
      <c r="M662">
        <v>0</v>
      </c>
      <c r="N662">
        <v>0</v>
      </c>
    </row>
    <row r="663" spans="1:15">
      <c r="A663" t="s">
        <v>2273</v>
      </c>
      <c r="B663" t="s">
        <v>11637</v>
      </c>
      <c r="C663" t="s">
        <v>13719</v>
      </c>
      <c r="D663" t="s">
        <v>2272</v>
      </c>
      <c r="E663" t="b">
        <v>0</v>
      </c>
      <c r="F663" t="s">
        <v>11624</v>
      </c>
      <c r="G663">
        <v>19.473400000000002</v>
      </c>
      <c r="H663">
        <v>77.715599999999995</v>
      </c>
      <c r="I663" t="s">
        <v>13720</v>
      </c>
      <c r="L663">
        <v>0</v>
      </c>
      <c r="M663">
        <v>0</v>
      </c>
      <c r="N663">
        <v>0</v>
      </c>
      <c r="O663" t="s">
        <v>11630</v>
      </c>
    </row>
    <row r="664" spans="1:15">
      <c r="A664" t="s">
        <v>13721</v>
      </c>
      <c r="B664" t="s">
        <v>11637</v>
      </c>
      <c r="C664" t="s">
        <v>13722</v>
      </c>
      <c r="D664" t="s">
        <v>13723</v>
      </c>
      <c r="E664" t="b">
        <v>0</v>
      </c>
      <c r="F664" t="s">
        <v>11610</v>
      </c>
      <c r="L664">
        <v>0</v>
      </c>
      <c r="M664">
        <v>0</v>
      </c>
      <c r="N664">
        <v>0</v>
      </c>
    </row>
    <row r="665" spans="1:15">
      <c r="A665" t="s">
        <v>12745</v>
      </c>
      <c r="B665" t="s">
        <v>12311</v>
      </c>
      <c r="C665" t="s">
        <v>13724</v>
      </c>
      <c r="D665" t="s">
        <v>13725</v>
      </c>
      <c r="E665" t="b">
        <v>0</v>
      </c>
      <c r="F665" t="s">
        <v>11622</v>
      </c>
      <c r="L665">
        <v>2</v>
      </c>
      <c r="M665">
        <v>8</v>
      </c>
      <c r="N665">
        <v>13</v>
      </c>
    </row>
    <row r="666" spans="1:15">
      <c r="A666" t="s">
        <v>13726</v>
      </c>
      <c r="B666" t="s">
        <v>12311</v>
      </c>
      <c r="C666" t="s">
        <v>12745</v>
      </c>
      <c r="D666" t="s">
        <v>13727</v>
      </c>
      <c r="E666" t="b">
        <v>0</v>
      </c>
      <c r="F666" t="s">
        <v>11624</v>
      </c>
      <c r="G666">
        <v>42.8078</v>
      </c>
      <c r="H666">
        <v>46.291899999999998</v>
      </c>
      <c r="I666" t="s">
        <v>13728</v>
      </c>
      <c r="L666">
        <v>0</v>
      </c>
      <c r="M666">
        <v>0</v>
      </c>
      <c r="N666">
        <v>5</v>
      </c>
      <c r="O666" t="s">
        <v>12748</v>
      </c>
    </row>
    <row r="667" spans="1:15">
      <c r="A667" t="s">
        <v>13729</v>
      </c>
      <c r="B667" t="s">
        <v>11729</v>
      </c>
      <c r="C667" t="s">
        <v>13730</v>
      </c>
      <c r="D667" t="s">
        <v>13731</v>
      </c>
      <c r="E667" t="b">
        <v>0</v>
      </c>
      <c r="F667" t="s">
        <v>11610</v>
      </c>
      <c r="L667">
        <v>0</v>
      </c>
      <c r="M667">
        <v>0</v>
      </c>
      <c r="N667">
        <v>0</v>
      </c>
    </row>
    <row r="668" spans="1:15">
      <c r="A668" t="s">
        <v>13732</v>
      </c>
      <c r="B668" t="s">
        <v>367</v>
      </c>
      <c r="C668" t="s">
        <v>13733</v>
      </c>
      <c r="D668" t="s">
        <v>13734</v>
      </c>
      <c r="E668" t="b">
        <v>0</v>
      </c>
      <c r="F668" t="s">
        <v>11624</v>
      </c>
      <c r="G668">
        <v>-0.88368000000000002</v>
      </c>
      <c r="H668">
        <v>123.17400000000001</v>
      </c>
      <c r="I668" t="s">
        <v>13735</v>
      </c>
      <c r="L668">
        <v>0</v>
      </c>
      <c r="M668">
        <v>0</v>
      </c>
      <c r="N668">
        <v>0</v>
      </c>
      <c r="O668" t="s">
        <v>11768</v>
      </c>
    </row>
    <row r="669" spans="1:15">
      <c r="A669" t="s">
        <v>13736</v>
      </c>
      <c r="B669" t="s">
        <v>13737</v>
      </c>
      <c r="C669" t="s">
        <v>13738</v>
      </c>
      <c r="D669" t="s">
        <v>13739</v>
      </c>
      <c r="E669" t="b">
        <v>0</v>
      </c>
      <c r="F669" t="s">
        <v>11624</v>
      </c>
      <c r="G669">
        <v>-0.66699200000000003</v>
      </c>
      <c r="H669">
        <v>-72.310867000000002</v>
      </c>
      <c r="L669">
        <v>0</v>
      </c>
      <c r="M669">
        <v>0</v>
      </c>
      <c r="N669">
        <v>0</v>
      </c>
      <c r="O669" t="s">
        <v>11898</v>
      </c>
    </row>
    <row r="670" spans="1:15">
      <c r="A670" t="s">
        <v>13740</v>
      </c>
      <c r="B670" t="s">
        <v>13741</v>
      </c>
      <c r="C670" t="s">
        <v>13742</v>
      </c>
      <c r="D670" t="s">
        <v>13743</v>
      </c>
      <c r="E670" t="b">
        <v>0</v>
      </c>
      <c r="F670" t="s">
        <v>11624</v>
      </c>
      <c r="G670">
        <v>-3.29664</v>
      </c>
      <c r="H670">
        <v>-76.605599999999995</v>
      </c>
      <c r="I670" t="s">
        <v>13744</v>
      </c>
      <c r="L670">
        <v>0</v>
      </c>
      <c r="M670">
        <v>0</v>
      </c>
      <c r="N670">
        <v>0</v>
      </c>
      <c r="O670" t="s">
        <v>11778</v>
      </c>
    </row>
    <row r="671" spans="1:15">
      <c r="A671" t="s">
        <v>13745</v>
      </c>
      <c r="D671" t="s">
        <v>13746</v>
      </c>
      <c r="E671" t="b">
        <v>0</v>
      </c>
      <c r="F671" t="s">
        <v>11624</v>
      </c>
      <c r="G671">
        <v>-0.53751000000000004</v>
      </c>
      <c r="H671">
        <v>-72.0869</v>
      </c>
      <c r="I671" t="s">
        <v>13747</v>
      </c>
      <c r="L671">
        <v>0</v>
      </c>
      <c r="M671">
        <v>0</v>
      </c>
      <c r="N671">
        <v>2</v>
      </c>
      <c r="O671" t="s">
        <v>11898</v>
      </c>
    </row>
    <row r="672" spans="1:15">
      <c r="A672" t="s">
        <v>13748</v>
      </c>
      <c r="B672" t="s">
        <v>13745</v>
      </c>
      <c r="C672" t="s">
        <v>13745</v>
      </c>
      <c r="D672" t="s">
        <v>13749</v>
      </c>
      <c r="E672" t="b">
        <v>0</v>
      </c>
      <c r="F672" t="s">
        <v>11610</v>
      </c>
      <c r="L672">
        <v>0</v>
      </c>
      <c r="M672">
        <v>0</v>
      </c>
      <c r="N672">
        <v>0</v>
      </c>
    </row>
    <row r="673" spans="1:15">
      <c r="A673" t="s">
        <v>13750</v>
      </c>
      <c r="B673" t="s">
        <v>11644</v>
      </c>
      <c r="C673" t="s">
        <v>13751</v>
      </c>
      <c r="D673" t="s">
        <v>13752</v>
      </c>
      <c r="E673" t="b">
        <v>0</v>
      </c>
      <c r="F673" t="s">
        <v>11622</v>
      </c>
      <c r="L673">
        <v>0</v>
      </c>
      <c r="M673">
        <v>2</v>
      </c>
      <c r="N673">
        <v>0</v>
      </c>
    </row>
    <row r="674" spans="1:15">
      <c r="A674" t="s">
        <v>13753</v>
      </c>
      <c r="B674" t="s">
        <v>11644</v>
      </c>
      <c r="C674" t="s">
        <v>13750</v>
      </c>
      <c r="D674" t="s">
        <v>13754</v>
      </c>
      <c r="E674" t="b">
        <v>0</v>
      </c>
      <c r="F674" t="s">
        <v>11624</v>
      </c>
      <c r="G674">
        <v>24.754303</v>
      </c>
      <c r="H674">
        <v>94.033795999999995</v>
      </c>
      <c r="L674">
        <v>0</v>
      </c>
      <c r="M674">
        <v>0</v>
      </c>
      <c r="N674">
        <v>0</v>
      </c>
      <c r="O674" t="s">
        <v>11630</v>
      </c>
    </row>
    <row r="675" spans="1:15">
      <c r="A675" t="s">
        <v>13755</v>
      </c>
      <c r="B675" t="s">
        <v>11729</v>
      </c>
      <c r="C675" t="s">
        <v>12334</v>
      </c>
      <c r="D675" t="s">
        <v>13756</v>
      </c>
      <c r="E675" t="b">
        <v>0</v>
      </c>
      <c r="F675" t="s">
        <v>11610</v>
      </c>
      <c r="L675">
        <v>0</v>
      </c>
      <c r="M675">
        <v>0</v>
      </c>
      <c r="N675">
        <v>0</v>
      </c>
    </row>
    <row r="676" spans="1:15">
      <c r="A676" t="s">
        <v>13757</v>
      </c>
      <c r="B676" t="s">
        <v>367</v>
      </c>
      <c r="C676" t="s">
        <v>13758</v>
      </c>
      <c r="D676" t="s">
        <v>13759</v>
      </c>
      <c r="E676" t="b">
        <v>0</v>
      </c>
      <c r="F676" t="s">
        <v>11624</v>
      </c>
      <c r="G676">
        <v>-2.0589400000000002</v>
      </c>
      <c r="H676">
        <v>147.08500000000001</v>
      </c>
      <c r="I676" t="s">
        <v>13760</v>
      </c>
      <c r="L676">
        <v>0</v>
      </c>
      <c r="M676">
        <v>0</v>
      </c>
      <c r="N676">
        <v>0</v>
      </c>
      <c r="O676" t="s">
        <v>11660</v>
      </c>
    </row>
    <row r="677" spans="1:15">
      <c r="A677" t="s">
        <v>13761</v>
      </c>
      <c r="B677" t="s">
        <v>6742</v>
      </c>
      <c r="C677" t="s">
        <v>13762</v>
      </c>
      <c r="D677" t="s">
        <v>13763</v>
      </c>
      <c r="E677" t="b">
        <v>0</v>
      </c>
      <c r="F677" t="s">
        <v>11610</v>
      </c>
      <c r="L677">
        <v>0</v>
      </c>
      <c r="M677">
        <v>0</v>
      </c>
      <c r="N677">
        <v>0</v>
      </c>
    </row>
    <row r="678" spans="1:15">
      <c r="A678" t="s">
        <v>13764</v>
      </c>
      <c r="B678" t="s">
        <v>367</v>
      </c>
      <c r="C678" t="s">
        <v>13765</v>
      </c>
      <c r="D678" t="s">
        <v>13766</v>
      </c>
      <c r="E678" t="b">
        <v>0</v>
      </c>
      <c r="F678" t="s">
        <v>11624</v>
      </c>
      <c r="G678">
        <v>-20.186399999999999</v>
      </c>
      <c r="H678">
        <v>169.82499999999999</v>
      </c>
      <c r="I678" t="s">
        <v>13767</v>
      </c>
      <c r="L678">
        <v>0</v>
      </c>
      <c r="M678">
        <v>0</v>
      </c>
      <c r="N678">
        <v>0</v>
      </c>
      <c r="O678" t="s">
        <v>12719</v>
      </c>
    </row>
    <row r="679" spans="1:15">
      <c r="A679" t="s">
        <v>13768</v>
      </c>
      <c r="B679" t="s">
        <v>13769</v>
      </c>
      <c r="C679" t="s">
        <v>13770</v>
      </c>
      <c r="D679" t="s">
        <v>13771</v>
      </c>
      <c r="E679" t="b">
        <v>0</v>
      </c>
      <c r="F679" t="s">
        <v>11624</v>
      </c>
      <c r="G679">
        <v>-9.7591099999999997</v>
      </c>
      <c r="H679">
        <v>148.47900000000001</v>
      </c>
      <c r="I679" t="s">
        <v>13772</v>
      </c>
      <c r="L679">
        <v>0</v>
      </c>
      <c r="M679">
        <v>0</v>
      </c>
      <c r="N679">
        <v>5</v>
      </c>
      <c r="O679" t="s">
        <v>11660</v>
      </c>
    </row>
    <row r="680" spans="1:15">
      <c r="A680" t="s">
        <v>13773</v>
      </c>
      <c r="D680" t="s">
        <v>13774</v>
      </c>
      <c r="E680" t="b">
        <v>0</v>
      </c>
      <c r="F680" t="s">
        <v>11624</v>
      </c>
      <c r="G680">
        <v>-5.5483599999999997</v>
      </c>
      <c r="H680">
        <v>148.99299999999999</v>
      </c>
      <c r="I680" t="s">
        <v>13775</v>
      </c>
      <c r="L680">
        <v>0</v>
      </c>
      <c r="M680">
        <v>0</v>
      </c>
      <c r="N680">
        <v>0</v>
      </c>
      <c r="O680" t="s">
        <v>11660</v>
      </c>
    </row>
    <row r="681" spans="1:15">
      <c r="A681" t="s">
        <v>13776</v>
      </c>
      <c r="B681" t="s">
        <v>367</v>
      </c>
      <c r="C681" t="s">
        <v>5309</v>
      </c>
      <c r="D681" t="s">
        <v>13777</v>
      </c>
      <c r="E681" t="b">
        <v>0</v>
      </c>
      <c r="F681" t="s">
        <v>11610</v>
      </c>
      <c r="L681">
        <v>0</v>
      </c>
      <c r="M681">
        <v>0</v>
      </c>
      <c r="N681">
        <v>0</v>
      </c>
    </row>
    <row r="682" spans="1:15">
      <c r="A682" t="s">
        <v>13778</v>
      </c>
      <c r="B682" t="s">
        <v>6742</v>
      </c>
      <c r="C682" t="s">
        <v>12353</v>
      </c>
      <c r="D682" t="s">
        <v>13779</v>
      </c>
      <c r="E682" t="b">
        <v>0</v>
      </c>
      <c r="F682" t="s">
        <v>11610</v>
      </c>
      <c r="L682">
        <v>0</v>
      </c>
      <c r="M682">
        <v>0</v>
      </c>
      <c r="N682">
        <v>0</v>
      </c>
    </row>
    <row r="683" spans="1:15">
      <c r="A683" t="s">
        <v>13780</v>
      </c>
      <c r="B683" t="s">
        <v>13571</v>
      </c>
      <c r="C683" t="s">
        <v>13781</v>
      </c>
      <c r="D683" t="s">
        <v>13782</v>
      </c>
      <c r="E683" t="b">
        <v>0</v>
      </c>
      <c r="F683" t="s">
        <v>11624</v>
      </c>
      <c r="G683">
        <v>8.5679999999999996</v>
      </c>
      <c r="H683">
        <v>34.646999999999998</v>
      </c>
      <c r="I683" t="s">
        <v>13783</v>
      </c>
      <c r="L683">
        <v>0</v>
      </c>
      <c r="M683">
        <v>0</v>
      </c>
      <c r="N683">
        <v>0</v>
      </c>
      <c r="O683" t="s">
        <v>11625</v>
      </c>
    </row>
    <row r="684" spans="1:15">
      <c r="A684" t="s">
        <v>13784</v>
      </c>
      <c r="B684" t="s">
        <v>11644</v>
      </c>
      <c r="C684" t="s">
        <v>13785</v>
      </c>
      <c r="D684" t="s">
        <v>13786</v>
      </c>
      <c r="E684" t="b">
        <v>0</v>
      </c>
      <c r="F684" t="s">
        <v>11622</v>
      </c>
      <c r="L684">
        <v>2</v>
      </c>
      <c r="M684">
        <v>5</v>
      </c>
      <c r="N684">
        <v>11</v>
      </c>
    </row>
    <row r="685" spans="1:15">
      <c r="A685" t="s">
        <v>13785</v>
      </c>
      <c r="B685" t="s">
        <v>11644</v>
      </c>
      <c r="C685" t="s">
        <v>13787</v>
      </c>
      <c r="D685" t="s">
        <v>13788</v>
      </c>
      <c r="E685" t="b">
        <v>0</v>
      </c>
      <c r="F685" t="s">
        <v>11622</v>
      </c>
      <c r="L685">
        <v>5</v>
      </c>
      <c r="M685">
        <v>9</v>
      </c>
      <c r="N685">
        <v>17</v>
      </c>
    </row>
    <row r="686" spans="1:15">
      <c r="A686" t="s">
        <v>13789</v>
      </c>
      <c r="B686" t="s">
        <v>11644</v>
      </c>
      <c r="C686" t="s">
        <v>13784</v>
      </c>
      <c r="D686" t="s">
        <v>13790</v>
      </c>
      <c r="E686" t="b">
        <v>0</v>
      </c>
      <c r="F686" t="s">
        <v>11622</v>
      </c>
      <c r="L686">
        <v>0</v>
      </c>
      <c r="M686">
        <v>2</v>
      </c>
      <c r="N686">
        <v>10</v>
      </c>
    </row>
    <row r="687" spans="1:15">
      <c r="A687" t="s">
        <v>1298</v>
      </c>
      <c r="B687" t="s">
        <v>11644</v>
      </c>
      <c r="C687" t="s">
        <v>13789</v>
      </c>
      <c r="D687" t="s">
        <v>13791</v>
      </c>
      <c r="E687" t="b">
        <v>0</v>
      </c>
      <c r="F687" t="s">
        <v>11624</v>
      </c>
      <c r="G687">
        <v>25.684100000000001</v>
      </c>
      <c r="H687">
        <v>93.866799999999998</v>
      </c>
      <c r="I687" t="s">
        <v>13792</v>
      </c>
      <c r="L687">
        <v>0</v>
      </c>
      <c r="M687">
        <v>0</v>
      </c>
      <c r="N687">
        <v>10</v>
      </c>
      <c r="O687" t="s">
        <v>11630</v>
      </c>
    </row>
    <row r="688" spans="1:15">
      <c r="A688" t="s">
        <v>12487</v>
      </c>
      <c r="D688" t="s">
        <v>13793</v>
      </c>
      <c r="E688" t="b">
        <v>0</v>
      </c>
      <c r="F688" t="s">
        <v>11622</v>
      </c>
      <c r="L688">
        <v>7</v>
      </c>
      <c r="M688">
        <v>13</v>
      </c>
      <c r="N688">
        <v>17</v>
      </c>
    </row>
    <row r="689" spans="1:15">
      <c r="A689" t="s">
        <v>13794</v>
      </c>
      <c r="B689" t="s">
        <v>12487</v>
      </c>
      <c r="C689" t="s">
        <v>12487</v>
      </c>
      <c r="D689" t="s">
        <v>13795</v>
      </c>
      <c r="E689" t="b">
        <v>0</v>
      </c>
      <c r="F689" t="s">
        <v>11624</v>
      </c>
      <c r="G689">
        <v>-7.1501200000000003</v>
      </c>
      <c r="H689">
        <v>146.352</v>
      </c>
      <c r="I689" t="s">
        <v>13796</v>
      </c>
      <c r="L689">
        <v>0</v>
      </c>
      <c r="M689">
        <v>0</v>
      </c>
      <c r="N689">
        <v>0</v>
      </c>
      <c r="O689" t="s">
        <v>11660</v>
      </c>
    </row>
    <row r="690" spans="1:15">
      <c r="A690" t="s">
        <v>13797</v>
      </c>
      <c r="B690" t="s">
        <v>11615</v>
      </c>
      <c r="C690" t="s">
        <v>13798</v>
      </c>
      <c r="D690" t="s">
        <v>13799</v>
      </c>
      <c r="E690" t="b">
        <v>0</v>
      </c>
      <c r="F690" t="s">
        <v>11622</v>
      </c>
      <c r="L690">
        <v>4</v>
      </c>
      <c r="M690">
        <v>7</v>
      </c>
      <c r="N690">
        <v>4</v>
      </c>
    </row>
    <row r="691" spans="1:15">
      <c r="A691" t="s">
        <v>13800</v>
      </c>
      <c r="B691" t="s">
        <v>11615</v>
      </c>
      <c r="C691" t="s">
        <v>13801</v>
      </c>
      <c r="D691" t="s">
        <v>13802</v>
      </c>
      <c r="E691" t="b">
        <v>0</v>
      </c>
      <c r="F691" t="s">
        <v>11624</v>
      </c>
      <c r="G691">
        <v>-6.13347</v>
      </c>
      <c r="H691">
        <v>143.47800000000001</v>
      </c>
      <c r="I691" t="s">
        <v>13803</v>
      </c>
      <c r="L691">
        <v>0</v>
      </c>
      <c r="M691">
        <v>0</v>
      </c>
      <c r="N691">
        <v>3</v>
      </c>
      <c r="O691" t="s">
        <v>11660</v>
      </c>
    </row>
    <row r="692" spans="1:15">
      <c r="A692" t="s">
        <v>13804</v>
      </c>
      <c r="B692" t="s">
        <v>11615</v>
      </c>
      <c r="C692" t="s">
        <v>13801</v>
      </c>
      <c r="D692" t="s">
        <v>13805</v>
      </c>
      <c r="E692" t="b">
        <v>0</v>
      </c>
      <c r="F692" t="s">
        <v>11624</v>
      </c>
      <c r="G692">
        <v>-6.0126999999999997</v>
      </c>
      <c r="H692">
        <v>143.59200000000001</v>
      </c>
      <c r="I692" t="s">
        <v>13806</v>
      </c>
      <c r="L692">
        <v>0</v>
      </c>
      <c r="M692">
        <v>0</v>
      </c>
      <c r="N692">
        <v>0</v>
      </c>
      <c r="O692" t="s">
        <v>11660</v>
      </c>
    </row>
    <row r="693" spans="1:15">
      <c r="A693" t="s">
        <v>13807</v>
      </c>
      <c r="B693" t="s">
        <v>11615</v>
      </c>
      <c r="C693" t="s">
        <v>13801</v>
      </c>
      <c r="D693" t="s">
        <v>13808</v>
      </c>
      <c r="E693" t="b">
        <v>0</v>
      </c>
      <c r="F693" t="s">
        <v>11624</v>
      </c>
      <c r="G693">
        <v>-6.2329600000000003</v>
      </c>
      <c r="H693">
        <v>143.583</v>
      </c>
      <c r="I693" t="s">
        <v>13809</v>
      </c>
      <c r="L693">
        <v>0</v>
      </c>
      <c r="M693">
        <v>0</v>
      </c>
      <c r="N693">
        <v>1</v>
      </c>
      <c r="O693" t="s">
        <v>11660</v>
      </c>
    </row>
    <row r="694" spans="1:15">
      <c r="A694" t="s">
        <v>13810</v>
      </c>
      <c r="B694" t="s">
        <v>11607</v>
      </c>
      <c r="C694" t="s">
        <v>13811</v>
      </c>
      <c r="D694" t="s">
        <v>13812</v>
      </c>
      <c r="E694" t="b">
        <v>0</v>
      </c>
      <c r="F694" t="s">
        <v>11622</v>
      </c>
      <c r="L694">
        <v>2</v>
      </c>
      <c r="M694">
        <v>6</v>
      </c>
      <c r="N694">
        <v>2</v>
      </c>
    </row>
    <row r="695" spans="1:15">
      <c r="A695" t="s">
        <v>13787</v>
      </c>
      <c r="B695" t="s">
        <v>11644</v>
      </c>
      <c r="C695" t="s">
        <v>13813</v>
      </c>
      <c r="D695" t="s">
        <v>13814</v>
      </c>
      <c r="E695" t="b">
        <v>0</v>
      </c>
      <c r="F695" t="s">
        <v>11622</v>
      </c>
      <c r="L695">
        <v>9</v>
      </c>
      <c r="M695">
        <v>16</v>
      </c>
      <c r="N695">
        <v>45</v>
      </c>
    </row>
    <row r="696" spans="1:15">
      <c r="A696" t="s">
        <v>13815</v>
      </c>
      <c r="B696" t="s">
        <v>11615</v>
      </c>
      <c r="C696" t="s">
        <v>13797</v>
      </c>
      <c r="D696" t="s">
        <v>13816</v>
      </c>
      <c r="E696" t="b">
        <v>0</v>
      </c>
      <c r="F696" t="s">
        <v>11622</v>
      </c>
      <c r="L696">
        <v>3</v>
      </c>
      <c r="M696">
        <v>6</v>
      </c>
      <c r="N696">
        <v>4</v>
      </c>
    </row>
    <row r="697" spans="1:15">
      <c r="A697" t="s">
        <v>13801</v>
      </c>
      <c r="B697" t="s">
        <v>11615</v>
      </c>
      <c r="C697" t="s">
        <v>13815</v>
      </c>
      <c r="D697" t="s">
        <v>13817</v>
      </c>
      <c r="E697" t="b">
        <v>0</v>
      </c>
      <c r="F697" t="s">
        <v>11622</v>
      </c>
      <c r="L697">
        <v>0</v>
      </c>
      <c r="M697">
        <v>3</v>
      </c>
      <c r="N697">
        <v>4</v>
      </c>
    </row>
    <row r="698" spans="1:15">
      <c r="A698" t="s">
        <v>13818</v>
      </c>
      <c r="B698" t="s">
        <v>11981</v>
      </c>
      <c r="C698" t="s">
        <v>11982</v>
      </c>
      <c r="D698" t="s">
        <v>13819</v>
      </c>
      <c r="E698" t="b">
        <v>0</v>
      </c>
      <c r="F698" t="s">
        <v>11624</v>
      </c>
      <c r="G698">
        <v>25.896367000000001</v>
      </c>
      <c r="H698">
        <v>93.719061999999994</v>
      </c>
      <c r="L698">
        <v>0</v>
      </c>
      <c r="M698">
        <v>0</v>
      </c>
      <c r="N698">
        <v>0</v>
      </c>
      <c r="O698" t="s">
        <v>11944</v>
      </c>
    </row>
    <row r="699" spans="1:15">
      <c r="A699" t="s">
        <v>13820</v>
      </c>
      <c r="B699" t="s">
        <v>13821</v>
      </c>
      <c r="C699" t="s">
        <v>13822</v>
      </c>
      <c r="D699" t="s">
        <v>13823</v>
      </c>
      <c r="E699" t="b">
        <v>0</v>
      </c>
      <c r="F699" t="s">
        <v>11624</v>
      </c>
      <c r="G699">
        <v>-22.85</v>
      </c>
      <c r="H699">
        <v>-58.45</v>
      </c>
      <c r="I699" t="s">
        <v>13824</v>
      </c>
      <c r="L699">
        <v>0</v>
      </c>
      <c r="M699">
        <v>0</v>
      </c>
      <c r="N699">
        <v>0</v>
      </c>
      <c r="O699" t="s">
        <v>11916</v>
      </c>
    </row>
    <row r="700" spans="1:15">
      <c r="A700" t="s">
        <v>13825</v>
      </c>
      <c r="B700" t="s">
        <v>11637</v>
      </c>
      <c r="C700" t="s">
        <v>3656</v>
      </c>
      <c r="D700" t="s">
        <v>13826</v>
      </c>
      <c r="E700" t="b">
        <v>0</v>
      </c>
      <c r="F700" t="s">
        <v>11610</v>
      </c>
      <c r="L700">
        <v>0</v>
      </c>
      <c r="M700">
        <v>0</v>
      </c>
      <c r="N700">
        <v>0</v>
      </c>
    </row>
    <row r="701" spans="1:15">
      <c r="A701" t="s">
        <v>13827</v>
      </c>
      <c r="B701" t="s">
        <v>10597</v>
      </c>
      <c r="C701" t="s">
        <v>13828</v>
      </c>
      <c r="D701" t="s">
        <v>13829</v>
      </c>
      <c r="E701" t="b">
        <v>0</v>
      </c>
      <c r="F701" t="s">
        <v>11624</v>
      </c>
      <c r="G701">
        <v>-11.443</v>
      </c>
      <c r="H701">
        <v>142.24199999999999</v>
      </c>
      <c r="I701" t="s">
        <v>13830</v>
      </c>
      <c r="L701">
        <v>0</v>
      </c>
      <c r="M701">
        <v>0</v>
      </c>
      <c r="N701">
        <v>0</v>
      </c>
      <c r="O701" t="s">
        <v>12107</v>
      </c>
    </row>
    <row r="702" spans="1:15">
      <c r="A702" t="s">
        <v>13831</v>
      </c>
      <c r="B702" t="s">
        <v>11615</v>
      </c>
      <c r="C702" t="s">
        <v>13832</v>
      </c>
      <c r="D702" t="s">
        <v>13833</v>
      </c>
      <c r="E702" t="b">
        <v>0</v>
      </c>
      <c r="F702" t="s">
        <v>11624</v>
      </c>
      <c r="G702">
        <v>-4.0835999999999997</v>
      </c>
      <c r="H702">
        <v>139.45699999999999</v>
      </c>
      <c r="I702" t="s">
        <v>13834</v>
      </c>
      <c r="L702">
        <v>0</v>
      </c>
      <c r="M702">
        <v>0</v>
      </c>
      <c r="N702">
        <v>0</v>
      </c>
      <c r="O702" t="s">
        <v>11768</v>
      </c>
    </row>
    <row r="703" spans="1:15">
      <c r="A703" t="s">
        <v>13835</v>
      </c>
      <c r="B703" t="s">
        <v>11637</v>
      </c>
      <c r="C703" t="s">
        <v>13836</v>
      </c>
      <c r="D703" t="s">
        <v>13837</v>
      </c>
      <c r="E703" t="b">
        <v>0</v>
      </c>
      <c r="F703" t="s">
        <v>11624</v>
      </c>
      <c r="G703">
        <v>26.0047</v>
      </c>
      <c r="H703">
        <v>85.534000000000006</v>
      </c>
      <c r="I703" t="s">
        <v>13838</v>
      </c>
      <c r="L703">
        <v>0</v>
      </c>
      <c r="M703">
        <v>0</v>
      </c>
      <c r="N703">
        <v>0</v>
      </c>
      <c r="O703" t="s">
        <v>12524</v>
      </c>
    </row>
    <row r="704" spans="1:15">
      <c r="A704" t="s">
        <v>13839</v>
      </c>
      <c r="B704" t="s">
        <v>12438</v>
      </c>
      <c r="C704" t="s">
        <v>13840</v>
      </c>
      <c r="D704" t="s">
        <v>13841</v>
      </c>
      <c r="E704" t="b">
        <v>0</v>
      </c>
      <c r="F704" t="s">
        <v>11622</v>
      </c>
      <c r="L704">
        <v>1</v>
      </c>
      <c r="M704">
        <v>6</v>
      </c>
      <c r="N704">
        <v>2</v>
      </c>
    </row>
    <row r="705" spans="1:15">
      <c r="A705" t="s">
        <v>13842</v>
      </c>
      <c r="B705" t="s">
        <v>11615</v>
      </c>
      <c r="C705" t="s">
        <v>13843</v>
      </c>
      <c r="D705" t="s">
        <v>13844</v>
      </c>
      <c r="E705" t="b">
        <v>0</v>
      </c>
      <c r="F705" t="s">
        <v>11610</v>
      </c>
      <c r="L705">
        <v>0</v>
      </c>
      <c r="M705">
        <v>0</v>
      </c>
      <c r="N705">
        <v>0</v>
      </c>
    </row>
    <row r="706" spans="1:15">
      <c r="A706" t="s">
        <v>13845</v>
      </c>
      <c r="B706" t="s">
        <v>367</v>
      </c>
      <c r="C706" t="s">
        <v>13846</v>
      </c>
      <c r="D706" t="s">
        <v>13847</v>
      </c>
      <c r="E706" t="b">
        <v>0</v>
      </c>
      <c r="F706" t="s">
        <v>11622</v>
      </c>
      <c r="L706">
        <v>0</v>
      </c>
      <c r="M706">
        <v>2</v>
      </c>
      <c r="N706">
        <v>0</v>
      </c>
    </row>
    <row r="707" spans="1:15">
      <c r="A707" t="s">
        <v>13848</v>
      </c>
      <c r="B707" t="s">
        <v>11637</v>
      </c>
      <c r="C707" t="s">
        <v>13849</v>
      </c>
      <c r="D707" t="s">
        <v>13850</v>
      </c>
      <c r="E707" t="b">
        <v>0</v>
      </c>
      <c r="F707" t="s">
        <v>11624</v>
      </c>
      <c r="G707">
        <v>39</v>
      </c>
      <c r="H707">
        <v>-78</v>
      </c>
      <c r="I707" t="s">
        <v>13851</v>
      </c>
      <c r="L707">
        <v>0</v>
      </c>
      <c r="M707">
        <v>0</v>
      </c>
      <c r="N707">
        <v>0</v>
      </c>
      <c r="O707" t="s">
        <v>13852</v>
      </c>
    </row>
    <row r="708" spans="1:15">
      <c r="A708" t="s">
        <v>13853</v>
      </c>
      <c r="B708" t="s">
        <v>11981</v>
      </c>
      <c r="C708" t="s">
        <v>13854</v>
      </c>
      <c r="D708" t="s">
        <v>13855</v>
      </c>
      <c r="E708" t="b">
        <v>0</v>
      </c>
      <c r="F708" t="s">
        <v>11610</v>
      </c>
      <c r="L708">
        <v>0</v>
      </c>
      <c r="M708">
        <v>0</v>
      </c>
      <c r="N708">
        <v>0</v>
      </c>
    </row>
    <row r="709" spans="1:15">
      <c r="A709" t="s">
        <v>13856</v>
      </c>
      <c r="B709" t="s">
        <v>11637</v>
      </c>
      <c r="C709" t="s">
        <v>3656</v>
      </c>
      <c r="D709" t="s">
        <v>13857</v>
      </c>
      <c r="E709" t="b">
        <v>0</v>
      </c>
      <c r="F709" t="s">
        <v>11610</v>
      </c>
      <c r="I709" t="s">
        <v>13858</v>
      </c>
      <c r="L709">
        <v>0</v>
      </c>
      <c r="M709">
        <v>0</v>
      </c>
      <c r="N709">
        <v>0</v>
      </c>
    </row>
    <row r="710" spans="1:15">
      <c r="A710" t="s">
        <v>13859</v>
      </c>
      <c r="B710" t="s">
        <v>6742</v>
      </c>
      <c r="C710" t="s">
        <v>134</v>
      </c>
      <c r="D710" t="s">
        <v>13860</v>
      </c>
      <c r="E710" t="b">
        <v>0</v>
      </c>
      <c r="F710" t="s">
        <v>11610</v>
      </c>
      <c r="L710">
        <v>0</v>
      </c>
      <c r="M710">
        <v>0</v>
      </c>
      <c r="N710">
        <v>0</v>
      </c>
    </row>
    <row r="711" spans="1:15">
      <c r="A711" t="s">
        <v>13861</v>
      </c>
      <c r="B711" t="s">
        <v>367</v>
      </c>
      <c r="C711" t="s">
        <v>13862</v>
      </c>
      <c r="D711" t="s">
        <v>13863</v>
      </c>
      <c r="E711" t="b">
        <v>0</v>
      </c>
      <c r="F711" t="s">
        <v>11610</v>
      </c>
      <c r="L711">
        <v>0</v>
      </c>
      <c r="M711">
        <v>0</v>
      </c>
      <c r="N711">
        <v>0</v>
      </c>
    </row>
    <row r="712" spans="1:15">
      <c r="A712" t="s">
        <v>13864</v>
      </c>
      <c r="B712" t="s">
        <v>11637</v>
      </c>
      <c r="C712" t="s">
        <v>13172</v>
      </c>
      <c r="D712" t="s">
        <v>13865</v>
      </c>
      <c r="E712" t="b">
        <v>0</v>
      </c>
      <c r="F712" t="s">
        <v>11622</v>
      </c>
      <c r="L712">
        <v>28</v>
      </c>
      <c r="M712">
        <v>44</v>
      </c>
      <c r="N712">
        <v>127</v>
      </c>
    </row>
    <row r="713" spans="1:15">
      <c r="A713" t="s">
        <v>13866</v>
      </c>
      <c r="B713" t="s">
        <v>11637</v>
      </c>
      <c r="C713" t="s">
        <v>13864</v>
      </c>
      <c r="D713" t="s">
        <v>13867</v>
      </c>
      <c r="E713" t="b">
        <v>0</v>
      </c>
      <c r="F713" t="s">
        <v>11622</v>
      </c>
      <c r="L713">
        <v>24</v>
      </c>
      <c r="M713">
        <v>37</v>
      </c>
      <c r="N713">
        <v>104</v>
      </c>
    </row>
    <row r="714" spans="1:15">
      <c r="A714" t="s">
        <v>13868</v>
      </c>
      <c r="B714" t="s">
        <v>11644</v>
      </c>
      <c r="C714" t="s">
        <v>13869</v>
      </c>
      <c r="D714" t="s">
        <v>13870</v>
      </c>
      <c r="E714" t="b">
        <v>0</v>
      </c>
      <c r="F714" t="s">
        <v>11610</v>
      </c>
      <c r="L714">
        <v>0</v>
      </c>
      <c r="M714">
        <v>0</v>
      </c>
      <c r="N714">
        <v>0</v>
      </c>
    </row>
    <row r="715" spans="1:15">
      <c r="A715" t="s">
        <v>13871</v>
      </c>
      <c r="B715" t="s">
        <v>11637</v>
      </c>
      <c r="C715" t="s">
        <v>13872</v>
      </c>
      <c r="D715" t="s">
        <v>13873</v>
      </c>
      <c r="E715" t="b">
        <v>0</v>
      </c>
      <c r="F715" t="s">
        <v>11610</v>
      </c>
      <c r="L715">
        <v>0</v>
      </c>
      <c r="M715">
        <v>0</v>
      </c>
      <c r="N715">
        <v>2</v>
      </c>
    </row>
    <row r="716" spans="1:15">
      <c r="A716" t="s">
        <v>13874</v>
      </c>
      <c r="B716" t="s">
        <v>6742</v>
      </c>
      <c r="C716" t="s">
        <v>13875</v>
      </c>
      <c r="D716" t="s">
        <v>13876</v>
      </c>
      <c r="E716" t="b">
        <v>0</v>
      </c>
      <c r="F716" t="s">
        <v>11610</v>
      </c>
      <c r="L716">
        <v>0</v>
      </c>
      <c r="M716">
        <v>0</v>
      </c>
      <c r="N716">
        <v>0</v>
      </c>
    </row>
    <row r="717" spans="1:15">
      <c r="A717" t="s">
        <v>77</v>
      </c>
      <c r="B717" t="s">
        <v>13877</v>
      </c>
      <c r="C717" t="s">
        <v>13877</v>
      </c>
      <c r="D717" t="s">
        <v>13878</v>
      </c>
      <c r="E717" t="b">
        <v>0</v>
      </c>
      <c r="F717" t="s">
        <v>11624</v>
      </c>
      <c r="G717">
        <v>-3.7166999999999999</v>
      </c>
      <c r="H717">
        <v>141.19900000000001</v>
      </c>
      <c r="I717" t="s">
        <v>78</v>
      </c>
      <c r="L717">
        <v>0</v>
      </c>
      <c r="M717">
        <v>0</v>
      </c>
      <c r="N717">
        <v>2</v>
      </c>
      <c r="O717" t="s">
        <v>11660</v>
      </c>
    </row>
    <row r="718" spans="1:15">
      <c r="A718" t="s">
        <v>13879</v>
      </c>
      <c r="B718" t="s">
        <v>11871</v>
      </c>
      <c r="C718" t="s">
        <v>13880</v>
      </c>
      <c r="D718" t="s">
        <v>13881</v>
      </c>
      <c r="E718" t="b">
        <v>0</v>
      </c>
      <c r="F718" t="s">
        <v>11624</v>
      </c>
      <c r="G718">
        <v>-4.0775800000000002</v>
      </c>
      <c r="H718">
        <v>144.02799999999999</v>
      </c>
      <c r="I718" t="s">
        <v>13882</v>
      </c>
      <c r="L718">
        <v>0</v>
      </c>
      <c r="M718">
        <v>0</v>
      </c>
      <c r="N718">
        <v>0</v>
      </c>
      <c r="O718" t="s">
        <v>11660</v>
      </c>
    </row>
    <row r="719" spans="1:15">
      <c r="A719" t="s">
        <v>13883</v>
      </c>
      <c r="B719" t="s">
        <v>2975</v>
      </c>
      <c r="C719" t="s">
        <v>13884</v>
      </c>
      <c r="D719" t="s">
        <v>13885</v>
      </c>
      <c r="E719" t="b">
        <v>0</v>
      </c>
      <c r="F719" t="s">
        <v>11610</v>
      </c>
      <c r="L719">
        <v>0</v>
      </c>
      <c r="M719">
        <v>0</v>
      </c>
      <c r="N719">
        <v>0</v>
      </c>
    </row>
    <row r="720" spans="1:15">
      <c r="A720" t="s">
        <v>13886</v>
      </c>
      <c r="B720" t="s">
        <v>6455</v>
      </c>
      <c r="C720" t="s">
        <v>13887</v>
      </c>
      <c r="D720" t="s">
        <v>13888</v>
      </c>
      <c r="E720" t="b">
        <v>0</v>
      </c>
      <c r="F720" t="s">
        <v>11624</v>
      </c>
      <c r="G720">
        <v>6.5419799999999997</v>
      </c>
      <c r="H720">
        <v>-71.921199999999999</v>
      </c>
      <c r="I720" t="s">
        <v>13889</v>
      </c>
      <c r="L720">
        <v>0</v>
      </c>
      <c r="M720">
        <v>0</v>
      </c>
      <c r="N720">
        <v>0</v>
      </c>
      <c r="O720" t="s">
        <v>11898</v>
      </c>
    </row>
    <row r="721" spans="1:15">
      <c r="A721" t="s">
        <v>13890</v>
      </c>
      <c r="B721" t="s">
        <v>11637</v>
      </c>
      <c r="C721" t="s">
        <v>13891</v>
      </c>
      <c r="D721" t="s">
        <v>13892</v>
      </c>
      <c r="E721" t="b">
        <v>0</v>
      </c>
      <c r="F721" t="s">
        <v>11624</v>
      </c>
      <c r="G721">
        <v>0.11438</v>
      </c>
      <c r="H721">
        <v>6.5948599999999997</v>
      </c>
      <c r="I721" t="s">
        <v>13893</v>
      </c>
      <c r="L721">
        <v>0</v>
      </c>
      <c r="M721">
        <v>0</v>
      </c>
      <c r="N721">
        <v>0</v>
      </c>
      <c r="O721" t="s">
        <v>13894</v>
      </c>
    </row>
    <row r="722" spans="1:15">
      <c r="A722" t="s">
        <v>13895</v>
      </c>
      <c r="B722" t="s">
        <v>11644</v>
      </c>
      <c r="C722" t="s">
        <v>13896</v>
      </c>
      <c r="D722" t="s">
        <v>13897</v>
      </c>
      <c r="E722" t="b">
        <v>0</v>
      </c>
      <c r="F722" t="s">
        <v>11610</v>
      </c>
      <c r="L722">
        <v>0</v>
      </c>
      <c r="M722">
        <v>0</v>
      </c>
      <c r="N722">
        <v>0</v>
      </c>
    </row>
    <row r="723" spans="1:15">
      <c r="A723" t="s">
        <v>13898</v>
      </c>
      <c r="B723" t="s">
        <v>10597</v>
      </c>
      <c r="C723" t="s">
        <v>13899</v>
      </c>
      <c r="D723" t="s">
        <v>13900</v>
      </c>
      <c r="E723" t="b">
        <v>0</v>
      </c>
      <c r="F723" t="s">
        <v>11624</v>
      </c>
      <c r="G723">
        <v>-12.395</v>
      </c>
      <c r="H723">
        <v>141.755</v>
      </c>
      <c r="I723" t="s">
        <v>13901</v>
      </c>
      <c r="L723">
        <v>0</v>
      </c>
      <c r="M723">
        <v>0</v>
      </c>
      <c r="N723">
        <v>0</v>
      </c>
      <c r="O723" t="s">
        <v>12107</v>
      </c>
    </row>
    <row r="724" spans="1:15">
      <c r="A724" t="s">
        <v>13902</v>
      </c>
      <c r="B724" t="s">
        <v>10597</v>
      </c>
      <c r="C724" t="s">
        <v>12985</v>
      </c>
      <c r="D724" t="s">
        <v>13903</v>
      </c>
      <c r="E724" t="b">
        <v>0</v>
      </c>
      <c r="F724" t="s">
        <v>11622</v>
      </c>
      <c r="L724">
        <v>1</v>
      </c>
      <c r="M724">
        <v>3</v>
      </c>
      <c r="N724">
        <v>0</v>
      </c>
    </row>
    <row r="725" spans="1:15">
      <c r="A725" t="s">
        <v>13899</v>
      </c>
      <c r="B725" t="s">
        <v>10597</v>
      </c>
      <c r="C725" t="s">
        <v>13902</v>
      </c>
      <c r="D725" t="s">
        <v>13904</v>
      </c>
      <c r="E725" t="b">
        <v>0</v>
      </c>
      <c r="F725" t="s">
        <v>11622</v>
      </c>
      <c r="L725">
        <v>0</v>
      </c>
      <c r="M725">
        <v>2</v>
      </c>
      <c r="N725">
        <v>0</v>
      </c>
    </row>
    <row r="726" spans="1:15">
      <c r="A726" t="s">
        <v>13905</v>
      </c>
      <c r="B726" t="s">
        <v>6742</v>
      </c>
      <c r="C726" t="s">
        <v>13270</v>
      </c>
      <c r="D726" t="s">
        <v>13906</v>
      </c>
      <c r="E726" t="b">
        <v>0</v>
      </c>
      <c r="F726" t="s">
        <v>11610</v>
      </c>
      <c r="L726">
        <v>0</v>
      </c>
      <c r="M726">
        <v>0</v>
      </c>
      <c r="N726">
        <v>0</v>
      </c>
    </row>
    <row r="727" spans="1:15">
      <c r="A727" t="s">
        <v>13907</v>
      </c>
      <c r="B727" t="s">
        <v>11729</v>
      </c>
      <c r="C727" t="s">
        <v>13730</v>
      </c>
      <c r="D727" t="s">
        <v>13908</v>
      </c>
      <c r="E727" t="b">
        <v>0</v>
      </c>
      <c r="F727" t="s">
        <v>11610</v>
      </c>
      <c r="L727">
        <v>0</v>
      </c>
      <c r="M727">
        <v>0</v>
      </c>
      <c r="N727">
        <v>0</v>
      </c>
    </row>
    <row r="728" spans="1:15">
      <c r="A728" t="s">
        <v>13909</v>
      </c>
      <c r="B728" t="s">
        <v>6742</v>
      </c>
      <c r="C728" t="s">
        <v>13910</v>
      </c>
      <c r="D728" t="s">
        <v>13911</v>
      </c>
      <c r="E728" t="b">
        <v>0</v>
      </c>
      <c r="F728" t="s">
        <v>11610</v>
      </c>
      <c r="L728">
        <v>0</v>
      </c>
      <c r="M728">
        <v>0</v>
      </c>
      <c r="N728">
        <v>0</v>
      </c>
    </row>
    <row r="729" spans="1:15">
      <c r="A729" t="s">
        <v>13912</v>
      </c>
      <c r="B729" t="s">
        <v>11607</v>
      </c>
      <c r="C729" t="s">
        <v>13913</v>
      </c>
      <c r="D729" t="s">
        <v>13914</v>
      </c>
      <c r="E729" t="b">
        <v>0</v>
      </c>
      <c r="F729" t="s">
        <v>11610</v>
      </c>
      <c r="L729">
        <v>0</v>
      </c>
      <c r="M729">
        <v>0</v>
      </c>
      <c r="N729">
        <v>0</v>
      </c>
    </row>
    <row r="730" spans="1:15">
      <c r="A730" t="s">
        <v>13915</v>
      </c>
      <c r="B730" t="s">
        <v>11637</v>
      </c>
      <c r="C730" t="s">
        <v>13916</v>
      </c>
      <c r="D730" t="s">
        <v>13917</v>
      </c>
      <c r="E730" t="b">
        <v>0</v>
      </c>
      <c r="F730" t="s">
        <v>11610</v>
      </c>
      <c r="L730">
        <v>0</v>
      </c>
      <c r="M730">
        <v>0</v>
      </c>
      <c r="N730">
        <v>0</v>
      </c>
    </row>
    <row r="731" spans="1:15">
      <c r="A731" t="s">
        <v>13918</v>
      </c>
      <c r="B731" t="s">
        <v>11607</v>
      </c>
      <c r="C731" t="s">
        <v>13919</v>
      </c>
      <c r="D731" t="s">
        <v>13920</v>
      </c>
      <c r="E731" t="b">
        <v>0</v>
      </c>
      <c r="F731" t="s">
        <v>11610</v>
      </c>
      <c r="L731">
        <v>0</v>
      </c>
      <c r="M731">
        <v>0</v>
      </c>
      <c r="N731">
        <v>0</v>
      </c>
    </row>
    <row r="732" spans="1:15">
      <c r="A732" t="s">
        <v>12809</v>
      </c>
      <c r="B732" t="s">
        <v>6742</v>
      </c>
      <c r="C732" t="s">
        <v>12029</v>
      </c>
      <c r="D732" t="s">
        <v>13921</v>
      </c>
      <c r="E732" t="b">
        <v>0</v>
      </c>
      <c r="F732" t="s">
        <v>11624</v>
      </c>
      <c r="G732">
        <v>9.1112699999999993</v>
      </c>
      <c r="H732">
        <v>1.6016900000000001</v>
      </c>
      <c r="I732" t="s">
        <v>13922</v>
      </c>
      <c r="L732">
        <v>0</v>
      </c>
      <c r="M732">
        <v>0</v>
      </c>
      <c r="N732">
        <v>7</v>
      </c>
      <c r="O732" t="s">
        <v>12394</v>
      </c>
    </row>
    <row r="733" spans="1:15">
      <c r="A733" t="s">
        <v>13923</v>
      </c>
      <c r="B733" t="s">
        <v>4236</v>
      </c>
      <c r="C733" t="s">
        <v>13924</v>
      </c>
      <c r="D733" t="s">
        <v>13925</v>
      </c>
      <c r="E733" t="b">
        <v>0</v>
      </c>
      <c r="F733" t="s">
        <v>11624</v>
      </c>
      <c r="G733">
        <v>-19.096599999999999</v>
      </c>
      <c r="H733">
        <v>22.908799999999999</v>
      </c>
      <c r="I733" t="s">
        <v>13926</v>
      </c>
      <c r="L733">
        <v>0</v>
      </c>
      <c r="M733">
        <v>0</v>
      </c>
      <c r="N733">
        <v>0</v>
      </c>
      <c r="O733" t="s">
        <v>13927</v>
      </c>
    </row>
    <row r="734" spans="1:15">
      <c r="A734" t="s">
        <v>13928</v>
      </c>
      <c r="B734" t="s">
        <v>4236</v>
      </c>
      <c r="C734" t="s">
        <v>13929</v>
      </c>
      <c r="D734" t="s">
        <v>13930</v>
      </c>
      <c r="E734" t="b">
        <v>0</v>
      </c>
      <c r="F734" t="s">
        <v>11610</v>
      </c>
      <c r="L734">
        <v>0</v>
      </c>
      <c r="M734">
        <v>0</v>
      </c>
      <c r="N734">
        <v>0</v>
      </c>
    </row>
    <row r="735" spans="1:15">
      <c r="A735" t="s">
        <v>13931</v>
      </c>
      <c r="B735" t="s">
        <v>11644</v>
      </c>
      <c r="C735" t="s">
        <v>13932</v>
      </c>
      <c r="D735" t="s">
        <v>13933</v>
      </c>
      <c r="E735" t="b">
        <v>0</v>
      </c>
      <c r="F735" t="s">
        <v>11622</v>
      </c>
      <c r="L735">
        <v>0</v>
      </c>
      <c r="M735">
        <v>2</v>
      </c>
      <c r="N735">
        <v>0</v>
      </c>
    </row>
    <row r="736" spans="1:15">
      <c r="A736" t="s">
        <v>13934</v>
      </c>
      <c r="B736" t="s">
        <v>6742</v>
      </c>
      <c r="C736" t="s">
        <v>12708</v>
      </c>
      <c r="D736" t="s">
        <v>13935</v>
      </c>
      <c r="E736" t="b">
        <v>0</v>
      </c>
      <c r="F736" t="s">
        <v>11624</v>
      </c>
      <c r="G736">
        <v>7.6038500000000004</v>
      </c>
      <c r="H736">
        <v>0.41961999999999999</v>
      </c>
      <c r="I736" t="s">
        <v>13936</v>
      </c>
      <c r="L736">
        <v>0</v>
      </c>
      <c r="M736">
        <v>0</v>
      </c>
      <c r="N736">
        <v>0</v>
      </c>
      <c r="O736" t="s">
        <v>11985</v>
      </c>
    </row>
    <row r="737" spans="1:15">
      <c r="A737" t="s">
        <v>11794</v>
      </c>
      <c r="D737" t="s">
        <v>13937</v>
      </c>
      <c r="E737" t="b">
        <v>0</v>
      </c>
      <c r="F737" t="s">
        <v>11622</v>
      </c>
      <c r="L737">
        <v>9</v>
      </c>
      <c r="M737">
        <v>17</v>
      </c>
      <c r="N737">
        <v>18</v>
      </c>
    </row>
    <row r="738" spans="1:15">
      <c r="A738" t="s">
        <v>2765</v>
      </c>
      <c r="B738" t="s">
        <v>9897</v>
      </c>
      <c r="C738" t="s">
        <v>13938</v>
      </c>
      <c r="D738" t="s">
        <v>13939</v>
      </c>
      <c r="E738" t="b">
        <v>0</v>
      </c>
      <c r="F738" t="s">
        <v>11624</v>
      </c>
      <c r="G738">
        <v>-13.999040000000001</v>
      </c>
      <c r="H738">
        <v>136.64150000000001</v>
      </c>
      <c r="I738" t="s">
        <v>10222</v>
      </c>
      <c r="L738">
        <v>0</v>
      </c>
      <c r="M738">
        <v>0</v>
      </c>
      <c r="N738">
        <v>0</v>
      </c>
      <c r="O738" t="s">
        <v>12107</v>
      </c>
    </row>
    <row r="739" spans="1:15">
      <c r="A739" t="s">
        <v>13940</v>
      </c>
      <c r="B739" t="s">
        <v>367</v>
      </c>
      <c r="C739" t="s">
        <v>13941</v>
      </c>
      <c r="D739" t="s">
        <v>13942</v>
      </c>
      <c r="E739" t="b">
        <v>0</v>
      </c>
      <c r="F739" t="s">
        <v>11610</v>
      </c>
      <c r="L739">
        <v>0</v>
      </c>
      <c r="M739">
        <v>0</v>
      </c>
      <c r="N739">
        <v>0</v>
      </c>
    </row>
    <row r="740" spans="1:15">
      <c r="A740" t="s">
        <v>13943</v>
      </c>
      <c r="B740" t="s">
        <v>6742</v>
      </c>
      <c r="C740" t="s">
        <v>12211</v>
      </c>
      <c r="D740" t="s">
        <v>13944</v>
      </c>
      <c r="E740" t="b">
        <v>0</v>
      </c>
      <c r="F740" t="s">
        <v>11610</v>
      </c>
      <c r="L740">
        <v>0</v>
      </c>
      <c r="M740">
        <v>0</v>
      </c>
      <c r="N740">
        <v>0</v>
      </c>
    </row>
    <row r="741" spans="1:15">
      <c r="A741" t="s">
        <v>13945</v>
      </c>
      <c r="B741" t="s">
        <v>11644</v>
      </c>
      <c r="C741" t="s">
        <v>13931</v>
      </c>
      <c r="D741" t="s">
        <v>13946</v>
      </c>
      <c r="E741" t="b">
        <v>0</v>
      </c>
      <c r="F741" t="s">
        <v>11624</v>
      </c>
      <c r="G741">
        <v>23.7</v>
      </c>
      <c r="H741">
        <v>103.6</v>
      </c>
      <c r="I741" t="s">
        <v>13947</v>
      </c>
      <c r="L741">
        <v>0</v>
      </c>
      <c r="M741">
        <v>0</v>
      </c>
      <c r="N741">
        <v>0</v>
      </c>
      <c r="O741" t="s">
        <v>11905</v>
      </c>
    </row>
    <row r="742" spans="1:15">
      <c r="A742" t="s">
        <v>13948</v>
      </c>
      <c r="B742" t="s">
        <v>367</v>
      </c>
      <c r="C742" t="s">
        <v>13949</v>
      </c>
      <c r="D742" t="s">
        <v>13950</v>
      </c>
      <c r="E742" t="b">
        <v>0</v>
      </c>
      <c r="F742" t="s">
        <v>11610</v>
      </c>
      <c r="I742" t="s">
        <v>13951</v>
      </c>
      <c r="L742">
        <v>0</v>
      </c>
      <c r="M742">
        <v>0</v>
      </c>
      <c r="N742">
        <v>0</v>
      </c>
    </row>
    <row r="743" spans="1:15">
      <c r="A743" t="s">
        <v>13952</v>
      </c>
      <c r="B743" t="s">
        <v>367</v>
      </c>
      <c r="C743" t="s">
        <v>175</v>
      </c>
      <c r="D743" t="s">
        <v>13953</v>
      </c>
      <c r="E743" t="b">
        <v>0</v>
      </c>
      <c r="F743" t="s">
        <v>11610</v>
      </c>
      <c r="L743">
        <v>0</v>
      </c>
      <c r="M743">
        <v>0</v>
      </c>
      <c r="N743">
        <v>0</v>
      </c>
    </row>
    <row r="744" spans="1:15">
      <c r="A744" t="s">
        <v>13954</v>
      </c>
      <c r="B744" t="s">
        <v>11607</v>
      </c>
      <c r="C744" t="s">
        <v>13955</v>
      </c>
      <c r="D744" t="s">
        <v>13956</v>
      </c>
      <c r="E744" t="b">
        <v>0</v>
      </c>
      <c r="F744" t="s">
        <v>11610</v>
      </c>
      <c r="L744">
        <v>0</v>
      </c>
      <c r="M744">
        <v>0</v>
      </c>
      <c r="N744">
        <v>0</v>
      </c>
    </row>
    <row r="745" spans="1:15">
      <c r="A745" t="s">
        <v>13957</v>
      </c>
      <c r="B745" t="s">
        <v>11615</v>
      </c>
      <c r="C745" t="s">
        <v>13958</v>
      </c>
      <c r="D745" t="s">
        <v>13959</v>
      </c>
      <c r="E745" t="b">
        <v>0</v>
      </c>
      <c r="F745" t="s">
        <v>11624</v>
      </c>
      <c r="G745">
        <v>-5.45899</v>
      </c>
      <c r="H745">
        <v>145.71700000000001</v>
      </c>
      <c r="I745" t="s">
        <v>13960</v>
      </c>
      <c r="L745">
        <v>0</v>
      </c>
      <c r="M745">
        <v>0</v>
      </c>
      <c r="N745">
        <v>0</v>
      </c>
      <c r="O745" t="s">
        <v>11660</v>
      </c>
    </row>
    <row r="746" spans="1:15">
      <c r="A746" t="s">
        <v>13961</v>
      </c>
      <c r="B746" t="s">
        <v>6742</v>
      </c>
      <c r="C746" t="s">
        <v>12870</v>
      </c>
      <c r="D746" t="s">
        <v>13962</v>
      </c>
      <c r="E746" t="b">
        <v>0</v>
      </c>
      <c r="F746" t="s">
        <v>11610</v>
      </c>
      <c r="L746">
        <v>0</v>
      </c>
      <c r="M746">
        <v>0</v>
      </c>
      <c r="N746">
        <v>0</v>
      </c>
    </row>
    <row r="747" spans="1:15">
      <c r="A747" t="s">
        <v>13963</v>
      </c>
      <c r="B747" t="s">
        <v>12686</v>
      </c>
      <c r="C747" t="s">
        <v>13964</v>
      </c>
      <c r="D747" t="s">
        <v>13965</v>
      </c>
      <c r="E747" t="b">
        <v>0</v>
      </c>
      <c r="F747" t="s">
        <v>11610</v>
      </c>
      <c r="L747">
        <v>0</v>
      </c>
      <c r="M747">
        <v>0</v>
      </c>
      <c r="N747">
        <v>0</v>
      </c>
    </row>
    <row r="748" spans="1:15">
      <c r="A748" t="s">
        <v>13966</v>
      </c>
      <c r="B748" t="s">
        <v>13967</v>
      </c>
      <c r="C748" t="s">
        <v>13968</v>
      </c>
      <c r="D748" t="s">
        <v>13969</v>
      </c>
      <c r="E748" t="b">
        <v>0</v>
      </c>
      <c r="F748" t="s">
        <v>11610</v>
      </c>
      <c r="L748">
        <v>0</v>
      </c>
      <c r="M748">
        <v>0</v>
      </c>
      <c r="N748">
        <v>0</v>
      </c>
    </row>
    <row r="749" spans="1:15">
      <c r="A749" t="s">
        <v>13970</v>
      </c>
      <c r="B749" t="s">
        <v>12487</v>
      </c>
      <c r="C749" t="s">
        <v>13971</v>
      </c>
      <c r="D749" t="s">
        <v>13972</v>
      </c>
      <c r="E749" t="b">
        <v>0</v>
      </c>
      <c r="F749" t="s">
        <v>11624</v>
      </c>
      <c r="G749">
        <v>-7.1944400000000002</v>
      </c>
      <c r="H749">
        <v>145.75399999999999</v>
      </c>
      <c r="I749" t="s">
        <v>13973</v>
      </c>
      <c r="L749">
        <v>0</v>
      </c>
      <c r="M749">
        <v>0</v>
      </c>
      <c r="N749">
        <v>6</v>
      </c>
      <c r="O749" t="s">
        <v>11660</v>
      </c>
    </row>
    <row r="750" spans="1:15">
      <c r="A750" t="s">
        <v>13974</v>
      </c>
      <c r="B750" t="s">
        <v>12487</v>
      </c>
      <c r="C750" t="s">
        <v>13970</v>
      </c>
      <c r="D750" t="s">
        <v>13975</v>
      </c>
      <c r="E750" t="b">
        <v>0</v>
      </c>
      <c r="F750" t="s">
        <v>11610</v>
      </c>
      <c r="L750">
        <v>0</v>
      </c>
      <c r="M750">
        <v>0</v>
      </c>
      <c r="N750">
        <v>0</v>
      </c>
    </row>
    <row r="751" spans="1:15">
      <c r="A751" t="s">
        <v>13976</v>
      </c>
      <c r="B751" t="s">
        <v>6742</v>
      </c>
      <c r="C751" t="s">
        <v>13977</v>
      </c>
      <c r="D751" t="s">
        <v>13978</v>
      </c>
      <c r="E751" t="b">
        <v>0</v>
      </c>
      <c r="F751" t="s">
        <v>11610</v>
      </c>
      <c r="L751">
        <v>0</v>
      </c>
      <c r="M751">
        <v>0</v>
      </c>
      <c r="N751">
        <v>0</v>
      </c>
    </row>
    <row r="752" spans="1:15">
      <c r="A752" t="s">
        <v>13979</v>
      </c>
      <c r="B752" t="s">
        <v>10597</v>
      </c>
      <c r="C752" t="s">
        <v>2625</v>
      </c>
      <c r="D752" t="s">
        <v>13980</v>
      </c>
      <c r="E752" t="b">
        <v>0</v>
      </c>
      <c r="F752" t="s">
        <v>11624</v>
      </c>
      <c r="G752">
        <v>-22.285299999999999</v>
      </c>
      <c r="H752">
        <v>133.286</v>
      </c>
      <c r="I752" t="s">
        <v>13981</v>
      </c>
      <c r="L752">
        <v>0</v>
      </c>
      <c r="M752">
        <v>0</v>
      </c>
      <c r="N752">
        <v>2</v>
      </c>
      <c r="O752" t="s">
        <v>12107</v>
      </c>
    </row>
    <row r="753" spans="1:15">
      <c r="A753" t="s">
        <v>13982</v>
      </c>
      <c r="B753" t="s">
        <v>6742</v>
      </c>
      <c r="C753" t="s">
        <v>11737</v>
      </c>
      <c r="D753" t="s">
        <v>13983</v>
      </c>
      <c r="E753" t="b">
        <v>0</v>
      </c>
      <c r="F753" t="s">
        <v>11610</v>
      </c>
      <c r="L753">
        <v>0</v>
      </c>
      <c r="M753">
        <v>0</v>
      </c>
      <c r="N753">
        <v>0</v>
      </c>
    </row>
    <row r="754" spans="1:15">
      <c r="A754" t="s">
        <v>13984</v>
      </c>
      <c r="B754" t="s">
        <v>11871</v>
      </c>
      <c r="C754" t="s">
        <v>12477</v>
      </c>
      <c r="D754" t="s">
        <v>13985</v>
      </c>
      <c r="E754" t="b">
        <v>0</v>
      </c>
      <c r="F754" t="s">
        <v>11624</v>
      </c>
      <c r="G754">
        <v>-4.9844900000000001</v>
      </c>
      <c r="H754">
        <v>144.80099999999999</v>
      </c>
      <c r="I754" t="s">
        <v>13986</v>
      </c>
      <c r="L754">
        <v>0</v>
      </c>
      <c r="M754">
        <v>0</v>
      </c>
      <c r="N754">
        <v>0</v>
      </c>
      <c r="O754" t="s">
        <v>11660</v>
      </c>
    </row>
    <row r="755" spans="1:15">
      <c r="A755" t="s">
        <v>13987</v>
      </c>
      <c r="B755" t="s">
        <v>11637</v>
      </c>
      <c r="C755" t="s">
        <v>13988</v>
      </c>
      <c r="D755" t="s">
        <v>13989</v>
      </c>
      <c r="E755" t="b">
        <v>0</v>
      </c>
      <c r="F755" t="s">
        <v>11610</v>
      </c>
      <c r="L755">
        <v>0</v>
      </c>
      <c r="M755">
        <v>0</v>
      </c>
      <c r="N755">
        <v>0</v>
      </c>
    </row>
    <row r="756" spans="1:15">
      <c r="A756" t="s">
        <v>13990</v>
      </c>
      <c r="B756" t="s">
        <v>9578</v>
      </c>
      <c r="C756" t="s">
        <v>13991</v>
      </c>
      <c r="D756" t="s">
        <v>13992</v>
      </c>
      <c r="E756" t="b">
        <v>0</v>
      </c>
      <c r="F756" t="s">
        <v>11624</v>
      </c>
      <c r="G756">
        <v>6.2499900000000004</v>
      </c>
      <c r="H756">
        <v>-76.05</v>
      </c>
      <c r="I756" t="s">
        <v>13993</v>
      </c>
      <c r="L756">
        <v>0</v>
      </c>
      <c r="M756">
        <v>0</v>
      </c>
      <c r="N756">
        <v>0</v>
      </c>
      <c r="O756" t="s">
        <v>11898</v>
      </c>
    </row>
    <row r="757" spans="1:15">
      <c r="A757" t="s">
        <v>13994</v>
      </c>
      <c r="B757" t="s">
        <v>367</v>
      </c>
      <c r="C757" t="s">
        <v>13339</v>
      </c>
      <c r="D757" t="s">
        <v>13995</v>
      </c>
      <c r="E757" t="b">
        <v>0</v>
      </c>
      <c r="F757" t="s">
        <v>11624</v>
      </c>
      <c r="G757">
        <v>-1.7543</v>
      </c>
      <c r="H757">
        <v>135.86600000000001</v>
      </c>
      <c r="I757" t="s">
        <v>13996</v>
      </c>
      <c r="L757">
        <v>0</v>
      </c>
      <c r="M757">
        <v>0</v>
      </c>
      <c r="N757">
        <v>0</v>
      </c>
      <c r="O757" t="s">
        <v>11768</v>
      </c>
    </row>
    <row r="758" spans="1:15">
      <c r="A758" t="s">
        <v>13339</v>
      </c>
      <c r="B758" t="s">
        <v>367</v>
      </c>
      <c r="C758" t="s">
        <v>13997</v>
      </c>
      <c r="D758" t="s">
        <v>13998</v>
      </c>
      <c r="E758" t="b">
        <v>0</v>
      </c>
      <c r="F758" t="s">
        <v>11622</v>
      </c>
      <c r="L758">
        <v>0</v>
      </c>
      <c r="M758">
        <v>5</v>
      </c>
      <c r="N758">
        <v>11</v>
      </c>
    </row>
    <row r="759" spans="1:15">
      <c r="A759" t="s">
        <v>13999</v>
      </c>
      <c r="B759" t="s">
        <v>11637</v>
      </c>
      <c r="C759" t="s">
        <v>14000</v>
      </c>
      <c r="D759" t="s">
        <v>14001</v>
      </c>
      <c r="E759" t="b">
        <v>0</v>
      </c>
      <c r="F759" t="s">
        <v>11610</v>
      </c>
      <c r="L759">
        <v>0</v>
      </c>
      <c r="M759">
        <v>0</v>
      </c>
      <c r="N759">
        <v>0</v>
      </c>
    </row>
    <row r="760" spans="1:15">
      <c r="A760" t="s">
        <v>2624</v>
      </c>
      <c r="B760" t="s">
        <v>10597</v>
      </c>
      <c r="C760" t="s">
        <v>14002</v>
      </c>
      <c r="D760" t="s">
        <v>14003</v>
      </c>
      <c r="E760" t="b">
        <v>0</v>
      </c>
      <c r="F760" t="s">
        <v>11624</v>
      </c>
      <c r="G760">
        <v>-27.115200000000002</v>
      </c>
      <c r="H760">
        <v>134.83799999999999</v>
      </c>
      <c r="I760" t="s">
        <v>2626</v>
      </c>
      <c r="L760">
        <v>0</v>
      </c>
      <c r="M760">
        <v>0</v>
      </c>
      <c r="N760">
        <v>0</v>
      </c>
      <c r="O760" t="s">
        <v>12107</v>
      </c>
    </row>
    <row r="761" spans="1:15">
      <c r="A761" t="s">
        <v>14004</v>
      </c>
      <c r="B761" t="s">
        <v>14005</v>
      </c>
      <c r="C761" t="s">
        <v>14006</v>
      </c>
      <c r="D761" t="s">
        <v>14007</v>
      </c>
      <c r="E761" t="b">
        <v>0</v>
      </c>
      <c r="F761" t="s">
        <v>11610</v>
      </c>
      <c r="L761">
        <v>0</v>
      </c>
      <c r="M761">
        <v>0</v>
      </c>
      <c r="N761">
        <v>0</v>
      </c>
    </row>
    <row r="762" spans="1:15">
      <c r="A762" t="s">
        <v>14008</v>
      </c>
      <c r="B762" t="s">
        <v>367</v>
      </c>
      <c r="C762" t="s">
        <v>14009</v>
      </c>
      <c r="D762" t="s">
        <v>14010</v>
      </c>
      <c r="E762" t="b">
        <v>0</v>
      </c>
      <c r="F762" t="s">
        <v>11624</v>
      </c>
      <c r="G762">
        <v>-13.2164</v>
      </c>
      <c r="H762">
        <v>49.240200000000002</v>
      </c>
      <c r="I762" t="s">
        <v>14011</v>
      </c>
      <c r="L762">
        <v>0</v>
      </c>
      <c r="M762">
        <v>0</v>
      </c>
      <c r="N762">
        <v>2</v>
      </c>
      <c r="O762" t="s">
        <v>14012</v>
      </c>
    </row>
    <row r="763" spans="1:15">
      <c r="A763" t="s">
        <v>14013</v>
      </c>
      <c r="B763" t="s">
        <v>141</v>
      </c>
      <c r="C763" t="s">
        <v>11695</v>
      </c>
      <c r="D763" t="s">
        <v>14014</v>
      </c>
      <c r="E763" t="b">
        <v>0</v>
      </c>
      <c r="F763" t="s">
        <v>11610</v>
      </c>
      <c r="L763">
        <v>0</v>
      </c>
      <c r="M763">
        <v>0</v>
      </c>
      <c r="N763">
        <v>0</v>
      </c>
    </row>
    <row r="764" spans="1:15">
      <c r="A764" t="s">
        <v>14015</v>
      </c>
      <c r="B764" t="s">
        <v>141</v>
      </c>
      <c r="C764" t="s">
        <v>14016</v>
      </c>
      <c r="D764" t="s">
        <v>14017</v>
      </c>
      <c r="E764" t="b">
        <v>0</v>
      </c>
      <c r="F764" t="s">
        <v>11610</v>
      </c>
      <c r="L764">
        <v>0</v>
      </c>
      <c r="M764">
        <v>0</v>
      </c>
      <c r="N764">
        <v>0</v>
      </c>
    </row>
    <row r="765" spans="1:15">
      <c r="A765" t="s">
        <v>14018</v>
      </c>
      <c r="B765" t="s">
        <v>10597</v>
      </c>
      <c r="C765" t="s">
        <v>12694</v>
      </c>
      <c r="D765" t="s">
        <v>14019</v>
      </c>
      <c r="E765" t="b">
        <v>0</v>
      </c>
      <c r="F765" t="s">
        <v>11610</v>
      </c>
      <c r="L765">
        <v>0</v>
      </c>
      <c r="M765">
        <v>0</v>
      </c>
      <c r="N765">
        <v>0</v>
      </c>
    </row>
    <row r="766" spans="1:15">
      <c r="A766" t="s">
        <v>14020</v>
      </c>
      <c r="B766" t="s">
        <v>6455</v>
      </c>
      <c r="C766" t="s">
        <v>14021</v>
      </c>
      <c r="D766" t="s">
        <v>14022</v>
      </c>
      <c r="E766" t="b">
        <v>0</v>
      </c>
      <c r="F766" t="s">
        <v>11624</v>
      </c>
      <c r="G766">
        <v>7.1993410000000004</v>
      </c>
      <c r="H766">
        <v>-75.342236</v>
      </c>
      <c r="L766">
        <v>0</v>
      </c>
      <c r="M766">
        <v>0</v>
      </c>
      <c r="N766">
        <v>0</v>
      </c>
      <c r="O766" t="s">
        <v>11898</v>
      </c>
    </row>
    <row r="767" spans="1:15">
      <c r="A767" t="s">
        <v>1380</v>
      </c>
      <c r="B767" t="s">
        <v>11637</v>
      </c>
      <c r="C767" t="s">
        <v>14023</v>
      </c>
      <c r="D767" t="s">
        <v>14024</v>
      </c>
      <c r="E767" t="b">
        <v>0</v>
      </c>
      <c r="F767" t="s">
        <v>11624</v>
      </c>
      <c r="G767">
        <v>17.068263000000002</v>
      </c>
      <c r="H767">
        <v>-61.821863</v>
      </c>
      <c r="I767" t="s">
        <v>2933</v>
      </c>
      <c r="L767">
        <v>0</v>
      </c>
      <c r="M767">
        <v>0</v>
      </c>
      <c r="N767">
        <v>0</v>
      </c>
      <c r="O767" t="s">
        <v>14025</v>
      </c>
    </row>
    <row r="768" spans="1:15">
      <c r="A768" t="s">
        <v>14026</v>
      </c>
      <c r="B768" t="s">
        <v>11637</v>
      </c>
      <c r="C768" t="s">
        <v>14027</v>
      </c>
      <c r="D768" t="s">
        <v>14028</v>
      </c>
      <c r="E768" t="b">
        <v>0</v>
      </c>
      <c r="F768" t="s">
        <v>11610</v>
      </c>
      <c r="L768">
        <v>0</v>
      </c>
      <c r="M768">
        <v>0</v>
      </c>
      <c r="N768">
        <v>2</v>
      </c>
    </row>
    <row r="769" spans="1:15">
      <c r="A769" t="s">
        <v>14029</v>
      </c>
      <c r="B769" t="s">
        <v>11637</v>
      </c>
      <c r="C769" t="s">
        <v>14030</v>
      </c>
      <c r="D769" t="s">
        <v>14031</v>
      </c>
      <c r="E769" t="b">
        <v>0</v>
      </c>
      <c r="F769" t="s">
        <v>11610</v>
      </c>
      <c r="L769">
        <v>0</v>
      </c>
      <c r="M769">
        <v>0</v>
      </c>
      <c r="N769">
        <v>0</v>
      </c>
    </row>
    <row r="770" spans="1:15">
      <c r="A770" t="s">
        <v>12119</v>
      </c>
      <c r="B770" t="s">
        <v>11757</v>
      </c>
      <c r="C770" t="s">
        <v>14032</v>
      </c>
      <c r="D770" t="s">
        <v>14033</v>
      </c>
      <c r="E770" t="b">
        <v>0</v>
      </c>
      <c r="F770" t="s">
        <v>11624</v>
      </c>
      <c r="G770">
        <v>7.57714</v>
      </c>
      <c r="H770">
        <v>34.026699999999998</v>
      </c>
      <c r="I770" t="s">
        <v>14034</v>
      </c>
      <c r="L770">
        <v>0</v>
      </c>
      <c r="M770">
        <v>0</v>
      </c>
      <c r="N770">
        <v>4</v>
      </c>
      <c r="O770" t="s">
        <v>14035</v>
      </c>
    </row>
    <row r="771" spans="1:15">
      <c r="A771" t="s">
        <v>14036</v>
      </c>
      <c r="B771" t="s">
        <v>6742</v>
      </c>
      <c r="C771" t="s">
        <v>14037</v>
      </c>
      <c r="D771" t="s">
        <v>14038</v>
      </c>
      <c r="E771" t="b">
        <v>0</v>
      </c>
      <c r="F771" t="s">
        <v>11624</v>
      </c>
      <c r="G771">
        <v>10.283899999999999</v>
      </c>
      <c r="H771">
        <v>0.56020999999999999</v>
      </c>
      <c r="I771" t="s">
        <v>14039</v>
      </c>
      <c r="L771">
        <v>0</v>
      </c>
      <c r="M771">
        <v>0</v>
      </c>
      <c r="N771">
        <v>0</v>
      </c>
      <c r="O771" t="s">
        <v>14040</v>
      </c>
    </row>
    <row r="772" spans="1:15">
      <c r="A772" t="s">
        <v>14041</v>
      </c>
      <c r="B772" t="s">
        <v>367</v>
      </c>
      <c r="C772" t="s">
        <v>14042</v>
      </c>
      <c r="D772" t="s">
        <v>14043</v>
      </c>
      <c r="E772" t="b">
        <v>0</v>
      </c>
      <c r="F772" t="s">
        <v>11624</v>
      </c>
      <c r="G772">
        <v>-9.6692</v>
      </c>
      <c r="H772">
        <v>149.822</v>
      </c>
      <c r="I772" t="s">
        <v>14044</v>
      </c>
      <c r="L772">
        <v>0</v>
      </c>
      <c r="M772">
        <v>0</v>
      </c>
      <c r="N772">
        <v>0</v>
      </c>
      <c r="O772" t="s">
        <v>11660</v>
      </c>
    </row>
    <row r="773" spans="1:15">
      <c r="A773" t="s">
        <v>14045</v>
      </c>
      <c r="B773" t="s">
        <v>367</v>
      </c>
      <c r="C773" t="s">
        <v>14046</v>
      </c>
      <c r="D773" t="s">
        <v>14047</v>
      </c>
      <c r="E773" t="b">
        <v>0</v>
      </c>
      <c r="F773" t="s">
        <v>11624</v>
      </c>
      <c r="G773">
        <v>-2.2627100000000002</v>
      </c>
      <c r="H773">
        <v>139.50200000000001</v>
      </c>
      <c r="I773" t="s">
        <v>14048</v>
      </c>
      <c r="L773">
        <v>0</v>
      </c>
      <c r="M773">
        <v>0</v>
      </c>
      <c r="N773">
        <v>0</v>
      </c>
      <c r="O773" t="s">
        <v>11768</v>
      </c>
    </row>
    <row r="774" spans="1:15">
      <c r="A774" t="s">
        <v>14046</v>
      </c>
      <c r="B774" t="s">
        <v>367</v>
      </c>
      <c r="C774" t="s">
        <v>14049</v>
      </c>
      <c r="D774" t="s">
        <v>14050</v>
      </c>
      <c r="E774" t="b">
        <v>0</v>
      </c>
      <c r="F774" t="s">
        <v>11622</v>
      </c>
      <c r="L774">
        <v>0</v>
      </c>
      <c r="M774">
        <v>2</v>
      </c>
      <c r="N774">
        <v>0</v>
      </c>
    </row>
    <row r="775" spans="1:15">
      <c r="A775" t="s">
        <v>14051</v>
      </c>
      <c r="B775" t="s">
        <v>367</v>
      </c>
      <c r="C775" t="s">
        <v>14052</v>
      </c>
      <c r="D775" t="s">
        <v>14053</v>
      </c>
      <c r="E775" t="b">
        <v>0</v>
      </c>
      <c r="F775" t="s">
        <v>11624</v>
      </c>
      <c r="G775">
        <v>-11.61</v>
      </c>
      <c r="H775">
        <v>169.85</v>
      </c>
      <c r="I775" t="s">
        <v>14054</v>
      </c>
      <c r="L775">
        <v>0</v>
      </c>
      <c r="M775">
        <v>0</v>
      </c>
      <c r="N775">
        <v>0</v>
      </c>
      <c r="O775" t="s">
        <v>13346</v>
      </c>
    </row>
    <row r="776" spans="1:15">
      <c r="A776" t="s">
        <v>14055</v>
      </c>
      <c r="B776" t="s">
        <v>11644</v>
      </c>
      <c r="C776" t="s">
        <v>14056</v>
      </c>
      <c r="D776" t="s">
        <v>14057</v>
      </c>
      <c r="E776" t="b">
        <v>0</v>
      </c>
      <c r="F776" t="s">
        <v>11624</v>
      </c>
      <c r="G776">
        <v>23.339400000000001</v>
      </c>
      <c r="H776">
        <v>98.594499999999996</v>
      </c>
      <c r="I776" t="s">
        <v>14058</v>
      </c>
      <c r="L776">
        <v>0</v>
      </c>
      <c r="M776">
        <v>0</v>
      </c>
      <c r="N776">
        <v>0</v>
      </c>
      <c r="O776" t="s">
        <v>14059</v>
      </c>
    </row>
    <row r="777" spans="1:15">
      <c r="A777" t="s">
        <v>14060</v>
      </c>
      <c r="B777" t="s">
        <v>6742</v>
      </c>
      <c r="C777" t="s">
        <v>14061</v>
      </c>
      <c r="D777" t="s">
        <v>14062</v>
      </c>
      <c r="E777" t="b">
        <v>0</v>
      </c>
      <c r="F777" t="s">
        <v>11610</v>
      </c>
      <c r="L777">
        <v>0</v>
      </c>
      <c r="M777">
        <v>0</v>
      </c>
      <c r="N777">
        <v>0</v>
      </c>
    </row>
    <row r="778" spans="1:15">
      <c r="A778" t="s">
        <v>14063</v>
      </c>
      <c r="B778" t="s">
        <v>5126</v>
      </c>
      <c r="C778" t="s">
        <v>14064</v>
      </c>
      <c r="D778" t="s">
        <v>14065</v>
      </c>
      <c r="E778" t="b">
        <v>0</v>
      </c>
      <c r="F778" t="s">
        <v>11610</v>
      </c>
      <c r="L778">
        <v>0</v>
      </c>
      <c r="M778">
        <v>0</v>
      </c>
      <c r="N778">
        <v>0</v>
      </c>
    </row>
    <row r="779" spans="1:15">
      <c r="A779" t="s">
        <v>14066</v>
      </c>
      <c r="B779" t="s">
        <v>6742</v>
      </c>
      <c r="C779" t="s">
        <v>12308</v>
      </c>
      <c r="D779" t="s">
        <v>14067</v>
      </c>
      <c r="E779" t="b">
        <v>0</v>
      </c>
      <c r="F779" t="s">
        <v>11610</v>
      </c>
      <c r="L779">
        <v>0</v>
      </c>
      <c r="M779">
        <v>0</v>
      </c>
      <c r="N779">
        <v>0</v>
      </c>
    </row>
    <row r="780" spans="1:15">
      <c r="A780" t="s">
        <v>14068</v>
      </c>
      <c r="B780" t="s">
        <v>6742</v>
      </c>
      <c r="C780" t="s">
        <v>12956</v>
      </c>
      <c r="D780" t="s">
        <v>14069</v>
      </c>
      <c r="E780" t="b">
        <v>0</v>
      </c>
      <c r="F780" t="s">
        <v>11610</v>
      </c>
      <c r="L780">
        <v>0</v>
      </c>
      <c r="M780">
        <v>0</v>
      </c>
      <c r="N780">
        <v>0</v>
      </c>
    </row>
    <row r="781" spans="1:15">
      <c r="A781" t="s">
        <v>14070</v>
      </c>
      <c r="B781" t="s">
        <v>6742</v>
      </c>
      <c r="C781" t="s">
        <v>14071</v>
      </c>
      <c r="D781" t="s">
        <v>14072</v>
      </c>
      <c r="E781" t="b">
        <v>0</v>
      </c>
      <c r="F781" t="s">
        <v>11624</v>
      </c>
      <c r="G781">
        <v>6.1627000000000001</v>
      </c>
      <c r="H781">
        <v>-4.6423199999999998</v>
      </c>
      <c r="I781" t="s">
        <v>14073</v>
      </c>
      <c r="L781">
        <v>0</v>
      </c>
      <c r="M781">
        <v>0</v>
      </c>
      <c r="N781">
        <v>0</v>
      </c>
      <c r="O781" t="s">
        <v>11735</v>
      </c>
    </row>
    <row r="782" spans="1:15">
      <c r="A782" t="s">
        <v>11737</v>
      </c>
      <c r="B782" t="s">
        <v>6742</v>
      </c>
      <c r="C782" t="s">
        <v>14071</v>
      </c>
      <c r="D782" t="s">
        <v>14074</v>
      </c>
      <c r="E782" t="b">
        <v>0</v>
      </c>
      <c r="F782" t="s">
        <v>11624</v>
      </c>
      <c r="G782">
        <v>6.3178099999999997</v>
      </c>
      <c r="H782">
        <v>-3.30532</v>
      </c>
      <c r="I782" t="s">
        <v>14075</v>
      </c>
      <c r="L782">
        <v>0</v>
      </c>
      <c r="M782">
        <v>0</v>
      </c>
      <c r="N782">
        <v>11</v>
      </c>
      <c r="O782" t="s">
        <v>11820</v>
      </c>
    </row>
    <row r="783" spans="1:15">
      <c r="A783" t="s">
        <v>14071</v>
      </c>
      <c r="B783" t="s">
        <v>6742</v>
      </c>
      <c r="C783" t="s">
        <v>14037</v>
      </c>
      <c r="D783" t="s">
        <v>14076</v>
      </c>
      <c r="E783" t="b">
        <v>0</v>
      </c>
      <c r="F783" t="s">
        <v>11622</v>
      </c>
      <c r="L783">
        <v>0</v>
      </c>
      <c r="M783">
        <v>2</v>
      </c>
      <c r="N783">
        <v>11</v>
      </c>
    </row>
    <row r="784" spans="1:15">
      <c r="A784" t="s">
        <v>14077</v>
      </c>
      <c r="B784" t="s">
        <v>11644</v>
      </c>
      <c r="C784" t="s">
        <v>14078</v>
      </c>
      <c r="D784" t="s">
        <v>14079</v>
      </c>
      <c r="E784" t="b">
        <v>0</v>
      </c>
      <c r="F784" t="s">
        <v>11610</v>
      </c>
      <c r="G784">
        <v>28.843589999999999</v>
      </c>
      <c r="H784">
        <v>115.54773</v>
      </c>
      <c r="L784">
        <v>0</v>
      </c>
      <c r="M784">
        <v>0</v>
      </c>
      <c r="N784">
        <v>0</v>
      </c>
    </row>
    <row r="785" spans="1:15">
      <c r="A785" t="s">
        <v>14080</v>
      </c>
      <c r="B785" t="s">
        <v>6742</v>
      </c>
      <c r="C785" t="s">
        <v>13977</v>
      </c>
      <c r="D785" t="s">
        <v>14081</v>
      </c>
      <c r="E785" t="b">
        <v>0</v>
      </c>
      <c r="F785" t="s">
        <v>11610</v>
      </c>
      <c r="L785">
        <v>0</v>
      </c>
      <c r="M785">
        <v>0</v>
      </c>
      <c r="N785">
        <v>0</v>
      </c>
    </row>
    <row r="786" spans="1:15">
      <c r="A786" t="s">
        <v>14082</v>
      </c>
      <c r="B786" t="s">
        <v>12311</v>
      </c>
      <c r="C786" t="s">
        <v>12742</v>
      </c>
      <c r="D786" t="s">
        <v>14083</v>
      </c>
      <c r="E786" t="b">
        <v>0</v>
      </c>
      <c r="F786" t="s">
        <v>11610</v>
      </c>
      <c r="L786">
        <v>0</v>
      </c>
      <c r="M786">
        <v>0</v>
      </c>
      <c r="N786">
        <v>0</v>
      </c>
    </row>
    <row r="787" spans="1:15">
      <c r="A787" t="s">
        <v>14084</v>
      </c>
      <c r="B787" t="s">
        <v>367</v>
      </c>
      <c r="C787" t="s">
        <v>14085</v>
      </c>
      <c r="D787" t="s">
        <v>14086</v>
      </c>
      <c r="E787" t="b">
        <v>0</v>
      </c>
      <c r="F787" t="s">
        <v>11624</v>
      </c>
      <c r="G787">
        <v>0.87404000000000004</v>
      </c>
      <c r="H787">
        <v>114.127</v>
      </c>
      <c r="I787" t="s">
        <v>14087</v>
      </c>
      <c r="L787">
        <v>0</v>
      </c>
      <c r="M787">
        <v>0</v>
      </c>
      <c r="N787">
        <v>2</v>
      </c>
      <c r="O787" t="s">
        <v>11768</v>
      </c>
    </row>
    <row r="788" spans="1:15">
      <c r="A788" t="s">
        <v>14088</v>
      </c>
      <c r="B788" t="s">
        <v>367</v>
      </c>
      <c r="C788" t="s">
        <v>14084</v>
      </c>
      <c r="D788" t="s">
        <v>14089</v>
      </c>
      <c r="E788" t="b">
        <v>0</v>
      </c>
      <c r="F788" t="s">
        <v>11610</v>
      </c>
      <c r="L788">
        <v>0</v>
      </c>
      <c r="M788">
        <v>0</v>
      </c>
      <c r="N788">
        <v>0</v>
      </c>
    </row>
    <row r="789" spans="1:15">
      <c r="A789" t="s">
        <v>14090</v>
      </c>
      <c r="B789" t="s">
        <v>11644</v>
      </c>
      <c r="C789" t="s">
        <v>13787</v>
      </c>
      <c r="D789" t="s">
        <v>14091</v>
      </c>
      <c r="E789" t="b">
        <v>0</v>
      </c>
      <c r="F789" t="s">
        <v>11622</v>
      </c>
      <c r="L789">
        <v>2</v>
      </c>
      <c r="M789">
        <v>7</v>
      </c>
      <c r="N789">
        <v>28</v>
      </c>
    </row>
    <row r="790" spans="1:15">
      <c r="A790" t="s">
        <v>14092</v>
      </c>
      <c r="B790" t="s">
        <v>367</v>
      </c>
      <c r="C790" t="s">
        <v>14093</v>
      </c>
      <c r="D790" t="s">
        <v>14094</v>
      </c>
      <c r="E790" t="b">
        <v>0</v>
      </c>
      <c r="F790" t="s">
        <v>11610</v>
      </c>
      <c r="L790">
        <v>0</v>
      </c>
      <c r="M790">
        <v>0</v>
      </c>
      <c r="N790">
        <v>0</v>
      </c>
    </row>
    <row r="791" spans="1:15">
      <c r="A791" t="s">
        <v>14095</v>
      </c>
      <c r="B791" t="s">
        <v>12686</v>
      </c>
      <c r="C791" t="s">
        <v>6182</v>
      </c>
      <c r="D791" t="s">
        <v>14096</v>
      </c>
      <c r="E791" t="b">
        <v>0</v>
      </c>
      <c r="F791" t="s">
        <v>11610</v>
      </c>
      <c r="L791">
        <v>0</v>
      </c>
      <c r="M791">
        <v>0</v>
      </c>
      <c r="N791">
        <v>0</v>
      </c>
    </row>
    <row r="792" spans="1:15">
      <c r="A792" t="s">
        <v>14097</v>
      </c>
      <c r="B792" t="s">
        <v>11644</v>
      </c>
      <c r="C792" t="s">
        <v>14090</v>
      </c>
      <c r="D792" t="s">
        <v>14098</v>
      </c>
      <c r="E792" t="b">
        <v>0</v>
      </c>
      <c r="F792" t="s">
        <v>11624</v>
      </c>
      <c r="G792">
        <v>26.324100000000001</v>
      </c>
      <c r="H792">
        <v>94.382400000000004</v>
      </c>
      <c r="I792" t="s">
        <v>14099</v>
      </c>
      <c r="L792">
        <v>0</v>
      </c>
      <c r="M792">
        <v>0</v>
      </c>
      <c r="N792">
        <v>8</v>
      </c>
      <c r="O792" t="s">
        <v>11630</v>
      </c>
    </row>
    <row r="793" spans="1:15">
      <c r="A793" t="s">
        <v>14100</v>
      </c>
      <c r="B793" t="s">
        <v>367</v>
      </c>
      <c r="C793" t="s">
        <v>14101</v>
      </c>
      <c r="D793" t="s">
        <v>14102</v>
      </c>
      <c r="E793" t="b">
        <v>0</v>
      </c>
      <c r="F793" t="s">
        <v>11624</v>
      </c>
      <c r="G793">
        <v>-15.5753</v>
      </c>
      <c r="H793">
        <v>167.166</v>
      </c>
      <c r="I793" t="s">
        <v>14103</v>
      </c>
      <c r="L793">
        <v>0</v>
      </c>
      <c r="M793">
        <v>0</v>
      </c>
      <c r="N793">
        <v>0</v>
      </c>
      <c r="O793" t="s">
        <v>12719</v>
      </c>
    </row>
    <row r="794" spans="1:15">
      <c r="A794" t="s">
        <v>14104</v>
      </c>
      <c r="B794" t="s">
        <v>12438</v>
      </c>
      <c r="C794" t="s">
        <v>14105</v>
      </c>
      <c r="D794" t="s">
        <v>14106</v>
      </c>
      <c r="E794" t="b">
        <v>0</v>
      </c>
      <c r="F794" t="s">
        <v>11610</v>
      </c>
      <c r="L794">
        <v>0</v>
      </c>
      <c r="M794">
        <v>0</v>
      </c>
      <c r="N794">
        <v>0</v>
      </c>
    </row>
    <row r="795" spans="1:15">
      <c r="A795" t="s">
        <v>14107</v>
      </c>
      <c r="B795" t="s">
        <v>5126</v>
      </c>
      <c r="C795" t="s">
        <v>12456</v>
      </c>
      <c r="D795" t="s">
        <v>14108</v>
      </c>
      <c r="E795" t="b">
        <v>0</v>
      </c>
      <c r="F795" t="s">
        <v>11624</v>
      </c>
      <c r="G795">
        <v>26.8</v>
      </c>
      <c r="H795">
        <v>105.85</v>
      </c>
      <c r="I795" t="s">
        <v>14109</v>
      </c>
      <c r="L795">
        <v>0</v>
      </c>
      <c r="M795">
        <v>0</v>
      </c>
      <c r="N795">
        <v>2</v>
      </c>
      <c r="O795" t="s">
        <v>11905</v>
      </c>
    </row>
    <row r="796" spans="1:15">
      <c r="A796" t="s">
        <v>14110</v>
      </c>
      <c r="B796" t="s">
        <v>5126</v>
      </c>
      <c r="C796" t="s">
        <v>14107</v>
      </c>
      <c r="D796" t="s">
        <v>14111</v>
      </c>
      <c r="E796" t="b">
        <v>0</v>
      </c>
      <c r="F796" t="s">
        <v>11610</v>
      </c>
      <c r="L796">
        <v>0</v>
      </c>
      <c r="M796">
        <v>0</v>
      </c>
      <c r="N796">
        <v>0</v>
      </c>
    </row>
    <row r="797" spans="1:15">
      <c r="A797" t="s">
        <v>14112</v>
      </c>
      <c r="B797" t="s">
        <v>6742</v>
      </c>
      <c r="C797" t="s">
        <v>11737</v>
      </c>
      <c r="D797" t="s">
        <v>14113</v>
      </c>
      <c r="E797" t="b">
        <v>0</v>
      </c>
      <c r="F797" t="s">
        <v>11610</v>
      </c>
      <c r="L797">
        <v>0</v>
      </c>
      <c r="M797">
        <v>0</v>
      </c>
      <c r="N797">
        <v>0</v>
      </c>
    </row>
    <row r="798" spans="1:15">
      <c r="A798" t="s">
        <v>14114</v>
      </c>
      <c r="B798" t="s">
        <v>6742</v>
      </c>
      <c r="C798" t="s">
        <v>14115</v>
      </c>
      <c r="D798" t="s">
        <v>14116</v>
      </c>
      <c r="E798" t="b">
        <v>0</v>
      </c>
      <c r="F798" t="s">
        <v>11610</v>
      </c>
      <c r="L798">
        <v>0</v>
      </c>
      <c r="M798">
        <v>0</v>
      </c>
      <c r="N798">
        <v>0</v>
      </c>
    </row>
    <row r="799" spans="1:15">
      <c r="A799" t="s">
        <v>11196</v>
      </c>
      <c r="B799" t="s">
        <v>12460</v>
      </c>
      <c r="C799" t="s">
        <v>14117</v>
      </c>
      <c r="D799" t="s">
        <v>14118</v>
      </c>
      <c r="E799" t="b">
        <v>0</v>
      </c>
      <c r="F799" t="s">
        <v>11622</v>
      </c>
      <c r="L799">
        <v>3</v>
      </c>
      <c r="M799">
        <v>6</v>
      </c>
      <c r="N799">
        <v>0</v>
      </c>
    </row>
    <row r="800" spans="1:15">
      <c r="A800" t="s">
        <v>14119</v>
      </c>
      <c r="B800" t="s">
        <v>11615</v>
      </c>
      <c r="C800" t="s">
        <v>14120</v>
      </c>
      <c r="D800" t="s">
        <v>14121</v>
      </c>
      <c r="E800" t="b">
        <v>0</v>
      </c>
      <c r="F800" t="s">
        <v>11610</v>
      </c>
      <c r="L800">
        <v>0</v>
      </c>
      <c r="M800">
        <v>0</v>
      </c>
      <c r="N800">
        <v>0</v>
      </c>
    </row>
    <row r="801" spans="1:15">
      <c r="A801" t="s">
        <v>14122</v>
      </c>
      <c r="B801" t="s">
        <v>12875</v>
      </c>
      <c r="C801" t="s">
        <v>12876</v>
      </c>
      <c r="D801" t="s">
        <v>14123</v>
      </c>
      <c r="E801" t="b">
        <v>0</v>
      </c>
      <c r="F801" t="s">
        <v>11624</v>
      </c>
      <c r="I801" t="s">
        <v>14124</v>
      </c>
      <c r="L801">
        <v>0</v>
      </c>
      <c r="M801">
        <v>0</v>
      </c>
      <c r="N801">
        <v>0</v>
      </c>
      <c r="O801" t="s">
        <v>11944</v>
      </c>
    </row>
    <row r="802" spans="1:15">
      <c r="A802" t="s">
        <v>14125</v>
      </c>
      <c r="B802" t="s">
        <v>367</v>
      </c>
      <c r="C802" t="s">
        <v>12500</v>
      </c>
      <c r="D802" t="s">
        <v>14126</v>
      </c>
      <c r="E802" t="b">
        <v>0</v>
      </c>
      <c r="F802" t="s">
        <v>11624</v>
      </c>
      <c r="G802">
        <v>-6.2900200000000002</v>
      </c>
      <c r="H802">
        <v>149.96</v>
      </c>
      <c r="I802" t="s">
        <v>14127</v>
      </c>
      <c r="L802">
        <v>0</v>
      </c>
      <c r="M802">
        <v>0</v>
      </c>
      <c r="N802">
        <v>0</v>
      </c>
      <c r="O802" t="s">
        <v>11660</v>
      </c>
    </row>
    <row r="803" spans="1:15">
      <c r="A803" t="s">
        <v>11953</v>
      </c>
      <c r="B803" t="s">
        <v>11615</v>
      </c>
      <c r="C803" t="s">
        <v>14128</v>
      </c>
      <c r="D803" t="s">
        <v>14129</v>
      </c>
      <c r="E803" t="b">
        <v>0</v>
      </c>
      <c r="F803" t="s">
        <v>11624</v>
      </c>
      <c r="G803">
        <v>-5.1726999999999999</v>
      </c>
      <c r="H803">
        <v>145.023</v>
      </c>
      <c r="I803" t="s">
        <v>14130</v>
      </c>
      <c r="L803">
        <v>0</v>
      </c>
      <c r="M803">
        <v>0</v>
      </c>
      <c r="N803">
        <v>2</v>
      </c>
      <c r="O803" t="s">
        <v>11660</v>
      </c>
    </row>
    <row r="804" spans="1:15">
      <c r="A804" t="s">
        <v>14131</v>
      </c>
      <c r="B804" t="s">
        <v>8310</v>
      </c>
      <c r="C804" t="s">
        <v>8310</v>
      </c>
      <c r="D804" t="s">
        <v>14132</v>
      </c>
      <c r="E804" t="b">
        <v>0</v>
      </c>
      <c r="F804" t="s">
        <v>11624</v>
      </c>
      <c r="G804">
        <v>1.4979199999999999</v>
      </c>
      <c r="H804">
        <v>-54.745699999999999</v>
      </c>
      <c r="I804" t="s">
        <v>14133</v>
      </c>
      <c r="L804">
        <v>0</v>
      </c>
      <c r="M804">
        <v>0</v>
      </c>
      <c r="N804">
        <v>0</v>
      </c>
      <c r="O804" t="s">
        <v>11969</v>
      </c>
    </row>
    <row r="805" spans="1:15">
      <c r="A805" t="s">
        <v>14134</v>
      </c>
      <c r="B805" t="s">
        <v>141</v>
      </c>
      <c r="C805" t="s">
        <v>14135</v>
      </c>
      <c r="D805" t="s">
        <v>14136</v>
      </c>
      <c r="E805" t="b">
        <v>0</v>
      </c>
      <c r="F805" t="s">
        <v>11622</v>
      </c>
      <c r="L805">
        <v>0</v>
      </c>
      <c r="M805">
        <v>4</v>
      </c>
      <c r="N805">
        <v>0</v>
      </c>
    </row>
    <row r="806" spans="1:15">
      <c r="A806" t="s">
        <v>14137</v>
      </c>
      <c r="B806" t="s">
        <v>6742</v>
      </c>
      <c r="C806" t="s">
        <v>12818</v>
      </c>
      <c r="D806" t="s">
        <v>14138</v>
      </c>
      <c r="E806" t="b">
        <v>0</v>
      </c>
      <c r="F806" t="s">
        <v>11610</v>
      </c>
      <c r="L806">
        <v>0</v>
      </c>
      <c r="M806">
        <v>0</v>
      </c>
      <c r="N806">
        <v>0</v>
      </c>
    </row>
    <row r="807" spans="1:15">
      <c r="A807" t="s">
        <v>14139</v>
      </c>
      <c r="B807" t="s">
        <v>11965</v>
      </c>
      <c r="C807" t="s">
        <v>678</v>
      </c>
      <c r="D807" t="s">
        <v>14140</v>
      </c>
      <c r="E807" t="b">
        <v>0</v>
      </c>
      <c r="F807" t="s">
        <v>11610</v>
      </c>
      <c r="L807">
        <v>0</v>
      </c>
      <c r="M807">
        <v>0</v>
      </c>
      <c r="N807">
        <v>0</v>
      </c>
    </row>
    <row r="808" spans="1:15">
      <c r="A808" t="s">
        <v>14141</v>
      </c>
      <c r="B808" t="s">
        <v>11912</v>
      </c>
      <c r="C808" t="s">
        <v>14142</v>
      </c>
      <c r="D808" t="s">
        <v>14143</v>
      </c>
      <c r="E808" t="b">
        <v>0</v>
      </c>
      <c r="F808" t="s">
        <v>11610</v>
      </c>
      <c r="L808">
        <v>0</v>
      </c>
      <c r="M808">
        <v>0</v>
      </c>
      <c r="N808">
        <v>0</v>
      </c>
    </row>
    <row r="809" spans="1:15">
      <c r="A809" t="s">
        <v>14144</v>
      </c>
      <c r="B809" t="s">
        <v>11879</v>
      </c>
      <c r="C809" t="s">
        <v>14145</v>
      </c>
      <c r="D809" t="s">
        <v>14146</v>
      </c>
      <c r="E809" t="b">
        <v>0</v>
      </c>
      <c r="F809" t="s">
        <v>11624</v>
      </c>
      <c r="G809">
        <v>17.6143</v>
      </c>
      <c r="H809">
        <v>-97.065700000000007</v>
      </c>
      <c r="I809" t="s">
        <v>14147</v>
      </c>
      <c r="L809">
        <v>0</v>
      </c>
      <c r="M809">
        <v>0</v>
      </c>
      <c r="N809">
        <v>0</v>
      </c>
      <c r="O809" t="s">
        <v>11883</v>
      </c>
    </row>
    <row r="810" spans="1:15">
      <c r="A810" t="s">
        <v>14148</v>
      </c>
      <c r="B810" t="s">
        <v>11644</v>
      </c>
      <c r="C810" t="s">
        <v>14149</v>
      </c>
      <c r="D810" t="s">
        <v>14150</v>
      </c>
      <c r="E810" t="b">
        <v>0</v>
      </c>
      <c r="F810" t="s">
        <v>11624</v>
      </c>
      <c r="G810">
        <v>27.193300000000001</v>
      </c>
      <c r="H810">
        <v>93.728399999999993</v>
      </c>
      <c r="I810" t="s">
        <v>14151</v>
      </c>
      <c r="L810">
        <v>0</v>
      </c>
      <c r="M810">
        <v>0</v>
      </c>
      <c r="N810">
        <v>0</v>
      </c>
      <c r="O810" t="s">
        <v>11630</v>
      </c>
    </row>
    <row r="811" spans="1:15">
      <c r="A811" t="s">
        <v>14152</v>
      </c>
      <c r="B811" t="s">
        <v>6742</v>
      </c>
      <c r="C811" t="s">
        <v>12125</v>
      </c>
      <c r="D811" t="s">
        <v>14153</v>
      </c>
      <c r="E811" t="b">
        <v>0</v>
      </c>
      <c r="F811" t="s">
        <v>11610</v>
      </c>
      <c r="L811">
        <v>0</v>
      </c>
      <c r="M811">
        <v>0</v>
      </c>
      <c r="N811">
        <v>0</v>
      </c>
    </row>
    <row r="812" spans="1:15">
      <c r="A812" t="s">
        <v>14154</v>
      </c>
      <c r="B812" t="s">
        <v>8310</v>
      </c>
      <c r="C812" t="s">
        <v>14155</v>
      </c>
      <c r="D812" t="s">
        <v>14156</v>
      </c>
      <c r="E812" t="b">
        <v>0</v>
      </c>
      <c r="F812" t="s">
        <v>11624</v>
      </c>
      <c r="G812">
        <v>-6.5</v>
      </c>
      <c r="H812">
        <v>-49.771729000000001</v>
      </c>
      <c r="L812">
        <v>0</v>
      </c>
      <c r="M812">
        <v>0</v>
      </c>
      <c r="N812">
        <v>0</v>
      </c>
      <c r="O812" t="s">
        <v>11969</v>
      </c>
    </row>
    <row r="813" spans="1:15">
      <c r="A813" t="s">
        <v>14157</v>
      </c>
      <c r="B813" t="s">
        <v>11912</v>
      </c>
      <c r="C813" t="s">
        <v>13503</v>
      </c>
      <c r="D813" t="s">
        <v>14158</v>
      </c>
      <c r="E813" t="b">
        <v>0</v>
      </c>
      <c r="F813" t="s">
        <v>11624</v>
      </c>
      <c r="G813">
        <v>-7.8471099999999998</v>
      </c>
      <c r="H813">
        <v>-57.91</v>
      </c>
      <c r="I813" t="s">
        <v>14159</v>
      </c>
      <c r="L813">
        <v>0</v>
      </c>
      <c r="M813">
        <v>0</v>
      </c>
      <c r="N813">
        <v>0</v>
      </c>
      <c r="O813" t="s">
        <v>11969</v>
      </c>
    </row>
    <row r="814" spans="1:15">
      <c r="A814" t="s">
        <v>14160</v>
      </c>
      <c r="B814" t="s">
        <v>11965</v>
      </c>
      <c r="C814" t="s">
        <v>14161</v>
      </c>
      <c r="D814" t="s">
        <v>14162</v>
      </c>
      <c r="E814" t="b">
        <v>0</v>
      </c>
      <c r="F814" t="s">
        <v>11624</v>
      </c>
      <c r="G814">
        <v>-6.1077399999999997</v>
      </c>
      <c r="H814">
        <v>-47.631500000000003</v>
      </c>
      <c r="I814" t="s">
        <v>14163</v>
      </c>
      <c r="L814">
        <v>0</v>
      </c>
      <c r="M814">
        <v>0</v>
      </c>
      <c r="N814">
        <v>0</v>
      </c>
      <c r="O814" t="s">
        <v>11969</v>
      </c>
    </row>
    <row r="815" spans="1:15">
      <c r="A815" t="s">
        <v>14164</v>
      </c>
      <c r="B815" t="s">
        <v>367</v>
      </c>
      <c r="C815" t="s">
        <v>14165</v>
      </c>
      <c r="D815" t="s">
        <v>14166</v>
      </c>
      <c r="E815" t="b">
        <v>0</v>
      </c>
      <c r="F815" t="s">
        <v>11624</v>
      </c>
      <c r="G815">
        <v>-15.8559</v>
      </c>
      <c r="H815">
        <v>168.18899999999999</v>
      </c>
      <c r="I815" t="s">
        <v>14167</v>
      </c>
      <c r="L815">
        <v>0</v>
      </c>
      <c r="M815">
        <v>0</v>
      </c>
      <c r="N815">
        <v>5</v>
      </c>
      <c r="O815" t="s">
        <v>12719</v>
      </c>
    </row>
    <row r="816" spans="1:15">
      <c r="A816" t="s">
        <v>14168</v>
      </c>
      <c r="D816" t="s">
        <v>14169</v>
      </c>
      <c r="E816" t="b">
        <v>0</v>
      </c>
      <c r="F816" t="s">
        <v>11624</v>
      </c>
      <c r="G816">
        <v>-4.3514699999999999</v>
      </c>
      <c r="H816">
        <v>144.08500000000001</v>
      </c>
      <c r="I816" t="s">
        <v>14170</v>
      </c>
      <c r="L816">
        <v>0</v>
      </c>
      <c r="M816">
        <v>0</v>
      </c>
      <c r="N816">
        <v>1</v>
      </c>
      <c r="O816" t="s">
        <v>11660</v>
      </c>
    </row>
    <row r="817" spans="1:15">
      <c r="A817" t="s">
        <v>14171</v>
      </c>
      <c r="B817" t="s">
        <v>11615</v>
      </c>
      <c r="C817" t="s">
        <v>14172</v>
      </c>
      <c r="D817" t="s">
        <v>14173</v>
      </c>
      <c r="E817" t="b">
        <v>0</v>
      </c>
      <c r="F817" t="s">
        <v>11610</v>
      </c>
      <c r="L817">
        <v>0</v>
      </c>
      <c r="M817">
        <v>0</v>
      </c>
      <c r="N817">
        <v>0</v>
      </c>
    </row>
    <row r="818" spans="1:15">
      <c r="A818" t="s">
        <v>14174</v>
      </c>
      <c r="B818" t="s">
        <v>12697</v>
      </c>
      <c r="C818" t="s">
        <v>14175</v>
      </c>
      <c r="D818" t="s">
        <v>14176</v>
      </c>
      <c r="E818" t="b">
        <v>0</v>
      </c>
      <c r="F818" t="s">
        <v>11610</v>
      </c>
      <c r="L818">
        <v>0</v>
      </c>
      <c r="M818">
        <v>0</v>
      </c>
      <c r="N818">
        <v>0</v>
      </c>
    </row>
    <row r="819" spans="1:15">
      <c r="A819" t="s">
        <v>14177</v>
      </c>
      <c r="B819" t="s">
        <v>13210</v>
      </c>
      <c r="C819" t="s">
        <v>2047</v>
      </c>
      <c r="D819" t="s">
        <v>14178</v>
      </c>
      <c r="E819" t="b">
        <v>0</v>
      </c>
      <c r="F819" t="s">
        <v>11610</v>
      </c>
      <c r="L819">
        <v>0</v>
      </c>
      <c r="M819">
        <v>0</v>
      </c>
      <c r="N819">
        <v>0</v>
      </c>
    </row>
    <row r="820" spans="1:15">
      <c r="A820" t="s">
        <v>14179</v>
      </c>
      <c r="B820" t="s">
        <v>141</v>
      </c>
      <c r="C820" t="s">
        <v>14180</v>
      </c>
      <c r="D820" t="s">
        <v>14181</v>
      </c>
      <c r="E820" t="b">
        <v>0</v>
      </c>
      <c r="F820" t="s">
        <v>11610</v>
      </c>
      <c r="L820">
        <v>0</v>
      </c>
      <c r="M820">
        <v>0</v>
      </c>
      <c r="N820">
        <v>0</v>
      </c>
    </row>
    <row r="821" spans="1:15">
      <c r="A821" t="s">
        <v>14182</v>
      </c>
      <c r="B821" t="s">
        <v>11894</v>
      </c>
      <c r="C821" t="s">
        <v>14183</v>
      </c>
      <c r="D821" t="s">
        <v>14184</v>
      </c>
      <c r="E821" t="b">
        <v>0</v>
      </c>
      <c r="F821" t="s">
        <v>11624</v>
      </c>
      <c r="G821">
        <v>-14.83</v>
      </c>
      <c r="H821">
        <v>-68.66</v>
      </c>
      <c r="L821">
        <v>0</v>
      </c>
      <c r="M821">
        <v>0</v>
      </c>
      <c r="N821">
        <v>0</v>
      </c>
      <c r="O821" t="s">
        <v>14185</v>
      </c>
    </row>
    <row r="822" spans="1:15">
      <c r="A822" t="s">
        <v>14186</v>
      </c>
      <c r="B822" t="s">
        <v>141</v>
      </c>
      <c r="C822" t="s">
        <v>14187</v>
      </c>
      <c r="D822" t="s">
        <v>14188</v>
      </c>
      <c r="E822" t="b">
        <v>0</v>
      </c>
      <c r="F822" t="s">
        <v>11610</v>
      </c>
      <c r="L822">
        <v>0</v>
      </c>
      <c r="M822">
        <v>0</v>
      </c>
      <c r="N822">
        <v>0</v>
      </c>
    </row>
    <row r="823" spans="1:15">
      <c r="A823" t="s">
        <v>14189</v>
      </c>
      <c r="B823" t="s">
        <v>11705</v>
      </c>
      <c r="C823" t="s">
        <v>14190</v>
      </c>
      <c r="D823" t="s">
        <v>14191</v>
      </c>
      <c r="E823" t="b">
        <v>0</v>
      </c>
      <c r="F823" t="s">
        <v>11610</v>
      </c>
      <c r="L823">
        <v>0</v>
      </c>
      <c r="M823">
        <v>0</v>
      </c>
      <c r="N823">
        <v>0</v>
      </c>
    </row>
    <row r="824" spans="1:15">
      <c r="A824" t="s">
        <v>14192</v>
      </c>
      <c r="B824" t="s">
        <v>12241</v>
      </c>
      <c r="C824" t="s">
        <v>12241</v>
      </c>
      <c r="D824" t="s">
        <v>14193</v>
      </c>
      <c r="E824" t="b">
        <v>0</v>
      </c>
      <c r="F824" t="s">
        <v>11624</v>
      </c>
      <c r="L824">
        <v>0</v>
      </c>
      <c r="M824">
        <v>0</v>
      </c>
      <c r="N824">
        <v>0</v>
      </c>
      <c r="O824" t="s">
        <v>11969</v>
      </c>
    </row>
    <row r="825" spans="1:15">
      <c r="A825" t="s">
        <v>14194</v>
      </c>
      <c r="B825" t="s">
        <v>11637</v>
      </c>
      <c r="C825" t="s">
        <v>14195</v>
      </c>
      <c r="D825" t="s">
        <v>14196</v>
      </c>
      <c r="E825" t="b">
        <v>0</v>
      </c>
      <c r="F825" t="s">
        <v>11610</v>
      </c>
      <c r="L825">
        <v>0</v>
      </c>
      <c r="M825">
        <v>0</v>
      </c>
      <c r="N825">
        <v>0</v>
      </c>
    </row>
    <row r="826" spans="1:15">
      <c r="A826" t="s">
        <v>14197</v>
      </c>
      <c r="B826" t="s">
        <v>6742</v>
      </c>
      <c r="C826" t="s">
        <v>11992</v>
      </c>
      <c r="D826" t="s">
        <v>14198</v>
      </c>
      <c r="E826" t="b">
        <v>0</v>
      </c>
      <c r="F826" t="s">
        <v>11624</v>
      </c>
      <c r="G826">
        <v>5.2027299999999999</v>
      </c>
      <c r="H826">
        <v>-4.5219199999999997</v>
      </c>
      <c r="I826" t="s">
        <v>14199</v>
      </c>
      <c r="L826">
        <v>0</v>
      </c>
      <c r="M826">
        <v>0</v>
      </c>
      <c r="N826">
        <v>0</v>
      </c>
      <c r="O826" t="s">
        <v>11735</v>
      </c>
    </row>
    <row r="827" spans="1:15">
      <c r="A827" t="s">
        <v>14200</v>
      </c>
      <c r="B827" t="s">
        <v>367</v>
      </c>
      <c r="C827" t="s">
        <v>12490</v>
      </c>
      <c r="D827" t="s">
        <v>14201</v>
      </c>
      <c r="E827" t="b">
        <v>0</v>
      </c>
      <c r="F827" t="s">
        <v>11610</v>
      </c>
      <c r="L827">
        <v>0</v>
      </c>
      <c r="M827">
        <v>0</v>
      </c>
      <c r="N827">
        <v>0</v>
      </c>
    </row>
    <row r="828" spans="1:15">
      <c r="A828" t="s">
        <v>14202</v>
      </c>
      <c r="B828" t="s">
        <v>12650</v>
      </c>
      <c r="C828" t="s">
        <v>12675</v>
      </c>
      <c r="D828" t="s">
        <v>14203</v>
      </c>
      <c r="E828" t="b">
        <v>0</v>
      </c>
      <c r="F828" t="s">
        <v>11624</v>
      </c>
      <c r="G828">
        <v>12.241</v>
      </c>
      <c r="H828">
        <v>92.796499999999995</v>
      </c>
      <c r="I828" t="s">
        <v>14204</v>
      </c>
      <c r="L828">
        <v>0</v>
      </c>
      <c r="M828">
        <v>0</v>
      </c>
      <c r="N828">
        <v>0</v>
      </c>
      <c r="O828" t="s">
        <v>11630</v>
      </c>
    </row>
    <row r="829" spans="1:15">
      <c r="A829" t="s">
        <v>14205</v>
      </c>
      <c r="B829" t="s">
        <v>11757</v>
      </c>
      <c r="C829" t="s">
        <v>3239</v>
      </c>
      <c r="D829" t="s">
        <v>14206</v>
      </c>
      <c r="E829" t="b">
        <v>0</v>
      </c>
      <c r="F829" t="s">
        <v>11610</v>
      </c>
      <c r="L829">
        <v>0</v>
      </c>
      <c r="M829">
        <v>0</v>
      </c>
      <c r="N829">
        <v>0</v>
      </c>
    </row>
    <row r="830" spans="1:15">
      <c r="A830" t="s">
        <v>14207</v>
      </c>
      <c r="B830" t="s">
        <v>11637</v>
      </c>
      <c r="C830" t="s">
        <v>14208</v>
      </c>
      <c r="D830" t="s">
        <v>14209</v>
      </c>
      <c r="E830" t="b">
        <v>0</v>
      </c>
      <c r="F830" t="s">
        <v>11624</v>
      </c>
      <c r="L830">
        <v>0</v>
      </c>
      <c r="M830">
        <v>0</v>
      </c>
      <c r="N830">
        <v>2</v>
      </c>
      <c r="O830" t="s">
        <v>13664</v>
      </c>
    </row>
    <row r="831" spans="1:15">
      <c r="A831" t="s">
        <v>14210</v>
      </c>
      <c r="B831" t="s">
        <v>11637</v>
      </c>
      <c r="C831" t="s">
        <v>14207</v>
      </c>
      <c r="D831" t="s">
        <v>14211</v>
      </c>
      <c r="E831" t="b">
        <v>0</v>
      </c>
      <c r="F831" t="s">
        <v>11610</v>
      </c>
      <c r="L831">
        <v>0</v>
      </c>
      <c r="M831">
        <v>0</v>
      </c>
      <c r="N831">
        <v>0</v>
      </c>
    </row>
    <row r="832" spans="1:15">
      <c r="A832" t="s">
        <v>14212</v>
      </c>
      <c r="B832" t="s">
        <v>11839</v>
      </c>
      <c r="C832" t="s">
        <v>14213</v>
      </c>
      <c r="D832" t="s">
        <v>14214</v>
      </c>
      <c r="E832" t="b">
        <v>0</v>
      </c>
      <c r="F832" t="s">
        <v>11610</v>
      </c>
      <c r="L832">
        <v>0</v>
      </c>
      <c r="M832">
        <v>0</v>
      </c>
      <c r="N832">
        <v>0</v>
      </c>
    </row>
    <row r="833" spans="1:15">
      <c r="A833" t="s">
        <v>14215</v>
      </c>
      <c r="B833" t="s">
        <v>141</v>
      </c>
      <c r="C833" t="s">
        <v>14216</v>
      </c>
      <c r="D833" t="s">
        <v>14217</v>
      </c>
      <c r="E833" t="b">
        <v>0</v>
      </c>
      <c r="F833" t="s">
        <v>11610</v>
      </c>
      <c r="L833">
        <v>0</v>
      </c>
      <c r="M833">
        <v>0</v>
      </c>
      <c r="N833">
        <v>0</v>
      </c>
    </row>
    <row r="834" spans="1:15">
      <c r="A834" t="s">
        <v>14218</v>
      </c>
      <c r="B834" t="s">
        <v>11894</v>
      </c>
      <c r="C834" t="s">
        <v>14219</v>
      </c>
      <c r="D834" t="s">
        <v>14220</v>
      </c>
      <c r="E834" t="b">
        <v>0</v>
      </c>
      <c r="F834" t="s">
        <v>11624</v>
      </c>
      <c r="G834">
        <v>-8.21692</v>
      </c>
      <c r="H834">
        <v>-66.7714</v>
      </c>
      <c r="I834" t="s">
        <v>14221</v>
      </c>
      <c r="L834">
        <v>0</v>
      </c>
      <c r="M834">
        <v>0</v>
      </c>
      <c r="N834">
        <v>0</v>
      </c>
      <c r="O834" t="s">
        <v>11969</v>
      </c>
    </row>
    <row r="835" spans="1:15">
      <c r="A835" t="s">
        <v>14222</v>
      </c>
      <c r="B835" t="s">
        <v>367</v>
      </c>
      <c r="C835" t="s">
        <v>14223</v>
      </c>
      <c r="D835" t="s">
        <v>14224</v>
      </c>
      <c r="E835" t="b">
        <v>0</v>
      </c>
      <c r="F835" t="s">
        <v>11624</v>
      </c>
      <c r="G835">
        <v>-7.8473199999999999</v>
      </c>
      <c r="H835">
        <v>126.496</v>
      </c>
      <c r="I835" t="s">
        <v>14225</v>
      </c>
      <c r="L835">
        <v>0</v>
      </c>
      <c r="M835">
        <v>0</v>
      </c>
      <c r="N835">
        <v>3</v>
      </c>
      <c r="O835" t="s">
        <v>11768</v>
      </c>
    </row>
    <row r="836" spans="1:15">
      <c r="A836" t="s">
        <v>14226</v>
      </c>
      <c r="B836" t="s">
        <v>367</v>
      </c>
      <c r="C836" t="s">
        <v>14227</v>
      </c>
      <c r="D836" t="s">
        <v>14228</v>
      </c>
      <c r="E836" t="b">
        <v>0</v>
      </c>
      <c r="F836" t="s">
        <v>11622</v>
      </c>
      <c r="L836">
        <v>0</v>
      </c>
      <c r="M836">
        <v>4</v>
      </c>
      <c r="N836">
        <v>0</v>
      </c>
    </row>
    <row r="837" spans="1:15">
      <c r="A837" t="s">
        <v>12859</v>
      </c>
      <c r="B837" t="s">
        <v>12311</v>
      </c>
      <c r="C837" t="s">
        <v>14229</v>
      </c>
      <c r="D837" t="s">
        <v>14230</v>
      </c>
      <c r="E837" t="b">
        <v>0</v>
      </c>
      <c r="F837" t="s">
        <v>11610</v>
      </c>
      <c r="L837">
        <v>0</v>
      </c>
      <c r="M837">
        <v>0</v>
      </c>
      <c r="N837">
        <v>2</v>
      </c>
    </row>
    <row r="838" spans="1:15">
      <c r="A838" t="s">
        <v>14231</v>
      </c>
      <c r="B838" t="s">
        <v>11637</v>
      </c>
      <c r="C838" t="s">
        <v>12777</v>
      </c>
      <c r="D838" t="s">
        <v>14232</v>
      </c>
      <c r="E838" t="b">
        <v>0</v>
      </c>
      <c r="F838" t="s">
        <v>11610</v>
      </c>
      <c r="L838">
        <v>0</v>
      </c>
      <c r="M838">
        <v>0</v>
      </c>
      <c r="N838">
        <v>0</v>
      </c>
    </row>
    <row r="839" spans="1:15">
      <c r="A839" t="s">
        <v>14233</v>
      </c>
      <c r="B839" t="s">
        <v>10597</v>
      </c>
      <c r="C839" t="s">
        <v>14234</v>
      </c>
      <c r="D839" t="s">
        <v>14235</v>
      </c>
      <c r="E839" t="b">
        <v>0</v>
      </c>
      <c r="F839" t="s">
        <v>11622</v>
      </c>
      <c r="L839">
        <v>0</v>
      </c>
      <c r="M839">
        <v>2</v>
      </c>
      <c r="N839">
        <v>0</v>
      </c>
    </row>
    <row r="840" spans="1:15">
      <c r="A840" t="s">
        <v>14236</v>
      </c>
      <c r="B840" t="s">
        <v>10597</v>
      </c>
      <c r="C840" t="s">
        <v>14233</v>
      </c>
      <c r="D840" t="s">
        <v>14237</v>
      </c>
      <c r="E840" t="b">
        <v>0</v>
      </c>
      <c r="F840" t="s">
        <v>11624</v>
      </c>
      <c r="G840">
        <v>-28.704999999999998</v>
      </c>
      <c r="H840">
        <v>135.44900000000001</v>
      </c>
      <c r="I840" t="s">
        <v>14238</v>
      </c>
      <c r="L840">
        <v>0</v>
      </c>
      <c r="M840">
        <v>0</v>
      </c>
      <c r="N840">
        <v>0</v>
      </c>
      <c r="O840" t="s">
        <v>12107</v>
      </c>
    </row>
    <row r="841" spans="1:15">
      <c r="A841" t="s">
        <v>14239</v>
      </c>
      <c r="B841" t="s">
        <v>13741</v>
      </c>
      <c r="C841" t="s">
        <v>13742</v>
      </c>
      <c r="D841" t="s">
        <v>14240</v>
      </c>
      <c r="E841" t="b">
        <v>0</v>
      </c>
      <c r="F841" t="s">
        <v>11624</v>
      </c>
      <c r="G841">
        <v>-1.96126</v>
      </c>
      <c r="H841">
        <v>-75.061199999999999</v>
      </c>
      <c r="I841" t="s">
        <v>14241</v>
      </c>
      <c r="L841">
        <v>0</v>
      </c>
      <c r="M841">
        <v>0</v>
      </c>
      <c r="N841">
        <v>0</v>
      </c>
      <c r="O841" t="s">
        <v>11778</v>
      </c>
    </row>
    <row r="842" spans="1:15">
      <c r="A842" t="s">
        <v>4675</v>
      </c>
      <c r="B842" t="s">
        <v>11607</v>
      </c>
      <c r="C842" t="s">
        <v>1523</v>
      </c>
      <c r="D842" t="s">
        <v>14242</v>
      </c>
      <c r="E842" t="b">
        <v>0</v>
      </c>
      <c r="F842" t="s">
        <v>11622</v>
      </c>
      <c r="L842">
        <v>0</v>
      </c>
      <c r="M842">
        <v>11</v>
      </c>
      <c r="N842">
        <v>27</v>
      </c>
    </row>
    <row r="843" spans="1:15">
      <c r="A843" t="s">
        <v>13670</v>
      </c>
      <c r="B843" t="s">
        <v>11607</v>
      </c>
      <c r="C843" t="s">
        <v>14243</v>
      </c>
      <c r="D843" t="s">
        <v>14244</v>
      </c>
      <c r="E843" t="b">
        <v>0</v>
      </c>
      <c r="F843" t="s">
        <v>11622</v>
      </c>
      <c r="L843">
        <v>11</v>
      </c>
      <c r="M843">
        <v>40</v>
      </c>
      <c r="N843">
        <v>96</v>
      </c>
    </row>
    <row r="844" spans="1:15">
      <c r="A844" t="s">
        <v>1523</v>
      </c>
      <c r="B844" t="s">
        <v>11607</v>
      </c>
      <c r="C844" t="s">
        <v>13670</v>
      </c>
      <c r="D844" t="s">
        <v>14245</v>
      </c>
      <c r="E844" t="b">
        <v>0</v>
      </c>
      <c r="F844" t="s">
        <v>11622</v>
      </c>
      <c r="L844">
        <v>10</v>
      </c>
      <c r="M844">
        <v>39</v>
      </c>
      <c r="N844">
        <v>90</v>
      </c>
    </row>
    <row r="845" spans="1:15">
      <c r="A845" t="s">
        <v>13742</v>
      </c>
      <c r="B845" t="s">
        <v>13741</v>
      </c>
      <c r="C845" t="s">
        <v>14246</v>
      </c>
      <c r="D845" t="s">
        <v>14247</v>
      </c>
      <c r="E845" t="b">
        <v>0</v>
      </c>
      <c r="F845" t="s">
        <v>11622</v>
      </c>
      <c r="L845">
        <v>0</v>
      </c>
      <c r="M845">
        <v>2</v>
      </c>
      <c r="N845">
        <v>0</v>
      </c>
    </row>
    <row r="846" spans="1:15">
      <c r="A846" t="s">
        <v>14248</v>
      </c>
      <c r="B846" t="s">
        <v>13450</v>
      </c>
      <c r="C846" t="s">
        <v>13450</v>
      </c>
      <c r="D846" t="s">
        <v>14249</v>
      </c>
      <c r="E846" t="b">
        <v>0</v>
      </c>
      <c r="F846" t="s">
        <v>11622</v>
      </c>
      <c r="L846">
        <v>0</v>
      </c>
      <c r="M846">
        <v>6</v>
      </c>
      <c r="N846">
        <v>0</v>
      </c>
    </row>
    <row r="847" spans="1:15">
      <c r="A847" t="s">
        <v>14250</v>
      </c>
      <c r="B847" t="s">
        <v>11981</v>
      </c>
      <c r="C847" t="s">
        <v>12200</v>
      </c>
      <c r="D847" t="s">
        <v>14251</v>
      </c>
      <c r="E847" t="b">
        <v>0</v>
      </c>
      <c r="F847" t="s">
        <v>11622</v>
      </c>
      <c r="L847">
        <v>1</v>
      </c>
      <c r="M847">
        <v>7</v>
      </c>
      <c r="N847">
        <v>0</v>
      </c>
    </row>
    <row r="848" spans="1:15">
      <c r="A848" t="s">
        <v>14252</v>
      </c>
      <c r="B848" t="s">
        <v>13360</v>
      </c>
      <c r="C848" t="s">
        <v>13360</v>
      </c>
      <c r="D848" t="s">
        <v>14253</v>
      </c>
      <c r="E848" t="b">
        <v>0</v>
      </c>
      <c r="F848" t="s">
        <v>11624</v>
      </c>
      <c r="L848">
        <v>0</v>
      </c>
      <c r="M848">
        <v>0</v>
      </c>
      <c r="N848">
        <v>0</v>
      </c>
      <c r="O848" t="s">
        <v>11969</v>
      </c>
    </row>
    <row r="849" spans="1:15">
      <c r="A849" t="s">
        <v>14254</v>
      </c>
      <c r="B849" t="s">
        <v>11607</v>
      </c>
      <c r="C849" t="s">
        <v>14255</v>
      </c>
      <c r="D849" t="s">
        <v>14256</v>
      </c>
      <c r="E849" t="b">
        <v>0</v>
      </c>
      <c r="F849" t="s">
        <v>11610</v>
      </c>
      <c r="L849">
        <v>0</v>
      </c>
      <c r="M849">
        <v>0</v>
      </c>
      <c r="N849">
        <v>0</v>
      </c>
    </row>
    <row r="850" spans="1:15">
      <c r="A850" t="s">
        <v>13691</v>
      </c>
      <c r="D850" t="s">
        <v>14257</v>
      </c>
      <c r="E850" t="b">
        <v>0</v>
      </c>
      <c r="F850" t="s">
        <v>11622</v>
      </c>
      <c r="I850" t="s">
        <v>14258</v>
      </c>
      <c r="L850">
        <v>1</v>
      </c>
      <c r="M850">
        <v>4</v>
      </c>
      <c r="N850">
        <v>0</v>
      </c>
    </row>
    <row r="851" spans="1:15">
      <c r="A851" t="s">
        <v>14259</v>
      </c>
      <c r="B851" t="s">
        <v>13450</v>
      </c>
      <c r="C851" t="s">
        <v>14260</v>
      </c>
      <c r="D851" t="s">
        <v>14261</v>
      </c>
      <c r="E851" t="b">
        <v>0</v>
      </c>
      <c r="F851" t="s">
        <v>11624</v>
      </c>
      <c r="G851">
        <v>-5.1018359999999996</v>
      </c>
      <c r="H851">
        <v>143.29800599999999</v>
      </c>
      <c r="L851">
        <v>0</v>
      </c>
      <c r="M851">
        <v>0</v>
      </c>
      <c r="N851">
        <v>0</v>
      </c>
      <c r="O851" t="s">
        <v>11660</v>
      </c>
    </row>
    <row r="852" spans="1:15">
      <c r="A852" t="s">
        <v>14262</v>
      </c>
      <c r="B852" t="s">
        <v>11637</v>
      </c>
      <c r="C852" t="s">
        <v>14263</v>
      </c>
      <c r="D852" t="s">
        <v>14264</v>
      </c>
      <c r="E852" t="b">
        <v>0</v>
      </c>
      <c r="F852" t="s">
        <v>11624</v>
      </c>
      <c r="G852">
        <v>42.466900000000003</v>
      </c>
      <c r="H852">
        <v>-9.1900000000000003E-3</v>
      </c>
      <c r="I852" t="s">
        <v>14265</v>
      </c>
      <c r="L852">
        <v>0</v>
      </c>
      <c r="M852">
        <v>0</v>
      </c>
      <c r="N852">
        <v>4</v>
      </c>
      <c r="O852" t="s">
        <v>14266</v>
      </c>
    </row>
    <row r="853" spans="1:15">
      <c r="A853" t="s">
        <v>14267</v>
      </c>
      <c r="B853" t="s">
        <v>11637</v>
      </c>
      <c r="C853" t="s">
        <v>239</v>
      </c>
      <c r="D853" t="s">
        <v>14268</v>
      </c>
      <c r="E853" t="b">
        <v>0</v>
      </c>
      <c r="F853" t="s">
        <v>11610</v>
      </c>
      <c r="L853">
        <v>0</v>
      </c>
      <c r="M853">
        <v>0</v>
      </c>
      <c r="N853">
        <v>0</v>
      </c>
    </row>
    <row r="854" spans="1:15">
      <c r="A854" t="s">
        <v>14269</v>
      </c>
      <c r="B854" t="s">
        <v>11894</v>
      </c>
      <c r="C854" t="s">
        <v>14270</v>
      </c>
      <c r="D854" t="s">
        <v>14271</v>
      </c>
      <c r="E854" t="b">
        <v>0</v>
      </c>
      <c r="F854" t="s">
        <v>11624</v>
      </c>
      <c r="G854">
        <v>-3.1043150000000002</v>
      </c>
      <c r="H854">
        <v>-67.205200000000005</v>
      </c>
      <c r="L854">
        <v>0</v>
      </c>
      <c r="M854">
        <v>0</v>
      </c>
      <c r="N854">
        <v>0</v>
      </c>
      <c r="O854" t="s">
        <v>11969</v>
      </c>
    </row>
    <row r="855" spans="1:15">
      <c r="A855" t="s">
        <v>14272</v>
      </c>
      <c r="B855" t="s">
        <v>11637</v>
      </c>
      <c r="C855" t="s">
        <v>14273</v>
      </c>
      <c r="D855" t="s">
        <v>14274</v>
      </c>
      <c r="E855" t="b">
        <v>0</v>
      </c>
      <c r="F855" t="s">
        <v>11610</v>
      </c>
      <c r="L855">
        <v>0</v>
      </c>
      <c r="M855">
        <v>0</v>
      </c>
      <c r="N855">
        <v>0</v>
      </c>
    </row>
    <row r="856" spans="1:15">
      <c r="A856" t="s">
        <v>14275</v>
      </c>
      <c r="B856" t="s">
        <v>367</v>
      </c>
      <c r="C856" t="s">
        <v>13374</v>
      </c>
      <c r="D856" t="s">
        <v>14276</v>
      </c>
      <c r="E856" t="b">
        <v>0</v>
      </c>
      <c r="F856" t="s">
        <v>11624</v>
      </c>
      <c r="G856">
        <v>-15.632997</v>
      </c>
      <c r="H856">
        <v>166.95254199999999</v>
      </c>
      <c r="I856" t="s">
        <v>14277</v>
      </c>
      <c r="L856">
        <v>0</v>
      </c>
      <c r="M856">
        <v>0</v>
      </c>
      <c r="N856">
        <v>0</v>
      </c>
      <c r="O856" t="s">
        <v>12719</v>
      </c>
    </row>
    <row r="857" spans="1:15">
      <c r="A857" t="s">
        <v>14278</v>
      </c>
      <c r="B857" t="s">
        <v>367</v>
      </c>
      <c r="C857" t="s">
        <v>14279</v>
      </c>
      <c r="D857" t="s">
        <v>14280</v>
      </c>
      <c r="E857" t="b">
        <v>0</v>
      </c>
      <c r="F857" t="s">
        <v>11610</v>
      </c>
      <c r="L857">
        <v>0</v>
      </c>
      <c r="M857">
        <v>0</v>
      </c>
      <c r="N857">
        <v>0</v>
      </c>
    </row>
    <row r="858" spans="1:15">
      <c r="A858" t="s">
        <v>14281</v>
      </c>
      <c r="B858" t="s">
        <v>11627</v>
      </c>
      <c r="C858" t="s">
        <v>11627</v>
      </c>
      <c r="D858" t="s">
        <v>14282</v>
      </c>
      <c r="E858" t="b">
        <v>1</v>
      </c>
      <c r="F858" t="s">
        <v>11624</v>
      </c>
      <c r="I858" t="s">
        <v>14283</v>
      </c>
      <c r="L858">
        <v>0</v>
      </c>
      <c r="M858">
        <v>0</v>
      </c>
      <c r="N858">
        <v>0</v>
      </c>
      <c r="O858" t="s">
        <v>12107</v>
      </c>
    </row>
    <row r="859" spans="1:15">
      <c r="A859" t="s">
        <v>14284</v>
      </c>
      <c r="B859" t="s">
        <v>11644</v>
      </c>
      <c r="C859" t="s">
        <v>14285</v>
      </c>
      <c r="D859" t="s">
        <v>14286</v>
      </c>
      <c r="E859" t="b">
        <v>0</v>
      </c>
      <c r="F859" t="s">
        <v>11622</v>
      </c>
      <c r="L859">
        <v>0</v>
      </c>
      <c r="M859">
        <v>2</v>
      </c>
      <c r="N859">
        <v>0</v>
      </c>
    </row>
    <row r="860" spans="1:15">
      <c r="A860" t="s">
        <v>14287</v>
      </c>
      <c r="B860" t="s">
        <v>11627</v>
      </c>
      <c r="C860" t="s">
        <v>11627</v>
      </c>
      <c r="D860" t="s">
        <v>14288</v>
      </c>
      <c r="E860" t="b">
        <v>1</v>
      </c>
      <c r="F860" t="s">
        <v>11624</v>
      </c>
      <c r="I860" t="s">
        <v>14289</v>
      </c>
      <c r="L860">
        <v>0</v>
      </c>
      <c r="M860">
        <v>0</v>
      </c>
      <c r="N860">
        <v>0</v>
      </c>
    </row>
    <row r="861" spans="1:15">
      <c r="A861" t="s">
        <v>14290</v>
      </c>
      <c r="B861" t="s">
        <v>367</v>
      </c>
      <c r="C861" t="s">
        <v>14291</v>
      </c>
      <c r="D861" t="s">
        <v>14292</v>
      </c>
      <c r="E861" t="b">
        <v>0</v>
      </c>
      <c r="F861" t="s">
        <v>11624</v>
      </c>
      <c r="G861">
        <v>-2.7839700000000001</v>
      </c>
      <c r="H861">
        <v>119.319</v>
      </c>
      <c r="I861" t="s">
        <v>14293</v>
      </c>
      <c r="L861">
        <v>0</v>
      </c>
      <c r="M861">
        <v>0</v>
      </c>
      <c r="N861">
        <v>3</v>
      </c>
      <c r="O861" t="s">
        <v>11768</v>
      </c>
    </row>
    <row r="862" spans="1:15">
      <c r="A862" t="s">
        <v>14294</v>
      </c>
      <c r="B862" t="s">
        <v>367</v>
      </c>
      <c r="C862" t="s">
        <v>14290</v>
      </c>
      <c r="D862" t="s">
        <v>14295</v>
      </c>
      <c r="E862" t="b">
        <v>0</v>
      </c>
      <c r="F862" t="s">
        <v>11610</v>
      </c>
      <c r="L862">
        <v>0</v>
      </c>
      <c r="M862">
        <v>0</v>
      </c>
      <c r="N862">
        <v>0</v>
      </c>
    </row>
    <row r="863" spans="1:15">
      <c r="A863" t="s">
        <v>14296</v>
      </c>
      <c r="B863" t="s">
        <v>11627</v>
      </c>
      <c r="C863" t="s">
        <v>11627</v>
      </c>
      <c r="D863" t="s">
        <v>14297</v>
      </c>
      <c r="E863" t="b">
        <v>1</v>
      </c>
      <c r="F863" t="s">
        <v>11624</v>
      </c>
      <c r="G863">
        <v>-2.9065599999999998</v>
      </c>
      <c r="H863">
        <v>37.3491</v>
      </c>
      <c r="I863" t="s">
        <v>14298</v>
      </c>
      <c r="L863">
        <v>0</v>
      </c>
      <c r="M863">
        <v>0</v>
      </c>
      <c r="N863">
        <v>0</v>
      </c>
      <c r="O863" t="s">
        <v>11635</v>
      </c>
    </row>
    <row r="864" spans="1:15">
      <c r="A864" t="s">
        <v>14299</v>
      </c>
      <c r="B864" t="s">
        <v>14005</v>
      </c>
      <c r="C864" t="s">
        <v>14300</v>
      </c>
      <c r="D864" t="s">
        <v>14301</v>
      </c>
      <c r="E864" t="b">
        <v>0</v>
      </c>
      <c r="F864" t="s">
        <v>11624</v>
      </c>
      <c r="G864">
        <v>-8.2959300000000002</v>
      </c>
      <c r="H864">
        <v>141.44499999999999</v>
      </c>
      <c r="I864" t="s">
        <v>14302</v>
      </c>
      <c r="L864">
        <v>0</v>
      </c>
      <c r="M864">
        <v>0</v>
      </c>
      <c r="N864">
        <v>0</v>
      </c>
      <c r="O864" t="s">
        <v>11660</v>
      </c>
    </row>
    <row r="865" spans="1:15">
      <c r="A865" t="s">
        <v>14303</v>
      </c>
      <c r="B865" t="s">
        <v>14304</v>
      </c>
      <c r="C865" t="s">
        <v>14304</v>
      </c>
      <c r="D865" t="s">
        <v>14305</v>
      </c>
      <c r="E865" t="b">
        <v>0</v>
      </c>
      <c r="F865" t="s">
        <v>11610</v>
      </c>
      <c r="L865">
        <v>0</v>
      </c>
      <c r="M865">
        <v>0</v>
      </c>
      <c r="N865">
        <v>0</v>
      </c>
    </row>
    <row r="866" spans="1:15">
      <c r="A866" t="s">
        <v>14306</v>
      </c>
      <c r="B866" t="s">
        <v>11607</v>
      </c>
      <c r="C866" t="s">
        <v>14307</v>
      </c>
      <c r="D866" t="s">
        <v>14308</v>
      </c>
      <c r="E866" t="b">
        <v>0</v>
      </c>
      <c r="F866" t="s">
        <v>11622</v>
      </c>
      <c r="L866">
        <v>11</v>
      </c>
      <c r="M866">
        <v>21</v>
      </c>
      <c r="N866">
        <v>89</v>
      </c>
    </row>
    <row r="867" spans="1:15">
      <c r="A867" t="s">
        <v>14309</v>
      </c>
      <c r="B867" t="s">
        <v>6742</v>
      </c>
      <c r="C867" t="s">
        <v>14310</v>
      </c>
      <c r="D867" t="s">
        <v>14311</v>
      </c>
      <c r="E867" t="b">
        <v>0</v>
      </c>
      <c r="F867" t="s">
        <v>11624</v>
      </c>
      <c r="G867">
        <v>12.299274</v>
      </c>
      <c r="H867">
        <v>-16.373201999999999</v>
      </c>
      <c r="L867">
        <v>0</v>
      </c>
      <c r="M867">
        <v>0</v>
      </c>
      <c r="N867">
        <v>2</v>
      </c>
      <c r="O867" t="s">
        <v>14312</v>
      </c>
    </row>
    <row r="868" spans="1:15">
      <c r="A868" t="s">
        <v>14313</v>
      </c>
      <c r="B868" t="s">
        <v>14314</v>
      </c>
      <c r="C868" t="s">
        <v>14315</v>
      </c>
      <c r="D868" t="s">
        <v>14316</v>
      </c>
      <c r="E868" t="b">
        <v>0</v>
      </c>
      <c r="F868" t="s">
        <v>11624</v>
      </c>
      <c r="G868">
        <v>-2.0801599999999998</v>
      </c>
      <c r="H868">
        <v>132.983</v>
      </c>
      <c r="I868" t="s">
        <v>14317</v>
      </c>
      <c r="L868">
        <v>0</v>
      </c>
      <c r="M868">
        <v>0</v>
      </c>
      <c r="N868">
        <v>1</v>
      </c>
      <c r="O868" t="s">
        <v>11768</v>
      </c>
    </row>
    <row r="869" spans="1:15">
      <c r="A869" t="s">
        <v>14318</v>
      </c>
      <c r="B869" t="s">
        <v>11637</v>
      </c>
      <c r="C869" t="s">
        <v>14319</v>
      </c>
      <c r="D869" t="s">
        <v>14320</v>
      </c>
      <c r="E869" t="b">
        <v>0</v>
      </c>
      <c r="F869" t="s">
        <v>11610</v>
      </c>
      <c r="L869">
        <v>0</v>
      </c>
      <c r="M869">
        <v>0</v>
      </c>
      <c r="N869">
        <v>0</v>
      </c>
    </row>
    <row r="870" spans="1:15">
      <c r="A870" t="s">
        <v>14321</v>
      </c>
      <c r="B870" t="s">
        <v>11844</v>
      </c>
      <c r="C870" t="s">
        <v>13088</v>
      </c>
      <c r="D870" t="s">
        <v>14322</v>
      </c>
      <c r="E870" t="b">
        <v>0</v>
      </c>
      <c r="F870" t="s">
        <v>11624</v>
      </c>
      <c r="G870">
        <v>11.35252</v>
      </c>
      <c r="H870">
        <v>75.795379999999994</v>
      </c>
      <c r="I870" t="s">
        <v>14323</v>
      </c>
      <c r="L870">
        <v>0</v>
      </c>
      <c r="M870">
        <v>0</v>
      </c>
      <c r="N870">
        <v>0</v>
      </c>
      <c r="O870" t="s">
        <v>11630</v>
      </c>
    </row>
    <row r="871" spans="1:15">
      <c r="A871" t="s">
        <v>2625</v>
      </c>
      <c r="B871" t="s">
        <v>10597</v>
      </c>
      <c r="C871" t="s">
        <v>14324</v>
      </c>
      <c r="D871" t="s">
        <v>14325</v>
      </c>
      <c r="E871" t="b">
        <v>0</v>
      </c>
      <c r="F871" t="s">
        <v>11622</v>
      </c>
      <c r="L871">
        <v>0</v>
      </c>
      <c r="M871">
        <v>5</v>
      </c>
      <c r="N871">
        <v>8</v>
      </c>
    </row>
    <row r="872" spans="1:15">
      <c r="A872" t="s">
        <v>14326</v>
      </c>
      <c r="B872" t="s">
        <v>367</v>
      </c>
      <c r="C872" t="s">
        <v>14327</v>
      </c>
      <c r="D872" t="s">
        <v>14328</v>
      </c>
      <c r="E872" t="b">
        <v>0</v>
      </c>
      <c r="F872" t="s">
        <v>11610</v>
      </c>
      <c r="L872">
        <v>0</v>
      </c>
      <c r="M872">
        <v>0</v>
      </c>
      <c r="N872">
        <v>0</v>
      </c>
    </row>
    <row r="873" spans="1:15">
      <c r="A873" t="s">
        <v>14329</v>
      </c>
      <c r="B873" t="s">
        <v>13360</v>
      </c>
      <c r="C873" t="s">
        <v>13360</v>
      </c>
      <c r="D873" t="s">
        <v>14330</v>
      </c>
      <c r="E873" t="b">
        <v>0</v>
      </c>
      <c r="F873" t="s">
        <v>11624</v>
      </c>
      <c r="I873" t="s">
        <v>14331</v>
      </c>
      <c r="L873">
        <v>0</v>
      </c>
      <c r="M873">
        <v>0</v>
      </c>
      <c r="N873">
        <v>0</v>
      </c>
      <c r="O873" t="s">
        <v>11944</v>
      </c>
    </row>
    <row r="874" spans="1:15">
      <c r="A874" t="s">
        <v>14332</v>
      </c>
      <c r="B874" t="s">
        <v>10597</v>
      </c>
      <c r="C874" t="s">
        <v>10597</v>
      </c>
      <c r="D874" t="s">
        <v>14333</v>
      </c>
      <c r="E874" t="b">
        <v>0</v>
      </c>
      <c r="F874" t="s">
        <v>11622</v>
      </c>
      <c r="L874">
        <v>7</v>
      </c>
      <c r="M874">
        <v>16</v>
      </c>
      <c r="N874">
        <v>10</v>
      </c>
    </row>
    <row r="875" spans="1:15">
      <c r="A875" t="s">
        <v>14324</v>
      </c>
      <c r="B875" t="s">
        <v>10597</v>
      </c>
      <c r="C875" t="s">
        <v>14332</v>
      </c>
      <c r="D875" t="s">
        <v>14334</v>
      </c>
      <c r="E875" t="b">
        <v>0</v>
      </c>
      <c r="F875" t="s">
        <v>11622</v>
      </c>
      <c r="L875">
        <v>1</v>
      </c>
      <c r="M875">
        <v>7</v>
      </c>
      <c r="N875">
        <v>8</v>
      </c>
    </row>
    <row r="876" spans="1:15">
      <c r="A876" t="s">
        <v>14335</v>
      </c>
      <c r="B876" t="s">
        <v>13244</v>
      </c>
      <c r="C876" t="s">
        <v>14336</v>
      </c>
      <c r="D876" t="s">
        <v>14337</v>
      </c>
      <c r="E876" t="b">
        <v>0</v>
      </c>
      <c r="F876" t="s">
        <v>11622</v>
      </c>
      <c r="L876">
        <v>0</v>
      </c>
      <c r="M876">
        <v>2</v>
      </c>
      <c r="N876">
        <v>0</v>
      </c>
    </row>
    <row r="877" spans="1:15">
      <c r="A877" t="s">
        <v>14338</v>
      </c>
      <c r="B877" t="s">
        <v>13244</v>
      </c>
      <c r="C877" t="s">
        <v>14335</v>
      </c>
      <c r="D877" t="s">
        <v>14339</v>
      </c>
      <c r="E877" t="b">
        <v>0</v>
      </c>
      <c r="F877" t="s">
        <v>11624</v>
      </c>
      <c r="G877">
        <v>-12.424200000000001</v>
      </c>
      <c r="H877">
        <v>-67.729299999999995</v>
      </c>
      <c r="I877" t="s">
        <v>14340</v>
      </c>
      <c r="L877">
        <v>0</v>
      </c>
      <c r="M877">
        <v>0</v>
      </c>
      <c r="N877">
        <v>0</v>
      </c>
      <c r="O877" t="s">
        <v>14185</v>
      </c>
    </row>
    <row r="878" spans="1:15">
      <c r="A878" t="s">
        <v>14341</v>
      </c>
      <c r="B878" t="s">
        <v>12979</v>
      </c>
      <c r="C878" t="s">
        <v>13050</v>
      </c>
      <c r="D878" t="s">
        <v>14342</v>
      </c>
      <c r="E878" t="b">
        <v>0</v>
      </c>
      <c r="F878" t="s">
        <v>11622</v>
      </c>
      <c r="L878">
        <v>1</v>
      </c>
      <c r="M878">
        <v>3</v>
      </c>
      <c r="N878">
        <v>0</v>
      </c>
    </row>
    <row r="879" spans="1:15">
      <c r="A879" t="s">
        <v>14343</v>
      </c>
      <c r="B879" t="s">
        <v>12979</v>
      </c>
      <c r="C879" t="s">
        <v>14344</v>
      </c>
      <c r="D879" t="s">
        <v>14345</v>
      </c>
      <c r="E879" t="b">
        <v>0</v>
      </c>
      <c r="F879" t="s">
        <v>11624</v>
      </c>
      <c r="G879">
        <v>43.387900000000002</v>
      </c>
      <c r="H879">
        <v>-108.81</v>
      </c>
      <c r="I879" t="s">
        <v>14346</v>
      </c>
      <c r="L879">
        <v>0</v>
      </c>
      <c r="M879">
        <v>0</v>
      </c>
      <c r="N879">
        <v>0</v>
      </c>
      <c r="O879" t="s">
        <v>11944</v>
      </c>
    </row>
    <row r="880" spans="1:15">
      <c r="A880" t="s">
        <v>14347</v>
      </c>
      <c r="B880" t="s">
        <v>2975</v>
      </c>
      <c r="C880" t="s">
        <v>14348</v>
      </c>
      <c r="D880" t="s">
        <v>14349</v>
      </c>
      <c r="E880" t="b">
        <v>0</v>
      </c>
      <c r="F880" t="s">
        <v>11624</v>
      </c>
      <c r="G880">
        <v>0.13727</v>
      </c>
      <c r="H880">
        <v>-67.728200000000001</v>
      </c>
      <c r="I880" t="s">
        <v>14350</v>
      </c>
      <c r="L880">
        <v>0</v>
      </c>
      <c r="M880">
        <v>0</v>
      </c>
      <c r="N880">
        <v>0</v>
      </c>
      <c r="O880" t="s">
        <v>11969</v>
      </c>
    </row>
    <row r="881" spans="1:15">
      <c r="A881" t="s">
        <v>14351</v>
      </c>
      <c r="B881" t="s">
        <v>367</v>
      </c>
      <c r="C881" t="s">
        <v>14352</v>
      </c>
      <c r="D881" t="s">
        <v>14353</v>
      </c>
      <c r="E881" t="b">
        <v>0</v>
      </c>
      <c r="F881" t="s">
        <v>11610</v>
      </c>
      <c r="L881">
        <v>0</v>
      </c>
      <c r="M881">
        <v>0</v>
      </c>
      <c r="N881">
        <v>0</v>
      </c>
    </row>
    <row r="882" spans="1:15">
      <c r="A882" t="s">
        <v>14354</v>
      </c>
      <c r="B882" t="s">
        <v>11834</v>
      </c>
      <c r="C882" t="s">
        <v>14355</v>
      </c>
      <c r="D882" t="s">
        <v>14356</v>
      </c>
      <c r="E882" t="b">
        <v>0</v>
      </c>
      <c r="F882" t="s">
        <v>11622</v>
      </c>
      <c r="L882">
        <v>2</v>
      </c>
      <c r="M882">
        <v>4</v>
      </c>
      <c r="N882">
        <v>12</v>
      </c>
    </row>
    <row r="883" spans="1:15">
      <c r="A883" t="s">
        <v>14344</v>
      </c>
      <c r="B883" t="s">
        <v>12979</v>
      </c>
      <c r="C883" t="s">
        <v>14341</v>
      </c>
      <c r="D883" t="s">
        <v>14357</v>
      </c>
      <c r="E883" t="b">
        <v>0</v>
      </c>
      <c r="F883" t="s">
        <v>11622</v>
      </c>
      <c r="L883">
        <v>0</v>
      </c>
      <c r="M883">
        <v>2</v>
      </c>
      <c r="N883">
        <v>0</v>
      </c>
    </row>
    <row r="884" spans="1:15">
      <c r="A884" t="s">
        <v>14358</v>
      </c>
      <c r="B884" t="s">
        <v>13244</v>
      </c>
      <c r="C884" t="s">
        <v>14359</v>
      </c>
      <c r="D884" t="s">
        <v>14360</v>
      </c>
      <c r="E884" t="b">
        <v>0</v>
      </c>
      <c r="F884" t="s">
        <v>11610</v>
      </c>
      <c r="L884">
        <v>0</v>
      </c>
      <c r="M884">
        <v>0</v>
      </c>
      <c r="N884">
        <v>0</v>
      </c>
    </row>
    <row r="885" spans="1:15">
      <c r="A885" t="s">
        <v>14361</v>
      </c>
      <c r="B885" t="s">
        <v>13244</v>
      </c>
      <c r="C885" t="s">
        <v>14359</v>
      </c>
      <c r="D885" t="s">
        <v>14362</v>
      </c>
      <c r="E885" t="b">
        <v>0</v>
      </c>
      <c r="F885" t="s">
        <v>11610</v>
      </c>
      <c r="L885">
        <v>0</v>
      </c>
      <c r="M885">
        <v>0</v>
      </c>
      <c r="N885">
        <v>0</v>
      </c>
    </row>
    <row r="886" spans="1:15">
      <c r="A886" t="s">
        <v>14363</v>
      </c>
      <c r="B886" t="s">
        <v>13244</v>
      </c>
      <c r="C886" t="s">
        <v>14359</v>
      </c>
      <c r="D886" t="s">
        <v>14364</v>
      </c>
      <c r="E886" t="b">
        <v>0</v>
      </c>
      <c r="F886" t="s">
        <v>11610</v>
      </c>
      <c r="L886">
        <v>0</v>
      </c>
      <c r="M886">
        <v>0</v>
      </c>
      <c r="N886">
        <v>0</v>
      </c>
    </row>
    <row r="887" spans="1:15">
      <c r="A887" t="s">
        <v>14365</v>
      </c>
      <c r="B887" t="s">
        <v>11637</v>
      </c>
      <c r="C887" t="s">
        <v>7044</v>
      </c>
      <c r="D887" t="s">
        <v>14366</v>
      </c>
      <c r="E887" t="b">
        <v>0</v>
      </c>
      <c r="F887" t="s">
        <v>11610</v>
      </c>
      <c r="L887">
        <v>0</v>
      </c>
      <c r="M887">
        <v>0</v>
      </c>
      <c r="N887">
        <v>8</v>
      </c>
    </row>
    <row r="888" spans="1:15">
      <c r="A888" t="s">
        <v>14367</v>
      </c>
      <c r="B888" t="s">
        <v>13314</v>
      </c>
      <c r="C888" t="s">
        <v>14368</v>
      </c>
      <c r="D888" t="s">
        <v>14369</v>
      </c>
      <c r="E888" t="b">
        <v>0</v>
      </c>
      <c r="F888" t="s">
        <v>11610</v>
      </c>
      <c r="L888">
        <v>0</v>
      </c>
      <c r="M888">
        <v>0</v>
      </c>
      <c r="N888">
        <v>0</v>
      </c>
    </row>
    <row r="889" spans="1:15">
      <c r="A889" t="s">
        <v>14370</v>
      </c>
      <c r="B889" t="s">
        <v>11615</v>
      </c>
      <c r="C889" t="s">
        <v>11616</v>
      </c>
      <c r="D889" t="s">
        <v>14371</v>
      </c>
      <c r="E889" t="b">
        <v>0</v>
      </c>
      <c r="F889" t="s">
        <v>11610</v>
      </c>
      <c r="L889">
        <v>0</v>
      </c>
      <c r="M889">
        <v>0</v>
      </c>
      <c r="N889">
        <v>0</v>
      </c>
    </row>
    <row r="890" spans="1:15">
      <c r="A890" t="s">
        <v>14372</v>
      </c>
      <c r="D890" t="s">
        <v>14373</v>
      </c>
      <c r="E890" t="b">
        <v>0</v>
      </c>
      <c r="F890" t="s">
        <v>11622</v>
      </c>
      <c r="L890">
        <v>0</v>
      </c>
      <c r="M890">
        <v>2</v>
      </c>
      <c r="N890">
        <v>4</v>
      </c>
    </row>
    <row r="891" spans="1:15">
      <c r="A891" t="s">
        <v>14374</v>
      </c>
      <c r="B891" t="s">
        <v>11844</v>
      </c>
      <c r="C891" t="s">
        <v>9047</v>
      </c>
      <c r="D891" t="s">
        <v>14375</v>
      </c>
      <c r="E891" t="b">
        <v>0</v>
      </c>
      <c r="F891" t="s">
        <v>11610</v>
      </c>
      <c r="L891">
        <v>0</v>
      </c>
      <c r="M891">
        <v>0</v>
      </c>
      <c r="N891">
        <v>0</v>
      </c>
    </row>
    <row r="892" spans="1:15">
      <c r="A892" t="s">
        <v>14376</v>
      </c>
      <c r="B892" t="s">
        <v>367</v>
      </c>
      <c r="C892" t="s">
        <v>14377</v>
      </c>
      <c r="D892" t="s">
        <v>14378</v>
      </c>
      <c r="E892" t="b">
        <v>0</v>
      </c>
      <c r="F892" t="s">
        <v>11610</v>
      </c>
      <c r="L892">
        <v>0</v>
      </c>
      <c r="M892">
        <v>0</v>
      </c>
      <c r="N892">
        <v>0</v>
      </c>
    </row>
    <row r="893" spans="1:15">
      <c r="A893" t="s">
        <v>14379</v>
      </c>
      <c r="B893" t="s">
        <v>367</v>
      </c>
      <c r="C893" t="s">
        <v>13306</v>
      </c>
      <c r="D893" t="s">
        <v>14380</v>
      </c>
      <c r="E893" t="b">
        <v>0</v>
      </c>
      <c r="F893" t="s">
        <v>11622</v>
      </c>
      <c r="L893">
        <v>5</v>
      </c>
      <c r="M893">
        <v>14</v>
      </c>
      <c r="N893">
        <v>11</v>
      </c>
    </row>
    <row r="894" spans="1:15">
      <c r="A894" t="s">
        <v>14381</v>
      </c>
      <c r="B894" t="s">
        <v>367</v>
      </c>
      <c r="C894" t="s">
        <v>14382</v>
      </c>
      <c r="D894" t="s">
        <v>14383</v>
      </c>
      <c r="E894" t="b">
        <v>0</v>
      </c>
      <c r="F894" t="s">
        <v>11610</v>
      </c>
      <c r="L894">
        <v>0</v>
      </c>
      <c r="M894">
        <v>0</v>
      </c>
      <c r="N894">
        <v>0</v>
      </c>
    </row>
    <row r="895" spans="1:15">
      <c r="A895" t="s">
        <v>14384</v>
      </c>
      <c r="B895" t="s">
        <v>11615</v>
      </c>
      <c r="C895" t="s">
        <v>14385</v>
      </c>
      <c r="D895" t="s">
        <v>14386</v>
      </c>
      <c r="E895" t="b">
        <v>0</v>
      </c>
      <c r="F895" t="s">
        <v>11624</v>
      </c>
      <c r="G895">
        <v>-5.5278700000000001</v>
      </c>
      <c r="H895">
        <v>145.90299999999999</v>
      </c>
      <c r="I895" t="s">
        <v>14387</v>
      </c>
      <c r="L895">
        <v>0</v>
      </c>
      <c r="M895">
        <v>0</v>
      </c>
      <c r="N895">
        <v>0</v>
      </c>
      <c r="O895" t="s">
        <v>11660</v>
      </c>
    </row>
    <row r="896" spans="1:15">
      <c r="A896" t="s">
        <v>14388</v>
      </c>
      <c r="B896" t="s">
        <v>11912</v>
      </c>
      <c r="C896" t="s">
        <v>13287</v>
      </c>
      <c r="D896" t="s">
        <v>14389</v>
      </c>
      <c r="E896" t="b">
        <v>0</v>
      </c>
      <c r="F896" t="s">
        <v>11624</v>
      </c>
      <c r="G896">
        <v>-4.9024599999999996</v>
      </c>
      <c r="H896">
        <v>-52.500100000000003</v>
      </c>
      <c r="I896" t="s">
        <v>14390</v>
      </c>
      <c r="L896">
        <v>0</v>
      </c>
      <c r="M896">
        <v>0</v>
      </c>
      <c r="N896">
        <v>0</v>
      </c>
      <c r="O896" t="s">
        <v>11969</v>
      </c>
    </row>
    <row r="897" spans="1:15">
      <c r="A897" t="s">
        <v>3396</v>
      </c>
      <c r="B897" t="s">
        <v>11894</v>
      </c>
      <c r="C897" t="s">
        <v>14391</v>
      </c>
      <c r="D897" t="s">
        <v>14392</v>
      </c>
      <c r="E897" t="b">
        <v>0</v>
      </c>
      <c r="F897" t="s">
        <v>11624</v>
      </c>
      <c r="G897">
        <v>5.6429499999999999</v>
      </c>
      <c r="H897">
        <v>-56.924300000000002</v>
      </c>
      <c r="I897" t="s">
        <v>3398</v>
      </c>
      <c r="L897">
        <v>0</v>
      </c>
      <c r="M897">
        <v>0</v>
      </c>
      <c r="N897">
        <v>0</v>
      </c>
      <c r="O897" t="s">
        <v>14393</v>
      </c>
    </row>
    <row r="898" spans="1:15">
      <c r="A898" t="s">
        <v>14394</v>
      </c>
      <c r="B898" t="s">
        <v>11607</v>
      </c>
      <c r="C898" t="s">
        <v>14395</v>
      </c>
      <c r="D898" t="s">
        <v>14396</v>
      </c>
      <c r="E898" t="b">
        <v>0</v>
      </c>
      <c r="F898" t="s">
        <v>11610</v>
      </c>
      <c r="L898">
        <v>0</v>
      </c>
      <c r="M898">
        <v>0</v>
      </c>
      <c r="N898">
        <v>0</v>
      </c>
    </row>
    <row r="899" spans="1:15">
      <c r="A899" t="s">
        <v>11894</v>
      </c>
      <c r="D899" t="s">
        <v>14397</v>
      </c>
      <c r="E899" t="b">
        <v>0</v>
      </c>
      <c r="F899" t="s">
        <v>11622</v>
      </c>
      <c r="L899">
        <v>47</v>
      </c>
      <c r="M899">
        <v>78</v>
      </c>
      <c r="N899">
        <v>26</v>
      </c>
    </row>
    <row r="900" spans="1:15">
      <c r="A900" t="s">
        <v>14398</v>
      </c>
      <c r="D900" t="s">
        <v>14399</v>
      </c>
      <c r="E900" t="b">
        <v>0</v>
      </c>
      <c r="F900" t="s">
        <v>11622</v>
      </c>
      <c r="L900">
        <v>2</v>
      </c>
      <c r="M900">
        <v>6</v>
      </c>
      <c r="N900">
        <v>12</v>
      </c>
    </row>
    <row r="901" spans="1:15">
      <c r="A901" t="s">
        <v>14400</v>
      </c>
      <c r="B901" t="s">
        <v>367</v>
      </c>
      <c r="C901" t="s">
        <v>14379</v>
      </c>
      <c r="D901" t="s">
        <v>14401</v>
      </c>
      <c r="E901" t="b">
        <v>0</v>
      </c>
      <c r="F901" t="s">
        <v>11622</v>
      </c>
      <c r="L901">
        <v>2</v>
      </c>
      <c r="M901">
        <v>7</v>
      </c>
      <c r="N901">
        <v>4</v>
      </c>
    </row>
    <row r="902" spans="1:15">
      <c r="A902" t="s">
        <v>12288</v>
      </c>
      <c r="B902" t="s">
        <v>12241</v>
      </c>
      <c r="C902" t="s">
        <v>12241</v>
      </c>
      <c r="D902" t="s">
        <v>14402</v>
      </c>
      <c r="E902" t="b">
        <v>0</v>
      </c>
      <c r="F902" t="s">
        <v>11622</v>
      </c>
      <c r="L902">
        <v>0</v>
      </c>
      <c r="M902">
        <v>2</v>
      </c>
      <c r="N902">
        <v>0</v>
      </c>
    </row>
    <row r="903" spans="1:15">
      <c r="A903" t="s">
        <v>14403</v>
      </c>
      <c r="B903" t="s">
        <v>12241</v>
      </c>
      <c r="C903" t="s">
        <v>12241</v>
      </c>
      <c r="D903" t="s">
        <v>14404</v>
      </c>
      <c r="E903" t="b">
        <v>0</v>
      </c>
      <c r="F903" t="s">
        <v>11622</v>
      </c>
      <c r="L903">
        <v>0</v>
      </c>
      <c r="M903">
        <v>1</v>
      </c>
      <c r="N903">
        <v>0</v>
      </c>
    </row>
    <row r="904" spans="1:15">
      <c r="A904" t="s">
        <v>13287</v>
      </c>
      <c r="B904" t="s">
        <v>11912</v>
      </c>
      <c r="C904" t="s">
        <v>14405</v>
      </c>
      <c r="D904" t="s">
        <v>14406</v>
      </c>
      <c r="E904" t="b">
        <v>0</v>
      </c>
      <c r="F904" t="s">
        <v>11622</v>
      </c>
      <c r="L904">
        <v>0</v>
      </c>
      <c r="M904">
        <v>3</v>
      </c>
      <c r="N904">
        <v>0</v>
      </c>
    </row>
    <row r="905" spans="1:15">
      <c r="A905" t="s">
        <v>14407</v>
      </c>
      <c r="B905" t="s">
        <v>13244</v>
      </c>
      <c r="C905" t="s">
        <v>14408</v>
      </c>
      <c r="D905" t="s">
        <v>14409</v>
      </c>
      <c r="E905" t="b">
        <v>0</v>
      </c>
      <c r="F905" t="s">
        <v>11624</v>
      </c>
      <c r="G905">
        <v>-13.25</v>
      </c>
      <c r="H905">
        <v>-70.8</v>
      </c>
      <c r="L905">
        <v>0</v>
      </c>
      <c r="M905">
        <v>0</v>
      </c>
      <c r="N905">
        <v>0</v>
      </c>
      <c r="O905" t="s">
        <v>11778</v>
      </c>
    </row>
    <row r="906" spans="1:15">
      <c r="A906" t="s">
        <v>14410</v>
      </c>
      <c r="B906" t="s">
        <v>11637</v>
      </c>
      <c r="C906" t="s">
        <v>14411</v>
      </c>
      <c r="D906" t="s">
        <v>14412</v>
      </c>
      <c r="E906" t="b">
        <v>0</v>
      </c>
      <c r="F906" t="s">
        <v>11610</v>
      </c>
      <c r="L906">
        <v>0</v>
      </c>
      <c r="M906">
        <v>0</v>
      </c>
      <c r="N906">
        <v>0</v>
      </c>
    </row>
    <row r="907" spans="1:15">
      <c r="A907" t="s">
        <v>5173</v>
      </c>
      <c r="B907" t="s">
        <v>11637</v>
      </c>
      <c r="C907" t="s">
        <v>12972</v>
      </c>
      <c r="D907" t="s">
        <v>14413</v>
      </c>
      <c r="E907" t="b">
        <v>0</v>
      </c>
      <c r="F907" t="s">
        <v>11624</v>
      </c>
      <c r="G907">
        <v>38.911000000000001</v>
      </c>
      <c r="H907">
        <v>16.7164</v>
      </c>
      <c r="I907" t="s">
        <v>14414</v>
      </c>
      <c r="L907">
        <v>0</v>
      </c>
      <c r="M907">
        <v>0</v>
      </c>
      <c r="N907">
        <v>4</v>
      </c>
      <c r="O907" t="s">
        <v>13676</v>
      </c>
    </row>
    <row r="908" spans="1:15">
      <c r="A908" t="s">
        <v>14415</v>
      </c>
      <c r="B908" t="s">
        <v>11607</v>
      </c>
      <c r="C908" t="s">
        <v>14416</v>
      </c>
      <c r="D908" t="s">
        <v>14417</v>
      </c>
      <c r="E908" t="b">
        <v>0</v>
      </c>
      <c r="F908" t="s">
        <v>11610</v>
      </c>
      <c r="L908">
        <v>0</v>
      </c>
      <c r="M908">
        <v>0</v>
      </c>
      <c r="N908">
        <v>0</v>
      </c>
    </row>
    <row r="909" spans="1:15">
      <c r="A909" t="s">
        <v>14418</v>
      </c>
      <c r="B909" t="s">
        <v>11637</v>
      </c>
      <c r="C909" t="s">
        <v>14419</v>
      </c>
      <c r="D909" t="s">
        <v>14420</v>
      </c>
      <c r="E909" t="b">
        <v>0</v>
      </c>
      <c r="F909" t="s">
        <v>11610</v>
      </c>
      <c r="L909">
        <v>0</v>
      </c>
      <c r="M909">
        <v>0</v>
      </c>
      <c r="N909">
        <v>0</v>
      </c>
    </row>
    <row r="910" spans="1:15">
      <c r="A910" t="s">
        <v>14421</v>
      </c>
      <c r="B910" t="s">
        <v>11607</v>
      </c>
      <c r="C910" t="s">
        <v>14422</v>
      </c>
      <c r="D910" t="s">
        <v>14423</v>
      </c>
      <c r="E910" t="b">
        <v>0</v>
      </c>
      <c r="F910" t="s">
        <v>11624</v>
      </c>
      <c r="G910">
        <v>4.9218299999999999</v>
      </c>
      <c r="H910">
        <v>36.7986</v>
      </c>
      <c r="I910" t="s">
        <v>14424</v>
      </c>
      <c r="L910">
        <v>0</v>
      </c>
      <c r="M910">
        <v>0</v>
      </c>
      <c r="N910">
        <v>0</v>
      </c>
      <c r="O910" t="s">
        <v>11625</v>
      </c>
    </row>
    <row r="911" spans="1:15">
      <c r="A911" t="s">
        <v>14425</v>
      </c>
      <c r="B911" t="s">
        <v>11637</v>
      </c>
      <c r="C911" t="s">
        <v>12163</v>
      </c>
      <c r="D911" t="s">
        <v>14426</v>
      </c>
      <c r="E911" t="b">
        <v>0</v>
      </c>
      <c r="F911" t="s">
        <v>11610</v>
      </c>
      <c r="L911">
        <v>0</v>
      </c>
      <c r="M911">
        <v>0</v>
      </c>
      <c r="N911">
        <v>0</v>
      </c>
    </row>
    <row r="912" spans="1:15">
      <c r="A912" t="s">
        <v>14427</v>
      </c>
      <c r="B912" t="s">
        <v>12311</v>
      </c>
      <c r="C912" t="s">
        <v>14428</v>
      </c>
      <c r="D912" t="s">
        <v>14429</v>
      </c>
      <c r="E912" t="b">
        <v>0</v>
      </c>
      <c r="F912" t="s">
        <v>11624</v>
      </c>
      <c r="G912">
        <v>42.323900000000002</v>
      </c>
      <c r="H912">
        <v>46.826700000000002</v>
      </c>
      <c r="I912" t="s">
        <v>14430</v>
      </c>
      <c r="L912">
        <v>0</v>
      </c>
      <c r="M912">
        <v>0</v>
      </c>
      <c r="N912">
        <v>0</v>
      </c>
      <c r="O912" t="s">
        <v>12748</v>
      </c>
    </row>
    <row r="913" spans="1:15">
      <c r="A913" t="s">
        <v>14431</v>
      </c>
      <c r="B913" t="s">
        <v>11637</v>
      </c>
      <c r="C913" t="s">
        <v>14432</v>
      </c>
      <c r="D913" t="s">
        <v>14433</v>
      </c>
      <c r="E913" t="b">
        <v>0</v>
      </c>
      <c r="F913" t="s">
        <v>11624</v>
      </c>
      <c r="L913">
        <v>0</v>
      </c>
      <c r="M913">
        <v>0</v>
      </c>
      <c r="N913">
        <v>0</v>
      </c>
      <c r="O913" t="s">
        <v>14434</v>
      </c>
    </row>
    <row r="914" spans="1:15">
      <c r="A914" t="s">
        <v>14435</v>
      </c>
      <c r="B914" t="s">
        <v>11637</v>
      </c>
      <c r="C914" t="s">
        <v>14436</v>
      </c>
      <c r="D914" t="s">
        <v>14437</v>
      </c>
      <c r="E914" t="b">
        <v>0</v>
      </c>
      <c r="F914" t="s">
        <v>11610</v>
      </c>
      <c r="L914">
        <v>0</v>
      </c>
      <c r="M914">
        <v>0</v>
      </c>
      <c r="N914">
        <v>0</v>
      </c>
    </row>
    <row r="915" spans="1:15">
      <c r="A915" t="s">
        <v>14438</v>
      </c>
      <c r="B915" t="s">
        <v>11637</v>
      </c>
      <c r="C915" t="s">
        <v>14365</v>
      </c>
      <c r="D915" t="s">
        <v>14439</v>
      </c>
      <c r="E915" t="b">
        <v>0</v>
      </c>
      <c r="F915" t="s">
        <v>11610</v>
      </c>
      <c r="L915">
        <v>0</v>
      </c>
      <c r="M915">
        <v>0</v>
      </c>
      <c r="N915">
        <v>2</v>
      </c>
    </row>
    <row r="916" spans="1:15">
      <c r="A916" t="s">
        <v>14440</v>
      </c>
      <c r="B916" t="s">
        <v>367</v>
      </c>
      <c r="C916" t="s">
        <v>14441</v>
      </c>
      <c r="D916" t="s">
        <v>14442</v>
      </c>
      <c r="E916" t="b">
        <v>0</v>
      </c>
      <c r="F916" t="s">
        <v>11624</v>
      </c>
      <c r="G916">
        <v>-9.2069899999999993</v>
      </c>
      <c r="H916">
        <v>161.15799999999999</v>
      </c>
      <c r="I916" t="s">
        <v>14443</v>
      </c>
      <c r="L916">
        <v>0</v>
      </c>
      <c r="M916">
        <v>0</v>
      </c>
      <c r="N916">
        <v>2</v>
      </c>
      <c r="O916" t="s">
        <v>13346</v>
      </c>
    </row>
    <row r="917" spans="1:15">
      <c r="A917" t="s">
        <v>14444</v>
      </c>
      <c r="B917" t="s">
        <v>10597</v>
      </c>
      <c r="C917" t="s">
        <v>14445</v>
      </c>
      <c r="D917" t="s">
        <v>14446</v>
      </c>
      <c r="E917" t="b">
        <v>0</v>
      </c>
      <c r="F917" t="s">
        <v>11624</v>
      </c>
      <c r="G917">
        <v>-16.635480000000001</v>
      </c>
      <c r="H917">
        <v>142.63106999999999</v>
      </c>
      <c r="I917" t="s">
        <v>14447</v>
      </c>
      <c r="L917">
        <v>0</v>
      </c>
      <c r="M917">
        <v>0</v>
      </c>
      <c r="N917">
        <v>0</v>
      </c>
      <c r="O917" t="s">
        <v>12107</v>
      </c>
    </row>
    <row r="918" spans="1:15">
      <c r="A918" t="s">
        <v>14448</v>
      </c>
      <c r="B918" t="s">
        <v>8310</v>
      </c>
      <c r="C918" t="s">
        <v>14449</v>
      </c>
      <c r="D918" t="s">
        <v>14450</v>
      </c>
      <c r="E918" t="b">
        <v>0</v>
      </c>
      <c r="F918" t="s">
        <v>11610</v>
      </c>
      <c r="L918">
        <v>0</v>
      </c>
      <c r="M918">
        <v>0</v>
      </c>
      <c r="N918">
        <v>0</v>
      </c>
    </row>
    <row r="919" spans="1:15">
      <c r="A919" t="s">
        <v>14451</v>
      </c>
      <c r="B919" t="s">
        <v>367</v>
      </c>
      <c r="C919" t="s">
        <v>14452</v>
      </c>
      <c r="D919" t="s">
        <v>14453</v>
      </c>
      <c r="E919" t="b">
        <v>0</v>
      </c>
      <c r="F919" t="s">
        <v>11624</v>
      </c>
      <c r="G919">
        <v>-9.6714699999999993</v>
      </c>
      <c r="H919">
        <v>149.999</v>
      </c>
      <c r="I919" t="s">
        <v>14454</v>
      </c>
      <c r="L919">
        <v>0</v>
      </c>
      <c r="M919">
        <v>0</v>
      </c>
      <c r="N919">
        <v>0</v>
      </c>
      <c r="O919" t="s">
        <v>11660</v>
      </c>
    </row>
    <row r="920" spans="1:15">
      <c r="A920" t="s">
        <v>14452</v>
      </c>
      <c r="B920" t="s">
        <v>367</v>
      </c>
      <c r="C920" t="s">
        <v>14455</v>
      </c>
      <c r="D920" t="s">
        <v>14456</v>
      </c>
      <c r="E920" t="b">
        <v>0</v>
      </c>
      <c r="F920" t="s">
        <v>11622</v>
      </c>
      <c r="L920">
        <v>0</v>
      </c>
      <c r="M920">
        <v>7</v>
      </c>
      <c r="N920">
        <v>2</v>
      </c>
    </row>
    <row r="921" spans="1:15">
      <c r="A921" t="s">
        <v>14457</v>
      </c>
      <c r="B921" t="s">
        <v>367</v>
      </c>
      <c r="C921" t="s">
        <v>14458</v>
      </c>
      <c r="D921" t="s">
        <v>14459</v>
      </c>
      <c r="E921" t="b">
        <v>0</v>
      </c>
      <c r="F921" t="s">
        <v>11610</v>
      </c>
      <c r="L921">
        <v>0</v>
      </c>
      <c r="M921">
        <v>0</v>
      </c>
      <c r="N921">
        <v>2</v>
      </c>
    </row>
    <row r="922" spans="1:15">
      <c r="A922" t="s">
        <v>14460</v>
      </c>
      <c r="B922" t="s">
        <v>12438</v>
      </c>
      <c r="C922" t="s">
        <v>14461</v>
      </c>
      <c r="D922" t="s">
        <v>14462</v>
      </c>
      <c r="E922" t="b">
        <v>0</v>
      </c>
      <c r="F922" t="s">
        <v>11624</v>
      </c>
      <c r="G922">
        <v>17.767199999999999</v>
      </c>
      <c r="H922">
        <v>105.928</v>
      </c>
      <c r="I922" t="s">
        <v>14463</v>
      </c>
      <c r="L922">
        <v>0</v>
      </c>
      <c r="M922">
        <v>0</v>
      </c>
      <c r="N922">
        <v>0</v>
      </c>
      <c r="O922" t="s">
        <v>14464</v>
      </c>
    </row>
    <row r="923" spans="1:15">
      <c r="A923" t="s">
        <v>14016</v>
      </c>
      <c r="B923" t="s">
        <v>141</v>
      </c>
      <c r="C923" t="s">
        <v>14465</v>
      </c>
      <c r="D923" t="s">
        <v>14466</v>
      </c>
      <c r="E923" t="b">
        <v>0</v>
      </c>
      <c r="F923" t="s">
        <v>11624</v>
      </c>
      <c r="G923">
        <v>-15.1806</v>
      </c>
      <c r="H923">
        <v>-72.633300000000006</v>
      </c>
      <c r="I923" t="s">
        <v>14467</v>
      </c>
      <c r="L923">
        <v>0</v>
      </c>
      <c r="M923">
        <v>0</v>
      </c>
      <c r="N923">
        <v>4</v>
      </c>
      <c r="O923" t="s">
        <v>11778</v>
      </c>
    </row>
    <row r="924" spans="1:15">
      <c r="A924" t="s">
        <v>14468</v>
      </c>
      <c r="B924" t="s">
        <v>11637</v>
      </c>
      <c r="C924" t="s">
        <v>14469</v>
      </c>
      <c r="D924" t="s">
        <v>14470</v>
      </c>
      <c r="E924" t="b">
        <v>0</v>
      </c>
      <c r="F924" t="s">
        <v>11610</v>
      </c>
      <c r="L924">
        <v>0</v>
      </c>
      <c r="M924">
        <v>0</v>
      </c>
      <c r="N924">
        <v>0</v>
      </c>
    </row>
    <row r="925" spans="1:15">
      <c r="A925" t="s">
        <v>14471</v>
      </c>
      <c r="B925" t="s">
        <v>11637</v>
      </c>
      <c r="C925" t="s">
        <v>14472</v>
      </c>
      <c r="D925" t="s">
        <v>14473</v>
      </c>
      <c r="E925" t="b">
        <v>0</v>
      </c>
      <c r="F925" t="s">
        <v>11610</v>
      </c>
      <c r="L925">
        <v>0</v>
      </c>
      <c r="M925">
        <v>0</v>
      </c>
      <c r="N925">
        <v>0</v>
      </c>
    </row>
    <row r="926" spans="1:15">
      <c r="A926" t="s">
        <v>14455</v>
      </c>
      <c r="B926" t="s">
        <v>367</v>
      </c>
      <c r="C926" t="s">
        <v>14042</v>
      </c>
      <c r="D926" t="s">
        <v>14474</v>
      </c>
      <c r="E926" t="b">
        <v>0</v>
      </c>
      <c r="F926" t="s">
        <v>11622</v>
      </c>
      <c r="L926">
        <v>3</v>
      </c>
      <c r="M926">
        <v>16</v>
      </c>
      <c r="N926">
        <v>17</v>
      </c>
    </row>
    <row r="927" spans="1:15">
      <c r="A927" t="s">
        <v>14475</v>
      </c>
      <c r="B927" t="s">
        <v>11607</v>
      </c>
      <c r="C927" t="s">
        <v>14395</v>
      </c>
      <c r="D927" t="s">
        <v>14476</v>
      </c>
      <c r="E927" t="b">
        <v>0</v>
      </c>
      <c r="F927" t="s">
        <v>11610</v>
      </c>
      <c r="L927">
        <v>0</v>
      </c>
      <c r="M927">
        <v>0</v>
      </c>
      <c r="N927">
        <v>0</v>
      </c>
    </row>
    <row r="928" spans="1:15">
      <c r="A928" t="s">
        <v>14477</v>
      </c>
      <c r="B928" t="s">
        <v>11981</v>
      </c>
      <c r="C928" t="s">
        <v>12200</v>
      </c>
      <c r="D928" t="s">
        <v>14478</v>
      </c>
      <c r="E928" t="b">
        <v>0</v>
      </c>
      <c r="F928" t="s">
        <v>11624</v>
      </c>
      <c r="G928">
        <v>-34.796999999999997</v>
      </c>
      <c r="H928">
        <v>-59.1798</v>
      </c>
      <c r="I928" t="s">
        <v>14479</v>
      </c>
      <c r="L928">
        <v>0</v>
      </c>
      <c r="M928">
        <v>0</v>
      </c>
      <c r="N928">
        <v>0</v>
      </c>
      <c r="O928" t="s">
        <v>11774</v>
      </c>
    </row>
    <row r="929" spans="1:15">
      <c r="A929" t="s">
        <v>14480</v>
      </c>
      <c r="B929" t="s">
        <v>11607</v>
      </c>
      <c r="C929" t="s">
        <v>13467</v>
      </c>
      <c r="D929" t="s">
        <v>14481</v>
      </c>
      <c r="E929" t="b">
        <v>0</v>
      </c>
      <c r="F929" t="s">
        <v>11624</v>
      </c>
      <c r="G929">
        <v>10.659599999999999</v>
      </c>
      <c r="H929">
        <v>39.756</v>
      </c>
      <c r="I929" t="s">
        <v>14482</v>
      </c>
      <c r="L929">
        <v>0</v>
      </c>
      <c r="M929">
        <v>0</v>
      </c>
      <c r="N929">
        <v>0</v>
      </c>
      <c r="O929" t="s">
        <v>11625</v>
      </c>
    </row>
    <row r="930" spans="1:15">
      <c r="A930" t="s">
        <v>14483</v>
      </c>
      <c r="B930" t="s">
        <v>367</v>
      </c>
      <c r="C930" t="s">
        <v>14484</v>
      </c>
      <c r="D930" t="s">
        <v>14485</v>
      </c>
      <c r="E930" t="b">
        <v>0</v>
      </c>
      <c r="F930" t="s">
        <v>11624</v>
      </c>
      <c r="G930">
        <v>-2.6457980000000001</v>
      </c>
      <c r="H930">
        <v>132.5556</v>
      </c>
      <c r="I930" t="s">
        <v>14486</v>
      </c>
      <c r="L930">
        <v>0</v>
      </c>
      <c r="M930">
        <v>0</v>
      </c>
      <c r="N930">
        <v>0</v>
      </c>
      <c r="O930" t="s">
        <v>11768</v>
      </c>
    </row>
    <row r="931" spans="1:15">
      <c r="A931" t="s">
        <v>14487</v>
      </c>
      <c r="B931" t="s">
        <v>367</v>
      </c>
      <c r="C931" t="s">
        <v>12621</v>
      </c>
      <c r="D931" t="s">
        <v>14488</v>
      </c>
      <c r="E931" t="b">
        <v>0</v>
      </c>
      <c r="F931" t="s">
        <v>11624</v>
      </c>
      <c r="G931">
        <v>-21.2866</v>
      </c>
      <c r="H931">
        <v>165.273</v>
      </c>
      <c r="I931" t="s">
        <v>14489</v>
      </c>
      <c r="L931">
        <v>0</v>
      </c>
      <c r="M931">
        <v>0</v>
      </c>
      <c r="N931">
        <v>0</v>
      </c>
      <c r="O931" t="s">
        <v>12624</v>
      </c>
    </row>
    <row r="932" spans="1:15">
      <c r="A932" t="s">
        <v>14490</v>
      </c>
      <c r="B932" t="s">
        <v>6742</v>
      </c>
      <c r="C932" t="s">
        <v>14491</v>
      </c>
      <c r="D932" t="s">
        <v>14492</v>
      </c>
      <c r="E932" t="b">
        <v>0</v>
      </c>
      <c r="F932" t="s">
        <v>11610</v>
      </c>
      <c r="L932">
        <v>0</v>
      </c>
      <c r="M932">
        <v>0</v>
      </c>
      <c r="N932">
        <v>0</v>
      </c>
    </row>
    <row r="933" spans="1:15">
      <c r="A933" t="s">
        <v>14493</v>
      </c>
      <c r="B933" t="s">
        <v>367</v>
      </c>
      <c r="C933" t="s">
        <v>12621</v>
      </c>
      <c r="D933" t="s">
        <v>14494</v>
      </c>
      <c r="E933" t="b">
        <v>0</v>
      </c>
      <c r="F933" t="s">
        <v>11624</v>
      </c>
      <c r="G933">
        <v>-21.318300000000001</v>
      </c>
      <c r="H933">
        <v>165.161</v>
      </c>
      <c r="I933" t="s">
        <v>14495</v>
      </c>
      <c r="L933">
        <v>0</v>
      </c>
      <c r="M933">
        <v>0</v>
      </c>
      <c r="N933">
        <v>0</v>
      </c>
      <c r="O933" t="s">
        <v>12624</v>
      </c>
    </row>
    <row r="934" spans="1:15">
      <c r="A934" t="s">
        <v>14496</v>
      </c>
      <c r="B934" t="s">
        <v>6455</v>
      </c>
      <c r="C934" t="s">
        <v>14497</v>
      </c>
      <c r="D934" t="s">
        <v>14498</v>
      </c>
      <c r="E934" t="b">
        <v>0</v>
      </c>
      <c r="F934" t="s">
        <v>11622</v>
      </c>
      <c r="L934">
        <v>2</v>
      </c>
      <c r="M934">
        <v>4</v>
      </c>
      <c r="N934">
        <v>0</v>
      </c>
    </row>
    <row r="935" spans="1:15">
      <c r="A935" t="s">
        <v>9295</v>
      </c>
      <c r="B935" t="s">
        <v>6455</v>
      </c>
      <c r="C935" t="s">
        <v>14499</v>
      </c>
      <c r="D935" t="s">
        <v>14500</v>
      </c>
      <c r="E935" t="b">
        <v>0</v>
      </c>
      <c r="F935" t="s">
        <v>11624</v>
      </c>
      <c r="G935">
        <v>10.7018</v>
      </c>
      <c r="H935">
        <v>-73.636300000000006</v>
      </c>
      <c r="I935" t="s">
        <v>9296</v>
      </c>
      <c r="L935">
        <v>0</v>
      </c>
      <c r="M935">
        <v>0</v>
      </c>
      <c r="N935">
        <v>0</v>
      </c>
      <c r="O935" t="s">
        <v>11898</v>
      </c>
    </row>
    <row r="936" spans="1:15">
      <c r="A936" t="s">
        <v>14501</v>
      </c>
      <c r="B936" t="s">
        <v>367</v>
      </c>
      <c r="C936" t="s">
        <v>14502</v>
      </c>
      <c r="D936" t="s">
        <v>14503</v>
      </c>
      <c r="E936" t="b">
        <v>0</v>
      </c>
      <c r="F936" t="s">
        <v>11624</v>
      </c>
      <c r="G936">
        <v>-6.65252</v>
      </c>
      <c r="H936">
        <v>146.91900000000001</v>
      </c>
      <c r="I936" t="s">
        <v>14504</v>
      </c>
      <c r="L936">
        <v>0</v>
      </c>
      <c r="M936">
        <v>0</v>
      </c>
      <c r="N936">
        <v>0</v>
      </c>
      <c r="O936" t="s">
        <v>11660</v>
      </c>
    </row>
    <row r="937" spans="1:15">
      <c r="A937" t="s">
        <v>14505</v>
      </c>
      <c r="B937" t="s">
        <v>367</v>
      </c>
      <c r="C937" t="s">
        <v>14502</v>
      </c>
      <c r="D937" t="s">
        <v>14506</v>
      </c>
      <c r="E937" t="b">
        <v>0</v>
      </c>
      <c r="F937" t="s">
        <v>11624</v>
      </c>
      <c r="G937">
        <v>-6.7226600000000003</v>
      </c>
      <c r="H937">
        <v>146.99100000000001</v>
      </c>
      <c r="I937" t="s">
        <v>14507</v>
      </c>
      <c r="L937">
        <v>0</v>
      </c>
      <c r="M937">
        <v>0</v>
      </c>
      <c r="N937">
        <v>0</v>
      </c>
      <c r="O937" t="s">
        <v>11660</v>
      </c>
    </row>
    <row r="938" spans="1:15">
      <c r="A938" t="s">
        <v>14508</v>
      </c>
      <c r="B938" t="s">
        <v>11607</v>
      </c>
      <c r="C938" t="s">
        <v>13955</v>
      </c>
      <c r="D938" t="s">
        <v>14509</v>
      </c>
      <c r="E938" t="b">
        <v>0</v>
      </c>
      <c r="F938" t="s">
        <v>11610</v>
      </c>
      <c r="L938">
        <v>0</v>
      </c>
      <c r="M938">
        <v>0</v>
      </c>
      <c r="N938">
        <v>0</v>
      </c>
    </row>
    <row r="939" spans="1:15">
      <c r="A939" t="s">
        <v>14510</v>
      </c>
      <c r="B939" t="s">
        <v>11637</v>
      </c>
      <c r="C939" t="s">
        <v>14511</v>
      </c>
      <c r="D939" t="s">
        <v>14512</v>
      </c>
      <c r="E939" t="b">
        <v>0</v>
      </c>
      <c r="F939" t="s">
        <v>11610</v>
      </c>
      <c r="L939">
        <v>0</v>
      </c>
      <c r="M939">
        <v>0</v>
      </c>
      <c r="N939">
        <v>0</v>
      </c>
    </row>
    <row r="940" spans="1:15">
      <c r="A940" t="s">
        <v>14513</v>
      </c>
      <c r="B940" t="s">
        <v>367</v>
      </c>
      <c r="C940" t="s">
        <v>14452</v>
      </c>
      <c r="D940" t="s">
        <v>14514</v>
      </c>
      <c r="E940" t="b">
        <v>0</v>
      </c>
      <c r="F940" t="s">
        <v>11624</v>
      </c>
      <c r="G940">
        <v>-9.1556499999999996</v>
      </c>
      <c r="H940">
        <v>149.24600000000001</v>
      </c>
      <c r="I940" t="s">
        <v>14515</v>
      </c>
      <c r="L940">
        <v>0</v>
      </c>
      <c r="M940">
        <v>0</v>
      </c>
      <c r="N940">
        <v>2</v>
      </c>
      <c r="O940" t="s">
        <v>11660</v>
      </c>
    </row>
    <row r="941" spans="1:15">
      <c r="A941" t="s">
        <v>14516</v>
      </c>
      <c r="B941" t="s">
        <v>367</v>
      </c>
      <c r="C941" t="s">
        <v>14513</v>
      </c>
      <c r="D941" t="s">
        <v>14517</v>
      </c>
      <c r="E941" t="b">
        <v>0</v>
      </c>
      <c r="F941" t="s">
        <v>11610</v>
      </c>
      <c r="L941">
        <v>0</v>
      </c>
      <c r="M941">
        <v>0</v>
      </c>
      <c r="N941">
        <v>0</v>
      </c>
    </row>
    <row r="942" spans="1:15">
      <c r="A942" t="s">
        <v>12177</v>
      </c>
      <c r="B942" t="s">
        <v>6742</v>
      </c>
      <c r="C942" t="s">
        <v>14518</v>
      </c>
      <c r="D942" t="s">
        <v>14519</v>
      </c>
      <c r="E942" t="b">
        <v>0</v>
      </c>
      <c r="F942" t="s">
        <v>11624</v>
      </c>
      <c r="G942">
        <v>7.5632400000000004</v>
      </c>
      <c r="H942">
        <v>5.8955599999999997</v>
      </c>
      <c r="I942" t="s">
        <v>14520</v>
      </c>
      <c r="L942">
        <v>0</v>
      </c>
      <c r="M942">
        <v>0</v>
      </c>
      <c r="N942">
        <v>11</v>
      </c>
      <c r="O942" t="s">
        <v>11693</v>
      </c>
    </row>
    <row r="943" spans="1:15">
      <c r="A943" t="s">
        <v>14521</v>
      </c>
      <c r="B943" t="s">
        <v>6742</v>
      </c>
      <c r="C943" t="s">
        <v>12177</v>
      </c>
      <c r="D943" t="s">
        <v>14522</v>
      </c>
      <c r="E943" t="b">
        <v>0</v>
      </c>
      <c r="F943" t="s">
        <v>11610</v>
      </c>
      <c r="L943">
        <v>0</v>
      </c>
      <c r="M943">
        <v>0</v>
      </c>
      <c r="N943">
        <v>0</v>
      </c>
    </row>
    <row r="944" spans="1:15">
      <c r="A944" t="s">
        <v>14523</v>
      </c>
      <c r="B944" t="s">
        <v>14524</v>
      </c>
      <c r="C944" t="s">
        <v>14525</v>
      </c>
      <c r="D944" t="s">
        <v>14526</v>
      </c>
      <c r="E944" t="b">
        <v>0</v>
      </c>
      <c r="F944" t="s">
        <v>11610</v>
      </c>
      <c r="L944">
        <v>0</v>
      </c>
      <c r="M944">
        <v>0</v>
      </c>
      <c r="N944">
        <v>0</v>
      </c>
    </row>
    <row r="945" spans="1:15">
      <c r="A945" t="s">
        <v>14527</v>
      </c>
      <c r="B945" t="s">
        <v>14528</v>
      </c>
      <c r="C945" t="s">
        <v>14529</v>
      </c>
      <c r="D945" t="s">
        <v>14530</v>
      </c>
      <c r="E945" t="b">
        <v>0</v>
      </c>
      <c r="F945" t="s">
        <v>11624</v>
      </c>
      <c r="G945">
        <v>-7.95526</v>
      </c>
      <c r="H945">
        <v>142.4</v>
      </c>
      <c r="I945" t="s">
        <v>14531</v>
      </c>
      <c r="L945">
        <v>0</v>
      </c>
      <c r="M945">
        <v>0</v>
      </c>
      <c r="N945">
        <v>0</v>
      </c>
      <c r="O945" t="s">
        <v>11660</v>
      </c>
    </row>
    <row r="946" spans="1:15">
      <c r="A946" t="s">
        <v>14532</v>
      </c>
      <c r="B946" t="s">
        <v>11615</v>
      </c>
      <c r="C946" t="s">
        <v>14533</v>
      </c>
      <c r="D946" t="s">
        <v>14534</v>
      </c>
      <c r="E946" t="b">
        <v>0</v>
      </c>
      <c r="F946" t="s">
        <v>11610</v>
      </c>
      <c r="L946">
        <v>0</v>
      </c>
      <c r="M946">
        <v>0</v>
      </c>
      <c r="N946">
        <v>0</v>
      </c>
    </row>
    <row r="947" spans="1:15">
      <c r="A947" t="s">
        <v>14535</v>
      </c>
      <c r="B947" t="s">
        <v>8146</v>
      </c>
      <c r="C947" t="s">
        <v>14536</v>
      </c>
      <c r="D947" t="s">
        <v>14537</v>
      </c>
      <c r="E947" t="b">
        <v>0</v>
      </c>
      <c r="F947" t="s">
        <v>11624</v>
      </c>
      <c r="G947">
        <v>40.647300000000001</v>
      </c>
      <c r="H947">
        <v>-98.715800000000002</v>
      </c>
      <c r="I947" t="s">
        <v>14538</v>
      </c>
      <c r="L947">
        <v>0</v>
      </c>
      <c r="M947">
        <v>0</v>
      </c>
      <c r="N947">
        <v>0</v>
      </c>
      <c r="O947" t="s">
        <v>11944</v>
      </c>
    </row>
    <row r="948" spans="1:15">
      <c r="A948" t="s">
        <v>14539</v>
      </c>
      <c r="B948" t="s">
        <v>11912</v>
      </c>
      <c r="C948" t="s">
        <v>11912</v>
      </c>
      <c r="D948" t="s">
        <v>14540</v>
      </c>
      <c r="E948" t="b">
        <v>0</v>
      </c>
      <c r="F948" t="s">
        <v>11622</v>
      </c>
      <c r="L948">
        <v>0</v>
      </c>
      <c r="M948">
        <v>2</v>
      </c>
      <c r="N948">
        <v>0</v>
      </c>
    </row>
    <row r="949" spans="1:15">
      <c r="A949" t="s">
        <v>14541</v>
      </c>
      <c r="B949" t="s">
        <v>11912</v>
      </c>
      <c r="C949" t="s">
        <v>14539</v>
      </c>
      <c r="D949" t="s">
        <v>14542</v>
      </c>
      <c r="E949" t="b">
        <v>0</v>
      </c>
      <c r="F949" t="s">
        <v>11624</v>
      </c>
      <c r="G949">
        <v>-8.9239999999999995</v>
      </c>
      <c r="H949">
        <v>-63.741999999999997</v>
      </c>
      <c r="I949" t="s">
        <v>14543</v>
      </c>
      <c r="L949">
        <v>0</v>
      </c>
      <c r="M949">
        <v>0</v>
      </c>
      <c r="N949">
        <v>0</v>
      </c>
      <c r="O949" t="s">
        <v>11969</v>
      </c>
    </row>
    <row r="950" spans="1:15">
      <c r="A950" t="s">
        <v>14544</v>
      </c>
      <c r="B950" t="s">
        <v>11965</v>
      </c>
      <c r="C950" t="s">
        <v>14545</v>
      </c>
      <c r="D950" t="s">
        <v>14546</v>
      </c>
      <c r="E950" t="b">
        <v>0</v>
      </c>
      <c r="F950" t="s">
        <v>11624</v>
      </c>
      <c r="G950">
        <v>-12.4878</v>
      </c>
      <c r="H950">
        <v>-62.726100000000002</v>
      </c>
      <c r="I950" t="s">
        <v>14547</v>
      </c>
      <c r="L950">
        <v>0</v>
      </c>
      <c r="M950">
        <v>0</v>
      </c>
      <c r="N950">
        <v>0</v>
      </c>
      <c r="O950" t="s">
        <v>11969</v>
      </c>
    </row>
    <row r="951" spans="1:15">
      <c r="A951" t="s">
        <v>14548</v>
      </c>
      <c r="B951" t="s">
        <v>11644</v>
      </c>
      <c r="C951" t="s">
        <v>14549</v>
      </c>
      <c r="D951" t="s">
        <v>14550</v>
      </c>
      <c r="E951" t="b">
        <v>0</v>
      </c>
      <c r="F951" t="s">
        <v>11610</v>
      </c>
      <c r="L951">
        <v>0</v>
      </c>
      <c r="M951">
        <v>0</v>
      </c>
      <c r="N951">
        <v>0</v>
      </c>
    </row>
    <row r="952" spans="1:15">
      <c r="A952" t="s">
        <v>14551</v>
      </c>
      <c r="B952" t="s">
        <v>14552</v>
      </c>
      <c r="C952" t="s">
        <v>14553</v>
      </c>
      <c r="D952" t="s">
        <v>14554</v>
      </c>
      <c r="E952" t="b">
        <v>0</v>
      </c>
      <c r="F952" t="s">
        <v>11622</v>
      </c>
      <c r="L952">
        <v>0</v>
      </c>
      <c r="M952">
        <v>2</v>
      </c>
      <c r="N952">
        <v>0</v>
      </c>
    </row>
    <row r="953" spans="1:15">
      <c r="A953" t="s">
        <v>14555</v>
      </c>
      <c r="B953" t="s">
        <v>14552</v>
      </c>
      <c r="C953" t="s">
        <v>14551</v>
      </c>
      <c r="D953" t="s">
        <v>14556</v>
      </c>
      <c r="E953" t="b">
        <v>0</v>
      </c>
      <c r="F953" t="s">
        <v>11624</v>
      </c>
      <c r="G953">
        <v>57</v>
      </c>
      <c r="H953">
        <v>93</v>
      </c>
      <c r="I953" t="s">
        <v>14557</v>
      </c>
      <c r="L953">
        <v>0</v>
      </c>
      <c r="M953">
        <v>0</v>
      </c>
      <c r="N953">
        <v>0</v>
      </c>
      <c r="O953" t="s">
        <v>12748</v>
      </c>
    </row>
    <row r="954" spans="1:15">
      <c r="A954" t="s">
        <v>14558</v>
      </c>
      <c r="B954" t="s">
        <v>11729</v>
      </c>
      <c r="C954" t="s">
        <v>14559</v>
      </c>
      <c r="D954" t="s">
        <v>14560</v>
      </c>
      <c r="E954" t="b">
        <v>0</v>
      </c>
      <c r="F954" t="s">
        <v>11624</v>
      </c>
      <c r="G954">
        <v>3.5614300000000001</v>
      </c>
      <c r="H954">
        <v>31.307099999999998</v>
      </c>
      <c r="I954" t="s">
        <v>14561</v>
      </c>
      <c r="L954">
        <v>0</v>
      </c>
      <c r="M954">
        <v>0</v>
      </c>
      <c r="N954">
        <v>0</v>
      </c>
      <c r="O954" t="s">
        <v>11960</v>
      </c>
    </row>
    <row r="955" spans="1:15">
      <c r="A955" t="s">
        <v>14562</v>
      </c>
      <c r="B955" t="s">
        <v>367</v>
      </c>
      <c r="C955" t="s">
        <v>14563</v>
      </c>
      <c r="D955" t="s">
        <v>14564</v>
      </c>
      <c r="E955" t="b">
        <v>0</v>
      </c>
      <c r="F955" t="s">
        <v>11610</v>
      </c>
      <c r="L955">
        <v>0</v>
      </c>
      <c r="M955">
        <v>0</v>
      </c>
      <c r="N955">
        <v>0</v>
      </c>
    </row>
    <row r="956" spans="1:15">
      <c r="A956" t="s">
        <v>14565</v>
      </c>
      <c r="B956" t="s">
        <v>10597</v>
      </c>
      <c r="C956" t="s">
        <v>12986</v>
      </c>
      <c r="D956" t="s">
        <v>14566</v>
      </c>
      <c r="E956" t="b">
        <v>0</v>
      </c>
      <c r="F956" t="s">
        <v>11624</v>
      </c>
      <c r="G956">
        <v>-12.50839255</v>
      </c>
      <c r="H956">
        <v>142.13874799999999</v>
      </c>
      <c r="I956" t="s">
        <v>14567</v>
      </c>
      <c r="L956">
        <v>0</v>
      </c>
      <c r="M956">
        <v>0</v>
      </c>
      <c r="N956">
        <v>0</v>
      </c>
      <c r="O956" t="s">
        <v>12107</v>
      </c>
    </row>
    <row r="957" spans="1:15">
      <c r="A957" t="s">
        <v>14529</v>
      </c>
      <c r="B957" t="s">
        <v>14528</v>
      </c>
      <c r="C957" t="s">
        <v>14568</v>
      </c>
      <c r="D957" t="s">
        <v>14569</v>
      </c>
      <c r="E957" t="b">
        <v>0</v>
      </c>
      <c r="F957" t="s">
        <v>11622</v>
      </c>
      <c r="L957">
        <v>0</v>
      </c>
      <c r="M957">
        <v>2</v>
      </c>
      <c r="N957">
        <v>0</v>
      </c>
    </row>
    <row r="958" spans="1:15">
      <c r="A958" t="s">
        <v>14570</v>
      </c>
      <c r="B958" t="s">
        <v>14571</v>
      </c>
      <c r="C958" t="s">
        <v>11327</v>
      </c>
      <c r="D958" t="s">
        <v>14572</v>
      </c>
      <c r="E958" t="b">
        <v>0</v>
      </c>
      <c r="F958" t="s">
        <v>11624</v>
      </c>
      <c r="G958">
        <v>35.836666999999998</v>
      </c>
      <c r="H958">
        <v>-110.381389</v>
      </c>
      <c r="L958">
        <v>0</v>
      </c>
      <c r="M958">
        <v>0</v>
      </c>
      <c r="N958">
        <v>1</v>
      </c>
      <c r="O958" t="s">
        <v>11944</v>
      </c>
    </row>
    <row r="959" spans="1:15">
      <c r="A959" t="s">
        <v>14573</v>
      </c>
      <c r="B959" t="s">
        <v>367</v>
      </c>
      <c r="C959" t="s">
        <v>14574</v>
      </c>
      <c r="D959" t="s">
        <v>14575</v>
      </c>
      <c r="E959" t="b">
        <v>0</v>
      </c>
      <c r="F959" t="s">
        <v>11610</v>
      </c>
      <c r="L959">
        <v>0</v>
      </c>
      <c r="M959">
        <v>0</v>
      </c>
      <c r="N959">
        <v>0</v>
      </c>
    </row>
    <row r="960" spans="1:15">
      <c r="A960" t="s">
        <v>14576</v>
      </c>
      <c r="B960" t="s">
        <v>11637</v>
      </c>
      <c r="C960" t="s">
        <v>14577</v>
      </c>
      <c r="D960" t="s">
        <v>14578</v>
      </c>
      <c r="E960" t="b">
        <v>0</v>
      </c>
      <c r="F960" t="s">
        <v>11610</v>
      </c>
      <c r="L960">
        <v>0</v>
      </c>
      <c r="M960">
        <v>0</v>
      </c>
      <c r="N960">
        <v>0</v>
      </c>
    </row>
    <row r="961" spans="1:15">
      <c r="A961" t="s">
        <v>14577</v>
      </c>
      <c r="B961" t="s">
        <v>11637</v>
      </c>
      <c r="C961" t="s">
        <v>11822</v>
      </c>
      <c r="D961" t="s">
        <v>14579</v>
      </c>
      <c r="E961" t="b">
        <v>0</v>
      </c>
      <c r="F961" t="s">
        <v>11610</v>
      </c>
      <c r="L961">
        <v>0</v>
      </c>
      <c r="M961">
        <v>0</v>
      </c>
      <c r="N961">
        <v>2</v>
      </c>
    </row>
    <row r="962" spans="1:15">
      <c r="A962" t="s">
        <v>14580</v>
      </c>
      <c r="B962" t="s">
        <v>12686</v>
      </c>
      <c r="C962" t="s">
        <v>14581</v>
      </c>
      <c r="D962" t="s">
        <v>14582</v>
      </c>
      <c r="E962" t="b">
        <v>0</v>
      </c>
      <c r="F962" t="s">
        <v>11610</v>
      </c>
      <c r="L962">
        <v>0</v>
      </c>
      <c r="M962">
        <v>0</v>
      </c>
      <c r="N962">
        <v>0</v>
      </c>
    </row>
    <row r="963" spans="1:15">
      <c r="A963" t="s">
        <v>14583</v>
      </c>
      <c r="B963" t="s">
        <v>12241</v>
      </c>
      <c r="C963" t="s">
        <v>14584</v>
      </c>
      <c r="D963" t="s">
        <v>14585</v>
      </c>
      <c r="E963" t="b">
        <v>0</v>
      </c>
      <c r="F963" t="s">
        <v>11624</v>
      </c>
      <c r="G963">
        <v>2.0333199999999998</v>
      </c>
      <c r="H963">
        <v>-76</v>
      </c>
      <c r="I963" t="s">
        <v>14586</v>
      </c>
      <c r="L963">
        <v>0</v>
      </c>
      <c r="M963">
        <v>0</v>
      </c>
      <c r="N963">
        <v>0</v>
      </c>
      <c r="O963" t="s">
        <v>11898</v>
      </c>
    </row>
    <row r="964" spans="1:15">
      <c r="A964" t="s">
        <v>14587</v>
      </c>
      <c r="B964" t="s">
        <v>11637</v>
      </c>
      <c r="C964" t="s">
        <v>9261</v>
      </c>
      <c r="D964" t="s">
        <v>14588</v>
      </c>
      <c r="E964" t="b">
        <v>0</v>
      </c>
      <c r="F964" t="s">
        <v>11610</v>
      </c>
      <c r="L964">
        <v>0</v>
      </c>
      <c r="M964">
        <v>0</v>
      </c>
      <c r="N964">
        <v>0</v>
      </c>
    </row>
    <row r="965" spans="1:15">
      <c r="A965" t="s">
        <v>7045</v>
      </c>
      <c r="B965" t="s">
        <v>11637</v>
      </c>
      <c r="C965" t="s">
        <v>11637</v>
      </c>
      <c r="D965" t="s">
        <v>14589</v>
      </c>
      <c r="E965" t="b">
        <v>0</v>
      </c>
      <c r="F965" t="s">
        <v>11622</v>
      </c>
      <c r="L965">
        <v>1</v>
      </c>
      <c r="M965">
        <v>3</v>
      </c>
      <c r="N965">
        <v>68</v>
      </c>
    </row>
    <row r="966" spans="1:15">
      <c r="A966" t="s">
        <v>14590</v>
      </c>
      <c r="B966" t="s">
        <v>11981</v>
      </c>
      <c r="C966" t="s">
        <v>12200</v>
      </c>
      <c r="D966" t="s">
        <v>14591</v>
      </c>
      <c r="E966" t="b">
        <v>0</v>
      </c>
      <c r="F966" t="s">
        <v>11624</v>
      </c>
      <c r="G966">
        <v>40.100200000000001</v>
      </c>
      <c r="H966">
        <v>44.476700000000001</v>
      </c>
      <c r="I966" t="s">
        <v>14592</v>
      </c>
      <c r="L966">
        <v>0</v>
      </c>
      <c r="M966">
        <v>0</v>
      </c>
      <c r="N966">
        <v>0</v>
      </c>
      <c r="O966" t="s">
        <v>14593</v>
      </c>
    </row>
    <row r="967" spans="1:15">
      <c r="A967" t="s">
        <v>14594</v>
      </c>
      <c r="B967" t="s">
        <v>11637</v>
      </c>
      <c r="C967" t="s">
        <v>11825</v>
      </c>
      <c r="D967" t="s">
        <v>14595</v>
      </c>
      <c r="E967" t="b">
        <v>0</v>
      </c>
      <c r="F967" t="s">
        <v>11610</v>
      </c>
      <c r="L967">
        <v>0</v>
      </c>
      <c r="M967">
        <v>0</v>
      </c>
      <c r="N967">
        <v>0</v>
      </c>
    </row>
    <row r="968" spans="1:15">
      <c r="A968" t="s">
        <v>14596</v>
      </c>
      <c r="B968" t="s">
        <v>12697</v>
      </c>
      <c r="C968" t="s">
        <v>14175</v>
      </c>
      <c r="D968" t="s">
        <v>14597</v>
      </c>
      <c r="E968" t="b">
        <v>0</v>
      </c>
      <c r="F968" t="s">
        <v>11610</v>
      </c>
      <c r="L968">
        <v>0</v>
      </c>
      <c r="M968">
        <v>0</v>
      </c>
      <c r="N968">
        <v>0</v>
      </c>
    </row>
    <row r="969" spans="1:15">
      <c r="A969" t="s">
        <v>14598</v>
      </c>
      <c r="B969" t="s">
        <v>6742</v>
      </c>
      <c r="C969" t="s">
        <v>1387</v>
      </c>
      <c r="D969" t="s">
        <v>14599</v>
      </c>
      <c r="E969" t="b">
        <v>0</v>
      </c>
      <c r="F969" t="s">
        <v>11610</v>
      </c>
      <c r="L969">
        <v>0</v>
      </c>
      <c r="M969">
        <v>0</v>
      </c>
      <c r="N969">
        <v>0</v>
      </c>
    </row>
    <row r="970" spans="1:15">
      <c r="A970" t="s">
        <v>14600</v>
      </c>
      <c r="B970" t="s">
        <v>11615</v>
      </c>
      <c r="C970" t="s">
        <v>11616</v>
      </c>
      <c r="D970" t="s">
        <v>14601</v>
      </c>
      <c r="E970" t="b">
        <v>0</v>
      </c>
      <c r="F970" t="s">
        <v>11610</v>
      </c>
      <c r="L970">
        <v>0</v>
      </c>
      <c r="M970">
        <v>0</v>
      </c>
      <c r="N970">
        <v>0</v>
      </c>
    </row>
    <row r="971" spans="1:15">
      <c r="A971" t="s">
        <v>9261</v>
      </c>
      <c r="B971" t="s">
        <v>11637</v>
      </c>
      <c r="C971" t="s">
        <v>14602</v>
      </c>
      <c r="D971" t="s">
        <v>14603</v>
      </c>
      <c r="E971" t="b">
        <v>0</v>
      </c>
      <c r="F971" t="s">
        <v>11624</v>
      </c>
      <c r="G971">
        <v>40.616</v>
      </c>
      <c r="H971">
        <v>21.2</v>
      </c>
      <c r="I971" t="s">
        <v>9262</v>
      </c>
      <c r="L971">
        <v>0</v>
      </c>
      <c r="M971">
        <v>0</v>
      </c>
      <c r="N971">
        <v>2</v>
      </c>
      <c r="O971" t="s">
        <v>14604</v>
      </c>
    </row>
    <row r="972" spans="1:15">
      <c r="A972" t="s">
        <v>14605</v>
      </c>
      <c r="B972" t="s">
        <v>367</v>
      </c>
      <c r="C972" t="s">
        <v>14606</v>
      </c>
      <c r="D972" t="s">
        <v>14607</v>
      </c>
      <c r="E972" t="b">
        <v>0</v>
      </c>
      <c r="F972" t="s">
        <v>11610</v>
      </c>
      <c r="L972">
        <v>0</v>
      </c>
      <c r="M972">
        <v>0</v>
      </c>
      <c r="N972">
        <v>0</v>
      </c>
    </row>
    <row r="973" spans="1:15">
      <c r="A973" t="s">
        <v>14608</v>
      </c>
      <c r="B973" t="s">
        <v>367</v>
      </c>
      <c r="C973" t="s">
        <v>14609</v>
      </c>
      <c r="D973" t="s">
        <v>14610</v>
      </c>
      <c r="E973" t="b">
        <v>0</v>
      </c>
      <c r="F973" t="s">
        <v>11624</v>
      </c>
      <c r="G973">
        <v>-3.0698400000000001</v>
      </c>
      <c r="H973">
        <v>142.12</v>
      </c>
      <c r="I973" t="s">
        <v>14611</v>
      </c>
      <c r="L973">
        <v>0</v>
      </c>
      <c r="M973">
        <v>0</v>
      </c>
      <c r="N973">
        <v>0</v>
      </c>
      <c r="O973" t="s">
        <v>11660</v>
      </c>
    </row>
    <row r="974" spans="1:15">
      <c r="A974" t="s">
        <v>14612</v>
      </c>
      <c r="B974" t="s">
        <v>367</v>
      </c>
      <c r="C974" t="s">
        <v>14613</v>
      </c>
      <c r="D974" t="s">
        <v>14614</v>
      </c>
      <c r="E974" t="b">
        <v>0</v>
      </c>
      <c r="F974" t="s">
        <v>11624</v>
      </c>
      <c r="G974">
        <v>-5.3167099999999996</v>
      </c>
      <c r="H974">
        <v>147.10300000000001</v>
      </c>
      <c r="I974" t="s">
        <v>14615</v>
      </c>
      <c r="L974">
        <v>0</v>
      </c>
      <c r="M974">
        <v>0</v>
      </c>
      <c r="N974">
        <v>2</v>
      </c>
      <c r="O974" t="s">
        <v>11660</v>
      </c>
    </row>
    <row r="975" spans="1:15">
      <c r="A975" t="s">
        <v>14616</v>
      </c>
      <c r="B975" t="s">
        <v>367</v>
      </c>
      <c r="C975" t="s">
        <v>14612</v>
      </c>
      <c r="D975" t="s">
        <v>14617</v>
      </c>
      <c r="E975" t="b">
        <v>0</v>
      </c>
      <c r="F975" t="s">
        <v>11610</v>
      </c>
      <c r="L975">
        <v>0</v>
      </c>
      <c r="M975">
        <v>0</v>
      </c>
      <c r="N975">
        <v>0</v>
      </c>
    </row>
    <row r="976" spans="1:15">
      <c r="A976" t="s">
        <v>14618</v>
      </c>
      <c r="B976" t="s">
        <v>367</v>
      </c>
      <c r="C976" t="s">
        <v>14619</v>
      </c>
      <c r="D976" t="s">
        <v>14620</v>
      </c>
      <c r="E976" t="b">
        <v>0</v>
      </c>
      <c r="F976" t="s">
        <v>11624</v>
      </c>
      <c r="G976">
        <v>-10.2441</v>
      </c>
      <c r="H976">
        <v>161.43199999999999</v>
      </c>
      <c r="I976" t="s">
        <v>14621</v>
      </c>
      <c r="L976">
        <v>0</v>
      </c>
      <c r="M976">
        <v>0</v>
      </c>
      <c r="N976">
        <v>2</v>
      </c>
      <c r="O976" t="s">
        <v>13346</v>
      </c>
    </row>
    <row r="977" spans="1:15">
      <c r="A977" t="s">
        <v>14622</v>
      </c>
      <c r="B977" t="s">
        <v>11607</v>
      </c>
      <c r="C977" t="s">
        <v>14623</v>
      </c>
      <c r="D977" t="s">
        <v>14624</v>
      </c>
      <c r="E977" t="b">
        <v>0</v>
      </c>
      <c r="F977" t="s">
        <v>11610</v>
      </c>
      <c r="L977">
        <v>0</v>
      </c>
      <c r="M977">
        <v>0</v>
      </c>
      <c r="N977">
        <v>0</v>
      </c>
    </row>
    <row r="978" spans="1:15">
      <c r="A978" t="s">
        <v>14625</v>
      </c>
      <c r="B978" t="s">
        <v>367</v>
      </c>
      <c r="C978" t="s">
        <v>14626</v>
      </c>
      <c r="D978" t="s">
        <v>14627</v>
      </c>
      <c r="E978" t="b">
        <v>0</v>
      </c>
      <c r="F978" t="s">
        <v>11624</v>
      </c>
      <c r="G978">
        <v>16.418500000000002</v>
      </c>
      <c r="H978">
        <v>121.65600000000001</v>
      </c>
      <c r="I978" t="s">
        <v>14628</v>
      </c>
      <c r="L978">
        <v>0</v>
      </c>
      <c r="M978">
        <v>0</v>
      </c>
      <c r="N978">
        <v>0</v>
      </c>
      <c r="O978" t="s">
        <v>11749</v>
      </c>
    </row>
    <row r="979" spans="1:15">
      <c r="A979" t="s">
        <v>14629</v>
      </c>
      <c r="D979" t="s">
        <v>14630</v>
      </c>
      <c r="E979" t="b">
        <v>0</v>
      </c>
      <c r="F979" t="s">
        <v>11622</v>
      </c>
      <c r="L979">
        <v>1</v>
      </c>
      <c r="M979">
        <v>16</v>
      </c>
      <c r="N979">
        <v>0</v>
      </c>
    </row>
    <row r="980" spans="1:15">
      <c r="A980" t="s">
        <v>14631</v>
      </c>
      <c r="B980" t="s">
        <v>11637</v>
      </c>
      <c r="C980" t="s">
        <v>14027</v>
      </c>
      <c r="D980" t="s">
        <v>14632</v>
      </c>
      <c r="E980" t="b">
        <v>0</v>
      </c>
      <c r="F980" t="s">
        <v>11610</v>
      </c>
      <c r="L980">
        <v>0</v>
      </c>
      <c r="M980">
        <v>0</v>
      </c>
      <c r="N980">
        <v>0</v>
      </c>
    </row>
    <row r="981" spans="1:15">
      <c r="A981" t="s">
        <v>14633</v>
      </c>
      <c r="B981" t="s">
        <v>11637</v>
      </c>
      <c r="C981" t="s">
        <v>14027</v>
      </c>
      <c r="D981" t="s">
        <v>14634</v>
      </c>
      <c r="E981" t="b">
        <v>0</v>
      </c>
      <c r="F981" t="s">
        <v>11610</v>
      </c>
      <c r="L981">
        <v>0</v>
      </c>
      <c r="M981">
        <v>0</v>
      </c>
      <c r="N981">
        <v>0</v>
      </c>
    </row>
    <row r="982" spans="1:15">
      <c r="A982" t="s">
        <v>14635</v>
      </c>
      <c r="B982" t="s">
        <v>11637</v>
      </c>
      <c r="C982" t="s">
        <v>13473</v>
      </c>
      <c r="D982" t="s">
        <v>14636</v>
      </c>
      <c r="E982" t="b">
        <v>0</v>
      </c>
      <c r="F982" t="s">
        <v>11610</v>
      </c>
      <c r="L982">
        <v>0</v>
      </c>
      <c r="M982">
        <v>0</v>
      </c>
      <c r="N982">
        <v>0</v>
      </c>
    </row>
    <row r="983" spans="1:15">
      <c r="A983" t="s">
        <v>14637</v>
      </c>
      <c r="B983" t="s">
        <v>11637</v>
      </c>
      <c r="C983" t="s">
        <v>14438</v>
      </c>
      <c r="D983" t="s">
        <v>14638</v>
      </c>
      <c r="E983" t="b">
        <v>0</v>
      </c>
      <c r="F983" t="s">
        <v>11610</v>
      </c>
      <c r="L983">
        <v>0</v>
      </c>
      <c r="M983">
        <v>0</v>
      </c>
      <c r="N983">
        <v>0</v>
      </c>
    </row>
    <row r="984" spans="1:15">
      <c r="A984" t="s">
        <v>14639</v>
      </c>
      <c r="B984" t="s">
        <v>11729</v>
      </c>
      <c r="C984" t="s">
        <v>11730</v>
      </c>
      <c r="D984" t="s">
        <v>14640</v>
      </c>
      <c r="E984" t="b">
        <v>0</v>
      </c>
      <c r="F984" t="s">
        <v>11610</v>
      </c>
      <c r="L984">
        <v>0</v>
      </c>
      <c r="M984">
        <v>0</v>
      </c>
      <c r="N984">
        <v>0</v>
      </c>
    </row>
    <row r="985" spans="1:15">
      <c r="A985" t="s">
        <v>14641</v>
      </c>
      <c r="B985" t="s">
        <v>11871</v>
      </c>
      <c r="C985" t="s">
        <v>14642</v>
      </c>
      <c r="D985" t="s">
        <v>14643</v>
      </c>
      <c r="E985" t="b">
        <v>0</v>
      </c>
      <c r="F985" t="s">
        <v>11624</v>
      </c>
      <c r="G985">
        <v>-4.2895700000000003</v>
      </c>
      <c r="H985">
        <v>144.84200000000001</v>
      </c>
      <c r="I985" t="s">
        <v>14644</v>
      </c>
      <c r="L985">
        <v>0</v>
      </c>
      <c r="M985">
        <v>0</v>
      </c>
      <c r="N985">
        <v>0</v>
      </c>
      <c r="O985" t="s">
        <v>11660</v>
      </c>
    </row>
    <row r="986" spans="1:15">
      <c r="A986" t="s">
        <v>14645</v>
      </c>
      <c r="B986" t="s">
        <v>11912</v>
      </c>
      <c r="C986" t="s">
        <v>14646</v>
      </c>
      <c r="D986" t="s">
        <v>14647</v>
      </c>
      <c r="E986" t="b">
        <v>0</v>
      </c>
      <c r="F986" t="s">
        <v>11624</v>
      </c>
      <c r="G986">
        <v>-12.118600000000001</v>
      </c>
      <c r="H986">
        <v>-62.435699999999997</v>
      </c>
      <c r="I986" t="s">
        <v>14648</v>
      </c>
      <c r="L986">
        <v>0</v>
      </c>
      <c r="M986">
        <v>0</v>
      </c>
      <c r="N986">
        <v>1</v>
      </c>
      <c r="O986" t="s">
        <v>11969</v>
      </c>
    </row>
    <row r="987" spans="1:15">
      <c r="A987" t="s">
        <v>14649</v>
      </c>
      <c r="B987" t="s">
        <v>11912</v>
      </c>
      <c r="C987" t="s">
        <v>14645</v>
      </c>
      <c r="D987" t="s">
        <v>14650</v>
      </c>
      <c r="E987" t="b">
        <v>0</v>
      </c>
      <c r="F987" t="s">
        <v>11610</v>
      </c>
      <c r="L987">
        <v>0</v>
      </c>
      <c r="M987">
        <v>0</v>
      </c>
      <c r="N987">
        <v>0</v>
      </c>
    </row>
    <row r="988" spans="1:15">
      <c r="A988" t="s">
        <v>14651</v>
      </c>
      <c r="B988" t="s">
        <v>14398</v>
      </c>
      <c r="C988" t="s">
        <v>14398</v>
      </c>
      <c r="D988" t="s">
        <v>14652</v>
      </c>
      <c r="E988" t="b">
        <v>0</v>
      </c>
      <c r="F988" t="s">
        <v>11624</v>
      </c>
      <c r="G988">
        <v>-5.5</v>
      </c>
      <c r="H988">
        <v>-67.98</v>
      </c>
      <c r="I988" t="s">
        <v>14653</v>
      </c>
      <c r="L988">
        <v>0</v>
      </c>
      <c r="M988">
        <v>0</v>
      </c>
      <c r="N988">
        <v>0</v>
      </c>
      <c r="O988" t="s">
        <v>11969</v>
      </c>
    </row>
    <row r="989" spans="1:15">
      <c r="A989" t="s">
        <v>14654</v>
      </c>
      <c r="B989" t="s">
        <v>11894</v>
      </c>
      <c r="C989" t="s">
        <v>14655</v>
      </c>
      <c r="D989" t="s">
        <v>14656</v>
      </c>
      <c r="E989" t="b">
        <v>0</v>
      </c>
      <c r="F989" t="s">
        <v>11624</v>
      </c>
      <c r="G989">
        <v>-0.60863100000000003</v>
      </c>
      <c r="H989">
        <v>-50.123291000000002</v>
      </c>
      <c r="L989">
        <v>0</v>
      </c>
      <c r="M989">
        <v>0</v>
      </c>
      <c r="N989">
        <v>0</v>
      </c>
      <c r="O989" t="s">
        <v>11969</v>
      </c>
    </row>
    <row r="990" spans="1:15">
      <c r="A990" t="s">
        <v>14657</v>
      </c>
      <c r="B990" t="s">
        <v>13360</v>
      </c>
      <c r="C990" t="s">
        <v>13360</v>
      </c>
      <c r="D990" t="s">
        <v>14658</v>
      </c>
      <c r="E990" t="b">
        <v>0</v>
      </c>
      <c r="F990" t="s">
        <v>11624</v>
      </c>
      <c r="L990">
        <v>0</v>
      </c>
      <c r="M990">
        <v>0</v>
      </c>
      <c r="N990">
        <v>0</v>
      </c>
      <c r="O990" t="s">
        <v>14659</v>
      </c>
    </row>
    <row r="991" spans="1:15">
      <c r="A991" t="s">
        <v>14660</v>
      </c>
      <c r="B991" t="s">
        <v>11834</v>
      </c>
      <c r="C991" t="s">
        <v>14661</v>
      </c>
      <c r="D991" t="s">
        <v>14662</v>
      </c>
      <c r="E991" t="b">
        <v>0</v>
      </c>
      <c r="F991" t="s">
        <v>11624</v>
      </c>
      <c r="G991">
        <v>-3.3784100000000001</v>
      </c>
      <c r="H991">
        <v>142.715</v>
      </c>
      <c r="I991" t="s">
        <v>14663</v>
      </c>
      <c r="L991">
        <v>0</v>
      </c>
      <c r="M991">
        <v>0</v>
      </c>
      <c r="N991">
        <v>0</v>
      </c>
      <c r="O991" t="s">
        <v>11660</v>
      </c>
    </row>
    <row r="992" spans="1:15">
      <c r="A992" t="s">
        <v>14664</v>
      </c>
      <c r="B992" t="s">
        <v>6742</v>
      </c>
      <c r="C992" t="s">
        <v>12059</v>
      </c>
      <c r="D992" t="s">
        <v>14665</v>
      </c>
      <c r="E992" t="b">
        <v>0</v>
      </c>
      <c r="F992" t="s">
        <v>11610</v>
      </c>
      <c r="L992">
        <v>0</v>
      </c>
      <c r="M992">
        <v>0</v>
      </c>
      <c r="N992">
        <v>0</v>
      </c>
    </row>
    <row r="993" spans="1:15">
      <c r="A993" t="s">
        <v>14666</v>
      </c>
      <c r="B993" t="s">
        <v>11729</v>
      </c>
      <c r="C993" t="s">
        <v>14667</v>
      </c>
      <c r="D993" t="s">
        <v>14668</v>
      </c>
      <c r="E993" t="b">
        <v>0</v>
      </c>
      <c r="F993" t="s">
        <v>11610</v>
      </c>
      <c r="L993">
        <v>0</v>
      </c>
      <c r="M993">
        <v>0</v>
      </c>
      <c r="N993">
        <v>0</v>
      </c>
    </row>
    <row r="994" spans="1:15">
      <c r="A994" t="s">
        <v>14669</v>
      </c>
      <c r="B994" t="s">
        <v>11839</v>
      </c>
      <c r="C994" t="s">
        <v>14670</v>
      </c>
      <c r="D994" t="s">
        <v>14671</v>
      </c>
      <c r="E994" t="b">
        <v>0</v>
      </c>
      <c r="F994" t="s">
        <v>11610</v>
      </c>
      <c r="L994">
        <v>0</v>
      </c>
      <c r="M994">
        <v>0</v>
      </c>
      <c r="N994">
        <v>0</v>
      </c>
    </row>
    <row r="995" spans="1:15">
      <c r="A995" t="s">
        <v>14672</v>
      </c>
      <c r="B995" t="s">
        <v>11834</v>
      </c>
      <c r="C995" t="s">
        <v>13493</v>
      </c>
      <c r="D995" t="s">
        <v>14673</v>
      </c>
      <c r="E995" t="b">
        <v>0</v>
      </c>
      <c r="F995" t="s">
        <v>11624</v>
      </c>
      <c r="G995">
        <v>-3.4578199999999999</v>
      </c>
      <c r="H995">
        <v>142.47800000000001</v>
      </c>
      <c r="I995" t="s">
        <v>14674</v>
      </c>
      <c r="L995">
        <v>0</v>
      </c>
      <c r="M995">
        <v>0</v>
      </c>
      <c r="N995">
        <v>0</v>
      </c>
      <c r="O995" t="s">
        <v>11660</v>
      </c>
    </row>
    <row r="996" spans="1:15">
      <c r="A996" t="s">
        <v>14675</v>
      </c>
      <c r="B996" t="s">
        <v>11912</v>
      </c>
      <c r="C996" t="s">
        <v>14676</v>
      </c>
      <c r="D996" t="s">
        <v>14677</v>
      </c>
      <c r="E996" t="b">
        <v>0</v>
      </c>
      <c r="F996" t="s">
        <v>11610</v>
      </c>
      <c r="L996">
        <v>0</v>
      </c>
      <c r="M996">
        <v>0</v>
      </c>
      <c r="N996">
        <v>0</v>
      </c>
    </row>
    <row r="997" spans="1:15">
      <c r="A997" t="s">
        <v>14678</v>
      </c>
      <c r="B997" t="s">
        <v>11637</v>
      </c>
      <c r="C997" t="s">
        <v>11825</v>
      </c>
      <c r="D997" t="s">
        <v>14679</v>
      </c>
      <c r="E997" t="b">
        <v>0</v>
      </c>
      <c r="F997" t="s">
        <v>11610</v>
      </c>
      <c r="L997">
        <v>0</v>
      </c>
      <c r="M997">
        <v>0</v>
      </c>
      <c r="N997">
        <v>0</v>
      </c>
    </row>
    <row r="998" spans="1:15">
      <c r="A998" t="s">
        <v>14680</v>
      </c>
      <c r="B998" t="s">
        <v>12241</v>
      </c>
      <c r="C998" t="s">
        <v>12241</v>
      </c>
      <c r="D998" t="s">
        <v>14681</v>
      </c>
      <c r="E998" t="b">
        <v>0</v>
      </c>
      <c r="F998" t="s">
        <v>11624</v>
      </c>
      <c r="L998">
        <v>0</v>
      </c>
      <c r="M998">
        <v>0</v>
      </c>
      <c r="N998">
        <v>0</v>
      </c>
      <c r="O998" t="s">
        <v>11635</v>
      </c>
    </row>
    <row r="999" spans="1:15">
      <c r="A999" t="s">
        <v>14682</v>
      </c>
      <c r="B999" t="s">
        <v>11757</v>
      </c>
      <c r="C999" t="s">
        <v>216</v>
      </c>
      <c r="D999" t="s">
        <v>14683</v>
      </c>
      <c r="E999" t="b">
        <v>0</v>
      </c>
      <c r="F999" t="s">
        <v>11610</v>
      </c>
      <c r="L999">
        <v>0</v>
      </c>
      <c r="M999">
        <v>0</v>
      </c>
      <c r="N999">
        <v>0</v>
      </c>
    </row>
    <row r="1000" spans="1:15">
      <c r="A1000" t="s">
        <v>14684</v>
      </c>
      <c r="B1000" t="s">
        <v>367</v>
      </c>
      <c r="C1000" t="s">
        <v>14685</v>
      </c>
      <c r="D1000" t="s">
        <v>14686</v>
      </c>
      <c r="E1000" t="b">
        <v>0</v>
      </c>
      <c r="F1000" t="s">
        <v>11610</v>
      </c>
      <c r="L1000">
        <v>0</v>
      </c>
      <c r="M1000">
        <v>0</v>
      </c>
      <c r="N1000">
        <v>0</v>
      </c>
    </row>
    <row r="1001" spans="1:15">
      <c r="A1001" t="s">
        <v>14687</v>
      </c>
      <c r="D1001" t="s">
        <v>14688</v>
      </c>
      <c r="E1001" t="b">
        <v>0</v>
      </c>
      <c r="F1001" t="s">
        <v>11624</v>
      </c>
      <c r="G1001">
        <v>4.0673594</v>
      </c>
      <c r="H1001">
        <v>-62.867611799999999</v>
      </c>
      <c r="I1001" t="s">
        <v>14689</v>
      </c>
      <c r="L1001">
        <v>0</v>
      </c>
      <c r="M1001">
        <v>0</v>
      </c>
      <c r="N1001">
        <v>0</v>
      </c>
      <c r="O1001" t="s">
        <v>14690</v>
      </c>
    </row>
    <row r="1002" spans="1:15">
      <c r="A1002" t="s">
        <v>14691</v>
      </c>
      <c r="B1002" t="s">
        <v>367</v>
      </c>
      <c r="C1002" t="s">
        <v>14692</v>
      </c>
      <c r="D1002" t="s">
        <v>14693</v>
      </c>
      <c r="E1002" t="b">
        <v>0</v>
      </c>
      <c r="F1002" t="s">
        <v>11622</v>
      </c>
      <c r="L1002">
        <v>6</v>
      </c>
      <c r="M1002">
        <v>14</v>
      </c>
      <c r="N1002">
        <v>10</v>
      </c>
    </row>
    <row r="1003" spans="1:15">
      <c r="A1003" t="s">
        <v>14694</v>
      </c>
      <c r="B1003" t="s">
        <v>11637</v>
      </c>
      <c r="C1003" t="s">
        <v>12972</v>
      </c>
      <c r="D1003" t="s">
        <v>14695</v>
      </c>
      <c r="E1003" t="b">
        <v>0</v>
      </c>
      <c r="F1003" t="s">
        <v>11624</v>
      </c>
      <c r="G1003">
        <v>38.283000000000001</v>
      </c>
      <c r="H1003">
        <v>23.3703</v>
      </c>
      <c r="I1003" t="s">
        <v>14696</v>
      </c>
      <c r="L1003">
        <v>0</v>
      </c>
      <c r="M1003">
        <v>0</v>
      </c>
      <c r="N1003">
        <v>3</v>
      </c>
      <c r="O1003" t="s">
        <v>13664</v>
      </c>
    </row>
    <row r="1004" spans="1:15">
      <c r="A1004" t="s">
        <v>14697</v>
      </c>
      <c r="B1004" t="s">
        <v>367</v>
      </c>
      <c r="C1004" t="s">
        <v>14698</v>
      </c>
      <c r="D1004" t="s">
        <v>14699</v>
      </c>
      <c r="E1004" t="b">
        <v>0</v>
      </c>
      <c r="F1004" t="s">
        <v>11610</v>
      </c>
      <c r="L1004">
        <v>0</v>
      </c>
      <c r="M1004">
        <v>0</v>
      </c>
      <c r="N1004">
        <v>0</v>
      </c>
    </row>
    <row r="1005" spans="1:15">
      <c r="A1005" t="s">
        <v>14700</v>
      </c>
      <c r="B1005" t="s">
        <v>11607</v>
      </c>
      <c r="C1005" t="s">
        <v>14701</v>
      </c>
      <c r="D1005" t="s">
        <v>14702</v>
      </c>
      <c r="E1005" t="b">
        <v>0</v>
      </c>
      <c r="F1005" t="s">
        <v>11610</v>
      </c>
      <c r="L1005">
        <v>0</v>
      </c>
      <c r="M1005">
        <v>0</v>
      </c>
      <c r="N1005">
        <v>0</v>
      </c>
    </row>
    <row r="1006" spans="1:15">
      <c r="A1006" t="s">
        <v>14703</v>
      </c>
      <c r="B1006" t="s">
        <v>11607</v>
      </c>
      <c r="C1006" t="s">
        <v>14704</v>
      </c>
      <c r="D1006" t="s">
        <v>14705</v>
      </c>
      <c r="E1006" t="b">
        <v>0</v>
      </c>
      <c r="F1006" t="s">
        <v>11610</v>
      </c>
      <c r="L1006">
        <v>0</v>
      </c>
      <c r="M1006">
        <v>0</v>
      </c>
      <c r="N1006">
        <v>0</v>
      </c>
    </row>
    <row r="1007" spans="1:15">
      <c r="A1007" t="s">
        <v>1397</v>
      </c>
      <c r="B1007" t="s">
        <v>6742</v>
      </c>
      <c r="C1007" t="s">
        <v>12833</v>
      </c>
      <c r="D1007" t="s">
        <v>14706</v>
      </c>
      <c r="E1007" t="b">
        <v>0</v>
      </c>
      <c r="F1007" t="s">
        <v>11610</v>
      </c>
      <c r="L1007">
        <v>0</v>
      </c>
      <c r="M1007">
        <v>0</v>
      </c>
      <c r="N1007">
        <v>0</v>
      </c>
    </row>
    <row r="1008" spans="1:15">
      <c r="A1008" t="s">
        <v>14707</v>
      </c>
      <c r="B1008" t="s">
        <v>12218</v>
      </c>
      <c r="C1008" t="s">
        <v>14708</v>
      </c>
      <c r="D1008" t="s">
        <v>14709</v>
      </c>
      <c r="E1008" t="b">
        <v>0</v>
      </c>
      <c r="F1008" t="s">
        <v>11610</v>
      </c>
      <c r="L1008">
        <v>0</v>
      </c>
      <c r="M1008">
        <v>0</v>
      </c>
      <c r="N1008">
        <v>0</v>
      </c>
    </row>
    <row r="1009" spans="1:15">
      <c r="A1009" t="s">
        <v>14710</v>
      </c>
      <c r="B1009" t="s">
        <v>11615</v>
      </c>
      <c r="C1009" t="s">
        <v>14711</v>
      </c>
      <c r="D1009" t="s">
        <v>14712</v>
      </c>
      <c r="E1009" t="b">
        <v>0</v>
      </c>
      <c r="F1009" t="s">
        <v>11624</v>
      </c>
      <c r="G1009">
        <v>-5.6826299999999996</v>
      </c>
      <c r="H1009">
        <v>146.50800000000001</v>
      </c>
      <c r="I1009" t="s">
        <v>14713</v>
      </c>
      <c r="L1009">
        <v>0</v>
      </c>
      <c r="M1009">
        <v>0</v>
      </c>
      <c r="N1009">
        <v>0</v>
      </c>
      <c r="O1009" t="s">
        <v>11660</v>
      </c>
    </row>
    <row r="1010" spans="1:15">
      <c r="A1010" t="s">
        <v>14714</v>
      </c>
      <c r="B1010" t="s">
        <v>11615</v>
      </c>
      <c r="C1010" t="s">
        <v>14715</v>
      </c>
      <c r="D1010" t="s">
        <v>14716</v>
      </c>
      <c r="E1010" t="b">
        <v>0</v>
      </c>
      <c r="F1010" t="s">
        <v>11610</v>
      </c>
      <c r="G1010">
        <v>-5.6934500000000003</v>
      </c>
      <c r="H1010">
        <v>145.54900000000001</v>
      </c>
      <c r="I1010" t="s">
        <v>14717</v>
      </c>
      <c r="L1010">
        <v>0</v>
      </c>
      <c r="M1010">
        <v>0</v>
      </c>
      <c r="N1010">
        <v>0</v>
      </c>
      <c r="O1010" t="s">
        <v>11660</v>
      </c>
    </row>
    <row r="1011" spans="1:15">
      <c r="A1011" t="s">
        <v>14718</v>
      </c>
      <c r="B1011" t="s">
        <v>11615</v>
      </c>
      <c r="C1011" t="s">
        <v>14719</v>
      </c>
      <c r="D1011" t="s">
        <v>14720</v>
      </c>
      <c r="E1011" t="b">
        <v>0</v>
      </c>
      <c r="F1011" t="s">
        <v>11610</v>
      </c>
      <c r="L1011">
        <v>0</v>
      </c>
      <c r="M1011">
        <v>0</v>
      </c>
      <c r="N1011">
        <v>0</v>
      </c>
    </row>
    <row r="1012" spans="1:15">
      <c r="A1012" t="s">
        <v>14721</v>
      </c>
      <c r="B1012" t="s">
        <v>6742</v>
      </c>
      <c r="C1012" t="s">
        <v>12862</v>
      </c>
      <c r="D1012" t="s">
        <v>14722</v>
      </c>
      <c r="E1012" t="b">
        <v>0</v>
      </c>
      <c r="F1012" t="s">
        <v>11610</v>
      </c>
      <c r="L1012">
        <v>0</v>
      </c>
      <c r="M1012">
        <v>0</v>
      </c>
      <c r="N1012">
        <v>0</v>
      </c>
    </row>
    <row r="1013" spans="1:15">
      <c r="A1013" t="s">
        <v>14723</v>
      </c>
      <c r="B1013" t="s">
        <v>6742</v>
      </c>
      <c r="C1013" t="s">
        <v>12811</v>
      </c>
      <c r="D1013" t="s">
        <v>14724</v>
      </c>
      <c r="E1013" t="b">
        <v>0</v>
      </c>
      <c r="F1013" t="s">
        <v>11610</v>
      </c>
      <c r="L1013">
        <v>0</v>
      </c>
      <c r="M1013">
        <v>0</v>
      </c>
      <c r="N1013">
        <v>0</v>
      </c>
    </row>
    <row r="1014" spans="1:15">
      <c r="A1014" t="s">
        <v>14725</v>
      </c>
      <c r="B1014" t="s">
        <v>6742</v>
      </c>
      <c r="C1014" t="s">
        <v>50</v>
      </c>
      <c r="D1014" t="s">
        <v>14726</v>
      </c>
      <c r="E1014" t="b">
        <v>0</v>
      </c>
      <c r="F1014" t="s">
        <v>11610</v>
      </c>
      <c r="L1014">
        <v>0</v>
      </c>
      <c r="M1014">
        <v>0</v>
      </c>
      <c r="N1014">
        <v>0</v>
      </c>
    </row>
    <row r="1015" spans="1:15">
      <c r="A1015" t="s">
        <v>14727</v>
      </c>
      <c r="B1015" t="s">
        <v>6742</v>
      </c>
      <c r="C1015" t="s">
        <v>12632</v>
      </c>
      <c r="D1015" t="s">
        <v>14728</v>
      </c>
      <c r="E1015" t="b">
        <v>0</v>
      </c>
      <c r="F1015" t="s">
        <v>11610</v>
      </c>
      <c r="L1015">
        <v>0</v>
      </c>
      <c r="M1015">
        <v>0</v>
      </c>
      <c r="N1015">
        <v>0</v>
      </c>
    </row>
    <row r="1016" spans="1:15">
      <c r="A1016" t="s">
        <v>14729</v>
      </c>
      <c r="B1016" t="s">
        <v>11637</v>
      </c>
      <c r="C1016" t="s">
        <v>14730</v>
      </c>
      <c r="D1016" t="s">
        <v>14731</v>
      </c>
      <c r="E1016" t="b">
        <v>0</v>
      </c>
      <c r="F1016" t="s">
        <v>11610</v>
      </c>
      <c r="L1016">
        <v>0</v>
      </c>
      <c r="M1016">
        <v>0</v>
      </c>
      <c r="N1016">
        <v>0</v>
      </c>
    </row>
    <row r="1017" spans="1:15">
      <c r="A1017" t="s">
        <v>14732</v>
      </c>
      <c r="B1017" t="s">
        <v>367</v>
      </c>
      <c r="C1017" t="s">
        <v>14733</v>
      </c>
      <c r="D1017" t="s">
        <v>14734</v>
      </c>
      <c r="E1017" t="b">
        <v>0</v>
      </c>
      <c r="F1017" t="s">
        <v>11610</v>
      </c>
      <c r="L1017">
        <v>0</v>
      </c>
      <c r="M1017">
        <v>0</v>
      </c>
      <c r="N1017">
        <v>0</v>
      </c>
    </row>
    <row r="1018" spans="1:15">
      <c r="A1018" t="s">
        <v>14735</v>
      </c>
      <c r="B1018" t="s">
        <v>367</v>
      </c>
      <c r="C1018" t="s">
        <v>14736</v>
      </c>
      <c r="D1018" t="s">
        <v>14737</v>
      </c>
      <c r="E1018" t="b">
        <v>0</v>
      </c>
      <c r="F1018" t="s">
        <v>11610</v>
      </c>
      <c r="L1018">
        <v>0</v>
      </c>
      <c r="M1018">
        <v>0</v>
      </c>
      <c r="N1018">
        <v>4</v>
      </c>
    </row>
    <row r="1019" spans="1:15">
      <c r="A1019" t="s">
        <v>14738</v>
      </c>
      <c r="B1019" t="s">
        <v>11894</v>
      </c>
      <c r="C1019" t="s">
        <v>14739</v>
      </c>
      <c r="D1019" t="s">
        <v>14740</v>
      </c>
      <c r="E1019" t="b">
        <v>0</v>
      </c>
      <c r="F1019" t="s">
        <v>11622</v>
      </c>
      <c r="L1019">
        <v>3</v>
      </c>
      <c r="M1019">
        <v>8</v>
      </c>
      <c r="N1019">
        <v>0</v>
      </c>
    </row>
    <row r="1020" spans="1:15">
      <c r="A1020" t="s">
        <v>14741</v>
      </c>
      <c r="B1020" t="s">
        <v>11894</v>
      </c>
      <c r="C1020" t="s">
        <v>14738</v>
      </c>
      <c r="D1020" t="s">
        <v>14742</v>
      </c>
      <c r="E1020" t="b">
        <v>0</v>
      </c>
      <c r="F1020" t="s">
        <v>11622</v>
      </c>
      <c r="L1020">
        <v>2</v>
      </c>
      <c r="M1020">
        <v>7</v>
      </c>
      <c r="N1020">
        <v>0</v>
      </c>
    </row>
    <row r="1021" spans="1:15">
      <c r="A1021" t="s">
        <v>1714</v>
      </c>
      <c r="B1021" t="s">
        <v>11894</v>
      </c>
      <c r="C1021" t="s">
        <v>14741</v>
      </c>
      <c r="D1021" t="s">
        <v>14743</v>
      </c>
      <c r="E1021" t="b">
        <v>0</v>
      </c>
      <c r="F1021" t="s">
        <v>11624</v>
      </c>
      <c r="G1021">
        <v>-11.931100000000001</v>
      </c>
      <c r="H1021">
        <v>-73.907300000000006</v>
      </c>
      <c r="I1021" t="s">
        <v>14744</v>
      </c>
      <c r="L1021">
        <v>0</v>
      </c>
      <c r="M1021">
        <v>0</v>
      </c>
      <c r="N1021">
        <v>0</v>
      </c>
      <c r="O1021" t="s">
        <v>11778</v>
      </c>
    </row>
    <row r="1022" spans="1:15">
      <c r="A1022" t="s">
        <v>14739</v>
      </c>
      <c r="B1022" t="s">
        <v>11894</v>
      </c>
      <c r="C1022" t="s">
        <v>14745</v>
      </c>
      <c r="D1022" t="s">
        <v>14746</v>
      </c>
      <c r="E1022" t="b">
        <v>0</v>
      </c>
      <c r="F1022" t="s">
        <v>11622</v>
      </c>
      <c r="L1022">
        <v>5</v>
      </c>
      <c r="M1022">
        <v>10</v>
      </c>
      <c r="N1022">
        <v>0</v>
      </c>
    </row>
    <row r="1023" spans="1:15">
      <c r="A1023" t="s">
        <v>14747</v>
      </c>
      <c r="B1023" t="s">
        <v>6742</v>
      </c>
      <c r="C1023" t="s">
        <v>14748</v>
      </c>
      <c r="D1023" t="s">
        <v>14749</v>
      </c>
      <c r="E1023" t="b">
        <v>0</v>
      </c>
      <c r="F1023" t="s">
        <v>11624</v>
      </c>
      <c r="G1023">
        <v>9.3657400000000006</v>
      </c>
      <c r="H1023">
        <v>7.3944299999999998</v>
      </c>
      <c r="I1023" t="s">
        <v>14750</v>
      </c>
      <c r="L1023">
        <v>0</v>
      </c>
      <c r="M1023">
        <v>0</v>
      </c>
      <c r="N1023">
        <v>0</v>
      </c>
      <c r="O1023" t="s">
        <v>11693</v>
      </c>
    </row>
    <row r="1024" spans="1:15">
      <c r="A1024" t="s">
        <v>14751</v>
      </c>
      <c r="B1024" t="s">
        <v>6742</v>
      </c>
      <c r="C1024" t="s">
        <v>12285</v>
      </c>
      <c r="D1024" t="s">
        <v>14752</v>
      </c>
      <c r="E1024" t="b">
        <v>0</v>
      </c>
      <c r="F1024" t="s">
        <v>11610</v>
      </c>
      <c r="L1024">
        <v>0</v>
      </c>
      <c r="M1024">
        <v>0</v>
      </c>
      <c r="N1024">
        <v>0</v>
      </c>
    </row>
    <row r="1025" spans="1:15">
      <c r="A1025" t="s">
        <v>12643</v>
      </c>
      <c r="B1025" t="s">
        <v>11894</v>
      </c>
      <c r="C1025" t="s">
        <v>14741</v>
      </c>
      <c r="D1025" t="s">
        <v>14753</v>
      </c>
      <c r="E1025" t="b">
        <v>0</v>
      </c>
      <c r="F1025" t="s">
        <v>11622</v>
      </c>
      <c r="L1025">
        <v>0</v>
      </c>
      <c r="M1025">
        <v>4</v>
      </c>
      <c r="N1025">
        <v>0</v>
      </c>
    </row>
    <row r="1026" spans="1:15">
      <c r="A1026" t="s">
        <v>14754</v>
      </c>
      <c r="B1026" t="s">
        <v>11894</v>
      </c>
      <c r="C1026" t="s">
        <v>12643</v>
      </c>
      <c r="D1026" t="s">
        <v>14755</v>
      </c>
      <c r="E1026" t="b">
        <v>0</v>
      </c>
      <c r="F1026" t="s">
        <v>11624</v>
      </c>
      <c r="G1026">
        <v>-10.9777</v>
      </c>
      <c r="H1026">
        <v>-74.915300000000002</v>
      </c>
      <c r="I1026" t="s">
        <v>14756</v>
      </c>
      <c r="L1026">
        <v>0</v>
      </c>
      <c r="M1026">
        <v>0</v>
      </c>
      <c r="N1026">
        <v>0</v>
      </c>
      <c r="O1026" t="s">
        <v>11778</v>
      </c>
    </row>
    <row r="1027" spans="1:15">
      <c r="A1027" t="s">
        <v>14757</v>
      </c>
      <c r="B1027" t="s">
        <v>11894</v>
      </c>
      <c r="C1027" t="s">
        <v>14758</v>
      </c>
      <c r="D1027" t="s">
        <v>14759</v>
      </c>
      <c r="E1027" t="b">
        <v>0</v>
      </c>
      <c r="F1027" t="s">
        <v>11624</v>
      </c>
      <c r="G1027">
        <v>-10.7583</v>
      </c>
      <c r="H1027">
        <v>-74.201400000000007</v>
      </c>
      <c r="I1027" t="s">
        <v>14760</v>
      </c>
      <c r="L1027">
        <v>0</v>
      </c>
      <c r="M1027">
        <v>0</v>
      </c>
      <c r="N1027">
        <v>0</v>
      </c>
      <c r="O1027" t="s">
        <v>11778</v>
      </c>
    </row>
    <row r="1028" spans="1:15">
      <c r="A1028" t="s">
        <v>14758</v>
      </c>
      <c r="B1028" t="s">
        <v>11894</v>
      </c>
      <c r="C1028" t="s">
        <v>14741</v>
      </c>
      <c r="D1028" t="s">
        <v>14761</v>
      </c>
      <c r="E1028" t="b">
        <v>0</v>
      </c>
      <c r="F1028" t="s">
        <v>11622</v>
      </c>
      <c r="L1028">
        <v>0</v>
      </c>
      <c r="M1028">
        <v>2</v>
      </c>
      <c r="N1028">
        <v>0</v>
      </c>
    </row>
    <row r="1029" spans="1:15">
      <c r="A1029" t="s">
        <v>14762</v>
      </c>
      <c r="B1029" t="s">
        <v>11637</v>
      </c>
      <c r="C1029" t="s">
        <v>12824</v>
      </c>
      <c r="D1029" t="s">
        <v>14763</v>
      </c>
      <c r="E1029" t="b">
        <v>0</v>
      </c>
      <c r="F1029" t="s">
        <v>11610</v>
      </c>
      <c r="L1029">
        <v>0</v>
      </c>
      <c r="M1029">
        <v>0</v>
      </c>
      <c r="N1029">
        <v>0</v>
      </c>
    </row>
    <row r="1030" spans="1:15">
      <c r="A1030" t="s">
        <v>14764</v>
      </c>
      <c r="B1030" t="s">
        <v>11644</v>
      </c>
      <c r="C1030" t="s">
        <v>14765</v>
      </c>
      <c r="D1030" t="s">
        <v>14766</v>
      </c>
      <c r="E1030" t="b">
        <v>0</v>
      </c>
      <c r="F1030" t="s">
        <v>11610</v>
      </c>
      <c r="L1030">
        <v>0</v>
      </c>
      <c r="M1030">
        <v>0</v>
      </c>
      <c r="N1030">
        <v>0</v>
      </c>
    </row>
    <row r="1031" spans="1:15">
      <c r="A1031" t="s">
        <v>14767</v>
      </c>
      <c r="B1031" t="s">
        <v>11637</v>
      </c>
      <c r="C1031" t="s">
        <v>14365</v>
      </c>
      <c r="D1031" t="s">
        <v>14768</v>
      </c>
      <c r="E1031" t="b">
        <v>0</v>
      </c>
      <c r="F1031" t="s">
        <v>11610</v>
      </c>
      <c r="L1031">
        <v>0</v>
      </c>
      <c r="M1031">
        <v>0</v>
      </c>
      <c r="N1031">
        <v>0</v>
      </c>
    </row>
    <row r="1032" spans="1:15">
      <c r="A1032" t="s">
        <v>14769</v>
      </c>
      <c r="B1032" t="s">
        <v>11637</v>
      </c>
      <c r="C1032" t="s">
        <v>14770</v>
      </c>
      <c r="D1032" t="s">
        <v>14771</v>
      </c>
      <c r="E1032" t="b">
        <v>0</v>
      </c>
      <c r="F1032" t="s">
        <v>11624</v>
      </c>
      <c r="G1032">
        <v>34.842770000000002</v>
      </c>
      <c r="H1032">
        <v>70.374529999999993</v>
      </c>
      <c r="I1032" t="s">
        <v>14772</v>
      </c>
      <c r="L1032">
        <v>0</v>
      </c>
      <c r="M1032">
        <v>0</v>
      </c>
      <c r="N1032">
        <v>3</v>
      </c>
      <c r="O1032" t="s">
        <v>12131</v>
      </c>
    </row>
    <row r="1033" spans="1:15">
      <c r="A1033" t="s">
        <v>14773</v>
      </c>
      <c r="B1033" t="s">
        <v>11653</v>
      </c>
      <c r="C1033" t="s">
        <v>11714</v>
      </c>
      <c r="D1033" t="s">
        <v>14774</v>
      </c>
      <c r="E1033" t="b">
        <v>0</v>
      </c>
      <c r="F1033" t="s">
        <v>11610</v>
      </c>
      <c r="L1033">
        <v>0</v>
      </c>
      <c r="M1033">
        <v>0</v>
      </c>
      <c r="N1033">
        <v>0</v>
      </c>
    </row>
    <row r="1034" spans="1:15">
      <c r="A1034" t="s">
        <v>14775</v>
      </c>
      <c r="B1034" t="s">
        <v>11644</v>
      </c>
      <c r="C1034" t="s">
        <v>14776</v>
      </c>
      <c r="D1034" t="s">
        <v>14777</v>
      </c>
      <c r="E1034" t="b">
        <v>0</v>
      </c>
      <c r="F1034" t="s">
        <v>11624</v>
      </c>
      <c r="G1034">
        <v>21.393000000000001</v>
      </c>
      <c r="H1034">
        <v>93.506900000000002</v>
      </c>
      <c r="I1034" t="s">
        <v>14778</v>
      </c>
      <c r="L1034">
        <v>0</v>
      </c>
      <c r="M1034">
        <v>0</v>
      </c>
      <c r="N1034">
        <v>7</v>
      </c>
      <c r="O1034" t="s">
        <v>14779</v>
      </c>
    </row>
    <row r="1035" spans="1:15">
      <c r="A1035" t="s">
        <v>14776</v>
      </c>
      <c r="B1035" t="s">
        <v>11644</v>
      </c>
      <c r="C1035" t="s">
        <v>14780</v>
      </c>
      <c r="D1035" t="s">
        <v>14781</v>
      </c>
      <c r="E1035" t="b">
        <v>0</v>
      </c>
      <c r="F1035" t="s">
        <v>11622</v>
      </c>
      <c r="L1035">
        <v>0</v>
      </c>
      <c r="M1035">
        <v>2</v>
      </c>
      <c r="N1035">
        <v>7</v>
      </c>
    </row>
    <row r="1036" spans="1:15">
      <c r="A1036" t="s">
        <v>14782</v>
      </c>
      <c r="B1036" t="s">
        <v>11637</v>
      </c>
      <c r="C1036" t="s">
        <v>14783</v>
      </c>
      <c r="D1036" t="s">
        <v>14784</v>
      </c>
      <c r="E1036" t="b">
        <v>0</v>
      </c>
      <c r="F1036" t="s">
        <v>11610</v>
      </c>
      <c r="L1036">
        <v>0</v>
      </c>
      <c r="M1036">
        <v>0</v>
      </c>
      <c r="N1036">
        <v>0</v>
      </c>
    </row>
    <row r="1037" spans="1:15">
      <c r="A1037" t="s">
        <v>14785</v>
      </c>
      <c r="B1037" t="s">
        <v>11637</v>
      </c>
      <c r="C1037" t="s">
        <v>14786</v>
      </c>
      <c r="D1037" t="s">
        <v>14787</v>
      </c>
      <c r="E1037" t="b">
        <v>0</v>
      </c>
      <c r="F1037" t="s">
        <v>11624</v>
      </c>
      <c r="G1037">
        <v>37.746899999999997</v>
      </c>
      <c r="H1037">
        <v>48.680799999999998</v>
      </c>
      <c r="I1037" t="s">
        <v>14788</v>
      </c>
      <c r="L1037">
        <v>0</v>
      </c>
      <c r="M1037">
        <v>0</v>
      </c>
      <c r="N1037">
        <v>2</v>
      </c>
      <c r="O1037" t="s">
        <v>13225</v>
      </c>
    </row>
    <row r="1038" spans="1:15">
      <c r="A1038" t="s">
        <v>14789</v>
      </c>
      <c r="B1038" t="s">
        <v>12311</v>
      </c>
      <c r="C1038" t="s">
        <v>14790</v>
      </c>
      <c r="D1038" t="s">
        <v>14791</v>
      </c>
      <c r="E1038" t="b">
        <v>0</v>
      </c>
      <c r="F1038" t="s">
        <v>11610</v>
      </c>
      <c r="L1038">
        <v>0</v>
      </c>
      <c r="M1038">
        <v>0</v>
      </c>
      <c r="N1038">
        <v>0</v>
      </c>
    </row>
    <row r="1039" spans="1:15">
      <c r="A1039" t="s">
        <v>14792</v>
      </c>
      <c r="B1039" t="s">
        <v>11637</v>
      </c>
      <c r="C1039" t="s">
        <v>14769</v>
      </c>
      <c r="D1039" t="s">
        <v>14793</v>
      </c>
      <c r="E1039" t="b">
        <v>0</v>
      </c>
      <c r="F1039" t="s">
        <v>11610</v>
      </c>
      <c r="L1039">
        <v>0</v>
      </c>
      <c r="M1039">
        <v>0</v>
      </c>
      <c r="N1039">
        <v>0</v>
      </c>
    </row>
    <row r="1040" spans="1:15">
      <c r="A1040" t="s">
        <v>14794</v>
      </c>
      <c r="B1040" t="s">
        <v>6742</v>
      </c>
      <c r="C1040" t="s">
        <v>14795</v>
      </c>
      <c r="D1040" t="s">
        <v>14796</v>
      </c>
      <c r="E1040" t="b">
        <v>0</v>
      </c>
      <c r="F1040" t="s">
        <v>11610</v>
      </c>
      <c r="L1040">
        <v>0</v>
      </c>
      <c r="M1040">
        <v>0</v>
      </c>
      <c r="N1040">
        <v>0</v>
      </c>
    </row>
    <row r="1041" spans="1:15">
      <c r="A1041" t="s">
        <v>14797</v>
      </c>
      <c r="B1041" t="s">
        <v>14798</v>
      </c>
      <c r="C1041" t="s">
        <v>14799</v>
      </c>
      <c r="D1041" t="s">
        <v>14800</v>
      </c>
      <c r="E1041" t="b">
        <v>0</v>
      </c>
      <c r="F1041" t="s">
        <v>11610</v>
      </c>
      <c r="L1041">
        <v>0</v>
      </c>
      <c r="M1041">
        <v>0</v>
      </c>
      <c r="N1041">
        <v>0</v>
      </c>
    </row>
    <row r="1042" spans="1:15">
      <c r="A1042" t="s">
        <v>12777</v>
      </c>
      <c r="B1042" t="s">
        <v>11637</v>
      </c>
      <c r="C1042" t="s">
        <v>14027</v>
      </c>
      <c r="D1042" t="s">
        <v>14801</v>
      </c>
      <c r="E1042" t="b">
        <v>0</v>
      </c>
      <c r="F1042" t="s">
        <v>11610</v>
      </c>
      <c r="L1042">
        <v>0</v>
      </c>
      <c r="M1042">
        <v>0</v>
      </c>
      <c r="N1042">
        <v>22</v>
      </c>
    </row>
    <row r="1043" spans="1:15">
      <c r="A1043" t="s">
        <v>14802</v>
      </c>
      <c r="B1043" t="s">
        <v>11844</v>
      </c>
      <c r="C1043" t="s">
        <v>14803</v>
      </c>
      <c r="D1043" t="s">
        <v>14804</v>
      </c>
      <c r="E1043" t="b">
        <v>0</v>
      </c>
      <c r="F1043" t="s">
        <v>11610</v>
      </c>
      <c r="L1043">
        <v>0</v>
      </c>
      <c r="M1043">
        <v>0</v>
      </c>
      <c r="N1043">
        <v>0</v>
      </c>
    </row>
    <row r="1044" spans="1:15">
      <c r="A1044" t="s">
        <v>14805</v>
      </c>
      <c r="B1044" t="s">
        <v>367</v>
      </c>
      <c r="C1044" t="s">
        <v>14806</v>
      </c>
      <c r="D1044" t="s">
        <v>14807</v>
      </c>
      <c r="E1044" t="b">
        <v>0</v>
      </c>
      <c r="F1044" t="s">
        <v>11624</v>
      </c>
      <c r="G1044">
        <v>-3.6730200000000002</v>
      </c>
      <c r="H1044">
        <v>127.952</v>
      </c>
      <c r="I1044" t="s">
        <v>14808</v>
      </c>
      <c r="L1044">
        <v>0</v>
      </c>
      <c r="M1044">
        <v>0</v>
      </c>
      <c r="N1044">
        <v>3</v>
      </c>
      <c r="O1044" t="s">
        <v>11768</v>
      </c>
    </row>
    <row r="1045" spans="1:15">
      <c r="A1045" t="s">
        <v>14809</v>
      </c>
      <c r="B1045" t="s">
        <v>12575</v>
      </c>
      <c r="C1045" t="s">
        <v>14810</v>
      </c>
      <c r="D1045" t="s">
        <v>14811</v>
      </c>
      <c r="E1045" t="b">
        <v>0</v>
      </c>
      <c r="F1045" t="s">
        <v>11624</v>
      </c>
      <c r="G1045">
        <v>-6.22539</v>
      </c>
      <c r="H1045">
        <v>155.30699999999999</v>
      </c>
      <c r="I1045" t="s">
        <v>14812</v>
      </c>
      <c r="L1045">
        <v>0</v>
      </c>
      <c r="M1045">
        <v>0</v>
      </c>
      <c r="N1045">
        <v>0</v>
      </c>
      <c r="O1045" t="s">
        <v>11660</v>
      </c>
    </row>
    <row r="1046" spans="1:15">
      <c r="A1046" t="s">
        <v>14813</v>
      </c>
      <c r="B1046" t="s">
        <v>11637</v>
      </c>
      <c r="C1046" t="s">
        <v>12777</v>
      </c>
      <c r="D1046" t="s">
        <v>14814</v>
      </c>
      <c r="E1046" t="b">
        <v>0</v>
      </c>
      <c r="F1046" t="s">
        <v>11610</v>
      </c>
      <c r="L1046">
        <v>0</v>
      </c>
      <c r="M1046">
        <v>0</v>
      </c>
      <c r="N1046">
        <v>0</v>
      </c>
    </row>
    <row r="1047" spans="1:15">
      <c r="A1047" t="s">
        <v>14815</v>
      </c>
      <c r="B1047" t="s">
        <v>12438</v>
      </c>
      <c r="C1047" t="s">
        <v>12438</v>
      </c>
      <c r="D1047" t="s">
        <v>14816</v>
      </c>
      <c r="E1047" t="b">
        <v>0</v>
      </c>
      <c r="F1047" t="s">
        <v>11622</v>
      </c>
      <c r="L1047">
        <v>12</v>
      </c>
      <c r="M1047">
        <v>19</v>
      </c>
      <c r="N1047">
        <v>49</v>
      </c>
    </row>
    <row r="1048" spans="1:15">
      <c r="A1048" t="s">
        <v>13456</v>
      </c>
      <c r="B1048" t="s">
        <v>11981</v>
      </c>
      <c r="C1048" t="s">
        <v>13026</v>
      </c>
      <c r="D1048" t="s">
        <v>14817</v>
      </c>
      <c r="E1048" t="b">
        <v>0</v>
      </c>
      <c r="F1048" t="s">
        <v>11622</v>
      </c>
      <c r="L1048">
        <v>7</v>
      </c>
      <c r="M1048">
        <v>29</v>
      </c>
      <c r="N1048">
        <v>0</v>
      </c>
    </row>
    <row r="1049" spans="1:15">
      <c r="A1049" t="s">
        <v>14818</v>
      </c>
      <c r="B1049" t="s">
        <v>11615</v>
      </c>
      <c r="C1049" t="s">
        <v>14819</v>
      </c>
      <c r="D1049" t="s">
        <v>14820</v>
      </c>
      <c r="E1049" t="b">
        <v>0</v>
      </c>
      <c r="F1049" t="s">
        <v>11622</v>
      </c>
      <c r="L1049">
        <v>4</v>
      </c>
      <c r="M1049">
        <v>11</v>
      </c>
      <c r="N1049">
        <v>15</v>
      </c>
    </row>
    <row r="1050" spans="1:15">
      <c r="A1050" t="s">
        <v>5648</v>
      </c>
      <c r="B1050" t="s">
        <v>11615</v>
      </c>
      <c r="C1050" t="s">
        <v>14818</v>
      </c>
      <c r="D1050" t="s">
        <v>14821</v>
      </c>
      <c r="E1050" t="b">
        <v>0</v>
      </c>
      <c r="F1050" t="s">
        <v>11622</v>
      </c>
      <c r="L1050">
        <v>2</v>
      </c>
      <c r="M1050">
        <v>7</v>
      </c>
      <c r="N1050">
        <v>12</v>
      </c>
    </row>
    <row r="1051" spans="1:15">
      <c r="A1051" t="s">
        <v>7013</v>
      </c>
      <c r="B1051" t="s">
        <v>11729</v>
      </c>
      <c r="C1051" t="s">
        <v>14822</v>
      </c>
      <c r="D1051" t="s">
        <v>14823</v>
      </c>
      <c r="E1051" t="b">
        <v>0</v>
      </c>
      <c r="F1051" t="s">
        <v>11624</v>
      </c>
      <c r="G1051">
        <v>2.2681800000000001</v>
      </c>
      <c r="H1051">
        <v>26.719799999999999</v>
      </c>
      <c r="I1051" t="s">
        <v>14824</v>
      </c>
      <c r="L1051">
        <v>0</v>
      </c>
      <c r="M1051">
        <v>0</v>
      </c>
      <c r="N1051">
        <v>0</v>
      </c>
      <c r="O1051" t="s">
        <v>14825</v>
      </c>
    </row>
    <row r="1052" spans="1:15">
      <c r="A1052" t="s">
        <v>14826</v>
      </c>
      <c r="B1052" t="s">
        <v>11644</v>
      </c>
      <c r="C1052" t="s">
        <v>12728</v>
      </c>
      <c r="D1052" t="s">
        <v>14827</v>
      </c>
      <c r="E1052" t="b">
        <v>0</v>
      </c>
      <c r="F1052" t="s">
        <v>11610</v>
      </c>
      <c r="L1052">
        <v>0</v>
      </c>
      <c r="M1052">
        <v>0</v>
      </c>
      <c r="N1052">
        <v>0</v>
      </c>
    </row>
    <row r="1053" spans="1:15">
      <c r="A1053" t="s">
        <v>14828</v>
      </c>
      <c r="B1053" t="s">
        <v>6742</v>
      </c>
      <c r="C1053" t="s">
        <v>14829</v>
      </c>
      <c r="D1053" t="s">
        <v>14830</v>
      </c>
      <c r="E1053" t="b">
        <v>0</v>
      </c>
      <c r="F1053" t="s">
        <v>11610</v>
      </c>
      <c r="L1053">
        <v>0</v>
      </c>
      <c r="M1053">
        <v>0</v>
      </c>
      <c r="N1053">
        <v>0</v>
      </c>
    </row>
    <row r="1054" spans="1:15">
      <c r="A1054" t="s">
        <v>14831</v>
      </c>
      <c r="B1054" t="s">
        <v>6742</v>
      </c>
      <c r="C1054" t="s">
        <v>14832</v>
      </c>
      <c r="D1054" t="s">
        <v>14833</v>
      </c>
      <c r="E1054" t="b">
        <v>0</v>
      </c>
      <c r="F1054" t="s">
        <v>11610</v>
      </c>
      <c r="L1054">
        <v>0</v>
      </c>
      <c r="M1054">
        <v>0</v>
      </c>
      <c r="N1054">
        <v>0</v>
      </c>
    </row>
    <row r="1055" spans="1:15">
      <c r="A1055" t="s">
        <v>14834</v>
      </c>
      <c r="B1055" t="s">
        <v>11637</v>
      </c>
      <c r="C1055" t="s">
        <v>14207</v>
      </c>
      <c r="D1055" t="s">
        <v>14835</v>
      </c>
      <c r="E1055" t="b">
        <v>0</v>
      </c>
      <c r="F1055" t="s">
        <v>11610</v>
      </c>
      <c r="L1055">
        <v>0</v>
      </c>
      <c r="M1055">
        <v>0</v>
      </c>
      <c r="N1055">
        <v>0</v>
      </c>
    </row>
    <row r="1056" spans="1:15">
      <c r="A1056" t="s">
        <v>14836</v>
      </c>
      <c r="B1056" t="s">
        <v>11637</v>
      </c>
      <c r="C1056" t="s">
        <v>14837</v>
      </c>
      <c r="D1056" t="s">
        <v>14838</v>
      </c>
      <c r="E1056" t="b">
        <v>0</v>
      </c>
      <c r="F1056" t="s">
        <v>11622</v>
      </c>
      <c r="L1056">
        <v>0</v>
      </c>
      <c r="M1056">
        <v>2</v>
      </c>
      <c r="N1056">
        <v>4</v>
      </c>
    </row>
    <row r="1057" spans="1:15">
      <c r="A1057" t="s">
        <v>14839</v>
      </c>
      <c r="B1057" t="s">
        <v>11637</v>
      </c>
      <c r="C1057" t="s">
        <v>14836</v>
      </c>
      <c r="D1057" t="s">
        <v>14840</v>
      </c>
      <c r="E1057" t="b">
        <v>0</v>
      </c>
      <c r="F1057" t="s">
        <v>11624</v>
      </c>
      <c r="G1057">
        <v>26.087599999999998</v>
      </c>
      <c r="H1057">
        <v>91.293199999999999</v>
      </c>
      <c r="I1057" t="s">
        <v>14841</v>
      </c>
      <c r="L1057">
        <v>0</v>
      </c>
      <c r="M1057">
        <v>0</v>
      </c>
      <c r="N1057">
        <v>4</v>
      </c>
      <c r="O1057" t="s">
        <v>14842</v>
      </c>
    </row>
    <row r="1058" spans="1:15">
      <c r="A1058" t="s">
        <v>12579</v>
      </c>
      <c r="B1058" t="s">
        <v>5126</v>
      </c>
      <c r="C1058" t="s">
        <v>14843</v>
      </c>
      <c r="D1058" t="s">
        <v>14844</v>
      </c>
      <c r="E1058" t="b">
        <v>0</v>
      </c>
      <c r="F1058" t="s">
        <v>11622</v>
      </c>
      <c r="L1058">
        <v>0</v>
      </c>
      <c r="M1058">
        <v>5</v>
      </c>
      <c r="N1058">
        <v>3</v>
      </c>
    </row>
    <row r="1059" spans="1:15">
      <c r="A1059" t="s">
        <v>14845</v>
      </c>
      <c r="B1059" t="s">
        <v>5126</v>
      </c>
      <c r="C1059" t="s">
        <v>14846</v>
      </c>
      <c r="D1059" t="s">
        <v>14847</v>
      </c>
      <c r="E1059" t="b">
        <v>0</v>
      </c>
      <c r="F1059" t="s">
        <v>11610</v>
      </c>
      <c r="L1059">
        <v>0</v>
      </c>
      <c r="M1059">
        <v>0</v>
      </c>
      <c r="N1059">
        <v>0</v>
      </c>
    </row>
    <row r="1060" spans="1:15">
      <c r="A1060" t="s">
        <v>14848</v>
      </c>
      <c r="B1060" t="s">
        <v>11627</v>
      </c>
      <c r="C1060" t="s">
        <v>11627</v>
      </c>
      <c r="D1060" t="s">
        <v>14849</v>
      </c>
      <c r="E1060" t="b">
        <v>1</v>
      </c>
      <c r="F1060" t="s">
        <v>11624</v>
      </c>
      <c r="G1060">
        <v>56</v>
      </c>
      <c r="H1060">
        <v>94</v>
      </c>
      <c r="I1060" t="s">
        <v>14850</v>
      </c>
      <c r="L1060">
        <v>0</v>
      </c>
      <c r="M1060">
        <v>0</v>
      </c>
      <c r="N1060">
        <v>0</v>
      </c>
      <c r="O1060" t="s">
        <v>12748</v>
      </c>
    </row>
    <row r="1061" spans="1:15">
      <c r="A1061" t="s">
        <v>14851</v>
      </c>
      <c r="B1061" t="s">
        <v>6742</v>
      </c>
      <c r="C1061" t="s">
        <v>12409</v>
      </c>
      <c r="D1061" t="s">
        <v>14852</v>
      </c>
      <c r="E1061" t="b">
        <v>0</v>
      </c>
      <c r="F1061" t="s">
        <v>11610</v>
      </c>
      <c r="L1061">
        <v>0</v>
      </c>
      <c r="M1061">
        <v>0</v>
      </c>
      <c r="N1061">
        <v>0</v>
      </c>
    </row>
    <row r="1062" spans="1:15">
      <c r="A1062" t="s">
        <v>14853</v>
      </c>
      <c r="B1062" t="s">
        <v>6742</v>
      </c>
      <c r="C1062" t="s">
        <v>14854</v>
      </c>
      <c r="D1062" t="s">
        <v>14855</v>
      </c>
      <c r="E1062" t="b">
        <v>0</v>
      </c>
      <c r="F1062" t="s">
        <v>11610</v>
      </c>
      <c r="L1062">
        <v>0</v>
      </c>
      <c r="M1062">
        <v>0</v>
      </c>
      <c r="N1062">
        <v>0</v>
      </c>
    </row>
    <row r="1063" spans="1:15">
      <c r="A1063" t="s">
        <v>14856</v>
      </c>
      <c r="B1063" t="s">
        <v>11810</v>
      </c>
      <c r="C1063" t="s">
        <v>14857</v>
      </c>
      <c r="D1063" t="s">
        <v>14858</v>
      </c>
      <c r="E1063" t="b">
        <v>0</v>
      </c>
      <c r="F1063" t="s">
        <v>11624</v>
      </c>
      <c r="G1063">
        <v>13.959199999999999</v>
      </c>
      <c r="H1063">
        <v>22.639299999999999</v>
      </c>
      <c r="I1063" t="s">
        <v>14859</v>
      </c>
      <c r="L1063">
        <v>0</v>
      </c>
      <c r="M1063">
        <v>0</v>
      </c>
      <c r="N1063">
        <v>6</v>
      </c>
      <c r="O1063" t="s">
        <v>13421</v>
      </c>
    </row>
    <row r="1064" spans="1:15">
      <c r="A1064" t="s">
        <v>14860</v>
      </c>
      <c r="B1064" t="s">
        <v>13450</v>
      </c>
      <c r="C1064" t="s">
        <v>13450</v>
      </c>
      <c r="D1064" t="s">
        <v>14861</v>
      </c>
      <c r="E1064" t="b">
        <v>0</v>
      </c>
      <c r="F1064" t="s">
        <v>11622</v>
      </c>
      <c r="L1064">
        <v>0</v>
      </c>
      <c r="M1064">
        <v>1</v>
      </c>
      <c r="N1064">
        <v>0</v>
      </c>
    </row>
    <row r="1065" spans="1:15">
      <c r="A1065" t="s">
        <v>14862</v>
      </c>
      <c r="B1065" t="s">
        <v>11607</v>
      </c>
      <c r="C1065" t="s">
        <v>14863</v>
      </c>
      <c r="D1065" t="s">
        <v>14864</v>
      </c>
      <c r="E1065" t="b">
        <v>0</v>
      </c>
      <c r="F1065" t="s">
        <v>11610</v>
      </c>
      <c r="L1065">
        <v>0</v>
      </c>
      <c r="M1065">
        <v>0</v>
      </c>
      <c r="N1065">
        <v>0</v>
      </c>
    </row>
    <row r="1066" spans="1:15">
      <c r="A1066" t="s">
        <v>14865</v>
      </c>
      <c r="B1066" t="s">
        <v>367</v>
      </c>
      <c r="C1066" t="s">
        <v>14866</v>
      </c>
      <c r="D1066" t="s">
        <v>14867</v>
      </c>
      <c r="E1066" t="b">
        <v>0</v>
      </c>
      <c r="F1066" t="s">
        <v>11610</v>
      </c>
      <c r="L1066">
        <v>0</v>
      </c>
      <c r="M1066">
        <v>0</v>
      </c>
      <c r="N1066">
        <v>0</v>
      </c>
    </row>
    <row r="1067" spans="1:15">
      <c r="A1067" t="s">
        <v>14868</v>
      </c>
      <c r="B1067" t="s">
        <v>11637</v>
      </c>
      <c r="C1067" t="s">
        <v>14869</v>
      </c>
      <c r="D1067" t="s">
        <v>14870</v>
      </c>
      <c r="E1067" t="b">
        <v>0</v>
      </c>
      <c r="F1067" t="s">
        <v>11610</v>
      </c>
      <c r="L1067">
        <v>0</v>
      </c>
      <c r="M1067">
        <v>0</v>
      </c>
      <c r="N1067">
        <v>0</v>
      </c>
    </row>
    <row r="1068" spans="1:15">
      <c r="A1068" t="s">
        <v>14871</v>
      </c>
      <c r="B1068" t="s">
        <v>8897</v>
      </c>
      <c r="C1068" t="s">
        <v>14872</v>
      </c>
      <c r="D1068" t="s">
        <v>14873</v>
      </c>
      <c r="E1068" t="b">
        <v>0</v>
      </c>
      <c r="F1068" t="s">
        <v>11624</v>
      </c>
      <c r="G1068">
        <v>49.292299999999997</v>
      </c>
      <c r="H1068">
        <v>-106.068</v>
      </c>
      <c r="I1068" t="s">
        <v>14874</v>
      </c>
      <c r="L1068">
        <v>0</v>
      </c>
      <c r="M1068">
        <v>0</v>
      </c>
      <c r="N1068">
        <v>0</v>
      </c>
      <c r="O1068" t="s">
        <v>14875</v>
      </c>
    </row>
    <row r="1069" spans="1:15">
      <c r="A1069" t="s">
        <v>14876</v>
      </c>
      <c r="B1069" t="s">
        <v>367</v>
      </c>
      <c r="C1069" t="s">
        <v>13371</v>
      </c>
      <c r="D1069" t="s">
        <v>14877</v>
      </c>
      <c r="E1069" t="b">
        <v>0</v>
      </c>
      <c r="F1069" t="s">
        <v>11624</v>
      </c>
      <c r="G1069">
        <v>-0.75266999999999995</v>
      </c>
      <c r="H1069">
        <v>131.72800000000001</v>
      </c>
      <c r="I1069" t="s">
        <v>14878</v>
      </c>
      <c r="L1069">
        <v>0</v>
      </c>
      <c r="M1069">
        <v>0</v>
      </c>
      <c r="N1069">
        <v>0</v>
      </c>
      <c r="O1069" t="s">
        <v>11768</v>
      </c>
    </row>
    <row r="1070" spans="1:15">
      <c r="A1070" t="s">
        <v>14879</v>
      </c>
      <c r="B1070" t="s">
        <v>11607</v>
      </c>
      <c r="C1070" t="s">
        <v>14880</v>
      </c>
      <c r="D1070" t="s">
        <v>14881</v>
      </c>
      <c r="E1070" t="b">
        <v>0</v>
      </c>
      <c r="F1070" t="s">
        <v>11624</v>
      </c>
      <c r="G1070">
        <v>36.75</v>
      </c>
      <c r="H1070">
        <v>43</v>
      </c>
      <c r="I1070" t="s">
        <v>14882</v>
      </c>
      <c r="L1070">
        <v>0</v>
      </c>
      <c r="M1070">
        <v>0</v>
      </c>
      <c r="N1070">
        <v>30</v>
      </c>
      <c r="O1070" t="s">
        <v>14883</v>
      </c>
    </row>
    <row r="1071" spans="1:15">
      <c r="A1071" t="s">
        <v>14884</v>
      </c>
      <c r="B1071" t="s">
        <v>11637</v>
      </c>
      <c r="C1071" t="s">
        <v>14885</v>
      </c>
      <c r="D1071" t="s">
        <v>14886</v>
      </c>
      <c r="E1071" t="b">
        <v>0</v>
      </c>
      <c r="F1071" t="s">
        <v>11610</v>
      </c>
      <c r="L1071">
        <v>0</v>
      </c>
      <c r="M1071">
        <v>0</v>
      </c>
      <c r="N1071">
        <v>0</v>
      </c>
    </row>
    <row r="1072" spans="1:15">
      <c r="A1072" t="s">
        <v>14887</v>
      </c>
      <c r="B1072" t="s">
        <v>11637</v>
      </c>
      <c r="C1072" t="s">
        <v>8013</v>
      </c>
      <c r="D1072" t="s">
        <v>14888</v>
      </c>
      <c r="E1072" t="b">
        <v>0</v>
      </c>
      <c r="F1072" t="s">
        <v>11610</v>
      </c>
      <c r="L1072">
        <v>0</v>
      </c>
      <c r="M1072">
        <v>0</v>
      </c>
      <c r="N1072">
        <v>5</v>
      </c>
    </row>
    <row r="1073" spans="1:15">
      <c r="A1073" t="s">
        <v>14889</v>
      </c>
      <c r="B1073" t="s">
        <v>11637</v>
      </c>
      <c r="C1073" t="s">
        <v>14887</v>
      </c>
      <c r="D1073" t="s">
        <v>14890</v>
      </c>
      <c r="E1073" t="b">
        <v>0</v>
      </c>
      <c r="F1073" t="s">
        <v>11610</v>
      </c>
      <c r="L1073">
        <v>0</v>
      </c>
      <c r="M1073">
        <v>0</v>
      </c>
      <c r="N1073">
        <v>0</v>
      </c>
    </row>
    <row r="1074" spans="1:15">
      <c r="A1074" t="s">
        <v>14891</v>
      </c>
      <c r="B1074" t="s">
        <v>11637</v>
      </c>
      <c r="C1074" t="s">
        <v>14365</v>
      </c>
      <c r="D1074" t="s">
        <v>14892</v>
      </c>
      <c r="E1074" t="b">
        <v>0</v>
      </c>
      <c r="F1074" t="s">
        <v>11610</v>
      </c>
      <c r="L1074">
        <v>0</v>
      </c>
      <c r="M1074">
        <v>0</v>
      </c>
      <c r="N1074">
        <v>0</v>
      </c>
    </row>
    <row r="1075" spans="1:15">
      <c r="A1075" t="s">
        <v>14893</v>
      </c>
      <c r="B1075" t="s">
        <v>331</v>
      </c>
      <c r="C1075" t="s">
        <v>14894</v>
      </c>
      <c r="D1075" t="s">
        <v>14895</v>
      </c>
      <c r="E1075" t="b">
        <v>0</v>
      </c>
      <c r="F1075" t="s">
        <v>11610</v>
      </c>
      <c r="L1075">
        <v>0</v>
      </c>
      <c r="M1075">
        <v>0</v>
      </c>
      <c r="N1075">
        <v>0</v>
      </c>
    </row>
    <row r="1076" spans="1:15">
      <c r="A1076" t="s">
        <v>14896</v>
      </c>
      <c r="B1076" t="s">
        <v>367</v>
      </c>
      <c r="C1076" t="s">
        <v>14897</v>
      </c>
      <c r="D1076" t="s">
        <v>14898</v>
      </c>
      <c r="E1076" t="b">
        <v>0</v>
      </c>
      <c r="F1076" t="s">
        <v>11622</v>
      </c>
      <c r="L1076">
        <v>0</v>
      </c>
      <c r="M1076">
        <v>3</v>
      </c>
      <c r="N1076">
        <v>5</v>
      </c>
    </row>
    <row r="1077" spans="1:15">
      <c r="A1077" t="s">
        <v>14899</v>
      </c>
      <c r="B1077" t="s">
        <v>11637</v>
      </c>
      <c r="C1077" t="s">
        <v>14900</v>
      </c>
      <c r="D1077" t="s">
        <v>14901</v>
      </c>
      <c r="E1077" t="b">
        <v>0</v>
      </c>
      <c r="F1077" t="s">
        <v>11622</v>
      </c>
      <c r="L1077">
        <v>0</v>
      </c>
      <c r="M1077">
        <v>2</v>
      </c>
      <c r="N1077">
        <v>8</v>
      </c>
    </row>
    <row r="1078" spans="1:15">
      <c r="A1078" t="s">
        <v>14902</v>
      </c>
      <c r="B1078" t="s">
        <v>11637</v>
      </c>
      <c r="C1078" t="s">
        <v>14899</v>
      </c>
      <c r="D1078" t="s">
        <v>14903</v>
      </c>
      <c r="E1078" t="b">
        <v>0</v>
      </c>
      <c r="F1078" t="s">
        <v>11624</v>
      </c>
      <c r="G1078">
        <v>42.418100000000003</v>
      </c>
      <c r="H1078">
        <v>-6.0222699999999998</v>
      </c>
      <c r="I1078" t="s">
        <v>14904</v>
      </c>
      <c r="L1078">
        <v>0</v>
      </c>
      <c r="M1078">
        <v>0</v>
      </c>
      <c r="N1078">
        <v>8</v>
      </c>
      <c r="O1078" t="s">
        <v>14905</v>
      </c>
    </row>
    <row r="1079" spans="1:15">
      <c r="A1079" t="s">
        <v>14906</v>
      </c>
      <c r="B1079" t="s">
        <v>11637</v>
      </c>
      <c r="C1079" t="s">
        <v>14902</v>
      </c>
      <c r="D1079" t="s">
        <v>14907</v>
      </c>
      <c r="E1079" t="b">
        <v>0</v>
      </c>
      <c r="F1079" t="s">
        <v>11610</v>
      </c>
      <c r="L1079">
        <v>0</v>
      </c>
      <c r="M1079">
        <v>0</v>
      </c>
      <c r="N1079">
        <v>3</v>
      </c>
    </row>
    <row r="1080" spans="1:15">
      <c r="A1080" t="s">
        <v>14908</v>
      </c>
      <c r="B1080" t="s">
        <v>11615</v>
      </c>
      <c r="C1080" t="s">
        <v>14909</v>
      </c>
      <c r="D1080" t="s">
        <v>14910</v>
      </c>
      <c r="E1080" t="b">
        <v>0</v>
      </c>
      <c r="F1080" t="s">
        <v>11624</v>
      </c>
      <c r="G1080">
        <v>-5.9834100000000001</v>
      </c>
      <c r="H1080">
        <v>139.12299999999999</v>
      </c>
      <c r="I1080" t="s">
        <v>14911</v>
      </c>
      <c r="L1080">
        <v>0</v>
      </c>
      <c r="M1080">
        <v>0</v>
      </c>
      <c r="N1080">
        <v>0</v>
      </c>
      <c r="O1080" t="s">
        <v>11768</v>
      </c>
    </row>
    <row r="1081" spans="1:15">
      <c r="A1081" t="s">
        <v>14912</v>
      </c>
      <c r="B1081" t="s">
        <v>367</v>
      </c>
      <c r="C1081" t="s">
        <v>13343</v>
      </c>
      <c r="D1081" t="s">
        <v>14913</v>
      </c>
      <c r="E1081" t="b">
        <v>0</v>
      </c>
      <c r="F1081" t="s">
        <v>11624</v>
      </c>
      <c r="G1081">
        <v>-11.296900000000001</v>
      </c>
      <c r="H1081">
        <v>166.499</v>
      </c>
      <c r="I1081" t="s">
        <v>14914</v>
      </c>
      <c r="L1081">
        <v>0</v>
      </c>
      <c r="M1081">
        <v>0</v>
      </c>
      <c r="N1081">
        <v>0</v>
      </c>
      <c r="O1081" t="s">
        <v>13346</v>
      </c>
    </row>
    <row r="1082" spans="1:15">
      <c r="A1082" t="s">
        <v>14915</v>
      </c>
      <c r="B1082" t="s">
        <v>6742</v>
      </c>
      <c r="C1082" t="s">
        <v>14916</v>
      </c>
      <c r="D1082" t="s">
        <v>14917</v>
      </c>
      <c r="E1082" t="b">
        <v>0</v>
      </c>
      <c r="F1082" t="s">
        <v>11624</v>
      </c>
      <c r="G1082">
        <v>10.084899999999999</v>
      </c>
      <c r="H1082">
        <v>5.4208100000000004</v>
      </c>
      <c r="I1082" t="s">
        <v>14918</v>
      </c>
      <c r="L1082">
        <v>0</v>
      </c>
      <c r="M1082">
        <v>0</v>
      </c>
      <c r="N1082">
        <v>0</v>
      </c>
      <c r="O1082" t="s">
        <v>11693</v>
      </c>
    </row>
    <row r="1083" spans="1:15">
      <c r="A1083" t="s">
        <v>14919</v>
      </c>
      <c r="B1083" t="s">
        <v>11879</v>
      </c>
      <c r="C1083" t="s">
        <v>14920</v>
      </c>
      <c r="D1083" t="s">
        <v>14921</v>
      </c>
      <c r="E1083" t="b">
        <v>0</v>
      </c>
      <c r="F1083" t="s">
        <v>11624</v>
      </c>
      <c r="G1083">
        <v>16.876200000000001</v>
      </c>
      <c r="H1083">
        <v>-96.870400000000004</v>
      </c>
      <c r="I1083" t="s">
        <v>14922</v>
      </c>
      <c r="L1083">
        <v>0</v>
      </c>
      <c r="M1083">
        <v>0</v>
      </c>
      <c r="N1083">
        <v>0</v>
      </c>
      <c r="O1083" t="s">
        <v>11883</v>
      </c>
    </row>
    <row r="1084" spans="1:15">
      <c r="A1084" t="s">
        <v>14923</v>
      </c>
      <c r="B1084" t="s">
        <v>12438</v>
      </c>
      <c r="C1084" t="s">
        <v>14924</v>
      </c>
      <c r="D1084" t="s">
        <v>14925</v>
      </c>
      <c r="E1084" t="b">
        <v>0</v>
      </c>
      <c r="F1084" t="s">
        <v>11624</v>
      </c>
      <c r="G1084">
        <v>21.572099999999999</v>
      </c>
      <c r="H1084">
        <v>83.456199999999995</v>
      </c>
      <c r="I1084" t="s">
        <v>14926</v>
      </c>
      <c r="L1084">
        <v>0</v>
      </c>
      <c r="M1084">
        <v>0</v>
      </c>
      <c r="N1084">
        <v>2</v>
      </c>
      <c r="O1084" t="s">
        <v>11630</v>
      </c>
    </row>
    <row r="1085" spans="1:15">
      <c r="A1085" t="s">
        <v>14924</v>
      </c>
      <c r="B1085" t="s">
        <v>12438</v>
      </c>
      <c r="C1085" t="s">
        <v>14927</v>
      </c>
      <c r="D1085" t="s">
        <v>14928</v>
      </c>
      <c r="E1085" t="b">
        <v>0</v>
      </c>
      <c r="F1085" t="s">
        <v>11622</v>
      </c>
      <c r="L1085">
        <v>0</v>
      </c>
      <c r="M1085">
        <v>2</v>
      </c>
      <c r="N1085">
        <v>2</v>
      </c>
    </row>
    <row r="1086" spans="1:15">
      <c r="A1086" t="s">
        <v>14929</v>
      </c>
      <c r="B1086" t="s">
        <v>6742</v>
      </c>
      <c r="C1086" t="s">
        <v>14930</v>
      </c>
      <c r="D1086" t="s">
        <v>14931</v>
      </c>
      <c r="E1086" t="b">
        <v>0</v>
      </c>
      <c r="F1086" t="s">
        <v>11624</v>
      </c>
      <c r="G1086">
        <v>-4.1797800000000001</v>
      </c>
      <c r="H1086">
        <v>37.832299999999996</v>
      </c>
      <c r="I1086" t="s">
        <v>14932</v>
      </c>
      <c r="L1086">
        <v>0</v>
      </c>
      <c r="M1086">
        <v>0</v>
      </c>
      <c r="N1086">
        <v>0</v>
      </c>
      <c r="O1086" t="s">
        <v>14933</v>
      </c>
    </row>
    <row r="1087" spans="1:15">
      <c r="A1087" t="s">
        <v>14934</v>
      </c>
      <c r="B1087" t="s">
        <v>367</v>
      </c>
      <c r="C1087" t="s">
        <v>14935</v>
      </c>
      <c r="D1087" t="s">
        <v>14936</v>
      </c>
      <c r="E1087" t="b">
        <v>0</v>
      </c>
      <c r="F1087" t="s">
        <v>11624</v>
      </c>
      <c r="G1087">
        <v>9.7149999999999999</v>
      </c>
      <c r="H1087">
        <v>122.9</v>
      </c>
      <c r="I1087" t="s">
        <v>14937</v>
      </c>
      <c r="L1087">
        <v>0</v>
      </c>
      <c r="M1087">
        <v>0</v>
      </c>
      <c r="N1087">
        <v>0</v>
      </c>
      <c r="O1087" t="s">
        <v>11749</v>
      </c>
    </row>
    <row r="1088" spans="1:15">
      <c r="A1088" t="s">
        <v>14938</v>
      </c>
      <c r="B1088" t="s">
        <v>14939</v>
      </c>
      <c r="C1088" t="s">
        <v>14939</v>
      </c>
      <c r="D1088" t="s">
        <v>14940</v>
      </c>
      <c r="E1088" t="b">
        <v>0</v>
      </c>
      <c r="F1088" t="s">
        <v>11610</v>
      </c>
      <c r="L1088">
        <v>0</v>
      </c>
      <c r="M1088">
        <v>0</v>
      </c>
      <c r="N1088">
        <v>0</v>
      </c>
    </row>
    <row r="1089" spans="1:15">
      <c r="A1089" t="s">
        <v>14941</v>
      </c>
      <c r="B1089" t="s">
        <v>6742</v>
      </c>
      <c r="C1089" t="s">
        <v>14942</v>
      </c>
      <c r="D1089" t="s">
        <v>14943</v>
      </c>
      <c r="E1089" t="b">
        <v>0</v>
      </c>
      <c r="F1089" t="s">
        <v>11610</v>
      </c>
      <c r="L1089">
        <v>0</v>
      </c>
      <c r="M1089">
        <v>0</v>
      </c>
      <c r="N1089">
        <v>0</v>
      </c>
    </row>
    <row r="1090" spans="1:15">
      <c r="A1090" t="s">
        <v>14944</v>
      </c>
      <c r="D1090" t="s">
        <v>14945</v>
      </c>
      <c r="E1090" t="b">
        <v>0</v>
      </c>
      <c r="F1090" t="s">
        <v>11624</v>
      </c>
      <c r="G1090">
        <v>0.83493099999999998</v>
      </c>
      <c r="H1090">
        <v>-79.778137000000001</v>
      </c>
      <c r="L1090">
        <v>0</v>
      </c>
      <c r="M1090">
        <v>0</v>
      </c>
      <c r="N1090">
        <v>0</v>
      </c>
      <c r="O1090" t="s">
        <v>14946</v>
      </c>
    </row>
    <row r="1091" spans="1:15">
      <c r="A1091" t="s">
        <v>14947</v>
      </c>
      <c r="B1091" t="s">
        <v>6742</v>
      </c>
      <c r="C1091" t="s">
        <v>14948</v>
      </c>
      <c r="D1091" t="s">
        <v>14949</v>
      </c>
      <c r="E1091" t="b">
        <v>0</v>
      </c>
      <c r="F1091" t="s">
        <v>11610</v>
      </c>
      <c r="L1091">
        <v>0</v>
      </c>
      <c r="M1091">
        <v>0</v>
      </c>
      <c r="N1091">
        <v>0</v>
      </c>
    </row>
    <row r="1092" spans="1:15">
      <c r="A1092" t="s">
        <v>14950</v>
      </c>
      <c r="B1092" t="s">
        <v>6742</v>
      </c>
      <c r="C1092" t="s">
        <v>14951</v>
      </c>
      <c r="D1092" t="s">
        <v>14952</v>
      </c>
      <c r="E1092" t="b">
        <v>0</v>
      </c>
      <c r="F1092" t="s">
        <v>11610</v>
      </c>
      <c r="L1092">
        <v>0</v>
      </c>
      <c r="M1092">
        <v>0</v>
      </c>
      <c r="N1092">
        <v>0</v>
      </c>
    </row>
    <row r="1093" spans="1:15">
      <c r="A1093" t="s">
        <v>14953</v>
      </c>
      <c r="D1093" t="s">
        <v>14954</v>
      </c>
      <c r="E1093" t="b">
        <v>0</v>
      </c>
      <c r="F1093" t="s">
        <v>11624</v>
      </c>
      <c r="G1093">
        <v>30.912099999999999</v>
      </c>
      <c r="H1093">
        <v>-93.082700000000003</v>
      </c>
      <c r="I1093" t="s">
        <v>14955</v>
      </c>
      <c r="L1093">
        <v>0</v>
      </c>
      <c r="M1093">
        <v>0</v>
      </c>
      <c r="N1093">
        <v>2</v>
      </c>
      <c r="O1093" t="s">
        <v>11944</v>
      </c>
    </row>
    <row r="1094" spans="1:15">
      <c r="A1094" t="s">
        <v>14956</v>
      </c>
      <c r="B1094" t="s">
        <v>6742</v>
      </c>
      <c r="C1094" t="s">
        <v>14957</v>
      </c>
      <c r="D1094" t="s">
        <v>14958</v>
      </c>
      <c r="E1094" t="b">
        <v>0</v>
      </c>
      <c r="F1094" t="s">
        <v>11610</v>
      </c>
      <c r="L1094">
        <v>0</v>
      </c>
      <c r="M1094">
        <v>0</v>
      </c>
      <c r="N1094">
        <v>0</v>
      </c>
    </row>
    <row r="1095" spans="1:15">
      <c r="A1095" t="s">
        <v>14959</v>
      </c>
      <c r="B1095" t="s">
        <v>10597</v>
      </c>
      <c r="C1095" t="s">
        <v>14960</v>
      </c>
      <c r="D1095" t="s">
        <v>14961</v>
      </c>
      <c r="E1095" t="b">
        <v>0</v>
      </c>
      <c r="F1095" t="s">
        <v>11624</v>
      </c>
      <c r="G1095">
        <v>-11.001799999999999</v>
      </c>
      <c r="H1095">
        <v>142.273</v>
      </c>
      <c r="I1095" t="s">
        <v>14962</v>
      </c>
      <c r="L1095">
        <v>0</v>
      </c>
      <c r="M1095">
        <v>0</v>
      </c>
      <c r="N1095">
        <v>0</v>
      </c>
      <c r="O1095" t="s">
        <v>12107</v>
      </c>
    </row>
    <row r="1096" spans="1:15">
      <c r="A1096" t="s">
        <v>14963</v>
      </c>
      <c r="B1096" t="s">
        <v>367</v>
      </c>
      <c r="C1096" t="s">
        <v>14964</v>
      </c>
      <c r="D1096" t="s">
        <v>14965</v>
      </c>
      <c r="E1096" t="b">
        <v>0</v>
      </c>
      <c r="F1096" t="s">
        <v>11624</v>
      </c>
      <c r="G1096">
        <v>7.7789000000000001</v>
      </c>
      <c r="H1096">
        <v>125.499</v>
      </c>
      <c r="I1096" t="s">
        <v>14966</v>
      </c>
      <c r="L1096">
        <v>0</v>
      </c>
      <c r="M1096">
        <v>0</v>
      </c>
      <c r="N1096">
        <v>0</v>
      </c>
      <c r="O1096" t="s">
        <v>11749</v>
      </c>
    </row>
    <row r="1097" spans="1:15">
      <c r="A1097" t="s">
        <v>14967</v>
      </c>
      <c r="B1097" t="s">
        <v>11615</v>
      </c>
      <c r="C1097" t="s">
        <v>14968</v>
      </c>
      <c r="D1097" t="s">
        <v>14969</v>
      </c>
      <c r="E1097" t="b">
        <v>0</v>
      </c>
      <c r="F1097" t="s">
        <v>11622</v>
      </c>
      <c r="L1097">
        <v>0</v>
      </c>
      <c r="M1097">
        <v>2</v>
      </c>
      <c r="N1097">
        <v>0</v>
      </c>
    </row>
    <row r="1098" spans="1:15">
      <c r="A1098" t="s">
        <v>14970</v>
      </c>
      <c r="B1098" t="s">
        <v>367</v>
      </c>
      <c r="C1098" t="s">
        <v>14971</v>
      </c>
      <c r="D1098" t="s">
        <v>14972</v>
      </c>
      <c r="E1098" t="b">
        <v>0</v>
      </c>
      <c r="F1098" t="s">
        <v>11610</v>
      </c>
      <c r="L1098">
        <v>0</v>
      </c>
      <c r="M1098">
        <v>0</v>
      </c>
      <c r="N1098">
        <v>0</v>
      </c>
    </row>
    <row r="1099" spans="1:15">
      <c r="A1099" t="s">
        <v>14973</v>
      </c>
      <c r="B1099" t="s">
        <v>11879</v>
      </c>
      <c r="C1099" t="s">
        <v>14974</v>
      </c>
      <c r="D1099" t="s">
        <v>14975</v>
      </c>
      <c r="E1099" t="b">
        <v>0</v>
      </c>
      <c r="F1099" t="s">
        <v>11624</v>
      </c>
      <c r="G1099">
        <v>17.07133</v>
      </c>
      <c r="H1099">
        <v>-97.677530000000004</v>
      </c>
      <c r="I1099" t="s">
        <v>14976</v>
      </c>
      <c r="L1099">
        <v>0</v>
      </c>
      <c r="M1099">
        <v>0</v>
      </c>
      <c r="N1099">
        <v>0</v>
      </c>
      <c r="O1099" t="s">
        <v>11883</v>
      </c>
    </row>
    <row r="1100" spans="1:15">
      <c r="A1100" t="s">
        <v>14977</v>
      </c>
      <c r="B1100" t="s">
        <v>367</v>
      </c>
      <c r="C1100" t="s">
        <v>367</v>
      </c>
      <c r="D1100" t="s">
        <v>14978</v>
      </c>
      <c r="E1100" t="b">
        <v>0</v>
      </c>
      <c r="F1100" t="s">
        <v>11622</v>
      </c>
      <c r="L1100">
        <v>0</v>
      </c>
      <c r="M1100">
        <v>2</v>
      </c>
      <c r="N1100">
        <v>5</v>
      </c>
    </row>
    <row r="1101" spans="1:15">
      <c r="A1101" t="s">
        <v>9614</v>
      </c>
      <c r="B1101" t="s">
        <v>367</v>
      </c>
      <c r="C1101" t="s">
        <v>14977</v>
      </c>
      <c r="D1101" t="s">
        <v>14979</v>
      </c>
      <c r="E1101" t="b">
        <v>0</v>
      </c>
      <c r="F1101" t="s">
        <v>11624</v>
      </c>
      <c r="G1101">
        <v>24.520900000000001</v>
      </c>
      <c r="H1101">
        <v>121.38800000000001</v>
      </c>
      <c r="I1101" t="s">
        <v>9615</v>
      </c>
      <c r="L1101">
        <v>0</v>
      </c>
      <c r="M1101">
        <v>0</v>
      </c>
      <c r="N1101">
        <v>2</v>
      </c>
      <c r="O1101" t="s">
        <v>13484</v>
      </c>
    </row>
    <row r="1102" spans="1:15">
      <c r="A1102" t="s">
        <v>14980</v>
      </c>
      <c r="B1102" t="s">
        <v>367</v>
      </c>
      <c r="C1102" t="s">
        <v>14981</v>
      </c>
      <c r="D1102" t="s">
        <v>14982</v>
      </c>
      <c r="E1102" t="b">
        <v>0</v>
      </c>
      <c r="F1102" t="s">
        <v>11610</v>
      </c>
      <c r="L1102">
        <v>0</v>
      </c>
      <c r="M1102">
        <v>0</v>
      </c>
      <c r="N1102">
        <v>0</v>
      </c>
    </row>
    <row r="1103" spans="1:15">
      <c r="A1103" t="s">
        <v>14983</v>
      </c>
      <c r="B1103" t="s">
        <v>11615</v>
      </c>
      <c r="C1103" t="s">
        <v>14967</v>
      </c>
      <c r="D1103" t="s">
        <v>14984</v>
      </c>
      <c r="E1103" t="b">
        <v>0</v>
      </c>
      <c r="F1103" t="s">
        <v>11624</v>
      </c>
      <c r="G1103">
        <v>-5.0813699999999997</v>
      </c>
      <c r="H1103">
        <v>144.80600000000001</v>
      </c>
      <c r="I1103" t="s">
        <v>14985</v>
      </c>
      <c r="L1103">
        <v>0</v>
      </c>
      <c r="M1103">
        <v>0</v>
      </c>
      <c r="N1103">
        <v>0</v>
      </c>
      <c r="O1103" t="s">
        <v>11660</v>
      </c>
    </row>
    <row r="1104" spans="1:15">
      <c r="A1104" t="s">
        <v>14986</v>
      </c>
      <c r="B1104" t="s">
        <v>11637</v>
      </c>
      <c r="C1104" t="s">
        <v>13534</v>
      </c>
      <c r="D1104" t="s">
        <v>14987</v>
      </c>
      <c r="E1104" t="b">
        <v>0</v>
      </c>
      <c r="F1104" t="s">
        <v>11610</v>
      </c>
      <c r="L1104">
        <v>0</v>
      </c>
      <c r="M1104">
        <v>0</v>
      </c>
      <c r="N1104">
        <v>0</v>
      </c>
    </row>
    <row r="1105" spans="1:15">
      <c r="A1105" t="s">
        <v>12460</v>
      </c>
      <c r="D1105" t="s">
        <v>14988</v>
      </c>
      <c r="E1105" t="b">
        <v>0</v>
      </c>
      <c r="F1105" t="s">
        <v>11622</v>
      </c>
      <c r="L1105">
        <v>16</v>
      </c>
      <c r="M1105">
        <v>45</v>
      </c>
      <c r="N1105">
        <v>0</v>
      </c>
    </row>
    <row r="1106" spans="1:15">
      <c r="A1106" t="s">
        <v>14989</v>
      </c>
      <c r="B1106" t="s">
        <v>12460</v>
      </c>
      <c r="C1106" t="s">
        <v>12460</v>
      </c>
      <c r="D1106" t="s">
        <v>14990</v>
      </c>
      <c r="E1106" t="b">
        <v>0</v>
      </c>
      <c r="F1106" t="s">
        <v>11622</v>
      </c>
      <c r="L1106">
        <v>15</v>
      </c>
      <c r="M1106">
        <v>44</v>
      </c>
      <c r="N1106">
        <v>0</v>
      </c>
    </row>
    <row r="1107" spans="1:15">
      <c r="A1107" t="s">
        <v>14117</v>
      </c>
      <c r="B1107" t="s">
        <v>12460</v>
      </c>
      <c r="C1107" t="s">
        <v>14989</v>
      </c>
      <c r="D1107" t="s">
        <v>14991</v>
      </c>
      <c r="E1107" t="b">
        <v>0</v>
      </c>
      <c r="F1107" t="s">
        <v>11622</v>
      </c>
      <c r="L1107">
        <v>14</v>
      </c>
      <c r="M1107">
        <v>43</v>
      </c>
      <c r="N1107">
        <v>0</v>
      </c>
    </row>
    <row r="1108" spans="1:15">
      <c r="A1108" t="s">
        <v>14992</v>
      </c>
      <c r="B1108" t="s">
        <v>11637</v>
      </c>
      <c r="C1108" t="s">
        <v>14993</v>
      </c>
      <c r="D1108" t="s">
        <v>14994</v>
      </c>
      <c r="E1108" t="b">
        <v>0</v>
      </c>
      <c r="F1108" t="s">
        <v>11610</v>
      </c>
      <c r="L1108">
        <v>0</v>
      </c>
      <c r="M1108">
        <v>0</v>
      </c>
      <c r="N1108">
        <v>0</v>
      </c>
    </row>
    <row r="1109" spans="1:15">
      <c r="A1109" t="s">
        <v>14995</v>
      </c>
      <c r="B1109" t="s">
        <v>10597</v>
      </c>
      <c r="C1109" t="s">
        <v>14996</v>
      </c>
      <c r="D1109" t="s">
        <v>14997</v>
      </c>
      <c r="E1109" t="b">
        <v>0</v>
      </c>
      <c r="F1109" t="s">
        <v>11624</v>
      </c>
      <c r="G1109">
        <v>-17.2</v>
      </c>
      <c r="H1109">
        <v>142.4</v>
      </c>
      <c r="L1109">
        <v>0</v>
      </c>
      <c r="M1109">
        <v>0</v>
      </c>
      <c r="N1109">
        <v>0</v>
      </c>
      <c r="O1109" t="s">
        <v>12107</v>
      </c>
    </row>
    <row r="1110" spans="1:15">
      <c r="A1110" t="s">
        <v>14998</v>
      </c>
      <c r="B1110" t="s">
        <v>11757</v>
      </c>
      <c r="C1110" t="s">
        <v>14999</v>
      </c>
      <c r="D1110" t="s">
        <v>15000</v>
      </c>
      <c r="E1110" t="b">
        <v>0</v>
      </c>
      <c r="F1110" t="s">
        <v>11610</v>
      </c>
      <c r="L1110">
        <v>0</v>
      </c>
      <c r="M1110">
        <v>0</v>
      </c>
      <c r="N1110">
        <v>0</v>
      </c>
    </row>
    <row r="1111" spans="1:15">
      <c r="A1111" t="s">
        <v>15001</v>
      </c>
      <c r="B1111" t="s">
        <v>11644</v>
      </c>
      <c r="C1111" t="s">
        <v>15002</v>
      </c>
      <c r="D1111" t="s">
        <v>15003</v>
      </c>
      <c r="E1111" t="b">
        <v>0</v>
      </c>
      <c r="F1111" t="s">
        <v>11622</v>
      </c>
      <c r="L1111">
        <v>0</v>
      </c>
      <c r="M1111">
        <v>2</v>
      </c>
      <c r="N1111">
        <v>0</v>
      </c>
    </row>
    <row r="1112" spans="1:15">
      <c r="A1112" t="s">
        <v>15004</v>
      </c>
      <c r="B1112" t="s">
        <v>11644</v>
      </c>
      <c r="C1112" t="s">
        <v>15001</v>
      </c>
      <c r="D1112" t="s">
        <v>15005</v>
      </c>
      <c r="E1112" t="b">
        <v>0</v>
      </c>
      <c r="F1112" t="s">
        <v>11624</v>
      </c>
      <c r="G1112">
        <v>26.8794</v>
      </c>
      <c r="H1112">
        <v>87.329599999999999</v>
      </c>
      <c r="I1112" t="s">
        <v>15006</v>
      </c>
      <c r="L1112">
        <v>0</v>
      </c>
      <c r="M1112">
        <v>0</v>
      </c>
      <c r="N1112">
        <v>0</v>
      </c>
      <c r="O1112" t="s">
        <v>15007</v>
      </c>
    </row>
    <row r="1113" spans="1:15">
      <c r="A1113" t="s">
        <v>15008</v>
      </c>
      <c r="B1113" t="s">
        <v>367</v>
      </c>
      <c r="C1113" t="s">
        <v>4363</v>
      </c>
      <c r="D1113" t="s">
        <v>15009</v>
      </c>
      <c r="E1113" t="b">
        <v>0</v>
      </c>
      <c r="F1113" t="s">
        <v>11624</v>
      </c>
      <c r="G1113">
        <v>11.1539</v>
      </c>
      <c r="H1113">
        <v>122.512</v>
      </c>
      <c r="I1113" t="s">
        <v>15010</v>
      </c>
      <c r="L1113">
        <v>0</v>
      </c>
      <c r="M1113">
        <v>0</v>
      </c>
      <c r="N1113">
        <v>2</v>
      </c>
      <c r="O1113" t="s">
        <v>11749</v>
      </c>
    </row>
    <row r="1114" spans="1:15">
      <c r="A1114" t="s">
        <v>15011</v>
      </c>
      <c r="B1114" t="s">
        <v>12979</v>
      </c>
      <c r="C1114" t="s">
        <v>15012</v>
      </c>
      <c r="D1114" t="s">
        <v>15013</v>
      </c>
      <c r="E1114" t="b">
        <v>0</v>
      </c>
      <c r="F1114" t="s">
        <v>11624</v>
      </c>
      <c r="G1114">
        <v>47.955500000000001</v>
      </c>
      <c r="H1114">
        <v>-73.798900000000003</v>
      </c>
      <c r="I1114" t="s">
        <v>15014</v>
      </c>
      <c r="L1114">
        <v>0</v>
      </c>
      <c r="M1114">
        <v>0</v>
      </c>
      <c r="N1114">
        <v>0</v>
      </c>
      <c r="O1114" t="s">
        <v>13049</v>
      </c>
    </row>
    <row r="1115" spans="1:15">
      <c r="A1115" t="s">
        <v>15015</v>
      </c>
      <c r="B1115" t="s">
        <v>11839</v>
      </c>
      <c r="C1115" t="s">
        <v>11838</v>
      </c>
      <c r="D1115" t="s">
        <v>15016</v>
      </c>
      <c r="E1115" t="b">
        <v>0</v>
      </c>
      <c r="F1115" t="s">
        <v>11610</v>
      </c>
      <c r="L1115">
        <v>0</v>
      </c>
      <c r="M1115">
        <v>0</v>
      </c>
      <c r="N1115">
        <v>0</v>
      </c>
    </row>
    <row r="1116" spans="1:15">
      <c r="A1116" t="s">
        <v>15017</v>
      </c>
      <c r="B1116" t="s">
        <v>12148</v>
      </c>
      <c r="C1116" t="s">
        <v>15018</v>
      </c>
      <c r="D1116" t="s">
        <v>15019</v>
      </c>
      <c r="E1116" t="b">
        <v>0</v>
      </c>
      <c r="F1116" t="s">
        <v>11610</v>
      </c>
      <c r="L1116">
        <v>0</v>
      </c>
      <c r="M1116">
        <v>0</v>
      </c>
      <c r="N1116">
        <v>0</v>
      </c>
    </row>
    <row r="1117" spans="1:15">
      <c r="A1117" t="s">
        <v>15020</v>
      </c>
      <c r="B1117" t="s">
        <v>367</v>
      </c>
      <c r="C1117" t="s">
        <v>15021</v>
      </c>
      <c r="D1117" t="s">
        <v>15022</v>
      </c>
      <c r="E1117" t="b">
        <v>0</v>
      </c>
      <c r="F1117" t="s">
        <v>11610</v>
      </c>
      <c r="L1117">
        <v>0</v>
      </c>
      <c r="M1117">
        <v>0</v>
      </c>
      <c r="N1117">
        <v>0</v>
      </c>
    </row>
    <row r="1118" spans="1:15">
      <c r="A1118" t="s">
        <v>15023</v>
      </c>
      <c r="B1118" t="s">
        <v>6742</v>
      </c>
      <c r="C1118" t="s">
        <v>15024</v>
      </c>
      <c r="D1118" t="s">
        <v>15025</v>
      </c>
      <c r="E1118" t="b">
        <v>0</v>
      </c>
      <c r="F1118" t="s">
        <v>11610</v>
      </c>
      <c r="L1118">
        <v>0</v>
      </c>
      <c r="M1118">
        <v>0</v>
      </c>
      <c r="N1118">
        <v>0</v>
      </c>
    </row>
    <row r="1119" spans="1:15">
      <c r="A1119" t="s">
        <v>15026</v>
      </c>
      <c r="B1119" t="s">
        <v>15027</v>
      </c>
      <c r="C1119" t="s">
        <v>15028</v>
      </c>
      <c r="D1119" t="s">
        <v>15029</v>
      </c>
      <c r="E1119" t="b">
        <v>0</v>
      </c>
      <c r="F1119" t="s">
        <v>11610</v>
      </c>
      <c r="L1119">
        <v>0</v>
      </c>
      <c r="M1119">
        <v>0</v>
      </c>
      <c r="N1119">
        <v>0</v>
      </c>
    </row>
    <row r="1120" spans="1:15">
      <c r="A1120" t="s">
        <v>15030</v>
      </c>
      <c r="B1120" t="s">
        <v>367</v>
      </c>
      <c r="C1120" t="s">
        <v>1970</v>
      </c>
      <c r="D1120" t="s">
        <v>15031</v>
      </c>
      <c r="E1120" t="b">
        <v>0</v>
      </c>
      <c r="F1120" t="s">
        <v>11610</v>
      </c>
      <c r="L1120">
        <v>0</v>
      </c>
      <c r="M1120">
        <v>0</v>
      </c>
      <c r="N1120">
        <v>0</v>
      </c>
    </row>
    <row r="1121" spans="1:15">
      <c r="A1121" t="s">
        <v>15032</v>
      </c>
      <c r="B1121" t="s">
        <v>11879</v>
      </c>
      <c r="C1121" t="s">
        <v>15033</v>
      </c>
      <c r="D1121" t="s">
        <v>15034</v>
      </c>
      <c r="E1121" t="b">
        <v>0</v>
      </c>
      <c r="F1121" t="s">
        <v>11610</v>
      </c>
      <c r="L1121">
        <v>0</v>
      </c>
      <c r="M1121">
        <v>0</v>
      </c>
      <c r="N1121">
        <v>0</v>
      </c>
    </row>
    <row r="1122" spans="1:15">
      <c r="A1122" t="s">
        <v>15035</v>
      </c>
      <c r="B1122" t="s">
        <v>11879</v>
      </c>
      <c r="C1122" t="s">
        <v>12898</v>
      </c>
      <c r="D1122" t="s">
        <v>15036</v>
      </c>
      <c r="E1122" t="b">
        <v>0</v>
      </c>
      <c r="F1122" t="s">
        <v>11610</v>
      </c>
      <c r="L1122">
        <v>0</v>
      </c>
      <c r="M1122">
        <v>0</v>
      </c>
      <c r="N1122">
        <v>0</v>
      </c>
    </row>
    <row r="1123" spans="1:15">
      <c r="A1123" t="s">
        <v>3763</v>
      </c>
      <c r="B1123" t="s">
        <v>11607</v>
      </c>
      <c r="C1123" t="s">
        <v>15037</v>
      </c>
      <c r="D1123" t="s">
        <v>15038</v>
      </c>
      <c r="E1123" t="b">
        <v>0</v>
      </c>
      <c r="F1123" t="s">
        <v>11622</v>
      </c>
      <c r="L1123">
        <v>1</v>
      </c>
      <c r="M1123">
        <v>4</v>
      </c>
      <c r="N1123">
        <v>3</v>
      </c>
    </row>
    <row r="1124" spans="1:15">
      <c r="A1124" t="s">
        <v>6742</v>
      </c>
      <c r="D1124" t="s">
        <v>15039</v>
      </c>
      <c r="E1124" t="b">
        <v>0</v>
      </c>
      <c r="F1124" t="s">
        <v>11622</v>
      </c>
      <c r="L1124">
        <v>860</v>
      </c>
      <c r="M1124">
        <v>1432</v>
      </c>
      <c r="N1124">
        <v>2419</v>
      </c>
    </row>
    <row r="1125" spans="1:15">
      <c r="A1125" t="s">
        <v>15040</v>
      </c>
      <c r="B1125" t="s">
        <v>12241</v>
      </c>
      <c r="C1125" t="s">
        <v>12241</v>
      </c>
      <c r="D1125" t="s">
        <v>15041</v>
      </c>
      <c r="E1125" t="b">
        <v>0</v>
      </c>
      <c r="F1125" t="s">
        <v>11622</v>
      </c>
      <c r="L1125">
        <v>0</v>
      </c>
      <c r="M1125">
        <v>11</v>
      </c>
      <c r="N1125">
        <v>0</v>
      </c>
    </row>
    <row r="1126" spans="1:15">
      <c r="A1126" t="s">
        <v>12295</v>
      </c>
      <c r="B1126" t="s">
        <v>12128</v>
      </c>
      <c r="C1126" t="s">
        <v>12128</v>
      </c>
      <c r="D1126" t="s">
        <v>15042</v>
      </c>
      <c r="E1126" t="b">
        <v>0</v>
      </c>
      <c r="F1126" t="s">
        <v>11622</v>
      </c>
      <c r="L1126">
        <v>0</v>
      </c>
      <c r="M1126">
        <v>3</v>
      </c>
      <c r="N1126">
        <v>0</v>
      </c>
    </row>
    <row r="1127" spans="1:15">
      <c r="A1127" t="s">
        <v>15043</v>
      </c>
      <c r="B1127" t="s">
        <v>11637</v>
      </c>
      <c r="C1127" t="s">
        <v>15044</v>
      </c>
      <c r="D1127" t="s">
        <v>15045</v>
      </c>
      <c r="E1127" t="b">
        <v>0</v>
      </c>
      <c r="F1127" t="s">
        <v>11610</v>
      </c>
      <c r="L1127">
        <v>0</v>
      </c>
      <c r="M1127">
        <v>0</v>
      </c>
      <c r="N1127">
        <v>0</v>
      </c>
    </row>
    <row r="1128" spans="1:15">
      <c r="A1128" t="s">
        <v>15046</v>
      </c>
      <c r="B1128" t="s">
        <v>15047</v>
      </c>
      <c r="C1128" t="s">
        <v>15047</v>
      </c>
      <c r="D1128" t="s">
        <v>15048</v>
      </c>
      <c r="E1128" t="b">
        <v>0</v>
      </c>
      <c r="F1128" t="s">
        <v>11624</v>
      </c>
      <c r="G1128">
        <v>-6.2712300000000001</v>
      </c>
      <c r="H1128">
        <v>138.666</v>
      </c>
      <c r="I1128" t="s">
        <v>15049</v>
      </c>
      <c r="L1128">
        <v>0</v>
      </c>
      <c r="M1128">
        <v>0</v>
      </c>
      <c r="N1128">
        <v>0</v>
      </c>
      <c r="O1128" t="s">
        <v>11768</v>
      </c>
    </row>
    <row r="1129" spans="1:15">
      <c r="A1129" t="s">
        <v>15050</v>
      </c>
      <c r="B1129" t="s">
        <v>11644</v>
      </c>
      <c r="C1129" t="s">
        <v>15051</v>
      </c>
      <c r="D1129" t="s">
        <v>15052</v>
      </c>
      <c r="E1129" t="b">
        <v>0</v>
      </c>
      <c r="F1129" t="s">
        <v>11624</v>
      </c>
      <c r="G1129">
        <v>25.346508</v>
      </c>
      <c r="H1129">
        <v>90.658721999999997</v>
      </c>
      <c r="I1129" t="s">
        <v>15053</v>
      </c>
      <c r="L1129">
        <v>0</v>
      </c>
      <c r="M1129">
        <v>0</v>
      </c>
      <c r="N1129">
        <v>0</v>
      </c>
      <c r="O1129" t="s">
        <v>15054</v>
      </c>
    </row>
    <row r="1130" spans="1:15">
      <c r="A1130" t="s">
        <v>15055</v>
      </c>
      <c r="B1130" t="s">
        <v>6742</v>
      </c>
      <c r="C1130" t="s">
        <v>15056</v>
      </c>
      <c r="D1130" t="s">
        <v>15057</v>
      </c>
      <c r="E1130" t="b">
        <v>0</v>
      </c>
      <c r="F1130" t="s">
        <v>11624</v>
      </c>
      <c r="G1130">
        <v>6.0353899999999996</v>
      </c>
      <c r="H1130">
        <v>9.7212099999999992</v>
      </c>
      <c r="I1130" t="s">
        <v>15058</v>
      </c>
      <c r="L1130">
        <v>0</v>
      </c>
      <c r="M1130">
        <v>0</v>
      </c>
      <c r="N1130">
        <v>0</v>
      </c>
      <c r="O1130" t="s">
        <v>11703</v>
      </c>
    </row>
    <row r="1131" spans="1:15">
      <c r="A1131" t="s">
        <v>15059</v>
      </c>
      <c r="B1131" t="s">
        <v>11894</v>
      </c>
      <c r="C1131" t="s">
        <v>13299</v>
      </c>
      <c r="D1131" t="s">
        <v>15060</v>
      </c>
      <c r="E1131" t="b">
        <v>0</v>
      </c>
      <c r="F1131" t="s">
        <v>11610</v>
      </c>
      <c r="L1131">
        <v>0</v>
      </c>
      <c r="M1131">
        <v>0</v>
      </c>
      <c r="N1131">
        <v>0</v>
      </c>
    </row>
    <row r="1132" spans="1:15">
      <c r="A1132" t="s">
        <v>15061</v>
      </c>
      <c r="B1132" t="s">
        <v>11894</v>
      </c>
      <c r="C1132" t="s">
        <v>15062</v>
      </c>
      <c r="D1132" t="s">
        <v>15063</v>
      </c>
      <c r="E1132" t="b">
        <v>0</v>
      </c>
      <c r="F1132" t="s">
        <v>11624</v>
      </c>
      <c r="G1132">
        <v>2.4809999999999999</v>
      </c>
      <c r="H1132">
        <v>-60.286000000000001</v>
      </c>
      <c r="I1132" t="s">
        <v>15064</v>
      </c>
      <c r="L1132">
        <v>0</v>
      </c>
      <c r="M1132">
        <v>0</v>
      </c>
      <c r="N1132">
        <v>0</v>
      </c>
      <c r="O1132" t="s">
        <v>15065</v>
      </c>
    </row>
    <row r="1133" spans="1:15">
      <c r="A1133" t="s">
        <v>15066</v>
      </c>
      <c r="B1133" t="s">
        <v>9578</v>
      </c>
      <c r="C1133" t="s">
        <v>238</v>
      </c>
      <c r="D1133" t="s">
        <v>15067</v>
      </c>
      <c r="E1133" t="b">
        <v>0</v>
      </c>
      <c r="F1133" t="s">
        <v>11622</v>
      </c>
      <c r="L1133">
        <v>1</v>
      </c>
      <c r="M1133">
        <v>3</v>
      </c>
      <c r="N1133">
        <v>0</v>
      </c>
    </row>
    <row r="1134" spans="1:15">
      <c r="A1134" t="s">
        <v>15068</v>
      </c>
      <c r="B1134" t="s">
        <v>8310</v>
      </c>
      <c r="C1134" t="s">
        <v>15069</v>
      </c>
      <c r="D1134" t="s">
        <v>15070</v>
      </c>
      <c r="E1134" t="b">
        <v>0</v>
      </c>
      <c r="F1134" t="s">
        <v>11610</v>
      </c>
      <c r="L1134">
        <v>0</v>
      </c>
      <c r="M1134">
        <v>0</v>
      </c>
      <c r="N1134">
        <v>0</v>
      </c>
    </row>
    <row r="1135" spans="1:15">
      <c r="A1135" t="s">
        <v>15071</v>
      </c>
      <c r="B1135" t="s">
        <v>11607</v>
      </c>
      <c r="C1135" t="s">
        <v>13237</v>
      </c>
      <c r="D1135" t="s">
        <v>15072</v>
      </c>
      <c r="E1135" t="b">
        <v>0</v>
      </c>
      <c r="F1135" t="s">
        <v>11610</v>
      </c>
      <c r="L1135">
        <v>0</v>
      </c>
      <c r="M1135">
        <v>0</v>
      </c>
      <c r="N1135">
        <v>0</v>
      </c>
    </row>
    <row r="1136" spans="1:15">
      <c r="A1136" t="s">
        <v>15073</v>
      </c>
      <c r="B1136" t="s">
        <v>6742</v>
      </c>
      <c r="C1136" t="s">
        <v>15074</v>
      </c>
      <c r="D1136" t="s">
        <v>15075</v>
      </c>
      <c r="E1136" t="b">
        <v>0</v>
      </c>
      <c r="F1136" t="s">
        <v>11624</v>
      </c>
      <c r="G1136">
        <v>9.9591399999999997</v>
      </c>
      <c r="H1136">
        <v>8.4830100000000002</v>
      </c>
      <c r="I1136" t="s">
        <v>15076</v>
      </c>
      <c r="L1136">
        <v>0</v>
      </c>
      <c r="M1136">
        <v>0</v>
      </c>
      <c r="N1136">
        <v>0</v>
      </c>
      <c r="O1136" t="s">
        <v>11693</v>
      </c>
    </row>
    <row r="1137" spans="1:15">
      <c r="A1137" t="s">
        <v>15077</v>
      </c>
      <c r="B1137" t="s">
        <v>13244</v>
      </c>
      <c r="C1137" t="s">
        <v>14408</v>
      </c>
      <c r="D1137" t="s">
        <v>15078</v>
      </c>
      <c r="E1137" t="b">
        <v>0</v>
      </c>
      <c r="F1137" t="s">
        <v>11624</v>
      </c>
      <c r="G1137">
        <v>-14.166600000000001</v>
      </c>
      <c r="H1137">
        <v>-69.5</v>
      </c>
      <c r="I1137" t="s">
        <v>15079</v>
      </c>
      <c r="L1137">
        <v>0</v>
      </c>
      <c r="M1137">
        <v>0</v>
      </c>
      <c r="N1137">
        <v>0</v>
      </c>
      <c r="O1137" t="s">
        <v>11778</v>
      </c>
    </row>
    <row r="1138" spans="1:15">
      <c r="A1138" t="s">
        <v>15080</v>
      </c>
      <c r="B1138" t="s">
        <v>12575</v>
      </c>
      <c r="C1138" t="s">
        <v>12576</v>
      </c>
      <c r="D1138" t="s">
        <v>15081</v>
      </c>
      <c r="E1138" t="b">
        <v>0</v>
      </c>
      <c r="F1138" t="s">
        <v>11610</v>
      </c>
      <c r="L1138">
        <v>0</v>
      </c>
      <c r="M1138">
        <v>0</v>
      </c>
      <c r="N1138">
        <v>0</v>
      </c>
    </row>
    <row r="1139" spans="1:15">
      <c r="A1139" t="s">
        <v>15082</v>
      </c>
      <c r="B1139" t="s">
        <v>11941</v>
      </c>
      <c r="C1139" t="s">
        <v>11941</v>
      </c>
      <c r="D1139" t="s">
        <v>15083</v>
      </c>
      <c r="E1139" t="b">
        <v>0</v>
      </c>
      <c r="F1139" t="s">
        <v>11624</v>
      </c>
      <c r="G1139">
        <v>40.427100000000003</v>
      </c>
      <c r="H1139">
        <v>-120.661</v>
      </c>
      <c r="I1139" t="s">
        <v>15084</v>
      </c>
      <c r="L1139">
        <v>0</v>
      </c>
      <c r="M1139">
        <v>0</v>
      </c>
      <c r="N1139">
        <v>0</v>
      </c>
      <c r="O1139" t="s">
        <v>11944</v>
      </c>
    </row>
    <row r="1140" spans="1:15">
      <c r="A1140" t="s">
        <v>15085</v>
      </c>
      <c r="B1140" t="s">
        <v>11844</v>
      </c>
      <c r="C1140" t="s">
        <v>15086</v>
      </c>
      <c r="D1140" t="s">
        <v>15087</v>
      </c>
      <c r="E1140" t="b">
        <v>0</v>
      </c>
      <c r="F1140" t="s">
        <v>11624</v>
      </c>
      <c r="I1140" t="s">
        <v>15088</v>
      </c>
      <c r="L1140">
        <v>0</v>
      </c>
      <c r="M1140">
        <v>0</v>
      </c>
      <c r="N1140">
        <v>0</v>
      </c>
      <c r="O1140" t="s">
        <v>11630</v>
      </c>
    </row>
    <row r="1141" spans="1:15">
      <c r="A1141" t="s">
        <v>15089</v>
      </c>
      <c r="B1141" t="s">
        <v>367</v>
      </c>
      <c r="C1141" t="s">
        <v>12025</v>
      </c>
      <c r="D1141" t="s">
        <v>15090</v>
      </c>
      <c r="E1141" t="b">
        <v>0</v>
      </c>
      <c r="F1141" t="s">
        <v>11622</v>
      </c>
      <c r="L1141">
        <v>0</v>
      </c>
      <c r="M1141">
        <v>3</v>
      </c>
      <c r="N1141">
        <v>0</v>
      </c>
    </row>
    <row r="1142" spans="1:15">
      <c r="A1142" t="s">
        <v>15091</v>
      </c>
      <c r="B1142" t="s">
        <v>6742</v>
      </c>
      <c r="C1142" t="s">
        <v>12342</v>
      </c>
      <c r="D1142" t="s">
        <v>15092</v>
      </c>
      <c r="E1142" t="b">
        <v>0</v>
      </c>
      <c r="F1142" t="s">
        <v>11624</v>
      </c>
      <c r="G1142">
        <v>5.9977</v>
      </c>
      <c r="H1142">
        <v>-3.8209</v>
      </c>
      <c r="I1142" t="s">
        <v>15093</v>
      </c>
      <c r="L1142">
        <v>0</v>
      </c>
      <c r="M1142">
        <v>0</v>
      </c>
      <c r="N1142">
        <v>3</v>
      </c>
      <c r="O1142" t="s">
        <v>11735</v>
      </c>
    </row>
    <row r="1143" spans="1:15">
      <c r="A1143" t="s">
        <v>15094</v>
      </c>
      <c r="B1143" t="s">
        <v>11637</v>
      </c>
      <c r="C1143" t="s">
        <v>12163</v>
      </c>
      <c r="D1143" t="s">
        <v>15095</v>
      </c>
      <c r="E1143" t="b">
        <v>0</v>
      </c>
      <c r="F1143" t="s">
        <v>11610</v>
      </c>
      <c r="L1143">
        <v>0</v>
      </c>
      <c r="M1143">
        <v>0</v>
      </c>
      <c r="N1143">
        <v>0</v>
      </c>
    </row>
    <row r="1144" spans="1:15">
      <c r="A1144" t="s">
        <v>15096</v>
      </c>
      <c r="B1144" t="s">
        <v>11637</v>
      </c>
      <c r="C1144" t="s">
        <v>15097</v>
      </c>
      <c r="D1144" t="s">
        <v>15098</v>
      </c>
      <c r="E1144" t="b">
        <v>0</v>
      </c>
      <c r="F1144" t="s">
        <v>11610</v>
      </c>
      <c r="L1144">
        <v>0</v>
      </c>
      <c r="M1144">
        <v>0</v>
      </c>
      <c r="N1144">
        <v>0</v>
      </c>
    </row>
    <row r="1145" spans="1:15">
      <c r="A1145" t="s">
        <v>15099</v>
      </c>
      <c r="B1145" t="s">
        <v>11627</v>
      </c>
      <c r="C1145" t="s">
        <v>11627</v>
      </c>
      <c r="D1145" t="s">
        <v>15100</v>
      </c>
      <c r="E1145" t="b">
        <v>1</v>
      </c>
      <c r="F1145" t="s">
        <v>11624</v>
      </c>
      <c r="I1145" t="s">
        <v>15101</v>
      </c>
      <c r="L1145">
        <v>0</v>
      </c>
      <c r="M1145">
        <v>0</v>
      </c>
      <c r="N1145">
        <v>0</v>
      </c>
    </row>
    <row r="1146" spans="1:15">
      <c r="A1146" t="s">
        <v>15102</v>
      </c>
      <c r="B1146" t="s">
        <v>13276</v>
      </c>
      <c r="C1146" t="s">
        <v>15103</v>
      </c>
      <c r="D1146" t="s">
        <v>15104</v>
      </c>
      <c r="E1146" t="b">
        <v>0</v>
      </c>
      <c r="F1146" t="s">
        <v>11610</v>
      </c>
      <c r="L1146">
        <v>0</v>
      </c>
      <c r="M1146">
        <v>0</v>
      </c>
      <c r="N1146">
        <v>0</v>
      </c>
    </row>
    <row r="1147" spans="1:15">
      <c r="A1147" t="s">
        <v>15105</v>
      </c>
      <c r="B1147" t="s">
        <v>11879</v>
      </c>
      <c r="C1147" t="s">
        <v>15106</v>
      </c>
      <c r="D1147" t="s">
        <v>15107</v>
      </c>
      <c r="E1147" t="b">
        <v>0</v>
      </c>
      <c r="F1147" t="s">
        <v>11624</v>
      </c>
      <c r="G1147">
        <v>19.3871</v>
      </c>
      <c r="H1147">
        <v>-99.923900000000003</v>
      </c>
      <c r="I1147" t="s">
        <v>15108</v>
      </c>
      <c r="L1147">
        <v>0</v>
      </c>
      <c r="M1147">
        <v>0</v>
      </c>
      <c r="N1147">
        <v>0</v>
      </c>
      <c r="O1147" t="s">
        <v>11883</v>
      </c>
    </row>
    <row r="1148" spans="1:15">
      <c r="A1148" t="s">
        <v>15109</v>
      </c>
      <c r="B1148" t="s">
        <v>367</v>
      </c>
      <c r="C1148" t="s">
        <v>15110</v>
      </c>
      <c r="D1148" t="s">
        <v>15111</v>
      </c>
      <c r="E1148" t="b">
        <v>0</v>
      </c>
      <c r="F1148" t="s">
        <v>11610</v>
      </c>
      <c r="L1148">
        <v>0</v>
      </c>
      <c r="M1148">
        <v>0</v>
      </c>
      <c r="N1148">
        <v>0</v>
      </c>
    </row>
    <row r="1149" spans="1:15">
      <c r="A1149" t="s">
        <v>15112</v>
      </c>
      <c r="B1149" t="s">
        <v>367</v>
      </c>
      <c r="C1149" t="s">
        <v>15113</v>
      </c>
      <c r="D1149" t="s">
        <v>15114</v>
      </c>
      <c r="E1149" t="b">
        <v>0</v>
      </c>
      <c r="F1149" t="s">
        <v>11610</v>
      </c>
      <c r="L1149">
        <v>0</v>
      </c>
      <c r="M1149">
        <v>0</v>
      </c>
      <c r="N1149">
        <v>0</v>
      </c>
    </row>
    <row r="1150" spans="1:15">
      <c r="A1150" t="s">
        <v>8696</v>
      </c>
      <c r="B1150" t="s">
        <v>11615</v>
      </c>
      <c r="C1150" t="s">
        <v>15115</v>
      </c>
      <c r="D1150" t="s">
        <v>15116</v>
      </c>
      <c r="E1150" t="b">
        <v>0</v>
      </c>
      <c r="F1150" t="s">
        <v>11622</v>
      </c>
      <c r="L1150">
        <v>0</v>
      </c>
      <c r="M1150">
        <v>2</v>
      </c>
      <c r="N1150">
        <v>4</v>
      </c>
    </row>
    <row r="1151" spans="1:15">
      <c r="A1151" t="s">
        <v>15117</v>
      </c>
      <c r="B1151" t="s">
        <v>6742</v>
      </c>
      <c r="C1151" t="s">
        <v>15118</v>
      </c>
      <c r="D1151" t="s">
        <v>15119</v>
      </c>
      <c r="E1151" t="b">
        <v>0</v>
      </c>
      <c r="F1151" t="s">
        <v>11610</v>
      </c>
      <c r="L1151">
        <v>0</v>
      </c>
      <c r="M1151">
        <v>0</v>
      </c>
      <c r="N1151">
        <v>0</v>
      </c>
    </row>
    <row r="1152" spans="1:15">
      <c r="A1152" t="s">
        <v>15120</v>
      </c>
      <c r="B1152" t="s">
        <v>6742</v>
      </c>
      <c r="C1152" t="s">
        <v>15121</v>
      </c>
      <c r="D1152" t="s">
        <v>15122</v>
      </c>
      <c r="E1152" t="b">
        <v>0</v>
      </c>
      <c r="F1152" t="s">
        <v>11610</v>
      </c>
      <c r="L1152">
        <v>0</v>
      </c>
      <c r="M1152">
        <v>0</v>
      </c>
      <c r="N1152">
        <v>0</v>
      </c>
    </row>
    <row r="1153" spans="1:15">
      <c r="A1153" t="s">
        <v>15123</v>
      </c>
      <c r="B1153" t="s">
        <v>11981</v>
      </c>
      <c r="C1153" t="s">
        <v>13854</v>
      </c>
      <c r="D1153" t="s">
        <v>15124</v>
      </c>
      <c r="E1153" t="b">
        <v>0</v>
      </c>
      <c r="F1153" t="s">
        <v>11610</v>
      </c>
      <c r="L1153">
        <v>0</v>
      </c>
      <c r="M1153">
        <v>0</v>
      </c>
      <c r="N1153">
        <v>0</v>
      </c>
    </row>
    <row r="1154" spans="1:15">
      <c r="A1154" t="s">
        <v>15125</v>
      </c>
      <c r="B1154" t="s">
        <v>11615</v>
      </c>
      <c r="C1154" t="s">
        <v>13800</v>
      </c>
      <c r="D1154" t="s">
        <v>15126</v>
      </c>
      <c r="E1154" t="b">
        <v>0</v>
      </c>
      <c r="F1154" t="s">
        <v>11610</v>
      </c>
      <c r="L1154">
        <v>0</v>
      </c>
      <c r="M1154">
        <v>0</v>
      </c>
      <c r="N1154">
        <v>0</v>
      </c>
    </row>
    <row r="1155" spans="1:15">
      <c r="A1155" t="s">
        <v>15127</v>
      </c>
      <c r="B1155" t="s">
        <v>367</v>
      </c>
      <c r="C1155" t="s">
        <v>15128</v>
      </c>
      <c r="D1155" t="s">
        <v>15129</v>
      </c>
      <c r="E1155" t="b">
        <v>0</v>
      </c>
      <c r="F1155" t="s">
        <v>11624</v>
      </c>
      <c r="G1155">
        <v>-10.0959</v>
      </c>
      <c r="H1155">
        <v>151.00200000000001</v>
      </c>
      <c r="I1155" t="s">
        <v>15130</v>
      </c>
      <c r="L1155">
        <v>0</v>
      </c>
      <c r="M1155">
        <v>0</v>
      </c>
      <c r="N1155">
        <v>0</v>
      </c>
      <c r="O1155" t="s">
        <v>11660</v>
      </c>
    </row>
    <row r="1156" spans="1:15">
      <c r="A1156" t="s">
        <v>15131</v>
      </c>
      <c r="B1156" t="s">
        <v>15132</v>
      </c>
      <c r="C1156" t="s">
        <v>15133</v>
      </c>
      <c r="D1156" t="s">
        <v>15134</v>
      </c>
      <c r="E1156" t="b">
        <v>0</v>
      </c>
      <c r="F1156" t="s">
        <v>11610</v>
      </c>
      <c r="L1156">
        <v>0</v>
      </c>
      <c r="M1156">
        <v>0</v>
      </c>
      <c r="N1156">
        <v>0</v>
      </c>
    </row>
    <row r="1157" spans="1:15">
      <c r="A1157" t="s">
        <v>15135</v>
      </c>
      <c r="B1157" t="s">
        <v>11637</v>
      </c>
      <c r="C1157" t="s">
        <v>1482</v>
      </c>
      <c r="D1157" t="s">
        <v>15136</v>
      </c>
      <c r="E1157" t="b">
        <v>0</v>
      </c>
      <c r="F1157" t="s">
        <v>11610</v>
      </c>
      <c r="L1157">
        <v>0</v>
      </c>
      <c r="M1157">
        <v>0</v>
      </c>
      <c r="N1157">
        <v>3</v>
      </c>
    </row>
    <row r="1158" spans="1:15">
      <c r="A1158" t="s">
        <v>15137</v>
      </c>
      <c r="B1158" t="s">
        <v>367</v>
      </c>
      <c r="C1158" t="s">
        <v>15138</v>
      </c>
      <c r="D1158" t="s">
        <v>15139</v>
      </c>
      <c r="E1158" t="b">
        <v>0</v>
      </c>
      <c r="F1158" t="s">
        <v>11624</v>
      </c>
      <c r="G1158">
        <v>-16.357900000000001</v>
      </c>
      <c r="H1158">
        <v>167.697</v>
      </c>
      <c r="I1158" t="s">
        <v>15140</v>
      </c>
      <c r="L1158">
        <v>0</v>
      </c>
      <c r="M1158">
        <v>0</v>
      </c>
      <c r="N1158">
        <v>2</v>
      </c>
      <c r="O1158" t="s">
        <v>12719</v>
      </c>
    </row>
    <row r="1159" spans="1:15">
      <c r="A1159" t="s">
        <v>15141</v>
      </c>
      <c r="B1159" t="s">
        <v>15142</v>
      </c>
      <c r="C1159" t="s">
        <v>15143</v>
      </c>
      <c r="D1159" t="s">
        <v>15144</v>
      </c>
      <c r="E1159" t="b">
        <v>0</v>
      </c>
      <c r="F1159" t="s">
        <v>11610</v>
      </c>
      <c r="L1159">
        <v>0</v>
      </c>
      <c r="M1159">
        <v>0</v>
      </c>
      <c r="N1159">
        <v>0</v>
      </c>
    </row>
    <row r="1160" spans="1:15">
      <c r="A1160" t="s">
        <v>15145</v>
      </c>
      <c r="B1160" t="s">
        <v>15146</v>
      </c>
      <c r="C1160" t="s">
        <v>15147</v>
      </c>
      <c r="D1160" t="s">
        <v>15148</v>
      </c>
      <c r="E1160" t="b">
        <v>0</v>
      </c>
      <c r="F1160" t="s">
        <v>11610</v>
      </c>
      <c r="L1160">
        <v>0</v>
      </c>
      <c r="M1160">
        <v>0</v>
      </c>
      <c r="N1160">
        <v>0</v>
      </c>
    </row>
    <row r="1161" spans="1:15">
      <c r="A1161" t="s">
        <v>15149</v>
      </c>
      <c r="B1161" t="s">
        <v>15146</v>
      </c>
      <c r="C1161" t="s">
        <v>15150</v>
      </c>
      <c r="D1161" t="s">
        <v>15151</v>
      </c>
      <c r="E1161" t="b">
        <v>0</v>
      </c>
      <c r="F1161" t="s">
        <v>11610</v>
      </c>
      <c r="L1161">
        <v>0</v>
      </c>
      <c r="M1161">
        <v>0</v>
      </c>
      <c r="N1161">
        <v>0</v>
      </c>
    </row>
    <row r="1162" spans="1:15">
      <c r="A1162" t="s">
        <v>15152</v>
      </c>
      <c r="B1162" t="s">
        <v>11834</v>
      </c>
      <c r="C1162" t="s">
        <v>11834</v>
      </c>
      <c r="D1162" t="s">
        <v>15153</v>
      </c>
      <c r="E1162" t="b">
        <v>0</v>
      </c>
      <c r="F1162" t="s">
        <v>11622</v>
      </c>
      <c r="L1162">
        <v>1</v>
      </c>
      <c r="M1162">
        <v>3</v>
      </c>
      <c r="N1162">
        <v>2</v>
      </c>
    </row>
    <row r="1163" spans="1:15">
      <c r="A1163" t="s">
        <v>15154</v>
      </c>
      <c r="B1163" t="s">
        <v>15155</v>
      </c>
      <c r="C1163" t="s">
        <v>15155</v>
      </c>
      <c r="D1163" t="s">
        <v>15156</v>
      </c>
      <c r="E1163" t="b">
        <v>0</v>
      </c>
      <c r="F1163" t="s">
        <v>11610</v>
      </c>
      <c r="L1163">
        <v>0</v>
      </c>
      <c r="M1163">
        <v>0</v>
      </c>
      <c r="N1163">
        <v>0</v>
      </c>
    </row>
    <row r="1164" spans="1:15">
      <c r="A1164" t="s">
        <v>15157</v>
      </c>
      <c r="B1164" t="s">
        <v>11912</v>
      </c>
      <c r="C1164" t="s">
        <v>15158</v>
      </c>
      <c r="D1164" t="s">
        <v>15159</v>
      </c>
      <c r="E1164" t="b">
        <v>0</v>
      </c>
      <c r="F1164" t="s">
        <v>11624</v>
      </c>
      <c r="G1164">
        <v>-4.1369999999999996</v>
      </c>
      <c r="H1164">
        <v>-46.792000000000002</v>
      </c>
      <c r="I1164" t="s">
        <v>15160</v>
      </c>
      <c r="L1164">
        <v>0</v>
      </c>
      <c r="M1164">
        <v>0</v>
      </c>
      <c r="N1164">
        <v>0</v>
      </c>
      <c r="O1164" t="s">
        <v>11969</v>
      </c>
    </row>
    <row r="1165" spans="1:15">
      <c r="A1165" t="s">
        <v>15161</v>
      </c>
      <c r="B1165" t="s">
        <v>15162</v>
      </c>
      <c r="C1165" t="s">
        <v>15163</v>
      </c>
      <c r="D1165" t="s">
        <v>15164</v>
      </c>
      <c r="E1165" t="b">
        <v>0</v>
      </c>
      <c r="F1165" t="s">
        <v>11610</v>
      </c>
      <c r="L1165">
        <v>0</v>
      </c>
      <c r="M1165">
        <v>0</v>
      </c>
      <c r="N1165">
        <v>0</v>
      </c>
    </row>
    <row r="1166" spans="1:15">
      <c r="A1166" t="s">
        <v>3820</v>
      </c>
      <c r="B1166" t="s">
        <v>6742</v>
      </c>
      <c r="C1166" t="s">
        <v>15165</v>
      </c>
      <c r="D1166" t="s">
        <v>15166</v>
      </c>
      <c r="E1166" t="b">
        <v>0</v>
      </c>
      <c r="F1166" t="s">
        <v>11624</v>
      </c>
      <c r="G1166">
        <v>-11.6295</v>
      </c>
      <c r="H1166">
        <v>29.0168</v>
      </c>
      <c r="I1166" t="s">
        <v>3821</v>
      </c>
      <c r="L1166">
        <v>0</v>
      </c>
      <c r="M1166">
        <v>0</v>
      </c>
      <c r="N1166">
        <v>0</v>
      </c>
      <c r="O1166" t="s">
        <v>15167</v>
      </c>
    </row>
    <row r="1167" spans="1:15">
      <c r="A1167" t="s">
        <v>15168</v>
      </c>
      <c r="B1167" t="s">
        <v>13741</v>
      </c>
      <c r="C1167" t="s">
        <v>15169</v>
      </c>
      <c r="D1167" t="s">
        <v>15170</v>
      </c>
      <c r="E1167" t="b">
        <v>0</v>
      </c>
      <c r="F1167" t="s">
        <v>11624</v>
      </c>
      <c r="G1167">
        <v>-3.3195999999999999</v>
      </c>
      <c r="H1167">
        <v>-74.5411</v>
      </c>
      <c r="I1167" t="s">
        <v>15171</v>
      </c>
      <c r="L1167">
        <v>0</v>
      </c>
      <c r="M1167">
        <v>0</v>
      </c>
      <c r="N1167">
        <v>0</v>
      </c>
      <c r="O1167" t="s">
        <v>11778</v>
      </c>
    </row>
    <row r="1168" spans="1:15">
      <c r="A1168" t="s">
        <v>15172</v>
      </c>
      <c r="B1168" t="s">
        <v>11607</v>
      </c>
      <c r="C1168" t="s">
        <v>996</v>
      </c>
      <c r="D1168" t="s">
        <v>15173</v>
      </c>
      <c r="E1168" t="b">
        <v>0</v>
      </c>
      <c r="F1168" t="s">
        <v>11610</v>
      </c>
      <c r="L1168">
        <v>0</v>
      </c>
      <c r="M1168">
        <v>0</v>
      </c>
      <c r="N1168">
        <v>0</v>
      </c>
    </row>
    <row r="1169" spans="1:15">
      <c r="A1169" t="s">
        <v>15174</v>
      </c>
      <c r="B1169" t="s">
        <v>13450</v>
      </c>
      <c r="C1169" t="s">
        <v>15175</v>
      </c>
      <c r="D1169" t="s">
        <v>15176</v>
      </c>
      <c r="E1169" t="b">
        <v>0</v>
      </c>
      <c r="F1169" t="s">
        <v>11610</v>
      </c>
      <c r="L1169">
        <v>0</v>
      </c>
      <c r="M1169">
        <v>0</v>
      </c>
      <c r="N1169">
        <v>0</v>
      </c>
    </row>
    <row r="1170" spans="1:15">
      <c r="A1170" t="s">
        <v>15177</v>
      </c>
      <c r="B1170" t="s">
        <v>11981</v>
      </c>
      <c r="C1170" t="s">
        <v>13026</v>
      </c>
      <c r="D1170" t="s">
        <v>15178</v>
      </c>
      <c r="E1170" t="b">
        <v>0</v>
      </c>
      <c r="F1170" t="s">
        <v>11624</v>
      </c>
      <c r="G1170">
        <v>48.119700000000002</v>
      </c>
      <c r="H1170">
        <v>16.225000000000001</v>
      </c>
      <c r="I1170" t="s">
        <v>15179</v>
      </c>
      <c r="L1170">
        <v>0</v>
      </c>
      <c r="M1170">
        <v>0</v>
      </c>
      <c r="N1170">
        <v>0</v>
      </c>
      <c r="O1170" t="s">
        <v>15180</v>
      </c>
    </row>
    <row r="1171" spans="1:15">
      <c r="A1171" t="s">
        <v>15181</v>
      </c>
      <c r="B1171" t="s">
        <v>11981</v>
      </c>
      <c r="C1171" t="s">
        <v>15182</v>
      </c>
      <c r="D1171" t="s">
        <v>15183</v>
      </c>
      <c r="E1171" t="b">
        <v>0</v>
      </c>
      <c r="F1171" t="s">
        <v>11624</v>
      </c>
      <c r="G1171">
        <v>-25</v>
      </c>
      <c r="H1171">
        <v>135</v>
      </c>
      <c r="I1171" t="s">
        <v>15184</v>
      </c>
      <c r="L1171">
        <v>0</v>
      </c>
      <c r="M1171">
        <v>0</v>
      </c>
      <c r="N1171">
        <v>0</v>
      </c>
      <c r="O1171" t="s">
        <v>12107</v>
      </c>
    </row>
    <row r="1172" spans="1:15">
      <c r="A1172" t="s">
        <v>15185</v>
      </c>
      <c r="B1172" t="s">
        <v>11981</v>
      </c>
      <c r="C1172" t="s">
        <v>15186</v>
      </c>
      <c r="D1172" t="s">
        <v>15187</v>
      </c>
      <c r="E1172" t="b">
        <v>0</v>
      </c>
      <c r="F1172" t="s">
        <v>11624</v>
      </c>
      <c r="G1172">
        <v>-30</v>
      </c>
      <c r="H1172">
        <v>145</v>
      </c>
      <c r="I1172" t="s">
        <v>15188</v>
      </c>
      <c r="L1172">
        <v>0</v>
      </c>
      <c r="M1172">
        <v>0</v>
      </c>
      <c r="N1172">
        <v>0</v>
      </c>
      <c r="O1172" t="s">
        <v>12107</v>
      </c>
    </row>
    <row r="1173" spans="1:15">
      <c r="A1173" t="s">
        <v>15189</v>
      </c>
      <c r="B1173" t="s">
        <v>367</v>
      </c>
      <c r="C1173" t="s">
        <v>15190</v>
      </c>
      <c r="D1173" t="s">
        <v>15191</v>
      </c>
      <c r="E1173" t="b">
        <v>0</v>
      </c>
      <c r="F1173" t="s">
        <v>11624</v>
      </c>
      <c r="G1173">
        <v>-23.3843</v>
      </c>
      <c r="H1173">
        <v>-149.46199999999999</v>
      </c>
      <c r="I1173" t="s">
        <v>15192</v>
      </c>
      <c r="L1173">
        <v>0</v>
      </c>
      <c r="M1173">
        <v>0</v>
      </c>
      <c r="N1173">
        <v>4</v>
      </c>
      <c r="O1173" t="s">
        <v>15193</v>
      </c>
    </row>
    <row r="1174" spans="1:15">
      <c r="A1174" t="s">
        <v>12438</v>
      </c>
      <c r="D1174" t="s">
        <v>15194</v>
      </c>
      <c r="E1174" t="b">
        <v>0</v>
      </c>
      <c r="F1174" t="s">
        <v>11622</v>
      </c>
      <c r="L1174">
        <v>96</v>
      </c>
      <c r="M1174">
        <v>159</v>
      </c>
      <c r="N1174">
        <v>250</v>
      </c>
    </row>
    <row r="1175" spans="1:15">
      <c r="A1175" t="s">
        <v>367</v>
      </c>
      <c r="D1175" t="s">
        <v>15195</v>
      </c>
      <c r="E1175" t="b">
        <v>0</v>
      </c>
      <c r="F1175" t="s">
        <v>11622</v>
      </c>
      <c r="L1175">
        <v>719</v>
      </c>
      <c r="M1175">
        <v>1275</v>
      </c>
      <c r="N1175">
        <v>1864</v>
      </c>
    </row>
    <row r="1176" spans="1:15">
      <c r="A1176" t="s">
        <v>15186</v>
      </c>
      <c r="B1176" t="s">
        <v>11981</v>
      </c>
      <c r="C1176" t="s">
        <v>15196</v>
      </c>
      <c r="D1176" t="s">
        <v>15197</v>
      </c>
      <c r="E1176" t="b">
        <v>0</v>
      </c>
      <c r="F1176" t="s">
        <v>11622</v>
      </c>
      <c r="L1176">
        <v>0</v>
      </c>
      <c r="M1176">
        <v>2</v>
      </c>
      <c r="N1176">
        <v>0</v>
      </c>
    </row>
    <row r="1177" spans="1:15">
      <c r="A1177" t="s">
        <v>15198</v>
      </c>
      <c r="B1177" t="s">
        <v>12241</v>
      </c>
      <c r="C1177" t="s">
        <v>12241</v>
      </c>
      <c r="D1177" t="s">
        <v>15199</v>
      </c>
      <c r="E1177" t="b">
        <v>0</v>
      </c>
      <c r="F1177" t="s">
        <v>11622</v>
      </c>
      <c r="L1177">
        <v>0</v>
      </c>
      <c r="M1177">
        <v>4</v>
      </c>
      <c r="N1177">
        <v>0</v>
      </c>
    </row>
    <row r="1178" spans="1:15">
      <c r="A1178" t="s">
        <v>15200</v>
      </c>
      <c r="B1178" t="s">
        <v>11834</v>
      </c>
      <c r="C1178" t="s">
        <v>15152</v>
      </c>
      <c r="D1178" t="s">
        <v>15201</v>
      </c>
      <c r="E1178" t="b">
        <v>0</v>
      </c>
      <c r="F1178" t="s">
        <v>11624</v>
      </c>
      <c r="G1178">
        <v>-3.5327700000000002</v>
      </c>
      <c r="H1178">
        <v>142.10499999999999</v>
      </c>
      <c r="I1178" t="s">
        <v>15202</v>
      </c>
      <c r="L1178">
        <v>0</v>
      </c>
      <c r="M1178">
        <v>0</v>
      </c>
      <c r="N1178">
        <v>0</v>
      </c>
      <c r="O1178" t="s">
        <v>11660</v>
      </c>
    </row>
    <row r="1179" spans="1:15">
      <c r="A1179" t="s">
        <v>15203</v>
      </c>
      <c r="B1179" t="s">
        <v>11637</v>
      </c>
      <c r="C1179" t="s">
        <v>15204</v>
      </c>
      <c r="D1179" t="s">
        <v>15205</v>
      </c>
      <c r="E1179" t="b">
        <v>0</v>
      </c>
      <c r="F1179" t="s">
        <v>11610</v>
      </c>
      <c r="L1179">
        <v>0</v>
      </c>
      <c r="M1179">
        <v>0</v>
      </c>
      <c r="N1179">
        <v>2</v>
      </c>
    </row>
    <row r="1180" spans="1:15">
      <c r="A1180" t="s">
        <v>15206</v>
      </c>
      <c r="B1180" t="s">
        <v>11627</v>
      </c>
      <c r="C1180" t="s">
        <v>11627</v>
      </c>
      <c r="D1180" t="s">
        <v>15207</v>
      </c>
      <c r="E1180" t="b">
        <v>1</v>
      </c>
      <c r="F1180" t="s">
        <v>11624</v>
      </c>
      <c r="I1180" t="s">
        <v>15208</v>
      </c>
      <c r="L1180">
        <v>0</v>
      </c>
      <c r="M1180">
        <v>0</v>
      </c>
      <c r="N1180">
        <v>0</v>
      </c>
    </row>
    <row r="1181" spans="1:15">
      <c r="A1181" t="s">
        <v>15209</v>
      </c>
      <c r="B1181" t="s">
        <v>13769</v>
      </c>
      <c r="C1181" t="s">
        <v>13768</v>
      </c>
      <c r="D1181" t="s">
        <v>15210</v>
      </c>
      <c r="E1181" t="b">
        <v>0</v>
      </c>
      <c r="F1181" t="s">
        <v>11610</v>
      </c>
      <c r="L1181">
        <v>0</v>
      </c>
      <c r="M1181">
        <v>0</v>
      </c>
      <c r="N1181">
        <v>0</v>
      </c>
    </row>
    <row r="1182" spans="1:15">
      <c r="A1182" t="s">
        <v>15211</v>
      </c>
      <c r="B1182" t="s">
        <v>11871</v>
      </c>
      <c r="C1182" t="s">
        <v>1128</v>
      </c>
      <c r="D1182" t="s">
        <v>15212</v>
      </c>
      <c r="E1182" t="b">
        <v>0</v>
      </c>
      <c r="F1182" t="s">
        <v>11610</v>
      </c>
      <c r="L1182">
        <v>0</v>
      </c>
      <c r="M1182">
        <v>0</v>
      </c>
      <c r="N1182">
        <v>0</v>
      </c>
    </row>
    <row r="1183" spans="1:15">
      <c r="A1183" t="s">
        <v>15213</v>
      </c>
      <c r="B1183" t="s">
        <v>12532</v>
      </c>
      <c r="C1183" t="s">
        <v>15214</v>
      </c>
      <c r="D1183" t="s">
        <v>15215</v>
      </c>
      <c r="E1183" t="b">
        <v>0</v>
      </c>
      <c r="F1183" t="s">
        <v>11624</v>
      </c>
      <c r="G1183">
        <v>-3.3366199999999999</v>
      </c>
      <c r="H1183">
        <v>141.25399999999999</v>
      </c>
      <c r="I1183" t="s">
        <v>15216</v>
      </c>
      <c r="L1183">
        <v>0</v>
      </c>
      <c r="M1183">
        <v>0</v>
      </c>
      <c r="N1183">
        <v>0</v>
      </c>
      <c r="O1183" t="s">
        <v>11660</v>
      </c>
    </row>
    <row r="1184" spans="1:15">
      <c r="A1184" t="s">
        <v>15182</v>
      </c>
      <c r="B1184" t="s">
        <v>11981</v>
      </c>
      <c r="C1184" t="s">
        <v>11981</v>
      </c>
      <c r="D1184" t="s">
        <v>15217</v>
      </c>
      <c r="E1184" t="b">
        <v>0</v>
      </c>
      <c r="F1184" t="s">
        <v>11622</v>
      </c>
      <c r="L1184">
        <v>0</v>
      </c>
      <c r="M1184">
        <v>3</v>
      </c>
      <c r="N1184">
        <v>5</v>
      </c>
    </row>
    <row r="1185" spans="1:15">
      <c r="A1185" t="s">
        <v>15218</v>
      </c>
      <c r="B1185" t="s">
        <v>11615</v>
      </c>
      <c r="C1185" t="s">
        <v>15219</v>
      </c>
      <c r="D1185" t="s">
        <v>15220</v>
      </c>
      <c r="E1185" t="b">
        <v>0</v>
      </c>
      <c r="F1185" t="s">
        <v>11622</v>
      </c>
      <c r="L1185">
        <v>0</v>
      </c>
      <c r="M1185">
        <v>2</v>
      </c>
      <c r="N1185">
        <v>0</v>
      </c>
    </row>
    <row r="1186" spans="1:15">
      <c r="A1186" t="s">
        <v>15221</v>
      </c>
      <c r="B1186" t="s">
        <v>11615</v>
      </c>
      <c r="C1186" t="s">
        <v>15222</v>
      </c>
      <c r="D1186" t="s">
        <v>15223</v>
      </c>
      <c r="E1186" t="b">
        <v>0</v>
      </c>
      <c r="F1186" t="s">
        <v>11624</v>
      </c>
      <c r="G1186">
        <v>-3.4370500000000002</v>
      </c>
      <c r="H1186">
        <v>136.096</v>
      </c>
      <c r="I1186" t="s">
        <v>15224</v>
      </c>
      <c r="L1186">
        <v>0</v>
      </c>
      <c r="M1186">
        <v>0</v>
      </c>
      <c r="N1186">
        <v>0</v>
      </c>
      <c r="O1186" t="s">
        <v>11768</v>
      </c>
    </row>
    <row r="1187" spans="1:15">
      <c r="A1187" t="s">
        <v>15222</v>
      </c>
      <c r="B1187" t="s">
        <v>11615</v>
      </c>
      <c r="C1187" t="s">
        <v>15225</v>
      </c>
      <c r="D1187" t="s">
        <v>15226</v>
      </c>
      <c r="E1187" t="b">
        <v>0</v>
      </c>
      <c r="F1187" t="s">
        <v>11622</v>
      </c>
      <c r="L1187">
        <v>0</v>
      </c>
      <c r="M1187">
        <v>2</v>
      </c>
      <c r="N1187">
        <v>0</v>
      </c>
    </row>
    <row r="1188" spans="1:15">
      <c r="A1188" t="s">
        <v>15227</v>
      </c>
      <c r="B1188" t="s">
        <v>11607</v>
      </c>
      <c r="C1188" t="s">
        <v>15228</v>
      </c>
      <c r="D1188" t="s">
        <v>15229</v>
      </c>
      <c r="E1188" t="b">
        <v>0</v>
      </c>
      <c r="F1188" t="s">
        <v>11624</v>
      </c>
      <c r="G1188">
        <v>9.8574699999999993</v>
      </c>
      <c r="H1188">
        <v>11.321999999999999</v>
      </c>
      <c r="I1188" t="s">
        <v>15230</v>
      </c>
      <c r="L1188">
        <v>0</v>
      </c>
      <c r="M1188">
        <v>0</v>
      </c>
      <c r="N1188">
        <v>0</v>
      </c>
      <c r="O1188" t="s">
        <v>11693</v>
      </c>
    </row>
    <row r="1189" spans="1:15">
      <c r="A1189" t="s">
        <v>15231</v>
      </c>
      <c r="B1189" t="s">
        <v>11912</v>
      </c>
      <c r="C1189" t="s">
        <v>15232</v>
      </c>
      <c r="D1189" t="s">
        <v>15233</v>
      </c>
      <c r="E1189" t="b">
        <v>0</v>
      </c>
      <c r="F1189" t="s">
        <v>11610</v>
      </c>
      <c r="L1189">
        <v>0</v>
      </c>
      <c r="M1189">
        <v>0</v>
      </c>
      <c r="N1189">
        <v>0</v>
      </c>
    </row>
    <row r="1190" spans="1:15">
      <c r="A1190" t="s">
        <v>15234</v>
      </c>
      <c r="B1190" t="s">
        <v>11912</v>
      </c>
      <c r="C1190" t="s">
        <v>15235</v>
      </c>
      <c r="D1190" t="s">
        <v>15236</v>
      </c>
      <c r="E1190" t="b">
        <v>0</v>
      </c>
      <c r="F1190" t="s">
        <v>11624</v>
      </c>
      <c r="G1190">
        <v>-13.6081</v>
      </c>
      <c r="H1190">
        <v>-48.133600000000001</v>
      </c>
      <c r="I1190" t="s">
        <v>15237</v>
      </c>
      <c r="L1190">
        <v>0</v>
      </c>
      <c r="M1190">
        <v>0</v>
      </c>
      <c r="N1190">
        <v>0</v>
      </c>
      <c r="O1190" t="s">
        <v>11969</v>
      </c>
    </row>
    <row r="1191" spans="1:15">
      <c r="A1191" t="s">
        <v>15238</v>
      </c>
      <c r="B1191" t="s">
        <v>4725</v>
      </c>
      <c r="C1191" t="s">
        <v>4725</v>
      </c>
      <c r="D1191" t="s">
        <v>15239</v>
      </c>
      <c r="E1191" t="b">
        <v>0</v>
      </c>
      <c r="F1191" t="s">
        <v>11610</v>
      </c>
      <c r="L1191">
        <v>0</v>
      </c>
      <c r="M1191">
        <v>0</v>
      </c>
      <c r="N1191">
        <v>0</v>
      </c>
    </row>
    <row r="1192" spans="1:15">
      <c r="A1192" t="s">
        <v>15240</v>
      </c>
      <c r="B1192" t="s">
        <v>12260</v>
      </c>
      <c r="C1192" t="s">
        <v>7187</v>
      </c>
      <c r="D1192" t="s">
        <v>15241</v>
      </c>
      <c r="E1192" t="b">
        <v>0</v>
      </c>
      <c r="F1192" t="s">
        <v>11610</v>
      </c>
      <c r="L1192">
        <v>0</v>
      </c>
      <c r="M1192">
        <v>0</v>
      </c>
      <c r="N1192">
        <v>0</v>
      </c>
    </row>
    <row r="1193" spans="1:15">
      <c r="A1193" t="s">
        <v>13724</v>
      </c>
      <c r="B1193" t="s">
        <v>12311</v>
      </c>
      <c r="C1193" t="s">
        <v>15242</v>
      </c>
      <c r="D1193" t="s">
        <v>15243</v>
      </c>
      <c r="E1193" t="b">
        <v>0</v>
      </c>
      <c r="F1193" t="s">
        <v>11622</v>
      </c>
      <c r="L1193">
        <v>6</v>
      </c>
      <c r="M1193">
        <v>14</v>
      </c>
      <c r="N1193">
        <v>33</v>
      </c>
    </row>
    <row r="1194" spans="1:15">
      <c r="A1194" t="s">
        <v>13678</v>
      </c>
      <c r="B1194" t="s">
        <v>12311</v>
      </c>
      <c r="C1194" t="s">
        <v>13724</v>
      </c>
      <c r="D1194" t="s">
        <v>15244</v>
      </c>
      <c r="E1194" t="b">
        <v>0</v>
      </c>
      <c r="F1194" t="s">
        <v>11624</v>
      </c>
      <c r="G1194">
        <v>41.704700000000003</v>
      </c>
      <c r="H1194">
        <v>46.558</v>
      </c>
      <c r="I1194" t="s">
        <v>15245</v>
      </c>
      <c r="L1194">
        <v>0</v>
      </c>
      <c r="M1194">
        <v>0</v>
      </c>
      <c r="N1194">
        <v>14</v>
      </c>
      <c r="O1194" t="s">
        <v>15246</v>
      </c>
    </row>
    <row r="1195" spans="1:15">
      <c r="A1195" t="s">
        <v>15247</v>
      </c>
      <c r="B1195" t="s">
        <v>11729</v>
      </c>
      <c r="C1195" t="s">
        <v>15248</v>
      </c>
      <c r="D1195" t="s">
        <v>15249</v>
      </c>
      <c r="E1195" t="b">
        <v>0</v>
      </c>
      <c r="F1195" t="s">
        <v>11610</v>
      </c>
      <c r="L1195">
        <v>0</v>
      </c>
      <c r="M1195">
        <v>0</v>
      </c>
      <c r="N1195">
        <v>0</v>
      </c>
    </row>
    <row r="1196" spans="1:15">
      <c r="A1196" t="s">
        <v>15250</v>
      </c>
      <c r="B1196" t="s">
        <v>367</v>
      </c>
      <c r="C1196" t="s">
        <v>15251</v>
      </c>
      <c r="D1196" t="s">
        <v>15252</v>
      </c>
      <c r="E1196" t="b">
        <v>0</v>
      </c>
      <c r="F1196" t="s">
        <v>11610</v>
      </c>
      <c r="L1196">
        <v>0</v>
      </c>
      <c r="M1196">
        <v>0</v>
      </c>
      <c r="N1196">
        <v>0</v>
      </c>
    </row>
    <row r="1197" spans="1:15">
      <c r="A1197" t="s">
        <v>15253</v>
      </c>
      <c r="B1197" t="s">
        <v>6742</v>
      </c>
      <c r="C1197" t="s">
        <v>15254</v>
      </c>
      <c r="D1197" t="s">
        <v>15255</v>
      </c>
      <c r="E1197" t="b">
        <v>0</v>
      </c>
      <c r="F1197" t="s">
        <v>11622</v>
      </c>
      <c r="L1197">
        <v>1</v>
      </c>
      <c r="M1197">
        <v>3</v>
      </c>
      <c r="N1197">
        <v>0</v>
      </c>
    </row>
    <row r="1198" spans="1:15">
      <c r="A1198" t="s">
        <v>15256</v>
      </c>
      <c r="B1198" t="s">
        <v>6742</v>
      </c>
      <c r="C1198" t="s">
        <v>15253</v>
      </c>
      <c r="D1198" t="s">
        <v>15257</v>
      </c>
      <c r="E1198" t="b">
        <v>0</v>
      </c>
      <c r="F1198" t="s">
        <v>11624</v>
      </c>
      <c r="G1198">
        <v>6.8688000000000002</v>
      </c>
      <c r="H1198">
        <v>0.41314000000000001</v>
      </c>
      <c r="I1198" t="s">
        <v>15258</v>
      </c>
      <c r="L1198">
        <v>0</v>
      </c>
      <c r="M1198">
        <v>0</v>
      </c>
      <c r="N1198">
        <v>0</v>
      </c>
      <c r="O1198" t="s">
        <v>11985</v>
      </c>
    </row>
    <row r="1199" spans="1:15">
      <c r="A1199" t="s">
        <v>15259</v>
      </c>
      <c r="B1199" t="s">
        <v>367</v>
      </c>
      <c r="C1199" t="s">
        <v>12780</v>
      </c>
      <c r="D1199" t="s">
        <v>15260</v>
      </c>
      <c r="E1199" t="b">
        <v>0</v>
      </c>
      <c r="F1199" t="s">
        <v>11624</v>
      </c>
      <c r="G1199">
        <v>-6.2434200000000004</v>
      </c>
      <c r="H1199">
        <v>150.42699999999999</v>
      </c>
      <c r="I1199" t="s">
        <v>15261</v>
      </c>
      <c r="L1199">
        <v>0</v>
      </c>
      <c r="M1199">
        <v>0</v>
      </c>
      <c r="N1199">
        <v>1</v>
      </c>
      <c r="O1199" t="s">
        <v>11660</v>
      </c>
    </row>
    <row r="1200" spans="1:15">
      <c r="A1200" t="s">
        <v>15262</v>
      </c>
      <c r="B1200" t="s">
        <v>6742</v>
      </c>
      <c r="C1200" t="s">
        <v>134</v>
      </c>
      <c r="D1200" t="s">
        <v>15263</v>
      </c>
      <c r="E1200" t="b">
        <v>0</v>
      </c>
      <c r="F1200" t="s">
        <v>11610</v>
      </c>
      <c r="L1200">
        <v>0</v>
      </c>
      <c r="M1200">
        <v>0</v>
      </c>
      <c r="N1200">
        <v>0</v>
      </c>
    </row>
    <row r="1201" spans="1:15">
      <c r="A1201" t="s">
        <v>15264</v>
      </c>
      <c r="B1201" t="s">
        <v>12218</v>
      </c>
      <c r="C1201" t="s">
        <v>12219</v>
      </c>
      <c r="D1201" t="s">
        <v>15265</v>
      </c>
      <c r="E1201" t="b">
        <v>0</v>
      </c>
      <c r="F1201" t="s">
        <v>11610</v>
      </c>
      <c r="L1201">
        <v>0</v>
      </c>
      <c r="M1201">
        <v>0</v>
      </c>
      <c r="N1201">
        <v>0</v>
      </c>
    </row>
    <row r="1202" spans="1:15">
      <c r="A1202" t="s">
        <v>15266</v>
      </c>
      <c r="B1202" t="s">
        <v>11637</v>
      </c>
      <c r="C1202" t="s">
        <v>2187</v>
      </c>
      <c r="D1202" t="s">
        <v>15267</v>
      </c>
      <c r="E1202" t="b">
        <v>0</v>
      </c>
      <c r="F1202" t="s">
        <v>11624</v>
      </c>
      <c r="G1202">
        <v>31.541</v>
      </c>
      <c r="H1202">
        <v>53.633000000000003</v>
      </c>
      <c r="I1202" t="s">
        <v>15268</v>
      </c>
      <c r="L1202">
        <v>0</v>
      </c>
      <c r="M1202">
        <v>0</v>
      </c>
      <c r="N1202">
        <v>0</v>
      </c>
      <c r="O1202" t="s">
        <v>13225</v>
      </c>
    </row>
    <row r="1203" spans="1:15">
      <c r="A1203" t="s">
        <v>15269</v>
      </c>
      <c r="B1203" t="s">
        <v>6742</v>
      </c>
      <c r="C1203" t="s">
        <v>15118</v>
      </c>
      <c r="D1203" t="s">
        <v>15270</v>
      </c>
      <c r="E1203" t="b">
        <v>0</v>
      </c>
      <c r="F1203" t="s">
        <v>11610</v>
      </c>
      <c r="L1203">
        <v>0</v>
      </c>
      <c r="M1203">
        <v>0</v>
      </c>
      <c r="N1203">
        <v>0</v>
      </c>
    </row>
    <row r="1204" spans="1:15">
      <c r="A1204" t="s">
        <v>15271</v>
      </c>
      <c r="B1204" t="s">
        <v>6742</v>
      </c>
      <c r="C1204" t="s">
        <v>15272</v>
      </c>
      <c r="D1204" t="s">
        <v>15273</v>
      </c>
      <c r="E1204" t="b">
        <v>0</v>
      </c>
      <c r="F1204" t="s">
        <v>11610</v>
      </c>
      <c r="L1204">
        <v>0</v>
      </c>
      <c r="M1204">
        <v>0</v>
      </c>
      <c r="N1204">
        <v>0</v>
      </c>
    </row>
    <row r="1205" spans="1:15">
      <c r="A1205" t="s">
        <v>15274</v>
      </c>
      <c r="B1205" t="s">
        <v>6742</v>
      </c>
      <c r="C1205" t="s">
        <v>15118</v>
      </c>
      <c r="D1205" t="s">
        <v>15275</v>
      </c>
      <c r="E1205" t="b">
        <v>0</v>
      </c>
      <c r="F1205" t="s">
        <v>11610</v>
      </c>
      <c r="L1205">
        <v>0</v>
      </c>
      <c r="M1205">
        <v>0</v>
      </c>
      <c r="N1205">
        <v>0</v>
      </c>
    </row>
    <row r="1206" spans="1:15">
      <c r="A1206" t="s">
        <v>13092</v>
      </c>
      <c r="B1206" t="s">
        <v>6742</v>
      </c>
      <c r="C1206" t="s">
        <v>12342</v>
      </c>
      <c r="D1206" t="s">
        <v>15276</v>
      </c>
      <c r="E1206" t="b">
        <v>0</v>
      </c>
      <c r="F1206" t="s">
        <v>11622</v>
      </c>
      <c r="L1206">
        <v>0</v>
      </c>
      <c r="M1206">
        <v>2</v>
      </c>
      <c r="N1206">
        <v>0</v>
      </c>
    </row>
    <row r="1207" spans="1:15">
      <c r="A1207" t="s">
        <v>15277</v>
      </c>
      <c r="B1207" t="s">
        <v>6742</v>
      </c>
      <c r="C1207" t="s">
        <v>13092</v>
      </c>
      <c r="D1207" t="s">
        <v>15278</v>
      </c>
      <c r="E1207" t="b">
        <v>0</v>
      </c>
      <c r="F1207" t="s">
        <v>11624</v>
      </c>
      <c r="G1207">
        <v>5.1583800000000002</v>
      </c>
      <c r="H1207">
        <v>-5.2529000000000003</v>
      </c>
      <c r="I1207" t="s">
        <v>15279</v>
      </c>
      <c r="L1207">
        <v>0</v>
      </c>
      <c r="M1207">
        <v>0</v>
      </c>
      <c r="N1207">
        <v>0</v>
      </c>
      <c r="O1207" t="s">
        <v>11735</v>
      </c>
    </row>
    <row r="1208" spans="1:15">
      <c r="A1208" t="s">
        <v>12635</v>
      </c>
      <c r="B1208" t="s">
        <v>11729</v>
      </c>
      <c r="C1208" t="s">
        <v>14559</v>
      </c>
      <c r="D1208" t="s">
        <v>15280</v>
      </c>
      <c r="E1208" t="b">
        <v>0</v>
      </c>
      <c r="F1208" t="s">
        <v>11624</v>
      </c>
      <c r="G1208">
        <v>4.3863899999999996</v>
      </c>
      <c r="H1208">
        <v>29.937899999999999</v>
      </c>
      <c r="I1208" t="s">
        <v>15281</v>
      </c>
      <c r="L1208">
        <v>0</v>
      </c>
      <c r="M1208">
        <v>0</v>
      </c>
      <c r="N1208">
        <v>4</v>
      </c>
      <c r="O1208" t="s">
        <v>15282</v>
      </c>
    </row>
    <row r="1209" spans="1:15">
      <c r="A1209" t="s">
        <v>15283</v>
      </c>
      <c r="B1209" t="s">
        <v>11729</v>
      </c>
      <c r="C1209" t="s">
        <v>12635</v>
      </c>
      <c r="D1209" t="s">
        <v>15284</v>
      </c>
      <c r="E1209" t="b">
        <v>0</v>
      </c>
      <c r="F1209" t="s">
        <v>11610</v>
      </c>
      <c r="L1209">
        <v>0</v>
      </c>
      <c r="M1209">
        <v>0</v>
      </c>
      <c r="N1209">
        <v>0</v>
      </c>
    </row>
    <row r="1210" spans="1:15">
      <c r="A1210" t="s">
        <v>15285</v>
      </c>
      <c r="B1210" t="s">
        <v>367</v>
      </c>
      <c r="C1210" t="s">
        <v>15286</v>
      </c>
      <c r="D1210" t="s">
        <v>15287</v>
      </c>
      <c r="E1210" t="b">
        <v>0</v>
      </c>
      <c r="F1210" t="s">
        <v>11624</v>
      </c>
      <c r="G1210">
        <v>-16.536653000000001</v>
      </c>
      <c r="H1210">
        <v>167.773866</v>
      </c>
      <c r="L1210">
        <v>0</v>
      </c>
      <c r="M1210">
        <v>0</v>
      </c>
      <c r="N1210">
        <v>0</v>
      </c>
      <c r="O1210" t="s">
        <v>12719</v>
      </c>
    </row>
    <row r="1211" spans="1:15">
      <c r="A1211" t="s">
        <v>15288</v>
      </c>
      <c r="B1211" t="s">
        <v>367</v>
      </c>
      <c r="C1211" t="s">
        <v>14971</v>
      </c>
      <c r="D1211" t="s">
        <v>15289</v>
      </c>
      <c r="E1211" t="b">
        <v>0</v>
      </c>
      <c r="F1211" t="s">
        <v>11610</v>
      </c>
      <c r="L1211">
        <v>0</v>
      </c>
      <c r="M1211">
        <v>0</v>
      </c>
      <c r="N1211">
        <v>0</v>
      </c>
    </row>
    <row r="1212" spans="1:15">
      <c r="A1212" t="s">
        <v>15290</v>
      </c>
      <c r="B1212" t="s">
        <v>11615</v>
      </c>
      <c r="C1212" t="s">
        <v>15291</v>
      </c>
      <c r="D1212" t="s">
        <v>15292</v>
      </c>
      <c r="E1212" t="b">
        <v>0</v>
      </c>
      <c r="F1212" t="s">
        <v>11610</v>
      </c>
      <c r="L1212">
        <v>0</v>
      </c>
      <c r="M1212">
        <v>0</v>
      </c>
      <c r="N1212">
        <v>0</v>
      </c>
    </row>
    <row r="1213" spans="1:15">
      <c r="A1213" t="s">
        <v>15293</v>
      </c>
      <c r="B1213" t="s">
        <v>10597</v>
      </c>
      <c r="C1213" t="s">
        <v>15294</v>
      </c>
      <c r="D1213" t="s">
        <v>15295</v>
      </c>
      <c r="E1213" t="b">
        <v>0</v>
      </c>
      <c r="F1213" t="s">
        <v>11624</v>
      </c>
      <c r="G1213">
        <v>-33.12847</v>
      </c>
      <c r="H1213">
        <v>151.43555000000001</v>
      </c>
      <c r="I1213" t="s">
        <v>15296</v>
      </c>
      <c r="L1213">
        <v>0</v>
      </c>
      <c r="M1213">
        <v>0</v>
      </c>
      <c r="N1213">
        <v>3</v>
      </c>
      <c r="O1213" t="s">
        <v>12107</v>
      </c>
    </row>
    <row r="1214" spans="1:15">
      <c r="A1214" t="s">
        <v>15297</v>
      </c>
      <c r="B1214" t="s">
        <v>10597</v>
      </c>
      <c r="C1214" t="s">
        <v>15293</v>
      </c>
      <c r="D1214" t="s">
        <v>15298</v>
      </c>
      <c r="E1214" t="b">
        <v>0</v>
      </c>
      <c r="F1214" t="s">
        <v>11610</v>
      </c>
      <c r="L1214">
        <v>0</v>
      </c>
      <c r="M1214">
        <v>0</v>
      </c>
      <c r="N1214">
        <v>0</v>
      </c>
    </row>
    <row r="1215" spans="1:15">
      <c r="A1215" t="s">
        <v>15299</v>
      </c>
      <c r="B1215" t="s">
        <v>12438</v>
      </c>
      <c r="C1215" t="s">
        <v>15300</v>
      </c>
      <c r="D1215" t="s">
        <v>15301</v>
      </c>
      <c r="E1215" t="b">
        <v>0</v>
      </c>
      <c r="F1215" t="s">
        <v>11624</v>
      </c>
      <c r="G1215">
        <v>22.75</v>
      </c>
      <c r="H1215">
        <v>99.4833</v>
      </c>
      <c r="I1215" t="s">
        <v>15302</v>
      </c>
      <c r="L1215">
        <v>0</v>
      </c>
      <c r="M1215">
        <v>0</v>
      </c>
      <c r="N1215">
        <v>0</v>
      </c>
      <c r="O1215" t="s">
        <v>11905</v>
      </c>
    </row>
    <row r="1216" spans="1:15">
      <c r="A1216" t="s">
        <v>15303</v>
      </c>
      <c r="B1216" t="s">
        <v>15304</v>
      </c>
      <c r="C1216" t="s">
        <v>15305</v>
      </c>
      <c r="D1216" t="s">
        <v>15306</v>
      </c>
      <c r="E1216" t="b">
        <v>0</v>
      </c>
      <c r="F1216" t="s">
        <v>11624</v>
      </c>
      <c r="G1216">
        <v>1.21652</v>
      </c>
      <c r="H1216">
        <v>-78.340100000000007</v>
      </c>
      <c r="I1216" t="s">
        <v>15307</v>
      </c>
      <c r="L1216">
        <v>0</v>
      </c>
      <c r="M1216">
        <v>0</v>
      </c>
      <c r="N1216">
        <v>0</v>
      </c>
      <c r="O1216" t="s">
        <v>15308</v>
      </c>
    </row>
    <row r="1217" spans="1:15">
      <c r="A1217" t="s">
        <v>15309</v>
      </c>
      <c r="B1217" t="s">
        <v>11637</v>
      </c>
      <c r="C1217" t="s">
        <v>15310</v>
      </c>
      <c r="D1217" t="s">
        <v>15311</v>
      </c>
      <c r="E1217" t="b">
        <v>0</v>
      </c>
      <c r="F1217" t="s">
        <v>11624</v>
      </c>
      <c r="G1217">
        <v>27.590699999999998</v>
      </c>
      <c r="H1217">
        <v>82.466300000000004</v>
      </c>
      <c r="I1217" t="s">
        <v>15312</v>
      </c>
      <c r="L1217">
        <v>0</v>
      </c>
      <c r="M1217">
        <v>0</v>
      </c>
      <c r="N1217">
        <v>5</v>
      </c>
      <c r="O1217" t="s">
        <v>12524</v>
      </c>
    </row>
    <row r="1218" spans="1:15">
      <c r="A1218" t="s">
        <v>15313</v>
      </c>
      <c r="B1218" t="s">
        <v>367</v>
      </c>
      <c r="C1218" t="s">
        <v>14896</v>
      </c>
      <c r="D1218" t="s">
        <v>15314</v>
      </c>
      <c r="E1218" t="b">
        <v>0</v>
      </c>
      <c r="F1218" t="s">
        <v>11624</v>
      </c>
      <c r="G1218">
        <v>-5.5989599999999999</v>
      </c>
      <c r="H1218">
        <v>146.35499999999999</v>
      </c>
      <c r="I1218" t="s">
        <v>15315</v>
      </c>
      <c r="L1218">
        <v>0</v>
      </c>
      <c r="M1218">
        <v>0</v>
      </c>
      <c r="N1218">
        <v>5</v>
      </c>
      <c r="O1218" t="s">
        <v>11660</v>
      </c>
    </row>
    <row r="1219" spans="1:15">
      <c r="A1219" t="s">
        <v>15316</v>
      </c>
      <c r="B1219" t="s">
        <v>11912</v>
      </c>
      <c r="C1219" t="s">
        <v>13612</v>
      </c>
      <c r="D1219" t="s">
        <v>15317</v>
      </c>
      <c r="E1219" t="b">
        <v>0</v>
      </c>
      <c r="F1219" t="s">
        <v>11610</v>
      </c>
      <c r="L1219">
        <v>0</v>
      </c>
      <c r="M1219">
        <v>0</v>
      </c>
      <c r="N1219">
        <v>0</v>
      </c>
    </row>
    <row r="1220" spans="1:15">
      <c r="A1220" t="s">
        <v>15318</v>
      </c>
      <c r="B1220" t="s">
        <v>6742</v>
      </c>
      <c r="C1220" t="s">
        <v>15319</v>
      </c>
      <c r="D1220" t="s">
        <v>15320</v>
      </c>
      <c r="E1220" t="b">
        <v>0</v>
      </c>
      <c r="F1220" t="s">
        <v>11622</v>
      </c>
      <c r="L1220">
        <v>0</v>
      </c>
      <c r="M1220">
        <v>2</v>
      </c>
      <c r="N1220">
        <v>0</v>
      </c>
    </row>
    <row r="1221" spans="1:15">
      <c r="A1221" t="s">
        <v>15321</v>
      </c>
      <c r="B1221" t="s">
        <v>6742</v>
      </c>
      <c r="C1221" t="s">
        <v>15318</v>
      </c>
      <c r="D1221" t="s">
        <v>15322</v>
      </c>
      <c r="E1221" t="b">
        <v>0</v>
      </c>
      <c r="F1221" t="s">
        <v>11624</v>
      </c>
      <c r="G1221">
        <v>9.8633400000000009</v>
      </c>
      <c r="H1221">
        <v>11.3291</v>
      </c>
      <c r="I1221" t="s">
        <v>15323</v>
      </c>
      <c r="L1221">
        <v>0</v>
      </c>
      <c r="M1221">
        <v>0</v>
      </c>
      <c r="N1221">
        <v>0</v>
      </c>
      <c r="O1221" t="s">
        <v>11693</v>
      </c>
    </row>
    <row r="1222" spans="1:15">
      <c r="A1222" t="s">
        <v>15324</v>
      </c>
      <c r="B1222" t="s">
        <v>367</v>
      </c>
      <c r="C1222" t="s">
        <v>15325</v>
      </c>
      <c r="D1222" t="s">
        <v>15326</v>
      </c>
      <c r="E1222" t="b">
        <v>0</v>
      </c>
      <c r="F1222" t="s">
        <v>11610</v>
      </c>
      <c r="L1222">
        <v>0</v>
      </c>
      <c r="M1222">
        <v>0</v>
      </c>
      <c r="N1222">
        <v>0</v>
      </c>
    </row>
    <row r="1223" spans="1:15">
      <c r="A1223" t="s">
        <v>15327</v>
      </c>
      <c r="B1223" t="s">
        <v>11757</v>
      </c>
      <c r="C1223" t="s">
        <v>3239</v>
      </c>
      <c r="D1223" t="s">
        <v>15328</v>
      </c>
      <c r="E1223" t="b">
        <v>0</v>
      </c>
      <c r="F1223" t="s">
        <v>11610</v>
      </c>
      <c r="L1223">
        <v>0</v>
      </c>
      <c r="M1223">
        <v>0</v>
      </c>
      <c r="N1223">
        <v>0</v>
      </c>
    </row>
    <row r="1224" spans="1:15">
      <c r="A1224" t="s">
        <v>15329</v>
      </c>
      <c r="B1224" t="s">
        <v>11615</v>
      </c>
      <c r="C1224" t="s">
        <v>15219</v>
      </c>
      <c r="D1224" t="s">
        <v>15330</v>
      </c>
      <c r="E1224" t="b">
        <v>0</v>
      </c>
      <c r="F1224" t="s">
        <v>11622</v>
      </c>
      <c r="L1224">
        <v>0</v>
      </c>
      <c r="M1224">
        <v>2</v>
      </c>
      <c r="N1224">
        <v>4</v>
      </c>
    </row>
    <row r="1225" spans="1:15">
      <c r="A1225" t="s">
        <v>15331</v>
      </c>
      <c r="B1225" t="s">
        <v>11615</v>
      </c>
      <c r="C1225" t="s">
        <v>15329</v>
      </c>
      <c r="D1225" t="s">
        <v>15332</v>
      </c>
      <c r="E1225" t="b">
        <v>0</v>
      </c>
      <c r="F1225" t="s">
        <v>11624</v>
      </c>
      <c r="G1225">
        <v>-6.6553399999999998</v>
      </c>
      <c r="H1225">
        <v>145.714</v>
      </c>
      <c r="I1225" t="s">
        <v>15333</v>
      </c>
      <c r="L1225">
        <v>0</v>
      </c>
      <c r="M1225">
        <v>0</v>
      </c>
      <c r="N1225">
        <v>4</v>
      </c>
      <c r="O1225" t="s">
        <v>11660</v>
      </c>
    </row>
    <row r="1226" spans="1:15">
      <c r="A1226" t="s">
        <v>15334</v>
      </c>
      <c r="B1226" t="s">
        <v>11615</v>
      </c>
      <c r="C1226" t="s">
        <v>15335</v>
      </c>
      <c r="D1226" t="s">
        <v>15336</v>
      </c>
      <c r="E1226" t="b">
        <v>0</v>
      </c>
      <c r="F1226" t="s">
        <v>11624</v>
      </c>
      <c r="G1226">
        <v>-6.1698599999999999</v>
      </c>
      <c r="H1226">
        <v>146.37200000000001</v>
      </c>
      <c r="I1226" t="s">
        <v>15337</v>
      </c>
      <c r="L1226">
        <v>0</v>
      </c>
      <c r="M1226">
        <v>0</v>
      </c>
      <c r="N1226">
        <v>0</v>
      </c>
      <c r="O1226" t="s">
        <v>11660</v>
      </c>
    </row>
    <row r="1227" spans="1:15">
      <c r="A1227" t="s">
        <v>15338</v>
      </c>
      <c r="B1227" t="s">
        <v>11871</v>
      </c>
      <c r="C1227" t="s">
        <v>15339</v>
      </c>
      <c r="D1227" t="s">
        <v>15340</v>
      </c>
      <c r="E1227" t="b">
        <v>0</v>
      </c>
      <c r="F1227" t="s">
        <v>11624</v>
      </c>
      <c r="G1227">
        <v>-4.1355399999999998</v>
      </c>
      <c r="H1227">
        <v>144.83600000000001</v>
      </c>
      <c r="I1227" t="s">
        <v>15341</v>
      </c>
      <c r="L1227">
        <v>0</v>
      </c>
      <c r="M1227">
        <v>0</v>
      </c>
      <c r="N1227">
        <v>2</v>
      </c>
      <c r="O1227" t="s">
        <v>11660</v>
      </c>
    </row>
    <row r="1228" spans="1:15">
      <c r="A1228" t="s">
        <v>15342</v>
      </c>
      <c r="B1228" t="s">
        <v>367</v>
      </c>
      <c r="C1228" t="s">
        <v>15343</v>
      </c>
      <c r="D1228" t="s">
        <v>15344</v>
      </c>
      <c r="E1228" t="b">
        <v>0</v>
      </c>
      <c r="F1228" t="s">
        <v>11610</v>
      </c>
      <c r="L1228">
        <v>0</v>
      </c>
      <c r="M1228">
        <v>0</v>
      </c>
      <c r="N1228">
        <v>0</v>
      </c>
    </row>
    <row r="1229" spans="1:15">
      <c r="A1229" t="s">
        <v>15345</v>
      </c>
      <c r="B1229" t="s">
        <v>15346</v>
      </c>
      <c r="C1229" t="s">
        <v>15346</v>
      </c>
      <c r="D1229" t="s">
        <v>15347</v>
      </c>
      <c r="E1229" t="b">
        <v>0</v>
      </c>
      <c r="F1229" t="s">
        <v>11624</v>
      </c>
      <c r="G1229">
        <v>-5.0587499999999999</v>
      </c>
      <c r="H1229">
        <v>139.72399999999999</v>
      </c>
      <c r="I1229" t="s">
        <v>15348</v>
      </c>
      <c r="L1229">
        <v>0</v>
      </c>
      <c r="M1229">
        <v>0</v>
      </c>
      <c r="N1229">
        <v>0</v>
      </c>
      <c r="O1229" t="s">
        <v>11768</v>
      </c>
    </row>
    <row r="1230" spans="1:15">
      <c r="A1230" t="s">
        <v>15349</v>
      </c>
      <c r="B1230" t="s">
        <v>11844</v>
      </c>
      <c r="C1230" t="s">
        <v>15350</v>
      </c>
      <c r="D1230" t="s">
        <v>15351</v>
      </c>
      <c r="E1230" t="b">
        <v>0</v>
      </c>
      <c r="F1230" t="s">
        <v>11610</v>
      </c>
      <c r="L1230">
        <v>0</v>
      </c>
      <c r="M1230">
        <v>0</v>
      </c>
      <c r="N1230">
        <v>0</v>
      </c>
    </row>
    <row r="1231" spans="1:15">
      <c r="A1231" t="s">
        <v>15352</v>
      </c>
      <c r="B1231" t="s">
        <v>11644</v>
      </c>
      <c r="C1231" t="s">
        <v>126</v>
      </c>
      <c r="D1231" t="s">
        <v>15353</v>
      </c>
      <c r="E1231" t="b">
        <v>0</v>
      </c>
      <c r="F1231" t="s">
        <v>11610</v>
      </c>
      <c r="L1231">
        <v>0</v>
      </c>
      <c r="M1231">
        <v>0</v>
      </c>
      <c r="N1231">
        <v>0</v>
      </c>
    </row>
    <row r="1232" spans="1:15">
      <c r="A1232" t="s">
        <v>15354</v>
      </c>
      <c r="B1232" t="s">
        <v>11607</v>
      </c>
      <c r="C1232" t="s">
        <v>15355</v>
      </c>
      <c r="D1232" t="s">
        <v>15356</v>
      </c>
      <c r="E1232" t="b">
        <v>0</v>
      </c>
      <c r="F1232" t="s">
        <v>11624</v>
      </c>
      <c r="G1232">
        <v>-1.40124</v>
      </c>
      <c r="H1232">
        <v>41.234000000000002</v>
      </c>
      <c r="I1232" t="s">
        <v>15357</v>
      </c>
      <c r="L1232">
        <v>0</v>
      </c>
      <c r="M1232">
        <v>0</v>
      </c>
      <c r="N1232">
        <v>9</v>
      </c>
      <c r="O1232" t="s">
        <v>15358</v>
      </c>
    </row>
    <row r="1233" spans="1:15">
      <c r="A1233" t="s">
        <v>15359</v>
      </c>
      <c r="B1233" t="s">
        <v>6742</v>
      </c>
      <c r="C1233" t="s">
        <v>12862</v>
      </c>
      <c r="D1233" t="s">
        <v>15360</v>
      </c>
      <c r="E1233" t="b">
        <v>0</v>
      </c>
      <c r="F1233" t="s">
        <v>11610</v>
      </c>
      <c r="L1233">
        <v>0</v>
      </c>
      <c r="M1233">
        <v>0</v>
      </c>
      <c r="N1233">
        <v>0</v>
      </c>
    </row>
    <row r="1234" spans="1:15">
      <c r="A1234" t="s">
        <v>15361</v>
      </c>
      <c r="B1234" t="s">
        <v>11615</v>
      </c>
      <c r="C1234" t="s">
        <v>15362</v>
      </c>
      <c r="D1234" t="s">
        <v>15363</v>
      </c>
      <c r="E1234" t="b">
        <v>0</v>
      </c>
      <c r="F1234" t="s">
        <v>11610</v>
      </c>
      <c r="L1234">
        <v>0</v>
      </c>
      <c r="M1234">
        <v>0</v>
      </c>
      <c r="N1234">
        <v>0</v>
      </c>
    </row>
    <row r="1235" spans="1:15">
      <c r="A1235" t="s">
        <v>15364</v>
      </c>
      <c r="B1235" t="s">
        <v>15365</v>
      </c>
      <c r="C1235" t="s">
        <v>15366</v>
      </c>
      <c r="D1235" t="s">
        <v>15367</v>
      </c>
      <c r="E1235" t="b">
        <v>0</v>
      </c>
      <c r="F1235" t="s">
        <v>11624</v>
      </c>
      <c r="G1235">
        <v>-2.7188599999999998</v>
      </c>
      <c r="H1235">
        <v>136.06299999999999</v>
      </c>
      <c r="I1235" t="s">
        <v>15368</v>
      </c>
      <c r="L1235">
        <v>0</v>
      </c>
      <c r="M1235">
        <v>0</v>
      </c>
      <c r="N1235">
        <v>0</v>
      </c>
      <c r="O1235" t="s">
        <v>11768</v>
      </c>
    </row>
    <row r="1236" spans="1:15">
      <c r="A1236" t="s">
        <v>15369</v>
      </c>
      <c r="B1236" t="s">
        <v>11912</v>
      </c>
      <c r="C1236" t="s">
        <v>15370</v>
      </c>
      <c r="D1236" t="s">
        <v>15371</v>
      </c>
      <c r="E1236" t="b">
        <v>0</v>
      </c>
      <c r="F1236" t="s">
        <v>11624</v>
      </c>
      <c r="G1236">
        <v>-12.381944000000001</v>
      </c>
      <c r="H1236">
        <v>-53.391944000000002</v>
      </c>
      <c r="I1236" t="s">
        <v>15372</v>
      </c>
      <c r="L1236">
        <v>0</v>
      </c>
      <c r="M1236">
        <v>0</v>
      </c>
      <c r="N1236">
        <v>0</v>
      </c>
      <c r="O1236" t="s">
        <v>11969</v>
      </c>
    </row>
    <row r="1237" spans="1:15">
      <c r="A1237" t="s">
        <v>15370</v>
      </c>
      <c r="B1237" t="s">
        <v>11912</v>
      </c>
      <c r="C1237" t="s">
        <v>409</v>
      </c>
      <c r="D1237" t="s">
        <v>15373</v>
      </c>
      <c r="E1237" t="b">
        <v>0</v>
      </c>
      <c r="F1237" t="s">
        <v>11622</v>
      </c>
      <c r="L1237">
        <v>27</v>
      </c>
      <c r="M1237">
        <v>49</v>
      </c>
      <c r="N1237">
        <v>41</v>
      </c>
    </row>
    <row r="1238" spans="1:15">
      <c r="A1238" t="s">
        <v>15374</v>
      </c>
      <c r="B1238" t="s">
        <v>6742</v>
      </c>
      <c r="C1238" t="s">
        <v>15375</v>
      </c>
      <c r="D1238" t="s">
        <v>15376</v>
      </c>
      <c r="E1238" t="b">
        <v>0</v>
      </c>
      <c r="F1238" t="s">
        <v>11624</v>
      </c>
      <c r="G1238">
        <v>5.8836199999999996</v>
      </c>
      <c r="H1238">
        <v>10.263999999999999</v>
      </c>
      <c r="I1238" t="s">
        <v>15377</v>
      </c>
      <c r="L1238">
        <v>0</v>
      </c>
      <c r="M1238">
        <v>0</v>
      </c>
      <c r="N1238">
        <v>0</v>
      </c>
      <c r="O1238" t="s">
        <v>11703</v>
      </c>
    </row>
    <row r="1239" spans="1:15">
      <c r="A1239" t="s">
        <v>12159</v>
      </c>
      <c r="B1239" t="s">
        <v>12158</v>
      </c>
      <c r="C1239" t="s">
        <v>12158</v>
      </c>
      <c r="D1239" t="s">
        <v>15378</v>
      </c>
      <c r="E1239" t="b">
        <v>0</v>
      </c>
      <c r="F1239" t="s">
        <v>11622</v>
      </c>
      <c r="L1239">
        <v>0</v>
      </c>
      <c r="M1239">
        <v>2</v>
      </c>
      <c r="N1239">
        <v>3</v>
      </c>
    </row>
    <row r="1240" spans="1:15">
      <c r="A1240" t="s">
        <v>15379</v>
      </c>
      <c r="B1240" t="s">
        <v>367</v>
      </c>
      <c r="C1240" t="s">
        <v>14327</v>
      </c>
      <c r="D1240" t="s">
        <v>15380</v>
      </c>
      <c r="E1240" t="b">
        <v>0</v>
      </c>
      <c r="F1240" t="s">
        <v>11610</v>
      </c>
      <c r="L1240">
        <v>0</v>
      </c>
      <c r="M1240">
        <v>0</v>
      </c>
      <c r="N1240">
        <v>0</v>
      </c>
    </row>
    <row r="1241" spans="1:15">
      <c r="A1241" t="s">
        <v>15381</v>
      </c>
      <c r="B1241" t="s">
        <v>11615</v>
      </c>
      <c r="C1241" t="s">
        <v>15218</v>
      </c>
      <c r="D1241" t="s">
        <v>15382</v>
      </c>
      <c r="E1241" t="b">
        <v>0</v>
      </c>
      <c r="F1241" t="s">
        <v>11624</v>
      </c>
      <c r="G1241">
        <v>-6.5407900000000003</v>
      </c>
      <c r="H1241">
        <v>145.76</v>
      </c>
      <c r="I1241" t="s">
        <v>15383</v>
      </c>
      <c r="L1241">
        <v>0</v>
      </c>
      <c r="M1241">
        <v>0</v>
      </c>
      <c r="N1241">
        <v>0</v>
      </c>
      <c r="O1241" t="s">
        <v>11660</v>
      </c>
    </row>
    <row r="1242" spans="1:15">
      <c r="A1242" t="s">
        <v>15384</v>
      </c>
      <c r="B1242" t="s">
        <v>11607</v>
      </c>
      <c r="C1242" t="s">
        <v>515</v>
      </c>
      <c r="D1242" t="s">
        <v>15385</v>
      </c>
      <c r="E1242" t="b">
        <v>0</v>
      </c>
      <c r="F1242" t="s">
        <v>11624</v>
      </c>
      <c r="G1242">
        <v>29.234100000000002</v>
      </c>
      <c r="H1242">
        <v>21.181899999999999</v>
      </c>
      <c r="I1242" t="s">
        <v>15386</v>
      </c>
      <c r="L1242">
        <v>0</v>
      </c>
      <c r="M1242">
        <v>0</v>
      </c>
      <c r="N1242">
        <v>0</v>
      </c>
      <c r="O1242" t="s">
        <v>15387</v>
      </c>
    </row>
    <row r="1243" spans="1:15">
      <c r="A1243" t="s">
        <v>15388</v>
      </c>
      <c r="B1243" t="s">
        <v>11607</v>
      </c>
      <c r="C1243" t="s">
        <v>15389</v>
      </c>
      <c r="D1243" t="s">
        <v>15390</v>
      </c>
      <c r="E1243" t="b">
        <v>0</v>
      </c>
      <c r="F1243" t="s">
        <v>11624</v>
      </c>
      <c r="G1243">
        <v>10.9819</v>
      </c>
      <c r="H1243">
        <v>36.691600000000001</v>
      </c>
      <c r="I1243" t="s">
        <v>15391</v>
      </c>
      <c r="L1243">
        <v>0</v>
      </c>
      <c r="M1243">
        <v>0</v>
      </c>
      <c r="N1243">
        <v>3</v>
      </c>
      <c r="O1243" t="s">
        <v>11625</v>
      </c>
    </row>
    <row r="1244" spans="1:15">
      <c r="A1244" t="s">
        <v>15392</v>
      </c>
      <c r="B1244" t="s">
        <v>10597</v>
      </c>
      <c r="C1244" t="s">
        <v>15393</v>
      </c>
      <c r="D1244" t="s">
        <v>15394</v>
      </c>
      <c r="E1244" t="b">
        <v>0</v>
      </c>
      <c r="F1244" t="s">
        <v>11610</v>
      </c>
      <c r="G1244">
        <v>-12.544</v>
      </c>
      <c r="H1244">
        <v>141.98400000000001</v>
      </c>
      <c r="I1244" t="s">
        <v>15395</v>
      </c>
      <c r="L1244">
        <v>0</v>
      </c>
      <c r="M1244">
        <v>0</v>
      </c>
      <c r="N1244">
        <v>3</v>
      </c>
      <c r="O1244" t="s">
        <v>12107</v>
      </c>
    </row>
    <row r="1245" spans="1:15">
      <c r="A1245" t="s">
        <v>15396</v>
      </c>
      <c r="B1245" t="s">
        <v>6742</v>
      </c>
      <c r="C1245" t="s">
        <v>3193</v>
      </c>
      <c r="D1245" t="s">
        <v>15397</v>
      </c>
      <c r="E1245" t="b">
        <v>0</v>
      </c>
      <c r="F1245" t="s">
        <v>11610</v>
      </c>
      <c r="L1245">
        <v>0</v>
      </c>
      <c r="M1245">
        <v>0</v>
      </c>
      <c r="N1245">
        <v>0</v>
      </c>
    </row>
    <row r="1246" spans="1:15">
      <c r="A1246" t="s">
        <v>15398</v>
      </c>
      <c r="B1246" t="s">
        <v>6742</v>
      </c>
      <c r="C1246" t="s">
        <v>3193</v>
      </c>
      <c r="D1246" t="s">
        <v>15399</v>
      </c>
      <c r="E1246" t="b">
        <v>0</v>
      </c>
      <c r="F1246" t="s">
        <v>11610</v>
      </c>
      <c r="L1246">
        <v>0</v>
      </c>
      <c r="M1246">
        <v>0</v>
      </c>
      <c r="N1246">
        <v>0</v>
      </c>
    </row>
    <row r="1247" spans="1:15">
      <c r="A1247" t="s">
        <v>15400</v>
      </c>
      <c r="B1247" t="s">
        <v>11705</v>
      </c>
      <c r="C1247" t="s">
        <v>15401</v>
      </c>
      <c r="D1247" t="s">
        <v>15402</v>
      </c>
      <c r="E1247" t="b">
        <v>0</v>
      </c>
      <c r="F1247" t="s">
        <v>11624</v>
      </c>
      <c r="G1247">
        <v>-3.5312899999999998</v>
      </c>
      <c r="H1247">
        <v>141.928</v>
      </c>
      <c r="I1247" t="s">
        <v>15403</v>
      </c>
      <c r="L1247">
        <v>0</v>
      </c>
      <c r="M1247">
        <v>0</v>
      </c>
      <c r="N1247">
        <v>0</v>
      </c>
      <c r="O1247" t="s">
        <v>11660</v>
      </c>
    </row>
    <row r="1248" spans="1:15">
      <c r="A1248" t="s">
        <v>15404</v>
      </c>
      <c r="B1248" t="s">
        <v>6742</v>
      </c>
      <c r="C1248" t="s">
        <v>134</v>
      </c>
      <c r="D1248" t="s">
        <v>15405</v>
      </c>
      <c r="E1248" t="b">
        <v>0</v>
      </c>
      <c r="F1248" t="s">
        <v>11610</v>
      </c>
      <c r="L1248">
        <v>0</v>
      </c>
      <c r="M1248">
        <v>0</v>
      </c>
      <c r="N1248">
        <v>0</v>
      </c>
    </row>
    <row r="1249" spans="1:15">
      <c r="A1249" t="s">
        <v>15406</v>
      </c>
      <c r="B1249" t="s">
        <v>11705</v>
      </c>
      <c r="C1249" t="s">
        <v>12767</v>
      </c>
      <c r="D1249" t="s">
        <v>15407</v>
      </c>
      <c r="E1249" t="b">
        <v>0</v>
      </c>
      <c r="F1249" t="s">
        <v>11624</v>
      </c>
      <c r="G1249">
        <v>-3.79671</v>
      </c>
      <c r="H1249">
        <v>141.999</v>
      </c>
      <c r="I1249" t="s">
        <v>15408</v>
      </c>
      <c r="L1249">
        <v>0</v>
      </c>
      <c r="M1249">
        <v>0</v>
      </c>
      <c r="N1249">
        <v>0</v>
      </c>
      <c r="O1249" t="s">
        <v>11660</v>
      </c>
    </row>
    <row r="1250" spans="1:15">
      <c r="A1250" t="s">
        <v>15409</v>
      </c>
      <c r="B1250" t="s">
        <v>6742</v>
      </c>
      <c r="C1250" t="s">
        <v>15410</v>
      </c>
      <c r="D1250" t="s">
        <v>15411</v>
      </c>
      <c r="E1250" t="b">
        <v>0</v>
      </c>
      <c r="F1250" t="s">
        <v>11624</v>
      </c>
      <c r="G1250">
        <v>5.42441</v>
      </c>
      <c r="H1250">
        <v>-0.59545000000000003</v>
      </c>
      <c r="I1250" t="s">
        <v>15412</v>
      </c>
      <c r="L1250">
        <v>0</v>
      </c>
      <c r="M1250">
        <v>0</v>
      </c>
      <c r="N1250">
        <v>3</v>
      </c>
      <c r="O1250" t="s">
        <v>11985</v>
      </c>
    </row>
    <row r="1251" spans="1:15">
      <c r="A1251" t="s">
        <v>15413</v>
      </c>
      <c r="B1251" t="s">
        <v>11644</v>
      </c>
      <c r="C1251" t="s">
        <v>15414</v>
      </c>
      <c r="D1251" t="s">
        <v>15415</v>
      </c>
      <c r="E1251" t="b">
        <v>0</v>
      </c>
      <c r="F1251" t="s">
        <v>11624</v>
      </c>
      <c r="G1251">
        <v>25.395</v>
      </c>
      <c r="H1251">
        <v>103.306</v>
      </c>
      <c r="I1251" t="s">
        <v>15416</v>
      </c>
      <c r="L1251">
        <v>0</v>
      </c>
      <c r="M1251">
        <v>0</v>
      </c>
      <c r="N1251">
        <v>0</v>
      </c>
      <c r="O1251" t="s">
        <v>11905</v>
      </c>
    </row>
    <row r="1252" spans="1:15">
      <c r="A1252" t="s">
        <v>15417</v>
      </c>
      <c r="B1252" t="s">
        <v>12532</v>
      </c>
      <c r="C1252" t="s">
        <v>15418</v>
      </c>
      <c r="D1252" t="s">
        <v>15419</v>
      </c>
      <c r="E1252" t="b">
        <v>0</v>
      </c>
      <c r="F1252" t="s">
        <v>11624</v>
      </c>
      <c r="G1252">
        <v>-3.0056400000000001</v>
      </c>
      <c r="H1252">
        <v>140.60400000000001</v>
      </c>
      <c r="I1252" t="s">
        <v>15420</v>
      </c>
      <c r="L1252">
        <v>0</v>
      </c>
      <c r="M1252">
        <v>0</v>
      </c>
      <c r="N1252">
        <v>0</v>
      </c>
      <c r="O1252" t="s">
        <v>11768</v>
      </c>
    </row>
    <row r="1253" spans="1:15">
      <c r="A1253" t="s">
        <v>15421</v>
      </c>
      <c r="B1253" t="s">
        <v>11615</v>
      </c>
      <c r="C1253" t="s">
        <v>15422</v>
      </c>
      <c r="D1253" t="s">
        <v>15423</v>
      </c>
      <c r="E1253" t="b">
        <v>0</v>
      </c>
      <c r="F1253" t="s">
        <v>11622</v>
      </c>
      <c r="L1253">
        <v>7</v>
      </c>
      <c r="M1253">
        <v>15</v>
      </c>
      <c r="N1253">
        <v>2</v>
      </c>
    </row>
    <row r="1254" spans="1:15">
      <c r="A1254" t="s">
        <v>14909</v>
      </c>
      <c r="B1254" t="s">
        <v>11615</v>
      </c>
      <c r="C1254" t="s">
        <v>15421</v>
      </c>
      <c r="D1254" t="s">
        <v>15424</v>
      </c>
      <c r="E1254" t="b">
        <v>0</v>
      </c>
      <c r="F1254" t="s">
        <v>11622</v>
      </c>
      <c r="L1254">
        <v>1</v>
      </c>
      <c r="M1254">
        <v>7</v>
      </c>
      <c r="N1254">
        <v>0</v>
      </c>
    </row>
    <row r="1255" spans="1:15">
      <c r="A1255" t="s">
        <v>15425</v>
      </c>
      <c r="B1255" t="s">
        <v>11615</v>
      </c>
      <c r="C1255" t="s">
        <v>14819</v>
      </c>
      <c r="D1255" t="s">
        <v>15426</v>
      </c>
      <c r="E1255" t="b">
        <v>0</v>
      </c>
      <c r="F1255" t="s">
        <v>11622</v>
      </c>
      <c r="L1255">
        <v>19</v>
      </c>
      <c r="M1255">
        <v>38</v>
      </c>
      <c r="N1255">
        <v>24</v>
      </c>
    </row>
    <row r="1256" spans="1:15">
      <c r="A1256" t="s">
        <v>15427</v>
      </c>
      <c r="B1256" t="s">
        <v>367</v>
      </c>
      <c r="C1256" t="s">
        <v>15286</v>
      </c>
      <c r="D1256" t="s">
        <v>15428</v>
      </c>
      <c r="E1256" t="b">
        <v>0</v>
      </c>
      <c r="F1256" t="s">
        <v>11624</v>
      </c>
      <c r="G1256">
        <v>-16.483799999999999</v>
      </c>
      <c r="H1256">
        <v>167.70699999999999</v>
      </c>
      <c r="I1256" t="s">
        <v>15429</v>
      </c>
      <c r="L1256">
        <v>0</v>
      </c>
      <c r="M1256">
        <v>0</v>
      </c>
      <c r="N1256">
        <v>0</v>
      </c>
      <c r="O1256" t="s">
        <v>12719</v>
      </c>
    </row>
    <row r="1257" spans="1:15">
      <c r="A1257" t="s">
        <v>15430</v>
      </c>
      <c r="B1257" t="s">
        <v>11637</v>
      </c>
      <c r="C1257" t="s">
        <v>15431</v>
      </c>
      <c r="D1257" t="s">
        <v>15432</v>
      </c>
      <c r="E1257" t="b">
        <v>0</v>
      </c>
      <c r="F1257" t="s">
        <v>11610</v>
      </c>
      <c r="L1257">
        <v>0</v>
      </c>
      <c r="M1257">
        <v>0</v>
      </c>
      <c r="N1257">
        <v>0</v>
      </c>
    </row>
    <row r="1258" spans="1:15">
      <c r="A1258" t="s">
        <v>15433</v>
      </c>
      <c r="B1258" t="s">
        <v>11644</v>
      </c>
      <c r="C1258" t="s">
        <v>15434</v>
      </c>
      <c r="D1258" t="s">
        <v>15435</v>
      </c>
      <c r="E1258" t="b">
        <v>0</v>
      </c>
      <c r="F1258" t="s">
        <v>11624</v>
      </c>
      <c r="G1258">
        <v>24.600899999999999</v>
      </c>
      <c r="H1258">
        <v>103.71299999999999</v>
      </c>
      <c r="I1258" t="s">
        <v>15436</v>
      </c>
      <c r="L1258">
        <v>0</v>
      </c>
      <c r="M1258">
        <v>0</v>
      </c>
      <c r="N1258">
        <v>0</v>
      </c>
      <c r="O1258" t="s">
        <v>11905</v>
      </c>
    </row>
    <row r="1259" spans="1:15">
      <c r="A1259" t="s">
        <v>15437</v>
      </c>
      <c r="B1259" t="s">
        <v>10597</v>
      </c>
      <c r="C1259" t="s">
        <v>15438</v>
      </c>
      <c r="D1259" t="s">
        <v>15439</v>
      </c>
      <c r="E1259" t="b">
        <v>0</v>
      </c>
      <c r="F1259" t="s">
        <v>11624</v>
      </c>
      <c r="G1259">
        <v>-14.6652</v>
      </c>
      <c r="H1259">
        <v>142.893</v>
      </c>
      <c r="I1259" t="s">
        <v>15440</v>
      </c>
      <c r="L1259">
        <v>0</v>
      </c>
      <c r="M1259">
        <v>0</v>
      </c>
      <c r="N1259">
        <v>0</v>
      </c>
      <c r="O1259" t="s">
        <v>12107</v>
      </c>
    </row>
    <row r="1260" spans="1:15">
      <c r="A1260" t="s">
        <v>14465</v>
      </c>
      <c r="B1260" t="s">
        <v>141</v>
      </c>
      <c r="C1260" t="s">
        <v>15441</v>
      </c>
      <c r="D1260" t="s">
        <v>15442</v>
      </c>
      <c r="E1260" t="b">
        <v>0</v>
      </c>
      <c r="F1260" t="s">
        <v>11622</v>
      </c>
      <c r="L1260">
        <v>0</v>
      </c>
      <c r="M1260">
        <v>2</v>
      </c>
      <c r="N1260">
        <v>6</v>
      </c>
    </row>
    <row r="1261" spans="1:15">
      <c r="A1261" t="s">
        <v>10678</v>
      </c>
      <c r="B1261" t="s">
        <v>141</v>
      </c>
      <c r="C1261" t="s">
        <v>14465</v>
      </c>
      <c r="D1261" t="s">
        <v>15443</v>
      </c>
      <c r="E1261" t="b">
        <v>0</v>
      </c>
      <c r="F1261" t="s">
        <v>11624</v>
      </c>
      <c r="G1261">
        <v>-13.84714</v>
      </c>
      <c r="H1261">
        <v>-74.322460000000007</v>
      </c>
      <c r="I1261" t="s">
        <v>10679</v>
      </c>
      <c r="L1261">
        <v>0</v>
      </c>
      <c r="M1261">
        <v>0</v>
      </c>
      <c r="N1261">
        <v>2</v>
      </c>
      <c r="O1261" t="s">
        <v>11778</v>
      </c>
    </row>
    <row r="1262" spans="1:15">
      <c r="A1262" t="s">
        <v>15444</v>
      </c>
      <c r="B1262" t="s">
        <v>367</v>
      </c>
      <c r="C1262" t="s">
        <v>15445</v>
      </c>
      <c r="D1262" t="s">
        <v>15446</v>
      </c>
      <c r="E1262" t="b">
        <v>0</v>
      </c>
      <c r="F1262" t="s">
        <v>11610</v>
      </c>
      <c r="L1262">
        <v>0</v>
      </c>
      <c r="M1262">
        <v>0</v>
      </c>
      <c r="N1262">
        <v>0</v>
      </c>
    </row>
    <row r="1263" spans="1:15">
      <c r="A1263" t="s">
        <v>15447</v>
      </c>
      <c r="B1263" t="s">
        <v>11879</v>
      </c>
      <c r="C1263" t="s">
        <v>15448</v>
      </c>
      <c r="D1263" t="s">
        <v>15449</v>
      </c>
      <c r="E1263" t="b">
        <v>0</v>
      </c>
      <c r="F1263" t="s">
        <v>11624</v>
      </c>
      <c r="G1263">
        <v>18.099299999999999</v>
      </c>
      <c r="H1263">
        <v>-96.595200000000006</v>
      </c>
      <c r="I1263" t="s">
        <v>15450</v>
      </c>
      <c r="L1263">
        <v>0</v>
      </c>
      <c r="M1263">
        <v>0</v>
      </c>
      <c r="N1263">
        <v>0</v>
      </c>
      <c r="O1263" t="s">
        <v>11883</v>
      </c>
    </row>
    <row r="1264" spans="1:15">
      <c r="A1264" t="s">
        <v>12421</v>
      </c>
      <c r="B1264" t="s">
        <v>6742</v>
      </c>
      <c r="C1264" t="s">
        <v>14518</v>
      </c>
      <c r="D1264" t="s">
        <v>15451</v>
      </c>
      <c r="E1264" t="b">
        <v>0</v>
      </c>
      <c r="F1264" t="s">
        <v>11622</v>
      </c>
      <c r="L1264">
        <v>0</v>
      </c>
      <c r="M1264">
        <v>2</v>
      </c>
      <c r="N1264">
        <v>0</v>
      </c>
    </row>
    <row r="1265" spans="1:15">
      <c r="A1265" t="s">
        <v>15452</v>
      </c>
      <c r="B1265" t="s">
        <v>6742</v>
      </c>
      <c r="C1265" t="s">
        <v>12421</v>
      </c>
      <c r="D1265" t="s">
        <v>15453</v>
      </c>
      <c r="E1265" t="b">
        <v>0</v>
      </c>
      <c r="F1265" t="s">
        <v>11624</v>
      </c>
      <c r="G1265">
        <v>7.5220599999999997</v>
      </c>
      <c r="H1265">
        <v>6.0197900000000004</v>
      </c>
      <c r="I1265" t="s">
        <v>15454</v>
      </c>
      <c r="L1265">
        <v>0</v>
      </c>
      <c r="M1265">
        <v>0</v>
      </c>
      <c r="N1265">
        <v>0</v>
      </c>
      <c r="O1265" t="s">
        <v>11693</v>
      </c>
    </row>
    <row r="1266" spans="1:15">
      <c r="A1266" t="s">
        <v>15455</v>
      </c>
      <c r="B1266" t="s">
        <v>10597</v>
      </c>
      <c r="C1266" t="s">
        <v>13711</v>
      </c>
      <c r="D1266" t="s">
        <v>15456</v>
      </c>
      <c r="E1266" t="b">
        <v>0</v>
      </c>
      <c r="F1266" t="s">
        <v>11610</v>
      </c>
      <c r="I1266" t="s">
        <v>15457</v>
      </c>
      <c r="L1266">
        <v>0</v>
      </c>
      <c r="M1266">
        <v>0</v>
      </c>
      <c r="N1266">
        <v>0</v>
      </c>
      <c r="O1266" t="s">
        <v>12107</v>
      </c>
    </row>
    <row r="1267" spans="1:15">
      <c r="A1267" t="s">
        <v>15458</v>
      </c>
      <c r="B1267" t="s">
        <v>11627</v>
      </c>
      <c r="C1267" t="s">
        <v>11627</v>
      </c>
      <c r="D1267" t="s">
        <v>15459</v>
      </c>
      <c r="E1267" t="b">
        <v>1</v>
      </c>
      <c r="F1267" t="s">
        <v>11624</v>
      </c>
      <c r="G1267">
        <v>27.121300000000002</v>
      </c>
      <c r="H1267">
        <v>98.868399999999994</v>
      </c>
      <c r="I1267" t="s">
        <v>15460</v>
      </c>
      <c r="L1267">
        <v>0</v>
      </c>
      <c r="M1267">
        <v>0</v>
      </c>
      <c r="N1267">
        <v>0</v>
      </c>
      <c r="O1267" t="s">
        <v>11905</v>
      </c>
    </row>
    <row r="1268" spans="1:15">
      <c r="A1268" t="s">
        <v>15461</v>
      </c>
      <c r="B1268" t="s">
        <v>11705</v>
      </c>
      <c r="C1268" t="s">
        <v>15462</v>
      </c>
      <c r="D1268" t="s">
        <v>15463</v>
      </c>
      <c r="E1268" t="b">
        <v>0</v>
      </c>
      <c r="F1268" t="s">
        <v>11624</v>
      </c>
      <c r="G1268">
        <v>-3.95946</v>
      </c>
      <c r="H1268">
        <v>142.40700000000001</v>
      </c>
      <c r="I1268" t="s">
        <v>15464</v>
      </c>
      <c r="L1268">
        <v>0</v>
      </c>
      <c r="M1268">
        <v>0</v>
      </c>
      <c r="N1268">
        <v>0</v>
      </c>
      <c r="O1268" t="s">
        <v>11660</v>
      </c>
    </row>
    <row r="1269" spans="1:15">
      <c r="A1269" t="s">
        <v>15465</v>
      </c>
      <c r="B1269" t="s">
        <v>367</v>
      </c>
      <c r="C1269" t="s">
        <v>15466</v>
      </c>
      <c r="D1269" t="s">
        <v>15467</v>
      </c>
      <c r="E1269" t="b">
        <v>0</v>
      </c>
      <c r="F1269" t="s">
        <v>11624</v>
      </c>
      <c r="G1269">
        <v>-10.282595000000001</v>
      </c>
      <c r="H1269">
        <v>166.32871499999999</v>
      </c>
      <c r="I1269" t="s">
        <v>15468</v>
      </c>
      <c r="L1269">
        <v>0</v>
      </c>
      <c r="M1269">
        <v>0</v>
      </c>
      <c r="N1269">
        <v>0</v>
      </c>
      <c r="O1269" t="s">
        <v>13346</v>
      </c>
    </row>
    <row r="1270" spans="1:15">
      <c r="A1270" t="s">
        <v>15469</v>
      </c>
      <c r="B1270" t="s">
        <v>11644</v>
      </c>
      <c r="C1270" t="s">
        <v>15470</v>
      </c>
      <c r="D1270" t="s">
        <v>15471</v>
      </c>
      <c r="E1270" t="b">
        <v>0</v>
      </c>
      <c r="F1270" t="s">
        <v>11624</v>
      </c>
      <c r="G1270">
        <v>25</v>
      </c>
      <c r="H1270">
        <v>103.7</v>
      </c>
      <c r="I1270" t="s">
        <v>15472</v>
      </c>
      <c r="L1270">
        <v>0</v>
      </c>
      <c r="M1270">
        <v>0</v>
      </c>
      <c r="N1270">
        <v>0</v>
      </c>
      <c r="O1270" t="s">
        <v>11905</v>
      </c>
    </row>
    <row r="1271" spans="1:15">
      <c r="A1271" t="s">
        <v>15473</v>
      </c>
      <c r="B1271" t="s">
        <v>6742</v>
      </c>
      <c r="C1271" t="s">
        <v>15474</v>
      </c>
      <c r="D1271" t="s">
        <v>15475</v>
      </c>
      <c r="E1271" t="b">
        <v>0</v>
      </c>
      <c r="F1271" t="s">
        <v>11624</v>
      </c>
      <c r="G1271">
        <v>6.6265400000000003</v>
      </c>
      <c r="H1271">
        <v>2.2055199999999999</v>
      </c>
      <c r="I1271" t="s">
        <v>15476</v>
      </c>
      <c r="L1271">
        <v>0</v>
      </c>
      <c r="M1271">
        <v>0</v>
      </c>
      <c r="N1271">
        <v>4</v>
      </c>
      <c r="O1271" t="s">
        <v>15477</v>
      </c>
    </row>
    <row r="1272" spans="1:15">
      <c r="A1272" t="s">
        <v>15478</v>
      </c>
      <c r="B1272" t="s">
        <v>6742</v>
      </c>
      <c r="C1272" t="s">
        <v>15473</v>
      </c>
      <c r="D1272" t="s">
        <v>15479</v>
      </c>
      <c r="E1272" t="b">
        <v>0</v>
      </c>
      <c r="F1272" t="s">
        <v>11610</v>
      </c>
      <c r="L1272">
        <v>0</v>
      </c>
      <c r="M1272">
        <v>0</v>
      </c>
      <c r="N1272">
        <v>0</v>
      </c>
    </row>
    <row r="1273" spans="1:15">
      <c r="A1273" t="s">
        <v>15480</v>
      </c>
      <c r="B1273" t="s">
        <v>6742</v>
      </c>
      <c r="C1273" t="s">
        <v>15473</v>
      </c>
      <c r="D1273" t="s">
        <v>15481</v>
      </c>
      <c r="E1273" t="b">
        <v>0</v>
      </c>
      <c r="F1273" t="s">
        <v>11610</v>
      </c>
      <c r="L1273">
        <v>0</v>
      </c>
      <c r="M1273">
        <v>0</v>
      </c>
      <c r="N1273">
        <v>0</v>
      </c>
    </row>
    <row r="1274" spans="1:15">
      <c r="A1274" t="s">
        <v>15482</v>
      </c>
      <c r="B1274" t="s">
        <v>6742</v>
      </c>
      <c r="C1274" t="s">
        <v>15473</v>
      </c>
      <c r="D1274" t="s">
        <v>15483</v>
      </c>
      <c r="E1274" t="b">
        <v>0</v>
      </c>
      <c r="F1274" t="s">
        <v>11610</v>
      </c>
      <c r="L1274">
        <v>0</v>
      </c>
      <c r="M1274">
        <v>0</v>
      </c>
      <c r="N1274">
        <v>0</v>
      </c>
    </row>
    <row r="1275" spans="1:15">
      <c r="A1275" t="s">
        <v>393</v>
      </c>
      <c r="D1275" t="s">
        <v>15484</v>
      </c>
      <c r="E1275" t="b">
        <v>0</v>
      </c>
      <c r="F1275" t="s">
        <v>11622</v>
      </c>
      <c r="L1275">
        <v>2</v>
      </c>
      <c r="M1275">
        <v>4</v>
      </c>
      <c r="N1275">
        <v>0</v>
      </c>
    </row>
    <row r="1276" spans="1:15">
      <c r="A1276" t="s">
        <v>15485</v>
      </c>
      <c r="B1276" t="s">
        <v>331</v>
      </c>
      <c r="C1276" t="s">
        <v>12244</v>
      </c>
      <c r="D1276" t="s">
        <v>15486</v>
      </c>
      <c r="E1276" t="b">
        <v>0</v>
      </c>
      <c r="F1276" t="s">
        <v>11610</v>
      </c>
      <c r="L1276">
        <v>0</v>
      </c>
      <c r="M1276">
        <v>0</v>
      </c>
      <c r="N1276">
        <v>0</v>
      </c>
    </row>
    <row r="1277" spans="1:15">
      <c r="A1277" t="s">
        <v>15487</v>
      </c>
      <c r="B1277" t="s">
        <v>11637</v>
      </c>
      <c r="C1277" t="s">
        <v>12777</v>
      </c>
      <c r="D1277" t="s">
        <v>15488</v>
      </c>
      <c r="E1277" t="b">
        <v>0</v>
      </c>
      <c r="F1277" t="s">
        <v>11610</v>
      </c>
      <c r="L1277">
        <v>0</v>
      </c>
      <c r="M1277">
        <v>0</v>
      </c>
      <c r="N1277">
        <v>0</v>
      </c>
    </row>
    <row r="1278" spans="1:15">
      <c r="A1278" t="s">
        <v>15489</v>
      </c>
      <c r="B1278" t="s">
        <v>15490</v>
      </c>
      <c r="C1278" t="s">
        <v>15490</v>
      </c>
      <c r="D1278" t="s">
        <v>15491</v>
      </c>
      <c r="E1278" t="b">
        <v>0</v>
      </c>
      <c r="F1278" t="s">
        <v>11610</v>
      </c>
      <c r="L1278">
        <v>0</v>
      </c>
      <c r="M1278">
        <v>0</v>
      </c>
      <c r="N1278">
        <v>0</v>
      </c>
    </row>
    <row r="1279" spans="1:15">
      <c r="A1279" t="s">
        <v>15492</v>
      </c>
      <c r="B1279" t="s">
        <v>11879</v>
      </c>
      <c r="C1279" t="s">
        <v>14920</v>
      </c>
      <c r="D1279" t="s">
        <v>15493</v>
      </c>
      <c r="E1279" t="b">
        <v>0</v>
      </c>
      <c r="F1279" t="s">
        <v>11624</v>
      </c>
      <c r="G1279">
        <v>16.6633</v>
      </c>
      <c r="H1279">
        <v>-96.857500000000002</v>
      </c>
      <c r="I1279" t="s">
        <v>15494</v>
      </c>
      <c r="L1279">
        <v>0</v>
      </c>
      <c r="M1279">
        <v>0</v>
      </c>
      <c r="N1279">
        <v>0</v>
      </c>
      <c r="O1279" t="s">
        <v>11883</v>
      </c>
    </row>
    <row r="1280" spans="1:15">
      <c r="A1280" t="s">
        <v>15495</v>
      </c>
      <c r="B1280" t="s">
        <v>15496</v>
      </c>
      <c r="C1280" t="s">
        <v>15497</v>
      </c>
      <c r="D1280" t="s">
        <v>15498</v>
      </c>
      <c r="E1280" t="b">
        <v>0</v>
      </c>
      <c r="F1280" t="s">
        <v>11624</v>
      </c>
      <c r="G1280">
        <v>-19.220054999999999</v>
      </c>
      <c r="H1280">
        <v>-60.217495</v>
      </c>
      <c r="I1280" t="s">
        <v>15499</v>
      </c>
      <c r="L1280">
        <v>0</v>
      </c>
      <c r="M1280">
        <v>0</v>
      </c>
      <c r="N1280">
        <v>1</v>
      </c>
      <c r="O1280" t="s">
        <v>15500</v>
      </c>
    </row>
    <row r="1281" spans="1:15">
      <c r="A1281" t="s">
        <v>15501</v>
      </c>
      <c r="B1281" t="s">
        <v>11879</v>
      </c>
      <c r="C1281" t="s">
        <v>15502</v>
      </c>
      <c r="D1281" t="s">
        <v>15503</v>
      </c>
      <c r="E1281" t="b">
        <v>0</v>
      </c>
      <c r="F1281" t="s">
        <v>11610</v>
      </c>
      <c r="L1281">
        <v>0</v>
      </c>
      <c r="M1281">
        <v>0</v>
      </c>
      <c r="N1281">
        <v>0</v>
      </c>
    </row>
    <row r="1282" spans="1:15">
      <c r="A1282" t="s">
        <v>15504</v>
      </c>
      <c r="B1282" t="s">
        <v>15505</v>
      </c>
      <c r="C1282" t="s">
        <v>15506</v>
      </c>
      <c r="D1282" t="s">
        <v>15507</v>
      </c>
      <c r="E1282" t="b">
        <v>0</v>
      </c>
      <c r="F1282" t="s">
        <v>11610</v>
      </c>
      <c r="L1282">
        <v>0</v>
      </c>
      <c r="M1282">
        <v>0</v>
      </c>
      <c r="N1282">
        <v>0</v>
      </c>
    </row>
    <row r="1283" spans="1:15">
      <c r="A1283" t="s">
        <v>15508</v>
      </c>
      <c r="B1283" t="s">
        <v>367</v>
      </c>
      <c r="C1283" t="s">
        <v>15509</v>
      </c>
      <c r="D1283" t="s">
        <v>15510</v>
      </c>
      <c r="E1283" t="b">
        <v>0</v>
      </c>
      <c r="F1283" t="s">
        <v>11610</v>
      </c>
      <c r="L1283">
        <v>0</v>
      </c>
      <c r="M1283">
        <v>0</v>
      </c>
      <c r="N1283">
        <v>0</v>
      </c>
    </row>
    <row r="1284" spans="1:15">
      <c r="A1284" t="s">
        <v>15511</v>
      </c>
      <c r="B1284" t="s">
        <v>11607</v>
      </c>
      <c r="C1284" t="s">
        <v>15512</v>
      </c>
      <c r="D1284" t="s">
        <v>15513</v>
      </c>
      <c r="E1284" t="b">
        <v>0</v>
      </c>
      <c r="F1284" t="s">
        <v>11610</v>
      </c>
      <c r="L1284">
        <v>0</v>
      </c>
      <c r="M1284">
        <v>0</v>
      </c>
      <c r="N1284">
        <v>0</v>
      </c>
    </row>
    <row r="1285" spans="1:15">
      <c r="A1285" t="s">
        <v>15514</v>
      </c>
      <c r="B1285" t="s">
        <v>6742</v>
      </c>
      <c r="C1285" t="s">
        <v>15515</v>
      </c>
      <c r="D1285" t="s">
        <v>15516</v>
      </c>
      <c r="E1285" t="b">
        <v>0</v>
      </c>
      <c r="F1285" t="s">
        <v>11610</v>
      </c>
      <c r="L1285">
        <v>0</v>
      </c>
      <c r="M1285">
        <v>0</v>
      </c>
      <c r="N1285">
        <v>0</v>
      </c>
    </row>
    <row r="1286" spans="1:15">
      <c r="A1286" t="s">
        <v>15517</v>
      </c>
      <c r="B1286" t="s">
        <v>11879</v>
      </c>
      <c r="C1286" t="s">
        <v>15518</v>
      </c>
      <c r="D1286" t="s">
        <v>15519</v>
      </c>
      <c r="E1286" t="b">
        <v>0</v>
      </c>
      <c r="F1286" t="s">
        <v>11624</v>
      </c>
      <c r="G1286">
        <v>16.883299999999998</v>
      </c>
      <c r="H1286">
        <v>-98.991600000000005</v>
      </c>
      <c r="I1286" t="s">
        <v>15520</v>
      </c>
      <c r="L1286">
        <v>0</v>
      </c>
      <c r="M1286">
        <v>0</v>
      </c>
      <c r="N1286">
        <v>0</v>
      </c>
      <c r="O1286" t="s">
        <v>11883</v>
      </c>
    </row>
    <row r="1287" spans="1:15">
      <c r="A1287" t="s">
        <v>15521</v>
      </c>
      <c r="B1287" t="s">
        <v>6742</v>
      </c>
      <c r="C1287" t="s">
        <v>15522</v>
      </c>
      <c r="D1287" t="s">
        <v>15523</v>
      </c>
      <c r="E1287" t="b">
        <v>0</v>
      </c>
      <c r="F1287" t="s">
        <v>11624</v>
      </c>
      <c r="G1287">
        <v>9.2634000000000007</v>
      </c>
      <c r="H1287">
        <v>8.6022499999999997</v>
      </c>
      <c r="I1287" t="s">
        <v>15524</v>
      </c>
      <c r="L1287">
        <v>0</v>
      </c>
      <c r="M1287">
        <v>0</v>
      </c>
      <c r="N1287">
        <v>0</v>
      </c>
      <c r="O1287" t="s">
        <v>11693</v>
      </c>
    </row>
    <row r="1288" spans="1:15">
      <c r="A1288" t="s">
        <v>15525</v>
      </c>
      <c r="B1288" t="s">
        <v>141</v>
      </c>
      <c r="C1288" t="s">
        <v>14216</v>
      </c>
      <c r="D1288" t="s">
        <v>15526</v>
      </c>
      <c r="E1288" t="b">
        <v>0</v>
      </c>
      <c r="F1288" t="s">
        <v>11610</v>
      </c>
      <c r="L1288">
        <v>0</v>
      </c>
      <c r="M1288">
        <v>0</v>
      </c>
      <c r="N1288">
        <v>0</v>
      </c>
    </row>
    <row r="1289" spans="1:15">
      <c r="A1289" t="s">
        <v>15527</v>
      </c>
      <c r="B1289" t="s">
        <v>12562</v>
      </c>
      <c r="C1289" t="s">
        <v>12563</v>
      </c>
      <c r="D1289" t="s">
        <v>15528</v>
      </c>
      <c r="E1289" t="b">
        <v>0</v>
      </c>
      <c r="F1289" t="s">
        <v>11610</v>
      </c>
      <c r="L1289">
        <v>0</v>
      </c>
      <c r="M1289">
        <v>0</v>
      </c>
      <c r="N1289">
        <v>0</v>
      </c>
    </row>
    <row r="1290" spans="1:15">
      <c r="A1290" t="s">
        <v>15529</v>
      </c>
      <c r="B1290" t="s">
        <v>331</v>
      </c>
      <c r="C1290" t="s">
        <v>15530</v>
      </c>
      <c r="D1290" t="s">
        <v>15531</v>
      </c>
      <c r="E1290" t="b">
        <v>0</v>
      </c>
      <c r="F1290" t="s">
        <v>11622</v>
      </c>
      <c r="L1290">
        <v>1</v>
      </c>
      <c r="M1290">
        <v>3</v>
      </c>
      <c r="N1290">
        <v>38</v>
      </c>
    </row>
    <row r="1291" spans="1:15">
      <c r="A1291" t="s">
        <v>15532</v>
      </c>
      <c r="B1291" t="s">
        <v>13276</v>
      </c>
      <c r="C1291" t="s">
        <v>15533</v>
      </c>
      <c r="D1291" t="s">
        <v>15534</v>
      </c>
      <c r="E1291" t="b">
        <v>0</v>
      </c>
      <c r="F1291" t="s">
        <v>11610</v>
      </c>
      <c r="L1291">
        <v>0</v>
      </c>
      <c r="M1291">
        <v>0</v>
      </c>
      <c r="N1291">
        <v>0</v>
      </c>
    </row>
    <row r="1292" spans="1:15">
      <c r="A1292" t="s">
        <v>15535</v>
      </c>
      <c r="B1292" t="s">
        <v>11644</v>
      </c>
      <c r="C1292" t="s">
        <v>15536</v>
      </c>
      <c r="D1292" t="s">
        <v>15537</v>
      </c>
      <c r="E1292" t="b">
        <v>0</v>
      </c>
      <c r="F1292" t="s">
        <v>11624</v>
      </c>
      <c r="G1292">
        <v>23.9</v>
      </c>
      <c r="H1292">
        <v>104.15</v>
      </c>
      <c r="I1292" t="s">
        <v>15538</v>
      </c>
      <c r="L1292">
        <v>0</v>
      </c>
      <c r="M1292">
        <v>0</v>
      </c>
      <c r="N1292">
        <v>0</v>
      </c>
      <c r="O1292" t="s">
        <v>11905</v>
      </c>
    </row>
    <row r="1293" spans="1:15">
      <c r="A1293" t="s">
        <v>15539</v>
      </c>
      <c r="B1293" t="s">
        <v>11644</v>
      </c>
      <c r="C1293" t="s">
        <v>15434</v>
      </c>
      <c r="D1293" t="s">
        <v>15540</v>
      </c>
      <c r="E1293" t="b">
        <v>0</v>
      </c>
      <c r="F1293" t="s">
        <v>11624</v>
      </c>
      <c r="G1293">
        <v>24.405000000000001</v>
      </c>
      <c r="H1293">
        <v>103.441</v>
      </c>
      <c r="I1293" t="s">
        <v>15541</v>
      </c>
      <c r="L1293">
        <v>0</v>
      </c>
      <c r="M1293">
        <v>0</v>
      </c>
      <c r="N1293">
        <v>0</v>
      </c>
      <c r="O1293" t="s">
        <v>11905</v>
      </c>
    </row>
    <row r="1294" spans="1:15">
      <c r="A1294" t="s">
        <v>15542</v>
      </c>
      <c r="B1294" t="s">
        <v>6742</v>
      </c>
      <c r="C1294" t="s">
        <v>12862</v>
      </c>
      <c r="D1294" t="s">
        <v>15543</v>
      </c>
      <c r="E1294" t="b">
        <v>0</v>
      </c>
      <c r="F1294" t="s">
        <v>11610</v>
      </c>
      <c r="L1294">
        <v>0</v>
      </c>
      <c r="M1294">
        <v>0</v>
      </c>
      <c r="N1294">
        <v>0</v>
      </c>
    </row>
    <row r="1295" spans="1:15">
      <c r="A1295" t="s">
        <v>15544</v>
      </c>
      <c r="B1295" t="s">
        <v>6742</v>
      </c>
      <c r="C1295" t="s">
        <v>15545</v>
      </c>
      <c r="D1295" t="s">
        <v>15546</v>
      </c>
      <c r="E1295" t="b">
        <v>0</v>
      </c>
      <c r="F1295" t="s">
        <v>11610</v>
      </c>
      <c r="L1295">
        <v>0</v>
      </c>
      <c r="M1295">
        <v>0</v>
      </c>
      <c r="N1295">
        <v>0</v>
      </c>
    </row>
    <row r="1296" spans="1:15">
      <c r="A1296" t="s">
        <v>15547</v>
      </c>
      <c r="B1296" t="s">
        <v>11644</v>
      </c>
      <c r="C1296" t="s">
        <v>15548</v>
      </c>
      <c r="D1296" t="s">
        <v>15549</v>
      </c>
      <c r="E1296" t="b">
        <v>0</v>
      </c>
      <c r="F1296" t="s">
        <v>11610</v>
      </c>
      <c r="L1296">
        <v>0</v>
      </c>
      <c r="M1296">
        <v>0</v>
      </c>
      <c r="N1296">
        <v>0</v>
      </c>
    </row>
    <row r="1297" spans="1:15">
      <c r="A1297" t="s">
        <v>15550</v>
      </c>
      <c r="B1297" t="s">
        <v>11879</v>
      </c>
      <c r="C1297" t="s">
        <v>11880</v>
      </c>
      <c r="D1297" t="s">
        <v>15551</v>
      </c>
      <c r="E1297" t="b">
        <v>0</v>
      </c>
      <c r="F1297" t="s">
        <v>11624</v>
      </c>
      <c r="G1297">
        <v>16.758400000000002</v>
      </c>
      <c r="H1297">
        <v>-98.524100000000004</v>
      </c>
      <c r="I1297" t="s">
        <v>15552</v>
      </c>
      <c r="L1297">
        <v>0</v>
      </c>
      <c r="M1297">
        <v>0</v>
      </c>
      <c r="N1297">
        <v>0</v>
      </c>
      <c r="O1297" t="s">
        <v>11883</v>
      </c>
    </row>
    <row r="1298" spans="1:15">
      <c r="A1298" t="s">
        <v>444</v>
      </c>
      <c r="B1298" t="s">
        <v>12751</v>
      </c>
      <c r="C1298" t="s">
        <v>15553</v>
      </c>
      <c r="D1298" t="s">
        <v>6633</v>
      </c>
      <c r="E1298" t="b">
        <v>0</v>
      </c>
      <c r="F1298" t="s">
        <v>11622</v>
      </c>
      <c r="L1298">
        <v>11</v>
      </c>
      <c r="M1298">
        <v>31</v>
      </c>
      <c r="N1298">
        <v>3</v>
      </c>
    </row>
    <row r="1299" spans="1:15">
      <c r="A1299" t="s">
        <v>15554</v>
      </c>
      <c r="B1299" t="s">
        <v>13967</v>
      </c>
      <c r="C1299" t="s">
        <v>15555</v>
      </c>
      <c r="D1299" t="s">
        <v>15556</v>
      </c>
      <c r="E1299" t="b">
        <v>0</v>
      </c>
      <c r="F1299" t="s">
        <v>11610</v>
      </c>
      <c r="L1299">
        <v>0</v>
      </c>
      <c r="M1299">
        <v>0</v>
      </c>
      <c r="N1299">
        <v>0</v>
      </c>
    </row>
    <row r="1300" spans="1:15">
      <c r="A1300" t="s">
        <v>15557</v>
      </c>
      <c r="B1300" t="s">
        <v>6742</v>
      </c>
      <c r="C1300" t="s">
        <v>15558</v>
      </c>
      <c r="D1300" t="s">
        <v>15559</v>
      </c>
      <c r="E1300" t="b">
        <v>0</v>
      </c>
      <c r="F1300" t="s">
        <v>11622</v>
      </c>
      <c r="L1300">
        <v>3</v>
      </c>
      <c r="M1300">
        <v>7</v>
      </c>
      <c r="N1300">
        <v>6</v>
      </c>
    </row>
    <row r="1301" spans="1:15">
      <c r="A1301" t="s">
        <v>15560</v>
      </c>
      <c r="B1301" t="s">
        <v>367</v>
      </c>
      <c r="C1301" t="s">
        <v>15561</v>
      </c>
      <c r="D1301" t="s">
        <v>15562</v>
      </c>
      <c r="E1301" t="b">
        <v>0</v>
      </c>
      <c r="F1301" t="s">
        <v>11610</v>
      </c>
      <c r="L1301">
        <v>0</v>
      </c>
      <c r="M1301">
        <v>0</v>
      </c>
      <c r="N1301">
        <v>0</v>
      </c>
    </row>
    <row r="1302" spans="1:15">
      <c r="A1302" t="s">
        <v>15563</v>
      </c>
      <c r="B1302" t="s">
        <v>11607</v>
      </c>
      <c r="C1302" t="s">
        <v>996</v>
      </c>
      <c r="D1302" t="s">
        <v>15564</v>
      </c>
      <c r="E1302" t="b">
        <v>0</v>
      </c>
      <c r="F1302" t="s">
        <v>11610</v>
      </c>
      <c r="L1302">
        <v>0</v>
      </c>
      <c r="M1302">
        <v>0</v>
      </c>
      <c r="N1302">
        <v>0</v>
      </c>
    </row>
    <row r="1303" spans="1:15">
      <c r="A1303" t="s">
        <v>15565</v>
      </c>
      <c r="B1303" t="s">
        <v>6742</v>
      </c>
      <c r="C1303" t="s">
        <v>15566</v>
      </c>
      <c r="D1303" t="s">
        <v>15567</v>
      </c>
      <c r="E1303" t="b">
        <v>0</v>
      </c>
      <c r="F1303" t="s">
        <v>11610</v>
      </c>
      <c r="L1303">
        <v>0</v>
      </c>
      <c r="M1303">
        <v>0</v>
      </c>
      <c r="N1303">
        <v>0</v>
      </c>
    </row>
    <row r="1304" spans="1:15">
      <c r="A1304" t="s">
        <v>15568</v>
      </c>
      <c r="B1304" t="s">
        <v>15569</v>
      </c>
      <c r="C1304" t="s">
        <v>15570</v>
      </c>
      <c r="D1304" t="s">
        <v>15571</v>
      </c>
      <c r="E1304" t="b">
        <v>0</v>
      </c>
      <c r="F1304" t="s">
        <v>11622</v>
      </c>
      <c r="L1304">
        <v>0</v>
      </c>
      <c r="M1304">
        <v>2</v>
      </c>
      <c r="N1304">
        <v>6</v>
      </c>
    </row>
    <row r="1305" spans="1:15">
      <c r="A1305" t="s">
        <v>15572</v>
      </c>
      <c r="B1305" t="s">
        <v>367</v>
      </c>
      <c r="C1305" t="s">
        <v>15573</v>
      </c>
      <c r="D1305" t="s">
        <v>15574</v>
      </c>
      <c r="E1305" t="b">
        <v>0</v>
      </c>
      <c r="F1305" t="s">
        <v>11610</v>
      </c>
      <c r="L1305">
        <v>0</v>
      </c>
      <c r="M1305">
        <v>0</v>
      </c>
      <c r="N1305">
        <v>0</v>
      </c>
    </row>
    <row r="1306" spans="1:15">
      <c r="A1306" t="s">
        <v>15575</v>
      </c>
      <c r="B1306" t="s">
        <v>6742</v>
      </c>
      <c r="C1306" t="s">
        <v>15576</v>
      </c>
      <c r="D1306" t="s">
        <v>15577</v>
      </c>
      <c r="E1306" t="b">
        <v>0</v>
      </c>
      <c r="F1306" t="s">
        <v>11624</v>
      </c>
      <c r="G1306">
        <v>4.66709</v>
      </c>
      <c r="H1306">
        <v>7.3006500000000001</v>
      </c>
      <c r="I1306" t="s">
        <v>15578</v>
      </c>
      <c r="L1306">
        <v>0</v>
      </c>
      <c r="M1306">
        <v>0</v>
      </c>
      <c r="N1306">
        <v>2</v>
      </c>
      <c r="O1306" t="s">
        <v>11693</v>
      </c>
    </row>
    <row r="1307" spans="1:15">
      <c r="A1307" t="s">
        <v>15579</v>
      </c>
      <c r="B1307" t="s">
        <v>6742</v>
      </c>
      <c r="C1307" t="s">
        <v>15580</v>
      </c>
      <c r="D1307" t="s">
        <v>15581</v>
      </c>
      <c r="E1307" t="b">
        <v>0</v>
      </c>
      <c r="F1307" t="s">
        <v>11624</v>
      </c>
      <c r="G1307">
        <v>10.808299999999999</v>
      </c>
      <c r="H1307">
        <v>5.7260999999999997</v>
      </c>
      <c r="I1307" t="s">
        <v>15582</v>
      </c>
      <c r="L1307">
        <v>0</v>
      </c>
      <c r="M1307">
        <v>0</v>
      </c>
      <c r="N1307">
        <v>0</v>
      </c>
      <c r="O1307" t="s">
        <v>11693</v>
      </c>
    </row>
    <row r="1308" spans="1:15">
      <c r="A1308" t="s">
        <v>15583</v>
      </c>
      <c r="B1308" t="s">
        <v>6742</v>
      </c>
      <c r="C1308" t="s">
        <v>15584</v>
      </c>
      <c r="D1308" t="s">
        <v>15585</v>
      </c>
      <c r="E1308" t="b">
        <v>0</v>
      </c>
      <c r="F1308" t="s">
        <v>11624</v>
      </c>
      <c r="G1308">
        <v>9.6318599999999996</v>
      </c>
      <c r="H1308">
        <v>2.99607</v>
      </c>
      <c r="I1308" t="s">
        <v>15586</v>
      </c>
      <c r="L1308">
        <v>0</v>
      </c>
      <c r="M1308">
        <v>0</v>
      </c>
      <c r="N1308">
        <v>0</v>
      </c>
      <c r="O1308" t="s">
        <v>15587</v>
      </c>
    </row>
    <row r="1309" spans="1:15">
      <c r="A1309" t="s">
        <v>15588</v>
      </c>
      <c r="B1309" t="s">
        <v>6742</v>
      </c>
      <c r="C1309" t="s">
        <v>15589</v>
      </c>
      <c r="D1309" t="s">
        <v>15590</v>
      </c>
      <c r="E1309" t="b">
        <v>0</v>
      </c>
      <c r="F1309" t="s">
        <v>11624</v>
      </c>
      <c r="G1309">
        <v>6.8023499999999997</v>
      </c>
      <c r="H1309">
        <v>9.9712399999999999</v>
      </c>
      <c r="L1309">
        <v>0</v>
      </c>
      <c r="M1309">
        <v>0</v>
      </c>
      <c r="N1309">
        <v>0</v>
      </c>
      <c r="O1309" t="s">
        <v>11703</v>
      </c>
    </row>
    <row r="1310" spans="1:15">
      <c r="A1310" t="s">
        <v>15591</v>
      </c>
      <c r="B1310" t="s">
        <v>6742</v>
      </c>
      <c r="C1310" t="s">
        <v>15592</v>
      </c>
      <c r="D1310" t="s">
        <v>15593</v>
      </c>
      <c r="E1310" t="b">
        <v>0</v>
      </c>
      <c r="F1310" t="s">
        <v>11624</v>
      </c>
      <c r="G1310">
        <v>1.7947500000000001</v>
      </c>
      <c r="H1310">
        <v>23.585100000000001</v>
      </c>
      <c r="I1310" t="s">
        <v>15594</v>
      </c>
      <c r="L1310">
        <v>0</v>
      </c>
      <c r="M1310">
        <v>0</v>
      </c>
      <c r="N1310">
        <v>0</v>
      </c>
      <c r="O1310" t="s">
        <v>14825</v>
      </c>
    </row>
    <row r="1311" spans="1:15">
      <c r="A1311" t="s">
        <v>15595</v>
      </c>
      <c r="B1311" t="s">
        <v>6742</v>
      </c>
      <c r="C1311" t="s">
        <v>15596</v>
      </c>
      <c r="D1311" t="s">
        <v>15597</v>
      </c>
      <c r="E1311" t="b">
        <v>0</v>
      </c>
      <c r="F1311" t="s">
        <v>11624</v>
      </c>
      <c r="G1311">
        <v>6.1122199999999998</v>
      </c>
      <c r="H1311">
        <v>10.521599999999999</v>
      </c>
      <c r="I1311" t="s">
        <v>15598</v>
      </c>
      <c r="L1311">
        <v>0</v>
      </c>
      <c r="M1311">
        <v>0</v>
      </c>
      <c r="N1311">
        <v>0</v>
      </c>
      <c r="O1311" t="s">
        <v>11703</v>
      </c>
    </row>
    <row r="1312" spans="1:15">
      <c r="A1312" t="s">
        <v>15599</v>
      </c>
      <c r="B1312" t="s">
        <v>6742</v>
      </c>
      <c r="C1312" t="s">
        <v>15600</v>
      </c>
      <c r="D1312" t="s">
        <v>15601</v>
      </c>
      <c r="E1312" t="b">
        <v>0</v>
      </c>
      <c r="F1312" t="s">
        <v>11610</v>
      </c>
      <c r="L1312">
        <v>0</v>
      </c>
      <c r="M1312">
        <v>0</v>
      </c>
      <c r="N1312">
        <v>0</v>
      </c>
    </row>
    <row r="1313" spans="1:15">
      <c r="A1313" t="s">
        <v>15602</v>
      </c>
      <c r="B1313" t="s">
        <v>6742</v>
      </c>
      <c r="C1313" t="s">
        <v>15603</v>
      </c>
      <c r="D1313" t="s">
        <v>15604</v>
      </c>
      <c r="E1313" t="b">
        <v>0</v>
      </c>
      <c r="F1313" t="s">
        <v>11624</v>
      </c>
      <c r="G1313">
        <v>5.9786299999999999</v>
      </c>
      <c r="H1313">
        <v>10.286899999999999</v>
      </c>
      <c r="I1313" t="s">
        <v>15605</v>
      </c>
      <c r="L1313">
        <v>0</v>
      </c>
      <c r="M1313">
        <v>0</v>
      </c>
      <c r="N1313">
        <v>0</v>
      </c>
      <c r="O1313" t="s">
        <v>11703</v>
      </c>
    </row>
    <row r="1314" spans="1:15">
      <c r="A1314" t="s">
        <v>15606</v>
      </c>
      <c r="B1314" t="s">
        <v>367</v>
      </c>
      <c r="C1314" t="s">
        <v>15607</v>
      </c>
      <c r="D1314" t="s">
        <v>15608</v>
      </c>
      <c r="E1314" t="b">
        <v>0</v>
      </c>
      <c r="F1314" t="s">
        <v>11624</v>
      </c>
      <c r="G1314">
        <v>1.75414</v>
      </c>
      <c r="H1314">
        <v>103.07599999999999</v>
      </c>
      <c r="I1314" t="s">
        <v>15609</v>
      </c>
      <c r="L1314">
        <v>0</v>
      </c>
      <c r="M1314">
        <v>0</v>
      </c>
      <c r="N1314">
        <v>0</v>
      </c>
      <c r="O1314" t="s">
        <v>15610</v>
      </c>
    </row>
    <row r="1315" spans="1:15">
      <c r="A1315" t="s">
        <v>15251</v>
      </c>
      <c r="B1315" t="s">
        <v>367</v>
      </c>
      <c r="C1315" t="s">
        <v>15611</v>
      </c>
      <c r="D1315" t="s">
        <v>15612</v>
      </c>
      <c r="E1315" t="b">
        <v>0</v>
      </c>
      <c r="F1315" t="s">
        <v>11624</v>
      </c>
      <c r="G1315">
        <v>-7.22281</v>
      </c>
      <c r="H1315">
        <v>157.149</v>
      </c>
      <c r="I1315" t="s">
        <v>15613</v>
      </c>
      <c r="L1315">
        <v>0</v>
      </c>
      <c r="M1315">
        <v>0</v>
      </c>
      <c r="N1315">
        <v>6</v>
      </c>
      <c r="O1315" t="s">
        <v>13346</v>
      </c>
    </row>
    <row r="1316" spans="1:15">
      <c r="A1316" t="s">
        <v>15614</v>
      </c>
      <c r="B1316" t="s">
        <v>367</v>
      </c>
      <c r="C1316" t="s">
        <v>13008</v>
      </c>
      <c r="D1316" t="s">
        <v>15615</v>
      </c>
      <c r="E1316" t="b">
        <v>0</v>
      </c>
      <c r="F1316" t="s">
        <v>11610</v>
      </c>
      <c r="L1316">
        <v>0</v>
      </c>
      <c r="M1316">
        <v>0</v>
      </c>
      <c r="N1316">
        <v>0</v>
      </c>
    </row>
    <row r="1317" spans="1:15">
      <c r="A1317" t="s">
        <v>15616</v>
      </c>
      <c r="B1317" t="s">
        <v>367</v>
      </c>
      <c r="C1317" t="s">
        <v>14606</v>
      </c>
      <c r="D1317" t="s">
        <v>15617</v>
      </c>
      <c r="E1317" t="b">
        <v>0</v>
      </c>
      <c r="F1317" t="s">
        <v>11610</v>
      </c>
      <c r="L1317">
        <v>0</v>
      </c>
      <c r="M1317">
        <v>0</v>
      </c>
      <c r="N1317">
        <v>0</v>
      </c>
    </row>
    <row r="1318" spans="1:15">
      <c r="A1318" t="s">
        <v>15618</v>
      </c>
      <c r="B1318" t="s">
        <v>367</v>
      </c>
      <c r="C1318" t="s">
        <v>15619</v>
      </c>
      <c r="D1318" t="s">
        <v>15620</v>
      </c>
      <c r="E1318" t="b">
        <v>0</v>
      </c>
      <c r="F1318" t="s">
        <v>11610</v>
      </c>
      <c r="L1318">
        <v>0</v>
      </c>
      <c r="M1318">
        <v>0</v>
      </c>
      <c r="N1318">
        <v>0</v>
      </c>
    </row>
    <row r="1319" spans="1:15">
      <c r="A1319" t="s">
        <v>15621</v>
      </c>
      <c r="B1319" t="s">
        <v>11627</v>
      </c>
      <c r="C1319" t="s">
        <v>11627</v>
      </c>
      <c r="D1319" t="s">
        <v>15622</v>
      </c>
      <c r="E1319" t="b">
        <v>1</v>
      </c>
      <c r="F1319" t="s">
        <v>11624</v>
      </c>
      <c r="G1319">
        <v>12.761699999999999</v>
      </c>
      <c r="H1319">
        <v>16.692499999999999</v>
      </c>
      <c r="I1319" t="s">
        <v>15623</v>
      </c>
      <c r="L1319">
        <v>0</v>
      </c>
      <c r="M1319">
        <v>0</v>
      </c>
      <c r="N1319">
        <v>0</v>
      </c>
      <c r="O1319" t="s">
        <v>13421</v>
      </c>
    </row>
    <row r="1320" spans="1:15">
      <c r="A1320" t="s">
        <v>15624</v>
      </c>
      <c r="B1320" t="s">
        <v>367</v>
      </c>
      <c r="C1320" t="s">
        <v>14692</v>
      </c>
      <c r="D1320" t="s">
        <v>15625</v>
      </c>
      <c r="E1320" t="b">
        <v>0</v>
      </c>
      <c r="F1320" t="s">
        <v>11622</v>
      </c>
      <c r="L1320">
        <v>4</v>
      </c>
      <c r="M1320">
        <v>12</v>
      </c>
      <c r="N1320">
        <v>0</v>
      </c>
    </row>
    <row r="1321" spans="1:15">
      <c r="A1321" t="s">
        <v>15626</v>
      </c>
      <c r="B1321" t="s">
        <v>6742</v>
      </c>
      <c r="C1321" t="s">
        <v>15627</v>
      </c>
      <c r="D1321" t="s">
        <v>15628</v>
      </c>
      <c r="E1321" t="b">
        <v>0</v>
      </c>
      <c r="F1321" t="s">
        <v>11610</v>
      </c>
      <c r="L1321">
        <v>0</v>
      </c>
      <c r="M1321">
        <v>0</v>
      </c>
      <c r="N1321">
        <v>0</v>
      </c>
    </row>
    <row r="1322" spans="1:15">
      <c r="A1322" t="s">
        <v>15629</v>
      </c>
      <c r="B1322" t="s">
        <v>6742</v>
      </c>
      <c r="C1322" t="s">
        <v>15630</v>
      </c>
      <c r="D1322" t="s">
        <v>15631</v>
      </c>
      <c r="E1322" t="b">
        <v>0</v>
      </c>
      <c r="F1322" t="s">
        <v>11610</v>
      </c>
      <c r="L1322">
        <v>0</v>
      </c>
      <c r="M1322">
        <v>0</v>
      </c>
      <c r="N1322">
        <v>0</v>
      </c>
    </row>
    <row r="1323" spans="1:15">
      <c r="A1323" t="s">
        <v>15632</v>
      </c>
      <c r="B1323" t="s">
        <v>12460</v>
      </c>
      <c r="C1323" t="s">
        <v>12461</v>
      </c>
      <c r="D1323" t="s">
        <v>15633</v>
      </c>
      <c r="E1323" t="b">
        <v>0</v>
      </c>
      <c r="F1323" t="s">
        <v>11624</v>
      </c>
      <c r="G1323">
        <v>55.099699999999999</v>
      </c>
      <c r="H1323">
        <v>-126.41</v>
      </c>
      <c r="I1323" t="s">
        <v>15634</v>
      </c>
      <c r="L1323">
        <v>0</v>
      </c>
      <c r="M1323">
        <v>0</v>
      </c>
      <c r="N1323">
        <v>0</v>
      </c>
      <c r="O1323" t="s">
        <v>13049</v>
      </c>
    </row>
    <row r="1324" spans="1:15">
      <c r="A1324" t="s">
        <v>15635</v>
      </c>
      <c r="B1324" t="s">
        <v>6742</v>
      </c>
      <c r="C1324" t="s">
        <v>15636</v>
      </c>
      <c r="D1324" t="s">
        <v>15637</v>
      </c>
      <c r="E1324" t="b">
        <v>0</v>
      </c>
      <c r="F1324" t="s">
        <v>11610</v>
      </c>
      <c r="L1324">
        <v>0</v>
      </c>
      <c r="M1324">
        <v>0</v>
      </c>
      <c r="N1324">
        <v>0</v>
      </c>
    </row>
    <row r="1325" spans="1:15">
      <c r="A1325" t="s">
        <v>15638</v>
      </c>
      <c r="B1325" t="s">
        <v>367</v>
      </c>
      <c r="C1325" t="s">
        <v>15639</v>
      </c>
      <c r="D1325" t="s">
        <v>15640</v>
      </c>
      <c r="E1325" t="b">
        <v>0</v>
      </c>
      <c r="F1325" t="s">
        <v>11610</v>
      </c>
      <c r="L1325">
        <v>0</v>
      </c>
      <c r="M1325">
        <v>0</v>
      </c>
      <c r="N1325">
        <v>0</v>
      </c>
    </row>
    <row r="1326" spans="1:15">
      <c r="A1326" t="s">
        <v>15641</v>
      </c>
      <c r="B1326" t="s">
        <v>367</v>
      </c>
      <c r="C1326" t="s">
        <v>15642</v>
      </c>
      <c r="D1326" t="s">
        <v>15643</v>
      </c>
      <c r="E1326" t="b">
        <v>0</v>
      </c>
      <c r="F1326" t="s">
        <v>11624</v>
      </c>
      <c r="G1326">
        <v>24.0017</v>
      </c>
      <c r="H1326">
        <v>120.58499999999999</v>
      </c>
      <c r="I1326" t="s">
        <v>15644</v>
      </c>
      <c r="L1326">
        <v>0</v>
      </c>
      <c r="M1326">
        <v>0</v>
      </c>
      <c r="N1326">
        <v>3</v>
      </c>
      <c r="O1326" t="s">
        <v>13484</v>
      </c>
    </row>
    <row r="1327" spans="1:15">
      <c r="A1327" t="s">
        <v>15645</v>
      </c>
      <c r="B1327" t="s">
        <v>6742</v>
      </c>
      <c r="C1327" t="s">
        <v>15646</v>
      </c>
      <c r="D1327" t="s">
        <v>15647</v>
      </c>
      <c r="E1327" t="b">
        <v>0</v>
      </c>
      <c r="F1327" t="s">
        <v>11622</v>
      </c>
      <c r="L1327">
        <v>0</v>
      </c>
      <c r="M1327">
        <v>2</v>
      </c>
      <c r="N1327">
        <v>0</v>
      </c>
    </row>
    <row r="1328" spans="1:15">
      <c r="A1328" t="s">
        <v>15648</v>
      </c>
      <c r="B1328" t="s">
        <v>367</v>
      </c>
      <c r="C1328" t="s">
        <v>15649</v>
      </c>
      <c r="D1328" t="s">
        <v>15650</v>
      </c>
      <c r="E1328" t="b">
        <v>0</v>
      </c>
      <c r="F1328" t="s">
        <v>11610</v>
      </c>
      <c r="L1328">
        <v>0</v>
      </c>
      <c r="M1328">
        <v>0</v>
      </c>
      <c r="N1328">
        <v>0</v>
      </c>
    </row>
    <row r="1329" spans="1:15">
      <c r="A1329" t="s">
        <v>15651</v>
      </c>
      <c r="B1329" t="s">
        <v>12311</v>
      </c>
      <c r="C1329" t="s">
        <v>13678</v>
      </c>
      <c r="D1329" t="s">
        <v>15652</v>
      </c>
      <c r="E1329" t="b">
        <v>0</v>
      </c>
      <c r="F1329" t="s">
        <v>11610</v>
      </c>
      <c r="L1329">
        <v>0</v>
      </c>
      <c r="M1329">
        <v>0</v>
      </c>
      <c r="N1329">
        <v>0</v>
      </c>
    </row>
    <row r="1330" spans="1:15">
      <c r="A1330" t="s">
        <v>15653</v>
      </c>
      <c r="B1330" t="s">
        <v>6742</v>
      </c>
      <c r="C1330" t="s">
        <v>4100</v>
      </c>
      <c r="D1330" t="s">
        <v>15654</v>
      </c>
      <c r="E1330" t="b">
        <v>0</v>
      </c>
      <c r="F1330" t="s">
        <v>11610</v>
      </c>
      <c r="L1330">
        <v>0</v>
      </c>
      <c r="M1330">
        <v>0</v>
      </c>
      <c r="N1330">
        <v>0</v>
      </c>
    </row>
    <row r="1331" spans="1:15">
      <c r="A1331" t="s">
        <v>15655</v>
      </c>
      <c r="B1331" t="s">
        <v>367</v>
      </c>
      <c r="C1331" t="s">
        <v>15656</v>
      </c>
      <c r="D1331" t="s">
        <v>15657</v>
      </c>
      <c r="E1331" t="b">
        <v>0</v>
      </c>
      <c r="F1331" t="s">
        <v>11624</v>
      </c>
      <c r="G1331">
        <v>-0.62275000000000003</v>
      </c>
      <c r="H1331">
        <v>127.49</v>
      </c>
      <c r="I1331" t="s">
        <v>15658</v>
      </c>
      <c r="L1331">
        <v>0</v>
      </c>
      <c r="M1331">
        <v>0</v>
      </c>
      <c r="N1331">
        <v>0</v>
      </c>
      <c r="O1331" t="s">
        <v>11768</v>
      </c>
    </row>
    <row r="1332" spans="1:15">
      <c r="A1332" t="s">
        <v>15659</v>
      </c>
      <c r="B1332" t="s">
        <v>11607</v>
      </c>
      <c r="C1332" t="s">
        <v>15660</v>
      </c>
      <c r="D1332" t="s">
        <v>15661</v>
      </c>
      <c r="E1332" t="b">
        <v>0</v>
      </c>
      <c r="F1332" t="s">
        <v>11624</v>
      </c>
      <c r="L1332">
        <v>0</v>
      </c>
      <c r="M1332">
        <v>0</v>
      </c>
      <c r="N1332">
        <v>0</v>
      </c>
      <c r="O1332" t="s">
        <v>11693</v>
      </c>
    </row>
    <row r="1333" spans="1:15">
      <c r="A1333" t="s">
        <v>15662</v>
      </c>
      <c r="B1333" t="s">
        <v>11607</v>
      </c>
      <c r="C1333" t="s">
        <v>15660</v>
      </c>
      <c r="D1333" t="s">
        <v>15663</v>
      </c>
      <c r="E1333" t="b">
        <v>0</v>
      </c>
      <c r="F1333" t="s">
        <v>11624</v>
      </c>
      <c r="G1333">
        <v>9.5307200000000005</v>
      </c>
      <c r="H1333">
        <v>12.041600000000001</v>
      </c>
      <c r="I1333" t="s">
        <v>15664</v>
      </c>
      <c r="L1333">
        <v>0</v>
      </c>
      <c r="M1333">
        <v>0</v>
      </c>
      <c r="N1333">
        <v>3</v>
      </c>
      <c r="O1333" t="s">
        <v>11693</v>
      </c>
    </row>
    <row r="1334" spans="1:15">
      <c r="A1334" t="s">
        <v>15665</v>
      </c>
      <c r="B1334" t="s">
        <v>6742</v>
      </c>
      <c r="C1334" t="s">
        <v>15666</v>
      </c>
      <c r="D1334" t="s">
        <v>15667</v>
      </c>
      <c r="E1334" t="b">
        <v>0</v>
      </c>
      <c r="F1334" t="s">
        <v>11622</v>
      </c>
      <c r="L1334">
        <v>3</v>
      </c>
      <c r="M1334">
        <v>6</v>
      </c>
      <c r="N1334">
        <v>0</v>
      </c>
    </row>
    <row r="1335" spans="1:15">
      <c r="A1335" t="s">
        <v>15668</v>
      </c>
      <c r="B1335" t="s">
        <v>6742</v>
      </c>
      <c r="C1335" t="s">
        <v>15665</v>
      </c>
      <c r="D1335" t="s">
        <v>15669</v>
      </c>
      <c r="E1335" t="b">
        <v>0</v>
      </c>
      <c r="F1335" t="s">
        <v>11622</v>
      </c>
      <c r="L1335">
        <v>0</v>
      </c>
      <c r="M1335">
        <v>2</v>
      </c>
      <c r="N1335">
        <v>0</v>
      </c>
    </row>
    <row r="1336" spans="1:15">
      <c r="A1336" t="s">
        <v>15670</v>
      </c>
      <c r="B1336" t="s">
        <v>11637</v>
      </c>
      <c r="C1336" t="s">
        <v>15671</v>
      </c>
      <c r="D1336" t="s">
        <v>15672</v>
      </c>
      <c r="E1336" t="b">
        <v>0</v>
      </c>
      <c r="F1336" t="s">
        <v>11610</v>
      </c>
      <c r="L1336">
        <v>0</v>
      </c>
      <c r="M1336">
        <v>0</v>
      </c>
      <c r="N1336">
        <v>0</v>
      </c>
    </row>
    <row r="1337" spans="1:15">
      <c r="A1337" t="s">
        <v>15673</v>
      </c>
      <c r="B1337" t="s">
        <v>6742</v>
      </c>
      <c r="C1337" t="s">
        <v>15674</v>
      </c>
      <c r="D1337" t="s">
        <v>15675</v>
      </c>
      <c r="E1337" t="b">
        <v>0</v>
      </c>
      <c r="F1337" t="s">
        <v>11610</v>
      </c>
      <c r="L1337">
        <v>0</v>
      </c>
      <c r="M1337">
        <v>0</v>
      </c>
      <c r="N1337">
        <v>0</v>
      </c>
    </row>
    <row r="1338" spans="1:15">
      <c r="A1338" t="s">
        <v>15676</v>
      </c>
      <c r="B1338" t="s">
        <v>11644</v>
      </c>
      <c r="C1338" t="s">
        <v>13427</v>
      </c>
      <c r="D1338" t="s">
        <v>15677</v>
      </c>
      <c r="E1338" t="b">
        <v>0</v>
      </c>
      <c r="F1338" t="s">
        <v>11610</v>
      </c>
      <c r="L1338">
        <v>0</v>
      </c>
      <c r="M1338">
        <v>0</v>
      </c>
      <c r="N1338">
        <v>0</v>
      </c>
    </row>
    <row r="1339" spans="1:15">
      <c r="A1339" t="s">
        <v>15678</v>
      </c>
      <c r="B1339" t="s">
        <v>11637</v>
      </c>
      <c r="C1339" t="s">
        <v>15679</v>
      </c>
      <c r="D1339" t="s">
        <v>15680</v>
      </c>
      <c r="E1339" t="b">
        <v>0</v>
      </c>
      <c r="F1339" t="s">
        <v>11624</v>
      </c>
      <c r="I1339" t="s">
        <v>15681</v>
      </c>
      <c r="L1339">
        <v>0</v>
      </c>
      <c r="M1339">
        <v>0</v>
      </c>
      <c r="N1339">
        <v>0</v>
      </c>
      <c r="O1339" t="s">
        <v>12131</v>
      </c>
    </row>
    <row r="1340" spans="1:15">
      <c r="A1340" t="s">
        <v>15682</v>
      </c>
      <c r="B1340" t="s">
        <v>11844</v>
      </c>
      <c r="C1340" t="s">
        <v>15683</v>
      </c>
      <c r="D1340" t="s">
        <v>15684</v>
      </c>
      <c r="E1340" t="b">
        <v>0</v>
      </c>
      <c r="F1340" t="s">
        <v>11624</v>
      </c>
      <c r="G1340">
        <v>11.3094</v>
      </c>
      <c r="H1340">
        <v>76.597399999999993</v>
      </c>
      <c r="I1340" t="s">
        <v>15685</v>
      </c>
      <c r="L1340">
        <v>0</v>
      </c>
      <c r="M1340">
        <v>0</v>
      </c>
      <c r="N1340">
        <v>0</v>
      </c>
      <c r="O1340" t="s">
        <v>11630</v>
      </c>
    </row>
    <row r="1341" spans="1:15">
      <c r="A1341" t="s">
        <v>15686</v>
      </c>
      <c r="B1341" t="s">
        <v>6742</v>
      </c>
      <c r="C1341" t="s">
        <v>15687</v>
      </c>
      <c r="D1341" t="s">
        <v>15688</v>
      </c>
      <c r="E1341" t="b">
        <v>0</v>
      </c>
      <c r="F1341" t="s">
        <v>11624</v>
      </c>
      <c r="G1341">
        <v>9.6245600000000007</v>
      </c>
      <c r="H1341">
        <v>9.9499999999999993</v>
      </c>
      <c r="I1341" t="s">
        <v>15689</v>
      </c>
      <c r="L1341">
        <v>0</v>
      </c>
      <c r="M1341">
        <v>0</v>
      </c>
      <c r="N1341">
        <v>2</v>
      </c>
      <c r="O1341" t="s">
        <v>11693</v>
      </c>
    </row>
    <row r="1342" spans="1:15">
      <c r="A1342" t="s">
        <v>15690</v>
      </c>
      <c r="B1342" t="s">
        <v>6742</v>
      </c>
      <c r="C1342" t="s">
        <v>15691</v>
      </c>
      <c r="D1342" t="s">
        <v>15692</v>
      </c>
      <c r="E1342" t="b">
        <v>0</v>
      </c>
      <c r="F1342" t="s">
        <v>11610</v>
      </c>
      <c r="L1342">
        <v>0</v>
      </c>
      <c r="M1342">
        <v>0</v>
      </c>
      <c r="N1342">
        <v>0</v>
      </c>
    </row>
    <row r="1343" spans="1:15">
      <c r="A1343" t="s">
        <v>15693</v>
      </c>
      <c r="B1343" t="s">
        <v>367</v>
      </c>
      <c r="C1343" t="s">
        <v>15694</v>
      </c>
      <c r="D1343" t="s">
        <v>15695</v>
      </c>
      <c r="E1343" t="b">
        <v>0</v>
      </c>
      <c r="F1343" t="s">
        <v>11622</v>
      </c>
      <c r="L1343">
        <v>0</v>
      </c>
      <c r="M1343">
        <v>3</v>
      </c>
      <c r="N1343">
        <v>2</v>
      </c>
    </row>
    <row r="1344" spans="1:15">
      <c r="A1344" t="s">
        <v>12795</v>
      </c>
      <c r="B1344" t="s">
        <v>367</v>
      </c>
      <c r="C1344" t="s">
        <v>15693</v>
      </c>
      <c r="D1344" t="s">
        <v>15696</v>
      </c>
      <c r="E1344" t="b">
        <v>0</v>
      </c>
      <c r="F1344" t="s">
        <v>11624</v>
      </c>
      <c r="G1344">
        <v>-1.8024899999999999</v>
      </c>
      <c r="H1344">
        <v>120.319</v>
      </c>
      <c r="I1344" t="s">
        <v>15697</v>
      </c>
      <c r="L1344">
        <v>0</v>
      </c>
      <c r="M1344">
        <v>0</v>
      </c>
      <c r="N1344">
        <v>2</v>
      </c>
      <c r="O1344" t="s">
        <v>11768</v>
      </c>
    </row>
    <row r="1345" spans="1:15">
      <c r="A1345" t="s">
        <v>15698</v>
      </c>
      <c r="B1345" t="s">
        <v>367</v>
      </c>
      <c r="C1345" t="s">
        <v>12795</v>
      </c>
      <c r="D1345" t="s">
        <v>15699</v>
      </c>
      <c r="E1345" t="b">
        <v>0</v>
      </c>
      <c r="F1345" t="s">
        <v>11610</v>
      </c>
      <c r="L1345">
        <v>0</v>
      </c>
      <c r="M1345">
        <v>0</v>
      </c>
      <c r="N1345">
        <v>0</v>
      </c>
    </row>
    <row r="1346" spans="1:15">
      <c r="A1346" t="s">
        <v>15683</v>
      </c>
      <c r="B1346" t="s">
        <v>11844</v>
      </c>
      <c r="C1346" t="s">
        <v>15700</v>
      </c>
      <c r="D1346" t="s">
        <v>15701</v>
      </c>
      <c r="E1346" t="b">
        <v>0</v>
      </c>
      <c r="F1346" t="s">
        <v>11622</v>
      </c>
      <c r="L1346">
        <v>2</v>
      </c>
      <c r="M1346">
        <v>8</v>
      </c>
      <c r="N1346">
        <v>3</v>
      </c>
    </row>
    <row r="1347" spans="1:15">
      <c r="A1347" t="s">
        <v>15702</v>
      </c>
      <c r="B1347" t="s">
        <v>11607</v>
      </c>
      <c r="C1347" t="s">
        <v>15703</v>
      </c>
      <c r="D1347" t="s">
        <v>15704</v>
      </c>
      <c r="E1347" t="b">
        <v>0</v>
      </c>
      <c r="F1347" t="s">
        <v>11610</v>
      </c>
      <c r="L1347">
        <v>0</v>
      </c>
      <c r="M1347">
        <v>0</v>
      </c>
      <c r="N1347">
        <v>0</v>
      </c>
    </row>
    <row r="1348" spans="1:15">
      <c r="A1348" t="s">
        <v>15705</v>
      </c>
      <c r="B1348" t="s">
        <v>12241</v>
      </c>
      <c r="C1348" t="s">
        <v>15706</v>
      </c>
      <c r="D1348" t="s">
        <v>15707</v>
      </c>
      <c r="E1348" t="b">
        <v>0</v>
      </c>
      <c r="F1348" t="s">
        <v>11624</v>
      </c>
      <c r="G1348">
        <v>35.265500000000003</v>
      </c>
      <c r="H1348">
        <v>72.682299999999998</v>
      </c>
      <c r="I1348" t="s">
        <v>15708</v>
      </c>
      <c r="L1348">
        <v>0</v>
      </c>
      <c r="M1348">
        <v>0</v>
      </c>
      <c r="N1348">
        <v>0</v>
      </c>
      <c r="O1348" t="s">
        <v>12172</v>
      </c>
    </row>
    <row r="1349" spans="1:15">
      <c r="A1349" t="s">
        <v>15709</v>
      </c>
      <c r="B1349" t="s">
        <v>11607</v>
      </c>
      <c r="C1349" t="s">
        <v>15710</v>
      </c>
      <c r="D1349" t="s">
        <v>15711</v>
      </c>
      <c r="E1349" t="b">
        <v>0</v>
      </c>
      <c r="F1349" t="s">
        <v>11624</v>
      </c>
      <c r="G1349">
        <v>12.789</v>
      </c>
      <c r="H1349">
        <v>10.6557</v>
      </c>
      <c r="I1349" t="s">
        <v>15712</v>
      </c>
      <c r="L1349">
        <v>0</v>
      </c>
      <c r="M1349">
        <v>0</v>
      </c>
      <c r="N1349">
        <v>4</v>
      </c>
      <c r="O1349" t="s">
        <v>11693</v>
      </c>
    </row>
    <row r="1350" spans="1:15">
      <c r="A1350" t="s">
        <v>15713</v>
      </c>
      <c r="B1350" t="s">
        <v>11637</v>
      </c>
      <c r="C1350" t="s">
        <v>15714</v>
      </c>
      <c r="D1350" t="s">
        <v>15715</v>
      </c>
      <c r="E1350" t="b">
        <v>0</v>
      </c>
      <c r="F1350" t="s">
        <v>11610</v>
      </c>
      <c r="L1350">
        <v>0</v>
      </c>
      <c r="M1350">
        <v>0</v>
      </c>
      <c r="N1350">
        <v>0</v>
      </c>
    </row>
    <row r="1351" spans="1:15">
      <c r="A1351" t="s">
        <v>15716</v>
      </c>
      <c r="B1351" t="s">
        <v>11637</v>
      </c>
      <c r="C1351" t="s">
        <v>13534</v>
      </c>
      <c r="D1351" t="s">
        <v>15717</v>
      </c>
      <c r="E1351" t="b">
        <v>0</v>
      </c>
      <c r="F1351" t="s">
        <v>11610</v>
      </c>
      <c r="L1351">
        <v>0</v>
      </c>
      <c r="M1351">
        <v>0</v>
      </c>
      <c r="N1351">
        <v>0</v>
      </c>
    </row>
    <row r="1352" spans="1:15">
      <c r="A1352" t="s">
        <v>15718</v>
      </c>
      <c r="B1352" t="s">
        <v>11637</v>
      </c>
      <c r="C1352" t="s">
        <v>15719</v>
      </c>
      <c r="D1352" t="s">
        <v>15720</v>
      </c>
      <c r="E1352" t="b">
        <v>0</v>
      </c>
      <c r="F1352" t="s">
        <v>11610</v>
      </c>
      <c r="L1352">
        <v>0</v>
      </c>
      <c r="M1352">
        <v>0</v>
      </c>
      <c r="N1352">
        <v>0</v>
      </c>
    </row>
    <row r="1353" spans="1:15">
      <c r="A1353" t="s">
        <v>15721</v>
      </c>
      <c r="B1353" t="s">
        <v>10597</v>
      </c>
      <c r="C1353" t="s">
        <v>15722</v>
      </c>
      <c r="D1353" t="s">
        <v>15723</v>
      </c>
      <c r="E1353" t="b">
        <v>0</v>
      </c>
      <c r="F1353" t="s">
        <v>11624</v>
      </c>
      <c r="G1353">
        <v>-29.064699999999998</v>
      </c>
      <c r="H1353">
        <v>117.246</v>
      </c>
      <c r="I1353" t="s">
        <v>15724</v>
      </c>
      <c r="L1353">
        <v>0</v>
      </c>
      <c r="M1353">
        <v>0</v>
      </c>
      <c r="N1353">
        <v>0</v>
      </c>
      <c r="O1353" t="s">
        <v>12107</v>
      </c>
    </row>
    <row r="1354" spans="1:15">
      <c r="A1354" t="s">
        <v>15725</v>
      </c>
      <c r="B1354" t="s">
        <v>14005</v>
      </c>
      <c r="C1354" t="s">
        <v>15726</v>
      </c>
      <c r="D1354" t="s">
        <v>15727</v>
      </c>
      <c r="E1354" t="b">
        <v>0</v>
      </c>
      <c r="F1354" t="s">
        <v>11624</v>
      </c>
      <c r="G1354">
        <v>-8.8530099999999994</v>
      </c>
      <c r="H1354">
        <v>140.75299999999999</v>
      </c>
      <c r="I1354" t="s">
        <v>15728</v>
      </c>
      <c r="L1354">
        <v>0</v>
      </c>
      <c r="M1354">
        <v>0</v>
      </c>
      <c r="N1354">
        <v>0</v>
      </c>
      <c r="O1354" t="s">
        <v>11768</v>
      </c>
    </row>
    <row r="1355" spans="1:15">
      <c r="A1355" t="s">
        <v>15729</v>
      </c>
      <c r="B1355" t="s">
        <v>10597</v>
      </c>
      <c r="C1355" t="s">
        <v>15730</v>
      </c>
      <c r="D1355" t="s">
        <v>15731</v>
      </c>
      <c r="E1355" t="b">
        <v>0</v>
      </c>
      <c r="F1355" t="s">
        <v>11610</v>
      </c>
      <c r="G1355">
        <v>-27.33</v>
      </c>
      <c r="H1355">
        <v>143</v>
      </c>
      <c r="I1355" t="s">
        <v>15732</v>
      </c>
      <c r="L1355">
        <v>0</v>
      </c>
      <c r="M1355">
        <v>0</v>
      </c>
      <c r="N1355">
        <v>0</v>
      </c>
    </row>
    <row r="1356" spans="1:15">
      <c r="A1356" t="s">
        <v>15733</v>
      </c>
      <c r="B1356" t="s">
        <v>6742</v>
      </c>
      <c r="C1356" t="s">
        <v>15734</v>
      </c>
      <c r="D1356" t="s">
        <v>15735</v>
      </c>
      <c r="E1356" t="b">
        <v>0</v>
      </c>
      <c r="F1356" t="s">
        <v>11610</v>
      </c>
      <c r="L1356">
        <v>0</v>
      </c>
      <c r="M1356">
        <v>0</v>
      </c>
      <c r="N1356">
        <v>0</v>
      </c>
    </row>
    <row r="1357" spans="1:15">
      <c r="A1357" t="s">
        <v>15736</v>
      </c>
      <c r="B1357" t="s">
        <v>367</v>
      </c>
      <c r="C1357" t="s">
        <v>15737</v>
      </c>
      <c r="D1357" t="s">
        <v>15738</v>
      </c>
      <c r="E1357" t="b">
        <v>0</v>
      </c>
      <c r="F1357" t="s">
        <v>11624</v>
      </c>
      <c r="G1357">
        <v>-6.3535899999999996</v>
      </c>
      <c r="H1357">
        <v>106.17700000000001</v>
      </c>
      <c r="I1357" t="s">
        <v>15739</v>
      </c>
      <c r="L1357">
        <v>0</v>
      </c>
      <c r="M1357">
        <v>0</v>
      </c>
      <c r="N1357">
        <v>0</v>
      </c>
      <c r="O1357" t="s">
        <v>11768</v>
      </c>
    </row>
    <row r="1358" spans="1:15">
      <c r="A1358" t="s">
        <v>15740</v>
      </c>
      <c r="B1358" t="s">
        <v>6742</v>
      </c>
      <c r="C1358" t="s">
        <v>15741</v>
      </c>
      <c r="D1358" t="s">
        <v>15742</v>
      </c>
      <c r="E1358" t="b">
        <v>0</v>
      </c>
      <c r="F1358" t="s">
        <v>11610</v>
      </c>
      <c r="L1358">
        <v>0</v>
      </c>
      <c r="M1358">
        <v>0</v>
      </c>
      <c r="N1358">
        <v>0</v>
      </c>
    </row>
    <row r="1359" spans="1:15">
      <c r="A1359" t="s">
        <v>15743</v>
      </c>
      <c r="B1359" t="s">
        <v>6742</v>
      </c>
      <c r="C1359" t="s">
        <v>15744</v>
      </c>
      <c r="D1359" t="s">
        <v>15745</v>
      </c>
      <c r="E1359" t="b">
        <v>0</v>
      </c>
      <c r="F1359" t="s">
        <v>11624</v>
      </c>
      <c r="G1359">
        <v>12.6425</v>
      </c>
      <c r="H1359">
        <v>-13.475899999999999</v>
      </c>
      <c r="I1359" t="s">
        <v>15746</v>
      </c>
      <c r="L1359">
        <v>0</v>
      </c>
      <c r="M1359">
        <v>0</v>
      </c>
      <c r="N1359">
        <v>0</v>
      </c>
      <c r="O1359" t="s">
        <v>15747</v>
      </c>
    </row>
    <row r="1360" spans="1:15">
      <c r="A1360" t="s">
        <v>9850</v>
      </c>
      <c r="B1360" t="s">
        <v>367</v>
      </c>
      <c r="C1360" t="s">
        <v>15748</v>
      </c>
      <c r="D1360" t="s">
        <v>15749</v>
      </c>
      <c r="E1360" t="b">
        <v>0</v>
      </c>
      <c r="F1360" t="s">
        <v>11624</v>
      </c>
      <c r="G1360">
        <v>-8.4901400000000002</v>
      </c>
      <c r="H1360">
        <v>160.77099999999999</v>
      </c>
      <c r="I1360" t="s">
        <v>9851</v>
      </c>
      <c r="L1360">
        <v>0</v>
      </c>
      <c r="M1360">
        <v>0</v>
      </c>
      <c r="N1360">
        <v>0</v>
      </c>
      <c r="O1360" t="s">
        <v>13346</v>
      </c>
    </row>
    <row r="1361" spans="1:15">
      <c r="A1361" t="s">
        <v>15750</v>
      </c>
      <c r="B1361" t="s">
        <v>367</v>
      </c>
      <c r="C1361" t="s">
        <v>15748</v>
      </c>
      <c r="D1361" t="s">
        <v>15751</v>
      </c>
      <c r="E1361" t="b">
        <v>0</v>
      </c>
      <c r="F1361" t="s">
        <v>11624</v>
      </c>
      <c r="G1361">
        <v>-8.4162700000000008</v>
      </c>
      <c r="H1361">
        <v>160.721</v>
      </c>
      <c r="I1361" t="s">
        <v>15752</v>
      </c>
      <c r="L1361">
        <v>0</v>
      </c>
      <c r="M1361">
        <v>0</v>
      </c>
      <c r="N1361">
        <v>0</v>
      </c>
      <c r="O1361" t="s">
        <v>13346</v>
      </c>
    </row>
    <row r="1362" spans="1:15">
      <c r="A1362" t="s">
        <v>15753</v>
      </c>
      <c r="B1362" t="s">
        <v>13360</v>
      </c>
      <c r="C1362" t="s">
        <v>13360</v>
      </c>
      <c r="D1362" t="s">
        <v>15754</v>
      </c>
      <c r="E1362" t="b">
        <v>0</v>
      </c>
      <c r="F1362" t="s">
        <v>11624</v>
      </c>
      <c r="G1362">
        <v>-15.352491000000001</v>
      </c>
      <c r="H1362">
        <v>-39.555223699999999</v>
      </c>
      <c r="L1362">
        <v>0</v>
      </c>
      <c r="M1362">
        <v>0</v>
      </c>
      <c r="N1362">
        <v>0</v>
      </c>
      <c r="O1362" t="s">
        <v>11969</v>
      </c>
    </row>
    <row r="1363" spans="1:15">
      <c r="A1363" t="s">
        <v>15755</v>
      </c>
      <c r="B1363" t="s">
        <v>367</v>
      </c>
      <c r="C1363" t="s">
        <v>15756</v>
      </c>
      <c r="D1363" t="s">
        <v>15757</v>
      </c>
      <c r="E1363" t="b">
        <v>0</v>
      </c>
      <c r="F1363" t="s">
        <v>11624</v>
      </c>
      <c r="G1363">
        <v>-15.257400000000001</v>
      </c>
      <c r="H1363">
        <v>168.15899999999999</v>
      </c>
      <c r="I1363" t="s">
        <v>15758</v>
      </c>
      <c r="L1363">
        <v>0</v>
      </c>
      <c r="M1363">
        <v>0</v>
      </c>
      <c r="N1363">
        <v>3</v>
      </c>
      <c r="O1363" t="s">
        <v>12719</v>
      </c>
    </row>
    <row r="1364" spans="1:15">
      <c r="A1364" t="s">
        <v>15759</v>
      </c>
      <c r="B1364" t="s">
        <v>6742</v>
      </c>
      <c r="C1364" t="s">
        <v>15760</v>
      </c>
      <c r="D1364" t="s">
        <v>15761</v>
      </c>
      <c r="E1364" t="b">
        <v>0</v>
      </c>
      <c r="F1364" t="s">
        <v>11624</v>
      </c>
      <c r="G1364">
        <v>4.5330700000000004</v>
      </c>
      <c r="H1364">
        <v>9.5220000000000002</v>
      </c>
      <c r="I1364" t="s">
        <v>15762</v>
      </c>
      <c r="L1364">
        <v>0</v>
      </c>
      <c r="M1364">
        <v>0</v>
      </c>
      <c r="N1364">
        <v>2</v>
      </c>
      <c r="O1364" t="s">
        <v>11703</v>
      </c>
    </row>
    <row r="1365" spans="1:15">
      <c r="A1365" t="s">
        <v>15763</v>
      </c>
      <c r="B1365" t="s">
        <v>6742</v>
      </c>
      <c r="C1365" t="s">
        <v>15759</v>
      </c>
      <c r="D1365" t="s">
        <v>15764</v>
      </c>
      <c r="E1365" t="b">
        <v>0</v>
      </c>
      <c r="F1365" t="s">
        <v>11610</v>
      </c>
      <c r="L1365">
        <v>0</v>
      </c>
      <c r="M1365">
        <v>0</v>
      </c>
      <c r="N1365">
        <v>0</v>
      </c>
    </row>
    <row r="1366" spans="1:15">
      <c r="A1366" t="s">
        <v>15765</v>
      </c>
      <c r="B1366" t="s">
        <v>6742</v>
      </c>
      <c r="C1366" t="s">
        <v>15766</v>
      </c>
      <c r="D1366" t="s">
        <v>15767</v>
      </c>
      <c r="E1366" t="b">
        <v>0</v>
      </c>
      <c r="F1366" t="s">
        <v>11624</v>
      </c>
      <c r="G1366">
        <v>5.84612</v>
      </c>
      <c r="H1366">
        <v>10.4518</v>
      </c>
      <c r="I1366" t="s">
        <v>15768</v>
      </c>
      <c r="L1366">
        <v>0</v>
      </c>
      <c r="M1366">
        <v>0</v>
      </c>
      <c r="N1366">
        <v>0</v>
      </c>
      <c r="O1366" t="s">
        <v>11703</v>
      </c>
    </row>
    <row r="1367" spans="1:15">
      <c r="A1367" t="s">
        <v>15769</v>
      </c>
      <c r="B1367" t="s">
        <v>11637</v>
      </c>
      <c r="C1367" t="s">
        <v>15770</v>
      </c>
      <c r="D1367" t="s">
        <v>15771</v>
      </c>
      <c r="E1367" t="b">
        <v>0</v>
      </c>
      <c r="F1367" t="s">
        <v>11610</v>
      </c>
      <c r="L1367">
        <v>0</v>
      </c>
      <c r="M1367">
        <v>0</v>
      </c>
      <c r="N1367">
        <v>0</v>
      </c>
    </row>
    <row r="1368" spans="1:15">
      <c r="A1368" t="s">
        <v>15772</v>
      </c>
      <c r="B1368" t="s">
        <v>6742</v>
      </c>
      <c r="C1368" t="s">
        <v>15734</v>
      </c>
      <c r="D1368" t="s">
        <v>15773</v>
      </c>
      <c r="E1368" t="b">
        <v>0</v>
      </c>
      <c r="F1368" t="s">
        <v>11610</v>
      </c>
      <c r="L1368">
        <v>0</v>
      </c>
      <c r="M1368">
        <v>0</v>
      </c>
      <c r="N1368">
        <v>0</v>
      </c>
    </row>
    <row r="1369" spans="1:15">
      <c r="A1369" t="s">
        <v>15774</v>
      </c>
      <c r="B1369" t="s">
        <v>13014</v>
      </c>
      <c r="C1369" t="s">
        <v>15775</v>
      </c>
      <c r="D1369" t="s">
        <v>15776</v>
      </c>
      <c r="E1369" t="b">
        <v>0</v>
      </c>
      <c r="F1369" t="s">
        <v>11610</v>
      </c>
      <c r="L1369">
        <v>0</v>
      </c>
      <c r="M1369">
        <v>0</v>
      </c>
      <c r="N1369">
        <v>3</v>
      </c>
    </row>
    <row r="1370" spans="1:15">
      <c r="A1370" t="s">
        <v>15775</v>
      </c>
      <c r="B1370" t="s">
        <v>13014</v>
      </c>
      <c r="C1370" t="s">
        <v>278</v>
      </c>
      <c r="D1370" t="s">
        <v>15777</v>
      </c>
      <c r="E1370" t="b">
        <v>0</v>
      </c>
      <c r="F1370" t="s">
        <v>11610</v>
      </c>
      <c r="L1370">
        <v>0</v>
      </c>
      <c r="M1370">
        <v>0</v>
      </c>
      <c r="N1370">
        <v>5</v>
      </c>
    </row>
    <row r="1371" spans="1:15">
      <c r="A1371" t="s">
        <v>15778</v>
      </c>
      <c r="B1371" t="s">
        <v>6742</v>
      </c>
      <c r="C1371" t="s">
        <v>15779</v>
      </c>
      <c r="D1371" t="s">
        <v>15780</v>
      </c>
      <c r="E1371" t="b">
        <v>0</v>
      </c>
      <c r="F1371" t="s">
        <v>11624</v>
      </c>
      <c r="G1371">
        <v>4.7260299999999997</v>
      </c>
      <c r="H1371">
        <v>11.0982</v>
      </c>
      <c r="I1371" t="s">
        <v>15781</v>
      </c>
      <c r="L1371">
        <v>0</v>
      </c>
      <c r="M1371">
        <v>0</v>
      </c>
      <c r="N1371">
        <v>2</v>
      </c>
      <c r="O1371" t="s">
        <v>11703</v>
      </c>
    </row>
    <row r="1372" spans="1:15">
      <c r="A1372" t="s">
        <v>15782</v>
      </c>
      <c r="B1372" t="s">
        <v>6742</v>
      </c>
      <c r="C1372" t="s">
        <v>15558</v>
      </c>
      <c r="D1372" t="s">
        <v>15783</v>
      </c>
      <c r="E1372" t="b">
        <v>0</v>
      </c>
      <c r="F1372" t="s">
        <v>11622</v>
      </c>
      <c r="L1372">
        <v>2</v>
      </c>
      <c r="M1372">
        <v>4</v>
      </c>
      <c r="N1372">
        <v>6</v>
      </c>
    </row>
    <row r="1373" spans="1:15">
      <c r="A1373" t="s">
        <v>15784</v>
      </c>
      <c r="B1373" t="s">
        <v>6742</v>
      </c>
      <c r="C1373" t="s">
        <v>15785</v>
      </c>
      <c r="D1373" t="s">
        <v>15786</v>
      </c>
      <c r="E1373" t="b">
        <v>0</v>
      </c>
      <c r="F1373" t="s">
        <v>11624</v>
      </c>
      <c r="G1373">
        <v>1.19</v>
      </c>
      <c r="H1373">
        <v>19.760000000000002</v>
      </c>
      <c r="L1373">
        <v>0</v>
      </c>
      <c r="M1373">
        <v>0</v>
      </c>
      <c r="N1373">
        <v>0</v>
      </c>
      <c r="O1373" t="s">
        <v>14825</v>
      </c>
    </row>
    <row r="1374" spans="1:15">
      <c r="A1374" t="s">
        <v>15787</v>
      </c>
      <c r="B1374" t="s">
        <v>6742</v>
      </c>
      <c r="C1374" t="s">
        <v>15636</v>
      </c>
      <c r="D1374" t="s">
        <v>15788</v>
      </c>
      <c r="E1374" t="b">
        <v>0</v>
      </c>
      <c r="F1374" t="s">
        <v>11610</v>
      </c>
      <c r="L1374">
        <v>0</v>
      </c>
      <c r="M1374">
        <v>0</v>
      </c>
      <c r="N1374">
        <v>0</v>
      </c>
    </row>
    <row r="1375" spans="1:15">
      <c r="A1375" t="s">
        <v>174</v>
      </c>
      <c r="B1375" t="s">
        <v>6742</v>
      </c>
      <c r="C1375" t="s">
        <v>15789</v>
      </c>
      <c r="D1375" t="s">
        <v>15790</v>
      </c>
      <c r="E1375" t="b">
        <v>0</v>
      </c>
      <c r="F1375" t="s">
        <v>11624</v>
      </c>
      <c r="G1375">
        <v>6.1415300000000004</v>
      </c>
      <c r="H1375">
        <v>10.119400000000001</v>
      </c>
      <c r="I1375" t="s">
        <v>176</v>
      </c>
      <c r="L1375">
        <v>0</v>
      </c>
      <c r="M1375">
        <v>0</v>
      </c>
      <c r="N1375">
        <v>2</v>
      </c>
      <c r="O1375" t="s">
        <v>11703</v>
      </c>
    </row>
    <row r="1376" spans="1:15">
      <c r="A1376" t="s">
        <v>15789</v>
      </c>
      <c r="B1376" t="s">
        <v>6742</v>
      </c>
      <c r="C1376" t="s">
        <v>15375</v>
      </c>
      <c r="D1376" t="s">
        <v>15791</v>
      </c>
      <c r="E1376" t="b">
        <v>0</v>
      </c>
      <c r="F1376" t="s">
        <v>11622</v>
      </c>
      <c r="L1376">
        <v>0</v>
      </c>
      <c r="M1376">
        <v>2</v>
      </c>
      <c r="N1376">
        <v>2</v>
      </c>
    </row>
    <row r="1377" spans="1:15">
      <c r="A1377" t="s">
        <v>15792</v>
      </c>
      <c r="B1377" t="s">
        <v>6742</v>
      </c>
      <c r="C1377" t="s">
        <v>15793</v>
      </c>
      <c r="D1377" t="s">
        <v>15794</v>
      </c>
      <c r="E1377" t="b">
        <v>0</v>
      </c>
      <c r="F1377" t="s">
        <v>11610</v>
      </c>
      <c r="L1377">
        <v>0</v>
      </c>
      <c r="M1377">
        <v>0</v>
      </c>
      <c r="N1377">
        <v>0</v>
      </c>
    </row>
    <row r="1378" spans="1:15">
      <c r="A1378" t="s">
        <v>15795</v>
      </c>
      <c r="B1378" t="s">
        <v>6742</v>
      </c>
      <c r="C1378" t="s">
        <v>15796</v>
      </c>
      <c r="D1378" t="s">
        <v>15797</v>
      </c>
      <c r="E1378" t="b">
        <v>0</v>
      </c>
      <c r="F1378" t="s">
        <v>11610</v>
      </c>
      <c r="L1378">
        <v>0</v>
      </c>
      <c r="M1378">
        <v>0</v>
      </c>
      <c r="N1378">
        <v>0</v>
      </c>
    </row>
    <row r="1379" spans="1:15">
      <c r="A1379" t="s">
        <v>15798</v>
      </c>
      <c r="B1379" t="s">
        <v>6742</v>
      </c>
      <c r="C1379" t="s">
        <v>15799</v>
      </c>
      <c r="D1379" t="s">
        <v>15800</v>
      </c>
      <c r="E1379" t="b">
        <v>0</v>
      </c>
      <c r="F1379" t="s">
        <v>11624</v>
      </c>
      <c r="G1379">
        <v>10.767469999999999</v>
      </c>
      <c r="H1379">
        <v>-14.60521</v>
      </c>
      <c r="I1379" t="s">
        <v>15801</v>
      </c>
      <c r="L1379">
        <v>0</v>
      </c>
      <c r="M1379">
        <v>0</v>
      </c>
      <c r="N1379">
        <v>0</v>
      </c>
      <c r="O1379" t="s">
        <v>15802</v>
      </c>
    </row>
    <row r="1380" spans="1:15">
      <c r="A1380" t="s">
        <v>15803</v>
      </c>
      <c r="B1380" t="s">
        <v>11627</v>
      </c>
      <c r="C1380" t="s">
        <v>11627</v>
      </c>
      <c r="D1380" t="s">
        <v>15804</v>
      </c>
      <c r="E1380" t="b">
        <v>1</v>
      </c>
      <c r="F1380" t="s">
        <v>11624</v>
      </c>
      <c r="G1380">
        <v>9.9510000000000005</v>
      </c>
      <c r="H1380">
        <v>-12.887</v>
      </c>
      <c r="I1380" t="s">
        <v>15805</v>
      </c>
      <c r="L1380">
        <v>0</v>
      </c>
      <c r="M1380">
        <v>0</v>
      </c>
      <c r="N1380">
        <v>0</v>
      </c>
      <c r="O1380" t="s">
        <v>15802</v>
      </c>
    </row>
    <row r="1381" spans="1:15">
      <c r="A1381" t="s">
        <v>15806</v>
      </c>
      <c r="B1381" t="s">
        <v>6742</v>
      </c>
      <c r="C1381" t="s">
        <v>15799</v>
      </c>
      <c r="D1381" t="s">
        <v>15807</v>
      </c>
      <c r="E1381" t="b">
        <v>0</v>
      </c>
      <c r="F1381" t="s">
        <v>11624</v>
      </c>
      <c r="G1381">
        <v>10.4793</v>
      </c>
      <c r="H1381">
        <v>-14.4756</v>
      </c>
      <c r="I1381" t="s">
        <v>15808</v>
      </c>
      <c r="L1381">
        <v>0</v>
      </c>
      <c r="M1381">
        <v>0</v>
      </c>
      <c r="N1381">
        <v>1</v>
      </c>
      <c r="O1381" t="s">
        <v>15802</v>
      </c>
    </row>
    <row r="1382" spans="1:15">
      <c r="A1382" t="s">
        <v>15809</v>
      </c>
      <c r="B1382" t="s">
        <v>6742</v>
      </c>
      <c r="C1382" t="s">
        <v>15799</v>
      </c>
      <c r="D1382" t="s">
        <v>15810</v>
      </c>
      <c r="E1382" t="b">
        <v>0</v>
      </c>
      <c r="F1382" t="s">
        <v>11624</v>
      </c>
      <c r="G1382">
        <v>10.1286</v>
      </c>
      <c r="H1382">
        <v>-13.946999999999999</v>
      </c>
      <c r="I1382" t="s">
        <v>15811</v>
      </c>
      <c r="L1382">
        <v>0</v>
      </c>
      <c r="M1382">
        <v>0</v>
      </c>
      <c r="N1382">
        <v>0</v>
      </c>
      <c r="O1382" t="s">
        <v>15802</v>
      </c>
    </row>
    <row r="1383" spans="1:15">
      <c r="A1383" t="s">
        <v>15812</v>
      </c>
      <c r="B1383" t="s">
        <v>11627</v>
      </c>
      <c r="C1383" t="s">
        <v>11627</v>
      </c>
      <c r="D1383" t="s">
        <v>15813</v>
      </c>
      <c r="E1383" t="b">
        <v>1</v>
      </c>
      <c r="F1383" t="s">
        <v>11624</v>
      </c>
      <c r="G1383">
        <v>9.9886499999999998</v>
      </c>
      <c r="H1383">
        <v>-13.9054</v>
      </c>
      <c r="I1383" t="s">
        <v>15814</v>
      </c>
      <c r="L1383">
        <v>0</v>
      </c>
      <c r="M1383">
        <v>0</v>
      </c>
      <c r="N1383">
        <v>0</v>
      </c>
      <c r="O1383" t="s">
        <v>15802</v>
      </c>
    </row>
    <row r="1384" spans="1:15">
      <c r="A1384" t="s">
        <v>15815</v>
      </c>
      <c r="B1384" t="s">
        <v>6742</v>
      </c>
      <c r="C1384" t="s">
        <v>15816</v>
      </c>
      <c r="D1384" t="s">
        <v>15817</v>
      </c>
      <c r="E1384" t="b">
        <v>0</v>
      </c>
      <c r="F1384" t="s">
        <v>11624</v>
      </c>
      <c r="G1384">
        <v>10.527100000000001</v>
      </c>
      <c r="H1384">
        <v>-14.6111</v>
      </c>
      <c r="I1384" t="s">
        <v>15818</v>
      </c>
      <c r="L1384">
        <v>0</v>
      </c>
      <c r="M1384">
        <v>0</v>
      </c>
      <c r="N1384">
        <v>0</v>
      </c>
      <c r="O1384" t="s">
        <v>15802</v>
      </c>
    </row>
    <row r="1385" spans="1:15">
      <c r="A1385" t="s">
        <v>15819</v>
      </c>
      <c r="B1385" t="s">
        <v>11627</v>
      </c>
      <c r="C1385" t="s">
        <v>11627</v>
      </c>
      <c r="D1385" t="s">
        <v>15820</v>
      </c>
      <c r="E1385" t="b">
        <v>1</v>
      </c>
      <c r="F1385" t="s">
        <v>11624</v>
      </c>
      <c r="G1385">
        <v>12.272460000000001</v>
      </c>
      <c r="H1385">
        <v>-12.07358</v>
      </c>
      <c r="I1385" t="s">
        <v>15821</v>
      </c>
      <c r="L1385">
        <v>0</v>
      </c>
      <c r="M1385">
        <v>0</v>
      </c>
      <c r="N1385">
        <v>0</v>
      </c>
      <c r="O1385" t="s">
        <v>15802</v>
      </c>
    </row>
    <row r="1386" spans="1:15">
      <c r="A1386" t="s">
        <v>15822</v>
      </c>
      <c r="B1386" t="s">
        <v>6742</v>
      </c>
      <c r="C1386" t="s">
        <v>15823</v>
      </c>
      <c r="D1386" t="s">
        <v>15824</v>
      </c>
      <c r="E1386" t="b">
        <v>0</v>
      </c>
      <c r="F1386" t="s">
        <v>11610</v>
      </c>
      <c r="L1386">
        <v>0</v>
      </c>
      <c r="M1386">
        <v>0</v>
      </c>
      <c r="N1386">
        <v>0</v>
      </c>
    </row>
    <row r="1387" spans="1:15">
      <c r="A1387" t="s">
        <v>15825</v>
      </c>
      <c r="B1387" t="s">
        <v>6742</v>
      </c>
      <c r="C1387" t="s">
        <v>12956</v>
      </c>
      <c r="D1387" t="s">
        <v>15826</v>
      </c>
      <c r="E1387" t="b">
        <v>0</v>
      </c>
      <c r="F1387" t="s">
        <v>11610</v>
      </c>
      <c r="L1387">
        <v>0</v>
      </c>
      <c r="M1387">
        <v>0</v>
      </c>
      <c r="N1387">
        <v>0</v>
      </c>
    </row>
    <row r="1388" spans="1:15">
      <c r="A1388" t="s">
        <v>15827</v>
      </c>
      <c r="B1388" t="s">
        <v>11637</v>
      </c>
      <c r="C1388" t="s">
        <v>15828</v>
      </c>
      <c r="D1388" t="s">
        <v>15829</v>
      </c>
      <c r="E1388" t="b">
        <v>0</v>
      </c>
      <c r="F1388" t="s">
        <v>11610</v>
      </c>
      <c r="L1388">
        <v>0</v>
      </c>
      <c r="M1388">
        <v>0</v>
      </c>
      <c r="N1388">
        <v>0</v>
      </c>
    </row>
    <row r="1389" spans="1:15">
      <c r="A1389" t="s">
        <v>15830</v>
      </c>
      <c r="B1389" t="s">
        <v>6742</v>
      </c>
      <c r="C1389" t="s">
        <v>15831</v>
      </c>
      <c r="D1389" t="s">
        <v>15832</v>
      </c>
      <c r="E1389" t="b">
        <v>0</v>
      </c>
      <c r="F1389" t="s">
        <v>11610</v>
      </c>
      <c r="L1389">
        <v>0</v>
      </c>
      <c r="M1389">
        <v>0</v>
      </c>
      <c r="N1389">
        <v>0</v>
      </c>
    </row>
    <row r="1390" spans="1:15">
      <c r="A1390" t="s">
        <v>15833</v>
      </c>
      <c r="B1390" t="s">
        <v>367</v>
      </c>
      <c r="C1390" t="s">
        <v>15834</v>
      </c>
      <c r="D1390" t="s">
        <v>15835</v>
      </c>
      <c r="E1390" t="b">
        <v>0</v>
      </c>
      <c r="F1390" t="s">
        <v>11610</v>
      </c>
      <c r="L1390">
        <v>0</v>
      </c>
      <c r="M1390">
        <v>0</v>
      </c>
      <c r="N1390">
        <v>0</v>
      </c>
    </row>
    <row r="1391" spans="1:15">
      <c r="A1391" t="s">
        <v>15836</v>
      </c>
      <c r="B1391" t="s">
        <v>11637</v>
      </c>
      <c r="C1391" t="s">
        <v>15837</v>
      </c>
      <c r="D1391" t="s">
        <v>15838</v>
      </c>
      <c r="E1391" t="b">
        <v>0</v>
      </c>
      <c r="F1391" t="s">
        <v>11610</v>
      </c>
      <c r="L1391">
        <v>0</v>
      </c>
      <c r="M1391">
        <v>0</v>
      </c>
      <c r="N1391">
        <v>0</v>
      </c>
    </row>
    <row r="1392" spans="1:15">
      <c r="A1392" t="s">
        <v>15839</v>
      </c>
      <c r="B1392" t="s">
        <v>11637</v>
      </c>
      <c r="C1392" t="s">
        <v>15837</v>
      </c>
      <c r="D1392" t="s">
        <v>15840</v>
      </c>
      <c r="E1392" t="b">
        <v>0</v>
      </c>
      <c r="F1392" t="s">
        <v>11610</v>
      </c>
      <c r="L1392">
        <v>0</v>
      </c>
      <c r="M1392">
        <v>0</v>
      </c>
      <c r="N1392">
        <v>0</v>
      </c>
    </row>
    <row r="1393" spans="1:15">
      <c r="A1393" t="s">
        <v>15841</v>
      </c>
      <c r="B1393" t="s">
        <v>11637</v>
      </c>
      <c r="C1393" t="s">
        <v>15310</v>
      </c>
      <c r="D1393" t="s">
        <v>15842</v>
      </c>
      <c r="E1393" t="b">
        <v>0</v>
      </c>
      <c r="F1393" t="s">
        <v>11624</v>
      </c>
      <c r="G1393">
        <v>24.683700000000002</v>
      </c>
      <c r="H1393">
        <v>87.499399999999994</v>
      </c>
      <c r="I1393" t="s">
        <v>15843</v>
      </c>
      <c r="L1393">
        <v>0</v>
      </c>
      <c r="M1393">
        <v>0</v>
      </c>
      <c r="N1393">
        <v>6</v>
      </c>
      <c r="O1393" t="s">
        <v>12524</v>
      </c>
    </row>
    <row r="1394" spans="1:15">
      <c r="A1394" t="s">
        <v>15844</v>
      </c>
      <c r="B1394" t="s">
        <v>6742</v>
      </c>
      <c r="C1394" t="s">
        <v>11987</v>
      </c>
      <c r="D1394" t="s">
        <v>15845</v>
      </c>
      <c r="E1394" t="b">
        <v>0</v>
      </c>
      <c r="F1394" t="s">
        <v>11624</v>
      </c>
      <c r="G1394">
        <v>8.8165600000000008</v>
      </c>
      <c r="H1394">
        <v>18.346699999999998</v>
      </c>
      <c r="I1394" t="s">
        <v>15846</v>
      </c>
      <c r="L1394">
        <v>0</v>
      </c>
      <c r="M1394">
        <v>0</v>
      </c>
      <c r="N1394">
        <v>0</v>
      </c>
      <c r="O1394" t="s">
        <v>15847</v>
      </c>
    </row>
    <row r="1395" spans="1:15">
      <c r="A1395" t="s">
        <v>15848</v>
      </c>
      <c r="B1395" t="s">
        <v>11729</v>
      </c>
      <c r="C1395" t="s">
        <v>15849</v>
      </c>
      <c r="D1395" t="s">
        <v>15850</v>
      </c>
      <c r="E1395" t="b">
        <v>0</v>
      </c>
      <c r="F1395" t="s">
        <v>11624</v>
      </c>
      <c r="G1395">
        <v>11.52392</v>
      </c>
      <c r="H1395">
        <v>14.769494999999999</v>
      </c>
      <c r="I1395" t="s">
        <v>15851</v>
      </c>
      <c r="L1395">
        <v>0</v>
      </c>
      <c r="M1395">
        <v>0</v>
      </c>
      <c r="N1395">
        <v>4</v>
      </c>
      <c r="O1395" t="s">
        <v>15852</v>
      </c>
    </row>
    <row r="1396" spans="1:15">
      <c r="A1396" t="s">
        <v>15849</v>
      </c>
      <c r="B1396" t="s">
        <v>11729</v>
      </c>
      <c r="C1396" t="s">
        <v>15853</v>
      </c>
      <c r="D1396" t="s">
        <v>15854</v>
      </c>
      <c r="E1396" t="b">
        <v>0</v>
      </c>
      <c r="F1396" t="s">
        <v>11622</v>
      </c>
      <c r="L1396">
        <v>4</v>
      </c>
      <c r="M1396">
        <v>8</v>
      </c>
      <c r="N1396">
        <v>19</v>
      </c>
    </row>
    <row r="1397" spans="1:15">
      <c r="A1397" t="s">
        <v>15855</v>
      </c>
      <c r="B1397" t="s">
        <v>11644</v>
      </c>
      <c r="C1397" t="s">
        <v>15856</v>
      </c>
      <c r="D1397" t="s">
        <v>15857</v>
      </c>
      <c r="E1397" t="b">
        <v>0</v>
      </c>
      <c r="F1397" t="s">
        <v>11610</v>
      </c>
      <c r="L1397">
        <v>0</v>
      </c>
      <c r="M1397">
        <v>0</v>
      </c>
      <c r="N1397">
        <v>0</v>
      </c>
    </row>
    <row r="1398" spans="1:15">
      <c r="A1398" t="s">
        <v>15858</v>
      </c>
      <c r="B1398" t="s">
        <v>6742</v>
      </c>
      <c r="C1398" t="s">
        <v>15859</v>
      </c>
      <c r="D1398" t="s">
        <v>15860</v>
      </c>
      <c r="E1398" t="b">
        <v>0</v>
      </c>
      <c r="F1398" t="s">
        <v>11624</v>
      </c>
      <c r="G1398">
        <v>8.5269700000000004</v>
      </c>
      <c r="H1398">
        <v>1.41214</v>
      </c>
      <c r="I1398" t="s">
        <v>15861</v>
      </c>
      <c r="L1398">
        <v>0</v>
      </c>
      <c r="M1398">
        <v>0</v>
      </c>
      <c r="N1398">
        <v>2</v>
      </c>
      <c r="O1398" t="s">
        <v>12704</v>
      </c>
    </row>
    <row r="1399" spans="1:15">
      <c r="A1399" t="s">
        <v>15862</v>
      </c>
      <c r="B1399" t="s">
        <v>6742</v>
      </c>
      <c r="C1399" t="s">
        <v>15858</v>
      </c>
      <c r="D1399" t="s">
        <v>15863</v>
      </c>
      <c r="E1399" t="b">
        <v>0</v>
      </c>
      <c r="F1399" t="s">
        <v>11610</v>
      </c>
      <c r="L1399">
        <v>0</v>
      </c>
      <c r="M1399">
        <v>0</v>
      </c>
      <c r="N1399">
        <v>0</v>
      </c>
    </row>
    <row r="1400" spans="1:15">
      <c r="A1400" t="s">
        <v>15859</v>
      </c>
      <c r="B1400" t="s">
        <v>6742</v>
      </c>
      <c r="C1400" t="s">
        <v>15864</v>
      </c>
      <c r="D1400" t="s">
        <v>15865</v>
      </c>
      <c r="E1400" t="b">
        <v>0</v>
      </c>
      <c r="F1400" t="s">
        <v>11622</v>
      </c>
      <c r="L1400">
        <v>1</v>
      </c>
      <c r="M1400">
        <v>3</v>
      </c>
      <c r="N1400">
        <v>2</v>
      </c>
    </row>
    <row r="1401" spans="1:15">
      <c r="A1401" t="s">
        <v>15866</v>
      </c>
      <c r="B1401" t="s">
        <v>11637</v>
      </c>
      <c r="C1401" t="s">
        <v>15867</v>
      </c>
      <c r="D1401" t="s">
        <v>15868</v>
      </c>
      <c r="E1401" t="b">
        <v>0</v>
      </c>
      <c r="F1401" t="s">
        <v>11624</v>
      </c>
      <c r="G1401">
        <v>28.6036</v>
      </c>
      <c r="H1401">
        <v>71.453000000000003</v>
      </c>
      <c r="I1401" t="s">
        <v>15869</v>
      </c>
      <c r="L1401">
        <v>0</v>
      </c>
      <c r="M1401">
        <v>0</v>
      </c>
      <c r="N1401">
        <v>0</v>
      </c>
      <c r="O1401" t="s">
        <v>15870</v>
      </c>
    </row>
    <row r="1402" spans="1:15">
      <c r="A1402" t="s">
        <v>15871</v>
      </c>
      <c r="B1402" t="s">
        <v>11637</v>
      </c>
      <c r="C1402" t="s">
        <v>15872</v>
      </c>
      <c r="D1402" t="s">
        <v>15873</v>
      </c>
      <c r="E1402" t="b">
        <v>0</v>
      </c>
      <c r="F1402" t="s">
        <v>11610</v>
      </c>
      <c r="L1402">
        <v>0</v>
      </c>
      <c r="M1402">
        <v>0</v>
      </c>
      <c r="N1402">
        <v>0</v>
      </c>
    </row>
    <row r="1403" spans="1:15">
      <c r="A1403" t="s">
        <v>15867</v>
      </c>
      <c r="B1403" t="s">
        <v>11637</v>
      </c>
      <c r="C1403" t="s">
        <v>15874</v>
      </c>
      <c r="D1403" t="s">
        <v>15875</v>
      </c>
      <c r="E1403" t="b">
        <v>0</v>
      </c>
      <c r="F1403" t="s">
        <v>11622</v>
      </c>
      <c r="L1403">
        <v>0</v>
      </c>
      <c r="M1403">
        <v>2</v>
      </c>
      <c r="N1403">
        <v>0</v>
      </c>
    </row>
    <row r="1404" spans="1:15">
      <c r="A1404" t="s">
        <v>15876</v>
      </c>
      <c r="B1404" t="s">
        <v>13360</v>
      </c>
      <c r="C1404" t="s">
        <v>13360</v>
      </c>
      <c r="D1404" t="s">
        <v>15877</v>
      </c>
      <c r="E1404" t="b">
        <v>0</v>
      </c>
      <c r="F1404" t="s">
        <v>11624</v>
      </c>
      <c r="L1404">
        <v>0</v>
      </c>
      <c r="M1404">
        <v>0</v>
      </c>
      <c r="N1404">
        <v>0</v>
      </c>
      <c r="O1404" t="s">
        <v>11969</v>
      </c>
    </row>
    <row r="1405" spans="1:15">
      <c r="A1405" t="s">
        <v>15878</v>
      </c>
      <c r="B1405" t="s">
        <v>10597</v>
      </c>
      <c r="C1405" t="s">
        <v>15879</v>
      </c>
      <c r="D1405" t="s">
        <v>15880</v>
      </c>
      <c r="E1405" t="b">
        <v>0</v>
      </c>
      <c r="F1405" t="s">
        <v>11610</v>
      </c>
      <c r="L1405">
        <v>0</v>
      </c>
      <c r="M1405">
        <v>0</v>
      </c>
      <c r="N1405">
        <v>0</v>
      </c>
    </row>
    <row r="1406" spans="1:15">
      <c r="A1406" t="s">
        <v>15881</v>
      </c>
      <c r="B1406" t="s">
        <v>12557</v>
      </c>
      <c r="C1406" t="s">
        <v>15882</v>
      </c>
      <c r="D1406" t="s">
        <v>15883</v>
      </c>
      <c r="E1406" t="b">
        <v>0</v>
      </c>
      <c r="F1406" t="s">
        <v>11624</v>
      </c>
      <c r="G1406">
        <v>-1.98844</v>
      </c>
      <c r="H1406">
        <v>137.91399999999999</v>
      </c>
      <c r="I1406" t="s">
        <v>15884</v>
      </c>
      <c r="L1406">
        <v>0</v>
      </c>
      <c r="M1406">
        <v>0</v>
      </c>
      <c r="N1406">
        <v>0</v>
      </c>
      <c r="O1406" t="s">
        <v>11768</v>
      </c>
    </row>
    <row r="1407" spans="1:15">
      <c r="A1407" t="s">
        <v>15885</v>
      </c>
      <c r="B1407" t="s">
        <v>11615</v>
      </c>
      <c r="C1407" t="s">
        <v>15886</v>
      </c>
      <c r="D1407" t="s">
        <v>15887</v>
      </c>
      <c r="E1407" t="b">
        <v>0</v>
      </c>
      <c r="F1407" t="s">
        <v>11624</v>
      </c>
      <c r="G1407">
        <v>-5.0777799999999997</v>
      </c>
      <c r="H1407">
        <v>145.63200000000001</v>
      </c>
      <c r="I1407" t="s">
        <v>15888</v>
      </c>
      <c r="L1407">
        <v>0</v>
      </c>
      <c r="M1407">
        <v>0</v>
      </c>
      <c r="N1407">
        <v>0</v>
      </c>
      <c r="O1407" t="s">
        <v>11660</v>
      </c>
    </row>
    <row r="1408" spans="1:15">
      <c r="A1408" t="s">
        <v>15889</v>
      </c>
      <c r="B1408" t="s">
        <v>12311</v>
      </c>
      <c r="C1408" t="s">
        <v>15890</v>
      </c>
      <c r="D1408" t="s">
        <v>15891</v>
      </c>
      <c r="E1408" t="b">
        <v>0</v>
      </c>
      <c r="F1408" t="s">
        <v>11624</v>
      </c>
      <c r="G1408">
        <v>42.396599999999999</v>
      </c>
      <c r="H1408">
        <v>46.104100000000003</v>
      </c>
      <c r="I1408" t="s">
        <v>15892</v>
      </c>
      <c r="L1408">
        <v>0</v>
      </c>
      <c r="M1408">
        <v>0</v>
      </c>
      <c r="N1408">
        <v>1</v>
      </c>
      <c r="O1408" t="s">
        <v>12748</v>
      </c>
    </row>
    <row r="1409" spans="1:15">
      <c r="A1409" t="s">
        <v>15890</v>
      </c>
      <c r="B1409" t="s">
        <v>12311</v>
      </c>
      <c r="C1409" t="s">
        <v>12745</v>
      </c>
      <c r="D1409" t="s">
        <v>15893</v>
      </c>
      <c r="E1409" t="b">
        <v>0</v>
      </c>
      <c r="F1409" t="s">
        <v>11622</v>
      </c>
      <c r="L1409">
        <v>0</v>
      </c>
      <c r="M1409">
        <v>2</v>
      </c>
      <c r="N1409">
        <v>1</v>
      </c>
    </row>
    <row r="1410" spans="1:15">
      <c r="A1410" t="s">
        <v>15894</v>
      </c>
      <c r="B1410" t="s">
        <v>11794</v>
      </c>
      <c r="C1410" t="s">
        <v>15895</v>
      </c>
      <c r="D1410" t="s">
        <v>15896</v>
      </c>
      <c r="E1410" t="b">
        <v>0</v>
      </c>
      <c r="F1410" t="s">
        <v>11610</v>
      </c>
      <c r="L1410">
        <v>0</v>
      </c>
      <c r="M1410">
        <v>0</v>
      </c>
      <c r="N1410">
        <v>0</v>
      </c>
    </row>
    <row r="1411" spans="1:15">
      <c r="A1411" t="s">
        <v>15897</v>
      </c>
      <c r="B1411" t="s">
        <v>11637</v>
      </c>
      <c r="C1411" t="s">
        <v>15898</v>
      </c>
      <c r="D1411" t="s">
        <v>15899</v>
      </c>
      <c r="E1411" t="b">
        <v>0</v>
      </c>
      <c r="F1411" t="s">
        <v>11610</v>
      </c>
      <c r="L1411">
        <v>0</v>
      </c>
      <c r="M1411">
        <v>0</v>
      </c>
      <c r="N1411">
        <v>0</v>
      </c>
    </row>
    <row r="1412" spans="1:15">
      <c r="A1412" t="s">
        <v>15900</v>
      </c>
      <c r="B1412" t="s">
        <v>331</v>
      </c>
      <c r="C1412" t="s">
        <v>12244</v>
      </c>
      <c r="D1412" t="s">
        <v>15901</v>
      </c>
      <c r="E1412" t="b">
        <v>0</v>
      </c>
      <c r="F1412" t="s">
        <v>11610</v>
      </c>
      <c r="L1412">
        <v>0</v>
      </c>
      <c r="M1412">
        <v>0</v>
      </c>
      <c r="N1412">
        <v>0</v>
      </c>
    </row>
    <row r="1413" spans="1:15">
      <c r="A1413" t="s">
        <v>15902</v>
      </c>
      <c r="B1413" t="s">
        <v>5126</v>
      </c>
      <c r="C1413" t="s">
        <v>15903</v>
      </c>
      <c r="D1413" t="s">
        <v>15904</v>
      </c>
      <c r="E1413" t="b">
        <v>0</v>
      </c>
      <c r="F1413" t="s">
        <v>11624</v>
      </c>
      <c r="G1413">
        <v>23.0105</v>
      </c>
      <c r="H1413">
        <v>104.449</v>
      </c>
      <c r="I1413" t="s">
        <v>15905</v>
      </c>
      <c r="L1413">
        <v>0</v>
      </c>
      <c r="M1413">
        <v>0</v>
      </c>
      <c r="N1413">
        <v>0</v>
      </c>
      <c r="O1413" t="s">
        <v>11905</v>
      </c>
    </row>
    <row r="1414" spans="1:15">
      <c r="A1414" t="s">
        <v>15906</v>
      </c>
      <c r="B1414" t="s">
        <v>367</v>
      </c>
      <c r="C1414" t="s">
        <v>15907</v>
      </c>
      <c r="D1414" t="s">
        <v>15908</v>
      </c>
      <c r="E1414" t="b">
        <v>0</v>
      </c>
      <c r="F1414" t="s">
        <v>11624</v>
      </c>
      <c r="G1414">
        <v>0.30801000000000001</v>
      </c>
      <c r="H1414">
        <v>115.33199999999999</v>
      </c>
      <c r="I1414" t="s">
        <v>15909</v>
      </c>
      <c r="L1414">
        <v>0</v>
      </c>
      <c r="M1414">
        <v>0</v>
      </c>
      <c r="N1414">
        <v>0</v>
      </c>
      <c r="O1414" t="s">
        <v>11768</v>
      </c>
    </row>
    <row r="1415" spans="1:15">
      <c r="A1415" t="s">
        <v>15910</v>
      </c>
      <c r="B1415" t="s">
        <v>15911</v>
      </c>
      <c r="C1415" t="s">
        <v>15912</v>
      </c>
      <c r="D1415" t="s">
        <v>15913</v>
      </c>
      <c r="E1415" t="b">
        <v>0</v>
      </c>
      <c r="F1415" t="s">
        <v>11624</v>
      </c>
      <c r="G1415">
        <v>-3.1062799999999999</v>
      </c>
      <c r="H1415">
        <v>132.637</v>
      </c>
      <c r="I1415" t="s">
        <v>15914</v>
      </c>
      <c r="L1415">
        <v>0</v>
      </c>
      <c r="M1415">
        <v>0</v>
      </c>
      <c r="N1415">
        <v>0</v>
      </c>
      <c r="O1415" t="s">
        <v>11768</v>
      </c>
    </row>
    <row r="1416" spans="1:15">
      <c r="A1416" t="s">
        <v>15915</v>
      </c>
      <c r="B1416" t="s">
        <v>11607</v>
      </c>
      <c r="C1416" t="s">
        <v>4675</v>
      </c>
      <c r="D1416" t="s">
        <v>15916</v>
      </c>
      <c r="E1416" t="b">
        <v>0</v>
      </c>
      <c r="F1416" t="s">
        <v>11624</v>
      </c>
      <c r="G1416">
        <v>26.223614999999999</v>
      </c>
      <c r="H1416">
        <v>50.580810999999997</v>
      </c>
      <c r="I1416" t="s">
        <v>15917</v>
      </c>
      <c r="L1416">
        <v>0</v>
      </c>
      <c r="M1416">
        <v>0</v>
      </c>
      <c r="N1416">
        <v>0</v>
      </c>
      <c r="O1416" t="s">
        <v>15918</v>
      </c>
    </row>
    <row r="1417" spans="1:15">
      <c r="A1417" t="s">
        <v>15919</v>
      </c>
      <c r="B1417" t="s">
        <v>11637</v>
      </c>
      <c r="C1417" t="s">
        <v>15920</v>
      </c>
      <c r="D1417" t="s">
        <v>15921</v>
      </c>
      <c r="E1417" t="b">
        <v>0</v>
      </c>
      <c r="F1417" t="s">
        <v>11624</v>
      </c>
      <c r="G1417">
        <v>25.032149</v>
      </c>
      <c r="H1417">
        <v>-77.390586999999996</v>
      </c>
      <c r="I1417" t="s">
        <v>15922</v>
      </c>
      <c r="L1417">
        <v>0</v>
      </c>
      <c r="M1417">
        <v>0</v>
      </c>
      <c r="N1417">
        <v>0</v>
      </c>
      <c r="O1417" t="s">
        <v>15923</v>
      </c>
    </row>
    <row r="1418" spans="1:15">
      <c r="A1418" t="s">
        <v>15920</v>
      </c>
      <c r="B1418" t="s">
        <v>11637</v>
      </c>
      <c r="C1418" t="s">
        <v>12235</v>
      </c>
      <c r="D1418" t="s">
        <v>15924</v>
      </c>
      <c r="E1418" t="b">
        <v>0</v>
      </c>
      <c r="F1418" t="s">
        <v>11622</v>
      </c>
      <c r="L1418">
        <v>0</v>
      </c>
      <c r="M1418">
        <v>2</v>
      </c>
      <c r="N1418">
        <v>0</v>
      </c>
    </row>
    <row r="1419" spans="1:15">
      <c r="A1419" t="s">
        <v>15925</v>
      </c>
      <c r="B1419" t="s">
        <v>11627</v>
      </c>
      <c r="C1419" t="s">
        <v>11627</v>
      </c>
      <c r="D1419" t="s">
        <v>15926</v>
      </c>
      <c r="E1419" t="b">
        <v>1</v>
      </c>
      <c r="F1419" t="s">
        <v>11624</v>
      </c>
      <c r="I1419" t="s">
        <v>15927</v>
      </c>
      <c r="L1419">
        <v>0</v>
      </c>
      <c r="M1419">
        <v>0</v>
      </c>
      <c r="N1419">
        <v>0</v>
      </c>
    </row>
    <row r="1420" spans="1:15">
      <c r="A1420" t="s">
        <v>15928</v>
      </c>
      <c r="B1420" t="s">
        <v>11637</v>
      </c>
      <c r="C1420" t="s">
        <v>3565</v>
      </c>
      <c r="D1420" t="s">
        <v>15929</v>
      </c>
      <c r="E1420" t="b">
        <v>0</v>
      </c>
      <c r="F1420" t="s">
        <v>11610</v>
      </c>
      <c r="L1420">
        <v>0</v>
      </c>
      <c r="M1420">
        <v>0</v>
      </c>
      <c r="N1420">
        <v>0</v>
      </c>
    </row>
    <row r="1421" spans="1:15">
      <c r="A1421" t="s">
        <v>15930</v>
      </c>
      <c r="B1421" t="s">
        <v>11644</v>
      </c>
      <c r="C1421" t="s">
        <v>15931</v>
      </c>
      <c r="D1421" t="s">
        <v>15932</v>
      </c>
      <c r="E1421" t="b">
        <v>0</v>
      </c>
      <c r="F1421" t="s">
        <v>11624</v>
      </c>
      <c r="G1421">
        <v>27.3323</v>
      </c>
      <c r="H1421">
        <v>86.394900000000007</v>
      </c>
      <c r="I1421" t="s">
        <v>15933</v>
      </c>
      <c r="L1421">
        <v>0</v>
      </c>
      <c r="M1421">
        <v>0</v>
      </c>
      <c r="N1421">
        <v>5</v>
      </c>
      <c r="O1421" t="s">
        <v>15007</v>
      </c>
    </row>
    <row r="1422" spans="1:15">
      <c r="A1422" t="s">
        <v>15934</v>
      </c>
      <c r="B1422" t="s">
        <v>11705</v>
      </c>
      <c r="C1422" t="s">
        <v>15935</v>
      </c>
      <c r="D1422" t="s">
        <v>15936</v>
      </c>
      <c r="E1422" t="b">
        <v>0</v>
      </c>
      <c r="F1422" t="s">
        <v>11624</v>
      </c>
      <c r="G1422">
        <v>-4.5552700000000002</v>
      </c>
      <c r="H1422">
        <v>142.83199999999999</v>
      </c>
      <c r="I1422" t="s">
        <v>15937</v>
      </c>
      <c r="L1422">
        <v>0</v>
      </c>
      <c r="M1422">
        <v>0</v>
      </c>
      <c r="N1422">
        <v>0</v>
      </c>
      <c r="O1422" t="s">
        <v>11660</v>
      </c>
    </row>
    <row r="1423" spans="1:15">
      <c r="A1423" t="s">
        <v>15935</v>
      </c>
      <c r="B1423" t="s">
        <v>11705</v>
      </c>
      <c r="C1423" t="s">
        <v>15938</v>
      </c>
      <c r="D1423" t="s">
        <v>15939</v>
      </c>
      <c r="E1423" t="b">
        <v>0</v>
      </c>
      <c r="F1423" t="s">
        <v>11622</v>
      </c>
      <c r="L1423">
        <v>0</v>
      </c>
      <c r="M1423">
        <v>4</v>
      </c>
      <c r="N1423">
        <v>1</v>
      </c>
    </row>
    <row r="1424" spans="1:15">
      <c r="A1424" t="s">
        <v>15940</v>
      </c>
      <c r="B1424" t="s">
        <v>367</v>
      </c>
      <c r="C1424" t="s">
        <v>15941</v>
      </c>
      <c r="D1424" t="s">
        <v>15942</v>
      </c>
      <c r="E1424" t="b">
        <v>0</v>
      </c>
      <c r="F1424" t="s">
        <v>11610</v>
      </c>
      <c r="L1424">
        <v>0</v>
      </c>
      <c r="M1424">
        <v>0</v>
      </c>
      <c r="N1424">
        <v>0</v>
      </c>
    </row>
    <row r="1425" spans="1:15">
      <c r="A1425" t="s">
        <v>15943</v>
      </c>
      <c r="B1425" t="s">
        <v>12438</v>
      </c>
      <c r="C1425" t="s">
        <v>15944</v>
      </c>
      <c r="D1425" t="s">
        <v>15945</v>
      </c>
      <c r="E1425" t="b">
        <v>0</v>
      </c>
      <c r="F1425" t="s">
        <v>11610</v>
      </c>
      <c r="L1425">
        <v>0</v>
      </c>
      <c r="M1425">
        <v>0</v>
      </c>
      <c r="N1425">
        <v>0</v>
      </c>
    </row>
    <row r="1426" spans="1:15">
      <c r="A1426" t="s">
        <v>12915</v>
      </c>
      <c r="B1426" t="s">
        <v>12438</v>
      </c>
      <c r="C1426" t="s">
        <v>15946</v>
      </c>
      <c r="D1426" t="s">
        <v>15947</v>
      </c>
      <c r="E1426" t="b">
        <v>0</v>
      </c>
      <c r="F1426" t="s">
        <v>11624</v>
      </c>
      <c r="G1426">
        <v>14.047599999999999</v>
      </c>
      <c r="H1426">
        <v>108.471</v>
      </c>
      <c r="I1426" t="s">
        <v>15948</v>
      </c>
      <c r="L1426">
        <v>0</v>
      </c>
      <c r="M1426">
        <v>0</v>
      </c>
      <c r="N1426">
        <v>7</v>
      </c>
      <c r="O1426" t="s">
        <v>15949</v>
      </c>
    </row>
    <row r="1427" spans="1:15">
      <c r="A1427" t="s">
        <v>15950</v>
      </c>
      <c r="B1427" t="s">
        <v>12438</v>
      </c>
      <c r="C1427" t="s">
        <v>12915</v>
      </c>
      <c r="D1427" t="s">
        <v>15951</v>
      </c>
      <c r="E1427" t="b">
        <v>0</v>
      </c>
      <c r="F1427" t="s">
        <v>11610</v>
      </c>
      <c r="L1427">
        <v>0</v>
      </c>
      <c r="M1427">
        <v>0</v>
      </c>
      <c r="N1427">
        <v>0</v>
      </c>
    </row>
    <row r="1428" spans="1:15">
      <c r="A1428" t="s">
        <v>12918</v>
      </c>
      <c r="B1428" t="s">
        <v>12438</v>
      </c>
      <c r="C1428" t="s">
        <v>12438</v>
      </c>
      <c r="D1428" t="s">
        <v>15952</v>
      </c>
      <c r="E1428" t="b">
        <v>0</v>
      </c>
      <c r="F1428" t="s">
        <v>11622</v>
      </c>
      <c r="L1428">
        <v>19</v>
      </c>
      <c r="M1428">
        <v>37</v>
      </c>
      <c r="N1428">
        <v>64</v>
      </c>
    </row>
    <row r="1429" spans="1:15">
      <c r="A1429" t="s">
        <v>15953</v>
      </c>
      <c r="B1429" t="s">
        <v>367</v>
      </c>
      <c r="C1429" t="s">
        <v>15954</v>
      </c>
      <c r="D1429" t="s">
        <v>15955</v>
      </c>
      <c r="E1429" t="b">
        <v>0</v>
      </c>
      <c r="F1429" t="s">
        <v>11624</v>
      </c>
      <c r="G1429">
        <v>-2.2257199999999999</v>
      </c>
      <c r="H1429">
        <v>121.70699999999999</v>
      </c>
      <c r="I1429" t="s">
        <v>15956</v>
      </c>
      <c r="L1429">
        <v>0</v>
      </c>
      <c r="M1429">
        <v>0</v>
      </c>
      <c r="N1429">
        <v>0</v>
      </c>
      <c r="O1429" t="s">
        <v>11768</v>
      </c>
    </row>
    <row r="1430" spans="1:15">
      <c r="A1430" t="s">
        <v>15957</v>
      </c>
      <c r="B1430" t="s">
        <v>11637</v>
      </c>
      <c r="C1430" t="s">
        <v>15958</v>
      </c>
      <c r="D1430" t="s">
        <v>15959</v>
      </c>
      <c r="E1430" t="b">
        <v>0</v>
      </c>
      <c r="F1430" t="s">
        <v>11610</v>
      </c>
      <c r="L1430">
        <v>0</v>
      </c>
      <c r="M1430">
        <v>0</v>
      </c>
      <c r="N1430">
        <v>0</v>
      </c>
    </row>
    <row r="1431" spans="1:15">
      <c r="A1431" t="s">
        <v>15960</v>
      </c>
      <c r="B1431" t="s">
        <v>11729</v>
      </c>
      <c r="C1431" t="s">
        <v>15961</v>
      </c>
      <c r="D1431" t="s">
        <v>15962</v>
      </c>
      <c r="E1431" t="b">
        <v>0</v>
      </c>
      <c r="F1431" t="s">
        <v>11610</v>
      </c>
      <c r="L1431">
        <v>0</v>
      </c>
      <c r="M1431">
        <v>0</v>
      </c>
      <c r="N1431">
        <v>0</v>
      </c>
    </row>
    <row r="1432" spans="1:15">
      <c r="A1432" t="s">
        <v>15963</v>
      </c>
      <c r="B1432" t="s">
        <v>11607</v>
      </c>
      <c r="C1432" t="s">
        <v>13053</v>
      </c>
      <c r="D1432" t="s">
        <v>15964</v>
      </c>
      <c r="E1432" t="b">
        <v>0</v>
      </c>
      <c r="F1432" t="s">
        <v>11610</v>
      </c>
      <c r="L1432">
        <v>0</v>
      </c>
      <c r="M1432">
        <v>0</v>
      </c>
      <c r="N1432">
        <v>0</v>
      </c>
    </row>
    <row r="1433" spans="1:15">
      <c r="A1433" t="s">
        <v>15965</v>
      </c>
      <c r="B1433" t="s">
        <v>11894</v>
      </c>
      <c r="C1433" t="s">
        <v>14655</v>
      </c>
      <c r="D1433" t="s">
        <v>15966</v>
      </c>
      <c r="E1433" t="b">
        <v>0</v>
      </c>
      <c r="F1433" t="s">
        <v>11622</v>
      </c>
      <c r="L1433">
        <v>0</v>
      </c>
      <c r="M1433">
        <v>4</v>
      </c>
      <c r="N1433">
        <v>0</v>
      </c>
    </row>
    <row r="1434" spans="1:15">
      <c r="A1434" t="s">
        <v>15967</v>
      </c>
      <c r="B1434" t="s">
        <v>14798</v>
      </c>
      <c r="C1434" t="s">
        <v>14799</v>
      </c>
      <c r="D1434" t="s">
        <v>15968</v>
      </c>
      <c r="E1434" t="b">
        <v>0</v>
      </c>
      <c r="F1434" t="s">
        <v>11610</v>
      </c>
      <c r="L1434">
        <v>0</v>
      </c>
      <c r="M1434">
        <v>0</v>
      </c>
      <c r="N1434">
        <v>0</v>
      </c>
    </row>
    <row r="1435" spans="1:15">
      <c r="A1435" t="s">
        <v>15969</v>
      </c>
      <c r="D1435" t="s">
        <v>15970</v>
      </c>
      <c r="E1435" t="b">
        <v>0</v>
      </c>
      <c r="F1435" t="s">
        <v>11622</v>
      </c>
      <c r="L1435">
        <v>0</v>
      </c>
      <c r="M1435">
        <v>2</v>
      </c>
      <c r="N1435">
        <v>2</v>
      </c>
    </row>
    <row r="1436" spans="1:15">
      <c r="A1436" t="s">
        <v>15971</v>
      </c>
      <c r="B1436" t="s">
        <v>15969</v>
      </c>
      <c r="C1436" t="s">
        <v>15969</v>
      </c>
      <c r="D1436" t="s">
        <v>15972</v>
      </c>
      <c r="E1436" t="b">
        <v>0</v>
      </c>
      <c r="F1436" t="s">
        <v>11624</v>
      </c>
      <c r="G1436">
        <v>-3.42672</v>
      </c>
      <c r="H1436">
        <v>141.345</v>
      </c>
      <c r="I1436" t="s">
        <v>15973</v>
      </c>
      <c r="L1436">
        <v>0</v>
      </c>
      <c r="M1436">
        <v>0</v>
      </c>
      <c r="N1436">
        <v>0</v>
      </c>
      <c r="O1436" t="s">
        <v>11660</v>
      </c>
    </row>
    <row r="1437" spans="1:15">
      <c r="A1437" t="s">
        <v>448</v>
      </c>
      <c r="B1437" t="s">
        <v>11644</v>
      </c>
      <c r="C1437" t="s">
        <v>15974</v>
      </c>
      <c r="D1437" t="s">
        <v>15975</v>
      </c>
      <c r="E1437" t="b">
        <v>0</v>
      </c>
      <c r="F1437" t="s">
        <v>11622</v>
      </c>
      <c r="L1437">
        <v>1</v>
      </c>
      <c r="M1437">
        <v>3</v>
      </c>
      <c r="N1437">
        <v>15</v>
      </c>
    </row>
    <row r="1438" spans="1:15">
      <c r="A1438" t="s">
        <v>15976</v>
      </c>
      <c r="B1438" t="s">
        <v>11637</v>
      </c>
      <c r="C1438" t="s">
        <v>15977</v>
      </c>
      <c r="D1438" t="s">
        <v>15978</v>
      </c>
      <c r="E1438" t="b">
        <v>0</v>
      </c>
      <c r="F1438" t="s">
        <v>11610</v>
      </c>
      <c r="L1438">
        <v>0</v>
      </c>
      <c r="M1438">
        <v>0</v>
      </c>
      <c r="N1438">
        <v>0</v>
      </c>
    </row>
    <row r="1439" spans="1:15">
      <c r="A1439" t="s">
        <v>15979</v>
      </c>
      <c r="B1439" t="s">
        <v>11644</v>
      </c>
      <c r="C1439" t="s">
        <v>15980</v>
      </c>
      <c r="D1439" t="s">
        <v>15981</v>
      </c>
      <c r="E1439" t="b">
        <v>0</v>
      </c>
      <c r="F1439" t="s">
        <v>11610</v>
      </c>
      <c r="L1439">
        <v>0</v>
      </c>
      <c r="M1439">
        <v>0</v>
      </c>
      <c r="N1439">
        <v>0</v>
      </c>
    </row>
    <row r="1440" spans="1:15">
      <c r="A1440" t="s">
        <v>15982</v>
      </c>
      <c r="B1440" t="s">
        <v>6742</v>
      </c>
      <c r="C1440" t="s">
        <v>15983</v>
      </c>
      <c r="D1440" t="s">
        <v>15984</v>
      </c>
      <c r="E1440" t="b">
        <v>0</v>
      </c>
      <c r="F1440" t="s">
        <v>11610</v>
      </c>
      <c r="L1440">
        <v>0</v>
      </c>
      <c r="M1440">
        <v>0</v>
      </c>
      <c r="N1440">
        <v>0</v>
      </c>
    </row>
    <row r="1441" spans="1:15">
      <c r="A1441" t="s">
        <v>15985</v>
      </c>
      <c r="B1441" t="s">
        <v>6742</v>
      </c>
      <c r="C1441" t="s">
        <v>15986</v>
      </c>
      <c r="D1441" t="s">
        <v>447</v>
      </c>
      <c r="E1441" t="b">
        <v>0</v>
      </c>
      <c r="F1441" t="s">
        <v>11624</v>
      </c>
      <c r="G1441">
        <v>7.5722100000000001</v>
      </c>
      <c r="H1441">
        <v>26.48246</v>
      </c>
      <c r="I1441" t="s">
        <v>15987</v>
      </c>
      <c r="L1441">
        <v>0</v>
      </c>
      <c r="M1441">
        <v>0</v>
      </c>
      <c r="N1441">
        <v>0</v>
      </c>
      <c r="O1441" t="s">
        <v>11910</v>
      </c>
    </row>
    <row r="1442" spans="1:15">
      <c r="A1442" t="s">
        <v>15988</v>
      </c>
      <c r="B1442" t="s">
        <v>367</v>
      </c>
      <c r="C1442" t="s">
        <v>13310</v>
      </c>
      <c r="D1442" t="s">
        <v>15989</v>
      </c>
      <c r="E1442" t="b">
        <v>0</v>
      </c>
      <c r="F1442" t="s">
        <v>11624</v>
      </c>
      <c r="G1442">
        <v>-9.3299099999999999</v>
      </c>
      <c r="H1442">
        <v>124.256</v>
      </c>
      <c r="I1442" t="s">
        <v>15990</v>
      </c>
      <c r="L1442">
        <v>0</v>
      </c>
      <c r="M1442">
        <v>0</v>
      </c>
      <c r="N1442">
        <v>3</v>
      </c>
      <c r="O1442" t="s">
        <v>11976</v>
      </c>
    </row>
    <row r="1443" spans="1:15">
      <c r="A1443" t="s">
        <v>15991</v>
      </c>
      <c r="B1443" t="s">
        <v>11644</v>
      </c>
      <c r="C1443" t="s">
        <v>15992</v>
      </c>
      <c r="D1443" t="s">
        <v>15993</v>
      </c>
      <c r="E1443" t="b">
        <v>0</v>
      </c>
      <c r="F1443" t="s">
        <v>11624</v>
      </c>
      <c r="G1443">
        <v>33.100099999999998</v>
      </c>
      <c r="H1443">
        <v>103.952</v>
      </c>
      <c r="I1443" t="s">
        <v>15994</v>
      </c>
      <c r="L1443">
        <v>0</v>
      </c>
      <c r="M1443">
        <v>0</v>
      </c>
      <c r="N1443">
        <v>3</v>
      </c>
      <c r="O1443" t="s">
        <v>11905</v>
      </c>
    </row>
    <row r="1444" spans="1:15">
      <c r="A1444" t="s">
        <v>15995</v>
      </c>
      <c r="B1444" t="s">
        <v>11615</v>
      </c>
      <c r="C1444" t="s">
        <v>15996</v>
      </c>
      <c r="D1444" t="s">
        <v>15997</v>
      </c>
      <c r="E1444" t="b">
        <v>0</v>
      </c>
      <c r="F1444" t="s">
        <v>11624</v>
      </c>
      <c r="G1444">
        <v>-5.1894299999999998</v>
      </c>
      <c r="H1444">
        <v>145.60599999999999</v>
      </c>
      <c r="I1444" t="s">
        <v>15998</v>
      </c>
      <c r="L1444">
        <v>0</v>
      </c>
      <c r="M1444">
        <v>0</v>
      </c>
      <c r="N1444">
        <v>0</v>
      </c>
      <c r="O1444" t="s">
        <v>11660</v>
      </c>
    </row>
    <row r="1445" spans="1:15">
      <c r="A1445" t="s">
        <v>15999</v>
      </c>
      <c r="B1445" t="s">
        <v>11615</v>
      </c>
      <c r="C1445" t="s">
        <v>16000</v>
      </c>
      <c r="D1445" t="s">
        <v>16001</v>
      </c>
      <c r="E1445" t="b">
        <v>0</v>
      </c>
      <c r="F1445" t="s">
        <v>11624</v>
      </c>
      <c r="L1445">
        <v>0</v>
      </c>
      <c r="M1445">
        <v>0</v>
      </c>
      <c r="N1445">
        <v>0</v>
      </c>
      <c r="O1445" t="s">
        <v>11660</v>
      </c>
    </row>
    <row r="1446" spans="1:15">
      <c r="A1446" t="s">
        <v>16002</v>
      </c>
      <c r="B1446" t="s">
        <v>6742</v>
      </c>
      <c r="C1446" t="s">
        <v>16003</v>
      </c>
      <c r="D1446" t="s">
        <v>16004</v>
      </c>
      <c r="E1446" t="b">
        <v>0</v>
      </c>
      <c r="F1446" t="s">
        <v>11624</v>
      </c>
      <c r="G1446">
        <v>12.312799999999999</v>
      </c>
      <c r="H1446">
        <v>-16.058599999999998</v>
      </c>
      <c r="I1446" t="s">
        <v>16005</v>
      </c>
      <c r="L1446">
        <v>0</v>
      </c>
      <c r="M1446">
        <v>0</v>
      </c>
      <c r="N1446">
        <v>0</v>
      </c>
      <c r="O1446" t="s">
        <v>14312</v>
      </c>
    </row>
    <row r="1447" spans="1:15">
      <c r="A1447" t="s">
        <v>16006</v>
      </c>
      <c r="B1447" t="s">
        <v>11627</v>
      </c>
      <c r="C1447" t="s">
        <v>11627</v>
      </c>
      <c r="D1447" t="s">
        <v>16007</v>
      </c>
      <c r="E1447" t="b">
        <v>1</v>
      </c>
      <c r="F1447" t="s">
        <v>11624</v>
      </c>
      <c r="G1447">
        <v>12.5053</v>
      </c>
      <c r="H1447">
        <v>-15.9969</v>
      </c>
      <c r="I1447" t="s">
        <v>16008</v>
      </c>
      <c r="L1447">
        <v>0</v>
      </c>
      <c r="M1447">
        <v>0</v>
      </c>
      <c r="N1447">
        <v>0</v>
      </c>
      <c r="O1447" t="s">
        <v>16009</v>
      </c>
    </row>
    <row r="1448" spans="1:15">
      <c r="A1448" t="s">
        <v>16010</v>
      </c>
      <c r="B1448" t="s">
        <v>6742</v>
      </c>
      <c r="C1448" t="s">
        <v>16003</v>
      </c>
      <c r="D1448" t="s">
        <v>16011</v>
      </c>
      <c r="E1448" t="b">
        <v>0</v>
      </c>
      <c r="F1448" t="s">
        <v>11624</v>
      </c>
      <c r="G1448">
        <v>12.8672</v>
      </c>
      <c r="H1448">
        <v>-16.228999999999999</v>
      </c>
      <c r="I1448" t="s">
        <v>16012</v>
      </c>
      <c r="L1448">
        <v>0</v>
      </c>
      <c r="M1448">
        <v>0</v>
      </c>
      <c r="N1448">
        <v>2</v>
      </c>
      <c r="O1448" t="s">
        <v>16013</v>
      </c>
    </row>
    <row r="1449" spans="1:15">
      <c r="A1449" t="s">
        <v>16014</v>
      </c>
      <c r="D1449" t="s">
        <v>16015</v>
      </c>
      <c r="E1449" t="b">
        <v>0</v>
      </c>
      <c r="F1449" t="s">
        <v>11622</v>
      </c>
      <c r="L1449">
        <v>1</v>
      </c>
      <c r="M1449">
        <v>6</v>
      </c>
      <c r="N1449">
        <v>0</v>
      </c>
    </row>
    <row r="1450" spans="1:15">
      <c r="A1450" t="s">
        <v>16003</v>
      </c>
      <c r="B1450" t="s">
        <v>6742</v>
      </c>
      <c r="C1450" t="s">
        <v>16016</v>
      </c>
      <c r="D1450" t="s">
        <v>16017</v>
      </c>
      <c r="E1450" t="b">
        <v>0</v>
      </c>
      <c r="F1450" t="s">
        <v>11622</v>
      </c>
      <c r="L1450">
        <v>0</v>
      </c>
      <c r="M1450">
        <v>4</v>
      </c>
      <c r="N1450">
        <v>2</v>
      </c>
    </row>
    <row r="1451" spans="1:15">
      <c r="A1451" t="s">
        <v>16018</v>
      </c>
      <c r="B1451" t="s">
        <v>367</v>
      </c>
      <c r="C1451" t="s">
        <v>16019</v>
      </c>
      <c r="D1451" t="s">
        <v>16020</v>
      </c>
      <c r="E1451" t="b">
        <v>0</v>
      </c>
      <c r="F1451" t="s">
        <v>11610</v>
      </c>
      <c r="L1451">
        <v>0</v>
      </c>
      <c r="M1451">
        <v>0</v>
      </c>
      <c r="N1451">
        <v>0</v>
      </c>
    </row>
    <row r="1452" spans="1:15">
      <c r="A1452" t="s">
        <v>16021</v>
      </c>
      <c r="B1452" t="s">
        <v>11637</v>
      </c>
      <c r="C1452" t="s">
        <v>14511</v>
      </c>
      <c r="D1452" t="s">
        <v>16022</v>
      </c>
      <c r="E1452" t="b">
        <v>0</v>
      </c>
      <c r="F1452" t="s">
        <v>11610</v>
      </c>
      <c r="L1452">
        <v>0</v>
      </c>
      <c r="M1452">
        <v>0</v>
      </c>
      <c r="N1452">
        <v>0</v>
      </c>
    </row>
    <row r="1453" spans="1:15">
      <c r="A1453" t="s">
        <v>16023</v>
      </c>
      <c r="B1453" t="s">
        <v>6742</v>
      </c>
      <c r="C1453" t="s">
        <v>16024</v>
      </c>
      <c r="D1453" t="s">
        <v>16025</v>
      </c>
      <c r="E1453" t="b">
        <v>0</v>
      </c>
      <c r="F1453" t="s">
        <v>11624</v>
      </c>
      <c r="G1453">
        <v>7.3802300000000001</v>
      </c>
      <c r="H1453">
        <v>10.7684</v>
      </c>
      <c r="I1453" t="s">
        <v>16026</v>
      </c>
      <c r="L1453">
        <v>0</v>
      </c>
      <c r="M1453">
        <v>0</v>
      </c>
      <c r="N1453">
        <v>0</v>
      </c>
      <c r="O1453" t="s">
        <v>11693</v>
      </c>
    </row>
    <row r="1454" spans="1:15">
      <c r="A1454" t="s">
        <v>16027</v>
      </c>
      <c r="B1454" t="s">
        <v>11607</v>
      </c>
      <c r="C1454" t="s">
        <v>16028</v>
      </c>
      <c r="D1454" t="s">
        <v>16029</v>
      </c>
      <c r="E1454" t="b">
        <v>0</v>
      </c>
      <c r="F1454" t="s">
        <v>11624</v>
      </c>
      <c r="G1454">
        <v>6.4489200000000002</v>
      </c>
      <c r="H1454">
        <v>37.768099999999997</v>
      </c>
      <c r="I1454" t="s">
        <v>16030</v>
      </c>
      <c r="L1454">
        <v>0</v>
      </c>
      <c r="M1454">
        <v>0</v>
      </c>
      <c r="N1454">
        <v>0</v>
      </c>
      <c r="O1454" t="s">
        <v>11625</v>
      </c>
    </row>
    <row r="1455" spans="1:15">
      <c r="A1455" t="s">
        <v>16028</v>
      </c>
      <c r="B1455" t="s">
        <v>11607</v>
      </c>
      <c r="C1455" t="s">
        <v>16031</v>
      </c>
      <c r="D1455" t="s">
        <v>16032</v>
      </c>
      <c r="E1455" t="b">
        <v>0</v>
      </c>
      <c r="F1455" t="s">
        <v>11622</v>
      </c>
      <c r="L1455">
        <v>0</v>
      </c>
      <c r="M1455">
        <v>2</v>
      </c>
      <c r="N1455">
        <v>0</v>
      </c>
    </row>
    <row r="1456" spans="1:15">
      <c r="A1456" t="s">
        <v>16033</v>
      </c>
      <c r="B1456" t="s">
        <v>11644</v>
      </c>
      <c r="C1456" t="s">
        <v>16034</v>
      </c>
      <c r="D1456" t="s">
        <v>16035</v>
      </c>
      <c r="E1456" t="b">
        <v>0</v>
      </c>
      <c r="F1456" t="s">
        <v>11610</v>
      </c>
      <c r="L1456">
        <v>0</v>
      </c>
      <c r="M1456">
        <v>0</v>
      </c>
      <c r="N1456">
        <v>0</v>
      </c>
    </row>
    <row r="1457" spans="1:15">
      <c r="A1457" t="s">
        <v>16036</v>
      </c>
      <c r="B1457" t="s">
        <v>11637</v>
      </c>
      <c r="C1457" t="s">
        <v>148</v>
      </c>
      <c r="D1457" t="s">
        <v>16037</v>
      </c>
      <c r="E1457" t="b">
        <v>0</v>
      </c>
      <c r="F1457" t="s">
        <v>11610</v>
      </c>
      <c r="L1457">
        <v>0</v>
      </c>
      <c r="M1457">
        <v>0</v>
      </c>
      <c r="N1457">
        <v>0</v>
      </c>
    </row>
    <row r="1458" spans="1:15">
      <c r="A1458" t="s">
        <v>16038</v>
      </c>
      <c r="B1458" t="s">
        <v>11644</v>
      </c>
      <c r="C1458" t="s">
        <v>16039</v>
      </c>
      <c r="D1458" t="s">
        <v>16040</v>
      </c>
      <c r="E1458" t="b">
        <v>0</v>
      </c>
      <c r="F1458" t="s">
        <v>11610</v>
      </c>
      <c r="L1458">
        <v>0</v>
      </c>
      <c r="M1458">
        <v>0</v>
      </c>
      <c r="N1458">
        <v>0</v>
      </c>
    </row>
    <row r="1459" spans="1:15">
      <c r="A1459" t="s">
        <v>16041</v>
      </c>
      <c r="B1459" t="s">
        <v>16042</v>
      </c>
      <c r="C1459" t="s">
        <v>16043</v>
      </c>
      <c r="D1459" t="s">
        <v>16044</v>
      </c>
      <c r="E1459" t="b">
        <v>0</v>
      </c>
      <c r="F1459" t="s">
        <v>11610</v>
      </c>
      <c r="L1459">
        <v>0</v>
      </c>
      <c r="M1459">
        <v>0</v>
      </c>
      <c r="N1459">
        <v>0</v>
      </c>
    </row>
    <row r="1460" spans="1:15">
      <c r="A1460" t="s">
        <v>15986</v>
      </c>
      <c r="B1460" t="s">
        <v>6742</v>
      </c>
      <c r="C1460" t="s">
        <v>16045</v>
      </c>
      <c r="D1460" t="s">
        <v>16046</v>
      </c>
      <c r="E1460" t="b">
        <v>0</v>
      </c>
      <c r="F1460" t="s">
        <v>11622</v>
      </c>
      <c r="L1460">
        <v>0</v>
      </c>
      <c r="M1460">
        <v>2</v>
      </c>
      <c r="N1460">
        <v>0</v>
      </c>
    </row>
    <row r="1461" spans="1:15">
      <c r="A1461" t="s">
        <v>16047</v>
      </c>
      <c r="B1461" t="s">
        <v>367</v>
      </c>
      <c r="C1461" t="s">
        <v>16048</v>
      </c>
      <c r="D1461" t="s">
        <v>16049</v>
      </c>
      <c r="E1461" t="b">
        <v>0</v>
      </c>
      <c r="F1461" t="s">
        <v>11610</v>
      </c>
      <c r="L1461">
        <v>0</v>
      </c>
      <c r="M1461">
        <v>0</v>
      </c>
      <c r="N1461">
        <v>0</v>
      </c>
    </row>
    <row r="1462" spans="1:15">
      <c r="A1462" t="s">
        <v>16050</v>
      </c>
      <c r="B1462" t="s">
        <v>367</v>
      </c>
      <c r="C1462" t="s">
        <v>16051</v>
      </c>
      <c r="D1462" t="s">
        <v>16052</v>
      </c>
      <c r="E1462" t="b">
        <v>0</v>
      </c>
      <c r="F1462" t="s">
        <v>11610</v>
      </c>
      <c r="L1462">
        <v>0</v>
      </c>
      <c r="M1462">
        <v>0</v>
      </c>
      <c r="N1462">
        <v>0</v>
      </c>
    </row>
    <row r="1463" spans="1:15">
      <c r="A1463" t="s">
        <v>16053</v>
      </c>
      <c r="B1463" t="s">
        <v>367</v>
      </c>
      <c r="C1463" t="s">
        <v>16054</v>
      </c>
      <c r="D1463" t="s">
        <v>16055</v>
      </c>
      <c r="E1463" t="b">
        <v>0</v>
      </c>
      <c r="F1463" t="s">
        <v>11610</v>
      </c>
      <c r="L1463">
        <v>0</v>
      </c>
      <c r="M1463">
        <v>0</v>
      </c>
      <c r="N1463">
        <v>0</v>
      </c>
    </row>
    <row r="1464" spans="1:15">
      <c r="A1464" t="s">
        <v>16056</v>
      </c>
      <c r="B1464" t="s">
        <v>367</v>
      </c>
      <c r="C1464" t="s">
        <v>16054</v>
      </c>
      <c r="D1464" t="s">
        <v>16057</v>
      </c>
      <c r="E1464" t="b">
        <v>0</v>
      </c>
      <c r="F1464" t="s">
        <v>11610</v>
      </c>
      <c r="L1464">
        <v>0</v>
      </c>
      <c r="M1464">
        <v>0</v>
      </c>
      <c r="N1464">
        <v>0</v>
      </c>
    </row>
    <row r="1465" spans="1:15">
      <c r="A1465" t="s">
        <v>16058</v>
      </c>
      <c r="B1465" t="s">
        <v>367</v>
      </c>
      <c r="C1465" t="s">
        <v>16054</v>
      </c>
      <c r="D1465" t="s">
        <v>16059</v>
      </c>
      <c r="E1465" t="b">
        <v>0</v>
      </c>
      <c r="F1465" t="s">
        <v>11610</v>
      </c>
      <c r="L1465">
        <v>0</v>
      </c>
      <c r="M1465">
        <v>0</v>
      </c>
      <c r="N1465">
        <v>0</v>
      </c>
    </row>
    <row r="1466" spans="1:15">
      <c r="A1466" t="s">
        <v>16060</v>
      </c>
      <c r="B1466" t="s">
        <v>367</v>
      </c>
      <c r="C1466" t="s">
        <v>16054</v>
      </c>
      <c r="D1466" t="s">
        <v>16061</v>
      </c>
      <c r="E1466" t="b">
        <v>0</v>
      </c>
      <c r="F1466" t="s">
        <v>11610</v>
      </c>
      <c r="L1466">
        <v>0</v>
      </c>
      <c r="M1466">
        <v>0</v>
      </c>
      <c r="N1466">
        <v>0</v>
      </c>
    </row>
    <row r="1467" spans="1:15">
      <c r="A1467" t="s">
        <v>16062</v>
      </c>
      <c r="B1467" t="s">
        <v>11637</v>
      </c>
      <c r="C1467" t="s">
        <v>16063</v>
      </c>
      <c r="D1467" t="s">
        <v>16064</v>
      </c>
      <c r="E1467" t="b">
        <v>0</v>
      </c>
      <c r="F1467" t="s">
        <v>11624</v>
      </c>
      <c r="G1467">
        <v>13.1365</v>
      </c>
      <c r="H1467">
        <v>-59.534599999999998</v>
      </c>
      <c r="I1467" t="s">
        <v>16065</v>
      </c>
      <c r="L1467">
        <v>0</v>
      </c>
      <c r="M1467">
        <v>0</v>
      </c>
      <c r="N1467">
        <v>0</v>
      </c>
      <c r="O1467" t="s">
        <v>16066</v>
      </c>
    </row>
    <row r="1468" spans="1:15">
      <c r="A1468" t="s">
        <v>16067</v>
      </c>
      <c r="B1468" t="s">
        <v>11637</v>
      </c>
      <c r="C1468" t="s">
        <v>16068</v>
      </c>
      <c r="D1468" t="s">
        <v>16069</v>
      </c>
      <c r="E1468" t="b">
        <v>0</v>
      </c>
      <c r="F1468" t="s">
        <v>11624</v>
      </c>
      <c r="G1468">
        <v>33.949800000000003</v>
      </c>
      <c r="H1468">
        <v>42.986699999999999</v>
      </c>
      <c r="I1468" t="s">
        <v>16070</v>
      </c>
      <c r="L1468">
        <v>0</v>
      </c>
      <c r="M1468">
        <v>0</v>
      </c>
      <c r="N1468">
        <v>0</v>
      </c>
      <c r="O1468" t="s">
        <v>12765</v>
      </c>
    </row>
    <row r="1469" spans="1:15">
      <c r="A1469" t="s">
        <v>16071</v>
      </c>
      <c r="B1469" t="s">
        <v>11637</v>
      </c>
      <c r="C1469" t="s">
        <v>148</v>
      </c>
      <c r="D1469" t="s">
        <v>16072</v>
      </c>
      <c r="E1469" t="b">
        <v>0</v>
      </c>
      <c r="F1469" t="s">
        <v>11610</v>
      </c>
      <c r="L1469">
        <v>0</v>
      </c>
      <c r="M1469">
        <v>0</v>
      </c>
      <c r="N1469">
        <v>0</v>
      </c>
    </row>
    <row r="1470" spans="1:15">
      <c r="A1470" t="s">
        <v>16073</v>
      </c>
      <c r="B1470" t="s">
        <v>6742</v>
      </c>
      <c r="C1470" t="s">
        <v>16074</v>
      </c>
      <c r="D1470" t="s">
        <v>16075</v>
      </c>
      <c r="E1470" t="b">
        <v>0</v>
      </c>
      <c r="F1470" t="s">
        <v>11610</v>
      </c>
      <c r="L1470">
        <v>0</v>
      </c>
      <c r="M1470">
        <v>0</v>
      </c>
      <c r="N1470">
        <v>0</v>
      </c>
    </row>
    <row r="1471" spans="1:15">
      <c r="A1471" t="s">
        <v>16076</v>
      </c>
      <c r="B1471" t="s">
        <v>11637</v>
      </c>
      <c r="C1471" t="s">
        <v>148</v>
      </c>
      <c r="D1471" t="s">
        <v>16077</v>
      </c>
      <c r="E1471" t="b">
        <v>0</v>
      </c>
      <c r="F1471" t="s">
        <v>11610</v>
      </c>
      <c r="L1471">
        <v>0</v>
      </c>
      <c r="M1471">
        <v>0</v>
      </c>
      <c r="N1471">
        <v>0</v>
      </c>
    </row>
    <row r="1472" spans="1:15">
      <c r="A1472" t="s">
        <v>16078</v>
      </c>
      <c r="B1472" t="s">
        <v>6742</v>
      </c>
      <c r="C1472" t="s">
        <v>13575</v>
      </c>
      <c r="D1472" t="s">
        <v>16079</v>
      </c>
      <c r="E1472" t="b">
        <v>0</v>
      </c>
      <c r="F1472" t="s">
        <v>11610</v>
      </c>
      <c r="L1472">
        <v>0</v>
      </c>
      <c r="M1472">
        <v>0</v>
      </c>
      <c r="N1472">
        <v>0</v>
      </c>
    </row>
    <row r="1473" spans="1:15">
      <c r="A1473" t="s">
        <v>16080</v>
      </c>
      <c r="B1473" t="s">
        <v>11757</v>
      </c>
      <c r="C1473" t="s">
        <v>16081</v>
      </c>
      <c r="D1473" t="s">
        <v>16082</v>
      </c>
      <c r="E1473" t="b">
        <v>0</v>
      </c>
      <c r="F1473" t="s">
        <v>11610</v>
      </c>
      <c r="L1473">
        <v>0</v>
      </c>
      <c r="M1473">
        <v>0</v>
      </c>
      <c r="N1473">
        <v>0</v>
      </c>
    </row>
    <row r="1474" spans="1:15">
      <c r="A1474" t="s">
        <v>16083</v>
      </c>
      <c r="B1474" t="s">
        <v>11637</v>
      </c>
      <c r="C1474" t="s">
        <v>16084</v>
      </c>
      <c r="D1474" t="s">
        <v>16085</v>
      </c>
      <c r="E1474" t="b">
        <v>0</v>
      </c>
      <c r="F1474" t="s">
        <v>11610</v>
      </c>
      <c r="L1474">
        <v>0</v>
      </c>
      <c r="M1474">
        <v>0</v>
      </c>
      <c r="N1474">
        <v>0</v>
      </c>
    </row>
    <row r="1475" spans="1:15">
      <c r="A1475" t="s">
        <v>16086</v>
      </c>
      <c r="B1475" t="s">
        <v>6742</v>
      </c>
      <c r="C1475" t="s">
        <v>16087</v>
      </c>
      <c r="D1475" t="s">
        <v>16088</v>
      </c>
      <c r="E1475" t="b">
        <v>0</v>
      </c>
      <c r="F1475" t="s">
        <v>11610</v>
      </c>
      <c r="L1475">
        <v>0</v>
      </c>
      <c r="M1475">
        <v>0</v>
      </c>
      <c r="N1475">
        <v>0</v>
      </c>
    </row>
    <row r="1476" spans="1:15">
      <c r="A1476" t="s">
        <v>16089</v>
      </c>
      <c r="B1476" t="s">
        <v>11637</v>
      </c>
      <c r="C1476" t="s">
        <v>16090</v>
      </c>
      <c r="D1476" t="s">
        <v>16091</v>
      </c>
      <c r="E1476" t="b">
        <v>0</v>
      </c>
      <c r="F1476" t="s">
        <v>11610</v>
      </c>
      <c r="L1476">
        <v>0</v>
      </c>
      <c r="M1476">
        <v>0</v>
      </c>
      <c r="N1476">
        <v>0</v>
      </c>
    </row>
    <row r="1477" spans="1:15">
      <c r="A1477" t="s">
        <v>16092</v>
      </c>
      <c r="B1477" t="s">
        <v>6742</v>
      </c>
      <c r="C1477" t="s">
        <v>16093</v>
      </c>
      <c r="D1477" t="s">
        <v>16094</v>
      </c>
      <c r="E1477" t="b">
        <v>0</v>
      </c>
      <c r="F1477" t="s">
        <v>11622</v>
      </c>
      <c r="L1477">
        <v>1</v>
      </c>
      <c r="M1477">
        <v>4</v>
      </c>
      <c r="N1477">
        <v>0</v>
      </c>
    </row>
    <row r="1478" spans="1:15">
      <c r="A1478" t="s">
        <v>7139</v>
      </c>
      <c r="B1478" t="s">
        <v>6742</v>
      </c>
      <c r="C1478" t="s">
        <v>16095</v>
      </c>
      <c r="D1478" t="s">
        <v>16096</v>
      </c>
      <c r="E1478" t="b">
        <v>0</v>
      </c>
      <c r="F1478" t="s">
        <v>11624</v>
      </c>
      <c r="G1478">
        <v>2.1601300000000001</v>
      </c>
      <c r="H1478">
        <v>13.7804</v>
      </c>
      <c r="I1478" t="s">
        <v>7141</v>
      </c>
      <c r="L1478">
        <v>0</v>
      </c>
      <c r="M1478">
        <v>0</v>
      </c>
      <c r="N1478">
        <v>0</v>
      </c>
      <c r="O1478" t="s">
        <v>16097</v>
      </c>
    </row>
    <row r="1479" spans="1:15">
      <c r="A1479" t="s">
        <v>15636</v>
      </c>
      <c r="B1479" t="s">
        <v>6742</v>
      </c>
      <c r="C1479" t="s">
        <v>12788</v>
      </c>
      <c r="D1479" t="s">
        <v>16098</v>
      </c>
      <c r="E1479" t="b">
        <v>0</v>
      </c>
      <c r="F1479" t="s">
        <v>11624</v>
      </c>
      <c r="G1479">
        <v>4.7999099999999997</v>
      </c>
      <c r="H1479">
        <v>9.8040199999999995</v>
      </c>
      <c r="I1479" t="s">
        <v>16099</v>
      </c>
      <c r="L1479">
        <v>0</v>
      </c>
      <c r="M1479">
        <v>0</v>
      </c>
      <c r="N1479">
        <v>6</v>
      </c>
      <c r="O1479" t="s">
        <v>11703</v>
      </c>
    </row>
    <row r="1480" spans="1:15">
      <c r="A1480" t="s">
        <v>16100</v>
      </c>
      <c r="B1480" t="s">
        <v>11729</v>
      </c>
      <c r="C1480" t="s">
        <v>16101</v>
      </c>
      <c r="D1480" t="s">
        <v>16102</v>
      </c>
      <c r="E1480" t="b">
        <v>0</v>
      </c>
      <c r="F1480" t="s">
        <v>11624</v>
      </c>
      <c r="G1480">
        <v>4.6594300000000004</v>
      </c>
      <c r="H1480">
        <v>29.59</v>
      </c>
      <c r="I1480" t="s">
        <v>16103</v>
      </c>
      <c r="L1480">
        <v>0</v>
      </c>
      <c r="M1480">
        <v>0</v>
      </c>
      <c r="N1480">
        <v>0</v>
      </c>
      <c r="O1480" t="s">
        <v>15282</v>
      </c>
    </row>
    <row r="1481" spans="1:15">
      <c r="A1481" t="s">
        <v>16104</v>
      </c>
      <c r="B1481" t="s">
        <v>367</v>
      </c>
      <c r="C1481" t="s">
        <v>16105</v>
      </c>
      <c r="D1481" t="s">
        <v>16106</v>
      </c>
      <c r="E1481" t="b">
        <v>0</v>
      </c>
      <c r="F1481" t="s">
        <v>11622</v>
      </c>
      <c r="L1481">
        <v>1</v>
      </c>
      <c r="M1481">
        <v>3</v>
      </c>
      <c r="N1481">
        <v>0</v>
      </c>
    </row>
    <row r="1482" spans="1:15">
      <c r="A1482" t="s">
        <v>16107</v>
      </c>
      <c r="B1482" t="s">
        <v>11839</v>
      </c>
      <c r="C1482" t="s">
        <v>14213</v>
      </c>
      <c r="D1482" t="s">
        <v>16108</v>
      </c>
      <c r="E1482" t="b">
        <v>0</v>
      </c>
      <c r="F1482" t="s">
        <v>11610</v>
      </c>
      <c r="L1482">
        <v>0</v>
      </c>
      <c r="M1482">
        <v>0</v>
      </c>
      <c r="N1482">
        <v>0</v>
      </c>
    </row>
    <row r="1483" spans="1:15">
      <c r="A1483" t="s">
        <v>16109</v>
      </c>
      <c r="B1483" t="s">
        <v>8310</v>
      </c>
      <c r="C1483" t="s">
        <v>16110</v>
      </c>
      <c r="D1483" t="s">
        <v>16111</v>
      </c>
      <c r="E1483" t="b">
        <v>0</v>
      </c>
      <c r="F1483" t="s">
        <v>11624</v>
      </c>
      <c r="G1483">
        <v>-14.2628</v>
      </c>
      <c r="H1483">
        <v>-54.703400000000002</v>
      </c>
      <c r="I1483" t="s">
        <v>16112</v>
      </c>
      <c r="L1483">
        <v>0</v>
      </c>
      <c r="M1483">
        <v>0</v>
      </c>
      <c r="N1483">
        <v>0</v>
      </c>
      <c r="O1483" t="s">
        <v>11969</v>
      </c>
    </row>
    <row r="1484" spans="1:15">
      <c r="A1484" t="s">
        <v>16095</v>
      </c>
      <c r="B1484" t="s">
        <v>6742</v>
      </c>
      <c r="C1484" t="s">
        <v>16092</v>
      </c>
      <c r="D1484" t="s">
        <v>16113</v>
      </c>
      <c r="E1484" t="b">
        <v>0</v>
      </c>
      <c r="F1484" t="s">
        <v>11622</v>
      </c>
      <c r="L1484">
        <v>0</v>
      </c>
      <c r="M1484">
        <v>2</v>
      </c>
      <c r="N1484">
        <v>0</v>
      </c>
    </row>
    <row r="1485" spans="1:15">
      <c r="A1485" t="s">
        <v>16114</v>
      </c>
      <c r="B1485" t="s">
        <v>16115</v>
      </c>
      <c r="C1485" t="s">
        <v>16115</v>
      </c>
      <c r="D1485" t="s">
        <v>16116</v>
      </c>
      <c r="E1485" t="b">
        <v>0</v>
      </c>
      <c r="F1485" t="s">
        <v>11610</v>
      </c>
      <c r="L1485">
        <v>0</v>
      </c>
      <c r="M1485">
        <v>0</v>
      </c>
      <c r="N1485">
        <v>0</v>
      </c>
    </row>
    <row r="1486" spans="1:15">
      <c r="A1486" t="s">
        <v>16117</v>
      </c>
      <c r="B1486" t="s">
        <v>6742</v>
      </c>
      <c r="C1486" t="s">
        <v>16118</v>
      </c>
      <c r="D1486" t="s">
        <v>16119</v>
      </c>
      <c r="E1486" t="b">
        <v>0</v>
      </c>
      <c r="F1486" t="s">
        <v>11610</v>
      </c>
      <c r="L1486">
        <v>0</v>
      </c>
      <c r="M1486">
        <v>0</v>
      </c>
      <c r="N1486">
        <v>0</v>
      </c>
    </row>
    <row r="1487" spans="1:15">
      <c r="A1487" t="s">
        <v>16120</v>
      </c>
      <c r="B1487" t="s">
        <v>11637</v>
      </c>
      <c r="C1487" t="s">
        <v>16121</v>
      </c>
      <c r="D1487" t="s">
        <v>16122</v>
      </c>
      <c r="E1487" t="b">
        <v>0</v>
      </c>
      <c r="F1487" t="s">
        <v>11624</v>
      </c>
      <c r="G1487">
        <v>32.016300000000001</v>
      </c>
      <c r="H1487">
        <v>49.771299999999997</v>
      </c>
      <c r="I1487" t="s">
        <v>16123</v>
      </c>
      <c r="L1487">
        <v>0</v>
      </c>
      <c r="M1487">
        <v>0</v>
      </c>
      <c r="N1487">
        <v>4</v>
      </c>
      <c r="O1487" t="s">
        <v>13225</v>
      </c>
    </row>
    <row r="1488" spans="1:15">
      <c r="A1488" t="s">
        <v>16124</v>
      </c>
      <c r="B1488" t="s">
        <v>11780</v>
      </c>
      <c r="C1488" t="s">
        <v>4079</v>
      </c>
      <c r="D1488" t="s">
        <v>16125</v>
      </c>
      <c r="E1488" t="b">
        <v>0</v>
      </c>
      <c r="F1488" t="s">
        <v>11610</v>
      </c>
      <c r="L1488">
        <v>0</v>
      </c>
      <c r="M1488">
        <v>0</v>
      </c>
      <c r="N1488">
        <v>0</v>
      </c>
    </row>
    <row r="1489" spans="1:15">
      <c r="A1489" t="s">
        <v>16126</v>
      </c>
      <c r="B1489" t="s">
        <v>11607</v>
      </c>
      <c r="C1489" t="s">
        <v>16127</v>
      </c>
      <c r="D1489" t="s">
        <v>16128</v>
      </c>
      <c r="E1489" t="b">
        <v>0</v>
      </c>
      <c r="F1489" t="s">
        <v>11610</v>
      </c>
      <c r="L1489">
        <v>0</v>
      </c>
      <c r="M1489">
        <v>0</v>
      </c>
      <c r="N1489">
        <v>0</v>
      </c>
    </row>
    <row r="1490" spans="1:15">
      <c r="A1490" t="s">
        <v>16129</v>
      </c>
      <c r="B1490" t="s">
        <v>6742</v>
      </c>
      <c r="C1490" t="s">
        <v>16130</v>
      </c>
      <c r="D1490" t="s">
        <v>16131</v>
      </c>
      <c r="E1490" t="b">
        <v>0</v>
      </c>
      <c r="F1490" t="s">
        <v>11610</v>
      </c>
      <c r="L1490">
        <v>0</v>
      </c>
      <c r="M1490">
        <v>0</v>
      </c>
      <c r="N1490">
        <v>0</v>
      </c>
    </row>
    <row r="1491" spans="1:15">
      <c r="A1491" t="s">
        <v>16132</v>
      </c>
      <c r="B1491" t="s">
        <v>367</v>
      </c>
      <c r="C1491" t="s">
        <v>16133</v>
      </c>
      <c r="D1491" t="s">
        <v>16134</v>
      </c>
      <c r="E1491" t="b">
        <v>0</v>
      </c>
      <c r="F1491" t="s">
        <v>11622</v>
      </c>
      <c r="L1491">
        <v>0</v>
      </c>
      <c r="M1491">
        <v>2</v>
      </c>
      <c r="N1491">
        <v>0</v>
      </c>
    </row>
    <row r="1492" spans="1:15">
      <c r="A1492" t="s">
        <v>16135</v>
      </c>
      <c r="B1492" t="s">
        <v>367</v>
      </c>
      <c r="C1492" t="s">
        <v>16132</v>
      </c>
      <c r="D1492" t="s">
        <v>16136</v>
      </c>
      <c r="E1492" t="b">
        <v>0</v>
      </c>
      <c r="F1492" t="s">
        <v>11624</v>
      </c>
      <c r="G1492">
        <v>-16.709599999999998</v>
      </c>
      <c r="H1492">
        <v>168.16499999999999</v>
      </c>
      <c r="I1492" t="s">
        <v>16137</v>
      </c>
      <c r="L1492">
        <v>0</v>
      </c>
      <c r="M1492">
        <v>0</v>
      </c>
      <c r="N1492">
        <v>0</v>
      </c>
      <c r="O1492" t="s">
        <v>12719</v>
      </c>
    </row>
    <row r="1493" spans="1:15">
      <c r="A1493" t="s">
        <v>16138</v>
      </c>
      <c r="B1493" t="s">
        <v>6742</v>
      </c>
      <c r="C1493" t="s">
        <v>16139</v>
      </c>
      <c r="D1493" t="s">
        <v>16140</v>
      </c>
      <c r="E1493" t="b">
        <v>0</v>
      </c>
      <c r="F1493" t="s">
        <v>11622</v>
      </c>
      <c r="L1493">
        <v>12</v>
      </c>
      <c r="M1493">
        <v>16</v>
      </c>
      <c r="N1493">
        <v>34</v>
      </c>
    </row>
    <row r="1494" spans="1:15">
      <c r="A1494" t="s">
        <v>12064</v>
      </c>
      <c r="B1494" t="s">
        <v>6742</v>
      </c>
      <c r="C1494" t="s">
        <v>16141</v>
      </c>
      <c r="D1494" t="s">
        <v>16142</v>
      </c>
      <c r="E1494" t="b">
        <v>0</v>
      </c>
      <c r="F1494" t="s">
        <v>11624</v>
      </c>
      <c r="G1494">
        <v>3.5651799999999998</v>
      </c>
      <c r="H1494">
        <v>9.9990500000000004</v>
      </c>
      <c r="I1494" t="s">
        <v>16143</v>
      </c>
      <c r="L1494">
        <v>0</v>
      </c>
      <c r="M1494">
        <v>0</v>
      </c>
      <c r="N1494">
        <v>7</v>
      </c>
      <c r="O1494" t="s">
        <v>11703</v>
      </c>
    </row>
    <row r="1495" spans="1:15">
      <c r="A1495" t="s">
        <v>16144</v>
      </c>
      <c r="B1495" t="s">
        <v>6742</v>
      </c>
      <c r="C1495" t="s">
        <v>16145</v>
      </c>
      <c r="D1495" t="s">
        <v>16146</v>
      </c>
      <c r="E1495" t="b">
        <v>0</v>
      </c>
      <c r="F1495" t="s">
        <v>11624</v>
      </c>
      <c r="G1495">
        <v>4.4365399999999999</v>
      </c>
      <c r="H1495">
        <v>8.9738699999999998</v>
      </c>
      <c r="I1495" t="s">
        <v>16147</v>
      </c>
      <c r="L1495">
        <v>0</v>
      </c>
      <c r="M1495">
        <v>0</v>
      </c>
      <c r="N1495">
        <v>0</v>
      </c>
      <c r="O1495" t="s">
        <v>11703</v>
      </c>
    </row>
    <row r="1496" spans="1:15">
      <c r="A1496" t="s">
        <v>16148</v>
      </c>
      <c r="B1496" t="s">
        <v>6742</v>
      </c>
      <c r="C1496" t="s">
        <v>16149</v>
      </c>
      <c r="D1496" t="s">
        <v>16150</v>
      </c>
      <c r="E1496" t="b">
        <v>0</v>
      </c>
      <c r="F1496" t="s">
        <v>11610</v>
      </c>
      <c r="L1496">
        <v>0</v>
      </c>
      <c r="M1496">
        <v>0</v>
      </c>
      <c r="N1496">
        <v>0</v>
      </c>
    </row>
    <row r="1497" spans="1:15">
      <c r="A1497" t="s">
        <v>16151</v>
      </c>
      <c r="B1497" t="s">
        <v>6742</v>
      </c>
      <c r="C1497" t="s">
        <v>16152</v>
      </c>
      <c r="D1497" t="s">
        <v>16153</v>
      </c>
      <c r="E1497" t="b">
        <v>0</v>
      </c>
      <c r="F1497" t="s">
        <v>11610</v>
      </c>
      <c r="L1497">
        <v>0</v>
      </c>
      <c r="M1497">
        <v>0</v>
      </c>
      <c r="N1497">
        <v>0</v>
      </c>
    </row>
    <row r="1498" spans="1:15">
      <c r="A1498" t="s">
        <v>16154</v>
      </c>
      <c r="B1498" t="s">
        <v>367</v>
      </c>
      <c r="C1498" t="s">
        <v>12638</v>
      </c>
      <c r="D1498" t="s">
        <v>16155</v>
      </c>
      <c r="E1498" t="b">
        <v>0</v>
      </c>
      <c r="F1498" t="s">
        <v>11610</v>
      </c>
      <c r="L1498">
        <v>0</v>
      </c>
      <c r="M1498">
        <v>0</v>
      </c>
      <c r="N1498">
        <v>0</v>
      </c>
    </row>
    <row r="1499" spans="1:15">
      <c r="A1499" t="s">
        <v>11697</v>
      </c>
      <c r="B1499" t="s">
        <v>6742</v>
      </c>
      <c r="C1499" t="s">
        <v>16156</v>
      </c>
      <c r="D1499" t="s">
        <v>16157</v>
      </c>
      <c r="E1499" t="b">
        <v>0</v>
      </c>
      <c r="F1499" t="s">
        <v>11622</v>
      </c>
      <c r="L1499">
        <v>2</v>
      </c>
      <c r="M1499">
        <v>6</v>
      </c>
      <c r="N1499">
        <v>5</v>
      </c>
    </row>
    <row r="1500" spans="1:15">
      <c r="A1500" t="s">
        <v>16158</v>
      </c>
      <c r="B1500" t="s">
        <v>6742</v>
      </c>
      <c r="C1500" t="s">
        <v>12355</v>
      </c>
      <c r="D1500" t="s">
        <v>16159</v>
      </c>
      <c r="E1500" t="b">
        <v>0</v>
      </c>
      <c r="F1500" t="s">
        <v>11624</v>
      </c>
      <c r="G1500">
        <v>5.2675599999999996</v>
      </c>
      <c r="H1500">
        <v>8.2632100000000008</v>
      </c>
      <c r="I1500" t="s">
        <v>16160</v>
      </c>
      <c r="L1500">
        <v>0</v>
      </c>
      <c r="M1500">
        <v>0</v>
      </c>
      <c r="N1500">
        <v>0</v>
      </c>
      <c r="O1500" t="s">
        <v>11693</v>
      </c>
    </row>
    <row r="1501" spans="1:15">
      <c r="A1501" t="s">
        <v>16161</v>
      </c>
      <c r="B1501" t="s">
        <v>11644</v>
      </c>
      <c r="C1501" t="s">
        <v>15856</v>
      </c>
      <c r="D1501" t="s">
        <v>16162</v>
      </c>
      <c r="E1501" t="b">
        <v>0</v>
      </c>
      <c r="F1501" t="s">
        <v>11610</v>
      </c>
      <c r="L1501">
        <v>0</v>
      </c>
      <c r="M1501">
        <v>0</v>
      </c>
      <c r="N1501">
        <v>0</v>
      </c>
    </row>
    <row r="1502" spans="1:15">
      <c r="A1502" t="s">
        <v>16163</v>
      </c>
      <c r="B1502" t="s">
        <v>331</v>
      </c>
      <c r="C1502" t="s">
        <v>16164</v>
      </c>
      <c r="D1502" t="s">
        <v>16165</v>
      </c>
      <c r="E1502" t="b">
        <v>0</v>
      </c>
      <c r="F1502" t="s">
        <v>11610</v>
      </c>
      <c r="L1502">
        <v>0</v>
      </c>
      <c r="M1502">
        <v>0</v>
      </c>
      <c r="N1502">
        <v>0</v>
      </c>
    </row>
    <row r="1503" spans="1:15">
      <c r="A1503" t="s">
        <v>16166</v>
      </c>
      <c r="B1503" t="s">
        <v>6742</v>
      </c>
      <c r="C1503" t="s">
        <v>14948</v>
      </c>
      <c r="D1503" t="s">
        <v>16167</v>
      </c>
      <c r="E1503" t="b">
        <v>0</v>
      </c>
      <c r="F1503" t="s">
        <v>11610</v>
      </c>
      <c r="L1503">
        <v>0</v>
      </c>
      <c r="M1503">
        <v>0</v>
      </c>
      <c r="N1503">
        <v>0</v>
      </c>
    </row>
    <row r="1504" spans="1:15">
      <c r="A1504" t="s">
        <v>16168</v>
      </c>
      <c r="B1504" t="s">
        <v>6742</v>
      </c>
      <c r="C1504" t="s">
        <v>15796</v>
      </c>
      <c r="D1504" t="s">
        <v>16169</v>
      </c>
      <c r="E1504" t="b">
        <v>0</v>
      </c>
      <c r="F1504" t="s">
        <v>11610</v>
      </c>
      <c r="L1504">
        <v>0</v>
      </c>
      <c r="M1504">
        <v>0</v>
      </c>
      <c r="N1504">
        <v>0</v>
      </c>
    </row>
    <row r="1505" spans="1:15">
      <c r="A1505" t="s">
        <v>16170</v>
      </c>
      <c r="B1505" t="s">
        <v>367</v>
      </c>
      <c r="C1505" t="s">
        <v>16171</v>
      </c>
      <c r="D1505" t="s">
        <v>16172</v>
      </c>
      <c r="E1505" t="b">
        <v>0</v>
      </c>
      <c r="F1505" t="s">
        <v>11610</v>
      </c>
      <c r="L1505">
        <v>0</v>
      </c>
      <c r="M1505">
        <v>0</v>
      </c>
      <c r="N1505">
        <v>0</v>
      </c>
    </row>
    <row r="1506" spans="1:15">
      <c r="A1506" t="s">
        <v>16173</v>
      </c>
      <c r="B1506" t="s">
        <v>367</v>
      </c>
      <c r="C1506" t="s">
        <v>16174</v>
      </c>
      <c r="D1506" t="s">
        <v>16175</v>
      </c>
      <c r="E1506" t="b">
        <v>0</v>
      </c>
      <c r="F1506" t="s">
        <v>11624</v>
      </c>
      <c r="G1506">
        <v>-1.9884200000000001</v>
      </c>
      <c r="H1506">
        <v>114.77</v>
      </c>
      <c r="I1506" t="s">
        <v>16176</v>
      </c>
      <c r="L1506">
        <v>0</v>
      </c>
      <c r="M1506">
        <v>0</v>
      </c>
      <c r="N1506">
        <v>2</v>
      </c>
      <c r="O1506" t="s">
        <v>11768</v>
      </c>
    </row>
    <row r="1507" spans="1:15">
      <c r="A1507" t="s">
        <v>16177</v>
      </c>
      <c r="B1507" t="s">
        <v>12133</v>
      </c>
      <c r="C1507" t="s">
        <v>16178</v>
      </c>
      <c r="D1507" t="s">
        <v>16179</v>
      </c>
      <c r="E1507" t="b">
        <v>0</v>
      </c>
      <c r="F1507" t="s">
        <v>11610</v>
      </c>
      <c r="L1507">
        <v>0</v>
      </c>
      <c r="M1507">
        <v>0</v>
      </c>
      <c r="N1507">
        <v>0</v>
      </c>
    </row>
    <row r="1508" spans="1:15">
      <c r="A1508" t="s">
        <v>16180</v>
      </c>
      <c r="B1508" t="s">
        <v>11627</v>
      </c>
      <c r="C1508" t="s">
        <v>11627</v>
      </c>
      <c r="D1508" t="s">
        <v>16181</v>
      </c>
      <c r="E1508" t="b">
        <v>1</v>
      </c>
      <c r="F1508" t="s">
        <v>11624</v>
      </c>
      <c r="I1508" t="s">
        <v>16182</v>
      </c>
      <c r="L1508">
        <v>0</v>
      </c>
      <c r="M1508">
        <v>0</v>
      </c>
      <c r="N1508">
        <v>0</v>
      </c>
    </row>
    <row r="1509" spans="1:15">
      <c r="A1509" t="s">
        <v>16183</v>
      </c>
      <c r="B1509" t="s">
        <v>6742</v>
      </c>
      <c r="C1509" t="s">
        <v>16184</v>
      </c>
      <c r="D1509" t="s">
        <v>16185</v>
      </c>
      <c r="E1509" t="b">
        <v>0</v>
      </c>
      <c r="F1509" t="s">
        <v>11622</v>
      </c>
      <c r="L1509">
        <v>0</v>
      </c>
      <c r="M1509">
        <v>2</v>
      </c>
      <c r="N1509">
        <v>5</v>
      </c>
    </row>
    <row r="1510" spans="1:15">
      <c r="A1510" t="s">
        <v>16186</v>
      </c>
      <c r="B1510" t="s">
        <v>6742</v>
      </c>
      <c r="C1510" t="s">
        <v>16183</v>
      </c>
      <c r="D1510" t="s">
        <v>16187</v>
      </c>
      <c r="E1510" t="b">
        <v>0</v>
      </c>
      <c r="F1510" t="s">
        <v>11624</v>
      </c>
      <c r="G1510">
        <v>5.23123</v>
      </c>
      <c r="H1510">
        <v>-6.5107699999999999</v>
      </c>
      <c r="I1510" t="s">
        <v>16188</v>
      </c>
      <c r="L1510">
        <v>0</v>
      </c>
      <c r="M1510">
        <v>0</v>
      </c>
      <c r="N1510">
        <v>5</v>
      </c>
      <c r="O1510" t="s">
        <v>11735</v>
      </c>
    </row>
    <row r="1511" spans="1:15">
      <c r="A1511" t="s">
        <v>16189</v>
      </c>
      <c r="B1511" t="s">
        <v>12686</v>
      </c>
      <c r="C1511" t="s">
        <v>2123</v>
      </c>
      <c r="D1511" t="s">
        <v>16190</v>
      </c>
      <c r="E1511" t="b">
        <v>0</v>
      </c>
      <c r="F1511" t="s">
        <v>11610</v>
      </c>
      <c r="L1511">
        <v>0</v>
      </c>
      <c r="M1511">
        <v>0</v>
      </c>
      <c r="N1511">
        <v>0</v>
      </c>
    </row>
    <row r="1512" spans="1:15">
      <c r="A1512" t="s">
        <v>16191</v>
      </c>
      <c r="B1512" t="s">
        <v>11637</v>
      </c>
      <c r="C1512" t="s">
        <v>11825</v>
      </c>
      <c r="D1512" t="s">
        <v>16192</v>
      </c>
      <c r="E1512" t="b">
        <v>0</v>
      </c>
      <c r="F1512" t="s">
        <v>11610</v>
      </c>
      <c r="L1512">
        <v>0</v>
      </c>
      <c r="M1512">
        <v>0</v>
      </c>
      <c r="N1512">
        <v>0</v>
      </c>
    </row>
    <row r="1513" spans="1:15">
      <c r="A1513" t="s">
        <v>16193</v>
      </c>
      <c r="B1513" t="s">
        <v>11637</v>
      </c>
      <c r="C1513" t="s">
        <v>13722</v>
      </c>
      <c r="D1513" t="s">
        <v>16194</v>
      </c>
      <c r="E1513" t="b">
        <v>0</v>
      </c>
      <c r="F1513" t="s">
        <v>11610</v>
      </c>
      <c r="L1513">
        <v>0</v>
      </c>
      <c r="M1513">
        <v>0</v>
      </c>
      <c r="N1513">
        <v>0</v>
      </c>
    </row>
    <row r="1514" spans="1:15">
      <c r="A1514" t="s">
        <v>16195</v>
      </c>
      <c r="B1514" t="s">
        <v>11644</v>
      </c>
      <c r="C1514" t="s">
        <v>16196</v>
      </c>
      <c r="D1514" t="s">
        <v>16197</v>
      </c>
      <c r="E1514" t="b">
        <v>0</v>
      </c>
      <c r="F1514" t="s">
        <v>11610</v>
      </c>
      <c r="L1514">
        <v>0</v>
      </c>
      <c r="M1514">
        <v>0</v>
      </c>
      <c r="N1514">
        <v>0</v>
      </c>
    </row>
    <row r="1515" spans="1:15">
      <c r="A1515" t="s">
        <v>16198</v>
      </c>
      <c r="B1515" t="s">
        <v>6742</v>
      </c>
      <c r="C1515" t="s">
        <v>16138</v>
      </c>
      <c r="D1515" t="s">
        <v>16199</v>
      </c>
      <c r="E1515" t="b">
        <v>0</v>
      </c>
      <c r="F1515" t="s">
        <v>11622</v>
      </c>
      <c r="L1515">
        <v>0</v>
      </c>
      <c r="M1515">
        <v>2</v>
      </c>
      <c r="N1515">
        <v>6</v>
      </c>
    </row>
    <row r="1516" spans="1:15">
      <c r="A1516" t="s">
        <v>16200</v>
      </c>
      <c r="B1516" t="s">
        <v>6742</v>
      </c>
      <c r="C1516" t="s">
        <v>16198</v>
      </c>
      <c r="D1516" t="s">
        <v>16201</v>
      </c>
      <c r="E1516" t="b">
        <v>0</v>
      </c>
      <c r="F1516" t="s">
        <v>11624</v>
      </c>
      <c r="G1516">
        <v>11.8203</v>
      </c>
      <c r="H1516">
        <v>-15.322100000000001</v>
      </c>
      <c r="I1516" t="s">
        <v>16202</v>
      </c>
      <c r="L1516">
        <v>0</v>
      </c>
      <c r="M1516">
        <v>0</v>
      </c>
      <c r="N1516">
        <v>4</v>
      </c>
      <c r="O1516" t="s">
        <v>14312</v>
      </c>
    </row>
    <row r="1517" spans="1:15">
      <c r="A1517" t="s">
        <v>16203</v>
      </c>
      <c r="B1517" t="s">
        <v>6742</v>
      </c>
      <c r="C1517" t="s">
        <v>16198</v>
      </c>
      <c r="D1517" t="s">
        <v>16204</v>
      </c>
      <c r="E1517" t="b">
        <v>0</v>
      </c>
      <c r="F1517" t="s">
        <v>11624</v>
      </c>
      <c r="G1517">
        <v>12.5382</v>
      </c>
      <c r="H1517">
        <v>-15.665800000000001</v>
      </c>
      <c r="I1517" t="s">
        <v>16205</v>
      </c>
      <c r="L1517">
        <v>0</v>
      </c>
      <c r="M1517">
        <v>0</v>
      </c>
      <c r="N1517">
        <v>2</v>
      </c>
      <c r="O1517" t="s">
        <v>16009</v>
      </c>
    </row>
    <row r="1518" spans="1:15">
      <c r="A1518" t="s">
        <v>16206</v>
      </c>
      <c r="B1518" t="s">
        <v>6742</v>
      </c>
      <c r="C1518" t="s">
        <v>12809</v>
      </c>
      <c r="D1518" t="s">
        <v>16207</v>
      </c>
      <c r="E1518" t="b">
        <v>0</v>
      </c>
      <c r="F1518" t="s">
        <v>11610</v>
      </c>
      <c r="L1518">
        <v>0</v>
      </c>
      <c r="M1518">
        <v>0</v>
      </c>
      <c r="N1518">
        <v>0</v>
      </c>
    </row>
    <row r="1519" spans="1:15">
      <c r="A1519" t="s">
        <v>16208</v>
      </c>
      <c r="B1519" t="s">
        <v>6742</v>
      </c>
      <c r="C1519" t="s">
        <v>16209</v>
      </c>
      <c r="D1519" t="s">
        <v>16210</v>
      </c>
      <c r="E1519" t="b">
        <v>0</v>
      </c>
      <c r="F1519" t="s">
        <v>11610</v>
      </c>
      <c r="L1519">
        <v>0</v>
      </c>
      <c r="M1519">
        <v>0</v>
      </c>
      <c r="N1519">
        <v>0</v>
      </c>
    </row>
    <row r="1520" spans="1:15">
      <c r="A1520" t="s">
        <v>16211</v>
      </c>
      <c r="B1520" t="s">
        <v>6742</v>
      </c>
      <c r="C1520" t="s">
        <v>16212</v>
      </c>
      <c r="D1520" t="s">
        <v>16213</v>
      </c>
      <c r="E1520" t="b">
        <v>0</v>
      </c>
      <c r="F1520" t="s">
        <v>11610</v>
      </c>
      <c r="L1520">
        <v>0</v>
      </c>
      <c r="M1520">
        <v>0</v>
      </c>
      <c r="N1520">
        <v>0</v>
      </c>
    </row>
    <row r="1521" spans="1:15">
      <c r="A1521" t="s">
        <v>16214</v>
      </c>
      <c r="B1521" t="s">
        <v>11627</v>
      </c>
      <c r="C1521" t="s">
        <v>11627</v>
      </c>
      <c r="D1521" t="s">
        <v>16215</v>
      </c>
      <c r="E1521" t="b">
        <v>1</v>
      </c>
      <c r="F1521" t="s">
        <v>11624</v>
      </c>
      <c r="G1521">
        <v>1.3347599999999999</v>
      </c>
      <c r="H1521">
        <v>110.913</v>
      </c>
      <c r="I1521" t="s">
        <v>16216</v>
      </c>
      <c r="L1521">
        <v>0</v>
      </c>
      <c r="M1521">
        <v>0</v>
      </c>
      <c r="N1521">
        <v>0</v>
      </c>
      <c r="O1521" t="s">
        <v>11672</v>
      </c>
    </row>
    <row r="1522" spans="1:15">
      <c r="A1522" t="s">
        <v>16217</v>
      </c>
      <c r="B1522" t="s">
        <v>367</v>
      </c>
      <c r="C1522" t="s">
        <v>13008</v>
      </c>
      <c r="D1522" t="s">
        <v>16218</v>
      </c>
      <c r="E1522" t="b">
        <v>0</v>
      </c>
      <c r="F1522" t="s">
        <v>11610</v>
      </c>
      <c r="L1522">
        <v>0</v>
      </c>
      <c r="M1522">
        <v>0</v>
      </c>
      <c r="N1522">
        <v>0</v>
      </c>
    </row>
    <row r="1523" spans="1:15">
      <c r="A1523" t="s">
        <v>16219</v>
      </c>
      <c r="B1523" t="s">
        <v>367</v>
      </c>
      <c r="C1523" t="s">
        <v>16220</v>
      </c>
      <c r="D1523" t="s">
        <v>16221</v>
      </c>
      <c r="E1523" t="b">
        <v>0</v>
      </c>
      <c r="F1523" t="s">
        <v>11610</v>
      </c>
      <c r="L1523">
        <v>0</v>
      </c>
      <c r="M1523">
        <v>0</v>
      </c>
      <c r="N1523">
        <v>0</v>
      </c>
    </row>
    <row r="1524" spans="1:15">
      <c r="A1524" t="s">
        <v>16222</v>
      </c>
      <c r="B1524" t="s">
        <v>367</v>
      </c>
      <c r="C1524" t="s">
        <v>11788</v>
      </c>
      <c r="D1524" t="s">
        <v>16223</v>
      </c>
      <c r="E1524" t="b">
        <v>0</v>
      </c>
      <c r="F1524" t="s">
        <v>11610</v>
      </c>
      <c r="L1524">
        <v>0</v>
      </c>
      <c r="M1524">
        <v>0</v>
      </c>
      <c r="N1524">
        <v>0</v>
      </c>
    </row>
    <row r="1525" spans="1:15">
      <c r="A1525" t="s">
        <v>16224</v>
      </c>
      <c r="B1525" t="s">
        <v>367</v>
      </c>
      <c r="C1525" t="s">
        <v>16225</v>
      </c>
      <c r="D1525" t="s">
        <v>16226</v>
      </c>
      <c r="E1525" t="b">
        <v>0</v>
      </c>
      <c r="F1525" t="s">
        <v>11624</v>
      </c>
      <c r="G1525">
        <v>17.099399999999999</v>
      </c>
      <c r="H1525">
        <v>121.27200000000001</v>
      </c>
      <c r="I1525" t="s">
        <v>16227</v>
      </c>
      <c r="L1525">
        <v>0</v>
      </c>
      <c r="M1525">
        <v>0</v>
      </c>
      <c r="N1525">
        <v>0</v>
      </c>
      <c r="O1525" t="s">
        <v>11749</v>
      </c>
    </row>
    <row r="1526" spans="1:15">
      <c r="A1526" t="s">
        <v>16228</v>
      </c>
      <c r="B1526" t="s">
        <v>367</v>
      </c>
      <c r="C1526" t="s">
        <v>16229</v>
      </c>
      <c r="D1526" t="s">
        <v>16230</v>
      </c>
      <c r="E1526" t="b">
        <v>0</v>
      </c>
      <c r="F1526" t="s">
        <v>11624</v>
      </c>
      <c r="G1526">
        <v>6.0116139999999998</v>
      </c>
      <c r="H1526">
        <v>121.686646</v>
      </c>
      <c r="I1526" t="s">
        <v>16231</v>
      </c>
      <c r="L1526">
        <v>0</v>
      </c>
      <c r="M1526">
        <v>0</v>
      </c>
      <c r="N1526">
        <v>6</v>
      </c>
      <c r="O1526" t="s">
        <v>16232</v>
      </c>
    </row>
    <row r="1527" spans="1:15">
      <c r="A1527" t="s">
        <v>16233</v>
      </c>
      <c r="B1527" t="s">
        <v>367</v>
      </c>
      <c r="C1527" t="s">
        <v>11666</v>
      </c>
      <c r="D1527" t="s">
        <v>16234</v>
      </c>
      <c r="E1527" t="b">
        <v>0</v>
      </c>
      <c r="F1527" t="s">
        <v>11610</v>
      </c>
      <c r="L1527">
        <v>0</v>
      </c>
      <c r="M1527">
        <v>0</v>
      </c>
      <c r="N1527">
        <v>0</v>
      </c>
    </row>
    <row r="1528" spans="1:15">
      <c r="A1528" t="s">
        <v>16235</v>
      </c>
      <c r="B1528" t="s">
        <v>367</v>
      </c>
      <c r="C1528" t="s">
        <v>16236</v>
      </c>
      <c r="D1528" t="s">
        <v>16237</v>
      </c>
      <c r="E1528" t="b">
        <v>0</v>
      </c>
      <c r="F1528" t="s">
        <v>11610</v>
      </c>
      <c r="L1528">
        <v>0</v>
      </c>
      <c r="M1528">
        <v>0</v>
      </c>
      <c r="N1528">
        <v>0</v>
      </c>
    </row>
    <row r="1529" spans="1:15">
      <c r="A1529" t="s">
        <v>16238</v>
      </c>
      <c r="B1529" t="s">
        <v>367</v>
      </c>
      <c r="C1529" t="s">
        <v>16239</v>
      </c>
      <c r="D1529" t="s">
        <v>16240</v>
      </c>
      <c r="E1529" t="b">
        <v>0</v>
      </c>
      <c r="F1529" t="s">
        <v>11624</v>
      </c>
      <c r="G1529">
        <v>-5.6439999999999997E-2</v>
      </c>
      <c r="H1529">
        <v>119.68899999999999</v>
      </c>
      <c r="I1529" t="s">
        <v>16241</v>
      </c>
      <c r="L1529">
        <v>0</v>
      </c>
      <c r="M1529">
        <v>0</v>
      </c>
      <c r="N1529">
        <v>0</v>
      </c>
      <c r="O1529" t="s">
        <v>11768</v>
      </c>
    </row>
    <row r="1530" spans="1:15">
      <c r="A1530" t="s">
        <v>16242</v>
      </c>
      <c r="B1530" t="s">
        <v>367</v>
      </c>
      <c r="C1530" t="s">
        <v>16243</v>
      </c>
      <c r="D1530" t="s">
        <v>16244</v>
      </c>
      <c r="E1530" t="b">
        <v>0</v>
      </c>
      <c r="F1530" t="s">
        <v>11624</v>
      </c>
      <c r="G1530">
        <v>-0.86809000000000003</v>
      </c>
      <c r="H1530">
        <v>123.289</v>
      </c>
      <c r="I1530" t="s">
        <v>16245</v>
      </c>
      <c r="L1530">
        <v>0</v>
      </c>
      <c r="M1530">
        <v>0</v>
      </c>
      <c r="N1530">
        <v>0</v>
      </c>
      <c r="O1530" t="s">
        <v>11768</v>
      </c>
    </row>
    <row r="1531" spans="1:15">
      <c r="A1531" t="s">
        <v>16246</v>
      </c>
      <c r="B1531" t="s">
        <v>367</v>
      </c>
      <c r="C1531" t="s">
        <v>16247</v>
      </c>
      <c r="D1531" t="s">
        <v>16248</v>
      </c>
      <c r="E1531" t="b">
        <v>0</v>
      </c>
      <c r="F1531" t="s">
        <v>11624</v>
      </c>
      <c r="G1531">
        <v>-20.25</v>
      </c>
      <c r="H1531">
        <v>164.2</v>
      </c>
      <c r="L1531">
        <v>0</v>
      </c>
      <c r="M1531">
        <v>0</v>
      </c>
      <c r="N1531">
        <v>0</v>
      </c>
      <c r="O1531" t="s">
        <v>12624</v>
      </c>
    </row>
    <row r="1532" spans="1:15">
      <c r="A1532" t="s">
        <v>16249</v>
      </c>
      <c r="B1532" t="s">
        <v>14005</v>
      </c>
      <c r="C1532" t="s">
        <v>16250</v>
      </c>
      <c r="D1532" t="s">
        <v>16251</v>
      </c>
      <c r="E1532" t="b">
        <v>0</v>
      </c>
      <c r="F1532" t="s">
        <v>11610</v>
      </c>
      <c r="L1532">
        <v>0</v>
      </c>
      <c r="M1532">
        <v>0</v>
      </c>
      <c r="N1532">
        <v>0</v>
      </c>
    </row>
    <row r="1533" spans="1:15">
      <c r="A1533" t="s">
        <v>16252</v>
      </c>
      <c r="B1533" t="s">
        <v>14629</v>
      </c>
      <c r="C1533" t="s">
        <v>14629</v>
      </c>
      <c r="D1533" t="s">
        <v>16253</v>
      </c>
      <c r="E1533" t="b">
        <v>0</v>
      </c>
      <c r="F1533" t="s">
        <v>11624</v>
      </c>
      <c r="L1533">
        <v>0</v>
      </c>
      <c r="M1533">
        <v>0</v>
      </c>
      <c r="N1533">
        <v>0</v>
      </c>
      <c r="O1533" t="s">
        <v>16254</v>
      </c>
    </row>
    <row r="1534" spans="1:15">
      <c r="A1534" t="s">
        <v>16255</v>
      </c>
      <c r="B1534" t="s">
        <v>367</v>
      </c>
      <c r="C1534" t="s">
        <v>11788</v>
      </c>
      <c r="D1534" t="s">
        <v>16256</v>
      </c>
      <c r="E1534" t="b">
        <v>0</v>
      </c>
      <c r="F1534" t="s">
        <v>11610</v>
      </c>
      <c r="L1534">
        <v>0</v>
      </c>
      <c r="M1534">
        <v>0</v>
      </c>
      <c r="N1534">
        <v>0</v>
      </c>
    </row>
    <row r="1535" spans="1:15">
      <c r="A1535" t="s">
        <v>16257</v>
      </c>
      <c r="B1535" t="s">
        <v>11607</v>
      </c>
      <c r="C1535" t="s">
        <v>16258</v>
      </c>
      <c r="D1535" t="s">
        <v>16259</v>
      </c>
      <c r="E1535" t="b">
        <v>0</v>
      </c>
      <c r="F1535" t="s">
        <v>11624</v>
      </c>
      <c r="G1535">
        <v>10.9078</v>
      </c>
      <c r="H1535">
        <v>14.4674</v>
      </c>
      <c r="I1535" t="s">
        <v>16260</v>
      </c>
      <c r="L1535">
        <v>0</v>
      </c>
      <c r="M1535">
        <v>0</v>
      </c>
      <c r="N1535">
        <v>0</v>
      </c>
      <c r="O1535" t="s">
        <v>11703</v>
      </c>
    </row>
    <row r="1536" spans="1:15">
      <c r="A1536" t="s">
        <v>16261</v>
      </c>
      <c r="B1536" t="s">
        <v>6742</v>
      </c>
      <c r="C1536" t="s">
        <v>16262</v>
      </c>
      <c r="D1536" t="s">
        <v>16263</v>
      </c>
      <c r="E1536" t="b">
        <v>0</v>
      </c>
      <c r="F1536" t="s">
        <v>11610</v>
      </c>
      <c r="L1536">
        <v>0</v>
      </c>
      <c r="M1536">
        <v>0</v>
      </c>
      <c r="N1536">
        <v>0</v>
      </c>
    </row>
    <row r="1537" spans="1:15">
      <c r="A1537" t="s">
        <v>16264</v>
      </c>
      <c r="B1537" t="s">
        <v>6742</v>
      </c>
      <c r="C1537" t="s">
        <v>16265</v>
      </c>
      <c r="D1537" t="s">
        <v>16266</v>
      </c>
      <c r="E1537" t="b">
        <v>0</v>
      </c>
      <c r="F1537" t="s">
        <v>11610</v>
      </c>
      <c r="L1537">
        <v>0</v>
      </c>
      <c r="M1537">
        <v>0</v>
      </c>
      <c r="N1537">
        <v>0</v>
      </c>
    </row>
    <row r="1538" spans="1:15">
      <c r="A1538" t="s">
        <v>16267</v>
      </c>
      <c r="B1538" t="s">
        <v>15569</v>
      </c>
      <c r="C1538" t="s">
        <v>16268</v>
      </c>
      <c r="D1538" t="s">
        <v>16269</v>
      </c>
      <c r="E1538" t="b">
        <v>0</v>
      </c>
      <c r="F1538" t="s">
        <v>11610</v>
      </c>
      <c r="L1538">
        <v>0</v>
      </c>
      <c r="M1538">
        <v>0</v>
      </c>
      <c r="N1538">
        <v>0</v>
      </c>
    </row>
    <row r="1539" spans="1:15">
      <c r="A1539" t="s">
        <v>16270</v>
      </c>
      <c r="B1539" t="s">
        <v>11729</v>
      </c>
      <c r="C1539" t="s">
        <v>16271</v>
      </c>
      <c r="D1539" t="s">
        <v>16272</v>
      </c>
      <c r="E1539" t="b">
        <v>0</v>
      </c>
      <c r="F1539" t="s">
        <v>11622</v>
      </c>
      <c r="L1539">
        <v>0</v>
      </c>
      <c r="M1539">
        <v>2</v>
      </c>
      <c r="N1539">
        <v>8</v>
      </c>
    </row>
    <row r="1540" spans="1:15">
      <c r="A1540" t="s">
        <v>16273</v>
      </c>
      <c r="B1540" t="s">
        <v>11637</v>
      </c>
      <c r="C1540" t="s">
        <v>13040</v>
      </c>
      <c r="D1540" t="s">
        <v>16274</v>
      </c>
      <c r="E1540" t="b">
        <v>0</v>
      </c>
      <c r="F1540" t="s">
        <v>11610</v>
      </c>
      <c r="L1540">
        <v>0</v>
      </c>
      <c r="M1540">
        <v>0</v>
      </c>
      <c r="N1540">
        <v>3</v>
      </c>
    </row>
    <row r="1541" spans="1:15">
      <c r="A1541" t="s">
        <v>16275</v>
      </c>
      <c r="B1541" t="s">
        <v>6742</v>
      </c>
      <c r="C1541" t="s">
        <v>16276</v>
      </c>
      <c r="D1541" t="s">
        <v>16277</v>
      </c>
      <c r="E1541" t="b">
        <v>0</v>
      </c>
      <c r="F1541" t="s">
        <v>11624</v>
      </c>
      <c r="G1541">
        <v>8.8134499999999996</v>
      </c>
      <c r="H1541">
        <v>11.295199999999999</v>
      </c>
      <c r="I1541" t="s">
        <v>16278</v>
      </c>
      <c r="L1541">
        <v>0</v>
      </c>
      <c r="M1541">
        <v>0</v>
      </c>
      <c r="N1541">
        <v>0</v>
      </c>
      <c r="O1541" t="s">
        <v>11693</v>
      </c>
    </row>
    <row r="1542" spans="1:15">
      <c r="A1542" t="s">
        <v>16279</v>
      </c>
      <c r="B1542" t="s">
        <v>6742</v>
      </c>
      <c r="C1542" t="s">
        <v>16280</v>
      </c>
      <c r="D1542" t="s">
        <v>16281</v>
      </c>
      <c r="E1542" t="b">
        <v>0</v>
      </c>
      <c r="F1542" t="s">
        <v>11610</v>
      </c>
      <c r="L1542">
        <v>0</v>
      </c>
      <c r="M1542">
        <v>0</v>
      </c>
      <c r="N1542">
        <v>0</v>
      </c>
    </row>
    <row r="1543" spans="1:15">
      <c r="A1543" t="s">
        <v>15796</v>
      </c>
      <c r="B1543" t="s">
        <v>6742</v>
      </c>
      <c r="C1543" t="s">
        <v>16282</v>
      </c>
      <c r="D1543" t="s">
        <v>16283</v>
      </c>
      <c r="E1543" t="b">
        <v>0</v>
      </c>
      <c r="F1543" t="s">
        <v>11624</v>
      </c>
      <c r="G1543">
        <v>1.1807000000000001</v>
      </c>
      <c r="H1543">
        <v>26.594100000000001</v>
      </c>
      <c r="I1543" t="s">
        <v>16284</v>
      </c>
      <c r="L1543">
        <v>0</v>
      </c>
      <c r="M1543">
        <v>0</v>
      </c>
      <c r="N1543">
        <v>4</v>
      </c>
      <c r="O1543" t="s">
        <v>14825</v>
      </c>
    </row>
    <row r="1544" spans="1:15">
      <c r="A1544" t="s">
        <v>16285</v>
      </c>
      <c r="B1544" t="s">
        <v>6742</v>
      </c>
      <c r="C1544" t="s">
        <v>16286</v>
      </c>
      <c r="D1544" t="s">
        <v>16287</v>
      </c>
      <c r="E1544" t="b">
        <v>0</v>
      </c>
      <c r="F1544" t="s">
        <v>11610</v>
      </c>
      <c r="L1544">
        <v>0</v>
      </c>
      <c r="M1544">
        <v>0</v>
      </c>
      <c r="N1544">
        <v>0</v>
      </c>
    </row>
    <row r="1545" spans="1:15">
      <c r="A1545" t="s">
        <v>16288</v>
      </c>
      <c r="B1545" t="s">
        <v>11729</v>
      </c>
      <c r="C1545" t="s">
        <v>12334</v>
      </c>
      <c r="D1545" t="s">
        <v>16289</v>
      </c>
      <c r="E1545" t="b">
        <v>0</v>
      </c>
      <c r="F1545" t="s">
        <v>11610</v>
      </c>
      <c r="L1545">
        <v>0</v>
      </c>
      <c r="M1545">
        <v>0</v>
      </c>
      <c r="N1545">
        <v>0</v>
      </c>
    </row>
    <row r="1546" spans="1:15">
      <c r="A1546" t="s">
        <v>16290</v>
      </c>
      <c r="B1546" t="s">
        <v>367</v>
      </c>
      <c r="C1546" t="s">
        <v>16291</v>
      </c>
      <c r="D1546" t="s">
        <v>16292</v>
      </c>
      <c r="E1546" t="b">
        <v>0</v>
      </c>
      <c r="F1546" t="s">
        <v>11622</v>
      </c>
      <c r="L1546">
        <v>1</v>
      </c>
      <c r="M1546">
        <v>3</v>
      </c>
      <c r="N1546">
        <v>8</v>
      </c>
    </row>
    <row r="1547" spans="1:15">
      <c r="A1547" t="s">
        <v>4780</v>
      </c>
      <c r="B1547" t="s">
        <v>367</v>
      </c>
      <c r="C1547" t="s">
        <v>16290</v>
      </c>
      <c r="D1547" t="s">
        <v>4779</v>
      </c>
      <c r="E1547" t="b">
        <v>0</v>
      </c>
      <c r="F1547" t="s">
        <v>11624</v>
      </c>
      <c r="G1547">
        <v>-8.3571399999999993</v>
      </c>
      <c r="H1547">
        <v>115.075</v>
      </c>
      <c r="I1547" t="s">
        <v>4781</v>
      </c>
      <c r="L1547">
        <v>0</v>
      </c>
      <c r="M1547">
        <v>0</v>
      </c>
      <c r="N1547">
        <v>3</v>
      </c>
      <c r="O1547" t="s">
        <v>11768</v>
      </c>
    </row>
    <row r="1548" spans="1:15">
      <c r="A1548" t="s">
        <v>16293</v>
      </c>
      <c r="B1548" t="s">
        <v>367</v>
      </c>
      <c r="C1548" t="s">
        <v>16294</v>
      </c>
      <c r="D1548" t="s">
        <v>16295</v>
      </c>
      <c r="E1548" t="b">
        <v>0</v>
      </c>
      <c r="F1548" t="s">
        <v>11624</v>
      </c>
      <c r="G1548">
        <v>-8.3558839999999996</v>
      </c>
      <c r="H1548">
        <v>114.648391</v>
      </c>
      <c r="I1548" t="s">
        <v>16296</v>
      </c>
      <c r="L1548">
        <v>0</v>
      </c>
      <c r="M1548">
        <v>0</v>
      </c>
      <c r="N1548">
        <v>0</v>
      </c>
      <c r="O1548" t="s">
        <v>11768</v>
      </c>
    </row>
    <row r="1549" spans="1:15">
      <c r="A1549" t="s">
        <v>16297</v>
      </c>
      <c r="B1549" t="s">
        <v>367</v>
      </c>
      <c r="C1549" t="s">
        <v>16298</v>
      </c>
      <c r="D1549" t="s">
        <v>16299</v>
      </c>
      <c r="E1549" t="b">
        <v>0</v>
      </c>
      <c r="F1549" t="s">
        <v>11622</v>
      </c>
      <c r="L1549">
        <v>0</v>
      </c>
      <c r="M1549">
        <v>2</v>
      </c>
      <c r="N1549">
        <v>0</v>
      </c>
    </row>
    <row r="1550" spans="1:15">
      <c r="A1550" t="s">
        <v>16300</v>
      </c>
      <c r="B1550" t="s">
        <v>367</v>
      </c>
      <c r="C1550" t="s">
        <v>16054</v>
      </c>
      <c r="D1550" t="s">
        <v>16301</v>
      </c>
      <c r="E1550" t="b">
        <v>0</v>
      </c>
      <c r="F1550" t="s">
        <v>11610</v>
      </c>
      <c r="L1550">
        <v>0</v>
      </c>
      <c r="M1550">
        <v>0</v>
      </c>
      <c r="N1550">
        <v>0</v>
      </c>
    </row>
    <row r="1551" spans="1:15">
      <c r="A1551" t="s">
        <v>16302</v>
      </c>
      <c r="B1551" t="s">
        <v>367</v>
      </c>
      <c r="C1551" t="s">
        <v>16303</v>
      </c>
      <c r="D1551" t="s">
        <v>16304</v>
      </c>
      <c r="E1551" t="b">
        <v>0</v>
      </c>
      <c r="F1551" t="s">
        <v>11610</v>
      </c>
      <c r="L1551">
        <v>0</v>
      </c>
      <c r="M1551">
        <v>0</v>
      </c>
      <c r="N1551">
        <v>0</v>
      </c>
    </row>
    <row r="1552" spans="1:15">
      <c r="A1552" t="s">
        <v>16305</v>
      </c>
      <c r="B1552" t="s">
        <v>11834</v>
      </c>
      <c r="C1552" t="s">
        <v>16306</v>
      </c>
      <c r="D1552" t="s">
        <v>16307</v>
      </c>
      <c r="E1552" t="b">
        <v>0</v>
      </c>
      <c r="F1552" t="s">
        <v>11610</v>
      </c>
      <c r="L1552">
        <v>0</v>
      </c>
      <c r="M1552">
        <v>0</v>
      </c>
      <c r="N1552">
        <v>0</v>
      </c>
    </row>
    <row r="1553" spans="1:15">
      <c r="A1553" t="s">
        <v>16276</v>
      </c>
      <c r="B1553" t="s">
        <v>6742</v>
      </c>
      <c r="C1553" t="s">
        <v>16308</v>
      </c>
      <c r="D1553" t="s">
        <v>16309</v>
      </c>
      <c r="E1553" t="b">
        <v>0</v>
      </c>
      <c r="F1553" t="s">
        <v>11622</v>
      </c>
      <c r="L1553">
        <v>0</v>
      </c>
      <c r="M1553">
        <v>3</v>
      </c>
      <c r="N1553">
        <v>0</v>
      </c>
    </row>
    <row r="1554" spans="1:15">
      <c r="A1554" t="s">
        <v>16282</v>
      </c>
      <c r="B1554" t="s">
        <v>6742</v>
      </c>
      <c r="C1554" t="s">
        <v>11650</v>
      </c>
      <c r="D1554" t="s">
        <v>16310</v>
      </c>
      <c r="E1554" t="b">
        <v>0</v>
      </c>
      <c r="F1554" t="s">
        <v>11622</v>
      </c>
      <c r="L1554">
        <v>0</v>
      </c>
      <c r="M1554">
        <v>2</v>
      </c>
      <c r="N1554">
        <v>4</v>
      </c>
    </row>
    <row r="1555" spans="1:15">
      <c r="A1555" t="s">
        <v>11822</v>
      </c>
      <c r="B1555" t="s">
        <v>11637</v>
      </c>
      <c r="C1555" t="s">
        <v>16311</v>
      </c>
      <c r="D1555" t="s">
        <v>16312</v>
      </c>
      <c r="E1555" t="b">
        <v>0</v>
      </c>
      <c r="F1555" t="s">
        <v>11624</v>
      </c>
      <c r="G1555">
        <v>42.67</v>
      </c>
      <c r="H1555">
        <v>21.17</v>
      </c>
      <c r="I1555" t="s">
        <v>16313</v>
      </c>
      <c r="L1555">
        <v>0</v>
      </c>
      <c r="M1555">
        <v>0</v>
      </c>
      <c r="N1555">
        <v>19</v>
      </c>
      <c r="O1555" t="s">
        <v>16314</v>
      </c>
    </row>
    <row r="1556" spans="1:15">
      <c r="A1556" t="s">
        <v>16315</v>
      </c>
      <c r="B1556" t="s">
        <v>331</v>
      </c>
      <c r="C1556" t="s">
        <v>16316</v>
      </c>
      <c r="D1556" t="s">
        <v>16317</v>
      </c>
      <c r="E1556" t="b">
        <v>0</v>
      </c>
      <c r="F1556" t="s">
        <v>11610</v>
      </c>
      <c r="L1556">
        <v>0</v>
      </c>
      <c r="M1556">
        <v>0</v>
      </c>
      <c r="N1556">
        <v>0</v>
      </c>
    </row>
    <row r="1557" spans="1:15">
      <c r="A1557" t="s">
        <v>16318</v>
      </c>
      <c r="B1557" t="s">
        <v>331</v>
      </c>
      <c r="C1557" t="s">
        <v>16319</v>
      </c>
      <c r="D1557" t="s">
        <v>16320</v>
      </c>
      <c r="E1557" t="b">
        <v>0</v>
      </c>
      <c r="F1557" t="s">
        <v>11624</v>
      </c>
      <c r="G1557">
        <v>41.170544999999997</v>
      </c>
      <c r="H1557">
        <v>24.44567</v>
      </c>
      <c r="I1557" t="s">
        <v>16321</v>
      </c>
      <c r="L1557">
        <v>0</v>
      </c>
      <c r="M1557">
        <v>0</v>
      </c>
      <c r="N1557">
        <v>7</v>
      </c>
      <c r="O1557" t="s">
        <v>16322</v>
      </c>
    </row>
    <row r="1558" spans="1:15">
      <c r="A1558" t="s">
        <v>16323</v>
      </c>
      <c r="B1558" t="s">
        <v>11644</v>
      </c>
      <c r="C1558" t="s">
        <v>16324</v>
      </c>
      <c r="D1558" t="s">
        <v>16325</v>
      </c>
      <c r="E1558" t="b">
        <v>0</v>
      </c>
      <c r="F1558" t="s">
        <v>11610</v>
      </c>
      <c r="L1558">
        <v>0</v>
      </c>
      <c r="M1558">
        <v>0</v>
      </c>
      <c r="N1558">
        <v>0</v>
      </c>
    </row>
    <row r="1559" spans="1:15">
      <c r="A1559" t="s">
        <v>16326</v>
      </c>
      <c r="B1559" t="s">
        <v>11607</v>
      </c>
      <c r="C1559" t="s">
        <v>5820</v>
      </c>
      <c r="D1559" t="s">
        <v>16327</v>
      </c>
      <c r="E1559" t="b">
        <v>0</v>
      </c>
      <c r="F1559" t="s">
        <v>11610</v>
      </c>
      <c r="L1559">
        <v>0</v>
      </c>
      <c r="M1559">
        <v>0</v>
      </c>
      <c r="N1559">
        <v>0</v>
      </c>
    </row>
    <row r="1560" spans="1:15">
      <c r="A1560" t="s">
        <v>16328</v>
      </c>
      <c r="B1560" t="s">
        <v>11637</v>
      </c>
      <c r="C1560" t="s">
        <v>16329</v>
      </c>
      <c r="D1560" t="s">
        <v>16330</v>
      </c>
      <c r="E1560" t="b">
        <v>0</v>
      </c>
      <c r="F1560" t="s">
        <v>11610</v>
      </c>
      <c r="L1560">
        <v>0</v>
      </c>
      <c r="M1560">
        <v>0</v>
      </c>
      <c r="N1560">
        <v>3</v>
      </c>
    </row>
    <row r="1561" spans="1:15">
      <c r="A1561" t="s">
        <v>7902</v>
      </c>
      <c r="B1561" t="s">
        <v>11637</v>
      </c>
      <c r="C1561" t="s">
        <v>16331</v>
      </c>
      <c r="D1561" t="s">
        <v>16332</v>
      </c>
      <c r="E1561" t="b">
        <v>0</v>
      </c>
      <c r="F1561" t="s">
        <v>11622</v>
      </c>
      <c r="L1561">
        <v>1</v>
      </c>
      <c r="M1561">
        <v>4</v>
      </c>
      <c r="N1561">
        <v>8</v>
      </c>
    </row>
    <row r="1562" spans="1:15">
      <c r="A1562" t="s">
        <v>16333</v>
      </c>
      <c r="B1562" t="s">
        <v>6742</v>
      </c>
      <c r="C1562" t="s">
        <v>16334</v>
      </c>
      <c r="D1562" t="s">
        <v>16335</v>
      </c>
      <c r="E1562" t="b">
        <v>0</v>
      </c>
      <c r="F1562" t="s">
        <v>11624</v>
      </c>
      <c r="G1562">
        <v>0.93776999999999999</v>
      </c>
      <c r="H1562">
        <v>18.1266</v>
      </c>
      <c r="I1562" t="s">
        <v>16336</v>
      </c>
      <c r="L1562">
        <v>0</v>
      </c>
      <c r="M1562">
        <v>0</v>
      </c>
      <c r="N1562">
        <v>4</v>
      </c>
      <c r="O1562" t="s">
        <v>16337</v>
      </c>
    </row>
    <row r="1563" spans="1:15">
      <c r="A1563" t="s">
        <v>16338</v>
      </c>
      <c r="B1563" t="s">
        <v>6742</v>
      </c>
      <c r="C1563" t="s">
        <v>15636</v>
      </c>
      <c r="D1563" t="s">
        <v>16339</v>
      </c>
      <c r="E1563" t="b">
        <v>0</v>
      </c>
      <c r="F1563" t="s">
        <v>11610</v>
      </c>
      <c r="L1563">
        <v>0</v>
      </c>
      <c r="M1563">
        <v>0</v>
      </c>
      <c r="N1563">
        <v>0</v>
      </c>
    </row>
    <row r="1564" spans="1:15">
      <c r="A1564" t="s">
        <v>16340</v>
      </c>
      <c r="B1564" t="s">
        <v>6742</v>
      </c>
      <c r="C1564" t="s">
        <v>15759</v>
      </c>
      <c r="D1564" t="s">
        <v>16341</v>
      </c>
      <c r="E1564" t="b">
        <v>0</v>
      </c>
      <c r="F1564" t="s">
        <v>11610</v>
      </c>
      <c r="L1564">
        <v>0</v>
      </c>
      <c r="M1564">
        <v>0</v>
      </c>
      <c r="N1564">
        <v>0</v>
      </c>
    </row>
    <row r="1565" spans="1:15">
      <c r="A1565" t="s">
        <v>16342</v>
      </c>
      <c r="B1565" t="s">
        <v>6742</v>
      </c>
      <c r="C1565" t="s">
        <v>16343</v>
      </c>
      <c r="D1565" t="s">
        <v>16344</v>
      </c>
      <c r="E1565" t="b">
        <v>0</v>
      </c>
      <c r="F1565" t="s">
        <v>11624</v>
      </c>
      <c r="G1565">
        <v>6.1255199999999999</v>
      </c>
      <c r="H1565">
        <v>9.6936499999999999</v>
      </c>
      <c r="I1565" t="s">
        <v>16345</v>
      </c>
      <c r="L1565">
        <v>0</v>
      </c>
      <c r="M1565">
        <v>0</v>
      </c>
      <c r="N1565">
        <v>0</v>
      </c>
      <c r="O1565" t="s">
        <v>11703</v>
      </c>
    </row>
    <row r="1566" spans="1:15">
      <c r="A1566" t="s">
        <v>16346</v>
      </c>
      <c r="B1566" t="s">
        <v>11637</v>
      </c>
      <c r="C1566" t="s">
        <v>13849</v>
      </c>
      <c r="D1566" t="s">
        <v>16347</v>
      </c>
      <c r="E1566" t="b">
        <v>0</v>
      </c>
      <c r="F1566" t="s">
        <v>11624</v>
      </c>
      <c r="G1566">
        <v>60</v>
      </c>
      <c r="H1566">
        <v>38</v>
      </c>
      <c r="I1566" t="s">
        <v>16348</v>
      </c>
      <c r="L1566">
        <v>0</v>
      </c>
      <c r="M1566">
        <v>0</v>
      </c>
      <c r="N1566">
        <v>5</v>
      </c>
      <c r="O1566" t="s">
        <v>16349</v>
      </c>
    </row>
    <row r="1567" spans="1:15">
      <c r="A1567" t="s">
        <v>16350</v>
      </c>
      <c r="B1567" t="s">
        <v>11644</v>
      </c>
      <c r="C1567" t="s">
        <v>16351</v>
      </c>
      <c r="D1567" t="s">
        <v>16352</v>
      </c>
      <c r="E1567" t="b">
        <v>0</v>
      </c>
      <c r="F1567" t="s">
        <v>11624</v>
      </c>
      <c r="G1567">
        <v>34.449100000000001</v>
      </c>
      <c r="H1567">
        <v>77.285899999999998</v>
      </c>
      <c r="I1567" t="s">
        <v>16353</v>
      </c>
      <c r="L1567">
        <v>0</v>
      </c>
      <c r="M1567">
        <v>0</v>
      </c>
      <c r="N1567">
        <v>0</v>
      </c>
      <c r="O1567" t="s">
        <v>15870</v>
      </c>
    </row>
    <row r="1568" spans="1:15">
      <c r="A1568" t="s">
        <v>16354</v>
      </c>
      <c r="B1568" t="s">
        <v>11607</v>
      </c>
      <c r="C1568" t="s">
        <v>16355</v>
      </c>
      <c r="D1568" t="s">
        <v>16356</v>
      </c>
      <c r="E1568" t="b">
        <v>0</v>
      </c>
      <c r="F1568" t="s">
        <v>11610</v>
      </c>
      <c r="L1568">
        <v>0</v>
      </c>
      <c r="M1568">
        <v>0</v>
      </c>
      <c r="N1568">
        <v>0</v>
      </c>
    </row>
    <row r="1569" spans="1:15">
      <c r="A1569" t="s">
        <v>16357</v>
      </c>
      <c r="B1569" t="s">
        <v>11637</v>
      </c>
      <c r="C1569" t="s">
        <v>11637</v>
      </c>
      <c r="D1569" t="s">
        <v>16358</v>
      </c>
      <c r="E1569" t="b">
        <v>0</v>
      </c>
      <c r="F1569" t="s">
        <v>11622</v>
      </c>
      <c r="L1569">
        <v>13</v>
      </c>
      <c r="M1569">
        <v>23</v>
      </c>
      <c r="N1569">
        <v>109</v>
      </c>
    </row>
    <row r="1570" spans="1:15">
      <c r="A1570" t="s">
        <v>16359</v>
      </c>
      <c r="B1570" t="s">
        <v>10597</v>
      </c>
      <c r="C1570" t="s">
        <v>16360</v>
      </c>
      <c r="D1570" t="s">
        <v>16361</v>
      </c>
      <c r="E1570" t="b">
        <v>0</v>
      </c>
      <c r="F1570" t="s">
        <v>11610</v>
      </c>
      <c r="L1570">
        <v>0</v>
      </c>
      <c r="M1570">
        <v>0</v>
      </c>
      <c r="N1570">
        <v>0</v>
      </c>
    </row>
    <row r="1571" spans="1:15">
      <c r="A1571" t="s">
        <v>16362</v>
      </c>
      <c r="B1571" t="s">
        <v>6742</v>
      </c>
      <c r="C1571" t="s">
        <v>8324</v>
      </c>
      <c r="D1571" t="s">
        <v>16363</v>
      </c>
      <c r="E1571" t="b">
        <v>0</v>
      </c>
      <c r="F1571" t="s">
        <v>11610</v>
      </c>
      <c r="L1571">
        <v>0</v>
      </c>
      <c r="M1571">
        <v>0</v>
      </c>
      <c r="N1571">
        <v>0</v>
      </c>
    </row>
    <row r="1572" spans="1:15">
      <c r="A1572" t="s">
        <v>16364</v>
      </c>
      <c r="B1572" t="s">
        <v>6742</v>
      </c>
      <c r="C1572" t="s">
        <v>5536</v>
      </c>
      <c r="D1572" t="s">
        <v>16365</v>
      </c>
      <c r="E1572" t="b">
        <v>0</v>
      </c>
      <c r="F1572" t="s">
        <v>11610</v>
      </c>
      <c r="L1572">
        <v>0</v>
      </c>
      <c r="M1572">
        <v>0</v>
      </c>
      <c r="N1572">
        <v>0</v>
      </c>
    </row>
    <row r="1573" spans="1:15">
      <c r="A1573" t="s">
        <v>16366</v>
      </c>
      <c r="B1573" t="s">
        <v>367</v>
      </c>
      <c r="C1573" t="s">
        <v>16367</v>
      </c>
      <c r="D1573" t="s">
        <v>16368</v>
      </c>
      <c r="E1573" t="b">
        <v>0</v>
      </c>
      <c r="F1573" t="s">
        <v>11624</v>
      </c>
      <c r="G1573">
        <v>-2.5604</v>
      </c>
      <c r="H1573">
        <v>147.28200000000001</v>
      </c>
      <c r="I1573" t="s">
        <v>16369</v>
      </c>
      <c r="L1573">
        <v>0</v>
      </c>
      <c r="M1573">
        <v>0</v>
      </c>
      <c r="N1573">
        <v>2</v>
      </c>
      <c r="O1573" t="s">
        <v>11660</v>
      </c>
    </row>
    <row r="1574" spans="1:15">
      <c r="A1574" t="s">
        <v>16370</v>
      </c>
      <c r="B1574" t="s">
        <v>367</v>
      </c>
      <c r="C1574" t="s">
        <v>16366</v>
      </c>
      <c r="D1574" t="s">
        <v>16371</v>
      </c>
      <c r="E1574" t="b">
        <v>0</v>
      </c>
      <c r="F1574" t="s">
        <v>11610</v>
      </c>
      <c r="L1574">
        <v>0</v>
      </c>
      <c r="M1574">
        <v>0</v>
      </c>
      <c r="N1574">
        <v>0</v>
      </c>
    </row>
    <row r="1575" spans="1:15">
      <c r="A1575" t="s">
        <v>16372</v>
      </c>
      <c r="B1575" t="s">
        <v>11637</v>
      </c>
      <c r="C1575" t="s">
        <v>16373</v>
      </c>
      <c r="D1575" t="s">
        <v>16374</v>
      </c>
      <c r="E1575" t="b">
        <v>0</v>
      </c>
      <c r="F1575" t="s">
        <v>11610</v>
      </c>
      <c r="L1575">
        <v>0</v>
      </c>
      <c r="M1575">
        <v>0</v>
      </c>
      <c r="N1575">
        <v>0</v>
      </c>
    </row>
    <row r="1576" spans="1:15">
      <c r="A1576" t="s">
        <v>16375</v>
      </c>
      <c r="B1576" t="s">
        <v>11981</v>
      </c>
      <c r="C1576" t="s">
        <v>12200</v>
      </c>
      <c r="D1576" t="s">
        <v>16376</v>
      </c>
      <c r="E1576" t="b">
        <v>0</v>
      </c>
      <c r="F1576" t="s">
        <v>11624</v>
      </c>
      <c r="G1576">
        <v>12.651</v>
      </c>
      <c r="H1576">
        <v>-8.00136</v>
      </c>
      <c r="I1576" t="s">
        <v>16377</v>
      </c>
      <c r="L1576">
        <v>0</v>
      </c>
      <c r="M1576">
        <v>0</v>
      </c>
      <c r="N1576">
        <v>0</v>
      </c>
      <c r="O1576" t="s">
        <v>13528</v>
      </c>
    </row>
    <row r="1577" spans="1:15">
      <c r="A1577" t="s">
        <v>16378</v>
      </c>
      <c r="B1577" t="s">
        <v>6742</v>
      </c>
      <c r="C1577" t="s">
        <v>15766</v>
      </c>
      <c r="D1577" t="s">
        <v>16379</v>
      </c>
      <c r="E1577" t="b">
        <v>0</v>
      </c>
      <c r="F1577" t="s">
        <v>11624</v>
      </c>
      <c r="G1577">
        <v>5.9132699999999998</v>
      </c>
      <c r="H1577">
        <v>10.4567</v>
      </c>
      <c r="I1577" t="s">
        <v>16380</v>
      </c>
      <c r="L1577">
        <v>0</v>
      </c>
      <c r="M1577">
        <v>0</v>
      </c>
      <c r="N1577">
        <v>0</v>
      </c>
      <c r="O1577" t="s">
        <v>11703</v>
      </c>
    </row>
    <row r="1578" spans="1:15">
      <c r="A1578" t="s">
        <v>16381</v>
      </c>
      <c r="B1578" t="s">
        <v>1342</v>
      </c>
      <c r="C1578" t="s">
        <v>16382</v>
      </c>
      <c r="D1578" t="s">
        <v>16383</v>
      </c>
      <c r="E1578" t="b">
        <v>0</v>
      </c>
      <c r="F1578" t="s">
        <v>11610</v>
      </c>
      <c r="L1578">
        <v>0</v>
      </c>
      <c r="M1578">
        <v>0</v>
      </c>
      <c r="N1578">
        <v>0</v>
      </c>
    </row>
    <row r="1579" spans="1:15">
      <c r="A1579" t="s">
        <v>16384</v>
      </c>
      <c r="B1579" t="s">
        <v>367</v>
      </c>
      <c r="C1579" t="s">
        <v>16385</v>
      </c>
      <c r="D1579" t="s">
        <v>16386</v>
      </c>
      <c r="E1579" t="b">
        <v>0</v>
      </c>
      <c r="F1579" t="s">
        <v>11610</v>
      </c>
      <c r="L1579">
        <v>0</v>
      </c>
      <c r="M1579">
        <v>0</v>
      </c>
      <c r="N1579">
        <v>0</v>
      </c>
    </row>
    <row r="1580" spans="1:15">
      <c r="A1580" t="s">
        <v>16387</v>
      </c>
      <c r="B1580" t="s">
        <v>16388</v>
      </c>
      <c r="C1580" t="s">
        <v>16388</v>
      </c>
      <c r="D1580" t="s">
        <v>16389</v>
      </c>
      <c r="E1580" t="b">
        <v>0</v>
      </c>
      <c r="F1580" t="s">
        <v>11624</v>
      </c>
      <c r="G1580">
        <v>9.8255400000000002</v>
      </c>
      <c r="H1580">
        <v>34.652200000000001</v>
      </c>
      <c r="I1580" t="s">
        <v>16390</v>
      </c>
      <c r="L1580">
        <v>0</v>
      </c>
      <c r="M1580">
        <v>0</v>
      </c>
      <c r="N1580">
        <v>2</v>
      </c>
      <c r="O1580" t="s">
        <v>11625</v>
      </c>
    </row>
    <row r="1581" spans="1:15">
      <c r="A1581" t="s">
        <v>16391</v>
      </c>
      <c r="B1581" t="s">
        <v>6742</v>
      </c>
      <c r="C1581" t="s">
        <v>16392</v>
      </c>
      <c r="D1581" t="s">
        <v>16393</v>
      </c>
      <c r="E1581" t="b">
        <v>0</v>
      </c>
      <c r="F1581" t="s">
        <v>11622</v>
      </c>
      <c r="L1581">
        <v>0</v>
      </c>
      <c r="M1581">
        <v>3</v>
      </c>
      <c r="N1581">
        <v>0</v>
      </c>
    </row>
    <row r="1582" spans="1:15">
      <c r="A1582" t="s">
        <v>6992</v>
      </c>
      <c r="B1582" t="s">
        <v>6742</v>
      </c>
      <c r="C1582" t="s">
        <v>16394</v>
      </c>
      <c r="D1582" t="s">
        <v>16395</v>
      </c>
      <c r="E1582" t="b">
        <v>0</v>
      </c>
      <c r="F1582" t="s">
        <v>11610</v>
      </c>
      <c r="L1582">
        <v>0</v>
      </c>
      <c r="M1582">
        <v>0</v>
      </c>
      <c r="N1582">
        <v>0</v>
      </c>
    </row>
    <row r="1583" spans="1:15">
      <c r="A1583" t="s">
        <v>16396</v>
      </c>
      <c r="B1583" t="s">
        <v>6742</v>
      </c>
      <c r="C1583" t="s">
        <v>15766</v>
      </c>
      <c r="D1583" t="s">
        <v>16397</v>
      </c>
      <c r="E1583" t="b">
        <v>0</v>
      </c>
      <c r="F1583" t="s">
        <v>11624</v>
      </c>
      <c r="G1583">
        <v>5.8609999999999998</v>
      </c>
      <c r="H1583">
        <v>10.544</v>
      </c>
      <c r="I1583" t="s">
        <v>16398</v>
      </c>
      <c r="L1583">
        <v>0</v>
      </c>
      <c r="M1583">
        <v>0</v>
      </c>
      <c r="N1583">
        <v>0</v>
      </c>
      <c r="O1583" t="s">
        <v>11703</v>
      </c>
    </row>
    <row r="1584" spans="1:15">
      <c r="A1584" t="s">
        <v>16399</v>
      </c>
      <c r="B1584" t="s">
        <v>6742</v>
      </c>
      <c r="C1584" t="s">
        <v>15375</v>
      </c>
      <c r="D1584" t="s">
        <v>16400</v>
      </c>
      <c r="E1584" t="b">
        <v>0</v>
      </c>
      <c r="F1584" t="s">
        <v>11624</v>
      </c>
      <c r="G1584">
        <v>6.1082099999999997</v>
      </c>
      <c r="H1584">
        <v>10.2233</v>
      </c>
      <c r="I1584" t="s">
        <v>16401</v>
      </c>
      <c r="L1584">
        <v>0</v>
      </c>
      <c r="M1584">
        <v>0</v>
      </c>
      <c r="N1584">
        <v>2</v>
      </c>
      <c r="O1584" t="s">
        <v>11703</v>
      </c>
    </row>
    <row r="1585" spans="1:15">
      <c r="A1585" t="s">
        <v>16402</v>
      </c>
      <c r="B1585" t="s">
        <v>6742</v>
      </c>
      <c r="C1585" t="s">
        <v>16399</v>
      </c>
      <c r="D1585" t="s">
        <v>16403</v>
      </c>
      <c r="E1585" t="b">
        <v>0</v>
      </c>
      <c r="F1585" t="s">
        <v>11610</v>
      </c>
      <c r="L1585">
        <v>0</v>
      </c>
      <c r="M1585">
        <v>0</v>
      </c>
      <c r="N1585">
        <v>0</v>
      </c>
    </row>
    <row r="1586" spans="1:15">
      <c r="A1586" t="s">
        <v>16404</v>
      </c>
      <c r="B1586" t="s">
        <v>6742</v>
      </c>
      <c r="C1586" t="s">
        <v>16399</v>
      </c>
      <c r="D1586" t="s">
        <v>16405</v>
      </c>
      <c r="E1586" t="b">
        <v>0</v>
      </c>
      <c r="F1586" t="s">
        <v>11610</v>
      </c>
      <c r="L1586">
        <v>0</v>
      </c>
      <c r="M1586">
        <v>0</v>
      </c>
      <c r="N1586">
        <v>0</v>
      </c>
    </row>
    <row r="1587" spans="1:15">
      <c r="A1587" t="s">
        <v>16406</v>
      </c>
      <c r="B1587" t="s">
        <v>13276</v>
      </c>
      <c r="C1587" t="s">
        <v>16407</v>
      </c>
      <c r="D1587" t="s">
        <v>16408</v>
      </c>
      <c r="E1587" t="b">
        <v>0</v>
      </c>
      <c r="F1587" t="s">
        <v>11624</v>
      </c>
      <c r="G1587">
        <v>12.040100000000001</v>
      </c>
      <c r="H1587">
        <v>-9.98949</v>
      </c>
      <c r="I1587" t="s">
        <v>16409</v>
      </c>
      <c r="L1587">
        <v>0</v>
      </c>
      <c r="M1587">
        <v>0</v>
      </c>
      <c r="N1587">
        <v>7</v>
      </c>
      <c r="O1587" t="s">
        <v>16410</v>
      </c>
    </row>
    <row r="1588" spans="1:15">
      <c r="A1588" t="s">
        <v>16411</v>
      </c>
      <c r="B1588" t="s">
        <v>367</v>
      </c>
      <c r="C1588" t="s">
        <v>14291</v>
      </c>
      <c r="D1588" t="s">
        <v>16412</v>
      </c>
      <c r="E1588" t="b">
        <v>0</v>
      </c>
      <c r="F1588" t="s">
        <v>11624</v>
      </c>
      <c r="G1588">
        <v>-3.02759</v>
      </c>
      <c r="H1588">
        <v>119.20099999999999</v>
      </c>
      <c r="I1588" t="s">
        <v>16413</v>
      </c>
      <c r="L1588">
        <v>0</v>
      </c>
      <c r="M1588">
        <v>0</v>
      </c>
      <c r="N1588">
        <v>7</v>
      </c>
      <c r="O1588" t="s">
        <v>11768</v>
      </c>
    </row>
    <row r="1589" spans="1:15">
      <c r="A1589" t="s">
        <v>16414</v>
      </c>
      <c r="B1589" t="s">
        <v>367</v>
      </c>
      <c r="C1589" t="s">
        <v>16411</v>
      </c>
      <c r="D1589" t="s">
        <v>16415</v>
      </c>
      <c r="E1589" t="b">
        <v>0</v>
      </c>
      <c r="F1589" t="s">
        <v>11610</v>
      </c>
      <c r="L1589">
        <v>0</v>
      </c>
      <c r="M1589">
        <v>0</v>
      </c>
      <c r="N1589">
        <v>0</v>
      </c>
    </row>
    <row r="1590" spans="1:15">
      <c r="A1590" t="s">
        <v>16416</v>
      </c>
      <c r="B1590" t="s">
        <v>6742</v>
      </c>
      <c r="C1590" t="s">
        <v>16417</v>
      </c>
      <c r="D1590" t="s">
        <v>16418</v>
      </c>
      <c r="E1590" t="b">
        <v>0</v>
      </c>
      <c r="F1590" t="s">
        <v>11624</v>
      </c>
      <c r="G1590">
        <v>5.7704899999999997</v>
      </c>
      <c r="H1590">
        <v>10.3302</v>
      </c>
      <c r="I1590" t="s">
        <v>16419</v>
      </c>
      <c r="L1590">
        <v>0</v>
      </c>
      <c r="M1590">
        <v>0</v>
      </c>
      <c r="N1590">
        <v>0</v>
      </c>
      <c r="O1590" t="s">
        <v>11703</v>
      </c>
    </row>
    <row r="1591" spans="1:15">
      <c r="A1591" t="s">
        <v>16420</v>
      </c>
      <c r="B1591" t="s">
        <v>6742</v>
      </c>
      <c r="C1591" t="s">
        <v>16262</v>
      </c>
      <c r="D1591" t="s">
        <v>16421</v>
      </c>
      <c r="E1591" t="b">
        <v>0</v>
      </c>
      <c r="F1591" t="s">
        <v>11610</v>
      </c>
      <c r="L1591">
        <v>0</v>
      </c>
      <c r="M1591">
        <v>0</v>
      </c>
      <c r="N1591">
        <v>0</v>
      </c>
    </row>
    <row r="1592" spans="1:15">
      <c r="A1592" t="s">
        <v>16422</v>
      </c>
      <c r="B1592" t="s">
        <v>6742</v>
      </c>
      <c r="C1592" t="s">
        <v>15600</v>
      </c>
      <c r="D1592" t="s">
        <v>16423</v>
      </c>
      <c r="E1592" t="b">
        <v>0</v>
      </c>
      <c r="F1592" t="s">
        <v>11610</v>
      </c>
      <c r="L1592">
        <v>0</v>
      </c>
      <c r="M1592">
        <v>0</v>
      </c>
      <c r="N1592">
        <v>0</v>
      </c>
    </row>
    <row r="1593" spans="1:15">
      <c r="A1593" t="s">
        <v>16424</v>
      </c>
      <c r="B1593" t="s">
        <v>6742</v>
      </c>
      <c r="C1593" t="s">
        <v>15823</v>
      </c>
      <c r="D1593" t="s">
        <v>16425</v>
      </c>
      <c r="E1593" t="b">
        <v>0</v>
      </c>
      <c r="F1593" t="s">
        <v>11610</v>
      </c>
      <c r="L1593">
        <v>0</v>
      </c>
      <c r="M1593">
        <v>0</v>
      </c>
      <c r="N1593">
        <v>0</v>
      </c>
    </row>
    <row r="1594" spans="1:15">
      <c r="A1594" t="s">
        <v>16426</v>
      </c>
      <c r="B1594" t="s">
        <v>6742</v>
      </c>
      <c r="C1594" t="s">
        <v>15630</v>
      </c>
      <c r="D1594" t="s">
        <v>16427</v>
      </c>
      <c r="E1594" t="b">
        <v>0</v>
      </c>
      <c r="F1594" t="s">
        <v>11610</v>
      </c>
      <c r="L1594">
        <v>0</v>
      </c>
      <c r="M1594">
        <v>0</v>
      </c>
      <c r="N1594">
        <v>0</v>
      </c>
    </row>
    <row r="1595" spans="1:15">
      <c r="A1595" t="s">
        <v>16428</v>
      </c>
      <c r="B1595" t="s">
        <v>6742</v>
      </c>
      <c r="C1595" t="s">
        <v>15630</v>
      </c>
      <c r="D1595" t="s">
        <v>16429</v>
      </c>
      <c r="E1595" t="b">
        <v>0</v>
      </c>
      <c r="F1595" t="s">
        <v>11610</v>
      </c>
      <c r="L1595">
        <v>0</v>
      </c>
      <c r="M1595">
        <v>0</v>
      </c>
      <c r="N1595">
        <v>0</v>
      </c>
    </row>
    <row r="1596" spans="1:15">
      <c r="A1596" t="s">
        <v>16430</v>
      </c>
      <c r="B1596" t="s">
        <v>6742</v>
      </c>
      <c r="C1596" t="s">
        <v>15630</v>
      </c>
      <c r="D1596" t="s">
        <v>16431</v>
      </c>
      <c r="E1596" t="b">
        <v>0</v>
      </c>
      <c r="F1596" t="s">
        <v>11610</v>
      </c>
      <c r="L1596">
        <v>0</v>
      </c>
      <c r="M1596">
        <v>0</v>
      </c>
      <c r="N1596">
        <v>0</v>
      </c>
    </row>
    <row r="1597" spans="1:15">
      <c r="A1597" t="s">
        <v>16432</v>
      </c>
      <c r="B1597" t="s">
        <v>6742</v>
      </c>
      <c r="C1597" t="s">
        <v>15630</v>
      </c>
      <c r="D1597" t="s">
        <v>16433</v>
      </c>
      <c r="E1597" t="b">
        <v>0</v>
      </c>
      <c r="F1597" t="s">
        <v>11610</v>
      </c>
      <c r="L1597">
        <v>0</v>
      </c>
      <c r="M1597">
        <v>0</v>
      </c>
      <c r="N1597">
        <v>0</v>
      </c>
    </row>
    <row r="1598" spans="1:15">
      <c r="A1598" t="s">
        <v>16434</v>
      </c>
      <c r="B1598" t="s">
        <v>6742</v>
      </c>
      <c r="C1598" t="s">
        <v>16435</v>
      </c>
      <c r="D1598" t="s">
        <v>16436</v>
      </c>
      <c r="E1598" t="b">
        <v>0</v>
      </c>
      <c r="F1598" t="s">
        <v>11622</v>
      </c>
      <c r="L1598">
        <v>0</v>
      </c>
      <c r="M1598">
        <v>11</v>
      </c>
      <c r="N1598">
        <v>38</v>
      </c>
    </row>
    <row r="1599" spans="1:15">
      <c r="A1599" t="s">
        <v>16437</v>
      </c>
      <c r="B1599" t="s">
        <v>11615</v>
      </c>
      <c r="C1599" t="s">
        <v>16438</v>
      </c>
      <c r="D1599" t="s">
        <v>16439</v>
      </c>
      <c r="E1599" t="b">
        <v>0</v>
      </c>
      <c r="F1599" t="s">
        <v>11610</v>
      </c>
      <c r="L1599">
        <v>0</v>
      </c>
      <c r="M1599">
        <v>0</v>
      </c>
      <c r="N1599">
        <v>0</v>
      </c>
    </row>
    <row r="1600" spans="1:15">
      <c r="A1600" t="s">
        <v>16440</v>
      </c>
      <c r="B1600" t="s">
        <v>367</v>
      </c>
      <c r="C1600" t="s">
        <v>16441</v>
      </c>
      <c r="D1600" t="s">
        <v>16442</v>
      </c>
      <c r="E1600" t="b">
        <v>0</v>
      </c>
      <c r="F1600" t="s">
        <v>11622</v>
      </c>
      <c r="L1600">
        <v>1</v>
      </c>
      <c r="M1600">
        <v>3</v>
      </c>
      <c r="N1600">
        <v>1</v>
      </c>
    </row>
    <row r="1601" spans="1:15">
      <c r="A1601" t="s">
        <v>16443</v>
      </c>
      <c r="B1601" t="s">
        <v>6742</v>
      </c>
      <c r="C1601" t="s">
        <v>16212</v>
      </c>
      <c r="D1601" t="s">
        <v>16444</v>
      </c>
      <c r="E1601" t="b">
        <v>0</v>
      </c>
      <c r="F1601" t="s">
        <v>11610</v>
      </c>
      <c r="L1601">
        <v>0</v>
      </c>
      <c r="M1601">
        <v>0</v>
      </c>
      <c r="N1601">
        <v>0</v>
      </c>
    </row>
    <row r="1602" spans="1:15">
      <c r="A1602" t="s">
        <v>15766</v>
      </c>
      <c r="B1602" t="s">
        <v>6742</v>
      </c>
      <c r="C1602" t="s">
        <v>16417</v>
      </c>
      <c r="D1602" t="s">
        <v>16445</v>
      </c>
      <c r="E1602" t="b">
        <v>0</v>
      </c>
      <c r="F1602" t="s">
        <v>11622</v>
      </c>
      <c r="L1602">
        <v>0</v>
      </c>
      <c r="M1602">
        <v>5</v>
      </c>
      <c r="N1602">
        <v>0</v>
      </c>
    </row>
    <row r="1603" spans="1:15">
      <c r="A1603" t="s">
        <v>2108</v>
      </c>
      <c r="B1603" t="s">
        <v>6742</v>
      </c>
      <c r="C1603" t="s">
        <v>15766</v>
      </c>
      <c r="D1603" t="s">
        <v>16446</v>
      </c>
      <c r="E1603" t="b">
        <v>0</v>
      </c>
      <c r="F1603" t="s">
        <v>11624</v>
      </c>
      <c r="G1603">
        <v>5.49017</v>
      </c>
      <c r="H1603">
        <v>10.8477</v>
      </c>
      <c r="I1603" t="s">
        <v>2110</v>
      </c>
      <c r="L1603">
        <v>0</v>
      </c>
      <c r="M1603">
        <v>0</v>
      </c>
      <c r="N1603">
        <v>0</v>
      </c>
      <c r="O1603" t="s">
        <v>11703</v>
      </c>
    </row>
    <row r="1604" spans="1:15">
      <c r="A1604" t="s">
        <v>16447</v>
      </c>
      <c r="B1604" t="s">
        <v>6742</v>
      </c>
      <c r="C1604" t="s">
        <v>15375</v>
      </c>
      <c r="D1604" t="s">
        <v>16448</v>
      </c>
      <c r="E1604" t="b">
        <v>0</v>
      </c>
      <c r="F1604" t="s">
        <v>11624</v>
      </c>
      <c r="G1604">
        <v>5.8729199999999997</v>
      </c>
      <c r="H1604">
        <v>10.3537</v>
      </c>
      <c r="I1604" t="s">
        <v>16449</v>
      </c>
      <c r="L1604">
        <v>0</v>
      </c>
      <c r="M1604">
        <v>0</v>
      </c>
      <c r="N1604">
        <v>0</v>
      </c>
      <c r="O1604" t="s">
        <v>11703</v>
      </c>
    </row>
    <row r="1605" spans="1:15">
      <c r="A1605" t="s">
        <v>2109</v>
      </c>
      <c r="B1605" t="s">
        <v>6742</v>
      </c>
      <c r="C1605" t="s">
        <v>16450</v>
      </c>
      <c r="D1605" t="s">
        <v>16451</v>
      </c>
      <c r="E1605" t="b">
        <v>0</v>
      </c>
      <c r="F1605" t="s">
        <v>11610</v>
      </c>
      <c r="L1605">
        <v>0</v>
      </c>
      <c r="M1605">
        <v>0</v>
      </c>
      <c r="N1605">
        <v>0</v>
      </c>
    </row>
    <row r="1606" spans="1:15">
      <c r="A1606" t="s">
        <v>16452</v>
      </c>
      <c r="B1606" t="s">
        <v>6742</v>
      </c>
      <c r="C1606" t="s">
        <v>15646</v>
      </c>
      <c r="D1606" t="s">
        <v>16453</v>
      </c>
      <c r="E1606" t="b">
        <v>0</v>
      </c>
      <c r="F1606" t="s">
        <v>11624</v>
      </c>
      <c r="G1606">
        <v>6.0020300000000004</v>
      </c>
      <c r="H1606">
        <v>10.512700000000001</v>
      </c>
      <c r="I1606" t="s">
        <v>16454</v>
      </c>
      <c r="L1606">
        <v>0</v>
      </c>
      <c r="M1606">
        <v>0</v>
      </c>
      <c r="N1606">
        <v>0</v>
      </c>
      <c r="O1606" t="s">
        <v>11703</v>
      </c>
    </row>
    <row r="1607" spans="1:15">
      <c r="A1607" t="s">
        <v>16455</v>
      </c>
      <c r="B1607" t="s">
        <v>14524</v>
      </c>
      <c r="C1607" t="s">
        <v>14524</v>
      </c>
      <c r="D1607" t="s">
        <v>16456</v>
      </c>
      <c r="E1607" t="b">
        <v>0</v>
      </c>
      <c r="F1607" t="s">
        <v>11624</v>
      </c>
      <c r="G1607">
        <v>-7.93818</v>
      </c>
      <c r="H1607">
        <v>143.54499999999999</v>
      </c>
      <c r="I1607" t="s">
        <v>16457</v>
      </c>
      <c r="L1607">
        <v>0</v>
      </c>
      <c r="M1607">
        <v>0</v>
      </c>
      <c r="N1607">
        <v>5</v>
      </c>
      <c r="O1607" t="s">
        <v>11660</v>
      </c>
    </row>
    <row r="1608" spans="1:15">
      <c r="A1608" t="s">
        <v>16458</v>
      </c>
      <c r="B1608" t="s">
        <v>6742</v>
      </c>
      <c r="C1608" t="s">
        <v>15734</v>
      </c>
      <c r="D1608" t="s">
        <v>16459</v>
      </c>
      <c r="E1608" t="b">
        <v>0</v>
      </c>
      <c r="F1608" t="s">
        <v>11610</v>
      </c>
      <c r="L1608">
        <v>0</v>
      </c>
      <c r="M1608">
        <v>0</v>
      </c>
      <c r="N1608">
        <v>0</v>
      </c>
    </row>
    <row r="1609" spans="1:15">
      <c r="A1609" t="s">
        <v>16460</v>
      </c>
      <c r="B1609" t="s">
        <v>6742</v>
      </c>
      <c r="C1609" t="s">
        <v>16461</v>
      </c>
      <c r="D1609" t="s">
        <v>16462</v>
      </c>
      <c r="E1609" t="b">
        <v>0</v>
      </c>
      <c r="F1609" t="s">
        <v>11624</v>
      </c>
      <c r="G1609">
        <v>2.1677300000000002</v>
      </c>
      <c r="H1609">
        <v>19.164400000000001</v>
      </c>
      <c r="I1609" t="s">
        <v>16463</v>
      </c>
      <c r="L1609">
        <v>0</v>
      </c>
      <c r="M1609">
        <v>0</v>
      </c>
      <c r="N1609">
        <v>0</v>
      </c>
      <c r="O1609" t="s">
        <v>14825</v>
      </c>
    </row>
    <row r="1610" spans="1:15">
      <c r="A1610" t="s">
        <v>16461</v>
      </c>
      <c r="B1610" t="s">
        <v>6742</v>
      </c>
      <c r="C1610" t="s">
        <v>16464</v>
      </c>
      <c r="D1610" t="s">
        <v>16465</v>
      </c>
      <c r="E1610" t="b">
        <v>0</v>
      </c>
      <c r="F1610" t="s">
        <v>11622</v>
      </c>
      <c r="L1610">
        <v>0</v>
      </c>
      <c r="M1610">
        <v>3</v>
      </c>
      <c r="N1610">
        <v>4</v>
      </c>
    </row>
    <row r="1611" spans="1:15">
      <c r="A1611" t="s">
        <v>8949</v>
      </c>
      <c r="B1611" t="s">
        <v>11637</v>
      </c>
      <c r="C1611" t="s">
        <v>2995</v>
      </c>
      <c r="D1611" t="s">
        <v>16466</v>
      </c>
      <c r="E1611" t="b">
        <v>0</v>
      </c>
      <c r="F1611" t="s">
        <v>11610</v>
      </c>
      <c r="L1611">
        <v>0</v>
      </c>
      <c r="M1611">
        <v>0</v>
      </c>
      <c r="N1611">
        <v>0</v>
      </c>
    </row>
    <row r="1612" spans="1:15">
      <c r="A1612" t="s">
        <v>16467</v>
      </c>
      <c r="B1612" t="s">
        <v>11637</v>
      </c>
      <c r="C1612" t="s">
        <v>13063</v>
      </c>
      <c r="D1612" t="s">
        <v>16468</v>
      </c>
      <c r="E1612" t="b">
        <v>0</v>
      </c>
      <c r="F1612" t="s">
        <v>11610</v>
      </c>
      <c r="L1612">
        <v>0</v>
      </c>
      <c r="M1612">
        <v>0</v>
      </c>
      <c r="N1612">
        <v>0</v>
      </c>
    </row>
    <row r="1613" spans="1:15">
      <c r="A1613" t="s">
        <v>16469</v>
      </c>
      <c r="B1613" t="s">
        <v>11637</v>
      </c>
      <c r="C1613" t="s">
        <v>15841</v>
      </c>
      <c r="D1613" t="s">
        <v>16470</v>
      </c>
      <c r="E1613" t="b">
        <v>0</v>
      </c>
      <c r="F1613" t="s">
        <v>11610</v>
      </c>
      <c r="L1613">
        <v>0</v>
      </c>
      <c r="M1613">
        <v>0</v>
      </c>
      <c r="N1613">
        <v>0</v>
      </c>
    </row>
    <row r="1614" spans="1:15">
      <c r="A1614" t="s">
        <v>16471</v>
      </c>
      <c r="B1614" t="s">
        <v>11644</v>
      </c>
      <c r="C1614" t="s">
        <v>16472</v>
      </c>
      <c r="D1614" t="s">
        <v>16473</v>
      </c>
      <c r="E1614" t="b">
        <v>0</v>
      </c>
      <c r="F1614" t="s">
        <v>11610</v>
      </c>
      <c r="L1614">
        <v>0</v>
      </c>
      <c r="M1614">
        <v>0</v>
      </c>
      <c r="N1614">
        <v>0</v>
      </c>
    </row>
    <row r="1615" spans="1:15">
      <c r="A1615" t="s">
        <v>16474</v>
      </c>
      <c r="B1615" t="s">
        <v>11729</v>
      </c>
      <c r="C1615" t="s">
        <v>16475</v>
      </c>
      <c r="D1615" t="s">
        <v>16476</v>
      </c>
      <c r="E1615" t="b">
        <v>0</v>
      </c>
      <c r="F1615" t="s">
        <v>11610</v>
      </c>
      <c r="L1615">
        <v>0</v>
      </c>
      <c r="M1615">
        <v>0</v>
      </c>
      <c r="N1615">
        <v>0</v>
      </c>
    </row>
    <row r="1616" spans="1:15">
      <c r="A1616" t="s">
        <v>16477</v>
      </c>
      <c r="B1616" t="s">
        <v>11729</v>
      </c>
      <c r="C1616" t="s">
        <v>16475</v>
      </c>
      <c r="D1616" t="s">
        <v>16478</v>
      </c>
      <c r="E1616" t="b">
        <v>0</v>
      </c>
      <c r="F1616" t="s">
        <v>11610</v>
      </c>
      <c r="L1616">
        <v>0</v>
      </c>
      <c r="M1616">
        <v>0</v>
      </c>
      <c r="N1616">
        <v>0</v>
      </c>
    </row>
    <row r="1617" spans="1:15">
      <c r="A1617" t="s">
        <v>16479</v>
      </c>
      <c r="B1617" t="s">
        <v>367</v>
      </c>
      <c r="C1617" t="s">
        <v>14685</v>
      </c>
      <c r="D1617" t="s">
        <v>16480</v>
      </c>
      <c r="E1617" t="b">
        <v>0</v>
      </c>
      <c r="F1617" t="s">
        <v>11610</v>
      </c>
      <c r="L1617">
        <v>0</v>
      </c>
      <c r="M1617">
        <v>0</v>
      </c>
      <c r="N1617">
        <v>0</v>
      </c>
    </row>
    <row r="1618" spans="1:15">
      <c r="A1618" t="s">
        <v>16481</v>
      </c>
      <c r="B1618" t="s">
        <v>367</v>
      </c>
      <c r="C1618" t="s">
        <v>16482</v>
      </c>
      <c r="D1618" t="s">
        <v>16483</v>
      </c>
      <c r="E1618" t="b">
        <v>0</v>
      </c>
      <c r="F1618" t="s">
        <v>11610</v>
      </c>
      <c r="L1618">
        <v>0</v>
      </c>
      <c r="M1618">
        <v>0</v>
      </c>
      <c r="N1618">
        <v>0</v>
      </c>
    </row>
    <row r="1619" spans="1:15">
      <c r="A1619" t="s">
        <v>16484</v>
      </c>
      <c r="B1619" t="s">
        <v>367</v>
      </c>
      <c r="C1619" t="s">
        <v>16485</v>
      </c>
      <c r="D1619" t="s">
        <v>16486</v>
      </c>
      <c r="E1619" t="b">
        <v>0</v>
      </c>
      <c r="F1619" t="s">
        <v>11624</v>
      </c>
      <c r="G1619">
        <v>17.564299999999999</v>
      </c>
      <c r="H1619">
        <v>121.05</v>
      </c>
      <c r="I1619" t="s">
        <v>16487</v>
      </c>
      <c r="L1619">
        <v>0</v>
      </c>
      <c r="M1619">
        <v>0</v>
      </c>
      <c r="N1619">
        <v>3</v>
      </c>
      <c r="O1619" t="s">
        <v>11749</v>
      </c>
    </row>
    <row r="1620" spans="1:15">
      <c r="A1620" t="s">
        <v>16488</v>
      </c>
      <c r="B1620" t="s">
        <v>367</v>
      </c>
      <c r="C1620" t="s">
        <v>16484</v>
      </c>
      <c r="D1620" t="s">
        <v>16489</v>
      </c>
      <c r="E1620" t="b">
        <v>0</v>
      </c>
      <c r="F1620" t="s">
        <v>11610</v>
      </c>
      <c r="L1620">
        <v>0</v>
      </c>
      <c r="M1620">
        <v>0</v>
      </c>
      <c r="N1620">
        <v>0</v>
      </c>
    </row>
    <row r="1621" spans="1:15">
      <c r="A1621" t="s">
        <v>16490</v>
      </c>
      <c r="B1621" t="s">
        <v>367</v>
      </c>
      <c r="C1621" t="s">
        <v>13463</v>
      </c>
      <c r="D1621" t="s">
        <v>16491</v>
      </c>
      <c r="E1621" t="b">
        <v>0</v>
      </c>
      <c r="F1621" t="s">
        <v>11610</v>
      </c>
      <c r="L1621">
        <v>0</v>
      </c>
      <c r="M1621">
        <v>0</v>
      </c>
      <c r="N1621">
        <v>0</v>
      </c>
    </row>
    <row r="1622" spans="1:15">
      <c r="A1622" t="s">
        <v>16492</v>
      </c>
      <c r="B1622" t="s">
        <v>367</v>
      </c>
      <c r="C1622" t="s">
        <v>16493</v>
      </c>
      <c r="D1622" t="s">
        <v>16494</v>
      </c>
      <c r="E1622" t="b">
        <v>0</v>
      </c>
      <c r="F1622" t="s">
        <v>11610</v>
      </c>
      <c r="L1622">
        <v>0</v>
      </c>
      <c r="M1622">
        <v>0</v>
      </c>
      <c r="N1622">
        <v>0</v>
      </c>
    </row>
    <row r="1623" spans="1:15">
      <c r="A1623" t="s">
        <v>16495</v>
      </c>
      <c r="B1623" t="s">
        <v>11871</v>
      </c>
      <c r="C1623" t="s">
        <v>12344</v>
      </c>
      <c r="D1623" t="s">
        <v>16496</v>
      </c>
      <c r="E1623" t="b">
        <v>0</v>
      </c>
      <c r="F1623" t="s">
        <v>11624</v>
      </c>
      <c r="G1623">
        <v>-4.5661500000000004</v>
      </c>
      <c r="H1623">
        <v>144.32900000000001</v>
      </c>
      <c r="I1623" t="s">
        <v>16497</v>
      </c>
      <c r="L1623">
        <v>0</v>
      </c>
      <c r="M1623">
        <v>0</v>
      </c>
      <c r="N1623">
        <v>0</v>
      </c>
      <c r="O1623" t="s">
        <v>11660</v>
      </c>
    </row>
    <row r="1624" spans="1:15">
      <c r="A1624" t="s">
        <v>16498</v>
      </c>
      <c r="B1624" t="s">
        <v>11607</v>
      </c>
      <c r="C1624" t="s">
        <v>16499</v>
      </c>
      <c r="D1624" t="s">
        <v>16500</v>
      </c>
      <c r="E1624" t="b">
        <v>0</v>
      </c>
      <c r="F1624" t="s">
        <v>11610</v>
      </c>
      <c r="L1624">
        <v>0</v>
      </c>
      <c r="M1624">
        <v>0</v>
      </c>
      <c r="N1624">
        <v>0</v>
      </c>
    </row>
    <row r="1625" spans="1:15">
      <c r="A1625" t="s">
        <v>16501</v>
      </c>
      <c r="B1625" t="s">
        <v>11607</v>
      </c>
      <c r="C1625" t="s">
        <v>16502</v>
      </c>
      <c r="D1625" t="s">
        <v>16503</v>
      </c>
      <c r="E1625" t="b">
        <v>0</v>
      </c>
      <c r="F1625" t="s">
        <v>11624</v>
      </c>
      <c r="G1625">
        <v>10.3535</v>
      </c>
      <c r="H1625">
        <v>13.613099999999999</v>
      </c>
      <c r="I1625" t="s">
        <v>16504</v>
      </c>
      <c r="L1625">
        <v>0</v>
      </c>
      <c r="M1625">
        <v>0</v>
      </c>
      <c r="N1625">
        <v>2</v>
      </c>
      <c r="O1625" t="s">
        <v>11703</v>
      </c>
    </row>
    <row r="1626" spans="1:15">
      <c r="A1626" t="s">
        <v>16505</v>
      </c>
      <c r="B1626" t="s">
        <v>11627</v>
      </c>
      <c r="C1626" t="s">
        <v>11627</v>
      </c>
      <c r="D1626" t="s">
        <v>16506</v>
      </c>
      <c r="E1626" t="b">
        <v>1</v>
      </c>
      <c r="F1626" t="s">
        <v>11624</v>
      </c>
      <c r="I1626" t="s">
        <v>16507</v>
      </c>
      <c r="L1626">
        <v>0</v>
      </c>
      <c r="M1626">
        <v>0</v>
      </c>
      <c r="N1626">
        <v>0</v>
      </c>
    </row>
    <row r="1627" spans="1:15">
      <c r="A1627" t="s">
        <v>16508</v>
      </c>
      <c r="B1627" t="s">
        <v>14398</v>
      </c>
      <c r="C1627" t="s">
        <v>16509</v>
      </c>
      <c r="D1627" t="s">
        <v>16510</v>
      </c>
      <c r="E1627" t="b">
        <v>0</v>
      </c>
      <c r="F1627" t="s">
        <v>11610</v>
      </c>
      <c r="L1627">
        <v>0</v>
      </c>
      <c r="M1627">
        <v>0</v>
      </c>
      <c r="N1627">
        <v>0</v>
      </c>
    </row>
    <row r="1628" spans="1:15">
      <c r="A1628" t="s">
        <v>16511</v>
      </c>
      <c r="B1628" t="s">
        <v>11637</v>
      </c>
      <c r="C1628" t="s">
        <v>16512</v>
      </c>
      <c r="D1628" t="s">
        <v>16513</v>
      </c>
      <c r="E1628" t="b">
        <v>0</v>
      </c>
      <c r="F1628" t="s">
        <v>11610</v>
      </c>
      <c r="L1628">
        <v>0</v>
      </c>
      <c r="M1628">
        <v>0</v>
      </c>
      <c r="N1628">
        <v>0</v>
      </c>
    </row>
    <row r="1629" spans="1:15">
      <c r="A1629" t="s">
        <v>16514</v>
      </c>
      <c r="B1629" t="s">
        <v>6742</v>
      </c>
      <c r="C1629" t="s">
        <v>16515</v>
      </c>
      <c r="D1629" t="s">
        <v>16516</v>
      </c>
      <c r="E1629" t="b">
        <v>0</v>
      </c>
      <c r="F1629" t="s">
        <v>11610</v>
      </c>
      <c r="L1629">
        <v>0</v>
      </c>
      <c r="M1629">
        <v>0</v>
      </c>
      <c r="N1629">
        <v>0</v>
      </c>
    </row>
    <row r="1630" spans="1:15">
      <c r="A1630" t="s">
        <v>16517</v>
      </c>
      <c r="B1630" t="s">
        <v>11844</v>
      </c>
      <c r="C1630" t="s">
        <v>1304</v>
      </c>
      <c r="D1630" t="s">
        <v>16518</v>
      </c>
      <c r="E1630" t="b">
        <v>0</v>
      </c>
      <c r="F1630" t="s">
        <v>11610</v>
      </c>
      <c r="L1630">
        <v>0</v>
      </c>
      <c r="M1630">
        <v>0</v>
      </c>
      <c r="N1630">
        <v>0</v>
      </c>
    </row>
    <row r="1631" spans="1:15">
      <c r="A1631" t="s">
        <v>16519</v>
      </c>
      <c r="B1631" t="s">
        <v>11637</v>
      </c>
      <c r="C1631" t="s">
        <v>14273</v>
      </c>
      <c r="D1631" t="s">
        <v>16520</v>
      </c>
      <c r="E1631" t="b">
        <v>0</v>
      </c>
      <c r="F1631" t="s">
        <v>11610</v>
      </c>
      <c r="L1631">
        <v>0</v>
      </c>
      <c r="M1631">
        <v>0</v>
      </c>
      <c r="N1631">
        <v>0</v>
      </c>
    </row>
    <row r="1632" spans="1:15">
      <c r="A1632" t="s">
        <v>16521</v>
      </c>
      <c r="B1632" t="s">
        <v>5126</v>
      </c>
      <c r="C1632" t="s">
        <v>16522</v>
      </c>
      <c r="D1632" t="s">
        <v>16523</v>
      </c>
      <c r="E1632" t="b">
        <v>0</v>
      </c>
      <c r="F1632" t="s">
        <v>11610</v>
      </c>
      <c r="L1632">
        <v>0</v>
      </c>
      <c r="M1632">
        <v>0</v>
      </c>
      <c r="N1632">
        <v>0</v>
      </c>
    </row>
    <row r="1633" spans="1:15">
      <c r="A1633" t="s">
        <v>16524</v>
      </c>
      <c r="B1633" t="s">
        <v>11627</v>
      </c>
      <c r="C1633" t="s">
        <v>11627</v>
      </c>
      <c r="D1633" t="s">
        <v>16525</v>
      </c>
      <c r="E1633" t="b">
        <v>1</v>
      </c>
      <c r="F1633" t="s">
        <v>11624</v>
      </c>
      <c r="G1633">
        <v>-30.077100000000002</v>
      </c>
      <c r="H1633">
        <v>143.28200000000001</v>
      </c>
      <c r="I1633" t="s">
        <v>16526</v>
      </c>
      <c r="L1633">
        <v>0</v>
      </c>
      <c r="M1633">
        <v>0</v>
      </c>
      <c r="N1633">
        <v>0</v>
      </c>
      <c r="O1633" t="s">
        <v>12107</v>
      </c>
    </row>
    <row r="1634" spans="1:15">
      <c r="A1634" t="s">
        <v>2606</v>
      </c>
      <c r="B1634" t="s">
        <v>10597</v>
      </c>
      <c r="C1634" t="s">
        <v>16527</v>
      </c>
      <c r="D1634" t="s">
        <v>16528</v>
      </c>
      <c r="E1634" t="b">
        <v>0</v>
      </c>
      <c r="F1634" t="s">
        <v>11622</v>
      </c>
      <c r="G1634">
        <v>-28.345800000000001</v>
      </c>
      <c r="H1634">
        <v>152.85900000000001</v>
      </c>
      <c r="L1634">
        <v>2</v>
      </c>
      <c r="M1634">
        <v>4</v>
      </c>
      <c r="N1634">
        <v>15</v>
      </c>
      <c r="O1634" t="s">
        <v>12107</v>
      </c>
    </row>
    <row r="1635" spans="1:15">
      <c r="A1635" t="s">
        <v>12194</v>
      </c>
      <c r="B1635" t="s">
        <v>6742</v>
      </c>
      <c r="C1635" t="s">
        <v>16529</v>
      </c>
      <c r="D1635" t="s">
        <v>16530</v>
      </c>
      <c r="E1635" t="b">
        <v>0</v>
      </c>
      <c r="F1635" t="s">
        <v>11624</v>
      </c>
      <c r="G1635">
        <v>12.5258</v>
      </c>
      <c r="H1635">
        <v>-16.424499999999998</v>
      </c>
      <c r="I1635" t="s">
        <v>16531</v>
      </c>
      <c r="L1635">
        <v>0</v>
      </c>
      <c r="M1635">
        <v>0</v>
      </c>
      <c r="N1635">
        <v>3</v>
      </c>
      <c r="O1635" t="s">
        <v>16532</v>
      </c>
    </row>
    <row r="1636" spans="1:15">
      <c r="A1636" t="s">
        <v>16533</v>
      </c>
      <c r="B1636" t="s">
        <v>6742</v>
      </c>
      <c r="C1636" t="s">
        <v>16534</v>
      </c>
      <c r="D1636" t="s">
        <v>16535</v>
      </c>
      <c r="E1636" t="b">
        <v>0</v>
      </c>
      <c r="F1636" t="s">
        <v>11622</v>
      </c>
      <c r="L1636">
        <v>4</v>
      </c>
      <c r="M1636">
        <v>16</v>
      </c>
      <c r="N1636">
        <v>50</v>
      </c>
    </row>
    <row r="1637" spans="1:15">
      <c r="A1637" t="s">
        <v>16536</v>
      </c>
      <c r="B1637" t="s">
        <v>6742</v>
      </c>
      <c r="C1637" t="s">
        <v>16537</v>
      </c>
      <c r="D1637" t="s">
        <v>16538</v>
      </c>
      <c r="E1637" t="b">
        <v>0</v>
      </c>
      <c r="F1637" t="s">
        <v>11624</v>
      </c>
      <c r="G1637">
        <v>7.3292400000000004</v>
      </c>
      <c r="H1637">
        <v>23.0108</v>
      </c>
      <c r="I1637" t="s">
        <v>16539</v>
      </c>
      <c r="L1637">
        <v>0</v>
      </c>
      <c r="M1637">
        <v>0</v>
      </c>
      <c r="N1637">
        <v>5</v>
      </c>
      <c r="O1637" t="s">
        <v>16540</v>
      </c>
    </row>
    <row r="1638" spans="1:15">
      <c r="A1638" t="s">
        <v>16541</v>
      </c>
      <c r="B1638" t="s">
        <v>6742</v>
      </c>
      <c r="C1638" t="s">
        <v>16537</v>
      </c>
      <c r="D1638" t="s">
        <v>16542</v>
      </c>
      <c r="E1638" t="b">
        <v>0</v>
      </c>
      <c r="F1638" t="s">
        <v>11624</v>
      </c>
      <c r="G1638">
        <v>6.63889</v>
      </c>
      <c r="H1638">
        <v>22.756799999999998</v>
      </c>
      <c r="I1638" t="s">
        <v>16543</v>
      </c>
      <c r="L1638">
        <v>0</v>
      </c>
      <c r="M1638">
        <v>0</v>
      </c>
      <c r="N1638">
        <v>14</v>
      </c>
      <c r="O1638" t="s">
        <v>16544</v>
      </c>
    </row>
    <row r="1639" spans="1:15">
      <c r="A1639" t="s">
        <v>16545</v>
      </c>
      <c r="B1639" t="s">
        <v>6742</v>
      </c>
      <c r="C1639" t="s">
        <v>16537</v>
      </c>
      <c r="D1639" t="s">
        <v>16546</v>
      </c>
      <c r="E1639" t="b">
        <v>0</v>
      </c>
      <c r="F1639" t="s">
        <v>11624</v>
      </c>
      <c r="G1639">
        <v>6.21563</v>
      </c>
      <c r="H1639">
        <v>20.982700000000001</v>
      </c>
      <c r="I1639" t="s">
        <v>16547</v>
      </c>
      <c r="L1639">
        <v>0</v>
      </c>
      <c r="M1639">
        <v>0</v>
      </c>
      <c r="N1639">
        <v>5</v>
      </c>
      <c r="O1639" t="s">
        <v>16548</v>
      </c>
    </row>
    <row r="1640" spans="1:15">
      <c r="A1640" t="s">
        <v>16549</v>
      </c>
      <c r="B1640" t="s">
        <v>6742</v>
      </c>
      <c r="C1640" t="s">
        <v>16537</v>
      </c>
      <c r="D1640" t="s">
        <v>16550</v>
      </c>
      <c r="E1640" t="b">
        <v>0</v>
      </c>
      <c r="F1640" t="s">
        <v>11624</v>
      </c>
      <c r="G1640">
        <v>8.0333900000000007</v>
      </c>
      <c r="H1640">
        <v>23.902100000000001</v>
      </c>
      <c r="I1640" t="s">
        <v>16551</v>
      </c>
      <c r="L1640">
        <v>0</v>
      </c>
      <c r="M1640">
        <v>0</v>
      </c>
      <c r="N1640">
        <v>6</v>
      </c>
      <c r="O1640" t="s">
        <v>16540</v>
      </c>
    </row>
    <row r="1641" spans="1:15">
      <c r="A1641" t="s">
        <v>16552</v>
      </c>
      <c r="B1641" t="s">
        <v>6742</v>
      </c>
      <c r="C1641" t="s">
        <v>16549</v>
      </c>
      <c r="D1641" t="s">
        <v>16553</v>
      </c>
      <c r="E1641" t="b">
        <v>0</v>
      </c>
      <c r="F1641" t="s">
        <v>11610</v>
      </c>
      <c r="L1641">
        <v>0</v>
      </c>
      <c r="M1641">
        <v>0</v>
      </c>
      <c r="N1641">
        <v>0</v>
      </c>
    </row>
    <row r="1642" spans="1:15">
      <c r="A1642" t="s">
        <v>16554</v>
      </c>
      <c r="B1642" t="s">
        <v>6742</v>
      </c>
      <c r="C1642" t="s">
        <v>16549</v>
      </c>
      <c r="D1642" t="s">
        <v>16555</v>
      </c>
      <c r="E1642" t="b">
        <v>0</v>
      </c>
      <c r="F1642" t="s">
        <v>11610</v>
      </c>
      <c r="L1642">
        <v>0</v>
      </c>
      <c r="M1642">
        <v>0</v>
      </c>
      <c r="N1642">
        <v>0</v>
      </c>
    </row>
    <row r="1643" spans="1:15">
      <c r="A1643" t="s">
        <v>16556</v>
      </c>
      <c r="B1643" t="s">
        <v>6742</v>
      </c>
      <c r="C1643" t="s">
        <v>16557</v>
      </c>
      <c r="D1643" t="s">
        <v>16558</v>
      </c>
      <c r="E1643" t="b">
        <v>0</v>
      </c>
      <c r="F1643" t="s">
        <v>11624</v>
      </c>
      <c r="G1643">
        <v>3.95763</v>
      </c>
      <c r="H1643">
        <v>16.590699999999998</v>
      </c>
      <c r="I1643" t="s">
        <v>16559</v>
      </c>
      <c r="L1643">
        <v>0</v>
      </c>
      <c r="M1643">
        <v>0</v>
      </c>
      <c r="N1643">
        <v>0</v>
      </c>
      <c r="O1643" t="s">
        <v>16548</v>
      </c>
    </row>
    <row r="1644" spans="1:15">
      <c r="A1644" t="s">
        <v>16560</v>
      </c>
      <c r="B1644" t="s">
        <v>6742</v>
      </c>
      <c r="C1644" t="s">
        <v>16561</v>
      </c>
      <c r="D1644" t="s">
        <v>16562</v>
      </c>
      <c r="E1644" t="b">
        <v>0</v>
      </c>
      <c r="F1644" t="s">
        <v>11610</v>
      </c>
      <c r="L1644">
        <v>0</v>
      </c>
      <c r="M1644">
        <v>0</v>
      </c>
      <c r="N1644">
        <v>0</v>
      </c>
    </row>
    <row r="1645" spans="1:15">
      <c r="A1645" t="s">
        <v>16563</v>
      </c>
      <c r="B1645" t="s">
        <v>16564</v>
      </c>
      <c r="C1645" t="s">
        <v>16564</v>
      </c>
      <c r="D1645" t="s">
        <v>16565</v>
      </c>
      <c r="E1645" t="b">
        <v>0</v>
      </c>
      <c r="F1645" t="s">
        <v>11610</v>
      </c>
      <c r="L1645">
        <v>0</v>
      </c>
      <c r="M1645">
        <v>0</v>
      </c>
      <c r="N1645">
        <v>0</v>
      </c>
    </row>
    <row r="1646" spans="1:15">
      <c r="A1646" t="s">
        <v>16566</v>
      </c>
      <c r="B1646" t="s">
        <v>13276</v>
      </c>
      <c r="C1646" t="s">
        <v>16567</v>
      </c>
      <c r="D1646" t="s">
        <v>16568</v>
      </c>
      <c r="E1646" t="b">
        <v>0</v>
      </c>
      <c r="F1646" t="s">
        <v>11622</v>
      </c>
      <c r="L1646">
        <v>0</v>
      </c>
      <c r="M1646">
        <v>2</v>
      </c>
      <c r="N1646">
        <v>6</v>
      </c>
    </row>
    <row r="1647" spans="1:15">
      <c r="A1647" t="s">
        <v>16569</v>
      </c>
      <c r="B1647" t="s">
        <v>13276</v>
      </c>
      <c r="C1647" t="s">
        <v>16566</v>
      </c>
      <c r="D1647" t="s">
        <v>16570</v>
      </c>
      <c r="E1647" t="b">
        <v>0</v>
      </c>
      <c r="F1647" t="s">
        <v>11624</v>
      </c>
      <c r="G1647">
        <v>7.7372899999999998</v>
      </c>
      <c r="H1647">
        <v>-10.1684</v>
      </c>
      <c r="I1647" t="s">
        <v>16571</v>
      </c>
      <c r="L1647">
        <v>0</v>
      </c>
      <c r="M1647">
        <v>0</v>
      </c>
      <c r="N1647">
        <v>6</v>
      </c>
      <c r="O1647" t="s">
        <v>16572</v>
      </c>
    </row>
    <row r="1648" spans="1:15">
      <c r="A1648" t="s">
        <v>16573</v>
      </c>
      <c r="B1648" t="s">
        <v>367</v>
      </c>
      <c r="C1648" t="s">
        <v>13386</v>
      </c>
      <c r="D1648" t="s">
        <v>16574</v>
      </c>
      <c r="E1648" t="b">
        <v>0</v>
      </c>
      <c r="F1648" t="s">
        <v>11624</v>
      </c>
      <c r="G1648">
        <v>-4.55565</v>
      </c>
      <c r="H1648">
        <v>129.905</v>
      </c>
      <c r="I1648" t="s">
        <v>16575</v>
      </c>
      <c r="L1648">
        <v>0</v>
      </c>
      <c r="M1648">
        <v>0</v>
      </c>
      <c r="N1648">
        <v>0</v>
      </c>
      <c r="O1648" t="s">
        <v>11768</v>
      </c>
    </row>
    <row r="1649" spans="1:15">
      <c r="A1649" t="s">
        <v>16576</v>
      </c>
      <c r="B1649" t="s">
        <v>367</v>
      </c>
      <c r="C1649" t="s">
        <v>16577</v>
      </c>
      <c r="D1649" t="s">
        <v>16578</v>
      </c>
      <c r="E1649" t="b">
        <v>0</v>
      </c>
      <c r="F1649" t="s">
        <v>11622</v>
      </c>
      <c r="L1649">
        <v>2</v>
      </c>
      <c r="M1649">
        <v>4</v>
      </c>
      <c r="N1649">
        <v>7</v>
      </c>
    </row>
    <row r="1650" spans="1:15">
      <c r="A1650" t="s">
        <v>16579</v>
      </c>
      <c r="B1650" t="s">
        <v>367</v>
      </c>
      <c r="C1650" t="s">
        <v>16576</v>
      </c>
      <c r="D1650" t="s">
        <v>16580</v>
      </c>
      <c r="E1650" t="b">
        <v>0</v>
      </c>
      <c r="F1650" t="s">
        <v>11624</v>
      </c>
      <c r="G1650">
        <v>-5.4213800000000001</v>
      </c>
      <c r="H1650">
        <v>133.142</v>
      </c>
      <c r="I1650" t="s">
        <v>16581</v>
      </c>
      <c r="L1650">
        <v>0</v>
      </c>
      <c r="M1650">
        <v>0</v>
      </c>
      <c r="N1650">
        <v>2</v>
      </c>
      <c r="O1650" t="s">
        <v>11768</v>
      </c>
    </row>
    <row r="1651" spans="1:15">
      <c r="A1651" t="s">
        <v>16582</v>
      </c>
      <c r="B1651" t="s">
        <v>367</v>
      </c>
      <c r="C1651" t="s">
        <v>11928</v>
      </c>
      <c r="D1651" t="s">
        <v>16583</v>
      </c>
      <c r="E1651" t="b">
        <v>0</v>
      </c>
      <c r="F1651" t="s">
        <v>11610</v>
      </c>
      <c r="L1651">
        <v>0</v>
      </c>
      <c r="M1651">
        <v>0</v>
      </c>
      <c r="N1651">
        <v>0</v>
      </c>
    </row>
    <row r="1652" spans="1:15">
      <c r="A1652" t="s">
        <v>16527</v>
      </c>
      <c r="B1652" t="s">
        <v>10597</v>
      </c>
      <c r="C1652" t="s">
        <v>16584</v>
      </c>
      <c r="D1652" t="s">
        <v>16585</v>
      </c>
      <c r="E1652" t="b">
        <v>0</v>
      </c>
      <c r="F1652" t="s">
        <v>11622</v>
      </c>
      <c r="L1652">
        <v>3</v>
      </c>
      <c r="M1652">
        <v>6</v>
      </c>
      <c r="N1652">
        <v>15</v>
      </c>
    </row>
    <row r="1653" spans="1:15">
      <c r="A1653" t="s">
        <v>16586</v>
      </c>
      <c r="B1653" t="s">
        <v>10597</v>
      </c>
      <c r="C1653" t="s">
        <v>16587</v>
      </c>
      <c r="D1653" t="s">
        <v>16588</v>
      </c>
      <c r="E1653" t="b">
        <v>0</v>
      </c>
      <c r="F1653" t="s">
        <v>11610</v>
      </c>
      <c r="L1653">
        <v>0</v>
      </c>
      <c r="M1653">
        <v>0</v>
      </c>
      <c r="N1653">
        <v>0</v>
      </c>
    </row>
    <row r="1654" spans="1:15">
      <c r="A1654" t="s">
        <v>16589</v>
      </c>
      <c r="B1654" t="s">
        <v>11644</v>
      </c>
      <c r="C1654" t="s">
        <v>15930</v>
      </c>
      <c r="D1654" t="s">
        <v>16590</v>
      </c>
      <c r="E1654" t="b">
        <v>0</v>
      </c>
      <c r="F1654" t="s">
        <v>11610</v>
      </c>
      <c r="L1654">
        <v>0</v>
      </c>
      <c r="M1654">
        <v>0</v>
      </c>
      <c r="N1654">
        <v>0</v>
      </c>
    </row>
    <row r="1655" spans="1:15">
      <c r="A1655" t="s">
        <v>16591</v>
      </c>
      <c r="B1655" t="s">
        <v>6742</v>
      </c>
      <c r="C1655" t="s">
        <v>15636</v>
      </c>
      <c r="D1655" t="s">
        <v>16592</v>
      </c>
      <c r="E1655" t="b">
        <v>0</v>
      </c>
      <c r="F1655" t="s">
        <v>11610</v>
      </c>
      <c r="L1655">
        <v>0</v>
      </c>
      <c r="M1655">
        <v>0</v>
      </c>
      <c r="N1655">
        <v>0</v>
      </c>
    </row>
    <row r="1656" spans="1:15">
      <c r="A1656" t="s">
        <v>16593</v>
      </c>
      <c r="B1656" t="s">
        <v>6742</v>
      </c>
      <c r="C1656" t="s">
        <v>15734</v>
      </c>
      <c r="D1656" t="s">
        <v>16594</v>
      </c>
      <c r="E1656" t="b">
        <v>0</v>
      </c>
      <c r="F1656" t="s">
        <v>11610</v>
      </c>
      <c r="L1656">
        <v>0</v>
      </c>
      <c r="M1656">
        <v>0</v>
      </c>
      <c r="N1656">
        <v>0</v>
      </c>
    </row>
    <row r="1657" spans="1:15">
      <c r="A1657" t="s">
        <v>16595</v>
      </c>
      <c r="B1657" t="s">
        <v>6742</v>
      </c>
      <c r="C1657" t="s">
        <v>16596</v>
      </c>
      <c r="D1657" t="s">
        <v>16597</v>
      </c>
      <c r="E1657" t="b">
        <v>0</v>
      </c>
      <c r="F1657" t="s">
        <v>11610</v>
      </c>
      <c r="L1657">
        <v>0</v>
      </c>
      <c r="M1657">
        <v>0</v>
      </c>
      <c r="N1657">
        <v>0</v>
      </c>
    </row>
    <row r="1658" spans="1:15">
      <c r="A1658" t="s">
        <v>16598</v>
      </c>
      <c r="B1658" t="s">
        <v>11637</v>
      </c>
      <c r="C1658" t="s">
        <v>15714</v>
      </c>
      <c r="D1658" t="s">
        <v>16599</v>
      </c>
      <c r="E1658" t="b">
        <v>0</v>
      </c>
      <c r="F1658" t="s">
        <v>11610</v>
      </c>
      <c r="L1658">
        <v>0</v>
      </c>
      <c r="M1658">
        <v>0</v>
      </c>
      <c r="N1658">
        <v>0</v>
      </c>
    </row>
    <row r="1659" spans="1:15">
      <c r="A1659" t="s">
        <v>16600</v>
      </c>
      <c r="B1659" t="s">
        <v>11637</v>
      </c>
      <c r="C1659" t="s">
        <v>15828</v>
      </c>
      <c r="D1659" t="s">
        <v>16601</v>
      </c>
      <c r="E1659" t="b">
        <v>0</v>
      </c>
      <c r="F1659" t="s">
        <v>11610</v>
      </c>
      <c r="L1659">
        <v>0</v>
      </c>
      <c r="M1659">
        <v>0</v>
      </c>
      <c r="N1659">
        <v>0</v>
      </c>
    </row>
    <row r="1660" spans="1:15">
      <c r="A1660" t="s">
        <v>16602</v>
      </c>
      <c r="B1660" t="s">
        <v>11644</v>
      </c>
      <c r="C1660" t="s">
        <v>16603</v>
      </c>
      <c r="D1660" t="s">
        <v>16604</v>
      </c>
      <c r="E1660" t="b">
        <v>0</v>
      </c>
      <c r="F1660" t="s">
        <v>11610</v>
      </c>
      <c r="L1660">
        <v>0</v>
      </c>
      <c r="M1660">
        <v>0</v>
      </c>
      <c r="N1660">
        <v>0</v>
      </c>
    </row>
    <row r="1661" spans="1:15">
      <c r="A1661" t="s">
        <v>16605</v>
      </c>
      <c r="B1661" t="s">
        <v>11644</v>
      </c>
      <c r="C1661" t="s">
        <v>16606</v>
      </c>
      <c r="D1661" t="s">
        <v>16607</v>
      </c>
      <c r="E1661" t="b">
        <v>0</v>
      </c>
      <c r="F1661" t="s">
        <v>11610</v>
      </c>
      <c r="L1661">
        <v>0</v>
      </c>
      <c r="M1661">
        <v>0</v>
      </c>
      <c r="N1661">
        <v>0</v>
      </c>
    </row>
    <row r="1662" spans="1:15">
      <c r="A1662" t="s">
        <v>16608</v>
      </c>
      <c r="B1662" t="s">
        <v>10597</v>
      </c>
      <c r="C1662" t="s">
        <v>12104</v>
      </c>
      <c r="D1662" t="s">
        <v>16609</v>
      </c>
      <c r="E1662" t="b">
        <v>0</v>
      </c>
      <c r="F1662" t="s">
        <v>11624</v>
      </c>
      <c r="G1662">
        <v>-33.303600000000003</v>
      </c>
      <c r="H1662">
        <v>136.07900000000001</v>
      </c>
      <c r="I1662" t="s">
        <v>16610</v>
      </c>
      <c r="L1662">
        <v>0</v>
      </c>
      <c r="M1662">
        <v>0</v>
      </c>
      <c r="N1662">
        <v>0</v>
      </c>
      <c r="O1662" t="s">
        <v>12107</v>
      </c>
    </row>
    <row r="1663" spans="1:15">
      <c r="A1663" t="s">
        <v>16611</v>
      </c>
      <c r="B1663" t="s">
        <v>6742</v>
      </c>
      <c r="C1663" t="s">
        <v>16612</v>
      </c>
      <c r="D1663" t="s">
        <v>16613</v>
      </c>
      <c r="E1663" t="b">
        <v>0</v>
      </c>
      <c r="F1663" t="s">
        <v>11610</v>
      </c>
      <c r="L1663">
        <v>0</v>
      </c>
      <c r="M1663">
        <v>0</v>
      </c>
      <c r="N1663">
        <v>0</v>
      </c>
    </row>
    <row r="1664" spans="1:15">
      <c r="A1664" t="s">
        <v>16614</v>
      </c>
      <c r="B1664" t="s">
        <v>6742</v>
      </c>
      <c r="C1664" t="s">
        <v>16615</v>
      </c>
      <c r="D1664" t="s">
        <v>16616</v>
      </c>
      <c r="E1664" t="b">
        <v>0</v>
      </c>
      <c r="F1664" t="s">
        <v>11610</v>
      </c>
      <c r="L1664">
        <v>0</v>
      </c>
      <c r="M1664">
        <v>0</v>
      </c>
      <c r="N1664">
        <v>0</v>
      </c>
    </row>
    <row r="1665" spans="1:15">
      <c r="A1665" t="s">
        <v>16617</v>
      </c>
      <c r="B1665" t="s">
        <v>6742</v>
      </c>
      <c r="C1665" t="s">
        <v>16618</v>
      </c>
      <c r="D1665" t="s">
        <v>16619</v>
      </c>
      <c r="E1665" t="b">
        <v>0</v>
      </c>
      <c r="F1665" t="s">
        <v>11610</v>
      </c>
      <c r="L1665">
        <v>0</v>
      </c>
      <c r="M1665">
        <v>0</v>
      </c>
      <c r="N1665">
        <v>0</v>
      </c>
    </row>
    <row r="1666" spans="1:15">
      <c r="A1666" t="s">
        <v>16620</v>
      </c>
      <c r="B1666" t="s">
        <v>6742</v>
      </c>
      <c r="C1666" t="s">
        <v>2522</v>
      </c>
      <c r="D1666" t="s">
        <v>16621</v>
      </c>
      <c r="E1666" t="b">
        <v>0</v>
      </c>
      <c r="F1666" t="s">
        <v>11610</v>
      </c>
      <c r="L1666">
        <v>0</v>
      </c>
      <c r="M1666">
        <v>0</v>
      </c>
      <c r="N1666">
        <v>0</v>
      </c>
    </row>
    <row r="1667" spans="1:15">
      <c r="A1667" t="s">
        <v>16622</v>
      </c>
      <c r="B1667" t="s">
        <v>6742</v>
      </c>
      <c r="C1667" t="s">
        <v>2522</v>
      </c>
      <c r="D1667" t="s">
        <v>16623</v>
      </c>
      <c r="E1667" t="b">
        <v>0</v>
      </c>
      <c r="F1667" t="s">
        <v>11610</v>
      </c>
      <c r="L1667">
        <v>0</v>
      </c>
      <c r="M1667">
        <v>0</v>
      </c>
      <c r="N1667">
        <v>0</v>
      </c>
    </row>
    <row r="1668" spans="1:15">
      <c r="A1668" t="s">
        <v>16624</v>
      </c>
      <c r="B1668" t="s">
        <v>6742</v>
      </c>
      <c r="C1668" t="s">
        <v>16625</v>
      </c>
      <c r="D1668" t="s">
        <v>16626</v>
      </c>
      <c r="E1668" t="b">
        <v>0</v>
      </c>
      <c r="F1668" t="s">
        <v>11624</v>
      </c>
      <c r="G1668">
        <v>3.3995600000000001</v>
      </c>
      <c r="H1668">
        <v>28.313800000000001</v>
      </c>
      <c r="I1668" t="s">
        <v>16627</v>
      </c>
      <c r="L1668">
        <v>0</v>
      </c>
      <c r="M1668">
        <v>0</v>
      </c>
      <c r="N1668">
        <v>2</v>
      </c>
      <c r="O1668" t="s">
        <v>14825</v>
      </c>
    </row>
    <row r="1669" spans="1:15">
      <c r="A1669" t="s">
        <v>16628</v>
      </c>
      <c r="B1669" t="s">
        <v>6742</v>
      </c>
      <c r="C1669" t="s">
        <v>7100</v>
      </c>
      <c r="D1669" t="s">
        <v>16629</v>
      </c>
      <c r="E1669" t="b">
        <v>0</v>
      </c>
      <c r="F1669" t="s">
        <v>11610</v>
      </c>
      <c r="L1669">
        <v>0</v>
      </c>
      <c r="M1669">
        <v>0</v>
      </c>
      <c r="N1669">
        <v>0</v>
      </c>
    </row>
    <row r="1670" spans="1:15">
      <c r="A1670" t="s">
        <v>15566</v>
      </c>
      <c r="B1670" t="s">
        <v>6742</v>
      </c>
      <c r="C1670" t="s">
        <v>16630</v>
      </c>
      <c r="D1670" t="s">
        <v>16631</v>
      </c>
      <c r="E1670" t="b">
        <v>0</v>
      </c>
      <c r="F1670" t="s">
        <v>11624</v>
      </c>
      <c r="G1670">
        <v>2.18716</v>
      </c>
      <c r="H1670">
        <v>14.7506</v>
      </c>
      <c r="I1670" t="s">
        <v>16632</v>
      </c>
      <c r="L1670">
        <v>0</v>
      </c>
      <c r="M1670">
        <v>0</v>
      </c>
      <c r="N1670">
        <v>2</v>
      </c>
      <c r="O1670" t="s">
        <v>16633</v>
      </c>
    </row>
    <row r="1671" spans="1:15">
      <c r="A1671" t="s">
        <v>16634</v>
      </c>
      <c r="B1671" t="s">
        <v>6742</v>
      </c>
      <c r="C1671" t="s">
        <v>16635</v>
      </c>
      <c r="D1671" t="s">
        <v>16636</v>
      </c>
      <c r="E1671" t="b">
        <v>0</v>
      </c>
      <c r="F1671" t="s">
        <v>11624</v>
      </c>
      <c r="G1671">
        <v>9.5715699999999995</v>
      </c>
      <c r="H1671">
        <v>11.202199999999999</v>
      </c>
      <c r="I1671" t="s">
        <v>16637</v>
      </c>
      <c r="L1671">
        <v>0</v>
      </c>
      <c r="M1671">
        <v>0</v>
      </c>
      <c r="N1671">
        <v>2</v>
      </c>
      <c r="O1671" t="s">
        <v>11693</v>
      </c>
    </row>
    <row r="1672" spans="1:15">
      <c r="A1672" t="s">
        <v>16638</v>
      </c>
      <c r="B1672" t="s">
        <v>6742</v>
      </c>
      <c r="C1672" t="s">
        <v>16639</v>
      </c>
      <c r="D1672" t="s">
        <v>16640</v>
      </c>
      <c r="E1672" t="b">
        <v>0</v>
      </c>
      <c r="F1672" t="s">
        <v>11610</v>
      </c>
      <c r="L1672">
        <v>0</v>
      </c>
      <c r="M1672">
        <v>0</v>
      </c>
      <c r="N1672">
        <v>0</v>
      </c>
    </row>
    <row r="1673" spans="1:15">
      <c r="A1673" t="s">
        <v>16641</v>
      </c>
      <c r="B1673" t="s">
        <v>6742</v>
      </c>
      <c r="C1673" t="s">
        <v>16642</v>
      </c>
      <c r="D1673" t="s">
        <v>16643</v>
      </c>
      <c r="E1673" t="b">
        <v>0</v>
      </c>
      <c r="F1673" t="s">
        <v>11624</v>
      </c>
      <c r="G1673">
        <v>-4.3146399999999998</v>
      </c>
      <c r="H1673">
        <v>27.2438</v>
      </c>
      <c r="I1673" t="s">
        <v>16644</v>
      </c>
      <c r="L1673">
        <v>0</v>
      </c>
      <c r="M1673">
        <v>0</v>
      </c>
      <c r="N1673">
        <v>6</v>
      </c>
      <c r="O1673" t="s">
        <v>14825</v>
      </c>
    </row>
    <row r="1674" spans="1:15">
      <c r="A1674" t="s">
        <v>16645</v>
      </c>
      <c r="B1674" t="s">
        <v>6742</v>
      </c>
      <c r="C1674" t="s">
        <v>16646</v>
      </c>
      <c r="D1674" t="s">
        <v>16647</v>
      </c>
      <c r="E1674" t="b">
        <v>0</v>
      </c>
      <c r="F1674" t="s">
        <v>11610</v>
      </c>
      <c r="L1674">
        <v>0</v>
      </c>
      <c r="M1674">
        <v>0</v>
      </c>
      <c r="N1674">
        <v>0</v>
      </c>
    </row>
    <row r="1675" spans="1:15">
      <c r="A1675" t="s">
        <v>16648</v>
      </c>
      <c r="B1675" t="s">
        <v>6742</v>
      </c>
      <c r="C1675" t="s">
        <v>16649</v>
      </c>
      <c r="D1675" t="s">
        <v>16650</v>
      </c>
      <c r="E1675" t="b">
        <v>0</v>
      </c>
      <c r="F1675" t="s">
        <v>11624</v>
      </c>
      <c r="G1675">
        <v>3.3466</v>
      </c>
      <c r="H1675">
        <v>28.044530000000002</v>
      </c>
      <c r="I1675" t="s">
        <v>16651</v>
      </c>
      <c r="L1675">
        <v>0</v>
      </c>
      <c r="M1675">
        <v>0</v>
      </c>
      <c r="N1675">
        <v>0</v>
      </c>
      <c r="O1675" t="s">
        <v>14825</v>
      </c>
    </row>
    <row r="1676" spans="1:15">
      <c r="A1676" t="s">
        <v>16652</v>
      </c>
      <c r="B1676" t="s">
        <v>6742</v>
      </c>
      <c r="C1676" t="s">
        <v>16653</v>
      </c>
      <c r="D1676" t="s">
        <v>16654</v>
      </c>
      <c r="E1676" t="b">
        <v>0</v>
      </c>
      <c r="F1676" t="s">
        <v>11624</v>
      </c>
      <c r="G1676">
        <v>-0.87436999999999998</v>
      </c>
      <c r="H1676">
        <v>17.227</v>
      </c>
      <c r="I1676" t="s">
        <v>16655</v>
      </c>
      <c r="L1676">
        <v>0</v>
      </c>
      <c r="M1676">
        <v>0</v>
      </c>
      <c r="N1676">
        <v>0</v>
      </c>
      <c r="O1676" t="s">
        <v>16656</v>
      </c>
    </row>
    <row r="1677" spans="1:15">
      <c r="A1677" t="s">
        <v>16657</v>
      </c>
      <c r="B1677" t="s">
        <v>6742</v>
      </c>
      <c r="C1677" t="s">
        <v>16658</v>
      </c>
      <c r="D1677" t="s">
        <v>16659</v>
      </c>
      <c r="E1677" t="b">
        <v>0</v>
      </c>
      <c r="F1677" t="s">
        <v>11610</v>
      </c>
      <c r="L1677">
        <v>0</v>
      </c>
      <c r="M1677">
        <v>0</v>
      </c>
      <c r="N1677">
        <v>0</v>
      </c>
    </row>
    <row r="1678" spans="1:15">
      <c r="A1678" t="s">
        <v>16660</v>
      </c>
      <c r="B1678" t="s">
        <v>6742</v>
      </c>
      <c r="C1678" t="s">
        <v>15766</v>
      </c>
      <c r="D1678" t="s">
        <v>16661</v>
      </c>
      <c r="E1678" t="b">
        <v>0</v>
      </c>
      <c r="F1678" t="s">
        <v>11624</v>
      </c>
      <c r="G1678">
        <v>6.0125000000000002</v>
      </c>
      <c r="H1678">
        <v>10.667</v>
      </c>
      <c r="I1678" t="s">
        <v>16662</v>
      </c>
      <c r="L1678">
        <v>0</v>
      </c>
      <c r="M1678">
        <v>0</v>
      </c>
      <c r="N1678">
        <v>0</v>
      </c>
      <c r="O1678" t="s">
        <v>11703</v>
      </c>
    </row>
    <row r="1679" spans="1:15">
      <c r="A1679" t="s">
        <v>16663</v>
      </c>
      <c r="B1679" t="s">
        <v>6742</v>
      </c>
      <c r="C1679" t="s">
        <v>16664</v>
      </c>
      <c r="D1679" t="s">
        <v>16665</v>
      </c>
      <c r="E1679" t="b">
        <v>0</v>
      </c>
      <c r="F1679" t="s">
        <v>11610</v>
      </c>
      <c r="L1679">
        <v>0</v>
      </c>
      <c r="M1679">
        <v>0</v>
      </c>
      <c r="N1679">
        <v>0</v>
      </c>
    </row>
    <row r="1680" spans="1:15">
      <c r="A1680" t="s">
        <v>16666</v>
      </c>
      <c r="B1680" t="s">
        <v>6742</v>
      </c>
      <c r="C1680" t="s">
        <v>16450</v>
      </c>
      <c r="D1680" t="s">
        <v>16667</v>
      </c>
      <c r="E1680" t="b">
        <v>0</v>
      </c>
      <c r="F1680" t="s">
        <v>11610</v>
      </c>
      <c r="L1680">
        <v>0</v>
      </c>
      <c r="M1680">
        <v>0</v>
      </c>
      <c r="N1680">
        <v>0</v>
      </c>
    </row>
    <row r="1681" spans="1:15">
      <c r="A1681" t="s">
        <v>16668</v>
      </c>
      <c r="B1681" t="s">
        <v>11729</v>
      </c>
      <c r="C1681" t="s">
        <v>16669</v>
      </c>
      <c r="D1681" t="s">
        <v>16670</v>
      </c>
      <c r="E1681" t="b">
        <v>0</v>
      </c>
      <c r="F1681" t="s">
        <v>11610</v>
      </c>
      <c r="L1681">
        <v>0</v>
      </c>
      <c r="M1681">
        <v>0</v>
      </c>
      <c r="N1681">
        <v>0</v>
      </c>
    </row>
    <row r="1682" spans="1:15">
      <c r="A1682" t="s">
        <v>16671</v>
      </c>
      <c r="B1682" t="s">
        <v>11729</v>
      </c>
      <c r="C1682" t="s">
        <v>15848</v>
      </c>
      <c r="D1682" t="s">
        <v>16672</v>
      </c>
      <c r="E1682" t="b">
        <v>0</v>
      </c>
      <c r="F1682" t="s">
        <v>11610</v>
      </c>
      <c r="L1682">
        <v>0</v>
      </c>
      <c r="M1682">
        <v>0</v>
      </c>
      <c r="N1682">
        <v>0</v>
      </c>
    </row>
    <row r="1683" spans="1:15">
      <c r="A1683" t="s">
        <v>16673</v>
      </c>
      <c r="B1683" t="s">
        <v>13276</v>
      </c>
      <c r="C1683" t="s">
        <v>16674</v>
      </c>
      <c r="D1683" t="s">
        <v>16675</v>
      </c>
      <c r="E1683" t="b">
        <v>0</v>
      </c>
      <c r="F1683" t="s">
        <v>11610</v>
      </c>
      <c r="L1683">
        <v>0</v>
      </c>
      <c r="M1683">
        <v>0</v>
      </c>
      <c r="N1683">
        <v>0</v>
      </c>
    </row>
    <row r="1684" spans="1:15">
      <c r="A1684" t="s">
        <v>16676</v>
      </c>
      <c r="D1684" t="s">
        <v>16677</v>
      </c>
      <c r="E1684" t="b">
        <v>0</v>
      </c>
      <c r="F1684" t="s">
        <v>11624</v>
      </c>
      <c r="G1684">
        <v>14.8116</v>
      </c>
      <c r="H1684">
        <v>-3.7709199999999998</v>
      </c>
      <c r="I1684" t="s">
        <v>16678</v>
      </c>
      <c r="L1684">
        <v>0</v>
      </c>
      <c r="M1684">
        <v>0</v>
      </c>
      <c r="N1684">
        <v>0</v>
      </c>
      <c r="O1684" t="s">
        <v>13528</v>
      </c>
    </row>
    <row r="1685" spans="1:15">
      <c r="A1685" t="s">
        <v>16679</v>
      </c>
      <c r="B1685" t="s">
        <v>367</v>
      </c>
      <c r="C1685" t="s">
        <v>16680</v>
      </c>
      <c r="D1685" t="s">
        <v>16681</v>
      </c>
      <c r="E1685" t="b">
        <v>0</v>
      </c>
      <c r="F1685" t="s">
        <v>11610</v>
      </c>
      <c r="L1685">
        <v>0</v>
      </c>
      <c r="M1685">
        <v>0</v>
      </c>
      <c r="N1685">
        <v>0</v>
      </c>
    </row>
    <row r="1686" spans="1:15">
      <c r="A1686" t="s">
        <v>16682</v>
      </c>
      <c r="B1686" t="s">
        <v>367</v>
      </c>
      <c r="C1686" t="s">
        <v>16683</v>
      </c>
      <c r="D1686" t="s">
        <v>16684</v>
      </c>
      <c r="E1686" t="b">
        <v>0</v>
      </c>
      <c r="F1686" t="s">
        <v>11624</v>
      </c>
      <c r="G1686">
        <v>-1.73288</v>
      </c>
      <c r="H1686">
        <v>105.89700000000001</v>
      </c>
      <c r="I1686" t="s">
        <v>16685</v>
      </c>
      <c r="L1686">
        <v>0</v>
      </c>
      <c r="M1686">
        <v>0</v>
      </c>
      <c r="N1686">
        <v>0</v>
      </c>
      <c r="O1686" t="s">
        <v>11768</v>
      </c>
    </row>
    <row r="1687" spans="1:15">
      <c r="A1687" t="s">
        <v>16686</v>
      </c>
      <c r="B1687" t="s">
        <v>367</v>
      </c>
      <c r="C1687" t="s">
        <v>16687</v>
      </c>
      <c r="D1687" t="s">
        <v>16688</v>
      </c>
      <c r="E1687" t="b">
        <v>0</v>
      </c>
      <c r="F1687" t="s">
        <v>11610</v>
      </c>
      <c r="L1687">
        <v>0</v>
      </c>
      <c r="M1687">
        <v>0</v>
      </c>
      <c r="N1687">
        <v>0</v>
      </c>
    </row>
    <row r="1688" spans="1:15">
      <c r="A1688" t="s">
        <v>16689</v>
      </c>
      <c r="B1688" t="s">
        <v>367</v>
      </c>
      <c r="C1688" t="s">
        <v>16690</v>
      </c>
      <c r="D1688" t="s">
        <v>16691</v>
      </c>
      <c r="E1688" t="b">
        <v>0</v>
      </c>
      <c r="F1688" t="s">
        <v>11610</v>
      </c>
      <c r="L1688">
        <v>0</v>
      </c>
      <c r="M1688">
        <v>0</v>
      </c>
      <c r="N1688">
        <v>0</v>
      </c>
    </row>
    <row r="1689" spans="1:15">
      <c r="A1689" t="s">
        <v>16692</v>
      </c>
      <c r="B1689" t="s">
        <v>367</v>
      </c>
      <c r="C1689" t="s">
        <v>16243</v>
      </c>
      <c r="D1689" t="s">
        <v>16693</v>
      </c>
      <c r="E1689" t="b">
        <v>0</v>
      </c>
      <c r="F1689" t="s">
        <v>11624</v>
      </c>
      <c r="G1689">
        <v>-1.5830500000000001</v>
      </c>
      <c r="H1689">
        <v>123.17100000000001</v>
      </c>
      <c r="I1689" t="s">
        <v>16694</v>
      </c>
      <c r="L1689">
        <v>0</v>
      </c>
      <c r="M1689">
        <v>0</v>
      </c>
      <c r="N1689">
        <v>2</v>
      </c>
      <c r="O1689" t="s">
        <v>11768</v>
      </c>
    </row>
    <row r="1690" spans="1:15">
      <c r="A1690" t="s">
        <v>16695</v>
      </c>
      <c r="B1690" t="s">
        <v>11644</v>
      </c>
      <c r="C1690" t="s">
        <v>16696</v>
      </c>
      <c r="D1690" t="s">
        <v>16697</v>
      </c>
      <c r="E1690" t="b">
        <v>0</v>
      </c>
      <c r="F1690" t="s">
        <v>11624</v>
      </c>
      <c r="G1690">
        <v>27.95</v>
      </c>
      <c r="H1690">
        <v>93.15</v>
      </c>
      <c r="L1690">
        <v>0</v>
      </c>
      <c r="M1690">
        <v>0</v>
      </c>
      <c r="N1690">
        <v>0</v>
      </c>
      <c r="O1690" t="s">
        <v>11630</v>
      </c>
    </row>
    <row r="1691" spans="1:15">
      <c r="A1691" t="s">
        <v>16683</v>
      </c>
      <c r="B1691" t="s">
        <v>367</v>
      </c>
      <c r="C1691" t="s">
        <v>16294</v>
      </c>
      <c r="D1691" t="s">
        <v>16698</v>
      </c>
      <c r="E1691" t="b">
        <v>0</v>
      </c>
      <c r="F1691" t="s">
        <v>11622</v>
      </c>
      <c r="L1691">
        <v>0</v>
      </c>
      <c r="M1691">
        <v>2</v>
      </c>
      <c r="N1691">
        <v>0</v>
      </c>
    </row>
    <row r="1692" spans="1:15">
      <c r="A1692" t="s">
        <v>16642</v>
      </c>
      <c r="B1692" t="s">
        <v>6742</v>
      </c>
      <c r="C1692" t="s">
        <v>16699</v>
      </c>
      <c r="D1692" t="s">
        <v>16700</v>
      </c>
      <c r="E1692" t="b">
        <v>0</v>
      </c>
      <c r="F1692" t="s">
        <v>11622</v>
      </c>
      <c r="L1692">
        <v>0</v>
      </c>
      <c r="M1692">
        <v>3</v>
      </c>
      <c r="N1692">
        <v>8</v>
      </c>
    </row>
    <row r="1693" spans="1:15">
      <c r="A1693" t="s">
        <v>16701</v>
      </c>
      <c r="B1693" t="s">
        <v>11644</v>
      </c>
      <c r="C1693" t="s">
        <v>16702</v>
      </c>
      <c r="D1693" t="s">
        <v>16703</v>
      </c>
      <c r="E1693" t="b">
        <v>0</v>
      </c>
      <c r="F1693" t="s">
        <v>11622</v>
      </c>
      <c r="L1693">
        <v>0</v>
      </c>
      <c r="M1693">
        <v>2</v>
      </c>
      <c r="N1693">
        <v>1</v>
      </c>
    </row>
    <row r="1694" spans="1:15">
      <c r="A1694" t="s">
        <v>16704</v>
      </c>
      <c r="B1694" t="s">
        <v>11981</v>
      </c>
      <c r="C1694" t="s">
        <v>16705</v>
      </c>
      <c r="D1694" t="s">
        <v>16706</v>
      </c>
      <c r="E1694" t="b">
        <v>0</v>
      </c>
      <c r="F1694" t="s">
        <v>11610</v>
      </c>
      <c r="L1694">
        <v>0</v>
      </c>
      <c r="M1694">
        <v>0</v>
      </c>
      <c r="N1694">
        <v>0</v>
      </c>
    </row>
    <row r="1695" spans="1:15">
      <c r="A1695" t="s">
        <v>16707</v>
      </c>
      <c r="B1695" t="s">
        <v>11894</v>
      </c>
      <c r="C1695" t="s">
        <v>16708</v>
      </c>
      <c r="D1695" t="s">
        <v>16709</v>
      </c>
      <c r="E1695" t="b">
        <v>0</v>
      </c>
      <c r="F1695" t="s">
        <v>11624</v>
      </c>
      <c r="G1695">
        <v>5.2612300000000003</v>
      </c>
      <c r="H1695">
        <v>-67.563299999999998</v>
      </c>
      <c r="I1695" t="s">
        <v>16710</v>
      </c>
      <c r="L1695">
        <v>0</v>
      </c>
      <c r="M1695">
        <v>0</v>
      </c>
      <c r="N1695">
        <v>2</v>
      </c>
      <c r="O1695" t="s">
        <v>16711</v>
      </c>
    </row>
    <row r="1696" spans="1:15">
      <c r="A1696" t="s">
        <v>16712</v>
      </c>
      <c r="B1696" t="s">
        <v>11894</v>
      </c>
      <c r="C1696" t="s">
        <v>16713</v>
      </c>
      <c r="D1696" t="s">
        <v>16714</v>
      </c>
      <c r="E1696" t="b">
        <v>0</v>
      </c>
      <c r="F1696" t="s">
        <v>11624</v>
      </c>
      <c r="G1696">
        <v>2.1785899999999998</v>
      </c>
      <c r="H1696">
        <v>-67.770399999999995</v>
      </c>
      <c r="I1696" t="s">
        <v>16715</v>
      </c>
      <c r="L1696">
        <v>0</v>
      </c>
      <c r="M1696">
        <v>0</v>
      </c>
      <c r="N1696">
        <v>2</v>
      </c>
      <c r="O1696" t="s">
        <v>16716</v>
      </c>
    </row>
    <row r="1697" spans="1:15">
      <c r="A1697" t="s">
        <v>16717</v>
      </c>
      <c r="B1697" t="s">
        <v>11894</v>
      </c>
      <c r="C1697" t="s">
        <v>16718</v>
      </c>
      <c r="D1697" t="s">
        <v>16719</v>
      </c>
      <c r="E1697" t="b">
        <v>0</v>
      </c>
      <c r="F1697" t="s">
        <v>11622</v>
      </c>
      <c r="L1697">
        <v>1</v>
      </c>
      <c r="M1697">
        <v>3</v>
      </c>
      <c r="N1697">
        <v>8</v>
      </c>
    </row>
    <row r="1698" spans="1:15">
      <c r="A1698" t="s">
        <v>16713</v>
      </c>
      <c r="B1698" t="s">
        <v>11894</v>
      </c>
      <c r="C1698" t="s">
        <v>16717</v>
      </c>
      <c r="D1698" t="s">
        <v>16720</v>
      </c>
      <c r="E1698" t="b">
        <v>0</v>
      </c>
      <c r="F1698" t="s">
        <v>11622</v>
      </c>
      <c r="L1698">
        <v>0</v>
      </c>
      <c r="M1698">
        <v>2</v>
      </c>
      <c r="N1698">
        <v>4</v>
      </c>
    </row>
    <row r="1699" spans="1:15">
      <c r="A1699" t="s">
        <v>16721</v>
      </c>
      <c r="B1699" t="s">
        <v>11894</v>
      </c>
      <c r="C1699" t="s">
        <v>16722</v>
      </c>
      <c r="D1699" t="s">
        <v>16723</v>
      </c>
      <c r="E1699" t="b">
        <v>0</v>
      </c>
      <c r="F1699" t="s">
        <v>11610</v>
      </c>
      <c r="L1699">
        <v>0</v>
      </c>
      <c r="M1699">
        <v>0</v>
      </c>
      <c r="N1699">
        <v>0</v>
      </c>
    </row>
    <row r="1700" spans="1:15">
      <c r="A1700" t="s">
        <v>16724</v>
      </c>
      <c r="B1700" t="s">
        <v>367</v>
      </c>
      <c r="C1700" t="s">
        <v>16725</v>
      </c>
      <c r="D1700" t="s">
        <v>16726</v>
      </c>
      <c r="E1700" t="b">
        <v>0</v>
      </c>
      <c r="F1700" t="s">
        <v>11624</v>
      </c>
      <c r="G1700">
        <v>0.74710500000000002</v>
      </c>
      <c r="H1700">
        <v>115.79</v>
      </c>
      <c r="I1700" t="s">
        <v>16727</v>
      </c>
      <c r="L1700">
        <v>0</v>
      </c>
      <c r="M1700">
        <v>0</v>
      </c>
      <c r="N1700">
        <v>2</v>
      </c>
      <c r="O1700" t="s">
        <v>16728</v>
      </c>
    </row>
    <row r="1701" spans="1:15">
      <c r="A1701" t="s">
        <v>16729</v>
      </c>
      <c r="B1701" t="s">
        <v>367</v>
      </c>
      <c r="C1701" t="s">
        <v>16730</v>
      </c>
      <c r="D1701" t="s">
        <v>16731</v>
      </c>
      <c r="E1701" t="b">
        <v>0</v>
      </c>
      <c r="F1701" t="s">
        <v>11622</v>
      </c>
      <c r="L1701">
        <v>2</v>
      </c>
      <c r="M1701">
        <v>4</v>
      </c>
      <c r="N1701">
        <v>5</v>
      </c>
    </row>
    <row r="1702" spans="1:15">
      <c r="A1702" t="s">
        <v>16725</v>
      </c>
      <c r="B1702" t="s">
        <v>367</v>
      </c>
      <c r="C1702" t="s">
        <v>16729</v>
      </c>
      <c r="D1702" t="s">
        <v>16732</v>
      </c>
      <c r="E1702" t="b">
        <v>0</v>
      </c>
      <c r="F1702" t="s">
        <v>11622</v>
      </c>
      <c r="L1702">
        <v>0</v>
      </c>
      <c r="M1702">
        <v>2</v>
      </c>
      <c r="N1702">
        <v>2</v>
      </c>
    </row>
    <row r="1703" spans="1:15">
      <c r="A1703" t="s">
        <v>16733</v>
      </c>
      <c r="B1703" t="s">
        <v>11637</v>
      </c>
      <c r="C1703" t="s">
        <v>16734</v>
      </c>
      <c r="D1703" t="s">
        <v>16735</v>
      </c>
      <c r="E1703" t="b">
        <v>0</v>
      </c>
      <c r="F1703" t="s">
        <v>11610</v>
      </c>
      <c r="L1703">
        <v>0</v>
      </c>
      <c r="M1703">
        <v>0</v>
      </c>
      <c r="N1703">
        <v>0</v>
      </c>
    </row>
    <row r="1704" spans="1:15">
      <c r="A1704" t="s">
        <v>16736</v>
      </c>
      <c r="B1704" t="s">
        <v>11981</v>
      </c>
      <c r="C1704" t="s">
        <v>11982</v>
      </c>
      <c r="D1704" t="s">
        <v>16737</v>
      </c>
      <c r="E1704" t="b">
        <v>0</v>
      </c>
      <c r="F1704" t="s">
        <v>11624</v>
      </c>
      <c r="G1704">
        <v>16.911000000000001</v>
      </c>
      <c r="H1704">
        <v>103.29600000000001</v>
      </c>
      <c r="I1704" t="s">
        <v>16738</v>
      </c>
      <c r="L1704">
        <v>0</v>
      </c>
      <c r="M1704">
        <v>0</v>
      </c>
      <c r="N1704">
        <v>0</v>
      </c>
      <c r="O1704" t="s">
        <v>16739</v>
      </c>
    </row>
    <row r="1705" spans="1:15">
      <c r="A1705" t="s">
        <v>16740</v>
      </c>
      <c r="B1705" t="s">
        <v>6742</v>
      </c>
      <c r="C1705" t="s">
        <v>11790</v>
      </c>
      <c r="D1705" t="s">
        <v>16741</v>
      </c>
      <c r="E1705" t="b">
        <v>0</v>
      </c>
      <c r="F1705" t="s">
        <v>11624</v>
      </c>
      <c r="G1705">
        <v>4.3701999999999996</v>
      </c>
      <c r="H1705">
        <v>9.6402999999999999</v>
      </c>
      <c r="I1705" t="s">
        <v>16742</v>
      </c>
      <c r="L1705">
        <v>0</v>
      </c>
      <c r="M1705">
        <v>0</v>
      </c>
      <c r="N1705">
        <v>0</v>
      </c>
      <c r="O1705" t="s">
        <v>11703</v>
      </c>
    </row>
    <row r="1706" spans="1:15">
      <c r="A1706" t="s">
        <v>16743</v>
      </c>
      <c r="B1706" t="s">
        <v>6742</v>
      </c>
      <c r="C1706" t="s">
        <v>1627</v>
      </c>
      <c r="D1706" t="s">
        <v>16744</v>
      </c>
      <c r="E1706" t="b">
        <v>0</v>
      </c>
      <c r="F1706" t="s">
        <v>11610</v>
      </c>
      <c r="L1706">
        <v>0</v>
      </c>
      <c r="M1706">
        <v>0</v>
      </c>
      <c r="N1706">
        <v>0</v>
      </c>
    </row>
    <row r="1707" spans="1:15">
      <c r="A1707" t="s">
        <v>16745</v>
      </c>
      <c r="B1707" t="s">
        <v>13276</v>
      </c>
      <c r="C1707" t="s">
        <v>16746</v>
      </c>
      <c r="D1707" t="s">
        <v>16747</v>
      </c>
      <c r="E1707" t="b">
        <v>0</v>
      </c>
      <c r="F1707" t="s">
        <v>11624</v>
      </c>
      <c r="G1707">
        <v>11.749700000000001</v>
      </c>
      <c r="H1707">
        <v>-5.5074399999999999</v>
      </c>
      <c r="I1707" t="s">
        <v>16748</v>
      </c>
      <c r="L1707">
        <v>0</v>
      </c>
      <c r="M1707">
        <v>0</v>
      </c>
      <c r="N1707">
        <v>0</v>
      </c>
      <c r="O1707" t="s">
        <v>13528</v>
      </c>
    </row>
    <row r="1708" spans="1:15">
      <c r="A1708" t="s">
        <v>16749</v>
      </c>
      <c r="B1708" t="s">
        <v>1342</v>
      </c>
      <c r="C1708" t="s">
        <v>16750</v>
      </c>
      <c r="D1708" t="s">
        <v>16751</v>
      </c>
      <c r="E1708" t="b">
        <v>0</v>
      </c>
      <c r="F1708" t="s">
        <v>11624</v>
      </c>
      <c r="G1708">
        <v>15.06</v>
      </c>
      <c r="H1708">
        <v>-2.92</v>
      </c>
      <c r="I1708" t="s">
        <v>16752</v>
      </c>
      <c r="L1708">
        <v>0</v>
      </c>
      <c r="M1708">
        <v>0</v>
      </c>
      <c r="N1708">
        <v>0</v>
      </c>
      <c r="O1708" t="s">
        <v>13528</v>
      </c>
    </row>
    <row r="1709" spans="1:15">
      <c r="A1709" t="s">
        <v>16753</v>
      </c>
      <c r="B1709" t="s">
        <v>367</v>
      </c>
      <c r="C1709" t="s">
        <v>16754</v>
      </c>
      <c r="D1709" t="s">
        <v>16755</v>
      </c>
      <c r="E1709" t="b">
        <v>0</v>
      </c>
      <c r="F1709" t="s">
        <v>11610</v>
      </c>
      <c r="L1709">
        <v>0</v>
      </c>
      <c r="M1709">
        <v>0</v>
      </c>
      <c r="N1709">
        <v>0</v>
      </c>
    </row>
    <row r="1710" spans="1:15">
      <c r="A1710" t="s">
        <v>16756</v>
      </c>
      <c r="B1710" t="s">
        <v>11637</v>
      </c>
      <c r="C1710" t="s">
        <v>16757</v>
      </c>
      <c r="D1710" t="s">
        <v>16758</v>
      </c>
      <c r="E1710" t="b">
        <v>0</v>
      </c>
      <c r="F1710" t="s">
        <v>11610</v>
      </c>
      <c r="L1710">
        <v>0</v>
      </c>
      <c r="M1710">
        <v>0</v>
      </c>
      <c r="N1710">
        <v>0</v>
      </c>
    </row>
    <row r="1711" spans="1:15">
      <c r="A1711" t="s">
        <v>16759</v>
      </c>
      <c r="B1711" t="s">
        <v>367</v>
      </c>
      <c r="C1711" t="s">
        <v>16760</v>
      </c>
      <c r="D1711" t="s">
        <v>16761</v>
      </c>
      <c r="E1711" t="b">
        <v>0</v>
      </c>
      <c r="F1711" t="s">
        <v>11624</v>
      </c>
      <c r="G1711">
        <v>-6.2306100000000004</v>
      </c>
      <c r="H1711">
        <v>155.12799999999999</v>
      </c>
      <c r="I1711" t="s">
        <v>16762</v>
      </c>
      <c r="L1711">
        <v>0</v>
      </c>
      <c r="M1711">
        <v>0</v>
      </c>
      <c r="N1711">
        <v>0</v>
      </c>
      <c r="O1711" t="s">
        <v>11660</v>
      </c>
    </row>
    <row r="1712" spans="1:15">
      <c r="A1712" t="s">
        <v>16763</v>
      </c>
      <c r="B1712" t="s">
        <v>12751</v>
      </c>
      <c r="C1712" t="s">
        <v>16764</v>
      </c>
      <c r="D1712" t="s">
        <v>16765</v>
      </c>
      <c r="E1712" t="b">
        <v>0</v>
      </c>
      <c r="F1712" t="s">
        <v>11610</v>
      </c>
      <c r="L1712">
        <v>0</v>
      </c>
      <c r="M1712">
        <v>0</v>
      </c>
      <c r="N1712">
        <v>0</v>
      </c>
    </row>
    <row r="1713" spans="1:15">
      <c r="A1713" t="s">
        <v>16766</v>
      </c>
      <c r="B1713" t="s">
        <v>11637</v>
      </c>
      <c r="C1713" t="s">
        <v>16767</v>
      </c>
      <c r="D1713" t="s">
        <v>16768</v>
      </c>
      <c r="E1713" t="b">
        <v>0</v>
      </c>
      <c r="F1713" t="s">
        <v>11610</v>
      </c>
      <c r="L1713">
        <v>0</v>
      </c>
      <c r="M1713">
        <v>0</v>
      </c>
      <c r="N1713">
        <v>0</v>
      </c>
    </row>
    <row r="1714" spans="1:15">
      <c r="A1714" t="s">
        <v>16769</v>
      </c>
      <c r="B1714" t="s">
        <v>11637</v>
      </c>
      <c r="C1714" t="s">
        <v>16767</v>
      </c>
      <c r="D1714" t="s">
        <v>16770</v>
      </c>
      <c r="E1714" t="b">
        <v>0</v>
      </c>
      <c r="F1714" t="s">
        <v>11610</v>
      </c>
      <c r="L1714">
        <v>0</v>
      </c>
      <c r="M1714">
        <v>0</v>
      </c>
      <c r="N1714">
        <v>0</v>
      </c>
    </row>
    <row r="1715" spans="1:15">
      <c r="A1715" t="s">
        <v>16771</v>
      </c>
      <c r="B1715" t="s">
        <v>6742</v>
      </c>
      <c r="C1715" t="s">
        <v>16262</v>
      </c>
      <c r="D1715" t="s">
        <v>16772</v>
      </c>
      <c r="E1715" t="b">
        <v>0</v>
      </c>
      <c r="F1715" t="s">
        <v>11610</v>
      </c>
      <c r="L1715">
        <v>0</v>
      </c>
      <c r="M1715">
        <v>0</v>
      </c>
      <c r="N1715">
        <v>0</v>
      </c>
    </row>
    <row r="1716" spans="1:15">
      <c r="A1716" t="s">
        <v>16773</v>
      </c>
      <c r="B1716" t="s">
        <v>4342</v>
      </c>
      <c r="C1716" t="s">
        <v>16774</v>
      </c>
      <c r="D1716" t="s">
        <v>16775</v>
      </c>
      <c r="E1716" t="b">
        <v>0</v>
      </c>
      <c r="F1716" t="s">
        <v>11610</v>
      </c>
      <c r="L1716">
        <v>0</v>
      </c>
      <c r="M1716">
        <v>0</v>
      </c>
      <c r="N1716">
        <v>0</v>
      </c>
    </row>
    <row r="1717" spans="1:15">
      <c r="A1717" t="s">
        <v>16776</v>
      </c>
      <c r="B1717" t="s">
        <v>11637</v>
      </c>
      <c r="C1717" t="s">
        <v>16777</v>
      </c>
      <c r="D1717" t="s">
        <v>16778</v>
      </c>
      <c r="E1717" t="b">
        <v>0</v>
      </c>
      <c r="F1717" t="s">
        <v>11610</v>
      </c>
      <c r="L1717">
        <v>0</v>
      </c>
      <c r="M1717">
        <v>0</v>
      </c>
      <c r="N1717">
        <v>0</v>
      </c>
    </row>
    <row r="1718" spans="1:15">
      <c r="A1718" t="s">
        <v>16779</v>
      </c>
      <c r="B1718" t="s">
        <v>11637</v>
      </c>
      <c r="C1718" t="s">
        <v>16780</v>
      </c>
      <c r="D1718" t="s">
        <v>16781</v>
      </c>
      <c r="E1718" t="b">
        <v>0</v>
      </c>
      <c r="F1718" t="s">
        <v>11610</v>
      </c>
      <c r="L1718">
        <v>0</v>
      </c>
      <c r="M1718">
        <v>0</v>
      </c>
      <c r="N1718">
        <v>0</v>
      </c>
    </row>
    <row r="1719" spans="1:15">
      <c r="A1719" t="s">
        <v>16782</v>
      </c>
      <c r="B1719" t="s">
        <v>11644</v>
      </c>
      <c r="C1719" t="s">
        <v>16783</v>
      </c>
      <c r="D1719" t="s">
        <v>16784</v>
      </c>
      <c r="E1719" t="b">
        <v>0</v>
      </c>
      <c r="F1719" t="s">
        <v>11622</v>
      </c>
      <c r="L1719">
        <v>0</v>
      </c>
      <c r="M1719">
        <v>2</v>
      </c>
      <c r="N1719">
        <v>5</v>
      </c>
    </row>
    <row r="1720" spans="1:15">
      <c r="A1720" t="s">
        <v>16785</v>
      </c>
      <c r="B1720" t="s">
        <v>11644</v>
      </c>
      <c r="C1720" t="s">
        <v>16782</v>
      </c>
      <c r="D1720" t="s">
        <v>16786</v>
      </c>
      <c r="E1720" t="b">
        <v>0</v>
      </c>
      <c r="F1720" t="s">
        <v>11624</v>
      </c>
      <c r="G1720">
        <v>27.121469999999999</v>
      </c>
      <c r="H1720">
        <v>87.047380000000004</v>
      </c>
      <c r="I1720" t="s">
        <v>16787</v>
      </c>
      <c r="L1720">
        <v>0</v>
      </c>
      <c r="M1720">
        <v>0</v>
      </c>
      <c r="N1720">
        <v>5</v>
      </c>
      <c r="O1720" t="s">
        <v>15007</v>
      </c>
    </row>
    <row r="1721" spans="1:15">
      <c r="A1721" t="s">
        <v>16788</v>
      </c>
      <c r="B1721" t="s">
        <v>6742</v>
      </c>
      <c r="C1721" t="s">
        <v>16789</v>
      </c>
      <c r="D1721" t="s">
        <v>16790</v>
      </c>
      <c r="E1721" t="b">
        <v>0</v>
      </c>
      <c r="F1721" t="s">
        <v>11610</v>
      </c>
      <c r="L1721">
        <v>0</v>
      </c>
      <c r="M1721">
        <v>0</v>
      </c>
      <c r="N1721">
        <v>0</v>
      </c>
    </row>
    <row r="1722" spans="1:15">
      <c r="A1722" t="s">
        <v>16791</v>
      </c>
      <c r="B1722" t="s">
        <v>6742</v>
      </c>
      <c r="C1722" t="s">
        <v>16450</v>
      </c>
      <c r="D1722" t="s">
        <v>16792</v>
      </c>
      <c r="E1722" t="b">
        <v>0</v>
      </c>
      <c r="F1722" t="s">
        <v>11610</v>
      </c>
      <c r="L1722">
        <v>0</v>
      </c>
      <c r="M1722">
        <v>0</v>
      </c>
      <c r="N1722">
        <v>0</v>
      </c>
    </row>
    <row r="1723" spans="1:15">
      <c r="A1723" t="s">
        <v>16793</v>
      </c>
      <c r="B1723" t="s">
        <v>367</v>
      </c>
      <c r="C1723" t="s">
        <v>16794</v>
      </c>
      <c r="D1723" t="s">
        <v>16795</v>
      </c>
      <c r="E1723" t="b">
        <v>0</v>
      </c>
      <c r="F1723" t="s">
        <v>11610</v>
      </c>
      <c r="L1723">
        <v>0</v>
      </c>
      <c r="M1723">
        <v>0</v>
      </c>
      <c r="N1723">
        <v>0</v>
      </c>
    </row>
    <row r="1724" spans="1:15">
      <c r="A1724" t="s">
        <v>16796</v>
      </c>
      <c r="B1724" t="s">
        <v>367</v>
      </c>
      <c r="C1724" t="s">
        <v>16797</v>
      </c>
      <c r="D1724" t="s">
        <v>16798</v>
      </c>
      <c r="E1724" t="b">
        <v>0</v>
      </c>
      <c r="F1724" t="s">
        <v>11624</v>
      </c>
      <c r="G1724">
        <v>1.4458599999999999</v>
      </c>
      <c r="H1724">
        <v>124.846</v>
      </c>
      <c r="I1724" t="s">
        <v>16799</v>
      </c>
      <c r="L1724">
        <v>0</v>
      </c>
      <c r="M1724">
        <v>0</v>
      </c>
      <c r="N1724">
        <v>0</v>
      </c>
      <c r="O1724" t="s">
        <v>11768</v>
      </c>
    </row>
    <row r="1725" spans="1:15">
      <c r="A1725" t="s">
        <v>16800</v>
      </c>
      <c r="B1725" t="s">
        <v>367</v>
      </c>
      <c r="C1725" t="s">
        <v>16801</v>
      </c>
      <c r="D1725" t="s">
        <v>16802</v>
      </c>
      <c r="E1725" t="b">
        <v>0</v>
      </c>
      <c r="F1725" t="s">
        <v>11610</v>
      </c>
      <c r="L1725">
        <v>0</v>
      </c>
      <c r="M1725">
        <v>0</v>
      </c>
      <c r="N1725">
        <v>0</v>
      </c>
    </row>
    <row r="1726" spans="1:15">
      <c r="A1726" t="s">
        <v>16803</v>
      </c>
      <c r="B1726" t="s">
        <v>367</v>
      </c>
      <c r="C1726" t="s">
        <v>16804</v>
      </c>
      <c r="D1726" t="s">
        <v>16805</v>
      </c>
      <c r="E1726" t="b">
        <v>0</v>
      </c>
      <c r="F1726" t="s">
        <v>11624</v>
      </c>
      <c r="G1726">
        <v>12.519399999999999</v>
      </c>
      <c r="H1726">
        <v>122.03400000000001</v>
      </c>
      <c r="I1726" t="s">
        <v>16806</v>
      </c>
      <c r="L1726">
        <v>0</v>
      </c>
      <c r="M1726">
        <v>0</v>
      </c>
      <c r="N1726">
        <v>5</v>
      </c>
      <c r="O1726" t="s">
        <v>11749</v>
      </c>
    </row>
    <row r="1727" spans="1:15">
      <c r="A1727" t="s">
        <v>16807</v>
      </c>
      <c r="B1727" t="s">
        <v>367</v>
      </c>
      <c r="C1727" t="s">
        <v>16803</v>
      </c>
      <c r="D1727" t="s">
        <v>16808</v>
      </c>
      <c r="E1727" t="b">
        <v>0</v>
      </c>
      <c r="F1727" t="s">
        <v>11610</v>
      </c>
      <c r="L1727">
        <v>0</v>
      </c>
      <c r="M1727">
        <v>0</v>
      </c>
      <c r="N1727">
        <v>0</v>
      </c>
    </row>
    <row r="1728" spans="1:15">
      <c r="A1728" t="s">
        <v>16809</v>
      </c>
      <c r="B1728" t="s">
        <v>367</v>
      </c>
      <c r="C1728" t="s">
        <v>12638</v>
      </c>
      <c r="D1728" t="s">
        <v>16810</v>
      </c>
      <c r="E1728" t="b">
        <v>0</v>
      </c>
      <c r="F1728" t="s">
        <v>11610</v>
      </c>
      <c r="L1728">
        <v>0</v>
      </c>
      <c r="M1728">
        <v>0</v>
      </c>
      <c r="N1728">
        <v>0</v>
      </c>
    </row>
    <row r="1729" spans="1:15">
      <c r="A1729" t="s">
        <v>16811</v>
      </c>
      <c r="B1729" t="s">
        <v>367</v>
      </c>
      <c r="C1729" t="s">
        <v>16812</v>
      </c>
      <c r="D1729" t="s">
        <v>16813</v>
      </c>
      <c r="E1729" t="b">
        <v>0</v>
      </c>
      <c r="F1729" t="s">
        <v>11610</v>
      </c>
      <c r="L1729">
        <v>0</v>
      </c>
      <c r="M1729">
        <v>0</v>
      </c>
      <c r="N1729">
        <v>0</v>
      </c>
    </row>
    <row r="1730" spans="1:15">
      <c r="A1730" t="s">
        <v>16814</v>
      </c>
      <c r="B1730" t="s">
        <v>367</v>
      </c>
      <c r="C1730" t="s">
        <v>16815</v>
      </c>
      <c r="D1730" t="s">
        <v>16816</v>
      </c>
      <c r="E1730" t="b">
        <v>0</v>
      </c>
      <c r="F1730" t="s">
        <v>11610</v>
      </c>
      <c r="L1730">
        <v>0</v>
      </c>
      <c r="M1730">
        <v>0</v>
      </c>
      <c r="N1730">
        <v>0</v>
      </c>
    </row>
    <row r="1731" spans="1:15">
      <c r="A1731" t="s">
        <v>16817</v>
      </c>
      <c r="B1731" t="s">
        <v>367</v>
      </c>
      <c r="C1731" t="s">
        <v>16818</v>
      </c>
      <c r="D1731" t="s">
        <v>16819</v>
      </c>
      <c r="E1731" t="b">
        <v>0</v>
      </c>
      <c r="F1731" t="s">
        <v>11624</v>
      </c>
      <c r="I1731" t="s">
        <v>16820</v>
      </c>
      <c r="L1731">
        <v>0</v>
      </c>
      <c r="M1731">
        <v>0</v>
      </c>
      <c r="N1731">
        <v>0</v>
      </c>
      <c r="O1731" t="s">
        <v>11749</v>
      </c>
    </row>
    <row r="1732" spans="1:15">
      <c r="A1732" t="s">
        <v>16821</v>
      </c>
      <c r="B1732" t="s">
        <v>6742</v>
      </c>
      <c r="C1732" t="s">
        <v>12815</v>
      </c>
      <c r="D1732" t="s">
        <v>16822</v>
      </c>
      <c r="E1732" t="b">
        <v>0</v>
      </c>
      <c r="F1732" t="s">
        <v>11622</v>
      </c>
      <c r="L1732">
        <v>422</v>
      </c>
      <c r="M1732">
        <v>719</v>
      </c>
      <c r="N1732">
        <v>1177</v>
      </c>
    </row>
    <row r="1733" spans="1:15">
      <c r="A1733" t="s">
        <v>15558</v>
      </c>
      <c r="B1733" t="s">
        <v>6742</v>
      </c>
      <c r="C1733" t="s">
        <v>500</v>
      </c>
      <c r="D1733" t="s">
        <v>16823</v>
      </c>
      <c r="E1733" t="b">
        <v>0</v>
      </c>
      <c r="F1733" t="s">
        <v>11622</v>
      </c>
      <c r="L1733">
        <v>46</v>
      </c>
      <c r="M1733">
        <v>73</v>
      </c>
      <c r="N1733">
        <v>152</v>
      </c>
    </row>
    <row r="1734" spans="1:15">
      <c r="A1734" t="s">
        <v>16824</v>
      </c>
      <c r="B1734" t="s">
        <v>6742</v>
      </c>
      <c r="C1734" t="s">
        <v>16825</v>
      </c>
      <c r="D1734" t="s">
        <v>16826</v>
      </c>
      <c r="E1734" t="b">
        <v>0</v>
      </c>
      <c r="F1734" t="s">
        <v>11622</v>
      </c>
      <c r="L1734">
        <v>0</v>
      </c>
      <c r="M1734">
        <v>2</v>
      </c>
      <c r="N1734">
        <v>3</v>
      </c>
    </row>
    <row r="1735" spans="1:15">
      <c r="A1735" t="s">
        <v>16827</v>
      </c>
      <c r="B1735" t="s">
        <v>12204</v>
      </c>
      <c r="C1735" t="s">
        <v>12204</v>
      </c>
      <c r="D1735" t="s">
        <v>16828</v>
      </c>
      <c r="E1735" t="b">
        <v>0</v>
      </c>
      <c r="F1735" t="s">
        <v>11622</v>
      </c>
      <c r="L1735">
        <v>0</v>
      </c>
      <c r="M1735">
        <v>1</v>
      </c>
      <c r="N1735">
        <v>2</v>
      </c>
    </row>
    <row r="1736" spans="1:15">
      <c r="A1736" t="s">
        <v>16829</v>
      </c>
      <c r="B1736" t="s">
        <v>11644</v>
      </c>
      <c r="C1736" t="s">
        <v>16830</v>
      </c>
      <c r="D1736" t="s">
        <v>16831</v>
      </c>
      <c r="E1736" t="b">
        <v>0</v>
      </c>
      <c r="F1736" t="s">
        <v>11624</v>
      </c>
      <c r="L1736">
        <v>0</v>
      </c>
      <c r="M1736">
        <v>0</v>
      </c>
      <c r="N1736">
        <v>0</v>
      </c>
      <c r="O1736" t="s">
        <v>12921</v>
      </c>
    </row>
    <row r="1737" spans="1:15">
      <c r="A1737" t="s">
        <v>16832</v>
      </c>
      <c r="B1737" t="s">
        <v>367</v>
      </c>
      <c r="C1737" t="s">
        <v>12638</v>
      </c>
      <c r="D1737" t="s">
        <v>16833</v>
      </c>
      <c r="E1737" t="b">
        <v>0</v>
      </c>
      <c r="F1737" t="s">
        <v>11610</v>
      </c>
      <c r="L1737">
        <v>0</v>
      </c>
      <c r="M1737">
        <v>0</v>
      </c>
      <c r="N1737">
        <v>0</v>
      </c>
    </row>
    <row r="1738" spans="1:15">
      <c r="A1738" t="s">
        <v>16834</v>
      </c>
      <c r="B1738" t="s">
        <v>6742</v>
      </c>
      <c r="C1738" t="s">
        <v>16152</v>
      </c>
      <c r="D1738" t="s">
        <v>16835</v>
      </c>
      <c r="E1738" t="b">
        <v>0</v>
      </c>
      <c r="F1738" t="s">
        <v>11610</v>
      </c>
      <c r="L1738">
        <v>0</v>
      </c>
      <c r="M1738">
        <v>0</v>
      </c>
      <c r="N1738">
        <v>0</v>
      </c>
    </row>
    <row r="1739" spans="1:15">
      <c r="A1739" t="s">
        <v>16836</v>
      </c>
      <c r="B1739" t="s">
        <v>367</v>
      </c>
      <c r="C1739" t="s">
        <v>16837</v>
      </c>
      <c r="D1739" t="s">
        <v>16838</v>
      </c>
      <c r="E1739" t="b">
        <v>0</v>
      </c>
      <c r="F1739" t="s">
        <v>11610</v>
      </c>
      <c r="L1739">
        <v>0</v>
      </c>
      <c r="M1739">
        <v>0</v>
      </c>
      <c r="N1739">
        <v>0</v>
      </c>
    </row>
    <row r="1740" spans="1:15">
      <c r="A1740" t="s">
        <v>16839</v>
      </c>
      <c r="B1740" t="s">
        <v>367</v>
      </c>
      <c r="C1740" t="s">
        <v>15834</v>
      </c>
      <c r="D1740" t="s">
        <v>16840</v>
      </c>
      <c r="E1740" t="b">
        <v>0</v>
      </c>
      <c r="F1740" t="s">
        <v>11610</v>
      </c>
      <c r="L1740">
        <v>0</v>
      </c>
      <c r="M1740">
        <v>0</v>
      </c>
      <c r="N1740">
        <v>0</v>
      </c>
    </row>
    <row r="1741" spans="1:15">
      <c r="A1741" t="s">
        <v>16841</v>
      </c>
      <c r="B1741" t="s">
        <v>6742</v>
      </c>
      <c r="C1741" t="s">
        <v>16842</v>
      </c>
      <c r="D1741" t="s">
        <v>16843</v>
      </c>
      <c r="E1741" t="b">
        <v>0</v>
      </c>
      <c r="F1741" t="s">
        <v>11610</v>
      </c>
      <c r="L1741">
        <v>0</v>
      </c>
      <c r="M1741">
        <v>0</v>
      </c>
      <c r="N1741">
        <v>0</v>
      </c>
    </row>
    <row r="1742" spans="1:15">
      <c r="A1742" t="s">
        <v>16844</v>
      </c>
      <c r="B1742" t="s">
        <v>11615</v>
      </c>
      <c r="C1742" t="s">
        <v>16845</v>
      </c>
      <c r="D1742" t="s">
        <v>16846</v>
      </c>
      <c r="E1742" t="b">
        <v>0</v>
      </c>
      <c r="F1742" t="s">
        <v>11610</v>
      </c>
      <c r="L1742">
        <v>0</v>
      </c>
      <c r="M1742">
        <v>0</v>
      </c>
      <c r="N1742">
        <v>0</v>
      </c>
    </row>
    <row r="1743" spans="1:15">
      <c r="A1743" t="s">
        <v>15196</v>
      </c>
      <c r="B1743" t="s">
        <v>11981</v>
      </c>
      <c r="C1743" t="s">
        <v>16847</v>
      </c>
      <c r="D1743" t="s">
        <v>16848</v>
      </c>
      <c r="E1743" t="b">
        <v>0</v>
      </c>
      <c r="F1743" t="s">
        <v>11622</v>
      </c>
      <c r="L1743">
        <v>1</v>
      </c>
      <c r="M1743">
        <v>4</v>
      </c>
      <c r="N1743">
        <v>0</v>
      </c>
    </row>
    <row r="1744" spans="1:15">
      <c r="A1744" t="s">
        <v>16849</v>
      </c>
      <c r="B1744" t="s">
        <v>12250</v>
      </c>
      <c r="C1744" t="s">
        <v>16850</v>
      </c>
      <c r="D1744" t="s">
        <v>16851</v>
      </c>
      <c r="E1744" t="b">
        <v>0</v>
      </c>
      <c r="F1744" t="s">
        <v>11622</v>
      </c>
      <c r="L1744">
        <v>0</v>
      </c>
      <c r="M1744">
        <v>3</v>
      </c>
      <c r="N1744">
        <v>5</v>
      </c>
    </row>
    <row r="1745" spans="1:15">
      <c r="A1745" t="s">
        <v>16852</v>
      </c>
      <c r="B1745" t="s">
        <v>11644</v>
      </c>
      <c r="C1745" t="s">
        <v>16853</v>
      </c>
      <c r="D1745" t="s">
        <v>16854</v>
      </c>
      <c r="E1745" t="b">
        <v>0</v>
      </c>
      <c r="F1745" t="s">
        <v>11610</v>
      </c>
      <c r="L1745">
        <v>0</v>
      </c>
      <c r="M1745">
        <v>0</v>
      </c>
      <c r="N1745">
        <v>0</v>
      </c>
    </row>
    <row r="1746" spans="1:15">
      <c r="A1746" t="s">
        <v>16855</v>
      </c>
      <c r="B1746" t="s">
        <v>11644</v>
      </c>
      <c r="C1746" t="s">
        <v>16856</v>
      </c>
      <c r="D1746" t="s">
        <v>16857</v>
      </c>
      <c r="E1746" t="b">
        <v>0</v>
      </c>
      <c r="F1746" t="s">
        <v>11610</v>
      </c>
      <c r="L1746">
        <v>0</v>
      </c>
      <c r="M1746">
        <v>0</v>
      </c>
      <c r="N1746">
        <v>0</v>
      </c>
    </row>
    <row r="1747" spans="1:15">
      <c r="A1747" t="s">
        <v>16858</v>
      </c>
      <c r="B1747" t="s">
        <v>6742</v>
      </c>
      <c r="C1747" t="s">
        <v>4927</v>
      </c>
      <c r="D1747" t="s">
        <v>16859</v>
      </c>
      <c r="E1747" t="b">
        <v>0</v>
      </c>
      <c r="F1747" t="s">
        <v>11610</v>
      </c>
      <c r="L1747">
        <v>0</v>
      </c>
      <c r="M1747">
        <v>0</v>
      </c>
      <c r="N1747">
        <v>0</v>
      </c>
    </row>
    <row r="1748" spans="1:15">
      <c r="A1748" t="s">
        <v>16860</v>
      </c>
      <c r="B1748" t="s">
        <v>367</v>
      </c>
      <c r="C1748" t="s">
        <v>12490</v>
      </c>
      <c r="D1748" t="s">
        <v>16861</v>
      </c>
      <c r="E1748" t="b">
        <v>0</v>
      </c>
      <c r="F1748" t="s">
        <v>11610</v>
      </c>
      <c r="L1748">
        <v>0</v>
      </c>
      <c r="M1748">
        <v>0</v>
      </c>
      <c r="N1748">
        <v>0</v>
      </c>
    </row>
    <row r="1749" spans="1:15">
      <c r="A1749" t="s">
        <v>1025</v>
      </c>
      <c r="B1749" t="s">
        <v>6742</v>
      </c>
      <c r="C1749" t="s">
        <v>14037</v>
      </c>
      <c r="D1749" t="s">
        <v>16862</v>
      </c>
      <c r="E1749" t="b">
        <v>0</v>
      </c>
      <c r="F1749" t="s">
        <v>11624</v>
      </c>
      <c r="G1749">
        <v>5.42509</v>
      </c>
      <c r="H1749">
        <v>-4.7656499999999999</v>
      </c>
      <c r="I1749" t="s">
        <v>1026</v>
      </c>
      <c r="L1749">
        <v>0</v>
      </c>
      <c r="M1749">
        <v>0</v>
      </c>
      <c r="N1749">
        <v>0</v>
      </c>
      <c r="O1749" t="s">
        <v>11735</v>
      </c>
    </row>
    <row r="1750" spans="1:15">
      <c r="A1750" t="s">
        <v>16863</v>
      </c>
      <c r="B1750" t="s">
        <v>11794</v>
      </c>
      <c r="C1750" t="s">
        <v>16864</v>
      </c>
      <c r="D1750" t="s">
        <v>16865</v>
      </c>
      <c r="E1750" t="b">
        <v>0</v>
      </c>
      <c r="F1750" t="s">
        <v>11610</v>
      </c>
      <c r="L1750">
        <v>0</v>
      </c>
      <c r="M1750">
        <v>0</v>
      </c>
      <c r="N1750">
        <v>0</v>
      </c>
    </row>
    <row r="1751" spans="1:15">
      <c r="A1751" t="s">
        <v>16866</v>
      </c>
      <c r="B1751" t="s">
        <v>6742</v>
      </c>
      <c r="C1751" t="s">
        <v>15778</v>
      </c>
      <c r="D1751" t="s">
        <v>16867</v>
      </c>
      <c r="E1751" t="b">
        <v>0</v>
      </c>
      <c r="F1751" t="s">
        <v>11610</v>
      </c>
      <c r="L1751">
        <v>0</v>
      </c>
      <c r="M1751">
        <v>0</v>
      </c>
      <c r="N1751">
        <v>0</v>
      </c>
    </row>
    <row r="1752" spans="1:15">
      <c r="A1752" t="s">
        <v>16868</v>
      </c>
      <c r="B1752" t="s">
        <v>6742</v>
      </c>
      <c r="C1752" t="s">
        <v>16869</v>
      </c>
      <c r="D1752" t="s">
        <v>16870</v>
      </c>
      <c r="E1752" t="b">
        <v>0</v>
      </c>
      <c r="F1752" t="s">
        <v>11624</v>
      </c>
      <c r="G1752">
        <v>12.13</v>
      </c>
      <c r="H1752">
        <v>-12.79</v>
      </c>
      <c r="L1752">
        <v>0</v>
      </c>
      <c r="M1752">
        <v>0</v>
      </c>
      <c r="N1752">
        <v>0</v>
      </c>
      <c r="O1752" t="s">
        <v>16532</v>
      </c>
    </row>
    <row r="1753" spans="1:15">
      <c r="A1753" t="s">
        <v>16871</v>
      </c>
      <c r="B1753" t="s">
        <v>6742</v>
      </c>
      <c r="C1753" t="s">
        <v>16872</v>
      </c>
      <c r="D1753" t="s">
        <v>16873</v>
      </c>
      <c r="E1753" t="b">
        <v>0</v>
      </c>
      <c r="F1753" t="s">
        <v>11610</v>
      </c>
      <c r="L1753">
        <v>0</v>
      </c>
      <c r="M1753">
        <v>0</v>
      </c>
      <c r="N1753">
        <v>0</v>
      </c>
    </row>
    <row r="1754" spans="1:15">
      <c r="A1754" t="s">
        <v>16874</v>
      </c>
      <c r="B1754" t="s">
        <v>331</v>
      </c>
      <c r="C1754" t="s">
        <v>16875</v>
      </c>
      <c r="D1754" t="s">
        <v>16876</v>
      </c>
      <c r="E1754" t="b">
        <v>0</v>
      </c>
      <c r="F1754" t="s">
        <v>11610</v>
      </c>
      <c r="L1754">
        <v>0</v>
      </c>
      <c r="M1754">
        <v>0</v>
      </c>
      <c r="N1754">
        <v>0</v>
      </c>
    </row>
    <row r="1755" spans="1:15">
      <c r="A1755" t="s">
        <v>16877</v>
      </c>
      <c r="B1755" t="s">
        <v>14314</v>
      </c>
      <c r="C1755" t="s">
        <v>16878</v>
      </c>
      <c r="D1755" t="s">
        <v>16879</v>
      </c>
      <c r="E1755" t="b">
        <v>0</v>
      </c>
      <c r="F1755" t="s">
        <v>11610</v>
      </c>
      <c r="L1755">
        <v>0</v>
      </c>
      <c r="M1755">
        <v>0</v>
      </c>
      <c r="N1755">
        <v>0</v>
      </c>
    </row>
    <row r="1756" spans="1:15">
      <c r="A1756" t="s">
        <v>16880</v>
      </c>
      <c r="B1756" t="s">
        <v>11637</v>
      </c>
      <c r="C1756" t="s">
        <v>16881</v>
      </c>
      <c r="D1756" t="s">
        <v>16882</v>
      </c>
      <c r="E1756" t="b">
        <v>0</v>
      </c>
      <c r="F1756" t="s">
        <v>11610</v>
      </c>
      <c r="L1756">
        <v>0</v>
      </c>
      <c r="M1756">
        <v>0</v>
      </c>
      <c r="N1756">
        <v>0</v>
      </c>
    </row>
    <row r="1757" spans="1:15">
      <c r="A1757" t="s">
        <v>16883</v>
      </c>
      <c r="B1757" t="s">
        <v>11637</v>
      </c>
      <c r="C1757" t="s">
        <v>16884</v>
      </c>
      <c r="D1757" t="s">
        <v>16885</v>
      </c>
      <c r="E1757" t="b">
        <v>0</v>
      </c>
      <c r="F1757" t="s">
        <v>11610</v>
      </c>
      <c r="L1757">
        <v>0</v>
      </c>
      <c r="M1757">
        <v>0</v>
      </c>
      <c r="N1757">
        <v>0</v>
      </c>
    </row>
    <row r="1758" spans="1:15">
      <c r="A1758" t="s">
        <v>16886</v>
      </c>
      <c r="B1758" t="s">
        <v>11637</v>
      </c>
      <c r="C1758" t="s">
        <v>16887</v>
      </c>
      <c r="D1758" t="s">
        <v>16888</v>
      </c>
      <c r="E1758" t="b">
        <v>0</v>
      </c>
      <c r="F1758" t="s">
        <v>11610</v>
      </c>
      <c r="L1758">
        <v>0</v>
      </c>
      <c r="M1758">
        <v>0</v>
      </c>
      <c r="N1758">
        <v>0</v>
      </c>
    </row>
    <row r="1759" spans="1:15">
      <c r="A1759" t="s">
        <v>16889</v>
      </c>
      <c r="B1759" t="s">
        <v>12438</v>
      </c>
      <c r="C1759" t="s">
        <v>16890</v>
      </c>
      <c r="D1759" t="s">
        <v>16891</v>
      </c>
      <c r="E1759" t="b">
        <v>0</v>
      </c>
      <c r="F1759" t="s">
        <v>11610</v>
      </c>
      <c r="L1759">
        <v>0</v>
      </c>
      <c r="M1759">
        <v>0</v>
      </c>
      <c r="N1759">
        <v>0</v>
      </c>
    </row>
    <row r="1760" spans="1:15">
      <c r="A1760" t="s">
        <v>16892</v>
      </c>
      <c r="B1760" t="s">
        <v>11644</v>
      </c>
      <c r="C1760" t="s">
        <v>16893</v>
      </c>
      <c r="D1760" t="s">
        <v>16894</v>
      </c>
      <c r="E1760" t="b">
        <v>0</v>
      </c>
      <c r="F1760" t="s">
        <v>11610</v>
      </c>
      <c r="L1760">
        <v>0</v>
      </c>
      <c r="M1760">
        <v>0</v>
      </c>
      <c r="N1760">
        <v>0</v>
      </c>
    </row>
    <row r="1761" spans="1:15">
      <c r="A1761" t="s">
        <v>16895</v>
      </c>
      <c r="B1761" t="s">
        <v>11644</v>
      </c>
      <c r="C1761" t="s">
        <v>16896</v>
      </c>
      <c r="D1761" t="s">
        <v>16897</v>
      </c>
      <c r="E1761" t="b">
        <v>0</v>
      </c>
      <c r="F1761" t="s">
        <v>11624</v>
      </c>
      <c r="G1761">
        <v>28.376799999999999</v>
      </c>
      <c r="H1761">
        <v>85.058400000000006</v>
      </c>
      <c r="I1761" t="s">
        <v>16898</v>
      </c>
      <c r="L1761">
        <v>0</v>
      </c>
      <c r="M1761">
        <v>0</v>
      </c>
      <c r="N1761">
        <v>0</v>
      </c>
      <c r="O1761" t="s">
        <v>16899</v>
      </c>
    </row>
    <row r="1762" spans="1:15">
      <c r="A1762" t="s">
        <v>16900</v>
      </c>
      <c r="B1762" t="s">
        <v>6742</v>
      </c>
      <c r="C1762" t="s">
        <v>16901</v>
      </c>
      <c r="D1762" t="s">
        <v>16902</v>
      </c>
      <c r="E1762" t="b">
        <v>0</v>
      </c>
      <c r="F1762" t="s">
        <v>11610</v>
      </c>
      <c r="L1762">
        <v>0</v>
      </c>
      <c r="M1762">
        <v>0</v>
      </c>
      <c r="N1762">
        <v>0</v>
      </c>
    </row>
    <row r="1763" spans="1:15">
      <c r="A1763" t="s">
        <v>16903</v>
      </c>
      <c r="B1763" t="s">
        <v>6742</v>
      </c>
      <c r="C1763" t="s">
        <v>11737</v>
      </c>
      <c r="D1763" t="s">
        <v>16904</v>
      </c>
      <c r="E1763" t="b">
        <v>0</v>
      </c>
      <c r="F1763" t="s">
        <v>11610</v>
      </c>
      <c r="L1763">
        <v>0</v>
      </c>
      <c r="M1763">
        <v>0</v>
      </c>
      <c r="N1763">
        <v>0</v>
      </c>
    </row>
    <row r="1764" spans="1:15">
      <c r="A1764" t="s">
        <v>16905</v>
      </c>
      <c r="B1764" t="s">
        <v>6742</v>
      </c>
      <c r="C1764" t="s">
        <v>16906</v>
      </c>
      <c r="D1764" t="s">
        <v>16907</v>
      </c>
      <c r="E1764" t="b">
        <v>0</v>
      </c>
      <c r="F1764" t="s">
        <v>11622</v>
      </c>
      <c r="L1764">
        <v>0</v>
      </c>
      <c r="M1764">
        <v>3</v>
      </c>
      <c r="N1764">
        <v>0</v>
      </c>
    </row>
    <row r="1765" spans="1:15">
      <c r="A1765" t="s">
        <v>16908</v>
      </c>
      <c r="B1765" t="s">
        <v>6742</v>
      </c>
      <c r="C1765" t="s">
        <v>16905</v>
      </c>
      <c r="D1765" t="s">
        <v>16909</v>
      </c>
      <c r="E1765" t="b">
        <v>0</v>
      </c>
      <c r="F1765" t="s">
        <v>11624</v>
      </c>
      <c r="G1765">
        <v>3.3464200000000002</v>
      </c>
      <c r="H1765">
        <v>26.861000000000001</v>
      </c>
      <c r="I1765" t="s">
        <v>16910</v>
      </c>
      <c r="L1765">
        <v>0</v>
      </c>
      <c r="M1765">
        <v>0</v>
      </c>
      <c r="N1765">
        <v>0</v>
      </c>
      <c r="O1765" t="s">
        <v>14825</v>
      </c>
    </row>
    <row r="1766" spans="1:15">
      <c r="A1766" t="s">
        <v>16911</v>
      </c>
      <c r="B1766" t="s">
        <v>6742</v>
      </c>
      <c r="C1766" t="s">
        <v>16912</v>
      </c>
      <c r="D1766" t="s">
        <v>16913</v>
      </c>
      <c r="E1766" t="b">
        <v>0</v>
      </c>
      <c r="F1766" t="s">
        <v>11624</v>
      </c>
      <c r="G1766">
        <v>-2.4965899999999999</v>
      </c>
      <c r="H1766">
        <v>10.6777</v>
      </c>
      <c r="I1766" t="s">
        <v>16914</v>
      </c>
      <c r="L1766">
        <v>0</v>
      </c>
      <c r="M1766">
        <v>0</v>
      </c>
      <c r="N1766">
        <v>0</v>
      </c>
      <c r="O1766" t="s">
        <v>16915</v>
      </c>
    </row>
    <row r="1767" spans="1:15">
      <c r="A1767" t="s">
        <v>16916</v>
      </c>
      <c r="B1767" t="s">
        <v>11757</v>
      </c>
      <c r="C1767" t="s">
        <v>16081</v>
      </c>
      <c r="D1767" t="s">
        <v>16917</v>
      </c>
      <c r="E1767" t="b">
        <v>0</v>
      </c>
      <c r="F1767" t="s">
        <v>11610</v>
      </c>
      <c r="L1767">
        <v>0</v>
      </c>
      <c r="M1767">
        <v>0</v>
      </c>
      <c r="N1767">
        <v>0</v>
      </c>
    </row>
    <row r="1768" spans="1:15">
      <c r="A1768" t="s">
        <v>16918</v>
      </c>
      <c r="B1768" t="s">
        <v>13276</v>
      </c>
      <c r="C1768" t="s">
        <v>16919</v>
      </c>
      <c r="D1768" t="s">
        <v>16920</v>
      </c>
      <c r="E1768" t="b">
        <v>0</v>
      </c>
      <c r="F1768" t="s">
        <v>11610</v>
      </c>
      <c r="L1768">
        <v>0</v>
      </c>
      <c r="M1768">
        <v>0</v>
      </c>
      <c r="N1768">
        <v>0</v>
      </c>
    </row>
    <row r="1769" spans="1:15">
      <c r="A1769" t="s">
        <v>16921</v>
      </c>
      <c r="B1769" t="s">
        <v>13276</v>
      </c>
      <c r="C1769" t="s">
        <v>16922</v>
      </c>
      <c r="D1769" t="s">
        <v>16923</v>
      </c>
      <c r="E1769" t="b">
        <v>0</v>
      </c>
      <c r="F1769" t="s">
        <v>11610</v>
      </c>
      <c r="L1769">
        <v>0</v>
      </c>
      <c r="M1769">
        <v>0</v>
      </c>
      <c r="N1769">
        <v>0</v>
      </c>
    </row>
    <row r="1770" spans="1:15">
      <c r="A1770" t="s">
        <v>16924</v>
      </c>
      <c r="B1770" t="s">
        <v>367</v>
      </c>
      <c r="C1770" t="s">
        <v>16925</v>
      </c>
      <c r="D1770" t="s">
        <v>16926</v>
      </c>
      <c r="E1770" t="b">
        <v>0</v>
      </c>
      <c r="F1770" t="s">
        <v>11610</v>
      </c>
      <c r="L1770">
        <v>0</v>
      </c>
      <c r="M1770">
        <v>0</v>
      </c>
      <c r="N1770">
        <v>0</v>
      </c>
    </row>
    <row r="1771" spans="1:15">
      <c r="A1771" t="s">
        <v>16927</v>
      </c>
      <c r="B1771" t="s">
        <v>367</v>
      </c>
      <c r="C1771" t="s">
        <v>16928</v>
      </c>
      <c r="D1771" t="s">
        <v>16929</v>
      </c>
      <c r="E1771" t="b">
        <v>0</v>
      </c>
      <c r="F1771" t="s">
        <v>11624</v>
      </c>
      <c r="G1771">
        <v>-6.7393999999999998</v>
      </c>
      <c r="H1771">
        <v>134.67099999999999</v>
      </c>
      <c r="I1771" t="s">
        <v>16930</v>
      </c>
      <c r="L1771">
        <v>0</v>
      </c>
      <c r="M1771">
        <v>0</v>
      </c>
      <c r="N1771">
        <v>2</v>
      </c>
      <c r="O1771" t="s">
        <v>11768</v>
      </c>
    </row>
    <row r="1772" spans="1:15">
      <c r="A1772" t="s">
        <v>16931</v>
      </c>
      <c r="B1772" t="s">
        <v>367</v>
      </c>
      <c r="C1772" t="s">
        <v>16932</v>
      </c>
      <c r="D1772" t="s">
        <v>16933</v>
      </c>
      <c r="E1772" t="b">
        <v>0</v>
      </c>
      <c r="F1772" t="s">
        <v>11610</v>
      </c>
      <c r="L1772">
        <v>0</v>
      </c>
      <c r="M1772">
        <v>0</v>
      </c>
      <c r="N1772">
        <v>0</v>
      </c>
    </row>
    <row r="1773" spans="1:15">
      <c r="A1773" t="s">
        <v>3926</v>
      </c>
      <c r="B1773" t="s">
        <v>367</v>
      </c>
      <c r="C1773" t="s">
        <v>16934</v>
      </c>
      <c r="D1773" t="s">
        <v>16935</v>
      </c>
      <c r="E1773" t="b">
        <v>0</v>
      </c>
      <c r="F1773" t="s">
        <v>11624</v>
      </c>
      <c r="G1773">
        <v>-23.971599999999999</v>
      </c>
      <c r="H1773">
        <v>45.593699999999998</v>
      </c>
      <c r="I1773" t="s">
        <v>3927</v>
      </c>
      <c r="L1773">
        <v>0</v>
      </c>
      <c r="M1773">
        <v>0</v>
      </c>
      <c r="N1773">
        <v>0</v>
      </c>
      <c r="O1773" t="s">
        <v>14012</v>
      </c>
    </row>
    <row r="1774" spans="1:15">
      <c r="A1774" t="s">
        <v>16936</v>
      </c>
      <c r="B1774" t="s">
        <v>367</v>
      </c>
      <c r="C1774" t="s">
        <v>15907</v>
      </c>
      <c r="D1774" t="s">
        <v>16937</v>
      </c>
      <c r="E1774" t="b">
        <v>0</v>
      </c>
      <c r="F1774" t="s">
        <v>11624</v>
      </c>
      <c r="G1774">
        <v>3.5121099999999998</v>
      </c>
      <c r="H1774">
        <v>114.482</v>
      </c>
      <c r="I1774" t="s">
        <v>16938</v>
      </c>
      <c r="L1774">
        <v>0</v>
      </c>
      <c r="M1774">
        <v>0</v>
      </c>
      <c r="N1774">
        <v>2</v>
      </c>
      <c r="O1774" t="s">
        <v>11672</v>
      </c>
    </row>
    <row r="1775" spans="1:15">
      <c r="A1775" t="s">
        <v>16939</v>
      </c>
      <c r="B1775" t="s">
        <v>367</v>
      </c>
      <c r="C1775" t="s">
        <v>16940</v>
      </c>
      <c r="D1775" t="s">
        <v>16941</v>
      </c>
      <c r="E1775" t="b">
        <v>0</v>
      </c>
      <c r="F1775" t="s">
        <v>11624</v>
      </c>
      <c r="G1775">
        <v>-1.5667</v>
      </c>
      <c r="H1775">
        <v>119.342</v>
      </c>
      <c r="I1775" t="s">
        <v>16942</v>
      </c>
      <c r="L1775">
        <v>0</v>
      </c>
      <c r="M1775">
        <v>0</v>
      </c>
      <c r="N1775">
        <v>0</v>
      </c>
      <c r="O1775" t="s">
        <v>11768</v>
      </c>
    </row>
    <row r="1776" spans="1:15">
      <c r="A1776" t="s">
        <v>16943</v>
      </c>
      <c r="B1776" t="s">
        <v>367</v>
      </c>
      <c r="C1776" t="s">
        <v>16944</v>
      </c>
      <c r="D1776" t="s">
        <v>16945</v>
      </c>
      <c r="E1776" t="b">
        <v>0</v>
      </c>
      <c r="F1776" t="s">
        <v>11610</v>
      </c>
      <c r="L1776">
        <v>0</v>
      </c>
      <c r="M1776">
        <v>0</v>
      </c>
      <c r="N1776">
        <v>0</v>
      </c>
    </row>
    <row r="1777" spans="1:15">
      <c r="A1777" t="s">
        <v>16946</v>
      </c>
      <c r="B1777" t="s">
        <v>16947</v>
      </c>
      <c r="C1777" t="s">
        <v>16948</v>
      </c>
      <c r="D1777" t="s">
        <v>16949</v>
      </c>
      <c r="E1777" t="b">
        <v>0</v>
      </c>
      <c r="F1777" t="s">
        <v>11610</v>
      </c>
      <c r="L1777">
        <v>0</v>
      </c>
      <c r="M1777">
        <v>0</v>
      </c>
      <c r="N1777">
        <v>0</v>
      </c>
    </row>
    <row r="1778" spans="1:15">
      <c r="A1778" t="s">
        <v>16950</v>
      </c>
      <c r="B1778" t="s">
        <v>15162</v>
      </c>
      <c r="C1778" t="s">
        <v>15163</v>
      </c>
      <c r="D1778" t="s">
        <v>16951</v>
      </c>
      <c r="E1778" t="b">
        <v>0</v>
      </c>
      <c r="F1778" t="s">
        <v>11610</v>
      </c>
      <c r="L1778">
        <v>0</v>
      </c>
      <c r="M1778">
        <v>0</v>
      </c>
      <c r="N1778">
        <v>0</v>
      </c>
    </row>
    <row r="1779" spans="1:15">
      <c r="A1779" t="s">
        <v>16952</v>
      </c>
      <c r="B1779" t="s">
        <v>15142</v>
      </c>
      <c r="C1779" t="s">
        <v>16953</v>
      </c>
      <c r="D1779" t="s">
        <v>16954</v>
      </c>
      <c r="E1779" t="b">
        <v>0</v>
      </c>
      <c r="F1779" t="s">
        <v>11624</v>
      </c>
      <c r="G1779">
        <v>-2.2873199999999998</v>
      </c>
      <c r="H1779">
        <v>137.054</v>
      </c>
      <c r="I1779" t="s">
        <v>16955</v>
      </c>
      <c r="L1779">
        <v>0</v>
      </c>
      <c r="M1779">
        <v>0</v>
      </c>
      <c r="N1779">
        <v>2</v>
      </c>
      <c r="O1779" t="s">
        <v>11768</v>
      </c>
    </row>
    <row r="1780" spans="1:15">
      <c r="A1780" t="s">
        <v>16956</v>
      </c>
      <c r="B1780" t="s">
        <v>12218</v>
      </c>
      <c r="C1780" t="s">
        <v>12218</v>
      </c>
      <c r="D1780" t="s">
        <v>16957</v>
      </c>
      <c r="E1780" t="b">
        <v>0</v>
      </c>
      <c r="F1780" t="s">
        <v>11622</v>
      </c>
      <c r="L1780">
        <v>1</v>
      </c>
      <c r="M1780">
        <v>4</v>
      </c>
      <c r="N1780">
        <v>19</v>
      </c>
    </row>
    <row r="1781" spans="1:15">
      <c r="A1781" t="s">
        <v>16958</v>
      </c>
      <c r="B1781" t="s">
        <v>12218</v>
      </c>
      <c r="C1781" t="s">
        <v>16956</v>
      </c>
      <c r="D1781" t="s">
        <v>16959</v>
      </c>
      <c r="E1781" t="b">
        <v>0</v>
      </c>
      <c r="F1781" t="s">
        <v>11622</v>
      </c>
      <c r="L1781">
        <v>0</v>
      </c>
      <c r="M1781">
        <v>2</v>
      </c>
      <c r="N1781">
        <v>2</v>
      </c>
    </row>
    <row r="1782" spans="1:15">
      <c r="A1782" t="s">
        <v>16960</v>
      </c>
      <c r="B1782" t="s">
        <v>11794</v>
      </c>
      <c r="C1782" t="s">
        <v>16961</v>
      </c>
      <c r="D1782" t="s">
        <v>16962</v>
      </c>
      <c r="E1782" t="b">
        <v>0</v>
      </c>
      <c r="F1782" t="s">
        <v>11624</v>
      </c>
      <c r="G1782">
        <v>-8.4885000000000002</v>
      </c>
      <c r="H1782">
        <v>143.00200000000001</v>
      </c>
      <c r="I1782" t="s">
        <v>16963</v>
      </c>
      <c r="L1782">
        <v>0</v>
      </c>
      <c r="M1782">
        <v>0</v>
      </c>
      <c r="N1782">
        <v>0</v>
      </c>
      <c r="O1782" t="s">
        <v>11660</v>
      </c>
    </row>
    <row r="1783" spans="1:15">
      <c r="A1783" t="s">
        <v>16964</v>
      </c>
      <c r="B1783" t="s">
        <v>2975</v>
      </c>
      <c r="C1783" t="s">
        <v>16965</v>
      </c>
      <c r="D1783" t="s">
        <v>16966</v>
      </c>
      <c r="E1783" t="b">
        <v>0</v>
      </c>
      <c r="F1783" t="s">
        <v>11624</v>
      </c>
      <c r="G1783">
        <v>2.1930000000000002E-2</v>
      </c>
      <c r="H1783">
        <v>-70.808000000000007</v>
      </c>
      <c r="I1783" t="s">
        <v>16967</v>
      </c>
      <c r="L1783">
        <v>0</v>
      </c>
      <c r="M1783">
        <v>0</v>
      </c>
      <c r="N1783">
        <v>3</v>
      </c>
      <c r="O1783" t="s">
        <v>11898</v>
      </c>
    </row>
    <row r="1784" spans="1:15">
      <c r="A1784" t="s">
        <v>16968</v>
      </c>
      <c r="B1784" t="s">
        <v>11607</v>
      </c>
      <c r="C1784" t="s">
        <v>16969</v>
      </c>
      <c r="D1784" t="s">
        <v>16970</v>
      </c>
      <c r="E1784" t="b">
        <v>0</v>
      </c>
      <c r="F1784" t="s">
        <v>11610</v>
      </c>
      <c r="L1784">
        <v>0</v>
      </c>
      <c r="M1784">
        <v>0</v>
      </c>
      <c r="N1784">
        <v>0</v>
      </c>
    </row>
    <row r="1785" spans="1:15">
      <c r="A1785" t="s">
        <v>16971</v>
      </c>
      <c r="B1785" t="s">
        <v>12241</v>
      </c>
      <c r="C1785" t="s">
        <v>16972</v>
      </c>
      <c r="D1785" t="s">
        <v>3925</v>
      </c>
      <c r="E1785" t="b">
        <v>0</v>
      </c>
      <c r="F1785" t="s">
        <v>11610</v>
      </c>
      <c r="L1785">
        <v>0</v>
      </c>
      <c r="M1785">
        <v>0</v>
      </c>
      <c r="N1785">
        <v>0</v>
      </c>
    </row>
    <row r="1786" spans="1:15">
      <c r="A1786" t="s">
        <v>16973</v>
      </c>
      <c r="B1786" t="s">
        <v>11607</v>
      </c>
      <c r="C1786" t="s">
        <v>13237</v>
      </c>
      <c r="D1786" t="s">
        <v>16974</v>
      </c>
      <c r="E1786" t="b">
        <v>0</v>
      </c>
      <c r="F1786" t="s">
        <v>11610</v>
      </c>
      <c r="L1786">
        <v>0</v>
      </c>
      <c r="M1786">
        <v>0</v>
      </c>
      <c r="N1786">
        <v>0</v>
      </c>
    </row>
    <row r="1787" spans="1:15">
      <c r="A1787" t="s">
        <v>16953</v>
      </c>
      <c r="B1787" t="s">
        <v>15142</v>
      </c>
      <c r="C1787" t="s">
        <v>15142</v>
      </c>
      <c r="D1787" t="s">
        <v>16975</v>
      </c>
      <c r="E1787" t="b">
        <v>0</v>
      </c>
      <c r="F1787" t="s">
        <v>11622</v>
      </c>
      <c r="L1787">
        <v>1</v>
      </c>
      <c r="M1787">
        <v>3</v>
      </c>
      <c r="N1787">
        <v>2</v>
      </c>
    </row>
    <row r="1788" spans="1:15">
      <c r="A1788" t="s">
        <v>16976</v>
      </c>
      <c r="B1788" t="s">
        <v>2975</v>
      </c>
      <c r="C1788" t="s">
        <v>16977</v>
      </c>
      <c r="D1788" t="s">
        <v>16978</v>
      </c>
      <c r="E1788" t="b">
        <v>0</v>
      </c>
      <c r="F1788" t="s">
        <v>11622</v>
      </c>
      <c r="L1788">
        <v>0</v>
      </c>
      <c r="M1788">
        <v>2</v>
      </c>
      <c r="N1788">
        <v>2</v>
      </c>
    </row>
    <row r="1789" spans="1:15">
      <c r="A1789" t="s">
        <v>16934</v>
      </c>
      <c r="B1789" t="s">
        <v>367</v>
      </c>
      <c r="C1789" t="s">
        <v>16979</v>
      </c>
      <c r="D1789" t="s">
        <v>16980</v>
      </c>
      <c r="E1789" t="b">
        <v>0</v>
      </c>
      <c r="F1789" t="s">
        <v>11622</v>
      </c>
      <c r="L1789">
        <v>0</v>
      </c>
      <c r="M1789">
        <v>2</v>
      </c>
      <c r="N1789">
        <v>5</v>
      </c>
    </row>
    <row r="1790" spans="1:15">
      <c r="A1790" t="s">
        <v>16981</v>
      </c>
      <c r="B1790" t="s">
        <v>10597</v>
      </c>
      <c r="C1790" t="s">
        <v>16982</v>
      </c>
      <c r="D1790" t="s">
        <v>16983</v>
      </c>
      <c r="E1790" t="b">
        <v>0</v>
      </c>
      <c r="F1790" t="s">
        <v>11610</v>
      </c>
      <c r="I1790" t="s">
        <v>16984</v>
      </c>
      <c r="L1790">
        <v>0</v>
      </c>
      <c r="M1790">
        <v>0</v>
      </c>
      <c r="N1790">
        <v>0</v>
      </c>
      <c r="O1790" t="s">
        <v>12107</v>
      </c>
    </row>
    <row r="1791" spans="1:15">
      <c r="A1791" t="s">
        <v>16985</v>
      </c>
      <c r="B1791" t="s">
        <v>16986</v>
      </c>
      <c r="C1791" t="s">
        <v>16987</v>
      </c>
      <c r="D1791" t="s">
        <v>16988</v>
      </c>
      <c r="E1791" t="b">
        <v>0</v>
      </c>
      <c r="F1791" t="s">
        <v>11610</v>
      </c>
      <c r="L1791">
        <v>0</v>
      </c>
      <c r="M1791">
        <v>0</v>
      </c>
      <c r="N1791">
        <v>0</v>
      </c>
    </row>
    <row r="1792" spans="1:15">
      <c r="A1792" t="s">
        <v>16989</v>
      </c>
      <c r="B1792" t="s">
        <v>12241</v>
      </c>
      <c r="C1792" t="s">
        <v>16990</v>
      </c>
      <c r="D1792" t="s">
        <v>16991</v>
      </c>
      <c r="E1792" t="b">
        <v>0</v>
      </c>
      <c r="F1792" t="s">
        <v>11624</v>
      </c>
      <c r="G1792">
        <v>1.5206</v>
      </c>
      <c r="H1792">
        <v>-78.483400000000003</v>
      </c>
      <c r="I1792" t="s">
        <v>16992</v>
      </c>
      <c r="L1792">
        <v>0</v>
      </c>
      <c r="M1792">
        <v>0</v>
      </c>
      <c r="N1792">
        <v>0</v>
      </c>
      <c r="O1792" t="s">
        <v>11898</v>
      </c>
    </row>
    <row r="1793" spans="1:15">
      <c r="A1793" t="s">
        <v>16993</v>
      </c>
      <c r="B1793" t="s">
        <v>11637</v>
      </c>
      <c r="C1793" t="s">
        <v>16994</v>
      </c>
      <c r="D1793" t="s">
        <v>16995</v>
      </c>
      <c r="E1793" t="b">
        <v>0</v>
      </c>
      <c r="F1793" t="s">
        <v>11610</v>
      </c>
      <c r="L1793">
        <v>0</v>
      </c>
      <c r="M1793">
        <v>0</v>
      </c>
      <c r="N1793">
        <v>0</v>
      </c>
    </row>
    <row r="1794" spans="1:15">
      <c r="A1794" t="s">
        <v>16996</v>
      </c>
      <c r="B1794" t="s">
        <v>16997</v>
      </c>
      <c r="C1794" t="s">
        <v>16998</v>
      </c>
      <c r="D1794" t="s">
        <v>16999</v>
      </c>
      <c r="E1794" t="b">
        <v>0</v>
      </c>
      <c r="F1794" t="s">
        <v>11624</v>
      </c>
      <c r="G1794">
        <v>34.462000000000003</v>
      </c>
      <c r="H1794">
        <v>-119.699</v>
      </c>
      <c r="I1794" t="s">
        <v>17000</v>
      </c>
      <c r="L1794">
        <v>0</v>
      </c>
      <c r="M1794">
        <v>0</v>
      </c>
      <c r="N1794">
        <v>0</v>
      </c>
      <c r="O1794" t="s">
        <v>11944</v>
      </c>
    </row>
    <row r="1795" spans="1:15">
      <c r="A1795" t="s">
        <v>15304</v>
      </c>
      <c r="D1795" t="s">
        <v>17001</v>
      </c>
      <c r="E1795" t="b">
        <v>0</v>
      </c>
      <c r="F1795" t="s">
        <v>11622</v>
      </c>
      <c r="L1795">
        <v>3</v>
      </c>
      <c r="M1795">
        <v>6</v>
      </c>
      <c r="N1795">
        <v>0</v>
      </c>
    </row>
    <row r="1796" spans="1:15">
      <c r="A1796" t="s">
        <v>17002</v>
      </c>
      <c r="B1796" t="s">
        <v>11637</v>
      </c>
      <c r="C1796" t="s">
        <v>17003</v>
      </c>
      <c r="D1796" t="s">
        <v>17004</v>
      </c>
      <c r="E1796" t="b">
        <v>0</v>
      </c>
      <c r="F1796" t="s">
        <v>11622</v>
      </c>
      <c r="L1796">
        <v>1</v>
      </c>
      <c r="M1796">
        <v>4</v>
      </c>
      <c r="N1796">
        <v>0</v>
      </c>
    </row>
    <row r="1797" spans="1:15">
      <c r="A1797" t="s">
        <v>16063</v>
      </c>
      <c r="B1797" t="s">
        <v>11637</v>
      </c>
      <c r="C1797" t="s">
        <v>17002</v>
      </c>
      <c r="D1797" t="s">
        <v>17005</v>
      </c>
      <c r="E1797" t="b">
        <v>0</v>
      </c>
      <c r="F1797" t="s">
        <v>11622</v>
      </c>
      <c r="L1797">
        <v>0</v>
      </c>
      <c r="M1797">
        <v>3</v>
      </c>
      <c r="N1797">
        <v>0</v>
      </c>
    </row>
    <row r="1798" spans="1:15">
      <c r="A1798" t="s">
        <v>16990</v>
      </c>
      <c r="B1798" t="s">
        <v>12241</v>
      </c>
      <c r="C1798" t="s">
        <v>12241</v>
      </c>
      <c r="D1798" t="s">
        <v>17006</v>
      </c>
      <c r="E1798" t="b">
        <v>0</v>
      </c>
      <c r="F1798" t="s">
        <v>11622</v>
      </c>
      <c r="L1798">
        <v>0</v>
      </c>
      <c r="M1798">
        <v>1</v>
      </c>
      <c r="N1798">
        <v>0</v>
      </c>
    </row>
    <row r="1799" spans="1:15">
      <c r="A1799" t="s">
        <v>17007</v>
      </c>
      <c r="B1799" t="s">
        <v>6742</v>
      </c>
      <c r="C1799" t="s">
        <v>17008</v>
      </c>
      <c r="D1799" t="s">
        <v>17009</v>
      </c>
      <c r="E1799" t="b">
        <v>0</v>
      </c>
      <c r="F1799" t="s">
        <v>11624</v>
      </c>
      <c r="G1799">
        <v>4.6784299999999996</v>
      </c>
      <c r="H1799">
        <v>-8.0937800000000006</v>
      </c>
      <c r="I1799" t="s">
        <v>17010</v>
      </c>
      <c r="L1799">
        <v>0</v>
      </c>
      <c r="M1799">
        <v>0</v>
      </c>
      <c r="N1799">
        <v>2</v>
      </c>
      <c r="O1799" t="s">
        <v>17011</v>
      </c>
    </row>
    <row r="1800" spans="1:15">
      <c r="A1800" t="s">
        <v>17008</v>
      </c>
      <c r="B1800" t="s">
        <v>6742</v>
      </c>
      <c r="C1800" t="s">
        <v>17012</v>
      </c>
      <c r="D1800" t="s">
        <v>17013</v>
      </c>
      <c r="E1800" t="b">
        <v>0</v>
      </c>
      <c r="F1800" t="s">
        <v>11622</v>
      </c>
      <c r="L1800">
        <v>1</v>
      </c>
      <c r="M1800">
        <v>3</v>
      </c>
      <c r="N1800">
        <v>11</v>
      </c>
    </row>
    <row r="1801" spans="1:15">
      <c r="A1801" t="s">
        <v>17014</v>
      </c>
      <c r="B1801" t="s">
        <v>11637</v>
      </c>
      <c r="C1801" t="s">
        <v>17015</v>
      </c>
      <c r="D1801" t="s">
        <v>17016</v>
      </c>
      <c r="E1801" t="b">
        <v>0</v>
      </c>
      <c r="F1801" t="s">
        <v>11610</v>
      </c>
      <c r="L1801">
        <v>0</v>
      </c>
      <c r="M1801">
        <v>0</v>
      </c>
      <c r="N1801">
        <v>0</v>
      </c>
    </row>
    <row r="1802" spans="1:15">
      <c r="A1802" t="s">
        <v>17017</v>
      </c>
      <c r="B1802" t="s">
        <v>11637</v>
      </c>
      <c r="C1802" t="s">
        <v>16734</v>
      </c>
      <c r="D1802" t="s">
        <v>17018</v>
      </c>
      <c r="E1802" t="b">
        <v>0</v>
      </c>
      <c r="F1802" t="s">
        <v>11610</v>
      </c>
      <c r="L1802">
        <v>0</v>
      </c>
      <c r="M1802">
        <v>0</v>
      </c>
      <c r="N1802">
        <v>0</v>
      </c>
    </row>
    <row r="1803" spans="1:15">
      <c r="A1803" t="s">
        <v>17019</v>
      </c>
      <c r="B1803" t="s">
        <v>11637</v>
      </c>
      <c r="C1803" t="s">
        <v>17020</v>
      </c>
      <c r="D1803" t="s">
        <v>17021</v>
      </c>
      <c r="E1803" t="b">
        <v>0</v>
      </c>
      <c r="F1803" t="s">
        <v>11610</v>
      </c>
      <c r="L1803">
        <v>0</v>
      </c>
      <c r="M1803">
        <v>0</v>
      </c>
      <c r="N1803">
        <v>0</v>
      </c>
    </row>
    <row r="1804" spans="1:15">
      <c r="A1804" t="s">
        <v>17022</v>
      </c>
      <c r="B1804" t="s">
        <v>17023</v>
      </c>
      <c r="C1804" t="s">
        <v>17024</v>
      </c>
      <c r="D1804" t="s">
        <v>17025</v>
      </c>
      <c r="E1804" t="b">
        <v>0</v>
      </c>
      <c r="F1804" t="s">
        <v>11622</v>
      </c>
      <c r="L1804">
        <v>0</v>
      </c>
      <c r="M1804">
        <v>2</v>
      </c>
      <c r="N1804">
        <v>2</v>
      </c>
    </row>
    <row r="1805" spans="1:15">
      <c r="A1805" t="s">
        <v>17026</v>
      </c>
      <c r="B1805" t="s">
        <v>17023</v>
      </c>
      <c r="C1805" t="s">
        <v>17022</v>
      </c>
      <c r="D1805" t="s">
        <v>17027</v>
      </c>
      <c r="E1805" t="b">
        <v>0</v>
      </c>
      <c r="F1805" t="s">
        <v>11624</v>
      </c>
      <c r="G1805">
        <v>-16.627400000000002</v>
      </c>
      <c r="H1805">
        <v>122.90600000000001</v>
      </c>
      <c r="I1805" t="s">
        <v>17028</v>
      </c>
      <c r="L1805">
        <v>0</v>
      </c>
      <c r="M1805">
        <v>0</v>
      </c>
      <c r="N1805">
        <v>2</v>
      </c>
      <c r="O1805" t="s">
        <v>12107</v>
      </c>
    </row>
    <row r="1806" spans="1:15">
      <c r="A1806" t="s">
        <v>17029</v>
      </c>
      <c r="B1806" t="s">
        <v>17030</v>
      </c>
      <c r="C1806" t="s">
        <v>17031</v>
      </c>
      <c r="D1806" t="s">
        <v>17032</v>
      </c>
      <c r="E1806" t="b">
        <v>0</v>
      </c>
      <c r="F1806" t="s">
        <v>11610</v>
      </c>
      <c r="L1806">
        <v>0</v>
      </c>
      <c r="M1806">
        <v>0</v>
      </c>
      <c r="N1806">
        <v>0</v>
      </c>
    </row>
    <row r="1807" spans="1:15">
      <c r="A1807" t="s">
        <v>17033</v>
      </c>
      <c r="B1807" t="s">
        <v>11637</v>
      </c>
      <c r="C1807" t="s">
        <v>16777</v>
      </c>
      <c r="D1807" t="s">
        <v>17034</v>
      </c>
      <c r="E1807" t="b">
        <v>0</v>
      </c>
      <c r="F1807" t="s">
        <v>11610</v>
      </c>
      <c r="L1807">
        <v>0</v>
      </c>
      <c r="M1807">
        <v>0</v>
      </c>
      <c r="N1807">
        <v>0</v>
      </c>
    </row>
    <row r="1808" spans="1:15">
      <c r="A1808" t="s">
        <v>17035</v>
      </c>
      <c r="B1808" t="s">
        <v>6742</v>
      </c>
      <c r="C1808" t="s">
        <v>17036</v>
      </c>
      <c r="D1808" t="s">
        <v>17037</v>
      </c>
      <c r="E1808" t="b">
        <v>0</v>
      </c>
      <c r="F1808" t="s">
        <v>11610</v>
      </c>
      <c r="L1808">
        <v>0</v>
      </c>
      <c r="M1808">
        <v>0</v>
      </c>
      <c r="N1808">
        <v>0</v>
      </c>
    </row>
    <row r="1809" spans="1:15">
      <c r="A1809" t="s">
        <v>17038</v>
      </c>
      <c r="B1809" t="s">
        <v>367</v>
      </c>
      <c r="C1809" t="s">
        <v>17039</v>
      </c>
      <c r="D1809" t="s">
        <v>17040</v>
      </c>
      <c r="E1809" t="b">
        <v>0</v>
      </c>
      <c r="F1809" t="s">
        <v>11610</v>
      </c>
      <c r="L1809">
        <v>0</v>
      </c>
      <c r="M1809">
        <v>0</v>
      </c>
      <c r="N1809">
        <v>0</v>
      </c>
    </row>
    <row r="1810" spans="1:15">
      <c r="A1810" t="s">
        <v>17041</v>
      </c>
      <c r="B1810" t="s">
        <v>11615</v>
      </c>
      <c r="C1810" t="s">
        <v>17042</v>
      </c>
      <c r="D1810" t="s">
        <v>17043</v>
      </c>
      <c r="E1810" t="b">
        <v>0</v>
      </c>
      <c r="F1810" t="s">
        <v>11610</v>
      </c>
      <c r="L1810">
        <v>0</v>
      </c>
      <c r="M1810">
        <v>0</v>
      </c>
      <c r="N1810">
        <v>0</v>
      </c>
    </row>
    <row r="1811" spans="1:15">
      <c r="A1811" t="s">
        <v>17044</v>
      </c>
      <c r="B1811" t="s">
        <v>11615</v>
      </c>
      <c r="C1811" t="s">
        <v>17045</v>
      </c>
      <c r="D1811" t="s">
        <v>17046</v>
      </c>
      <c r="E1811" t="b">
        <v>0</v>
      </c>
      <c r="F1811" t="s">
        <v>11610</v>
      </c>
      <c r="L1811">
        <v>0</v>
      </c>
      <c r="M1811">
        <v>0</v>
      </c>
      <c r="N1811">
        <v>0</v>
      </c>
    </row>
    <row r="1812" spans="1:15">
      <c r="A1812" t="s">
        <v>17047</v>
      </c>
      <c r="B1812" t="s">
        <v>11894</v>
      </c>
      <c r="C1812" t="s">
        <v>13168</v>
      </c>
      <c r="D1812" t="s">
        <v>17048</v>
      </c>
      <c r="E1812" t="b">
        <v>0</v>
      </c>
      <c r="F1812" t="s">
        <v>11624</v>
      </c>
      <c r="G1812">
        <v>1.91649</v>
      </c>
      <c r="H1812">
        <v>-66.828000000000003</v>
      </c>
      <c r="I1812" t="s">
        <v>17049</v>
      </c>
      <c r="L1812">
        <v>0</v>
      </c>
      <c r="M1812">
        <v>0</v>
      </c>
      <c r="N1812">
        <v>0</v>
      </c>
      <c r="O1812" t="s">
        <v>16711</v>
      </c>
    </row>
    <row r="1813" spans="1:15">
      <c r="A1813" t="s">
        <v>17050</v>
      </c>
      <c r="B1813" t="s">
        <v>11607</v>
      </c>
      <c r="C1813" t="s">
        <v>17051</v>
      </c>
      <c r="D1813" t="s">
        <v>17052</v>
      </c>
      <c r="E1813" t="b">
        <v>0</v>
      </c>
      <c r="F1813" t="s">
        <v>11624</v>
      </c>
      <c r="G1813">
        <v>11.1168</v>
      </c>
      <c r="H1813">
        <v>18.0764</v>
      </c>
      <c r="I1813" t="s">
        <v>17053</v>
      </c>
      <c r="L1813">
        <v>0</v>
      </c>
      <c r="M1813">
        <v>0</v>
      </c>
      <c r="N1813">
        <v>4</v>
      </c>
      <c r="O1813" t="s">
        <v>13421</v>
      </c>
    </row>
    <row r="1814" spans="1:15">
      <c r="A1814" t="s">
        <v>17054</v>
      </c>
      <c r="B1814" t="s">
        <v>11607</v>
      </c>
      <c r="C1814" t="s">
        <v>17055</v>
      </c>
      <c r="D1814" t="s">
        <v>17056</v>
      </c>
      <c r="E1814" t="b">
        <v>0</v>
      </c>
      <c r="F1814" t="s">
        <v>11610</v>
      </c>
      <c r="L1814">
        <v>0</v>
      </c>
      <c r="M1814">
        <v>0</v>
      </c>
      <c r="N1814">
        <v>0</v>
      </c>
    </row>
    <row r="1815" spans="1:15">
      <c r="A1815" t="s">
        <v>17057</v>
      </c>
      <c r="B1815" t="s">
        <v>12250</v>
      </c>
      <c r="C1815" t="s">
        <v>2129</v>
      </c>
      <c r="D1815" t="s">
        <v>17058</v>
      </c>
      <c r="E1815" t="b">
        <v>0</v>
      </c>
      <c r="F1815" t="s">
        <v>11610</v>
      </c>
      <c r="L1815">
        <v>0</v>
      </c>
      <c r="M1815">
        <v>0</v>
      </c>
      <c r="N1815">
        <v>0</v>
      </c>
    </row>
    <row r="1816" spans="1:15">
      <c r="A1816" t="s">
        <v>17059</v>
      </c>
      <c r="B1816" t="s">
        <v>12250</v>
      </c>
      <c r="C1816" t="s">
        <v>17060</v>
      </c>
      <c r="D1816" t="s">
        <v>17061</v>
      </c>
      <c r="E1816" t="b">
        <v>0</v>
      </c>
      <c r="F1816" t="s">
        <v>11610</v>
      </c>
      <c r="L1816">
        <v>0</v>
      </c>
      <c r="M1816">
        <v>0</v>
      </c>
      <c r="N1816">
        <v>0</v>
      </c>
    </row>
    <row r="1817" spans="1:15">
      <c r="A1817" t="s">
        <v>17062</v>
      </c>
      <c r="B1817" t="s">
        <v>11615</v>
      </c>
      <c r="C1817" t="s">
        <v>17063</v>
      </c>
      <c r="D1817" t="s">
        <v>17064</v>
      </c>
      <c r="E1817" t="b">
        <v>0</v>
      </c>
      <c r="F1817" t="s">
        <v>11624</v>
      </c>
      <c r="G1817">
        <v>-4.8723000000000001</v>
      </c>
      <c r="H1817">
        <v>145.756</v>
      </c>
      <c r="I1817" t="s">
        <v>17065</v>
      </c>
      <c r="L1817">
        <v>0</v>
      </c>
      <c r="M1817">
        <v>0</v>
      </c>
      <c r="N1817">
        <v>0</v>
      </c>
      <c r="O1817" t="s">
        <v>11660</v>
      </c>
    </row>
    <row r="1818" spans="1:15">
      <c r="A1818" t="s">
        <v>17066</v>
      </c>
      <c r="B1818" t="s">
        <v>11729</v>
      </c>
      <c r="C1818" t="s">
        <v>17067</v>
      </c>
      <c r="D1818" t="s">
        <v>17068</v>
      </c>
      <c r="E1818" t="b">
        <v>0</v>
      </c>
      <c r="F1818" t="s">
        <v>11622</v>
      </c>
      <c r="L1818">
        <v>1</v>
      </c>
      <c r="M1818">
        <v>4</v>
      </c>
      <c r="N1818">
        <v>7</v>
      </c>
    </row>
    <row r="1819" spans="1:15">
      <c r="A1819" t="s">
        <v>17069</v>
      </c>
      <c r="B1819" t="s">
        <v>13450</v>
      </c>
      <c r="C1819" t="s">
        <v>17070</v>
      </c>
      <c r="D1819" t="s">
        <v>17071</v>
      </c>
      <c r="E1819" t="b">
        <v>0</v>
      </c>
      <c r="F1819" t="s">
        <v>11624</v>
      </c>
      <c r="G1819">
        <v>11.989000000000001</v>
      </c>
      <c r="H1819">
        <v>8.4330999999999996</v>
      </c>
      <c r="I1819" t="s">
        <v>17072</v>
      </c>
      <c r="L1819">
        <v>0</v>
      </c>
      <c r="M1819">
        <v>0</v>
      </c>
      <c r="N1819">
        <v>0</v>
      </c>
      <c r="O1819" t="s">
        <v>11693</v>
      </c>
    </row>
    <row r="1820" spans="1:15">
      <c r="A1820" t="s">
        <v>17073</v>
      </c>
      <c r="B1820" t="s">
        <v>11637</v>
      </c>
      <c r="C1820" t="s">
        <v>3565</v>
      </c>
      <c r="D1820" t="s">
        <v>17074</v>
      </c>
      <c r="E1820" t="b">
        <v>0</v>
      </c>
      <c r="F1820" t="s">
        <v>11610</v>
      </c>
      <c r="L1820">
        <v>0</v>
      </c>
      <c r="M1820">
        <v>0</v>
      </c>
      <c r="N1820">
        <v>0</v>
      </c>
    </row>
    <row r="1821" spans="1:15">
      <c r="A1821" t="s">
        <v>17075</v>
      </c>
      <c r="B1821" t="s">
        <v>11729</v>
      </c>
      <c r="C1821" t="s">
        <v>17076</v>
      </c>
      <c r="D1821" t="s">
        <v>17077</v>
      </c>
      <c r="E1821" t="b">
        <v>0</v>
      </c>
      <c r="F1821" t="s">
        <v>11610</v>
      </c>
      <c r="L1821">
        <v>0</v>
      </c>
      <c r="M1821">
        <v>0</v>
      </c>
      <c r="N1821">
        <v>0</v>
      </c>
    </row>
    <row r="1822" spans="1:15">
      <c r="A1822" t="s">
        <v>17078</v>
      </c>
      <c r="B1822" t="s">
        <v>11757</v>
      </c>
      <c r="C1822" t="s">
        <v>17079</v>
      </c>
      <c r="D1822" t="s">
        <v>17080</v>
      </c>
      <c r="E1822" t="b">
        <v>0</v>
      </c>
      <c r="F1822" t="s">
        <v>11622</v>
      </c>
      <c r="L1822">
        <v>0</v>
      </c>
      <c r="M1822">
        <v>3</v>
      </c>
      <c r="N1822">
        <v>5</v>
      </c>
    </row>
    <row r="1823" spans="1:15">
      <c r="A1823" t="s">
        <v>9059</v>
      </c>
      <c r="B1823" t="s">
        <v>11757</v>
      </c>
      <c r="C1823" t="s">
        <v>17078</v>
      </c>
      <c r="D1823" t="s">
        <v>17081</v>
      </c>
      <c r="E1823" t="b">
        <v>0</v>
      </c>
      <c r="F1823" t="s">
        <v>11624</v>
      </c>
      <c r="G1823">
        <v>4.1952199999999999</v>
      </c>
      <c r="H1823">
        <v>31.072299999999998</v>
      </c>
      <c r="I1823" t="s">
        <v>17082</v>
      </c>
      <c r="L1823">
        <v>0</v>
      </c>
      <c r="M1823">
        <v>0</v>
      </c>
      <c r="N1823">
        <v>5</v>
      </c>
      <c r="O1823" t="s">
        <v>11960</v>
      </c>
    </row>
    <row r="1824" spans="1:15">
      <c r="A1824" t="s">
        <v>17083</v>
      </c>
      <c r="B1824" t="s">
        <v>367</v>
      </c>
      <c r="C1824" t="s">
        <v>17084</v>
      </c>
      <c r="D1824" t="s">
        <v>17085</v>
      </c>
      <c r="E1824" t="b">
        <v>0</v>
      </c>
      <c r="F1824" t="s">
        <v>11624</v>
      </c>
      <c r="G1824">
        <v>-5.5087000000000002</v>
      </c>
      <c r="H1824">
        <v>148.666</v>
      </c>
      <c r="I1824" t="s">
        <v>17086</v>
      </c>
      <c r="L1824">
        <v>0</v>
      </c>
      <c r="M1824">
        <v>0</v>
      </c>
      <c r="N1824">
        <v>0</v>
      </c>
      <c r="O1824" t="s">
        <v>11660</v>
      </c>
    </row>
    <row r="1825" spans="1:15">
      <c r="A1825" t="s">
        <v>13530</v>
      </c>
      <c r="B1825" t="s">
        <v>367</v>
      </c>
      <c r="C1825" t="s">
        <v>17087</v>
      </c>
      <c r="D1825" t="s">
        <v>17088</v>
      </c>
      <c r="E1825" t="b">
        <v>0</v>
      </c>
      <c r="F1825" t="s">
        <v>11622</v>
      </c>
      <c r="L1825">
        <v>0</v>
      </c>
      <c r="M1825">
        <v>2</v>
      </c>
      <c r="N1825">
        <v>4</v>
      </c>
    </row>
    <row r="1826" spans="1:15">
      <c r="A1826" t="s">
        <v>17089</v>
      </c>
      <c r="B1826" t="s">
        <v>367</v>
      </c>
      <c r="C1826" t="s">
        <v>366</v>
      </c>
      <c r="D1826" t="s">
        <v>17090</v>
      </c>
      <c r="E1826" t="b">
        <v>0</v>
      </c>
      <c r="F1826" t="s">
        <v>11610</v>
      </c>
      <c r="L1826">
        <v>0</v>
      </c>
      <c r="M1826">
        <v>0</v>
      </c>
      <c r="N1826">
        <v>0</v>
      </c>
    </row>
    <row r="1827" spans="1:15">
      <c r="A1827" t="s">
        <v>17091</v>
      </c>
      <c r="B1827" t="s">
        <v>13769</v>
      </c>
      <c r="C1827" t="s">
        <v>17092</v>
      </c>
      <c r="D1827" t="s">
        <v>17093</v>
      </c>
      <c r="E1827" t="b">
        <v>0</v>
      </c>
      <c r="F1827" t="s">
        <v>11624</v>
      </c>
      <c r="G1827">
        <v>-9.2309999999999999</v>
      </c>
      <c r="H1827">
        <v>148.45400000000001</v>
      </c>
      <c r="I1827" t="s">
        <v>17094</v>
      </c>
      <c r="L1827">
        <v>0</v>
      </c>
      <c r="M1827">
        <v>0</v>
      </c>
      <c r="N1827">
        <v>0</v>
      </c>
      <c r="O1827" t="s">
        <v>11660</v>
      </c>
    </row>
    <row r="1828" spans="1:15">
      <c r="A1828" t="s">
        <v>17095</v>
      </c>
      <c r="B1828" t="s">
        <v>6455</v>
      </c>
      <c r="C1828" t="s">
        <v>17096</v>
      </c>
      <c r="D1828" t="s">
        <v>17097</v>
      </c>
      <c r="E1828" t="b">
        <v>0</v>
      </c>
      <c r="F1828" t="s">
        <v>11624</v>
      </c>
      <c r="G1828">
        <v>9.0849700000000002</v>
      </c>
      <c r="H1828">
        <v>-72.935299999999998</v>
      </c>
      <c r="I1828" t="s">
        <v>17098</v>
      </c>
      <c r="L1828">
        <v>0</v>
      </c>
      <c r="M1828">
        <v>0</v>
      </c>
      <c r="N1828">
        <v>0</v>
      </c>
      <c r="O1828" t="s">
        <v>17099</v>
      </c>
    </row>
    <row r="1829" spans="1:15">
      <c r="A1829" t="s">
        <v>17100</v>
      </c>
      <c r="B1829" t="s">
        <v>17101</v>
      </c>
      <c r="C1829" t="s">
        <v>17102</v>
      </c>
      <c r="D1829" t="s">
        <v>17103</v>
      </c>
      <c r="E1829" t="b">
        <v>0</v>
      </c>
      <c r="F1829" t="s">
        <v>11624</v>
      </c>
      <c r="G1829">
        <v>-7.0973899999999999</v>
      </c>
      <c r="H1829">
        <v>143.99279000000001</v>
      </c>
      <c r="I1829" t="s">
        <v>17104</v>
      </c>
      <c r="L1829">
        <v>0</v>
      </c>
      <c r="M1829">
        <v>0</v>
      </c>
      <c r="N1829">
        <v>0</v>
      </c>
      <c r="O1829" t="s">
        <v>11660</v>
      </c>
    </row>
    <row r="1830" spans="1:15">
      <c r="A1830" t="s">
        <v>17105</v>
      </c>
      <c r="B1830" t="s">
        <v>6742</v>
      </c>
      <c r="C1830" t="s">
        <v>16901</v>
      </c>
      <c r="D1830" t="s">
        <v>17106</v>
      </c>
      <c r="E1830" t="b">
        <v>0</v>
      </c>
      <c r="F1830" t="s">
        <v>11610</v>
      </c>
      <c r="L1830">
        <v>0</v>
      </c>
      <c r="M1830">
        <v>0</v>
      </c>
      <c r="N1830">
        <v>0</v>
      </c>
    </row>
    <row r="1831" spans="1:15">
      <c r="A1831" t="s">
        <v>17107</v>
      </c>
      <c r="B1831" t="s">
        <v>13276</v>
      </c>
      <c r="C1831" t="s">
        <v>16922</v>
      </c>
      <c r="D1831" t="s">
        <v>17108</v>
      </c>
      <c r="E1831" t="b">
        <v>0</v>
      </c>
      <c r="F1831" t="s">
        <v>11610</v>
      </c>
      <c r="L1831">
        <v>0</v>
      </c>
      <c r="M1831">
        <v>0</v>
      </c>
      <c r="N1831">
        <v>0</v>
      </c>
    </row>
    <row r="1832" spans="1:15">
      <c r="A1832" t="s">
        <v>17109</v>
      </c>
      <c r="B1832" t="s">
        <v>12514</v>
      </c>
      <c r="C1832" t="s">
        <v>12514</v>
      </c>
      <c r="D1832" t="s">
        <v>17110</v>
      </c>
      <c r="E1832" t="b">
        <v>0</v>
      </c>
      <c r="F1832" t="s">
        <v>11610</v>
      </c>
      <c r="L1832">
        <v>0</v>
      </c>
      <c r="M1832">
        <v>0</v>
      </c>
      <c r="N1832">
        <v>0</v>
      </c>
    </row>
    <row r="1833" spans="1:15">
      <c r="A1833" t="s">
        <v>17111</v>
      </c>
      <c r="B1833" t="s">
        <v>14005</v>
      </c>
      <c r="C1833" t="s">
        <v>17112</v>
      </c>
      <c r="D1833" t="s">
        <v>17113</v>
      </c>
      <c r="E1833" t="b">
        <v>0</v>
      </c>
      <c r="F1833" t="s">
        <v>11610</v>
      </c>
      <c r="L1833">
        <v>0</v>
      </c>
      <c r="M1833">
        <v>0</v>
      </c>
      <c r="N1833">
        <v>0</v>
      </c>
    </row>
    <row r="1834" spans="1:15">
      <c r="A1834" t="s">
        <v>17114</v>
      </c>
      <c r="B1834" t="s">
        <v>367</v>
      </c>
      <c r="C1834" t="s">
        <v>17115</v>
      </c>
      <c r="D1834" t="s">
        <v>17116</v>
      </c>
      <c r="E1834" t="b">
        <v>0</v>
      </c>
      <c r="F1834" t="s">
        <v>11610</v>
      </c>
      <c r="L1834">
        <v>0</v>
      </c>
      <c r="M1834">
        <v>0</v>
      </c>
      <c r="N1834">
        <v>0</v>
      </c>
    </row>
    <row r="1835" spans="1:15">
      <c r="A1835" t="s">
        <v>17117</v>
      </c>
      <c r="B1835" t="s">
        <v>11637</v>
      </c>
      <c r="C1835" t="s">
        <v>17118</v>
      </c>
      <c r="D1835" t="s">
        <v>17119</v>
      </c>
      <c r="E1835" t="b">
        <v>0</v>
      </c>
      <c r="F1835" t="s">
        <v>11610</v>
      </c>
      <c r="L1835">
        <v>0</v>
      </c>
      <c r="M1835">
        <v>0</v>
      </c>
      <c r="N1835">
        <v>0</v>
      </c>
    </row>
    <row r="1836" spans="1:15">
      <c r="A1836" t="s">
        <v>17120</v>
      </c>
      <c r="B1836" t="s">
        <v>11637</v>
      </c>
      <c r="C1836" t="s">
        <v>17121</v>
      </c>
      <c r="D1836" t="s">
        <v>17122</v>
      </c>
      <c r="E1836" t="b">
        <v>0</v>
      </c>
      <c r="F1836" t="s">
        <v>11610</v>
      </c>
      <c r="L1836">
        <v>0</v>
      </c>
      <c r="M1836">
        <v>0</v>
      </c>
      <c r="N1836">
        <v>0</v>
      </c>
    </row>
    <row r="1837" spans="1:15">
      <c r="A1837" t="s">
        <v>17123</v>
      </c>
      <c r="B1837" t="s">
        <v>11637</v>
      </c>
      <c r="C1837" t="s">
        <v>16777</v>
      </c>
      <c r="D1837" t="s">
        <v>17124</v>
      </c>
      <c r="E1837" t="b">
        <v>0</v>
      </c>
      <c r="F1837" t="s">
        <v>11610</v>
      </c>
      <c r="L1837">
        <v>0</v>
      </c>
      <c r="M1837">
        <v>0</v>
      </c>
      <c r="N1837">
        <v>0</v>
      </c>
    </row>
    <row r="1838" spans="1:15">
      <c r="A1838" t="s">
        <v>17125</v>
      </c>
      <c r="B1838" t="s">
        <v>6742</v>
      </c>
      <c r="C1838" t="s">
        <v>11790</v>
      </c>
      <c r="D1838" t="s">
        <v>17126</v>
      </c>
      <c r="E1838" t="b">
        <v>0</v>
      </c>
      <c r="F1838" t="s">
        <v>11624</v>
      </c>
      <c r="G1838">
        <v>4.6458399999999997</v>
      </c>
      <c r="H1838">
        <v>9.2526100000000007</v>
      </c>
      <c r="I1838" t="s">
        <v>17127</v>
      </c>
      <c r="L1838">
        <v>0</v>
      </c>
      <c r="M1838">
        <v>0</v>
      </c>
      <c r="N1838">
        <v>0</v>
      </c>
      <c r="O1838" t="s">
        <v>11703</v>
      </c>
    </row>
    <row r="1839" spans="1:15">
      <c r="A1839" t="s">
        <v>17128</v>
      </c>
      <c r="B1839" t="s">
        <v>367</v>
      </c>
      <c r="C1839" t="s">
        <v>17129</v>
      </c>
      <c r="D1839" t="s">
        <v>17130</v>
      </c>
      <c r="E1839" t="b">
        <v>0</v>
      </c>
      <c r="F1839" t="s">
        <v>11624</v>
      </c>
      <c r="G1839">
        <v>-3.4767199999999998</v>
      </c>
      <c r="H1839">
        <v>152.19300000000001</v>
      </c>
      <c r="I1839" t="s">
        <v>17131</v>
      </c>
      <c r="L1839">
        <v>0</v>
      </c>
      <c r="M1839">
        <v>0</v>
      </c>
      <c r="N1839">
        <v>2</v>
      </c>
      <c r="O1839" t="s">
        <v>11660</v>
      </c>
    </row>
    <row r="1840" spans="1:15">
      <c r="A1840" t="s">
        <v>17132</v>
      </c>
      <c r="B1840" t="s">
        <v>367</v>
      </c>
      <c r="C1840" t="s">
        <v>17133</v>
      </c>
      <c r="D1840" t="s">
        <v>17134</v>
      </c>
      <c r="E1840" t="b">
        <v>0</v>
      </c>
      <c r="F1840" t="s">
        <v>11610</v>
      </c>
      <c r="L1840">
        <v>0</v>
      </c>
      <c r="M1840">
        <v>0</v>
      </c>
      <c r="N1840">
        <v>0</v>
      </c>
    </row>
    <row r="1841" spans="1:15">
      <c r="A1841" t="s">
        <v>17135</v>
      </c>
      <c r="B1841" t="s">
        <v>367</v>
      </c>
      <c r="C1841" t="s">
        <v>15008</v>
      </c>
      <c r="D1841" t="s">
        <v>17136</v>
      </c>
      <c r="E1841" t="b">
        <v>0</v>
      </c>
      <c r="F1841" t="s">
        <v>11610</v>
      </c>
      <c r="L1841">
        <v>0</v>
      </c>
      <c r="M1841">
        <v>0</v>
      </c>
      <c r="N1841">
        <v>0</v>
      </c>
    </row>
    <row r="1842" spans="1:15">
      <c r="A1842" t="s">
        <v>17137</v>
      </c>
      <c r="B1842" t="s">
        <v>11644</v>
      </c>
      <c r="C1842" t="s">
        <v>17138</v>
      </c>
      <c r="D1842" t="s">
        <v>17139</v>
      </c>
      <c r="E1842" t="b">
        <v>0</v>
      </c>
      <c r="F1842" t="s">
        <v>11610</v>
      </c>
      <c r="L1842">
        <v>0</v>
      </c>
      <c r="M1842">
        <v>0</v>
      </c>
      <c r="N1842">
        <v>0</v>
      </c>
    </row>
    <row r="1843" spans="1:15">
      <c r="A1843" t="s">
        <v>17140</v>
      </c>
      <c r="B1843" t="s">
        <v>10597</v>
      </c>
      <c r="C1843" t="s">
        <v>17141</v>
      </c>
      <c r="D1843" t="s">
        <v>17142</v>
      </c>
      <c r="E1843" t="b">
        <v>0</v>
      </c>
      <c r="F1843" t="s">
        <v>11624</v>
      </c>
      <c r="G1843">
        <v>-14.1219</v>
      </c>
      <c r="H1843">
        <v>144.53100000000001</v>
      </c>
      <c r="I1843" t="s">
        <v>17143</v>
      </c>
      <c r="L1843">
        <v>0</v>
      </c>
      <c r="M1843">
        <v>0</v>
      </c>
      <c r="N1843">
        <v>0</v>
      </c>
      <c r="O1843" t="s">
        <v>12107</v>
      </c>
    </row>
    <row r="1844" spans="1:15">
      <c r="A1844" t="s">
        <v>17144</v>
      </c>
      <c r="B1844" t="s">
        <v>13276</v>
      </c>
      <c r="C1844" t="s">
        <v>17145</v>
      </c>
      <c r="D1844" t="s">
        <v>17146</v>
      </c>
      <c r="E1844" t="b">
        <v>0</v>
      </c>
      <c r="F1844" t="s">
        <v>11610</v>
      </c>
      <c r="L1844">
        <v>0</v>
      </c>
      <c r="M1844">
        <v>0</v>
      </c>
      <c r="N1844">
        <v>0</v>
      </c>
    </row>
    <row r="1845" spans="1:15">
      <c r="A1845" t="s">
        <v>17147</v>
      </c>
      <c r="B1845" t="s">
        <v>367</v>
      </c>
      <c r="C1845" t="s">
        <v>17148</v>
      </c>
      <c r="D1845" t="s">
        <v>17149</v>
      </c>
      <c r="E1845" t="b">
        <v>0</v>
      </c>
      <c r="F1845" t="s">
        <v>11610</v>
      </c>
      <c r="L1845">
        <v>0</v>
      </c>
      <c r="M1845">
        <v>0</v>
      </c>
      <c r="N1845">
        <v>0</v>
      </c>
    </row>
    <row r="1846" spans="1:15">
      <c r="A1846" t="s">
        <v>17150</v>
      </c>
      <c r="B1846" t="s">
        <v>6455</v>
      </c>
      <c r="C1846" t="s">
        <v>13887</v>
      </c>
      <c r="D1846" t="s">
        <v>17151</v>
      </c>
      <c r="E1846" t="b">
        <v>0</v>
      </c>
      <c r="F1846" t="s">
        <v>11624</v>
      </c>
      <c r="G1846">
        <v>6.12622</v>
      </c>
      <c r="H1846">
        <v>-72.043999999999997</v>
      </c>
      <c r="I1846" t="s">
        <v>17152</v>
      </c>
      <c r="L1846">
        <v>0</v>
      </c>
      <c r="M1846">
        <v>0</v>
      </c>
      <c r="N1846">
        <v>0</v>
      </c>
      <c r="O1846" t="s">
        <v>11898</v>
      </c>
    </row>
    <row r="1847" spans="1:15">
      <c r="A1847" t="s">
        <v>17153</v>
      </c>
      <c r="B1847" t="s">
        <v>10597</v>
      </c>
      <c r="C1847" t="s">
        <v>17154</v>
      </c>
      <c r="D1847" t="s">
        <v>17155</v>
      </c>
      <c r="E1847" t="b">
        <v>0</v>
      </c>
      <c r="F1847" t="s">
        <v>11624</v>
      </c>
      <c r="G1847">
        <v>-30.1</v>
      </c>
      <c r="H1847">
        <v>145.93</v>
      </c>
      <c r="L1847">
        <v>0</v>
      </c>
      <c r="M1847">
        <v>0</v>
      </c>
      <c r="N1847">
        <v>0</v>
      </c>
      <c r="O1847" t="s">
        <v>12107</v>
      </c>
    </row>
    <row r="1848" spans="1:15">
      <c r="A1848" t="s">
        <v>17156</v>
      </c>
      <c r="B1848" t="s">
        <v>11637</v>
      </c>
      <c r="C1848" t="s">
        <v>17157</v>
      </c>
      <c r="D1848" t="s">
        <v>17158</v>
      </c>
      <c r="E1848" t="b">
        <v>0</v>
      </c>
      <c r="F1848" t="s">
        <v>11610</v>
      </c>
      <c r="L1848">
        <v>0</v>
      </c>
      <c r="M1848">
        <v>0</v>
      </c>
      <c r="N1848">
        <v>0</v>
      </c>
    </row>
    <row r="1849" spans="1:15">
      <c r="A1849" t="s">
        <v>17159</v>
      </c>
      <c r="B1849" t="s">
        <v>11607</v>
      </c>
      <c r="C1849" t="s">
        <v>13139</v>
      </c>
      <c r="D1849" t="s">
        <v>17160</v>
      </c>
      <c r="E1849" t="b">
        <v>0</v>
      </c>
      <c r="F1849" t="s">
        <v>11610</v>
      </c>
      <c r="L1849">
        <v>0</v>
      </c>
      <c r="M1849">
        <v>0</v>
      </c>
      <c r="N1849">
        <v>0</v>
      </c>
    </row>
    <row r="1850" spans="1:15">
      <c r="A1850" t="s">
        <v>17157</v>
      </c>
      <c r="B1850" t="s">
        <v>11637</v>
      </c>
      <c r="C1850" t="s">
        <v>17161</v>
      </c>
      <c r="D1850" t="s">
        <v>17162</v>
      </c>
      <c r="E1850" t="b">
        <v>0</v>
      </c>
      <c r="F1850" t="s">
        <v>11610</v>
      </c>
      <c r="L1850">
        <v>0</v>
      </c>
      <c r="M1850">
        <v>0</v>
      </c>
      <c r="N1850">
        <v>2</v>
      </c>
    </row>
    <row r="1851" spans="1:15">
      <c r="A1851" t="s">
        <v>17163</v>
      </c>
      <c r="B1851" t="s">
        <v>11637</v>
      </c>
      <c r="C1851" t="s">
        <v>17164</v>
      </c>
      <c r="D1851" t="s">
        <v>17165</v>
      </c>
      <c r="E1851" t="b">
        <v>0</v>
      </c>
      <c r="F1851" t="s">
        <v>11610</v>
      </c>
      <c r="L1851">
        <v>0</v>
      </c>
      <c r="M1851">
        <v>0</v>
      </c>
      <c r="N1851">
        <v>0</v>
      </c>
    </row>
    <row r="1852" spans="1:15">
      <c r="A1852" t="s">
        <v>17166</v>
      </c>
      <c r="B1852" t="s">
        <v>6742</v>
      </c>
      <c r="C1852" t="s">
        <v>17167</v>
      </c>
      <c r="D1852" t="s">
        <v>17168</v>
      </c>
      <c r="E1852" t="b">
        <v>0</v>
      </c>
      <c r="F1852" t="s">
        <v>11610</v>
      </c>
      <c r="L1852">
        <v>0</v>
      </c>
      <c r="M1852">
        <v>0</v>
      </c>
      <c r="N1852">
        <v>0</v>
      </c>
    </row>
    <row r="1853" spans="1:15">
      <c r="A1853" t="s">
        <v>17169</v>
      </c>
      <c r="B1853" t="s">
        <v>12487</v>
      </c>
      <c r="C1853" t="s">
        <v>17170</v>
      </c>
      <c r="D1853" t="s">
        <v>17171</v>
      </c>
      <c r="E1853" t="b">
        <v>0</v>
      </c>
      <c r="F1853" t="s">
        <v>11624</v>
      </c>
      <c r="G1853">
        <v>-6.8926100000000003</v>
      </c>
      <c r="H1853">
        <v>145.81800000000001</v>
      </c>
      <c r="I1853" t="s">
        <v>17172</v>
      </c>
      <c r="L1853">
        <v>0</v>
      </c>
      <c r="M1853">
        <v>0</v>
      </c>
      <c r="N1853">
        <v>4</v>
      </c>
      <c r="O1853" t="s">
        <v>11660</v>
      </c>
    </row>
    <row r="1854" spans="1:15">
      <c r="A1854" t="s">
        <v>17173</v>
      </c>
      <c r="B1854" t="s">
        <v>11615</v>
      </c>
      <c r="C1854" t="s">
        <v>17174</v>
      </c>
      <c r="D1854" t="s">
        <v>17175</v>
      </c>
      <c r="E1854" t="b">
        <v>0</v>
      </c>
      <c r="F1854" t="s">
        <v>11622</v>
      </c>
      <c r="L1854">
        <v>0</v>
      </c>
      <c r="M1854">
        <v>2</v>
      </c>
      <c r="N1854">
        <v>4</v>
      </c>
    </row>
    <row r="1855" spans="1:15">
      <c r="A1855" t="s">
        <v>17042</v>
      </c>
      <c r="B1855" t="s">
        <v>11615</v>
      </c>
      <c r="C1855" t="s">
        <v>17173</v>
      </c>
      <c r="D1855" t="s">
        <v>17176</v>
      </c>
      <c r="E1855" t="b">
        <v>0</v>
      </c>
      <c r="F1855" t="s">
        <v>11624</v>
      </c>
      <c r="G1855">
        <v>-9.4013200000000001</v>
      </c>
      <c r="H1855">
        <v>148.761</v>
      </c>
      <c r="I1855" t="s">
        <v>17177</v>
      </c>
      <c r="L1855">
        <v>0</v>
      </c>
      <c r="M1855">
        <v>0</v>
      </c>
      <c r="N1855">
        <v>4</v>
      </c>
      <c r="O1855" t="s">
        <v>11660</v>
      </c>
    </row>
    <row r="1856" spans="1:15">
      <c r="A1856" t="s">
        <v>17178</v>
      </c>
      <c r="B1856" t="s">
        <v>367</v>
      </c>
      <c r="C1856" t="s">
        <v>11928</v>
      </c>
      <c r="D1856" t="s">
        <v>17179</v>
      </c>
      <c r="E1856" t="b">
        <v>0</v>
      </c>
      <c r="F1856" t="s">
        <v>11610</v>
      </c>
      <c r="L1856">
        <v>0</v>
      </c>
      <c r="M1856">
        <v>0</v>
      </c>
      <c r="N1856">
        <v>0</v>
      </c>
    </row>
    <row r="1857" spans="1:15">
      <c r="A1857" t="s">
        <v>17170</v>
      </c>
      <c r="B1857" t="s">
        <v>12487</v>
      </c>
      <c r="C1857" t="s">
        <v>17180</v>
      </c>
      <c r="D1857" t="s">
        <v>17181</v>
      </c>
      <c r="E1857" t="b">
        <v>0</v>
      </c>
      <c r="F1857" t="s">
        <v>11622</v>
      </c>
      <c r="L1857">
        <v>0</v>
      </c>
      <c r="M1857">
        <v>2</v>
      </c>
      <c r="N1857">
        <v>4</v>
      </c>
    </row>
    <row r="1858" spans="1:15">
      <c r="A1858" t="s">
        <v>17182</v>
      </c>
      <c r="B1858" t="s">
        <v>11637</v>
      </c>
      <c r="C1858" t="s">
        <v>12824</v>
      </c>
      <c r="D1858" t="s">
        <v>17183</v>
      </c>
      <c r="E1858" t="b">
        <v>0</v>
      </c>
      <c r="F1858" t="s">
        <v>11610</v>
      </c>
      <c r="L1858">
        <v>0</v>
      </c>
      <c r="M1858">
        <v>0</v>
      </c>
      <c r="N1858">
        <v>0</v>
      </c>
    </row>
    <row r="1859" spans="1:15">
      <c r="A1859" t="s">
        <v>17184</v>
      </c>
      <c r="B1859" t="s">
        <v>6742</v>
      </c>
      <c r="C1859" t="s">
        <v>17185</v>
      </c>
      <c r="D1859" t="s">
        <v>17186</v>
      </c>
      <c r="E1859" t="b">
        <v>0</v>
      </c>
      <c r="F1859" t="s">
        <v>11624</v>
      </c>
      <c r="G1859">
        <v>-17.675000000000001</v>
      </c>
      <c r="H1859">
        <v>33.453400000000002</v>
      </c>
      <c r="I1859" t="s">
        <v>17187</v>
      </c>
      <c r="L1859">
        <v>0</v>
      </c>
      <c r="M1859">
        <v>0</v>
      </c>
      <c r="N1859">
        <v>0</v>
      </c>
      <c r="O1859" t="s">
        <v>17188</v>
      </c>
    </row>
    <row r="1860" spans="1:15">
      <c r="A1860" t="s">
        <v>17189</v>
      </c>
      <c r="B1860" t="s">
        <v>11637</v>
      </c>
      <c r="C1860" t="s">
        <v>16084</v>
      </c>
      <c r="D1860" t="s">
        <v>17190</v>
      </c>
      <c r="E1860" t="b">
        <v>0</v>
      </c>
      <c r="F1860" t="s">
        <v>11610</v>
      </c>
      <c r="L1860">
        <v>0</v>
      </c>
      <c r="M1860">
        <v>0</v>
      </c>
      <c r="N1860">
        <v>0</v>
      </c>
    </row>
    <row r="1861" spans="1:15">
      <c r="A1861" t="s">
        <v>17191</v>
      </c>
      <c r="B1861" t="s">
        <v>10597</v>
      </c>
      <c r="C1861" t="s">
        <v>17192</v>
      </c>
      <c r="D1861" t="s">
        <v>17193</v>
      </c>
      <c r="E1861" t="b">
        <v>0</v>
      </c>
      <c r="F1861" t="s">
        <v>11610</v>
      </c>
      <c r="L1861">
        <v>0</v>
      </c>
      <c r="M1861">
        <v>0</v>
      </c>
      <c r="N1861">
        <v>0</v>
      </c>
    </row>
    <row r="1862" spans="1:15">
      <c r="A1862" t="s">
        <v>17194</v>
      </c>
      <c r="B1862" t="s">
        <v>11607</v>
      </c>
      <c r="C1862" t="s">
        <v>17195</v>
      </c>
      <c r="D1862" t="s">
        <v>17196</v>
      </c>
      <c r="E1862" t="b">
        <v>0</v>
      </c>
      <c r="F1862" t="s">
        <v>11624</v>
      </c>
      <c r="G1862">
        <v>31.769600000000001</v>
      </c>
      <c r="H1862">
        <v>35.153599999999997</v>
      </c>
      <c r="I1862" t="s">
        <v>17197</v>
      </c>
      <c r="L1862">
        <v>0</v>
      </c>
      <c r="M1862">
        <v>0</v>
      </c>
      <c r="N1862">
        <v>4</v>
      </c>
      <c r="O1862" t="s">
        <v>13147</v>
      </c>
    </row>
    <row r="1863" spans="1:15">
      <c r="A1863" t="s">
        <v>17198</v>
      </c>
      <c r="B1863" t="s">
        <v>11607</v>
      </c>
      <c r="C1863" t="s">
        <v>17194</v>
      </c>
      <c r="D1863" t="s">
        <v>17199</v>
      </c>
      <c r="E1863" t="b">
        <v>0</v>
      </c>
      <c r="F1863" t="s">
        <v>11610</v>
      </c>
      <c r="L1863">
        <v>0</v>
      </c>
      <c r="M1863">
        <v>0</v>
      </c>
      <c r="N1863">
        <v>0</v>
      </c>
    </row>
    <row r="1864" spans="1:15">
      <c r="A1864" t="s">
        <v>17200</v>
      </c>
      <c r="B1864" t="s">
        <v>11637</v>
      </c>
      <c r="C1864" t="s">
        <v>15203</v>
      </c>
      <c r="D1864" t="s">
        <v>17201</v>
      </c>
      <c r="E1864" t="b">
        <v>0</v>
      </c>
      <c r="F1864" t="s">
        <v>11610</v>
      </c>
      <c r="L1864">
        <v>0</v>
      </c>
      <c r="M1864">
        <v>0</v>
      </c>
      <c r="N1864">
        <v>0</v>
      </c>
    </row>
    <row r="1865" spans="1:15">
      <c r="A1865" t="s">
        <v>17202</v>
      </c>
      <c r="B1865" t="s">
        <v>12697</v>
      </c>
      <c r="C1865" t="s">
        <v>14175</v>
      </c>
      <c r="D1865" t="s">
        <v>17203</v>
      </c>
      <c r="E1865" t="b">
        <v>0</v>
      </c>
      <c r="F1865" t="s">
        <v>11610</v>
      </c>
      <c r="L1865">
        <v>0</v>
      </c>
      <c r="M1865">
        <v>0</v>
      </c>
      <c r="N1865">
        <v>0</v>
      </c>
    </row>
    <row r="1866" spans="1:15">
      <c r="A1866" t="s">
        <v>17204</v>
      </c>
      <c r="B1866" t="s">
        <v>6742</v>
      </c>
      <c r="C1866" t="s">
        <v>17205</v>
      </c>
      <c r="D1866" t="s">
        <v>17206</v>
      </c>
      <c r="E1866" t="b">
        <v>0</v>
      </c>
      <c r="F1866" t="s">
        <v>11610</v>
      </c>
      <c r="L1866">
        <v>0</v>
      </c>
      <c r="M1866">
        <v>0</v>
      </c>
      <c r="N1866">
        <v>0</v>
      </c>
    </row>
    <row r="1867" spans="1:15">
      <c r="A1867" t="s">
        <v>17207</v>
      </c>
      <c r="B1867" t="s">
        <v>6742</v>
      </c>
      <c r="C1867" t="s">
        <v>17208</v>
      </c>
      <c r="D1867" t="s">
        <v>17209</v>
      </c>
      <c r="E1867" t="b">
        <v>0</v>
      </c>
      <c r="F1867" t="s">
        <v>11622</v>
      </c>
      <c r="L1867">
        <v>2</v>
      </c>
      <c r="M1867">
        <v>4</v>
      </c>
      <c r="N1867">
        <v>0</v>
      </c>
    </row>
    <row r="1868" spans="1:15">
      <c r="A1868" t="s">
        <v>17210</v>
      </c>
      <c r="B1868" t="s">
        <v>6742</v>
      </c>
      <c r="C1868" t="s">
        <v>17211</v>
      </c>
      <c r="D1868" t="s">
        <v>17212</v>
      </c>
      <c r="E1868" t="b">
        <v>0</v>
      </c>
      <c r="F1868" t="s">
        <v>11624</v>
      </c>
      <c r="G1868">
        <v>9.9420699999999993</v>
      </c>
      <c r="H1868">
        <v>6.5810500000000003</v>
      </c>
      <c r="I1868" t="s">
        <v>17213</v>
      </c>
      <c r="L1868">
        <v>0</v>
      </c>
      <c r="M1868">
        <v>0</v>
      </c>
      <c r="N1868">
        <v>0</v>
      </c>
      <c r="O1868" t="s">
        <v>11693</v>
      </c>
    </row>
    <row r="1869" spans="1:15">
      <c r="A1869" t="s">
        <v>17214</v>
      </c>
      <c r="B1869" t="s">
        <v>6742</v>
      </c>
      <c r="C1869" t="s">
        <v>17215</v>
      </c>
      <c r="D1869" t="s">
        <v>17216</v>
      </c>
      <c r="E1869" t="b">
        <v>0</v>
      </c>
      <c r="F1869" t="s">
        <v>11624</v>
      </c>
      <c r="G1869">
        <v>10.248799999999999</v>
      </c>
      <c r="H1869">
        <v>6.7486499999999996</v>
      </c>
      <c r="I1869" t="s">
        <v>17217</v>
      </c>
      <c r="L1869">
        <v>0</v>
      </c>
      <c r="M1869">
        <v>0</v>
      </c>
      <c r="N1869">
        <v>0</v>
      </c>
      <c r="O1869" t="s">
        <v>11693</v>
      </c>
    </row>
    <row r="1870" spans="1:15">
      <c r="A1870" t="s">
        <v>17218</v>
      </c>
      <c r="B1870" t="s">
        <v>6742</v>
      </c>
      <c r="C1870" t="s">
        <v>17207</v>
      </c>
      <c r="D1870" t="s">
        <v>17219</v>
      </c>
      <c r="E1870" t="b">
        <v>0</v>
      </c>
      <c r="F1870" t="s">
        <v>11624</v>
      </c>
      <c r="G1870">
        <v>8.0315899999999996</v>
      </c>
      <c r="H1870">
        <v>7.0618299999999996</v>
      </c>
      <c r="I1870" t="s">
        <v>17220</v>
      </c>
      <c r="L1870">
        <v>0</v>
      </c>
      <c r="M1870">
        <v>0</v>
      </c>
      <c r="N1870">
        <v>0</v>
      </c>
      <c r="O1870" t="s">
        <v>11693</v>
      </c>
    </row>
    <row r="1871" spans="1:15">
      <c r="A1871" t="s">
        <v>11791</v>
      </c>
      <c r="B1871" t="s">
        <v>6742</v>
      </c>
      <c r="C1871" t="s">
        <v>15558</v>
      </c>
      <c r="D1871" t="s">
        <v>17221</v>
      </c>
      <c r="E1871" t="b">
        <v>0</v>
      </c>
      <c r="F1871" t="s">
        <v>11622</v>
      </c>
      <c r="L1871">
        <v>3</v>
      </c>
      <c r="M1871">
        <v>5</v>
      </c>
      <c r="N1871">
        <v>18</v>
      </c>
    </row>
    <row r="1872" spans="1:15">
      <c r="A1872" t="s">
        <v>16118</v>
      </c>
      <c r="B1872" t="s">
        <v>6742</v>
      </c>
      <c r="C1872" t="s">
        <v>17222</v>
      </c>
      <c r="D1872" t="s">
        <v>17223</v>
      </c>
      <c r="E1872" t="b">
        <v>0</v>
      </c>
      <c r="F1872" t="s">
        <v>11624</v>
      </c>
      <c r="G1872">
        <v>3.8076500000000002</v>
      </c>
      <c r="H1872">
        <v>10.4213</v>
      </c>
      <c r="I1872" t="s">
        <v>17224</v>
      </c>
      <c r="L1872">
        <v>0</v>
      </c>
      <c r="M1872">
        <v>0</v>
      </c>
      <c r="N1872">
        <v>11</v>
      </c>
      <c r="O1872" t="s">
        <v>11703</v>
      </c>
    </row>
    <row r="1873" spans="1:15">
      <c r="A1873" t="s">
        <v>17225</v>
      </c>
      <c r="B1873" t="s">
        <v>6742</v>
      </c>
      <c r="C1873" t="s">
        <v>16152</v>
      </c>
      <c r="D1873" t="s">
        <v>17226</v>
      </c>
      <c r="E1873" t="b">
        <v>0</v>
      </c>
      <c r="F1873" t="s">
        <v>11610</v>
      </c>
      <c r="L1873">
        <v>0</v>
      </c>
      <c r="M1873">
        <v>0</v>
      </c>
      <c r="N1873">
        <v>0</v>
      </c>
    </row>
    <row r="1874" spans="1:15">
      <c r="A1874" t="s">
        <v>17227</v>
      </c>
      <c r="B1874" t="s">
        <v>367</v>
      </c>
      <c r="C1874" t="s">
        <v>17228</v>
      </c>
      <c r="D1874" t="s">
        <v>17229</v>
      </c>
      <c r="E1874" t="b">
        <v>0</v>
      </c>
      <c r="F1874" t="s">
        <v>11624</v>
      </c>
      <c r="G1874">
        <v>1.41405</v>
      </c>
      <c r="H1874">
        <v>117.94199999999999</v>
      </c>
      <c r="I1874" t="s">
        <v>17230</v>
      </c>
      <c r="L1874">
        <v>0</v>
      </c>
      <c r="M1874">
        <v>0</v>
      </c>
      <c r="N1874">
        <v>6</v>
      </c>
      <c r="O1874" t="s">
        <v>11768</v>
      </c>
    </row>
    <row r="1875" spans="1:15">
      <c r="A1875" t="s">
        <v>17231</v>
      </c>
      <c r="B1875" t="s">
        <v>367</v>
      </c>
      <c r="C1875" t="s">
        <v>17232</v>
      </c>
      <c r="D1875" t="s">
        <v>17233</v>
      </c>
      <c r="E1875" t="b">
        <v>0</v>
      </c>
      <c r="F1875" t="s">
        <v>11624</v>
      </c>
      <c r="G1875">
        <v>25.0046</v>
      </c>
      <c r="H1875">
        <v>121.857</v>
      </c>
      <c r="I1875" t="s">
        <v>17234</v>
      </c>
      <c r="L1875">
        <v>0</v>
      </c>
      <c r="M1875">
        <v>0</v>
      </c>
      <c r="N1875">
        <v>2</v>
      </c>
      <c r="O1875" t="s">
        <v>13484</v>
      </c>
    </row>
    <row r="1876" spans="1:15">
      <c r="A1876" t="s">
        <v>17208</v>
      </c>
      <c r="B1876" t="s">
        <v>6742</v>
      </c>
      <c r="C1876" t="s">
        <v>17235</v>
      </c>
      <c r="D1876" t="s">
        <v>17236</v>
      </c>
      <c r="E1876" t="b">
        <v>0</v>
      </c>
      <c r="F1876" t="s">
        <v>11622</v>
      </c>
      <c r="L1876">
        <v>15</v>
      </c>
      <c r="M1876">
        <v>28</v>
      </c>
      <c r="N1876">
        <v>15</v>
      </c>
    </row>
    <row r="1877" spans="1:15">
      <c r="A1877" t="s">
        <v>16141</v>
      </c>
      <c r="B1877" t="s">
        <v>6742</v>
      </c>
      <c r="C1877" t="s">
        <v>11791</v>
      </c>
      <c r="D1877" t="s">
        <v>17237</v>
      </c>
      <c r="E1877" t="b">
        <v>0</v>
      </c>
      <c r="F1877" t="s">
        <v>11622</v>
      </c>
      <c r="L1877">
        <v>1</v>
      </c>
      <c r="M1877">
        <v>3</v>
      </c>
      <c r="N1877">
        <v>18</v>
      </c>
    </row>
    <row r="1878" spans="1:15">
      <c r="A1878" t="s">
        <v>17222</v>
      </c>
      <c r="B1878" t="s">
        <v>6742</v>
      </c>
      <c r="C1878" t="s">
        <v>16141</v>
      </c>
      <c r="D1878" t="s">
        <v>17238</v>
      </c>
      <c r="E1878" t="b">
        <v>0</v>
      </c>
      <c r="F1878" t="s">
        <v>11622</v>
      </c>
      <c r="L1878">
        <v>0</v>
      </c>
      <c r="M1878">
        <v>2</v>
      </c>
      <c r="N1878">
        <v>11</v>
      </c>
    </row>
    <row r="1879" spans="1:15">
      <c r="A1879" t="s">
        <v>17228</v>
      </c>
      <c r="B1879" t="s">
        <v>367</v>
      </c>
      <c r="C1879" t="s">
        <v>4363</v>
      </c>
      <c r="D1879" t="s">
        <v>17239</v>
      </c>
      <c r="E1879" t="b">
        <v>0</v>
      </c>
      <c r="F1879" t="s">
        <v>11622</v>
      </c>
      <c r="L1879">
        <v>21</v>
      </c>
      <c r="M1879">
        <v>37</v>
      </c>
      <c r="N1879">
        <v>103</v>
      </c>
    </row>
    <row r="1880" spans="1:15">
      <c r="A1880" t="s">
        <v>17240</v>
      </c>
      <c r="B1880" t="s">
        <v>367</v>
      </c>
      <c r="C1880" t="s">
        <v>15649</v>
      </c>
      <c r="D1880" t="s">
        <v>17241</v>
      </c>
      <c r="E1880" t="b">
        <v>0</v>
      </c>
      <c r="F1880" t="s">
        <v>11610</v>
      </c>
      <c r="L1880">
        <v>0</v>
      </c>
      <c r="M1880">
        <v>0</v>
      </c>
      <c r="N1880">
        <v>0</v>
      </c>
    </row>
    <row r="1881" spans="1:15">
      <c r="A1881" t="s">
        <v>17242</v>
      </c>
      <c r="B1881" t="s">
        <v>11637</v>
      </c>
      <c r="C1881" t="s">
        <v>13142</v>
      </c>
      <c r="D1881" t="s">
        <v>17243</v>
      </c>
      <c r="E1881" t="b">
        <v>0</v>
      </c>
      <c r="F1881" t="s">
        <v>11610</v>
      </c>
      <c r="L1881">
        <v>0</v>
      </c>
      <c r="M1881">
        <v>0</v>
      </c>
      <c r="N1881">
        <v>0</v>
      </c>
    </row>
    <row r="1882" spans="1:15">
      <c r="A1882" t="s">
        <v>17244</v>
      </c>
      <c r="B1882" t="s">
        <v>6742</v>
      </c>
      <c r="C1882" t="s">
        <v>16394</v>
      </c>
      <c r="D1882" t="s">
        <v>17245</v>
      </c>
      <c r="E1882" t="b">
        <v>0</v>
      </c>
      <c r="F1882" t="s">
        <v>11610</v>
      </c>
      <c r="L1882">
        <v>0</v>
      </c>
      <c r="M1882">
        <v>0</v>
      </c>
      <c r="N1882">
        <v>0</v>
      </c>
    </row>
    <row r="1883" spans="1:15">
      <c r="A1883" t="s">
        <v>17246</v>
      </c>
      <c r="B1883" t="s">
        <v>11637</v>
      </c>
      <c r="C1883" t="s">
        <v>16881</v>
      </c>
      <c r="D1883" t="s">
        <v>17247</v>
      </c>
      <c r="E1883" t="b">
        <v>0</v>
      </c>
      <c r="F1883" t="s">
        <v>11610</v>
      </c>
      <c r="L1883">
        <v>0</v>
      </c>
      <c r="M1883">
        <v>0</v>
      </c>
      <c r="N1883">
        <v>0</v>
      </c>
    </row>
    <row r="1884" spans="1:15">
      <c r="A1884" t="s">
        <v>17248</v>
      </c>
      <c r="B1884" t="s">
        <v>11637</v>
      </c>
      <c r="C1884" t="s">
        <v>17249</v>
      </c>
      <c r="D1884" t="s">
        <v>17250</v>
      </c>
      <c r="E1884" t="b">
        <v>0</v>
      </c>
      <c r="F1884" t="s">
        <v>11624</v>
      </c>
      <c r="G1884">
        <v>32</v>
      </c>
      <c r="H1884">
        <v>53</v>
      </c>
      <c r="I1884" t="s">
        <v>17251</v>
      </c>
      <c r="L1884">
        <v>0</v>
      </c>
      <c r="M1884">
        <v>0</v>
      </c>
      <c r="N1884">
        <v>2</v>
      </c>
      <c r="O1884" t="s">
        <v>13225</v>
      </c>
    </row>
    <row r="1885" spans="1:15">
      <c r="A1885" t="s">
        <v>17252</v>
      </c>
      <c r="B1885" t="s">
        <v>331</v>
      </c>
      <c r="C1885" t="s">
        <v>17253</v>
      </c>
      <c r="D1885" t="s">
        <v>17254</v>
      </c>
      <c r="E1885" t="b">
        <v>0</v>
      </c>
      <c r="F1885" t="s">
        <v>11624</v>
      </c>
      <c r="G1885">
        <v>53.596699999999998</v>
      </c>
      <c r="H1885">
        <v>56.559399999999997</v>
      </c>
      <c r="I1885" t="s">
        <v>17255</v>
      </c>
      <c r="L1885">
        <v>0</v>
      </c>
      <c r="M1885">
        <v>0</v>
      </c>
      <c r="N1885">
        <v>3</v>
      </c>
      <c r="O1885" t="s">
        <v>17256</v>
      </c>
    </row>
    <row r="1886" spans="1:15">
      <c r="A1886" t="s">
        <v>17257</v>
      </c>
      <c r="B1886" t="s">
        <v>6742</v>
      </c>
      <c r="C1886" t="s">
        <v>16087</v>
      </c>
      <c r="D1886" t="s">
        <v>17258</v>
      </c>
      <c r="E1886" t="b">
        <v>0</v>
      </c>
      <c r="F1886" t="s">
        <v>11610</v>
      </c>
      <c r="L1886">
        <v>0</v>
      </c>
      <c r="M1886">
        <v>0</v>
      </c>
      <c r="N1886">
        <v>0</v>
      </c>
    </row>
    <row r="1887" spans="1:15">
      <c r="A1887" t="s">
        <v>12029</v>
      </c>
      <c r="B1887" t="s">
        <v>6742</v>
      </c>
      <c r="C1887" t="s">
        <v>17259</v>
      </c>
      <c r="D1887" t="s">
        <v>17260</v>
      </c>
      <c r="E1887" t="b">
        <v>0</v>
      </c>
      <c r="F1887" t="s">
        <v>11622</v>
      </c>
      <c r="L1887">
        <v>0</v>
      </c>
      <c r="M1887">
        <v>2</v>
      </c>
      <c r="N1887">
        <v>9</v>
      </c>
    </row>
    <row r="1888" spans="1:15">
      <c r="A1888" t="s">
        <v>17261</v>
      </c>
      <c r="B1888" t="s">
        <v>6742</v>
      </c>
      <c r="C1888" t="s">
        <v>17262</v>
      </c>
      <c r="D1888" t="s">
        <v>17263</v>
      </c>
      <c r="E1888" t="b">
        <v>0</v>
      </c>
      <c r="F1888" t="s">
        <v>11610</v>
      </c>
      <c r="L1888">
        <v>0</v>
      </c>
      <c r="M1888">
        <v>0</v>
      </c>
      <c r="N1888">
        <v>0</v>
      </c>
    </row>
    <row r="1889" spans="1:15">
      <c r="A1889" t="s">
        <v>17264</v>
      </c>
      <c r="B1889" t="s">
        <v>367</v>
      </c>
      <c r="C1889" t="s">
        <v>17265</v>
      </c>
      <c r="D1889" t="s">
        <v>17266</v>
      </c>
      <c r="E1889" t="b">
        <v>0</v>
      </c>
      <c r="F1889" t="s">
        <v>11610</v>
      </c>
      <c r="L1889">
        <v>0</v>
      </c>
      <c r="M1889">
        <v>0</v>
      </c>
      <c r="N1889">
        <v>0</v>
      </c>
    </row>
    <row r="1890" spans="1:15">
      <c r="A1890" t="s">
        <v>17267</v>
      </c>
      <c r="B1890" t="s">
        <v>367</v>
      </c>
      <c r="C1890" t="s">
        <v>17268</v>
      </c>
      <c r="D1890" t="s">
        <v>17269</v>
      </c>
      <c r="E1890" t="b">
        <v>0</v>
      </c>
      <c r="F1890" t="s">
        <v>11610</v>
      </c>
      <c r="L1890">
        <v>0</v>
      </c>
      <c r="M1890">
        <v>0</v>
      </c>
      <c r="N1890">
        <v>0</v>
      </c>
    </row>
    <row r="1891" spans="1:15">
      <c r="A1891" t="s">
        <v>17270</v>
      </c>
      <c r="B1891" t="s">
        <v>13571</v>
      </c>
      <c r="C1891" t="s">
        <v>17271</v>
      </c>
      <c r="D1891" t="s">
        <v>17272</v>
      </c>
      <c r="E1891" t="b">
        <v>0</v>
      </c>
      <c r="F1891" t="s">
        <v>11624</v>
      </c>
      <c r="G1891">
        <v>6.4577400000000003</v>
      </c>
      <c r="H1891">
        <v>36.576300000000003</v>
      </c>
      <c r="I1891" t="s">
        <v>17273</v>
      </c>
      <c r="L1891">
        <v>0</v>
      </c>
      <c r="M1891">
        <v>0</v>
      </c>
      <c r="N1891">
        <v>0</v>
      </c>
      <c r="O1891" t="s">
        <v>11625</v>
      </c>
    </row>
    <row r="1892" spans="1:15">
      <c r="A1892" t="s">
        <v>17274</v>
      </c>
      <c r="B1892" t="s">
        <v>11637</v>
      </c>
      <c r="C1892" t="s">
        <v>17275</v>
      </c>
      <c r="D1892" t="s">
        <v>17276</v>
      </c>
      <c r="E1892" t="b">
        <v>0</v>
      </c>
      <c r="F1892" t="s">
        <v>11610</v>
      </c>
      <c r="L1892">
        <v>0</v>
      </c>
      <c r="M1892">
        <v>0</v>
      </c>
      <c r="N1892">
        <v>0</v>
      </c>
    </row>
    <row r="1893" spans="1:15">
      <c r="A1893" t="s">
        <v>17277</v>
      </c>
      <c r="B1893" t="s">
        <v>11637</v>
      </c>
      <c r="C1893" t="s">
        <v>17278</v>
      </c>
      <c r="D1893" t="s">
        <v>17279</v>
      </c>
      <c r="E1893" t="b">
        <v>0</v>
      </c>
      <c r="F1893" t="s">
        <v>11610</v>
      </c>
      <c r="L1893">
        <v>0</v>
      </c>
      <c r="M1893">
        <v>0</v>
      </c>
      <c r="N1893">
        <v>0</v>
      </c>
    </row>
    <row r="1894" spans="1:15">
      <c r="A1894" t="s">
        <v>17280</v>
      </c>
      <c r="B1894" t="s">
        <v>6742</v>
      </c>
      <c r="C1894" t="s">
        <v>17281</v>
      </c>
      <c r="D1894" t="s">
        <v>17282</v>
      </c>
      <c r="E1894" t="b">
        <v>0</v>
      </c>
      <c r="F1894" t="s">
        <v>11622</v>
      </c>
      <c r="L1894">
        <v>0</v>
      </c>
      <c r="M1894">
        <v>2</v>
      </c>
      <c r="N1894">
        <v>0</v>
      </c>
    </row>
    <row r="1895" spans="1:15">
      <c r="A1895" t="s">
        <v>17283</v>
      </c>
      <c r="B1895" t="s">
        <v>11637</v>
      </c>
      <c r="C1895" t="s">
        <v>17284</v>
      </c>
      <c r="D1895" t="s">
        <v>17285</v>
      </c>
      <c r="E1895" t="b">
        <v>0</v>
      </c>
      <c r="F1895" t="s">
        <v>11610</v>
      </c>
      <c r="L1895">
        <v>0</v>
      </c>
      <c r="M1895">
        <v>0</v>
      </c>
      <c r="N1895">
        <v>0</v>
      </c>
    </row>
    <row r="1896" spans="1:15">
      <c r="A1896" t="s">
        <v>4725</v>
      </c>
      <c r="D1896" t="s">
        <v>17286</v>
      </c>
      <c r="E1896" t="b">
        <v>0</v>
      </c>
      <c r="F1896" t="s">
        <v>11624</v>
      </c>
      <c r="G1896">
        <v>43.278700000000001</v>
      </c>
      <c r="H1896">
        <v>-1.3162199999999999</v>
      </c>
      <c r="I1896" t="s">
        <v>7299</v>
      </c>
      <c r="L1896">
        <v>0</v>
      </c>
      <c r="M1896">
        <v>0</v>
      </c>
      <c r="N1896">
        <v>11</v>
      </c>
      <c r="O1896" t="s">
        <v>14266</v>
      </c>
    </row>
    <row r="1897" spans="1:15">
      <c r="A1897" t="s">
        <v>17287</v>
      </c>
      <c r="B1897" t="s">
        <v>4725</v>
      </c>
      <c r="C1897" t="s">
        <v>4725</v>
      </c>
      <c r="D1897" t="s">
        <v>17288</v>
      </c>
      <c r="E1897" t="b">
        <v>0</v>
      </c>
      <c r="F1897" t="s">
        <v>11610</v>
      </c>
      <c r="I1897" t="s">
        <v>17289</v>
      </c>
      <c r="L1897">
        <v>0</v>
      </c>
      <c r="M1897">
        <v>0</v>
      </c>
      <c r="N1897">
        <v>3</v>
      </c>
    </row>
    <row r="1898" spans="1:15">
      <c r="A1898" t="s">
        <v>17290</v>
      </c>
      <c r="B1898" t="s">
        <v>4725</v>
      </c>
      <c r="C1898" t="s">
        <v>4725</v>
      </c>
      <c r="D1898" t="s">
        <v>17291</v>
      </c>
      <c r="E1898" t="b">
        <v>0</v>
      </c>
      <c r="F1898" t="s">
        <v>11610</v>
      </c>
      <c r="L1898">
        <v>0</v>
      </c>
      <c r="M1898">
        <v>0</v>
      </c>
      <c r="N1898">
        <v>0</v>
      </c>
    </row>
    <row r="1899" spans="1:15">
      <c r="A1899" t="s">
        <v>17292</v>
      </c>
      <c r="B1899" t="s">
        <v>13450</v>
      </c>
      <c r="C1899" t="s">
        <v>17293</v>
      </c>
      <c r="D1899" t="s">
        <v>17294</v>
      </c>
      <c r="E1899" t="b">
        <v>0</v>
      </c>
      <c r="F1899" t="s">
        <v>11624</v>
      </c>
      <c r="L1899">
        <v>0</v>
      </c>
      <c r="M1899">
        <v>0</v>
      </c>
      <c r="N1899">
        <v>0</v>
      </c>
      <c r="O1899" t="s">
        <v>11660</v>
      </c>
    </row>
    <row r="1900" spans="1:15">
      <c r="A1900" t="s">
        <v>17295</v>
      </c>
      <c r="B1900" t="s">
        <v>12128</v>
      </c>
      <c r="C1900" t="s">
        <v>12128</v>
      </c>
      <c r="D1900" t="s">
        <v>17296</v>
      </c>
      <c r="E1900" t="b">
        <v>0</v>
      </c>
      <c r="F1900" t="s">
        <v>11622</v>
      </c>
      <c r="L1900">
        <v>0</v>
      </c>
      <c r="M1900">
        <v>1</v>
      </c>
      <c r="N1900">
        <v>0</v>
      </c>
    </row>
    <row r="1901" spans="1:15">
      <c r="A1901" t="s">
        <v>17293</v>
      </c>
      <c r="B1901" t="s">
        <v>13450</v>
      </c>
      <c r="C1901" t="s">
        <v>13450</v>
      </c>
      <c r="D1901" t="s">
        <v>17297</v>
      </c>
      <c r="E1901" t="b">
        <v>0</v>
      </c>
      <c r="F1901" t="s">
        <v>11622</v>
      </c>
      <c r="L1901">
        <v>0</v>
      </c>
      <c r="M1901">
        <v>1</v>
      </c>
      <c r="N1901">
        <v>0</v>
      </c>
    </row>
    <row r="1902" spans="1:15">
      <c r="A1902" t="s">
        <v>17298</v>
      </c>
      <c r="B1902" t="s">
        <v>11637</v>
      </c>
      <c r="C1902" t="s">
        <v>14273</v>
      </c>
      <c r="D1902" t="s">
        <v>17299</v>
      </c>
      <c r="E1902" t="b">
        <v>0</v>
      </c>
      <c r="F1902" t="s">
        <v>11610</v>
      </c>
      <c r="L1902">
        <v>0</v>
      </c>
      <c r="M1902">
        <v>0</v>
      </c>
      <c r="N1902">
        <v>0</v>
      </c>
    </row>
    <row r="1903" spans="1:15">
      <c r="A1903" t="s">
        <v>13762</v>
      </c>
      <c r="B1903" t="s">
        <v>6742</v>
      </c>
      <c r="C1903" t="s">
        <v>17300</v>
      </c>
      <c r="D1903" t="s">
        <v>17301</v>
      </c>
      <c r="E1903" t="b">
        <v>0</v>
      </c>
      <c r="F1903" t="s">
        <v>11624</v>
      </c>
      <c r="G1903">
        <v>12.4529</v>
      </c>
      <c r="H1903">
        <v>-13.349500000000001</v>
      </c>
      <c r="I1903" t="s">
        <v>17302</v>
      </c>
      <c r="L1903">
        <v>0</v>
      </c>
      <c r="M1903">
        <v>0</v>
      </c>
      <c r="N1903">
        <v>4</v>
      </c>
      <c r="O1903" t="s">
        <v>15747</v>
      </c>
    </row>
    <row r="1904" spans="1:15">
      <c r="A1904" t="s">
        <v>17303</v>
      </c>
      <c r="B1904" t="s">
        <v>6742</v>
      </c>
      <c r="C1904" t="s">
        <v>17211</v>
      </c>
      <c r="D1904" t="s">
        <v>17304</v>
      </c>
      <c r="E1904" t="b">
        <v>0</v>
      </c>
      <c r="F1904" t="s">
        <v>11624</v>
      </c>
      <c r="G1904">
        <v>10.333299999999999</v>
      </c>
      <c r="H1904">
        <v>4.9833100000000004</v>
      </c>
      <c r="I1904" t="s">
        <v>17305</v>
      </c>
      <c r="L1904">
        <v>0</v>
      </c>
      <c r="M1904">
        <v>0</v>
      </c>
      <c r="N1904">
        <v>0</v>
      </c>
      <c r="O1904" t="s">
        <v>11693</v>
      </c>
    </row>
    <row r="1905" spans="1:15">
      <c r="A1905" t="s">
        <v>17306</v>
      </c>
      <c r="B1905" t="s">
        <v>6742</v>
      </c>
      <c r="C1905" t="s">
        <v>17307</v>
      </c>
      <c r="D1905" t="s">
        <v>17308</v>
      </c>
      <c r="E1905" t="b">
        <v>0</v>
      </c>
      <c r="F1905" t="s">
        <v>11624</v>
      </c>
      <c r="G1905">
        <v>5.2365500000000003</v>
      </c>
      <c r="H1905">
        <v>9.5227500000000003</v>
      </c>
      <c r="I1905" t="s">
        <v>17309</v>
      </c>
      <c r="L1905">
        <v>0</v>
      </c>
      <c r="M1905">
        <v>0</v>
      </c>
      <c r="N1905">
        <v>1</v>
      </c>
      <c r="O1905" t="s">
        <v>11703</v>
      </c>
    </row>
    <row r="1906" spans="1:15">
      <c r="A1906" t="s">
        <v>17310</v>
      </c>
      <c r="B1906" t="s">
        <v>6742</v>
      </c>
      <c r="C1906" t="s">
        <v>16118</v>
      </c>
      <c r="D1906" t="s">
        <v>17311</v>
      </c>
      <c r="E1906" t="b">
        <v>0</v>
      </c>
      <c r="F1906" t="s">
        <v>11610</v>
      </c>
      <c r="L1906">
        <v>0</v>
      </c>
      <c r="M1906">
        <v>0</v>
      </c>
      <c r="N1906">
        <v>0</v>
      </c>
    </row>
    <row r="1907" spans="1:15">
      <c r="A1907" t="s">
        <v>17312</v>
      </c>
      <c r="B1907" t="s">
        <v>6742</v>
      </c>
      <c r="C1907" t="s">
        <v>17313</v>
      </c>
      <c r="D1907" t="s">
        <v>17314</v>
      </c>
      <c r="E1907" t="b">
        <v>0</v>
      </c>
      <c r="F1907" t="s">
        <v>11622</v>
      </c>
      <c r="L1907">
        <v>0</v>
      </c>
      <c r="M1907">
        <v>3</v>
      </c>
      <c r="N1907">
        <v>8</v>
      </c>
    </row>
    <row r="1908" spans="1:15">
      <c r="A1908" t="s">
        <v>17300</v>
      </c>
      <c r="B1908" t="s">
        <v>6742</v>
      </c>
      <c r="C1908" t="s">
        <v>17315</v>
      </c>
      <c r="D1908" t="s">
        <v>17316</v>
      </c>
      <c r="E1908" t="b">
        <v>0</v>
      </c>
      <c r="F1908" t="s">
        <v>11622</v>
      </c>
      <c r="L1908">
        <v>1</v>
      </c>
      <c r="M1908">
        <v>3</v>
      </c>
      <c r="N1908">
        <v>7</v>
      </c>
    </row>
    <row r="1909" spans="1:15">
      <c r="A1909" t="s">
        <v>17317</v>
      </c>
      <c r="B1909" t="s">
        <v>11637</v>
      </c>
      <c r="C1909" t="s">
        <v>16329</v>
      </c>
      <c r="D1909" t="s">
        <v>17318</v>
      </c>
      <c r="E1909" t="b">
        <v>0</v>
      </c>
      <c r="F1909" t="s">
        <v>11610</v>
      </c>
      <c r="L1909">
        <v>0</v>
      </c>
      <c r="M1909">
        <v>0</v>
      </c>
      <c r="N1909">
        <v>0</v>
      </c>
    </row>
    <row r="1910" spans="1:15">
      <c r="A1910" t="s">
        <v>17319</v>
      </c>
      <c r="B1910" t="s">
        <v>11637</v>
      </c>
      <c r="C1910" t="s">
        <v>17320</v>
      </c>
      <c r="D1910" t="s">
        <v>17321</v>
      </c>
      <c r="E1910" t="b">
        <v>0</v>
      </c>
      <c r="F1910" t="s">
        <v>11610</v>
      </c>
      <c r="L1910">
        <v>0</v>
      </c>
      <c r="M1910">
        <v>0</v>
      </c>
      <c r="N1910">
        <v>0</v>
      </c>
    </row>
    <row r="1911" spans="1:15">
      <c r="A1911" t="s">
        <v>17322</v>
      </c>
      <c r="B1911" t="s">
        <v>11637</v>
      </c>
      <c r="C1911" t="s">
        <v>17323</v>
      </c>
      <c r="D1911" t="s">
        <v>17324</v>
      </c>
      <c r="E1911" t="b">
        <v>0</v>
      </c>
      <c r="F1911" t="s">
        <v>11610</v>
      </c>
      <c r="L1911">
        <v>0</v>
      </c>
      <c r="M1911">
        <v>0</v>
      </c>
      <c r="N1911">
        <v>0</v>
      </c>
    </row>
    <row r="1912" spans="1:15">
      <c r="A1912" t="s">
        <v>17325</v>
      </c>
      <c r="B1912" t="s">
        <v>11637</v>
      </c>
      <c r="C1912" t="s">
        <v>12098</v>
      </c>
      <c r="D1912" t="s">
        <v>17326</v>
      </c>
      <c r="E1912" t="b">
        <v>0</v>
      </c>
      <c r="F1912" t="s">
        <v>11610</v>
      </c>
      <c r="L1912">
        <v>0</v>
      </c>
      <c r="M1912">
        <v>0</v>
      </c>
      <c r="N1912">
        <v>0</v>
      </c>
    </row>
    <row r="1913" spans="1:15">
      <c r="A1913" t="s">
        <v>17327</v>
      </c>
      <c r="B1913" t="s">
        <v>6742</v>
      </c>
      <c r="C1913" t="s">
        <v>11804</v>
      </c>
      <c r="D1913" t="s">
        <v>17328</v>
      </c>
      <c r="E1913" t="b">
        <v>0</v>
      </c>
      <c r="F1913" t="s">
        <v>11610</v>
      </c>
      <c r="L1913">
        <v>0</v>
      </c>
      <c r="M1913">
        <v>0</v>
      </c>
      <c r="N1913">
        <v>0</v>
      </c>
    </row>
    <row r="1914" spans="1:15">
      <c r="A1914" t="s">
        <v>17329</v>
      </c>
      <c r="B1914" t="s">
        <v>9578</v>
      </c>
      <c r="C1914" t="s">
        <v>17330</v>
      </c>
      <c r="D1914" t="s">
        <v>17331</v>
      </c>
      <c r="E1914" t="b">
        <v>0</v>
      </c>
      <c r="F1914" t="s">
        <v>11610</v>
      </c>
      <c r="L1914">
        <v>0</v>
      </c>
      <c r="M1914">
        <v>0</v>
      </c>
      <c r="N1914">
        <v>0</v>
      </c>
    </row>
    <row r="1915" spans="1:15">
      <c r="A1915" t="s">
        <v>17332</v>
      </c>
      <c r="B1915" t="s">
        <v>11644</v>
      </c>
      <c r="C1915" t="s">
        <v>17333</v>
      </c>
      <c r="D1915" t="s">
        <v>17334</v>
      </c>
      <c r="E1915" t="b">
        <v>0</v>
      </c>
      <c r="F1915" t="s">
        <v>11624</v>
      </c>
      <c r="L1915">
        <v>0</v>
      </c>
      <c r="M1915">
        <v>0</v>
      </c>
      <c r="N1915">
        <v>0</v>
      </c>
      <c r="O1915" t="s">
        <v>11905</v>
      </c>
    </row>
    <row r="1916" spans="1:15">
      <c r="A1916" t="s">
        <v>17335</v>
      </c>
      <c r="B1916" t="s">
        <v>12438</v>
      </c>
      <c r="C1916" t="s">
        <v>16890</v>
      </c>
      <c r="D1916" t="s">
        <v>17336</v>
      </c>
      <c r="E1916" t="b">
        <v>0</v>
      </c>
      <c r="F1916" t="s">
        <v>11610</v>
      </c>
      <c r="L1916">
        <v>0</v>
      </c>
      <c r="M1916">
        <v>0</v>
      </c>
      <c r="N1916">
        <v>0</v>
      </c>
    </row>
    <row r="1917" spans="1:15">
      <c r="A1917" t="s">
        <v>17337</v>
      </c>
      <c r="B1917" t="s">
        <v>6742</v>
      </c>
      <c r="C1917" t="s">
        <v>17338</v>
      </c>
      <c r="D1917" t="s">
        <v>17339</v>
      </c>
      <c r="E1917" t="b">
        <v>0</v>
      </c>
      <c r="F1917" t="s">
        <v>11624</v>
      </c>
      <c r="G1917">
        <v>1.397041</v>
      </c>
      <c r="H1917">
        <v>9.5101099999999992</v>
      </c>
      <c r="I1917" t="s">
        <v>17340</v>
      </c>
      <c r="L1917">
        <v>0</v>
      </c>
      <c r="M1917">
        <v>0</v>
      </c>
      <c r="N1917">
        <v>0</v>
      </c>
      <c r="O1917" t="s">
        <v>17341</v>
      </c>
    </row>
    <row r="1918" spans="1:15">
      <c r="A1918" t="s">
        <v>17342</v>
      </c>
      <c r="B1918" t="s">
        <v>6742</v>
      </c>
      <c r="C1918" t="s">
        <v>14854</v>
      </c>
      <c r="D1918" t="s">
        <v>17343</v>
      </c>
      <c r="E1918" t="b">
        <v>0</v>
      </c>
      <c r="F1918" t="s">
        <v>11610</v>
      </c>
      <c r="L1918">
        <v>0</v>
      </c>
      <c r="M1918">
        <v>0</v>
      </c>
      <c r="N1918">
        <v>0</v>
      </c>
    </row>
    <row r="1919" spans="1:15">
      <c r="A1919" t="s">
        <v>17344</v>
      </c>
      <c r="B1919" t="s">
        <v>367</v>
      </c>
      <c r="C1919" t="s">
        <v>4260</v>
      </c>
      <c r="D1919" t="s">
        <v>17345</v>
      </c>
      <c r="E1919" t="b">
        <v>0</v>
      </c>
      <c r="F1919" t="s">
        <v>11610</v>
      </c>
      <c r="L1919">
        <v>0</v>
      </c>
      <c r="M1919">
        <v>0</v>
      </c>
      <c r="N1919">
        <v>0</v>
      </c>
    </row>
    <row r="1920" spans="1:15">
      <c r="A1920" t="s">
        <v>17346</v>
      </c>
      <c r="B1920" t="s">
        <v>367</v>
      </c>
      <c r="C1920" t="s">
        <v>17347</v>
      </c>
      <c r="D1920" t="s">
        <v>17348</v>
      </c>
      <c r="E1920" t="b">
        <v>0</v>
      </c>
      <c r="F1920" t="s">
        <v>11624</v>
      </c>
      <c r="G1920">
        <v>3.04372</v>
      </c>
      <c r="H1920">
        <v>98.908299999999997</v>
      </c>
      <c r="I1920" t="s">
        <v>17349</v>
      </c>
      <c r="L1920">
        <v>0</v>
      </c>
      <c r="M1920">
        <v>0</v>
      </c>
      <c r="N1920">
        <v>0</v>
      </c>
      <c r="O1920" t="s">
        <v>11768</v>
      </c>
    </row>
    <row r="1921" spans="1:15">
      <c r="A1921" t="s">
        <v>17350</v>
      </c>
      <c r="B1921" t="s">
        <v>367</v>
      </c>
      <c r="C1921" t="s">
        <v>13846</v>
      </c>
      <c r="D1921" t="s">
        <v>17351</v>
      </c>
      <c r="E1921" t="b">
        <v>0</v>
      </c>
      <c r="F1921" t="s">
        <v>11624</v>
      </c>
      <c r="G1921">
        <v>2.3549799999999999</v>
      </c>
      <c r="H1921">
        <v>99.176100000000005</v>
      </c>
      <c r="I1921" t="s">
        <v>17352</v>
      </c>
      <c r="L1921">
        <v>0</v>
      </c>
      <c r="M1921">
        <v>0</v>
      </c>
      <c r="N1921">
        <v>0</v>
      </c>
      <c r="O1921" t="s">
        <v>11768</v>
      </c>
    </row>
    <row r="1922" spans="1:15">
      <c r="A1922" t="s">
        <v>17353</v>
      </c>
      <c r="B1922" t="s">
        <v>367</v>
      </c>
      <c r="C1922" t="s">
        <v>13845</v>
      </c>
      <c r="D1922" t="s">
        <v>17354</v>
      </c>
      <c r="E1922" t="b">
        <v>0</v>
      </c>
      <c r="F1922" t="s">
        <v>11624</v>
      </c>
      <c r="G1922">
        <v>1.66127</v>
      </c>
      <c r="H1922">
        <v>99.60248</v>
      </c>
      <c r="I1922" t="s">
        <v>17355</v>
      </c>
      <c r="L1922">
        <v>0</v>
      </c>
      <c r="M1922">
        <v>0</v>
      </c>
      <c r="N1922">
        <v>0</v>
      </c>
      <c r="O1922" t="s">
        <v>11768</v>
      </c>
    </row>
    <row r="1923" spans="1:15">
      <c r="A1923" t="s">
        <v>17356</v>
      </c>
      <c r="B1923" t="s">
        <v>367</v>
      </c>
      <c r="C1923" t="s">
        <v>13845</v>
      </c>
      <c r="D1923" t="s">
        <v>17357</v>
      </c>
      <c r="E1923" t="b">
        <v>0</v>
      </c>
      <c r="F1923" t="s">
        <v>11624</v>
      </c>
      <c r="G1923">
        <v>0.85804999999999998</v>
      </c>
      <c r="H1923">
        <v>99.897999999999996</v>
      </c>
      <c r="I1923" t="s">
        <v>17358</v>
      </c>
      <c r="L1923">
        <v>0</v>
      </c>
      <c r="M1923">
        <v>0</v>
      </c>
      <c r="N1923">
        <v>0</v>
      </c>
      <c r="O1923" t="s">
        <v>11768</v>
      </c>
    </row>
    <row r="1924" spans="1:15">
      <c r="A1924" t="s">
        <v>12950</v>
      </c>
      <c r="B1924" t="s">
        <v>367</v>
      </c>
      <c r="C1924" t="s">
        <v>17359</v>
      </c>
      <c r="D1924" t="s">
        <v>17360</v>
      </c>
      <c r="E1924" t="b">
        <v>0</v>
      </c>
      <c r="F1924" t="s">
        <v>11624</v>
      </c>
      <c r="G1924">
        <v>3.4293</v>
      </c>
      <c r="H1924">
        <v>97.812299999999993</v>
      </c>
      <c r="I1924" t="s">
        <v>17361</v>
      </c>
      <c r="L1924">
        <v>0</v>
      </c>
      <c r="M1924">
        <v>0</v>
      </c>
      <c r="N1924">
        <v>1</v>
      </c>
      <c r="O1924" t="s">
        <v>11768</v>
      </c>
    </row>
    <row r="1925" spans="1:15">
      <c r="A1925" t="s">
        <v>5330</v>
      </c>
      <c r="B1925" t="s">
        <v>367</v>
      </c>
      <c r="C1925" t="s">
        <v>17359</v>
      </c>
      <c r="D1925" t="s">
        <v>17362</v>
      </c>
      <c r="E1925" t="b">
        <v>0</v>
      </c>
      <c r="F1925" t="s">
        <v>11624</v>
      </c>
      <c r="G1925">
        <v>2.1278700000000002</v>
      </c>
      <c r="H1925">
        <v>98.2517</v>
      </c>
      <c r="I1925" t="s">
        <v>5332</v>
      </c>
      <c r="L1925">
        <v>0</v>
      </c>
      <c r="M1925">
        <v>0</v>
      </c>
      <c r="N1925">
        <v>1</v>
      </c>
      <c r="O1925" t="s">
        <v>11768</v>
      </c>
    </row>
    <row r="1926" spans="1:15">
      <c r="A1926" t="s">
        <v>17363</v>
      </c>
      <c r="B1926" t="s">
        <v>367</v>
      </c>
      <c r="C1926" t="s">
        <v>17359</v>
      </c>
      <c r="D1926" t="s">
        <v>17364</v>
      </c>
      <c r="E1926" t="b">
        <v>0</v>
      </c>
      <c r="F1926" t="s">
        <v>11624</v>
      </c>
      <c r="G1926">
        <v>2.5143800000000001</v>
      </c>
      <c r="H1926">
        <v>98.242699999999999</v>
      </c>
      <c r="I1926" t="s">
        <v>17365</v>
      </c>
      <c r="L1926">
        <v>0</v>
      </c>
      <c r="M1926">
        <v>0</v>
      </c>
      <c r="N1926">
        <v>0</v>
      </c>
      <c r="O1926" t="s">
        <v>11768</v>
      </c>
    </row>
    <row r="1927" spans="1:15">
      <c r="A1927" t="s">
        <v>17366</v>
      </c>
      <c r="B1927" t="s">
        <v>367</v>
      </c>
      <c r="C1927" t="s">
        <v>17367</v>
      </c>
      <c r="D1927" t="s">
        <v>17368</v>
      </c>
      <c r="E1927" t="b">
        <v>0</v>
      </c>
      <c r="F1927" t="s">
        <v>11624</v>
      </c>
      <c r="G1927">
        <v>-0.86239399999999999</v>
      </c>
      <c r="H1927">
        <v>130.64599999999999</v>
      </c>
      <c r="L1927">
        <v>0</v>
      </c>
      <c r="M1927">
        <v>0</v>
      </c>
      <c r="N1927">
        <v>0</v>
      </c>
      <c r="O1927" t="s">
        <v>11768</v>
      </c>
    </row>
    <row r="1928" spans="1:15">
      <c r="A1928" t="s">
        <v>17369</v>
      </c>
      <c r="B1928" t="s">
        <v>367</v>
      </c>
      <c r="C1928" t="s">
        <v>16754</v>
      </c>
      <c r="D1928" t="s">
        <v>17370</v>
      </c>
      <c r="E1928" t="b">
        <v>0</v>
      </c>
      <c r="F1928" t="s">
        <v>11610</v>
      </c>
      <c r="L1928">
        <v>0</v>
      </c>
      <c r="M1928">
        <v>0</v>
      </c>
      <c r="N1928">
        <v>0</v>
      </c>
    </row>
    <row r="1929" spans="1:15">
      <c r="A1929" t="s">
        <v>17371</v>
      </c>
      <c r="B1929" t="s">
        <v>367</v>
      </c>
      <c r="C1929" t="s">
        <v>11740</v>
      </c>
      <c r="D1929" t="s">
        <v>17372</v>
      </c>
      <c r="E1929" t="b">
        <v>0</v>
      </c>
      <c r="F1929" t="s">
        <v>11624</v>
      </c>
      <c r="G1929">
        <v>14.4153</v>
      </c>
      <c r="H1929">
        <v>120.49</v>
      </c>
      <c r="I1929" t="s">
        <v>17373</v>
      </c>
      <c r="L1929">
        <v>0</v>
      </c>
      <c r="M1929">
        <v>0</v>
      </c>
      <c r="N1929">
        <v>0</v>
      </c>
      <c r="O1929" t="s">
        <v>11749</v>
      </c>
    </row>
    <row r="1930" spans="1:15">
      <c r="A1930" t="s">
        <v>15445</v>
      </c>
      <c r="B1930" t="s">
        <v>367</v>
      </c>
      <c r="C1930" t="s">
        <v>17374</v>
      </c>
      <c r="D1930" t="s">
        <v>17375</v>
      </c>
      <c r="E1930" t="b">
        <v>0</v>
      </c>
      <c r="F1930" t="s">
        <v>11624</v>
      </c>
      <c r="G1930">
        <v>16.826599999999999</v>
      </c>
      <c r="H1930">
        <v>121.23</v>
      </c>
      <c r="I1930" t="s">
        <v>17376</v>
      </c>
      <c r="L1930">
        <v>0</v>
      </c>
      <c r="M1930">
        <v>0</v>
      </c>
      <c r="N1930">
        <v>3</v>
      </c>
      <c r="O1930" t="s">
        <v>11749</v>
      </c>
    </row>
    <row r="1931" spans="1:15">
      <c r="A1931" t="s">
        <v>17377</v>
      </c>
      <c r="B1931" t="s">
        <v>367</v>
      </c>
      <c r="C1931" t="s">
        <v>17378</v>
      </c>
      <c r="D1931" t="s">
        <v>17379</v>
      </c>
      <c r="E1931" t="b">
        <v>0</v>
      </c>
      <c r="F1931" t="s">
        <v>11610</v>
      </c>
      <c r="L1931">
        <v>0</v>
      </c>
      <c r="M1931">
        <v>0</v>
      </c>
      <c r="N1931">
        <v>0</v>
      </c>
    </row>
    <row r="1932" spans="1:15">
      <c r="A1932" t="s">
        <v>17380</v>
      </c>
      <c r="B1932" t="s">
        <v>367</v>
      </c>
      <c r="C1932" t="s">
        <v>17378</v>
      </c>
      <c r="D1932" t="s">
        <v>17381</v>
      </c>
      <c r="E1932" t="b">
        <v>0</v>
      </c>
      <c r="F1932" t="s">
        <v>11610</v>
      </c>
      <c r="L1932">
        <v>0</v>
      </c>
      <c r="M1932">
        <v>0</v>
      </c>
      <c r="N1932">
        <v>0</v>
      </c>
    </row>
    <row r="1933" spans="1:15">
      <c r="A1933" t="s">
        <v>5331</v>
      </c>
      <c r="B1933" t="s">
        <v>367</v>
      </c>
      <c r="C1933" t="s">
        <v>17382</v>
      </c>
      <c r="D1933" t="s">
        <v>5329</v>
      </c>
      <c r="E1933" t="b">
        <v>0</v>
      </c>
      <c r="F1933" t="s">
        <v>11624</v>
      </c>
      <c r="G1933">
        <v>10.111499999999999</v>
      </c>
      <c r="H1933">
        <v>119.02500000000001</v>
      </c>
      <c r="I1933" t="s">
        <v>5361</v>
      </c>
      <c r="L1933">
        <v>0</v>
      </c>
      <c r="M1933">
        <v>0</v>
      </c>
      <c r="N1933">
        <v>0</v>
      </c>
      <c r="O1933" t="s">
        <v>11749</v>
      </c>
    </row>
    <row r="1934" spans="1:15">
      <c r="A1934" t="s">
        <v>17383</v>
      </c>
      <c r="B1934" t="s">
        <v>11607</v>
      </c>
      <c r="C1934" t="s">
        <v>15660</v>
      </c>
      <c r="D1934" t="s">
        <v>10682</v>
      </c>
      <c r="E1934" t="b">
        <v>0</v>
      </c>
      <c r="F1934" t="s">
        <v>11624</v>
      </c>
      <c r="G1934">
        <v>9.6809100000000008</v>
      </c>
      <c r="H1934">
        <v>12.677</v>
      </c>
      <c r="I1934" t="s">
        <v>17384</v>
      </c>
      <c r="L1934">
        <v>0</v>
      </c>
      <c r="M1934">
        <v>0</v>
      </c>
      <c r="N1934">
        <v>9</v>
      </c>
      <c r="O1934" t="s">
        <v>11802</v>
      </c>
    </row>
    <row r="1935" spans="1:15">
      <c r="A1935" t="s">
        <v>17385</v>
      </c>
      <c r="B1935" t="s">
        <v>367</v>
      </c>
      <c r="C1935" t="s">
        <v>4363</v>
      </c>
      <c r="D1935" t="s">
        <v>17386</v>
      </c>
      <c r="E1935" t="b">
        <v>0</v>
      </c>
      <c r="F1935" t="s">
        <v>11622</v>
      </c>
      <c r="L1935">
        <v>1</v>
      </c>
      <c r="M1935">
        <v>3</v>
      </c>
      <c r="N1935">
        <v>3</v>
      </c>
    </row>
    <row r="1936" spans="1:15">
      <c r="A1936" t="s">
        <v>17382</v>
      </c>
      <c r="B1936" t="s">
        <v>367</v>
      </c>
      <c r="C1936" t="s">
        <v>17387</v>
      </c>
      <c r="D1936" t="s">
        <v>17388</v>
      </c>
      <c r="E1936" t="b">
        <v>0</v>
      </c>
      <c r="F1936" t="s">
        <v>11622</v>
      </c>
      <c r="L1936">
        <v>0</v>
      </c>
      <c r="M1936">
        <v>2</v>
      </c>
      <c r="N1936">
        <v>0</v>
      </c>
    </row>
    <row r="1937" spans="1:15">
      <c r="A1937" t="s">
        <v>17389</v>
      </c>
      <c r="B1937" t="s">
        <v>367</v>
      </c>
      <c r="C1937" t="s">
        <v>17390</v>
      </c>
      <c r="D1937" t="s">
        <v>17391</v>
      </c>
      <c r="E1937" t="b">
        <v>0</v>
      </c>
      <c r="F1937" t="s">
        <v>11622</v>
      </c>
      <c r="L1937">
        <v>0</v>
      </c>
      <c r="M1937">
        <v>2</v>
      </c>
      <c r="N1937">
        <v>0</v>
      </c>
    </row>
    <row r="1938" spans="1:15">
      <c r="A1938" t="s">
        <v>17374</v>
      </c>
      <c r="B1938" t="s">
        <v>367</v>
      </c>
      <c r="C1938" t="s">
        <v>13464</v>
      </c>
      <c r="D1938" t="s">
        <v>17392</v>
      </c>
      <c r="E1938" t="b">
        <v>0</v>
      </c>
      <c r="F1938" t="s">
        <v>11622</v>
      </c>
      <c r="L1938">
        <v>0</v>
      </c>
      <c r="M1938">
        <v>2</v>
      </c>
      <c r="N1938">
        <v>3</v>
      </c>
    </row>
    <row r="1939" spans="1:15">
      <c r="A1939" t="s">
        <v>17393</v>
      </c>
      <c r="B1939" t="s">
        <v>6742</v>
      </c>
      <c r="C1939" t="s">
        <v>16212</v>
      </c>
      <c r="D1939" t="s">
        <v>17394</v>
      </c>
      <c r="E1939" t="b">
        <v>0</v>
      </c>
      <c r="F1939" t="s">
        <v>11610</v>
      </c>
      <c r="L1939">
        <v>0</v>
      </c>
      <c r="M1939">
        <v>0</v>
      </c>
      <c r="N1939">
        <v>0</v>
      </c>
    </row>
    <row r="1940" spans="1:15">
      <c r="A1940" t="s">
        <v>17395</v>
      </c>
      <c r="B1940" t="s">
        <v>11637</v>
      </c>
      <c r="C1940" t="s">
        <v>17396</v>
      </c>
      <c r="D1940" t="s">
        <v>17397</v>
      </c>
      <c r="E1940" t="b">
        <v>0</v>
      </c>
      <c r="F1940" t="s">
        <v>11624</v>
      </c>
      <c r="G1940">
        <v>33.996400000000001</v>
      </c>
      <c r="H1940">
        <v>74.965199999999996</v>
      </c>
      <c r="I1940" t="s">
        <v>17398</v>
      </c>
      <c r="L1940">
        <v>0</v>
      </c>
      <c r="M1940">
        <v>0</v>
      </c>
      <c r="N1940">
        <v>0</v>
      </c>
      <c r="O1940" t="s">
        <v>15870</v>
      </c>
    </row>
    <row r="1941" spans="1:15">
      <c r="A1941" t="s">
        <v>17399</v>
      </c>
      <c r="B1941" t="s">
        <v>12438</v>
      </c>
      <c r="C1941" t="s">
        <v>17400</v>
      </c>
      <c r="D1941" t="s">
        <v>17401</v>
      </c>
      <c r="E1941" t="b">
        <v>0</v>
      </c>
      <c r="F1941" t="s">
        <v>11624</v>
      </c>
      <c r="G1941">
        <v>4.8223000000000003</v>
      </c>
      <c r="H1941">
        <v>102.38200000000001</v>
      </c>
      <c r="I1941" t="s">
        <v>17402</v>
      </c>
      <c r="L1941">
        <v>0</v>
      </c>
      <c r="M1941">
        <v>0</v>
      </c>
      <c r="N1941">
        <v>2</v>
      </c>
      <c r="O1941" t="s">
        <v>11672</v>
      </c>
    </row>
    <row r="1942" spans="1:15">
      <c r="A1942" t="s">
        <v>17403</v>
      </c>
      <c r="B1942" t="s">
        <v>12438</v>
      </c>
      <c r="C1942" t="s">
        <v>17399</v>
      </c>
      <c r="D1942" t="s">
        <v>17404</v>
      </c>
      <c r="E1942" t="b">
        <v>0</v>
      </c>
      <c r="F1942" t="s">
        <v>11610</v>
      </c>
      <c r="L1942">
        <v>0</v>
      </c>
      <c r="M1942">
        <v>0</v>
      </c>
      <c r="N1942">
        <v>0</v>
      </c>
    </row>
    <row r="1943" spans="1:15">
      <c r="A1943" t="s">
        <v>17405</v>
      </c>
      <c r="B1943" t="s">
        <v>12438</v>
      </c>
      <c r="C1943" t="s">
        <v>17399</v>
      </c>
      <c r="D1943" t="s">
        <v>17406</v>
      </c>
      <c r="E1943" t="b">
        <v>0</v>
      </c>
      <c r="F1943" t="s">
        <v>11610</v>
      </c>
      <c r="L1943">
        <v>0</v>
      </c>
      <c r="M1943">
        <v>0</v>
      </c>
      <c r="N1943">
        <v>0</v>
      </c>
    </row>
    <row r="1944" spans="1:15">
      <c r="A1944" t="s">
        <v>17407</v>
      </c>
      <c r="B1944" t="s">
        <v>12438</v>
      </c>
      <c r="C1944" t="s">
        <v>5340</v>
      </c>
      <c r="D1944" t="s">
        <v>17408</v>
      </c>
      <c r="E1944" t="b">
        <v>0</v>
      </c>
      <c r="F1944" t="s">
        <v>11610</v>
      </c>
      <c r="L1944">
        <v>0</v>
      </c>
      <c r="M1944">
        <v>0</v>
      </c>
      <c r="N1944">
        <v>0</v>
      </c>
    </row>
    <row r="1945" spans="1:15">
      <c r="A1945" t="s">
        <v>17400</v>
      </c>
      <c r="B1945" t="s">
        <v>12438</v>
      </c>
      <c r="C1945" t="s">
        <v>17409</v>
      </c>
      <c r="D1945" t="s">
        <v>17410</v>
      </c>
      <c r="E1945" t="b">
        <v>0</v>
      </c>
      <c r="F1945" t="s">
        <v>11622</v>
      </c>
      <c r="L1945">
        <v>0</v>
      </c>
      <c r="M1945">
        <v>2</v>
      </c>
      <c r="N1945">
        <v>2</v>
      </c>
    </row>
    <row r="1946" spans="1:15">
      <c r="A1946" t="s">
        <v>17396</v>
      </c>
      <c r="B1946" t="s">
        <v>11637</v>
      </c>
      <c r="C1946" t="s">
        <v>17411</v>
      </c>
      <c r="D1946" t="s">
        <v>17412</v>
      </c>
      <c r="E1946" t="b">
        <v>0</v>
      </c>
      <c r="F1946" t="s">
        <v>11622</v>
      </c>
      <c r="L1946">
        <v>0</v>
      </c>
      <c r="M1946">
        <v>2</v>
      </c>
      <c r="N1946">
        <v>0</v>
      </c>
    </row>
    <row r="1947" spans="1:15">
      <c r="A1947" t="s">
        <v>17413</v>
      </c>
      <c r="B1947" t="s">
        <v>11637</v>
      </c>
      <c r="C1947" t="s">
        <v>8925</v>
      </c>
      <c r="D1947" t="s">
        <v>17414</v>
      </c>
      <c r="E1947" t="b">
        <v>0</v>
      </c>
      <c r="F1947" t="s">
        <v>11610</v>
      </c>
      <c r="L1947">
        <v>0</v>
      </c>
      <c r="M1947">
        <v>0</v>
      </c>
      <c r="N1947">
        <v>0</v>
      </c>
    </row>
    <row r="1948" spans="1:15">
      <c r="A1948" t="s">
        <v>17415</v>
      </c>
      <c r="B1948" t="s">
        <v>11607</v>
      </c>
      <c r="C1948" t="s">
        <v>17416</v>
      </c>
      <c r="D1948" t="s">
        <v>17417</v>
      </c>
      <c r="E1948" t="b">
        <v>0</v>
      </c>
      <c r="F1948" t="s">
        <v>11624</v>
      </c>
      <c r="G1948">
        <v>17.448499999999999</v>
      </c>
      <c r="H1948">
        <v>53.119</v>
      </c>
      <c r="I1948" t="s">
        <v>17418</v>
      </c>
      <c r="L1948">
        <v>0</v>
      </c>
      <c r="M1948">
        <v>0</v>
      </c>
      <c r="N1948">
        <v>0</v>
      </c>
      <c r="O1948" t="s">
        <v>17419</v>
      </c>
    </row>
    <row r="1949" spans="1:15">
      <c r="A1949" t="s">
        <v>3054</v>
      </c>
      <c r="B1949" t="s">
        <v>11607</v>
      </c>
      <c r="C1949" t="s">
        <v>6542</v>
      </c>
      <c r="D1949" t="s">
        <v>17420</v>
      </c>
      <c r="E1949" t="b">
        <v>0</v>
      </c>
      <c r="F1949" t="s">
        <v>11610</v>
      </c>
      <c r="G1949">
        <v>12.188285</v>
      </c>
      <c r="H1949">
        <v>12.360552</v>
      </c>
      <c r="L1949">
        <v>0</v>
      </c>
      <c r="M1949">
        <v>0</v>
      </c>
      <c r="N1949">
        <v>0</v>
      </c>
    </row>
    <row r="1950" spans="1:15">
      <c r="A1950" t="s">
        <v>17421</v>
      </c>
      <c r="B1950" t="s">
        <v>11644</v>
      </c>
      <c r="C1950" t="s">
        <v>17422</v>
      </c>
      <c r="D1950" t="s">
        <v>17423</v>
      </c>
      <c r="E1950" t="b">
        <v>0</v>
      </c>
      <c r="F1950" t="s">
        <v>11610</v>
      </c>
      <c r="L1950">
        <v>0</v>
      </c>
      <c r="M1950">
        <v>0</v>
      </c>
      <c r="N1950">
        <v>0</v>
      </c>
    </row>
    <row r="1951" spans="1:15">
      <c r="A1951" t="s">
        <v>17424</v>
      </c>
      <c r="B1951" t="s">
        <v>6742</v>
      </c>
      <c r="C1951" t="s">
        <v>17425</v>
      </c>
      <c r="D1951" t="s">
        <v>17426</v>
      </c>
      <c r="E1951" t="b">
        <v>0</v>
      </c>
      <c r="F1951" t="s">
        <v>11610</v>
      </c>
      <c r="L1951">
        <v>0</v>
      </c>
      <c r="M1951">
        <v>0</v>
      </c>
      <c r="N1951">
        <v>0</v>
      </c>
    </row>
    <row r="1952" spans="1:15">
      <c r="A1952" t="s">
        <v>17427</v>
      </c>
      <c r="B1952" t="s">
        <v>6742</v>
      </c>
      <c r="C1952" t="s">
        <v>17428</v>
      </c>
      <c r="D1952" t="s">
        <v>17429</v>
      </c>
      <c r="E1952" t="b">
        <v>0</v>
      </c>
      <c r="F1952" t="s">
        <v>11624</v>
      </c>
      <c r="G1952">
        <v>4.2557299999999998</v>
      </c>
      <c r="H1952">
        <v>11.059100000000001</v>
      </c>
      <c r="I1952" t="s">
        <v>17430</v>
      </c>
      <c r="L1952">
        <v>0</v>
      </c>
      <c r="M1952">
        <v>0</v>
      </c>
      <c r="N1952">
        <v>0</v>
      </c>
      <c r="O1952" t="s">
        <v>11703</v>
      </c>
    </row>
    <row r="1953" spans="1:15">
      <c r="A1953" t="s">
        <v>17431</v>
      </c>
      <c r="B1953" t="s">
        <v>367</v>
      </c>
      <c r="C1953" t="s">
        <v>17432</v>
      </c>
      <c r="D1953" t="s">
        <v>17433</v>
      </c>
      <c r="E1953" t="b">
        <v>0</v>
      </c>
      <c r="F1953" t="s">
        <v>11610</v>
      </c>
      <c r="L1953">
        <v>0</v>
      </c>
      <c r="M1953">
        <v>0</v>
      </c>
      <c r="N1953">
        <v>0</v>
      </c>
    </row>
    <row r="1954" spans="1:15">
      <c r="A1954" t="s">
        <v>17434</v>
      </c>
      <c r="B1954" t="s">
        <v>367</v>
      </c>
      <c r="C1954" t="s">
        <v>17435</v>
      </c>
      <c r="D1954" t="s">
        <v>17436</v>
      </c>
      <c r="E1954" t="b">
        <v>0</v>
      </c>
      <c r="F1954" t="s">
        <v>11624</v>
      </c>
      <c r="G1954">
        <v>-3.6140300000000001</v>
      </c>
      <c r="H1954">
        <v>130.815</v>
      </c>
      <c r="I1954" t="s">
        <v>17437</v>
      </c>
      <c r="L1954">
        <v>0</v>
      </c>
      <c r="M1954">
        <v>0</v>
      </c>
      <c r="N1954">
        <v>0</v>
      </c>
      <c r="O1954" t="s">
        <v>11768</v>
      </c>
    </row>
    <row r="1955" spans="1:15">
      <c r="A1955" t="s">
        <v>17438</v>
      </c>
      <c r="B1955" t="s">
        <v>11912</v>
      </c>
      <c r="C1955" t="s">
        <v>17439</v>
      </c>
      <c r="D1955" t="s">
        <v>17440</v>
      </c>
      <c r="E1955" t="b">
        <v>0</v>
      </c>
      <c r="F1955" t="s">
        <v>11610</v>
      </c>
      <c r="L1955">
        <v>0</v>
      </c>
      <c r="M1955">
        <v>0</v>
      </c>
      <c r="N1955">
        <v>0</v>
      </c>
    </row>
    <row r="1956" spans="1:15">
      <c r="A1956" t="s">
        <v>17441</v>
      </c>
      <c r="B1956" t="s">
        <v>12311</v>
      </c>
      <c r="C1956" t="s">
        <v>13678</v>
      </c>
      <c r="D1956" t="s">
        <v>17442</v>
      </c>
      <c r="E1956" t="b">
        <v>0</v>
      </c>
      <c r="F1956" t="s">
        <v>11610</v>
      </c>
      <c r="L1956">
        <v>0</v>
      </c>
      <c r="M1956">
        <v>0</v>
      </c>
      <c r="N1956">
        <v>0</v>
      </c>
    </row>
    <row r="1957" spans="1:15">
      <c r="A1957" t="s">
        <v>17443</v>
      </c>
      <c r="B1957" t="s">
        <v>6742</v>
      </c>
      <c r="C1957" t="s">
        <v>17444</v>
      </c>
      <c r="D1957" t="s">
        <v>17445</v>
      </c>
      <c r="E1957" t="b">
        <v>0</v>
      </c>
      <c r="F1957" t="s">
        <v>11610</v>
      </c>
      <c r="L1957">
        <v>0</v>
      </c>
      <c r="M1957">
        <v>0</v>
      </c>
      <c r="N1957">
        <v>0</v>
      </c>
    </row>
    <row r="1958" spans="1:15">
      <c r="A1958" t="s">
        <v>17446</v>
      </c>
      <c r="B1958" t="s">
        <v>6742</v>
      </c>
      <c r="C1958" t="s">
        <v>17447</v>
      </c>
      <c r="D1958" t="s">
        <v>17448</v>
      </c>
      <c r="E1958" t="b">
        <v>0</v>
      </c>
      <c r="F1958" t="s">
        <v>11610</v>
      </c>
      <c r="L1958">
        <v>0</v>
      </c>
      <c r="M1958">
        <v>0</v>
      </c>
      <c r="N1958">
        <v>0</v>
      </c>
    </row>
    <row r="1959" spans="1:15">
      <c r="A1959" t="s">
        <v>17449</v>
      </c>
      <c r="B1959" t="s">
        <v>6742</v>
      </c>
      <c r="C1959" t="s">
        <v>17450</v>
      </c>
      <c r="D1959" t="s">
        <v>17451</v>
      </c>
      <c r="E1959" t="b">
        <v>0</v>
      </c>
      <c r="F1959" t="s">
        <v>11610</v>
      </c>
      <c r="L1959">
        <v>0</v>
      </c>
      <c r="M1959">
        <v>0</v>
      </c>
      <c r="N1959">
        <v>0</v>
      </c>
    </row>
    <row r="1960" spans="1:15">
      <c r="A1960" t="s">
        <v>17452</v>
      </c>
      <c r="B1960" t="s">
        <v>12311</v>
      </c>
      <c r="C1960" t="s">
        <v>17453</v>
      </c>
      <c r="D1960" t="s">
        <v>17454</v>
      </c>
      <c r="E1960" t="b">
        <v>0</v>
      </c>
      <c r="F1960" t="s">
        <v>11624</v>
      </c>
      <c r="G1960">
        <v>42.180599999999998</v>
      </c>
      <c r="H1960">
        <v>45.344000000000001</v>
      </c>
      <c r="I1960" t="s">
        <v>17455</v>
      </c>
      <c r="L1960">
        <v>0</v>
      </c>
      <c r="M1960">
        <v>0</v>
      </c>
      <c r="N1960">
        <v>0</v>
      </c>
      <c r="O1960" t="s">
        <v>17456</v>
      </c>
    </row>
    <row r="1961" spans="1:15">
      <c r="A1961" t="s">
        <v>13270</v>
      </c>
      <c r="B1961" t="s">
        <v>6742</v>
      </c>
      <c r="C1961" t="s">
        <v>11799</v>
      </c>
      <c r="D1961" t="s">
        <v>17457</v>
      </c>
      <c r="E1961" t="b">
        <v>0</v>
      </c>
      <c r="F1961" t="s">
        <v>11624</v>
      </c>
      <c r="G1961">
        <v>6.8158799999999999</v>
      </c>
      <c r="H1961">
        <v>10.9377</v>
      </c>
      <c r="I1961" t="s">
        <v>17458</v>
      </c>
      <c r="L1961">
        <v>0</v>
      </c>
      <c r="M1961">
        <v>0</v>
      </c>
      <c r="N1961">
        <v>3</v>
      </c>
      <c r="O1961" t="s">
        <v>11802</v>
      </c>
    </row>
    <row r="1962" spans="1:15">
      <c r="A1962" t="s">
        <v>17459</v>
      </c>
      <c r="B1962" t="s">
        <v>367</v>
      </c>
      <c r="C1962" t="s">
        <v>5309</v>
      </c>
      <c r="D1962" t="s">
        <v>17460</v>
      </c>
      <c r="E1962" t="b">
        <v>0</v>
      </c>
      <c r="F1962" t="s">
        <v>11610</v>
      </c>
      <c r="L1962">
        <v>0</v>
      </c>
      <c r="M1962">
        <v>0</v>
      </c>
      <c r="N1962">
        <v>0</v>
      </c>
    </row>
    <row r="1963" spans="1:15">
      <c r="A1963" t="s">
        <v>17461</v>
      </c>
      <c r="B1963" t="s">
        <v>367</v>
      </c>
      <c r="C1963" t="s">
        <v>5302</v>
      </c>
      <c r="D1963" t="s">
        <v>17462</v>
      </c>
      <c r="E1963" t="b">
        <v>0</v>
      </c>
      <c r="F1963" t="s">
        <v>11610</v>
      </c>
      <c r="L1963">
        <v>0</v>
      </c>
      <c r="M1963">
        <v>0</v>
      </c>
      <c r="N1963">
        <v>0</v>
      </c>
    </row>
    <row r="1964" spans="1:15">
      <c r="A1964" t="s">
        <v>17463</v>
      </c>
      <c r="B1964" t="s">
        <v>367</v>
      </c>
      <c r="C1964" t="s">
        <v>17464</v>
      </c>
      <c r="D1964" t="s">
        <v>17465</v>
      </c>
      <c r="E1964" t="b">
        <v>0</v>
      </c>
      <c r="F1964" t="s">
        <v>11624</v>
      </c>
      <c r="G1964">
        <v>-5.8144119999999999</v>
      </c>
      <c r="H1964">
        <v>134.78431399999999</v>
      </c>
      <c r="I1964" t="s">
        <v>17466</v>
      </c>
      <c r="L1964">
        <v>0</v>
      </c>
      <c r="M1964">
        <v>0</v>
      </c>
      <c r="N1964">
        <v>0</v>
      </c>
      <c r="O1964" t="s">
        <v>11768</v>
      </c>
    </row>
    <row r="1965" spans="1:15">
      <c r="A1965" t="s">
        <v>17467</v>
      </c>
      <c r="B1965" t="s">
        <v>367</v>
      </c>
      <c r="C1965" t="s">
        <v>17468</v>
      </c>
      <c r="D1965" t="s">
        <v>17469</v>
      </c>
      <c r="E1965" t="b">
        <v>0</v>
      </c>
      <c r="F1965" t="s">
        <v>11610</v>
      </c>
      <c r="L1965">
        <v>0</v>
      </c>
      <c r="M1965">
        <v>0</v>
      </c>
      <c r="N1965">
        <v>0</v>
      </c>
    </row>
    <row r="1966" spans="1:15">
      <c r="A1966" t="s">
        <v>17470</v>
      </c>
      <c r="B1966" t="s">
        <v>367</v>
      </c>
      <c r="C1966" t="s">
        <v>17471</v>
      </c>
      <c r="D1966" t="s">
        <v>17472</v>
      </c>
      <c r="E1966" t="b">
        <v>0</v>
      </c>
      <c r="F1966" t="s">
        <v>11624</v>
      </c>
      <c r="G1966">
        <v>-1.2544420000000001</v>
      </c>
      <c r="H1966">
        <v>122.487151</v>
      </c>
      <c r="I1966" t="s">
        <v>17473</v>
      </c>
      <c r="L1966">
        <v>0</v>
      </c>
      <c r="M1966">
        <v>0</v>
      </c>
      <c r="N1966">
        <v>0</v>
      </c>
      <c r="O1966" t="s">
        <v>11768</v>
      </c>
    </row>
    <row r="1967" spans="1:15">
      <c r="A1967" t="s">
        <v>17474</v>
      </c>
      <c r="B1967" t="s">
        <v>11839</v>
      </c>
      <c r="C1967" t="s">
        <v>17475</v>
      </c>
      <c r="D1967" t="s">
        <v>17476</v>
      </c>
      <c r="E1967" t="b">
        <v>0</v>
      </c>
      <c r="F1967" t="s">
        <v>11610</v>
      </c>
      <c r="L1967">
        <v>0</v>
      </c>
      <c r="M1967">
        <v>0</v>
      </c>
      <c r="N1967">
        <v>0</v>
      </c>
    </row>
    <row r="1968" spans="1:15">
      <c r="A1968" t="s">
        <v>17464</v>
      </c>
      <c r="B1968" t="s">
        <v>367</v>
      </c>
      <c r="C1968" t="s">
        <v>14691</v>
      </c>
      <c r="D1968" t="s">
        <v>17477</v>
      </c>
      <c r="E1968" t="b">
        <v>0</v>
      </c>
      <c r="F1968" t="s">
        <v>11622</v>
      </c>
      <c r="L1968">
        <v>0</v>
      </c>
      <c r="M1968">
        <v>2</v>
      </c>
      <c r="N1968">
        <v>0</v>
      </c>
    </row>
    <row r="1969" spans="1:15">
      <c r="A1969" t="s">
        <v>17471</v>
      </c>
      <c r="B1969" t="s">
        <v>367</v>
      </c>
      <c r="C1969" t="s">
        <v>17478</v>
      </c>
      <c r="D1969" t="s">
        <v>17479</v>
      </c>
      <c r="E1969" t="b">
        <v>0</v>
      </c>
      <c r="F1969" t="s">
        <v>11622</v>
      </c>
      <c r="L1969">
        <v>0</v>
      </c>
      <c r="M1969">
        <v>2</v>
      </c>
      <c r="N1969">
        <v>0</v>
      </c>
    </row>
    <row r="1970" spans="1:15">
      <c r="A1970" t="s">
        <v>17480</v>
      </c>
      <c r="B1970" t="s">
        <v>10597</v>
      </c>
      <c r="C1970" t="s">
        <v>2607</v>
      </c>
      <c r="D1970" t="s">
        <v>17481</v>
      </c>
      <c r="E1970" t="b">
        <v>0</v>
      </c>
      <c r="F1970" t="s">
        <v>11610</v>
      </c>
      <c r="I1970" t="s">
        <v>17482</v>
      </c>
      <c r="L1970">
        <v>0</v>
      </c>
      <c r="M1970">
        <v>0</v>
      </c>
      <c r="N1970">
        <v>0</v>
      </c>
      <c r="O1970" t="s">
        <v>12107</v>
      </c>
    </row>
    <row r="1971" spans="1:15">
      <c r="A1971" t="s">
        <v>14866</v>
      </c>
      <c r="B1971" t="s">
        <v>367</v>
      </c>
      <c r="C1971" t="s">
        <v>17483</v>
      </c>
      <c r="D1971" t="s">
        <v>17484</v>
      </c>
      <c r="E1971" t="b">
        <v>0</v>
      </c>
      <c r="F1971" t="s">
        <v>11624</v>
      </c>
      <c r="G1971">
        <v>1.54467</v>
      </c>
      <c r="H1971">
        <v>109.985</v>
      </c>
      <c r="I1971" t="s">
        <v>17485</v>
      </c>
      <c r="L1971">
        <v>0</v>
      </c>
      <c r="M1971">
        <v>0</v>
      </c>
      <c r="N1971">
        <v>12</v>
      </c>
      <c r="O1971" t="s">
        <v>16728</v>
      </c>
    </row>
    <row r="1972" spans="1:15">
      <c r="A1972" t="s">
        <v>17486</v>
      </c>
      <c r="B1972" t="s">
        <v>6742</v>
      </c>
      <c r="C1972" t="s">
        <v>17487</v>
      </c>
      <c r="D1972" t="s">
        <v>17488</v>
      </c>
      <c r="E1972" t="b">
        <v>0</v>
      </c>
      <c r="F1972" t="s">
        <v>11624</v>
      </c>
      <c r="G1972">
        <v>10.207700000000001</v>
      </c>
      <c r="H1972">
        <v>6.61686</v>
      </c>
      <c r="I1972" t="s">
        <v>17489</v>
      </c>
      <c r="L1972">
        <v>0</v>
      </c>
      <c r="M1972">
        <v>0</v>
      </c>
      <c r="N1972">
        <v>3</v>
      </c>
      <c r="O1972" t="s">
        <v>11693</v>
      </c>
    </row>
    <row r="1973" spans="1:15">
      <c r="A1973" t="s">
        <v>17490</v>
      </c>
      <c r="B1973" t="s">
        <v>6742</v>
      </c>
      <c r="C1973" t="s">
        <v>17491</v>
      </c>
      <c r="D1973" t="s">
        <v>17492</v>
      </c>
      <c r="E1973" t="b">
        <v>0</v>
      </c>
      <c r="F1973" t="s">
        <v>11610</v>
      </c>
      <c r="L1973">
        <v>0</v>
      </c>
      <c r="M1973">
        <v>0</v>
      </c>
      <c r="N1973">
        <v>0</v>
      </c>
    </row>
    <row r="1974" spans="1:15">
      <c r="A1974" t="s">
        <v>17493</v>
      </c>
      <c r="B1974" t="s">
        <v>367</v>
      </c>
      <c r="C1974" t="s">
        <v>17494</v>
      </c>
      <c r="D1974" t="s">
        <v>17495</v>
      </c>
      <c r="E1974" t="b">
        <v>0</v>
      </c>
      <c r="F1974" t="s">
        <v>11610</v>
      </c>
      <c r="L1974">
        <v>0</v>
      </c>
      <c r="M1974">
        <v>0</v>
      </c>
      <c r="N1974">
        <v>0</v>
      </c>
    </row>
    <row r="1975" spans="1:15">
      <c r="A1975" t="s">
        <v>17496</v>
      </c>
      <c r="B1975" t="s">
        <v>6742</v>
      </c>
      <c r="C1975" t="s">
        <v>17497</v>
      </c>
      <c r="D1975" t="s">
        <v>17498</v>
      </c>
      <c r="E1975" t="b">
        <v>0</v>
      </c>
      <c r="F1975" t="s">
        <v>11610</v>
      </c>
      <c r="L1975">
        <v>0</v>
      </c>
      <c r="M1975">
        <v>0</v>
      </c>
      <c r="N1975">
        <v>0</v>
      </c>
    </row>
    <row r="1976" spans="1:15">
      <c r="A1976" t="s">
        <v>17499</v>
      </c>
      <c r="B1976" t="s">
        <v>11637</v>
      </c>
      <c r="C1976" t="s">
        <v>1274</v>
      </c>
      <c r="D1976" t="s">
        <v>17500</v>
      </c>
      <c r="E1976" t="b">
        <v>0</v>
      </c>
      <c r="F1976" t="s">
        <v>11624</v>
      </c>
      <c r="G1976">
        <v>25.297699999999999</v>
      </c>
      <c r="H1976">
        <v>75.871300000000005</v>
      </c>
      <c r="I1976" t="s">
        <v>17501</v>
      </c>
      <c r="L1976">
        <v>0</v>
      </c>
      <c r="M1976">
        <v>0</v>
      </c>
      <c r="N1976">
        <v>0</v>
      </c>
      <c r="O1976" t="s">
        <v>11630</v>
      </c>
    </row>
    <row r="1977" spans="1:15">
      <c r="A1977" t="s">
        <v>17502</v>
      </c>
      <c r="B1977" t="s">
        <v>367</v>
      </c>
      <c r="C1977" t="s">
        <v>14619</v>
      </c>
      <c r="D1977" t="s">
        <v>17503</v>
      </c>
      <c r="E1977" t="b">
        <v>0</v>
      </c>
      <c r="F1977" t="s">
        <v>11624</v>
      </c>
      <c r="G1977">
        <v>-10.582599999999999</v>
      </c>
      <c r="H1977">
        <v>161.863</v>
      </c>
      <c r="I1977" t="s">
        <v>17504</v>
      </c>
      <c r="L1977">
        <v>0</v>
      </c>
      <c r="M1977">
        <v>0</v>
      </c>
      <c r="N1977">
        <v>3</v>
      </c>
      <c r="O1977" t="s">
        <v>13346</v>
      </c>
    </row>
    <row r="1978" spans="1:15">
      <c r="A1978" t="s">
        <v>17505</v>
      </c>
      <c r="B1978" t="s">
        <v>11894</v>
      </c>
      <c r="C1978" t="s">
        <v>17506</v>
      </c>
      <c r="D1978" t="s">
        <v>17507</v>
      </c>
      <c r="E1978" t="b">
        <v>0</v>
      </c>
      <c r="F1978" t="s">
        <v>11624</v>
      </c>
      <c r="G1978">
        <v>-13.127800000000001</v>
      </c>
      <c r="H1978">
        <v>-64.183800000000005</v>
      </c>
      <c r="I1978" t="s">
        <v>17508</v>
      </c>
      <c r="L1978">
        <v>0</v>
      </c>
      <c r="M1978">
        <v>0</v>
      </c>
      <c r="N1978">
        <v>0</v>
      </c>
      <c r="O1978" t="s">
        <v>14185</v>
      </c>
    </row>
    <row r="1979" spans="1:15">
      <c r="A1979" t="s">
        <v>17506</v>
      </c>
      <c r="B1979" t="s">
        <v>11894</v>
      </c>
      <c r="C1979" t="s">
        <v>17509</v>
      </c>
      <c r="D1979" t="s">
        <v>17510</v>
      </c>
      <c r="E1979" t="b">
        <v>0</v>
      </c>
      <c r="F1979" t="s">
        <v>11622</v>
      </c>
      <c r="L1979">
        <v>0</v>
      </c>
      <c r="M1979">
        <v>2</v>
      </c>
      <c r="N1979">
        <v>0</v>
      </c>
    </row>
    <row r="1980" spans="1:15">
      <c r="A1980" t="s">
        <v>17509</v>
      </c>
      <c r="B1980" t="s">
        <v>11894</v>
      </c>
      <c r="C1980" t="s">
        <v>17511</v>
      </c>
      <c r="D1980" t="s">
        <v>17512</v>
      </c>
      <c r="E1980" t="b">
        <v>0</v>
      </c>
      <c r="F1980" t="s">
        <v>11622</v>
      </c>
      <c r="L1980">
        <v>1</v>
      </c>
      <c r="M1980">
        <v>3</v>
      </c>
      <c r="N1980">
        <v>0</v>
      </c>
    </row>
    <row r="1981" spans="1:15">
      <c r="A1981" t="s">
        <v>17513</v>
      </c>
      <c r="B1981" t="s">
        <v>11637</v>
      </c>
      <c r="C1981" t="s">
        <v>17514</v>
      </c>
      <c r="D1981" t="s">
        <v>17515</v>
      </c>
      <c r="E1981" t="b">
        <v>0</v>
      </c>
      <c r="F1981" t="s">
        <v>11610</v>
      </c>
      <c r="L1981">
        <v>0</v>
      </c>
      <c r="M1981">
        <v>0</v>
      </c>
      <c r="N1981">
        <v>0</v>
      </c>
    </row>
    <row r="1982" spans="1:15">
      <c r="A1982" t="s">
        <v>17516</v>
      </c>
      <c r="B1982" t="s">
        <v>367</v>
      </c>
      <c r="C1982" t="s">
        <v>11080</v>
      </c>
      <c r="D1982" t="s">
        <v>17517</v>
      </c>
      <c r="E1982" t="b">
        <v>0</v>
      </c>
      <c r="F1982" t="s">
        <v>11610</v>
      </c>
      <c r="L1982">
        <v>0</v>
      </c>
      <c r="M1982">
        <v>0</v>
      </c>
      <c r="N1982">
        <v>0</v>
      </c>
    </row>
    <row r="1983" spans="1:15">
      <c r="A1983" t="s">
        <v>17518</v>
      </c>
      <c r="B1983" t="s">
        <v>11615</v>
      </c>
      <c r="C1983" t="s">
        <v>17519</v>
      </c>
      <c r="D1983" t="s">
        <v>17520</v>
      </c>
      <c r="E1983" t="b">
        <v>0</v>
      </c>
      <c r="F1983" t="s">
        <v>11624</v>
      </c>
      <c r="G1983">
        <v>-5.2646499999999996</v>
      </c>
      <c r="H1983">
        <v>145.61099999999999</v>
      </c>
      <c r="I1983" t="s">
        <v>17521</v>
      </c>
      <c r="L1983">
        <v>0</v>
      </c>
      <c r="M1983">
        <v>0</v>
      </c>
      <c r="N1983">
        <v>0</v>
      </c>
      <c r="O1983" t="s">
        <v>11660</v>
      </c>
    </row>
    <row r="1984" spans="1:15">
      <c r="A1984" t="s">
        <v>17522</v>
      </c>
      <c r="B1984" t="s">
        <v>14798</v>
      </c>
      <c r="C1984" t="s">
        <v>17523</v>
      </c>
      <c r="D1984" t="s">
        <v>17524</v>
      </c>
      <c r="E1984" t="b">
        <v>0</v>
      </c>
      <c r="F1984" t="s">
        <v>11624</v>
      </c>
      <c r="G1984">
        <v>-9.8257700000000003</v>
      </c>
      <c r="H1984">
        <v>148.815</v>
      </c>
      <c r="I1984" t="s">
        <v>17525</v>
      </c>
      <c r="L1984">
        <v>0</v>
      </c>
      <c r="M1984">
        <v>0</v>
      </c>
      <c r="N1984">
        <v>0</v>
      </c>
      <c r="O1984" t="s">
        <v>11660</v>
      </c>
    </row>
    <row r="1985" spans="1:15">
      <c r="A1985" t="s">
        <v>17523</v>
      </c>
      <c r="B1985" t="s">
        <v>14798</v>
      </c>
      <c r="C1985" t="s">
        <v>14798</v>
      </c>
      <c r="D1985" t="s">
        <v>17526</v>
      </c>
      <c r="E1985" t="b">
        <v>0</v>
      </c>
      <c r="F1985" t="s">
        <v>11622</v>
      </c>
      <c r="L1985">
        <v>0</v>
      </c>
      <c r="M1985">
        <v>2</v>
      </c>
      <c r="N1985">
        <v>0</v>
      </c>
    </row>
    <row r="1986" spans="1:15">
      <c r="A1986" t="s">
        <v>17527</v>
      </c>
      <c r="B1986" t="s">
        <v>13450</v>
      </c>
      <c r="C1986" t="s">
        <v>17528</v>
      </c>
      <c r="D1986" t="s">
        <v>17529</v>
      </c>
      <c r="E1986" t="b">
        <v>0</v>
      </c>
      <c r="F1986" t="s">
        <v>11624</v>
      </c>
      <c r="L1986">
        <v>0</v>
      </c>
      <c r="M1986">
        <v>0</v>
      </c>
      <c r="N1986">
        <v>0</v>
      </c>
      <c r="O1986" t="s">
        <v>15802</v>
      </c>
    </row>
    <row r="1987" spans="1:15">
      <c r="A1987" t="s">
        <v>15143</v>
      </c>
      <c r="B1987" t="s">
        <v>15142</v>
      </c>
      <c r="C1987" t="s">
        <v>15142</v>
      </c>
      <c r="D1987" t="s">
        <v>17530</v>
      </c>
      <c r="E1987" t="b">
        <v>0</v>
      </c>
      <c r="F1987" t="s">
        <v>11624</v>
      </c>
      <c r="G1987">
        <v>-2.4471699999999998</v>
      </c>
      <c r="H1987">
        <v>137.62899999999999</v>
      </c>
      <c r="I1987" t="s">
        <v>17531</v>
      </c>
      <c r="L1987">
        <v>0</v>
      </c>
      <c r="M1987">
        <v>0</v>
      </c>
      <c r="N1987">
        <v>3</v>
      </c>
      <c r="O1987" t="s">
        <v>11768</v>
      </c>
    </row>
    <row r="1988" spans="1:15">
      <c r="A1988" t="s">
        <v>10208</v>
      </c>
      <c r="B1988" t="s">
        <v>11637</v>
      </c>
      <c r="C1988" t="s">
        <v>17532</v>
      </c>
      <c r="D1988" t="s">
        <v>17533</v>
      </c>
      <c r="E1988" t="b">
        <v>0</v>
      </c>
      <c r="F1988" t="s">
        <v>11624</v>
      </c>
      <c r="G1988">
        <v>47.923200000000001</v>
      </c>
      <c r="H1988">
        <v>13.246</v>
      </c>
      <c r="I1988" t="s">
        <v>10210</v>
      </c>
      <c r="L1988">
        <v>0</v>
      </c>
      <c r="M1988">
        <v>0</v>
      </c>
      <c r="N1988">
        <v>7</v>
      </c>
      <c r="O1988" t="s">
        <v>17534</v>
      </c>
    </row>
    <row r="1989" spans="1:15">
      <c r="A1989" t="s">
        <v>17535</v>
      </c>
      <c r="B1989" t="s">
        <v>367</v>
      </c>
      <c r="C1989" t="s">
        <v>16680</v>
      </c>
      <c r="D1989" t="s">
        <v>17536</v>
      </c>
      <c r="E1989" t="b">
        <v>0</v>
      </c>
      <c r="F1989" t="s">
        <v>11610</v>
      </c>
      <c r="L1989">
        <v>0</v>
      </c>
      <c r="M1989">
        <v>0</v>
      </c>
      <c r="N1989">
        <v>0</v>
      </c>
    </row>
    <row r="1990" spans="1:15">
      <c r="A1990" t="s">
        <v>17537</v>
      </c>
      <c r="B1990" t="s">
        <v>11644</v>
      </c>
      <c r="C1990" t="s">
        <v>17538</v>
      </c>
      <c r="D1990" t="s">
        <v>17539</v>
      </c>
      <c r="E1990" t="b">
        <v>0</v>
      </c>
      <c r="F1990" t="s">
        <v>11624</v>
      </c>
      <c r="G1990">
        <v>22.4405233333</v>
      </c>
      <c r="H1990">
        <v>92.925529999999995</v>
      </c>
      <c r="I1990" t="s">
        <v>17540</v>
      </c>
      <c r="L1990">
        <v>0</v>
      </c>
      <c r="M1990">
        <v>0</v>
      </c>
      <c r="N1990">
        <v>0</v>
      </c>
      <c r="O1990" t="s">
        <v>17541</v>
      </c>
    </row>
    <row r="1991" spans="1:15">
      <c r="A1991" t="s">
        <v>17542</v>
      </c>
      <c r="B1991" t="s">
        <v>367</v>
      </c>
      <c r="C1991" t="s">
        <v>12638</v>
      </c>
      <c r="D1991" t="s">
        <v>17543</v>
      </c>
      <c r="E1991" t="b">
        <v>0</v>
      </c>
      <c r="F1991" t="s">
        <v>11610</v>
      </c>
      <c r="L1991">
        <v>0</v>
      </c>
      <c r="M1991">
        <v>0</v>
      </c>
      <c r="N1991">
        <v>0</v>
      </c>
    </row>
    <row r="1992" spans="1:15">
      <c r="A1992" t="s">
        <v>17544</v>
      </c>
      <c r="B1992" t="s">
        <v>11637</v>
      </c>
      <c r="C1992" t="s">
        <v>2995</v>
      </c>
      <c r="D1992" t="s">
        <v>17545</v>
      </c>
      <c r="E1992" t="b">
        <v>0</v>
      </c>
      <c r="F1992" t="s">
        <v>11610</v>
      </c>
      <c r="L1992">
        <v>0</v>
      </c>
      <c r="M1992">
        <v>0</v>
      </c>
      <c r="N1992">
        <v>0</v>
      </c>
    </row>
    <row r="1993" spans="1:15">
      <c r="A1993" t="s">
        <v>17546</v>
      </c>
      <c r="B1993" t="s">
        <v>331</v>
      </c>
      <c r="C1993" t="s">
        <v>12244</v>
      </c>
      <c r="D1993" t="s">
        <v>17547</v>
      </c>
      <c r="E1993" t="b">
        <v>0</v>
      </c>
      <c r="F1993" t="s">
        <v>11610</v>
      </c>
      <c r="L1993">
        <v>0</v>
      </c>
      <c r="M1993">
        <v>0</v>
      </c>
      <c r="N1993">
        <v>0</v>
      </c>
    </row>
    <row r="1994" spans="1:15">
      <c r="A1994" t="s">
        <v>17548</v>
      </c>
      <c r="B1994" t="s">
        <v>10597</v>
      </c>
      <c r="C1994" t="s">
        <v>17549</v>
      </c>
      <c r="D1994" t="s">
        <v>17550</v>
      </c>
      <c r="E1994" t="b">
        <v>0</v>
      </c>
      <c r="F1994" t="s">
        <v>11624</v>
      </c>
      <c r="G1994">
        <v>-24.979299999999999</v>
      </c>
      <c r="H1994">
        <v>151.69900000000001</v>
      </c>
      <c r="I1994" t="s">
        <v>17551</v>
      </c>
      <c r="L1994">
        <v>0</v>
      </c>
      <c r="M1994">
        <v>0</v>
      </c>
      <c r="N1994">
        <v>0</v>
      </c>
      <c r="O1994" t="s">
        <v>12107</v>
      </c>
    </row>
    <row r="1995" spans="1:15">
      <c r="A1995" t="s">
        <v>17552</v>
      </c>
      <c r="B1995" t="s">
        <v>367</v>
      </c>
      <c r="C1995" t="s">
        <v>17553</v>
      </c>
      <c r="D1995" t="s">
        <v>17554</v>
      </c>
      <c r="E1995" t="b">
        <v>0</v>
      </c>
      <c r="F1995" t="s">
        <v>11610</v>
      </c>
      <c r="L1995">
        <v>0</v>
      </c>
      <c r="M1995">
        <v>0</v>
      </c>
      <c r="N1995">
        <v>0</v>
      </c>
    </row>
    <row r="1996" spans="1:15">
      <c r="A1996" t="s">
        <v>17555</v>
      </c>
      <c r="B1996" t="s">
        <v>367</v>
      </c>
      <c r="C1996" t="s">
        <v>17556</v>
      </c>
      <c r="D1996" t="s">
        <v>17557</v>
      </c>
      <c r="E1996" t="b">
        <v>0</v>
      </c>
      <c r="F1996" t="s">
        <v>11610</v>
      </c>
      <c r="L1996">
        <v>0</v>
      </c>
      <c r="M1996">
        <v>0</v>
      </c>
      <c r="N1996">
        <v>0</v>
      </c>
    </row>
    <row r="1997" spans="1:15">
      <c r="A1997" t="s">
        <v>17558</v>
      </c>
      <c r="B1997" t="s">
        <v>6455</v>
      </c>
      <c r="C1997" t="s">
        <v>6391</v>
      </c>
      <c r="D1997" t="s">
        <v>17559</v>
      </c>
      <c r="E1997" t="b">
        <v>0</v>
      </c>
      <c r="F1997" t="s">
        <v>11610</v>
      </c>
      <c r="L1997">
        <v>0</v>
      </c>
      <c r="M1997">
        <v>0</v>
      </c>
      <c r="N1997">
        <v>0</v>
      </c>
    </row>
    <row r="1998" spans="1:15">
      <c r="A1998" t="s">
        <v>17560</v>
      </c>
      <c r="B1998" t="s">
        <v>11637</v>
      </c>
      <c r="C1998" t="s">
        <v>14365</v>
      </c>
      <c r="D1998" t="s">
        <v>17561</v>
      </c>
      <c r="E1998" t="b">
        <v>0</v>
      </c>
      <c r="F1998" t="s">
        <v>11610</v>
      </c>
      <c r="L1998">
        <v>0</v>
      </c>
      <c r="M1998">
        <v>0</v>
      </c>
      <c r="N1998">
        <v>0</v>
      </c>
    </row>
    <row r="1999" spans="1:15">
      <c r="A1999" t="s">
        <v>17562</v>
      </c>
      <c r="B1999" t="s">
        <v>367</v>
      </c>
      <c r="C1999" t="s">
        <v>17563</v>
      </c>
      <c r="D1999" t="s">
        <v>17564</v>
      </c>
      <c r="E1999" t="b">
        <v>0</v>
      </c>
      <c r="F1999" t="s">
        <v>11624</v>
      </c>
      <c r="I1999" t="s">
        <v>17565</v>
      </c>
      <c r="L1999">
        <v>0</v>
      </c>
      <c r="M1999">
        <v>0</v>
      </c>
      <c r="N1999">
        <v>0</v>
      </c>
      <c r="O1999" t="s">
        <v>11749</v>
      </c>
    </row>
    <row r="2000" spans="1:15">
      <c r="A2000" t="s">
        <v>17566</v>
      </c>
      <c r="B2000" t="s">
        <v>11637</v>
      </c>
      <c r="C2000" t="s">
        <v>12824</v>
      </c>
      <c r="D2000" t="s">
        <v>17567</v>
      </c>
      <c r="E2000" t="b">
        <v>0</v>
      </c>
      <c r="F2000" t="s">
        <v>11610</v>
      </c>
      <c r="L2000">
        <v>0</v>
      </c>
      <c r="M2000">
        <v>0</v>
      </c>
      <c r="N2000">
        <v>0</v>
      </c>
    </row>
    <row r="2001" spans="1:15">
      <c r="A2001" t="s">
        <v>17532</v>
      </c>
      <c r="B2001" t="s">
        <v>11637</v>
      </c>
      <c r="C2001" t="s">
        <v>13005</v>
      </c>
      <c r="D2001" t="s">
        <v>17568</v>
      </c>
      <c r="E2001" t="b">
        <v>0</v>
      </c>
      <c r="F2001" t="s">
        <v>11622</v>
      </c>
      <c r="L2001">
        <v>1</v>
      </c>
      <c r="M2001">
        <v>4</v>
      </c>
      <c r="N2001">
        <v>13</v>
      </c>
    </row>
    <row r="2002" spans="1:15">
      <c r="A2002" t="s">
        <v>17569</v>
      </c>
      <c r="B2002" t="s">
        <v>17030</v>
      </c>
      <c r="C2002" t="s">
        <v>17570</v>
      </c>
      <c r="D2002" t="s">
        <v>17571</v>
      </c>
      <c r="E2002" t="b">
        <v>0</v>
      </c>
      <c r="F2002" t="s">
        <v>11624</v>
      </c>
      <c r="G2002">
        <v>11.13</v>
      </c>
      <c r="H2002">
        <v>25.22</v>
      </c>
      <c r="I2002" t="s">
        <v>17572</v>
      </c>
      <c r="L2002">
        <v>0</v>
      </c>
      <c r="M2002">
        <v>0</v>
      </c>
      <c r="N2002">
        <v>0</v>
      </c>
      <c r="O2002" t="s">
        <v>11910</v>
      </c>
    </row>
    <row r="2003" spans="1:15">
      <c r="A2003" t="s">
        <v>17573</v>
      </c>
      <c r="B2003" t="s">
        <v>12250</v>
      </c>
      <c r="C2003" t="s">
        <v>13157</v>
      </c>
      <c r="D2003" t="s">
        <v>17574</v>
      </c>
      <c r="E2003" t="b">
        <v>0</v>
      </c>
      <c r="F2003" t="s">
        <v>11610</v>
      </c>
      <c r="L2003">
        <v>0</v>
      </c>
      <c r="M2003">
        <v>0</v>
      </c>
      <c r="N2003">
        <v>0</v>
      </c>
    </row>
    <row r="2004" spans="1:15">
      <c r="A2004" t="s">
        <v>17575</v>
      </c>
      <c r="B2004" t="s">
        <v>17576</v>
      </c>
      <c r="C2004" t="s">
        <v>6422</v>
      </c>
      <c r="D2004" t="s">
        <v>17577</v>
      </c>
      <c r="E2004" t="b">
        <v>0</v>
      </c>
      <c r="F2004" t="s">
        <v>11610</v>
      </c>
      <c r="L2004">
        <v>0</v>
      </c>
      <c r="M2004">
        <v>0</v>
      </c>
      <c r="N2004">
        <v>0</v>
      </c>
    </row>
    <row r="2005" spans="1:15">
      <c r="A2005" t="s">
        <v>17578</v>
      </c>
      <c r="B2005" t="s">
        <v>17579</v>
      </c>
      <c r="C2005" t="s">
        <v>17580</v>
      </c>
      <c r="D2005" t="s">
        <v>17581</v>
      </c>
      <c r="E2005" t="b">
        <v>0</v>
      </c>
      <c r="F2005" t="s">
        <v>11624</v>
      </c>
      <c r="G2005">
        <v>37.783999999999999</v>
      </c>
      <c r="H2005">
        <v>-122.419</v>
      </c>
      <c r="I2005" t="s">
        <v>17582</v>
      </c>
      <c r="L2005">
        <v>0</v>
      </c>
      <c r="M2005">
        <v>0</v>
      </c>
      <c r="N2005">
        <v>0</v>
      </c>
      <c r="O2005" t="s">
        <v>11944</v>
      </c>
    </row>
    <row r="2006" spans="1:15">
      <c r="A2006" t="s">
        <v>17583</v>
      </c>
      <c r="B2006" t="s">
        <v>367</v>
      </c>
      <c r="C2006" t="s">
        <v>17584</v>
      </c>
      <c r="D2006" t="s">
        <v>17585</v>
      </c>
      <c r="E2006" t="b">
        <v>0</v>
      </c>
      <c r="F2006" t="s">
        <v>11610</v>
      </c>
      <c r="L2006">
        <v>0</v>
      </c>
      <c r="M2006">
        <v>0</v>
      </c>
      <c r="N2006">
        <v>0</v>
      </c>
    </row>
    <row r="2007" spans="1:15">
      <c r="A2007" t="s">
        <v>17586</v>
      </c>
      <c r="B2007" t="s">
        <v>6742</v>
      </c>
      <c r="C2007" t="s">
        <v>14310</v>
      </c>
      <c r="D2007" t="s">
        <v>17587</v>
      </c>
      <c r="E2007" t="b">
        <v>0</v>
      </c>
      <c r="F2007" t="s">
        <v>11624</v>
      </c>
      <c r="G2007">
        <v>12.6881</v>
      </c>
      <c r="H2007">
        <v>-16.3947</v>
      </c>
      <c r="I2007" t="s">
        <v>17588</v>
      </c>
      <c r="L2007">
        <v>0</v>
      </c>
      <c r="M2007">
        <v>0</v>
      </c>
      <c r="N2007">
        <v>2</v>
      </c>
      <c r="O2007" t="s">
        <v>16013</v>
      </c>
    </row>
    <row r="2008" spans="1:15">
      <c r="A2008" t="s">
        <v>17589</v>
      </c>
      <c r="B2008" t="s">
        <v>6742</v>
      </c>
      <c r="C2008" t="s">
        <v>17590</v>
      </c>
      <c r="D2008" t="s">
        <v>17591</v>
      </c>
      <c r="E2008" t="b">
        <v>0</v>
      </c>
      <c r="F2008" t="s">
        <v>11610</v>
      </c>
      <c r="L2008">
        <v>0</v>
      </c>
      <c r="M2008">
        <v>0</v>
      </c>
      <c r="N2008">
        <v>0</v>
      </c>
    </row>
    <row r="2009" spans="1:15">
      <c r="A2009" t="s">
        <v>17592</v>
      </c>
      <c r="B2009" t="s">
        <v>11729</v>
      </c>
      <c r="C2009" t="s">
        <v>17593</v>
      </c>
      <c r="D2009" t="s">
        <v>17594</v>
      </c>
      <c r="E2009" t="b">
        <v>0</v>
      </c>
      <c r="F2009" t="s">
        <v>11610</v>
      </c>
      <c r="L2009">
        <v>0</v>
      </c>
      <c r="M2009">
        <v>0</v>
      </c>
      <c r="N2009">
        <v>0</v>
      </c>
    </row>
    <row r="2010" spans="1:15">
      <c r="A2010" t="s">
        <v>17595</v>
      </c>
      <c r="B2010" t="s">
        <v>367</v>
      </c>
      <c r="C2010" t="s">
        <v>1592</v>
      </c>
      <c r="D2010" t="s">
        <v>17596</v>
      </c>
      <c r="E2010" t="b">
        <v>0</v>
      </c>
      <c r="F2010" t="s">
        <v>11610</v>
      </c>
      <c r="L2010">
        <v>0</v>
      </c>
      <c r="M2010">
        <v>0</v>
      </c>
      <c r="N2010">
        <v>0</v>
      </c>
    </row>
    <row r="2011" spans="1:15">
      <c r="A2011" t="s">
        <v>15346</v>
      </c>
      <c r="D2011" t="s">
        <v>17597</v>
      </c>
      <c r="E2011" t="b">
        <v>0</v>
      </c>
      <c r="F2011" t="s">
        <v>11622</v>
      </c>
      <c r="L2011">
        <v>0</v>
      </c>
      <c r="M2011">
        <v>2</v>
      </c>
      <c r="N2011">
        <v>0</v>
      </c>
    </row>
    <row r="2012" spans="1:15">
      <c r="A2012" t="s">
        <v>17598</v>
      </c>
      <c r="B2012" t="s">
        <v>15346</v>
      </c>
      <c r="C2012" t="s">
        <v>15346</v>
      </c>
      <c r="D2012" t="s">
        <v>17599</v>
      </c>
      <c r="E2012" t="b">
        <v>0</v>
      </c>
      <c r="F2012" t="s">
        <v>11624</v>
      </c>
      <c r="G2012">
        <v>-5.2172799999999997</v>
      </c>
      <c r="H2012">
        <v>139.61699999999999</v>
      </c>
      <c r="I2012" t="s">
        <v>17600</v>
      </c>
      <c r="L2012">
        <v>0</v>
      </c>
      <c r="M2012">
        <v>0</v>
      </c>
      <c r="N2012">
        <v>0</v>
      </c>
      <c r="O2012" t="s">
        <v>11768</v>
      </c>
    </row>
    <row r="2013" spans="1:15">
      <c r="A2013" t="s">
        <v>17601</v>
      </c>
      <c r="B2013" t="s">
        <v>11729</v>
      </c>
      <c r="C2013" t="s">
        <v>17602</v>
      </c>
      <c r="D2013" t="s">
        <v>17603</v>
      </c>
      <c r="E2013" t="b">
        <v>0</v>
      </c>
      <c r="F2013" t="s">
        <v>11622</v>
      </c>
      <c r="L2013">
        <v>0</v>
      </c>
      <c r="M2013">
        <v>2</v>
      </c>
      <c r="N2013">
        <v>3</v>
      </c>
    </row>
    <row r="2014" spans="1:15">
      <c r="A2014" t="s">
        <v>14310</v>
      </c>
      <c r="B2014" t="s">
        <v>6742</v>
      </c>
      <c r="C2014" t="s">
        <v>17604</v>
      </c>
      <c r="D2014" t="s">
        <v>17605</v>
      </c>
      <c r="E2014" t="b">
        <v>0</v>
      </c>
      <c r="F2014" t="s">
        <v>11622</v>
      </c>
      <c r="L2014">
        <v>0</v>
      </c>
      <c r="M2014">
        <v>2</v>
      </c>
      <c r="N2014">
        <v>4</v>
      </c>
    </row>
    <row r="2015" spans="1:15">
      <c r="A2015" t="s">
        <v>17606</v>
      </c>
      <c r="B2015" t="s">
        <v>11637</v>
      </c>
      <c r="C2015" t="s">
        <v>17607</v>
      </c>
      <c r="D2015" t="s">
        <v>17608</v>
      </c>
      <c r="E2015" t="b">
        <v>0</v>
      </c>
      <c r="F2015" t="s">
        <v>11610</v>
      </c>
      <c r="L2015">
        <v>0</v>
      </c>
      <c r="M2015">
        <v>0</v>
      </c>
      <c r="N2015">
        <v>0</v>
      </c>
    </row>
    <row r="2016" spans="1:15">
      <c r="A2016" t="s">
        <v>17609</v>
      </c>
      <c r="B2016" t="s">
        <v>10597</v>
      </c>
      <c r="C2016" t="s">
        <v>17610</v>
      </c>
      <c r="D2016" t="s">
        <v>17611</v>
      </c>
      <c r="E2016" t="b">
        <v>0</v>
      </c>
      <c r="F2016" t="s">
        <v>11624</v>
      </c>
      <c r="G2016">
        <v>-23.3809</v>
      </c>
      <c r="H2016">
        <v>114.108</v>
      </c>
      <c r="I2016" t="s">
        <v>17612</v>
      </c>
      <c r="L2016">
        <v>0</v>
      </c>
      <c r="M2016">
        <v>0</v>
      </c>
      <c r="N2016">
        <v>0</v>
      </c>
      <c r="O2016" t="s">
        <v>12107</v>
      </c>
    </row>
    <row r="2017" spans="1:15">
      <c r="A2017" t="s">
        <v>17613</v>
      </c>
      <c r="B2017" t="s">
        <v>367</v>
      </c>
      <c r="C2017" t="s">
        <v>17614</v>
      </c>
      <c r="D2017" t="s">
        <v>17615</v>
      </c>
      <c r="E2017" t="b">
        <v>0</v>
      </c>
      <c r="F2017" t="s">
        <v>11610</v>
      </c>
      <c r="L2017">
        <v>0</v>
      </c>
      <c r="M2017">
        <v>0</v>
      </c>
      <c r="N2017">
        <v>0</v>
      </c>
    </row>
    <row r="2018" spans="1:15">
      <c r="A2018" t="s">
        <v>17616</v>
      </c>
      <c r="B2018" t="s">
        <v>13360</v>
      </c>
      <c r="C2018" t="s">
        <v>13360</v>
      </c>
      <c r="D2018" t="s">
        <v>17617</v>
      </c>
      <c r="E2018" t="b">
        <v>0</v>
      </c>
      <c r="F2018" t="s">
        <v>11624</v>
      </c>
      <c r="G2018">
        <v>25.297699999999999</v>
      </c>
      <c r="H2018">
        <v>77.221299999999999</v>
      </c>
      <c r="I2018" t="s">
        <v>17618</v>
      </c>
      <c r="L2018">
        <v>0</v>
      </c>
      <c r="M2018">
        <v>0</v>
      </c>
      <c r="N2018">
        <v>0</v>
      </c>
      <c r="O2018" t="s">
        <v>11630</v>
      </c>
    </row>
    <row r="2019" spans="1:15">
      <c r="A2019" t="s">
        <v>17619</v>
      </c>
      <c r="B2019" t="s">
        <v>11607</v>
      </c>
      <c r="C2019" t="s">
        <v>17620</v>
      </c>
      <c r="D2019" t="s">
        <v>17621</v>
      </c>
      <c r="E2019" t="b">
        <v>0</v>
      </c>
      <c r="F2019" t="s">
        <v>11610</v>
      </c>
      <c r="L2019">
        <v>0</v>
      </c>
      <c r="M2019">
        <v>0</v>
      </c>
      <c r="N2019">
        <v>0</v>
      </c>
    </row>
    <row r="2020" spans="1:15">
      <c r="A2020" t="s">
        <v>17622</v>
      </c>
      <c r="B2020" t="s">
        <v>11729</v>
      </c>
      <c r="C2020" t="s">
        <v>17623</v>
      </c>
      <c r="D2020" t="s">
        <v>17624</v>
      </c>
      <c r="E2020" t="b">
        <v>0</v>
      </c>
      <c r="F2020" t="s">
        <v>11610</v>
      </c>
      <c r="L2020">
        <v>0</v>
      </c>
      <c r="M2020">
        <v>0</v>
      </c>
      <c r="N2020">
        <v>0</v>
      </c>
    </row>
    <row r="2021" spans="1:15">
      <c r="A2021" t="s">
        <v>17625</v>
      </c>
      <c r="B2021" t="s">
        <v>7862</v>
      </c>
      <c r="C2021" t="s">
        <v>17626</v>
      </c>
      <c r="D2021" t="s">
        <v>17627</v>
      </c>
      <c r="E2021" t="b">
        <v>0</v>
      </c>
      <c r="F2021" t="s">
        <v>11624</v>
      </c>
      <c r="G2021">
        <v>-6.1494900000000001</v>
      </c>
      <c r="H2021">
        <v>142.50800000000001</v>
      </c>
      <c r="I2021" t="s">
        <v>17628</v>
      </c>
      <c r="L2021">
        <v>0</v>
      </c>
      <c r="M2021">
        <v>0</v>
      </c>
      <c r="N2021">
        <v>2</v>
      </c>
      <c r="O2021" t="s">
        <v>11660</v>
      </c>
    </row>
    <row r="2022" spans="1:15">
      <c r="A2022" t="s">
        <v>17629</v>
      </c>
      <c r="B2022" t="s">
        <v>11637</v>
      </c>
      <c r="C2022" t="s">
        <v>14511</v>
      </c>
      <c r="D2022" t="s">
        <v>17630</v>
      </c>
      <c r="E2022" t="b">
        <v>0</v>
      </c>
      <c r="F2022" t="s">
        <v>11610</v>
      </c>
      <c r="L2022">
        <v>0</v>
      </c>
      <c r="M2022">
        <v>0</v>
      </c>
      <c r="N2022">
        <v>0</v>
      </c>
    </row>
    <row r="2023" spans="1:15">
      <c r="A2023" t="s">
        <v>17631</v>
      </c>
      <c r="B2023" t="s">
        <v>367</v>
      </c>
      <c r="C2023" t="s">
        <v>17632</v>
      </c>
      <c r="D2023" t="s">
        <v>17633</v>
      </c>
      <c r="E2023" t="b">
        <v>0</v>
      </c>
      <c r="F2023" t="s">
        <v>11610</v>
      </c>
      <c r="L2023">
        <v>0</v>
      </c>
      <c r="M2023">
        <v>0</v>
      </c>
      <c r="N2023">
        <v>0</v>
      </c>
    </row>
    <row r="2024" spans="1:15">
      <c r="A2024" t="s">
        <v>17634</v>
      </c>
      <c r="B2024" t="s">
        <v>367</v>
      </c>
      <c r="C2024" t="s">
        <v>17635</v>
      </c>
      <c r="D2024" t="s">
        <v>17636</v>
      </c>
      <c r="E2024" t="b">
        <v>0</v>
      </c>
      <c r="F2024" t="s">
        <v>11610</v>
      </c>
      <c r="L2024">
        <v>0</v>
      </c>
      <c r="M2024">
        <v>0</v>
      </c>
      <c r="N2024">
        <v>0</v>
      </c>
    </row>
    <row r="2025" spans="1:15">
      <c r="A2025" t="s">
        <v>17637</v>
      </c>
      <c r="B2025" t="s">
        <v>12460</v>
      </c>
      <c r="C2025" t="s">
        <v>12461</v>
      </c>
      <c r="D2025" t="s">
        <v>17638</v>
      </c>
      <c r="E2025" t="b">
        <v>0</v>
      </c>
      <c r="F2025" t="s">
        <v>11624</v>
      </c>
      <c r="G2025">
        <v>56.798400000000001</v>
      </c>
      <c r="H2025">
        <v>-120.352</v>
      </c>
      <c r="I2025" t="s">
        <v>17639</v>
      </c>
      <c r="L2025">
        <v>0</v>
      </c>
      <c r="M2025">
        <v>0</v>
      </c>
      <c r="N2025">
        <v>0</v>
      </c>
      <c r="O2025" t="s">
        <v>13049</v>
      </c>
    </row>
    <row r="2026" spans="1:15">
      <c r="A2026" t="s">
        <v>17640</v>
      </c>
      <c r="B2026" t="s">
        <v>6742</v>
      </c>
      <c r="C2026" t="s">
        <v>15789</v>
      </c>
      <c r="D2026" t="s">
        <v>17641</v>
      </c>
      <c r="E2026" t="b">
        <v>0</v>
      </c>
      <c r="F2026" t="s">
        <v>11624</v>
      </c>
      <c r="G2026">
        <v>6.3225600000000002</v>
      </c>
      <c r="H2026">
        <v>9.7357700000000005</v>
      </c>
      <c r="I2026" t="s">
        <v>17642</v>
      </c>
      <c r="L2026">
        <v>0</v>
      </c>
      <c r="M2026">
        <v>0</v>
      </c>
      <c r="N2026">
        <v>0</v>
      </c>
      <c r="O2026" t="s">
        <v>11703</v>
      </c>
    </row>
    <row r="2027" spans="1:15">
      <c r="A2027" t="s">
        <v>17643</v>
      </c>
      <c r="B2027" t="s">
        <v>6742</v>
      </c>
      <c r="C2027" t="s">
        <v>17644</v>
      </c>
      <c r="D2027" t="s">
        <v>17645</v>
      </c>
      <c r="E2027" t="b">
        <v>0</v>
      </c>
      <c r="F2027" t="s">
        <v>11624</v>
      </c>
      <c r="G2027">
        <v>4.7887399999999998</v>
      </c>
      <c r="H2027">
        <v>12.824</v>
      </c>
      <c r="I2027" t="s">
        <v>17646</v>
      </c>
      <c r="L2027">
        <v>0</v>
      </c>
      <c r="M2027">
        <v>0</v>
      </c>
      <c r="N2027">
        <v>2</v>
      </c>
      <c r="O2027" t="s">
        <v>11703</v>
      </c>
    </row>
    <row r="2028" spans="1:15">
      <c r="A2028" t="s">
        <v>17647</v>
      </c>
      <c r="B2028" t="s">
        <v>6742</v>
      </c>
      <c r="C2028" t="s">
        <v>17648</v>
      </c>
      <c r="D2028" t="s">
        <v>17649</v>
      </c>
      <c r="E2028" t="b">
        <v>0</v>
      </c>
      <c r="F2028" t="s">
        <v>11610</v>
      </c>
      <c r="L2028">
        <v>0</v>
      </c>
      <c r="M2028">
        <v>0</v>
      </c>
      <c r="N2028">
        <v>0</v>
      </c>
    </row>
    <row r="2029" spans="1:15">
      <c r="A2029" t="s">
        <v>17650</v>
      </c>
      <c r="B2029" t="s">
        <v>6742</v>
      </c>
      <c r="C2029" t="s">
        <v>17651</v>
      </c>
      <c r="D2029" t="s">
        <v>17652</v>
      </c>
      <c r="E2029" t="b">
        <v>0</v>
      </c>
      <c r="F2029" t="s">
        <v>11624</v>
      </c>
      <c r="G2029">
        <v>6.7482499999999996</v>
      </c>
      <c r="H2029">
        <v>10.5646</v>
      </c>
      <c r="I2029" t="s">
        <v>17653</v>
      </c>
      <c r="L2029">
        <v>0</v>
      </c>
      <c r="M2029">
        <v>0</v>
      </c>
      <c r="N2029">
        <v>0</v>
      </c>
      <c r="O2029" t="s">
        <v>11703</v>
      </c>
    </row>
    <row r="2030" spans="1:15">
      <c r="A2030" t="s">
        <v>17654</v>
      </c>
      <c r="B2030" t="s">
        <v>367</v>
      </c>
      <c r="C2030" t="s">
        <v>17655</v>
      </c>
      <c r="D2030" t="s">
        <v>17656</v>
      </c>
      <c r="E2030" t="b">
        <v>0</v>
      </c>
      <c r="F2030" t="s">
        <v>11610</v>
      </c>
      <c r="L2030">
        <v>0</v>
      </c>
      <c r="M2030">
        <v>0</v>
      </c>
      <c r="N2030">
        <v>0</v>
      </c>
    </row>
    <row r="2031" spans="1:15">
      <c r="A2031" t="s">
        <v>17657</v>
      </c>
      <c r="B2031" t="s">
        <v>367</v>
      </c>
      <c r="C2031" t="s">
        <v>17658</v>
      </c>
      <c r="D2031" t="s">
        <v>17659</v>
      </c>
      <c r="E2031" t="b">
        <v>0</v>
      </c>
      <c r="F2031" t="s">
        <v>11624</v>
      </c>
      <c r="G2031">
        <v>-5.6328199999999997</v>
      </c>
      <c r="H2031">
        <v>150.32300000000001</v>
      </c>
      <c r="I2031" t="s">
        <v>17660</v>
      </c>
      <c r="L2031">
        <v>0</v>
      </c>
      <c r="M2031">
        <v>0</v>
      </c>
      <c r="N2031">
        <v>0</v>
      </c>
      <c r="O2031" t="s">
        <v>11660</v>
      </c>
    </row>
    <row r="2032" spans="1:15">
      <c r="A2032" t="s">
        <v>17651</v>
      </c>
      <c r="B2032" t="s">
        <v>6742</v>
      </c>
      <c r="C2032" t="s">
        <v>17661</v>
      </c>
      <c r="D2032" t="s">
        <v>17662</v>
      </c>
      <c r="E2032" t="b">
        <v>0</v>
      </c>
      <c r="F2032" t="s">
        <v>11622</v>
      </c>
      <c r="L2032">
        <v>2</v>
      </c>
      <c r="M2032">
        <v>5</v>
      </c>
      <c r="N2032">
        <v>0</v>
      </c>
    </row>
    <row r="2033" spans="1:15">
      <c r="A2033" t="s">
        <v>17658</v>
      </c>
      <c r="B2033" t="s">
        <v>367</v>
      </c>
      <c r="C2033" t="s">
        <v>14379</v>
      </c>
      <c r="D2033" t="s">
        <v>17663</v>
      </c>
      <c r="E2033" t="b">
        <v>0</v>
      </c>
      <c r="F2033" t="s">
        <v>11622</v>
      </c>
      <c r="L2033">
        <v>0</v>
      </c>
      <c r="M2033">
        <v>2</v>
      </c>
      <c r="N2033">
        <v>2</v>
      </c>
    </row>
    <row r="2034" spans="1:15">
      <c r="A2034" t="s">
        <v>17664</v>
      </c>
      <c r="B2034" t="s">
        <v>6742</v>
      </c>
      <c r="C2034" t="s">
        <v>17205</v>
      </c>
      <c r="D2034" t="s">
        <v>17665</v>
      </c>
      <c r="E2034" t="b">
        <v>0</v>
      </c>
      <c r="F2034" t="s">
        <v>11610</v>
      </c>
      <c r="L2034">
        <v>0</v>
      </c>
      <c r="M2034">
        <v>0</v>
      </c>
      <c r="N2034">
        <v>0</v>
      </c>
    </row>
    <row r="2035" spans="1:15">
      <c r="A2035" t="s">
        <v>17666</v>
      </c>
      <c r="B2035" t="s">
        <v>6742</v>
      </c>
      <c r="C2035" t="s">
        <v>17644</v>
      </c>
      <c r="D2035" t="s">
        <v>17667</v>
      </c>
      <c r="E2035" t="b">
        <v>0</v>
      </c>
      <c r="F2035" t="s">
        <v>11624</v>
      </c>
      <c r="G2035">
        <v>4.8667199999999999</v>
      </c>
      <c r="H2035">
        <v>13.3848</v>
      </c>
      <c r="I2035" t="s">
        <v>17668</v>
      </c>
      <c r="L2035">
        <v>0</v>
      </c>
      <c r="M2035">
        <v>0</v>
      </c>
      <c r="N2035">
        <v>0</v>
      </c>
      <c r="O2035" t="s">
        <v>11703</v>
      </c>
    </row>
    <row r="2036" spans="1:15">
      <c r="A2036" t="s">
        <v>17669</v>
      </c>
      <c r="B2036" t="s">
        <v>11729</v>
      </c>
      <c r="C2036" t="s">
        <v>17670</v>
      </c>
      <c r="D2036" t="s">
        <v>17671</v>
      </c>
      <c r="E2036" t="b">
        <v>0</v>
      </c>
      <c r="F2036" t="s">
        <v>11610</v>
      </c>
      <c r="L2036">
        <v>0</v>
      </c>
      <c r="M2036">
        <v>0</v>
      </c>
      <c r="N2036">
        <v>0</v>
      </c>
    </row>
    <row r="2037" spans="1:15">
      <c r="A2037" t="s">
        <v>17672</v>
      </c>
      <c r="B2037" t="s">
        <v>6742</v>
      </c>
      <c r="C2037" t="s">
        <v>11700</v>
      </c>
      <c r="D2037" t="s">
        <v>17673</v>
      </c>
      <c r="E2037" t="b">
        <v>0</v>
      </c>
      <c r="F2037" t="s">
        <v>11622</v>
      </c>
      <c r="L2037">
        <v>9</v>
      </c>
      <c r="M2037">
        <v>12</v>
      </c>
      <c r="N2037">
        <v>2</v>
      </c>
    </row>
    <row r="2038" spans="1:15">
      <c r="A2038" t="s">
        <v>17674</v>
      </c>
      <c r="B2038" t="s">
        <v>6742</v>
      </c>
      <c r="C2038" t="s">
        <v>16450</v>
      </c>
      <c r="D2038" t="s">
        <v>17675</v>
      </c>
      <c r="E2038" t="b">
        <v>0</v>
      </c>
      <c r="F2038" t="s">
        <v>11610</v>
      </c>
      <c r="L2038">
        <v>0</v>
      </c>
      <c r="M2038">
        <v>0</v>
      </c>
      <c r="N2038">
        <v>0</v>
      </c>
    </row>
    <row r="2039" spans="1:15">
      <c r="A2039" t="s">
        <v>17676</v>
      </c>
      <c r="B2039" t="s">
        <v>9071</v>
      </c>
      <c r="C2039" t="s">
        <v>17677</v>
      </c>
      <c r="D2039" t="s">
        <v>17678</v>
      </c>
      <c r="E2039" t="b">
        <v>0</v>
      </c>
      <c r="F2039" t="s">
        <v>11610</v>
      </c>
      <c r="L2039">
        <v>0</v>
      </c>
      <c r="M2039">
        <v>0</v>
      </c>
      <c r="N2039">
        <v>0</v>
      </c>
    </row>
    <row r="2040" spans="1:15">
      <c r="A2040" t="s">
        <v>17679</v>
      </c>
      <c r="B2040" t="s">
        <v>11615</v>
      </c>
      <c r="C2040" t="s">
        <v>15422</v>
      </c>
      <c r="D2040" t="s">
        <v>17680</v>
      </c>
      <c r="E2040" t="b">
        <v>0</v>
      </c>
      <c r="F2040" t="s">
        <v>11622</v>
      </c>
      <c r="L2040">
        <v>1</v>
      </c>
      <c r="M2040">
        <v>3</v>
      </c>
      <c r="N2040">
        <v>0</v>
      </c>
    </row>
    <row r="2041" spans="1:15">
      <c r="A2041" t="s">
        <v>17681</v>
      </c>
      <c r="B2041" t="s">
        <v>11607</v>
      </c>
      <c r="C2041" t="s">
        <v>17682</v>
      </c>
      <c r="D2041" t="s">
        <v>17683</v>
      </c>
      <c r="E2041" t="b">
        <v>0</v>
      </c>
      <c r="F2041" t="s">
        <v>11610</v>
      </c>
      <c r="L2041">
        <v>0</v>
      </c>
      <c r="M2041">
        <v>0</v>
      </c>
      <c r="N2041">
        <v>0</v>
      </c>
    </row>
    <row r="2042" spans="1:15">
      <c r="A2042" t="s">
        <v>17684</v>
      </c>
      <c r="B2042" t="s">
        <v>11607</v>
      </c>
      <c r="C2042" t="s">
        <v>4703</v>
      </c>
      <c r="D2042" t="s">
        <v>17685</v>
      </c>
      <c r="E2042" t="b">
        <v>0</v>
      </c>
      <c r="F2042" t="s">
        <v>11610</v>
      </c>
      <c r="L2042">
        <v>0</v>
      </c>
      <c r="M2042">
        <v>0</v>
      </c>
      <c r="N2042">
        <v>0</v>
      </c>
    </row>
    <row r="2043" spans="1:15">
      <c r="A2043" t="s">
        <v>17686</v>
      </c>
      <c r="B2043" t="s">
        <v>6742</v>
      </c>
      <c r="C2043" t="s">
        <v>17687</v>
      </c>
      <c r="D2043" t="s">
        <v>17688</v>
      </c>
      <c r="E2043" t="b">
        <v>0</v>
      </c>
      <c r="F2043" t="s">
        <v>11610</v>
      </c>
      <c r="L2043">
        <v>0</v>
      </c>
      <c r="M2043">
        <v>0</v>
      </c>
      <c r="N2043">
        <v>0</v>
      </c>
    </row>
    <row r="2044" spans="1:15">
      <c r="A2044" t="s">
        <v>17689</v>
      </c>
      <c r="B2044" t="s">
        <v>11729</v>
      </c>
      <c r="C2044" t="s">
        <v>17623</v>
      </c>
      <c r="D2044" t="s">
        <v>17690</v>
      </c>
      <c r="E2044" t="b">
        <v>0</v>
      </c>
      <c r="F2044" t="s">
        <v>11610</v>
      </c>
      <c r="L2044">
        <v>0</v>
      </c>
      <c r="M2044">
        <v>0</v>
      </c>
      <c r="N2044">
        <v>0</v>
      </c>
    </row>
    <row r="2045" spans="1:15">
      <c r="A2045" t="s">
        <v>16515</v>
      </c>
      <c r="B2045" t="s">
        <v>6742</v>
      </c>
      <c r="C2045" t="s">
        <v>16869</v>
      </c>
      <c r="D2045" t="s">
        <v>17691</v>
      </c>
      <c r="E2045" t="b">
        <v>0</v>
      </c>
      <c r="F2045" t="s">
        <v>11624</v>
      </c>
      <c r="G2045">
        <v>12.7531</v>
      </c>
      <c r="H2045">
        <v>-12.4796</v>
      </c>
      <c r="I2045" t="s">
        <v>17692</v>
      </c>
      <c r="L2045">
        <v>0</v>
      </c>
      <c r="M2045">
        <v>0</v>
      </c>
      <c r="N2045">
        <v>3</v>
      </c>
      <c r="O2045" t="s">
        <v>16532</v>
      </c>
    </row>
    <row r="2046" spans="1:15">
      <c r="A2046" t="s">
        <v>17693</v>
      </c>
      <c r="B2046" t="s">
        <v>11729</v>
      </c>
      <c r="C2046" t="s">
        <v>17694</v>
      </c>
      <c r="D2046" t="s">
        <v>17695</v>
      </c>
      <c r="E2046" t="b">
        <v>0</v>
      </c>
      <c r="F2046" t="s">
        <v>11622</v>
      </c>
      <c r="L2046">
        <v>0</v>
      </c>
      <c r="M2046">
        <v>3</v>
      </c>
      <c r="N2046">
        <v>5</v>
      </c>
    </row>
    <row r="2047" spans="1:15">
      <c r="A2047" t="s">
        <v>16869</v>
      </c>
      <c r="B2047" t="s">
        <v>6742</v>
      </c>
      <c r="C2047" t="s">
        <v>17300</v>
      </c>
      <c r="D2047" t="s">
        <v>17696</v>
      </c>
      <c r="E2047" t="b">
        <v>0</v>
      </c>
      <c r="F2047" t="s">
        <v>11622</v>
      </c>
      <c r="L2047">
        <v>0</v>
      </c>
      <c r="M2047">
        <v>2</v>
      </c>
      <c r="N2047">
        <v>3</v>
      </c>
    </row>
    <row r="2048" spans="1:15">
      <c r="A2048" t="s">
        <v>17697</v>
      </c>
      <c r="B2048" t="s">
        <v>11729</v>
      </c>
      <c r="C2048" t="s">
        <v>17623</v>
      </c>
      <c r="D2048" t="s">
        <v>17698</v>
      </c>
      <c r="E2048" t="b">
        <v>0</v>
      </c>
      <c r="F2048" t="s">
        <v>11610</v>
      </c>
      <c r="L2048">
        <v>0</v>
      </c>
      <c r="M2048">
        <v>0</v>
      </c>
      <c r="N2048">
        <v>0</v>
      </c>
    </row>
    <row r="2049" spans="1:15">
      <c r="A2049" t="s">
        <v>17670</v>
      </c>
      <c r="B2049" t="s">
        <v>11729</v>
      </c>
      <c r="C2049" t="s">
        <v>17693</v>
      </c>
      <c r="D2049" t="s">
        <v>17699</v>
      </c>
      <c r="E2049" t="b">
        <v>0</v>
      </c>
      <c r="F2049" t="s">
        <v>11624</v>
      </c>
      <c r="G2049">
        <v>8.6000599999999991</v>
      </c>
      <c r="H2049">
        <v>17.269100000000002</v>
      </c>
      <c r="I2049" t="s">
        <v>17700</v>
      </c>
      <c r="L2049">
        <v>0</v>
      </c>
      <c r="M2049">
        <v>0</v>
      </c>
      <c r="N2049">
        <v>3</v>
      </c>
      <c r="O2049" t="s">
        <v>13421</v>
      </c>
    </row>
    <row r="2050" spans="1:15">
      <c r="A2050" t="s">
        <v>17701</v>
      </c>
      <c r="B2050" t="s">
        <v>367</v>
      </c>
      <c r="C2050" t="s">
        <v>14484</v>
      </c>
      <c r="D2050" t="s">
        <v>17702</v>
      </c>
      <c r="E2050" t="b">
        <v>0</v>
      </c>
      <c r="F2050" t="s">
        <v>11624</v>
      </c>
      <c r="G2050">
        <v>-2.74438</v>
      </c>
      <c r="H2050">
        <v>132.566</v>
      </c>
      <c r="I2050" t="s">
        <v>17703</v>
      </c>
      <c r="L2050">
        <v>0</v>
      </c>
      <c r="M2050">
        <v>0</v>
      </c>
      <c r="N2050">
        <v>0</v>
      </c>
      <c r="O2050" t="s">
        <v>11768</v>
      </c>
    </row>
    <row r="2051" spans="1:15">
      <c r="A2051" t="s">
        <v>17704</v>
      </c>
      <c r="B2051" t="s">
        <v>367</v>
      </c>
      <c r="C2051" t="s">
        <v>17705</v>
      </c>
      <c r="D2051" t="s">
        <v>17706</v>
      </c>
      <c r="E2051" t="b">
        <v>0</v>
      </c>
      <c r="F2051" t="s">
        <v>11610</v>
      </c>
      <c r="L2051">
        <v>0</v>
      </c>
      <c r="M2051">
        <v>0</v>
      </c>
      <c r="N2051">
        <v>0</v>
      </c>
    </row>
    <row r="2052" spans="1:15">
      <c r="A2052" t="s">
        <v>17707</v>
      </c>
      <c r="B2052" t="s">
        <v>6742</v>
      </c>
      <c r="C2052" t="s">
        <v>134</v>
      </c>
      <c r="D2052" t="s">
        <v>17708</v>
      </c>
      <c r="E2052" t="b">
        <v>0</v>
      </c>
      <c r="F2052" t="s">
        <v>11610</v>
      </c>
      <c r="L2052">
        <v>0</v>
      </c>
      <c r="M2052">
        <v>0</v>
      </c>
      <c r="N2052">
        <v>0</v>
      </c>
    </row>
    <row r="2053" spans="1:15">
      <c r="A2053" t="s">
        <v>17709</v>
      </c>
      <c r="B2053" t="s">
        <v>11607</v>
      </c>
      <c r="C2053" t="s">
        <v>17710</v>
      </c>
      <c r="D2053" t="s">
        <v>17711</v>
      </c>
      <c r="E2053" t="b">
        <v>0</v>
      </c>
      <c r="F2053" t="s">
        <v>11610</v>
      </c>
      <c r="L2053">
        <v>0</v>
      </c>
      <c r="M2053">
        <v>0</v>
      </c>
      <c r="N2053">
        <v>0</v>
      </c>
    </row>
    <row r="2054" spans="1:15">
      <c r="A2054" t="s">
        <v>17712</v>
      </c>
      <c r="B2054" t="s">
        <v>6742</v>
      </c>
      <c r="C2054" t="s">
        <v>16282</v>
      </c>
      <c r="D2054" t="s">
        <v>17713</v>
      </c>
      <c r="E2054" t="b">
        <v>0</v>
      </c>
      <c r="F2054" t="s">
        <v>11624</v>
      </c>
      <c r="G2054">
        <v>3.18438</v>
      </c>
      <c r="H2054">
        <v>29.984200000000001</v>
      </c>
      <c r="I2054" t="s">
        <v>17714</v>
      </c>
      <c r="L2054">
        <v>0</v>
      </c>
      <c r="M2054">
        <v>0</v>
      </c>
      <c r="N2054">
        <v>0</v>
      </c>
      <c r="O2054" t="s">
        <v>14825</v>
      </c>
    </row>
    <row r="2055" spans="1:15">
      <c r="A2055" t="s">
        <v>17715</v>
      </c>
      <c r="B2055" t="s">
        <v>11607</v>
      </c>
      <c r="C2055" t="s">
        <v>17716</v>
      </c>
      <c r="D2055" t="s">
        <v>17717</v>
      </c>
      <c r="E2055" t="b">
        <v>0</v>
      </c>
      <c r="F2055" t="s">
        <v>11624</v>
      </c>
      <c r="G2055">
        <v>10.1609</v>
      </c>
      <c r="H2055">
        <v>10.420400000000001</v>
      </c>
      <c r="I2055" t="s">
        <v>17718</v>
      </c>
      <c r="L2055">
        <v>0</v>
      </c>
      <c r="M2055">
        <v>0</v>
      </c>
      <c r="N2055">
        <v>0</v>
      </c>
      <c r="O2055" t="s">
        <v>11693</v>
      </c>
    </row>
    <row r="2056" spans="1:15">
      <c r="A2056" t="s">
        <v>17719</v>
      </c>
      <c r="B2056" t="s">
        <v>6742</v>
      </c>
      <c r="C2056" t="s">
        <v>17720</v>
      </c>
      <c r="D2056" t="s">
        <v>17721</v>
      </c>
      <c r="E2056" t="b">
        <v>0</v>
      </c>
      <c r="F2056" t="s">
        <v>11624</v>
      </c>
      <c r="G2056">
        <v>-3.9589500000000002</v>
      </c>
      <c r="H2056">
        <v>14.1</v>
      </c>
      <c r="I2056" t="s">
        <v>17722</v>
      </c>
      <c r="L2056">
        <v>0</v>
      </c>
      <c r="M2056">
        <v>0</v>
      </c>
      <c r="N2056">
        <v>2</v>
      </c>
      <c r="O2056" t="s">
        <v>12868</v>
      </c>
    </row>
    <row r="2057" spans="1:15">
      <c r="A2057" t="s">
        <v>17723</v>
      </c>
      <c r="B2057" t="s">
        <v>6742</v>
      </c>
      <c r="C2057" t="s">
        <v>15589</v>
      </c>
      <c r="D2057" t="s">
        <v>17724</v>
      </c>
      <c r="E2057" t="b">
        <v>0</v>
      </c>
      <c r="F2057" t="s">
        <v>11624</v>
      </c>
      <c r="G2057">
        <v>6.8155200000000002</v>
      </c>
      <c r="H2057">
        <v>10.109</v>
      </c>
      <c r="I2057" t="s">
        <v>17725</v>
      </c>
      <c r="L2057">
        <v>0</v>
      </c>
      <c r="M2057">
        <v>0</v>
      </c>
      <c r="N2057">
        <v>0</v>
      </c>
      <c r="O2057" t="s">
        <v>11703</v>
      </c>
    </row>
    <row r="2058" spans="1:15">
      <c r="A2058" t="s">
        <v>15589</v>
      </c>
      <c r="B2058" t="s">
        <v>6742</v>
      </c>
      <c r="C2058" t="s">
        <v>12840</v>
      </c>
      <c r="D2058" t="s">
        <v>17726</v>
      </c>
      <c r="E2058" t="b">
        <v>0</v>
      </c>
      <c r="F2058" t="s">
        <v>11622</v>
      </c>
      <c r="L2058">
        <v>0</v>
      </c>
      <c r="M2058">
        <v>2</v>
      </c>
      <c r="N2058">
        <v>0</v>
      </c>
    </row>
    <row r="2059" spans="1:15">
      <c r="A2059" t="s">
        <v>16658</v>
      </c>
      <c r="B2059" t="s">
        <v>6742</v>
      </c>
      <c r="C2059" t="s">
        <v>13363</v>
      </c>
      <c r="D2059" t="s">
        <v>17727</v>
      </c>
      <c r="E2059" t="b">
        <v>0</v>
      </c>
      <c r="F2059" t="s">
        <v>11624</v>
      </c>
      <c r="G2059">
        <v>6.27562</v>
      </c>
      <c r="H2059">
        <v>10.0342</v>
      </c>
      <c r="I2059" t="s">
        <v>17728</v>
      </c>
      <c r="L2059">
        <v>0</v>
      </c>
      <c r="M2059">
        <v>0</v>
      </c>
      <c r="N2059">
        <v>6</v>
      </c>
      <c r="O2059" t="s">
        <v>11703</v>
      </c>
    </row>
    <row r="2060" spans="1:15">
      <c r="A2060" t="s">
        <v>17729</v>
      </c>
      <c r="B2060" t="s">
        <v>367</v>
      </c>
      <c r="C2060" t="s">
        <v>17730</v>
      </c>
      <c r="D2060" t="s">
        <v>17731</v>
      </c>
      <c r="E2060" t="b">
        <v>0</v>
      </c>
      <c r="F2060" t="s">
        <v>11610</v>
      </c>
      <c r="L2060">
        <v>0</v>
      </c>
      <c r="M2060">
        <v>0</v>
      </c>
      <c r="N2060">
        <v>0</v>
      </c>
    </row>
    <row r="2061" spans="1:15">
      <c r="A2061" t="s">
        <v>17732</v>
      </c>
      <c r="B2061" t="s">
        <v>6742</v>
      </c>
      <c r="C2061" t="s">
        <v>14748</v>
      </c>
      <c r="D2061" t="s">
        <v>17733</v>
      </c>
      <c r="E2061" t="b">
        <v>0</v>
      </c>
      <c r="F2061" t="s">
        <v>11624</v>
      </c>
      <c r="G2061">
        <v>9.4051899999999993</v>
      </c>
      <c r="H2061">
        <v>7.5956599999999996</v>
      </c>
      <c r="I2061" t="s">
        <v>17734</v>
      </c>
      <c r="L2061">
        <v>0</v>
      </c>
      <c r="M2061">
        <v>0</v>
      </c>
      <c r="N2061">
        <v>3</v>
      </c>
      <c r="O2061" t="s">
        <v>11693</v>
      </c>
    </row>
    <row r="2062" spans="1:15">
      <c r="A2062" t="s">
        <v>17735</v>
      </c>
      <c r="B2062" t="s">
        <v>367</v>
      </c>
      <c r="C2062" t="s">
        <v>17736</v>
      </c>
      <c r="D2062" t="s">
        <v>17737</v>
      </c>
      <c r="E2062" t="b">
        <v>0</v>
      </c>
      <c r="F2062" t="s">
        <v>11610</v>
      </c>
      <c r="L2062">
        <v>0</v>
      </c>
      <c r="M2062">
        <v>0</v>
      </c>
      <c r="N2062">
        <v>0</v>
      </c>
    </row>
    <row r="2063" spans="1:15">
      <c r="A2063" t="s">
        <v>17738</v>
      </c>
      <c r="B2063" t="s">
        <v>11644</v>
      </c>
      <c r="C2063" t="s">
        <v>17739</v>
      </c>
      <c r="D2063" t="s">
        <v>17740</v>
      </c>
      <c r="E2063" t="b">
        <v>0</v>
      </c>
      <c r="F2063" t="s">
        <v>11610</v>
      </c>
      <c r="L2063">
        <v>0</v>
      </c>
      <c r="M2063">
        <v>0</v>
      </c>
      <c r="N2063">
        <v>0</v>
      </c>
    </row>
    <row r="2064" spans="1:15">
      <c r="A2064" t="s">
        <v>17741</v>
      </c>
      <c r="B2064" t="s">
        <v>11965</v>
      </c>
      <c r="C2064" t="s">
        <v>845</v>
      </c>
      <c r="D2064" t="s">
        <v>17742</v>
      </c>
      <c r="E2064" t="b">
        <v>0</v>
      </c>
      <c r="F2064" t="s">
        <v>11610</v>
      </c>
      <c r="L2064">
        <v>0</v>
      </c>
      <c r="M2064">
        <v>0</v>
      </c>
      <c r="N2064">
        <v>0</v>
      </c>
    </row>
    <row r="2065" spans="1:15">
      <c r="A2065" t="s">
        <v>17743</v>
      </c>
      <c r="B2065" t="s">
        <v>5126</v>
      </c>
      <c r="C2065" t="s">
        <v>17744</v>
      </c>
      <c r="D2065" t="s">
        <v>17745</v>
      </c>
      <c r="E2065" t="b">
        <v>0</v>
      </c>
      <c r="F2065" t="s">
        <v>11622</v>
      </c>
      <c r="L2065">
        <v>0</v>
      </c>
      <c r="M2065">
        <v>2</v>
      </c>
      <c r="N2065">
        <v>2</v>
      </c>
    </row>
    <row r="2066" spans="1:15">
      <c r="A2066" t="s">
        <v>17746</v>
      </c>
      <c r="B2066" t="s">
        <v>11644</v>
      </c>
      <c r="C2066" t="s">
        <v>17747</v>
      </c>
      <c r="D2066" t="s">
        <v>17748</v>
      </c>
      <c r="E2066" t="b">
        <v>0</v>
      </c>
      <c r="F2066" t="s">
        <v>11610</v>
      </c>
      <c r="G2066">
        <v>39.938546600000002</v>
      </c>
      <c r="H2066">
        <v>116.1172766</v>
      </c>
      <c r="L2066">
        <v>0</v>
      </c>
      <c r="M2066">
        <v>0</v>
      </c>
      <c r="N2066">
        <v>0</v>
      </c>
    </row>
    <row r="2067" spans="1:15">
      <c r="A2067" t="s">
        <v>17747</v>
      </c>
      <c r="B2067" t="s">
        <v>11644</v>
      </c>
      <c r="C2067" t="s">
        <v>6112</v>
      </c>
      <c r="D2067" t="s">
        <v>17749</v>
      </c>
      <c r="E2067" t="b">
        <v>0</v>
      </c>
      <c r="F2067" t="s">
        <v>11610</v>
      </c>
      <c r="L2067">
        <v>0</v>
      </c>
      <c r="M2067">
        <v>0</v>
      </c>
      <c r="N2067">
        <v>2</v>
      </c>
    </row>
    <row r="2068" spans="1:15">
      <c r="A2068" t="s">
        <v>17750</v>
      </c>
      <c r="B2068" t="s">
        <v>17751</v>
      </c>
      <c r="C2068" t="s">
        <v>17752</v>
      </c>
      <c r="D2068" t="s">
        <v>17753</v>
      </c>
      <c r="E2068" t="b">
        <v>0</v>
      </c>
      <c r="F2068" t="s">
        <v>11610</v>
      </c>
      <c r="L2068">
        <v>0</v>
      </c>
      <c r="M2068">
        <v>0</v>
      </c>
      <c r="N2068">
        <v>0</v>
      </c>
    </row>
    <row r="2069" spans="1:15">
      <c r="A2069" t="s">
        <v>17754</v>
      </c>
      <c r="B2069" t="s">
        <v>11637</v>
      </c>
      <c r="C2069" t="s">
        <v>552</v>
      </c>
      <c r="D2069" t="s">
        <v>17755</v>
      </c>
      <c r="E2069" t="b">
        <v>0</v>
      </c>
      <c r="F2069" t="s">
        <v>11610</v>
      </c>
      <c r="L2069">
        <v>0</v>
      </c>
      <c r="M2069">
        <v>0</v>
      </c>
      <c r="N2069">
        <v>0</v>
      </c>
    </row>
    <row r="2070" spans="1:15">
      <c r="A2070" t="s">
        <v>17756</v>
      </c>
      <c r="B2070" t="s">
        <v>11637</v>
      </c>
      <c r="C2070" t="s">
        <v>16887</v>
      </c>
      <c r="D2070" t="s">
        <v>17757</v>
      </c>
      <c r="E2070" t="b">
        <v>0</v>
      </c>
      <c r="F2070" t="s">
        <v>11610</v>
      </c>
      <c r="L2070">
        <v>0</v>
      </c>
      <c r="M2070">
        <v>0</v>
      </c>
      <c r="N2070">
        <v>0</v>
      </c>
    </row>
    <row r="2071" spans="1:15">
      <c r="A2071" t="s">
        <v>11648</v>
      </c>
      <c r="B2071" t="s">
        <v>11607</v>
      </c>
      <c r="C2071" t="s">
        <v>17758</v>
      </c>
      <c r="D2071" t="s">
        <v>17759</v>
      </c>
      <c r="E2071" t="b">
        <v>0</v>
      </c>
      <c r="F2071" t="s">
        <v>11624</v>
      </c>
      <c r="G2071">
        <v>17.243600000000001</v>
      </c>
      <c r="H2071">
        <v>36.666600000000003</v>
      </c>
      <c r="I2071" t="s">
        <v>17760</v>
      </c>
      <c r="L2071">
        <v>0</v>
      </c>
      <c r="M2071">
        <v>0</v>
      </c>
      <c r="N2071">
        <v>6</v>
      </c>
      <c r="O2071" t="s">
        <v>17761</v>
      </c>
    </row>
    <row r="2072" spans="1:15">
      <c r="A2072" t="s">
        <v>17762</v>
      </c>
      <c r="B2072" t="s">
        <v>6742</v>
      </c>
      <c r="C2072" t="s">
        <v>16394</v>
      </c>
      <c r="D2072" t="s">
        <v>17763</v>
      </c>
      <c r="E2072" t="b">
        <v>0</v>
      </c>
      <c r="F2072" t="s">
        <v>11610</v>
      </c>
      <c r="L2072">
        <v>0</v>
      </c>
      <c r="M2072">
        <v>0</v>
      </c>
      <c r="N2072">
        <v>0</v>
      </c>
    </row>
    <row r="2073" spans="1:15">
      <c r="A2073" t="s">
        <v>17764</v>
      </c>
      <c r="B2073" t="s">
        <v>367</v>
      </c>
      <c r="C2073" t="s">
        <v>16104</v>
      </c>
      <c r="D2073" t="s">
        <v>17765</v>
      </c>
      <c r="E2073" t="b">
        <v>0</v>
      </c>
      <c r="F2073" t="s">
        <v>11624</v>
      </c>
      <c r="G2073">
        <v>1.3307</v>
      </c>
      <c r="H2073">
        <v>109.57599999999999</v>
      </c>
      <c r="I2073" t="s">
        <v>17766</v>
      </c>
      <c r="L2073">
        <v>0</v>
      </c>
      <c r="M2073">
        <v>0</v>
      </c>
      <c r="N2073">
        <v>0</v>
      </c>
      <c r="O2073" t="s">
        <v>11768</v>
      </c>
    </row>
    <row r="2074" spans="1:15">
      <c r="A2074" t="s">
        <v>17767</v>
      </c>
      <c r="B2074" t="s">
        <v>6742</v>
      </c>
      <c r="C2074" t="s">
        <v>15796</v>
      </c>
      <c r="D2074" t="s">
        <v>17768</v>
      </c>
      <c r="E2074" t="b">
        <v>0</v>
      </c>
      <c r="F2074" t="s">
        <v>11610</v>
      </c>
      <c r="L2074">
        <v>0</v>
      </c>
      <c r="M2074">
        <v>0</v>
      </c>
      <c r="N2074">
        <v>0</v>
      </c>
    </row>
    <row r="2075" spans="1:15">
      <c r="A2075" t="s">
        <v>17769</v>
      </c>
      <c r="B2075" t="s">
        <v>6742</v>
      </c>
      <c r="C2075" t="s">
        <v>12589</v>
      </c>
      <c r="D2075" t="s">
        <v>17770</v>
      </c>
      <c r="E2075" t="b">
        <v>0</v>
      </c>
      <c r="F2075" t="s">
        <v>11610</v>
      </c>
      <c r="L2075">
        <v>0</v>
      </c>
      <c r="M2075">
        <v>0</v>
      </c>
      <c r="N2075">
        <v>0</v>
      </c>
    </row>
    <row r="2076" spans="1:15">
      <c r="A2076" t="s">
        <v>17771</v>
      </c>
      <c r="B2076" t="s">
        <v>6742</v>
      </c>
      <c r="C2076" t="s">
        <v>12997</v>
      </c>
      <c r="D2076" t="s">
        <v>17772</v>
      </c>
      <c r="E2076" t="b">
        <v>0</v>
      </c>
      <c r="F2076" t="s">
        <v>11624</v>
      </c>
      <c r="G2076">
        <v>6.7373700000000003</v>
      </c>
      <c r="H2076">
        <v>8.8648900000000008</v>
      </c>
      <c r="I2076" t="s">
        <v>17773</v>
      </c>
      <c r="L2076">
        <v>0</v>
      </c>
      <c r="M2076">
        <v>0</v>
      </c>
      <c r="N2076">
        <v>0</v>
      </c>
      <c r="O2076" t="s">
        <v>11693</v>
      </c>
    </row>
    <row r="2077" spans="1:15">
      <c r="A2077" t="s">
        <v>17774</v>
      </c>
      <c r="B2077" t="s">
        <v>6742</v>
      </c>
      <c r="C2077" t="s">
        <v>17775</v>
      </c>
      <c r="D2077" t="s">
        <v>17776</v>
      </c>
      <c r="E2077" t="b">
        <v>0</v>
      </c>
      <c r="F2077" t="s">
        <v>11624</v>
      </c>
      <c r="G2077">
        <v>1.71801</v>
      </c>
      <c r="H2077">
        <v>14.652699999999999</v>
      </c>
      <c r="I2077" t="s">
        <v>17777</v>
      </c>
      <c r="L2077">
        <v>0</v>
      </c>
      <c r="M2077">
        <v>0</v>
      </c>
      <c r="N2077">
        <v>1</v>
      </c>
      <c r="O2077" t="s">
        <v>17778</v>
      </c>
    </row>
    <row r="2078" spans="1:15">
      <c r="A2078" t="s">
        <v>17775</v>
      </c>
      <c r="B2078" t="s">
        <v>6742</v>
      </c>
      <c r="C2078" t="s">
        <v>17779</v>
      </c>
      <c r="D2078" t="s">
        <v>17780</v>
      </c>
      <c r="E2078" t="b">
        <v>0</v>
      </c>
      <c r="F2078" t="s">
        <v>11622</v>
      </c>
      <c r="L2078">
        <v>1</v>
      </c>
      <c r="M2078">
        <v>4</v>
      </c>
      <c r="N2078">
        <v>13</v>
      </c>
    </row>
    <row r="2079" spans="1:15">
      <c r="A2079" t="s">
        <v>17781</v>
      </c>
      <c r="B2079" t="s">
        <v>6742</v>
      </c>
      <c r="C2079" t="s">
        <v>17782</v>
      </c>
      <c r="D2079" t="s">
        <v>17783</v>
      </c>
      <c r="E2079" t="b">
        <v>0</v>
      </c>
      <c r="F2079" t="s">
        <v>11610</v>
      </c>
      <c r="L2079">
        <v>0</v>
      </c>
      <c r="M2079">
        <v>0</v>
      </c>
      <c r="N2079">
        <v>0</v>
      </c>
    </row>
    <row r="2080" spans="1:15">
      <c r="A2080" t="s">
        <v>1416</v>
      </c>
      <c r="B2080" t="s">
        <v>11637</v>
      </c>
      <c r="C2080" t="s">
        <v>17784</v>
      </c>
      <c r="D2080" t="s">
        <v>17785</v>
      </c>
      <c r="E2080" t="b">
        <v>0</v>
      </c>
      <c r="F2080" t="s">
        <v>11624</v>
      </c>
      <c r="G2080">
        <v>53.230699999999999</v>
      </c>
      <c r="H2080">
        <v>25.6038</v>
      </c>
      <c r="I2080" t="s">
        <v>3553</v>
      </c>
      <c r="L2080">
        <v>0</v>
      </c>
      <c r="M2080">
        <v>0</v>
      </c>
      <c r="N2080">
        <v>3</v>
      </c>
      <c r="O2080" t="s">
        <v>17786</v>
      </c>
    </row>
    <row r="2081" spans="1:15">
      <c r="A2081" t="s">
        <v>17787</v>
      </c>
      <c r="B2081" t="s">
        <v>6742</v>
      </c>
      <c r="C2081" t="s">
        <v>15986</v>
      </c>
      <c r="D2081" t="s">
        <v>17788</v>
      </c>
      <c r="E2081" t="b">
        <v>0</v>
      </c>
      <c r="F2081" t="s">
        <v>11624</v>
      </c>
      <c r="G2081">
        <v>7.4131099999999996</v>
      </c>
      <c r="H2081">
        <v>27.695599999999999</v>
      </c>
      <c r="I2081" t="s">
        <v>17789</v>
      </c>
      <c r="L2081">
        <v>0</v>
      </c>
      <c r="M2081">
        <v>0</v>
      </c>
      <c r="N2081">
        <v>0</v>
      </c>
      <c r="O2081" t="s">
        <v>11910</v>
      </c>
    </row>
    <row r="2082" spans="1:15">
      <c r="A2082" t="s">
        <v>17790</v>
      </c>
      <c r="B2082" t="s">
        <v>11757</v>
      </c>
      <c r="C2082" t="s">
        <v>14032</v>
      </c>
      <c r="D2082" t="s">
        <v>17791</v>
      </c>
      <c r="E2082" t="b">
        <v>0</v>
      </c>
      <c r="F2082" t="s">
        <v>11624</v>
      </c>
      <c r="G2082">
        <v>6.6502999999999997</v>
      </c>
      <c r="H2082">
        <v>27.8232</v>
      </c>
      <c r="I2082" t="s">
        <v>17792</v>
      </c>
      <c r="L2082">
        <v>0</v>
      </c>
      <c r="M2082">
        <v>0</v>
      </c>
      <c r="N2082">
        <v>0</v>
      </c>
      <c r="O2082" t="s">
        <v>11910</v>
      </c>
    </row>
    <row r="2083" spans="1:15">
      <c r="A2083" t="s">
        <v>17793</v>
      </c>
      <c r="B2083" t="s">
        <v>367</v>
      </c>
      <c r="C2083" t="s">
        <v>14685</v>
      </c>
      <c r="D2083" t="s">
        <v>17794</v>
      </c>
      <c r="E2083" t="b">
        <v>0</v>
      </c>
      <c r="F2083" t="s">
        <v>11610</v>
      </c>
      <c r="L2083">
        <v>0</v>
      </c>
      <c r="M2083">
        <v>0</v>
      </c>
      <c r="N2083">
        <v>0</v>
      </c>
    </row>
    <row r="2084" spans="1:15">
      <c r="A2084" t="s">
        <v>17795</v>
      </c>
      <c r="B2084" t="s">
        <v>367</v>
      </c>
      <c r="C2084" t="s">
        <v>17705</v>
      </c>
      <c r="D2084" t="s">
        <v>17796</v>
      </c>
      <c r="E2084" t="b">
        <v>0</v>
      </c>
      <c r="F2084" t="s">
        <v>11610</v>
      </c>
      <c r="L2084">
        <v>0</v>
      </c>
      <c r="M2084">
        <v>0</v>
      </c>
      <c r="N2084">
        <v>0</v>
      </c>
    </row>
    <row r="2085" spans="1:15">
      <c r="A2085" t="s">
        <v>17797</v>
      </c>
      <c r="B2085" t="s">
        <v>367</v>
      </c>
      <c r="C2085" t="s">
        <v>17798</v>
      </c>
      <c r="D2085" t="s">
        <v>17799</v>
      </c>
      <c r="E2085" t="b">
        <v>0</v>
      </c>
      <c r="F2085" t="s">
        <v>11610</v>
      </c>
      <c r="L2085">
        <v>0</v>
      </c>
      <c r="M2085">
        <v>0</v>
      </c>
      <c r="N2085">
        <v>0</v>
      </c>
    </row>
    <row r="2086" spans="1:15">
      <c r="A2086" t="s">
        <v>17800</v>
      </c>
      <c r="B2086" t="s">
        <v>367</v>
      </c>
      <c r="C2086" t="s">
        <v>17801</v>
      </c>
      <c r="D2086" t="s">
        <v>17802</v>
      </c>
      <c r="E2086" t="b">
        <v>0</v>
      </c>
      <c r="F2086" t="s">
        <v>11624</v>
      </c>
      <c r="G2086">
        <v>4.9620699999999998</v>
      </c>
      <c r="H2086">
        <v>114.93300000000001</v>
      </c>
      <c r="I2086" t="s">
        <v>17803</v>
      </c>
      <c r="L2086">
        <v>0</v>
      </c>
      <c r="M2086">
        <v>0</v>
      </c>
      <c r="N2086">
        <v>0</v>
      </c>
      <c r="O2086" t="s">
        <v>17804</v>
      </c>
    </row>
    <row r="2087" spans="1:15">
      <c r="A2087" t="s">
        <v>17805</v>
      </c>
      <c r="B2087" t="s">
        <v>367</v>
      </c>
      <c r="C2087" t="s">
        <v>17806</v>
      </c>
      <c r="D2087" t="s">
        <v>17807</v>
      </c>
      <c r="E2087" t="b">
        <v>0</v>
      </c>
      <c r="F2087" t="s">
        <v>11610</v>
      </c>
      <c r="L2087">
        <v>0</v>
      </c>
      <c r="M2087">
        <v>0</v>
      </c>
      <c r="N2087">
        <v>0</v>
      </c>
    </row>
    <row r="2088" spans="1:15">
      <c r="A2088" t="s">
        <v>17808</v>
      </c>
      <c r="B2088" t="s">
        <v>6742</v>
      </c>
      <c r="C2088" t="s">
        <v>17809</v>
      </c>
      <c r="D2088" t="s">
        <v>17810</v>
      </c>
      <c r="E2088" t="b">
        <v>0</v>
      </c>
      <c r="F2088" t="s">
        <v>11610</v>
      </c>
      <c r="L2088">
        <v>0</v>
      </c>
      <c r="M2088">
        <v>0</v>
      </c>
      <c r="N2088">
        <v>0</v>
      </c>
    </row>
    <row r="2089" spans="1:15">
      <c r="A2089" t="s">
        <v>17811</v>
      </c>
      <c r="B2089" t="s">
        <v>13276</v>
      </c>
      <c r="C2089" t="s">
        <v>16406</v>
      </c>
      <c r="D2089" t="s">
        <v>17812</v>
      </c>
      <c r="E2089" t="b">
        <v>0</v>
      </c>
      <c r="F2089" t="s">
        <v>11610</v>
      </c>
      <c r="L2089">
        <v>0</v>
      </c>
      <c r="M2089">
        <v>0</v>
      </c>
      <c r="N2089">
        <v>0</v>
      </c>
    </row>
    <row r="2090" spans="1:15">
      <c r="A2090" t="s">
        <v>17813</v>
      </c>
      <c r="B2090" t="s">
        <v>367</v>
      </c>
      <c r="C2090" t="s">
        <v>17814</v>
      </c>
      <c r="D2090" t="s">
        <v>17815</v>
      </c>
      <c r="E2090" t="b">
        <v>0</v>
      </c>
      <c r="F2090" t="s">
        <v>11610</v>
      </c>
      <c r="L2090">
        <v>0</v>
      </c>
      <c r="M2090">
        <v>0</v>
      </c>
      <c r="N2090">
        <v>0</v>
      </c>
    </row>
    <row r="2091" spans="1:15">
      <c r="A2091" t="s">
        <v>17816</v>
      </c>
      <c r="B2091" t="s">
        <v>367</v>
      </c>
      <c r="C2091" t="s">
        <v>17655</v>
      </c>
      <c r="D2091" t="s">
        <v>17817</v>
      </c>
      <c r="E2091" t="b">
        <v>0</v>
      </c>
      <c r="F2091" t="s">
        <v>11610</v>
      </c>
      <c r="L2091">
        <v>0</v>
      </c>
      <c r="M2091">
        <v>0</v>
      </c>
      <c r="N2091">
        <v>0</v>
      </c>
    </row>
    <row r="2092" spans="1:15">
      <c r="A2092" t="s">
        <v>17818</v>
      </c>
      <c r="B2092" t="s">
        <v>367</v>
      </c>
      <c r="C2092" t="s">
        <v>17819</v>
      </c>
      <c r="D2092" t="s">
        <v>17820</v>
      </c>
      <c r="E2092" t="b">
        <v>0</v>
      </c>
      <c r="F2092" t="s">
        <v>11610</v>
      </c>
      <c r="L2092">
        <v>0</v>
      </c>
      <c r="M2092">
        <v>0</v>
      </c>
      <c r="N2092">
        <v>0</v>
      </c>
    </row>
    <row r="2093" spans="1:15">
      <c r="A2093" t="s">
        <v>17821</v>
      </c>
      <c r="B2093" t="s">
        <v>11637</v>
      </c>
      <c r="C2093" t="s">
        <v>13473</v>
      </c>
      <c r="D2093" t="s">
        <v>17822</v>
      </c>
      <c r="E2093" t="b">
        <v>0</v>
      </c>
      <c r="F2093" t="s">
        <v>11610</v>
      </c>
      <c r="L2093">
        <v>0</v>
      </c>
      <c r="M2093">
        <v>0</v>
      </c>
      <c r="N2093">
        <v>0</v>
      </c>
    </row>
    <row r="2094" spans="1:15">
      <c r="A2094" t="s">
        <v>17823</v>
      </c>
      <c r="B2094" t="s">
        <v>11627</v>
      </c>
      <c r="C2094" t="s">
        <v>11627</v>
      </c>
      <c r="D2094" t="s">
        <v>17824</v>
      </c>
      <c r="E2094" t="b">
        <v>1</v>
      </c>
      <c r="F2094" t="s">
        <v>11624</v>
      </c>
      <c r="I2094" t="s">
        <v>17825</v>
      </c>
      <c r="L2094">
        <v>0</v>
      </c>
      <c r="M2094">
        <v>0</v>
      </c>
      <c r="N2094">
        <v>0</v>
      </c>
    </row>
    <row r="2095" spans="1:15">
      <c r="A2095" t="s">
        <v>17826</v>
      </c>
      <c r="B2095" t="s">
        <v>11981</v>
      </c>
      <c r="C2095" t="s">
        <v>17827</v>
      </c>
      <c r="D2095" t="s">
        <v>17828</v>
      </c>
      <c r="E2095" t="b">
        <v>0</v>
      </c>
      <c r="F2095" t="s">
        <v>11622</v>
      </c>
      <c r="L2095">
        <v>0</v>
      </c>
      <c r="M2095">
        <v>2</v>
      </c>
      <c r="N2095">
        <v>0</v>
      </c>
    </row>
    <row r="2096" spans="1:15">
      <c r="A2096" t="s">
        <v>17829</v>
      </c>
      <c r="B2096" t="s">
        <v>11644</v>
      </c>
      <c r="C2096" t="s">
        <v>15001</v>
      </c>
      <c r="D2096" t="s">
        <v>17830</v>
      </c>
      <c r="E2096" t="b">
        <v>0</v>
      </c>
      <c r="F2096" t="s">
        <v>11624</v>
      </c>
      <c r="G2096">
        <v>26.997199999999999</v>
      </c>
      <c r="H2096">
        <v>87.278300000000002</v>
      </c>
      <c r="I2096" t="s">
        <v>17831</v>
      </c>
      <c r="L2096">
        <v>0</v>
      </c>
      <c r="M2096">
        <v>0</v>
      </c>
      <c r="N2096">
        <v>0</v>
      </c>
      <c r="O2096" t="s">
        <v>15007</v>
      </c>
    </row>
    <row r="2097" spans="1:15">
      <c r="A2097" t="s">
        <v>15961</v>
      </c>
      <c r="B2097" t="s">
        <v>11729</v>
      </c>
      <c r="C2097" t="s">
        <v>17832</v>
      </c>
      <c r="D2097" t="s">
        <v>17833</v>
      </c>
      <c r="E2097" t="b">
        <v>0</v>
      </c>
      <c r="F2097" t="s">
        <v>11624</v>
      </c>
      <c r="G2097">
        <v>6.40428</v>
      </c>
      <c r="H2097">
        <v>29.795400000000001</v>
      </c>
      <c r="I2097" t="s">
        <v>17834</v>
      </c>
      <c r="L2097">
        <v>0</v>
      </c>
      <c r="M2097">
        <v>0</v>
      </c>
      <c r="N2097">
        <v>3</v>
      </c>
      <c r="O2097" t="s">
        <v>11910</v>
      </c>
    </row>
    <row r="2098" spans="1:15">
      <c r="A2098" t="s">
        <v>17835</v>
      </c>
      <c r="B2098" t="s">
        <v>11834</v>
      </c>
      <c r="C2098" t="s">
        <v>11834</v>
      </c>
      <c r="D2098" t="s">
        <v>17836</v>
      </c>
      <c r="E2098" t="b">
        <v>0</v>
      </c>
      <c r="F2098" t="s">
        <v>11624</v>
      </c>
      <c r="G2098">
        <v>-3.6788099999999999</v>
      </c>
      <c r="H2098">
        <v>142.34</v>
      </c>
      <c r="I2098" t="s">
        <v>17837</v>
      </c>
      <c r="L2098">
        <v>0</v>
      </c>
      <c r="M2098">
        <v>0</v>
      </c>
      <c r="N2098">
        <v>0</v>
      </c>
      <c r="O2098" t="s">
        <v>11660</v>
      </c>
    </row>
    <row r="2099" spans="1:15">
      <c r="A2099" t="s">
        <v>17838</v>
      </c>
      <c r="B2099" t="s">
        <v>11637</v>
      </c>
      <c r="C2099" t="s">
        <v>17839</v>
      </c>
      <c r="D2099" t="s">
        <v>17840</v>
      </c>
      <c r="E2099" t="b">
        <v>0</v>
      </c>
      <c r="F2099" t="s">
        <v>11624</v>
      </c>
      <c r="G2099">
        <v>17.394100000000002</v>
      </c>
      <c r="H2099">
        <v>-88.628100000000003</v>
      </c>
      <c r="I2099" t="s">
        <v>17841</v>
      </c>
      <c r="L2099">
        <v>0</v>
      </c>
      <c r="M2099">
        <v>0</v>
      </c>
      <c r="N2099">
        <v>0</v>
      </c>
      <c r="O2099" t="s">
        <v>17842</v>
      </c>
    </row>
    <row r="2100" spans="1:15">
      <c r="A2100" t="s">
        <v>17839</v>
      </c>
      <c r="B2100" t="s">
        <v>11637</v>
      </c>
      <c r="C2100" t="s">
        <v>17843</v>
      </c>
      <c r="D2100" t="s">
        <v>17844</v>
      </c>
      <c r="E2100" t="b">
        <v>0</v>
      </c>
      <c r="F2100" t="s">
        <v>11622</v>
      </c>
      <c r="L2100">
        <v>0</v>
      </c>
      <c r="M2100">
        <v>2</v>
      </c>
      <c r="N2100">
        <v>0</v>
      </c>
    </row>
    <row r="2101" spans="1:15">
      <c r="A2101" t="s">
        <v>17845</v>
      </c>
      <c r="B2101" t="s">
        <v>9071</v>
      </c>
      <c r="C2101" t="s">
        <v>9071</v>
      </c>
      <c r="D2101" t="s">
        <v>17846</v>
      </c>
      <c r="E2101" t="b">
        <v>0</v>
      </c>
      <c r="F2101" t="s">
        <v>11624</v>
      </c>
      <c r="G2101">
        <v>52.344799999999999</v>
      </c>
      <c r="H2101">
        <v>-126.68899999999999</v>
      </c>
      <c r="I2101" t="s">
        <v>17847</v>
      </c>
      <c r="L2101">
        <v>0</v>
      </c>
      <c r="M2101">
        <v>0</v>
      </c>
      <c r="N2101">
        <v>0</v>
      </c>
      <c r="O2101" t="s">
        <v>13049</v>
      </c>
    </row>
    <row r="2102" spans="1:15">
      <c r="A2102" t="s">
        <v>17848</v>
      </c>
      <c r="B2102" t="s">
        <v>11844</v>
      </c>
      <c r="C2102" t="s">
        <v>17849</v>
      </c>
      <c r="D2102" t="s">
        <v>17850</v>
      </c>
      <c r="E2102" t="b">
        <v>0</v>
      </c>
      <c r="F2102" t="s">
        <v>11624</v>
      </c>
      <c r="G2102">
        <v>12.585179999999999</v>
      </c>
      <c r="H2102">
        <v>76.102490000000003</v>
      </c>
      <c r="I2102" t="s">
        <v>17851</v>
      </c>
      <c r="L2102">
        <v>0</v>
      </c>
      <c r="M2102">
        <v>0</v>
      </c>
      <c r="N2102">
        <v>0</v>
      </c>
      <c r="O2102" t="s">
        <v>11630</v>
      </c>
    </row>
    <row r="2103" spans="1:15">
      <c r="A2103" t="s">
        <v>14897</v>
      </c>
      <c r="B2103" t="s">
        <v>367</v>
      </c>
      <c r="C2103" t="s">
        <v>17852</v>
      </c>
      <c r="D2103" t="s">
        <v>17853</v>
      </c>
      <c r="E2103" t="b">
        <v>0</v>
      </c>
      <c r="F2103" t="s">
        <v>11622</v>
      </c>
      <c r="L2103">
        <v>2</v>
      </c>
      <c r="M2103">
        <v>8</v>
      </c>
      <c r="N2103">
        <v>10</v>
      </c>
    </row>
    <row r="2104" spans="1:15">
      <c r="A2104" t="s">
        <v>9311</v>
      </c>
      <c r="B2104" t="s">
        <v>17854</v>
      </c>
      <c r="C2104" t="s">
        <v>17855</v>
      </c>
      <c r="D2104" t="s">
        <v>17856</v>
      </c>
      <c r="E2104" t="b">
        <v>0</v>
      </c>
      <c r="F2104" t="s">
        <v>11610</v>
      </c>
      <c r="L2104">
        <v>0</v>
      </c>
      <c r="M2104">
        <v>0</v>
      </c>
      <c r="N2104">
        <v>0</v>
      </c>
    </row>
    <row r="2105" spans="1:15">
      <c r="A2105" t="s">
        <v>17857</v>
      </c>
      <c r="B2105" t="s">
        <v>13450</v>
      </c>
      <c r="C2105" t="s">
        <v>17528</v>
      </c>
      <c r="D2105" t="s">
        <v>17858</v>
      </c>
      <c r="E2105" t="b">
        <v>0</v>
      </c>
      <c r="F2105" t="s">
        <v>11624</v>
      </c>
      <c r="L2105">
        <v>0</v>
      </c>
      <c r="M2105">
        <v>0</v>
      </c>
      <c r="N2105">
        <v>0</v>
      </c>
      <c r="O2105" t="s">
        <v>13049</v>
      </c>
    </row>
    <row r="2106" spans="1:15">
      <c r="A2106" t="s">
        <v>17859</v>
      </c>
      <c r="B2106" t="s">
        <v>11607</v>
      </c>
      <c r="C2106" t="s">
        <v>17860</v>
      </c>
      <c r="D2106" t="s">
        <v>17861</v>
      </c>
      <c r="E2106" t="b">
        <v>0</v>
      </c>
      <c r="F2106" t="s">
        <v>11624</v>
      </c>
      <c r="L2106">
        <v>0</v>
      </c>
      <c r="M2106">
        <v>0</v>
      </c>
      <c r="N2106">
        <v>0</v>
      </c>
      <c r="O2106" t="s">
        <v>11693</v>
      </c>
    </row>
    <row r="2107" spans="1:15">
      <c r="A2107" t="s">
        <v>17852</v>
      </c>
      <c r="B2107" t="s">
        <v>367</v>
      </c>
      <c r="C2107" t="s">
        <v>17862</v>
      </c>
      <c r="D2107" t="s">
        <v>17863</v>
      </c>
      <c r="E2107" t="b">
        <v>0</v>
      </c>
      <c r="F2107" t="s">
        <v>11622</v>
      </c>
      <c r="L2107">
        <v>3</v>
      </c>
      <c r="M2107">
        <v>10</v>
      </c>
      <c r="N2107">
        <v>12</v>
      </c>
    </row>
    <row r="2108" spans="1:15">
      <c r="A2108" t="s">
        <v>17864</v>
      </c>
      <c r="B2108" t="s">
        <v>331</v>
      </c>
      <c r="C2108" t="s">
        <v>5794</v>
      </c>
      <c r="D2108" t="s">
        <v>17865</v>
      </c>
      <c r="E2108" t="b">
        <v>0</v>
      </c>
      <c r="F2108" t="s">
        <v>11610</v>
      </c>
      <c r="L2108">
        <v>0</v>
      </c>
      <c r="M2108">
        <v>0</v>
      </c>
      <c r="N2108">
        <v>0</v>
      </c>
    </row>
    <row r="2109" spans="1:15">
      <c r="A2109" t="s">
        <v>17866</v>
      </c>
      <c r="B2109" t="s">
        <v>11637</v>
      </c>
      <c r="C2109" t="s">
        <v>16887</v>
      </c>
      <c r="D2109" t="s">
        <v>17867</v>
      </c>
      <c r="E2109" t="b">
        <v>0</v>
      </c>
      <c r="F2109" t="s">
        <v>11610</v>
      </c>
      <c r="L2109">
        <v>0</v>
      </c>
      <c r="M2109">
        <v>0</v>
      </c>
      <c r="N2109">
        <v>0</v>
      </c>
    </row>
    <row r="2110" spans="1:15">
      <c r="A2110" t="s">
        <v>17868</v>
      </c>
      <c r="B2110" t="s">
        <v>6742</v>
      </c>
      <c r="C2110" t="s">
        <v>17869</v>
      </c>
      <c r="D2110" t="s">
        <v>17870</v>
      </c>
      <c r="E2110" t="b">
        <v>0</v>
      </c>
      <c r="F2110" t="s">
        <v>11624</v>
      </c>
      <c r="L2110">
        <v>0</v>
      </c>
      <c r="M2110">
        <v>0</v>
      </c>
      <c r="N2110">
        <v>0</v>
      </c>
      <c r="O2110" t="s">
        <v>14825</v>
      </c>
    </row>
    <row r="2111" spans="1:15">
      <c r="A2111" t="s">
        <v>17871</v>
      </c>
      <c r="B2111" t="s">
        <v>11729</v>
      </c>
      <c r="C2111" t="s">
        <v>17872</v>
      </c>
      <c r="D2111" t="s">
        <v>17873</v>
      </c>
      <c r="E2111" t="b">
        <v>0</v>
      </c>
      <c r="F2111" t="s">
        <v>11610</v>
      </c>
      <c r="L2111">
        <v>0</v>
      </c>
      <c r="M2111">
        <v>0</v>
      </c>
      <c r="N2111">
        <v>0</v>
      </c>
    </row>
    <row r="2112" spans="1:15">
      <c r="A2112" t="s">
        <v>17874</v>
      </c>
      <c r="B2112" t="s">
        <v>6742</v>
      </c>
      <c r="C2112" t="s">
        <v>17875</v>
      </c>
      <c r="D2112" t="s">
        <v>17876</v>
      </c>
      <c r="E2112" t="b">
        <v>0</v>
      </c>
      <c r="F2112" t="s">
        <v>11624</v>
      </c>
      <c r="G2112">
        <v>-4.49057</v>
      </c>
      <c r="H2112">
        <v>29.050699999999999</v>
      </c>
      <c r="I2112" t="s">
        <v>17877</v>
      </c>
      <c r="L2112">
        <v>0</v>
      </c>
      <c r="M2112">
        <v>0</v>
      </c>
      <c r="N2112">
        <v>0</v>
      </c>
      <c r="O2112" t="s">
        <v>17878</v>
      </c>
    </row>
    <row r="2113" spans="1:15">
      <c r="A2113" t="s">
        <v>15165</v>
      </c>
      <c r="B2113" t="s">
        <v>6742</v>
      </c>
      <c r="C2113" t="s">
        <v>17879</v>
      </c>
      <c r="D2113" t="s">
        <v>17880</v>
      </c>
      <c r="E2113" t="b">
        <v>0</v>
      </c>
      <c r="F2113" t="s">
        <v>11622</v>
      </c>
      <c r="L2113">
        <v>0</v>
      </c>
      <c r="M2113">
        <v>2</v>
      </c>
      <c r="N2113">
        <v>12</v>
      </c>
    </row>
    <row r="2114" spans="1:15">
      <c r="A2114" t="s">
        <v>17881</v>
      </c>
      <c r="B2114" t="s">
        <v>6742</v>
      </c>
      <c r="C2114" t="s">
        <v>15165</v>
      </c>
      <c r="D2114" t="s">
        <v>17882</v>
      </c>
      <c r="E2114" t="b">
        <v>0</v>
      </c>
      <c r="F2114" t="s">
        <v>11624</v>
      </c>
      <c r="G2114">
        <v>-10.6122</v>
      </c>
      <c r="H2114">
        <v>29.299299999999999</v>
      </c>
      <c r="I2114" t="s">
        <v>17883</v>
      </c>
      <c r="L2114">
        <v>0</v>
      </c>
      <c r="M2114">
        <v>0</v>
      </c>
      <c r="N2114">
        <v>12</v>
      </c>
      <c r="O2114" t="s">
        <v>17884</v>
      </c>
    </row>
    <row r="2115" spans="1:15">
      <c r="A2115" t="s">
        <v>4017</v>
      </c>
      <c r="B2115" t="s">
        <v>11627</v>
      </c>
      <c r="C2115" t="s">
        <v>11627</v>
      </c>
      <c r="D2115" t="s">
        <v>17885</v>
      </c>
      <c r="E2115" t="b">
        <v>1</v>
      </c>
      <c r="F2115" t="s">
        <v>11624</v>
      </c>
      <c r="G2115">
        <v>-10</v>
      </c>
      <c r="H2115">
        <v>28.08</v>
      </c>
      <c r="I2115" t="s">
        <v>17886</v>
      </c>
      <c r="L2115">
        <v>0</v>
      </c>
      <c r="M2115">
        <v>0</v>
      </c>
      <c r="N2115">
        <v>0</v>
      </c>
      <c r="O2115" t="s">
        <v>14825</v>
      </c>
    </row>
    <row r="2116" spans="1:15">
      <c r="A2116" t="s">
        <v>17887</v>
      </c>
      <c r="B2116" t="s">
        <v>6742</v>
      </c>
      <c r="C2116" t="s">
        <v>16842</v>
      </c>
      <c r="D2116" t="s">
        <v>17888</v>
      </c>
      <c r="E2116" t="b">
        <v>0</v>
      </c>
      <c r="F2116" t="s">
        <v>11610</v>
      </c>
      <c r="L2116">
        <v>0</v>
      </c>
      <c r="M2116">
        <v>0</v>
      </c>
      <c r="N2116">
        <v>0</v>
      </c>
    </row>
    <row r="2117" spans="1:15">
      <c r="A2117" t="s">
        <v>17875</v>
      </c>
      <c r="B2117" t="s">
        <v>6742</v>
      </c>
      <c r="C2117" t="s">
        <v>17889</v>
      </c>
      <c r="D2117" t="s">
        <v>17890</v>
      </c>
      <c r="E2117" t="b">
        <v>0</v>
      </c>
      <c r="F2117" t="s">
        <v>11622</v>
      </c>
      <c r="L2117">
        <v>1</v>
      </c>
      <c r="M2117">
        <v>4</v>
      </c>
      <c r="N2117">
        <v>3</v>
      </c>
    </row>
    <row r="2118" spans="1:15">
      <c r="A2118" t="s">
        <v>17891</v>
      </c>
      <c r="B2118" t="s">
        <v>6742</v>
      </c>
      <c r="C2118" t="s">
        <v>15796</v>
      </c>
      <c r="D2118" t="s">
        <v>17892</v>
      </c>
      <c r="E2118" t="b">
        <v>0</v>
      </c>
      <c r="F2118" t="s">
        <v>11610</v>
      </c>
      <c r="L2118">
        <v>0</v>
      </c>
      <c r="M2118">
        <v>0</v>
      </c>
      <c r="N2118">
        <v>0</v>
      </c>
    </row>
    <row r="2119" spans="1:15">
      <c r="A2119" t="s">
        <v>17893</v>
      </c>
      <c r="B2119" t="s">
        <v>11729</v>
      </c>
      <c r="C2119" t="s">
        <v>17894</v>
      </c>
      <c r="D2119" t="s">
        <v>17895</v>
      </c>
      <c r="E2119" t="b">
        <v>0</v>
      </c>
      <c r="F2119" t="s">
        <v>11610</v>
      </c>
      <c r="L2119">
        <v>0</v>
      </c>
      <c r="M2119">
        <v>0</v>
      </c>
      <c r="N2119">
        <v>0</v>
      </c>
    </row>
    <row r="2120" spans="1:15">
      <c r="A2120" t="s">
        <v>17896</v>
      </c>
      <c r="B2120" t="s">
        <v>11637</v>
      </c>
      <c r="C2120" t="s">
        <v>17897</v>
      </c>
      <c r="D2120" t="s">
        <v>17898</v>
      </c>
      <c r="E2120" t="b">
        <v>0</v>
      </c>
      <c r="F2120" t="s">
        <v>11610</v>
      </c>
      <c r="L2120">
        <v>0</v>
      </c>
      <c r="M2120">
        <v>0</v>
      </c>
      <c r="N2120">
        <v>0</v>
      </c>
    </row>
    <row r="2121" spans="1:15">
      <c r="A2121" t="s">
        <v>17899</v>
      </c>
      <c r="B2121" t="s">
        <v>6742</v>
      </c>
      <c r="C2121" t="s">
        <v>17900</v>
      </c>
      <c r="D2121" t="s">
        <v>17901</v>
      </c>
      <c r="E2121" t="b">
        <v>0</v>
      </c>
      <c r="F2121" t="s">
        <v>11622</v>
      </c>
      <c r="L2121">
        <v>2</v>
      </c>
      <c r="M2121">
        <v>5</v>
      </c>
      <c r="N2121">
        <v>6</v>
      </c>
    </row>
    <row r="2122" spans="1:15">
      <c r="A2122" t="s">
        <v>17902</v>
      </c>
      <c r="B2122" t="s">
        <v>6742</v>
      </c>
      <c r="C2122" t="s">
        <v>17899</v>
      </c>
      <c r="D2122" t="s">
        <v>17903</v>
      </c>
      <c r="E2122" t="b">
        <v>0</v>
      </c>
      <c r="F2122" t="s">
        <v>11622</v>
      </c>
      <c r="L2122">
        <v>1</v>
      </c>
      <c r="M2122">
        <v>3</v>
      </c>
      <c r="N2122">
        <v>3</v>
      </c>
    </row>
    <row r="2123" spans="1:15">
      <c r="A2123" t="s">
        <v>17904</v>
      </c>
      <c r="B2123" t="s">
        <v>6742</v>
      </c>
      <c r="C2123" t="s">
        <v>17905</v>
      </c>
      <c r="D2123" t="s">
        <v>17906</v>
      </c>
      <c r="E2123" t="b">
        <v>0</v>
      </c>
      <c r="F2123" t="s">
        <v>11624</v>
      </c>
      <c r="G2123">
        <v>9.7486099999999993</v>
      </c>
      <c r="H2123">
        <v>12.3972</v>
      </c>
      <c r="I2123" t="s">
        <v>17907</v>
      </c>
      <c r="L2123">
        <v>0</v>
      </c>
      <c r="M2123">
        <v>0</v>
      </c>
      <c r="N2123">
        <v>0</v>
      </c>
      <c r="O2123" t="s">
        <v>11693</v>
      </c>
    </row>
    <row r="2124" spans="1:15">
      <c r="A2124" t="s">
        <v>17908</v>
      </c>
      <c r="B2124" t="s">
        <v>6742</v>
      </c>
      <c r="C2124" t="s">
        <v>17909</v>
      </c>
      <c r="D2124" t="s">
        <v>17910</v>
      </c>
      <c r="E2124" t="b">
        <v>0</v>
      </c>
      <c r="F2124" t="s">
        <v>11624</v>
      </c>
      <c r="G2124">
        <v>-9.2667099999999998</v>
      </c>
      <c r="H2124">
        <v>35.0364</v>
      </c>
      <c r="I2124" t="s">
        <v>17911</v>
      </c>
      <c r="L2124">
        <v>0</v>
      </c>
      <c r="M2124">
        <v>0</v>
      </c>
      <c r="N2124">
        <v>13</v>
      </c>
      <c r="O2124" t="s">
        <v>11635</v>
      </c>
    </row>
    <row r="2125" spans="1:15">
      <c r="A2125" t="s">
        <v>17912</v>
      </c>
      <c r="B2125" t="s">
        <v>6742</v>
      </c>
      <c r="C2125" t="s">
        <v>8324</v>
      </c>
      <c r="D2125" t="s">
        <v>17913</v>
      </c>
      <c r="E2125" t="b">
        <v>0</v>
      </c>
      <c r="F2125" t="s">
        <v>11610</v>
      </c>
      <c r="L2125">
        <v>0</v>
      </c>
      <c r="M2125">
        <v>0</v>
      </c>
      <c r="N2125">
        <v>0</v>
      </c>
    </row>
    <row r="2126" spans="1:15">
      <c r="A2126" t="s">
        <v>17914</v>
      </c>
      <c r="B2126" t="s">
        <v>11615</v>
      </c>
      <c r="C2126" t="s">
        <v>17915</v>
      </c>
      <c r="D2126" t="s">
        <v>17916</v>
      </c>
      <c r="E2126" t="b">
        <v>0</v>
      </c>
      <c r="F2126" t="s">
        <v>11624</v>
      </c>
      <c r="G2126">
        <v>-6.0997399999999997</v>
      </c>
      <c r="H2126">
        <v>145.53399999999999</v>
      </c>
      <c r="I2126" t="s">
        <v>17917</v>
      </c>
      <c r="L2126">
        <v>0</v>
      </c>
      <c r="M2126">
        <v>0</v>
      </c>
      <c r="N2126">
        <v>0</v>
      </c>
      <c r="O2126" t="s">
        <v>11660</v>
      </c>
    </row>
    <row r="2127" spans="1:15">
      <c r="A2127" t="s">
        <v>17918</v>
      </c>
      <c r="B2127" t="s">
        <v>11607</v>
      </c>
      <c r="C2127" t="s">
        <v>765</v>
      </c>
      <c r="D2127" t="s">
        <v>17919</v>
      </c>
      <c r="E2127" t="b">
        <v>0</v>
      </c>
      <c r="F2127" t="s">
        <v>11610</v>
      </c>
      <c r="L2127">
        <v>0</v>
      </c>
      <c r="M2127">
        <v>0</v>
      </c>
      <c r="N2127">
        <v>0</v>
      </c>
    </row>
    <row r="2128" spans="1:15">
      <c r="A2128" t="s">
        <v>17920</v>
      </c>
      <c r="B2128" t="s">
        <v>11607</v>
      </c>
      <c r="C2128" t="s">
        <v>14255</v>
      </c>
      <c r="D2128" t="s">
        <v>17921</v>
      </c>
      <c r="E2128" t="b">
        <v>0</v>
      </c>
      <c r="F2128" t="s">
        <v>11610</v>
      </c>
      <c r="L2128">
        <v>0</v>
      </c>
      <c r="M2128">
        <v>0</v>
      </c>
      <c r="N2128">
        <v>0</v>
      </c>
    </row>
    <row r="2129" spans="1:15">
      <c r="A2129" t="s">
        <v>17909</v>
      </c>
      <c r="B2129" t="s">
        <v>6742</v>
      </c>
      <c r="C2129" t="s">
        <v>17922</v>
      </c>
      <c r="D2129" t="s">
        <v>17923</v>
      </c>
      <c r="E2129" t="b">
        <v>0</v>
      </c>
      <c r="F2129" t="s">
        <v>11622</v>
      </c>
      <c r="L2129">
        <v>0</v>
      </c>
      <c r="M2129">
        <v>2</v>
      </c>
      <c r="N2129">
        <v>13</v>
      </c>
    </row>
    <row r="2130" spans="1:15">
      <c r="A2130" t="s">
        <v>17924</v>
      </c>
      <c r="B2130" t="s">
        <v>13571</v>
      </c>
      <c r="C2130" t="s">
        <v>13571</v>
      </c>
      <c r="D2130" t="s">
        <v>17925</v>
      </c>
      <c r="E2130" t="b">
        <v>0</v>
      </c>
      <c r="F2130" t="s">
        <v>11624</v>
      </c>
      <c r="G2130">
        <v>7.0468200000000003</v>
      </c>
      <c r="H2130">
        <v>35.767299999999999</v>
      </c>
      <c r="I2130" t="s">
        <v>17926</v>
      </c>
      <c r="L2130">
        <v>0</v>
      </c>
      <c r="M2130">
        <v>0</v>
      </c>
      <c r="N2130">
        <v>3</v>
      </c>
      <c r="O2130" t="s">
        <v>11625</v>
      </c>
    </row>
    <row r="2131" spans="1:15">
      <c r="A2131" t="s">
        <v>17927</v>
      </c>
      <c r="B2131" t="s">
        <v>5126</v>
      </c>
      <c r="C2131" t="s">
        <v>17928</v>
      </c>
      <c r="D2131" t="s">
        <v>17929</v>
      </c>
      <c r="E2131" t="b">
        <v>0</v>
      </c>
      <c r="F2131" t="s">
        <v>11610</v>
      </c>
      <c r="L2131">
        <v>0</v>
      </c>
      <c r="M2131">
        <v>0</v>
      </c>
      <c r="N2131">
        <v>0</v>
      </c>
    </row>
    <row r="2132" spans="1:15">
      <c r="A2132" t="s">
        <v>12997</v>
      </c>
      <c r="B2132" t="s">
        <v>6742</v>
      </c>
      <c r="C2132" t="s">
        <v>11700</v>
      </c>
      <c r="D2132" t="s">
        <v>17930</v>
      </c>
      <c r="E2132" t="b">
        <v>0</v>
      </c>
      <c r="F2132" t="s">
        <v>11622</v>
      </c>
      <c r="L2132">
        <v>0</v>
      </c>
      <c r="M2132">
        <v>9</v>
      </c>
      <c r="N2132">
        <v>29</v>
      </c>
    </row>
    <row r="2133" spans="1:15">
      <c r="A2133" t="s">
        <v>17931</v>
      </c>
      <c r="B2133" t="s">
        <v>6742</v>
      </c>
      <c r="C2133" t="s">
        <v>17932</v>
      </c>
      <c r="D2133" t="s">
        <v>17933</v>
      </c>
      <c r="E2133" t="b">
        <v>0</v>
      </c>
      <c r="F2133" t="s">
        <v>11610</v>
      </c>
      <c r="L2133">
        <v>0</v>
      </c>
      <c r="M2133">
        <v>0</v>
      </c>
      <c r="N2133">
        <v>0</v>
      </c>
    </row>
    <row r="2134" spans="1:15">
      <c r="A2134" t="s">
        <v>17934</v>
      </c>
      <c r="B2134" t="s">
        <v>6742</v>
      </c>
      <c r="C2134" t="s">
        <v>17935</v>
      </c>
      <c r="D2134" t="s">
        <v>17936</v>
      </c>
      <c r="E2134" t="b">
        <v>0</v>
      </c>
      <c r="F2134" t="s">
        <v>11624</v>
      </c>
      <c r="G2134">
        <v>-6.2208199999999998</v>
      </c>
      <c r="H2134">
        <v>30.592600000000001</v>
      </c>
      <c r="I2134" t="s">
        <v>17937</v>
      </c>
      <c r="L2134">
        <v>0</v>
      </c>
      <c r="M2134">
        <v>0</v>
      </c>
      <c r="N2134">
        <v>0</v>
      </c>
      <c r="O2134" t="s">
        <v>11635</v>
      </c>
    </row>
    <row r="2135" spans="1:15">
      <c r="A2135" t="s">
        <v>17938</v>
      </c>
      <c r="B2135" t="s">
        <v>6742</v>
      </c>
      <c r="C2135" t="s">
        <v>12683</v>
      </c>
      <c r="D2135" t="s">
        <v>17939</v>
      </c>
      <c r="E2135" t="b">
        <v>0</v>
      </c>
      <c r="F2135" t="s">
        <v>11610</v>
      </c>
      <c r="L2135">
        <v>0</v>
      </c>
      <c r="M2135">
        <v>0</v>
      </c>
      <c r="N2135">
        <v>0</v>
      </c>
    </row>
    <row r="2136" spans="1:15">
      <c r="A2136" t="s">
        <v>17940</v>
      </c>
      <c r="B2136" t="s">
        <v>11729</v>
      </c>
      <c r="C2136" t="s">
        <v>17941</v>
      </c>
      <c r="D2136" t="s">
        <v>17942</v>
      </c>
      <c r="E2136" t="b">
        <v>0</v>
      </c>
      <c r="F2136" t="s">
        <v>11624</v>
      </c>
      <c r="G2136">
        <v>2.2022900000000001</v>
      </c>
      <c r="H2136">
        <v>30.367899999999999</v>
      </c>
      <c r="I2136" t="s">
        <v>17943</v>
      </c>
      <c r="L2136">
        <v>0</v>
      </c>
      <c r="M2136">
        <v>0</v>
      </c>
      <c r="N2136">
        <v>0</v>
      </c>
      <c r="O2136" t="s">
        <v>14825</v>
      </c>
    </row>
    <row r="2137" spans="1:15">
      <c r="A2137" t="s">
        <v>17935</v>
      </c>
      <c r="B2137" t="s">
        <v>6742</v>
      </c>
      <c r="C2137" t="s">
        <v>17944</v>
      </c>
      <c r="D2137" t="s">
        <v>17945</v>
      </c>
      <c r="E2137" t="b">
        <v>0</v>
      </c>
      <c r="F2137" t="s">
        <v>11622</v>
      </c>
      <c r="L2137">
        <v>0</v>
      </c>
      <c r="M2137">
        <v>2</v>
      </c>
      <c r="N2137">
        <v>0</v>
      </c>
    </row>
    <row r="2138" spans="1:15">
      <c r="A2138" t="s">
        <v>17946</v>
      </c>
      <c r="B2138" t="s">
        <v>11981</v>
      </c>
      <c r="C2138" t="s">
        <v>13854</v>
      </c>
      <c r="D2138" t="s">
        <v>17947</v>
      </c>
      <c r="E2138" t="b">
        <v>0</v>
      </c>
      <c r="F2138" t="s">
        <v>11610</v>
      </c>
      <c r="L2138">
        <v>0</v>
      </c>
      <c r="M2138">
        <v>0</v>
      </c>
      <c r="N2138">
        <v>0</v>
      </c>
    </row>
    <row r="2139" spans="1:15">
      <c r="A2139" t="s">
        <v>17948</v>
      </c>
      <c r="B2139" t="s">
        <v>6742</v>
      </c>
      <c r="C2139" t="s">
        <v>3201</v>
      </c>
      <c r="D2139" t="s">
        <v>17949</v>
      </c>
      <c r="E2139" t="b">
        <v>0</v>
      </c>
      <c r="F2139" t="s">
        <v>11610</v>
      </c>
      <c r="L2139">
        <v>0</v>
      </c>
      <c r="M2139">
        <v>0</v>
      </c>
      <c r="N2139">
        <v>0</v>
      </c>
    </row>
    <row r="2140" spans="1:15">
      <c r="A2140" t="s">
        <v>17950</v>
      </c>
      <c r="B2140" t="s">
        <v>367</v>
      </c>
      <c r="C2140" t="s">
        <v>17951</v>
      </c>
      <c r="D2140" t="s">
        <v>17952</v>
      </c>
      <c r="E2140" t="b">
        <v>0</v>
      </c>
      <c r="F2140" t="s">
        <v>11610</v>
      </c>
      <c r="L2140">
        <v>0</v>
      </c>
      <c r="M2140">
        <v>0</v>
      </c>
      <c r="N2140">
        <v>0</v>
      </c>
    </row>
    <row r="2141" spans="1:15">
      <c r="A2141" t="s">
        <v>17953</v>
      </c>
      <c r="B2141" t="s">
        <v>11981</v>
      </c>
      <c r="C2141" t="s">
        <v>11982</v>
      </c>
      <c r="D2141" t="s">
        <v>17954</v>
      </c>
      <c r="E2141" t="b">
        <v>0</v>
      </c>
      <c r="F2141" t="s">
        <v>11624</v>
      </c>
      <c r="G2141">
        <v>-8.3829999999999991</v>
      </c>
      <c r="H2141">
        <v>115.098</v>
      </c>
      <c r="I2141" t="s">
        <v>17955</v>
      </c>
      <c r="L2141">
        <v>0</v>
      </c>
      <c r="M2141">
        <v>0</v>
      </c>
      <c r="N2141">
        <v>0</v>
      </c>
      <c r="O2141" t="s">
        <v>11768</v>
      </c>
    </row>
    <row r="2142" spans="1:15">
      <c r="A2142" t="s">
        <v>3565</v>
      </c>
      <c r="B2142" t="s">
        <v>11637</v>
      </c>
      <c r="C2142" t="s">
        <v>17956</v>
      </c>
      <c r="D2142" t="s">
        <v>3564</v>
      </c>
      <c r="E2142" t="b">
        <v>0</v>
      </c>
      <c r="F2142" t="s">
        <v>11624</v>
      </c>
      <c r="G2142">
        <v>24</v>
      </c>
      <c r="H2142">
        <v>90</v>
      </c>
      <c r="I2142" t="s">
        <v>3566</v>
      </c>
      <c r="L2142">
        <v>0</v>
      </c>
      <c r="M2142">
        <v>0</v>
      </c>
      <c r="N2142">
        <v>15</v>
      </c>
      <c r="O2142" t="s">
        <v>17957</v>
      </c>
    </row>
    <row r="2143" spans="1:15">
      <c r="A2143" t="s">
        <v>17958</v>
      </c>
      <c r="B2143" t="s">
        <v>6742</v>
      </c>
      <c r="C2143" t="s">
        <v>17425</v>
      </c>
      <c r="D2143" t="s">
        <v>17959</v>
      </c>
      <c r="E2143" t="b">
        <v>0</v>
      </c>
      <c r="F2143" t="s">
        <v>11610</v>
      </c>
      <c r="L2143">
        <v>0</v>
      </c>
      <c r="M2143">
        <v>0</v>
      </c>
      <c r="N2143">
        <v>0</v>
      </c>
    </row>
    <row r="2144" spans="1:15">
      <c r="A2144" t="s">
        <v>17960</v>
      </c>
      <c r="B2144" t="s">
        <v>6742</v>
      </c>
      <c r="C2144" t="s">
        <v>17338</v>
      </c>
      <c r="D2144" t="s">
        <v>17961</v>
      </c>
      <c r="E2144" t="b">
        <v>0</v>
      </c>
      <c r="F2144" t="s">
        <v>11624</v>
      </c>
      <c r="G2144">
        <v>1.075766</v>
      </c>
      <c r="H2144">
        <v>9.6007390000000008</v>
      </c>
      <c r="I2144" t="s">
        <v>17962</v>
      </c>
      <c r="L2144">
        <v>0</v>
      </c>
      <c r="M2144">
        <v>0</v>
      </c>
      <c r="N2144">
        <v>0</v>
      </c>
      <c r="O2144" t="s">
        <v>17963</v>
      </c>
    </row>
    <row r="2145" spans="1:15">
      <c r="A2145" t="s">
        <v>17964</v>
      </c>
      <c r="B2145" t="s">
        <v>13276</v>
      </c>
      <c r="C2145" t="s">
        <v>17965</v>
      </c>
      <c r="D2145" t="s">
        <v>17966</v>
      </c>
      <c r="E2145" t="b">
        <v>0</v>
      </c>
      <c r="F2145" t="s">
        <v>11610</v>
      </c>
      <c r="L2145">
        <v>0</v>
      </c>
      <c r="M2145">
        <v>0</v>
      </c>
      <c r="N2145">
        <v>0</v>
      </c>
    </row>
    <row r="2146" spans="1:15">
      <c r="A2146" t="s">
        <v>17967</v>
      </c>
      <c r="B2146" t="s">
        <v>13276</v>
      </c>
      <c r="C2146" t="s">
        <v>17968</v>
      </c>
      <c r="D2146" t="s">
        <v>17969</v>
      </c>
      <c r="E2146" t="b">
        <v>0</v>
      </c>
      <c r="F2146" t="s">
        <v>11622</v>
      </c>
      <c r="L2146">
        <v>1</v>
      </c>
      <c r="M2146">
        <v>3</v>
      </c>
      <c r="N2146">
        <v>4</v>
      </c>
    </row>
    <row r="2147" spans="1:15">
      <c r="A2147" t="s">
        <v>17970</v>
      </c>
      <c r="B2147" t="s">
        <v>13276</v>
      </c>
      <c r="C2147" t="s">
        <v>17971</v>
      </c>
      <c r="D2147" t="s">
        <v>17972</v>
      </c>
      <c r="E2147" t="b">
        <v>0</v>
      </c>
      <c r="F2147" t="s">
        <v>11624</v>
      </c>
      <c r="G2147">
        <v>7.7812200000000002</v>
      </c>
      <c r="H2147">
        <v>-4.2353899999999998</v>
      </c>
      <c r="I2147" t="s">
        <v>17973</v>
      </c>
      <c r="L2147">
        <v>0</v>
      </c>
      <c r="M2147">
        <v>0</v>
      </c>
      <c r="N2147">
        <v>0</v>
      </c>
      <c r="O2147" t="s">
        <v>11735</v>
      </c>
    </row>
    <row r="2148" spans="1:15">
      <c r="A2148" t="s">
        <v>16220</v>
      </c>
      <c r="B2148" t="s">
        <v>367</v>
      </c>
      <c r="C2148" t="s">
        <v>17974</v>
      </c>
      <c r="D2148" t="s">
        <v>17975</v>
      </c>
      <c r="E2148" t="b">
        <v>0</v>
      </c>
      <c r="F2148" t="s">
        <v>11624</v>
      </c>
      <c r="G2148">
        <v>-3.13924</v>
      </c>
      <c r="H2148">
        <v>130.09100000000001</v>
      </c>
      <c r="I2148" t="s">
        <v>17976</v>
      </c>
      <c r="L2148">
        <v>0</v>
      </c>
      <c r="M2148">
        <v>0</v>
      </c>
      <c r="N2148">
        <v>3</v>
      </c>
      <c r="O2148" t="s">
        <v>11768</v>
      </c>
    </row>
    <row r="2149" spans="1:15">
      <c r="A2149" t="s">
        <v>17977</v>
      </c>
      <c r="B2149" t="s">
        <v>367</v>
      </c>
      <c r="C2149" t="s">
        <v>16493</v>
      </c>
      <c r="D2149" t="s">
        <v>17978</v>
      </c>
      <c r="E2149" t="b">
        <v>0</v>
      </c>
      <c r="F2149" t="s">
        <v>11610</v>
      </c>
      <c r="L2149">
        <v>0</v>
      </c>
      <c r="M2149">
        <v>0</v>
      </c>
      <c r="N2149">
        <v>0</v>
      </c>
    </row>
    <row r="2150" spans="1:15">
      <c r="A2150" t="s">
        <v>17338</v>
      </c>
      <c r="B2150" t="s">
        <v>6742</v>
      </c>
      <c r="C2150" t="s">
        <v>17979</v>
      </c>
      <c r="D2150" t="s">
        <v>17980</v>
      </c>
      <c r="E2150" t="b">
        <v>0</v>
      </c>
      <c r="F2150" t="s">
        <v>11622</v>
      </c>
      <c r="L2150">
        <v>1</v>
      </c>
      <c r="M2150">
        <v>4</v>
      </c>
      <c r="N2150">
        <v>14</v>
      </c>
    </row>
    <row r="2151" spans="1:15">
      <c r="A2151" t="s">
        <v>17981</v>
      </c>
      <c r="B2151" t="s">
        <v>11627</v>
      </c>
      <c r="C2151" t="s">
        <v>11627</v>
      </c>
      <c r="D2151" t="s">
        <v>17982</v>
      </c>
      <c r="E2151" t="b">
        <v>1</v>
      </c>
      <c r="F2151" t="s">
        <v>11624</v>
      </c>
      <c r="I2151" t="s">
        <v>17983</v>
      </c>
      <c r="L2151">
        <v>0</v>
      </c>
      <c r="M2151">
        <v>0</v>
      </c>
      <c r="N2151">
        <v>0</v>
      </c>
    </row>
    <row r="2152" spans="1:15">
      <c r="A2152" t="s">
        <v>17971</v>
      </c>
      <c r="B2152" t="s">
        <v>13276</v>
      </c>
      <c r="C2152" t="s">
        <v>17967</v>
      </c>
      <c r="D2152" t="s">
        <v>17984</v>
      </c>
      <c r="E2152" t="b">
        <v>0</v>
      </c>
      <c r="F2152" t="s">
        <v>11622</v>
      </c>
      <c r="L2152">
        <v>0</v>
      </c>
      <c r="M2152">
        <v>2</v>
      </c>
      <c r="N2152">
        <v>0</v>
      </c>
    </row>
    <row r="2153" spans="1:15">
      <c r="A2153" t="s">
        <v>17985</v>
      </c>
      <c r="B2153" t="s">
        <v>12646</v>
      </c>
      <c r="C2153" t="s">
        <v>17986</v>
      </c>
      <c r="D2153" t="s">
        <v>17987</v>
      </c>
      <c r="E2153" t="b">
        <v>0</v>
      </c>
      <c r="F2153" t="s">
        <v>11610</v>
      </c>
      <c r="L2153">
        <v>0</v>
      </c>
      <c r="M2153">
        <v>0</v>
      </c>
      <c r="N2153">
        <v>0</v>
      </c>
    </row>
    <row r="2154" spans="1:15">
      <c r="A2154" t="s">
        <v>17988</v>
      </c>
      <c r="B2154" t="s">
        <v>11607</v>
      </c>
      <c r="C2154" t="s">
        <v>11648</v>
      </c>
      <c r="D2154" t="s">
        <v>17989</v>
      </c>
      <c r="E2154" t="b">
        <v>0</v>
      </c>
      <c r="F2154" t="s">
        <v>11610</v>
      </c>
      <c r="L2154">
        <v>0</v>
      </c>
      <c r="M2154">
        <v>0</v>
      </c>
      <c r="N2154">
        <v>0</v>
      </c>
    </row>
    <row r="2155" spans="1:15">
      <c r="A2155" t="s">
        <v>17990</v>
      </c>
      <c r="B2155" t="s">
        <v>11607</v>
      </c>
      <c r="C2155" t="s">
        <v>17991</v>
      </c>
      <c r="D2155" t="s">
        <v>17992</v>
      </c>
      <c r="E2155" t="b">
        <v>0</v>
      </c>
      <c r="F2155" t="s">
        <v>11610</v>
      </c>
      <c r="L2155">
        <v>0</v>
      </c>
      <c r="M2155">
        <v>0</v>
      </c>
      <c r="N2155">
        <v>0</v>
      </c>
    </row>
    <row r="2156" spans="1:15">
      <c r="A2156" t="s">
        <v>17993</v>
      </c>
      <c r="B2156" t="s">
        <v>11607</v>
      </c>
      <c r="C2156" t="s">
        <v>14701</v>
      </c>
      <c r="D2156" t="s">
        <v>17994</v>
      </c>
      <c r="E2156" t="b">
        <v>0</v>
      </c>
      <c r="F2156" t="s">
        <v>11610</v>
      </c>
      <c r="L2156">
        <v>0</v>
      </c>
      <c r="M2156">
        <v>0</v>
      </c>
      <c r="N2156">
        <v>0</v>
      </c>
    </row>
    <row r="2157" spans="1:15">
      <c r="A2157" t="s">
        <v>17995</v>
      </c>
      <c r="B2157" t="s">
        <v>11607</v>
      </c>
      <c r="C2157" t="s">
        <v>14701</v>
      </c>
      <c r="D2157" t="s">
        <v>17996</v>
      </c>
      <c r="E2157" t="b">
        <v>0</v>
      </c>
      <c r="F2157" t="s">
        <v>11610</v>
      </c>
      <c r="L2157">
        <v>0</v>
      </c>
      <c r="M2157">
        <v>0</v>
      </c>
      <c r="N2157">
        <v>0</v>
      </c>
    </row>
    <row r="2158" spans="1:15">
      <c r="A2158" t="s">
        <v>17997</v>
      </c>
      <c r="B2158" t="s">
        <v>11607</v>
      </c>
      <c r="C2158" t="s">
        <v>17998</v>
      </c>
      <c r="D2158" t="s">
        <v>17999</v>
      </c>
      <c r="E2158" t="b">
        <v>0</v>
      </c>
      <c r="F2158" t="s">
        <v>11610</v>
      </c>
      <c r="L2158">
        <v>0</v>
      </c>
      <c r="M2158">
        <v>0</v>
      </c>
      <c r="N2158">
        <v>0</v>
      </c>
    </row>
    <row r="2159" spans="1:15">
      <c r="A2159" t="s">
        <v>18000</v>
      </c>
      <c r="B2159" t="s">
        <v>11607</v>
      </c>
      <c r="C2159" t="s">
        <v>11608</v>
      </c>
      <c r="D2159" t="s">
        <v>18001</v>
      </c>
      <c r="E2159" t="b">
        <v>0</v>
      </c>
      <c r="F2159" t="s">
        <v>11610</v>
      </c>
      <c r="L2159">
        <v>0</v>
      </c>
      <c r="M2159">
        <v>0</v>
      </c>
      <c r="N2159">
        <v>0</v>
      </c>
    </row>
    <row r="2160" spans="1:15">
      <c r="A2160" t="s">
        <v>18002</v>
      </c>
      <c r="B2160" t="s">
        <v>18003</v>
      </c>
      <c r="C2160" t="s">
        <v>18003</v>
      </c>
      <c r="D2160" t="s">
        <v>18004</v>
      </c>
      <c r="E2160" t="b">
        <v>0</v>
      </c>
      <c r="F2160" t="s">
        <v>11624</v>
      </c>
      <c r="G2160">
        <v>-41.326417999999997</v>
      </c>
      <c r="H2160">
        <v>147.78712200000001</v>
      </c>
      <c r="L2160">
        <v>0</v>
      </c>
      <c r="M2160">
        <v>0</v>
      </c>
      <c r="N2160">
        <v>0</v>
      </c>
      <c r="O2160" t="s">
        <v>12107</v>
      </c>
    </row>
    <row r="2161" spans="1:15">
      <c r="A2161" t="s">
        <v>18005</v>
      </c>
      <c r="B2161" t="s">
        <v>11729</v>
      </c>
      <c r="C2161" t="s">
        <v>17872</v>
      </c>
      <c r="D2161" t="s">
        <v>18006</v>
      </c>
      <c r="E2161" t="b">
        <v>0</v>
      </c>
      <c r="F2161" t="s">
        <v>11610</v>
      </c>
      <c r="L2161">
        <v>0</v>
      </c>
      <c r="M2161">
        <v>0</v>
      </c>
      <c r="N2161">
        <v>0</v>
      </c>
    </row>
    <row r="2162" spans="1:15">
      <c r="A2162" t="s">
        <v>18007</v>
      </c>
      <c r="B2162" t="s">
        <v>14005</v>
      </c>
      <c r="C2162" t="s">
        <v>16250</v>
      </c>
      <c r="D2162" t="s">
        <v>18008</v>
      </c>
      <c r="E2162" t="b">
        <v>0</v>
      </c>
      <c r="F2162" t="s">
        <v>11610</v>
      </c>
      <c r="L2162">
        <v>0</v>
      </c>
      <c r="M2162">
        <v>0</v>
      </c>
      <c r="N2162">
        <v>0</v>
      </c>
    </row>
    <row r="2163" spans="1:15">
      <c r="A2163" t="s">
        <v>18009</v>
      </c>
      <c r="B2163" t="s">
        <v>367</v>
      </c>
      <c r="C2163" t="s">
        <v>18010</v>
      </c>
      <c r="D2163" t="s">
        <v>18011</v>
      </c>
      <c r="E2163" t="b">
        <v>0</v>
      </c>
      <c r="F2163" t="s">
        <v>11624</v>
      </c>
      <c r="G2163">
        <v>-4.76004</v>
      </c>
      <c r="H2163">
        <v>119.806</v>
      </c>
      <c r="I2163" t="s">
        <v>18012</v>
      </c>
      <c r="L2163">
        <v>0</v>
      </c>
      <c r="M2163">
        <v>0</v>
      </c>
      <c r="N2163">
        <v>0</v>
      </c>
      <c r="O2163" t="s">
        <v>11768</v>
      </c>
    </row>
    <row r="2164" spans="1:15">
      <c r="A2164" t="s">
        <v>18013</v>
      </c>
      <c r="B2164" t="s">
        <v>1342</v>
      </c>
      <c r="C2164" t="s">
        <v>16750</v>
      </c>
      <c r="D2164" t="s">
        <v>18014</v>
      </c>
      <c r="E2164" t="b">
        <v>0</v>
      </c>
      <c r="F2164" t="s">
        <v>11624</v>
      </c>
      <c r="G2164">
        <v>14.78</v>
      </c>
      <c r="H2164">
        <v>-2.94</v>
      </c>
      <c r="I2164" t="s">
        <v>18015</v>
      </c>
      <c r="L2164">
        <v>0</v>
      </c>
      <c r="M2164">
        <v>0</v>
      </c>
      <c r="N2164">
        <v>0</v>
      </c>
      <c r="O2164" t="s">
        <v>13528</v>
      </c>
    </row>
    <row r="2165" spans="1:15">
      <c r="A2165" t="s">
        <v>18016</v>
      </c>
      <c r="B2165" t="s">
        <v>367</v>
      </c>
      <c r="C2165" t="s">
        <v>12638</v>
      </c>
      <c r="D2165" t="s">
        <v>18017</v>
      </c>
      <c r="E2165" t="b">
        <v>0</v>
      </c>
      <c r="F2165" t="s">
        <v>11610</v>
      </c>
      <c r="L2165">
        <v>0</v>
      </c>
      <c r="M2165">
        <v>0</v>
      </c>
      <c r="N2165">
        <v>0</v>
      </c>
    </row>
    <row r="2166" spans="1:15">
      <c r="A2166" t="s">
        <v>12815</v>
      </c>
      <c r="B2166" t="s">
        <v>6742</v>
      </c>
      <c r="C2166" t="s">
        <v>18018</v>
      </c>
      <c r="D2166" t="s">
        <v>18019</v>
      </c>
      <c r="E2166" t="b">
        <v>0</v>
      </c>
      <c r="F2166" t="s">
        <v>11622</v>
      </c>
      <c r="L2166">
        <v>571</v>
      </c>
      <c r="M2166">
        <v>987</v>
      </c>
      <c r="N2166">
        <v>1613</v>
      </c>
    </row>
    <row r="2167" spans="1:15">
      <c r="A2167" t="s">
        <v>12468</v>
      </c>
      <c r="B2167" t="s">
        <v>6742</v>
      </c>
      <c r="C2167" t="s">
        <v>12815</v>
      </c>
      <c r="D2167" t="s">
        <v>18020</v>
      </c>
      <c r="E2167" t="b">
        <v>0</v>
      </c>
      <c r="F2167" t="s">
        <v>11622</v>
      </c>
      <c r="L2167">
        <v>33</v>
      </c>
      <c r="M2167">
        <v>67</v>
      </c>
      <c r="N2167">
        <v>62</v>
      </c>
    </row>
    <row r="2168" spans="1:15">
      <c r="A2168" t="s">
        <v>18021</v>
      </c>
      <c r="B2168" t="s">
        <v>6742</v>
      </c>
      <c r="C2168" t="s">
        <v>12468</v>
      </c>
      <c r="D2168" t="s">
        <v>18022</v>
      </c>
      <c r="E2168" t="b">
        <v>0</v>
      </c>
      <c r="F2168" t="s">
        <v>11622</v>
      </c>
      <c r="L2168">
        <v>3</v>
      </c>
      <c r="M2168">
        <v>8</v>
      </c>
      <c r="N2168">
        <v>6</v>
      </c>
    </row>
    <row r="2169" spans="1:15">
      <c r="A2169" t="s">
        <v>18023</v>
      </c>
      <c r="B2169" t="s">
        <v>367</v>
      </c>
      <c r="C2169" t="s">
        <v>16105</v>
      </c>
      <c r="D2169" t="s">
        <v>18024</v>
      </c>
      <c r="E2169" t="b">
        <v>0</v>
      </c>
      <c r="F2169" t="s">
        <v>11624</v>
      </c>
      <c r="G2169">
        <v>0.78534000000000004</v>
      </c>
      <c r="H2169">
        <v>109.753</v>
      </c>
      <c r="I2169" t="s">
        <v>18025</v>
      </c>
      <c r="L2169">
        <v>0</v>
      </c>
      <c r="M2169">
        <v>0</v>
      </c>
      <c r="N2169">
        <v>0</v>
      </c>
      <c r="O2169" t="s">
        <v>11768</v>
      </c>
    </row>
    <row r="2170" spans="1:15">
      <c r="A2170" t="s">
        <v>16105</v>
      </c>
      <c r="B2170" t="s">
        <v>367</v>
      </c>
      <c r="C2170" t="s">
        <v>624</v>
      </c>
      <c r="D2170" t="s">
        <v>18026</v>
      </c>
      <c r="E2170" t="b">
        <v>0</v>
      </c>
      <c r="F2170" t="s">
        <v>11622</v>
      </c>
      <c r="L2170">
        <v>2</v>
      </c>
      <c r="M2170">
        <v>4</v>
      </c>
      <c r="N2170">
        <v>0</v>
      </c>
    </row>
    <row r="2171" spans="1:15">
      <c r="A2171" t="s">
        <v>18027</v>
      </c>
      <c r="B2171" t="s">
        <v>6742</v>
      </c>
      <c r="C2171" t="s">
        <v>18028</v>
      </c>
      <c r="D2171" t="s">
        <v>18029</v>
      </c>
      <c r="E2171" t="b">
        <v>0</v>
      </c>
      <c r="F2171" t="s">
        <v>11610</v>
      </c>
      <c r="L2171">
        <v>0</v>
      </c>
      <c r="M2171">
        <v>0</v>
      </c>
      <c r="N2171">
        <v>0</v>
      </c>
    </row>
    <row r="2172" spans="1:15">
      <c r="A2172" t="s">
        <v>18030</v>
      </c>
      <c r="B2172" t="s">
        <v>6742</v>
      </c>
      <c r="C2172" t="s">
        <v>18031</v>
      </c>
      <c r="D2172" t="s">
        <v>18032</v>
      </c>
      <c r="E2172" t="b">
        <v>0</v>
      </c>
      <c r="F2172" t="s">
        <v>11610</v>
      </c>
      <c r="L2172">
        <v>0</v>
      </c>
      <c r="M2172">
        <v>0</v>
      </c>
      <c r="N2172">
        <v>0</v>
      </c>
    </row>
    <row r="2173" spans="1:15">
      <c r="A2173" t="s">
        <v>18033</v>
      </c>
      <c r="B2173" t="s">
        <v>367</v>
      </c>
      <c r="C2173" t="s">
        <v>14327</v>
      </c>
      <c r="D2173" t="s">
        <v>18034</v>
      </c>
      <c r="E2173" t="b">
        <v>0</v>
      </c>
      <c r="F2173" t="s">
        <v>11610</v>
      </c>
      <c r="L2173">
        <v>0</v>
      </c>
      <c r="M2173">
        <v>0</v>
      </c>
      <c r="N2173">
        <v>0</v>
      </c>
    </row>
    <row r="2174" spans="1:15">
      <c r="A2174" t="s">
        <v>18035</v>
      </c>
      <c r="D2174" t="s">
        <v>18036</v>
      </c>
      <c r="E2174" t="b">
        <v>0</v>
      </c>
      <c r="F2174" t="s">
        <v>11624</v>
      </c>
      <c r="G2174">
        <v>48</v>
      </c>
      <c r="H2174">
        <v>-57</v>
      </c>
      <c r="I2174" t="s">
        <v>18037</v>
      </c>
      <c r="L2174">
        <v>0</v>
      </c>
      <c r="M2174">
        <v>0</v>
      </c>
      <c r="N2174">
        <v>0</v>
      </c>
      <c r="O2174" t="s">
        <v>13049</v>
      </c>
    </row>
    <row r="2175" spans="1:15">
      <c r="A2175" t="s">
        <v>18038</v>
      </c>
      <c r="B2175" t="s">
        <v>11615</v>
      </c>
      <c r="C2175" t="s">
        <v>18039</v>
      </c>
      <c r="D2175" t="s">
        <v>18040</v>
      </c>
      <c r="E2175" t="b">
        <v>0</v>
      </c>
      <c r="F2175" t="s">
        <v>11624</v>
      </c>
      <c r="G2175">
        <v>-4.5984999999999996</v>
      </c>
      <c r="H2175">
        <v>145.44200000000001</v>
      </c>
      <c r="I2175" t="s">
        <v>18041</v>
      </c>
      <c r="L2175">
        <v>0</v>
      </c>
      <c r="M2175">
        <v>0</v>
      </c>
      <c r="N2175">
        <v>0</v>
      </c>
      <c r="O2175" t="s">
        <v>11660</v>
      </c>
    </row>
    <row r="2176" spans="1:15">
      <c r="A2176" t="s">
        <v>18042</v>
      </c>
      <c r="B2176" t="s">
        <v>11607</v>
      </c>
      <c r="C2176" t="s">
        <v>13011</v>
      </c>
      <c r="D2176" t="s">
        <v>18043</v>
      </c>
      <c r="E2176" t="b">
        <v>0</v>
      </c>
      <c r="F2176" t="s">
        <v>11610</v>
      </c>
      <c r="L2176">
        <v>0</v>
      </c>
      <c r="M2176">
        <v>0</v>
      </c>
      <c r="N2176">
        <v>0</v>
      </c>
    </row>
    <row r="2177" spans="1:15">
      <c r="A2177" t="s">
        <v>18044</v>
      </c>
      <c r="B2177" t="s">
        <v>11844</v>
      </c>
      <c r="C2177" t="s">
        <v>2278</v>
      </c>
      <c r="D2177" t="s">
        <v>18045</v>
      </c>
      <c r="E2177" t="b">
        <v>0</v>
      </c>
      <c r="F2177" t="s">
        <v>11610</v>
      </c>
      <c r="L2177">
        <v>0</v>
      </c>
      <c r="M2177">
        <v>0</v>
      </c>
      <c r="N2177">
        <v>0</v>
      </c>
    </row>
    <row r="2178" spans="1:15">
      <c r="A2178" t="s">
        <v>18046</v>
      </c>
      <c r="B2178" t="s">
        <v>6742</v>
      </c>
      <c r="C2178" t="s">
        <v>13332</v>
      </c>
      <c r="D2178" t="s">
        <v>18047</v>
      </c>
      <c r="E2178" t="b">
        <v>0</v>
      </c>
      <c r="F2178" t="s">
        <v>11624</v>
      </c>
      <c r="G2178">
        <v>1.50054</v>
      </c>
      <c r="H2178">
        <v>30.029299999999999</v>
      </c>
      <c r="I2178" t="s">
        <v>18048</v>
      </c>
      <c r="L2178">
        <v>0</v>
      </c>
      <c r="M2178">
        <v>0</v>
      </c>
      <c r="N2178">
        <v>0</v>
      </c>
      <c r="O2178" t="s">
        <v>14825</v>
      </c>
    </row>
    <row r="2179" spans="1:15">
      <c r="A2179" t="s">
        <v>18049</v>
      </c>
      <c r="B2179" t="s">
        <v>6742</v>
      </c>
      <c r="C2179" t="s">
        <v>18050</v>
      </c>
      <c r="D2179" t="s">
        <v>18051</v>
      </c>
      <c r="E2179" t="b">
        <v>0</v>
      </c>
      <c r="F2179" t="s">
        <v>11610</v>
      </c>
      <c r="L2179">
        <v>0</v>
      </c>
      <c r="M2179">
        <v>0</v>
      </c>
      <c r="N2179">
        <v>0</v>
      </c>
    </row>
    <row r="2180" spans="1:15">
      <c r="A2180" t="s">
        <v>18052</v>
      </c>
      <c r="B2180" t="s">
        <v>11729</v>
      </c>
      <c r="C2180" t="s">
        <v>18053</v>
      </c>
      <c r="D2180" t="s">
        <v>18054</v>
      </c>
      <c r="E2180" t="b">
        <v>0</v>
      </c>
      <c r="F2180" t="s">
        <v>11624</v>
      </c>
      <c r="G2180">
        <v>12.8324</v>
      </c>
      <c r="H2180">
        <v>16.725899999999999</v>
      </c>
      <c r="I2180" t="s">
        <v>18055</v>
      </c>
      <c r="L2180">
        <v>0</v>
      </c>
      <c r="M2180">
        <v>0</v>
      </c>
      <c r="N2180">
        <v>4</v>
      </c>
      <c r="O2180" t="s">
        <v>13421</v>
      </c>
    </row>
    <row r="2181" spans="1:15">
      <c r="A2181" t="s">
        <v>18056</v>
      </c>
      <c r="B2181" t="s">
        <v>367</v>
      </c>
      <c r="C2181" t="s">
        <v>18057</v>
      </c>
      <c r="D2181" t="s">
        <v>18058</v>
      </c>
      <c r="E2181" t="b">
        <v>0</v>
      </c>
      <c r="F2181" t="s">
        <v>11624</v>
      </c>
      <c r="G2181">
        <v>1.6687000000000001</v>
      </c>
      <c r="H2181">
        <v>117.934</v>
      </c>
      <c r="I2181" t="s">
        <v>18059</v>
      </c>
      <c r="L2181">
        <v>0</v>
      </c>
      <c r="M2181">
        <v>0</v>
      </c>
      <c r="N2181">
        <v>0</v>
      </c>
      <c r="O2181" t="s">
        <v>11768</v>
      </c>
    </row>
    <row r="2182" spans="1:15">
      <c r="A2182" t="s">
        <v>18060</v>
      </c>
      <c r="B2182" t="s">
        <v>367</v>
      </c>
      <c r="C2182" t="s">
        <v>18061</v>
      </c>
      <c r="D2182" t="s">
        <v>18062</v>
      </c>
      <c r="E2182" t="b">
        <v>0</v>
      </c>
      <c r="F2182" t="s">
        <v>11622</v>
      </c>
      <c r="L2182">
        <v>5</v>
      </c>
      <c r="M2182">
        <v>8</v>
      </c>
      <c r="N2182">
        <v>7</v>
      </c>
    </row>
    <row r="2183" spans="1:15">
      <c r="A2183" t="s">
        <v>18063</v>
      </c>
      <c r="B2183" t="s">
        <v>367</v>
      </c>
      <c r="C2183" t="s">
        <v>18060</v>
      </c>
      <c r="D2183" t="s">
        <v>18064</v>
      </c>
      <c r="E2183" t="b">
        <v>0</v>
      </c>
      <c r="F2183" t="s">
        <v>11622</v>
      </c>
      <c r="I2183" t="s">
        <v>18065</v>
      </c>
      <c r="L2183">
        <v>1</v>
      </c>
      <c r="M2183">
        <v>3</v>
      </c>
      <c r="N2183">
        <v>0</v>
      </c>
    </row>
    <row r="2184" spans="1:15">
      <c r="A2184" t="s">
        <v>18066</v>
      </c>
      <c r="B2184" t="s">
        <v>367</v>
      </c>
      <c r="C2184" t="s">
        <v>17227</v>
      </c>
      <c r="D2184" t="s">
        <v>18067</v>
      </c>
      <c r="E2184" t="b">
        <v>0</v>
      </c>
      <c r="F2184" t="s">
        <v>11610</v>
      </c>
      <c r="L2184">
        <v>0</v>
      </c>
      <c r="M2184">
        <v>0</v>
      </c>
      <c r="N2184">
        <v>0</v>
      </c>
    </row>
    <row r="2185" spans="1:15">
      <c r="A2185" t="s">
        <v>18057</v>
      </c>
      <c r="B2185" t="s">
        <v>367</v>
      </c>
      <c r="C2185" t="s">
        <v>16729</v>
      </c>
      <c r="D2185" t="s">
        <v>18068</v>
      </c>
      <c r="E2185" t="b">
        <v>0</v>
      </c>
      <c r="F2185" t="s">
        <v>11622</v>
      </c>
      <c r="L2185">
        <v>0</v>
      </c>
      <c r="M2185">
        <v>2</v>
      </c>
      <c r="N2185">
        <v>3</v>
      </c>
    </row>
    <row r="2186" spans="1:15">
      <c r="A2186" t="s">
        <v>18069</v>
      </c>
      <c r="B2186" t="s">
        <v>11637</v>
      </c>
      <c r="C2186" t="s">
        <v>13719</v>
      </c>
      <c r="D2186" t="s">
        <v>18070</v>
      </c>
      <c r="E2186" t="b">
        <v>0</v>
      </c>
      <c r="F2186" t="s">
        <v>11622</v>
      </c>
      <c r="L2186">
        <v>0</v>
      </c>
      <c r="M2186">
        <v>2</v>
      </c>
      <c r="N2186">
        <v>13</v>
      </c>
    </row>
    <row r="2187" spans="1:15">
      <c r="A2187" t="s">
        <v>18071</v>
      </c>
      <c r="B2187" t="s">
        <v>6742</v>
      </c>
      <c r="C2187" t="s">
        <v>18072</v>
      </c>
      <c r="D2187" t="s">
        <v>18073</v>
      </c>
      <c r="E2187" t="b">
        <v>0</v>
      </c>
      <c r="F2187" t="s">
        <v>11610</v>
      </c>
      <c r="L2187">
        <v>0</v>
      </c>
      <c r="M2187">
        <v>0</v>
      </c>
      <c r="N2187">
        <v>0</v>
      </c>
    </row>
    <row r="2188" spans="1:15">
      <c r="A2188" t="s">
        <v>18074</v>
      </c>
      <c r="B2188" t="s">
        <v>11637</v>
      </c>
      <c r="C2188" t="s">
        <v>18075</v>
      </c>
      <c r="D2188" t="s">
        <v>18076</v>
      </c>
      <c r="E2188" t="b">
        <v>0</v>
      </c>
      <c r="F2188" t="s">
        <v>11624</v>
      </c>
      <c r="G2188">
        <v>5.3829000000000002</v>
      </c>
      <c r="H2188">
        <v>-58.0002</v>
      </c>
      <c r="I2188" t="s">
        <v>18077</v>
      </c>
      <c r="L2188">
        <v>0</v>
      </c>
      <c r="M2188">
        <v>0</v>
      </c>
      <c r="N2188">
        <v>0</v>
      </c>
      <c r="O2188" t="s">
        <v>18078</v>
      </c>
    </row>
    <row r="2189" spans="1:15">
      <c r="A2189" t="s">
        <v>515</v>
      </c>
      <c r="B2189" t="s">
        <v>11607</v>
      </c>
      <c r="C2189" t="s">
        <v>11607</v>
      </c>
      <c r="D2189" t="s">
        <v>18079</v>
      </c>
      <c r="E2189" t="b">
        <v>0</v>
      </c>
      <c r="F2189" t="s">
        <v>11622</v>
      </c>
      <c r="L2189">
        <v>11</v>
      </c>
      <c r="M2189">
        <v>27</v>
      </c>
      <c r="N2189">
        <v>50</v>
      </c>
    </row>
    <row r="2190" spans="1:15">
      <c r="A2190" t="s">
        <v>18080</v>
      </c>
      <c r="B2190" t="s">
        <v>11981</v>
      </c>
      <c r="C2190" t="s">
        <v>18081</v>
      </c>
      <c r="D2190" t="s">
        <v>18082</v>
      </c>
      <c r="E2190" t="b">
        <v>0</v>
      </c>
      <c r="F2190" t="s">
        <v>11624</v>
      </c>
      <c r="G2190">
        <v>15.278461999999999</v>
      </c>
      <c r="H2190">
        <v>-1.7690859999999999</v>
      </c>
      <c r="L2190">
        <v>0</v>
      </c>
      <c r="M2190">
        <v>0</v>
      </c>
      <c r="N2190">
        <v>0</v>
      </c>
    </row>
    <row r="2191" spans="1:15">
      <c r="A2191" t="s">
        <v>18083</v>
      </c>
      <c r="B2191" t="s">
        <v>6742</v>
      </c>
      <c r="C2191" t="s">
        <v>16541</v>
      </c>
      <c r="D2191" t="s">
        <v>18084</v>
      </c>
      <c r="E2191" t="b">
        <v>0</v>
      </c>
      <c r="F2191" t="s">
        <v>11610</v>
      </c>
      <c r="L2191">
        <v>0</v>
      </c>
      <c r="M2191">
        <v>0</v>
      </c>
      <c r="N2191">
        <v>0</v>
      </c>
    </row>
    <row r="2192" spans="1:15">
      <c r="A2192" t="s">
        <v>18085</v>
      </c>
      <c r="B2192" t="s">
        <v>6742</v>
      </c>
      <c r="C2192" t="s">
        <v>18086</v>
      </c>
      <c r="D2192" t="s">
        <v>18087</v>
      </c>
      <c r="E2192" t="b">
        <v>0</v>
      </c>
      <c r="F2192" t="s">
        <v>11610</v>
      </c>
      <c r="L2192">
        <v>0</v>
      </c>
      <c r="M2192">
        <v>0</v>
      </c>
      <c r="N2192">
        <v>0</v>
      </c>
    </row>
    <row r="2193" spans="1:15">
      <c r="A2193" t="s">
        <v>18088</v>
      </c>
      <c r="B2193" t="s">
        <v>367</v>
      </c>
      <c r="C2193" t="s">
        <v>17705</v>
      </c>
      <c r="D2193" t="s">
        <v>18089</v>
      </c>
      <c r="E2193" t="b">
        <v>0</v>
      </c>
      <c r="F2193" t="s">
        <v>11610</v>
      </c>
      <c r="L2193">
        <v>0</v>
      </c>
      <c r="M2193">
        <v>0</v>
      </c>
      <c r="N2193">
        <v>0</v>
      </c>
    </row>
    <row r="2194" spans="1:15">
      <c r="A2194" t="s">
        <v>18090</v>
      </c>
      <c r="B2194" t="s">
        <v>12979</v>
      </c>
      <c r="C2194" t="s">
        <v>12980</v>
      </c>
      <c r="D2194" t="s">
        <v>18091</v>
      </c>
      <c r="E2194" t="b">
        <v>0</v>
      </c>
      <c r="F2194" t="s">
        <v>11610</v>
      </c>
      <c r="L2194">
        <v>0</v>
      </c>
      <c r="M2194">
        <v>0</v>
      </c>
      <c r="N2194">
        <v>0</v>
      </c>
    </row>
    <row r="2195" spans="1:15">
      <c r="A2195" t="s">
        <v>18092</v>
      </c>
      <c r="B2195" t="s">
        <v>12260</v>
      </c>
      <c r="C2195" t="s">
        <v>18093</v>
      </c>
      <c r="D2195" t="s">
        <v>18094</v>
      </c>
      <c r="E2195" t="b">
        <v>0</v>
      </c>
      <c r="F2195" t="s">
        <v>11610</v>
      </c>
      <c r="L2195">
        <v>0</v>
      </c>
      <c r="M2195">
        <v>0</v>
      </c>
      <c r="N2195">
        <v>0</v>
      </c>
    </row>
    <row r="2196" spans="1:15">
      <c r="A2196" t="s">
        <v>18095</v>
      </c>
      <c r="B2196" t="s">
        <v>11637</v>
      </c>
      <c r="C2196" t="s">
        <v>13136</v>
      </c>
      <c r="D2196" t="s">
        <v>18096</v>
      </c>
      <c r="E2196" t="b">
        <v>0</v>
      </c>
      <c r="F2196" t="s">
        <v>11610</v>
      </c>
      <c r="L2196">
        <v>0</v>
      </c>
      <c r="M2196">
        <v>0</v>
      </c>
      <c r="N2196">
        <v>0</v>
      </c>
    </row>
    <row r="2197" spans="1:15">
      <c r="A2197" t="s">
        <v>18097</v>
      </c>
      <c r="B2197" t="s">
        <v>11705</v>
      </c>
      <c r="C2197" t="s">
        <v>15935</v>
      </c>
      <c r="D2197" t="s">
        <v>18098</v>
      </c>
      <c r="E2197" t="b">
        <v>0</v>
      </c>
      <c r="F2197" t="s">
        <v>11624</v>
      </c>
      <c r="G2197">
        <v>-4.4168900000000004</v>
      </c>
      <c r="H2197">
        <v>142.46299999999999</v>
      </c>
      <c r="I2197" t="s">
        <v>18099</v>
      </c>
      <c r="L2197">
        <v>0</v>
      </c>
      <c r="M2197">
        <v>0</v>
      </c>
      <c r="N2197">
        <v>1</v>
      </c>
      <c r="O2197" t="s">
        <v>11660</v>
      </c>
    </row>
    <row r="2198" spans="1:15">
      <c r="A2198" t="s">
        <v>18100</v>
      </c>
      <c r="B2198" t="s">
        <v>16947</v>
      </c>
      <c r="C2198" t="s">
        <v>18101</v>
      </c>
      <c r="D2198" t="s">
        <v>18102</v>
      </c>
      <c r="E2198" t="b">
        <v>0</v>
      </c>
      <c r="F2198" t="s">
        <v>11624</v>
      </c>
      <c r="G2198">
        <v>-2.2690399999999999</v>
      </c>
      <c r="H2198">
        <v>138.86600000000001</v>
      </c>
      <c r="I2198" t="s">
        <v>18103</v>
      </c>
      <c r="L2198">
        <v>0</v>
      </c>
      <c r="M2198">
        <v>0</v>
      </c>
      <c r="N2198">
        <v>0</v>
      </c>
      <c r="O2198" t="s">
        <v>11768</v>
      </c>
    </row>
    <row r="2199" spans="1:15">
      <c r="A2199" t="s">
        <v>18104</v>
      </c>
      <c r="B2199" t="s">
        <v>12686</v>
      </c>
      <c r="C2199" t="s">
        <v>18105</v>
      </c>
      <c r="D2199" t="s">
        <v>18106</v>
      </c>
      <c r="E2199" t="b">
        <v>0</v>
      </c>
      <c r="F2199" t="s">
        <v>11610</v>
      </c>
      <c r="L2199">
        <v>0</v>
      </c>
      <c r="M2199">
        <v>0</v>
      </c>
      <c r="N2199">
        <v>0</v>
      </c>
    </row>
    <row r="2200" spans="1:15">
      <c r="A2200" t="s">
        <v>18107</v>
      </c>
      <c r="B2200" t="s">
        <v>11637</v>
      </c>
      <c r="C2200" t="s">
        <v>18108</v>
      </c>
      <c r="D2200" t="s">
        <v>18109</v>
      </c>
      <c r="E2200" t="b">
        <v>0</v>
      </c>
      <c r="F2200" t="s">
        <v>11610</v>
      </c>
      <c r="L2200">
        <v>0</v>
      </c>
      <c r="M2200">
        <v>0</v>
      </c>
      <c r="N2200">
        <v>0</v>
      </c>
    </row>
    <row r="2201" spans="1:15">
      <c r="A2201" t="s">
        <v>18110</v>
      </c>
      <c r="B2201" t="s">
        <v>11637</v>
      </c>
      <c r="C2201" t="s">
        <v>10209</v>
      </c>
      <c r="D2201" t="s">
        <v>18111</v>
      </c>
      <c r="E2201" t="b">
        <v>0</v>
      </c>
      <c r="F2201" t="s">
        <v>11610</v>
      </c>
      <c r="L2201">
        <v>0</v>
      </c>
      <c r="M2201">
        <v>0</v>
      </c>
      <c r="N2201">
        <v>0</v>
      </c>
    </row>
    <row r="2202" spans="1:15">
      <c r="A2202" t="s">
        <v>18112</v>
      </c>
      <c r="B2202" t="s">
        <v>389</v>
      </c>
      <c r="C2202" t="s">
        <v>18113</v>
      </c>
      <c r="D2202" t="s">
        <v>18114</v>
      </c>
      <c r="E2202" t="b">
        <v>0</v>
      </c>
      <c r="F2202" t="s">
        <v>11610</v>
      </c>
      <c r="L2202">
        <v>0</v>
      </c>
      <c r="M2202">
        <v>0</v>
      </c>
      <c r="N2202">
        <v>0</v>
      </c>
    </row>
    <row r="2203" spans="1:15">
      <c r="A2203" t="s">
        <v>18115</v>
      </c>
      <c r="B2203" t="s">
        <v>11637</v>
      </c>
      <c r="C2203" t="s">
        <v>18116</v>
      </c>
      <c r="D2203" t="s">
        <v>18117</v>
      </c>
      <c r="E2203" t="b">
        <v>0</v>
      </c>
      <c r="F2203" t="s">
        <v>11610</v>
      </c>
      <c r="L2203">
        <v>0</v>
      </c>
      <c r="M2203">
        <v>0</v>
      </c>
      <c r="N2203">
        <v>0</v>
      </c>
    </row>
    <row r="2204" spans="1:15">
      <c r="A2204" t="s">
        <v>18118</v>
      </c>
      <c r="B2204" t="s">
        <v>6742</v>
      </c>
      <c r="C2204" t="s">
        <v>12468</v>
      </c>
      <c r="D2204" t="s">
        <v>18119</v>
      </c>
      <c r="E2204" t="b">
        <v>0</v>
      </c>
      <c r="F2204" t="s">
        <v>11622</v>
      </c>
      <c r="L2204">
        <v>1</v>
      </c>
      <c r="M2204">
        <v>3</v>
      </c>
      <c r="N2204">
        <v>8</v>
      </c>
    </row>
    <row r="2205" spans="1:15">
      <c r="A2205" t="s">
        <v>15674</v>
      </c>
      <c r="B2205" t="s">
        <v>6742</v>
      </c>
      <c r="C2205" t="s">
        <v>18120</v>
      </c>
      <c r="D2205" t="s">
        <v>18121</v>
      </c>
      <c r="E2205" t="b">
        <v>0</v>
      </c>
      <c r="F2205" t="s">
        <v>11624</v>
      </c>
      <c r="G2205">
        <v>9.6703700000000001</v>
      </c>
      <c r="H2205">
        <v>8.8122100000000003</v>
      </c>
      <c r="I2205" t="s">
        <v>18122</v>
      </c>
      <c r="L2205">
        <v>0</v>
      </c>
      <c r="M2205">
        <v>0</v>
      </c>
      <c r="N2205">
        <v>6</v>
      </c>
      <c r="O2205" t="s">
        <v>11693</v>
      </c>
    </row>
    <row r="2206" spans="1:15">
      <c r="A2206" t="s">
        <v>18123</v>
      </c>
      <c r="B2206" t="s">
        <v>11607</v>
      </c>
      <c r="C2206" t="s">
        <v>18124</v>
      </c>
      <c r="D2206" t="s">
        <v>18125</v>
      </c>
      <c r="E2206" t="b">
        <v>0</v>
      </c>
      <c r="F2206" t="s">
        <v>11610</v>
      </c>
      <c r="L2206">
        <v>0</v>
      </c>
      <c r="M2206">
        <v>0</v>
      </c>
      <c r="N2206">
        <v>0</v>
      </c>
    </row>
    <row r="2207" spans="1:15">
      <c r="A2207" t="s">
        <v>18126</v>
      </c>
      <c r="B2207" t="s">
        <v>11637</v>
      </c>
      <c r="C2207" t="s">
        <v>3656</v>
      </c>
      <c r="D2207" t="s">
        <v>18127</v>
      </c>
      <c r="E2207" t="b">
        <v>0</v>
      </c>
      <c r="F2207" t="s">
        <v>11610</v>
      </c>
      <c r="L2207">
        <v>0</v>
      </c>
      <c r="M2207">
        <v>0</v>
      </c>
      <c r="N2207">
        <v>0</v>
      </c>
    </row>
    <row r="2208" spans="1:15">
      <c r="A2208" t="s">
        <v>16115</v>
      </c>
      <c r="D2208" t="s">
        <v>18128</v>
      </c>
      <c r="E2208" t="b">
        <v>0</v>
      </c>
      <c r="F2208" t="s">
        <v>11624</v>
      </c>
      <c r="G2208">
        <v>10.647399999999999</v>
      </c>
      <c r="H2208">
        <v>34.7042</v>
      </c>
      <c r="I2208" t="s">
        <v>18129</v>
      </c>
      <c r="L2208">
        <v>0</v>
      </c>
      <c r="M2208">
        <v>0</v>
      </c>
      <c r="N2208">
        <v>7</v>
      </c>
      <c r="O2208" t="s">
        <v>14035</v>
      </c>
    </row>
    <row r="2209" spans="1:15">
      <c r="A2209" t="s">
        <v>18130</v>
      </c>
      <c r="B2209" t="s">
        <v>13967</v>
      </c>
      <c r="C2209" t="s">
        <v>18131</v>
      </c>
      <c r="D2209" t="s">
        <v>18132</v>
      </c>
      <c r="E2209" t="b">
        <v>0</v>
      </c>
      <c r="F2209" t="s">
        <v>11624</v>
      </c>
      <c r="G2209">
        <v>14.67</v>
      </c>
      <c r="H2209">
        <v>25.83</v>
      </c>
      <c r="I2209" t="s">
        <v>18133</v>
      </c>
      <c r="L2209">
        <v>0</v>
      </c>
      <c r="M2209">
        <v>0</v>
      </c>
      <c r="N2209">
        <v>0</v>
      </c>
      <c r="O2209" t="s">
        <v>11910</v>
      </c>
    </row>
    <row r="2210" spans="1:15">
      <c r="A2210" t="s">
        <v>18134</v>
      </c>
      <c r="B2210" t="s">
        <v>6742</v>
      </c>
      <c r="C2210" t="s">
        <v>16450</v>
      </c>
      <c r="D2210" t="s">
        <v>18135</v>
      </c>
      <c r="E2210" t="b">
        <v>0</v>
      </c>
      <c r="F2210" t="s">
        <v>11610</v>
      </c>
      <c r="L2210">
        <v>0</v>
      </c>
      <c r="M2210">
        <v>0</v>
      </c>
      <c r="N2210">
        <v>0</v>
      </c>
    </row>
    <row r="2211" spans="1:15">
      <c r="A2211" t="s">
        <v>18136</v>
      </c>
      <c r="B2211" t="s">
        <v>6742</v>
      </c>
      <c r="C2211" t="s">
        <v>18050</v>
      </c>
      <c r="D2211" t="s">
        <v>18137</v>
      </c>
      <c r="E2211" t="b">
        <v>0</v>
      </c>
      <c r="F2211" t="s">
        <v>11610</v>
      </c>
      <c r="L2211">
        <v>0</v>
      </c>
      <c r="M2211">
        <v>0</v>
      </c>
      <c r="N2211">
        <v>0</v>
      </c>
    </row>
    <row r="2212" spans="1:15">
      <c r="A2212" t="s">
        <v>18138</v>
      </c>
      <c r="B2212" t="s">
        <v>6742</v>
      </c>
      <c r="C2212" t="s">
        <v>18139</v>
      </c>
      <c r="D2212" t="s">
        <v>18140</v>
      </c>
      <c r="E2212" t="b">
        <v>0</v>
      </c>
      <c r="F2212" t="s">
        <v>11610</v>
      </c>
      <c r="L2212">
        <v>0</v>
      </c>
      <c r="M2212">
        <v>0</v>
      </c>
      <c r="N2212">
        <v>0</v>
      </c>
    </row>
    <row r="2213" spans="1:15">
      <c r="A2213" t="s">
        <v>18141</v>
      </c>
      <c r="B2213" t="s">
        <v>12260</v>
      </c>
      <c r="C2213" t="s">
        <v>1462</v>
      </c>
      <c r="D2213" t="s">
        <v>18142</v>
      </c>
      <c r="E2213" t="b">
        <v>0</v>
      </c>
      <c r="F2213" t="s">
        <v>11610</v>
      </c>
      <c r="L2213">
        <v>0</v>
      </c>
      <c r="M2213">
        <v>0</v>
      </c>
      <c r="N2213">
        <v>0</v>
      </c>
    </row>
    <row r="2214" spans="1:15">
      <c r="A2214" t="s">
        <v>17744</v>
      </c>
      <c r="B2214" t="s">
        <v>5126</v>
      </c>
      <c r="C2214" t="s">
        <v>18143</v>
      </c>
      <c r="D2214" t="s">
        <v>18144</v>
      </c>
      <c r="E2214" t="b">
        <v>0</v>
      </c>
      <c r="F2214" t="s">
        <v>11622</v>
      </c>
      <c r="L2214">
        <v>1</v>
      </c>
      <c r="M2214">
        <v>3</v>
      </c>
      <c r="N2214">
        <v>4</v>
      </c>
    </row>
    <row r="2215" spans="1:15">
      <c r="A2215" t="s">
        <v>18145</v>
      </c>
      <c r="B2215" t="s">
        <v>12438</v>
      </c>
      <c r="C2215" t="s">
        <v>18146</v>
      </c>
      <c r="D2215" t="s">
        <v>18147</v>
      </c>
      <c r="E2215" t="b">
        <v>0</v>
      </c>
      <c r="F2215" t="s">
        <v>11624</v>
      </c>
      <c r="G2215">
        <v>2.7170000000000001</v>
      </c>
      <c r="H2215">
        <v>101.676</v>
      </c>
      <c r="I2215" t="s">
        <v>18148</v>
      </c>
      <c r="L2215">
        <v>0</v>
      </c>
      <c r="M2215">
        <v>0</v>
      </c>
      <c r="N2215">
        <v>6</v>
      </c>
      <c r="O2215" t="s">
        <v>11672</v>
      </c>
    </row>
    <row r="2216" spans="1:15">
      <c r="A2216" t="s">
        <v>18149</v>
      </c>
      <c r="B2216" t="s">
        <v>11607</v>
      </c>
      <c r="C2216" t="s">
        <v>18150</v>
      </c>
      <c r="D2216" t="s">
        <v>18151</v>
      </c>
      <c r="E2216" t="b">
        <v>0</v>
      </c>
      <c r="F2216" t="s">
        <v>11610</v>
      </c>
      <c r="L2216">
        <v>0</v>
      </c>
      <c r="M2216">
        <v>0</v>
      </c>
      <c r="N2216">
        <v>0</v>
      </c>
    </row>
    <row r="2217" spans="1:15">
      <c r="A2217" t="s">
        <v>18152</v>
      </c>
      <c r="B2217" t="s">
        <v>6742</v>
      </c>
      <c r="C2217" t="s">
        <v>18153</v>
      </c>
      <c r="D2217" t="s">
        <v>18154</v>
      </c>
      <c r="E2217" t="b">
        <v>0</v>
      </c>
      <c r="F2217" t="s">
        <v>11624</v>
      </c>
      <c r="G2217">
        <v>9.5922599999999996</v>
      </c>
      <c r="H2217">
        <v>16.093800000000002</v>
      </c>
      <c r="I2217" t="s">
        <v>18155</v>
      </c>
      <c r="L2217">
        <v>0</v>
      </c>
      <c r="M2217">
        <v>0</v>
      </c>
      <c r="N2217">
        <v>0</v>
      </c>
      <c r="O2217" t="s">
        <v>13421</v>
      </c>
    </row>
    <row r="2218" spans="1:15">
      <c r="A2218" t="s">
        <v>18156</v>
      </c>
      <c r="B2218" t="s">
        <v>367</v>
      </c>
      <c r="C2218" t="s">
        <v>15693</v>
      </c>
      <c r="D2218" t="s">
        <v>18157</v>
      </c>
      <c r="E2218" t="b">
        <v>0</v>
      </c>
      <c r="F2218" t="s">
        <v>11624</v>
      </c>
      <c r="G2218">
        <v>-1.6009500000000001</v>
      </c>
      <c r="H2218">
        <v>120.379</v>
      </c>
      <c r="I2218" t="s">
        <v>18158</v>
      </c>
      <c r="L2218">
        <v>0</v>
      </c>
      <c r="M2218">
        <v>0</v>
      </c>
      <c r="N2218">
        <v>0</v>
      </c>
      <c r="O2218" t="s">
        <v>11768</v>
      </c>
    </row>
    <row r="2219" spans="1:15">
      <c r="A2219" t="s">
        <v>18159</v>
      </c>
      <c r="B2219" t="s">
        <v>11637</v>
      </c>
      <c r="C2219" t="s">
        <v>18160</v>
      </c>
      <c r="D2219" t="s">
        <v>18161</v>
      </c>
      <c r="E2219" t="b">
        <v>0</v>
      </c>
      <c r="F2219" t="s">
        <v>11610</v>
      </c>
      <c r="L2219">
        <v>0</v>
      </c>
      <c r="M2219">
        <v>0</v>
      </c>
      <c r="N2219">
        <v>0</v>
      </c>
    </row>
    <row r="2220" spans="1:15">
      <c r="A2220" t="s">
        <v>18162</v>
      </c>
      <c r="B2220" t="s">
        <v>12438</v>
      </c>
      <c r="C2220" t="s">
        <v>18163</v>
      </c>
      <c r="D2220" t="s">
        <v>18164</v>
      </c>
      <c r="E2220" t="b">
        <v>0</v>
      </c>
      <c r="F2220" t="s">
        <v>11610</v>
      </c>
      <c r="L2220">
        <v>0</v>
      </c>
      <c r="M2220">
        <v>0</v>
      </c>
      <c r="N2220">
        <v>0</v>
      </c>
    </row>
    <row r="2221" spans="1:15">
      <c r="A2221" t="s">
        <v>18165</v>
      </c>
      <c r="B2221" t="s">
        <v>367</v>
      </c>
      <c r="C2221" t="s">
        <v>18166</v>
      </c>
      <c r="D2221" t="s">
        <v>18167</v>
      </c>
      <c r="E2221" t="b">
        <v>0</v>
      </c>
      <c r="F2221" t="s">
        <v>11624</v>
      </c>
      <c r="G2221">
        <v>-6.2117399999999998</v>
      </c>
      <c r="H2221">
        <v>107.02200000000001</v>
      </c>
      <c r="I2221" t="s">
        <v>18168</v>
      </c>
      <c r="L2221">
        <v>0</v>
      </c>
      <c r="M2221">
        <v>0</v>
      </c>
      <c r="N2221">
        <v>0</v>
      </c>
      <c r="O2221" t="s">
        <v>11768</v>
      </c>
    </row>
    <row r="2222" spans="1:15">
      <c r="A2222" t="s">
        <v>18169</v>
      </c>
      <c r="B2222" t="s">
        <v>16947</v>
      </c>
      <c r="C2222" t="s">
        <v>18170</v>
      </c>
      <c r="D2222" t="s">
        <v>18171</v>
      </c>
      <c r="E2222" t="b">
        <v>0</v>
      </c>
      <c r="F2222" t="s">
        <v>11624</v>
      </c>
      <c r="G2222">
        <v>-2.1242200000000002</v>
      </c>
      <c r="H2222">
        <v>139.255</v>
      </c>
      <c r="I2222" t="s">
        <v>18172</v>
      </c>
      <c r="L2222">
        <v>0</v>
      </c>
      <c r="M2222">
        <v>0</v>
      </c>
      <c r="N2222">
        <v>0</v>
      </c>
      <c r="O2222" t="s">
        <v>11768</v>
      </c>
    </row>
    <row r="2223" spans="1:15">
      <c r="A2223" t="s">
        <v>18173</v>
      </c>
      <c r="B2223" t="s">
        <v>11607</v>
      </c>
      <c r="C2223" t="s">
        <v>13237</v>
      </c>
      <c r="D2223" t="s">
        <v>18174</v>
      </c>
      <c r="E2223" t="b">
        <v>0</v>
      </c>
      <c r="F2223" t="s">
        <v>11610</v>
      </c>
      <c r="L2223">
        <v>0</v>
      </c>
      <c r="M2223">
        <v>0</v>
      </c>
      <c r="N2223">
        <v>0</v>
      </c>
    </row>
    <row r="2224" spans="1:15">
      <c r="A2224" t="s">
        <v>18170</v>
      </c>
      <c r="B2224" t="s">
        <v>16947</v>
      </c>
      <c r="C2224" t="s">
        <v>18175</v>
      </c>
      <c r="D2224" t="s">
        <v>18176</v>
      </c>
      <c r="E2224" t="b">
        <v>0</v>
      </c>
      <c r="F2224" t="s">
        <v>11622</v>
      </c>
      <c r="L2224">
        <v>0</v>
      </c>
      <c r="M2224">
        <v>2</v>
      </c>
      <c r="N2224">
        <v>0</v>
      </c>
    </row>
    <row r="2225" spans="1:15">
      <c r="A2225" t="s">
        <v>18166</v>
      </c>
      <c r="B2225" t="s">
        <v>367</v>
      </c>
      <c r="C2225" t="s">
        <v>18177</v>
      </c>
      <c r="D2225" t="s">
        <v>18178</v>
      </c>
      <c r="E2225" t="b">
        <v>0</v>
      </c>
      <c r="F2225" t="s">
        <v>11622</v>
      </c>
      <c r="L2225">
        <v>0</v>
      </c>
      <c r="M2225">
        <v>3</v>
      </c>
      <c r="N2225">
        <v>0</v>
      </c>
    </row>
    <row r="2226" spans="1:15">
      <c r="A2226" t="s">
        <v>18179</v>
      </c>
      <c r="B2226" t="s">
        <v>6742</v>
      </c>
      <c r="C2226" t="s">
        <v>18180</v>
      </c>
      <c r="D2226" t="s">
        <v>18181</v>
      </c>
      <c r="E2226" t="b">
        <v>0</v>
      </c>
      <c r="F2226" t="s">
        <v>11624</v>
      </c>
      <c r="G2226">
        <v>7.02128</v>
      </c>
      <c r="H2226">
        <v>9.7430199999999996</v>
      </c>
      <c r="I2226" t="s">
        <v>18182</v>
      </c>
      <c r="L2226">
        <v>0</v>
      </c>
      <c r="M2226">
        <v>0</v>
      </c>
      <c r="N2226">
        <v>0</v>
      </c>
      <c r="O2226" t="s">
        <v>11693</v>
      </c>
    </row>
    <row r="2227" spans="1:15">
      <c r="A2227" t="s">
        <v>17932</v>
      </c>
      <c r="B2227" t="s">
        <v>6742</v>
      </c>
      <c r="C2227" t="s">
        <v>12997</v>
      </c>
      <c r="D2227" t="s">
        <v>18183</v>
      </c>
      <c r="E2227" t="b">
        <v>0</v>
      </c>
      <c r="F2227" t="s">
        <v>11624</v>
      </c>
      <c r="G2227">
        <v>6.6203700000000003</v>
      </c>
      <c r="H2227">
        <v>9.2018900000000006</v>
      </c>
      <c r="I2227" t="s">
        <v>18184</v>
      </c>
      <c r="L2227">
        <v>0</v>
      </c>
      <c r="M2227">
        <v>0</v>
      </c>
      <c r="N2227">
        <v>2</v>
      </c>
      <c r="O2227" t="s">
        <v>11693</v>
      </c>
    </row>
    <row r="2228" spans="1:15">
      <c r="A2228" t="s">
        <v>18185</v>
      </c>
      <c r="B2228" t="s">
        <v>6742</v>
      </c>
      <c r="C2228" t="s">
        <v>17932</v>
      </c>
      <c r="D2228" t="s">
        <v>18186</v>
      </c>
      <c r="E2228" t="b">
        <v>0</v>
      </c>
      <c r="F2228" t="s">
        <v>11610</v>
      </c>
      <c r="L2228">
        <v>0</v>
      </c>
      <c r="M2228">
        <v>0</v>
      </c>
      <c r="N2228">
        <v>0</v>
      </c>
    </row>
    <row r="2229" spans="1:15">
      <c r="A2229" t="s">
        <v>18187</v>
      </c>
      <c r="B2229" t="s">
        <v>6742</v>
      </c>
      <c r="C2229" t="s">
        <v>16130</v>
      </c>
      <c r="D2229" t="s">
        <v>18188</v>
      </c>
      <c r="E2229" t="b">
        <v>0</v>
      </c>
      <c r="F2229" t="s">
        <v>11610</v>
      </c>
      <c r="L2229">
        <v>0</v>
      </c>
      <c r="M2229">
        <v>0</v>
      </c>
      <c r="N2229">
        <v>0</v>
      </c>
    </row>
    <row r="2230" spans="1:15">
      <c r="A2230" t="s">
        <v>18189</v>
      </c>
      <c r="B2230" t="s">
        <v>6742</v>
      </c>
      <c r="C2230" t="s">
        <v>16184</v>
      </c>
      <c r="D2230" t="s">
        <v>18190</v>
      </c>
      <c r="E2230" t="b">
        <v>0</v>
      </c>
      <c r="F2230" t="s">
        <v>11622</v>
      </c>
      <c r="L2230">
        <v>2</v>
      </c>
      <c r="M2230">
        <v>5</v>
      </c>
      <c r="N2230">
        <v>17</v>
      </c>
    </row>
    <row r="2231" spans="1:15">
      <c r="A2231" t="s">
        <v>18180</v>
      </c>
      <c r="B2231" t="s">
        <v>6742</v>
      </c>
      <c r="C2231" t="s">
        <v>12843</v>
      </c>
      <c r="D2231" t="s">
        <v>18191</v>
      </c>
      <c r="E2231" t="b">
        <v>0</v>
      </c>
      <c r="F2231" t="s">
        <v>11622</v>
      </c>
      <c r="L2231">
        <v>0</v>
      </c>
      <c r="M2231">
        <v>2</v>
      </c>
      <c r="N2231">
        <v>0</v>
      </c>
    </row>
    <row r="2232" spans="1:15">
      <c r="A2232" t="s">
        <v>18192</v>
      </c>
      <c r="B2232" t="s">
        <v>11607</v>
      </c>
      <c r="C2232" t="s">
        <v>18193</v>
      </c>
      <c r="D2232" t="s">
        <v>18194</v>
      </c>
      <c r="E2232" t="b">
        <v>0</v>
      </c>
      <c r="F2232" t="s">
        <v>11610</v>
      </c>
      <c r="L2232">
        <v>0</v>
      </c>
      <c r="M2232">
        <v>0</v>
      </c>
      <c r="N2232">
        <v>0</v>
      </c>
    </row>
    <row r="2233" spans="1:15">
      <c r="A2233" t="s">
        <v>18195</v>
      </c>
      <c r="B2233" t="s">
        <v>12438</v>
      </c>
      <c r="C2233" t="s">
        <v>18145</v>
      </c>
      <c r="D2233" t="s">
        <v>18196</v>
      </c>
      <c r="E2233" t="b">
        <v>0</v>
      </c>
      <c r="F2233" t="s">
        <v>11610</v>
      </c>
      <c r="L2233">
        <v>0</v>
      </c>
      <c r="M2233">
        <v>0</v>
      </c>
      <c r="N2233">
        <v>0</v>
      </c>
    </row>
    <row r="2234" spans="1:15">
      <c r="A2234" t="s">
        <v>18197</v>
      </c>
      <c r="B2234" t="s">
        <v>6742</v>
      </c>
      <c r="C2234" t="s">
        <v>11860</v>
      </c>
      <c r="D2234" t="s">
        <v>18198</v>
      </c>
      <c r="E2234" t="b">
        <v>0</v>
      </c>
      <c r="F2234" t="s">
        <v>11624</v>
      </c>
      <c r="G2234">
        <v>5.2649499999999998</v>
      </c>
      <c r="H2234">
        <v>-3.28627</v>
      </c>
      <c r="I2234" t="s">
        <v>18199</v>
      </c>
      <c r="L2234">
        <v>0</v>
      </c>
      <c r="M2234">
        <v>0</v>
      </c>
      <c r="N2234">
        <v>0</v>
      </c>
      <c r="O2234" t="s">
        <v>11735</v>
      </c>
    </row>
    <row r="2235" spans="1:15">
      <c r="A2235" t="s">
        <v>18200</v>
      </c>
      <c r="B2235" t="s">
        <v>6742</v>
      </c>
      <c r="C2235" t="s">
        <v>15734</v>
      </c>
      <c r="D2235" t="s">
        <v>18201</v>
      </c>
      <c r="E2235" t="b">
        <v>0</v>
      </c>
      <c r="F2235" t="s">
        <v>11610</v>
      </c>
      <c r="L2235">
        <v>0</v>
      </c>
      <c r="M2235">
        <v>0</v>
      </c>
      <c r="N2235">
        <v>0</v>
      </c>
    </row>
    <row r="2236" spans="1:15">
      <c r="A2236" t="s">
        <v>18202</v>
      </c>
      <c r="B2236" t="s">
        <v>11627</v>
      </c>
      <c r="C2236" t="s">
        <v>11627</v>
      </c>
      <c r="D2236" t="s">
        <v>18203</v>
      </c>
      <c r="E2236" t="b">
        <v>1</v>
      </c>
      <c r="F2236" t="s">
        <v>11624</v>
      </c>
      <c r="G2236">
        <v>3.2226499999999998</v>
      </c>
      <c r="H2236">
        <v>11.6896</v>
      </c>
      <c r="I2236" t="s">
        <v>18204</v>
      </c>
      <c r="L2236">
        <v>0</v>
      </c>
      <c r="M2236">
        <v>0</v>
      </c>
      <c r="N2236">
        <v>0</v>
      </c>
      <c r="O2236" t="s">
        <v>11703</v>
      </c>
    </row>
    <row r="2237" spans="1:15">
      <c r="A2237" t="s">
        <v>15505</v>
      </c>
      <c r="D2237" t="s">
        <v>18205</v>
      </c>
      <c r="E2237" t="b">
        <v>0</v>
      </c>
      <c r="F2237" t="s">
        <v>11624</v>
      </c>
      <c r="G2237">
        <v>7.2239060000000004</v>
      </c>
      <c r="H2237">
        <v>-71.420237999999998</v>
      </c>
      <c r="L2237">
        <v>0</v>
      </c>
      <c r="M2237">
        <v>0</v>
      </c>
      <c r="N2237">
        <v>9</v>
      </c>
      <c r="O2237" t="s">
        <v>16711</v>
      </c>
    </row>
    <row r="2238" spans="1:15">
      <c r="A2238" t="s">
        <v>18206</v>
      </c>
      <c r="B2238" t="s">
        <v>15505</v>
      </c>
      <c r="C2238" t="s">
        <v>18207</v>
      </c>
      <c r="D2238" t="s">
        <v>18208</v>
      </c>
      <c r="E2238" t="b">
        <v>0</v>
      </c>
      <c r="F2238" t="s">
        <v>11610</v>
      </c>
      <c r="L2238">
        <v>0</v>
      </c>
      <c r="M2238">
        <v>0</v>
      </c>
      <c r="N2238">
        <v>0</v>
      </c>
    </row>
    <row r="2239" spans="1:15">
      <c r="A2239" t="s">
        <v>2153</v>
      </c>
      <c r="B2239" t="s">
        <v>367</v>
      </c>
      <c r="C2239" t="s">
        <v>18209</v>
      </c>
      <c r="D2239" t="s">
        <v>2152</v>
      </c>
      <c r="E2239" t="b">
        <v>0</v>
      </c>
      <c r="F2239" t="s">
        <v>11610</v>
      </c>
      <c r="L2239">
        <v>0</v>
      </c>
      <c r="M2239">
        <v>0</v>
      </c>
      <c r="N2239">
        <v>0</v>
      </c>
    </row>
    <row r="2240" spans="1:15">
      <c r="A2240" t="s">
        <v>18210</v>
      </c>
      <c r="B2240" t="s">
        <v>11844</v>
      </c>
      <c r="C2240" t="s">
        <v>13179</v>
      </c>
      <c r="D2240" t="s">
        <v>18211</v>
      </c>
      <c r="E2240" t="b">
        <v>0</v>
      </c>
      <c r="F2240" t="s">
        <v>11624</v>
      </c>
      <c r="G2240">
        <v>11.638500000000001</v>
      </c>
      <c r="H2240">
        <v>76.606399999999994</v>
      </c>
      <c r="I2240" t="s">
        <v>18212</v>
      </c>
      <c r="L2240">
        <v>0</v>
      </c>
      <c r="M2240">
        <v>0</v>
      </c>
      <c r="N2240">
        <v>0</v>
      </c>
      <c r="O2240" t="s">
        <v>11630</v>
      </c>
    </row>
    <row r="2241" spans="1:15">
      <c r="A2241" t="s">
        <v>18213</v>
      </c>
      <c r="B2241" t="s">
        <v>11844</v>
      </c>
      <c r="C2241" t="s">
        <v>13540</v>
      </c>
      <c r="D2241" t="s">
        <v>18214</v>
      </c>
      <c r="E2241" t="b">
        <v>0</v>
      </c>
      <c r="F2241" t="s">
        <v>11610</v>
      </c>
      <c r="L2241">
        <v>0</v>
      </c>
      <c r="M2241">
        <v>0</v>
      </c>
      <c r="N2241">
        <v>0</v>
      </c>
    </row>
    <row r="2242" spans="1:15">
      <c r="A2242" t="s">
        <v>18215</v>
      </c>
      <c r="B2242" t="s">
        <v>6742</v>
      </c>
      <c r="C2242" t="s">
        <v>18216</v>
      </c>
      <c r="D2242" t="s">
        <v>18217</v>
      </c>
      <c r="E2242" t="b">
        <v>0</v>
      </c>
      <c r="F2242" t="s">
        <v>11610</v>
      </c>
      <c r="L2242">
        <v>0</v>
      </c>
      <c r="M2242">
        <v>0</v>
      </c>
      <c r="N2242">
        <v>0</v>
      </c>
    </row>
    <row r="2243" spans="1:15">
      <c r="A2243" t="s">
        <v>18218</v>
      </c>
      <c r="B2243" t="s">
        <v>11637</v>
      </c>
      <c r="C2243" t="s">
        <v>15431</v>
      </c>
      <c r="D2243" t="s">
        <v>18219</v>
      </c>
      <c r="E2243" t="b">
        <v>0</v>
      </c>
      <c r="F2243" t="s">
        <v>11610</v>
      </c>
      <c r="L2243">
        <v>0</v>
      </c>
      <c r="M2243">
        <v>0</v>
      </c>
      <c r="N2243">
        <v>0</v>
      </c>
    </row>
    <row r="2244" spans="1:15">
      <c r="A2244" t="s">
        <v>18220</v>
      </c>
      <c r="B2244" t="s">
        <v>12532</v>
      </c>
      <c r="C2244" t="s">
        <v>12532</v>
      </c>
      <c r="D2244" t="s">
        <v>18221</v>
      </c>
      <c r="E2244" t="b">
        <v>0</v>
      </c>
      <c r="F2244" t="s">
        <v>11622</v>
      </c>
      <c r="L2244">
        <v>1</v>
      </c>
      <c r="M2244">
        <v>4</v>
      </c>
      <c r="N2244">
        <v>4</v>
      </c>
    </row>
    <row r="2245" spans="1:15">
      <c r="A2245" t="s">
        <v>18222</v>
      </c>
      <c r="B2245" t="s">
        <v>6742</v>
      </c>
      <c r="C2245" t="s">
        <v>18223</v>
      </c>
      <c r="D2245" t="s">
        <v>18224</v>
      </c>
      <c r="E2245" t="b">
        <v>0</v>
      </c>
      <c r="F2245" t="s">
        <v>11610</v>
      </c>
      <c r="L2245">
        <v>0</v>
      </c>
      <c r="M2245">
        <v>0</v>
      </c>
      <c r="N2245">
        <v>0</v>
      </c>
    </row>
    <row r="2246" spans="1:15">
      <c r="A2246" t="s">
        <v>18225</v>
      </c>
      <c r="B2246" t="s">
        <v>11637</v>
      </c>
      <c r="C2246" t="s">
        <v>14026</v>
      </c>
      <c r="D2246" t="s">
        <v>18226</v>
      </c>
      <c r="E2246" t="b">
        <v>0</v>
      </c>
      <c r="F2246" t="s">
        <v>11610</v>
      </c>
      <c r="L2246">
        <v>0</v>
      </c>
      <c r="M2246">
        <v>0</v>
      </c>
      <c r="N2246">
        <v>0</v>
      </c>
    </row>
    <row r="2247" spans="1:15">
      <c r="A2247" t="s">
        <v>18227</v>
      </c>
      <c r="B2247" t="s">
        <v>367</v>
      </c>
      <c r="C2247" t="s">
        <v>18209</v>
      </c>
      <c r="D2247" t="s">
        <v>18228</v>
      </c>
      <c r="E2247" t="b">
        <v>0</v>
      </c>
      <c r="F2247" t="s">
        <v>11610</v>
      </c>
      <c r="L2247">
        <v>0</v>
      </c>
      <c r="M2247">
        <v>0</v>
      </c>
      <c r="N2247">
        <v>0</v>
      </c>
    </row>
    <row r="2248" spans="1:15">
      <c r="A2248" t="s">
        <v>18229</v>
      </c>
      <c r="B2248" t="s">
        <v>11653</v>
      </c>
      <c r="C2248" t="s">
        <v>11654</v>
      </c>
      <c r="D2248" t="s">
        <v>18230</v>
      </c>
      <c r="E2248" t="b">
        <v>0</v>
      </c>
      <c r="F2248" t="s">
        <v>11610</v>
      </c>
      <c r="L2248">
        <v>0</v>
      </c>
      <c r="M2248">
        <v>0</v>
      </c>
      <c r="N2248">
        <v>0</v>
      </c>
    </row>
    <row r="2249" spans="1:15">
      <c r="A2249" t="s">
        <v>18231</v>
      </c>
      <c r="B2249" t="s">
        <v>12311</v>
      </c>
      <c r="C2249" t="s">
        <v>18232</v>
      </c>
      <c r="D2249" t="s">
        <v>18233</v>
      </c>
      <c r="E2249" t="b">
        <v>0</v>
      </c>
      <c r="F2249" t="s">
        <v>11624</v>
      </c>
      <c r="G2249">
        <v>42.120600000000003</v>
      </c>
      <c r="H2249">
        <v>46.033200000000001</v>
      </c>
      <c r="I2249" t="s">
        <v>18234</v>
      </c>
      <c r="L2249">
        <v>0</v>
      </c>
      <c r="M2249">
        <v>0</v>
      </c>
      <c r="N2249">
        <v>3</v>
      </c>
      <c r="O2249" t="s">
        <v>18235</v>
      </c>
    </row>
    <row r="2250" spans="1:15">
      <c r="A2250" t="s">
        <v>18236</v>
      </c>
      <c r="B2250" t="s">
        <v>11653</v>
      </c>
      <c r="C2250" t="s">
        <v>11714</v>
      </c>
      <c r="D2250" t="s">
        <v>18237</v>
      </c>
      <c r="E2250" t="b">
        <v>0</v>
      </c>
      <c r="F2250" t="s">
        <v>11610</v>
      </c>
      <c r="L2250">
        <v>0</v>
      </c>
      <c r="M2250">
        <v>0</v>
      </c>
      <c r="N2250">
        <v>0</v>
      </c>
    </row>
    <row r="2251" spans="1:15">
      <c r="A2251" t="s">
        <v>18238</v>
      </c>
      <c r="B2251" t="s">
        <v>6742</v>
      </c>
      <c r="C2251" t="s">
        <v>1906</v>
      </c>
      <c r="D2251" t="s">
        <v>18239</v>
      </c>
      <c r="E2251" t="b">
        <v>0</v>
      </c>
      <c r="F2251" t="s">
        <v>11610</v>
      </c>
      <c r="L2251">
        <v>0</v>
      </c>
      <c r="M2251">
        <v>0</v>
      </c>
      <c r="N2251">
        <v>0</v>
      </c>
    </row>
    <row r="2252" spans="1:15">
      <c r="A2252" t="s">
        <v>18240</v>
      </c>
      <c r="B2252" t="s">
        <v>11637</v>
      </c>
      <c r="C2252" t="s">
        <v>18241</v>
      </c>
      <c r="D2252" t="s">
        <v>18242</v>
      </c>
      <c r="E2252" t="b">
        <v>0</v>
      </c>
      <c r="F2252" t="s">
        <v>11624</v>
      </c>
      <c r="G2252">
        <v>33.2851</v>
      </c>
      <c r="H2252">
        <v>75.870699999999999</v>
      </c>
      <c r="I2252" t="s">
        <v>18243</v>
      </c>
      <c r="L2252">
        <v>0</v>
      </c>
      <c r="M2252">
        <v>0</v>
      </c>
      <c r="N2252">
        <v>3</v>
      </c>
      <c r="O2252" t="s">
        <v>11630</v>
      </c>
    </row>
    <row r="2253" spans="1:15">
      <c r="A2253" t="s">
        <v>18244</v>
      </c>
      <c r="B2253" t="s">
        <v>11637</v>
      </c>
      <c r="C2253" t="s">
        <v>13063</v>
      </c>
      <c r="D2253" t="s">
        <v>18245</v>
      </c>
      <c r="E2253" t="b">
        <v>0</v>
      </c>
      <c r="F2253" t="s">
        <v>11610</v>
      </c>
      <c r="L2253">
        <v>0</v>
      </c>
      <c r="M2253">
        <v>0</v>
      </c>
      <c r="N2253">
        <v>0</v>
      </c>
    </row>
    <row r="2254" spans="1:15">
      <c r="A2254" t="s">
        <v>18241</v>
      </c>
      <c r="B2254" t="s">
        <v>11637</v>
      </c>
      <c r="C2254" t="s">
        <v>18246</v>
      </c>
      <c r="D2254" t="s">
        <v>18247</v>
      </c>
      <c r="E2254" t="b">
        <v>0</v>
      </c>
      <c r="F2254" t="s">
        <v>11622</v>
      </c>
      <c r="L2254">
        <v>0</v>
      </c>
      <c r="M2254">
        <v>2</v>
      </c>
      <c r="N2254">
        <v>3</v>
      </c>
    </row>
    <row r="2255" spans="1:15">
      <c r="A2255" t="s">
        <v>18248</v>
      </c>
      <c r="B2255" t="s">
        <v>11729</v>
      </c>
      <c r="C2255" t="s">
        <v>17076</v>
      </c>
      <c r="D2255" t="s">
        <v>18249</v>
      </c>
      <c r="E2255" t="b">
        <v>0</v>
      </c>
      <c r="F2255" t="s">
        <v>11610</v>
      </c>
      <c r="L2255">
        <v>0</v>
      </c>
      <c r="M2255">
        <v>0</v>
      </c>
      <c r="N2255">
        <v>0</v>
      </c>
    </row>
    <row r="2256" spans="1:15">
      <c r="A2256" t="s">
        <v>18250</v>
      </c>
      <c r="B2256" t="s">
        <v>11637</v>
      </c>
      <c r="C2256" t="s">
        <v>18240</v>
      </c>
      <c r="D2256" t="s">
        <v>18251</v>
      </c>
      <c r="E2256" t="b">
        <v>0</v>
      </c>
      <c r="F2256" t="s">
        <v>11610</v>
      </c>
      <c r="L2256">
        <v>0</v>
      </c>
      <c r="M2256">
        <v>0</v>
      </c>
      <c r="N2256">
        <v>0</v>
      </c>
    </row>
    <row r="2257" spans="1:15">
      <c r="A2257" t="s">
        <v>18252</v>
      </c>
      <c r="B2257" t="s">
        <v>11627</v>
      </c>
      <c r="C2257" t="s">
        <v>11627</v>
      </c>
      <c r="D2257" t="s">
        <v>18253</v>
      </c>
      <c r="E2257" t="b">
        <v>1</v>
      </c>
      <c r="F2257" t="s">
        <v>11624</v>
      </c>
      <c r="G2257">
        <v>21.266500000000001</v>
      </c>
      <c r="H2257">
        <v>77.826800000000006</v>
      </c>
      <c r="I2257" t="s">
        <v>18254</v>
      </c>
      <c r="L2257">
        <v>0</v>
      </c>
      <c r="M2257">
        <v>0</v>
      </c>
      <c r="N2257">
        <v>0</v>
      </c>
      <c r="O2257" t="s">
        <v>11630</v>
      </c>
    </row>
    <row r="2258" spans="1:15">
      <c r="A2258" t="s">
        <v>18255</v>
      </c>
      <c r="B2258" t="s">
        <v>11644</v>
      </c>
      <c r="C2258" t="s">
        <v>18256</v>
      </c>
      <c r="D2258" t="s">
        <v>18257</v>
      </c>
      <c r="E2258" t="b">
        <v>0</v>
      </c>
      <c r="F2258" t="s">
        <v>11610</v>
      </c>
      <c r="L2258">
        <v>0</v>
      </c>
      <c r="M2258">
        <v>0</v>
      </c>
      <c r="N2258">
        <v>0</v>
      </c>
    </row>
    <row r="2259" spans="1:15">
      <c r="A2259" t="s">
        <v>18258</v>
      </c>
      <c r="B2259" t="s">
        <v>11844</v>
      </c>
      <c r="C2259" t="s">
        <v>12435</v>
      </c>
      <c r="D2259" t="s">
        <v>18259</v>
      </c>
      <c r="E2259" t="b">
        <v>0</v>
      </c>
      <c r="F2259" t="s">
        <v>11610</v>
      </c>
      <c r="L2259">
        <v>0</v>
      </c>
      <c r="M2259">
        <v>0</v>
      </c>
      <c r="N2259">
        <v>0</v>
      </c>
    </row>
    <row r="2260" spans="1:15">
      <c r="A2260" t="s">
        <v>18260</v>
      </c>
      <c r="B2260" t="s">
        <v>11844</v>
      </c>
      <c r="C2260" t="s">
        <v>11845</v>
      </c>
      <c r="D2260" t="s">
        <v>18261</v>
      </c>
      <c r="E2260" t="b">
        <v>0</v>
      </c>
      <c r="F2260" t="s">
        <v>11610</v>
      </c>
      <c r="L2260">
        <v>0</v>
      </c>
      <c r="M2260">
        <v>0</v>
      </c>
      <c r="N2260">
        <v>0</v>
      </c>
    </row>
    <row r="2261" spans="1:15">
      <c r="A2261" t="s">
        <v>18262</v>
      </c>
      <c r="B2261" t="s">
        <v>11637</v>
      </c>
      <c r="C2261" t="s">
        <v>12270</v>
      </c>
      <c r="D2261" t="s">
        <v>18263</v>
      </c>
      <c r="E2261" t="b">
        <v>0</v>
      </c>
      <c r="F2261" t="s">
        <v>11610</v>
      </c>
      <c r="L2261">
        <v>0</v>
      </c>
      <c r="M2261">
        <v>0</v>
      </c>
      <c r="N2261">
        <v>0</v>
      </c>
    </row>
    <row r="2262" spans="1:15">
      <c r="A2262" t="s">
        <v>18264</v>
      </c>
      <c r="B2262" t="s">
        <v>11844</v>
      </c>
      <c r="C2262" t="s">
        <v>13540</v>
      </c>
      <c r="D2262" t="s">
        <v>18265</v>
      </c>
      <c r="E2262" t="b">
        <v>0</v>
      </c>
      <c r="F2262" t="s">
        <v>11610</v>
      </c>
      <c r="L2262">
        <v>0</v>
      </c>
      <c r="M2262">
        <v>0</v>
      </c>
      <c r="N2262">
        <v>0</v>
      </c>
    </row>
    <row r="2263" spans="1:15">
      <c r="A2263" t="s">
        <v>18266</v>
      </c>
      <c r="B2263" t="s">
        <v>11637</v>
      </c>
      <c r="C2263" t="s">
        <v>18267</v>
      </c>
      <c r="D2263" t="s">
        <v>18268</v>
      </c>
      <c r="E2263" t="b">
        <v>0</v>
      </c>
      <c r="F2263" t="s">
        <v>11610</v>
      </c>
      <c r="L2263">
        <v>0</v>
      </c>
      <c r="M2263">
        <v>0</v>
      </c>
      <c r="N2263">
        <v>0</v>
      </c>
    </row>
    <row r="2264" spans="1:15">
      <c r="A2264" t="s">
        <v>18269</v>
      </c>
      <c r="B2264" t="s">
        <v>11637</v>
      </c>
      <c r="C2264" t="s">
        <v>18270</v>
      </c>
      <c r="D2264" t="s">
        <v>18271</v>
      </c>
      <c r="E2264" t="b">
        <v>0</v>
      </c>
      <c r="F2264" t="s">
        <v>11624</v>
      </c>
      <c r="G2264">
        <v>22.3429</v>
      </c>
      <c r="H2264">
        <v>83.107100000000003</v>
      </c>
      <c r="I2264" t="s">
        <v>18272</v>
      </c>
      <c r="L2264">
        <v>0</v>
      </c>
      <c r="M2264">
        <v>0</v>
      </c>
      <c r="N2264">
        <v>0</v>
      </c>
      <c r="O2264" t="s">
        <v>11630</v>
      </c>
    </row>
    <row r="2265" spans="1:15">
      <c r="A2265" t="s">
        <v>18273</v>
      </c>
      <c r="B2265" t="s">
        <v>11627</v>
      </c>
      <c r="C2265" t="s">
        <v>11627</v>
      </c>
      <c r="D2265" t="s">
        <v>18274</v>
      </c>
      <c r="E2265" t="b">
        <v>1</v>
      </c>
      <c r="F2265" t="s">
        <v>11624</v>
      </c>
      <c r="G2265">
        <v>22.717400000000001</v>
      </c>
      <c r="H2265">
        <v>80.841999999999999</v>
      </c>
      <c r="I2265" t="s">
        <v>18275</v>
      </c>
      <c r="L2265">
        <v>0</v>
      </c>
      <c r="M2265">
        <v>0</v>
      </c>
      <c r="N2265">
        <v>0</v>
      </c>
      <c r="O2265" t="s">
        <v>11630</v>
      </c>
    </row>
    <row r="2266" spans="1:15">
      <c r="A2266" t="s">
        <v>18276</v>
      </c>
      <c r="B2266" t="s">
        <v>11637</v>
      </c>
      <c r="C2266" t="s">
        <v>15714</v>
      </c>
      <c r="D2266" t="s">
        <v>18277</v>
      </c>
      <c r="E2266" t="b">
        <v>0</v>
      </c>
      <c r="F2266" t="s">
        <v>11610</v>
      </c>
      <c r="L2266">
        <v>0</v>
      </c>
      <c r="M2266">
        <v>0</v>
      </c>
      <c r="N2266">
        <v>0</v>
      </c>
    </row>
    <row r="2267" spans="1:15">
      <c r="A2267" t="s">
        <v>18278</v>
      </c>
      <c r="B2267" t="s">
        <v>11637</v>
      </c>
      <c r="C2267" t="s">
        <v>18279</v>
      </c>
      <c r="D2267" t="s">
        <v>18280</v>
      </c>
      <c r="E2267" t="b">
        <v>0</v>
      </c>
      <c r="F2267" t="s">
        <v>11610</v>
      </c>
      <c r="L2267">
        <v>0</v>
      </c>
      <c r="M2267">
        <v>0</v>
      </c>
      <c r="N2267">
        <v>0</v>
      </c>
    </row>
    <row r="2268" spans="1:15">
      <c r="A2268" t="s">
        <v>18281</v>
      </c>
      <c r="B2268" t="s">
        <v>11637</v>
      </c>
      <c r="C2268" t="s">
        <v>18246</v>
      </c>
      <c r="D2268" t="s">
        <v>18282</v>
      </c>
      <c r="E2268" t="b">
        <v>0</v>
      </c>
      <c r="F2268" t="s">
        <v>11624</v>
      </c>
      <c r="G2268">
        <v>32.402200000000001</v>
      </c>
      <c r="H2268">
        <v>76.031099999999995</v>
      </c>
      <c r="I2268" t="s">
        <v>18283</v>
      </c>
      <c r="L2268">
        <v>0</v>
      </c>
      <c r="M2268">
        <v>0</v>
      </c>
      <c r="N2268">
        <v>0</v>
      </c>
      <c r="O2268" t="s">
        <v>11630</v>
      </c>
    </row>
    <row r="2269" spans="1:15">
      <c r="A2269" t="s">
        <v>18284</v>
      </c>
      <c r="B2269" t="s">
        <v>11637</v>
      </c>
      <c r="C2269" t="s">
        <v>8925</v>
      </c>
      <c r="D2269" t="s">
        <v>18285</v>
      </c>
      <c r="E2269" t="b">
        <v>0</v>
      </c>
      <c r="F2269" t="s">
        <v>11610</v>
      </c>
      <c r="L2269">
        <v>0</v>
      </c>
      <c r="M2269">
        <v>0</v>
      </c>
      <c r="N2269">
        <v>0</v>
      </c>
    </row>
    <row r="2270" spans="1:15">
      <c r="A2270" t="s">
        <v>1289</v>
      </c>
      <c r="B2270" t="s">
        <v>11637</v>
      </c>
      <c r="C2270" t="s">
        <v>18286</v>
      </c>
      <c r="D2270" t="s">
        <v>18287</v>
      </c>
      <c r="E2270" t="b">
        <v>0</v>
      </c>
      <c r="F2270" t="s">
        <v>11624</v>
      </c>
      <c r="G2270">
        <v>19.26078</v>
      </c>
      <c r="H2270">
        <v>82.240549999999999</v>
      </c>
      <c r="I2270" t="s">
        <v>1291</v>
      </c>
      <c r="L2270">
        <v>0</v>
      </c>
      <c r="M2270">
        <v>0</v>
      </c>
      <c r="N2270">
        <v>0</v>
      </c>
      <c r="O2270" t="s">
        <v>11630</v>
      </c>
    </row>
    <row r="2271" spans="1:15">
      <c r="A2271" t="s">
        <v>18288</v>
      </c>
      <c r="B2271" t="s">
        <v>11637</v>
      </c>
      <c r="C2271" t="s">
        <v>3565</v>
      </c>
      <c r="D2271" t="s">
        <v>18289</v>
      </c>
      <c r="E2271" t="b">
        <v>0</v>
      </c>
      <c r="F2271" t="s">
        <v>11610</v>
      </c>
      <c r="L2271">
        <v>0</v>
      </c>
      <c r="M2271">
        <v>0</v>
      </c>
      <c r="N2271">
        <v>0</v>
      </c>
    </row>
    <row r="2272" spans="1:15">
      <c r="A2272" t="s">
        <v>18290</v>
      </c>
      <c r="B2272" t="s">
        <v>11637</v>
      </c>
      <c r="C2272" t="s">
        <v>7239</v>
      </c>
      <c r="D2272" t="s">
        <v>18291</v>
      </c>
      <c r="E2272" t="b">
        <v>0</v>
      </c>
      <c r="F2272" t="s">
        <v>11610</v>
      </c>
      <c r="L2272">
        <v>0</v>
      </c>
      <c r="M2272">
        <v>0</v>
      </c>
      <c r="N2272">
        <v>0</v>
      </c>
    </row>
    <row r="2273" spans="1:15">
      <c r="A2273" t="s">
        <v>18292</v>
      </c>
      <c r="B2273" t="s">
        <v>11637</v>
      </c>
      <c r="C2273" t="s">
        <v>18293</v>
      </c>
      <c r="D2273" t="s">
        <v>18294</v>
      </c>
      <c r="E2273" t="b">
        <v>0</v>
      </c>
      <c r="F2273" t="s">
        <v>11624</v>
      </c>
      <c r="G2273">
        <v>25.481999999999999</v>
      </c>
      <c r="H2273">
        <v>69.31</v>
      </c>
      <c r="I2273" t="s">
        <v>18295</v>
      </c>
      <c r="L2273">
        <v>0</v>
      </c>
      <c r="M2273">
        <v>0</v>
      </c>
      <c r="N2273">
        <v>0</v>
      </c>
      <c r="O2273" t="s">
        <v>12172</v>
      </c>
    </row>
    <row r="2274" spans="1:15">
      <c r="A2274" t="s">
        <v>18296</v>
      </c>
      <c r="B2274" t="s">
        <v>6742</v>
      </c>
      <c r="C2274" t="s">
        <v>18297</v>
      </c>
      <c r="D2274" t="s">
        <v>18298</v>
      </c>
      <c r="E2274" t="b">
        <v>0</v>
      </c>
      <c r="F2274" t="s">
        <v>11624</v>
      </c>
      <c r="G2274">
        <v>0.24553</v>
      </c>
      <c r="H2274">
        <v>28.668099999999999</v>
      </c>
      <c r="I2274" t="s">
        <v>18299</v>
      </c>
      <c r="L2274">
        <v>0</v>
      </c>
      <c r="M2274">
        <v>0</v>
      </c>
      <c r="N2274">
        <v>1</v>
      </c>
      <c r="O2274" t="s">
        <v>14825</v>
      </c>
    </row>
    <row r="2275" spans="1:15">
      <c r="A2275" t="s">
        <v>1273</v>
      </c>
      <c r="B2275" t="s">
        <v>11637</v>
      </c>
      <c r="C2275" t="s">
        <v>1274</v>
      </c>
      <c r="D2275" t="s">
        <v>18300</v>
      </c>
      <c r="E2275" t="b">
        <v>0</v>
      </c>
      <c r="F2275" t="s">
        <v>11624</v>
      </c>
      <c r="G2275">
        <v>20.85</v>
      </c>
      <c r="H2275">
        <v>73.959199999999996</v>
      </c>
      <c r="I2275" t="s">
        <v>1275</v>
      </c>
      <c r="L2275">
        <v>0</v>
      </c>
      <c r="M2275">
        <v>0</v>
      </c>
      <c r="N2275">
        <v>16</v>
      </c>
      <c r="O2275" t="s">
        <v>11630</v>
      </c>
    </row>
    <row r="2276" spans="1:15">
      <c r="A2276" t="s">
        <v>18301</v>
      </c>
      <c r="B2276" t="s">
        <v>11637</v>
      </c>
      <c r="C2276" t="s">
        <v>1273</v>
      </c>
      <c r="D2276" t="s">
        <v>18302</v>
      </c>
      <c r="E2276" t="b">
        <v>0</v>
      </c>
      <c r="F2276" t="s">
        <v>11610</v>
      </c>
      <c r="L2276">
        <v>0</v>
      </c>
      <c r="M2276">
        <v>0</v>
      </c>
      <c r="N2276">
        <v>0</v>
      </c>
    </row>
    <row r="2277" spans="1:15">
      <c r="A2277" t="s">
        <v>18303</v>
      </c>
      <c r="B2277" t="s">
        <v>11637</v>
      </c>
      <c r="C2277" t="s">
        <v>1274</v>
      </c>
      <c r="D2277" t="s">
        <v>18304</v>
      </c>
      <c r="E2277" t="b">
        <v>0</v>
      </c>
      <c r="F2277" t="s">
        <v>11624</v>
      </c>
      <c r="G2277">
        <v>22.583459999999999</v>
      </c>
      <c r="H2277">
        <v>74.590140000000005</v>
      </c>
      <c r="I2277" t="s">
        <v>18305</v>
      </c>
      <c r="L2277">
        <v>0</v>
      </c>
      <c r="M2277">
        <v>0</v>
      </c>
      <c r="N2277">
        <v>1</v>
      </c>
      <c r="O2277" t="s">
        <v>11630</v>
      </c>
    </row>
    <row r="2278" spans="1:15">
      <c r="A2278" t="s">
        <v>1274</v>
      </c>
      <c r="B2278" t="s">
        <v>11637</v>
      </c>
      <c r="C2278" t="s">
        <v>18306</v>
      </c>
      <c r="D2278" t="s">
        <v>1272</v>
      </c>
      <c r="E2278" t="b">
        <v>0</v>
      </c>
      <c r="F2278" t="s">
        <v>11622</v>
      </c>
      <c r="L2278">
        <v>4</v>
      </c>
      <c r="M2278">
        <v>22</v>
      </c>
      <c r="N2278">
        <v>48</v>
      </c>
    </row>
    <row r="2279" spans="1:15">
      <c r="A2279" t="s">
        <v>18307</v>
      </c>
      <c r="B2279" t="s">
        <v>11637</v>
      </c>
      <c r="C2279" t="s">
        <v>1273</v>
      </c>
      <c r="D2279" t="s">
        <v>18308</v>
      </c>
      <c r="E2279" t="b">
        <v>0</v>
      </c>
      <c r="F2279" t="s">
        <v>11610</v>
      </c>
      <c r="L2279">
        <v>0</v>
      </c>
      <c r="M2279">
        <v>0</v>
      </c>
      <c r="N2279">
        <v>0</v>
      </c>
    </row>
    <row r="2280" spans="1:15">
      <c r="A2280" t="s">
        <v>18309</v>
      </c>
      <c r="B2280" t="s">
        <v>12438</v>
      </c>
      <c r="C2280" t="s">
        <v>18310</v>
      </c>
      <c r="D2280" t="s">
        <v>18311</v>
      </c>
      <c r="E2280" t="b">
        <v>0</v>
      </c>
      <c r="F2280" t="s">
        <v>11610</v>
      </c>
      <c r="L2280">
        <v>0</v>
      </c>
      <c r="M2280">
        <v>0</v>
      </c>
      <c r="N2280">
        <v>0</v>
      </c>
    </row>
    <row r="2281" spans="1:15">
      <c r="A2281" t="s">
        <v>187</v>
      </c>
      <c r="B2281" t="s">
        <v>11637</v>
      </c>
      <c r="C2281" t="s">
        <v>2205</v>
      </c>
      <c r="D2281" t="s">
        <v>2204</v>
      </c>
      <c r="E2281" t="b">
        <v>0</v>
      </c>
      <c r="F2281" t="s">
        <v>11624</v>
      </c>
      <c r="G2281">
        <v>26.458455000000001</v>
      </c>
      <c r="H2281">
        <v>84.817115000000001</v>
      </c>
      <c r="I2281" t="s">
        <v>18312</v>
      </c>
      <c r="L2281">
        <v>0</v>
      </c>
      <c r="M2281">
        <v>0</v>
      </c>
      <c r="N2281">
        <v>16</v>
      </c>
      <c r="O2281" t="s">
        <v>12524</v>
      </c>
    </row>
    <row r="2282" spans="1:15">
      <c r="A2282" t="s">
        <v>18313</v>
      </c>
      <c r="B2282" t="s">
        <v>11637</v>
      </c>
      <c r="C2282" t="s">
        <v>187</v>
      </c>
      <c r="D2282" t="s">
        <v>18314</v>
      </c>
      <c r="E2282" t="b">
        <v>0</v>
      </c>
      <c r="F2282" t="s">
        <v>11610</v>
      </c>
      <c r="L2282">
        <v>0</v>
      </c>
      <c r="M2282">
        <v>0</v>
      </c>
      <c r="N2282">
        <v>0</v>
      </c>
    </row>
    <row r="2283" spans="1:15">
      <c r="A2283" t="s">
        <v>2205</v>
      </c>
      <c r="B2283" t="s">
        <v>11637</v>
      </c>
      <c r="C2283" t="s">
        <v>18315</v>
      </c>
      <c r="D2283" t="s">
        <v>18316</v>
      </c>
      <c r="E2283" t="b">
        <v>0</v>
      </c>
      <c r="F2283" t="s">
        <v>11622</v>
      </c>
      <c r="L2283">
        <v>0</v>
      </c>
      <c r="M2283">
        <v>2</v>
      </c>
      <c r="N2283">
        <v>18</v>
      </c>
    </row>
    <row r="2284" spans="1:15">
      <c r="A2284" t="s">
        <v>18317</v>
      </c>
      <c r="B2284" t="s">
        <v>13276</v>
      </c>
      <c r="C2284" t="s">
        <v>18318</v>
      </c>
      <c r="D2284" t="s">
        <v>18319</v>
      </c>
      <c r="E2284" t="b">
        <v>0</v>
      </c>
      <c r="F2284" t="s">
        <v>11610</v>
      </c>
      <c r="L2284">
        <v>0</v>
      </c>
      <c r="M2284">
        <v>0</v>
      </c>
      <c r="N2284">
        <v>0</v>
      </c>
    </row>
    <row r="2285" spans="1:15">
      <c r="A2285" t="s">
        <v>18320</v>
      </c>
      <c r="B2285" t="s">
        <v>11644</v>
      </c>
      <c r="C2285" t="s">
        <v>18321</v>
      </c>
      <c r="D2285" t="s">
        <v>18322</v>
      </c>
      <c r="E2285" t="b">
        <v>0</v>
      </c>
      <c r="F2285" t="s">
        <v>11624</v>
      </c>
      <c r="G2285">
        <v>31.850300000000001</v>
      </c>
      <c r="H2285">
        <v>78.572800000000001</v>
      </c>
      <c r="I2285" t="s">
        <v>18323</v>
      </c>
      <c r="L2285">
        <v>0</v>
      </c>
      <c r="M2285">
        <v>0</v>
      </c>
      <c r="N2285">
        <v>0</v>
      </c>
      <c r="O2285" t="s">
        <v>11630</v>
      </c>
    </row>
    <row r="2286" spans="1:15">
      <c r="A2286" t="s">
        <v>18324</v>
      </c>
      <c r="B2286" t="s">
        <v>11637</v>
      </c>
      <c r="C2286" t="s">
        <v>15671</v>
      </c>
      <c r="D2286" t="s">
        <v>18325</v>
      </c>
      <c r="E2286" t="b">
        <v>0</v>
      </c>
      <c r="F2286" t="s">
        <v>11610</v>
      </c>
      <c r="L2286">
        <v>0</v>
      </c>
      <c r="M2286">
        <v>0</v>
      </c>
      <c r="N2286">
        <v>0</v>
      </c>
    </row>
    <row r="2287" spans="1:15">
      <c r="A2287" t="s">
        <v>18326</v>
      </c>
      <c r="B2287" t="s">
        <v>11637</v>
      </c>
      <c r="C2287" t="s">
        <v>18327</v>
      </c>
      <c r="D2287" t="s">
        <v>18328</v>
      </c>
      <c r="E2287" t="b">
        <v>0</v>
      </c>
      <c r="F2287" t="s">
        <v>11610</v>
      </c>
      <c r="L2287">
        <v>0</v>
      </c>
      <c r="M2287">
        <v>0</v>
      </c>
      <c r="N2287">
        <v>0</v>
      </c>
    </row>
    <row r="2288" spans="1:15">
      <c r="A2288" t="s">
        <v>18329</v>
      </c>
      <c r="B2288" t="s">
        <v>11637</v>
      </c>
      <c r="C2288" t="s">
        <v>18330</v>
      </c>
      <c r="D2288" t="s">
        <v>18331</v>
      </c>
      <c r="E2288" t="b">
        <v>0</v>
      </c>
      <c r="F2288" t="s">
        <v>11610</v>
      </c>
      <c r="L2288">
        <v>0</v>
      </c>
      <c r="M2288">
        <v>0</v>
      </c>
      <c r="N2288">
        <v>0</v>
      </c>
    </row>
    <row r="2289" spans="1:15">
      <c r="A2289" t="s">
        <v>18332</v>
      </c>
      <c r="B2289" t="s">
        <v>11644</v>
      </c>
      <c r="C2289" t="s">
        <v>18333</v>
      </c>
      <c r="D2289" t="s">
        <v>18334</v>
      </c>
      <c r="E2289" t="b">
        <v>0</v>
      </c>
      <c r="F2289" t="s">
        <v>11610</v>
      </c>
      <c r="L2289">
        <v>0</v>
      </c>
      <c r="M2289">
        <v>0</v>
      </c>
      <c r="N2289">
        <v>0</v>
      </c>
    </row>
    <row r="2290" spans="1:15">
      <c r="A2290" t="s">
        <v>18335</v>
      </c>
      <c r="B2290" t="s">
        <v>11637</v>
      </c>
      <c r="C2290" t="s">
        <v>14000</v>
      </c>
      <c r="D2290" t="s">
        <v>18336</v>
      </c>
      <c r="E2290" t="b">
        <v>0</v>
      </c>
      <c r="F2290" t="s">
        <v>11610</v>
      </c>
      <c r="L2290">
        <v>0</v>
      </c>
      <c r="M2290">
        <v>0</v>
      </c>
      <c r="N2290">
        <v>0</v>
      </c>
    </row>
    <row r="2291" spans="1:15">
      <c r="A2291" t="s">
        <v>18337</v>
      </c>
      <c r="B2291" t="s">
        <v>11637</v>
      </c>
      <c r="C2291" t="s">
        <v>15977</v>
      </c>
      <c r="D2291" t="s">
        <v>18338</v>
      </c>
      <c r="E2291" t="b">
        <v>0</v>
      </c>
      <c r="F2291" t="s">
        <v>11610</v>
      </c>
      <c r="L2291">
        <v>0</v>
      </c>
      <c r="M2291">
        <v>0</v>
      </c>
      <c r="N2291">
        <v>0</v>
      </c>
    </row>
    <row r="2292" spans="1:15">
      <c r="A2292" t="s">
        <v>18339</v>
      </c>
      <c r="B2292" t="s">
        <v>11637</v>
      </c>
      <c r="C2292" t="s">
        <v>12098</v>
      </c>
      <c r="D2292" t="s">
        <v>18340</v>
      </c>
      <c r="E2292" t="b">
        <v>0</v>
      </c>
      <c r="F2292" t="s">
        <v>11610</v>
      </c>
      <c r="L2292">
        <v>0</v>
      </c>
      <c r="M2292">
        <v>0</v>
      </c>
      <c r="N2292">
        <v>0</v>
      </c>
    </row>
    <row r="2293" spans="1:15">
      <c r="A2293" t="s">
        <v>18341</v>
      </c>
      <c r="B2293" t="s">
        <v>11637</v>
      </c>
      <c r="C2293" t="s">
        <v>18286</v>
      </c>
      <c r="D2293" t="s">
        <v>18342</v>
      </c>
      <c r="E2293" t="b">
        <v>0</v>
      </c>
      <c r="F2293" t="s">
        <v>11624</v>
      </c>
      <c r="G2293">
        <v>21.2761</v>
      </c>
      <c r="H2293">
        <v>83.1614</v>
      </c>
      <c r="I2293" t="s">
        <v>18343</v>
      </c>
      <c r="L2293">
        <v>0</v>
      </c>
      <c r="M2293">
        <v>0</v>
      </c>
      <c r="N2293">
        <v>0</v>
      </c>
      <c r="O2293" t="s">
        <v>11630</v>
      </c>
    </row>
    <row r="2294" spans="1:15">
      <c r="A2294" t="s">
        <v>18344</v>
      </c>
      <c r="B2294" t="s">
        <v>6742</v>
      </c>
      <c r="C2294" t="s">
        <v>12688</v>
      </c>
      <c r="D2294" t="s">
        <v>18345</v>
      </c>
      <c r="E2294" t="b">
        <v>0</v>
      </c>
      <c r="F2294" t="s">
        <v>11622</v>
      </c>
      <c r="L2294">
        <v>4</v>
      </c>
      <c r="M2294">
        <v>8</v>
      </c>
      <c r="N2294">
        <v>14</v>
      </c>
    </row>
    <row r="2295" spans="1:15">
      <c r="A2295" t="s">
        <v>18346</v>
      </c>
      <c r="B2295" t="s">
        <v>6742</v>
      </c>
      <c r="C2295" t="s">
        <v>18347</v>
      </c>
      <c r="D2295" t="s">
        <v>18348</v>
      </c>
      <c r="E2295" t="b">
        <v>0</v>
      </c>
      <c r="F2295" t="s">
        <v>11610</v>
      </c>
      <c r="L2295">
        <v>0</v>
      </c>
      <c r="M2295">
        <v>0</v>
      </c>
      <c r="N2295">
        <v>0</v>
      </c>
    </row>
    <row r="2296" spans="1:15">
      <c r="A2296" t="s">
        <v>18349</v>
      </c>
      <c r="B2296" t="s">
        <v>13276</v>
      </c>
      <c r="C2296" t="s">
        <v>18350</v>
      </c>
      <c r="D2296" t="s">
        <v>18351</v>
      </c>
      <c r="E2296" t="b">
        <v>0</v>
      </c>
      <c r="F2296" t="s">
        <v>11610</v>
      </c>
      <c r="L2296">
        <v>0</v>
      </c>
      <c r="M2296">
        <v>0</v>
      </c>
      <c r="N2296">
        <v>0</v>
      </c>
    </row>
    <row r="2297" spans="1:15">
      <c r="A2297" t="s">
        <v>18352</v>
      </c>
      <c r="B2297" t="s">
        <v>6742</v>
      </c>
      <c r="C2297" t="s">
        <v>15744</v>
      </c>
      <c r="D2297" t="s">
        <v>18353</v>
      </c>
      <c r="E2297" t="b">
        <v>0</v>
      </c>
      <c r="F2297" t="s">
        <v>11624</v>
      </c>
      <c r="G2297">
        <v>11.467000000000001</v>
      </c>
      <c r="H2297">
        <v>-15.1347</v>
      </c>
      <c r="I2297" t="s">
        <v>18354</v>
      </c>
      <c r="L2297">
        <v>0</v>
      </c>
      <c r="M2297">
        <v>0</v>
      </c>
      <c r="N2297">
        <v>0</v>
      </c>
      <c r="O2297" t="s">
        <v>14312</v>
      </c>
    </row>
    <row r="2298" spans="1:15">
      <c r="A2298" t="s">
        <v>18355</v>
      </c>
      <c r="B2298" t="s">
        <v>12218</v>
      </c>
      <c r="C2298" t="s">
        <v>18356</v>
      </c>
      <c r="D2298" t="s">
        <v>18357</v>
      </c>
      <c r="E2298" t="b">
        <v>0</v>
      </c>
      <c r="F2298" t="s">
        <v>11624</v>
      </c>
      <c r="I2298" t="s">
        <v>18358</v>
      </c>
      <c r="L2298">
        <v>0</v>
      </c>
      <c r="M2298">
        <v>0</v>
      </c>
      <c r="N2298">
        <v>0</v>
      </c>
      <c r="O2298" t="s">
        <v>11660</v>
      </c>
    </row>
    <row r="2299" spans="1:15">
      <c r="A2299" t="s">
        <v>18356</v>
      </c>
      <c r="B2299" t="s">
        <v>12218</v>
      </c>
      <c r="C2299" t="s">
        <v>18359</v>
      </c>
      <c r="D2299" t="s">
        <v>18360</v>
      </c>
      <c r="E2299" t="b">
        <v>0</v>
      </c>
      <c r="F2299" t="s">
        <v>11622</v>
      </c>
      <c r="L2299">
        <v>0</v>
      </c>
      <c r="M2299">
        <v>2</v>
      </c>
      <c r="N2299">
        <v>0</v>
      </c>
    </row>
    <row r="2300" spans="1:15">
      <c r="A2300" t="s">
        <v>18361</v>
      </c>
      <c r="B2300" t="s">
        <v>6742</v>
      </c>
      <c r="C2300" t="s">
        <v>18362</v>
      </c>
      <c r="D2300" t="s">
        <v>18363</v>
      </c>
      <c r="E2300" t="b">
        <v>0</v>
      </c>
      <c r="F2300" t="s">
        <v>11610</v>
      </c>
      <c r="L2300">
        <v>0</v>
      </c>
      <c r="M2300">
        <v>0</v>
      </c>
      <c r="N2300">
        <v>0</v>
      </c>
    </row>
    <row r="2301" spans="1:15">
      <c r="A2301" t="s">
        <v>18364</v>
      </c>
      <c r="B2301" t="s">
        <v>6742</v>
      </c>
      <c r="C2301" t="s">
        <v>18365</v>
      </c>
      <c r="D2301" t="s">
        <v>18366</v>
      </c>
      <c r="E2301" t="b">
        <v>0</v>
      </c>
      <c r="F2301" t="s">
        <v>11610</v>
      </c>
      <c r="L2301">
        <v>0</v>
      </c>
      <c r="M2301">
        <v>0</v>
      </c>
      <c r="N2301">
        <v>0</v>
      </c>
    </row>
    <row r="2302" spans="1:15">
      <c r="A2302" t="s">
        <v>14563</v>
      </c>
      <c r="B2302" t="s">
        <v>367</v>
      </c>
      <c r="C2302" t="s">
        <v>18367</v>
      </c>
      <c r="D2302" t="s">
        <v>18368</v>
      </c>
      <c r="E2302" t="b">
        <v>0</v>
      </c>
      <c r="F2302" t="s">
        <v>11624</v>
      </c>
      <c r="G2302">
        <v>-0.95230000000000004</v>
      </c>
      <c r="H2302">
        <v>135.87899999999999</v>
      </c>
      <c r="I2302" t="s">
        <v>18369</v>
      </c>
      <c r="L2302">
        <v>0</v>
      </c>
      <c r="M2302">
        <v>0</v>
      </c>
      <c r="N2302">
        <v>29</v>
      </c>
      <c r="O2302" t="s">
        <v>11768</v>
      </c>
    </row>
    <row r="2303" spans="1:15">
      <c r="A2303" t="s">
        <v>18370</v>
      </c>
      <c r="B2303" t="s">
        <v>367</v>
      </c>
      <c r="C2303" t="s">
        <v>18371</v>
      </c>
      <c r="D2303" t="s">
        <v>18372</v>
      </c>
      <c r="E2303" t="b">
        <v>0</v>
      </c>
      <c r="F2303" t="s">
        <v>11622</v>
      </c>
      <c r="L2303">
        <v>1</v>
      </c>
      <c r="M2303">
        <v>4</v>
      </c>
      <c r="N2303">
        <v>29</v>
      </c>
    </row>
    <row r="2304" spans="1:15">
      <c r="A2304" t="s">
        <v>18367</v>
      </c>
      <c r="B2304" t="s">
        <v>367</v>
      </c>
      <c r="C2304" t="s">
        <v>18370</v>
      </c>
      <c r="D2304" t="s">
        <v>18373</v>
      </c>
      <c r="E2304" t="b">
        <v>0</v>
      </c>
      <c r="F2304" t="s">
        <v>11622</v>
      </c>
      <c r="L2304">
        <v>0</v>
      </c>
      <c r="M2304">
        <v>2</v>
      </c>
      <c r="N2304">
        <v>29</v>
      </c>
    </row>
    <row r="2305" spans="1:15">
      <c r="A2305" t="s">
        <v>18374</v>
      </c>
      <c r="B2305" t="s">
        <v>6742</v>
      </c>
      <c r="C2305" t="s">
        <v>18375</v>
      </c>
      <c r="D2305" t="s">
        <v>18376</v>
      </c>
      <c r="E2305" t="b">
        <v>0</v>
      </c>
      <c r="F2305" t="s">
        <v>11624</v>
      </c>
      <c r="G2305">
        <v>11.0382</v>
      </c>
      <c r="H2305">
        <v>1.0825899999999999</v>
      </c>
      <c r="I2305" t="s">
        <v>18377</v>
      </c>
      <c r="L2305">
        <v>0</v>
      </c>
      <c r="M2305">
        <v>0</v>
      </c>
      <c r="N2305">
        <v>7</v>
      </c>
      <c r="O2305" t="s">
        <v>18378</v>
      </c>
    </row>
    <row r="2306" spans="1:15">
      <c r="A2306" t="s">
        <v>18379</v>
      </c>
      <c r="B2306" t="s">
        <v>11757</v>
      </c>
      <c r="C2306" t="s">
        <v>18380</v>
      </c>
      <c r="D2306" t="s">
        <v>18381</v>
      </c>
      <c r="E2306" t="b">
        <v>0</v>
      </c>
      <c r="F2306" t="s">
        <v>11624</v>
      </c>
      <c r="G2306">
        <v>-5.9</v>
      </c>
      <c r="H2306">
        <v>34.299999999999997</v>
      </c>
      <c r="L2306">
        <v>0</v>
      </c>
      <c r="M2306">
        <v>0</v>
      </c>
      <c r="N2306">
        <v>0</v>
      </c>
    </row>
    <row r="2307" spans="1:15">
      <c r="A2307" t="s">
        <v>18382</v>
      </c>
      <c r="B2307" t="s">
        <v>11839</v>
      </c>
      <c r="C2307" t="s">
        <v>18383</v>
      </c>
      <c r="D2307" t="s">
        <v>18384</v>
      </c>
      <c r="E2307" t="b">
        <v>0</v>
      </c>
      <c r="F2307" t="s">
        <v>11610</v>
      </c>
      <c r="L2307">
        <v>0</v>
      </c>
      <c r="M2307">
        <v>0</v>
      </c>
      <c r="N2307">
        <v>0</v>
      </c>
    </row>
    <row r="2308" spans="1:15">
      <c r="A2308" t="s">
        <v>18385</v>
      </c>
      <c r="B2308" t="s">
        <v>11794</v>
      </c>
      <c r="C2308" t="s">
        <v>18386</v>
      </c>
      <c r="D2308" t="s">
        <v>18387</v>
      </c>
      <c r="E2308" t="b">
        <v>0</v>
      </c>
      <c r="F2308" t="s">
        <v>11624</v>
      </c>
      <c r="G2308">
        <v>-7.3594200000000001</v>
      </c>
      <c r="H2308">
        <v>140.56800000000001</v>
      </c>
      <c r="I2308" t="s">
        <v>18388</v>
      </c>
      <c r="L2308">
        <v>0</v>
      </c>
      <c r="M2308">
        <v>0</v>
      </c>
      <c r="N2308">
        <v>0</v>
      </c>
      <c r="O2308" t="s">
        <v>11768</v>
      </c>
    </row>
    <row r="2309" spans="1:15">
      <c r="A2309" t="s">
        <v>18389</v>
      </c>
      <c r="B2309" t="s">
        <v>13264</v>
      </c>
      <c r="C2309" t="s">
        <v>13264</v>
      </c>
      <c r="D2309" t="s">
        <v>18390</v>
      </c>
      <c r="E2309" t="b">
        <v>0</v>
      </c>
      <c r="F2309" t="s">
        <v>11624</v>
      </c>
      <c r="G2309">
        <v>-7.3388200000000001</v>
      </c>
      <c r="H2309">
        <v>146.76499999999999</v>
      </c>
      <c r="I2309" t="s">
        <v>18391</v>
      </c>
      <c r="L2309">
        <v>0</v>
      </c>
      <c r="M2309">
        <v>0</v>
      </c>
      <c r="N2309">
        <v>2</v>
      </c>
      <c r="O2309" t="s">
        <v>11660</v>
      </c>
    </row>
    <row r="2310" spans="1:15">
      <c r="A2310" t="s">
        <v>18392</v>
      </c>
      <c r="B2310" t="s">
        <v>5126</v>
      </c>
      <c r="C2310" t="s">
        <v>18393</v>
      </c>
      <c r="D2310" t="s">
        <v>18394</v>
      </c>
      <c r="E2310" t="b">
        <v>0</v>
      </c>
      <c r="F2310" t="s">
        <v>11624</v>
      </c>
      <c r="G2310">
        <v>23.655999999999999</v>
      </c>
      <c r="H2310">
        <v>113.39100000000001</v>
      </c>
      <c r="I2310" t="s">
        <v>18395</v>
      </c>
      <c r="L2310">
        <v>0</v>
      </c>
      <c r="M2310">
        <v>0</v>
      </c>
      <c r="N2310">
        <v>0</v>
      </c>
      <c r="O2310" t="s">
        <v>11905</v>
      </c>
    </row>
    <row r="2311" spans="1:15">
      <c r="A2311" t="s">
        <v>18396</v>
      </c>
      <c r="B2311" t="s">
        <v>5058</v>
      </c>
      <c r="C2311" t="s">
        <v>18397</v>
      </c>
      <c r="D2311" t="s">
        <v>18398</v>
      </c>
      <c r="E2311" t="b">
        <v>0</v>
      </c>
      <c r="F2311" t="s">
        <v>11624</v>
      </c>
      <c r="G2311">
        <v>25.530899999999999</v>
      </c>
      <c r="H2311">
        <v>111.34399999999999</v>
      </c>
      <c r="I2311" t="s">
        <v>18399</v>
      </c>
      <c r="L2311">
        <v>0</v>
      </c>
      <c r="M2311">
        <v>0</v>
      </c>
      <c r="N2311">
        <v>2</v>
      </c>
      <c r="O2311" t="s">
        <v>11905</v>
      </c>
    </row>
    <row r="2312" spans="1:15">
      <c r="A2312" t="s">
        <v>18400</v>
      </c>
      <c r="B2312" t="s">
        <v>5058</v>
      </c>
      <c r="C2312" t="s">
        <v>18396</v>
      </c>
      <c r="D2312" t="s">
        <v>18401</v>
      </c>
      <c r="E2312" t="b">
        <v>0</v>
      </c>
      <c r="F2312" t="s">
        <v>11610</v>
      </c>
      <c r="L2312">
        <v>0</v>
      </c>
      <c r="M2312">
        <v>0</v>
      </c>
      <c r="N2312">
        <v>0</v>
      </c>
    </row>
    <row r="2313" spans="1:15">
      <c r="A2313" t="s">
        <v>18402</v>
      </c>
      <c r="B2313" t="s">
        <v>5058</v>
      </c>
      <c r="C2313" t="s">
        <v>18403</v>
      </c>
      <c r="D2313" t="s">
        <v>18404</v>
      </c>
      <c r="E2313" t="b">
        <v>0</v>
      </c>
      <c r="F2313" t="s">
        <v>11624</v>
      </c>
      <c r="G2313">
        <v>24.645099999999999</v>
      </c>
      <c r="H2313">
        <v>113.46899999999999</v>
      </c>
      <c r="I2313" t="s">
        <v>18405</v>
      </c>
      <c r="L2313">
        <v>0</v>
      </c>
      <c r="M2313">
        <v>0</v>
      </c>
      <c r="N2313">
        <v>2</v>
      </c>
      <c r="O2313" t="s">
        <v>11905</v>
      </c>
    </row>
    <row r="2314" spans="1:15">
      <c r="A2314" t="s">
        <v>18393</v>
      </c>
      <c r="B2314" t="s">
        <v>5126</v>
      </c>
      <c r="C2314" t="s">
        <v>18406</v>
      </c>
      <c r="D2314" t="s">
        <v>18407</v>
      </c>
      <c r="E2314" t="b">
        <v>0</v>
      </c>
      <c r="F2314" t="s">
        <v>11622</v>
      </c>
      <c r="L2314">
        <v>0</v>
      </c>
      <c r="M2314">
        <v>3</v>
      </c>
      <c r="N2314">
        <v>0</v>
      </c>
    </row>
    <row r="2315" spans="1:15">
      <c r="A2315" t="s">
        <v>18408</v>
      </c>
      <c r="B2315" t="s">
        <v>13264</v>
      </c>
      <c r="C2315" t="s">
        <v>18409</v>
      </c>
      <c r="D2315" t="s">
        <v>18410</v>
      </c>
      <c r="E2315" t="b">
        <v>0</v>
      </c>
      <c r="F2315" t="s">
        <v>11610</v>
      </c>
      <c r="L2315">
        <v>0</v>
      </c>
      <c r="M2315">
        <v>0</v>
      </c>
      <c r="N2315">
        <v>0</v>
      </c>
    </row>
    <row r="2316" spans="1:15">
      <c r="A2316" t="s">
        <v>18411</v>
      </c>
      <c r="B2316" t="s">
        <v>12438</v>
      </c>
      <c r="C2316" t="s">
        <v>18412</v>
      </c>
      <c r="D2316" t="s">
        <v>18413</v>
      </c>
      <c r="E2316" t="b">
        <v>0</v>
      </c>
      <c r="F2316" t="s">
        <v>11610</v>
      </c>
      <c r="L2316">
        <v>0</v>
      </c>
      <c r="M2316">
        <v>0</v>
      </c>
      <c r="N2316">
        <v>0</v>
      </c>
    </row>
    <row r="2317" spans="1:15">
      <c r="A2317" t="s">
        <v>18414</v>
      </c>
      <c r="B2317" t="s">
        <v>367</v>
      </c>
      <c r="C2317" t="s">
        <v>17483</v>
      </c>
      <c r="D2317" t="s">
        <v>18415</v>
      </c>
      <c r="E2317" t="b">
        <v>0</v>
      </c>
      <c r="F2317" t="s">
        <v>11624</v>
      </c>
      <c r="G2317">
        <v>1.1759599999999999</v>
      </c>
      <c r="H2317">
        <v>110.254</v>
      </c>
      <c r="I2317" t="s">
        <v>18416</v>
      </c>
      <c r="L2317">
        <v>0</v>
      </c>
      <c r="M2317">
        <v>0</v>
      </c>
      <c r="N2317">
        <v>3</v>
      </c>
      <c r="O2317" t="s">
        <v>16728</v>
      </c>
    </row>
    <row r="2318" spans="1:15">
      <c r="A2318" t="s">
        <v>18417</v>
      </c>
      <c r="B2318" t="s">
        <v>10597</v>
      </c>
      <c r="C2318" t="s">
        <v>18418</v>
      </c>
      <c r="D2318" t="s">
        <v>18419</v>
      </c>
      <c r="E2318" t="b">
        <v>0</v>
      </c>
      <c r="F2318" t="s">
        <v>11610</v>
      </c>
      <c r="I2318" t="s">
        <v>18420</v>
      </c>
      <c r="L2318">
        <v>0</v>
      </c>
      <c r="M2318">
        <v>0</v>
      </c>
      <c r="N2318">
        <v>0</v>
      </c>
      <c r="O2318" t="s">
        <v>12107</v>
      </c>
    </row>
    <row r="2319" spans="1:15">
      <c r="A2319" t="s">
        <v>18421</v>
      </c>
      <c r="B2319" t="s">
        <v>6742</v>
      </c>
      <c r="C2319" t="s">
        <v>16118</v>
      </c>
      <c r="D2319" t="s">
        <v>18422</v>
      </c>
      <c r="E2319" t="b">
        <v>0</v>
      </c>
      <c r="F2319" t="s">
        <v>11610</v>
      </c>
      <c r="L2319">
        <v>0</v>
      </c>
      <c r="M2319">
        <v>0</v>
      </c>
      <c r="N2319">
        <v>0</v>
      </c>
    </row>
    <row r="2320" spans="1:15">
      <c r="A2320" t="s">
        <v>18423</v>
      </c>
      <c r="B2320" t="s">
        <v>367</v>
      </c>
      <c r="C2320" t="s">
        <v>13306</v>
      </c>
      <c r="D2320" t="s">
        <v>18424</v>
      </c>
      <c r="E2320" t="b">
        <v>0</v>
      </c>
      <c r="F2320" t="s">
        <v>11622</v>
      </c>
      <c r="L2320">
        <v>0</v>
      </c>
      <c r="M2320">
        <v>2</v>
      </c>
      <c r="N2320">
        <v>7</v>
      </c>
    </row>
    <row r="2321" spans="1:15">
      <c r="A2321" t="s">
        <v>18425</v>
      </c>
      <c r="B2321" t="s">
        <v>367</v>
      </c>
      <c r="C2321" t="s">
        <v>13280</v>
      </c>
      <c r="D2321" t="s">
        <v>18426</v>
      </c>
      <c r="E2321" t="b">
        <v>0</v>
      </c>
      <c r="F2321" t="s">
        <v>11610</v>
      </c>
      <c r="L2321">
        <v>0</v>
      </c>
      <c r="M2321">
        <v>0</v>
      </c>
      <c r="N2321">
        <v>0</v>
      </c>
    </row>
    <row r="2322" spans="1:15">
      <c r="A2322" t="s">
        <v>18427</v>
      </c>
      <c r="B2322" t="s">
        <v>11644</v>
      </c>
      <c r="C2322" t="s">
        <v>18428</v>
      </c>
      <c r="D2322" t="s">
        <v>18429</v>
      </c>
      <c r="E2322" t="b">
        <v>0</v>
      </c>
      <c r="F2322" t="s">
        <v>11610</v>
      </c>
      <c r="L2322">
        <v>0</v>
      </c>
      <c r="M2322">
        <v>0</v>
      </c>
      <c r="N2322">
        <v>0</v>
      </c>
    </row>
    <row r="2323" spans="1:15">
      <c r="A2323" t="s">
        <v>17483</v>
      </c>
      <c r="B2323" t="s">
        <v>367</v>
      </c>
      <c r="C2323" t="s">
        <v>18430</v>
      </c>
      <c r="D2323" t="s">
        <v>18431</v>
      </c>
      <c r="E2323" t="b">
        <v>0</v>
      </c>
      <c r="F2323" t="s">
        <v>11622</v>
      </c>
      <c r="L2323">
        <v>1</v>
      </c>
      <c r="M2323">
        <v>5</v>
      </c>
      <c r="N2323">
        <v>25</v>
      </c>
    </row>
    <row r="2324" spans="1:15">
      <c r="A2324" t="s">
        <v>18432</v>
      </c>
      <c r="B2324" t="s">
        <v>13360</v>
      </c>
      <c r="C2324" t="s">
        <v>13360</v>
      </c>
      <c r="D2324" t="s">
        <v>18433</v>
      </c>
      <c r="E2324" t="b">
        <v>0</v>
      </c>
      <c r="F2324" t="s">
        <v>11624</v>
      </c>
      <c r="L2324">
        <v>0</v>
      </c>
      <c r="M2324">
        <v>0</v>
      </c>
      <c r="N2324">
        <v>0</v>
      </c>
      <c r="O2324" t="s">
        <v>11944</v>
      </c>
    </row>
    <row r="2325" spans="1:15">
      <c r="A2325" t="s">
        <v>18430</v>
      </c>
      <c r="B2325" t="s">
        <v>367</v>
      </c>
      <c r="C2325" t="s">
        <v>624</v>
      </c>
      <c r="D2325" t="s">
        <v>18434</v>
      </c>
      <c r="E2325" t="b">
        <v>0</v>
      </c>
      <c r="F2325" t="s">
        <v>11622</v>
      </c>
      <c r="L2325">
        <v>3</v>
      </c>
      <c r="M2325">
        <v>10</v>
      </c>
      <c r="N2325">
        <v>29</v>
      </c>
    </row>
    <row r="2326" spans="1:15">
      <c r="A2326" t="s">
        <v>18435</v>
      </c>
      <c r="B2326" t="s">
        <v>11607</v>
      </c>
      <c r="C2326" t="s">
        <v>18436</v>
      </c>
      <c r="D2326" t="s">
        <v>18437</v>
      </c>
      <c r="E2326" t="b">
        <v>0</v>
      </c>
      <c r="F2326" t="s">
        <v>11624</v>
      </c>
      <c r="G2326">
        <v>11.920400000000001</v>
      </c>
      <c r="H2326">
        <v>18.8065</v>
      </c>
      <c r="I2326" t="s">
        <v>18438</v>
      </c>
      <c r="L2326">
        <v>0</v>
      </c>
      <c r="M2326">
        <v>0</v>
      </c>
      <c r="N2326">
        <v>5</v>
      </c>
      <c r="O2326" t="s">
        <v>13421</v>
      </c>
    </row>
    <row r="2327" spans="1:15">
      <c r="A2327" t="s">
        <v>18439</v>
      </c>
      <c r="B2327" t="s">
        <v>10597</v>
      </c>
      <c r="C2327" t="s">
        <v>15730</v>
      </c>
      <c r="D2327" t="s">
        <v>18440</v>
      </c>
      <c r="E2327" t="b">
        <v>0</v>
      </c>
      <c r="F2327" t="s">
        <v>11610</v>
      </c>
      <c r="L2327">
        <v>0</v>
      </c>
      <c r="M2327">
        <v>0</v>
      </c>
      <c r="N2327">
        <v>0</v>
      </c>
    </row>
    <row r="2328" spans="1:15">
      <c r="A2328" t="s">
        <v>18441</v>
      </c>
      <c r="B2328" t="s">
        <v>6742</v>
      </c>
      <c r="C2328" t="s">
        <v>18442</v>
      </c>
      <c r="D2328" t="s">
        <v>18443</v>
      </c>
      <c r="E2328" t="b">
        <v>0</v>
      </c>
      <c r="F2328" t="s">
        <v>11610</v>
      </c>
      <c r="L2328">
        <v>0</v>
      </c>
      <c r="M2328">
        <v>0</v>
      </c>
      <c r="N2328">
        <v>0</v>
      </c>
    </row>
    <row r="2329" spans="1:15">
      <c r="A2329" t="s">
        <v>18444</v>
      </c>
      <c r="B2329" t="s">
        <v>11729</v>
      </c>
      <c r="C2329" t="s">
        <v>16475</v>
      </c>
      <c r="D2329" t="s">
        <v>18445</v>
      </c>
      <c r="E2329" t="b">
        <v>0</v>
      </c>
      <c r="F2329" t="s">
        <v>11610</v>
      </c>
      <c r="L2329">
        <v>0</v>
      </c>
      <c r="M2329">
        <v>0</v>
      </c>
      <c r="N2329">
        <v>0</v>
      </c>
    </row>
    <row r="2330" spans="1:15">
      <c r="A2330" t="s">
        <v>18446</v>
      </c>
      <c r="B2330" t="s">
        <v>12438</v>
      </c>
      <c r="C2330" t="s">
        <v>18163</v>
      </c>
      <c r="D2330" t="s">
        <v>18447</v>
      </c>
      <c r="E2330" t="b">
        <v>0</v>
      </c>
      <c r="F2330" t="s">
        <v>11610</v>
      </c>
      <c r="L2330">
        <v>0</v>
      </c>
      <c r="M2330">
        <v>0</v>
      </c>
      <c r="N2330">
        <v>0</v>
      </c>
    </row>
    <row r="2331" spans="1:15">
      <c r="A2331" t="s">
        <v>18448</v>
      </c>
      <c r="B2331" t="s">
        <v>10597</v>
      </c>
      <c r="C2331" t="s">
        <v>2618</v>
      </c>
      <c r="D2331" t="s">
        <v>18449</v>
      </c>
      <c r="E2331" t="b">
        <v>0</v>
      </c>
      <c r="F2331" t="s">
        <v>11624</v>
      </c>
      <c r="G2331">
        <v>-25.555</v>
      </c>
      <c r="H2331">
        <v>146.14699999999999</v>
      </c>
      <c r="I2331" t="s">
        <v>18450</v>
      </c>
      <c r="L2331">
        <v>0</v>
      </c>
      <c r="M2331">
        <v>0</v>
      </c>
      <c r="N2331">
        <v>0</v>
      </c>
      <c r="O2331" t="s">
        <v>12107</v>
      </c>
    </row>
    <row r="2332" spans="1:15">
      <c r="A2332" t="s">
        <v>13910</v>
      </c>
      <c r="B2332" t="s">
        <v>6742</v>
      </c>
      <c r="C2332" t="s">
        <v>18451</v>
      </c>
      <c r="D2332" t="s">
        <v>18452</v>
      </c>
      <c r="E2332" t="b">
        <v>0</v>
      </c>
      <c r="F2332" t="s">
        <v>11624</v>
      </c>
      <c r="G2332">
        <v>11.1097</v>
      </c>
      <c r="H2332">
        <v>-16.149699999999999</v>
      </c>
      <c r="I2332" t="s">
        <v>18453</v>
      </c>
      <c r="L2332">
        <v>0</v>
      </c>
      <c r="M2332">
        <v>0</v>
      </c>
      <c r="N2332">
        <v>4</v>
      </c>
      <c r="O2332" t="s">
        <v>14312</v>
      </c>
    </row>
    <row r="2333" spans="1:15">
      <c r="A2333" t="s">
        <v>18454</v>
      </c>
      <c r="B2333" t="s">
        <v>367</v>
      </c>
      <c r="C2333" t="s">
        <v>16440</v>
      </c>
      <c r="D2333" t="s">
        <v>18455</v>
      </c>
      <c r="E2333" t="b">
        <v>0</v>
      </c>
      <c r="F2333" t="s">
        <v>11624</v>
      </c>
      <c r="G2333">
        <v>-3.6134200000000001</v>
      </c>
      <c r="H2333">
        <v>144.816</v>
      </c>
      <c r="I2333" t="s">
        <v>18456</v>
      </c>
      <c r="L2333">
        <v>0</v>
      </c>
      <c r="M2333">
        <v>0</v>
      </c>
      <c r="N2333">
        <v>0</v>
      </c>
      <c r="O2333" t="s">
        <v>11660</v>
      </c>
    </row>
    <row r="2334" spans="1:15">
      <c r="A2334" t="s">
        <v>18457</v>
      </c>
      <c r="B2334" t="s">
        <v>367</v>
      </c>
      <c r="C2334" t="s">
        <v>16132</v>
      </c>
      <c r="D2334" t="s">
        <v>18458</v>
      </c>
      <c r="E2334" t="b">
        <v>0</v>
      </c>
      <c r="F2334" t="s">
        <v>11624</v>
      </c>
      <c r="G2334">
        <v>-16.6663</v>
      </c>
      <c r="H2334">
        <v>168.154</v>
      </c>
      <c r="I2334" t="s">
        <v>18459</v>
      </c>
      <c r="L2334">
        <v>0</v>
      </c>
      <c r="M2334">
        <v>0</v>
      </c>
      <c r="N2334">
        <v>0</v>
      </c>
      <c r="O2334" t="s">
        <v>12719</v>
      </c>
    </row>
    <row r="2335" spans="1:15">
      <c r="A2335" t="s">
        <v>18460</v>
      </c>
      <c r="B2335" t="s">
        <v>367</v>
      </c>
      <c r="C2335" t="s">
        <v>16133</v>
      </c>
      <c r="D2335" t="s">
        <v>18461</v>
      </c>
      <c r="E2335" t="b">
        <v>0</v>
      </c>
      <c r="F2335" t="s">
        <v>11622</v>
      </c>
      <c r="L2335">
        <v>0</v>
      </c>
      <c r="M2335">
        <v>2</v>
      </c>
      <c r="N2335">
        <v>2</v>
      </c>
    </row>
    <row r="2336" spans="1:15">
      <c r="A2336" t="s">
        <v>18462</v>
      </c>
      <c r="B2336" t="s">
        <v>367</v>
      </c>
      <c r="C2336" t="s">
        <v>18460</v>
      </c>
      <c r="D2336" t="s">
        <v>18463</v>
      </c>
      <c r="E2336" t="b">
        <v>0</v>
      </c>
      <c r="F2336" t="s">
        <v>11624</v>
      </c>
      <c r="G2336">
        <v>-16.7867</v>
      </c>
      <c r="H2336">
        <v>168.232</v>
      </c>
      <c r="I2336" t="s">
        <v>18464</v>
      </c>
      <c r="L2336">
        <v>0</v>
      </c>
      <c r="M2336">
        <v>0</v>
      </c>
      <c r="N2336">
        <v>2</v>
      </c>
      <c r="O2336" t="s">
        <v>12719</v>
      </c>
    </row>
    <row r="2337" spans="1:15">
      <c r="A2337" t="s">
        <v>18465</v>
      </c>
      <c r="B2337" t="s">
        <v>11644</v>
      </c>
      <c r="C2337" t="s">
        <v>18466</v>
      </c>
      <c r="D2337" t="s">
        <v>18467</v>
      </c>
      <c r="E2337" t="b">
        <v>0</v>
      </c>
      <c r="F2337" t="s">
        <v>11624</v>
      </c>
      <c r="G2337">
        <v>24.273506999999999</v>
      </c>
      <c r="H2337">
        <v>92.943420000000003</v>
      </c>
      <c r="I2337" t="s">
        <v>18468</v>
      </c>
      <c r="L2337">
        <v>0</v>
      </c>
      <c r="M2337">
        <v>0</v>
      </c>
      <c r="N2337">
        <v>0</v>
      </c>
      <c r="O2337" t="s">
        <v>11630</v>
      </c>
    </row>
    <row r="2338" spans="1:15">
      <c r="A2338" t="s">
        <v>18469</v>
      </c>
      <c r="B2338" t="s">
        <v>10597</v>
      </c>
      <c r="C2338" t="s">
        <v>18470</v>
      </c>
      <c r="D2338" t="s">
        <v>18471</v>
      </c>
      <c r="E2338" t="b">
        <v>0</v>
      </c>
      <c r="F2338" t="s">
        <v>11624</v>
      </c>
      <c r="G2338">
        <v>-28.265999999999998</v>
      </c>
      <c r="H2338">
        <v>149.51499999999999</v>
      </c>
      <c r="I2338" t="s">
        <v>18472</v>
      </c>
      <c r="L2338">
        <v>0</v>
      </c>
      <c r="M2338">
        <v>0</v>
      </c>
      <c r="N2338">
        <v>0</v>
      </c>
      <c r="O2338" t="s">
        <v>12107</v>
      </c>
    </row>
    <row r="2339" spans="1:15">
      <c r="A2339" t="s">
        <v>18473</v>
      </c>
      <c r="B2339" t="s">
        <v>367</v>
      </c>
      <c r="C2339" t="s">
        <v>13370</v>
      </c>
      <c r="D2339" t="s">
        <v>18474</v>
      </c>
      <c r="E2339" t="b">
        <v>0</v>
      </c>
      <c r="F2339" t="s">
        <v>11624</v>
      </c>
      <c r="G2339">
        <v>-1.9957400000000001</v>
      </c>
      <c r="H2339">
        <v>130.27199999999999</v>
      </c>
      <c r="I2339" t="s">
        <v>18475</v>
      </c>
      <c r="L2339">
        <v>0</v>
      </c>
      <c r="M2339">
        <v>0</v>
      </c>
      <c r="N2339">
        <v>0</v>
      </c>
      <c r="O2339" t="s">
        <v>11768</v>
      </c>
    </row>
    <row r="2340" spans="1:15">
      <c r="A2340" t="s">
        <v>18476</v>
      </c>
      <c r="B2340" t="s">
        <v>11607</v>
      </c>
      <c r="C2340" t="s">
        <v>18435</v>
      </c>
      <c r="D2340" t="s">
        <v>18477</v>
      </c>
      <c r="E2340" t="b">
        <v>0</v>
      </c>
      <c r="F2340" t="s">
        <v>11610</v>
      </c>
      <c r="L2340">
        <v>0</v>
      </c>
      <c r="M2340">
        <v>0</v>
      </c>
      <c r="N2340">
        <v>0</v>
      </c>
    </row>
    <row r="2341" spans="1:15">
      <c r="A2341" t="s">
        <v>18478</v>
      </c>
      <c r="B2341" t="s">
        <v>17023</v>
      </c>
      <c r="C2341" t="s">
        <v>18479</v>
      </c>
      <c r="D2341" t="s">
        <v>18480</v>
      </c>
      <c r="E2341" t="b">
        <v>0</v>
      </c>
      <c r="F2341" t="s">
        <v>11610</v>
      </c>
      <c r="L2341">
        <v>0</v>
      </c>
      <c r="M2341">
        <v>0</v>
      </c>
      <c r="N2341">
        <v>0</v>
      </c>
    </row>
    <row r="2342" spans="1:15">
      <c r="A2342" t="s">
        <v>18481</v>
      </c>
      <c r="B2342" t="s">
        <v>367</v>
      </c>
      <c r="C2342" t="s">
        <v>18482</v>
      </c>
      <c r="D2342" t="s">
        <v>18483</v>
      </c>
      <c r="E2342" t="b">
        <v>0</v>
      </c>
      <c r="F2342" t="s">
        <v>11624</v>
      </c>
      <c r="G2342">
        <v>-16.090299999999999</v>
      </c>
      <c r="H2342">
        <v>167.239</v>
      </c>
      <c r="I2342" t="s">
        <v>18484</v>
      </c>
      <c r="L2342">
        <v>0</v>
      </c>
      <c r="M2342">
        <v>0</v>
      </c>
      <c r="N2342">
        <v>0</v>
      </c>
      <c r="O2342" t="s">
        <v>12719</v>
      </c>
    </row>
    <row r="2343" spans="1:15">
      <c r="A2343" t="s">
        <v>18485</v>
      </c>
      <c r="B2343" t="s">
        <v>12979</v>
      </c>
      <c r="C2343" t="s">
        <v>18486</v>
      </c>
      <c r="D2343" t="s">
        <v>18487</v>
      </c>
      <c r="E2343" t="b">
        <v>0</v>
      </c>
      <c r="F2343" t="s">
        <v>11610</v>
      </c>
      <c r="L2343">
        <v>0</v>
      </c>
      <c r="M2343">
        <v>0</v>
      </c>
      <c r="N2343">
        <v>2</v>
      </c>
    </row>
    <row r="2344" spans="1:15">
      <c r="A2344" t="s">
        <v>18488</v>
      </c>
      <c r="B2344" t="s">
        <v>11637</v>
      </c>
      <c r="C2344" t="s">
        <v>18489</v>
      </c>
      <c r="D2344" t="s">
        <v>18490</v>
      </c>
      <c r="E2344" t="b">
        <v>0</v>
      </c>
      <c r="F2344" t="s">
        <v>11610</v>
      </c>
      <c r="L2344">
        <v>0</v>
      </c>
      <c r="M2344">
        <v>0</v>
      </c>
      <c r="N2344">
        <v>0</v>
      </c>
    </row>
    <row r="2345" spans="1:15">
      <c r="A2345" t="s">
        <v>18491</v>
      </c>
      <c r="B2345" t="s">
        <v>367</v>
      </c>
      <c r="C2345" t="s">
        <v>17736</v>
      </c>
      <c r="D2345" t="s">
        <v>18492</v>
      </c>
      <c r="E2345" t="b">
        <v>0</v>
      </c>
      <c r="F2345" t="s">
        <v>11610</v>
      </c>
      <c r="L2345">
        <v>0</v>
      </c>
      <c r="M2345">
        <v>0</v>
      </c>
      <c r="N2345">
        <v>0</v>
      </c>
    </row>
    <row r="2346" spans="1:15">
      <c r="A2346" t="s">
        <v>18493</v>
      </c>
      <c r="B2346" t="s">
        <v>11637</v>
      </c>
      <c r="C2346" t="s">
        <v>18494</v>
      </c>
      <c r="D2346" t="s">
        <v>18495</v>
      </c>
      <c r="E2346" t="b">
        <v>0</v>
      </c>
      <c r="F2346" t="s">
        <v>11622</v>
      </c>
      <c r="L2346">
        <v>12</v>
      </c>
      <c r="M2346">
        <v>24</v>
      </c>
      <c r="N2346">
        <v>67</v>
      </c>
    </row>
    <row r="2347" spans="1:15">
      <c r="A2347" t="s">
        <v>18496</v>
      </c>
      <c r="B2347" t="s">
        <v>367</v>
      </c>
      <c r="C2347" t="s">
        <v>18497</v>
      </c>
      <c r="D2347" t="s">
        <v>18498</v>
      </c>
      <c r="E2347" t="b">
        <v>0</v>
      </c>
      <c r="F2347" t="s">
        <v>11624</v>
      </c>
      <c r="G2347">
        <v>12.483333</v>
      </c>
      <c r="H2347">
        <v>108.016667</v>
      </c>
      <c r="I2347" t="s">
        <v>18499</v>
      </c>
      <c r="L2347">
        <v>0</v>
      </c>
      <c r="M2347">
        <v>0</v>
      </c>
      <c r="N2347">
        <v>0</v>
      </c>
      <c r="O2347" t="s">
        <v>15949</v>
      </c>
    </row>
    <row r="2348" spans="1:15">
      <c r="A2348" t="s">
        <v>18500</v>
      </c>
      <c r="B2348" t="s">
        <v>11644</v>
      </c>
      <c r="C2348" t="s">
        <v>18501</v>
      </c>
      <c r="D2348" t="s">
        <v>18502</v>
      </c>
      <c r="E2348" t="b">
        <v>0</v>
      </c>
      <c r="F2348" t="s">
        <v>11610</v>
      </c>
      <c r="L2348">
        <v>0</v>
      </c>
      <c r="M2348">
        <v>0</v>
      </c>
      <c r="N2348">
        <v>0</v>
      </c>
    </row>
    <row r="2349" spans="1:15">
      <c r="A2349" t="s">
        <v>18503</v>
      </c>
      <c r="B2349" t="s">
        <v>11637</v>
      </c>
      <c r="C2349" t="s">
        <v>18504</v>
      </c>
      <c r="D2349" t="s">
        <v>18505</v>
      </c>
      <c r="E2349" t="b">
        <v>0</v>
      </c>
      <c r="F2349" t="s">
        <v>11610</v>
      </c>
      <c r="L2349">
        <v>0</v>
      </c>
      <c r="M2349">
        <v>0</v>
      </c>
      <c r="N2349">
        <v>0</v>
      </c>
    </row>
    <row r="2350" spans="1:15">
      <c r="A2350" t="s">
        <v>18506</v>
      </c>
      <c r="B2350" t="s">
        <v>11844</v>
      </c>
      <c r="C2350" t="s">
        <v>9420</v>
      </c>
      <c r="D2350" t="s">
        <v>18507</v>
      </c>
      <c r="E2350" t="b">
        <v>0</v>
      </c>
      <c r="F2350" t="s">
        <v>11610</v>
      </c>
      <c r="L2350">
        <v>0</v>
      </c>
      <c r="M2350">
        <v>0</v>
      </c>
      <c r="N2350">
        <v>0</v>
      </c>
    </row>
    <row r="2351" spans="1:15">
      <c r="A2351" t="s">
        <v>18508</v>
      </c>
      <c r="B2351" t="s">
        <v>11644</v>
      </c>
      <c r="C2351" t="s">
        <v>18509</v>
      </c>
      <c r="D2351" t="s">
        <v>18510</v>
      </c>
      <c r="E2351" t="b">
        <v>0</v>
      </c>
      <c r="F2351" t="s">
        <v>11610</v>
      </c>
      <c r="L2351">
        <v>0</v>
      </c>
      <c r="M2351">
        <v>0</v>
      </c>
      <c r="N2351">
        <v>0</v>
      </c>
    </row>
    <row r="2352" spans="1:15">
      <c r="A2352" t="s">
        <v>18511</v>
      </c>
      <c r="B2352" t="s">
        <v>11644</v>
      </c>
      <c r="C2352" t="s">
        <v>18512</v>
      </c>
      <c r="D2352" t="s">
        <v>18513</v>
      </c>
      <c r="E2352" t="b">
        <v>0</v>
      </c>
      <c r="F2352" t="s">
        <v>11610</v>
      </c>
      <c r="L2352">
        <v>0</v>
      </c>
      <c r="M2352">
        <v>0</v>
      </c>
      <c r="N2352">
        <v>0</v>
      </c>
    </row>
    <row r="2353" spans="1:15">
      <c r="A2353" t="s">
        <v>18514</v>
      </c>
      <c r="B2353" t="s">
        <v>6742</v>
      </c>
      <c r="C2353" t="s">
        <v>18515</v>
      </c>
      <c r="D2353" t="s">
        <v>18516</v>
      </c>
      <c r="E2353" t="b">
        <v>0</v>
      </c>
      <c r="F2353" t="s">
        <v>11610</v>
      </c>
      <c r="L2353">
        <v>0</v>
      </c>
      <c r="M2353">
        <v>0</v>
      </c>
      <c r="N2353">
        <v>0</v>
      </c>
    </row>
    <row r="2354" spans="1:15">
      <c r="A2354" t="s">
        <v>18517</v>
      </c>
      <c r="B2354" t="s">
        <v>11607</v>
      </c>
      <c r="C2354" t="s">
        <v>17194</v>
      </c>
      <c r="D2354" t="s">
        <v>18518</v>
      </c>
      <c r="E2354" t="b">
        <v>0</v>
      </c>
      <c r="F2354" t="s">
        <v>11610</v>
      </c>
      <c r="L2354">
        <v>0</v>
      </c>
      <c r="M2354">
        <v>0</v>
      </c>
      <c r="N2354">
        <v>0</v>
      </c>
    </row>
    <row r="2355" spans="1:15">
      <c r="A2355" t="s">
        <v>18519</v>
      </c>
      <c r="B2355" t="s">
        <v>11644</v>
      </c>
      <c r="C2355" t="s">
        <v>18520</v>
      </c>
      <c r="D2355" t="s">
        <v>18521</v>
      </c>
      <c r="E2355" t="b">
        <v>0</v>
      </c>
      <c r="F2355" t="s">
        <v>11610</v>
      </c>
      <c r="L2355">
        <v>0</v>
      </c>
      <c r="M2355">
        <v>0</v>
      </c>
      <c r="N2355">
        <v>0</v>
      </c>
    </row>
    <row r="2356" spans="1:15">
      <c r="A2356" t="s">
        <v>18522</v>
      </c>
      <c r="B2356" t="s">
        <v>12438</v>
      </c>
      <c r="C2356" t="s">
        <v>14924</v>
      </c>
      <c r="D2356" t="s">
        <v>18523</v>
      </c>
      <c r="E2356" t="b">
        <v>0</v>
      </c>
      <c r="F2356" t="s">
        <v>11624</v>
      </c>
      <c r="G2356">
        <v>22.590399999999999</v>
      </c>
      <c r="H2356">
        <v>84.190700000000007</v>
      </c>
      <c r="I2356" t="s">
        <v>18524</v>
      </c>
      <c r="L2356">
        <v>0</v>
      </c>
      <c r="M2356">
        <v>0</v>
      </c>
      <c r="N2356">
        <v>0</v>
      </c>
      <c r="O2356" t="s">
        <v>11630</v>
      </c>
    </row>
    <row r="2357" spans="1:15">
      <c r="A2357" t="s">
        <v>18451</v>
      </c>
      <c r="B2357" t="s">
        <v>6742</v>
      </c>
      <c r="C2357" t="s">
        <v>16139</v>
      </c>
      <c r="D2357" t="s">
        <v>18525</v>
      </c>
      <c r="E2357" t="b">
        <v>0</v>
      </c>
      <c r="F2357" t="s">
        <v>11622</v>
      </c>
      <c r="L2357">
        <v>0</v>
      </c>
      <c r="M2357">
        <v>2</v>
      </c>
      <c r="N2357">
        <v>4</v>
      </c>
    </row>
    <row r="2358" spans="1:15">
      <c r="A2358" t="s">
        <v>18526</v>
      </c>
      <c r="B2358" t="s">
        <v>6742</v>
      </c>
      <c r="C2358" t="s">
        <v>18527</v>
      </c>
      <c r="D2358" t="s">
        <v>18528</v>
      </c>
      <c r="E2358" t="b">
        <v>0</v>
      </c>
      <c r="F2358" t="s">
        <v>11610</v>
      </c>
      <c r="L2358">
        <v>0</v>
      </c>
      <c r="M2358">
        <v>0</v>
      </c>
      <c r="N2358">
        <v>0</v>
      </c>
    </row>
    <row r="2359" spans="1:15">
      <c r="A2359" t="s">
        <v>18529</v>
      </c>
      <c r="B2359" t="s">
        <v>11627</v>
      </c>
      <c r="C2359" t="s">
        <v>11627</v>
      </c>
      <c r="D2359" t="s">
        <v>18530</v>
      </c>
      <c r="E2359" t="b">
        <v>1</v>
      </c>
      <c r="F2359" t="s">
        <v>11624</v>
      </c>
      <c r="G2359">
        <v>-4.8600000000000003</v>
      </c>
      <c r="H2359">
        <v>142.94499999999999</v>
      </c>
      <c r="I2359" t="s">
        <v>18531</v>
      </c>
      <c r="L2359">
        <v>0</v>
      </c>
      <c r="M2359">
        <v>0</v>
      </c>
      <c r="N2359">
        <v>0</v>
      </c>
      <c r="O2359" t="s">
        <v>11660</v>
      </c>
    </row>
    <row r="2360" spans="1:15">
      <c r="A2360" t="s">
        <v>18532</v>
      </c>
      <c r="B2360" t="s">
        <v>11644</v>
      </c>
      <c r="C2360" t="s">
        <v>18533</v>
      </c>
      <c r="D2360" t="s">
        <v>18534</v>
      </c>
      <c r="E2360" t="b">
        <v>0</v>
      </c>
      <c r="F2360" t="s">
        <v>11622</v>
      </c>
      <c r="L2360">
        <v>0</v>
      </c>
      <c r="M2360">
        <v>4</v>
      </c>
      <c r="N2360">
        <v>0</v>
      </c>
    </row>
    <row r="2361" spans="1:15">
      <c r="A2361" t="s">
        <v>18535</v>
      </c>
      <c r="B2361" t="s">
        <v>6742</v>
      </c>
      <c r="C2361" t="s">
        <v>18536</v>
      </c>
      <c r="D2361" t="s">
        <v>18537</v>
      </c>
      <c r="E2361" t="b">
        <v>0</v>
      </c>
      <c r="F2361" t="s">
        <v>11610</v>
      </c>
      <c r="L2361">
        <v>0</v>
      </c>
      <c r="M2361">
        <v>0</v>
      </c>
      <c r="N2361">
        <v>0</v>
      </c>
    </row>
    <row r="2362" spans="1:15">
      <c r="A2362" t="s">
        <v>18538</v>
      </c>
      <c r="B2362" t="s">
        <v>6742</v>
      </c>
      <c r="C2362" t="s">
        <v>18536</v>
      </c>
      <c r="D2362" t="s">
        <v>18539</v>
      </c>
      <c r="E2362" t="b">
        <v>0</v>
      </c>
      <c r="F2362" t="s">
        <v>11610</v>
      </c>
      <c r="L2362">
        <v>0</v>
      </c>
      <c r="M2362">
        <v>0</v>
      </c>
      <c r="N2362">
        <v>0</v>
      </c>
    </row>
    <row r="2363" spans="1:15">
      <c r="A2363" t="s">
        <v>18540</v>
      </c>
      <c r="B2363" t="s">
        <v>11637</v>
      </c>
      <c r="C2363" t="s">
        <v>17320</v>
      </c>
      <c r="D2363" t="s">
        <v>18541</v>
      </c>
      <c r="E2363" t="b">
        <v>0</v>
      </c>
      <c r="F2363" t="s">
        <v>11610</v>
      </c>
      <c r="L2363">
        <v>0</v>
      </c>
      <c r="M2363">
        <v>0</v>
      </c>
      <c r="N2363">
        <v>0</v>
      </c>
    </row>
    <row r="2364" spans="1:15">
      <c r="A2364" t="s">
        <v>18542</v>
      </c>
      <c r="B2364" t="s">
        <v>12686</v>
      </c>
      <c r="C2364" t="s">
        <v>13964</v>
      </c>
      <c r="D2364" t="s">
        <v>18543</v>
      </c>
      <c r="E2364" t="b">
        <v>0</v>
      </c>
      <c r="F2364" t="s">
        <v>11610</v>
      </c>
      <c r="L2364">
        <v>0</v>
      </c>
      <c r="M2364">
        <v>0</v>
      </c>
      <c r="N2364">
        <v>0</v>
      </c>
    </row>
    <row r="2365" spans="1:15">
      <c r="A2365" t="s">
        <v>18544</v>
      </c>
      <c r="B2365" t="s">
        <v>367</v>
      </c>
      <c r="C2365" t="s">
        <v>12888</v>
      </c>
      <c r="D2365" t="s">
        <v>18545</v>
      </c>
      <c r="E2365" t="b">
        <v>0</v>
      </c>
      <c r="F2365" t="s">
        <v>11622</v>
      </c>
      <c r="L2365">
        <v>3</v>
      </c>
      <c r="M2365">
        <v>8</v>
      </c>
      <c r="N2365">
        <v>7</v>
      </c>
    </row>
    <row r="2366" spans="1:15">
      <c r="A2366" t="s">
        <v>18546</v>
      </c>
      <c r="B2366" t="s">
        <v>11644</v>
      </c>
      <c r="C2366" t="s">
        <v>18547</v>
      </c>
      <c r="D2366" t="s">
        <v>18548</v>
      </c>
      <c r="E2366" t="b">
        <v>0</v>
      </c>
      <c r="F2366" t="s">
        <v>11610</v>
      </c>
      <c r="L2366">
        <v>0</v>
      </c>
      <c r="M2366">
        <v>0</v>
      </c>
      <c r="N2366">
        <v>0</v>
      </c>
    </row>
    <row r="2367" spans="1:15">
      <c r="A2367" t="s">
        <v>18549</v>
      </c>
      <c r="B2367" t="s">
        <v>6742</v>
      </c>
      <c r="C2367" t="s">
        <v>17900</v>
      </c>
      <c r="D2367" t="s">
        <v>18550</v>
      </c>
      <c r="E2367" t="b">
        <v>0</v>
      </c>
      <c r="F2367" t="s">
        <v>11622</v>
      </c>
      <c r="L2367">
        <v>6</v>
      </c>
      <c r="M2367">
        <v>11</v>
      </c>
      <c r="N2367">
        <v>7</v>
      </c>
    </row>
    <row r="2368" spans="1:15">
      <c r="A2368" t="s">
        <v>16392</v>
      </c>
      <c r="B2368" t="s">
        <v>6742</v>
      </c>
      <c r="C2368" t="s">
        <v>18549</v>
      </c>
      <c r="D2368" t="s">
        <v>18551</v>
      </c>
      <c r="E2368" t="b">
        <v>0</v>
      </c>
      <c r="F2368" t="s">
        <v>11622</v>
      </c>
      <c r="L2368">
        <v>3</v>
      </c>
      <c r="M2368">
        <v>7</v>
      </c>
      <c r="N2368">
        <v>2</v>
      </c>
    </row>
    <row r="2369" spans="1:15">
      <c r="A2369" t="s">
        <v>18552</v>
      </c>
      <c r="B2369" t="s">
        <v>6742</v>
      </c>
      <c r="C2369" t="s">
        <v>17672</v>
      </c>
      <c r="D2369" t="s">
        <v>18553</v>
      </c>
      <c r="E2369" t="b">
        <v>0</v>
      </c>
      <c r="F2369" t="s">
        <v>11624</v>
      </c>
      <c r="G2369">
        <v>6.7499700000000002</v>
      </c>
      <c r="H2369">
        <v>10.533300000000001</v>
      </c>
      <c r="I2369" t="s">
        <v>18554</v>
      </c>
      <c r="L2369">
        <v>0</v>
      </c>
      <c r="M2369">
        <v>0</v>
      </c>
      <c r="N2369">
        <v>0</v>
      </c>
      <c r="O2369" t="s">
        <v>11703</v>
      </c>
    </row>
    <row r="2370" spans="1:15">
      <c r="A2370" t="s">
        <v>18555</v>
      </c>
      <c r="B2370" t="s">
        <v>11637</v>
      </c>
      <c r="C2370" t="s">
        <v>18246</v>
      </c>
      <c r="D2370" t="s">
        <v>18556</v>
      </c>
      <c r="E2370" t="b">
        <v>0</v>
      </c>
      <c r="F2370" t="s">
        <v>11624</v>
      </c>
      <c r="G2370">
        <v>31.3842</v>
      </c>
      <c r="H2370">
        <v>76.673900000000003</v>
      </c>
      <c r="I2370" t="s">
        <v>18557</v>
      </c>
      <c r="L2370">
        <v>0</v>
      </c>
      <c r="M2370">
        <v>0</v>
      </c>
      <c r="N2370">
        <v>0</v>
      </c>
      <c r="O2370" t="s">
        <v>11630</v>
      </c>
    </row>
    <row r="2371" spans="1:15">
      <c r="A2371" t="s">
        <v>18558</v>
      </c>
      <c r="B2371" t="s">
        <v>6742</v>
      </c>
      <c r="C2371" t="s">
        <v>4187</v>
      </c>
      <c r="D2371" t="s">
        <v>18559</v>
      </c>
      <c r="E2371" t="b">
        <v>0</v>
      </c>
      <c r="F2371" t="s">
        <v>11610</v>
      </c>
      <c r="L2371">
        <v>0</v>
      </c>
      <c r="M2371">
        <v>0</v>
      </c>
      <c r="N2371">
        <v>0</v>
      </c>
    </row>
    <row r="2372" spans="1:15">
      <c r="A2372" t="s">
        <v>499</v>
      </c>
      <c r="B2372" t="s">
        <v>6742</v>
      </c>
      <c r="C2372" t="s">
        <v>18560</v>
      </c>
      <c r="D2372" t="s">
        <v>18561</v>
      </c>
      <c r="E2372" t="b">
        <v>0</v>
      </c>
      <c r="F2372" t="s">
        <v>11624</v>
      </c>
      <c r="G2372">
        <v>1.16839</v>
      </c>
      <c r="H2372">
        <v>28.762599999999999</v>
      </c>
      <c r="I2372" t="s">
        <v>501</v>
      </c>
      <c r="L2372">
        <v>0</v>
      </c>
      <c r="M2372">
        <v>0</v>
      </c>
      <c r="N2372">
        <v>2</v>
      </c>
      <c r="O2372" t="s">
        <v>14825</v>
      </c>
    </row>
    <row r="2373" spans="1:15">
      <c r="A2373" t="s">
        <v>18562</v>
      </c>
      <c r="B2373" t="s">
        <v>11729</v>
      </c>
      <c r="C2373" t="s">
        <v>18563</v>
      </c>
      <c r="D2373" t="s">
        <v>18564</v>
      </c>
      <c r="E2373" t="b">
        <v>0</v>
      </c>
      <c r="F2373" t="s">
        <v>11610</v>
      </c>
      <c r="L2373">
        <v>0</v>
      </c>
      <c r="M2373">
        <v>0</v>
      </c>
      <c r="N2373">
        <v>0</v>
      </c>
    </row>
    <row r="2374" spans="1:15">
      <c r="A2374" t="s">
        <v>18565</v>
      </c>
      <c r="B2374" t="s">
        <v>11615</v>
      </c>
      <c r="C2374" t="s">
        <v>18566</v>
      </c>
      <c r="D2374" t="s">
        <v>18567</v>
      </c>
      <c r="E2374" t="b">
        <v>0</v>
      </c>
      <c r="F2374" t="s">
        <v>11624</v>
      </c>
      <c r="G2374">
        <v>-4.9311600000000002</v>
      </c>
      <c r="H2374">
        <v>145.559</v>
      </c>
      <c r="I2374" t="s">
        <v>18568</v>
      </c>
      <c r="L2374">
        <v>0</v>
      </c>
      <c r="M2374">
        <v>0</v>
      </c>
      <c r="N2374">
        <v>0</v>
      </c>
      <c r="O2374" t="s">
        <v>11660</v>
      </c>
    </row>
    <row r="2375" spans="1:15">
      <c r="A2375" t="s">
        <v>18297</v>
      </c>
      <c r="B2375" t="s">
        <v>6742</v>
      </c>
      <c r="C2375" t="s">
        <v>13332</v>
      </c>
      <c r="D2375" t="s">
        <v>18569</v>
      </c>
      <c r="E2375" t="b">
        <v>0</v>
      </c>
      <c r="F2375" t="s">
        <v>11622</v>
      </c>
      <c r="L2375">
        <v>1</v>
      </c>
      <c r="M2375">
        <v>5</v>
      </c>
      <c r="N2375">
        <v>3</v>
      </c>
    </row>
    <row r="2376" spans="1:15">
      <c r="A2376" t="s">
        <v>18560</v>
      </c>
      <c r="B2376" t="s">
        <v>6742</v>
      </c>
      <c r="C2376" t="s">
        <v>18297</v>
      </c>
      <c r="D2376" t="s">
        <v>18570</v>
      </c>
      <c r="E2376" t="b">
        <v>0</v>
      </c>
      <c r="F2376" t="s">
        <v>11622</v>
      </c>
      <c r="L2376">
        <v>0</v>
      </c>
      <c r="M2376">
        <v>2</v>
      </c>
      <c r="N2376">
        <v>2</v>
      </c>
    </row>
    <row r="2377" spans="1:15">
      <c r="A2377" t="s">
        <v>18571</v>
      </c>
      <c r="B2377" t="s">
        <v>367</v>
      </c>
      <c r="C2377" t="s">
        <v>18572</v>
      </c>
      <c r="D2377" t="s">
        <v>18573</v>
      </c>
      <c r="E2377" t="b">
        <v>0</v>
      </c>
      <c r="F2377" t="s">
        <v>11624</v>
      </c>
      <c r="G2377">
        <v>-5.2650499999999996</v>
      </c>
      <c r="H2377">
        <v>145.76400000000001</v>
      </c>
      <c r="I2377" t="s">
        <v>18574</v>
      </c>
      <c r="L2377">
        <v>0</v>
      </c>
      <c r="M2377">
        <v>0</v>
      </c>
      <c r="N2377">
        <v>0</v>
      </c>
      <c r="O2377" t="s">
        <v>11660</v>
      </c>
    </row>
    <row r="2378" spans="1:15">
      <c r="A2378" t="s">
        <v>18575</v>
      </c>
      <c r="B2378" t="s">
        <v>367</v>
      </c>
      <c r="C2378" t="s">
        <v>18576</v>
      </c>
      <c r="D2378" t="s">
        <v>18577</v>
      </c>
      <c r="E2378" t="b">
        <v>0</v>
      </c>
      <c r="F2378" t="s">
        <v>11624</v>
      </c>
      <c r="G2378">
        <v>-10.6503</v>
      </c>
      <c r="H2378">
        <v>123.307</v>
      </c>
      <c r="I2378" t="s">
        <v>18578</v>
      </c>
      <c r="L2378">
        <v>0</v>
      </c>
      <c r="M2378">
        <v>0</v>
      </c>
      <c r="N2378">
        <v>3</v>
      </c>
      <c r="O2378" t="s">
        <v>11768</v>
      </c>
    </row>
    <row r="2379" spans="1:15">
      <c r="A2379" t="s">
        <v>18579</v>
      </c>
      <c r="B2379" t="s">
        <v>11637</v>
      </c>
      <c r="C2379" t="s">
        <v>18580</v>
      </c>
      <c r="D2379" t="s">
        <v>18581</v>
      </c>
      <c r="E2379" t="b">
        <v>0</v>
      </c>
      <c r="F2379" t="s">
        <v>11610</v>
      </c>
      <c r="L2379">
        <v>0</v>
      </c>
      <c r="M2379">
        <v>0</v>
      </c>
      <c r="N2379">
        <v>0</v>
      </c>
    </row>
    <row r="2380" spans="1:15">
      <c r="A2380" t="s">
        <v>18582</v>
      </c>
      <c r="B2380" t="s">
        <v>6742</v>
      </c>
      <c r="C2380" t="s">
        <v>18583</v>
      </c>
      <c r="D2380" t="s">
        <v>18584</v>
      </c>
      <c r="E2380" t="b">
        <v>0</v>
      </c>
      <c r="F2380" t="s">
        <v>11610</v>
      </c>
      <c r="L2380">
        <v>0</v>
      </c>
      <c r="M2380">
        <v>0</v>
      </c>
      <c r="N2380">
        <v>0</v>
      </c>
    </row>
    <row r="2381" spans="1:15">
      <c r="A2381" t="s">
        <v>18585</v>
      </c>
      <c r="B2381" t="s">
        <v>6742</v>
      </c>
      <c r="C2381" t="s">
        <v>18586</v>
      </c>
      <c r="D2381" t="s">
        <v>18587</v>
      </c>
      <c r="E2381" t="b">
        <v>0</v>
      </c>
      <c r="F2381" t="s">
        <v>11624</v>
      </c>
      <c r="G2381">
        <v>8.9005200000000002</v>
      </c>
      <c r="H2381">
        <v>11.1907</v>
      </c>
      <c r="I2381" t="s">
        <v>18588</v>
      </c>
      <c r="L2381">
        <v>0</v>
      </c>
      <c r="M2381">
        <v>0</v>
      </c>
      <c r="N2381">
        <v>0</v>
      </c>
      <c r="O2381" t="s">
        <v>11693</v>
      </c>
    </row>
    <row r="2382" spans="1:15">
      <c r="A2382" t="s">
        <v>18589</v>
      </c>
      <c r="B2382" t="s">
        <v>367</v>
      </c>
      <c r="C2382" t="s">
        <v>7411</v>
      </c>
      <c r="D2382" t="s">
        <v>18590</v>
      </c>
      <c r="E2382" t="b">
        <v>0</v>
      </c>
      <c r="F2382" t="s">
        <v>11610</v>
      </c>
      <c r="L2382">
        <v>0</v>
      </c>
      <c r="M2382">
        <v>0</v>
      </c>
      <c r="N2382">
        <v>0</v>
      </c>
    </row>
    <row r="2383" spans="1:15">
      <c r="A2383" t="s">
        <v>18591</v>
      </c>
      <c r="B2383" t="s">
        <v>11644</v>
      </c>
      <c r="C2383" t="s">
        <v>18592</v>
      </c>
      <c r="D2383" t="s">
        <v>18593</v>
      </c>
      <c r="E2383" t="b">
        <v>0</v>
      </c>
      <c r="F2383" t="s">
        <v>11610</v>
      </c>
      <c r="L2383">
        <v>0</v>
      </c>
      <c r="M2383">
        <v>0</v>
      </c>
      <c r="N2383">
        <v>0</v>
      </c>
    </row>
    <row r="2384" spans="1:15">
      <c r="A2384" t="s">
        <v>18594</v>
      </c>
      <c r="B2384" t="s">
        <v>10597</v>
      </c>
      <c r="C2384" t="s">
        <v>18595</v>
      </c>
      <c r="D2384" t="s">
        <v>18596</v>
      </c>
      <c r="E2384" t="b">
        <v>0</v>
      </c>
      <c r="F2384" t="s">
        <v>11610</v>
      </c>
      <c r="G2384">
        <v>-16.868770999999999</v>
      </c>
      <c r="H2384">
        <v>130.53399099999999</v>
      </c>
      <c r="L2384">
        <v>0</v>
      </c>
      <c r="M2384">
        <v>0</v>
      </c>
      <c r="N2384">
        <v>0</v>
      </c>
    </row>
    <row r="2385" spans="1:15">
      <c r="A2385" t="s">
        <v>18597</v>
      </c>
      <c r="B2385" t="s">
        <v>6742</v>
      </c>
      <c r="C2385" t="s">
        <v>18598</v>
      </c>
      <c r="D2385" t="s">
        <v>18599</v>
      </c>
      <c r="E2385" t="b">
        <v>0</v>
      </c>
      <c r="F2385" t="s">
        <v>11610</v>
      </c>
      <c r="L2385">
        <v>0</v>
      </c>
      <c r="M2385">
        <v>0</v>
      </c>
      <c r="N2385">
        <v>0</v>
      </c>
    </row>
    <row r="2386" spans="1:15">
      <c r="A2386" t="s">
        <v>18600</v>
      </c>
      <c r="B2386" t="s">
        <v>367</v>
      </c>
      <c r="C2386" t="s">
        <v>15313</v>
      </c>
      <c r="D2386" t="s">
        <v>18601</v>
      </c>
      <c r="E2386" t="b">
        <v>0</v>
      </c>
      <c r="F2386" t="s">
        <v>11610</v>
      </c>
      <c r="L2386">
        <v>0</v>
      </c>
      <c r="M2386">
        <v>0</v>
      </c>
      <c r="N2386">
        <v>0</v>
      </c>
    </row>
    <row r="2387" spans="1:15">
      <c r="A2387" t="s">
        <v>18602</v>
      </c>
      <c r="B2387" t="s">
        <v>367</v>
      </c>
      <c r="C2387" t="s">
        <v>4363</v>
      </c>
      <c r="D2387" t="s">
        <v>18603</v>
      </c>
      <c r="E2387" t="b">
        <v>0</v>
      </c>
      <c r="F2387" t="s">
        <v>11622</v>
      </c>
      <c r="L2387">
        <v>2</v>
      </c>
      <c r="M2387">
        <v>5</v>
      </c>
      <c r="N2387">
        <v>3</v>
      </c>
    </row>
    <row r="2388" spans="1:15">
      <c r="A2388" t="s">
        <v>18604</v>
      </c>
      <c r="B2388" t="s">
        <v>11607</v>
      </c>
      <c r="C2388" t="s">
        <v>18605</v>
      </c>
      <c r="D2388" t="s">
        <v>18606</v>
      </c>
      <c r="E2388" t="b">
        <v>0</v>
      </c>
      <c r="F2388" t="s">
        <v>11610</v>
      </c>
      <c r="L2388">
        <v>0</v>
      </c>
      <c r="M2388">
        <v>0</v>
      </c>
      <c r="N2388">
        <v>0</v>
      </c>
    </row>
    <row r="2389" spans="1:15">
      <c r="A2389" t="s">
        <v>18607</v>
      </c>
      <c r="B2389" t="s">
        <v>11607</v>
      </c>
      <c r="C2389" t="s">
        <v>18608</v>
      </c>
      <c r="D2389" t="s">
        <v>18609</v>
      </c>
      <c r="E2389" t="b">
        <v>0</v>
      </c>
      <c r="F2389" t="s">
        <v>11624</v>
      </c>
      <c r="G2389">
        <v>15.783300000000001</v>
      </c>
      <c r="H2389">
        <v>38.3917</v>
      </c>
      <c r="I2389" t="s">
        <v>18610</v>
      </c>
      <c r="L2389">
        <v>0</v>
      </c>
      <c r="M2389">
        <v>0</v>
      </c>
      <c r="N2389">
        <v>0</v>
      </c>
      <c r="O2389" t="s">
        <v>18611</v>
      </c>
    </row>
    <row r="2390" spans="1:15">
      <c r="A2390" t="s">
        <v>18612</v>
      </c>
      <c r="B2390" t="s">
        <v>6742</v>
      </c>
      <c r="C2390" t="s">
        <v>11986</v>
      </c>
      <c r="D2390" t="s">
        <v>18613</v>
      </c>
      <c r="E2390" t="b">
        <v>0</v>
      </c>
      <c r="F2390" t="s">
        <v>11610</v>
      </c>
      <c r="L2390">
        <v>0</v>
      </c>
      <c r="M2390">
        <v>0</v>
      </c>
      <c r="N2390">
        <v>0</v>
      </c>
    </row>
    <row r="2391" spans="1:15">
      <c r="A2391" t="s">
        <v>18614</v>
      </c>
      <c r="B2391" t="s">
        <v>12438</v>
      </c>
      <c r="C2391" t="s">
        <v>18163</v>
      </c>
      <c r="D2391" t="s">
        <v>18615</v>
      </c>
      <c r="E2391" t="b">
        <v>0</v>
      </c>
      <c r="F2391" t="s">
        <v>11610</v>
      </c>
      <c r="L2391">
        <v>0</v>
      </c>
      <c r="M2391">
        <v>0</v>
      </c>
      <c r="N2391">
        <v>0</v>
      </c>
    </row>
    <row r="2392" spans="1:15">
      <c r="A2392" t="s">
        <v>18616</v>
      </c>
      <c r="B2392" t="s">
        <v>13967</v>
      </c>
      <c r="C2392" t="s">
        <v>18617</v>
      </c>
      <c r="D2392" t="s">
        <v>18618</v>
      </c>
      <c r="E2392" t="b">
        <v>0</v>
      </c>
      <c r="F2392" t="s">
        <v>11624</v>
      </c>
      <c r="G2392">
        <v>19.100000000000001</v>
      </c>
      <c r="H2392">
        <v>13.0665</v>
      </c>
      <c r="I2392" t="s">
        <v>18619</v>
      </c>
      <c r="L2392">
        <v>0</v>
      </c>
      <c r="M2392">
        <v>0</v>
      </c>
      <c r="N2392">
        <v>2</v>
      </c>
      <c r="O2392" t="s">
        <v>18620</v>
      </c>
    </row>
    <row r="2393" spans="1:15">
      <c r="A2393" t="s">
        <v>18621</v>
      </c>
      <c r="B2393" t="s">
        <v>13967</v>
      </c>
      <c r="C2393" t="s">
        <v>18616</v>
      </c>
      <c r="D2393" t="s">
        <v>18622</v>
      </c>
      <c r="E2393" t="b">
        <v>0</v>
      </c>
      <c r="F2393" t="s">
        <v>11610</v>
      </c>
      <c r="L2393">
        <v>0</v>
      </c>
      <c r="M2393">
        <v>0</v>
      </c>
      <c r="N2393">
        <v>0</v>
      </c>
    </row>
    <row r="2394" spans="1:15">
      <c r="A2394" t="s">
        <v>18623</v>
      </c>
      <c r="B2394" t="s">
        <v>8897</v>
      </c>
      <c r="C2394" t="s">
        <v>18624</v>
      </c>
      <c r="D2394" t="s">
        <v>18625</v>
      </c>
      <c r="E2394" t="b">
        <v>0</v>
      </c>
      <c r="F2394" t="s">
        <v>11624</v>
      </c>
      <c r="G2394">
        <v>31.32</v>
      </c>
      <c r="H2394">
        <v>-89.195099999999996</v>
      </c>
      <c r="I2394" t="s">
        <v>18626</v>
      </c>
      <c r="L2394">
        <v>0</v>
      </c>
      <c r="M2394">
        <v>0</v>
      </c>
      <c r="N2394">
        <v>0</v>
      </c>
      <c r="O2394" t="s">
        <v>11944</v>
      </c>
    </row>
    <row r="2395" spans="1:15">
      <c r="A2395" t="s">
        <v>18627</v>
      </c>
      <c r="B2395" t="s">
        <v>367</v>
      </c>
      <c r="C2395" t="s">
        <v>18628</v>
      </c>
      <c r="D2395" t="s">
        <v>18629</v>
      </c>
      <c r="E2395" t="b">
        <v>0</v>
      </c>
      <c r="F2395" t="s">
        <v>11624</v>
      </c>
      <c r="G2395">
        <v>-4.3973199999999997</v>
      </c>
      <c r="H2395">
        <v>152.334</v>
      </c>
      <c r="I2395" t="s">
        <v>18630</v>
      </c>
      <c r="L2395">
        <v>0</v>
      </c>
      <c r="M2395">
        <v>0</v>
      </c>
      <c r="N2395">
        <v>0</v>
      </c>
      <c r="O2395" t="s">
        <v>11660</v>
      </c>
    </row>
    <row r="2396" spans="1:15">
      <c r="A2396" t="s">
        <v>18631</v>
      </c>
      <c r="D2396" t="s">
        <v>18632</v>
      </c>
      <c r="E2396" t="b">
        <v>0</v>
      </c>
      <c r="F2396" t="s">
        <v>11624</v>
      </c>
      <c r="G2396">
        <v>-7.9238799999999996</v>
      </c>
      <c r="H2396">
        <v>156.66300000000001</v>
      </c>
      <c r="I2396" t="s">
        <v>18633</v>
      </c>
      <c r="L2396">
        <v>0</v>
      </c>
      <c r="M2396">
        <v>0</v>
      </c>
      <c r="N2396">
        <v>0</v>
      </c>
      <c r="O2396" t="s">
        <v>13346</v>
      </c>
    </row>
    <row r="2397" spans="1:15">
      <c r="A2397" t="s">
        <v>18634</v>
      </c>
      <c r="B2397" t="s">
        <v>6742</v>
      </c>
      <c r="C2397" t="s">
        <v>18635</v>
      </c>
      <c r="D2397" t="s">
        <v>18636</v>
      </c>
      <c r="E2397" t="b">
        <v>0</v>
      </c>
      <c r="F2397" t="s">
        <v>11610</v>
      </c>
      <c r="L2397">
        <v>0</v>
      </c>
      <c r="M2397">
        <v>0</v>
      </c>
      <c r="N2397">
        <v>0</v>
      </c>
    </row>
    <row r="2398" spans="1:15">
      <c r="A2398" t="s">
        <v>18637</v>
      </c>
      <c r="B2398" t="s">
        <v>367</v>
      </c>
      <c r="C2398" t="s">
        <v>14692</v>
      </c>
      <c r="D2398" t="s">
        <v>18638</v>
      </c>
      <c r="E2398" t="b">
        <v>0</v>
      </c>
      <c r="F2398" t="s">
        <v>11624</v>
      </c>
      <c r="G2398">
        <v>-8.57376</v>
      </c>
      <c r="H2398">
        <v>118.44499999999999</v>
      </c>
      <c r="I2398" t="s">
        <v>18639</v>
      </c>
      <c r="L2398">
        <v>0</v>
      </c>
      <c r="M2398">
        <v>0</v>
      </c>
      <c r="N2398">
        <v>5</v>
      </c>
      <c r="O2398" t="s">
        <v>11768</v>
      </c>
    </row>
    <row r="2399" spans="1:15">
      <c r="A2399" t="s">
        <v>18640</v>
      </c>
      <c r="B2399" t="s">
        <v>11615</v>
      </c>
      <c r="C2399" t="s">
        <v>18641</v>
      </c>
      <c r="D2399" t="s">
        <v>18642</v>
      </c>
      <c r="E2399" t="b">
        <v>0</v>
      </c>
      <c r="F2399" t="s">
        <v>11610</v>
      </c>
      <c r="L2399">
        <v>0</v>
      </c>
      <c r="M2399">
        <v>0</v>
      </c>
      <c r="N2399">
        <v>0</v>
      </c>
    </row>
    <row r="2400" spans="1:15">
      <c r="A2400" t="s">
        <v>18643</v>
      </c>
      <c r="B2400" t="s">
        <v>11615</v>
      </c>
      <c r="C2400" t="s">
        <v>18644</v>
      </c>
      <c r="D2400" t="s">
        <v>18645</v>
      </c>
      <c r="E2400" t="b">
        <v>0</v>
      </c>
      <c r="F2400" t="s">
        <v>11624</v>
      </c>
      <c r="G2400">
        <v>-5.3873199999999999</v>
      </c>
      <c r="H2400">
        <v>142.04</v>
      </c>
      <c r="I2400" t="s">
        <v>18646</v>
      </c>
      <c r="L2400">
        <v>0</v>
      </c>
      <c r="M2400">
        <v>0</v>
      </c>
      <c r="N2400">
        <v>2</v>
      </c>
      <c r="O2400" t="s">
        <v>11660</v>
      </c>
    </row>
    <row r="2401" spans="1:15">
      <c r="A2401" t="s">
        <v>18647</v>
      </c>
      <c r="B2401" t="s">
        <v>11615</v>
      </c>
      <c r="C2401" t="s">
        <v>18643</v>
      </c>
      <c r="D2401" t="s">
        <v>18648</v>
      </c>
      <c r="E2401" t="b">
        <v>0</v>
      </c>
      <c r="F2401" t="s">
        <v>11610</v>
      </c>
      <c r="L2401">
        <v>0</v>
      </c>
      <c r="M2401">
        <v>0</v>
      </c>
      <c r="N2401">
        <v>0</v>
      </c>
    </row>
    <row r="2402" spans="1:15">
      <c r="A2402" t="s">
        <v>18649</v>
      </c>
      <c r="B2402" t="s">
        <v>6742</v>
      </c>
      <c r="C2402" t="s">
        <v>18650</v>
      </c>
      <c r="D2402" t="s">
        <v>18651</v>
      </c>
      <c r="E2402" t="b">
        <v>0</v>
      </c>
      <c r="F2402" t="s">
        <v>11624</v>
      </c>
      <c r="G2402">
        <v>10.4575</v>
      </c>
      <c r="H2402">
        <v>6.1210000000000001E-2</v>
      </c>
      <c r="I2402" t="s">
        <v>18652</v>
      </c>
      <c r="L2402">
        <v>0</v>
      </c>
      <c r="M2402">
        <v>0</v>
      </c>
      <c r="N2402">
        <v>0</v>
      </c>
      <c r="O2402" t="s">
        <v>12006</v>
      </c>
    </row>
    <row r="2403" spans="1:15">
      <c r="A2403" t="s">
        <v>18653</v>
      </c>
      <c r="B2403" t="s">
        <v>6742</v>
      </c>
      <c r="C2403" t="s">
        <v>18654</v>
      </c>
      <c r="D2403" t="s">
        <v>18655</v>
      </c>
      <c r="E2403" t="b">
        <v>0</v>
      </c>
      <c r="F2403" t="s">
        <v>11624</v>
      </c>
      <c r="G2403">
        <v>10.286799999999999</v>
      </c>
      <c r="H2403">
        <v>8.19726</v>
      </c>
      <c r="I2403" t="s">
        <v>18656</v>
      </c>
      <c r="L2403">
        <v>0</v>
      </c>
      <c r="M2403">
        <v>0</v>
      </c>
      <c r="N2403">
        <v>0</v>
      </c>
      <c r="O2403" t="s">
        <v>11693</v>
      </c>
    </row>
    <row r="2404" spans="1:15">
      <c r="A2404" t="s">
        <v>18657</v>
      </c>
      <c r="B2404" t="s">
        <v>367</v>
      </c>
      <c r="C2404" t="s">
        <v>18658</v>
      </c>
      <c r="D2404" t="s">
        <v>18659</v>
      </c>
      <c r="E2404" t="b">
        <v>0</v>
      </c>
      <c r="F2404" t="s">
        <v>11624</v>
      </c>
      <c r="G2404">
        <v>-10.2667</v>
      </c>
      <c r="H2404">
        <v>149.661</v>
      </c>
      <c r="I2404" t="s">
        <v>18660</v>
      </c>
      <c r="L2404">
        <v>0</v>
      </c>
      <c r="M2404">
        <v>0</v>
      </c>
      <c r="N2404">
        <v>0</v>
      </c>
      <c r="O2404" t="s">
        <v>11660</v>
      </c>
    </row>
    <row r="2405" spans="1:15">
      <c r="A2405" t="s">
        <v>18661</v>
      </c>
      <c r="B2405" t="s">
        <v>367</v>
      </c>
      <c r="C2405" t="s">
        <v>17227</v>
      </c>
      <c r="D2405" t="s">
        <v>18662</v>
      </c>
      <c r="E2405" t="b">
        <v>0</v>
      </c>
      <c r="F2405" t="s">
        <v>11610</v>
      </c>
      <c r="L2405">
        <v>0</v>
      </c>
      <c r="M2405">
        <v>0</v>
      </c>
      <c r="N2405">
        <v>0</v>
      </c>
    </row>
    <row r="2406" spans="1:15">
      <c r="A2406" t="s">
        <v>18663</v>
      </c>
      <c r="B2406" t="s">
        <v>14798</v>
      </c>
      <c r="C2406" t="s">
        <v>14798</v>
      </c>
      <c r="D2406" t="s">
        <v>18664</v>
      </c>
      <c r="E2406" t="b">
        <v>0</v>
      </c>
      <c r="F2406" t="s">
        <v>11622</v>
      </c>
      <c r="L2406">
        <v>0</v>
      </c>
      <c r="M2406">
        <v>2</v>
      </c>
      <c r="N2406">
        <v>0</v>
      </c>
    </row>
    <row r="2407" spans="1:15">
      <c r="A2407" t="s">
        <v>18665</v>
      </c>
      <c r="B2407" t="s">
        <v>14798</v>
      </c>
      <c r="C2407" t="s">
        <v>18663</v>
      </c>
      <c r="D2407" t="s">
        <v>18666</v>
      </c>
      <c r="E2407" t="b">
        <v>0</v>
      </c>
      <c r="F2407" t="s">
        <v>11624</v>
      </c>
      <c r="G2407">
        <v>-10.133855000000001</v>
      </c>
      <c r="H2407">
        <v>148.72309200000001</v>
      </c>
      <c r="L2407">
        <v>0</v>
      </c>
      <c r="M2407">
        <v>0</v>
      </c>
      <c r="N2407">
        <v>0</v>
      </c>
      <c r="O2407" t="s">
        <v>11660</v>
      </c>
    </row>
    <row r="2408" spans="1:15">
      <c r="A2408" t="s">
        <v>18667</v>
      </c>
      <c r="B2408" t="s">
        <v>14798</v>
      </c>
      <c r="C2408" t="s">
        <v>18663</v>
      </c>
      <c r="D2408" t="s">
        <v>18668</v>
      </c>
      <c r="E2408" t="b">
        <v>0</v>
      </c>
      <c r="F2408" t="s">
        <v>11624</v>
      </c>
      <c r="G2408">
        <v>-10.087400000000001</v>
      </c>
      <c r="H2408">
        <v>148.83500000000001</v>
      </c>
      <c r="I2408" t="s">
        <v>18669</v>
      </c>
      <c r="L2408">
        <v>0</v>
      </c>
      <c r="M2408">
        <v>0</v>
      </c>
      <c r="N2408">
        <v>0</v>
      </c>
      <c r="O2408" t="s">
        <v>11660</v>
      </c>
    </row>
    <row r="2409" spans="1:15">
      <c r="A2409" t="s">
        <v>18670</v>
      </c>
      <c r="B2409" t="s">
        <v>11615</v>
      </c>
      <c r="C2409" t="s">
        <v>11615</v>
      </c>
      <c r="D2409" t="s">
        <v>18671</v>
      </c>
      <c r="E2409" t="b">
        <v>0</v>
      </c>
      <c r="F2409" t="s">
        <v>11622</v>
      </c>
      <c r="L2409">
        <v>8</v>
      </c>
      <c r="M2409">
        <v>13</v>
      </c>
      <c r="N2409">
        <v>14</v>
      </c>
    </row>
    <row r="2410" spans="1:15">
      <c r="A2410" t="s">
        <v>13351</v>
      </c>
      <c r="B2410" t="s">
        <v>11615</v>
      </c>
      <c r="C2410" t="s">
        <v>18672</v>
      </c>
      <c r="D2410" t="s">
        <v>18673</v>
      </c>
      <c r="E2410" t="b">
        <v>0</v>
      </c>
      <c r="F2410" t="s">
        <v>11624</v>
      </c>
      <c r="G2410">
        <v>-8.3743300000000005</v>
      </c>
      <c r="H2410">
        <v>147.88399999999999</v>
      </c>
      <c r="I2410" t="s">
        <v>18674</v>
      </c>
      <c r="L2410">
        <v>0</v>
      </c>
      <c r="M2410">
        <v>0</v>
      </c>
      <c r="N2410">
        <v>2</v>
      </c>
      <c r="O2410" t="s">
        <v>11660</v>
      </c>
    </row>
    <row r="2411" spans="1:15">
      <c r="A2411" t="s">
        <v>18675</v>
      </c>
      <c r="B2411" t="s">
        <v>11615</v>
      </c>
      <c r="C2411" t="s">
        <v>13351</v>
      </c>
      <c r="D2411" t="s">
        <v>18676</v>
      </c>
      <c r="E2411" t="b">
        <v>0</v>
      </c>
      <c r="F2411" t="s">
        <v>11610</v>
      </c>
      <c r="L2411">
        <v>0</v>
      </c>
      <c r="M2411">
        <v>0</v>
      </c>
      <c r="N2411">
        <v>0</v>
      </c>
    </row>
    <row r="2412" spans="1:15">
      <c r="A2412" t="s">
        <v>18677</v>
      </c>
      <c r="B2412" t="s">
        <v>11615</v>
      </c>
      <c r="C2412" t="s">
        <v>18670</v>
      </c>
      <c r="D2412" t="s">
        <v>18678</v>
      </c>
      <c r="E2412" t="b">
        <v>0</v>
      </c>
      <c r="F2412" t="s">
        <v>11622</v>
      </c>
      <c r="L2412">
        <v>7</v>
      </c>
      <c r="M2412">
        <v>12</v>
      </c>
      <c r="N2412">
        <v>13</v>
      </c>
    </row>
    <row r="2413" spans="1:15">
      <c r="A2413" t="s">
        <v>18679</v>
      </c>
      <c r="B2413" t="s">
        <v>18680</v>
      </c>
      <c r="C2413" t="s">
        <v>18681</v>
      </c>
      <c r="D2413" t="s">
        <v>18682</v>
      </c>
      <c r="E2413" t="b">
        <v>0</v>
      </c>
      <c r="F2413" t="s">
        <v>11610</v>
      </c>
      <c r="L2413">
        <v>0</v>
      </c>
      <c r="M2413">
        <v>0</v>
      </c>
      <c r="N2413">
        <v>0</v>
      </c>
    </row>
    <row r="2414" spans="1:15">
      <c r="A2414" t="s">
        <v>18683</v>
      </c>
      <c r="B2414" t="s">
        <v>10597</v>
      </c>
      <c r="C2414" t="s">
        <v>18684</v>
      </c>
      <c r="D2414" t="s">
        <v>18685</v>
      </c>
      <c r="E2414" t="b">
        <v>0</v>
      </c>
      <c r="F2414" t="s">
        <v>11624</v>
      </c>
      <c r="L2414">
        <v>0</v>
      </c>
      <c r="M2414">
        <v>0</v>
      </c>
      <c r="N2414">
        <v>0</v>
      </c>
      <c r="O2414" t="s">
        <v>12107</v>
      </c>
    </row>
    <row r="2415" spans="1:15">
      <c r="A2415" t="s">
        <v>18686</v>
      </c>
      <c r="B2415" t="s">
        <v>10597</v>
      </c>
      <c r="C2415" t="s">
        <v>18684</v>
      </c>
      <c r="D2415" t="s">
        <v>18687</v>
      </c>
      <c r="E2415" t="b">
        <v>0</v>
      </c>
      <c r="F2415" t="s">
        <v>11624</v>
      </c>
      <c r="L2415">
        <v>0</v>
      </c>
      <c r="M2415">
        <v>0</v>
      </c>
      <c r="N2415">
        <v>0</v>
      </c>
      <c r="O2415" t="s">
        <v>12107</v>
      </c>
    </row>
    <row r="2416" spans="1:15">
      <c r="A2416" t="s">
        <v>18688</v>
      </c>
      <c r="B2416" t="s">
        <v>10597</v>
      </c>
      <c r="C2416" t="s">
        <v>18684</v>
      </c>
      <c r="D2416" t="s">
        <v>18689</v>
      </c>
      <c r="E2416" t="b">
        <v>0</v>
      </c>
      <c r="F2416" t="s">
        <v>11624</v>
      </c>
      <c r="L2416">
        <v>0</v>
      </c>
      <c r="M2416">
        <v>0</v>
      </c>
      <c r="N2416">
        <v>0</v>
      </c>
      <c r="O2416" t="s">
        <v>12107</v>
      </c>
    </row>
    <row r="2417" spans="1:15">
      <c r="A2417" t="s">
        <v>18684</v>
      </c>
      <c r="B2417" t="s">
        <v>10597</v>
      </c>
      <c r="C2417" t="s">
        <v>18690</v>
      </c>
      <c r="D2417" t="s">
        <v>18691</v>
      </c>
      <c r="E2417" t="b">
        <v>0</v>
      </c>
      <c r="F2417" t="s">
        <v>11622</v>
      </c>
      <c r="L2417">
        <v>0</v>
      </c>
      <c r="M2417">
        <v>3</v>
      </c>
      <c r="N2417">
        <v>0</v>
      </c>
    </row>
    <row r="2418" spans="1:15">
      <c r="A2418" t="s">
        <v>8688</v>
      </c>
      <c r="B2418" t="s">
        <v>11686</v>
      </c>
      <c r="C2418" t="s">
        <v>11686</v>
      </c>
      <c r="D2418" t="s">
        <v>18692</v>
      </c>
      <c r="E2418" t="b">
        <v>0</v>
      </c>
      <c r="F2418" t="s">
        <v>11624</v>
      </c>
      <c r="G2418">
        <v>-9.0887899999999995</v>
      </c>
      <c r="H2418">
        <v>142.893</v>
      </c>
      <c r="I2418" t="s">
        <v>8689</v>
      </c>
      <c r="L2418">
        <v>0</v>
      </c>
      <c r="M2418">
        <v>0</v>
      </c>
      <c r="N2418">
        <v>7</v>
      </c>
      <c r="O2418" t="s">
        <v>11660</v>
      </c>
    </row>
    <row r="2419" spans="1:15">
      <c r="A2419" t="s">
        <v>18693</v>
      </c>
      <c r="B2419" t="s">
        <v>11637</v>
      </c>
      <c r="C2419" t="s">
        <v>4401</v>
      </c>
      <c r="D2419" t="s">
        <v>18694</v>
      </c>
      <c r="E2419" t="b">
        <v>0</v>
      </c>
      <c r="F2419" t="s">
        <v>11610</v>
      </c>
      <c r="L2419">
        <v>0</v>
      </c>
      <c r="M2419">
        <v>0</v>
      </c>
      <c r="N2419">
        <v>0</v>
      </c>
    </row>
    <row r="2420" spans="1:15">
      <c r="A2420" t="s">
        <v>18695</v>
      </c>
      <c r="B2420" t="s">
        <v>11729</v>
      </c>
      <c r="C2420" t="s">
        <v>18696</v>
      </c>
      <c r="D2420" t="s">
        <v>18697</v>
      </c>
      <c r="E2420" t="b">
        <v>0</v>
      </c>
      <c r="F2420" t="s">
        <v>11610</v>
      </c>
      <c r="L2420">
        <v>0</v>
      </c>
      <c r="M2420">
        <v>0</v>
      </c>
      <c r="N2420">
        <v>0</v>
      </c>
    </row>
    <row r="2421" spans="1:15">
      <c r="A2421" t="s">
        <v>18698</v>
      </c>
      <c r="B2421" t="s">
        <v>11637</v>
      </c>
      <c r="C2421" t="s">
        <v>13105</v>
      </c>
      <c r="D2421" t="s">
        <v>18699</v>
      </c>
      <c r="E2421" t="b">
        <v>0</v>
      </c>
      <c r="F2421" t="s">
        <v>11610</v>
      </c>
      <c r="L2421">
        <v>0</v>
      </c>
      <c r="M2421">
        <v>0</v>
      </c>
      <c r="N2421">
        <v>0</v>
      </c>
    </row>
    <row r="2422" spans="1:15">
      <c r="A2422" t="s">
        <v>18700</v>
      </c>
      <c r="B2422" t="s">
        <v>6742</v>
      </c>
      <c r="C2422" t="s">
        <v>11737</v>
      </c>
      <c r="D2422" t="s">
        <v>18701</v>
      </c>
      <c r="E2422" t="b">
        <v>0</v>
      </c>
      <c r="F2422" t="s">
        <v>11610</v>
      </c>
      <c r="L2422">
        <v>0</v>
      </c>
      <c r="M2422">
        <v>0</v>
      </c>
      <c r="N2422">
        <v>0</v>
      </c>
    </row>
    <row r="2423" spans="1:15">
      <c r="A2423" t="s">
        <v>18702</v>
      </c>
      <c r="B2423" t="s">
        <v>6742</v>
      </c>
      <c r="C2423" t="s">
        <v>18703</v>
      </c>
      <c r="D2423" t="s">
        <v>18704</v>
      </c>
      <c r="E2423" t="b">
        <v>0</v>
      </c>
      <c r="F2423" t="s">
        <v>11624</v>
      </c>
      <c r="G2423">
        <v>6.4070099999999996</v>
      </c>
      <c r="H2423">
        <v>5.7042599999999997</v>
      </c>
      <c r="I2423" t="s">
        <v>18705</v>
      </c>
      <c r="L2423">
        <v>0</v>
      </c>
      <c r="M2423">
        <v>0</v>
      </c>
      <c r="N2423">
        <v>0</v>
      </c>
      <c r="O2423" t="s">
        <v>11693</v>
      </c>
    </row>
    <row r="2424" spans="1:15">
      <c r="A2424" t="s">
        <v>18706</v>
      </c>
      <c r="B2424" t="s">
        <v>11637</v>
      </c>
      <c r="C2424" t="s">
        <v>15977</v>
      </c>
      <c r="D2424" t="s">
        <v>18707</v>
      </c>
      <c r="E2424" t="b">
        <v>0</v>
      </c>
      <c r="F2424" t="s">
        <v>11610</v>
      </c>
      <c r="L2424">
        <v>0</v>
      </c>
      <c r="M2424">
        <v>0</v>
      </c>
      <c r="N2424">
        <v>0</v>
      </c>
    </row>
    <row r="2425" spans="1:15">
      <c r="A2425" t="s">
        <v>18708</v>
      </c>
      <c r="B2425" t="s">
        <v>6742</v>
      </c>
      <c r="C2425" t="s">
        <v>18709</v>
      </c>
      <c r="D2425" t="s">
        <v>18710</v>
      </c>
      <c r="E2425" t="b">
        <v>0</v>
      </c>
      <c r="F2425" t="s">
        <v>11610</v>
      </c>
      <c r="L2425">
        <v>0</v>
      </c>
      <c r="M2425">
        <v>0</v>
      </c>
      <c r="N2425">
        <v>0</v>
      </c>
    </row>
    <row r="2426" spans="1:15">
      <c r="A2426" t="s">
        <v>18711</v>
      </c>
      <c r="B2426" t="s">
        <v>6742</v>
      </c>
      <c r="C2426" t="s">
        <v>18712</v>
      </c>
      <c r="D2426" t="s">
        <v>18713</v>
      </c>
      <c r="E2426" t="b">
        <v>0</v>
      </c>
      <c r="F2426" t="s">
        <v>11624</v>
      </c>
      <c r="G2426">
        <v>-6.7</v>
      </c>
      <c r="H2426">
        <v>21.7</v>
      </c>
      <c r="I2426" t="s">
        <v>18714</v>
      </c>
      <c r="L2426">
        <v>0</v>
      </c>
      <c r="M2426">
        <v>0</v>
      </c>
      <c r="N2426">
        <v>0</v>
      </c>
      <c r="O2426" t="s">
        <v>14825</v>
      </c>
    </row>
    <row r="2427" spans="1:15">
      <c r="A2427" t="s">
        <v>18715</v>
      </c>
      <c r="B2427" t="s">
        <v>6742</v>
      </c>
      <c r="C2427" t="s">
        <v>18716</v>
      </c>
      <c r="D2427" t="s">
        <v>18717</v>
      </c>
      <c r="E2427" t="b">
        <v>0</v>
      </c>
      <c r="F2427" t="s">
        <v>11610</v>
      </c>
      <c r="L2427">
        <v>0</v>
      </c>
      <c r="M2427">
        <v>0</v>
      </c>
      <c r="N2427">
        <v>0</v>
      </c>
    </row>
    <row r="2428" spans="1:15">
      <c r="A2428" t="s">
        <v>18718</v>
      </c>
      <c r="B2428" t="s">
        <v>367</v>
      </c>
      <c r="C2428" t="s">
        <v>5348</v>
      </c>
      <c r="D2428" t="s">
        <v>18719</v>
      </c>
      <c r="E2428" t="b">
        <v>0</v>
      </c>
      <c r="F2428" t="s">
        <v>11610</v>
      </c>
      <c r="L2428">
        <v>0</v>
      </c>
      <c r="M2428">
        <v>0</v>
      </c>
      <c r="N2428">
        <v>0</v>
      </c>
    </row>
    <row r="2429" spans="1:15">
      <c r="A2429" t="s">
        <v>18720</v>
      </c>
      <c r="B2429" t="s">
        <v>367</v>
      </c>
      <c r="C2429" t="s">
        <v>18721</v>
      </c>
      <c r="D2429" t="s">
        <v>18722</v>
      </c>
      <c r="E2429" t="b">
        <v>0</v>
      </c>
      <c r="F2429" t="s">
        <v>11624</v>
      </c>
      <c r="G2429">
        <v>17.597200000000001</v>
      </c>
      <c r="H2429">
        <v>120.876</v>
      </c>
      <c r="I2429" t="s">
        <v>18723</v>
      </c>
      <c r="L2429">
        <v>0</v>
      </c>
      <c r="M2429">
        <v>0</v>
      </c>
      <c r="N2429">
        <v>0</v>
      </c>
      <c r="O2429" t="s">
        <v>11749</v>
      </c>
    </row>
    <row r="2430" spans="1:15">
      <c r="A2430" t="s">
        <v>18724</v>
      </c>
      <c r="B2430" t="s">
        <v>367</v>
      </c>
      <c r="C2430" t="s">
        <v>18725</v>
      </c>
      <c r="D2430" t="s">
        <v>18726</v>
      </c>
      <c r="E2430" t="b">
        <v>0</v>
      </c>
      <c r="F2430" t="s">
        <v>11610</v>
      </c>
      <c r="L2430">
        <v>0</v>
      </c>
      <c r="M2430">
        <v>0</v>
      </c>
      <c r="N2430">
        <v>0</v>
      </c>
    </row>
    <row r="2431" spans="1:15">
      <c r="A2431" t="s">
        <v>18727</v>
      </c>
      <c r="B2431" t="s">
        <v>367</v>
      </c>
      <c r="C2431" t="s">
        <v>12480</v>
      </c>
      <c r="D2431" t="s">
        <v>18728</v>
      </c>
      <c r="E2431" t="b">
        <v>0</v>
      </c>
      <c r="F2431" t="s">
        <v>11610</v>
      </c>
      <c r="L2431">
        <v>0</v>
      </c>
      <c r="M2431">
        <v>0</v>
      </c>
      <c r="N2431">
        <v>0</v>
      </c>
    </row>
    <row r="2432" spans="1:15">
      <c r="A2432" t="s">
        <v>18729</v>
      </c>
      <c r="B2432" t="s">
        <v>367</v>
      </c>
      <c r="C2432" t="s">
        <v>18730</v>
      </c>
      <c r="D2432" t="s">
        <v>18731</v>
      </c>
      <c r="E2432" t="b">
        <v>0</v>
      </c>
      <c r="F2432" t="s">
        <v>11624</v>
      </c>
      <c r="G2432">
        <v>0.75068999999999997</v>
      </c>
      <c r="H2432">
        <v>123.486</v>
      </c>
      <c r="I2432" t="s">
        <v>18732</v>
      </c>
      <c r="L2432">
        <v>0</v>
      </c>
      <c r="M2432">
        <v>0</v>
      </c>
      <c r="N2432">
        <v>0</v>
      </c>
      <c r="O2432" t="s">
        <v>11768</v>
      </c>
    </row>
    <row r="2433" spans="1:15">
      <c r="A2433" t="s">
        <v>18733</v>
      </c>
      <c r="B2433" t="s">
        <v>367</v>
      </c>
      <c r="C2433" t="s">
        <v>18061</v>
      </c>
      <c r="D2433" t="s">
        <v>18734</v>
      </c>
      <c r="E2433" t="b">
        <v>0</v>
      </c>
      <c r="F2433" t="s">
        <v>11624</v>
      </c>
      <c r="G2433">
        <v>3.867</v>
      </c>
      <c r="H2433">
        <v>113.634</v>
      </c>
      <c r="I2433" t="s">
        <v>18735</v>
      </c>
      <c r="L2433">
        <v>0</v>
      </c>
      <c r="M2433">
        <v>0</v>
      </c>
      <c r="N2433">
        <v>0</v>
      </c>
      <c r="O2433" t="s">
        <v>11672</v>
      </c>
    </row>
    <row r="2434" spans="1:15">
      <c r="A2434" t="s">
        <v>18736</v>
      </c>
      <c r="B2434" t="s">
        <v>367</v>
      </c>
      <c r="C2434" t="s">
        <v>18737</v>
      </c>
      <c r="D2434" t="s">
        <v>18738</v>
      </c>
      <c r="E2434" t="b">
        <v>0</v>
      </c>
      <c r="F2434" t="s">
        <v>11624</v>
      </c>
      <c r="G2434">
        <v>8.1593300000000006</v>
      </c>
      <c r="H2434">
        <v>124.892</v>
      </c>
      <c r="I2434" t="s">
        <v>18739</v>
      </c>
      <c r="L2434">
        <v>0</v>
      </c>
      <c r="M2434">
        <v>0</v>
      </c>
      <c r="N2434">
        <v>0</v>
      </c>
      <c r="O2434" t="s">
        <v>11749</v>
      </c>
    </row>
    <row r="2435" spans="1:15">
      <c r="A2435" t="s">
        <v>18740</v>
      </c>
      <c r="B2435" t="s">
        <v>11615</v>
      </c>
      <c r="C2435" t="s">
        <v>18741</v>
      </c>
      <c r="D2435" t="s">
        <v>18742</v>
      </c>
      <c r="E2435" t="b">
        <v>0</v>
      </c>
      <c r="F2435" t="s">
        <v>11624</v>
      </c>
      <c r="G2435">
        <v>-6.2206799999999998</v>
      </c>
      <c r="H2435">
        <v>146.102</v>
      </c>
      <c r="I2435" t="s">
        <v>18743</v>
      </c>
      <c r="L2435">
        <v>0</v>
      </c>
      <c r="M2435">
        <v>0</v>
      </c>
      <c r="N2435">
        <v>0</v>
      </c>
      <c r="O2435" t="s">
        <v>11660</v>
      </c>
    </row>
    <row r="2436" spans="1:15">
      <c r="A2436" t="s">
        <v>18744</v>
      </c>
      <c r="B2436" t="s">
        <v>367</v>
      </c>
      <c r="C2436" t="s">
        <v>18745</v>
      </c>
      <c r="D2436" t="s">
        <v>18746</v>
      </c>
      <c r="E2436" t="b">
        <v>0</v>
      </c>
      <c r="F2436" t="s">
        <v>11624</v>
      </c>
      <c r="G2436">
        <v>-2.1111499999999999</v>
      </c>
      <c r="H2436">
        <v>146.398</v>
      </c>
      <c r="I2436" t="s">
        <v>18747</v>
      </c>
      <c r="L2436">
        <v>0</v>
      </c>
      <c r="M2436">
        <v>0</v>
      </c>
      <c r="N2436">
        <v>0</v>
      </c>
      <c r="O2436" t="s">
        <v>11660</v>
      </c>
    </row>
    <row r="2437" spans="1:15">
      <c r="A2437" t="s">
        <v>18748</v>
      </c>
      <c r="B2437" t="s">
        <v>12686</v>
      </c>
      <c r="C2437" t="s">
        <v>319</v>
      </c>
      <c r="D2437" t="s">
        <v>18749</v>
      </c>
      <c r="E2437" t="b">
        <v>0</v>
      </c>
      <c r="F2437" t="s">
        <v>11610</v>
      </c>
      <c r="L2437">
        <v>0</v>
      </c>
      <c r="M2437">
        <v>0</v>
      </c>
      <c r="N2437">
        <v>0</v>
      </c>
    </row>
    <row r="2438" spans="1:15">
      <c r="A2438" t="s">
        <v>18750</v>
      </c>
      <c r="D2438" t="s">
        <v>18751</v>
      </c>
      <c r="E2438" t="b">
        <v>0</v>
      </c>
      <c r="F2438" t="s">
        <v>11624</v>
      </c>
      <c r="G2438">
        <v>5.2980700000000001</v>
      </c>
      <c r="H2438">
        <v>37.024999999999999</v>
      </c>
      <c r="I2438" t="s">
        <v>18752</v>
      </c>
      <c r="L2438">
        <v>0</v>
      </c>
      <c r="M2438">
        <v>0</v>
      </c>
      <c r="N2438">
        <v>0</v>
      </c>
      <c r="O2438" t="s">
        <v>11625</v>
      </c>
    </row>
    <row r="2439" spans="1:15">
      <c r="A2439" t="s">
        <v>18753</v>
      </c>
      <c r="B2439" t="s">
        <v>367</v>
      </c>
      <c r="C2439" t="s">
        <v>18754</v>
      </c>
      <c r="D2439" t="s">
        <v>18755</v>
      </c>
      <c r="E2439" t="b">
        <v>0</v>
      </c>
      <c r="F2439" t="s">
        <v>11624</v>
      </c>
      <c r="G2439">
        <v>-9.7371599999999994</v>
      </c>
      <c r="H2439">
        <v>160.52000000000001</v>
      </c>
      <c r="I2439" t="s">
        <v>18756</v>
      </c>
      <c r="L2439">
        <v>0</v>
      </c>
      <c r="M2439">
        <v>0</v>
      </c>
      <c r="N2439">
        <v>0</v>
      </c>
      <c r="O2439" t="s">
        <v>13346</v>
      </c>
    </row>
    <row r="2440" spans="1:15">
      <c r="A2440" t="s">
        <v>18757</v>
      </c>
      <c r="B2440" t="s">
        <v>12218</v>
      </c>
      <c r="C2440" t="s">
        <v>18758</v>
      </c>
      <c r="D2440" t="s">
        <v>18759</v>
      </c>
      <c r="E2440" t="b">
        <v>0</v>
      </c>
      <c r="F2440" t="s">
        <v>11610</v>
      </c>
      <c r="L2440">
        <v>0</v>
      </c>
      <c r="M2440">
        <v>0</v>
      </c>
      <c r="N2440">
        <v>0</v>
      </c>
    </row>
    <row r="2441" spans="1:15">
      <c r="A2441" t="s">
        <v>18760</v>
      </c>
      <c r="B2441" t="s">
        <v>11607</v>
      </c>
      <c r="C2441" t="s">
        <v>18761</v>
      </c>
      <c r="D2441" t="s">
        <v>18762</v>
      </c>
      <c r="E2441" t="b">
        <v>0</v>
      </c>
      <c r="F2441" t="s">
        <v>11610</v>
      </c>
      <c r="L2441">
        <v>0</v>
      </c>
      <c r="M2441">
        <v>0</v>
      </c>
      <c r="N2441">
        <v>0</v>
      </c>
    </row>
    <row r="2442" spans="1:15">
      <c r="A2442" t="s">
        <v>11751</v>
      </c>
      <c r="B2442" t="s">
        <v>11607</v>
      </c>
      <c r="C2442" t="s">
        <v>18763</v>
      </c>
      <c r="D2442" t="s">
        <v>18764</v>
      </c>
      <c r="E2442" t="b">
        <v>0</v>
      </c>
      <c r="F2442" t="s">
        <v>11624</v>
      </c>
      <c r="G2442">
        <v>12.0228</v>
      </c>
      <c r="H2442">
        <v>19.818200000000001</v>
      </c>
      <c r="I2442" t="s">
        <v>18765</v>
      </c>
      <c r="L2442">
        <v>0</v>
      </c>
      <c r="M2442">
        <v>0</v>
      </c>
      <c r="N2442">
        <v>4</v>
      </c>
      <c r="O2442" t="s">
        <v>13421</v>
      </c>
    </row>
    <row r="2443" spans="1:15">
      <c r="A2443" t="s">
        <v>18763</v>
      </c>
      <c r="B2443" t="s">
        <v>11607</v>
      </c>
      <c r="C2443" t="s">
        <v>18766</v>
      </c>
      <c r="D2443" t="s">
        <v>18767</v>
      </c>
      <c r="E2443" t="b">
        <v>0</v>
      </c>
      <c r="F2443" t="s">
        <v>11622</v>
      </c>
      <c r="L2443">
        <v>0</v>
      </c>
      <c r="M2443">
        <v>3</v>
      </c>
      <c r="N2443">
        <v>8</v>
      </c>
    </row>
    <row r="2444" spans="1:15">
      <c r="A2444" t="s">
        <v>18768</v>
      </c>
      <c r="B2444" t="s">
        <v>12438</v>
      </c>
      <c r="C2444" t="s">
        <v>14927</v>
      </c>
      <c r="D2444" t="s">
        <v>18769</v>
      </c>
      <c r="E2444" t="b">
        <v>0</v>
      </c>
      <c r="F2444" t="s">
        <v>11624</v>
      </c>
      <c r="G2444">
        <v>23.585000000000001</v>
      </c>
      <c r="H2444">
        <v>85.561099999999996</v>
      </c>
      <c r="I2444" t="s">
        <v>18770</v>
      </c>
      <c r="L2444">
        <v>0</v>
      </c>
      <c r="M2444">
        <v>0</v>
      </c>
      <c r="N2444">
        <v>0</v>
      </c>
      <c r="O2444" t="s">
        <v>11630</v>
      </c>
    </row>
    <row r="2445" spans="1:15">
      <c r="A2445" t="s">
        <v>18771</v>
      </c>
      <c r="B2445" t="s">
        <v>10597</v>
      </c>
      <c r="C2445" t="s">
        <v>18772</v>
      </c>
      <c r="D2445" t="s">
        <v>18773</v>
      </c>
      <c r="E2445" t="b">
        <v>0</v>
      </c>
      <c r="F2445" t="s">
        <v>11624</v>
      </c>
      <c r="G2445">
        <v>-20.1494</v>
      </c>
      <c r="H2445">
        <v>146.66999999999999</v>
      </c>
      <c r="I2445" t="s">
        <v>18774</v>
      </c>
      <c r="L2445">
        <v>0</v>
      </c>
      <c r="M2445">
        <v>0</v>
      </c>
      <c r="N2445">
        <v>0</v>
      </c>
      <c r="O2445" t="s">
        <v>12107</v>
      </c>
    </row>
    <row r="2446" spans="1:15">
      <c r="A2446" t="s">
        <v>18775</v>
      </c>
      <c r="B2446" t="s">
        <v>6742</v>
      </c>
      <c r="C2446" t="s">
        <v>18776</v>
      </c>
      <c r="D2446" t="s">
        <v>18777</v>
      </c>
      <c r="E2446" t="b">
        <v>0</v>
      </c>
      <c r="F2446" t="s">
        <v>11622</v>
      </c>
      <c r="L2446">
        <v>0</v>
      </c>
      <c r="M2446">
        <v>2</v>
      </c>
      <c r="N2446">
        <v>2</v>
      </c>
    </row>
    <row r="2447" spans="1:15">
      <c r="A2447" t="s">
        <v>18778</v>
      </c>
      <c r="B2447" t="s">
        <v>6742</v>
      </c>
      <c r="C2447" t="s">
        <v>18779</v>
      </c>
      <c r="D2447" t="s">
        <v>18780</v>
      </c>
      <c r="E2447" t="b">
        <v>0</v>
      </c>
      <c r="F2447" t="s">
        <v>11610</v>
      </c>
      <c r="L2447">
        <v>0</v>
      </c>
      <c r="M2447">
        <v>0</v>
      </c>
      <c r="N2447">
        <v>0</v>
      </c>
    </row>
    <row r="2448" spans="1:15">
      <c r="A2448" t="s">
        <v>18781</v>
      </c>
      <c r="B2448" t="s">
        <v>15365</v>
      </c>
      <c r="C2448" t="s">
        <v>18782</v>
      </c>
      <c r="D2448" t="s">
        <v>18783</v>
      </c>
      <c r="E2448" t="b">
        <v>0</v>
      </c>
      <c r="F2448" t="s">
        <v>11624</v>
      </c>
      <c r="G2448">
        <v>-2.92042</v>
      </c>
      <c r="H2448">
        <v>137.68</v>
      </c>
      <c r="I2448" t="s">
        <v>18784</v>
      </c>
      <c r="L2448">
        <v>0</v>
      </c>
      <c r="M2448">
        <v>0</v>
      </c>
      <c r="N2448">
        <v>0</v>
      </c>
      <c r="O2448" t="s">
        <v>11768</v>
      </c>
    </row>
    <row r="2449" spans="1:15">
      <c r="A2449" t="s">
        <v>18785</v>
      </c>
      <c r="B2449" t="s">
        <v>10597</v>
      </c>
      <c r="C2449" t="s">
        <v>17192</v>
      </c>
      <c r="D2449" t="s">
        <v>18786</v>
      </c>
      <c r="E2449" t="b">
        <v>0</v>
      </c>
      <c r="F2449" t="s">
        <v>11610</v>
      </c>
      <c r="L2449">
        <v>0</v>
      </c>
      <c r="M2449">
        <v>0</v>
      </c>
      <c r="N2449">
        <v>0</v>
      </c>
    </row>
    <row r="2450" spans="1:15">
      <c r="A2450" t="s">
        <v>18787</v>
      </c>
      <c r="B2450" t="s">
        <v>3164</v>
      </c>
      <c r="C2450" t="s">
        <v>18788</v>
      </c>
      <c r="D2450" t="s">
        <v>18789</v>
      </c>
      <c r="E2450" t="b">
        <v>0</v>
      </c>
      <c r="F2450" t="s">
        <v>11624</v>
      </c>
      <c r="G2450">
        <v>12.5</v>
      </c>
      <c r="H2450">
        <v>24.83</v>
      </c>
      <c r="I2450" t="s">
        <v>18790</v>
      </c>
      <c r="L2450">
        <v>0</v>
      </c>
      <c r="M2450">
        <v>0</v>
      </c>
      <c r="N2450">
        <v>0</v>
      </c>
      <c r="O2450" t="s">
        <v>11910</v>
      </c>
    </row>
    <row r="2451" spans="1:15">
      <c r="A2451" t="s">
        <v>18791</v>
      </c>
      <c r="B2451" t="s">
        <v>11607</v>
      </c>
      <c r="C2451" t="s">
        <v>18792</v>
      </c>
      <c r="D2451" t="s">
        <v>18793</v>
      </c>
      <c r="E2451" t="b">
        <v>0</v>
      </c>
      <c r="F2451" t="s">
        <v>11610</v>
      </c>
      <c r="L2451">
        <v>0</v>
      </c>
      <c r="M2451">
        <v>0</v>
      </c>
      <c r="N2451">
        <v>0</v>
      </c>
    </row>
    <row r="2452" spans="1:15">
      <c r="A2452" t="s">
        <v>18794</v>
      </c>
      <c r="B2452" t="s">
        <v>11729</v>
      </c>
      <c r="C2452" t="s">
        <v>18795</v>
      </c>
      <c r="D2452" t="s">
        <v>18796</v>
      </c>
      <c r="E2452" t="b">
        <v>0</v>
      </c>
      <c r="F2452" t="s">
        <v>11624</v>
      </c>
      <c r="G2452">
        <v>5.3327999999999998</v>
      </c>
      <c r="H2452">
        <v>27.084199999999999</v>
      </c>
      <c r="I2452" t="s">
        <v>18797</v>
      </c>
      <c r="L2452">
        <v>0</v>
      </c>
      <c r="M2452">
        <v>0</v>
      </c>
      <c r="N2452">
        <v>2</v>
      </c>
      <c r="O2452" t="s">
        <v>16548</v>
      </c>
    </row>
    <row r="2453" spans="1:15">
      <c r="A2453" t="s">
        <v>18798</v>
      </c>
      <c r="B2453" t="s">
        <v>10597</v>
      </c>
      <c r="C2453" t="s">
        <v>18799</v>
      </c>
      <c r="D2453" t="s">
        <v>18800</v>
      </c>
      <c r="E2453" t="b">
        <v>0</v>
      </c>
      <c r="F2453" t="s">
        <v>11610</v>
      </c>
      <c r="I2453" t="s">
        <v>18801</v>
      </c>
      <c r="L2453">
        <v>0</v>
      </c>
      <c r="M2453">
        <v>0</v>
      </c>
      <c r="N2453">
        <v>0</v>
      </c>
      <c r="O2453" t="s">
        <v>12107</v>
      </c>
    </row>
    <row r="2454" spans="1:15">
      <c r="A2454" t="s">
        <v>18802</v>
      </c>
      <c r="B2454" t="s">
        <v>6742</v>
      </c>
      <c r="C2454" t="s">
        <v>18803</v>
      </c>
      <c r="D2454" t="s">
        <v>18804</v>
      </c>
      <c r="E2454" t="b">
        <v>0</v>
      </c>
      <c r="F2454" t="s">
        <v>11624</v>
      </c>
      <c r="G2454">
        <v>-22.17</v>
      </c>
      <c r="H2454">
        <v>28.33</v>
      </c>
      <c r="I2454" t="s">
        <v>18805</v>
      </c>
      <c r="L2454">
        <v>0</v>
      </c>
      <c r="M2454">
        <v>0</v>
      </c>
      <c r="N2454">
        <v>0</v>
      </c>
      <c r="O2454" t="s">
        <v>18806</v>
      </c>
    </row>
    <row r="2455" spans="1:15">
      <c r="A2455" t="s">
        <v>18807</v>
      </c>
      <c r="B2455" t="s">
        <v>6742</v>
      </c>
      <c r="C2455" t="s">
        <v>17879</v>
      </c>
      <c r="D2455" t="s">
        <v>18808</v>
      </c>
      <c r="E2455" t="b">
        <v>0</v>
      </c>
      <c r="F2455" t="s">
        <v>11622</v>
      </c>
      <c r="L2455">
        <v>0</v>
      </c>
      <c r="M2455">
        <v>3</v>
      </c>
      <c r="N2455">
        <v>8</v>
      </c>
    </row>
    <row r="2456" spans="1:15">
      <c r="A2456" t="s">
        <v>18809</v>
      </c>
      <c r="B2456" t="s">
        <v>6742</v>
      </c>
      <c r="C2456" t="s">
        <v>4141</v>
      </c>
      <c r="D2456" t="s">
        <v>18810</v>
      </c>
      <c r="E2456" t="b">
        <v>0</v>
      </c>
      <c r="F2456" t="s">
        <v>11610</v>
      </c>
      <c r="L2456">
        <v>0</v>
      </c>
      <c r="M2456">
        <v>0</v>
      </c>
      <c r="N2456">
        <v>0</v>
      </c>
    </row>
    <row r="2457" spans="1:15">
      <c r="A2457" t="s">
        <v>18811</v>
      </c>
      <c r="B2457" t="s">
        <v>13276</v>
      </c>
      <c r="C2457" t="s">
        <v>18812</v>
      </c>
      <c r="D2457" t="s">
        <v>18813</v>
      </c>
      <c r="E2457" t="b">
        <v>0</v>
      </c>
      <c r="F2457" t="s">
        <v>11622</v>
      </c>
      <c r="L2457">
        <v>5</v>
      </c>
      <c r="M2457">
        <v>9</v>
      </c>
      <c r="N2457">
        <v>14</v>
      </c>
    </row>
    <row r="2458" spans="1:15">
      <c r="A2458" t="s">
        <v>16804</v>
      </c>
      <c r="B2458" t="s">
        <v>367</v>
      </c>
      <c r="C2458" t="s">
        <v>12888</v>
      </c>
      <c r="D2458" t="s">
        <v>18814</v>
      </c>
      <c r="E2458" t="b">
        <v>0</v>
      </c>
      <c r="F2458" t="s">
        <v>11622</v>
      </c>
      <c r="L2458">
        <v>16</v>
      </c>
      <c r="M2458">
        <v>28</v>
      </c>
      <c r="N2458">
        <v>37</v>
      </c>
    </row>
    <row r="2459" spans="1:15">
      <c r="A2459" t="s">
        <v>18815</v>
      </c>
      <c r="B2459" t="s">
        <v>367</v>
      </c>
      <c r="C2459" t="s">
        <v>18816</v>
      </c>
      <c r="D2459" t="s">
        <v>18817</v>
      </c>
      <c r="E2459" t="b">
        <v>0</v>
      </c>
      <c r="F2459" t="s">
        <v>11622</v>
      </c>
      <c r="L2459">
        <v>0</v>
      </c>
      <c r="M2459">
        <v>3</v>
      </c>
      <c r="N2459">
        <v>0</v>
      </c>
    </row>
    <row r="2460" spans="1:15">
      <c r="A2460" t="s">
        <v>18818</v>
      </c>
      <c r="B2460" t="s">
        <v>4725</v>
      </c>
      <c r="C2460" t="s">
        <v>4725</v>
      </c>
      <c r="D2460" t="s">
        <v>18819</v>
      </c>
      <c r="E2460" t="b">
        <v>0</v>
      </c>
      <c r="F2460" t="s">
        <v>11610</v>
      </c>
      <c r="L2460">
        <v>0</v>
      </c>
      <c r="M2460">
        <v>0</v>
      </c>
      <c r="N2460">
        <v>0</v>
      </c>
    </row>
    <row r="2461" spans="1:15">
      <c r="A2461" t="s">
        <v>18820</v>
      </c>
      <c r="B2461" t="s">
        <v>12697</v>
      </c>
      <c r="C2461" t="s">
        <v>18821</v>
      </c>
      <c r="D2461" t="s">
        <v>18822</v>
      </c>
      <c r="E2461" t="b">
        <v>0</v>
      </c>
      <c r="F2461" t="s">
        <v>11624</v>
      </c>
      <c r="G2461">
        <v>5.4029600000000002</v>
      </c>
      <c r="H2461">
        <v>6.5164600000000004</v>
      </c>
      <c r="I2461" t="s">
        <v>18823</v>
      </c>
      <c r="L2461">
        <v>0</v>
      </c>
      <c r="M2461">
        <v>0</v>
      </c>
      <c r="N2461">
        <v>0</v>
      </c>
      <c r="O2461" t="s">
        <v>11693</v>
      </c>
    </row>
    <row r="2462" spans="1:15">
      <c r="A2462" t="s">
        <v>18824</v>
      </c>
      <c r="B2462" t="s">
        <v>11637</v>
      </c>
      <c r="C2462" t="s">
        <v>17956</v>
      </c>
      <c r="D2462" t="s">
        <v>18825</v>
      </c>
      <c r="E2462" t="b">
        <v>0</v>
      </c>
      <c r="F2462" t="s">
        <v>11624</v>
      </c>
      <c r="G2462">
        <v>24.457799999999999</v>
      </c>
      <c r="H2462">
        <v>92.015699999999995</v>
      </c>
      <c r="I2462" t="s">
        <v>18826</v>
      </c>
      <c r="L2462">
        <v>0</v>
      </c>
      <c r="M2462">
        <v>0</v>
      </c>
      <c r="N2462">
        <v>2</v>
      </c>
      <c r="O2462" t="s">
        <v>17541</v>
      </c>
    </row>
    <row r="2463" spans="1:15">
      <c r="A2463" t="s">
        <v>18827</v>
      </c>
      <c r="B2463" t="s">
        <v>6742</v>
      </c>
      <c r="C2463" t="s">
        <v>17205</v>
      </c>
      <c r="D2463" t="s">
        <v>18828</v>
      </c>
      <c r="E2463" t="b">
        <v>0</v>
      </c>
      <c r="F2463" t="s">
        <v>11610</v>
      </c>
      <c r="L2463">
        <v>0</v>
      </c>
      <c r="M2463">
        <v>0</v>
      </c>
      <c r="N2463">
        <v>0</v>
      </c>
    </row>
    <row r="2464" spans="1:15">
      <c r="A2464" t="s">
        <v>18829</v>
      </c>
      <c r="B2464" t="s">
        <v>6742</v>
      </c>
      <c r="C2464" t="s">
        <v>11700</v>
      </c>
      <c r="D2464" t="s">
        <v>18830</v>
      </c>
      <c r="E2464" t="b">
        <v>0</v>
      </c>
      <c r="F2464" t="s">
        <v>11624</v>
      </c>
      <c r="G2464">
        <v>6.6725099999999999</v>
      </c>
      <c r="H2464">
        <v>9.7939600000000002</v>
      </c>
      <c r="I2464" t="s">
        <v>18831</v>
      </c>
      <c r="L2464">
        <v>0</v>
      </c>
      <c r="M2464">
        <v>0</v>
      </c>
      <c r="N2464">
        <v>0</v>
      </c>
      <c r="O2464" t="s">
        <v>11703</v>
      </c>
    </row>
    <row r="2465" spans="1:15">
      <c r="A2465" t="s">
        <v>18832</v>
      </c>
      <c r="B2465" t="s">
        <v>11607</v>
      </c>
      <c r="C2465" t="s">
        <v>11648</v>
      </c>
      <c r="D2465" t="s">
        <v>18833</v>
      </c>
      <c r="E2465" t="b">
        <v>0</v>
      </c>
      <c r="F2465" t="s">
        <v>11610</v>
      </c>
      <c r="L2465">
        <v>0</v>
      </c>
      <c r="M2465">
        <v>0</v>
      </c>
      <c r="N2465">
        <v>0</v>
      </c>
    </row>
    <row r="2466" spans="1:15">
      <c r="A2466" t="s">
        <v>18834</v>
      </c>
      <c r="B2466" t="s">
        <v>11637</v>
      </c>
      <c r="C2466" t="s">
        <v>18835</v>
      </c>
      <c r="D2466" t="s">
        <v>18836</v>
      </c>
      <c r="E2466" t="b">
        <v>0</v>
      </c>
      <c r="F2466" t="s">
        <v>11610</v>
      </c>
      <c r="L2466">
        <v>0</v>
      </c>
      <c r="M2466">
        <v>0</v>
      </c>
      <c r="N2466">
        <v>0</v>
      </c>
    </row>
    <row r="2467" spans="1:15">
      <c r="A2467" t="s">
        <v>18837</v>
      </c>
      <c r="B2467" t="s">
        <v>11705</v>
      </c>
      <c r="C2467" t="s">
        <v>18838</v>
      </c>
      <c r="D2467" t="s">
        <v>18839</v>
      </c>
      <c r="E2467" t="b">
        <v>0</v>
      </c>
      <c r="F2467" t="s">
        <v>11624</v>
      </c>
      <c r="G2467">
        <v>-4.4623799999999996</v>
      </c>
      <c r="H2467">
        <v>143.05799999999999</v>
      </c>
      <c r="I2467" t="s">
        <v>18840</v>
      </c>
      <c r="L2467">
        <v>0</v>
      </c>
      <c r="M2467">
        <v>0</v>
      </c>
      <c r="N2467">
        <v>0</v>
      </c>
      <c r="O2467" t="s">
        <v>11660</v>
      </c>
    </row>
    <row r="2468" spans="1:15">
      <c r="A2468" t="s">
        <v>18841</v>
      </c>
      <c r="B2468" t="s">
        <v>11637</v>
      </c>
      <c r="C2468" t="s">
        <v>18842</v>
      </c>
      <c r="D2468" t="s">
        <v>18843</v>
      </c>
      <c r="E2468" t="b">
        <v>0</v>
      </c>
      <c r="F2468" t="s">
        <v>11624</v>
      </c>
      <c r="G2468">
        <v>-15.4</v>
      </c>
      <c r="H2468">
        <v>166.89</v>
      </c>
      <c r="I2468" t="s">
        <v>18844</v>
      </c>
      <c r="L2468">
        <v>0</v>
      </c>
      <c r="M2468">
        <v>0</v>
      </c>
      <c r="N2468">
        <v>0</v>
      </c>
      <c r="O2468" t="s">
        <v>18845</v>
      </c>
    </row>
    <row r="2469" spans="1:15">
      <c r="A2469" t="s">
        <v>18846</v>
      </c>
      <c r="B2469" t="s">
        <v>11644</v>
      </c>
      <c r="C2469" t="s">
        <v>18847</v>
      </c>
      <c r="D2469" t="s">
        <v>18848</v>
      </c>
      <c r="E2469" t="b">
        <v>0</v>
      </c>
      <c r="F2469" t="s">
        <v>11622</v>
      </c>
      <c r="L2469">
        <v>3</v>
      </c>
      <c r="M2469">
        <v>8</v>
      </c>
      <c r="N2469">
        <v>5</v>
      </c>
    </row>
    <row r="2470" spans="1:15">
      <c r="A2470" t="s">
        <v>18849</v>
      </c>
      <c r="B2470" t="s">
        <v>6742</v>
      </c>
      <c r="C2470" t="s">
        <v>12064</v>
      </c>
      <c r="D2470" t="s">
        <v>18850</v>
      </c>
      <c r="E2470" t="b">
        <v>0</v>
      </c>
      <c r="F2470" t="s">
        <v>11610</v>
      </c>
      <c r="L2470">
        <v>0</v>
      </c>
      <c r="M2470">
        <v>0</v>
      </c>
      <c r="N2470">
        <v>0</v>
      </c>
    </row>
    <row r="2471" spans="1:15">
      <c r="A2471" t="s">
        <v>18851</v>
      </c>
      <c r="B2471" t="s">
        <v>11615</v>
      </c>
      <c r="C2471" t="s">
        <v>18852</v>
      </c>
      <c r="D2471" t="s">
        <v>18853</v>
      </c>
      <c r="E2471" t="b">
        <v>0</v>
      </c>
      <c r="F2471" t="s">
        <v>11624</v>
      </c>
      <c r="G2471">
        <v>-4.7776300000000003</v>
      </c>
      <c r="H2471">
        <v>143.21299999999999</v>
      </c>
      <c r="I2471" t="s">
        <v>18854</v>
      </c>
      <c r="L2471">
        <v>0</v>
      </c>
      <c r="M2471">
        <v>0</v>
      </c>
      <c r="N2471">
        <v>1</v>
      </c>
      <c r="O2471" t="s">
        <v>11660</v>
      </c>
    </row>
    <row r="2472" spans="1:15">
      <c r="A2472" t="s">
        <v>18847</v>
      </c>
      <c r="B2472" t="s">
        <v>11644</v>
      </c>
      <c r="C2472" t="s">
        <v>18855</v>
      </c>
      <c r="D2472" t="s">
        <v>18856</v>
      </c>
      <c r="E2472" t="b">
        <v>0</v>
      </c>
      <c r="F2472" t="s">
        <v>11622</v>
      </c>
      <c r="L2472">
        <v>9</v>
      </c>
      <c r="M2472">
        <v>21</v>
      </c>
      <c r="N2472">
        <v>17</v>
      </c>
    </row>
    <row r="2473" spans="1:15">
      <c r="A2473" t="s">
        <v>18857</v>
      </c>
      <c r="B2473" t="s">
        <v>6742</v>
      </c>
      <c r="C2473" t="s">
        <v>14115</v>
      </c>
      <c r="D2473" t="s">
        <v>18858</v>
      </c>
      <c r="E2473" t="b">
        <v>0</v>
      </c>
      <c r="F2473" t="s">
        <v>11610</v>
      </c>
      <c r="L2473">
        <v>0</v>
      </c>
      <c r="M2473">
        <v>0</v>
      </c>
      <c r="N2473">
        <v>0</v>
      </c>
    </row>
    <row r="2474" spans="1:15">
      <c r="A2474" t="s">
        <v>16922</v>
      </c>
      <c r="B2474" t="s">
        <v>13276</v>
      </c>
      <c r="C2474" t="s">
        <v>18811</v>
      </c>
      <c r="D2474" t="s">
        <v>18859</v>
      </c>
      <c r="E2474" t="b">
        <v>0</v>
      </c>
      <c r="F2474" t="s">
        <v>11624</v>
      </c>
      <c r="G2474">
        <v>10.425700000000001</v>
      </c>
      <c r="H2474">
        <v>-1.6733199999999999</v>
      </c>
      <c r="I2474" t="s">
        <v>18860</v>
      </c>
      <c r="L2474">
        <v>0</v>
      </c>
      <c r="M2474">
        <v>0</v>
      </c>
      <c r="N2474">
        <v>4</v>
      </c>
      <c r="O2474" t="s">
        <v>18861</v>
      </c>
    </row>
    <row r="2475" spans="1:15">
      <c r="A2475" t="s">
        <v>18862</v>
      </c>
      <c r="B2475" t="s">
        <v>11637</v>
      </c>
      <c r="C2475" t="s">
        <v>15770</v>
      </c>
      <c r="D2475" t="s">
        <v>18863</v>
      </c>
      <c r="E2475" t="b">
        <v>0</v>
      </c>
      <c r="F2475" t="s">
        <v>11610</v>
      </c>
      <c r="L2475">
        <v>0</v>
      </c>
      <c r="M2475">
        <v>0</v>
      </c>
      <c r="N2475">
        <v>0</v>
      </c>
    </row>
    <row r="2476" spans="1:15">
      <c r="A2476" t="s">
        <v>18864</v>
      </c>
      <c r="B2476" t="s">
        <v>11644</v>
      </c>
      <c r="C2476" t="s">
        <v>18865</v>
      </c>
      <c r="D2476" t="s">
        <v>18866</v>
      </c>
      <c r="E2476" t="b">
        <v>0</v>
      </c>
      <c r="F2476" t="s">
        <v>11624</v>
      </c>
      <c r="G2476">
        <v>20.854199999999999</v>
      </c>
      <c r="H2476">
        <v>99.986199999999997</v>
      </c>
      <c r="I2476" t="s">
        <v>18867</v>
      </c>
      <c r="L2476">
        <v>0</v>
      </c>
      <c r="M2476">
        <v>0</v>
      </c>
      <c r="N2476">
        <v>0</v>
      </c>
      <c r="O2476" t="s">
        <v>18868</v>
      </c>
    </row>
    <row r="2477" spans="1:15">
      <c r="A2477" t="s">
        <v>18869</v>
      </c>
      <c r="B2477" t="s">
        <v>6742</v>
      </c>
      <c r="C2477" t="s">
        <v>17205</v>
      </c>
      <c r="D2477" t="s">
        <v>18870</v>
      </c>
      <c r="E2477" t="b">
        <v>0</v>
      </c>
      <c r="F2477" t="s">
        <v>11610</v>
      </c>
      <c r="L2477">
        <v>0</v>
      </c>
      <c r="M2477">
        <v>0</v>
      </c>
      <c r="N2477">
        <v>0</v>
      </c>
    </row>
    <row r="2478" spans="1:15">
      <c r="A2478" t="s">
        <v>18865</v>
      </c>
      <c r="B2478" t="s">
        <v>11644</v>
      </c>
      <c r="C2478" t="s">
        <v>18846</v>
      </c>
      <c r="D2478" t="s">
        <v>18871</v>
      </c>
      <c r="E2478" t="b">
        <v>0</v>
      </c>
      <c r="F2478" t="s">
        <v>11622</v>
      </c>
      <c r="L2478">
        <v>0</v>
      </c>
      <c r="M2478">
        <v>3</v>
      </c>
      <c r="N2478">
        <v>0</v>
      </c>
    </row>
    <row r="2479" spans="1:15">
      <c r="A2479" t="s">
        <v>18872</v>
      </c>
      <c r="B2479" t="s">
        <v>11627</v>
      </c>
      <c r="C2479" t="s">
        <v>11627</v>
      </c>
      <c r="D2479" t="s">
        <v>18873</v>
      </c>
      <c r="E2479" t="b">
        <v>1</v>
      </c>
      <c r="F2479" t="s">
        <v>11624</v>
      </c>
      <c r="I2479" t="s">
        <v>18874</v>
      </c>
      <c r="L2479">
        <v>0</v>
      </c>
      <c r="M2479">
        <v>0</v>
      </c>
      <c r="N2479">
        <v>0</v>
      </c>
    </row>
    <row r="2480" spans="1:15">
      <c r="A2480" t="s">
        <v>18875</v>
      </c>
      <c r="B2480" t="s">
        <v>6742</v>
      </c>
      <c r="C2480" t="s">
        <v>18876</v>
      </c>
      <c r="D2480" t="s">
        <v>18877</v>
      </c>
      <c r="E2480" t="b">
        <v>0</v>
      </c>
      <c r="F2480" t="s">
        <v>11610</v>
      </c>
      <c r="L2480">
        <v>0</v>
      </c>
      <c r="M2480">
        <v>0</v>
      </c>
      <c r="N2480">
        <v>0</v>
      </c>
    </row>
    <row r="2481" spans="1:15">
      <c r="A2481" t="s">
        <v>18878</v>
      </c>
      <c r="B2481" t="s">
        <v>6742</v>
      </c>
      <c r="C2481" t="s">
        <v>11799</v>
      </c>
      <c r="D2481" t="s">
        <v>18879</v>
      </c>
      <c r="E2481" t="b">
        <v>0</v>
      </c>
      <c r="F2481" t="s">
        <v>11624</v>
      </c>
      <c r="G2481">
        <v>6.8739800000000004</v>
      </c>
      <c r="H2481">
        <v>11.3072</v>
      </c>
      <c r="I2481" t="s">
        <v>18880</v>
      </c>
      <c r="L2481">
        <v>0</v>
      </c>
      <c r="M2481">
        <v>0</v>
      </c>
      <c r="N2481">
        <v>0</v>
      </c>
      <c r="O2481" t="s">
        <v>11802</v>
      </c>
    </row>
    <row r="2482" spans="1:15">
      <c r="A2482" t="s">
        <v>18881</v>
      </c>
      <c r="B2482" t="s">
        <v>12514</v>
      </c>
      <c r="C2482" t="s">
        <v>12514</v>
      </c>
      <c r="D2482" t="s">
        <v>18882</v>
      </c>
      <c r="E2482" t="b">
        <v>0</v>
      </c>
      <c r="F2482" t="s">
        <v>11610</v>
      </c>
      <c r="L2482">
        <v>0</v>
      </c>
      <c r="M2482">
        <v>0</v>
      </c>
      <c r="N2482">
        <v>0</v>
      </c>
    </row>
    <row r="2483" spans="1:15">
      <c r="A2483" t="s">
        <v>18883</v>
      </c>
      <c r="B2483" t="s">
        <v>11705</v>
      </c>
      <c r="C2483" t="s">
        <v>18097</v>
      </c>
      <c r="D2483" t="s">
        <v>18884</v>
      </c>
      <c r="E2483" t="b">
        <v>0</v>
      </c>
      <c r="F2483" t="s">
        <v>11610</v>
      </c>
      <c r="L2483">
        <v>0</v>
      </c>
      <c r="M2483">
        <v>0</v>
      </c>
      <c r="N2483">
        <v>0</v>
      </c>
    </row>
    <row r="2484" spans="1:15">
      <c r="A2484" t="s">
        <v>18885</v>
      </c>
      <c r="B2484" t="s">
        <v>6742</v>
      </c>
      <c r="C2484" t="s">
        <v>16901</v>
      </c>
      <c r="D2484" t="s">
        <v>18886</v>
      </c>
      <c r="E2484" t="b">
        <v>0</v>
      </c>
      <c r="F2484" t="s">
        <v>11610</v>
      </c>
      <c r="L2484">
        <v>0</v>
      </c>
      <c r="M2484">
        <v>0</v>
      </c>
      <c r="N2484">
        <v>0</v>
      </c>
    </row>
    <row r="2485" spans="1:15">
      <c r="A2485" t="s">
        <v>18887</v>
      </c>
      <c r="B2485" t="s">
        <v>6742</v>
      </c>
      <c r="C2485" t="s">
        <v>16087</v>
      </c>
      <c r="D2485" t="s">
        <v>18888</v>
      </c>
      <c r="E2485" t="b">
        <v>0</v>
      </c>
      <c r="F2485" t="s">
        <v>11610</v>
      </c>
      <c r="L2485">
        <v>0</v>
      </c>
      <c r="M2485">
        <v>0</v>
      </c>
      <c r="N2485">
        <v>0</v>
      </c>
    </row>
    <row r="2486" spans="1:15">
      <c r="A2486" t="s">
        <v>18889</v>
      </c>
      <c r="B2486" t="s">
        <v>11729</v>
      </c>
      <c r="C2486" t="s">
        <v>18890</v>
      </c>
      <c r="D2486" t="s">
        <v>18891</v>
      </c>
      <c r="E2486" t="b">
        <v>0</v>
      </c>
      <c r="F2486" t="s">
        <v>11610</v>
      </c>
      <c r="L2486">
        <v>0</v>
      </c>
      <c r="M2486">
        <v>0</v>
      </c>
      <c r="N2486">
        <v>0</v>
      </c>
    </row>
    <row r="2487" spans="1:15">
      <c r="A2487" t="s">
        <v>18892</v>
      </c>
      <c r="B2487" t="s">
        <v>12438</v>
      </c>
      <c r="C2487" t="s">
        <v>18893</v>
      </c>
      <c r="D2487" t="s">
        <v>18894</v>
      </c>
      <c r="E2487" t="b">
        <v>0</v>
      </c>
      <c r="F2487" t="s">
        <v>11624</v>
      </c>
      <c r="G2487">
        <v>21.3474</v>
      </c>
      <c r="H2487">
        <v>101.916</v>
      </c>
      <c r="I2487" t="s">
        <v>18895</v>
      </c>
      <c r="L2487">
        <v>0</v>
      </c>
      <c r="M2487">
        <v>0</v>
      </c>
      <c r="N2487">
        <v>0</v>
      </c>
      <c r="O2487" t="s">
        <v>18896</v>
      </c>
    </row>
    <row r="2488" spans="1:15">
      <c r="A2488" t="s">
        <v>18897</v>
      </c>
      <c r="B2488" t="s">
        <v>6742</v>
      </c>
      <c r="C2488" t="s">
        <v>18898</v>
      </c>
      <c r="D2488" t="s">
        <v>18899</v>
      </c>
      <c r="E2488" t="b">
        <v>0</v>
      </c>
      <c r="F2488" t="s">
        <v>11610</v>
      </c>
      <c r="L2488">
        <v>0</v>
      </c>
      <c r="M2488">
        <v>0</v>
      </c>
      <c r="N2488">
        <v>0</v>
      </c>
    </row>
    <row r="2489" spans="1:15">
      <c r="A2489" t="s">
        <v>18900</v>
      </c>
      <c r="B2489" t="s">
        <v>11794</v>
      </c>
      <c r="C2489" t="s">
        <v>16961</v>
      </c>
      <c r="D2489" t="s">
        <v>18901</v>
      </c>
      <c r="E2489" t="b">
        <v>0</v>
      </c>
      <c r="F2489" t="s">
        <v>11624</v>
      </c>
      <c r="G2489">
        <v>-8.5183900000000001</v>
      </c>
      <c r="H2489">
        <v>142.71</v>
      </c>
      <c r="I2489" t="s">
        <v>18902</v>
      </c>
      <c r="L2489">
        <v>0</v>
      </c>
      <c r="M2489">
        <v>0</v>
      </c>
      <c r="N2489">
        <v>0</v>
      </c>
      <c r="O2489" t="s">
        <v>11660</v>
      </c>
    </row>
    <row r="2490" spans="1:15">
      <c r="A2490" t="s">
        <v>18903</v>
      </c>
      <c r="B2490" t="s">
        <v>11607</v>
      </c>
      <c r="C2490" t="s">
        <v>18904</v>
      </c>
      <c r="D2490" t="s">
        <v>18905</v>
      </c>
      <c r="E2490" t="b">
        <v>0</v>
      </c>
      <c r="F2490" t="s">
        <v>11622</v>
      </c>
      <c r="L2490">
        <v>1</v>
      </c>
      <c r="M2490">
        <v>3</v>
      </c>
      <c r="N2490">
        <v>5</v>
      </c>
    </row>
    <row r="2491" spans="1:15">
      <c r="A2491" t="s">
        <v>15660</v>
      </c>
      <c r="B2491" t="s">
        <v>11607</v>
      </c>
      <c r="C2491" t="s">
        <v>18906</v>
      </c>
      <c r="D2491" t="s">
        <v>18907</v>
      </c>
      <c r="E2491" t="b">
        <v>0</v>
      </c>
      <c r="F2491" t="s">
        <v>11622</v>
      </c>
      <c r="L2491">
        <v>5</v>
      </c>
      <c r="M2491">
        <v>13</v>
      </c>
      <c r="N2491">
        <v>31</v>
      </c>
    </row>
    <row r="2492" spans="1:15">
      <c r="A2492" t="s">
        <v>18908</v>
      </c>
      <c r="B2492" t="s">
        <v>11607</v>
      </c>
      <c r="C2492" t="s">
        <v>18906</v>
      </c>
      <c r="D2492" t="s">
        <v>18909</v>
      </c>
      <c r="E2492" t="b">
        <v>0</v>
      </c>
      <c r="F2492" t="s">
        <v>11622</v>
      </c>
      <c r="L2492">
        <v>2</v>
      </c>
      <c r="M2492">
        <v>6</v>
      </c>
      <c r="N2492">
        <v>7</v>
      </c>
    </row>
    <row r="2493" spans="1:15">
      <c r="A2493" t="s">
        <v>18910</v>
      </c>
      <c r="B2493" t="s">
        <v>11607</v>
      </c>
      <c r="C2493" t="s">
        <v>18906</v>
      </c>
      <c r="D2493" t="s">
        <v>18911</v>
      </c>
      <c r="E2493" t="b">
        <v>0</v>
      </c>
      <c r="F2493" t="s">
        <v>11622</v>
      </c>
      <c r="L2493">
        <v>2</v>
      </c>
      <c r="M2493">
        <v>5</v>
      </c>
      <c r="N2493">
        <v>5</v>
      </c>
    </row>
    <row r="2494" spans="1:15">
      <c r="A2494" t="s">
        <v>18912</v>
      </c>
      <c r="B2494" t="s">
        <v>11607</v>
      </c>
      <c r="C2494" t="s">
        <v>18913</v>
      </c>
      <c r="D2494" t="s">
        <v>18914</v>
      </c>
      <c r="E2494" t="b">
        <v>0</v>
      </c>
      <c r="F2494" t="s">
        <v>11622</v>
      </c>
      <c r="L2494">
        <v>1</v>
      </c>
      <c r="M2494">
        <v>3</v>
      </c>
      <c r="N2494">
        <v>6</v>
      </c>
    </row>
    <row r="2495" spans="1:15">
      <c r="A2495" t="s">
        <v>18915</v>
      </c>
      <c r="B2495" t="s">
        <v>11607</v>
      </c>
      <c r="C2495" t="s">
        <v>18916</v>
      </c>
      <c r="D2495" t="s">
        <v>18917</v>
      </c>
      <c r="E2495" t="b">
        <v>0</v>
      </c>
      <c r="F2495" t="s">
        <v>11622</v>
      </c>
      <c r="L2495">
        <v>44</v>
      </c>
      <c r="M2495">
        <v>81</v>
      </c>
      <c r="N2495">
        <v>164</v>
      </c>
    </row>
    <row r="2496" spans="1:15">
      <c r="A2496" t="s">
        <v>18918</v>
      </c>
      <c r="B2496" t="s">
        <v>367</v>
      </c>
      <c r="C2496" t="s">
        <v>4370</v>
      </c>
      <c r="D2496" t="s">
        <v>18919</v>
      </c>
      <c r="E2496" t="b">
        <v>0</v>
      </c>
      <c r="F2496" t="s">
        <v>11610</v>
      </c>
      <c r="L2496">
        <v>0</v>
      </c>
      <c r="M2496">
        <v>0</v>
      </c>
      <c r="N2496">
        <v>0</v>
      </c>
    </row>
    <row r="2497" spans="1:15">
      <c r="A2497" t="s">
        <v>18920</v>
      </c>
      <c r="B2497" t="s">
        <v>18921</v>
      </c>
      <c r="C2497" t="s">
        <v>18922</v>
      </c>
      <c r="D2497" t="s">
        <v>18923</v>
      </c>
      <c r="E2497" t="b">
        <v>0</v>
      </c>
      <c r="F2497" t="s">
        <v>11624</v>
      </c>
      <c r="G2497">
        <v>-4.3942899999999998</v>
      </c>
      <c r="H2497">
        <v>143.87299999999999</v>
      </c>
      <c r="I2497" t="s">
        <v>18924</v>
      </c>
      <c r="L2497">
        <v>0</v>
      </c>
      <c r="M2497">
        <v>0</v>
      </c>
      <c r="N2497">
        <v>0</v>
      </c>
      <c r="O2497" t="s">
        <v>11660</v>
      </c>
    </row>
    <row r="2498" spans="1:15">
      <c r="A2498" t="s">
        <v>18925</v>
      </c>
      <c r="B2498" t="s">
        <v>6742</v>
      </c>
      <c r="C2498" t="s">
        <v>16515</v>
      </c>
      <c r="D2498" t="s">
        <v>18926</v>
      </c>
      <c r="E2498" t="b">
        <v>0</v>
      </c>
      <c r="F2498" t="s">
        <v>11610</v>
      </c>
      <c r="L2498">
        <v>0</v>
      </c>
      <c r="M2498">
        <v>0</v>
      </c>
      <c r="N2498">
        <v>0</v>
      </c>
    </row>
    <row r="2499" spans="1:15">
      <c r="A2499" t="s">
        <v>18927</v>
      </c>
      <c r="B2499" t="s">
        <v>11637</v>
      </c>
      <c r="C2499" t="s">
        <v>18928</v>
      </c>
      <c r="D2499" t="s">
        <v>18929</v>
      </c>
      <c r="E2499" t="b">
        <v>0</v>
      </c>
      <c r="F2499" t="s">
        <v>11610</v>
      </c>
      <c r="L2499">
        <v>0</v>
      </c>
      <c r="M2499">
        <v>0</v>
      </c>
      <c r="N2499">
        <v>0</v>
      </c>
    </row>
    <row r="2500" spans="1:15">
      <c r="A2500" t="s">
        <v>18930</v>
      </c>
      <c r="B2500" t="s">
        <v>11644</v>
      </c>
      <c r="C2500" t="s">
        <v>18532</v>
      </c>
      <c r="D2500" t="s">
        <v>18931</v>
      </c>
      <c r="E2500" t="b">
        <v>0</v>
      </c>
      <c r="F2500" t="s">
        <v>11624</v>
      </c>
      <c r="G2500">
        <v>22.510999999999999</v>
      </c>
      <c r="H2500">
        <v>101.652</v>
      </c>
      <c r="I2500" t="s">
        <v>18932</v>
      </c>
      <c r="L2500">
        <v>0</v>
      </c>
      <c r="M2500">
        <v>0</v>
      </c>
      <c r="N2500">
        <v>0</v>
      </c>
      <c r="O2500" t="s">
        <v>18933</v>
      </c>
    </row>
    <row r="2501" spans="1:15">
      <c r="A2501" t="s">
        <v>18934</v>
      </c>
      <c r="B2501" t="s">
        <v>11615</v>
      </c>
      <c r="C2501" t="s">
        <v>18935</v>
      </c>
      <c r="D2501" t="s">
        <v>18936</v>
      </c>
      <c r="E2501" t="b">
        <v>0</v>
      </c>
      <c r="F2501" t="s">
        <v>11624</v>
      </c>
      <c r="G2501">
        <v>-5.7992900000000001</v>
      </c>
      <c r="H2501">
        <v>145.34800000000001</v>
      </c>
      <c r="I2501" t="s">
        <v>18937</v>
      </c>
      <c r="L2501">
        <v>0</v>
      </c>
      <c r="M2501">
        <v>0</v>
      </c>
      <c r="N2501">
        <v>0</v>
      </c>
      <c r="O2501" t="s">
        <v>11660</v>
      </c>
    </row>
    <row r="2502" spans="1:15">
      <c r="A2502" t="s">
        <v>18938</v>
      </c>
      <c r="B2502" t="s">
        <v>11637</v>
      </c>
      <c r="C2502" t="s">
        <v>13105</v>
      </c>
      <c r="D2502" t="s">
        <v>18939</v>
      </c>
      <c r="E2502" t="b">
        <v>0</v>
      </c>
      <c r="F2502" t="s">
        <v>11610</v>
      </c>
      <c r="L2502">
        <v>0</v>
      </c>
      <c r="M2502">
        <v>0</v>
      </c>
      <c r="N2502">
        <v>0</v>
      </c>
    </row>
    <row r="2503" spans="1:15">
      <c r="A2503" t="s">
        <v>18940</v>
      </c>
      <c r="B2503" t="s">
        <v>367</v>
      </c>
      <c r="C2503" t="s">
        <v>18941</v>
      </c>
      <c r="D2503" t="s">
        <v>18942</v>
      </c>
      <c r="E2503" t="b">
        <v>0</v>
      </c>
      <c r="F2503" t="s">
        <v>11622</v>
      </c>
      <c r="L2503">
        <v>0</v>
      </c>
      <c r="M2503">
        <v>2</v>
      </c>
      <c r="N2503">
        <v>0</v>
      </c>
    </row>
    <row r="2504" spans="1:15">
      <c r="A2504" t="s">
        <v>18943</v>
      </c>
      <c r="B2504" t="s">
        <v>367</v>
      </c>
      <c r="C2504" t="s">
        <v>18944</v>
      </c>
      <c r="D2504" t="s">
        <v>18945</v>
      </c>
      <c r="E2504" t="b">
        <v>0</v>
      </c>
      <c r="F2504" t="s">
        <v>11624</v>
      </c>
      <c r="G2504">
        <v>-8.1505799999999997</v>
      </c>
      <c r="H2504">
        <v>159.41900000000001</v>
      </c>
      <c r="I2504" t="s">
        <v>18946</v>
      </c>
      <c r="L2504">
        <v>0</v>
      </c>
      <c r="M2504">
        <v>0</v>
      </c>
      <c r="N2504">
        <v>0</v>
      </c>
      <c r="O2504" t="s">
        <v>13346</v>
      </c>
    </row>
    <row r="2505" spans="1:15">
      <c r="A2505" t="s">
        <v>18947</v>
      </c>
      <c r="B2505" t="s">
        <v>331</v>
      </c>
      <c r="C2505" t="s">
        <v>12891</v>
      </c>
      <c r="D2505" t="s">
        <v>18948</v>
      </c>
      <c r="E2505" t="b">
        <v>0</v>
      </c>
      <c r="F2505" t="s">
        <v>11610</v>
      </c>
      <c r="L2505">
        <v>0</v>
      </c>
      <c r="M2505">
        <v>0</v>
      </c>
      <c r="N2505">
        <v>0</v>
      </c>
    </row>
    <row r="2506" spans="1:15">
      <c r="A2506" t="s">
        <v>18949</v>
      </c>
      <c r="B2506" t="s">
        <v>11644</v>
      </c>
      <c r="C2506" t="s">
        <v>18950</v>
      </c>
      <c r="D2506" t="s">
        <v>18951</v>
      </c>
      <c r="E2506" t="b">
        <v>0</v>
      </c>
      <c r="F2506" t="s">
        <v>11610</v>
      </c>
      <c r="L2506">
        <v>0</v>
      </c>
      <c r="M2506">
        <v>0</v>
      </c>
      <c r="N2506">
        <v>2</v>
      </c>
    </row>
    <row r="2507" spans="1:15">
      <c r="A2507" t="s">
        <v>18952</v>
      </c>
      <c r="B2507" t="s">
        <v>11644</v>
      </c>
      <c r="C2507" t="s">
        <v>18953</v>
      </c>
      <c r="D2507" t="s">
        <v>18954</v>
      </c>
      <c r="E2507" t="b">
        <v>0</v>
      </c>
      <c r="F2507" t="s">
        <v>11610</v>
      </c>
      <c r="L2507">
        <v>0</v>
      </c>
      <c r="M2507">
        <v>0</v>
      </c>
      <c r="N2507">
        <v>0</v>
      </c>
    </row>
    <row r="2508" spans="1:15">
      <c r="A2508" t="s">
        <v>18955</v>
      </c>
      <c r="B2508" t="s">
        <v>5126</v>
      </c>
      <c r="C2508" t="s">
        <v>12453</v>
      </c>
      <c r="D2508" t="s">
        <v>18956</v>
      </c>
      <c r="E2508" t="b">
        <v>0</v>
      </c>
      <c r="F2508" t="s">
        <v>11622</v>
      </c>
      <c r="L2508">
        <v>0</v>
      </c>
      <c r="M2508">
        <v>2</v>
      </c>
      <c r="N2508">
        <v>1</v>
      </c>
    </row>
    <row r="2509" spans="1:15">
      <c r="A2509" t="s">
        <v>18957</v>
      </c>
      <c r="B2509" t="s">
        <v>13276</v>
      </c>
      <c r="C2509" t="s">
        <v>18958</v>
      </c>
      <c r="D2509" t="s">
        <v>18959</v>
      </c>
      <c r="E2509" t="b">
        <v>0</v>
      </c>
      <c r="F2509" t="s">
        <v>11610</v>
      </c>
      <c r="L2509">
        <v>0</v>
      </c>
      <c r="M2509">
        <v>0</v>
      </c>
      <c r="N2509">
        <v>0</v>
      </c>
    </row>
    <row r="2510" spans="1:15">
      <c r="A2510" t="s">
        <v>18960</v>
      </c>
      <c r="B2510" t="s">
        <v>14005</v>
      </c>
      <c r="C2510" t="s">
        <v>14300</v>
      </c>
      <c r="D2510" t="s">
        <v>18961</v>
      </c>
      <c r="E2510" t="b">
        <v>0</v>
      </c>
      <c r="F2510" t="s">
        <v>11624</v>
      </c>
      <c r="G2510">
        <v>-8.5616099999999999</v>
      </c>
      <c r="H2510">
        <v>141.226</v>
      </c>
      <c r="I2510" t="s">
        <v>18962</v>
      </c>
      <c r="L2510">
        <v>0</v>
      </c>
      <c r="M2510">
        <v>0</v>
      </c>
      <c r="N2510">
        <v>2</v>
      </c>
      <c r="O2510" t="s">
        <v>11660</v>
      </c>
    </row>
    <row r="2511" spans="1:15">
      <c r="A2511" t="s">
        <v>14213</v>
      </c>
      <c r="B2511" t="s">
        <v>11839</v>
      </c>
      <c r="C2511" t="s">
        <v>18963</v>
      </c>
      <c r="D2511" t="s">
        <v>18964</v>
      </c>
      <c r="E2511" t="b">
        <v>0</v>
      </c>
      <c r="F2511" t="s">
        <v>11624</v>
      </c>
      <c r="G2511">
        <v>-8.3178699999999992</v>
      </c>
      <c r="H2511">
        <v>124.251</v>
      </c>
      <c r="I2511" t="s">
        <v>18965</v>
      </c>
      <c r="L2511">
        <v>0</v>
      </c>
      <c r="M2511">
        <v>0</v>
      </c>
      <c r="N2511">
        <v>4</v>
      </c>
      <c r="O2511" t="s">
        <v>11768</v>
      </c>
    </row>
    <row r="2512" spans="1:15">
      <c r="A2512" t="s">
        <v>18963</v>
      </c>
      <c r="B2512" t="s">
        <v>11839</v>
      </c>
      <c r="C2512" t="s">
        <v>12015</v>
      </c>
      <c r="D2512" t="s">
        <v>18966</v>
      </c>
      <c r="E2512" t="b">
        <v>0</v>
      </c>
      <c r="F2512" t="s">
        <v>11622</v>
      </c>
      <c r="L2512">
        <v>0</v>
      </c>
      <c r="M2512">
        <v>3</v>
      </c>
      <c r="N2512">
        <v>4</v>
      </c>
    </row>
    <row r="2513" spans="1:15">
      <c r="A2513" t="s">
        <v>18967</v>
      </c>
      <c r="B2513" t="s">
        <v>12438</v>
      </c>
      <c r="C2513" t="s">
        <v>18968</v>
      </c>
      <c r="D2513" t="s">
        <v>18969</v>
      </c>
      <c r="E2513" t="b">
        <v>0</v>
      </c>
      <c r="F2513" t="s">
        <v>11624</v>
      </c>
      <c r="G2513">
        <v>22.0092</v>
      </c>
      <c r="H2513">
        <v>99.740499999999997</v>
      </c>
      <c r="I2513" t="s">
        <v>18970</v>
      </c>
      <c r="L2513">
        <v>0</v>
      </c>
      <c r="M2513">
        <v>0</v>
      </c>
      <c r="N2513">
        <v>2</v>
      </c>
      <c r="O2513" t="s">
        <v>18868</v>
      </c>
    </row>
    <row r="2514" spans="1:15">
      <c r="A2514" t="s">
        <v>18971</v>
      </c>
      <c r="B2514" t="s">
        <v>11637</v>
      </c>
      <c r="C2514" t="s">
        <v>18972</v>
      </c>
      <c r="D2514" t="s">
        <v>18973</v>
      </c>
      <c r="E2514" t="b">
        <v>0</v>
      </c>
      <c r="F2514" t="s">
        <v>11610</v>
      </c>
      <c r="L2514">
        <v>0</v>
      </c>
      <c r="M2514">
        <v>0</v>
      </c>
      <c r="N2514">
        <v>0</v>
      </c>
    </row>
    <row r="2515" spans="1:15">
      <c r="A2515" t="s">
        <v>18974</v>
      </c>
      <c r="B2515" t="s">
        <v>6742</v>
      </c>
      <c r="C2515" t="s">
        <v>15515</v>
      </c>
      <c r="D2515" t="s">
        <v>18975</v>
      </c>
      <c r="E2515" t="b">
        <v>0</v>
      </c>
      <c r="F2515" t="s">
        <v>11610</v>
      </c>
      <c r="L2515">
        <v>0</v>
      </c>
      <c r="M2515">
        <v>0</v>
      </c>
      <c r="N2515">
        <v>0</v>
      </c>
    </row>
    <row r="2516" spans="1:15">
      <c r="A2516" t="s">
        <v>18976</v>
      </c>
      <c r="B2516" t="s">
        <v>367</v>
      </c>
      <c r="C2516" t="s">
        <v>18977</v>
      </c>
      <c r="D2516" t="s">
        <v>18978</v>
      </c>
      <c r="E2516" t="b">
        <v>0</v>
      </c>
      <c r="F2516" t="s">
        <v>11610</v>
      </c>
      <c r="L2516">
        <v>0</v>
      </c>
      <c r="M2516">
        <v>0</v>
      </c>
      <c r="N2516">
        <v>0</v>
      </c>
    </row>
    <row r="2517" spans="1:15">
      <c r="A2517" t="s">
        <v>18979</v>
      </c>
      <c r="B2517" t="s">
        <v>13276</v>
      </c>
      <c r="C2517" t="s">
        <v>18350</v>
      </c>
      <c r="D2517" t="s">
        <v>18980</v>
      </c>
      <c r="E2517" t="b">
        <v>0</v>
      </c>
      <c r="F2517" t="s">
        <v>11610</v>
      </c>
      <c r="L2517">
        <v>0</v>
      </c>
      <c r="M2517">
        <v>0</v>
      </c>
      <c r="N2517">
        <v>0</v>
      </c>
    </row>
    <row r="2518" spans="1:15">
      <c r="A2518" t="s">
        <v>18981</v>
      </c>
      <c r="B2518" t="s">
        <v>12979</v>
      </c>
      <c r="C2518" t="s">
        <v>91</v>
      </c>
      <c r="D2518" t="s">
        <v>18982</v>
      </c>
      <c r="E2518" t="b">
        <v>0</v>
      </c>
      <c r="F2518" t="s">
        <v>11610</v>
      </c>
      <c r="L2518">
        <v>0</v>
      </c>
      <c r="M2518">
        <v>0</v>
      </c>
      <c r="N2518">
        <v>0</v>
      </c>
    </row>
    <row r="2519" spans="1:15">
      <c r="A2519" t="s">
        <v>18983</v>
      </c>
      <c r="B2519" t="s">
        <v>367</v>
      </c>
      <c r="C2519" t="s">
        <v>12044</v>
      </c>
      <c r="D2519" t="s">
        <v>18984</v>
      </c>
      <c r="E2519" t="b">
        <v>0</v>
      </c>
      <c r="F2519" t="s">
        <v>11610</v>
      </c>
      <c r="L2519">
        <v>0</v>
      </c>
      <c r="M2519">
        <v>0</v>
      </c>
      <c r="N2519">
        <v>0</v>
      </c>
    </row>
    <row r="2520" spans="1:15">
      <c r="A2520" t="s">
        <v>18985</v>
      </c>
      <c r="B2520" t="s">
        <v>367</v>
      </c>
      <c r="C2520" t="s">
        <v>15834</v>
      </c>
      <c r="D2520" t="s">
        <v>18986</v>
      </c>
      <c r="E2520" t="b">
        <v>0</v>
      </c>
      <c r="F2520" t="s">
        <v>11610</v>
      </c>
      <c r="L2520">
        <v>0</v>
      </c>
      <c r="M2520">
        <v>0</v>
      </c>
      <c r="N2520">
        <v>0</v>
      </c>
    </row>
    <row r="2521" spans="1:15">
      <c r="A2521" t="s">
        <v>18987</v>
      </c>
      <c r="B2521" t="s">
        <v>13276</v>
      </c>
      <c r="C2521" t="s">
        <v>18988</v>
      </c>
      <c r="D2521" t="s">
        <v>18989</v>
      </c>
      <c r="E2521" t="b">
        <v>0</v>
      </c>
      <c r="F2521" t="s">
        <v>11610</v>
      </c>
      <c r="L2521">
        <v>0</v>
      </c>
      <c r="M2521">
        <v>0</v>
      </c>
      <c r="N2521">
        <v>0</v>
      </c>
    </row>
    <row r="2522" spans="1:15">
      <c r="A2522" t="s">
        <v>18990</v>
      </c>
      <c r="B2522" t="s">
        <v>11637</v>
      </c>
      <c r="C2522" t="s">
        <v>14730</v>
      </c>
      <c r="D2522" t="s">
        <v>18991</v>
      </c>
      <c r="E2522" t="b">
        <v>0</v>
      </c>
      <c r="F2522" t="s">
        <v>11610</v>
      </c>
      <c r="L2522">
        <v>0</v>
      </c>
      <c r="M2522">
        <v>0</v>
      </c>
      <c r="N2522">
        <v>0</v>
      </c>
    </row>
    <row r="2523" spans="1:15">
      <c r="A2523" t="s">
        <v>18992</v>
      </c>
      <c r="B2523" t="s">
        <v>367</v>
      </c>
      <c r="C2523" t="s">
        <v>18993</v>
      </c>
      <c r="D2523" t="s">
        <v>18994</v>
      </c>
      <c r="E2523" t="b">
        <v>0</v>
      </c>
      <c r="F2523" t="s">
        <v>11624</v>
      </c>
      <c r="G2523">
        <v>-2.9553500000000001</v>
      </c>
      <c r="H2523">
        <v>127.953</v>
      </c>
      <c r="I2523" t="s">
        <v>18995</v>
      </c>
      <c r="L2523">
        <v>0</v>
      </c>
      <c r="M2523">
        <v>0</v>
      </c>
      <c r="N2523">
        <v>0</v>
      </c>
      <c r="O2523" t="s">
        <v>11768</v>
      </c>
    </row>
    <row r="2524" spans="1:15">
      <c r="A2524" t="s">
        <v>5047</v>
      </c>
      <c r="B2524" t="s">
        <v>367</v>
      </c>
      <c r="C2524" t="s">
        <v>18996</v>
      </c>
      <c r="D2524" t="s">
        <v>18997</v>
      </c>
      <c r="E2524" t="b">
        <v>0</v>
      </c>
      <c r="F2524" t="s">
        <v>11624</v>
      </c>
      <c r="G2524">
        <v>0.51151999999999997</v>
      </c>
      <c r="H2524">
        <v>120.992</v>
      </c>
      <c r="I2524" t="s">
        <v>5049</v>
      </c>
      <c r="L2524">
        <v>0</v>
      </c>
      <c r="M2524">
        <v>0</v>
      </c>
      <c r="N2524">
        <v>0</v>
      </c>
      <c r="O2524" t="s">
        <v>11768</v>
      </c>
    </row>
    <row r="2525" spans="1:15">
      <c r="A2525" t="s">
        <v>18998</v>
      </c>
      <c r="B2525" t="s">
        <v>12133</v>
      </c>
      <c r="C2525" t="s">
        <v>18999</v>
      </c>
      <c r="D2525" t="s">
        <v>19000</v>
      </c>
      <c r="E2525" t="b">
        <v>0</v>
      </c>
      <c r="F2525" t="s">
        <v>11610</v>
      </c>
      <c r="L2525">
        <v>0</v>
      </c>
      <c r="M2525">
        <v>0</v>
      </c>
      <c r="N2525">
        <v>0</v>
      </c>
    </row>
    <row r="2526" spans="1:15">
      <c r="A2526" t="s">
        <v>19001</v>
      </c>
      <c r="B2526" t="s">
        <v>11615</v>
      </c>
      <c r="C2526" t="s">
        <v>19002</v>
      </c>
      <c r="D2526" t="s">
        <v>19003</v>
      </c>
      <c r="E2526" t="b">
        <v>0</v>
      </c>
      <c r="F2526" t="s">
        <v>11622</v>
      </c>
      <c r="L2526">
        <v>1</v>
      </c>
      <c r="M2526">
        <v>5</v>
      </c>
      <c r="N2526">
        <v>8</v>
      </c>
    </row>
    <row r="2527" spans="1:15">
      <c r="A2527" t="s">
        <v>19004</v>
      </c>
      <c r="B2527" t="s">
        <v>11794</v>
      </c>
      <c r="C2527" t="s">
        <v>19005</v>
      </c>
      <c r="D2527" t="s">
        <v>19006</v>
      </c>
      <c r="E2527" t="b">
        <v>0</v>
      </c>
      <c r="F2527" t="s">
        <v>11622</v>
      </c>
      <c r="L2527">
        <v>0</v>
      </c>
      <c r="M2527">
        <v>2</v>
      </c>
      <c r="N2527">
        <v>9</v>
      </c>
    </row>
    <row r="2528" spans="1:15">
      <c r="A2528" t="s">
        <v>19007</v>
      </c>
      <c r="B2528" t="s">
        <v>6742</v>
      </c>
      <c r="C2528" t="s">
        <v>1627</v>
      </c>
      <c r="D2528" t="s">
        <v>19008</v>
      </c>
      <c r="E2528" t="b">
        <v>0</v>
      </c>
      <c r="F2528" t="s">
        <v>11610</v>
      </c>
      <c r="L2528">
        <v>0</v>
      </c>
      <c r="M2528">
        <v>0</v>
      </c>
      <c r="N2528">
        <v>0</v>
      </c>
    </row>
    <row r="2529" spans="1:15">
      <c r="A2529" t="s">
        <v>19009</v>
      </c>
      <c r="B2529" t="s">
        <v>367</v>
      </c>
      <c r="C2529" t="s">
        <v>19010</v>
      </c>
      <c r="D2529" t="s">
        <v>19011</v>
      </c>
      <c r="E2529" t="b">
        <v>0</v>
      </c>
      <c r="F2529" t="s">
        <v>11610</v>
      </c>
      <c r="L2529">
        <v>0</v>
      </c>
      <c r="M2529">
        <v>0</v>
      </c>
      <c r="N2529">
        <v>0</v>
      </c>
    </row>
    <row r="2530" spans="1:15">
      <c r="A2530" t="s">
        <v>19012</v>
      </c>
      <c r="B2530" t="s">
        <v>6742</v>
      </c>
      <c r="C2530" t="s">
        <v>19013</v>
      </c>
      <c r="D2530" t="s">
        <v>19014</v>
      </c>
      <c r="E2530" t="b">
        <v>0</v>
      </c>
      <c r="F2530" t="s">
        <v>11622</v>
      </c>
      <c r="L2530">
        <v>3</v>
      </c>
      <c r="M2530">
        <v>8</v>
      </c>
      <c r="N2530">
        <v>9</v>
      </c>
    </row>
    <row r="2531" spans="1:15">
      <c r="A2531" t="s">
        <v>16334</v>
      </c>
      <c r="B2531" t="s">
        <v>6742</v>
      </c>
      <c r="C2531" t="s">
        <v>19012</v>
      </c>
      <c r="D2531" t="s">
        <v>19015</v>
      </c>
      <c r="E2531" t="b">
        <v>0</v>
      </c>
      <c r="F2531" t="s">
        <v>11622</v>
      </c>
      <c r="L2531">
        <v>2</v>
      </c>
      <c r="M2531">
        <v>5</v>
      </c>
      <c r="N2531">
        <v>4</v>
      </c>
    </row>
    <row r="2532" spans="1:15">
      <c r="A2532" t="s">
        <v>16653</v>
      </c>
      <c r="B2532" t="s">
        <v>6742</v>
      </c>
      <c r="C2532" t="s">
        <v>16334</v>
      </c>
      <c r="D2532" t="s">
        <v>19016</v>
      </c>
      <c r="E2532" t="b">
        <v>0</v>
      </c>
      <c r="F2532" t="s">
        <v>11622</v>
      </c>
      <c r="L2532">
        <v>1</v>
      </c>
      <c r="M2532">
        <v>3</v>
      </c>
      <c r="N2532">
        <v>0</v>
      </c>
    </row>
    <row r="2533" spans="1:15">
      <c r="A2533" t="s">
        <v>19017</v>
      </c>
      <c r="B2533" t="s">
        <v>6742</v>
      </c>
      <c r="C2533" t="s">
        <v>15545</v>
      </c>
      <c r="D2533" t="s">
        <v>19018</v>
      </c>
      <c r="E2533" t="b">
        <v>0</v>
      </c>
      <c r="F2533" t="s">
        <v>11610</v>
      </c>
      <c r="L2533">
        <v>0</v>
      </c>
      <c r="M2533">
        <v>0</v>
      </c>
      <c r="N2533">
        <v>0</v>
      </c>
    </row>
    <row r="2534" spans="1:15">
      <c r="A2534" t="s">
        <v>19019</v>
      </c>
      <c r="B2534" t="s">
        <v>13276</v>
      </c>
      <c r="C2534" t="s">
        <v>19020</v>
      </c>
      <c r="D2534" t="s">
        <v>19021</v>
      </c>
      <c r="E2534" t="b">
        <v>0</v>
      </c>
      <c r="F2534" t="s">
        <v>11622</v>
      </c>
      <c r="L2534">
        <v>0</v>
      </c>
      <c r="M2534">
        <v>2</v>
      </c>
      <c r="N2534">
        <v>12</v>
      </c>
    </row>
    <row r="2535" spans="1:15">
      <c r="A2535" t="s">
        <v>19022</v>
      </c>
      <c r="B2535" t="s">
        <v>367</v>
      </c>
      <c r="C2535" t="s">
        <v>19023</v>
      </c>
      <c r="D2535" t="s">
        <v>19024</v>
      </c>
      <c r="E2535" t="b">
        <v>0</v>
      </c>
      <c r="F2535" t="s">
        <v>11624</v>
      </c>
      <c r="G2535">
        <v>-3.4351400000000001</v>
      </c>
      <c r="H2535">
        <v>130.179</v>
      </c>
      <c r="I2535" t="s">
        <v>19025</v>
      </c>
      <c r="L2535">
        <v>0</v>
      </c>
      <c r="M2535">
        <v>0</v>
      </c>
      <c r="N2535">
        <v>0</v>
      </c>
      <c r="O2535" t="s">
        <v>11768</v>
      </c>
    </row>
    <row r="2536" spans="1:15">
      <c r="A2536" t="s">
        <v>19026</v>
      </c>
      <c r="B2536" t="s">
        <v>367</v>
      </c>
      <c r="C2536" t="s">
        <v>17478</v>
      </c>
      <c r="D2536" t="s">
        <v>19027</v>
      </c>
      <c r="E2536" t="b">
        <v>0</v>
      </c>
      <c r="F2536" t="s">
        <v>11624</v>
      </c>
      <c r="G2536">
        <v>-0.36758999999999997</v>
      </c>
      <c r="H2536">
        <v>121.922</v>
      </c>
      <c r="I2536" t="s">
        <v>19028</v>
      </c>
      <c r="L2536">
        <v>0</v>
      </c>
      <c r="M2536">
        <v>0</v>
      </c>
      <c r="N2536">
        <v>0</v>
      </c>
      <c r="O2536" t="s">
        <v>11768</v>
      </c>
    </row>
    <row r="2537" spans="1:15">
      <c r="A2537" t="s">
        <v>12651</v>
      </c>
      <c r="B2537" t="s">
        <v>12650</v>
      </c>
      <c r="C2537" t="s">
        <v>19029</v>
      </c>
      <c r="D2537" t="s">
        <v>19030</v>
      </c>
      <c r="E2537" t="b">
        <v>0</v>
      </c>
      <c r="F2537" t="s">
        <v>11622</v>
      </c>
      <c r="L2537">
        <v>0</v>
      </c>
      <c r="M2537">
        <v>2</v>
      </c>
      <c r="N2537">
        <v>0</v>
      </c>
    </row>
    <row r="2538" spans="1:15">
      <c r="A2538" t="s">
        <v>19031</v>
      </c>
      <c r="B2538" t="s">
        <v>6742</v>
      </c>
      <c r="C2538" t="s">
        <v>19032</v>
      </c>
      <c r="D2538" t="s">
        <v>19033</v>
      </c>
      <c r="E2538" t="b">
        <v>0</v>
      </c>
      <c r="F2538" t="s">
        <v>11610</v>
      </c>
      <c r="L2538">
        <v>0</v>
      </c>
      <c r="M2538">
        <v>0</v>
      </c>
      <c r="N2538">
        <v>0</v>
      </c>
    </row>
    <row r="2539" spans="1:15">
      <c r="A2539" t="s">
        <v>19034</v>
      </c>
      <c r="B2539" t="s">
        <v>11637</v>
      </c>
      <c r="C2539" t="s">
        <v>13105</v>
      </c>
      <c r="D2539" t="s">
        <v>19035</v>
      </c>
      <c r="E2539" t="b">
        <v>0</v>
      </c>
      <c r="F2539" t="s">
        <v>11610</v>
      </c>
      <c r="L2539">
        <v>0</v>
      </c>
      <c r="M2539">
        <v>0</v>
      </c>
      <c r="N2539">
        <v>0</v>
      </c>
    </row>
    <row r="2540" spans="1:15">
      <c r="A2540" t="s">
        <v>19036</v>
      </c>
      <c r="B2540" t="s">
        <v>6742</v>
      </c>
      <c r="C2540" t="s">
        <v>14829</v>
      </c>
      <c r="D2540" t="s">
        <v>19037</v>
      </c>
      <c r="E2540" t="b">
        <v>0</v>
      </c>
      <c r="F2540" t="s">
        <v>11610</v>
      </c>
      <c r="L2540">
        <v>0</v>
      </c>
      <c r="M2540">
        <v>0</v>
      </c>
      <c r="N2540">
        <v>0</v>
      </c>
    </row>
    <row r="2541" spans="1:15">
      <c r="A2541" t="s">
        <v>19038</v>
      </c>
      <c r="B2541" t="s">
        <v>17579</v>
      </c>
      <c r="C2541" t="s">
        <v>19039</v>
      </c>
      <c r="D2541" t="s">
        <v>19040</v>
      </c>
      <c r="E2541" t="b">
        <v>0</v>
      </c>
      <c r="F2541" t="s">
        <v>11610</v>
      </c>
      <c r="L2541">
        <v>0</v>
      </c>
      <c r="M2541">
        <v>0</v>
      </c>
      <c r="N2541">
        <v>0</v>
      </c>
    </row>
    <row r="2542" spans="1:15">
      <c r="A2542" t="s">
        <v>19041</v>
      </c>
      <c r="B2542" t="s">
        <v>11757</v>
      </c>
      <c r="C2542" t="s">
        <v>19042</v>
      </c>
      <c r="D2542" t="s">
        <v>19043</v>
      </c>
      <c r="E2542" t="b">
        <v>0</v>
      </c>
      <c r="F2542" t="s">
        <v>11610</v>
      </c>
      <c r="L2542">
        <v>0</v>
      </c>
      <c r="M2542">
        <v>0</v>
      </c>
      <c r="N2542">
        <v>0</v>
      </c>
    </row>
    <row r="2543" spans="1:15">
      <c r="A2543" t="s">
        <v>19044</v>
      </c>
      <c r="B2543" t="s">
        <v>6742</v>
      </c>
      <c r="C2543" t="s">
        <v>15091</v>
      </c>
      <c r="D2543" t="s">
        <v>19045</v>
      </c>
      <c r="E2543" t="b">
        <v>0</v>
      </c>
      <c r="F2543" t="s">
        <v>11610</v>
      </c>
      <c r="L2543">
        <v>0</v>
      </c>
      <c r="M2543">
        <v>0</v>
      </c>
      <c r="N2543">
        <v>0</v>
      </c>
    </row>
    <row r="2544" spans="1:15">
      <c r="A2544" t="s">
        <v>19046</v>
      </c>
      <c r="B2544" t="s">
        <v>6742</v>
      </c>
      <c r="C2544" t="s">
        <v>19047</v>
      </c>
      <c r="D2544" t="s">
        <v>19048</v>
      </c>
      <c r="E2544" t="b">
        <v>0</v>
      </c>
      <c r="F2544" t="s">
        <v>11610</v>
      </c>
      <c r="L2544">
        <v>0</v>
      </c>
      <c r="M2544">
        <v>0</v>
      </c>
      <c r="N2544">
        <v>0</v>
      </c>
    </row>
    <row r="2545" spans="1:15">
      <c r="A2545" t="s">
        <v>19049</v>
      </c>
      <c r="B2545" t="s">
        <v>15569</v>
      </c>
      <c r="C2545" t="s">
        <v>19050</v>
      </c>
      <c r="D2545" t="s">
        <v>19051</v>
      </c>
      <c r="E2545" t="b">
        <v>0</v>
      </c>
      <c r="F2545" t="s">
        <v>11610</v>
      </c>
      <c r="L2545">
        <v>0</v>
      </c>
      <c r="M2545">
        <v>0</v>
      </c>
      <c r="N2545">
        <v>0</v>
      </c>
    </row>
    <row r="2546" spans="1:15">
      <c r="A2546" t="s">
        <v>19052</v>
      </c>
      <c r="B2546" t="s">
        <v>11644</v>
      </c>
      <c r="C2546" t="s">
        <v>11644</v>
      </c>
      <c r="D2546" t="s">
        <v>19053</v>
      </c>
      <c r="E2546" t="b">
        <v>0</v>
      </c>
      <c r="F2546" t="s">
        <v>11622</v>
      </c>
      <c r="L2546">
        <v>51</v>
      </c>
      <c r="M2546">
        <v>82</v>
      </c>
      <c r="N2546">
        <v>150</v>
      </c>
    </row>
    <row r="2547" spans="1:15">
      <c r="A2547" t="s">
        <v>19054</v>
      </c>
      <c r="B2547" t="s">
        <v>11644</v>
      </c>
      <c r="C2547" t="s">
        <v>19052</v>
      </c>
      <c r="D2547" t="s">
        <v>19055</v>
      </c>
      <c r="E2547" t="b">
        <v>0</v>
      </c>
      <c r="F2547" t="s">
        <v>11622</v>
      </c>
      <c r="L2547">
        <v>31</v>
      </c>
      <c r="M2547">
        <v>54</v>
      </c>
      <c r="N2547">
        <v>106</v>
      </c>
    </row>
    <row r="2548" spans="1:15">
      <c r="A2548" t="s">
        <v>1118</v>
      </c>
      <c r="B2548" t="s">
        <v>11637</v>
      </c>
      <c r="C2548" t="s">
        <v>12082</v>
      </c>
      <c r="D2548" t="s">
        <v>19056</v>
      </c>
      <c r="E2548" t="b">
        <v>0</v>
      </c>
      <c r="F2548" t="s">
        <v>11624</v>
      </c>
      <c r="G2548">
        <v>19.0745</v>
      </c>
      <c r="H2548">
        <v>82.877399999999994</v>
      </c>
      <c r="I2548" t="s">
        <v>1120</v>
      </c>
      <c r="L2548">
        <v>0</v>
      </c>
      <c r="M2548">
        <v>0</v>
      </c>
      <c r="N2548">
        <v>0</v>
      </c>
      <c r="O2548" t="s">
        <v>11630</v>
      </c>
    </row>
    <row r="2549" spans="1:15">
      <c r="A2549" t="s">
        <v>1331</v>
      </c>
      <c r="B2549" t="s">
        <v>12438</v>
      </c>
      <c r="C2549" t="s">
        <v>19057</v>
      </c>
      <c r="D2549" t="s">
        <v>19058</v>
      </c>
      <c r="E2549" t="b">
        <v>0</v>
      </c>
      <c r="F2549" t="s">
        <v>11624</v>
      </c>
      <c r="G2549">
        <v>18.3857</v>
      </c>
      <c r="H2549">
        <v>82.771000000000001</v>
      </c>
      <c r="I2549" t="s">
        <v>1334</v>
      </c>
      <c r="L2549">
        <v>0</v>
      </c>
      <c r="M2549">
        <v>0</v>
      </c>
      <c r="N2549">
        <v>2</v>
      </c>
      <c r="O2549" t="s">
        <v>11630</v>
      </c>
    </row>
    <row r="2550" spans="1:15">
      <c r="A2550" t="s">
        <v>19059</v>
      </c>
      <c r="B2550" t="s">
        <v>11644</v>
      </c>
      <c r="C2550" t="s">
        <v>19060</v>
      </c>
      <c r="D2550" t="s">
        <v>19061</v>
      </c>
      <c r="E2550" t="b">
        <v>0</v>
      </c>
      <c r="F2550" t="s">
        <v>11624</v>
      </c>
      <c r="G2550">
        <v>26.725455</v>
      </c>
      <c r="H2550">
        <v>89.333235000000002</v>
      </c>
      <c r="I2550" t="s">
        <v>19062</v>
      </c>
      <c r="L2550">
        <v>0</v>
      </c>
      <c r="M2550">
        <v>0</v>
      </c>
      <c r="N2550">
        <v>2</v>
      </c>
      <c r="O2550" t="s">
        <v>12524</v>
      </c>
    </row>
    <row r="2551" spans="1:15">
      <c r="A2551" t="s">
        <v>19063</v>
      </c>
      <c r="B2551" t="s">
        <v>6742</v>
      </c>
      <c r="C2551" t="s">
        <v>7100</v>
      </c>
      <c r="D2551" t="s">
        <v>19064</v>
      </c>
      <c r="E2551" t="b">
        <v>0</v>
      </c>
      <c r="F2551" t="s">
        <v>11610</v>
      </c>
      <c r="L2551">
        <v>0</v>
      </c>
      <c r="M2551">
        <v>0</v>
      </c>
      <c r="N2551">
        <v>0</v>
      </c>
    </row>
    <row r="2552" spans="1:15">
      <c r="A2552" t="s">
        <v>19065</v>
      </c>
      <c r="B2552" t="s">
        <v>6742</v>
      </c>
      <c r="C2552" t="s">
        <v>19066</v>
      </c>
      <c r="D2552" t="s">
        <v>19067</v>
      </c>
      <c r="E2552" t="b">
        <v>0</v>
      </c>
      <c r="F2552" t="s">
        <v>11610</v>
      </c>
      <c r="L2552">
        <v>0</v>
      </c>
      <c r="M2552">
        <v>0</v>
      </c>
      <c r="N2552">
        <v>0</v>
      </c>
    </row>
    <row r="2553" spans="1:15">
      <c r="A2553" t="s">
        <v>19068</v>
      </c>
      <c r="B2553" t="s">
        <v>6742</v>
      </c>
      <c r="C2553" t="s">
        <v>19069</v>
      </c>
      <c r="D2553" t="s">
        <v>19070</v>
      </c>
      <c r="E2553" t="b">
        <v>0</v>
      </c>
      <c r="F2553" t="s">
        <v>11624</v>
      </c>
      <c r="G2553">
        <v>6</v>
      </c>
      <c r="H2553">
        <v>26</v>
      </c>
      <c r="I2553" t="s">
        <v>19071</v>
      </c>
      <c r="L2553">
        <v>0</v>
      </c>
      <c r="M2553">
        <v>0</v>
      </c>
      <c r="N2553">
        <v>0</v>
      </c>
      <c r="O2553" t="s">
        <v>16548</v>
      </c>
    </row>
    <row r="2554" spans="1:15">
      <c r="A2554" t="s">
        <v>19072</v>
      </c>
      <c r="B2554" t="s">
        <v>11729</v>
      </c>
      <c r="C2554" t="s">
        <v>7769</v>
      </c>
      <c r="D2554" t="s">
        <v>19073</v>
      </c>
      <c r="E2554" t="b">
        <v>0</v>
      </c>
      <c r="F2554" t="s">
        <v>11610</v>
      </c>
      <c r="L2554">
        <v>0</v>
      </c>
      <c r="M2554">
        <v>0</v>
      </c>
      <c r="N2554">
        <v>0</v>
      </c>
    </row>
    <row r="2555" spans="1:15">
      <c r="A2555" t="s">
        <v>19074</v>
      </c>
      <c r="B2555" t="s">
        <v>13276</v>
      </c>
      <c r="C2555" t="s">
        <v>19075</v>
      </c>
      <c r="D2555" t="s">
        <v>19076</v>
      </c>
      <c r="E2555" t="b">
        <v>0</v>
      </c>
      <c r="F2555" t="s">
        <v>11610</v>
      </c>
      <c r="L2555">
        <v>0</v>
      </c>
      <c r="M2555">
        <v>0</v>
      </c>
      <c r="N2555">
        <v>0</v>
      </c>
    </row>
    <row r="2556" spans="1:15">
      <c r="A2556" t="s">
        <v>19077</v>
      </c>
      <c r="B2556" t="s">
        <v>11607</v>
      </c>
      <c r="C2556" t="s">
        <v>19078</v>
      </c>
      <c r="D2556" t="s">
        <v>19079</v>
      </c>
      <c r="E2556" t="b">
        <v>0</v>
      </c>
      <c r="F2556" t="s">
        <v>11610</v>
      </c>
      <c r="L2556">
        <v>0</v>
      </c>
      <c r="M2556">
        <v>0</v>
      </c>
      <c r="N2556">
        <v>0</v>
      </c>
    </row>
    <row r="2557" spans="1:15">
      <c r="A2557" t="s">
        <v>19080</v>
      </c>
      <c r="B2557" t="s">
        <v>11644</v>
      </c>
      <c r="C2557" t="s">
        <v>19081</v>
      </c>
      <c r="D2557" t="s">
        <v>19082</v>
      </c>
      <c r="E2557" t="b">
        <v>0</v>
      </c>
      <c r="F2557" t="s">
        <v>11622</v>
      </c>
      <c r="L2557">
        <v>6</v>
      </c>
      <c r="M2557">
        <v>14</v>
      </c>
      <c r="N2557">
        <v>25</v>
      </c>
    </row>
    <row r="2558" spans="1:15">
      <c r="A2558" t="s">
        <v>19060</v>
      </c>
      <c r="B2558" t="s">
        <v>11644</v>
      </c>
      <c r="C2558" t="s">
        <v>19083</v>
      </c>
      <c r="D2558" t="s">
        <v>19084</v>
      </c>
      <c r="E2558" t="b">
        <v>0</v>
      </c>
      <c r="F2558" t="s">
        <v>11622</v>
      </c>
      <c r="L2558">
        <v>0</v>
      </c>
      <c r="M2558">
        <v>2</v>
      </c>
      <c r="N2558">
        <v>2</v>
      </c>
    </row>
    <row r="2559" spans="1:15">
      <c r="A2559" t="s">
        <v>19085</v>
      </c>
      <c r="B2559" t="s">
        <v>6742</v>
      </c>
      <c r="C2559" t="s">
        <v>19086</v>
      </c>
      <c r="D2559" t="s">
        <v>19087</v>
      </c>
      <c r="E2559" t="b">
        <v>0</v>
      </c>
      <c r="F2559" t="s">
        <v>11610</v>
      </c>
      <c r="L2559">
        <v>0</v>
      </c>
      <c r="M2559">
        <v>0</v>
      </c>
      <c r="N2559">
        <v>0</v>
      </c>
    </row>
    <row r="2560" spans="1:15">
      <c r="A2560" t="s">
        <v>19088</v>
      </c>
      <c r="B2560" t="s">
        <v>6742</v>
      </c>
      <c r="C2560" t="s">
        <v>19089</v>
      </c>
      <c r="D2560" t="s">
        <v>19090</v>
      </c>
      <c r="E2560" t="b">
        <v>0</v>
      </c>
      <c r="F2560" t="s">
        <v>11624</v>
      </c>
      <c r="G2560">
        <v>4.0204300000000002</v>
      </c>
      <c r="H2560">
        <v>17.3032</v>
      </c>
      <c r="I2560" t="s">
        <v>19091</v>
      </c>
      <c r="L2560">
        <v>0</v>
      </c>
      <c r="M2560">
        <v>0</v>
      </c>
      <c r="N2560">
        <v>0</v>
      </c>
      <c r="O2560" t="s">
        <v>16548</v>
      </c>
    </row>
    <row r="2561" spans="1:15">
      <c r="A2561" t="s">
        <v>19092</v>
      </c>
      <c r="B2561" t="s">
        <v>6742</v>
      </c>
      <c r="C2561" t="s">
        <v>16901</v>
      </c>
      <c r="D2561" t="s">
        <v>19093</v>
      </c>
      <c r="E2561" t="b">
        <v>0</v>
      </c>
      <c r="F2561" t="s">
        <v>11610</v>
      </c>
      <c r="L2561">
        <v>0</v>
      </c>
      <c r="M2561">
        <v>0</v>
      </c>
      <c r="N2561">
        <v>0</v>
      </c>
    </row>
    <row r="2562" spans="1:15">
      <c r="A2562" t="s">
        <v>19094</v>
      </c>
      <c r="D2562" t="s">
        <v>19095</v>
      </c>
      <c r="E2562" t="b">
        <v>0</v>
      </c>
      <c r="F2562" t="s">
        <v>11624</v>
      </c>
      <c r="G2562">
        <v>-5.5448700000000004</v>
      </c>
      <c r="H2562">
        <v>142.255</v>
      </c>
      <c r="I2562" t="s">
        <v>19096</v>
      </c>
      <c r="L2562">
        <v>0</v>
      </c>
      <c r="M2562">
        <v>0</v>
      </c>
      <c r="N2562">
        <v>0</v>
      </c>
      <c r="O2562" t="s">
        <v>11660</v>
      </c>
    </row>
    <row r="2563" spans="1:15">
      <c r="A2563" t="s">
        <v>19097</v>
      </c>
      <c r="B2563" t="s">
        <v>11607</v>
      </c>
      <c r="C2563" t="s">
        <v>19098</v>
      </c>
      <c r="D2563" t="s">
        <v>19099</v>
      </c>
      <c r="E2563" t="b">
        <v>0</v>
      </c>
      <c r="F2563" t="s">
        <v>11624</v>
      </c>
      <c r="G2563">
        <v>10.188000000000001</v>
      </c>
      <c r="H2563">
        <v>12.936</v>
      </c>
      <c r="I2563" t="s">
        <v>19100</v>
      </c>
      <c r="L2563">
        <v>0</v>
      </c>
      <c r="M2563">
        <v>0</v>
      </c>
      <c r="N2563">
        <v>0</v>
      </c>
      <c r="O2563" t="s">
        <v>11693</v>
      </c>
    </row>
    <row r="2564" spans="1:15">
      <c r="A2564" t="s">
        <v>19101</v>
      </c>
      <c r="B2564" t="s">
        <v>11607</v>
      </c>
      <c r="C2564" t="s">
        <v>19102</v>
      </c>
      <c r="D2564" t="s">
        <v>19103</v>
      </c>
      <c r="E2564" t="b">
        <v>0</v>
      </c>
      <c r="F2564" t="s">
        <v>11622</v>
      </c>
      <c r="L2564">
        <v>1</v>
      </c>
      <c r="M2564">
        <v>3</v>
      </c>
      <c r="N2564">
        <v>0</v>
      </c>
    </row>
    <row r="2565" spans="1:15">
      <c r="A2565" t="s">
        <v>19104</v>
      </c>
      <c r="B2565" t="s">
        <v>11607</v>
      </c>
      <c r="C2565" t="s">
        <v>19101</v>
      </c>
      <c r="D2565" t="s">
        <v>19105</v>
      </c>
      <c r="E2565" t="b">
        <v>0</v>
      </c>
      <c r="F2565" t="s">
        <v>11624</v>
      </c>
      <c r="G2565">
        <v>9.4967900000000007</v>
      </c>
      <c r="H2565">
        <v>10.11454</v>
      </c>
      <c r="I2565" t="s">
        <v>19106</v>
      </c>
      <c r="L2565">
        <v>0</v>
      </c>
      <c r="M2565">
        <v>0</v>
      </c>
      <c r="N2565">
        <v>0</v>
      </c>
      <c r="O2565" t="s">
        <v>11693</v>
      </c>
    </row>
    <row r="2566" spans="1:15">
      <c r="A2566" t="s">
        <v>19107</v>
      </c>
      <c r="B2566" t="s">
        <v>6742</v>
      </c>
      <c r="C2566" t="s">
        <v>19108</v>
      </c>
      <c r="D2566" t="s">
        <v>19109</v>
      </c>
      <c r="E2566" t="b">
        <v>0</v>
      </c>
      <c r="F2566" t="s">
        <v>11610</v>
      </c>
      <c r="L2566">
        <v>0</v>
      </c>
      <c r="M2566">
        <v>0</v>
      </c>
      <c r="N2566">
        <v>0</v>
      </c>
    </row>
    <row r="2567" spans="1:15">
      <c r="A2567" t="s">
        <v>19110</v>
      </c>
      <c r="B2567" t="s">
        <v>367</v>
      </c>
      <c r="C2567" t="s">
        <v>16794</v>
      </c>
      <c r="D2567" t="s">
        <v>19111</v>
      </c>
      <c r="E2567" t="b">
        <v>0</v>
      </c>
      <c r="F2567" t="s">
        <v>11610</v>
      </c>
      <c r="L2567">
        <v>0</v>
      </c>
      <c r="M2567">
        <v>0</v>
      </c>
      <c r="N2567">
        <v>0</v>
      </c>
    </row>
    <row r="2568" spans="1:15">
      <c r="A2568" t="s">
        <v>19112</v>
      </c>
      <c r="B2568" t="s">
        <v>6742</v>
      </c>
      <c r="C2568" t="s">
        <v>19069</v>
      </c>
      <c r="D2568" t="s">
        <v>19113</v>
      </c>
      <c r="E2568" t="b">
        <v>0</v>
      </c>
      <c r="F2568" t="s">
        <v>11624</v>
      </c>
      <c r="G2568">
        <v>4.4921300000000004</v>
      </c>
      <c r="H2568">
        <v>29.134399999999999</v>
      </c>
      <c r="I2568" t="s">
        <v>19114</v>
      </c>
      <c r="L2568">
        <v>0</v>
      </c>
      <c r="M2568">
        <v>0</v>
      </c>
      <c r="N2568">
        <v>2</v>
      </c>
      <c r="O2568" t="s">
        <v>15282</v>
      </c>
    </row>
    <row r="2569" spans="1:15">
      <c r="A2569" t="s">
        <v>19115</v>
      </c>
      <c r="B2569" t="s">
        <v>6742</v>
      </c>
      <c r="C2569" t="s">
        <v>17167</v>
      </c>
      <c r="D2569" t="s">
        <v>19116</v>
      </c>
      <c r="E2569" t="b">
        <v>0</v>
      </c>
      <c r="F2569" t="s">
        <v>11610</v>
      </c>
      <c r="L2569">
        <v>0</v>
      </c>
      <c r="M2569">
        <v>0</v>
      </c>
      <c r="N2569">
        <v>0</v>
      </c>
    </row>
    <row r="2570" spans="1:15">
      <c r="A2570" t="s">
        <v>19117</v>
      </c>
      <c r="B2570" t="s">
        <v>12250</v>
      </c>
      <c r="C2570" t="s">
        <v>2129</v>
      </c>
      <c r="D2570" t="s">
        <v>19118</v>
      </c>
      <c r="E2570" t="b">
        <v>0</v>
      </c>
      <c r="F2570" t="s">
        <v>11610</v>
      </c>
      <c r="L2570">
        <v>0</v>
      </c>
      <c r="M2570">
        <v>0</v>
      </c>
      <c r="N2570">
        <v>0</v>
      </c>
    </row>
    <row r="2571" spans="1:15">
      <c r="A2571" t="s">
        <v>19119</v>
      </c>
      <c r="B2571" t="s">
        <v>11607</v>
      </c>
      <c r="C2571" t="s">
        <v>19120</v>
      </c>
      <c r="D2571" t="s">
        <v>19121</v>
      </c>
      <c r="E2571" t="b">
        <v>0</v>
      </c>
      <c r="F2571" t="s">
        <v>11610</v>
      </c>
      <c r="L2571">
        <v>0</v>
      </c>
      <c r="M2571">
        <v>0</v>
      </c>
      <c r="N2571">
        <v>0</v>
      </c>
    </row>
    <row r="2572" spans="1:15">
      <c r="A2572" t="s">
        <v>19122</v>
      </c>
      <c r="B2572" t="s">
        <v>11615</v>
      </c>
      <c r="C2572" t="s">
        <v>13254</v>
      </c>
      <c r="D2572" t="s">
        <v>19123</v>
      </c>
      <c r="E2572" t="b">
        <v>0</v>
      </c>
      <c r="F2572" t="s">
        <v>11610</v>
      </c>
      <c r="L2572">
        <v>0</v>
      </c>
      <c r="M2572">
        <v>0</v>
      </c>
      <c r="N2572">
        <v>0</v>
      </c>
    </row>
    <row r="2573" spans="1:15">
      <c r="A2573" t="s">
        <v>19124</v>
      </c>
      <c r="B2573" t="s">
        <v>11637</v>
      </c>
      <c r="C2573" t="s">
        <v>19125</v>
      </c>
      <c r="D2573" t="s">
        <v>19126</v>
      </c>
      <c r="E2573" t="b">
        <v>0</v>
      </c>
      <c r="F2573" t="s">
        <v>11610</v>
      </c>
      <c r="L2573">
        <v>0</v>
      </c>
      <c r="M2573">
        <v>0</v>
      </c>
      <c r="N2573">
        <v>0</v>
      </c>
    </row>
    <row r="2574" spans="1:15">
      <c r="A2574" t="s">
        <v>19127</v>
      </c>
      <c r="B2574" t="s">
        <v>367</v>
      </c>
      <c r="C2574" t="s">
        <v>15343</v>
      </c>
      <c r="D2574" t="s">
        <v>19128</v>
      </c>
      <c r="E2574" t="b">
        <v>0</v>
      </c>
      <c r="F2574" t="s">
        <v>11610</v>
      </c>
      <c r="L2574">
        <v>0</v>
      </c>
      <c r="M2574">
        <v>0</v>
      </c>
      <c r="N2574">
        <v>0</v>
      </c>
    </row>
    <row r="2575" spans="1:15">
      <c r="A2575" t="s">
        <v>19129</v>
      </c>
      <c r="B2575" t="s">
        <v>367</v>
      </c>
      <c r="C2575" t="s">
        <v>19130</v>
      </c>
      <c r="D2575" t="s">
        <v>19131</v>
      </c>
      <c r="E2575" t="b">
        <v>0</v>
      </c>
      <c r="F2575" t="s">
        <v>11610</v>
      </c>
      <c r="L2575">
        <v>0</v>
      </c>
      <c r="M2575">
        <v>0</v>
      </c>
      <c r="N2575">
        <v>0</v>
      </c>
    </row>
    <row r="2576" spans="1:15">
      <c r="A2576" t="s">
        <v>19132</v>
      </c>
      <c r="B2576" t="s">
        <v>11607</v>
      </c>
      <c r="C2576" t="s">
        <v>19133</v>
      </c>
      <c r="D2576" t="s">
        <v>19134</v>
      </c>
      <c r="E2576" t="b">
        <v>0</v>
      </c>
      <c r="F2576" t="s">
        <v>11624</v>
      </c>
      <c r="G2576">
        <v>41.459000000000003</v>
      </c>
      <c r="H2576">
        <v>45.084000000000003</v>
      </c>
      <c r="I2576" t="s">
        <v>19135</v>
      </c>
      <c r="L2576">
        <v>0</v>
      </c>
      <c r="M2576">
        <v>0</v>
      </c>
      <c r="N2576">
        <v>0</v>
      </c>
      <c r="O2576" t="s">
        <v>18235</v>
      </c>
    </row>
    <row r="2577" spans="1:15">
      <c r="A2577" t="s">
        <v>19133</v>
      </c>
      <c r="B2577" t="s">
        <v>11607</v>
      </c>
      <c r="C2577" t="s">
        <v>19136</v>
      </c>
      <c r="D2577" t="s">
        <v>19137</v>
      </c>
      <c r="E2577" t="b">
        <v>0</v>
      </c>
      <c r="F2577" t="s">
        <v>11622</v>
      </c>
      <c r="L2577">
        <v>0</v>
      </c>
      <c r="M2577">
        <v>2</v>
      </c>
      <c r="N2577">
        <v>3</v>
      </c>
    </row>
    <row r="2578" spans="1:15">
      <c r="A2578" t="s">
        <v>19138</v>
      </c>
      <c r="B2578" t="s">
        <v>367</v>
      </c>
      <c r="C2578" t="s">
        <v>19139</v>
      </c>
      <c r="D2578" t="s">
        <v>19140</v>
      </c>
      <c r="E2578" t="b">
        <v>0</v>
      </c>
      <c r="F2578" t="s">
        <v>11610</v>
      </c>
      <c r="L2578">
        <v>0</v>
      </c>
      <c r="M2578">
        <v>0</v>
      </c>
      <c r="N2578">
        <v>0</v>
      </c>
    </row>
    <row r="2579" spans="1:15">
      <c r="A2579" t="s">
        <v>19141</v>
      </c>
      <c r="B2579" t="s">
        <v>12438</v>
      </c>
      <c r="C2579" t="s">
        <v>14105</v>
      </c>
      <c r="D2579" t="s">
        <v>19142</v>
      </c>
      <c r="E2579" t="b">
        <v>0</v>
      </c>
      <c r="F2579" t="s">
        <v>11610</v>
      </c>
      <c r="L2579">
        <v>0</v>
      </c>
      <c r="M2579">
        <v>0</v>
      </c>
      <c r="N2579">
        <v>0</v>
      </c>
    </row>
    <row r="2580" spans="1:15">
      <c r="A2580" t="s">
        <v>19143</v>
      </c>
      <c r="B2580" t="s">
        <v>11686</v>
      </c>
      <c r="C2580" t="s">
        <v>2916</v>
      </c>
      <c r="D2580" t="s">
        <v>19144</v>
      </c>
      <c r="E2580" t="b">
        <v>0</v>
      </c>
      <c r="F2580" t="s">
        <v>11610</v>
      </c>
      <c r="L2580">
        <v>0</v>
      </c>
      <c r="M2580">
        <v>0</v>
      </c>
      <c r="N2580">
        <v>0</v>
      </c>
    </row>
    <row r="2581" spans="1:15">
      <c r="A2581" t="s">
        <v>19145</v>
      </c>
      <c r="B2581" t="s">
        <v>13411</v>
      </c>
      <c r="C2581" t="s">
        <v>13411</v>
      </c>
      <c r="D2581" t="s">
        <v>19146</v>
      </c>
      <c r="E2581" t="b">
        <v>0</v>
      </c>
      <c r="F2581" t="s">
        <v>11624</v>
      </c>
      <c r="G2581">
        <v>-3.6829700000000001</v>
      </c>
      <c r="H2581">
        <v>143.47399999999999</v>
      </c>
      <c r="I2581" t="s">
        <v>19147</v>
      </c>
      <c r="L2581">
        <v>0</v>
      </c>
      <c r="M2581">
        <v>0</v>
      </c>
      <c r="N2581">
        <v>8</v>
      </c>
      <c r="O2581" t="s">
        <v>11660</v>
      </c>
    </row>
    <row r="2582" spans="1:15">
      <c r="A2582" t="s">
        <v>19148</v>
      </c>
      <c r="B2582" t="s">
        <v>367</v>
      </c>
      <c r="C2582" t="s">
        <v>15137</v>
      </c>
      <c r="D2582" t="s">
        <v>19149</v>
      </c>
      <c r="E2582" t="b">
        <v>0</v>
      </c>
      <c r="F2582" t="s">
        <v>11610</v>
      </c>
      <c r="L2582">
        <v>0</v>
      </c>
      <c r="M2582">
        <v>0</v>
      </c>
      <c r="N2582">
        <v>0</v>
      </c>
    </row>
    <row r="2583" spans="1:15">
      <c r="A2583" t="s">
        <v>19150</v>
      </c>
      <c r="B2583" t="s">
        <v>6742</v>
      </c>
      <c r="C2583" t="s">
        <v>13762</v>
      </c>
      <c r="D2583" t="s">
        <v>19151</v>
      </c>
      <c r="E2583" t="b">
        <v>0</v>
      </c>
      <c r="F2583" t="s">
        <v>11610</v>
      </c>
      <c r="L2583">
        <v>0</v>
      </c>
      <c r="M2583">
        <v>0</v>
      </c>
      <c r="N2583">
        <v>0</v>
      </c>
    </row>
    <row r="2584" spans="1:15">
      <c r="A2584" t="s">
        <v>19152</v>
      </c>
      <c r="B2584" t="s">
        <v>6742</v>
      </c>
      <c r="C2584" t="s">
        <v>11804</v>
      </c>
      <c r="D2584" t="s">
        <v>19153</v>
      </c>
      <c r="E2584" t="b">
        <v>0</v>
      </c>
      <c r="F2584" t="s">
        <v>11610</v>
      </c>
      <c r="L2584">
        <v>0</v>
      </c>
      <c r="M2584">
        <v>0</v>
      </c>
      <c r="N2584">
        <v>0</v>
      </c>
    </row>
    <row r="2585" spans="1:15">
      <c r="A2585" t="s">
        <v>19154</v>
      </c>
      <c r="B2585" t="s">
        <v>11637</v>
      </c>
      <c r="C2585" t="s">
        <v>187</v>
      </c>
      <c r="D2585" t="s">
        <v>19155</v>
      </c>
      <c r="E2585" t="b">
        <v>0</v>
      </c>
      <c r="F2585" t="s">
        <v>11610</v>
      </c>
      <c r="L2585">
        <v>0</v>
      </c>
      <c r="M2585">
        <v>0</v>
      </c>
      <c r="N2585">
        <v>0</v>
      </c>
    </row>
    <row r="2586" spans="1:15">
      <c r="A2586" t="s">
        <v>14765</v>
      </c>
      <c r="B2586" t="s">
        <v>11644</v>
      </c>
      <c r="C2586" t="s">
        <v>14149</v>
      </c>
      <c r="D2586" t="s">
        <v>19156</v>
      </c>
      <c r="E2586" t="b">
        <v>0</v>
      </c>
      <c r="F2586" t="s">
        <v>11624</v>
      </c>
      <c r="G2586">
        <v>28.614329999999999</v>
      </c>
      <c r="H2586">
        <v>94.066428999999999</v>
      </c>
      <c r="L2586">
        <v>0</v>
      </c>
      <c r="M2586">
        <v>0</v>
      </c>
      <c r="N2586">
        <v>3</v>
      </c>
      <c r="O2586" t="s">
        <v>11630</v>
      </c>
    </row>
    <row r="2587" spans="1:15">
      <c r="A2587" t="s">
        <v>19157</v>
      </c>
      <c r="B2587" t="s">
        <v>13276</v>
      </c>
      <c r="C2587" t="s">
        <v>19158</v>
      </c>
      <c r="D2587" t="s">
        <v>19159</v>
      </c>
      <c r="E2587" t="b">
        <v>0</v>
      </c>
      <c r="F2587" t="s">
        <v>11610</v>
      </c>
      <c r="L2587">
        <v>0</v>
      </c>
      <c r="M2587">
        <v>0</v>
      </c>
      <c r="N2587">
        <v>0</v>
      </c>
    </row>
    <row r="2588" spans="1:15">
      <c r="A2588" t="s">
        <v>19160</v>
      </c>
      <c r="B2588" t="s">
        <v>367</v>
      </c>
      <c r="C2588" t="s">
        <v>19161</v>
      </c>
      <c r="D2588" t="s">
        <v>19162</v>
      </c>
      <c r="E2588" t="b">
        <v>0</v>
      </c>
      <c r="F2588" t="s">
        <v>11610</v>
      </c>
      <c r="L2588">
        <v>0</v>
      </c>
      <c r="M2588">
        <v>0</v>
      </c>
      <c r="N2588">
        <v>0</v>
      </c>
    </row>
    <row r="2589" spans="1:15">
      <c r="A2589" t="s">
        <v>19163</v>
      </c>
      <c r="B2589" t="s">
        <v>11644</v>
      </c>
      <c r="C2589" t="s">
        <v>19164</v>
      </c>
      <c r="D2589" t="s">
        <v>19165</v>
      </c>
      <c r="E2589" t="b">
        <v>0</v>
      </c>
      <c r="F2589" t="s">
        <v>11622</v>
      </c>
      <c r="L2589">
        <v>0</v>
      </c>
      <c r="M2589">
        <v>2</v>
      </c>
      <c r="N2589">
        <v>0</v>
      </c>
    </row>
    <row r="2590" spans="1:15">
      <c r="A2590" t="s">
        <v>19166</v>
      </c>
      <c r="B2590" t="s">
        <v>11644</v>
      </c>
      <c r="C2590" t="s">
        <v>19163</v>
      </c>
      <c r="D2590" t="s">
        <v>19167</v>
      </c>
      <c r="E2590" t="b">
        <v>0</v>
      </c>
      <c r="F2590" t="s">
        <v>11624</v>
      </c>
      <c r="G2590">
        <v>23.05</v>
      </c>
      <c r="H2590">
        <v>103.7</v>
      </c>
      <c r="I2590" t="s">
        <v>19168</v>
      </c>
      <c r="L2590">
        <v>0</v>
      </c>
      <c r="M2590">
        <v>0</v>
      </c>
      <c r="N2590">
        <v>0</v>
      </c>
      <c r="O2590" t="s">
        <v>11905</v>
      </c>
    </row>
    <row r="2591" spans="1:15">
      <c r="A2591" t="s">
        <v>19169</v>
      </c>
      <c r="B2591" t="s">
        <v>6742</v>
      </c>
      <c r="C2591" t="s">
        <v>11804</v>
      </c>
      <c r="D2591" t="s">
        <v>19170</v>
      </c>
      <c r="E2591" t="b">
        <v>0</v>
      </c>
      <c r="F2591" t="s">
        <v>11610</v>
      </c>
      <c r="L2591">
        <v>0</v>
      </c>
      <c r="M2591">
        <v>0</v>
      </c>
      <c r="N2591">
        <v>0</v>
      </c>
    </row>
    <row r="2592" spans="1:15">
      <c r="A2592" t="s">
        <v>19171</v>
      </c>
      <c r="B2592" t="s">
        <v>6742</v>
      </c>
      <c r="C2592" t="s">
        <v>19172</v>
      </c>
      <c r="D2592" t="s">
        <v>19173</v>
      </c>
      <c r="E2592" t="b">
        <v>0</v>
      </c>
      <c r="F2592" t="s">
        <v>11610</v>
      </c>
      <c r="L2592">
        <v>0</v>
      </c>
      <c r="M2592">
        <v>0</v>
      </c>
      <c r="N2592">
        <v>0</v>
      </c>
    </row>
    <row r="2593" spans="1:15">
      <c r="A2593" t="s">
        <v>19174</v>
      </c>
      <c r="B2593" t="s">
        <v>11607</v>
      </c>
      <c r="C2593" t="s">
        <v>19175</v>
      </c>
      <c r="D2593" t="s">
        <v>19176</v>
      </c>
      <c r="E2593" t="b">
        <v>0</v>
      </c>
      <c r="F2593" t="s">
        <v>11610</v>
      </c>
      <c r="L2593">
        <v>0</v>
      </c>
      <c r="M2593">
        <v>0</v>
      </c>
      <c r="N2593">
        <v>0</v>
      </c>
    </row>
    <row r="2594" spans="1:15">
      <c r="A2594" t="s">
        <v>19177</v>
      </c>
      <c r="B2594" t="s">
        <v>6742</v>
      </c>
      <c r="C2594" t="s">
        <v>19178</v>
      </c>
      <c r="D2594" t="s">
        <v>19179</v>
      </c>
      <c r="E2594" t="b">
        <v>0</v>
      </c>
      <c r="F2594" t="s">
        <v>11622</v>
      </c>
      <c r="L2594">
        <v>2</v>
      </c>
      <c r="M2594">
        <v>4</v>
      </c>
      <c r="N2594">
        <v>8</v>
      </c>
    </row>
    <row r="2595" spans="1:15">
      <c r="A2595" t="s">
        <v>19180</v>
      </c>
      <c r="B2595" t="s">
        <v>6742</v>
      </c>
      <c r="C2595" t="s">
        <v>19177</v>
      </c>
      <c r="D2595" t="s">
        <v>19181</v>
      </c>
      <c r="E2595" t="b">
        <v>0</v>
      </c>
      <c r="F2595" t="s">
        <v>11624</v>
      </c>
      <c r="G2595">
        <v>4.7511099999999997</v>
      </c>
      <c r="H2595">
        <v>16.6721</v>
      </c>
      <c r="I2595" t="s">
        <v>19182</v>
      </c>
      <c r="L2595">
        <v>0</v>
      </c>
      <c r="M2595">
        <v>0</v>
      </c>
      <c r="N2595">
        <v>3</v>
      </c>
      <c r="O2595" t="s">
        <v>16548</v>
      </c>
    </row>
    <row r="2596" spans="1:15">
      <c r="A2596" t="s">
        <v>19183</v>
      </c>
      <c r="B2596" t="s">
        <v>6742</v>
      </c>
      <c r="C2596" t="s">
        <v>18028</v>
      </c>
      <c r="D2596" t="s">
        <v>19184</v>
      </c>
      <c r="E2596" t="b">
        <v>0</v>
      </c>
      <c r="F2596" t="s">
        <v>11610</v>
      </c>
      <c r="L2596">
        <v>0</v>
      </c>
      <c r="M2596">
        <v>0</v>
      </c>
      <c r="N2596">
        <v>0</v>
      </c>
    </row>
    <row r="2597" spans="1:15">
      <c r="A2597" t="s">
        <v>19185</v>
      </c>
      <c r="B2597" t="s">
        <v>6742</v>
      </c>
      <c r="C2597" t="s">
        <v>19186</v>
      </c>
      <c r="D2597" t="s">
        <v>19187</v>
      </c>
      <c r="E2597" t="b">
        <v>0</v>
      </c>
      <c r="F2597" t="s">
        <v>11624</v>
      </c>
      <c r="G2597">
        <v>1.5161199999999999</v>
      </c>
      <c r="H2597">
        <v>18.880600000000001</v>
      </c>
      <c r="I2597" t="s">
        <v>19188</v>
      </c>
      <c r="L2597">
        <v>0</v>
      </c>
      <c r="M2597">
        <v>0</v>
      </c>
      <c r="N2597">
        <v>0</v>
      </c>
      <c r="O2597" t="s">
        <v>14825</v>
      </c>
    </row>
    <row r="2598" spans="1:15">
      <c r="A2598" t="s">
        <v>19189</v>
      </c>
      <c r="B2598" t="s">
        <v>6742</v>
      </c>
      <c r="C2598" t="s">
        <v>19190</v>
      </c>
      <c r="D2598" t="s">
        <v>19191</v>
      </c>
      <c r="E2598" t="b">
        <v>0</v>
      </c>
      <c r="F2598" t="s">
        <v>11610</v>
      </c>
      <c r="L2598">
        <v>0</v>
      </c>
      <c r="M2598">
        <v>0</v>
      </c>
      <c r="N2598">
        <v>0</v>
      </c>
    </row>
    <row r="2599" spans="1:15">
      <c r="A2599" t="s">
        <v>19192</v>
      </c>
      <c r="B2599" t="s">
        <v>13276</v>
      </c>
      <c r="C2599" t="s">
        <v>19193</v>
      </c>
      <c r="D2599" t="s">
        <v>19194</v>
      </c>
      <c r="E2599" t="b">
        <v>0</v>
      </c>
      <c r="F2599" t="s">
        <v>11622</v>
      </c>
      <c r="L2599">
        <v>0</v>
      </c>
      <c r="M2599">
        <v>3</v>
      </c>
      <c r="N2599">
        <v>5</v>
      </c>
    </row>
    <row r="2600" spans="1:15">
      <c r="A2600" t="s">
        <v>19195</v>
      </c>
      <c r="B2600" t="s">
        <v>13276</v>
      </c>
      <c r="C2600" t="s">
        <v>19192</v>
      </c>
      <c r="D2600" t="s">
        <v>19196</v>
      </c>
      <c r="E2600" t="b">
        <v>0</v>
      </c>
      <c r="F2600" t="s">
        <v>11624</v>
      </c>
      <c r="G2600">
        <v>10.5189</v>
      </c>
      <c r="H2600">
        <v>3.7177099999999998</v>
      </c>
      <c r="I2600" t="s">
        <v>19197</v>
      </c>
      <c r="L2600">
        <v>0</v>
      </c>
      <c r="M2600">
        <v>0</v>
      </c>
      <c r="N2600">
        <v>0</v>
      </c>
      <c r="O2600" t="s">
        <v>15587</v>
      </c>
    </row>
    <row r="2601" spans="1:15">
      <c r="A2601" t="s">
        <v>19198</v>
      </c>
      <c r="B2601" t="s">
        <v>13276</v>
      </c>
      <c r="C2601" t="s">
        <v>19192</v>
      </c>
      <c r="D2601" t="s">
        <v>19199</v>
      </c>
      <c r="E2601" t="b">
        <v>0</v>
      </c>
      <c r="F2601" t="s">
        <v>11624</v>
      </c>
      <c r="G2601">
        <v>9.5272400000000008</v>
      </c>
      <c r="H2601">
        <v>3.8005800000000001</v>
      </c>
      <c r="I2601" t="s">
        <v>19200</v>
      </c>
      <c r="L2601">
        <v>0</v>
      </c>
      <c r="M2601">
        <v>0</v>
      </c>
      <c r="N2601">
        <v>2</v>
      </c>
      <c r="O2601" t="s">
        <v>15587</v>
      </c>
    </row>
    <row r="2602" spans="1:15">
      <c r="A2602" t="s">
        <v>19201</v>
      </c>
      <c r="B2602" t="s">
        <v>367</v>
      </c>
      <c r="C2602" t="s">
        <v>19202</v>
      </c>
      <c r="D2602" t="s">
        <v>19203</v>
      </c>
      <c r="E2602" t="b">
        <v>0</v>
      </c>
      <c r="F2602" t="s">
        <v>11610</v>
      </c>
      <c r="L2602">
        <v>0</v>
      </c>
      <c r="M2602">
        <v>0</v>
      </c>
      <c r="N2602">
        <v>0</v>
      </c>
    </row>
    <row r="2603" spans="1:15">
      <c r="A2603" t="s">
        <v>19204</v>
      </c>
      <c r="B2603" t="s">
        <v>6455</v>
      </c>
      <c r="C2603" t="s">
        <v>19205</v>
      </c>
      <c r="D2603" t="s">
        <v>19206</v>
      </c>
      <c r="E2603" t="b">
        <v>0</v>
      </c>
      <c r="F2603" t="s">
        <v>11610</v>
      </c>
      <c r="L2603">
        <v>0</v>
      </c>
      <c r="M2603">
        <v>0</v>
      </c>
      <c r="N2603">
        <v>0</v>
      </c>
    </row>
    <row r="2604" spans="1:15">
      <c r="A2604" t="s">
        <v>19207</v>
      </c>
      <c r="B2604" t="s">
        <v>6742</v>
      </c>
      <c r="C2604" t="s">
        <v>19180</v>
      </c>
      <c r="D2604" t="s">
        <v>19208</v>
      </c>
      <c r="E2604" t="b">
        <v>0</v>
      </c>
      <c r="F2604" t="s">
        <v>11610</v>
      </c>
      <c r="L2604">
        <v>0</v>
      </c>
      <c r="M2604">
        <v>0</v>
      </c>
      <c r="N2604">
        <v>0</v>
      </c>
    </row>
    <row r="2605" spans="1:15">
      <c r="A2605" t="s">
        <v>19209</v>
      </c>
      <c r="B2605" t="s">
        <v>367</v>
      </c>
      <c r="C2605" t="s">
        <v>19210</v>
      </c>
      <c r="D2605" t="s">
        <v>19211</v>
      </c>
      <c r="E2605" t="b">
        <v>0</v>
      </c>
      <c r="F2605" t="s">
        <v>11610</v>
      </c>
      <c r="L2605">
        <v>0</v>
      </c>
      <c r="M2605">
        <v>0</v>
      </c>
      <c r="N2605">
        <v>0</v>
      </c>
    </row>
    <row r="2606" spans="1:15">
      <c r="A2606" t="s">
        <v>19212</v>
      </c>
      <c r="B2606" t="s">
        <v>367</v>
      </c>
      <c r="C2606" t="s">
        <v>13008</v>
      </c>
      <c r="D2606" t="s">
        <v>19213</v>
      </c>
      <c r="E2606" t="b">
        <v>0</v>
      </c>
      <c r="F2606" t="s">
        <v>11610</v>
      </c>
      <c r="L2606">
        <v>0</v>
      </c>
      <c r="M2606">
        <v>0</v>
      </c>
      <c r="N2606">
        <v>0</v>
      </c>
    </row>
    <row r="2607" spans="1:15">
      <c r="A2607" t="s">
        <v>19214</v>
      </c>
      <c r="B2607" t="s">
        <v>13276</v>
      </c>
      <c r="C2607" t="s">
        <v>19158</v>
      </c>
      <c r="D2607" t="s">
        <v>19215</v>
      </c>
      <c r="E2607" t="b">
        <v>0</v>
      </c>
      <c r="F2607" t="s">
        <v>11610</v>
      </c>
      <c r="L2607">
        <v>0</v>
      </c>
      <c r="M2607">
        <v>0</v>
      </c>
      <c r="N2607">
        <v>0</v>
      </c>
    </row>
    <row r="2608" spans="1:15">
      <c r="A2608" t="s">
        <v>19216</v>
      </c>
      <c r="B2608" t="s">
        <v>11607</v>
      </c>
      <c r="C2608" t="s">
        <v>19217</v>
      </c>
      <c r="D2608" t="s">
        <v>19218</v>
      </c>
      <c r="E2608" t="b">
        <v>0</v>
      </c>
      <c r="F2608" t="s">
        <v>11610</v>
      </c>
      <c r="L2608">
        <v>0</v>
      </c>
      <c r="M2608">
        <v>0</v>
      </c>
      <c r="N2608">
        <v>0</v>
      </c>
    </row>
    <row r="2609" spans="1:15">
      <c r="A2609" t="s">
        <v>11804</v>
      </c>
      <c r="B2609" t="s">
        <v>6742</v>
      </c>
      <c r="C2609" t="s">
        <v>12997</v>
      </c>
      <c r="D2609" t="s">
        <v>19219</v>
      </c>
      <c r="E2609" t="b">
        <v>0</v>
      </c>
      <c r="F2609" t="s">
        <v>11624</v>
      </c>
      <c r="G2609">
        <v>6.1047500000000001</v>
      </c>
      <c r="H2609">
        <v>9.0587499999999999</v>
      </c>
      <c r="I2609" t="s">
        <v>19220</v>
      </c>
      <c r="L2609">
        <v>0</v>
      </c>
      <c r="M2609">
        <v>0</v>
      </c>
      <c r="N2609">
        <v>14</v>
      </c>
      <c r="O2609" t="s">
        <v>11802</v>
      </c>
    </row>
    <row r="2610" spans="1:15">
      <c r="A2610" t="s">
        <v>19221</v>
      </c>
      <c r="B2610" t="s">
        <v>11637</v>
      </c>
      <c r="C2610" t="s">
        <v>12947</v>
      </c>
      <c r="D2610" t="s">
        <v>19222</v>
      </c>
      <c r="E2610" t="b">
        <v>0</v>
      </c>
      <c r="F2610" t="s">
        <v>11610</v>
      </c>
      <c r="L2610">
        <v>0</v>
      </c>
      <c r="M2610">
        <v>0</v>
      </c>
      <c r="N2610">
        <v>0</v>
      </c>
    </row>
    <row r="2611" spans="1:15">
      <c r="A2611" t="s">
        <v>19223</v>
      </c>
      <c r="B2611" t="s">
        <v>12438</v>
      </c>
      <c r="C2611" t="s">
        <v>19224</v>
      </c>
      <c r="D2611" t="s">
        <v>19225</v>
      </c>
      <c r="E2611" t="b">
        <v>0</v>
      </c>
      <c r="F2611" t="s">
        <v>11624</v>
      </c>
      <c r="G2611">
        <v>18.186599999999999</v>
      </c>
      <c r="H2611">
        <v>104.953</v>
      </c>
      <c r="I2611" t="s">
        <v>19226</v>
      </c>
      <c r="L2611">
        <v>0</v>
      </c>
      <c r="M2611">
        <v>0</v>
      </c>
      <c r="N2611">
        <v>0</v>
      </c>
      <c r="O2611" t="s">
        <v>12921</v>
      </c>
    </row>
    <row r="2612" spans="1:15">
      <c r="A2612" t="s">
        <v>19227</v>
      </c>
      <c r="B2612" t="s">
        <v>367</v>
      </c>
      <c r="C2612" t="s">
        <v>19228</v>
      </c>
      <c r="D2612" t="s">
        <v>19229</v>
      </c>
      <c r="E2612" t="b">
        <v>0</v>
      </c>
      <c r="F2612" t="s">
        <v>11624</v>
      </c>
      <c r="G2612">
        <v>-5.5579200000000002</v>
      </c>
      <c r="H2612">
        <v>150.095</v>
      </c>
      <c r="I2612" t="s">
        <v>19230</v>
      </c>
      <c r="L2612">
        <v>0</v>
      </c>
      <c r="M2612">
        <v>0</v>
      </c>
      <c r="N2612">
        <v>2</v>
      </c>
      <c r="O2612" t="s">
        <v>11660</v>
      </c>
    </row>
    <row r="2613" spans="1:15">
      <c r="A2613" t="s">
        <v>19231</v>
      </c>
      <c r="B2613" t="s">
        <v>367</v>
      </c>
      <c r="C2613" t="s">
        <v>19232</v>
      </c>
      <c r="D2613" t="s">
        <v>19233</v>
      </c>
      <c r="E2613" t="b">
        <v>0</v>
      </c>
      <c r="F2613" t="s">
        <v>11610</v>
      </c>
      <c r="L2613">
        <v>0</v>
      </c>
      <c r="M2613">
        <v>0</v>
      </c>
      <c r="N2613">
        <v>0</v>
      </c>
    </row>
    <row r="2614" spans="1:15">
      <c r="A2614" t="s">
        <v>15021</v>
      </c>
      <c r="B2614" t="s">
        <v>367</v>
      </c>
      <c r="C2614" t="s">
        <v>18730</v>
      </c>
      <c r="D2614" t="s">
        <v>19234</v>
      </c>
      <c r="E2614" t="b">
        <v>0</v>
      </c>
      <c r="F2614" t="s">
        <v>11624</v>
      </c>
      <c r="G2614">
        <v>0.39044000000000001</v>
      </c>
      <c r="H2614">
        <v>123.88800000000001</v>
      </c>
      <c r="I2614" t="s">
        <v>19235</v>
      </c>
      <c r="L2614">
        <v>0</v>
      </c>
      <c r="M2614">
        <v>0</v>
      </c>
      <c r="N2614">
        <v>2</v>
      </c>
      <c r="O2614" t="s">
        <v>11768</v>
      </c>
    </row>
    <row r="2615" spans="1:15">
      <c r="A2615" t="s">
        <v>19228</v>
      </c>
      <c r="B2615" t="s">
        <v>367</v>
      </c>
      <c r="C2615" t="s">
        <v>19236</v>
      </c>
      <c r="D2615" t="s">
        <v>19237</v>
      </c>
      <c r="E2615" t="b">
        <v>0</v>
      </c>
      <c r="F2615" t="s">
        <v>11622</v>
      </c>
      <c r="L2615">
        <v>0</v>
      </c>
      <c r="M2615">
        <v>2</v>
      </c>
      <c r="N2615">
        <v>2</v>
      </c>
    </row>
    <row r="2616" spans="1:15">
      <c r="A2616" t="s">
        <v>17716</v>
      </c>
      <c r="B2616" t="s">
        <v>11607</v>
      </c>
      <c r="C2616" t="s">
        <v>19238</v>
      </c>
      <c r="D2616" t="s">
        <v>19239</v>
      </c>
      <c r="E2616" t="b">
        <v>0</v>
      </c>
      <c r="F2616" t="s">
        <v>11622</v>
      </c>
      <c r="L2616">
        <v>0</v>
      </c>
      <c r="M2616">
        <v>2</v>
      </c>
      <c r="N2616">
        <v>2</v>
      </c>
    </row>
    <row r="2617" spans="1:15">
      <c r="A2617" t="s">
        <v>19240</v>
      </c>
      <c r="B2617" t="s">
        <v>6742</v>
      </c>
      <c r="C2617" t="s">
        <v>19241</v>
      </c>
      <c r="D2617" t="s">
        <v>19242</v>
      </c>
      <c r="E2617" t="b">
        <v>0</v>
      </c>
      <c r="F2617" t="s">
        <v>11610</v>
      </c>
      <c r="L2617">
        <v>0</v>
      </c>
      <c r="M2617">
        <v>0</v>
      </c>
      <c r="N2617">
        <v>0</v>
      </c>
    </row>
    <row r="2618" spans="1:15">
      <c r="A2618" t="s">
        <v>19243</v>
      </c>
      <c r="B2618" t="s">
        <v>6742</v>
      </c>
      <c r="C2618" t="s">
        <v>19244</v>
      </c>
      <c r="D2618" t="s">
        <v>19245</v>
      </c>
      <c r="E2618" t="b">
        <v>0</v>
      </c>
      <c r="F2618" t="s">
        <v>11610</v>
      </c>
      <c r="L2618">
        <v>0</v>
      </c>
      <c r="M2618">
        <v>0</v>
      </c>
      <c r="N2618">
        <v>0</v>
      </c>
    </row>
    <row r="2619" spans="1:15">
      <c r="A2619" t="s">
        <v>19246</v>
      </c>
      <c r="B2619" t="s">
        <v>11607</v>
      </c>
      <c r="C2619" t="s">
        <v>19247</v>
      </c>
      <c r="D2619" t="s">
        <v>19248</v>
      </c>
      <c r="E2619" t="b">
        <v>0</v>
      </c>
      <c r="F2619" t="s">
        <v>11622</v>
      </c>
      <c r="L2619">
        <v>9</v>
      </c>
      <c r="M2619">
        <v>14</v>
      </c>
      <c r="N2619">
        <v>9</v>
      </c>
    </row>
    <row r="2620" spans="1:15">
      <c r="A2620" t="s">
        <v>19249</v>
      </c>
      <c r="B2620" t="s">
        <v>331</v>
      </c>
      <c r="C2620" t="s">
        <v>331</v>
      </c>
      <c r="D2620" t="s">
        <v>19250</v>
      </c>
      <c r="E2620" t="b">
        <v>0</v>
      </c>
      <c r="F2620" t="s">
        <v>11622</v>
      </c>
      <c r="L2620">
        <v>0</v>
      </c>
      <c r="M2620">
        <v>2</v>
      </c>
      <c r="N2620">
        <v>2</v>
      </c>
    </row>
    <row r="2621" spans="1:15">
      <c r="A2621" t="s">
        <v>19251</v>
      </c>
      <c r="B2621" t="s">
        <v>331</v>
      </c>
      <c r="C2621" t="s">
        <v>19249</v>
      </c>
      <c r="D2621" t="s">
        <v>19252</v>
      </c>
      <c r="E2621" t="b">
        <v>0</v>
      </c>
      <c r="F2621" t="s">
        <v>11624</v>
      </c>
      <c r="I2621" t="s">
        <v>19253</v>
      </c>
      <c r="L2621">
        <v>0</v>
      </c>
      <c r="M2621">
        <v>0</v>
      </c>
      <c r="N2621">
        <v>0</v>
      </c>
      <c r="O2621" t="s">
        <v>12748</v>
      </c>
    </row>
    <row r="2622" spans="1:15">
      <c r="A2622" t="s">
        <v>19254</v>
      </c>
      <c r="B2622" t="s">
        <v>6742</v>
      </c>
      <c r="C2622" t="s">
        <v>19255</v>
      </c>
      <c r="D2622" t="s">
        <v>19256</v>
      </c>
      <c r="E2622" t="b">
        <v>0</v>
      </c>
      <c r="F2622" t="s">
        <v>11624</v>
      </c>
      <c r="G2622">
        <v>10.9025</v>
      </c>
      <c r="H2622">
        <v>18.807600000000001</v>
      </c>
      <c r="I2622" t="s">
        <v>19257</v>
      </c>
      <c r="L2622">
        <v>0</v>
      </c>
      <c r="M2622">
        <v>0</v>
      </c>
      <c r="N2622">
        <v>2</v>
      </c>
      <c r="O2622" t="s">
        <v>13421</v>
      </c>
    </row>
    <row r="2623" spans="1:15">
      <c r="A2623" t="s">
        <v>19258</v>
      </c>
      <c r="B2623" t="s">
        <v>6742</v>
      </c>
      <c r="C2623" t="s">
        <v>19254</v>
      </c>
      <c r="D2623" t="s">
        <v>19259</v>
      </c>
      <c r="E2623" t="b">
        <v>0</v>
      </c>
      <c r="F2623" t="s">
        <v>11610</v>
      </c>
      <c r="L2623">
        <v>0</v>
      </c>
      <c r="M2623">
        <v>0</v>
      </c>
      <c r="N2623">
        <v>0</v>
      </c>
    </row>
    <row r="2624" spans="1:15">
      <c r="A2624" t="s">
        <v>19260</v>
      </c>
      <c r="B2624" t="s">
        <v>6742</v>
      </c>
      <c r="C2624" t="s">
        <v>19254</v>
      </c>
      <c r="D2624" t="s">
        <v>19261</v>
      </c>
      <c r="E2624" t="b">
        <v>0</v>
      </c>
      <c r="F2624" t="s">
        <v>11610</v>
      </c>
      <c r="L2624">
        <v>0</v>
      </c>
      <c r="M2624">
        <v>0</v>
      </c>
      <c r="N2624">
        <v>0</v>
      </c>
    </row>
    <row r="2625" spans="1:15">
      <c r="A2625" t="s">
        <v>19262</v>
      </c>
      <c r="B2625" t="s">
        <v>11981</v>
      </c>
      <c r="C2625" t="s">
        <v>19263</v>
      </c>
      <c r="D2625" t="s">
        <v>19264</v>
      </c>
      <c r="E2625" t="b">
        <v>0</v>
      </c>
      <c r="F2625" t="s">
        <v>11624</v>
      </c>
      <c r="G2625">
        <v>-16.389489999999999</v>
      </c>
      <c r="H2625">
        <v>-67.578230000000005</v>
      </c>
      <c r="I2625" t="s">
        <v>19265</v>
      </c>
      <c r="L2625">
        <v>0</v>
      </c>
      <c r="M2625">
        <v>0</v>
      </c>
      <c r="N2625">
        <v>0</v>
      </c>
      <c r="O2625" t="s">
        <v>14185</v>
      </c>
    </row>
    <row r="2626" spans="1:15">
      <c r="A2626" t="s">
        <v>19266</v>
      </c>
      <c r="B2626" t="s">
        <v>6742</v>
      </c>
      <c r="C2626" t="s">
        <v>19267</v>
      </c>
      <c r="D2626" t="s">
        <v>19268</v>
      </c>
      <c r="E2626" t="b">
        <v>0</v>
      </c>
      <c r="F2626" t="s">
        <v>11624</v>
      </c>
      <c r="G2626">
        <v>-1.3836200000000001</v>
      </c>
      <c r="H2626">
        <v>18.097480000000001</v>
      </c>
      <c r="I2626" t="s">
        <v>19269</v>
      </c>
      <c r="L2626">
        <v>0</v>
      </c>
      <c r="M2626">
        <v>0</v>
      </c>
      <c r="N2626">
        <v>0</v>
      </c>
      <c r="O2626" t="s">
        <v>14825</v>
      </c>
    </row>
    <row r="2627" spans="1:15">
      <c r="A2627" t="s">
        <v>19270</v>
      </c>
      <c r="B2627" t="s">
        <v>367</v>
      </c>
      <c r="C2627" t="s">
        <v>19271</v>
      </c>
      <c r="D2627" t="s">
        <v>19272</v>
      </c>
      <c r="E2627" t="b">
        <v>0</v>
      </c>
      <c r="F2627" t="s">
        <v>11624</v>
      </c>
      <c r="G2627">
        <v>16.307099999999998</v>
      </c>
      <c r="H2627">
        <v>119.85299999999999</v>
      </c>
      <c r="I2627" t="s">
        <v>19273</v>
      </c>
      <c r="L2627">
        <v>0</v>
      </c>
      <c r="M2627">
        <v>0</v>
      </c>
      <c r="N2627">
        <v>0</v>
      </c>
      <c r="O2627" t="s">
        <v>11749</v>
      </c>
    </row>
    <row r="2628" spans="1:15">
      <c r="A2628" t="s">
        <v>17511</v>
      </c>
      <c r="B2628" t="s">
        <v>11894</v>
      </c>
      <c r="C2628" t="s">
        <v>19274</v>
      </c>
      <c r="D2628" t="s">
        <v>19275</v>
      </c>
      <c r="E2628" t="b">
        <v>0</v>
      </c>
      <c r="F2628" t="s">
        <v>11622</v>
      </c>
      <c r="L2628">
        <v>4</v>
      </c>
      <c r="M2628">
        <v>8</v>
      </c>
      <c r="N2628">
        <v>5</v>
      </c>
    </row>
    <row r="2629" spans="1:15">
      <c r="A2629" t="s">
        <v>19276</v>
      </c>
      <c r="B2629" t="s">
        <v>13244</v>
      </c>
      <c r="C2629" t="s">
        <v>19277</v>
      </c>
      <c r="D2629" t="s">
        <v>19278</v>
      </c>
      <c r="E2629" t="b">
        <v>0</v>
      </c>
      <c r="F2629" t="s">
        <v>11622</v>
      </c>
      <c r="L2629">
        <v>1</v>
      </c>
      <c r="M2629">
        <v>4</v>
      </c>
      <c r="N2629">
        <v>0</v>
      </c>
    </row>
    <row r="2630" spans="1:15">
      <c r="A2630" t="s">
        <v>19279</v>
      </c>
      <c r="B2630" t="s">
        <v>141</v>
      </c>
      <c r="C2630" t="s">
        <v>15441</v>
      </c>
      <c r="D2630" t="s">
        <v>19280</v>
      </c>
      <c r="E2630" t="b">
        <v>0</v>
      </c>
      <c r="F2630" t="s">
        <v>11622</v>
      </c>
      <c r="L2630">
        <v>0</v>
      </c>
      <c r="M2630">
        <v>2</v>
      </c>
      <c r="N2630">
        <v>9</v>
      </c>
    </row>
    <row r="2631" spans="1:15">
      <c r="A2631" t="s">
        <v>19267</v>
      </c>
      <c r="B2631" t="s">
        <v>6742</v>
      </c>
      <c r="C2631" t="s">
        <v>19281</v>
      </c>
      <c r="D2631" t="s">
        <v>19282</v>
      </c>
      <c r="E2631" t="b">
        <v>0</v>
      </c>
      <c r="F2631" t="s">
        <v>11622</v>
      </c>
      <c r="L2631">
        <v>0</v>
      </c>
      <c r="M2631">
        <v>2</v>
      </c>
      <c r="N2631">
        <v>7</v>
      </c>
    </row>
    <row r="2632" spans="1:15">
      <c r="A2632" t="s">
        <v>19283</v>
      </c>
      <c r="B2632" t="s">
        <v>11637</v>
      </c>
      <c r="C2632" t="s">
        <v>19284</v>
      </c>
      <c r="D2632" t="s">
        <v>19285</v>
      </c>
      <c r="E2632" t="b">
        <v>0</v>
      </c>
      <c r="F2632" t="s">
        <v>11610</v>
      </c>
      <c r="L2632">
        <v>0</v>
      </c>
      <c r="M2632">
        <v>0</v>
      </c>
      <c r="N2632">
        <v>0</v>
      </c>
    </row>
    <row r="2633" spans="1:15">
      <c r="A2633" t="s">
        <v>19286</v>
      </c>
      <c r="B2633" t="s">
        <v>6742</v>
      </c>
      <c r="C2633" t="s">
        <v>19287</v>
      </c>
      <c r="D2633" t="s">
        <v>19288</v>
      </c>
      <c r="E2633" t="b">
        <v>0</v>
      </c>
      <c r="F2633" t="s">
        <v>11624</v>
      </c>
      <c r="G2633">
        <v>-10.351100000000001</v>
      </c>
      <c r="H2633">
        <v>15.0867</v>
      </c>
      <c r="I2633" t="s">
        <v>19289</v>
      </c>
      <c r="L2633">
        <v>0</v>
      </c>
      <c r="M2633">
        <v>0</v>
      </c>
      <c r="N2633">
        <v>0</v>
      </c>
      <c r="O2633" t="s">
        <v>19290</v>
      </c>
    </row>
    <row r="2634" spans="1:15">
      <c r="A2634" t="s">
        <v>19291</v>
      </c>
      <c r="B2634" t="s">
        <v>6742</v>
      </c>
      <c r="C2634" t="s">
        <v>19292</v>
      </c>
      <c r="D2634" t="s">
        <v>19293</v>
      </c>
      <c r="E2634" t="b">
        <v>0</v>
      </c>
      <c r="F2634" t="s">
        <v>11624</v>
      </c>
      <c r="G2634">
        <v>0.83462999999999998</v>
      </c>
      <c r="H2634">
        <v>18.455500000000001</v>
      </c>
      <c r="I2634" t="s">
        <v>19294</v>
      </c>
      <c r="L2634">
        <v>0</v>
      </c>
      <c r="M2634">
        <v>0</v>
      </c>
      <c r="N2634">
        <v>0</v>
      </c>
      <c r="O2634" t="s">
        <v>14825</v>
      </c>
    </row>
    <row r="2635" spans="1:15">
      <c r="A2635" t="s">
        <v>19295</v>
      </c>
      <c r="B2635" t="s">
        <v>6742</v>
      </c>
      <c r="C2635" t="s">
        <v>19296</v>
      </c>
      <c r="D2635" t="s">
        <v>19297</v>
      </c>
      <c r="E2635" t="b">
        <v>0</v>
      </c>
      <c r="F2635" t="s">
        <v>11624</v>
      </c>
      <c r="G2635">
        <v>2.4632700000000001</v>
      </c>
      <c r="H2635">
        <v>19.618099999999998</v>
      </c>
      <c r="I2635" t="s">
        <v>19298</v>
      </c>
      <c r="L2635">
        <v>0</v>
      </c>
      <c r="M2635">
        <v>0</v>
      </c>
      <c r="N2635">
        <v>0</v>
      </c>
      <c r="O2635" t="s">
        <v>14825</v>
      </c>
    </row>
    <row r="2636" spans="1:15">
      <c r="A2636" t="s">
        <v>19299</v>
      </c>
      <c r="B2636" t="s">
        <v>11729</v>
      </c>
      <c r="C2636" t="s">
        <v>18052</v>
      </c>
      <c r="D2636" t="s">
        <v>19300</v>
      </c>
      <c r="E2636" t="b">
        <v>0</v>
      </c>
      <c r="F2636" t="s">
        <v>11610</v>
      </c>
      <c r="L2636">
        <v>0</v>
      </c>
      <c r="M2636">
        <v>0</v>
      </c>
      <c r="N2636">
        <v>0</v>
      </c>
    </row>
    <row r="2637" spans="1:15">
      <c r="A2637" t="s">
        <v>19301</v>
      </c>
      <c r="B2637" t="s">
        <v>11729</v>
      </c>
      <c r="C2637" t="s">
        <v>16475</v>
      </c>
      <c r="D2637" t="s">
        <v>19302</v>
      </c>
      <c r="E2637" t="b">
        <v>0</v>
      </c>
      <c r="F2637" t="s">
        <v>11610</v>
      </c>
      <c r="L2637">
        <v>0</v>
      </c>
      <c r="M2637">
        <v>0</v>
      </c>
      <c r="N2637">
        <v>0</v>
      </c>
    </row>
    <row r="2638" spans="1:15">
      <c r="A2638" t="s">
        <v>18958</v>
      </c>
      <c r="B2638" t="s">
        <v>13276</v>
      </c>
      <c r="C2638" t="s">
        <v>16407</v>
      </c>
      <c r="D2638" t="s">
        <v>19303</v>
      </c>
      <c r="E2638" t="b">
        <v>0</v>
      </c>
      <c r="F2638" t="s">
        <v>11624</v>
      </c>
      <c r="G2638">
        <v>11.824199999999999</v>
      </c>
      <c r="H2638">
        <v>-4.7552399999999997</v>
      </c>
      <c r="I2638" t="s">
        <v>19304</v>
      </c>
      <c r="L2638">
        <v>0</v>
      </c>
      <c r="M2638">
        <v>0</v>
      </c>
      <c r="N2638">
        <v>2</v>
      </c>
      <c r="O2638" t="s">
        <v>19305</v>
      </c>
    </row>
    <row r="2639" spans="1:15">
      <c r="A2639" t="s">
        <v>19306</v>
      </c>
      <c r="B2639" t="s">
        <v>367</v>
      </c>
      <c r="C2639" t="s">
        <v>17133</v>
      </c>
      <c r="D2639" t="s">
        <v>19307</v>
      </c>
      <c r="E2639" t="b">
        <v>0</v>
      </c>
      <c r="F2639" t="s">
        <v>11610</v>
      </c>
      <c r="L2639">
        <v>0</v>
      </c>
      <c r="M2639">
        <v>0</v>
      </c>
      <c r="N2639">
        <v>0</v>
      </c>
    </row>
    <row r="2640" spans="1:15">
      <c r="A2640" t="s">
        <v>19308</v>
      </c>
      <c r="B2640" t="s">
        <v>367</v>
      </c>
      <c r="C2640" t="s">
        <v>19309</v>
      </c>
      <c r="D2640" t="s">
        <v>19310</v>
      </c>
      <c r="E2640" t="b">
        <v>0</v>
      </c>
      <c r="F2640" t="s">
        <v>11624</v>
      </c>
      <c r="G2640">
        <v>2.7592699999999999</v>
      </c>
      <c r="H2640">
        <v>117.29300000000001</v>
      </c>
      <c r="I2640" t="s">
        <v>19311</v>
      </c>
      <c r="L2640">
        <v>0</v>
      </c>
      <c r="M2640">
        <v>0</v>
      </c>
      <c r="N2640">
        <v>0</v>
      </c>
      <c r="O2640" t="s">
        <v>11768</v>
      </c>
    </row>
    <row r="2641" spans="1:15">
      <c r="A2641" t="s">
        <v>19312</v>
      </c>
      <c r="B2641" t="s">
        <v>6742</v>
      </c>
      <c r="C2641" t="s">
        <v>18028</v>
      </c>
      <c r="D2641" t="s">
        <v>19313</v>
      </c>
      <c r="E2641" t="b">
        <v>0</v>
      </c>
      <c r="F2641" t="s">
        <v>11610</v>
      </c>
      <c r="L2641">
        <v>0</v>
      </c>
      <c r="M2641">
        <v>0</v>
      </c>
      <c r="N2641">
        <v>0</v>
      </c>
    </row>
    <row r="2642" spans="1:15">
      <c r="A2642" t="s">
        <v>19314</v>
      </c>
      <c r="B2642" t="s">
        <v>11607</v>
      </c>
      <c r="C2642" t="s">
        <v>19315</v>
      </c>
      <c r="D2642" t="s">
        <v>19316</v>
      </c>
      <c r="E2642" t="b">
        <v>0</v>
      </c>
      <c r="F2642" t="s">
        <v>11610</v>
      </c>
      <c r="L2642">
        <v>0</v>
      </c>
      <c r="M2642">
        <v>0</v>
      </c>
      <c r="N2642">
        <v>0</v>
      </c>
    </row>
    <row r="2643" spans="1:15">
      <c r="A2643" t="s">
        <v>19317</v>
      </c>
      <c r="B2643" t="s">
        <v>11637</v>
      </c>
      <c r="C2643" t="s">
        <v>14027</v>
      </c>
      <c r="D2643" t="s">
        <v>19318</v>
      </c>
      <c r="E2643" t="b">
        <v>0</v>
      </c>
      <c r="F2643" t="s">
        <v>11610</v>
      </c>
      <c r="L2643">
        <v>0</v>
      </c>
      <c r="M2643">
        <v>0</v>
      </c>
      <c r="N2643">
        <v>0</v>
      </c>
    </row>
    <row r="2644" spans="1:15">
      <c r="A2644" t="s">
        <v>19319</v>
      </c>
      <c r="B2644" t="s">
        <v>12438</v>
      </c>
      <c r="C2644" t="s">
        <v>19320</v>
      </c>
      <c r="D2644" t="s">
        <v>19321</v>
      </c>
      <c r="E2644" t="b">
        <v>0</v>
      </c>
      <c r="F2644" t="s">
        <v>11624</v>
      </c>
      <c r="G2644">
        <v>24.7013</v>
      </c>
      <c r="H2644">
        <v>104.955</v>
      </c>
      <c r="I2644" t="s">
        <v>19322</v>
      </c>
      <c r="L2644">
        <v>0</v>
      </c>
      <c r="M2644">
        <v>0</v>
      </c>
      <c r="N2644">
        <v>0</v>
      </c>
      <c r="O2644" t="s">
        <v>11905</v>
      </c>
    </row>
    <row r="2645" spans="1:15">
      <c r="A2645" t="s">
        <v>19320</v>
      </c>
      <c r="B2645" t="s">
        <v>12438</v>
      </c>
      <c r="C2645" t="s">
        <v>19323</v>
      </c>
      <c r="D2645" t="s">
        <v>19324</v>
      </c>
      <c r="E2645" t="b">
        <v>0</v>
      </c>
      <c r="F2645" t="s">
        <v>11622</v>
      </c>
      <c r="L2645">
        <v>0</v>
      </c>
      <c r="M2645">
        <v>2</v>
      </c>
      <c r="N2645">
        <v>0</v>
      </c>
    </row>
    <row r="2646" spans="1:15">
      <c r="A2646" t="s">
        <v>19325</v>
      </c>
      <c r="B2646" t="s">
        <v>11644</v>
      </c>
      <c r="C2646" t="s">
        <v>5110</v>
      </c>
      <c r="D2646" t="s">
        <v>19326</v>
      </c>
      <c r="E2646" t="b">
        <v>0</v>
      </c>
      <c r="F2646" t="s">
        <v>11610</v>
      </c>
      <c r="L2646">
        <v>0</v>
      </c>
      <c r="M2646">
        <v>0</v>
      </c>
      <c r="N2646">
        <v>0</v>
      </c>
    </row>
    <row r="2647" spans="1:15">
      <c r="A2647" t="s">
        <v>19327</v>
      </c>
      <c r="B2647" t="s">
        <v>6742</v>
      </c>
      <c r="C2647" t="s">
        <v>19328</v>
      </c>
      <c r="D2647" t="s">
        <v>19329</v>
      </c>
      <c r="E2647" t="b">
        <v>0</v>
      </c>
      <c r="F2647" t="s">
        <v>11624</v>
      </c>
      <c r="G2647">
        <v>2.5</v>
      </c>
      <c r="H2647">
        <v>15.6</v>
      </c>
      <c r="I2647" t="s">
        <v>19330</v>
      </c>
      <c r="L2647">
        <v>0</v>
      </c>
      <c r="M2647">
        <v>0</v>
      </c>
      <c r="N2647">
        <v>0</v>
      </c>
      <c r="O2647" t="s">
        <v>14825</v>
      </c>
    </row>
    <row r="2648" spans="1:15">
      <c r="A2648" t="s">
        <v>19331</v>
      </c>
      <c r="B2648" t="s">
        <v>15569</v>
      </c>
      <c r="C2648" t="s">
        <v>19332</v>
      </c>
      <c r="D2648" t="s">
        <v>19333</v>
      </c>
      <c r="E2648" t="b">
        <v>0</v>
      </c>
      <c r="F2648" t="s">
        <v>11610</v>
      </c>
      <c r="L2648">
        <v>0</v>
      </c>
      <c r="M2648">
        <v>0</v>
      </c>
      <c r="N2648">
        <v>0</v>
      </c>
    </row>
    <row r="2649" spans="1:15">
      <c r="A2649" t="s">
        <v>19334</v>
      </c>
      <c r="B2649" t="s">
        <v>6742</v>
      </c>
      <c r="C2649" t="s">
        <v>19335</v>
      </c>
      <c r="D2649" t="s">
        <v>19336</v>
      </c>
      <c r="E2649" t="b">
        <v>0</v>
      </c>
      <c r="F2649" t="s">
        <v>11622</v>
      </c>
      <c r="L2649">
        <v>1</v>
      </c>
      <c r="M2649">
        <v>3</v>
      </c>
      <c r="N2649">
        <v>0</v>
      </c>
    </row>
    <row r="2650" spans="1:15">
      <c r="A2650" t="s">
        <v>19328</v>
      </c>
      <c r="B2650" t="s">
        <v>6742</v>
      </c>
      <c r="C2650" t="s">
        <v>19334</v>
      </c>
      <c r="D2650" t="s">
        <v>19337</v>
      </c>
      <c r="E2650" t="b">
        <v>0</v>
      </c>
      <c r="F2650" t="s">
        <v>11622</v>
      </c>
      <c r="L2650">
        <v>0</v>
      </c>
      <c r="M2650">
        <v>2</v>
      </c>
      <c r="N2650">
        <v>0</v>
      </c>
    </row>
    <row r="2651" spans="1:15">
      <c r="A2651" t="s">
        <v>19338</v>
      </c>
      <c r="B2651" t="s">
        <v>19339</v>
      </c>
      <c r="C2651" t="s">
        <v>19340</v>
      </c>
      <c r="D2651" t="s">
        <v>19341</v>
      </c>
      <c r="E2651" t="b">
        <v>0</v>
      </c>
      <c r="F2651" t="s">
        <v>11610</v>
      </c>
      <c r="L2651">
        <v>0</v>
      </c>
      <c r="M2651">
        <v>0</v>
      </c>
      <c r="N2651">
        <v>0</v>
      </c>
    </row>
    <row r="2652" spans="1:15">
      <c r="A2652" t="s">
        <v>19342</v>
      </c>
      <c r="B2652" t="s">
        <v>6742</v>
      </c>
      <c r="C2652" t="s">
        <v>16789</v>
      </c>
      <c r="D2652" t="s">
        <v>19343</v>
      </c>
      <c r="E2652" t="b">
        <v>0</v>
      </c>
      <c r="F2652" t="s">
        <v>11610</v>
      </c>
      <c r="L2652">
        <v>0</v>
      </c>
      <c r="M2652">
        <v>0</v>
      </c>
      <c r="N2652">
        <v>0</v>
      </c>
    </row>
    <row r="2653" spans="1:15">
      <c r="A2653" t="s">
        <v>19344</v>
      </c>
      <c r="B2653" t="s">
        <v>6742</v>
      </c>
      <c r="C2653" t="s">
        <v>19345</v>
      </c>
      <c r="D2653" t="s">
        <v>19346</v>
      </c>
      <c r="E2653" t="b">
        <v>0</v>
      </c>
      <c r="F2653" t="s">
        <v>11610</v>
      </c>
      <c r="L2653">
        <v>0</v>
      </c>
      <c r="M2653">
        <v>0</v>
      </c>
      <c r="N2653">
        <v>0</v>
      </c>
    </row>
    <row r="2654" spans="1:15">
      <c r="A2654" t="s">
        <v>19347</v>
      </c>
      <c r="B2654" t="s">
        <v>6742</v>
      </c>
      <c r="C2654" t="s">
        <v>499</v>
      </c>
      <c r="D2654" t="s">
        <v>19348</v>
      </c>
      <c r="E2654" t="b">
        <v>0</v>
      </c>
      <c r="F2654" t="s">
        <v>11610</v>
      </c>
      <c r="L2654">
        <v>0</v>
      </c>
      <c r="M2654">
        <v>0</v>
      </c>
      <c r="N2654">
        <v>0</v>
      </c>
    </row>
    <row r="2655" spans="1:15">
      <c r="A2655" t="s">
        <v>19349</v>
      </c>
      <c r="B2655" t="s">
        <v>6742</v>
      </c>
      <c r="C2655" t="s">
        <v>19350</v>
      </c>
      <c r="D2655" t="s">
        <v>19351</v>
      </c>
      <c r="E2655" t="b">
        <v>0</v>
      </c>
      <c r="F2655" t="s">
        <v>11624</v>
      </c>
      <c r="G2655">
        <v>1.99315</v>
      </c>
      <c r="H2655">
        <v>18.513100000000001</v>
      </c>
      <c r="I2655" t="s">
        <v>19352</v>
      </c>
      <c r="L2655">
        <v>0</v>
      </c>
      <c r="M2655">
        <v>0</v>
      </c>
      <c r="N2655">
        <v>0</v>
      </c>
      <c r="O2655" t="s">
        <v>14825</v>
      </c>
    </row>
    <row r="2656" spans="1:15">
      <c r="A2656" t="s">
        <v>19190</v>
      </c>
      <c r="B2656" t="s">
        <v>6742</v>
      </c>
      <c r="C2656" t="s">
        <v>16464</v>
      </c>
      <c r="D2656" t="s">
        <v>19353</v>
      </c>
      <c r="E2656" t="b">
        <v>0</v>
      </c>
      <c r="F2656" t="s">
        <v>11624</v>
      </c>
      <c r="G2656">
        <v>2.4019499999999998</v>
      </c>
      <c r="H2656">
        <v>18.784099999999999</v>
      </c>
      <c r="I2656" t="s">
        <v>19354</v>
      </c>
      <c r="L2656">
        <v>0</v>
      </c>
      <c r="M2656">
        <v>0</v>
      </c>
      <c r="N2656">
        <v>4</v>
      </c>
      <c r="O2656" t="s">
        <v>14825</v>
      </c>
    </row>
    <row r="2657" spans="1:15">
      <c r="A2657" t="s">
        <v>14484</v>
      </c>
      <c r="B2657" t="s">
        <v>367</v>
      </c>
      <c r="C2657" t="s">
        <v>19355</v>
      </c>
      <c r="D2657" t="s">
        <v>19356</v>
      </c>
      <c r="E2657" t="b">
        <v>0</v>
      </c>
      <c r="F2657" t="s">
        <v>11622</v>
      </c>
      <c r="L2657">
        <v>0</v>
      </c>
      <c r="M2657">
        <v>3</v>
      </c>
      <c r="N2657">
        <v>0</v>
      </c>
    </row>
    <row r="2658" spans="1:15">
      <c r="A2658" t="s">
        <v>19357</v>
      </c>
      <c r="B2658" t="s">
        <v>11981</v>
      </c>
      <c r="C2658" t="s">
        <v>16705</v>
      </c>
      <c r="D2658" t="s">
        <v>19358</v>
      </c>
      <c r="E2658" t="b">
        <v>0</v>
      </c>
      <c r="F2658" t="s">
        <v>11610</v>
      </c>
      <c r="L2658">
        <v>0</v>
      </c>
      <c r="M2658">
        <v>0</v>
      </c>
      <c r="N2658">
        <v>0</v>
      </c>
    </row>
    <row r="2659" spans="1:15">
      <c r="A2659" t="s">
        <v>19359</v>
      </c>
      <c r="B2659" t="s">
        <v>14398</v>
      </c>
      <c r="C2659" t="s">
        <v>19360</v>
      </c>
      <c r="D2659" t="s">
        <v>19361</v>
      </c>
      <c r="E2659" t="b">
        <v>0</v>
      </c>
      <c r="F2659" t="s">
        <v>11610</v>
      </c>
      <c r="L2659">
        <v>0</v>
      </c>
      <c r="M2659">
        <v>0</v>
      </c>
      <c r="N2659">
        <v>0</v>
      </c>
    </row>
    <row r="2660" spans="1:15">
      <c r="A2660" t="s">
        <v>19362</v>
      </c>
      <c r="B2660" t="s">
        <v>6742</v>
      </c>
      <c r="C2660" t="s">
        <v>19363</v>
      </c>
      <c r="D2660" t="s">
        <v>19364</v>
      </c>
      <c r="E2660" t="b">
        <v>0</v>
      </c>
      <c r="F2660" t="s">
        <v>11624</v>
      </c>
      <c r="G2660">
        <v>1.70044</v>
      </c>
      <c r="H2660">
        <v>17.3733</v>
      </c>
      <c r="I2660" t="s">
        <v>19365</v>
      </c>
      <c r="L2660">
        <v>0</v>
      </c>
      <c r="M2660">
        <v>0</v>
      </c>
      <c r="N2660">
        <v>2</v>
      </c>
      <c r="O2660" t="s">
        <v>19366</v>
      </c>
    </row>
    <row r="2661" spans="1:15">
      <c r="A2661" t="s">
        <v>19367</v>
      </c>
      <c r="B2661" t="s">
        <v>6742</v>
      </c>
      <c r="C2661" t="s">
        <v>19368</v>
      </c>
      <c r="D2661" t="s">
        <v>19369</v>
      </c>
      <c r="E2661" t="b">
        <v>0</v>
      </c>
      <c r="F2661" t="s">
        <v>11624</v>
      </c>
      <c r="G2661">
        <v>9.2751800000000006</v>
      </c>
      <c r="H2661">
        <v>-11.596959999999999</v>
      </c>
      <c r="I2661" t="s">
        <v>19370</v>
      </c>
      <c r="L2661">
        <v>0</v>
      </c>
      <c r="M2661">
        <v>0</v>
      </c>
      <c r="N2661">
        <v>2</v>
      </c>
      <c r="O2661" t="s">
        <v>19371</v>
      </c>
    </row>
    <row r="2662" spans="1:15">
      <c r="A2662" t="s">
        <v>19372</v>
      </c>
      <c r="B2662" t="s">
        <v>6742</v>
      </c>
      <c r="C2662" t="s">
        <v>19367</v>
      </c>
      <c r="D2662" t="s">
        <v>19373</v>
      </c>
      <c r="E2662" t="b">
        <v>0</v>
      </c>
      <c r="F2662" t="s">
        <v>11610</v>
      </c>
      <c r="G2662">
        <v>9.2751800000000006</v>
      </c>
      <c r="H2662">
        <v>-11.597</v>
      </c>
      <c r="L2662">
        <v>0</v>
      </c>
      <c r="M2662">
        <v>0</v>
      </c>
      <c r="N2662">
        <v>0</v>
      </c>
      <c r="O2662" t="s">
        <v>19371</v>
      </c>
    </row>
    <row r="2663" spans="1:15">
      <c r="A2663" t="s">
        <v>19374</v>
      </c>
      <c r="B2663" t="s">
        <v>6742</v>
      </c>
      <c r="C2663" t="s">
        <v>19375</v>
      </c>
      <c r="D2663" t="s">
        <v>19376</v>
      </c>
      <c r="E2663" t="b">
        <v>0</v>
      </c>
      <c r="F2663" t="s">
        <v>11610</v>
      </c>
      <c r="L2663">
        <v>0</v>
      </c>
      <c r="M2663">
        <v>0</v>
      </c>
      <c r="N2663">
        <v>0</v>
      </c>
    </row>
    <row r="2664" spans="1:15">
      <c r="A2664" t="s">
        <v>19377</v>
      </c>
      <c r="B2664" t="s">
        <v>12438</v>
      </c>
      <c r="C2664" t="s">
        <v>19378</v>
      </c>
      <c r="D2664" t="s">
        <v>19379</v>
      </c>
      <c r="E2664" t="b">
        <v>0</v>
      </c>
      <c r="F2664" t="s">
        <v>11610</v>
      </c>
      <c r="L2664">
        <v>0</v>
      </c>
      <c r="M2664">
        <v>0</v>
      </c>
      <c r="N2664">
        <v>0</v>
      </c>
    </row>
    <row r="2665" spans="1:15">
      <c r="A2665" t="s">
        <v>19380</v>
      </c>
      <c r="B2665" t="s">
        <v>6742</v>
      </c>
      <c r="C2665" t="s">
        <v>19381</v>
      </c>
      <c r="D2665" t="s">
        <v>19382</v>
      </c>
      <c r="E2665" t="b">
        <v>0</v>
      </c>
      <c r="F2665" t="s">
        <v>11624</v>
      </c>
      <c r="G2665">
        <v>12.381600000000001</v>
      </c>
      <c r="H2665">
        <v>-4.5380000000000003</v>
      </c>
      <c r="I2665" t="s">
        <v>19383</v>
      </c>
      <c r="L2665">
        <v>0</v>
      </c>
      <c r="M2665">
        <v>0</v>
      </c>
      <c r="N2665">
        <v>9</v>
      </c>
      <c r="O2665" t="s">
        <v>19384</v>
      </c>
    </row>
    <row r="2666" spans="1:15">
      <c r="A2666" t="s">
        <v>19385</v>
      </c>
      <c r="B2666" t="s">
        <v>6742</v>
      </c>
      <c r="C2666" t="s">
        <v>19066</v>
      </c>
      <c r="D2666" t="s">
        <v>19386</v>
      </c>
      <c r="E2666" t="b">
        <v>0</v>
      </c>
      <c r="F2666" t="s">
        <v>11610</v>
      </c>
      <c r="L2666">
        <v>0</v>
      </c>
      <c r="M2666">
        <v>0</v>
      </c>
      <c r="N2666">
        <v>0</v>
      </c>
    </row>
    <row r="2667" spans="1:15">
      <c r="A2667" t="s">
        <v>19387</v>
      </c>
      <c r="B2667" t="s">
        <v>6742</v>
      </c>
      <c r="C2667" t="s">
        <v>14829</v>
      </c>
      <c r="D2667" t="s">
        <v>19388</v>
      </c>
      <c r="E2667" t="b">
        <v>0</v>
      </c>
      <c r="F2667" t="s">
        <v>11610</v>
      </c>
      <c r="L2667">
        <v>0</v>
      </c>
      <c r="M2667">
        <v>0</v>
      </c>
      <c r="N2667">
        <v>0</v>
      </c>
    </row>
    <row r="2668" spans="1:15">
      <c r="A2668" t="s">
        <v>19389</v>
      </c>
      <c r="B2668" t="s">
        <v>6742</v>
      </c>
      <c r="C2668" t="s">
        <v>14832</v>
      </c>
      <c r="D2668" t="s">
        <v>19390</v>
      </c>
      <c r="E2668" t="b">
        <v>0</v>
      </c>
      <c r="F2668" t="s">
        <v>11610</v>
      </c>
      <c r="L2668">
        <v>0</v>
      </c>
      <c r="M2668">
        <v>0</v>
      </c>
      <c r="N2668">
        <v>0</v>
      </c>
    </row>
    <row r="2669" spans="1:15">
      <c r="A2669" t="s">
        <v>19391</v>
      </c>
      <c r="B2669" t="s">
        <v>6742</v>
      </c>
      <c r="C2669" t="s">
        <v>1906</v>
      </c>
      <c r="D2669" t="s">
        <v>19392</v>
      </c>
      <c r="E2669" t="b">
        <v>0</v>
      </c>
      <c r="F2669" t="s">
        <v>11610</v>
      </c>
      <c r="L2669">
        <v>0</v>
      </c>
      <c r="M2669">
        <v>0</v>
      </c>
      <c r="N2669">
        <v>0</v>
      </c>
    </row>
    <row r="2670" spans="1:15">
      <c r="A2670" t="s">
        <v>19393</v>
      </c>
      <c r="B2670" t="s">
        <v>6742</v>
      </c>
      <c r="C2670" t="s">
        <v>17779</v>
      </c>
      <c r="D2670" t="s">
        <v>19394</v>
      </c>
      <c r="E2670" t="b">
        <v>0</v>
      </c>
      <c r="F2670" t="s">
        <v>11624</v>
      </c>
      <c r="G2670">
        <v>1.7100500000000001</v>
      </c>
      <c r="H2670">
        <v>15.954599999999999</v>
      </c>
      <c r="I2670" t="s">
        <v>19395</v>
      </c>
      <c r="L2670">
        <v>0</v>
      </c>
      <c r="M2670">
        <v>0</v>
      </c>
      <c r="N2670">
        <v>0</v>
      </c>
      <c r="O2670" t="s">
        <v>16633</v>
      </c>
    </row>
    <row r="2671" spans="1:15">
      <c r="A2671" t="s">
        <v>19396</v>
      </c>
      <c r="B2671" t="s">
        <v>12250</v>
      </c>
      <c r="C2671" t="s">
        <v>16849</v>
      </c>
      <c r="D2671" t="s">
        <v>19397</v>
      </c>
      <c r="E2671" t="b">
        <v>0</v>
      </c>
      <c r="F2671" t="s">
        <v>11624</v>
      </c>
      <c r="G2671">
        <v>35.697200000000002</v>
      </c>
      <c r="H2671">
        <v>102.995</v>
      </c>
      <c r="I2671" t="s">
        <v>19398</v>
      </c>
      <c r="L2671">
        <v>0</v>
      </c>
      <c r="M2671">
        <v>0</v>
      </c>
      <c r="N2671">
        <v>2</v>
      </c>
      <c r="O2671" t="s">
        <v>11905</v>
      </c>
    </row>
    <row r="2672" spans="1:15">
      <c r="A2672" t="s">
        <v>19399</v>
      </c>
      <c r="B2672" t="s">
        <v>6742</v>
      </c>
      <c r="C2672" t="s">
        <v>11737</v>
      </c>
      <c r="D2672" t="s">
        <v>19400</v>
      </c>
      <c r="E2672" t="b">
        <v>0</v>
      </c>
      <c r="F2672" t="s">
        <v>11610</v>
      </c>
      <c r="L2672">
        <v>0</v>
      </c>
      <c r="M2672">
        <v>0</v>
      </c>
      <c r="N2672">
        <v>0</v>
      </c>
    </row>
    <row r="2673" spans="1:15">
      <c r="A2673" t="s">
        <v>19401</v>
      </c>
      <c r="B2673" t="s">
        <v>367</v>
      </c>
      <c r="C2673" t="s">
        <v>19402</v>
      </c>
      <c r="D2673" t="s">
        <v>19403</v>
      </c>
      <c r="E2673" t="b">
        <v>0</v>
      </c>
      <c r="F2673" t="s">
        <v>11610</v>
      </c>
      <c r="L2673">
        <v>0</v>
      </c>
      <c r="M2673">
        <v>0</v>
      </c>
      <c r="N2673">
        <v>0</v>
      </c>
    </row>
    <row r="2674" spans="1:15">
      <c r="A2674" t="s">
        <v>19404</v>
      </c>
      <c r="B2674" t="s">
        <v>367</v>
      </c>
      <c r="C2674" t="s">
        <v>19402</v>
      </c>
      <c r="D2674" t="s">
        <v>19405</v>
      </c>
      <c r="E2674" t="b">
        <v>0</v>
      </c>
      <c r="F2674" t="s">
        <v>11610</v>
      </c>
      <c r="L2674">
        <v>0</v>
      </c>
      <c r="M2674">
        <v>0</v>
      </c>
      <c r="N2674">
        <v>0</v>
      </c>
    </row>
    <row r="2675" spans="1:15">
      <c r="A2675" t="s">
        <v>19406</v>
      </c>
      <c r="B2675" t="s">
        <v>11834</v>
      </c>
      <c r="C2675" t="s">
        <v>19407</v>
      </c>
      <c r="D2675" t="s">
        <v>19408</v>
      </c>
      <c r="E2675" t="b">
        <v>0</v>
      </c>
      <c r="F2675" t="s">
        <v>11610</v>
      </c>
      <c r="L2675">
        <v>0</v>
      </c>
      <c r="M2675">
        <v>0</v>
      </c>
      <c r="N2675">
        <v>0</v>
      </c>
    </row>
    <row r="2676" spans="1:15">
      <c r="A2676" t="s">
        <v>19409</v>
      </c>
      <c r="B2676" t="s">
        <v>8310</v>
      </c>
      <c r="C2676" t="s">
        <v>19410</v>
      </c>
      <c r="D2676" t="s">
        <v>19411</v>
      </c>
      <c r="E2676" t="b">
        <v>0</v>
      </c>
      <c r="F2676" t="s">
        <v>11624</v>
      </c>
      <c r="L2676">
        <v>0</v>
      </c>
      <c r="M2676">
        <v>0</v>
      </c>
      <c r="N2676">
        <v>0</v>
      </c>
      <c r="O2676" t="s">
        <v>11969</v>
      </c>
    </row>
    <row r="2677" spans="1:15">
      <c r="A2677" t="s">
        <v>15946</v>
      </c>
      <c r="B2677" t="s">
        <v>12438</v>
      </c>
      <c r="C2677" t="s">
        <v>19412</v>
      </c>
      <c r="D2677" t="s">
        <v>19413</v>
      </c>
      <c r="E2677" t="b">
        <v>0</v>
      </c>
      <c r="F2677" t="s">
        <v>11622</v>
      </c>
      <c r="L2677">
        <v>0</v>
      </c>
      <c r="M2677">
        <v>2</v>
      </c>
      <c r="N2677">
        <v>7</v>
      </c>
    </row>
    <row r="2678" spans="1:15">
      <c r="A2678" t="s">
        <v>19414</v>
      </c>
      <c r="B2678" t="s">
        <v>11637</v>
      </c>
      <c r="C2678" t="s">
        <v>19415</v>
      </c>
      <c r="D2678" t="s">
        <v>19416</v>
      </c>
      <c r="E2678" t="b">
        <v>0</v>
      </c>
      <c r="F2678" t="s">
        <v>11610</v>
      </c>
      <c r="L2678">
        <v>0</v>
      </c>
      <c r="M2678">
        <v>0</v>
      </c>
      <c r="N2678">
        <v>0</v>
      </c>
    </row>
    <row r="2679" spans="1:15">
      <c r="A2679" t="s">
        <v>19417</v>
      </c>
      <c r="B2679" t="s">
        <v>12438</v>
      </c>
      <c r="C2679" t="s">
        <v>2251</v>
      </c>
      <c r="D2679" t="s">
        <v>19418</v>
      </c>
      <c r="E2679" t="b">
        <v>0</v>
      </c>
      <c r="F2679" t="s">
        <v>11610</v>
      </c>
      <c r="L2679">
        <v>0</v>
      </c>
      <c r="M2679">
        <v>0</v>
      </c>
      <c r="N2679">
        <v>0</v>
      </c>
    </row>
    <row r="2680" spans="1:15">
      <c r="A2680" t="s">
        <v>19419</v>
      </c>
      <c r="B2680" t="s">
        <v>12438</v>
      </c>
      <c r="C2680" t="s">
        <v>19057</v>
      </c>
      <c r="D2680" t="s">
        <v>19420</v>
      </c>
      <c r="E2680" t="b">
        <v>0</v>
      </c>
      <c r="F2680" t="s">
        <v>11624</v>
      </c>
      <c r="G2680">
        <v>19.151199999999999</v>
      </c>
      <c r="H2680">
        <v>83.814099999999996</v>
      </c>
      <c r="I2680" t="s">
        <v>19421</v>
      </c>
      <c r="L2680">
        <v>0</v>
      </c>
      <c r="M2680">
        <v>0</v>
      </c>
      <c r="N2680">
        <v>2</v>
      </c>
      <c r="O2680" t="s">
        <v>11630</v>
      </c>
    </row>
    <row r="2681" spans="1:15">
      <c r="A2681" t="s">
        <v>19422</v>
      </c>
      <c r="B2681" t="s">
        <v>6742</v>
      </c>
      <c r="C2681" t="s">
        <v>19423</v>
      </c>
      <c r="D2681" t="s">
        <v>19424</v>
      </c>
      <c r="E2681" t="b">
        <v>0</v>
      </c>
      <c r="F2681" t="s">
        <v>11624</v>
      </c>
      <c r="G2681">
        <v>7.8594499999999998</v>
      </c>
      <c r="H2681">
        <v>-2.8737900000000001</v>
      </c>
      <c r="I2681" t="s">
        <v>19425</v>
      </c>
      <c r="L2681">
        <v>0</v>
      </c>
      <c r="M2681">
        <v>0</v>
      </c>
      <c r="N2681">
        <v>0</v>
      </c>
      <c r="O2681" t="s">
        <v>11820</v>
      </c>
    </row>
    <row r="2682" spans="1:15">
      <c r="A2682" t="s">
        <v>19426</v>
      </c>
      <c r="B2682" t="s">
        <v>6742</v>
      </c>
      <c r="C2682" t="s">
        <v>19427</v>
      </c>
      <c r="D2682" t="s">
        <v>19428</v>
      </c>
      <c r="E2682" t="b">
        <v>0</v>
      </c>
      <c r="F2682" t="s">
        <v>11624</v>
      </c>
      <c r="G2682">
        <v>-5.1074900000000003</v>
      </c>
      <c r="H2682">
        <v>38.507899999999999</v>
      </c>
      <c r="I2682" t="s">
        <v>19429</v>
      </c>
      <c r="L2682">
        <v>0</v>
      </c>
      <c r="M2682">
        <v>0</v>
      </c>
      <c r="N2682">
        <v>0</v>
      </c>
      <c r="O2682" t="s">
        <v>11635</v>
      </c>
    </row>
    <row r="2683" spans="1:15">
      <c r="A2683" t="s">
        <v>19430</v>
      </c>
      <c r="B2683" t="s">
        <v>1342</v>
      </c>
      <c r="C2683" t="s">
        <v>19431</v>
      </c>
      <c r="D2683" t="s">
        <v>19432</v>
      </c>
      <c r="E2683" t="b">
        <v>0</v>
      </c>
      <c r="F2683" t="s">
        <v>11624</v>
      </c>
      <c r="G2683">
        <v>14.906599999999999</v>
      </c>
      <c r="H2683">
        <v>-3.3263600000000002</v>
      </c>
      <c r="I2683" t="s">
        <v>19433</v>
      </c>
      <c r="L2683">
        <v>0</v>
      </c>
      <c r="M2683">
        <v>0</v>
      </c>
      <c r="N2683">
        <v>3</v>
      </c>
      <c r="O2683" t="s">
        <v>13528</v>
      </c>
    </row>
    <row r="2684" spans="1:15">
      <c r="A2684" t="s">
        <v>19427</v>
      </c>
      <c r="B2684" t="s">
        <v>6742</v>
      </c>
      <c r="C2684" t="s">
        <v>19434</v>
      </c>
      <c r="D2684" t="s">
        <v>19435</v>
      </c>
      <c r="E2684" t="b">
        <v>0</v>
      </c>
      <c r="F2684" t="s">
        <v>11622</v>
      </c>
      <c r="L2684">
        <v>0</v>
      </c>
      <c r="M2684">
        <v>2</v>
      </c>
      <c r="N2684">
        <v>3</v>
      </c>
    </row>
    <row r="2685" spans="1:15">
      <c r="A2685" t="s">
        <v>19436</v>
      </c>
      <c r="B2685" t="s">
        <v>1342</v>
      </c>
      <c r="C2685" t="s">
        <v>19430</v>
      </c>
      <c r="D2685" t="s">
        <v>19437</v>
      </c>
      <c r="E2685" t="b">
        <v>0</v>
      </c>
      <c r="F2685" t="s">
        <v>11610</v>
      </c>
      <c r="L2685">
        <v>0</v>
      </c>
      <c r="M2685">
        <v>0</v>
      </c>
      <c r="N2685">
        <v>0</v>
      </c>
    </row>
    <row r="2686" spans="1:15">
      <c r="A2686" t="s">
        <v>19438</v>
      </c>
      <c r="B2686" t="s">
        <v>367</v>
      </c>
      <c r="C2686" t="s">
        <v>19439</v>
      </c>
      <c r="D2686" t="s">
        <v>19440</v>
      </c>
      <c r="E2686" t="b">
        <v>0</v>
      </c>
      <c r="F2686" t="s">
        <v>11610</v>
      </c>
      <c r="L2686">
        <v>0</v>
      </c>
      <c r="M2686">
        <v>0</v>
      </c>
      <c r="N2686">
        <v>0</v>
      </c>
    </row>
    <row r="2687" spans="1:15">
      <c r="A2687" t="s">
        <v>19441</v>
      </c>
      <c r="B2687" t="s">
        <v>367</v>
      </c>
      <c r="C2687" t="s">
        <v>17148</v>
      </c>
      <c r="D2687" t="s">
        <v>19442</v>
      </c>
      <c r="E2687" t="b">
        <v>0</v>
      </c>
      <c r="F2687" t="s">
        <v>11610</v>
      </c>
      <c r="L2687">
        <v>0</v>
      </c>
      <c r="M2687">
        <v>0</v>
      </c>
      <c r="N2687">
        <v>0</v>
      </c>
    </row>
    <row r="2688" spans="1:15">
      <c r="A2688" t="s">
        <v>19443</v>
      </c>
      <c r="B2688" t="s">
        <v>367</v>
      </c>
      <c r="C2688" t="s">
        <v>19444</v>
      </c>
      <c r="D2688" t="s">
        <v>19445</v>
      </c>
      <c r="E2688" t="b">
        <v>0</v>
      </c>
      <c r="F2688" t="s">
        <v>11610</v>
      </c>
      <c r="L2688">
        <v>0</v>
      </c>
      <c r="M2688">
        <v>0</v>
      </c>
      <c r="N2688">
        <v>0</v>
      </c>
    </row>
    <row r="2689" spans="1:15">
      <c r="A2689" t="s">
        <v>19446</v>
      </c>
      <c r="B2689" t="s">
        <v>367</v>
      </c>
      <c r="C2689" t="s">
        <v>19447</v>
      </c>
      <c r="D2689" t="s">
        <v>19448</v>
      </c>
      <c r="E2689" t="b">
        <v>0</v>
      </c>
      <c r="F2689" t="s">
        <v>11624</v>
      </c>
      <c r="G2689">
        <v>-7.3765700000000001</v>
      </c>
      <c r="H2689">
        <v>121.792</v>
      </c>
      <c r="I2689" t="s">
        <v>19449</v>
      </c>
      <c r="L2689">
        <v>0</v>
      </c>
      <c r="M2689">
        <v>0</v>
      </c>
      <c r="N2689">
        <v>2</v>
      </c>
      <c r="O2689" t="s">
        <v>11768</v>
      </c>
    </row>
    <row r="2690" spans="1:15">
      <c r="A2690" t="s">
        <v>19450</v>
      </c>
      <c r="B2690" t="s">
        <v>16947</v>
      </c>
      <c r="C2690" t="s">
        <v>18175</v>
      </c>
      <c r="D2690" t="s">
        <v>19451</v>
      </c>
      <c r="E2690" t="b">
        <v>0</v>
      </c>
      <c r="F2690" t="s">
        <v>11624</v>
      </c>
      <c r="G2690">
        <v>-2.0952899999999999</v>
      </c>
      <c r="H2690">
        <v>139.208</v>
      </c>
      <c r="I2690" t="s">
        <v>19452</v>
      </c>
      <c r="L2690">
        <v>0</v>
      </c>
      <c r="M2690">
        <v>0</v>
      </c>
      <c r="N2690">
        <v>0</v>
      </c>
      <c r="O2690" t="s">
        <v>11768</v>
      </c>
    </row>
    <row r="2691" spans="1:15">
      <c r="A2691" t="s">
        <v>19453</v>
      </c>
      <c r="B2691" t="s">
        <v>6742</v>
      </c>
      <c r="C2691" t="s">
        <v>19454</v>
      </c>
      <c r="D2691" t="s">
        <v>19455</v>
      </c>
      <c r="E2691" t="b">
        <v>0</v>
      </c>
      <c r="F2691" t="s">
        <v>11624</v>
      </c>
      <c r="G2691">
        <v>10.6577</v>
      </c>
      <c r="H2691">
        <v>19.577400000000001</v>
      </c>
      <c r="I2691" t="s">
        <v>19456</v>
      </c>
      <c r="L2691">
        <v>0</v>
      </c>
      <c r="M2691">
        <v>0</v>
      </c>
      <c r="N2691">
        <v>0</v>
      </c>
      <c r="O2691" t="s">
        <v>13421</v>
      </c>
    </row>
    <row r="2692" spans="1:15">
      <c r="A2692" t="s">
        <v>19457</v>
      </c>
      <c r="B2692" t="s">
        <v>6742</v>
      </c>
      <c r="C2692" t="s">
        <v>19458</v>
      </c>
      <c r="D2692" t="s">
        <v>19459</v>
      </c>
      <c r="E2692" t="b">
        <v>0</v>
      </c>
      <c r="F2692" t="s">
        <v>11610</v>
      </c>
      <c r="L2692">
        <v>0</v>
      </c>
      <c r="M2692">
        <v>0</v>
      </c>
      <c r="N2692">
        <v>0</v>
      </c>
    </row>
    <row r="2693" spans="1:15">
      <c r="A2693" t="s">
        <v>19460</v>
      </c>
      <c r="B2693" t="s">
        <v>6742</v>
      </c>
      <c r="C2693" t="s">
        <v>19461</v>
      </c>
      <c r="D2693" t="s">
        <v>19462</v>
      </c>
      <c r="E2693" t="b">
        <v>0</v>
      </c>
      <c r="F2693" t="s">
        <v>11624</v>
      </c>
      <c r="G2693">
        <v>0.37063000000000001</v>
      </c>
      <c r="H2693">
        <v>16.607900000000001</v>
      </c>
      <c r="I2693" t="s">
        <v>19463</v>
      </c>
      <c r="L2693">
        <v>0</v>
      </c>
      <c r="M2693">
        <v>0</v>
      </c>
      <c r="N2693">
        <v>0</v>
      </c>
      <c r="O2693" t="s">
        <v>12868</v>
      </c>
    </row>
    <row r="2694" spans="1:15">
      <c r="A2694" t="s">
        <v>19464</v>
      </c>
      <c r="B2694" t="s">
        <v>11729</v>
      </c>
      <c r="C2694" t="s">
        <v>19465</v>
      </c>
      <c r="D2694" t="s">
        <v>19466</v>
      </c>
      <c r="E2694" t="b">
        <v>0</v>
      </c>
      <c r="F2694" t="s">
        <v>11624</v>
      </c>
      <c r="G2694">
        <v>7.4145000000000003</v>
      </c>
      <c r="H2694">
        <v>27.991800000000001</v>
      </c>
      <c r="I2694" t="s">
        <v>19467</v>
      </c>
      <c r="L2694">
        <v>0</v>
      </c>
      <c r="M2694">
        <v>0</v>
      </c>
      <c r="N2694">
        <v>3</v>
      </c>
      <c r="O2694" t="s">
        <v>11910</v>
      </c>
    </row>
    <row r="2695" spans="1:15">
      <c r="A2695" t="s">
        <v>19468</v>
      </c>
      <c r="B2695" t="s">
        <v>11757</v>
      </c>
      <c r="C2695" t="s">
        <v>19469</v>
      </c>
      <c r="D2695" t="s">
        <v>19470</v>
      </c>
      <c r="E2695" t="b">
        <v>0</v>
      </c>
      <c r="F2695" t="s">
        <v>11610</v>
      </c>
      <c r="L2695">
        <v>0</v>
      </c>
      <c r="M2695">
        <v>0</v>
      </c>
      <c r="N2695">
        <v>0</v>
      </c>
    </row>
    <row r="2696" spans="1:15">
      <c r="A2696" t="s">
        <v>19471</v>
      </c>
      <c r="B2696" t="s">
        <v>367</v>
      </c>
      <c r="C2696" t="s">
        <v>14049</v>
      </c>
      <c r="D2696" t="s">
        <v>19472</v>
      </c>
      <c r="E2696" t="b">
        <v>0</v>
      </c>
      <c r="F2696" t="s">
        <v>11624</v>
      </c>
      <c r="G2696">
        <v>-2.28044</v>
      </c>
      <c r="H2696">
        <v>139.57599999999999</v>
      </c>
      <c r="I2696" t="s">
        <v>19473</v>
      </c>
      <c r="L2696">
        <v>0</v>
      </c>
      <c r="M2696">
        <v>0</v>
      </c>
      <c r="N2696">
        <v>0</v>
      </c>
      <c r="O2696" t="s">
        <v>11768</v>
      </c>
    </row>
    <row r="2697" spans="1:15">
      <c r="A2697" t="s">
        <v>19474</v>
      </c>
      <c r="B2697" t="s">
        <v>367</v>
      </c>
      <c r="C2697" t="s">
        <v>16054</v>
      </c>
      <c r="D2697" t="s">
        <v>19475</v>
      </c>
      <c r="E2697" t="b">
        <v>0</v>
      </c>
      <c r="F2697" t="s">
        <v>11610</v>
      </c>
      <c r="L2697">
        <v>0</v>
      </c>
      <c r="M2697">
        <v>0</v>
      </c>
      <c r="N2697">
        <v>0</v>
      </c>
    </row>
    <row r="2698" spans="1:15">
      <c r="A2698" t="s">
        <v>19476</v>
      </c>
      <c r="B2698" t="s">
        <v>367</v>
      </c>
      <c r="C2698" t="s">
        <v>19477</v>
      </c>
      <c r="D2698" t="s">
        <v>19478</v>
      </c>
      <c r="E2698" t="b">
        <v>0</v>
      </c>
      <c r="F2698" t="s">
        <v>11624</v>
      </c>
      <c r="G2698">
        <v>7.2924899999999999</v>
      </c>
      <c r="H2698">
        <v>117.17400000000001</v>
      </c>
      <c r="I2698" t="s">
        <v>19479</v>
      </c>
      <c r="L2698">
        <v>0</v>
      </c>
      <c r="M2698">
        <v>0</v>
      </c>
      <c r="N2698">
        <v>0</v>
      </c>
      <c r="O2698" t="s">
        <v>11672</v>
      </c>
    </row>
    <row r="2699" spans="1:15">
      <c r="A2699" t="s">
        <v>19480</v>
      </c>
      <c r="B2699" t="s">
        <v>11705</v>
      </c>
      <c r="C2699" t="s">
        <v>14190</v>
      </c>
      <c r="D2699" t="s">
        <v>19481</v>
      </c>
      <c r="E2699" t="b">
        <v>0</v>
      </c>
      <c r="F2699" t="s">
        <v>11610</v>
      </c>
      <c r="L2699">
        <v>0</v>
      </c>
      <c r="M2699">
        <v>0</v>
      </c>
      <c r="N2699">
        <v>0</v>
      </c>
    </row>
    <row r="2700" spans="1:15">
      <c r="A2700" t="s">
        <v>19482</v>
      </c>
      <c r="B2700" t="s">
        <v>11615</v>
      </c>
      <c r="C2700" t="s">
        <v>13958</v>
      </c>
      <c r="D2700" t="s">
        <v>19483</v>
      </c>
      <c r="E2700" t="b">
        <v>0</v>
      </c>
      <c r="F2700" t="s">
        <v>11624</v>
      </c>
      <c r="G2700">
        <v>-5.5051899999999998</v>
      </c>
      <c r="H2700">
        <v>145.80600000000001</v>
      </c>
      <c r="I2700" t="s">
        <v>19484</v>
      </c>
      <c r="L2700">
        <v>0</v>
      </c>
      <c r="M2700">
        <v>0</v>
      </c>
      <c r="N2700">
        <v>0</v>
      </c>
      <c r="O2700" t="s">
        <v>11660</v>
      </c>
    </row>
    <row r="2701" spans="1:15">
      <c r="A2701" t="s">
        <v>19485</v>
      </c>
      <c r="B2701" t="s">
        <v>11607</v>
      </c>
      <c r="C2701" t="s">
        <v>16499</v>
      </c>
      <c r="D2701" t="s">
        <v>19486</v>
      </c>
      <c r="E2701" t="b">
        <v>0</v>
      </c>
      <c r="F2701" t="s">
        <v>11610</v>
      </c>
      <c r="L2701">
        <v>0</v>
      </c>
      <c r="M2701">
        <v>0</v>
      </c>
      <c r="N2701">
        <v>0</v>
      </c>
    </row>
    <row r="2702" spans="1:15">
      <c r="A2702" t="s">
        <v>19487</v>
      </c>
      <c r="B2702" t="s">
        <v>11607</v>
      </c>
      <c r="C2702" t="s">
        <v>19488</v>
      </c>
      <c r="D2702" t="s">
        <v>19489</v>
      </c>
      <c r="E2702" t="b">
        <v>0</v>
      </c>
      <c r="F2702" t="s">
        <v>11610</v>
      </c>
      <c r="L2702">
        <v>0</v>
      </c>
      <c r="M2702">
        <v>0</v>
      </c>
      <c r="N2702">
        <v>0</v>
      </c>
    </row>
    <row r="2703" spans="1:15">
      <c r="A2703" t="s">
        <v>19490</v>
      </c>
      <c r="B2703" t="s">
        <v>11644</v>
      </c>
      <c r="C2703" t="s">
        <v>19491</v>
      </c>
      <c r="D2703" t="s">
        <v>19492</v>
      </c>
      <c r="E2703" t="b">
        <v>0</v>
      </c>
      <c r="F2703" t="s">
        <v>11610</v>
      </c>
      <c r="L2703">
        <v>0</v>
      </c>
      <c r="M2703">
        <v>0</v>
      </c>
      <c r="N2703">
        <v>0</v>
      </c>
    </row>
    <row r="2704" spans="1:15">
      <c r="A2704" t="s">
        <v>19493</v>
      </c>
      <c r="B2704" t="s">
        <v>11644</v>
      </c>
      <c r="C2704" t="s">
        <v>19491</v>
      </c>
      <c r="D2704" t="s">
        <v>19494</v>
      </c>
      <c r="E2704" t="b">
        <v>0</v>
      </c>
      <c r="F2704" t="s">
        <v>11610</v>
      </c>
      <c r="L2704">
        <v>0</v>
      </c>
      <c r="M2704">
        <v>0</v>
      </c>
      <c r="N2704">
        <v>0</v>
      </c>
    </row>
    <row r="2705" spans="1:15">
      <c r="A2705" t="s">
        <v>19495</v>
      </c>
      <c r="B2705" t="s">
        <v>6742</v>
      </c>
      <c r="C2705" t="s">
        <v>19496</v>
      </c>
      <c r="D2705" t="s">
        <v>19497</v>
      </c>
      <c r="E2705" t="b">
        <v>0</v>
      </c>
      <c r="F2705" t="s">
        <v>11610</v>
      </c>
      <c r="L2705">
        <v>0</v>
      </c>
      <c r="M2705">
        <v>0</v>
      </c>
      <c r="N2705">
        <v>0</v>
      </c>
    </row>
    <row r="2706" spans="1:15">
      <c r="A2706" t="s">
        <v>19498</v>
      </c>
      <c r="B2706" t="s">
        <v>13450</v>
      </c>
      <c r="C2706" t="s">
        <v>13451</v>
      </c>
      <c r="D2706" t="s">
        <v>19499</v>
      </c>
      <c r="E2706" t="b">
        <v>0</v>
      </c>
      <c r="F2706" t="s">
        <v>11624</v>
      </c>
      <c r="L2706">
        <v>0</v>
      </c>
      <c r="M2706">
        <v>0</v>
      </c>
      <c r="N2706">
        <v>0</v>
      </c>
      <c r="O2706" t="s">
        <v>12539</v>
      </c>
    </row>
    <row r="2707" spans="1:15">
      <c r="A2707" t="s">
        <v>19500</v>
      </c>
      <c r="B2707" t="s">
        <v>6742</v>
      </c>
      <c r="C2707" t="s">
        <v>19363</v>
      </c>
      <c r="D2707" t="s">
        <v>19501</v>
      </c>
      <c r="E2707" t="b">
        <v>0</v>
      </c>
      <c r="F2707" t="s">
        <v>11624</v>
      </c>
      <c r="G2707">
        <v>2.3982299999999999</v>
      </c>
      <c r="H2707">
        <v>17.629799999999999</v>
      </c>
      <c r="I2707" t="s">
        <v>19502</v>
      </c>
      <c r="L2707">
        <v>0</v>
      </c>
      <c r="M2707">
        <v>0</v>
      </c>
      <c r="N2707">
        <v>0</v>
      </c>
      <c r="O2707" t="s">
        <v>12868</v>
      </c>
    </row>
    <row r="2708" spans="1:15">
      <c r="A2708" t="s">
        <v>19503</v>
      </c>
      <c r="B2708" t="s">
        <v>6742</v>
      </c>
      <c r="C2708" t="s">
        <v>19504</v>
      </c>
      <c r="D2708" t="s">
        <v>19505</v>
      </c>
      <c r="E2708" t="b">
        <v>0</v>
      </c>
      <c r="F2708" t="s">
        <v>11624</v>
      </c>
      <c r="G2708">
        <v>4.6605400000000001</v>
      </c>
      <c r="H2708">
        <v>9.7630599999999994</v>
      </c>
      <c r="I2708" t="s">
        <v>19506</v>
      </c>
      <c r="L2708">
        <v>0</v>
      </c>
      <c r="M2708">
        <v>0</v>
      </c>
      <c r="N2708">
        <v>0</v>
      </c>
      <c r="O2708" t="s">
        <v>11703</v>
      </c>
    </row>
    <row r="2709" spans="1:15">
      <c r="A2709" t="s">
        <v>19507</v>
      </c>
      <c r="B2709" t="s">
        <v>11615</v>
      </c>
      <c r="C2709" t="s">
        <v>19508</v>
      </c>
      <c r="D2709" t="s">
        <v>19509</v>
      </c>
      <c r="E2709" t="b">
        <v>0</v>
      </c>
      <c r="F2709" t="s">
        <v>11624</v>
      </c>
      <c r="G2709">
        <v>-5.8400699999999999</v>
      </c>
      <c r="H2709">
        <v>146.738</v>
      </c>
      <c r="I2709" t="s">
        <v>19510</v>
      </c>
      <c r="L2709">
        <v>0</v>
      </c>
      <c r="M2709">
        <v>0</v>
      </c>
      <c r="N2709">
        <v>0</v>
      </c>
      <c r="O2709" t="s">
        <v>11660</v>
      </c>
    </row>
    <row r="2710" spans="1:15">
      <c r="A2710" t="s">
        <v>19511</v>
      </c>
      <c r="B2710" t="s">
        <v>6742</v>
      </c>
      <c r="C2710" t="s">
        <v>16118</v>
      </c>
      <c r="D2710" t="s">
        <v>19512</v>
      </c>
      <c r="E2710" t="b">
        <v>0</v>
      </c>
      <c r="F2710" t="s">
        <v>11610</v>
      </c>
      <c r="L2710">
        <v>0</v>
      </c>
      <c r="M2710">
        <v>0</v>
      </c>
      <c r="N2710">
        <v>0</v>
      </c>
    </row>
    <row r="2711" spans="1:15">
      <c r="A2711" t="s">
        <v>19513</v>
      </c>
      <c r="B2711" t="s">
        <v>6742</v>
      </c>
      <c r="C2711" t="s">
        <v>12211</v>
      </c>
      <c r="D2711" t="s">
        <v>19514</v>
      </c>
      <c r="E2711" t="b">
        <v>0</v>
      </c>
      <c r="F2711" t="s">
        <v>11610</v>
      </c>
      <c r="L2711">
        <v>0</v>
      </c>
      <c r="M2711">
        <v>0</v>
      </c>
      <c r="N2711">
        <v>0</v>
      </c>
    </row>
    <row r="2712" spans="1:15">
      <c r="A2712" t="s">
        <v>19515</v>
      </c>
      <c r="B2712" t="s">
        <v>367</v>
      </c>
      <c r="C2712" t="s">
        <v>16225</v>
      </c>
      <c r="D2712" t="s">
        <v>19516</v>
      </c>
      <c r="E2712" t="b">
        <v>0</v>
      </c>
      <c r="F2712" t="s">
        <v>11622</v>
      </c>
      <c r="L2712">
        <v>3</v>
      </c>
      <c r="M2712">
        <v>5</v>
      </c>
      <c r="N2712">
        <v>10</v>
      </c>
    </row>
    <row r="2713" spans="1:15">
      <c r="A2713" t="s">
        <v>19517</v>
      </c>
      <c r="B2713" t="s">
        <v>367</v>
      </c>
      <c r="C2713" t="s">
        <v>19515</v>
      </c>
      <c r="D2713" t="s">
        <v>19518</v>
      </c>
      <c r="E2713" t="b">
        <v>0</v>
      </c>
      <c r="F2713" t="s">
        <v>11622</v>
      </c>
      <c r="G2713">
        <v>17.093859999999999</v>
      </c>
      <c r="H2713">
        <v>121.02661999999999</v>
      </c>
      <c r="I2713" t="s">
        <v>19519</v>
      </c>
      <c r="L2713">
        <v>0</v>
      </c>
      <c r="M2713">
        <v>2</v>
      </c>
      <c r="N2713">
        <v>6</v>
      </c>
      <c r="O2713" t="s">
        <v>11749</v>
      </c>
    </row>
    <row r="2714" spans="1:15">
      <c r="A2714" t="s">
        <v>19520</v>
      </c>
      <c r="B2714" t="s">
        <v>11644</v>
      </c>
      <c r="C2714" t="s">
        <v>19521</v>
      </c>
      <c r="D2714" t="s">
        <v>19522</v>
      </c>
      <c r="E2714" t="b">
        <v>0</v>
      </c>
      <c r="F2714" t="s">
        <v>11610</v>
      </c>
      <c r="L2714">
        <v>0</v>
      </c>
      <c r="M2714">
        <v>0</v>
      </c>
      <c r="N2714">
        <v>0</v>
      </c>
    </row>
    <row r="2715" spans="1:15">
      <c r="A2715" t="s">
        <v>19523</v>
      </c>
      <c r="B2715" t="s">
        <v>6742</v>
      </c>
      <c r="C2715" t="s">
        <v>19244</v>
      </c>
      <c r="D2715" t="s">
        <v>19524</v>
      </c>
      <c r="E2715" t="b">
        <v>0</v>
      </c>
      <c r="F2715" t="s">
        <v>11610</v>
      </c>
      <c r="L2715">
        <v>0</v>
      </c>
      <c r="M2715">
        <v>0</v>
      </c>
      <c r="N2715">
        <v>0</v>
      </c>
    </row>
    <row r="2716" spans="1:15">
      <c r="A2716" t="s">
        <v>19525</v>
      </c>
      <c r="B2716" t="s">
        <v>11757</v>
      </c>
      <c r="C2716" t="s">
        <v>19469</v>
      </c>
      <c r="D2716" t="s">
        <v>19526</v>
      </c>
      <c r="E2716" t="b">
        <v>0</v>
      </c>
      <c r="F2716" t="s">
        <v>11610</v>
      </c>
      <c r="L2716">
        <v>0</v>
      </c>
      <c r="M2716">
        <v>0</v>
      </c>
      <c r="N2716">
        <v>0</v>
      </c>
    </row>
    <row r="2717" spans="1:15">
      <c r="A2717" t="s">
        <v>17494</v>
      </c>
      <c r="B2717" t="s">
        <v>367</v>
      </c>
      <c r="C2717" t="s">
        <v>19527</v>
      </c>
      <c r="D2717" t="s">
        <v>19528</v>
      </c>
      <c r="E2717" t="b">
        <v>0</v>
      </c>
      <c r="F2717" t="s">
        <v>11624</v>
      </c>
      <c r="G2717">
        <v>5.3251900000000001</v>
      </c>
      <c r="H2717">
        <v>116.474</v>
      </c>
      <c r="I2717" t="s">
        <v>19529</v>
      </c>
      <c r="L2717">
        <v>0</v>
      </c>
      <c r="M2717">
        <v>0</v>
      </c>
      <c r="N2717">
        <v>3</v>
      </c>
      <c r="O2717" t="s">
        <v>11672</v>
      </c>
    </row>
    <row r="2718" spans="1:15">
      <c r="A2718" t="s">
        <v>11627</v>
      </c>
      <c r="D2718" t="s">
        <v>19530</v>
      </c>
      <c r="E2718" t="b">
        <v>0</v>
      </c>
      <c r="F2718" t="s">
        <v>11622</v>
      </c>
      <c r="L2718">
        <v>0</v>
      </c>
      <c r="M2718">
        <v>399</v>
      </c>
      <c r="N2718">
        <v>0</v>
      </c>
    </row>
    <row r="2719" spans="1:15">
      <c r="A2719" t="s">
        <v>19531</v>
      </c>
      <c r="B2719" t="s">
        <v>6742</v>
      </c>
      <c r="C2719" t="s">
        <v>19532</v>
      </c>
      <c r="D2719" t="s">
        <v>19533</v>
      </c>
      <c r="E2719" t="b">
        <v>0</v>
      </c>
      <c r="F2719" t="s">
        <v>11610</v>
      </c>
      <c r="L2719">
        <v>0</v>
      </c>
      <c r="M2719">
        <v>0</v>
      </c>
      <c r="N2719">
        <v>0</v>
      </c>
    </row>
    <row r="2720" spans="1:15">
      <c r="A2720" t="s">
        <v>19534</v>
      </c>
      <c r="B2720" t="s">
        <v>11607</v>
      </c>
      <c r="C2720" t="s">
        <v>19535</v>
      </c>
      <c r="D2720" t="s">
        <v>19536</v>
      </c>
      <c r="E2720" t="b">
        <v>0</v>
      </c>
      <c r="F2720" t="s">
        <v>11624</v>
      </c>
      <c r="G2720">
        <v>0.41987999999999998</v>
      </c>
      <c r="H2720">
        <v>43.120800000000003</v>
      </c>
      <c r="I2720" t="s">
        <v>19537</v>
      </c>
      <c r="L2720">
        <v>0</v>
      </c>
      <c r="M2720">
        <v>0</v>
      </c>
      <c r="N2720">
        <v>0</v>
      </c>
      <c r="O2720" t="s">
        <v>19538</v>
      </c>
    </row>
    <row r="2721" spans="1:15">
      <c r="A2721" t="s">
        <v>19539</v>
      </c>
      <c r="B2721" t="s">
        <v>6742</v>
      </c>
      <c r="C2721" t="s">
        <v>19540</v>
      </c>
      <c r="D2721" t="s">
        <v>19541</v>
      </c>
      <c r="E2721" t="b">
        <v>0</v>
      </c>
      <c r="F2721" t="s">
        <v>11610</v>
      </c>
      <c r="L2721">
        <v>0</v>
      </c>
      <c r="M2721">
        <v>0</v>
      </c>
      <c r="N2721">
        <v>0</v>
      </c>
    </row>
    <row r="2722" spans="1:15">
      <c r="A2722" t="s">
        <v>19542</v>
      </c>
      <c r="B2722" t="s">
        <v>13276</v>
      </c>
      <c r="C2722" t="s">
        <v>13277</v>
      </c>
      <c r="D2722" t="s">
        <v>19543</v>
      </c>
      <c r="E2722" t="b">
        <v>0</v>
      </c>
      <c r="F2722" t="s">
        <v>11610</v>
      </c>
      <c r="L2722">
        <v>0</v>
      </c>
      <c r="M2722">
        <v>0</v>
      </c>
      <c r="N2722">
        <v>0</v>
      </c>
    </row>
    <row r="2723" spans="1:15">
      <c r="A2723" t="s">
        <v>19544</v>
      </c>
      <c r="B2723" t="s">
        <v>13276</v>
      </c>
      <c r="C2723" t="s">
        <v>19545</v>
      </c>
      <c r="D2723" t="s">
        <v>19546</v>
      </c>
      <c r="E2723" t="b">
        <v>0</v>
      </c>
      <c r="F2723" t="s">
        <v>11610</v>
      </c>
      <c r="L2723">
        <v>0</v>
      </c>
      <c r="M2723">
        <v>0</v>
      </c>
      <c r="N2723">
        <v>0</v>
      </c>
    </row>
    <row r="2724" spans="1:15">
      <c r="A2724" t="s">
        <v>19547</v>
      </c>
      <c r="B2724" t="s">
        <v>367</v>
      </c>
      <c r="C2724" t="s">
        <v>14563</v>
      </c>
      <c r="D2724" t="s">
        <v>19548</v>
      </c>
      <c r="E2724" t="b">
        <v>0</v>
      </c>
      <c r="F2724" t="s">
        <v>11610</v>
      </c>
      <c r="L2724">
        <v>0</v>
      </c>
      <c r="M2724">
        <v>0</v>
      </c>
      <c r="N2724">
        <v>0</v>
      </c>
    </row>
    <row r="2725" spans="1:15">
      <c r="A2725" t="s">
        <v>19549</v>
      </c>
      <c r="B2725" t="s">
        <v>6742</v>
      </c>
      <c r="C2725" t="s">
        <v>11804</v>
      </c>
      <c r="D2725" t="s">
        <v>19550</v>
      </c>
      <c r="E2725" t="b">
        <v>0</v>
      </c>
      <c r="F2725" t="s">
        <v>11610</v>
      </c>
      <c r="L2725">
        <v>0</v>
      </c>
      <c r="M2725">
        <v>0</v>
      </c>
      <c r="N2725">
        <v>0</v>
      </c>
    </row>
    <row r="2726" spans="1:15">
      <c r="A2726" t="s">
        <v>19551</v>
      </c>
      <c r="B2726" t="s">
        <v>11607</v>
      </c>
      <c r="C2726" t="s">
        <v>19552</v>
      </c>
      <c r="D2726" t="s">
        <v>19553</v>
      </c>
      <c r="E2726" t="b">
        <v>0</v>
      </c>
      <c r="F2726" t="s">
        <v>11624</v>
      </c>
      <c r="G2726">
        <v>10.090400000000001</v>
      </c>
      <c r="H2726">
        <v>17.564800000000002</v>
      </c>
      <c r="I2726" t="s">
        <v>19554</v>
      </c>
      <c r="L2726">
        <v>0</v>
      </c>
      <c r="M2726">
        <v>0</v>
      </c>
      <c r="N2726">
        <v>0</v>
      </c>
      <c r="O2726" t="s">
        <v>13421</v>
      </c>
    </row>
    <row r="2727" spans="1:15">
      <c r="A2727" t="s">
        <v>19555</v>
      </c>
      <c r="B2727" t="s">
        <v>6742</v>
      </c>
      <c r="C2727" t="s">
        <v>19556</v>
      </c>
      <c r="D2727" t="s">
        <v>19557</v>
      </c>
      <c r="E2727" t="b">
        <v>0</v>
      </c>
      <c r="F2727" t="s">
        <v>11610</v>
      </c>
      <c r="L2727">
        <v>0</v>
      </c>
      <c r="M2727">
        <v>0</v>
      </c>
      <c r="N2727">
        <v>0</v>
      </c>
    </row>
    <row r="2728" spans="1:15">
      <c r="A2728" t="s">
        <v>19558</v>
      </c>
      <c r="B2728" t="s">
        <v>13291</v>
      </c>
      <c r="C2728" t="s">
        <v>19559</v>
      </c>
      <c r="D2728" t="s">
        <v>19560</v>
      </c>
      <c r="E2728" t="b">
        <v>0</v>
      </c>
      <c r="F2728" t="s">
        <v>11624</v>
      </c>
      <c r="G2728">
        <v>-4.3211399999999998</v>
      </c>
      <c r="H2728">
        <v>141.44999999999999</v>
      </c>
      <c r="I2728" t="s">
        <v>19561</v>
      </c>
      <c r="L2728">
        <v>0</v>
      </c>
      <c r="M2728">
        <v>0</v>
      </c>
      <c r="N2728">
        <v>3</v>
      </c>
      <c r="O2728" t="s">
        <v>11660</v>
      </c>
    </row>
    <row r="2729" spans="1:15">
      <c r="A2729" t="s">
        <v>19562</v>
      </c>
      <c r="B2729" t="s">
        <v>11607</v>
      </c>
      <c r="C2729" t="s">
        <v>19563</v>
      </c>
      <c r="D2729" t="s">
        <v>19564</v>
      </c>
      <c r="E2729" t="b">
        <v>0</v>
      </c>
      <c r="F2729" t="s">
        <v>11610</v>
      </c>
      <c r="L2729">
        <v>0</v>
      </c>
      <c r="M2729">
        <v>0</v>
      </c>
      <c r="N2729">
        <v>0</v>
      </c>
    </row>
    <row r="2730" spans="1:15">
      <c r="A2730" t="s">
        <v>19565</v>
      </c>
      <c r="B2730" t="s">
        <v>11637</v>
      </c>
      <c r="C2730" t="s">
        <v>19566</v>
      </c>
      <c r="D2730" t="s">
        <v>19567</v>
      </c>
      <c r="E2730" t="b">
        <v>0</v>
      </c>
      <c r="F2730" t="s">
        <v>11610</v>
      </c>
      <c r="L2730">
        <v>0</v>
      </c>
      <c r="M2730">
        <v>0</v>
      </c>
      <c r="N2730">
        <v>0</v>
      </c>
    </row>
    <row r="2731" spans="1:15">
      <c r="A2731" t="s">
        <v>19568</v>
      </c>
      <c r="D2731" t="s">
        <v>19569</v>
      </c>
      <c r="E2731" t="b">
        <v>0</v>
      </c>
      <c r="F2731" t="s">
        <v>11622</v>
      </c>
      <c r="L2731">
        <v>0</v>
      </c>
      <c r="M2731">
        <v>2</v>
      </c>
      <c r="N2731">
        <v>2</v>
      </c>
    </row>
    <row r="2732" spans="1:15">
      <c r="A2732" t="s">
        <v>19570</v>
      </c>
      <c r="B2732" t="s">
        <v>19568</v>
      </c>
      <c r="C2732" t="s">
        <v>19568</v>
      </c>
      <c r="D2732" t="s">
        <v>19571</v>
      </c>
      <c r="E2732" t="b">
        <v>0</v>
      </c>
      <c r="F2732" t="s">
        <v>11624</v>
      </c>
      <c r="G2732">
        <v>-2.9146700000000001</v>
      </c>
      <c r="H2732">
        <v>-68.909300000000002</v>
      </c>
      <c r="I2732" t="s">
        <v>19572</v>
      </c>
      <c r="L2732">
        <v>0</v>
      </c>
      <c r="M2732">
        <v>0</v>
      </c>
      <c r="N2732">
        <v>2</v>
      </c>
      <c r="O2732" t="s">
        <v>19573</v>
      </c>
    </row>
    <row r="2733" spans="1:15">
      <c r="A2733" t="s">
        <v>14623</v>
      </c>
      <c r="B2733" t="s">
        <v>11607</v>
      </c>
      <c r="C2733" t="s">
        <v>19574</v>
      </c>
      <c r="D2733" t="s">
        <v>19575</v>
      </c>
      <c r="E2733" t="b">
        <v>0</v>
      </c>
      <c r="F2733" t="s">
        <v>11624</v>
      </c>
      <c r="G2733">
        <v>1.0567599999999999</v>
      </c>
      <c r="H2733">
        <v>37.881999999999998</v>
      </c>
      <c r="I2733" t="s">
        <v>19576</v>
      </c>
      <c r="L2733">
        <v>0</v>
      </c>
      <c r="M2733">
        <v>0</v>
      </c>
      <c r="N2733">
        <v>8</v>
      </c>
      <c r="O2733" t="s">
        <v>19577</v>
      </c>
    </row>
    <row r="2734" spans="1:15">
      <c r="A2734" t="s">
        <v>19578</v>
      </c>
      <c r="B2734" t="s">
        <v>11607</v>
      </c>
      <c r="C2734" t="s">
        <v>14623</v>
      </c>
      <c r="D2734" t="s">
        <v>19579</v>
      </c>
      <c r="E2734" t="b">
        <v>0</v>
      </c>
      <c r="F2734" t="s">
        <v>11610</v>
      </c>
      <c r="L2734">
        <v>0</v>
      </c>
      <c r="M2734">
        <v>0</v>
      </c>
      <c r="N2734">
        <v>1</v>
      </c>
    </row>
    <row r="2735" spans="1:15">
      <c r="A2735" t="s">
        <v>19580</v>
      </c>
      <c r="B2735" t="s">
        <v>331</v>
      </c>
      <c r="C2735" t="s">
        <v>12569</v>
      </c>
      <c r="D2735" t="s">
        <v>19581</v>
      </c>
      <c r="E2735" t="b">
        <v>0</v>
      </c>
      <c r="F2735" t="s">
        <v>11610</v>
      </c>
      <c r="L2735">
        <v>0</v>
      </c>
      <c r="M2735">
        <v>0</v>
      </c>
      <c r="N2735">
        <v>0</v>
      </c>
    </row>
    <row r="2736" spans="1:15">
      <c r="A2736" t="s">
        <v>19582</v>
      </c>
      <c r="B2736" t="s">
        <v>12311</v>
      </c>
      <c r="C2736" t="s">
        <v>19583</v>
      </c>
      <c r="D2736" t="s">
        <v>19584</v>
      </c>
      <c r="E2736" t="b">
        <v>0</v>
      </c>
      <c r="F2736" t="s">
        <v>11610</v>
      </c>
      <c r="L2736">
        <v>0</v>
      </c>
      <c r="M2736">
        <v>0</v>
      </c>
      <c r="N2736">
        <v>0</v>
      </c>
    </row>
    <row r="2737" spans="1:15">
      <c r="A2737" t="s">
        <v>19585</v>
      </c>
      <c r="B2737" t="s">
        <v>11615</v>
      </c>
      <c r="C2737" t="s">
        <v>19586</v>
      </c>
      <c r="D2737" t="s">
        <v>19587</v>
      </c>
      <c r="E2737" t="b">
        <v>0</v>
      </c>
      <c r="F2737" t="s">
        <v>11610</v>
      </c>
      <c r="L2737">
        <v>0</v>
      </c>
      <c r="M2737">
        <v>0</v>
      </c>
      <c r="N2737">
        <v>0</v>
      </c>
    </row>
    <row r="2738" spans="1:15">
      <c r="A2738" t="s">
        <v>12532</v>
      </c>
      <c r="D2738" t="s">
        <v>19588</v>
      </c>
      <c r="E2738" t="b">
        <v>0</v>
      </c>
      <c r="F2738" t="s">
        <v>11622</v>
      </c>
      <c r="L2738">
        <v>6</v>
      </c>
      <c r="M2738">
        <v>15</v>
      </c>
      <c r="N2738">
        <v>6</v>
      </c>
    </row>
    <row r="2739" spans="1:15">
      <c r="A2739" t="s">
        <v>2487</v>
      </c>
      <c r="B2739" t="s">
        <v>6455</v>
      </c>
      <c r="C2739" t="s">
        <v>156</v>
      </c>
      <c r="D2739" t="s">
        <v>19589</v>
      </c>
      <c r="E2739" t="b">
        <v>0</v>
      </c>
      <c r="F2739" t="s">
        <v>11624</v>
      </c>
      <c r="G2739">
        <v>7.9299299999999997</v>
      </c>
      <c r="H2739">
        <v>-77.166399999999996</v>
      </c>
      <c r="I2739" t="s">
        <v>2488</v>
      </c>
      <c r="L2739">
        <v>0</v>
      </c>
      <c r="M2739">
        <v>0</v>
      </c>
      <c r="N2739">
        <v>0</v>
      </c>
      <c r="O2739" t="s">
        <v>19590</v>
      </c>
    </row>
    <row r="2740" spans="1:15">
      <c r="A2740" t="s">
        <v>19591</v>
      </c>
      <c r="B2740" t="s">
        <v>14798</v>
      </c>
      <c r="C2740" t="s">
        <v>14799</v>
      </c>
      <c r="D2740" t="s">
        <v>19592</v>
      </c>
      <c r="E2740" t="b">
        <v>0</v>
      </c>
      <c r="F2740" t="s">
        <v>11610</v>
      </c>
      <c r="L2740">
        <v>0</v>
      </c>
      <c r="M2740">
        <v>0</v>
      </c>
      <c r="N2740">
        <v>0</v>
      </c>
    </row>
    <row r="2741" spans="1:15">
      <c r="A2741" t="s">
        <v>19593</v>
      </c>
      <c r="B2741" t="s">
        <v>11871</v>
      </c>
      <c r="C2741" t="s">
        <v>19594</v>
      </c>
      <c r="D2741" t="s">
        <v>19595</v>
      </c>
      <c r="E2741" t="b">
        <v>0</v>
      </c>
      <c r="F2741" t="s">
        <v>11624</v>
      </c>
      <c r="G2741">
        <v>-4.08697</v>
      </c>
      <c r="H2741">
        <v>144.715</v>
      </c>
      <c r="I2741" t="s">
        <v>19596</v>
      </c>
      <c r="L2741">
        <v>0</v>
      </c>
      <c r="M2741">
        <v>0</v>
      </c>
      <c r="N2741">
        <v>3</v>
      </c>
      <c r="O2741" t="s">
        <v>11660</v>
      </c>
    </row>
    <row r="2742" spans="1:15">
      <c r="A2742" t="s">
        <v>19597</v>
      </c>
      <c r="B2742" t="s">
        <v>11871</v>
      </c>
      <c r="C2742" t="s">
        <v>19593</v>
      </c>
      <c r="D2742" t="s">
        <v>19598</v>
      </c>
      <c r="E2742" t="b">
        <v>0</v>
      </c>
      <c r="F2742" t="s">
        <v>11610</v>
      </c>
      <c r="L2742">
        <v>0</v>
      </c>
      <c r="M2742">
        <v>0</v>
      </c>
      <c r="N2742">
        <v>0</v>
      </c>
    </row>
    <row r="2743" spans="1:15">
      <c r="A2743" t="s">
        <v>14948</v>
      </c>
      <c r="B2743" t="s">
        <v>6742</v>
      </c>
      <c r="C2743" t="s">
        <v>346</v>
      </c>
      <c r="D2743" t="s">
        <v>19599</v>
      </c>
      <c r="E2743" t="b">
        <v>0</v>
      </c>
      <c r="F2743" t="s">
        <v>11624</v>
      </c>
      <c r="G2743">
        <v>9.8010000000000002</v>
      </c>
      <c r="H2743">
        <v>3.988</v>
      </c>
      <c r="I2743" t="s">
        <v>19600</v>
      </c>
      <c r="L2743">
        <v>0</v>
      </c>
      <c r="M2743">
        <v>0</v>
      </c>
      <c r="N2743">
        <v>5</v>
      </c>
      <c r="O2743" t="s">
        <v>15587</v>
      </c>
    </row>
    <row r="2744" spans="1:15">
      <c r="A2744" t="s">
        <v>19601</v>
      </c>
      <c r="B2744" t="s">
        <v>13450</v>
      </c>
      <c r="C2744" t="s">
        <v>19602</v>
      </c>
      <c r="D2744" t="s">
        <v>19603</v>
      </c>
      <c r="E2744" t="b">
        <v>0</v>
      </c>
      <c r="F2744" t="s">
        <v>11624</v>
      </c>
      <c r="L2744">
        <v>0</v>
      </c>
      <c r="M2744">
        <v>0</v>
      </c>
      <c r="N2744">
        <v>0</v>
      </c>
      <c r="O2744" t="s">
        <v>14434</v>
      </c>
    </row>
    <row r="2745" spans="1:15">
      <c r="A2745" t="s">
        <v>19604</v>
      </c>
      <c r="B2745" t="s">
        <v>11644</v>
      </c>
      <c r="C2745" t="s">
        <v>19605</v>
      </c>
      <c r="D2745" t="s">
        <v>19606</v>
      </c>
      <c r="E2745" t="b">
        <v>0</v>
      </c>
      <c r="F2745" t="s">
        <v>11624</v>
      </c>
      <c r="G2745">
        <v>27.628119999999999</v>
      </c>
      <c r="H2745">
        <v>94.353800000000007</v>
      </c>
      <c r="I2745" t="s">
        <v>19607</v>
      </c>
      <c r="L2745">
        <v>0</v>
      </c>
      <c r="M2745">
        <v>0</v>
      </c>
      <c r="N2745">
        <v>4</v>
      </c>
      <c r="O2745" t="s">
        <v>19608</v>
      </c>
    </row>
    <row r="2746" spans="1:15">
      <c r="A2746" t="s">
        <v>19609</v>
      </c>
      <c r="B2746" t="s">
        <v>11644</v>
      </c>
      <c r="C2746" t="s">
        <v>19610</v>
      </c>
      <c r="D2746" t="s">
        <v>19611</v>
      </c>
      <c r="E2746" t="b">
        <v>0</v>
      </c>
      <c r="F2746" t="s">
        <v>11610</v>
      </c>
      <c r="L2746">
        <v>0</v>
      </c>
      <c r="M2746">
        <v>0</v>
      </c>
      <c r="N2746">
        <v>0</v>
      </c>
    </row>
    <row r="2747" spans="1:15">
      <c r="A2747" t="s">
        <v>19612</v>
      </c>
      <c r="B2747" t="s">
        <v>11637</v>
      </c>
      <c r="C2747" t="s">
        <v>18972</v>
      </c>
      <c r="D2747" t="s">
        <v>19613</v>
      </c>
      <c r="E2747" t="b">
        <v>0</v>
      </c>
      <c r="F2747" t="s">
        <v>11610</v>
      </c>
      <c r="L2747">
        <v>0</v>
      </c>
      <c r="M2747">
        <v>0</v>
      </c>
      <c r="N2747">
        <v>0</v>
      </c>
    </row>
    <row r="2748" spans="1:15">
      <c r="A2748" t="s">
        <v>19614</v>
      </c>
      <c r="B2748" t="s">
        <v>11627</v>
      </c>
      <c r="C2748" t="s">
        <v>11627</v>
      </c>
      <c r="D2748" t="s">
        <v>19615</v>
      </c>
      <c r="E2748" t="b">
        <v>1</v>
      </c>
      <c r="F2748" t="s">
        <v>11624</v>
      </c>
      <c r="G2748">
        <v>1.79156</v>
      </c>
      <c r="H2748">
        <v>26.081399999999999</v>
      </c>
      <c r="I2748" t="s">
        <v>19616</v>
      </c>
      <c r="L2748">
        <v>0</v>
      </c>
      <c r="M2748">
        <v>0</v>
      </c>
      <c r="N2748">
        <v>0</v>
      </c>
      <c r="O2748" t="s">
        <v>14825</v>
      </c>
    </row>
    <row r="2749" spans="1:15">
      <c r="A2749" t="s">
        <v>19617</v>
      </c>
      <c r="B2749" t="s">
        <v>367</v>
      </c>
      <c r="C2749" t="s">
        <v>19618</v>
      </c>
      <c r="D2749" t="s">
        <v>19619</v>
      </c>
      <c r="E2749" t="b">
        <v>0</v>
      </c>
      <c r="F2749" t="s">
        <v>11622</v>
      </c>
      <c r="L2749">
        <v>0</v>
      </c>
      <c r="M2749">
        <v>3</v>
      </c>
      <c r="N2749">
        <v>18</v>
      </c>
    </row>
    <row r="2750" spans="1:15">
      <c r="A2750" t="s">
        <v>19620</v>
      </c>
      <c r="B2750" t="s">
        <v>367</v>
      </c>
      <c r="C2750" t="s">
        <v>18177</v>
      </c>
      <c r="D2750" t="s">
        <v>19621</v>
      </c>
      <c r="E2750" t="b">
        <v>0</v>
      </c>
      <c r="F2750" t="s">
        <v>11622</v>
      </c>
      <c r="L2750">
        <v>6</v>
      </c>
      <c r="M2750">
        <v>8</v>
      </c>
      <c r="N2750">
        <v>8</v>
      </c>
    </row>
    <row r="2751" spans="1:15">
      <c r="A2751" t="s">
        <v>1635</v>
      </c>
      <c r="B2751" t="s">
        <v>6742</v>
      </c>
      <c r="C2751" t="s">
        <v>17491</v>
      </c>
      <c r="D2751" t="s">
        <v>19622</v>
      </c>
      <c r="E2751" t="b">
        <v>0</v>
      </c>
      <c r="F2751" t="s">
        <v>11610</v>
      </c>
      <c r="L2751">
        <v>0</v>
      </c>
      <c r="M2751">
        <v>0</v>
      </c>
      <c r="N2751">
        <v>0</v>
      </c>
    </row>
    <row r="2752" spans="1:15">
      <c r="A2752" t="s">
        <v>19623</v>
      </c>
      <c r="B2752" t="s">
        <v>6742</v>
      </c>
      <c r="C2752" t="s">
        <v>19624</v>
      </c>
      <c r="D2752" t="s">
        <v>19625</v>
      </c>
      <c r="E2752" t="b">
        <v>0</v>
      </c>
      <c r="F2752" t="s">
        <v>11610</v>
      </c>
      <c r="L2752">
        <v>0</v>
      </c>
      <c r="M2752">
        <v>0</v>
      </c>
      <c r="N2752">
        <v>0</v>
      </c>
    </row>
    <row r="2753" spans="1:15">
      <c r="A2753" t="s">
        <v>19626</v>
      </c>
      <c r="B2753" t="s">
        <v>6742</v>
      </c>
      <c r="C2753" t="s">
        <v>19627</v>
      </c>
      <c r="D2753" t="s">
        <v>19628</v>
      </c>
      <c r="E2753" t="b">
        <v>0</v>
      </c>
      <c r="F2753" t="s">
        <v>11610</v>
      </c>
      <c r="L2753">
        <v>0</v>
      </c>
      <c r="M2753">
        <v>0</v>
      </c>
      <c r="N2753">
        <v>0</v>
      </c>
    </row>
    <row r="2754" spans="1:15">
      <c r="A2754" t="s">
        <v>13572</v>
      </c>
      <c r="B2754" t="s">
        <v>13571</v>
      </c>
      <c r="C2754" t="s">
        <v>13781</v>
      </c>
      <c r="D2754" t="s">
        <v>19629</v>
      </c>
      <c r="E2754" t="b">
        <v>0</v>
      </c>
      <c r="F2754" t="s">
        <v>11624</v>
      </c>
      <c r="G2754">
        <v>10.659599999999999</v>
      </c>
      <c r="H2754">
        <v>35.344999999999999</v>
      </c>
      <c r="I2754" t="s">
        <v>19630</v>
      </c>
      <c r="L2754">
        <v>0</v>
      </c>
      <c r="M2754">
        <v>0</v>
      </c>
      <c r="N2754">
        <v>4</v>
      </c>
      <c r="O2754" t="s">
        <v>11625</v>
      </c>
    </row>
    <row r="2755" spans="1:15">
      <c r="A2755" t="s">
        <v>19631</v>
      </c>
      <c r="B2755" t="s">
        <v>15162</v>
      </c>
      <c r="C2755" t="s">
        <v>15163</v>
      </c>
      <c r="D2755" t="s">
        <v>19632</v>
      </c>
      <c r="E2755" t="b">
        <v>0</v>
      </c>
      <c r="F2755" t="s">
        <v>11610</v>
      </c>
      <c r="L2755">
        <v>0</v>
      </c>
      <c r="M2755">
        <v>0</v>
      </c>
      <c r="N2755">
        <v>0</v>
      </c>
    </row>
    <row r="2756" spans="1:15">
      <c r="A2756" t="s">
        <v>19633</v>
      </c>
      <c r="B2756" t="s">
        <v>11615</v>
      </c>
      <c r="C2756" t="s">
        <v>19634</v>
      </c>
      <c r="D2756" t="s">
        <v>19635</v>
      </c>
      <c r="E2756" t="b">
        <v>0</v>
      </c>
      <c r="F2756" t="s">
        <v>11624</v>
      </c>
      <c r="G2756">
        <v>-6.5668800000000003</v>
      </c>
      <c r="H2756">
        <v>147.511</v>
      </c>
      <c r="I2756" t="s">
        <v>19636</v>
      </c>
      <c r="L2756">
        <v>0</v>
      </c>
      <c r="M2756">
        <v>0</v>
      </c>
      <c r="N2756">
        <v>2</v>
      </c>
      <c r="O2756" t="s">
        <v>11660</v>
      </c>
    </row>
    <row r="2757" spans="1:15">
      <c r="A2757" t="s">
        <v>19637</v>
      </c>
      <c r="B2757" t="s">
        <v>11871</v>
      </c>
      <c r="C2757" t="s">
        <v>19593</v>
      </c>
      <c r="D2757" t="s">
        <v>19638</v>
      </c>
      <c r="E2757" t="b">
        <v>0</v>
      </c>
      <c r="F2757" t="s">
        <v>11610</v>
      </c>
      <c r="L2757">
        <v>0</v>
      </c>
      <c r="M2757">
        <v>0</v>
      </c>
      <c r="N2757">
        <v>0</v>
      </c>
    </row>
    <row r="2758" spans="1:15">
      <c r="A2758" t="s">
        <v>19639</v>
      </c>
      <c r="D2758" t="s">
        <v>19640</v>
      </c>
      <c r="E2758" t="b">
        <v>0</v>
      </c>
      <c r="F2758" t="s">
        <v>11622</v>
      </c>
      <c r="L2758">
        <v>1</v>
      </c>
      <c r="M2758">
        <v>3</v>
      </c>
      <c r="N2758">
        <v>0</v>
      </c>
    </row>
    <row r="2759" spans="1:15">
      <c r="A2759" t="s">
        <v>5680</v>
      </c>
      <c r="B2759" t="s">
        <v>19639</v>
      </c>
      <c r="C2759" t="s">
        <v>19641</v>
      </c>
      <c r="D2759" t="s">
        <v>5679</v>
      </c>
      <c r="E2759" t="b">
        <v>0</v>
      </c>
      <c r="F2759" t="s">
        <v>11624</v>
      </c>
      <c r="G2759">
        <v>-16.602900000000002</v>
      </c>
      <c r="H2759">
        <v>-55.200400000000002</v>
      </c>
      <c r="I2759" t="s">
        <v>5681</v>
      </c>
      <c r="L2759">
        <v>0</v>
      </c>
      <c r="M2759">
        <v>0</v>
      </c>
      <c r="N2759">
        <v>0</v>
      </c>
      <c r="O2759" t="s">
        <v>11969</v>
      </c>
    </row>
    <row r="2760" spans="1:15">
      <c r="A2760" t="s">
        <v>19642</v>
      </c>
      <c r="B2760" t="s">
        <v>6742</v>
      </c>
      <c r="C2760" t="s">
        <v>17259</v>
      </c>
      <c r="D2760" t="s">
        <v>19643</v>
      </c>
      <c r="E2760" t="b">
        <v>0</v>
      </c>
      <c r="F2760" t="s">
        <v>11624</v>
      </c>
      <c r="G2760">
        <v>7.4967280000000001</v>
      </c>
      <c r="H2760">
        <v>0.36229099999999997</v>
      </c>
      <c r="I2760" t="s">
        <v>19644</v>
      </c>
      <c r="L2760">
        <v>0</v>
      </c>
      <c r="M2760">
        <v>0</v>
      </c>
      <c r="N2760">
        <v>0</v>
      </c>
      <c r="O2760" t="s">
        <v>12704</v>
      </c>
    </row>
    <row r="2761" spans="1:15">
      <c r="A2761" t="s">
        <v>19645</v>
      </c>
      <c r="B2761" t="s">
        <v>11644</v>
      </c>
      <c r="C2761" t="s">
        <v>19080</v>
      </c>
      <c r="D2761" t="s">
        <v>19646</v>
      </c>
      <c r="E2761" t="b">
        <v>0</v>
      </c>
      <c r="F2761" t="s">
        <v>11622</v>
      </c>
      <c r="L2761">
        <v>4</v>
      </c>
      <c r="M2761">
        <v>8</v>
      </c>
      <c r="N2761">
        <v>8</v>
      </c>
    </row>
    <row r="2762" spans="1:15">
      <c r="A2762" t="s">
        <v>19641</v>
      </c>
      <c r="B2762" t="s">
        <v>19639</v>
      </c>
      <c r="C2762" t="s">
        <v>19639</v>
      </c>
      <c r="D2762" t="s">
        <v>19647</v>
      </c>
      <c r="E2762" t="b">
        <v>0</v>
      </c>
      <c r="F2762" t="s">
        <v>11622</v>
      </c>
      <c r="L2762">
        <v>0</v>
      </c>
      <c r="M2762">
        <v>2</v>
      </c>
      <c r="N2762">
        <v>0</v>
      </c>
    </row>
    <row r="2763" spans="1:15">
      <c r="A2763" t="s">
        <v>19648</v>
      </c>
      <c r="B2763" t="s">
        <v>11757</v>
      </c>
      <c r="C2763" t="s">
        <v>14999</v>
      </c>
      <c r="D2763" t="s">
        <v>19649</v>
      </c>
      <c r="E2763" t="b">
        <v>0</v>
      </c>
      <c r="F2763" t="s">
        <v>11610</v>
      </c>
      <c r="L2763">
        <v>0</v>
      </c>
      <c r="M2763">
        <v>0</v>
      </c>
      <c r="N2763">
        <v>0</v>
      </c>
    </row>
    <row r="2764" spans="1:15">
      <c r="A2764" t="s">
        <v>19650</v>
      </c>
      <c r="B2764" t="s">
        <v>11637</v>
      </c>
      <c r="C2764" t="s">
        <v>13722</v>
      </c>
      <c r="D2764" t="s">
        <v>19651</v>
      </c>
      <c r="E2764" t="b">
        <v>0</v>
      </c>
      <c r="F2764" t="s">
        <v>11610</v>
      </c>
      <c r="L2764">
        <v>0</v>
      </c>
      <c r="M2764">
        <v>0</v>
      </c>
      <c r="N2764">
        <v>0</v>
      </c>
    </row>
    <row r="2765" spans="1:15">
      <c r="A2765" t="s">
        <v>19540</v>
      </c>
      <c r="B2765" t="s">
        <v>6742</v>
      </c>
      <c r="C2765" t="s">
        <v>19652</v>
      </c>
      <c r="D2765" t="s">
        <v>19653</v>
      </c>
      <c r="E2765" t="b">
        <v>0</v>
      </c>
      <c r="F2765" t="s">
        <v>11624</v>
      </c>
      <c r="G2765">
        <v>8.9352</v>
      </c>
      <c r="H2765">
        <v>8.9050600000000006</v>
      </c>
      <c r="I2765" t="s">
        <v>19654</v>
      </c>
      <c r="L2765">
        <v>0</v>
      </c>
      <c r="M2765">
        <v>0</v>
      </c>
      <c r="N2765">
        <v>2</v>
      </c>
      <c r="O2765" t="s">
        <v>11693</v>
      </c>
    </row>
    <row r="2766" spans="1:15">
      <c r="A2766" t="s">
        <v>19655</v>
      </c>
      <c r="B2766" t="s">
        <v>6455</v>
      </c>
      <c r="C2766" t="s">
        <v>19656</v>
      </c>
      <c r="D2766" t="s">
        <v>19657</v>
      </c>
      <c r="E2766" t="b">
        <v>0</v>
      </c>
      <c r="F2766" t="s">
        <v>11624</v>
      </c>
      <c r="G2766">
        <v>8.8809299999999993</v>
      </c>
      <c r="H2766">
        <v>-83.212400000000002</v>
      </c>
      <c r="I2766" t="s">
        <v>19658</v>
      </c>
      <c r="L2766">
        <v>0</v>
      </c>
      <c r="M2766">
        <v>0</v>
      </c>
      <c r="N2766">
        <v>0</v>
      </c>
      <c r="O2766" t="s">
        <v>19659</v>
      </c>
    </row>
    <row r="2767" spans="1:15">
      <c r="A2767" t="s">
        <v>19660</v>
      </c>
      <c r="B2767" t="s">
        <v>6742</v>
      </c>
      <c r="C2767" t="s">
        <v>19661</v>
      </c>
      <c r="D2767" t="s">
        <v>19662</v>
      </c>
      <c r="E2767" t="b">
        <v>0</v>
      </c>
      <c r="F2767" t="s">
        <v>11610</v>
      </c>
      <c r="L2767">
        <v>0</v>
      </c>
      <c r="M2767">
        <v>0</v>
      </c>
      <c r="N2767">
        <v>0</v>
      </c>
    </row>
    <row r="2768" spans="1:15">
      <c r="A2768" t="s">
        <v>7862</v>
      </c>
      <c r="D2768" t="s">
        <v>19663</v>
      </c>
      <c r="E2768" t="b">
        <v>0</v>
      </c>
      <c r="F2768" t="s">
        <v>11622</v>
      </c>
      <c r="L2768">
        <v>3</v>
      </c>
      <c r="M2768">
        <v>7</v>
      </c>
      <c r="N2768">
        <v>8</v>
      </c>
    </row>
    <row r="2769" spans="1:15">
      <c r="A2769" t="s">
        <v>12517</v>
      </c>
      <c r="B2769" t="s">
        <v>7862</v>
      </c>
      <c r="C2769" t="s">
        <v>7862</v>
      </c>
      <c r="D2769" t="s">
        <v>19664</v>
      </c>
      <c r="E2769" t="b">
        <v>0</v>
      </c>
      <c r="F2769" t="s">
        <v>11622</v>
      </c>
      <c r="L2769">
        <v>1</v>
      </c>
      <c r="M2769">
        <v>5</v>
      </c>
      <c r="N2769">
        <v>4</v>
      </c>
    </row>
    <row r="2770" spans="1:15">
      <c r="A2770" t="s">
        <v>19665</v>
      </c>
      <c r="B2770" t="s">
        <v>367</v>
      </c>
      <c r="C2770" t="s">
        <v>19666</v>
      </c>
      <c r="D2770" t="s">
        <v>19667</v>
      </c>
      <c r="E2770" t="b">
        <v>0</v>
      </c>
      <c r="F2770" t="s">
        <v>11624</v>
      </c>
      <c r="G2770">
        <v>-9.4476300000000002</v>
      </c>
      <c r="H2770">
        <v>150.69300000000001</v>
      </c>
      <c r="I2770" t="s">
        <v>19668</v>
      </c>
      <c r="L2770">
        <v>0</v>
      </c>
      <c r="M2770">
        <v>0</v>
      </c>
      <c r="N2770">
        <v>0</v>
      </c>
      <c r="O2770" t="s">
        <v>11660</v>
      </c>
    </row>
    <row r="2771" spans="1:15">
      <c r="A2771" t="s">
        <v>19666</v>
      </c>
      <c r="B2771" t="s">
        <v>367</v>
      </c>
      <c r="C2771" t="s">
        <v>19669</v>
      </c>
      <c r="D2771" t="s">
        <v>19670</v>
      </c>
      <c r="E2771" t="b">
        <v>0</v>
      </c>
      <c r="F2771" t="s">
        <v>11622</v>
      </c>
      <c r="L2771">
        <v>0</v>
      </c>
      <c r="M2771">
        <v>2</v>
      </c>
      <c r="N2771">
        <v>6</v>
      </c>
    </row>
    <row r="2772" spans="1:15">
      <c r="A2772" t="s">
        <v>19671</v>
      </c>
      <c r="B2772" t="s">
        <v>6742</v>
      </c>
      <c r="C2772" t="s">
        <v>19672</v>
      </c>
      <c r="D2772" t="s">
        <v>19673</v>
      </c>
      <c r="E2772" t="b">
        <v>0</v>
      </c>
      <c r="F2772" t="s">
        <v>11610</v>
      </c>
      <c r="L2772">
        <v>0</v>
      </c>
      <c r="M2772">
        <v>0</v>
      </c>
      <c r="N2772">
        <v>0</v>
      </c>
    </row>
    <row r="2773" spans="1:15">
      <c r="A2773" t="s">
        <v>19674</v>
      </c>
      <c r="B2773" t="s">
        <v>13571</v>
      </c>
      <c r="C2773" t="s">
        <v>19675</v>
      </c>
      <c r="D2773" t="s">
        <v>19676</v>
      </c>
      <c r="E2773" t="b">
        <v>0</v>
      </c>
      <c r="F2773" t="s">
        <v>11610</v>
      </c>
      <c r="L2773">
        <v>0</v>
      </c>
      <c r="M2773">
        <v>0</v>
      </c>
      <c r="N2773">
        <v>0</v>
      </c>
    </row>
    <row r="2774" spans="1:15">
      <c r="A2774" t="s">
        <v>19677</v>
      </c>
      <c r="B2774" t="s">
        <v>4342</v>
      </c>
      <c r="C2774" t="s">
        <v>19678</v>
      </c>
      <c r="D2774" t="s">
        <v>19679</v>
      </c>
      <c r="E2774" t="b">
        <v>0</v>
      </c>
      <c r="F2774" t="s">
        <v>11610</v>
      </c>
      <c r="L2774">
        <v>0</v>
      </c>
      <c r="M2774">
        <v>0</v>
      </c>
      <c r="N2774">
        <v>0</v>
      </c>
    </row>
    <row r="2775" spans="1:15">
      <c r="A2775" t="s">
        <v>19680</v>
      </c>
      <c r="B2775" t="s">
        <v>6742</v>
      </c>
      <c r="C2775" t="s">
        <v>19681</v>
      </c>
      <c r="D2775" t="s">
        <v>19682</v>
      </c>
      <c r="E2775" t="b">
        <v>0</v>
      </c>
      <c r="F2775" t="s">
        <v>11622</v>
      </c>
      <c r="L2775">
        <v>1</v>
      </c>
      <c r="M2775">
        <v>4</v>
      </c>
      <c r="N2775">
        <v>8</v>
      </c>
    </row>
    <row r="2776" spans="1:15">
      <c r="A2776" t="s">
        <v>9228</v>
      </c>
      <c r="B2776" t="s">
        <v>11637</v>
      </c>
      <c r="C2776" t="s">
        <v>19683</v>
      </c>
      <c r="D2776" t="s">
        <v>19684</v>
      </c>
      <c r="E2776" t="b">
        <v>0</v>
      </c>
      <c r="F2776" t="s">
        <v>11610</v>
      </c>
      <c r="G2776">
        <v>42.933100000000003</v>
      </c>
      <c r="H2776">
        <v>17.670400000000001</v>
      </c>
      <c r="I2776" t="s">
        <v>9229</v>
      </c>
      <c r="L2776">
        <v>0</v>
      </c>
      <c r="M2776">
        <v>0</v>
      </c>
      <c r="N2776">
        <v>0</v>
      </c>
      <c r="O2776" t="s">
        <v>19685</v>
      </c>
    </row>
    <row r="2777" spans="1:15">
      <c r="A2777" t="s">
        <v>19686</v>
      </c>
      <c r="B2777" t="s">
        <v>367</v>
      </c>
      <c r="C2777" t="s">
        <v>14563</v>
      </c>
      <c r="D2777" t="s">
        <v>19687</v>
      </c>
      <c r="E2777" t="b">
        <v>0</v>
      </c>
      <c r="F2777" t="s">
        <v>11610</v>
      </c>
      <c r="L2777">
        <v>0</v>
      </c>
      <c r="M2777">
        <v>0</v>
      </c>
      <c r="N2777">
        <v>0</v>
      </c>
    </row>
    <row r="2778" spans="1:15">
      <c r="A2778" t="s">
        <v>15339</v>
      </c>
      <c r="B2778" t="s">
        <v>11871</v>
      </c>
      <c r="C2778" t="s">
        <v>19594</v>
      </c>
      <c r="D2778" t="s">
        <v>19688</v>
      </c>
      <c r="E2778" t="b">
        <v>0</v>
      </c>
      <c r="F2778" t="s">
        <v>11622</v>
      </c>
      <c r="L2778">
        <v>0</v>
      </c>
      <c r="M2778">
        <v>2</v>
      </c>
      <c r="N2778">
        <v>2</v>
      </c>
    </row>
    <row r="2779" spans="1:15">
      <c r="A2779" t="s">
        <v>19689</v>
      </c>
      <c r="B2779" t="s">
        <v>11871</v>
      </c>
      <c r="C2779" t="s">
        <v>15339</v>
      </c>
      <c r="D2779" t="s">
        <v>19690</v>
      </c>
      <c r="E2779" t="b">
        <v>0</v>
      </c>
      <c r="F2779" t="s">
        <v>11624</v>
      </c>
      <c r="G2779">
        <v>-4.1620100000000004</v>
      </c>
      <c r="H2779">
        <v>144.64699999999999</v>
      </c>
      <c r="I2779" t="s">
        <v>19691</v>
      </c>
      <c r="L2779">
        <v>0</v>
      </c>
      <c r="M2779">
        <v>0</v>
      </c>
      <c r="N2779">
        <v>0</v>
      </c>
      <c r="O2779" t="s">
        <v>11660</v>
      </c>
    </row>
    <row r="2780" spans="1:15">
      <c r="A2780" t="s">
        <v>19692</v>
      </c>
      <c r="B2780" t="s">
        <v>6742</v>
      </c>
      <c r="C2780" t="s">
        <v>14061</v>
      </c>
      <c r="D2780" t="s">
        <v>19693</v>
      </c>
      <c r="E2780" t="b">
        <v>0</v>
      </c>
      <c r="F2780" t="s">
        <v>11610</v>
      </c>
      <c r="L2780">
        <v>0</v>
      </c>
      <c r="M2780">
        <v>0</v>
      </c>
      <c r="N2780">
        <v>0</v>
      </c>
    </row>
    <row r="2781" spans="1:15">
      <c r="A2781" t="s">
        <v>19694</v>
      </c>
      <c r="B2781" t="s">
        <v>6742</v>
      </c>
      <c r="C2781" t="s">
        <v>19695</v>
      </c>
      <c r="D2781" t="s">
        <v>19696</v>
      </c>
      <c r="E2781" t="b">
        <v>0</v>
      </c>
      <c r="F2781" t="s">
        <v>11610</v>
      </c>
      <c r="L2781">
        <v>0</v>
      </c>
      <c r="M2781">
        <v>0</v>
      </c>
      <c r="N2781">
        <v>0</v>
      </c>
    </row>
    <row r="2782" spans="1:15">
      <c r="A2782" t="s">
        <v>19697</v>
      </c>
      <c r="B2782" t="s">
        <v>6742</v>
      </c>
      <c r="C2782" t="s">
        <v>19698</v>
      </c>
      <c r="D2782" t="s">
        <v>19699</v>
      </c>
      <c r="E2782" t="b">
        <v>0</v>
      </c>
      <c r="F2782" t="s">
        <v>11610</v>
      </c>
      <c r="L2782">
        <v>0</v>
      </c>
      <c r="M2782">
        <v>0</v>
      </c>
      <c r="N2782">
        <v>0</v>
      </c>
    </row>
    <row r="2783" spans="1:15">
      <c r="A2783" t="s">
        <v>19700</v>
      </c>
      <c r="B2783" t="s">
        <v>11637</v>
      </c>
      <c r="C2783" t="s">
        <v>19701</v>
      </c>
      <c r="D2783" t="s">
        <v>19702</v>
      </c>
      <c r="E2783" t="b">
        <v>0</v>
      </c>
      <c r="F2783" t="s">
        <v>11610</v>
      </c>
      <c r="L2783">
        <v>0</v>
      </c>
      <c r="M2783">
        <v>0</v>
      </c>
      <c r="N2783">
        <v>0</v>
      </c>
    </row>
    <row r="2784" spans="1:15">
      <c r="A2784" t="s">
        <v>19703</v>
      </c>
      <c r="B2784" t="s">
        <v>6742</v>
      </c>
      <c r="C2784" t="s">
        <v>19704</v>
      </c>
      <c r="D2784" t="s">
        <v>19705</v>
      </c>
      <c r="E2784" t="b">
        <v>0</v>
      </c>
      <c r="F2784" t="s">
        <v>11610</v>
      </c>
      <c r="L2784">
        <v>0</v>
      </c>
      <c r="M2784">
        <v>0</v>
      </c>
      <c r="N2784">
        <v>0</v>
      </c>
    </row>
    <row r="2785" spans="1:15">
      <c r="A2785" t="s">
        <v>19706</v>
      </c>
      <c r="B2785" t="s">
        <v>6742</v>
      </c>
      <c r="C2785" t="s">
        <v>19707</v>
      </c>
      <c r="D2785" t="s">
        <v>19708</v>
      </c>
      <c r="E2785" t="b">
        <v>0</v>
      </c>
      <c r="F2785" t="s">
        <v>11622</v>
      </c>
      <c r="L2785">
        <v>6</v>
      </c>
      <c r="M2785">
        <v>10</v>
      </c>
      <c r="N2785">
        <v>12</v>
      </c>
    </row>
    <row r="2786" spans="1:15">
      <c r="A2786" t="s">
        <v>19709</v>
      </c>
      <c r="B2786" t="s">
        <v>11871</v>
      </c>
      <c r="C2786" t="s">
        <v>19593</v>
      </c>
      <c r="D2786" t="s">
        <v>19710</v>
      </c>
      <c r="E2786" t="b">
        <v>0</v>
      </c>
      <c r="F2786" t="s">
        <v>11610</v>
      </c>
      <c r="L2786">
        <v>0</v>
      </c>
      <c r="M2786">
        <v>0</v>
      </c>
      <c r="N2786">
        <v>0</v>
      </c>
    </row>
    <row r="2787" spans="1:15">
      <c r="A2787" t="s">
        <v>19711</v>
      </c>
      <c r="B2787" t="s">
        <v>11637</v>
      </c>
      <c r="C2787" t="s">
        <v>19712</v>
      </c>
      <c r="D2787" t="s">
        <v>19713</v>
      </c>
      <c r="E2787" t="b">
        <v>0</v>
      </c>
      <c r="F2787" t="s">
        <v>11624</v>
      </c>
      <c r="G2787">
        <v>27.7074</v>
      </c>
      <c r="H2787">
        <v>84.347999999999999</v>
      </c>
      <c r="I2787" t="s">
        <v>19714</v>
      </c>
      <c r="L2787">
        <v>0</v>
      </c>
      <c r="M2787">
        <v>0</v>
      </c>
      <c r="N2787">
        <v>0</v>
      </c>
      <c r="O2787" t="s">
        <v>15007</v>
      </c>
    </row>
    <row r="2788" spans="1:15">
      <c r="A2788" t="s">
        <v>19715</v>
      </c>
      <c r="B2788" t="s">
        <v>11644</v>
      </c>
      <c r="C2788" t="s">
        <v>19716</v>
      </c>
      <c r="D2788" t="s">
        <v>19717</v>
      </c>
      <c r="E2788" t="b">
        <v>0</v>
      </c>
      <c r="F2788" t="s">
        <v>11610</v>
      </c>
      <c r="L2788">
        <v>0</v>
      </c>
      <c r="M2788">
        <v>0</v>
      </c>
      <c r="N2788">
        <v>0</v>
      </c>
    </row>
    <row r="2789" spans="1:15">
      <c r="A2789" t="s">
        <v>19718</v>
      </c>
      <c r="B2789" t="s">
        <v>11637</v>
      </c>
      <c r="C2789" t="s">
        <v>12824</v>
      </c>
      <c r="D2789" t="s">
        <v>19719</v>
      </c>
      <c r="E2789" t="b">
        <v>0</v>
      </c>
      <c r="F2789" t="s">
        <v>11610</v>
      </c>
      <c r="L2789">
        <v>0</v>
      </c>
      <c r="M2789">
        <v>0</v>
      </c>
      <c r="N2789">
        <v>0</v>
      </c>
    </row>
    <row r="2790" spans="1:15">
      <c r="A2790" t="s">
        <v>19720</v>
      </c>
      <c r="B2790" t="s">
        <v>12311</v>
      </c>
      <c r="C2790" t="s">
        <v>19721</v>
      </c>
      <c r="D2790" t="s">
        <v>19722</v>
      </c>
      <c r="E2790" t="b">
        <v>0</v>
      </c>
      <c r="F2790" t="s">
        <v>11624</v>
      </c>
      <c r="G2790">
        <v>42.664999999999999</v>
      </c>
      <c r="H2790">
        <v>46.22</v>
      </c>
      <c r="I2790" t="s">
        <v>19723</v>
      </c>
      <c r="L2790">
        <v>0</v>
      </c>
      <c r="M2790">
        <v>0</v>
      </c>
      <c r="N2790">
        <v>2</v>
      </c>
      <c r="O2790" t="s">
        <v>12748</v>
      </c>
    </row>
    <row r="2791" spans="1:15">
      <c r="A2791" t="s">
        <v>19721</v>
      </c>
      <c r="B2791" t="s">
        <v>12311</v>
      </c>
      <c r="C2791" t="s">
        <v>12745</v>
      </c>
      <c r="D2791" t="s">
        <v>19724</v>
      </c>
      <c r="E2791" t="b">
        <v>0</v>
      </c>
      <c r="F2791" t="s">
        <v>11622</v>
      </c>
      <c r="L2791">
        <v>0</v>
      </c>
      <c r="M2791">
        <v>2</v>
      </c>
      <c r="N2791">
        <v>2</v>
      </c>
    </row>
    <row r="2792" spans="1:15">
      <c r="A2792" t="s">
        <v>15509</v>
      </c>
      <c r="B2792" t="s">
        <v>367</v>
      </c>
      <c r="C2792" t="s">
        <v>11739</v>
      </c>
      <c r="D2792" t="s">
        <v>19725</v>
      </c>
      <c r="E2792" t="b">
        <v>0</v>
      </c>
      <c r="F2792" t="s">
        <v>11624</v>
      </c>
      <c r="G2792">
        <v>15.2315</v>
      </c>
      <c r="H2792">
        <v>120.164</v>
      </c>
      <c r="I2792" t="s">
        <v>19726</v>
      </c>
      <c r="L2792">
        <v>0</v>
      </c>
      <c r="M2792">
        <v>0</v>
      </c>
      <c r="N2792">
        <v>2</v>
      </c>
      <c r="O2792" t="s">
        <v>11749</v>
      </c>
    </row>
    <row r="2793" spans="1:15">
      <c r="A2793" t="s">
        <v>19727</v>
      </c>
      <c r="B2793" t="s">
        <v>11607</v>
      </c>
      <c r="C2793" t="s">
        <v>19728</v>
      </c>
      <c r="D2793" t="s">
        <v>19729</v>
      </c>
      <c r="E2793" t="b">
        <v>0</v>
      </c>
      <c r="F2793" t="s">
        <v>11610</v>
      </c>
      <c r="L2793">
        <v>0</v>
      </c>
      <c r="M2793">
        <v>0</v>
      </c>
      <c r="N2793">
        <v>0</v>
      </c>
    </row>
    <row r="2794" spans="1:15">
      <c r="A2794" t="s">
        <v>19730</v>
      </c>
      <c r="B2794" t="s">
        <v>367</v>
      </c>
      <c r="C2794" t="s">
        <v>19731</v>
      </c>
      <c r="D2794" t="s">
        <v>19732</v>
      </c>
      <c r="E2794" t="b">
        <v>0</v>
      </c>
      <c r="F2794" t="s">
        <v>11622</v>
      </c>
      <c r="L2794">
        <v>0</v>
      </c>
      <c r="M2794">
        <v>2</v>
      </c>
      <c r="N2794">
        <v>0</v>
      </c>
    </row>
    <row r="2795" spans="1:15">
      <c r="A2795" t="s">
        <v>19733</v>
      </c>
      <c r="B2795" t="s">
        <v>367</v>
      </c>
      <c r="C2795" t="s">
        <v>19734</v>
      </c>
      <c r="D2795" t="s">
        <v>19735</v>
      </c>
      <c r="E2795" t="b">
        <v>0</v>
      </c>
      <c r="F2795" t="s">
        <v>11610</v>
      </c>
      <c r="L2795">
        <v>0</v>
      </c>
      <c r="M2795">
        <v>0</v>
      </c>
      <c r="N2795">
        <v>0</v>
      </c>
    </row>
    <row r="2796" spans="1:15">
      <c r="A2796" t="s">
        <v>19736</v>
      </c>
      <c r="B2796" t="s">
        <v>6742</v>
      </c>
      <c r="C2796" t="s">
        <v>19737</v>
      </c>
      <c r="D2796" t="s">
        <v>19738</v>
      </c>
      <c r="E2796" t="b">
        <v>0</v>
      </c>
      <c r="F2796" t="s">
        <v>11610</v>
      </c>
      <c r="L2796">
        <v>0</v>
      </c>
      <c r="M2796">
        <v>0</v>
      </c>
      <c r="N2796">
        <v>0</v>
      </c>
    </row>
    <row r="2797" spans="1:15">
      <c r="A2797" t="s">
        <v>19739</v>
      </c>
      <c r="B2797" t="s">
        <v>367</v>
      </c>
      <c r="C2797" t="s">
        <v>12111</v>
      </c>
      <c r="D2797" t="s">
        <v>19740</v>
      </c>
      <c r="E2797" t="b">
        <v>0</v>
      </c>
      <c r="F2797" t="s">
        <v>11610</v>
      </c>
      <c r="L2797">
        <v>0</v>
      </c>
      <c r="M2797">
        <v>0</v>
      </c>
      <c r="N2797">
        <v>0</v>
      </c>
    </row>
    <row r="2798" spans="1:15">
      <c r="A2798" t="s">
        <v>19741</v>
      </c>
      <c r="B2798" t="s">
        <v>6742</v>
      </c>
      <c r="C2798" t="s">
        <v>15627</v>
      </c>
      <c r="D2798" t="s">
        <v>19742</v>
      </c>
      <c r="E2798" t="b">
        <v>0</v>
      </c>
      <c r="F2798" t="s">
        <v>11610</v>
      </c>
      <c r="L2798">
        <v>0</v>
      </c>
      <c r="M2798">
        <v>0</v>
      </c>
      <c r="N2798">
        <v>0</v>
      </c>
    </row>
    <row r="2799" spans="1:15">
      <c r="A2799" t="s">
        <v>19743</v>
      </c>
      <c r="B2799" t="s">
        <v>6742</v>
      </c>
      <c r="C2799" t="s">
        <v>19744</v>
      </c>
      <c r="D2799" t="s">
        <v>19745</v>
      </c>
      <c r="E2799" t="b">
        <v>0</v>
      </c>
      <c r="F2799" t="s">
        <v>11610</v>
      </c>
      <c r="L2799">
        <v>0</v>
      </c>
      <c r="M2799">
        <v>0</v>
      </c>
      <c r="N2799">
        <v>0</v>
      </c>
    </row>
    <row r="2800" spans="1:15">
      <c r="A2800" t="s">
        <v>19746</v>
      </c>
      <c r="B2800" t="s">
        <v>6742</v>
      </c>
      <c r="C2800" t="s">
        <v>19747</v>
      </c>
      <c r="D2800" t="s">
        <v>19748</v>
      </c>
      <c r="E2800" t="b">
        <v>0</v>
      </c>
      <c r="F2800" t="s">
        <v>11610</v>
      </c>
      <c r="L2800">
        <v>0</v>
      </c>
      <c r="M2800">
        <v>0</v>
      </c>
      <c r="N2800">
        <v>0</v>
      </c>
    </row>
    <row r="2801" spans="1:15">
      <c r="A2801" t="s">
        <v>19749</v>
      </c>
      <c r="B2801" t="s">
        <v>11637</v>
      </c>
      <c r="C2801" t="s">
        <v>13473</v>
      </c>
      <c r="D2801" t="s">
        <v>19750</v>
      </c>
      <c r="E2801" t="b">
        <v>0</v>
      </c>
      <c r="F2801" t="s">
        <v>11610</v>
      </c>
      <c r="L2801">
        <v>0</v>
      </c>
      <c r="M2801">
        <v>0</v>
      </c>
      <c r="N2801">
        <v>0</v>
      </c>
    </row>
    <row r="2802" spans="1:15">
      <c r="A2802" t="s">
        <v>19751</v>
      </c>
      <c r="B2802" t="s">
        <v>6742</v>
      </c>
      <c r="C2802" t="s">
        <v>16618</v>
      </c>
      <c r="D2802" t="s">
        <v>19752</v>
      </c>
      <c r="E2802" t="b">
        <v>0</v>
      </c>
      <c r="F2802" t="s">
        <v>11610</v>
      </c>
      <c r="L2802">
        <v>0</v>
      </c>
      <c r="M2802">
        <v>0</v>
      </c>
      <c r="N2802">
        <v>0</v>
      </c>
    </row>
    <row r="2803" spans="1:15">
      <c r="A2803" t="s">
        <v>19753</v>
      </c>
      <c r="B2803" t="s">
        <v>6742</v>
      </c>
      <c r="C2803" t="s">
        <v>19423</v>
      </c>
      <c r="D2803" t="s">
        <v>19754</v>
      </c>
      <c r="E2803" t="b">
        <v>0</v>
      </c>
      <c r="F2803" t="s">
        <v>11624</v>
      </c>
      <c r="G2803">
        <v>8.4601100000000002</v>
      </c>
      <c r="H2803">
        <v>-2.74627</v>
      </c>
      <c r="I2803" t="s">
        <v>19755</v>
      </c>
      <c r="L2803">
        <v>0</v>
      </c>
      <c r="M2803">
        <v>0</v>
      </c>
      <c r="N2803">
        <v>2</v>
      </c>
      <c r="O2803" t="s">
        <v>19756</v>
      </c>
    </row>
    <row r="2804" spans="1:15">
      <c r="A2804" t="s">
        <v>19757</v>
      </c>
      <c r="B2804" t="s">
        <v>13276</v>
      </c>
      <c r="C2804" t="s">
        <v>16674</v>
      </c>
      <c r="D2804" t="s">
        <v>19758</v>
      </c>
      <c r="E2804" t="b">
        <v>0</v>
      </c>
      <c r="F2804" t="s">
        <v>11610</v>
      </c>
      <c r="L2804">
        <v>0</v>
      </c>
      <c r="M2804">
        <v>0</v>
      </c>
      <c r="N2804">
        <v>0</v>
      </c>
    </row>
    <row r="2805" spans="1:15">
      <c r="A2805" t="s">
        <v>19759</v>
      </c>
      <c r="B2805" t="s">
        <v>11615</v>
      </c>
      <c r="C2805" t="s">
        <v>19760</v>
      </c>
      <c r="D2805" t="s">
        <v>19761</v>
      </c>
      <c r="E2805" t="b">
        <v>0</v>
      </c>
      <c r="F2805" t="s">
        <v>11624</v>
      </c>
      <c r="G2805">
        <v>-5.8625999999999996</v>
      </c>
      <c r="H2805">
        <v>144.08600000000001</v>
      </c>
      <c r="I2805" t="s">
        <v>19762</v>
      </c>
      <c r="L2805">
        <v>0</v>
      </c>
      <c r="M2805">
        <v>0</v>
      </c>
      <c r="N2805">
        <v>2</v>
      </c>
      <c r="O2805" t="s">
        <v>11660</v>
      </c>
    </row>
    <row r="2806" spans="1:15">
      <c r="A2806" t="s">
        <v>19763</v>
      </c>
      <c r="B2806" t="s">
        <v>16986</v>
      </c>
      <c r="C2806" t="s">
        <v>19764</v>
      </c>
      <c r="D2806" t="s">
        <v>19765</v>
      </c>
      <c r="E2806" t="b">
        <v>0</v>
      </c>
      <c r="F2806" t="s">
        <v>11624</v>
      </c>
      <c r="L2806">
        <v>0</v>
      </c>
      <c r="M2806">
        <v>0</v>
      </c>
      <c r="N2806">
        <v>2</v>
      </c>
      <c r="O2806" t="s">
        <v>11660</v>
      </c>
    </row>
    <row r="2807" spans="1:15">
      <c r="A2807" t="s">
        <v>19766</v>
      </c>
      <c r="B2807" t="s">
        <v>16986</v>
      </c>
      <c r="C2807" t="s">
        <v>19763</v>
      </c>
      <c r="D2807" t="s">
        <v>19767</v>
      </c>
      <c r="E2807" t="b">
        <v>0</v>
      </c>
      <c r="F2807" t="s">
        <v>11610</v>
      </c>
      <c r="L2807">
        <v>0</v>
      </c>
      <c r="M2807">
        <v>0</v>
      </c>
      <c r="N2807">
        <v>0</v>
      </c>
    </row>
    <row r="2808" spans="1:15">
      <c r="A2808" t="s">
        <v>19768</v>
      </c>
      <c r="B2808" t="s">
        <v>11637</v>
      </c>
      <c r="C2808" t="s">
        <v>3656</v>
      </c>
      <c r="D2808" t="s">
        <v>19769</v>
      </c>
      <c r="E2808" t="b">
        <v>0</v>
      </c>
      <c r="F2808" t="s">
        <v>11610</v>
      </c>
      <c r="L2808">
        <v>0</v>
      </c>
      <c r="M2808">
        <v>0</v>
      </c>
      <c r="N2808">
        <v>0</v>
      </c>
    </row>
    <row r="2809" spans="1:15">
      <c r="A2809" t="s">
        <v>19770</v>
      </c>
      <c r="B2809" t="s">
        <v>11637</v>
      </c>
      <c r="C2809" t="s">
        <v>19771</v>
      </c>
      <c r="D2809" t="s">
        <v>19772</v>
      </c>
      <c r="E2809" t="b">
        <v>0</v>
      </c>
      <c r="F2809" t="s">
        <v>11610</v>
      </c>
      <c r="L2809">
        <v>0</v>
      </c>
      <c r="M2809">
        <v>0</v>
      </c>
      <c r="N2809">
        <v>0</v>
      </c>
    </row>
    <row r="2810" spans="1:15">
      <c r="A2810" t="s">
        <v>19773</v>
      </c>
      <c r="B2810" t="s">
        <v>12438</v>
      </c>
      <c r="C2810" t="s">
        <v>2251</v>
      </c>
      <c r="D2810" t="s">
        <v>19774</v>
      </c>
      <c r="E2810" t="b">
        <v>0</v>
      </c>
      <c r="F2810" t="s">
        <v>11610</v>
      </c>
      <c r="L2810">
        <v>0</v>
      </c>
      <c r="M2810">
        <v>0</v>
      </c>
      <c r="N2810">
        <v>0</v>
      </c>
    </row>
    <row r="2811" spans="1:15">
      <c r="A2811" t="s">
        <v>19775</v>
      </c>
      <c r="B2811" t="s">
        <v>11683</v>
      </c>
      <c r="C2811" t="s">
        <v>11683</v>
      </c>
      <c r="D2811" t="s">
        <v>19776</v>
      </c>
      <c r="E2811" t="b">
        <v>0</v>
      </c>
      <c r="F2811" t="s">
        <v>11610</v>
      </c>
      <c r="L2811">
        <v>0</v>
      </c>
      <c r="M2811">
        <v>0</v>
      </c>
      <c r="N2811">
        <v>0</v>
      </c>
    </row>
    <row r="2812" spans="1:15">
      <c r="A2812" t="s">
        <v>19777</v>
      </c>
      <c r="B2812" t="s">
        <v>5126</v>
      </c>
      <c r="C2812" t="s">
        <v>19778</v>
      </c>
      <c r="D2812" t="s">
        <v>19779</v>
      </c>
      <c r="E2812" t="b">
        <v>0</v>
      </c>
      <c r="F2812" t="s">
        <v>11624</v>
      </c>
      <c r="G2812">
        <v>24.848400000000002</v>
      </c>
      <c r="H2812">
        <v>106.187</v>
      </c>
      <c r="I2812" t="s">
        <v>19780</v>
      </c>
      <c r="L2812">
        <v>0</v>
      </c>
      <c r="M2812">
        <v>0</v>
      </c>
      <c r="N2812">
        <v>3</v>
      </c>
      <c r="O2812" t="s">
        <v>19781</v>
      </c>
    </row>
    <row r="2813" spans="1:15">
      <c r="A2813" t="s">
        <v>19782</v>
      </c>
      <c r="B2813" t="s">
        <v>11705</v>
      </c>
      <c r="C2813" t="s">
        <v>19783</v>
      </c>
      <c r="D2813" t="s">
        <v>19784</v>
      </c>
      <c r="E2813" t="b">
        <v>0</v>
      </c>
      <c r="F2813" t="s">
        <v>11610</v>
      </c>
      <c r="L2813">
        <v>0</v>
      </c>
      <c r="M2813">
        <v>0</v>
      </c>
      <c r="N2813">
        <v>0</v>
      </c>
    </row>
    <row r="2814" spans="1:15">
      <c r="A2814" t="s">
        <v>19785</v>
      </c>
      <c r="B2814" t="s">
        <v>367</v>
      </c>
      <c r="C2814" t="s">
        <v>19786</v>
      </c>
      <c r="D2814" t="s">
        <v>19787</v>
      </c>
      <c r="E2814" t="b">
        <v>0</v>
      </c>
      <c r="F2814" t="s">
        <v>11622</v>
      </c>
      <c r="L2814">
        <v>0</v>
      </c>
      <c r="M2814">
        <v>2</v>
      </c>
      <c r="N2814">
        <v>0</v>
      </c>
    </row>
    <row r="2815" spans="1:15">
      <c r="A2815" t="s">
        <v>19788</v>
      </c>
      <c r="B2815" t="s">
        <v>6742</v>
      </c>
      <c r="C2815" t="s">
        <v>19789</v>
      </c>
      <c r="D2815" t="s">
        <v>19790</v>
      </c>
      <c r="E2815" t="b">
        <v>0</v>
      </c>
      <c r="F2815" t="s">
        <v>11610</v>
      </c>
      <c r="L2815">
        <v>0</v>
      </c>
      <c r="M2815">
        <v>0</v>
      </c>
      <c r="N2815">
        <v>0</v>
      </c>
    </row>
    <row r="2816" spans="1:15">
      <c r="A2816" t="s">
        <v>19791</v>
      </c>
      <c r="B2816" t="s">
        <v>5126</v>
      </c>
      <c r="C2816" t="s">
        <v>12482</v>
      </c>
      <c r="D2816" t="s">
        <v>19792</v>
      </c>
      <c r="E2816" t="b">
        <v>0</v>
      </c>
      <c r="F2816" t="s">
        <v>11610</v>
      </c>
      <c r="L2816">
        <v>0</v>
      </c>
      <c r="M2816">
        <v>0</v>
      </c>
      <c r="N2816">
        <v>0</v>
      </c>
    </row>
    <row r="2817" spans="1:15">
      <c r="A2817" t="s">
        <v>19793</v>
      </c>
      <c r="B2817" t="s">
        <v>6742</v>
      </c>
      <c r="C2817" t="s">
        <v>19794</v>
      </c>
      <c r="D2817" t="s">
        <v>19795</v>
      </c>
      <c r="E2817" t="b">
        <v>0</v>
      </c>
      <c r="F2817" t="s">
        <v>11610</v>
      </c>
      <c r="L2817">
        <v>0</v>
      </c>
      <c r="M2817">
        <v>0</v>
      </c>
      <c r="N2817">
        <v>0</v>
      </c>
    </row>
    <row r="2818" spans="1:15">
      <c r="A2818" t="s">
        <v>19796</v>
      </c>
      <c r="B2818" t="s">
        <v>11637</v>
      </c>
      <c r="C2818" t="s">
        <v>19797</v>
      </c>
      <c r="D2818" t="s">
        <v>19798</v>
      </c>
      <c r="E2818" t="b">
        <v>0</v>
      </c>
      <c r="F2818" t="s">
        <v>11610</v>
      </c>
      <c r="L2818">
        <v>0</v>
      </c>
      <c r="M2818">
        <v>0</v>
      </c>
      <c r="N2818">
        <v>0</v>
      </c>
    </row>
    <row r="2819" spans="1:15">
      <c r="A2819" t="s">
        <v>19799</v>
      </c>
      <c r="B2819" t="s">
        <v>6742</v>
      </c>
      <c r="C2819" t="s">
        <v>16461</v>
      </c>
      <c r="D2819" t="s">
        <v>19800</v>
      </c>
      <c r="E2819" t="b">
        <v>0</v>
      </c>
      <c r="F2819" t="s">
        <v>11624</v>
      </c>
      <c r="G2819">
        <v>2.0729500000000001</v>
      </c>
      <c r="H2819">
        <v>18.6784</v>
      </c>
      <c r="I2819" t="s">
        <v>19801</v>
      </c>
      <c r="L2819">
        <v>0</v>
      </c>
      <c r="M2819">
        <v>0</v>
      </c>
      <c r="N2819">
        <v>0</v>
      </c>
      <c r="O2819" t="s">
        <v>14825</v>
      </c>
    </row>
    <row r="2820" spans="1:15">
      <c r="A2820" t="s">
        <v>19802</v>
      </c>
      <c r="B2820" t="s">
        <v>11686</v>
      </c>
      <c r="C2820" t="s">
        <v>8688</v>
      </c>
      <c r="D2820" t="s">
        <v>19803</v>
      </c>
      <c r="E2820" t="b">
        <v>0</v>
      </c>
      <c r="F2820" t="s">
        <v>11610</v>
      </c>
      <c r="L2820">
        <v>0</v>
      </c>
      <c r="M2820">
        <v>0</v>
      </c>
      <c r="N2820">
        <v>0</v>
      </c>
    </row>
    <row r="2821" spans="1:15">
      <c r="A2821" t="s">
        <v>19804</v>
      </c>
      <c r="B2821" t="s">
        <v>6742</v>
      </c>
      <c r="C2821" t="s">
        <v>19805</v>
      </c>
      <c r="D2821" t="s">
        <v>19806</v>
      </c>
      <c r="E2821" t="b">
        <v>0</v>
      </c>
      <c r="F2821" t="s">
        <v>11622</v>
      </c>
      <c r="L2821">
        <v>0</v>
      </c>
      <c r="M2821">
        <v>2</v>
      </c>
      <c r="N2821">
        <v>4</v>
      </c>
    </row>
    <row r="2822" spans="1:15">
      <c r="A2822" t="s">
        <v>19807</v>
      </c>
      <c r="B2822" t="s">
        <v>6742</v>
      </c>
      <c r="C2822" t="s">
        <v>19794</v>
      </c>
      <c r="D2822" t="s">
        <v>19808</v>
      </c>
      <c r="E2822" t="b">
        <v>0</v>
      </c>
      <c r="F2822" t="s">
        <v>11610</v>
      </c>
      <c r="L2822">
        <v>0</v>
      </c>
      <c r="M2822">
        <v>0</v>
      </c>
      <c r="N2822">
        <v>0</v>
      </c>
    </row>
    <row r="2823" spans="1:15">
      <c r="A2823" t="s">
        <v>19809</v>
      </c>
      <c r="B2823" t="s">
        <v>13276</v>
      </c>
      <c r="C2823" t="s">
        <v>19810</v>
      </c>
      <c r="D2823" t="s">
        <v>19811</v>
      </c>
      <c r="E2823" t="b">
        <v>0</v>
      </c>
      <c r="F2823" t="s">
        <v>11622</v>
      </c>
      <c r="L2823">
        <v>2</v>
      </c>
      <c r="M2823">
        <v>4</v>
      </c>
      <c r="N2823">
        <v>4</v>
      </c>
    </row>
    <row r="2824" spans="1:15">
      <c r="A2824" t="s">
        <v>19812</v>
      </c>
      <c r="B2824" t="s">
        <v>11637</v>
      </c>
      <c r="C2824" t="s">
        <v>14030</v>
      </c>
      <c r="D2824" t="s">
        <v>19813</v>
      </c>
      <c r="E2824" t="b">
        <v>0</v>
      </c>
      <c r="F2824" t="s">
        <v>11610</v>
      </c>
      <c r="L2824">
        <v>0</v>
      </c>
      <c r="M2824">
        <v>0</v>
      </c>
      <c r="N2824">
        <v>0</v>
      </c>
    </row>
    <row r="2825" spans="1:15">
      <c r="A2825" t="s">
        <v>19814</v>
      </c>
      <c r="B2825" t="s">
        <v>11834</v>
      </c>
      <c r="C2825" t="s">
        <v>13493</v>
      </c>
      <c r="D2825" t="s">
        <v>19815</v>
      </c>
      <c r="E2825" t="b">
        <v>0</v>
      </c>
      <c r="F2825" t="s">
        <v>11624</v>
      </c>
      <c r="G2825">
        <v>-3.4870700000000001</v>
      </c>
      <c r="H2825">
        <v>142.495</v>
      </c>
      <c r="I2825" t="s">
        <v>19816</v>
      </c>
      <c r="L2825">
        <v>0</v>
      </c>
      <c r="M2825">
        <v>0</v>
      </c>
      <c r="N2825">
        <v>0</v>
      </c>
      <c r="O2825" t="s">
        <v>11660</v>
      </c>
    </row>
    <row r="2826" spans="1:15">
      <c r="A2826" t="s">
        <v>13493</v>
      </c>
      <c r="B2826" t="s">
        <v>11834</v>
      </c>
      <c r="C2826" t="s">
        <v>19817</v>
      </c>
      <c r="D2826" t="s">
        <v>19818</v>
      </c>
      <c r="E2826" t="b">
        <v>0</v>
      </c>
      <c r="F2826" t="s">
        <v>11622</v>
      </c>
      <c r="L2826">
        <v>0</v>
      </c>
      <c r="M2826">
        <v>3</v>
      </c>
      <c r="N2826">
        <v>0</v>
      </c>
    </row>
    <row r="2827" spans="1:15">
      <c r="A2827" t="s">
        <v>19819</v>
      </c>
      <c r="B2827" t="s">
        <v>11637</v>
      </c>
      <c r="C2827" t="s">
        <v>19820</v>
      </c>
      <c r="D2827" t="s">
        <v>19821</v>
      </c>
      <c r="E2827" t="b">
        <v>0</v>
      </c>
      <c r="F2827" t="s">
        <v>11610</v>
      </c>
      <c r="L2827">
        <v>0</v>
      </c>
      <c r="M2827">
        <v>0</v>
      </c>
      <c r="N2827">
        <v>0</v>
      </c>
    </row>
    <row r="2828" spans="1:15">
      <c r="A2828" t="s">
        <v>19822</v>
      </c>
      <c r="B2828" t="s">
        <v>11844</v>
      </c>
      <c r="C2828" t="s">
        <v>19823</v>
      </c>
      <c r="D2828" t="s">
        <v>19824</v>
      </c>
      <c r="E2828" t="b">
        <v>0</v>
      </c>
      <c r="F2828" t="s">
        <v>11624</v>
      </c>
      <c r="G2828">
        <v>28.534700000000001</v>
      </c>
      <c r="H2828">
        <v>64.299099999999996</v>
      </c>
      <c r="I2828" t="s">
        <v>19825</v>
      </c>
      <c r="L2828">
        <v>0</v>
      </c>
      <c r="M2828">
        <v>0</v>
      </c>
      <c r="N2828">
        <v>3</v>
      </c>
      <c r="O2828" t="s">
        <v>19826</v>
      </c>
    </row>
    <row r="2829" spans="1:15">
      <c r="A2829" t="s">
        <v>19081</v>
      </c>
      <c r="B2829" t="s">
        <v>11644</v>
      </c>
      <c r="C2829" t="s">
        <v>11644</v>
      </c>
      <c r="D2829" t="s">
        <v>19827</v>
      </c>
      <c r="E2829" t="b">
        <v>0</v>
      </c>
      <c r="F2829" t="s">
        <v>11622</v>
      </c>
      <c r="L2829">
        <v>19</v>
      </c>
      <c r="M2829">
        <v>36</v>
      </c>
      <c r="N2829">
        <v>119</v>
      </c>
    </row>
    <row r="2830" spans="1:15">
      <c r="A2830" t="s">
        <v>14000</v>
      </c>
      <c r="B2830" t="s">
        <v>11637</v>
      </c>
      <c r="C2830" t="s">
        <v>19828</v>
      </c>
      <c r="D2830" t="s">
        <v>19829</v>
      </c>
      <c r="E2830" t="b">
        <v>0</v>
      </c>
      <c r="F2830" t="s">
        <v>11624</v>
      </c>
      <c r="G2830">
        <v>26.4758</v>
      </c>
      <c r="H2830">
        <v>78.081299999999999</v>
      </c>
      <c r="I2830" t="s">
        <v>19830</v>
      </c>
      <c r="L2830">
        <v>0</v>
      </c>
      <c r="M2830">
        <v>0</v>
      </c>
      <c r="N2830">
        <v>6</v>
      </c>
      <c r="O2830" t="s">
        <v>11630</v>
      </c>
    </row>
    <row r="2831" spans="1:15">
      <c r="A2831" t="s">
        <v>19831</v>
      </c>
      <c r="B2831" t="s">
        <v>11637</v>
      </c>
      <c r="C2831" t="s">
        <v>14000</v>
      </c>
      <c r="D2831" t="s">
        <v>19832</v>
      </c>
      <c r="E2831" t="b">
        <v>0</v>
      </c>
      <c r="F2831" t="s">
        <v>11610</v>
      </c>
      <c r="L2831">
        <v>0</v>
      </c>
      <c r="M2831">
        <v>0</v>
      </c>
      <c r="N2831">
        <v>0</v>
      </c>
    </row>
    <row r="2832" spans="1:15">
      <c r="A2832" t="s">
        <v>19833</v>
      </c>
      <c r="B2832" t="s">
        <v>11637</v>
      </c>
      <c r="C2832" t="s">
        <v>19834</v>
      </c>
      <c r="D2832" t="s">
        <v>19835</v>
      </c>
      <c r="E2832" t="b">
        <v>0</v>
      </c>
      <c r="F2832" t="s">
        <v>11610</v>
      </c>
      <c r="L2832">
        <v>0</v>
      </c>
      <c r="M2832">
        <v>0</v>
      </c>
      <c r="N2832">
        <v>3</v>
      </c>
    </row>
    <row r="2833" spans="1:15">
      <c r="A2833" t="s">
        <v>19836</v>
      </c>
      <c r="B2833" t="s">
        <v>11644</v>
      </c>
      <c r="C2833" t="s">
        <v>19837</v>
      </c>
      <c r="D2833" t="s">
        <v>19838</v>
      </c>
      <c r="E2833" t="b">
        <v>0</v>
      </c>
      <c r="F2833" t="s">
        <v>11610</v>
      </c>
      <c r="L2833">
        <v>0</v>
      </c>
      <c r="M2833">
        <v>0</v>
      </c>
      <c r="N2833">
        <v>0</v>
      </c>
    </row>
    <row r="2834" spans="1:15">
      <c r="A2834" t="s">
        <v>19839</v>
      </c>
      <c r="B2834" t="s">
        <v>367</v>
      </c>
      <c r="C2834" t="s">
        <v>19840</v>
      </c>
      <c r="D2834" t="s">
        <v>19841</v>
      </c>
      <c r="E2834" t="b">
        <v>0</v>
      </c>
      <c r="F2834" t="s">
        <v>11610</v>
      </c>
      <c r="L2834">
        <v>0</v>
      </c>
      <c r="M2834">
        <v>0</v>
      </c>
      <c r="N2834">
        <v>0</v>
      </c>
    </row>
    <row r="2835" spans="1:15">
      <c r="A2835" t="s">
        <v>19842</v>
      </c>
      <c r="B2835" t="s">
        <v>11981</v>
      </c>
      <c r="C2835" t="s">
        <v>12200</v>
      </c>
      <c r="D2835" t="s">
        <v>19843</v>
      </c>
      <c r="E2835" t="b">
        <v>0</v>
      </c>
      <c r="F2835" t="s">
        <v>11624</v>
      </c>
      <c r="G2835">
        <v>-15.5</v>
      </c>
      <c r="H2835">
        <v>-48</v>
      </c>
      <c r="I2835" t="s">
        <v>19844</v>
      </c>
      <c r="L2835">
        <v>0</v>
      </c>
      <c r="M2835">
        <v>0</v>
      </c>
      <c r="N2835">
        <v>0</v>
      </c>
      <c r="O2835" t="s">
        <v>11969</v>
      </c>
    </row>
    <row r="2836" spans="1:15">
      <c r="A2836" t="s">
        <v>19845</v>
      </c>
      <c r="B2836" t="s">
        <v>11637</v>
      </c>
      <c r="C2836" t="s">
        <v>17284</v>
      </c>
      <c r="D2836" t="s">
        <v>19846</v>
      </c>
      <c r="E2836" t="b">
        <v>0</v>
      </c>
      <c r="F2836" t="s">
        <v>11610</v>
      </c>
      <c r="L2836">
        <v>0</v>
      </c>
      <c r="M2836">
        <v>0</v>
      </c>
      <c r="N2836">
        <v>0</v>
      </c>
    </row>
    <row r="2837" spans="1:15">
      <c r="A2837" t="s">
        <v>551</v>
      </c>
      <c r="B2837" t="s">
        <v>11637</v>
      </c>
      <c r="C2837" t="s">
        <v>552</v>
      </c>
      <c r="D2837" t="s">
        <v>19847</v>
      </c>
      <c r="E2837" t="b">
        <v>0</v>
      </c>
      <c r="F2837" t="s">
        <v>11610</v>
      </c>
      <c r="L2837">
        <v>0</v>
      </c>
      <c r="M2837">
        <v>0</v>
      </c>
      <c r="N2837">
        <v>0</v>
      </c>
    </row>
    <row r="2838" spans="1:15">
      <c r="A2838" t="s">
        <v>19848</v>
      </c>
      <c r="B2838" t="s">
        <v>11637</v>
      </c>
      <c r="C2838" t="s">
        <v>19849</v>
      </c>
      <c r="D2838" t="s">
        <v>19850</v>
      </c>
      <c r="E2838" t="b">
        <v>0</v>
      </c>
      <c r="F2838" t="s">
        <v>11622</v>
      </c>
      <c r="L2838">
        <v>0</v>
      </c>
      <c r="M2838">
        <v>2</v>
      </c>
      <c r="N2838">
        <v>6</v>
      </c>
    </row>
    <row r="2839" spans="1:15">
      <c r="A2839" t="s">
        <v>19851</v>
      </c>
      <c r="B2839" t="s">
        <v>11644</v>
      </c>
      <c r="C2839" t="s">
        <v>19852</v>
      </c>
      <c r="D2839" t="s">
        <v>19853</v>
      </c>
      <c r="E2839" t="b">
        <v>0</v>
      </c>
      <c r="F2839" t="s">
        <v>11624</v>
      </c>
      <c r="G2839">
        <v>19.056100000000001</v>
      </c>
      <c r="H2839">
        <v>96.836500000000001</v>
      </c>
      <c r="I2839" t="s">
        <v>19854</v>
      </c>
      <c r="L2839">
        <v>0</v>
      </c>
      <c r="M2839">
        <v>0</v>
      </c>
      <c r="N2839">
        <v>0</v>
      </c>
      <c r="O2839" t="s">
        <v>14059</v>
      </c>
    </row>
    <row r="2840" spans="1:15">
      <c r="A2840" t="s">
        <v>19855</v>
      </c>
      <c r="B2840" t="s">
        <v>11615</v>
      </c>
      <c r="C2840" t="s">
        <v>18039</v>
      </c>
      <c r="D2840" t="s">
        <v>19856</v>
      </c>
      <c r="E2840" t="b">
        <v>0</v>
      </c>
      <c r="F2840" t="s">
        <v>11624</v>
      </c>
      <c r="G2840">
        <v>-4.6737200000000003</v>
      </c>
      <c r="H2840">
        <v>145.56200000000001</v>
      </c>
      <c r="I2840" t="s">
        <v>19857</v>
      </c>
      <c r="L2840">
        <v>0</v>
      </c>
      <c r="M2840">
        <v>0</v>
      </c>
      <c r="N2840">
        <v>0</v>
      </c>
      <c r="O2840" t="s">
        <v>11660</v>
      </c>
    </row>
    <row r="2841" spans="1:15">
      <c r="A2841" t="s">
        <v>19858</v>
      </c>
      <c r="B2841" t="s">
        <v>11871</v>
      </c>
      <c r="C2841" t="s">
        <v>19859</v>
      </c>
      <c r="D2841" t="s">
        <v>19860</v>
      </c>
      <c r="E2841" t="b">
        <v>0</v>
      </c>
      <c r="F2841" t="s">
        <v>11624</v>
      </c>
      <c r="G2841">
        <v>-4.73271</v>
      </c>
      <c r="H2841">
        <v>144.70699999999999</v>
      </c>
      <c r="I2841" t="s">
        <v>19861</v>
      </c>
      <c r="L2841">
        <v>0</v>
      </c>
      <c r="M2841">
        <v>0</v>
      </c>
      <c r="N2841">
        <v>0</v>
      </c>
      <c r="O2841" t="s">
        <v>11660</v>
      </c>
    </row>
    <row r="2842" spans="1:15">
      <c r="A2842" t="s">
        <v>19859</v>
      </c>
      <c r="B2842" t="s">
        <v>11871</v>
      </c>
      <c r="C2842" t="s">
        <v>12827</v>
      </c>
      <c r="D2842" t="s">
        <v>19862</v>
      </c>
      <c r="E2842" t="b">
        <v>0</v>
      </c>
      <c r="F2842" t="s">
        <v>11622</v>
      </c>
      <c r="L2842">
        <v>0</v>
      </c>
      <c r="M2842">
        <v>2</v>
      </c>
      <c r="N2842">
        <v>0</v>
      </c>
    </row>
    <row r="2843" spans="1:15">
      <c r="A2843" t="s">
        <v>19863</v>
      </c>
      <c r="B2843" t="s">
        <v>11637</v>
      </c>
      <c r="C2843" t="s">
        <v>19864</v>
      </c>
      <c r="D2843" t="s">
        <v>19865</v>
      </c>
      <c r="E2843" t="b">
        <v>0</v>
      </c>
      <c r="F2843" t="s">
        <v>11610</v>
      </c>
      <c r="L2843">
        <v>0</v>
      </c>
      <c r="M2843">
        <v>0</v>
      </c>
      <c r="N2843">
        <v>0</v>
      </c>
    </row>
    <row r="2844" spans="1:15">
      <c r="A2844" t="s">
        <v>19866</v>
      </c>
      <c r="B2844" t="s">
        <v>11637</v>
      </c>
      <c r="C2844" t="s">
        <v>19867</v>
      </c>
      <c r="D2844" t="s">
        <v>19868</v>
      </c>
      <c r="E2844" t="b">
        <v>0</v>
      </c>
      <c r="F2844" t="s">
        <v>11624</v>
      </c>
      <c r="G2844">
        <v>48.245199999999997</v>
      </c>
      <c r="H2844">
        <v>-3.7893400000000002</v>
      </c>
      <c r="I2844" t="s">
        <v>19869</v>
      </c>
      <c r="L2844">
        <v>0</v>
      </c>
      <c r="M2844">
        <v>0</v>
      </c>
      <c r="N2844">
        <v>6</v>
      </c>
      <c r="O2844" t="s">
        <v>19870</v>
      </c>
    </row>
    <row r="2845" spans="1:15">
      <c r="A2845" t="s">
        <v>13555</v>
      </c>
      <c r="B2845" t="s">
        <v>6455</v>
      </c>
      <c r="C2845" t="s">
        <v>19871</v>
      </c>
      <c r="D2845" t="s">
        <v>19872</v>
      </c>
      <c r="E2845" t="b">
        <v>0</v>
      </c>
      <c r="F2845" t="s">
        <v>11624</v>
      </c>
      <c r="G2845">
        <v>9.3979400000000002</v>
      </c>
      <c r="H2845">
        <v>-83.053899999999999</v>
      </c>
      <c r="I2845" t="s">
        <v>19873</v>
      </c>
      <c r="L2845">
        <v>0</v>
      </c>
      <c r="M2845">
        <v>0</v>
      </c>
      <c r="N2845">
        <v>3</v>
      </c>
      <c r="O2845" t="s">
        <v>19874</v>
      </c>
    </row>
    <row r="2846" spans="1:15">
      <c r="A2846" t="s">
        <v>19875</v>
      </c>
      <c r="B2846" t="s">
        <v>11981</v>
      </c>
      <c r="C2846" t="s">
        <v>11982</v>
      </c>
      <c r="D2846" t="s">
        <v>19876</v>
      </c>
      <c r="E2846" t="b">
        <v>0</v>
      </c>
      <c r="F2846" t="s">
        <v>11624</v>
      </c>
      <c r="G2846">
        <v>9.4</v>
      </c>
      <c r="H2846">
        <v>-83.05</v>
      </c>
      <c r="L2846">
        <v>0</v>
      </c>
      <c r="M2846">
        <v>0</v>
      </c>
      <c r="N2846">
        <v>0</v>
      </c>
      <c r="O2846" t="s">
        <v>19659</v>
      </c>
    </row>
    <row r="2847" spans="1:15">
      <c r="A2847" t="s">
        <v>19877</v>
      </c>
      <c r="B2847" t="s">
        <v>12438</v>
      </c>
      <c r="C2847" t="s">
        <v>14923</v>
      </c>
      <c r="D2847" t="s">
        <v>19878</v>
      </c>
      <c r="E2847" t="b">
        <v>0</v>
      </c>
      <c r="F2847" t="s">
        <v>11610</v>
      </c>
      <c r="L2847">
        <v>0</v>
      </c>
      <c r="M2847">
        <v>0</v>
      </c>
      <c r="N2847">
        <v>0</v>
      </c>
    </row>
    <row r="2848" spans="1:15">
      <c r="A2848" t="s">
        <v>19879</v>
      </c>
      <c r="B2848" t="s">
        <v>13434</v>
      </c>
      <c r="C2848" t="s">
        <v>13434</v>
      </c>
      <c r="D2848" t="s">
        <v>19880</v>
      </c>
      <c r="E2848" t="b">
        <v>0</v>
      </c>
      <c r="F2848" t="s">
        <v>11622</v>
      </c>
      <c r="L2848">
        <v>2</v>
      </c>
      <c r="M2848">
        <v>8</v>
      </c>
      <c r="N2848">
        <v>4</v>
      </c>
    </row>
    <row r="2849" spans="1:15">
      <c r="A2849" t="s">
        <v>19881</v>
      </c>
      <c r="B2849" t="s">
        <v>11981</v>
      </c>
      <c r="C2849" t="s">
        <v>15196</v>
      </c>
      <c r="D2849" t="s">
        <v>19882</v>
      </c>
      <c r="E2849" t="b">
        <v>0</v>
      </c>
      <c r="F2849" t="s">
        <v>11624</v>
      </c>
      <c r="G2849">
        <v>51.668799999999997</v>
      </c>
      <c r="H2849">
        <v>-0.44309999999999999</v>
      </c>
      <c r="I2849" t="s">
        <v>19883</v>
      </c>
      <c r="L2849">
        <v>0</v>
      </c>
      <c r="M2849">
        <v>0</v>
      </c>
      <c r="N2849">
        <v>0</v>
      </c>
      <c r="O2849" t="s">
        <v>19884</v>
      </c>
    </row>
    <row r="2850" spans="1:15">
      <c r="A2850" t="s">
        <v>19885</v>
      </c>
      <c r="B2850" t="s">
        <v>11637</v>
      </c>
      <c r="C2850" t="s">
        <v>19886</v>
      </c>
      <c r="D2850" t="s">
        <v>19887</v>
      </c>
      <c r="E2850" t="b">
        <v>0</v>
      </c>
      <c r="F2850" t="s">
        <v>11610</v>
      </c>
      <c r="L2850">
        <v>0</v>
      </c>
      <c r="M2850">
        <v>0</v>
      </c>
      <c r="N2850">
        <v>0</v>
      </c>
    </row>
    <row r="2851" spans="1:15">
      <c r="A2851" t="s">
        <v>19888</v>
      </c>
      <c r="B2851" t="s">
        <v>11637</v>
      </c>
      <c r="C2851" t="s">
        <v>19889</v>
      </c>
      <c r="D2851" t="s">
        <v>19890</v>
      </c>
      <c r="E2851" t="b">
        <v>0</v>
      </c>
      <c r="F2851" t="s">
        <v>11624</v>
      </c>
      <c r="G2851">
        <v>34.530799999999999</v>
      </c>
      <c r="H2851">
        <v>76.602599999999995</v>
      </c>
      <c r="I2851" t="s">
        <v>19891</v>
      </c>
      <c r="L2851">
        <v>0</v>
      </c>
      <c r="M2851">
        <v>0</v>
      </c>
      <c r="N2851">
        <v>0</v>
      </c>
      <c r="O2851" t="s">
        <v>11630</v>
      </c>
    </row>
    <row r="2852" spans="1:15">
      <c r="A2852" t="s">
        <v>19892</v>
      </c>
      <c r="B2852" t="s">
        <v>11644</v>
      </c>
      <c r="C2852" t="s">
        <v>19893</v>
      </c>
      <c r="D2852" t="s">
        <v>19894</v>
      </c>
      <c r="E2852" t="b">
        <v>0</v>
      </c>
      <c r="F2852" t="s">
        <v>11624</v>
      </c>
      <c r="G2852">
        <v>27.343800000000002</v>
      </c>
      <c r="H2852">
        <v>91.997200000000007</v>
      </c>
      <c r="I2852" t="s">
        <v>19895</v>
      </c>
      <c r="L2852">
        <v>0</v>
      </c>
      <c r="M2852">
        <v>0</v>
      </c>
      <c r="N2852">
        <v>0</v>
      </c>
      <c r="O2852" t="s">
        <v>19896</v>
      </c>
    </row>
    <row r="2853" spans="1:15">
      <c r="A2853" t="s">
        <v>19897</v>
      </c>
      <c r="B2853" t="s">
        <v>11644</v>
      </c>
      <c r="C2853" t="s">
        <v>19893</v>
      </c>
      <c r="D2853" t="s">
        <v>19898</v>
      </c>
      <c r="E2853" t="b">
        <v>0</v>
      </c>
      <c r="F2853" t="s">
        <v>11624</v>
      </c>
      <c r="G2853">
        <v>27.654399999999999</v>
      </c>
      <c r="H2853">
        <v>90.647999999999996</v>
      </c>
      <c r="I2853" t="s">
        <v>19899</v>
      </c>
      <c r="L2853">
        <v>0</v>
      </c>
      <c r="M2853">
        <v>0</v>
      </c>
      <c r="N2853">
        <v>0</v>
      </c>
      <c r="O2853" t="s">
        <v>12020</v>
      </c>
    </row>
    <row r="2854" spans="1:15">
      <c r="A2854" t="s">
        <v>19900</v>
      </c>
      <c r="B2854" t="s">
        <v>13450</v>
      </c>
      <c r="C2854" t="s">
        <v>19901</v>
      </c>
      <c r="D2854" t="s">
        <v>19902</v>
      </c>
      <c r="E2854" t="b">
        <v>0</v>
      </c>
      <c r="F2854" t="s">
        <v>11624</v>
      </c>
      <c r="L2854">
        <v>0</v>
      </c>
      <c r="M2854">
        <v>0</v>
      </c>
      <c r="N2854">
        <v>0</v>
      </c>
      <c r="O2854" t="s">
        <v>13049</v>
      </c>
    </row>
    <row r="2855" spans="1:15">
      <c r="A2855" t="s">
        <v>19903</v>
      </c>
      <c r="B2855" t="s">
        <v>13450</v>
      </c>
      <c r="C2855" t="s">
        <v>19904</v>
      </c>
      <c r="D2855" t="s">
        <v>19905</v>
      </c>
      <c r="E2855" t="b">
        <v>0</v>
      </c>
      <c r="F2855" t="s">
        <v>11624</v>
      </c>
      <c r="L2855">
        <v>0</v>
      </c>
      <c r="M2855">
        <v>0</v>
      </c>
      <c r="N2855">
        <v>0</v>
      </c>
      <c r="O2855" t="s">
        <v>13049</v>
      </c>
    </row>
    <row r="2856" spans="1:15">
      <c r="A2856" t="s">
        <v>19906</v>
      </c>
      <c r="B2856" t="s">
        <v>13450</v>
      </c>
      <c r="C2856" t="s">
        <v>19907</v>
      </c>
      <c r="D2856" t="s">
        <v>19908</v>
      </c>
      <c r="E2856" t="b">
        <v>0</v>
      </c>
      <c r="F2856" t="s">
        <v>11624</v>
      </c>
      <c r="G2856">
        <v>-17.927</v>
      </c>
      <c r="H2856">
        <v>122.233</v>
      </c>
      <c r="I2856" t="s">
        <v>19909</v>
      </c>
      <c r="L2856">
        <v>0</v>
      </c>
      <c r="M2856">
        <v>0</v>
      </c>
      <c r="N2856">
        <v>0</v>
      </c>
      <c r="O2856" t="s">
        <v>12107</v>
      </c>
    </row>
    <row r="2857" spans="1:15">
      <c r="A2857" t="s">
        <v>19910</v>
      </c>
      <c r="B2857" t="s">
        <v>367</v>
      </c>
      <c r="C2857" t="s">
        <v>19911</v>
      </c>
      <c r="D2857" t="s">
        <v>19912</v>
      </c>
      <c r="E2857" t="b">
        <v>0</v>
      </c>
      <c r="F2857" t="s">
        <v>11624</v>
      </c>
      <c r="G2857">
        <v>8.8389100000000003</v>
      </c>
      <c r="H2857">
        <v>117.871</v>
      </c>
      <c r="I2857" t="s">
        <v>19913</v>
      </c>
      <c r="L2857">
        <v>0</v>
      </c>
      <c r="M2857">
        <v>0</v>
      </c>
      <c r="N2857">
        <v>1</v>
      </c>
      <c r="O2857" t="s">
        <v>11749</v>
      </c>
    </row>
    <row r="2858" spans="1:15">
      <c r="A2858" t="s">
        <v>19911</v>
      </c>
      <c r="B2858" t="s">
        <v>367</v>
      </c>
      <c r="C2858" t="s">
        <v>19914</v>
      </c>
      <c r="D2858" t="s">
        <v>19915</v>
      </c>
      <c r="E2858" t="b">
        <v>0</v>
      </c>
      <c r="F2858" t="s">
        <v>11622</v>
      </c>
      <c r="L2858">
        <v>0</v>
      </c>
      <c r="M2858">
        <v>2</v>
      </c>
      <c r="N2858">
        <v>1</v>
      </c>
    </row>
    <row r="2859" spans="1:15">
      <c r="A2859" t="s">
        <v>19916</v>
      </c>
      <c r="B2859" t="s">
        <v>12438</v>
      </c>
      <c r="C2859" t="s">
        <v>19917</v>
      </c>
      <c r="D2859" t="s">
        <v>19918</v>
      </c>
      <c r="E2859" t="b">
        <v>0</v>
      </c>
      <c r="F2859" t="s">
        <v>11622</v>
      </c>
      <c r="L2859">
        <v>3</v>
      </c>
      <c r="M2859">
        <v>5</v>
      </c>
      <c r="N2859">
        <v>8</v>
      </c>
    </row>
    <row r="2860" spans="1:15">
      <c r="A2860" t="s">
        <v>19919</v>
      </c>
      <c r="B2860" t="s">
        <v>12438</v>
      </c>
      <c r="C2860" t="s">
        <v>19920</v>
      </c>
      <c r="D2860" t="s">
        <v>19921</v>
      </c>
      <c r="E2860" t="b">
        <v>0</v>
      </c>
      <c r="F2860" t="s">
        <v>11610</v>
      </c>
      <c r="L2860">
        <v>0</v>
      </c>
      <c r="M2860">
        <v>0</v>
      </c>
      <c r="N2860">
        <v>0</v>
      </c>
    </row>
    <row r="2861" spans="1:15">
      <c r="A2861" t="s">
        <v>19922</v>
      </c>
      <c r="B2861" t="s">
        <v>367</v>
      </c>
      <c r="C2861" t="s">
        <v>16303</v>
      </c>
      <c r="D2861" t="s">
        <v>19923</v>
      </c>
      <c r="E2861" t="b">
        <v>0</v>
      </c>
      <c r="F2861" t="s">
        <v>11610</v>
      </c>
      <c r="L2861">
        <v>0</v>
      </c>
      <c r="M2861">
        <v>0</v>
      </c>
      <c r="N2861">
        <v>0</v>
      </c>
    </row>
    <row r="2862" spans="1:15">
      <c r="A2862" t="s">
        <v>19924</v>
      </c>
      <c r="B2862" t="s">
        <v>12438</v>
      </c>
      <c r="C2862" t="s">
        <v>19920</v>
      </c>
      <c r="D2862" t="s">
        <v>19925</v>
      </c>
      <c r="E2862" t="b">
        <v>0</v>
      </c>
      <c r="F2862" t="s">
        <v>11610</v>
      </c>
      <c r="L2862">
        <v>0</v>
      </c>
      <c r="M2862">
        <v>0</v>
      </c>
      <c r="N2862">
        <v>0</v>
      </c>
    </row>
    <row r="2863" spans="1:15">
      <c r="A2863" t="s">
        <v>19926</v>
      </c>
      <c r="B2863" t="s">
        <v>8897</v>
      </c>
      <c r="C2863" t="s">
        <v>9103</v>
      </c>
      <c r="D2863" t="s">
        <v>19927</v>
      </c>
      <c r="E2863" t="b">
        <v>0</v>
      </c>
      <c r="F2863" t="s">
        <v>11610</v>
      </c>
      <c r="L2863">
        <v>0</v>
      </c>
      <c r="M2863">
        <v>0</v>
      </c>
      <c r="N2863">
        <v>0</v>
      </c>
    </row>
    <row r="2864" spans="1:15">
      <c r="A2864" t="s">
        <v>19928</v>
      </c>
      <c r="B2864" t="s">
        <v>19929</v>
      </c>
      <c r="C2864" t="s">
        <v>19929</v>
      </c>
      <c r="D2864" t="s">
        <v>19930</v>
      </c>
      <c r="E2864" t="b">
        <v>0</v>
      </c>
      <c r="F2864" t="s">
        <v>11624</v>
      </c>
      <c r="G2864">
        <v>-43.373111999999999</v>
      </c>
      <c r="H2864">
        <v>147.24792500000001</v>
      </c>
      <c r="L2864">
        <v>0</v>
      </c>
      <c r="M2864">
        <v>0</v>
      </c>
      <c r="N2864">
        <v>0</v>
      </c>
      <c r="O2864" t="s">
        <v>12107</v>
      </c>
    </row>
    <row r="2865" spans="1:15">
      <c r="A2865" t="s">
        <v>19931</v>
      </c>
      <c r="B2865" t="s">
        <v>367</v>
      </c>
      <c r="C2865" t="s">
        <v>18057</v>
      </c>
      <c r="D2865" t="s">
        <v>19932</v>
      </c>
      <c r="E2865" t="b">
        <v>0</v>
      </c>
      <c r="F2865" t="s">
        <v>11624</v>
      </c>
      <c r="G2865">
        <v>4.4560449999999996</v>
      </c>
      <c r="H2865">
        <v>114.42950500000001</v>
      </c>
      <c r="I2865" t="s">
        <v>19933</v>
      </c>
      <c r="L2865">
        <v>0</v>
      </c>
      <c r="M2865">
        <v>0</v>
      </c>
      <c r="N2865">
        <v>3</v>
      </c>
      <c r="O2865" t="s">
        <v>17804</v>
      </c>
    </row>
    <row r="2866" spans="1:15">
      <c r="A2866" t="s">
        <v>19934</v>
      </c>
      <c r="B2866" t="s">
        <v>367</v>
      </c>
      <c r="C2866" t="s">
        <v>19931</v>
      </c>
      <c r="D2866" t="s">
        <v>19935</v>
      </c>
      <c r="E2866" t="b">
        <v>0</v>
      </c>
      <c r="F2866" t="s">
        <v>11610</v>
      </c>
      <c r="L2866">
        <v>0</v>
      </c>
      <c r="M2866">
        <v>0</v>
      </c>
      <c r="N2866">
        <v>0</v>
      </c>
    </row>
    <row r="2867" spans="1:15">
      <c r="A2867" t="s">
        <v>19936</v>
      </c>
      <c r="B2867" t="s">
        <v>367</v>
      </c>
      <c r="C2867" t="s">
        <v>366</v>
      </c>
      <c r="D2867" t="s">
        <v>19937</v>
      </c>
      <c r="E2867" t="b">
        <v>0</v>
      </c>
      <c r="F2867" t="s">
        <v>11610</v>
      </c>
      <c r="L2867">
        <v>0</v>
      </c>
      <c r="M2867">
        <v>0</v>
      </c>
      <c r="N2867">
        <v>0</v>
      </c>
    </row>
    <row r="2868" spans="1:15">
      <c r="A2868" t="s">
        <v>19938</v>
      </c>
      <c r="B2868" t="s">
        <v>367</v>
      </c>
      <c r="C2868" t="s">
        <v>18815</v>
      </c>
      <c r="D2868" t="s">
        <v>19939</v>
      </c>
      <c r="E2868" t="b">
        <v>0</v>
      </c>
      <c r="F2868" t="s">
        <v>11624</v>
      </c>
      <c r="G2868">
        <v>4.6079100000000004</v>
      </c>
      <c r="H2868">
        <v>114.517</v>
      </c>
      <c r="I2868" t="s">
        <v>19940</v>
      </c>
      <c r="L2868">
        <v>0</v>
      </c>
      <c r="M2868">
        <v>0</v>
      </c>
      <c r="N2868">
        <v>0</v>
      </c>
      <c r="O2868" t="s">
        <v>17804</v>
      </c>
    </row>
    <row r="2869" spans="1:15">
      <c r="A2869" t="s">
        <v>15656</v>
      </c>
      <c r="B2869" t="s">
        <v>367</v>
      </c>
      <c r="C2869" t="s">
        <v>19620</v>
      </c>
      <c r="D2869" t="s">
        <v>19941</v>
      </c>
      <c r="E2869" t="b">
        <v>0</v>
      </c>
      <c r="F2869" t="s">
        <v>11622</v>
      </c>
      <c r="L2869">
        <v>0</v>
      </c>
      <c r="M2869">
        <v>2</v>
      </c>
      <c r="N2869">
        <v>0</v>
      </c>
    </row>
    <row r="2870" spans="1:15">
      <c r="A2870" t="s">
        <v>19942</v>
      </c>
      <c r="B2870" t="s">
        <v>11981</v>
      </c>
      <c r="C2870" t="s">
        <v>11982</v>
      </c>
      <c r="D2870" t="s">
        <v>19943</v>
      </c>
      <c r="E2870" t="b">
        <v>0</v>
      </c>
      <c r="F2870" t="s">
        <v>11624</v>
      </c>
      <c r="G2870">
        <v>9.9785489999999992</v>
      </c>
      <c r="H2870">
        <v>-84.821363000000005</v>
      </c>
      <c r="L2870">
        <v>0</v>
      </c>
      <c r="M2870">
        <v>0</v>
      </c>
      <c r="N2870">
        <v>0</v>
      </c>
      <c r="O2870" t="s">
        <v>19659</v>
      </c>
    </row>
    <row r="2871" spans="1:15">
      <c r="A2871" t="s">
        <v>19944</v>
      </c>
      <c r="B2871" t="s">
        <v>11637</v>
      </c>
      <c r="C2871" t="s">
        <v>19945</v>
      </c>
      <c r="D2871" t="s">
        <v>19946</v>
      </c>
      <c r="E2871" t="b">
        <v>0</v>
      </c>
      <c r="F2871" t="s">
        <v>11622</v>
      </c>
      <c r="L2871">
        <v>2</v>
      </c>
      <c r="M2871">
        <v>4</v>
      </c>
      <c r="N2871">
        <v>13</v>
      </c>
    </row>
    <row r="2872" spans="1:15">
      <c r="A2872" t="s">
        <v>16847</v>
      </c>
      <c r="B2872" t="s">
        <v>11981</v>
      </c>
      <c r="C2872" t="s">
        <v>12200</v>
      </c>
      <c r="D2872" t="s">
        <v>19947</v>
      </c>
      <c r="E2872" t="b">
        <v>0</v>
      </c>
      <c r="F2872" t="s">
        <v>11622</v>
      </c>
      <c r="L2872">
        <v>3</v>
      </c>
      <c r="M2872">
        <v>8</v>
      </c>
      <c r="N2872">
        <v>0</v>
      </c>
    </row>
    <row r="2873" spans="1:15">
      <c r="A2873" t="s">
        <v>19948</v>
      </c>
      <c r="B2873" t="s">
        <v>6742</v>
      </c>
      <c r="C2873" t="s">
        <v>19949</v>
      </c>
      <c r="D2873" t="s">
        <v>19950</v>
      </c>
      <c r="E2873" t="b">
        <v>0</v>
      </c>
      <c r="F2873" t="s">
        <v>11624</v>
      </c>
      <c r="G2873">
        <v>9.9249100000000006</v>
      </c>
      <c r="H2873">
        <v>18.082100000000001</v>
      </c>
      <c r="I2873" t="s">
        <v>19951</v>
      </c>
      <c r="L2873">
        <v>0</v>
      </c>
      <c r="M2873">
        <v>0</v>
      </c>
      <c r="N2873">
        <v>0</v>
      </c>
      <c r="O2873" t="s">
        <v>13421</v>
      </c>
    </row>
    <row r="2874" spans="1:15">
      <c r="A2874" t="s">
        <v>19952</v>
      </c>
      <c r="B2874" t="s">
        <v>367</v>
      </c>
      <c r="C2874" t="s">
        <v>19953</v>
      </c>
      <c r="D2874" t="s">
        <v>19954</v>
      </c>
      <c r="E2874" t="b">
        <v>0</v>
      </c>
      <c r="F2874" t="s">
        <v>11610</v>
      </c>
      <c r="L2874">
        <v>0</v>
      </c>
      <c r="M2874">
        <v>0</v>
      </c>
      <c r="N2874">
        <v>0</v>
      </c>
    </row>
    <row r="2875" spans="1:15">
      <c r="A2875" t="s">
        <v>19955</v>
      </c>
      <c r="B2875" t="s">
        <v>367</v>
      </c>
      <c r="C2875" t="s">
        <v>13008</v>
      </c>
      <c r="D2875" t="s">
        <v>19956</v>
      </c>
      <c r="E2875" t="b">
        <v>0</v>
      </c>
      <c r="F2875" t="s">
        <v>11610</v>
      </c>
      <c r="L2875">
        <v>0</v>
      </c>
      <c r="M2875">
        <v>0</v>
      </c>
      <c r="N2875">
        <v>0</v>
      </c>
    </row>
    <row r="2876" spans="1:15">
      <c r="A2876" t="s">
        <v>19949</v>
      </c>
      <c r="B2876" t="s">
        <v>6742</v>
      </c>
      <c r="C2876" t="s">
        <v>19957</v>
      </c>
      <c r="D2876" t="s">
        <v>19958</v>
      </c>
      <c r="E2876" t="b">
        <v>0</v>
      </c>
      <c r="F2876" t="s">
        <v>11622</v>
      </c>
      <c r="L2876">
        <v>0</v>
      </c>
      <c r="M2876">
        <v>2</v>
      </c>
      <c r="N2876">
        <v>0</v>
      </c>
    </row>
    <row r="2877" spans="1:15">
      <c r="A2877" t="s">
        <v>11995</v>
      </c>
      <c r="B2877" t="s">
        <v>6742</v>
      </c>
      <c r="C2877" t="s">
        <v>19959</v>
      </c>
      <c r="D2877" t="s">
        <v>19960</v>
      </c>
      <c r="E2877" t="b">
        <v>0</v>
      </c>
      <c r="F2877" t="s">
        <v>11622</v>
      </c>
      <c r="L2877">
        <v>11</v>
      </c>
      <c r="M2877">
        <v>15</v>
      </c>
      <c r="N2877">
        <v>24</v>
      </c>
    </row>
    <row r="2878" spans="1:15">
      <c r="A2878" t="s">
        <v>19961</v>
      </c>
      <c r="B2878" t="s">
        <v>11644</v>
      </c>
      <c r="C2878" t="s">
        <v>17538</v>
      </c>
      <c r="D2878" t="s">
        <v>19962</v>
      </c>
      <c r="E2878" t="b">
        <v>0</v>
      </c>
      <c r="F2878" t="s">
        <v>11624</v>
      </c>
      <c r="G2878">
        <v>22.91</v>
      </c>
      <c r="H2878">
        <v>93.68</v>
      </c>
      <c r="I2878" t="s">
        <v>19963</v>
      </c>
      <c r="L2878">
        <v>0</v>
      </c>
      <c r="M2878">
        <v>0</v>
      </c>
      <c r="N2878">
        <v>0</v>
      </c>
      <c r="O2878" t="s">
        <v>14059</v>
      </c>
    </row>
    <row r="2879" spans="1:15">
      <c r="A2879" t="s">
        <v>19957</v>
      </c>
      <c r="B2879" t="s">
        <v>6742</v>
      </c>
      <c r="C2879" t="s">
        <v>19964</v>
      </c>
      <c r="D2879" t="s">
        <v>19965</v>
      </c>
      <c r="E2879" t="b">
        <v>0</v>
      </c>
      <c r="F2879" t="s">
        <v>11622</v>
      </c>
      <c r="L2879">
        <v>1</v>
      </c>
      <c r="M2879">
        <v>3</v>
      </c>
      <c r="N2879">
        <v>3</v>
      </c>
    </row>
    <row r="2880" spans="1:15">
      <c r="A2880" t="s">
        <v>19966</v>
      </c>
      <c r="B2880" t="s">
        <v>6742</v>
      </c>
      <c r="C2880" t="s">
        <v>19967</v>
      </c>
      <c r="D2880" t="s">
        <v>19968</v>
      </c>
      <c r="E2880" t="b">
        <v>0</v>
      </c>
      <c r="F2880" t="s">
        <v>11624</v>
      </c>
      <c r="G2880">
        <v>11.168699999999999</v>
      </c>
      <c r="H2880">
        <v>-3.5030299999999999</v>
      </c>
      <c r="I2880" t="s">
        <v>19969</v>
      </c>
      <c r="L2880">
        <v>0</v>
      </c>
      <c r="M2880">
        <v>0</v>
      </c>
      <c r="N2880">
        <v>1</v>
      </c>
      <c r="O2880" t="s">
        <v>19384</v>
      </c>
    </row>
    <row r="2881" spans="1:15">
      <c r="A2881" t="s">
        <v>19970</v>
      </c>
      <c r="B2881" t="s">
        <v>367</v>
      </c>
      <c r="C2881" t="s">
        <v>19971</v>
      </c>
      <c r="D2881" t="s">
        <v>19972</v>
      </c>
      <c r="E2881" t="b">
        <v>0</v>
      </c>
      <c r="F2881" t="s">
        <v>11622</v>
      </c>
      <c r="L2881">
        <v>1</v>
      </c>
      <c r="M2881">
        <v>10</v>
      </c>
      <c r="N2881">
        <v>14</v>
      </c>
    </row>
    <row r="2882" spans="1:15">
      <c r="A2882" t="s">
        <v>19964</v>
      </c>
      <c r="B2882" t="s">
        <v>6742</v>
      </c>
      <c r="C2882" t="s">
        <v>11994</v>
      </c>
      <c r="D2882" t="s">
        <v>19973</v>
      </c>
      <c r="E2882" t="b">
        <v>0</v>
      </c>
      <c r="F2882" t="s">
        <v>11622</v>
      </c>
      <c r="L2882">
        <v>3</v>
      </c>
      <c r="M2882">
        <v>5</v>
      </c>
      <c r="N2882">
        <v>5</v>
      </c>
    </row>
    <row r="2883" spans="1:15">
      <c r="A2883" t="s">
        <v>19974</v>
      </c>
      <c r="B2883" t="s">
        <v>6742</v>
      </c>
      <c r="C2883" t="s">
        <v>18598</v>
      </c>
      <c r="D2883" t="s">
        <v>19975</v>
      </c>
      <c r="E2883" t="b">
        <v>0</v>
      </c>
      <c r="F2883" t="s">
        <v>11610</v>
      </c>
      <c r="L2883">
        <v>0</v>
      </c>
      <c r="M2883">
        <v>0</v>
      </c>
      <c r="N2883">
        <v>0</v>
      </c>
    </row>
    <row r="2884" spans="1:15">
      <c r="A2884" t="s">
        <v>19976</v>
      </c>
      <c r="B2884" t="s">
        <v>6742</v>
      </c>
      <c r="C2884" t="s">
        <v>500</v>
      </c>
      <c r="D2884" t="s">
        <v>19977</v>
      </c>
      <c r="E2884" t="b">
        <v>0</v>
      </c>
      <c r="F2884" t="s">
        <v>11624</v>
      </c>
      <c r="G2884">
        <v>3.5363799999999999</v>
      </c>
      <c r="H2884">
        <v>8.6892899999999997</v>
      </c>
      <c r="I2884" t="s">
        <v>19978</v>
      </c>
      <c r="L2884">
        <v>0</v>
      </c>
      <c r="M2884">
        <v>0</v>
      </c>
      <c r="N2884">
        <v>3</v>
      </c>
      <c r="O2884" t="s">
        <v>19979</v>
      </c>
    </row>
    <row r="2885" spans="1:15">
      <c r="A2885" t="s">
        <v>19980</v>
      </c>
      <c r="B2885" t="s">
        <v>6742</v>
      </c>
      <c r="C2885" t="s">
        <v>19981</v>
      </c>
      <c r="D2885" t="s">
        <v>19982</v>
      </c>
      <c r="E2885" t="b">
        <v>0</v>
      </c>
      <c r="F2885" t="s">
        <v>11610</v>
      </c>
      <c r="L2885">
        <v>0</v>
      </c>
      <c r="M2885">
        <v>0</v>
      </c>
      <c r="N2885">
        <v>0</v>
      </c>
    </row>
    <row r="2886" spans="1:15">
      <c r="A2886" t="s">
        <v>19983</v>
      </c>
      <c r="B2886" t="s">
        <v>11627</v>
      </c>
      <c r="C2886" t="s">
        <v>11627</v>
      </c>
      <c r="D2886" t="s">
        <v>19984</v>
      </c>
      <c r="E2886" t="b">
        <v>1</v>
      </c>
      <c r="F2886" t="s">
        <v>11624</v>
      </c>
      <c r="G2886">
        <v>4.0217799999999997</v>
      </c>
      <c r="H2886">
        <v>9.2230399999999992</v>
      </c>
      <c r="I2886" t="s">
        <v>19985</v>
      </c>
      <c r="L2886">
        <v>0</v>
      </c>
      <c r="M2886">
        <v>0</v>
      </c>
      <c r="N2886">
        <v>0</v>
      </c>
      <c r="O2886" t="s">
        <v>11703</v>
      </c>
    </row>
    <row r="2887" spans="1:15">
      <c r="A2887" t="s">
        <v>19986</v>
      </c>
      <c r="B2887" t="s">
        <v>6742</v>
      </c>
      <c r="C2887" t="s">
        <v>19987</v>
      </c>
      <c r="D2887" t="s">
        <v>19988</v>
      </c>
      <c r="E2887" t="b">
        <v>0</v>
      </c>
      <c r="F2887" t="s">
        <v>11624</v>
      </c>
      <c r="G2887">
        <v>-1.1676200000000001</v>
      </c>
      <c r="H2887">
        <v>12.322509999999999</v>
      </c>
      <c r="I2887" t="s">
        <v>19989</v>
      </c>
      <c r="L2887">
        <v>0</v>
      </c>
      <c r="M2887">
        <v>0</v>
      </c>
      <c r="N2887">
        <v>0</v>
      </c>
      <c r="O2887" t="s">
        <v>16915</v>
      </c>
    </row>
    <row r="2888" spans="1:15">
      <c r="A2888" t="s">
        <v>19990</v>
      </c>
      <c r="B2888" t="s">
        <v>11615</v>
      </c>
      <c r="C2888" t="s">
        <v>19991</v>
      </c>
      <c r="D2888" t="s">
        <v>19992</v>
      </c>
      <c r="E2888" t="b">
        <v>0</v>
      </c>
      <c r="F2888" t="s">
        <v>11610</v>
      </c>
      <c r="L2888">
        <v>0</v>
      </c>
      <c r="M2888">
        <v>0</v>
      </c>
      <c r="N2888">
        <v>0</v>
      </c>
    </row>
    <row r="2889" spans="1:15">
      <c r="A2889" t="s">
        <v>19993</v>
      </c>
      <c r="B2889" t="s">
        <v>367</v>
      </c>
      <c r="C2889" t="s">
        <v>19994</v>
      </c>
      <c r="D2889" t="s">
        <v>19995</v>
      </c>
      <c r="E2889" t="b">
        <v>0</v>
      </c>
      <c r="F2889" t="s">
        <v>11610</v>
      </c>
      <c r="L2889">
        <v>0</v>
      </c>
      <c r="M2889">
        <v>0</v>
      </c>
      <c r="N2889">
        <v>0</v>
      </c>
    </row>
    <row r="2890" spans="1:15">
      <c r="A2890" t="s">
        <v>19996</v>
      </c>
      <c r="B2890" t="s">
        <v>11981</v>
      </c>
      <c r="C2890" t="s">
        <v>19997</v>
      </c>
      <c r="D2890" t="s">
        <v>19998</v>
      </c>
      <c r="E2890" t="b">
        <v>0</v>
      </c>
      <c r="F2890" t="s">
        <v>11610</v>
      </c>
      <c r="L2890">
        <v>0</v>
      </c>
      <c r="M2890">
        <v>0</v>
      </c>
      <c r="N2890">
        <v>0</v>
      </c>
    </row>
    <row r="2891" spans="1:15">
      <c r="A2891" t="s">
        <v>19999</v>
      </c>
      <c r="B2891" t="s">
        <v>12438</v>
      </c>
      <c r="C2891" t="s">
        <v>18412</v>
      </c>
      <c r="D2891" t="s">
        <v>20000</v>
      </c>
      <c r="E2891" t="b">
        <v>0</v>
      </c>
      <c r="F2891" t="s">
        <v>11610</v>
      </c>
      <c r="L2891">
        <v>0</v>
      </c>
      <c r="M2891">
        <v>0</v>
      </c>
      <c r="N2891">
        <v>0</v>
      </c>
    </row>
    <row r="2892" spans="1:15">
      <c r="A2892" t="s">
        <v>20001</v>
      </c>
      <c r="B2892" t="s">
        <v>367</v>
      </c>
      <c r="C2892" t="s">
        <v>4567</v>
      </c>
      <c r="D2892" t="s">
        <v>20002</v>
      </c>
      <c r="E2892" t="b">
        <v>0</v>
      </c>
      <c r="F2892" t="s">
        <v>11610</v>
      </c>
      <c r="L2892">
        <v>0</v>
      </c>
      <c r="M2892">
        <v>0</v>
      </c>
      <c r="N2892">
        <v>0</v>
      </c>
    </row>
    <row r="2893" spans="1:15">
      <c r="A2893" t="s">
        <v>20003</v>
      </c>
      <c r="B2893" t="s">
        <v>11637</v>
      </c>
      <c r="C2893" t="s">
        <v>20004</v>
      </c>
      <c r="D2893" t="s">
        <v>20005</v>
      </c>
      <c r="E2893" t="b">
        <v>0</v>
      </c>
      <c r="F2893" t="s">
        <v>11610</v>
      </c>
      <c r="L2893">
        <v>0</v>
      </c>
      <c r="M2893">
        <v>0</v>
      </c>
      <c r="N2893">
        <v>0</v>
      </c>
    </row>
    <row r="2894" spans="1:15">
      <c r="A2894" t="s">
        <v>20006</v>
      </c>
      <c r="B2894" t="s">
        <v>12438</v>
      </c>
      <c r="C2894" t="s">
        <v>20007</v>
      </c>
      <c r="D2894" t="s">
        <v>20008</v>
      </c>
      <c r="E2894" t="b">
        <v>0</v>
      </c>
      <c r="F2894" t="s">
        <v>11624</v>
      </c>
      <c r="G2894">
        <v>11.691700000000001</v>
      </c>
      <c r="H2894">
        <v>106.691</v>
      </c>
      <c r="I2894" t="s">
        <v>20009</v>
      </c>
      <c r="L2894">
        <v>0</v>
      </c>
      <c r="M2894">
        <v>0</v>
      </c>
      <c r="N2894">
        <v>0</v>
      </c>
      <c r="O2894" t="s">
        <v>20010</v>
      </c>
    </row>
    <row r="2895" spans="1:15">
      <c r="A2895" t="s">
        <v>20011</v>
      </c>
      <c r="B2895" t="s">
        <v>12438</v>
      </c>
      <c r="C2895" t="s">
        <v>20012</v>
      </c>
      <c r="D2895" t="s">
        <v>20013</v>
      </c>
      <c r="E2895" t="b">
        <v>0</v>
      </c>
      <c r="F2895" t="s">
        <v>11610</v>
      </c>
      <c r="L2895">
        <v>0</v>
      </c>
      <c r="M2895">
        <v>0</v>
      </c>
      <c r="N2895">
        <v>0</v>
      </c>
    </row>
    <row r="2896" spans="1:15">
      <c r="A2896" t="s">
        <v>20014</v>
      </c>
      <c r="B2896" t="s">
        <v>6742</v>
      </c>
      <c r="C2896" t="s">
        <v>20015</v>
      </c>
      <c r="D2896" t="s">
        <v>20016</v>
      </c>
      <c r="E2896" t="b">
        <v>0</v>
      </c>
      <c r="F2896" t="s">
        <v>11610</v>
      </c>
      <c r="L2896">
        <v>0</v>
      </c>
      <c r="M2896">
        <v>0</v>
      </c>
      <c r="N2896">
        <v>0</v>
      </c>
    </row>
    <row r="2897" spans="1:15">
      <c r="A2897" t="s">
        <v>20017</v>
      </c>
      <c r="B2897" t="s">
        <v>367</v>
      </c>
      <c r="C2897" t="s">
        <v>20018</v>
      </c>
      <c r="D2897" t="s">
        <v>20019</v>
      </c>
      <c r="E2897" t="b">
        <v>0</v>
      </c>
      <c r="F2897" t="s">
        <v>11624</v>
      </c>
      <c r="G2897">
        <v>-9.2980199999999993</v>
      </c>
      <c r="H2897">
        <v>153.68899999999999</v>
      </c>
      <c r="I2897" t="s">
        <v>20020</v>
      </c>
      <c r="L2897">
        <v>0</v>
      </c>
      <c r="M2897">
        <v>0</v>
      </c>
      <c r="N2897">
        <v>0</v>
      </c>
      <c r="O2897" t="s">
        <v>11660</v>
      </c>
    </row>
    <row r="2898" spans="1:15">
      <c r="A2898" t="s">
        <v>20021</v>
      </c>
      <c r="B2898" t="s">
        <v>6742</v>
      </c>
      <c r="C2898" t="s">
        <v>20022</v>
      </c>
      <c r="D2898" t="s">
        <v>20023</v>
      </c>
      <c r="E2898" t="b">
        <v>0</v>
      </c>
      <c r="F2898" t="s">
        <v>11622</v>
      </c>
      <c r="L2898">
        <v>0</v>
      </c>
      <c r="M2898">
        <v>2</v>
      </c>
      <c r="N2898">
        <v>4</v>
      </c>
    </row>
    <row r="2899" spans="1:15">
      <c r="A2899" t="s">
        <v>20024</v>
      </c>
      <c r="B2899" t="s">
        <v>6742</v>
      </c>
      <c r="C2899" t="s">
        <v>20025</v>
      </c>
      <c r="D2899" t="s">
        <v>20026</v>
      </c>
      <c r="E2899" t="b">
        <v>0</v>
      </c>
      <c r="F2899" t="s">
        <v>11610</v>
      </c>
      <c r="L2899">
        <v>0</v>
      </c>
      <c r="M2899">
        <v>0</v>
      </c>
      <c r="N2899">
        <v>0</v>
      </c>
    </row>
    <row r="2900" spans="1:15">
      <c r="A2900" t="s">
        <v>20027</v>
      </c>
      <c r="B2900" t="s">
        <v>367</v>
      </c>
      <c r="C2900" t="s">
        <v>20028</v>
      </c>
      <c r="D2900" t="s">
        <v>20029</v>
      </c>
      <c r="E2900" t="b">
        <v>0</v>
      </c>
      <c r="F2900" t="s">
        <v>11624</v>
      </c>
      <c r="G2900">
        <v>-2.0775600000000001</v>
      </c>
      <c r="H2900">
        <v>119.327</v>
      </c>
      <c r="I2900" t="s">
        <v>20030</v>
      </c>
      <c r="L2900">
        <v>0</v>
      </c>
      <c r="M2900">
        <v>0</v>
      </c>
      <c r="N2900">
        <v>0</v>
      </c>
      <c r="O2900" t="s">
        <v>11768</v>
      </c>
    </row>
    <row r="2901" spans="1:15">
      <c r="A2901" t="s">
        <v>20031</v>
      </c>
      <c r="B2901" t="s">
        <v>12311</v>
      </c>
      <c r="C2901" t="s">
        <v>20032</v>
      </c>
      <c r="D2901" t="s">
        <v>20033</v>
      </c>
      <c r="E2901" t="b">
        <v>0</v>
      </c>
      <c r="F2901" t="s">
        <v>11624</v>
      </c>
      <c r="G2901">
        <v>41.227200000000003</v>
      </c>
      <c r="H2901">
        <v>48.335299999999997</v>
      </c>
      <c r="I2901" t="s">
        <v>20034</v>
      </c>
      <c r="L2901">
        <v>0</v>
      </c>
      <c r="M2901">
        <v>0</v>
      </c>
      <c r="N2901">
        <v>2</v>
      </c>
      <c r="O2901" t="s">
        <v>12049</v>
      </c>
    </row>
    <row r="2902" spans="1:15">
      <c r="A2902" t="s">
        <v>20035</v>
      </c>
      <c r="B2902" t="s">
        <v>12311</v>
      </c>
      <c r="C2902" t="s">
        <v>20031</v>
      </c>
      <c r="D2902" t="s">
        <v>20036</v>
      </c>
      <c r="E2902" t="b">
        <v>0</v>
      </c>
      <c r="F2902" t="s">
        <v>11610</v>
      </c>
      <c r="L2902">
        <v>0</v>
      </c>
      <c r="M2902">
        <v>0</v>
      </c>
      <c r="N2902">
        <v>0</v>
      </c>
    </row>
    <row r="2903" spans="1:15">
      <c r="A2903" t="s">
        <v>15793</v>
      </c>
      <c r="B2903" t="s">
        <v>6742</v>
      </c>
      <c r="C2903" t="s">
        <v>17869</v>
      </c>
      <c r="D2903" t="s">
        <v>20037</v>
      </c>
      <c r="E2903" t="b">
        <v>0</v>
      </c>
      <c r="F2903" t="s">
        <v>11624</v>
      </c>
      <c r="G2903">
        <v>2.00501</v>
      </c>
      <c r="H2903">
        <v>27.951000000000001</v>
      </c>
      <c r="I2903" t="s">
        <v>20038</v>
      </c>
      <c r="L2903">
        <v>0</v>
      </c>
      <c r="M2903">
        <v>0</v>
      </c>
      <c r="N2903">
        <v>8</v>
      </c>
      <c r="O2903" t="s">
        <v>14825</v>
      </c>
    </row>
    <row r="2904" spans="1:15">
      <c r="A2904" t="s">
        <v>20039</v>
      </c>
      <c r="B2904" t="s">
        <v>11607</v>
      </c>
      <c r="C2904" t="s">
        <v>16499</v>
      </c>
      <c r="D2904" t="s">
        <v>20040</v>
      </c>
      <c r="E2904" t="b">
        <v>0</v>
      </c>
      <c r="F2904" t="s">
        <v>11610</v>
      </c>
      <c r="L2904">
        <v>0</v>
      </c>
      <c r="M2904">
        <v>0</v>
      </c>
      <c r="N2904">
        <v>0</v>
      </c>
    </row>
    <row r="2905" spans="1:15">
      <c r="A2905" t="s">
        <v>20041</v>
      </c>
      <c r="B2905" t="s">
        <v>11607</v>
      </c>
      <c r="C2905" t="s">
        <v>20042</v>
      </c>
      <c r="D2905" t="s">
        <v>20043</v>
      </c>
      <c r="E2905" t="b">
        <v>0</v>
      </c>
      <c r="F2905" t="s">
        <v>11624</v>
      </c>
      <c r="G2905">
        <v>13.0692</v>
      </c>
      <c r="H2905">
        <v>14.449199999999999</v>
      </c>
      <c r="I2905" t="s">
        <v>20044</v>
      </c>
      <c r="L2905">
        <v>0</v>
      </c>
      <c r="M2905">
        <v>0</v>
      </c>
      <c r="N2905">
        <v>4</v>
      </c>
      <c r="O2905" t="s">
        <v>20045</v>
      </c>
    </row>
    <row r="2906" spans="1:15">
      <c r="A2906" t="s">
        <v>20046</v>
      </c>
      <c r="B2906" t="s">
        <v>6742</v>
      </c>
      <c r="C2906" t="s">
        <v>20047</v>
      </c>
      <c r="D2906" t="s">
        <v>20048</v>
      </c>
      <c r="E2906" t="b">
        <v>0</v>
      </c>
      <c r="F2906" t="s">
        <v>11610</v>
      </c>
      <c r="L2906">
        <v>0</v>
      </c>
      <c r="M2906">
        <v>0</v>
      </c>
      <c r="N2906">
        <v>0</v>
      </c>
    </row>
    <row r="2907" spans="1:15">
      <c r="A2907" t="s">
        <v>19661</v>
      </c>
      <c r="B2907" t="s">
        <v>6742</v>
      </c>
      <c r="C2907" t="s">
        <v>20021</v>
      </c>
      <c r="D2907" t="s">
        <v>20049</v>
      </c>
      <c r="E2907" t="b">
        <v>0</v>
      </c>
      <c r="F2907" t="s">
        <v>11624</v>
      </c>
      <c r="G2907">
        <v>2.1995100000000001</v>
      </c>
      <c r="H2907">
        <v>22.610700000000001</v>
      </c>
      <c r="I2907" t="s">
        <v>20050</v>
      </c>
      <c r="L2907">
        <v>0</v>
      </c>
      <c r="M2907">
        <v>0</v>
      </c>
      <c r="N2907">
        <v>4</v>
      </c>
      <c r="O2907" t="s">
        <v>14825</v>
      </c>
    </row>
    <row r="2908" spans="1:15">
      <c r="A2908" t="s">
        <v>20051</v>
      </c>
      <c r="B2908" t="s">
        <v>9348</v>
      </c>
      <c r="C2908" t="s">
        <v>20052</v>
      </c>
      <c r="D2908" t="s">
        <v>20053</v>
      </c>
      <c r="E2908" t="b">
        <v>0</v>
      </c>
      <c r="F2908" t="s">
        <v>11624</v>
      </c>
      <c r="G2908">
        <v>35.220379999999999</v>
      </c>
      <c r="H2908">
        <v>-119.23748000000001</v>
      </c>
      <c r="L2908">
        <v>0</v>
      </c>
      <c r="M2908">
        <v>0</v>
      </c>
      <c r="N2908">
        <v>2</v>
      </c>
      <c r="O2908" t="s">
        <v>11944</v>
      </c>
    </row>
    <row r="2909" spans="1:15">
      <c r="A2909" t="s">
        <v>20054</v>
      </c>
      <c r="B2909" t="s">
        <v>5911</v>
      </c>
      <c r="C2909" t="s">
        <v>20055</v>
      </c>
      <c r="D2909" t="s">
        <v>20056</v>
      </c>
      <c r="E2909" t="b">
        <v>0</v>
      </c>
      <c r="F2909" t="s">
        <v>11610</v>
      </c>
      <c r="L2909">
        <v>0</v>
      </c>
      <c r="M2909">
        <v>0</v>
      </c>
      <c r="N2909">
        <v>0</v>
      </c>
    </row>
    <row r="2910" spans="1:15">
      <c r="A2910" t="s">
        <v>20057</v>
      </c>
      <c r="B2910" t="s">
        <v>367</v>
      </c>
      <c r="C2910" t="s">
        <v>11928</v>
      </c>
      <c r="D2910" t="s">
        <v>20058</v>
      </c>
      <c r="E2910" t="b">
        <v>0</v>
      </c>
      <c r="F2910" t="s">
        <v>11610</v>
      </c>
      <c r="L2910">
        <v>0</v>
      </c>
      <c r="M2910">
        <v>0</v>
      </c>
      <c r="N2910">
        <v>0</v>
      </c>
    </row>
    <row r="2911" spans="1:15">
      <c r="A2911" t="s">
        <v>20059</v>
      </c>
      <c r="B2911" t="s">
        <v>6742</v>
      </c>
      <c r="C2911" t="s">
        <v>174</v>
      </c>
      <c r="D2911" t="s">
        <v>20060</v>
      </c>
      <c r="E2911" t="b">
        <v>0</v>
      </c>
      <c r="F2911" t="s">
        <v>11610</v>
      </c>
      <c r="L2911">
        <v>0</v>
      </c>
      <c r="M2911">
        <v>0</v>
      </c>
      <c r="N2911">
        <v>0</v>
      </c>
    </row>
    <row r="2912" spans="1:15">
      <c r="A2912" t="s">
        <v>20061</v>
      </c>
      <c r="B2912" t="s">
        <v>6742</v>
      </c>
      <c r="C2912" t="s">
        <v>167</v>
      </c>
      <c r="D2912" t="s">
        <v>20062</v>
      </c>
      <c r="E2912" t="b">
        <v>0</v>
      </c>
      <c r="F2912" t="s">
        <v>11610</v>
      </c>
      <c r="L2912">
        <v>0</v>
      </c>
      <c r="M2912">
        <v>0</v>
      </c>
      <c r="N2912">
        <v>0</v>
      </c>
    </row>
    <row r="2913" spans="1:15">
      <c r="A2913" t="s">
        <v>20063</v>
      </c>
      <c r="B2913" t="s">
        <v>12438</v>
      </c>
      <c r="C2913" t="s">
        <v>19320</v>
      </c>
      <c r="D2913" t="s">
        <v>20064</v>
      </c>
      <c r="E2913" t="b">
        <v>0</v>
      </c>
      <c r="F2913" t="s">
        <v>11624</v>
      </c>
      <c r="G2913">
        <v>23.612400000000001</v>
      </c>
      <c r="H2913">
        <v>104.96299999999999</v>
      </c>
      <c r="I2913" t="s">
        <v>20065</v>
      </c>
      <c r="L2913">
        <v>0</v>
      </c>
      <c r="M2913">
        <v>0</v>
      </c>
      <c r="N2913">
        <v>0</v>
      </c>
      <c r="O2913" t="s">
        <v>11905</v>
      </c>
    </row>
    <row r="2914" spans="1:15">
      <c r="A2914" t="s">
        <v>20066</v>
      </c>
      <c r="B2914" t="s">
        <v>4236</v>
      </c>
      <c r="C2914" t="s">
        <v>13929</v>
      </c>
      <c r="D2914" t="s">
        <v>20067</v>
      </c>
      <c r="E2914" t="b">
        <v>0</v>
      </c>
      <c r="F2914" t="s">
        <v>11610</v>
      </c>
      <c r="L2914">
        <v>0</v>
      </c>
      <c r="M2914">
        <v>0</v>
      </c>
      <c r="N2914">
        <v>0</v>
      </c>
    </row>
    <row r="2915" spans="1:15">
      <c r="A2915" t="s">
        <v>20068</v>
      </c>
      <c r="B2915" t="s">
        <v>367</v>
      </c>
      <c r="C2915" t="s">
        <v>4260</v>
      </c>
      <c r="D2915" t="s">
        <v>20069</v>
      </c>
      <c r="E2915" t="b">
        <v>0</v>
      </c>
      <c r="F2915" t="s">
        <v>11610</v>
      </c>
      <c r="L2915">
        <v>0</v>
      </c>
      <c r="M2915">
        <v>0</v>
      </c>
      <c r="N2915">
        <v>0</v>
      </c>
    </row>
    <row r="2916" spans="1:15">
      <c r="A2916" t="s">
        <v>20070</v>
      </c>
      <c r="B2916" t="s">
        <v>367</v>
      </c>
      <c r="C2916" t="s">
        <v>20071</v>
      </c>
      <c r="D2916" t="s">
        <v>20072</v>
      </c>
      <c r="E2916" t="b">
        <v>0</v>
      </c>
      <c r="F2916" t="s">
        <v>11624</v>
      </c>
      <c r="G2916">
        <v>-6.6751899999999997</v>
      </c>
      <c r="H2916">
        <v>147.32</v>
      </c>
      <c r="I2916" t="s">
        <v>20073</v>
      </c>
      <c r="L2916">
        <v>0</v>
      </c>
      <c r="M2916">
        <v>0</v>
      </c>
      <c r="N2916">
        <v>0</v>
      </c>
      <c r="O2916" t="s">
        <v>11660</v>
      </c>
    </row>
    <row r="2917" spans="1:15">
      <c r="A2917" t="s">
        <v>20074</v>
      </c>
      <c r="B2917" t="s">
        <v>11627</v>
      </c>
      <c r="C2917" t="s">
        <v>11627</v>
      </c>
      <c r="D2917" t="s">
        <v>20075</v>
      </c>
      <c r="E2917" t="b">
        <v>1</v>
      </c>
      <c r="F2917" t="s">
        <v>11624</v>
      </c>
      <c r="I2917" t="s">
        <v>20076</v>
      </c>
      <c r="L2917">
        <v>0</v>
      </c>
      <c r="M2917">
        <v>0</v>
      </c>
      <c r="N2917">
        <v>0</v>
      </c>
      <c r="O2917" t="s">
        <v>11905</v>
      </c>
    </row>
    <row r="2918" spans="1:15">
      <c r="A2918" t="s">
        <v>20077</v>
      </c>
      <c r="B2918" t="s">
        <v>6742</v>
      </c>
      <c r="C2918" t="s">
        <v>19241</v>
      </c>
      <c r="D2918" t="s">
        <v>20078</v>
      </c>
      <c r="E2918" t="b">
        <v>0</v>
      </c>
      <c r="F2918" t="s">
        <v>11610</v>
      </c>
      <c r="L2918">
        <v>0</v>
      </c>
      <c r="M2918">
        <v>0</v>
      </c>
      <c r="N2918">
        <v>0</v>
      </c>
    </row>
    <row r="2919" spans="1:15">
      <c r="A2919" t="s">
        <v>20079</v>
      </c>
      <c r="B2919" t="s">
        <v>367</v>
      </c>
      <c r="C2919" t="s">
        <v>20080</v>
      </c>
      <c r="D2919" t="s">
        <v>20081</v>
      </c>
      <c r="E2919" t="b">
        <v>0</v>
      </c>
      <c r="F2919" t="s">
        <v>11624</v>
      </c>
      <c r="G2919">
        <v>-8.4794800000000006</v>
      </c>
      <c r="H2919">
        <v>159.80199999999999</v>
      </c>
      <c r="I2919" t="s">
        <v>20082</v>
      </c>
      <c r="L2919">
        <v>0</v>
      </c>
      <c r="M2919">
        <v>0</v>
      </c>
      <c r="N2919">
        <v>2</v>
      </c>
      <c r="O2919" t="s">
        <v>13346</v>
      </c>
    </row>
    <row r="2920" spans="1:15">
      <c r="A2920" t="s">
        <v>20083</v>
      </c>
      <c r="B2920" t="s">
        <v>367</v>
      </c>
      <c r="C2920" t="s">
        <v>20084</v>
      </c>
      <c r="D2920" t="s">
        <v>20085</v>
      </c>
      <c r="E2920" t="b">
        <v>0</v>
      </c>
      <c r="F2920" t="s">
        <v>11622</v>
      </c>
      <c r="L2920">
        <v>2</v>
      </c>
      <c r="M2920">
        <v>4</v>
      </c>
      <c r="N2920">
        <v>14</v>
      </c>
    </row>
    <row r="2921" spans="1:15">
      <c r="A2921" t="s">
        <v>17148</v>
      </c>
      <c r="B2921" t="s">
        <v>367</v>
      </c>
      <c r="C2921" t="s">
        <v>20086</v>
      </c>
      <c r="D2921" t="s">
        <v>20087</v>
      </c>
      <c r="E2921" t="b">
        <v>0</v>
      </c>
      <c r="F2921" t="s">
        <v>11624</v>
      </c>
      <c r="G2921">
        <v>-4.47</v>
      </c>
      <c r="H2921">
        <v>119.977</v>
      </c>
      <c r="I2921" t="s">
        <v>20088</v>
      </c>
      <c r="L2921">
        <v>0</v>
      </c>
      <c r="M2921">
        <v>0</v>
      </c>
      <c r="N2921">
        <v>11</v>
      </c>
      <c r="O2921" t="s">
        <v>11768</v>
      </c>
    </row>
    <row r="2922" spans="1:15">
      <c r="A2922" t="s">
        <v>20086</v>
      </c>
      <c r="B2922" t="s">
        <v>367</v>
      </c>
      <c r="C2922" t="s">
        <v>20083</v>
      </c>
      <c r="D2922" t="s">
        <v>20089</v>
      </c>
      <c r="E2922" t="b">
        <v>0</v>
      </c>
      <c r="F2922" t="s">
        <v>11622</v>
      </c>
      <c r="L2922">
        <v>0</v>
      </c>
      <c r="M2922">
        <v>2</v>
      </c>
      <c r="N2922">
        <v>13</v>
      </c>
    </row>
    <row r="2923" spans="1:15">
      <c r="A2923" t="s">
        <v>20090</v>
      </c>
      <c r="B2923" t="s">
        <v>11686</v>
      </c>
      <c r="C2923" t="s">
        <v>2916</v>
      </c>
      <c r="D2923" t="s">
        <v>20091</v>
      </c>
      <c r="E2923" t="b">
        <v>0</v>
      </c>
      <c r="F2923" t="s">
        <v>11610</v>
      </c>
      <c r="L2923">
        <v>0</v>
      </c>
      <c r="M2923">
        <v>0</v>
      </c>
      <c r="N2923">
        <v>0</v>
      </c>
    </row>
    <row r="2924" spans="1:15">
      <c r="A2924" t="s">
        <v>19205</v>
      </c>
      <c r="B2924" t="s">
        <v>6455</v>
      </c>
      <c r="C2924" t="s">
        <v>20092</v>
      </c>
      <c r="D2924" t="s">
        <v>20093</v>
      </c>
      <c r="E2924" t="b">
        <v>0</v>
      </c>
      <c r="F2924" t="s">
        <v>11624</v>
      </c>
      <c r="G2924">
        <v>8.5769500000000001</v>
      </c>
      <c r="H2924">
        <v>-81.256479999999996</v>
      </c>
      <c r="I2924" t="s">
        <v>20094</v>
      </c>
      <c r="L2924">
        <v>0</v>
      </c>
      <c r="M2924">
        <v>0</v>
      </c>
      <c r="N2924">
        <v>2</v>
      </c>
      <c r="O2924" t="s">
        <v>20095</v>
      </c>
    </row>
    <row r="2925" spans="1:15">
      <c r="A2925" t="s">
        <v>20096</v>
      </c>
      <c r="B2925" t="s">
        <v>6742</v>
      </c>
      <c r="C2925" t="s">
        <v>18296</v>
      </c>
      <c r="D2925" t="s">
        <v>20097</v>
      </c>
      <c r="E2925" t="b">
        <v>0</v>
      </c>
      <c r="F2925" t="s">
        <v>11610</v>
      </c>
      <c r="L2925">
        <v>0</v>
      </c>
      <c r="M2925">
        <v>0</v>
      </c>
      <c r="N2925">
        <v>0</v>
      </c>
    </row>
    <row r="2926" spans="1:15">
      <c r="A2926" t="s">
        <v>20098</v>
      </c>
      <c r="B2926" t="s">
        <v>11644</v>
      </c>
      <c r="C2926" t="s">
        <v>20099</v>
      </c>
      <c r="D2926" t="s">
        <v>20100</v>
      </c>
      <c r="E2926" t="b">
        <v>0</v>
      </c>
      <c r="F2926" t="s">
        <v>11610</v>
      </c>
      <c r="L2926">
        <v>0</v>
      </c>
      <c r="M2926">
        <v>0</v>
      </c>
      <c r="N2926">
        <v>0</v>
      </c>
    </row>
    <row r="2927" spans="1:15">
      <c r="A2927" t="s">
        <v>18428</v>
      </c>
      <c r="B2927" t="s">
        <v>11644</v>
      </c>
      <c r="C2927" t="s">
        <v>20101</v>
      </c>
      <c r="D2927" t="s">
        <v>20102</v>
      </c>
      <c r="E2927" t="b">
        <v>0</v>
      </c>
      <c r="F2927" t="s">
        <v>11624</v>
      </c>
      <c r="G2927">
        <v>27.204000000000001</v>
      </c>
      <c r="H2927">
        <v>92.367000000000004</v>
      </c>
      <c r="I2927" t="s">
        <v>20103</v>
      </c>
      <c r="L2927">
        <v>0</v>
      </c>
      <c r="M2927">
        <v>0</v>
      </c>
      <c r="N2927">
        <v>6</v>
      </c>
      <c r="O2927" t="s">
        <v>11630</v>
      </c>
    </row>
    <row r="2928" spans="1:15">
      <c r="A2928" t="s">
        <v>20104</v>
      </c>
      <c r="B2928" t="s">
        <v>6742</v>
      </c>
      <c r="C2928" t="s">
        <v>20105</v>
      </c>
      <c r="D2928" t="s">
        <v>20106</v>
      </c>
      <c r="E2928" t="b">
        <v>0</v>
      </c>
      <c r="F2928" t="s">
        <v>11610</v>
      </c>
      <c r="L2928">
        <v>0</v>
      </c>
      <c r="M2928">
        <v>0</v>
      </c>
      <c r="N2928">
        <v>0</v>
      </c>
    </row>
    <row r="2929" spans="1:15">
      <c r="A2929" t="s">
        <v>20107</v>
      </c>
      <c r="B2929" t="s">
        <v>11607</v>
      </c>
      <c r="C2929" t="s">
        <v>16499</v>
      </c>
      <c r="D2929" t="s">
        <v>20108</v>
      </c>
      <c r="E2929" t="b">
        <v>0</v>
      </c>
      <c r="F2929" t="s">
        <v>11610</v>
      </c>
      <c r="L2929">
        <v>0</v>
      </c>
      <c r="M2929">
        <v>0</v>
      </c>
      <c r="N2929">
        <v>0</v>
      </c>
    </row>
    <row r="2930" spans="1:15">
      <c r="A2930" t="s">
        <v>20109</v>
      </c>
      <c r="B2930" t="s">
        <v>11637</v>
      </c>
      <c r="C2930" t="s">
        <v>20110</v>
      </c>
      <c r="D2930" t="s">
        <v>20111</v>
      </c>
      <c r="E2930" t="b">
        <v>0</v>
      </c>
      <c r="F2930" t="s">
        <v>11610</v>
      </c>
      <c r="L2930">
        <v>0</v>
      </c>
      <c r="M2930">
        <v>0</v>
      </c>
      <c r="N2930">
        <v>0</v>
      </c>
    </row>
    <row r="2931" spans="1:15">
      <c r="A2931" t="s">
        <v>20112</v>
      </c>
      <c r="B2931" t="s">
        <v>6742</v>
      </c>
      <c r="C2931" t="s">
        <v>12870</v>
      </c>
      <c r="D2931" t="s">
        <v>20113</v>
      </c>
      <c r="E2931" t="b">
        <v>0</v>
      </c>
      <c r="F2931" t="s">
        <v>11610</v>
      </c>
      <c r="L2931">
        <v>0</v>
      </c>
      <c r="M2931">
        <v>0</v>
      </c>
      <c r="N2931">
        <v>0</v>
      </c>
    </row>
    <row r="2932" spans="1:15">
      <c r="A2932" t="s">
        <v>20114</v>
      </c>
      <c r="B2932" t="s">
        <v>367</v>
      </c>
      <c r="C2932" t="s">
        <v>12974</v>
      </c>
      <c r="D2932" t="s">
        <v>20115</v>
      </c>
      <c r="E2932" t="b">
        <v>0</v>
      </c>
      <c r="F2932" t="s">
        <v>11610</v>
      </c>
      <c r="G2932">
        <v>13.17</v>
      </c>
      <c r="H2932">
        <v>123.5</v>
      </c>
      <c r="I2932" t="s">
        <v>20116</v>
      </c>
      <c r="L2932">
        <v>0</v>
      </c>
      <c r="M2932">
        <v>0</v>
      </c>
      <c r="N2932">
        <v>0</v>
      </c>
    </row>
    <row r="2933" spans="1:15">
      <c r="A2933" t="s">
        <v>17390</v>
      </c>
      <c r="B2933" t="s">
        <v>367</v>
      </c>
      <c r="C2933" t="s">
        <v>20117</v>
      </c>
      <c r="D2933" t="s">
        <v>20118</v>
      </c>
      <c r="E2933" t="b">
        <v>0</v>
      </c>
      <c r="F2933" t="s">
        <v>11622</v>
      </c>
      <c r="L2933">
        <v>1</v>
      </c>
      <c r="M2933">
        <v>3</v>
      </c>
      <c r="N2933">
        <v>0</v>
      </c>
    </row>
    <row r="2934" spans="1:15">
      <c r="A2934" t="s">
        <v>20119</v>
      </c>
      <c r="B2934" t="s">
        <v>367</v>
      </c>
      <c r="C2934" t="s">
        <v>17390</v>
      </c>
      <c r="D2934" t="s">
        <v>20120</v>
      </c>
      <c r="E2934" t="b">
        <v>0</v>
      </c>
      <c r="F2934" t="s">
        <v>11624</v>
      </c>
      <c r="G2934">
        <v>12.6396</v>
      </c>
      <c r="H2934">
        <v>121.21</v>
      </c>
      <c r="I2934" t="s">
        <v>20121</v>
      </c>
      <c r="L2934">
        <v>0</v>
      </c>
      <c r="M2934">
        <v>0</v>
      </c>
      <c r="N2934">
        <v>0</v>
      </c>
      <c r="O2934" t="s">
        <v>11749</v>
      </c>
    </row>
    <row r="2935" spans="1:15">
      <c r="A2935" t="s">
        <v>20122</v>
      </c>
      <c r="B2935" t="s">
        <v>367</v>
      </c>
      <c r="C2935" t="s">
        <v>15128</v>
      </c>
      <c r="D2935" t="s">
        <v>20123</v>
      </c>
      <c r="E2935" t="b">
        <v>0</v>
      </c>
      <c r="F2935" t="s">
        <v>11624</v>
      </c>
      <c r="G2935">
        <v>-10.507400000000001</v>
      </c>
      <c r="H2935">
        <v>150.18</v>
      </c>
      <c r="I2935" t="s">
        <v>20124</v>
      </c>
      <c r="L2935">
        <v>0</v>
      </c>
      <c r="M2935">
        <v>0</v>
      </c>
      <c r="N2935">
        <v>0</v>
      </c>
      <c r="O2935" t="s">
        <v>11660</v>
      </c>
    </row>
    <row r="2936" spans="1:15">
      <c r="A2936" t="s">
        <v>20125</v>
      </c>
      <c r="B2936" t="s">
        <v>331</v>
      </c>
      <c r="C2936" t="s">
        <v>20126</v>
      </c>
      <c r="D2936" t="s">
        <v>20127</v>
      </c>
      <c r="E2936" t="b">
        <v>0</v>
      </c>
      <c r="F2936" t="s">
        <v>11610</v>
      </c>
      <c r="L2936">
        <v>0</v>
      </c>
      <c r="M2936">
        <v>0</v>
      </c>
      <c r="N2936">
        <v>0</v>
      </c>
    </row>
    <row r="2937" spans="1:15">
      <c r="A2937" t="s">
        <v>20128</v>
      </c>
      <c r="B2937" t="s">
        <v>16042</v>
      </c>
      <c r="C2937" t="s">
        <v>16042</v>
      </c>
      <c r="D2937" t="s">
        <v>20129</v>
      </c>
      <c r="E2937" t="b">
        <v>0</v>
      </c>
      <c r="F2937" t="s">
        <v>11622</v>
      </c>
      <c r="L2937">
        <v>0</v>
      </c>
      <c r="M2937">
        <v>3</v>
      </c>
      <c r="N2937">
        <v>1</v>
      </c>
    </row>
    <row r="2938" spans="1:15">
      <c r="A2938" t="s">
        <v>20130</v>
      </c>
      <c r="B2938" t="s">
        <v>11644</v>
      </c>
      <c r="C2938" t="s">
        <v>20131</v>
      </c>
      <c r="D2938" t="s">
        <v>20132</v>
      </c>
      <c r="E2938" t="b">
        <v>0</v>
      </c>
      <c r="F2938" t="s">
        <v>11624</v>
      </c>
      <c r="G2938">
        <v>28.008400000000002</v>
      </c>
      <c r="H2938">
        <v>84.506799999999998</v>
      </c>
      <c r="I2938" t="s">
        <v>20133</v>
      </c>
      <c r="L2938">
        <v>0</v>
      </c>
      <c r="M2938">
        <v>0</v>
      </c>
      <c r="N2938">
        <v>0</v>
      </c>
      <c r="O2938" t="s">
        <v>15007</v>
      </c>
    </row>
    <row r="2939" spans="1:15">
      <c r="A2939" t="s">
        <v>20134</v>
      </c>
      <c r="B2939" t="s">
        <v>6742</v>
      </c>
      <c r="C2939" t="s">
        <v>20135</v>
      </c>
      <c r="D2939" t="s">
        <v>20136</v>
      </c>
      <c r="E2939" t="b">
        <v>0</v>
      </c>
      <c r="F2939" t="s">
        <v>11610</v>
      </c>
      <c r="L2939">
        <v>0</v>
      </c>
      <c r="M2939">
        <v>0</v>
      </c>
      <c r="N2939">
        <v>0</v>
      </c>
    </row>
    <row r="2940" spans="1:15">
      <c r="A2940" t="s">
        <v>20137</v>
      </c>
      <c r="B2940" t="s">
        <v>6742</v>
      </c>
      <c r="C2940" t="s">
        <v>20138</v>
      </c>
      <c r="D2940" t="s">
        <v>20139</v>
      </c>
      <c r="E2940" t="b">
        <v>0</v>
      </c>
      <c r="F2940" t="s">
        <v>11610</v>
      </c>
      <c r="L2940">
        <v>0</v>
      </c>
      <c r="M2940">
        <v>0</v>
      </c>
      <c r="N2940">
        <v>0</v>
      </c>
    </row>
    <row r="2941" spans="1:15">
      <c r="A2941" t="s">
        <v>20140</v>
      </c>
      <c r="B2941" t="s">
        <v>6742</v>
      </c>
      <c r="C2941" t="s">
        <v>16536</v>
      </c>
      <c r="D2941" t="s">
        <v>20141</v>
      </c>
      <c r="E2941" t="b">
        <v>0</v>
      </c>
      <c r="F2941" t="s">
        <v>11610</v>
      </c>
      <c r="L2941">
        <v>0</v>
      </c>
      <c r="M2941">
        <v>0</v>
      </c>
      <c r="N2941">
        <v>0</v>
      </c>
    </row>
    <row r="2942" spans="1:15">
      <c r="A2942" t="s">
        <v>20142</v>
      </c>
      <c r="B2942" t="s">
        <v>6742</v>
      </c>
      <c r="C2942" t="s">
        <v>5545</v>
      </c>
      <c r="D2942" t="s">
        <v>20143</v>
      </c>
      <c r="E2942" t="b">
        <v>0</v>
      </c>
      <c r="F2942" t="s">
        <v>11610</v>
      </c>
      <c r="L2942">
        <v>0</v>
      </c>
      <c r="M2942">
        <v>0</v>
      </c>
      <c r="N2942">
        <v>0</v>
      </c>
    </row>
    <row r="2943" spans="1:15">
      <c r="A2943" t="s">
        <v>20144</v>
      </c>
      <c r="B2943" t="s">
        <v>367</v>
      </c>
      <c r="C2943" t="s">
        <v>20145</v>
      </c>
      <c r="D2943" t="s">
        <v>20146</v>
      </c>
      <c r="E2943" t="b">
        <v>0</v>
      </c>
      <c r="F2943" t="s">
        <v>11624</v>
      </c>
      <c r="G2943">
        <v>0.96816999999999998</v>
      </c>
      <c r="H2943">
        <v>110.657</v>
      </c>
      <c r="I2943" t="s">
        <v>20147</v>
      </c>
      <c r="L2943">
        <v>0</v>
      </c>
      <c r="M2943">
        <v>0</v>
      </c>
      <c r="N2943">
        <v>3</v>
      </c>
      <c r="O2943" t="s">
        <v>16728</v>
      </c>
    </row>
    <row r="2944" spans="1:15">
      <c r="A2944" t="s">
        <v>20148</v>
      </c>
      <c r="B2944" t="s">
        <v>367</v>
      </c>
      <c r="C2944" t="s">
        <v>20144</v>
      </c>
      <c r="D2944" t="s">
        <v>20149</v>
      </c>
      <c r="E2944" t="b">
        <v>0</v>
      </c>
      <c r="F2944" t="s">
        <v>11610</v>
      </c>
      <c r="L2944">
        <v>0</v>
      </c>
      <c r="M2944">
        <v>0</v>
      </c>
      <c r="N2944">
        <v>0</v>
      </c>
    </row>
    <row r="2945" spans="1:15">
      <c r="A2945" t="s">
        <v>20150</v>
      </c>
      <c r="B2945" t="s">
        <v>367</v>
      </c>
      <c r="C2945" t="s">
        <v>20144</v>
      </c>
      <c r="D2945" t="s">
        <v>20151</v>
      </c>
      <c r="E2945" t="b">
        <v>0</v>
      </c>
      <c r="F2945" t="s">
        <v>11610</v>
      </c>
      <c r="L2945">
        <v>0</v>
      </c>
      <c r="M2945">
        <v>0</v>
      </c>
      <c r="N2945">
        <v>0</v>
      </c>
    </row>
    <row r="2946" spans="1:15">
      <c r="A2946" t="s">
        <v>20152</v>
      </c>
      <c r="B2946" t="s">
        <v>367</v>
      </c>
      <c r="C2946" t="s">
        <v>17632</v>
      </c>
      <c r="D2946" t="s">
        <v>20153</v>
      </c>
      <c r="E2946" t="b">
        <v>0</v>
      </c>
      <c r="F2946" t="s">
        <v>11610</v>
      </c>
      <c r="L2946">
        <v>0</v>
      </c>
      <c r="M2946">
        <v>0</v>
      </c>
      <c r="N2946">
        <v>0</v>
      </c>
    </row>
    <row r="2947" spans="1:15">
      <c r="A2947" t="s">
        <v>20154</v>
      </c>
      <c r="B2947" t="s">
        <v>367</v>
      </c>
      <c r="C2947" t="s">
        <v>20155</v>
      </c>
      <c r="D2947" t="s">
        <v>20156</v>
      </c>
      <c r="E2947" t="b">
        <v>0</v>
      </c>
      <c r="F2947" t="s">
        <v>11624</v>
      </c>
      <c r="G2947">
        <v>1.2907500000000001</v>
      </c>
      <c r="H2947">
        <v>113.246</v>
      </c>
      <c r="I2947" t="s">
        <v>20157</v>
      </c>
      <c r="L2947">
        <v>0</v>
      </c>
      <c r="M2947">
        <v>0</v>
      </c>
      <c r="N2947">
        <v>0</v>
      </c>
      <c r="O2947" t="s">
        <v>16728</v>
      </c>
    </row>
    <row r="2948" spans="1:15">
      <c r="A2948" t="s">
        <v>20158</v>
      </c>
      <c r="B2948" t="s">
        <v>367</v>
      </c>
      <c r="C2948" t="s">
        <v>20159</v>
      </c>
      <c r="D2948" t="s">
        <v>20160</v>
      </c>
      <c r="E2948" t="b">
        <v>0</v>
      </c>
      <c r="F2948" t="s">
        <v>11622</v>
      </c>
      <c r="L2948">
        <v>3</v>
      </c>
      <c r="M2948">
        <v>7</v>
      </c>
      <c r="N2948">
        <v>25</v>
      </c>
    </row>
    <row r="2949" spans="1:15">
      <c r="A2949" t="s">
        <v>20155</v>
      </c>
      <c r="B2949" t="s">
        <v>367</v>
      </c>
      <c r="C2949" t="s">
        <v>14227</v>
      </c>
      <c r="D2949" t="s">
        <v>20161</v>
      </c>
      <c r="E2949" t="b">
        <v>0</v>
      </c>
      <c r="F2949" t="s">
        <v>11622</v>
      </c>
      <c r="L2949">
        <v>0</v>
      </c>
      <c r="M2949">
        <v>3</v>
      </c>
      <c r="N2949">
        <v>2</v>
      </c>
    </row>
    <row r="2950" spans="1:15">
      <c r="A2950" t="s">
        <v>4991</v>
      </c>
      <c r="B2950" t="s">
        <v>11637</v>
      </c>
      <c r="C2950" t="s">
        <v>20162</v>
      </c>
      <c r="D2950" t="s">
        <v>20163</v>
      </c>
      <c r="E2950" t="b">
        <v>0</v>
      </c>
      <c r="F2950" t="s">
        <v>11624</v>
      </c>
      <c r="G2950">
        <v>41</v>
      </c>
      <c r="H2950">
        <v>64</v>
      </c>
      <c r="I2950" t="s">
        <v>7399</v>
      </c>
      <c r="L2950">
        <v>0</v>
      </c>
      <c r="M2950">
        <v>0</v>
      </c>
      <c r="N2950">
        <v>0</v>
      </c>
      <c r="O2950" t="s">
        <v>20164</v>
      </c>
    </row>
    <row r="2951" spans="1:15">
      <c r="A2951" t="s">
        <v>20165</v>
      </c>
      <c r="B2951" t="s">
        <v>6742</v>
      </c>
      <c r="C2951" t="s">
        <v>20105</v>
      </c>
      <c r="D2951" t="s">
        <v>20166</v>
      </c>
      <c r="E2951" t="b">
        <v>0</v>
      </c>
      <c r="F2951" t="s">
        <v>11610</v>
      </c>
      <c r="L2951">
        <v>0</v>
      </c>
      <c r="M2951">
        <v>0</v>
      </c>
      <c r="N2951">
        <v>0</v>
      </c>
    </row>
    <row r="2952" spans="1:15">
      <c r="A2952" t="s">
        <v>20167</v>
      </c>
      <c r="B2952" t="s">
        <v>367</v>
      </c>
      <c r="C2952" t="s">
        <v>16725</v>
      </c>
      <c r="D2952" t="s">
        <v>20168</v>
      </c>
      <c r="E2952" t="b">
        <v>0</v>
      </c>
      <c r="F2952" t="s">
        <v>11624</v>
      </c>
      <c r="G2952">
        <v>-2.7504900000000001</v>
      </c>
      <c r="H2952">
        <v>115.64</v>
      </c>
      <c r="I2952" t="s">
        <v>20169</v>
      </c>
      <c r="L2952">
        <v>0</v>
      </c>
      <c r="M2952">
        <v>0</v>
      </c>
      <c r="N2952">
        <v>0</v>
      </c>
      <c r="O2952" t="s">
        <v>11768</v>
      </c>
    </row>
    <row r="2953" spans="1:15">
      <c r="A2953" t="s">
        <v>20170</v>
      </c>
      <c r="B2953" t="s">
        <v>367</v>
      </c>
      <c r="C2953" t="s">
        <v>20155</v>
      </c>
      <c r="D2953" t="s">
        <v>20171</v>
      </c>
      <c r="E2953" t="b">
        <v>0</v>
      </c>
      <c r="F2953" t="s">
        <v>11624</v>
      </c>
      <c r="G2953">
        <v>2.3494700000000002</v>
      </c>
      <c r="H2953">
        <v>114.895</v>
      </c>
      <c r="I2953" t="s">
        <v>20172</v>
      </c>
      <c r="L2953">
        <v>0</v>
      </c>
      <c r="M2953">
        <v>0</v>
      </c>
      <c r="N2953">
        <v>2</v>
      </c>
      <c r="O2953" t="s">
        <v>16728</v>
      </c>
    </row>
    <row r="2954" spans="1:15">
      <c r="A2954" t="s">
        <v>20173</v>
      </c>
      <c r="B2954" t="s">
        <v>11834</v>
      </c>
      <c r="C2954" t="s">
        <v>11835</v>
      </c>
      <c r="D2954" t="s">
        <v>20174</v>
      </c>
      <c r="E2954" t="b">
        <v>0</v>
      </c>
      <c r="F2954" t="s">
        <v>11624</v>
      </c>
      <c r="G2954">
        <v>-3.4716900000000002</v>
      </c>
      <c r="H2954">
        <v>143.11099999999999</v>
      </c>
      <c r="I2954" t="s">
        <v>20175</v>
      </c>
      <c r="L2954">
        <v>0</v>
      </c>
      <c r="M2954">
        <v>0</v>
      </c>
      <c r="N2954">
        <v>2</v>
      </c>
      <c r="O2954" t="s">
        <v>11660</v>
      </c>
    </row>
    <row r="2955" spans="1:15">
      <c r="A2955" t="s">
        <v>11835</v>
      </c>
      <c r="B2955" t="s">
        <v>11834</v>
      </c>
      <c r="C2955" t="s">
        <v>20176</v>
      </c>
      <c r="D2955" t="s">
        <v>20177</v>
      </c>
      <c r="E2955" t="b">
        <v>0</v>
      </c>
      <c r="F2955" t="s">
        <v>11622</v>
      </c>
      <c r="L2955">
        <v>0</v>
      </c>
      <c r="M2955">
        <v>2</v>
      </c>
      <c r="N2955">
        <v>2</v>
      </c>
    </row>
    <row r="2956" spans="1:15">
      <c r="A2956" t="s">
        <v>18737</v>
      </c>
      <c r="B2956" t="s">
        <v>367</v>
      </c>
      <c r="C2956" t="s">
        <v>20178</v>
      </c>
      <c r="D2956" t="s">
        <v>20179</v>
      </c>
      <c r="E2956" t="b">
        <v>0</v>
      </c>
      <c r="F2956" t="s">
        <v>11622</v>
      </c>
      <c r="L2956">
        <v>0</v>
      </c>
      <c r="M2956">
        <v>2</v>
      </c>
      <c r="N2956">
        <v>0</v>
      </c>
    </row>
    <row r="2957" spans="1:15">
      <c r="A2957" t="s">
        <v>20180</v>
      </c>
      <c r="B2957" t="s">
        <v>11644</v>
      </c>
      <c r="C2957" t="s">
        <v>20181</v>
      </c>
      <c r="D2957" t="s">
        <v>20182</v>
      </c>
      <c r="E2957" t="b">
        <v>0</v>
      </c>
      <c r="F2957" t="s">
        <v>11610</v>
      </c>
      <c r="L2957">
        <v>0</v>
      </c>
      <c r="M2957">
        <v>0</v>
      </c>
      <c r="N2957">
        <v>0</v>
      </c>
    </row>
    <row r="2958" spans="1:15">
      <c r="A2958" t="s">
        <v>20183</v>
      </c>
      <c r="B2958" t="s">
        <v>11637</v>
      </c>
      <c r="C2958" t="s">
        <v>20184</v>
      </c>
      <c r="D2958" t="s">
        <v>20185</v>
      </c>
      <c r="E2958" t="b">
        <v>0</v>
      </c>
      <c r="F2958" t="s">
        <v>11624</v>
      </c>
      <c r="G2958">
        <v>29.0853</v>
      </c>
      <c r="H2958">
        <v>79.423299999999998</v>
      </c>
      <c r="I2958" t="s">
        <v>20186</v>
      </c>
      <c r="L2958">
        <v>0</v>
      </c>
      <c r="M2958">
        <v>0</v>
      </c>
      <c r="N2958">
        <v>0</v>
      </c>
      <c r="O2958" t="s">
        <v>11630</v>
      </c>
    </row>
    <row r="2959" spans="1:15">
      <c r="A2959" t="s">
        <v>20187</v>
      </c>
      <c r="B2959" t="s">
        <v>6742</v>
      </c>
      <c r="C2959" t="s">
        <v>19112</v>
      </c>
      <c r="D2959" t="s">
        <v>20188</v>
      </c>
      <c r="E2959" t="b">
        <v>0</v>
      </c>
      <c r="F2959" t="s">
        <v>11610</v>
      </c>
      <c r="L2959">
        <v>0</v>
      </c>
      <c r="M2959">
        <v>0</v>
      </c>
      <c r="N2959">
        <v>0</v>
      </c>
    </row>
    <row r="2960" spans="1:15">
      <c r="A2960" t="s">
        <v>20189</v>
      </c>
      <c r="B2960" t="s">
        <v>6742</v>
      </c>
      <c r="C2960" t="s">
        <v>20190</v>
      </c>
      <c r="D2960" t="s">
        <v>20191</v>
      </c>
      <c r="E2960" t="b">
        <v>0</v>
      </c>
      <c r="F2960" t="s">
        <v>11624</v>
      </c>
      <c r="G2960">
        <v>0.68042999999999998</v>
      </c>
      <c r="H2960">
        <v>34.771900000000002</v>
      </c>
      <c r="I2960" t="s">
        <v>20192</v>
      </c>
      <c r="L2960">
        <v>0</v>
      </c>
      <c r="M2960">
        <v>0</v>
      </c>
      <c r="N2960">
        <v>2</v>
      </c>
      <c r="O2960" t="s">
        <v>12057</v>
      </c>
    </row>
    <row r="2961" spans="1:15">
      <c r="A2961" t="s">
        <v>20193</v>
      </c>
      <c r="B2961" t="s">
        <v>367</v>
      </c>
      <c r="C2961" t="s">
        <v>20194</v>
      </c>
      <c r="D2961" t="s">
        <v>20195</v>
      </c>
      <c r="E2961" t="b">
        <v>0</v>
      </c>
      <c r="F2961" t="s">
        <v>11610</v>
      </c>
      <c r="L2961">
        <v>0</v>
      </c>
      <c r="M2961">
        <v>0</v>
      </c>
      <c r="N2961">
        <v>0</v>
      </c>
    </row>
    <row r="2962" spans="1:15">
      <c r="A2962" t="s">
        <v>20190</v>
      </c>
      <c r="B2962" t="s">
        <v>6742</v>
      </c>
      <c r="C2962" t="s">
        <v>20196</v>
      </c>
      <c r="D2962" t="s">
        <v>20197</v>
      </c>
      <c r="E2962" t="b">
        <v>0</v>
      </c>
      <c r="F2962" t="s">
        <v>11622</v>
      </c>
      <c r="L2962">
        <v>0</v>
      </c>
      <c r="M2962">
        <v>3</v>
      </c>
      <c r="N2962">
        <v>7</v>
      </c>
    </row>
    <row r="2963" spans="1:15">
      <c r="A2963" t="s">
        <v>20198</v>
      </c>
      <c r="B2963" t="s">
        <v>6742</v>
      </c>
      <c r="C2963" t="s">
        <v>20199</v>
      </c>
      <c r="D2963" t="s">
        <v>20200</v>
      </c>
      <c r="E2963" t="b">
        <v>0</v>
      </c>
      <c r="F2963" t="s">
        <v>11624</v>
      </c>
      <c r="G2963">
        <v>6.9414999999999996</v>
      </c>
      <c r="H2963">
        <v>10.2006</v>
      </c>
      <c r="I2963" t="s">
        <v>20201</v>
      </c>
      <c r="L2963">
        <v>0</v>
      </c>
      <c r="M2963">
        <v>0</v>
      </c>
      <c r="N2963">
        <v>0</v>
      </c>
      <c r="O2963" t="s">
        <v>11802</v>
      </c>
    </row>
    <row r="2964" spans="1:15">
      <c r="A2964" t="s">
        <v>20202</v>
      </c>
      <c r="B2964" t="s">
        <v>12250</v>
      </c>
      <c r="C2964" t="s">
        <v>2129</v>
      </c>
      <c r="D2964" t="s">
        <v>20203</v>
      </c>
      <c r="E2964" t="b">
        <v>0</v>
      </c>
      <c r="F2964" t="s">
        <v>11610</v>
      </c>
      <c r="L2964">
        <v>0</v>
      </c>
      <c r="M2964">
        <v>0</v>
      </c>
      <c r="N2964">
        <v>0</v>
      </c>
    </row>
    <row r="2965" spans="1:15">
      <c r="A2965" t="s">
        <v>20204</v>
      </c>
      <c r="B2965" t="s">
        <v>10597</v>
      </c>
      <c r="C2965" t="s">
        <v>20205</v>
      </c>
      <c r="D2965" t="s">
        <v>20206</v>
      </c>
      <c r="E2965" t="b">
        <v>0</v>
      </c>
      <c r="F2965" t="s">
        <v>11624</v>
      </c>
      <c r="G2965">
        <v>-21.026569219999999</v>
      </c>
      <c r="H2965">
        <v>138.15666590000001</v>
      </c>
      <c r="L2965">
        <v>0</v>
      </c>
      <c r="M2965">
        <v>0</v>
      </c>
      <c r="N2965">
        <v>0</v>
      </c>
      <c r="O2965" t="s">
        <v>12107</v>
      </c>
    </row>
    <row r="2966" spans="1:15">
      <c r="A2966" t="s">
        <v>20207</v>
      </c>
      <c r="B2966" t="s">
        <v>367</v>
      </c>
      <c r="C2966" t="s">
        <v>12989</v>
      </c>
      <c r="D2966" t="s">
        <v>20208</v>
      </c>
      <c r="E2966" t="b">
        <v>0</v>
      </c>
      <c r="F2966" t="s">
        <v>11610</v>
      </c>
      <c r="L2966">
        <v>0</v>
      </c>
      <c r="M2966">
        <v>0</v>
      </c>
      <c r="N2966">
        <v>0</v>
      </c>
    </row>
    <row r="2967" spans="1:15">
      <c r="A2967" t="s">
        <v>20209</v>
      </c>
      <c r="B2967" t="s">
        <v>367</v>
      </c>
      <c r="C2967" t="s">
        <v>17378</v>
      </c>
      <c r="D2967" t="s">
        <v>20210</v>
      </c>
      <c r="E2967" t="b">
        <v>0</v>
      </c>
      <c r="F2967" t="s">
        <v>11610</v>
      </c>
      <c r="L2967">
        <v>0</v>
      </c>
      <c r="M2967">
        <v>0</v>
      </c>
      <c r="N2967">
        <v>0</v>
      </c>
    </row>
    <row r="2968" spans="1:15">
      <c r="A2968" t="s">
        <v>20211</v>
      </c>
      <c r="D2968" t="s">
        <v>20212</v>
      </c>
      <c r="E2968" t="b">
        <v>0</v>
      </c>
      <c r="F2968" t="s">
        <v>11622</v>
      </c>
      <c r="L2968">
        <v>0</v>
      </c>
      <c r="M2968">
        <v>2</v>
      </c>
      <c r="N2968">
        <v>0</v>
      </c>
    </row>
    <row r="2969" spans="1:15">
      <c r="A2969" t="s">
        <v>18968</v>
      </c>
      <c r="B2969" t="s">
        <v>12438</v>
      </c>
      <c r="C2969" t="s">
        <v>20213</v>
      </c>
      <c r="D2969" t="s">
        <v>20214</v>
      </c>
      <c r="E2969" t="b">
        <v>0</v>
      </c>
      <c r="F2969" t="s">
        <v>11622</v>
      </c>
      <c r="L2969">
        <v>0</v>
      </c>
      <c r="M2969">
        <v>2</v>
      </c>
      <c r="N2969">
        <v>2</v>
      </c>
    </row>
    <row r="2970" spans="1:15">
      <c r="A2970" t="s">
        <v>20215</v>
      </c>
      <c r="B2970" t="s">
        <v>17751</v>
      </c>
      <c r="C2970" t="s">
        <v>20216</v>
      </c>
      <c r="D2970" t="s">
        <v>20217</v>
      </c>
      <c r="E2970" t="b">
        <v>0</v>
      </c>
      <c r="F2970" t="s">
        <v>11610</v>
      </c>
      <c r="L2970">
        <v>0</v>
      </c>
      <c r="M2970">
        <v>0</v>
      </c>
      <c r="N2970">
        <v>0</v>
      </c>
    </row>
    <row r="2971" spans="1:15">
      <c r="A2971" t="s">
        <v>20218</v>
      </c>
      <c r="B2971" t="s">
        <v>12438</v>
      </c>
      <c r="C2971" t="s">
        <v>20219</v>
      </c>
      <c r="D2971" t="s">
        <v>20220</v>
      </c>
      <c r="E2971" t="b">
        <v>0</v>
      </c>
      <c r="F2971" t="s">
        <v>11610</v>
      </c>
      <c r="L2971">
        <v>0</v>
      </c>
      <c r="M2971">
        <v>0</v>
      </c>
      <c r="N2971">
        <v>0</v>
      </c>
    </row>
    <row r="2972" spans="1:15">
      <c r="A2972" t="s">
        <v>20221</v>
      </c>
      <c r="B2972" t="s">
        <v>6742</v>
      </c>
      <c r="C2972" t="s">
        <v>20222</v>
      </c>
      <c r="D2972" t="s">
        <v>20223</v>
      </c>
      <c r="E2972" t="b">
        <v>0</v>
      </c>
      <c r="F2972" t="s">
        <v>11610</v>
      </c>
      <c r="L2972">
        <v>0</v>
      </c>
      <c r="M2972">
        <v>0</v>
      </c>
      <c r="N2972">
        <v>0</v>
      </c>
    </row>
    <row r="2973" spans="1:15">
      <c r="A2973" t="s">
        <v>20224</v>
      </c>
      <c r="B2973" t="s">
        <v>11981</v>
      </c>
      <c r="C2973" t="s">
        <v>20225</v>
      </c>
      <c r="D2973" t="s">
        <v>20226</v>
      </c>
      <c r="E2973" t="b">
        <v>0</v>
      </c>
      <c r="F2973" t="s">
        <v>11624</v>
      </c>
      <c r="G2973">
        <v>42.791800000000002</v>
      </c>
      <c r="H2973">
        <v>25.002600000000001</v>
      </c>
      <c r="I2973" t="s">
        <v>20227</v>
      </c>
      <c r="L2973">
        <v>0</v>
      </c>
      <c r="M2973">
        <v>0</v>
      </c>
      <c r="N2973">
        <v>0</v>
      </c>
      <c r="O2973" t="s">
        <v>20228</v>
      </c>
    </row>
    <row r="2974" spans="1:15">
      <c r="A2974" t="s">
        <v>2354</v>
      </c>
      <c r="B2974" t="s">
        <v>11637</v>
      </c>
      <c r="C2974" t="s">
        <v>20229</v>
      </c>
      <c r="D2974" t="s">
        <v>20230</v>
      </c>
      <c r="E2974" t="b">
        <v>0</v>
      </c>
      <c r="F2974" t="s">
        <v>11624</v>
      </c>
      <c r="G2974">
        <v>43.364600000000003</v>
      </c>
      <c r="H2974">
        <v>25.047000000000001</v>
      </c>
      <c r="I2974" t="s">
        <v>2355</v>
      </c>
      <c r="L2974">
        <v>0</v>
      </c>
      <c r="M2974">
        <v>0</v>
      </c>
      <c r="N2974">
        <v>22</v>
      </c>
      <c r="O2974" t="s">
        <v>20231</v>
      </c>
    </row>
    <row r="2975" spans="1:15">
      <c r="A2975" t="s">
        <v>20232</v>
      </c>
      <c r="B2975" t="s">
        <v>331</v>
      </c>
      <c r="C2975" t="s">
        <v>20233</v>
      </c>
      <c r="D2975" t="s">
        <v>20234</v>
      </c>
      <c r="E2975" t="b">
        <v>0</v>
      </c>
      <c r="F2975" t="s">
        <v>11610</v>
      </c>
      <c r="L2975">
        <v>0</v>
      </c>
      <c r="M2975">
        <v>0</v>
      </c>
      <c r="N2975">
        <v>0</v>
      </c>
    </row>
    <row r="2976" spans="1:15">
      <c r="A2976" t="s">
        <v>20235</v>
      </c>
      <c r="B2976" t="s">
        <v>11686</v>
      </c>
      <c r="C2976" t="s">
        <v>2916</v>
      </c>
      <c r="D2976" t="s">
        <v>20236</v>
      </c>
      <c r="E2976" t="b">
        <v>0</v>
      </c>
      <c r="F2976" t="s">
        <v>11610</v>
      </c>
      <c r="L2976">
        <v>0</v>
      </c>
      <c r="M2976">
        <v>0</v>
      </c>
      <c r="N2976">
        <v>0</v>
      </c>
    </row>
    <row r="2977" spans="1:15">
      <c r="A2977" t="s">
        <v>20237</v>
      </c>
      <c r="B2977" t="s">
        <v>11615</v>
      </c>
      <c r="C2977" t="s">
        <v>20238</v>
      </c>
      <c r="D2977" t="s">
        <v>20239</v>
      </c>
      <c r="E2977" t="b">
        <v>0</v>
      </c>
      <c r="F2977" t="s">
        <v>11624</v>
      </c>
      <c r="G2977">
        <v>-5.6971299999999996</v>
      </c>
      <c r="H2977">
        <v>146.40299999999999</v>
      </c>
      <c r="I2977" t="s">
        <v>20240</v>
      </c>
      <c r="L2977">
        <v>0</v>
      </c>
      <c r="M2977">
        <v>0</v>
      </c>
      <c r="N2977">
        <v>0</v>
      </c>
      <c r="O2977" t="s">
        <v>11660</v>
      </c>
    </row>
    <row r="2978" spans="1:15">
      <c r="A2978" t="s">
        <v>20241</v>
      </c>
      <c r="B2978" t="s">
        <v>6742</v>
      </c>
      <c r="C2978" t="s">
        <v>20242</v>
      </c>
      <c r="D2978" t="s">
        <v>20243</v>
      </c>
      <c r="E2978" t="b">
        <v>0</v>
      </c>
      <c r="F2978" t="s">
        <v>11622</v>
      </c>
      <c r="L2978">
        <v>0</v>
      </c>
      <c r="M2978">
        <v>2</v>
      </c>
      <c r="N2978">
        <v>0</v>
      </c>
    </row>
    <row r="2979" spans="1:15">
      <c r="A2979" t="s">
        <v>20244</v>
      </c>
      <c r="B2979" t="s">
        <v>6742</v>
      </c>
      <c r="C2979" t="s">
        <v>20241</v>
      </c>
      <c r="D2979" t="s">
        <v>20245</v>
      </c>
      <c r="E2979" t="b">
        <v>0</v>
      </c>
      <c r="F2979" t="s">
        <v>11624</v>
      </c>
      <c r="G2979">
        <v>10.5763</v>
      </c>
      <c r="H2979">
        <v>-1.2674799999999999</v>
      </c>
      <c r="I2979" t="s">
        <v>20246</v>
      </c>
      <c r="L2979">
        <v>0</v>
      </c>
      <c r="M2979">
        <v>0</v>
      </c>
      <c r="N2979">
        <v>0</v>
      </c>
      <c r="O2979" t="s">
        <v>11985</v>
      </c>
    </row>
    <row r="2980" spans="1:15">
      <c r="A2980" t="s">
        <v>20247</v>
      </c>
      <c r="B2980" t="s">
        <v>367</v>
      </c>
      <c r="C2980" t="s">
        <v>20248</v>
      </c>
      <c r="D2980" t="s">
        <v>20249</v>
      </c>
      <c r="E2980" t="b">
        <v>0</v>
      </c>
      <c r="F2980" t="s">
        <v>11624</v>
      </c>
      <c r="G2980">
        <v>1.0007999999999999</v>
      </c>
      <c r="H2980">
        <v>128.44300000000001</v>
      </c>
      <c r="I2980" t="s">
        <v>20250</v>
      </c>
      <c r="L2980">
        <v>0</v>
      </c>
      <c r="M2980">
        <v>0</v>
      </c>
      <c r="N2980">
        <v>2</v>
      </c>
      <c r="O2980" t="s">
        <v>11768</v>
      </c>
    </row>
    <row r="2981" spans="1:15">
      <c r="A2981" t="s">
        <v>20251</v>
      </c>
      <c r="B2981" t="s">
        <v>367</v>
      </c>
      <c r="C2981" t="s">
        <v>20247</v>
      </c>
      <c r="D2981" t="s">
        <v>20252</v>
      </c>
      <c r="E2981" t="b">
        <v>0</v>
      </c>
      <c r="F2981" t="s">
        <v>11610</v>
      </c>
      <c r="L2981">
        <v>0</v>
      </c>
      <c r="M2981">
        <v>0</v>
      </c>
      <c r="N2981">
        <v>0</v>
      </c>
    </row>
    <row r="2982" spans="1:15">
      <c r="A2982" t="s">
        <v>20253</v>
      </c>
      <c r="B2982" t="s">
        <v>11607</v>
      </c>
      <c r="C2982" t="s">
        <v>16969</v>
      </c>
      <c r="D2982" t="s">
        <v>20254</v>
      </c>
      <c r="E2982" t="b">
        <v>0</v>
      </c>
      <c r="F2982" t="s">
        <v>11610</v>
      </c>
      <c r="L2982">
        <v>0</v>
      </c>
      <c r="M2982">
        <v>0</v>
      </c>
      <c r="N2982">
        <v>0</v>
      </c>
    </row>
    <row r="2983" spans="1:15">
      <c r="A2983" t="s">
        <v>20255</v>
      </c>
      <c r="B2983" t="s">
        <v>6742</v>
      </c>
      <c r="C2983" t="s">
        <v>20256</v>
      </c>
      <c r="D2983" t="s">
        <v>20257</v>
      </c>
      <c r="E2983" t="b">
        <v>0</v>
      </c>
      <c r="F2983" t="s">
        <v>11622</v>
      </c>
      <c r="L2983">
        <v>3</v>
      </c>
      <c r="M2983">
        <v>5</v>
      </c>
      <c r="N2983">
        <v>15</v>
      </c>
    </row>
    <row r="2984" spans="1:15">
      <c r="A2984" t="s">
        <v>20258</v>
      </c>
      <c r="B2984" t="s">
        <v>6742</v>
      </c>
      <c r="C2984" t="s">
        <v>20255</v>
      </c>
      <c r="D2984" t="s">
        <v>20259</v>
      </c>
      <c r="E2984" t="b">
        <v>0</v>
      </c>
      <c r="F2984" t="s">
        <v>11622</v>
      </c>
      <c r="L2984">
        <v>1</v>
      </c>
      <c r="M2984">
        <v>3</v>
      </c>
      <c r="N2984">
        <v>8</v>
      </c>
    </row>
    <row r="2985" spans="1:15">
      <c r="A2985" t="s">
        <v>20260</v>
      </c>
      <c r="B2985" t="s">
        <v>6742</v>
      </c>
      <c r="C2985" t="s">
        <v>19368</v>
      </c>
      <c r="D2985" t="s">
        <v>20261</v>
      </c>
      <c r="E2985" t="b">
        <v>0</v>
      </c>
      <c r="F2985" t="s">
        <v>11624</v>
      </c>
      <c r="G2985">
        <v>9</v>
      </c>
      <c r="H2985">
        <v>-13.16</v>
      </c>
      <c r="I2985" t="s">
        <v>20262</v>
      </c>
      <c r="L2985">
        <v>0</v>
      </c>
      <c r="M2985">
        <v>0</v>
      </c>
      <c r="N2985">
        <v>2</v>
      </c>
      <c r="O2985" t="s">
        <v>20263</v>
      </c>
    </row>
    <row r="2986" spans="1:15">
      <c r="A2986" t="s">
        <v>20264</v>
      </c>
      <c r="B2986" t="s">
        <v>20265</v>
      </c>
      <c r="C2986" t="s">
        <v>20266</v>
      </c>
      <c r="D2986" t="s">
        <v>20267</v>
      </c>
      <c r="E2986" t="b">
        <v>0</v>
      </c>
      <c r="F2986" t="s">
        <v>11610</v>
      </c>
      <c r="L2986">
        <v>0</v>
      </c>
      <c r="M2986">
        <v>0</v>
      </c>
      <c r="N2986">
        <v>0</v>
      </c>
    </row>
    <row r="2987" spans="1:15">
      <c r="A2987" t="s">
        <v>20012</v>
      </c>
      <c r="B2987" t="s">
        <v>12438</v>
      </c>
      <c r="C2987" t="s">
        <v>20007</v>
      </c>
      <c r="D2987" t="s">
        <v>20268</v>
      </c>
      <c r="E2987" t="b">
        <v>0</v>
      </c>
      <c r="F2987" t="s">
        <v>11624</v>
      </c>
      <c r="G2987">
        <v>11.9777</v>
      </c>
      <c r="H2987">
        <v>106.798</v>
      </c>
      <c r="I2987" t="s">
        <v>20269</v>
      </c>
      <c r="L2987">
        <v>0</v>
      </c>
      <c r="M2987">
        <v>0</v>
      </c>
      <c r="N2987">
        <v>2</v>
      </c>
      <c r="O2987" t="s">
        <v>20010</v>
      </c>
    </row>
    <row r="2988" spans="1:15">
      <c r="A2988" t="s">
        <v>20270</v>
      </c>
      <c r="B2988" t="s">
        <v>12438</v>
      </c>
      <c r="C2988" t="s">
        <v>20012</v>
      </c>
      <c r="D2988" t="s">
        <v>20271</v>
      </c>
      <c r="E2988" t="b">
        <v>0</v>
      </c>
      <c r="F2988" t="s">
        <v>11610</v>
      </c>
      <c r="L2988">
        <v>0</v>
      </c>
      <c r="M2988">
        <v>0</v>
      </c>
      <c r="N2988">
        <v>0</v>
      </c>
    </row>
    <row r="2989" spans="1:15">
      <c r="A2989" t="s">
        <v>20272</v>
      </c>
      <c r="B2989" t="s">
        <v>367</v>
      </c>
      <c r="C2989" t="s">
        <v>20273</v>
      </c>
      <c r="D2989" t="s">
        <v>20274</v>
      </c>
      <c r="E2989" t="b">
        <v>0</v>
      </c>
      <c r="F2989" t="s">
        <v>11610</v>
      </c>
      <c r="L2989">
        <v>0</v>
      </c>
      <c r="M2989">
        <v>0</v>
      </c>
      <c r="N2989">
        <v>0</v>
      </c>
    </row>
    <row r="2990" spans="1:15">
      <c r="A2990" t="s">
        <v>20275</v>
      </c>
      <c r="B2990" t="s">
        <v>6742</v>
      </c>
      <c r="C2990" t="s">
        <v>3500</v>
      </c>
      <c r="D2990" t="s">
        <v>20276</v>
      </c>
      <c r="E2990" t="b">
        <v>0</v>
      </c>
      <c r="F2990" t="s">
        <v>11610</v>
      </c>
      <c r="L2990">
        <v>0</v>
      </c>
      <c r="M2990">
        <v>0</v>
      </c>
      <c r="N2990">
        <v>0</v>
      </c>
    </row>
    <row r="2991" spans="1:15">
      <c r="A2991" t="s">
        <v>3201</v>
      </c>
      <c r="B2991" t="s">
        <v>6742</v>
      </c>
      <c r="C2991" t="s">
        <v>20277</v>
      </c>
      <c r="D2991" t="s">
        <v>20278</v>
      </c>
      <c r="E2991" t="b">
        <v>0</v>
      </c>
      <c r="F2991" t="s">
        <v>11624</v>
      </c>
      <c r="G2991">
        <v>3.1614100000000001</v>
      </c>
      <c r="H2991">
        <v>11.6365</v>
      </c>
      <c r="I2991" t="s">
        <v>3203</v>
      </c>
      <c r="L2991">
        <v>0</v>
      </c>
      <c r="M2991">
        <v>0</v>
      </c>
      <c r="N2991">
        <v>5</v>
      </c>
      <c r="O2991" t="s">
        <v>20279</v>
      </c>
    </row>
    <row r="2992" spans="1:15">
      <c r="A2992" t="s">
        <v>20280</v>
      </c>
      <c r="B2992" t="s">
        <v>13276</v>
      </c>
      <c r="C2992" t="s">
        <v>20281</v>
      </c>
      <c r="D2992" t="s">
        <v>20282</v>
      </c>
      <c r="E2992" t="b">
        <v>0</v>
      </c>
      <c r="F2992" t="s">
        <v>11610</v>
      </c>
      <c r="L2992">
        <v>0</v>
      </c>
      <c r="M2992">
        <v>0</v>
      </c>
      <c r="N2992">
        <v>0</v>
      </c>
    </row>
    <row r="2993" spans="1:15">
      <c r="A2993" t="s">
        <v>20283</v>
      </c>
      <c r="B2993" t="s">
        <v>367</v>
      </c>
      <c r="C2993" t="s">
        <v>19228</v>
      </c>
      <c r="D2993" t="s">
        <v>20284</v>
      </c>
      <c r="E2993" t="b">
        <v>0</v>
      </c>
      <c r="F2993" t="s">
        <v>11624</v>
      </c>
      <c r="G2993">
        <v>-5.0613400000000004</v>
      </c>
      <c r="H2993">
        <v>150.101</v>
      </c>
      <c r="I2993" t="s">
        <v>20285</v>
      </c>
      <c r="L2993">
        <v>0</v>
      </c>
      <c r="M2993">
        <v>0</v>
      </c>
      <c r="N2993">
        <v>0</v>
      </c>
      <c r="O2993" t="s">
        <v>11660</v>
      </c>
    </row>
    <row r="2994" spans="1:15">
      <c r="A2994" t="s">
        <v>20286</v>
      </c>
      <c r="B2994" t="s">
        <v>367</v>
      </c>
      <c r="C2994" t="s">
        <v>17227</v>
      </c>
      <c r="D2994" t="s">
        <v>20287</v>
      </c>
      <c r="E2994" t="b">
        <v>0</v>
      </c>
      <c r="F2994" t="s">
        <v>11610</v>
      </c>
      <c r="L2994">
        <v>0</v>
      </c>
      <c r="M2994">
        <v>0</v>
      </c>
      <c r="N2994">
        <v>0</v>
      </c>
    </row>
    <row r="2995" spans="1:15">
      <c r="A2995" t="s">
        <v>3202</v>
      </c>
      <c r="B2995" t="s">
        <v>11644</v>
      </c>
      <c r="C2995" t="s">
        <v>20288</v>
      </c>
      <c r="D2995" t="s">
        <v>20289</v>
      </c>
      <c r="E2995" t="b">
        <v>0</v>
      </c>
      <c r="F2995" t="s">
        <v>11610</v>
      </c>
      <c r="L2995">
        <v>0</v>
      </c>
      <c r="M2995">
        <v>0</v>
      </c>
      <c r="N2995">
        <v>0</v>
      </c>
    </row>
    <row r="2996" spans="1:15">
      <c r="A2996" t="s">
        <v>20290</v>
      </c>
      <c r="B2996" t="s">
        <v>6742</v>
      </c>
      <c r="C2996" t="s">
        <v>12997</v>
      </c>
      <c r="D2996" t="s">
        <v>20291</v>
      </c>
      <c r="E2996" t="b">
        <v>0</v>
      </c>
      <c r="F2996" t="s">
        <v>11624</v>
      </c>
      <c r="G2996">
        <v>6.4490999999999996</v>
      </c>
      <c r="H2996">
        <v>9.3602799999999995</v>
      </c>
      <c r="I2996" t="s">
        <v>20292</v>
      </c>
      <c r="L2996">
        <v>0</v>
      </c>
      <c r="M2996">
        <v>0</v>
      </c>
      <c r="N2996">
        <v>0</v>
      </c>
      <c r="O2996" t="s">
        <v>11693</v>
      </c>
    </row>
    <row r="2997" spans="1:15">
      <c r="A2997" t="s">
        <v>20293</v>
      </c>
      <c r="B2997" t="s">
        <v>4236</v>
      </c>
      <c r="C2997" t="s">
        <v>13929</v>
      </c>
      <c r="D2997" t="s">
        <v>20294</v>
      </c>
      <c r="E2997" t="b">
        <v>0</v>
      </c>
      <c r="F2997" t="s">
        <v>11610</v>
      </c>
      <c r="L2997">
        <v>0</v>
      </c>
      <c r="M2997">
        <v>0</v>
      </c>
      <c r="N2997">
        <v>0</v>
      </c>
    </row>
    <row r="2998" spans="1:15">
      <c r="A2998" t="s">
        <v>20295</v>
      </c>
      <c r="B2998" t="s">
        <v>367</v>
      </c>
      <c r="C2998" t="s">
        <v>16411</v>
      </c>
      <c r="D2998" t="s">
        <v>20296</v>
      </c>
      <c r="E2998" t="b">
        <v>0</v>
      </c>
      <c r="F2998" t="s">
        <v>11610</v>
      </c>
      <c r="L2998">
        <v>0</v>
      </c>
      <c r="M2998">
        <v>0</v>
      </c>
      <c r="N2998">
        <v>0</v>
      </c>
    </row>
    <row r="2999" spans="1:15">
      <c r="A2999" t="s">
        <v>20297</v>
      </c>
      <c r="B2999" t="s">
        <v>11627</v>
      </c>
      <c r="C2999" t="s">
        <v>11627</v>
      </c>
      <c r="D2999" t="s">
        <v>20298</v>
      </c>
      <c r="E2999" t="b">
        <v>1</v>
      </c>
      <c r="F2999" t="s">
        <v>11624</v>
      </c>
      <c r="G2999">
        <v>23.02</v>
      </c>
      <c r="H2999">
        <v>103.34</v>
      </c>
      <c r="I2999" t="s">
        <v>20299</v>
      </c>
      <c r="L2999">
        <v>0</v>
      </c>
      <c r="M2999">
        <v>0</v>
      </c>
      <c r="N2999">
        <v>0</v>
      </c>
      <c r="O2999" t="s">
        <v>11905</v>
      </c>
    </row>
    <row r="3000" spans="1:15">
      <c r="A3000" t="s">
        <v>20300</v>
      </c>
      <c r="B3000" t="s">
        <v>6742</v>
      </c>
      <c r="C3000" t="s">
        <v>1780</v>
      </c>
      <c r="D3000" t="s">
        <v>20301</v>
      </c>
      <c r="E3000" t="b">
        <v>0</v>
      </c>
      <c r="F3000" t="s">
        <v>11610</v>
      </c>
      <c r="L3000">
        <v>0</v>
      </c>
      <c r="M3000">
        <v>0</v>
      </c>
      <c r="N3000">
        <v>0</v>
      </c>
    </row>
    <row r="3001" spans="1:15">
      <c r="A3001" t="s">
        <v>19407</v>
      </c>
      <c r="B3001" t="s">
        <v>11834</v>
      </c>
      <c r="C3001" t="s">
        <v>14354</v>
      </c>
      <c r="D3001" t="s">
        <v>20302</v>
      </c>
      <c r="E3001" t="b">
        <v>0</v>
      </c>
      <c r="F3001" t="s">
        <v>11624</v>
      </c>
      <c r="G3001">
        <v>-3.6550799999999999</v>
      </c>
      <c r="H3001">
        <v>142.85900000000001</v>
      </c>
      <c r="I3001" t="s">
        <v>20303</v>
      </c>
      <c r="L3001">
        <v>0</v>
      </c>
      <c r="M3001">
        <v>0</v>
      </c>
      <c r="N3001">
        <v>5</v>
      </c>
      <c r="O3001" t="s">
        <v>11660</v>
      </c>
    </row>
    <row r="3002" spans="1:15">
      <c r="A3002" t="s">
        <v>20304</v>
      </c>
      <c r="B3002" t="s">
        <v>11644</v>
      </c>
      <c r="C3002" t="s">
        <v>16196</v>
      </c>
      <c r="D3002" t="s">
        <v>20305</v>
      </c>
      <c r="E3002" t="b">
        <v>0</v>
      </c>
      <c r="F3002" t="s">
        <v>11610</v>
      </c>
      <c r="L3002">
        <v>0</v>
      </c>
      <c r="M3002">
        <v>0</v>
      </c>
      <c r="N3002">
        <v>0</v>
      </c>
    </row>
    <row r="3003" spans="1:15">
      <c r="A3003" t="s">
        <v>20306</v>
      </c>
      <c r="B3003" t="s">
        <v>6742</v>
      </c>
      <c r="C3003" t="s">
        <v>15603</v>
      </c>
      <c r="D3003" t="s">
        <v>20307</v>
      </c>
      <c r="E3003" t="b">
        <v>0</v>
      </c>
      <c r="F3003" t="s">
        <v>11624</v>
      </c>
      <c r="G3003">
        <v>6.4865500000000003</v>
      </c>
      <c r="H3003">
        <v>10.417999999999999</v>
      </c>
      <c r="I3003" t="s">
        <v>20308</v>
      </c>
      <c r="L3003">
        <v>0</v>
      </c>
      <c r="M3003">
        <v>0</v>
      </c>
      <c r="N3003">
        <v>0</v>
      </c>
      <c r="O3003" t="s">
        <v>11703</v>
      </c>
    </row>
    <row r="3004" spans="1:15">
      <c r="A3004" t="s">
        <v>20309</v>
      </c>
      <c r="B3004" t="s">
        <v>12697</v>
      </c>
      <c r="C3004" t="s">
        <v>14175</v>
      </c>
      <c r="D3004" t="s">
        <v>20310</v>
      </c>
      <c r="E3004" t="b">
        <v>0</v>
      </c>
      <c r="F3004" t="s">
        <v>11610</v>
      </c>
      <c r="L3004">
        <v>0</v>
      </c>
      <c r="M3004">
        <v>0</v>
      </c>
      <c r="N3004">
        <v>0</v>
      </c>
    </row>
    <row r="3005" spans="1:15">
      <c r="A3005" t="s">
        <v>20311</v>
      </c>
      <c r="B3005" t="s">
        <v>11644</v>
      </c>
      <c r="C3005" t="s">
        <v>20312</v>
      </c>
      <c r="D3005" t="s">
        <v>20313</v>
      </c>
      <c r="E3005" t="b">
        <v>0</v>
      </c>
      <c r="F3005" t="s">
        <v>11622</v>
      </c>
      <c r="L3005">
        <v>0</v>
      </c>
      <c r="M3005">
        <v>3</v>
      </c>
      <c r="N3005">
        <v>7</v>
      </c>
    </row>
    <row r="3006" spans="1:15">
      <c r="A3006" t="s">
        <v>20314</v>
      </c>
      <c r="B3006" t="s">
        <v>11644</v>
      </c>
      <c r="C3006" t="s">
        <v>20311</v>
      </c>
      <c r="D3006" t="s">
        <v>20315</v>
      </c>
      <c r="E3006" t="b">
        <v>0</v>
      </c>
      <c r="F3006" t="s">
        <v>11624</v>
      </c>
      <c r="G3006">
        <v>27.6494</v>
      </c>
      <c r="H3006">
        <v>90.803700000000006</v>
      </c>
      <c r="I3006" t="s">
        <v>20316</v>
      </c>
      <c r="L3006">
        <v>0</v>
      </c>
      <c r="M3006">
        <v>0</v>
      </c>
      <c r="N3006">
        <v>4</v>
      </c>
      <c r="O3006" t="s">
        <v>20317</v>
      </c>
    </row>
    <row r="3007" spans="1:15">
      <c r="A3007" t="s">
        <v>20318</v>
      </c>
      <c r="B3007" t="s">
        <v>6742</v>
      </c>
      <c r="C3007" t="s">
        <v>20319</v>
      </c>
      <c r="D3007" t="s">
        <v>20320</v>
      </c>
      <c r="E3007" t="b">
        <v>0</v>
      </c>
      <c r="F3007" t="s">
        <v>11610</v>
      </c>
      <c r="L3007">
        <v>0</v>
      </c>
      <c r="M3007">
        <v>0</v>
      </c>
      <c r="N3007">
        <v>0</v>
      </c>
    </row>
    <row r="3008" spans="1:15">
      <c r="A3008" t="s">
        <v>20321</v>
      </c>
      <c r="B3008" t="s">
        <v>12438</v>
      </c>
      <c r="C3008" t="s">
        <v>18412</v>
      </c>
      <c r="D3008" t="s">
        <v>20322</v>
      </c>
      <c r="E3008" t="b">
        <v>0</v>
      </c>
      <c r="F3008" t="s">
        <v>11610</v>
      </c>
      <c r="L3008">
        <v>0</v>
      </c>
      <c r="M3008">
        <v>0</v>
      </c>
      <c r="N3008">
        <v>0</v>
      </c>
    </row>
    <row r="3009" spans="1:15">
      <c r="A3009" t="s">
        <v>20323</v>
      </c>
      <c r="B3009" t="s">
        <v>5058</v>
      </c>
      <c r="C3009" t="s">
        <v>20324</v>
      </c>
      <c r="D3009" t="s">
        <v>20325</v>
      </c>
      <c r="E3009" t="b">
        <v>0</v>
      </c>
      <c r="F3009" t="s">
        <v>11624</v>
      </c>
      <c r="G3009">
        <v>24.102499999999999</v>
      </c>
      <c r="H3009">
        <v>107.711</v>
      </c>
      <c r="I3009" t="s">
        <v>20326</v>
      </c>
      <c r="L3009">
        <v>0</v>
      </c>
      <c r="M3009">
        <v>0</v>
      </c>
      <c r="N3009">
        <v>5</v>
      </c>
      <c r="O3009" t="s">
        <v>11905</v>
      </c>
    </row>
    <row r="3010" spans="1:15">
      <c r="A3010" t="s">
        <v>20327</v>
      </c>
      <c r="D3010" t="s">
        <v>20328</v>
      </c>
      <c r="E3010" t="b">
        <v>0</v>
      </c>
      <c r="F3010" t="s">
        <v>11622</v>
      </c>
      <c r="L3010">
        <v>0</v>
      </c>
      <c r="M3010">
        <v>2</v>
      </c>
      <c r="N3010">
        <v>0</v>
      </c>
    </row>
    <row r="3011" spans="1:15">
      <c r="A3011" t="s">
        <v>20329</v>
      </c>
      <c r="B3011" t="s">
        <v>20327</v>
      </c>
      <c r="C3011" t="s">
        <v>20327</v>
      </c>
      <c r="D3011" t="s">
        <v>20330</v>
      </c>
      <c r="E3011" t="b">
        <v>0</v>
      </c>
      <c r="F3011" t="s">
        <v>11624</v>
      </c>
      <c r="G3011">
        <v>-17.829699999999999</v>
      </c>
      <c r="H3011">
        <v>125.631</v>
      </c>
      <c r="I3011" t="s">
        <v>20331</v>
      </c>
      <c r="L3011">
        <v>0</v>
      </c>
      <c r="M3011">
        <v>0</v>
      </c>
      <c r="N3011">
        <v>0</v>
      </c>
      <c r="O3011" t="s">
        <v>12107</v>
      </c>
    </row>
    <row r="3012" spans="1:15">
      <c r="A3012" t="s">
        <v>16925</v>
      </c>
      <c r="B3012" t="s">
        <v>367</v>
      </c>
      <c r="C3012" t="s">
        <v>20332</v>
      </c>
      <c r="D3012" t="s">
        <v>20333</v>
      </c>
      <c r="E3012" t="b">
        <v>0</v>
      </c>
      <c r="F3012" t="s">
        <v>11624</v>
      </c>
      <c r="G3012">
        <v>-10.0761</v>
      </c>
      <c r="H3012">
        <v>151.066</v>
      </c>
      <c r="I3012" t="s">
        <v>20334</v>
      </c>
      <c r="L3012">
        <v>0</v>
      </c>
      <c r="M3012">
        <v>0</v>
      </c>
      <c r="N3012">
        <v>11</v>
      </c>
      <c r="O3012" t="s">
        <v>11660</v>
      </c>
    </row>
    <row r="3013" spans="1:15">
      <c r="A3013" t="s">
        <v>20335</v>
      </c>
      <c r="B3013" t="s">
        <v>11834</v>
      </c>
      <c r="C3013" t="s">
        <v>20336</v>
      </c>
      <c r="D3013" t="s">
        <v>20337</v>
      </c>
      <c r="E3013" t="b">
        <v>0</v>
      </c>
      <c r="F3013" t="s">
        <v>11624</v>
      </c>
      <c r="G3013">
        <v>-3.95553</v>
      </c>
      <c r="H3013">
        <v>144.119</v>
      </c>
      <c r="I3013" t="s">
        <v>20338</v>
      </c>
      <c r="L3013">
        <v>0</v>
      </c>
      <c r="M3013">
        <v>0</v>
      </c>
      <c r="N3013">
        <v>2</v>
      </c>
      <c r="O3013" t="s">
        <v>11660</v>
      </c>
    </row>
    <row r="3014" spans="1:15">
      <c r="A3014" t="s">
        <v>20339</v>
      </c>
      <c r="B3014" t="s">
        <v>11839</v>
      </c>
      <c r="C3014" t="s">
        <v>20340</v>
      </c>
      <c r="D3014" t="s">
        <v>20341</v>
      </c>
      <c r="E3014" t="b">
        <v>0</v>
      </c>
      <c r="F3014" t="s">
        <v>11624</v>
      </c>
      <c r="G3014">
        <v>-9.1361799999999995</v>
      </c>
      <c r="H3014">
        <v>125.21599999999999</v>
      </c>
      <c r="I3014" t="s">
        <v>20342</v>
      </c>
      <c r="L3014">
        <v>0</v>
      </c>
      <c r="M3014">
        <v>0</v>
      </c>
      <c r="N3014">
        <v>0</v>
      </c>
      <c r="O3014" t="s">
        <v>11976</v>
      </c>
    </row>
    <row r="3015" spans="1:15">
      <c r="A3015" t="s">
        <v>20332</v>
      </c>
      <c r="B3015" t="s">
        <v>367</v>
      </c>
      <c r="C3015" t="s">
        <v>19669</v>
      </c>
      <c r="D3015" t="s">
        <v>20343</v>
      </c>
      <c r="E3015" t="b">
        <v>0</v>
      </c>
      <c r="F3015" t="s">
        <v>11622</v>
      </c>
      <c r="L3015">
        <v>0</v>
      </c>
      <c r="M3015">
        <v>2</v>
      </c>
      <c r="N3015">
        <v>11</v>
      </c>
    </row>
    <row r="3016" spans="1:15">
      <c r="A3016" t="s">
        <v>18270</v>
      </c>
      <c r="B3016" t="s">
        <v>11637</v>
      </c>
      <c r="C3016" t="s">
        <v>19828</v>
      </c>
      <c r="D3016" t="s">
        <v>20344</v>
      </c>
      <c r="E3016" t="b">
        <v>0</v>
      </c>
      <c r="F3016" t="s">
        <v>11622</v>
      </c>
      <c r="L3016">
        <v>0</v>
      </c>
      <c r="M3016">
        <v>2</v>
      </c>
      <c r="N3016">
        <v>22</v>
      </c>
    </row>
    <row r="3017" spans="1:15">
      <c r="A3017" t="s">
        <v>13063</v>
      </c>
      <c r="B3017" t="s">
        <v>11637</v>
      </c>
      <c r="C3017" t="s">
        <v>18270</v>
      </c>
      <c r="D3017" t="s">
        <v>20345</v>
      </c>
      <c r="E3017" t="b">
        <v>0</v>
      </c>
      <c r="F3017" t="s">
        <v>11624</v>
      </c>
      <c r="G3017">
        <v>24.898199999999999</v>
      </c>
      <c r="H3017">
        <v>78.9542</v>
      </c>
      <c r="I3017" t="s">
        <v>20346</v>
      </c>
      <c r="L3017">
        <v>0</v>
      </c>
      <c r="M3017">
        <v>0</v>
      </c>
      <c r="N3017">
        <v>22</v>
      </c>
      <c r="O3017" t="s">
        <v>11630</v>
      </c>
    </row>
    <row r="3018" spans="1:15">
      <c r="A3018" t="s">
        <v>20347</v>
      </c>
      <c r="B3018" t="s">
        <v>6742</v>
      </c>
      <c r="C3018" t="s">
        <v>20348</v>
      </c>
      <c r="D3018" t="s">
        <v>20349</v>
      </c>
      <c r="E3018" t="b">
        <v>0</v>
      </c>
      <c r="F3018" t="s">
        <v>11610</v>
      </c>
      <c r="L3018">
        <v>0</v>
      </c>
      <c r="M3018">
        <v>0</v>
      </c>
      <c r="N3018">
        <v>0</v>
      </c>
    </row>
    <row r="3019" spans="1:15">
      <c r="A3019" t="s">
        <v>20350</v>
      </c>
      <c r="B3019" t="s">
        <v>13276</v>
      </c>
      <c r="C3019" t="s">
        <v>20281</v>
      </c>
      <c r="D3019" t="s">
        <v>20351</v>
      </c>
      <c r="E3019" t="b">
        <v>0</v>
      </c>
      <c r="F3019" t="s">
        <v>11610</v>
      </c>
      <c r="L3019">
        <v>0</v>
      </c>
      <c r="M3019">
        <v>0</v>
      </c>
      <c r="N3019">
        <v>0</v>
      </c>
    </row>
    <row r="3020" spans="1:15">
      <c r="A3020" t="s">
        <v>20352</v>
      </c>
      <c r="B3020" t="s">
        <v>367</v>
      </c>
      <c r="C3020" t="s">
        <v>20353</v>
      </c>
      <c r="D3020" t="s">
        <v>20354</v>
      </c>
      <c r="E3020" t="b">
        <v>0</v>
      </c>
      <c r="F3020" t="s">
        <v>11610</v>
      </c>
      <c r="L3020">
        <v>0</v>
      </c>
      <c r="M3020">
        <v>0</v>
      </c>
      <c r="N3020">
        <v>0</v>
      </c>
    </row>
    <row r="3021" spans="1:15">
      <c r="A3021" t="s">
        <v>20355</v>
      </c>
      <c r="B3021" t="s">
        <v>367</v>
      </c>
      <c r="C3021" t="s">
        <v>17635</v>
      </c>
      <c r="D3021" t="s">
        <v>20356</v>
      </c>
      <c r="E3021" t="b">
        <v>0</v>
      </c>
      <c r="F3021" t="s">
        <v>11610</v>
      </c>
      <c r="L3021">
        <v>0</v>
      </c>
      <c r="M3021">
        <v>0</v>
      </c>
      <c r="N3021">
        <v>0</v>
      </c>
    </row>
    <row r="3022" spans="1:15">
      <c r="A3022" t="s">
        <v>20357</v>
      </c>
      <c r="B3022" t="s">
        <v>13411</v>
      </c>
      <c r="C3022" t="s">
        <v>20358</v>
      </c>
      <c r="D3022" t="s">
        <v>20359</v>
      </c>
      <c r="E3022" t="b">
        <v>0</v>
      </c>
      <c r="F3022" t="s">
        <v>11622</v>
      </c>
      <c r="L3022">
        <v>0</v>
      </c>
      <c r="M3022">
        <v>2</v>
      </c>
      <c r="N3022">
        <v>0</v>
      </c>
    </row>
    <row r="3023" spans="1:15">
      <c r="A3023" t="s">
        <v>20360</v>
      </c>
      <c r="B3023" t="s">
        <v>6742</v>
      </c>
      <c r="C3023" t="s">
        <v>20361</v>
      </c>
      <c r="D3023" t="s">
        <v>20362</v>
      </c>
      <c r="E3023" t="b">
        <v>0</v>
      </c>
      <c r="F3023" t="s">
        <v>11624</v>
      </c>
      <c r="G3023">
        <v>6.4073599999999997</v>
      </c>
      <c r="H3023">
        <v>11.6389</v>
      </c>
      <c r="I3023" t="s">
        <v>20363</v>
      </c>
      <c r="L3023">
        <v>0</v>
      </c>
      <c r="M3023">
        <v>0</v>
      </c>
      <c r="N3023">
        <v>0</v>
      </c>
      <c r="O3023" t="s">
        <v>11703</v>
      </c>
    </row>
    <row r="3024" spans="1:15">
      <c r="A3024" t="s">
        <v>20364</v>
      </c>
      <c r="B3024" t="s">
        <v>11644</v>
      </c>
      <c r="C3024" t="s">
        <v>20365</v>
      </c>
      <c r="D3024" t="s">
        <v>20366</v>
      </c>
      <c r="E3024" t="b">
        <v>0</v>
      </c>
      <c r="F3024" t="s">
        <v>11610</v>
      </c>
      <c r="L3024">
        <v>0</v>
      </c>
      <c r="M3024">
        <v>0</v>
      </c>
      <c r="N3024">
        <v>0</v>
      </c>
    </row>
    <row r="3025" spans="1:15">
      <c r="A3025" t="s">
        <v>20367</v>
      </c>
      <c r="B3025" t="s">
        <v>10597</v>
      </c>
      <c r="C3025" t="s">
        <v>20368</v>
      </c>
      <c r="D3025" t="s">
        <v>20369</v>
      </c>
      <c r="E3025" t="b">
        <v>0</v>
      </c>
      <c r="F3025" t="s">
        <v>11624</v>
      </c>
      <c r="G3025">
        <v>-36.5</v>
      </c>
      <c r="H3025">
        <v>140.5</v>
      </c>
      <c r="I3025" t="s">
        <v>20370</v>
      </c>
      <c r="L3025">
        <v>0</v>
      </c>
      <c r="M3025">
        <v>0</v>
      </c>
      <c r="N3025">
        <v>0</v>
      </c>
      <c r="O3025" t="s">
        <v>12107</v>
      </c>
    </row>
    <row r="3026" spans="1:15">
      <c r="A3026" t="s">
        <v>20371</v>
      </c>
      <c r="B3026" t="s">
        <v>6742</v>
      </c>
      <c r="C3026" t="s">
        <v>20372</v>
      </c>
      <c r="D3026" t="s">
        <v>20373</v>
      </c>
      <c r="E3026" t="b">
        <v>0</v>
      </c>
      <c r="F3026" t="s">
        <v>11624</v>
      </c>
      <c r="G3026">
        <v>-8.3258700000000001</v>
      </c>
      <c r="H3026">
        <v>32.880099999999999</v>
      </c>
      <c r="I3026" t="s">
        <v>20374</v>
      </c>
      <c r="L3026">
        <v>0</v>
      </c>
      <c r="M3026">
        <v>0</v>
      </c>
      <c r="N3026">
        <v>0</v>
      </c>
      <c r="O3026" t="s">
        <v>11635</v>
      </c>
    </row>
    <row r="3027" spans="1:15">
      <c r="A3027" t="s">
        <v>20375</v>
      </c>
      <c r="B3027" t="s">
        <v>11729</v>
      </c>
      <c r="C3027" t="s">
        <v>19464</v>
      </c>
      <c r="D3027" t="s">
        <v>20376</v>
      </c>
      <c r="E3027" t="b">
        <v>0</v>
      </c>
      <c r="F3027" t="s">
        <v>11610</v>
      </c>
      <c r="L3027">
        <v>0</v>
      </c>
      <c r="M3027">
        <v>0</v>
      </c>
      <c r="N3027">
        <v>0</v>
      </c>
    </row>
    <row r="3028" spans="1:15">
      <c r="A3028" t="s">
        <v>20377</v>
      </c>
      <c r="B3028" t="s">
        <v>13276</v>
      </c>
      <c r="C3028" t="s">
        <v>15103</v>
      </c>
      <c r="D3028" t="s">
        <v>20378</v>
      </c>
      <c r="E3028" t="b">
        <v>0</v>
      </c>
      <c r="F3028" t="s">
        <v>11610</v>
      </c>
      <c r="L3028">
        <v>0</v>
      </c>
      <c r="M3028">
        <v>0</v>
      </c>
      <c r="N3028">
        <v>0</v>
      </c>
    </row>
    <row r="3029" spans="1:15">
      <c r="A3029" t="s">
        <v>20379</v>
      </c>
      <c r="B3029" t="s">
        <v>367</v>
      </c>
      <c r="C3029" t="s">
        <v>20380</v>
      </c>
      <c r="D3029" t="s">
        <v>20381</v>
      </c>
      <c r="E3029" t="b">
        <v>0</v>
      </c>
      <c r="F3029" t="s">
        <v>11622</v>
      </c>
      <c r="L3029">
        <v>5</v>
      </c>
      <c r="M3029">
        <v>15</v>
      </c>
      <c r="N3029">
        <v>28</v>
      </c>
    </row>
    <row r="3030" spans="1:15">
      <c r="A3030" t="s">
        <v>20382</v>
      </c>
      <c r="B3030" t="s">
        <v>367</v>
      </c>
      <c r="C3030" t="s">
        <v>15954</v>
      </c>
      <c r="D3030" t="s">
        <v>20383</v>
      </c>
      <c r="E3030" t="b">
        <v>0</v>
      </c>
      <c r="F3030" t="s">
        <v>11624</v>
      </c>
      <c r="G3030">
        <v>-3.2219699999999998</v>
      </c>
      <c r="H3030">
        <v>122.212</v>
      </c>
      <c r="I3030" t="s">
        <v>20384</v>
      </c>
      <c r="L3030">
        <v>0</v>
      </c>
      <c r="M3030">
        <v>0</v>
      </c>
      <c r="N3030">
        <v>6</v>
      </c>
      <c r="O3030" t="s">
        <v>11768</v>
      </c>
    </row>
    <row r="3031" spans="1:15">
      <c r="A3031" t="s">
        <v>20385</v>
      </c>
      <c r="B3031" t="s">
        <v>11834</v>
      </c>
      <c r="C3031" t="s">
        <v>20336</v>
      </c>
      <c r="D3031" t="s">
        <v>20386</v>
      </c>
      <c r="E3031" t="b">
        <v>0</v>
      </c>
      <c r="F3031" t="s">
        <v>11624</v>
      </c>
      <c r="G3031">
        <v>-3.6967400000000001</v>
      </c>
      <c r="H3031">
        <v>143.79599999999999</v>
      </c>
      <c r="I3031" t="s">
        <v>20387</v>
      </c>
      <c r="L3031">
        <v>0</v>
      </c>
      <c r="M3031">
        <v>0</v>
      </c>
      <c r="N3031">
        <v>0</v>
      </c>
      <c r="O3031" t="s">
        <v>11660</v>
      </c>
    </row>
    <row r="3032" spans="1:15">
      <c r="A3032" t="s">
        <v>20388</v>
      </c>
      <c r="B3032" t="s">
        <v>367</v>
      </c>
      <c r="C3032" t="s">
        <v>20389</v>
      </c>
      <c r="D3032" t="s">
        <v>20390</v>
      </c>
      <c r="E3032" t="b">
        <v>0</v>
      </c>
      <c r="F3032" t="s">
        <v>11610</v>
      </c>
      <c r="L3032">
        <v>0</v>
      </c>
      <c r="M3032">
        <v>0</v>
      </c>
      <c r="N3032">
        <v>0</v>
      </c>
    </row>
    <row r="3033" spans="1:15">
      <c r="A3033" t="s">
        <v>20391</v>
      </c>
      <c r="B3033" t="s">
        <v>367</v>
      </c>
      <c r="C3033" t="s">
        <v>20392</v>
      </c>
      <c r="D3033" t="s">
        <v>20393</v>
      </c>
      <c r="E3033" t="b">
        <v>0</v>
      </c>
      <c r="F3033" t="s">
        <v>11610</v>
      </c>
      <c r="L3033">
        <v>0</v>
      </c>
      <c r="M3033">
        <v>0</v>
      </c>
      <c r="N3033">
        <v>0</v>
      </c>
    </row>
    <row r="3034" spans="1:15">
      <c r="A3034" t="s">
        <v>20394</v>
      </c>
      <c r="B3034" t="s">
        <v>13769</v>
      </c>
      <c r="C3034" t="s">
        <v>13768</v>
      </c>
      <c r="D3034" t="s">
        <v>20395</v>
      </c>
      <c r="E3034" t="b">
        <v>0</v>
      </c>
      <c r="F3034" t="s">
        <v>11610</v>
      </c>
      <c r="L3034">
        <v>0</v>
      </c>
      <c r="M3034">
        <v>0</v>
      </c>
      <c r="N3034">
        <v>0</v>
      </c>
    </row>
    <row r="3035" spans="1:15">
      <c r="A3035" t="s">
        <v>20396</v>
      </c>
      <c r="B3035" t="s">
        <v>11637</v>
      </c>
      <c r="C3035" t="s">
        <v>16090</v>
      </c>
      <c r="D3035" t="s">
        <v>20397</v>
      </c>
      <c r="E3035" t="b">
        <v>0</v>
      </c>
      <c r="F3035" t="s">
        <v>11610</v>
      </c>
      <c r="L3035">
        <v>0</v>
      </c>
      <c r="M3035">
        <v>0</v>
      </c>
      <c r="N3035">
        <v>0</v>
      </c>
    </row>
    <row r="3036" spans="1:15">
      <c r="A3036" t="s">
        <v>20398</v>
      </c>
      <c r="B3036" t="s">
        <v>11637</v>
      </c>
      <c r="C3036" t="s">
        <v>15872</v>
      </c>
      <c r="D3036" t="s">
        <v>20399</v>
      </c>
      <c r="E3036" t="b">
        <v>0</v>
      </c>
      <c r="F3036" t="s">
        <v>11610</v>
      </c>
      <c r="L3036">
        <v>0</v>
      </c>
      <c r="M3036">
        <v>0</v>
      </c>
      <c r="N3036">
        <v>0</v>
      </c>
    </row>
    <row r="3037" spans="1:15">
      <c r="A3037" t="s">
        <v>20400</v>
      </c>
      <c r="B3037" t="s">
        <v>6742</v>
      </c>
      <c r="C3037" t="s">
        <v>19032</v>
      </c>
      <c r="D3037" t="s">
        <v>20401</v>
      </c>
      <c r="E3037" t="b">
        <v>0</v>
      </c>
      <c r="F3037" t="s">
        <v>11610</v>
      </c>
      <c r="L3037">
        <v>0</v>
      </c>
      <c r="M3037">
        <v>0</v>
      </c>
      <c r="N3037">
        <v>0</v>
      </c>
    </row>
    <row r="3038" spans="1:15">
      <c r="A3038" t="s">
        <v>20402</v>
      </c>
      <c r="B3038" t="s">
        <v>11637</v>
      </c>
      <c r="C3038" t="s">
        <v>20403</v>
      </c>
      <c r="D3038" t="s">
        <v>20404</v>
      </c>
      <c r="E3038" t="b">
        <v>0</v>
      </c>
      <c r="F3038" t="s">
        <v>11610</v>
      </c>
      <c r="L3038">
        <v>0</v>
      </c>
      <c r="M3038">
        <v>0</v>
      </c>
      <c r="N3038">
        <v>0</v>
      </c>
    </row>
    <row r="3039" spans="1:15">
      <c r="A3039" t="s">
        <v>18922</v>
      </c>
      <c r="B3039" t="s">
        <v>18921</v>
      </c>
      <c r="C3039" t="s">
        <v>20405</v>
      </c>
      <c r="D3039" t="s">
        <v>20406</v>
      </c>
      <c r="E3039" t="b">
        <v>0</v>
      </c>
      <c r="F3039" t="s">
        <v>11622</v>
      </c>
      <c r="L3039">
        <v>0</v>
      </c>
      <c r="M3039">
        <v>2</v>
      </c>
      <c r="N3039">
        <v>0</v>
      </c>
    </row>
    <row r="3040" spans="1:15">
      <c r="A3040" t="s">
        <v>20407</v>
      </c>
      <c r="B3040" t="s">
        <v>18921</v>
      </c>
      <c r="C3040" t="s">
        <v>18922</v>
      </c>
      <c r="D3040" t="s">
        <v>20408</v>
      </c>
      <c r="E3040" t="b">
        <v>0</v>
      </c>
      <c r="F3040" t="s">
        <v>11624</v>
      </c>
      <c r="G3040">
        <v>-4.5188499999999996</v>
      </c>
      <c r="H3040">
        <v>143.892</v>
      </c>
      <c r="I3040" t="s">
        <v>20409</v>
      </c>
      <c r="L3040">
        <v>0</v>
      </c>
      <c r="M3040">
        <v>0</v>
      </c>
      <c r="N3040">
        <v>0</v>
      </c>
      <c r="O3040" t="s">
        <v>11660</v>
      </c>
    </row>
    <row r="3041" spans="1:15">
      <c r="A3041" t="s">
        <v>20410</v>
      </c>
      <c r="B3041" t="s">
        <v>12438</v>
      </c>
      <c r="C3041" t="s">
        <v>20411</v>
      </c>
      <c r="D3041" t="s">
        <v>20412</v>
      </c>
      <c r="E3041" t="b">
        <v>0</v>
      </c>
      <c r="F3041" t="s">
        <v>11610</v>
      </c>
      <c r="L3041">
        <v>0</v>
      </c>
      <c r="M3041">
        <v>0</v>
      </c>
      <c r="N3041">
        <v>0</v>
      </c>
    </row>
    <row r="3042" spans="1:15">
      <c r="A3042" t="s">
        <v>20413</v>
      </c>
      <c r="B3042" t="s">
        <v>1342</v>
      </c>
      <c r="C3042" t="s">
        <v>13525</v>
      </c>
      <c r="D3042" t="s">
        <v>20414</v>
      </c>
      <c r="E3042" t="b">
        <v>0</v>
      </c>
      <c r="F3042" t="s">
        <v>11624</v>
      </c>
      <c r="G3042">
        <v>14.43</v>
      </c>
      <c r="H3042">
        <v>-3.49</v>
      </c>
      <c r="I3042" t="s">
        <v>20415</v>
      </c>
      <c r="L3042">
        <v>0</v>
      </c>
      <c r="M3042">
        <v>0</v>
      </c>
      <c r="N3042">
        <v>0</v>
      </c>
      <c r="O3042" t="s">
        <v>13528</v>
      </c>
    </row>
    <row r="3043" spans="1:15">
      <c r="A3043" t="s">
        <v>20416</v>
      </c>
      <c r="B3043" t="s">
        <v>5058</v>
      </c>
      <c r="C3043" t="s">
        <v>20323</v>
      </c>
      <c r="D3043" t="s">
        <v>20417</v>
      </c>
      <c r="E3043" t="b">
        <v>0</v>
      </c>
      <c r="F3043" t="s">
        <v>11610</v>
      </c>
      <c r="L3043">
        <v>0</v>
      </c>
      <c r="M3043">
        <v>0</v>
      </c>
      <c r="N3043">
        <v>0</v>
      </c>
    </row>
    <row r="3044" spans="1:15">
      <c r="A3044" t="s">
        <v>20418</v>
      </c>
      <c r="B3044" t="s">
        <v>6742</v>
      </c>
      <c r="C3044" t="s">
        <v>3193</v>
      </c>
      <c r="D3044" t="s">
        <v>20419</v>
      </c>
      <c r="E3044" t="b">
        <v>0</v>
      </c>
      <c r="F3044" t="s">
        <v>11610</v>
      </c>
      <c r="L3044">
        <v>0</v>
      </c>
      <c r="M3044">
        <v>0</v>
      </c>
      <c r="N3044">
        <v>0</v>
      </c>
    </row>
    <row r="3045" spans="1:15">
      <c r="A3045" t="s">
        <v>4467</v>
      </c>
      <c r="B3045" t="s">
        <v>367</v>
      </c>
      <c r="C3045" t="s">
        <v>367</v>
      </c>
      <c r="D3045" t="s">
        <v>4466</v>
      </c>
      <c r="E3045" t="b">
        <v>0</v>
      </c>
      <c r="F3045" t="s">
        <v>11624</v>
      </c>
      <c r="G3045">
        <v>23.4116</v>
      </c>
      <c r="H3045">
        <v>121.02500000000001</v>
      </c>
      <c r="I3045" t="s">
        <v>4468</v>
      </c>
      <c r="L3045">
        <v>0</v>
      </c>
      <c r="M3045">
        <v>0</v>
      </c>
      <c r="N3045">
        <v>7</v>
      </c>
      <c r="O3045" t="s">
        <v>13484</v>
      </c>
    </row>
    <row r="3046" spans="1:15">
      <c r="A3046" t="s">
        <v>20420</v>
      </c>
      <c r="B3046" t="s">
        <v>367</v>
      </c>
      <c r="C3046" t="s">
        <v>18730</v>
      </c>
      <c r="D3046" t="s">
        <v>20421</v>
      </c>
      <c r="E3046" t="b">
        <v>0</v>
      </c>
      <c r="F3046" t="s">
        <v>11624</v>
      </c>
      <c r="G3046">
        <v>0.97726999999999997</v>
      </c>
      <c r="H3046">
        <v>121.51900000000001</v>
      </c>
      <c r="I3046" t="s">
        <v>20422</v>
      </c>
      <c r="L3046">
        <v>0</v>
      </c>
      <c r="M3046">
        <v>0</v>
      </c>
      <c r="N3046">
        <v>0</v>
      </c>
      <c r="O3046" t="s">
        <v>11768</v>
      </c>
    </row>
    <row r="3047" spans="1:15">
      <c r="A3047" t="s">
        <v>20423</v>
      </c>
      <c r="B3047" t="s">
        <v>20424</v>
      </c>
      <c r="C3047" t="s">
        <v>20425</v>
      </c>
      <c r="D3047" t="s">
        <v>20426</v>
      </c>
      <c r="E3047" t="b">
        <v>0</v>
      </c>
      <c r="F3047" t="s">
        <v>11624</v>
      </c>
      <c r="G3047">
        <v>-12.306100000000001</v>
      </c>
      <c r="H3047">
        <v>134.36500000000001</v>
      </c>
      <c r="I3047" t="s">
        <v>20427</v>
      </c>
      <c r="L3047">
        <v>0</v>
      </c>
      <c r="M3047">
        <v>0</v>
      </c>
      <c r="N3047">
        <v>3</v>
      </c>
      <c r="O3047" t="s">
        <v>12107</v>
      </c>
    </row>
    <row r="3048" spans="1:15">
      <c r="A3048" t="s">
        <v>20428</v>
      </c>
      <c r="B3048" t="s">
        <v>6742</v>
      </c>
      <c r="C3048" t="s">
        <v>20429</v>
      </c>
      <c r="D3048" t="s">
        <v>20430</v>
      </c>
      <c r="E3048" t="b">
        <v>0</v>
      </c>
      <c r="F3048" t="s">
        <v>11610</v>
      </c>
      <c r="L3048">
        <v>0</v>
      </c>
      <c r="M3048">
        <v>0</v>
      </c>
      <c r="N3048">
        <v>0</v>
      </c>
    </row>
    <row r="3049" spans="1:15">
      <c r="A3049" t="s">
        <v>20431</v>
      </c>
      <c r="B3049" t="s">
        <v>11627</v>
      </c>
      <c r="C3049" t="s">
        <v>11627</v>
      </c>
      <c r="D3049" t="s">
        <v>20432</v>
      </c>
      <c r="E3049" t="b">
        <v>1</v>
      </c>
      <c r="F3049" t="s">
        <v>11624</v>
      </c>
      <c r="G3049">
        <v>4.4228300000000003</v>
      </c>
      <c r="H3049">
        <v>20.716100000000001</v>
      </c>
      <c r="I3049" t="s">
        <v>20433</v>
      </c>
      <c r="L3049">
        <v>0</v>
      </c>
      <c r="M3049">
        <v>0</v>
      </c>
      <c r="N3049">
        <v>0</v>
      </c>
      <c r="O3049" t="s">
        <v>13069</v>
      </c>
    </row>
    <row r="3050" spans="1:15">
      <c r="A3050" t="s">
        <v>20434</v>
      </c>
      <c r="B3050" t="s">
        <v>6742</v>
      </c>
      <c r="C3050" t="s">
        <v>16392</v>
      </c>
      <c r="D3050" t="s">
        <v>20435</v>
      </c>
      <c r="E3050" t="b">
        <v>0</v>
      </c>
      <c r="F3050" t="s">
        <v>11622</v>
      </c>
      <c r="L3050">
        <v>0</v>
      </c>
      <c r="M3050">
        <v>2</v>
      </c>
      <c r="N3050">
        <v>0</v>
      </c>
    </row>
    <row r="3051" spans="1:15">
      <c r="A3051" t="s">
        <v>20436</v>
      </c>
      <c r="B3051" t="s">
        <v>6742</v>
      </c>
      <c r="C3051" t="s">
        <v>20434</v>
      </c>
      <c r="D3051" t="s">
        <v>20437</v>
      </c>
      <c r="E3051" t="b">
        <v>0</v>
      </c>
      <c r="F3051" t="s">
        <v>11624</v>
      </c>
      <c r="G3051">
        <v>9.49451</v>
      </c>
      <c r="H3051">
        <v>11.069800000000001</v>
      </c>
      <c r="I3051" t="s">
        <v>20438</v>
      </c>
      <c r="L3051">
        <v>0</v>
      </c>
      <c r="M3051">
        <v>0</v>
      </c>
      <c r="N3051">
        <v>0</v>
      </c>
      <c r="O3051" t="s">
        <v>11693</v>
      </c>
    </row>
    <row r="3052" spans="1:15">
      <c r="A3052" t="s">
        <v>20439</v>
      </c>
      <c r="B3052" t="s">
        <v>6742</v>
      </c>
      <c r="C3052" t="s">
        <v>20440</v>
      </c>
      <c r="D3052" t="s">
        <v>20441</v>
      </c>
      <c r="E3052" t="b">
        <v>0</v>
      </c>
      <c r="F3052" t="s">
        <v>11610</v>
      </c>
      <c r="L3052">
        <v>0</v>
      </c>
      <c r="M3052">
        <v>0</v>
      </c>
      <c r="N3052">
        <v>0</v>
      </c>
    </row>
    <row r="3053" spans="1:15">
      <c r="A3053" t="s">
        <v>20442</v>
      </c>
      <c r="B3053" t="s">
        <v>11757</v>
      </c>
      <c r="C3053" t="s">
        <v>20443</v>
      </c>
      <c r="D3053" t="s">
        <v>20444</v>
      </c>
      <c r="E3053" t="b">
        <v>0</v>
      </c>
      <c r="F3053" t="s">
        <v>11624</v>
      </c>
      <c r="G3053">
        <v>-3.9</v>
      </c>
      <c r="H3053">
        <v>34.1</v>
      </c>
      <c r="L3053">
        <v>0</v>
      </c>
      <c r="M3053">
        <v>0</v>
      </c>
      <c r="N3053">
        <v>0</v>
      </c>
    </row>
    <row r="3054" spans="1:15">
      <c r="A3054" t="s">
        <v>20445</v>
      </c>
      <c r="B3054" t="s">
        <v>367</v>
      </c>
      <c r="C3054" t="s">
        <v>20446</v>
      </c>
      <c r="D3054" t="s">
        <v>20447</v>
      </c>
      <c r="E3054" t="b">
        <v>0</v>
      </c>
      <c r="F3054" t="s">
        <v>11610</v>
      </c>
      <c r="L3054">
        <v>0</v>
      </c>
      <c r="M3054">
        <v>0</v>
      </c>
      <c r="N3054">
        <v>0</v>
      </c>
    </row>
    <row r="3055" spans="1:15">
      <c r="A3055" t="s">
        <v>20448</v>
      </c>
      <c r="B3055" t="s">
        <v>15142</v>
      </c>
      <c r="C3055" t="s">
        <v>20449</v>
      </c>
      <c r="D3055" t="s">
        <v>20450</v>
      </c>
      <c r="E3055" t="b">
        <v>0</v>
      </c>
      <c r="F3055" t="s">
        <v>11624</v>
      </c>
      <c r="G3055">
        <v>-2.7930100000000002</v>
      </c>
      <c r="H3055">
        <v>136.03800000000001</v>
      </c>
      <c r="I3055" t="s">
        <v>20451</v>
      </c>
      <c r="L3055">
        <v>0</v>
      </c>
      <c r="M3055">
        <v>0</v>
      </c>
      <c r="N3055">
        <v>0</v>
      </c>
      <c r="O3055" t="s">
        <v>11768</v>
      </c>
    </row>
    <row r="3056" spans="1:15">
      <c r="A3056" t="s">
        <v>20452</v>
      </c>
      <c r="B3056" t="s">
        <v>11607</v>
      </c>
      <c r="C3056" t="s">
        <v>20453</v>
      </c>
      <c r="D3056" t="s">
        <v>20454</v>
      </c>
      <c r="E3056" t="b">
        <v>0</v>
      </c>
      <c r="F3056" t="s">
        <v>11624</v>
      </c>
      <c r="G3056">
        <v>10.482200000000001</v>
      </c>
      <c r="H3056">
        <v>12.300700000000001</v>
      </c>
      <c r="I3056" t="s">
        <v>20455</v>
      </c>
      <c r="L3056">
        <v>0</v>
      </c>
      <c r="M3056">
        <v>0</v>
      </c>
      <c r="N3056">
        <v>3</v>
      </c>
      <c r="O3056" t="s">
        <v>11693</v>
      </c>
    </row>
    <row r="3057" spans="1:15">
      <c r="A3057" t="s">
        <v>20456</v>
      </c>
      <c r="B3057" t="s">
        <v>11607</v>
      </c>
      <c r="C3057" t="s">
        <v>20457</v>
      </c>
      <c r="D3057" t="s">
        <v>20458</v>
      </c>
      <c r="E3057" t="b">
        <v>0</v>
      </c>
      <c r="F3057" t="s">
        <v>11610</v>
      </c>
      <c r="L3057">
        <v>0</v>
      </c>
      <c r="M3057">
        <v>0</v>
      </c>
      <c r="N3057">
        <v>0</v>
      </c>
    </row>
    <row r="3058" spans="1:15">
      <c r="A3058" t="s">
        <v>20449</v>
      </c>
      <c r="B3058" t="s">
        <v>15142</v>
      </c>
      <c r="C3058" t="s">
        <v>15142</v>
      </c>
      <c r="D3058" t="s">
        <v>20459</v>
      </c>
      <c r="E3058" t="b">
        <v>0</v>
      </c>
      <c r="F3058" t="s">
        <v>11622</v>
      </c>
      <c r="L3058">
        <v>0</v>
      </c>
      <c r="M3058">
        <v>2</v>
      </c>
      <c r="N3058">
        <v>0</v>
      </c>
    </row>
    <row r="3059" spans="1:15">
      <c r="A3059" t="s">
        <v>20460</v>
      </c>
      <c r="B3059" t="s">
        <v>11981</v>
      </c>
      <c r="C3059" t="s">
        <v>11982</v>
      </c>
      <c r="D3059" t="s">
        <v>20461</v>
      </c>
      <c r="E3059" t="b">
        <v>0</v>
      </c>
      <c r="F3059" t="s">
        <v>11624</v>
      </c>
      <c r="G3059">
        <v>10.478600999999999</v>
      </c>
      <c r="H3059">
        <v>12.284840000000001</v>
      </c>
      <c r="L3059">
        <v>0</v>
      </c>
      <c r="M3059">
        <v>0</v>
      </c>
      <c r="N3059">
        <v>0</v>
      </c>
      <c r="O3059" t="s">
        <v>11693</v>
      </c>
    </row>
    <row r="3060" spans="1:15">
      <c r="A3060" t="s">
        <v>18904</v>
      </c>
      <c r="B3060" t="s">
        <v>11607</v>
      </c>
      <c r="C3060" t="s">
        <v>20462</v>
      </c>
      <c r="D3060" t="s">
        <v>20463</v>
      </c>
      <c r="E3060" t="b">
        <v>0</v>
      </c>
      <c r="F3060" t="s">
        <v>11622</v>
      </c>
      <c r="L3060">
        <v>3</v>
      </c>
      <c r="M3060">
        <v>7</v>
      </c>
      <c r="N3060">
        <v>8</v>
      </c>
    </row>
    <row r="3061" spans="1:15">
      <c r="A3061" t="s">
        <v>20453</v>
      </c>
      <c r="B3061" t="s">
        <v>11607</v>
      </c>
      <c r="C3061" t="s">
        <v>18904</v>
      </c>
      <c r="D3061" t="s">
        <v>20464</v>
      </c>
      <c r="E3061" t="b">
        <v>0</v>
      </c>
      <c r="F3061" t="s">
        <v>11622</v>
      </c>
      <c r="L3061">
        <v>0</v>
      </c>
      <c r="M3061">
        <v>4</v>
      </c>
      <c r="N3061">
        <v>3</v>
      </c>
    </row>
    <row r="3062" spans="1:15">
      <c r="A3062" t="s">
        <v>11917</v>
      </c>
      <c r="B3062" t="s">
        <v>3165</v>
      </c>
      <c r="C3062" t="s">
        <v>3165</v>
      </c>
      <c r="D3062" t="s">
        <v>20465</v>
      </c>
      <c r="E3062" t="b">
        <v>0</v>
      </c>
      <c r="F3062" t="s">
        <v>11622</v>
      </c>
      <c r="L3062">
        <v>3</v>
      </c>
      <c r="M3062">
        <v>6</v>
      </c>
      <c r="N3062">
        <v>6</v>
      </c>
    </row>
    <row r="3063" spans="1:15">
      <c r="A3063" t="s">
        <v>20466</v>
      </c>
      <c r="B3063" t="s">
        <v>10597</v>
      </c>
      <c r="C3063" t="s">
        <v>20467</v>
      </c>
      <c r="D3063" t="s">
        <v>20468</v>
      </c>
      <c r="E3063" t="b">
        <v>0</v>
      </c>
      <c r="F3063" t="s">
        <v>11624</v>
      </c>
      <c r="G3063">
        <v>-22.964600000000001</v>
      </c>
      <c r="H3063">
        <v>114.658</v>
      </c>
      <c r="I3063" t="s">
        <v>20469</v>
      </c>
      <c r="L3063">
        <v>0</v>
      </c>
      <c r="M3063">
        <v>0</v>
      </c>
      <c r="N3063">
        <v>0</v>
      </c>
      <c r="O3063" t="s">
        <v>12107</v>
      </c>
    </row>
    <row r="3064" spans="1:15">
      <c r="A3064" t="s">
        <v>20470</v>
      </c>
      <c r="B3064" t="s">
        <v>11637</v>
      </c>
      <c r="C3064" t="s">
        <v>14469</v>
      </c>
      <c r="D3064" t="s">
        <v>20471</v>
      </c>
      <c r="E3064" t="b">
        <v>0</v>
      </c>
      <c r="F3064" t="s">
        <v>11610</v>
      </c>
      <c r="L3064">
        <v>0</v>
      </c>
      <c r="M3064">
        <v>0</v>
      </c>
      <c r="N3064">
        <v>0</v>
      </c>
    </row>
    <row r="3065" spans="1:15">
      <c r="A3065" t="s">
        <v>20472</v>
      </c>
      <c r="B3065" t="s">
        <v>20424</v>
      </c>
      <c r="C3065" t="s">
        <v>20424</v>
      </c>
      <c r="D3065" t="s">
        <v>20473</v>
      </c>
      <c r="E3065" t="b">
        <v>0</v>
      </c>
      <c r="F3065" t="s">
        <v>11622</v>
      </c>
      <c r="L3065">
        <v>1</v>
      </c>
      <c r="M3065">
        <v>3</v>
      </c>
      <c r="N3065">
        <v>3</v>
      </c>
    </row>
    <row r="3066" spans="1:15">
      <c r="A3066" t="s">
        <v>20425</v>
      </c>
      <c r="B3066" t="s">
        <v>20424</v>
      </c>
      <c r="C3066" t="s">
        <v>20472</v>
      </c>
      <c r="D3066" t="s">
        <v>20474</v>
      </c>
      <c r="E3066" t="b">
        <v>0</v>
      </c>
      <c r="F3066" t="s">
        <v>11622</v>
      </c>
      <c r="L3066">
        <v>0</v>
      </c>
      <c r="M3066">
        <v>2</v>
      </c>
      <c r="N3066">
        <v>3</v>
      </c>
    </row>
    <row r="3067" spans="1:15">
      <c r="A3067" t="s">
        <v>20475</v>
      </c>
      <c r="B3067" t="s">
        <v>11607</v>
      </c>
      <c r="C3067" t="s">
        <v>20476</v>
      </c>
      <c r="D3067" t="s">
        <v>20477</v>
      </c>
      <c r="E3067" t="b">
        <v>0</v>
      </c>
      <c r="F3067" t="s">
        <v>11624</v>
      </c>
      <c r="G3067">
        <v>10.4603</v>
      </c>
      <c r="H3067">
        <v>10.455399999999999</v>
      </c>
      <c r="I3067" t="s">
        <v>20478</v>
      </c>
      <c r="L3067">
        <v>0</v>
      </c>
      <c r="M3067">
        <v>0</v>
      </c>
      <c r="N3067">
        <v>0</v>
      </c>
      <c r="O3067" t="s">
        <v>11693</v>
      </c>
    </row>
    <row r="3068" spans="1:15">
      <c r="A3068" t="s">
        <v>20479</v>
      </c>
      <c r="B3068" t="s">
        <v>11637</v>
      </c>
      <c r="C3068" t="s">
        <v>20480</v>
      </c>
      <c r="D3068" t="s">
        <v>20481</v>
      </c>
      <c r="E3068" t="b">
        <v>0</v>
      </c>
      <c r="F3068" t="s">
        <v>11610</v>
      </c>
      <c r="L3068">
        <v>0</v>
      </c>
      <c r="M3068">
        <v>0</v>
      </c>
      <c r="N3068">
        <v>0</v>
      </c>
    </row>
    <row r="3069" spans="1:15">
      <c r="A3069" t="s">
        <v>20482</v>
      </c>
      <c r="B3069" t="s">
        <v>11844</v>
      </c>
      <c r="C3069" t="s">
        <v>9047</v>
      </c>
      <c r="D3069" t="s">
        <v>20483</v>
      </c>
      <c r="E3069" t="b">
        <v>0</v>
      </c>
      <c r="F3069" t="s">
        <v>11610</v>
      </c>
      <c r="L3069">
        <v>0</v>
      </c>
      <c r="M3069">
        <v>0</v>
      </c>
      <c r="N3069">
        <v>0</v>
      </c>
    </row>
    <row r="3070" spans="1:15">
      <c r="A3070" t="s">
        <v>20484</v>
      </c>
      <c r="B3070" t="s">
        <v>11637</v>
      </c>
      <c r="C3070" t="s">
        <v>20485</v>
      </c>
      <c r="D3070" t="s">
        <v>20486</v>
      </c>
      <c r="E3070" t="b">
        <v>0</v>
      </c>
      <c r="F3070" t="s">
        <v>11610</v>
      </c>
      <c r="L3070">
        <v>0</v>
      </c>
      <c r="M3070">
        <v>0</v>
      </c>
      <c r="N3070">
        <v>0</v>
      </c>
    </row>
    <row r="3071" spans="1:15">
      <c r="A3071" t="s">
        <v>20487</v>
      </c>
      <c r="B3071" t="s">
        <v>12438</v>
      </c>
      <c r="C3071" t="s">
        <v>20488</v>
      </c>
      <c r="D3071" t="s">
        <v>20489</v>
      </c>
      <c r="E3071" t="b">
        <v>0</v>
      </c>
      <c r="F3071" t="s">
        <v>11610</v>
      </c>
      <c r="L3071">
        <v>0</v>
      </c>
      <c r="M3071">
        <v>0</v>
      </c>
      <c r="N3071">
        <v>0</v>
      </c>
    </row>
    <row r="3072" spans="1:15">
      <c r="A3072" t="s">
        <v>2130</v>
      </c>
      <c r="B3072" t="s">
        <v>12250</v>
      </c>
      <c r="C3072" t="s">
        <v>20490</v>
      </c>
      <c r="D3072" t="s">
        <v>20491</v>
      </c>
      <c r="E3072" t="b">
        <v>0</v>
      </c>
      <c r="F3072" t="s">
        <v>11622</v>
      </c>
      <c r="I3072" t="s">
        <v>20492</v>
      </c>
      <c r="L3072">
        <v>0</v>
      </c>
      <c r="M3072">
        <v>3</v>
      </c>
      <c r="N3072">
        <v>12</v>
      </c>
      <c r="O3072" t="s">
        <v>12748</v>
      </c>
    </row>
    <row r="3073" spans="1:15">
      <c r="A3073" t="s">
        <v>20493</v>
      </c>
      <c r="B3073" t="s">
        <v>11607</v>
      </c>
      <c r="C3073" t="s">
        <v>20494</v>
      </c>
      <c r="D3073" t="s">
        <v>20495</v>
      </c>
      <c r="E3073" t="b">
        <v>0</v>
      </c>
      <c r="F3073" t="s">
        <v>11624</v>
      </c>
      <c r="G3073">
        <v>4.4462400000000004</v>
      </c>
      <c r="H3073">
        <v>38.464599999999997</v>
      </c>
      <c r="I3073" t="s">
        <v>20496</v>
      </c>
      <c r="L3073">
        <v>0</v>
      </c>
      <c r="M3073">
        <v>0</v>
      </c>
      <c r="N3073">
        <v>0</v>
      </c>
      <c r="O3073" t="s">
        <v>20497</v>
      </c>
    </row>
    <row r="3074" spans="1:15">
      <c r="A3074" t="s">
        <v>20498</v>
      </c>
      <c r="B3074" t="s">
        <v>11981</v>
      </c>
      <c r="C3074" t="s">
        <v>12200</v>
      </c>
      <c r="D3074" t="s">
        <v>20499</v>
      </c>
      <c r="E3074" t="b">
        <v>0</v>
      </c>
      <c r="F3074" t="s">
        <v>11624</v>
      </c>
      <c r="G3074">
        <v>12.363514</v>
      </c>
      <c r="H3074">
        <v>-1.5238</v>
      </c>
      <c r="L3074">
        <v>0</v>
      </c>
      <c r="M3074">
        <v>0</v>
      </c>
      <c r="N3074">
        <v>0</v>
      </c>
      <c r="O3074" t="s">
        <v>19305</v>
      </c>
    </row>
    <row r="3075" spans="1:15">
      <c r="A3075" t="s">
        <v>20500</v>
      </c>
      <c r="B3075" t="s">
        <v>11844</v>
      </c>
      <c r="C3075" t="s">
        <v>9047</v>
      </c>
      <c r="D3075" t="s">
        <v>20501</v>
      </c>
      <c r="E3075" t="b">
        <v>0</v>
      </c>
      <c r="F3075" t="s">
        <v>11610</v>
      </c>
      <c r="L3075">
        <v>0</v>
      </c>
      <c r="M3075">
        <v>0</v>
      </c>
      <c r="N3075">
        <v>0</v>
      </c>
    </row>
    <row r="3076" spans="1:15">
      <c r="A3076" t="s">
        <v>20502</v>
      </c>
      <c r="B3076" t="s">
        <v>11644</v>
      </c>
      <c r="C3076" t="s">
        <v>20503</v>
      </c>
      <c r="D3076" t="s">
        <v>20504</v>
      </c>
      <c r="E3076" t="b">
        <v>0</v>
      </c>
      <c r="F3076" t="s">
        <v>11624</v>
      </c>
      <c r="I3076" t="s">
        <v>20505</v>
      </c>
      <c r="L3076">
        <v>0</v>
      </c>
      <c r="M3076">
        <v>0</v>
      </c>
      <c r="N3076">
        <v>0</v>
      </c>
      <c r="O3076" t="s">
        <v>14059</v>
      </c>
    </row>
    <row r="3077" spans="1:15">
      <c r="A3077" t="s">
        <v>20506</v>
      </c>
      <c r="B3077" t="s">
        <v>367</v>
      </c>
      <c r="C3077" t="s">
        <v>15138</v>
      </c>
      <c r="D3077" t="s">
        <v>20507</v>
      </c>
      <c r="E3077" t="b">
        <v>0</v>
      </c>
      <c r="F3077" t="s">
        <v>11624</v>
      </c>
      <c r="G3077">
        <v>-16.416530000000002</v>
      </c>
      <c r="H3077">
        <v>167.73124000000001</v>
      </c>
      <c r="I3077" t="s">
        <v>20508</v>
      </c>
      <c r="L3077">
        <v>0</v>
      </c>
      <c r="M3077">
        <v>0</v>
      </c>
      <c r="N3077">
        <v>0</v>
      </c>
      <c r="O3077" t="s">
        <v>12719</v>
      </c>
    </row>
    <row r="3078" spans="1:15">
      <c r="A3078" t="s">
        <v>20509</v>
      </c>
      <c r="D3078" t="s">
        <v>20510</v>
      </c>
      <c r="E3078" t="b">
        <v>0</v>
      </c>
      <c r="F3078" t="s">
        <v>11624</v>
      </c>
      <c r="G3078">
        <v>-2.4758200000000001</v>
      </c>
      <c r="H3078">
        <v>138.203</v>
      </c>
      <c r="I3078" t="s">
        <v>20511</v>
      </c>
      <c r="L3078">
        <v>0</v>
      </c>
      <c r="M3078">
        <v>0</v>
      </c>
      <c r="N3078">
        <v>0</v>
      </c>
      <c r="O3078" t="s">
        <v>11768</v>
      </c>
    </row>
    <row r="3079" spans="1:15">
      <c r="A3079" t="s">
        <v>20512</v>
      </c>
      <c r="B3079" t="s">
        <v>11644</v>
      </c>
      <c r="C3079" t="s">
        <v>11644</v>
      </c>
      <c r="D3079" t="s">
        <v>20513</v>
      </c>
      <c r="E3079" t="b">
        <v>0</v>
      </c>
      <c r="F3079" t="s">
        <v>11622</v>
      </c>
      <c r="L3079">
        <v>95</v>
      </c>
      <c r="M3079">
        <v>155</v>
      </c>
      <c r="N3079">
        <v>146</v>
      </c>
    </row>
    <row r="3080" spans="1:15">
      <c r="A3080" t="s">
        <v>20514</v>
      </c>
      <c r="B3080" t="s">
        <v>11644</v>
      </c>
      <c r="C3080" t="s">
        <v>20515</v>
      </c>
      <c r="D3080" t="s">
        <v>20516</v>
      </c>
      <c r="E3080" t="b">
        <v>0</v>
      </c>
      <c r="F3080" t="s">
        <v>11622</v>
      </c>
      <c r="L3080">
        <v>9</v>
      </c>
      <c r="M3080">
        <v>17</v>
      </c>
      <c r="N3080">
        <v>23</v>
      </c>
    </row>
    <row r="3081" spans="1:15">
      <c r="A3081" t="s">
        <v>20517</v>
      </c>
      <c r="B3081" t="s">
        <v>367</v>
      </c>
      <c r="C3081" t="s">
        <v>13463</v>
      </c>
      <c r="D3081" t="s">
        <v>20518</v>
      </c>
      <c r="E3081" t="b">
        <v>0</v>
      </c>
      <c r="F3081" t="s">
        <v>11610</v>
      </c>
      <c r="L3081">
        <v>0</v>
      </c>
      <c r="M3081">
        <v>0</v>
      </c>
      <c r="N3081">
        <v>0</v>
      </c>
    </row>
    <row r="3082" spans="1:15">
      <c r="A3082" t="s">
        <v>20519</v>
      </c>
      <c r="B3082" t="s">
        <v>12438</v>
      </c>
      <c r="C3082" t="s">
        <v>18412</v>
      </c>
      <c r="D3082" t="s">
        <v>20520</v>
      </c>
      <c r="E3082" t="b">
        <v>0</v>
      </c>
      <c r="F3082" t="s">
        <v>11610</v>
      </c>
      <c r="L3082">
        <v>0</v>
      </c>
      <c r="M3082">
        <v>0</v>
      </c>
      <c r="N3082">
        <v>0</v>
      </c>
    </row>
    <row r="3083" spans="1:15">
      <c r="A3083" t="s">
        <v>7926</v>
      </c>
      <c r="D3083" t="s">
        <v>20521</v>
      </c>
      <c r="E3083" t="b">
        <v>0</v>
      </c>
      <c r="F3083" t="s">
        <v>11624</v>
      </c>
      <c r="G3083">
        <v>36.216099999999997</v>
      </c>
      <c r="H3083">
        <v>74.823599999999999</v>
      </c>
      <c r="I3083" t="s">
        <v>7927</v>
      </c>
      <c r="L3083">
        <v>0</v>
      </c>
      <c r="M3083">
        <v>0</v>
      </c>
      <c r="N3083">
        <v>3</v>
      </c>
      <c r="O3083" t="s">
        <v>15870</v>
      </c>
    </row>
    <row r="3084" spans="1:15">
      <c r="A3084" t="s">
        <v>20522</v>
      </c>
      <c r="B3084" t="s">
        <v>6742</v>
      </c>
      <c r="C3084" t="s">
        <v>16541</v>
      </c>
      <c r="D3084" t="s">
        <v>20523</v>
      </c>
      <c r="E3084" t="b">
        <v>0</v>
      </c>
      <c r="F3084" t="s">
        <v>11610</v>
      </c>
      <c r="L3084">
        <v>0</v>
      </c>
      <c r="M3084">
        <v>0</v>
      </c>
      <c r="N3084">
        <v>0</v>
      </c>
    </row>
    <row r="3085" spans="1:15">
      <c r="A3085" t="s">
        <v>20524</v>
      </c>
      <c r="B3085" t="s">
        <v>6742</v>
      </c>
      <c r="C3085" t="s">
        <v>18031</v>
      </c>
      <c r="D3085" t="s">
        <v>20525</v>
      </c>
      <c r="E3085" t="b">
        <v>0</v>
      </c>
      <c r="F3085" t="s">
        <v>11610</v>
      </c>
      <c r="L3085">
        <v>0</v>
      </c>
      <c r="M3085">
        <v>0</v>
      </c>
      <c r="N3085">
        <v>0</v>
      </c>
    </row>
    <row r="3086" spans="1:15">
      <c r="A3086" t="s">
        <v>20526</v>
      </c>
      <c r="B3086" t="s">
        <v>6742</v>
      </c>
      <c r="C3086" t="s">
        <v>11700</v>
      </c>
      <c r="D3086" t="s">
        <v>20527</v>
      </c>
      <c r="E3086" t="b">
        <v>0</v>
      </c>
      <c r="F3086" t="s">
        <v>11624</v>
      </c>
      <c r="G3086">
        <v>7.01091</v>
      </c>
      <c r="H3086">
        <v>10.861700000000001</v>
      </c>
      <c r="I3086" t="s">
        <v>20528</v>
      </c>
      <c r="L3086">
        <v>0</v>
      </c>
      <c r="M3086">
        <v>0</v>
      </c>
      <c r="N3086">
        <v>0</v>
      </c>
      <c r="O3086" t="s">
        <v>11693</v>
      </c>
    </row>
    <row r="3087" spans="1:15">
      <c r="A3087" t="s">
        <v>20529</v>
      </c>
      <c r="B3087" t="s">
        <v>11729</v>
      </c>
      <c r="C3087" t="s">
        <v>1881</v>
      </c>
      <c r="D3087" t="s">
        <v>20530</v>
      </c>
      <c r="E3087" t="b">
        <v>0</v>
      </c>
      <c r="F3087" t="s">
        <v>11610</v>
      </c>
      <c r="L3087">
        <v>0</v>
      </c>
      <c r="M3087">
        <v>0</v>
      </c>
      <c r="N3087">
        <v>0</v>
      </c>
    </row>
    <row r="3088" spans="1:15">
      <c r="A3088" t="s">
        <v>11848</v>
      </c>
      <c r="B3088" t="s">
        <v>11757</v>
      </c>
      <c r="C3088" t="s">
        <v>20531</v>
      </c>
      <c r="D3088" t="s">
        <v>20532</v>
      </c>
      <c r="E3088" t="b">
        <v>0</v>
      </c>
      <c r="F3088" t="s">
        <v>11624</v>
      </c>
      <c r="G3088">
        <v>10.725</v>
      </c>
      <c r="H3088">
        <v>33.920999999999999</v>
      </c>
      <c r="I3088" t="s">
        <v>20533</v>
      </c>
      <c r="L3088">
        <v>0</v>
      </c>
      <c r="M3088">
        <v>0</v>
      </c>
      <c r="N3088">
        <v>5</v>
      </c>
      <c r="O3088" t="s">
        <v>11910</v>
      </c>
    </row>
    <row r="3089" spans="1:15">
      <c r="A3089" t="s">
        <v>20534</v>
      </c>
      <c r="B3089" t="s">
        <v>367</v>
      </c>
      <c r="C3089" t="s">
        <v>20535</v>
      </c>
      <c r="D3089" t="s">
        <v>20536</v>
      </c>
      <c r="E3089" t="b">
        <v>0</v>
      </c>
      <c r="F3089" t="s">
        <v>11624</v>
      </c>
      <c r="G3089">
        <v>-3.4395699999999998</v>
      </c>
      <c r="H3089">
        <v>126.63200000000001</v>
      </c>
      <c r="I3089" t="s">
        <v>20537</v>
      </c>
      <c r="L3089">
        <v>0</v>
      </c>
      <c r="M3089">
        <v>0</v>
      </c>
      <c r="N3089">
        <v>4</v>
      </c>
      <c r="O3089" t="s">
        <v>11768</v>
      </c>
    </row>
    <row r="3090" spans="1:15">
      <c r="A3090" t="s">
        <v>20538</v>
      </c>
      <c r="B3090" t="s">
        <v>367</v>
      </c>
      <c r="C3090" t="s">
        <v>20539</v>
      </c>
      <c r="D3090" t="s">
        <v>20540</v>
      </c>
      <c r="E3090" t="b">
        <v>0</v>
      </c>
      <c r="F3090" t="s">
        <v>11624</v>
      </c>
      <c r="G3090">
        <v>3.3691200000000001</v>
      </c>
      <c r="H3090">
        <v>117.012</v>
      </c>
      <c r="I3090" t="s">
        <v>20541</v>
      </c>
      <c r="L3090">
        <v>0</v>
      </c>
      <c r="M3090">
        <v>0</v>
      </c>
      <c r="N3090">
        <v>0</v>
      </c>
      <c r="O3090" t="s">
        <v>11768</v>
      </c>
    </row>
    <row r="3091" spans="1:15">
      <c r="A3091" t="s">
        <v>20542</v>
      </c>
      <c r="B3091" t="s">
        <v>367</v>
      </c>
      <c r="C3091" t="s">
        <v>20543</v>
      </c>
      <c r="D3091" t="s">
        <v>20544</v>
      </c>
      <c r="E3091" t="b">
        <v>0</v>
      </c>
      <c r="F3091" t="s">
        <v>11610</v>
      </c>
      <c r="L3091">
        <v>0</v>
      </c>
      <c r="M3091">
        <v>0</v>
      </c>
      <c r="N3091">
        <v>0</v>
      </c>
    </row>
    <row r="3092" spans="1:15">
      <c r="A3092" t="s">
        <v>20545</v>
      </c>
      <c r="B3092" t="s">
        <v>11615</v>
      </c>
      <c r="C3092" t="s">
        <v>19634</v>
      </c>
      <c r="D3092" t="s">
        <v>20546</v>
      </c>
      <c r="E3092" t="b">
        <v>0</v>
      </c>
      <c r="F3092" t="s">
        <v>11624</v>
      </c>
      <c r="G3092">
        <v>-6.5166300000000001</v>
      </c>
      <c r="H3092">
        <v>147.333</v>
      </c>
      <c r="I3092" t="s">
        <v>20547</v>
      </c>
      <c r="L3092">
        <v>0</v>
      </c>
      <c r="M3092">
        <v>0</v>
      </c>
      <c r="N3092">
        <v>2</v>
      </c>
      <c r="O3092" t="s">
        <v>11660</v>
      </c>
    </row>
    <row r="3093" spans="1:15">
      <c r="A3093" t="s">
        <v>20548</v>
      </c>
      <c r="B3093" t="s">
        <v>11615</v>
      </c>
      <c r="C3093" t="s">
        <v>20549</v>
      </c>
      <c r="D3093" t="s">
        <v>20550</v>
      </c>
      <c r="E3093" t="b">
        <v>0</v>
      </c>
      <c r="F3093" t="s">
        <v>11624</v>
      </c>
      <c r="G3093">
        <v>-5.1221699999999997</v>
      </c>
      <c r="H3093">
        <v>140.03</v>
      </c>
      <c r="I3093" t="s">
        <v>20551</v>
      </c>
      <c r="L3093">
        <v>0</v>
      </c>
      <c r="M3093">
        <v>0</v>
      </c>
      <c r="N3093">
        <v>0</v>
      </c>
      <c r="O3093" t="s">
        <v>11768</v>
      </c>
    </row>
    <row r="3094" spans="1:15">
      <c r="A3094" t="s">
        <v>20552</v>
      </c>
      <c r="B3094" t="s">
        <v>11615</v>
      </c>
      <c r="C3094" t="s">
        <v>20553</v>
      </c>
      <c r="D3094" t="s">
        <v>20554</v>
      </c>
      <c r="E3094" t="b">
        <v>0</v>
      </c>
      <c r="F3094" t="s">
        <v>11624</v>
      </c>
      <c r="G3094">
        <v>-3.5456099999999999</v>
      </c>
      <c r="H3094">
        <v>133.327</v>
      </c>
      <c r="I3094" t="s">
        <v>20555</v>
      </c>
      <c r="L3094">
        <v>0</v>
      </c>
      <c r="M3094">
        <v>0</v>
      </c>
      <c r="N3094">
        <v>0</v>
      </c>
      <c r="O3094" t="s">
        <v>11768</v>
      </c>
    </row>
    <row r="3095" spans="1:15">
      <c r="A3095" t="s">
        <v>20556</v>
      </c>
      <c r="B3095" t="s">
        <v>13411</v>
      </c>
      <c r="C3095" t="s">
        <v>20357</v>
      </c>
      <c r="D3095" t="s">
        <v>20557</v>
      </c>
      <c r="E3095" t="b">
        <v>0</v>
      </c>
      <c r="F3095" t="s">
        <v>11624</v>
      </c>
      <c r="G3095">
        <v>-4.0352699999999997</v>
      </c>
      <c r="H3095">
        <v>143.01499999999999</v>
      </c>
      <c r="I3095" t="s">
        <v>20558</v>
      </c>
      <c r="L3095">
        <v>0</v>
      </c>
      <c r="M3095">
        <v>0</v>
      </c>
      <c r="N3095">
        <v>0</v>
      </c>
      <c r="O3095" t="s">
        <v>11660</v>
      </c>
    </row>
    <row r="3096" spans="1:15">
      <c r="A3096" t="s">
        <v>20559</v>
      </c>
      <c r="B3096" t="s">
        <v>11607</v>
      </c>
      <c r="C3096" t="s">
        <v>20560</v>
      </c>
      <c r="D3096" t="s">
        <v>20561</v>
      </c>
      <c r="E3096" t="b">
        <v>0</v>
      </c>
      <c r="F3096" t="s">
        <v>11610</v>
      </c>
      <c r="L3096">
        <v>0</v>
      </c>
      <c r="M3096">
        <v>0</v>
      </c>
      <c r="N3096">
        <v>0</v>
      </c>
    </row>
    <row r="3097" spans="1:15">
      <c r="A3097" t="s">
        <v>20562</v>
      </c>
      <c r="B3097" t="s">
        <v>11607</v>
      </c>
      <c r="C3097" t="s">
        <v>20563</v>
      </c>
      <c r="D3097" t="s">
        <v>20564</v>
      </c>
      <c r="E3097" t="b">
        <v>0</v>
      </c>
      <c r="F3097" t="s">
        <v>11624</v>
      </c>
      <c r="G3097">
        <v>-5.2136899999999997</v>
      </c>
      <c r="H3097">
        <v>35.963000000000001</v>
      </c>
      <c r="I3097" t="s">
        <v>20565</v>
      </c>
      <c r="L3097">
        <v>0</v>
      </c>
      <c r="M3097">
        <v>0</v>
      </c>
      <c r="N3097">
        <v>0</v>
      </c>
      <c r="O3097" t="s">
        <v>11635</v>
      </c>
    </row>
    <row r="3098" spans="1:15">
      <c r="A3098" t="s">
        <v>20566</v>
      </c>
      <c r="B3098" t="s">
        <v>367</v>
      </c>
      <c r="C3098" t="s">
        <v>13367</v>
      </c>
      <c r="D3098" t="s">
        <v>20567</v>
      </c>
      <c r="E3098" t="b">
        <v>0</v>
      </c>
      <c r="F3098" t="s">
        <v>11622</v>
      </c>
      <c r="L3098">
        <v>4</v>
      </c>
      <c r="M3098">
        <v>7</v>
      </c>
      <c r="N3098">
        <v>12</v>
      </c>
    </row>
    <row r="3099" spans="1:15">
      <c r="A3099" t="s">
        <v>20535</v>
      </c>
      <c r="B3099" t="s">
        <v>367</v>
      </c>
      <c r="C3099" t="s">
        <v>20568</v>
      </c>
      <c r="D3099" t="s">
        <v>20569</v>
      </c>
      <c r="E3099" t="b">
        <v>0</v>
      </c>
      <c r="F3099" t="s">
        <v>11622</v>
      </c>
      <c r="L3099">
        <v>0</v>
      </c>
      <c r="M3099">
        <v>3</v>
      </c>
      <c r="N3099">
        <v>6</v>
      </c>
    </row>
    <row r="3100" spans="1:15">
      <c r="A3100" t="s">
        <v>20570</v>
      </c>
      <c r="B3100" t="s">
        <v>13450</v>
      </c>
      <c r="C3100" t="s">
        <v>17528</v>
      </c>
      <c r="D3100" t="s">
        <v>20571</v>
      </c>
      <c r="E3100" t="b">
        <v>0</v>
      </c>
      <c r="F3100" t="s">
        <v>11624</v>
      </c>
      <c r="L3100">
        <v>0</v>
      </c>
      <c r="M3100">
        <v>0</v>
      </c>
      <c r="N3100">
        <v>0</v>
      </c>
      <c r="O3100" t="s">
        <v>20572</v>
      </c>
    </row>
    <row r="3101" spans="1:15">
      <c r="A3101" t="s">
        <v>20573</v>
      </c>
      <c r="B3101" t="s">
        <v>331</v>
      </c>
      <c r="C3101" t="s">
        <v>17252</v>
      </c>
      <c r="D3101" t="s">
        <v>20574</v>
      </c>
      <c r="E3101" t="b">
        <v>0</v>
      </c>
      <c r="F3101" t="s">
        <v>11610</v>
      </c>
      <c r="L3101">
        <v>0</v>
      </c>
      <c r="M3101">
        <v>0</v>
      </c>
      <c r="N3101">
        <v>0</v>
      </c>
    </row>
    <row r="3102" spans="1:15">
      <c r="A3102" t="s">
        <v>20575</v>
      </c>
      <c r="B3102" t="s">
        <v>6742</v>
      </c>
      <c r="C3102" t="s">
        <v>16343</v>
      </c>
      <c r="D3102" t="s">
        <v>20576</v>
      </c>
      <c r="E3102" t="b">
        <v>0</v>
      </c>
      <c r="F3102" t="s">
        <v>11624</v>
      </c>
      <c r="G3102">
        <v>5.8604000000000003</v>
      </c>
      <c r="H3102">
        <v>9.6806800000000006</v>
      </c>
      <c r="I3102" t="s">
        <v>20577</v>
      </c>
      <c r="L3102">
        <v>0</v>
      </c>
      <c r="M3102">
        <v>0</v>
      </c>
      <c r="N3102">
        <v>0</v>
      </c>
      <c r="O3102" t="s">
        <v>11703</v>
      </c>
    </row>
    <row r="3103" spans="1:15">
      <c r="A3103" t="s">
        <v>19193</v>
      </c>
      <c r="B3103" t="s">
        <v>13276</v>
      </c>
      <c r="C3103" t="s">
        <v>20578</v>
      </c>
      <c r="D3103" t="s">
        <v>20579</v>
      </c>
      <c r="E3103" t="b">
        <v>0</v>
      </c>
      <c r="F3103" t="s">
        <v>11622</v>
      </c>
      <c r="L3103">
        <v>2</v>
      </c>
      <c r="M3103">
        <v>5</v>
      </c>
      <c r="N3103">
        <v>5</v>
      </c>
    </row>
    <row r="3104" spans="1:15">
      <c r="A3104" t="s">
        <v>20580</v>
      </c>
      <c r="B3104" t="s">
        <v>13276</v>
      </c>
      <c r="C3104" t="s">
        <v>19192</v>
      </c>
      <c r="D3104" t="s">
        <v>20581</v>
      </c>
      <c r="E3104" t="b">
        <v>0</v>
      </c>
      <c r="F3104" t="s">
        <v>11624</v>
      </c>
      <c r="G3104">
        <v>9.9107400000000005</v>
      </c>
      <c r="H3104">
        <v>4.3992899999999997</v>
      </c>
      <c r="I3104" t="s">
        <v>20582</v>
      </c>
      <c r="L3104">
        <v>0</v>
      </c>
      <c r="M3104">
        <v>0</v>
      </c>
      <c r="N3104">
        <v>3</v>
      </c>
      <c r="O3104" t="s">
        <v>11693</v>
      </c>
    </row>
    <row r="3105" spans="1:15">
      <c r="A3105" t="s">
        <v>20583</v>
      </c>
      <c r="B3105" t="s">
        <v>367</v>
      </c>
      <c r="C3105" t="s">
        <v>20584</v>
      </c>
      <c r="D3105" t="s">
        <v>20585</v>
      </c>
      <c r="E3105" t="b">
        <v>0</v>
      </c>
      <c r="F3105" t="s">
        <v>11624</v>
      </c>
      <c r="G3105">
        <v>-1.73681</v>
      </c>
      <c r="H3105">
        <v>136.03200000000001</v>
      </c>
      <c r="I3105" t="s">
        <v>20586</v>
      </c>
      <c r="L3105">
        <v>0</v>
      </c>
      <c r="M3105">
        <v>0</v>
      </c>
      <c r="N3105">
        <v>0</v>
      </c>
      <c r="O3105" t="s">
        <v>11768</v>
      </c>
    </row>
    <row r="3106" spans="1:15">
      <c r="A3106" t="s">
        <v>17798</v>
      </c>
      <c r="B3106" t="s">
        <v>367</v>
      </c>
      <c r="C3106" t="s">
        <v>20587</v>
      </c>
      <c r="D3106" t="s">
        <v>20588</v>
      </c>
      <c r="E3106" t="b">
        <v>0</v>
      </c>
      <c r="F3106" t="s">
        <v>11624</v>
      </c>
      <c r="G3106">
        <v>3.4939999999999999E-2</v>
      </c>
      <c r="H3106">
        <v>115.401</v>
      </c>
      <c r="I3106" t="s">
        <v>20589</v>
      </c>
      <c r="L3106">
        <v>0</v>
      </c>
      <c r="M3106">
        <v>0</v>
      </c>
      <c r="N3106">
        <v>3</v>
      </c>
      <c r="O3106" t="s">
        <v>11768</v>
      </c>
    </row>
    <row r="3107" spans="1:15">
      <c r="A3107" t="s">
        <v>20590</v>
      </c>
      <c r="B3107" t="s">
        <v>11729</v>
      </c>
      <c r="C3107" t="s">
        <v>19464</v>
      </c>
      <c r="D3107" t="s">
        <v>20591</v>
      </c>
      <c r="E3107" t="b">
        <v>0</v>
      </c>
      <c r="F3107" t="s">
        <v>11610</v>
      </c>
      <c r="L3107">
        <v>0</v>
      </c>
      <c r="M3107">
        <v>0</v>
      </c>
      <c r="N3107">
        <v>0</v>
      </c>
    </row>
    <row r="3108" spans="1:15">
      <c r="A3108" t="s">
        <v>20592</v>
      </c>
      <c r="B3108" t="s">
        <v>6742</v>
      </c>
      <c r="C3108" t="s">
        <v>20593</v>
      </c>
      <c r="D3108" t="s">
        <v>20594</v>
      </c>
      <c r="E3108" t="b">
        <v>0</v>
      </c>
      <c r="F3108" t="s">
        <v>11624</v>
      </c>
      <c r="G3108">
        <v>-4.6946300000000001</v>
      </c>
      <c r="H3108">
        <v>21.4556</v>
      </c>
      <c r="I3108" t="s">
        <v>20595</v>
      </c>
      <c r="L3108">
        <v>0</v>
      </c>
      <c r="M3108">
        <v>0</v>
      </c>
      <c r="N3108">
        <v>5</v>
      </c>
      <c r="O3108" t="s">
        <v>14825</v>
      </c>
    </row>
    <row r="3109" spans="1:15">
      <c r="A3109" t="s">
        <v>20596</v>
      </c>
      <c r="B3109" t="s">
        <v>367</v>
      </c>
      <c r="C3109" t="s">
        <v>20597</v>
      </c>
      <c r="D3109" t="s">
        <v>20598</v>
      </c>
      <c r="E3109" t="b">
        <v>0</v>
      </c>
      <c r="F3109" t="s">
        <v>11610</v>
      </c>
      <c r="L3109">
        <v>0</v>
      </c>
      <c r="M3109">
        <v>0</v>
      </c>
      <c r="N3109">
        <v>0</v>
      </c>
    </row>
    <row r="3110" spans="1:15">
      <c r="A3110" t="s">
        <v>20599</v>
      </c>
      <c r="B3110" t="s">
        <v>367</v>
      </c>
      <c r="C3110" t="s">
        <v>20600</v>
      </c>
      <c r="D3110" t="s">
        <v>20601</v>
      </c>
      <c r="E3110" t="b">
        <v>0</v>
      </c>
      <c r="F3110" t="s">
        <v>11610</v>
      </c>
      <c r="L3110">
        <v>0</v>
      </c>
      <c r="M3110">
        <v>0</v>
      </c>
      <c r="N3110">
        <v>0</v>
      </c>
    </row>
    <row r="3111" spans="1:15">
      <c r="A3111" t="s">
        <v>20602</v>
      </c>
      <c r="B3111" t="s">
        <v>367</v>
      </c>
      <c r="C3111" t="s">
        <v>20603</v>
      </c>
      <c r="D3111" t="s">
        <v>20604</v>
      </c>
      <c r="E3111" t="b">
        <v>0</v>
      </c>
      <c r="F3111" t="s">
        <v>11624</v>
      </c>
      <c r="G3111">
        <v>-12.965199999999999</v>
      </c>
      <c r="H3111">
        <v>45.136800000000001</v>
      </c>
      <c r="I3111" t="s">
        <v>20605</v>
      </c>
      <c r="L3111">
        <v>0</v>
      </c>
      <c r="M3111">
        <v>0</v>
      </c>
      <c r="N3111">
        <v>2</v>
      </c>
      <c r="O3111" t="s">
        <v>20606</v>
      </c>
    </row>
    <row r="3112" spans="1:15">
      <c r="A3112" t="s">
        <v>20593</v>
      </c>
      <c r="B3112" t="s">
        <v>6742</v>
      </c>
      <c r="C3112" t="s">
        <v>19680</v>
      </c>
      <c r="D3112" t="s">
        <v>20607</v>
      </c>
      <c r="E3112" t="b">
        <v>0</v>
      </c>
      <c r="F3112" t="s">
        <v>11622</v>
      </c>
      <c r="L3112">
        <v>0</v>
      </c>
      <c r="M3112">
        <v>3</v>
      </c>
      <c r="N3112">
        <v>5</v>
      </c>
    </row>
    <row r="3113" spans="1:15">
      <c r="A3113" t="s">
        <v>20608</v>
      </c>
      <c r="B3113" t="s">
        <v>6742</v>
      </c>
      <c r="C3113" t="s">
        <v>17205</v>
      </c>
      <c r="D3113" t="s">
        <v>20609</v>
      </c>
      <c r="E3113" t="b">
        <v>0</v>
      </c>
      <c r="F3113" t="s">
        <v>11610</v>
      </c>
      <c r="L3113">
        <v>0</v>
      </c>
      <c r="M3113">
        <v>0</v>
      </c>
      <c r="N3113">
        <v>0</v>
      </c>
    </row>
    <row r="3114" spans="1:15">
      <c r="A3114" t="s">
        <v>20610</v>
      </c>
      <c r="B3114" t="s">
        <v>367</v>
      </c>
      <c r="C3114" t="s">
        <v>20611</v>
      </c>
      <c r="D3114" t="s">
        <v>20612</v>
      </c>
      <c r="E3114" t="b">
        <v>0</v>
      </c>
      <c r="F3114" t="s">
        <v>11624</v>
      </c>
      <c r="G3114">
        <v>-5.6052400000000002</v>
      </c>
      <c r="H3114">
        <v>122.622</v>
      </c>
      <c r="I3114" t="s">
        <v>20613</v>
      </c>
      <c r="L3114">
        <v>0</v>
      </c>
      <c r="M3114">
        <v>0</v>
      </c>
      <c r="N3114">
        <v>0</v>
      </c>
      <c r="O3114" t="s">
        <v>11768</v>
      </c>
    </row>
    <row r="3115" spans="1:15">
      <c r="A3115" t="s">
        <v>20614</v>
      </c>
      <c r="B3115" t="s">
        <v>11627</v>
      </c>
      <c r="C3115" t="s">
        <v>11627</v>
      </c>
      <c r="D3115" t="s">
        <v>20615</v>
      </c>
      <c r="E3115" t="b">
        <v>1</v>
      </c>
      <c r="F3115" t="s">
        <v>11624</v>
      </c>
      <c r="G3115">
        <v>12.5008</v>
      </c>
      <c r="H3115">
        <v>17.601099999999999</v>
      </c>
      <c r="I3115" t="s">
        <v>20616</v>
      </c>
      <c r="L3115">
        <v>0</v>
      </c>
      <c r="M3115">
        <v>0</v>
      </c>
      <c r="N3115">
        <v>0</v>
      </c>
      <c r="O3115" t="s">
        <v>13421</v>
      </c>
    </row>
    <row r="3116" spans="1:15">
      <c r="A3116" t="s">
        <v>20617</v>
      </c>
      <c r="B3116" t="s">
        <v>11607</v>
      </c>
      <c r="C3116" t="s">
        <v>20618</v>
      </c>
      <c r="D3116" t="s">
        <v>20619</v>
      </c>
      <c r="E3116" t="b">
        <v>0</v>
      </c>
      <c r="F3116" t="s">
        <v>11624</v>
      </c>
      <c r="G3116">
        <v>5.7498699999999996</v>
      </c>
      <c r="H3116">
        <v>37.201700000000002</v>
      </c>
      <c r="I3116" t="s">
        <v>20620</v>
      </c>
      <c r="L3116">
        <v>0</v>
      </c>
      <c r="M3116">
        <v>0</v>
      </c>
      <c r="N3116">
        <v>0</v>
      </c>
      <c r="O3116" t="s">
        <v>11625</v>
      </c>
    </row>
    <row r="3117" spans="1:15">
      <c r="A3117" t="s">
        <v>20621</v>
      </c>
      <c r="B3117" t="s">
        <v>6742</v>
      </c>
      <c r="C3117" t="s">
        <v>20319</v>
      </c>
      <c r="D3117" t="s">
        <v>20622</v>
      </c>
      <c r="E3117" t="b">
        <v>0</v>
      </c>
      <c r="F3117" t="s">
        <v>11610</v>
      </c>
      <c r="L3117">
        <v>0</v>
      </c>
      <c r="M3117">
        <v>0</v>
      </c>
      <c r="N3117">
        <v>0</v>
      </c>
    </row>
    <row r="3118" spans="1:15">
      <c r="A3118" t="s">
        <v>20623</v>
      </c>
      <c r="B3118" t="s">
        <v>6742</v>
      </c>
      <c r="C3118" t="s">
        <v>11700</v>
      </c>
      <c r="D3118" t="s">
        <v>20624</v>
      </c>
      <c r="E3118" t="b">
        <v>0</v>
      </c>
      <c r="F3118" t="s">
        <v>11624</v>
      </c>
      <c r="G3118">
        <v>6.6815199999999999</v>
      </c>
      <c r="H3118">
        <v>9.7843300000000006</v>
      </c>
      <c r="I3118" t="s">
        <v>20625</v>
      </c>
      <c r="L3118">
        <v>0</v>
      </c>
      <c r="M3118">
        <v>0</v>
      </c>
      <c r="N3118">
        <v>0</v>
      </c>
      <c r="O3118" t="s">
        <v>11703</v>
      </c>
    </row>
    <row r="3119" spans="1:15">
      <c r="A3119" t="s">
        <v>14502</v>
      </c>
      <c r="B3119" t="s">
        <v>367</v>
      </c>
      <c r="C3119" t="s">
        <v>20626</v>
      </c>
      <c r="D3119" t="s">
        <v>20627</v>
      </c>
      <c r="E3119" t="b">
        <v>0</v>
      </c>
      <c r="F3119" t="s">
        <v>11622</v>
      </c>
      <c r="L3119">
        <v>0</v>
      </c>
      <c r="M3119">
        <v>5</v>
      </c>
      <c r="N3119">
        <v>0</v>
      </c>
    </row>
    <row r="3120" spans="1:15">
      <c r="A3120" t="s">
        <v>20628</v>
      </c>
      <c r="B3120" t="s">
        <v>20629</v>
      </c>
      <c r="C3120" t="s">
        <v>20629</v>
      </c>
      <c r="D3120" t="s">
        <v>20630</v>
      </c>
      <c r="E3120" t="b">
        <v>0</v>
      </c>
      <c r="F3120" t="s">
        <v>11624</v>
      </c>
      <c r="G3120">
        <v>-4.4716959999999997</v>
      </c>
      <c r="H3120">
        <v>152.24567400000001</v>
      </c>
      <c r="L3120">
        <v>0</v>
      </c>
      <c r="M3120">
        <v>0</v>
      </c>
      <c r="N3120">
        <v>0</v>
      </c>
      <c r="O3120" t="s">
        <v>11660</v>
      </c>
    </row>
    <row r="3121" spans="1:15">
      <c r="A3121" t="s">
        <v>20631</v>
      </c>
      <c r="B3121" t="s">
        <v>367</v>
      </c>
      <c r="C3121" t="s">
        <v>20632</v>
      </c>
      <c r="D3121" t="s">
        <v>20633</v>
      </c>
      <c r="E3121" t="b">
        <v>0</v>
      </c>
      <c r="F3121" t="s">
        <v>11624</v>
      </c>
      <c r="G3121">
        <v>17.2239</v>
      </c>
      <c r="H3121">
        <v>121.09099999999999</v>
      </c>
      <c r="I3121" t="s">
        <v>20634</v>
      </c>
      <c r="L3121">
        <v>0</v>
      </c>
      <c r="M3121">
        <v>0</v>
      </c>
      <c r="N3121">
        <v>0</v>
      </c>
      <c r="O3121" t="s">
        <v>11749</v>
      </c>
    </row>
    <row r="3122" spans="1:15">
      <c r="A3122" t="s">
        <v>20635</v>
      </c>
      <c r="B3122" t="s">
        <v>12250</v>
      </c>
      <c r="C3122" t="s">
        <v>20636</v>
      </c>
      <c r="D3122" t="s">
        <v>20637</v>
      </c>
      <c r="E3122" t="b">
        <v>0</v>
      </c>
      <c r="F3122" t="s">
        <v>11610</v>
      </c>
      <c r="L3122">
        <v>0</v>
      </c>
      <c r="M3122">
        <v>0</v>
      </c>
      <c r="N3122">
        <v>0</v>
      </c>
    </row>
    <row r="3123" spans="1:15">
      <c r="A3123" t="s">
        <v>20638</v>
      </c>
      <c r="B3123" t="s">
        <v>6742</v>
      </c>
      <c r="C3123" t="s">
        <v>20639</v>
      </c>
      <c r="D3123" t="s">
        <v>20640</v>
      </c>
      <c r="E3123" t="b">
        <v>0</v>
      </c>
      <c r="F3123" t="s">
        <v>11610</v>
      </c>
      <c r="L3123">
        <v>0</v>
      </c>
      <c r="M3123">
        <v>0</v>
      </c>
      <c r="N3123">
        <v>0</v>
      </c>
    </row>
    <row r="3124" spans="1:15">
      <c r="A3124" t="s">
        <v>20641</v>
      </c>
      <c r="B3124" t="s">
        <v>13450</v>
      </c>
      <c r="C3124" t="s">
        <v>13451</v>
      </c>
      <c r="D3124" t="s">
        <v>20642</v>
      </c>
      <c r="E3124" t="b">
        <v>0</v>
      </c>
      <c r="F3124" t="s">
        <v>11624</v>
      </c>
      <c r="L3124">
        <v>0</v>
      </c>
      <c r="M3124">
        <v>0</v>
      </c>
      <c r="N3124">
        <v>0</v>
      </c>
      <c r="O3124" t="s">
        <v>11630</v>
      </c>
    </row>
    <row r="3125" spans="1:15">
      <c r="A3125" t="s">
        <v>20643</v>
      </c>
      <c r="B3125" t="s">
        <v>367</v>
      </c>
      <c r="C3125" t="s">
        <v>20644</v>
      </c>
      <c r="D3125" t="s">
        <v>20645</v>
      </c>
      <c r="E3125" t="b">
        <v>0</v>
      </c>
      <c r="F3125" t="s">
        <v>11624</v>
      </c>
      <c r="G3125">
        <v>-15.3353</v>
      </c>
      <c r="H3125">
        <v>167.03399999999999</v>
      </c>
      <c r="I3125" t="s">
        <v>20646</v>
      </c>
      <c r="L3125">
        <v>0</v>
      </c>
      <c r="M3125">
        <v>0</v>
      </c>
      <c r="N3125">
        <v>0</v>
      </c>
      <c r="O3125" t="s">
        <v>12719</v>
      </c>
    </row>
    <row r="3126" spans="1:15">
      <c r="A3126" t="s">
        <v>20647</v>
      </c>
      <c r="B3126" t="s">
        <v>367</v>
      </c>
      <c r="C3126" t="s">
        <v>20648</v>
      </c>
      <c r="D3126" t="s">
        <v>20649</v>
      </c>
      <c r="E3126" t="b">
        <v>0</v>
      </c>
      <c r="F3126" t="s">
        <v>11622</v>
      </c>
      <c r="L3126">
        <v>1</v>
      </c>
      <c r="M3126">
        <v>3</v>
      </c>
      <c r="N3126">
        <v>10</v>
      </c>
    </row>
    <row r="3127" spans="1:15">
      <c r="A3127" t="s">
        <v>20650</v>
      </c>
      <c r="B3127" t="s">
        <v>11644</v>
      </c>
      <c r="C3127" t="s">
        <v>6134</v>
      </c>
      <c r="D3127" t="s">
        <v>20651</v>
      </c>
      <c r="E3127" t="b">
        <v>0</v>
      </c>
      <c r="F3127" t="s">
        <v>11610</v>
      </c>
      <c r="L3127">
        <v>0</v>
      </c>
      <c r="M3127">
        <v>0</v>
      </c>
      <c r="N3127">
        <v>0</v>
      </c>
    </row>
    <row r="3128" spans="1:15">
      <c r="A3128" t="s">
        <v>20652</v>
      </c>
      <c r="B3128" t="s">
        <v>367</v>
      </c>
      <c r="C3128" t="s">
        <v>20653</v>
      </c>
      <c r="D3128" t="s">
        <v>20654</v>
      </c>
      <c r="E3128" t="b">
        <v>0</v>
      </c>
      <c r="F3128" t="s">
        <v>11622</v>
      </c>
      <c r="L3128">
        <v>0</v>
      </c>
      <c r="M3128">
        <v>2</v>
      </c>
      <c r="N3128">
        <v>0</v>
      </c>
    </row>
    <row r="3129" spans="1:15">
      <c r="A3129" t="s">
        <v>20655</v>
      </c>
      <c r="B3129" t="s">
        <v>367</v>
      </c>
      <c r="C3129" t="s">
        <v>20652</v>
      </c>
      <c r="D3129" t="s">
        <v>20656</v>
      </c>
      <c r="E3129" t="b">
        <v>0</v>
      </c>
      <c r="F3129" t="s">
        <v>11624</v>
      </c>
      <c r="G3129">
        <v>8.8700899999999994</v>
      </c>
      <c r="H3129">
        <v>125.41800000000001</v>
      </c>
      <c r="I3129" t="s">
        <v>20657</v>
      </c>
      <c r="L3129">
        <v>0</v>
      </c>
      <c r="M3129">
        <v>0</v>
      </c>
      <c r="N3129">
        <v>0</v>
      </c>
      <c r="O3129" t="s">
        <v>11749</v>
      </c>
    </row>
    <row r="3130" spans="1:15">
      <c r="A3130" t="s">
        <v>20658</v>
      </c>
      <c r="B3130" t="s">
        <v>6742</v>
      </c>
      <c r="C3130" t="s">
        <v>15522</v>
      </c>
      <c r="D3130" t="s">
        <v>20659</v>
      </c>
      <c r="E3130" t="b">
        <v>0</v>
      </c>
      <c r="F3130" t="s">
        <v>11624</v>
      </c>
      <c r="G3130">
        <v>9.05077</v>
      </c>
      <c r="H3130">
        <v>8.6569699999999994</v>
      </c>
      <c r="I3130" t="s">
        <v>20660</v>
      </c>
      <c r="L3130">
        <v>0</v>
      </c>
      <c r="M3130">
        <v>0</v>
      </c>
      <c r="N3130">
        <v>2</v>
      </c>
      <c r="O3130" t="s">
        <v>11693</v>
      </c>
    </row>
    <row r="3131" spans="1:15">
      <c r="A3131" t="s">
        <v>20661</v>
      </c>
      <c r="B3131" t="s">
        <v>12487</v>
      </c>
      <c r="C3131" t="s">
        <v>13970</v>
      </c>
      <c r="D3131" t="s">
        <v>20662</v>
      </c>
      <c r="E3131" t="b">
        <v>0</v>
      </c>
      <c r="F3131" t="s">
        <v>11610</v>
      </c>
      <c r="L3131">
        <v>0</v>
      </c>
      <c r="M3131">
        <v>0</v>
      </c>
      <c r="N3131">
        <v>0</v>
      </c>
    </row>
    <row r="3132" spans="1:15">
      <c r="A3132" t="s">
        <v>20663</v>
      </c>
      <c r="B3132" t="s">
        <v>12646</v>
      </c>
      <c r="C3132" t="s">
        <v>20664</v>
      </c>
      <c r="D3132" t="s">
        <v>20665</v>
      </c>
      <c r="E3132" t="b">
        <v>0</v>
      </c>
      <c r="F3132" t="s">
        <v>11610</v>
      </c>
      <c r="L3132">
        <v>0</v>
      </c>
      <c r="M3132">
        <v>0</v>
      </c>
      <c r="N3132">
        <v>0</v>
      </c>
    </row>
    <row r="3133" spans="1:15">
      <c r="A3133" t="s">
        <v>20666</v>
      </c>
      <c r="B3133" t="s">
        <v>11607</v>
      </c>
      <c r="C3133" t="s">
        <v>20667</v>
      </c>
      <c r="D3133" t="s">
        <v>20668</v>
      </c>
      <c r="E3133" t="b">
        <v>0</v>
      </c>
      <c r="F3133" t="s">
        <v>11624</v>
      </c>
      <c r="G3133">
        <v>10.6151</v>
      </c>
      <c r="H3133">
        <v>13.883800000000001</v>
      </c>
      <c r="I3133" t="s">
        <v>20669</v>
      </c>
      <c r="L3133">
        <v>0</v>
      </c>
      <c r="M3133">
        <v>0</v>
      </c>
      <c r="N3133">
        <v>0</v>
      </c>
      <c r="O3133" t="s">
        <v>11703</v>
      </c>
    </row>
    <row r="3134" spans="1:15">
      <c r="A3134" t="s">
        <v>20667</v>
      </c>
      <c r="B3134" t="s">
        <v>11607</v>
      </c>
      <c r="C3134" t="s">
        <v>18908</v>
      </c>
      <c r="D3134" t="s">
        <v>20670</v>
      </c>
      <c r="E3134" t="b">
        <v>0</v>
      </c>
      <c r="F3134" t="s">
        <v>11622</v>
      </c>
      <c r="L3134">
        <v>0</v>
      </c>
      <c r="M3134">
        <v>2</v>
      </c>
      <c r="N3134">
        <v>0</v>
      </c>
    </row>
    <row r="3135" spans="1:15">
      <c r="A3135" t="s">
        <v>20671</v>
      </c>
      <c r="B3135" t="s">
        <v>367</v>
      </c>
      <c r="C3135" t="s">
        <v>20672</v>
      </c>
      <c r="D3135" t="s">
        <v>20673</v>
      </c>
      <c r="E3135" t="b">
        <v>0</v>
      </c>
      <c r="F3135" t="s">
        <v>11610</v>
      </c>
      <c r="L3135">
        <v>0</v>
      </c>
      <c r="M3135">
        <v>0</v>
      </c>
      <c r="N3135">
        <v>0</v>
      </c>
    </row>
    <row r="3136" spans="1:15">
      <c r="A3136" t="s">
        <v>20674</v>
      </c>
      <c r="B3136" t="s">
        <v>11607</v>
      </c>
      <c r="C3136" t="s">
        <v>20675</v>
      </c>
      <c r="D3136" t="s">
        <v>20676</v>
      </c>
      <c r="E3136" t="b">
        <v>0</v>
      </c>
      <c r="F3136" t="s">
        <v>11610</v>
      </c>
      <c r="L3136">
        <v>0</v>
      </c>
      <c r="M3136">
        <v>0</v>
      </c>
      <c r="N3136">
        <v>0</v>
      </c>
    </row>
    <row r="3137" spans="1:15">
      <c r="A3137" t="s">
        <v>20677</v>
      </c>
      <c r="B3137" t="s">
        <v>11627</v>
      </c>
      <c r="C3137" t="s">
        <v>11627</v>
      </c>
      <c r="D3137" t="s">
        <v>20678</v>
      </c>
      <c r="E3137" t="b">
        <v>1</v>
      </c>
      <c r="F3137" t="s">
        <v>11624</v>
      </c>
      <c r="I3137" t="s">
        <v>20679</v>
      </c>
      <c r="L3137">
        <v>0</v>
      </c>
      <c r="M3137">
        <v>0</v>
      </c>
      <c r="N3137">
        <v>0</v>
      </c>
    </row>
    <row r="3138" spans="1:15">
      <c r="A3138" t="s">
        <v>20680</v>
      </c>
      <c r="B3138" t="s">
        <v>5126</v>
      </c>
      <c r="C3138" t="s">
        <v>20681</v>
      </c>
      <c r="D3138" t="s">
        <v>20682</v>
      </c>
      <c r="E3138" t="b">
        <v>0</v>
      </c>
      <c r="F3138" t="s">
        <v>11622</v>
      </c>
      <c r="I3138" t="s">
        <v>20683</v>
      </c>
      <c r="L3138">
        <v>1</v>
      </c>
      <c r="M3138">
        <v>4</v>
      </c>
      <c r="N3138">
        <v>0</v>
      </c>
    </row>
    <row r="3139" spans="1:15">
      <c r="A3139" t="s">
        <v>20684</v>
      </c>
      <c r="B3139" t="s">
        <v>11627</v>
      </c>
      <c r="C3139" t="s">
        <v>11627</v>
      </c>
      <c r="D3139" t="s">
        <v>20685</v>
      </c>
      <c r="E3139" t="b">
        <v>1</v>
      </c>
      <c r="F3139" t="s">
        <v>11624</v>
      </c>
      <c r="G3139">
        <v>-4.9082800000000004</v>
      </c>
      <c r="H3139">
        <v>26.297999999999998</v>
      </c>
      <c r="I3139" t="s">
        <v>20686</v>
      </c>
      <c r="L3139">
        <v>0</v>
      </c>
      <c r="M3139">
        <v>0</v>
      </c>
      <c r="N3139">
        <v>0</v>
      </c>
      <c r="O3139" t="s">
        <v>14825</v>
      </c>
    </row>
    <row r="3140" spans="1:15">
      <c r="A3140" t="s">
        <v>20687</v>
      </c>
      <c r="B3140" t="s">
        <v>13276</v>
      </c>
      <c r="C3140" t="s">
        <v>20688</v>
      </c>
      <c r="D3140" t="s">
        <v>20689</v>
      </c>
      <c r="E3140" t="b">
        <v>0</v>
      </c>
      <c r="F3140" t="s">
        <v>11610</v>
      </c>
      <c r="L3140">
        <v>0</v>
      </c>
      <c r="M3140">
        <v>0</v>
      </c>
      <c r="N3140">
        <v>0</v>
      </c>
    </row>
    <row r="3141" spans="1:15">
      <c r="A3141" t="s">
        <v>20690</v>
      </c>
      <c r="B3141" t="s">
        <v>11644</v>
      </c>
      <c r="C3141" t="s">
        <v>20691</v>
      </c>
      <c r="D3141" t="s">
        <v>20692</v>
      </c>
      <c r="E3141" t="b">
        <v>0</v>
      </c>
      <c r="F3141" t="s">
        <v>11624</v>
      </c>
      <c r="G3141">
        <v>22</v>
      </c>
      <c r="H3141">
        <v>101.08</v>
      </c>
      <c r="I3141" t="s">
        <v>20693</v>
      </c>
      <c r="L3141">
        <v>0</v>
      </c>
      <c r="M3141">
        <v>0</v>
      </c>
      <c r="N3141">
        <v>0</v>
      </c>
      <c r="O3141" t="s">
        <v>11905</v>
      </c>
    </row>
    <row r="3142" spans="1:15">
      <c r="A3142" t="s">
        <v>20694</v>
      </c>
      <c r="B3142" t="s">
        <v>6742</v>
      </c>
      <c r="C3142" t="s">
        <v>20695</v>
      </c>
      <c r="D3142" t="s">
        <v>20696</v>
      </c>
      <c r="E3142" t="b">
        <v>0</v>
      </c>
      <c r="F3142" t="s">
        <v>11624</v>
      </c>
      <c r="G3142">
        <v>-5.4180599999999997</v>
      </c>
      <c r="H3142">
        <v>28.554500000000001</v>
      </c>
      <c r="I3142" t="s">
        <v>20697</v>
      </c>
      <c r="L3142">
        <v>0</v>
      </c>
      <c r="M3142">
        <v>0</v>
      </c>
      <c r="N3142">
        <v>0</v>
      </c>
      <c r="O3142" t="s">
        <v>14825</v>
      </c>
    </row>
    <row r="3143" spans="1:15">
      <c r="A3143" t="s">
        <v>20695</v>
      </c>
      <c r="B3143" t="s">
        <v>6742</v>
      </c>
      <c r="C3143" t="s">
        <v>17875</v>
      </c>
      <c r="D3143" t="s">
        <v>20698</v>
      </c>
      <c r="E3143" t="b">
        <v>0</v>
      </c>
      <c r="F3143" t="s">
        <v>11622</v>
      </c>
      <c r="L3143">
        <v>0</v>
      </c>
      <c r="M3143">
        <v>2</v>
      </c>
      <c r="N3143">
        <v>0</v>
      </c>
    </row>
    <row r="3144" spans="1:15">
      <c r="A3144" t="s">
        <v>20699</v>
      </c>
      <c r="B3144" t="s">
        <v>12250</v>
      </c>
      <c r="C3144" t="s">
        <v>20700</v>
      </c>
      <c r="D3144" t="s">
        <v>20701</v>
      </c>
      <c r="E3144" t="b">
        <v>0</v>
      </c>
      <c r="F3144" t="s">
        <v>11610</v>
      </c>
      <c r="L3144">
        <v>0</v>
      </c>
      <c r="M3144">
        <v>0</v>
      </c>
      <c r="N3144">
        <v>0</v>
      </c>
    </row>
    <row r="3145" spans="1:15">
      <c r="A3145" t="s">
        <v>20702</v>
      </c>
      <c r="B3145" t="s">
        <v>6742</v>
      </c>
      <c r="C3145" t="s">
        <v>17687</v>
      </c>
      <c r="D3145" t="s">
        <v>20703</v>
      </c>
      <c r="E3145" t="b">
        <v>0</v>
      </c>
      <c r="F3145" t="s">
        <v>11610</v>
      </c>
      <c r="L3145">
        <v>0</v>
      </c>
      <c r="M3145">
        <v>0</v>
      </c>
      <c r="N3145">
        <v>0</v>
      </c>
    </row>
    <row r="3146" spans="1:15">
      <c r="A3146" t="s">
        <v>20704</v>
      </c>
      <c r="B3146" t="s">
        <v>6742</v>
      </c>
      <c r="C3146" t="s">
        <v>19695</v>
      </c>
      <c r="D3146" t="s">
        <v>20705</v>
      </c>
      <c r="E3146" t="b">
        <v>0</v>
      </c>
      <c r="F3146" t="s">
        <v>11610</v>
      </c>
      <c r="L3146">
        <v>0</v>
      </c>
      <c r="M3146">
        <v>0</v>
      </c>
      <c r="N3146">
        <v>0</v>
      </c>
    </row>
    <row r="3147" spans="1:15">
      <c r="A3147" t="s">
        <v>20706</v>
      </c>
      <c r="B3147" t="s">
        <v>6742</v>
      </c>
      <c r="C3147" t="s">
        <v>19032</v>
      </c>
      <c r="D3147" t="s">
        <v>20707</v>
      </c>
      <c r="E3147" t="b">
        <v>0</v>
      </c>
      <c r="F3147" t="s">
        <v>11610</v>
      </c>
      <c r="L3147">
        <v>0</v>
      </c>
      <c r="M3147">
        <v>0</v>
      </c>
      <c r="N3147">
        <v>0</v>
      </c>
    </row>
    <row r="3148" spans="1:15">
      <c r="A3148" t="s">
        <v>17425</v>
      </c>
      <c r="B3148" t="s">
        <v>6742</v>
      </c>
      <c r="C3148" t="s">
        <v>20708</v>
      </c>
      <c r="D3148" t="s">
        <v>20709</v>
      </c>
      <c r="E3148" t="b">
        <v>0</v>
      </c>
      <c r="F3148" t="s">
        <v>11624</v>
      </c>
      <c r="G3148">
        <v>2.5956999999999999</v>
      </c>
      <c r="H3148">
        <v>25.2514</v>
      </c>
      <c r="I3148" t="s">
        <v>20710</v>
      </c>
      <c r="L3148">
        <v>0</v>
      </c>
      <c r="M3148">
        <v>0</v>
      </c>
      <c r="N3148">
        <v>5</v>
      </c>
      <c r="O3148" t="s">
        <v>14825</v>
      </c>
    </row>
    <row r="3149" spans="1:15">
      <c r="A3149" t="s">
        <v>20711</v>
      </c>
      <c r="B3149" t="s">
        <v>367</v>
      </c>
      <c r="C3149" t="s">
        <v>14042</v>
      </c>
      <c r="D3149" t="s">
        <v>20712</v>
      </c>
      <c r="E3149" t="b">
        <v>0</v>
      </c>
      <c r="F3149" t="s">
        <v>11622</v>
      </c>
      <c r="L3149">
        <v>2</v>
      </c>
      <c r="M3149">
        <v>7</v>
      </c>
      <c r="N3149">
        <v>29</v>
      </c>
    </row>
    <row r="3150" spans="1:15">
      <c r="A3150" t="s">
        <v>17655</v>
      </c>
      <c r="B3150" t="s">
        <v>367</v>
      </c>
      <c r="C3150" t="s">
        <v>20713</v>
      </c>
      <c r="D3150" t="s">
        <v>20714</v>
      </c>
      <c r="E3150" t="b">
        <v>0</v>
      </c>
      <c r="F3150" t="s">
        <v>11624</v>
      </c>
      <c r="G3150">
        <v>-9.5115800000000004</v>
      </c>
      <c r="H3150">
        <v>150.297</v>
      </c>
      <c r="I3150" t="s">
        <v>20715</v>
      </c>
      <c r="L3150">
        <v>0</v>
      </c>
      <c r="M3150">
        <v>0</v>
      </c>
      <c r="N3150">
        <v>9</v>
      </c>
      <c r="O3150" t="s">
        <v>11660</v>
      </c>
    </row>
    <row r="3151" spans="1:15">
      <c r="A3151" t="s">
        <v>20716</v>
      </c>
      <c r="B3151" t="s">
        <v>367</v>
      </c>
      <c r="C3151" t="s">
        <v>17655</v>
      </c>
      <c r="D3151" t="s">
        <v>20717</v>
      </c>
      <c r="E3151" t="b">
        <v>0</v>
      </c>
      <c r="F3151" t="s">
        <v>11610</v>
      </c>
      <c r="L3151">
        <v>0</v>
      </c>
      <c r="M3151">
        <v>0</v>
      </c>
      <c r="N3151">
        <v>0</v>
      </c>
    </row>
    <row r="3152" spans="1:15">
      <c r="A3152" t="s">
        <v>20713</v>
      </c>
      <c r="B3152" t="s">
        <v>367</v>
      </c>
      <c r="C3152" t="s">
        <v>20711</v>
      </c>
      <c r="D3152" t="s">
        <v>20718</v>
      </c>
      <c r="E3152" t="b">
        <v>0</v>
      </c>
      <c r="F3152" t="s">
        <v>11622</v>
      </c>
      <c r="L3152">
        <v>0</v>
      </c>
      <c r="M3152">
        <v>2</v>
      </c>
      <c r="N3152">
        <v>17</v>
      </c>
    </row>
    <row r="3153" spans="1:15">
      <c r="A3153" t="s">
        <v>20719</v>
      </c>
      <c r="B3153" t="s">
        <v>6742</v>
      </c>
      <c r="C3153" t="s">
        <v>20720</v>
      </c>
      <c r="D3153" t="s">
        <v>20721</v>
      </c>
      <c r="E3153" t="b">
        <v>0</v>
      </c>
      <c r="F3153" t="s">
        <v>11622</v>
      </c>
      <c r="L3153">
        <v>0</v>
      </c>
      <c r="M3153">
        <v>2</v>
      </c>
      <c r="N3153">
        <v>0</v>
      </c>
    </row>
    <row r="3154" spans="1:15">
      <c r="A3154" t="s">
        <v>20722</v>
      </c>
      <c r="B3154" t="s">
        <v>6742</v>
      </c>
      <c r="C3154" t="s">
        <v>19244</v>
      </c>
      <c r="D3154" t="s">
        <v>20723</v>
      </c>
      <c r="E3154" t="b">
        <v>0</v>
      </c>
      <c r="F3154" t="s">
        <v>11610</v>
      </c>
      <c r="L3154">
        <v>0</v>
      </c>
      <c r="M3154">
        <v>0</v>
      </c>
      <c r="N3154">
        <v>0</v>
      </c>
    </row>
    <row r="3155" spans="1:15">
      <c r="A3155" t="s">
        <v>20724</v>
      </c>
      <c r="B3155" t="s">
        <v>367</v>
      </c>
      <c r="C3155" t="s">
        <v>20725</v>
      </c>
      <c r="D3155" t="s">
        <v>20726</v>
      </c>
      <c r="E3155" t="b">
        <v>0</v>
      </c>
      <c r="F3155" t="s">
        <v>11610</v>
      </c>
      <c r="L3155">
        <v>0</v>
      </c>
      <c r="M3155">
        <v>0</v>
      </c>
      <c r="N3155">
        <v>0</v>
      </c>
    </row>
    <row r="3156" spans="1:15">
      <c r="A3156" t="s">
        <v>19381</v>
      </c>
      <c r="B3156" t="s">
        <v>6742</v>
      </c>
      <c r="C3156" t="s">
        <v>20727</v>
      </c>
      <c r="D3156" t="s">
        <v>20728</v>
      </c>
      <c r="E3156" t="b">
        <v>0</v>
      </c>
      <c r="F3156" t="s">
        <v>11622</v>
      </c>
      <c r="L3156">
        <v>1</v>
      </c>
      <c r="M3156">
        <v>4</v>
      </c>
      <c r="N3156">
        <v>10</v>
      </c>
    </row>
    <row r="3157" spans="1:15">
      <c r="A3157" t="s">
        <v>20727</v>
      </c>
      <c r="B3157" t="s">
        <v>6742</v>
      </c>
      <c r="C3157" t="s">
        <v>20729</v>
      </c>
      <c r="D3157" t="s">
        <v>20730</v>
      </c>
      <c r="E3157" t="b">
        <v>0</v>
      </c>
      <c r="F3157" t="s">
        <v>11622</v>
      </c>
      <c r="L3157">
        <v>34</v>
      </c>
      <c r="M3157">
        <v>38</v>
      </c>
      <c r="N3157">
        <v>77</v>
      </c>
    </row>
    <row r="3158" spans="1:15">
      <c r="A3158" t="s">
        <v>20731</v>
      </c>
      <c r="B3158" t="s">
        <v>6742</v>
      </c>
      <c r="C3158" t="s">
        <v>19363</v>
      </c>
      <c r="D3158" t="s">
        <v>20732</v>
      </c>
      <c r="E3158" t="b">
        <v>0</v>
      </c>
      <c r="F3158" t="s">
        <v>11622</v>
      </c>
      <c r="L3158">
        <v>0</v>
      </c>
      <c r="M3158">
        <v>4</v>
      </c>
      <c r="N3158">
        <v>10</v>
      </c>
    </row>
    <row r="3159" spans="1:15">
      <c r="A3159" t="s">
        <v>20733</v>
      </c>
      <c r="B3159" t="s">
        <v>6742</v>
      </c>
      <c r="C3159" t="s">
        <v>17262</v>
      </c>
      <c r="D3159" t="s">
        <v>20734</v>
      </c>
      <c r="E3159" t="b">
        <v>0</v>
      </c>
      <c r="F3159" t="s">
        <v>11610</v>
      </c>
      <c r="L3159">
        <v>0</v>
      </c>
      <c r="M3159">
        <v>0</v>
      </c>
      <c r="N3159">
        <v>0</v>
      </c>
    </row>
    <row r="3160" spans="1:15">
      <c r="A3160" t="s">
        <v>20735</v>
      </c>
      <c r="B3160" t="s">
        <v>367</v>
      </c>
      <c r="C3160" t="s">
        <v>15128</v>
      </c>
      <c r="D3160" t="s">
        <v>20736</v>
      </c>
      <c r="E3160" t="b">
        <v>0</v>
      </c>
      <c r="F3160" t="s">
        <v>11624</v>
      </c>
      <c r="G3160">
        <v>-10.6599</v>
      </c>
      <c r="H3160">
        <v>151.03399999999999</v>
      </c>
      <c r="I3160" t="s">
        <v>20737</v>
      </c>
      <c r="L3160">
        <v>0</v>
      </c>
      <c r="M3160">
        <v>0</v>
      </c>
      <c r="N3160">
        <v>2</v>
      </c>
      <c r="O3160" t="s">
        <v>11660</v>
      </c>
    </row>
    <row r="3161" spans="1:15">
      <c r="A3161" t="s">
        <v>20738</v>
      </c>
      <c r="B3161" t="s">
        <v>11615</v>
      </c>
      <c r="C3161" t="s">
        <v>20739</v>
      </c>
      <c r="D3161" t="s">
        <v>20740</v>
      </c>
      <c r="E3161" t="b">
        <v>0</v>
      </c>
      <c r="F3161" t="s">
        <v>11622</v>
      </c>
      <c r="L3161">
        <v>0</v>
      </c>
      <c r="M3161">
        <v>2</v>
      </c>
      <c r="N3161">
        <v>1</v>
      </c>
    </row>
    <row r="3162" spans="1:15">
      <c r="A3162" t="s">
        <v>20741</v>
      </c>
      <c r="B3162" t="s">
        <v>367</v>
      </c>
      <c r="C3162" t="s">
        <v>14164</v>
      </c>
      <c r="D3162" t="s">
        <v>20742</v>
      </c>
      <c r="E3162" t="b">
        <v>0</v>
      </c>
      <c r="F3162" t="s">
        <v>11610</v>
      </c>
      <c r="L3162">
        <v>0</v>
      </c>
      <c r="M3162">
        <v>0</v>
      </c>
      <c r="N3162">
        <v>0</v>
      </c>
    </row>
    <row r="3163" spans="1:15">
      <c r="A3163" t="s">
        <v>20743</v>
      </c>
      <c r="B3163" t="s">
        <v>367</v>
      </c>
      <c r="C3163" t="s">
        <v>20744</v>
      </c>
      <c r="D3163" t="s">
        <v>20745</v>
      </c>
      <c r="E3163" t="b">
        <v>0</v>
      </c>
      <c r="F3163" t="s">
        <v>11624</v>
      </c>
      <c r="G3163">
        <v>-21.377700000000001</v>
      </c>
      <c r="H3163">
        <v>165.07599999999999</v>
      </c>
      <c r="I3163" t="s">
        <v>20746</v>
      </c>
      <c r="L3163">
        <v>0</v>
      </c>
      <c r="M3163">
        <v>0</v>
      </c>
      <c r="N3163">
        <v>0</v>
      </c>
      <c r="O3163" t="s">
        <v>12624</v>
      </c>
    </row>
    <row r="3164" spans="1:15">
      <c r="A3164" t="s">
        <v>20747</v>
      </c>
      <c r="B3164" t="s">
        <v>367</v>
      </c>
      <c r="C3164" t="s">
        <v>20748</v>
      </c>
      <c r="D3164" t="s">
        <v>20749</v>
      </c>
      <c r="E3164" t="b">
        <v>0</v>
      </c>
      <c r="F3164" t="s">
        <v>11622</v>
      </c>
      <c r="L3164">
        <v>1</v>
      </c>
      <c r="M3164">
        <v>3</v>
      </c>
      <c r="N3164">
        <v>0</v>
      </c>
    </row>
    <row r="3165" spans="1:15">
      <c r="A3165" t="s">
        <v>20750</v>
      </c>
      <c r="B3165" t="s">
        <v>6742</v>
      </c>
      <c r="C3165" t="s">
        <v>20751</v>
      </c>
      <c r="D3165" t="s">
        <v>20752</v>
      </c>
      <c r="E3165" t="b">
        <v>0</v>
      </c>
      <c r="F3165" t="s">
        <v>11610</v>
      </c>
      <c r="L3165">
        <v>0</v>
      </c>
      <c r="M3165">
        <v>0</v>
      </c>
      <c r="N3165">
        <v>0</v>
      </c>
    </row>
    <row r="3166" spans="1:15">
      <c r="A3166" t="s">
        <v>20753</v>
      </c>
      <c r="B3166" t="s">
        <v>11644</v>
      </c>
      <c r="C3166" t="s">
        <v>20754</v>
      </c>
      <c r="D3166" t="s">
        <v>20755</v>
      </c>
      <c r="E3166" t="b">
        <v>0</v>
      </c>
      <c r="F3166" t="s">
        <v>11624</v>
      </c>
      <c r="G3166">
        <v>18.979600000000001</v>
      </c>
      <c r="H3166">
        <v>96.993600000000001</v>
      </c>
      <c r="I3166" t="s">
        <v>20756</v>
      </c>
      <c r="L3166">
        <v>0</v>
      </c>
      <c r="M3166">
        <v>0</v>
      </c>
      <c r="N3166">
        <v>0</v>
      </c>
      <c r="O3166" t="s">
        <v>20757</v>
      </c>
    </row>
    <row r="3167" spans="1:15">
      <c r="A3167" t="s">
        <v>20758</v>
      </c>
      <c r="B3167" t="s">
        <v>6742</v>
      </c>
      <c r="C3167" t="s">
        <v>14829</v>
      </c>
      <c r="D3167" t="s">
        <v>20759</v>
      </c>
      <c r="E3167" t="b">
        <v>0</v>
      </c>
      <c r="F3167" t="s">
        <v>11610</v>
      </c>
      <c r="L3167">
        <v>0</v>
      </c>
      <c r="M3167">
        <v>0</v>
      </c>
      <c r="N3167">
        <v>0</v>
      </c>
    </row>
    <row r="3168" spans="1:15">
      <c r="A3168" t="s">
        <v>20760</v>
      </c>
      <c r="B3168" t="s">
        <v>6742</v>
      </c>
      <c r="C3168" t="s">
        <v>15592</v>
      </c>
      <c r="D3168" t="s">
        <v>20761</v>
      </c>
      <c r="E3168" t="b">
        <v>0</v>
      </c>
      <c r="F3168" t="s">
        <v>11624</v>
      </c>
      <c r="G3168">
        <v>3.22</v>
      </c>
      <c r="H3168">
        <v>19.28</v>
      </c>
      <c r="I3168" t="s">
        <v>20762</v>
      </c>
      <c r="L3168">
        <v>0</v>
      </c>
      <c r="M3168">
        <v>0</v>
      </c>
      <c r="N3168">
        <v>0</v>
      </c>
      <c r="O3168" t="s">
        <v>14825</v>
      </c>
    </row>
    <row r="3169" spans="1:15">
      <c r="A3169" t="s">
        <v>20763</v>
      </c>
      <c r="B3169" t="s">
        <v>6742</v>
      </c>
      <c r="C3169" t="s">
        <v>20764</v>
      </c>
      <c r="D3169" t="s">
        <v>20765</v>
      </c>
      <c r="E3169" t="b">
        <v>0</v>
      </c>
      <c r="F3169" t="s">
        <v>11610</v>
      </c>
      <c r="L3169">
        <v>0</v>
      </c>
      <c r="M3169">
        <v>0</v>
      </c>
      <c r="N3169">
        <v>0</v>
      </c>
    </row>
    <row r="3170" spans="1:15">
      <c r="A3170" t="s">
        <v>20766</v>
      </c>
      <c r="B3170" t="s">
        <v>367</v>
      </c>
      <c r="C3170" t="s">
        <v>20767</v>
      </c>
      <c r="D3170" t="s">
        <v>20768</v>
      </c>
      <c r="E3170" t="b">
        <v>0</v>
      </c>
      <c r="F3170" t="s">
        <v>11624</v>
      </c>
      <c r="G3170">
        <v>-16.338946</v>
      </c>
      <c r="H3170">
        <v>167.66084900000001</v>
      </c>
      <c r="L3170">
        <v>0</v>
      </c>
      <c r="M3170">
        <v>0</v>
      </c>
      <c r="N3170">
        <v>0</v>
      </c>
      <c r="O3170" t="s">
        <v>12719</v>
      </c>
    </row>
    <row r="3171" spans="1:15">
      <c r="A3171" t="s">
        <v>20769</v>
      </c>
      <c r="B3171" t="s">
        <v>6742</v>
      </c>
      <c r="C3171" t="s">
        <v>20770</v>
      </c>
      <c r="D3171" t="s">
        <v>20771</v>
      </c>
      <c r="E3171" t="b">
        <v>0</v>
      </c>
      <c r="F3171" t="s">
        <v>11610</v>
      </c>
      <c r="L3171">
        <v>0</v>
      </c>
      <c r="M3171">
        <v>0</v>
      </c>
      <c r="N3171">
        <v>0</v>
      </c>
    </row>
    <row r="3172" spans="1:15">
      <c r="A3172" t="s">
        <v>20772</v>
      </c>
      <c r="B3172" t="s">
        <v>6742</v>
      </c>
      <c r="C3172" t="s">
        <v>20773</v>
      </c>
      <c r="D3172" t="s">
        <v>20774</v>
      </c>
      <c r="E3172" t="b">
        <v>0</v>
      </c>
      <c r="F3172" t="s">
        <v>11624</v>
      </c>
      <c r="G3172">
        <v>-8.3041</v>
      </c>
      <c r="H3172">
        <v>29.4071</v>
      </c>
      <c r="I3172" t="s">
        <v>20775</v>
      </c>
      <c r="L3172">
        <v>0</v>
      </c>
      <c r="M3172">
        <v>0</v>
      </c>
      <c r="N3172">
        <v>0</v>
      </c>
      <c r="O3172" t="s">
        <v>15167</v>
      </c>
    </row>
    <row r="3173" spans="1:15">
      <c r="A3173" t="s">
        <v>20776</v>
      </c>
      <c r="B3173" t="s">
        <v>6742</v>
      </c>
      <c r="C3173" t="s">
        <v>20105</v>
      </c>
      <c r="D3173" t="s">
        <v>20777</v>
      </c>
      <c r="E3173" t="b">
        <v>0</v>
      </c>
      <c r="F3173" t="s">
        <v>11610</v>
      </c>
      <c r="L3173">
        <v>0</v>
      </c>
      <c r="M3173">
        <v>0</v>
      </c>
      <c r="N3173">
        <v>0</v>
      </c>
    </row>
    <row r="3174" spans="1:15">
      <c r="A3174" t="s">
        <v>20778</v>
      </c>
      <c r="B3174" t="s">
        <v>6742</v>
      </c>
      <c r="C3174" t="s">
        <v>167</v>
      </c>
      <c r="D3174" t="s">
        <v>20779</v>
      </c>
      <c r="E3174" t="b">
        <v>0</v>
      </c>
      <c r="F3174" t="s">
        <v>11610</v>
      </c>
      <c r="L3174">
        <v>0</v>
      </c>
      <c r="M3174">
        <v>0</v>
      </c>
      <c r="N3174">
        <v>0</v>
      </c>
    </row>
    <row r="3175" spans="1:15">
      <c r="A3175" t="s">
        <v>20780</v>
      </c>
      <c r="B3175" t="s">
        <v>6742</v>
      </c>
      <c r="C3175" t="s">
        <v>20781</v>
      </c>
      <c r="D3175" t="s">
        <v>20782</v>
      </c>
      <c r="E3175" t="b">
        <v>0</v>
      </c>
      <c r="F3175" t="s">
        <v>11624</v>
      </c>
      <c r="G3175">
        <v>-3.2368600000000001</v>
      </c>
      <c r="H3175">
        <v>11.9595</v>
      </c>
      <c r="I3175" t="s">
        <v>20783</v>
      </c>
      <c r="L3175">
        <v>0</v>
      </c>
      <c r="M3175">
        <v>0</v>
      </c>
      <c r="N3175">
        <v>0</v>
      </c>
      <c r="O3175" t="s">
        <v>20784</v>
      </c>
    </row>
    <row r="3176" spans="1:15">
      <c r="A3176" t="s">
        <v>20785</v>
      </c>
      <c r="B3176" t="s">
        <v>11607</v>
      </c>
      <c r="C3176" t="s">
        <v>20786</v>
      </c>
      <c r="D3176" t="s">
        <v>20787</v>
      </c>
      <c r="E3176" t="b">
        <v>0</v>
      </c>
      <c r="F3176" t="s">
        <v>11610</v>
      </c>
      <c r="L3176">
        <v>0</v>
      </c>
      <c r="M3176">
        <v>0</v>
      </c>
      <c r="N3176">
        <v>0</v>
      </c>
    </row>
    <row r="3177" spans="1:15">
      <c r="A3177" t="s">
        <v>20788</v>
      </c>
      <c r="B3177" t="s">
        <v>11644</v>
      </c>
      <c r="C3177" t="s">
        <v>20789</v>
      </c>
      <c r="D3177" t="s">
        <v>20790</v>
      </c>
      <c r="E3177" t="b">
        <v>0</v>
      </c>
      <c r="F3177" t="s">
        <v>11610</v>
      </c>
      <c r="L3177">
        <v>0</v>
      </c>
      <c r="M3177">
        <v>0</v>
      </c>
      <c r="N3177">
        <v>0</v>
      </c>
    </row>
    <row r="3178" spans="1:15">
      <c r="A3178" t="s">
        <v>20791</v>
      </c>
      <c r="B3178" t="s">
        <v>11644</v>
      </c>
      <c r="C3178" t="s">
        <v>20792</v>
      </c>
      <c r="D3178" t="s">
        <v>20793</v>
      </c>
      <c r="E3178" t="b">
        <v>0</v>
      </c>
      <c r="F3178" t="s">
        <v>11624</v>
      </c>
      <c r="G3178">
        <v>29.920020000000001</v>
      </c>
      <c r="H3178">
        <v>80.636529999999993</v>
      </c>
      <c r="I3178" t="s">
        <v>20794</v>
      </c>
      <c r="L3178">
        <v>0</v>
      </c>
      <c r="M3178">
        <v>0</v>
      </c>
      <c r="N3178">
        <v>4</v>
      </c>
      <c r="O3178" t="s">
        <v>12524</v>
      </c>
    </row>
    <row r="3179" spans="1:15">
      <c r="A3179" t="s">
        <v>18139</v>
      </c>
      <c r="B3179" t="s">
        <v>6742</v>
      </c>
      <c r="C3179" t="s">
        <v>20795</v>
      </c>
      <c r="D3179" t="s">
        <v>20796</v>
      </c>
      <c r="E3179" t="b">
        <v>0</v>
      </c>
      <c r="F3179" t="s">
        <v>11624</v>
      </c>
      <c r="G3179">
        <v>4.5727599999999997</v>
      </c>
      <c r="H3179">
        <v>13.46245</v>
      </c>
      <c r="I3179" t="s">
        <v>20797</v>
      </c>
      <c r="L3179">
        <v>0</v>
      </c>
      <c r="M3179">
        <v>0</v>
      </c>
      <c r="N3179">
        <v>2</v>
      </c>
      <c r="O3179" t="s">
        <v>11703</v>
      </c>
    </row>
    <row r="3180" spans="1:15">
      <c r="A3180" t="s">
        <v>20798</v>
      </c>
      <c r="B3180" t="s">
        <v>11653</v>
      </c>
      <c r="C3180" t="s">
        <v>7039</v>
      </c>
      <c r="D3180" t="s">
        <v>20799</v>
      </c>
      <c r="E3180" t="b">
        <v>0</v>
      </c>
      <c r="F3180" t="s">
        <v>11610</v>
      </c>
      <c r="L3180">
        <v>0</v>
      </c>
      <c r="M3180">
        <v>0</v>
      </c>
      <c r="N3180">
        <v>0</v>
      </c>
    </row>
    <row r="3181" spans="1:15">
      <c r="A3181" t="s">
        <v>20800</v>
      </c>
      <c r="B3181" t="s">
        <v>6742</v>
      </c>
      <c r="C3181" t="s">
        <v>20801</v>
      </c>
      <c r="D3181" t="s">
        <v>20802</v>
      </c>
      <c r="E3181" t="b">
        <v>0</v>
      </c>
      <c r="F3181" t="s">
        <v>11610</v>
      </c>
      <c r="L3181">
        <v>0</v>
      </c>
      <c r="M3181">
        <v>0</v>
      </c>
      <c r="N3181">
        <v>0</v>
      </c>
    </row>
    <row r="3182" spans="1:15">
      <c r="A3182" t="s">
        <v>20803</v>
      </c>
      <c r="B3182" t="s">
        <v>367</v>
      </c>
      <c r="C3182" t="s">
        <v>20804</v>
      </c>
      <c r="D3182" t="s">
        <v>20805</v>
      </c>
      <c r="E3182" t="b">
        <v>0</v>
      </c>
      <c r="F3182" t="s">
        <v>11624</v>
      </c>
      <c r="G3182">
        <v>-20.4114</v>
      </c>
      <c r="H3182">
        <v>164.578</v>
      </c>
      <c r="I3182" t="s">
        <v>20806</v>
      </c>
      <c r="L3182">
        <v>0</v>
      </c>
      <c r="M3182">
        <v>0</v>
      </c>
      <c r="N3182">
        <v>2</v>
      </c>
      <c r="O3182" t="s">
        <v>12624</v>
      </c>
    </row>
    <row r="3183" spans="1:15">
      <c r="A3183" t="s">
        <v>20807</v>
      </c>
      <c r="B3183" t="s">
        <v>6455</v>
      </c>
      <c r="C3183" t="s">
        <v>19871</v>
      </c>
      <c r="D3183" t="s">
        <v>20808</v>
      </c>
      <c r="E3183" t="b">
        <v>0</v>
      </c>
      <c r="F3183" t="s">
        <v>11624</v>
      </c>
      <c r="G3183">
        <v>9.6703100000000006</v>
      </c>
      <c r="H3183">
        <v>-83.410200000000003</v>
      </c>
      <c r="I3183" t="s">
        <v>20809</v>
      </c>
      <c r="L3183">
        <v>0</v>
      </c>
      <c r="M3183">
        <v>0</v>
      </c>
      <c r="N3183">
        <v>4</v>
      </c>
      <c r="O3183" t="s">
        <v>19659</v>
      </c>
    </row>
    <row r="3184" spans="1:15">
      <c r="A3184" t="s">
        <v>20810</v>
      </c>
      <c r="B3184" t="s">
        <v>11894</v>
      </c>
      <c r="C3184" t="s">
        <v>16718</v>
      </c>
      <c r="D3184" t="s">
        <v>20811</v>
      </c>
      <c r="E3184" t="b">
        <v>0</v>
      </c>
      <c r="F3184" t="s">
        <v>11624</v>
      </c>
      <c r="G3184">
        <v>0.16100999999999999</v>
      </c>
      <c r="H3184">
        <v>-71.062200000000004</v>
      </c>
      <c r="I3184" t="s">
        <v>20812</v>
      </c>
      <c r="L3184">
        <v>0</v>
      </c>
      <c r="M3184">
        <v>0</v>
      </c>
      <c r="N3184">
        <v>0</v>
      </c>
      <c r="O3184" t="s">
        <v>11898</v>
      </c>
    </row>
    <row r="3185" spans="1:15">
      <c r="A3185" t="s">
        <v>20813</v>
      </c>
      <c r="B3185" t="s">
        <v>13360</v>
      </c>
      <c r="C3185" t="s">
        <v>13360</v>
      </c>
      <c r="D3185" t="s">
        <v>20814</v>
      </c>
      <c r="E3185" t="b">
        <v>0</v>
      </c>
      <c r="F3185" t="s">
        <v>11624</v>
      </c>
      <c r="L3185">
        <v>0</v>
      </c>
      <c r="M3185">
        <v>0</v>
      </c>
      <c r="N3185">
        <v>0</v>
      </c>
      <c r="O3185" t="s">
        <v>11969</v>
      </c>
    </row>
    <row r="3186" spans="1:15">
      <c r="A3186" t="s">
        <v>20815</v>
      </c>
      <c r="B3186" t="s">
        <v>17576</v>
      </c>
      <c r="C3186" t="s">
        <v>6422</v>
      </c>
      <c r="D3186" t="s">
        <v>20816</v>
      </c>
      <c r="E3186" t="b">
        <v>0</v>
      </c>
      <c r="F3186" t="s">
        <v>11610</v>
      </c>
      <c r="L3186">
        <v>0</v>
      </c>
      <c r="M3186">
        <v>0</v>
      </c>
      <c r="N3186">
        <v>0</v>
      </c>
    </row>
    <row r="3187" spans="1:15">
      <c r="A3187" t="s">
        <v>20817</v>
      </c>
      <c r="B3187" t="s">
        <v>17576</v>
      </c>
      <c r="C3187" t="s">
        <v>20818</v>
      </c>
      <c r="D3187" t="s">
        <v>20819</v>
      </c>
      <c r="E3187" t="b">
        <v>0</v>
      </c>
      <c r="F3187" t="s">
        <v>11624</v>
      </c>
      <c r="G3187">
        <v>13.7437</v>
      </c>
      <c r="H3187">
        <v>-88.113299999999995</v>
      </c>
      <c r="I3187" t="s">
        <v>20820</v>
      </c>
      <c r="L3187">
        <v>0</v>
      </c>
      <c r="M3187">
        <v>0</v>
      </c>
      <c r="N3187">
        <v>0</v>
      </c>
      <c r="O3187" t="s">
        <v>20821</v>
      </c>
    </row>
    <row r="3188" spans="1:15">
      <c r="A3188" t="s">
        <v>20822</v>
      </c>
      <c r="B3188" t="s">
        <v>13244</v>
      </c>
      <c r="C3188" t="s">
        <v>20823</v>
      </c>
      <c r="D3188" t="s">
        <v>20824</v>
      </c>
      <c r="E3188" t="b">
        <v>0</v>
      </c>
      <c r="F3188" t="s">
        <v>11610</v>
      </c>
      <c r="L3188">
        <v>0</v>
      </c>
      <c r="M3188">
        <v>0</v>
      </c>
      <c r="N3188">
        <v>0</v>
      </c>
    </row>
    <row r="3189" spans="1:15">
      <c r="A3189" t="s">
        <v>20825</v>
      </c>
      <c r="B3189" t="s">
        <v>13244</v>
      </c>
      <c r="C3189" t="s">
        <v>20823</v>
      </c>
      <c r="D3189" t="s">
        <v>20826</v>
      </c>
      <c r="E3189" t="b">
        <v>0</v>
      </c>
      <c r="F3189" t="s">
        <v>11610</v>
      </c>
      <c r="L3189">
        <v>0</v>
      </c>
      <c r="M3189">
        <v>0</v>
      </c>
      <c r="N3189">
        <v>0</v>
      </c>
    </row>
    <row r="3190" spans="1:15">
      <c r="A3190" t="s">
        <v>20827</v>
      </c>
      <c r="B3190" t="s">
        <v>11879</v>
      </c>
      <c r="C3190" t="s">
        <v>20828</v>
      </c>
      <c r="D3190" t="s">
        <v>20829</v>
      </c>
      <c r="E3190" t="b">
        <v>0</v>
      </c>
      <c r="F3190" t="s">
        <v>11624</v>
      </c>
      <c r="G3190">
        <v>17.724799999999998</v>
      </c>
      <c r="H3190">
        <v>-97.7637</v>
      </c>
      <c r="I3190" t="s">
        <v>20830</v>
      </c>
      <c r="L3190">
        <v>0</v>
      </c>
      <c r="M3190">
        <v>0</v>
      </c>
      <c r="N3190">
        <v>0</v>
      </c>
      <c r="O3190" t="s">
        <v>11883</v>
      </c>
    </row>
    <row r="3191" spans="1:15">
      <c r="A3191" t="s">
        <v>20831</v>
      </c>
      <c r="B3191" t="s">
        <v>367</v>
      </c>
      <c r="C3191" t="s">
        <v>20832</v>
      </c>
      <c r="D3191" t="s">
        <v>20833</v>
      </c>
      <c r="E3191" t="b">
        <v>0</v>
      </c>
      <c r="F3191" t="s">
        <v>11624</v>
      </c>
      <c r="G3191">
        <v>11.648899999999999</v>
      </c>
      <c r="H3191">
        <v>109.13800000000001</v>
      </c>
      <c r="I3191" t="s">
        <v>20834</v>
      </c>
      <c r="L3191">
        <v>0</v>
      </c>
      <c r="M3191">
        <v>0</v>
      </c>
      <c r="N3191">
        <v>0</v>
      </c>
      <c r="O3191" t="s">
        <v>15949</v>
      </c>
    </row>
    <row r="3192" spans="1:15">
      <c r="A3192" t="s">
        <v>20835</v>
      </c>
      <c r="B3192" t="s">
        <v>11637</v>
      </c>
      <c r="C3192" t="s">
        <v>15770</v>
      </c>
      <c r="D3192" t="s">
        <v>20836</v>
      </c>
      <c r="E3192" t="b">
        <v>0</v>
      </c>
      <c r="F3192" t="s">
        <v>11610</v>
      </c>
      <c r="L3192">
        <v>0</v>
      </c>
      <c r="M3192">
        <v>0</v>
      </c>
      <c r="N3192">
        <v>0</v>
      </c>
    </row>
    <row r="3193" spans="1:15">
      <c r="A3193" t="s">
        <v>20837</v>
      </c>
      <c r="B3193" t="s">
        <v>141</v>
      </c>
      <c r="C3193" t="s">
        <v>14216</v>
      </c>
      <c r="D3193" t="s">
        <v>20838</v>
      </c>
      <c r="E3193" t="b">
        <v>0</v>
      </c>
      <c r="F3193" t="s">
        <v>11610</v>
      </c>
      <c r="L3193">
        <v>0</v>
      </c>
      <c r="M3193">
        <v>0</v>
      </c>
      <c r="N3193">
        <v>0</v>
      </c>
    </row>
    <row r="3194" spans="1:15">
      <c r="A3194" t="s">
        <v>20839</v>
      </c>
      <c r="B3194" t="s">
        <v>20840</v>
      </c>
      <c r="C3194" t="s">
        <v>20840</v>
      </c>
      <c r="D3194" t="s">
        <v>20841</v>
      </c>
      <c r="E3194" t="b">
        <v>0</v>
      </c>
      <c r="F3194" t="s">
        <v>11624</v>
      </c>
      <c r="G3194">
        <v>0.88778000000000001</v>
      </c>
      <c r="H3194">
        <v>-69.565899999999999</v>
      </c>
      <c r="I3194" t="s">
        <v>20842</v>
      </c>
      <c r="L3194">
        <v>0</v>
      </c>
      <c r="M3194">
        <v>0</v>
      </c>
      <c r="N3194">
        <v>2</v>
      </c>
      <c r="O3194" t="s">
        <v>11898</v>
      </c>
    </row>
    <row r="3195" spans="1:15">
      <c r="A3195" t="s">
        <v>8146</v>
      </c>
      <c r="D3195" t="s">
        <v>20843</v>
      </c>
      <c r="E3195" t="b">
        <v>0</v>
      </c>
      <c r="F3195" t="s">
        <v>11622</v>
      </c>
      <c r="L3195">
        <v>3</v>
      </c>
      <c r="M3195">
        <v>5</v>
      </c>
      <c r="N3195">
        <v>4</v>
      </c>
    </row>
    <row r="3196" spans="1:15">
      <c r="A3196" t="s">
        <v>20844</v>
      </c>
      <c r="B3196" t="s">
        <v>8146</v>
      </c>
      <c r="C3196" t="s">
        <v>8146</v>
      </c>
      <c r="D3196" t="s">
        <v>20845</v>
      </c>
      <c r="E3196" t="b">
        <v>0</v>
      </c>
      <c r="F3196" t="s">
        <v>11624</v>
      </c>
      <c r="G3196">
        <v>35.182600000000001</v>
      </c>
      <c r="H3196">
        <v>-98.263400000000004</v>
      </c>
      <c r="I3196" t="s">
        <v>20846</v>
      </c>
      <c r="L3196">
        <v>0</v>
      </c>
      <c r="M3196">
        <v>0</v>
      </c>
      <c r="N3196">
        <v>0</v>
      </c>
      <c r="O3196" t="s">
        <v>11944</v>
      </c>
    </row>
    <row r="3197" spans="1:15">
      <c r="A3197" t="s">
        <v>20847</v>
      </c>
      <c r="B3197" t="s">
        <v>11637</v>
      </c>
      <c r="C3197" t="s">
        <v>13534</v>
      </c>
      <c r="D3197" t="s">
        <v>20848</v>
      </c>
      <c r="E3197" t="b">
        <v>0</v>
      </c>
      <c r="F3197" t="s">
        <v>11610</v>
      </c>
      <c r="L3197">
        <v>0</v>
      </c>
      <c r="M3197">
        <v>0</v>
      </c>
      <c r="N3197">
        <v>0</v>
      </c>
    </row>
    <row r="3198" spans="1:15">
      <c r="A3198" t="s">
        <v>20849</v>
      </c>
      <c r="B3198" t="s">
        <v>11637</v>
      </c>
      <c r="C3198" t="s">
        <v>19848</v>
      </c>
      <c r="D3198" t="s">
        <v>20850</v>
      </c>
      <c r="E3198" t="b">
        <v>0</v>
      </c>
      <c r="F3198" t="s">
        <v>11624</v>
      </c>
      <c r="G3198">
        <v>-23.044799999999999</v>
      </c>
      <c r="H3198">
        <v>-43.645499999999998</v>
      </c>
      <c r="I3198" t="s">
        <v>20851</v>
      </c>
      <c r="L3198">
        <v>0</v>
      </c>
      <c r="M3198">
        <v>0</v>
      </c>
      <c r="N3198">
        <v>0</v>
      </c>
      <c r="O3198" t="s">
        <v>11969</v>
      </c>
    </row>
    <row r="3199" spans="1:15">
      <c r="A3199" t="s">
        <v>20852</v>
      </c>
      <c r="B3199" t="s">
        <v>11637</v>
      </c>
      <c r="C3199" t="s">
        <v>13722</v>
      </c>
      <c r="D3199" t="s">
        <v>20853</v>
      </c>
      <c r="E3199" t="b">
        <v>0</v>
      </c>
      <c r="F3199" t="s">
        <v>11610</v>
      </c>
      <c r="L3199">
        <v>0</v>
      </c>
      <c r="M3199">
        <v>0</v>
      </c>
      <c r="N3199">
        <v>0</v>
      </c>
    </row>
    <row r="3200" spans="1:15">
      <c r="A3200" t="s">
        <v>20854</v>
      </c>
      <c r="B3200" t="s">
        <v>367</v>
      </c>
      <c r="C3200" t="s">
        <v>14626</v>
      </c>
      <c r="D3200" t="s">
        <v>20855</v>
      </c>
      <c r="E3200" t="b">
        <v>0</v>
      </c>
      <c r="F3200" t="s">
        <v>11622</v>
      </c>
      <c r="L3200">
        <v>4</v>
      </c>
      <c r="M3200">
        <v>12</v>
      </c>
      <c r="N3200">
        <v>9</v>
      </c>
    </row>
    <row r="3201" spans="1:15">
      <c r="A3201" t="s">
        <v>20856</v>
      </c>
      <c r="B3201" t="s">
        <v>367</v>
      </c>
      <c r="C3201" t="s">
        <v>20857</v>
      </c>
      <c r="D3201" t="s">
        <v>20858</v>
      </c>
      <c r="E3201" t="b">
        <v>0</v>
      </c>
      <c r="F3201" t="s">
        <v>11622</v>
      </c>
      <c r="L3201">
        <v>0</v>
      </c>
      <c r="M3201">
        <v>2</v>
      </c>
      <c r="N3201">
        <v>0</v>
      </c>
    </row>
    <row r="3202" spans="1:15">
      <c r="A3202" t="s">
        <v>20859</v>
      </c>
      <c r="B3202" t="s">
        <v>6742</v>
      </c>
      <c r="C3202" t="s">
        <v>12862</v>
      </c>
      <c r="D3202" t="s">
        <v>20860</v>
      </c>
      <c r="E3202" t="b">
        <v>0</v>
      </c>
      <c r="F3202" t="s">
        <v>11610</v>
      </c>
      <c r="L3202">
        <v>0</v>
      </c>
      <c r="M3202">
        <v>0</v>
      </c>
      <c r="N3202">
        <v>0</v>
      </c>
    </row>
    <row r="3203" spans="1:15">
      <c r="A3203" t="s">
        <v>20861</v>
      </c>
      <c r="B3203" t="s">
        <v>11627</v>
      </c>
      <c r="C3203" t="s">
        <v>11627</v>
      </c>
      <c r="D3203" t="s">
        <v>20862</v>
      </c>
      <c r="E3203" t="b">
        <v>1</v>
      </c>
      <c r="F3203" t="s">
        <v>11624</v>
      </c>
      <c r="G3203">
        <v>3.9999899999999999</v>
      </c>
      <c r="H3203">
        <v>-74</v>
      </c>
      <c r="I3203" t="s">
        <v>20863</v>
      </c>
      <c r="L3203">
        <v>0</v>
      </c>
      <c r="M3203">
        <v>0</v>
      </c>
      <c r="N3203">
        <v>0</v>
      </c>
      <c r="O3203" t="s">
        <v>11898</v>
      </c>
    </row>
    <row r="3204" spans="1:15">
      <c r="A3204" t="s">
        <v>20864</v>
      </c>
      <c r="B3204" t="s">
        <v>12751</v>
      </c>
      <c r="C3204" t="s">
        <v>20865</v>
      </c>
      <c r="D3204" t="s">
        <v>20866</v>
      </c>
      <c r="E3204" t="b">
        <v>0</v>
      </c>
      <c r="F3204" t="s">
        <v>11622</v>
      </c>
      <c r="L3204">
        <v>0</v>
      </c>
      <c r="M3204">
        <v>2</v>
      </c>
      <c r="N3204">
        <v>0</v>
      </c>
    </row>
    <row r="3205" spans="1:15">
      <c r="A3205" t="s">
        <v>20867</v>
      </c>
      <c r="B3205" t="s">
        <v>12751</v>
      </c>
      <c r="C3205" t="s">
        <v>20868</v>
      </c>
      <c r="D3205" t="s">
        <v>20869</v>
      </c>
      <c r="E3205" t="b">
        <v>0</v>
      </c>
      <c r="F3205" t="s">
        <v>11622</v>
      </c>
      <c r="L3205">
        <v>0</v>
      </c>
      <c r="M3205">
        <v>2</v>
      </c>
      <c r="N3205">
        <v>0</v>
      </c>
    </row>
    <row r="3206" spans="1:15">
      <c r="A3206" t="s">
        <v>20870</v>
      </c>
      <c r="B3206" t="s">
        <v>12751</v>
      </c>
      <c r="C3206" t="s">
        <v>20867</v>
      </c>
      <c r="D3206" t="s">
        <v>20871</v>
      </c>
      <c r="E3206" t="b">
        <v>0</v>
      </c>
      <c r="F3206" t="s">
        <v>11624</v>
      </c>
      <c r="G3206">
        <v>33.532400000000003</v>
      </c>
      <c r="H3206">
        <v>-116.691</v>
      </c>
      <c r="I3206" t="s">
        <v>20872</v>
      </c>
      <c r="L3206">
        <v>0</v>
      </c>
      <c r="M3206">
        <v>0</v>
      </c>
      <c r="N3206">
        <v>0</v>
      </c>
      <c r="O3206" t="s">
        <v>11944</v>
      </c>
    </row>
    <row r="3207" spans="1:15">
      <c r="A3207" t="s">
        <v>20873</v>
      </c>
      <c r="D3207" t="s">
        <v>20874</v>
      </c>
      <c r="E3207" t="b">
        <v>0</v>
      </c>
      <c r="F3207" t="s">
        <v>11622</v>
      </c>
      <c r="L3207">
        <v>1</v>
      </c>
      <c r="M3207">
        <v>3</v>
      </c>
      <c r="N3207">
        <v>2</v>
      </c>
    </row>
    <row r="3208" spans="1:15">
      <c r="A3208" t="s">
        <v>20875</v>
      </c>
      <c r="B3208" t="s">
        <v>20873</v>
      </c>
      <c r="C3208" t="s">
        <v>20876</v>
      </c>
      <c r="D3208" t="s">
        <v>20877</v>
      </c>
      <c r="E3208" t="b">
        <v>0</v>
      </c>
      <c r="F3208" t="s">
        <v>11610</v>
      </c>
      <c r="L3208">
        <v>0</v>
      </c>
      <c r="M3208">
        <v>0</v>
      </c>
      <c r="N3208">
        <v>0</v>
      </c>
    </row>
    <row r="3209" spans="1:15">
      <c r="A3209" t="s">
        <v>20878</v>
      </c>
      <c r="B3209" t="s">
        <v>13741</v>
      </c>
      <c r="C3209" t="s">
        <v>14246</v>
      </c>
      <c r="D3209" t="s">
        <v>20879</v>
      </c>
      <c r="E3209" t="b">
        <v>0</v>
      </c>
      <c r="F3209" t="s">
        <v>11622</v>
      </c>
      <c r="L3209">
        <v>0</v>
      </c>
      <c r="M3209">
        <v>2</v>
      </c>
      <c r="N3209">
        <v>1</v>
      </c>
    </row>
    <row r="3210" spans="1:15">
      <c r="A3210" t="s">
        <v>20880</v>
      </c>
      <c r="B3210" t="s">
        <v>13741</v>
      </c>
      <c r="C3210" t="s">
        <v>20878</v>
      </c>
      <c r="D3210" t="s">
        <v>20881</v>
      </c>
      <c r="E3210" t="b">
        <v>0</v>
      </c>
      <c r="F3210" t="s">
        <v>11624</v>
      </c>
      <c r="G3210">
        <v>-3.7266499999999998</v>
      </c>
      <c r="H3210">
        <v>-73.946899999999999</v>
      </c>
      <c r="I3210" t="s">
        <v>20882</v>
      </c>
      <c r="L3210">
        <v>0</v>
      </c>
      <c r="M3210">
        <v>0</v>
      </c>
      <c r="N3210">
        <v>0</v>
      </c>
      <c r="O3210" t="s">
        <v>11778</v>
      </c>
    </row>
    <row r="3211" spans="1:15">
      <c r="A3211" t="s">
        <v>20883</v>
      </c>
      <c r="B3211" t="s">
        <v>6742</v>
      </c>
      <c r="C3211" t="s">
        <v>16646</v>
      </c>
      <c r="D3211" t="s">
        <v>20884</v>
      </c>
      <c r="E3211" t="b">
        <v>0</v>
      </c>
      <c r="F3211" t="s">
        <v>11610</v>
      </c>
      <c r="L3211">
        <v>0</v>
      </c>
      <c r="M3211">
        <v>0</v>
      </c>
      <c r="N3211">
        <v>0</v>
      </c>
    </row>
    <row r="3212" spans="1:15">
      <c r="A3212" t="s">
        <v>20885</v>
      </c>
      <c r="B3212" t="s">
        <v>11644</v>
      </c>
      <c r="C3212" t="s">
        <v>15974</v>
      </c>
      <c r="D3212" t="s">
        <v>20886</v>
      </c>
      <c r="E3212" t="b">
        <v>0</v>
      </c>
      <c r="F3212" t="s">
        <v>11624</v>
      </c>
      <c r="G3212">
        <v>29.156486000000001</v>
      </c>
      <c r="H3212">
        <v>115.434262</v>
      </c>
      <c r="L3212">
        <v>0</v>
      </c>
      <c r="M3212">
        <v>0</v>
      </c>
      <c r="N3212">
        <v>0</v>
      </c>
      <c r="O3212" t="s">
        <v>11905</v>
      </c>
    </row>
    <row r="3213" spans="1:15">
      <c r="A3213" t="s">
        <v>15974</v>
      </c>
      <c r="B3213" t="s">
        <v>11644</v>
      </c>
      <c r="C3213" t="s">
        <v>20887</v>
      </c>
      <c r="D3213" t="s">
        <v>20888</v>
      </c>
      <c r="E3213" t="b">
        <v>0</v>
      </c>
      <c r="F3213" t="s">
        <v>11622</v>
      </c>
      <c r="L3213">
        <v>2</v>
      </c>
      <c r="M3213">
        <v>4</v>
      </c>
      <c r="N3213">
        <v>15</v>
      </c>
    </row>
    <row r="3214" spans="1:15">
      <c r="A3214" t="s">
        <v>20889</v>
      </c>
      <c r="B3214" t="s">
        <v>141</v>
      </c>
      <c r="C3214" t="s">
        <v>20890</v>
      </c>
      <c r="D3214" t="s">
        <v>20891</v>
      </c>
      <c r="E3214" t="b">
        <v>0</v>
      </c>
      <c r="F3214" t="s">
        <v>11610</v>
      </c>
      <c r="L3214">
        <v>0</v>
      </c>
      <c r="M3214">
        <v>0</v>
      </c>
      <c r="N3214">
        <v>0</v>
      </c>
    </row>
    <row r="3215" spans="1:15">
      <c r="A3215" t="s">
        <v>20892</v>
      </c>
      <c r="B3215" t="s">
        <v>11607</v>
      </c>
      <c r="C3215" t="s">
        <v>3698</v>
      </c>
      <c r="D3215" t="s">
        <v>20893</v>
      </c>
      <c r="E3215" t="b">
        <v>0</v>
      </c>
      <c r="F3215" t="s">
        <v>11610</v>
      </c>
      <c r="L3215">
        <v>0</v>
      </c>
      <c r="M3215">
        <v>0</v>
      </c>
      <c r="N3215">
        <v>0</v>
      </c>
    </row>
    <row r="3216" spans="1:15">
      <c r="A3216" t="s">
        <v>20894</v>
      </c>
      <c r="B3216" t="s">
        <v>141</v>
      </c>
      <c r="C3216" t="s">
        <v>6869</v>
      </c>
      <c r="D3216" t="s">
        <v>20895</v>
      </c>
      <c r="E3216" t="b">
        <v>0</v>
      </c>
      <c r="F3216" t="s">
        <v>11624</v>
      </c>
      <c r="G3216">
        <v>-7.09314</v>
      </c>
      <c r="H3216">
        <v>-78.321399999999997</v>
      </c>
      <c r="I3216" t="s">
        <v>20896</v>
      </c>
      <c r="L3216">
        <v>0</v>
      </c>
      <c r="M3216">
        <v>0</v>
      </c>
      <c r="N3216">
        <v>2</v>
      </c>
      <c r="O3216" t="s">
        <v>11778</v>
      </c>
    </row>
    <row r="3217" spans="1:15">
      <c r="A3217" t="s">
        <v>20897</v>
      </c>
      <c r="B3217" t="s">
        <v>141</v>
      </c>
      <c r="C3217" t="s">
        <v>14134</v>
      </c>
      <c r="D3217" t="s">
        <v>20898</v>
      </c>
      <c r="E3217" t="b">
        <v>0</v>
      </c>
      <c r="F3217" t="s">
        <v>11624</v>
      </c>
      <c r="G3217">
        <v>-10.412599999999999</v>
      </c>
      <c r="H3217">
        <v>-76.9602</v>
      </c>
      <c r="I3217" t="s">
        <v>20899</v>
      </c>
      <c r="L3217">
        <v>0</v>
      </c>
      <c r="M3217">
        <v>0</v>
      </c>
      <c r="N3217">
        <v>0</v>
      </c>
      <c r="O3217" t="s">
        <v>11778</v>
      </c>
    </row>
    <row r="3218" spans="1:15">
      <c r="A3218" t="s">
        <v>20900</v>
      </c>
      <c r="B3218" t="s">
        <v>11879</v>
      </c>
      <c r="C3218" t="s">
        <v>13115</v>
      </c>
      <c r="D3218" t="s">
        <v>20901</v>
      </c>
      <c r="E3218" t="b">
        <v>0</v>
      </c>
      <c r="F3218" t="s">
        <v>11624</v>
      </c>
      <c r="G3218">
        <v>17.142700000000001</v>
      </c>
      <c r="H3218">
        <v>-96.3352</v>
      </c>
      <c r="I3218" t="s">
        <v>20902</v>
      </c>
      <c r="L3218">
        <v>0</v>
      </c>
      <c r="M3218">
        <v>0</v>
      </c>
      <c r="N3218">
        <v>2</v>
      </c>
      <c r="O3218" t="s">
        <v>12238</v>
      </c>
    </row>
    <row r="3219" spans="1:15">
      <c r="A3219" t="s">
        <v>18489</v>
      </c>
      <c r="B3219" t="s">
        <v>11637</v>
      </c>
      <c r="C3219" t="s">
        <v>20903</v>
      </c>
      <c r="D3219" t="s">
        <v>20904</v>
      </c>
      <c r="E3219" t="b">
        <v>0</v>
      </c>
      <c r="F3219" t="s">
        <v>11624</v>
      </c>
      <c r="G3219">
        <v>29.686900000000001</v>
      </c>
      <c r="H3219">
        <v>-91.613299999999995</v>
      </c>
      <c r="I3219" t="s">
        <v>20905</v>
      </c>
      <c r="L3219">
        <v>0</v>
      </c>
      <c r="M3219">
        <v>0</v>
      </c>
      <c r="N3219">
        <v>3</v>
      </c>
      <c r="O3219" t="s">
        <v>11944</v>
      </c>
    </row>
    <row r="3220" spans="1:15">
      <c r="A3220" t="s">
        <v>14854</v>
      </c>
      <c r="B3220" t="s">
        <v>6742</v>
      </c>
      <c r="C3220" t="s">
        <v>20906</v>
      </c>
      <c r="D3220" t="s">
        <v>20907</v>
      </c>
      <c r="E3220" t="b">
        <v>0</v>
      </c>
      <c r="F3220" t="s">
        <v>11624</v>
      </c>
      <c r="G3220">
        <v>6.2697900000000004</v>
      </c>
      <c r="H3220">
        <v>9.7774599999999996</v>
      </c>
      <c r="I3220" t="s">
        <v>20908</v>
      </c>
      <c r="L3220">
        <v>0</v>
      </c>
      <c r="M3220">
        <v>0</v>
      </c>
      <c r="N3220">
        <v>2</v>
      </c>
      <c r="O3220" t="s">
        <v>11703</v>
      </c>
    </row>
    <row r="3221" spans="1:15">
      <c r="A3221" t="s">
        <v>20909</v>
      </c>
      <c r="B3221" t="s">
        <v>12204</v>
      </c>
      <c r="C3221" t="s">
        <v>20910</v>
      </c>
      <c r="D3221" t="s">
        <v>20911</v>
      </c>
      <c r="E3221" t="b">
        <v>0</v>
      </c>
      <c r="F3221" t="s">
        <v>11624</v>
      </c>
      <c r="G3221">
        <v>14.646699999999999</v>
      </c>
      <c r="H3221">
        <v>-90.698899999999995</v>
      </c>
      <c r="I3221" t="s">
        <v>20912</v>
      </c>
      <c r="L3221">
        <v>0</v>
      </c>
      <c r="M3221">
        <v>0</v>
      </c>
      <c r="N3221">
        <v>0</v>
      </c>
      <c r="O3221" t="s">
        <v>11927</v>
      </c>
    </row>
    <row r="3222" spans="1:15">
      <c r="A3222" t="s">
        <v>20913</v>
      </c>
      <c r="B3222" t="s">
        <v>5911</v>
      </c>
      <c r="C3222" t="s">
        <v>20914</v>
      </c>
      <c r="D3222" t="s">
        <v>20915</v>
      </c>
      <c r="E3222" t="b">
        <v>0</v>
      </c>
      <c r="F3222" t="s">
        <v>11622</v>
      </c>
      <c r="L3222">
        <v>0</v>
      </c>
      <c r="M3222">
        <v>2</v>
      </c>
      <c r="N3222">
        <v>0</v>
      </c>
    </row>
    <row r="3223" spans="1:15">
      <c r="A3223" t="s">
        <v>20910</v>
      </c>
      <c r="B3223" t="s">
        <v>12204</v>
      </c>
      <c r="C3223" t="s">
        <v>12204</v>
      </c>
      <c r="D3223" t="s">
        <v>20916</v>
      </c>
      <c r="E3223" t="b">
        <v>0</v>
      </c>
      <c r="F3223" t="s">
        <v>11622</v>
      </c>
      <c r="L3223">
        <v>0</v>
      </c>
      <c r="M3223">
        <v>1</v>
      </c>
      <c r="N3223">
        <v>0</v>
      </c>
    </row>
    <row r="3224" spans="1:15">
      <c r="A3224" t="s">
        <v>20917</v>
      </c>
      <c r="B3224" t="s">
        <v>11607</v>
      </c>
      <c r="C3224" t="s">
        <v>20918</v>
      </c>
      <c r="D3224" t="s">
        <v>20919</v>
      </c>
      <c r="E3224" t="b">
        <v>0</v>
      </c>
      <c r="F3224" t="s">
        <v>11624</v>
      </c>
      <c r="G3224">
        <v>9.0092400000000001</v>
      </c>
      <c r="H3224">
        <v>9.1607099999999999</v>
      </c>
      <c r="I3224" t="s">
        <v>20920</v>
      </c>
      <c r="L3224">
        <v>0</v>
      </c>
      <c r="M3224">
        <v>0</v>
      </c>
      <c r="N3224">
        <v>3</v>
      </c>
      <c r="O3224" t="s">
        <v>11693</v>
      </c>
    </row>
    <row r="3225" spans="1:15">
      <c r="A3225" t="s">
        <v>20921</v>
      </c>
      <c r="B3225" t="s">
        <v>367</v>
      </c>
      <c r="C3225" t="s">
        <v>20922</v>
      </c>
      <c r="D3225" t="s">
        <v>20923</v>
      </c>
      <c r="E3225" t="b">
        <v>0</v>
      </c>
      <c r="F3225" t="s">
        <v>11610</v>
      </c>
      <c r="L3225">
        <v>0</v>
      </c>
      <c r="M3225">
        <v>0</v>
      </c>
      <c r="N3225">
        <v>0</v>
      </c>
    </row>
    <row r="3226" spans="1:15">
      <c r="A3226" t="s">
        <v>16034</v>
      </c>
      <c r="B3226" t="s">
        <v>11644</v>
      </c>
      <c r="C3226" t="s">
        <v>20924</v>
      </c>
      <c r="D3226" t="s">
        <v>20925</v>
      </c>
      <c r="E3226" t="b">
        <v>0</v>
      </c>
      <c r="F3226" t="s">
        <v>11610</v>
      </c>
      <c r="L3226">
        <v>0</v>
      </c>
      <c r="M3226">
        <v>0</v>
      </c>
      <c r="N3226">
        <v>3</v>
      </c>
    </row>
    <row r="3227" spans="1:15">
      <c r="A3227" t="s">
        <v>20926</v>
      </c>
      <c r="B3227" t="s">
        <v>11637</v>
      </c>
      <c r="C3227" t="s">
        <v>5173</v>
      </c>
      <c r="D3227" t="s">
        <v>20927</v>
      </c>
      <c r="E3227" t="b">
        <v>0</v>
      </c>
      <c r="F3227" t="s">
        <v>11610</v>
      </c>
      <c r="L3227">
        <v>0</v>
      </c>
      <c r="M3227">
        <v>0</v>
      </c>
      <c r="N3227">
        <v>0</v>
      </c>
    </row>
    <row r="3228" spans="1:15">
      <c r="A3228" t="s">
        <v>20928</v>
      </c>
      <c r="B3228" t="s">
        <v>11637</v>
      </c>
      <c r="C3228" t="s">
        <v>13473</v>
      </c>
      <c r="D3228" t="s">
        <v>20929</v>
      </c>
      <c r="E3228" t="b">
        <v>0</v>
      </c>
      <c r="F3228" t="s">
        <v>11610</v>
      </c>
      <c r="L3228">
        <v>0</v>
      </c>
      <c r="M3228">
        <v>0</v>
      </c>
      <c r="N3228">
        <v>0</v>
      </c>
    </row>
    <row r="3229" spans="1:15">
      <c r="A3229" t="s">
        <v>20930</v>
      </c>
      <c r="B3229" t="s">
        <v>367</v>
      </c>
      <c r="C3229" t="s">
        <v>17553</v>
      </c>
      <c r="D3229" t="s">
        <v>20931</v>
      </c>
      <c r="E3229" t="b">
        <v>0</v>
      </c>
      <c r="F3229" t="s">
        <v>11610</v>
      </c>
      <c r="L3229">
        <v>0</v>
      </c>
      <c r="M3229">
        <v>0</v>
      </c>
      <c r="N3229">
        <v>0</v>
      </c>
    </row>
    <row r="3230" spans="1:15">
      <c r="A3230" t="s">
        <v>20932</v>
      </c>
      <c r="B3230" t="s">
        <v>367</v>
      </c>
      <c r="C3230" t="s">
        <v>16803</v>
      </c>
      <c r="D3230" t="s">
        <v>20933</v>
      </c>
      <c r="E3230" t="b">
        <v>0</v>
      </c>
      <c r="F3230" t="s">
        <v>11610</v>
      </c>
      <c r="L3230">
        <v>0</v>
      </c>
      <c r="M3230">
        <v>0</v>
      </c>
      <c r="N3230">
        <v>0</v>
      </c>
    </row>
    <row r="3231" spans="1:15">
      <c r="A3231" t="s">
        <v>16932</v>
      </c>
      <c r="B3231" t="s">
        <v>367</v>
      </c>
      <c r="C3231" t="s">
        <v>12400</v>
      </c>
      <c r="D3231" t="s">
        <v>20934</v>
      </c>
      <c r="E3231" t="b">
        <v>0</v>
      </c>
      <c r="F3231" t="s">
        <v>11624</v>
      </c>
      <c r="G3231">
        <v>12.0716</v>
      </c>
      <c r="H3231">
        <v>120.09399999999999</v>
      </c>
      <c r="I3231" t="s">
        <v>20935</v>
      </c>
      <c r="L3231">
        <v>0</v>
      </c>
      <c r="M3231">
        <v>0</v>
      </c>
      <c r="N3231">
        <v>1</v>
      </c>
      <c r="O3231" t="s">
        <v>11749</v>
      </c>
    </row>
    <row r="3232" spans="1:15">
      <c r="A3232" t="s">
        <v>20936</v>
      </c>
      <c r="B3232" t="s">
        <v>13360</v>
      </c>
      <c r="C3232" t="s">
        <v>13360</v>
      </c>
      <c r="D3232" t="s">
        <v>20937</v>
      </c>
      <c r="E3232" t="b">
        <v>0</v>
      </c>
      <c r="F3232" t="s">
        <v>11624</v>
      </c>
      <c r="L3232">
        <v>0</v>
      </c>
      <c r="M3232">
        <v>0</v>
      </c>
      <c r="N3232">
        <v>0</v>
      </c>
      <c r="O3232" t="s">
        <v>11774</v>
      </c>
    </row>
    <row r="3233" spans="1:15">
      <c r="A3233" t="s">
        <v>20938</v>
      </c>
      <c r="B3233" t="s">
        <v>11981</v>
      </c>
      <c r="C3233" t="s">
        <v>16705</v>
      </c>
      <c r="D3233" t="s">
        <v>20939</v>
      </c>
      <c r="E3233" t="b">
        <v>0</v>
      </c>
      <c r="F3233" t="s">
        <v>11610</v>
      </c>
      <c r="L3233">
        <v>0</v>
      </c>
      <c r="M3233">
        <v>0</v>
      </c>
      <c r="N3233">
        <v>0</v>
      </c>
    </row>
    <row r="3234" spans="1:15">
      <c r="A3234" t="s">
        <v>20940</v>
      </c>
      <c r="B3234" t="s">
        <v>141</v>
      </c>
      <c r="C3234" t="s">
        <v>20941</v>
      </c>
      <c r="D3234" t="s">
        <v>20942</v>
      </c>
      <c r="E3234" t="b">
        <v>0</v>
      </c>
      <c r="F3234" t="s">
        <v>11624</v>
      </c>
      <c r="G3234">
        <v>-0.36204999999999998</v>
      </c>
      <c r="H3234">
        <v>-78.258700000000005</v>
      </c>
      <c r="I3234" t="s">
        <v>20943</v>
      </c>
      <c r="L3234">
        <v>0</v>
      </c>
      <c r="M3234">
        <v>0</v>
      </c>
      <c r="N3234">
        <v>0</v>
      </c>
      <c r="O3234" t="s">
        <v>14946</v>
      </c>
    </row>
    <row r="3235" spans="1:15">
      <c r="A3235" t="s">
        <v>20944</v>
      </c>
      <c r="B3235" t="s">
        <v>12460</v>
      </c>
      <c r="C3235" t="s">
        <v>20945</v>
      </c>
      <c r="D3235" t="s">
        <v>20946</v>
      </c>
      <c r="E3235" t="b">
        <v>0</v>
      </c>
      <c r="F3235" t="s">
        <v>11622</v>
      </c>
      <c r="L3235">
        <v>0</v>
      </c>
      <c r="M3235">
        <v>4</v>
      </c>
      <c r="N3235">
        <v>0</v>
      </c>
    </row>
    <row r="3236" spans="1:15">
      <c r="A3236" t="s">
        <v>20947</v>
      </c>
      <c r="B3236" t="s">
        <v>12751</v>
      </c>
      <c r="C3236" t="s">
        <v>20948</v>
      </c>
      <c r="D3236" t="s">
        <v>20949</v>
      </c>
      <c r="E3236" t="b">
        <v>0</v>
      </c>
      <c r="F3236" t="s">
        <v>11622</v>
      </c>
      <c r="L3236">
        <v>4</v>
      </c>
      <c r="M3236">
        <v>7</v>
      </c>
      <c r="N3236">
        <v>2</v>
      </c>
    </row>
    <row r="3237" spans="1:15">
      <c r="A3237" t="s">
        <v>20950</v>
      </c>
      <c r="B3237" t="s">
        <v>12204</v>
      </c>
      <c r="C3237" t="s">
        <v>20951</v>
      </c>
      <c r="D3237" t="s">
        <v>20952</v>
      </c>
      <c r="E3237" t="b">
        <v>0</v>
      </c>
      <c r="F3237" t="s">
        <v>11624</v>
      </c>
      <c r="G3237">
        <v>-15.884510000000001</v>
      </c>
      <c r="H3237">
        <v>-68.101759999999999</v>
      </c>
      <c r="I3237" t="s">
        <v>20953</v>
      </c>
      <c r="L3237">
        <v>0</v>
      </c>
      <c r="M3237">
        <v>0</v>
      </c>
      <c r="N3237">
        <v>0</v>
      </c>
      <c r="O3237" t="s">
        <v>14185</v>
      </c>
    </row>
    <row r="3238" spans="1:15">
      <c r="A3238" t="s">
        <v>20954</v>
      </c>
      <c r="B3238" t="s">
        <v>11627</v>
      </c>
      <c r="C3238" t="s">
        <v>11627</v>
      </c>
      <c r="D3238" t="s">
        <v>20955</v>
      </c>
      <c r="E3238" t="b">
        <v>1</v>
      </c>
      <c r="F3238" t="s">
        <v>11624</v>
      </c>
      <c r="G3238">
        <v>40.8339</v>
      </c>
      <c r="H3238">
        <v>-3.5144000000000002</v>
      </c>
      <c r="I3238" t="s">
        <v>20956</v>
      </c>
      <c r="L3238">
        <v>0</v>
      </c>
      <c r="M3238">
        <v>0</v>
      </c>
      <c r="N3238">
        <v>0</v>
      </c>
      <c r="O3238" t="s">
        <v>13707</v>
      </c>
    </row>
    <row r="3239" spans="1:15">
      <c r="A3239" t="s">
        <v>17284</v>
      </c>
      <c r="B3239" t="s">
        <v>11637</v>
      </c>
      <c r="C3239" t="s">
        <v>13849</v>
      </c>
      <c r="D3239" t="s">
        <v>20957</v>
      </c>
      <c r="E3239" t="b">
        <v>0</v>
      </c>
      <c r="F3239" t="s">
        <v>11624</v>
      </c>
      <c r="I3239" t="s">
        <v>20958</v>
      </c>
      <c r="L3239">
        <v>0</v>
      </c>
      <c r="M3239">
        <v>0</v>
      </c>
      <c r="N3239">
        <v>5</v>
      </c>
      <c r="O3239" t="s">
        <v>13707</v>
      </c>
    </row>
    <row r="3240" spans="1:15">
      <c r="A3240" t="s">
        <v>20959</v>
      </c>
      <c r="B3240" t="s">
        <v>367</v>
      </c>
      <c r="C3240" t="s">
        <v>20960</v>
      </c>
      <c r="D3240" t="s">
        <v>20961</v>
      </c>
      <c r="E3240" t="b">
        <v>0</v>
      </c>
      <c r="F3240" t="s">
        <v>11624</v>
      </c>
      <c r="G3240">
        <v>12.0489</v>
      </c>
      <c r="H3240">
        <v>121.384</v>
      </c>
      <c r="I3240" t="s">
        <v>20962</v>
      </c>
      <c r="L3240">
        <v>0</v>
      </c>
      <c r="M3240">
        <v>0</v>
      </c>
      <c r="N3240">
        <v>1</v>
      </c>
      <c r="O3240" t="s">
        <v>11749</v>
      </c>
    </row>
    <row r="3241" spans="1:15">
      <c r="A3241" t="s">
        <v>20963</v>
      </c>
      <c r="B3241" t="s">
        <v>13360</v>
      </c>
      <c r="C3241" t="s">
        <v>13360</v>
      </c>
      <c r="D3241" t="s">
        <v>20964</v>
      </c>
      <c r="E3241" t="b">
        <v>0</v>
      </c>
      <c r="F3241" t="s">
        <v>11624</v>
      </c>
      <c r="L3241">
        <v>0</v>
      </c>
      <c r="M3241">
        <v>0</v>
      </c>
      <c r="N3241">
        <v>0</v>
      </c>
      <c r="O3241" t="s">
        <v>11944</v>
      </c>
    </row>
    <row r="3242" spans="1:15">
      <c r="A3242" t="s">
        <v>20965</v>
      </c>
      <c r="B3242" t="s">
        <v>6742</v>
      </c>
      <c r="C3242" t="s">
        <v>12862</v>
      </c>
      <c r="D3242" t="s">
        <v>20966</v>
      </c>
      <c r="E3242" t="b">
        <v>0</v>
      </c>
      <c r="F3242" t="s">
        <v>11610</v>
      </c>
      <c r="L3242">
        <v>0</v>
      </c>
      <c r="M3242">
        <v>0</v>
      </c>
      <c r="N3242">
        <v>0</v>
      </c>
    </row>
    <row r="3243" spans="1:15">
      <c r="A3243" t="s">
        <v>20967</v>
      </c>
      <c r="B3243" t="s">
        <v>6742</v>
      </c>
      <c r="C3243" t="s">
        <v>20968</v>
      </c>
      <c r="D3243" t="s">
        <v>20969</v>
      </c>
      <c r="E3243" t="b">
        <v>0</v>
      </c>
      <c r="F3243" t="s">
        <v>11610</v>
      </c>
      <c r="L3243">
        <v>0</v>
      </c>
      <c r="M3243">
        <v>0</v>
      </c>
      <c r="N3243">
        <v>0</v>
      </c>
    </row>
    <row r="3244" spans="1:15">
      <c r="A3244" t="s">
        <v>20970</v>
      </c>
      <c r="B3244" t="s">
        <v>367</v>
      </c>
      <c r="C3244" t="s">
        <v>12880</v>
      </c>
      <c r="D3244" t="s">
        <v>20971</v>
      </c>
      <c r="E3244" t="b">
        <v>0</v>
      </c>
      <c r="F3244" t="s">
        <v>11624</v>
      </c>
      <c r="G3244">
        <v>14.1571</v>
      </c>
      <c r="H3244">
        <v>122.83499999999999</v>
      </c>
      <c r="I3244" t="s">
        <v>20972</v>
      </c>
      <c r="L3244">
        <v>0</v>
      </c>
      <c r="M3244">
        <v>0</v>
      </c>
      <c r="N3244">
        <v>0</v>
      </c>
      <c r="O3244" t="s">
        <v>11749</v>
      </c>
    </row>
    <row r="3245" spans="1:15">
      <c r="A3245" t="s">
        <v>20973</v>
      </c>
      <c r="B3245" t="s">
        <v>8310</v>
      </c>
      <c r="C3245" t="s">
        <v>14449</v>
      </c>
      <c r="D3245" t="s">
        <v>20974</v>
      </c>
      <c r="E3245" t="b">
        <v>0</v>
      </c>
      <c r="F3245" t="s">
        <v>11610</v>
      </c>
      <c r="L3245">
        <v>0</v>
      </c>
      <c r="M3245">
        <v>0</v>
      </c>
      <c r="N3245">
        <v>0</v>
      </c>
    </row>
    <row r="3246" spans="1:15">
      <c r="A3246" t="s">
        <v>20975</v>
      </c>
      <c r="B3246" t="s">
        <v>8310</v>
      </c>
      <c r="C3246" t="s">
        <v>14449</v>
      </c>
      <c r="D3246" t="s">
        <v>20976</v>
      </c>
      <c r="E3246" t="b">
        <v>0</v>
      </c>
      <c r="F3246" t="s">
        <v>11610</v>
      </c>
      <c r="L3246">
        <v>0</v>
      </c>
      <c r="M3246">
        <v>0</v>
      </c>
      <c r="N3246">
        <v>0</v>
      </c>
    </row>
    <row r="3247" spans="1:15">
      <c r="A3247" t="s">
        <v>20977</v>
      </c>
      <c r="B3247" t="s">
        <v>11637</v>
      </c>
      <c r="C3247" t="s">
        <v>13473</v>
      </c>
      <c r="D3247" t="s">
        <v>20978</v>
      </c>
      <c r="E3247" t="b">
        <v>0</v>
      </c>
      <c r="F3247" t="s">
        <v>11610</v>
      </c>
      <c r="L3247">
        <v>0</v>
      </c>
      <c r="M3247">
        <v>0</v>
      </c>
      <c r="N3247">
        <v>0</v>
      </c>
    </row>
    <row r="3248" spans="1:15">
      <c r="A3248" t="s">
        <v>20979</v>
      </c>
      <c r="B3248" t="s">
        <v>367</v>
      </c>
      <c r="C3248" t="s">
        <v>17148</v>
      </c>
      <c r="D3248" t="s">
        <v>20980</v>
      </c>
      <c r="E3248" t="b">
        <v>0</v>
      </c>
      <c r="F3248" t="s">
        <v>11610</v>
      </c>
      <c r="L3248">
        <v>0</v>
      </c>
      <c r="M3248">
        <v>0</v>
      </c>
      <c r="N3248">
        <v>0</v>
      </c>
    </row>
    <row r="3249" spans="1:15">
      <c r="A3249" t="s">
        <v>20981</v>
      </c>
      <c r="B3249" t="s">
        <v>11981</v>
      </c>
      <c r="C3249" t="s">
        <v>12200</v>
      </c>
      <c r="D3249" t="s">
        <v>20982</v>
      </c>
      <c r="E3249" t="b">
        <v>0</v>
      </c>
      <c r="F3249" t="s">
        <v>11624</v>
      </c>
      <c r="G3249">
        <v>11.557804000000001</v>
      </c>
      <c r="H3249">
        <v>104.870261</v>
      </c>
      <c r="L3249">
        <v>0</v>
      </c>
      <c r="M3249">
        <v>0</v>
      </c>
      <c r="N3249">
        <v>0</v>
      </c>
      <c r="O3249" t="s">
        <v>20983</v>
      </c>
    </row>
    <row r="3250" spans="1:15">
      <c r="A3250" t="s">
        <v>20984</v>
      </c>
      <c r="B3250" t="s">
        <v>6742</v>
      </c>
      <c r="C3250" t="s">
        <v>20985</v>
      </c>
      <c r="D3250" t="s">
        <v>20986</v>
      </c>
      <c r="E3250" t="b">
        <v>0</v>
      </c>
      <c r="F3250" t="s">
        <v>11610</v>
      </c>
      <c r="L3250">
        <v>0</v>
      </c>
      <c r="M3250">
        <v>0</v>
      </c>
      <c r="N3250">
        <v>0</v>
      </c>
    </row>
    <row r="3251" spans="1:15">
      <c r="A3251" t="s">
        <v>20987</v>
      </c>
      <c r="B3251" t="s">
        <v>11637</v>
      </c>
      <c r="C3251" t="s">
        <v>20988</v>
      </c>
      <c r="D3251" t="s">
        <v>20989</v>
      </c>
      <c r="E3251" t="b">
        <v>0</v>
      </c>
      <c r="F3251" t="s">
        <v>11610</v>
      </c>
      <c r="L3251">
        <v>0</v>
      </c>
      <c r="M3251">
        <v>0</v>
      </c>
      <c r="N3251">
        <v>0</v>
      </c>
    </row>
    <row r="3252" spans="1:15">
      <c r="A3252" t="s">
        <v>20990</v>
      </c>
      <c r="B3252" t="s">
        <v>12438</v>
      </c>
      <c r="C3252" t="s">
        <v>18163</v>
      </c>
      <c r="D3252" t="s">
        <v>20991</v>
      </c>
      <c r="E3252" t="b">
        <v>0</v>
      </c>
      <c r="F3252" t="s">
        <v>11610</v>
      </c>
      <c r="L3252">
        <v>0</v>
      </c>
      <c r="M3252">
        <v>0</v>
      </c>
      <c r="N3252">
        <v>0</v>
      </c>
    </row>
    <row r="3253" spans="1:15">
      <c r="A3253" t="s">
        <v>20992</v>
      </c>
      <c r="B3253" t="s">
        <v>10597</v>
      </c>
      <c r="C3253" t="s">
        <v>15293</v>
      </c>
      <c r="D3253" t="s">
        <v>20993</v>
      </c>
      <c r="E3253" t="b">
        <v>0</v>
      </c>
      <c r="F3253" t="s">
        <v>11610</v>
      </c>
      <c r="L3253">
        <v>0</v>
      </c>
      <c r="M3253">
        <v>0</v>
      </c>
      <c r="N3253">
        <v>0</v>
      </c>
    </row>
    <row r="3254" spans="1:15">
      <c r="A3254" t="s">
        <v>20994</v>
      </c>
      <c r="B3254" t="s">
        <v>6742</v>
      </c>
      <c r="C3254" t="s">
        <v>20995</v>
      </c>
      <c r="D3254" t="s">
        <v>20996</v>
      </c>
      <c r="E3254" t="b">
        <v>0</v>
      </c>
      <c r="F3254" t="s">
        <v>11624</v>
      </c>
      <c r="G3254">
        <v>6.4382900000000003</v>
      </c>
      <c r="H3254">
        <v>11.41953</v>
      </c>
      <c r="I3254" t="s">
        <v>20997</v>
      </c>
      <c r="L3254">
        <v>0</v>
      </c>
      <c r="M3254">
        <v>0</v>
      </c>
      <c r="N3254">
        <v>5</v>
      </c>
      <c r="O3254" t="s">
        <v>11802</v>
      </c>
    </row>
    <row r="3255" spans="1:15">
      <c r="A3255" t="s">
        <v>20998</v>
      </c>
      <c r="B3255" t="s">
        <v>11637</v>
      </c>
      <c r="C3255" t="s">
        <v>20999</v>
      </c>
      <c r="D3255" t="s">
        <v>21000</v>
      </c>
      <c r="E3255" t="b">
        <v>0</v>
      </c>
      <c r="F3255" t="s">
        <v>11624</v>
      </c>
      <c r="G3255">
        <v>5.4393200000000004</v>
      </c>
      <c r="H3255">
        <v>9.80166</v>
      </c>
      <c r="I3255" t="s">
        <v>21001</v>
      </c>
      <c r="L3255">
        <v>0</v>
      </c>
      <c r="M3255">
        <v>0</v>
      </c>
      <c r="N3255">
        <v>0</v>
      </c>
      <c r="O3255" t="s">
        <v>11703</v>
      </c>
    </row>
    <row r="3256" spans="1:15">
      <c r="A3256" t="s">
        <v>21002</v>
      </c>
      <c r="B3256" t="s">
        <v>6742</v>
      </c>
      <c r="C3256" t="s">
        <v>19959</v>
      </c>
      <c r="D3256" t="s">
        <v>21003</v>
      </c>
      <c r="E3256" t="b">
        <v>0</v>
      </c>
      <c r="F3256" t="s">
        <v>11622</v>
      </c>
      <c r="L3256">
        <v>63</v>
      </c>
      <c r="M3256">
        <v>102</v>
      </c>
      <c r="N3256">
        <v>142</v>
      </c>
    </row>
    <row r="3257" spans="1:15">
      <c r="A3257" t="s">
        <v>21004</v>
      </c>
      <c r="B3257" t="s">
        <v>11644</v>
      </c>
      <c r="C3257" t="s">
        <v>16783</v>
      </c>
      <c r="D3257" t="s">
        <v>21005</v>
      </c>
      <c r="E3257" t="b">
        <v>0</v>
      </c>
      <c r="F3257" t="s">
        <v>11624</v>
      </c>
      <c r="G3257">
        <v>27.3371</v>
      </c>
      <c r="H3257">
        <v>86.761200000000002</v>
      </c>
      <c r="I3257" t="s">
        <v>21006</v>
      </c>
      <c r="L3257">
        <v>0</v>
      </c>
      <c r="M3257">
        <v>0</v>
      </c>
      <c r="N3257">
        <v>0</v>
      </c>
      <c r="O3257" t="s">
        <v>15007</v>
      </c>
    </row>
    <row r="3258" spans="1:15">
      <c r="A3258" t="s">
        <v>21007</v>
      </c>
      <c r="B3258" t="s">
        <v>12438</v>
      </c>
      <c r="C3258" t="s">
        <v>21008</v>
      </c>
      <c r="D3258" t="s">
        <v>21009</v>
      </c>
      <c r="E3258" t="b">
        <v>0</v>
      </c>
      <c r="F3258" t="s">
        <v>11610</v>
      </c>
      <c r="L3258">
        <v>0</v>
      </c>
      <c r="M3258">
        <v>0</v>
      </c>
      <c r="N3258">
        <v>0</v>
      </c>
    </row>
    <row r="3259" spans="1:15">
      <c r="A3259" t="s">
        <v>21010</v>
      </c>
      <c r="B3259" t="s">
        <v>6742</v>
      </c>
      <c r="C3259" t="s">
        <v>21011</v>
      </c>
      <c r="D3259" t="s">
        <v>21012</v>
      </c>
      <c r="E3259" t="b">
        <v>0</v>
      </c>
      <c r="F3259" t="s">
        <v>11610</v>
      </c>
      <c r="L3259">
        <v>0</v>
      </c>
      <c r="M3259">
        <v>0</v>
      </c>
      <c r="N3259">
        <v>0</v>
      </c>
    </row>
    <row r="3260" spans="1:15">
      <c r="A3260" t="s">
        <v>21013</v>
      </c>
      <c r="B3260" t="s">
        <v>367</v>
      </c>
      <c r="C3260" t="s">
        <v>17133</v>
      </c>
      <c r="D3260" t="s">
        <v>21014</v>
      </c>
      <c r="E3260" t="b">
        <v>0</v>
      </c>
      <c r="F3260" t="s">
        <v>11610</v>
      </c>
      <c r="L3260">
        <v>0</v>
      </c>
      <c r="M3260">
        <v>0</v>
      </c>
      <c r="N3260">
        <v>0</v>
      </c>
    </row>
    <row r="3261" spans="1:15">
      <c r="A3261" t="s">
        <v>21015</v>
      </c>
      <c r="B3261" t="s">
        <v>15027</v>
      </c>
      <c r="C3261" t="s">
        <v>21016</v>
      </c>
      <c r="D3261" t="s">
        <v>21017</v>
      </c>
      <c r="E3261" t="b">
        <v>0</v>
      </c>
      <c r="F3261" t="s">
        <v>11610</v>
      </c>
      <c r="L3261">
        <v>0</v>
      </c>
      <c r="M3261">
        <v>0</v>
      </c>
      <c r="N3261">
        <v>0</v>
      </c>
    </row>
    <row r="3262" spans="1:15">
      <c r="A3262" t="s">
        <v>21018</v>
      </c>
      <c r="B3262" t="s">
        <v>11637</v>
      </c>
      <c r="C3262" t="s">
        <v>5173</v>
      </c>
      <c r="D3262" t="s">
        <v>21019</v>
      </c>
      <c r="E3262" t="b">
        <v>0</v>
      </c>
      <c r="F3262" t="s">
        <v>11610</v>
      </c>
      <c r="L3262">
        <v>0</v>
      </c>
      <c r="M3262">
        <v>0</v>
      </c>
      <c r="N3262">
        <v>0</v>
      </c>
    </row>
    <row r="3263" spans="1:15">
      <c r="A3263" t="s">
        <v>14419</v>
      </c>
      <c r="B3263" t="s">
        <v>11637</v>
      </c>
      <c r="C3263" t="s">
        <v>7381</v>
      </c>
      <c r="D3263" t="s">
        <v>21020</v>
      </c>
      <c r="E3263" t="b">
        <v>0</v>
      </c>
      <c r="F3263" t="s">
        <v>11624</v>
      </c>
      <c r="G3263">
        <v>39.056600000000003</v>
      </c>
      <c r="H3263">
        <v>9.0393500000000007</v>
      </c>
      <c r="I3263" t="s">
        <v>21021</v>
      </c>
      <c r="L3263">
        <v>0</v>
      </c>
      <c r="M3263">
        <v>0</v>
      </c>
      <c r="N3263">
        <v>8</v>
      </c>
      <c r="O3263" t="s">
        <v>13676</v>
      </c>
    </row>
    <row r="3264" spans="1:15">
      <c r="A3264" t="s">
        <v>20194</v>
      </c>
      <c r="B3264" t="s">
        <v>367</v>
      </c>
      <c r="C3264" t="s">
        <v>20086</v>
      </c>
      <c r="D3264" t="s">
        <v>21022</v>
      </c>
      <c r="E3264" t="b">
        <v>0</v>
      </c>
      <c r="F3264" t="s">
        <v>11624</v>
      </c>
      <c r="G3264">
        <v>-4.016667</v>
      </c>
      <c r="H3264">
        <v>119.623611</v>
      </c>
      <c r="I3264" t="s">
        <v>21023</v>
      </c>
      <c r="L3264">
        <v>0</v>
      </c>
      <c r="M3264">
        <v>0</v>
      </c>
      <c r="N3264">
        <v>2</v>
      </c>
      <c r="O3264" t="s">
        <v>11768</v>
      </c>
    </row>
    <row r="3265" spans="1:15">
      <c r="A3265" t="s">
        <v>21024</v>
      </c>
      <c r="D3265" t="s">
        <v>21025</v>
      </c>
      <c r="E3265" t="b">
        <v>0</v>
      </c>
      <c r="F3265" t="s">
        <v>11624</v>
      </c>
      <c r="G3265">
        <v>1.14537</v>
      </c>
      <c r="H3265">
        <v>-76.893100000000004</v>
      </c>
      <c r="I3265" t="s">
        <v>21026</v>
      </c>
      <c r="L3265">
        <v>0</v>
      </c>
      <c r="M3265">
        <v>0</v>
      </c>
      <c r="N3265">
        <v>0</v>
      </c>
      <c r="O3265" t="s">
        <v>11898</v>
      </c>
    </row>
    <row r="3266" spans="1:15">
      <c r="A3266" t="s">
        <v>21027</v>
      </c>
      <c r="B3266" t="s">
        <v>12204</v>
      </c>
      <c r="C3266" t="s">
        <v>21028</v>
      </c>
      <c r="D3266" t="s">
        <v>21029</v>
      </c>
      <c r="E3266" t="b">
        <v>0</v>
      </c>
      <c r="F3266" t="s">
        <v>11624</v>
      </c>
      <c r="G3266">
        <v>-26.247</v>
      </c>
      <c r="H3266">
        <v>27.942</v>
      </c>
      <c r="I3266" t="s">
        <v>21030</v>
      </c>
      <c r="L3266">
        <v>0</v>
      </c>
      <c r="M3266">
        <v>0</v>
      </c>
      <c r="N3266">
        <v>0</v>
      </c>
      <c r="O3266" t="s">
        <v>21031</v>
      </c>
    </row>
    <row r="3267" spans="1:15">
      <c r="A3267" t="s">
        <v>21032</v>
      </c>
      <c r="B3267" t="s">
        <v>13360</v>
      </c>
      <c r="C3267" t="s">
        <v>13360</v>
      </c>
      <c r="D3267" t="s">
        <v>21033</v>
      </c>
      <c r="E3267" t="b">
        <v>0</v>
      </c>
      <c r="F3267" t="s">
        <v>11624</v>
      </c>
      <c r="I3267" t="s">
        <v>21034</v>
      </c>
      <c r="L3267">
        <v>0</v>
      </c>
      <c r="M3267">
        <v>0</v>
      </c>
      <c r="N3267">
        <v>0</v>
      </c>
      <c r="O3267" t="s">
        <v>13676</v>
      </c>
    </row>
    <row r="3268" spans="1:15">
      <c r="A3268" t="s">
        <v>21035</v>
      </c>
      <c r="B3268" t="s">
        <v>11637</v>
      </c>
      <c r="C3268" t="s">
        <v>239</v>
      </c>
      <c r="D3268" t="s">
        <v>21036</v>
      </c>
      <c r="E3268" t="b">
        <v>0</v>
      </c>
      <c r="F3268" t="s">
        <v>11610</v>
      </c>
      <c r="L3268">
        <v>0</v>
      </c>
      <c r="M3268">
        <v>0</v>
      </c>
      <c r="N3268">
        <v>0</v>
      </c>
    </row>
    <row r="3269" spans="1:15">
      <c r="A3269" t="s">
        <v>21037</v>
      </c>
      <c r="B3269" t="s">
        <v>15304</v>
      </c>
      <c r="C3269" t="s">
        <v>15305</v>
      </c>
      <c r="D3269" t="s">
        <v>21038</v>
      </c>
      <c r="E3269" t="b">
        <v>0</v>
      </c>
      <c r="F3269" t="s">
        <v>11624</v>
      </c>
      <c r="G3269">
        <v>-2.4751699999999999</v>
      </c>
      <c r="H3269">
        <v>-78.979054000000005</v>
      </c>
      <c r="L3269">
        <v>0</v>
      </c>
      <c r="M3269">
        <v>0</v>
      </c>
      <c r="N3269">
        <v>0</v>
      </c>
      <c r="O3269" t="s">
        <v>14946</v>
      </c>
    </row>
    <row r="3270" spans="1:15">
      <c r="A3270" t="s">
        <v>21039</v>
      </c>
      <c r="B3270" t="s">
        <v>141</v>
      </c>
      <c r="C3270" t="s">
        <v>21040</v>
      </c>
      <c r="D3270" t="s">
        <v>21041</v>
      </c>
      <c r="E3270" t="b">
        <v>0</v>
      </c>
      <c r="F3270" t="s">
        <v>11610</v>
      </c>
      <c r="L3270">
        <v>0</v>
      </c>
      <c r="M3270">
        <v>0</v>
      </c>
      <c r="N3270">
        <v>0</v>
      </c>
    </row>
    <row r="3271" spans="1:15">
      <c r="A3271" t="s">
        <v>21042</v>
      </c>
      <c r="B3271" t="s">
        <v>141</v>
      </c>
      <c r="C3271" t="s">
        <v>21043</v>
      </c>
      <c r="D3271" t="s">
        <v>21044</v>
      </c>
      <c r="E3271" t="b">
        <v>0</v>
      </c>
      <c r="F3271" t="s">
        <v>11624</v>
      </c>
      <c r="G3271">
        <v>-2.4831400000000001</v>
      </c>
      <c r="H3271">
        <v>-78.967200000000005</v>
      </c>
      <c r="I3271" t="s">
        <v>21045</v>
      </c>
      <c r="L3271">
        <v>0</v>
      </c>
      <c r="M3271">
        <v>0</v>
      </c>
      <c r="N3271">
        <v>0</v>
      </c>
      <c r="O3271" t="s">
        <v>14946</v>
      </c>
    </row>
    <row r="3272" spans="1:15">
      <c r="A3272" t="s">
        <v>21046</v>
      </c>
      <c r="B3272" t="s">
        <v>11607</v>
      </c>
      <c r="C3272" t="s">
        <v>14307</v>
      </c>
      <c r="D3272" t="s">
        <v>21047</v>
      </c>
      <c r="E3272" t="b">
        <v>0</v>
      </c>
      <c r="F3272" t="s">
        <v>11622</v>
      </c>
      <c r="L3272">
        <v>2</v>
      </c>
      <c r="M3272">
        <v>5</v>
      </c>
      <c r="N3272">
        <v>3</v>
      </c>
    </row>
    <row r="3273" spans="1:15">
      <c r="A3273" t="s">
        <v>15044</v>
      </c>
      <c r="B3273" t="s">
        <v>11637</v>
      </c>
      <c r="C3273" t="s">
        <v>21048</v>
      </c>
      <c r="D3273" t="s">
        <v>21049</v>
      </c>
      <c r="E3273" t="b">
        <v>0</v>
      </c>
      <c r="F3273" t="s">
        <v>11610</v>
      </c>
      <c r="L3273">
        <v>0</v>
      </c>
      <c r="M3273">
        <v>0</v>
      </c>
      <c r="N3273">
        <v>3</v>
      </c>
    </row>
    <row r="3274" spans="1:15">
      <c r="A3274" t="s">
        <v>21050</v>
      </c>
      <c r="D3274" t="s">
        <v>21051</v>
      </c>
      <c r="E3274" t="b">
        <v>0</v>
      </c>
      <c r="F3274" t="s">
        <v>11624</v>
      </c>
      <c r="G3274">
        <v>-4.2383499999999996</v>
      </c>
      <c r="H3274">
        <v>-76.934700000000007</v>
      </c>
      <c r="I3274" t="s">
        <v>21052</v>
      </c>
      <c r="L3274">
        <v>0</v>
      </c>
      <c r="M3274">
        <v>0</v>
      </c>
      <c r="N3274">
        <v>3</v>
      </c>
      <c r="O3274" t="s">
        <v>11778</v>
      </c>
    </row>
    <row r="3275" spans="1:15">
      <c r="A3275" t="s">
        <v>21053</v>
      </c>
      <c r="B3275" t="s">
        <v>11879</v>
      </c>
      <c r="C3275" t="s">
        <v>21054</v>
      </c>
      <c r="D3275" t="s">
        <v>21055</v>
      </c>
      <c r="E3275" t="b">
        <v>0</v>
      </c>
      <c r="F3275" t="s">
        <v>11610</v>
      </c>
      <c r="L3275">
        <v>0</v>
      </c>
      <c r="M3275">
        <v>0</v>
      </c>
      <c r="N3275">
        <v>0</v>
      </c>
    </row>
    <row r="3276" spans="1:15">
      <c r="A3276" t="s">
        <v>678</v>
      </c>
      <c r="B3276" t="s">
        <v>11965</v>
      </c>
      <c r="C3276" t="s">
        <v>21056</v>
      </c>
      <c r="D3276" t="s">
        <v>21057</v>
      </c>
      <c r="E3276" t="b">
        <v>0</v>
      </c>
      <c r="F3276" t="s">
        <v>11624</v>
      </c>
      <c r="G3276">
        <v>-6.1071200000000001</v>
      </c>
      <c r="H3276">
        <v>-45.129899999999999</v>
      </c>
      <c r="I3276" t="s">
        <v>680</v>
      </c>
      <c r="L3276">
        <v>0</v>
      </c>
      <c r="M3276">
        <v>0</v>
      </c>
      <c r="N3276">
        <v>3</v>
      </c>
      <c r="O3276" t="s">
        <v>11969</v>
      </c>
    </row>
    <row r="3277" spans="1:15">
      <c r="A3277" t="s">
        <v>21058</v>
      </c>
      <c r="B3277" t="s">
        <v>6742</v>
      </c>
      <c r="C3277" t="s">
        <v>21059</v>
      </c>
      <c r="D3277" t="s">
        <v>21060</v>
      </c>
      <c r="E3277" t="b">
        <v>0</v>
      </c>
      <c r="F3277" t="s">
        <v>11622</v>
      </c>
      <c r="L3277">
        <v>3</v>
      </c>
      <c r="M3277">
        <v>5</v>
      </c>
      <c r="N3277">
        <v>8</v>
      </c>
    </row>
    <row r="3278" spans="1:15">
      <c r="A3278" t="s">
        <v>21061</v>
      </c>
      <c r="B3278" t="s">
        <v>6742</v>
      </c>
      <c r="C3278" t="s">
        <v>21062</v>
      </c>
      <c r="D3278" t="s">
        <v>21063</v>
      </c>
      <c r="E3278" t="b">
        <v>0</v>
      </c>
      <c r="F3278" t="s">
        <v>11610</v>
      </c>
      <c r="L3278">
        <v>0</v>
      </c>
      <c r="M3278">
        <v>0</v>
      </c>
      <c r="N3278">
        <v>0</v>
      </c>
    </row>
    <row r="3279" spans="1:15">
      <c r="A3279" t="s">
        <v>21064</v>
      </c>
      <c r="D3279" t="s">
        <v>21065</v>
      </c>
      <c r="E3279" t="b">
        <v>0</v>
      </c>
      <c r="F3279" t="s">
        <v>11624</v>
      </c>
      <c r="G3279">
        <v>-14.3058</v>
      </c>
      <c r="H3279">
        <v>-64.944455000000005</v>
      </c>
      <c r="I3279" t="s">
        <v>21066</v>
      </c>
      <c r="L3279">
        <v>0</v>
      </c>
      <c r="M3279">
        <v>0</v>
      </c>
      <c r="N3279">
        <v>0</v>
      </c>
      <c r="O3279" t="s">
        <v>14185</v>
      </c>
    </row>
    <row r="3280" spans="1:15">
      <c r="A3280" t="s">
        <v>21067</v>
      </c>
      <c r="B3280" t="s">
        <v>8310</v>
      </c>
      <c r="C3280" t="s">
        <v>2504</v>
      </c>
      <c r="D3280" t="s">
        <v>21068</v>
      </c>
      <c r="E3280" t="b">
        <v>0</v>
      </c>
      <c r="F3280" t="s">
        <v>11610</v>
      </c>
      <c r="L3280">
        <v>0</v>
      </c>
      <c r="M3280">
        <v>0</v>
      </c>
      <c r="N3280">
        <v>0</v>
      </c>
    </row>
    <row r="3281" spans="1:15">
      <c r="A3281" t="s">
        <v>21069</v>
      </c>
      <c r="B3281" t="s">
        <v>6742</v>
      </c>
      <c r="C3281" t="s">
        <v>12862</v>
      </c>
      <c r="D3281" t="s">
        <v>21070</v>
      </c>
      <c r="E3281" t="b">
        <v>0</v>
      </c>
      <c r="F3281" t="s">
        <v>11610</v>
      </c>
      <c r="L3281">
        <v>0</v>
      </c>
      <c r="M3281">
        <v>0</v>
      </c>
      <c r="N3281">
        <v>0</v>
      </c>
    </row>
    <row r="3282" spans="1:15">
      <c r="A3282" t="s">
        <v>21071</v>
      </c>
      <c r="B3282" t="s">
        <v>11644</v>
      </c>
      <c r="C3282" t="s">
        <v>21072</v>
      </c>
      <c r="D3282" t="s">
        <v>21073</v>
      </c>
      <c r="E3282" t="b">
        <v>0</v>
      </c>
      <c r="F3282" t="s">
        <v>11610</v>
      </c>
      <c r="L3282">
        <v>0</v>
      </c>
      <c r="M3282">
        <v>0</v>
      </c>
      <c r="N3282">
        <v>5</v>
      </c>
    </row>
    <row r="3283" spans="1:15">
      <c r="A3283" t="s">
        <v>21074</v>
      </c>
      <c r="B3283" t="s">
        <v>367</v>
      </c>
      <c r="C3283" t="s">
        <v>21075</v>
      </c>
      <c r="D3283" t="s">
        <v>21076</v>
      </c>
      <c r="E3283" t="b">
        <v>0</v>
      </c>
      <c r="F3283" t="s">
        <v>11610</v>
      </c>
      <c r="L3283">
        <v>0</v>
      </c>
      <c r="M3283">
        <v>0</v>
      </c>
      <c r="N3283">
        <v>0</v>
      </c>
    </row>
    <row r="3284" spans="1:15">
      <c r="A3284" t="s">
        <v>21077</v>
      </c>
      <c r="B3284" t="s">
        <v>11637</v>
      </c>
      <c r="C3284" t="s">
        <v>14902</v>
      </c>
      <c r="D3284" t="s">
        <v>21078</v>
      </c>
      <c r="E3284" t="b">
        <v>0</v>
      </c>
      <c r="F3284" t="s">
        <v>11610</v>
      </c>
      <c r="L3284">
        <v>0</v>
      </c>
      <c r="M3284">
        <v>0</v>
      </c>
      <c r="N3284">
        <v>2</v>
      </c>
    </row>
    <row r="3285" spans="1:15">
      <c r="A3285" t="s">
        <v>21079</v>
      </c>
      <c r="B3285" t="s">
        <v>5126</v>
      </c>
      <c r="C3285" t="s">
        <v>19778</v>
      </c>
      <c r="D3285" t="s">
        <v>21080</v>
      </c>
      <c r="E3285" t="b">
        <v>0</v>
      </c>
      <c r="F3285" t="s">
        <v>11624</v>
      </c>
      <c r="G3285">
        <v>23.254100000000001</v>
      </c>
      <c r="H3285">
        <v>105.521</v>
      </c>
      <c r="I3285" t="s">
        <v>21081</v>
      </c>
      <c r="L3285">
        <v>0</v>
      </c>
      <c r="M3285">
        <v>0</v>
      </c>
      <c r="N3285">
        <v>0</v>
      </c>
      <c r="O3285" t="s">
        <v>15949</v>
      </c>
    </row>
    <row r="3286" spans="1:15">
      <c r="A3286" t="s">
        <v>21082</v>
      </c>
      <c r="B3286" t="s">
        <v>5126</v>
      </c>
      <c r="C3286" t="s">
        <v>21083</v>
      </c>
      <c r="D3286" t="s">
        <v>21084</v>
      </c>
      <c r="E3286" t="b">
        <v>0</v>
      </c>
      <c r="F3286" t="s">
        <v>11624</v>
      </c>
      <c r="G3286">
        <v>26.223600000000001</v>
      </c>
      <c r="H3286">
        <v>109.547</v>
      </c>
      <c r="I3286" t="s">
        <v>21085</v>
      </c>
      <c r="L3286">
        <v>0</v>
      </c>
      <c r="M3286">
        <v>0</v>
      </c>
      <c r="N3286">
        <v>0</v>
      </c>
      <c r="O3286" t="s">
        <v>11905</v>
      </c>
    </row>
    <row r="3287" spans="1:15">
      <c r="A3287" t="s">
        <v>21086</v>
      </c>
      <c r="B3287" t="s">
        <v>13244</v>
      </c>
      <c r="C3287" t="s">
        <v>21087</v>
      </c>
      <c r="D3287" t="s">
        <v>21088</v>
      </c>
      <c r="E3287" t="b">
        <v>0</v>
      </c>
      <c r="F3287" t="s">
        <v>11624</v>
      </c>
      <c r="G3287">
        <v>-6.6325399999999997</v>
      </c>
      <c r="H3287">
        <v>-74.381299999999996</v>
      </c>
      <c r="I3287" t="s">
        <v>21089</v>
      </c>
      <c r="L3287">
        <v>0</v>
      </c>
      <c r="M3287">
        <v>0</v>
      </c>
      <c r="N3287">
        <v>1</v>
      </c>
      <c r="O3287" t="s">
        <v>11778</v>
      </c>
    </row>
    <row r="3288" spans="1:15">
      <c r="A3288" t="s">
        <v>21090</v>
      </c>
      <c r="B3288" t="s">
        <v>11637</v>
      </c>
      <c r="C3288" t="s">
        <v>12230</v>
      </c>
      <c r="D3288" t="s">
        <v>21091</v>
      </c>
      <c r="E3288" t="b">
        <v>0</v>
      </c>
      <c r="F3288" t="s">
        <v>11610</v>
      </c>
      <c r="L3288">
        <v>0</v>
      </c>
      <c r="M3288">
        <v>0</v>
      </c>
      <c r="N3288">
        <v>0</v>
      </c>
    </row>
    <row r="3289" spans="1:15">
      <c r="A3289" t="s">
        <v>21092</v>
      </c>
      <c r="B3289" t="s">
        <v>367</v>
      </c>
      <c r="C3289" t="s">
        <v>21093</v>
      </c>
      <c r="D3289" t="s">
        <v>21094</v>
      </c>
      <c r="E3289" t="b">
        <v>0</v>
      </c>
      <c r="F3289" t="s">
        <v>11624</v>
      </c>
      <c r="G3289">
        <v>11.4122</v>
      </c>
      <c r="H3289">
        <v>122.95399999999999</v>
      </c>
      <c r="I3289" t="s">
        <v>21095</v>
      </c>
      <c r="L3289">
        <v>0</v>
      </c>
      <c r="M3289">
        <v>0</v>
      </c>
      <c r="N3289">
        <v>0</v>
      </c>
      <c r="O3289" t="s">
        <v>11749</v>
      </c>
    </row>
    <row r="3290" spans="1:15">
      <c r="A3290" t="s">
        <v>21093</v>
      </c>
      <c r="B3290" t="s">
        <v>367</v>
      </c>
      <c r="C3290" t="s">
        <v>16818</v>
      </c>
      <c r="D3290" t="s">
        <v>21096</v>
      </c>
      <c r="E3290" t="b">
        <v>0</v>
      </c>
      <c r="F3290" t="s">
        <v>11622</v>
      </c>
      <c r="L3290">
        <v>0</v>
      </c>
      <c r="M3290">
        <v>2</v>
      </c>
      <c r="N3290">
        <v>4</v>
      </c>
    </row>
    <row r="3291" spans="1:15">
      <c r="A3291" t="s">
        <v>21097</v>
      </c>
      <c r="B3291" t="s">
        <v>11965</v>
      </c>
      <c r="C3291" t="s">
        <v>21098</v>
      </c>
      <c r="D3291" t="s">
        <v>21099</v>
      </c>
      <c r="E3291" t="b">
        <v>0</v>
      </c>
      <c r="F3291" t="s">
        <v>11624</v>
      </c>
      <c r="G3291">
        <v>-16.766667000000002</v>
      </c>
      <c r="H3291">
        <v>-42.033332999999999</v>
      </c>
      <c r="L3291">
        <v>0</v>
      </c>
      <c r="M3291">
        <v>0</v>
      </c>
      <c r="N3291">
        <v>0</v>
      </c>
      <c r="O3291" t="s">
        <v>11969</v>
      </c>
    </row>
    <row r="3292" spans="1:15">
      <c r="A3292" t="s">
        <v>21100</v>
      </c>
      <c r="B3292" t="s">
        <v>11637</v>
      </c>
      <c r="C3292" t="s">
        <v>21101</v>
      </c>
      <c r="D3292" t="s">
        <v>21102</v>
      </c>
      <c r="E3292" t="b">
        <v>0</v>
      </c>
      <c r="F3292" t="s">
        <v>11624</v>
      </c>
      <c r="G3292">
        <v>38.729999999999997</v>
      </c>
      <c r="H3292">
        <v>35.450000000000003</v>
      </c>
      <c r="I3292" t="s">
        <v>21103</v>
      </c>
      <c r="L3292">
        <v>0</v>
      </c>
      <c r="M3292">
        <v>0</v>
      </c>
      <c r="N3292">
        <v>3</v>
      </c>
      <c r="O3292" t="s">
        <v>13664</v>
      </c>
    </row>
    <row r="3293" spans="1:15">
      <c r="A3293" t="s">
        <v>21104</v>
      </c>
      <c r="B3293" t="s">
        <v>11894</v>
      </c>
      <c r="C3293" t="s">
        <v>14738</v>
      </c>
      <c r="D3293" t="s">
        <v>21105</v>
      </c>
      <c r="E3293" t="b">
        <v>0</v>
      </c>
      <c r="F3293" t="s">
        <v>11624</v>
      </c>
      <c r="G3293">
        <v>-11.481199999999999</v>
      </c>
      <c r="H3293">
        <v>-73.445099999999996</v>
      </c>
      <c r="I3293" t="s">
        <v>21106</v>
      </c>
      <c r="L3293">
        <v>0</v>
      </c>
      <c r="M3293">
        <v>0</v>
      </c>
      <c r="N3293">
        <v>0</v>
      </c>
      <c r="O3293" t="s">
        <v>11778</v>
      </c>
    </row>
    <row r="3294" spans="1:15">
      <c r="A3294" t="s">
        <v>21107</v>
      </c>
      <c r="B3294" t="s">
        <v>13360</v>
      </c>
      <c r="C3294" t="s">
        <v>13360</v>
      </c>
      <c r="D3294" t="s">
        <v>21108</v>
      </c>
      <c r="E3294" t="b">
        <v>0</v>
      </c>
      <c r="F3294" t="s">
        <v>11624</v>
      </c>
      <c r="G3294">
        <v>-1.7922</v>
      </c>
      <c r="H3294">
        <v>-69.909899999999993</v>
      </c>
      <c r="I3294" t="s">
        <v>21109</v>
      </c>
      <c r="L3294">
        <v>0</v>
      </c>
      <c r="M3294">
        <v>0</v>
      </c>
      <c r="N3294">
        <v>0</v>
      </c>
      <c r="O3294" t="s">
        <v>11898</v>
      </c>
    </row>
    <row r="3295" spans="1:15">
      <c r="A3295" t="s">
        <v>21110</v>
      </c>
      <c r="B3295" t="s">
        <v>4236</v>
      </c>
      <c r="C3295" t="s">
        <v>12592</v>
      </c>
      <c r="D3295" t="s">
        <v>21111</v>
      </c>
      <c r="E3295" t="b">
        <v>0</v>
      </c>
      <c r="F3295" t="s">
        <v>11610</v>
      </c>
      <c r="L3295">
        <v>0</v>
      </c>
      <c r="M3295">
        <v>0</v>
      </c>
      <c r="N3295">
        <v>0</v>
      </c>
    </row>
    <row r="3296" spans="1:15">
      <c r="A3296" t="s">
        <v>21112</v>
      </c>
      <c r="B3296" t="s">
        <v>6742</v>
      </c>
      <c r="C3296" t="s">
        <v>18021</v>
      </c>
      <c r="D3296" t="s">
        <v>21113</v>
      </c>
      <c r="E3296" t="b">
        <v>0</v>
      </c>
      <c r="F3296" t="s">
        <v>11624</v>
      </c>
      <c r="G3296">
        <v>10.1281</v>
      </c>
      <c r="H3296">
        <v>8.7456700000000005</v>
      </c>
      <c r="I3296" t="s">
        <v>21114</v>
      </c>
      <c r="L3296">
        <v>0</v>
      </c>
      <c r="M3296">
        <v>0</v>
      </c>
      <c r="N3296">
        <v>0</v>
      </c>
      <c r="O3296" t="s">
        <v>11693</v>
      </c>
    </row>
    <row r="3297" spans="1:15">
      <c r="A3297" t="s">
        <v>21115</v>
      </c>
      <c r="B3297" t="s">
        <v>9578</v>
      </c>
      <c r="C3297" t="s">
        <v>13991</v>
      </c>
      <c r="D3297" t="s">
        <v>21116</v>
      </c>
      <c r="E3297" t="b">
        <v>0</v>
      </c>
      <c r="F3297" t="s">
        <v>11624</v>
      </c>
      <c r="G3297">
        <v>5.6239999999999997</v>
      </c>
      <c r="H3297">
        <v>-75.876999999999995</v>
      </c>
      <c r="I3297" t="s">
        <v>21117</v>
      </c>
      <c r="L3297">
        <v>0</v>
      </c>
      <c r="M3297">
        <v>0</v>
      </c>
      <c r="N3297">
        <v>0</v>
      </c>
      <c r="O3297" t="s">
        <v>11898</v>
      </c>
    </row>
    <row r="3298" spans="1:15">
      <c r="A3298" t="s">
        <v>21118</v>
      </c>
      <c r="B3298" t="s">
        <v>2975</v>
      </c>
      <c r="C3298" t="s">
        <v>21119</v>
      </c>
      <c r="D3298" t="s">
        <v>21120</v>
      </c>
      <c r="E3298" t="b">
        <v>0</v>
      </c>
      <c r="F3298" t="s">
        <v>11624</v>
      </c>
      <c r="G3298">
        <v>6.1679999999999999E-2</v>
      </c>
      <c r="H3298">
        <v>-69.646500000000003</v>
      </c>
      <c r="I3298" t="s">
        <v>21121</v>
      </c>
      <c r="L3298">
        <v>0</v>
      </c>
      <c r="M3298">
        <v>0</v>
      </c>
      <c r="N3298">
        <v>0</v>
      </c>
      <c r="O3298" t="s">
        <v>21122</v>
      </c>
    </row>
    <row r="3299" spans="1:15">
      <c r="A3299" t="s">
        <v>21123</v>
      </c>
      <c r="B3299" t="s">
        <v>11637</v>
      </c>
      <c r="C3299" t="s">
        <v>21124</v>
      </c>
      <c r="D3299" t="s">
        <v>21125</v>
      </c>
      <c r="E3299" t="b">
        <v>0</v>
      </c>
      <c r="F3299" t="s">
        <v>11610</v>
      </c>
      <c r="L3299">
        <v>0</v>
      </c>
      <c r="M3299">
        <v>0</v>
      </c>
      <c r="N3299">
        <v>0</v>
      </c>
    </row>
    <row r="3300" spans="1:15">
      <c r="A3300" t="s">
        <v>21126</v>
      </c>
      <c r="B3300" t="s">
        <v>11637</v>
      </c>
      <c r="C3300" t="s">
        <v>21127</v>
      </c>
      <c r="D3300" t="s">
        <v>21128</v>
      </c>
      <c r="E3300" t="b">
        <v>0</v>
      </c>
      <c r="F3300" t="s">
        <v>11624</v>
      </c>
      <c r="G3300">
        <v>37.203000000000003</v>
      </c>
      <c r="H3300">
        <v>28.181999999999999</v>
      </c>
      <c r="I3300" t="s">
        <v>21129</v>
      </c>
      <c r="L3300">
        <v>0</v>
      </c>
      <c r="M3300">
        <v>0</v>
      </c>
      <c r="N3300">
        <v>0</v>
      </c>
      <c r="O3300" t="s">
        <v>16254</v>
      </c>
    </row>
    <row r="3301" spans="1:15">
      <c r="A3301" t="s">
        <v>21130</v>
      </c>
      <c r="B3301" t="s">
        <v>11637</v>
      </c>
      <c r="C3301" t="s">
        <v>2205</v>
      </c>
      <c r="D3301" t="s">
        <v>21131</v>
      </c>
      <c r="E3301" t="b">
        <v>0</v>
      </c>
      <c r="F3301" t="s">
        <v>11624</v>
      </c>
      <c r="G3301">
        <v>5.7229179999999999</v>
      </c>
      <c r="H3301">
        <v>-55.333168000000001</v>
      </c>
      <c r="I3301" t="s">
        <v>21132</v>
      </c>
      <c r="L3301">
        <v>0</v>
      </c>
      <c r="M3301">
        <v>0</v>
      </c>
      <c r="N3301">
        <v>2</v>
      </c>
      <c r="O3301" t="s">
        <v>21133</v>
      </c>
    </row>
    <row r="3302" spans="1:15">
      <c r="A3302" t="s">
        <v>21134</v>
      </c>
      <c r="B3302" t="s">
        <v>367</v>
      </c>
      <c r="C3302" t="s">
        <v>21135</v>
      </c>
      <c r="D3302" t="s">
        <v>21136</v>
      </c>
      <c r="E3302" t="b">
        <v>0</v>
      </c>
      <c r="F3302" t="s">
        <v>11624</v>
      </c>
      <c r="G3302">
        <v>5.6269499999999999</v>
      </c>
      <c r="H3302">
        <v>-54.630499999999998</v>
      </c>
      <c r="I3302" t="s">
        <v>21137</v>
      </c>
      <c r="L3302">
        <v>0</v>
      </c>
      <c r="M3302">
        <v>0</v>
      </c>
      <c r="N3302">
        <v>0</v>
      </c>
      <c r="O3302" t="s">
        <v>21138</v>
      </c>
    </row>
    <row r="3303" spans="1:15">
      <c r="A3303" t="s">
        <v>21139</v>
      </c>
      <c r="B3303" t="s">
        <v>13014</v>
      </c>
      <c r="C3303" t="s">
        <v>278</v>
      </c>
      <c r="D3303" t="s">
        <v>21140</v>
      </c>
      <c r="E3303" t="b">
        <v>0</v>
      </c>
      <c r="F3303" t="s">
        <v>11610</v>
      </c>
      <c r="L3303">
        <v>0</v>
      </c>
      <c r="M3303">
        <v>0</v>
      </c>
      <c r="N3303">
        <v>0</v>
      </c>
    </row>
    <row r="3304" spans="1:15">
      <c r="A3304" t="s">
        <v>21141</v>
      </c>
      <c r="B3304" t="s">
        <v>8310</v>
      </c>
      <c r="C3304" t="s">
        <v>21142</v>
      </c>
      <c r="D3304" t="s">
        <v>21143</v>
      </c>
      <c r="E3304" t="b">
        <v>0</v>
      </c>
      <c r="F3304" t="s">
        <v>11624</v>
      </c>
      <c r="G3304">
        <v>1.2189399999999999</v>
      </c>
      <c r="H3304">
        <v>-72.066400000000002</v>
      </c>
      <c r="I3304" t="s">
        <v>21144</v>
      </c>
      <c r="L3304">
        <v>0</v>
      </c>
      <c r="M3304">
        <v>0</v>
      </c>
      <c r="N3304">
        <v>0</v>
      </c>
      <c r="O3304" t="s">
        <v>11898</v>
      </c>
    </row>
    <row r="3305" spans="1:15">
      <c r="A3305" t="s">
        <v>21145</v>
      </c>
      <c r="B3305" t="s">
        <v>11894</v>
      </c>
      <c r="C3305" t="s">
        <v>15965</v>
      </c>
      <c r="D3305" t="s">
        <v>21146</v>
      </c>
      <c r="E3305" t="b">
        <v>0</v>
      </c>
      <c r="F3305" t="s">
        <v>11624</v>
      </c>
      <c r="G3305">
        <v>-0.257079</v>
      </c>
      <c r="H3305">
        <v>-65.108643000000001</v>
      </c>
      <c r="L3305">
        <v>0</v>
      </c>
      <c r="M3305">
        <v>0</v>
      </c>
      <c r="N3305">
        <v>0</v>
      </c>
      <c r="O3305" t="s">
        <v>11969</v>
      </c>
    </row>
    <row r="3306" spans="1:15">
      <c r="A3306" t="s">
        <v>14391</v>
      </c>
      <c r="B3306" t="s">
        <v>11894</v>
      </c>
      <c r="C3306" t="s">
        <v>13166</v>
      </c>
      <c r="D3306" t="s">
        <v>21147</v>
      </c>
      <c r="E3306" t="b">
        <v>0</v>
      </c>
      <c r="F3306" t="s">
        <v>11622</v>
      </c>
      <c r="L3306">
        <v>2</v>
      </c>
      <c r="M3306">
        <v>6</v>
      </c>
      <c r="N3306">
        <v>5</v>
      </c>
    </row>
    <row r="3307" spans="1:15">
      <c r="A3307" t="s">
        <v>8310</v>
      </c>
      <c r="D3307" t="s">
        <v>21148</v>
      </c>
      <c r="E3307" t="b">
        <v>0</v>
      </c>
      <c r="F3307" t="s">
        <v>11622</v>
      </c>
      <c r="L3307">
        <v>22</v>
      </c>
      <c r="M3307">
        <v>42</v>
      </c>
      <c r="N3307">
        <v>31</v>
      </c>
    </row>
    <row r="3308" spans="1:15">
      <c r="A3308" t="s">
        <v>1379</v>
      </c>
      <c r="B3308" t="s">
        <v>11637</v>
      </c>
      <c r="C3308" t="s">
        <v>21149</v>
      </c>
      <c r="D3308" t="s">
        <v>21150</v>
      </c>
      <c r="E3308" t="b">
        <v>0</v>
      </c>
      <c r="F3308" t="s">
        <v>11622</v>
      </c>
      <c r="L3308">
        <v>12</v>
      </c>
      <c r="M3308">
        <v>17</v>
      </c>
      <c r="N3308">
        <v>1</v>
      </c>
    </row>
    <row r="3309" spans="1:15">
      <c r="A3309" t="s">
        <v>21151</v>
      </c>
      <c r="B3309" t="s">
        <v>12241</v>
      </c>
      <c r="C3309" t="s">
        <v>12241</v>
      </c>
      <c r="D3309" t="s">
        <v>21152</v>
      </c>
      <c r="E3309" t="b">
        <v>0</v>
      </c>
      <c r="F3309" t="s">
        <v>11622</v>
      </c>
      <c r="L3309">
        <v>0</v>
      </c>
      <c r="M3309">
        <v>1</v>
      </c>
      <c r="N3309">
        <v>0</v>
      </c>
    </row>
    <row r="3310" spans="1:15">
      <c r="A3310" t="s">
        <v>21153</v>
      </c>
      <c r="B3310" t="s">
        <v>11637</v>
      </c>
      <c r="C3310" t="s">
        <v>21154</v>
      </c>
      <c r="D3310" t="s">
        <v>21155</v>
      </c>
      <c r="E3310" t="b">
        <v>0</v>
      </c>
      <c r="F3310" t="s">
        <v>11610</v>
      </c>
      <c r="L3310">
        <v>0</v>
      </c>
      <c r="M3310">
        <v>0</v>
      </c>
      <c r="N3310">
        <v>0</v>
      </c>
    </row>
    <row r="3311" spans="1:15">
      <c r="A3311" t="s">
        <v>21156</v>
      </c>
      <c r="B3311" t="s">
        <v>12438</v>
      </c>
      <c r="C3311" t="s">
        <v>21157</v>
      </c>
      <c r="D3311" t="s">
        <v>21158</v>
      </c>
      <c r="E3311" t="b">
        <v>0</v>
      </c>
      <c r="F3311" t="s">
        <v>11624</v>
      </c>
      <c r="G3311">
        <v>9.1885300000000001</v>
      </c>
      <c r="H3311">
        <v>92.767099999999999</v>
      </c>
      <c r="I3311" t="s">
        <v>21159</v>
      </c>
      <c r="L3311">
        <v>0</v>
      </c>
      <c r="M3311">
        <v>0</v>
      </c>
      <c r="N3311">
        <v>0</v>
      </c>
      <c r="O3311" t="s">
        <v>11630</v>
      </c>
    </row>
    <row r="3312" spans="1:15">
      <c r="A3312" t="s">
        <v>21160</v>
      </c>
      <c r="B3312" t="s">
        <v>367</v>
      </c>
      <c r="C3312" t="s">
        <v>21161</v>
      </c>
      <c r="D3312" t="s">
        <v>21162</v>
      </c>
      <c r="E3312" t="b">
        <v>0</v>
      </c>
      <c r="F3312" t="s">
        <v>11624</v>
      </c>
      <c r="G3312">
        <v>15.205</v>
      </c>
      <c r="H3312">
        <v>145.76499999999999</v>
      </c>
      <c r="I3312" t="s">
        <v>21163</v>
      </c>
      <c r="L3312">
        <v>0</v>
      </c>
      <c r="M3312">
        <v>0</v>
      </c>
      <c r="N3312">
        <v>0</v>
      </c>
      <c r="O3312" t="s">
        <v>21164</v>
      </c>
    </row>
    <row r="3313" spans="1:15">
      <c r="A3313" t="s">
        <v>21165</v>
      </c>
      <c r="B3313" t="s">
        <v>12979</v>
      </c>
      <c r="C3313" t="s">
        <v>21166</v>
      </c>
      <c r="D3313" t="s">
        <v>21167</v>
      </c>
      <c r="E3313" t="b">
        <v>0</v>
      </c>
      <c r="F3313" t="s">
        <v>11624</v>
      </c>
      <c r="G3313">
        <v>35.978999999999999</v>
      </c>
      <c r="H3313">
        <v>-77.290999999999997</v>
      </c>
      <c r="I3313" t="s">
        <v>21168</v>
      </c>
      <c r="L3313">
        <v>0</v>
      </c>
      <c r="M3313">
        <v>0</v>
      </c>
      <c r="N3313">
        <v>0</v>
      </c>
      <c r="O3313" t="s">
        <v>11944</v>
      </c>
    </row>
    <row r="3314" spans="1:15">
      <c r="A3314" t="s">
        <v>21169</v>
      </c>
      <c r="B3314" t="s">
        <v>11637</v>
      </c>
      <c r="C3314" t="s">
        <v>16311</v>
      </c>
      <c r="D3314" t="s">
        <v>21170</v>
      </c>
      <c r="E3314" t="b">
        <v>0</v>
      </c>
      <c r="F3314" t="s">
        <v>11624</v>
      </c>
      <c r="G3314">
        <v>48.196800000000003</v>
      </c>
      <c r="H3314">
        <v>20.312899999999999</v>
      </c>
      <c r="I3314" t="s">
        <v>21171</v>
      </c>
      <c r="L3314">
        <v>0</v>
      </c>
      <c r="M3314">
        <v>0</v>
      </c>
      <c r="N3314">
        <v>13</v>
      </c>
      <c r="O3314" t="s">
        <v>21172</v>
      </c>
    </row>
    <row r="3315" spans="1:15">
      <c r="A3315" t="s">
        <v>21173</v>
      </c>
      <c r="B3315" t="s">
        <v>12460</v>
      </c>
      <c r="C3315" t="s">
        <v>12461</v>
      </c>
      <c r="D3315" t="s">
        <v>1074</v>
      </c>
      <c r="E3315" t="b">
        <v>0</v>
      </c>
      <c r="F3315" t="s">
        <v>11622</v>
      </c>
      <c r="L3315">
        <v>0</v>
      </c>
      <c r="M3315">
        <v>2</v>
      </c>
      <c r="N3315">
        <v>0</v>
      </c>
    </row>
    <row r="3316" spans="1:15">
      <c r="A3316" t="s">
        <v>1075</v>
      </c>
      <c r="B3316" t="s">
        <v>12460</v>
      </c>
      <c r="C3316" t="s">
        <v>21173</v>
      </c>
      <c r="D3316" t="s">
        <v>21174</v>
      </c>
      <c r="E3316" t="b">
        <v>0</v>
      </c>
      <c r="F3316" t="s">
        <v>11624</v>
      </c>
      <c r="G3316">
        <v>54.376800000000003</v>
      </c>
      <c r="H3316">
        <v>-124.328</v>
      </c>
      <c r="I3316" t="s">
        <v>1076</v>
      </c>
      <c r="L3316">
        <v>0</v>
      </c>
      <c r="M3316">
        <v>0</v>
      </c>
      <c r="N3316">
        <v>0</v>
      </c>
      <c r="O3316" t="s">
        <v>13049</v>
      </c>
    </row>
    <row r="3317" spans="1:15">
      <c r="A3317" t="s">
        <v>21175</v>
      </c>
      <c r="B3317" t="s">
        <v>11627</v>
      </c>
      <c r="C3317" t="s">
        <v>11627</v>
      </c>
      <c r="D3317" t="s">
        <v>21176</v>
      </c>
      <c r="E3317" t="b">
        <v>1</v>
      </c>
      <c r="F3317" t="s">
        <v>11624</v>
      </c>
      <c r="I3317" t="s">
        <v>21177</v>
      </c>
      <c r="L3317">
        <v>0</v>
      </c>
      <c r="M3317">
        <v>0</v>
      </c>
      <c r="N3317">
        <v>0</v>
      </c>
    </row>
    <row r="3318" spans="1:15">
      <c r="A3318" t="s">
        <v>20823</v>
      </c>
      <c r="B3318" t="s">
        <v>13244</v>
      </c>
      <c r="C3318" t="s">
        <v>21178</v>
      </c>
      <c r="D3318" t="s">
        <v>21179</v>
      </c>
      <c r="E3318" t="b">
        <v>0</v>
      </c>
      <c r="F3318" t="s">
        <v>11624</v>
      </c>
      <c r="G3318">
        <v>-8.7023200000000003</v>
      </c>
      <c r="H3318">
        <v>-75.420599999999993</v>
      </c>
      <c r="I3318" t="s">
        <v>21180</v>
      </c>
      <c r="L3318">
        <v>0</v>
      </c>
      <c r="M3318">
        <v>0</v>
      </c>
      <c r="N3318">
        <v>3</v>
      </c>
      <c r="O3318" t="s">
        <v>11778</v>
      </c>
    </row>
    <row r="3319" spans="1:15">
      <c r="A3319" t="s">
        <v>21181</v>
      </c>
      <c r="B3319" t="s">
        <v>13244</v>
      </c>
      <c r="C3319" t="s">
        <v>20823</v>
      </c>
      <c r="D3319" t="s">
        <v>21182</v>
      </c>
      <c r="E3319" t="b">
        <v>0</v>
      </c>
      <c r="F3319" t="s">
        <v>11610</v>
      </c>
      <c r="L3319">
        <v>0</v>
      </c>
      <c r="M3319">
        <v>0</v>
      </c>
      <c r="N3319">
        <v>0</v>
      </c>
    </row>
    <row r="3320" spans="1:15">
      <c r="A3320" t="s">
        <v>21183</v>
      </c>
      <c r="B3320" t="s">
        <v>13244</v>
      </c>
      <c r="C3320" t="s">
        <v>19277</v>
      </c>
      <c r="D3320" t="s">
        <v>21184</v>
      </c>
      <c r="E3320" t="b">
        <v>0</v>
      </c>
      <c r="F3320" t="s">
        <v>11624</v>
      </c>
      <c r="G3320">
        <v>-7.5</v>
      </c>
      <c r="H3320">
        <v>-70.25</v>
      </c>
      <c r="L3320">
        <v>0</v>
      </c>
      <c r="M3320">
        <v>0</v>
      </c>
      <c r="N3320">
        <v>0</v>
      </c>
      <c r="O3320" t="s">
        <v>11969</v>
      </c>
    </row>
    <row r="3321" spans="1:15">
      <c r="A3321" t="s">
        <v>21185</v>
      </c>
      <c r="B3321" t="s">
        <v>13244</v>
      </c>
      <c r="C3321" t="s">
        <v>13245</v>
      </c>
      <c r="D3321" t="s">
        <v>21186</v>
      </c>
      <c r="E3321" t="b">
        <v>0</v>
      </c>
      <c r="F3321" t="s">
        <v>11624</v>
      </c>
      <c r="G3321">
        <v>-9.7202699999999993</v>
      </c>
      <c r="H3321">
        <v>-71.173299999999998</v>
      </c>
      <c r="I3321" t="s">
        <v>21187</v>
      </c>
      <c r="L3321">
        <v>0</v>
      </c>
      <c r="M3321">
        <v>0</v>
      </c>
      <c r="N3321">
        <v>0</v>
      </c>
      <c r="O3321" t="s">
        <v>13248</v>
      </c>
    </row>
    <row r="3322" spans="1:15">
      <c r="A3322" t="s">
        <v>21188</v>
      </c>
      <c r="B3322" t="s">
        <v>367</v>
      </c>
      <c r="C3322" t="s">
        <v>21189</v>
      </c>
      <c r="D3322" t="s">
        <v>21190</v>
      </c>
      <c r="E3322" t="b">
        <v>0</v>
      </c>
      <c r="F3322" t="s">
        <v>11624</v>
      </c>
      <c r="G3322">
        <v>16.217600000000001</v>
      </c>
      <c r="H3322">
        <v>121.878</v>
      </c>
      <c r="I3322" t="s">
        <v>21191</v>
      </c>
      <c r="L3322">
        <v>0</v>
      </c>
      <c r="M3322">
        <v>0</v>
      </c>
      <c r="N3322">
        <v>0</v>
      </c>
      <c r="O3322" t="s">
        <v>11749</v>
      </c>
    </row>
    <row r="3323" spans="1:15">
      <c r="A3323" t="s">
        <v>21192</v>
      </c>
      <c r="B3323" t="s">
        <v>10597</v>
      </c>
      <c r="C3323" t="s">
        <v>17192</v>
      </c>
      <c r="D3323" t="s">
        <v>21193</v>
      </c>
      <c r="E3323" t="b">
        <v>0</v>
      </c>
      <c r="F3323" t="s">
        <v>11610</v>
      </c>
      <c r="L3323">
        <v>0</v>
      </c>
      <c r="M3323">
        <v>0</v>
      </c>
      <c r="N3323">
        <v>0</v>
      </c>
    </row>
    <row r="3324" spans="1:15">
      <c r="A3324" t="s">
        <v>21194</v>
      </c>
      <c r="B3324" t="s">
        <v>11637</v>
      </c>
      <c r="C3324" t="s">
        <v>16331</v>
      </c>
      <c r="D3324" t="s">
        <v>21195</v>
      </c>
      <c r="E3324" t="b">
        <v>0</v>
      </c>
      <c r="F3324" t="s">
        <v>11622</v>
      </c>
      <c r="L3324">
        <v>2</v>
      </c>
      <c r="M3324">
        <v>5</v>
      </c>
      <c r="N3324">
        <v>4</v>
      </c>
    </row>
    <row r="3325" spans="1:15">
      <c r="A3325" t="s">
        <v>21196</v>
      </c>
      <c r="B3325" t="s">
        <v>12204</v>
      </c>
      <c r="C3325" t="s">
        <v>12205</v>
      </c>
      <c r="D3325" t="s">
        <v>21197</v>
      </c>
      <c r="E3325" t="b">
        <v>0</v>
      </c>
      <c r="F3325" t="s">
        <v>11624</v>
      </c>
      <c r="L3325">
        <v>0</v>
      </c>
      <c r="M3325">
        <v>0</v>
      </c>
      <c r="N3325">
        <v>0</v>
      </c>
      <c r="O3325" t="s">
        <v>13225</v>
      </c>
    </row>
    <row r="3326" spans="1:15">
      <c r="A3326" t="s">
        <v>21198</v>
      </c>
      <c r="B3326" t="s">
        <v>11637</v>
      </c>
      <c r="C3326" t="s">
        <v>14900</v>
      </c>
      <c r="D3326" t="s">
        <v>21199</v>
      </c>
      <c r="E3326" t="b">
        <v>0</v>
      </c>
      <c r="F3326" t="s">
        <v>11622</v>
      </c>
      <c r="L3326">
        <v>2</v>
      </c>
      <c r="M3326">
        <v>8</v>
      </c>
      <c r="N3326">
        <v>19</v>
      </c>
    </row>
    <row r="3327" spans="1:15">
      <c r="A3327" t="s">
        <v>21200</v>
      </c>
      <c r="B3327" t="s">
        <v>11637</v>
      </c>
      <c r="C3327" t="s">
        <v>239</v>
      </c>
      <c r="D3327" t="s">
        <v>21201</v>
      </c>
      <c r="E3327" t="b">
        <v>0</v>
      </c>
      <c r="F3327" t="s">
        <v>11610</v>
      </c>
      <c r="L3327">
        <v>0</v>
      </c>
      <c r="M3327">
        <v>0</v>
      </c>
      <c r="N3327">
        <v>0</v>
      </c>
    </row>
    <row r="3328" spans="1:15">
      <c r="A3328" t="s">
        <v>21202</v>
      </c>
      <c r="B3328" t="s">
        <v>11637</v>
      </c>
      <c r="C3328" t="s">
        <v>21203</v>
      </c>
      <c r="D3328" t="s">
        <v>21204</v>
      </c>
      <c r="E3328" t="b">
        <v>0</v>
      </c>
      <c r="F3328" t="s">
        <v>11624</v>
      </c>
      <c r="L3328">
        <v>0</v>
      </c>
      <c r="M3328">
        <v>0</v>
      </c>
      <c r="N3328">
        <v>0</v>
      </c>
      <c r="O3328" t="s">
        <v>13676</v>
      </c>
    </row>
    <row r="3329" spans="1:15">
      <c r="A3329" t="s">
        <v>5649</v>
      </c>
      <c r="B3329" t="s">
        <v>11615</v>
      </c>
      <c r="C3329" t="s">
        <v>5648</v>
      </c>
      <c r="D3329" t="s">
        <v>21205</v>
      </c>
      <c r="E3329" t="b">
        <v>0</v>
      </c>
      <c r="F3329" t="s">
        <v>11624</v>
      </c>
      <c r="G3329">
        <v>-6.4300499999999996</v>
      </c>
      <c r="H3329">
        <v>138.566</v>
      </c>
      <c r="I3329" t="s">
        <v>21206</v>
      </c>
      <c r="L3329">
        <v>0</v>
      </c>
      <c r="M3329">
        <v>0</v>
      </c>
      <c r="N3329">
        <v>2</v>
      </c>
      <c r="O3329" t="s">
        <v>11768</v>
      </c>
    </row>
    <row r="3330" spans="1:15">
      <c r="A3330" t="s">
        <v>21207</v>
      </c>
      <c r="B3330" t="s">
        <v>11981</v>
      </c>
      <c r="C3330" t="s">
        <v>21208</v>
      </c>
      <c r="D3330" t="s">
        <v>21209</v>
      </c>
      <c r="E3330" t="b">
        <v>0</v>
      </c>
      <c r="F3330" t="s">
        <v>11624</v>
      </c>
      <c r="G3330">
        <v>41.634999999999998</v>
      </c>
      <c r="H3330">
        <v>-1.97</v>
      </c>
      <c r="I3330" t="s">
        <v>21210</v>
      </c>
      <c r="L3330">
        <v>0</v>
      </c>
      <c r="M3330">
        <v>0</v>
      </c>
      <c r="N3330">
        <v>0</v>
      </c>
      <c r="O3330" t="s">
        <v>13707</v>
      </c>
    </row>
    <row r="3331" spans="1:15">
      <c r="A3331" t="s">
        <v>21211</v>
      </c>
      <c r="B3331" t="s">
        <v>11637</v>
      </c>
      <c r="C3331" t="s">
        <v>17284</v>
      </c>
      <c r="D3331" t="s">
        <v>21212</v>
      </c>
      <c r="E3331" t="b">
        <v>0</v>
      </c>
      <c r="F3331" t="s">
        <v>11610</v>
      </c>
      <c r="L3331">
        <v>0</v>
      </c>
      <c r="M3331">
        <v>0</v>
      </c>
      <c r="N3331">
        <v>0</v>
      </c>
    </row>
    <row r="3332" spans="1:15">
      <c r="A3332" t="s">
        <v>21213</v>
      </c>
      <c r="B3332" t="s">
        <v>11627</v>
      </c>
      <c r="C3332" t="s">
        <v>11627</v>
      </c>
      <c r="D3332" t="s">
        <v>21214</v>
      </c>
      <c r="E3332" t="b">
        <v>1</v>
      </c>
      <c r="F3332" t="s">
        <v>11624</v>
      </c>
      <c r="G3332">
        <v>7.7718800000000003</v>
      </c>
      <c r="H3332">
        <v>126.373</v>
      </c>
      <c r="I3332" t="s">
        <v>21215</v>
      </c>
      <c r="L3332">
        <v>0</v>
      </c>
      <c r="M3332">
        <v>0</v>
      </c>
      <c r="N3332">
        <v>0</v>
      </c>
      <c r="O3332" t="s">
        <v>11749</v>
      </c>
    </row>
    <row r="3333" spans="1:15">
      <c r="A3333" t="s">
        <v>21216</v>
      </c>
      <c r="B3333" t="s">
        <v>8897</v>
      </c>
      <c r="C3333" t="s">
        <v>8897</v>
      </c>
      <c r="D3333" t="s">
        <v>21217</v>
      </c>
      <c r="E3333" t="b">
        <v>0</v>
      </c>
      <c r="F3333" t="s">
        <v>11622</v>
      </c>
      <c r="L3333">
        <v>0</v>
      </c>
      <c r="M3333">
        <v>2</v>
      </c>
      <c r="N3333">
        <v>0</v>
      </c>
    </row>
    <row r="3334" spans="1:15">
      <c r="A3334" t="s">
        <v>21218</v>
      </c>
      <c r="B3334" t="s">
        <v>8897</v>
      </c>
      <c r="C3334" t="s">
        <v>21216</v>
      </c>
      <c r="D3334" t="s">
        <v>21219</v>
      </c>
      <c r="E3334" t="b">
        <v>0</v>
      </c>
      <c r="F3334" t="s">
        <v>11624</v>
      </c>
      <c r="G3334">
        <v>34.968499999999999</v>
      </c>
      <c r="H3334">
        <v>-80.8857</v>
      </c>
      <c r="I3334" t="s">
        <v>21220</v>
      </c>
      <c r="L3334">
        <v>0</v>
      </c>
      <c r="M3334">
        <v>0</v>
      </c>
      <c r="N3334">
        <v>0</v>
      </c>
      <c r="O3334" t="s">
        <v>11944</v>
      </c>
    </row>
    <row r="3335" spans="1:15">
      <c r="A3335" t="s">
        <v>21208</v>
      </c>
      <c r="B3335" t="s">
        <v>11981</v>
      </c>
      <c r="C3335" t="s">
        <v>13026</v>
      </c>
      <c r="D3335" t="s">
        <v>21221</v>
      </c>
      <c r="E3335" t="b">
        <v>0</v>
      </c>
      <c r="F3335" t="s">
        <v>11622</v>
      </c>
      <c r="L3335">
        <v>0</v>
      </c>
      <c r="M3335">
        <v>2</v>
      </c>
      <c r="N3335">
        <v>0</v>
      </c>
    </row>
    <row r="3336" spans="1:15">
      <c r="A3336" t="s">
        <v>21222</v>
      </c>
      <c r="B3336" t="s">
        <v>141</v>
      </c>
      <c r="C3336" t="s">
        <v>21223</v>
      </c>
      <c r="D3336" t="s">
        <v>21224</v>
      </c>
      <c r="E3336" t="b">
        <v>0</v>
      </c>
      <c r="F3336" t="s">
        <v>11610</v>
      </c>
      <c r="L3336">
        <v>0</v>
      </c>
      <c r="M3336">
        <v>0</v>
      </c>
      <c r="N3336">
        <v>0</v>
      </c>
    </row>
    <row r="3337" spans="1:15">
      <c r="A3337" t="s">
        <v>13040</v>
      </c>
      <c r="B3337" t="s">
        <v>11637</v>
      </c>
      <c r="C3337" t="s">
        <v>21225</v>
      </c>
      <c r="D3337" t="s">
        <v>21226</v>
      </c>
      <c r="E3337" t="b">
        <v>0</v>
      </c>
      <c r="F3337" t="s">
        <v>11610</v>
      </c>
      <c r="L3337">
        <v>0</v>
      </c>
      <c r="M3337">
        <v>0</v>
      </c>
      <c r="N3337">
        <v>12</v>
      </c>
    </row>
    <row r="3338" spans="1:15">
      <c r="A3338" t="s">
        <v>21227</v>
      </c>
      <c r="B3338" t="s">
        <v>11637</v>
      </c>
      <c r="C3338" t="s">
        <v>21225</v>
      </c>
      <c r="D3338" t="s">
        <v>21228</v>
      </c>
      <c r="E3338" t="b">
        <v>0</v>
      </c>
      <c r="F3338" t="s">
        <v>11610</v>
      </c>
      <c r="L3338">
        <v>0</v>
      </c>
      <c r="M3338">
        <v>0</v>
      </c>
      <c r="N3338">
        <v>8</v>
      </c>
    </row>
    <row r="3339" spans="1:15">
      <c r="A3339" t="s">
        <v>21229</v>
      </c>
      <c r="B3339" t="s">
        <v>11637</v>
      </c>
      <c r="C3339" t="s">
        <v>21227</v>
      </c>
      <c r="D3339" t="s">
        <v>21230</v>
      </c>
      <c r="E3339" t="b">
        <v>0</v>
      </c>
      <c r="F3339" t="s">
        <v>11610</v>
      </c>
      <c r="L3339">
        <v>0</v>
      </c>
      <c r="M3339">
        <v>0</v>
      </c>
      <c r="N3339">
        <v>3</v>
      </c>
    </row>
    <row r="3340" spans="1:15">
      <c r="A3340" t="s">
        <v>21231</v>
      </c>
      <c r="B3340" t="s">
        <v>11637</v>
      </c>
      <c r="C3340" t="s">
        <v>17015</v>
      </c>
      <c r="D3340" t="s">
        <v>21232</v>
      </c>
      <c r="E3340" t="b">
        <v>0</v>
      </c>
      <c r="F3340" t="s">
        <v>11610</v>
      </c>
      <c r="L3340">
        <v>0</v>
      </c>
      <c r="M3340">
        <v>0</v>
      </c>
      <c r="N3340">
        <v>0</v>
      </c>
    </row>
    <row r="3341" spans="1:15">
      <c r="A3341" t="s">
        <v>21233</v>
      </c>
      <c r="B3341" t="s">
        <v>13360</v>
      </c>
      <c r="C3341" t="s">
        <v>13360</v>
      </c>
      <c r="D3341" t="s">
        <v>21234</v>
      </c>
      <c r="E3341" t="b">
        <v>0</v>
      </c>
      <c r="F3341" t="s">
        <v>11624</v>
      </c>
      <c r="G3341">
        <v>-0.83471870999999997</v>
      </c>
      <c r="H3341">
        <v>-70.867212600000002</v>
      </c>
      <c r="L3341">
        <v>0</v>
      </c>
      <c r="M3341">
        <v>0</v>
      </c>
      <c r="N3341">
        <v>0</v>
      </c>
      <c r="O3341" t="s">
        <v>11969</v>
      </c>
    </row>
    <row r="3342" spans="1:15">
      <c r="A3342" t="s">
        <v>21235</v>
      </c>
      <c r="B3342" t="s">
        <v>11627</v>
      </c>
      <c r="C3342" t="s">
        <v>11627</v>
      </c>
      <c r="D3342" t="s">
        <v>21236</v>
      </c>
      <c r="E3342" t="b">
        <v>1</v>
      </c>
      <c r="F3342" t="s">
        <v>11624</v>
      </c>
      <c r="G3342">
        <v>1.2669999999999999</v>
      </c>
      <c r="H3342">
        <v>-69.91</v>
      </c>
      <c r="I3342" t="s">
        <v>21237</v>
      </c>
      <c r="L3342">
        <v>0</v>
      </c>
      <c r="M3342">
        <v>0</v>
      </c>
      <c r="N3342">
        <v>0</v>
      </c>
      <c r="O3342" t="s">
        <v>11898</v>
      </c>
    </row>
    <row r="3343" spans="1:15">
      <c r="A3343" t="s">
        <v>21238</v>
      </c>
      <c r="B3343" t="s">
        <v>11637</v>
      </c>
      <c r="C3343" t="s">
        <v>21239</v>
      </c>
      <c r="D3343" t="s">
        <v>21240</v>
      </c>
      <c r="E3343" t="b">
        <v>0</v>
      </c>
      <c r="F3343" t="s">
        <v>11622</v>
      </c>
      <c r="L3343">
        <v>0</v>
      </c>
      <c r="M3343">
        <v>2</v>
      </c>
      <c r="N3343">
        <v>13</v>
      </c>
    </row>
    <row r="3344" spans="1:15">
      <c r="A3344" t="s">
        <v>21241</v>
      </c>
      <c r="B3344" t="s">
        <v>11644</v>
      </c>
      <c r="C3344" t="s">
        <v>16830</v>
      </c>
      <c r="D3344" t="s">
        <v>21242</v>
      </c>
      <c r="E3344" t="b">
        <v>0</v>
      </c>
      <c r="F3344" t="s">
        <v>11624</v>
      </c>
      <c r="L3344">
        <v>0</v>
      </c>
      <c r="M3344">
        <v>0</v>
      </c>
      <c r="N3344">
        <v>0</v>
      </c>
      <c r="O3344" t="s">
        <v>12921</v>
      </c>
    </row>
    <row r="3345" spans="1:15">
      <c r="A3345" t="s">
        <v>21243</v>
      </c>
      <c r="B3345" t="s">
        <v>6742</v>
      </c>
      <c r="C3345" t="s">
        <v>12862</v>
      </c>
      <c r="D3345" t="s">
        <v>21244</v>
      </c>
      <c r="E3345" t="b">
        <v>0</v>
      </c>
      <c r="F3345" t="s">
        <v>11610</v>
      </c>
      <c r="L3345">
        <v>0</v>
      </c>
      <c r="M3345">
        <v>0</v>
      </c>
      <c r="N3345">
        <v>0</v>
      </c>
    </row>
    <row r="3346" spans="1:15">
      <c r="A3346" t="s">
        <v>21245</v>
      </c>
      <c r="B3346" t="s">
        <v>393</v>
      </c>
      <c r="C3346" t="s">
        <v>21246</v>
      </c>
      <c r="D3346" t="s">
        <v>21247</v>
      </c>
      <c r="E3346" t="b">
        <v>0</v>
      </c>
      <c r="F3346" t="s">
        <v>11624</v>
      </c>
      <c r="G3346">
        <v>-12.71823</v>
      </c>
      <c r="H3346">
        <v>-75.913623000000001</v>
      </c>
      <c r="L3346">
        <v>0</v>
      </c>
      <c r="M3346">
        <v>0</v>
      </c>
      <c r="N3346">
        <v>0</v>
      </c>
    </row>
    <row r="3347" spans="1:15">
      <c r="A3347" t="s">
        <v>21248</v>
      </c>
      <c r="B3347" t="s">
        <v>13210</v>
      </c>
      <c r="C3347" t="s">
        <v>2047</v>
      </c>
      <c r="D3347" t="s">
        <v>21249</v>
      </c>
      <c r="E3347" t="b">
        <v>0</v>
      </c>
      <c r="F3347" t="s">
        <v>11610</v>
      </c>
      <c r="L3347">
        <v>0</v>
      </c>
      <c r="M3347">
        <v>0</v>
      </c>
      <c r="N3347">
        <v>0</v>
      </c>
    </row>
    <row r="3348" spans="1:15">
      <c r="A3348" t="s">
        <v>21250</v>
      </c>
      <c r="B3348" t="s">
        <v>13244</v>
      </c>
      <c r="C3348" t="s">
        <v>21251</v>
      </c>
      <c r="D3348" t="s">
        <v>21252</v>
      </c>
      <c r="E3348" t="b">
        <v>0</v>
      </c>
      <c r="F3348" t="s">
        <v>11624</v>
      </c>
      <c r="G3348">
        <v>-13.3544</v>
      </c>
      <c r="H3348">
        <v>-66.627700000000004</v>
      </c>
      <c r="I3348" t="s">
        <v>21253</v>
      </c>
      <c r="L3348">
        <v>0</v>
      </c>
      <c r="M3348">
        <v>0</v>
      </c>
      <c r="N3348">
        <v>0</v>
      </c>
      <c r="O3348" t="s">
        <v>14185</v>
      </c>
    </row>
    <row r="3349" spans="1:15">
      <c r="A3349" t="s">
        <v>21254</v>
      </c>
      <c r="B3349" t="s">
        <v>11637</v>
      </c>
      <c r="C3349" t="s">
        <v>21255</v>
      </c>
      <c r="D3349" t="s">
        <v>21256</v>
      </c>
      <c r="E3349" t="b">
        <v>0</v>
      </c>
      <c r="F3349" t="s">
        <v>11610</v>
      </c>
      <c r="L3349">
        <v>0</v>
      </c>
      <c r="M3349">
        <v>0</v>
      </c>
      <c r="N3349">
        <v>0</v>
      </c>
    </row>
    <row r="3350" spans="1:15">
      <c r="A3350" t="s">
        <v>21257</v>
      </c>
      <c r="B3350" t="s">
        <v>331</v>
      </c>
      <c r="C3350" t="s">
        <v>332</v>
      </c>
      <c r="D3350" t="s">
        <v>21258</v>
      </c>
      <c r="E3350" t="b">
        <v>0</v>
      </c>
      <c r="F3350" t="s">
        <v>11610</v>
      </c>
      <c r="L3350">
        <v>0</v>
      </c>
      <c r="M3350">
        <v>0</v>
      </c>
      <c r="N3350">
        <v>0</v>
      </c>
    </row>
    <row r="3351" spans="1:15">
      <c r="A3351" t="s">
        <v>540</v>
      </c>
      <c r="B3351" t="s">
        <v>15304</v>
      </c>
      <c r="C3351" t="s">
        <v>15304</v>
      </c>
      <c r="D3351" t="s">
        <v>21259</v>
      </c>
      <c r="E3351" t="b">
        <v>0</v>
      </c>
      <c r="F3351" t="s">
        <v>11622</v>
      </c>
      <c r="L3351">
        <v>0</v>
      </c>
      <c r="M3351">
        <v>2</v>
      </c>
      <c r="N3351">
        <v>0</v>
      </c>
    </row>
    <row r="3352" spans="1:15">
      <c r="A3352" t="s">
        <v>21260</v>
      </c>
      <c r="B3352" t="s">
        <v>141</v>
      </c>
      <c r="C3352" t="s">
        <v>8706</v>
      </c>
      <c r="D3352" t="s">
        <v>21261</v>
      </c>
      <c r="E3352" t="b">
        <v>0</v>
      </c>
      <c r="F3352" t="s">
        <v>11610</v>
      </c>
      <c r="L3352">
        <v>0</v>
      </c>
      <c r="M3352">
        <v>0</v>
      </c>
      <c r="N3352">
        <v>0</v>
      </c>
    </row>
    <row r="3353" spans="1:15">
      <c r="A3353" t="s">
        <v>21262</v>
      </c>
      <c r="B3353" t="s">
        <v>6742</v>
      </c>
      <c r="C3353" t="s">
        <v>4927</v>
      </c>
      <c r="D3353" t="s">
        <v>21263</v>
      </c>
      <c r="E3353" t="b">
        <v>0</v>
      </c>
      <c r="F3353" t="s">
        <v>11610</v>
      </c>
      <c r="L3353">
        <v>0</v>
      </c>
      <c r="M3353">
        <v>0</v>
      </c>
      <c r="N3353">
        <v>0</v>
      </c>
    </row>
    <row r="3354" spans="1:15">
      <c r="A3354" t="s">
        <v>21264</v>
      </c>
      <c r="D3354" t="s">
        <v>21265</v>
      </c>
      <c r="E3354" t="b">
        <v>0</v>
      </c>
      <c r="F3354" t="s">
        <v>11624</v>
      </c>
      <c r="G3354">
        <v>46.113599999999998</v>
      </c>
      <c r="H3354">
        <v>-117.94</v>
      </c>
      <c r="I3354" t="s">
        <v>21266</v>
      </c>
      <c r="L3354">
        <v>0</v>
      </c>
      <c r="M3354">
        <v>0</v>
      </c>
      <c r="N3354">
        <v>0</v>
      </c>
      <c r="O3354" t="s">
        <v>11944</v>
      </c>
    </row>
    <row r="3355" spans="1:15">
      <c r="A3355" t="s">
        <v>8526</v>
      </c>
      <c r="B3355" t="s">
        <v>300</v>
      </c>
      <c r="C3355" t="s">
        <v>21267</v>
      </c>
      <c r="D3355" t="s">
        <v>21268</v>
      </c>
      <c r="E3355" t="b">
        <v>0</v>
      </c>
      <c r="F3355" t="s">
        <v>11624</v>
      </c>
      <c r="G3355">
        <v>42.41</v>
      </c>
      <c r="H3355">
        <v>-76.596900000000005</v>
      </c>
      <c r="I3355" t="s">
        <v>8527</v>
      </c>
      <c r="L3355">
        <v>0</v>
      </c>
      <c r="M3355">
        <v>0</v>
      </c>
      <c r="N3355">
        <v>0</v>
      </c>
      <c r="O3355" t="s">
        <v>14875</v>
      </c>
    </row>
    <row r="3356" spans="1:15">
      <c r="A3356" t="s">
        <v>21269</v>
      </c>
      <c r="D3356" t="s">
        <v>21270</v>
      </c>
      <c r="E3356" t="b">
        <v>0</v>
      </c>
      <c r="F3356" t="s">
        <v>11624</v>
      </c>
      <c r="G3356">
        <v>-13.248200000000001</v>
      </c>
      <c r="H3356">
        <v>-65.482200000000006</v>
      </c>
      <c r="I3356" t="s">
        <v>21271</v>
      </c>
      <c r="L3356">
        <v>0</v>
      </c>
      <c r="M3356">
        <v>0</v>
      </c>
      <c r="N3356">
        <v>0</v>
      </c>
      <c r="O3356" t="s">
        <v>14185</v>
      </c>
    </row>
    <row r="3357" spans="1:15">
      <c r="A3357" t="s">
        <v>21272</v>
      </c>
      <c r="B3357" t="s">
        <v>6742</v>
      </c>
      <c r="C3357" t="s">
        <v>21273</v>
      </c>
      <c r="D3357" t="s">
        <v>21274</v>
      </c>
      <c r="E3357" t="b">
        <v>0</v>
      </c>
      <c r="F3357" t="s">
        <v>11624</v>
      </c>
      <c r="G3357">
        <v>9.5076800000000006</v>
      </c>
      <c r="H3357">
        <v>-6.1526399999999999</v>
      </c>
      <c r="I3357" t="s">
        <v>21275</v>
      </c>
      <c r="L3357">
        <v>0</v>
      </c>
      <c r="M3357">
        <v>0</v>
      </c>
      <c r="N3357">
        <v>16</v>
      </c>
      <c r="O3357" t="s">
        <v>21276</v>
      </c>
    </row>
    <row r="3358" spans="1:15">
      <c r="A3358" t="s">
        <v>19130</v>
      </c>
      <c r="B3358" t="s">
        <v>367</v>
      </c>
      <c r="C3358" t="s">
        <v>16804</v>
      </c>
      <c r="D3358" t="s">
        <v>21277</v>
      </c>
      <c r="E3358" t="b">
        <v>0</v>
      </c>
      <c r="F3358" t="s">
        <v>11624</v>
      </c>
      <c r="G3358">
        <v>8.3879900000000003</v>
      </c>
      <c r="H3358">
        <v>124.367</v>
      </c>
      <c r="I3358" t="s">
        <v>21278</v>
      </c>
      <c r="L3358">
        <v>0</v>
      </c>
      <c r="M3358">
        <v>0</v>
      </c>
      <c r="N3358">
        <v>4</v>
      </c>
      <c r="O3358" t="s">
        <v>11749</v>
      </c>
    </row>
    <row r="3359" spans="1:15">
      <c r="A3359" t="s">
        <v>21279</v>
      </c>
      <c r="B3359" t="s">
        <v>367</v>
      </c>
      <c r="C3359" t="s">
        <v>19130</v>
      </c>
      <c r="D3359" t="s">
        <v>21280</v>
      </c>
      <c r="E3359" t="b">
        <v>0</v>
      </c>
      <c r="F3359" t="s">
        <v>11610</v>
      </c>
      <c r="L3359">
        <v>0</v>
      </c>
      <c r="M3359">
        <v>0</v>
      </c>
      <c r="N3359">
        <v>0</v>
      </c>
    </row>
    <row r="3360" spans="1:15">
      <c r="A3360" t="s">
        <v>21281</v>
      </c>
      <c r="B3360" t="s">
        <v>6742</v>
      </c>
      <c r="C3360" t="s">
        <v>18876</v>
      </c>
      <c r="D3360" t="s">
        <v>21282</v>
      </c>
      <c r="E3360" t="b">
        <v>0</v>
      </c>
      <c r="F3360" t="s">
        <v>11610</v>
      </c>
      <c r="L3360">
        <v>0</v>
      </c>
      <c r="M3360">
        <v>0</v>
      </c>
      <c r="N3360">
        <v>0</v>
      </c>
    </row>
    <row r="3361" spans="1:15">
      <c r="A3361" t="s">
        <v>21283</v>
      </c>
      <c r="B3361" t="s">
        <v>6742</v>
      </c>
      <c r="C3361" t="s">
        <v>1906</v>
      </c>
      <c r="D3361" t="s">
        <v>21284</v>
      </c>
      <c r="E3361" t="b">
        <v>0</v>
      </c>
      <c r="F3361" t="s">
        <v>11610</v>
      </c>
      <c r="L3361">
        <v>0</v>
      </c>
      <c r="M3361">
        <v>0</v>
      </c>
      <c r="N3361">
        <v>0</v>
      </c>
    </row>
    <row r="3362" spans="1:15">
      <c r="A3362" t="s">
        <v>21285</v>
      </c>
      <c r="B3362" t="s">
        <v>367</v>
      </c>
      <c r="C3362" t="s">
        <v>4363</v>
      </c>
      <c r="D3362" t="s">
        <v>21286</v>
      </c>
      <c r="E3362" t="b">
        <v>0</v>
      </c>
      <c r="F3362" t="s">
        <v>11622</v>
      </c>
      <c r="L3362">
        <v>38</v>
      </c>
      <c r="M3362">
        <v>64</v>
      </c>
      <c r="N3362">
        <v>106</v>
      </c>
    </row>
    <row r="3363" spans="1:15">
      <c r="A3363" t="s">
        <v>21287</v>
      </c>
      <c r="B3363" t="s">
        <v>11637</v>
      </c>
      <c r="C3363" t="s">
        <v>21288</v>
      </c>
      <c r="D3363" t="s">
        <v>21289</v>
      </c>
      <c r="E3363" t="b">
        <v>0</v>
      </c>
      <c r="F3363" t="s">
        <v>11610</v>
      </c>
      <c r="L3363">
        <v>0</v>
      </c>
      <c r="M3363">
        <v>0</v>
      </c>
      <c r="N3363">
        <v>0</v>
      </c>
    </row>
    <row r="3364" spans="1:15">
      <c r="A3364" t="s">
        <v>21290</v>
      </c>
      <c r="B3364" t="s">
        <v>11637</v>
      </c>
      <c r="C3364" t="s">
        <v>21291</v>
      </c>
      <c r="D3364" t="s">
        <v>21292</v>
      </c>
      <c r="E3364" t="b">
        <v>0</v>
      </c>
      <c r="F3364" t="s">
        <v>11624</v>
      </c>
      <c r="I3364" t="s">
        <v>21293</v>
      </c>
      <c r="L3364">
        <v>0</v>
      </c>
      <c r="M3364">
        <v>0</v>
      </c>
      <c r="N3364">
        <v>0</v>
      </c>
      <c r="O3364" t="s">
        <v>13707</v>
      </c>
    </row>
    <row r="3365" spans="1:15">
      <c r="A3365" t="s">
        <v>21291</v>
      </c>
      <c r="B3365" t="s">
        <v>11637</v>
      </c>
      <c r="C3365" t="s">
        <v>11637</v>
      </c>
      <c r="D3365" t="s">
        <v>21294</v>
      </c>
      <c r="E3365" t="b">
        <v>0</v>
      </c>
      <c r="F3365" t="s">
        <v>11622</v>
      </c>
      <c r="L3365">
        <v>11</v>
      </c>
      <c r="M3365">
        <v>14</v>
      </c>
      <c r="N3365">
        <v>24</v>
      </c>
    </row>
    <row r="3366" spans="1:15">
      <c r="A3366" t="s">
        <v>21295</v>
      </c>
      <c r="B3366" t="s">
        <v>367</v>
      </c>
      <c r="C3366" t="s">
        <v>21296</v>
      </c>
      <c r="D3366" t="s">
        <v>21297</v>
      </c>
      <c r="E3366" t="b">
        <v>0</v>
      </c>
      <c r="F3366" t="s">
        <v>11622</v>
      </c>
      <c r="L3366">
        <v>0</v>
      </c>
      <c r="M3366">
        <v>2</v>
      </c>
      <c r="N3366">
        <v>0</v>
      </c>
    </row>
    <row r="3367" spans="1:15">
      <c r="A3367" t="s">
        <v>21298</v>
      </c>
      <c r="B3367" t="s">
        <v>367</v>
      </c>
      <c r="C3367" t="s">
        <v>21295</v>
      </c>
      <c r="D3367" t="s">
        <v>21299</v>
      </c>
      <c r="E3367" t="b">
        <v>0</v>
      </c>
      <c r="F3367" t="s">
        <v>11624</v>
      </c>
      <c r="G3367">
        <v>-20.8489</v>
      </c>
      <c r="H3367">
        <v>165.13</v>
      </c>
      <c r="I3367" t="s">
        <v>21300</v>
      </c>
      <c r="L3367">
        <v>0</v>
      </c>
      <c r="M3367">
        <v>0</v>
      </c>
      <c r="N3367">
        <v>0</v>
      </c>
      <c r="O3367" t="s">
        <v>12624</v>
      </c>
    </row>
    <row r="3368" spans="1:15">
      <c r="A3368" t="s">
        <v>18371</v>
      </c>
      <c r="B3368" t="s">
        <v>367</v>
      </c>
      <c r="C3368" t="s">
        <v>19355</v>
      </c>
      <c r="D3368" t="s">
        <v>21301</v>
      </c>
      <c r="E3368" t="b">
        <v>0</v>
      </c>
      <c r="F3368" t="s">
        <v>11622</v>
      </c>
      <c r="L3368">
        <v>10</v>
      </c>
      <c r="M3368">
        <v>19</v>
      </c>
      <c r="N3368">
        <v>41</v>
      </c>
    </row>
    <row r="3369" spans="1:15">
      <c r="A3369" t="s">
        <v>21302</v>
      </c>
      <c r="B3369" t="s">
        <v>11729</v>
      </c>
      <c r="C3369" t="s">
        <v>16475</v>
      </c>
      <c r="D3369" t="s">
        <v>21303</v>
      </c>
      <c r="E3369" t="b">
        <v>0</v>
      </c>
      <c r="F3369" t="s">
        <v>11610</v>
      </c>
      <c r="L3369">
        <v>0</v>
      </c>
      <c r="M3369">
        <v>0</v>
      </c>
      <c r="N3369">
        <v>0</v>
      </c>
    </row>
    <row r="3370" spans="1:15">
      <c r="A3370" t="s">
        <v>21304</v>
      </c>
      <c r="B3370" t="s">
        <v>6742</v>
      </c>
      <c r="C3370" t="s">
        <v>21305</v>
      </c>
      <c r="D3370" t="s">
        <v>21306</v>
      </c>
      <c r="E3370" t="b">
        <v>0</v>
      </c>
      <c r="F3370" t="s">
        <v>11624</v>
      </c>
      <c r="I3370" t="s">
        <v>21307</v>
      </c>
      <c r="L3370">
        <v>0</v>
      </c>
      <c r="M3370">
        <v>0</v>
      </c>
      <c r="N3370">
        <v>0</v>
      </c>
      <c r="O3370" t="s">
        <v>11693</v>
      </c>
    </row>
    <row r="3371" spans="1:15">
      <c r="A3371" t="s">
        <v>21308</v>
      </c>
      <c r="B3371" t="s">
        <v>6742</v>
      </c>
      <c r="C3371" t="s">
        <v>15674</v>
      </c>
      <c r="D3371" t="s">
        <v>21309</v>
      </c>
      <c r="E3371" t="b">
        <v>0</v>
      </c>
      <c r="F3371" t="s">
        <v>11610</v>
      </c>
      <c r="L3371">
        <v>0</v>
      </c>
      <c r="M3371">
        <v>0</v>
      </c>
      <c r="N3371">
        <v>0</v>
      </c>
    </row>
    <row r="3372" spans="1:15">
      <c r="A3372" t="s">
        <v>21310</v>
      </c>
      <c r="B3372" t="s">
        <v>11637</v>
      </c>
      <c r="C3372" t="s">
        <v>14262</v>
      </c>
      <c r="D3372" t="s">
        <v>21311</v>
      </c>
      <c r="E3372" t="b">
        <v>0</v>
      </c>
      <c r="F3372" t="s">
        <v>11610</v>
      </c>
      <c r="L3372">
        <v>0</v>
      </c>
      <c r="M3372">
        <v>0</v>
      </c>
      <c r="N3372">
        <v>0</v>
      </c>
    </row>
    <row r="3373" spans="1:15">
      <c r="A3373" t="s">
        <v>21312</v>
      </c>
      <c r="B3373" t="s">
        <v>5058</v>
      </c>
      <c r="C3373" t="s">
        <v>21313</v>
      </c>
      <c r="D3373" t="s">
        <v>21314</v>
      </c>
      <c r="E3373" t="b">
        <v>0</v>
      </c>
      <c r="F3373" t="s">
        <v>11624</v>
      </c>
      <c r="G3373">
        <v>25.600460000000002</v>
      </c>
      <c r="H3373">
        <v>106.39604</v>
      </c>
      <c r="I3373" t="s">
        <v>21315</v>
      </c>
      <c r="L3373">
        <v>0</v>
      </c>
      <c r="M3373">
        <v>0</v>
      </c>
      <c r="N3373">
        <v>0</v>
      </c>
      <c r="O3373" t="s">
        <v>11905</v>
      </c>
    </row>
    <row r="3374" spans="1:15">
      <c r="A3374" t="s">
        <v>21316</v>
      </c>
      <c r="B3374" t="s">
        <v>21317</v>
      </c>
      <c r="C3374" t="s">
        <v>21318</v>
      </c>
      <c r="D3374" t="s">
        <v>21319</v>
      </c>
      <c r="E3374" t="b">
        <v>0</v>
      </c>
      <c r="F3374" t="s">
        <v>11622</v>
      </c>
      <c r="L3374">
        <v>3</v>
      </c>
      <c r="M3374">
        <v>8</v>
      </c>
      <c r="N3374">
        <v>2</v>
      </c>
    </row>
    <row r="3375" spans="1:15">
      <c r="A3375" t="s">
        <v>21320</v>
      </c>
      <c r="B3375" t="s">
        <v>12260</v>
      </c>
      <c r="C3375" t="s">
        <v>21321</v>
      </c>
      <c r="D3375" t="s">
        <v>21322</v>
      </c>
      <c r="E3375" t="b">
        <v>0</v>
      </c>
      <c r="F3375" t="s">
        <v>11610</v>
      </c>
      <c r="L3375">
        <v>0</v>
      </c>
      <c r="M3375">
        <v>0</v>
      </c>
      <c r="N3375">
        <v>0</v>
      </c>
    </row>
    <row r="3376" spans="1:15">
      <c r="A3376" t="s">
        <v>21323</v>
      </c>
      <c r="B3376" t="s">
        <v>11637</v>
      </c>
      <c r="C3376" t="s">
        <v>10626</v>
      </c>
      <c r="D3376" t="s">
        <v>21324</v>
      </c>
      <c r="E3376" t="b">
        <v>0</v>
      </c>
      <c r="F3376" t="s">
        <v>11610</v>
      </c>
      <c r="L3376">
        <v>0</v>
      </c>
      <c r="M3376">
        <v>0</v>
      </c>
      <c r="N3376">
        <v>0</v>
      </c>
    </row>
    <row r="3377" spans="1:15">
      <c r="A3377" t="s">
        <v>21325</v>
      </c>
      <c r="B3377" t="s">
        <v>11637</v>
      </c>
      <c r="C3377" t="s">
        <v>1416</v>
      </c>
      <c r="D3377" t="s">
        <v>21326</v>
      </c>
      <c r="E3377" t="b">
        <v>0</v>
      </c>
      <c r="F3377" t="s">
        <v>11610</v>
      </c>
      <c r="L3377">
        <v>0</v>
      </c>
      <c r="M3377">
        <v>0</v>
      </c>
      <c r="N3377">
        <v>0</v>
      </c>
    </row>
    <row r="3378" spans="1:15">
      <c r="A3378" t="s">
        <v>21327</v>
      </c>
      <c r="B3378" t="s">
        <v>11637</v>
      </c>
      <c r="C3378" t="s">
        <v>5173</v>
      </c>
      <c r="D3378" t="s">
        <v>21328</v>
      </c>
      <c r="E3378" t="b">
        <v>0</v>
      </c>
      <c r="F3378" t="s">
        <v>11610</v>
      </c>
      <c r="L3378">
        <v>0</v>
      </c>
      <c r="M3378">
        <v>0</v>
      </c>
      <c r="N3378">
        <v>0</v>
      </c>
    </row>
    <row r="3379" spans="1:15">
      <c r="A3379" t="s">
        <v>21329</v>
      </c>
      <c r="B3379" t="s">
        <v>11637</v>
      </c>
      <c r="C3379" t="s">
        <v>14906</v>
      </c>
      <c r="D3379" t="s">
        <v>21330</v>
      </c>
      <c r="E3379" t="b">
        <v>0</v>
      </c>
      <c r="F3379" t="s">
        <v>11610</v>
      </c>
      <c r="L3379">
        <v>0</v>
      </c>
      <c r="M3379">
        <v>0</v>
      </c>
      <c r="N3379">
        <v>0</v>
      </c>
    </row>
    <row r="3380" spans="1:15">
      <c r="A3380" t="s">
        <v>21331</v>
      </c>
      <c r="B3380" t="s">
        <v>11637</v>
      </c>
      <c r="C3380" t="s">
        <v>4892</v>
      </c>
      <c r="D3380" t="s">
        <v>21332</v>
      </c>
      <c r="E3380" t="b">
        <v>0</v>
      </c>
      <c r="F3380" t="s">
        <v>11610</v>
      </c>
      <c r="L3380">
        <v>0</v>
      </c>
      <c r="M3380">
        <v>0</v>
      </c>
      <c r="N3380">
        <v>0</v>
      </c>
    </row>
    <row r="3381" spans="1:15">
      <c r="A3381" t="s">
        <v>21333</v>
      </c>
      <c r="B3381" t="s">
        <v>11637</v>
      </c>
      <c r="C3381" t="s">
        <v>19284</v>
      </c>
      <c r="D3381" t="s">
        <v>21334</v>
      </c>
      <c r="E3381" t="b">
        <v>0</v>
      </c>
      <c r="F3381" t="s">
        <v>11610</v>
      </c>
      <c r="L3381">
        <v>0</v>
      </c>
      <c r="M3381">
        <v>0</v>
      </c>
      <c r="N3381">
        <v>0</v>
      </c>
    </row>
    <row r="3382" spans="1:15">
      <c r="A3382" t="s">
        <v>21335</v>
      </c>
      <c r="B3382" t="s">
        <v>11637</v>
      </c>
      <c r="C3382" t="s">
        <v>7332</v>
      </c>
      <c r="D3382" t="s">
        <v>21336</v>
      </c>
      <c r="E3382" t="b">
        <v>0</v>
      </c>
      <c r="F3382" t="s">
        <v>11610</v>
      </c>
      <c r="L3382">
        <v>0</v>
      </c>
      <c r="M3382">
        <v>0</v>
      </c>
      <c r="N3382">
        <v>0</v>
      </c>
    </row>
    <row r="3383" spans="1:15">
      <c r="A3383" t="s">
        <v>21337</v>
      </c>
      <c r="B3383" t="s">
        <v>11637</v>
      </c>
      <c r="C3383" t="s">
        <v>14419</v>
      </c>
      <c r="D3383" t="s">
        <v>21338</v>
      </c>
      <c r="E3383" t="b">
        <v>0</v>
      </c>
      <c r="F3383" t="s">
        <v>11610</v>
      </c>
      <c r="L3383">
        <v>0</v>
      </c>
      <c r="M3383">
        <v>0</v>
      </c>
      <c r="N3383">
        <v>0</v>
      </c>
    </row>
    <row r="3384" spans="1:15">
      <c r="A3384" t="s">
        <v>21339</v>
      </c>
      <c r="B3384" t="s">
        <v>11637</v>
      </c>
      <c r="C3384" t="s">
        <v>5695</v>
      </c>
      <c r="D3384" t="s">
        <v>21340</v>
      </c>
      <c r="E3384" t="b">
        <v>0</v>
      </c>
      <c r="F3384" t="s">
        <v>11610</v>
      </c>
      <c r="L3384">
        <v>0</v>
      </c>
      <c r="M3384">
        <v>0</v>
      </c>
      <c r="N3384">
        <v>0</v>
      </c>
    </row>
    <row r="3385" spans="1:15">
      <c r="A3385" t="s">
        <v>21341</v>
      </c>
      <c r="B3385" t="s">
        <v>11637</v>
      </c>
      <c r="C3385" t="s">
        <v>10208</v>
      </c>
      <c r="D3385" t="s">
        <v>21342</v>
      </c>
      <c r="E3385" t="b">
        <v>0</v>
      </c>
      <c r="F3385" t="s">
        <v>11610</v>
      </c>
      <c r="L3385">
        <v>0</v>
      </c>
      <c r="M3385">
        <v>0</v>
      </c>
      <c r="N3385">
        <v>2</v>
      </c>
    </row>
    <row r="3386" spans="1:15">
      <c r="A3386" t="s">
        <v>21343</v>
      </c>
      <c r="B3386" t="s">
        <v>11637</v>
      </c>
      <c r="C3386" t="s">
        <v>21344</v>
      </c>
      <c r="D3386" t="s">
        <v>21345</v>
      </c>
      <c r="E3386" t="b">
        <v>0</v>
      </c>
      <c r="F3386" t="s">
        <v>11610</v>
      </c>
      <c r="L3386">
        <v>0</v>
      </c>
      <c r="M3386">
        <v>0</v>
      </c>
      <c r="N3386">
        <v>0</v>
      </c>
    </row>
    <row r="3387" spans="1:15">
      <c r="A3387" t="s">
        <v>4401</v>
      </c>
      <c r="B3387" t="s">
        <v>11637</v>
      </c>
      <c r="C3387" t="s">
        <v>161</v>
      </c>
      <c r="D3387" t="s">
        <v>21346</v>
      </c>
      <c r="E3387" t="b">
        <v>0</v>
      </c>
      <c r="F3387" t="s">
        <v>11624</v>
      </c>
      <c r="G3387">
        <v>35.6539</v>
      </c>
      <c r="H3387">
        <v>45.807699999999997</v>
      </c>
      <c r="I3387" t="s">
        <v>4403</v>
      </c>
      <c r="L3387">
        <v>0</v>
      </c>
      <c r="M3387">
        <v>0</v>
      </c>
      <c r="N3387">
        <v>13</v>
      </c>
      <c r="O3387" t="s">
        <v>21347</v>
      </c>
    </row>
    <row r="3388" spans="1:15">
      <c r="A3388" t="s">
        <v>16757</v>
      </c>
      <c r="B3388" t="s">
        <v>11637</v>
      </c>
      <c r="C3388" t="s">
        <v>3558</v>
      </c>
      <c r="D3388" t="s">
        <v>21348</v>
      </c>
      <c r="E3388" t="b">
        <v>0</v>
      </c>
      <c r="F3388" t="s">
        <v>11624</v>
      </c>
      <c r="G3388">
        <v>31.915299999999998</v>
      </c>
      <c r="H3388">
        <v>69.4529</v>
      </c>
      <c r="I3388" t="s">
        <v>21349</v>
      </c>
      <c r="L3388">
        <v>0</v>
      </c>
      <c r="M3388">
        <v>0</v>
      </c>
      <c r="N3388">
        <v>2</v>
      </c>
      <c r="O3388" t="s">
        <v>21350</v>
      </c>
    </row>
    <row r="3389" spans="1:15">
      <c r="A3389" t="s">
        <v>21351</v>
      </c>
      <c r="B3389" t="s">
        <v>11637</v>
      </c>
      <c r="C3389" t="s">
        <v>21352</v>
      </c>
      <c r="D3389" t="s">
        <v>21353</v>
      </c>
      <c r="E3389" t="b">
        <v>0</v>
      </c>
      <c r="F3389" t="s">
        <v>11610</v>
      </c>
      <c r="L3389">
        <v>0</v>
      </c>
      <c r="M3389">
        <v>0</v>
      </c>
      <c r="N3389">
        <v>0</v>
      </c>
    </row>
    <row r="3390" spans="1:15">
      <c r="A3390" t="s">
        <v>21354</v>
      </c>
      <c r="B3390" t="s">
        <v>11637</v>
      </c>
      <c r="C3390" t="s">
        <v>21355</v>
      </c>
      <c r="D3390" t="s">
        <v>21356</v>
      </c>
      <c r="E3390" t="b">
        <v>0</v>
      </c>
      <c r="F3390" t="s">
        <v>11610</v>
      </c>
      <c r="L3390">
        <v>0</v>
      </c>
      <c r="M3390">
        <v>0</v>
      </c>
      <c r="N3390">
        <v>0</v>
      </c>
    </row>
    <row r="3391" spans="1:15">
      <c r="A3391" t="s">
        <v>21357</v>
      </c>
      <c r="B3391" t="s">
        <v>11637</v>
      </c>
      <c r="C3391" t="s">
        <v>21358</v>
      </c>
      <c r="D3391" t="s">
        <v>21359</v>
      </c>
      <c r="E3391" t="b">
        <v>0</v>
      </c>
      <c r="F3391" t="s">
        <v>11610</v>
      </c>
      <c r="L3391">
        <v>0</v>
      </c>
      <c r="M3391">
        <v>0</v>
      </c>
      <c r="N3391">
        <v>0</v>
      </c>
    </row>
    <row r="3392" spans="1:15">
      <c r="A3392" t="s">
        <v>21360</v>
      </c>
      <c r="B3392" t="s">
        <v>11637</v>
      </c>
      <c r="C3392" t="s">
        <v>21361</v>
      </c>
      <c r="D3392" t="s">
        <v>21362</v>
      </c>
      <c r="E3392" t="b">
        <v>0</v>
      </c>
      <c r="F3392" t="s">
        <v>11622</v>
      </c>
      <c r="L3392">
        <v>0</v>
      </c>
      <c r="M3392">
        <v>2</v>
      </c>
      <c r="N3392">
        <v>20</v>
      </c>
    </row>
    <row r="3393" spans="1:15">
      <c r="A3393" t="s">
        <v>21363</v>
      </c>
      <c r="B3393" t="s">
        <v>11637</v>
      </c>
      <c r="C3393" t="s">
        <v>21364</v>
      </c>
      <c r="D3393" t="s">
        <v>21365</v>
      </c>
      <c r="E3393" t="b">
        <v>0</v>
      </c>
      <c r="F3393" t="s">
        <v>11610</v>
      </c>
      <c r="L3393">
        <v>0</v>
      </c>
      <c r="M3393">
        <v>0</v>
      </c>
      <c r="N3393">
        <v>0</v>
      </c>
    </row>
    <row r="3394" spans="1:15">
      <c r="A3394" t="s">
        <v>21366</v>
      </c>
      <c r="B3394" t="s">
        <v>11637</v>
      </c>
      <c r="C3394" t="s">
        <v>16884</v>
      </c>
      <c r="D3394" t="s">
        <v>21367</v>
      </c>
      <c r="E3394" t="b">
        <v>0</v>
      </c>
      <c r="F3394" t="s">
        <v>11610</v>
      </c>
      <c r="L3394">
        <v>0</v>
      </c>
      <c r="M3394">
        <v>0</v>
      </c>
      <c r="N3394">
        <v>0</v>
      </c>
    </row>
    <row r="3395" spans="1:15">
      <c r="A3395" t="s">
        <v>21368</v>
      </c>
      <c r="B3395" t="s">
        <v>11637</v>
      </c>
      <c r="C3395" t="s">
        <v>21369</v>
      </c>
      <c r="D3395" t="s">
        <v>21370</v>
      </c>
      <c r="E3395" t="b">
        <v>0</v>
      </c>
      <c r="F3395" t="s">
        <v>11610</v>
      </c>
      <c r="L3395">
        <v>0</v>
      </c>
      <c r="M3395">
        <v>0</v>
      </c>
      <c r="N3395">
        <v>6</v>
      </c>
    </row>
    <row r="3396" spans="1:15">
      <c r="A3396" t="s">
        <v>21371</v>
      </c>
      <c r="B3396" t="s">
        <v>11637</v>
      </c>
      <c r="C3396" t="s">
        <v>21372</v>
      </c>
      <c r="D3396" t="s">
        <v>21373</v>
      </c>
      <c r="E3396" t="b">
        <v>0</v>
      </c>
      <c r="F3396" t="s">
        <v>11610</v>
      </c>
      <c r="L3396">
        <v>0</v>
      </c>
      <c r="M3396">
        <v>0</v>
      </c>
      <c r="N3396">
        <v>0</v>
      </c>
    </row>
    <row r="3397" spans="1:15">
      <c r="A3397" t="s">
        <v>21374</v>
      </c>
      <c r="B3397" t="s">
        <v>11637</v>
      </c>
      <c r="C3397" t="s">
        <v>16777</v>
      </c>
      <c r="D3397" t="s">
        <v>21375</v>
      </c>
      <c r="E3397" t="b">
        <v>0</v>
      </c>
      <c r="F3397" t="s">
        <v>11610</v>
      </c>
      <c r="L3397">
        <v>0</v>
      </c>
      <c r="M3397">
        <v>0</v>
      </c>
      <c r="N3397">
        <v>0</v>
      </c>
    </row>
    <row r="3398" spans="1:15">
      <c r="A3398" t="s">
        <v>21376</v>
      </c>
      <c r="B3398" t="s">
        <v>11637</v>
      </c>
      <c r="C3398" t="s">
        <v>3565</v>
      </c>
      <c r="D3398" t="s">
        <v>21377</v>
      </c>
      <c r="E3398" t="b">
        <v>0</v>
      </c>
      <c r="F3398" t="s">
        <v>11610</v>
      </c>
      <c r="L3398">
        <v>0</v>
      </c>
      <c r="M3398">
        <v>0</v>
      </c>
      <c r="N3398">
        <v>0</v>
      </c>
    </row>
    <row r="3399" spans="1:15">
      <c r="A3399" t="s">
        <v>21378</v>
      </c>
      <c r="B3399" t="s">
        <v>11637</v>
      </c>
      <c r="C3399" t="s">
        <v>21379</v>
      </c>
      <c r="D3399" t="s">
        <v>21380</v>
      </c>
      <c r="E3399" t="b">
        <v>0</v>
      </c>
      <c r="F3399" t="s">
        <v>11610</v>
      </c>
      <c r="L3399">
        <v>0</v>
      </c>
      <c r="M3399">
        <v>0</v>
      </c>
      <c r="N3399">
        <v>0</v>
      </c>
    </row>
    <row r="3400" spans="1:15">
      <c r="A3400" t="s">
        <v>21381</v>
      </c>
      <c r="B3400" t="s">
        <v>12260</v>
      </c>
      <c r="C3400" t="s">
        <v>10115</v>
      </c>
      <c r="D3400" t="s">
        <v>21382</v>
      </c>
      <c r="E3400" t="b">
        <v>0</v>
      </c>
      <c r="F3400" t="s">
        <v>11610</v>
      </c>
      <c r="L3400">
        <v>0</v>
      </c>
      <c r="M3400">
        <v>0</v>
      </c>
      <c r="N3400">
        <v>0</v>
      </c>
    </row>
    <row r="3401" spans="1:15">
      <c r="A3401" t="s">
        <v>21383</v>
      </c>
      <c r="B3401" t="s">
        <v>12438</v>
      </c>
      <c r="C3401" t="s">
        <v>14815</v>
      </c>
      <c r="D3401" t="s">
        <v>21384</v>
      </c>
      <c r="E3401" t="b">
        <v>0</v>
      </c>
      <c r="F3401" t="s">
        <v>11622</v>
      </c>
      <c r="L3401">
        <v>9</v>
      </c>
      <c r="M3401">
        <v>15</v>
      </c>
      <c r="N3401">
        <v>43</v>
      </c>
    </row>
    <row r="3402" spans="1:15">
      <c r="A3402" t="s">
        <v>21385</v>
      </c>
      <c r="B3402" t="s">
        <v>12438</v>
      </c>
      <c r="C3402" t="s">
        <v>5147</v>
      </c>
      <c r="D3402" t="s">
        <v>21386</v>
      </c>
      <c r="E3402" t="b">
        <v>0</v>
      </c>
      <c r="F3402" t="s">
        <v>11610</v>
      </c>
      <c r="L3402">
        <v>0</v>
      </c>
      <c r="M3402">
        <v>0</v>
      </c>
      <c r="N3402">
        <v>0</v>
      </c>
    </row>
    <row r="3403" spans="1:15">
      <c r="A3403" t="s">
        <v>2585</v>
      </c>
      <c r="B3403" t="s">
        <v>12438</v>
      </c>
      <c r="C3403" t="s">
        <v>4774</v>
      </c>
      <c r="D3403" t="s">
        <v>21387</v>
      </c>
      <c r="E3403" t="b">
        <v>0</v>
      </c>
      <c r="F3403" t="s">
        <v>11624</v>
      </c>
      <c r="G3403">
        <v>12.051500000000001</v>
      </c>
      <c r="H3403">
        <v>105.015</v>
      </c>
      <c r="I3403" t="s">
        <v>2586</v>
      </c>
      <c r="L3403">
        <v>0</v>
      </c>
      <c r="M3403">
        <v>0</v>
      </c>
      <c r="N3403">
        <v>2</v>
      </c>
      <c r="O3403" t="s">
        <v>21388</v>
      </c>
    </row>
    <row r="3404" spans="1:15">
      <c r="A3404" t="s">
        <v>21008</v>
      </c>
      <c r="B3404" t="s">
        <v>12438</v>
      </c>
      <c r="C3404" t="s">
        <v>21389</v>
      </c>
      <c r="D3404" t="s">
        <v>21390</v>
      </c>
      <c r="E3404" t="b">
        <v>0</v>
      </c>
      <c r="F3404" t="s">
        <v>11624</v>
      </c>
      <c r="G3404">
        <v>7.9481200000000003</v>
      </c>
      <c r="H3404">
        <v>93.392099999999999</v>
      </c>
      <c r="I3404" t="s">
        <v>21391</v>
      </c>
      <c r="L3404">
        <v>0</v>
      </c>
      <c r="M3404">
        <v>0</v>
      </c>
      <c r="N3404">
        <v>4</v>
      </c>
      <c r="O3404" t="s">
        <v>11630</v>
      </c>
    </row>
    <row r="3405" spans="1:15">
      <c r="A3405" t="s">
        <v>21392</v>
      </c>
      <c r="B3405" t="s">
        <v>12438</v>
      </c>
      <c r="C3405" t="s">
        <v>21393</v>
      </c>
      <c r="D3405" t="s">
        <v>21394</v>
      </c>
      <c r="E3405" t="b">
        <v>0</v>
      </c>
      <c r="F3405" t="s">
        <v>11610</v>
      </c>
      <c r="L3405">
        <v>0</v>
      </c>
      <c r="M3405">
        <v>0</v>
      </c>
      <c r="N3405">
        <v>0</v>
      </c>
    </row>
    <row r="3406" spans="1:15">
      <c r="A3406" t="s">
        <v>18412</v>
      </c>
      <c r="B3406" t="s">
        <v>12438</v>
      </c>
      <c r="C3406" t="s">
        <v>21395</v>
      </c>
      <c r="D3406" t="s">
        <v>21396</v>
      </c>
      <c r="E3406" t="b">
        <v>0</v>
      </c>
      <c r="F3406" t="s">
        <v>11624</v>
      </c>
      <c r="G3406">
        <v>12.6313</v>
      </c>
      <c r="H3406">
        <v>107.301</v>
      </c>
      <c r="I3406" t="s">
        <v>21397</v>
      </c>
      <c r="L3406">
        <v>0</v>
      </c>
      <c r="M3406">
        <v>0</v>
      </c>
      <c r="N3406">
        <v>6</v>
      </c>
      <c r="O3406" t="s">
        <v>20010</v>
      </c>
    </row>
    <row r="3407" spans="1:15">
      <c r="A3407" t="s">
        <v>21398</v>
      </c>
      <c r="B3407" t="s">
        <v>331</v>
      </c>
      <c r="C3407" t="s">
        <v>3426</v>
      </c>
      <c r="D3407" t="s">
        <v>21399</v>
      </c>
      <c r="E3407" t="b">
        <v>0</v>
      </c>
      <c r="F3407" t="s">
        <v>11610</v>
      </c>
      <c r="L3407">
        <v>0</v>
      </c>
      <c r="M3407">
        <v>0</v>
      </c>
      <c r="N3407">
        <v>0</v>
      </c>
    </row>
    <row r="3408" spans="1:15">
      <c r="A3408" t="s">
        <v>21400</v>
      </c>
      <c r="B3408" t="s">
        <v>331</v>
      </c>
      <c r="C3408" t="s">
        <v>5223</v>
      </c>
      <c r="D3408" t="s">
        <v>21401</v>
      </c>
      <c r="E3408" t="b">
        <v>0</v>
      </c>
      <c r="F3408" t="s">
        <v>11610</v>
      </c>
      <c r="L3408">
        <v>0</v>
      </c>
      <c r="M3408">
        <v>0</v>
      </c>
      <c r="N3408">
        <v>9</v>
      </c>
    </row>
    <row r="3409" spans="1:15">
      <c r="A3409" t="s">
        <v>21402</v>
      </c>
      <c r="B3409" t="s">
        <v>331</v>
      </c>
      <c r="C3409" t="s">
        <v>21403</v>
      </c>
      <c r="D3409" t="s">
        <v>21404</v>
      </c>
      <c r="E3409" t="b">
        <v>0</v>
      </c>
      <c r="F3409" t="s">
        <v>11610</v>
      </c>
      <c r="L3409">
        <v>0</v>
      </c>
      <c r="M3409">
        <v>0</v>
      </c>
      <c r="N3409">
        <v>0</v>
      </c>
    </row>
    <row r="3410" spans="1:15">
      <c r="A3410" t="s">
        <v>21405</v>
      </c>
      <c r="B3410" t="s">
        <v>331</v>
      </c>
      <c r="C3410" t="s">
        <v>12891</v>
      </c>
      <c r="D3410" t="s">
        <v>21406</v>
      </c>
      <c r="E3410" t="b">
        <v>0</v>
      </c>
      <c r="F3410" t="s">
        <v>11610</v>
      </c>
      <c r="L3410">
        <v>0</v>
      </c>
      <c r="M3410">
        <v>0</v>
      </c>
      <c r="N3410">
        <v>0</v>
      </c>
    </row>
    <row r="3411" spans="1:15">
      <c r="A3411" t="s">
        <v>21407</v>
      </c>
      <c r="B3411" t="s">
        <v>11844</v>
      </c>
      <c r="C3411" t="s">
        <v>1264</v>
      </c>
      <c r="D3411" t="s">
        <v>21408</v>
      </c>
      <c r="E3411" t="b">
        <v>0</v>
      </c>
      <c r="F3411" t="s">
        <v>11610</v>
      </c>
      <c r="L3411">
        <v>0</v>
      </c>
      <c r="M3411">
        <v>0</v>
      </c>
      <c r="N3411">
        <v>0</v>
      </c>
    </row>
    <row r="3412" spans="1:15">
      <c r="A3412" t="s">
        <v>21409</v>
      </c>
      <c r="B3412" t="s">
        <v>11644</v>
      </c>
      <c r="C3412" t="s">
        <v>21410</v>
      </c>
      <c r="D3412" t="s">
        <v>21411</v>
      </c>
      <c r="E3412" t="b">
        <v>0</v>
      </c>
      <c r="F3412" t="s">
        <v>11622</v>
      </c>
      <c r="L3412">
        <v>3</v>
      </c>
      <c r="M3412">
        <v>7</v>
      </c>
      <c r="N3412">
        <v>0</v>
      </c>
    </row>
    <row r="3413" spans="1:15">
      <c r="A3413" t="s">
        <v>21412</v>
      </c>
      <c r="B3413" t="s">
        <v>11644</v>
      </c>
      <c r="C3413" t="s">
        <v>21413</v>
      </c>
      <c r="D3413" t="s">
        <v>21414</v>
      </c>
      <c r="E3413" t="b">
        <v>0</v>
      </c>
      <c r="F3413" t="s">
        <v>11610</v>
      </c>
      <c r="L3413">
        <v>0</v>
      </c>
      <c r="M3413">
        <v>0</v>
      </c>
      <c r="N3413">
        <v>0</v>
      </c>
    </row>
    <row r="3414" spans="1:15">
      <c r="A3414" t="s">
        <v>21415</v>
      </c>
      <c r="B3414" t="s">
        <v>11644</v>
      </c>
      <c r="C3414" t="s">
        <v>21416</v>
      </c>
      <c r="D3414" t="s">
        <v>21417</v>
      </c>
      <c r="E3414" t="b">
        <v>0</v>
      </c>
      <c r="F3414" t="s">
        <v>11610</v>
      </c>
      <c r="L3414">
        <v>0</v>
      </c>
      <c r="M3414">
        <v>0</v>
      </c>
      <c r="N3414">
        <v>0</v>
      </c>
    </row>
    <row r="3415" spans="1:15">
      <c r="A3415" t="s">
        <v>21418</v>
      </c>
      <c r="B3415" t="s">
        <v>11644</v>
      </c>
      <c r="C3415" t="s">
        <v>21419</v>
      </c>
      <c r="D3415" t="s">
        <v>21420</v>
      </c>
      <c r="E3415" t="b">
        <v>0</v>
      </c>
      <c r="F3415" t="s">
        <v>11610</v>
      </c>
      <c r="L3415">
        <v>0</v>
      </c>
      <c r="M3415">
        <v>0</v>
      </c>
      <c r="N3415">
        <v>0</v>
      </c>
    </row>
    <row r="3416" spans="1:15">
      <c r="A3416" t="s">
        <v>21421</v>
      </c>
      <c r="B3416" t="s">
        <v>11644</v>
      </c>
      <c r="C3416" t="s">
        <v>21422</v>
      </c>
      <c r="D3416" t="s">
        <v>21423</v>
      </c>
      <c r="E3416" t="b">
        <v>0</v>
      </c>
      <c r="F3416" t="s">
        <v>11624</v>
      </c>
      <c r="G3416">
        <v>26.166599999999999</v>
      </c>
      <c r="H3416">
        <v>99.705200000000005</v>
      </c>
      <c r="I3416" t="s">
        <v>21424</v>
      </c>
      <c r="L3416">
        <v>0</v>
      </c>
      <c r="M3416">
        <v>0</v>
      </c>
      <c r="N3416">
        <v>5</v>
      </c>
      <c r="O3416" t="s">
        <v>11905</v>
      </c>
    </row>
    <row r="3417" spans="1:15">
      <c r="A3417" t="s">
        <v>21425</v>
      </c>
      <c r="B3417" t="s">
        <v>11644</v>
      </c>
      <c r="C3417" t="s">
        <v>21426</v>
      </c>
      <c r="D3417" t="s">
        <v>21427</v>
      </c>
      <c r="E3417" t="b">
        <v>0</v>
      </c>
      <c r="F3417" t="s">
        <v>11622</v>
      </c>
      <c r="L3417">
        <v>4</v>
      </c>
      <c r="M3417">
        <v>12</v>
      </c>
      <c r="N3417">
        <v>13</v>
      </c>
    </row>
    <row r="3418" spans="1:15">
      <c r="A3418" t="s">
        <v>21428</v>
      </c>
      <c r="B3418" t="s">
        <v>11644</v>
      </c>
      <c r="C3418" t="s">
        <v>21429</v>
      </c>
      <c r="D3418" t="s">
        <v>21430</v>
      </c>
      <c r="E3418" t="b">
        <v>0</v>
      </c>
      <c r="F3418" t="s">
        <v>11610</v>
      </c>
      <c r="L3418">
        <v>0</v>
      </c>
      <c r="M3418">
        <v>0</v>
      </c>
      <c r="N3418">
        <v>0</v>
      </c>
    </row>
    <row r="3419" spans="1:15">
      <c r="A3419" t="s">
        <v>21431</v>
      </c>
      <c r="B3419" t="s">
        <v>5126</v>
      </c>
      <c r="C3419" t="s">
        <v>19778</v>
      </c>
      <c r="D3419" t="s">
        <v>21432</v>
      </c>
      <c r="E3419" t="b">
        <v>0</v>
      </c>
      <c r="F3419" t="s">
        <v>11624</v>
      </c>
      <c r="G3419">
        <v>23.95</v>
      </c>
      <c r="H3419">
        <v>108</v>
      </c>
      <c r="I3419" t="s">
        <v>21433</v>
      </c>
      <c r="L3419">
        <v>0</v>
      </c>
      <c r="M3419">
        <v>0</v>
      </c>
      <c r="N3419">
        <v>0</v>
      </c>
      <c r="O3419" t="s">
        <v>11905</v>
      </c>
    </row>
    <row r="3420" spans="1:15">
      <c r="A3420" t="s">
        <v>21434</v>
      </c>
      <c r="B3420" t="s">
        <v>5126</v>
      </c>
      <c r="C3420" t="s">
        <v>21435</v>
      </c>
      <c r="D3420" t="s">
        <v>21436</v>
      </c>
      <c r="E3420" t="b">
        <v>0</v>
      </c>
      <c r="F3420" t="s">
        <v>11610</v>
      </c>
      <c r="L3420">
        <v>0</v>
      </c>
      <c r="M3420">
        <v>0</v>
      </c>
      <c r="N3420">
        <v>0</v>
      </c>
    </row>
    <row r="3421" spans="1:15">
      <c r="A3421" t="s">
        <v>21437</v>
      </c>
      <c r="B3421" t="s">
        <v>5126</v>
      </c>
      <c r="C3421" t="s">
        <v>21438</v>
      </c>
      <c r="D3421" t="s">
        <v>21439</v>
      </c>
      <c r="E3421" t="b">
        <v>0</v>
      </c>
      <c r="F3421" t="s">
        <v>11610</v>
      </c>
      <c r="L3421">
        <v>0</v>
      </c>
      <c r="M3421">
        <v>0</v>
      </c>
      <c r="N3421">
        <v>0</v>
      </c>
    </row>
    <row r="3422" spans="1:15">
      <c r="A3422" t="s">
        <v>21440</v>
      </c>
      <c r="B3422" t="s">
        <v>5058</v>
      </c>
      <c r="C3422" t="s">
        <v>21441</v>
      </c>
      <c r="D3422" t="s">
        <v>21442</v>
      </c>
      <c r="E3422" t="b">
        <v>0</v>
      </c>
      <c r="F3422" t="s">
        <v>11624</v>
      </c>
      <c r="G3422">
        <v>26.041</v>
      </c>
      <c r="H3422">
        <v>106.71899999999999</v>
      </c>
      <c r="I3422" t="s">
        <v>21443</v>
      </c>
      <c r="L3422">
        <v>0</v>
      </c>
      <c r="M3422">
        <v>0</v>
      </c>
      <c r="N3422">
        <v>0</v>
      </c>
      <c r="O3422" t="s">
        <v>11905</v>
      </c>
    </row>
    <row r="3423" spans="1:15">
      <c r="A3423" t="s">
        <v>21444</v>
      </c>
      <c r="B3423" t="s">
        <v>10597</v>
      </c>
      <c r="C3423" t="s">
        <v>402</v>
      </c>
      <c r="D3423" t="s">
        <v>21445</v>
      </c>
      <c r="E3423" t="b">
        <v>0</v>
      </c>
      <c r="F3423" t="s">
        <v>11610</v>
      </c>
      <c r="L3423">
        <v>0</v>
      </c>
      <c r="M3423">
        <v>0</v>
      </c>
      <c r="N3423">
        <v>0</v>
      </c>
    </row>
    <row r="3424" spans="1:15">
      <c r="A3424" t="s">
        <v>21446</v>
      </c>
      <c r="B3424" t="s">
        <v>10597</v>
      </c>
      <c r="C3424" t="s">
        <v>21447</v>
      </c>
      <c r="D3424" t="s">
        <v>21448</v>
      </c>
      <c r="E3424" t="b">
        <v>0</v>
      </c>
      <c r="F3424" t="s">
        <v>11622</v>
      </c>
      <c r="L3424">
        <v>5</v>
      </c>
      <c r="M3424">
        <v>8</v>
      </c>
      <c r="N3424">
        <v>4</v>
      </c>
    </row>
    <row r="3425" spans="1:15">
      <c r="A3425" t="s">
        <v>21449</v>
      </c>
      <c r="B3425" t="s">
        <v>6742</v>
      </c>
      <c r="C3425" t="s">
        <v>21450</v>
      </c>
      <c r="D3425" t="s">
        <v>21451</v>
      </c>
      <c r="E3425" t="b">
        <v>0</v>
      </c>
      <c r="F3425" t="s">
        <v>11610</v>
      </c>
      <c r="L3425">
        <v>0</v>
      </c>
      <c r="M3425">
        <v>0</v>
      </c>
      <c r="N3425">
        <v>0</v>
      </c>
    </row>
    <row r="3426" spans="1:15">
      <c r="A3426" t="s">
        <v>21452</v>
      </c>
      <c r="B3426" t="s">
        <v>6742</v>
      </c>
      <c r="C3426" t="s">
        <v>11997</v>
      </c>
      <c r="D3426" t="s">
        <v>21453</v>
      </c>
      <c r="E3426" t="b">
        <v>0</v>
      </c>
      <c r="F3426" t="s">
        <v>11624</v>
      </c>
      <c r="G3426">
        <v>15.0907</v>
      </c>
      <c r="H3426">
        <v>8.4326100000000004</v>
      </c>
      <c r="I3426" t="s">
        <v>21454</v>
      </c>
      <c r="L3426">
        <v>0</v>
      </c>
      <c r="M3426">
        <v>0</v>
      </c>
      <c r="N3426">
        <v>2</v>
      </c>
      <c r="O3426" t="s">
        <v>21455</v>
      </c>
    </row>
    <row r="3427" spans="1:15">
      <c r="A3427" t="s">
        <v>21456</v>
      </c>
      <c r="B3427" t="s">
        <v>6742</v>
      </c>
      <c r="C3427" t="s">
        <v>21457</v>
      </c>
      <c r="D3427" t="s">
        <v>21458</v>
      </c>
      <c r="E3427" t="b">
        <v>0</v>
      </c>
      <c r="F3427" t="s">
        <v>11622</v>
      </c>
      <c r="L3427">
        <v>2</v>
      </c>
      <c r="M3427">
        <v>5</v>
      </c>
      <c r="N3427">
        <v>12</v>
      </c>
    </row>
    <row r="3428" spans="1:15">
      <c r="A3428" t="s">
        <v>16557</v>
      </c>
      <c r="B3428" t="s">
        <v>6742</v>
      </c>
      <c r="C3428" t="s">
        <v>16533</v>
      </c>
      <c r="D3428" t="s">
        <v>21459</v>
      </c>
      <c r="E3428" t="b">
        <v>0</v>
      </c>
      <c r="F3428" t="s">
        <v>11622</v>
      </c>
      <c r="L3428">
        <v>2</v>
      </c>
      <c r="M3428">
        <v>11</v>
      </c>
      <c r="N3428">
        <v>41</v>
      </c>
    </row>
    <row r="3429" spans="1:15">
      <c r="A3429" t="s">
        <v>16537</v>
      </c>
      <c r="B3429" t="s">
        <v>6742</v>
      </c>
      <c r="C3429" t="s">
        <v>16557</v>
      </c>
      <c r="D3429" t="s">
        <v>21460</v>
      </c>
      <c r="E3429" t="b">
        <v>0</v>
      </c>
      <c r="F3429" t="s">
        <v>11622</v>
      </c>
      <c r="L3429">
        <v>1</v>
      </c>
      <c r="M3429">
        <v>10</v>
      </c>
      <c r="N3429">
        <v>41</v>
      </c>
    </row>
    <row r="3430" spans="1:15">
      <c r="A3430" t="s">
        <v>21461</v>
      </c>
      <c r="B3430" t="s">
        <v>6742</v>
      </c>
      <c r="C3430" t="s">
        <v>21462</v>
      </c>
      <c r="D3430" t="s">
        <v>21463</v>
      </c>
      <c r="E3430" t="b">
        <v>0</v>
      </c>
      <c r="F3430" t="s">
        <v>11610</v>
      </c>
      <c r="L3430">
        <v>0</v>
      </c>
      <c r="M3430">
        <v>0</v>
      </c>
      <c r="N3430">
        <v>0</v>
      </c>
    </row>
    <row r="3431" spans="1:15">
      <c r="A3431" t="s">
        <v>21464</v>
      </c>
      <c r="B3431" t="s">
        <v>6742</v>
      </c>
      <c r="C3431" t="s">
        <v>21465</v>
      </c>
      <c r="D3431" t="s">
        <v>21466</v>
      </c>
      <c r="E3431" t="b">
        <v>0</v>
      </c>
      <c r="F3431" t="s">
        <v>11610</v>
      </c>
      <c r="L3431">
        <v>0</v>
      </c>
      <c r="M3431">
        <v>0</v>
      </c>
      <c r="N3431">
        <v>0</v>
      </c>
    </row>
    <row r="3432" spans="1:15">
      <c r="A3432" t="s">
        <v>21467</v>
      </c>
      <c r="B3432" t="s">
        <v>6742</v>
      </c>
      <c r="C3432" t="s">
        <v>12356</v>
      </c>
      <c r="D3432" t="s">
        <v>21468</v>
      </c>
      <c r="E3432" t="b">
        <v>0</v>
      </c>
      <c r="F3432" t="s">
        <v>11622</v>
      </c>
      <c r="L3432">
        <v>11</v>
      </c>
      <c r="M3432">
        <v>15</v>
      </c>
      <c r="N3432">
        <v>31</v>
      </c>
    </row>
    <row r="3433" spans="1:15">
      <c r="A3433" t="s">
        <v>11828</v>
      </c>
      <c r="B3433" t="s">
        <v>6742</v>
      </c>
      <c r="C3433" t="s">
        <v>21469</v>
      </c>
      <c r="D3433" t="s">
        <v>21470</v>
      </c>
      <c r="E3433" t="b">
        <v>0</v>
      </c>
      <c r="F3433" t="s">
        <v>11622</v>
      </c>
      <c r="L3433">
        <v>3</v>
      </c>
      <c r="M3433">
        <v>9</v>
      </c>
      <c r="N3433">
        <v>9</v>
      </c>
    </row>
    <row r="3434" spans="1:15">
      <c r="A3434" t="s">
        <v>21471</v>
      </c>
      <c r="B3434" t="s">
        <v>6742</v>
      </c>
      <c r="C3434" t="s">
        <v>11830</v>
      </c>
      <c r="D3434" t="s">
        <v>21472</v>
      </c>
      <c r="E3434" t="b">
        <v>0</v>
      </c>
      <c r="F3434" t="s">
        <v>11610</v>
      </c>
      <c r="L3434">
        <v>0</v>
      </c>
      <c r="M3434">
        <v>0</v>
      </c>
      <c r="N3434">
        <v>0</v>
      </c>
    </row>
    <row r="3435" spans="1:15">
      <c r="A3435" t="s">
        <v>21473</v>
      </c>
      <c r="B3435" t="s">
        <v>6742</v>
      </c>
      <c r="C3435" t="s">
        <v>21474</v>
      </c>
      <c r="D3435" t="s">
        <v>21475</v>
      </c>
      <c r="E3435" t="b">
        <v>0</v>
      </c>
      <c r="F3435" t="s">
        <v>11610</v>
      </c>
      <c r="L3435">
        <v>0</v>
      </c>
      <c r="M3435">
        <v>0</v>
      </c>
      <c r="N3435">
        <v>0</v>
      </c>
    </row>
    <row r="3436" spans="1:15">
      <c r="A3436" t="s">
        <v>21476</v>
      </c>
      <c r="B3436" t="s">
        <v>6742</v>
      </c>
      <c r="C3436" t="s">
        <v>20764</v>
      </c>
      <c r="D3436" t="s">
        <v>21477</v>
      </c>
      <c r="E3436" t="b">
        <v>0</v>
      </c>
      <c r="F3436" t="s">
        <v>11610</v>
      </c>
      <c r="L3436">
        <v>0</v>
      </c>
      <c r="M3436">
        <v>0</v>
      </c>
      <c r="N3436">
        <v>0</v>
      </c>
    </row>
    <row r="3437" spans="1:15">
      <c r="A3437" t="s">
        <v>21478</v>
      </c>
      <c r="B3437" t="s">
        <v>6742</v>
      </c>
      <c r="C3437" t="s">
        <v>21479</v>
      </c>
      <c r="D3437" t="s">
        <v>21480</v>
      </c>
      <c r="E3437" t="b">
        <v>0</v>
      </c>
      <c r="F3437" t="s">
        <v>11610</v>
      </c>
      <c r="L3437">
        <v>0</v>
      </c>
      <c r="M3437">
        <v>0</v>
      </c>
      <c r="N3437">
        <v>0</v>
      </c>
    </row>
    <row r="3438" spans="1:15">
      <c r="A3438" t="s">
        <v>21481</v>
      </c>
      <c r="B3438" t="s">
        <v>6742</v>
      </c>
      <c r="C3438" t="s">
        <v>21482</v>
      </c>
      <c r="D3438" t="s">
        <v>21483</v>
      </c>
      <c r="E3438" t="b">
        <v>0</v>
      </c>
      <c r="F3438" t="s">
        <v>11610</v>
      </c>
      <c r="L3438">
        <v>0</v>
      </c>
      <c r="M3438">
        <v>0</v>
      </c>
      <c r="N3438">
        <v>0</v>
      </c>
    </row>
    <row r="3439" spans="1:15">
      <c r="A3439" t="s">
        <v>21484</v>
      </c>
      <c r="B3439" t="s">
        <v>6742</v>
      </c>
      <c r="C3439" t="s">
        <v>21485</v>
      </c>
      <c r="D3439" t="s">
        <v>21486</v>
      </c>
      <c r="E3439" t="b">
        <v>0</v>
      </c>
      <c r="F3439" t="s">
        <v>11610</v>
      </c>
      <c r="L3439">
        <v>0</v>
      </c>
      <c r="M3439">
        <v>0</v>
      </c>
      <c r="N3439">
        <v>0</v>
      </c>
    </row>
    <row r="3440" spans="1:15">
      <c r="A3440" t="s">
        <v>21487</v>
      </c>
      <c r="B3440" t="s">
        <v>6742</v>
      </c>
      <c r="C3440" t="s">
        <v>19362</v>
      </c>
      <c r="D3440" t="s">
        <v>21488</v>
      </c>
      <c r="E3440" t="b">
        <v>0</v>
      </c>
      <c r="F3440" t="s">
        <v>11610</v>
      </c>
      <c r="L3440">
        <v>0</v>
      </c>
      <c r="M3440">
        <v>0</v>
      </c>
      <c r="N3440">
        <v>0</v>
      </c>
    </row>
    <row r="3441" spans="1:15">
      <c r="A3441" t="s">
        <v>21489</v>
      </c>
      <c r="B3441" t="s">
        <v>6742</v>
      </c>
      <c r="C3441" t="s">
        <v>20801</v>
      </c>
      <c r="D3441" t="s">
        <v>21490</v>
      </c>
      <c r="E3441" t="b">
        <v>0</v>
      </c>
      <c r="F3441" t="s">
        <v>11610</v>
      </c>
      <c r="L3441">
        <v>0</v>
      </c>
      <c r="M3441">
        <v>0</v>
      </c>
      <c r="N3441">
        <v>4</v>
      </c>
    </row>
    <row r="3442" spans="1:15">
      <c r="A3442" t="s">
        <v>21491</v>
      </c>
      <c r="B3442" t="s">
        <v>6742</v>
      </c>
      <c r="C3442" t="s">
        <v>21492</v>
      </c>
      <c r="D3442" t="s">
        <v>21493</v>
      </c>
      <c r="E3442" t="b">
        <v>0</v>
      </c>
      <c r="F3442" t="s">
        <v>11610</v>
      </c>
      <c r="L3442">
        <v>0</v>
      </c>
      <c r="M3442">
        <v>0</v>
      </c>
      <c r="N3442">
        <v>0</v>
      </c>
    </row>
    <row r="3443" spans="1:15">
      <c r="A3443" t="s">
        <v>21494</v>
      </c>
      <c r="B3443" t="s">
        <v>6742</v>
      </c>
      <c r="C3443" t="s">
        <v>21495</v>
      </c>
      <c r="D3443" t="s">
        <v>21496</v>
      </c>
      <c r="E3443" t="b">
        <v>0</v>
      </c>
      <c r="F3443" t="s">
        <v>11610</v>
      </c>
      <c r="L3443">
        <v>0</v>
      </c>
      <c r="M3443">
        <v>0</v>
      </c>
      <c r="N3443">
        <v>0</v>
      </c>
    </row>
    <row r="3444" spans="1:15">
      <c r="A3444" t="s">
        <v>19627</v>
      </c>
      <c r="B3444" t="s">
        <v>6742</v>
      </c>
      <c r="C3444" t="s">
        <v>21497</v>
      </c>
      <c r="D3444" t="s">
        <v>21498</v>
      </c>
      <c r="E3444" t="b">
        <v>0</v>
      </c>
      <c r="F3444" t="s">
        <v>11624</v>
      </c>
      <c r="G3444">
        <v>4.8803799999999997</v>
      </c>
      <c r="H3444">
        <v>-7.8866699999999996</v>
      </c>
      <c r="I3444" t="s">
        <v>21499</v>
      </c>
      <c r="L3444">
        <v>0</v>
      </c>
      <c r="M3444">
        <v>0</v>
      </c>
      <c r="N3444">
        <v>5</v>
      </c>
      <c r="O3444" t="s">
        <v>17011</v>
      </c>
    </row>
    <row r="3445" spans="1:15">
      <c r="A3445" t="s">
        <v>14559</v>
      </c>
      <c r="B3445" t="s">
        <v>11729</v>
      </c>
      <c r="C3445" t="s">
        <v>21500</v>
      </c>
      <c r="D3445" t="s">
        <v>21501</v>
      </c>
      <c r="E3445" t="b">
        <v>0</v>
      </c>
      <c r="F3445" t="s">
        <v>11622</v>
      </c>
      <c r="L3445">
        <v>1</v>
      </c>
      <c r="M3445">
        <v>6</v>
      </c>
      <c r="N3445">
        <v>23</v>
      </c>
    </row>
    <row r="3446" spans="1:15">
      <c r="A3446" t="s">
        <v>21502</v>
      </c>
      <c r="B3446" t="s">
        <v>11729</v>
      </c>
      <c r="C3446" t="s">
        <v>15853</v>
      </c>
      <c r="D3446" t="s">
        <v>21503</v>
      </c>
      <c r="E3446" t="b">
        <v>0</v>
      </c>
      <c r="F3446" t="s">
        <v>11622</v>
      </c>
      <c r="L3446">
        <v>6</v>
      </c>
      <c r="M3446">
        <v>12</v>
      </c>
      <c r="N3446">
        <v>31</v>
      </c>
    </row>
    <row r="3447" spans="1:15">
      <c r="A3447" t="s">
        <v>21504</v>
      </c>
      <c r="D3447" t="s">
        <v>21505</v>
      </c>
      <c r="E3447" t="b">
        <v>0</v>
      </c>
      <c r="F3447" t="s">
        <v>11624</v>
      </c>
      <c r="G3447">
        <v>9.5943299999999994</v>
      </c>
      <c r="H3447">
        <v>11.5853</v>
      </c>
      <c r="I3447" t="s">
        <v>21506</v>
      </c>
      <c r="L3447">
        <v>0</v>
      </c>
      <c r="M3447">
        <v>0</v>
      </c>
      <c r="N3447">
        <v>0</v>
      </c>
      <c r="O3447" t="s">
        <v>11693</v>
      </c>
    </row>
    <row r="3448" spans="1:15">
      <c r="A3448" t="s">
        <v>21507</v>
      </c>
      <c r="B3448" t="s">
        <v>13571</v>
      </c>
      <c r="C3448" t="s">
        <v>17271</v>
      </c>
      <c r="D3448" t="s">
        <v>21508</v>
      </c>
      <c r="E3448" t="b">
        <v>0</v>
      </c>
      <c r="F3448" t="s">
        <v>11622</v>
      </c>
      <c r="L3448">
        <v>1</v>
      </c>
      <c r="M3448">
        <v>7</v>
      </c>
      <c r="N3448">
        <v>1</v>
      </c>
    </row>
    <row r="3449" spans="1:15">
      <c r="A3449" t="s">
        <v>21509</v>
      </c>
      <c r="B3449" t="s">
        <v>13276</v>
      </c>
      <c r="C3449" t="s">
        <v>21510</v>
      </c>
      <c r="D3449" t="s">
        <v>21511</v>
      </c>
      <c r="E3449" t="b">
        <v>0</v>
      </c>
      <c r="F3449" t="s">
        <v>11622</v>
      </c>
      <c r="L3449">
        <v>17</v>
      </c>
      <c r="M3449">
        <v>31</v>
      </c>
      <c r="N3449">
        <v>63</v>
      </c>
    </row>
    <row r="3450" spans="1:15">
      <c r="A3450" t="s">
        <v>21512</v>
      </c>
      <c r="B3450" t="s">
        <v>13276</v>
      </c>
      <c r="C3450" t="s">
        <v>21513</v>
      </c>
      <c r="D3450" t="s">
        <v>21514</v>
      </c>
      <c r="E3450" t="b">
        <v>0</v>
      </c>
      <c r="F3450" t="s">
        <v>11610</v>
      </c>
      <c r="L3450">
        <v>0</v>
      </c>
      <c r="M3450">
        <v>0</v>
      </c>
      <c r="N3450">
        <v>0</v>
      </c>
    </row>
    <row r="3451" spans="1:15">
      <c r="A3451" t="s">
        <v>21515</v>
      </c>
      <c r="B3451" t="s">
        <v>21516</v>
      </c>
      <c r="C3451" t="s">
        <v>21517</v>
      </c>
      <c r="D3451" t="s">
        <v>21518</v>
      </c>
      <c r="E3451" t="b">
        <v>0</v>
      </c>
      <c r="F3451" t="s">
        <v>11622</v>
      </c>
      <c r="L3451">
        <v>2</v>
      </c>
      <c r="M3451">
        <v>5</v>
      </c>
      <c r="N3451">
        <v>11</v>
      </c>
    </row>
    <row r="3452" spans="1:15">
      <c r="A3452" t="s">
        <v>21519</v>
      </c>
      <c r="B3452" t="s">
        <v>13967</v>
      </c>
      <c r="C3452" t="s">
        <v>21520</v>
      </c>
      <c r="D3452" t="s">
        <v>21521</v>
      </c>
      <c r="E3452" t="b">
        <v>0</v>
      </c>
      <c r="F3452" t="s">
        <v>11624</v>
      </c>
      <c r="G3452">
        <v>11.8863</v>
      </c>
      <c r="H3452">
        <v>16.3918</v>
      </c>
      <c r="I3452" t="s">
        <v>21522</v>
      </c>
      <c r="L3452">
        <v>0</v>
      </c>
      <c r="M3452">
        <v>0</v>
      </c>
      <c r="N3452">
        <v>14</v>
      </c>
      <c r="O3452" t="s">
        <v>21523</v>
      </c>
    </row>
    <row r="3453" spans="1:15">
      <c r="A3453" t="s">
        <v>21524</v>
      </c>
      <c r="B3453" t="s">
        <v>4236</v>
      </c>
      <c r="C3453" t="s">
        <v>21525</v>
      </c>
      <c r="D3453" t="s">
        <v>21526</v>
      </c>
      <c r="E3453" t="b">
        <v>0</v>
      </c>
      <c r="F3453" t="s">
        <v>11610</v>
      </c>
      <c r="L3453">
        <v>0</v>
      </c>
      <c r="M3453">
        <v>0</v>
      </c>
      <c r="N3453">
        <v>0</v>
      </c>
    </row>
    <row r="3454" spans="1:15">
      <c r="A3454" t="s">
        <v>21527</v>
      </c>
      <c r="B3454" t="s">
        <v>21528</v>
      </c>
      <c r="C3454" t="s">
        <v>21529</v>
      </c>
      <c r="D3454" t="s">
        <v>21530</v>
      </c>
      <c r="E3454" t="b">
        <v>0</v>
      </c>
      <c r="F3454" t="s">
        <v>11610</v>
      </c>
      <c r="L3454">
        <v>0</v>
      </c>
      <c r="M3454">
        <v>0</v>
      </c>
      <c r="N3454">
        <v>0</v>
      </c>
    </row>
    <row r="3455" spans="1:15">
      <c r="A3455" t="s">
        <v>21531</v>
      </c>
      <c r="B3455" t="s">
        <v>367</v>
      </c>
      <c r="C3455" t="s">
        <v>21532</v>
      </c>
      <c r="D3455" t="s">
        <v>21533</v>
      </c>
      <c r="E3455" t="b">
        <v>0</v>
      </c>
      <c r="F3455" t="s">
        <v>11624</v>
      </c>
      <c r="G3455">
        <v>-3.7967300000000002</v>
      </c>
      <c r="H3455">
        <v>103.137</v>
      </c>
      <c r="I3455" t="s">
        <v>21534</v>
      </c>
      <c r="L3455">
        <v>0</v>
      </c>
      <c r="M3455">
        <v>0</v>
      </c>
      <c r="N3455">
        <v>0</v>
      </c>
      <c r="O3455" t="s">
        <v>11768</v>
      </c>
    </row>
    <row r="3456" spans="1:15">
      <c r="A3456" t="s">
        <v>21535</v>
      </c>
      <c r="B3456" t="s">
        <v>367</v>
      </c>
      <c r="C3456" t="s">
        <v>15756</v>
      </c>
      <c r="D3456" t="s">
        <v>21536</v>
      </c>
      <c r="E3456" t="b">
        <v>0</v>
      </c>
      <c r="F3456" t="s">
        <v>11624</v>
      </c>
      <c r="G3456">
        <v>-15.0784</v>
      </c>
      <c r="H3456">
        <v>168.13499999999999</v>
      </c>
      <c r="I3456" t="s">
        <v>21537</v>
      </c>
      <c r="L3456">
        <v>0</v>
      </c>
      <c r="M3456">
        <v>0</v>
      </c>
      <c r="N3456">
        <v>3</v>
      </c>
      <c r="O3456" t="s">
        <v>12719</v>
      </c>
    </row>
    <row r="3457" spans="1:15">
      <c r="A3457" t="s">
        <v>21538</v>
      </c>
      <c r="B3457" t="s">
        <v>367</v>
      </c>
      <c r="C3457" t="s">
        <v>12101</v>
      </c>
      <c r="D3457" t="s">
        <v>21539</v>
      </c>
      <c r="E3457" t="b">
        <v>0</v>
      </c>
      <c r="F3457" t="s">
        <v>11622</v>
      </c>
      <c r="L3457">
        <v>22</v>
      </c>
      <c r="M3457">
        <v>45</v>
      </c>
      <c r="N3457">
        <v>62</v>
      </c>
    </row>
    <row r="3458" spans="1:15">
      <c r="A3458" t="s">
        <v>21540</v>
      </c>
      <c r="B3458" t="s">
        <v>367</v>
      </c>
      <c r="C3458" t="s">
        <v>11080</v>
      </c>
      <c r="D3458" t="s">
        <v>21541</v>
      </c>
      <c r="E3458" t="b">
        <v>0</v>
      </c>
      <c r="F3458" t="s">
        <v>11610</v>
      </c>
      <c r="L3458">
        <v>0</v>
      </c>
      <c r="M3458">
        <v>0</v>
      </c>
      <c r="N3458">
        <v>0</v>
      </c>
    </row>
    <row r="3459" spans="1:15">
      <c r="A3459" t="s">
        <v>21542</v>
      </c>
      <c r="B3459" t="s">
        <v>367</v>
      </c>
      <c r="C3459" t="s">
        <v>21543</v>
      </c>
      <c r="D3459" t="s">
        <v>21544</v>
      </c>
      <c r="E3459" t="b">
        <v>0</v>
      </c>
      <c r="F3459" t="s">
        <v>11622</v>
      </c>
      <c r="L3459">
        <v>3</v>
      </c>
      <c r="M3459">
        <v>12</v>
      </c>
      <c r="N3459">
        <v>31</v>
      </c>
    </row>
    <row r="3460" spans="1:15">
      <c r="A3460" t="s">
        <v>21545</v>
      </c>
      <c r="B3460" t="s">
        <v>367</v>
      </c>
      <c r="C3460" t="s">
        <v>21546</v>
      </c>
      <c r="D3460" t="s">
        <v>21547</v>
      </c>
      <c r="E3460" t="b">
        <v>0</v>
      </c>
      <c r="F3460" t="s">
        <v>11622</v>
      </c>
      <c r="L3460">
        <v>1</v>
      </c>
      <c r="M3460">
        <v>3</v>
      </c>
      <c r="N3460">
        <v>0</v>
      </c>
    </row>
    <row r="3461" spans="1:15">
      <c r="A3461" t="s">
        <v>21548</v>
      </c>
      <c r="B3461" t="s">
        <v>367</v>
      </c>
      <c r="C3461" t="s">
        <v>7437</v>
      </c>
      <c r="D3461" t="s">
        <v>21549</v>
      </c>
      <c r="E3461" t="b">
        <v>0</v>
      </c>
      <c r="F3461" t="s">
        <v>11610</v>
      </c>
      <c r="L3461">
        <v>0</v>
      </c>
      <c r="M3461">
        <v>0</v>
      </c>
      <c r="N3461">
        <v>0</v>
      </c>
    </row>
    <row r="3462" spans="1:15">
      <c r="A3462" t="s">
        <v>21550</v>
      </c>
      <c r="B3462" t="s">
        <v>367</v>
      </c>
      <c r="C3462" t="s">
        <v>15325</v>
      </c>
      <c r="D3462" t="s">
        <v>21551</v>
      </c>
      <c r="E3462" t="b">
        <v>0</v>
      </c>
      <c r="F3462" t="s">
        <v>11610</v>
      </c>
      <c r="L3462">
        <v>0</v>
      </c>
      <c r="M3462">
        <v>0</v>
      </c>
      <c r="N3462">
        <v>0</v>
      </c>
    </row>
    <row r="3463" spans="1:15">
      <c r="A3463" t="s">
        <v>21552</v>
      </c>
      <c r="B3463" t="s">
        <v>367</v>
      </c>
      <c r="C3463" t="s">
        <v>17819</v>
      </c>
      <c r="D3463" t="s">
        <v>21553</v>
      </c>
      <c r="E3463" t="b">
        <v>0</v>
      </c>
      <c r="F3463" t="s">
        <v>11610</v>
      </c>
      <c r="L3463">
        <v>0</v>
      </c>
      <c r="M3463">
        <v>0</v>
      </c>
      <c r="N3463">
        <v>0</v>
      </c>
    </row>
    <row r="3464" spans="1:15">
      <c r="A3464" t="s">
        <v>21554</v>
      </c>
      <c r="B3464" t="s">
        <v>367</v>
      </c>
      <c r="C3464" t="s">
        <v>21555</v>
      </c>
      <c r="D3464" t="s">
        <v>21556</v>
      </c>
      <c r="E3464" t="b">
        <v>0</v>
      </c>
      <c r="F3464" t="s">
        <v>11610</v>
      </c>
      <c r="L3464">
        <v>0</v>
      </c>
      <c r="M3464">
        <v>0</v>
      </c>
      <c r="N3464">
        <v>0</v>
      </c>
    </row>
    <row r="3465" spans="1:15">
      <c r="A3465" t="s">
        <v>21557</v>
      </c>
      <c r="B3465" t="s">
        <v>367</v>
      </c>
      <c r="C3465" t="s">
        <v>20725</v>
      </c>
      <c r="D3465" t="s">
        <v>21558</v>
      </c>
      <c r="E3465" t="b">
        <v>0</v>
      </c>
      <c r="F3465" t="s">
        <v>11610</v>
      </c>
      <c r="L3465">
        <v>0</v>
      </c>
      <c r="M3465">
        <v>0</v>
      </c>
      <c r="N3465">
        <v>0</v>
      </c>
    </row>
    <row r="3466" spans="1:15">
      <c r="A3466" t="s">
        <v>21559</v>
      </c>
      <c r="B3466" t="s">
        <v>367</v>
      </c>
      <c r="C3466" t="s">
        <v>21560</v>
      </c>
      <c r="D3466" t="s">
        <v>21561</v>
      </c>
      <c r="E3466" t="b">
        <v>0</v>
      </c>
      <c r="F3466" t="s">
        <v>11610</v>
      </c>
      <c r="L3466">
        <v>0</v>
      </c>
      <c r="M3466">
        <v>0</v>
      </c>
      <c r="N3466">
        <v>0</v>
      </c>
    </row>
    <row r="3467" spans="1:15">
      <c r="A3467" t="s">
        <v>21562</v>
      </c>
      <c r="B3467" t="s">
        <v>367</v>
      </c>
      <c r="C3467" t="s">
        <v>21563</v>
      </c>
      <c r="D3467" t="s">
        <v>21564</v>
      </c>
      <c r="E3467" t="b">
        <v>0</v>
      </c>
      <c r="F3467" t="s">
        <v>11622</v>
      </c>
      <c r="L3467">
        <v>6</v>
      </c>
      <c r="M3467">
        <v>14</v>
      </c>
      <c r="N3467">
        <v>38</v>
      </c>
    </row>
    <row r="3468" spans="1:15">
      <c r="A3468" t="s">
        <v>21565</v>
      </c>
      <c r="B3468" t="s">
        <v>367</v>
      </c>
      <c r="C3468" t="s">
        <v>21566</v>
      </c>
      <c r="D3468" t="s">
        <v>21567</v>
      </c>
      <c r="E3468" t="b">
        <v>0</v>
      </c>
      <c r="F3468" t="s">
        <v>11624</v>
      </c>
      <c r="G3468">
        <v>-8.1541399999999999</v>
      </c>
      <c r="H3468">
        <v>129.86500000000001</v>
      </c>
      <c r="I3468" t="s">
        <v>21568</v>
      </c>
      <c r="L3468">
        <v>0</v>
      </c>
      <c r="M3468">
        <v>0</v>
      </c>
      <c r="N3468">
        <v>0</v>
      </c>
      <c r="O3468" t="s">
        <v>11768</v>
      </c>
    </row>
    <row r="3469" spans="1:15">
      <c r="A3469" t="s">
        <v>21569</v>
      </c>
      <c r="B3469" t="s">
        <v>367</v>
      </c>
      <c r="C3469" t="s">
        <v>5503</v>
      </c>
      <c r="D3469" t="s">
        <v>21570</v>
      </c>
      <c r="E3469" t="b">
        <v>0</v>
      </c>
      <c r="F3469" t="s">
        <v>11610</v>
      </c>
      <c r="L3469">
        <v>0</v>
      </c>
      <c r="M3469">
        <v>0</v>
      </c>
      <c r="N3469">
        <v>0</v>
      </c>
    </row>
    <row r="3470" spans="1:15">
      <c r="A3470" t="s">
        <v>21571</v>
      </c>
      <c r="B3470" t="s">
        <v>367</v>
      </c>
      <c r="C3470" t="s">
        <v>16051</v>
      </c>
      <c r="D3470" t="s">
        <v>21572</v>
      </c>
      <c r="E3470" t="b">
        <v>0</v>
      </c>
      <c r="F3470" t="s">
        <v>11610</v>
      </c>
      <c r="G3470">
        <v>-8.6777999999999995</v>
      </c>
      <c r="H3470">
        <v>121.04764</v>
      </c>
      <c r="I3470" t="s">
        <v>21573</v>
      </c>
      <c r="L3470">
        <v>0</v>
      </c>
      <c r="M3470">
        <v>0</v>
      </c>
      <c r="N3470">
        <v>0</v>
      </c>
    </row>
    <row r="3471" spans="1:15">
      <c r="A3471" t="s">
        <v>21574</v>
      </c>
      <c r="B3471" t="s">
        <v>367</v>
      </c>
      <c r="C3471" t="s">
        <v>20534</v>
      </c>
      <c r="D3471" t="s">
        <v>21575</v>
      </c>
      <c r="E3471" t="b">
        <v>0</v>
      </c>
      <c r="F3471" t="s">
        <v>11610</v>
      </c>
      <c r="L3471">
        <v>0</v>
      </c>
      <c r="M3471">
        <v>0</v>
      </c>
      <c r="N3471">
        <v>0</v>
      </c>
    </row>
    <row r="3472" spans="1:15">
      <c r="A3472" t="s">
        <v>21576</v>
      </c>
      <c r="B3472" t="s">
        <v>367</v>
      </c>
      <c r="C3472" t="s">
        <v>13198</v>
      </c>
      <c r="D3472" t="s">
        <v>21577</v>
      </c>
      <c r="E3472" t="b">
        <v>0</v>
      </c>
      <c r="F3472" t="s">
        <v>11610</v>
      </c>
      <c r="L3472">
        <v>0</v>
      </c>
      <c r="M3472">
        <v>0</v>
      </c>
      <c r="N3472">
        <v>0</v>
      </c>
    </row>
    <row r="3473" spans="1:15">
      <c r="A3473" t="s">
        <v>21578</v>
      </c>
      <c r="B3473" t="s">
        <v>367</v>
      </c>
      <c r="C3473" t="s">
        <v>13198</v>
      </c>
      <c r="D3473" t="s">
        <v>21579</v>
      </c>
      <c r="E3473" t="b">
        <v>0</v>
      </c>
      <c r="F3473" t="s">
        <v>11610</v>
      </c>
      <c r="L3473">
        <v>0</v>
      </c>
      <c r="M3473">
        <v>0</v>
      </c>
      <c r="N3473">
        <v>0</v>
      </c>
    </row>
    <row r="3474" spans="1:15">
      <c r="A3474" t="s">
        <v>21580</v>
      </c>
      <c r="B3474" t="s">
        <v>367</v>
      </c>
      <c r="C3474" t="s">
        <v>21581</v>
      </c>
      <c r="D3474" t="s">
        <v>21582</v>
      </c>
      <c r="E3474" t="b">
        <v>0</v>
      </c>
      <c r="F3474" t="s">
        <v>11622</v>
      </c>
      <c r="L3474">
        <v>1</v>
      </c>
      <c r="M3474">
        <v>3</v>
      </c>
      <c r="N3474">
        <v>3</v>
      </c>
    </row>
    <row r="3475" spans="1:15">
      <c r="A3475" t="s">
        <v>21583</v>
      </c>
      <c r="B3475" t="s">
        <v>367</v>
      </c>
      <c r="C3475" t="s">
        <v>4363</v>
      </c>
      <c r="D3475" t="s">
        <v>21584</v>
      </c>
      <c r="E3475" t="b">
        <v>0</v>
      </c>
      <c r="F3475" t="s">
        <v>11622</v>
      </c>
      <c r="L3475">
        <v>4</v>
      </c>
      <c r="M3475">
        <v>10</v>
      </c>
      <c r="N3475">
        <v>5</v>
      </c>
    </row>
    <row r="3476" spans="1:15">
      <c r="A3476" t="s">
        <v>21585</v>
      </c>
      <c r="B3476" t="s">
        <v>367</v>
      </c>
      <c r="C3476" t="s">
        <v>21586</v>
      </c>
      <c r="D3476" t="s">
        <v>21587</v>
      </c>
      <c r="E3476" t="b">
        <v>0</v>
      </c>
      <c r="F3476" t="s">
        <v>11610</v>
      </c>
      <c r="L3476">
        <v>0</v>
      </c>
      <c r="M3476">
        <v>0</v>
      </c>
      <c r="N3476">
        <v>0</v>
      </c>
    </row>
    <row r="3477" spans="1:15">
      <c r="A3477" t="s">
        <v>21588</v>
      </c>
      <c r="B3477" t="s">
        <v>367</v>
      </c>
      <c r="C3477" t="s">
        <v>20857</v>
      </c>
      <c r="D3477" t="s">
        <v>21589</v>
      </c>
      <c r="E3477" t="b">
        <v>0</v>
      </c>
      <c r="F3477" t="s">
        <v>11624</v>
      </c>
      <c r="G3477">
        <v>17.957100000000001</v>
      </c>
      <c r="H3477">
        <v>121.857</v>
      </c>
      <c r="I3477" t="s">
        <v>21590</v>
      </c>
      <c r="L3477">
        <v>0</v>
      </c>
      <c r="M3477">
        <v>0</v>
      </c>
      <c r="N3477">
        <v>0</v>
      </c>
      <c r="O3477" t="s">
        <v>11749</v>
      </c>
    </row>
    <row r="3478" spans="1:15">
      <c r="A3478" t="s">
        <v>21591</v>
      </c>
      <c r="B3478" t="s">
        <v>367</v>
      </c>
      <c r="C3478" t="s">
        <v>21592</v>
      </c>
      <c r="D3478" t="s">
        <v>21593</v>
      </c>
      <c r="E3478" t="b">
        <v>0</v>
      </c>
      <c r="F3478" t="s">
        <v>11624</v>
      </c>
      <c r="G3478">
        <v>13.757400000000001</v>
      </c>
      <c r="H3478">
        <v>123.40300000000001</v>
      </c>
      <c r="I3478" t="s">
        <v>21594</v>
      </c>
      <c r="L3478">
        <v>0</v>
      </c>
      <c r="M3478">
        <v>0</v>
      </c>
      <c r="N3478">
        <v>2</v>
      </c>
      <c r="O3478" t="s">
        <v>11749</v>
      </c>
    </row>
    <row r="3479" spans="1:15">
      <c r="A3479" t="s">
        <v>14964</v>
      </c>
      <c r="B3479" t="s">
        <v>367</v>
      </c>
      <c r="C3479" t="s">
        <v>21595</v>
      </c>
      <c r="D3479" t="s">
        <v>21596</v>
      </c>
      <c r="E3479" t="b">
        <v>0</v>
      </c>
      <c r="F3479" t="s">
        <v>11622</v>
      </c>
      <c r="L3479">
        <v>0</v>
      </c>
      <c r="M3479">
        <v>2</v>
      </c>
      <c r="N3479">
        <v>4</v>
      </c>
    </row>
    <row r="3480" spans="1:15">
      <c r="A3480" t="s">
        <v>21597</v>
      </c>
      <c r="B3480" t="s">
        <v>367</v>
      </c>
      <c r="C3480" t="s">
        <v>21598</v>
      </c>
      <c r="D3480" t="s">
        <v>21599</v>
      </c>
      <c r="E3480" t="b">
        <v>0</v>
      </c>
      <c r="F3480" t="s">
        <v>11624</v>
      </c>
      <c r="G3480">
        <v>8.1270100000000003</v>
      </c>
      <c r="H3480">
        <v>123.018</v>
      </c>
      <c r="I3480" t="s">
        <v>21600</v>
      </c>
      <c r="L3480">
        <v>0</v>
      </c>
      <c r="M3480">
        <v>0</v>
      </c>
      <c r="N3480">
        <v>1</v>
      </c>
      <c r="O3480" t="s">
        <v>11749</v>
      </c>
    </row>
    <row r="3481" spans="1:15">
      <c r="A3481" t="s">
        <v>21601</v>
      </c>
      <c r="B3481" t="s">
        <v>367</v>
      </c>
      <c r="C3481" t="s">
        <v>17382</v>
      </c>
      <c r="D3481" t="s">
        <v>21602</v>
      </c>
      <c r="E3481" t="b">
        <v>0</v>
      </c>
      <c r="F3481" t="s">
        <v>11624</v>
      </c>
      <c r="G3481">
        <v>10.651899999999999</v>
      </c>
      <c r="H3481">
        <v>119.33799999999999</v>
      </c>
      <c r="I3481" t="s">
        <v>21603</v>
      </c>
      <c r="L3481">
        <v>0</v>
      </c>
      <c r="M3481">
        <v>0</v>
      </c>
      <c r="N3481">
        <v>0</v>
      </c>
      <c r="O3481" t="s">
        <v>11749</v>
      </c>
    </row>
    <row r="3482" spans="1:15">
      <c r="A3482" t="s">
        <v>21604</v>
      </c>
      <c r="B3482" t="s">
        <v>367</v>
      </c>
      <c r="C3482" t="s">
        <v>19914</v>
      </c>
      <c r="D3482" t="s">
        <v>21605</v>
      </c>
      <c r="E3482" t="b">
        <v>0</v>
      </c>
      <c r="F3482" t="s">
        <v>11624</v>
      </c>
      <c r="G3482">
        <v>8.77013</v>
      </c>
      <c r="H3482">
        <v>117.83799999999999</v>
      </c>
      <c r="I3482" t="s">
        <v>21606</v>
      </c>
      <c r="L3482">
        <v>0</v>
      </c>
      <c r="M3482">
        <v>0</v>
      </c>
      <c r="N3482">
        <v>0</v>
      </c>
      <c r="O3482" t="s">
        <v>11749</v>
      </c>
    </row>
    <row r="3483" spans="1:15">
      <c r="A3483" t="s">
        <v>21607</v>
      </c>
      <c r="B3483" t="s">
        <v>367</v>
      </c>
      <c r="C3483" t="s">
        <v>16229</v>
      </c>
      <c r="D3483" t="s">
        <v>21608</v>
      </c>
      <c r="E3483" t="b">
        <v>0</v>
      </c>
      <c r="F3483" t="s">
        <v>11624</v>
      </c>
      <c r="G3483">
        <v>7.0045739999999999</v>
      </c>
      <c r="H3483">
        <v>118.455978</v>
      </c>
      <c r="I3483" t="s">
        <v>21609</v>
      </c>
      <c r="L3483">
        <v>0</v>
      </c>
      <c r="M3483">
        <v>0</v>
      </c>
      <c r="N3483">
        <v>1</v>
      </c>
      <c r="O3483" t="s">
        <v>11749</v>
      </c>
    </row>
    <row r="3484" spans="1:15">
      <c r="A3484" t="s">
        <v>21610</v>
      </c>
      <c r="B3484" t="s">
        <v>367</v>
      </c>
      <c r="C3484" t="s">
        <v>18060</v>
      </c>
      <c r="D3484" t="s">
        <v>21611</v>
      </c>
      <c r="E3484" t="b">
        <v>0</v>
      </c>
      <c r="F3484" t="s">
        <v>11622</v>
      </c>
      <c r="L3484">
        <v>2</v>
      </c>
      <c r="M3484">
        <v>5</v>
      </c>
      <c r="N3484">
        <v>7</v>
      </c>
    </row>
    <row r="3485" spans="1:15">
      <c r="A3485" t="s">
        <v>21612</v>
      </c>
      <c r="B3485" t="s">
        <v>367</v>
      </c>
      <c r="C3485" t="s">
        <v>18063</v>
      </c>
      <c r="D3485" t="s">
        <v>21613</v>
      </c>
      <c r="E3485" t="b">
        <v>0</v>
      </c>
      <c r="F3485" t="s">
        <v>11622</v>
      </c>
      <c r="L3485">
        <v>0</v>
      </c>
      <c r="M3485">
        <v>2</v>
      </c>
      <c r="N3485">
        <v>0</v>
      </c>
    </row>
    <row r="3486" spans="1:15">
      <c r="A3486" t="s">
        <v>21614</v>
      </c>
      <c r="B3486" t="s">
        <v>367</v>
      </c>
      <c r="C3486" t="s">
        <v>21612</v>
      </c>
      <c r="D3486" t="s">
        <v>21615</v>
      </c>
      <c r="E3486" t="b">
        <v>0</v>
      </c>
      <c r="F3486" t="s">
        <v>11624</v>
      </c>
      <c r="G3486">
        <v>3.97194</v>
      </c>
      <c r="H3486">
        <v>114.565</v>
      </c>
      <c r="I3486" t="s">
        <v>21616</v>
      </c>
      <c r="L3486">
        <v>0</v>
      </c>
      <c r="M3486">
        <v>0</v>
      </c>
      <c r="N3486">
        <v>0</v>
      </c>
      <c r="O3486" t="s">
        <v>11672</v>
      </c>
    </row>
    <row r="3487" spans="1:15">
      <c r="A3487" t="s">
        <v>17635</v>
      </c>
      <c r="B3487" t="s">
        <v>367</v>
      </c>
      <c r="C3487" t="s">
        <v>21617</v>
      </c>
      <c r="D3487" t="s">
        <v>21618</v>
      </c>
      <c r="E3487" t="b">
        <v>0</v>
      </c>
      <c r="F3487" t="s">
        <v>11624</v>
      </c>
      <c r="G3487">
        <v>6.0299800000000001</v>
      </c>
      <c r="H3487">
        <v>116.681</v>
      </c>
      <c r="I3487" t="s">
        <v>21619</v>
      </c>
      <c r="L3487">
        <v>0</v>
      </c>
      <c r="M3487">
        <v>0</v>
      </c>
      <c r="N3487">
        <v>12</v>
      </c>
      <c r="O3487" t="s">
        <v>11672</v>
      </c>
    </row>
    <row r="3488" spans="1:15">
      <c r="A3488" t="s">
        <v>16303</v>
      </c>
      <c r="B3488" t="s">
        <v>367</v>
      </c>
      <c r="C3488" t="s">
        <v>21620</v>
      </c>
      <c r="D3488" t="s">
        <v>21621</v>
      </c>
      <c r="E3488" t="b">
        <v>0</v>
      </c>
      <c r="F3488" t="s">
        <v>11624</v>
      </c>
      <c r="G3488">
        <v>2.5240860000000001</v>
      </c>
      <c r="H3488">
        <v>111.346451</v>
      </c>
      <c r="I3488" t="s">
        <v>21622</v>
      </c>
      <c r="L3488">
        <v>0</v>
      </c>
      <c r="M3488">
        <v>0</v>
      </c>
      <c r="N3488">
        <v>10</v>
      </c>
      <c r="O3488" t="s">
        <v>17804</v>
      </c>
    </row>
    <row r="3489" spans="1:15">
      <c r="A3489" t="s">
        <v>21623</v>
      </c>
      <c r="B3489" t="s">
        <v>367</v>
      </c>
      <c r="C3489" t="s">
        <v>21624</v>
      </c>
      <c r="D3489" t="s">
        <v>21625</v>
      </c>
      <c r="E3489" t="b">
        <v>0</v>
      </c>
      <c r="F3489" t="s">
        <v>11610</v>
      </c>
      <c r="L3489">
        <v>0</v>
      </c>
      <c r="M3489">
        <v>0</v>
      </c>
      <c r="N3489">
        <v>0</v>
      </c>
    </row>
    <row r="3490" spans="1:15">
      <c r="A3490" t="s">
        <v>13483</v>
      </c>
      <c r="B3490" t="s">
        <v>367</v>
      </c>
      <c r="C3490" t="s">
        <v>21626</v>
      </c>
      <c r="D3490" t="s">
        <v>21627</v>
      </c>
      <c r="E3490" t="b">
        <v>0</v>
      </c>
      <c r="F3490" t="s">
        <v>11622</v>
      </c>
      <c r="L3490">
        <v>0</v>
      </c>
      <c r="M3490">
        <v>2</v>
      </c>
      <c r="N3490">
        <v>4</v>
      </c>
    </row>
    <row r="3491" spans="1:15">
      <c r="A3491" t="s">
        <v>21628</v>
      </c>
      <c r="B3491" t="s">
        <v>367</v>
      </c>
      <c r="C3491" t="s">
        <v>4580</v>
      </c>
      <c r="D3491" t="s">
        <v>21629</v>
      </c>
      <c r="E3491" t="b">
        <v>0</v>
      </c>
      <c r="F3491" t="s">
        <v>11610</v>
      </c>
      <c r="L3491">
        <v>0</v>
      </c>
      <c r="M3491">
        <v>0</v>
      </c>
      <c r="N3491">
        <v>0</v>
      </c>
    </row>
    <row r="3492" spans="1:15">
      <c r="A3492" t="s">
        <v>21630</v>
      </c>
      <c r="B3492" t="s">
        <v>367</v>
      </c>
      <c r="C3492" t="s">
        <v>4467</v>
      </c>
      <c r="D3492" t="s">
        <v>21631</v>
      </c>
      <c r="E3492" t="b">
        <v>0</v>
      </c>
      <c r="F3492" t="s">
        <v>11610</v>
      </c>
      <c r="L3492">
        <v>0</v>
      </c>
      <c r="M3492">
        <v>0</v>
      </c>
      <c r="N3492">
        <v>2</v>
      </c>
    </row>
    <row r="3493" spans="1:15">
      <c r="A3493" t="s">
        <v>15642</v>
      </c>
      <c r="B3493" t="s">
        <v>367</v>
      </c>
      <c r="C3493" t="s">
        <v>21632</v>
      </c>
      <c r="D3493" t="s">
        <v>21633</v>
      </c>
      <c r="E3493" t="b">
        <v>0</v>
      </c>
      <c r="F3493" t="s">
        <v>11622</v>
      </c>
      <c r="L3493">
        <v>0</v>
      </c>
      <c r="M3493">
        <v>2</v>
      </c>
      <c r="N3493">
        <v>5</v>
      </c>
    </row>
    <row r="3494" spans="1:15">
      <c r="A3494" t="s">
        <v>21634</v>
      </c>
      <c r="B3494" t="s">
        <v>11705</v>
      </c>
      <c r="C3494" t="s">
        <v>21635</v>
      </c>
      <c r="D3494" t="s">
        <v>21636</v>
      </c>
      <c r="E3494" t="b">
        <v>0</v>
      </c>
      <c r="F3494" t="s">
        <v>11610</v>
      </c>
      <c r="L3494">
        <v>0</v>
      </c>
      <c r="M3494">
        <v>0</v>
      </c>
      <c r="N3494">
        <v>0</v>
      </c>
    </row>
    <row r="3495" spans="1:15">
      <c r="A3495" t="s">
        <v>21637</v>
      </c>
      <c r="B3495" t="s">
        <v>11834</v>
      </c>
      <c r="C3495" t="s">
        <v>21638</v>
      </c>
      <c r="D3495" t="s">
        <v>21639</v>
      </c>
      <c r="E3495" t="b">
        <v>0</v>
      </c>
      <c r="F3495" t="s">
        <v>11610</v>
      </c>
      <c r="L3495">
        <v>0</v>
      </c>
      <c r="M3495">
        <v>0</v>
      </c>
      <c r="N3495">
        <v>0</v>
      </c>
    </row>
    <row r="3496" spans="1:15">
      <c r="A3496" t="s">
        <v>21640</v>
      </c>
      <c r="B3496" t="s">
        <v>15365</v>
      </c>
      <c r="C3496" t="s">
        <v>21641</v>
      </c>
      <c r="D3496" t="s">
        <v>21642</v>
      </c>
      <c r="E3496" t="b">
        <v>0</v>
      </c>
      <c r="F3496" t="s">
        <v>11622</v>
      </c>
      <c r="L3496">
        <v>0</v>
      </c>
      <c r="M3496">
        <v>2</v>
      </c>
      <c r="N3496">
        <v>3</v>
      </c>
    </row>
    <row r="3497" spans="1:15">
      <c r="A3497" t="s">
        <v>21643</v>
      </c>
      <c r="B3497" t="s">
        <v>11615</v>
      </c>
      <c r="C3497" t="s">
        <v>16438</v>
      </c>
      <c r="D3497" t="s">
        <v>21644</v>
      </c>
      <c r="E3497" t="b">
        <v>0</v>
      </c>
      <c r="F3497" t="s">
        <v>11610</v>
      </c>
      <c r="L3497">
        <v>0</v>
      </c>
      <c r="M3497">
        <v>0</v>
      </c>
      <c r="N3497">
        <v>0</v>
      </c>
    </row>
    <row r="3498" spans="1:15">
      <c r="A3498" t="s">
        <v>21645</v>
      </c>
      <c r="B3498" t="s">
        <v>11615</v>
      </c>
      <c r="C3498" t="s">
        <v>19586</v>
      </c>
      <c r="D3498" t="s">
        <v>21646</v>
      </c>
      <c r="E3498" t="b">
        <v>0</v>
      </c>
      <c r="F3498" t="s">
        <v>11610</v>
      </c>
      <c r="L3498">
        <v>0</v>
      </c>
      <c r="M3498">
        <v>0</v>
      </c>
      <c r="N3498">
        <v>0</v>
      </c>
    </row>
    <row r="3499" spans="1:15">
      <c r="A3499" t="s">
        <v>21647</v>
      </c>
      <c r="B3499" t="s">
        <v>11615</v>
      </c>
      <c r="C3499" t="s">
        <v>21648</v>
      </c>
      <c r="D3499" t="s">
        <v>21649</v>
      </c>
      <c r="E3499" t="b">
        <v>0</v>
      </c>
      <c r="F3499" t="s">
        <v>11610</v>
      </c>
      <c r="L3499">
        <v>0</v>
      </c>
      <c r="M3499">
        <v>0</v>
      </c>
      <c r="N3499">
        <v>0</v>
      </c>
    </row>
    <row r="3500" spans="1:15">
      <c r="A3500" t="s">
        <v>21650</v>
      </c>
      <c r="B3500" t="s">
        <v>11615</v>
      </c>
      <c r="C3500" t="s">
        <v>21651</v>
      </c>
      <c r="D3500" t="s">
        <v>21652</v>
      </c>
      <c r="E3500" t="b">
        <v>0</v>
      </c>
      <c r="F3500" t="s">
        <v>11610</v>
      </c>
      <c r="L3500">
        <v>0</v>
      </c>
      <c r="M3500">
        <v>0</v>
      </c>
      <c r="N3500">
        <v>0</v>
      </c>
    </row>
    <row r="3501" spans="1:15">
      <c r="A3501" t="s">
        <v>14819</v>
      </c>
      <c r="B3501" t="s">
        <v>11615</v>
      </c>
      <c r="C3501" t="s">
        <v>11615</v>
      </c>
      <c r="D3501" t="s">
        <v>21653</v>
      </c>
      <c r="E3501" t="b">
        <v>0</v>
      </c>
      <c r="F3501" t="s">
        <v>11622</v>
      </c>
      <c r="L3501">
        <v>25</v>
      </c>
      <c r="M3501">
        <v>49</v>
      </c>
      <c r="N3501">
        <v>39</v>
      </c>
    </row>
    <row r="3502" spans="1:15">
      <c r="A3502" t="s">
        <v>12608</v>
      </c>
      <c r="B3502" t="s">
        <v>11615</v>
      </c>
      <c r="C3502" t="s">
        <v>21654</v>
      </c>
      <c r="D3502" t="s">
        <v>21655</v>
      </c>
      <c r="E3502" t="b">
        <v>0</v>
      </c>
      <c r="F3502" t="s">
        <v>11624</v>
      </c>
      <c r="G3502">
        <v>-5.8039100000000001</v>
      </c>
      <c r="H3502">
        <v>138.471</v>
      </c>
      <c r="I3502" t="s">
        <v>21656</v>
      </c>
      <c r="L3502">
        <v>0</v>
      </c>
      <c r="M3502">
        <v>0</v>
      </c>
      <c r="N3502">
        <v>3</v>
      </c>
      <c r="O3502" t="s">
        <v>11768</v>
      </c>
    </row>
    <row r="3503" spans="1:15">
      <c r="A3503" t="s">
        <v>21657</v>
      </c>
      <c r="B3503" t="s">
        <v>11615</v>
      </c>
      <c r="C3503" t="s">
        <v>12321</v>
      </c>
      <c r="D3503" t="s">
        <v>21658</v>
      </c>
      <c r="E3503" t="b">
        <v>0</v>
      </c>
      <c r="F3503" t="s">
        <v>11624</v>
      </c>
      <c r="G3503">
        <v>-6.2936300000000003</v>
      </c>
      <c r="H3503">
        <v>139.69300000000001</v>
      </c>
      <c r="I3503" t="s">
        <v>21659</v>
      </c>
      <c r="L3503">
        <v>0</v>
      </c>
      <c r="M3503">
        <v>0</v>
      </c>
      <c r="N3503">
        <v>0</v>
      </c>
      <c r="O3503" t="s">
        <v>11768</v>
      </c>
    </row>
    <row r="3504" spans="1:15">
      <c r="A3504" t="s">
        <v>21660</v>
      </c>
      <c r="B3504" t="s">
        <v>11615</v>
      </c>
      <c r="C3504" t="s">
        <v>21661</v>
      </c>
      <c r="D3504" t="s">
        <v>21662</v>
      </c>
      <c r="E3504" t="b">
        <v>0</v>
      </c>
      <c r="F3504" t="s">
        <v>11610</v>
      </c>
      <c r="L3504">
        <v>0</v>
      </c>
      <c r="M3504">
        <v>0</v>
      </c>
      <c r="N3504">
        <v>0</v>
      </c>
    </row>
    <row r="3505" spans="1:15">
      <c r="A3505" t="s">
        <v>21663</v>
      </c>
      <c r="B3505" t="s">
        <v>11615</v>
      </c>
      <c r="C3505" t="s">
        <v>11615</v>
      </c>
      <c r="D3505" t="s">
        <v>21664</v>
      </c>
      <c r="E3505" t="b">
        <v>0</v>
      </c>
      <c r="F3505" t="s">
        <v>11622</v>
      </c>
      <c r="L3505">
        <v>11</v>
      </c>
      <c r="M3505">
        <v>17</v>
      </c>
      <c r="N3505">
        <v>42</v>
      </c>
    </row>
    <row r="3506" spans="1:15">
      <c r="A3506" t="s">
        <v>21665</v>
      </c>
      <c r="B3506" t="s">
        <v>11615</v>
      </c>
      <c r="C3506" t="s">
        <v>7854</v>
      </c>
      <c r="D3506" t="s">
        <v>21666</v>
      </c>
      <c r="E3506" t="b">
        <v>0</v>
      </c>
      <c r="F3506" t="s">
        <v>11610</v>
      </c>
      <c r="L3506">
        <v>0</v>
      </c>
      <c r="M3506">
        <v>0</v>
      </c>
      <c r="N3506">
        <v>0</v>
      </c>
    </row>
    <row r="3507" spans="1:15">
      <c r="A3507" t="s">
        <v>21667</v>
      </c>
      <c r="B3507" t="s">
        <v>21668</v>
      </c>
      <c r="C3507" t="s">
        <v>21669</v>
      </c>
      <c r="D3507" t="s">
        <v>21670</v>
      </c>
      <c r="E3507" t="b">
        <v>0</v>
      </c>
      <c r="F3507" t="s">
        <v>11610</v>
      </c>
      <c r="L3507">
        <v>0</v>
      </c>
      <c r="M3507">
        <v>0</v>
      </c>
      <c r="N3507">
        <v>0</v>
      </c>
    </row>
    <row r="3508" spans="1:15">
      <c r="A3508" t="s">
        <v>21671</v>
      </c>
      <c r="B3508" t="s">
        <v>21672</v>
      </c>
      <c r="C3508" t="s">
        <v>21673</v>
      </c>
      <c r="D3508" t="s">
        <v>21674</v>
      </c>
      <c r="E3508" t="b">
        <v>0</v>
      </c>
      <c r="F3508" t="s">
        <v>11610</v>
      </c>
      <c r="L3508">
        <v>0</v>
      </c>
      <c r="M3508">
        <v>0</v>
      </c>
      <c r="N3508">
        <v>0</v>
      </c>
    </row>
    <row r="3509" spans="1:15">
      <c r="A3509" t="s">
        <v>21675</v>
      </c>
      <c r="B3509" t="s">
        <v>13264</v>
      </c>
      <c r="C3509" t="s">
        <v>21676</v>
      </c>
      <c r="D3509" t="s">
        <v>21677</v>
      </c>
      <c r="E3509" t="b">
        <v>0</v>
      </c>
      <c r="F3509" t="s">
        <v>11610</v>
      </c>
      <c r="L3509">
        <v>0</v>
      </c>
      <c r="M3509">
        <v>0</v>
      </c>
      <c r="N3509">
        <v>0</v>
      </c>
    </row>
    <row r="3510" spans="1:15">
      <c r="A3510" t="s">
        <v>21678</v>
      </c>
      <c r="B3510" t="s">
        <v>13411</v>
      </c>
      <c r="C3510" t="s">
        <v>19145</v>
      </c>
      <c r="D3510" t="s">
        <v>21679</v>
      </c>
      <c r="E3510" t="b">
        <v>0</v>
      </c>
      <c r="F3510" t="s">
        <v>11610</v>
      </c>
      <c r="L3510">
        <v>0</v>
      </c>
      <c r="M3510">
        <v>0</v>
      </c>
      <c r="N3510">
        <v>0</v>
      </c>
    </row>
    <row r="3511" spans="1:15">
      <c r="A3511" t="s">
        <v>4341</v>
      </c>
      <c r="B3511" t="s">
        <v>4342</v>
      </c>
      <c r="C3511" t="s">
        <v>21680</v>
      </c>
      <c r="D3511" t="s">
        <v>21681</v>
      </c>
      <c r="E3511" t="b">
        <v>0</v>
      </c>
      <c r="F3511" t="s">
        <v>11624</v>
      </c>
      <c r="G3511">
        <v>26.148540000000001</v>
      </c>
      <c r="H3511">
        <v>127.7816</v>
      </c>
      <c r="I3511" t="s">
        <v>21682</v>
      </c>
      <c r="L3511">
        <v>0</v>
      </c>
      <c r="M3511">
        <v>0</v>
      </c>
      <c r="N3511">
        <v>4</v>
      </c>
      <c r="O3511" t="s">
        <v>12539</v>
      </c>
    </row>
    <row r="3512" spans="1:15">
      <c r="A3512" t="s">
        <v>4307</v>
      </c>
      <c r="B3512" t="s">
        <v>13014</v>
      </c>
      <c r="C3512" t="s">
        <v>21683</v>
      </c>
      <c r="D3512" t="s">
        <v>21684</v>
      </c>
      <c r="E3512" t="b">
        <v>0</v>
      </c>
      <c r="F3512" t="s">
        <v>11624</v>
      </c>
      <c r="G3512">
        <v>60.306199999999997</v>
      </c>
      <c r="H3512">
        <v>-161.48599999999999</v>
      </c>
      <c r="I3512" t="s">
        <v>4308</v>
      </c>
      <c r="L3512">
        <v>0</v>
      </c>
      <c r="M3512">
        <v>0</v>
      </c>
      <c r="N3512">
        <v>4</v>
      </c>
      <c r="O3512" t="s">
        <v>11944</v>
      </c>
    </row>
    <row r="3513" spans="1:15">
      <c r="A3513" t="s">
        <v>21685</v>
      </c>
      <c r="B3513" t="s">
        <v>13014</v>
      </c>
      <c r="C3513" t="s">
        <v>21683</v>
      </c>
      <c r="D3513" t="s">
        <v>21686</v>
      </c>
      <c r="E3513" t="b">
        <v>0</v>
      </c>
      <c r="F3513" t="s">
        <v>11624</v>
      </c>
      <c r="G3513">
        <v>63.430799999999998</v>
      </c>
      <c r="H3513">
        <v>-170.27199999999999</v>
      </c>
      <c r="I3513" t="s">
        <v>21687</v>
      </c>
      <c r="L3513">
        <v>0</v>
      </c>
      <c r="M3513">
        <v>0</v>
      </c>
      <c r="N3513">
        <v>0</v>
      </c>
      <c r="O3513" t="s">
        <v>13017</v>
      </c>
    </row>
    <row r="3514" spans="1:15">
      <c r="A3514" t="s">
        <v>21688</v>
      </c>
      <c r="B3514" t="s">
        <v>9071</v>
      </c>
      <c r="C3514" t="s">
        <v>9071</v>
      </c>
      <c r="D3514" t="s">
        <v>21689</v>
      </c>
      <c r="E3514" t="b">
        <v>0</v>
      </c>
      <c r="F3514" t="s">
        <v>11622</v>
      </c>
      <c r="L3514">
        <v>2</v>
      </c>
      <c r="M3514">
        <v>11</v>
      </c>
      <c r="N3514">
        <v>27</v>
      </c>
    </row>
    <row r="3515" spans="1:15">
      <c r="A3515" t="s">
        <v>21690</v>
      </c>
      <c r="B3515" t="s">
        <v>12751</v>
      </c>
      <c r="C3515" t="s">
        <v>21691</v>
      </c>
      <c r="D3515" t="s">
        <v>21692</v>
      </c>
      <c r="E3515" t="b">
        <v>0</v>
      </c>
      <c r="F3515" t="s">
        <v>11622</v>
      </c>
      <c r="L3515">
        <v>0</v>
      </c>
      <c r="M3515">
        <v>3</v>
      </c>
      <c r="N3515">
        <v>3</v>
      </c>
    </row>
    <row r="3516" spans="1:15">
      <c r="A3516" t="s">
        <v>6662</v>
      </c>
      <c r="B3516" t="s">
        <v>12751</v>
      </c>
      <c r="C3516" t="s">
        <v>6663</v>
      </c>
      <c r="D3516" t="s">
        <v>21693</v>
      </c>
      <c r="E3516" t="b">
        <v>0</v>
      </c>
      <c r="F3516" t="s">
        <v>11624</v>
      </c>
      <c r="G3516">
        <v>27.564800000000002</v>
      </c>
      <c r="H3516">
        <v>-107.154</v>
      </c>
      <c r="I3516" t="s">
        <v>6664</v>
      </c>
      <c r="L3516">
        <v>0</v>
      </c>
      <c r="M3516">
        <v>0</v>
      </c>
      <c r="N3516">
        <v>0</v>
      </c>
      <c r="O3516" t="s">
        <v>11883</v>
      </c>
    </row>
    <row r="3517" spans="1:15">
      <c r="A3517" t="s">
        <v>21694</v>
      </c>
      <c r="B3517" t="s">
        <v>12751</v>
      </c>
      <c r="C3517" t="s">
        <v>21695</v>
      </c>
      <c r="D3517" t="s">
        <v>21696</v>
      </c>
      <c r="E3517" t="b">
        <v>0</v>
      </c>
      <c r="F3517" t="s">
        <v>11624</v>
      </c>
      <c r="G3517">
        <v>19.1248</v>
      </c>
      <c r="H3517">
        <v>-98.300200000000004</v>
      </c>
      <c r="I3517" t="s">
        <v>21697</v>
      </c>
      <c r="L3517">
        <v>0</v>
      </c>
      <c r="M3517">
        <v>0</v>
      </c>
      <c r="N3517">
        <v>0</v>
      </c>
      <c r="O3517" t="s">
        <v>11883</v>
      </c>
    </row>
    <row r="3518" spans="1:15">
      <c r="A3518" t="s">
        <v>21698</v>
      </c>
      <c r="B3518" t="s">
        <v>12751</v>
      </c>
      <c r="C3518" t="s">
        <v>21699</v>
      </c>
      <c r="D3518" t="s">
        <v>21700</v>
      </c>
      <c r="E3518" t="b">
        <v>0</v>
      </c>
      <c r="F3518" t="s">
        <v>11624</v>
      </c>
      <c r="G3518">
        <v>18.7545</v>
      </c>
      <c r="H3518">
        <v>-98.126400000000004</v>
      </c>
      <c r="I3518" t="s">
        <v>21701</v>
      </c>
      <c r="L3518">
        <v>0</v>
      </c>
      <c r="M3518">
        <v>0</v>
      </c>
      <c r="N3518">
        <v>0</v>
      </c>
      <c r="O3518" t="s">
        <v>11883</v>
      </c>
    </row>
    <row r="3519" spans="1:15">
      <c r="A3519" t="s">
        <v>21702</v>
      </c>
      <c r="B3519" t="s">
        <v>12751</v>
      </c>
      <c r="C3519" t="s">
        <v>21703</v>
      </c>
      <c r="D3519" t="s">
        <v>21704</v>
      </c>
      <c r="E3519" t="b">
        <v>0</v>
      </c>
      <c r="F3519" t="s">
        <v>11624</v>
      </c>
      <c r="G3519">
        <v>21.096299999999999</v>
      </c>
      <c r="H3519">
        <v>-98.435599999999994</v>
      </c>
      <c r="I3519" t="s">
        <v>21705</v>
      </c>
      <c r="L3519">
        <v>0</v>
      </c>
      <c r="M3519">
        <v>0</v>
      </c>
      <c r="N3519">
        <v>0</v>
      </c>
      <c r="O3519" t="s">
        <v>11883</v>
      </c>
    </row>
    <row r="3520" spans="1:15">
      <c r="A3520" t="s">
        <v>21706</v>
      </c>
      <c r="B3520" t="s">
        <v>12979</v>
      </c>
      <c r="C3520" t="s">
        <v>21707</v>
      </c>
      <c r="D3520" t="s">
        <v>21708</v>
      </c>
      <c r="E3520" t="b">
        <v>0</v>
      </c>
      <c r="F3520" t="s">
        <v>11610</v>
      </c>
      <c r="L3520">
        <v>0</v>
      </c>
      <c r="M3520">
        <v>0</v>
      </c>
      <c r="N3520">
        <v>0</v>
      </c>
    </row>
    <row r="3521" spans="1:15">
      <c r="A3521" t="s">
        <v>21709</v>
      </c>
      <c r="B3521" t="s">
        <v>12979</v>
      </c>
      <c r="C3521" t="s">
        <v>21710</v>
      </c>
      <c r="D3521" t="s">
        <v>21711</v>
      </c>
      <c r="E3521" t="b">
        <v>0</v>
      </c>
      <c r="F3521" t="s">
        <v>11624</v>
      </c>
      <c r="G3521">
        <v>46.574100000000001</v>
      </c>
      <c r="H3521">
        <v>-84.154300000000006</v>
      </c>
      <c r="I3521" t="s">
        <v>21712</v>
      </c>
      <c r="L3521">
        <v>0</v>
      </c>
      <c r="M3521">
        <v>0</v>
      </c>
      <c r="N3521">
        <v>0</v>
      </c>
      <c r="O3521" t="s">
        <v>14875</v>
      </c>
    </row>
    <row r="3522" spans="1:15">
      <c r="A3522" t="s">
        <v>21713</v>
      </c>
      <c r="B3522" t="s">
        <v>21714</v>
      </c>
      <c r="C3522" t="s">
        <v>21714</v>
      </c>
      <c r="D3522" t="s">
        <v>21715</v>
      </c>
      <c r="E3522" t="b">
        <v>0</v>
      </c>
      <c r="F3522" t="s">
        <v>11610</v>
      </c>
      <c r="L3522">
        <v>0</v>
      </c>
      <c r="M3522">
        <v>0</v>
      </c>
      <c r="N3522">
        <v>0</v>
      </c>
    </row>
    <row r="3523" spans="1:15">
      <c r="A3523" t="s">
        <v>21716</v>
      </c>
      <c r="B3523" t="s">
        <v>21717</v>
      </c>
      <c r="C3523" t="s">
        <v>21718</v>
      </c>
      <c r="D3523" t="s">
        <v>21719</v>
      </c>
      <c r="E3523" t="b">
        <v>0</v>
      </c>
      <c r="F3523" t="s">
        <v>11624</v>
      </c>
      <c r="G3523">
        <v>38.905470000000001</v>
      </c>
      <c r="H3523">
        <v>-123.66392999999999</v>
      </c>
      <c r="I3523" t="s">
        <v>21720</v>
      </c>
      <c r="L3523">
        <v>0</v>
      </c>
      <c r="M3523">
        <v>0</v>
      </c>
      <c r="N3523">
        <v>3</v>
      </c>
      <c r="O3523" t="s">
        <v>11944</v>
      </c>
    </row>
    <row r="3524" spans="1:15">
      <c r="A3524" t="s">
        <v>16998</v>
      </c>
      <c r="B3524" t="s">
        <v>16997</v>
      </c>
      <c r="C3524" t="s">
        <v>21721</v>
      </c>
      <c r="D3524" t="s">
        <v>21722</v>
      </c>
      <c r="E3524" t="b">
        <v>0</v>
      </c>
      <c r="F3524" t="s">
        <v>11622</v>
      </c>
      <c r="L3524">
        <v>0</v>
      </c>
      <c r="M3524">
        <v>4</v>
      </c>
      <c r="N3524">
        <v>0</v>
      </c>
    </row>
    <row r="3525" spans="1:15">
      <c r="A3525" t="s">
        <v>21723</v>
      </c>
      <c r="B3525" t="s">
        <v>17579</v>
      </c>
      <c r="C3525" t="s">
        <v>21724</v>
      </c>
      <c r="D3525" t="s">
        <v>21725</v>
      </c>
      <c r="E3525" t="b">
        <v>0</v>
      </c>
      <c r="F3525" t="s">
        <v>11624</v>
      </c>
      <c r="G3525">
        <v>38.081200000000003</v>
      </c>
      <c r="H3525">
        <v>-120.25700000000001</v>
      </c>
      <c r="I3525" t="s">
        <v>21726</v>
      </c>
      <c r="L3525">
        <v>0</v>
      </c>
      <c r="M3525">
        <v>0</v>
      </c>
      <c r="N3525">
        <v>2</v>
      </c>
      <c r="O3525" t="s">
        <v>11944</v>
      </c>
    </row>
    <row r="3526" spans="1:15">
      <c r="A3526" t="s">
        <v>14135</v>
      </c>
      <c r="B3526" t="s">
        <v>141</v>
      </c>
      <c r="C3526" t="s">
        <v>21727</v>
      </c>
      <c r="D3526" t="s">
        <v>21728</v>
      </c>
      <c r="E3526" t="b">
        <v>0</v>
      </c>
      <c r="F3526" t="s">
        <v>11622</v>
      </c>
      <c r="L3526">
        <v>5</v>
      </c>
      <c r="M3526">
        <v>18</v>
      </c>
      <c r="N3526">
        <v>18</v>
      </c>
    </row>
    <row r="3527" spans="1:15">
      <c r="A3527" t="s">
        <v>1229</v>
      </c>
      <c r="B3527" t="s">
        <v>393</v>
      </c>
      <c r="C3527" t="s">
        <v>21729</v>
      </c>
      <c r="D3527" t="s">
        <v>21730</v>
      </c>
      <c r="E3527" t="b">
        <v>0</v>
      </c>
      <c r="F3527" t="s">
        <v>11624</v>
      </c>
      <c r="G3527">
        <v>-17</v>
      </c>
      <c r="H3527">
        <v>-68.5</v>
      </c>
      <c r="I3527" t="s">
        <v>21731</v>
      </c>
      <c r="L3527">
        <v>0</v>
      </c>
      <c r="M3527">
        <v>0</v>
      </c>
      <c r="N3527">
        <v>0</v>
      </c>
      <c r="O3527" t="s">
        <v>21732</v>
      </c>
    </row>
    <row r="3528" spans="1:15">
      <c r="A3528" t="s">
        <v>21733</v>
      </c>
      <c r="B3528" t="s">
        <v>11965</v>
      </c>
      <c r="C3528" t="s">
        <v>5102</v>
      </c>
      <c r="D3528" t="s">
        <v>21734</v>
      </c>
      <c r="E3528" t="b">
        <v>0</v>
      </c>
      <c r="F3528" t="s">
        <v>11610</v>
      </c>
      <c r="L3528">
        <v>0</v>
      </c>
      <c r="M3528">
        <v>0</v>
      </c>
      <c r="N3528">
        <v>0</v>
      </c>
    </row>
    <row r="3529" spans="1:15">
      <c r="A3529" t="s">
        <v>15033</v>
      </c>
      <c r="B3529" t="s">
        <v>11879</v>
      </c>
      <c r="C3529" t="s">
        <v>21735</v>
      </c>
      <c r="D3529" t="s">
        <v>21736</v>
      </c>
      <c r="E3529" t="b">
        <v>0</v>
      </c>
      <c r="F3529" t="s">
        <v>11624</v>
      </c>
      <c r="G3529">
        <v>19.735700000000001</v>
      </c>
      <c r="H3529">
        <v>-100.018</v>
      </c>
      <c r="I3529" t="s">
        <v>21737</v>
      </c>
      <c r="L3529">
        <v>0</v>
      </c>
      <c r="M3529">
        <v>0</v>
      </c>
      <c r="N3529">
        <v>3</v>
      </c>
      <c r="O3529" t="s">
        <v>11883</v>
      </c>
    </row>
    <row r="3530" spans="1:15">
      <c r="A3530" t="s">
        <v>21738</v>
      </c>
      <c r="B3530" t="s">
        <v>11879</v>
      </c>
      <c r="C3530" t="s">
        <v>21739</v>
      </c>
      <c r="D3530" t="s">
        <v>21740</v>
      </c>
      <c r="E3530" t="b">
        <v>0</v>
      </c>
      <c r="F3530" t="s">
        <v>11624</v>
      </c>
      <c r="G3530">
        <v>21.376200000000001</v>
      </c>
      <c r="H3530">
        <v>-99.2898</v>
      </c>
      <c r="I3530" t="s">
        <v>21741</v>
      </c>
      <c r="L3530">
        <v>0</v>
      </c>
      <c r="M3530">
        <v>0</v>
      </c>
      <c r="N3530">
        <v>0</v>
      </c>
      <c r="O3530" t="s">
        <v>11883</v>
      </c>
    </row>
    <row r="3531" spans="1:15">
      <c r="A3531" t="s">
        <v>14920</v>
      </c>
      <c r="B3531" t="s">
        <v>11879</v>
      </c>
      <c r="C3531" t="s">
        <v>21742</v>
      </c>
      <c r="D3531" t="s">
        <v>21743</v>
      </c>
      <c r="E3531" t="b">
        <v>0</v>
      </c>
      <c r="F3531" t="s">
        <v>11622</v>
      </c>
      <c r="L3531">
        <v>0</v>
      </c>
      <c r="M3531">
        <v>21</v>
      </c>
      <c r="N3531">
        <v>5</v>
      </c>
    </row>
    <row r="3532" spans="1:15">
      <c r="A3532" t="s">
        <v>21744</v>
      </c>
      <c r="B3532" t="s">
        <v>6455</v>
      </c>
      <c r="C3532" t="s">
        <v>13887</v>
      </c>
      <c r="D3532" t="s">
        <v>21745</v>
      </c>
      <c r="E3532" t="b">
        <v>0</v>
      </c>
      <c r="F3532" t="s">
        <v>11624</v>
      </c>
      <c r="G3532">
        <v>6.8867000000000003</v>
      </c>
      <c r="H3532">
        <v>-72.096999999999994</v>
      </c>
      <c r="I3532" t="s">
        <v>21746</v>
      </c>
      <c r="L3532">
        <v>0</v>
      </c>
      <c r="M3532">
        <v>0</v>
      </c>
      <c r="N3532">
        <v>0</v>
      </c>
      <c r="O3532" t="s">
        <v>17099</v>
      </c>
    </row>
    <row r="3533" spans="1:15">
      <c r="A3533" t="s">
        <v>21747</v>
      </c>
      <c r="B3533" t="s">
        <v>11607</v>
      </c>
      <c r="C3533" t="s">
        <v>6751</v>
      </c>
      <c r="D3533" t="s">
        <v>21748</v>
      </c>
      <c r="E3533" t="b">
        <v>0</v>
      </c>
      <c r="F3533" t="s">
        <v>11610</v>
      </c>
      <c r="L3533">
        <v>0</v>
      </c>
      <c r="M3533">
        <v>0</v>
      </c>
      <c r="N3533">
        <v>0</v>
      </c>
    </row>
    <row r="3534" spans="1:15">
      <c r="A3534" t="s">
        <v>21749</v>
      </c>
      <c r="B3534" t="s">
        <v>11607</v>
      </c>
      <c r="C3534" t="s">
        <v>16499</v>
      </c>
      <c r="D3534" t="s">
        <v>21750</v>
      </c>
      <c r="E3534" t="b">
        <v>0</v>
      </c>
      <c r="F3534" t="s">
        <v>11610</v>
      </c>
      <c r="L3534">
        <v>0</v>
      </c>
      <c r="M3534">
        <v>0</v>
      </c>
      <c r="N3534">
        <v>2</v>
      </c>
    </row>
    <row r="3535" spans="1:15">
      <c r="A3535" t="s">
        <v>21751</v>
      </c>
      <c r="B3535" t="s">
        <v>11607</v>
      </c>
      <c r="C3535" t="s">
        <v>21752</v>
      </c>
      <c r="D3535" t="s">
        <v>21753</v>
      </c>
      <c r="E3535" t="b">
        <v>0</v>
      </c>
      <c r="F3535" t="s">
        <v>11610</v>
      </c>
      <c r="L3535">
        <v>0</v>
      </c>
      <c r="M3535">
        <v>0</v>
      </c>
      <c r="N3535">
        <v>5</v>
      </c>
    </row>
    <row r="3536" spans="1:15">
      <c r="A3536" t="s">
        <v>21754</v>
      </c>
      <c r="B3536" t="s">
        <v>11607</v>
      </c>
      <c r="C3536" t="s">
        <v>21755</v>
      </c>
      <c r="D3536" t="s">
        <v>21756</v>
      </c>
      <c r="E3536" t="b">
        <v>0</v>
      </c>
      <c r="F3536" t="s">
        <v>11610</v>
      </c>
      <c r="L3536">
        <v>0</v>
      </c>
      <c r="M3536">
        <v>0</v>
      </c>
      <c r="N3536">
        <v>3</v>
      </c>
    </row>
    <row r="3537" spans="1:15">
      <c r="A3537" t="s">
        <v>21757</v>
      </c>
      <c r="B3537" t="s">
        <v>11607</v>
      </c>
      <c r="C3537" t="s">
        <v>996</v>
      </c>
      <c r="D3537" t="s">
        <v>21758</v>
      </c>
      <c r="E3537" t="b">
        <v>0</v>
      </c>
      <c r="F3537" t="s">
        <v>11610</v>
      </c>
      <c r="L3537">
        <v>0</v>
      </c>
      <c r="M3537">
        <v>0</v>
      </c>
      <c r="N3537">
        <v>0</v>
      </c>
    </row>
    <row r="3538" spans="1:15">
      <c r="A3538" t="s">
        <v>15389</v>
      </c>
      <c r="B3538" t="s">
        <v>11607</v>
      </c>
      <c r="C3538" t="s">
        <v>17758</v>
      </c>
      <c r="D3538" t="s">
        <v>21759</v>
      </c>
      <c r="E3538" t="b">
        <v>0</v>
      </c>
      <c r="F3538" t="s">
        <v>11622</v>
      </c>
      <c r="L3538">
        <v>2</v>
      </c>
      <c r="M3538">
        <v>4</v>
      </c>
      <c r="N3538">
        <v>11</v>
      </c>
    </row>
    <row r="3539" spans="1:15">
      <c r="A3539" t="s">
        <v>3252</v>
      </c>
      <c r="B3539" t="s">
        <v>11607</v>
      </c>
      <c r="C3539" t="s">
        <v>3763</v>
      </c>
      <c r="D3539" t="s">
        <v>21760</v>
      </c>
      <c r="E3539" t="b">
        <v>0</v>
      </c>
      <c r="F3539" t="s">
        <v>11624</v>
      </c>
      <c r="G3539">
        <v>32.741500000000002</v>
      </c>
      <c r="H3539">
        <v>-2.4087200000000002</v>
      </c>
      <c r="I3539" t="s">
        <v>3253</v>
      </c>
      <c r="L3539">
        <v>0</v>
      </c>
      <c r="M3539">
        <v>0</v>
      </c>
      <c r="N3539">
        <v>2</v>
      </c>
      <c r="O3539" t="s">
        <v>21761</v>
      </c>
    </row>
    <row r="3540" spans="1:15">
      <c r="A3540" t="s">
        <v>21762</v>
      </c>
      <c r="B3540" t="s">
        <v>11607</v>
      </c>
      <c r="C3540" t="s">
        <v>3252</v>
      </c>
      <c r="D3540" t="s">
        <v>21763</v>
      </c>
      <c r="E3540" t="b">
        <v>0</v>
      </c>
      <c r="F3540" t="s">
        <v>11610</v>
      </c>
      <c r="L3540">
        <v>0</v>
      </c>
      <c r="M3540">
        <v>0</v>
      </c>
      <c r="N3540">
        <v>0</v>
      </c>
    </row>
    <row r="3541" spans="1:15">
      <c r="A3541" t="s">
        <v>21764</v>
      </c>
      <c r="B3541" t="s">
        <v>11607</v>
      </c>
      <c r="C3541" t="s">
        <v>21765</v>
      </c>
      <c r="D3541" t="s">
        <v>21766</v>
      </c>
      <c r="E3541" t="b">
        <v>0</v>
      </c>
      <c r="F3541" t="s">
        <v>11610</v>
      </c>
      <c r="L3541">
        <v>0</v>
      </c>
      <c r="M3541">
        <v>0</v>
      </c>
      <c r="N3541">
        <v>0</v>
      </c>
    </row>
    <row r="3542" spans="1:15">
      <c r="A3542" t="s">
        <v>21767</v>
      </c>
      <c r="B3542" t="s">
        <v>11607</v>
      </c>
      <c r="C3542" t="s">
        <v>11726</v>
      </c>
      <c r="D3542" t="s">
        <v>21768</v>
      </c>
      <c r="E3542" t="b">
        <v>0</v>
      </c>
      <c r="F3542" t="s">
        <v>11610</v>
      </c>
      <c r="L3542">
        <v>0</v>
      </c>
      <c r="M3542">
        <v>0</v>
      </c>
      <c r="N3542">
        <v>0</v>
      </c>
    </row>
    <row r="3543" spans="1:15">
      <c r="A3543" t="s">
        <v>19136</v>
      </c>
      <c r="B3543" t="s">
        <v>11607</v>
      </c>
      <c r="C3543" t="s">
        <v>21769</v>
      </c>
      <c r="D3543" t="s">
        <v>21770</v>
      </c>
      <c r="E3543" t="b">
        <v>0</v>
      </c>
      <c r="F3543" t="s">
        <v>11622</v>
      </c>
      <c r="L3543">
        <v>7</v>
      </c>
      <c r="M3543">
        <v>14</v>
      </c>
      <c r="N3543">
        <v>81</v>
      </c>
    </row>
    <row r="3544" spans="1:15">
      <c r="A3544" t="s">
        <v>13913</v>
      </c>
      <c r="B3544" t="s">
        <v>11607</v>
      </c>
      <c r="C3544" t="s">
        <v>14879</v>
      </c>
      <c r="D3544" t="s">
        <v>21771</v>
      </c>
      <c r="E3544" t="b">
        <v>0</v>
      </c>
      <c r="F3544" t="s">
        <v>11610</v>
      </c>
      <c r="L3544">
        <v>0</v>
      </c>
      <c r="M3544">
        <v>0</v>
      </c>
      <c r="N3544">
        <v>4</v>
      </c>
    </row>
    <row r="3545" spans="1:15">
      <c r="A3545" t="s">
        <v>13955</v>
      </c>
      <c r="B3545" t="s">
        <v>11607</v>
      </c>
      <c r="C3545" t="s">
        <v>21772</v>
      </c>
      <c r="D3545" t="s">
        <v>21773</v>
      </c>
      <c r="E3545" t="b">
        <v>0</v>
      </c>
      <c r="F3545" t="s">
        <v>11610</v>
      </c>
      <c r="L3545">
        <v>0</v>
      </c>
      <c r="M3545">
        <v>0</v>
      </c>
      <c r="N3545">
        <v>3</v>
      </c>
    </row>
    <row r="3546" spans="1:15">
      <c r="A3546" t="s">
        <v>11729</v>
      </c>
      <c r="D3546" t="s">
        <v>21774</v>
      </c>
      <c r="E3546" t="b">
        <v>0</v>
      </c>
      <c r="F3546" t="s">
        <v>11622</v>
      </c>
      <c r="L3546">
        <v>37</v>
      </c>
      <c r="M3546">
        <v>64</v>
      </c>
      <c r="N3546">
        <v>158</v>
      </c>
    </row>
    <row r="3547" spans="1:15">
      <c r="A3547" t="s">
        <v>21775</v>
      </c>
      <c r="B3547" t="s">
        <v>11894</v>
      </c>
      <c r="C3547" t="s">
        <v>11894</v>
      </c>
      <c r="D3547" t="s">
        <v>21776</v>
      </c>
      <c r="E3547" t="b">
        <v>0</v>
      </c>
      <c r="F3547" t="s">
        <v>11622</v>
      </c>
      <c r="L3547">
        <v>4</v>
      </c>
      <c r="M3547">
        <v>7</v>
      </c>
      <c r="N3547">
        <v>0</v>
      </c>
    </row>
    <row r="3548" spans="1:15">
      <c r="A3548" t="s">
        <v>1332</v>
      </c>
      <c r="B3548" t="s">
        <v>11844</v>
      </c>
      <c r="C3548" t="s">
        <v>11844</v>
      </c>
      <c r="D3548" t="s">
        <v>21777</v>
      </c>
      <c r="E3548" t="b">
        <v>0</v>
      </c>
      <c r="F3548" t="s">
        <v>11622</v>
      </c>
      <c r="L3548">
        <v>2</v>
      </c>
      <c r="M3548">
        <v>5</v>
      </c>
      <c r="N3548">
        <v>12</v>
      </c>
    </row>
    <row r="3549" spans="1:15">
      <c r="A3549" t="s">
        <v>21778</v>
      </c>
      <c r="B3549" t="s">
        <v>13302</v>
      </c>
      <c r="C3549" t="s">
        <v>13302</v>
      </c>
      <c r="D3549" t="s">
        <v>21779</v>
      </c>
      <c r="E3549" t="b">
        <v>0</v>
      </c>
      <c r="F3549" t="s">
        <v>11622</v>
      </c>
      <c r="L3549">
        <v>0</v>
      </c>
      <c r="M3549">
        <v>2</v>
      </c>
      <c r="N3549">
        <v>3</v>
      </c>
    </row>
    <row r="3550" spans="1:15">
      <c r="A3550" t="s">
        <v>21780</v>
      </c>
      <c r="B3550" t="s">
        <v>11868</v>
      </c>
      <c r="C3550" t="s">
        <v>11868</v>
      </c>
      <c r="D3550" t="s">
        <v>21781</v>
      </c>
      <c r="E3550" t="b">
        <v>0</v>
      </c>
      <c r="F3550" t="s">
        <v>11622</v>
      </c>
      <c r="L3550">
        <v>2</v>
      </c>
      <c r="M3550">
        <v>5</v>
      </c>
      <c r="N3550">
        <v>17</v>
      </c>
    </row>
    <row r="3551" spans="1:15">
      <c r="A3551" t="s">
        <v>16139</v>
      </c>
      <c r="B3551" t="s">
        <v>6742</v>
      </c>
      <c r="C3551" t="s">
        <v>21059</v>
      </c>
      <c r="D3551" t="s">
        <v>21782</v>
      </c>
      <c r="E3551" t="b">
        <v>0</v>
      </c>
      <c r="F3551" t="s">
        <v>11622</v>
      </c>
      <c r="L3551">
        <v>14</v>
      </c>
      <c r="M3551">
        <v>18</v>
      </c>
      <c r="N3551">
        <v>38</v>
      </c>
    </row>
    <row r="3552" spans="1:15">
      <c r="A3552" t="s">
        <v>21783</v>
      </c>
      <c r="B3552" t="s">
        <v>9897</v>
      </c>
      <c r="C3552" t="s">
        <v>21784</v>
      </c>
      <c r="D3552" t="s">
        <v>21785</v>
      </c>
      <c r="E3552" t="b">
        <v>0</v>
      </c>
      <c r="F3552" t="s">
        <v>11622</v>
      </c>
      <c r="L3552">
        <v>0</v>
      </c>
      <c r="M3552">
        <v>2</v>
      </c>
      <c r="N3552">
        <v>8</v>
      </c>
    </row>
    <row r="3553" spans="1:14">
      <c r="A3553" t="s">
        <v>18788</v>
      </c>
      <c r="B3553" t="s">
        <v>3164</v>
      </c>
      <c r="C3553" t="s">
        <v>21786</v>
      </c>
      <c r="D3553" t="s">
        <v>21787</v>
      </c>
      <c r="E3553" t="b">
        <v>0</v>
      </c>
      <c r="F3553" t="s">
        <v>11622</v>
      </c>
      <c r="L3553">
        <v>4</v>
      </c>
      <c r="M3553">
        <v>10</v>
      </c>
      <c r="N3553">
        <v>10</v>
      </c>
    </row>
    <row r="3554" spans="1:14">
      <c r="A3554" t="s">
        <v>21788</v>
      </c>
      <c r="B3554" t="s">
        <v>11615</v>
      </c>
      <c r="C3554" t="s">
        <v>5593</v>
      </c>
      <c r="D3554" t="s">
        <v>21789</v>
      </c>
      <c r="E3554" t="b">
        <v>0</v>
      </c>
      <c r="F3554" t="s">
        <v>11622</v>
      </c>
      <c r="L3554">
        <v>2</v>
      </c>
      <c r="M3554">
        <v>6</v>
      </c>
      <c r="N3554">
        <v>7</v>
      </c>
    </row>
    <row r="3555" spans="1:14">
      <c r="A3555" t="s">
        <v>15938</v>
      </c>
      <c r="B3555" t="s">
        <v>11705</v>
      </c>
      <c r="C3555" t="s">
        <v>21790</v>
      </c>
      <c r="D3555" t="s">
        <v>21791</v>
      </c>
      <c r="E3555" t="b">
        <v>0</v>
      </c>
      <c r="F3555" t="s">
        <v>11622</v>
      </c>
      <c r="L3555">
        <v>3</v>
      </c>
      <c r="M3555">
        <v>9</v>
      </c>
      <c r="N3555">
        <v>3</v>
      </c>
    </row>
    <row r="3556" spans="1:14">
      <c r="A3556" t="s">
        <v>21792</v>
      </c>
      <c r="B3556" t="s">
        <v>12686</v>
      </c>
      <c r="C3556" t="s">
        <v>21793</v>
      </c>
      <c r="D3556" t="s">
        <v>21794</v>
      </c>
      <c r="E3556" t="b">
        <v>0</v>
      </c>
      <c r="F3556" t="s">
        <v>11622</v>
      </c>
      <c r="L3556">
        <v>0</v>
      </c>
      <c r="M3556">
        <v>3</v>
      </c>
      <c r="N3556">
        <v>11</v>
      </c>
    </row>
    <row r="3557" spans="1:14">
      <c r="A3557" t="s">
        <v>14243</v>
      </c>
      <c r="B3557" t="s">
        <v>11607</v>
      </c>
      <c r="C3557" t="s">
        <v>21795</v>
      </c>
      <c r="D3557" t="s">
        <v>21796</v>
      </c>
      <c r="E3557" t="b">
        <v>0</v>
      </c>
      <c r="F3557" t="s">
        <v>11622</v>
      </c>
      <c r="L3557">
        <v>29</v>
      </c>
      <c r="M3557">
        <v>72</v>
      </c>
      <c r="N3557">
        <v>188</v>
      </c>
    </row>
    <row r="3558" spans="1:14">
      <c r="A3558" t="s">
        <v>21797</v>
      </c>
      <c r="B3558" t="s">
        <v>367</v>
      </c>
      <c r="C3558" t="s">
        <v>4363</v>
      </c>
      <c r="D3558" t="s">
        <v>21798</v>
      </c>
      <c r="E3558" t="b">
        <v>0</v>
      </c>
      <c r="F3558" t="s">
        <v>11622</v>
      </c>
      <c r="L3558">
        <v>408</v>
      </c>
      <c r="M3558">
        <v>730</v>
      </c>
      <c r="N3558">
        <v>941</v>
      </c>
    </row>
    <row r="3559" spans="1:14">
      <c r="A3559" t="s">
        <v>21799</v>
      </c>
      <c r="B3559" t="s">
        <v>11834</v>
      </c>
      <c r="C3559" t="s">
        <v>21800</v>
      </c>
      <c r="D3559" t="s">
        <v>21801</v>
      </c>
      <c r="E3559" t="b">
        <v>0</v>
      </c>
      <c r="F3559" t="s">
        <v>11622</v>
      </c>
      <c r="L3559">
        <v>0</v>
      </c>
      <c r="M3559">
        <v>4</v>
      </c>
      <c r="N3559">
        <v>3</v>
      </c>
    </row>
    <row r="3560" spans="1:14">
      <c r="A3560" t="s">
        <v>21802</v>
      </c>
      <c r="B3560" t="s">
        <v>12260</v>
      </c>
      <c r="C3560" t="s">
        <v>21803</v>
      </c>
      <c r="D3560" t="s">
        <v>21804</v>
      </c>
      <c r="E3560" t="b">
        <v>0</v>
      </c>
      <c r="F3560" t="s">
        <v>11622</v>
      </c>
      <c r="L3560">
        <v>0</v>
      </c>
      <c r="M3560">
        <v>3</v>
      </c>
      <c r="N3560">
        <v>2</v>
      </c>
    </row>
    <row r="3561" spans="1:14">
      <c r="A3561" t="s">
        <v>21805</v>
      </c>
      <c r="B3561" t="s">
        <v>6742</v>
      </c>
      <c r="C3561" t="s">
        <v>21806</v>
      </c>
      <c r="D3561" t="s">
        <v>21807</v>
      </c>
      <c r="E3561" t="b">
        <v>0</v>
      </c>
      <c r="F3561" t="s">
        <v>11622</v>
      </c>
      <c r="L3561">
        <v>4</v>
      </c>
      <c r="M3561">
        <v>14</v>
      </c>
      <c r="N3561">
        <v>23</v>
      </c>
    </row>
    <row r="3562" spans="1:14">
      <c r="A3562" t="s">
        <v>17235</v>
      </c>
      <c r="B3562" t="s">
        <v>6742</v>
      </c>
      <c r="C3562" t="s">
        <v>21808</v>
      </c>
      <c r="D3562" t="s">
        <v>21809</v>
      </c>
      <c r="E3562" t="b">
        <v>0</v>
      </c>
      <c r="F3562" t="s">
        <v>11622</v>
      </c>
      <c r="L3562">
        <v>30</v>
      </c>
      <c r="M3562">
        <v>48</v>
      </c>
      <c r="N3562">
        <v>54</v>
      </c>
    </row>
    <row r="3563" spans="1:14">
      <c r="A3563" t="s">
        <v>21810</v>
      </c>
      <c r="B3563" t="s">
        <v>6742</v>
      </c>
      <c r="C3563" t="s">
        <v>21811</v>
      </c>
      <c r="D3563" t="s">
        <v>21812</v>
      </c>
      <c r="E3563" t="b">
        <v>0</v>
      </c>
      <c r="F3563" t="s">
        <v>11622</v>
      </c>
      <c r="L3563">
        <v>74</v>
      </c>
      <c r="M3563">
        <v>98</v>
      </c>
      <c r="N3563">
        <v>171</v>
      </c>
    </row>
    <row r="3564" spans="1:14">
      <c r="A3564" t="s">
        <v>21273</v>
      </c>
      <c r="B3564" t="s">
        <v>6742</v>
      </c>
      <c r="C3564" t="s">
        <v>21813</v>
      </c>
      <c r="D3564" t="s">
        <v>21814</v>
      </c>
      <c r="E3564" t="b">
        <v>0</v>
      </c>
      <c r="F3564" t="s">
        <v>11622</v>
      </c>
      <c r="L3564">
        <v>0</v>
      </c>
      <c r="M3564">
        <v>2</v>
      </c>
      <c r="N3564">
        <v>16</v>
      </c>
    </row>
    <row r="3565" spans="1:14">
      <c r="A3565" t="s">
        <v>14692</v>
      </c>
      <c r="B3565" t="s">
        <v>367</v>
      </c>
      <c r="C3565" t="s">
        <v>21797</v>
      </c>
      <c r="D3565" t="s">
        <v>21815</v>
      </c>
      <c r="E3565" t="b">
        <v>0</v>
      </c>
      <c r="F3565" t="s">
        <v>11622</v>
      </c>
      <c r="L3565">
        <v>104</v>
      </c>
      <c r="M3565">
        <v>161</v>
      </c>
      <c r="N3565">
        <v>287</v>
      </c>
    </row>
    <row r="3566" spans="1:14">
      <c r="A3566" t="s">
        <v>12888</v>
      </c>
      <c r="B3566" t="s">
        <v>367</v>
      </c>
      <c r="C3566" t="s">
        <v>21816</v>
      </c>
      <c r="D3566" t="s">
        <v>21817</v>
      </c>
      <c r="E3566" t="b">
        <v>0</v>
      </c>
      <c r="F3566" t="s">
        <v>11622</v>
      </c>
      <c r="L3566">
        <v>28</v>
      </c>
      <c r="M3566">
        <v>49</v>
      </c>
      <c r="N3566">
        <v>58</v>
      </c>
    </row>
    <row r="3567" spans="1:14">
      <c r="A3567" t="s">
        <v>21654</v>
      </c>
      <c r="B3567" t="s">
        <v>11615</v>
      </c>
      <c r="C3567" t="s">
        <v>5648</v>
      </c>
      <c r="D3567" t="s">
        <v>21818</v>
      </c>
      <c r="E3567" t="b">
        <v>0</v>
      </c>
      <c r="F3567" t="s">
        <v>11622</v>
      </c>
      <c r="L3567">
        <v>0</v>
      </c>
      <c r="M3567">
        <v>2</v>
      </c>
      <c r="N3567">
        <v>3</v>
      </c>
    </row>
    <row r="3568" spans="1:14">
      <c r="A3568" t="s">
        <v>21819</v>
      </c>
      <c r="B3568" t="s">
        <v>10597</v>
      </c>
      <c r="C3568" t="s">
        <v>21820</v>
      </c>
      <c r="D3568" t="s">
        <v>21821</v>
      </c>
      <c r="E3568" t="b">
        <v>0</v>
      </c>
      <c r="F3568" t="s">
        <v>11622</v>
      </c>
      <c r="L3568">
        <v>3</v>
      </c>
      <c r="M3568">
        <v>9</v>
      </c>
      <c r="N3568">
        <v>5</v>
      </c>
    </row>
    <row r="3569" spans="1:14">
      <c r="A3569" t="s">
        <v>21822</v>
      </c>
      <c r="B3569" t="s">
        <v>11644</v>
      </c>
      <c r="C3569" t="s">
        <v>21823</v>
      </c>
      <c r="D3569" t="s">
        <v>21824</v>
      </c>
      <c r="E3569" t="b">
        <v>0</v>
      </c>
      <c r="F3569" t="s">
        <v>11622</v>
      </c>
      <c r="L3569">
        <v>4</v>
      </c>
      <c r="M3569">
        <v>10</v>
      </c>
      <c r="N3569">
        <v>30</v>
      </c>
    </row>
    <row r="3570" spans="1:14">
      <c r="A3570" t="s">
        <v>21825</v>
      </c>
      <c r="B3570" t="s">
        <v>5126</v>
      </c>
      <c r="C3570" t="s">
        <v>21826</v>
      </c>
      <c r="D3570" t="s">
        <v>21827</v>
      </c>
      <c r="E3570" t="b">
        <v>0</v>
      </c>
      <c r="F3570" t="s">
        <v>11622</v>
      </c>
      <c r="L3570">
        <v>19</v>
      </c>
      <c r="M3570">
        <v>39</v>
      </c>
      <c r="N3570">
        <v>42</v>
      </c>
    </row>
    <row r="3571" spans="1:14">
      <c r="A3571" t="s">
        <v>21710</v>
      </c>
      <c r="B3571" t="s">
        <v>12979</v>
      </c>
      <c r="C3571" t="s">
        <v>21828</v>
      </c>
      <c r="D3571" t="s">
        <v>21829</v>
      </c>
      <c r="E3571" t="b">
        <v>0</v>
      </c>
      <c r="F3571" t="s">
        <v>11622</v>
      </c>
      <c r="L3571">
        <v>0</v>
      </c>
      <c r="M3571">
        <v>3</v>
      </c>
      <c r="N3571">
        <v>5</v>
      </c>
    </row>
    <row r="3572" spans="1:14">
      <c r="A3572" t="s">
        <v>21830</v>
      </c>
      <c r="B3572" t="s">
        <v>6742</v>
      </c>
      <c r="C3572" t="s">
        <v>21831</v>
      </c>
      <c r="D3572" t="s">
        <v>21832</v>
      </c>
      <c r="E3572" t="b">
        <v>0</v>
      </c>
      <c r="F3572" t="s">
        <v>11622</v>
      </c>
      <c r="L3572">
        <v>3</v>
      </c>
      <c r="M3572">
        <v>11</v>
      </c>
      <c r="N3572">
        <v>7</v>
      </c>
    </row>
    <row r="3573" spans="1:14">
      <c r="A3573" t="s">
        <v>21833</v>
      </c>
      <c r="B3573" t="s">
        <v>367</v>
      </c>
      <c r="C3573" t="s">
        <v>14692</v>
      </c>
      <c r="D3573" t="s">
        <v>21834</v>
      </c>
      <c r="E3573" t="b">
        <v>0</v>
      </c>
      <c r="F3573" t="s">
        <v>11622</v>
      </c>
      <c r="L3573">
        <v>39</v>
      </c>
      <c r="M3573">
        <v>52</v>
      </c>
      <c r="N3573">
        <v>81</v>
      </c>
    </row>
    <row r="3574" spans="1:14">
      <c r="A3574" t="s">
        <v>21835</v>
      </c>
      <c r="B3574" t="s">
        <v>367</v>
      </c>
      <c r="C3574" t="s">
        <v>5373</v>
      </c>
      <c r="D3574" t="s">
        <v>21836</v>
      </c>
      <c r="E3574" t="b">
        <v>0</v>
      </c>
      <c r="F3574" t="s">
        <v>11622</v>
      </c>
      <c r="L3574">
        <v>8</v>
      </c>
      <c r="M3574">
        <v>11</v>
      </c>
      <c r="N3574">
        <v>19</v>
      </c>
    </row>
    <row r="3575" spans="1:14">
      <c r="A3575" t="s">
        <v>14128</v>
      </c>
      <c r="B3575" t="s">
        <v>11615</v>
      </c>
      <c r="C3575" t="s">
        <v>14968</v>
      </c>
      <c r="D3575" t="s">
        <v>21837</v>
      </c>
      <c r="E3575" t="b">
        <v>0</v>
      </c>
      <c r="F3575" t="s">
        <v>11622</v>
      </c>
      <c r="L3575">
        <v>1</v>
      </c>
      <c r="M3575">
        <v>4</v>
      </c>
      <c r="N3575">
        <v>2</v>
      </c>
    </row>
    <row r="3576" spans="1:14">
      <c r="A3576" t="s">
        <v>21695</v>
      </c>
      <c r="B3576" t="s">
        <v>12751</v>
      </c>
      <c r="C3576" t="s">
        <v>21838</v>
      </c>
      <c r="D3576" t="s">
        <v>21839</v>
      </c>
      <c r="E3576" t="b">
        <v>0</v>
      </c>
      <c r="F3576" t="s">
        <v>11622</v>
      </c>
      <c r="L3576">
        <v>0</v>
      </c>
      <c r="M3576">
        <v>5</v>
      </c>
      <c r="N3576">
        <v>0</v>
      </c>
    </row>
    <row r="3577" spans="1:14">
      <c r="A3577" t="s">
        <v>18703</v>
      </c>
      <c r="B3577" t="s">
        <v>6742</v>
      </c>
      <c r="C3577" t="s">
        <v>12188</v>
      </c>
      <c r="D3577" t="s">
        <v>21840</v>
      </c>
      <c r="E3577" t="b">
        <v>0</v>
      </c>
      <c r="F3577" t="s">
        <v>11622</v>
      </c>
      <c r="L3577">
        <v>0</v>
      </c>
      <c r="M3577">
        <v>3</v>
      </c>
      <c r="N3577">
        <v>6</v>
      </c>
    </row>
    <row r="3578" spans="1:14">
      <c r="A3578" t="s">
        <v>21841</v>
      </c>
      <c r="B3578" t="s">
        <v>6742</v>
      </c>
      <c r="C3578" t="s">
        <v>500</v>
      </c>
      <c r="D3578" t="s">
        <v>21842</v>
      </c>
      <c r="E3578" t="b">
        <v>0</v>
      </c>
      <c r="F3578" t="s">
        <v>11622</v>
      </c>
      <c r="L3578">
        <v>116</v>
      </c>
      <c r="M3578">
        <v>188</v>
      </c>
      <c r="N3578">
        <v>221</v>
      </c>
    </row>
    <row r="3579" spans="1:14">
      <c r="A3579" t="s">
        <v>21843</v>
      </c>
      <c r="B3579" t="s">
        <v>6742</v>
      </c>
      <c r="C3579" t="s">
        <v>21844</v>
      </c>
      <c r="D3579" t="s">
        <v>21845</v>
      </c>
      <c r="E3579" t="b">
        <v>0</v>
      </c>
      <c r="F3579" t="s">
        <v>11622</v>
      </c>
      <c r="L3579">
        <v>4</v>
      </c>
      <c r="M3579">
        <v>8</v>
      </c>
      <c r="N3579">
        <v>20</v>
      </c>
    </row>
    <row r="3580" spans="1:14">
      <c r="A3580" t="s">
        <v>12688</v>
      </c>
      <c r="B3580" t="s">
        <v>6742</v>
      </c>
      <c r="C3580" t="s">
        <v>21846</v>
      </c>
      <c r="D3580" t="s">
        <v>21847</v>
      </c>
      <c r="E3580" t="b">
        <v>0</v>
      </c>
      <c r="F3580" t="s">
        <v>11622</v>
      </c>
      <c r="L3580">
        <v>6</v>
      </c>
      <c r="M3580">
        <v>11</v>
      </c>
      <c r="N3580">
        <v>26</v>
      </c>
    </row>
    <row r="3581" spans="1:14">
      <c r="A3581" t="s">
        <v>21848</v>
      </c>
      <c r="B3581" t="s">
        <v>367</v>
      </c>
      <c r="C3581" t="s">
        <v>16804</v>
      </c>
      <c r="D3581" t="s">
        <v>21849</v>
      </c>
      <c r="E3581" t="b">
        <v>0</v>
      </c>
      <c r="F3581" t="s">
        <v>11622</v>
      </c>
      <c r="L3581">
        <v>5</v>
      </c>
      <c r="M3581">
        <v>11</v>
      </c>
      <c r="N3581">
        <v>10</v>
      </c>
    </row>
    <row r="3582" spans="1:14">
      <c r="A3582" t="s">
        <v>21850</v>
      </c>
      <c r="B3582" t="s">
        <v>11637</v>
      </c>
      <c r="C3582" t="s">
        <v>16331</v>
      </c>
      <c r="D3582" t="s">
        <v>21851</v>
      </c>
      <c r="E3582" t="b">
        <v>0</v>
      </c>
      <c r="F3582" t="s">
        <v>11622</v>
      </c>
      <c r="L3582">
        <v>2</v>
      </c>
      <c r="M3582">
        <v>8</v>
      </c>
      <c r="N3582">
        <v>3</v>
      </c>
    </row>
    <row r="3583" spans="1:14">
      <c r="A3583" t="s">
        <v>21852</v>
      </c>
      <c r="B3583" t="s">
        <v>11637</v>
      </c>
      <c r="C3583" t="s">
        <v>21853</v>
      </c>
      <c r="D3583" t="s">
        <v>21854</v>
      </c>
      <c r="E3583" t="b">
        <v>0</v>
      </c>
      <c r="F3583" t="s">
        <v>11622</v>
      </c>
      <c r="L3583">
        <v>2</v>
      </c>
      <c r="M3583">
        <v>8</v>
      </c>
      <c r="N3583">
        <v>10</v>
      </c>
    </row>
    <row r="3584" spans="1:14">
      <c r="A3584" t="s">
        <v>21855</v>
      </c>
      <c r="B3584" t="s">
        <v>11879</v>
      </c>
      <c r="C3584" t="s">
        <v>8183</v>
      </c>
      <c r="D3584" t="s">
        <v>21856</v>
      </c>
      <c r="E3584" t="b">
        <v>0</v>
      </c>
      <c r="F3584" t="s">
        <v>11622</v>
      </c>
      <c r="L3584">
        <v>0</v>
      </c>
      <c r="M3584">
        <v>2</v>
      </c>
      <c r="N3584">
        <v>1</v>
      </c>
    </row>
    <row r="3585" spans="1:14">
      <c r="A3585" t="s">
        <v>21857</v>
      </c>
      <c r="B3585" t="s">
        <v>6742</v>
      </c>
      <c r="C3585" t="s">
        <v>21843</v>
      </c>
      <c r="D3585" t="s">
        <v>21858</v>
      </c>
      <c r="E3585" t="b">
        <v>0</v>
      </c>
      <c r="F3585" t="s">
        <v>11622</v>
      </c>
      <c r="L3585">
        <v>2</v>
      </c>
      <c r="M3585">
        <v>5</v>
      </c>
      <c r="N3585">
        <v>13</v>
      </c>
    </row>
    <row r="3586" spans="1:14">
      <c r="A3586" t="s">
        <v>20906</v>
      </c>
      <c r="B3586" t="s">
        <v>6742</v>
      </c>
      <c r="C3586" t="s">
        <v>21843</v>
      </c>
      <c r="D3586" t="s">
        <v>21859</v>
      </c>
      <c r="E3586" t="b">
        <v>0</v>
      </c>
      <c r="F3586" t="s">
        <v>11622</v>
      </c>
      <c r="L3586">
        <v>0</v>
      </c>
      <c r="M3586">
        <v>3</v>
      </c>
      <c r="N3586">
        <v>7</v>
      </c>
    </row>
    <row r="3587" spans="1:14">
      <c r="A3587" t="s">
        <v>13403</v>
      </c>
      <c r="B3587" t="s">
        <v>367</v>
      </c>
      <c r="C3587" t="s">
        <v>21860</v>
      </c>
      <c r="D3587" t="s">
        <v>21861</v>
      </c>
      <c r="E3587" t="b">
        <v>0</v>
      </c>
      <c r="F3587" t="s">
        <v>11622</v>
      </c>
      <c r="L3587">
        <v>32</v>
      </c>
      <c r="M3587">
        <v>56</v>
      </c>
      <c r="N3587">
        <v>48</v>
      </c>
    </row>
    <row r="3588" spans="1:14">
      <c r="A3588" t="s">
        <v>20248</v>
      </c>
      <c r="B3588" t="s">
        <v>367</v>
      </c>
      <c r="C3588" t="s">
        <v>21862</v>
      </c>
      <c r="D3588" t="s">
        <v>21863</v>
      </c>
      <c r="E3588" t="b">
        <v>0</v>
      </c>
      <c r="F3588" t="s">
        <v>11622</v>
      </c>
      <c r="L3588">
        <v>0</v>
      </c>
      <c r="M3588">
        <v>4</v>
      </c>
      <c r="N3588">
        <v>7</v>
      </c>
    </row>
    <row r="3589" spans="1:14">
      <c r="A3589" t="s">
        <v>21864</v>
      </c>
      <c r="B3589" t="s">
        <v>367</v>
      </c>
      <c r="C3589" t="s">
        <v>21865</v>
      </c>
      <c r="D3589" t="s">
        <v>21866</v>
      </c>
      <c r="E3589" t="b">
        <v>0</v>
      </c>
      <c r="F3589" t="s">
        <v>11622</v>
      </c>
      <c r="L3589">
        <v>3</v>
      </c>
      <c r="M3589">
        <v>5</v>
      </c>
      <c r="N3589">
        <v>7</v>
      </c>
    </row>
    <row r="3590" spans="1:14">
      <c r="A3590" t="s">
        <v>17801</v>
      </c>
      <c r="B3590" t="s">
        <v>367</v>
      </c>
      <c r="C3590" t="s">
        <v>21610</v>
      </c>
      <c r="D3590" t="s">
        <v>21867</v>
      </c>
      <c r="E3590" t="b">
        <v>0</v>
      </c>
      <c r="F3590" t="s">
        <v>11622</v>
      </c>
      <c r="L3590">
        <v>0</v>
      </c>
      <c r="M3590">
        <v>3</v>
      </c>
      <c r="N3590">
        <v>3</v>
      </c>
    </row>
    <row r="3591" spans="1:14">
      <c r="A3591" t="s">
        <v>21868</v>
      </c>
      <c r="B3591" t="s">
        <v>367</v>
      </c>
      <c r="C3591" t="s">
        <v>21610</v>
      </c>
      <c r="D3591" t="s">
        <v>21869</v>
      </c>
      <c r="E3591" t="b">
        <v>0</v>
      </c>
      <c r="F3591" t="s">
        <v>11622</v>
      </c>
      <c r="L3591">
        <v>0</v>
      </c>
      <c r="M3591">
        <v>2</v>
      </c>
      <c r="N3591">
        <v>4</v>
      </c>
    </row>
    <row r="3592" spans="1:14">
      <c r="A3592" t="s">
        <v>21870</v>
      </c>
      <c r="B3592" t="s">
        <v>6742</v>
      </c>
      <c r="C3592" t="s">
        <v>21871</v>
      </c>
      <c r="D3592" t="s">
        <v>21872</v>
      </c>
      <c r="E3592" t="b">
        <v>0</v>
      </c>
      <c r="F3592" t="s">
        <v>11622</v>
      </c>
      <c r="L3592">
        <v>4</v>
      </c>
      <c r="M3592">
        <v>9</v>
      </c>
      <c r="N3592">
        <v>23</v>
      </c>
    </row>
    <row r="3593" spans="1:14">
      <c r="A3593" t="s">
        <v>15603</v>
      </c>
      <c r="B3593" t="s">
        <v>6742</v>
      </c>
      <c r="C3593" t="s">
        <v>21873</v>
      </c>
      <c r="D3593" t="s">
        <v>21874</v>
      </c>
      <c r="E3593" t="b">
        <v>0</v>
      </c>
      <c r="F3593" t="s">
        <v>11622</v>
      </c>
      <c r="L3593">
        <v>0</v>
      </c>
      <c r="M3593">
        <v>6</v>
      </c>
      <c r="N3593">
        <v>4</v>
      </c>
    </row>
    <row r="3594" spans="1:14">
      <c r="A3594" t="s">
        <v>21875</v>
      </c>
      <c r="B3594" t="s">
        <v>367</v>
      </c>
      <c r="C3594" t="s">
        <v>21876</v>
      </c>
      <c r="D3594" t="s">
        <v>21877</v>
      </c>
      <c r="E3594" t="b">
        <v>0</v>
      </c>
      <c r="F3594" t="s">
        <v>11622</v>
      </c>
      <c r="L3594">
        <v>14</v>
      </c>
      <c r="M3594">
        <v>19</v>
      </c>
      <c r="N3594">
        <v>19</v>
      </c>
    </row>
    <row r="3595" spans="1:14">
      <c r="A3595" t="s">
        <v>13997</v>
      </c>
      <c r="B3595" t="s">
        <v>367</v>
      </c>
      <c r="C3595" t="s">
        <v>21878</v>
      </c>
      <c r="D3595" t="s">
        <v>21879</v>
      </c>
      <c r="E3595" t="b">
        <v>0</v>
      </c>
      <c r="F3595" t="s">
        <v>11622</v>
      </c>
      <c r="L3595">
        <v>3</v>
      </c>
      <c r="M3595">
        <v>10</v>
      </c>
      <c r="N3595">
        <v>12</v>
      </c>
    </row>
    <row r="3596" spans="1:14">
      <c r="A3596" t="s">
        <v>21880</v>
      </c>
      <c r="B3596" t="s">
        <v>6742</v>
      </c>
      <c r="C3596" t="s">
        <v>21881</v>
      </c>
      <c r="D3596" t="s">
        <v>21882</v>
      </c>
      <c r="E3596" t="b">
        <v>0</v>
      </c>
      <c r="F3596" t="s">
        <v>11622</v>
      </c>
      <c r="L3596">
        <v>1</v>
      </c>
      <c r="M3596">
        <v>5</v>
      </c>
      <c r="N3596">
        <v>12</v>
      </c>
    </row>
    <row r="3597" spans="1:14">
      <c r="A3597" t="s">
        <v>21883</v>
      </c>
      <c r="B3597" t="s">
        <v>367</v>
      </c>
      <c r="C3597" t="s">
        <v>21884</v>
      </c>
      <c r="D3597" t="s">
        <v>21885</v>
      </c>
      <c r="E3597" t="b">
        <v>0</v>
      </c>
      <c r="F3597" t="s">
        <v>11622</v>
      </c>
      <c r="L3597">
        <v>1</v>
      </c>
      <c r="M3597">
        <v>6</v>
      </c>
      <c r="N3597">
        <v>1</v>
      </c>
    </row>
    <row r="3598" spans="1:14">
      <c r="A3598" t="s">
        <v>21886</v>
      </c>
      <c r="B3598" t="s">
        <v>367</v>
      </c>
      <c r="C3598" t="s">
        <v>21887</v>
      </c>
      <c r="D3598" t="s">
        <v>21888</v>
      </c>
      <c r="E3598" t="b">
        <v>0</v>
      </c>
      <c r="F3598" t="s">
        <v>11622</v>
      </c>
      <c r="L3598">
        <v>2</v>
      </c>
      <c r="M3598">
        <v>5</v>
      </c>
      <c r="N3598">
        <v>12</v>
      </c>
    </row>
    <row r="3599" spans="1:14">
      <c r="A3599" t="s">
        <v>20903</v>
      </c>
      <c r="B3599" t="s">
        <v>11637</v>
      </c>
      <c r="C3599" t="s">
        <v>21889</v>
      </c>
      <c r="D3599" t="s">
        <v>21890</v>
      </c>
      <c r="E3599" t="b">
        <v>0</v>
      </c>
      <c r="F3599" t="s">
        <v>11622</v>
      </c>
      <c r="L3599">
        <v>7</v>
      </c>
      <c r="M3599">
        <v>16</v>
      </c>
      <c r="N3599">
        <v>41</v>
      </c>
    </row>
    <row r="3600" spans="1:14">
      <c r="A3600" t="s">
        <v>12788</v>
      </c>
      <c r="B3600" t="s">
        <v>6742</v>
      </c>
      <c r="C3600" t="s">
        <v>17307</v>
      </c>
      <c r="D3600" t="s">
        <v>21891</v>
      </c>
      <c r="E3600" t="b">
        <v>0</v>
      </c>
      <c r="F3600" t="s">
        <v>11622</v>
      </c>
      <c r="L3600">
        <v>0</v>
      </c>
      <c r="M3600">
        <v>2</v>
      </c>
      <c r="N3600">
        <v>13</v>
      </c>
    </row>
    <row r="3601" spans="1:15">
      <c r="A3601" t="s">
        <v>21892</v>
      </c>
      <c r="B3601" t="s">
        <v>6742</v>
      </c>
      <c r="C3601" t="s">
        <v>21893</v>
      </c>
      <c r="D3601" t="s">
        <v>21894</v>
      </c>
      <c r="E3601" t="b">
        <v>0</v>
      </c>
      <c r="F3601" t="s">
        <v>11622</v>
      </c>
      <c r="L3601">
        <v>1</v>
      </c>
      <c r="M3601">
        <v>3</v>
      </c>
      <c r="N3601">
        <v>1</v>
      </c>
    </row>
    <row r="3602" spans="1:15">
      <c r="A3602" t="s">
        <v>21895</v>
      </c>
      <c r="B3602" t="s">
        <v>6742</v>
      </c>
      <c r="C3602" t="s">
        <v>1865</v>
      </c>
      <c r="D3602" t="s">
        <v>21896</v>
      </c>
      <c r="E3602" t="b">
        <v>0</v>
      </c>
      <c r="F3602" t="s">
        <v>11622</v>
      </c>
      <c r="L3602">
        <v>0</v>
      </c>
      <c r="M3602">
        <v>3</v>
      </c>
      <c r="N3602">
        <v>5</v>
      </c>
    </row>
    <row r="3603" spans="1:15">
      <c r="A3603" t="s">
        <v>21897</v>
      </c>
      <c r="B3603" t="s">
        <v>6742</v>
      </c>
      <c r="C3603" t="s">
        <v>21898</v>
      </c>
      <c r="D3603" t="s">
        <v>21899</v>
      </c>
      <c r="E3603" t="b">
        <v>0</v>
      </c>
      <c r="F3603" t="s">
        <v>11622</v>
      </c>
      <c r="L3603">
        <v>1</v>
      </c>
      <c r="M3603">
        <v>4</v>
      </c>
      <c r="N3603">
        <v>0</v>
      </c>
    </row>
    <row r="3604" spans="1:15">
      <c r="A3604" t="s">
        <v>21900</v>
      </c>
      <c r="B3604" t="s">
        <v>6742</v>
      </c>
      <c r="C3604" t="s">
        <v>21901</v>
      </c>
      <c r="D3604" t="s">
        <v>21902</v>
      </c>
      <c r="E3604" t="b">
        <v>0</v>
      </c>
      <c r="F3604" t="s">
        <v>11622</v>
      </c>
      <c r="L3604">
        <v>0</v>
      </c>
      <c r="M3604">
        <v>7</v>
      </c>
      <c r="N3604">
        <v>0</v>
      </c>
    </row>
    <row r="3605" spans="1:15">
      <c r="A3605" t="s">
        <v>21903</v>
      </c>
      <c r="B3605" t="s">
        <v>367</v>
      </c>
      <c r="C3605" t="s">
        <v>13395</v>
      </c>
      <c r="D3605" t="s">
        <v>21904</v>
      </c>
      <c r="E3605" t="b">
        <v>0</v>
      </c>
      <c r="F3605" t="s">
        <v>11622</v>
      </c>
      <c r="L3605">
        <v>0</v>
      </c>
      <c r="M3605">
        <v>2</v>
      </c>
      <c r="N3605">
        <v>2</v>
      </c>
    </row>
    <row r="3606" spans="1:15">
      <c r="A3606" t="s">
        <v>21905</v>
      </c>
      <c r="B3606" t="s">
        <v>367</v>
      </c>
      <c r="C3606" t="s">
        <v>21906</v>
      </c>
      <c r="D3606" t="s">
        <v>21907</v>
      </c>
      <c r="E3606" t="b">
        <v>0</v>
      </c>
      <c r="F3606" t="s">
        <v>11622</v>
      </c>
      <c r="L3606">
        <v>6</v>
      </c>
      <c r="M3606">
        <v>9</v>
      </c>
      <c r="N3606">
        <v>8</v>
      </c>
    </row>
    <row r="3607" spans="1:15">
      <c r="A3607" t="s">
        <v>21908</v>
      </c>
      <c r="B3607" t="s">
        <v>6742</v>
      </c>
      <c r="C3607" t="s">
        <v>21909</v>
      </c>
      <c r="D3607" t="s">
        <v>21910</v>
      </c>
      <c r="E3607" t="b">
        <v>0</v>
      </c>
      <c r="F3607" t="s">
        <v>11622</v>
      </c>
      <c r="L3607">
        <v>1</v>
      </c>
      <c r="M3607">
        <v>3</v>
      </c>
      <c r="N3607">
        <v>5</v>
      </c>
    </row>
    <row r="3608" spans="1:15">
      <c r="A3608" t="s">
        <v>17614</v>
      </c>
      <c r="B3608" t="s">
        <v>367</v>
      </c>
      <c r="C3608" t="s">
        <v>19517</v>
      </c>
      <c r="D3608" t="s">
        <v>21911</v>
      </c>
      <c r="E3608" t="b">
        <v>0</v>
      </c>
      <c r="F3608" t="s">
        <v>11624</v>
      </c>
      <c r="G3608">
        <v>17.079999999999998</v>
      </c>
      <c r="H3608">
        <v>120.92</v>
      </c>
      <c r="I3608" t="s">
        <v>21912</v>
      </c>
      <c r="L3608">
        <v>0</v>
      </c>
      <c r="M3608">
        <v>0</v>
      </c>
      <c r="N3608">
        <v>3</v>
      </c>
      <c r="O3608" t="s">
        <v>11749</v>
      </c>
    </row>
    <row r="3609" spans="1:15">
      <c r="A3609" t="s">
        <v>21913</v>
      </c>
      <c r="B3609" t="s">
        <v>11757</v>
      </c>
      <c r="C3609" t="s">
        <v>1002</v>
      </c>
      <c r="D3609" t="s">
        <v>21914</v>
      </c>
      <c r="E3609" t="b">
        <v>0</v>
      </c>
      <c r="F3609" t="s">
        <v>11622</v>
      </c>
      <c r="L3609">
        <v>1</v>
      </c>
      <c r="M3609">
        <v>5</v>
      </c>
      <c r="N3609">
        <v>0</v>
      </c>
    </row>
    <row r="3610" spans="1:15">
      <c r="A3610" t="s">
        <v>21915</v>
      </c>
      <c r="B3610" t="s">
        <v>367</v>
      </c>
      <c r="C3610" t="s">
        <v>21916</v>
      </c>
      <c r="D3610" t="s">
        <v>21917</v>
      </c>
      <c r="E3610" t="b">
        <v>0</v>
      </c>
      <c r="F3610" t="s">
        <v>11622</v>
      </c>
      <c r="L3610">
        <v>17</v>
      </c>
      <c r="M3610">
        <v>23</v>
      </c>
      <c r="N3610">
        <v>35</v>
      </c>
    </row>
    <row r="3611" spans="1:15">
      <c r="A3611" t="s">
        <v>21918</v>
      </c>
      <c r="B3611" t="s">
        <v>11644</v>
      </c>
      <c r="C3611" t="s">
        <v>21919</v>
      </c>
      <c r="D3611" t="s">
        <v>21920</v>
      </c>
      <c r="E3611" t="b">
        <v>0</v>
      </c>
      <c r="F3611" t="s">
        <v>11622</v>
      </c>
      <c r="L3611">
        <v>0</v>
      </c>
      <c r="M3611">
        <v>2</v>
      </c>
      <c r="N3611">
        <v>0</v>
      </c>
    </row>
    <row r="3612" spans="1:15">
      <c r="A3612" t="s">
        <v>21921</v>
      </c>
      <c r="B3612" t="s">
        <v>367</v>
      </c>
      <c r="C3612" t="s">
        <v>21922</v>
      </c>
      <c r="D3612" t="s">
        <v>21923</v>
      </c>
      <c r="E3612" t="b">
        <v>0</v>
      </c>
      <c r="F3612" t="s">
        <v>11622</v>
      </c>
      <c r="L3612">
        <v>7</v>
      </c>
      <c r="M3612">
        <v>17</v>
      </c>
      <c r="N3612">
        <v>33</v>
      </c>
    </row>
    <row r="3613" spans="1:15">
      <c r="A3613" t="s">
        <v>21924</v>
      </c>
      <c r="B3613" t="s">
        <v>367</v>
      </c>
      <c r="C3613" t="s">
        <v>21921</v>
      </c>
      <c r="D3613" t="s">
        <v>21925</v>
      </c>
      <c r="E3613" t="b">
        <v>0</v>
      </c>
      <c r="F3613" t="s">
        <v>11622</v>
      </c>
      <c r="L3613">
        <v>1</v>
      </c>
      <c r="M3613">
        <v>4</v>
      </c>
      <c r="N3613">
        <v>2</v>
      </c>
    </row>
    <row r="3614" spans="1:15">
      <c r="A3614" t="s">
        <v>21926</v>
      </c>
      <c r="B3614" t="s">
        <v>12738</v>
      </c>
      <c r="C3614" t="s">
        <v>21927</v>
      </c>
      <c r="D3614" t="s">
        <v>21928</v>
      </c>
      <c r="E3614" t="b">
        <v>0</v>
      </c>
      <c r="F3614" t="s">
        <v>11624</v>
      </c>
      <c r="L3614">
        <v>0</v>
      </c>
      <c r="M3614">
        <v>0</v>
      </c>
      <c r="N3614">
        <v>0</v>
      </c>
      <c r="O3614" t="s">
        <v>46</v>
      </c>
    </row>
    <row r="3615" spans="1:15">
      <c r="A3615" t="s">
        <v>15448</v>
      </c>
      <c r="B3615" t="s">
        <v>11879</v>
      </c>
      <c r="C3615" t="s">
        <v>21929</v>
      </c>
      <c r="D3615" t="s">
        <v>21930</v>
      </c>
      <c r="E3615" t="b">
        <v>0</v>
      </c>
      <c r="F3615" t="s">
        <v>11622</v>
      </c>
      <c r="L3615">
        <v>0</v>
      </c>
      <c r="M3615">
        <v>2</v>
      </c>
      <c r="N3615">
        <v>0</v>
      </c>
    </row>
    <row r="3616" spans="1:15">
      <c r="A3616" t="s">
        <v>21931</v>
      </c>
      <c r="B3616" t="s">
        <v>11607</v>
      </c>
      <c r="C3616" t="s">
        <v>8134</v>
      </c>
      <c r="D3616" t="s">
        <v>21932</v>
      </c>
      <c r="E3616" t="b">
        <v>0</v>
      </c>
      <c r="F3616" t="s">
        <v>11622</v>
      </c>
      <c r="L3616">
        <v>2</v>
      </c>
      <c r="M3616">
        <v>4</v>
      </c>
      <c r="N3616">
        <v>15</v>
      </c>
    </row>
    <row r="3617" spans="1:15">
      <c r="A3617" t="s">
        <v>19574</v>
      </c>
      <c r="B3617" t="s">
        <v>11607</v>
      </c>
      <c r="C3617" t="s">
        <v>21931</v>
      </c>
      <c r="D3617" t="s">
        <v>21933</v>
      </c>
      <c r="E3617" t="b">
        <v>0</v>
      </c>
      <c r="F3617" t="s">
        <v>11622</v>
      </c>
      <c r="L3617">
        <v>0</v>
      </c>
      <c r="M3617">
        <v>2</v>
      </c>
      <c r="N3617">
        <v>11</v>
      </c>
    </row>
    <row r="3618" spans="1:15">
      <c r="A3618" t="s">
        <v>21934</v>
      </c>
      <c r="B3618" t="s">
        <v>12204</v>
      </c>
      <c r="C3618" t="s">
        <v>12205</v>
      </c>
      <c r="D3618" t="s">
        <v>21935</v>
      </c>
      <c r="E3618" t="b">
        <v>0</v>
      </c>
      <c r="F3618" t="s">
        <v>11624</v>
      </c>
      <c r="L3618">
        <v>0</v>
      </c>
      <c r="M3618">
        <v>0</v>
      </c>
      <c r="N3618">
        <v>0</v>
      </c>
      <c r="O3618" t="s">
        <v>13225</v>
      </c>
    </row>
    <row r="3619" spans="1:15">
      <c r="A3619" t="s">
        <v>21389</v>
      </c>
      <c r="B3619" t="s">
        <v>12438</v>
      </c>
      <c r="C3619" t="s">
        <v>21936</v>
      </c>
      <c r="D3619" t="s">
        <v>21937</v>
      </c>
      <c r="E3619" t="b">
        <v>0</v>
      </c>
      <c r="F3619" t="s">
        <v>11622</v>
      </c>
      <c r="L3619">
        <v>0</v>
      </c>
      <c r="M3619">
        <v>2</v>
      </c>
      <c r="N3619">
        <v>10</v>
      </c>
    </row>
    <row r="3620" spans="1:15">
      <c r="A3620" t="s">
        <v>20225</v>
      </c>
      <c r="B3620" t="s">
        <v>11981</v>
      </c>
      <c r="C3620" t="s">
        <v>13026</v>
      </c>
      <c r="D3620" t="s">
        <v>21938</v>
      </c>
      <c r="E3620" t="b">
        <v>0</v>
      </c>
      <c r="F3620" t="s">
        <v>11622</v>
      </c>
      <c r="L3620">
        <v>0</v>
      </c>
      <c r="M3620">
        <v>5</v>
      </c>
      <c r="N3620">
        <v>6</v>
      </c>
    </row>
    <row r="3621" spans="1:15">
      <c r="A3621" t="s">
        <v>13592</v>
      </c>
      <c r="B3621" t="s">
        <v>367</v>
      </c>
      <c r="C3621" t="s">
        <v>5576</v>
      </c>
      <c r="D3621" t="s">
        <v>21939</v>
      </c>
      <c r="E3621" t="b">
        <v>0</v>
      </c>
      <c r="F3621" t="s">
        <v>11622</v>
      </c>
      <c r="L3621">
        <v>0</v>
      </c>
      <c r="M3621">
        <v>2</v>
      </c>
      <c r="N3621">
        <v>2</v>
      </c>
    </row>
    <row r="3622" spans="1:15">
      <c r="A3622" t="s">
        <v>21940</v>
      </c>
      <c r="B3622" t="s">
        <v>367</v>
      </c>
      <c r="C3622" t="s">
        <v>13997</v>
      </c>
      <c r="D3622" t="s">
        <v>21941</v>
      </c>
      <c r="E3622" t="b">
        <v>0</v>
      </c>
      <c r="F3622" t="s">
        <v>11622</v>
      </c>
      <c r="L3622">
        <v>1</v>
      </c>
      <c r="M3622">
        <v>5</v>
      </c>
      <c r="N3622">
        <v>1</v>
      </c>
    </row>
    <row r="3623" spans="1:15">
      <c r="A3623" t="s">
        <v>21942</v>
      </c>
      <c r="B3623" t="s">
        <v>367</v>
      </c>
      <c r="C3623" t="s">
        <v>14691</v>
      </c>
      <c r="D3623" t="s">
        <v>21943</v>
      </c>
      <c r="E3623" t="b">
        <v>0</v>
      </c>
      <c r="F3623" t="s">
        <v>11622</v>
      </c>
      <c r="L3623">
        <v>1</v>
      </c>
      <c r="M3623">
        <v>5</v>
      </c>
      <c r="N3623">
        <v>6</v>
      </c>
    </row>
    <row r="3624" spans="1:15">
      <c r="A3624" t="s">
        <v>21944</v>
      </c>
      <c r="B3624" t="s">
        <v>6742</v>
      </c>
      <c r="C3624" t="s">
        <v>21945</v>
      </c>
      <c r="D3624" t="s">
        <v>21946</v>
      </c>
      <c r="E3624" t="b">
        <v>0</v>
      </c>
      <c r="F3624" t="s">
        <v>11622</v>
      </c>
      <c r="L3624">
        <v>0</v>
      </c>
      <c r="M3624">
        <v>2</v>
      </c>
      <c r="N3624">
        <v>29</v>
      </c>
    </row>
    <row r="3625" spans="1:15">
      <c r="A3625" t="s">
        <v>21947</v>
      </c>
      <c r="B3625" t="s">
        <v>11644</v>
      </c>
      <c r="C3625" t="s">
        <v>21948</v>
      </c>
      <c r="D3625" t="s">
        <v>21949</v>
      </c>
      <c r="E3625" t="b">
        <v>0</v>
      </c>
      <c r="F3625" t="s">
        <v>11622</v>
      </c>
      <c r="L3625">
        <v>1</v>
      </c>
      <c r="M3625">
        <v>4</v>
      </c>
      <c r="N3625">
        <v>2</v>
      </c>
    </row>
    <row r="3626" spans="1:15">
      <c r="A3626" t="s">
        <v>21950</v>
      </c>
      <c r="B3626" t="s">
        <v>6742</v>
      </c>
      <c r="C3626" t="s">
        <v>21951</v>
      </c>
      <c r="D3626" t="s">
        <v>21952</v>
      </c>
      <c r="E3626" t="b">
        <v>0</v>
      </c>
      <c r="F3626" t="s">
        <v>11624</v>
      </c>
      <c r="G3626">
        <v>6.6787599999999996</v>
      </c>
      <c r="H3626">
        <v>10.967981999999999</v>
      </c>
      <c r="L3626">
        <v>0</v>
      </c>
      <c r="M3626">
        <v>0</v>
      </c>
      <c r="N3626">
        <v>0</v>
      </c>
      <c r="O3626" t="s">
        <v>11703</v>
      </c>
    </row>
    <row r="3627" spans="1:15">
      <c r="A3627" t="s">
        <v>21951</v>
      </c>
      <c r="B3627" t="s">
        <v>6742</v>
      </c>
      <c r="C3627" t="s">
        <v>21953</v>
      </c>
      <c r="D3627" t="s">
        <v>21954</v>
      </c>
      <c r="E3627" t="b">
        <v>0</v>
      </c>
      <c r="F3627" t="s">
        <v>11622</v>
      </c>
      <c r="L3627">
        <v>0</v>
      </c>
      <c r="M3627">
        <v>2</v>
      </c>
      <c r="N3627">
        <v>10</v>
      </c>
    </row>
    <row r="3628" spans="1:15">
      <c r="A3628" t="s">
        <v>21955</v>
      </c>
      <c r="B3628" t="s">
        <v>12438</v>
      </c>
      <c r="C3628" t="s">
        <v>21956</v>
      </c>
      <c r="D3628" t="s">
        <v>21957</v>
      </c>
      <c r="E3628" t="b">
        <v>0</v>
      </c>
      <c r="F3628" t="s">
        <v>11624</v>
      </c>
      <c r="G3628">
        <v>12.608611</v>
      </c>
      <c r="H3628">
        <v>102.270556</v>
      </c>
      <c r="L3628">
        <v>0</v>
      </c>
      <c r="M3628">
        <v>0</v>
      </c>
      <c r="N3628">
        <v>0</v>
      </c>
      <c r="O3628" t="s">
        <v>16739</v>
      </c>
    </row>
    <row r="3629" spans="1:15">
      <c r="A3629" t="s">
        <v>15138</v>
      </c>
      <c r="B3629" t="s">
        <v>367</v>
      </c>
      <c r="C3629" t="s">
        <v>21958</v>
      </c>
      <c r="D3629" t="s">
        <v>21959</v>
      </c>
      <c r="E3629" t="b">
        <v>0</v>
      </c>
      <c r="F3629" t="s">
        <v>11622</v>
      </c>
      <c r="L3629">
        <v>4</v>
      </c>
      <c r="M3629">
        <v>11</v>
      </c>
      <c r="N3629">
        <v>4</v>
      </c>
    </row>
    <row r="3630" spans="1:15">
      <c r="A3630" t="s">
        <v>21960</v>
      </c>
      <c r="B3630" t="s">
        <v>367</v>
      </c>
      <c r="C3630" t="s">
        <v>21961</v>
      </c>
      <c r="D3630" t="s">
        <v>21962</v>
      </c>
      <c r="E3630" t="b">
        <v>0</v>
      </c>
      <c r="F3630" t="s">
        <v>11622</v>
      </c>
      <c r="L3630">
        <v>0</v>
      </c>
      <c r="M3630">
        <v>4</v>
      </c>
      <c r="N3630">
        <v>1</v>
      </c>
    </row>
    <row r="3631" spans="1:15">
      <c r="A3631" t="s">
        <v>21963</v>
      </c>
      <c r="B3631" t="s">
        <v>11637</v>
      </c>
      <c r="C3631" t="s">
        <v>2187</v>
      </c>
      <c r="D3631" t="s">
        <v>21964</v>
      </c>
      <c r="E3631" t="b">
        <v>0</v>
      </c>
      <c r="F3631" t="s">
        <v>11622</v>
      </c>
      <c r="L3631">
        <v>31</v>
      </c>
      <c r="M3631">
        <v>56</v>
      </c>
      <c r="N3631">
        <v>96</v>
      </c>
    </row>
    <row r="3632" spans="1:15">
      <c r="A3632" t="s">
        <v>15679</v>
      </c>
      <c r="B3632" t="s">
        <v>11637</v>
      </c>
      <c r="C3632" t="s">
        <v>21963</v>
      </c>
      <c r="D3632" t="s">
        <v>21965</v>
      </c>
      <c r="E3632" t="b">
        <v>0</v>
      </c>
      <c r="F3632" t="s">
        <v>11622</v>
      </c>
      <c r="L3632">
        <v>26</v>
      </c>
      <c r="M3632">
        <v>51</v>
      </c>
      <c r="N3632">
        <v>87</v>
      </c>
    </row>
    <row r="3633" spans="1:15">
      <c r="A3633" t="s">
        <v>21966</v>
      </c>
      <c r="B3633" t="s">
        <v>11981</v>
      </c>
      <c r="C3633" t="s">
        <v>11982</v>
      </c>
      <c r="D3633" t="s">
        <v>21967</v>
      </c>
      <c r="E3633" t="b">
        <v>0</v>
      </c>
      <c r="F3633" t="s">
        <v>11624</v>
      </c>
      <c r="G3633">
        <v>37</v>
      </c>
      <c r="H3633">
        <v>33</v>
      </c>
      <c r="L3633">
        <v>0</v>
      </c>
      <c r="M3633">
        <v>0</v>
      </c>
      <c r="N3633">
        <v>0</v>
      </c>
      <c r="O3633" t="s">
        <v>16254</v>
      </c>
    </row>
    <row r="3634" spans="1:15">
      <c r="A3634" t="s">
        <v>21968</v>
      </c>
      <c r="B3634" t="s">
        <v>12260</v>
      </c>
      <c r="C3634" t="s">
        <v>1462</v>
      </c>
      <c r="D3634" t="s">
        <v>21969</v>
      </c>
      <c r="E3634" t="b">
        <v>0</v>
      </c>
      <c r="F3634" t="s">
        <v>11610</v>
      </c>
      <c r="L3634">
        <v>0</v>
      </c>
      <c r="M3634">
        <v>0</v>
      </c>
      <c r="N3634">
        <v>0</v>
      </c>
    </row>
    <row r="3635" spans="1:15">
      <c r="A3635" t="s">
        <v>17879</v>
      </c>
      <c r="B3635" t="s">
        <v>6742</v>
      </c>
      <c r="C3635" t="s">
        <v>20773</v>
      </c>
      <c r="D3635" t="s">
        <v>21970</v>
      </c>
      <c r="E3635" t="b">
        <v>0</v>
      </c>
      <c r="F3635" t="s">
        <v>11622</v>
      </c>
      <c r="L3635">
        <v>2</v>
      </c>
      <c r="M3635">
        <v>5</v>
      </c>
      <c r="N3635">
        <v>20</v>
      </c>
    </row>
    <row r="3636" spans="1:15">
      <c r="A3636" t="s">
        <v>21971</v>
      </c>
      <c r="B3636" t="s">
        <v>12260</v>
      </c>
      <c r="C3636" t="s">
        <v>21972</v>
      </c>
      <c r="D3636" t="s">
        <v>21973</v>
      </c>
      <c r="E3636" t="b">
        <v>0</v>
      </c>
      <c r="F3636" t="s">
        <v>11624</v>
      </c>
      <c r="G3636">
        <v>61.1432</v>
      </c>
      <c r="H3636">
        <v>62.402299999999997</v>
      </c>
      <c r="L3636">
        <v>0</v>
      </c>
      <c r="M3636">
        <v>0</v>
      </c>
      <c r="N3636">
        <v>0</v>
      </c>
      <c r="O3636" t="s">
        <v>12748</v>
      </c>
    </row>
    <row r="3637" spans="1:15">
      <c r="A3637" t="s">
        <v>21974</v>
      </c>
      <c r="B3637" t="s">
        <v>11607</v>
      </c>
      <c r="C3637" t="s">
        <v>13955</v>
      </c>
      <c r="D3637" t="s">
        <v>21975</v>
      </c>
      <c r="E3637" t="b">
        <v>0</v>
      </c>
      <c r="F3637" t="s">
        <v>11610</v>
      </c>
      <c r="L3637">
        <v>0</v>
      </c>
      <c r="M3637">
        <v>0</v>
      </c>
      <c r="N3637">
        <v>0</v>
      </c>
    </row>
    <row r="3638" spans="1:15">
      <c r="A3638" t="s">
        <v>21976</v>
      </c>
      <c r="B3638" t="s">
        <v>331</v>
      </c>
      <c r="C3638" t="s">
        <v>21977</v>
      </c>
      <c r="D3638" t="s">
        <v>21978</v>
      </c>
      <c r="E3638" t="b">
        <v>0</v>
      </c>
      <c r="F3638" t="s">
        <v>11622</v>
      </c>
      <c r="L3638">
        <v>5</v>
      </c>
      <c r="M3638">
        <v>9</v>
      </c>
      <c r="N3638">
        <v>26</v>
      </c>
    </row>
    <row r="3639" spans="1:15">
      <c r="A3639" t="s">
        <v>21979</v>
      </c>
      <c r="B3639" t="s">
        <v>4342</v>
      </c>
      <c r="C3639" t="s">
        <v>21980</v>
      </c>
      <c r="D3639" t="s">
        <v>21981</v>
      </c>
      <c r="E3639" t="b">
        <v>0</v>
      </c>
      <c r="F3639" t="s">
        <v>11610</v>
      </c>
      <c r="L3639">
        <v>0</v>
      </c>
      <c r="M3639">
        <v>0</v>
      </c>
      <c r="N3639">
        <v>3</v>
      </c>
    </row>
    <row r="3640" spans="1:15">
      <c r="A3640" t="s">
        <v>21982</v>
      </c>
      <c r="B3640" t="s">
        <v>12260</v>
      </c>
      <c r="C3640" t="s">
        <v>21983</v>
      </c>
      <c r="D3640" t="s">
        <v>21984</v>
      </c>
      <c r="E3640" t="b">
        <v>0</v>
      </c>
      <c r="F3640" t="s">
        <v>11610</v>
      </c>
      <c r="L3640">
        <v>0</v>
      </c>
      <c r="M3640">
        <v>0</v>
      </c>
      <c r="N3640">
        <v>3</v>
      </c>
    </row>
    <row r="3641" spans="1:15">
      <c r="A3641" t="s">
        <v>21985</v>
      </c>
      <c r="B3641" t="s">
        <v>12260</v>
      </c>
      <c r="C3641" t="s">
        <v>21986</v>
      </c>
      <c r="D3641" t="s">
        <v>21987</v>
      </c>
      <c r="E3641" t="b">
        <v>0</v>
      </c>
      <c r="F3641" t="s">
        <v>11622</v>
      </c>
      <c r="L3641">
        <v>0</v>
      </c>
      <c r="M3641">
        <v>2</v>
      </c>
      <c r="N3641">
        <v>8</v>
      </c>
    </row>
    <row r="3642" spans="1:15">
      <c r="A3642" t="s">
        <v>21426</v>
      </c>
      <c r="B3642" t="s">
        <v>11644</v>
      </c>
      <c r="C3642" t="s">
        <v>21988</v>
      </c>
      <c r="D3642" t="s">
        <v>21989</v>
      </c>
      <c r="E3642" t="b">
        <v>0</v>
      </c>
      <c r="F3642" t="s">
        <v>11622</v>
      </c>
      <c r="L3642">
        <v>7</v>
      </c>
      <c r="M3642">
        <v>18</v>
      </c>
      <c r="N3642">
        <v>17</v>
      </c>
    </row>
    <row r="3643" spans="1:15">
      <c r="A3643" t="s">
        <v>15834</v>
      </c>
      <c r="B3643" t="s">
        <v>367</v>
      </c>
      <c r="C3643" t="s">
        <v>5409</v>
      </c>
      <c r="D3643" t="s">
        <v>21990</v>
      </c>
      <c r="E3643" t="b">
        <v>0</v>
      </c>
      <c r="F3643" t="s">
        <v>11610</v>
      </c>
      <c r="L3643">
        <v>0</v>
      </c>
      <c r="M3643">
        <v>0</v>
      </c>
      <c r="N3643">
        <v>13</v>
      </c>
    </row>
    <row r="3644" spans="1:15">
      <c r="A3644" t="s">
        <v>21991</v>
      </c>
      <c r="B3644" t="s">
        <v>11794</v>
      </c>
      <c r="C3644" t="s">
        <v>21992</v>
      </c>
      <c r="D3644" t="s">
        <v>21993</v>
      </c>
      <c r="E3644" t="b">
        <v>0</v>
      </c>
      <c r="F3644" t="s">
        <v>11610</v>
      </c>
      <c r="L3644">
        <v>0</v>
      </c>
      <c r="M3644">
        <v>0</v>
      </c>
      <c r="N3644">
        <v>0</v>
      </c>
    </row>
    <row r="3645" spans="1:15">
      <c r="A3645" t="s">
        <v>14701</v>
      </c>
      <c r="B3645" t="s">
        <v>11607</v>
      </c>
      <c r="C3645" t="s">
        <v>17991</v>
      </c>
      <c r="D3645" t="s">
        <v>21994</v>
      </c>
      <c r="E3645" t="b">
        <v>0</v>
      </c>
      <c r="F3645" t="s">
        <v>11610</v>
      </c>
      <c r="L3645">
        <v>0</v>
      </c>
      <c r="M3645">
        <v>0</v>
      </c>
      <c r="N3645">
        <v>5</v>
      </c>
    </row>
    <row r="3646" spans="1:15">
      <c r="A3646" t="s">
        <v>21995</v>
      </c>
      <c r="B3646" t="s">
        <v>11607</v>
      </c>
      <c r="C3646" t="s">
        <v>18761</v>
      </c>
      <c r="D3646" t="s">
        <v>21996</v>
      </c>
      <c r="E3646" t="b">
        <v>0</v>
      </c>
      <c r="F3646" t="s">
        <v>11610</v>
      </c>
      <c r="L3646">
        <v>0</v>
      </c>
      <c r="M3646">
        <v>0</v>
      </c>
      <c r="N3646">
        <v>3</v>
      </c>
    </row>
    <row r="3647" spans="1:15">
      <c r="A3647" t="s">
        <v>21997</v>
      </c>
      <c r="B3647" t="s">
        <v>12260</v>
      </c>
      <c r="C3647" t="s">
        <v>3373</v>
      </c>
      <c r="D3647" t="s">
        <v>21998</v>
      </c>
      <c r="E3647" t="b">
        <v>0</v>
      </c>
      <c r="F3647" t="s">
        <v>11610</v>
      </c>
      <c r="L3647">
        <v>0</v>
      </c>
      <c r="M3647">
        <v>0</v>
      </c>
      <c r="N3647">
        <v>0</v>
      </c>
    </row>
    <row r="3648" spans="1:15">
      <c r="A3648" t="s">
        <v>21999</v>
      </c>
      <c r="B3648" t="s">
        <v>367</v>
      </c>
      <c r="C3648" t="s">
        <v>22000</v>
      </c>
      <c r="D3648" t="s">
        <v>22001</v>
      </c>
      <c r="E3648" t="b">
        <v>0</v>
      </c>
      <c r="F3648" t="s">
        <v>11610</v>
      </c>
      <c r="L3648">
        <v>0</v>
      </c>
      <c r="M3648">
        <v>0</v>
      </c>
      <c r="N3648">
        <v>2</v>
      </c>
    </row>
    <row r="3649" spans="1:14">
      <c r="A3649" t="s">
        <v>22002</v>
      </c>
      <c r="B3649" t="s">
        <v>10597</v>
      </c>
      <c r="C3649" t="s">
        <v>12967</v>
      </c>
      <c r="D3649" t="s">
        <v>22003</v>
      </c>
      <c r="E3649" t="b">
        <v>0</v>
      </c>
      <c r="F3649" t="s">
        <v>11622</v>
      </c>
      <c r="L3649">
        <v>0</v>
      </c>
      <c r="M3649">
        <v>2</v>
      </c>
      <c r="N3649">
        <v>0</v>
      </c>
    </row>
    <row r="3650" spans="1:14">
      <c r="A3650" t="s">
        <v>18193</v>
      </c>
      <c r="B3650" t="s">
        <v>11607</v>
      </c>
      <c r="C3650" t="s">
        <v>22004</v>
      </c>
      <c r="D3650" t="s">
        <v>22005</v>
      </c>
      <c r="E3650" t="b">
        <v>0</v>
      </c>
      <c r="F3650" t="s">
        <v>11610</v>
      </c>
      <c r="L3650">
        <v>0</v>
      </c>
      <c r="M3650">
        <v>0</v>
      </c>
      <c r="N3650">
        <v>2</v>
      </c>
    </row>
    <row r="3651" spans="1:14">
      <c r="A3651" t="s">
        <v>22006</v>
      </c>
      <c r="B3651" t="s">
        <v>11637</v>
      </c>
      <c r="C3651" t="s">
        <v>16328</v>
      </c>
      <c r="D3651" t="s">
        <v>22007</v>
      </c>
      <c r="E3651" t="b">
        <v>0</v>
      </c>
      <c r="F3651" t="s">
        <v>11610</v>
      </c>
      <c r="L3651">
        <v>0</v>
      </c>
      <c r="M3651">
        <v>0</v>
      </c>
      <c r="N3651">
        <v>0</v>
      </c>
    </row>
    <row r="3652" spans="1:14">
      <c r="A3652" t="s">
        <v>22008</v>
      </c>
      <c r="B3652" t="s">
        <v>11637</v>
      </c>
      <c r="C3652" t="s">
        <v>22009</v>
      </c>
      <c r="D3652" t="s">
        <v>22010</v>
      </c>
      <c r="E3652" t="b">
        <v>0</v>
      </c>
      <c r="F3652" t="s">
        <v>11610</v>
      </c>
      <c r="L3652">
        <v>0</v>
      </c>
      <c r="M3652">
        <v>0</v>
      </c>
      <c r="N3652">
        <v>0</v>
      </c>
    </row>
    <row r="3653" spans="1:14">
      <c r="A3653" t="s">
        <v>22011</v>
      </c>
      <c r="B3653" t="s">
        <v>11637</v>
      </c>
      <c r="C3653" t="s">
        <v>22012</v>
      </c>
      <c r="D3653" t="s">
        <v>22013</v>
      </c>
      <c r="E3653" t="b">
        <v>0</v>
      </c>
      <c r="F3653" t="s">
        <v>11610</v>
      </c>
      <c r="L3653">
        <v>0</v>
      </c>
      <c r="M3653">
        <v>0</v>
      </c>
      <c r="N3653">
        <v>0</v>
      </c>
    </row>
    <row r="3654" spans="1:14">
      <c r="A3654" t="s">
        <v>22014</v>
      </c>
      <c r="B3654" t="s">
        <v>11637</v>
      </c>
      <c r="C3654" t="s">
        <v>9247</v>
      </c>
      <c r="D3654" t="s">
        <v>22015</v>
      </c>
      <c r="E3654" t="b">
        <v>0</v>
      </c>
      <c r="F3654" t="s">
        <v>11610</v>
      </c>
      <c r="L3654">
        <v>0</v>
      </c>
      <c r="M3654">
        <v>0</v>
      </c>
      <c r="N3654">
        <v>0</v>
      </c>
    </row>
    <row r="3655" spans="1:14">
      <c r="A3655" t="s">
        <v>22016</v>
      </c>
      <c r="B3655" t="s">
        <v>11637</v>
      </c>
      <c r="C3655" t="s">
        <v>1407</v>
      </c>
      <c r="D3655" t="s">
        <v>22017</v>
      </c>
      <c r="E3655" t="b">
        <v>0</v>
      </c>
      <c r="F3655" t="s">
        <v>11610</v>
      </c>
      <c r="L3655">
        <v>0</v>
      </c>
      <c r="M3655">
        <v>0</v>
      </c>
      <c r="N3655">
        <v>0</v>
      </c>
    </row>
    <row r="3656" spans="1:14">
      <c r="A3656" t="s">
        <v>22018</v>
      </c>
      <c r="B3656" t="s">
        <v>11637</v>
      </c>
      <c r="C3656" t="s">
        <v>22019</v>
      </c>
      <c r="D3656" t="s">
        <v>22020</v>
      </c>
      <c r="E3656" t="b">
        <v>0</v>
      </c>
      <c r="F3656" t="s">
        <v>11610</v>
      </c>
      <c r="L3656">
        <v>0</v>
      </c>
      <c r="M3656">
        <v>0</v>
      </c>
      <c r="N3656">
        <v>7</v>
      </c>
    </row>
    <row r="3657" spans="1:14">
      <c r="A3657" t="s">
        <v>22021</v>
      </c>
      <c r="B3657" t="s">
        <v>11637</v>
      </c>
      <c r="C3657" t="s">
        <v>22022</v>
      </c>
      <c r="D3657" t="s">
        <v>22023</v>
      </c>
      <c r="E3657" t="b">
        <v>0</v>
      </c>
      <c r="F3657" t="s">
        <v>11610</v>
      </c>
      <c r="L3657">
        <v>0</v>
      </c>
      <c r="M3657">
        <v>0</v>
      </c>
      <c r="N3657">
        <v>2</v>
      </c>
    </row>
    <row r="3658" spans="1:14">
      <c r="A3658" t="s">
        <v>22024</v>
      </c>
      <c r="B3658" t="s">
        <v>11644</v>
      </c>
      <c r="C3658" t="s">
        <v>22025</v>
      </c>
      <c r="D3658" t="s">
        <v>22026</v>
      </c>
      <c r="E3658" t="b">
        <v>0</v>
      </c>
      <c r="F3658" t="s">
        <v>11622</v>
      </c>
      <c r="L3658">
        <v>7</v>
      </c>
      <c r="M3658">
        <v>16</v>
      </c>
      <c r="N3658">
        <v>33</v>
      </c>
    </row>
    <row r="3659" spans="1:14">
      <c r="A3659" t="s">
        <v>22027</v>
      </c>
      <c r="B3659" t="s">
        <v>11644</v>
      </c>
      <c r="C3659" t="s">
        <v>22028</v>
      </c>
      <c r="D3659" t="s">
        <v>22029</v>
      </c>
      <c r="E3659" t="b">
        <v>0</v>
      </c>
      <c r="F3659" t="s">
        <v>11610</v>
      </c>
      <c r="L3659">
        <v>0</v>
      </c>
      <c r="M3659">
        <v>0</v>
      </c>
      <c r="N3659">
        <v>2</v>
      </c>
    </row>
    <row r="3660" spans="1:14">
      <c r="A3660" t="s">
        <v>22030</v>
      </c>
      <c r="B3660" t="s">
        <v>11729</v>
      </c>
      <c r="C3660" t="s">
        <v>22031</v>
      </c>
      <c r="D3660" t="s">
        <v>22032</v>
      </c>
      <c r="E3660" t="b">
        <v>0</v>
      </c>
      <c r="F3660" t="s">
        <v>11610</v>
      </c>
      <c r="L3660">
        <v>0</v>
      </c>
      <c r="M3660">
        <v>0</v>
      </c>
      <c r="N3660">
        <v>0</v>
      </c>
    </row>
    <row r="3661" spans="1:14">
      <c r="A3661" t="s">
        <v>22033</v>
      </c>
      <c r="B3661" t="s">
        <v>11729</v>
      </c>
      <c r="C3661" t="s">
        <v>22034</v>
      </c>
      <c r="D3661" t="s">
        <v>22035</v>
      </c>
      <c r="E3661" t="b">
        <v>0</v>
      </c>
      <c r="F3661" t="s">
        <v>11610</v>
      </c>
      <c r="L3661">
        <v>0</v>
      </c>
      <c r="M3661">
        <v>0</v>
      </c>
      <c r="N3661">
        <v>2</v>
      </c>
    </row>
    <row r="3662" spans="1:14">
      <c r="A3662" t="s">
        <v>22036</v>
      </c>
      <c r="B3662" t="s">
        <v>11637</v>
      </c>
      <c r="C3662" t="s">
        <v>4736</v>
      </c>
      <c r="D3662" t="s">
        <v>22037</v>
      </c>
      <c r="E3662" t="b">
        <v>0</v>
      </c>
      <c r="F3662" t="s">
        <v>11610</v>
      </c>
      <c r="L3662">
        <v>0</v>
      </c>
      <c r="M3662">
        <v>0</v>
      </c>
      <c r="N3662">
        <v>6</v>
      </c>
    </row>
    <row r="3663" spans="1:14">
      <c r="A3663" t="s">
        <v>14030</v>
      </c>
      <c r="B3663" t="s">
        <v>11637</v>
      </c>
      <c r="C3663" t="s">
        <v>4736</v>
      </c>
      <c r="D3663" t="s">
        <v>22038</v>
      </c>
      <c r="E3663" t="b">
        <v>0</v>
      </c>
      <c r="F3663" t="s">
        <v>11610</v>
      </c>
      <c r="L3663">
        <v>0</v>
      </c>
      <c r="M3663">
        <v>0</v>
      </c>
      <c r="N3663">
        <v>3</v>
      </c>
    </row>
    <row r="3664" spans="1:14">
      <c r="A3664" t="s">
        <v>22039</v>
      </c>
      <c r="B3664" t="s">
        <v>11637</v>
      </c>
      <c r="C3664" t="s">
        <v>22040</v>
      </c>
      <c r="D3664" t="s">
        <v>22041</v>
      </c>
      <c r="E3664" t="b">
        <v>0</v>
      </c>
      <c r="F3664" t="s">
        <v>11610</v>
      </c>
      <c r="L3664">
        <v>0</v>
      </c>
      <c r="M3664">
        <v>0</v>
      </c>
      <c r="N3664">
        <v>0</v>
      </c>
    </row>
    <row r="3665" spans="1:15">
      <c r="A3665" t="s">
        <v>22042</v>
      </c>
      <c r="B3665" t="s">
        <v>367</v>
      </c>
      <c r="C3665" t="s">
        <v>22043</v>
      </c>
      <c r="D3665" t="s">
        <v>22044</v>
      </c>
      <c r="E3665" t="b">
        <v>0</v>
      </c>
      <c r="F3665" t="s">
        <v>11610</v>
      </c>
      <c r="L3665">
        <v>0</v>
      </c>
      <c r="M3665">
        <v>0</v>
      </c>
      <c r="N3665">
        <v>0</v>
      </c>
    </row>
    <row r="3666" spans="1:15">
      <c r="A3666" t="s">
        <v>22045</v>
      </c>
      <c r="B3666" t="s">
        <v>331</v>
      </c>
      <c r="C3666" t="s">
        <v>12569</v>
      </c>
      <c r="D3666" t="s">
        <v>22046</v>
      </c>
      <c r="E3666" t="b">
        <v>0</v>
      </c>
      <c r="F3666" t="s">
        <v>11610</v>
      </c>
      <c r="L3666">
        <v>0</v>
      </c>
      <c r="M3666">
        <v>0</v>
      </c>
      <c r="N3666">
        <v>2</v>
      </c>
    </row>
    <row r="3667" spans="1:15">
      <c r="A3667" t="s">
        <v>22047</v>
      </c>
      <c r="B3667" t="s">
        <v>11644</v>
      </c>
      <c r="C3667" t="s">
        <v>22048</v>
      </c>
      <c r="D3667" t="s">
        <v>22049</v>
      </c>
      <c r="E3667" t="b">
        <v>0</v>
      </c>
      <c r="F3667" t="s">
        <v>11610</v>
      </c>
      <c r="L3667">
        <v>0</v>
      </c>
      <c r="M3667">
        <v>0</v>
      </c>
      <c r="N3667">
        <v>3</v>
      </c>
    </row>
    <row r="3668" spans="1:15">
      <c r="A3668" t="s">
        <v>22050</v>
      </c>
      <c r="B3668" t="s">
        <v>14552</v>
      </c>
      <c r="C3668" t="s">
        <v>22051</v>
      </c>
      <c r="D3668" t="s">
        <v>22052</v>
      </c>
      <c r="E3668" t="b">
        <v>0</v>
      </c>
      <c r="F3668" t="s">
        <v>11610</v>
      </c>
      <c r="L3668">
        <v>0</v>
      </c>
      <c r="M3668">
        <v>0</v>
      </c>
      <c r="N3668">
        <v>0</v>
      </c>
    </row>
    <row r="3669" spans="1:15">
      <c r="A3669" t="s">
        <v>22053</v>
      </c>
      <c r="B3669" t="s">
        <v>11607</v>
      </c>
      <c r="C3669" t="s">
        <v>22054</v>
      </c>
      <c r="D3669" t="s">
        <v>22055</v>
      </c>
      <c r="E3669" t="b">
        <v>0</v>
      </c>
      <c r="F3669" t="s">
        <v>11610</v>
      </c>
      <c r="L3669">
        <v>0</v>
      </c>
      <c r="M3669">
        <v>0</v>
      </c>
      <c r="N3669">
        <v>2</v>
      </c>
    </row>
    <row r="3670" spans="1:15">
      <c r="A3670" t="s">
        <v>22056</v>
      </c>
      <c r="B3670" t="s">
        <v>6742</v>
      </c>
      <c r="C3670" t="s">
        <v>22057</v>
      </c>
      <c r="D3670" t="s">
        <v>22058</v>
      </c>
      <c r="E3670" t="b">
        <v>0</v>
      </c>
      <c r="F3670" t="s">
        <v>11610</v>
      </c>
      <c r="L3670">
        <v>0</v>
      </c>
      <c r="M3670">
        <v>0</v>
      </c>
      <c r="N3670">
        <v>0</v>
      </c>
    </row>
    <row r="3671" spans="1:15">
      <c r="A3671" t="s">
        <v>22059</v>
      </c>
      <c r="B3671" t="s">
        <v>11637</v>
      </c>
      <c r="C3671" t="s">
        <v>21368</v>
      </c>
      <c r="D3671" t="s">
        <v>22060</v>
      </c>
      <c r="E3671" t="b">
        <v>0</v>
      </c>
      <c r="F3671" t="s">
        <v>11610</v>
      </c>
      <c r="L3671">
        <v>0</v>
      </c>
      <c r="M3671">
        <v>0</v>
      </c>
      <c r="N3671">
        <v>0</v>
      </c>
    </row>
    <row r="3672" spans="1:15">
      <c r="A3672" t="s">
        <v>16596</v>
      </c>
      <c r="B3672" t="s">
        <v>6742</v>
      </c>
      <c r="C3672" t="s">
        <v>22061</v>
      </c>
      <c r="D3672" t="s">
        <v>22062</v>
      </c>
      <c r="E3672" t="b">
        <v>0</v>
      </c>
      <c r="F3672" t="s">
        <v>11624</v>
      </c>
      <c r="G3672">
        <v>10.124499999999999</v>
      </c>
      <c r="H3672">
        <v>-4.9491699999999996</v>
      </c>
      <c r="I3672" t="s">
        <v>22063</v>
      </c>
      <c r="L3672">
        <v>0</v>
      </c>
      <c r="M3672">
        <v>0</v>
      </c>
      <c r="N3672">
        <v>4</v>
      </c>
      <c r="O3672" t="s">
        <v>22064</v>
      </c>
    </row>
    <row r="3673" spans="1:15">
      <c r="A3673" t="s">
        <v>22065</v>
      </c>
      <c r="B3673" t="s">
        <v>21317</v>
      </c>
      <c r="C3673" t="s">
        <v>22066</v>
      </c>
      <c r="D3673" t="s">
        <v>22067</v>
      </c>
      <c r="E3673" t="b">
        <v>0</v>
      </c>
      <c r="F3673" t="s">
        <v>11610</v>
      </c>
      <c r="L3673">
        <v>0</v>
      </c>
      <c r="M3673">
        <v>0</v>
      </c>
      <c r="N3673">
        <v>0</v>
      </c>
    </row>
    <row r="3674" spans="1:15">
      <c r="A3674" t="s">
        <v>22068</v>
      </c>
      <c r="B3674" t="s">
        <v>21516</v>
      </c>
      <c r="C3674" t="s">
        <v>22069</v>
      </c>
      <c r="D3674" t="s">
        <v>22070</v>
      </c>
      <c r="E3674" t="b">
        <v>0</v>
      </c>
      <c r="F3674" t="s">
        <v>11610</v>
      </c>
      <c r="L3674">
        <v>0</v>
      </c>
      <c r="M3674">
        <v>0</v>
      </c>
      <c r="N3674">
        <v>0</v>
      </c>
    </row>
    <row r="3675" spans="1:15">
      <c r="A3675" t="s">
        <v>22071</v>
      </c>
      <c r="B3675" t="s">
        <v>6742</v>
      </c>
      <c r="C3675" t="s">
        <v>22072</v>
      </c>
      <c r="D3675" t="s">
        <v>22073</v>
      </c>
      <c r="E3675" t="b">
        <v>0</v>
      </c>
      <c r="F3675" t="s">
        <v>11610</v>
      </c>
      <c r="L3675">
        <v>0</v>
      </c>
      <c r="M3675">
        <v>0</v>
      </c>
      <c r="N3675">
        <v>0</v>
      </c>
    </row>
    <row r="3676" spans="1:15">
      <c r="A3676" t="s">
        <v>22074</v>
      </c>
      <c r="B3676" t="s">
        <v>11644</v>
      </c>
      <c r="C3676" t="s">
        <v>22075</v>
      </c>
      <c r="D3676" t="s">
        <v>22076</v>
      </c>
      <c r="E3676" t="b">
        <v>0</v>
      </c>
      <c r="F3676" t="s">
        <v>11610</v>
      </c>
      <c r="L3676">
        <v>0</v>
      </c>
      <c r="M3676">
        <v>0</v>
      </c>
      <c r="N3676">
        <v>0</v>
      </c>
    </row>
    <row r="3677" spans="1:15">
      <c r="A3677" t="s">
        <v>539</v>
      </c>
      <c r="B3677" t="s">
        <v>15304</v>
      </c>
      <c r="C3677" t="s">
        <v>540</v>
      </c>
      <c r="D3677" t="s">
        <v>22077</v>
      </c>
      <c r="E3677" t="b">
        <v>0</v>
      </c>
      <c r="F3677" t="s">
        <v>11624</v>
      </c>
      <c r="G3677">
        <v>0.71489000000000003</v>
      </c>
      <c r="H3677">
        <v>-79.050799999999995</v>
      </c>
      <c r="I3677" t="s">
        <v>541</v>
      </c>
      <c r="L3677">
        <v>0</v>
      </c>
      <c r="M3677">
        <v>0</v>
      </c>
      <c r="N3677">
        <v>0</v>
      </c>
      <c r="O3677" t="s">
        <v>14946</v>
      </c>
    </row>
    <row r="3678" spans="1:15">
      <c r="A3678" t="s">
        <v>22078</v>
      </c>
      <c r="B3678" t="s">
        <v>141</v>
      </c>
      <c r="C3678" t="s">
        <v>8999</v>
      </c>
      <c r="D3678" t="s">
        <v>22079</v>
      </c>
      <c r="E3678" t="b">
        <v>0</v>
      </c>
      <c r="F3678" t="s">
        <v>11624</v>
      </c>
      <c r="G3678">
        <v>-6.2702099999999996</v>
      </c>
      <c r="H3678">
        <v>-77.661500000000004</v>
      </c>
      <c r="I3678" t="s">
        <v>22080</v>
      </c>
      <c r="L3678">
        <v>0</v>
      </c>
      <c r="M3678">
        <v>0</v>
      </c>
      <c r="N3678">
        <v>4</v>
      </c>
      <c r="O3678" t="s">
        <v>11778</v>
      </c>
    </row>
    <row r="3679" spans="1:15">
      <c r="A3679" t="s">
        <v>22081</v>
      </c>
      <c r="B3679" t="s">
        <v>13244</v>
      </c>
      <c r="C3679" t="s">
        <v>19276</v>
      </c>
      <c r="D3679" t="s">
        <v>22082</v>
      </c>
      <c r="E3679" t="b">
        <v>0</v>
      </c>
      <c r="F3679" t="s">
        <v>11624</v>
      </c>
      <c r="G3679">
        <v>-12.132999999999999</v>
      </c>
      <c r="H3679">
        <v>-66.716399999999993</v>
      </c>
      <c r="I3679" t="s">
        <v>22083</v>
      </c>
      <c r="L3679">
        <v>0</v>
      </c>
      <c r="M3679">
        <v>0</v>
      </c>
      <c r="N3679">
        <v>0</v>
      </c>
      <c r="O3679" t="s">
        <v>14185</v>
      </c>
    </row>
    <row r="3680" spans="1:15">
      <c r="A3680" t="s">
        <v>22084</v>
      </c>
      <c r="B3680" t="s">
        <v>11770</v>
      </c>
      <c r="C3680" t="s">
        <v>22085</v>
      </c>
      <c r="D3680" t="s">
        <v>22086</v>
      </c>
      <c r="E3680" t="b">
        <v>0</v>
      </c>
      <c r="F3680" t="s">
        <v>11610</v>
      </c>
      <c r="L3680">
        <v>0</v>
      </c>
      <c r="M3680">
        <v>0</v>
      </c>
      <c r="N3680">
        <v>0</v>
      </c>
    </row>
    <row r="3681" spans="1:15">
      <c r="A3681" t="s">
        <v>22087</v>
      </c>
      <c r="B3681" t="s">
        <v>13360</v>
      </c>
      <c r="C3681" t="s">
        <v>13360</v>
      </c>
      <c r="D3681" t="s">
        <v>22088</v>
      </c>
      <c r="E3681" t="b">
        <v>0</v>
      </c>
      <c r="F3681" t="s">
        <v>11624</v>
      </c>
      <c r="L3681">
        <v>0</v>
      </c>
      <c r="M3681">
        <v>0</v>
      </c>
      <c r="N3681">
        <v>0</v>
      </c>
      <c r="O3681" t="s">
        <v>11778</v>
      </c>
    </row>
    <row r="3682" spans="1:15">
      <c r="A3682" t="s">
        <v>22089</v>
      </c>
      <c r="B3682" t="s">
        <v>11981</v>
      </c>
      <c r="C3682" t="s">
        <v>22090</v>
      </c>
      <c r="D3682" t="s">
        <v>22091</v>
      </c>
      <c r="E3682" t="b">
        <v>0</v>
      </c>
      <c r="F3682" t="s">
        <v>11624</v>
      </c>
      <c r="G3682">
        <v>12.111499999999999</v>
      </c>
      <c r="H3682">
        <v>15.248100000000001</v>
      </c>
      <c r="I3682" t="s">
        <v>22092</v>
      </c>
      <c r="L3682">
        <v>0</v>
      </c>
      <c r="M3682">
        <v>0</v>
      </c>
      <c r="N3682">
        <v>0</v>
      </c>
      <c r="O3682" t="s">
        <v>13421</v>
      </c>
    </row>
    <row r="3683" spans="1:15">
      <c r="A3683" t="s">
        <v>22093</v>
      </c>
      <c r="B3683" t="s">
        <v>5126</v>
      </c>
      <c r="C3683" t="s">
        <v>22094</v>
      </c>
      <c r="D3683" t="s">
        <v>22095</v>
      </c>
      <c r="E3683" t="b">
        <v>0</v>
      </c>
      <c r="F3683" t="s">
        <v>11624</v>
      </c>
      <c r="G3683">
        <v>25.235320000000002</v>
      </c>
      <c r="H3683">
        <v>109.96041</v>
      </c>
      <c r="I3683" t="s">
        <v>22096</v>
      </c>
      <c r="L3683">
        <v>0</v>
      </c>
      <c r="M3683">
        <v>0</v>
      </c>
      <c r="N3683">
        <v>0</v>
      </c>
      <c r="O3683" t="s">
        <v>11905</v>
      </c>
    </row>
    <row r="3684" spans="1:15">
      <c r="A3684" t="s">
        <v>6542</v>
      </c>
      <c r="B3684" t="s">
        <v>11607</v>
      </c>
      <c r="C3684" t="s">
        <v>22097</v>
      </c>
      <c r="D3684" t="s">
        <v>22098</v>
      </c>
      <c r="E3684" t="b">
        <v>0</v>
      </c>
      <c r="F3684" t="s">
        <v>11624</v>
      </c>
      <c r="G3684">
        <v>14.67</v>
      </c>
      <c r="H3684">
        <v>13.5</v>
      </c>
      <c r="I3684" t="s">
        <v>6543</v>
      </c>
      <c r="L3684">
        <v>0</v>
      </c>
      <c r="M3684">
        <v>0</v>
      </c>
      <c r="N3684">
        <v>2</v>
      </c>
      <c r="O3684" t="s">
        <v>22099</v>
      </c>
    </row>
    <row r="3685" spans="1:15">
      <c r="A3685" t="s">
        <v>18916</v>
      </c>
      <c r="B3685" t="s">
        <v>11607</v>
      </c>
      <c r="C3685" t="s">
        <v>11607</v>
      </c>
      <c r="D3685" t="s">
        <v>22100</v>
      </c>
      <c r="E3685" t="b">
        <v>0</v>
      </c>
      <c r="F3685" t="s">
        <v>11622</v>
      </c>
      <c r="L3685">
        <v>116</v>
      </c>
      <c r="M3685">
        <v>201</v>
      </c>
      <c r="N3685">
        <v>343</v>
      </c>
    </row>
    <row r="3686" spans="1:15">
      <c r="A3686" t="s">
        <v>22101</v>
      </c>
      <c r="B3686" t="s">
        <v>11644</v>
      </c>
      <c r="C3686" t="s">
        <v>22102</v>
      </c>
      <c r="D3686" t="s">
        <v>22103</v>
      </c>
      <c r="E3686" t="b">
        <v>0</v>
      </c>
      <c r="F3686" t="s">
        <v>11610</v>
      </c>
      <c r="L3686">
        <v>0</v>
      </c>
      <c r="M3686">
        <v>0</v>
      </c>
      <c r="N3686">
        <v>0</v>
      </c>
    </row>
    <row r="3687" spans="1:15">
      <c r="A3687" t="s">
        <v>22104</v>
      </c>
      <c r="B3687" t="s">
        <v>331</v>
      </c>
      <c r="C3687" t="s">
        <v>5224</v>
      </c>
      <c r="D3687" t="s">
        <v>22105</v>
      </c>
      <c r="E3687" t="b">
        <v>0</v>
      </c>
      <c r="F3687" t="s">
        <v>11624</v>
      </c>
      <c r="G3687">
        <v>38.211460000000002</v>
      </c>
      <c r="H3687">
        <v>57.88758</v>
      </c>
      <c r="I3687" t="s">
        <v>22106</v>
      </c>
      <c r="L3687">
        <v>0</v>
      </c>
      <c r="M3687">
        <v>0</v>
      </c>
      <c r="N3687">
        <v>0</v>
      </c>
      <c r="O3687" t="s">
        <v>22107</v>
      </c>
    </row>
    <row r="3688" spans="1:15">
      <c r="A3688" t="s">
        <v>22108</v>
      </c>
      <c r="B3688" t="s">
        <v>6742</v>
      </c>
      <c r="C3688" t="s">
        <v>22109</v>
      </c>
      <c r="D3688" t="s">
        <v>22110</v>
      </c>
      <c r="E3688" t="b">
        <v>0</v>
      </c>
      <c r="F3688" t="s">
        <v>11622</v>
      </c>
      <c r="L3688">
        <v>3</v>
      </c>
      <c r="M3688">
        <v>7</v>
      </c>
      <c r="N3688">
        <v>15</v>
      </c>
    </row>
    <row r="3689" spans="1:15">
      <c r="A3689" t="s">
        <v>1865</v>
      </c>
      <c r="B3689" t="s">
        <v>6742</v>
      </c>
      <c r="C3689" t="s">
        <v>22108</v>
      </c>
      <c r="D3689" t="s">
        <v>22111</v>
      </c>
      <c r="E3689" t="b">
        <v>0</v>
      </c>
      <c r="F3689" t="s">
        <v>11622</v>
      </c>
      <c r="L3689">
        <v>2</v>
      </c>
      <c r="M3689">
        <v>6</v>
      </c>
      <c r="N3689">
        <v>15</v>
      </c>
    </row>
    <row r="3690" spans="1:15">
      <c r="A3690" t="s">
        <v>22112</v>
      </c>
      <c r="B3690" t="s">
        <v>12250</v>
      </c>
      <c r="C3690" t="s">
        <v>22113</v>
      </c>
      <c r="D3690" t="s">
        <v>22114</v>
      </c>
      <c r="E3690" t="b">
        <v>0</v>
      </c>
      <c r="F3690" t="s">
        <v>11610</v>
      </c>
      <c r="L3690">
        <v>0</v>
      </c>
      <c r="M3690">
        <v>0</v>
      </c>
      <c r="N3690">
        <v>0</v>
      </c>
    </row>
    <row r="3691" spans="1:15">
      <c r="A3691" t="s">
        <v>22115</v>
      </c>
      <c r="B3691" t="s">
        <v>6742</v>
      </c>
      <c r="C3691" t="s">
        <v>22116</v>
      </c>
      <c r="D3691" t="s">
        <v>22117</v>
      </c>
      <c r="E3691" t="b">
        <v>0</v>
      </c>
      <c r="F3691" t="s">
        <v>11610</v>
      </c>
      <c r="L3691">
        <v>0</v>
      </c>
      <c r="M3691">
        <v>0</v>
      </c>
      <c r="N3691">
        <v>0</v>
      </c>
    </row>
    <row r="3692" spans="1:15">
      <c r="A3692" t="s">
        <v>22118</v>
      </c>
      <c r="B3692" t="s">
        <v>11607</v>
      </c>
      <c r="C3692" t="s">
        <v>22119</v>
      </c>
      <c r="D3692" t="s">
        <v>22120</v>
      </c>
      <c r="E3692" t="b">
        <v>0</v>
      </c>
      <c r="F3692" t="s">
        <v>11610</v>
      </c>
      <c r="L3692">
        <v>0</v>
      </c>
      <c r="M3692">
        <v>0</v>
      </c>
      <c r="N3692">
        <v>0</v>
      </c>
    </row>
    <row r="3693" spans="1:15">
      <c r="A3693" t="s">
        <v>22121</v>
      </c>
      <c r="B3693" t="s">
        <v>12438</v>
      </c>
      <c r="C3693" t="s">
        <v>22122</v>
      </c>
      <c r="D3693" t="s">
        <v>22123</v>
      </c>
      <c r="E3693" t="b">
        <v>0</v>
      </c>
      <c r="F3693" t="s">
        <v>11610</v>
      </c>
      <c r="L3693">
        <v>0</v>
      </c>
      <c r="M3693">
        <v>0</v>
      </c>
      <c r="N3693">
        <v>0</v>
      </c>
    </row>
    <row r="3694" spans="1:15">
      <c r="A3694" t="s">
        <v>22124</v>
      </c>
      <c r="B3694" t="s">
        <v>11637</v>
      </c>
      <c r="C3694" t="s">
        <v>15958</v>
      </c>
      <c r="D3694" t="s">
        <v>22125</v>
      </c>
      <c r="E3694" t="b">
        <v>0</v>
      </c>
      <c r="F3694" t="s">
        <v>11610</v>
      </c>
      <c r="L3694">
        <v>0</v>
      </c>
      <c r="M3694">
        <v>0</v>
      </c>
      <c r="N3694">
        <v>0</v>
      </c>
    </row>
    <row r="3695" spans="1:15">
      <c r="A3695" t="s">
        <v>22126</v>
      </c>
      <c r="B3695" t="s">
        <v>15569</v>
      </c>
      <c r="C3695" t="s">
        <v>22127</v>
      </c>
      <c r="D3695" t="s">
        <v>22128</v>
      </c>
      <c r="E3695" t="b">
        <v>0</v>
      </c>
      <c r="F3695" t="s">
        <v>11610</v>
      </c>
      <c r="L3695">
        <v>0</v>
      </c>
      <c r="M3695">
        <v>0</v>
      </c>
      <c r="N3695">
        <v>0</v>
      </c>
    </row>
    <row r="3696" spans="1:15">
      <c r="A3696" t="s">
        <v>22129</v>
      </c>
      <c r="B3696" t="s">
        <v>8310</v>
      </c>
      <c r="C3696" t="s">
        <v>22130</v>
      </c>
      <c r="D3696" t="s">
        <v>22131</v>
      </c>
      <c r="E3696" t="b">
        <v>0</v>
      </c>
      <c r="F3696" t="s">
        <v>11624</v>
      </c>
      <c r="G3696">
        <v>9.2125599999999999</v>
      </c>
      <c r="H3696">
        <v>-63.103400000000001</v>
      </c>
      <c r="I3696" t="s">
        <v>22132</v>
      </c>
      <c r="L3696">
        <v>0</v>
      </c>
      <c r="M3696">
        <v>0</v>
      </c>
      <c r="N3696">
        <v>0</v>
      </c>
      <c r="O3696" t="s">
        <v>16711</v>
      </c>
    </row>
    <row r="3697" spans="1:15">
      <c r="A3697" t="s">
        <v>22133</v>
      </c>
      <c r="B3697" t="s">
        <v>11644</v>
      </c>
      <c r="C3697" t="s">
        <v>22134</v>
      </c>
      <c r="D3697" t="s">
        <v>22135</v>
      </c>
      <c r="E3697" t="b">
        <v>0</v>
      </c>
      <c r="F3697" t="s">
        <v>11624</v>
      </c>
      <c r="L3697">
        <v>0</v>
      </c>
      <c r="M3697">
        <v>0</v>
      </c>
      <c r="N3697">
        <v>0</v>
      </c>
      <c r="O3697" t="s">
        <v>14059</v>
      </c>
    </row>
    <row r="3698" spans="1:15">
      <c r="A3698" t="s">
        <v>22136</v>
      </c>
      <c r="B3698" t="s">
        <v>12204</v>
      </c>
      <c r="C3698" t="s">
        <v>22137</v>
      </c>
      <c r="D3698" t="s">
        <v>22138</v>
      </c>
      <c r="E3698" t="b">
        <v>0</v>
      </c>
      <c r="F3698" t="s">
        <v>11610</v>
      </c>
      <c r="L3698">
        <v>0</v>
      </c>
      <c r="M3698">
        <v>0</v>
      </c>
      <c r="N3698">
        <v>0</v>
      </c>
    </row>
    <row r="3699" spans="1:15">
      <c r="A3699" t="s">
        <v>20480</v>
      </c>
      <c r="B3699" t="s">
        <v>11637</v>
      </c>
      <c r="C3699" t="s">
        <v>22139</v>
      </c>
      <c r="D3699" t="s">
        <v>22140</v>
      </c>
      <c r="E3699" t="b">
        <v>0</v>
      </c>
      <c r="F3699" t="s">
        <v>11610</v>
      </c>
      <c r="L3699">
        <v>0</v>
      </c>
      <c r="M3699">
        <v>0</v>
      </c>
      <c r="N3699">
        <v>2</v>
      </c>
    </row>
    <row r="3700" spans="1:15">
      <c r="A3700" t="s">
        <v>7497</v>
      </c>
      <c r="B3700" t="s">
        <v>11637</v>
      </c>
      <c r="C3700" t="s">
        <v>22141</v>
      </c>
      <c r="D3700" t="s">
        <v>7504</v>
      </c>
      <c r="E3700" t="b">
        <v>0</v>
      </c>
      <c r="F3700" t="s">
        <v>11624</v>
      </c>
      <c r="G3700">
        <v>23.001480000000001</v>
      </c>
      <c r="H3700">
        <v>92.338999999999999</v>
      </c>
      <c r="I3700" t="s">
        <v>7498</v>
      </c>
      <c r="L3700">
        <v>0</v>
      </c>
      <c r="M3700">
        <v>0</v>
      </c>
      <c r="N3700">
        <v>0</v>
      </c>
      <c r="O3700" t="s">
        <v>15054</v>
      </c>
    </row>
    <row r="3701" spans="1:15">
      <c r="A3701" t="s">
        <v>22142</v>
      </c>
      <c r="B3701" t="s">
        <v>11644</v>
      </c>
      <c r="C3701" t="s">
        <v>18501</v>
      </c>
      <c r="D3701" t="s">
        <v>22143</v>
      </c>
      <c r="E3701" t="b">
        <v>0</v>
      </c>
      <c r="F3701" t="s">
        <v>11610</v>
      </c>
      <c r="L3701">
        <v>0</v>
      </c>
      <c r="M3701">
        <v>0</v>
      </c>
      <c r="N3701">
        <v>0</v>
      </c>
    </row>
    <row r="3702" spans="1:15">
      <c r="A3702" t="s">
        <v>22144</v>
      </c>
      <c r="B3702" t="s">
        <v>11644</v>
      </c>
      <c r="C3702" t="s">
        <v>1298</v>
      </c>
      <c r="D3702" t="s">
        <v>22145</v>
      </c>
      <c r="E3702" t="b">
        <v>0</v>
      </c>
      <c r="F3702" t="s">
        <v>11610</v>
      </c>
      <c r="L3702">
        <v>0</v>
      </c>
      <c r="M3702">
        <v>0</v>
      </c>
      <c r="N3702">
        <v>0</v>
      </c>
    </row>
    <row r="3703" spans="1:15">
      <c r="A3703" t="s">
        <v>20924</v>
      </c>
      <c r="B3703" t="s">
        <v>11644</v>
      </c>
      <c r="C3703" t="s">
        <v>13751</v>
      </c>
      <c r="D3703" t="s">
        <v>22146</v>
      </c>
      <c r="E3703" t="b">
        <v>0</v>
      </c>
      <c r="F3703" t="s">
        <v>11624</v>
      </c>
      <c r="G3703">
        <v>21.413399999999999</v>
      </c>
      <c r="H3703">
        <v>92.595299999999995</v>
      </c>
      <c r="I3703" t="s">
        <v>22147</v>
      </c>
      <c r="L3703">
        <v>0</v>
      </c>
      <c r="M3703">
        <v>0</v>
      </c>
      <c r="N3703">
        <v>5</v>
      </c>
      <c r="O3703" t="s">
        <v>17541</v>
      </c>
    </row>
    <row r="3704" spans="1:15">
      <c r="A3704" t="s">
        <v>22148</v>
      </c>
      <c r="B3704" t="s">
        <v>6742</v>
      </c>
      <c r="C3704" t="s">
        <v>22149</v>
      </c>
      <c r="D3704" t="s">
        <v>22150</v>
      </c>
      <c r="E3704" t="b">
        <v>0</v>
      </c>
      <c r="F3704" t="s">
        <v>11624</v>
      </c>
      <c r="G3704">
        <v>9.83446</v>
      </c>
      <c r="H3704">
        <v>-1.90181</v>
      </c>
      <c r="I3704" t="s">
        <v>22151</v>
      </c>
      <c r="L3704">
        <v>0</v>
      </c>
      <c r="M3704">
        <v>0</v>
      </c>
      <c r="N3704">
        <v>0</v>
      </c>
      <c r="O3704" t="s">
        <v>11985</v>
      </c>
    </row>
    <row r="3705" spans="1:15">
      <c r="A3705" t="s">
        <v>22152</v>
      </c>
      <c r="B3705" t="s">
        <v>6742</v>
      </c>
      <c r="C3705" t="s">
        <v>22153</v>
      </c>
      <c r="D3705" t="s">
        <v>22154</v>
      </c>
      <c r="E3705" t="b">
        <v>0</v>
      </c>
      <c r="F3705" t="s">
        <v>11622</v>
      </c>
      <c r="L3705">
        <v>2</v>
      </c>
      <c r="M3705">
        <v>4</v>
      </c>
      <c r="N3705">
        <v>5</v>
      </c>
    </row>
    <row r="3706" spans="1:15">
      <c r="A3706" t="s">
        <v>22155</v>
      </c>
      <c r="B3706" t="s">
        <v>6742</v>
      </c>
      <c r="C3706" t="s">
        <v>22152</v>
      </c>
      <c r="D3706" t="s">
        <v>22156</v>
      </c>
      <c r="E3706" t="b">
        <v>0</v>
      </c>
      <c r="F3706" t="s">
        <v>11622</v>
      </c>
      <c r="L3706">
        <v>1</v>
      </c>
      <c r="M3706">
        <v>3</v>
      </c>
      <c r="N3706">
        <v>2</v>
      </c>
    </row>
    <row r="3707" spans="1:15">
      <c r="A3707" t="s">
        <v>22149</v>
      </c>
      <c r="B3707" t="s">
        <v>6742</v>
      </c>
      <c r="C3707" t="s">
        <v>22155</v>
      </c>
      <c r="D3707" t="s">
        <v>22157</v>
      </c>
      <c r="E3707" t="b">
        <v>0</v>
      </c>
      <c r="F3707" t="s">
        <v>11622</v>
      </c>
      <c r="L3707">
        <v>0</v>
      </c>
      <c r="M3707">
        <v>2</v>
      </c>
      <c r="N3707">
        <v>0</v>
      </c>
    </row>
    <row r="3708" spans="1:15">
      <c r="A3708" t="s">
        <v>22158</v>
      </c>
      <c r="B3708" t="s">
        <v>11607</v>
      </c>
      <c r="C3708" t="s">
        <v>22159</v>
      </c>
      <c r="D3708" t="s">
        <v>22160</v>
      </c>
      <c r="E3708" t="b">
        <v>0</v>
      </c>
      <c r="F3708" t="s">
        <v>11624</v>
      </c>
      <c r="L3708">
        <v>0</v>
      </c>
      <c r="M3708">
        <v>0</v>
      </c>
      <c r="N3708">
        <v>0</v>
      </c>
      <c r="O3708" t="s">
        <v>11693</v>
      </c>
    </row>
    <row r="3709" spans="1:15">
      <c r="A3709" t="s">
        <v>22161</v>
      </c>
      <c r="B3709" t="s">
        <v>11607</v>
      </c>
      <c r="C3709" t="s">
        <v>20917</v>
      </c>
      <c r="D3709" t="s">
        <v>22162</v>
      </c>
      <c r="E3709" t="b">
        <v>0</v>
      </c>
      <c r="F3709" t="s">
        <v>11610</v>
      </c>
      <c r="L3709">
        <v>0</v>
      </c>
      <c r="M3709">
        <v>0</v>
      </c>
      <c r="N3709">
        <v>0</v>
      </c>
    </row>
    <row r="3710" spans="1:15">
      <c r="A3710" t="s">
        <v>22163</v>
      </c>
      <c r="B3710" t="s">
        <v>11637</v>
      </c>
      <c r="C3710" t="s">
        <v>14472</v>
      </c>
      <c r="D3710" t="s">
        <v>22164</v>
      </c>
      <c r="E3710" t="b">
        <v>0</v>
      </c>
      <c r="F3710" t="s">
        <v>11610</v>
      </c>
      <c r="L3710">
        <v>0</v>
      </c>
      <c r="M3710">
        <v>0</v>
      </c>
      <c r="N3710">
        <v>0</v>
      </c>
    </row>
    <row r="3711" spans="1:15">
      <c r="A3711" t="s">
        <v>22165</v>
      </c>
      <c r="B3711" t="s">
        <v>12438</v>
      </c>
      <c r="C3711" t="s">
        <v>22166</v>
      </c>
      <c r="D3711" t="s">
        <v>22167</v>
      </c>
      <c r="E3711" t="b">
        <v>0</v>
      </c>
      <c r="F3711" t="s">
        <v>11610</v>
      </c>
      <c r="L3711">
        <v>0</v>
      </c>
      <c r="M3711">
        <v>0</v>
      </c>
      <c r="N3711">
        <v>0</v>
      </c>
    </row>
    <row r="3712" spans="1:15">
      <c r="A3712" t="s">
        <v>22168</v>
      </c>
      <c r="B3712" t="s">
        <v>12438</v>
      </c>
      <c r="C3712" t="s">
        <v>22166</v>
      </c>
      <c r="D3712" t="s">
        <v>22169</v>
      </c>
      <c r="E3712" t="b">
        <v>0</v>
      </c>
      <c r="F3712" t="s">
        <v>11610</v>
      </c>
      <c r="L3712">
        <v>0</v>
      </c>
      <c r="M3712">
        <v>0</v>
      </c>
      <c r="N3712">
        <v>0</v>
      </c>
    </row>
    <row r="3713" spans="1:15">
      <c r="A3713" t="s">
        <v>20312</v>
      </c>
      <c r="B3713" t="s">
        <v>11644</v>
      </c>
      <c r="C3713" t="s">
        <v>22170</v>
      </c>
      <c r="D3713" t="s">
        <v>22171</v>
      </c>
      <c r="E3713" t="b">
        <v>0</v>
      </c>
      <c r="F3713" t="s">
        <v>11622</v>
      </c>
      <c r="L3713">
        <v>1</v>
      </c>
      <c r="M3713">
        <v>4</v>
      </c>
      <c r="N3713">
        <v>7</v>
      </c>
    </row>
    <row r="3714" spans="1:15">
      <c r="A3714" t="s">
        <v>22172</v>
      </c>
      <c r="B3714" t="s">
        <v>11644</v>
      </c>
      <c r="C3714" t="s">
        <v>20312</v>
      </c>
      <c r="D3714" t="s">
        <v>22173</v>
      </c>
      <c r="E3714" t="b">
        <v>0</v>
      </c>
      <c r="F3714" t="s">
        <v>11624</v>
      </c>
      <c r="G3714">
        <v>27.3231</v>
      </c>
      <c r="H3714">
        <v>91.262</v>
      </c>
      <c r="I3714" t="s">
        <v>22174</v>
      </c>
      <c r="L3714">
        <v>0</v>
      </c>
      <c r="M3714">
        <v>0</v>
      </c>
      <c r="N3714">
        <v>0</v>
      </c>
      <c r="O3714" t="s">
        <v>12020</v>
      </c>
    </row>
    <row r="3715" spans="1:15">
      <c r="A3715" t="s">
        <v>22175</v>
      </c>
      <c r="B3715" t="s">
        <v>17751</v>
      </c>
      <c r="C3715" t="s">
        <v>17752</v>
      </c>
      <c r="D3715" t="s">
        <v>22176</v>
      </c>
      <c r="E3715" t="b">
        <v>0</v>
      </c>
      <c r="F3715" t="s">
        <v>11610</v>
      </c>
      <c r="L3715">
        <v>0</v>
      </c>
      <c r="M3715">
        <v>0</v>
      </c>
      <c r="N3715">
        <v>0</v>
      </c>
    </row>
    <row r="3716" spans="1:15">
      <c r="A3716" t="s">
        <v>22177</v>
      </c>
      <c r="B3716" t="s">
        <v>6742</v>
      </c>
      <c r="C3716" t="s">
        <v>22178</v>
      </c>
      <c r="D3716" t="s">
        <v>22179</v>
      </c>
      <c r="E3716" t="b">
        <v>0</v>
      </c>
      <c r="F3716" t="s">
        <v>11624</v>
      </c>
      <c r="G3716">
        <v>8.0008900000000001</v>
      </c>
      <c r="H3716">
        <v>0.50895999999999997</v>
      </c>
      <c r="I3716" t="s">
        <v>22180</v>
      </c>
      <c r="L3716">
        <v>0</v>
      </c>
      <c r="M3716">
        <v>0</v>
      </c>
      <c r="N3716">
        <v>0</v>
      </c>
      <c r="O3716" t="s">
        <v>11985</v>
      </c>
    </row>
    <row r="3717" spans="1:15">
      <c r="A3717" t="s">
        <v>22181</v>
      </c>
      <c r="B3717" t="s">
        <v>17579</v>
      </c>
      <c r="C3717" t="s">
        <v>22182</v>
      </c>
      <c r="D3717" t="s">
        <v>22183</v>
      </c>
      <c r="E3717" t="b">
        <v>0</v>
      </c>
      <c r="F3717" t="s">
        <v>11624</v>
      </c>
      <c r="G3717">
        <v>36.374637</v>
      </c>
      <c r="H3717">
        <v>-121.15132800000001</v>
      </c>
      <c r="L3717">
        <v>0</v>
      </c>
      <c r="M3717">
        <v>0</v>
      </c>
      <c r="N3717">
        <v>0</v>
      </c>
      <c r="O3717" t="s">
        <v>11944</v>
      </c>
    </row>
    <row r="3718" spans="1:15">
      <c r="A3718" t="s">
        <v>13139</v>
      </c>
      <c r="B3718" t="s">
        <v>11607</v>
      </c>
      <c r="C3718" t="s">
        <v>14880</v>
      </c>
      <c r="D3718" t="s">
        <v>22184</v>
      </c>
      <c r="E3718" t="b">
        <v>0</v>
      </c>
      <c r="F3718" t="s">
        <v>11624</v>
      </c>
      <c r="G3718">
        <v>37.097200000000001</v>
      </c>
      <c r="H3718">
        <v>43.502699999999997</v>
      </c>
      <c r="I3718" t="s">
        <v>22185</v>
      </c>
      <c r="L3718">
        <v>0</v>
      </c>
      <c r="M3718">
        <v>0</v>
      </c>
      <c r="N3718">
        <v>7</v>
      </c>
      <c r="O3718" t="s">
        <v>22186</v>
      </c>
    </row>
    <row r="3719" spans="1:15">
      <c r="A3719" t="s">
        <v>16767</v>
      </c>
      <c r="B3719" t="s">
        <v>11637</v>
      </c>
      <c r="C3719" t="s">
        <v>18246</v>
      </c>
      <c r="D3719" t="s">
        <v>22187</v>
      </c>
      <c r="E3719" t="b">
        <v>0</v>
      </c>
      <c r="F3719" t="s">
        <v>11624</v>
      </c>
      <c r="G3719">
        <v>32.547600000000003</v>
      </c>
      <c r="H3719">
        <v>76.179599999999994</v>
      </c>
      <c r="I3719" t="s">
        <v>22188</v>
      </c>
      <c r="L3719">
        <v>0</v>
      </c>
      <c r="M3719">
        <v>0</v>
      </c>
      <c r="N3719">
        <v>3</v>
      </c>
      <c r="O3719" t="s">
        <v>11630</v>
      </c>
    </row>
    <row r="3720" spans="1:15">
      <c r="A3720" t="s">
        <v>22189</v>
      </c>
      <c r="B3720" t="s">
        <v>11644</v>
      </c>
      <c r="C3720" t="s">
        <v>21416</v>
      </c>
      <c r="D3720" t="s">
        <v>22190</v>
      </c>
      <c r="E3720" t="b">
        <v>0</v>
      </c>
      <c r="F3720" t="s">
        <v>11610</v>
      </c>
      <c r="L3720">
        <v>0</v>
      </c>
      <c r="M3720">
        <v>0</v>
      </c>
      <c r="N3720">
        <v>0</v>
      </c>
    </row>
    <row r="3721" spans="1:15">
      <c r="A3721" t="s">
        <v>22191</v>
      </c>
      <c r="B3721" t="s">
        <v>12311</v>
      </c>
      <c r="C3721" t="s">
        <v>12745</v>
      </c>
      <c r="D3721" t="s">
        <v>22192</v>
      </c>
      <c r="E3721" t="b">
        <v>0</v>
      </c>
      <c r="F3721" t="s">
        <v>11624</v>
      </c>
      <c r="G3721">
        <v>42.502400000000002</v>
      </c>
      <c r="H3721">
        <v>45.994999999999997</v>
      </c>
      <c r="I3721" t="s">
        <v>22193</v>
      </c>
      <c r="L3721">
        <v>0</v>
      </c>
      <c r="M3721">
        <v>0</v>
      </c>
      <c r="N3721">
        <v>3</v>
      </c>
      <c r="O3721" t="s">
        <v>12748</v>
      </c>
    </row>
    <row r="3722" spans="1:15">
      <c r="A3722" t="s">
        <v>22194</v>
      </c>
      <c r="B3722" t="s">
        <v>5058</v>
      </c>
      <c r="C3722" t="s">
        <v>22195</v>
      </c>
      <c r="D3722" t="s">
        <v>22196</v>
      </c>
      <c r="E3722" t="b">
        <v>0</v>
      </c>
      <c r="F3722" t="s">
        <v>11610</v>
      </c>
      <c r="L3722">
        <v>0</v>
      </c>
      <c r="M3722">
        <v>0</v>
      </c>
      <c r="N3722">
        <v>0</v>
      </c>
    </row>
    <row r="3723" spans="1:15">
      <c r="A3723" t="s">
        <v>22197</v>
      </c>
      <c r="B3723" t="s">
        <v>11757</v>
      </c>
      <c r="C3723" t="s">
        <v>22198</v>
      </c>
      <c r="D3723" t="s">
        <v>22199</v>
      </c>
      <c r="E3723" t="b">
        <v>0</v>
      </c>
      <c r="F3723" t="s">
        <v>11610</v>
      </c>
      <c r="L3723">
        <v>0</v>
      </c>
      <c r="M3723">
        <v>0</v>
      </c>
      <c r="N3723">
        <v>0</v>
      </c>
    </row>
    <row r="3724" spans="1:15">
      <c r="A3724" t="s">
        <v>22200</v>
      </c>
      <c r="B3724" t="s">
        <v>367</v>
      </c>
      <c r="C3724" t="s">
        <v>4363</v>
      </c>
      <c r="D3724" t="s">
        <v>22201</v>
      </c>
      <c r="E3724" t="b">
        <v>0</v>
      </c>
      <c r="F3724" t="s">
        <v>11624</v>
      </c>
      <c r="G3724">
        <v>13.438010999999999</v>
      </c>
      <c r="H3724">
        <v>144.74474000000001</v>
      </c>
      <c r="I3724" t="s">
        <v>22202</v>
      </c>
      <c r="L3724">
        <v>0</v>
      </c>
      <c r="M3724">
        <v>0</v>
      </c>
      <c r="N3724">
        <v>2</v>
      </c>
      <c r="O3724" t="s">
        <v>22203</v>
      </c>
    </row>
    <row r="3725" spans="1:15">
      <c r="A3725" t="s">
        <v>22204</v>
      </c>
      <c r="B3725" t="s">
        <v>11871</v>
      </c>
      <c r="C3725" t="s">
        <v>13880</v>
      </c>
      <c r="D3725" t="s">
        <v>22205</v>
      </c>
      <c r="E3725" t="b">
        <v>0</v>
      </c>
      <c r="F3725" t="s">
        <v>11624</v>
      </c>
      <c r="G3725">
        <v>-4.2783100000000003</v>
      </c>
      <c r="H3725">
        <v>143.09700000000001</v>
      </c>
      <c r="I3725" t="s">
        <v>22206</v>
      </c>
      <c r="L3725">
        <v>0</v>
      </c>
      <c r="M3725">
        <v>0</v>
      </c>
      <c r="N3725">
        <v>0</v>
      </c>
      <c r="O3725" t="s">
        <v>11660</v>
      </c>
    </row>
    <row r="3726" spans="1:15">
      <c r="A3726" t="s">
        <v>22207</v>
      </c>
      <c r="B3726" t="s">
        <v>13244</v>
      </c>
      <c r="C3726" t="s">
        <v>19277</v>
      </c>
      <c r="D3726" t="s">
        <v>22208</v>
      </c>
      <c r="E3726" t="b">
        <v>0</v>
      </c>
      <c r="F3726" t="s">
        <v>11622</v>
      </c>
      <c r="L3726">
        <v>1</v>
      </c>
      <c r="M3726">
        <v>4</v>
      </c>
      <c r="N3726">
        <v>6</v>
      </c>
    </row>
    <row r="3727" spans="1:15">
      <c r="A3727" t="s">
        <v>22209</v>
      </c>
      <c r="B3727" t="s">
        <v>15496</v>
      </c>
      <c r="C3727" t="s">
        <v>15496</v>
      </c>
      <c r="D3727" t="s">
        <v>22210</v>
      </c>
      <c r="E3727" t="b">
        <v>0</v>
      </c>
      <c r="F3727" t="s">
        <v>11624</v>
      </c>
      <c r="G3727">
        <v>-20.5899</v>
      </c>
      <c r="H3727">
        <v>-58.200499999999998</v>
      </c>
      <c r="I3727" t="s">
        <v>22211</v>
      </c>
      <c r="L3727">
        <v>0</v>
      </c>
      <c r="M3727">
        <v>0</v>
      </c>
      <c r="N3727">
        <v>2</v>
      </c>
      <c r="O3727" t="s">
        <v>22212</v>
      </c>
    </row>
    <row r="3728" spans="1:15">
      <c r="A3728" t="s">
        <v>22213</v>
      </c>
      <c r="B3728" t="s">
        <v>15496</v>
      </c>
      <c r="C3728" t="s">
        <v>22209</v>
      </c>
      <c r="D3728" t="s">
        <v>22214</v>
      </c>
      <c r="E3728" t="b">
        <v>0</v>
      </c>
      <c r="F3728" t="s">
        <v>11610</v>
      </c>
      <c r="L3728">
        <v>0</v>
      </c>
      <c r="M3728">
        <v>0</v>
      </c>
      <c r="N3728">
        <v>0</v>
      </c>
    </row>
    <row r="3729" spans="1:15">
      <c r="A3729" t="s">
        <v>22215</v>
      </c>
      <c r="B3729" t="s">
        <v>11894</v>
      </c>
      <c r="C3729" t="s">
        <v>22216</v>
      </c>
      <c r="D3729" t="s">
        <v>22217</v>
      </c>
      <c r="E3729" t="b">
        <v>0</v>
      </c>
      <c r="F3729" t="s">
        <v>11622</v>
      </c>
      <c r="L3729">
        <v>0</v>
      </c>
      <c r="M3729">
        <v>2</v>
      </c>
      <c r="N3729">
        <v>0</v>
      </c>
    </row>
    <row r="3730" spans="1:15">
      <c r="A3730" t="s">
        <v>22218</v>
      </c>
      <c r="B3730" t="s">
        <v>11894</v>
      </c>
      <c r="C3730" t="s">
        <v>22215</v>
      </c>
      <c r="D3730" t="s">
        <v>22219</v>
      </c>
      <c r="E3730" t="b">
        <v>0</v>
      </c>
      <c r="F3730" t="s">
        <v>11624</v>
      </c>
      <c r="G3730">
        <v>-5.1148999999999996</v>
      </c>
      <c r="H3730">
        <v>-75.677800000000005</v>
      </c>
      <c r="I3730" t="s">
        <v>22220</v>
      </c>
      <c r="L3730">
        <v>0</v>
      </c>
      <c r="M3730">
        <v>0</v>
      </c>
      <c r="N3730">
        <v>0</v>
      </c>
      <c r="O3730" t="s">
        <v>11778</v>
      </c>
    </row>
    <row r="3731" spans="1:15">
      <c r="A3731" t="s">
        <v>11929</v>
      </c>
      <c r="B3731" t="s">
        <v>367</v>
      </c>
      <c r="C3731" t="s">
        <v>16291</v>
      </c>
      <c r="D3731" t="s">
        <v>22221</v>
      </c>
      <c r="E3731" t="b">
        <v>0</v>
      </c>
      <c r="F3731" t="s">
        <v>11622</v>
      </c>
      <c r="L3731">
        <v>8</v>
      </c>
      <c r="M3731">
        <v>12</v>
      </c>
      <c r="N3731">
        <v>26</v>
      </c>
    </row>
    <row r="3732" spans="1:15">
      <c r="A3732" t="s">
        <v>5137</v>
      </c>
      <c r="B3732" t="s">
        <v>367</v>
      </c>
      <c r="C3732" t="s">
        <v>22222</v>
      </c>
      <c r="D3732" t="s">
        <v>5135</v>
      </c>
      <c r="E3732" t="b">
        <v>0</v>
      </c>
      <c r="F3732" t="s">
        <v>11622</v>
      </c>
      <c r="L3732">
        <v>0</v>
      </c>
      <c r="M3732">
        <v>2</v>
      </c>
      <c r="N3732">
        <v>0</v>
      </c>
    </row>
    <row r="3733" spans="1:15">
      <c r="A3733" t="s">
        <v>22223</v>
      </c>
      <c r="B3733" t="s">
        <v>11627</v>
      </c>
      <c r="C3733" t="s">
        <v>11627</v>
      </c>
      <c r="D3733" t="s">
        <v>22224</v>
      </c>
      <c r="E3733" t="b">
        <v>1</v>
      </c>
      <c r="F3733" t="s">
        <v>11624</v>
      </c>
      <c r="G3733">
        <v>21.353200000000001</v>
      </c>
      <c r="H3733">
        <v>79.623199999999997</v>
      </c>
      <c r="I3733" t="s">
        <v>22225</v>
      </c>
      <c r="L3733">
        <v>0</v>
      </c>
      <c r="M3733">
        <v>0</v>
      </c>
      <c r="N3733">
        <v>0</v>
      </c>
      <c r="O3733" t="s">
        <v>11630</v>
      </c>
    </row>
    <row r="3734" spans="1:15">
      <c r="A3734" t="s">
        <v>22226</v>
      </c>
      <c r="B3734" t="s">
        <v>367</v>
      </c>
      <c r="C3734" t="s">
        <v>11929</v>
      </c>
      <c r="D3734" t="s">
        <v>22227</v>
      </c>
      <c r="E3734" t="b">
        <v>0</v>
      </c>
      <c r="F3734" t="s">
        <v>11622</v>
      </c>
      <c r="L3734">
        <v>7</v>
      </c>
      <c r="M3734">
        <v>11</v>
      </c>
      <c r="N3734">
        <v>19</v>
      </c>
    </row>
    <row r="3735" spans="1:15">
      <c r="A3735" t="s">
        <v>18246</v>
      </c>
      <c r="B3735" t="s">
        <v>11637</v>
      </c>
      <c r="C3735" t="s">
        <v>22228</v>
      </c>
      <c r="D3735" t="s">
        <v>22229</v>
      </c>
      <c r="E3735" t="b">
        <v>0</v>
      </c>
      <c r="F3735" t="s">
        <v>11622</v>
      </c>
      <c r="L3735">
        <v>1</v>
      </c>
      <c r="M3735">
        <v>7</v>
      </c>
      <c r="N3735">
        <v>8</v>
      </c>
    </row>
    <row r="3736" spans="1:15">
      <c r="A3736" t="s">
        <v>22230</v>
      </c>
      <c r="B3736" t="s">
        <v>11637</v>
      </c>
      <c r="C3736" t="s">
        <v>19771</v>
      </c>
      <c r="D3736" t="s">
        <v>22231</v>
      </c>
      <c r="E3736" t="b">
        <v>0</v>
      </c>
      <c r="F3736" t="s">
        <v>11610</v>
      </c>
      <c r="L3736">
        <v>0</v>
      </c>
      <c r="M3736">
        <v>0</v>
      </c>
      <c r="N3736">
        <v>0</v>
      </c>
    </row>
    <row r="3737" spans="1:15">
      <c r="A3737" t="s">
        <v>22232</v>
      </c>
      <c r="B3737" t="s">
        <v>11644</v>
      </c>
      <c r="C3737" t="s">
        <v>22027</v>
      </c>
      <c r="D3737" t="s">
        <v>22233</v>
      </c>
      <c r="E3737" t="b">
        <v>0</v>
      </c>
      <c r="F3737" t="s">
        <v>11610</v>
      </c>
      <c r="L3737">
        <v>0</v>
      </c>
      <c r="M3737">
        <v>0</v>
      </c>
      <c r="N3737">
        <v>0</v>
      </c>
    </row>
    <row r="3738" spans="1:15">
      <c r="A3738" t="s">
        <v>22234</v>
      </c>
      <c r="B3738" t="s">
        <v>12204</v>
      </c>
      <c r="C3738" t="s">
        <v>22137</v>
      </c>
      <c r="D3738" t="s">
        <v>22235</v>
      </c>
      <c r="E3738" t="b">
        <v>0</v>
      </c>
      <c r="F3738" t="s">
        <v>11610</v>
      </c>
      <c r="L3738">
        <v>0</v>
      </c>
      <c r="M3738">
        <v>0</v>
      </c>
      <c r="N3738">
        <v>0</v>
      </c>
    </row>
    <row r="3739" spans="1:15">
      <c r="A3739" t="s">
        <v>22236</v>
      </c>
      <c r="B3739" t="s">
        <v>22237</v>
      </c>
      <c r="C3739" t="s">
        <v>22237</v>
      </c>
      <c r="D3739" t="s">
        <v>22238</v>
      </c>
      <c r="E3739" t="b">
        <v>0</v>
      </c>
      <c r="F3739" t="s">
        <v>11624</v>
      </c>
      <c r="G3739">
        <v>-33.69</v>
      </c>
      <c r="H3739">
        <v>-57.78</v>
      </c>
      <c r="L3739">
        <v>0</v>
      </c>
      <c r="M3739">
        <v>0</v>
      </c>
      <c r="N3739">
        <v>0</v>
      </c>
      <c r="O3739" t="s">
        <v>22239</v>
      </c>
    </row>
    <row r="3740" spans="1:15">
      <c r="A3740" t="s">
        <v>22240</v>
      </c>
      <c r="B3740" t="s">
        <v>11637</v>
      </c>
      <c r="C3740" t="s">
        <v>15714</v>
      </c>
      <c r="D3740" t="s">
        <v>22241</v>
      </c>
      <c r="E3740" t="b">
        <v>0</v>
      </c>
      <c r="F3740" t="s">
        <v>11610</v>
      </c>
      <c r="L3740">
        <v>0</v>
      </c>
      <c r="M3740">
        <v>0</v>
      </c>
      <c r="N3740">
        <v>0</v>
      </c>
    </row>
    <row r="3741" spans="1:15">
      <c r="A3741" t="s">
        <v>22242</v>
      </c>
      <c r="B3741" t="s">
        <v>11637</v>
      </c>
      <c r="C3741" t="s">
        <v>12098</v>
      </c>
      <c r="D3741" t="s">
        <v>22243</v>
      </c>
      <c r="E3741" t="b">
        <v>0</v>
      </c>
      <c r="F3741" t="s">
        <v>11610</v>
      </c>
      <c r="L3741">
        <v>0</v>
      </c>
      <c r="M3741">
        <v>0</v>
      </c>
      <c r="N3741">
        <v>0</v>
      </c>
    </row>
    <row r="3742" spans="1:15">
      <c r="A3742" t="s">
        <v>22244</v>
      </c>
      <c r="B3742" t="s">
        <v>12438</v>
      </c>
      <c r="C3742" t="s">
        <v>22245</v>
      </c>
      <c r="D3742" t="s">
        <v>22246</v>
      </c>
      <c r="E3742" t="b">
        <v>0</v>
      </c>
      <c r="F3742" t="s">
        <v>11610</v>
      </c>
      <c r="L3742">
        <v>0</v>
      </c>
      <c r="M3742">
        <v>0</v>
      </c>
      <c r="N3742">
        <v>0</v>
      </c>
    </row>
    <row r="3743" spans="1:15">
      <c r="A3743" t="s">
        <v>22247</v>
      </c>
      <c r="B3743" t="s">
        <v>11644</v>
      </c>
      <c r="C3743" t="s">
        <v>22248</v>
      </c>
      <c r="D3743" t="s">
        <v>22249</v>
      </c>
      <c r="E3743" t="b">
        <v>0</v>
      </c>
      <c r="F3743" t="s">
        <v>11624</v>
      </c>
      <c r="G3743">
        <v>34.066200000000002</v>
      </c>
      <c r="H3743">
        <v>78.238900000000001</v>
      </c>
      <c r="I3743" t="s">
        <v>22250</v>
      </c>
      <c r="L3743">
        <v>0</v>
      </c>
      <c r="M3743">
        <v>0</v>
      </c>
      <c r="N3743">
        <v>0</v>
      </c>
      <c r="O3743" t="s">
        <v>11630</v>
      </c>
    </row>
    <row r="3744" spans="1:15">
      <c r="A3744" t="s">
        <v>22251</v>
      </c>
      <c r="B3744" t="s">
        <v>11644</v>
      </c>
      <c r="C3744" t="s">
        <v>22252</v>
      </c>
      <c r="D3744" t="s">
        <v>22253</v>
      </c>
      <c r="E3744" t="b">
        <v>0</v>
      </c>
      <c r="F3744" t="s">
        <v>11624</v>
      </c>
      <c r="G3744">
        <v>28.684000000000001</v>
      </c>
      <c r="H3744">
        <v>83.448800000000006</v>
      </c>
      <c r="I3744" t="s">
        <v>22254</v>
      </c>
      <c r="L3744">
        <v>0</v>
      </c>
      <c r="M3744">
        <v>0</v>
      </c>
      <c r="N3744">
        <v>0</v>
      </c>
      <c r="O3744" t="s">
        <v>15007</v>
      </c>
    </row>
    <row r="3745" spans="1:15">
      <c r="A3745" t="s">
        <v>22255</v>
      </c>
      <c r="B3745" t="s">
        <v>11644</v>
      </c>
      <c r="C3745" t="s">
        <v>14097</v>
      </c>
      <c r="D3745" t="s">
        <v>22256</v>
      </c>
      <c r="E3745" t="b">
        <v>0</v>
      </c>
      <c r="F3745" t="s">
        <v>11610</v>
      </c>
      <c r="L3745">
        <v>0</v>
      </c>
      <c r="M3745">
        <v>0</v>
      </c>
      <c r="N3745">
        <v>0</v>
      </c>
    </row>
    <row r="3746" spans="1:15">
      <c r="A3746" t="s">
        <v>22257</v>
      </c>
      <c r="B3746" t="s">
        <v>11644</v>
      </c>
      <c r="C3746" t="s">
        <v>16039</v>
      </c>
      <c r="D3746" t="s">
        <v>22258</v>
      </c>
      <c r="E3746" t="b">
        <v>0</v>
      </c>
      <c r="F3746" t="s">
        <v>11610</v>
      </c>
      <c r="L3746">
        <v>0</v>
      </c>
      <c r="M3746">
        <v>0</v>
      </c>
      <c r="N3746">
        <v>0</v>
      </c>
    </row>
    <row r="3747" spans="1:15">
      <c r="A3747" t="s">
        <v>22259</v>
      </c>
      <c r="B3747" t="s">
        <v>11644</v>
      </c>
      <c r="C3747" t="s">
        <v>22260</v>
      </c>
      <c r="D3747" t="s">
        <v>22261</v>
      </c>
      <c r="E3747" t="b">
        <v>0</v>
      </c>
      <c r="F3747" t="s">
        <v>11624</v>
      </c>
      <c r="G3747">
        <v>26.433599999999998</v>
      </c>
      <c r="H3747">
        <v>94.953599999999994</v>
      </c>
      <c r="I3747" t="s">
        <v>22262</v>
      </c>
      <c r="L3747">
        <v>0</v>
      </c>
      <c r="M3747">
        <v>0</v>
      </c>
      <c r="N3747">
        <v>0</v>
      </c>
      <c r="O3747" t="s">
        <v>11630</v>
      </c>
    </row>
    <row r="3748" spans="1:15">
      <c r="A3748" t="s">
        <v>22263</v>
      </c>
      <c r="B3748" t="s">
        <v>11644</v>
      </c>
      <c r="C3748" t="s">
        <v>19610</v>
      </c>
      <c r="D3748" t="s">
        <v>22264</v>
      </c>
      <c r="E3748" t="b">
        <v>0</v>
      </c>
      <c r="F3748" t="s">
        <v>11610</v>
      </c>
      <c r="L3748">
        <v>0</v>
      </c>
      <c r="M3748">
        <v>0</v>
      </c>
      <c r="N3748">
        <v>0</v>
      </c>
    </row>
    <row r="3749" spans="1:15">
      <c r="A3749" t="s">
        <v>22265</v>
      </c>
      <c r="B3749" t="s">
        <v>11644</v>
      </c>
      <c r="C3749" t="s">
        <v>13896</v>
      </c>
      <c r="D3749" t="s">
        <v>22266</v>
      </c>
      <c r="E3749" t="b">
        <v>0</v>
      </c>
      <c r="F3749" t="s">
        <v>11610</v>
      </c>
      <c r="L3749">
        <v>0</v>
      </c>
      <c r="M3749">
        <v>0</v>
      </c>
      <c r="N3749">
        <v>0</v>
      </c>
    </row>
    <row r="3750" spans="1:15">
      <c r="A3750" t="s">
        <v>22267</v>
      </c>
      <c r="B3750" t="s">
        <v>11644</v>
      </c>
      <c r="C3750" t="s">
        <v>22268</v>
      </c>
      <c r="D3750" t="s">
        <v>22269</v>
      </c>
      <c r="E3750" t="b">
        <v>0</v>
      </c>
      <c r="F3750" t="s">
        <v>11610</v>
      </c>
      <c r="L3750">
        <v>0</v>
      </c>
      <c r="M3750">
        <v>0</v>
      </c>
      <c r="N3750">
        <v>3</v>
      </c>
    </row>
    <row r="3751" spans="1:15">
      <c r="A3751" t="s">
        <v>14078</v>
      </c>
      <c r="B3751" t="s">
        <v>11644</v>
      </c>
      <c r="C3751" t="s">
        <v>22270</v>
      </c>
      <c r="D3751" t="s">
        <v>22271</v>
      </c>
      <c r="E3751" t="b">
        <v>0</v>
      </c>
      <c r="F3751" t="s">
        <v>11610</v>
      </c>
      <c r="L3751">
        <v>0</v>
      </c>
      <c r="M3751">
        <v>0</v>
      </c>
      <c r="N3751">
        <v>3</v>
      </c>
    </row>
    <row r="3752" spans="1:15">
      <c r="A3752" t="s">
        <v>22272</v>
      </c>
      <c r="B3752" t="s">
        <v>6742</v>
      </c>
      <c r="C3752" t="s">
        <v>4187</v>
      </c>
      <c r="D3752" t="s">
        <v>22273</v>
      </c>
      <c r="E3752" t="b">
        <v>0</v>
      </c>
      <c r="F3752" t="s">
        <v>11610</v>
      </c>
      <c r="L3752">
        <v>0</v>
      </c>
      <c r="M3752">
        <v>0</v>
      </c>
      <c r="N3752">
        <v>0</v>
      </c>
    </row>
    <row r="3753" spans="1:15">
      <c r="A3753" t="s">
        <v>22274</v>
      </c>
      <c r="B3753" t="s">
        <v>18921</v>
      </c>
      <c r="C3753" t="s">
        <v>18921</v>
      </c>
      <c r="D3753" t="s">
        <v>22275</v>
      </c>
      <c r="E3753" t="b">
        <v>0</v>
      </c>
      <c r="F3753" t="s">
        <v>11624</v>
      </c>
      <c r="G3753">
        <v>-4.2836400000000001</v>
      </c>
      <c r="H3753">
        <v>143.696</v>
      </c>
      <c r="I3753" t="s">
        <v>22276</v>
      </c>
      <c r="L3753">
        <v>0</v>
      </c>
      <c r="M3753">
        <v>0</v>
      </c>
      <c r="N3753">
        <v>0</v>
      </c>
      <c r="O3753" t="s">
        <v>11660</v>
      </c>
    </row>
    <row r="3754" spans="1:15">
      <c r="A3754" t="s">
        <v>22277</v>
      </c>
      <c r="B3754" t="s">
        <v>5911</v>
      </c>
      <c r="C3754" t="s">
        <v>9785</v>
      </c>
      <c r="D3754" t="s">
        <v>22278</v>
      </c>
      <c r="E3754" t="b">
        <v>0</v>
      </c>
      <c r="F3754" t="s">
        <v>11610</v>
      </c>
      <c r="L3754">
        <v>0</v>
      </c>
      <c r="M3754">
        <v>0</v>
      </c>
      <c r="N3754">
        <v>0</v>
      </c>
    </row>
    <row r="3755" spans="1:15">
      <c r="A3755" t="s">
        <v>22279</v>
      </c>
      <c r="B3755" t="s">
        <v>13244</v>
      </c>
      <c r="C3755" t="s">
        <v>22280</v>
      </c>
      <c r="D3755" t="s">
        <v>22281</v>
      </c>
      <c r="E3755" t="b">
        <v>0</v>
      </c>
      <c r="F3755" t="s">
        <v>11610</v>
      </c>
      <c r="L3755">
        <v>0</v>
      </c>
      <c r="M3755">
        <v>0</v>
      </c>
      <c r="N3755">
        <v>0</v>
      </c>
    </row>
    <row r="3756" spans="1:15">
      <c r="A3756" t="s">
        <v>22282</v>
      </c>
      <c r="B3756" t="s">
        <v>11894</v>
      </c>
      <c r="C3756" t="s">
        <v>22283</v>
      </c>
      <c r="D3756" t="s">
        <v>22284</v>
      </c>
      <c r="E3756" t="b">
        <v>0</v>
      </c>
      <c r="F3756" t="s">
        <v>11610</v>
      </c>
      <c r="G3756">
        <v>-22.547360000000001</v>
      </c>
      <c r="H3756">
        <v>-63.986510000000003</v>
      </c>
      <c r="I3756" t="s">
        <v>22285</v>
      </c>
      <c r="L3756">
        <v>0</v>
      </c>
      <c r="M3756">
        <v>0</v>
      </c>
      <c r="N3756">
        <v>0</v>
      </c>
      <c r="O3756" t="s">
        <v>14185</v>
      </c>
    </row>
    <row r="3757" spans="1:15">
      <c r="A3757" t="s">
        <v>22286</v>
      </c>
      <c r="B3757" t="s">
        <v>6455</v>
      </c>
      <c r="C3757" t="s">
        <v>22287</v>
      </c>
      <c r="D3757" t="s">
        <v>22288</v>
      </c>
      <c r="E3757" t="b">
        <v>0</v>
      </c>
      <c r="F3757" t="s">
        <v>11624</v>
      </c>
      <c r="G3757">
        <v>9.3596430000000002</v>
      </c>
      <c r="H3757">
        <v>-82.568207000000001</v>
      </c>
      <c r="L3757">
        <v>0</v>
      </c>
      <c r="M3757">
        <v>0</v>
      </c>
      <c r="N3757">
        <v>0</v>
      </c>
      <c r="O3757" t="s">
        <v>11898</v>
      </c>
    </row>
    <row r="3758" spans="1:15">
      <c r="A3758" t="s">
        <v>22289</v>
      </c>
      <c r="B3758" t="s">
        <v>11644</v>
      </c>
      <c r="C3758" t="s">
        <v>22290</v>
      </c>
      <c r="D3758" t="s">
        <v>22291</v>
      </c>
      <c r="E3758" t="b">
        <v>0</v>
      </c>
      <c r="F3758" t="s">
        <v>11610</v>
      </c>
      <c r="L3758">
        <v>0</v>
      </c>
      <c r="M3758">
        <v>0</v>
      </c>
      <c r="N3758">
        <v>0</v>
      </c>
    </row>
    <row r="3759" spans="1:15">
      <c r="A3759" t="s">
        <v>22292</v>
      </c>
      <c r="B3759" t="s">
        <v>11644</v>
      </c>
      <c r="C3759" t="s">
        <v>22267</v>
      </c>
      <c r="D3759" t="s">
        <v>22293</v>
      </c>
      <c r="E3759" t="b">
        <v>0</v>
      </c>
      <c r="F3759" t="s">
        <v>11610</v>
      </c>
      <c r="G3759">
        <v>28.85032</v>
      </c>
      <c r="H3759">
        <v>112.943344</v>
      </c>
      <c r="L3759">
        <v>0</v>
      </c>
      <c r="M3759">
        <v>0</v>
      </c>
      <c r="N3759">
        <v>0</v>
      </c>
    </row>
    <row r="3760" spans="1:15">
      <c r="A3760" t="s">
        <v>22294</v>
      </c>
      <c r="B3760" t="s">
        <v>11637</v>
      </c>
      <c r="C3760" t="s">
        <v>22295</v>
      </c>
      <c r="D3760" t="s">
        <v>22296</v>
      </c>
      <c r="E3760" t="b">
        <v>0</v>
      </c>
      <c r="F3760" t="s">
        <v>11610</v>
      </c>
      <c r="L3760">
        <v>0</v>
      </c>
      <c r="M3760">
        <v>0</v>
      </c>
      <c r="N3760">
        <v>0</v>
      </c>
    </row>
    <row r="3761" spans="1:15">
      <c r="A3761" t="s">
        <v>22297</v>
      </c>
      <c r="B3761" t="s">
        <v>11644</v>
      </c>
      <c r="C3761" t="s">
        <v>22298</v>
      </c>
      <c r="D3761" t="s">
        <v>22299</v>
      </c>
      <c r="E3761" t="b">
        <v>0</v>
      </c>
      <c r="F3761" t="s">
        <v>11610</v>
      </c>
      <c r="G3761">
        <v>23.666667</v>
      </c>
      <c r="H3761">
        <v>116.63333299999999</v>
      </c>
      <c r="L3761">
        <v>0</v>
      </c>
      <c r="M3761">
        <v>0</v>
      </c>
      <c r="N3761">
        <v>0</v>
      </c>
    </row>
    <row r="3762" spans="1:15">
      <c r="A3762" t="s">
        <v>22298</v>
      </c>
      <c r="B3762" t="s">
        <v>11644</v>
      </c>
      <c r="C3762" t="s">
        <v>22300</v>
      </c>
      <c r="D3762" t="s">
        <v>22301</v>
      </c>
      <c r="E3762" t="b">
        <v>0</v>
      </c>
      <c r="F3762" t="s">
        <v>11610</v>
      </c>
      <c r="L3762">
        <v>0</v>
      </c>
      <c r="M3762">
        <v>0</v>
      </c>
      <c r="N3762">
        <v>2</v>
      </c>
    </row>
    <row r="3763" spans="1:15">
      <c r="A3763" t="s">
        <v>22302</v>
      </c>
      <c r="B3763" t="s">
        <v>15027</v>
      </c>
      <c r="C3763" t="s">
        <v>22303</v>
      </c>
      <c r="D3763" t="s">
        <v>22304</v>
      </c>
      <c r="E3763" t="b">
        <v>0</v>
      </c>
      <c r="F3763" t="s">
        <v>11610</v>
      </c>
      <c r="L3763">
        <v>0</v>
      </c>
      <c r="M3763">
        <v>0</v>
      </c>
      <c r="N3763">
        <v>0</v>
      </c>
    </row>
    <row r="3764" spans="1:15">
      <c r="A3764" t="s">
        <v>22305</v>
      </c>
      <c r="B3764" t="s">
        <v>22306</v>
      </c>
      <c r="C3764" t="s">
        <v>22307</v>
      </c>
      <c r="D3764" t="s">
        <v>22308</v>
      </c>
      <c r="E3764" t="b">
        <v>0</v>
      </c>
      <c r="F3764" t="s">
        <v>11624</v>
      </c>
      <c r="G3764">
        <v>-14.8</v>
      </c>
      <c r="H3764">
        <v>-62.2</v>
      </c>
      <c r="L3764">
        <v>0</v>
      </c>
      <c r="M3764">
        <v>0</v>
      </c>
      <c r="N3764">
        <v>0</v>
      </c>
      <c r="O3764" t="s">
        <v>14185</v>
      </c>
    </row>
    <row r="3765" spans="1:15">
      <c r="A3765" t="s">
        <v>22309</v>
      </c>
      <c r="B3765" t="s">
        <v>21050</v>
      </c>
      <c r="C3765" t="s">
        <v>21050</v>
      </c>
      <c r="D3765" t="s">
        <v>22310</v>
      </c>
      <c r="E3765" t="b">
        <v>0</v>
      </c>
      <c r="F3765" t="s">
        <v>11610</v>
      </c>
      <c r="L3765">
        <v>0</v>
      </c>
      <c r="M3765">
        <v>0</v>
      </c>
      <c r="N3765">
        <v>0</v>
      </c>
    </row>
    <row r="3766" spans="1:15">
      <c r="A3766" t="s">
        <v>22306</v>
      </c>
      <c r="D3766" t="s">
        <v>22311</v>
      </c>
      <c r="E3766" t="b">
        <v>0</v>
      </c>
      <c r="F3766" t="s">
        <v>11622</v>
      </c>
      <c r="L3766">
        <v>9</v>
      </c>
      <c r="M3766">
        <v>12</v>
      </c>
      <c r="N3766">
        <v>1</v>
      </c>
    </row>
    <row r="3767" spans="1:15">
      <c r="A3767" t="s">
        <v>22237</v>
      </c>
      <c r="D3767" t="s">
        <v>22312</v>
      </c>
      <c r="E3767" t="b">
        <v>0</v>
      </c>
      <c r="F3767" t="s">
        <v>11622</v>
      </c>
      <c r="L3767">
        <v>0</v>
      </c>
      <c r="M3767">
        <v>3</v>
      </c>
      <c r="N3767">
        <v>0</v>
      </c>
    </row>
    <row r="3768" spans="1:15">
      <c r="A3768" t="s">
        <v>22313</v>
      </c>
      <c r="B3768" t="s">
        <v>22237</v>
      </c>
      <c r="C3768" t="s">
        <v>22237</v>
      </c>
      <c r="D3768" t="s">
        <v>22314</v>
      </c>
      <c r="E3768" t="b">
        <v>0</v>
      </c>
      <c r="F3768" t="s">
        <v>11624</v>
      </c>
      <c r="G3768">
        <v>-34.9</v>
      </c>
      <c r="H3768">
        <v>-56.16</v>
      </c>
      <c r="L3768">
        <v>0</v>
      </c>
      <c r="M3768">
        <v>0</v>
      </c>
      <c r="N3768">
        <v>0</v>
      </c>
      <c r="O3768" t="s">
        <v>22239</v>
      </c>
    </row>
    <row r="3769" spans="1:15">
      <c r="A3769" t="s">
        <v>22315</v>
      </c>
      <c r="B3769" t="s">
        <v>11637</v>
      </c>
      <c r="C3769" t="s">
        <v>16120</v>
      </c>
      <c r="D3769" t="s">
        <v>22316</v>
      </c>
      <c r="E3769" t="b">
        <v>0</v>
      </c>
      <c r="F3769" t="s">
        <v>11610</v>
      </c>
      <c r="L3769">
        <v>0</v>
      </c>
      <c r="M3769">
        <v>0</v>
      </c>
      <c r="N3769">
        <v>0</v>
      </c>
    </row>
    <row r="3770" spans="1:15">
      <c r="A3770" t="s">
        <v>22317</v>
      </c>
      <c r="B3770" t="s">
        <v>11637</v>
      </c>
      <c r="C3770" t="s">
        <v>1273</v>
      </c>
      <c r="D3770" t="s">
        <v>22318</v>
      </c>
      <c r="E3770" t="b">
        <v>0</v>
      </c>
      <c r="F3770" t="s">
        <v>11610</v>
      </c>
      <c r="L3770">
        <v>0</v>
      </c>
      <c r="M3770">
        <v>0</v>
      </c>
      <c r="N3770">
        <v>0</v>
      </c>
    </row>
    <row r="3771" spans="1:15">
      <c r="A3771" t="s">
        <v>22319</v>
      </c>
      <c r="B3771" t="s">
        <v>13571</v>
      </c>
      <c r="C3771" t="s">
        <v>22320</v>
      </c>
      <c r="D3771" t="s">
        <v>22321</v>
      </c>
      <c r="E3771" t="b">
        <v>0</v>
      </c>
      <c r="F3771" t="s">
        <v>11624</v>
      </c>
      <c r="G3771">
        <v>6.6394599999999997</v>
      </c>
      <c r="H3771">
        <v>36.419199999999996</v>
      </c>
      <c r="I3771" t="s">
        <v>22322</v>
      </c>
      <c r="L3771">
        <v>0</v>
      </c>
      <c r="M3771">
        <v>0</v>
      </c>
      <c r="N3771">
        <v>0</v>
      </c>
      <c r="O3771" t="s">
        <v>11625</v>
      </c>
    </row>
    <row r="3772" spans="1:15">
      <c r="A3772" t="s">
        <v>22323</v>
      </c>
      <c r="B3772" t="s">
        <v>141</v>
      </c>
      <c r="C3772" t="s">
        <v>14180</v>
      </c>
      <c r="D3772" t="s">
        <v>22324</v>
      </c>
      <c r="E3772" t="b">
        <v>0</v>
      </c>
      <c r="F3772" t="s">
        <v>11610</v>
      </c>
      <c r="L3772">
        <v>0</v>
      </c>
      <c r="M3772">
        <v>0</v>
      </c>
      <c r="N3772">
        <v>0</v>
      </c>
    </row>
    <row r="3773" spans="1:15">
      <c r="A3773" t="s">
        <v>22325</v>
      </c>
      <c r="B3773" t="s">
        <v>11607</v>
      </c>
      <c r="C3773" t="s">
        <v>6542</v>
      </c>
      <c r="D3773" t="s">
        <v>22326</v>
      </c>
      <c r="E3773" t="b">
        <v>0</v>
      </c>
      <c r="F3773" t="s">
        <v>11610</v>
      </c>
      <c r="L3773">
        <v>0</v>
      </c>
      <c r="M3773">
        <v>0</v>
      </c>
      <c r="N3773">
        <v>0</v>
      </c>
    </row>
    <row r="3774" spans="1:15">
      <c r="A3774" t="s">
        <v>22327</v>
      </c>
      <c r="B3774" t="s">
        <v>11637</v>
      </c>
      <c r="C3774" t="s">
        <v>13459</v>
      </c>
      <c r="D3774" t="s">
        <v>22328</v>
      </c>
      <c r="E3774" t="b">
        <v>0</v>
      </c>
      <c r="F3774" t="s">
        <v>11610</v>
      </c>
      <c r="L3774">
        <v>0</v>
      </c>
      <c r="M3774">
        <v>0</v>
      </c>
      <c r="N3774">
        <v>0</v>
      </c>
    </row>
    <row r="3775" spans="1:15">
      <c r="A3775" t="s">
        <v>22329</v>
      </c>
      <c r="B3775" t="s">
        <v>11644</v>
      </c>
      <c r="C3775" t="s">
        <v>22330</v>
      </c>
      <c r="D3775" t="s">
        <v>22331</v>
      </c>
      <c r="E3775" t="b">
        <v>0</v>
      </c>
      <c r="F3775" t="s">
        <v>11624</v>
      </c>
      <c r="G3775">
        <v>26.1</v>
      </c>
      <c r="H3775">
        <v>98.75</v>
      </c>
      <c r="L3775">
        <v>0</v>
      </c>
      <c r="M3775">
        <v>0</v>
      </c>
      <c r="N3775">
        <v>0</v>
      </c>
      <c r="O3775" t="s">
        <v>11905</v>
      </c>
    </row>
    <row r="3776" spans="1:15">
      <c r="A3776" t="s">
        <v>22332</v>
      </c>
      <c r="B3776" t="s">
        <v>11644</v>
      </c>
      <c r="C3776" t="s">
        <v>22333</v>
      </c>
      <c r="D3776" t="s">
        <v>22334</v>
      </c>
      <c r="E3776" t="b">
        <v>0</v>
      </c>
      <c r="F3776" t="s">
        <v>11610</v>
      </c>
      <c r="L3776">
        <v>0</v>
      </c>
      <c r="M3776">
        <v>0</v>
      </c>
      <c r="N3776">
        <v>0</v>
      </c>
    </row>
    <row r="3777" spans="1:15">
      <c r="A3777" t="s">
        <v>22335</v>
      </c>
      <c r="B3777" t="s">
        <v>11879</v>
      </c>
      <c r="C3777" t="s">
        <v>22336</v>
      </c>
      <c r="D3777" t="s">
        <v>22337</v>
      </c>
      <c r="E3777" t="b">
        <v>0</v>
      </c>
      <c r="F3777" t="s">
        <v>11622</v>
      </c>
      <c r="L3777">
        <v>3</v>
      </c>
      <c r="M3777">
        <v>7</v>
      </c>
      <c r="N3777">
        <v>3</v>
      </c>
    </row>
    <row r="3778" spans="1:15">
      <c r="A3778" t="s">
        <v>22338</v>
      </c>
      <c r="B3778" t="s">
        <v>11981</v>
      </c>
      <c r="C3778" t="s">
        <v>11982</v>
      </c>
      <c r="D3778" t="s">
        <v>22339</v>
      </c>
      <c r="E3778" t="b">
        <v>0</v>
      </c>
      <c r="F3778" t="s">
        <v>11624</v>
      </c>
      <c r="G3778">
        <v>16.3</v>
      </c>
      <c r="H3778">
        <v>-97.316666999999995</v>
      </c>
      <c r="L3778">
        <v>0</v>
      </c>
      <c r="M3778">
        <v>0</v>
      </c>
      <c r="N3778">
        <v>0</v>
      </c>
      <c r="O3778" t="s">
        <v>11883</v>
      </c>
    </row>
    <row r="3779" spans="1:15">
      <c r="A3779" t="s">
        <v>22340</v>
      </c>
      <c r="B3779" t="s">
        <v>11637</v>
      </c>
      <c r="C3779" t="s">
        <v>14869</v>
      </c>
      <c r="D3779" t="s">
        <v>22341</v>
      </c>
      <c r="E3779" t="b">
        <v>0</v>
      </c>
      <c r="F3779" t="s">
        <v>11610</v>
      </c>
      <c r="L3779">
        <v>0</v>
      </c>
      <c r="M3779">
        <v>0</v>
      </c>
      <c r="N3779">
        <v>0</v>
      </c>
    </row>
    <row r="3780" spans="1:15">
      <c r="A3780" t="s">
        <v>22342</v>
      </c>
      <c r="B3780" t="s">
        <v>12438</v>
      </c>
      <c r="C3780" t="s">
        <v>22343</v>
      </c>
      <c r="D3780" t="s">
        <v>22344</v>
      </c>
      <c r="E3780" t="b">
        <v>0</v>
      </c>
      <c r="F3780" t="s">
        <v>11624</v>
      </c>
      <c r="G3780">
        <v>8.4574499999999997</v>
      </c>
      <c r="H3780">
        <v>93.033100000000005</v>
      </c>
      <c r="I3780" t="s">
        <v>22345</v>
      </c>
      <c r="L3780">
        <v>0</v>
      </c>
      <c r="M3780">
        <v>0</v>
      </c>
      <c r="N3780">
        <v>0</v>
      </c>
      <c r="O3780" t="s">
        <v>11630</v>
      </c>
    </row>
    <row r="3781" spans="1:15">
      <c r="A3781" t="s">
        <v>22346</v>
      </c>
      <c r="B3781" t="s">
        <v>11644</v>
      </c>
      <c r="C3781" t="s">
        <v>22347</v>
      </c>
      <c r="D3781" t="s">
        <v>22348</v>
      </c>
      <c r="E3781" t="b">
        <v>0</v>
      </c>
      <c r="F3781" t="s">
        <v>11624</v>
      </c>
      <c r="G3781">
        <v>29.703299999999999</v>
      </c>
      <c r="H3781">
        <v>80.483199999999997</v>
      </c>
      <c r="I3781" t="s">
        <v>22349</v>
      </c>
      <c r="L3781">
        <v>0</v>
      </c>
      <c r="M3781">
        <v>0</v>
      </c>
      <c r="N3781">
        <v>0</v>
      </c>
      <c r="O3781" t="s">
        <v>12524</v>
      </c>
    </row>
    <row r="3782" spans="1:15">
      <c r="A3782" t="s">
        <v>22350</v>
      </c>
      <c r="B3782" t="s">
        <v>11644</v>
      </c>
      <c r="C3782" t="s">
        <v>22351</v>
      </c>
      <c r="D3782" t="s">
        <v>22352</v>
      </c>
      <c r="E3782" t="b">
        <v>0</v>
      </c>
      <c r="F3782" t="s">
        <v>11622</v>
      </c>
      <c r="L3782">
        <v>0</v>
      </c>
      <c r="M3782">
        <v>2</v>
      </c>
      <c r="N3782">
        <v>5</v>
      </c>
    </row>
    <row r="3783" spans="1:15">
      <c r="A3783" t="s">
        <v>22353</v>
      </c>
      <c r="B3783" t="s">
        <v>13210</v>
      </c>
      <c r="C3783" t="s">
        <v>355</v>
      </c>
      <c r="D3783" t="s">
        <v>22354</v>
      </c>
      <c r="E3783" t="b">
        <v>0</v>
      </c>
      <c r="F3783" t="s">
        <v>11610</v>
      </c>
      <c r="L3783">
        <v>0</v>
      </c>
      <c r="M3783">
        <v>0</v>
      </c>
      <c r="N3783">
        <v>0</v>
      </c>
    </row>
    <row r="3784" spans="1:15">
      <c r="A3784" t="s">
        <v>22355</v>
      </c>
      <c r="B3784" t="s">
        <v>11627</v>
      </c>
      <c r="C3784" t="s">
        <v>11627</v>
      </c>
      <c r="D3784" t="s">
        <v>22356</v>
      </c>
      <c r="E3784" t="b">
        <v>1</v>
      </c>
      <c r="F3784" t="s">
        <v>11624</v>
      </c>
      <c r="G3784">
        <v>20.065300000000001</v>
      </c>
      <c r="H3784">
        <v>96.245699999999999</v>
      </c>
      <c r="I3784" t="s">
        <v>22357</v>
      </c>
      <c r="L3784">
        <v>0</v>
      </c>
      <c r="M3784">
        <v>0</v>
      </c>
      <c r="N3784">
        <v>0</v>
      </c>
      <c r="O3784" t="s">
        <v>14059</v>
      </c>
    </row>
    <row r="3785" spans="1:15">
      <c r="A3785" t="s">
        <v>21255</v>
      </c>
      <c r="B3785" t="s">
        <v>11637</v>
      </c>
      <c r="C3785" t="s">
        <v>22358</v>
      </c>
      <c r="D3785" t="s">
        <v>22359</v>
      </c>
      <c r="E3785" t="b">
        <v>0</v>
      </c>
      <c r="F3785" t="s">
        <v>11624</v>
      </c>
      <c r="G3785">
        <v>7.4350339999999999</v>
      </c>
      <c r="H3785">
        <v>122.18849</v>
      </c>
      <c r="I3785" t="s">
        <v>22360</v>
      </c>
      <c r="L3785">
        <v>0</v>
      </c>
      <c r="M3785">
        <v>0</v>
      </c>
      <c r="N3785">
        <v>5</v>
      </c>
      <c r="O3785" t="s">
        <v>11749</v>
      </c>
    </row>
    <row r="3786" spans="1:15">
      <c r="A3786" t="s">
        <v>22361</v>
      </c>
      <c r="B3786" t="s">
        <v>6742</v>
      </c>
      <c r="C3786" t="s">
        <v>20440</v>
      </c>
      <c r="D3786" t="s">
        <v>22362</v>
      </c>
      <c r="E3786" t="b">
        <v>0</v>
      </c>
      <c r="F3786" t="s">
        <v>11610</v>
      </c>
      <c r="L3786">
        <v>0</v>
      </c>
      <c r="M3786">
        <v>0</v>
      </c>
      <c r="N3786">
        <v>0</v>
      </c>
    </row>
    <row r="3787" spans="1:15">
      <c r="A3787" t="s">
        <v>20876</v>
      </c>
      <c r="B3787" t="s">
        <v>20873</v>
      </c>
      <c r="C3787" t="s">
        <v>22363</v>
      </c>
      <c r="D3787" t="s">
        <v>22364</v>
      </c>
      <c r="E3787" t="b">
        <v>0</v>
      </c>
      <c r="F3787" t="s">
        <v>11624</v>
      </c>
      <c r="G3787">
        <v>-5.6376400000000002</v>
      </c>
      <c r="H3787">
        <v>-76.825199999999995</v>
      </c>
      <c r="I3787" t="s">
        <v>22365</v>
      </c>
      <c r="L3787">
        <v>0</v>
      </c>
      <c r="M3787">
        <v>0</v>
      </c>
      <c r="N3787">
        <v>2</v>
      </c>
      <c r="O3787" t="s">
        <v>11778</v>
      </c>
    </row>
    <row r="3788" spans="1:15">
      <c r="A3788" t="s">
        <v>22366</v>
      </c>
      <c r="B3788" t="s">
        <v>11879</v>
      </c>
      <c r="C3788" t="s">
        <v>22367</v>
      </c>
      <c r="D3788" t="s">
        <v>22368</v>
      </c>
      <c r="E3788" t="b">
        <v>0</v>
      </c>
      <c r="F3788" t="s">
        <v>11624</v>
      </c>
      <c r="G3788">
        <v>16.315799999999999</v>
      </c>
      <c r="H3788">
        <v>-97.811400000000006</v>
      </c>
      <c r="I3788" t="s">
        <v>22369</v>
      </c>
      <c r="L3788">
        <v>0</v>
      </c>
      <c r="M3788">
        <v>0</v>
      </c>
      <c r="N3788">
        <v>0</v>
      </c>
      <c r="O3788" t="s">
        <v>11883</v>
      </c>
    </row>
    <row r="3789" spans="1:15">
      <c r="A3789" t="s">
        <v>20099</v>
      </c>
      <c r="B3789" t="s">
        <v>11644</v>
      </c>
      <c r="C3789" t="s">
        <v>22370</v>
      </c>
      <c r="D3789" t="s">
        <v>22371</v>
      </c>
      <c r="E3789" t="b">
        <v>0</v>
      </c>
      <c r="F3789" t="s">
        <v>11610</v>
      </c>
      <c r="L3789">
        <v>0</v>
      </c>
      <c r="M3789">
        <v>0</v>
      </c>
      <c r="N3789">
        <v>2</v>
      </c>
    </row>
    <row r="3790" spans="1:15">
      <c r="A3790" t="s">
        <v>22372</v>
      </c>
      <c r="B3790" t="s">
        <v>11879</v>
      </c>
      <c r="C3790" t="s">
        <v>20828</v>
      </c>
      <c r="D3790" t="s">
        <v>22373</v>
      </c>
      <c r="E3790" t="b">
        <v>0</v>
      </c>
      <c r="F3790" t="s">
        <v>11624</v>
      </c>
      <c r="G3790">
        <v>18.1541</v>
      </c>
      <c r="H3790">
        <v>-97.787300000000002</v>
      </c>
      <c r="I3790" t="s">
        <v>22374</v>
      </c>
      <c r="L3790">
        <v>0</v>
      </c>
      <c r="M3790">
        <v>0</v>
      </c>
      <c r="N3790">
        <v>0</v>
      </c>
      <c r="O3790" t="s">
        <v>11883</v>
      </c>
    </row>
    <row r="3791" spans="1:15">
      <c r="A3791" t="s">
        <v>22375</v>
      </c>
      <c r="B3791" t="s">
        <v>12311</v>
      </c>
      <c r="C3791" t="s">
        <v>17453</v>
      </c>
      <c r="D3791" t="s">
        <v>22376</v>
      </c>
      <c r="E3791" t="b">
        <v>0</v>
      </c>
      <c r="F3791" t="s">
        <v>11622</v>
      </c>
      <c r="L3791">
        <v>0</v>
      </c>
      <c r="M3791">
        <v>2</v>
      </c>
      <c r="N3791">
        <v>3</v>
      </c>
    </row>
    <row r="3792" spans="1:15">
      <c r="A3792" t="s">
        <v>22377</v>
      </c>
      <c r="B3792" t="s">
        <v>12311</v>
      </c>
      <c r="C3792" t="s">
        <v>22375</v>
      </c>
      <c r="D3792" t="s">
        <v>22378</v>
      </c>
      <c r="E3792" t="b">
        <v>0</v>
      </c>
      <c r="F3792" t="s">
        <v>11624</v>
      </c>
      <c r="G3792">
        <v>43.5</v>
      </c>
      <c r="H3792">
        <v>45.5</v>
      </c>
      <c r="I3792" t="s">
        <v>22379</v>
      </c>
      <c r="L3792">
        <v>0</v>
      </c>
      <c r="M3792">
        <v>0</v>
      </c>
      <c r="N3792">
        <v>3</v>
      </c>
      <c r="O3792" t="s">
        <v>22380</v>
      </c>
    </row>
    <row r="3793" spans="1:15">
      <c r="A3793" t="s">
        <v>22381</v>
      </c>
      <c r="B3793" t="s">
        <v>6742</v>
      </c>
      <c r="C3793" t="s">
        <v>22382</v>
      </c>
      <c r="D3793" t="s">
        <v>22383</v>
      </c>
      <c r="E3793" t="b">
        <v>0</v>
      </c>
      <c r="F3793" t="s">
        <v>11610</v>
      </c>
      <c r="L3793">
        <v>0</v>
      </c>
      <c r="M3793">
        <v>0</v>
      </c>
      <c r="N3793">
        <v>0</v>
      </c>
    </row>
    <row r="3794" spans="1:15">
      <c r="A3794" t="s">
        <v>22384</v>
      </c>
      <c r="B3794" t="s">
        <v>6742</v>
      </c>
      <c r="C3794" t="s">
        <v>15522</v>
      </c>
      <c r="D3794" t="s">
        <v>22385</v>
      </c>
      <c r="E3794" t="b">
        <v>0</v>
      </c>
      <c r="F3794" t="s">
        <v>11624</v>
      </c>
      <c r="G3794">
        <v>10.0031</v>
      </c>
      <c r="H3794">
        <v>8.6702399999999997</v>
      </c>
      <c r="I3794" t="s">
        <v>22386</v>
      </c>
      <c r="L3794">
        <v>0</v>
      </c>
      <c r="M3794">
        <v>0</v>
      </c>
      <c r="N3794">
        <v>0</v>
      </c>
      <c r="O3794" t="s">
        <v>11693</v>
      </c>
    </row>
    <row r="3795" spans="1:15">
      <c r="A3795" t="s">
        <v>22387</v>
      </c>
      <c r="B3795" t="s">
        <v>22388</v>
      </c>
      <c r="C3795" t="s">
        <v>232</v>
      </c>
      <c r="D3795" t="s">
        <v>22389</v>
      </c>
      <c r="E3795" t="b">
        <v>0</v>
      </c>
      <c r="F3795" t="s">
        <v>11610</v>
      </c>
      <c r="L3795">
        <v>0</v>
      </c>
      <c r="M3795">
        <v>0</v>
      </c>
      <c r="N3795">
        <v>0</v>
      </c>
    </row>
    <row r="3796" spans="1:15">
      <c r="A3796" t="s">
        <v>22390</v>
      </c>
      <c r="B3796" t="s">
        <v>367</v>
      </c>
      <c r="C3796" t="s">
        <v>22391</v>
      </c>
      <c r="D3796" t="s">
        <v>22392</v>
      </c>
      <c r="E3796" t="b">
        <v>0</v>
      </c>
      <c r="F3796" t="s">
        <v>11624</v>
      </c>
      <c r="G3796">
        <v>-8.2705500000000001</v>
      </c>
      <c r="H3796">
        <v>159.625</v>
      </c>
      <c r="I3796" t="s">
        <v>22393</v>
      </c>
      <c r="L3796">
        <v>0</v>
      </c>
      <c r="M3796">
        <v>0</v>
      </c>
      <c r="N3796">
        <v>2</v>
      </c>
      <c r="O3796" t="s">
        <v>13346</v>
      </c>
    </row>
    <row r="3797" spans="1:15">
      <c r="A3797" t="s">
        <v>22394</v>
      </c>
      <c r="B3797" t="s">
        <v>11637</v>
      </c>
      <c r="C3797" t="s">
        <v>16120</v>
      </c>
      <c r="D3797" t="s">
        <v>22395</v>
      </c>
      <c r="E3797" t="b">
        <v>0</v>
      </c>
      <c r="F3797" t="s">
        <v>11610</v>
      </c>
      <c r="L3797">
        <v>0</v>
      </c>
      <c r="M3797">
        <v>0</v>
      </c>
      <c r="N3797">
        <v>0</v>
      </c>
    </row>
    <row r="3798" spans="1:15">
      <c r="A3798" t="s">
        <v>22396</v>
      </c>
      <c r="B3798" t="s">
        <v>12751</v>
      </c>
      <c r="C3798" t="s">
        <v>22397</v>
      </c>
      <c r="D3798" t="s">
        <v>22398</v>
      </c>
      <c r="E3798" t="b">
        <v>0</v>
      </c>
      <c r="F3798" t="s">
        <v>11610</v>
      </c>
      <c r="G3798">
        <v>35.356093000000001</v>
      </c>
      <c r="H3798">
        <v>-116.438436</v>
      </c>
      <c r="L3798">
        <v>0</v>
      </c>
      <c r="M3798">
        <v>0</v>
      </c>
      <c r="N3798">
        <v>0</v>
      </c>
    </row>
    <row r="3799" spans="1:15">
      <c r="A3799" t="s">
        <v>22399</v>
      </c>
      <c r="B3799" t="s">
        <v>11844</v>
      </c>
      <c r="C3799" t="s">
        <v>22400</v>
      </c>
      <c r="D3799" t="s">
        <v>22401</v>
      </c>
      <c r="E3799" t="b">
        <v>0</v>
      </c>
      <c r="F3799" t="s">
        <v>11624</v>
      </c>
      <c r="G3799">
        <v>15.8787</v>
      </c>
      <c r="H3799">
        <v>79.253399999999999</v>
      </c>
      <c r="I3799" t="s">
        <v>22402</v>
      </c>
      <c r="L3799">
        <v>0</v>
      </c>
      <c r="M3799">
        <v>0</v>
      </c>
      <c r="N3799">
        <v>0</v>
      </c>
      <c r="O3799" t="s">
        <v>11630</v>
      </c>
    </row>
    <row r="3800" spans="1:15">
      <c r="A3800" t="s">
        <v>22403</v>
      </c>
      <c r="B3800" t="s">
        <v>11644</v>
      </c>
      <c r="C3800" t="s">
        <v>13896</v>
      </c>
      <c r="D3800" t="s">
        <v>22404</v>
      </c>
      <c r="E3800" t="b">
        <v>0</v>
      </c>
      <c r="F3800" t="s">
        <v>11610</v>
      </c>
      <c r="L3800">
        <v>0</v>
      </c>
      <c r="M3800">
        <v>0</v>
      </c>
      <c r="N3800">
        <v>0</v>
      </c>
    </row>
    <row r="3801" spans="1:15">
      <c r="A3801" t="s">
        <v>22405</v>
      </c>
      <c r="B3801" t="s">
        <v>12686</v>
      </c>
      <c r="C3801" t="s">
        <v>6182</v>
      </c>
      <c r="D3801" t="s">
        <v>22406</v>
      </c>
      <c r="E3801" t="b">
        <v>0</v>
      </c>
      <c r="F3801" t="s">
        <v>11610</v>
      </c>
      <c r="L3801">
        <v>0</v>
      </c>
      <c r="M3801">
        <v>0</v>
      </c>
      <c r="N3801">
        <v>0</v>
      </c>
    </row>
    <row r="3802" spans="1:15">
      <c r="A3802" t="s">
        <v>22407</v>
      </c>
      <c r="B3802" t="s">
        <v>11705</v>
      </c>
      <c r="C3802" t="s">
        <v>22408</v>
      </c>
      <c r="D3802" t="s">
        <v>22409</v>
      </c>
      <c r="E3802" t="b">
        <v>0</v>
      </c>
      <c r="F3802" t="s">
        <v>11624</v>
      </c>
      <c r="G3802">
        <v>-4.2515400000000003</v>
      </c>
      <c r="H3802">
        <v>142.31700000000001</v>
      </c>
      <c r="I3802" t="s">
        <v>22410</v>
      </c>
      <c r="L3802">
        <v>0</v>
      </c>
      <c r="M3802">
        <v>0</v>
      </c>
      <c r="N3802">
        <v>0</v>
      </c>
      <c r="O3802" t="s">
        <v>11660</v>
      </c>
    </row>
    <row r="3803" spans="1:15">
      <c r="A3803" t="s">
        <v>22411</v>
      </c>
      <c r="B3803" t="s">
        <v>11607</v>
      </c>
      <c r="C3803" t="s">
        <v>22412</v>
      </c>
      <c r="D3803" t="s">
        <v>22413</v>
      </c>
      <c r="E3803" t="b">
        <v>0</v>
      </c>
      <c r="F3803" t="s">
        <v>11610</v>
      </c>
      <c r="L3803">
        <v>0</v>
      </c>
      <c r="M3803">
        <v>0</v>
      </c>
      <c r="N3803">
        <v>0</v>
      </c>
    </row>
    <row r="3804" spans="1:15">
      <c r="A3804" t="s">
        <v>22414</v>
      </c>
      <c r="B3804" t="s">
        <v>11607</v>
      </c>
      <c r="C3804" t="s">
        <v>22415</v>
      </c>
      <c r="D3804" t="s">
        <v>22416</v>
      </c>
      <c r="E3804" t="b">
        <v>0</v>
      </c>
      <c r="F3804" t="s">
        <v>11624</v>
      </c>
      <c r="G3804">
        <v>36.591700000000003</v>
      </c>
      <c r="H3804">
        <v>2.1989899999999998</v>
      </c>
      <c r="I3804" t="s">
        <v>22417</v>
      </c>
      <c r="L3804">
        <v>0</v>
      </c>
      <c r="M3804">
        <v>0</v>
      </c>
      <c r="N3804">
        <v>0</v>
      </c>
      <c r="O3804" t="s">
        <v>13029</v>
      </c>
    </row>
    <row r="3805" spans="1:15">
      <c r="A3805" t="s">
        <v>22418</v>
      </c>
      <c r="B3805" t="s">
        <v>11644</v>
      </c>
      <c r="C3805" t="s">
        <v>22419</v>
      </c>
      <c r="D3805" t="s">
        <v>22420</v>
      </c>
      <c r="E3805" t="b">
        <v>0</v>
      </c>
      <c r="F3805" t="s">
        <v>11610</v>
      </c>
      <c r="G3805">
        <v>30.605768000000001</v>
      </c>
      <c r="H3805">
        <v>103.970947</v>
      </c>
      <c r="L3805">
        <v>0</v>
      </c>
      <c r="M3805">
        <v>0</v>
      </c>
      <c r="N3805">
        <v>0</v>
      </c>
    </row>
    <row r="3806" spans="1:15">
      <c r="A3806" t="s">
        <v>16856</v>
      </c>
      <c r="B3806" t="s">
        <v>11644</v>
      </c>
      <c r="C3806" t="s">
        <v>22268</v>
      </c>
      <c r="D3806" t="s">
        <v>22421</v>
      </c>
      <c r="E3806" t="b">
        <v>0</v>
      </c>
      <c r="F3806" t="s">
        <v>11610</v>
      </c>
      <c r="L3806">
        <v>0</v>
      </c>
      <c r="M3806">
        <v>0</v>
      </c>
      <c r="N3806">
        <v>8</v>
      </c>
    </row>
    <row r="3807" spans="1:15">
      <c r="A3807" t="s">
        <v>22422</v>
      </c>
      <c r="B3807" t="s">
        <v>11644</v>
      </c>
      <c r="C3807" t="s">
        <v>16856</v>
      </c>
      <c r="D3807" t="s">
        <v>22423</v>
      </c>
      <c r="E3807" t="b">
        <v>0</v>
      </c>
      <c r="F3807" t="s">
        <v>11610</v>
      </c>
      <c r="L3807">
        <v>0</v>
      </c>
      <c r="M3807">
        <v>0</v>
      </c>
      <c r="N3807">
        <v>0</v>
      </c>
    </row>
    <row r="3808" spans="1:15">
      <c r="A3808" t="s">
        <v>22424</v>
      </c>
      <c r="B3808" t="s">
        <v>11644</v>
      </c>
      <c r="C3808" t="s">
        <v>12724</v>
      </c>
      <c r="D3808" t="s">
        <v>22425</v>
      </c>
      <c r="E3808" t="b">
        <v>0</v>
      </c>
      <c r="F3808" t="s">
        <v>11624</v>
      </c>
      <c r="I3808" t="s">
        <v>22426</v>
      </c>
      <c r="L3808">
        <v>0</v>
      </c>
      <c r="M3808">
        <v>0</v>
      </c>
      <c r="N3808">
        <v>0</v>
      </c>
      <c r="O3808" t="s">
        <v>18896</v>
      </c>
    </row>
    <row r="3809" spans="1:15">
      <c r="A3809" t="s">
        <v>20131</v>
      </c>
      <c r="B3809" t="s">
        <v>11644</v>
      </c>
      <c r="C3809" t="s">
        <v>22427</v>
      </c>
      <c r="D3809" t="s">
        <v>22428</v>
      </c>
      <c r="E3809" t="b">
        <v>0</v>
      </c>
      <c r="F3809" t="s">
        <v>11622</v>
      </c>
      <c r="L3809">
        <v>0</v>
      </c>
      <c r="M3809">
        <v>2</v>
      </c>
      <c r="N3809">
        <v>2</v>
      </c>
    </row>
    <row r="3810" spans="1:15">
      <c r="A3810" t="s">
        <v>22429</v>
      </c>
      <c r="B3810" t="s">
        <v>11644</v>
      </c>
      <c r="C3810" t="s">
        <v>20131</v>
      </c>
      <c r="D3810" t="s">
        <v>22430</v>
      </c>
      <c r="E3810" t="b">
        <v>0</v>
      </c>
      <c r="F3810" t="s">
        <v>11624</v>
      </c>
      <c r="G3810">
        <v>27.720600000000001</v>
      </c>
      <c r="H3810">
        <v>84.901700000000005</v>
      </c>
      <c r="I3810" t="s">
        <v>22431</v>
      </c>
      <c r="L3810">
        <v>0</v>
      </c>
      <c r="M3810">
        <v>0</v>
      </c>
      <c r="N3810">
        <v>2</v>
      </c>
      <c r="O3810" t="s">
        <v>15007</v>
      </c>
    </row>
    <row r="3811" spans="1:15">
      <c r="A3811" t="s">
        <v>22432</v>
      </c>
      <c r="B3811" t="s">
        <v>12438</v>
      </c>
      <c r="C3811" t="s">
        <v>18310</v>
      </c>
      <c r="D3811" t="s">
        <v>22433</v>
      </c>
      <c r="E3811" t="b">
        <v>0</v>
      </c>
      <c r="F3811" t="s">
        <v>11610</v>
      </c>
      <c r="L3811">
        <v>0</v>
      </c>
      <c r="M3811">
        <v>0</v>
      </c>
      <c r="N3811">
        <v>0</v>
      </c>
    </row>
    <row r="3812" spans="1:15">
      <c r="A3812" t="s">
        <v>22434</v>
      </c>
      <c r="B3812" t="s">
        <v>6742</v>
      </c>
      <c r="C3812" t="s">
        <v>22435</v>
      </c>
      <c r="D3812" t="s">
        <v>22436</v>
      </c>
      <c r="E3812" t="b">
        <v>0</v>
      </c>
      <c r="F3812" t="s">
        <v>11624</v>
      </c>
      <c r="G3812">
        <v>6.0538699999999999</v>
      </c>
      <c r="H3812">
        <v>-0.10954999999999999</v>
      </c>
      <c r="I3812" t="s">
        <v>22437</v>
      </c>
      <c r="L3812">
        <v>0</v>
      </c>
      <c r="M3812">
        <v>0</v>
      </c>
      <c r="N3812">
        <v>0</v>
      </c>
      <c r="O3812" t="s">
        <v>11985</v>
      </c>
    </row>
    <row r="3813" spans="1:15">
      <c r="A3813" t="s">
        <v>22438</v>
      </c>
      <c r="B3813" t="s">
        <v>6742</v>
      </c>
      <c r="C3813" t="s">
        <v>20222</v>
      </c>
      <c r="D3813" t="s">
        <v>22439</v>
      </c>
      <c r="E3813" t="b">
        <v>0</v>
      </c>
      <c r="F3813" t="s">
        <v>11610</v>
      </c>
      <c r="L3813">
        <v>0</v>
      </c>
      <c r="M3813">
        <v>0</v>
      </c>
      <c r="N3813">
        <v>0</v>
      </c>
    </row>
    <row r="3814" spans="1:15">
      <c r="A3814" t="s">
        <v>8583</v>
      </c>
      <c r="B3814" t="s">
        <v>300</v>
      </c>
      <c r="C3814" t="s">
        <v>300</v>
      </c>
      <c r="D3814" t="s">
        <v>8582</v>
      </c>
      <c r="E3814" t="b">
        <v>0</v>
      </c>
      <c r="F3814" t="s">
        <v>11624</v>
      </c>
      <c r="G3814">
        <v>35.4664</v>
      </c>
      <c r="H3814">
        <v>-83.162999999999997</v>
      </c>
      <c r="I3814" t="s">
        <v>8584</v>
      </c>
      <c r="L3814">
        <v>0</v>
      </c>
      <c r="M3814">
        <v>0</v>
      </c>
      <c r="N3814">
        <v>4</v>
      </c>
      <c r="O3814" t="s">
        <v>11944</v>
      </c>
    </row>
    <row r="3815" spans="1:15">
      <c r="A3815" t="s">
        <v>22440</v>
      </c>
      <c r="B3815" t="s">
        <v>11644</v>
      </c>
      <c r="C3815" t="s">
        <v>15470</v>
      </c>
      <c r="D3815" t="s">
        <v>22441</v>
      </c>
      <c r="E3815" t="b">
        <v>0</v>
      </c>
      <c r="F3815" t="s">
        <v>11624</v>
      </c>
      <c r="G3815">
        <v>24.05</v>
      </c>
      <c r="H3815">
        <v>101.98</v>
      </c>
      <c r="I3815" t="s">
        <v>22442</v>
      </c>
      <c r="L3815">
        <v>0</v>
      </c>
      <c r="M3815">
        <v>0</v>
      </c>
      <c r="N3815">
        <v>0</v>
      </c>
      <c r="O3815" t="s">
        <v>11905</v>
      </c>
    </row>
    <row r="3816" spans="1:15">
      <c r="A3816" t="s">
        <v>22443</v>
      </c>
      <c r="B3816" t="s">
        <v>11627</v>
      </c>
      <c r="C3816" t="s">
        <v>11627</v>
      </c>
      <c r="D3816" t="s">
        <v>22444</v>
      </c>
      <c r="E3816" t="b">
        <v>1</v>
      </c>
      <c r="F3816" t="s">
        <v>11624</v>
      </c>
      <c r="G3816">
        <v>42.686399999999999</v>
      </c>
      <c r="H3816">
        <v>-124.376</v>
      </c>
      <c r="I3816" t="s">
        <v>22445</v>
      </c>
      <c r="L3816">
        <v>0</v>
      </c>
      <c r="M3816">
        <v>0</v>
      </c>
      <c r="N3816">
        <v>0</v>
      </c>
      <c r="O3816" t="s">
        <v>11944</v>
      </c>
    </row>
    <row r="3817" spans="1:15">
      <c r="A3817" t="s">
        <v>22446</v>
      </c>
      <c r="B3817" t="s">
        <v>12438</v>
      </c>
      <c r="C3817" t="s">
        <v>22447</v>
      </c>
      <c r="D3817" t="s">
        <v>22448</v>
      </c>
      <c r="E3817" t="b">
        <v>0</v>
      </c>
      <c r="F3817" t="s">
        <v>11624</v>
      </c>
      <c r="G3817">
        <v>3.83331</v>
      </c>
      <c r="H3817">
        <v>102.081</v>
      </c>
      <c r="I3817" t="s">
        <v>22449</v>
      </c>
      <c r="L3817">
        <v>0</v>
      </c>
      <c r="M3817">
        <v>0</v>
      </c>
      <c r="N3817">
        <v>0</v>
      </c>
      <c r="O3817" t="s">
        <v>11672</v>
      </c>
    </row>
    <row r="3818" spans="1:15">
      <c r="A3818" t="s">
        <v>559</v>
      </c>
      <c r="B3818" t="s">
        <v>6742</v>
      </c>
      <c r="C3818" t="s">
        <v>3999</v>
      </c>
      <c r="D3818" t="s">
        <v>558</v>
      </c>
      <c r="E3818" t="b">
        <v>0</v>
      </c>
      <c r="F3818" t="s">
        <v>11610</v>
      </c>
      <c r="L3818">
        <v>0</v>
      </c>
      <c r="M3818">
        <v>0</v>
      </c>
      <c r="N3818">
        <v>0</v>
      </c>
    </row>
    <row r="3819" spans="1:15">
      <c r="A3819" t="s">
        <v>11419</v>
      </c>
      <c r="B3819" t="s">
        <v>12979</v>
      </c>
      <c r="C3819" t="s">
        <v>13050</v>
      </c>
      <c r="D3819" t="s">
        <v>22450</v>
      </c>
      <c r="E3819" t="b">
        <v>0</v>
      </c>
      <c r="F3819" t="s">
        <v>11624</v>
      </c>
      <c r="G3819">
        <v>45.5321</v>
      </c>
      <c r="H3819">
        <v>-106.65900000000001</v>
      </c>
      <c r="I3819" t="s">
        <v>11420</v>
      </c>
      <c r="L3819">
        <v>0</v>
      </c>
      <c r="M3819">
        <v>0</v>
      </c>
      <c r="N3819">
        <v>0</v>
      </c>
      <c r="O3819" t="s">
        <v>11944</v>
      </c>
    </row>
    <row r="3820" spans="1:15">
      <c r="A3820" t="s">
        <v>22451</v>
      </c>
      <c r="B3820" t="s">
        <v>11637</v>
      </c>
      <c r="C3820" t="s">
        <v>13063</v>
      </c>
      <c r="D3820" t="s">
        <v>22452</v>
      </c>
      <c r="E3820" t="b">
        <v>0</v>
      </c>
      <c r="F3820" t="s">
        <v>11610</v>
      </c>
      <c r="L3820">
        <v>0</v>
      </c>
      <c r="M3820">
        <v>0</v>
      </c>
      <c r="N3820">
        <v>0</v>
      </c>
    </row>
    <row r="3821" spans="1:15">
      <c r="A3821" t="s">
        <v>15977</v>
      </c>
      <c r="B3821" t="s">
        <v>11637</v>
      </c>
      <c r="C3821" t="s">
        <v>15310</v>
      </c>
      <c r="D3821" t="s">
        <v>22453</v>
      </c>
      <c r="E3821" t="b">
        <v>0</v>
      </c>
      <c r="F3821" t="s">
        <v>11624</v>
      </c>
      <c r="G3821">
        <v>20.360099999999999</v>
      </c>
      <c r="H3821">
        <v>82.048299999999998</v>
      </c>
      <c r="I3821" t="s">
        <v>22454</v>
      </c>
      <c r="L3821">
        <v>0</v>
      </c>
      <c r="M3821">
        <v>0</v>
      </c>
      <c r="N3821">
        <v>9</v>
      </c>
      <c r="O3821" t="s">
        <v>11630</v>
      </c>
    </row>
    <row r="3822" spans="1:15">
      <c r="A3822" t="s">
        <v>22455</v>
      </c>
      <c r="B3822" t="s">
        <v>11637</v>
      </c>
      <c r="C3822" t="s">
        <v>15977</v>
      </c>
      <c r="D3822" t="s">
        <v>22456</v>
      </c>
      <c r="E3822" t="b">
        <v>0</v>
      </c>
      <c r="F3822" t="s">
        <v>11610</v>
      </c>
      <c r="L3822">
        <v>0</v>
      </c>
      <c r="M3822">
        <v>0</v>
      </c>
      <c r="N3822">
        <v>0</v>
      </c>
    </row>
    <row r="3823" spans="1:15">
      <c r="A3823" t="s">
        <v>22457</v>
      </c>
      <c r="B3823" t="s">
        <v>11644</v>
      </c>
      <c r="C3823" t="s">
        <v>22458</v>
      </c>
      <c r="D3823" t="s">
        <v>22459</v>
      </c>
      <c r="E3823" t="b">
        <v>0</v>
      </c>
      <c r="F3823" t="s">
        <v>11610</v>
      </c>
      <c r="L3823">
        <v>0</v>
      </c>
      <c r="M3823">
        <v>0</v>
      </c>
      <c r="N3823">
        <v>0</v>
      </c>
    </row>
    <row r="3824" spans="1:15">
      <c r="A3824" t="s">
        <v>22460</v>
      </c>
      <c r="B3824" t="s">
        <v>11637</v>
      </c>
      <c r="C3824" t="s">
        <v>13063</v>
      </c>
      <c r="D3824" t="s">
        <v>22461</v>
      </c>
      <c r="E3824" t="b">
        <v>0</v>
      </c>
      <c r="F3824" t="s">
        <v>11610</v>
      </c>
      <c r="L3824">
        <v>0</v>
      </c>
      <c r="M3824">
        <v>0</v>
      </c>
      <c r="N3824">
        <v>0</v>
      </c>
    </row>
    <row r="3825" spans="1:15">
      <c r="A3825" t="s">
        <v>22462</v>
      </c>
      <c r="B3825" t="s">
        <v>11844</v>
      </c>
      <c r="C3825" t="s">
        <v>13540</v>
      </c>
      <c r="D3825" t="s">
        <v>22463</v>
      </c>
      <c r="E3825" t="b">
        <v>0</v>
      </c>
      <c r="F3825" t="s">
        <v>11610</v>
      </c>
      <c r="L3825">
        <v>0</v>
      </c>
      <c r="M3825">
        <v>0</v>
      </c>
      <c r="N3825">
        <v>0</v>
      </c>
    </row>
    <row r="3826" spans="1:15">
      <c r="A3826" t="s">
        <v>22464</v>
      </c>
      <c r="B3826" t="s">
        <v>11644</v>
      </c>
      <c r="C3826" t="s">
        <v>15002</v>
      </c>
      <c r="D3826" t="s">
        <v>22465</v>
      </c>
      <c r="E3826" t="b">
        <v>0</v>
      </c>
      <c r="F3826" t="s">
        <v>11624</v>
      </c>
      <c r="G3826">
        <v>26.960999999999999</v>
      </c>
      <c r="H3826">
        <v>87.189899999999994</v>
      </c>
      <c r="I3826" t="s">
        <v>22466</v>
      </c>
      <c r="L3826">
        <v>0</v>
      </c>
      <c r="M3826">
        <v>0</v>
      </c>
      <c r="N3826">
        <v>0</v>
      </c>
      <c r="O3826" t="s">
        <v>15007</v>
      </c>
    </row>
    <row r="3827" spans="1:15">
      <c r="A3827" t="s">
        <v>22467</v>
      </c>
      <c r="B3827" t="s">
        <v>13360</v>
      </c>
      <c r="C3827" t="s">
        <v>13360</v>
      </c>
      <c r="D3827" t="s">
        <v>22468</v>
      </c>
      <c r="E3827" t="b">
        <v>0</v>
      </c>
      <c r="F3827" t="s">
        <v>11624</v>
      </c>
      <c r="L3827">
        <v>0</v>
      </c>
      <c r="M3827">
        <v>0</v>
      </c>
      <c r="N3827">
        <v>0</v>
      </c>
      <c r="O3827" t="s">
        <v>14185</v>
      </c>
    </row>
    <row r="3828" spans="1:15">
      <c r="A3828" t="s">
        <v>22469</v>
      </c>
      <c r="B3828" t="s">
        <v>11644</v>
      </c>
      <c r="C3828" t="s">
        <v>15002</v>
      </c>
      <c r="D3828" t="s">
        <v>22470</v>
      </c>
      <c r="E3828" t="b">
        <v>0</v>
      </c>
      <c r="F3828" t="s">
        <v>11624</v>
      </c>
      <c r="G3828">
        <v>26.910699999999999</v>
      </c>
      <c r="H3828">
        <v>87.213300000000004</v>
      </c>
      <c r="I3828" t="s">
        <v>22471</v>
      </c>
      <c r="L3828">
        <v>0</v>
      </c>
      <c r="M3828">
        <v>0</v>
      </c>
      <c r="N3828">
        <v>0</v>
      </c>
      <c r="O3828" t="s">
        <v>15007</v>
      </c>
    </row>
    <row r="3829" spans="1:15">
      <c r="A3829" t="s">
        <v>22472</v>
      </c>
      <c r="B3829" t="s">
        <v>11981</v>
      </c>
      <c r="C3829" t="s">
        <v>22473</v>
      </c>
      <c r="D3829" t="s">
        <v>22474</v>
      </c>
      <c r="E3829" t="b">
        <v>0</v>
      </c>
      <c r="F3829" t="s">
        <v>11624</v>
      </c>
      <c r="G3829">
        <v>18.8629</v>
      </c>
      <c r="H3829">
        <v>99.039000000000001</v>
      </c>
      <c r="I3829" t="s">
        <v>22475</v>
      </c>
      <c r="L3829">
        <v>0</v>
      </c>
      <c r="M3829">
        <v>0</v>
      </c>
      <c r="N3829">
        <v>0</v>
      </c>
      <c r="O3829" t="s">
        <v>16739</v>
      </c>
    </row>
    <row r="3830" spans="1:15">
      <c r="A3830" t="s">
        <v>22476</v>
      </c>
      <c r="B3830" t="s">
        <v>5058</v>
      </c>
      <c r="C3830" t="s">
        <v>22195</v>
      </c>
      <c r="D3830" t="s">
        <v>22477</v>
      </c>
      <c r="E3830" t="b">
        <v>0</v>
      </c>
      <c r="F3830" t="s">
        <v>11610</v>
      </c>
      <c r="L3830">
        <v>0</v>
      </c>
      <c r="M3830">
        <v>0</v>
      </c>
      <c r="N3830">
        <v>0</v>
      </c>
    </row>
    <row r="3831" spans="1:15">
      <c r="A3831" t="s">
        <v>22478</v>
      </c>
      <c r="B3831" t="s">
        <v>15027</v>
      </c>
      <c r="C3831" t="s">
        <v>22479</v>
      </c>
      <c r="D3831" t="s">
        <v>22480</v>
      </c>
      <c r="E3831" t="b">
        <v>0</v>
      </c>
      <c r="F3831" t="s">
        <v>11622</v>
      </c>
      <c r="L3831">
        <v>0</v>
      </c>
      <c r="M3831">
        <v>4</v>
      </c>
      <c r="N3831">
        <v>4</v>
      </c>
    </row>
    <row r="3832" spans="1:15">
      <c r="A3832" t="s">
        <v>22481</v>
      </c>
      <c r="B3832" t="s">
        <v>11879</v>
      </c>
      <c r="C3832" t="s">
        <v>22482</v>
      </c>
      <c r="D3832" t="s">
        <v>22483</v>
      </c>
      <c r="E3832" t="b">
        <v>0</v>
      </c>
      <c r="F3832" t="s">
        <v>11624</v>
      </c>
      <c r="G3832">
        <v>16.656199999999998</v>
      </c>
      <c r="H3832">
        <v>-91.941699999999997</v>
      </c>
      <c r="I3832" t="s">
        <v>22484</v>
      </c>
      <c r="L3832">
        <v>0</v>
      </c>
      <c r="M3832">
        <v>0</v>
      </c>
      <c r="N3832">
        <v>0</v>
      </c>
      <c r="O3832" t="s">
        <v>11883</v>
      </c>
    </row>
    <row r="3833" spans="1:15">
      <c r="A3833" t="s">
        <v>22485</v>
      </c>
      <c r="B3833" t="s">
        <v>11637</v>
      </c>
      <c r="C3833" t="s">
        <v>8026</v>
      </c>
      <c r="D3833" t="s">
        <v>22486</v>
      </c>
      <c r="E3833" t="b">
        <v>0</v>
      </c>
      <c r="F3833" t="s">
        <v>11610</v>
      </c>
      <c r="L3833">
        <v>0</v>
      </c>
      <c r="M3833">
        <v>0</v>
      </c>
      <c r="N3833">
        <v>0</v>
      </c>
    </row>
    <row r="3834" spans="1:15">
      <c r="A3834" t="s">
        <v>22487</v>
      </c>
      <c r="B3834" t="s">
        <v>4342</v>
      </c>
      <c r="C3834" t="s">
        <v>22488</v>
      </c>
      <c r="D3834" t="s">
        <v>22489</v>
      </c>
      <c r="E3834" t="b">
        <v>0</v>
      </c>
      <c r="F3834" t="s">
        <v>11610</v>
      </c>
      <c r="L3834">
        <v>0</v>
      </c>
      <c r="M3834">
        <v>0</v>
      </c>
      <c r="N3834">
        <v>0</v>
      </c>
    </row>
    <row r="3835" spans="1:15">
      <c r="A3835" t="s">
        <v>6455</v>
      </c>
      <c r="D3835" t="s">
        <v>22490</v>
      </c>
      <c r="E3835" t="b">
        <v>0</v>
      </c>
      <c r="F3835" t="s">
        <v>11622</v>
      </c>
      <c r="L3835">
        <v>18</v>
      </c>
      <c r="M3835">
        <v>27</v>
      </c>
      <c r="N3835">
        <v>13</v>
      </c>
    </row>
    <row r="3836" spans="1:15">
      <c r="A3836" t="s">
        <v>22491</v>
      </c>
      <c r="B3836" t="s">
        <v>6455</v>
      </c>
      <c r="C3836" t="s">
        <v>17096</v>
      </c>
      <c r="D3836" t="s">
        <v>22492</v>
      </c>
      <c r="E3836" t="b">
        <v>0</v>
      </c>
      <c r="F3836" t="s">
        <v>11622</v>
      </c>
      <c r="L3836">
        <v>0</v>
      </c>
      <c r="M3836">
        <v>2</v>
      </c>
      <c r="N3836">
        <v>0</v>
      </c>
    </row>
    <row r="3837" spans="1:15">
      <c r="A3837" t="s">
        <v>22493</v>
      </c>
      <c r="B3837" t="s">
        <v>6455</v>
      </c>
      <c r="C3837" t="s">
        <v>22491</v>
      </c>
      <c r="D3837" t="s">
        <v>22494</v>
      </c>
      <c r="E3837" t="b">
        <v>0</v>
      </c>
      <c r="F3837" t="s">
        <v>11624</v>
      </c>
      <c r="G3837">
        <v>6.2499900000000004</v>
      </c>
      <c r="H3837">
        <v>-74.166600000000003</v>
      </c>
      <c r="I3837" t="s">
        <v>22495</v>
      </c>
      <c r="L3837">
        <v>0</v>
      </c>
      <c r="M3837">
        <v>0</v>
      </c>
      <c r="N3837">
        <v>0</v>
      </c>
      <c r="O3837" t="s">
        <v>11898</v>
      </c>
    </row>
    <row r="3838" spans="1:15">
      <c r="A3838" t="s">
        <v>22496</v>
      </c>
      <c r="B3838" t="s">
        <v>331</v>
      </c>
      <c r="C3838" t="s">
        <v>22497</v>
      </c>
      <c r="D3838" t="s">
        <v>22498</v>
      </c>
      <c r="E3838" t="b">
        <v>0</v>
      </c>
      <c r="F3838" t="s">
        <v>11610</v>
      </c>
      <c r="L3838">
        <v>0</v>
      </c>
      <c r="M3838">
        <v>0</v>
      </c>
      <c r="N3838">
        <v>0</v>
      </c>
    </row>
    <row r="3839" spans="1:15">
      <c r="A3839" t="s">
        <v>22499</v>
      </c>
      <c r="B3839" t="s">
        <v>4342</v>
      </c>
      <c r="C3839" t="s">
        <v>19678</v>
      </c>
      <c r="D3839" t="s">
        <v>22500</v>
      </c>
      <c r="E3839" t="b">
        <v>0</v>
      </c>
      <c r="F3839" t="s">
        <v>11610</v>
      </c>
      <c r="L3839">
        <v>0</v>
      </c>
      <c r="M3839">
        <v>0</v>
      </c>
      <c r="N3839">
        <v>0</v>
      </c>
    </row>
    <row r="3840" spans="1:15">
      <c r="A3840" t="s">
        <v>22501</v>
      </c>
      <c r="B3840" t="s">
        <v>12875</v>
      </c>
      <c r="C3840" t="s">
        <v>22502</v>
      </c>
      <c r="D3840" t="s">
        <v>22503</v>
      </c>
      <c r="E3840" t="b">
        <v>0</v>
      </c>
      <c r="F3840" t="s">
        <v>11624</v>
      </c>
      <c r="G3840">
        <v>33.9452</v>
      </c>
      <c r="H3840">
        <v>-97.130099999999999</v>
      </c>
      <c r="I3840" t="s">
        <v>22504</v>
      </c>
      <c r="L3840">
        <v>0</v>
      </c>
      <c r="M3840">
        <v>0</v>
      </c>
      <c r="N3840">
        <v>0</v>
      </c>
      <c r="O3840" t="s">
        <v>11944</v>
      </c>
    </row>
    <row r="3841" spans="1:15">
      <c r="A3841" t="s">
        <v>22505</v>
      </c>
      <c r="B3841" t="s">
        <v>5911</v>
      </c>
      <c r="C3841" t="s">
        <v>22506</v>
      </c>
      <c r="D3841" t="s">
        <v>22507</v>
      </c>
      <c r="E3841" t="b">
        <v>0</v>
      </c>
      <c r="F3841" t="s">
        <v>11624</v>
      </c>
      <c r="G3841">
        <v>15.607799999999999</v>
      </c>
      <c r="H3841">
        <v>-91.286900000000003</v>
      </c>
      <c r="I3841" t="s">
        <v>22508</v>
      </c>
      <c r="L3841">
        <v>0</v>
      </c>
      <c r="M3841">
        <v>0</v>
      </c>
      <c r="N3841">
        <v>0</v>
      </c>
      <c r="O3841" t="s">
        <v>22509</v>
      </c>
    </row>
    <row r="3842" spans="1:15">
      <c r="A3842" t="s">
        <v>22510</v>
      </c>
      <c r="B3842" t="s">
        <v>11879</v>
      </c>
      <c r="C3842" t="s">
        <v>22511</v>
      </c>
      <c r="D3842" t="s">
        <v>22512</v>
      </c>
      <c r="E3842" t="b">
        <v>0</v>
      </c>
      <c r="F3842" t="s">
        <v>11624</v>
      </c>
      <c r="G3842">
        <v>21.2943</v>
      </c>
      <c r="H3842">
        <v>-100.524</v>
      </c>
      <c r="I3842" t="s">
        <v>22513</v>
      </c>
      <c r="L3842">
        <v>0</v>
      </c>
      <c r="M3842">
        <v>0</v>
      </c>
      <c r="N3842">
        <v>0</v>
      </c>
      <c r="O3842" t="s">
        <v>11883</v>
      </c>
    </row>
    <row r="3843" spans="1:15">
      <c r="A3843" t="s">
        <v>22514</v>
      </c>
      <c r="B3843" t="s">
        <v>11879</v>
      </c>
      <c r="C3843" t="s">
        <v>22515</v>
      </c>
      <c r="D3843" t="s">
        <v>22516</v>
      </c>
      <c r="E3843" t="b">
        <v>0</v>
      </c>
      <c r="F3843" t="s">
        <v>11624</v>
      </c>
      <c r="G3843">
        <v>17.162800000000001</v>
      </c>
      <c r="H3843">
        <v>-97.854699999999994</v>
      </c>
      <c r="I3843" t="s">
        <v>22517</v>
      </c>
      <c r="L3843">
        <v>0</v>
      </c>
      <c r="M3843">
        <v>0</v>
      </c>
      <c r="N3843">
        <v>1</v>
      </c>
      <c r="O3843" t="s">
        <v>11883</v>
      </c>
    </row>
    <row r="3844" spans="1:15">
      <c r="A3844" t="s">
        <v>22518</v>
      </c>
      <c r="B3844" t="s">
        <v>11879</v>
      </c>
      <c r="C3844" t="s">
        <v>14920</v>
      </c>
      <c r="D3844" t="s">
        <v>22519</v>
      </c>
      <c r="E3844" t="b">
        <v>0</v>
      </c>
      <c r="F3844" t="s">
        <v>11624</v>
      </c>
      <c r="G3844">
        <v>16.8459</v>
      </c>
      <c r="H3844">
        <v>-96.548599999999993</v>
      </c>
      <c r="I3844" t="s">
        <v>22520</v>
      </c>
      <c r="L3844">
        <v>0</v>
      </c>
      <c r="M3844">
        <v>0</v>
      </c>
      <c r="N3844">
        <v>0</v>
      </c>
      <c r="O3844" t="s">
        <v>11883</v>
      </c>
    </row>
    <row r="3845" spans="1:15">
      <c r="A3845" t="s">
        <v>906</v>
      </c>
      <c r="B3845" t="s">
        <v>6742</v>
      </c>
      <c r="C3845" t="s">
        <v>22521</v>
      </c>
      <c r="D3845" t="s">
        <v>22522</v>
      </c>
      <c r="E3845" t="b">
        <v>0</v>
      </c>
      <c r="F3845" t="s">
        <v>11624</v>
      </c>
      <c r="G3845">
        <v>-1.0438700000000001</v>
      </c>
      <c r="H3845">
        <v>29.912199999999999</v>
      </c>
      <c r="I3845" t="s">
        <v>907</v>
      </c>
      <c r="L3845">
        <v>0</v>
      </c>
      <c r="M3845">
        <v>0</v>
      </c>
      <c r="N3845">
        <v>0</v>
      </c>
      <c r="O3845" t="s">
        <v>22523</v>
      </c>
    </row>
    <row r="3846" spans="1:15">
      <c r="A3846" t="s">
        <v>22524</v>
      </c>
      <c r="B3846" t="s">
        <v>11879</v>
      </c>
      <c r="C3846" t="s">
        <v>20828</v>
      </c>
      <c r="D3846" t="s">
        <v>22525</v>
      </c>
      <c r="E3846" t="b">
        <v>0</v>
      </c>
      <c r="F3846" t="s">
        <v>11624</v>
      </c>
      <c r="G3846">
        <v>18.630299999999998</v>
      </c>
      <c r="H3846">
        <v>-98.104600000000005</v>
      </c>
      <c r="I3846" t="s">
        <v>22526</v>
      </c>
      <c r="L3846">
        <v>0</v>
      </c>
      <c r="M3846">
        <v>0</v>
      </c>
      <c r="N3846">
        <v>0</v>
      </c>
      <c r="O3846" t="s">
        <v>11883</v>
      </c>
    </row>
    <row r="3847" spans="1:15">
      <c r="A3847" t="s">
        <v>22527</v>
      </c>
      <c r="B3847" t="s">
        <v>12751</v>
      </c>
      <c r="C3847" t="s">
        <v>22528</v>
      </c>
      <c r="D3847" t="s">
        <v>22529</v>
      </c>
      <c r="E3847" t="b">
        <v>0</v>
      </c>
      <c r="F3847" t="s">
        <v>11610</v>
      </c>
      <c r="L3847">
        <v>0</v>
      </c>
      <c r="M3847">
        <v>0</v>
      </c>
      <c r="N3847">
        <v>0</v>
      </c>
    </row>
    <row r="3848" spans="1:15">
      <c r="A3848" t="s">
        <v>22530</v>
      </c>
      <c r="B3848" t="s">
        <v>5126</v>
      </c>
      <c r="C3848" t="s">
        <v>22531</v>
      </c>
      <c r="D3848" t="s">
        <v>22532</v>
      </c>
      <c r="E3848" t="b">
        <v>0</v>
      </c>
      <c r="F3848" t="s">
        <v>11610</v>
      </c>
      <c r="L3848">
        <v>0</v>
      </c>
      <c r="M3848">
        <v>0</v>
      </c>
      <c r="N3848">
        <v>0</v>
      </c>
    </row>
    <row r="3849" spans="1:15">
      <c r="A3849" t="s">
        <v>22533</v>
      </c>
      <c r="B3849" t="s">
        <v>6742</v>
      </c>
      <c r="C3849" t="s">
        <v>4066</v>
      </c>
      <c r="D3849" t="s">
        <v>22534</v>
      </c>
      <c r="E3849" t="b">
        <v>0</v>
      </c>
      <c r="F3849" t="s">
        <v>11610</v>
      </c>
      <c r="L3849">
        <v>0</v>
      </c>
      <c r="M3849">
        <v>0</v>
      </c>
      <c r="N3849">
        <v>0</v>
      </c>
    </row>
    <row r="3850" spans="1:15">
      <c r="A3850" t="s">
        <v>22535</v>
      </c>
      <c r="B3850" t="s">
        <v>6742</v>
      </c>
      <c r="C3850" t="s">
        <v>4025</v>
      </c>
      <c r="D3850" t="s">
        <v>22536</v>
      </c>
      <c r="E3850" t="b">
        <v>0</v>
      </c>
      <c r="F3850" t="s">
        <v>11610</v>
      </c>
      <c r="L3850">
        <v>0</v>
      </c>
      <c r="M3850">
        <v>0</v>
      </c>
      <c r="N3850">
        <v>0</v>
      </c>
    </row>
    <row r="3851" spans="1:15">
      <c r="A3851" t="s">
        <v>22537</v>
      </c>
      <c r="B3851" t="s">
        <v>4342</v>
      </c>
      <c r="C3851" t="s">
        <v>22538</v>
      </c>
      <c r="D3851" t="s">
        <v>22539</v>
      </c>
      <c r="E3851" t="b">
        <v>0</v>
      </c>
      <c r="F3851" t="s">
        <v>11610</v>
      </c>
      <c r="L3851">
        <v>0</v>
      </c>
      <c r="M3851">
        <v>0</v>
      </c>
      <c r="N3851">
        <v>0</v>
      </c>
    </row>
    <row r="3852" spans="1:15">
      <c r="A3852" t="s">
        <v>22540</v>
      </c>
      <c r="B3852" t="s">
        <v>4342</v>
      </c>
      <c r="C3852" t="s">
        <v>22538</v>
      </c>
      <c r="D3852" t="s">
        <v>22541</v>
      </c>
      <c r="E3852" t="b">
        <v>0</v>
      </c>
      <c r="F3852" t="s">
        <v>11610</v>
      </c>
      <c r="L3852">
        <v>0</v>
      </c>
      <c r="M3852">
        <v>0</v>
      </c>
      <c r="N3852">
        <v>2</v>
      </c>
    </row>
    <row r="3853" spans="1:15">
      <c r="A3853" t="s">
        <v>22542</v>
      </c>
      <c r="B3853" t="s">
        <v>11607</v>
      </c>
      <c r="C3853" t="s">
        <v>22412</v>
      </c>
      <c r="D3853" t="s">
        <v>22543</v>
      </c>
      <c r="E3853" t="b">
        <v>0</v>
      </c>
      <c r="F3853" t="s">
        <v>11610</v>
      </c>
      <c r="L3853">
        <v>0</v>
      </c>
      <c r="M3853">
        <v>0</v>
      </c>
      <c r="N3853">
        <v>0</v>
      </c>
    </row>
    <row r="3854" spans="1:15">
      <c r="A3854" t="s">
        <v>22544</v>
      </c>
      <c r="B3854" t="s">
        <v>13450</v>
      </c>
      <c r="C3854" t="s">
        <v>22545</v>
      </c>
      <c r="D3854" t="s">
        <v>22546</v>
      </c>
      <c r="E3854" t="b">
        <v>0</v>
      </c>
      <c r="F3854" t="s">
        <v>11610</v>
      </c>
      <c r="L3854">
        <v>0</v>
      </c>
      <c r="M3854">
        <v>0</v>
      </c>
      <c r="N3854">
        <v>0</v>
      </c>
    </row>
    <row r="3855" spans="1:15">
      <c r="A3855" t="s">
        <v>22547</v>
      </c>
      <c r="B3855" t="s">
        <v>11981</v>
      </c>
      <c r="C3855" t="s">
        <v>22548</v>
      </c>
      <c r="D3855" t="s">
        <v>22549</v>
      </c>
      <c r="E3855" t="b">
        <v>0</v>
      </c>
      <c r="F3855" t="s">
        <v>11624</v>
      </c>
      <c r="G3855">
        <v>-32.780999999999999</v>
      </c>
      <c r="H3855">
        <v>-70.669799999999995</v>
      </c>
      <c r="I3855" t="s">
        <v>22550</v>
      </c>
      <c r="L3855">
        <v>0</v>
      </c>
      <c r="M3855">
        <v>0</v>
      </c>
      <c r="N3855">
        <v>0</v>
      </c>
      <c r="O3855" t="s">
        <v>12895</v>
      </c>
    </row>
    <row r="3856" spans="1:15">
      <c r="A3856" t="s">
        <v>22551</v>
      </c>
      <c r="B3856" t="s">
        <v>11637</v>
      </c>
      <c r="C3856" t="s">
        <v>17411</v>
      </c>
      <c r="D3856" t="s">
        <v>22552</v>
      </c>
      <c r="E3856" t="b">
        <v>0</v>
      </c>
      <c r="F3856" t="s">
        <v>11624</v>
      </c>
      <c r="G3856">
        <v>35.249400000000001</v>
      </c>
      <c r="H3856">
        <v>73.334400000000002</v>
      </c>
      <c r="I3856" t="s">
        <v>22553</v>
      </c>
      <c r="L3856">
        <v>0</v>
      </c>
      <c r="M3856">
        <v>0</v>
      </c>
      <c r="N3856">
        <v>0</v>
      </c>
      <c r="O3856" t="s">
        <v>12172</v>
      </c>
    </row>
    <row r="3857" spans="1:15">
      <c r="A3857" t="s">
        <v>22554</v>
      </c>
      <c r="B3857" t="s">
        <v>11637</v>
      </c>
      <c r="C3857" t="s">
        <v>8013</v>
      </c>
      <c r="D3857" t="s">
        <v>22555</v>
      </c>
      <c r="E3857" t="b">
        <v>0</v>
      </c>
      <c r="F3857" t="s">
        <v>11610</v>
      </c>
      <c r="L3857">
        <v>0</v>
      </c>
      <c r="M3857">
        <v>0</v>
      </c>
      <c r="N3857">
        <v>5</v>
      </c>
    </row>
    <row r="3858" spans="1:15">
      <c r="A3858" t="s">
        <v>22556</v>
      </c>
      <c r="B3858" t="s">
        <v>11637</v>
      </c>
      <c r="C3858" t="s">
        <v>22554</v>
      </c>
      <c r="D3858" t="s">
        <v>22557</v>
      </c>
      <c r="E3858" t="b">
        <v>0</v>
      </c>
      <c r="F3858" t="s">
        <v>11610</v>
      </c>
      <c r="L3858">
        <v>0</v>
      </c>
      <c r="M3858">
        <v>0</v>
      </c>
      <c r="N3858">
        <v>0</v>
      </c>
    </row>
    <row r="3859" spans="1:15">
      <c r="A3859" t="s">
        <v>22558</v>
      </c>
      <c r="B3859" t="s">
        <v>12438</v>
      </c>
      <c r="C3859" t="s">
        <v>22559</v>
      </c>
      <c r="D3859" t="s">
        <v>22560</v>
      </c>
      <c r="E3859" t="b">
        <v>0</v>
      </c>
      <c r="F3859" t="s">
        <v>11610</v>
      </c>
      <c r="L3859">
        <v>0</v>
      </c>
      <c r="M3859">
        <v>0</v>
      </c>
      <c r="N3859">
        <v>0</v>
      </c>
    </row>
    <row r="3860" spans="1:15">
      <c r="A3860" t="s">
        <v>22561</v>
      </c>
      <c r="B3860" t="s">
        <v>12438</v>
      </c>
      <c r="C3860" t="s">
        <v>22562</v>
      </c>
      <c r="D3860" t="s">
        <v>22563</v>
      </c>
      <c r="E3860" t="b">
        <v>0</v>
      </c>
      <c r="F3860" t="s">
        <v>11610</v>
      </c>
      <c r="L3860">
        <v>0</v>
      </c>
      <c r="M3860">
        <v>0</v>
      </c>
      <c r="N3860">
        <v>0</v>
      </c>
    </row>
    <row r="3861" spans="1:15">
      <c r="A3861" t="s">
        <v>22564</v>
      </c>
      <c r="B3861" t="s">
        <v>12460</v>
      </c>
      <c r="C3861" t="s">
        <v>12461</v>
      </c>
      <c r="D3861" t="s">
        <v>22565</v>
      </c>
      <c r="E3861" t="b">
        <v>0</v>
      </c>
      <c r="F3861" t="s">
        <v>11624</v>
      </c>
      <c r="G3861">
        <v>51.989519999999999</v>
      </c>
      <c r="H3861">
        <v>-123.24458</v>
      </c>
      <c r="I3861" t="s">
        <v>22566</v>
      </c>
      <c r="L3861">
        <v>0</v>
      </c>
      <c r="M3861">
        <v>0</v>
      </c>
      <c r="N3861">
        <v>0</v>
      </c>
      <c r="O3861" t="s">
        <v>13049</v>
      </c>
    </row>
    <row r="3862" spans="1:15">
      <c r="A3862" t="s">
        <v>22567</v>
      </c>
      <c r="B3862" t="s">
        <v>9071</v>
      </c>
      <c r="C3862" t="s">
        <v>22568</v>
      </c>
      <c r="D3862" t="s">
        <v>22569</v>
      </c>
      <c r="E3862" t="b">
        <v>0</v>
      </c>
      <c r="F3862" t="s">
        <v>11610</v>
      </c>
      <c r="L3862">
        <v>0</v>
      </c>
      <c r="M3862">
        <v>0</v>
      </c>
      <c r="N3862">
        <v>0</v>
      </c>
    </row>
    <row r="3863" spans="1:15">
      <c r="A3863" t="s">
        <v>22570</v>
      </c>
      <c r="B3863" t="s">
        <v>11879</v>
      </c>
      <c r="C3863" t="s">
        <v>22571</v>
      </c>
      <c r="D3863" t="s">
        <v>22572</v>
      </c>
      <c r="E3863" t="b">
        <v>0</v>
      </c>
      <c r="F3863" t="s">
        <v>11624</v>
      </c>
      <c r="G3863">
        <v>18.060600000000001</v>
      </c>
      <c r="H3863">
        <v>-96.218299999999999</v>
      </c>
      <c r="I3863" t="s">
        <v>22573</v>
      </c>
      <c r="L3863">
        <v>0</v>
      </c>
      <c r="M3863">
        <v>0</v>
      </c>
      <c r="N3863">
        <v>0</v>
      </c>
      <c r="O3863" t="s">
        <v>11883</v>
      </c>
    </row>
    <row r="3864" spans="1:15">
      <c r="A3864" t="s">
        <v>22574</v>
      </c>
      <c r="B3864" t="s">
        <v>11627</v>
      </c>
      <c r="C3864" t="s">
        <v>11627</v>
      </c>
      <c r="D3864" t="s">
        <v>22575</v>
      </c>
      <c r="E3864" t="b">
        <v>1</v>
      </c>
      <c r="F3864" t="s">
        <v>11624</v>
      </c>
      <c r="G3864">
        <v>-23.703600000000002</v>
      </c>
      <c r="H3864">
        <v>-67.760400000000004</v>
      </c>
      <c r="I3864" t="s">
        <v>22576</v>
      </c>
      <c r="L3864">
        <v>0</v>
      </c>
      <c r="M3864">
        <v>0</v>
      </c>
      <c r="N3864">
        <v>0</v>
      </c>
      <c r="O3864" t="s">
        <v>12895</v>
      </c>
    </row>
    <row r="3865" spans="1:15">
      <c r="A3865" t="s">
        <v>22548</v>
      </c>
      <c r="B3865" t="s">
        <v>11981</v>
      </c>
      <c r="C3865" t="s">
        <v>12200</v>
      </c>
      <c r="D3865" t="s">
        <v>22577</v>
      </c>
      <c r="E3865" t="b">
        <v>0</v>
      </c>
      <c r="F3865" t="s">
        <v>11622</v>
      </c>
      <c r="L3865">
        <v>1</v>
      </c>
      <c r="M3865">
        <v>3</v>
      </c>
      <c r="N3865">
        <v>0</v>
      </c>
    </row>
    <row r="3866" spans="1:15">
      <c r="A3866" t="s">
        <v>22578</v>
      </c>
      <c r="B3866" t="s">
        <v>11637</v>
      </c>
      <c r="C3866" t="s">
        <v>22579</v>
      </c>
      <c r="D3866" t="s">
        <v>22580</v>
      </c>
      <c r="E3866" t="b">
        <v>0</v>
      </c>
      <c r="F3866" t="s">
        <v>11610</v>
      </c>
      <c r="L3866">
        <v>0</v>
      </c>
      <c r="M3866">
        <v>0</v>
      </c>
      <c r="N3866">
        <v>0</v>
      </c>
    </row>
    <row r="3867" spans="1:15">
      <c r="A3867" t="s">
        <v>22581</v>
      </c>
      <c r="B3867" t="s">
        <v>367</v>
      </c>
      <c r="C3867" t="s">
        <v>20672</v>
      </c>
      <c r="D3867" t="s">
        <v>22582</v>
      </c>
      <c r="E3867" t="b">
        <v>0</v>
      </c>
      <c r="F3867" t="s">
        <v>11610</v>
      </c>
      <c r="L3867">
        <v>0</v>
      </c>
      <c r="M3867">
        <v>0</v>
      </c>
      <c r="N3867">
        <v>0</v>
      </c>
    </row>
    <row r="3868" spans="1:15">
      <c r="A3868" t="s">
        <v>22583</v>
      </c>
      <c r="B3868" t="s">
        <v>12218</v>
      </c>
      <c r="C3868" t="s">
        <v>12219</v>
      </c>
      <c r="D3868" t="s">
        <v>22584</v>
      </c>
      <c r="E3868" t="b">
        <v>0</v>
      </c>
      <c r="F3868" t="s">
        <v>11610</v>
      </c>
      <c r="L3868">
        <v>0</v>
      </c>
      <c r="M3868">
        <v>0</v>
      </c>
      <c r="N3868">
        <v>0</v>
      </c>
    </row>
    <row r="3869" spans="1:15">
      <c r="A3869" t="s">
        <v>22585</v>
      </c>
      <c r="B3869" t="s">
        <v>15027</v>
      </c>
      <c r="C3869" t="s">
        <v>22479</v>
      </c>
      <c r="D3869" t="s">
        <v>22586</v>
      </c>
      <c r="E3869" t="b">
        <v>0</v>
      </c>
      <c r="F3869" t="s">
        <v>11624</v>
      </c>
      <c r="G3869">
        <v>16.654299999999999</v>
      </c>
      <c r="H3869">
        <v>-94.691299999999998</v>
      </c>
      <c r="I3869" t="s">
        <v>22587</v>
      </c>
      <c r="L3869">
        <v>0</v>
      </c>
      <c r="M3869">
        <v>0</v>
      </c>
      <c r="N3869">
        <v>0</v>
      </c>
      <c r="O3869" t="s">
        <v>11883</v>
      </c>
    </row>
    <row r="3870" spans="1:15">
      <c r="A3870" t="s">
        <v>22588</v>
      </c>
      <c r="D3870" t="s">
        <v>22589</v>
      </c>
      <c r="E3870" t="b">
        <v>0</v>
      </c>
      <c r="F3870" t="s">
        <v>11624</v>
      </c>
      <c r="G3870">
        <v>41</v>
      </c>
      <c r="H3870">
        <v>-123</v>
      </c>
      <c r="I3870" t="s">
        <v>22590</v>
      </c>
      <c r="L3870">
        <v>0</v>
      </c>
      <c r="M3870">
        <v>0</v>
      </c>
      <c r="N3870">
        <v>0</v>
      </c>
      <c r="O3870" t="s">
        <v>11944</v>
      </c>
    </row>
    <row r="3871" spans="1:15">
      <c r="A3871" t="s">
        <v>22591</v>
      </c>
      <c r="B3871" t="s">
        <v>141</v>
      </c>
      <c r="C3871" t="s">
        <v>20941</v>
      </c>
      <c r="D3871" t="s">
        <v>22592</v>
      </c>
      <c r="E3871" t="b">
        <v>0</v>
      </c>
      <c r="F3871" t="s">
        <v>11624</v>
      </c>
      <c r="G3871">
        <v>-1.36727</v>
      </c>
      <c r="H3871">
        <v>-78.852099999999993</v>
      </c>
      <c r="I3871" t="s">
        <v>22593</v>
      </c>
      <c r="L3871">
        <v>0</v>
      </c>
      <c r="M3871">
        <v>0</v>
      </c>
      <c r="N3871">
        <v>0</v>
      </c>
      <c r="O3871" t="s">
        <v>14946</v>
      </c>
    </row>
    <row r="3872" spans="1:15">
      <c r="A3872" t="s">
        <v>22594</v>
      </c>
      <c r="B3872" t="s">
        <v>6455</v>
      </c>
      <c r="C3872" t="s">
        <v>14497</v>
      </c>
      <c r="D3872" t="s">
        <v>22595</v>
      </c>
      <c r="E3872" t="b">
        <v>0</v>
      </c>
      <c r="F3872" t="s">
        <v>11624</v>
      </c>
      <c r="G3872">
        <v>10.190200000000001</v>
      </c>
      <c r="H3872">
        <v>-74.255899999999997</v>
      </c>
      <c r="I3872" t="s">
        <v>22596</v>
      </c>
      <c r="L3872">
        <v>0</v>
      </c>
      <c r="M3872">
        <v>0</v>
      </c>
      <c r="N3872">
        <v>0</v>
      </c>
      <c r="O3872" t="s">
        <v>11898</v>
      </c>
    </row>
    <row r="3873" spans="1:15">
      <c r="A3873" t="s">
        <v>22597</v>
      </c>
      <c r="B3873" t="s">
        <v>22598</v>
      </c>
      <c r="C3873" t="s">
        <v>22598</v>
      </c>
      <c r="D3873" t="s">
        <v>22599</v>
      </c>
      <c r="E3873" t="b">
        <v>0</v>
      </c>
      <c r="F3873" t="s">
        <v>11624</v>
      </c>
      <c r="I3873" t="s">
        <v>22600</v>
      </c>
      <c r="L3873">
        <v>0</v>
      </c>
      <c r="M3873">
        <v>0</v>
      </c>
      <c r="N3873">
        <v>0</v>
      </c>
      <c r="O3873" t="s">
        <v>11944</v>
      </c>
    </row>
    <row r="3874" spans="1:15">
      <c r="A3874" t="s">
        <v>22598</v>
      </c>
      <c r="D3874" t="s">
        <v>22601</v>
      </c>
      <c r="E3874" t="b">
        <v>0</v>
      </c>
      <c r="F3874" t="s">
        <v>11622</v>
      </c>
      <c r="G3874">
        <v>47.631999999999998</v>
      </c>
      <c r="H3874">
        <v>-123.07899999999999</v>
      </c>
      <c r="I3874" t="s">
        <v>22602</v>
      </c>
      <c r="L3874">
        <v>0</v>
      </c>
      <c r="M3874">
        <v>2</v>
      </c>
      <c r="N3874">
        <v>2</v>
      </c>
      <c r="O3874" t="s">
        <v>11944</v>
      </c>
    </row>
    <row r="3875" spans="1:15">
      <c r="A3875" t="s">
        <v>22603</v>
      </c>
      <c r="B3875" t="s">
        <v>6742</v>
      </c>
      <c r="C3875" t="s">
        <v>22604</v>
      </c>
      <c r="D3875" t="s">
        <v>22605</v>
      </c>
      <c r="E3875" t="b">
        <v>0</v>
      </c>
      <c r="F3875" t="s">
        <v>11624</v>
      </c>
      <c r="G3875">
        <v>1.1117870000000001</v>
      </c>
      <c r="H3875">
        <v>44.026991000000002</v>
      </c>
      <c r="L3875">
        <v>0</v>
      </c>
      <c r="M3875">
        <v>0</v>
      </c>
      <c r="N3875">
        <v>0</v>
      </c>
      <c r="O3875" t="s">
        <v>19538</v>
      </c>
    </row>
    <row r="3876" spans="1:15">
      <c r="A3876" t="s">
        <v>22606</v>
      </c>
      <c r="B3876" t="s">
        <v>13450</v>
      </c>
      <c r="C3876" t="s">
        <v>13451</v>
      </c>
      <c r="D3876" t="s">
        <v>22607</v>
      </c>
      <c r="E3876" t="b">
        <v>0</v>
      </c>
      <c r="F3876" t="s">
        <v>11624</v>
      </c>
      <c r="G3876">
        <v>-0.53224000000000005</v>
      </c>
      <c r="H3876">
        <v>166.92599999999999</v>
      </c>
      <c r="I3876" t="s">
        <v>22608</v>
      </c>
      <c r="L3876">
        <v>0</v>
      </c>
      <c r="M3876">
        <v>0</v>
      </c>
      <c r="N3876">
        <v>0</v>
      </c>
      <c r="O3876" t="s">
        <v>11905</v>
      </c>
    </row>
    <row r="3877" spans="1:15">
      <c r="A3877" t="s">
        <v>22609</v>
      </c>
      <c r="B3877" t="s">
        <v>22610</v>
      </c>
      <c r="C3877" t="s">
        <v>22611</v>
      </c>
      <c r="D3877" t="s">
        <v>22612</v>
      </c>
      <c r="E3877" t="b">
        <v>0</v>
      </c>
      <c r="F3877" t="s">
        <v>11624</v>
      </c>
      <c r="G3877">
        <v>55</v>
      </c>
      <c r="H3877">
        <v>-125</v>
      </c>
      <c r="I3877" t="s">
        <v>22613</v>
      </c>
      <c r="L3877">
        <v>0</v>
      </c>
      <c r="M3877">
        <v>0</v>
      </c>
      <c r="N3877">
        <v>0</v>
      </c>
      <c r="O3877" t="s">
        <v>14875</v>
      </c>
    </row>
    <row r="3878" spans="1:15">
      <c r="A3878" t="s">
        <v>22614</v>
      </c>
      <c r="B3878" t="s">
        <v>11981</v>
      </c>
      <c r="C3878" t="s">
        <v>22615</v>
      </c>
      <c r="D3878" t="s">
        <v>22616</v>
      </c>
      <c r="E3878" t="b">
        <v>0</v>
      </c>
      <c r="F3878" t="s">
        <v>11624</v>
      </c>
      <c r="G3878">
        <v>30.906300000000002</v>
      </c>
      <c r="H3878">
        <v>121.569</v>
      </c>
      <c r="I3878" t="s">
        <v>22617</v>
      </c>
      <c r="L3878">
        <v>0</v>
      </c>
      <c r="M3878">
        <v>0</v>
      </c>
      <c r="N3878">
        <v>1</v>
      </c>
      <c r="O3878" t="s">
        <v>22618</v>
      </c>
    </row>
    <row r="3879" spans="1:15">
      <c r="A3879" t="s">
        <v>22619</v>
      </c>
      <c r="B3879" t="s">
        <v>22610</v>
      </c>
      <c r="C3879" t="s">
        <v>22611</v>
      </c>
      <c r="D3879" t="s">
        <v>22620</v>
      </c>
      <c r="E3879" t="b">
        <v>0</v>
      </c>
      <c r="F3879" t="s">
        <v>11624</v>
      </c>
      <c r="G3879">
        <v>45.172899999999998</v>
      </c>
      <c r="H3879">
        <v>-119.166</v>
      </c>
      <c r="I3879" t="s">
        <v>22621</v>
      </c>
      <c r="L3879">
        <v>0</v>
      </c>
      <c r="M3879">
        <v>0</v>
      </c>
      <c r="N3879">
        <v>2</v>
      </c>
      <c r="O3879" t="s">
        <v>11944</v>
      </c>
    </row>
    <row r="3880" spans="1:15">
      <c r="A3880" t="s">
        <v>22622</v>
      </c>
      <c r="B3880" t="s">
        <v>5126</v>
      </c>
      <c r="C3880" t="s">
        <v>22531</v>
      </c>
      <c r="D3880" t="s">
        <v>22623</v>
      </c>
      <c r="E3880" t="b">
        <v>0</v>
      </c>
      <c r="F3880" t="s">
        <v>11610</v>
      </c>
      <c r="L3880">
        <v>0</v>
      </c>
      <c r="M3880">
        <v>0</v>
      </c>
      <c r="N3880">
        <v>0</v>
      </c>
    </row>
    <row r="3881" spans="1:15">
      <c r="A3881" t="s">
        <v>22624</v>
      </c>
      <c r="B3881" t="s">
        <v>11637</v>
      </c>
      <c r="C3881" t="s">
        <v>12509</v>
      </c>
      <c r="D3881" t="s">
        <v>22625</v>
      </c>
      <c r="E3881" t="b">
        <v>0</v>
      </c>
      <c r="F3881" t="s">
        <v>11610</v>
      </c>
      <c r="L3881">
        <v>0</v>
      </c>
      <c r="M3881">
        <v>0</v>
      </c>
      <c r="N3881">
        <v>0</v>
      </c>
    </row>
    <row r="3882" spans="1:15">
      <c r="A3882" t="s">
        <v>22626</v>
      </c>
      <c r="B3882" t="s">
        <v>11637</v>
      </c>
      <c r="C3882" t="s">
        <v>22627</v>
      </c>
      <c r="D3882" t="s">
        <v>22628</v>
      </c>
      <c r="E3882" t="b">
        <v>0</v>
      </c>
      <c r="F3882" t="s">
        <v>11624</v>
      </c>
      <c r="G3882">
        <v>32.555</v>
      </c>
      <c r="H3882">
        <v>76.960999999999999</v>
      </c>
      <c r="I3882" t="s">
        <v>22629</v>
      </c>
      <c r="L3882">
        <v>0</v>
      </c>
      <c r="M3882">
        <v>0</v>
      </c>
      <c r="N3882">
        <v>0</v>
      </c>
      <c r="O3882" t="s">
        <v>11630</v>
      </c>
    </row>
    <row r="3883" spans="1:15">
      <c r="A3883" t="s">
        <v>17060</v>
      </c>
      <c r="B3883" t="s">
        <v>12250</v>
      </c>
      <c r="C3883" t="s">
        <v>2130</v>
      </c>
      <c r="D3883" t="s">
        <v>22630</v>
      </c>
      <c r="E3883" t="b">
        <v>0</v>
      </c>
      <c r="F3883" t="s">
        <v>11624</v>
      </c>
      <c r="G3883">
        <v>48.759300000000003</v>
      </c>
      <c r="H3883">
        <v>117.786</v>
      </c>
      <c r="I3883" t="s">
        <v>22631</v>
      </c>
      <c r="L3883">
        <v>0</v>
      </c>
      <c r="M3883">
        <v>0</v>
      </c>
      <c r="N3883">
        <v>1</v>
      </c>
      <c r="O3883" t="s">
        <v>22632</v>
      </c>
    </row>
    <row r="3884" spans="1:15">
      <c r="A3884" t="s">
        <v>22633</v>
      </c>
      <c r="B3884" t="s">
        <v>11644</v>
      </c>
      <c r="C3884" t="s">
        <v>22634</v>
      </c>
      <c r="D3884" t="s">
        <v>22635</v>
      </c>
      <c r="E3884" t="b">
        <v>0</v>
      </c>
      <c r="F3884" t="s">
        <v>11610</v>
      </c>
      <c r="L3884">
        <v>0</v>
      </c>
      <c r="M3884">
        <v>0</v>
      </c>
      <c r="N3884">
        <v>0</v>
      </c>
    </row>
    <row r="3885" spans="1:15">
      <c r="A3885" t="s">
        <v>22636</v>
      </c>
      <c r="B3885" t="s">
        <v>11644</v>
      </c>
      <c r="C3885" t="s">
        <v>22637</v>
      </c>
      <c r="D3885" t="s">
        <v>22638</v>
      </c>
      <c r="E3885" t="b">
        <v>0</v>
      </c>
      <c r="F3885" t="s">
        <v>11624</v>
      </c>
      <c r="G3885">
        <v>20.0776</v>
      </c>
      <c r="H3885">
        <v>94.050600000000003</v>
      </c>
      <c r="I3885" t="s">
        <v>22639</v>
      </c>
      <c r="L3885">
        <v>0</v>
      </c>
      <c r="M3885">
        <v>0</v>
      </c>
      <c r="N3885">
        <v>0</v>
      </c>
      <c r="O3885" t="s">
        <v>14059</v>
      </c>
    </row>
    <row r="3886" spans="1:15">
      <c r="A3886" t="s">
        <v>22640</v>
      </c>
      <c r="B3886" t="s">
        <v>11644</v>
      </c>
      <c r="C3886" t="s">
        <v>13896</v>
      </c>
      <c r="D3886" t="s">
        <v>22641</v>
      </c>
      <c r="E3886" t="b">
        <v>0</v>
      </c>
      <c r="F3886" t="s">
        <v>11610</v>
      </c>
      <c r="L3886">
        <v>0</v>
      </c>
      <c r="M3886">
        <v>0</v>
      </c>
      <c r="N3886">
        <v>0</v>
      </c>
    </row>
    <row r="3887" spans="1:15">
      <c r="A3887" t="s">
        <v>22642</v>
      </c>
      <c r="B3887" t="s">
        <v>11644</v>
      </c>
      <c r="C3887" t="s">
        <v>13896</v>
      </c>
      <c r="D3887" t="s">
        <v>22643</v>
      </c>
      <c r="E3887" t="b">
        <v>0</v>
      </c>
      <c r="F3887" t="s">
        <v>11610</v>
      </c>
      <c r="L3887">
        <v>0</v>
      </c>
      <c r="M3887">
        <v>0</v>
      </c>
      <c r="N3887">
        <v>0</v>
      </c>
    </row>
    <row r="3888" spans="1:15">
      <c r="A3888" t="s">
        <v>22644</v>
      </c>
      <c r="B3888" t="s">
        <v>6742</v>
      </c>
      <c r="C3888" t="s">
        <v>22645</v>
      </c>
      <c r="D3888" t="s">
        <v>22646</v>
      </c>
      <c r="E3888" t="b">
        <v>0</v>
      </c>
      <c r="F3888" t="s">
        <v>11610</v>
      </c>
      <c r="L3888">
        <v>0</v>
      </c>
      <c r="M3888">
        <v>0</v>
      </c>
      <c r="N3888">
        <v>0</v>
      </c>
    </row>
    <row r="3889" spans="1:15">
      <c r="A3889" t="s">
        <v>22647</v>
      </c>
      <c r="B3889" t="s">
        <v>12751</v>
      </c>
      <c r="C3889" t="s">
        <v>22648</v>
      </c>
      <c r="D3889" t="s">
        <v>22649</v>
      </c>
      <c r="E3889" t="b">
        <v>0</v>
      </c>
      <c r="F3889" t="s">
        <v>11610</v>
      </c>
      <c r="L3889">
        <v>0</v>
      </c>
      <c r="M3889">
        <v>0</v>
      </c>
      <c r="N3889">
        <v>0</v>
      </c>
    </row>
    <row r="3890" spans="1:15">
      <c r="A3890" t="s">
        <v>22650</v>
      </c>
      <c r="B3890" t="s">
        <v>141</v>
      </c>
      <c r="C3890" t="s">
        <v>6869</v>
      </c>
      <c r="D3890" t="s">
        <v>22651</v>
      </c>
      <c r="E3890" t="b">
        <v>0</v>
      </c>
      <c r="F3890" t="s">
        <v>11624</v>
      </c>
      <c r="G3890">
        <v>-12.85</v>
      </c>
      <c r="H3890">
        <v>-75.649000000000001</v>
      </c>
      <c r="I3890" t="s">
        <v>22652</v>
      </c>
      <c r="L3890">
        <v>0</v>
      </c>
      <c r="M3890">
        <v>0</v>
      </c>
      <c r="N3890">
        <v>0</v>
      </c>
      <c r="O3890" t="s">
        <v>11778</v>
      </c>
    </row>
    <row r="3891" spans="1:15">
      <c r="A3891" t="s">
        <v>22653</v>
      </c>
      <c r="B3891" t="s">
        <v>11879</v>
      </c>
      <c r="C3891" t="s">
        <v>22654</v>
      </c>
      <c r="D3891" t="s">
        <v>22655</v>
      </c>
      <c r="E3891" t="b">
        <v>0</v>
      </c>
      <c r="F3891" t="s">
        <v>11622</v>
      </c>
      <c r="L3891">
        <v>6</v>
      </c>
      <c r="M3891">
        <v>14</v>
      </c>
      <c r="N3891">
        <v>2</v>
      </c>
    </row>
    <row r="3892" spans="1:15">
      <c r="A3892" t="s">
        <v>22656</v>
      </c>
      <c r="B3892" t="s">
        <v>11879</v>
      </c>
      <c r="C3892" t="s">
        <v>22653</v>
      </c>
      <c r="D3892" t="s">
        <v>22657</v>
      </c>
      <c r="E3892" t="b">
        <v>0</v>
      </c>
      <c r="F3892" t="s">
        <v>11622</v>
      </c>
      <c r="L3892">
        <v>0</v>
      </c>
      <c r="M3892">
        <v>2</v>
      </c>
      <c r="N3892">
        <v>1</v>
      </c>
    </row>
    <row r="3893" spans="1:15">
      <c r="A3893" t="s">
        <v>22658</v>
      </c>
      <c r="B3893" t="s">
        <v>11879</v>
      </c>
      <c r="C3893" t="s">
        <v>22653</v>
      </c>
      <c r="D3893" t="s">
        <v>22659</v>
      </c>
      <c r="E3893" t="b">
        <v>0</v>
      </c>
      <c r="F3893" t="s">
        <v>11622</v>
      </c>
      <c r="L3893">
        <v>1</v>
      </c>
      <c r="M3893">
        <v>5</v>
      </c>
      <c r="N3893">
        <v>0</v>
      </c>
    </row>
    <row r="3894" spans="1:15">
      <c r="A3894" t="s">
        <v>22660</v>
      </c>
      <c r="B3894" t="s">
        <v>11879</v>
      </c>
      <c r="C3894" t="s">
        <v>22653</v>
      </c>
      <c r="D3894" t="s">
        <v>22661</v>
      </c>
      <c r="E3894" t="b">
        <v>0</v>
      </c>
      <c r="F3894" t="s">
        <v>11622</v>
      </c>
      <c r="L3894">
        <v>0</v>
      </c>
      <c r="M3894">
        <v>2</v>
      </c>
      <c r="N3894">
        <v>0</v>
      </c>
    </row>
    <row r="3895" spans="1:15">
      <c r="A3895" t="s">
        <v>22662</v>
      </c>
      <c r="B3895" t="s">
        <v>11879</v>
      </c>
      <c r="C3895" t="s">
        <v>22653</v>
      </c>
      <c r="D3895" t="s">
        <v>22663</v>
      </c>
      <c r="E3895" t="b">
        <v>0</v>
      </c>
      <c r="F3895" t="s">
        <v>11622</v>
      </c>
      <c r="L3895">
        <v>0</v>
      </c>
      <c r="M3895">
        <v>2</v>
      </c>
      <c r="N3895">
        <v>1</v>
      </c>
    </row>
    <row r="3896" spans="1:15">
      <c r="A3896" t="s">
        <v>22664</v>
      </c>
      <c r="B3896" t="s">
        <v>11879</v>
      </c>
      <c r="C3896" t="s">
        <v>22653</v>
      </c>
      <c r="D3896" t="s">
        <v>22665</v>
      </c>
      <c r="E3896" t="b">
        <v>0</v>
      </c>
      <c r="F3896" t="s">
        <v>11622</v>
      </c>
      <c r="L3896">
        <v>0</v>
      </c>
      <c r="M3896">
        <v>3</v>
      </c>
      <c r="N3896">
        <v>0</v>
      </c>
    </row>
    <row r="3897" spans="1:15">
      <c r="A3897" t="s">
        <v>22610</v>
      </c>
      <c r="D3897" t="s">
        <v>22666</v>
      </c>
      <c r="E3897" t="b">
        <v>0</v>
      </c>
      <c r="F3897" t="s">
        <v>11622</v>
      </c>
      <c r="L3897">
        <v>1</v>
      </c>
      <c r="M3897">
        <v>4</v>
      </c>
      <c r="N3897">
        <v>4</v>
      </c>
    </row>
    <row r="3898" spans="1:15">
      <c r="A3898" t="s">
        <v>22667</v>
      </c>
      <c r="B3898" t="s">
        <v>13450</v>
      </c>
      <c r="C3898" t="s">
        <v>13450</v>
      </c>
      <c r="D3898" t="s">
        <v>22668</v>
      </c>
      <c r="E3898" t="b">
        <v>0</v>
      </c>
      <c r="F3898" t="s">
        <v>11622</v>
      </c>
      <c r="L3898">
        <v>0</v>
      </c>
      <c r="M3898">
        <v>1</v>
      </c>
      <c r="N3898">
        <v>0</v>
      </c>
    </row>
    <row r="3899" spans="1:15">
      <c r="A3899" t="s">
        <v>22627</v>
      </c>
      <c r="B3899" t="s">
        <v>11637</v>
      </c>
      <c r="C3899" t="s">
        <v>22669</v>
      </c>
      <c r="D3899" t="s">
        <v>22670</v>
      </c>
      <c r="E3899" t="b">
        <v>0</v>
      </c>
      <c r="F3899" t="s">
        <v>11622</v>
      </c>
      <c r="L3899">
        <v>0</v>
      </c>
      <c r="M3899">
        <v>2</v>
      </c>
      <c r="N3899">
        <v>0</v>
      </c>
    </row>
    <row r="3900" spans="1:15">
      <c r="A3900" t="s">
        <v>22671</v>
      </c>
      <c r="B3900" t="s">
        <v>11627</v>
      </c>
      <c r="C3900" t="s">
        <v>11627</v>
      </c>
      <c r="D3900" t="s">
        <v>22672</v>
      </c>
      <c r="E3900" t="b">
        <v>1</v>
      </c>
      <c r="F3900" t="s">
        <v>11624</v>
      </c>
      <c r="G3900">
        <v>3.0833200000000001</v>
      </c>
      <c r="H3900">
        <v>-71.166700000000006</v>
      </c>
      <c r="I3900" t="s">
        <v>22673</v>
      </c>
      <c r="L3900">
        <v>0</v>
      </c>
      <c r="M3900">
        <v>0</v>
      </c>
      <c r="N3900">
        <v>0</v>
      </c>
      <c r="O3900" t="s">
        <v>11898</v>
      </c>
    </row>
    <row r="3901" spans="1:15">
      <c r="A3901" t="s">
        <v>21707</v>
      </c>
      <c r="B3901" t="s">
        <v>12979</v>
      </c>
      <c r="C3901" t="s">
        <v>21710</v>
      </c>
      <c r="D3901" t="s">
        <v>22674</v>
      </c>
      <c r="E3901" t="b">
        <v>0</v>
      </c>
      <c r="F3901" t="s">
        <v>11624</v>
      </c>
      <c r="G3901">
        <v>47.347000000000001</v>
      </c>
      <c r="H3901">
        <v>-94.273799999999994</v>
      </c>
      <c r="I3901" t="s">
        <v>22675</v>
      </c>
      <c r="L3901">
        <v>0</v>
      </c>
      <c r="M3901">
        <v>0</v>
      </c>
      <c r="N3901">
        <v>5</v>
      </c>
      <c r="O3901" t="s">
        <v>14875</v>
      </c>
    </row>
    <row r="3902" spans="1:15">
      <c r="A3902" t="s">
        <v>22676</v>
      </c>
      <c r="B3902" t="s">
        <v>6742</v>
      </c>
      <c r="C3902" t="s">
        <v>4025</v>
      </c>
      <c r="D3902" t="s">
        <v>22677</v>
      </c>
      <c r="E3902" t="b">
        <v>0</v>
      </c>
      <c r="F3902" t="s">
        <v>11610</v>
      </c>
      <c r="L3902">
        <v>0</v>
      </c>
      <c r="M3902">
        <v>0</v>
      </c>
      <c r="N3902">
        <v>0</v>
      </c>
    </row>
    <row r="3903" spans="1:15">
      <c r="A3903" t="s">
        <v>22678</v>
      </c>
      <c r="B3903" t="s">
        <v>12460</v>
      </c>
      <c r="C3903" t="s">
        <v>12461</v>
      </c>
      <c r="D3903" t="s">
        <v>22679</v>
      </c>
      <c r="E3903" t="b">
        <v>0</v>
      </c>
      <c r="F3903" t="s">
        <v>11624</v>
      </c>
      <c r="G3903">
        <v>58.363700000000001</v>
      </c>
      <c r="H3903">
        <v>-110.83199999999999</v>
      </c>
      <c r="I3903" t="s">
        <v>22680</v>
      </c>
      <c r="L3903">
        <v>0</v>
      </c>
      <c r="M3903">
        <v>0</v>
      </c>
      <c r="N3903">
        <v>0</v>
      </c>
      <c r="O3903" t="s">
        <v>13049</v>
      </c>
    </row>
    <row r="3904" spans="1:15">
      <c r="A3904" t="s">
        <v>9832</v>
      </c>
      <c r="B3904" t="s">
        <v>22681</v>
      </c>
      <c r="C3904" t="s">
        <v>22681</v>
      </c>
      <c r="D3904" t="s">
        <v>9831</v>
      </c>
      <c r="E3904" t="b">
        <v>0</v>
      </c>
      <c r="F3904" t="s">
        <v>11624</v>
      </c>
      <c r="G3904">
        <v>-18.739509999999999</v>
      </c>
      <c r="H3904">
        <v>-67.896330000000006</v>
      </c>
      <c r="I3904" t="s">
        <v>9833</v>
      </c>
      <c r="L3904">
        <v>0</v>
      </c>
      <c r="M3904">
        <v>0</v>
      </c>
      <c r="N3904">
        <v>0</v>
      </c>
      <c r="O3904" t="s">
        <v>14185</v>
      </c>
    </row>
    <row r="3905" spans="1:15">
      <c r="A3905" t="s">
        <v>22682</v>
      </c>
      <c r="D3905" t="s">
        <v>22683</v>
      </c>
      <c r="E3905" t="b">
        <v>0</v>
      </c>
      <c r="F3905" t="s">
        <v>11624</v>
      </c>
      <c r="G3905">
        <v>-17.635400000000001</v>
      </c>
      <c r="H3905">
        <v>-59.917200000000001</v>
      </c>
      <c r="I3905" t="s">
        <v>22684</v>
      </c>
      <c r="L3905">
        <v>0</v>
      </c>
      <c r="M3905">
        <v>0</v>
      </c>
      <c r="N3905">
        <v>5</v>
      </c>
      <c r="O3905" t="s">
        <v>22685</v>
      </c>
    </row>
    <row r="3906" spans="1:15">
      <c r="A3906" t="s">
        <v>22686</v>
      </c>
      <c r="B3906" t="s">
        <v>141</v>
      </c>
      <c r="C3906" t="s">
        <v>14134</v>
      </c>
      <c r="D3906" t="s">
        <v>22687</v>
      </c>
      <c r="E3906" t="b">
        <v>0</v>
      </c>
      <c r="F3906" t="s">
        <v>11624</v>
      </c>
      <c r="G3906">
        <v>-10.1831</v>
      </c>
      <c r="H3906">
        <v>-77.415199999999999</v>
      </c>
      <c r="I3906" t="s">
        <v>22688</v>
      </c>
      <c r="L3906">
        <v>0</v>
      </c>
      <c r="M3906">
        <v>0</v>
      </c>
      <c r="N3906">
        <v>0</v>
      </c>
      <c r="O3906" t="s">
        <v>11778</v>
      </c>
    </row>
    <row r="3907" spans="1:15">
      <c r="A3907" t="s">
        <v>22689</v>
      </c>
      <c r="B3907" t="s">
        <v>11879</v>
      </c>
      <c r="C3907" t="s">
        <v>21929</v>
      </c>
      <c r="D3907" t="s">
        <v>22690</v>
      </c>
      <c r="E3907" t="b">
        <v>0</v>
      </c>
      <c r="F3907" t="s">
        <v>11624</v>
      </c>
      <c r="G3907">
        <v>18.054099999999998</v>
      </c>
      <c r="H3907">
        <v>-96.665899999999993</v>
      </c>
      <c r="I3907" t="s">
        <v>22691</v>
      </c>
      <c r="L3907">
        <v>0</v>
      </c>
      <c r="M3907">
        <v>0</v>
      </c>
      <c r="N3907">
        <v>0</v>
      </c>
      <c r="O3907" t="s">
        <v>11883</v>
      </c>
    </row>
    <row r="3908" spans="1:15">
      <c r="A3908" t="s">
        <v>22692</v>
      </c>
      <c r="B3908" t="s">
        <v>11637</v>
      </c>
      <c r="C3908" t="s">
        <v>3565</v>
      </c>
      <c r="D3908" t="s">
        <v>22693</v>
      </c>
      <c r="E3908" t="b">
        <v>0</v>
      </c>
      <c r="F3908" t="s">
        <v>11610</v>
      </c>
      <c r="L3908">
        <v>0</v>
      </c>
      <c r="M3908">
        <v>0</v>
      </c>
      <c r="N3908">
        <v>0</v>
      </c>
    </row>
    <row r="3909" spans="1:15">
      <c r="A3909" t="s">
        <v>22694</v>
      </c>
      <c r="B3909" t="s">
        <v>11644</v>
      </c>
      <c r="C3909" t="s">
        <v>22695</v>
      </c>
      <c r="D3909" t="s">
        <v>22696</v>
      </c>
      <c r="E3909" t="b">
        <v>0</v>
      </c>
      <c r="F3909" t="s">
        <v>11610</v>
      </c>
      <c r="L3909">
        <v>0</v>
      </c>
      <c r="M3909">
        <v>0</v>
      </c>
      <c r="N3909">
        <v>0</v>
      </c>
    </row>
    <row r="3910" spans="1:15">
      <c r="A3910" t="s">
        <v>22697</v>
      </c>
      <c r="B3910" t="s">
        <v>11644</v>
      </c>
      <c r="C3910" t="s">
        <v>12529</v>
      </c>
      <c r="D3910" t="s">
        <v>22698</v>
      </c>
      <c r="E3910" t="b">
        <v>0</v>
      </c>
      <c r="F3910" t="s">
        <v>11624</v>
      </c>
      <c r="G3910">
        <v>25.464300000000001</v>
      </c>
      <c r="H3910">
        <v>94.407200000000003</v>
      </c>
      <c r="I3910" t="s">
        <v>22699</v>
      </c>
      <c r="L3910">
        <v>0</v>
      </c>
      <c r="M3910">
        <v>0</v>
      </c>
      <c r="N3910">
        <v>0</v>
      </c>
      <c r="O3910" t="s">
        <v>11630</v>
      </c>
    </row>
    <row r="3911" spans="1:15">
      <c r="A3911" t="s">
        <v>22700</v>
      </c>
      <c r="B3911" t="s">
        <v>12311</v>
      </c>
      <c r="C3911" t="s">
        <v>22701</v>
      </c>
      <c r="D3911" t="s">
        <v>22702</v>
      </c>
      <c r="E3911" t="b">
        <v>0</v>
      </c>
      <c r="F3911" t="s">
        <v>11624</v>
      </c>
      <c r="G3911">
        <v>41.869481</v>
      </c>
      <c r="H3911">
        <v>47.411110000000001</v>
      </c>
      <c r="L3911">
        <v>0</v>
      </c>
      <c r="M3911">
        <v>0</v>
      </c>
      <c r="N3911">
        <v>0</v>
      </c>
    </row>
    <row r="3912" spans="1:15">
      <c r="A3912" t="s">
        <v>22703</v>
      </c>
      <c r="B3912" t="s">
        <v>11868</v>
      </c>
      <c r="C3912" t="s">
        <v>11869</v>
      </c>
      <c r="D3912" t="s">
        <v>22704</v>
      </c>
      <c r="E3912" t="b">
        <v>0</v>
      </c>
      <c r="F3912" t="s">
        <v>11610</v>
      </c>
      <c r="L3912">
        <v>0</v>
      </c>
      <c r="M3912">
        <v>0</v>
      </c>
      <c r="N3912">
        <v>0</v>
      </c>
    </row>
    <row r="3913" spans="1:15">
      <c r="A3913" t="s">
        <v>14142</v>
      </c>
      <c r="B3913" t="s">
        <v>11912</v>
      </c>
      <c r="C3913" t="s">
        <v>22705</v>
      </c>
      <c r="D3913" t="s">
        <v>22706</v>
      </c>
      <c r="E3913" t="b">
        <v>0</v>
      </c>
      <c r="F3913" t="s">
        <v>11624</v>
      </c>
      <c r="G3913">
        <v>-25.652100000000001</v>
      </c>
      <c r="H3913">
        <v>-55.051000000000002</v>
      </c>
      <c r="I3913" t="s">
        <v>22707</v>
      </c>
      <c r="L3913">
        <v>0</v>
      </c>
      <c r="M3913">
        <v>0</v>
      </c>
      <c r="N3913">
        <v>1</v>
      </c>
      <c r="O3913" t="s">
        <v>22708</v>
      </c>
    </row>
    <row r="3914" spans="1:15">
      <c r="A3914" t="s">
        <v>22709</v>
      </c>
      <c r="B3914" t="s">
        <v>978</v>
      </c>
      <c r="C3914" t="s">
        <v>13318</v>
      </c>
      <c r="D3914" t="s">
        <v>22710</v>
      </c>
      <c r="E3914" t="b">
        <v>0</v>
      </c>
      <c r="F3914" t="s">
        <v>11610</v>
      </c>
      <c r="L3914">
        <v>0</v>
      </c>
      <c r="M3914">
        <v>0</v>
      </c>
      <c r="N3914">
        <v>0</v>
      </c>
    </row>
    <row r="3915" spans="1:15">
      <c r="A3915" t="s">
        <v>22711</v>
      </c>
      <c r="B3915" t="s">
        <v>978</v>
      </c>
      <c r="C3915" t="s">
        <v>13318</v>
      </c>
      <c r="D3915" t="s">
        <v>22712</v>
      </c>
      <c r="E3915" t="b">
        <v>0</v>
      </c>
      <c r="F3915" t="s">
        <v>11610</v>
      </c>
      <c r="L3915">
        <v>0</v>
      </c>
      <c r="M3915">
        <v>0</v>
      </c>
      <c r="N3915">
        <v>0</v>
      </c>
    </row>
    <row r="3916" spans="1:15">
      <c r="A3916" t="s">
        <v>22713</v>
      </c>
      <c r="B3916" t="s">
        <v>6455</v>
      </c>
      <c r="C3916" t="s">
        <v>20807</v>
      </c>
      <c r="D3916" t="s">
        <v>22714</v>
      </c>
      <c r="E3916" t="b">
        <v>0</v>
      </c>
      <c r="F3916" t="s">
        <v>11610</v>
      </c>
      <c r="L3916">
        <v>0</v>
      </c>
      <c r="M3916">
        <v>0</v>
      </c>
      <c r="N3916">
        <v>0</v>
      </c>
    </row>
    <row r="3917" spans="1:15">
      <c r="A3917" t="s">
        <v>22715</v>
      </c>
      <c r="B3917" t="s">
        <v>13244</v>
      </c>
      <c r="C3917" t="s">
        <v>22716</v>
      </c>
      <c r="D3917" t="s">
        <v>22717</v>
      </c>
      <c r="E3917" t="b">
        <v>0</v>
      </c>
      <c r="F3917" t="s">
        <v>11624</v>
      </c>
      <c r="G3917">
        <v>-13.5</v>
      </c>
      <c r="H3917">
        <v>-66.3</v>
      </c>
      <c r="L3917">
        <v>0</v>
      </c>
      <c r="M3917">
        <v>0</v>
      </c>
      <c r="N3917">
        <v>0</v>
      </c>
      <c r="O3917" t="s">
        <v>14185</v>
      </c>
    </row>
    <row r="3918" spans="1:15">
      <c r="A3918" t="s">
        <v>22718</v>
      </c>
      <c r="B3918" t="s">
        <v>11912</v>
      </c>
      <c r="C3918" t="s">
        <v>22719</v>
      </c>
      <c r="D3918" t="s">
        <v>22720</v>
      </c>
      <c r="E3918" t="b">
        <v>0</v>
      </c>
      <c r="F3918" t="s">
        <v>11622</v>
      </c>
      <c r="L3918">
        <v>0</v>
      </c>
      <c r="M3918">
        <v>2</v>
      </c>
      <c r="N3918">
        <v>2</v>
      </c>
    </row>
    <row r="3919" spans="1:15">
      <c r="A3919" t="s">
        <v>22721</v>
      </c>
      <c r="B3919" t="s">
        <v>11981</v>
      </c>
      <c r="C3919" t="s">
        <v>22722</v>
      </c>
      <c r="D3919" t="s">
        <v>22723</v>
      </c>
      <c r="E3919" t="b">
        <v>0</v>
      </c>
      <c r="F3919" t="s">
        <v>11624</v>
      </c>
      <c r="G3919">
        <v>8.3980549999999994</v>
      </c>
      <c r="H3919">
        <v>-82.409271000000004</v>
      </c>
      <c r="L3919">
        <v>0</v>
      </c>
      <c r="M3919">
        <v>0</v>
      </c>
      <c r="N3919">
        <v>0</v>
      </c>
      <c r="O3919" t="s">
        <v>20095</v>
      </c>
    </row>
    <row r="3920" spans="1:15">
      <c r="A3920" t="s">
        <v>22724</v>
      </c>
      <c r="B3920" t="s">
        <v>21050</v>
      </c>
      <c r="C3920" t="s">
        <v>21050</v>
      </c>
      <c r="D3920" t="s">
        <v>22725</v>
      </c>
      <c r="E3920" t="b">
        <v>0</v>
      </c>
      <c r="F3920" t="s">
        <v>11610</v>
      </c>
      <c r="L3920">
        <v>0</v>
      </c>
      <c r="M3920">
        <v>0</v>
      </c>
      <c r="N3920">
        <v>0</v>
      </c>
    </row>
    <row r="3921" spans="1:15">
      <c r="A3921" t="s">
        <v>22726</v>
      </c>
      <c r="B3921" t="s">
        <v>11644</v>
      </c>
      <c r="C3921" t="s">
        <v>126</v>
      </c>
      <c r="D3921" t="s">
        <v>22727</v>
      </c>
      <c r="E3921" t="b">
        <v>0</v>
      </c>
      <c r="F3921" t="s">
        <v>11610</v>
      </c>
      <c r="L3921">
        <v>0</v>
      </c>
      <c r="M3921">
        <v>0</v>
      </c>
      <c r="N3921">
        <v>0</v>
      </c>
    </row>
    <row r="3922" spans="1:15">
      <c r="A3922" t="s">
        <v>22728</v>
      </c>
      <c r="B3922" t="s">
        <v>6742</v>
      </c>
      <c r="C3922" t="s">
        <v>17881</v>
      </c>
      <c r="D3922" t="s">
        <v>22729</v>
      </c>
      <c r="E3922" t="b">
        <v>0</v>
      </c>
      <c r="F3922" t="s">
        <v>11610</v>
      </c>
      <c r="L3922">
        <v>0</v>
      </c>
      <c r="M3922">
        <v>0</v>
      </c>
      <c r="N3922">
        <v>0</v>
      </c>
    </row>
    <row r="3923" spans="1:15">
      <c r="A3923" t="s">
        <v>22730</v>
      </c>
      <c r="D3923" t="s">
        <v>22731</v>
      </c>
      <c r="E3923" t="b">
        <v>0</v>
      </c>
      <c r="F3923" t="s">
        <v>11624</v>
      </c>
      <c r="G3923">
        <v>30.3386</v>
      </c>
      <c r="H3923">
        <v>-90.912300000000002</v>
      </c>
      <c r="I3923" t="s">
        <v>22732</v>
      </c>
      <c r="L3923">
        <v>0</v>
      </c>
      <c r="M3923">
        <v>0</v>
      </c>
      <c r="N3923">
        <v>0</v>
      </c>
      <c r="O3923" t="s">
        <v>11944</v>
      </c>
    </row>
    <row r="3924" spans="1:15">
      <c r="A3924" t="s">
        <v>22733</v>
      </c>
      <c r="B3924" t="s">
        <v>11637</v>
      </c>
      <c r="C3924" t="s">
        <v>22734</v>
      </c>
      <c r="D3924" t="s">
        <v>22735</v>
      </c>
      <c r="E3924" t="b">
        <v>0</v>
      </c>
      <c r="F3924" t="s">
        <v>11624</v>
      </c>
      <c r="G3924">
        <v>27.5825</v>
      </c>
      <c r="H3924">
        <v>84.408199999999994</v>
      </c>
      <c r="I3924" t="s">
        <v>22736</v>
      </c>
      <c r="L3924">
        <v>0</v>
      </c>
      <c r="M3924">
        <v>0</v>
      </c>
      <c r="N3924">
        <v>0</v>
      </c>
      <c r="O3924" t="s">
        <v>12524</v>
      </c>
    </row>
    <row r="3925" spans="1:15">
      <c r="A3925" t="s">
        <v>22737</v>
      </c>
      <c r="B3925" t="s">
        <v>11637</v>
      </c>
      <c r="C3925" t="s">
        <v>22141</v>
      </c>
      <c r="D3925" t="s">
        <v>22738</v>
      </c>
      <c r="E3925" t="b">
        <v>0</v>
      </c>
      <c r="F3925" t="s">
        <v>11624</v>
      </c>
      <c r="G3925">
        <v>20.831</v>
      </c>
      <c r="H3925">
        <v>93.169499999999999</v>
      </c>
      <c r="I3925" t="s">
        <v>22739</v>
      </c>
      <c r="L3925">
        <v>0</v>
      </c>
      <c r="M3925">
        <v>0</v>
      </c>
      <c r="N3925">
        <v>0</v>
      </c>
      <c r="O3925" t="s">
        <v>22740</v>
      </c>
    </row>
    <row r="3926" spans="1:15">
      <c r="A3926" t="s">
        <v>22741</v>
      </c>
      <c r="B3926" t="s">
        <v>11637</v>
      </c>
      <c r="C3926" t="s">
        <v>17020</v>
      </c>
      <c r="D3926" t="s">
        <v>22742</v>
      </c>
      <c r="E3926" t="b">
        <v>0</v>
      </c>
      <c r="F3926" t="s">
        <v>11610</v>
      </c>
      <c r="L3926">
        <v>0</v>
      </c>
      <c r="M3926">
        <v>0</v>
      </c>
      <c r="N3926">
        <v>0</v>
      </c>
    </row>
    <row r="3927" spans="1:15">
      <c r="A3927" t="s">
        <v>22743</v>
      </c>
      <c r="B3927" t="s">
        <v>11637</v>
      </c>
      <c r="C3927" t="s">
        <v>22744</v>
      </c>
      <c r="D3927" t="s">
        <v>22745</v>
      </c>
      <c r="E3927" t="b">
        <v>0</v>
      </c>
      <c r="F3927" t="s">
        <v>11622</v>
      </c>
      <c r="L3927">
        <v>0</v>
      </c>
      <c r="M3927">
        <v>2</v>
      </c>
      <c r="N3927">
        <v>6</v>
      </c>
    </row>
    <row r="3928" spans="1:15">
      <c r="A3928" t="s">
        <v>22746</v>
      </c>
      <c r="B3928" t="s">
        <v>11644</v>
      </c>
      <c r="C3928" t="s">
        <v>22747</v>
      </c>
      <c r="D3928" t="s">
        <v>22748</v>
      </c>
      <c r="E3928" t="b">
        <v>0</v>
      </c>
      <c r="F3928" t="s">
        <v>11624</v>
      </c>
      <c r="G3928">
        <v>31.296500000000002</v>
      </c>
      <c r="H3928">
        <v>78.528700000000001</v>
      </c>
      <c r="I3928" t="s">
        <v>22749</v>
      </c>
      <c r="L3928">
        <v>0</v>
      </c>
      <c r="M3928">
        <v>0</v>
      </c>
      <c r="N3928">
        <v>0</v>
      </c>
      <c r="O3928" t="s">
        <v>11630</v>
      </c>
    </row>
    <row r="3929" spans="1:15">
      <c r="A3929" t="s">
        <v>22750</v>
      </c>
      <c r="B3929" t="s">
        <v>11644</v>
      </c>
      <c r="C3929" t="s">
        <v>14775</v>
      </c>
      <c r="D3929" t="s">
        <v>22751</v>
      </c>
      <c r="E3929" t="b">
        <v>0</v>
      </c>
      <c r="F3929" t="s">
        <v>11610</v>
      </c>
      <c r="L3929">
        <v>0</v>
      </c>
      <c r="M3929">
        <v>0</v>
      </c>
      <c r="N3929">
        <v>0</v>
      </c>
    </row>
    <row r="3930" spans="1:15">
      <c r="A3930" t="s">
        <v>22752</v>
      </c>
      <c r="B3930" t="s">
        <v>6742</v>
      </c>
      <c r="C3930" t="s">
        <v>22753</v>
      </c>
      <c r="D3930" t="s">
        <v>22754</v>
      </c>
      <c r="E3930" t="b">
        <v>0</v>
      </c>
      <c r="F3930" t="s">
        <v>11610</v>
      </c>
      <c r="L3930">
        <v>0</v>
      </c>
      <c r="M3930">
        <v>0</v>
      </c>
      <c r="N3930">
        <v>0</v>
      </c>
    </row>
    <row r="3931" spans="1:15">
      <c r="A3931" t="s">
        <v>22755</v>
      </c>
      <c r="B3931" t="s">
        <v>6742</v>
      </c>
      <c r="C3931" t="s">
        <v>4025</v>
      </c>
      <c r="D3931" t="s">
        <v>22756</v>
      </c>
      <c r="E3931" t="b">
        <v>0</v>
      </c>
      <c r="F3931" t="s">
        <v>11610</v>
      </c>
      <c r="L3931">
        <v>0</v>
      </c>
      <c r="M3931">
        <v>0</v>
      </c>
      <c r="N3931">
        <v>0</v>
      </c>
    </row>
    <row r="3932" spans="1:15">
      <c r="A3932" t="s">
        <v>22757</v>
      </c>
      <c r="B3932" t="s">
        <v>4342</v>
      </c>
      <c r="C3932" t="s">
        <v>22758</v>
      </c>
      <c r="D3932" t="s">
        <v>22759</v>
      </c>
      <c r="E3932" t="b">
        <v>0</v>
      </c>
      <c r="F3932" t="s">
        <v>11610</v>
      </c>
      <c r="L3932">
        <v>0</v>
      </c>
      <c r="M3932">
        <v>0</v>
      </c>
      <c r="N3932">
        <v>0</v>
      </c>
    </row>
    <row r="3933" spans="1:15">
      <c r="A3933" t="s">
        <v>22760</v>
      </c>
      <c r="B3933" t="s">
        <v>13244</v>
      </c>
      <c r="C3933" t="s">
        <v>22761</v>
      </c>
      <c r="D3933" t="s">
        <v>22762</v>
      </c>
      <c r="E3933" t="b">
        <v>0</v>
      </c>
      <c r="F3933" t="s">
        <v>11610</v>
      </c>
      <c r="L3933">
        <v>0</v>
      </c>
      <c r="M3933">
        <v>0</v>
      </c>
      <c r="N3933">
        <v>0</v>
      </c>
    </row>
    <row r="3934" spans="1:15">
      <c r="A3934" t="s">
        <v>22763</v>
      </c>
      <c r="B3934" t="s">
        <v>11627</v>
      </c>
      <c r="C3934" t="s">
        <v>11627</v>
      </c>
      <c r="D3934" t="s">
        <v>22764</v>
      </c>
      <c r="E3934" t="b">
        <v>1</v>
      </c>
      <c r="F3934" t="s">
        <v>11624</v>
      </c>
      <c r="I3934" t="s">
        <v>22765</v>
      </c>
      <c r="L3934">
        <v>0</v>
      </c>
      <c r="M3934">
        <v>0</v>
      </c>
      <c r="N3934">
        <v>0</v>
      </c>
    </row>
    <row r="3935" spans="1:15">
      <c r="A3935" t="s">
        <v>22766</v>
      </c>
      <c r="B3935" t="s">
        <v>11879</v>
      </c>
      <c r="C3935" t="s">
        <v>13115</v>
      </c>
      <c r="D3935" t="s">
        <v>22767</v>
      </c>
      <c r="E3935" t="b">
        <v>0</v>
      </c>
      <c r="F3935" t="s">
        <v>11624</v>
      </c>
      <c r="G3935">
        <v>17.437100000000001</v>
      </c>
      <c r="H3935">
        <v>-95.865600000000001</v>
      </c>
      <c r="I3935" t="s">
        <v>22768</v>
      </c>
      <c r="L3935">
        <v>0</v>
      </c>
      <c r="M3935">
        <v>0</v>
      </c>
      <c r="N3935">
        <v>0</v>
      </c>
      <c r="O3935" t="s">
        <v>11883</v>
      </c>
    </row>
    <row r="3936" spans="1:15">
      <c r="A3936" t="s">
        <v>22769</v>
      </c>
      <c r="B3936" t="s">
        <v>11644</v>
      </c>
      <c r="C3936" t="s">
        <v>22770</v>
      </c>
      <c r="D3936" t="s">
        <v>22771</v>
      </c>
      <c r="E3936" t="b">
        <v>0</v>
      </c>
      <c r="F3936" t="s">
        <v>11624</v>
      </c>
      <c r="G3936">
        <v>27.469609999999999</v>
      </c>
      <c r="H3936">
        <v>91.219539999999995</v>
      </c>
      <c r="I3936" t="s">
        <v>22772</v>
      </c>
      <c r="L3936">
        <v>0</v>
      </c>
      <c r="M3936">
        <v>0</v>
      </c>
      <c r="N3936">
        <v>0</v>
      </c>
      <c r="O3936" t="s">
        <v>12020</v>
      </c>
    </row>
    <row r="3937" spans="1:15">
      <c r="A3937" t="s">
        <v>22773</v>
      </c>
      <c r="B3937" t="s">
        <v>12875</v>
      </c>
      <c r="C3937" t="s">
        <v>22502</v>
      </c>
      <c r="D3937" t="s">
        <v>22774</v>
      </c>
      <c r="E3937" t="b">
        <v>0</v>
      </c>
      <c r="F3937" t="s">
        <v>11624</v>
      </c>
      <c r="G3937">
        <v>33.899299999999997</v>
      </c>
      <c r="H3937">
        <v>-94.819000000000003</v>
      </c>
      <c r="I3937" t="s">
        <v>22775</v>
      </c>
      <c r="L3937">
        <v>0</v>
      </c>
      <c r="M3937">
        <v>0</v>
      </c>
      <c r="N3937">
        <v>0</v>
      </c>
      <c r="O3937" t="s">
        <v>11944</v>
      </c>
    </row>
    <row r="3938" spans="1:15">
      <c r="A3938" t="s">
        <v>22776</v>
      </c>
      <c r="B3938" t="s">
        <v>11879</v>
      </c>
      <c r="C3938" t="s">
        <v>22777</v>
      </c>
      <c r="D3938" t="s">
        <v>22778</v>
      </c>
      <c r="E3938" t="b">
        <v>0</v>
      </c>
      <c r="F3938" t="s">
        <v>11622</v>
      </c>
      <c r="L3938">
        <v>1</v>
      </c>
      <c r="M3938">
        <v>8</v>
      </c>
      <c r="N3938">
        <v>6</v>
      </c>
    </row>
    <row r="3939" spans="1:15">
      <c r="A3939" t="s">
        <v>22779</v>
      </c>
      <c r="B3939" t="s">
        <v>11879</v>
      </c>
      <c r="C3939" t="s">
        <v>22776</v>
      </c>
      <c r="D3939" t="s">
        <v>22780</v>
      </c>
      <c r="E3939" t="b">
        <v>0</v>
      </c>
      <c r="F3939" t="s">
        <v>11624</v>
      </c>
      <c r="G3939">
        <v>17.666</v>
      </c>
      <c r="H3939">
        <v>-97.238799999999998</v>
      </c>
      <c r="I3939" t="s">
        <v>22781</v>
      </c>
      <c r="L3939">
        <v>0</v>
      </c>
      <c r="M3939">
        <v>0</v>
      </c>
      <c r="N3939">
        <v>0</v>
      </c>
      <c r="O3939" t="s">
        <v>11883</v>
      </c>
    </row>
    <row r="3940" spans="1:15">
      <c r="A3940" t="s">
        <v>9578</v>
      </c>
      <c r="D3940" t="s">
        <v>22782</v>
      </c>
      <c r="E3940" t="b">
        <v>0</v>
      </c>
      <c r="F3940" t="s">
        <v>11622</v>
      </c>
      <c r="L3940">
        <v>6</v>
      </c>
      <c r="M3940">
        <v>9</v>
      </c>
      <c r="N3940">
        <v>1</v>
      </c>
    </row>
    <row r="3941" spans="1:15">
      <c r="A3941" t="s">
        <v>22783</v>
      </c>
      <c r="B3941" t="s">
        <v>13450</v>
      </c>
      <c r="C3941" t="s">
        <v>13450</v>
      </c>
      <c r="D3941" t="s">
        <v>22784</v>
      </c>
      <c r="E3941" t="b">
        <v>0</v>
      </c>
      <c r="F3941" t="s">
        <v>11622</v>
      </c>
      <c r="L3941">
        <v>0</v>
      </c>
      <c r="M3941">
        <v>1</v>
      </c>
      <c r="N3941">
        <v>0</v>
      </c>
    </row>
    <row r="3942" spans="1:15">
      <c r="A3942" t="s">
        <v>14584</v>
      </c>
      <c r="B3942" t="s">
        <v>12241</v>
      </c>
      <c r="C3942" t="s">
        <v>12241</v>
      </c>
      <c r="D3942" t="s">
        <v>22785</v>
      </c>
      <c r="E3942" t="b">
        <v>0</v>
      </c>
      <c r="F3942" t="s">
        <v>11622</v>
      </c>
      <c r="L3942">
        <v>0</v>
      </c>
      <c r="M3942">
        <v>2</v>
      </c>
      <c r="N3942">
        <v>0</v>
      </c>
    </row>
    <row r="3943" spans="1:15">
      <c r="A3943" t="s">
        <v>22786</v>
      </c>
      <c r="B3943" t="s">
        <v>11637</v>
      </c>
      <c r="C3943" t="s">
        <v>1274</v>
      </c>
      <c r="D3943" t="s">
        <v>22787</v>
      </c>
      <c r="E3943" t="b">
        <v>0</v>
      </c>
      <c r="F3943" t="s">
        <v>11624</v>
      </c>
      <c r="G3943">
        <v>20.880299999999998</v>
      </c>
      <c r="H3943">
        <v>73.528300000000002</v>
      </c>
      <c r="I3943" t="s">
        <v>22788</v>
      </c>
      <c r="L3943">
        <v>0</v>
      </c>
      <c r="M3943">
        <v>0</v>
      </c>
      <c r="N3943">
        <v>0</v>
      </c>
      <c r="O3943" t="s">
        <v>11630</v>
      </c>
    </row>
    <row r="3944" spans="1:15">
      <c r="A3944" t="s">
        <v>22789</v>
      </c>
      <c r="B3944" t="s">
        <v>11644</v>
      </c>
      <c r="C3944" t="s">
        <v>20314</v>
      </c>
      <c r="D3944" t="s">
        <v>22790</v>
      </c>
      <c r="E3944" t="b">
        <v>0</v>
      </c>
      <c r="F3944" t="s">
        <v>11610</v>
      </c>
      <c r="L3944">
        <v>0</v>
      </c>
      <c r="M3944">
        <v>0</v>
      </c>
      <c r="N3944">
        <v>0</v>
      </c>
    </row>
    <row r="3945" spans="1:15">
      <c r="A3945" t="s">
        <v>22791</v>
      </c>
      <c r="B3945" t="s">
        <v>11644</v>
      </c>
      <c r="C3945" t="s">
        <v>13896</v>
      </c>
      <c r="D3945" t="s">
        <v>22792</v>
      </c>
      <c r="E3945" t="b">
        <v>0</v>
      </c>
      <c r="F3945" t="s">
        <v>11610</v>
      </c>
      <c r="L3945">
        <v>0</v>
      </c>
      <c r="M3945">
        <v>0</v>
      </c>
      <c r="N3945">
        <v>0</v>
      </c>
    </row>
    <row r="3946" spans="1:15">
      <c r="A3946" t="s">
        <v>22637</v>
      </c>
      <c r="B3946" t="s">
        <v>11644</v>
      </c>
      <c r="C3946" t="s">
        <v>14780</v>
      </c>
      <c r="D3946" t="s">
        <v>22793</v>
      </c>
      <c r="E3946" t="b">
        <v>0</v>
      </c>
      <c r="F3946" t="s">
        <v>11622</v>
      </c>
      <c r="L3946">
        <v>1</v>
      </c>
      <c r="M3946">
        <v>4</v>
      </c>
      <c r="N3946">
        <v>8</v>
      </c>
    </row>
    <row r="3947" spans="1:15">
      <c r="A3947" t="s">
        <v>8733</v>
      </c>
      <c r="B3947" t="s">
        <v>367</v>
      </c>
      <c r="C3947" t="s">
        <v>22794</v>
      </c>
      <c r="D3947" t="s">
        <v>22795</v>
      </c>
      <c r="E3947" t="b">
        <v>0</v>
      </c>
      <c r="F3947" t="s">
        <v>11622</v>
      </c>
      <c r="L3947">
        <v>3</v>
      </c>
      <c r="M3947">
        <v>5</v>
      </c>
      <c r="N3947">
        <v>8</v>
      </c>
    </row>
    <row r="3948" spans="1:15">
      <c r="A3948" t="s">
        <v>22796</v>
      </c>
      <c r="B3948" t="s">
        <v>11644</v>
      </c>
      <c r="C3948" t="s">
        <v>13789</v>
      </c>
      <c r="D3948" t="s">
        <v>22797</v>
      </c>
      <c r="E3948" t="b">
        <v>0</v>
      </c>
      <c r="F3948" t="s">
        <v>11624</v>
      </c>
      <c r="G3948">
        <v>25.563600000000001</v>
      </c>
      <c r="H3948">
        <v>94.288700000000006</v>
      </c>
      <c r="I3948" t="s">
        <v>22798</v>
      </c>
      <c r="L3948">
        <v>0</v>
      </c>
      <c r="M3948">
        <v>0</v>
      </c>
      <c r="N3948">
        <v>0</v>
      </c>
      <c r="O3948" t="s">
        <v>11630</v>
      </c>
    </row>
    <row r="3949" spans="1:15">
      <c r="A3949" t="s">
        <v>22799</v>
      </c>
      <c r="B3949" t="s">
        <v>6742</v>
      </c>
      <c r="C3949" t="s">
        <v>22800</v>
      </c>
      <c r="D3949" t="s">
        <v>22801</v>
      </c>
      <c r="E3949" t="b">
        <v>0</v>
      </c>
      <c r="F3949" t="s">
        <v>11622</v>
      </c>
      <c r="L3949">
        <v>3</v>
      </c>
      <c r="M3949">
        <v>8</v>
      </c>
      <c r="N3949">
        <v>1</v>
      </c>
    </row>
    <row r="3950" spans="1:15">
      <c r="A3950" t="s">
        <v>4154</v>
      </c>
      <c r="B3950" t="s">
        <v>6742</v>
      </c>
      <c r="C3950" t="s">
        <v>22802</v>
      </c>
      <c r="D3950" t="s">
        <v>4153</v>
      </c>
      <c r="E3950" t="b">
        <v>0</v>
      </c>
      <c r="F3950" t="s">
        <v>11624</v>
      </c>
      <c r="G3950">
        <v>-9.6608199999999993</v>
      </c>
      <c r="H3950">
        <v>21.3992</v>
      </c>
      <c r="I3950" t="s">
        <v>4155</v>
      </c>
      <c r="L3950">
        <v>0</v>
      </c>
      <c r="M3950">
        <v>0</v>
      </c>
      <c r="N3950">
        <v>1</v>
      </c>
      <c r="O3950" t="s">
        <v>22803</v>
      </c>
    </row>
    <row r="3951" spans="1:15">
      <c r="A3951" t="s">
        <v>22800</v>
      </c>
      <c r="B3951" t="s">
        <v>6742</v>
      </c>
      <c r="C3951" t="s">
        <v>22804</v>
      </c>
      <c r="D3951" t="s">
        <v>22805</v>
      </c>
      <c r="E3951" t="b">
        <v>0</v>
      </c>
      <c r="F3951" t="s">
        <v>11622</v>
      </c>
      <c r="L3951">
        <v>7</v>
      </c>
      <c r="M3951">
        <v>12</v>
      </c>
      <c r="N3951">
        <v>13</v>
      </c>
    </row>
    <row r="3952" spans="1:15">
      <c r="A3952" t="s">
        <v>22802</v>
      </c>
      <c r="B3952" t="s">
        <v>6742</v>
      </c>
      <c r="C3952" t="s">
        <v>22799</v>
      </c>
      <c r="D3952" t="s">
        <v>22806</v>
      </c>
      <c r="E3952" t="b">
        <v>0</v>
      </c>
      <c r="F3952" t="s">
        <v>11622</v>
      </c>
      <c r="L3952">
        <v>0</v>
      </c>
      <c r="M3952">
        <v>2</v>
      </c>
      <c r="N3952">
        <v>1</v>
      </c>
    </row>
    <row r="3953" spans="1:15">
      <c r="A3953" t="s">
        <v>22807</v>
      </c>
      <c r="B3953" t="s">
        <v>6742</v>
      </c>
      <c r="C3953" t="s">
        <v>19805</v>
      </c>
      <c r="D3953" t="s">
        <v>22808</v>
      </c>
      <c r="E3953" t="b">
        <v>0</v>
      </c>
      <c r="F3953" t="s">
        <v>11622</v>
      </c>
      <c r="L3953">
        <v>1</v>
      </c>
      <c r="M3953">
        <v>3</v>
      </c>
      <c r="N3953">
        <v>1</v>
      </c>
    </row>
    <row r="3954" spans="1:15">
      <c r="A3954" t="s">
        <v>22809</v>
      </c>
      <c r="B3954" t="s">
        <v>11644</v>
      </c>
      <c r="C3954" t="s">
        <v>20789</v>
      </c>
      <c r="D3954" t="s">
        <v>22810</v>
      </c>
      <c r="E3954" t="b">
        <v>0</v>
      </c>
      <c r="F3954" t="s">
        <v>11610</v>
      </c>
      <c r="L3954">
        <v>0</v>
      </c>
      <c r="M3954">
        <v>0</v>
      </c>
      <c r="N3954">
        <v>0</v>
      </c>
    </row>
    <row r="3955" spans="1:15">
      <c r="A3955" t="s">
        <v>22811</v>
      </c>
      <c r="B3955" t="s">
        <v>22388</v>
      </c>
      <c r="C3955" t="s">
        <v>232</v>
      </c>
      <c r="D3955" t="s">
        <v>22812</v>
      </c>
      <c r="E3955" t="b">
        <v>0</v>
      </c>
      <c r="F3955" t="s">
        <v>11610</v>
      </c>
      <c r="L3955">
        <v>0</v>
      </c>
      <c r="M3955">
        <v>0</v>
      </c>
      <c r="N3955">
        <v>0</v>
      </c>
    </row>
    <row r="3956" spans="1:15">
      <c r="A3956" t="s">
        <v>22813</v>
      </c>
      <c r="B3956" t="s">
        <v>5911</v>
      </c>
      <c r="C3956" t="s">
        <v>22814</v>
      </c>
      <c r="D3956" t="s">
        <v>22815</v>
      </c>
      <c r="E3956" t="b">
        <v>0</v>
      </c>
      <c r="F3956" t="s">
        <v>11622</v>
      </c>
      <c r="L3956">
        <v>0</v>
      </c>
      <c r="M3956">
        <v>2</v>
      </c>
      <c r="N3956">
        <v>3</v>
      </c>
    </row>
    <row r="3957" spans="1:15">
      <c r="A3957" t="s">
        <v>22816</v>
      </c>
      <c r="B3957" t="s">
        <v>5911</v>
      </c>
      <c r="C3957" t="s">
        <v>22813</v>
      </c>
      <c r="D3957" t="s">
        <v>22817</v>
      </c>
      <c r="E3957" t="b">
        <v>0</v>
      </c>
      <c r="F3957" t="s">
        <v>11624</v>
      </c>
      <c r="G3957">
        <v>17.489699999999999</v>
      </c>
      <c r="H3957">
        <v>-92.469800000000006</v>
      </c>
      <c r="I3957" t="s">
        <v>22818</v>
      </c>
      <c r="L3957">
        <v>0</v>
      </c>
      <c r="M3957">
        <v>0</v>
      </c>
      <c r="N3957">
        <v>0</v>
      </c>
      <c r="O3957" t="s">
        <v>11883</v>
      </c>
    </row>
    <row r="3958" spans="1:15">
      <c r="A3958" t="s">
        <v>22819</v>
      </c>
      <c r="B3958" t="s">
        <v>5911</v>
      </c>
      <c r="C3958" t="s">
        <v>22820</v>
      </c>
      <c r="D3958" t="s">
        <v>22821</v>
      </c>
      <c r="E3958" t="b">
        <v>0</v>
      </c>
      <c r="F3958" t="s">
        <v>11624</v>
      </c>
      <c r="G3958">
        <v>15.5</v>
      </c>
      <c r="H3958">
        <v>-89</v>
      </c>
      <c r="L3958">
        <v>0</v>
      </c>
      <c r="M3958">
        <v>0</v>
      </c>
      <c r="N3958">
        <v>0</v>
      </c>
      <c r="O3958" t="s">
        <v>11927</v>
      </c>
    </row>
    <row r="3959" spans="1:15">
      <c r="A3959" t="s">
        <v>22822</v>
      </c>
      <c r="B3959" t="s">
        <v>22823</v>
      </c>
      <c r="C3959" t="s">
        <v>22823</v>
      </c>
      <c r="D3959" t="s">
        <v>22824</v>
      </c>
      <c r="E3959" t="b">
        <v>0</v>
      </c>
      <c r="F3959" t="s">
        <v>11624</v>
      </c>
      <c r="G3959">
        <v>-9.2312899999999996</v>
      </c>
      <c r="H3959">
        <v>-75.962100000000007</v>
      </c>
      <c r="I3959" t="s">
        <v>22825</v>
      </c>
      <c r="L3959">
        <v>0</v>
      </c>
      <c r="M3959">
        <v>0</v>
      </c>
      <c r="N3959">
        <v>0</v>
      </c>
      <c r="O3959" t="s">
        <v>11778</v>
      </c>
    </row>
    <row r="3960" spans="1:15">
      <c r="A3960" t="s">
        <v>22826</v>
      </c>
      <c r="B3960" t="s">
        <v>11627</v>
      </c>
      <c r="C3960" t="s">
        <v>11627</v>
      </c>
      <c r="D3960" t="s">
        <v>22827</v>
      </c>
      <c r="E3960" t="b">
        <v>1</v>
      </c>
      <c r="F3960" t="s">
        <v>11624</v>
      </c>
      <c r="I3960" t="s">
        <v>22828</v>
      </c>
      <c r="L3960">
        <v>0</v>
      </c>
      <c r="M3960">
        <v>0</v>
      </c>
      <c r="N3960">
        <v>0</v>
      </c>
      <c r="O3960" t="s">
        <v>11883</v>
      </c>
    </row>
    <row r="3961" spans="1:15">
      <c r="A3961" t="s">
        <v>22829</v>
      </c>
      <c r="B3961" t="s">
        <v>5911</v>
      </c>
      <c r="C3961" t="s">
        <v>22830</v>
      </c>
      <c r="D3961" t="s">
        <v>22831</v>
      </c>
      <c r="E3961" t="b">
        <v>0</v>
      </c>
      <c r="F3961" t="s">
        <v>11622</v>
      </c>
      <c r="L3961">
        <v>4</v>
      </c>
      <c r="M3961">
        <v>7</v>
      </c>
      <c r="N3961">
        <v>5</v>
      </c>
    </row>
    <row r="3962" spans="1:15">
      <c r="A3962" t="s">
        <v>22814</v>
      </c>
      <c r="B3962" t="s">
        <v>5911</v>
      </c>
      <c r="C3962" t="s">
        <v>22829</v>
      </c>
      <c r="D3962" t="s">
        <v>22832</v>
      </c>
      <c r="E3962" t="b">
        <v>0</v>
      </c>
      <c r="F3962" t="s">
        <v>11622</v>
      </c>
      <c r="L3962">
        <v>2</v>
      </c>
      <c r="M3962">
        <v>5</v>
      </c>
      <c r="N3962">
        <v>3</v>
      </c>
    </row>
    <row r="3963" spans="1:15">
      <c r="A3963" t="s">
        <v>22833</v>
      </c>
      <c r="D3963" t="s">
        <v>22834</v>
      </c>
      <c r="E3963" t="b">
        <v>0</v>
      </c>
      <c r="F3963" t="s">
        <v>11624</v>
      </c>
      <c r="G3963">
        <v>-44.298692000000003</v>
      </c>
      <c r="H3963">
        <v>-73.879395000000002</v>
      </c>
      <c r="L3963">
        <v>0</v>
      </c>
      <c r="M3963">
        <v>0</v>
      </c>
      <c r="N3963">
        <v>0</v>
      </c>
      <c r="O3963" t="s">
        <v>12895</v>
      </c>
    </row>
    <row r="3964" spans="1:15">
      <c r="A3964" t="s">
        <v>22835</v>
      </c>
      <c r="B3964" t="s">
        <v>12438</v>
      </c>
      <c r="C3964" t="s">
        <v>21956</v>
      </c>
      <c r="D3964" t="s">
        <v>22836</v>
      </c>
      <c r="E3964" t="b">
        <v>0</v>
      </c>
      <c r="F3964" t="s">
        <v>11624</v>
      </c>
      <c r="G3964">
        <v>12.521800000000001</v>
      </c>
      <c r="H3964">
        <v>102.514</v>
      </c>
      <c r="I3964" t="s">
        <v>22837</v>
      </c>
      <c r="L3964">
        <v>0</v>
      </c>
      <c r="M3964">
        <v>0</v>
      </c>
      <c r="N3964">
        <v>0</v>
      </c>
      <c r="O3964" t="s">
        <v>22838</v>
      </c>
    </row>
    <row r="3965" spans="1:15">
      <c r="A3965" t="s">
        <v>22839</v>
      </c>
      <c r="B3965" t="s">
        <v>11644</v>
      </c>
      <c r="C3965" t="s">
        <v>15992</v>
      </c>
      <c r="D3965" t="s">
        <v>22840</v>
      </c>
      <c r="E3965" t="b">
        <v>0</v>
      </c>
      <c r="F3965" t="s">
        <v>11624</v>
      </c>
      <c r="G3965">
        <v>27.755199999999999</v>
      </c>
      <c r="H3965">
        <v>99.825500000000005</v>
      </c>
      <c r="I3965" t="s">
        <v>22841</v>
      </c>
      <c r="L3965">
        <v>0</v>
      </c>
      <c r="M3965">
        <v>0</v>
      </c>
      <c r="N3965">
        <v>1</v>
      </c>
      <c r="O3965" t="s">
        <v>11905</v>
      </c>
    </row>
    <row r="3966" spans="1:15">
      <c r="A3966" t="s">
        <v>22842</v>
      </c>
      <c r="B3966" t="s">
        <v>11644</v>
      </c>
      <c r="C3966" t="s">
        <v>14097</v>
      </c>
      <c r="D3966" t="s">
        <v>22843</v>
      </c>
      <c r="E3966" t="b">
        <v>0</v>
      </c>
      <c r="F3966" t="s">
        <v>11610</v>
      </c>
      <c r="L3966">
        <v>0</v>
      </c>
      <c r="M3966">
        <v>0</v>
      </c>
      <c r="N3966">
        <v>0</v>
      </c>
    </row>
    <row r="3967" spans="1:15">
      <c r="A3967" t="s">
        <v>22844</v>
      </c>
      <c r="B3967" t="s">
        <v>6742</v>
      </c>
      <c r="C3967" t="s">
        <v>22845</v>
      </c>
      <c r="D3967" t="s">
        <v>22846</v>
      </c>
      <c r="E3967" t="b">
        <v>0</v>
      </c>
      <c r="F3967" t="s">
        <v>11624</v>
      </c>
      <c r="G3967">
        <v>-6.5179999999999998</v>
      </c>
      <c r="H3967">
        <v>38.671999999999997</v>
      </c>
      <c r="I3967" t="s">
        <v>22847</v>
      </c>
      <c r="L3967">
        <v>0</v>
      </c>
      <c r="M3967">
        <v>0</v>
      </c>
      <c r="N3967">
        <v>0</v>
      </c>
      <c r="O3967" t="s">
        <v>22848</v>
      </c>
    </row>
    <row r="3968" spans="1:15">
      <c r="A3968" t="s">
        <v>22849</v>
      </c>
      <c r="D3968" t="s">
        <v>22850</v>
      </c>
      <c r="E3968" t="b">
        <v>0</v>
      </c>
      <c r="F3968" t="s">
        <v>11622</v>
      </c>
      <c r="L3968">
        <v>2</v>
      </c>
      <c r="M3968">
        <v>4</v>
      </c>
      <c r="N3968">
        <v>0</v>
      </c>
    </row>
    <row r="3969" spans="1:15">
      <c r="A3969" t="s">
        <v>22851</v>
      </c>
      <c r="B3969" t="s">
        <v>11644</v>
      </c>
      <c r="C3969" t="s">
        <v>22852</v>
      </c>
      <c r="D3969" t="s">
        <v>22853</v>
      </c>
      <c r="E3969" t="b">
        <v>0</v>
      </c>
      <c r="F3969" t="s">
        <v>11610</v>
      </c>
      <c r="L3969">
        <v>0</v>
      </c>
      <c r="M3969">
        <v>0</v>
      </c>
      <c r="N3969">
        <v>0</v>
      </c>
    </row>
    <row r="3970" spans="1:15">
      <c r="A3970" t="s">
        <v>22854</v>
      </c>
      <c r="B3970" t="s">
        <v>6742</v>
      </c>
      <c r="C3970" t="s">
        <v>22855</v>
      </c>
      <c r="D3970" t="s">
        <v>22856</v>
      </c>
      <c r="E3970" t="b">
        <v>0</v>
      </c>
      <c r="F3970" t="s">
        <v>11622</v>
      </c>
      <c r="L3970">
        <v>0</v>
      </c>
      <c r="M3970">
        <v>2</v>
      </c>
      <c r="N3970">
        <v>9</v>
      </c>
    </row>
    <row r="3971" spans="1:15">
      <c r="A3971" t="s">
        <v>3610</v>
      </c>
      <c r="B3971" t="s">
        <v>6742</v>
      </c>
      <c r="C3971" t="s">
        <v>22854</v>
      </c>
      <c r="D3971" t="s">
        <v>3608</v>
      </c>
      <c r="E3971" t="b">
        <v>0</v>
      </c>
      <c r="F3971" t="s">
        <v>11624</v>
      </c>
      <c r="G3971">
        <v>-24.832699999999999</v>
      </c>
      <c r="H3971">
        <v>34.109699999999997</v>
      </c>
      <c r="I3971" t="s">
        <v>22857</v>
      </c>
      <c r="L3971">
        <v>0</v>
      </c>
      <c r="M3971">
        <v>0</v>
      </c>
      <c r="N3971">
        <v>6</v>
      </c>
      <c r="O3971" t="s">
        <v>17188</v>
      </c>
    </row>
    <row r="3972" spans="1:15">
      <c r="A3972" t="s">
        <v>22858</v>
      </c>
      <c r="B3972" t="s">
        <v>6742</v>
      </c>
      <c r="C3972" t="s">
        <v>22859</v>
      </c>
      <c r="D3972" t="s">
        <v>22860</v>
      </c>
      <c r="E3972" t="b">
        <v>0</v>
      </c>
      <c r="F3972" t="s">
        <v>11610</v>
      </c>
      <c r="L3972">
        <v>0</v>
      </c>
      <c r="M3972">
        <v>0</v>
      </c>
      <c r="N3972">
        <v>0</v>
      </c>
    </row>
    <row r="3973" spans="1:15">
      <c r="A3973" t="s">
        <v>22820</v>
      </c>
      <c r="B3973" t="s">
        <v>5911</v>
      </c>
      <c r="C3973" t="s">
        <v>22814</v>
      </c>
      <c r="D3973" t="s">
        <v>22861</v>
      </c>
      <c r="E3973" t="b">
        <v>0</v>
      </c>
      <c r="F3973" t="s">
        <v>11622</v>
      </c>
      <c r="L3973">
        <v>0</v>
      </c>
      <c r="M3973">
        <v>2</v>
      </c>
      <c r="N3973">
        <v>0</v>
      </c>
    </row>
    <row r="3974" spans="1:15">
      <c r="A3974" t="s">
        <v>8481</v>
      </c>
      <c r="B3974" t="s">
        <v>5911</v>
      </c>
      <c r="C3974" t="s">
        <v>22820</v>
      </c>
      <c r="D3974" t="s">
        <v>22862</v>
      </c>
      <c r="E3974" t="b">
        <v>0</v>
      </c>
      <c r="F3974" t="s">
        <v>11624</v>
      </c>
      <c r="G3974">
        <v>14.818</v>
      </c>
      <c r="H3974">
        <v>-89.2363</v>
      </c>
      <c r="I3974" t="s">
        <v>8482</v>
      </c>
      <c r="L3974">
        <v>0</v>
      </c>
      <c r="M3974">
        <v>0</v>
      </c>
      <c r="N3974">
        <v>0</v>
      </c>
      <c r="O3974" t="s">
        <v>22863</v>
      </c>
    </row>
    <row r="3975" spans="1:15">
      <c r="A3975" t="s">
        <v>22864</v>
      </c>
      <c r="B3975" t="s">
        <v>389</v>
      </c>
      <c r="C3975" t="s">
        <v>22865</v>
      </c>
      <c r="D3975" t="s">
        <v>22866</v>
      </c>
      <c r="E3975" t="b">
        <v>0</v>
      </c>
      <c r="F3975" t="s">
        <v>11622</v>
      </c>
      <c r="L3975">
        <v>0</v>
      </c>
      <c r="M3975">
        <v>2</v>
      </c>
      <c r="N3975">
        <v>0</v>
      </c>
    </row>
    <row r="3976" spans="1:15">
      <c r="A3976" t="s">
        <v>22867</v>
      </c>
      <c r="B3976" t="s">
        <v>11627</v>
      </c>
      <c r="C3976" t="s">
        <v>11627</v>
      </c>
      <c r="D3976" t="s">
        <v>22868</v>
      </c>
      <c r="E3976" t="b">
        <v>1</v>
      </c>
      <c r="F3976" t="s">
        <v>11624</v>
      </c>
      <c r="G3976">
        <v>10.8154</v>
      </c>
      <c r="H3976">
        <v>-85.122799999999998</v>
      </c>
      <c r="I3976" t="s">
        <v>22869</v>
      </c>
      <c r="L3976">
        <v>0</v>
      </c>
      <c r="M3976">
        <v>0</v>
      </c>
      <c r="N3976">
        <v>0</v>
      </c>
      <c r="O3976" t="s">
        <v>19659</v>
      </c>
    </row>
    <row r="3977" spans="1:15">
      <c r="A3977" t="s">
        <v>22870</v>
      </c>
      <c r="B3977" t="s">
        <v>11644</v>
      </c>
      <c r="C3977" t="s">
        <v>19491</v>
      </c>
      <c r="D3977" t="s">
        <v>22871</v>
      </c>
      <c r="E3977" t="b">
        <v>0</v>
      </c>
      <c r="F3977" t="s">
        <v>11610</v>
      </c>
      <c r="L3977">
        <v>0</v>
      </c>
      <c r="M3977">
        <v>0</v>
      </c>
      <c r="N3977">
        <v>0</v>
      </c>
    </row>
    <row r="3978" spans="1:15">
      <c r="A3978" t="s">
        <v>22872</v>
      </c>
      <c r="B3978" t="s">
        <v>11644</v>
      </c>
      <c r="C3978" t="s">
        <v>22873</v>
      </c>
      <c r="D3978" t="s">
        <v>22874</v>
      </c>
      <c r="E3978" t="b">
        <v>0</v>
      </c>
      <c r="F3978" t="s">
        <v>11610</v>
      </c>
      <c r="L3978">
        <v>0</v>
      </c>
      <c r="M3978">
        <v>0</v>
      </c>
      <c r="N3978">
        <v>0</v>
      </c>
    </row>
    <row r="3979" spans="1:15">
      <c r="A3979" t="s">
        <v>22875</v>
      </c>
      <c r="B3979" t="s">
        <v>11644</v>
      </c>
      <c r="C3979" t="s">
        <v>12529</v>
      </c>
      <c r="D3979" t="s">
        <v>22876</v>
      </c>
      <c r="E3979" t="b">
        <v>0</v>
      </c>
      <c r="F3979" t="s">
        <v>11624</v>
      </c>
      <c r="G3979">
        <v>24.372199999999999</v>
      </c>
      <c r="H3979">
        <v>94.240799999999993</v>
      </c>
      <c r="I3979" t="s">
        <v>22877</v>
      </c>
      <c r="L3979">
        <v>0</v>
      </c>
      <c r="M3979">
        <v>0</v>
      </c>
      <c r="N3979">
        <v>0</v>
      </c>
      <c r="O3979" t="s">
        <v>11630</v>
      </c>
    </row>
    <row r="3980" spans="1:15">
      <c r="A3980" t="s">
        <v>22878</v>
      </c>
      <c r="B3980" t="s">
        <v>11644</v>
      </c>
      <c r="C3980" t="s">
        <v>19059</v>
      </c>
      <c r="D3980" t="s">
        <v>22879</v>
      </c>
      <c r="E3980" t="b">
        <v>0</v>
      </c>
      <c r="F3980" t="s">
        <v>11610</v>
      </c>
      <c r="L3980">
        <v>0</v>
      </c>
      <c r="M3980">
        <v>0</v>
      </c>
      <c r="N3980">
        <v>0</v>
      </c>
    </row>
    <row r="3981" spans="1:15">
      <c r="A3981" t="s">
        <v>22343</v>
      </c>
      <c r="B3981" t="s">
        <v>12438</v>
      </c>
      <c r="C3981" t="s">
        <v>21936</v>
      </c>
      <c r="D3981" t="s">
        <v>22880</v>
      </c>
      <c r="E3981" t="b">
        <v>0</v>
      </c>
      <c r="F3981" t="s">
        <v>11622</v>
      </c>
      <c r="L3981">
        <v>0</v>
      </c>
      <c r="M3981">
        <v>2</v>
      </c>
      <c r="N3981">
        <v>1</v>
      </c>
    </row>
    <row r="3982" spans="1:15">
      <c r="A3982" t="s">
        <v>22166</v>
      </c>
      <c r="B3982" t="s">
        <v>12438</v>
      </c>
      <c r="C3982" t="s">
        <v>22881</v>
      </c>
      <c r="D3982" t="s">
        <v>22882</v>
      </c>
      <c r="E3982" t="b">
        <v>0</v>
      </c>
      <c r="F3982" t="s">
        <v>11624</v>
      </c>
      <c r="G3982">
        <v>10.802099999999999</v>
      </c>
      <c r="H3982">
        <v>107.29300000000001</v>
      </c>
      <c r="I3982" t="s">
        <v>22883</v>
      </c>
      <c r="L3982">
        <v>0</v>
      </c>
      <c r="M3982">
        <v>0</v>
      </c>
      <c r="N3982">
        <v>9</v>
      </c>
      <c r="O3982" t="s">
        <v>15949</v>
      </c>
    </row>
    <row r="3983" spans="1:15">
      <c r="A3983" t="s">
        <v>22884</v>
      </c>
      <c r="B3983" t="s">
        <v>367</v>
      </c>
      <c r="C3983" t="s">
        <v>22885</v>
      </c>
      <c r="D3983" t="s">
        <v>22886</v>
      </c>
      <c r="E3983" t="b">
        <v>0</v>
      </c>
      <c r="F3983" t="s">
        <v>11622</v>
      </c>
      <c r="L3983">
        <v>2</v>
      </c>
      <c r="M3983">
        <v>5</v>
      </c>
      <c r="N3983">
        <v>3</v>
      </c>
    </row>
    <row r="3984" spans="1:15">
      <c r="A3984" t="s">
        <v>22887</v>
      </c>
      <c r="B3984" t="s">
        <v>367</v>
      </c>
      <c r="C3984" t="s">
        <v>20832</v>
      </c>
      <c r="D3984" t="s">
        <v>22888</v>
      </c>
      <c r="E3984" t="b">
        <v>0</v>
      </c>
      <c r="F3984" t="s">
        <v>11624</v>
      </c>
      <c r="G3984">
        <v>11.6625</v>
      </c>
      <c r="H3984">
        <v>108.529</v>
      </c>
      <c r="I3984" t="s">
        <v>22889</v>
      </c>
      <c r="L3984">
        <v>0</v>
      </c>
      <c r="M3984">
        <v>0</v>
      </c>
      <c r="N3984">
        <v>2</v>
      </c>
      <c r="O3984" t="s">
        <v>15949</v>
      </c>
    </row>
    <row r="3985" spans="1:15">
      <c r="A3985" t="s">
        <v>20832</v>
      </c>
      <c r="B3985" t="s">
        <v>367</v>
      </c>
      <c r="C3985" t="s">
        <v>22884</v>
      </c>
      <c r="D3985" t="s">
        <v>22890</v>
      </c>
      <c r="E3985" t="b">
        <v>0</v>
      </c>
      <c r="F3985" t="s">
        <v>11622</v>
      </c>
      <c r="L3985">
        <v>0</v>
      </c>
      <c r="M3985">
        <v>3</v>
      </c>
      <c r="N3985">
        <v>3</v>
      </c>
    </row>
    <row r="3986" spans="1:15">
      <c r="A3986" t="s">
        <v>22891</v>
      </c>
      <c r="B3986" t="s">
        <v>5058</v>
      </c>
      <c r="C3986" t="s">
        <v>22892</v>
      </c>
      <c r="D3986" t="s">
        <v>22893</v>
      </c>
      <c r="E3986" t="b">
        <v>0</v>
      </c>
      <c r="F3986" t="s">
        <v>11622</v>
      </c>
      <c r="L3986">
        <v>3</v>
      </c>
      <c r="M3986">
        <v>8</v>
      </c>
      <c r="N3986">
        <v>4</v>
      </c>
    </row>
    <row r="3987" spans="1:15">
      <c r="A3987" t="s">
        <v>22894</v>
      </c>
      <c r="B3987" t="s">
        <v>11615</v>
      </c>
      <c r="C3987" t="s">
        <v>22895</v>
      </c>
      <c r="D3987" t="s">
        <v>22896</v>
      </c>
      <c r="E3987" t="b">
        <v>0</v>
      </c>
      <c r="F3987" t="s">
        <v>11622</v>
      </c>
      <c r="L3987">
        <v>0</v>
      </c>
      <c r="M3987">
        <v>2</v>
      </c>
      <c r="N3987">
        <v>7</v>
      </c>
    </row>
    <row r="3988" spans="1:15">
      <c r="A3988" t="s">
        <v>22897</v>
      </c>
      <c r="B3988" t="s">
        <v>11615</v>
      </c>
      <c r="C3988" t="s">
        <v>22894</v>
      </c>
      <c r="D3988" t="s">
        <v>22898</v>
      </c>
      <c r="E3988" t="b">
        <v>0</v>
      </c>
      <c r="F3988" t="s">
        <v>11624</v>
      </c>
      <c r="G3988">
        <v>-6.1782399999999997</v>
      </c>
      <c r="H3988">
        <v>145.13900000000001</v>
      </c>
      <c r="I3988" t="s">
        <v>22899</v>
      </c>
      <c r="L3988">
        <v>0</v>
      </c>
      <c r="M3988">
        <v>0</v>
      </c>
      <c r="N3988">
        <v>5</v>
      </c>
      <c r="O3988" t="s">
        <v>11660</v>
      </c>
    </row>
    <row r="3989" spans="1:15">
      <c r="A3989" t="s">
        <v>22900</v>
      </c>
      <c r="B3989" t="s">
        <v>6455</v>
      </c>
      <c r="C3989" t="s">
        <v>6391</v>
      </c>
      <c r="D3989" t="s">
        <v>22901</v>
      </c>
      <c r="E3989" t="b">
        <v>0</v>
      </c>
      <c r="F3989" t="s">
        <v>11610</v>
      </c>
      <c r="L3989">
        <v>0</v>
      </c>
      <c r="M3989">
        <v>0</v>
      </c>
      <c r="N3989">
        <v>0</v>
      </c>
    </row>
    <row r="3990" spans="1:15">
      <c r="A3990" t="s">
        <v>22902</v>
      </c>
      <c r="B3990" t="s">
        <v>11627</v>
      </c>
      <c r="C3990" t="s">
        <v>11627</v>
      </c>
      <c r="D3990" t="s">
        <v>22903</v>
      </c>
      <c r="E3990" t="b">
        <v>1</v>
      </c>
      <c r="F3990" t="s">
        <v>11624</v>
      </c>
      <c r="G3990">
        <v>22.563800000000001</v>
      </c>
      <c r="H3990">
        <v>101.95</v>
      </c>
      <c r="I3990" t="s">
        <v>22904</v>
      </c>
      <c r="L3990">
        <v>0</v>
      </c>
      <c r="M3990">
        <v>0</v>
      </c>
      <c r="N3990">
        <v>0</v>
      </c>
      <c r="O3990" t="s">
        <v>11905</v>
      </c>
    </row>
    <row r="3991" spans="1:15">
      <c r="A3991" t="s">
        <v>22905</v>
      </c>
      <c r="B3991" t="s">
        <v>11644</v>
      </c>
      <c r="C3991" t="s">
        <v>22906</v>
      </c>
      <c r="D3991" t="s">
        <v>22907</v>
      </c>
      <c r="E3991" t="b">
        <v>0</v>
      </c>
      <c r="F3991" t="s">
        <v>11622</v>
      </c>
      <c r="L3991">
        <v>0</v>
      </c>
      <c r="M3991">
        <v>2</v>
      </c>
      <c r="N3991">
        <v>0</v>
      </c>
    </row>
    <row r="3992" spans="1:15">
      <c r="A3992" t="s">
        <v>22908</v>
      </c>
      <c r="B3992" t="s">
        <v>11644</v>
      </c>
      <c r="C3992" t="s">
        <v>22905</v>
      </c>
      <c r="D3992" t="s">
        <v>22909</v>
      </c>
      <c r="E3992" t="b">
        <v>0</v>
      </c>
      <c r="F3992" t="s">
        <v>11624</v>
      </c>
      <c r="G3992">
        <v>27.418381</v>
      </c>
      <c r="H3992">
        <v>92.234686999999994</v>
      </c>
      <c r="I3992" t="s">
        <v>22910</v>
      </c>
      <c r="L3992">
        <v>0</v>
      </c>
      <c r="M3992">
        <v>0</v>
      </c>
      <c r="N3992">
        <v>0</v>
      </c>
      <c r="O3992" t="s">
        <v>11630</v>
      </c>
    </row>
    <row r="3993" spans="1:15">
      <c r="A3993" t="s">
        <v>22911</v>
      </c>
      <c r="B3993" t="s">
        <v>4342</v>
      </c>
      <c r="C3993" t="s">
        <v>22912</v>
      </c>
      <c r="D3993" t="s">
        <v>22913</v>
      </c>
      <c r="E3993" t="b">
        <v>0</v>
      </c>
      <c r="F3993" t="s">
        <v>11610</v>
      </c>
      <c r="L3993">
        <v>0</v>
      </c>
      <c r="M3993">
        <v>0</v>
      </c>
      <c r="N3993">
        <v>8</v>
      </c>
    </row>
    <row r="3994" spans="1:15">
      <c r="A3994" t="s">
        <v>22914</v>
      </c>
      <c r="B3994" t="s">
        <v>13014</v>
      </c>
      <c r="C3994" t="s">
        <v>22915</v>
      </c>
      <c r="D3994" t="s">
        <v>22916</v>
      </c>
      <c r="E3994" t="b">
        <v>0</v>
      </c>
      <c r="F3994" t="s">
        <v>11610</v>
      </c>
      <c r="L3994">
        <v>0</v>
      </c>
      <c r="M3994">
        <v>0</v>
      </c>
      <c r="N3994">
        <v>0</v>
      </c>
    </row>
    <row r="3995" spans="1:15">
      <c r="A3995" t="s">
        <v>22917</v>
      </c>
      <c r="B3995" t="s">
        <v>5911</v>
      </c>
      <c r="C3995" t="s">
        <v>22918</v>
      </c>
      <c r="D3995" t="s">
        <v>22919</v>
      </c>
      <c r="E3995" t="b">
        <v>0</v>
      </c>
      <c r="F3995" t="s">
        <v>11622</v>
      </c>
      <c r="L3995">
        <v>0</v>
      </c>
      <c r="M3995">
        <v>2</v>
      </c>
      <c r="N3995">
        <v>0</v>
      </c>
    </row>
    <row r="3996" spans="1:15">
      <c r="A3996" t="s">
        <v>22920</v>
      </c>
      <c r="B3996" t="s">
        <v>5911</v>
      </c>
      <c r="C3996" t="s">
        <v>22917</v>
      </c>
      <c r="D3996" t="s">
        <v>22921</v>
      </c>
      <c r="E3996" t="b">
        <v>0</v>
      </c>
      <c r="F3996" t="s">
        <v>11624</v>
      </c>
      <c r="G3996">
        <v>15.8399</v>
      </c>
      <c r="H3996">
        <v>-91.76</v>
      </c>
      <c r="I3996" t="s">
        <v>22922</v>
      </c>
      <c r="L3996">
        <v>0</v>
      </c>
      <c r="M3996">
        <v>0</v>
      </c>
      <c r="N3996">
        <v>0</v>
      </c>
      <c r="O3996" t="s">
        <v>11927</v>
      </c>
    </row>
    <row r="3997" spans="1:15">
      <c r="A3997" t="s">
        <v>22923</v>
      </c>
      <c r="B3997" t="s">
        <v>11627</v>
      </c>
      <c r="C3997" t="s">
        <v>11627</v>
      </c>
      <c r="D3997" t="s">
        <v>22924</v>
      </c>
      <c r="E3997" t="b">
        <v>1</v>
      </c>
      <c r="F3997" t="s">
        <v>11624</v>
      </c>
      <c r="I3997" t="s">
        <v>22925</v>
      </c>
      <c r="L3997">
        <v>0</v>
      </c>
      <c r="M3997">
        <v>0</v>
      </c>
      <c r="N3997">
        <v>0</v>
      </c>
      <c r="O3997" t="s">
        <v>22509</v>
      </c>
    </row>
    <row r="3998" spans="1:15">
      <c r="A3998" t="s">
        <v>22926</v>
      </c>
      <c r="B3998" t="s">
        <v>11644</v>
      </c>
      <c r="C3998" t="s">
        <v>22927</v>
      </c>
      <c r="D3998" t="s">
        <v>22928</v>
      </c>
      <c r="E3998" t="b">
        <v>0</v>
      </c>
      <c r="F3998" t="s">
        <v>11610</v>
      </c>
      <c r="L3998">
        <v>0</v>
      </c>
      <c r="M3998">
        <v>0</v>
      </c>
      <c r="N3998">
        <v>0</v>
      </c>
    </row>
    <row r="3999" spans="1:15">
      <c r="A3999" t="s">
        <v>22929</v>
      </c>
      <c r="B3999" t="s">
        <v>11644</v>
      </c>
      <c r="C3999" t="s">
        <v>22930</v>
      </c>
      <c r="D3999" t="s">
        <v>22931</v>
      </c>
      <c r="E3999" t="b">
        <v>0</v>
      </c>
      <c r="F3999" t="s">
        <v>11624</v>
      </c>
      <c r="G3999">
        <v>27.358000000000001</v>
      </c>
      <c r="H3999">
        <v>86.982399999999998</v>
      </c>
      <c r="I3999" t="s">
        <v>22932</v>
      </c>
      <c r="L3999">
        <v>0</v>
      </c>
      <c r="M3999">
        <v>0</v>
      </c>
      <c r="N3999">
        <v>0</v>
      </c>
      <c r="O3999" t="s">
        <v>15007</v>
      </c>
    </row>
    <row r="4000" spans="1:15">
      <c r="A4000" t="s">
        <v>13210</v>
      </c>
      <c r="D4000" t="s">
        <v>22933</v>
      </c>
      <c r="E4000" t="b">
        <v>0</v>
      </c>
      <c r="F4000" t="s">
        <v>11622</v>
      </c>
      <c r="L4000">
        <v>3</v>
      </c>
      <c r="M4000">
        <v>7</v>
      </c>
      <c r="N4000">
        <v>24</v>
      </c>
    </row>
    <row r="4001" spans="1:15">
      <c r="A4001" t="s">
        <v>2035</v>
      </c>
      <c r="B4001" t="s">
        <v>13210</v>
      </c>
      <c r="C4001" t="s">
        <v>13210</v>
      </c>
      <c r="D4001" t="s">
        <v>22934</v>
      </c>
      <c r="E4001" t="b">
        <v>0</v>
      </c>
      <c r="F4001" t="s">
        <v>11622</v>
      </c>
      <c r="L4001">
        <v>1</v>
      </c>
      <c r="M4001">
        <v>4</v>
      </c>
      <c r="N4001">
        <v>20</v>
      </c>
    </row>
    <row r="4002" spans="1:15">
      <c r="A4002" t="s">
        <v>355</v>
      </c>
      <c r="B4002" t="s">
        <v>13210</v>
      </c>
      <c r="C4002" t="s">
        <v>2035</v>
      </c>
      <c r="D4002" t="s">
        <v>22935</v>
      </c>
      <c r="E4002" t="b">
        <v>0</v>
      </c>
      <c r="F4002" t="s">
        <v>11624</v>
      </c>
      <c r="G4002">
        <v>68.643600000000006</v>
      </c>
      <c r="H4002">
        <v>170.04499999999999</v>
      </c>
      <c r="I4002" t="s">
        <v>356</v>
      </c>
      <c r="L4002">
        <v>0</v>
      </c>
      <c r="M4002">
        <v>0</v>
      </c>
      <c r="N4002">
        <v>8</v>
      </c>
      <c r="O4002" t="s">
        <v>12748</v>
      </c>
    </row>
    <row r="4003" spans="1:15">
      <c r="A4003" t="s">
        <v>22936</v>
      </c>
      <c r="B4003" t="s">
        <v>6742</v>
      </c>
      <c r="C4003" t="s">
        <v>22937</v>
      </c>
      <c r="D4003" t="s">
        <v>22938</v>
      </c>
      <c r="E4003" t="b">
        <v>0</v>
      </c>
      <c r="F4003" t="s">
        <v>11624</v>
      </c>
      <c r="G4003">
        <v>-0.27405000000000002</v>
      </c>
      <c r="H4003">
        <v>37.611600000000003</v>
      </c>
      <c r="I4003" t="s">
        <v>22939</v>
      </c>
      <c r="L4003">
        <v>0</v>
      </c>
      <c r="M4003">
        <v>0</v>
      </c>
      <c r="N4003">
        <v>0</v>
      </c>
      <c r="O4003" t="s">
        <v>22848</v>
      </c>
    </row>
    <row r="4004" spans="1:15">
      <c r="A4004" t="s">
        <v>22940</v>
      </c>
      <c r="B4004" t="s">
        <v>331</v>
      </c>
      <c r="C4004" t="s">
        <v>22941</v>
      </c>
      <c r="D4004" t="s">
        <v>22942</v>
      </c>
      <c r="E4004" t="b">
        <v>0</v>
      </c>
      <c r="F4004" t="s">
        <v>11624</v>
      </c>
      <c r="G4004">
        <v>54.320900000000002</v>
      </c>
      <c r="H4004">
        <v>89.554100000000005</v>
      </c>
      <c r="I4004" t="s">
        <v>22943</v>
      </c>
      <c r="L4004">
        <v>0</v>
      </c>
      <c r="M4004">
        <v>0</v>
      </c>
      <c r="N4004">
        <v>9</v>
      </c>
      <c r="O4004" t="s">
        <v>12748</v>
      </c>
    </row>
    <row r="4005" spans="1:15">
      <c r="A4005" t="s">
        <v>22944</v>
      </c>
      <c r="B4005" t="s">
        <v>6742</v>
      </c>
      <c r="C4005" t="s">
        <v>22945</v>
      </c>
      <c r="D4005" t="s">
        <v>22946</v>
      </c>
      <c r="E4005" t="b">
        <v>0</v>
      </c>
      <c r="F4005" t="s">
        <v>11624</v>
      </c>
      <c r="G4005">
        <v>8.1521100000000004</v>
      </c>
      <c r="H4005">
        <v>-0.27550000000000002</v>
      </c>
      <c r="I4005" t="s">
        <v>22947</v>
      </c>
      <c r="L4005">
        <v>0</v>
      </c>
      <c r="M4005">
        <v>0</v>
      </c>
      <c r="N4005">
        <v>3</v>
      </c>
      <c r="O4005" t="s">
        <v>11985</v>
      </c>
    </row>
    <row r="4006" spans="1:15">
      <c r="A4006" t="s">
        <v>16997</v>
      </c>
      <c r="D4006" t="s">
        <v>22948</v>
      </c>
      <c r="E4006" t="b">
        <v>0</v>
      </c>
      <c r="F4006" t="s">
        <v>11622</v>
      </c>
      <c r="L4006">
        <v>2</v>
      </c>
      <c r="M4006">
        <v>6</v>
      </c>
      <c r="N4006">
        <v>0</v>
      </c>
    </row>
    <row r="4007" spans="1:15">
      <c r="A4007" t="s">
        <v>22949</v>
      </c>
      <c r="B4007" t="s">
        <v>141</v>
      </c>
      <c r="C4007" t="s">
        <v>14180</v>
      </c>
      <c r="D4007" t="s">
        <v>22950</v>
      </c>
      <c r="E4007" t="b">
        <v>0</v>
      </c>
      <c r="F4007" t="s">
        <v>11610</v>
      </c>
      <c r="L4007">
        <v>0</v>
      </c>
      <c r="M4007">
        <v>0</v>
      </c>
      <c r="N4007">
        <v>0</v>
      </c>
    </row>
    <row r="4008" spans="1:15">
      <c r="A4008" t="s">
        <v>22951</v>
      </c>
      <c r="B4008" t="s">
        <v>11627</v>
      </c>
      <c r="C4008" t="s">
        <v>11627</v>
      </c>
      <c r="D4008" t="s">
        <v>22952</v>
      </c>
      <c r="E4008" t="b">
        <v>1</v>
      </c>
      <c r="F4008" t="s">
        <v>11624</v>
      </c>
      <c r="I4008" t="s">
        <v>22953</v>
      </c>
      <c r="L4008">
        <v>0</v>
      </c>
      <c r="M4008">
        <v>0</v>
      </c>
      <c r="N4008">
        <v>0</v>
      </c>
      <c r="O4008" t="s">
        <v>11944</v>
      </c>
    </row>
    <row r="4009" spans="1:15">
      <c r="A4009" t="s">
        <v>22945</v>
      </c>
      <c r="B4009" t="s">
        <v>6742</v>
      </c>
      <c r="C4009" t="s">
        <v>22954</v>
      </c>
      <c r="D4009" t="s">
        <v>22955</v>
      </c>
      <c r="E4009" t="b">
        <v>0</v>
      </c>
      <c r="F4009" t="s">
        <v>11622</v>
      </c>
      <c r="L4009">
        <v>0</v>
      </c>
      <c r="M4009">
        <v>2</v>
      </c>
      <c r="N4009">
        <v>5</v>
      </c>
    </row>
    <row r="4010" spans="1:15">
      <c r="A4010" t="s">
        <v>22956</v>
      </c>
      <c r="B4010" t="s">
        <v>11644</v>
      </c>
      <c r="C4010" t="s">
        <v>20314</v>
      </c>
      <c r="D4010" t="s">
        <v>22957</v>
      </c>
      <c r="E4010" t="b">
        <v>0</v>
      </c>
      <c r="F4010" t="s">
        <v>11610</v>
      </c>
      <c r="L4010">
        <v>0</v>
      </c>
      <c r="M4010">
        <v>0</v>
      </c>
      <c r="N4010">
        <v>0</v>
      </c>
    </row>
    <row r="4011" spans="1:15">
      <c r="A4011" t="s">
        <v>22958</v>
      </c>
      <c r="B4011" t="s">
        <v>22388</v>
      </c>
      <c r="C4011" t="s">
        <v>232</v>
      </c>
      <c r="D4011" t="s">
        <v>22959</v>
      </c>
      <c r="E4011" t="b">
        <v>0</v>
      </c>
      <c r="F4011" t="s">
        <v>11610</v>
      </c>
      <c r="L4011">
        <v>0</v>
      </c>
      <c r="M4011">
        <v>0</v>
      </c>
      <c r="N4011">
        <v>0</v>
      </c>
    </row>
    <row r="4012" spans="1:15">
      <c r="A4012" t="s">
        <v>22960</v>
      </c>
      <c r="B4012" t="s">
        <v>11644</v>
      </c>
      <c r="C4012" t="s">
        <v>22961</v>
      </c>
      <c r="D4012" t="s">
        <v>22962</v>
      </c>
      <c r="E4012" t="b">
        <v>0</v>
      </c>
      <c r="F4012" t="s">
        <v>11610</v>
      </c>
      <c r="L4012">
        <v>0</v>
      </c>
      <c r="M4012">
        <v>0</v>
      </c>
      <c r="N4012">
        <v>3</v>
      </c>
    </row>
    <row r="4013" spans="1:15">
      <c r="A4013" t="s">
        <v>22963</v>
      </c>
      <c r="B4013" t="s">
        <v>141</v>
      </c>
      <c r="C4013" t="s">
        <v>9095</v>
      </c>
      <c r="D4013" t="s">
        <v>22964</v>
      </c>
      <c r="E4013" t="b">
        <v>0</v>
      </c>
      <c r="F4013" t="s">
        <v>11610</v>
      </c>
      <c r="L4013">
        <v>0</v>
      </c>
      <c r="M4013">
        <v>0</v>
      </c>
      <c r="N4013">
        <v>0</v>
      </c>
    </row>
    <row r="4014" spans="1:15">
      <c r="A4014" t="s">
        <v>22965</v>
      </c>
      <c r="B4014" t="s">
        <v>11637</v>
      </c>
      <c r="C4014" t="s">
        <v>21368</v>
      </c>
      <c r="D4014" t="s">
        <v>22966</v>
      </c>
      <c r="E4014" t="b">
        <v>0</v>
      </c>
      <c r="F4014" t="s">
        <v>11610</v>
      </c>
      <c r="L4014">
        <v>0</v>
      </c>
      <c r="M4014">
        <v>0</v>
      </c>
      <c r="N4014">
        <v>0</v>
      </c>
    </row>
    <row r="4015" spans="1:15">
      <c r="A4015" t="s">
        <v>22967</v>
      </c>
      <c r="B4015" t="s">
        <v>11637</v>
      </c>
      <c r="C4015" t="s">
        <v>22968</v>
      </c>
      <c r="D4015" t="s">
        <v>22969</v>
      </c>
      <c r="E4015" t="b">
        <v>0</v>
      </c>
      <c r="F4015" t="s">
        <v>11624</v>
      </c>
      <c r="G4015">
        <v>43.717100000000002</v>
      </c>
      <c r="H4015">
        <v>22.844200000000001</v>
      </c>
      <c r="I4015" t="s">
        <v>22970</v>
      </c>
      <c r="L4015">
        <v>0</v>
      </c>
      <c r="M4015">
        <v>0</v>
      </c>
      <c r="N4015">
        <v>0</v>
      </c>
      <c r="O4015" t="s">
        <v>12748</v>
      </c>
    </row>
    <row r="4016" spans="1:15">
      <c r="A4016" t="s">
        <v>22971</v>
      </c>
      <c r="B4016" t="s">
        <v>11637</v>
      </c>
      <c r="C4016" t="s">
        <v>18241</v>
      </c>
      <c r="D4016" t="s">
        <v>22972</v>
      </c>
      <c r="E4016" t="b">
        <v>0</v>
      </c>
      <c r="F4016" t="s">
        <v>11624</v>
      </c>
      <c r="G4016">
        <v>32.896900000000002</v>
      </c>
      <c r="H4016">
        <v>76.112399999999994</v>
      </c>
      <c r="I4016" t="s">
        <v>22973</v>
      </c>
      <c r="L4016">
        <v>0</v>
      </c>
      <c r="M4016">
        <v>0</v>
      </c>
      <c r="N4016">
        <v>0</v>
      </c>
      <c r="O4016" t="s">
        <v>11630</v>
      </c>
    </row>
    <row r="4017" spans="1:15">
      <c r="A4017" t="s">
        <v>22974</v>
      </c>
      <c r="B4017" t="s">
        <v>11637</v>
      </c>
      <c r="C4017" t="s">
        <v>16887</v>
      </c>
      <c r="D4017" t="s">
        <v>22975</v>
      </c>
      <c r="E4017" t="b">
        <v>0</v>
      </c>
      <c r="F4017" t="s">
        <v>11610</v>
      </c>
      <c r="L4017">
        <v>0</v>
      </c>
      <c r="M4017">
        <v>0</v>
      </c>
      <c r="N4017">
        <v>0</v>
      </c>
    </row>
    <row r="4018" spans="1:15">
      <c r="A4018" t="s">
        <v>22976</v>
      </c>
      <c r="B4018" t="s">
        <v>11637</v>
      </c>
      <c r="C4018" t="s">
        <v>96</v>
      </c>
      <c r="D4018" t="s">
        <v>22977</v>
      </c>
      <c r="E4018" t="b">
        <v>0</v>
      </c>
      <c r="F4018" t="s">
        <v>11610</v>
      </c>
      <c r="L4018">
        <v>0</v>
      </c>
      <c r="M4018">
        <v>0</v>
      </c>
      <c r="N4018">
        <v>0</v>
      </c>
    </row>
    <row r="4019" spans="1:15">
      <c r="A4019" t="s">
        <v>22978</v>
      </c>
      <c r="B4019" t="s">
        <v>4342</v>
      </c>
      <c r="C4019" t="s">
        <v>22979</v>
      </c>
      <c r="D4019" t="s">
        <v>22980</v>
      </c>
      <c r="E4019" t="b">
        <v>0</v>
      </c>
      <c r="F4019" t="s">
        <v>11610</v>
      </c>
      <c r="L4019">
        <v>0</v>
      </c>
      <c r="M4019">
        <v>0</v>
      </c>
      <c r="N4019">
        <v>0</v>
      </c>
    </row>
    <row r="4020" spans="1:15">
      <c r="A4020" t="s">
        <v>14461</v>
      </c>
      <c r="B4020" t="s">
        <v>12438</v>
      </c>
      <c r="C4020" t="s">
        <v>12439</v>
      </c>
      <c r="D4020" t="s">
        <v>22981</v>
      </c>
      <c r="E4020" t="b">
        <v>0</v>
      </c>
      <c r="F4020" t="s">
        <v>11622</v>
      </c>
      <c r="L4020">
        <v>0</v>
      </c>
      <c r="M4020">
        <v>3</v>
      </c>
      <c r="N4020">
        <v>9</v>
      </c>
    </row>
    <row r="4021" spans="1:15">
      <c r="A4021" t="s">
        <v>22982</v>
      </c>
      <c r="B4021" t="s">
        <v>12438</v>
      </c>
      <c r="C4021" t="s">
        <v>14461</v>
      </c>
      <c r="D4021" t="s">
        <v>22983</v>
      </c>
      <c r="E4021" t="b">
        <v>0</v>
      </c>
      <c r="F4021" t="s">
        <v>11624</v>
      </c>
      <c r="G4021">
        <v>17.681899999999999</v>
      </c>
      <c r="H4021">
        <v>105.773</v>
      </c>
      <c r="I4021" t="s">
        <v>22984</v>
      </c>
      <c r="L4021">
        <v>0</v>
      </c>
      <c r="M4021">
        <v>0</v>
      </c>
      <c r="N4021">
        <v>3</v>
      </c>
      <c r="O4021" t="s">
        <v>14464</v>
      </c>
    </row>
    <row r="4022" spans="1:15">
      <c r="A4022" t="s">
        <v>22985</v>
      </c>
      <c r="B4022" t="s">
        <v>11644</v>
      </c>
      <c r="C4022" t="s">
        <v>22986</v>
      </c>
      <c r="D4022" t="s">
        <v>22987</v>
      </c>
      <c r="E4022" t="b">
        <v>0</v>
      </c>
      <c r="F4022" t="s">
        <v>11610</v>
      </c>
      <c r="L4022">
        <v>0</v>
      </c>
      <c r="M4022">
        <v>0</v>
      </c>
      <c r="N4022">
        <v>0</v>
      </c>
    </row>
    <row r="4023" spans="1:15">
      <c r="A4023" t="s">
        <v>22988</v>
      </c>
      <c r="B4023" t="s">
        <v>367</v>
      </c>
      <c r="C4023" t="s">
        <v>14352</v>
      </c>
      <c r="D4023" t="s">
        <v>22989</v>
      </c>
      <c r="E4023" t="b">
        <v>0</v>
      </c>
      <c r="F4023" t="s">
        <v>11610</v>
      </c>
      <c r="L4023">
        <v>0</v>
      </c>
      <c r="M4023">
        <v>0</v>
      </c>
      <c r="N4023">
        <v>0</v>
      </c>
    </row>
    <row r="4024" spans="1:15">
      <c r="A4024" t="s">
        <v>12439</v>
      </c>
      <c r="B4024" t="s">
        <v>12438</v>
      </c>
      <c r="C4024" t="s">
        <v>22990</v>
      </c>
      <c r="D4024" t="s">
        <v>22991</v>
      </c>
      <c r="E4024" t="b">
        <v>0</v>
      </c>
      <c r="F4024" t="s">
        <v>11622</v>
      </c>
      <c r="L4024">
        <v>1</v>
      </c>
      <c r="M4024">
        <v>4</v>
      </c>
      <c r="N4024">
        <v>9</v>
      </c>
    </row>
    <row r="4025" spans="1:15">
      <c r="A4025" t="s">
        <v>69</v>
      </c>
      <c r="B4025" t="s">
        <v>367</v>
      </c>
      <c r="C4025" t="s">
        <v>22992</v>
      </c>
      <c r="D4025" t="s">
        <v>22993</v>
      </c>
      <c r="E4025" t="b">
        <v>0</v>
      </c>
      <c r="F4025" t="s">
        <v>11624</v>
      </c>
      <c r="G4025">
        <v>7.3469930000000003</v>
      </c>
      <c r="H4025">
        <v>151.59860699999999</v>
      </c>
      <c r="I4025" t="s">
        <v>70</v>
      </c>
      <c r="L4025">
        <v>0</v>
      </c>
      <c r="M4025">
        <v>0</v>
      </c>
      <c r="N4025">
        <v>2</v>
      </c>
      <c r="O4025" t="s">
        <v>22994</v>
      </c>
    </row>
    <row r="4026" spans="1:15">
      <c r="A4026" t="s">
        <v>13625</v>
      </c>
      <c r="B4026" t="s">
        <v>331</v>
      </c>
      <c r="C4026" t="s">
        <v>19249</v>
      </c>
      <c r="D4026" t="s">
        <v>22995</v>
      </c>
      <c r="E4026" t="b">
        <v>0</v>
      </c>
      <c r="F4026" t="s">
        <v>11624</v>
      </c>
      <c r="G4026">
        <v>55.487000000000002</v>
      </c>
      <c r="H4026">
        <v>47.162999999999997</v>
      </c>
      <c r="I4026" t="s">
        <v>22996</v>
      </c>
      <c r="L4026">
        <v>0</v>
      </c>
      <c r="M4026">
        <v>0</v>
      </c>
      <c r="N4026">
        <v>2</v>
      </c>
      <c r="O4026" t="s">
        <v>22997</v>
      </c>
    </row>
    <row r="4027" spans="1:15">
      <c r="A4027" t="s">
        <v>22998</v>
      </c>
      <c r="B4027" t="s">
        <v>2064</v>
      </c>
      <c r="C4027" t="s">
        <v>22999</v>
      </c>
      <c r="D4027" t="s">
        <v>23000</v>
      </c>
      <c r="E4027" t="b">
        <v>0</v>
      </c>
      <c r="F4027" t="s">
        <v>11624</v>
      </c>
      <c r="I4027" t="s">
        <v>23001</v>
      </c>
      <c r="L4027">
        <v>0</v>
      </c>
      <c r="M4027">
        <v>0</v>
      </c>
      <c r="N4027">
        <v>0</v>
      </c>
      <c r="O4027" t="s">
        <v>12748</v>
      </c>
    </row>
    <row r="4028" spans="1:15">
      <c r="A4028" t="s">
        <v>21482</v>
      </c>
      <c r="B4028" t="s">
        <v>6742</v>
      </c>
      <c r="C4028" t="s">
        <v>23002</v>
      </c>
      <c r="D4028" t="s">
        <v>23003</v>
      </c>
      <c r="E4028" t="b">
        <v>0</v>
      </c>
      <c r="F4028" t="s">
        <v>11624</v>
      </c>
      <c r="G4028">
        <v>-17.3428</v>
      </c>
      <c r="H4028">
        <v>37.123100000000001</v>
      </c>
      <c r="I4028" t="s">
        <v>23004</v>
      </c>
      <c r="L4028">
        <v>0</v>
      </c>
      <c r="M4028">
        <v>0</v>
      </c>
      <c r="N4028">
        <v>4</v>
      </c>
      <c r="O4028" t="s">
        <v>17188</v>
      </c>
    </row>
    <row r="4029" spans="1:15">
      <c r="A4029" t="s">
        <v>23002</v>
      </c>
      <c r="B4029" t="s">
        <v>6742</v>
      </c>
      <c r="C4029" t="s">
        <v>23005</v>
      </c>
      <c r="D4029" t="s">
        <v>23006</v>
      </c>
      <c r="E4029" t="b">
        <v>0</v>
      </c>
      <c r="F4029" t="s">
        <v>11622</v>
      </c>
      <c r="L4029">
        <v>0</v>
      </c>
      <c r="M4029">
        <v>4</v>
      </c>
      <c r="N4029">
        <v>4</v>
      </c>
    </row>
    <row r="4030" spans="1:15">
      <c r="A4030" t="s">
        <v>23007</v>
      </c>
      <c r="B4030" t="s">
        <v>11644</v>
      </c>
      <c r="C4030" t="s">
        <v>22960</v>
      </c>
      <c r="D4030" t="s">
        <v>23008</v>
      </c>
      <c r="E4030" t="b">
        <v>0</v>
      </c>
      <c r="F4030" t="s">
        <v>11610</v>
      </c>
      <c r="L4030">
        <v>0</v>
      </c>
      <c r="M4030">
        <v>0</v>
      </c>
      <c r="N4030">
        <v>0</v>
      </c>
    </row>
    <row r="4031" spans="1:15">
      <c r="A4031" t="s">
        <v>23009</v>
      </c>
      <c r="B4031" t="s">
        <v>6742</v>
      </c>
      <c r="C4031" t="s">
        <v>23010</v>
      </c>
      <c r="D4031" t="s">
        <v>23011</v>
      </c>
      <c r="E4031" t="b">
        <v>0</v>
      </c>
      <c r="F4031" t="s">
        <v>11610</v>
      </c>
      <c r="L4031">
        <v>0</v>
      </c>
      <c r="M4031">
        <v>0</v>
      </c>
      <c r="N4031">
        <v>0</v>
      </c>
    </row>
    <row r="4032" spans="1:15">
      <c r="A4032" t="s">
        <v>23012</v>
      </c>
      <c r="B4032" t="s">
        <v>4236</v>
      </c>
      <c r="C4032" t="s">
        <v>23013</v>
      </c>
      <c r="D4032" t="s">
        <v>23014</v>
      </c>
      <c r="E4032" t="b">
        <v>0</v>
      </c>
      <c r="F4032" t="s">
        <v>11610</v>
      </c>
      <c r="L4032">
        <v>0</v>
      </c>
      <c r="M4032">
        <v>0</v>
      </c>
      <c r="N4032">
        <v>0</v>
      </c>
    </row>
    <row r="4033" spans="1:15">
      <c r="A4033" t="s">
        <v>23015</v>
      </c>
      <c r="B4033" t="s">
        <v>12148</v>
      </c>
      <c r="C4033" t="s">
        <v>15018</v>
      </c>
      <c r="D4033" t="s">
        <v>23016</v>
      </c>
      <c r="E4033" t="b">
        <v>0</v>
      </c>
      <c r="F4033" t="s">
        <v>11610</v>
      </c>
      <c r="L4033">
        <v>0</v>
      </c>
      <c r="M4033">
        <v>0</v>
      </c>
      <c r="N4033">
        <v>0</v>
      </c>
    </row>
    <row r="4034" spans="1:15">
      <c r="A4034" t="s">
        <v>23017</v>
      </c>
      <c r="B4034" t="s">
        <v>367</v>
      </c>
      <c r="C4034" t="s">
        <v>20647</v>
      </c>
      <c r="D4034" t="s">
        <v>23018</v>
      </c>
      <c r="E4034" t="b">
        <v>0</v>
      </c>
      <c r="F4034" t="s">
        <v>11624</v>
      </c>
      <c r="G4034">
        <v>-5.6828900000000004</v>
      </c>
      <c r="H4034">
        <v>122.791</v>
      </c>
      <c r="I4034" t="s">
        <v>23019</v>
      </c>
      <c r="L4034">
        <v>0</v>
      </c>
      <c r="M4034">
        <v>0</v>
      </c>
      <c r="N4034">
        <v>10</v>
      </c>
      <c r="O4034" t="s">
        <v>11768</v>
      </c>
    </row>
    <row r="4035" spans="1:15">
      <c r="A4035" t="s">
        <v>23020</v>
      </c>
      <c r="B4035" t="s">
        <v>11607</v>
      </c>
      <c r="C4035" t="s">
        <v>20453</v>
      </c>
      <c r="D4035" t="s">
        <v>23021</v>
      </c>
      <c r="E4035" t="b">
        <v>0</v>
      </c>
      <c r="F4035" t="s">
        <v>11624</v>
      </c>
      <c r="G4035">
        <v>10.8977</v>
      </c>
      <c r="H4035">
        <v>12.901999999999999</v>
      </c>
      <c r="I4035" t="s">
        <v>23022</v>
      </c>
      <c r="L4035">
        <v>0</v>
      </c>
      <c r="M4035">
        <v>0</v>
      </c>
      <c r="N4035">
        <v>0</v>
      </c>
      <c r="O4035" t="s">
        <v>11693</v>
      </c>
    </row>
    <row r="4036" spans="1:15">
      <c r="A4036" t="s">
        <v>22057</v>
      </c>
      <c r="B4036" t="s">
        <v>6742</v>
      </c>
      <c r="C4036" t="s">
        <v>23023</v>
      </c>
      <c r="D4036" t="s">
        <v>23024</v>
      </c>
      <c r="E4036" t="b">
        <v>0</v>
      </c>
      <c r="F4036" t="s">
        <v>11624</v>
      </c>
      <c r="G4036">
        <v>11.041700000000001</v>
      </c>
      <c r="H4036">
        <v>5.5407299999999999</v>
      </c>
      <c r="I4036" t="s">
        <v>23025</v>
      </c>
      <c r="L4036">
        <v>0</v>
      </c>
      <c r="M4036">
        <v>0</v>
      </c>
      <c r="N4036">
        <v>1</v>
      </c>
      <c r="O4036" t="s">
        <v>11693</v>
      </c>
    </row>
    <row r="4037" spans="1:15">
      <c r="A4037" t="s">
        <v>23026</v>
      </c>
      <c r="B4037" t="s">
        <v>11637</v>
      </c>
      <c r="C4037" t="s">
        <v>4378</v>
      </c>
      <c r="D4037" t="s">
        <v>23027</v>
      </c>
      <c r="E4037" t="b">
        <v>0</v>
      </c>
      <c r="F4037" t="s">
        <v>11610</v>
      </c>
      <c r="L4037">
        <v>0</v>
      </c>
      <c r="M4037">
        <v>0</v>
      </c>
      <c r="N4037">
        <v>0</v>
      </c>
    </row>
    <row r="4038" spans="1:15">
      <c r="A4038" t="s">
        <v>23028</v>
      </c>
      <c r="B4038" t="s">
        <v>11757</v>
      </c>
      <c r="C4038" t="s">
        <v>12267</v>
      </c>
      <c r="D4038" t="s">
        <v>23029</v>
      </c>
      <c r="E4038" t="b">
        <v>0</v>
      </c>
      <c r="F4038" t="s">
        <v>11610</v>
      </c>
      <c r="L4038">
        <v>0</v>
      </c>
      <c r="M4038">
        <v>0</v>
      </c>
      <c r="N4038">
        <v>0</v>
      </c>
    </row>
    <row r="4039" spans="1:15">
      <c r="A4039" t="s">
        <v>23030</v>
      </c>
      <c r="B4039" t="s">
        <v>11757</v>
      </c>
      <c r="C4039" t="s">
        <v>945</v>
      </c>
      <c r="D4039" t="s">
        <v>23031</v>
      </c>
      <c r="E4039" t="b">
        <v>0</v>
      </c>
      <c r="F4039" t="s">
        <v>11610</v>
      </c>
      <c r="L4039">
        <v>0</v>
      </c>
      <c r="M4039">
        <v>0</v>
      </c>
      <c r="N4039">
        <v>0</v>
      </c>
    </row>
    <row r="4040" spans="1:15">
      <c r="A4040" t="s">
        <v>23032</v>
      </c>
      <c r="B4040" t="s">
        <v>6742</v>
      </c>
      <c r="C4040" t="s">
        <v>15474</v>
      </c>
      <c r="D4040" t="s">
        <v>23033</v>
      </c>
      <c r="E4040" t="b">
        <v>0</v>
      </c>
      <c r="F4040" t="s">
        <v>11624</v>
      </c>
      <c r="G4040">
        <v>6.8421700000000003</v>
      </c>
      <c r="H4040">
        <v>2.0213399999999999</v>
      </c>
      <c r="I4040" t="s">
        <v>23034</v>
      </c>
      <c r="L4040">
        <v>0</v>
      </c>
      <c r="M4040">
        <v>0</v>
      </c>
      <c r="N4040">
        <v>0</v>
      </c>
      <c r="O4040" t="s">
        <v>15477</v>
      </c>
    </row>
    <row r="4041" spans="1:15">
      <c r="A4041" t="s">
        <v>23035</v>
      </c>
      <c r="B4041" t="s">
        <v>13450</v>
      </c>
      <c r="C4041" t="s">
        <v>22545</v>
      </c>
      <c r="D4041" t="s">
        <v>23036</v>
      </c>
      <c r="E4041" t="b">
        <v>0</v>
      </c>
      <c r="F4041" t="s">
        <v>11610</v>
      </c>
      <c r="L4041">
        <v>0</v>
      </c>
      <c r="M4041">
        <v>0</v>
      </c>
      <c r="N4041">
        <v>0</v>
      </c>
    </row>
    <row r="4042" spans="1:15">
      <c r="A4042" t="s">
        <v>23037</v>
      </c>
      <c r="B4042" t="s">
        <v>11637</v>
      </c>
      <c r="C4042" t="s">
        <v>23038</v>
      </c>
      <c r="D4042" t="s">
        <v>23039</v>
      </c>
      <c r="E4042" t="b">
        <v>0</v>
      </c>
      <c r="F4042" t="s">
        <v>11624</v>
      </c>
      <c r="G4042">
        <v>46.877679999999998</v>
      </c>
      <c r="H4042">
        <v>11.42855</v>
      </c>
      <c r="I4042" t="s">
        <v>23040</v>
      </c>
      <c r="L4042">
        <v>0</v>
      </c>
      <c r="M4042">
        <v>0</v>
      </c>
      <c r="N4042">
        <v>3</v>
      </c>
      <c r="O4042" t="s">
        <v>13676</v>
      </c>
    </row>
    <row r="4043" spans="1:15">
      <c r="A4043" t="s">
        <v>23041</v>
      </c>
      <c r="B4043" t="s">
        <v>6742</v>
      </c>
      <c r="C4043" t="s">
        <v>23042</v>
      </c>
      <c r="D4043" t="s">
        <v>23043</v>
      </c>
      <c r="E4043" t="b">
        <v>0</v>
      </c>
      <c r="F4043" t="s">
        <v>11622</v>
      </c>
      <c r="L4043">
        <v>5</v>
      </c>
      <c r="M4043">
        <v>12</v>
      </c>
      <c r="N4043">
        <v>5</v>
      </c>
    </row>
    <row r="4044" spans="1:15">
      <c r="A4044" t="s">
        <v>23044</v>
      </c>
      <c r="B4044" t="s">
        <v>11644</v>
      </c>
      <c r="C4044" t="s">
        <v>23045</v>
      </c>
      <c r="D4044" t="s">
        <v>23046</v>
      </c>
      <c r="E4044" t="b">
        <v>0</v>
      </c>
      <c r="F4044" t="s">
        <v>11610</v>
      </c>
      <c r="L4044">
        <v>0</v>
      </c>
      <c r="M4044">
        <v>0</v>
      </c>
      <c r="N4044">
        <v>0</v>
      </c>
    </row>
    <row r="4045" spans="1:15">
      <c r="A4045" t="s">
        <v>23047</v>
      </c>
      <c r="B4045" t="s">
        <v>367</v>
      </c>
      <c r="C4045" t="s">
        <v>20178</v>
      </c>
      <c r="D4045" t="s">
        <v>23048</v>
      </c>
      <c r="E4045" t="b">
        <v>0</v>
      </c>
      <c r="F4045" t="s">
        <v>11624</v>
      </c>
      <c r="G4045">
        <v>9.1792999999999996</v>
      </c>
      <c r="H4045">
        <v>124.721</v>
      </c>
      <c r="I4045" t="s">
        <v>23049</v>
      </c>
      <c r="L4045">
        <v>0</v>
      </c>
      <c r="M4045">
        <v>0</v>
      </c>
      <c r="N4045">
        <v>0</v>
      </c>
      <c r="O4045" t="s">
        <v>11749</v>
      </c>
    </row>
    <row r="4046" spans="1:15">
      <c r="A4046" t="s">
        <v>23050</v>
      </c>
      <c r="B4046" t="s">
        <v>11637</v>
      </c>
      <c r="C4046" t="s">
        <v>23051</v>
      </c>
      <c r="D4046" t="s">
        <v>23052</v>
      </c>
      <c r="E4046" t="b">
        <v>0</v>
      </c>
      <c r="F4046" t="s">
        <v>11610</v>
      </c>
      <c r="L4046">
        <v>0</v>
      </c>
      <c r="M4046">
        <v>0</v>
      </c>
      <c r="N4046">
        <v>0</v>
      </c>
    </row>
    <row r="4047" spans="1:15">
      <c r="A4047" t="s">
        <v>23053</v>
      </c>
      <c r="B4047" t="s">
        <v>6742</v>
      </c>
      <c r="C4047" t="s">
        <v>23054</v>
      </c>
      <c r="D4047" t="s">
        <v>23055</v>
      </c>
      <c r="E4047" t="b">
        <v>0</v>
      </c>
      <c r="F4047" t="s">
        <v>11624</v>
      </c>
      <c r="G4047">
        <v>10.341900000000001</v>
      </c>
      <c r="H4047">
        <v>5.8421200000000004</v>
      </c>
      <c r="I4047" t="s">
        <v>23056</v>
      </c>
      <c r="L4047">
        <v>0</v>
      </c>
      <c r="M4047">
        <v>0</v>
      </c>
      <c r="N4047">
        <v>3</v>
      </c>
      <c r="O4047" t="s">
        <v>11693</v>
      </c>
    </row>
    <row r="4048" spans="1:15">
      <c r="A4048" t="s">
        <v>23057</v>
      </c>
      <c r="B4048" t="s">
        <v>6742</v>
      </c>
      <c r="C4048" t="s">
        <v>23053</v>
      </c>
      <c r="D4048" t="s">
        <v>23058</v>
      </c>
      <c r="E4048" t="b">
        <v>0</v>
      </c>
      <c r="F4048" t="s">
        <v>11610</v>
      </c>
      <c r="L4048">
        <v>0</v>
      </c>
      <c r="M4048">
        <v>0</v>
      </c>
      <c r="N4048">
        <v>0</v>
      </c>
    </row>
    <row r="4049" spans="1:15">
      <c r="A4049" t="s">
        <v>23059</v>
      </c>
      <c r="B4049" t="s">
        <v>11607</v>
      </c>
      <c r="C4049" t="s">
        <v>23060</v>
      </c>
      <c r="D4049" t="s">
        <v>23061</v>
      </c>
      <c r="E4049" t="b">
        <v>0</v>
      </c>
      <c r="F4049" t="s">
        <v>11624</v>
      </c>
      <c r="G4049">
        <v>11.1319</v>
      </c>
      <c r="H4049">
        <v>13.8187</v>
      </c>
      <c r="I4049" t="s">
        <v>23062</v>
      </c>
      <c r="L4049">
        <v>0</v>
      </c>
      <c r="M4049">
        <v>0</v>
      </c>
      <c r="N4049">
        <v>0</v>
      </c>
      <c r="O4049" t="s">
        <v>11693</v>
      </c>
    </row>
    <row r="4050" spans="1:15">
      <c r="A4050" t="s">
        <v>23063</v>
      </c>
      <c r="B4050" t="s">
        <v>11912</v>
      </c>
      <c r="C4050" t="s">
        <v>14646</v>
      </c>
      <c r="D4050" t="s">
        <v>23064</v>
      </c>
      <c r="E4050" t="b">
        <v>0</v>
      </c>
      <c r="F4050" t="s">
        <v>11624</v>
      </c>
      <c r="G4050">
        <v>-10.587899999999999</v>
      </c>
      <c r="H4050">
        <v>-60.831200000000003</v>
      </c>
      <c r="I4050" t="s">
        <v>23065</v>
      </c>
      <c r="L4050">
        <v>0</v>
      </c>
      <c r="M4050">
        <v>0</v>
      </c>
      <c r="N4050">
        <v>0</v>
      </c>
      <c r="O4050" t="s">
        <v>11969</v>
      </c>
    </row>
    <row r="4051" spans="1:15">
      <c r="A4051" t="s">
        <v>12136</v>
      </c>
      <c r="B4051" t="s">
        <v>11653</v>
      </c>
      <c r="C4051" t="s">
        <v>11653</v>
      </c>
      <c r="D4051" t="s">
        <v>23066</v>
      </c>
      <c r="E4051" t="b">
        <v>0</v>
      </c>
      <c r="F4051" t="s">
        <v>11622</v>
      </c>
      <c r="L4051">
        <v>0</v>
      </c>
      <c r="M4051">
        <v>2</v>
      </c>
      <c r="N4051">
        <v>6</v>
      </c>
    </row>
    <row r="4052" spans="1:15">
      <c r="A4052" t="s">
        <v>23067</v>
      </c>
      <c r="B4052" t="s">
        <v>11637</v>
      </c>
      <c r="C4052" t="s">
        <v>23068</v>
      </c>
      <c r="D4052" t="s">
        <v>23069</v>
      </c>
      <c r="E4052" t="b">
        <v>0</v>
      </c>
      <c r="F4052" t="s">
        <v>11622</v>
      </c>
      <c r="L4052">
        <v>3</v>
      </c>
      <c r="M4052">
        <v>8</v>
      </c>
      <c r="N4052">
        <v>6</v>
      </c>
    </row>
    <row r="4053" spans="1:15">
      <c r="A4053" t="s">
        <v>23070</v>
      </c>
      <c r="B4053" t="s">
        <v>367</v>
      </c>
      <c r="C4053" t="s">
        <v>16794</v>
      </c>
      <c r="D4053" t="s">
        <v>23071</v>
      </c>
      <c r="E4053" t="b">
        <v>0</v>
      </c>
      <c r="F4053" t="s">
        <v>11610</v>
      </c>
      <c r="L4053">
        <v>0</v>
      </c>
      <c r="M4053">
        <v>0</v>
      </c>
      <c r="N4053">
        <v>0</v>
      </c>
    </row>
    <row r="4054" spans="1:15">
      <c r="A4054" t="s">
        <v>23072</v>
      </c>
      <c r="B4054" t="s">
        <v>367</v>
      </c>
      <c r="C4054" t="s">
        <v>16812</v>
      </c>
      <c r="D4054" t="s">
        <v>23073</v>
      </c>
      <c r="E4054" t="b">
        <v>0</v>
      </c>
      <c r="F4054" t="s">
        <v>11610</v>
      </c>
      <c r="G4054">
        <v>-6.74533</v>
      </c>
      <c r="H4054">
        <v>108.538</v>
      </c>
      <c r="L4054">
        <v>0</v>
      </c>
      <c r="M4054">
        <v>0</v>
      </c>
      <c r="N4054">
        <v>0</v>
      </c>
    </row>
    <row r="4055" spans="1:15">
      <c r="A4055" t="s">
        <v>23074</v>
      </c>
      <c r="B4055" t="s">
        <v>11637</v>
      </c>
      <c r="C4055" t="s">
        <v>23075</v>
      </c>
      <c r="D4055" t="s">
        <v>23076</v>
      </c>
      <c r="E4055" t="b">
        <v>0</v>
      </c>
      <c r="F4055" t="s">
        <v>11624</v>
      </c>
      <c r="G4055">
        <v>45.2</v>
      </c>
      <c r="H4055">
        <v>8.93</v>
      </c>
      <c r="I4055" t="s">
        <v>23077</v>
      </c>
      <c r="L4055">
        <v>0</v>
      </c>
      <c r="M4055">
        <v>0</v>
      </c>
      <c r="N4055">
        <v>0</v>
      </c>
      <c r="O4055" t="s">
        <v>13676</v>
      </c>
    </row>
    <row r="4056" spans="1:15">
      <c r="A4056" t="s">
        <v>23075</v>
      </c>
      <c r="B4056" t="s">
        <v>11637</v>
      </c>
      <c r="C4056" t="s">
        <v>23078</v>
      </c>
      <c r="D4056" t="s">
        <v>23079</v>
      </c>
      <c r="E4056" t="b">
        <v>0</v>
      </c>
      <c r="F4056" t="s">
        <v>11622</v>
      </c>
      <c r="L4056">
        <v>0</v>
      </c>
      <c r="M4056">
        <v>2</v>
      </c>
      <c r="N4056">
        <v>0</v>
      </c>
    </row>
    <row r="4057" spans="1:15">
      <c r="A4057" t="s">
        <v>23080</v>
      </c>
      <c r="B4057" t="s">
        <v>6742</v>
      </c>
      <c r="C4057" t="s">
        <v>23081</v>
      </c>
      <c r="D4057" t="s">
        <v>23082</v>
      </c>
      <c r="E4057" t="b">
        <v>0</v>
      </c>
      <c r="F4057" t="s">
        <v>11624</v>
      </c>
      <c r="G4057">
        <v>9.8845799999999997</v>
      </c>
      <c r="H4057">
        <v>4.4856400000000001</v>
      </c>
      <c r="I4057" t="s">
        <v>23083</v>
      </c>
      <c r="L4057">
        <v>0</v>
      </c>
      <c r="M4057">
        <v>0</v>
      </c>
      <c r="N4057">
        <v>1</v>
      </c>
      <c r="O4057" t="s">
        <v>15587</v>
      </c>
    </row>
    <row r="4058" spans="1:15">
      <c r="A4058" t="s">
        <v>23084</v>
      </c>
      <c r="B4058" t="s">
        <v>11981</v>
      </c>
      <c r="C4058" t="s">
        <v>13854</v>
      </c>
      <c r="D4058" t="s">
        <v>23085</v>
      </c>
      <c r="E4058" t="b">
        <v>0</v>
      </c>
      <c r="F4058" t="s">
        <v>11610</v>
      </c>
      <c r="L4058">
        <v>0</v>
      </c>
      <c r="M4058">
        <v>0</v>
      </c>
      <c r="N4058">
        <v>0</v>
      </c>
    </row>
    <row r="4059" spans="1:15">
      <c r="A4059" t="s">
        <v>19991</v>
      </c>
      <c r="B4059" t="s">
        <v>11615</v>
      </c>
      <c r="C4059" t="s">
        <v>23086</v>
      </c>
      <c r="D4059" t="s">
        <v>23087</v>
      </c>
      <c r="E4059" t="b">
        <v>0</v>
      </c>
      <c r="F4059" t="s">
        <v>11624</v>
      </c>
      <c r="G4059">
        <v>-5.5827600000000004</v>
      </c>
      <c r="H4059">
        <v>139.46100000000001</v>
      </c>
      <c r="I4059" t="s">
        <v>23088</v>
      </c>
      <c r="L4059">
        <v>0</v>
      </c>
      <c r="M4059">
        <v>0</v>
      </c>
      <c r="N4059">
        <v>7</v>
      </c>
      <c r="O4059" t="s">
        <v>11768</v>
      </c>
    </row>
    <row r="4060" spans="1:15">
      <c r="A4060" t="s">
        <v>23086</v>
      </c>
      <c r="B4060" t="s">
        <v>11615</v>
      </c>
      <c r="C4060" t="s">
        <v>5648</v>
      </c>
      <c r="D4060" t="s">
        <v>23089</v>
      </c>
      <c r="E4060" t="b">
        <v>0</v>
      </c>
      <c r="F4060" t="s">
        <v>11622</v>
      </c>
      <c r="L4060">
        <v>0</v>
      </c>
      <c r="M4060">
        <v>3</v>
      </c>
      <c r="N4060">
        <v>7</v>
      </c>
    </row>
    <row r="4061" spans="1:15">
      <c r="A4061" t="s">
        <v>23090</v>
      </c>
      <c r="B4061" t="s">
        <v>11644</v>
      </c>
      <c r="C4061" t="s">
        <v>15856</v>
      </c>
      <c r="D4061" t="s">
        <v>23091</v>
      </c>
      <c r="E4061" t="b">
        <v>0</v>
      </c>
      <c r="F4061" t="s">
        <v>11610</v>
      </c>
      <c r="L4061">
        <v>0</v>
      </c>
      <c r="M4061">
        <v>0</v>
      </c>
      <c r="N4061">
        <v>0</v>
      </c>
    </row>
    <row r="4062" spans="1:15">
      <c r="A4062" t="s">
        <v>23092</v>
      </c>
      <c r="B4062" t="s">
        <v>11637</v>
      </c>
      <c r="C4062" t="s">
        <v>10074</v>
      </c>
      <c r="D4062" t="s">
        <v>23093</v>
      </c>
      <c r="E4062" t="b">
        <v>0</v>
      </c>
      <c r="F4062" t="s">
        <v>11610</v>
      </c>
      <c r="L4062">
        <v>0</v>
      </c>
      <c r="M4062">
        <v>0</v>
      </c>
      <c r="N4062">
        <v>0</v>
      </c>
    </row>
    <row r="4063" spans="1:15">
      <c r="A4063" t="s">
        <v>23094</v>
      </c>
      <c r="B4063" t="s">
        <v>11607</v>
      </c>
      <c r="C4063" t="s">
        <v>12615</v>
      </c>
      <c r="D4063" t="s">
        <v>23095</v>
      </c>
      <c r="E4063" t="b">
        <v>0</v>
      </c>
      <c r="F4063" t="s">
        <v>11624</v>
      </c>
      <c r="G4063">
        <v>10.8881</v>
      </c>
      <c r="H4063">
        <v>9.8855799999999991</v>
      </c>
      <c r="I4063" t="s">
        <v>23096</v>
      </c>
      <c r="L4063">
        <v>0</v>
      </c>
      <c r="M4063">
        <v>0</v>
      </c>
      <c r="N4063">
        <v>0</v>
      </c>
      <c r="O4063" t="s">
        <v>11693</v>
      </c>
    </row>
    <row r="4064" spans="1:15">
      <c r="A4064" t="s">
        <v>23097</v>
      </c>
      <c r="B4064" t="s">
        <v>367</v>
      </c>
      <c r="C4064" t="s">
        <v>119</v>
      </c>
      <c r="D4064" t="s">
        <v>23098</v>
      </c>
      <c r="E4064" t="b">
        <v>0</v>
      </c>
      <c r="F4064" t="s">
        <v>11610</v>
      </c>
      <c r="G4064">
        <v>-6.2771460000000001</v>
      </c>
      <c r="H4064">
        <v>106.848088</v>
      </c>
      <c r="L4064">
        <v>0</v>
      </c>
      <c r="M4064">
        <v>0</v>
      </c>
      <c r="N4064">
        <v>0</v>
      </c>
    </row>
    <row r="4065" spans="1:15">
      <c r="A4065" t="s">
        <v>23099</v>
      </c>
      <c r="B4065" t="s">
        <v>22610</v>
      </c>
      <c r="C4065" t="s">
        <v>11228</v>
      </c>
      <c r="D4065" t="s">
        <v>23100</v>
      </c>
      <c r="E4065" t="b">
        <v>0</v>
      </c>
      <c r="F4065" t="s">
        <v>11610</v>
      </c>
      <c r="L4065">
        <v>0</v>
      </c>
      <c r="M4065">
        <v>0</v>
      </c>
      <c r="N4065">
        <v>0</v>
      </c>
    </row>
    <row r="4066" spans="1:15">
      <c r="A4066" t="s">
        <v>17677</v>
      </c>
      <c r="B4066" t="s">
        <v>9071</v>
      </c>
      <c r="C4066" t="s">
        <v>23101</v>
      </c>
      <c r="D4066" t="s">
        <v>23102</v>
      </c>
      <c r="E4066" t="b">
        <v>0</v>
      </c>
      <c r="F4066" t="s">
        <v>11624</v>
      </c>
      <c r="G4066">
        <v>48.070700000000002</v>
      </c>
      <c r="H4066">
        <v>-123.511</v>
      </c>
      <c r="I4066" t="s">
        <v>23103</v>
      </c>
      <c r="L4066">
        <v>0</v>
      </c>
      <c r="M4066">
        <v>0</v>
      </c>
      <c r="N4066">
        <v>3</v>
      </c>
      <c r="O4066" t="s">
        <v>11944</v>
      </c>
    </row>
    <row r="4067" spans="1:15">
      <c r="A4067" t="s">
        <v>23104</v>
      </c>
      <c r="B4067" t="s">
        <v>11637</v>
      </c>
      <c r="C4067" t="s">
        <v>7045</v>
      </c>
      <c r="D4067" t="s">
        <v>23105</v>
      </c>
      <c r="E4067" t="b">
        <v>0</v>
      </c>
      <c r="F4067" t="s">
        <v>11624</v>
      </c>
      <c r="G4067">
        <v>38.592315999999997</v>
      </c>
      <c r="H4067">
        <v>41.346421999999997</v>
      </c>
      <c r="I4067" t="s">
        <v>23106</v>
      </c>
      <c r="L4067">
        <v>0</v>
      </c>
      <c r="M4067">
        <v>0</v>
      </c>
      <c r="N4067">
        <v>0</v>
      </c>
      <c r="O4067" t="s">
        <v>14593</v>
      </c>
    </row>
    <row r="4068" spans="1:15">
      <c r="A4068" t="s">
        <v>6330</v>
      </c>
      <c r="B4068" t="s">
        <v>12751</v>
      </c>
      <c r="C4068" t="s">
        <v>21695</v>
      </c>
      <c r="D4068" t="s">
        <v>23107</v>
      </c>
      <c r="E4068" t="b">
        <v>0</v>
      </c>
      <c r="F4068" t="s">
        <v>11624</v>
      </c>
      <c r="G4068">
        <v>19.72</v>
      </c>
      <c r="H4068">
        <v>-96.97</v>
      </c>
      <c r="I4068" t="s">
        <v>6331</v>
      </c>
      <c r="L4068">
        <v>0</v>
      </c>
      <c r="M4068">
        <v>0</v>
      </c>
      <c r="N4068">
        <v>0</v>
      </c>
      <c r="O4068" t="s">
        <v>11883</v>
      </c>
    </row>
    <row r="4069" spans="1:15">
      <c r="A4069" t="s">
        <v>23108</v>
      </c>
      <c r="B4069" t="s">
        <v>141</v>
      </c>
      <c r="C4069" t="s">
        <v>15441</v>
      </c>
      <c r="D4069" t="s">
        <v>23109</v>
      </c>
      <c r="E4069" t="b">
        <v>0</v>
      </c>
      <c r="F4069" t="s">
        <v>11624</v>
      </c>
      <c r="G4069">
        <v>-9.9999900000000004</v>
      </c>
      <c r="H4069">
        <v>-76.5</v>
      </c>
      <c r="I4069" t="s">
        <v>23110</v>
      </c>
      <c r="L4069">
        <v>0</v>
      </c>
      <c r="M4069">
        <v>0</v>
      </c>
      <c r="N4069">
        <v>0</v>
      </c>
      <c r="O4069" t="s">
        <v>11778</v>
      </c>
    </row>
    <row r="4070" spans="1:15">
      <c r="A4070" t="s">
        <v>23111</v>
      </c>
      <c r="B4070" t="s">
        <v>11607</v>
      </c>
      <c r="C4070" t="s">
        <v>21769</v>
      </c>
      <c r="D4070" t="s">
        <v>23112</v>
      </c>
      <c r="E4070" t="b">
        <v>0</v>
      </c>
      <c r="F4070" t="s">
        <v>11624</v>
      </c>
      <c r="G4070">
        <v>37.112900000000003</v>
      </c>
      <c r="H4070">
        <v>42.1432</v>
      </c>
      <c r="I4070" t="s">
        <v>23113</v>
      </c>
      <c r="L4070">
        <v>0</v>
      </c>
      <c r="M4070">
        <v>0</v>
      </c>
      <c r="N4070">
        <v>2</v>
      </c>
      <c r="O4070" t="s">
        <v>16254</v>
      </c>
    </row>
    <row r="4071" spans="1:15">
      <c r="A4071" t="s">
        <v>23114</v>
      </c>
      <c r="B4071" t="s">
        <v>11607</v>
      </c>
      <c r="C4071" t="s">
        <v>23115</v>
      </c>
      <c r="D4071" t="s">
        <v>23116</v>
      </c>
      <c r="E4071" t="b">
        <v>0</v>
      </c>
      <c r="F4071" t="s">
        <v>11624</v>
      </c>
      <c r="G4071">
        <v>36.1203</v>
      </c>
      <c r="H4071">
        <v>49.565899999999999</v>
      </c>
      <c r="I4071" t="s">
        <v>23117</v>
      </c>
      <c r="L4071">
        <v>0</v>
      </c>
      <c r="M4071">
        <v>0</v>
      </c>
      <c r="N4071">
        <v>0</v>
      </c>
      <c r="O4071" t="s">
        <v>13225</v>
      </c>
    </row>
    <row r="4072" spans="1:15">
      <c r="A4072" t="s">
        <v>23118</v>
      </c>
      <c r="B4072" t="s">
        <v>11644</v>
      </c>
      <c r="C4072" t="s">
        <v>23119</v>
      </c>
      <c r="D4072" t="s">
        <v>23120</v>
      </c>
      <c r="E4072" t="b">
        <v>0</v>
      </c>
      <c r="F4072" t="s">
        <v>11624</v>
      </c>
      <c r="I4072" t="s">
        <v>23121</v>
      </c>
      <c r="L4072">
        <v>0</v>
      </c>
      <c r="M4072">
        <v>0</v>
      </c>
      <c r="N4072">
        <v>0</v>
      </c>
      <c r="O4072" t="s">
        <v>11905</v>
      </c>
    </row>
    <row r="4073" spans="1:15">
      <c r="A4073" t="s">
        <v>23122</v>
      </c>
      <c r="B4073" t="s">
        <v>11644</v>
      </c>
      <c r="C4073" t="s">
        <v>23123</v>
      </c>
      <c r="D4073" t="s">
        <v>23124</v>
      </c>
      <c r="E4073" t="b">
        <v>0</v>
      </c>
      <c r="F4073" t="s">
        <v>11622</v>
      </c>
      <c r="L4073">
        <v>7</v>
      </c>
      <c r="M4073">
        <v>19</v>
      </c>
      <c r="N4073">
        <v>160</v>
      </c>
    </row>
    <row r="4074" spans="1:15">
      <c r="A4074" t="s">
        <v>12109</v>
      </c>
      <c r="B4074" t="s">
        <v>6742</v>
      </c>
      <c r="C4074" t="s">
        <v>23125</v>
      </c>
      <c r="D4074" t="s">
        <v>23126</v>
      </c>
      <c r="E4074" t="b">
        <v>0</v>
      </c>
      <c r="F4074" t="s">
        <v>11624</v>
      </c>
      <c r="G4074">
        <v>11.465299999999999</v>
      </c>
      <c r="H4074">
        <v>5.2654399999999999</v>
      </c>
      <c r="I4074" t="s">
        <v>23127</v>
      </c>
      <c r="L4074">
        <v>0</v>
      </c>
      <c r="M4074">
        <v>0</v>
      </c>
      <c r="N4074">
        <v>4</v>
      </c>
      <c r="O4074" t="s">
        <v>11693</v>
      </c>
    </row>
    <row r="4075" spans="1:15">
      <c r="A4075" t="s">
        <v>23125</v>
      </c>
      <c r="B4075" t="s">
        <v>6742</v>
      </c>
      <c r="C4075" t="s">
        <v>23128</v>
      </c>
      <c r="D4075" t="s">
        <v>23129</v>
      </c>
      <c r="E4075" t="b">
        <v>0</v>
      </c>
      <c r="F4075" t="s">
        <v>11622</v>
      </c>
      <c r="L4075">
        <v>0</v>
      </c>
      <c r="M4075">
        <v>2</v>
      </c>
      <c r="N4075">
        <v>4</v>
      </c>
    </row>
    <row r="4076" spans="1:15">
      <c r="A4076" t="s">
        <v>23130</v>
      </c>
      <c r="D4076" t="s">
        <v>23131</v>
      </c>
      <c r="E4076" t="b">
        <v>0</v>
      </c>
      <c r="F4076" t="s">
        <v>11624</v>
      </c>
      <c r="G4076">
        <v>28.258900000000001</v>
      </c>
      <c r="H4076">
        <v>-97.89</v>
      </c>
      <c r="I4076" t="s">
        <v>23132</v>
      </c>
      <c r="L4076">
        <v>0</v>
      </c>
      <c r="M4076">
        <v>0</v>
      </c>
      <c r="N4076">
        <v>0</v>
      </c>
      <c r="O4076" t="s">
        <v>11944</v>
      </c>
    </row>
    <row r="4077" spans="1:15">
      <c r="A4077" t="s">
        <v>23133</v>
      </c>
      <c r="B4077" t="s">
        <v>11637</v>
      </c>
      <c r="C4077" t="s">
        <v>16881</v>
      </c>
      <c r="D4077" t="s">
        <v>23134</v>
      </c>
      <c r="E4077" t="b">
        <v>0</v>
      </c>
      <c r="F4077" t="s">
        <v>11610</v>
      </c>
      <c r="L4077">
        <v>0</v>
      </c>
      <c r="M4077">
        <v>0</v>
      </c>
      <c r="N4077">
        <v>0</v>
      </c>
    </row>
    <row r="4078" spans="1:15">
      <c r="A4078" t="s">
        <v>23135</v>
      </c>
      <c r="B4078" t="s">
        <v>6742</v>
      </c>
      <c r="C4078" t="s">
        <v>23136</v>
      </c>
      <c r="D4078" t="s">
        <v>23137</v>
      </c>
      <c r="E4078" t="b">
        <v>0</v>
      </c>
      <c r="F4078" t="s">
        <v>11610</v>
      </c>
      <c r="L4078">
        <v>0</v>
      </c>
      <c r="M4078">
        <v>0</v>
      </c>
      <c r="N4078">
        <v>0</v>
      </c>
    </row>
    <row r="4079" spans="1:15">
      <c r="A4079" t="s">
        <v>23138</v>
      </c>
      <c r="B4079" t="s">
        <v>367</v>
      </c>
      <c r="C4079" t="s">
        <v>21617</v>
      </c>
      <c r="D4079" t="s">
        <v>23139</v>
      </c>
      <c r="E4079" t="b">
        <v>0</v>
      </c>
      <c r="F4079" t="s">
        <v>11624</v>
      </c>
      <c r="G4079">
        <v>5.7706499999999998</v>
      </c>
      <c r="H4079">
        <v>116.063</v>
      </c>
      <c r="I4079" t="s">
        <v>23140</v>
      </c>
      <c r="L4079">
        <v>0</v>
      </c>
      <c r="M4079">
        <v>0</v>
      </c>
      <c r="N4079">
        <v>0</v>
      </c>
      <c r="O4079" t="s">
        <v>11672</v>
      </c>
    </row>
    <row r="4080" spans="1:15">
      <c r="A4080" t="s">
        <v>16815</v>
      </c>
      <c r="B4080" t="s">
        <v>367</v>
      </c>
      <c r="C4080" t="s">
        <v>23141</v>
      </c>
      <c r="D4080" t="s">
        <v>23142</v>
      </c>
      <c r="E4080" t="b">
        <v>0</v>
      </c>
      <c r="F4080" t="s">
        <v>11624</v>
      </c>
      <c r="G4080">
        <v>-5.4153200000000004</v>
      </c>
      <c r="H4080">
        <v>120.304</v>
      </c>
      <c r="I4080" t="s">
        <v>23143</v>
      </c>
      <c r="L4080">
        <v>0</v>
      </c>
      <c r="M4080">
        <v>0</v>
      </c>
      <c r="N4080">
        <v>3</v>
      </c>
      <c r="O4080" t="s">
        <v>11768</v>
      </c>
    </row>
    <row r="4081" spans="1:15">
      <c r="A4081" t="s">
        <v>23144</v>
      </c>
      <c r="B4081" t="s">
        <v>11834</v>
      </c>
      <c r="C4081" t="s">
        <v>20173</v>
      </c>
      <c r="D4081" t="s">
        <v>23145</v>
      </c>
      <c r="E4081" t="b">
        <v>0</v>
      </c>
      <c r="F4081" t="s">
        <v>11610</v>
      </c>
      <c r="L4081">
        <v>0</v>
      </c>
      <c r="M4081">
        <v>0</v>
      </c>
      <c r="N4081">
        <v>0</v>
      </c>
    </row>
    <row r="4082" spans="1:15">
      <c r="A4082" t="s">
        <v>17174</v>
      </c>
      <c r="B4082" t="s">
        <v>11615</v>
      </c>
      <c r="C4082" t="s">
        <v>23146</v>
      </c>
      <c r="D4082" t="s">
        <v>23147</v>
      </c>
      <c r="E4082" t="b">
        <v>0</v>
      </c>
      <c r="F4082" t="s">
        <v>11622</v>
      </c>
      <c r="L4082">
        <v>2</v>
      </c>
      <c r="M4082">
        <v>5</v>
      </c>
      <c r="N4082">
        <v>9</v>
      </c>
    </row>
    <row r="4083" spans="1:15">
      <c r="A4083" t="s">
        <v>23148</v>
      </c>
      <c r="B4083" t="s">
        <v>14524</v>
      </c>
      <c r="C4083" t="s">
        <v>23149</v>
      </c>
      <c r="D4083" t="s">
        <v>23150</v>
      </c>
      <c r="E4083" t="b">
        <v>0</v>
      </c>
      <c r="F4083" t="s">
        <v>11610</v>
      </c>
      <c r="L4083">
        <v>0</v>
      </c>
      <c r="M4083">
        <v>0</v>
      </c>
      <c r="N4083">
        <v>0</v>
      </c>
    </row>
    <row r="4084" spans="1:15">
      <c r="A4084" t="s">
        <v>23151</v>
      </c>
      <c r="B4084" t="s">
        <v>13014</v>
      </c>
      <c r="C4084" t="s">
        <v>23152</v>
      </c>
      <c r="D4084" t="s">
        <v>23153</v>
      </c>
      <c r="E4084" t="b">
        <v>0</v>
      </c>
      <c r="F4084" t="s">
        <v>11610</v>
      </c>
      <c r="L4084">
        <v>0</v>
      </c>
      <c r="M4084">
        <v>0</v>
      </c>
      <c r="N4084">
        <v>0</v>
      </c>
    </row>
    <row r="4085" spans="1:15">
      <c r="A4085" t="s">
        <v>23154</v>
      </c>
      <c r="B4085" t="s">
        <v>6436</v>
      </c>
      <c r="C4085" t="s">
        <v>6435</v>
      </c>
      <c r="D4085" t="s">
        <v>23155</v>
      </c>
      <c r="E4085" t="b">
        <v>0</v>
      </c>
      <c r="F4085" t="s">
        <v>11610</v>
      </c>
      <c r="L4085">
        <v>0</v>
      </c>
      <c r="M4085">
        <v>0</v>
      </c>
      <c r="N4085">
        <v>0</v>
      </c>
    </row>
    <row r="4086" spans="1:15">
      <c r="A4086" t="s">
        <v>19039</v>
      </c>
      <c r="B4086" t="s">
        <v>17579</v>
      </c>
      <c r="C4086" t="s">
        <v>23156</v>
      </c>
      <c r="D4086" t="s">
        <v>23157</v>
      </c>
      <c r="E4086" t="b">
        <v>0</v>
      </c>
      <c r="F4086" t="s">
        <v>11624</v>
      </c>
      <c r="G4086">
        <v>38.328499999999998</v>
      </c>
      <c r="H4086">
        <v>-122.994</v>
      </c>
      <c r="I4086" t="s">
        <v>23158</v>
      </c>
      <c r="L4086">
        <v>0</v>
      </c>
      <c r="M4086">
        <v>0</v>
      </c>
      <c r="N4086">
        <v>3</v>
      </c>
      <c r="O4086" t="s">
        <v>11944</v>
      </c>
    </row>
    <row r="4087" spans="1:15">
      <c r="A4087" t="s">
        <v>22130</v>
      </c>
      <c r="B4087" t="s">
        <v>8310</v>
      </c>
      <c r="C4087" t="s">
        <v>23159</v>
      </c>
      <c r="D4087" t="s">
        <v>23160</v>
      </c>
      <c r="E4087" t="b">
        <v>0</v>
      </c>
      <c r="F4087" t="s">
        <v>11622</v>
      </c>
      <c r="L4087">
        <v>0</v>
      </c>
      <c r="M4087">
        <v>2</v>
      </c>
      <c r="N4087">
        <v>0</v>
      </c>
    </row>
    <row r="4088" spans="1:15">
      <c r="A4088" t="s">
        <v>22222</v>
      </c>
      <c r="B4088" t="s">
        <v>367</v>
      </c>
      <c r="C4088" t="s">
        <v>22226</v>
      </c>
      <c r="D4088" t="s">
        <v>23161</v>
      </c>
      <c r="E4088" t="b">
        <v>0</v>
      </c>
      <c r="F4088" t="s">
        <v>11622</v>
      </c>
      <c r="L4088">
        <v>1</v>
      </c>
      <c r="M4088">
        <v>3</v>
      </c>
      <c r="N4088">
        <v>0</v>
      </c>
    </row>
    <row r="4089" spans="1:15">
      <c r="A4089" t="s">
        <v>23162</v>
      </c>
      <c r="B4089" t="s">
        <v>11607</v>
      </c>
      <c r="C4089" t="s">
        <v>23163</v>
      </c>
      <c r="D4089" t="s">
        <v>23164</v>
      </c>
      <c r="E4089" t="b">
        <v>0</v>
      </c>
      <c r="F4089" t="s">
        <v>11610</v>
      </c>
      <c r="L4089">
        <v>0</v>
      </c>
      <c r="M4089">
        <v>0</v>
      </c>
      <c r="N4089">
        <v>0</v>
      </c>
    </row>
    <row r="4090" spans="1:15">
      <c r="A4090" t="s">
        <v>23165</v>
      </c>
      <c r="B4090" t="s">
        <v>9071</v>
      </c>
      <c r="C4090" t="s">
        <v>23166</v>
      </c>
      <c r="D4090" t="s">
        <v>23167</v>
      </c>
      <c r="E4090" t="b">
        <v>0</v>
      </c>
      <c r="F4090" t="s">
        <v>11622</v>
      </c>
      <c r="L4090">
        <v>0</v>
      </c>
      <c r="M4090">
        <v>2</v>
      </c>
      <c r="N4090">
        <v>1</v>
      </c>
    </row>
    <row r="4091" spans="1:15">
      <c r="A4091" t="s">
        <v>18175</v>
      </c>
      <c r="B4091" t="s">
        <v>16947</v>
      </c>
      <c r="C4091" t="s">
        <v>18101</v>
      </c>
      <c r="D4091" t="s">
        <v>23168</v>
      </c>
      <c r="E4091" t="b">
        <v>0</v>
      </c>
      <c r="F4091" t="s">
        <v>11622</v>
      </c>
      <c r="L4091">
        <v>1</v>
      </c>
      <c r="M4091">
        <v>7</v>
      </c>
      <c r="N4091">
        <v>0</v>
      </c>
    </row>
    <row r="4092" spans="1:15">
      <c r="A4092" t="s">
        <v>23169</v>
      </c>
      <c r="B4092" t="s">
        <v>10597</v>
      </c>
      <c r="C4092" t="s">
        <v>23170</v>
      </c>
      <c r="D4092" t="s">
        <v>23171</v>
      </c>
      <c r="E4092" t="b">
        <v>0</v>
      </c>
      <c r="F4092" t="s">
        <v>11622</v>
      </c>
      <c r="L4092">
        <v>1</v>
      </c>
      <c r="M4092">
        <v>3</v>
      </c>
      <c r="N4092">
        <v>3</v>
      </c>
    </row>
    <row r="4093" spans="1:15">
      <c r="A4093" t="s">
        <v>23172</v>
      </c>
      <c r="B4093" t="s">
        <v>11879</v>
      </c>
      <c r="C4093" t="s">
        <v>23173</v>
      </c>
      <c r="D4093" t="s">
        <v>23174</v>
      </c>
      <c r="E4093" t="b">
        <v>0</v>
      </c>
      <c r="F4093" t="s">
        <v>11622</v>
      </c>
      <c r="L4093">
        <v>1</v>
      </c>
      <c r="M4093">
        <v>5</v>
      </c>
      <c r="N4093">
        <v>3</v>
      </c>
    </row>
    <row r="4094" spans="1:15">
      <c r="A4094" t="s">
        <v>21592</v>
      </c>
      <c r="B4094" t="s">
        <v>367</v>
      </c>
      <c r="C4094" t="s">
        <v>18544</v>
      </c>
      <c r="D4094" t="s">
        <v>23175</v>
      </c>
      <c r="E4094" t="b">
        <v>0</v>
      </c>
      <c r="F4094" t="s">
        <v>11622</v>
      </c>
      <c r="L4094">
        <v>0</v>
      </c>
      <c r="M4094">
        <v>2</v>
      </c>
      <c r="N4094">
        <v>2</v>
      </c>
    </row>
    <row r="4095" spans="1:15">
      <c r="A4095" t="s">
        <v>23176</v>
      </c>
      <c r="B4095" t="s">
        <v>11879</v>
      </c>
      <c r="C4095" t="s">
        <v>8183</v>
      </c>
      <c r="D4095" t="s">
        <v>23177</v>
      </c>
      <c r="E4095" t="b">
        <v>0</v>
      </c>
      <c r="F4095" t="s">
        <v>11622</v>
      </c>
      <c r="L4095">
        <v>2</v>
      </c>
      <c r="M4095">
        <v>7</v>
      </c>
      <c r="N4095">
        <v>1</v>
      </c>
    </row>
    <row r="4096" spans="1:15">
      <c r="A4096" t="s">
        <v>23178</v>
      </c>
      <c r="B4096" t="s">
        <v>6742</v>
      </c>
      <c r="C4096" t="s">
        <v>23179</v>
      </c>
      <c r="D4096" t="s">
        <v>23180</v>
      </c>
      <c r="E4096" t="b">
        <v>0</v>
      </c>
      <c r="F4096" t="s">
        <v>11622</v>
      </c>
      <c r="L4096">
        <v>9</v>
      </c>
      <c r="M4096">
        <v>16</v>
      </c>
      <c r="N4096">
        <v>36</v>
      </c>
    </row>
    <row r="4097" spans="1:15">
      <c r="A4097" t="s">
        <v>23181</v>
      </c>
      <c r="B4097" t="s">
        <v>11644</v>
      </c>
      <c r="C4097" t="s">
        <v>23182</v>
      </c>
      <c r="D4097" t="s">
        <v>23183</v>
      </c>
      <c r="E4097" t="b">
        <v>0</v>
      </c>
      <c r="F4097" t="s">
        <v>11622</v>
      </c>
      <c r="L4097">
        <v>0</v>
      </c>
      <c r="M4097">
        <v>3</v>
      </c>
      <c r="N4097">
        <v>26</v>
      </c>
    </row>
    <row r="4098" spans="1:15">
      <c r="A4098" t="s">
        <v>23184</v>
      </c>
      <c r="B4098" t="s">
        <v>12260</v>
      </c>
      <c r="C4098" t="s">
        <v>23185</v>
      </c>
      <c r="D4098" t="s">
        <v>23186</v>
      </c>
      <c r="E4098" t="b">
        <v>0</v>
      </c>
      <c r="F4098" t="s">
        <v>11622</v>
      </c>
      <c r="L4098">
        <v>6</v>
      </c>
      <c r="M4098">
        <v>11</v>
      </c>
      <c r="N4098">
        <v>32</v>
      </c>
    </row>
    <row r="4099" spans="1:15">
      <c r="A4099" t="s">
        <v>23187</v>
      </c>
      <c r="B4099" t="s">
        <v>10597</v>
      </c>
      <c r="C4099" t="s">
        <v>2606</v>
      </c>
      <c r="D4099" t="s">
        <v>23188</v>
      </c>
      <c r="E4099" t="b">
        <v>0</v>
      </c>
      <c r="F4099" t="s">
        <v>11622</v>
      </c>
      <c r="L4099">
        <v>0</v>
      </c>
      <c r="M4099">
        <v>2</v>
      </c>
      <c r="N4099">
        <v>7</v>
      </c>
    </row>
    <row r="4100" spans="1:15">
      <c r="A4100" t="s">
        <v>23189</v>
      </c>
      <c r="B4100" t="s">
        <v>10597</v>
      </c>
      <c r="C4100" t="s">
        <v>23190</v>
      </c>
      <c r="D4100" t="s">
        <v>23191</v>
      </c>
      <c r="E4100" t="b">
        <v>0</v>
      </c>
      <c r="F4100" t="s">
        <v>11622</v>
      </c>
      <c r="L4100">
        <v>0</v>
      </c>
      <c r="M4100">
        <v>2</v>
      </c>
      <c r="N4100">
        <v>0</v>
      </c>
    </row>
    <row r="4101" spans="1:15">
      <c r="A4101" t="s">
        <v>21016</v>
      </c>
      <c r="B4101" t="s">
        <v>15027</v>
      </c>
      <c r="C4101" t="s">
        <v>23192</v>
      </c>
      <c r="D4101" t="s">
        <v>23193</v>
      </c>
      <c r="E4101" t="b">
        <v>0</v>
      </c>
      <c r="F4101" t="s">
        <v>11624</v>
      </c>
      <c r="G4101">
        <v>16.9404</v>
      </c>
      <c r="H4101">
        <v>-95.465900000000005</v>
      </c>
      <c r="I4101" t="s">
        <v>23194</v>
      </c>
      <c r="L4101">
        <v>0</v>
      </c>
      <c r="M4101">
        <v>0</v>
      </c>
      <c r="N4101">
        <v>2</v>
      </c>
      <c r="O4101" t="s">
        <v>11883</v>
      </c>
    </row>
    <row r="4102" spans="1:15">
      <c r="A4102" t="s">
        <v>23195</v>
      </c>
      <c r="B4102" t="s">
        <v>15027</v>
      </c>
      <c r="C4102" t="s">
        <v>21016</v>
      </c>
      <c r="D4102" t="s">
        <v>23196</v>
      </c>
      <c r="E4102" t="b">
        <v>0</v>
      </c>
      <c r="F4102" t="s">
        <v>11610</v>
      </c>
      <c r="L4102">
        <v>0</v>
      </c>
      <c r="M4102">
        <v>0</v>
      </c>
      <c r="N4102">
        <v>0</v>
      </c>
    </row>
    <row r="4103" spans="1:15">
      <c r="A4103" t="s">
        <v>23197</v>
      </c>
      <c r="B4103" t="s">
        <v>12751</v>
      </c>
      <c r="C4103" t="s">
        <v>23198</v>
      </c>
      <c r="D4103" t="s">
        <v>23199</v>
      </c>
      <c r="E4103" t="b">
        <v>0</v>
      </c>
      <c r="F4103" t="s">
        <v>11624</v>
      </c>
      <c r="G4103">
        <v>18.32</v>
      </c>
      <c r="H4103">
        <v>-99.711399999999998</v>
      </c>
      <c r="I4103" t="s">
        <v>23200</v>
      </c>
      <c r="L4103">
        <v>0</v>
      </c>
      <c r="M4103">
        <v>0</v>
      </c>
      <c r="N4103">
        <v>0</v>
      </c>
      <c r="O4103" t="s">
        <v>11883</v>
      </c>
    </row>
    <row r="4104" spans="1:15">
      <c r="A4104" t="s">
        <v>23201</v>
      </c>
      <c r="B4104" t="s">
        <v>11879</v>
      </c>
      <c r="C4104" t="s">
        <v>23202</v>
      </c>
      <c r="D4104" t="s">
        <v>23203</v>
      </c>
      <c r="E4104" t="b">
        <v>0</v>
      </c>
      <c r="F4104" t="s">
        <v>11624</v>
      </c>
      <c r="G4104">
        <v>18.120899999999999</v>
      </c>
      <c r="H4104">
        <v>-96.659099999999995</v>
      </c>
      <c r="I4104" t="s">
        <v>23204</v>
      </c>
      <c r="L4104">
        <v>0</v>
      </c>
      <c r="M4104">
        <v>0</v>
      </c>
      <c r="N4104">
        <v>0</v>
      </c>
      <c r="O4104" t="s">
        <v>11883</v>
      </c>
    </row>
    <row r="4105" spans="1:15">
      <c r="A4105" t="s">
        <v>23205</v>
      </c>
      <c r="B4105" t="s">
        <v>11879</v>
      </c>
      <c r="C4105" t="s">
        <v>23206</v>
      </c>
      <c r="D4105" t="s">
        <v>23207</v>
      </c>
      <c r="E4105" t="b">
        <v>0</v>
      </c>
      <c r="F4105" t="s">
        <v>11622</v>
      </c>
      <c r="L4105">
        <v>0</v>
      </c>
      <c r="M4105">
        <v>2</v>
      </c>
      <c r="N4105">
        <v>0</v>
      </c>
    </row>
    <row r="4106" spans="1:15">
      <c r="A4106" t="s">
        <v>23208</v>
      </c>
      <c r="B4106" t="s">
        <v>11879</v>
      </c>
      <c r="C4106" t="s">
        <v>23205</v>
      </c>
      <c r="D4106" t="s">
        <v>23209</v>
      </c>
      <c r="E4106" t="b">
        <v>0</v>
      </c>
      <c r="F4106" t="s">
        <v>11624</v>
      </c>
      <c r="G4106">
        <v>16.1463</v>
      </c>
      <c r="H4106">
        <v>-96.768299999999996</v>
      </c>
      <c r="I4106" t="s">
        <v>23210</v>
      </c>
      <c r="L4106">
        <v>0</v>
      </c>
      <c r="M4106">
        <v>0</v>
      </c>
      <c r="N4106">
        <v>0</v>
      </c>
      <c r="O4106" t="s">
        <v>11883</v>
      </c>
    </row>
    <row r="4107" spans="1:15">
      <c r="A4107" t="s">
        <v>23211</v>
      </c>
      <c r="B4107" t="s">
        <v>11879</v>
      </c>
      <c r="C4107" t="s">
        <v>13326</v>
      </c>
      <c r="D4107" t="s">
        <v>23212</v>
      </c>
      <c r="E4107" t="b">
        <v>0</v>
      </c>
      <c r="F4107" t="s">
        <v>11624</v>
      </c>
      <c r="G4107">
        <v>16.5609</v>
      </c>
      <c r="H4107">
        <v>-96.733599999999996</v>
      </c>
      <c r="I4107" t="s">
        <v>23213</v>
      </c>
      <c r="L4107">
        <v>0</v>
      </c>
      <c r="M4107">
        <v>0</v>
      </c>
      <c r="N4107">
        <v>0</v>
      </c>
      <c r="O4107" t="s">
        <v>11883</v>
      </c>
    </row>
    <row r="4108" spans="1:15">
      <c r="A4108" t="s">
        <v>23206</v>
      </c>
      <c r="B4108" t="s">
        <v>11879</v>
      </c>
      <c r="C4108" t="s">
        <v>23214</v>
      </c>
      <c r="D4108" t="s">
        <v>23215</v>
      </c>
      <c r="E4108" t="b">
        <v>0</v>
      </c>
      <c r="F4108" t="s">
        <v>11622</v>
      </c>
      <c r="L4108">
        <v>1</v>
      </c>
      <c r="M4108">
        <v>3</v>
      </c>
      <c r="N4108">
        <v>0</v>
      </c>
    </row>
    <row r="4109" spans="1:15">
      <c r="A4109" t="s">
        <v>23216</v>
      </c>
      <c r="B4109" t="s">
        <v>23217</v>
      </c>
      <c r="C4109" t="s">
        <v>23218</v>
      </c>
      <c r="D4109" t="s">
        <v>23219</v>
      </c>
      <c r="E4109" t="b">
        <v>0</v>
      </c>
      <c r="F4109" t="s">
        <v>11610</v>
      </c>
      <c r="L4109">
        <v>0</v>
      </c>
      <c r="M4109">
        <v>0</v>
      </c>
      <c r="N4109">
        <v>0</v>
      </c>
    </row>
    <row r="4110" spans="1:15">
      <c r="A4110" t="s">
        <v>23220</v>
      </c>
      <c r="B4110" t="s">
        <v>6742</v>
      </c>
      <c r="C4110" t="s">
        <v>23221</v>
      </c>
      <c r="D4110" t="s">
        <v>23222</v>
      </c>
      <c r="E4110" t="b">
        <v>0</v>
      </c>
      <c r="F4110" t="s">
        <v>11610</v>
      </c>
      <c r="L4110">
        <v>0</v>
      </c>
      <c r="M4110">
        <v>0</v>
      </c>
      <c r="N4110">
        <v>0</v>
      </c>
    </row>
    <row r="4111" spans="1:15">
      <c r="A4111" t="s">
        <v>23223</v>
      </c>
      <c r="B4111" t="s">
        <v>11912</v>
      </c>
      <c r="C4111" t="s">
        <v>23224</v>
      </c>
      <c r="D4111" t="s">
        <v>23225</v>
      </c>
      <c r="E4111" t="b">
        <v>0</v>
      </c>
      <c r="F4111" t="s">
        <v>11624</v>
      </c>
      <c r="G4111">
        <v>-4.5</v>
      </c>
      <c r="H4111">
        <v>-74</v>
      </c>
      <c r="I4111" t="s">
        <v>23226</v>
      </c>
      <c r="L4111">
        <v>0</v>
      </c>
      <c r="M4111">
        <v>0</v>
      </c>
      <c r="N4111">
        <v>2</v>
      </c>
      <c r="O4111" t="s">
        <v>19573</v>
      </c>
    </row>
    <row r="4112" spans="1:15">
      <c r="A4112" t="s">
        <v>23227</v>
      </c>
      <c r="B4112" t="s">
        <v>11912</v>
      </c>
      <c r="C4112" t="s">
        <v>23223</v>
      </c>
      <c r="D4112" t="s">
        <v>23228</v>
      </c>
      <c r="E4112" t="b">
        <v>0</v>
      </c>
      <c r="F4112" t="s">
        <v>11610</v>
      </c>
      <c r="L4112">
        <v>0</v>
      </c>
      <c r="M4112">
        <v>0</v>
      </c>
      <c r="N4112">
        <v>0</v>
      </c>
    </row>
    <row r="4113" spans="1:15">
      <c r="A4113" t="s">
        <v>23229</v>
      </c>
      <c r="B4113" t="s">
        <v>11912</v>
      </c>
      <c r="C4113" t="s">
        <v>23223</v>
      </c>
      <c r="D4113" t="s">
        <v>23230</v>
      </c>
      <c r="E4113" t="b">
        <v>0</v>
      </c>
      <c r="F4113" t="s">
        <v>11610</v>
      </c>
      <c r="L4113">
        <v>0</v>
      </c>
      <c r="M4113">
        <v>0</v>
      </c>
      <c r="N4113">
        <v>0</v>
      </c>
    </row>
    <row r="4114" spans="1:15">
      <c r="A4114" t="s">
        <v>23231</v>
      </c>
      <c r="B4114" t="s">
        <v>11637</v>
      </c>
      <c r="C4114" t="s">
        <v>293</v>
      </c>
      <c r="D4114" t="s">
        <v>23232</v>
      </c>
      <c r="E4114" t="b">
        <v>0</v>
      </c>
      <c r="F4114" t="s">
        <v>11610</v>
      </c>
      <c r="L4114">
        <v>0</v>
      </c>
      <c r="M4114">
        <v>0</v>
      </c>
      <c r="N4114">
        <v>0</v>
      </c>
    </row>
    <row r="4115" spans="1:15">
      <c r="A4115" t="s">
        <v>23233</v>
      </c>
      <c r="D4115" t="s">
        <v>23234</v>
      </c>
      <c r="E4115" t="b">
        <v>0</v>
      </c>
      <c r="F4115" t="s">
        <v>11622</v>
      </c>
      <c r="L4115">
        <v>6</v>
      </c>
      <c r="M4115">
        <v>11</v>
      </c>
      <c r="N4115">
        <v>3</v>
      </c>
    </row>
    <row r="4116" spans="1:15">
      <c r="A4116" t="s">
        <v>23235</v>
      </c>
      <c r="B4116" t="s">
        <v>23233</v>
      </c>
      <c r="C4116" t="s">
        <v>23233</v>
      </c>
      <c r="D4116" t="s">
        <v>23236</v>
      </c>
      <c r="E4116" t="b">
        <v>0</v>
      </c>
      <c r="F4116" t="s">
        <v>11624</v>
      </c>
      <c r="G4116">
        <v>29.04</v>
      </c>
      <c r="H4116">
        <v>-114.077</v>
      </c>
      <c r="I4116" t="s">
        <v>23237</v>
      </c>
      <c r="L4116">
        <v>0</v>
      </c>
      <c r="M4116">
        <v>0</v>
      </c>
      <c r="N4116">
        <v>0</v>
      </c>
      <c r="O4116" t="s">
        <v>11883</v>
      </c>
    </row>
    <row r="4117" spans="1:15">
      <c r="A4117" t="s">
        <v>23238</v>
      </c>
      <c r="B4117" t="s">
        <v>10368</v>
      </c>
      <c r="C4117" t="s">
        <v>23239</v>
      </c>
      <c r="D4117" t="s">
        <v>23240</v>
      </c>
      <c r="E4117" t="b">
        <v>0</v>
      </c>
      <c r="F4117" t="s">
        <v>11610</v>
      </c>
      <c r="L4117">
        <v>0</v>
      </c>
      <c r="M4117">
        <v>0</v>
      </c>
      <c r="N4117">
        <v>0</v>
      </c>
    </row>
    <row r="4118" spans="1:15">
      <c r="A4118" t="s">
        <v>23241</v>
      </c>
      <c r="B4118" t="s">
        <v>141</v>
      </c>
      <c r="C4118" t="s">
        <v>9095</v>
      </c>
      <c r="D4118" t="s">
        <v>23242</v>
      </c>
      <c r="E4118" t="b">
        <v>0</v>
      </c>
      <c r="F4118" t="s">
        <v>11610</v>
      </c>
      <c r="L4118">
        <v>0</v>
      </c>
      <c r="M4118">
        <v>0</v>
      </c>
      <c r="N4118">
        <v>0</v>
      </c>
    </row>
    <row r="4119" spans="1:15">
      <c r="A4119" t="s">
        <v>23243</v>
      </c>
      <c r="B4119" t="s">
        <v>367</v>
      </c>
      <c r="C4119" t="s">
        <v>18166</v>
      </c>
      <c r="D4119" t="s">
        <v>23244</v>
      </c>
      <c r="E4119" t="b">
        <v>0</v>
      </c>
      <c r="F4119" t="s">
        <v>11624</v>
      </c>
      <c r="G4119">
        <v>-12.193341999999999</v>
      </c>
      <c r="H4119">
        <v>96.833679000000004</v>
      </c>
      <c r="I4119" t="s">
        <v>23245</v>
      </c>
      <c r="L4119">
        <v>0</v>
      </c>
      <c r="M4119">
        <v>0</v>
      </c>
      <c r="N4119">
        <v>0</v>
      </c>
      <c r="O4119" t="s">
        <v>11672</v>
      </c>
    </row>
    <row r="4120" spans="1:15">
      <c r="A4120" t="s">
        <v>23246</v>
      </c>
      <c r="B4120" t="s">
        <v>23233</v>
      </c>
      <c r="C4120" t="s">
        <v>23247</v>
      </c>
      <c r="D4120" t="s">
        <v>23248</v>
      </c>
      <c r="E4120" t="b">
        <v>0</v>
      </c>
      <c r="F4120" t="s">
        <v>11624</v>
      </c>
      <c r="G4120">
        <v>32.375999999999998</v>
      </c>
      <c r="H4120">
        <v>-114.848</v>
      </c>
      <c r="I4120" t="s">
        <v>23249</v>
      </c>
      <c r="L4120">
        <v>0</v>
      </c>
      <c r="M4120">
        <v>0</v>
      </c>
      <c r="N4120">
        <v>0</v>
      </c>
      <c r="O4120" t="s">
        <v>12238</v>
      </c>
    </row>
    <row r="4121" spans="1:15">
      <c r="A4121" t="s">
        <v>23250</v>
      </c>
      <c r="B4121" t="s">
        <v>15304</v>
      </c>
      <c r="C4121" t="s">
        <v>15304</v>
      </c>
      <c r="D4121" t="s">
        <v>23251</v>
      </c>
      <c r="E4121" t="b">
        <v>0</v>
      </c>
      <c r="F4121" t="s">
        <v>11622</v>
      </c>
      <c r="L4121">
        <v>0</v>
      </c>
      <c r="M4121">
        <v>2</v>
      </c>
      <c r="N4121">
        <v>0</v>
      </c>
    </row>
    <row r="4122" spans="1:15">
      <c r="A4122" t="s">
        <v>23252</v>
      </c>
      <c r="B4122" t="s">
        <v>13737</v>
      </c>
      <c r="C4122" t="s">
        <v>13738</v>
      </c>
      <c r="D4122" t="s">
        <v>23253</v>
      </c>
      <c r="E4122" t="b">
        <v>0</v>
      </c>
      <c r="F4122" t="s">
        <v>11624</v>
      </c>
      <c r="G4122">
        <v>5.5</v>
      </c>
      <c r="H4122">
        <v>-74</v>
      </c>
      <c r="L4122">
        <v>0</v>
      </c>
      <c r="M4122">
        <v>0</v>
      </c>
      <c r="N4122">
        <v>0</v>
      </c>
      <c r="O4122" t="s">
        <v>11898</v>
      </c>
    </row>
    <row r="4123" spans="1:15">
      <c r="A4123" t="s">
        <v>23254</v>
      </c>
      <c r="B4123" t="s">
        <v>9071</v>
      </c>
      <c r="C4123" t="s">
        <v>23255</v>
      </c>
      <c r="D4123" t="s">
        <v>23256</v>
      </c>
      <c r="E4123" t="b">
        <v>0</v>
      </c>
      <c r="F4123" t="s">
        <v>11624</v>
      </c>
      <c r="G4123">
        <v>47.2958</v>
      </c>
      <c r="H4123">
        <v>-116.715</v>
      </c>
      <c r="I4123" t="s">
        <v>23257</v>
      </c>
      <c r="L4123">
        <v>0</v>
      </c>
      <c r="M4123">
        <v>0</v>
      </c>
      <c r="N4123">
        <v>0</v>
      </c>
      <c r="O4123" t="s">
        <v>11944</v>
      </c>
    </row>
    <row r="4124" spans="1:15">
      <c r="A4124" t="s">
        <v>12380</v>
      </c>
      <c r="D4124" t="s">
        <v>23258</v>
      </c>
      <c r="E4124" t="b">
        <v>0</v>
      </c>
      <c r="F4124" t="s">
        <v>11624</v>
      </c>
      <c r="G4124">
        <v>0.276675</v>
      </c>
      <c r="H4124">
        <v>-77.064300000000003</v>
      </c>
      <c r="I4124" t="s">
        <v>23259</v>
      </c>
      <c r="L4124">
        <v>0</v>
      </c>
      <c r="M4124">
        <v>0</v>
      </c>
      <c r="N4124">
        <v>2</v>
      </c>
      <c r="O4124" t="s">
        <v>15308</v>
      </c>
    </row>
    <row r="4125" spans="1:15">
      <c r="A4125" t="s">
        <v>421</v>
      </c>
      <c r="B4125" t="s">
        <v>6455</v>
      </c>
      <c r="C4125" t="s">
        <v>14496</v>
      </c>
      <c r="D4125" t="s">
        <v>23260</v>
      </c>
      <c r="E4125" t="b">
        <v>0</v>
      </c>
      <c r="F4125" t="s">
        <v>11624</v>
      </c>
      <c r="G4125">
        <v>10.948499999999999</v>
      </c>
      <c r="H4125">
        <v>-73.804299999999998</v>
      </c>
      <c r="I4125" t="s">
        <v>424</v>
      </c>
      <c r="L4125">
        <v>0</v>
      </c>
      <c r="M4125">
        <v>0</v>
      </c>
      <c r="N4125">
        <v>0</v>
      </c>
      <c r="O4125" t="s">
        <v>11898</v>
      </c>
    </row>
    <row r="4126" spans="1:15">
      <c r="A4126" t="s">
        <v>23261</v>
      </c>
      <c r="B4126" t="s">
        <v>11879</v>
      </c>
      <c r="C4126" t="s">
        <v>23262</v>
      </c>
      <c r="D4126" t="s">
        <v>23263</v>
      </c>
      <c r="E4126" t="b">
        <v>0</v>
      </c>
      <c r="F4126" t="s">
        <v>11610</v>
      </c>
      <c r="L4126">
        <v>0</v>
      </c>
      <c r="M4126">
        <v>0</v>
      </c>
      <c r="N4126">
        <v>0</v>
      </c>
    </row>
    <row r="4127" spans="1:15">
      <c r="A4127" t="s">
        <v>23264</v>
      </c>
      <c r="B4127" t="s">
        <v>10597</v>
      </c>
      <c r="C4127" t="s">
        <v>23265</v>
      </c>
      <c r="D4127" t="s">
        <v>23266</v>
      </c>
      <c r="E4127" t="b">
        <v>0</v>
      </c>
      <c r="F4127" t="s">
        <v>11624</v>
      </c>
      <c r="G4127">
        <v>-38.471266</v>
      </c>
      <c r="H4127">
        <v>143.42244400000001</v>
      </c>
      <c r="L4127">
        <v>0</v>
      </c>
      <c r="M4127">
        <v>0</v>
      </c>
      <c r="N4127">
        <v>0</v>
      </c>
      <c r="O4127" t="s">
        <v>12107</v>
      </c>
    </row>
    <row r="4128" spans="1:15">
      <c r="A4128" t="s">
        <v>23267</v>
      </c>
      <c r="B4128" t="s">
        <v>13360</v>
      </c>
      <c r="C4128" t="s">
        <v>13360</v>
      </c>
      <c r="D4128" t="s">
        <v>23268</v>
      </c>
      <c r="E4128" t="b">
        <v>0</v>
      </c>
      <c r="F4128" t="s">
        <v>11624</v>
      </c>
      <c r="L4128">
        <v>0</v>
      </c>
      <c r="M4128">
        <v>0</v>
      </c>
      <c r="N4128">
        <v>0</v>
      </c>
      <c r="O4128" t="s">
        <v>11898</v>
      </c>
    </row>
    <row r="4129" spans="1:15">
      <c r="A4129" t="s">
        <v>23269</v>
      </c>
      <c r="B4129" t="s">
        <v>367</v>
      </c>
      <c r="C4129" t="s">
        <v>21532</v>
      </c>
      <c r="D4129" t="s">
        <v>23270</v>
      </c>
      <c r="E4129" t="b">
        <v>0</v>
      </c>
      <c r="F4129" t="s">
        <v>11624</v>
      </c>
      <c r="G4129">
        <v>-3.5224500000000001</v>
      </c>
      <c r="H4129">
        <v>103.45099999999999</v>
      </c>
      <c r="I4129" t="s">
        <v>23271</v>
      </c>
      <c r="L4129">
        <v>0</v>
      </c>
      <c r="M4129">
        <v>0</v>
      </c>
      <c r="N4129">
        <v>2</v>
      </c>
      <c r="O4129" t="s">
        <v>11768</v>
      </c>
    </row>
    <row r="4130" spans="1:15">
      <c r="A4130" t="s">
        <v>23272</v>
      </c>
      <c r="B4130" t="s">
        <v>11981</v>
      </c>
      <c r="C4130" t="s">
        <v>19263</v>
      </c>
      <c r="D4130" t="s">
        <v>23273</v>
      </c>
      <c r="E4130" t="b">
        <v>0</v>
      </c>
      <c r="F4130" t="s">
        <v>11624</v>
      </c>
      <c r="G4130">
        <v>5.3353200000000003</v>
      </c>
      <c r="H4130">
        <v>-75.446399999999997</v>
      </c>
      <c r="I4130" t="s">
        <v>23274</v>
      </c>
      <c r="L4130">
        <v>0</v>
      </c>
      <c r="M4130">
        <v>0</v>
      </c>
      <c r="N4130">
        <v>0</v>
      </c>
      <c r="O4130" t="s">
        <v>11898</v>
      </c>
    </row>
    <row r="4131" spans="1:15">
      <c r="A4131" t="s">
        <v>23275</v>
      </c>
      <c r="B4131" t="s">
        <v>11637</v>
      </c>
      <c r="C4131" t="s">
        <v>23276</v>
      </c>
      <c r="D4131" t="s">
        <v>23277</v>
      </c>
      <c r="E4131" t="b">
        <v>0</v>
      </c>
      <c r="F4131" t="s">
        <v>11624</v>
      </c>
      <c r="G4131">
        <v>10.485300000000001</v>
      </c>
      <c r="H4131">
        <v>-67.257900000000006</v>
      </c>
      <c r="I4131" t="s">
        <v>23278</v>
      </c>
      <c r="L4131">
        <v>0</v>
      </c>
      <c r="M4131">
        <v>0</v>
      </c>
      <c r="N4131">
        <v>0</v>
      </c>
      <c r="O4131" t="s">
        <v>16711</v>
      </c>
    </row>
    <row r="4132" spans="1:15">
      <c r="A4132" t="s">
        <v>23279</v>
      </c>
      <c r="B4132" t="s">
        <v>11757</v>
      </c>
      <c r="C4132" t="s">
        <v>19042</v>
      </c>
      <c r="D4132" t="s">
        <v>23280</v>
      </c>
      <c r="E4132" t="b">
        <v>0</v>
      </c>
      <c r="F4132" t="s">
        <v>11610</v>
      </c>
      <c r="L4132">
        <v>0</v>
      </c>
      <c r="M4132">
        <v>0</v>
      </c>
      <c r="N4132">
        <v>0</v>
      </c>
    </row>
    <row r="4133" spans="1:15">
      <c r="A4133" t="s">
        <v>23281</v>
      </c>
      <c r="B4133" t="s">
        <v>15304</v>
      </c>
      <c r="C4133" t="s">
        <v>540</v>
      </c>
      <c r="D4133" t="s">
        <v>23282</v>
      </c>
      <c r="E4133" t="b">
        <v>0</v>
      </c>
      <c r="F4133" t="s">
        <v>11624</v>
      </c>
      <c r="G4133">
        <v>-0.21181</v>
      </c>
      <c r="H4133">
        <v>-79.234700000000004</v>
      </c>
      <c r="I4133" t="s">
        <v>23283</v>
      </c>
      <c r="L4133">
        <v>0</v>
      </c>
      <c r="M4133">
        <v>0</v>
      </c>
      <c r="N4133">
        <v>0</v>
      </c>
      <c r="O4133" t="s">
        <v>14946</v>
      </c>
    </row>
    <row r="4134" spans="1:15">
      <c r="A4134" t="s">
        <v>461</v>
      </c>
      <c r="B4134" t="s">
        <v>141</v>
      </c>
      <c r="C4134" t="s">
        <v>8999</v>
      </c>
      <c r="D4134" t="s">
        <v>23284</v>
      </c>
      <c r="E4134" t="b">
        <v>0</v>
      </c>
      <c r="F4134" t="s">
        <v>11622</v>
      </c>
      <c r="L4134">
        <v>4</v>
      </c>
      <c r="M4134">
        <v>12</v>
      </c>
      <c r="N4134">
        <v>7</v>
      </c>
    </row>
    <row r="4135" spans="1:15">
      <c r="A4135" t="s">
        <v>23285</v>
      </c>
      <c r="B4135" t="s">
        <v>9071</v>
      </c>
      <c r="C4135" t="s">
        <v>23255</v>
      </c>
      <c r="D4135" t="s">
        <v>23286</v>
      </c>
      <c r="E4135" t="b">
        <v>0</v>
      </c>
      <c r="F4135" t="s">
        <v>11624</v>
      </c>
      <c r="G4135">
        <v>48.216999999999999</v>
      </c>
      <c r="H4135">
        <v>-118.45399999999999</v>
      </c>
      <c r="I4135" t="s">
        <v>23287</v>
      </c>
      <c r="L4135">
        <v>0</v>
      </c>
      <c r="M4135">
        <v>0</v>
      </c>
      <c r="N4135">
        <v>2</v>
      </c>
      <c r="O4135" t="s">
        <v>11944</v>
      </c>
    </row>
    <row r="4136" spans="1:15">
      <c r="A4136" t="s">
        <v>23288</v>
      </c>
      <c r="B4136" t="s">
        <v>9071</v>
      </c>
      <c r="C4136" t="s">
        <v>23285</v>
      </c>
      <c r="D4136" t="s">
        <v>23289</v>
      </c>
      <c r="E4136" t="b">
        <v>0</v>
      </c>
      <c r="F4136" t="s">
        <v>11610</v>
      </c>
      <c r="L4136">
        <v>0</v>
      </c>
      <c r="M4136">
        <v>0</v>
      </c>
      <c r="N4136">
        <v>0</v>
      </c>
    </row>
    <row r="4137" spans="1:15">
      <c r="A4137" t="s">
        <v>23290</v>
      </c>
      <c r="B4137" t="s">
        <v>9071</v>
      </c>
      <c r="C4137" t="s">
        <v>23291</v>
      </c>
      <c r="D4137" t="s">
        <v>23292</v>
      </c>
      <c r="E4137" t="b">
        <v>0</v>
      </c>
      <c r="F4137" t="s">
        <v>11610</v>
      </c>
      <c r="L4137">
        <v>0</v>
      </c>
      <c r="M4137">
        <v>0</v>
      </c>
      <c r="N4137">
        <v>0</v>
      </c>
    </row>
    <row r="4138" spans="1:15">
      <c r="A4138" t="s">
        <v>23293</v>
      </c>
      <c r="B4138" t="s">
        <v>12751</v>
      </c>
      <c r="C4138" t="s">
        <v>21690</v>
      </c>
      <c r="D4138" t="s">
        <v>23294</v>
      </c>
      <c r="E4138" t="b">
        <v>0</v>
      </c>
      <c r="F4138" t="s">
        <v>11624</v>
      </c>
      <c r="G4138">
        <v>34.570099999999996</v>
      </c>
      <c r="H4138">
        <v>-98.424000000000007</v>
      </c>
      <c r="I4138" t="s">
        <v>23295</v>
      </c>
      <c r="L4138">
        <v>0</v>
      </c>
      <c r="M4138">
        <v>0</v>
      </c>
      <c r="N4138">
        <v>0</v>
      </c>
      <c r="O4138" t="s">
        <v>11944</v>
      </c>
    </row>
    <row r="4139" spans="1:15">
      <c r="A4139" t="s">
        <v>23296</v>
      </c>
      <c r="B4139" t="s">
        <v>11879</v>
      </c>
      <c r="C4139" t="s">
        <v>22662</v>
      </c>
      <c r="D4139" t="s">
        <v>23297</v>
      </c>
      <c r="E4139" t="b">
        <v>0</v>
      </c>
      <c r="F4139" t="s">
        <v>11624</v>
      </c>
      <c r="G4139">
        <v>17.590900000000001</v>
      </c>
      <c r="H4139">
        <v>-96.444999999999993</v>
      </c>
      <c r="I4139" t="s">
        <v>23298</v>
      </c>
      <c r="L4139">
        <v>0</v>
      </c>
      <c r="M4139">
        <v>0</v>
      </c>
      <c r="N4139">
        <v>0</v>
      </c>
      <c r="O4139" t="s">
        <v>11883</v>
      </c>
    </row>
    <row r="4140" spans="1:15">
      <c r="A4140" t="s">
        <v>23299</v>
      </c>
      <c r="D4140" t="s">
        <v>23300</v>
      </c>
      <c r="E4140" t="b">
        <v>0</v>
      </c>
      <c r="F4140" t="s">
        <v>11624</v>
      </c>
      <c r="G4140">
        <v>26.133299999999998</v>
      </c>
      <c r="H4140">
        <v>-98.466700000000003</v>
      </c>
      <c r="I4140" t="s">
        <v>23301</v>
      </c>
      <c r="L4140">
        <v>0</v>
      </c>
      <c r="M4140">
        <v>0</v>
      </c>
      <c r="N4140">
        <v>3</v>
      </c>
      <c r="O4140" t="s">
        <v>11883</v>
      </c>
    </row>
    <row r="4141" spans="1:15">
      <c r="A4141" t="s">
        <v>23302</v>
      </c>
      <c r="B4141" t="s">
        <v>2975</v>
      </c>
      <c r="C4141" t="s">
        <v>16964</v>
      </c>
      <c r="D4141" t="s">
        <v>23303</v>
      </c>
      <c r="E4141" t="b">
        <v>0</v>
      </c>
      <c r="F4141" t="s">
        <v>11610</v>
      </c>
      <c r="L4141">
        <v>0</v>
      </c>
      <c r="M4141">
        <v>0</v>
      </c>
      <c r="N4141">
        <v>0</v>
      </c>
    </row>
    <row r="4142" spans="1:15">
      <c r="A4142" t="s">
        <v>23304</v>
      </c>
      <c r="B4142" t="s">
        <v>23299</v>
      </c>
      <c r="C4142" t="s">
        <v>23299</v>
      </c>
      <c r="D4142" t="s">
        <v>23305</v>
      </c>
      <c r="E4142" t="b">
        <v>0</v>
      </c>
      <c r="F4142" t="s">
        <v>11610</v>
      </c>
      <c r="L4142">
        <v>0</v>
      </c>
      <c r="M4142">
        <v>0</v>
      </c>
      <c r="N4142">
        <v>0</v>
      </c>
    </row>
    <row r="4143" spans="1:15">
      <c r="A4143" t="s">
        <v>23306</v>
      </c>
      <c r="B4143" t="s">
        <v>11637</v>
      </c>
      <c r="C4143" t="s">
        <v>23307</v>
      </c>
      <c r="D4143" t="s">
        <v>23308</v>
      </c>
      <c r="E4143" t="b">
        <v>0</v>
      </c>
      <c r="F4143" t="s">
        <v>11610</v>
      </c>
      <c r="L4143">
        <v>0</v>
      </c>
      <c r="M4143">
        <v>0</v>
      </c>
      <c r="N4143">
        <v>0</v>
      </c>
    </row>
    <row r="4144" spans="1:15">
      <c r="A4144" t="s">
        <v>21977</v>
      </c>
      <c r="B4144" t="s">
        <v>331</v>
      </c>
      <c r="C4144" t="s">
        <v>331</v>
      </c>
      <c r="D4144" t="s">
        <v>23309</v>
      </c>
      <c r="E4144" t="b">
        <v>0</v>
      </c>
      <c r="F4144" t="s">
        <v>11622</v>
      </c>
      <c r="L4144">
        <v>25</v>
      </c>
      <c r="M4144">
        <v>42</v>
      </c>
      <c r="N4144">
        <v>160</v>
      </c>
    </row>
    <row r="4145" spans="1:15">
      <c r="A4145" t="s">
        <v>23310</v>
      </c>
      <c r="B4145" t="s">
        <v>12979</v>
      </c>
      <c r="C4145" t="s">
        <v>23311</v>
      </c>
      <c r="D4145" t="s">
        <v>23312</v>
      </c>
      <c r="E4145" t="b">
        <v>0</v>
      </c>
      <c r="F4145" t="s">
        <v>11622</v>
      </c>
      <c r="I4145" t="s">
        <v>23313</v>
      </c>
      <c r="L4145">
        <v>0</v>
      </c>
      <c r="M4145">
        <v>2</v>
      </c>
      <c r="N4145">
        <v>0</v>
      </c>
      <c r="O4145" t="s">
        <v>11944</v>
      </c>
    </row>
    <row r="4146" spans="1:15">
      <c r="A4146" t="s">
        <v>23314</v>
      </c>
      <c r="B4146" t="s">
        <v>11644</v>
      </c>
      <c r="C4146" t="s">
        <v>23315</v>
      </c>
      <c r="D4146" t="s">
        <v>23316</v>
      </c>
      <c r="E4146" t="b">
        <v>0</v>
      </c>
      <c r="F4146" t="s">
        <v>11610</v>
      </c>
      <c r="L4146">
        <v>0</v>
      </c>
      <c r="M4146">
        <v>0</v>
      </c>
      <c r="N4146">
        <v>0</v>
      </c>
    </row>
    <row r="4147" spans="1:15">
      <c r="A4147" t="s">
        <v>23317</v>
      </c>
      <c r="B4147" t="s">
        <v>6742</v>
      </c>
      <c r="C4147" t="s">
        <v>23318</v>
      </c>
      <c r="D4147" t="s">
        <v>23319</v>
      </c>
      <c r="E4147" t="b">
        <v>0</v>
      </c>
      <c r="F4147" t="s">
        <v>11624</v>
      </c>
      <c r="G4147">
        <v>8.8660099999999993</v>
      </c>
      <c r="H4147">
        <v>10.816000000000001</v>
      </c>
      <c r="I4147" t="s">
        <v>23320</v>
      </c>
      <c r="L4147">
        <v>0</v>
      </c>
      <c r="M4147">
        <v>0</v>
      </c>
      <c r="N4147">
        <v>0</v>
      </c>
      <c r="O4147" t="s">
        <v>11693</v>
      </c>
    </row>
    <row r="4148" spans="1:15">
      <c r="A4148" t="s">
        <v>23321</v>
      </c>
      <c r="B4148" t="s">
        <v>9071</v>
      </c>
      <c r="C4148" t="s">
        <v>21688</v>
      </c>
      <c r="D4148" t="s">
        <v>23322</v>
      </c>
      <c r="E4148" t="b">
        <v>0</v>
      </c>
      <c r="F4148" t="s">
        <v>11624</v>
      </c>
      <c r="G4148">
        <v>49.723300000000002</v>
      </c>
      <c r="H4148">
        <v>-124.967</v>
      </c>
      <c r="I4148" t="s">
        <v>23323</v>
      </c>
      <c r="L4148">
        <v>0</v>
      </c>
      <c r="M4148">
        <v>0</v>
      </c>
      <c r="N4148">
        <v>2</v>
      </c>
      <c r="O4148" t="s">
        <v>13049</v>
      </c>
    </row>
    <row r="4149" spans="1:15">
      <c r="A4149" t="s">
        <v>23324</v>
      </c>
      <c r="B4149" t="s">
        <v>6742</v>
      </c>
      <c r="C4149" t="s">
        <v>23325</v>
      </c>
      <c r="D4149" t="s">
        <v>23326</v>
      </c>
      <c r="E4149" t="b">
        <v>0</v>
      </c>
      <c r="F4149" t="s">
        <v>11622</v>
      </c>
      <c r="L4149">
        <v>1</v>
      </c>
      <c r="M4149">
        <v>4</v>
      </c>
      <c r="N4149">
        <v>2</v>
      </c>
    </row>
    <row r="4150" spans="1:15">
      <c r="A4150" t="s">
        <v>23327</v>
      </c>
      <c r="B4150" t="s">
        <v>10597</v>
      </c>
      <c r="C4150" t="s">
        <v>12968</v>
      </c>
      <c r="D4150" t="s">
        <v>23328</v>
      </c>
      <c r="E4150" t="b">
        <v>0</v>
      </c>
      <c r="F4150" t="s">
        <v>11622</v>
      </c>
      <c r="L4150">
        <v>9</v>
      </c>
      <c r="M4150">
        <v>19</v>
      </c>
      <c r="N4150">
        <v>2</v>
      </c>
    </row>
    <row r="4151" spans="1:15">
      <c r="A4151" t="s">
        <v>23329</v>
      </c>
      <c r="B4151" t="s">
        <v>11627</v>
      </c>
      <c r="C4151" t="s">
        <v>11627</v>
      </c>
      <c r="D4151" t="s">
        <v>23330</v>
      </c>
      <c r="E4151" t="b">
        <v>1</v>
      </c>
      <c r="F4151" t="s">
        <v>11624</v>
      </c>
      <c r="G4151">
        <v>20.644200000000001</v>
      </c>
      <c r="H4151">
        <v>100.904</v>
      </c>
      <c r="I4151" t="s">
        <v>23331</v>
      </c>
      <c r="L4151">
        <v>0</v>
      </c>
      <c r="M4151">
        <v>0</v>
      </c>
      <c r="N4151">
        <v>0</v>
      </c>
      <c r="O4151" t="s">
        <v>12921</v>
      </c>
    </row>
    <row r="4152" spans="1:15">
      <c r="A4152" t="s">
        <v>23332</v>
      </c>
      <c r="B4152" t="s">
        <v>13360</v>
      </c>
      <c r="C4152" t="s">
        <v>13360</v>
      </c>
      <c r="D4152" t="s">
        <v>23333</v>
      </c>
      <c r="E4152" t="b">
        <v>0</v>
      </c>
      <c r="F4152" t="s">
        <v>11624</v>
      </c>
      <c r="L4152">
        <v>0</v>
      </c>
      <c r="M4152">
        <v>0</v>
      </c>
      <c r="N4152">
        <v>0</v>
      </c>
      <c r="O4152" t="s">
        <v>11883</v>
      </c>
    </row>
    <row r="4153" spans="1:15">
      <c r="A4153" t="s">
        <v>23334</v>
      </c>
      <c r="B4153" t="s">
        <v>22682</v>
      </c>
      <c r="C4153" t="s">
        <v>22682</v>
      </c>
      <c r="D4153" t="s">
        <v>23335</v>
      </c>
      <c r="E4153" t="b">
        <v>0</v>
      </c>
      <c r="F4153" t="s">
        <v>11610</v>
      </c>
      <c r="L4153">
        <v>0</v>
      </c>
      <c r="M4153">
        <v>0</v>
      </c>
      <c r="N4153">
        <v>0</v>
      </c>
    </row>
    <row r="4154" spans="1:15">
      <c r="A4154" t="s">
        <v>23336</v>
      </c>
      <c r="B4154" t="s">
        <v>141</v>
      </c>
      <c r="C4154" t="s">
        <v>23337</v>
      </c>
      <c r="D4154" t="s">
        <v>23338</v>
      </c>
      <c r="E4154" t="b">
        <v>0</v>
      </c>
      <c r="F4154" t="s">
        <v>11622</v>
      </c>
      <c r="L4154">
        <v>0</v>
      </c>
      <c r="M4154">
        <v>2</v>
      </c>
      <c r="N4154">
        <v>0</v>
      </c>
    </row>
    <row r="4155" spans="1:15">
      <c r="A4155" t="s">
        <v>23339</v>
      </c>
      <c r="B4155" t="s">
        <v>12438</v>
      </c>
      <c r="C4155" t="s">
        <v>23340</v>
      </c>
      <c r="D4155" t="s">
        <v>23341</v>
      </c>
      <c r="E4155" t="b">
        <v>0</v>
      </c>
      <c r="F4155" t="s">
        <v>11610</v>
      </c>
      <c r="L4155">
        <v>0</v>
      </c>
      <c r="M4155">
        <v>0</v>
      </c>
      <c r="N4155">
        <v>0</v>
      </c>
    </row>
    <row r="4156" spans="1:15">
      <c r="A4156" t="s">
        <v>23342</v>
      </c>
      <c r="B4156" t="s">
        <v>10597</v>
      </c>
      <c r="C4156" t="s">
        <v>23343</v>
      </c>
      <c r="D4156" t="s">
        <v>23344</v>
      </c>
      <c r="E4156" t="b">
        <v>0</v>
      </c>
      <c r="F4156" t="s">
        <v>11624</v>
      </c>
      <c r="G4156">
        <v>-28.289642000000001</v>
      </c>
      <c r="H4156">
        <v>152.15128100000001</v>
      </c>
      <c r="I4156" t="s">
        <v>23345</v>
      </c>
      <c r="L4156">
        <v>0</v>
      </c>
      <c r="M4156">
        <v>0</v>
      </c>
      <c r="N4156">
        <v>4</v>
      </c>
      <c r="O4156" t="s">
        <v>12107</v>
      </c>
    </row>
    <row r="4157" spans="1:15">
      <c r="A4157" t="s">
        <v>23346</v>
      </c>
      <c r="B4157" t="s">
        <v>6742</v>
      </c>
      <c r="C4157" t="s">
        <v>23347</v>
      </c>
      <c r="D4157" t="s">
        <v>23348</v>
      </c>
      <c r="E4157" t="b">
        <v>0</v>
      </c>
      <c r="F4157" t="s">
        <v>11624</v>
      </c>
      <c r="G4157">
        <v>-7.2691999999999997</v>
      </c>
      <c r="H4157">
        <v>27.419599999999999</v>
      </c>
      <c r="I4157" t="s">
        <v>23349</v>
      </c>
      <c r="L4157">
        <v>0</v>
      </c>
      <c r="M4157">
        <v>0</v>
      </c>
      <c r="N4157">
        <v>4</v>
      </c>
      <c r="O4157" t="s">
        <v>14825</v>
      </c>
    </row>
    <row r="4158" spans="1:15">
      <c r="A4158" t="s">
        <v>23350</v>
      </c>
      <c r="B4158" t="s">
        <v>13244</v>
      </c>
      <c r="C4158" t="s">
        <v>7570</v>
      </c>
      <c r="D4158" t="s">
        <v>23351</v>
      </c>
      <c r="E4158" t="b">
        <v>0</v>
      </c>
      <c r="F4158" t="s">
        <v>11610</v>
      </c>
      <c r="L4158">
        <v>0</v>
      </c>
      <c r="M4158">
        <v>0</v>
      </c>
      <c r="N4158">
        <v>0</v>
      </c>
    </row>
    <row r="4159" spans="1:15">
      <c r="A4159" t="s">
        <v>23352</v>
      </c>
      <c r="B4159" t="s">
        <v>11637</v>
      </c>
      <c r="C4159" t="s">
        <v>4833</v>
      </c>
      <c r="D4159" t="s">
        <v>23353</v>
      </c>
      <c r="E4159" t="b">
        <v>0</v>
      </c>
      <c r="F4159" t="s">
        <v>11610</v>
      </c>
      <c r="L4159">
        <v>0</v>
      </c>
      <c r="M4159">
        <v>0</v>
      </c>
      <c r="N4159">
        <v>0</v>
      </c>
    </row>
    <row r="4160" spans="1:15">
      <c r="A4160" t="s">
        <v>23354</v>
      </c>
      <c r="B4160" t="s">
        <v>11637</v>
      </c>
      <c r="C4160" t="s">
        <v>23355</v>
      </c>
      <c r="D4160" t="s">
        <v>23356</v>
      </c>
      <c r="E4160" t="b">
        <v>0</v>
      </c>
      <c r="F4160" t="s">
        <v>11610</v>
      </c>
      <c r="L4160">
        <v>0</v>
      </c>
      <c r="M4160">
        <v>0</v>
      </c>
      <c r="N4160">
        <v>0</v>
      </c>
    </row>
    <row r="4161" spans="1:15">
      <c r="A4161" t="s">
        <v>23357</v>
      </c>
      <c r="B4161" t="s">
        <v>11637</v>
      </c>
      <c r="C4161" t="s">
        <v>12777</v>
      </c>
      <c r="D4161" t="s">
        <v>23358</v>
      </c>
      <c r="E4161" t="b">
        <v>0</v>
      </c>
      <c r="F4161" t="s">
        <v>11610</v>
      </c>
      <c r="L4161">
        <v>0</v>
      </c>
      <c r="M4161">
        <v>0</v>
      </c>
      <c r="N4161">
        <v>0</v>
      </c>
    </row>
    <row r="4162" spans="1:15">
      <c r="A4162" t="s">
        <v>23359</v>
      </c>
      <c r="B4162" t="s">
        <v>11607</v>
      </c>
      <c r="C4162" t="s">
        <v>13030</v>
      </c>
      <c r="D4162" t="s">
        <v>23360</v>
      </c>
      <c r="E4162" t="b">
        <v>0</v>
      </c>
      <c r="F4162" t="s">
        <v>11610</v>
      </c>
      <c r="L4162">
        <v>0</v>
      </c>
      <c r="M4162">
        <v>0</v>
      </c>
      <c r="N4162">
        <v>0</v>
      </c>
    </row>
    <row r="4163" spans="1:15">
      <c r="A4163" t="s">
        <v>23361</v>
      </c>
      <c r="B4163" t="s">
        <v>22849</v>
      </c>
      <c r="C4163" t="s">
        <v>22849</v>
      </c>
      <c r="D4163" t="s">
        <v>23362</v>
      </c>
      <c r="E4163" t="b">
        <v>0</v>
      </c>
      <c r="F4163" t="s">
        <v>11622</v>
      </c>
      <c r="L4163">
        <v>0</v>
      </c>
      <c r="M4163">
        <v>2</v>
      </c>
      <c r="N4163">
        <v>0</v>
      </c>
    </row>
    <row r="4164" spans="1:15">
      <c r="A4164" t="s">
        <v>23363</v>
      </c>
      <c r="B4164" t="s">
        <v>11637</v>
      </c>
      <c r="C4164" t="s">
        <v>23364</v>
      </c>
      <c r="D4164" t="s">
        <v>23365</v>
      </c>
      <c r="E4164" t="b">
        <v>0</v>
      </c>
      <c r="F4164" t="s">
        <v>11610</v>
      </c>
      <c r="L4164">
        <v>0</v>
      </c>
      <c r="M4164">
        <v>0</v>
      </c>
      <c r="N4164">
        <v>0</v>
      </c>
    </row>
    <row r="4165" spans="1:15">
      <c r="A4165" t="s">
        <v>23366</v>
      </c>
      <c r="B4165" t="s">
        <v>11644</v>
      </c>
      <c r="C4165" t="s">
        <v>23367</v>
      </c>
      <c r="D4165" t="s">
        <v>23368</v>
      </c>
      <c r="E4165" t="b">
        <v>0</v>
      </c>
      <c r="F4165" t="s">
        <v>11624</v>
      </c>
      <c r="G4165">
        <v>22.331099999999999</v>
      </c>
      <c r="H4165">
        <v>102.759</v>
      </c>
      <c r="I4165" t="s">
        <v>23369</v>
      </c>
      <c r="L4165">
        <v>0</v>
      </c>
      <c r="M4165">
        <v>0</v>
      </c>
      <c r="N4165">
        <v>0</v>
      </c>
      <c r="O4165" t="s">
        <v>15949</v>
      </c>
    </row>
    <row r="4166" spans="1:15">
      <c r="A4166" t="s">
        <v>23370</v>
      </c>
      <c r="D4166" t="s">
        <v>23371</v>
      </c>
      <c r="E4166" t="b">
        <v>0</v>
      </c>
      <c r="F4166" t="s">
        <v>11622</v>
      </c>
      <c r="L4166">
        <v>0</v>
      </c>
      <c r="M4166">
        <v>2</v>
      </c>
      <c r="N4166">
        <v>0</v>
      </c>
    </row>
    <row r="4167" spans="1:15">
      <c r="A4167" t="s">
        <v>23372</v>
      </c>
      <c r="B4167" t="s">
        <v>23370</v>
      </c>
      <c r="C4167" t="s">
        <v>23370</v>
      </c>
      <c r="D4167" t="s">
        <v>23373</v>
      </c>
      <c r="E4167" t="b">
        <v>0</v>
      </c>
      <c r="F4167" t="s">
        <v>11624</v>
      </c>
      <c r="G4167">
        <v>43.441299999999998</v>
      </c>
      <c r="H4167">
        <v>-124.16</v>
      </c>
      <c r="I4167" t="s">
        <v>23374</v>
      </c>
      <c r="L4167">
        <v>0</v>
      </c>
      <c r="M4167">
        <v>0</v>
      </c>
      <c r="N4167">
        <v>0</v>
      </c>
      <c r="O4167" t="s">
        <v>11944</v>
      </c>
    </row>
    <row r="4168" spans="1:15">
      <c r="A4168" t="s">
        <v>23375</v>
      </c>
      <c r="B4168" t="s">
        <v>15027</v>
      </c>
      <c r="C4168" t="s">
        <v>22478</v>
      </c>
      <c r="D4168" t="s">
        <v>23376</v>
      </c>
      <c r="E4168" t="b">
        <v>0</v>
      </c>
      <c r="F4168" t="s">
        <v>11624</v>
      </c>
      <c r="G4168">
        <v>17.215699999999998</v>
      </c>
      <c r="H4168">
        <v>-93.318299999999994</v>
      </c>
      <c r="I4168" t="s">
        <v>23377</v>
      </c>
      <c r="L4168">
        <v>0</v>
      </c>
      <c r="M4168">
        <v>0</v>
      </c>
      <c r="N4168">
        <v>2</v>
      </c>
      <c r="O4168" t="s">
        <v>11883</v>
      </c>
    </row>
    <row r="4169" spans="1:15">
      <c r="A4169" t="s">
        <v>23378</v>
      </c>
      <c r="B4169" t="s">
        <v>11879</v>
      </c>
      <c r="C4169" t="s">
        <v>22515</v>
      </c>
      <c r="D4169" t="s">
        <v>23379</v>
      </c>
      <c r="E4169" t="b">
        <v>0</v>
      </c>
      <c r="F4169" t="s">
        <v>11624</v>
      </c>
      <c r="G4169">
        <v>17.1541</v>
      </c>
      <c r="H4169">
        <v>-97.982600000000005</v>
      </c>
      <c r="I4169" t="s">
        <v>23380</v>
      </c>
      <c r="L4169">
        <v>0</v>
      </c>
      <c r="M4169">
        <v>0</v>
      </c>
      <c r="N4169">
        <v>0</v>
      </c>
      <c r="O4169" t="s">
        <v>12238</v>
      </c>
    </row>
    <row r="4170" spans="1:15">
      <c r="A4170" t="s">
        <v>23381</v>
      </c>
      <c r="B4170" t="s">
        <v>13360</v>
      </c>
      <c r="C4170" t="s">
        <v>13360</v>
      </c>
      <c r="D4170" t="s">
        <v>23382</v>
      </c>
      <c r="E4170" t="b">
        <v>0</v>
      </c>
      <c r="F4170" t="s">
        <v>11624</v>
      </c>
      <c r="L4170">
        <v>0</v>
      </c>
      <c r="M4170">
        <v>0</v>
      </c>
      <c r="N4170">
        <v>0</v>
      </c>
      <c r="O4170" t="s">
        <v>11778</v>
      </c>
    </row>
    <row r="4171" spans="1:15">
      <c r="A4171" t="s">
        <v>3609</v>
      </c>
      <c r="B4171" t="s">
        <v>6742</v>
      </c>
      <c r="C4171" t="s">
        <v>3610</v>
      </c>
      <c r="D4171" t="s">
        <v>23383</v>
      </c>
      <c r="E4171" t="b">
        <v>0</v>
      </c>
      <c r="F4171" t="s">
        <v>11610</v>
      </c>
      <c r="L4171">
        <v>0</v>
      </c>
      <c r="M4171">
        <v>0</v>
      </c>
      <c r="N4171">
        <v>0</v>
      </c>
    </row>
    <row r="4172" spans="1:15">
      <c r="A4172" t="s">
        <v>23384</v>
      </c>
      <c r="B4172" t="s">
        <v>13014</v>
      </c>
      <c r="C4172" t="s">
        <v>276</v>
      </c>
      <c r="D4172" t="s">
        <v>23385</v>
      </c>
      <c r="E4172" t="b">
        <v>0</v>
      </c>
      <c r="F4172" t="s">
        <v>11610</v>
      </c>
      <c r="L4172">
        <v>0</v>
      </c>
      <c r="M4172">
        <v>0</v>
      </c>
      <c r="N4172">
        <v>0</v>
      </c>
    </row>
    <row r="4173" spans="1:15">
      <c r="A4173" t="s">
        <v>19120</v>
      </c>
      <c r="B4173" t="s">
        <v>11607</v>
      </c>
      <c r="C4173" t="s">
        <v>23386</v>
      </c>
      <c r="D4173" t="s">
        <v>23387</v>
      </c>
      <c r="E4173" t="b">
        <v>0</v>
      </c>
      <c r="F4173" t="s">
        <v>11624</v>
      </c>
      <c r="G4173">
        <v>29.472000000000001</v>
      </c>
      <c r="H4173">
        <v>31.205300000000001</v>
      </c>
      <c r="I4173" t="s">
        <v>23388</v>
      </c>
      <c r="L4173">
        <v>0</v>
      </c>
      <c r="M4173">
        <v>0</v>
      </c>
      <c r="N4173">
        <v>9</v>
      </c>
      <c r="O4173" t="s">
        <v>23389</v>
      </c>
    </row>
    <row r="4174" spans="1:15">
      <c r="A4174" t="s">
        <v>23390</v>
      </c>
      <c r="B4174" t="s">
        <v>12460</v>
      </c>
      <c r="C4174" t="s">
        <v>23391</v>
      </c>
      <c r="D4174" t="s">
        <v>23392</v>
      </c>
      <c r="E4174" t="b">
        <v>0</v>
      </c>
      <c r="F4174" t="s">
        <v>11624</v>
      </c>
      <c r="G4174">
        <v>44.517699999999998</v>
      </c>
      <c r="H4174">
        <v>-119.605</v>
      </c>
      <c r="I4174" t="s">
        <v>23393</v>
      </c>
      <c r="L4174">
        <v>0</v>
      </c>
      <c r="M4174">
        <v>0</v>
      </c>
      <c r="N4174">
        <v>0</v>
      </c>
      <c r="O4174" t="s">
        <v>11944</v>
      </c>
    </row>
    <row r="4175" spans="1:15">
      <c r="A4175" t="s">
        <v>23394</v>
      </c>
      <c r="B4175" t="s">
        <v>12751</v>
      </c>
      <c r="C4175" t="s">
        <v>15553</v>
      </c>
      <c r="D4175" t="s">
        <v>23395</v>
      </c>
      <c r="E4175" t="b">
        <v>0</v>
      </c>
      <c r="F4175" t="s">
        <v>11622</v>
      </c>
      <c r="L4175">
        <v>1</v>
      </c>
      <c r="M4175">
        <v>3</v>
      </c>
      <c r="N4175">
        <v>12</v>
      </c>
    </row>
    <row r="4176" spans="1:15">
      <c r="A4176" t="s">
        <v>6056</v>
      </c>
      <c r="B4176" t="s">
        <v>12751</v>
      </c>
      <c r="C4176" t="s">
        <v>23394</v>
      </c>
      <c r="D4176" t="s">
        <v>23396</v>
      </c>
      <c r="E4176" t="b">
        <v>0</v>
      </c>
      <c r="F4176" t="s">
        <v>11622</v>
      </c>
      <c r="L4176">
        <v>0</v>
      </c>
      <c r="M4176">
        <v>2</v>
      </c>
      <c r="N4176">
        <v>9</v>
      </c>
    </row>
    <row r="4177" spans="1:14">
      <c r="A4177" t="s">
        <v>15553</v>
      </c>
      <c r="B4177" t="s">
        <v>12751</v>
      </c>
      <c r="C4177" t="s">
        <v>20865</v>
      </c>
      <c r="D4177" t="s">
        <v>23397</v>
      </c>
      <c r="E4177" t="b">
        <v>0</v>
      </c>
      <c r="F4177" t="s">
        <v>11622</v>
      </c>
      <c r="L4177">
        <v>14</v>
      </c>
      <c r="M4177">
        <v>34</v>
      </c>
      <c r="N4177">
        <v>15</v>
      </c>
    </row>
    <row r="4178" spans="1:14">
      <c r="A4178" t="s">
        <v>23398</v>
      </c>
      <c r="B4178" t="s">
        <v>300</v>
      </c>
      <c r="C4178" t="s">
        <v>23399</v>
      </c>
      <c r="D4178" t="s">
        <v>23400</v>
      </c>
      <c r="E4178" t="b">
        <v>0</v>
      </c>
      <c r="F4178" t="s">
        <v>11610</v>
      </c>
      <c r="L4178">
        <v>0</v>
      </c>
      <c r="M4178">
        <v>0</v>
      </c>
      <c r="N4178">
        <v>0</v>
      </c>
    </row>
    <row r="4179" spans="1:14">
      <c r="A4179" t="s">
        <v>23401</v>
      </c>
      <c r="B4179" t="s">
        <v>11644</v>
      </c>
      <c r="C4179" t="s">
        <v>23402</v>
      </c>
      <c r="D4179" t="s">
        <v>23403</v>
      </c>
      <c r="E4179" t="b">
        <v>0</v>
      </c>
      <c r="F4179" t="s">
        <v>11622</v>
      </c>
      <c r="L4179">
        <v>3</v>
      </c>
      <c r="M4179">
        <v>6</v>
      </c>
      <c r="N4179">
        <v>0</v>
      </c>
    </row>
    <row r="4180" spans="1:14">
      <c r="A4180" t="s">
        <v>23404</v>
      </c>
      <c r="B4180" t="s">
        <v>8897</v>
      </c>
      <c r="C4180" t="s">
        <v>8897</v>
      </c>
      <c r="D4180" t="s">
        <v>23405</v>
      </c>
      <c r="E4180" t="b">
        <v>0</v>
      </c>
      <c r="F4180" t="s">
        <v>11622</v>
      </c>
      <c r="L4180">
        <v>9</v>
      </c>
      <c r="M4180">
        <v>16</v>
      </c>
      <c r="N4180">
        <v>12</v>
      </c>
    </row>
    <row r="4181" spans="1:14">
      <c r="A4181" t="s">
        <v>20914</v>
      </c>
      <c r="B4181" t="s">
        <v>5911</v>
      </c>
      <c r="C4181" t="s">
        <v>23406</v>
      </c>
      <c r="D4181" t="s">
        <v>23407</v>
      </c>
      <c r="E4181" t="b">
        <v>0</v>
      </c>
      <c r="F4181" t="s">
        <v>11622</v>
      </c>
      <c r="L4181">
        <v>2</v>
      </c>
      <c r="M4181">
        <v>6</v>
      </c>
      <c r="N4181">
        <v>0</v>
      </c>
    </row>
    <row r="4182" spans="1:14">
      <c r="A4182" t="s">
        <v>23408</v>
      </c>
      <c r="B4182" t="s">
        <v>6455</v>
      </c>
      <c r="C4182" t="s">
        <v>6455</v>
      </c>
      <c r="D4182" t="s">
        <v>23409</v>
      </c>
      <c r="E4182" t="b">
        <v>0</v>
      </c>
      <c r="F4182" t="s">
        <v>11622</v>
      </c>
      <c r="L4182">
        <v>17</v>
      </c>
      <c r="M4182">
        <v>26</v>
      </c>
      <c r="N4182">
        <v>13</v>
      </c>
    </row>
    <row r="4183" spans="1:14">
      <c r="A4183" t="s">
        <v>23410</v>
      </c>
      <c r="B4183" t="s">
        <v>5911</v>
      </c>
      <c r="C4183" t="s">
        <v>5911</v>
      </c>
      <c r="D4183" t="s">
        <v>23411</v>
      </c>
      <c r="E4183" t="b">
        <v>0</v>
      </c>
      <c r="F4183" t="s">
        <v>11622</v>
      </c>
      <c r="L4183">
        <v>22</v>
      </c>
      <c r="M4183">
        <v>31</v>
      </c>
      <c r="N4183">
        <v>9</v>
      </c>
    </row>
    <row r="4184" spans="1:14">
      <c r="A4184" t="s">
        <v>23412</v>
      </c>
      <c r="B4184" t="s">
        <v>6742</v>
      </c>
      <c r="C4184" t="s">
        <v>23413</v>
      </c>
      <c r="D4184" t="s">
        <v>23414</v>
      </c>
      <c r="E4184" t="b">
        <v>0</v>
      </c>
      <c r="F4184" t="s">
        <v>11622</v>
      </c>
      <c r="L4184">
        <v>2</v>
      </c>
      <c r="M4184">
        <v>5</v>
      </c>
      <c r="N4184">
        <v>47</v>
      </c>
    </row>
    <row r="4185" spans="1:14">
      <c r="A4185" t="s">
        <v>23415</v>
      </c>
      <c r="B4185" t="s">
        <v>6742</v>
      </c>
      <c r="C4185" t="s">
        <v>23416</v>
      </c>
      <c r="D4185" t="s">
        <v>23417</v>
      </c>
      <c r="E4185" t="b">
        <v>0</v>
      </c>
      <c r="F4185" t="s">
        <v>11622</v>
      </c>
      <c r="L4185">
        <v>11</v>
      </c>
      <c r="M4185">
        <v>15</v>
      </c>
      <c r="N4185">
        <v>15</v>
      </c>
    </row>
    <row r="4186" spans="1:14">
      <c r="A4186" t="s">
        <v>21919</v>
      </c>
      <c r="B4186" t="s">
        <v>11644</v>
      </c>
      <c r="C4186" t="s">
        <v>23418</v>
      </c>
      <c r="D4186" t="s">
        <v>23419</v>
      </c>
      <c r="E4186" t="b">
        <v>0</v>
      </c>
      <c r="F4186" t="s">
        <v>11622</v>
      </c>
      <c r="L4186">
        <v>2</v>
      </c>
      <c r="M4186">
        <v>4</v>
      </c>
      <c r="N4186">
        <v>0</v>
      </c>
    </row>
    <row r="4187" spans="1:14">
      <c r="A4187" t="s">
        <v>21742</v>
      </c>
      <c r="B4187" t="s">
        <v>11879</v>
      </c>
      <c r="C4187" t="s">
        <v>23214</v>
      </c>
      <c r="D4187" t="s">
        <v>23420</v>
      </c>
      <c r="E4187" t="b">
        <v>0</v>
      </c>
      <c r="F4187" t="s">
        <v>11622</v>
      </c>
      <c r="L4187">
        <v>5</v>
      </c>
      <c r="M4187">
        <v>48</v>
      </c>
      <c r="N4187">
        <v>16</v>
      </c>
    </row>
    <row r="4188" spans="1:14">
      <c r="A4188" t="s">
        <v>23421</v>
      </c>
      <c r="B4188" t="s">
        <v>10597</v>
      </c>
      <c r="C4188" t="s">
        <v>23422</v>
      </c>
      <c r="D4188" t="s">
        <v>23423</v>
      </c>
      <c r="E4188" t="b">
        <v>0</v>
      </c>
      <c r="F4188" t="s">
        <v>11622</v>
      </c>
      <c r="L4188">
        <v>3</v>
      </c>
      <c r="M4188">
        <v>8</v>
      </c>
      <c r="N4188">
        <v>2</v>
      </c>
    </row>
    <row r="4189" spans="1:14">
      <c r="A4189" t="s">
        <v>23424</v>
      </c>
      <c r="B4189" t="s">
        <v>2975</v>
      </c>
      <c r="C4189" t="s">
        <v>23425</v>
      </c>
      <c r="D4189" t="s">
        <v>23426</v>
      </c>
      <c r="E4189" t="b">
        <v>0</v>
      </c>
      <c r="F4189" t="s">
        <v>11622</v>
      </c>
      <c r="L4189">
        <v>1</v>
      </c>
      <c r="M4189">
        <v>5</v>
      </c>
      <c r="N4189">
        <v>2</v>
      </c>
    </row>
    <row r="4190" spans="1:14">
      <c r="A4190" t="s">
        <v>23427</v>
      </c>
      <c r="B4190" t="s">
        <v>11644</v>
      </c>
      <c r="C4190" t="s">
        <v>23428</v>
      </c>
      <c r="D4190" t="s">
        <v>23429</v>
      </c>
      <c r="E4190" t="b">
        <v>0</v>
      </c>
      <c r="F4190" t="s">
        <v>11622</v>
      </c>
      <c r="L4190">
        <v>1</v>
      </c>
      <c r="M4190">
        <v>4</v>
      </c>
      <c r="N4190">
        <v>7</v>
      </c>
    </row>
    <row r="4191" spans="1:14">
      <c r="A4191" t="s">
        <v>23173</v>
      </c>
      <c r="B4191" t="s">
        <v>11879</v>
      </c>
      <c r="C4191" t="s">
        <v>22335</v>
      </c>
      <c r="D4191" t="s">
        <v>23430</v>
      </c>
      <c r="E4191" t="b">
        <v>0</v>
      </c>
      <c r="F4191" t="s">
        <v>11622</v>
      </c>
      <c r="L4191">
        <v>2</v>
      </c>
      <c r="M4191">
        <v>6</v>
      </c>
      <c r="N4191">
        <v>3</v>
      </c>
    </row>
    <row r="4192" spans="1:14">
      <c r="A4192" t="s">
        <v>14161</v>
      </c>
      <c r="B4192" t="s">
        <v>11965</v>
      </c>
      <c r="C4192" t="s">
        <v>23431</v>
      </c>
      <c r="D4192" t="s">
        <v>23432</v>
      </c>
      <c r="E4192" t="b">
        <v>0</v>
      </c>
      <c r="F4192" t="s">
        <v>11622</v>
      </c>
      <c r="L4192">
        <v>2</v>
      </c>
      <c r="M4192">
        <v>6</v>
      </c>
      <c r="N4192">
        <v>11</v>
      </c>
    </row>
    <row r="4193" spans="1:15">
      <c r="A4193" t="s">
        <v>23433</v>
      </c>
      <c r="B4193" t="s">
        <v>6742</v>
      </c>
      <c r="C4193" t="s">
        <v>23434</v>
      </c>
      <c r="D4193" t="s">
        <v>23435</v>
      </c>
      <c r="E4193" t="b">
        <v>0</v>
      </c>
      <c r="F4193" t="s">
        <v>11624</v>
      </c>
      <c r="G4193">
        <v>9.59</v>
      </c>
      <c r="H4193">
        <v>8.06</v>
      </c>
      <c r="I4193" t="s">
        <v>23436</v>
      </c>
      <c r="L4193">
        <v>0</v>
      </c>
      <c r="M4193">
        <v>0</v>
      </c>
      <c r="N4193">
        <v>0</v>
      </c>
      <c r="O4193" t="s">
        <v>11693</v>
      </c>
    </row>
    <row r="4194" spans="1:15">
      <c r="A4194" t="s">
        <v>23437</v>
      </c>
      <c r="B4194" t="s">
        <v>11637</v>
      </c>
      <c r="C4194" t="s">
        <v>19866</v>
      </c>
      <c r="D4194" t="s">
        <v>23438</v>
      </c>
      <c r="E4194" t="b">
        <v>0</v>
      </c>
      <c r="F4194" t="s">
        <v>11610</v>
      </c>
      <c r="L4194">
        <v>0</v>
      </c>
      <c r="M4194">
        <v>0</v>
      </c>
      <c r="N4194">
        <v>0</v>
      </c>
    </row>
    <row r="4195" spans="1:15">
      <c r="A4195" t="s">
        <v>23439</v>
      </c>
      <c r="B4195" t="s">
        <v>11637</v>
      </c>
      <c r="C4195" t="s">
        <v>19867</v>
      </c>
      <c r="D4195" t="s">
        <v>23440</v>
      </c>
      <c r="E4195" t="b">
        <v>0</v>
      </c>
      <c r="F4195" t="s">
        <v>11624</v>
      </c>
      <c r="G4195">
        <v>50.523299999999999</v>
      </c>
      <c r="H4195">
        <v>-4.1861899999999999</v>
      </c>
      <c r="I4195" t="s">
        <v>23441</v>
      </c>
      <c r="L4195">
        <v>0</v>
      </c>
      <c r="M4195">
        <v>0</v>
      </c>
      <c r="N4195">
        <v>2</v>
      </c>
      <c r="O4195" t="s">
        <v>19884</v>
      </c>
    </row>
    <row r="4196" spans="1:15">
      <c r="A4196" t="s">
        <v>23442</v>
      </c>
      <c r="B4196" t="s">
        <v>11757</v>
      </c>
      <c r="C4196" t="s">
        <v>12119</v>
      </c>
      <c r="D4196" t="s">
        <v>23443</v>
      </c>
      <c r="E4196" t="b">
        <v>0</v>
      </c>
      <c r="F4196" t="s">
        <v>11610</v>
      </c>
      <c r="L4196">
        <v>0</v>
      </c>
      <c r="M4196">
        <v>0</v>
      </c>
      <c r="N4196">
        <v>0</v>
      </c>
    </row>
    <row r="4197" spans="1:15">
      <c r="A4197" t="s">
        <v>23444</v>
      </c>
      <c r="B4197" t="s">
        <v>141</v>
      </c>
      <c r="C4197" t="s">
        <v>23337</v>
      </c>
      <c r="D4197" t="s">
        <v>23445</v>
      </c>
      <c r="E4197" t="b">
        <v>0</v>
      </c>
      <c r="F4197" t="s">
        <v>11624</v>
      </c>
      <c r="G4197">
        <v>-8.5764700000000005</v>
      </c>
      <c r="H4197">
        <v>-77.986400000000003</v>
      </c>
      <c r="I4197" t="s">
        <v>23446</v>
      </c>
      <c r="L4197">
        <v>0</v>
      </c>
      <c r="M4197">
        <v>0</v>
      </c>
      <c r="N4197">
        <v>0</v>
      </c>
      <c r="O4197" t="s">
        <v>11778</v>
      </c>
    </row>
    <row r="4198" spans="1:15">
      <c r="A4198" t="s">
        <v>23447</v>
      </c>
      <c r="B4198" t="s">
        <v>11965</v>
      </c>
      <c r="C4198" t="s">
        <v>23448</v>
      </c>
      <c r="D4198" t="s">
        <v>23449</v>
      </c>
      <c r="E4198" t="b">
        <v>0</v>
      </c>
      <c r="F4198" t="s">
        <v>11624</v>
      </c>
      <c r="G4198">
        <v>-21.390699999999999</v>
      </c>
      <c r="H4198">
        <v>-42.716000000000001</v>
      </c>
      <c r="I4198" t="s">
        <v>23450</v>
      </c>
      <c r="L4198">
        <v>0</v>
      </c>
      <c r="M4198">
        <v>0</v>
      </c>
      <c r="N4198">
        <v>0</v>
      </c>
      <c r="O4198" t="s">
        <v>11969</v>
      </c>
    </row>
    <row r="4199" spans="1:15">
      <c r="A4199" t="s">
        <v>23451</v>
      </c>
      <c r="B4199" t="s">
        <v>23452</v>
      </c>
      <c r="C4199" t="s">
        <v>23452</v>
      </c>
      <c r="D4199" t="s">
        <v>23453</v>
      </c>
      <c r="E4199" t="b">
        <v>0</v>
      </c>
      <c r="F4199" t="s">
        <v>11624</v>
      </c>
      <c r="G4199">
        <v>-20.264033000000001</v>
      </c>
      <c r="H4199">
        <v>-43.612003000000001</v>
      </c>
      <c r="L4199">
        <v>0</v>
      </c>
      <c r="M4199">
        <v>0</v>
      </c>
      <c r="N4199">
        <v>0</v>
      </c>
      <c r="O4199" t="s">
        <v>11969</v>
      </c>
    </row>
    <row r="4200" spans="1:15">
      <c r="A4200" t="s">
        <v>23454</v>
      </c>
      <c r="B4200" t="s">
        <v>6455</v>
      </c>
      <c r="C4200" t="s">
        <v>13555</v>
      </c>
      <c r="D4200" t="s">
        <v>23455</v>
      </c>
      <c r="E4200" t="b">
        <v>0</v>
      </c>
      <c r="F4200" t="s">
        <v>11610</v>
      </c>
      <c r="L4200">
        <v>0</v>
      </c>
      <c r="M4200">
        <v>0</v>
      </c>
      <c r="N4200">
        <v>0</v>
      </c>
    </row>
    <row r="4201" spans="1:15">
      <c r="A4201" t="s">
        <v>23456</v>
      </c>
      <c r="B4201" t="s">
        <v>6742</v>
      </c>
      <c r="C4201" t="s">
        <v>19707</v>
      </c>
      <c r="D4201" t="s">
        <v>23457</v>
      </c>
      <c r="E4201" t="b">
        <v>0</v>
      </c>
      <c r="F4201" t="s">
        <v>11622</v>
      </c>
      <c r="L4201">
        <v>10</v>
      </c>
      <c r="M4201">
        <v>16</v>
      </c>
      <c r="N4201">
        <v>25</v>
      </c>
    </row>
    <row r="4202" spans="1:15">
      <c r="A4202" t="s">
        <v>23458</v>
      </c>
      <c r="B4202" t="s">
        <v>11637</v>
      </c>
      <c r="C4202" t="s">
        <v>23459</v>
      </c>
      <c r="D4202" t="s">
        <v>23460</v>
      </c>
      <c r="E4202" t="b">
        <v>0</v>
      </c>
      <c r="F4202" t="s">
        <v>11624</v>
      </c>
      <c r="G4202">
        <v>41.7</v>
      </c>
      <c r="H4202">
        <v>9.2553699999999992</v>
      </c>
      <c r="I4202" t="s">
        <v>23461</v>
      </c>
      <c r="L4202">
        <v>0</v>
      </c>
      <c r="M4202">
        <v>0</v>
      </c>
      <c r="N4202">
        <v>4</v>
      </c>
      <c r="O4202" t="s">
        <v>23462</v>
      </c>
    </row>
    <row r="4203" spans="1:15">
      <c r="A4203" t="s">
        <v>23459</v>
      </c>
      <c r="B4203" t="s">
        <v>11637</v>
      </c>
      <c r="C4203" t="s">
        <v>23463</v>
      </c>
      <c r="D4203" t="s">
        <v>23464</v>
      </c>
      <c r="E4203" t="b">
        <v>0</v>
      </c>
      <c r="F4203" t="s">
        <v>11622</v>
      </c>
      <c r="L4203">
        <v>0</v>
      </c>
      <c r="M4203">
        <v>2</v>
      </c>
      <c r="N4203">
        <v>4</v>
      </c>
    </row>
    <row r="4204" spans="1:15">
      <c r="A4204" t="s">
        <v>23465</v>
      </c>
      <c r="B4204" t="s">
        <v>11644</v>
      </c>
      <c r="C4204" t="s">
        <v>23466</v>
      </c>
      <c r="D4204" t="s">
        <v>23467</v>
      </c>
      <c r="E4204" t="b">
        <v>0</v>
      </c>
      <c r="F4204" t="s">
        <v>11624</v>
      </c>
      <c r="G4204">
        <v>21.616667</v>
      </c>
      <c r="H4204">
        <v>101.566667</v>
      </c>
      <c r="L4204">
        <v>0</v>
      </c>
      <c r="M4204">
        <v>0</v>
      </c>
      <c r="N4204">
        <v>0</v>
      </c>
      <c r="O4204" t="s">
        <v>18896</v>
      </c>
    </row>
    <row r="4205" spans="1:15">
      <c r="A4205" t="s">
        <v>23468</v>
      </c>
      <c r="B4205" t="s">
        <v>11981</v>
      </c>
      <c r="C4205" t="s">
        <v>22722</v>
      </c>
      <c r="D4205" t="s">
        <v>23469</v>
      </c>
      <c r="E4205" t="b">
        <v>0</v>
      </c>
      <c r="F4205" t="s">
        <v>11624</v>
      </c>
      <c r="G4205">
        <v>9.8942999999999994</v>
      </c>
      <c r="H4205">
        <v>-84.117999999999995</v>
      </c>
      <c r="I4205" t="s">
        <v>23470</v>
      </c>
      <c r="L4205">
        <v>0</v>
      </c>
      <c r="M4205">
        <v>0</v>
      </c>
      <c r="N4205">
        <v>0</v>
      </c>
      <c r="O4205" t="s">
        <v>19659</v>
      </c>
    </row>
    <row r="4206" spans="1:15">
      <c r="A4206" t="s">
        <v>23471</v>
      </c>
      <c r="B4206" t="s">
        <v>17579</v>
      </c>
      <c r="C4206" t="s">
        <v>17579</v>
      </c>
      <c r="D4206" t="s">
        <v>23472</v>
      </c>
      <c r="E4206" t="b">
        <v>0</v>
      </c>
      <c r="F4206" t="s">
        <v>11622</v>
      </c>
      <c r="L4206">
        <v>1</v>
      </c>
      <c r="M4206">
        <v>4</v>
      </c>
      <c r="N4206">
        <v>8</v>
      </c>
    </row>
    <row r="4207" spans="1:15">
      <c r="A4207" t="s">
        <v>22722</v>
      </c>
      <c r="B4207" t="s">
        <v>11981</v>
      </c>
      <c r="C4207" t="s">
        <v>13456</v>
      </c>
      <c r="D4207" t="s">
        <v>23473</v>
      </c>
      <c r="E4207" t="b">
        <v>0</v>
      </c>
      <c r="F4207" t="s">
        <v>11622</v>
      </c>
      <c r="L4207">
        <v>0</v>
      </c>
      <c r="M4207">
        <v>4</v>
      </c>
      <c r="N4207">
        <v>0</v>
      </c>
    </row>
    <row r="4208" spans="1:15">
      <c r="A4208" t="s">
        <v>18977</v>
      </c>
      <c r="B4208" t="s">
        <v>367</v>
      </c>
      <c r="C4208" t="s">
        <v>23474</v>
      </c>
      <c r="D4208" t="s">
        <v>23475</v>
      </c>
      <c r="E4208" t="b">
        <v>0</v>
      </c>
      <c r="F4208" t="s">
        <v>11624</v>
      </c>
      <c r="G4208">
        <v>6.3941699999999999</v>
      </c>
      <c r="H4208">
        <v>124.23399999999999</v>
      </c>
      <c r="I4208" t="s">
        <v>23476</v>
      </c>
      <c r="L4208">
        <v>0</v>
      </c>
      <c r="M4208">
        <v>0</v>
      </c>
      <c r="N4208">
        <v>2</v>
      </c>
      <c r="O4208" t="s">
        <v>11749</v>
      </c>
    </row>
    <row r="4209" spans="1:15">
      <c r="A4209" t="s">
        <v>23477</v>
      </c>
      <c r="B4209" t="s">
        <v>141</v>
      </c>
      <c r="C4209" t="s">
        <v>11695</v>
      </c>
      <c r="D4209" t="s">
        <v>23478</v>
      </c>
      <c r="E4209" t="b">
        <v>0</v>
      </c>
      <c r="F4209" t="s">
        <v>11610</v>
      </c>
      <c r="L4209">
        <v>0</v>
      </c>
      <c r="M4209">
        <v>0</v>
      </c>
      <c r="N4209">
        <v>0</v>
      </c>
    </row>
    <row r="4210" spans="1:15">
      <c r="A4210" t="s">
        <v>23479</v>
      </c>
      <c r="B4210" t="s">
        <v>141</v>
      </c>
      <c r="C4210" t="s">
        <v>14016</v>
      </c>
      <c r="D4210" t="s">
        <v>23480</v>
      </c>
      <c r="E4210" t="b">
        <v>0</v>
      </c>
      <c r="F4210" t="s">
        <v>11610</v>
      </c>
      <c r="L4210">
        <v>0</v>
      </c>
      <c r="M4210">
        <v>0</v>
      </c>
      <c r="N4210">
        <v>0</v>
      </c>
    </row>
    <row r="4211" spans="1:15">
      <c r="A4211" t="s">
        <v>23481</v>
      </c>
      <c r="B4211" t="s">
        <v>23482</v>
      </c>
      <c r="C4211" t="s">
        <v>23483</v>
      </c>
      <c r="D4211" t="s">
        <v>23484</v>
      </c>
      <c r="E4211" t="b">
        <v>0</v>
      </c>
      <c r="F4211" t="s">
        <v>11624</v>
      </c>
      <c r="G4211">
        <v>-15</v>
      </c>
      <c r="H4211">
        <v>-41.5</v>
      </c>
      <c r="L4211">
        <v>0</v>
      </c>
      <c r="M4211">
        <v>0</v>
      </c>
      <c r="N4211">
        <v>0</v>
      </c>
      <c r="O4211" t="s">
        <v>11969</v>
      </c>
    </row>
    <row r="4212" spans="1:15">
      <c r="A4212" t="s">
        <v>23485</v>
      </c>
      <c r="D4212" t="s">
        <v>23486</v>
      </c>
      <c r="E4212" t="b">
        <v>0</v>
      </c>
      <c r="F4212" t="s">
        <v>11624</v>
      </c>
      <c r="G4212">
        <v>25.9116</v>
      </c>
      <c r="H4212">
        <v>-97.395600000000002</v>
      </c>
      <c r="I4212" t="s">
        <v>23487</v>
      </c>
      <c r="L4212">
        <v>0</v>
      </c>
      <c r="M4212">
        <v>0</v>
      </c>
      <c r="N4212">
        <v>0</v>
      </c>
      <c r="O4212" t="s">
        <v>11883</v>
      </c>
    </row>
    <row r="4213" spans="1:15">
      <c r="A4213" t="s">
        <v>23488</v>
      </c>
      <c r="B4213" t="s">
        <v>11637</v>
      </c>
      <c r="C4213" t="s">
        <v>21255</v>
      </c>
      <c r="D4213" t="s">
        <v>23489</v>
      </c>
      <c r="E4213" t="b">
        <v>0</v>
      </c>
      <c r="F4213" t="s">
        <v>11610</v>
      </c>
      <c r="L4213">
        <v>0</v>
      </c>
      <c r="M4213">
        <v>0</v>
      </c>
      <c r="N4213">
        <v>0</v>
      </c>
    </row>
    <row r="4214" spans="1:15">
      <c r="A4214" t="s">
        <v>23490</v>
      </c>
      <c r="B4214" t="s">
        <v>15027</v>
      </c>
      <c r="C4214" t="s">
        <v>15028</v>
      </c>
      <c r="D4214" t="s">
        <v>23491</v>
      </c>
      <c r="E4214" t="b">
        <v>0</v>
      </c>
      <c r="F4214" t="s">
        <v>11610</v>
      </c>
      <c r="L4214">
        <v>0</v>
      </c>
      <c r="M4214">
        <v>0</v>
      </c>
      <c r="N4214">
        <v>0</v>
      </c>
    </row>
    <row r="4215" spans="1:15">
      <c r="A4215" t="s">
        <v>23492</v>
      </c>
      <c r="B4215" t="s">
        <v>9071</v>
      </c>
      <c r="C4215" t="s">
        <v>22568</v>
      </c>
      <c r="D4215" t="s">
        <v>23493</v>
      </c>
      <c r="E4215" t="b">
        <v>0</v>
      </c>
      <c r="F4215" t="s">
        <v>11610</v>
      </c>
      <c r="L4215">
        <v>0</v>
      </c>
      <c r="M4215">
        <v>0</v>
      </c>
      <c r="N4215">
        <v>0</v>
      </c>
    </row>
    <row r="4216" spans="1:15">
      <c r="A4216" t="s">
        <v>23494</v>
      </c>
      <c r="B4216" t="s">
        <v>9071</v>
      </c>
      <c r="C4216" t="s">
        <v>23495</v>
      </c>
      <c r="D4216" t="s">
        <v>23496</v>
      </c>
      <c r="E4216" t="b">
        <v>0</v>
      </c>
      <c r="F4216" t="s">
        <v>11624</v>
      </c>
      <c r="G4216">
        <v>46.416699999999999</v>
      </c>
      <c r="H4216">
        <v>-122.917</v>
      </c>
      <c r="I4216" t="s">
        <v>23497</v>
      </c>
      <c r="L4216">
        <v>0</v>
      </c>
      <c r="M4216">
        <v>0</v>
      </c>
      <c r="N4216">
        <v>0</v>
      </c>
      <c r="O4216" t="s">
        <v>11944</v>
      </c>
    </row>
    <row r="4217" spans="1:15">
      <c r="A4217" t="s">
        <v>23498</v>
      </c>
      <c r="B4217" t="s">
        <v>11627</v>
      </c>
      <c r="C4217" t="s">
        <v>11627</v>
      </c>
      <c r="D4217" t="s">
        <v>23499</v>
      </c>
      <c r="E4217" t="b">
        <v>1</v>
      </c>
      <c r="F4217" t="s">
        <v>11624</v>
      </c>
      <c r="G4217">
        <v>6.0833199999999996</v>
      </c>
      <c r="H4217">
        <v>-72.083299999999994</v>
      </c>
      <c r="I4217" t="s">
        <v>23500</v>
      </c>
      <c r="L4217">
        <v>0</v>
      </c>
      <c r="M4217">
        <v>0</v>
      </c>
      <c r="N4217">
        <v>0</v>
      </c>
      <c r="O4217" t="s">
        <v>11898</v>
      </c>
    </row>
    <row r="4218" spans="1:15">
      <c r="A4218" t="s">
        <v>23501</v>
      </c>
      <c r="B4218" t="s">
        <v>11627</v>
      </c>
      <c r="C4218" t="s">
        <v>11627</v>
      </c>
      <c r="D4218" t="s">
        <v>23502</v>
      </c>
      <c r="E4218" t="b">
        <v>1</v>
      </c>
      <c r="F4218" t="s">
        <v>11624</v>
      </c>
      <c r="G4218">
        <v>11.333299999999999</v>
      </c>
      <c r="H4218">
        <v>-73</v>
      </c>
      <c r="I4218" t="s">
        <v>23503</v>
      </c>
      <c r="L4218">
        <v>0</v>
      </c>
      <c r="M4218">
        <v>0</v>
      </c>
      <c r="N4218">
        <v>0</v>
      </c>
      <c r="O4218" t="s">
        <v>11898</v>
      </c>
    </row>
    <row r="4219" spans="1:15">
      <c r="A4219" t="s">
        <v>23504</v>
      </c>
      <c r="B4219" t="s">
        <v>11879</v>
      </c>
      <c r="C4219" t="s">
        <v>23505</v>
      </c>
      <c r="D4219" t="s">
        <v>23506</v>
      </c>
      <c r="E4219" t="b">
        <v>0</v>
      </c>
      <c r="F4219" t="s">
        <v>11624</v>
      </c>
      <c r="G4219">
        <v>18.381399999999999</v>
      </c>
      <c r="H4219">
        <v>-97.625799999999998</v>
      </c>
      <c r="I4219" t="s">
        <v>23507</v>
      </c>
      <c r="L4219">
        <v>0</v>
      </c>
      <c r="M4219">
        <v>0</v>
      </c>
      <c r="N4219">
        <v>2</v>
      </c>
      <c r="O4219" t="s">
        <v>11883</v>
      </c>
    </row>
    <row r="4220" spans="1:15">
      <c r="A4220" t="s">
        <v>22066</v>
      </c>
      <c r="B4220" t="s">
        <v>21317</v>
      </c>
      <c r="C4220" t="s">
        <v>23508</v>
      </c>
      <c r="D4220" t="s">
        <v>23509</v>
      </c>
      <c r="E4220" t="b">
        <v>0</v>
      </c>
      <c r="F4220" t="s">
        <v>11624</v>
      </c>
      <c r="G4220">
        <v>20.544699999999999</v>
      </c>
      <c r="H4220">
        <v>-97.685199999999995</v>
      </c>
      <c r="I4220" t="s">
        <v>23510</v>
      </c>
      <c r="L4220">
        <v>0</v>
      </c>
      <c r="M4220">
        <v>0</v>
      </c>
      <c r="N4220">
        <v>1</v>
      </c>
      <c r="O4220" t="s">
        <v>11883</v>
      </c>
    </row>
    <row r="4221" spans="1:15">
      <c r="A4221" t="s">
        <v>23511</v>
      </c>
      <c r="B4221" t="s">
        <v>12751</v>
      </c>
      <c r="C4221" t="s">
        <v>2723</v>
      </c>
      <c r="D4221" t="s">
        <v>23512</v>
      </c>
      <c r="E4221" t="b">
        <v>0</v>
      </c>
      <c r="F4221" t="s">
        <v>11610</v>
      </c>
      <c r="L4221">
        <v>0</v>
      </c>
      <c r="M4221">
        <v>0</v>
      </c>
      <c r="N4221">
        <v>0</v>
      </c>
    </row>
    <row r="4222" spans="1:15">
      <c r="A4222" t="s">
        <v>23513</v>
      </c>
      <c r="B4222" t="s">
        <v>12875</v>
      </c>
      <c r="C4222" t="s">
        <v>12875</v>
      </c>
      <c r="D4222" t="s">
        <v>23514</v>
      </c>
      <c r="E4222" t="b">
        <v>0</v>
      </c>
      <c r="F4222" t="s">
        <v>11624</v>
      </c>
      <c r="G4222">
        <v>31</v>
      </c>
      <c r="H4222">
        <v>-87.5</v>
      </c>
      <c r="I4222" t="s">
        <v>23515</v>
      </c>
      <c r="L4222">
        <v>0</v>
      </c>
      <c r="M4222">
        <v>0</v>
      </c>
      <c r="N4222">
        <v>2</v>
      </c>
      <c r="O4222" t="s">
        <v>11944</v>
      </c>
    </row>
    <row r="4223" spans="1:15">
      <c r="A4223" t="s">
        <v>15012</v>
      </c>
      <c r="B4223" t="s">
        <v>12979</v>
      </c>
      <c r="C4223" t="s">
        <v>13050</v>
      </c>
      <c r="D4223" t="s">
        <v>23516</v>
      </c>
      <c r="E4223" t="b">
        <v>0</v>
      </c>
      <c r="F4223" t="s">
        <v>11622</v>
      </c>
      <c r="L4223">
        <v>1</v>
      </c>
      <c r="M4223">
        <v>9</v>
      </c>
      <c r="N4223">
        <v>9</v>
      </c>
    </row>
    <row r="4224" spans="1:15">
      <c r="A4224" t="s">
        <v>6048</v>
      </c>
      <c r="B4224" t="s">
        <v>12979</v>
      </c>
      <c r="C4224" t="s">
        <v>15012</v>
      </c>
      <c r="D4224" t="s">
        <v>23517</v>
      </c>
      <c r="E4224" t="b">
        <v>0</v>
      </c>
      <c r="F4224" t="s">
        <v>11622</v>
      </c>
      <c r="I4224" t="s">
        <v>6049</v>
      </c>
      <c r="L4224">
        <v>0</v>
      </c>
      <c r="M4224">
        <v>6</v>
      </c>
      <c r="N4224">
        <v>5</v>
      </c>
      <c r="O4224" t="s">
        <v>13049</v>
      </c>
    </row>
    <row r="4225" spans="1:15">
      <c r="A4225" t="s">
        <v>23518</v>
      </c>
      <c r="B4225" t="s">
        <v>11637</v>
      </c>
      <c r="C4225" t="s">
        <v>16063</v>
      </c>
      <c r="D4225" t="s">
        <v>23519</v>
      </c>
      <c r="E4225" t="b">
        <v>0</v>
      </c>
      <c r="F4225" t="s">
        <v>11624</v>
      </c>
      <c r="G4225">
        <v>4.0709150000000003</v>
      </c>
      <c r="H4225">
        <v>-58.918171999999998</v>
      </c>
      <c r="I4225" t="s">
        <v>23520</v>
      </c>
      <c r="L4225">
        <v>0</v>
      </c>
      <c r="M4225">
        <v>0</v>
      </c>
      <c r="N4225">
        <v>0</v>
      </c>
      <c r="O4225" t="s">
        <v>23521</v>
      </c>
    </row>
    <row r="4226" spans="1:15">
      <c r="A4226" t="s">
        <v>23522</v>
      </c>
      <c r="B4226" t="s">
        <v>12438</v>
      </c>
      <c r="C4226" t="s">
        <v>23523</v>
      </c>
      <c r="D4226" t="s">
        <v>23524</v>
      </c>
      <c r="E4226" t="b">
        <v>0</v>
      </c>
      <c r="F4226" t="s">
        <v>11610</v>
      </c>
      <c r="L4226">
        <v>0</v>
      </c>
      <c r="M4226">
        <v>0</v>
      </c>
      <c r="N4226">
        <v>0</v>
      </c>
    </row>
    <row r="4227" spans="1:15">
      <c r="A4227" t="s">
        <v>23525</v>
      </c>
      <c r="B4227" t="s">
        <v>11637</v>
      </c>
      <c r="C4227" t="s">
        <v>23355</v>
      </c>
      <c r="D4227" t="s">
        <v>23526</v>
      </c>
      <c r="E4227" t="b">
        <v>0</v>
      </c>
      <c r="F4227" t="s">
        <v>11610</v>
      </c>
      <c r="L4227">
        <v>0</v>
      </c>
      <c r="M4227">
        <v>0</v>
      </c>
      <c r="N4227">
        <v>2</v>
      </c>
    </row>
    <row r="4228" spans="1:15">
      <c r="A4228" t="s">
        <v>23527</v>
      </c>
      <c r="B4228" t="s">
        <v>11637</v>
      </c>
      <c r="C4228" t="s">
        <v>23525</v>
      </c>
      <c r="D4228" t="s">
        <v>23528</v>
      </c>
      <c r="E4228" t="b">
        <v>0</v>
      </c>
      <c r="F4228" t="s">
        <v>11610</v>
      </c>
      <c r="L4228">
        <v>0</v>
      </c>
      <c r="M4228">
        <v>0</v>
      </c>
      <c r="N4228">
        <v>0</v>
      </c>
    </row>
    <row r="4229" spans="1:15">
      <c r="A4229" t="s">
        <v>23529</v>
      </c>
      <c r="B4229" t="s">
        <v>11637</v>
      </c>
      <c r="C4229" t="s">
        <v>12777</v>
      </c>
      <c r="D4229" t="s">
        <v>23530</v>
      </c>
      <c r="E4229" t="b">
        <v>0</v>
      </c>
      <c r="F4229" t="s">
        <v>11610</v>
      </c>
      <c r="L4229">
        <v>0</v>
      </c>
      <c r="M4229">
        <v>0</v>
      </c>
      <c r="N4229">
        <v>0</v>
      </c>
    </row>
    <row r="4230" spans="1:15">
      <c r="A4230" t="s">
        <v>23531</v>
      </c>
      <c r="B4230" t="s">
        <v>11637</v>
      </c>
      <c r="C4230" t="s">
        <v>23532</v>
      </c>
      <c r="D4230" t="s">
        <v>23533</v>
      </c>
      <c r="E4230" t="b">
        <v>0</v>
      </c>
      <c r="F4230" t="s">
        <v>11624</v>
      </c>
      <c r="G4230">
        <v>45.3</v>
      </c>
      <c r="H4230">
        <v>34.4</v>
      </c>
      <c r="L4230">
        <v>0</v>
      </c>
      <c r="M4230">
        <v>0</v>
      </c>
      <c r="N4230">
        <v>0</v>
      </c>
    </row>
    <row r="4231" spans="1:15">
      <c r="A4231" t="s">
        <v>23534</v>
      </c>
      <c r="B4231" t="s">
        <v>331</v>
      </c>
      <c r="C4231" t="s">
        <v>23535</v>
      </c>
      <c r="D4231" t="s">
        <v>23536</v>
      </c>
      <c r="E4231" t="b">
        <v>0</v>
      </c>
      <c r="F4231" t="s">
        <v>11622</v>
      </c>
      <c r="L4231">
        <v>0</v>
      </c>
      <c r="M4231">
        <v>2</v>
      </c>
      <c r="N4231">
        <v>3</v>
      </c>
    </row>
    <row r="4232" spans="1:15">
      <c r="A4232" t="s">
        <v>21403</v>
      </c>
      <c r="B4232" t="s">
        <v>331</v>
      </c>
      <c r="C4232" t="s">
        <v>23534</v>
      </c>
      <c r="D4232" t="s">
        <v>23537</v>
      </c>
      <c r="E4232" t="b">
        <v>0</v>
      </c>
      <c r="F4232" t="s">
        <v>11624</v>
      </c>
      <c r="G4232">
        <v>45</v>
      </c>
      <c r="H4232">
        <v>34.08</v>
      </c>
      <c r="I4232" t="s">
        <v>23538</v>
      </c>
      <c r="L4232">
        <v>0</v>
      </c>
      <c r="M4232">
        <v>0</v>
      </c>
      <c r="N4232">
        <v>3</v>
      </c>
      <c r="O4232" t="s">
        <v>23539</v>
      </c>
    </row>
    <row r="4233" spans="1:15">
      <c r="A4233" t="s">
        <v>23540</v>
      </c>
      <c r="B4233" t="s">
        <v>11637</v>
      </c>
      <c r="C4233" t="s">
        <v>11822</v>
      </c>
      <c r="D4233" t="s">
        <v>23541</v>
      </c>
      <c r="E4233" t="b">
        <v>0</v>
      </c>
      <c r="F4233" t="s">
        <v>11610</v>
      </c>
      <c r="L4233">
        <v>0</v>
      </c>
      <c r="M4233">
        <v>0</v>
      </c>
      <c r="N4233">
        <v>0</v>
      </c>
    </row>
    <row r="4234" spans="1:15">
      <c r="A4234" t="s">
        <v>23542</v>
      </c>
      <c r="B4234" t="s">
        <v>11637</v>
      </c>
      <c r="C4234" t="s">
        <v>2995</v>
      </c>
      <c r="D4234" t="s">
        <v>23543</v>
      </c>
      <c r="E4234" t="b">
        <v>0</v>
      </c>
      <c r="F4234" t="s">
        <v>11610</v>
      </c>
      <c r="L4234">
        <v>0</v>
      </c>
      <c r="M4234">
        <v>0</v>
      </c>
      <c r="N4234">
        <v>0</v>
      </c>
    </row>
    <row r="4235" spans="1:15">
      <c r="A4235" t="s">
        <v>23544</v>
      </c>
      <c r="B4235" t="s">
        <v>11981</v>
      </c>
      <c r="C4235" t="s">
        <v>23545</v>
      </c>
      <c r="D4235" t="s">
        <v>23546</v>
      </c>
      <c r="E4235" t="b">
        <v>0</v>
      </c>
      <c r="F4235" t="s">
        <v>11624</v>
      </c>
      <c r="G4235">
        <v>45.502000000000002</v>
      </c>
      <c r="H4235">
        <v>16.795999999999999</v>
      </c>
      <c r="I4235" t="s">
        <v>23547</v>
      </c>
      <c r="L4235">
        <v>0</v>
      </c>
      <c r="M4235">
        <v>0</v>
      </c>
      <c r="N4235">
        <v>0</v>
      </c>
      <c r="O4235" t="s">
        <v>23548</v>
      </c>
    </row>
    <row r="4236" spans="1:15">
      <c r="A4236" t="s">
        <v>9640</v>
      </c>
      <c r="B4236" t="s">
        <v>11637</v>
      </c>
      <c r="C4236" t="s">
        <v>19683</v>
      </c>
      <c r="D4236" t="s">
        <v>23549</v>
      </c>
      <c r="E4236" t="b">
        <v>0</v>
      </c>
      <c r="F4236" t="s">
        <v>11610</v>
      </c>
      <c r="G4236">
        <v>45.200600000000001</v>
      </c>
      <c r="H4236">
        <v>16.826000000000001</v>
      </c>
      <c r="I4236" t="s">
        <v>9641</v>
      </c>
      <c r="L4236">
        <v>0</v>
      </c>
      <c r="M4236">
        <v>0</v>
      </c>
      <c r="N4236">
        <v>0</v>
      </c>
      <c r="O4236" t="s">
        <v>23550</v>
      </c>
    </row>
    <row r="4237" spans="1:15">
      <c r="A4237" t="s">
        <v>13250</v>
      </c>
      <c r="B4237" t="s">
        <v>11615</v>
      </c>
      <c r="C4237" t="s">
        <v>23551</v>
      </c>
      <c r="D4237" t="s">
        <v>23552</v>
      </c>
      <c r="E4237" t="b">
        <v>0</v>
      </c>
      <c r="F4237" t="s">
        <v>11622</v>
      </c>
      <c r="L4237">
        <v>21</v>
      </c>
      <c r="M4237">
        <v>54</v>
      </c>
      <c r="N4237">
        <v>14</v>
      </c>
    </row>
    <row r="4238" spans="1:15">
      <c r="A4238" t="s">
        <v>12125</v>
      </c>
      <c r="B4238" t="s">
        <v>6742</v>
      </c>
      <c r="C4238" t="s">
        <v>23553</v>
      </c>
      <c r="D4238" t="s">
        <v>23554</v>
      </c>
      <c r="E4238" t="b">
        <v>0</v>
      </c>
      <c r="F4238" t="s">
        <v>11624</v>
      </c>
      <c r="G4238">
        <v>6.1692600000000004</v>
      </c>
      <c r="H4238">
        <v>8.2359200000000001</v>
      </c>
      <c r="I4238" t="s">
        <v>23555</v>
      </c>
      <c r="L4238">
        <v>0</v>
      </c>
      <c r="M4238">
        <v>0</v>
      </c>
      <c r="N4238">
        <v>8</v>
      </c>
      <c r="O4238" t="s">
        <v>11693</v>
      </c>
    </row>
    <row r="4239" spans="1:15">
      <c r="A4239" t="s">
        <v>23556</v>
      </c>
      <c r="B4239" t="s">
        <v>8897</v>
      </c>
      <c r="C4239" t="s">
        <v>23557</v>
      </c>
      <c r="D4239" t="s">
        <v>23558</v>
      </c>
      <c r="E4239" t="b">
        <v>0</v>
      </c>
      <c r="F4239" t="s">
        <v>11624</v>
      </c>
      <c r="G4239">
        <v>45.368000000000002</v>
      </c>
      <c r="H4239">
        <v>-107.874</v>
      </c>
      <c r="I4239" t="s">
        <v>23559</v>
      </c>
      <c r="L4239">
        <v>0</v>
      </c>
      <c r="M4239">
        <v>0</v>
      </c>
      <c r="N4239">
        <v>0</v>
      </c>
      <c r="O4239" t="s">
        <v>11944</v>
      </c>
    </row>
    <row r="4240" spans="1:15">
      <c r="A4240" t="s">
        <v>23560</v>
      </c>
      <c r="B4240" t="s">
        <v>16997</v>
      </c>
      <c r="C4240" t="s">
        <v>21721</v>
      </c>
      <c r="D4240" t="s">
        <v>23561</v>
      </c>
      <c r="E4240" t="b">
        <v>0</v>
      </c>
      <c r="F4240" t="s">
        <v>11624</v>
      </c>
      <c r="G4240">
        <v>34.046500000000002</v>
      </c>
      <c r="H4240">
        <v>-119.864</v>
      </c>
      <c r="I4240" t="s">
        <v>23562</v>
      </c>
      <c r="L4240">
        <v>0</v>
      </c>
      <c r="M4240">
        <v>0</v>
      </c>
      <c r="N4240">
        <v>0</v>
      </c>
      <c r="O4240" t="s">
        <v>11944</v>
      </c>
    </row>
    <row r="4241" spans="1:15">
      <c r="A4241" t="s">
        <v>23563</v>
      </c>
      <c r="B4241" t="s">
        <v>12260</v>
      </c>
      <c r="C4241" t="s">
        <v>10255</v>
      </c>
      <c r="D4241" t="s">
        <v>23564</v>
      </c>
      <c r="E4241" t="b">
        <v>0</v>
      </c>
      <c r="F4241" t="s">
        <v>11610</v>
      </c>
      <c r="L4241">
        <v>0</v>
      </c>
      <c r="M4241">
        <v>0</v>
      </c>
      <c r="N4241">
        <v>0</v>
      </c>
    </row>
    <row r="4242" spans="1:15">
      <c r="A4242" t="s">
        <v>23565</v>
      </c>
      <c r="B4242" t="s">
        <v>11981</v>
      </c>
      <c r="C4242" t="s">
        <v>12200</v>
      </c>
      <c r="D4242" t="s">
        <v>23566</v>
      </c>
      <c r="E4242" t="b">
        <v>0</v>
      </c>
      <c r="F4242" t="s">
        <v>11622</v>
      </c>
      <c r="L4242">
        <v>2</v>
      </c>
      <c r="M4242">
        <v>4</v>
      </c>
      <c r="N4242">
        <v>1</v>
      </c>
    </row>
    <row r="4243" spans="1:15">
      <c r="A4243" t="s">
        <v>23567</v>
      </c>
      <c r="B4243" t="s">
        <v>12438</v>
      </c>
      <c r="C4243" t="s">
        <v>12918</v>
      </c>
      <c r="D4243" t="s">
        <v>23568</v>
      </c>
      <c r="E4243" t="b">
        <v>0</v>
      </c>
      <c r="F4243" t="s">
        <v>11624</v>
      </c>
      <c r="G4243">
        <v>15.168799999999999</v>
      </c>
      <c r="H4243">
        <v>108.431</v>
      </c>
      <c r="I4243" t="s">
        <v>23569</v>
      </c>
      <c r="L4243">
        <v>0</v>
      </c>
      <c r="M4243">
        <v>0</v>
      </c>
      <c r="N4243">
        <v>2</v>
      </c>
      <c r="O4243" t="s">
        <v>15949</v>
      </c>
    </row>
    <row r="4244" spans="1:15">
      <c r="A4244" t="s">
        <v>23570</v>
      </c>
      <c r="B4244" t="s">
        <v>11879</v>
      </c>
      <c r="C4244" t="s">
        <v>12898</v>
      </c>
      <c r="D4244" t="s">
        <v>23571</v>
      </c>
      <c r="E4244" t="b">
        <v>0</v>
      </c>
      <c r="F4244" t="s">
        <v>11610</v>
      </c>
      <c r="L4244">
        <v>0</v>
      </c>
      <c r="M4244">
        <v>0</v>
      </c>
      <c r="N4244">
        <v>0</v>
      </c>
    </row>
    <row r="4245" spans="1:15">
      <c r="A4245" t="s">
        <v>23572</v>
      </c>
      <c r="B4245" t="s">
        <v>11981</v>
      </c>
      <c r="C4245" t="s">
        <v>23573</v>
      </c>
      <c r="D4245" t="s">
        <v>23574</v>
      </c>
      <c r="E4245" t="b">
        <v>0</v>
      </c>
      <c r="F4245" t="s">
        <v>11624</v>
      </c>
      <c r="G4245">
        <v>22.061</v>
      </c>
      <c r="H4245">
        <v>-79.209000000000003</v>
      </c>
      <c r="I4245" t="s">
        <v>23575</v>
      </c>
      <c r="L4245">
        <v>0</v>
      </c>
      <c r="M4245">
        <v>0</v>
      </c>
      <c r="N4245">
        <v>0</v>
      </c>
      <c r="O4245" t="s">
        <v>23576</v>
      </c>
    </row>
    <row r="4246" spans="1:15">
      <c r="A4246" t="s">
        <v>23577</v>
      </c>
      <c r="B4246" t="s">
        <v>6742</v>
      </c>
      <c r="C4246" t="s">
        <v>23578</v>
      </c>
      <c r="D4246" t="s">
        <v>23579</v>
      </c>
      <c r="E4246" t="b">
        <v>0</v>
      </c>
      <c r="F4246" t="s">
        <v>11624</v>
      </c>
      <c r="G4246">
        <v>10.260725000000001</v>
      </c>
      <c r="H4246">
        <v>4.6845939999999997</v>
      </c>
      <c r="I4246" t="s">
        <v>23580</v>
      </c>
      <c r="L4246">
        <v>0</v>
      </c>
      <c r="M4246">
        <v>0</v>
      </c>
      <c r="N4246">
        <v>0</v>
      </c>
      <c r="O4246" t="s">
        <v>11693</v>
      </c>
    </row>
    <row r="4247" spans="1:15">
      <c r="A4247" t="s">
        <v>23581</v>
      </c>
      <c r="B4247" t="s">
        <v>2975</v>
      </c>
      <c r="C4247" t="s">
        <v>23582</v>
      </c>
      <c r="D4247" t="s">
        <v>23583</v>
      </c>
      <c r="E4247" t="b">
        <v>0</v>
      </c>
      <c r="F4247" t="s">
        <v>11624</v>
      </c>
      <c r="G4247">
        <v>1.32382</v>
      </c>
      <c r="H4247">
        <v>-70.193899999999999</v>
      </c>
      <c r="I4247" t="s">
        <v>23584</v>
      </c>
      <c r="L4247">
        <v>0</v>
      </c>
      <c r="M4247">
        <v>0</v>
      </c>
      <c r="N4247">
        <v>0</v>
      </c>
      <c r="O4247" t="s">
        <v>16716</v>
      </c>
    </row>
    <row r="4248" spans="1:15">
      <c r="A4248" t="s">
        <v>23582</v>
      </c>
      <c r="B4248" t="s">
        <v>2975</v>
      </c>
      <c r="C4248" t="s">
        <v>23585</v>
      </c>
      <c r="D4248" t="s">
        <v>23586</v>
      </c>
      <c r="E4248" t="b">
        <v>0</v>
      </c>
      <c r="F4248" t="s">
        <v>11622</v>
      </c>
      <c r="L4248">
        <v>2</v>
      </c>
      <c r="M4248">
        <v>4</v>
      </c>
      <c r="N4248">
        <v>0</v>
      </c>
    </row>
    <row r="4249" spans="1:15">
      <c r="A4249" t="s">
        <v>23587</v>
      </c>
      <c r="B4249" t="s">
        <v>12311</v>
      </c>
      <c r="C4249" t="s">
        <v>23588</v>
      </c>
      <c r="D4249" t="s">
        <v>23589</v>
      </c>
      <c r="E4249" t="b">
        <v>0</v>
      </c>
      <c r="F4249" t="s">
        <v>11610</v>
      </c>
      <c r="L4249">
        <v>0</v>
      </c>
      <c r="M4249">
        <v>0</v>
      </c>
      <c r="N4249">
        <v>0</v>
      </c>
    </row>
    <row r="4250" spans="1:15">
      <c r="A4250" t="s">
        <v>23590</v>
      </c>
      <c r="B4250" t="s">
        <v>13360</v>
      </c>
      <c r="C4250" t="s">
        <v>13360</v>
      </c>
      <c r="D4250" t="s">
        <v>23591</v>
      </c>
      <c r="E4250" t="b">
        <v>0</v>
      </c>
      <c r="F4250" t="s">
        <v>11624</v>
      </c>
      <c r="G4250">
        <v>8.2682350000000007</v>
      </c>
      <c r="H4250">
        <v>-78.184568999999996</v>
      </c>
      <c r="L4250">
        <v>0</v>
      </c>
      <c r="M4250">
        <v>0</v>
      </c>
      <c r="N4250">
        <v>0</v>
      </c>
      <c r="O4250" t="s">
        <v>20095</v>
      </c>
    </row>
    <row r="4251" spans="1:15">
      <c r="A4251" t="s">
        <v>13318</v>
      </c>
      <c r="B4251" t="s">
        <v>978</v>
      </c>
      <c r="C4251" t="s">
        <v>23592</v>
      </c>
      <c r="D4251" t="s">
        <v>23593</v>
      </c>
      <c r="E4251" t="b">
        <v>0</v>
      </c>
      <c r="F4251" t="s">
        <v>11624</v>
      </c>
      <c r="G4251">
        <v>6.1982900000000001</v>
      </c>
      <c r="H4251">
        <v>-69.819699999999997</v>
      </c>
      <c r="I4251" t="s">
        <v>23594</v>
      </c>
      <c r="L4251">
        <v>0</v>
      </c>
      <c r="M4251">
        <v>0</v>
      </c>
      <c r="N4251">
        <v>9</v>
      </c>
      <c r="O4251" t="s">
        <v>17099</v>
      </c>
    </row>
    <row r="4252" spans="1:15">
      <c r="A4252" t="s">
        <v>23595</v>
      </c>
      <c r="B4252" t="s">
        <v>11879</v>
      </c>
      <c r="C4252" t="s">
        <v>23596</v>
      </c>
      <c r="D4252" t="s">
        <v>23597</v>
      </c>
      <c r="E4252" t="b">
        <v>0</v>
      </c>
      <c r="F4252" t="s">
        <v>11622</v>
      </c>
      <c r="L4252">
        <v>0</v>
      </c>
      <c r="M4252">
        <v>2</v>
      </c>
      <c r="N4252">
        <v>1</v>
      </c>
    </row>
    <row r="4253" spans="1:15">
      <c r="A4253" t="s">
        <v>23598</v>
      </c>
      <c r="B4253" t="s">
        <v>23599</v>
      </c>
      <c r="C4253" t="s">
        <v>23599</v>
      </c>
      <c r="D4253" t="s">
        <v>23600</v>
      </c>
      <c r="E4253" t="b">
        <v>0</v>
      </c>
      <c r="F4253" t="s">
        <v>11610</v>
      </c>
      <c r="L4253">
        <v>0</v>
      </c>
      <c r="M4253">
        <v>0</v>
      </c>
      <c r="N4253">
        <v>0</v>
      </c>
    </row>
    <row r="4254" spans="1:15">
      <c r="A4254" t="s">
        <v>23601</v>
      </c>
      <c r="D4254" t="s">
        <v>23602</v>
      </c>
      <c r="E4254" t="b">
        <v>0</v>
      </c>
      <c r="F4254" t="s">
        <v>11624</v>
      </c>
      <c r="G4254">
        <v>18.100000000000001</v>
      </c>
      <c r="H4254">
        <v>-100.5</v>
      </c>
      <c r="I4254" t="s">
        <v>23603</v>
      </c>
      <c r="L4254">
        <v>0</v>
      </c>
      <c r="M4254">
        <v>0</v>
      </c>
      <c r="N4254">
        <v>0</v>
      </c>
      <c r="O4254" t="s">
        <v>11883</v>
      </c>
    </row>
    <row r="4255" spans="1:15">
      <c r="A4255" t="s">
        <v>23604</v>
      </c>
      <c r="B4255" t="s">
        <v>14398</v>
      </c>
      <c r="C4255" t="s">
        <v>23605</v>
      </c>
      <c r="D4255" t="s">
        <v>23606</v>
      </c>
      <c r="E4255" t="b">
        <v>0</v>
      </c>
      <c r="F4255" t="s">
        <v>11624</v>
      </c>
      <c r="G4255">
        <v>-8.5526800000000005</v>
      </c>
      <c r="H4255">
        <v>-70.6648</v>
      </c>
      <c r="I4255" t="s">
        <v>23607</v>
      </c>
      <c r="L4255">
        <v>0</v>
      </c>
      <c r="M4255">
        <v>0</v>
      </c>
      <c r="N4255">
        <v>2</v>
      </c>
      <c r="O4255" t="s">
        <v>13248</v>
      </c>
    </row>
    <row r="4256" spans="1:15">
      <c r="A4256" t="s">
        <v>23608</v>
      </c>
      <c r="D4256" t="s">
        <v>23609</v>
      </c>
      <c r="E4256" t="b">
        <v>0</v>
      </c>
      <c r="F4256" t="s">
        <v>11624</v>
      </c>
      <c r="G4256">
        <v>-7.8786180000000003</v>
      </c>
      <c r="H4256">
        <v>-78.116455999999999</v>
      </c>
      <c r="L4256">
        <v>0</v>
      </c>
      <c r="M4256">
        <v>0</v>
      </c>
      <c r="N4256">
        <v>0</v>
      </c>
      <c r="O4256" t="s">
        <v>11778</v>
      </c>
    </row>
    <row r="4257" spans="1:15">
      <c r="A4257" t="s">
        <v>23610</v>
      </c>
      <c r="B4257" t="s">
        <v>8310</v>
      </c>
      <c r="C4257" t="s">
        <v>22130</v>
      </c>
      <c r="D4257" t="s">
        <v>23611</v>
      </c>
      <c r="E4257" t="b">
        <v>0</v>
      </c>
      <c r="F4257" t="s">
        <v>11624</v>
      </c>
      <c r="G4257">
        <v>10.209</v>
      </c>
      <c r="H4257">
        <v>-63.018000000000001</v>
      </c>
      <c r="I4257" t="s">
        <v>23612</v>
      </c>
      <c r="L4257">
        <v>0</v>
      </c>
      <c r="M4257">
        <v>0</v>
      </c>
      <c r="N4257">
        <v>0</v>
      </c>
      <c r="O4257" t="s">
        <v>16711</v>
      </c>
    </row>
    <row r="4258" spans="1:15">
      <c r="A4258" t="s">
        <v>23613</v>
      </c>
      <c r="B4258" t="s">
        <v>11627</v>
      </c>
      <c r="C4258" t="s">
        <v>11627</v>
      </c>
      <c r="D4258" t="s">
        <v>23614</v>
      </c>
      <c r="E4258" t="b">
        <v>1</v>
      </c>
      <c r="F4258" t="s">
        <v>11624</v>
      </c>
      <c r="G4258">
        <v>2.8333200000000001</v>
      </c>
      <c r="H4258">
        <v>-69.5</v>
      </c>
      <c r="I4258" t="s">
        <v>23615</v>
      </c>
      <c r="L4258">
        <v>0</v>
      </c>
      <c r="M4258">
        <v>0</v>
      </c>
      <c r="N4258">
        <v>0</v>
      </c>
      <c r="O4258" t="s">
        <v>11898</v>
      </c>
    </row>
    <row r="4259" spans="1:15">
      <c r="A4259" t="s">
        <v>23616</v>
      </c>
      <c r="B4259" t="s">
        <v>11637</v>
      </c>
      <c r="C4259" t="s">
        <v>23617</v>
      </c>
      <c r="D4259" t="s">
        <v>23618</v>
      </c>
      <c r="E4259" t="b">
        <v>0</v>
      </c>
      <c r="F4259" t="s">
        <v>11624</v>
      </c>
      <c r="I4259" t="s">
        <v>23619</v>
      </c>
      <c r="L4259">
        <v>0</v>
      </c>
      <c r="M4259">
        <v>0</v>
      </c>
      <c r="N4259">
        <v>0</v>
      </c>
      <c r="O4259" t="s">
        <v>16254</v>
      </c>
    </row>
    <row r="4260" spans="1:15">
      <c r="A4260" t="s">
        <v>23620</v>
      </c>
      <c r="B4260" t="s">
        <v>6742</v>
      </c>
      <c r="C4260" t="s">
        <v>23621</v>
      </c>
      <c r="D4260" t="s">
        <v>23622</v>
      </c>
      <c r="E4260" t="b">
        <v>0</v>
      </c>
      <c r="F4260" t="s">
        <v>11624</v>
      </c>
      <c r="G4260">
        <v>6.59687</v>
      </c>
      <c r="H4260">
        <v>10.410399999999999</v>
      </c>
      <c r="I4260" t="s">
        <v>23623</v>
      </c>
      <c r="L4260">
        <v>0</v>
      </c>
      <c r="M4260">
        <v>0</v>
      </c>
      <c r="N4260">
        <v>0</v>
      </c>
      <c r="O4260" t="s">
        <v>11703</v>
      </c>
    </row>
    <row r="4261" spans="1:15">
      <c r="A4261" t="s">
        <v>23621</v>
      </c>
      <c r="B4261" t="s">
        <v>6742</v>
      </c>
      <c r="C4261" t="s">
        <v>23624</v>
      </c>
      <c r="D4261" t="s">
        <v>23625</v>
      </c>
      <c r="E4261" t="b">
        <v>0</v>
      </c>
      <c r="F4261" t="s">
        <v>11622</v>
      </c>
      <c r="L4261">
        <v>0</v>
      </c>
      <c r="M4261">
        <v>2</v>
      </c>
      <c r="N4261">
        <v>0</v>
      </c>
    </row>
    <row r="4262" spans="1:15">
      <c r="A4262" t="s">
        <v>23626</v>
      </c>
      <c r="B4262" t="s">
        <v>5126</v>
      </c>
      <c r="C4262" t="s">
        <v>23627</v>
      </c>
      <c r="D4262" t="s">
        <v>23628</v>
      </c>
      <c r="E4262" t="b">
        <v>0</v>
      </c>
      <c r="F4262" t="s">
        <v>11624</v>
      </c>
      <c r="G4262">
        <v>19.2182</v>
      </c>
      <c r="H4262">
        <v>108.74299999999999</v>
      </c>
      <c r="I4262" t="s">
        <v>23629</v>
      </c>
      <c r="L4262">
        <v>0</v>
      </c>
      <c r="M4262">
        <v>0</v>
      </c>
      <c r="N4262">
        <v>0</v>
      </c>
      <c r="O4262" t="s">
        <v>11905</v>
      </c>
    </row>
    <row r="4263" spans="1:15">
      <c r="A4263" t="s">
        <v>23630</v>
      </c>
      <c r="B4263" t="s">
        <v>8310</v>
      </c>
      <c r="C4263" t="s">
        <v>23631</v>
      </c>
      <c r="D4263" t="s">
        <v>23632</v>
      </c>
      <c r="E4263" t="b">
        <v>0</v>
      </c>
      <c r="F4263" t="s">
        <v>11610</v>
      </c>
      <c r="L4263">
        <v>0</v>
      </c>
      <c r="M4263">
        <v>0</v>
      </c>
      <c r="N4263">
        <v>0</v>
      </c>
    </row>
    <row r="4264" spans="1:15">
      <c r="A4264" t="s">
        <v>23633</v>
      </c>
      <c r="B4264" t="s">
        <v>12438</v>
      </c>
      <c r="C4264" t="s">
        <v>22990</v>
      </c>
      <c r="D4264" t="s">
        <v>23634</v>
      </c>
      <c r="E4264" t="b">
        <v>0</v>
      </c>
      <c r="F4264" t="s">
        <v>11622</v>
      </c>
      <c r="L4264">
        <v>0</v>
      </c>
      <c r="M4264">
        <v>2</v>
      </c>
      <c r="N4264">
        <v>6</v>
      </c>
    </row>
    <row r="4265" spans="1:15">
      <c r="A4265" t="s">
        <v>23635</v>
      </c>
      <c r="B4265" t="s">
        <v>12438</v>
      </c>
      <c r="C4265" t="s">
        <v>23636</v>
      </c>
      <c r="D4265" t="s">
        <v>23637</v>
      </c>
      <c r="E4265" t="b">
        <v>0</v>
      </c>
      <c r="F4265" t="s">
        <v>11610</v>
      </c>
      <c r="L4265">
        <v>0</v>
      </c>
      <c r="M4265">
        <v>0</v>
      </c>
      <c r="N4265">
        <v>0</v>
      </c>
    </row>
    <row r="4266" spans="1:15">
      <c r="A4266" t="s">
        <v>20868</v>
      </c>
      <c r="B4266" t="s">
        <v>12751</v>
      </c>
      <c r="C4266" t="s">
        <v>20947</v>
      </c>
      <c r="D4266" t="s">
        <v>23638</v>
      </c>
      <c r="E4266" t="b">
        <v>0</v>
      </c>
      <c r="F4266" t="s">
        <v>11622</v>
      </c>
      <c r="L4266">
        <v>2</v>
      </c>
      <c r="M4266">
        <v>4</v>
      </c>
      <c r="N4266">
        <v>2</v>
      </c>
    </row>
    <row r="4267" spans="1:15">
      <c r="A4267" t="s">
        <v>23639</v>
      </c>
      <c r="B4267" t="s">
        <v>12751</v>
      </c>
      <c r="C4267" t="s">
        <v>20867</v>
      </c>
      <c r="D4267" t="s">
        <v>23640</v>
      </c>
      <c r="E4267" t="b">
        <v>0</v>
      </c>
      <c r="F4267" t="s">
        <v>11624</v>
      </c>
      <c r="G4267">
        <v>33.314799999999998</v>
      </c>
      <c r="H4267">
        <v>-116.515</v>
      </c>
      <c r="I4267" t="s">
        <v>23641</v>
      </c>
      <c r="L4267">
        <v>0</v>
      </c>
      <c r="M4267">
        <v>0</v>
      </c>
      <c r="N4267">
        <v>0</v>
      </c>
      <c r="O4267" t="s">
        <v>11944</v>
      </c>
    </row>
    <row r="4268" spans="1:15">
      <c r="A4268" t="s">
        <v>23642</v>
      </c>
      <c r="B4268" t="s">
        <v>8310</v>
      </c>
      <c r="C4268" t="s">
        <v>23643</v>
      </c>
      <c r="D4268" t="s">
        <v>23644</v>
      </c>
      <c r="E4268" t="b">
        <v>0</v>
      </c>
      <c r="F4268" t="s">
        <v>11610</v>
      </c>
      <c r="L4268">
        <v>0</v>
      </c>
      <c r="M4268">
        <v>0</v>
      </c>
      <c r="N4268">
        <v>0</v>
      </c>
    </row>
    <row r="4269" spans="1:15">
      <c r="A4269" t="s">
        <v>23645</v>
      </c>
      <c r="B4269" t="s">
        <v>11912</v>
      </c>
      <c r="C4269" t="s">
        <v>12601</v>
      </c>
      <c r="D4269" t="s">
        <v>23646</v>
      </c>
      <c r="E4269" t="b">
        <v>0</v>
      </c>
      <c r="F4269" t="s">
        <v>11610</v>
      </c>
      <c r="L4269">
        <v>0</v>
      </c>
      <c r="M4269">
        <v>0</v>
      </c>
      <c r="N4269">
        <v>0</v>
      </c>
    </row>
    <row r="4270" spans="1:15">
      <c r="A4270" t="s">
        <v>23647</v>
      </c>
      <c r="B4270" t="s">
        <v>6742</v>
      </c>
      <c r="C4270" t="s">
        <v>23648</v>
      </c>
      <c r="D4270" t="s">
        <v>23649</v>
      </c>
      <c r="E4270" t="b">
        <v>0</v>
      </c>
      <c r="F4270" t="s">
        <v>11622</v>
      </c>
      <c r="L4270">
        <v>0</v>
      </c>
      <c r="M4270">
        <v>2</v>
      </c>
      <c r="N4270">
        <v>8</v>
      </c>
    </row>
    <row r="4271" spans="1:15">
      <c r="A4271" t="s">
        <v>23650</v>
      </c>
      <c r="B4271" t="s">
        <v>2975</v>
      </c>
      <c r="C4271" t="s">
        <v>23651</v>
      </c>
      <c r="D4271" t="s">
        <v>23652</v>
      </c>
      <c r="E4271" t="b">
        <v>0</v>
      </c>
      <c r="F4271" t="s">
        <v>11624</v>
      </c>
      <c r="G4271">
        <v>-1.0459780000000001</v>
      </c>
      <c r="H4271">
        <v>-70.305862000000005</v>
      </c>
      <c r="L4271">
        <v>0</v>
      </c>
      <c r="M4271">
        <v>0</v>
      </c>
      <c r="N4271">
        <v>0</v>
      </c>
      <c r="O4271" t="s">
        <v>11898</v>
      </c>
    </row>
    <row r="4272" spans="1:15">
      <c r="A4272" t="s">
        <v>23653</v>
      </c>
      <c r="B4272" t="s">
        <v>6742</v>
      </c>
      <c r="C4272" t="s">
        <v>19172</v>
      </c>
      <c r="D4272" t="s">
        <v>23654</v>
      </c>
      <c r="E4272" t="b">
        <v>0</v>
      </c>
      <c r="F4272" t="s">
        <v>11610</v>
      </c>
      <c r="L4272">
        <v>0</v>
      </c>
      <c r="M4272">
        <v>0</v>
      </c>
      <c r="N4272">
        <v>0</v>
      </c>
    </row>
    <row r="4273" spans="1:15">
      <c r="A4273" t="s">
        <v>23655</v>
      </c>
      <c r="B4273" t="s">
        <v>11894</v>
      </c>
      <c r="C4273" t="s">
        <v>16713</v>
      </c>
      <c r="D4273" t="s">
        <v>23656</v>
      </c>
      <c r="E4273" t="b">
        <v>0</v>
      </c>
      <c r="F4273" t="s">
        <v>11624</v>
      </c>
      <c r="G4273">
        <v>0.69618000000000002</v>
      </c>
      <c r="H4273">
        <v>-67.502799999999993</v>
      </c>
      <c r="I4273" t="s">
        <v>23657</v>
      </c>
      <c r="L4273">
        <v>0</v>
      </c>
      <c r="M4273">
        <v>0</v>
      </c>
      <c r="N4273">
        <v>2</v>
      </c>
      <c r="O4273" t="s">
        <v>16716</v>
      </c>
    </row>
    <row r="4274" spans="1:15">
      <c r="A4274" t="s">
        <v>23658</v>
      </c>
      <c r="B4274" t="s">
        <v>11912</v>
      </c>
      <c r="C4274" t="s">
        <v>12601</v>
      </c>
      <c r="D4274" t="s">
        <v>23659</v>
      </c>
      <c r="E4274" t="b">
        <v>0</v>
      </c>
      <c r="F4274" t="s">
        <v>11610</v>
      </c>
      <c r="L4274">
        <v>0</v>
      </c>
      <c r="M4274">
        <v>0</v>
      </c>
      <c r="N4274">
        <v>0</v>
      </c>
    </row>
    <row r="4275" spans="1:15">
      <c r="A4275" t="s">
        <v>23660</v>
      </c>
      <c r="B4275" t="s">
        <v>13360</v>
      </c>
      <c r="C4275" t="s">
        <v>13360</v>
      </c>
      <c r="D4275" t="s">
        <v>23661</v>
      </c>
      <c r="E4275" t="b">
        <v>0</v>
      </c>
      <c r="F4275" t="s">
        <v>11624</v>
      </c>
      <c r="L4275">
        <v>0</v>
      </c>
      <c r="M4275">
        <v>0</v>
      </c>
      <c r="N4275">
        <v>0</v>
      </c>
      <c r="O4275" t="s">
        <v>11944</v>
      </c>
    </row>
    <row r="4276" spans="1:15">
      <c r="A4276" t="s">
        <v>143</v>
      </c>
      <c r="B4276" t="s">
        <v>141</v>
      </c>
      <c r="C4276" t="s">
        <v>15441</v>
      </c>
      <c r="D4276" t="s">
        <v>23662</v>
      </c>
      <c r="E4276" t="b">
        <v>0</v>
      </c>
      <c r="F4276" t="s">
        <v>11622</v>
      </c>
      <c r="L4276">
        <v>0</v>
      </c>
      <c r="M4276">
        <v>3</v>
      </c>
      <c r="N4276">
        <v>5</v>
      </c>
    </row>
    <row r="4277" spans="1:15">
      <c r="A4277" t="s">
        <v>8706</v>
      </c>
      <c r="B4277" t="s">
        <v>141</v>
      </c>
      <c r="C4277" t="s">
        <v>143</v>
      </c>
      <c r="D4277" t="s">
        <v>23663</v>
      </c>
      <c r="E4277" t="b">
        <v>0</v>
      </c>
      <c r="F4277" t="s">
        <v>11624</v>
      </c>
      <c r="G4277">
        <v>-14.0853</v>
      </c>
      <c r="H4277">
        <v>-71.766300000000001</v>
      </c>
      <c r="I4277" t="s">
        <v>10668</v>
      </c>
      <c r="L4277">
        <v>0</v>
      </c>
      <c r="M4277">
        <v>0</v>
      </c>
      <c r="N4277">
        <v>1</v>
      </c>
      <c r="O4277" t="s">
        <v>11778</v>
      </c>
    </row>
    <row r="4278" spans="1:15">
      <c r="A4278" t="s">
        <v>17758</v>
      </c>
      <c r="B4278" t="s">
        <v>11607</v>
      </c>
      <c r="C4278" t="s">
        <v>11607</v>
      </c>
      <c r="D4278" t="s">
        <v>23664</v>
      </c>
      <c r="E4278" t="b">
        <v>0</v>
      </c>
      <c r="F4278" t="s">
        <v>11622</v>
      </c>
      <c r="L4278">
        <v>35</v>
      </c>
      <c r="M4278">
        <v>46</v>
      </c>
      <c r="N4278">
        <v>77</v>
      </c>
    </row>
    <row r="4279" spans="1:15">
      <c r="A4279" t="s">
        <v>23665</v>
      </c>
      <c r="B4279" t="s">
        <v>6742</v>
      </c>
      <c r="C4279" t="s">
        <v>23347</v>
      </c>
      <c r="D4279" t="s">
        <v>23666</v>
      </c>
      <c r="E4279" t="b">
        <v>0</v>
      </c>
      <c r="F4279" t="s">
        <v>11624</v>
      </c>
      <c r="G4279">
        <v>-3.1390500000000001</v>
      </c>
      <c r="H4279">
        <v>38.621699999999997</v>
      </c>
      <c r="I4279" t="s">
        <v>23667</v>
      </c>
      <c r="L4279">
        <v>0</v>
      </c>
      <c r="M4279">
        <v>0</v>
      </c>
      <c r="N4279">
        <v>0</v>
      </c>
      <c r="O4279" t="s">
        <v>14933</v>
      </c>
    </row>
    <row r="4280" spans="1:15">
      <c r="A4280" t="s">
        <v>23668</v>
      </c>
      <c r="B4280" t="s">
        <v>8345</v>
      </c>
      <c r="C4280" t="s">
        <v>23669</v>
      </c>
      <c r="D4280" t="s">
        <v>23670</v>
      </c>
      <c r="E4280" t="b">
        <v>0</v>
      </c>
      <c r="F4280" t="s">
        <v>11610</v>
      </c>
      <c r="L4280">
        <v>0</v>
      </c>
      <c r="M4280">
        <v>0</v>
      </c>
      <c r="N4280">
        <v>0</v>
      </c>
    </row>
    <row r="4281" spans="1:15">
      <c r="A4281" t="s">
        <v>23671</v>
      </c>
      <c r="B4281" t="s">
        <v>11607</v>
      </c>
      <c r="C4281" t="s">
        <v>23672</v>
      </c>
      <c r="D4281" t="s">
        <v>23673</v>
      </c>
      <c r="E4281" t="b">
        <v>0</v>
      </c>
      <c r="F4281" t="s">
        <v>11624</v>
      </c>
      <c r="G4281">
        <v>10.6448</v>
      </c>
      <c r="H4281">
        <v>14.0006</v>
      </c>
      <c r="I4281" t="s">
        <v>23674</v>
      </c>
      <c r="L4281">
        <v>0</v>
      </c>
      <c r="M4281">
        <v>0</v>
      </c>
      <c r="N4281">
        <v>0</v>
      </c>
      <c r="O4281" t="s">
        <v>11703</v>
      </c>
    </row>
    <row r="4282" spans="1:15">
      <c r="A4282" t="s">
        <v>23675</v>
      </c>
      <c r="B4282" t="s">
        <v>13244</v>
      </c>
      <c r="C4282" t="s">
        <v>23676</v>
      </c>
      <c r="D4282" t="s">
        <v>23677</v>
      </c>
      <c r="E4282" t="b">
        <v>0</v>
      </c>
      <c r="F4282" t="s">
        <v>11610</v>
      </c>
      <c r="L4282">
        <v>0</v>
      </c>
      <c r="M4282">
        <v>0</v>
      </c>
      <c r="N4282">
        <v>0</v>
      </c>
    </row>
    <row r="4283" spans="1:15">
      <c r="A4283" t="s">
        <v>23678</v>
      </c>
      <c r="B4283" t="s">
        <v>11879</v>
      </c>
      <c r="C4283" t="s">
        <v>23202</v>
      </c>
      <c r="D4283" t="s">
        <v>23679</v>
      </c>
      <c r="E4283" t="b">
        <v>0</v>
      </c>
      <c r="F4283" t="s">
        <v>11624</v>
      </c>
      <c r="G4283">
        <v>18.082100000000001</v>
      </c>
      <c r="H4283">
        <v>-96.731399999999994</v>
      </c>
      <c r="I4283" t="s">
        <v>23680</v>
      </c>
      <c r="L4283">
        <v>0</v>
      </c>
      <c r="M4283">
        <v>0</v>
      </c>
      <c r="N4283">
        <v>0</v>
      </c>
      <c r="O4283" t="s">
        <v>11883</v>
      </c>
    </row>
    <row r="4284" spans="1:15">
      <c r="A4284" t="s">
        <v>23681</v>
      </c>
      <c r="B4284" t="s">
        <v>367</v>
      </c>
      <c r="C4284" t="s">
        <v>23682</v>
      </c>
      <c r="D4284" t="s">
        <v>23683</v>
      </c>
      <c r="E4284" t="b">
        <v>0</v>
      </c>
      <c r="F4284" t="s">
        <v>11624</v>
      </c>
      <c r="G4284">
        <v>10.3201</v>
      </c>
      <c r="H4284">
        <v>119.3</v>
      </c>
      <c r="I4284" t="s">
        <v>23684</v>
      </c>
      <c r="L4284">
        <v>0</v>
      </c>
      <c r="M4284">
        <v>0</v>
      </c>
      <c r="N4284">
        <v>0</v>
      </c>
      <c r="O4284" t="s">
        <v>11749</v>
      </c>
    </row>
    <row r="4285" spans="1:15">
      <c r="A4285" t="s">
        <v>23685</v>
      </c>
      <c r="B4285" t="s">
        <v>6742</v>
      </c>
      <c r="C4285" t="s">
        <v>19967</v>
      </c>
      <c r="D4285" t="s">
        <v>23686</v>
      </c>
      <c r="E4285" t="b">
        <v>0</v>
      </c>
      <c r="F4285" t="s">
        <v>11624</v>
      </c>
      <c r="G4285">
        <v>11.418200000000001</v>
      </c>
      <c r="H4285">
        <v>-2.9511500000000002</v>
      </c>
      <c r="I4285" t="s">
        <v>23687</v>
      </c>
      <c r="L4285">
        <v>0</v>
      </c>
      <c r="M4285">
        <v>0</v>
      </c>
      <c r="N4285">
        <v>0</v>
      </c>
      <c r="O4285" t="s">
        <v>19305</v>
      </c>
    </row>
    <row r="4286" spans="1:15">
      <c r="A4286" t="s">
        <v>23688</v>
      </c>
      <c r="B4286" t="s">
        <v>11637</v>
      </c>
      <c r="C4286" t="s">
        <v>23525</v>
      </c>
      <c r="D4286" t="s">
        <v>23689</v>
      </c>
      <c r="E4286" t="b">
        <v>0</v>
      </c>
      <c r="F4286" t="s">
        <v>11610</v>
      </c>
      <c r="L4286">
        <v>0</v>
      </c>
      <c r="M4286">
        <v>0</v>
      </c>
      <c r="N4286">
        <v>0</v>
      </c>
    </row>
    <row r="4287" spans="1:15">
      <c r="A4287" t="s">
        <v>23690</v>
      </c>
      <c r="B4287" t="s">
        <v>11607</v>
      </c>
      <c r="C4287" t="s">
        <v>4605</v>
      </c>
      <c r="D4287" t="s">
        <v>23691</v>
      </c>
      <c r="E4287" t="b">
        <v>0</v>
      </c>
      <c r="F4287" t="s">
        <v>11624</v>
      </c>
      <c r="G4287">
        <v>35.167400000000001</v>
      </c>
      <c r="H4287">
        <v>33.094299999999997</v>
      </c>
      <c r="I4287" t="s">
        <v>23692</v>
      </c>
      <c r="L4287">
        <v>0</v>
      </c>
      <c r="M4287">
        <v>0</v>
      </c>
      <c r="N4287">
        <v>0</v>
      </c>
      <c r="O4287" t="s">
        <v>23693</v>
      </c>
    </row>
    <row r="4288" spans="1:15">
      <c r="A4288" t="s">
        <v>23694</v>
      </c>
      <c r="B4288" t="s">
        <v>11637</v>
      </c>
      <c r="C4288" t="s">
        <v>14208</v>
      </c>
      <c r="D4288" t="s">
        <v>23695</v>
      </c>
      <c r="E4288" t="b">
        <v>0</v>
      </c>
      <c r="F4288" t="s">
        <v>11624</v>
      </c>
      <c r="L4288">
        <v>0</v>
      </c>
      <c r="M4288">
        <v>0</v>
      </c>
      <c r="N4288">
        <v>0</v>
      </c>
      <c r="O4288" t="s">
        <v>23693</v>
      </c>
    </row>
    <row r="4289" spans="1:15">
      <c r="A4289" t="s">
        <v>23696</v>
      </c>
      <c r="B4289" t="s">
        <v>331</v>
      </c>
      <c r="C4289" t="s">
        <v>4410</v>
      </c>
      <c r="D4289" t="s">
        <v>23697</v>
      </c>
      <c r="E4289" t="b">
        <v>0</v>
      </c>
      <c r="F4289" t="s">
        <v>11610</v>
      </c>
      <c r="L4289">
        <v>0</v>
      </c>
      <c r="M4289">
        <v>0</v>
      </c>
      <c r="N4289">
        <v>0</v>
      </c>
    </row>
    <row r="4290" spans="1:15">
      <c r="A4290" t="s">
        <v>23698</v>
      </c>
      <c r="B4290" t="s">
        <v>11981</v>
      </c>
      <c r="C4290" t="s">
        <v>20225</v>
      </c>
      <c r="D4290" t="s">
        <v>23699</v>
      </c>
      <c r="E4290" t="b">
        <v>0</v>
      </c>
      <c r="F4290" t="s">
        <v>11624</v>
      </c>
      <c r="G4290">
        <v>50.012</v>
      </c>
      <c r="H4290">
        <v>14.477399999999999</v>
      </c>
      <c r="I4290" t="s">
        <v>23700</v>
      </c>
      <c r="L4290">
        <v>0</v>
      </c>
      <c r="M4290">
        <v>0</v>
      </c>
      <c r="N4290">
        <v>0</v>
      </c>
      <c r="O4290" t="s">
        <v>23701</v>
      </c>
    </row>
    <row r="4291" spans="1:15">
      <c r="A4291" t="s">
        <v>10626</v>
      </c>
      <c r="B4291" t="s">
        <v>11637</v>
      </c>
      <c r="C4291" t="s">
        <v>23702</v>
      </c>
      <c r="D4291" t="s">
        <v>10625</v>
      </c>
      <c r="E4291" t="b">
        <v>0</v>
      </c>
      <c r="F4291" t="s">
        <v>11624</v>
      </c>
      <c r="G4291">
        <v>49.873398000000002</v>
      </c>
      <c r="H4291">
        <v>15.104369999999999</v>
      </c>
      <c r="I4291" t="s">
        <v>10627</v>
      </c>
      <c r="L4291">
        <v>0</v>
      </c>
      <c r="M4291">
        <v>0</v>
      </c>
      <c r="N4291">
        <v>7</v>
      </c>
      <c r="O4291" t="s">
        <v>23703</v>
      </c>
    </row>
    <row r="4292" spans="1:15">
      <c r="A4292" t="s">
        <v>10216</v>
      </c>
      <c r="B4292" t="s">
        <v>11637</v>
      </c>
      <c r="C4292" t="s">
        <v>10626</v>
      </c>
      <c r="D4292" t="s">
        <v>23704</v>
      </c>
      <c r="E4292" t="b">
        <v>0</v>
      </c>
      <c r="F4292" t="s">
        <v>11610</v>
      </c>
      <c r="L4292">
        <v>0</v>
      </c>
      <c r="M4292">
        <v>0</v>
      </c>
      <c r="N4292">
        <v>0</v>
      </c>
    </row>
    <row r="4293" spans="1:15">
      <c r="A4293" t="s">
        <v>23705</v>
      </c>
      <c r="B4293" t="s">
        <v>11637</v>
      </c>
      <c r="C4293" t="s">
        <v>23706</v>
      </c>
      <c r="D4293" t="s">
        <v>23707</v>
      </c>
      <c r="E4293" t="b">
        <v>0</v>
      </c>
      <c r="F4293" t="s">
        <v>11622</v>
      </c>
      <c r="L4293">
        <v>1</v>
      </c>
      <c r="M4293">
        <v>3</v>
      </c>
      <c r="N4293">
        <v>7</v>
      </c>
    </row>
    <row r="4294" spans="1:15">
      <c r="A4294" t="s">
        <v>23702</v>
      </c>
      <c r="B4294" t="s">
        <v>11637</v>
      </c>
      <c r="C4294" t="s">
        <v>23705</v>
      </c>
      <c r="D4294" t="s">
        <v>23708</v>
      </c>
      <c r="E4294" t="b">
        <v>0</v>
      </c>
      <c r="F4294" t="s">
        <v>11622</v>
      </c>
      <c r="L4294">
        <v>0</v>
      </c>
      <c r="M4294">
        <v>2</v>
      </c>
      <c r="N4294">
        <v>7</v>
      </c>
    </row>
    <row r="4295" spans="1:15">
      <c r="A4295" t="s">
        <v>23709</v>
      </c>
      <c r="B4295" t="s">
        <v>367</v>
      </c>
      <c r="C4295" t="s">
        <v>23710</v>
      </c>
      <c r="D4295" t="s">
        <v>23711</v>
      </c>
      <c r="E4295" t="b">
        <v>0</v>
      </c>
      <c r="F4295" t="s">
        <v>11610</v>
      </c>
      <c r="L4295">
        <v>0</v>
      </c>
      <c r="M4295">
        <v>0</v>
      </c>
      <c r="N4295">
        <v>0</v>
      </c>
    </row>
    <row r="4296" spans="1:15">
      <c r="A4296" t="s">
        <v>23712</v>
      </c>
      <c r="B4296" t="s">
        <v>11644</v>
      </c>
      <c r="C4296" t="s">
        <v>22637</v>
      </c>
      <c r="D4296" t="s">
        <v>23713</v>
      </c>
      <c r="E4296" t="b">
        <v>0</v>
      </c>
      <c r="F4296" t="s">
        <v>11622</v>
      </c>
      <c r="L4296">
        <v>0</v>
      </c>
      <c r="M4296">
        <v>2</v>
      </c>
      <c r="N4296">
        <v>4</v>
      </c>
    </row>
    <row r="4297" spans="1:15">
      <c r="A4297" t="s">
        <v>23714</v>
      </c>
      <c r="B4297" t="s">
        <v>11644</v>
      </c>
      <c r="C4297" t="s">
        <v>23712</v>
      </c>
      <c r="D4297" t="s">
        <v>23715</v>
      </c>
      <c r="E4297" t="b">
        <v>0</v>
      </c>
      <c r="F4297" t="s">
        <v>11624</v>
      </c>
      <c r="G4297">
        <v>20.7347</v>
      </c>
      <c r="H4297">
        <v>93.785300000000007</v>
      </c>
      <c r="I4297" t="s">
        <v>23716</v>
      </c>
      <c r="L4297">
        <v>0</v>
      </c>
      <c r="M4297">
        <v>0</v>
      </c>
      <c r="N4297">
        <v>3</v>
      </c>
      <c r="O4297" t="s">
        <v>14059</v>
      </c>
    </row>
    <row r="4298" spans="1:15">
      <c r="A4298" t="s">
        <v>23710</v>
      </c>
      <c r="B4298" t="s">
        <v>367</v>
      </c>
      <c r="C4298" t="s">
        <v>16940</v>
      </c>
      <c r="D4298" t="s">
        <v>23717</v>
      </c>
      <c r="E4298" t="b">
        <v>0</v>
      </c>
      <c r="F4298" t="s">
        <v>11624</v>
      </c>
      <c r="G4298">
        <v>-1.21051</v>
      </c>
      <c r="H4298">
        <v>119.527</v>
      </c>
      <c r="I4298" t="s">
        <v>23718</v>
      </c>
      <c r="L4298">
        <v>0</v>
      </c>
      <c r="M4298">
        <v>0</v>
      </c>
      <c r="N4298">
        <v>2</v>
      </c>
      <c r="O4298" t="s">
        <v>11768</v>
      </c>
    </row>
    <row r="4299" spans="1:15">
      <c r="A4299" t="s">
        <v>23719</v>
      </c>
      <c r="B4299" t="s">
        <v>16042</v>
      </c>
      <c r="C4299" t="s">
        <v>23720</v>
      </c>
      <c r="D4299" t="s">
        <v>23721</v>
      </c>
      <c r="E4299" t="b">
        <v>0</v>
      </c>
      <c r="F4299" t="s">
        <v>11624</v>
      </c>
      <c r="G4299">
        <v>-6.43363</v>
      </c>
      <c r="H4299">
        <v>155.74799999999999</v>
      </c>
      <c r="I4299" t="s">
        <v>23722</v>
      </c>
      <c r="L4299">
        <v>0</v>
      </c>
      <c r="M4299">
        <v>0</v>
      </c>
      <c r="N4299">
        <v>0</v>
      </c>
      <c r="O4299" t="s">
        <v>11660</v>
      </c>
    </row>
    <row r="4300" spans="1:15">
      <c r="A4300" t="s">
        <v>23723</v>
      </c>
      <c r="B4300" t="s">
        <v>11607</v>
      </c>
      <c r="C4300" t="s">
        <v>14422</v>
      </c>
      <c r="D4300" t="s">
        <v>23724</v>
      </c>
      <c r="E4300" t="b">
        <v>0</v>
      </c>
      <c r="F4300" t="s">
        <v>11624</v>
      </c>
      <c r="G4300">
        <v>4.5887900000000004</v>
      </c>
      <c r="H4300">
        <v>35.988799999999998</v>
      </c>
      <c r="I4300" t="s">
        <v>23725</v>
      </c>
      <c r="L4300">
        <v>0</v>
      </c>
      <c r="M4300">
        <v>0</v>
      </c>
      <c r="N4300">
        <v>0</v>
      </c>
      <c r="O4300" t="s">
        <v>20497</v>
      </c>
    </row>
    <row r="4301" spans="1:15">
      <c r="A4301" t="s">
        <v>23726</v>
      </c>
      <c r="B4301" t="s">
        <v>12254</v>
      </c>
      <c r="C4301" t="s">
        <v>23727</v>
      </c>
      <c r="D4301" t="s">
        <v>23728</v>
      </c>
      <c r="E4301" t="b">
        <v>0</v>
      </c>
      <c r="F4301" t="s">
        <v>11624</v>
      </c>
      <c r="I4301" t="s">
        <v>23729</v>
      </c>
      <c r="L4301">
        <v>0</v>
      </c>
      <c r="M4301">
        <v>0</v>
      </c>
      <c r="N4301">
        <v>0</v>
      </c>
      <c r="O4301" t="s">
        <v>11625</v>
      </c>
    </row>
    <row r="4302" spans="1:15">
      <c r="A4302" t="s">
        <v>23727</v>
      </c>
      <c r="B4302" t="s">
        <v>12254</v>
      </c>
      <c r="C4302" t="s">
        <v>12254</v>
      </c>
      <c r="D4302" t="s">
        <v>23730</v>
      </c>
      <c r="E4302" t="b">
        <v>0</v>
      </c>
      <c r="F4302" t="s">
        <v>11622</v>
      </c>
      <c r="L4302">
        <v>0</v>
      </c>
      <c r="M4302">
        <v>2</v>
      </c>
      <c r="N4302">
        <v>0</v>
      </c>
    </row>
    <row r="4303" spans="1:15">
      <c r="A4303" t="s">
        <v>23731</v>
      </c>
      <c r="B4303" t="s">
        <v>3164</v>
      </c>
      <c r="C4303" t="s">
        <v>23732</v>
      </c>
      <c r="D4303" t="s">
        <v>23733</v>
      </c>
      <c r="E4303" t="b">
        <v>0</v>
      </c>
      <c r="F4303" t="s">
        <v>11610</v>
      </c>
      <c r="L4303">
        <v>0</v>
      </c>
      <c r="M4303">
        <v>0</v>
      </c>
      <c r="N4303">
        <v>0</v>
      </c>
    </row>
    <row r="4304" spans="1:15">
      <c r="A4304" t="s">
        <v>23734</v>
      </c>
      <c r="B4304" t="s">
        <v>6742</v>
      </c>
      <c r="C4304" t="s">
        <v>12109</v>
      </c>
      <c r="D4304" t="s">
        <v>23735</v>
      </c>
      <c r="E4304" t="b">
        <v>0</v>
      </c>
      <c r="F4304" t="s">
        <v>11610</v>
      </c>
      <c r="L4304">
        <v>0</v>
      </c>
      <c r="M4304">
        <v>0</v>
      </c>
      <c r="N4304">
        <v>0</v>
      </c>
    </row>
    <row r="4305" spans="1:15">
      <c r="A4305" t="s">
        <v>23736</v>
      </c>
      <c r="B4305" t="s">
        <v>11607</v>
      </c>
      <c r="C4305" t="s">
        <v>23737</v>
      </c>
      <c r="D4305" t="s">
        <v>23738</v>
      </c>
      <c r="E4305" t="b">
        <v>0</v>
      </c>
      <c r="F4305" t="s">
        <v>11624</v>
      </c>
      <c r="G4305">
        <v>1.2179</v>
      </c>
      <c r="H4305">
        <v>43.330399999999997</v>
      </c>
      <c r="I4305" t="s">
        <v>23739</v>
      </c>
      <c r="L4305">
        <v>0</v>
      </c>
      <c r="M4305">
        <v>0</v>
      </c>
      <c r="N4305">
        <v>2</v>
      </c>
      <c r="O4305" t="s">
        <v>19538</v>
      </c>
    </row>
    <row r="4306" spans="1:15">
      <c r="A4306" t="s">
        <v>23737</v>
      </c>
      <c r="B4306" t="s">
        <v>11607</v>
      </c>
      <c r="C4306" t="s">
        <v>16031</v>
      </c>
      <c r="D4306" t="s">
        <v>23740</v>
      </c>
      <c r="E4306" t="b">
        <v>0</v>
      </c>
      <c r="F4306" t="s">
        <v>11622</v>
      </c>
      <c r="L4306">
        <v>0</v>
      </c>
      <c r="M4306">
        <v>2</v>
      </c>
      <c r="N4306">
        <v>2</v>
      </c>
    </row>
    <row r="4307" spans="1:15">
      <c r="A4307" t="s">
        <v>23741</v>
      </c>
      <c r="B4307" t="s">
        <v>11607</v>
      </c>
      <c r="C4307" t="s">
        <v>18908</v>
      </c>
      <c r="D4307" t="s">
        <v>23742</v>
      </c>
      <c r="E4307" t="b">
        <v>0</v>
      </c>
      <c r="F4307" t="s">
        <v>11622</v>
      </c>
      <c r="L4307">
        <v>0</v>
      </c>
      <c r="M4307">
        <v>2</v>
      </c>
      <c r="N4307">
        <v>4</v>
      </c>
    </row>
    <row r="4308" spans="1:15">
      <c r="A4308" t="s">
        <v>23743</v>
      </c>
      <c r="B4308" t="s">
        <v>11644</v>
      </c>
      <c r="C4308" t="s">
        <v>23744</v>
      </c>
      <c r="D4308" t="s">
        <v>23745</v>
      </c>
      <c r="E4308" t="b">
        <v>0</v>
      </c>
      <c r="F4308" t="s">
        <v>11610</v>
      </c>
      <c r="L4308">
        <v>0</v>
      </c>
      <c r="M4308">
        <v>0</v>
      </c>
      <c r="N4308">
        <v>0</v>
      </c>
    </row>
    <row r="4309" spans="1:15">
      <c r="A4309" t="s">
        <v>23746</v>
      </c>
      <c r="B4309" t="s">
        <v>11644</v>
      </c>
      <c r="C4309" t="s">
        <v>19491</v>
      </c>
      <c r="D4309" t="s">
        <v>23747</v>
      </c>
      <c r="E4309" t="b">
        <v>0</v>
      </c>
      <c r="F4309" t="s">
        <v>11610</v>
      </c>
      <c r="L4309">
        <v>0</v>
      </c>
      <c r="M4309">
        <v>0</v>
      </c>
      <c r="N4309">
        <v>0</v>
      </c>
    </row>
    <row r="4310" spans="1:15">
      <c r="A4310" t="s">
        <v>23748</v>
      </c>
      <c r="B4310" t="s">
        <v>16947</v>
      </c>
      <c r="C4310" t="s">
        <v>18175</v>
      </c>
      <c r="D4310" t="s">
        <v>23749</v>
      </c>
      <c r="E4310" t="b">
        <v>0</v>
      </c>
      <c r="F4310" t="s">
        <v>11624</v>
      </c>
      <c r="G4310">
        <v>-2.0508199999999999</v>
      </c>
      <c r="H4310">
        <v>139.11600000000001</v>
      </c>
      <c r="I4310" t="s">
        <v>23750</v>
      </c>
      <c r="L4310">
        <v>0</v>
      </c>
      <c r="M4310">
        <v>0</v>
      </c>
      <c r="N4310">
        <v>0</v>
      </c>
      <c r="O4310" t="s">
        <v>11768</v>
      </c>
    </row>
    <row r="4311" spans="1:15">
      <c r="A4311" t="s">
        <v>23751</v>
      </c>
      <c r="B4311" t="s">
        <v>10597</v>
      </c>
      <c r="C4311" t="s">
        <v>23752</v>
      </c>
      <c r="D4311" t="s">
        <v>23753</v>
      </c>
      <c r="E4311" t="b">
        <v>0</v>
      </c>
      <c r="F4311" t="s">
        <v>11610</v>
      </c>
      <c r="L4311">
        <v>0</v>
      </c>
      <c r="M4311">
        <v>0</v>
      </c>
      <c r="N4311">
        <v>0</v>
      </c>
    </row>
    <row r="4312" spans="1:15">
      <c r="A4312" t="s">
        <v>23754</v>
      </c>
      <c r="B4312" t="s">
        <v>11607</v>
      </c>
      <c r="C4312" t="s">
        <v>22053</v>
      </c>
      <c r="D4312" t="s">
        <v>23755</v>
      </c>
      <c r="E4312" t="b">
        <v>0</v>
      </c>
      <c r="F4312" t="s">
        <v>11610</v>
      </c>
      <c r="L4312">
        <v>0</v>
      </c>
      <c r="M4312">
        <v>0</v>
      </c>
      <c r="N4312">
        <v>0</v>
      </c>
    </row>
    <row r="4313" spans="1:15">
      <c r="A4313" t="s">
        <v>23756</v>
      </c>
      <c r="B4313" t="s">
        <v>16115</v>
      </c>
      <c r="C4313" t="s">
        <v>16115</v>
      </c>
      <c r="D4313" t="s">
        <v>23757</v>
      </c>
      <c r="E4313" t="b">
        <v>0</v>
      </c>
      <c r="F4313" t="s">
        <v>11610</v>
      </c>
      <c r="L4313">
        <v>0</v>
      </c>
      <c r="M4313">
        <v>0</v>
      </c>
      <c r="N4313">
        <v>0</v>
      </c>
    </row>
    <row r="4314" spans="1:15">
      <c r="A4314" t="s">
        <v>23758</v>
      </c>
      <c r="B4314" t="s">
        <v>367</v>
      </c>
      <c r="C4314" t="s">
        <v>17632</v>
      </c>
      <c r="D4314" t="s">
        <v>23759</v>
      </c>
      <c r="E4314" t="b">
        <v>0</v>
      </c>
      <c r="F4314" t="s">
        <v>11610</v>
      </c>
      <c r="L4314">
        <v>0</v>
      </c>
      <c r="M4314">
        <v>0</v>
      </c>
      <c r="N4314">
        <v>0</v>
      </c>
    </row>
    <row r="4315" spans="1:15">
      <c r="A4315" t="s">
        <v>23760</v>
      </c>
      <c r="B4315" t="s">
        <v>11644</v>
      </c>
      <c r="C4315" t="s">
        <v>126</v>
      </c>
      <c r="D4315" t="s">
        <v>23761</v>
      </c>
      <c r="E4315" t="b">
        <v>0</v>
      </c>
      <c r="F4315" t="s">
        <v>11610</v>
      </c>
      <c r="L4315">
        <v>0</v>
      </c>
      <c r="M4315">
        <v>0</v>
      </c>
      <c r="N4315">
        <v>0</v>
      </c>
    </row>
    <row r="4316" spans="1:15">
      <c r="A4316" t="s">
        <v>23762</v>
      </c>
      <c r="B4316" t="s">
        <v>11637</v>
      </c>
      <c r="C4316" t="s">
        <v>11637</v>
      </c>
      <c r="D4316" t="s">
        <v>23763</v>
      </c>
      <c r="E4316" t="b">
        <v>0</v>
      </c>
      <c r="F4316" t="s">
        <v>11624</v>
      </c>
      <c r="G4316">
        <v>46.2</v>
      </c>
      <c r="H4316">
        <v>23.3</v>
      </c>
      <c r="I4316" t="s">
        <v>23764</v>
      </c>
      <c r="L4316">
        <v>0</v>
      </c>
      <c r="M4316">
        <v>0</v>
      </c>
      <c r="N4316">
        <v>0</v>
      </c>
      <c r="O4316" t="s">
        <v>23765</v>
      </c>
    </row>
    <row r="4317" spans="1:15">
      <c r="A4317" t="s">
        <v>23766</v>
      </c>
      <c r="B4317" t="s">
        <v>11607</v>
      </c>
      <c r="C4317" t="s">
        <v>13669</v>
      </c>
      <c r="D4317" t="s">
        <v>23767</v>
      </c>
      <c r="E4317" t="b">
        <v>0</v>
      </c>
      <c r="F4317" t="s">
        <v>11610</v>
      </c>
      <c r="L4317">
        <v>0</v>
      </c>
      <c r="M4317">
        <v>0</v>
      </c>
      <c r="N4317">
        <v>0</v>
      </c>
    </row>
    <row r="4318" spans="1:15">
      <c r="A4318" t="s">
        <v>23768</v>
      </c>
      <c r="B4318" t="s">
        <v>6742</v>
      </c>
      <c r="C4318" t="s">
        <v>16635</v>
      </c>
      <c r="D4318" t="s">
        <v>23769</v>
      </c>
      <c r="E4318" t="b">
        <v>0</v>
      </c>
      <c r="F4318" t="s">
        <v>11624</v>
      </c>
      <c r="G4318">
        <v>9.6270500000000006</v>
      </c>
      <c r="H4318">
        <v>11.358700000000001</v>
      </c>
      <c r="I4318" t="s">
        <v>23770</v>
      </c>
      <c r="L4318">
        <v>0</v>
      </c>
      <c r="M4318">
        <v>0</v>
      </c>
      <c r="N4318">
        <v>4</v>
      </c>
      <c r="O4318" t="s">
        <v>11693</v>
      </c>
    </row>
    <row r="4319" spans="1:15">
      <c r="A4319" t="s">
        <v>23771</v>
      </c>
      <c r="B4319" t="s">
        <v>15162</v>
      </c>
      <c r="C4319" t="s">
        <v>15162</v>
      </c>
      <c r="D4319" t="s">
        <v>23772</v>
      </c>
      <c r="E4319" t="b">
        <v>0</v>
      </c>
      <c r="F4319" t="s">
        <v>11624</v>
      </c>
      <c r="G4319">
        <v>-6.6576500000000003</v>
      </c>
      <c r="H4319">
        <v>144.511</v>
      </c>
      <c r="I4319" t="s">
        <v>23773</v>
      </c>
      <c r="L4319">
        <v>0</v>
      </c>
      <c r="M4319">
        <v>0</v>
      </c>
      <c r="N4319">
        <v>1</v>
      </c>
      <c r="O4319" t="s">
        <v>11660</v>
      </c>
    </row>
    <row r="4320" spans="1:15">
      <c r="A4320" t="s">
        <v>23774</v>
      </c>
      <c r="B4320" t="s">
        <v>10597</v>
      </c>
      <c r="C4320" t="s">
        <v>23775</v>
      </c>
      <c r="D4320" t="s">
        <v>23776</v>
      </c>
      <c r="E4320" t="b">
        <v>0</v>
      </c>
      <c r="F4320" t="s">
        <v>11610</v>
      </c>
      <c r="I4320" t="s">
        <v>23777</v>
      </c>
      <c r="L4320">
        <v>0</v>
      </c>
      <c r="M4320">
        <v>0</v>
      </c>
      <c r="N4320">
        <v>0</v>
      </c>
      <c r="O4320" t="s">
        <v>12107</v>
      </c>
    </row>
    <row r="4321" spans="1:15">
      <c r="A4321" t="s">
        <v>23778</v>
      </c>
      <c r="B4321" t="s">
        <v>6742</v>
      </c>
      <c r="C4321" t="s">
        <v>23779</v>
      </c>
      <c r="D4321" t="s">
        <v>23780</v>
      </c>
      <c r="E4321" t="b">
        <v>0</v>
      </c>
      <c r="F4321" t="s">
        <v>11610</v>
      </c>
      <c r="L4321">
        <v>0</v>
      </c>
      <c r="M4321">
        <v>0</v>
      </c>
      <c r="N4321">
        <v>0</v>
      </c>
    </row>
    <row r="4322" spans="1:15">
      <c r="A4322" t="s">
        <v>23781</v>
      </c>
      <c r="B4322" t="s">
        <v>367</v>
      </c>
      <c r="C4322" t="s">
        <v>15619</v>
      </c>
      <c r="D4322" t="s">
        <v>23782</v>
      </c>
      <c r="E4322" t="b">
        <v>0</v>
      </c>
      <c r="F4322" t="s">
        <v>11610</v>
      </c>
      <c r="L4322">
        <v>0</v>
      </c>
      <c r="M4322">
        <v>0</v>
      </c>
      <c r="N4322">
        <v>0</v>
      </c>
    </row>
    <row r="4323" spans="1:15">
      <c r="A4323" t="s">
        <v>23783</v>
      </c>
      <c r="B4323" t="s">
        <v>11644</v>
      </c>
      <c r="C4323" t="s">
        <v>18509</v>
      </c>
      <c r="D4323" t="s">
        <v>23784</v>
      </c>
      <c r="E4323" t="b">
        <v>0</v>
      </c>
      <c r="F4323" t="s">
        <v>11610</v>
      </c>
      <c r="L4323">
        <v>0</v>
      </c>
      <c r="M4323">
        <v>0</v>
      </c>
      <c r="N4323">
        <v>0</v>
      </c>
    </row>
    <row r="4324" spans="1:15">
      <c r="A4324" t="s">
        <v>23785</v>
      </c>
      <c r="B4324" t="s">
        <v>6742</v>
      </c>
      <c r="C4324" t="s">
        <v>16186</v>
      </c>
      <c r="D4324" t="s">
        <v>23786</v>
      </c>
      <c r="E4324" t="b">
        <v>0</v>
      </c>
      <c r="F4324" t="s">
        <v>11610</v>
      </c>
      <c r="L4324">
        <v>0</v>
      </c>
      <c r="M4324">
        <v>0</v>
      </c>
      <c r="N4324">
        <v>0</v>
      </c>
    </row>
    <row r="4325" spans="1:15">
      <c r="A4325" t="s">
        <v>23787</v>
      </c>
      <c r="B4325" t="s">
        <v>11607</v>
      </c>
      <c r="C4325" t="s">
        <v>19175</v>
      </c>
      <c r="D4325" t="s">
        <v>23788</v>
      </c>
      <c r="E4325" t="b">
        <v>0</v>
      </c>
      <c r="F4325" t="s">
        <v>11610</v>
      </c>
      <c r="L4325">
        <v>0</v>
      </c>
      <c r="M4325">
        <v>0</v>
      </c>
      <c r="N4325">
        <v>0</v>
      </c>
    </row>
    <row r="4326" spans="1:15">
      <c r="A4326" t="s">
        <v>23789</v>
      </c>
      <c r="B4326" t="s">
        <v>6742</v>
      </c>
      <c r="C4326" t="s">
        <v>23790</v>
      </c>
      <c r="D4326" t="s">
        <v>23791</v>
      </c>
      <c r="E4326" t="b">
        <v>0</v>
      </c>
      <c r="F4326" t="s">
        <v>11624</v>
      </c>
      <c r="G4326">
        <v>11.6839</v>
      </c>
      <c r="H4326">
        <v>-2.48569</v>
      </c>
      <c r="I4326" t="s">
        <v>23792</v>
      </c>
      <c r="L4326">
        <v>0</v>
      </c>
      <c r="M4326">
        <v>0</v>
      </c>
      <c r="N4326">
        <v>0</v>
      </c>
      <c r="O4326" t="s">
        <v>19305</v>
      </c>
    </row>
    <row r="4327" spans="1:15">
      <c r="A4327" t="s">
        <v>23793</v>
      </c>
      <c r="B4327" t="s">
        <v>13967</v>
      </c>
      <c r="C4327" t="s">
        <v>23794</v>
      </c>
      <c r="D4327" t="s">
        <v>23795</v>
      </c>
      <c r="E4327" t="b">
        <v>0</v>
      </c>
      <c r="F4327" t="s">
        <v>11610</v>
      </c>
      <c r="L4327">
        <v>0</v>
      </c>
      <c r="M4327">
        <v>0</v>
      </c>
      <c r="N4327">
        <v>0</v>
      </c>
    </row>
    <row r="4328" spans="1:15">
      <c r="A4328" t="s">
        <v>23796</v>
      </c>
      <c r="D4328" t="s">
        <v>23797</v>
      </c>
      <c r="E4328" t="b">
        <v>0</v>
      </c>
      <c r="F4328" t="s">
        <v>11622</v>
      </c>
      <c r="L4328">
        <v>0</v>
      </c>
      <c r="M4328">
        <v>9</v>
      </c>
      <c r="N4328">
        <v>7</v>
      </c>
    </row>
    <row r="4329" spans="1:15">
      <c r="A4329" t="s">
        <v>23798</v>
      </c>
      <c r="B4329" t="s">
        <v>23796</v>
      </c>
      <c r="C4329" t="s">
        <v>23796</v>
      </c>
      <c r="D4329" t="s">
        <v>23799</v>
      </c>
      <c r="E4329" t="b">
        <v>0</v>
      </c>
      <c r="F4329" t="s">
        <v>11624</v>
      </c>
      <c r="G4329">
        <v>-9.9747000000000003</v>
      </c>
      <c r="H4329">
        <v>149.26300000000001</v>
      </c>
      <c r="I4329" t="s">
        <v>23800</v>
      </c>
      <c r="L4329">
        <v>0</v>
      </c>
      <c r="M4329">
        <v>0</v>
      </c>
      <c r="N4329">
        <v>0</v>
      </c>
      <c r="O4329" t="s">
        <v>11660</v>
      </c>
    </row>
    <row r="4330" spans="1:15">
      <c r="A4330" t="s">
        <v>21909</v>
      </c>
      <c r="B4330" t="s">
        <v>6742</v>
      </c>
      <c r="C4330" t="s">
        <v>23801</v>
      </c>
      <c r="D4330" t="s">
        <v>23802</v>
      </c>
      <c r="E4330" t="b">
        <v>0</v>
      </c>
      <c r="F4330" t="s">
        <v>11622</v>
      </c>
      <c r="L4330">
        <v>4</v>
      </c>
      <c r="M4330">
        <v>6</v>
      </c>
      <c r="N4330">
        <v>10</v>
      </c>
    </row>
    <row r="4331" spans="1:15">
      <c r="A4331" t="s">
        <v>23803</v>
      </c>
      <c r="B4331" t="s">
        <v>5126</v>
      </c>
      <c r="C4331" t="s">
        <v>18393</v>
      </c>
      <c r="D4331" t="s">
        <v>23804</v>
      </c>
      <c r="E4331" t="b">
        <v>0</v>
      </c>
      <c r="F4331" t="s">
        <v>11624</v>
      </c>
      <c r="G4331">
        <v>23.887740000000001</v>
      </c>
      <c r="H4331">
        <v>112.04558</v>
      </c>
      <c r="L4331">
        <v>0</v>
      </c>
      <c r="M4331">
        <v>0</v>
      </c>
      <c r="N4331">
        <v>0</v>
      </c>
      <c r="O4331" t="s">
        <v>11905</v>
      </c>
    </row>
    <row r="4332" spans="1:15">
      <c r="A4332" t="s">
        <v>23805</v>
      </c>
      <c r="B4332" t="s">
        <v>6742</v>
      </c>
      <c r="C4332" t="s">
        <v>23806</v>
      </c>
      <c r="D4332" t="s">
        <v>23807</v>
      </c>
      <c r="E4332" t="b">
        <v>0</v>
      </c>
      <c r="F4332" t="s">
        <v>11624</v>
      </c>
      <c r="G4332">
        <v>9.6474499999999992</v>
      </c>
      <c r="H4332">
        <v>-0.43226999999999999</v>
      </c>
      <c r="I4332" t="s">
        <v>23808</v>
      </c>
      <c r="L4332">
        <v>0</v>
      </c>
      <c r="M4332">
        <v>0</v>
      </c>
      <c r="N4332">
        <v>1</v>
      </c>
      <c r="O4332" t="s">
        <v>12006</v>
      </c>
    </row>
    <row r="4333" spans="1:15">
      <c r="A4333" t="s">
        <v>23809</v>
      </c>
      <c r="B4333" t="s">
        <v>6742</v>
      </c>
      <c r="C4333" t="s">
        <v>23810</v>
      </c>
      <c r="D4333" t="s">
        <v>23811</v>
      </c>
      <c r="E4333" t="b">
        <v>0</v>
      </c>
      <c r="F4333" t="s">
        <v>11610</v>
      </c>
      <c r="L4333">
        <v>0</v>
      </c>
      <c r="M4333">
        <v>0</v>
      </c>
      <c r="N4333">
        <v>0</v>
      </c>
    </row>
    <row r="4334" spans="1:15">
      <c r="A4334" t="s">
        <v>23812</v>
      </c>
      <c r="B4334" t="s">
        <v>11729</v>
      </c>
      <c r="C4334" t="s">
        <v>23813</v>
      </c>
      <c r="D4334" t="s">
        <v>23814</v>
      </c>
      <c r="E4334" t="b">
        <v>0</v>
      </c>
      <c r="F4334" t="s">
        <v>11624</v>
      </c>
      <c r="G4334">
        <v>8.8427799999999994</v>
      </c>
      <c r="H4334">
        <v>18.4847</v>
      </c>
      <c r="I4334" t="s">
        <v>23815</v>
      </c>
      <c r="L4334">
        <v>0</v>
      </c>
      <c r="M4334">
        <v>0</v>
      </c>
      <c r="N4334">
        <v>0</v>
      </c>
      <c r="O4334" t="s">
        <v>15847</v>
      </c>
    </row>
    <row r="4335" spans="1:15">
      <c r="A4335" t="s">
        <v>23816</v>
      </c>
      <c r="B4335" t="s">
        <v>11780</v>
      </c>
      <c r="C4335" t="s">
        <v>23817</v>
      </c>
      <c r="D4335" t="s">
        <v>23818</v>
      </c>
      <c r="E4335" t="b">
        <v>0</v>
      </c>
      <c r="F4335" t="s">
        <v>11610</v>
      </c>
      <c r="L4335">
        <v>0</v>
      </c>
      <c r="M4335">
        <v>0</v>
      </c>
      <c r="N4335">
        <v>0</v>
      </c>
    </row>
    <row r="4336" spans="1:15">
      <c r="A4336" t="s">
        <v>23819</v>
      </c>
      <c r="B4336" t="s">
        <v>11615</v>
      </c>
      <c r="C4336" t="s">
        <v>23820</v>
      </c>
      <c r="D4336" t="s">
        <v>23821</v>
      </c>
      <c r="E4336" t="b">
        <v>0</v>
      </c>
      <c r="F4336" t="s">
        <v>11610</v>
      </c>
      <c r="L4336">
        <v>0</v>
      </c>
      <c r="M4336">
        <v>0</v>
      </c>
      <c r="N4336">
        <v>0</v>
      </c>
    </row>
    <row r="4337" spans="1:15">
      <c r="A4337" t="s">
        <v>15242</v>
      </c>
      <c r="B4337" t="s">
        <v>12311</v>
      </c>
      <c r="C4337" t="s">
        <v>12311</v>
      </c>
      <c r="D4337" t="s">
        <v>23822</v>
      </c>
      <c r="E4337" t="b">
        <v>0</v>
      </c>
      <c r="F4337" t="s">
        <v>11622</v>
      </c>
      <c r="L4337">
        <v>17</v>
      </c>
      <c r="M4337">
        <v>31</v>
      </c>
      <c r="N4337">
        <v>90</v>
      </c>
    </row>
    <row r="4338" spans="1:15">
      <c r="A4338" t="s">
        <v>23823</v>
      </c>
      <c r="B4338" t="s">
        <v>3165</v>
      </c>
      <c r="C4338" t="s">
        <v>23824</v>
      </c>
      <c r="D4338" t="s">
        <v>23825</v>
      </c>
      <c r="E4338" t="b">
        <v>0</v>
      </c>
      <c r="F4338" t="s">
        <v>11624</v>
      </c>
      <c r="G4338">
        <v>10.583</v>
      </c>
      <c r="H4338">
        <v>29.9404</v>
      </c>
      <c r="I4338" t="s">
        <v>23826</v>
      </c>
      <c r="L4338">
        <v>0</v>
      </c>
      <c r="M4338">
        <v>0</v>
      </c>
      <c r="N4338">
        <v>0</v>
      </c>
      <c r="O4338" t="s">
        <v>11910</v>
      </c>
    </row>
    <row r="4339" spans="1:15">
      <c r="A4339" t="s">
        <v>23827</v>
      </c>
      <c r="B4339" t="s">
        <v>11615</v>
      </c>
      <c r="C4339" t="s">
        <v>23828</v>
      </c>
      <c r="D4339" t="s">
        <v>23829</v>
      </c>
      <c r="E4339" t="b">
        <v>0</v>
      </c>
      <c r="F4339" t="s">
        <v>11610</v>
      </c>
      <c r="L4339">
        <v>0</v>
      </c>
      <c r="M4339">
        <v>0</v>
      </c>
      <c r="N4339">
        <v>0</v>
      </c>
    </row>
    <row r="4340" spans="1:15">
      <c r="A4340" t="s">
        <v>23830</v>
      </c>
      <c r="B4340" t="s">
        <v>6742</v>
      </c>
      <c r="C4340" t="s">
        <v>23831</v>
      </c>
      <c r="D4340" t="s">
        <v>23832</v>
      </c>
      <c r="E4340" t="b">
        <v>0</v>
      </c>
      <c r="F4340" t="s">
        <v>11610</v>
      </c>
      <c r="L4340">
        <v>0</v>
      </c>
      <c r="M4340">
        <v>0</v>
      </c>
      <c r="N4340">
        <v>0</v>
      </c>
    </row>
    <row r="4341" spans="1:15">
      <c r="A4341" t="s">
        <v>23833</v>
      </c>
      <c r="B4341" t="s">
        <v>11644</v>
      </c>
      <c r="C4341" t="s">
        <v>23834</v>
      </c>
      <c r="D4341" t="s">
        <v>23835</v>
      </c>
      <c r="E4341" t="b">
        <v>0</v>
      </c>
      <c r="F4341" t="s">
        <v>11610</v>
      </c>
      <c r="L4341">
        <v>0</v>
      </c>
      <c r="M4341">
        <v>0</v>
      </c>
      <c r="N4341">
        <v>0</v>
      </c>
    </row>
    <row r="4342" spans="1:15">
      <c r="A4342" t="s">
        <v>23836</v>
      </c>
      <c r="B4342" t="s">
        <v>23837</v>
      </c>
      <c r="C4342" t="s">
        <v>23837</v>
      </c>
      <c r="D4342" t="s">
        <v>23838</v>
      </c>
      <c r="E4342" t="b">
        <v>0</v>
      </c>
      <c r="F4342" t="s">
        <v>11624</v>
      </c>
      <c r="G4342">
        <v>-15.763999999999999</v>
      </c>
      <c r="H4342">
        <v>132.37899999999999</v>
      </c>
      <c r="I4342" t="s">
        <v>23839</v>
      </c>
      <c r="L4342">
        <v>0</v>
      </c>
      <c r="M4342">
        <v>0</v>
      </c>
      <c r="N4342">
        <v>0</v>
      </c>
      <c r="O4342" t="s">
        <v>12107</v>
      </c>
    </row>
    <row r="4343" spans="1:15">
      <c r="A4343" t="s">
        <v>23840</v>
      </c>
      <c r="B4343" t="s">
        <v>11644</v>
      </c>
      <c r="C4343" t="s">
        <v>22027</v>
      </c>
      <c r="D4343" t="s">
        <v>23841</v>
      </c>
      <c r="E4343" t="b">
        <v>0</v>
      </c>
      <c r="F4343" t="s">
        <v>11610</v>
      </c>
      <c r="L4343">
        <v>0</v>
      </c>
      <c r="M4343">
        <v>0</v>
      </c>
      <c r="N4343">
        <v>0</v>
      </c>
    </row>
    <row r="4344" spans="1:15">
      <c r="A4344" t="s">
        <v>19345</v>
      </c>
      <c r="B4344" t="s">
        <v>6742</v>
      </c>
      <c r="C4344" t="s">
        <v>19380</v>
      </c>
      <c r="D4344" t="s">
        <v>23842</v>
      </c>
      <c r="E4344" t="b">
        <v>0</v>
      </c>
      <c r="F4344" t="s">
        <v>11610</v>
      </c>
      <c r="L4344">
        <v>0</v>
      </c>
      <c r="M4344">
        <v>0</v>
      </c>
      <c r="N4344">
        <v>4</v>
      </c>
    </row>
    <row r="4345" spans="1:15">
      <c r="A4345" t="s">
        <v>23843</v>
      </c>
      <c r="B4345" t="s">
        <v>11607</v>
      </c>
      <c r="C4345" t="s">
        <v>23844</v>
      </c>
      <c r="D4345" t="s">
        <v>23845</v>
      </c>
      <c r="E4345" t="b">
        <v>0</v>
      </c>
      <c r="F4345" t="s">
        <v>11624</v>
      </c>
      <c r="G4345">
        <v>-2.1842999999999999</v>
      </c>
      <c r="H4345">
        <v>40.369999999999997</v>
      </c>
      <c r="I4345" t="s">
        <v>23846</v>
      </c>
      <c r="L4345">
        <v>0</v>
      </c>
      <c r="M4345">
        <v>0</v>
      </c>
      <c r="N4345">
        <v>0</v>
      </c>
      <c r="O4345" t="s">
        <v>22848</v>
      </c>
    </row>
    <row r="4346" spans="1:15">
      <c r="A4346" t="s">
        <v>23847</v>
      </c>
      <c r="B4346" t="s">
        <v>11607</v>
      </c>
      <c r="C4346" t="s">
        <v>23848</v>
      </c>
      <c r="D4346" t="s">
        <v>23849</v>
      </c>
      <c r="E4346" t="b">
        <v>0</v>
      </c>
      <c r="F4346" t="s">
        <v>11624</v>
      </c>
      <c r="G4346">
        <v>15.732898</v>
      </c>
      <c r="H4346">
        <v>40.081896999999998</v>
      </c>
      <c r="I4346" t="s">
        <v>23850</v>
      </c>
      <c r="L4346">
        <v>0</v>
      </c>
      <c r="M4346">
        <v>0</v>
      </c>
      <c r="N4346">
        <v>0</v>
      </c>
      <c r="O4346" t="s">
        <v>18611</v>
      </c>
    </row>
    <row r="4347" spans="1:15">
      <c r="A4347" t="s">
        <v>23851</v>
      </c>
      <c r="B4347" t="s">
        <v>6742</v>
      </c>
      <c r="C4347" t="s">
        <v>23852</v>
      </c>
      <c r="D4347" t="s">
        <v>23853</v>
      </c>
      <c r="E4347" t="b">
        <v>0</v>
      </c>
      <c r="F4347" t="s">
        <v>11624</v>
      </c>
      <c r="G4347">
        <v>5.7245799999999996</v>
      </c>
      <c r="H4347">
        <v>-7.3558000000000003</v>
      </c>
      <c r="I4347" t="s">
        <v>23854</v>
      </c>
      <c r="L4347">
        <v>0</v>
      </c>
      <c r="M4347">
        <v>0</v>
      </c>
      <c r="N4347">
        <v>0</v>
      </c>
      <c r="O4347" t="s">
        <v>23855</v>
      </c>
    </row>
    <row r="4348" spans="1:15">
      <c r="A4348" t="s">
        <v>23856</v>
      </c>
      <c r="B4348" t="s">
        <v>367</v>
      </c>
      <c r="C4348" t="s">
        <v>19402</v>
      </c>
      <c r="D4348" t="s">
        <v>23857</v>
      </c>
      <c r="E4348" t="b">
        <v>0</v>
      </c>
      <c r="F4348" t="s">
        <v>11610</v>
      </c>
      <c r="L4348">
        <v>0</v>
      </c>
      <c r="M4348">
        <v>0</v>
      </c>
      <c r="N4348">
        <v>0</v>
      </c>
    </row>
    <row r="4349" spans="1:15">
      <c r="A4349" t="s">
        <v>21826</v>
      </c>
      <c r="B4349" t="s">
        <v>5126</v>
      </c>
      <c r="C4349" t="s">
        <v>23858</v>
      </c>
      <c r="D4349" t="s">
        <v>23859</v>
      </c>
      <c r="E4349" t="b">
        <v>0</v>
      </c>
      <c r="F4349" t="s">
        <v>11622</v>
      </c>
      <c r="L4349">
        <v>27</v>
      </c>
      <c r="M4349">
        <v>60</v>
      </c>
      <c r="N4349">
        <v>49</v>
      </c>
    </row>
    <row r="4350" spans="1:15">
      <c r="A4350" t="s">
        <v>23860</v>
      </c>
      <c r="B4350" t="s">
        <v>367</v>
      </c>
      <c r="C4350" t="s">
        <v>23861</v>
      </c>
      <c r="D4350" t="s">
        <v>23862</v>
      </c>
      <c r="E4350" t="b">
        <v>0</v>
      </c>
      <c r="F4350" t="s">
        <v>11610</v>
      </c>
      <c r="L4350">
        <v>0</v>
      </c>
      <c r="M4350">
        <v>0</v>
      </c>
      <c r="N4350">
        <v>0</v>
      </c>
    </row>
    <row r="4351" spans="1:15">
      <c r="A4351" t="s">
        <v>23863</v>
      </c>
      <c r="B4351" t="s">
        <v>367</v>
      </c>
      <c r="C4351" t="s">
        <v>23864</v>
      </c>
      <c r="D4351" t="s">
        <v>23865</v>
      </c>
      <c r="E4351" t="b">
        <v>0</v>
      </c>
      <c r="F4351" t="s">
        <v>11624</v>
      </c>
      <c r="G4351">
        <v>-7.5589399999999998</v>
      </c>
      <c r="H4351">
        <v>129.68700000000001</v>
      </c>
      <c r="I4351" t="s">
        <v>23866</v>
      </c>
      <c r="L4351">
        <v>0</v>
      </c>
      <c r="M4351">
        <v>0</v>
      </c>
      <c r="N4351">
        <v>0</v>
      </c>
      <c r="O4351" t="s">
        <v>11768</v>
      </c>
    </row>
    <row r="4352" spans="1:15">
      <c r="A4352" t="s">
        <v>23867</v>
      </c>
      <c r="B4352" t="s">
        <v>3164</v>
      </c>
      <c r="C4352" t="s">
        <v>23868</v>
      </c>
      <c r="D4352" t="s">
        <v>23869</v>
      </c>
      <c r="E4352" t="b">
        <v>0</v>
      </c>
      <c r="F4352" t="s">
        <v>11624</v>
      </c>
      <c r="G4352">
        <v>12.474</v>
      </c>
      <c r="H4352">
        <v>30.6782</v>
      </c>
      <c r="I4352" t="s">
        <v>23870</v>
      </c>
      <c r="L4352">
        <v>0</v>
      </c>
      <c r="M4352">
        <v>0</v>
      </c>
      <c r="N4352">
        <v>0</v>
      </c>
      <c r="O4352" t="s">
        <v>11910</v>
      </c>
    </row>
    <row r="4353" spans="1:15">
      <c r="A4353" t="s">
        <v>23871</v>
      </c>
      <c r="B4353" t="s">
        <v>5126</v>
      </c>
      <c r="C4353" t="s">
        <v>23872</v>
      </c>
      <c r="D4353" t="s">
        <v>23873</v>
      </c>
      <c r="E4353" t="b">
        <v>0</v>
      </c>
      <c r="F4353" t="s">
        <v>11624</v>
      </c>
      <c r="G4353">
        <v>23.4</v>
      </c>
      <c r="H4353">
        <v>104.4</v>
      </c>
      <c r="I4353" t="s">
        <v>23874</v>
      </c>
      <c r="L4353">
        <v>0</v>
      </c>
      <c r="M4353">
        <v>0</v>
      </c>
      <c r="N4353">
        <v>0</v>
      </c>
      <c r="O4353" t="s">
        <v>19781</v>
      </c>
    </row>
    <row r="4354" spans="1:15">
      <c r="A4354" t="s">
        <v>23875</v>
      </c>
      <c r="B4354" t="s">
        <v>6742</v>
      </c>
      <c r="C4354" t="s">
        <v>12811</v>
      </c>
      <c r="D4354" t="s">
        <v>23876</v>
      </c>
      <c r="E4354" t="b">
        <v>0</v>
      </c>
      <c r="F4354" t="s">
        <v>11610</v>
      </c>
      <c r="L4354">
        <v>0</v>
      </c>
      <c r="M4354">
        <v>0</v>
      </c>
      <c r="N4354">
        <v>0</v>
      </c>
    </row>
    <row r="4355" spans="1:15">
      <c r="A4355" t="s">
        <v>23877</v>
      </c>
      <c r="B4355" t="s">
        <v>367</v>
      </c>
      <c r="C4355" t="s">
        <v>11928</v>
      </c>
      <c r="D4355" t="s">
        <v>23878</v>
      </c>
      <c r="E4355" t="b">
        <v>0</v>
      </c>
      <c r="F4355" t="s">
        <v>11610</v>
      </c>
      <c r="L4355">
        <v>0</v>
      </c>
      <c r="M4355">
        <v>0</v>
      </c>
      <c r="N4355">
        <v>0</v>
      </c>
    </row>
    <row r="4356" spans="1:15">
      <c r="A4356" t="s">
        <v>23879</v>
      </c>
      <c r="B4356" t="s">
        <v>11644</v>
      </c>
      <c r="C4356" t="s">
        <v>23880</v>
      </c>
      <c r="D4356" t="s">
        <v>23881</v>
      </c>
      <c r="E4356" t="b">
        <v>0</v>
      </c>
      <c r="F4356" t="s">
        <v>11610</v>
      </c>
      <c r="L4356">
        <v>0</v>
      </c>
      <c r="M4356">
        <v>0</v>
      </c>
      <c r="N4356">
        <v>0</v>
      </c>
    </row>
    <row r="4357" spans="1:15">
      <c r="A4357" t="s">
        <v>17030</v>
      </c>
      <c r="D4357" t="s">
        <v>23882</v>
      </c>
      <c r="E4357" t="b">
        <v>0</v>
      </c>
      <c r="F4357" t="s">
        <v>11622</v>
      </c>
      <c r="L4357">
        <v>3</v>
      </c>
      <c r="M4357">
        <v>7</v>
      </c>
      <c r="N4357">
        <v>10</v>
      </c>
    </row>
    <row r="4358" spans="1:15">
      <c r="A4358" t="s">
        <v>23883</v>
      </c>
      <c r="B4358" t="s">
        <v>367</v>
      </c>
      <c r="C4358" t="s">
        <v>23884</v>
      </c>
      <c r="D4358" t="s">
        <v>23885</v>
      </c>
      <c r="E4358" t="b">
        <v>0</v>
      </c>
      <c r="F4358" t="s">
        <v>11624</v>
      </c>
      <c r="G4358">
        <v>-16.269600000000001</v>
      </c>
      <c r="H4358">
        <v>168.01300000000001</v>
      </c>
      <c r="I4358" t="s">
        <v>23886</v>
      </c>
      <c r="L4358">
        <v>0</v>
      </c>
      <c r="M4358">
        <v>0</v>
      </c>
      <c r="N4358">
        <v>1</v>
      </c>
      <c r="O4358" t="s">
        <v>12719</v>
      </c>
    </row>
    <row r="4359" spans="1:15">
      <c r="A4359" t="s">
        <v>23887</v>
      </c>
      <c r="B4359" t="s">
        <v>11637</v>
      </c>
      <c r="C4359" t="s">
        <v>186</v>
      </c>
      <c r="D4359" t="s">
        <v>23888</v>
      </c>
      <c r="E4359" t="b">
        <v>0</v>
      </c>
      <c r="F4359" t="s">
        <v>11610</v>
      </c>
      <c r="L4359">
        <v>0</v>
      </c>
      <c r="M4359">
        <v>0</v>
      </c>
      <c r="N4359">
        <v>0</v>
      </c>
    </row>
    <row r="4360" spans="1:15">
      <c r="A4360" t="s">
        <v>23889</v>
      </c>
      <c r="B4360" t="s">
        <v>11637</v>
      </c>
      <c r="C4360" t="s">
        <v>23890</v>
      </c>
      <c r="D4360" t="s">
        <v>23891</v>
      </c>
      <c r="E4360" t="b">
        <v>0</v>
      </c>
      <c r="F4360" t="s">
        <v>11610</v>
      </c>
      <c r="L4360">
        <v>0</v>
      </c>
      <c r="M4360">
        <v>0</v>
      </c>
      <c r="N4360">
        <v>0</v>
      </c>
    </row>
    <row r="4361" spans="1:15">
      <c r="A4361" t="s">
        <v>23892</v>
      </c>
      <c r="B4361" t="s">
        <v>367</v>
      </c>
      <c r="C4361" t="s">
        <v>23893</v>
      </c>
      <c r="D4361" t="s">
        <v>23894</v>
      </c>
      <c r="E4361" t="b">
        <v>0</v>
      </c>
      <c r="F4361" t="s">
        <v>11624</v>
      </c>
      <c r="G4361">
        <v>-3.3367100000000001</v>
      </c>
      <c r="H4361">
        <v>119.235</v>
      </c>
      <c r="I4361" t="s">
        <v>23895</v>
      </c>
      <c r="L4361">
        <v>0</v>
      </c>
      <c r="M4361">
        <v>0</v>
      </c>
      <c r="N4361">
        <v>0</v>
      </c>
      <c r="O4361" t="s">
        <v>11768</v>
      </c>
    </row>
    <row r="4362" spans="1:15">
      <c r="A4362" t="s">
        <v>23896</v>
      </c>
      <c r="B4362" t="s">
        <v>367</v>
      </c>
      <c r="C4362" t="s">
        <v>19202</v>
      </c>
      <c r="D4362" t="s">
        <v>23897</v>
      </c>
      <c r="E4362" t="b">
        <v>0</v>
      </c>
      <c r="F4362" t="s">
        <v>11610</v>
      </c>
      <c r="L4362">
        <v>0</v>
      </c>
      <c r="M4362">
        <v>0</v>
      </c>
      <c r="N4362">
        <v>0</v>
      </c>
    </row>
    <row r="4363" spans="1:15">
      <c r="A4363" t="s">
        <v>23898</v>
      </c>
      <c r="B4363" t="s">
        <v>6742</v>
      </c>
      <c r="C4363" t="s">
        <v>23899</v>
      </c>
      <c r="D4363" t="s">
        <v>23900</v>
      </c>
      <c r="E4363" t="b">
        <v>0</v>
      </c>
      <c r="F4363" t="s">
        <v>11622</v>
      </c>
      <c r="L4363">
        <v>3</v>
      </c>
      <c r="M4363">
        <v>5</v>
      </c>
      <c r="N4363">
        <v>8</v>
      </c>
    </row>
    <row r="4364" spans="1:15">
      <c r="A4364" t="s">
        <v>14872</v>
      </c>
      <c r="B4364" t="s">
        <v>8897</v>
      </c>
      <c r="C4364" t="s">
        <v>23901</v>
      </c>
      <c r="D4364" t="s">
        <v>23902</v>
      </c>
      <c r="E4364" t="b">
        <v>0</v>
      </c>
      <c r="F4364" t="s">
        <v>11622</v>
      </c>
      <c r="L4364">
        <v>1</v>
      </c>
      <c r="M4364">
        <v>4</v>
      </c>
      <c r="N4364">
        <v>5</v>
      </c>
    </row>
    <row r="4365" spans="1:15">
      <c r="A4365" t="s">
        <v>5891</v>
      </c>
      <c r="B4365" t="s">
        <v>8897</v>
      </c>
      <c r="C4365" t="s">
        <v>23903</v>
      </c>
      <c r="D4365" t="s">
        <v>23904</v>
      </c>
      <c r="E4365" t="b">
        <v>0</v>
      </c>
      <c r="F4365" t="s">
        <v>11624</v>
      </c>
      <c r="G4365">
        <v>47.685699999999997</v>
      </c>
      <c r="H4365">
        <v>-102.12</v>
      </c>
      <c r="I4365" t="s">
        <v>5892</v>
      </c>
      <c r="L4365">
        <v>0</v>
      </c>
      <c r="M4365">
        <v>0</v>
      </c>
      <c r="N4365">
        <v>2</v>
      </c>
      <c r="O4365" t="s">
        <v>14875</v>
      </c>
    </row>
    <row r="4366" spans="1:15">
      <c r="A4366" t="s">
        <v>23905</v>
      </c>
      <c r="B4366" t="s">
        <v>8897</v>
      </c>
      <c r="C4366" t="s">
        <v>5891</v>
      </c>
      <c r="D4366" t="s">
        <v>23906</v>
      </c>
      <c r="E4366" t="b">
        <v>0</v>
      </c>
      <c r="F4366" t="s">
        <v>11610</v>
      </c>
      <c r="L4366">
        <v>0</v>
      </c>
      <c r="M4366">
        <v>0</v>
      </c>
      <c r="N4366">
        <v>0</v>
      </c>
    </row>
    <row r="4367" spans="1:15">
      <c r="A4367" t="s">
        <v>23907</v>
      </c>
      <c r="B4367" t="s">
        <v>11644</v>
      </c>
      <c r="C4367" t="s">
        <v>23908</v>
      </c>
      <c r="D4367" t="s">
        <v>23909</v>
      </c>
      <c r="E4367" t="b">
        <v>0</v>
      </c>
      <c r="F4367" t="s">
        <v>11622</v>
      </c>
      <c r="L4367">
        <v>0</v>
      </c>
      <c r="M4367">
        <v>2</v>
      </c>
      <c r="N4367">
        <v>1</v>
      </c>
    </row>
    <row r="4368" spans="1:15">
      <c r="A4368" t="s">
        <v>23910</v>
      </c>
      <c r="B4368" t="s">
        <v>11644</v>
      </c>
      <c r="C4368" t="s">
        <v>23907</v>
      </c>
      <c r="D4368" t="s">
        <v>23911</v>
      </c>
      <c r="E4368" t="b">
        <v>0</v>
      </c>
      <c r="F4368" t="s">
        <v>11624</v>
      </c>
      <c r="G4368">
        <v>27.376200000000001</v>
      </c>
      <c r="H4368">
        <v>91.8245</v>
      </c>
      <c r="I4368" t="s">
        <v>23912</v>
      </c>
      <c r="L4368">
        <v>0</v>
      </c>
      <c r="M4368">
        <v>0</v>
      </c>
      <c r="N4368">
        <v>0</v>
      </c>
      <c r="O4368" t="s">
        <v>12020</v>
      </c>
    </row>
    <row r="4369" spans="1:15">
      <c r="A4369" t="s">
        <v>23913</v>
      </c>
      <c r="B4369" t="s">
        <v>6742</v>
      </c>
      <c r="C4369" t="s">
        <v>8097</v>
      </c>
      <c r="D4369" t="s">
        <v>23914</v>
      </c>
      <c r="E4369" t="b">
        <v>0</v>
      </c>
      <c r="F4369" t="s">
        <v>11610</v>
      </c>
      <c r="L4369">
        <v>0</v>
      </c>
      <c r="M4369">
        <v>0</v>
      </c>
      <c r="N4369">
        <v>0</v>
      </c>
    </row>
    <row r="4370" spans="1:15">
      <c r="A4370" t="s">
        <v>23915</v>
      </c>
      <c r="B4370" t="s">
        <v>12438</v>
      </c>
      <c r="C4370" t="s">
        <v>21393</v>
      </c>
      <c r="D4370" t="s">
        <v>23916</v>
      </c>
      <c r="E4370" t="b">
        <v>0</v>
      </c>
      <c r="F4370" t="s">
        <v>11610</v>
      </c>
      <c r="L4370">
        <v>0</v>
      </c>
      <c r="M4370">
        <v>0</v>
      </c>
      <c r="N4370">
        <v>0</v>
      </c>
    </row>
    <row r="4371" spans="1:15">
      <c r="A4371" t="s">
        <v>23917</v>
      </c>
      <c r="B4371" t="s">
        <v>11607</v>
      </c>
      <c r="C4371" t="s">
        <v>23918</v>
      </c>
      <c r="D4371" t="s">
        <v>23919</v>
      </c>
      <c r="E4371" t="b">
        <v>0</v>
      </c>
      <c r="F4371" t="s">
        <v>11610</v>
      </c>
      <c r="L4371">
        <v>0</v>
      </c>
      <c r="M4371">
        <v>0</v>
      </c>
      <c r="N4371">
        <v>0</v>
      </c>
    </row>
    <row r="4372" spans="1:15">
      <c r="A4372" t="s">
        <v>23920</v>
      </c>
      <c r="B4372" t="s">
        <v>12254</v>
      </c>
      <c r="C4372" t="s">
        <v>12255</v>
      </c>
      <c r="D4372" t="s">
        <v>23921</v>
      </c>
      <c r="E4372" t="b">
        <v>0</v>
      </c>
      <c r="F4372" t="s">
        <v>11610</v>
      </c>
      <c r="L4372">
        <v>0</v>
      </c>
      <c r="M4372">
        <v>0</v>
      </c>
      <c r="N4372">
        <v>0</v>
      </c>
    </row>
    <row r="4373" spans="1:15">
      <c r="A4373" t="s">
        <v>23922</v>
      </c>
      <c r="B4373" t="s">
        <v>367</v>
      </c>
      <c r="C4373" t="s">
        <v>16303</v>
      </c>
      <c r="D4373" t="s">
        <v>23923</v>
      </c>
      <c r="E4373" t="b">
        <v>0</v>
      </c>
      <c r="F4373" t="s">
        <v>11610</v>
      </c>
      <c r="L4373">
        <v>0</v>
      </c>
      <c r="M4373">
        <v>0</v>
      </c>
      <c r="N4373">
        <v>0</v>
      </c>
    </row>
    <row r="4374" spans="1:15">
      <c r="A4374" t="s">
        <v>23924</v>
      </c>
      <c r="B4374" t="s">
        <v>11637</v>
      </c>
      <c r="C4374" t="s">
        <v>17020</v>
      </c>
      <c r="D4374" t="s">
        <v>23925</v>
      </c>
      <c r="E4374" t="b">
        <v>0</v>
      </c>
      <c r="F4374" t="s">
        <v>11610</v>
      </c>
      <c r="L4374">
        <v>0</v>
      </c>
      <c r="M4374">
        <v>0</v>
      </c>
      <c r="N4374">
        <v>0</v>
      </c>
    </row>
    <row r="4375" spans="1:15">
      <c r="A4375" t="s">
        <v>23926</v>
      </c>
      <c r="B4375" t="s">
        <v>11637</v>
      </c>
      <c r="C4375" t="s">
        <v>23927</v>
      </c>
      <c r="D4375" t="s">
        <v>23928</v>
      </c>
      <c r="E4375" t="b">
        <v>0</v>
      </c>
      <c r="F4375" t="s">
        <v>11624</v>
      </c>
      <c r="I4375" t="s">
        <v>23929</v>
      </c>
      <c r="L4375">
        <v>0</v>
      </c>
      <c r="M4375">
        <v>0</v>
      </c>
      <c r="N4375">
        <v>40</v>
      </c>
      <c r="O4375" t="s">
        <v>14434</v>
      </c>
    </row>
    <row r="4376" spans="1:15">
      <c r="A4376" t="s">
        <v>23930</v>
      </c>
      <c r="B4376" t="s">
        <v>11644</v>
      </c>
      <c r="C4376" t="s">
        <v>23931</v>
      </c>
      <c r="D4376" t="s">
        <v>23932</v>
      </c>
      <c r="E4376" t="b">
        <v>0</v>
      </c>
      <c r="F4376" t="s">
        <v>11610</v>
      </c>
      <c r="L4376">
        <v>0</v>
      </c>
      <c r="M4376">
        <v>0</v>
      </c>
      <c r="N4376">
        <v>2</v>
      </c>
    </row>
    <row r="4377" spans="1:15">
      <c r="A4377" t="s">
        <v>23933</v>
      </c>
      <c r="B4377" t="s">
        <v>367</v>
      </c>
      <c r="C4377" t="s">
        <v>23934</v>
      </c>
      <c r="D4377" t="s">
        <v>23935</v>
      </c>
      <c r="E4377" t="b">
        <v>0</v>
      </c>
      <c r="F4377" t="s">
        <v>11610</v>
      </c>
      <c r="L4377">
        <v>0</v>
      </c>
      <c r="M4377">
        <v>0</v>
      </c>
      <c r="N4377">
        <v>0</v>
      </c>
    </row>
    <row r="4378" spans="1:15">
      <c r="A4378" t="s">
        <v>23936</v>
      </c>
      <c r="B4378" t="s">
        <v>367</v>
      </c>
      <c r="C4378" t="s">
        <v>23937</v>
      </c>
      <c r="D4378" t="s">
        <v>23938</v>
      </c>
      <c r="E4378" t="b">
        <v>0</v>
      </c>
      <c r="F4378" t="s">
        <v>11610</v>
      </c>
      <c r="L4378">
        <v>0</v>
      </c>
      <c r="M4378">
        <v>0</v>
      </c>
      <c r="N4378">
        <v>0</v>
      </c>
    </row>
    <row r="4379" spans="1:15">
      <c r="A4379" t="s">
        <v>23939</v>
      </c>
      <c r="B4379" t="s">
        <v>6742</v>
      </c>
      <c r="C4379" t="s">
        <v>16901</v>
      </c>
      <c r="D4379" t="s">
        <v>23940</v>
      </c>
      <c r="E4379" t="b">
        <v>0</v>
      </c>
      <c r="F4379" t="s">
        <v>11610</v>
      </c>
      <c r="L4379">
        <v>0</v>
      </c>
      <c r="M4379">
        <v>0</v>
      </c>
      <c r="N4379">
        <v>0</v>
      </c>
    </row>
    <row r="4380" spans="1:15">
      <c r="A4380" t="s">
        <v>23941</v>
      </c>
      <c r="B4380" t="s">
        <v>11637</v>
      </c>
      <c r="C4380" t="s">
        <v>23942</v>
      </c>
      <c r="D4380" t="s">
        <v>23943</v>
      </c>
      <c r="E4380" t="b">
        <v>0</v>
      </c>
      <c r="F4380" t="s">
        <v>11624</v>
      </c>
      <c r="G4380">
        <v>42.709499999999998</v>
      </c>
      <c r="H4380">
        <v>18.023800000000001</v>
      </c>
      <c r="I4380" t="s">
        <v>23944</v>
      </c>
      <c r="L4380">
        <v>0</v>
      </c>
      <c r="M4380">
        <v>0</v>
      </c>
      <c r="N4380">
        <v>0</v>
      </c>
      <c r="O4380" t="s">
        <v>23548</v>
      </c>
    </row>
    <row r="4381" spans="1:15">
      <c r="A4381" t="s">
        <v>23942</v>
      </c>
      <c r="B4381" t="s">
        <v>11637</v>
      </c>
      <c r="C4381" t="s">
        <v>23945</v>
      </c>
      <c r="D4381" t="s">
        <v>23946</v>
      </c>
      <c r="E4381" t="b">
        <v>0</v>
      </c>
      <c r="F4381" t="s">
        <v>11622</v>
      </c>
      <c r="L4381">
        <v>0</v>
      </c>
      <c r="M4381">
        <v>2</v>
      </c>
      <c r="N4381">
        <v>0</v>
      </c>
    </row>
    <row r="4382" spans="1:15">
      <c r="A4382" t="s">
        <v>23947</v>
      </c>
      <c r="B4382" t="s">
        <v>6742</v>
      </c>
      <c r="C4382" t="s">
        <v>23948</v>
      </c>
      <c r="D4382" t="s">
        <v>23949</v>
      </c>
      <c r="E4382" t="b">
        <v>0</v>
      </c>
      <c r="F4382" t="s">
        <v>11624</v>
      </c>
      <c r="G4382">
        <v>6.6928099999999997</v>
      </c>
      <c r="H4382">
        <v>-6.6394399999999996</v>
      </c>
      <c r="I4382" t="s">
        <v>23950</v>
      </c>
      <c r="L4382">
        <v>0</v>
      </c>
      <c r="M4382">
        <v>0</v>
      </c>
      <c r="N4382">
        <v>0</v>
      </c>
      <c r="O4382" t="s">
        <v>11735</v>
      </c>
    </row>
    <row r="4383" spans="1:15">
      <c r="A4383" t="s">
        <v>23951</v>
      </c>
      <c r="B4383" t="s">
        <v>3165</v>
      </c>
      <c r="C4383" t="s">
        <v>12432</v>
      </c>
      <c r="D4383" t="s">
        <v>23952</v>
      </c>
      <c r="E4383" t="b">
        <v>0</v>
      </c>
      <c r="F4383" t="s">
        <v>11610</v>
      </c>
      <c r="L4383">
        <v>0</v>
      </c>
      <c r="M4383">
        <v>0</v>
      </c>
      <c r="N4383">
        <v>0</v>
      </c>
    </row>
    <row r="4384" spans="1:15">
      <c r="A4384" t="s">
        <v>23953</v>
      </c>
      <c r="B4384" t="s">
        <v>13360</v>
      </c>
      <c r="C4384" t="s">
        <v>13360</v>
      </c>
      <c r="D4384" t="s">
        <v>23954</v>
      </c>
      <c r="E4384" t="b">
        <v>0</v>
      </c>
      <c r="F4384" t="s">
        <v>11624</v>
      </c>
      <c r="L4384">
        <v>0</v>
      </c>
      <c r="M4384">
        <v>0</v>
      </c>
      <c r="N4384">
        <v>0</v>
      </c>
      <c r="O4384" t="s">
        <v>19371</v>
      </c>
    </row>
    <row r="4385" spans="1:15">
      <c r="A4385" t="s">
        <v>23955</v>
      </c>
      <c r="B4385" t="s">
        <v>6742</v>
      </c>
      <c r="C4385" t="s">
        <v>23956</v>
      </c>
      <c r="D4385" t="s">
        <v>23957</v>
      </c>
      <c r="E4385" t="b">
        <v>0</v>
      </c>
      <c r="F4385" t="s">
        <v>11622</v>
      </c>
      <c r="L4385">
        <v>0</v>
      </c>
      <c r="M4385">
        <v>2</v>
      </c>
      <c r="N4385">
        <v>0</v>
      </c>
    </row>
    <row r="4386" spans="1:15">
      <c r="A4386" t="s">
        <v>23958</v>
      </c>
      <c r="B4386" t="s">
        <v>6742</v>
      </c>
      <c r="C4386" t="s">
        <v>23955</v>
      </c>
      <c r="D4386" t="s">
        <v>23959</v>
      </c>
      <c r="E4386" t="b">
        <v>0</v>
      </c>
      <c r="F4386" t="s">
        <v>11624</v>
      </c>
      <c r="G4386">
        <v>8.7220700000000004</v>
      </c>
      <c r="H4386">
        <v>14.059699999999999</v>
      </c>
      <c r="I4386" t="s">
        <v>23960</v>
      </c>
      <c r="L4386">
        <v>0</v>
      </c>
      <c r="M4386">
        <v>0</v>
      </c>
      <c r="N4386">
        <v>0</v>
      </c>
      <c r="O4386" t="s">
        <v>11703</v>
      </c>
    </row>
    <row r="4387" spans="1:15">
      <c r="A4387" t="s">
        <v>23961</v>
      </c>
      <c r="B4387" t="s">
        <v>6742</v>
      </c>
      <c r="C4387" t="s">
        <v>23125</v>
      </c>
      <c r="D4387" t="s">
        <v>23962</v>
      </c>
      <c r="E4387" t="b">
        <v>0</v>
      </c>
      <c r="F4387" t="s">
        <v>11624</v>
      </c>
      <c r="I4387" t="s">
        <v>23963</v>
      </c>
      <c r="L4387">
        <v>0</v>
      </c>
      <c r="M4387">
        <v>0</v>
      </c>
      <c r="N4387">
        <v>0</v>
      </c>
      <c r="O4387" t="s">
        <v>11693</v>
      </c>
    </row>
    <row r="4388" spans="1:15">
      <c r="A4388" t="s">
        <v>23964</v>
      </c>
      <c r="B4388" t="s">
        <v>11757</v>
      </c>
      <c r="C4388" t="s">
        <v>216</v>
      </c>
      <c r="D4388" t="s">
        <v>23965</v>
      </c>
      <c r="E4388" t="b">
        <v>0</v>
      </c>
      <c r="F4388" t="s">
        <v>11610</v>
      </c>
      <c r="L4388">
        <v>0</v>
      </c>
      <c r="M4388">
        <v>0</v>
      </c>
      <c r="N4388">
        <v>0</v>
      </c>
    </row>
    <row r="4389" spans="1:15">
      <c r="A4389" t="s">
        <v>4088</v>
      </c>
      <c r="B4389" t="s">
        <v>4236</v>
      </c>
      <c r="C4389" t="s">
        <v>21525</v>
      </c>
      <c r="D4389" t="s">
        <v>4087</v>
      </c>
      <c r="E4389" t="b">
        <v>0</v>
      </c>
      <c r="F4389" t="s">
        <v>11610</v>
      </c>
      <c r="L4389">
        <v>0</v>
      </c>
      <c r="M4389">
        <v>0</v>
      </c>
      <c r="N4389">
        <v>0</v>
      </c>
    </row>
    <row r="4390" spans="1:15">
      <c r="A4390" t="s">
        <v>23966</v>
      </c>
      <c r="B4390" t="s">
        <v>367</v>
      </c>
      <c r="C4390" t="s">
        <v>23967</v>
      </c>
      <c r="D4390" t="s">
        <v>23968</v>
      </c>
      <c r="E4390" t="b">
        <v>0</v>
      </c>
      <c r="F4390" t="s">
        <v>11610</v>
      </c>
      <c r="L4390">
        <v>0</v>
      </c>
      <c r="M4390">
        <v>0</v>
      </c>
      <c r="N4390">
        <v>0</v>
      </c>
    </row>
    <row r="4391" spans="1:15">
      <c r="A4391" t="s">
        <v>13500</v>
      </c>
      <c r="D4391" t="s">
        <v>23969</v>
      </c>
      <c r="E4391" t="b">
        <v>0</v>
      </c>
      <c r="F4391" t="s">
        <v>11624</v>
      </c>
      <c r="G4391">
        <v>-4.1734499999999999</v>
      </c>
      <c r="H4391">
        <v>137.49600000000001</v>
      </c>
      <c r="I4391" t="s">
        <v>23970</v>
      </c>
      <c r="L4391">
        <v>0</v>
      </c>
      <c r="M4391">
        <v>0</v>
      </c>
      <c r="N4391">
        <v>4</v>
      </c>
      <c r="O4391" t="s">
        <v>11768</v>
      </c>
    </row>
    <row r="4392" spans="1:15">
      <c r="A4392" t="s">
        <v>23971</v>
      </c>
      <c r="B4392" t="s">
        <v>11607</v>
      </c>
      <c r="C4392" t="s">
        <v>6491</v>
      </c>
      <c r="D4392" t="s">
        <v>23972</v>
      </c>
      <c r="E4392" t="b">
        <v>0</v>
      </c>
      <c r="F4392" t="s">
        <v>11610</v>
      </c>
      <c r="L4392">
        <v>0</v>
      </c>
      <c r="M4392">
        <v>0</v>
      </c>
      <c r="N4392">
        <v>0</v>
      </c>
    </row>
    <row r="4393" spans="1:15">
      <c r="A4393" t="s">
        <v>23973</v>
      </c>
      <c r="B4393" t="s">
        <v>11637</v>
      </c>
      <c r="C4393" t="s">
        <v>23974</v>
      </c>
      <c r="D4393" t="s">
        <v>23975</v>
      </c>
      <c r="E4393" t="b">
        <v>0</v>
      </c>
      <c r="F4393" t="s">
        <v>11624</v>
      </c>
      <c r="G4393">
        <v>20.396758999999999</v>
      </c>
      <c r="H4393">
        <v>72.841459999999998</v>
      </c>
      <c r="I4393" t="s">
        <v>23976</v>
      </c>
      <c r="L4393">
        <v>0</v>
      </c>
      <c r="M4393">
        <v>0</v>
      </c>
      <c r="N4393">
        <v>0</v>
      </c>
      <c r="O4393" t="s">
        <v>11630</v>
      </c>
    </row>
    <row r="4394" spans="1:15">
      <c r="A4394" t="s">
        <v>23977</v>
      </c>
      <c r="B4394" t="s">
        <v>6742</v>
      </c>
      <c r="C4394" t="s">
        <v>23978</v>
      </c>
      <c r="D4394" t="s">
        <v>23979</v>
      </c>
      <c r="E4394" t="b">
        <v>0</v>
      </c>
      <c r="F4394" t="s">
        <v>11610</v>
      </c>
      <c r="L4394">
        <v>0</v>
      </c>
      <c r="M4394">
        <v>0</v>
      </c>
      <c r="N4394">
        <v>0</v>
      </c>
    </row>
    <row r="4395" spans="1:15">
      <c r="A4395" t="s">
        <v>23980</v>
      </c>
      <c r="B4395" t="s">
        <v>11868</v>
      </c>
      <c r="C4395" t="s">
        <v>23981</v>
      </c>
      <c r="D4395" t="s">
        <v>23982</v>
      </c>
      <c r="E4395" t="b">
        <v>0</v>
      </c>
      <c r="F4395" t="s">
        <v>11610</v>
      </c>
      <c r="L4395">
        <v>0</v>
      </c>
      <c r="M4395">
        <v>0</v>
      </c>
      <c r="N4395">
        <v>0</v>
      </c>
    </row>
    <row r="4396" spans="1:15">
      <c r="A4396" t="s">
        <v>23983</v>
      </c>
      <c r="B4396" t="s">
        <v>367</v>
      </c>
      <c r="C4396" t="s">
        <v>23984</v>
      </c>
      <c r="D4396" t="s">
        <v>23985</v>
      </c>
      <c r="E4396" t="b">
        <v>0</v>
      </c>
      <c r="F4396" t="s">
        <v>11624</v>
      </c>
      <c r="G4396">
        <v>-7.0058699999999998</v>
      </c>
      <c r="H4396">
        <v>146.47399999999999</v>
      </c>
      <c r="I4396" t="s">
        <v>23986</v>
      </c>
      <c r="L4396">
        <v>0</v>
      </c>
      <c r="M4396">
        <v>0</v>
      </c>
      <c r="N4396">
        <v>0</v>
      </c>
      <c r="O4396" t="s">
        <v>11660</v>
      </c>
    </row>
    <row r="4397" spans="1:15">
      <c r="A4397" t="s">
        <v>23987</v>
      </c>
      <c r="B4397" t="s">
        <v>11607</v>
      </c>
      <c r="C4397" t="s">
        <v>23988</v>
      </c>
      <c r="D4397" t="s">
        <v>23989</v>
      </c>
      <c r="E4397" t="b">
        <v>0</v>
      </c>
      <c r="F4397" t="s">
        <v>11610</v>
      </c>
      <c r="L4397">
        <v>0</v>
      </c>
      <c r="M4397">
        <v>0</v>
      </c>
      <c r="N4397">
        <v>0</v>
      </c>
    </row>
    <row r="4398" spans="1:15">
      <c r="A4398" t="s">
        <v>23990</v>
      </c>
      <c r="B4398" t="s">
        <v>12250</v>
      </c>
      <c r="C4398" t="s">
        <v>13157</v>
      </c>
      <c r="D4398" t="s">
        <v>23991</v>
      </c>
      <c r="E4398" t="b">
        <v>0</v>
      </c>
      <c r="F4398" t="s">
        <v>11610</v>
      </c>
      <c r="L4398">
        <v>0</v>
      </c>
      <c r="M4398">
        <v>0</v>
      </c>
      <c r="N4398">
        <v>0</v>
      </c>
    </row>
    <row r="4399" spans="1:15">
      <c r="A4399" t="s">
        <v>23992</v>
      </c>
      <c r="B4399" t="s">
        <v>11637</v>
      </c>
      <c r="C4399" t="s">
        <v>23993</v>
      </c>
      <c r="D4399" t="s">
        <v>23994</v>
      </c>
      <c r="E4399" t="b">
        <v>0</v>
      </c>
      <c r="F4399" t="s">
        <v>11624</v>
      </c>
      <c r="G4399">
        <v>35.298999999999999</v>
      </c>
      <c r="H4399">
        <v>71.680599999999998</v>
      </c>
      <c r="I4399" t="s">
        <v>23995</v>
      </c>
      <c r="L4399">
        <v>0</v>
      </c>
      <c r="M4399">
        <v>0</v>
      </c>
      <c r="N4399">
        <v>0</v>
      </c>
      <c r="O4399" t="s">
        <v>12172</v>
      </c>
    </row>
    <row r="4400" spans="1:15">
      <c r="A4400" t="s">
        <v>23996</v>
      </c>
      <c r="B4400" t="s">
        <v>11683</v>
      </c>
      <c r="C4400" t="s">
        <v>11683</v>
      </c>
      <c r="D4400" t="s">
        <v>23997</v>
      </c>
      <c r="E4400" t="b">
        <v>0</v>
      </c>
      <c r="F4400" t="s">
        <v>11610</v>
      </c>
      <c r="L4400">
        <v>0</v>
      </c>
      <c r="M4400">
        <v>0</v>
      </c>
      <c r="N4400">
        <v>0</v>
      </c>
    </row>
    <row r="4401" spans="1:15">
      <c r="A4401" t="s">
        <v>23998</v>
      </c>
      <c r="B4401" t="s">
        <v>11729</v>
      </c>
      <c r="C4401" t="s">
        <v>15848</v>
      </c>
      <c r="D4401" t="s">
        <v>23999</v>
      </c>
      <c r="E4401" t="b">
        <v>0</v>
      </c>
      <c r="F4401" t="s">
        <v>11610</v>
      </c>
      <c r="L4401">
        <v>0</v>
      </c>
      <c r="M4401">
        <v>0</v>
      </c>
      <c r="N4401">
        <v>0</v>
      </c>
    </row>
    <row r="4402" spans="1:15">
      <c r="A4402" t="s">
        <v>24000</v>
      </c>
      <c r="B4402" t="s">
        <v>6742</v>
      </c>
      <c r="C4402" t="s">
        <v>24001</v>
      </c>
      <c r="D4402" t="s">
        <v>24002</v>
      </c>
      <c r="E4402" t="b">
        <v>0</v>
      </c>
      <c r="F4402" t="s">
        <v>11610</v>
      </c>
      <c r="L4402">
        <v>0</v>
      </c>
      <c r="M4402">
        <v>0</v>
      </c>
      <c r="N4402">
        <v>0</v>
      </c>
    </row>
    <row r="4403" spans="1:15">
      <c r="A4403" t="s">
        <v>24003</v>
      </c>
      <c r="B4403" t="s">
        <v>367</v>
      </c>
      <c r="C4403" t="s">
        <v>16239</v>
      </c>
      <c r="D4403" t="s">
        <v>24004</v>
      </c>
      <c r="E4403" t="b">
        <v>0</v>
      </c>
      <c r="F4403" t="s">
        <v>11624</v>
      </c>
      <c r="G4403">
        <v>0.70233999999999996</v>
      </c>
      <c r="H4403">
        <v>120.21899999999999</v>
      </c>
      <c r="I4403" t="s">
        <v>24005</v>
      </c>
      <c r="L4403">
        <v>0</v>
      </c>
      <c r="M4403">
        <v>0</v>
      </c>
      <c r="N4403">
        <v>0</v>
      </c>
      <c r="O4403" t="s">
        <v>11768</v>
      </c>
    </row>
    <row r="4404" spans="1:15">
      <c r="A4404" t="s">
        <v>24006</v>
      </c>
      <c r="B4404" t="s">
        <v>11644</v>
      </c>
      <c r="C4404" t="s">
        <v>24007</v>
      </c>
      <c r="D4404" t="s">
        <v>24008</v>
      </c>
      <c r="E4404" t="b">
        <v>0</v>
      </c>
      <c r="F4404" t="s">
        <v>11624</v>
      </c>
      <c r="G4404">
        <v>29.483000000000001</v>
      </c>
      <c r="H4404">
        <v>95.5</v>
      </c>
      <c r="L4404">
        <v>0</v>
      </c>
      <c r="M4404">
        <v>0</v>
      </c>
      <c r="N4404">
        <v>1</v>
      </c>
      <c r="O4404" t="s">
        <v>19608</v>
      </c>
    </row>
    <row r="4405" spans="1:15">
      <c r="A4405" t="s">
        <v>24007</v>
      </c>
      <c r="B4405" t="s">
        <v>11644</v>
      </c>
      <c r="C4405" t="s">
        <v>24009</v>
      </c>
      <c r="D4405" t="s">
        <v>24010</v>
      </c>
      <c r="E4405" t="b">
        <v>0</v>
      </c>
      <c r="F4405" t="s">
        <v>11622</v>
      </c>
      <c r="L4405">
        <v>0</v>
      </c>
      <c r="M4405">
        <v>2</v>
      </c>
      <c r="N4405">
        <v>1</v>
      </c>
    </row>
    <row r="4406" spans="1:15">
      <c r="A4406" t="s">
        <v>24011</v>
      </c>
      <c r="B4406" t="s">
        <v>12438</v>
      </c>
      <c r="C4406" t="s">
        <v>24012</v>
      </c>
      <c r="D4406" t="s">
        <v>24013</v>
      </c>
      <c r="E4406" t="b">
        <v>0</v>
      </c>
      <c r="F4406" t="s">
        <v>11624</v>
      </c>
      <c r="G4406">
        <v>20.495699999999999</v>
      </c>
      <c r="H4406">
        <v>96.998000000000005</v>
      </c>
      <c r="I4406" t="s">
        <v>24014</v>
      </c>
      <c r="L4406">
        <v>0</v>
      </c>
      <c r="M4406">
        <v>0</v>
      </c>
      <c r="N4406">
        <v>0</v>
      </c>
      <c r="O4406" t="s">
        <v>14059</v>
      </c>
    </row>
    <row r="4407" spans="1:15">
      <c r="A4407" t="s">
        <v>24015</v>
      </c>
      <c r="B4407" t="s">
        <v>367</v>
      </c>
      <c r="C4407" t="s">
        <v>21816</v>
      </c>
      <c r="D4407" t="s">
        <v>24016</v>
      </c>
      <c r="E4407" t="b">
        <v>0</v>
      </c>
      <c r="F4407" t="s">
        <v>11622</v>
      </c>
      <c r="L4407">
        <v>0</v>
      </c>
      <c r="M4407">
        <v>3</v>
      </c>
      <c r="N4407">
        <v>5</v>
      </c>
    </row>
    <row r="4408" spans="1:15">
      <c r="A4408" t="s">
        <v>24017</v>
      </c>
      <c r="B4408" t="s">
        <v>11615</v>
      </c>
      <c r="C4408" t="s">
        <v>24018</v>
      </c>
      <c r="D4408" t="s">
        <v>24019</v>
      </c>
      <c r="E4408" t="b">
        <v>0</v>
      </c>
      <c r="F4408" t="s">
        <v>11624</v>
      </c>
      <c r="G4408">
        <v>-5.53634</v>
      </c>
      <c r="H4408">
        <v>145.45699999999999</v>
      </c>
      <c r="I4408" t="s">
        <v>24020</v>
      </c>
      <c r="L4408">
        <v>0</v>
      </c>
      <c r="M4408">
        <v>0</v>
      </c>
      <c r="N4408">
        <v>0</v>
      </c>
      <c r="O4408" t="s">
        <v>11660</v>
      </c>
    </row>
    <row r="4409" spans="1:15">
      <c r="A4409" t="s">
        <v>24021</v>
      </c>
      <c r="B4409" t="s">
        <v>11644</v>
      </c>
      <c r="C4409" t="s">
        <v>24022</v>
      </c>
      <c r="D4409" t="s">
        <v>24023</v>
      </c>
      <c r="E4409" t="b">
        <v>0</v>
      </c>
      <c r="F4409" t="s">
        <v>11610</v>
      </c>
      <c r="G4409">
        <v>22.275032400000001</v>
      </c>
      <c r="H4409">
        <v>112.7199202</v>
      </c>
      <c r="L4409">
        <v>0</v>
      </c>
      <c r="M4409">
        <v>0</v>
      </c>
      <c r="N4409">
        <v>0</v>
      </c>
    </row>
    <row r="4410" spans="1:15">
      <c r="A4410" t="s">
        <v>24024</v>
      </c>
      <c r="B4410" t="s">
        <v>11844</v>
      </c>
      <c r="C4410" t="s">
        <v>24025</v>
      </c>
      <c r="D4410" t="s">
        <v>24026</v>
      </c>
      <c r="E4410" t="b">
        <v>0</v>
      </c>
      <c r="F4410" t="s">
        <v>11624</v>
      </c>
      <c r="G4410">
        <v>18.747499999999999</v>
      </c>
      <c r="H4410">
        <v>81.359800000000007</v>
      </c>
      <c r="I4410" t="s">
        <v>24027</v>
      </c>
      <c r="L4410">
        <v>0</v>
      </c>
      <c r="M4410">
        <v>0</v>
      </c>
      <c r="N4410">
        <v>2</v>
      </c>
      <c r="O4410" t="s">
        <v>11630</v>
      </c>
    </row>
    <row r="4411" spans="1:15">
      <c r="A4411" t="s">
        <v>24028</v>
      </c>
      <c r="B4411" t="s">
        <v>6742</v>
      </c>
      <c r="C4411" t="s">
        <v>3622</v>
      </c>
      <c r="D4411" t="s">
        <v>24029</v>
      </c>
      <c r="E4411" t="b">
        <v>0</v>
      </c>
      <c r="F4411" t="s">
        <v>11610</v>
      </c>
      <c r="L4411">
        <v>0</v>
      </c>
      <c r="M4411">
        <v>0</v>
      </c>
      <c r="N4411">
        <v>0</v>
      </c>
    </row>
    <row r="4412" spans="1:15">
      <c r="A4412" t="s">
        <v>24030</v>
      </c>
      <c r="B4412" t="s">
        <v>11637</v>
      </c>
      <c r="C4412" t="s">
        <v>14000</v>
      </c>
      <c r="D4412" t="s">
        <v>24031</v>
      </c>
      <c r="E4412" t="b">
        <v>0</v>
      </c>
      <c r="F4412" t="s">
        <v>11610</v>
      </c>
      <c r="L4412">
        <v>0</v>
      </c>
      <c r="M4412">
        <v>0</v>
      </c>
      <c r="N4412">
        <v>0</v>
      </c>
    </row>
    <row r="4413" spans="1:15">
      <c r="A4413" t="s">
        <v>24032</v>
      </c>
      <c r="B4413" t="s">
        <v>11637</v>
      </c>
      <c r="C4413" t="s">
        <v>24033</v>
      </c>
      <c r="D4413" t="s">
        <v>24034</v>
      </c>
      <c r="E4413" t="b">
        <v>0</v>
      </c>
      <c r="F4413" t="s">
        <v>11610</v>
      </c>
      <c r="L4413">
        <v>0</v>
      </c>
      <c r="M4413">
        <v>0</v>
      </c>
      <c r="N4413">
        <v>0</v>
      </c>
    </row>
    <row r="4414" spans="1:15">
      <c r="A4414" t="s">
        <v>16734</v>
      </c>
      <c r="B4414" t="s">
        <v>11637</v>
      </c>
      <c r="C4414" t="s">
        <v>24035</v>
      </c>
      <c r="D4414" t="s">
        <v>24036</v>
      </c>
      <c r="E4414" t="b">
        <v>0</v>
      </c>
      <c r="F4414" t="s">
        <v>11624</v>
      </c>
      <c r="G4414">
        <v>27.883400000000002</v>
      </c>
      <c r="H4414">
        <v>81.7761</v>
      </c>
      <c r="I4414" t="s">
        <v>24037</v>
      </c>
      <c r="L4414">
        <v>0</v>
      </c>
      <c r="M4414">
        <v>0</v>
      </c>
      <c r="N4414">
        <v>7</v>
      </c>
      <c r="O4414" t="s">
        <v>12524</v>
      </c>
    </row>
    <row r="4415" spans="1:15">
      <c r="A4415" t="s">
        <v>24038</v>
      </c>
      <c r="B4415" t="s">
        <v>11637</v>
      </c>
      <c r="C4415" t="s">
        <v>16734</v>
      </c>
      <c r="D4415" t="s">
        <v>24039</v>
      </c>
      <c r="E4415" t="b">
        <v>0</v>
      </c>
      <c r="F4415" t="s">
        <v>11610</v>
      </c>
      <c r="L4415">
        <v>0</v>
      </c>
      <c r="M4415">
        <v>0</v>
      </c>
      <c r="N4415">
        <v>0</v>
      </c>
    </row>
    <row r="4416" spans="1:15">
      <c r="A4416" t="s">
        <v>24040</v>
      </c>
      <c r="B4416" t="s">
        <v>10597</v>
      </c>
      <c r="C4416" t="s">
        <v>24041</v>
      </c>
      <c r="D4416" t="s">
        <v>24042</v>
      </c>
      <c r="E4416" t="b">
        <v>0</v>
      </c>
      <c r="F4416" t="s">
        <v>11610</v>
      </c>
      <c r="I4416" t="s">
        <v>24043</v>
      </c>
      <c r="L4416">
        <v>0</v>
      </c>
      <c r="M4416">
        <v>0</v>
      </c>
      <c r="N4416">
        <v>0</v>
      </c>
    </row>
    <row r="4417" spans="1:15">
      <c r="A4417" t="s">
        <v>24044</v>
      </c>
      <c r="B4417" t="s">
        <v>367</v>
      </c>
      <c r="C4417" t="s">
        <v>24045</v>
      </c>
      <c r="D4417" t="s">
        <v>24046</v>
      </c>
      <c r="E4417" t="b">
        <v>0</v>
      </c>
      <c r="F4417" t="s">
        <v>11610</v>
      </c>
      <c r="L4417">
        <v>0</v>
      </c>
      <c r="M4417">
        <v>0</v>
      </c>
      <c r="N4417">
        <v>0</v>
      </c>
    </row>
    <row r="4418" spans="1:15">
      <c r="A4418" t="s">
        <v>6751</v>
      </c>
      <c r="B4418" t="s">
        <v>11607</v>
      </c>
      <c r="C4418" t="s">
        <v>18436</v>
      </c>
      <c r="D4418" t="s">
        <v>6750</v>
      </c>
      <c r="E4418" t="b">
        <v>0</v>
      </c>
      <c r="F4418" t="s">
        <v>11624</v>
      </c>
      <c r="G4418">
        <v>12.1517</v>
      </c>
      <c r="H4418">
        <v>18.385000000000002</v>
      </c>
      <c r="I4418" t="s">
        <v>24047</v>
      </c>
      <c r="L4418">
        <v>0</v>
      </c>
      <c r="M4418">
        <v>0</v>
      </c>
      <c r="N4418">
        <v>3</v>
      </c>
      <c r="O4418" t="s">
        <v>13421</v>
      </c>
    </row>
    <row r="4419" spans="1:15">
      <c r="A4419" t="s">
        <v>18766</v>
      </c>
      <c r="B4419" t="s">
        <v>11607</v>
      </c>
      <c r="C4419" t="s">
        <v>24048</v>
      </c>
      <c r="D4419" t="s">
        <v>24049</v>
      </c>
      <c r="E4419" t="b">
        <v>0</v>
      </c>
      <c r="F4419" t="s">
        <v>11622</v>
      </c>
      <c r="L4419">
        <v>3</v>
      </c>
      <c r="M4419">
        <v>8</v>
      </c>
      <c r="N4419">
        <v>22</v>
      </c>
    </row>
    <row r="4420" spans="1:15">
      <c r="A4420" t="s">
        <v>18436</v>
      </c>
      <c r="B4420" t="s">
        <v>11607</v>
      </c>
      <c r="C4420" t="s">
        <v>18766</v>
      </c>
      <c r="D4420" t="s">
        <v>24050</v>
      </c>
      <c r="E4420" t="b">
        <v>0</v>
      </c>
      <c r="F4420" t="s">
        <v>11622</v>
      </c>
      <c r="L4420">
        <v>1</v>
      </c>
      <c r="M4420">
        <v>4</v>
      </c>
      <c r="N4420">
        <v>14</v>
      </c>
    </row>
    <row r="4421" spans="1:15">
      <c r="A4421" t="s">
        <v>24035</v>
      </c>
      <c r="B4421" t="s">
        <v>11637</v>
      </c>
      <c r="C4421" t="s">
        <v>22734</v>
      </c>
      <c r="D4421" t="s">
        <v>24051</v>
      </c>
      <c r="E4421" t="b">
        <v>0</v>
      </c>
      <c r="F4421" t="s">
        <v>11622</v>
      </c>
      <c r="L4421">
        <v>0</v>
      </c>
      <c r="M4421">
        <v>2</v>
      </c>
      <c r="N4421">
        <v>7</v>
      </c>
    </row>
    <row r="4422" spans="1:15">
      <c r="A4422" t="s">
        <v>24052</v>
      </c>
      <c r="B4422" t="s">
        <v>11981</v>
      </c>
      <c r="C4422" t="s">
        <v>24053</v>
      </c>
      <c r="D4422" t="s">
        <v>24054</v>
      </c>
      <c r="E4422" t="b">
        <v>0</v>
      </c>
      <c r="F4422" t="s">
        <v>11624</v>
      </c>
      <c r="G4422">
        <v>55.825699999999998</v>
      </c>
      <c r="H4422">
        <v>12.3187</v>
      </c>
      <c r="I4422" t="s">
        <v>24055</v>
      </c>
      <c r="L4422">
        <v>0</v>
      </c>
      <c r="M4422">
        <v>0</v>
      </c>
      <c r="N4422">
        <v>0</v>
      </c>
      <c r="O4422" t="s">
        <v>24056</v>
      </c>
    </row>
    <row r="4423" spans="1:15">
      <c r="A4423" t="s">
        <v>11474</v>
      </c>
      <c r="B4423" t="s">
        <v>11637</v>
      </c>
      <c r="C4423" t="s">
        <v>24057</v>
      </c>
      <c r="D4423" t="s">
        <v>24058</v>
      </c>
      <c r="E4423" t="b">
        <v>0</v>
      </c>
      <c r="F4423" t="s">
        <v>11624</v>
      </c>
      <c r="G4423">
        <v>54.865499999999997</v>
      </c>
      <c r="H4423">
        <v>9.3628400000000003</v>
      </c>
      <c r="I4423" t="s">
        <v>11475</v>
      </c>
      <c r="L4423">
        <v>0</v>
      </c>
      <c r="M4423">
        <v>0</v>
      </c>
      <c r="N4423">
        <v>8</v>
      </c>
      <c r="O4423" t="s">
        <v>24059</v>
      </c>
    </row>
    <row r="4424" spans="1:15">
      <c r="A4424" t="s">
        <v>24060</v>
      </c>
      <c r="B4424" t="s">
        <v>4236</v>
      </c>
      <c r="C4424" t="s">
        <v>12592</v>
      </c>
      <c r="D4424" t="s">
        <v>24061</v>
      </c>
      <c r="E4424" t="b">
        <v>0</v>
      </c>
      <c r="F4424" t="s">
        <v>11610</v>
      </c>
      <c r="L4424">
        <v>0</v>
      </c>
      <c r="M4424">
        <v>0</v>
      </c>
      <c r="N4424">
        <v>0</v>
      </c>
    </row>
    <row r="4425" spans="1:15">
      <c r="A4425" t="s">
        <v>5593</v>
      </c>
      <c r="B4425" t="s">
        <v>11615</v>
      </c>
      <c r="C4425" t="s">
        <v>11615</v>
      </c>
      <c r="D4425" t="s">
        <v>5591</v>
      </c>
      <c r="E4425" t="b">
        <v>0</v>
      </c>
      <c r="F4425" t="s">
        <v>11622</v>
      </c>
      <c r="L4425">
        <v>5</v>
      </c>
      <c r="M4425">
        <v>13</v>
      </c>
      <c r="N4425">
        <v>20</v>
      </c>
    </row>
    <row r="4426" spans="1:15">
      <c r="A4426" t="s">
        <v>24053</v>
      </c>
      <c r="B4426" t="s">
        <v>11981</v>
      </c>
      <c r="C4426" t="s">
        <v>13026</v>
      </c>
      <c r="D4426" t="s">
        <v>24062</v>
      </c>
      <c r="E4426" t="b">
        <v>0</v>
      </c>
      <c r="F4426" t="s">
        <v>11622</v>
      </c>
      <c r="L4426">
        <v>0</v>
      </c>
      <c r="M4426">
        <v>2</v>
      </c>
      <c r="N4426">
        <v>0</v>
      </c>
    </row>
    <row r="4427" spans="1:15">
      <c r="A4427" t="s">
        <v>24063</v>
      </c>
      <c r="B4427" t="s">
        <v>6742</v>
      </c>
      <c r="C4427" t="s">
        <v>50</v>
      </c>
      <c r="D4427" t="s">
        <v>24064</v>
      </c>
      <c r="E4427" t="b">
        <v>0</v>
      </c>
      <c r="F4427" t="s">
        <v>11610</v>
      </c>
      <c r="L4427">
        <v>0</v>
      </c>
      <c r="M4427">
        <v>0</v>
      </c>
      <c r="N4427">
        <v>0</v>
      </c>
    </row>
    <row r="4428" spans="1:15">
      <c r="A4428" t="s">
        <v>24065</v>
      </c>
      <c r="B4428" t="s">
        <v>12438</v>
      </c>
      <c r="C4428" t="s">
        <v>24066</v>
      </c>
      <c r="D4428" t="s">
        <v>24067</v>
      </c>
      <c r="E4428" t="b">
        <v>0</v>
      </c>
      <c r="F4428" t="s">
        <v>11610</v>
      </c>
      <c r="L4428">
        <v>0</v>
      </c>
      <c r="M4428">
        <v>0</v>
      </c>
      <c r="N4428">
        <v>0</v>
      </c>
    </row>
    <row r="4429" spans="1:15">
      <c r="A4429" t="s">
        <v>24068</v>
      </c>
      <c r="B4429" t="s">
        <v>6742</v>
      </c>
      <c r="C4429" t="s">
        <v>24069</v>
      </c>
      <c r="D4429" t="s">
        <v>24070</v>
      </c>
      <c r="E4429" t="b">
        <v>0</v>
      </c>
      <c r="F4429" t="s">
        <v>11610</v>
      </c>
      <c r="L4429">
        <v>0</v>
      </c>
      <c r="M4429">
        <v>0</v>
      </c>
      <c r="N4429">
        <v>0</v>
      </c>
    </row>
    <row r="4430" spans="1:15">
      <c r="A4430" t="s">
        <v>24071</v>
      </c>
      <c r="B4430" t="s">
        <v>13276</v>
      </c>
      <c r="C4430" t="s">
        <v>24072</v>
      </c>
      <c r="D4430" t="s">
        <v>24073</v>
      </c>
      <c r="E4430" t="b">
        <v>0</v>
      </c>
      <c r="F4430" t="s">
        <v>11624</v>
      </c>
      <c r="G4430">
        <v>7.2281199999999997</v>
      </c>
      <c r="H4430">
        <v>-8.2453500000000002</v>
      </c>
      <c r="I4430" t="s">
        <v>24074</v>
      </c>
      <c r="L4430">
        <v>0</v>
      </c>
      <c r="M4430">
        <v>0</v>
      </c>
      <c r="N4430">
        <v>29</v>
      </c>
      <c r="O4430" t="s">
        <v>24075</v>
      </c>
    </row>
    <row r="4431" spans="1:15">
      <c r="A4431" t="s">
        <v>13254</v>
      </c>
      <c r="B4431" t="s">
        <v>11615</v>
      </c>
      <c r="C4431" t="s">
        <v>13001</v>
      </c>
      <c r="D4431" t="s">
        <v>24076</v>
      </c>
      <c r="E4431" t="b">
        <v>0</v>
      </c>
      <c r="F4431" t="s">
        <v>11624</v>
      </c>
      <c r="G4431">
        <v>-5.9218799999999998</v>
      </c>
      <c r="H4431">
        <v>145.25399999999999</v>
      </c>
      <c r="I4431" t="s">
        <v>24077</v>
      </c>
      <c r="L4431">
        <v>0</v>
      </c>
      <c r="M4431">
        <v>0</v>
      </c>
      <c r="N4431">
        <v>5</v>
      </c>
      <c r="O4431" t="s">
        <v>11660</v>
      </c>
    </row>
    <row r="4432" spans="1:15">
      <c r="A4432" t="s">
        <v>24078</v>
      </c>
      <c r="B4432" t="s">
        <v>11607</v>
      </c>
      <c r="C4432" t="s">
        <v>24079</v>
      </c>
      <c r="D4432" t="s">
        <v>24080</v>
      </c>
      <c r="E4432" t="b">
        <v>0</v>
      </c>
      <c r="F4432" t="s">
        <v>11610</v>
      </c>
      <c r="L4432">
        <v>0</v>
      </c>
      <c r="M4432">
        <v>0</v>
      </c>
      <c r="N4432">
        <v>0</v>
      </c>
    </row>
    <row r="4433" spans="1:15">
      <c r="A4433" t="s">
        <v>24072</v>
      </c>
      <c r="B4433" t="s">
        <v>13276</v>
      </c>
      <c r="C4433" t="s">
        <v>24081</v>
      </c>
      <c r="D4433" t="s">
        <v>24082</v>
      </c>
      <c r="E4433" t="b">
        <v>0</v>
      </c>
      <c r="F4433" t="s">
        <v>11622</v>
      </c>
      <c r="L4433">
        <v>1</v>
      </c>
      <c r="M4433">
        <v>3</v>
      </c>
      <c r="N4433">
        <v>35</v>
      </c>
    </row>
    <row r="4434" spans="1:15">
      <c r="A4434" t="s">
        <v>24083</v>
      </c>
      <c r="B4434" t="s">
        <v>12260</v>
      </c>
      <c r="C4434" t="s">
        <v>10255</v>
      </c>
      <c r="D4434" t="s">
        <v>24084</v>
      </c>
      <c r="E4434" t="b">
        <v>0</v>
      </c>
      <c r="F4434" t="s">
        <v>11610</v>
      </c>
      <c r="L4434">
        <v>0</v>
      </c>
      <c r="M4434">
        <v>0</v>
      </c>
      <c r="N4434">
        <v>0</v>
      </c>
    </row>
    <row r="4435" spans="1:15">
      <c r="A4435" t="s">
        <v>24085</v>
      </c>
      <c r="B4435" t="s">
        <v>331</v>
      </c>
      <c r="C4435" t="s">
        <v>16318</v>
      </c>
      <c r="D4435" t="s">
        <v>24086</v>
      </c>
      <c r="E4435" t="b">
        <v>0</v>
      </c>
      <c r="F4435" t="s">
        <v>11610</v>
      </c>
      <c r="L4435">
        <v>0</v>
      </c>
      <c r="M4435">
        <v>0</v>
      </c>
      <c r="N4435">
        <v>0</v>
      </c>
    </row>
    <row r="4436" spans="1:15">
      <c r="A4436" t="s">
        <v>24087</v>
      </c>
      <c r="B4436" t="s">
        <v>367</v>
      </c>
      <c r="C4436" t="s">
        <v>24088</v>
      </c>
      <c r="D4436" t="s">
        <v>24089</v>
      </c>
      <c r="E4436" t="b">
        <v>0</v>
      </c>
      <c r="F4436" t="s">
        <v>11610</v>
      </c>
      <c r="L4436">
        <v>0</v>
      </c>
      <c r="M4436">
        <v>0</v>
      </c>
      <c r="N4436">
        <v>0</v>
      </c>
    </row>
    <row r="4437" spans="1:15">
      <c r="A4437" t="s">
        <v>24090</v>
      </c>
      <c r="B4437" t="s">
        <v>11644</v>
      </c>
      <c r="C4437" t="s">
        <v>24091</v>
      </c>
      <c r="D4437" t="s">
        <v>24092</v>
      </c>
      <c r="E4437" t="b">
        <v>0</v>
      </c>
      <c r="F4437" t="s">
        <v>11610</v>
      </c>
      <c r="I4437" t="s">
        <v>24093</v>
      </c>
      <c r="L4437">
        <v>0</v>
      </c>
      <c r="M4437">
        <v>0</v>
      </c>
      <c r="N4437">
        <v>0</v>
      </c>
      <c r="O4437" t="s">
        <v>14059</v>
      </c>
    </row>
    <row r="4438" spans="1:15">
      <c r="A4438" t="s">
        <v>24094</v>
      </c>
      <c r="B4438" t="s">
        <v>5058</v>
      </c>
      <c r="C4438" t="s">
        <v>22195</v>
      </c>
      <c r="D4438" t="s">
        <v>24095</v>
      </c>
      <c r="E4438" t="b">
        <v>0</v>
      </c>
      <c r="F4438" t="s">
        <v>11610</v>
      </c>
      <c r="L4438">
        <v>0</v>
      </c>
      <c r="M4438">
        <v>0</v>
      </c>
      <c r="N4438">
        <v>0</v>
      </c>
    </row>
    <row r="4439" spans="1:15">
      <c r="A4439" t="s">
        <v>24096</v>
      </c>
      <c r="B4439" t="s">
        <v>11644</v>
      </c>
      <c r="C4439" t="s">
        <v>24097</v>
      </c>
      <c r="D4439" t="s">
        <v>24098</v>
      </c>
      <c r="E4439" t="b">
        <v>0</v>
      </c>
      <c r="F4439" t="s">
        <v>11610</v>
      </c>
      <c r="L4439">
        <v>0</v>
      </c>
      <c r="M4439">
        <v>0</v>
      </c>
      <c r="N4439">
        <v>0</v>
      </c>
    </row>
    <row r="4440" spans="1:15">
      <c r="A4440" t="s">
        <v>24099</v>
      </c>
      <c r="B4440" t="s">
        <v>5058</v>
      </c>
      <c r="C4440" t="s">
        <v>5417</v>
      </c>
      <c r="D4440" t="s">
        <v>24100</v>
      </c>
      <c r="E4440" t="b">
        <v>0</v>
      </c>
      <c r="F4440" t="s">
        <v>11610</v>
      </c>
      <c r="L4440">
        <v>0</v>
      </c>
      <c r="M4440">
        <v>0</v>
      </c>
      <c r="N4440">
        <v>0</v>
      </c>
    </row>
    <row r="4441" spans="1:15">
      <c r="A4441" t="s">
        <v>24101</v>
      </c>
      <c r="B4441" t="s">
        <v>11644</v>
      </c>
      <c r="C4441" t="s">
        <v>24102</v>
      </c>
      <c r="D4441" t="s">
        <v>24103</v>
      </c>
      <c r="E4441" t="b">
        <v>0</v>
      </c>
      <c r="F4441" t="s">
        <v>11624</v>
      </c>
      <c r="G4441">
        <v>30.032499999999999</v>
      </c>
      <c r="H4441">
        <v>101.007222</v>
      </c>
      <c r="L4441">
        <v>0</v>
      </c>
      <c r="M4441">
        <v>0</v>
      </c>
      <c r="N4441">
        <v>0</v>
      </c>
      <c r="O4441" t="s">
        <v>11905</v>
      </c>
    </row>
    <row r="4442" spans="1:15">
      <c r="A4442" t="s">
        <v>24104</v>
      </c>
      <c r="B4442" t="s">
        <v>5058</v>
      </c>
      <c r="C4442" t="s">
        <v>22195</v>
      </c>
      <c r="D4442" t="s">
        <v>24105</v>
      </c>
      <c r="E4442" t="b">
        <v>0</v>
      </c>
      <c r="F4442" t="s">
        <v>11610</v>
      </c>
      <c r="L4442">
        <v>0</v>
      </c>
      <c r="M4442">
        <v>0</v>
      </c>
      <c r="N4442">
        <v>0</v>
      </c>
    </row>
    <row r="4443" spans="1:15">
      <c r="A4443" t="s">
        <v>24106</v>
      </c>
      <c r="B4443" t="s">
        <v>5058</v>
      </c>
      <c r="C4443" t="s">
        <v>22195</v>
      </c>
      <c r="D4443" t="s">
        <v>24107</v>
      </c>
      <c r="E4443" t="b">
        <v>0</v>
      </c>
      <c r="F4443" t="s">
        <v>11610</v>
      </c>
      <c r="L4443">
        <v>0</v>
      </c>
      <c r="M4443">
        <v>0</v>
      </c>
      <c r="N4443">
        <v>0</v>
      </c>
    </row>
    <row r="4444" spans="1:15">
      <c r="A4444" t="s">
        <v>24108</v>
      </c>
      <c r="B4444" t="s">
        <v>367</v>
      </c>
      <c r="C4444" t="s">
        <v>16228</v>
      </c>
      <c r="D4444" t="s">
        <v>24109</v>
      </c>
      <c r="E4444" t="b">
        <v>0</v>
      </c>
      <c r="F4444" t="s">
        <v>11610</v>
      </c>
      <c r="L4444">
        <v>0</v>
      </c>
      <c r="M4444">
        <v>0</v>
      </c>
      <c r="N4444">
        <v>0</v>
      </c>
    </row>
    <row r="4445" spans="1:15">
      <c r="A4445" t="s">
        <v>24110</v>
      </c>
      <c r="B4445" t="s">
        <v>12532</v>
      </c>
      <c r="C4445" t="s">
        <v>15214</v>
      </c>
      <c r="D4445" t="s">
        <v>24111</v>
      </c>
      <c r="E4445" t="b">
        <v>0</v>
      </c>
      <c r="F4445" t="s">
        <v>11624</v>
      </c>
      <c r="G4445">
        <v>-3.3144300000000002</v>
      </c>
      <c r="H4445">
        <v>141.22</v>
      </c>
      <c r="I4445" t="s">
        <v>24112</v>
      </c>
      <c r="L4445">
        <v>0</v>
      </c>
      <c r="M4445">
        <v>0</v>
      </c>
      <c r="N4445">
        <v>0</v>
      </c>
      <c r="O4445" t="s">
        <v>11660</v>
      </c>
    </row>
    <row r="4446" spans="1:15">
      <c r="A4446" t="s">
        <v>24113</v>
      </c>
      <c r="B4446" t="s">
        <v>11615</v>
      </c>
      <c r="C4446" t="s">
        <v>15222</v>
      </c>
      <c r="D4446" t="s">
        <v>24114</v>
      </c>
      <c r="E4446" t="b">
        <v>0</v>
      </c>
      <c r="F4446" t="s">
        <v>11624</v>
      </c>
      <c r="G4446">
        <v>-3.2864300000000002</v>
      </c>
      <c r="H4446">
        <v>136.42099999999999</v>
      </c>
      <c r="I4446" t="s">
        <v>24115</v>
      </c>
      <c r="L4446">
        <v>0</v>
      </c>
      <c r="M4446">
        <v>0</v>
      </c>
      <c r="N4446">
        <v>0</v>
      </c>
      <c r="O4446" t="s">
        <v>11768</v>
      </c>
    </row>
    <row r="4447" spans="1:15">
      <c r="A4447" t="s">
        <v>24116</v>
      </c>
      <c r="B4447" t="s">
        <v>5058</v>
      </c>
      <c r="C4447" t="s">
        <v>5417</v>
      </c>
      <c r="D4447" t="s">
        <v>24117</v>
      </c>
      <c r="E4447" t="b">
        <v>0</v>
      </c>
      <c r="F4447" t="s">
        <v>11610</v>
      </c>
      <c r="L4447">
        <v>0</v>
      </c>
      <c r="M4447">
        <v>0</v>
      </c>
      <c r="N4447">
        <v>0</v>
      </c>
    </row>
    <row r="4448" spans="1:15">
      <c r="A4448" t="s">
        <v>24118</v>
      </c>
      <c r="B4448" t="s">
        <v>367</v>
      </c>
      <c r="C4448" t="s">
        <v>14327</v>
      </c>
      <c r="D4448" t="s">
        <v>24119</v>
      </c>
      <c r="E4448" t="b">
        <v>0</v>
      </c>
      <c r="F4448" t="s">
        <v>11610</v>
      </c>
      <c r="L4448">
        <v>0</v>
      </c>
      <c r="M4448">
        <v>0</v>
      </c>
      <c r="N4448">
        <v>0</v>
      </c>
    </row>
    <row r="4449" spans="1:15">
      <c r="A4449" t="s">
        <v>24120</v>
      </c>
      <c r="B4449" t="s">
        <v>367</v>
      </c>
      <c r="C4449" t="s">
        <v>24121</v>
      </c>
      <c r="D4449" t="s">
        <v>24122</v>
      </c>
      <c r="E4449" t="b">
        <v>0</v>
      </c>
      <c r="F4449" t="s">
        <v>11610</v>
      </c>
      <c r="L4449">
        <v>0</v>
      </c>
      <c r="M4449">
        <v>0</v>
      </c>
      <c r="N4449">
        <v>0</v>
      </c>
    </row>
    <row r="4450" spans="1:15">
      <c r="A4450" t="s">
        <v>24123</v>
      </c>
      <c r="B4450" t="s">
        <v>6742</v>
      </c>
      <c r="C4450" t="s">
        <v>16872</v>
      </c>
      <c r="D4450" t="s">
        <v>24124</v>
      </c>
      <c r="E4450" t="b">
        <v>0</v>
      </c>
      <c r="F4450" t="s">
        <v>11610</v>
      </c>
      <c r="L4450">
        <v>0</v>
      </c>
      <c r="M4450">
        <v>0</v>
      </c>
      <c r="N4450">
        <v>0</v>
      </c>
    </row>
    <row r="4451" spans="1:15">
      <c r="A4451" t="s">
        <v>24125</v>
      </c>
      <c r="B4451" t="s">
        <v>11644</v>
      </c>
      <c r="C4451" t="s">
        <v>20181</v>
      </c>
      <c r="D4451" t="s">
        <v>24126</v>
      </c>
      <c r="E4451" t="b">
        <v>0</v>
      </c>
      <c r="F4451" t="s">
        <v>11610</v>
      </c>
      <c r="L4451">
        <v>0</v>
      </c>
      <c r="M4451">
        <v>0</v>
      </c>
      <c r="N4451">
        <v>0</v>
      </c>
    </row>
    <row r="4452" spans="1:15">
      <c r="A4452" t="s">
        <v>24127</v>
      </c>
      <c r="B4452" t="s">
        <v>11637</v>
      </c>
      <c r="C4452" t="s">
        <v>19712</v>
      </c>
      <c r="D4452" t="s">
        <v>24128</v>
      </c>
      <c r="E4452" t="b">
        <v>0</v>
      </c>
      <c r="F4452" t="s">
        <v>11624</v>
      </c>
      <c r="G4452">
        <v>27.862300000000001</v>
      </c>
      <c r="H4452">
        <v>84.1357</v>
      </c>
      <c r="I4452" t="s">
        <v>24129</v>
      </c>
      <c r="L4452">
        <v>0</v>
      </c>
      <c r="M4452">
        <v>0</v>
      </c>
      <c r="N4452">
        <v>0</v>
      </c>
      <c r="O4452" t="s">
        <v>15007</v>
      </c>
    </row>
    <row r="4453" spans="1:15">
      <c r="A4453" t="s">
        <v>24130</v>
      </c>
      <c r="B4453" t="s">
        <v>367</v>
      </c>
      <c r="C4453" t="s">
        <v>12974</v>
      </c>
      <c r="D4453" t="s">
        <v>24131</v>
      </c>
      <c r="E4453" t="b">
        <v>0</v>
      </c>
      <c r="F4453" t="s">
        <v>11610</v>
      </c>
      <c r="L4453">
        <v>0</v>
      </c>
      <c r="M4453">
        <v>0</v>
      </c>
      <c r="N4453">
        <v>0</v>
      </c>
    </row>
    <row r="4454" spans="1:15">
      <c r="A4454" t="s">
        <v>24132</v>
      </c>
      <c r="B4454" t="s">
        <v>14798</v>
      </c>
      <c r="C4454" t="s">
        <v>14799</v>
      </c>
      <c r="D4454" t="s">
        <v>24133</v>
      </c>
      <c r="E4454" t="b">
        <v>0</v>
      </c>
      <c r="F4454" t="s">
        <v>11610</v>
      </c>
      <c r="L4454">
        <v>0</v>
      </c>
      <c r="M4454">
        <v>0</v>
      </c>
      <c r="N4454">
        <v>0</v>
      </c>
    </row>
    <row r="4455" spans="1:15">
      <c r="A4455" t="s">
        <v>24134</v>
      </c>
      <c r="B4455" t="s">
        <v>11627</v>
      </c>
      <c r="C4455" t="s">
        <v>11627</v>
      </c>
      <c r="D4455" t="s">
        <v>24135</v>
      </c>
      <c r="E4455" t="b">
        <v>1</v>
      </c>
      <c r="F4455" t="s">
        <v>11624</v>
      </c>
      <c r="I4455" t="s">
        <v>24136</v>
      </c>
      <c r="L4455">
        <v>0</v>
      </c>
      <c r="M4455">
        <v>0</v>
      </c>
      <c r="N4455">
        <v>0</v>
      </c>
    </row>
    <row r="4456" spans="1:15">
      <c r="A4456" t="s">
        <v>17031</v>
      </c>
      <c r="B4456" t="s">
        <v>17030</v>
      </c>
      <c r="C4456" t="s">
        <v>24137</v>
      </c>
      <c r="D4456" t="s">
        <v>24138</v>
      </c>
      <c r="E4456" t="b">
        <v>0</v>
      </c>
      <c r="F4456" t="s">
        <v>11624</v>
      </c>
      <c r="G4456">
        <v>12.1187</v>
      </c>
      <c r="H4456">
        <v>18.799600000000002</v>
      </c>
      <c r="I4456" t="s">
        <v>24139</v>
      </c>
      <c r="L4456">
        <v>0</v>
      </c>
      <c r="M4456">
        <v>0</v>
      </c>
      <c r="N4456">
        <v>3</v>
      </c>
      <c r="O4456" t="s">
        <v>13421</v>
      </c>
    </row>
    <row r="4457" spans="1:15">
      <c r="A4457" t="s">
        <v>24140</v>
      </c>
      <c r="B4457" t="s">
        <v>11637</v>
      </c>
      <c r="C4457" t="s">
        <v>22554</v>
      </c>
      <c r="D4457" t="s">
        <v>24141</v>
      </c>
      <c r="E4457" t="b">
        <v>0</v>
      </c>
      <c r="F4457" t="s">
        <v>11610</v>
      </c>
      <c r="L4457">
        <v>0</v>
      </c>
      <c r="M4457">
        <v>0</v>
      </c>
      <c r="N4457">
        <v>0</v>
      </c>
    </row>
    <row r="4458" spans="1:15">
      <c r="A4458" t="s">
        <v>24142</v>
      </c>
      <c r="B4458" t="s">
        <v>11868</v>
      </c>
      <c r="C4458" t="s">
        <v>24143</v>
      </c>
      <c r="D4458" t="s">
        <v>24144</v>
      </c>
      <c r="E4458" t="b">
        <v>0</v>
      </c>
      <c r="F4458" t="s">
        <v>11610</v>
      </c>
      <c r="L4458">
        <v>0</v>
      </c>
      <c r="M4458">
        <v>0</v>
      </c>
      <c r="N4458">
        <v>0</v>
      </c>
    </row>
    <row r="4459" spans="1:15">
      <c r="A4459" t="s">
        <v>24145</v>
      </c>
      <c r="B4459" t="s">
        <v>11780</v>
      </c>
      <c r="C4459" t="s">
        <v>24146</v>
      </c>
      <c r="D4459" t="s">
        <v>24147</v>
      </c>
      <c r="E4459" t="b">
        <v>0</v>
      </c>
      <c r="F4459" t="s">
        <v>11610</v>
      </c>
      <c r="L4459">
        <v>0</v>
      </c>
      <c r="M4459">
        <v>0</v>
      </c>
      <c r="N4459">
        <v>0</v>
      </c>
    </row>
    <row r="4460" spans="1:15">
      <c r="A4460" t="s">
        <v>24148</v>
      </c>
      <c r="B4460" t="s">
        <v>17030</v>
      </c>
      <c r="C4460" t="s">
        <v>17570</v>
      </c>
      <c r="D4460" t="s">
        <v>24149</v>
      </c>
      <c r="E4460" t="b">
        <v>0</v>
      </c>
      <c r="F4460" t="s">
        <v>11624</v>
      </c>
      <c r="G4460">
        <v>12.2598</v>
      </c>
      <c r="H4460">
        <v>25.3127</v>
      </c>
      <c r="I4460" t="s">
        <v>24150</v>
      </c>
      <c r="L4460">
        <v>0</v>
      </c>
      <c r="M4460">
        <v>0</v>
      </c>
      <c r="N4460">
        <v>2</v>
      </c>
      <c r="O4460" t="s">
        <v>11910</v>
      </c>
    </row>
    <row r="4461" spans="1:15">
      <c r="A4461" t="s">
        <v>24151</v>
      </c>
      <c r="B4461" t="s">
        <v>12311</v>
      </c>
      <c r="C4461" t="s">
        <v>22701</v>
      </c>
      <c r="D4461" t="s">
        <v>24152</v>
      </c>
      <c r="E4461" t="b">
        <v>0</v>
      </c>
      <c r="F4461" t="s">
        <v>11624</v>
      </c>
      <c r="G4461">
        <v>42.425699999999999</v>
      </c>
      <c r="H4461">
        <v>47.438800000000001</v>
      </c>
      <c r="I4461" t="s">
        <v>24153</v>
      </c>
      <c r="L4461">
        <v>0</v>
      </c>
      <c r="M4461">
        <v>0</v>
      </c>
      <c r="N4461">
        <v>15</v>
      </c>
      <c r="O4461" t="s">
        <v>24154</v>
      </c>
    </row>
    <row r="4462" spans="1:15">
      <c r="A4462" t="s">
        <v>22701</v>
      </c>
      <c r="B4462" t="s">
        <v>12311</v>
      </c>
      <c r="C4462" t="s">
        <v>15242</v>
      </c>
      <c r="D4462" t="s">
        <v>24155</v>
      </c>
      <c r="E4462" t="b">
        <v>0</v>
      </c>
      <c r="F4462" t="s">
        <v>11622</v>
      </c>
      <c r="L4462">
        <v>1</v>
      </c>
      <c r="M4462">
        <v>5</v>
      </c>
      <c r="N4462">
        <v>24</v>
      </c>
    </row>
    <row r="4463" spans="1:15">
      <c r="A4463" t="s">
        <v>7704</v>
      </c>
      <c r="B4463" t="s">
        <v>11637</v>
      </c>
      <c r="C4463" t="s">
        <v>12510</v>
      </c>
      <c r="D4463" t="s">
        <v>24156</v>
      </c>
      <c r="E4463" t="b">
        <v>0</v>
      </c>
      <c r="F4463" t="s">
        <v>11624</v>
      </c>
      <c r="G4463">
        <v>31.040500000000002</v>
      </c>
      <c r="H4463">
        <v>67.359300000000005</v>
      </c>
      <c r="I4463" t="s">
        <v>7705</v>
      </c>
      <c r="L4463">
        <v>0</v>
      </c>
      <c r="M4463">
        <v>0</v>
      </c>
      <c r="N4463">
        <v>2</v>
      </c>
      <c r="O4463" t="s">
        <v>24157</v>
      </c>
    </row>
    <row r="4464" spans="1:15">
      <c r="A4464" t="s">
        <v>24158</v>
      </c>
      <c r="B4464" t="s">
        <v>12250</v>
      </c>
      <c r="C4464" t="s">
        <v>24159</v>
      </c>
      <c r="D4464" t="s">
        <v>24160</v>
      </c>
      <c r="E4464" t="b">
        <v>0</v>
      </c>
      <c r="F4464" t="s">
        <v>11610</v>
      </c>
      <c r="L4464">
        <v>0</v>
      </c>
      <c r="M4464">
        <v>0</v>
      </c>
      <c r="N4464">
        <v>0</v>
      </c>
    </row>
    <row r="4465" spans="1:15">
      <c r="A4465" t="s">
        <v>24161</v>
      </c>
      <c r="B4465" t="s">
        <v>11607</v>
      </c>
      <c r="C4465" t="s">
        <v>24162</v>
      </c>
      <c r="D4465" t="s">
        <v>24163</v>
      </c>
      <c r="E4465" t="b">
        <v>0</v>
      </c>
      <c r="F4465" t="s">
        <v>11610</v>
      </c>
      <c r="L4465">
        <v>0</v>
      </c>
      <c r="M4465">
        <v>0</v>
      </c>
      <c r="N4465">
        <v>0</v>
      </c>
    </row>
    <row r="4466" spans="1:15">
      <c r="A4466" t="s">
        <v>24164</v>
      </c>
      <c r="B4466" t="s">
        <v>11637</v>
      </c>
      <c r="C4466" t="s">
        <v>148</v>
      </c>
      <c r="D4466" t="s">
        <v>24165</v>
      </c>
      <c r="E4466" t="b">
        <v>0</v>
      </c>
      <c r="F4466" t="s">
        <v>11610</v>
      </c>
      <c r="L4466">
        <v>0</v>
      </c>
      <c r="M4466">
        <v>0</v>
      </c>
      <c r="N4466">
        <v>0</v>
      </c>
    </row>
    <row r="4467" spans="1:15">
      <c r="A4467" t="s">
        <v>24166</v>
      </c>
      <c r="B4467" t="s">
        <v>12250</v>
      </c>
      <c r="C4467" t="s">
        <v>24167</v>
      </c>
      <c r="D4467" t="s">
        <v>24168</v>
      </c>
      <c r="E4467" t="b">
        <v>0</v>
      </c>
      <c r="F4467" t="s">
        <v>11624</v>
      </c>
      <c r="G4467">
        <v>50.622999999999998</v>
      </c>
      <c r="H4467">
        <v>99.444900000000004</v>
      </c>
      <c r="I4467" t="s">
        <v>24169</v>
      </c>
      <c r="L4467">
        <v>0</v>
      </c>
      <c r="M4467">
        <v>0</v>
      </c>
      <c r="N4467">
        <v>0</v>
      </c>
      <c r="O4467" t="s">
        <v>24170</v>
      </c>
    </row>
    <row r="4468" spans="1:15">
      <c r="A4468" t="s">
        <v>24171</v>
      </c>
      <c r="B4468" t="s">
        <v>11644</v>
      </c>
      <c r="C4468" t="s">
        <v>21425</v>
      </c>
      <c r="D4468" t="s">
        <v>24172</v>
      </c>
      <c r="E4468" t="b">
        <v>0</v>
      </c>
      <c r="F4468" t="s">
        <v>11624</v>
      </c>
      <c r="G4468">
        <v>23.992000000000001</v>
      </c>
      <c r="H4468">
        <v>91.3339</v>
      </c>
      <c r="I4468" t="s">
        <v>24173</v>
      </c>
      <c r="L4468">
        <v>0</v>
      </c>
      <c r="M4468">
        <v>0</v>
      </c>
      <c r="N4468">
        <v>0</v>
      </c>
      <c r="O4468" t="s">
        <v>15054</v>
      </c>
    </row>
    <row r="4469" spans="1:15">
      <c r="A4469" t="s">
        <v>15879</v>
      </c>
      <c r="B4469" t="s">
        <v>10597</v>
      </c>
      <c r="C4469" t="s">
        <v>24174</v>
      </c>
      <c r="D4469" t="s">
        <v>24175</v>
      </c>
      <c r="E4469" t="b">
        <v>0</v>
      </c>
      <c r="F4469" t="s">
        <v>11624</v>
      </c>
      <c r="G4469">
        <v>-32.702100000000002</v>
      </c>
      <c r="H4469">
        <v>142.69499999999999</v>
      </c>
      <c r="I4469" t="s">
        <v>24176</v>
      </c>
      <c r="L4469">
        <v>0</v>
      </c>
      <c r="M4469">
        <v>0</v>
      </c>
      <c r="N4469">
        <v>3</v>
      </c>
      <c r="O4469" t="s">
        <v>12107</v>
      </c>
    </row>
    <row r="4470" spans="1:15">
      <c r="A4470" t="s">
        <v>22347</v>
      </c>
      <c r="B4470" t="s">
        <v>11644</v>
      </c>
      <c r="C4470" t="s">
        <v>24177</v>
      </c>
      <c r="D4470" t="s">
        <v>24178</v>
      </c>
      <c r="E4470" t="b">
        <v>0</v>
      </c>
      <c r="F4470" t="s">
        <v>11622</v>
      </c>
      <c r="L4470">
        <v>1</v>
      </c>
      <c r="M4470">
        <v>3</v>
      </c>
      <c r="N4470">
        <v>4</v>
      </c>
    </row>
    <row r="4471" spans="1:15">
      <c r="A4471" t="s">
        <v>20792</v>
      </c>
      <c r="B4471" t="s">
        <v>11644</v>
      </c>
      <c r="C4471" t="s">
        <v>22347</v>
      </c>
      <c r="D4471" t="s">
        <v>24179</v>
      </c>
      <c r="E4471" t="b">
        <v>0</v>
      </c>
      <c r="F4471" t="s">
        <v>11622</v>
      </c>
      <c r="L4471">
        <v>0</v>
      </c>
      <c r="M4471">
        <v>2</v>
      </c>
      <c r="N4471">
        <v>4</v>
      </c>
    </row>
    <row r="4472" spans="1:15">
      <c r="A4472" t="s">
        <v>24180</v>
      </c>
      <c r="B4472" t="s">
        <v>11644</v>
      </c>
      <c r="C4472" t="s">
        <v>20792</v>
      </c>
      <c r="D4472" t="s">
        <v>24181</v>
      </c>
      <c r="E4472" t="b">
        <v>0</v>
      </c>
      <c r="F4472" t="s">
        <v>11624</v>
      </c>
      <c r="G4472">
        <v>29.8629</v>
      </c>
      <c r="H4472">
        <v>80.543899999999994</v>
      </c>
      <c r="I4472" t="s">
        <v>24182</v>
      </c>
      <c r="L4472">
        <v>0</v>
      </c>
      <c r="M4472">
        <v>0</v>
      </c>
      <c r="N4472">
        <v>0</v>
      </c>
      <c r="O4472" t="s">
        <v>12524</v>
      </c>
    </row>
    <row r="4473" spans="1:15">
      <c r="A4473" t="s">
        <v>24183</v>
      </c>
      <c r="B4473" t="s">
        <v>367</v>
      </c>
      <c r="C4473" t="s">
        <v>21620</v>
      </c>
      <c r="D4473" t="s">
        <v>24184</v>
      </c>
      <c r="E4473" t="b">
        <v>0</v>
      </c>
      <c r="F4473" t="s">
        <v>11624</v>
      </c>
      <c r="G4473">
        <v>2.5443500000000001</v>
      </c>
      <c r="H4473">
        <v>111.536</v>
      </c>
      <c r="I4473" t="s">
        <v>24185</v>
      </c>
      <c r="L4473">
        <v>0</v>
      </c>
      <c r="M4473">
        <v>0</v>
      </c>
      <c r="N4473">
        <v>2</v>
      </c>
      <c r="O4473" t="s">
        <v>11672</v>
      </c>
    </row>
    <row r="4474" spans="1:15">
      <c r="A4474" t="s">
        <v>24186</v>
      </c>
      <c r="B4474" t="s">
        <v>367</v>
      </c>
      <c r="C4474" t="s">
        <v>24183</v>
      </c>
      <c r="D4474" t="s">
        <v>24187</v>
      </c>
      <c r="E4474" t="b">
        <v>0</v>
      </c>
      <c r="F4474" t="s">
        <v>11610</v>
      </c>
      <c r="L4474">
        <v>0</v>
      </c>
      <c r="M4474">
        <v>0</v>
      </c>
      <c r="N4474">
        <v>0</v>
      </c>
    </row>
    <row r="4475" spans="1:15">
      <c r="A4475" t="s">
        <v>24188</v>
      </c>
      <c r="B4475" t="s">
        <v>11637</v>
      </c>
      <c r="C4475" t="s">
        <v>13077</v>
      </c>
      <c r="D4475" t="s">
        <v>24189</v>
      </c>
      <c r="E4475" t="b">
        <v>0</v>
      </c>
      <c r="F4475" t="s">
        <v>11610</v>
      </c>
      <c r="L4475">
        <v>0</v>
      </c>
      <c r="M4475">
        <v>0</v>
      </c>
      <c r="N4475">
        <v>0</v>
      </c>
    </row>
    <row r="4476" spans="1:15">
      <c r="A4476" t="s">
        <v>24190</v>
      </c>
      <c r="B4476" t="s">
        <v>17030</v>
      </c>
      <c r="C4476" t="s">
        <v>24137</v>
      </c>
      <c r="D4476" t="s">
        <v>24191</v>
      </c>
      <c r="E4476" t="b">
        <v>0</v>
      </c>
      <c r="F4476" t="s">
        <v>11624</v>
      </c>
      <c r="G4476">
        <v>11.9861</v>
      </c>
      <c r="H4476">
        <v>22.2013</v>
      </c>
      <c r="I4476" t="s">
        <v>24192</v>
      </c>
      <c r="L4476">
        <v>0</v>
      </c>
      <c r="M4476">
        <v>0</v>
      </c>
      <c r="N4476">
        <v>2</v>
      </c>
      <c r="O4476" t="s">
        <v>24193</v>
      </c>
    </row>
    <row r="4477" spans="1:15">
      <c r="A4477" t="s">
        <v>24194</v>
      </c>
      <c r="B4477" t="s">
        <v>11644</v>
      </c>
      <c r="C4477" t="s">
        <v>17422</v>
      </c>
      <c r="D4477" t="s">
        <v>24195</v>
      </c>
      <c r="E4477" t="b">
        <v>0</v>
      </c>
      <c r="F4477" t="s">
        <v>11610</v>
      </c>
      <c r="L4477">
        <v>0</v>
      </c>
      <c r="M4477">
        <v>0</v>
      </c>
      <c r="N4477">
        <v>0</v>
      </c>
    </row>
    <row r="4478" spans="1:15">
      <c r="A4478" t="s">
        <v>24196</v>
      </c>
      <c r="B4478" t="s">
        <v>367</v>
      </c>
      <c r="C4478" t="s">
        <v>20725</v>
      </c>
      <c r="D4478" t="s">
        <v>24197</v>
      </c>
      <c r="E4478" t="b">
        <v>0</v>
      </c>
      <c r="F4478" t="s">
        <v>11610</v>
      </c>
      <c r="L4478">
        <v>0</v>
      </c>
      <c r="M4478">
        <v>0</v>
      </c>
      <c r="N4478">
        <v>0</v>
      </c>
    </row>
    <row r="4479" spans="1:15">
      <c r="A4479" t="s">
        <v>24198</v>
      </c>
      <c r="B4479" t="s">
        <v>14524</v>
      </c>
      <c r="C4479" t="s">
        <v>23149</v>
      </c>
      <c r="D4479" t="s">
        <v>24199</v>
      </c>
      <c r="E4479" t="b">
        <v>0</v>
      </c>
      <c r="F4479" t="s">
        <v>11610</v>
      </c>
      <c r="L4479">
        <v>0</v>
      </c>
      <c r="M4479">
        <v>0</v>
      </c>
      <c r="N4479">
        <v>0</v>
      </c>
    </row>
    <row r="4480" spans="1:15">
      <c r="A4480" t="s">
        <v>24200</v>
      </c>
      <c r="B4480" t="s">
        <v>11627</v>
      </c>
      <c r="C4480" t="s">
        <v>11627</v>
      </c>
      <c r="D4480" t="s">
        <v>24201</v>
      </c>
      <c r="E4480" t="b">
        <v>1</v>
      </c>
      <c r="F4480" t="s">
        <v>11624</v>
      </c>
      <c r="G4480">
        <v>38.316099999999999</v>
      </c>
      <c r="H4480">
        <v>70.764300000000006</v>
      </c>
      <c r="I4480" t="s">
        <v>24202</v>
      </c>
      <c r="L4480">
        <v>0</v>
      </c>
      <c r="M4480">
        <v>0</v>
      </c>
      <c r="N4480">
        <v>0</v>
      </c>
      <c r="O4480" t="s">
        <v>12131</v>
      </c>
    </row>
    <row r="4481" spans="1:15">
      <c r="A4481" t="s">
        <v>24203</v>
      </c>
      <c r="B4481" t="s">
        <v>11844</v>
      </c>
      <c r="C4481" t="s">
        <v>2278</v>
      </c>
      <c r="D4481" t="s">
        <v>24204</v>
      </c>
      <c r="E4481" t="b">
        <v>0</v>
      </c>
      <c r="F4481" t="s">
        <v>11610</v>
      </c>
      <c r="L4481">
        <v>0</v>
      </c>
      <c r="M4481">
        <v>0</v>
      </c>
      <c r="N4481">
        <v>0</v>
      </c>
    </row>
    <row r="4482" spans="1:15">
      <c r="A4482" t="s">
        <v>24205</v>
      </c>
      <c r="B4482" t="s">
        <v>367</v>
      </c>
      <c r="C4482" t="s">
        <v>12480</v>
      </c>
      <c r="D4482" t="s">
        <v>24206</v>
      </c>
      <c r="E4482" t="b">
        <v>0</v>
      </c>
      <c r="F4482" t="s">
        <v>11610</v>
      </c>
      <c r="L4482">
        <v>0</v>
      </c>
      <c r="M4482">
        <v>0</v>
      </c>
      <c r="N4482">
        <v>0</v>
      </c>
    </row>
    <row r="4483" spans="1:15">
      <c r="A4483" t="s">
        <v>24207</v>
      </c>
      <c r="B4483" t="s">
        <v>11637</v>
      </c>
      <c r="C4483" t="s">
        <v>24208</v>
      </c>
      <c r="D4483" t="s">
        <v>24209</v>
      </c>
      <c r="E4483" t="b">
        <v>0</v>
      </c>
      <c r="F4483" t="s">
        <v>11610</v>
      </c>
      <c r="L4483">
        <v>0</v>
      </c>
      <c r="M4483">
        <v>0</v>
      </c>
      <c r="N4483">
        <v>0</v>
      </c>
    </row>
    <row r="4484" spans="1:15">
      <c r="A4484" t="s">
        <v>24210</v>
      </c>
      <c r="B4484" t="s">
        <v>6742</v>
      </c>
      <c r="C4484" t="s">
        <v>18374</v>
      </c>
      <c r="D4484" t="s">
        <v>24211</v>
      </c>
      <c r="E4484" t="b">
        <v>0</v>
      </c>
      <c r="F4484" t="s">
        <v>11610</v>
      </c>
      <c r="L4484">
        <v>0</v>
      </c>
      <c r="M4484">
        <v>0</v>
      </c>
      <c r="N4484">
        <v>0</v>
      </c>
    </row>
    <row r="4485" spans="1:15">
      <c r="A4485" t="s">
        <v>23918</v>
      </c>
      <c r="B4485" t="s">
        <v>11607</v>
      </c>
      <c r="C4485" t="s">
        <v>24212</v>
      </c>
      <c r="D4485" t="s">
        <v>24213</v>
      </c>
      <c r="E4485" t="b">
        <v>0</v>
      </c>
      <c r="F4485" t="s">
        <v>11624</v>
      </c>
      <c r="G4485">
        <v>9.9324999999999992</v>
      </c>
      <c r="H4485">
        <v>9.5183800000000005</v>
      </c>
      <c r="I4485" t="s">
        <v>24214</v>
      </c>
      <c r="L4485">
        <v>0</v>
      </c>
      <c r="M4485">
        <v>0</v>
      </c>
      <c r="N4485">
        <v>4</v>
      </c>
      <c r="O4485" t="s">
        <v>11693</v>
      </c>
    </row>
    <row r="4486" spans="1:15">
      <c r="A4486" t="s">
        <v>20960</v>
      </c>
      <c r="B4486" t="s">
        <v>367</v>
      </c>
      <c r="C4486" t="s">
        <v>23682</v>
      </c>
      <c r="D4486" t="s">
        <v>24215</v>
      </c>
      <c r="E4486" t="b">
        <v>0</v>
      </c>
      <c r="F4486" t="s">
        <v>11622</v>
      </c>
      <c r="L4486">
        <v>0</v>
      </c>
      <c r="M4486">
        <v>2</v>
      </c>
      <c r="N4486">
        <v>3</v>
      </c>
    </row>
    <row r="4487" spans="1:15">
      <c r="A4487" t="s">
        <v>24216</v>
      </c>
      <c r="B4487" t="s">
        <v>10597</v>
      </c>
      <c r="C4487" t="s">
        <v>668</v>
      </c>
      <c r="D4487" t="s">
        <v>24217</v>
      </c>
      <c r="E4487" t="b">
        <v>0</v>
      </c>
      <c r="F4487" t="s">
        <v>11610</v>
      </c>
      <c r="L4487">
        <v>0</v>
      </c>
      <c r="M4487">
        <v>0</v>
      </c>
      <c r="N4487">
        <v>0</v>
      </c>
    </row>
    <row r="4488" spans="1:15">
      <c r="A4488" t="s">
        <v>24218</v>
      </c>
      <c r="B4488" t="s">
        <v>11644</v>
      </c>
      <c r="C4488" t="s">
        <v>22300</v>
      </c>
      <c r="D4488" t="s">
        <v>24219</v>
      </c>
      <c r="E4488" t="b">
        <v>0</v>
      </c>
      <c r="F4488" t="s">
        <v>11610</v>
      </c>
      <c r="L4488">
        <v>0</v>
      </c>
      <c r="M4488">
        <v>0</v>
      </c>
      <c r="N4488">
        <v>0</v>
      </c>
    </row>
    <row r="4489" spans="1:15">
      <c r="A4489" t="s">
        <v>16081</v>
      </c>
      <c r="B4489" t="s">
        <v>11757</v>
      </c>
      <c r="C4489" t="s">
        <v>20443</v>
      </c>
      <c r="D4489" t="s">
        <v>24220</v>
      </c>
      <c r="E4489" t="b">
        <v>0</v>
      </c>
      <c r="F4489" t="s">
        <v>11624</v>
      </c>
      <c r="G4489">
        <v>-4.4131</v>
      </c>
      <c r="H4489">
        <v>35.232100000000003</v>
      </c>
      <c r="I4489" t="s">
        <v>24221</v>
      </c>
      <c r="L4489">
        <v>0</v>
      </c>
      <c r="M4489">
        <v>0</v>
      </c>
      <c r="N4489">
        <v>4</v>
      </c>
      <c r="O4489" t="s">
        <v>11635</v>
      </c>
    </row>
    <row r="4490" spans="1:15">
      <c r="A4490" t="s">
        <v>24222</v>
      </c>
      <c r="B4490" t="s">
        <v>11644</v>
      </c>
      <c r="C4490" t="s">
        <v>24223</v>
      </c>
      <c r="D4490" t="s">
        <v>24224</v>
      </c>
      <c r="E4490" t="b">
        <v>0</v>
      </c>
      <c r="F4490" t="s">
        <v>11610</v>
      </c>
      <c r="L4490">
        <v>0</v>
      </c>
      <c r="M4490">
        <v>0</v>
      </c>
      <c r="N4490">
        <v>0</v>
      </c>
    </row>
    <row r="4491" spans="1:15">
      <c r="A4491" t="s">
        <v>24225</v>
      </c>
      <c r="B4491" t="s">
        <v>2975</v>
      </c>
      <c r="C4491" t="s">
        <v>24226</v>
      </c>
      <c r="D4491" t="s">
        <v>24227</v>
      </c>
      <c r="E4491" t="b">
        <v>0</v>
      </c>
      <c r="F4491" t="s">
        <v>11610</v>
      </c>
      <c r="L4491">
        <v>0</v>
      </c>
      <c r="M4491">
        <v>0</v>
      </c>
      <c r="N4491">
        <v>0</v>
      </c>
    </row>
    <row r="4492" spans="1:15">
      <c r="A4492" t="s">
        <v>24228</v>
      </c>
      <c r="B4492" t="s">
        <v>11607</v>
      </c>
      <c r="C4492" t="s">
        <v>14255</v>
      </c>
      <c r="D4492" t="s">
        <v>24229</v>
      </c>
      <c r="E4492" t="b">
        <v>0</v>
      </c>
      <c r="F4492" t="s">
        <v>11610</v>
      </c>
      <c r="L4492">
        <v>0</v>
      </c>
      <c r="M4492">
        <v>0</v>
      </c>
      <c r="N4492">
        <v>0</v>
      </c>
    </row>
    <row r="4493" spans="1:15">
      <c r="A4493" t="s">
        <v>24230</v>
      </c>
      <c r="B4493" t="s">
        <v>367</v>
      </c>
      <c r="C4493" t="s">
        <v>19402</v>
      </c>
      <c r="D4493" t="s">
        <v>24231</v>
      </c>
      <c r="E4493" t="b">
        <v>0</v>
      </c>
      <c r="F4493" t="s">
        <v>11610</v>
      </c>
      <c r="L4493">
        <v>0</v>
      </c>
      <c r="M4493">
        <v>0</v>
      </c>
      <c r="N4493">
        <v>0</v>
      </c>
    </row>
    <row r="4494" spans="1:15">
      <c r="A4494" t="s">
        <v>24232</v>
      </c>
      <c r="B4494" t="s">
        <v>10597</v>
      </c>
      <c r="C4494" t="s">
        <v>24233</v>
      </c>
      <c r="D4494" t="s">
        <v>24234</v>
      </c>
      <c r="E4494" t="b">
        <v>0</v>
      </c>
      <c r="F4494" t="s">
        <v>11610</v>
      </c>
      <c r="I4494" t="s">
        <v>24235</v>
      </c>
      <c r="L4494">
        <v>0</v>
      </c>
      <c r="M4494">
        <v>0</v>
      </c>
      <c r="N4494">
        <v>0</v>
      </c>
      <c r="O4494" t="s">
        <v>12107</v>
      </c>
    </row>
    <row r="4495" spans="1:15">
      <c r="A4495" t="s">
        <v>24236</v>
      </c>
      <c r="B4495" t="s">
        <v>11637</v>
      </c>
      <c r="C4495" t="s">
        <v>21288</v>
      </c>
      <c r="D4495" t="s">
        <v>24237</v>
      </c>
      <c r="E4495" t="b">
        <v>0</v>
      </c>
      <c r="F4495" t="s">
        <v>11610</v>
      </c>
      <c r="L4495">
        <v>0</v>
      </c>
      <c r="M4495">
        <v>0</v>
      </c>
      <c r="N4495">
        <v>0</v>
      </c>
    </row>
    <row r="4496" spans="1:15">
      <c r="A4496" t="s">
        <v>24238</v>
      </c>
      <c r="B4496" t="s">
        <v>11637</v>
      </c>
      <c r="C4496" t="s">
        <v>24239</v>
      </c>
      <c r="D4496" t="s">
        <v>24240</v>
      </c>
      <c r="E4496" t="b">
        <v>0</v>
      </c>
      <c r="F4496" t="s">
        <v>11610</v>
      </c>
      <c r="L4496">
        <v>0</v>
      </c>
      <c r="M4496">
        <v>0</v>
      </c>
      <c r="N4496">
        <v>0</v>
      </c>
    </row>
    <row r="4497" spans="1:15">
      <c r="A4497" t="s">
        <v>24241</v>
      </c>
      <c r="B4497" t="s">
        <v>11615</v>
      </c>
      <c r="C4497" t="s">
        <v>24242</v>
      </c>
      <c r="D4497" t="s">
        <v>24243</v>
      </c>
      <c r="E4497" t="b">
        <v>0</v>
      </c>
      <c r="F4497" t="s">
        <v>11610</v>
      </c>
      <c r="L4497">
        <v>0</v>
      </c>
      <c r="M4497">
        <v>0</v>
      </c>
      <c r="N4497">
        <v>0</v>
      </c>
    </row>
    <row r="4498" spans="1:15">
      <c r="A4498" t="s">
        <v>20636</v>
      </c>
      <c r="B4498" t="s">
        <v>12250</v>
      </c>
      <c r="C4498" t="s">
        <v>12250</v>
      </c>
      <c r="D4498" t="s">
        <v>24244</v>
      </c>
      <c r="E4498" t="b">
        <v>0</v>
      </c>
      <c r="F4498" t="s">
        <v>11624</v>
      </c>
      <c r="G4498">
        <v>48</v>
      </c>
      <c r="H4498">
        <v>124</v>
      </c>
      <c r="I4498" t="s">
        <v>24245</v>
      </c>
      <c r="L4498">
        <v>0</v>
      </c>
      <c r="M4498">
        <v>0</v>
      </c>
      <c r="N4498">
        <v>3</v>
      </c>
      <c r="O4498" t="s">
        <v>24246</v>
      </c>
    </row>
    <row r="4499" spans="1:15">
      <c r="A4499" t="s">
        <v>24247</v>
      </c>
      <c r="B4499" t="s">
        <v>367</v>
      </c>
      <c r="C4499" t="s">
        <v>4260</v>
      </c>
      <c r="D4499" t="s">
        <v>24248</v>
      </c>
      <c r="E4499" t="b">
        <v>0</v>
      </c>
      <c r="F4499" t="s">
        <v>11610</v>
      </c>
      <c r="L4499">
        <v>0</v>
      </c>
      <c r="M4499">
        <v>0</v>
      </c>
      <c r="N4499">
        <v>0</v>
      </c>
    </row>
    <row r="4500" spans="1:15">
      <c r="A4500" t="s">
        <v>24249</v>
      </c>
      <c r="B4500" t="s">
        <v>11637</v>
      </c>
      <c r="C4500" t="s">
        <v>24250</v>
      </c>
      <c r="D4500" t="s">
        <v>24251</v>
      </c>
      <c r="E4500" t="b">
        <v>0</v>
      </c>
      <c r="F4500" t="s">
        <v>11610</v>
      </c>
      <c r="L4500">
        <v>0</v>
      </c>
      <c r="M4500">
        <v>0</v>
      </c>
      <c r="N4500">
        <v>0</v>
      </c>
    </row>
    <row r="4501" spans="1:15">
      <c r="A4501" t="s">
        <v>24252</v>
      </c>
      <c r="B4501" t="s">
        <v>367</v>
      </c>
      <c r="C4501" t="s">
        <v>24253</v>
      </c>
      <c r="D4501" t="s">
        <v>24254</v>
      </c>
      <c r="E4501" t="b">
        <v>0</v>
      </c>
      <c r="F4501" t="s">
        <v>11624</v>
      </c>
      <c r="G4501">
        <v>7.2261300000000004</v>
      </c>
      <c r="H4501">
        <v>126.458</v>
      </c>
      <c r="I4501" t="s">
        <v>24255</v>
      </c>
      <c r="L4501">
        <v>0</v>
      </c>
      <c r="M4501">
        <v>0</v>
      </c>
      <c r="N4501">
        <v>0</v>
      </c>
      <c r="O4501" t="s">
        <v>11749</v>
      </c>
    </row>
    <row r="4502" spans="1:15">
      <c r="A4502" t="s">
        <v>24256</v>
      </c>
      <c r="B4502" t="s">
        <v>11637</v>
      </c>
      <c r="C4502" t="s">
        <v>21255</v>
      </c>
      <c r="D4502" t="s">
        <v>24257</v>
      </c>
      <c r="E4502" t="b">
        <v>0</v>
      </c>
      <c r="F4502" t="s">
        <v>11610</v>
      </c>
      <c r="L4502">
        <v>0</v>
      </c>
      <c r="M4502">
        <v>0</v>
      </c>
      <c r="N4502">
        <v>0</v>
      </c>
    </row>
    <row r="4503" spans="1:15">
      <c r="A4503" t="s">
        <v>24258</v>
      </c>
      <c r="B4503" t="s">
        <v>367</v>
      </c>
      <c r="C4503" t="s">
        <v>16048</v>
      </c>
      <c r="D4503" t="s">
        <v>24259</v>
      </c>
      <c r="E4503" t="b">
        <v>0</v>
      </c>
      <c r="F4503" t="s">
        <v>11610</v>
      </c>
      <c r="L4503">
        <v>0</v>
      </c>
      <c r="M4503">
        <v>0</v>
      </c>
      <c r="N4503">
        <v>0</v>
      </c>
    </row>
    <row r="4504" spans="1:15">
      <c r="A4504" t="s">
        <v>24260</v>
      </c>
      <c r="B4504" t="s">
        <v>367</v>
      </c>
      <c r="C4504" t="s">
        <v>24261</v>
      </c>
      <c r="D4504" t="s">
        <v>24262</v>
      </c>
      <c r="E4504" t="b">
        <v>0</v>
      </c>
      <c r="F4504" t="s">
        <v>11624</v>
      </c>
      <c r="G4504">
        <v>-10.1692</v>
      </c>
      <c r="H4504">
        <v>149.999</v>
      </c>
      <c r="I4504" t="s">
        <v>24263</v>
      </c>
      <c r="L4504">
        <v>0</v>
      </c>
      <c r="M4504">
        <v>0</v>
      </c>
      <c r="N4504">
        <v>0</v>
      </c>
      <c r="O4504" t="s">
        <v>11660</v>
      </c>
    </row>
    <row r="4505" spans="1:15">
      <c r="A4505" t="s">
        <v>24264</v>
      </c>
      <c r="B4505" t="s">
        <v>367</v>
      </c>
      <c r="C4505" t="s">
        <v>24265</v>
      </c>
      <c r="D4505" t="s">
        <v>24266</v>
      </c>
      <c r="E4505" t="b">
        <v>0</v>
      </c>
      <c r="F4505" t="s">
        <v>11610</v>
      </c>
      <c r="L4505">
        <v>0</v>
      </c>
      <c r="M4505">
        <v>0</v>
      </c>
      <c r="N4505">
        <v>0</v>
      </c>
    </row>
    <row r="4506" spans="1:15">
      <c r="A4506" t="s">
        <v>24267</v>
      </c>
      <c r="B4506" t="s">
        <v>367</v>
      </c>
      <c r="C4506" t="s">
        <v>23864</v>
      </c>
      <c r="D4506" t="s">
        <v>24268</v>
      </c>
      <c r="E4506" t="b">
        <v>0</v>
      </c>
      <c r="F4506" t="s">
        <v>11624</v>
      </c>
      <c r="G4506">
        <v>-7.7632399999999997</v>
      </c>
      <c r="H4506">
        <v>130.06</v>
      </c>
      <c r="I4506" t="s">
        <v>24269</v>
      </c>
      <c r="L4506">
        <v>0</v>
      </c>
      <c r="M4506">
        <v>0</v>
      </c>
      <c r="N4506">
        <v>0</v>
      </c>
      <c r="O4506" t="s">
        <v>11768</v>
      </c>
    </row>
    <row r="4507" spans="1:15">
      <c r="A4507" t="s">
        <v>24270</v>
      </c>
      <c r="B4507" t="s">
        <v>11644</v>
      </c>
      <c r="C4507" t="s">
        <v>24271</v>
      </c>
      <c r="D4507" t="s">
        <v>24272</v>
      </c>
      <c r="E4507" t="b">
        <v>0</v>
      </c>
      <c r="F4507" t="s">
        <v>11610</v>
      </c>
      <c r="L4507">
        <v>0</v>
      </c>
      <c r="M4507">
        <v>0</v>
      </c>
      <c r="N4507">
        <v>0</v>
      </c>
    </row>
    <row r="4508" spans="1:15">
      <c r="A4508" t="s">
        <v>24273</v>
      </c>
      <c r="B4508" t="s">
        <v>13571</v>
      </c>
      <c r="C4508" t="s">
        <v>21507</v>
      </c>
      <c r="D4508" t="s">
        <v>24274</v>
      </c>
      <c r="E4508" t="b">
        <v>0</v>
      </c>
      <c r="F4508" t="s">
        <v>11622</v>
      </c>
      <c r="L4508">
        <v>0</v>
      </c>
      <c r="M4508">
        <v>3</v>
      </c>
      <c r="N4508">
        <v>0</v>
      </c>
    </row>
    <row r="4509" spans="1:15">
      <c r="A4509" t="s">
        <v>24275</v>
      </c>
      <c r="B4509" t="s">
        <v>13571</v>
      </c>
      <c r="C4509" t="s">
        <v>24273</v>
      </c>
      <c r="D4509" t="s">
        <v>24276</v>
      </c>
      <c r="E4509" t="b">
        <v>0</v>
      </c>
      <c r="F4509" t="s">
        <v>11624</v>
      </c>
      <c r="G4509">
        <v>6.95</v>
      </c>
      <c r="H4509">
        <v>37</v>
      </c>
      <c r="I4509" t="s">
        <v>24277</v>
      </c>
      <c r="L4509">
        <v>0</v>
      </c>
      <c r="M4509">
        <v>0</v>
      </c>
      <c r="N4509">
        <v>0</v>
      </c>
      <c r="O4509" t="s">
        <v>11625</v>
      </c>
    </row>
    <row r="4510" spans="1:15">
      <c r="A4510" t="s">
        <v>24278</v>
      </c>
      <c r="B4510" t="s">
        <v>11607</v>
      </c>
      <c r="C4510" t="s">
        <v>6491</v>
      </c>
      <c r="D4510" t="s">
        <v>24279</v>
      </c>
      <c r="E4510" t="b">
        <v>0</v>
      </c>
      <c r="F4510" t="s">
        <v>11610</v>
      </c>
      <c r="L4510">
        <v>0</v>
      </c>
      <c r="M4510">
        <v>0</v>
      </c>
      <c r="N4510">
        <v>0</v>
      </c>
    </row>
    <row r="4511" spans="1:15">
      <c r="A4511" t="s">
        <v>24280</v>
      </c>
      <c r="B4511" t="s">
        <v>24281</v>
      </c>
      <c r="C4511" t="s">
        <v>24282</v>
      </c>
      <c r="D4511" t="s">
        <v>24283</v>
      </c>
      <c r="E4511" t="b">
        <v>0</v>
      </c>
      <c r="F4511" t="s">
        <v>11624</v>
      </c>
      <c r="G4511">
        <v>-0.1177</v>
      </c>
      <c r="H4511">
        <v>-67.293400000000005</v>
      </c>
      <c r="I4511" t="s">
        <v>24284</v>
      </c>
      <c r="L4511">
        <v>0</v>
      </c>
      <c r="M4511">
        <v>0</v>
      </c>
      <c r="N4511">
        <v>0</v>
      </c>
      <c r="O4511" t="s">
        <v>11969</v>
      </c>
    </row>
    <row r="4512" spans="1:15">
      <c r="A4512" t="s">
        <v>24285</v>
      </c>
      <c r="B4512" t="s">
        <v>6742</v>
      </c>
      <c r="C4512" t="s">
        <v>24286</v>
      </c>
      <c r="D4512" t="s">
        <v>24287</v>
      </c>
      <c r="E4512" t="b">
        <v>0</v>
      </c>
      <c r="F4512" t="s">
        <v>11610</v>
      </c>
      <c r="L4512">
        <v>0</v>
      </c>
      <c r="M4512">
        <v>0</v>
      </c>
      <c r="N4512">
        <v>0</v>
      </c>
    </row>
    <row r="4513" spans="1:15">
      <c r="A4513" t="s">
        <v>24288</v>
      </c>
      <c r="B4513" t="s">
        <v>11644</v>
      </c>
      <c r="C4513" t="s">
        <v>24289</v>
      </c>
      <c r="D4513" t="s">
        <v>24290</v>
      </c>
      <c r="E4513" t="b">
        <v>0</v>
      </c>
      <c r="F4513" t="s">
        <v>11610</v>
      </c>
      <c r="L4513">
        <v>0</v>
      </c>
      <c r="M4513">
        <v>0</v>
      </c>
      <c r="N4513">
        <v>0</v>
      </c>
    </row>
    <row r="4514" spans="1:15">
      <c r="A4514" t="s">
        <v>24291</v>
      </c>
      <c r="B4514" t="s">
        <v>11627</v>
      </c>
      <c r="C4514" t="s">
        <v>11627</v>
      </c>
      <c r="D4514" t="s">
        <v>24292</v>
      </c>
      <c r="E4514" t="b">
        <v>1</v>
      </c>
      <c r="F4514" t="s">
        <v>11624</v>
      </c>
      <c r="I4514" t="s">
        <v>24293</v>
      </c>
      <c r="L4514">
        <v>0</v>
      </c>
      <c r="M4514">
        <v>0</v>
      </c>
      <c r="N4514">
        <v>0</v>
      </c>
    </row>
    <row r="4515" spans="1:15">
      <c r="A4515" t="s">
        <v>24294</v>
      </c>
      <c r="B4515" t="s">
        <v>11644</v>
      </c>
      <c r="C4515" t="s">
        <v>24295</v>
      </c>
      <c r="D4515" t="s">
        <v>24296</v>
      </c>
      <c r="E4515" t="b">
        <v>0</v>
      </c>
      <c r="F4515" t="s">
        <v>11610</v>
      </c>
      <c r="L4515">
        <v>0</v>
      </c>
      <c r="M4515">
        <v>0</v>
      </c>
      <c r="N4515">
        <v>0</v>
      </c>
    </row>
    <row r="4516" spans="1:15">
      <c r="A4516" t="s">
        <v>24297</v>
      </c>
      <c r="B4516" t="s">
        <v>11644</v>
      </c>
      <c r="C4516" t="s">
        <v>24298</v>
      </c>
      <c r="D4516" t="s">
        <v>24299</v>
      </c>
      <c r="E4516" t="b">
        <v>0</v>
      </c>
      <c r="F4516" t="s">
        <v>11610</v>
      </c>
      <c r="L4516">
        <v>0</v>
      </c>
      <c r="M4516">
        <v>0</v>
      </c>
      <c r="N4516">
        <v>0</v>
      </c>
    </row>
    <row r="4517" spans="1:15">
      <c r="A4517" t="s">
        <v>24300</v>
      </c>
      <c r="B4517" t="s">
        <v>10597</v>
      </c>
      <c r="C4517" t="s">
        <v>24301</v>
      </c>
      <c r="D4517" t="s">
        <v>24302</v>
      </c>
      <c r="E4517" t="b">
        <v>0</v>
      </c>
      <c r="F4517" t="s">
        <v>11624</v>
      </c>
      <c r="G4517">
        <v>-13.1806</v>
      </c>
      <c r="H4517">
        <v>136.22</v>
      </c>
      <c r="I4517" t="s">
        <v>24303</v>
      </c>
      <c r="L4517">
        <v>0</v>
      </c>
      <c r="M4517">
        <v>0</v>
      </c>
      <c r="N4517">
        <v>2</v>
      </c>
      <c r="O4517" t="s">
        <v>12107</v>
      </c>
    </row>
    <row r="4518" spans="1:15">
      <c r="A4518" t="s">
        <v>16618</v>
      </c>
      <c r="B4518" t="s">
        <v>6742</v>
      </c>
      <c r="C4518" t="s">
        <v>11995</v>
      </c>
      <c r="D4518" t="s">
        <v>24304</v>
      </c>
      <c r="E4518" t="b">
        <v>0</v>
      </c>
      <c r="F4518" t="s">
        <v>11624</v>
      </c>
      <c r="G4518">
        <v>8.5261200000000006</v>
      </c>
      <c r="H4518">
        <v>17.514600000000002</v>
      </c>
      <c r="I4518" t="s">
        <v>24305</v>
      </c>
      <c r="L4518">
        <v>0</v>
      </c>
      <c r="M4518">
        <v>0</v>
      </c>
      <c r="N4518">
        <v>4</v>
      </c>
      <c r="O4518" t="s">
        <v>13421</v>
      </c>
    </row>
    <row r="4519" spans="1:15">
      <c r="A4519" t="s">
        <v>15555</v>
      </c>
      <c r="B4519" t="s">
        <v>13967</v>
      </c>
      <c r="C4519" t="s">
        <v>6758</v>
      </c>
      <c r="D4519" t="s">
        <v>24306</v>
      </c>
      <c r="E4519" t="b">
        <v>0</v>
      </c>
      <c r="F4519" t="s">
        <v>11624</v>
      </c>
      <c r="G4519">
        <v>15.735799999999999</v>
      </c>
      <c r="H4519">
        <v>15.851699999999999</v>
      </c>
      <c r="I4519" t="s">
        <v>24307</v>
      </c>
      <c r="L4519">
        <v>0</v>
      </c>
      <c r="M4519">
        <v>0</v>
      </c>
      <c r="N4519">
        <v>2</v>
      </c>
      <c r="O4519" t="s">
        <v>24308</v>
      </c>
    </row>
    <row r="4520" spans="1:15">
      <c r="A4520" t="s">
        <v>16972</v>
      </c>
      <c r="B4520" t="s">
        <v>12241</v>
      </c>
      <c r="C4520" t="s">
        <v>12240</v>
      </c>
      <c r="D4520" t="s">
        <v>24309</v>
      </c>
      <c r="E4520" t="b">
        <v>0</v>
      </c>
      <c r="F4520" t="s">
        <v>11624</v>
      </c>
      <c r="G4520">
        <v>10.118449999999999</v>
      </c>
      <c r="H4520">
        <v>10.486520000000001</v>
      </c>
      <c r="I4520" t="s">
        <v>24310</v>
      </c>
      <c r="L4520">
        <v>0</v>
      </c>
      <c r="M4520">
        <v>0</v>
      </c>
      <c r="N4520">
        <v>2</v>
      </c>
      <c r="O4520" t="s">
        <v>11693</v>
      </c>
    </row>
    <row r="4521" spans="1:15">
      <c r="A4521" t="s">
        <v>24311</v>
      </c>
      <c r="B4521" t="s">
        <v>11644</v>
      </c>
      <c r="C4521" t="s">
        <v>13869</v>
      </c>
      <c r="D4521" t="s">
        <v>24312</v>
      </c>
      <c r="E4521" t="b">
        <v>0</v>
      </c>
      <c r="F4521" t="s">
        <v>11610</v>
      </c>
      <c r="L4521">
        <v>0</v>
      </c>
      <c r="M4521">
        <v>0</v>
      </c>
      <c r="N4521">
        <v>0</v>
      </c>
    </row>
    <row r="4522" spans="1:15">
      <c r="A4522" t="s">
        <v>24313</v>
      </c>
      <c r="B4522" t="s">
        <v>11644</v>
      </c>
      <c r="C4522" t="s">
        <v>24314</v>
      </c>
      <c r="D4522" t="s">
        <v>24315</v>
      </c>
      <c r="E4522" t="b">
        <v>0</v>
      </c>
      <c r="F4522" t="s">
        <v>11610</v>
      </c>
      <c r="L4522">
        <v>0</v>
      </c>
      <c r="M4522">
        <v>0</v>
      </c>
      <c r="N4522">
        <v>4</v>
      </c>
    </row>
    <row r="4523" spans="1:15">
      <c r="A4523" t="s">
        <v>24316</v>
      </c>
      <c r="B4523" t="s">
        <v>11729</v>
      </c>
      <c r="C4523" t="s">
        <v>24317</v>
      </c>
      <c r="D4523" t="s">
        <v>24318</v>
      </c>
      <c r="E4523" t="b">
        <v>0</v>
      </c>
      <c r="F4523" t="s">
        <v>11610</v>
      </c>
      <c r="L4523">
        <v>0</v>
      </c>
      <c r="M4523">
        <v>0</v>
      </c>
      <c r="N4523">
        <v>0</v>
      </c>
    </row>
    <row r="4524" spans="1:15">
      <c r="A4524" t="s">
        <v>24319</v>
      </c>
      <c r="B4524" t="s">
        <v>11794</v>
      </c>
      <c r="C4524" t="s">
        <v>15895</v>
      </c>
      <c r="D4524" t="s">
        <v>24320</v>
      </c>
      <c r="E4524" t="b">
        <v>0</v>
      </c>
      <c r="F4524" t="s">
        <v>11610</v>
      </c>
      <c r="L4524">
        <v>0</v>
      </c>
      <c r="M4524">
        <v>0</v>
      </c>
      <c r="N4524">
        <v>0</v>
      </c>
    </row>
    <row r="4525" spans="1:15">
      <c r="A4525" t="s">
        <v>24321</v>
      </c>
      <c r="B4525" t="s">
        <v>12218</v>
      </c>
      <c r="C4525" t="s">
        <v>12219</v>
      </c>
      <c r="D4525" t="s">
        <v>24322</v>
      </c>
      <c r="E4525" t="b">
        <v>0</v>
      </c>
      <c r="F4525" t="s">
        <v>11610</v>
      </c>
      <c r="L4525">
        <v>0</v>
      </c>
      <c r="M4525">
        <v>0</v>
      </c>
      <c r="N4525">
        <v>0</v>
      </c>
    </row>
    <row r="4526" spans="1:15">
      <c r="A4526" t="s">
        <v>12200</v>
      </c>
      <c r="B4526" t="s">
        <v>11981</v>
      </c>
      <c r="C4526" t="s">
        <v>11981</v>
      </c>
      <c r="D4526" t="s">
        <v>24323</v>
      </c>
      <c r="E4526" t="b">
        <v>0</v>
      </c>
      <c r="F4526" t="s">
        <v>11622</v>
      </c>
      <c r="L4526">
        <v>39</v>
      </c>
      <c r="M4526">
        <v>135</v>
      </c>
      <c r="N4526">
        <v>29</v>
      </c>
    </row>
    <row r="4527" spans="1:15">
      <c r="A4527" t="s">
        <v>24324</v>
      </c>
      <c r="B4527" t="s">
        <v>5126</v>
      </c>
      <c r="C4527" t="s">
        <v>21825</v>
      </c>
      <c r="D4527" t="s">
        <v>24325</v>
      </c>
      <c r="E4527" t="b">
        <v>0</v>
      </c>
      <c r="F4527" t="s">
        <v>11622</v>
      </c>
      <c r="L4527">
        <v>0</v>
      </c>
      <c r="M4527">
        <v>4</v>
      </c>
      <c r="N4527">
        <v>9</v>
      </c>
    </row>
    <row r="4528" spans="1:15">
      <c r="A4528" t="s">
        <v>24326</v>
      </c>
      <c r="B4528" t="s">
        <v>11644</v>
      </c>
      <c r="C4528" t="s">
        <v>24327</v>
      </c>
      <c r="D4528" t="s">
        <v>24328</v>
      </c>
      <c r="E4528" t="b">
        <v>0</v>
      </c>
      <c r="F4528" t="s">
        <v>11610</v>
      </c>
      <c r="L4528">
        <v>0</v>
      </c>
      <c r="M4528">
        <v>0</v>
      </c>
      <c r="N4528">
        <v>0</v>
      </c>
    </row>
    <row r="4529" spans="1:15">
      <c r="A4529" t="s">
        <v>24329</v>
      </c>
      <c r="B4529" t="s">
        <v>13276</v>
      </c>
      <c r="C4529" t="s">
        <v>24330</v>
      </c>
      <c r="D4529" t="s">
        <v>24331</v>
      </c>
      <c r="E4529" t="b">
        <v>0</v>
      </c>
      <c r="F4529" t="s">
        <v>11610</v>
      </c>
      <c r="L4529">
        <v>0</v>
      </c>
      <c r="M4529">
        <v>0</v>
      </c>
      <c r="N4529">
        <v>0</v>
      </c>
    </row>
    <row r="4530" spans="1:15">
      <c r="A4530" t="s">
        <v>24332</v>
      </c>
      <c r="B4530" t="s">
        <v>11981</v>
      </c>
      <c r="C4530" t="s">
        <v>19997</v>
      </c>
      <c r="D4530" t="s">
        <v>24333</v>
      </c>
      <c r="E4530" t="b">
        <v>0</v>
      </c>
      <c r="F4530" t="s">
        <v>11610</v>
      </c>
      <c r="L4530">
        <v>0</v>
      </c>
      <c r="M4530">
        <v>0</v>
      </c>
      <c r="N4530">
        <v>0</v>
      </c>
    </row>
    <row r="4531" spans="1:15">
      <c r="A4531" t="s">
        <v>24334</v>
      </c>
      <c r="B4531" t="s">
        <v>3164</v>
      </c>
      <c r="C4531" t="s">
        <v>24335</v>
      </c>
      <c r="D4531" t="s">
        <v>24336</v>
      </c>
      <c r="E4531" t="b">
        <v>0</v>
      </c>
      <c r="F4531" t="s">
        <v>11610</v>
      </c>
      <c r="L4531">
        <v>0</v>
      </c>
      <c r="M4531">
        <v>0</v>
      </c>
      <c r="N4531">
        <v>0</v>
      </c>
    </row>
    <row r="4532" spans="1:15">
      <c r="A4532" t="s">
        <v>18504</v>
      </c>
      <c r="B4532" t="s">
        <v>11637</v>
      </c>
      <c r="C4532" t="s">
        <v>18069</v>
      </c>
      <c r="D4532" t="s">
        <v>24337</v>
      </c>
      <c r="E4532" t="b">
        <v>0</v>
      </c>
      <c r="F4532" t="s">
        <v>11624</v>
      </c>
      <c r="G4532">
        <v>18.591899999999999</v>
      </c>
      <c r="H4532">
        <v>75.716999999999999</v>
      </c>
      <c r="I4532" t="s">
        <v>24338</v>
      </c>
      <c r="L4532">
        <v>0</v>
      </c>
      <c r="M4532">
        <v>0</v>
      </c>
      <c r="N4532">
        <v>2</v>
      </c>
      <c r="O4532" t="s">
        <v>11630</v>
      </c>
    </row>
    <row r="4533" spans="1:15">
      <c r="A4533" t="s">
        <v>24339</v>
      </c>
      <c r="B4533" t="s">
        <v>11644</v>
      </c>
      <c r="C4533" t="s">
        <v>18949</v>
      </c>
      <c r="D4533" t="s">
        <v>24340</v>
      </c>
      <c r="E4533" t="b">
        <v>0</v>
      </c>
      <c r="F4533" t="s">
        <v>11610</v>
      </c>
      <c r="L4533">
        <v>0</v>
      </c>
      <c r="M4533">
        <v>0</v>
      </c>
      <c r="N4533">
        <v>0</v>
      </c>
    </row>
    <row r="4534" spans="1:15">
      <c r="A4534" t="s">
        <v>24341</v>
      </c>
      <c r="B4534" t="s">
        <v>8310</v>
      </c>
      <c r="C4534" t="s">
        <v>23631</v>
      </c>
      <c r="D4534" t="s">
        <v>24342</v>
      </c>
      <c r="E4534" t="b">
        <v>0</v>
      </c>
      <c r="F4534" t="s">
        <v>11610</v>
      </c>
      <c r="L4534">
        <v>0</v>
      </c>
      <c r="M4534">
        <v>0</v>
      </c>
      <c r="N4534">
        <v>0</v>
      </c>
    </row>
    <row r="4535" spans="1:15">
      <c r="A4535" t="s">
        <v>24343</v>
      </c>
      <c r="B4535" t="s">
        <v>11607</v>
      </c>
      <c r="C4535" t="s">
        <v>24344</v>
      </c>
      <c r="D4535" t="s">
        <v>24345</v>
      </c>
      <c r="E4535" t="b">
        <v>0</v>
      </c>
      <c r="F4535" t="s">
        <v>11610</v>
      </c>
      <c r="L4535">
        <v>0</v>
      </c>
      <c r="M4535">
        <v>0</v>
      </c>
      <c r="N4535">
        <v>0</v>
      </c>
    </row>
    <row r="4536" spans="1:15">
      <c r="A4536" t="s">
        <v>24346</v>
      </c>
      <c r="B4536" t="s">
        <v>6742</v>
      </c>
      <c r="C4536" t="s">
        <v>18347</v>
      </c>
      <c r="D4536" t="s">
        <v>24347</v>
      </c>
      <c r="E4536" t="b">
        <v>0</v>
      </c>
      <c r="F4536" t="s">
        <v>11610</v>
      </c>
      <c r="L4536">
        <v>0</v>
      </c>
      <c r="M4536">
        <v>0</v>
      </c>
      <c r="N4536">
        <v>0</v>
      </c>
    </row>
    <row r="4537" spans="1:15">
      <c r="A4537" t="s">
        <v>24348</v>
      </c>
      <c r="B4537" t="s">
        <v>11615</v>
      </c>
      <c r="C4537" t="s">
        <v>24349</v>
      </c>
      <c r="D4537" t="s">
        <v>24350</v>
      </c>
      <c r="E4537" t="b">
        <v>0</v>
      </c>
      <c r="F4537" t="s">
        <v>11624</v>
      </c>
      <c r="G4537">
        <v>-6.3820600000000001</v>
      </c>
      <c r="H4537">
        <v>147.62700000000001</v>
      </c>
      <c r="I4537" t="s">
        <v>24351</v>
      </c>
      <c r="L4537">
        <v>0</v>
      </c>
      <c r="M4537">
        <v>0</v>
      </c>
      <c r="N4537">
        <v>2</v>
      </c>
      <c r="O4537" t="s">
        <v>11660</v>
      </c>
    </row>
    <row r="4538" spans="1:15">
      <c r="A4538" t="s">
        <v>24352</v>
      </c>
      <c r="B4538" t="s">
        <v>12250</v>
      </c>
      <c r="C4538" t="s">
        <v>12953</v>
      </c>
      <c r="D4538" t="s">
        <v>24353</v>
      </c>
      <c r="E4538" t="b">
        <v>0</v>
      </c>
      <c r="F4538" t="s">
        <v>11610</v>
      </c>
      <c r="L4538">
        <v>0</v>
      </c>
      <c r="M4538">
        <v>0</v>
      </c>
      <c r="N4538">
        <v>0</v>
      </c>
    </row>
    <row r="4539" spans="1:15">
      <c r="A4539" t="s">
        <v>24354</v>
      </c>
      <c r="B4539" t="s">
        <v>6742</v>
      </c>
      <c r="C4539" t="s">
        <v>24355</v>
      </c>
      <c r="D4539" t="s">
        <v>24356</v>
      </c>
      <c r="E4539" t="b">
        <v>0</v>
      </c>
      <c r="F4539" t="s">
        <v>11610</v>
      </c>
      <c r="L4539">
        <v>0</v>
      </c>
      <c r="M4539">
        <v>0</v>
      </c>
      <c r="N4539">
        <v>0</v>
      </c>
    </row>
    <row r="4540" spans="1:15">
      <c r="A4540" t="s">
        <v>24357</v>
      </c>
      <c r="B4540" t="s">
        <v>6742</v>
      </c>
      <c r="C4540" t="s">
        <v>16615</v>
      </c>
      <c r="D4540" t="s">
        <v>24358</v>
      </c>
      <c r="E4540" t="b">
        <v>0</v>
      </c>
      <c r="F4540" t="s">
        <v>11610</v>
      </c>
      <c r="L4540">
        <v>0</v>
      </c>
      <c r="M4540">
        <v>0</v>
      </c>
      <c r="N4540">
        <v>0</v>
      </c>
    </row>
    <row r="4541" spans="1:15">
      <c r="A4541" t="s">
        <v>24359</v>
      </c>
      <c r="B4541" t="s">
        <v>12979</v>
      </c>
      <c r="C4541" t="s">
        <v>18486</v>
      </c>
      <c r="D4541" t="s">
        <v>24360</v>
      </c>
      <c r="E4541" t="b">
        <v>0</v>
      </c>
      <c r="F4541" t="s">
        <v>11610</v>
      </c>
      <c r="L4541">
        <v>0</v>
      </c>
      <c r="M4541">
        <v>0</v>
      </c>
      <c r="N4541">
        <v>0</v>
      </c>
    </row>
    <row r="4542" spans="1:15">
      <c r="A4542" t="s">
        <v>24361</v>
      </c>
      <c r="B4542" t="s">
        <v>12697</v>
      </c>
      <c r="C4542" t="s">
        <v>12697</v>
      </c>
      <c r="D4542" t="s">
        <v>24362</v>
      </c>
      <c r="E4542" t="b">
        <v>0</v>
      </c>
      <c r="F4542" t="s">
        <v>11624</v>
      </c>
      <c r="G4542">
        <v>4.5845099999999999</v>
      </c>
      <c r="H4542">
        <v>7.5018599999999998</v>
      </c>
      <c r="I4542" t="s">
        <v>24363</v>
      </c>
      <c r="L4542">
        <v>0</v>
      </c>
      <c r="M4542">
        <v>0</v>
      </c>
      <c r="N4542">
        <v>0</v>
      </c>
      <c r="O4542" t="s">
        <v>11693</v>
      </c>
    </row>
    <row r="4543" spans="1:15">
      <c r="A4543" t="s">
        <v>24364</v>
      </c>
      <c r="B4543" t="s">
        <v>6742</v>
      </c>
      <c r="C4543" t="s">
        <v>24365</v>
      </c>
      <c r="D4543" t="s">
        <v>24366</v>
      </c>
      <c r="E4543" t="b">
        <v>0</v>
      </c>
      <c r="F4543" t="s">
        <v>11610</v>
      </c>
      <c r="L4543">
        <v>0</v>
      </c>
      <c r="M4543">
        <v>0</v>
      </c>
      <c r="N4543">
        <v>0</v>
      </c>
    </row>
    <row r="4544" spans="1:15">
      <c r="A4544" t="s">
        <v>24367</v>
      </c>
      <c r="B4544" t="s">
        <v>6742</v>
      </c>
      <c r="C4544" t="s">
        <v>16186</v>
      </c>
      <c r="D4544" t="s">
        <v>24368</v>
      </c>
      <c r="E4544" t="b">
        <v>0</v>
      </c>
      <c r="F4544" t="s">
        <v>11610</v>
      </c>
      <c r="L4544">
        <v>0</v>
      </c>
      <c r="M4544">
        <v>0</v>
      </c>
      <c r="N4544">
        <v>0</v>
      </c>
    </row>
    <row r="4545" spans="1:15">
      <c r="A4545" t="s">
        <v>24369</v>
      </c>
      <c r="B4545" t="s">
        <v>6742</v>
      </c>
      <c r="C4545" t="s">
        <v>15474</v>
      </c>
      <c r="D4545" t="s">
        <v>24370</v>
      </c>
      <c r="E4545" t="b">
        <v>0</v>
      </c>
      <c r="F4545" t="s">
        <v>11624</v>
      </c>
      <c r="G4545">
        <v>6.4071800000000003</v>
      </c>
      <c r="H4545">
        <v>2.6860900000000001</v>
      </c>
      <c r="I4545" t="s">
        <v>24371</v>
      </c>
      <c r="L4545">
        <v>0</v>
      </c>
      <c r="M4545">
        <v>0</v>
      </c>
      <c r="N4545">
        <v>0</v>
      </c>
      <c r="O4545" t="s">
        <v>15477</v>
      </c>
    </row>
    <row r="4546" spans="1:15">
      <c r="A4546" t="s">
        <v>14518</v>
      </c>
      <c r="B4546" t="s">
        <v>6742</v>
      </c>
      <c r="C4546" t="s">
        <v>12815</v>
      </c>
      <c r="D4546" t="s">
        <v>24372</v>
      </c>
      <c r="E4546" t="b">
        <v>0</v>
      </c>
      <c r="F4546" t="s">
        <v>11622</v>
      </c>
      <c r="L4546">
        <v>10</v>
      </c>
      <c r="M4546">
        <v>17</v>
      </c>
      <c r="N4546">
        <v>43</v>
      </c>
    </row>
    <row r="4547" spans="1:15">
      <c r="A4547" t="s">
        <v>24373</v>
      </c>
      <c r="B4547" t="s">
        <v>11627</v>
      </c>
      <c r="C4547" t="s">
        <v>11627</v>
      </c>
      <c r="D4547" t="s">
        <v>24374</v>
      </c>
      <c r="E4547" t="b">
        <v>1</v>
      </c>
      <c r="F4547" t="s">
        <v>11624</v>
      </c>
      <c r="G4547">
        <v>25.046099999999999</v>
      </c>
      <c r="H4547">
        <v>86.769400000000005</v>
      </c>
      <c r="I4547" t="s">
        <v>24375</v>
      </c>
      <c r="L4547">
        <v>0</v>
      </c>
      <c r="M4547">
        <v>0</v>
      </c>
      <c r="N4547">
        <v>0</v>
      </c>
      <c r="O4547" t="s">
        <v>11630</v>
      </c>
    </row>
    <row r="4548" spans="1:15">
      <c r="A4548" t="s">
        <v>24376</v>
      </c>
      <c r="B4548" t="s">
        <v>11607</v>
      </c>
      <c r="C4548" t="s">
        <v>15388</v>
      </c>
      <c r="D4548" t="s">
        <v>24377</v>
      </c>
      <c r="E4548" t="b">
        <v>0</v>
      </c>
      <c r="F4548" t="s">
        <v>11610</v>
      </c>
      <c r="L4548">
        <v>0</v>
      </c>
      <c r="M4548">
        <v>0</v>
      </c>
      <c r="N4548">
        <v>0</v>
      </c>
    </row>
    <row r="4549" spans="1:15">
      <c r="A4549" t="s">
        <v>24378</v>
      </c>
      <c r="B4549" t="s">
        <v>13360</v>
      </c>
      <c r="C4549" t="s">
        <v>13360</v>
      </c>
      <c r="D4549" t="s">
        <v>24379</v>
      </c>
      <c r="E4549" t="b">
        <v>0</v>
      </c>
      <c r="F4549" t="s">
        <v>11624</v>
      </c>
      <c r="L4549">
        <v>0</v>
      </c>
      <c r="M4549">
        <v>0</v>
      </c>
      <c r="N4549">
        <v>0</v>
      </c>
      <c r="O4549" t="s">
        <v>22848</v>
      </c>
    </row>
    <row r="4550" spans="1:15">
      <c r="A4550" t="s">
        <v>14957</v>
      </c>
      <c r="B4550" t="s">
        <v>6742</v>
      </c>
      <c r="C4550" t="s">
        <v>24380</v>
      </c>
      <c r="D4550" t="s">
        <v>24381</v>
      </c>
      <c r="E4550" t="b">
        <v>0</v>
      </c>
      <c r="F4550" t="s">
        <v>11624</v>
      </c>
      <c r="G4550">
        <v>4.7337300000000004</v>
      </c>
      <c r="H4550">
        <v>6.8099100000000004</v>
      </c>
      <c r="I4550" t="s">
        <v>24382</v>
      </c>
      <c r="L4550">
        <v>0</v>
      </c>
      <c r="M4550">
        <v>0</v>
      </c>
      <c r="N4550">
        <v>2</v>
      </c>
      <c r="O4550" t="s">
        <v>11693</v>
      </c>
    </row>
    <row r="4551" spans="1:15">
      <c r="A4551" t="s">
        <v>24383</v>
      </c>
      <c r="B4551" t="s">
        <v>11615</v>
      </c>
      <c r="C4551" t="s">
        <v>24384</v>
      </c>
      <c r="D4551" t="s">
        <v>24385</v>
      </c>
      <c r="E4551" t="b">
        <v>0</v>
      </c>
      <c r="F4551" t="s">
        <v>11624</v>
      </c>
      <c r="G4551">
        <v>-5.70892</v>
      </c>
      <c r="H4551">
        <v>146.572</v>
      </c>
      <c r="I4551" t="s">
        <v>24386</v>
      </c>
      <c r="L4551">
        <v>0</v>
      </c>
      <c r="M4551">
        <v>0</v>
      </c>
      <c r="N4551">
        <v>0</v>
      </c>
      <c r="O4551" t="s">
        <v>11660</v>
      </c>
    </row>
    <row r="4552" spans="1:15">
      <c r="A4552" t="s">
        <v>24387</v>
      </c>
      <c r="B4552" t="s">
        <v>12460</v>
      </c>
      <c r="C4552" t="s">
        <v>12461</v>
      </c>
      <c r="D4552" t="s">
        <v>24388</v>
      </c>
      <c r="E4552" t="b">
        <v>0</v>
      </c>
      <c r="F4552" t="s">
        <v>11624</v>
      </c>
      <c r="G4552">
        <v>62.069699999999997</v>
      </c>
      <c r="H4552">
        <v>-160.04400000000001</v>
      </c>
      <c r="I4552" t="s">
        <v>24389</v>
      </c>
      <c r="L4552">
        <v>0</v>
      </c>
      <c r="M4552">
        <v>0</v>
      </c>
      <c r="N4552">
        <v>0</v>
      </c>
      <c r="O4552" t="s">
        <v>11944</v>
      </c>
    </row>
    <row r="4553" spans="1:15">
      <c r="A4553" t="s">
        <v>24380</v>
      </c>
      <c r="B4553" t="s">
        <v>6742</v>
      </c>
      <c r="C4553" t="s">
        <v>24390</v>
      </c>
      <c r="D4553" t="s">
        <v>24391</v>
      </c>
      <c r="E4553" t="b">
        <v>0</v>
      </c>
      <c r="F4553" t="s">
        <v>11622</v>
      </c>
      <c r="L4553">
        <v>0</v>
      </c>
      <c r="M4553">
        <v>2</v>
      </c>
      <c r="N4553">
        <v>6</v>
      </c>
    </row>
    <row r="4554" spans="1:15">
      <c r="A4554" t="s">
        <v>19086</v>
      </c>
      <c r="B4554" t="s">
        <v>6742</v>
      </c>
      <c r="C4554" t="s">
        <v>22152</v>
      </c>
      <c r="D4554" t="s">
        <v>24392</v>
      </c>
      <c r="E4554" t="b">
        <v>0</v>
      </c>
      <c r="F4554" t="s">
        <v>11624</v>
      </c>
      <c r="G4554">
        <v>8.4384599999999992</v>
      </c>
      <c r="H4554">
        <v>-2.2872400000000002</v>
      </c>
      <c r="I4554" t="s">
        <v>24393</v>
      </c>
      <c r="L4554">
        <v>0</v>
      </c>
      <c r="M4554">
        <v>0</v>
      </c>
      <c r="N4554">
        <v>3</v>
      </c>
      <c r="O4554" t="s">
        <v>11820</v>
      </c>
    </row>
    <row r="4555" spans="1:15">
      <c r="A4555" t="s">
        <v>24394</v>
      </c>
      <c r="B4555" t="s">
        <v>11607</v>
      </c>
      <c r="C4555" t="s">
        <v>765</v>
      </c>
      <c r="D4555" t="s">
        <v>24395</v>
      </c>
      <c r="E4555" t="b">
        <v>0</v>
      </c>
      <c r="F4555" t="s">
        <v>11610</v>
      </c>
      <c r="L4555">
        <v>0</v>
      </c>
      <c r="M4555">
        <v>0</v>
      </c>
      <c r="N4555">
        <v>0</v>
      </c>
    </row>
    <row r="4556" spans="1:15">
      <c r="A4556" t="s">
        <v>24396</v>
      </c>
      <c r="B4556" t="s">
        <v>11637</v>
      </c>
      <c r="C4556" t="s">
        <v>16777</v>
      </c>
      <c r="D4556" t="s">
        <v>24397</v>
      </c>
      <c r="E4556" t="b">
        <v>0</v>
      </c>
      <c r="F4556" t="s">
        <v>11610</v>
      </c>
      <c r="L4556">
        <v>0</v>
      </c>
      <c r="M4556">
        <v>0</v>
      </c>
      <c r="N4556">
        <v>0</v>
      </c>
    </row>
    <row r="4557" spans="1:15">
      <c r="A4557" t="s">
        <v>24398</v>
      </c>
      <c r="B4557" t="s">
        <v>5126</v>
      </c>
      <c r="C4557" t="s">
        <v>24399</v>
      </c>
      <c r="D4557" t="s">
        <v>24400</v>
      </c>
      <c r="E4557" t="b">
        <v>0</v>
      </c>
      <c r="F4557" t="s">
        <v>11610</v>
      </c>
      <c r="L4557">
        <v>0</v>
      </c>
      <c r="M4557">
        <v>0</v>
      </c>
      <c r="N4557">
        <v>0</v>
      </c>
    </row>
    <row r="4558" spans="1:15">
      <c r="A4558" t="s">
        <v>24401</v>
      </c>
      <c r="B4558" t="s">
        <v>367</v>
      </c>
      <c r="C4558" t="s">
        <v>24402</v>
      </c>
      <c r="D4558" t="s">
        <v>24403</v>
      </c>
      <c r="E4558" t="b">
        <v>0</v>
      </c>
      <c r="F4558" t="s">
        <v>11624</v>
      </c>
      <c r="G4558">
        <v>-20.889199999999999</v>
      </c>
      <c r="H4558">
        <v>167.22900000000001</v>
      </c>
      <c r="I4558" t="s">
        <v>24404</v>
      </c>
      <c r="L4558">
        <v>0</v>
      </c>
      <c r="M4558">
        <v>0</v>
      </c>
      <c r="N4558">
        <v>2</v>
      </c>
      <c r="O4558" t="s">
        <v>12624</v>
      </c>
    </row>
    <row r="4559" spans="1:15">
      <c r="A4559" t="s">
        <v>24405</v>
      </c>
      <c r="B4559" t="s">
        <v>11637</v>
      </c>
      <c r="C4559" t="s">
        <v>13378</v>
      </c>
      <c r="D4559" t="s">
        <v>24406</v>
      </c>
      <c r="E4559" t="b">
        <v>0</v>
      </c>
      <c r="F4559" t="s">
        <v>11610</v>
      </c>
      <c r="L4559">
        <v>0</v>
      </c>
      <c r="M4559">
        <v>0</v>
      </c>
      <c r="N4559">
        <v>0</v>
      </c>
    </row>
    <row r="4560" spans="1:15">
      <c r="A4560" t="s">
        <v>24407</v>
      </c>
      <c r="B4560" t="s">
        <v>11637</v>
      </c>
      <c r="C4560" t="s">
        <v>12510</v>
      </c>
      <c r="D4560" t="s">
        <v>24408</v>
      </c>
      <c r="E4560" t="b">
        <v>0</v>
      </c>
      <c r="F4560" t="s">
        <v>11624</v>
      </c>
      <c r="G4560">
        <v>29.520499999999998</v>
      </c>
      <c r="H4560">
        <v>66.597700000000003</v>
      </c>
      <c r="I4560" t="s">
        <v>24409</v>
      </c>
      <c r="L4560">
        <v>0</v>
      </c>
      <c r="M4560">
        <v>0</v>
      </c>
      <c r="N4560">
        <v>0</v>
      </c>
      <c r="O4560" t="s">
        <v>12172</v>
      </c>
    </row>
    <row r="4561" spans="1:15">
      <c r="A4561" t="s">
        <v>24410</v>
      </c>
      <c r="B4561" t="s">
        <v>11615</v>
      </c>
      <c r="C4561" t="s">
        <v>23828</v>
      </c>
      <c r="D4561" t="s">
        <v>24411</v>
      </c>
      <c r="E4561" t="b">
        <v>0</v>
      </c>
      <c r="F4561" t="s">
        <v>11610</v>
      </c>
      <c r="L4561">
        <v>0</v>
      </c>
      <c r="M4561">
        <v>0</v>
      </c>
      <c r="N4561">
        <v>0</v>
      </c>
    </row>
    <row r="4562" spans="1:15">
      <c r="A4562" t="s">
        <v>24412</v>
      </c>
      <c r="B4562" t="s">
        <v>11839</v>
      </c>
      <c r="C4562" t="s">
        <v>24413</v>
      </c>
      <c r="D4562" t="s">
        <v>24414</v>
      </c>
      <c r="E4562" t="b">
        <v>0</v>
      </c>
      <c r="F4562" t="s">
        <v>11610</v>
      </c>
      <c r="L4562">
        <v>0</v>
      </c>
      <c r="M4562">
        <v>0</v>
      </c>
      <c r="N4562">
        <v>0</v>
      </c>
    </row>
    <row r="4563" spans="1:15">
      <c r="A4563" t="s">
        <v>24415</v>
      </c>
      <c r="B4563" t="s">
        <v>15365</v>
      </c>
      <c r="C4563" t="s">
        <v>24416</v>
      </c>
      <c r="D4563" t="s">
        <v>24417</v>
      </c>
      <c r="E4563" t="b">
        <v>0</v>
      </c>
      <c r="F4563" t="s">
        <v>11610</v>
      </c>
      <c r="L4563">
        <v>0</v>
      </c>
      <c r="M4563">
        <v>0</v>
      </c>
      <c r="N4563">
        <v>0</v>
      </c>
    </row>
    <row r="4564" spans="1:15">
      <c r="A4564" t="s">
        <v>24418</v>
      </c>
      <c r="B4564" t="s">
        <v>12311</v>
      </c>
      <c r="C4564" t="s">
        <v>24419</v>
      </c>
      <c r="D4564" t="s">
        <v>24420</v>
      </c>
      <c r="E4564" t="b">
        <v>0</v>
      </c>
      <c r="F4564" t="s">
        <v>11610</v>
      </c>
      <c r="L4564">
        <v>0</v>
      </c>
      <c r="M4564">
        <v>0</v>
      </c>
      <c r="N4564">
        <v>0</v>
      </c>
    </row>
    <row r="4565" spans="1:15">
      <c r="A4565" t="s">
        <v>24421</v>
      </c>
      <c r="B4565" t="s">
        <v>12241</v>
      </c>
      <c r="C4565" t="s">
        <v>15040</v>
      </c>
      <c r="D4565" t="s">
        <v>24422</v>
      </c>
      <c r="E4565" t="b">
        <v>0</v>
      </c>
      <c r="F4565" t="s">
        <v>11624</v>
      </c>
      <c r="G4565">
        <v>11.0183</v>
      </c>
      <c r="H4565">
        <v>14.4833</v>
      </c>
      <c r="I4565" t="s">
        <v>24423</v>
      </c>
      <c r="L4565">
        <v>0</v>
      </c>
      <c r="M4565">
        <v>0</v>
      </c>
      <c r="N4565">
        <v>0</v>
      </c>
      <c r="O4565" t="s">
        <v>11703</v>
      </c>
    </row>
    <row r="4566" spans="1:15">
      <c r="A4566" t="s">
        <v>24424</v>
      </c>
      <c r="B4566" t="s">
        <v>12254</v>
      </c>
      <c r="C4566" t="s">
        <v>12255</v>
      </c>
      <c r="D4566" t="s">
        <v>24425</v>
      </c>
      <c r="E4566" t="b">
        <v>0</v>
      </c>
      <c r="F4566" t="s">
        <v>11610</v>
      </c>
      <c r="L4566">
        <v>0</v>
      </c>
      <c r="M4566">
        <v>0</v>
      </c>
      <c r="N4566">
        <v>0</v>
      </c>
    </row>
    <row r="4567" spans="1:15">
      <c r="A4567" t="s">
        <v>24426</v>
      </c>
      <c r="B4567" t="s">
        <v>367</v>
      </c>
      <c r="C4567" t="s">
        <v>14685</v>
      </c>
      <c r="D4567" t="s">
        <v>24427</v>
      </c>
      <c r="E4567" t="b">
        <v>0</v>
      </c>
      <c r="F4567" t="s">
        <v>11610</v>
      </c>
      <c r="L4567">
        <v>0</v>
      </c>
      <c r="M4567">
        <v>0</v>
      </c>
      <c r="N4567">
        <v>0</v>
      </c>
    </row>
    <row r="4568" spans="1:15">
      <c r="A4568" t="s">
        <v>24428</v>
      </c>
      <c r="B4568" t="s">
        <v>367</v>
      </c>
      <c r="C4568" t="s">
        <v>24429</v>
      </c>
      <c r="D4568" t="s">
        <v>24430</v>
      </c>
      <c r="E4568" t="b">
        <v>0</v>
      </c>
      <c r="F4568" t="s">
        <v>11624</v>
      </c>
      <c r="G4568">
        <v>-10.8469</v>
      </c>
      <c r="H4568">
        <v>122.852</v>
      </c>
      <c r="I4568" t="s">
        <v>24431</v>
      </c>
      <c r="L4568">
        <v>0</v>
      </c>
      <c r="M4568">
        <v>0</v>
      </c>
      <c r="N4568">
        <v>2</v>
      </c>
      <c r="O4568" t="s">
        <v>11768</v>
      </c>
    </row>
    <row r="4569" spans="1:15">
      <c r="A4569" t="s">
        <v>24432</v>
      </c>
      <c r="B4569" t="s">
        <v>367</v>
      </c>
      <c r="C4569" t="s">
        <v>24428</v>
      </c>
      <c r="D4569" t="s">
        <v>24433</v>
      </c>
      <c r="E4569" t="b">
        <v>0</v>
      </c>
      <c r="F4569" t="s">
        <v>11610</v>
      </c>
      <c r="L4569">
        <v>0</v>
      </c>
      <c r="M4569">
        <v>0</v>
      </c>
      <c r="N4569">
        <v>0</v>
      </c>
    </row>
    <row r="4570" spans="1:15">
      <c r="A4570" t="s">
        <v>23311</v>
      </c>
      <c r="B4570" t="s">
        <v>12979</v>
      </c>
      <c r="C4570" t="s">
        <v>21166</v>
      </c>
      <c r="D4570" t="s">
        <v>24434</v>
      </c>
      <c r="E4570" t="b">
        <v>0</v>
      </c>
      <c r="F4570" t="s">
        <v>11622</v>
      </c>
      <c r="L4570">
        <v>1</v>
      </c>
      <c r="M4570">
        <v>3</v>
      </c>
      <c r="N4570">
        <v>0</v>
      </c>
    </row>
    <row r="4571" spans="1:15">
      <c r="A4571" t="s">
        <v>24435</v>
      </c>
      <c r="B4571" t="s">
        <v>11981</v>
      </c>
      <c r="C4571" t="s">
        <v>16705</v>
      </c>
      <c r="D4571" t="s">
        <v>24436</v>
      </c>
      <c r="E4571" t="b">
        <v>0</v>
      </c>
      <c r="F4571" t="s">
        <v>11610</v>
      </c>
      <c r="L4571">
        <v>0</v>
      </c>
      <c r="M4571">
        <v>0</v>
      </c>
      <c r="N4571">
        <v>0</v>
      </c>
    </row>
    <row r="4572" spans="1:15">
      <c r="A4572" t="s">
        <v>24437</v>
      </c>
      <c r="B4572" t="s">
        <v>6742</v>
      </c>
      <c r="C4572" t="s">
        <v>22178</v>
      </c>
      <c r="D4572" t="s">
        <v>24438</v>
      </c>
      <c r="E4572" t="b">
        <v>0</v>
      </c>
      <c r="F4572" t="s">
        <v>11624</v>
      </c>
      <c r="G4572">
        <v>7.9099700000000004</v>
      </c>
      <c r="H4572">
        <v>0.59728000000000003</v>
      </c>
      <c r="I4572" t="s">
        <v>24439</v>
      </c>
      <c r="L4572">
        <v>0</v>
      </c>
      <c r="M4572">
        <v>0</v>
      </c>
      <c r="N4572">
        <v>0</v>
      </c>
      <c r="O4572" t="s">
        <v>12006</v>
      </c>
    </row>
    <row r="4573" spans="1:15">
      <c r="A4573" t="s">
        <v>22178</v>
      </c>
      <c r="B4573" t="s">
        <v>6742</v>
      </c>
      <c r="C4573" t="s">
        <v>15859</v>
      </c>
      <c r="D4573" t="s">
        <v>24440</v>
      </c>
      <c r="E4573" t="b">
        <v>0</v>
      </c>
      <c r="F4573" t="s">
        <v>11622</v>
      </c>
      <c r="L4573">
        <v>0</v>
      </c>
      <c r="M4573">
        <v>2</v>
      </c>
      <c r="N4573">
        <v>0</v>
      </c>
    </row>
    <row r="4574" spans="1:15">
      <c r="A4574" t="s">
        <v>21469</v>
      </c>
      <c r="B4574" t="s">
        <v>6742</v>
      </c>
      <c r="C4574" t="s">
        <v>12815</v>
      </c>
      <c r="D4574" t="s">
        <v>24441</v>
      </c>
      <c r="E4574" t="b">
        <v>0</v>
      </c>
      <c r="F4574" t="s">
        <v>11622</v>
      </c>
      <c r="L4574">
        <v>30</v>
      </c>
      <c r="M4574">
        <v>58</v>
      </c>
      <c r="N4574">
        <v>67</v>
      </c>
    </row>
    <row r="4575" spans="1:15">
      <c r="A4575" t="s">
        <v>24390</v>
      </c>
      <c r="B4575" t="s">
        <v>6742</v>
      </c>
      <c r="C4575" t="s">
        <v>24442</v>
      </c>
      <c r="D4575" t="s">
        <v>24443</v>
      </c>
      <c r="E4575" t="b">
        <v>0</v>
      </c>
      <c r="F4575" t="s">
        <v>11622</v>
      </c>
      <c r="L4575">
        <v>1</v>
      </c>
      <c r="M4575">
        <v>3</v>
      </c>
      <c r="N4575">
        <v>7</v>
      </c>
    </row>
    <row r="4576" spans="1:15">
      <c r="A4576" t="s">
        <v>23247</v>
      </c>
      <c r="B4576" t="s">
        <v>23233</v>
      </c>
      <c r="C4576" t="s">
        <v>24444</v>
      </c>
      <c r="D4576" t="s">
        <v>24445</v>
      </c>
      <c r="E4576" t="b">
        <v>0</v>
      </c>
      <c r="F4576" t="s">
        <v>11622</v>
      </c>
      <c r="L4576">
        <v>1</v>
      </c>
      <c r="M4576">
        <v>4</v>
      </c>
      <c r="N4576">
        <v>0</v>
      </c>
    </row>
    <row r="4577" spans="1:15">
      <c r="A4577" t="s">
        <v>24446</v>
      </c>
      <c r="B4577" t="s">
        <v>9348</v>
      </c>
      <c r="C4577" t="s">
        <v>24447</v>
      </c>
      <c r="D4577" t="s">
        <v>24448</v>
      </c>
      <c r="E4577" t="b">
        <v>0</v>
      </c>
      <c r="F4577" t="s">
        <v>11610</v>
      </c>
      <c r="L4577">
        <v>0</v>
      </c>
      <c r="M4577">
        <v>0</v>
      </c>
      <c r="N4577">
        <v>0</v>
      </c>
    </row>
    <row r="4578" spans="1:15">
      <c r="A4578" t="s">
        <v>24449</v>
      </c>
      <c r="B4578" t="s">
        <v>13450</v>
      </c>
      <c r="C4578" t="s">
        <v>13450</v>
      </c>
      <c r="D4578" t="s">
        <v>24450</v>
      </c>
      <c r="E4578" t="b">
        <v>0</v>
      </c>
      <c r="F4578" t="s">
        <v>11622</v>
      </c>
      <c r="L4578">
        <v>0</v>
      </c>
      <c r="M4578">
        <v>1</v>
      </c>
      <c r="N4578">
        <v>0</v>
      </c>
    </row>
    <row r="4579" spans="1:15">
      <c r="A4579" t="s">
        <v>24451</v>
      </c>
      <c r="B4579" t="s">
        <v>6742</v>
      </c>
      <c r="C4579" t="s">
        <v>24452</v>
      </c>
      <c r="D4579" t="s">
        <v>24453</v>
      </c>
      <c r="E4579" t="b">
        <v>0</v>
      </c>
      <c r="F4579" t="s">
        <v>11624</v>
      </c>
      <c r="G4579">
        <v>-15.689399999999999</v>
      </c>
      <c r="H4579">
        <v>32.773099999999999</v>
      </c>
      <c r="I4579" t="s">
        <v>24454</v>
      </c>
      <c r="L4579">
        <v>0</v>
      </c>
      <c r="M4579">
        <v>0</v>
      </c>
      <c r="N4579">
        <v>0</v>
      </c>
      <c r="O4579" t="s">
        <v>17188</v>
      </c>
    </row>
    <row r="4580" spans="1:15">
      <c r="A4580" t="s">
        <v>24455</v>
      </c>
      <c r="B4580" t="s">
        <v>11607</v>
      </c>
      <c r="C4580" t="s">
        <v>24456</v>
      </c>
      <c r="D4580" t="s">
        <v>24457</v>
      </c>
      <c r="E4580" t="b">
        <v>0</v>
      </c>
      <c r="F4580" t="s">
        <v>11610</v>
      </c>
      <c r="L4580">
        <v>0</v>
      </c>
      <c r="M4580">
        <v>0</v>
      </c>
      <c r="N4580">
        <v>0</v>
      </c>
    </row>
    <row r="4581" spans="1:15">
      <c r="A4581" t="s">
        <v>24458</v>
      </c>
      <c r="B4581" t="s">
        <v>11868</v>
      </c>
      <c r="C4581" t="s">
        <v>24459</v>
      </c>
      <c r="D4581" t="s">
        <v>24460</v>
      </c>
      <c r="E4581" t="b">
        <v>0</v>
      </c>
      <c r="F4581" t="s">
        <v>11610</v>
      </c>
      <c r="L4581">
        <v>0</v>
      </c>
      <c r="M4581">
        <v>0</v>
      </c>
      <c r="N4581">
        <v>0</v>
      </c>
    </row>
    <row r="4582" spans="1:15">
      <c r="A4582" t="s">
        <v>24461</v>
      </c>
      <c r="B4582" t="s">
        <v>15142</v>
      </c>
      <c r="C4582" t="s">
        <v>15142</v>
      </c>
      <c r="D4582" t="s">
        <v>24462</v>
      </c>
      <c r="E4582" t="b">
        <v>0</v>
      </c>
      <c r="F4582" t="s">
        <v>11624</v>
      </c>
      <c r="G4582">
        <v>-2.5456400000000001</v>
      </c>
      <c r="H4582">
        <v>136.69399999999999</v>
      </c>
      <c r="I4582" t="s">
        <v>24463</v>
      </c>
      <c r="L4582">
        <v>0</v>
      </c>
      <c r="M4582">
        <v>0</v>
      </c>
      <c r="N4582">
        <v>0</v>
      </c>
      <c r="O4582" t="s">
        <v>11768</v>
      </c>
    </row>
    <row r="4583" spans="1:15">
      <c r="A4583" t="s">
        <v>24464</v>
      </c>
      <c r="D4583" t="s">
        <v>24465</v>
      </c>
      <c r="E4583" t="b">
        <v>0</v>
      </c>
      <c r="F4583" t="s">
        <v>11624</v>
      </c>
      <c r="G4583">
        <v>-3.7218300000000002</v>
      </c>
      <c r="H4583">
        <v>137.63200000000001</v>
      </c>
      <c r="I4583" t="s">
        <v>24466</v>
      </c>
      <c r="L4583">
        <v>0</v>
      </c>
      <c r="M4583">
        <v>0</v>
      </c>
      <c r="N4583">
        <v>0</v>
      </c>
      <c r="O4583" t="s">
        <v>11768</v>
      </c>
    </row>
    <row r="4584" spans="1:15">
      <c r="A4584" t="s">
        <v>24467</v>
      </c>
      <c r="B4584" t="s">
        <v>11607</v>
      </c>
      <c r="C4584" t="s">
        <v>17383</v>
      </c>
      <c r="D4584" t="s">
        <v>24468</v>
      </c>
      <c r="E4584" t="b">
        <v>0</v>
      </c>
      <c r="F4584" t="s">
        <v>11610</v>
      </c>
      <c r="L4584">
        <v>0</v>
      </c>
      <c r="M4584">
        <v>0</v>
      </c>
      <c r="N4584">
        <v>0</v>
      </c>
    </row>
    <row r="4585" spans="1:15">
      <c r="A4585" t="s">
        <v>24469</v>
      </c>
      <c r="B4585" t="s">
        <v>11607</v>
      </c>
      <c r="C4585" t="s">
        <v>24470</v>
      </c>
      <c r="D4585" t="s">
        <v>24471</v>
      </c>
      <c r="E4585" t="b">
        <v>0</v>
      </c>
      <c r="F4585" t="s">
        <v>11610</v>
      </c>
      <c r="L4585">
        <v>0</v>
      </c>
      <c r="M4585">
        <v>0</v>
      </c>
      <c r="N4585">
        <v>0</v>
      </c>
    </row>
    <row r="4586" spans="1:15">
      <c r="A4586" t="s">
        <v>24472</v>
      </c>
      <c r="B4586" t="s">
        <v>21672</v>
      </c>
      <c r="C4586" t="s">
        <v>21672</v>
      </c>
      <c r="D4586" t="s">
        <v>24473</v>
      </c>
      <c r="E4586" t="b">
        <v>0</v>
      </c>
      <c r="F4586" t="s">
        <v>11624</v>
      </c>
      <c r="G4586">
        <v>-2.3847499999999999</v>
      </c>
      <c r="H4586">
        <v>140.166</v>
      </c>
      <c r="I4586" t="s">
        <v>24474</v>
      </c>
      <c r="L4586">
        <v>0</v>
      </c>
      <c r="M4586">
        <v>0</v>
      </c>
      <c r="N4586">
        <v>0</v>
      </c>
      <c r="O4586" t="s">
        <v>11768</v>
      </c>
    </row>
    <row r="4587" spans="1:15">
      <c r="A4587" t="s">
        <v>24475</v>
      </c>
      <c r="B4587" t="s">
        <v>13244</v>
      </c>
      <c r="C4587" t="s">
        <v>24476</v>
      </c>
      <c r="D4587" t="s">
        <v>24477</v>
      </c>
      <c r="E4587" t="b">
        <v>0</v>
      </c>
      <c r="F4587" t="s">
        <v>11624</v>
      </c>
      <c r="G4587">
        <v>-4.8375649999999997</v>
      </c>
      <c r="H4587">
        <v>-70.873717999999997</v>
      </c>
      <c r="L4587">
        <v>0</v>
      </c>
      <c r="M4587">
        <v>0</v>
      </c>
      <c r="N4587">
        <v>0</v>
      </c>
      <c r="O4587" t="s">
        <v>11969</v>
      </c>
    </row>
    <row r="4588" spans="1:15">
      <c r="A4588" t="s">
        <v>24478</v>
      </c>
      <c r="B4588" t="s">
        <v>6742</v>
      </c>
      <c r="C4588" t="s">
        <v>24479</v>
      </c>
      <c r="D4588" t="s">
        <v>24480</v>
      </c>
      <c r="E4588" t="b">
        <v>0</v>
      </c>
      <c r="F4588" t="s">
        <v>11624</v>
      </c>
      <c r="G4588">
        <v>4.4814600000000002</v>
      </c>
      <c r="H4588">
        <v>22.565999999999999</v>
      </c>
      <c r="I4588" t="s">
        <v>24481</v>
      </c>
      <c r="L4588">
        <v>0</v>
      </c>
      <c r="M4588">
        <v>0</v>
      </c>
      <c r="N4588">
        <v>0</v>
      </c>
      <c r="O4588" t="s">
        <v>13069</v>
      </c>
    </row>
    <row r="4589" spans="1:15">
      <c r="A4589" t="s">
        <v>24482</v>
      </c>
      <c r="B4589" t="s">
        <v>12562</v>
      </c>
      <c r="C4589" t="s">
        <v>24483</v>
      </c>
      <c r="D4589" t="s">
        <v>24484</v>
      </c>
      <c r="E4589" t="b">
        <v>0</v>
      </c>
      <c r="F4589" t="s">
        <v>11624</v>
      </c>
      <c r="G4589">
        <v>11.668200000000001</v>
      </c>
      <c r="H4589">
        <v>3.4910899999999998</v>
      </c>
      <c r="I4589" t="s">
        <v>24485</v>
      </c>
      <c r="L4589">
        <v>0</v>
      </c>
      <c r="M4589">
        <v>0</v>
      </c>
      <c r="N4589">
        <v>0</v>
      </c>
      <c r="O4589" t="s">
        <v>24486</v>
      </c>
    </row>
    <row r="4590" spans="1:15">
      <c r="A4590" t="s">
        <v>24487</v>
      </c>
      <c r="B4590" t="s">
        <v>6742</v>
      </c>
      <c r="C4590" t="s">
        <v>24355</v>
      </c>
      <c r="D4590" t="s">
        <v>24488</v>
      </c>
      <c r="E4590" t="b">
        <v>0</v>
      </c>
      <c r="F4590" t="s">
        <v>11610</v>
      </c>
      <c r="L4590">
        <v>0</v>
      </c>
      <c r="M4590">
        <v>0</v>
      </c>
      <c r="N4590">
        <v>0</v>
      </c>
    </row>
    <row r="4591" spans="1:15">
      <c r="A4591" t="s">
        <v>24489</v>
      </c>
      <c r="B4591" t="s">
        <v>6742</v>
      </c>
      <c r="C4591" t="s">
        <v>19681</v>
      </c>
      <c r="D4591" t="s">
        <v>24490</v>
      </c>
      <c r="E4591" t="b">
        <v>0</v>
      </c>
      <c r="F4591" t="s">
        <v>11624</v>
      </c>
      <c r="G4591">
        <v>-3.2633700000000001</v>
      </c>
      <c r="H4591">
        <v>21.4194</v>
      </c>
      <c r="I4591" t="s">
        <v>24491</v>
      </c>
      <c r="L4591">
        <v>0</v>
      </c>
      <c r="M4591">
        <v>0</v>
      </c>
      <c r="N4591">
        <v>0</v>
      </c>
      <c r="O4591" t="s">
        <v>14825</v>
      </c>
    </row>
    <row r="4592" spans="1:15">
      <c r="A4592" t="s">
        <v>24492</v>
      </c>
      <c r="B4592" t="s">
        <v>6742</v>
      </c>
      <c r="C4592" t="s">
        <v>24493</v>
      </c>
      <c r="D4592" t="s">
        <v>24494</v>
      </c>
      <c r="E4592" t="b">
        <v>0</v>
      </c>
      <c r="F4592" t="s">
        <v>11610</v>
      </c>
      <c r="L4592">
        <v>0</v>
      </c>
      <c r="M4592">
        <v>0</v>
      </c>
      <c r="N4592">
        <v>0</v>
      </c>
    </row>
    <row r="4593" spans="1:15">
      <c r="A4593" t="s">
        <v>24495</v>
      </c>
      <c r="B4593" t="s">
        <v>367</v>
      </c>
      <c r="C4593" t="s">
        <v>24496</v>
      </c>
      <c r="D4593" t="s">
        <v>24497</v>
      </c>
      <c r="E4593" t="b">
        <v>0</v>
      </c>
      <c r="F4593" t="s">
        <v>11610</v>
      </c>
      <c r="L4593">
        <v>0</v>
      </c>
      <c r="M4593">
        <v>0</v>
      </c>
      <c r="N4593">
        <v>0</v>
      </c>
    </row>
    <row r="4594" spans="1:15">
      <c r="A4594" t="s">
        <v>24498</v>
      </c>
      <c r="B4594" t="s">
        <v>367</v>
      </c>
      <c r="C4594" t="s">
        <v>24429</v>
      </c>
      <c r="D4594" t="s">
        <v>24499</v>
      </c>
      <c r="E4594" t="b">
        <v>0</v>
      </c>
      <c r="F4594" t="s">
        <v>11624</v>
      </c>
      <c r="G4594">
        <v>-10.7866</v>
      </c>
      <c r="H4594">
        <v>122.946</v>
      </c>
      <c r="I4594" t="s">
        <v>24500</v>
      </c>
      <c r="L4594">
        <v>0</v>
      </c>
      <c r="M4594">
        <v>0</v>
      </c>
      <c r="N4594">
        <v>3</v>
      </c>
      <c r="O4594" t="s">
        <v>11768</v>
      </c>
    </row>
    <row r="4595" spans="1:15">
      <c r="A4595" t="s">
        <v>24501</v>
      </c>
      <c r="B4595" t="s">
        <v>14398</v>
      </c>
      <c r="C4595" t="s">
        <v>23605</v>
      </c>
      <c r="D4595" t="s">
        <v>24502</v>
      </c>
      <c r="E4595" t="b">
        <v>0</v>
      </c>
      <c r="F4595" t="s">
        <v>11624</v>
      </c>
      <c r="G4595">
        <v>-6.7496200000000002</v>
      </c>
      <c r="H4595">
        <v>-67.502899999999997</v>
      </c>
      <c r="I4595" t="s">
        <v>24503</v>
      </c>
      <c r="L4595">
        <v>0</v>
      </c>
      <c r="M4595">
        <v>0</v>
      </c>
      <c r="N4595">
        <v>4</v>
      </c>
      <c r="O4595" t="s">
        <v>11969</v>
      </c>
    </row>
    <row r="4596" spans="1:15">
      <c r="A4596" t="s">
        <v>24504</v>
      </c>
      <c r="B4596" t="s">
        <v>11607</v>
      </c>
      <c r="C4596" t="s">
        <v>24505</v>
      </c>
      <c r="D4596" t="s">
        <v>24506</v>
      </c>
      <c r="E4596" t="b">
        <v>0</v>
      </c>
      <c r="F4596" t="s">
        <v>11624</v>
      </c>
      <c r="G4596">
        <v>10.63147</v>
      </c>
      <c r="H4596">
        <v>10.43937</v>
      </c>
      <c r="I4596" t="s">
        <v>24507</v>
      </c>
      <c r="L4596">
        <v>0</v>
      </c>
      <c r="M4596">
        <v>0</v>
      </c>
      <c r="N4596">
        <v>0</v>
      </c>
      <c r="O4596" t="s">
        <v>11693</v>
      </c>
    </row>
    <row r="4597" spans="1:15">
      <c r="A4597" t="s">
        <v>16087</v>
      </c>
      <c r="B4597" t="s">
        <v>6742</v>
      </c>
      <c r="C4597" t="s">
        <v>24508</v>
      </c>
      <c r="D4597" t="s">
        <v>24509</v>
      </c>
      <c r="E4597" t="b">
        <v>0</v>
      </c>
      <c r="F4597" t="s">
        <v>11624</v>
      </c>
      <c r="G4597">
        <v>5.9723699999999997</v>
      </c>
      <c r="H4597">
        <v>9.3998899999999992</v>
      </c>
      <c r="I4597" t="s">
        <v>24510</v>
      </c>
      <c r="L4597">
        <v>0</v>
      </c>
      <c r="M4597">
        <v>0</v>
      </c>
      <c r="N4597">
        <v>4</v>
      </c>
      <c r="O4597" t="s">
        <v>11802</v>
      </c>
    </row>
    <row r="4598" spans="1:15">
      <c r="A4598" t="s">
        <v>24511</v>
      </c>
      <c r="B4598" t="s">
        <v>11637</v>
      </c>
      <c r="C4598" t="s">
        <v>16734</v>
      </c>
      <c r="D4598" t="s">
        <v>24512</v>
      </c>
      <c r="E4598" t="b">
        <v>0</v>
      </c>
      <c r="F4598" t="s">
        <v>11610</v>
      </c>
      <c r="L4598">
        <v>0</v>
      </c>
      <c r="M4598">
        <v>0</v>
      </c>
      <c r="N4598">
        <v>0</v>
      </c>
    </row>
    <row r="4599" spans="1:15">
      <c r="A4599" t="s">
        <v>24513</v>
      </c>
      <c r="B4599" t="s">
        <v>11644</v>
      </c>
      <c r="C4599" t="s">
        <v>19080</v>
      </c>
      <c r="D4599" t="s">
        <v>24514</v>
      </c>
      <c r="E4599" t="b">
        <v>0</v>
      </c>
      <c r="F4599" t="s">
        <v>11624</v>
      </c>
      <c r="G4599">
        <v>26.861519999999999</v>
      </c>
      <c r="H4599">
        <v>93.705719999999999</v>
      </c>
      <c r="I4599" t="s">
        <v>24515</v>
      </c>
      <c r="L4599">
        <v>0</v>
      </c>
      <c r="M4599">
        <v>0</v>
      </c>
      <c r="N4599">
        <v>0</v>
      </c>
      <c r="O4599" t="s">
        <v>11630</v>
      </c>
    </row>
    <row r="4600" spans="1:15">
      <c r="A4600" t="s">
        <v>24516</v>
      </c>
      <c r="B4600" t="s">
        <v>5058</v>
      </c>
      <c r="C4600" t="s">
        <v>22195</v>
      </c>
      <c r="D4600" t="s">
        <v>24517</v>
      </c>
      <c r="E4600" t="b">
        <v>0</v>
      </c>
      <c r="F4600" t="s">
        <v>11610</v>
      </c>
      <c r="L4600">
        <v>0</v>
      </c>
      <c r="M4600">
        <v>0</v>
      </c>
      <c r="N4600">
        <v>0</v>
      </c>
    </row>
    <row r="4601" spans="1:15">
      <c r="A4601" t="s">
        <v>24518</v>
      </c>
      <c r="B4601" t="s">
        <v>6742</v>
      </c>
      <c r="C4601" t="s">
        <v>16186</v>
      </c>
      <c r="D4601" t="s">
        <v>24519</v>
      </c>
      <c r="E4601" t="b">
        <v>0</v>
      </c>
      <c r="F4601" t="s">
        <v>11610</v>
      </c>
      <c r="L4601">
        <v>0</v>
      </c>
      <c r="M4601">
        <v>0</v>
      </c>
      <c r="N4601">
        <v>0</v>
      </c>
    </row>
    <row r="4602" spans="1:15">
      <c r="A4602" t="s">
        <v>24520</v>
      </c>
      <c r="B4602" t="s">
        <v>11637</v>
      </c>
      <c r="C4602" t="s">
        <v>15898</v>
      </c>
      <c r="D4602" t="s">
        <v>24521</v>
      </c>
      <c r="E4602" t="b">
        <v>0</v>
      </c>
      <c r="F4602" t="s">
        <v>11610</v>
      </c>
      <c r="L4602">
        <v>0</v>
      </c>
      <c r="M4602">
        <v>0</v>
      </c>
      <c r="N4602">
        <v>0</v>
      </c>
    </row>
    <row r="4603" spans="1:15">
      <c r="A4603" t="s">
        <v>24522</v>
      </c>
      <c r="B4603" t="s">
        <v>13877</v>
      </c>
      <c r="C4603" t="s">
        <v>13877</v>
      </c>
      <c r="D4603" t="s">
        <v>24523</v>
      </c>
      <c r="E4603" t="b">
        <v>0</v>
      </c>
      <c r="F4603" t="s">
        <v>11624</v>
      </c>
      <c r="G4603">
        <v>-3.5230899999999998</v>
      </c>
      <c r="H4603">
        <v>140.947</v>
      </c>
      <c r="I4603" t="s">
        <v>24524</v>
      </c>
      <c r="L4603">
        <v>0</v>
      </c>
      <c r="M4603">
        <v>0</v>
      </c>
      <c r="N4603">
        <v>5</v>
      </c>
      <c r="O4603" t="s">
        <v>24525</v>
      </c>
    </row>
    <row r="4604" spans="1:15">
      <c r="A4604" t="s">
        <v>24526</v>
      </c>
      <c r="B4604" t="s">
        <v>11607</v>
      </c>
      <c r="C4604" t="s">
        <v>24527</v>
      </c>
      <c r="D4604" t="s">
        <v>24528</v>
      </c>
      <c r="E4604" t="b">
        <v>0</v>
      </c>
      <c r="F4604" t="s">
        <v>11624</v>
      </c>
      <c r="G4604">
        <v>10.071999999999999</v>
      </c>
      <c r="H4604">
        <v>12.025600000000001</v>
      </c>
      <c r="I4604" t="s">
        <v>24529</v>
      </c>
      <c r="L4604">
        <v>0</v>
      </c>
      <c r="M4604">
        <v>0</v>
      </c>
      <c r="N4604">
        <v>3</v>
      </c>
      <c r="O4604" t="s">
        <v>11693</v>
      </c>
    </row>
    <row r="4605" spans="1:15">
      <c r="A4605" t="s">
        <v>24530</v>
      </c>
      <c r="B4605" t="s">
        <v>11637</v>
      </c>
      <c r="C4605" t="s">
        <v>24531</v>
      </c>
      <c r="D4605" t="s">
        <v>24532</v>
      </c>
      <c r="E4605" t="b">
        <v>0</v>
      </c>
      <c r="F4605" t="s">
        <v>11610</v>
      </c>
      <c r="L4605">
        <v>0</v>
      </c>
      <c r="M4605">
        <v>0</v>
      </c>
      <c r="N4605">
        <v>0</v>
      </c>
    </row>
    <row r="4606" spans="1:15">
      <c r="A4606" t="s">
        <v>24533</v>
      </c>
      <c r="B4606" t="s">
        <v>331</v>
      </c>
      <c r="C4606" t="s">
        <v>16164</v>
      </c>
      <c r="D4606" t="s">
        <v>24534</v>
      </c>
      <c r="E4606" t="b">
        <v>0</v>
      </c>
      <c r="F4606" t="s">
        <v>11610</v>
      </c>
      <c r="L4606">
        <v>0</v>
      </c>
      <c r="M4606">
        <v>0</v>
      </c>
      <c r="N4606">
        <v>0</v>
      </c>
    </row>
    <row r="4607" spans="1:15">
      <c r="A4607" t="s">
        <v>24535</v>
      </c>
      <c r="B4607" t="s">
        <v>6742</v>
      </c>
      <c r="C4607" t="s">
        <v>19066</v>
      </c>
      <c r="D4607" t="s">
        <v>24536</v>
      </c>
      <c r="E4607" t="b">
        <v>0</v>
      </c>
      <c r="F4607" t="s">
        <v>11610</v>
      </c>
      <c r="L4607">
        <v>0</v>
      </c>
      <c r="M4607">
        <v>0</v>
      </c>
      <c r="N4607">
        <v>0</v>
      </c>
    </row>
    <row r="4608" spans="1:15">
      <c r="A4608" t="s">
        <v>24537</v>
      </c>
      <c r="B4608" t="s">
        <v>14798</v>
      </c>
      <c r="C4608" t="s">
        <v>14799</v>
      </c>
      <c r="D4608" t="s">
        <v>24538</v>
      </c>
      <c r="E4608" t="b">
        <v>0</v>
      </c>
      <c r="F4608" t="s">
        <v>11610</v>
      </c>
      <c r="L4608">
        <v>0</v>
      </c>
      <c r="M4608">
        <v>0</v>
      </c>
      <c r="N4608">
        <v>0</v>
      </c>
    </row>
    <row r="4609" spans="1:15">
      <c r="A4609" t="s">
        <v>24539</v>
      </c>
      <c r="B4609" t="s">
        <v>11644</v>
      </c>
      <c r="C4609" t="s">
        <v>17422</v>
      </c>
      <c r="D4609" t="s">
        <v>24540</v>
      </c>
      <c r="E4609" t="b">
        <v>0</v>
      </c>
      <c r="F4609" t="s">
        <v>11610</v>
      </c>
      <c r="L4609">
        <v>0</v>
      </c>
      <c r="M4609">
        <v>0</v>
      </c>
      <c r="N4609">
        <v>0</v>
      </c>
    </row>
    <row r="4610" spans="1:15">
      <c r="A4610" t="s">
        <v>24541</v>
      </c>
      <c r="B4610" t="s">
        <v>11644</v>
      </c>
      <c r="C4610" t="s">
        <v>18592</v>
      </c>
      <c r="D4610" t="s">
        <v>24542</v>
      </c>
      <c r="E4610" t="b">
        <v>0</v>
      </c>
      <c r="F4610" t="s">
        <v>11610</v>
      </c>
      <c r="L4610">
        <v>0</v>
      </c>
      <c r="M4610">
        <v>0</v>
      </c>
      <c r="N4610">
        <v>0</v>
      </c>
    </row>
    <row r="4611" spans="1:15">
      <c r="A4611" t="s">
        <v>24543</v>
      </c>
      <c r="B4611" t="s">
        <v>6742</v>
      </c>
      <c r="C4611" t="s">
        <v>24544</v>
      </c>
      <c r="D4611" t="s">
        <v>24545</v>
      </c>
      <c r="E4611" t="b">
        <v>0</v>
      </c>
      <c r="F4611" t="s">
        <v>11610</v>
      </c>
      <c r="L4611">
        <v>0</v>
      </c>
      <c r="M4611">
        <v>0</v>
      </c>
      <c r="N4611">
        <v>0</v>
      </c>
    </row>
    <row r="4612" spans="1:15">
      <c r="A4612" t="s">
        <v>24546</v>
      </c>
      <c r="B4612" t="s">
        <v>2975</v>
      </c>
      <c r="C4612" t="s">
        <v>24547</v>
      </c>
      <c r="D4612" t="s">
        <v>24548</v>
      </c>
      <c r="E4612" t="b">
        <v>0</v>
      </c>
      <c r="F4612" t="s">
        <v>11624</v>
      </c>
      <c r="G4612">
        <v>0.58157000000000003</v>
      </c>
      <c r="H4612">
        <v>-69.495500000000007</v>
      </c>
      <c r="I4612" t="s">
        <v>24549</v>
      </c>
      <c r="L4612">
        <v>0</v>
      </c>
      <c r="M4612">
        <v>0</v>
      </c>
      <c r="N4612">
        <v>0</v>
      </c>
      <c r="O4612" t="s">
        <v>21122</v>
      </c>
    </row>
    <row r="4613" spans="1:15">
      <c r="A4613" t="s">
        <v>24550</v>
      </c>
      <c r="B4613" t="s">
        <v>10597</v>
      </c>
      <c r="C4613" t="s">
        <v>10597</v>
      </c>
      <c r="D4613" t="s">
        <v>24551</v>
      </c>
      <c r="E4613" t="b">
        <v>0</v>
      </c>
      <c r="F4613" t="s">
        <v>11622</v>
      </c>
      <c r="L4613">
        <v>14</v>
      </c>
      <c r="M4613">
        <v>24</v>
      </c>
      <c r="N4613">
        <v>25</v>
      </c>
    </row>
    <row r="4614" spans="1:15">
      <c r="A4614" t="s">
        <v>24552</v>
      </c>
      <c r="B4614" t="s">
        <v>11627</v>
      </c>
      <c r="C4614" t="s">
        <v>11627</v>
      </c>
      <c r="D4614" t="s">
        <v>24553</v>
      </c>
      <c r="E4614" t="b">
        <v>1</v>
      </c>
      <c r="F4614" t="s">
        <v>11624</v>
      </c>
      <c r="G4614">
        <v>18.965</v>
      </c>
      <c r="H4614">
        <v>82.646000000000001</v>
      </c>
      <c r="I4614" t="s">
        <v>24554</v>
      </c>
      <c r="L4614">
        <v>0</v>
      </c>
      <c r="M4614">
        <v>0</v>
      </c>
      <c r="N4614">
        <v>0</v>
      </c>
      <c r="O4614" t="s">
        <v>11630</v>
      </c>
    </row>
    <row r="4615" spans="1:15">
      <c r="A4615" t="s">
        <v>24555</v>
      </c>
      <c r="B4615" t="s">
        <v>11637</v>
      </c>
      <c r="C4615" t="s">
        <v>15714</v>
      </c>
      <c r="D4615" t="s">
        <v>24556</v>
      </c>
      <c r="E4615" t="b">
        <v>0</v>
      </c>
      <c r="F4615" t="s">
        <v>11610</v>
      </c>
      <c r="L4615">
        <v>0</v>
      </c>
      <c r="M4615">
        <v>0</v>
      </c>
      <c r="N4615">
        <v>0</v>
      </c>
    </row>
    <row r="4616" spans="1:15">
      <c r="A4616" t="s">
        <v>24557</v>
      </c>
      <c r="B4616" t="s">
        <v>11637</v>
      </c>
      <c r="C4616" t="s">
        <v>15828</v>
      </c>
      <c r="D4616" t="s">
        <v>24558</v>
      </c>
      <c r="E4616" t="b">
        <v>0</v>
      </c>
      <c r="F4616" t="s">
        <v>11610</v>
      </c>
      <c r="L4616">
        <v>0</v>
      </c>
      <c r="M4616">
        <v>0</v>
      </c>
      <c r="N4616">
        <v>0</v>
      </c>
    </row>
    <row r="4617" spans="1:15">
      <c r="A4617" t="s">
        <v>24559</v>
      </c>
      <c r="B4617" t="s">
        <v>4236</v>
      </c>
      <c r="C4617" t="s">
        <v>12592</v>
      </c>
      <c r="D4617" t="s">
        <v>24560</v>
      </c>
      <c r="E4617" t="b">
        <v>0</v>
      </c>
      <c r="F4617" t="s">
        <v>11610</v>
      </c>
      <c r="L4617">
        <v>0</v>
      </c>
      <c r="M4617">
        <v>0</v>
      </c>
      <c r="N4617">
        <v>0</v>
      </c>
    </row>
    <row r="4618" spans="1:15">
      <c r="A4618" t="s">
        <v>24561</v>
      </c>
      <c r="B4618" t="s">
        <v>11637</v>
      </c>
      <c r="C4618" t="s">
        <v>11825</v>
      </c>
      <c r="D4618" t="s">
        <v>24562</v>
      </c>
      <c r="E4618" t="b">
        <v>0</v>
      </c>
      <c r="F4618" t="s">
        <v>11610</v>
      </c>
      <c r="L4618">
        <v>0</v>
      </c>
      <c r="M4618">
        <v>0</v>
      </c>
      <c r="N4618">
        <v>0</v>
      </c>
    </row>
    <row r="4619" spans="1:15">
      <c r="A4619" t="s">
        <v>24563</v>
      </c>
      <c r="B4619" t="s">
        <v>11637</v>
      </c>
      <c r="C4619" t="s">
        <v>24564</v>
      </c>
      <c r="D4619" t="s">
        <v>24565</v>
      </c>
      <c r="E4619" t="b">
        <v>0</v>
      </c>
      <c r="F4619" t="s">
        <v>11610</v>
      </c>
      <c r="L4619">
        <v>0</v>
      </c>
      <c r="M4619">
        <v>0</v>
      </c>
      <c r="N4619">
        <v>0</v>
      </c>
    </row>
    <row r="4620" spans="1:15">
      <c r="A4620" t="s">
        <v>24566</v>
      </c>
      <c r="B4620" t="s">
        <v>11637</v>
      </c>
      <c r="C4620" t="s">
        <v>24567</v>
      </c>
      <c r="D4620" t="s">
        <v>24568</v>
      </c>
      <c r="E4620" t="b">
        <v>0</v>
      </c>
      <c r="F4620" t="s">
        <v>11610</v>
      </c>
      <c r="L4620">
        <v>0</v>
      </c>
      <c r="M4620">
        <v>0</v>
      </c>
      <c r="N4620">
        <v>0</v>
      </c>
    </row>
    <row r="4621" spans="1:15">
      <c r="A4621" t="s">
        <v>24569</v>
      </c>
      <c r="B4621" t="s">
        <v>12254</v>
      </c>
      <c r="C4621" t="s">
        <v>12255</v>
      </c>
      <c r="D4621" t="s">
        <v>24570</v>
      </c>
      <c r="E4621" t="b">
        <v>0</v>
      </c>
      <c r="F4621" t="s">
        <v>11610</v>
      </c>
      <c r="L4621">
        <v>0</v>
      </c>
      <c r="M4621">
        <v>0</v>
      </c>
      <c r="N4621">
        <v>0</v>
      </c>
    </row>
    <row r="4622" spans="1:15">
      <c r="A4622" t="s">
        <v>24571</v>
      </c>
      <c r="B4622" t="s">
        <v>6742</v>
      </c>
      <c r="C4622" t="s">
        <v>17312</v>
      </c>
      <c r="D4622" t="s">
        <v>24572</v>
      </c>
      <c r="E4622" t="b">
        <v>0</v>
      </c>
      <c r="F4622" t="s">
        <v>11624</v>
      </c>
      <c r="G4622">
        <v>6.5611300000000004</v>
      </c>
      <c r="H4622">
        <v>-10.9076</v>
      </c>
      <c r="I4622" t="s">
        <v>24573</v>
      </c>
      <c r="L4622">
        <v>0</v>
      </c>
      <c r="M4622">
        <v>0</v>
      </c>
      <c r="N4622">
        <v>0</v>
      </c>
      <c r="O4622" t="s">
        <v>17011</v>
      </c>
    </row>
    <row r="4623" spans="1:15">
      <c r="A4623" t="s">
        <v>24574</v>
      </c>
      <c r="B4623" t="s">
        <v>11637</v>
      </c>
      <c r="C4623" t="s">
        <v>24575</v>
      </c>
      <c r="D4623" t="s">
        <v>24576</v>
      </c>
      <c r="E4623" t="b">
        <v>0</v>
      </c>
      <c r="F4623" t="s">
        <v>11624</v>
      </c>
      <c r="G4623">
        <v>32.374000000000002</v>
      </c>
      <c r="H4623">
        <v>48.906999999999996</v>
      </c>
      <c r="I4623" t="s">
        <v>24577</v>
      </c>
      <c r="L4623">
        <v>0</v>
      </c>
      <c r="M4623">
        <v>0</v>
      </c>
      <c r="N4623">
        <v>0</v>
      </c>
      <c r="O4623" t="s">
        <v>13225</v>
      </c>
    </row>
    <row r="4624" spans="1:15">
      <c r="A4624" t="s">
        <v>24578</v>
      </c>
      <c r="B4624" t="s">
        <v>11607</v>
      </c>
      <c r="C4624" t="s">
        <v>17620</v>
      </c>
      <c r="D4624" t="s">
        <v>24579</v>
      </c>
      <c r="E4624" t="b">
        <v>0</v>
      </c>
      <c r="F4624" t="s">
        <v>11610</v>
      </c>
      <c r="L4624">
        <v>0</v>
      </c>
      <c r="M4624">
        <v>0</v>
      </c>
      <c r="N4624">
        <v>0</v>
      </c>
    </row>
    <row r="4625" spans="1:15">
      <c r="A4625" t="s">
        <v>24580</v>
      </c>
      <c r="B4625" t="s">
        <v>11644</v>
      </c>
      <c r="C4625" t="s">
        <v>24097</v>
      </c>
      <c r="D4625" t="s">
        <v>24581</v>
      </c>
      <c r="E4625" t="b">
        <v>0</v>
      </c>
      <c r="F4625" t="s">
        <v>11610</v>
      </c>
      <c r="L4625">
        <v>0</v>
      </c>
      <c r="M4625">
        <v>0</v>
      </c>
      <c r="N4625">
        <v>0</v>
      </c>
    </row>
    <row r="4626" spans="1:15">
      <c r="A4626" t="s">
        <v>24582</v>
      </c>
      <c r="B4626" t="s">
        <v>11637</v>
      </c>
      <c r="C4626" t="s">
        <v>3656</v>
      </c>
      <c r="D4626" t="s">
        <v>24583</v>
      </c>
      <c r="E4626" t="b">
        <v>0</v>
      </c>
      <c r="F4626" t="s">
        <v>11610</v>
      </c>
      <c r="L4626">
        <v>0</v>
      </c>
      <c r="M4626">
        <v>0</v>
      </c>
      <c r="N4626">
        <v>0</v>
      </c>
    </row>
    <row r="4627" spans="1:15">
      <c r="A4627" t="s">
        <v>24584</v>
      </c>
      <c r="B4627" t="s">
        <v>11607</v>
      </c>
      <c r="C4627" t="s">
        <v>23060</v>
      </c>
      <c r="D4627" t="s">
        <v>24585</v>
      </c>
      <c r="E4627" t="b">
        <v>0</v>
      </c>
      <c r="F4627" t="s">
        <v>11624</v>
      </c>
      <c r="G4627">
        <v>11.057510000000001</v>
      </c>
      <c r="H4627">
        <v>13.77847</v>
      </c>
      <c r="I4627" t="s">
        <v>24586</v>
      </c>
      <c r="L4627">
        <v>0</v>
      </c>
      <c r="M4627">
        <v>0</v>
      </c>
      <c r="N4627">
        <v>0</v>
      </c>
      <c r="O4627" t="s">
        <v>11802</v>
      </c>
    </row>
    <row r="4628" spans="1:15">
      <c r="A4628" t="s">
        <v>23060</v>
      </c>
      <c r="B4628" t="s">
        <v>11607</v>
      </c>
      <c r="C4628" t="s">
        <v>24587</v>
      </c>
      <c r="D4628" t="s">
        <v>24588</v>
      </c>
      <c r="E4628" t="b">
        <v>0</v>
      </c>
      <c r="F4628" t="s">
        <v>11622</v>
      </c>
      <c r="L4628">
        <v>0</v>
      </c>
      <c r="M4628">
        <v>4</v>
      </c>
      <c r="N4628">
        <v>3</v>
      </c>
    </row>
    <row r="4629" spans="1:15">
      <c r="A4629" t="s">
        <v>24589</v>
      </c>
      <c r="B4629" t="s">
        <v>11981</v>
      </c>
      <c r="C4629" t="s">
        <v>12200</v>
      </c>
      <c r="D4629" t="s">
        <v>24590</v>
      </c>
      <c r="E4629" t="b">
        <v>0</v>
      </c>
      <c r="F4629" t="s">
        <v>11622</v>
      </c>
      <c r="L4629">
        <v>0</v>
      </c>
      <c r="M4629">
        <v>4</v>
      </c>
      <c r="N4629">
        <v>0</v>
      </c>
    </row>
    <row r="4630" spans="1:15">
      <c r="A4630" t="s">
        <v>24591</v>
      </c>
      <c r="B4630" t="s">
        <v>6742</v>
      </c>
      <c r="C4630" t="s">
        <v>24592</v>
      </c>
      <c r="D4630" t="s">
        <v>24593</v>
      </c>
      <c r="E4630" t="b">
        <v>0</v>
      </c>
      <c r="F4630" t="s">
        <v>11624</v>
      </c>
      <c r="G4630">
        <v>-4.8120900000000004</v>
      </c>
      <c r="H4630">
        <v>38.817999999999998</v>
      </c>
      <c r="I4630" t="s">
        <v>24594</v>
      </c>
      <c r="L4630">
        <v>0</v>
      </c>
      <c r="M4630">
        <v>0</v>
      </c>
      <c r="N4630">
        <v>0</v>
      </c>
      <c r="O4630" t="s">
        <v>11635</v>
      </c>
    </row>
    <row r="4631" spans="1:15">
      <c r="A4631" t="s">
        <v>24595</v>
      </c>
      <c r="B4631" t="s">
        <v>10597</v>
      </c>
      <c r="C4631" t="s">
        <v>20467</v>
      </c>
      <c r="D4631" t="s">
        <v>24596</v>
      </c>
      <c r="E4631" t="b">
        <v>0</v>
      </c>
      <c r="F4631" t="s">
        <v>11624</v>
      </c>
      <c r="G4631">
        <v>-22.196000000000002</v>
      </c>
      <c r="H4631">
        <v>114.937</v>
      </c>
      <c r="I4631" t="s">
        <v>24597</v>
      </c>
      <c r="L4631">
        <v>0</v>
      </c>
      <c r="M4631">
        <v>0</v>
      </c>
      <c r="N4631">
        <v>0</v>
      </c>
      <c r="O4631" t="s">
        <v>12107</v>
      </c>
    </row>
    <row r="4632" spans="1:15">
      <c r="A4632" t="s">
        <v>24598</v>
      </c>
      <c r="B4632" t="s">
        <v>10597</v>
      </c>
      <c r="C4632" t="s">
        <v>24300</v>
      </c>
      <c r="D4632" t="s">
        <v>24599</v>
      </c>
      <c r="E4632" t="b">
        <v>0</v>
      </c>
      <c r="F4632" t="s">
        <v>11610</v>
      </c>
      <c r="L4632">
        <v>0</v>
      </c>
      <c r="M4632">
        <v>0</v>
      </c>
      <c r="N4632">
        <v>0</v>
      </c>
    </row>
    <row r="4633" spans="1:15">
      <c r="A4633" t="s">
        <v>24600</v>
      </c>
      <c r="B4633" t="s">
        <v>11637</v>
      </c>
      <c r="C4633" t="s">
        <v>24601</v>
      </c>
      <c r="D4633" t="s">
        <v>24602</v>
      </c>
      <c r="E4633" t="b">
        <v>0</v>
      </c>
      <c r="F4633" t="s">
        <v>11624</v>
      </c>
      <c r="G4633">
        <v>20.771899999999999</v>
      </c>
      <c r="H4633">
        <v>73.741799999999998</v>
      </c>
      <c r="I4633" t="s">
        <v>24603</v>
      </c>
      <c r="L4633">
        <v>0</v>
      </c>
      <c r="M4633">
        <v>0</v>
      </c>
      <c r="N4633">
        <v>0</v>
      </c>
      <c r="O4633" t="s">
        <v>11630</v>
      </c>
    </row>
    <row r="4634" spans="1:15">
      <c r="A4634" t="s">
        <v>24567</v>
      </c>
      <c r="B4634" t="s">
        <v>11637</v>
      </c>
      <c r="C4634" t="s">
        <v>19712</v>
      </c>
      <c r="D4634" t="s">
        <v>24604</v>
      </c>
      <c r="E4634" t="b">
        <v>0</v>
      </c>
      <c r="F4634" t="s">
        <v>11624</v>
      </c>
      <c r="G4634">
        <v>27.362013000000001</v>
      </c>
      <c r="H4634">
        <v>85.411517000000003</v>
      </c>
      <c r="I4634" t="s">
        <v>24605</v>
      </c>
      <c r="L4634">
        <v>0</v>
      </c>
      <c r="M4634">
        <v>0</v>
      </c>
      <c r="N4634">
        <v>2</v>
      </c>
      <c r="O4634" t="s">
        <v>15007</v>
      </c>
    </row>
    <row r="4635" spans="1:15">
      <c r="A4635" t="s">
        <v>24606</v>
      </c>
      <c r="B4635" t="s">
        <v>11637</v>
      </c>
      <c r="C4635" t="s">
        <v>24607</v>
      </c>
      <c r="D4635" t="s">
        <v>24608</v>
      </c>
      <c r="E4635" t="b">
        <v>0</v>
      </c>
      <c r="F4635" t="s">
        <v>11610</v>
      </c>
      <c r="L4635">
        <v>0</v>
      </c>
      <c r="M4635">
        <v>0</v>
      </c>
      <c r="N4635">
        <v>0</v>
      </c>
    </row>
    <row r="4636" spans="1:15">
      <c r="A4636" t="s">
        <v>24609</v>
      </c>
      <c r="B4636" t="s">
        <v>11627</v>
      </c>
      <c r="C4636" t="s">
        <v>11627</v>
      </c>
      <c r="D4636" t="s">
        <v>24610</v>
      </c>
      <c r="E4636" t="b">
        <v>1</v>
      </c>
      <c r="F4636" t="s">
        <v>11624</v>
      </c>
      <c r="G4636">
        <v>23.061299999999999</v>
      </c>
      <c r="H4636">
        <v>83.164400000000001</v>
      </c>
      <c r="I4636" t="s">
        <v>24611</v>
      </c>
      <c r="L4636">
        <v>0</v>
      </c>
      <c r="M4636">
        <v>0</v>
      </c>
      <c r="N4636">
        <v>0</v>
      </c>
      <c r="O4636" t="s">
        <v>11630</v>
      </c>
    </row>
    <row r="4637" spans="1:15">
      <c r="A4637" t="s">
        <v>24612</v>
      </c>
      <c r="B4637" t="s">
        <v>11637</v>
      </c>
      <c r="C4637" t="s">
        <v>12270</v>
      </c>
      <c r="D4637" t="s">
        <v>24613</v>
      </c>
      <c r="E4637" t="b">
        <v>0</v>
      </c>
      <c r="F4637" t="s">
        <v>11610</v>
      </c>
      <c r="L4637">
        <v>0</v>
      </c>
      <c r="M4637">
        <v>0</v>
      </c>
      <c r="N4637">
        <v>0</v>
      </c>
    </row>
    <row r="4638" spans="1:15">
      <c r="A4638" t="s">
        <v>24614</v>
      </c>
      <c r="B4638" t="s">
        <v>11844</v>
      </c>
      <c r="C4638" t="s">
        <v>1304</v>
      </c>
      <c r="D4638" t="s">
        <v>24615</v>
      </c>
      <c r="E4638" t="b">
        <v>0</v>
      </c>
      <c r="F4638" t="s">
        <v>11610</v>
      </c>
      <c r="L4638">
        <v>0</v>
      </c>
      <c r="M4638">
        <v>0</v>
      </c>
      <c r="N4638">
        <v>0</v>
      </c>
    </row>
    <row r="4639" spans="1:15">
      <c r="A4639" t="s">
        <v>24616</v>
      </c>
      <c r="B4639" t="s">
        <v>10597</v>
      </c>
      <c r="C4639" t="s">
        <v>24301</v>
      </c>
      <c r="D4639" t="s">
        <v>24617</v>
      </c>
      <c r="E4639" t="b">
        <v>0</v>
      </c>
      <c r="F4639" t="s">
        <v>11624</v>
      </c>
      <c r="G4639">
        <v>-11.949299999999999</v>
      </c>
      <c r="H4639">
        <v>135.75200000000001</v>
      </c>
      <c r="I4639" t="s">
        <v>24618</v>
      </c>
      <c r="L4639">
        <v>0</v>
      </c>
      <c r="M4639">
        <v>0</v>
      </c>
      <c r="N4639">
        <v>6</v>
      </c>
      <c r="O4639" t="s">
        <v>12107</v>
      </c>
    </row>
    <row r="4640" spans="1:15">
      <c r="A4640" t="s">
        <v>10228</v>
      </c>
      <c r="B4640" t="s">
        <v>10597</v>
      </c>
      <c r="C4640" t="s">
        <v>24616</v>
      </c>
      <c r="D4640" t="s">
        <v>24619</v>
      </c>
      <c r="E4640" t="b">
        <v>0</v>
      </c>
      <c r="F4640" t="s">
        <v>11610</v>
      </c>
      <c r="L4640">
        <v>0</v>
      </c>
      <c r="M4640">
        <v>0</v>
      </c>
      <c r="N4640">
        <v>0</v>
      </c>
    </row>
    <row r="4641" spans="1:15">
      <c r="A4641" t="s">
        <v>24620</v>
      </c>
      <c r="B4641" t="s">
        <v>367</v>
      </c>
      <c r="C4641" t="s">
        <v>24621</v>
      </c>
      <c r="D4641" t="s">
        <v>24622</v>
      </c>
      <c r="E4641" t="b">
        <v>0</v>
      </c>
      <c r="F4641" t="s">
        <v>11624</v>
      </c>
      <c r="G4641">
        <v>-10.809799999999999</v>
      </c>
      <c r="H4641">
        <v>122.658</v>
      </c>
      <c r="I4641" t="s">
        <v>24623</v>
      </c>
      <c r="L4641">
        <v>0</v>
      </c>
      <c r="M4641">
        <v>0</v>
      </c>
      <c r="N4641">
        <v>0</v>
      </c>
      <c r="O4641" t="s">
        <v>11768</v>
      </c>
    </row>
    <row r="4642" spans="1:15">
      <c r="A4642" t="s">
        <v>24624</v>
      </c>
      <c r="B4642" t="s">
        <v>11637</v>
      </c>
      <c r="C4642" t="s">
        <v>24625</v>
      </c>
      <c r="D4642" t="s">
        <v>24626</v>
      </c>
      <c r="E4642" t="b">
        <v>0</v>
      </c>
      <c r="F4642" t="s">
        <v>11610</v>
      </c>
      <c r="L4642">
        <v>0</v>
      </c>
      <c r="M4642">
        <v>0</v>
      </c>
      <c r="N4642">
        <v>0</v>
      </c>
    </row>
    <row r="4643" spans="1:15">
      <c r="A4643" t="s">
        <v>24627</v>
      </c>
      <c r="B4643" t="s">
        <v>11844</v>
      </c>
      <c r="C4643" t="s">
        <v>2266</v>
      </c>
      <c r="D4643" t="s">
        <v>24628</v>
      </c>
      <c r="E4643" t="b">
        <v>0</v>
      </c>
      <c r="F4643" t="s">
        <v>11610</v>
      </c>
      <c r="L4643">
        <v>0</v>
      </c>
      <c r="M4643">
        <v>0</v>
      </c>
      <c r="N4643">
        <v>0</v>
      </c>
    </row>
    <row r="4644" spans="1:15">
      <c r="A4644" t="s">
        <v>24629</v>
      </c>
      <c r="B4644" t="s">
        <v>10597</v>
      </c>
      <c r="C4644" t="s">
        <v>24630</v>
      </c>
      <c r="D4644" t="s">
        <v>24631</v>
      </c>
      <c r="E4644" t="b">
        <v>0</v>
      </c>
      <c r="F4644" t="s">
        <v>11624</v>
      </c>
      <c r="G4644">
        <v>-24.060099999999998</v>
      </c>
      <c r="H4644">
        <v>114.84699999999999</v>
      </c>
      <c r="I4644" t="s">
        <v>24632</v>
      </c>
      <c r="L4644">
        <v>0</v>
      </c>
      <c r="M4644">
        <v>0</v>
      </c>
      <c r="N4644">
        <v>0</v>
      </c>
      <c r="O4644" t="s">
        <v>12107</v>
      </c>
    </row>
    <row r="4645" spans="1:15">
      <c r="A4645" t="s">
        <v>24633</v>
      </c>
      <c r="B4645" t="s">
        <v>10597</v>
      </c>
      <c r="C4645" t="s">
        <v>17549</v>
      </c>
      <c r="D4645" t="s">
        <v>24634</v>
      </c>
      <c r="E4645" t="b">
        <v>0</v>
      </c>
      <c r="F4645" t="s">
        <v>11624</v>
      </c>
      <c r="G4645">
        <v>-23.306999999999999</v>
      </c>
      <c r="H4645">
        <v>150.59299999999999</v>
      </c>
      <c r="I4645" t="s">
        <v>24635</v>
      </c>
      <c r="L4645">
        <v>0</v>
      </c>
      <c r="M4645">
        <v>0</v>
      </c>
      <c r="N4645">
        <v>0</v>
      </c>
      <c r="O4645" t="s">
        <v>12107</v>
      </c>
    </row>
    <row r="4646" spans="1:15">
      <c r="A4646" t="s">
        <v>16884</v>
      </c>
      <c r="B4646" t="s">
        <v>11637</v>
      </c>
      <c r="C4646" t="s">
        <v>15874</v>
      </c>
      <c r="D4646" t="s">
        <v>24636</v>
      </c>
      <c r="E4646" t="b">
        <v>0</v>
      </c>
      <c r="F4646" t="s">
        <v>11624</v>
      </c>
      <c r="G4646">
        <v>26.415600000000001</v>
      </c>
      <c r="H4646">
        <v>70.782600000000002</v>
      </c>
      <c r="I4646" t="s">
        <v>24637</v>
      </c>
      <c r="L4646">
        <v>0</v>
      </c>
      <c r="M4646">
        <v>0</v>
      </c>
      <c r="N4646">
        <v>5</v>
      </c>
      <c r="O4646" t="s">
        <v>15870</v>
      </c>
    </row>
    <row r="4647" spans="1:15">
      <c r="A4647" t="s">
        <v>24638</v>
      </c>
      <c r="B4647" t="s">
        <v>10597</v>
      </c>
      <c r="C4647" t="s">
        <v>23169</v>
      </c>
      <c r="D4647" t="s">
        <v>24639</v>
      </c>
      <c r="E4647" t="b">
        <v>0</v>
      </c>
      <c r="F4647" t="s">
        <v>11622</v>
      </c>
      <c r="L4647">
        <v>0</v>
      </c>
      <c r="M4647">
        <v>2</v>
      </c>
      <c r="N4647">
        <v>0</v>
      </c>
    </row>
    <row r="4648" spans="1:15">
      <c r="A4648" t="s">
        <v>24640</v>
      </c>
      <c r="B4648" t="s">
        <v>8897</v>
      </c>
      <c r="C4648" t="s">
        <v>23901</v>
      </c>
      <c r="D4648" t="s">
        <v>24641</v>
      </c>
      <c r="E4648" t="b">
        <v>0</v>
      </c>
      <c r="F4648" t="s">
        <v>11622</v>
      </c>
      <c r="L4648">
        <v>1</v>
      </c>
      <c r="M4648">
        <v>4</v>
      </c>
      <c r="N4648">
        <v>2</v>
      </c>
    </row>
    <row r="4649" spans="1:15">
      <c r="A4649" t="s">
        <v>24642</v>
      </c>
      <c r="B4649" t="s">
        <v>12438</v>
      </c>
      <c r="C4649" t="s">
        <v>24643</v>
      </c>
      <c r="D4649" t="s">
        <v>24644</v>
      </c>
      <c r="E4649" t="b">
        <v>0</v>
      </c>
      <c r="F4649" t="s">
        <v>11610</v>
      </c>
      <c r="L4649">
        <v>0</v>
      </c>
      <c r="M4649">
        <v>0</v>
      </c>
      <c r="N4649">
        <v>0</v>
      </c>
    </row>
    <row r="4650" spans="1:15">
      <c r="A4650" t="s">
        <v>24645</v>
      </c>
      <c r="B4650" t="s">
        <v>11644</v>
      </c>
      <c r="C4650" t="s">
        <v>11644</v>
      </c>
      <c r="D4650" t="s">
        <v>24646</v>
      </c>
      <c r="E4650" t="b">
        <v>0</v>
      </c>
      <c r="F4650" t="s">
        <v>11622</v>
      </c>
      <c r="L4650">
        <v>0</v>
      </c>
      <c r="M4650">
        <v>2</v>
      </c>
      <c r="N4650">
        <v>2</v>
      </c>
    </row>
    <row r="4651" spans="1:15">
      <c r="A4651" t="s">
        <v>24647</v>
      </c>
      <c r="B4651" t="s">
        <v>11644</v>
      </c>
      <c r="C4651" t="s">
        <v>24645</v>
      </c>
      <c r="D4651" t="s">
        <v>24648</v>
      </c>
      <c r="E4651" t="b">
        <v>0</v>
      </c>
      <c r="F4651" t="s">
        <v>11624</v>
      </c>
      <c r="G4651">
        <v>26.628299999999999</v>
      </c>
      <c r="H4651">
        <v>88.379800000000003</v>
      </c>
      <c r="I4651" t="s">
        <v>24649</v>
      </c>
      <c r="L4651">
        <v>0</v>
      </c>
      <c r="M4651">
        <v>0</v>
      </c>
      <c r="N4651">
        <v>2</v>
      </c>
      <c r="O4651" t="s">
        <v>12524</v>
      </c>
    </row>
    <row r="4652" spans="1:15">
      <c r="A4652" t="s">
        <v>24650</v>
      </c>
      <c r="B4652" t="s">
        <v>10597</v>
      </c>
      <c r="C4652" t="s">
        <v>15730</v>
      </c>
      <c r="D4652" t="s">
        <v>24651</v>
      </c>
      <c r="E4652" t="b">
        <v>0</v>
      </c>
      <c r="F4652" t="s">
        <v>11610</v>
      </c>
      <c r="L4652">
        <v>0</v>
      </c>
      <c r="M4652">
        <v>0</v>
      </c>
      <c r="N4652">
        <v>0</v>
      </c>
    </row>
    <row r="4653" spans="1:15">
      <c r="A4653" t="s">
        <v>24652</v>
      </c>
      <c r="B4653" t="s">
        <v>11637</v>
      </c>
      <c r="C4653" t="s">
        <v>24653</v>
      </c>
      <c r="D4653" t="s">
        <v>24654</v>
      </c>
      <c r="E4653" t="b">
        <v>0</v>
      </c>
      <c r="F4653" t="s">
        <v>11624</v>
      </c>
      <c r="G4653">
        <v>1.928498</v>
      </c>
      <c r="H4653">
        <v>73.544330000000002</v>
      </c>
      <c r="I4653" t="s">
        <v>24655</v>
      </c>
      <c r="L4653">
        <v>0</v>
      </c>
      <c r="M4653">
        <v>0</v>
      </c>
      <c r="N4653">
        <v>0</v>
      </c>
      <c r="O4653" t="s">
        <v>24656</v>
      </c>
    </row>
    <row r="4654" spans="1:15">
      <c r="A4654" t="s">
        <v>24657</v>
      </c>
      <c r="B4654" t="s">
        <v>11637</v>
      </c>
      <c r="C4654" t="s">
        <v>1274</v>
      </c>
      <c r="D4654" t="s">
        <v>24658</v>
      </c>
      <c r="E4654" t="b">
        <v>0</v>
      </c>
      <c r="F4654" t="s">
        <v>11624</v>
      </c>
      <c r="G4654">
        <v>21.0656</v>
      </c>
      <c r="H4654">
        <v>73.274299999999997</v>
      </c>
      <c r="I4654" t="s">
        <v>24659</v>
      </c>
      <c r="L4654">
        <v>0</v>
      </c>
      <c r="M4654">
        <v>0</v>
      </c>
      <c r="N4654">
        <v>0</v>
      </c>
      <c r="O4654" t="s">
        <v>11630</v>
      </c>
    </row>
    <row r="4655" spans="1:15">
      <c r="A4655" t="s">
        <v>24660</v>
      </c>
      <c r="B4655" t="s">
        <v>11607</v>
      </c>
      <c r="C4655" t="s">
        <v>4675</v>
      </c>
      <c r="D4655" t="s">
        <v>24661</v>
      </c>
      <c r="E4655" t="b">
        <v>0</v>
      </c>
      <c r="F4655" t="s">
        <v>11624</v>
      </c>
      <c r="G4655">
        <v>17.079599999999999</v>
      </c>
      <c r="H4655">
        <v>54.489400000000003</v>
      </c>
      <c r="I4655" t="s">
        <v>24662</v>
      </c>
      <c r="L4655">
        <v>0</v>
      </c>
      <c r="M4655">
        <v>0</v>
      </c>
      <c r="N4655">
        <v>0</v>
      </c>
      <c r="O4655" t="s">
        <v>24663</v>
      </c>
    </row>
    <row r="4656" spans="1:15">
      <c r="A4656" t="s">
        <v>24664</v>
      </c>
      <c r="B4656" t="s">
        <v>11637</v>
      </c>
      <c r="C4656" t="s">
        <v>15671</v>
      </c>
      <c r="D4656" t="s">
        <v>24665</v>
      </c>
      <c r="E4656" t="b">
        <v>0</v>
      </c>
      <c r="F4656" t="s">
        <v>11610</v>
      </c>
      <c r="L4656">
        <v>0</v>
      </c>
      <c r="M4656">
        <v>0</v>
      </c>
      <c r="N4656">
        <v>0</v>
      </c>
    </row>
    <row r="4657" spans="1:15">
      <c r="A4657" t="s">
        <v>24666</v>
      </c>
      <c r="B4657" t="s">
        <v>13276</v>
      </c>
      <c r="C4657" t="s">
        <v>18988</v>
      </c>
      <c r="D4657" t="s">
        <v>24667</v>
      </c>
      <c r="E4657" t="b">
        <v>0</v>
      </c>
      <c r="F4657" t="s">
        <v>11610</v>
      </c>
      <c r="L4657">
        <v>0</v>
      </c>
      <c r="M4657">
        <v>0</v>
      </c>
      <c r="N4657">
        <v>0</v>
      </c>
    </row>
    <row r="4658" spans="1:15">
      <c r="A4658" t="s">
        <v>1158</v>
      </c>
      <c r="B4658" t="s">
        <v>11757</v>
      </c>
      <c r="C4658" t="s">
        <v>883</v>
      </c>
      <c r="D4658" t="s">
        <v>24668</v>
      </c>
      <c r="E4658" t="b">
        <v>0</v>
      </c>
      <c r="F4658" t="s">
        <v>11610</v>
      </c>
      <c r="L4658">
        <v>0</v>
      </c>
      <c r="M4658">
        <v>0</v>
      </c>
      <c r="N4658">
        <v>0</v>
      </c>
    </row>
    <row r="4659" spans="1:15">
      <c r="A4659" t="s">
        <v>24669</v>
      </c>
      <c r="B4659" t="s">
        <v>10597</v>
      </c>
      <c r="C4659" t="s">
        <v>24670</v>
      </c>
      <c r="D4659" t="s">
        <v>24671</v>
      </c>
      <c r="E4659" t="b">
        <v>0</v>
      </c>
      <c r="F4659" t="s">
        <v>11624</v>
      </c>
      <c r="G4659">
        <v>-36.958814410000002</v>
      </c>
      <c r="H4659">
        <v>147.04503790000001</v>
      </c>
      <c r="I4659" t="s">
        <v>24672</v>
      </c>
      <c r="L4659">
        <v>0</v>
      </c>
      <c r="M4659">
        <v>0</v>
      </c>
      <c r="N4659">
        <v>0</v>
      </c>
      <c r="O4659" t="s">
        <v>12107</v>
      </c>
    </row>
    <row r="4660" spans="1:15">
      <c r="A4660" t="s">
        <v>24670</v>
      </c>
      <c r="B4660" t="s">
        <v>10597</v>
      </c>
      <c r="C4660" t="s">
        <v>24673</v>
      </c>
      <c r="D4660" t="s">
        <v>24674</v>
      </c>
      <c r="E4660" t="b">
        <v>0</v>
      </c>
      <c r="F4660" t="s">
        <v>11622</v>
      </c>
      <c r="L4660">
        <v>0</v>
      </c>
      <c r="M4660">
        <v>2</v>
      </c>
      <c r="N4660">
        <v>0</v>
      </c>
    </row>
    <row r="4661" spans="1:15">
      <c r="A4661" t="s">
        <v>24675</v>
      </c>
      <c r="B4661" t="s">
        <v>11644</v>
      </c>
      <c r="C4661" t="s">
        <v>20791</v>
      </c>
      <c r="D4661" t="s">
        <v>24676</v>
      </c>
      <c r="E4661" t="b">
        <v>0</v>
      </c>
      <c r="F4661" t="s">
        <v>11610</v>
      </c>
      <c r="L4661">
        <v>0</v>
      </c>
      <c r="M4661">
        <v>0</v>
      </c>
      <c r="N4661">
        <v>0</v>
      </c>
    </row>
    <row r="4662" spans="1:15">
      <c r="A4662" t="s">
        <v>24677</v>
      </c>
      <c r="B4662" t="s">
        <v>11637</v>
      </c>
      <c r="C4662" t="s">
        <v>15874</v>
      </c>
      <c r="D4662" t="s">
        <v>24678</v>
      </c>
      <c r="E4662" t="b">
        <v>0</v>
      </c>
      <c r="F4662" t="s">
        <v>11624</v>
      </c>
      <c r="G4662">
        <v>26.472999999999999</v>
      </c>
      <c r="H4662">
        <v>76.197999999999993</v>
      </c>
      <c r="I4662" t="s">
        <v>24679</v>
      </c>
      <c r="L4662">
        <v>0</v>
      </c>
      <c r="M4662">
        <v>0</v>
      </c>
      <c r="N4662">
        <v>0</v>
      </c>
      <c r="O4662" t="s">
        <v>11630</v>
      </c>
    </row>
    <row r="4663" spans="1:15">
      <c r="A4663" t="s">
        <v>24680</v>
      </c>
      <c r="B4663" t="s">
        <v>10597</v>
      </c>
      <c r="C4663" t="s">
        <v>24681</v>
      </c>
      <c r="D4663" t="s">
        <v>24682</v>
      </c>
      <c r="E4663" t="b">
        <v>0</v>
      </c>
      <c r="F4663" t="s">
        <v>11610</v>
      </c>
      <c r="I4663" t="s">
        <v>24683</v>
      </c>
      <c r="L4663">
        <v>0</v>
      </c>
      <c r="M4663">
        <v>0</v>
      </c>
      <c r="N4663">
        <v>0</v>
      </c>
      <c r="O4663" t="s">
        <v>12107</v>
      </c>
    </row>
    <row r="4664" spans="1:15">
      <c r="A4664" t="s">
        <v>24684</v>
      </c>
      <c r="B4664" t="s">
        <v>10597</v>
      </c>
      <c r="C4664" t="s">
        <v>24685</v>
      </c>
      <c r="D4664" t="s">
        <v>24686</v>
      </c>
      <c r="E4664" t="b">
        <v>0</v>
      </c>
      <c r="F4664" t="s">
        <v>11624</v>
      </c>
      <c r="G4664">
        <v>-35.411999999999999</v>
      </c>
      <c r="H4664">
        <v>150.13399999999999</v>
      </c>
      <c r="I4664" t="s">
        <v>24687</v>
      </c>
      <c r="L4664">
        <v>0</v>
      </c>
      <c r="M4664">
        <v>0</v>
      </c>
      <c r="N4664">
        <v>0</v>
      </c>
      <c r="O4664" t="s">
        <v>12107</v>
      </c>
    </row>
    <row r="4665" spans="1:15">
      <c r="A4665" t="s">
        <v>24688</v>
      </c>
      <c r="B4665" t="s">
        <v>10597</v>
      </c>
      <c r="C4665" t="s">
        <v>24301</v>
      </c>
      <c r="D4665" t="s">
        <v>24689</v>
      </c>
      <c r="E4665" t="b">
        <v>0</v>
      </c>
      <c r="F4665" t="s">
        <v>11622</v>
      </c>
      <c r="L4665">
        <v>2</v>
      </c>
      <c r="M4665">
        <v>4</v>
      </c>
      <c r="N4665">
        <v>15</v>
      </c>
    </row>
    <row r="4666" spans="1:15">
      <c r="A4666" t="s">
        <v>668</v>
      </c>
      <c r="B4666" t="s">
        <v>10597</v>
      </c>
      <c r="C4666" t="s">
        <v>24690</v>
      </c>
      <c r="D4666" t="s">
        <v>24691</v>
      </c>
      <c r="E4666" t="b">
        <v>0</v>
      </c>
      <c r="F4666" t="s">
        <v>11624</v>
      </c>
      <c r="G4666">
        <v>-12.782500000000001</v>
      </c>
      <c r="H4666">
        <v>136.00800000000001</v>
      </c>
      <c r="I4666" t="s">
        <v>669</v>
      </c>
      <c r="L4666">
        <v>0</v>
      </c>
      <c r="M4666">
        <v>0</v>
      </c>
      <c r="N4666">
        <v>8</v>
      </c>
      <c r="O4666" t="s">
        <v>12107</v>
      </c>
    </row>
    <row r="4667" spans="1:15">
      <c r="A4667" t="s">
        <v>24692</v>
      </c>
      <c r="B4667" t="s">
        <v>10597</v>
      </c>
      <c r="C4667" t="s">
        <v>668</v>
      </c>
      <c r="D4667" t="s">
        <v>24693</v>
      </c>
      <c r="E4667" t="b">
        <v>0</v>
      </c>
      <c r="F4667" t="s">
        <v>11610</v>
      </c>
      <c r="L4667">
        <v>0</v>
      </c>
      <c r="M4667">
        <v>0</v>
      </c>
      <c r="N4667">
        <v>0</v>
      </c>
    </row>
    <row r="4668" spans="1:15">
      <c r="A4668" t="s">
        <v>24694</v>
      </c>
      <c r="B4668" t="s">
        <v>11834</v>
      </c>
      <c r="C4668" t="s">
        <v>24695</v>
      </c>
      <c r="D4668" t="s">
        <v>24696</v>
      </c>
      <c r="E4668" t="b">
        <v>0</v>
      </c>
      <c r="F4668" t="s">
        <v>11624</v>
      </c>
      <c r="G4668">
        <v>-3.3883700000000001</v>
      </c>
      <c r="H4668">
        <v>142.24799999999999</v>
      </c>
      <c r="I4668" t="s">
        <v>24697</v>
      </c>
      <c r="L4668">
        <v>0</v>
      </c>
      <c r="M4668">
        <v>0</v>
      </c>
      <c r="N4668">
        <v>0</v>
      </c>
      <c r="O4668" t="s">
        <v>11660</v>
      </c>
    </row>
    <row r="4669" spans="1:15">
      <c r="A4669" t="s">
        <v>24698</v>
      </c>
      <c r="B4669" t="s">
        <v>6742</v>
      </c>
      <c r="C4669" t="s">
        <v>19794</v>
      </c>
      <c r="D4669" t="s">
        <v>24699</v>
      </c>
      <c r="E4669" t="b">
        <v>0</v>
      </c>
      <c r="F4669" t="s">
        <v>11610</v>
      </c>
      <c r="L4669">
        <v>0</v>
      </c>
      <c r="M4669">
        <v>0</v>
      </c>
      <c r="N4669">
        <v>0</v>
      </c>
    </row>
    <row r="4670" spans="1:15">
      <c r="A4670" t="s">
        <v>24700</v>
      </c>
      <c r="B4670" t="s">
        <v>11637</v>
      </c>
      <c r="C4670" t="s">
        <v>24701</v>
      </c>
      <c r="D4670" t="s">
        <v>24702</v>
      </c>
      <c r="E4670" t="b">
        <v>0</v>
      </c>
      <c r="F4670" t="s">
        <v>11610</v>
      </c>
      <c r="L4670">
        <v>0</v>
      </c>
      <c r="M4670">
        <v>0</v>
      </c>
      <c r="N4670">
        <v>0</v>
      </c>
    </row>
    <row r="4671" spans="1:15">
      <c r="A4671" t="s">
        <v>24703</v>
      </c>
      <c r="B4671" t="s">
        <v>11912</v>
      </c>
      <c r="C4671" t="s">
        <v>24704</v>
      </c>
      <c r="D4671" t="s">
        <v>24705</v>
      </c>
      <c r="E4671" t="b">
        <v>0</v>
      </c>
      <c r="F4671" t="s">
        <v>11610</v>
      </c>
      <c r="L4671">
        <v>0</v>
      </c>
      <c r="M4671">
        <v>0</v>
      </c>
      <c r="N4671">
        <v>0</v>
      </c>
    </row>
    <row r="4672" spans="1:15">
      <c r="A4672" t="s">
        <v>24706</v>
      </c>
      <c r="B4672" t="s">
        <v>6742</v>
      </c>
      <c r="C4672" t="s">
        <v>24707</v>
      </c>
      <c r="D4672" t="s">
        <v>24708</v>
      </c>
      <c r="E4672" t="b">
        <v>0</v>
      </c>
      <c r="F4672" t="s">
        <v>11610</v>
      </c>
      <c r="L4672">
        <v>0</v>
      </c>
      <c r="M4672">
        <v>0</v>
      </c>
      <c r="N4672">
        <v>0</v>
      </c>
    </row>
    <row r="4673" spans="1:15">
      <c r="A4673" t="s">
        <v>24709</v>
      </c>
      <c r="B4673" t="s">
        <v>12254</v>
      </c>
      <c r="C4673" t="s">
        <v>24710</v>
      </c>
      <c r="D4673" t="s">
        <v>24711</v>
      </c>
      <c r="E4673" t="b">
        <v>0</v>
      </c>
      <c r="F4673" t="s">
        <v>11610</v>
      </c>
      <c r="L4673">
        <v>0</v>
      </c>
      <c r="M4673">
        <v>0</v>
      </c>
      <c r="N4673">
        <v>0</v>
      </c>
    </row>
    <row r="4674" spans="1:15">
      <c r="A4674" t="s">
        <v>24712</v>
      </c>
      <c r="B4674" t="s">
        <v>367</v>
      </c>
      <c r="C4674" t="s">
        <v>17553</v>
      </c>
      <c r="D4674" t="s">
        <v>24713</v>
      </c>
      <c r="E4674" t="b">
        <v>0</v>
      </c>
      <c r="F4674" t="s">
        <v>11610</v>
      </c>
      <c r="L4674">
        <v>0</v>
      </c>
      <c r="M4674">
        <v>0</v>
      </c>
      <c r="N4674">
        <v>0</v>
      </c>
    </row>
    <row r="4675" spans="1:15">
      <c r="A4675" t="s">
        <v>24714</v>
      </c>
      <c r="B4675" t="s">
        <v>367</v>
      </c>
      <c r="C4675" t="s">
        <v>12397</v>
      </c>
      <c r="D4675" t="s">
        <v>24715</v>
      </c>
      <c r="E4675" t="b">
        <v>0</v>
      </c>
      <c r="F4675" t="s">
        <v>11624</v>
      </c>
      <c r="G4675">
        <v>7.8566399999999996</v>
      </c>
      <c r="H4675">
        <v>126.018</v>
      </c>
      <c r="I4675" t="s">
        <v>24716</v>
      </c>
      <c r="L4675">
        <v>0</v>
      </c>
      <c r="M4675">
        <v>0</v>
      </c>
      <c r="N4675">
        <v>0</v>
      </c>
      <c r="O4675" t="s">
        <v>11749</v>
      </c>
    </row>
    <row r="4676" spans="1:15">
      <c r="A4676" t="s">
        <v>24717</v>
      </c>
      <c r="D4676" t="s">
        <v>24718</v>
      </c>
      <c r="E4676" t="b">
        <v>0</v>
      </c>
      <c r="F4676" t="s">
        <v>11624</v>
      </c>
      <c r="G4676">
        <v>-7.8209600000000004</v>
      </c>
      <c r="H4676">
        <v>142.779</v>
      </c>
      <c r="I4676" t="s">
        <v>24719</v>
      </c>
      <c r="L4676">
        <v>0</v>
      </c>
      <c r="M4676">
        <v>0</v>
      </c>
      <c r="N4676">
        <v>0</v>
      </c>
      <c r="O4676" t="s">
        <v>11660</v>
      </c>
    </row>
    <row r="4677" spans="1:15">
      <c r="A4677" t="s">
        <v>21485</v>
      </c>
      <c r="B4677" t="s">
        <v>6742</v>
      </c>
      <c r="C4677" t="s">
        <v>19363</v>
      </c>
      <c r="D4677" t="s">
        <v>24720</v>
      </c>
      <c r="E4677" t="b">
        <v>0</v>
      </c>
      <c r="F4677" t="s">
        <v>11624</v>
      </c>
      <c r="G4677">
        <v>1.0777300000000001</v>
      </c>
      <c r="H4677">
        <v>17.230499999999999</v>
      </c>
      <c r="I4677" t="s">
        <v>24721</v>
      </c>
      <c r="L4677">
        <v>0</v>
      </c>
      <c r="M4677">
        <v>0</v>
      </c>
      <c r="N4677">
        <v>3</v>
      </c>
      <c r="O4677" t="s">
        <v>12868</v>
      </c>
    </row>
    <row r="4678" spans="1:15">
      <c r="A4678" t="s">
        <v>24722</v>
      </c>
      <c r="B4678" t="s">
        <v>6742</v>
      </c>
      <c r="C4678" t="s">
        <v>16118</v>
      </c>
      <c r="D4678" t="s">
        <v>24723</v>
      </c>
      <c r="E4678" t="b">
        <v>0</v>
      </c>
      <c r="F4678" t="s">
        <v>11610</v>
      </c>
      <c r="L4678">
        <v>0</v>
      </c>
      <c r="M4678">
        <v>0</v>
      </c>
      <c r="N4678">
        <v>0</v>
      </c>
    </row>
    <row r="4679" spans="1:15">
      <c r="A4679" t="s">
        <v>24724</v>
      </c>
      <c r="B4679" t="s">
        <v>6742</v>
      </c>
      <c r="C4679" t="s">
        <v>24725</v>
      </c>
      <c r="D4679" t="s">
        <v>24726</v>
      </c>
      <c r="E4679" t="b">
        <v>0</v>
      </c>
      <c r="F4679" t="s">
        <v>11624</v>
      </c>
      <c r="G4679">
        <v>9.0610999999999997</v>
      </c>
      <c r="H4679">
        <v>6.3731</v>
      </c>
      <c r="I4679" t="s">
        <v>24727</v>
      </c>
      <c r="L4679">
        <v>0</v>
      </c>
      <c r="M4679">
        <v>0</v>
      </c>
      <c r="N4679">
        <v>0</v>
      </c>
      <c r="O4679" t="s">
        <v>11693</v>
      </c>
    </row>
    <row r="4680" spans="1:15">
      <c r="A4680" t="s">
        <v>24728</v>
      </c>
      <c r="B4680" t="s">
        <v>6742</v>
      </c>
      <c r="C4680" t="s">
        <v>14916</v>
      </c>
      <c r="D4680" t="s">
        <v>24729</v>
      </c>
      <c r="E4680" t="b">
        <v>0</v>
      </c>
      <c r="F4680" t="s">
        <v>11622</v>
      </c>
      <c r="L4680">
        <v>2</v>
      </c>
      <c r="M4680">
        <v>5</v>
      </c>
      <c r="N4680">
        <v>4</v>
      </c>
    </row>
    <row r="4681" spans="1:15">
      <c r="A4681" t="s">
        <v>24725</v>
      </c>
      <c r="B4681" t="s">
        <v>6742</v>
      </c>
      <c r="C4681" t="s">
        <v>24728</v>
      </c>
      <c r="D4681" t="s">
        <v>24730</v>
      </c>
      <c r="E4681" t="b">
        <v>0</v>
      </c>
      <c r="F4681" t="s">
        <v>11622</v>
      </c>
      <c r="L4681">
        <v>1</v>
      </c>
      <c r="M4681">
        <v>3</v>
      </c>
      <c r="N4681">
        <v>2</v>
      </c>
    </row>
    <row r="4682" spans="1:15">
      <c r="A4682" t="s">
        <v>24731</v>
      </c>
      <c r="B4682" t="s">
        <v>11644</v>
      </c>
      <c r="C4682" t="s">
        <v>24732</v>
      </c>
      <c r="D4682" t="s">
        <v>24733</v>
      </c>
      <c r="E4682" t="b">
        <v>0</v>
      </c>
      <c r="F4682" t="s">
        <v>11610</v>
      </c>
      <c r="L4682">
        <v>0</v>
      </c>
      <c r="M4682">
        <v>0</v>
      </c>
      <c r="N4682">
        <v>0</v>
      </c>
    </row>
    <row r="4683" spans="1:15">
      <c r="A4683" t="s">
        <v>24734</v>
      </c>
      <c r="B4683" t="s">
        <v>367</v>
      </c>
      <c r="C4683" t="s">
        <v>24735</v>
      </c>
      <c r="D4683" t="s">
        <v>24736</v>
      </c>
      <c r="E4683" t="b">
        <v>0</v>
      </c>
      <c r="F4683" t="s">
        <v>11624</v>
      </c>
      <c r="G4683">
        <v>17.884599999999999</v>
      </c>
      <c r="H4683">
        <v>121.60599999999999</v>
      </c>
      <c r="I4683" t="s">
        <v>24737</v>
      </c>
      <c r="L4683">
        <v>0</v>
      </c>
      <c r="M4683">
        <v>0</v>
      </c>
      <c r="N4683">
        <v>0</v>
      </c>
      <c r="O4683" t="s">
        <v>11749</v>
      </c>
    </row>
    <row r="4684" spans="1:15">
      <c r="A4684" t="s">
        <v>24738</v>
      </c>
      <c r="B4684" t="s">
        <v>6742</v>
      </c>
      <c r="C4684" t="s">
        <v>16184</v>
      </c>
      <c r="D4684" t="s">
        <v>24739</v>
      </c>
      <c r="E4684" t="b">
        <v>0</v>
      </c>
      <c r="F4684" t="s">
        <v>11622</v>
      </c>
      <c r="L4684">
        <v>2</v>
      </c>
      <c r="M4684">
        <v>4</v>
      </c>
      <c r="N4684">
        <v>3</v>
      </c>
    </row>
    <row r="4685" spans="1:15">
      <c r="A4685" t="s">
        <v>24740</v>
      </c>
      <c r="B4685" t="s">
        <v>6742</v>
      </c>
      <c r="C4685" t="s">
        <v>24738</v>
      </c>
      <c r="D4685" t="s">
        <v>24741</v>
      </c>
      <c r="E4685" t="b">
        <v>0</v>
      </c>
      <c r="F4685" t="s">
        <v>11622</v>
      </c>
      <c r="L4685">
        <v>1</v>
      </c>
      <c r="M4685">
        <v>3</v>
      </c>
      <c r="N4685">
        <v>3</v>
      </c>
    </row>
    <row r="4686" spans="1:15">
      <c r="A4686" t="s">
        <v>24742</v>
      </c>
      <c r="B4686" t="s">
        <v>11729</v>
      </c>
      <c r="C4686" t="s">
        <v>24743</v>
      </c>
      <c r="D4686" t="s">
        <v>24744</v>
      </c>
      <c r="E4686" t="b">
        <v>0</v>
      </c>
      <c r="F4686" t="s">
        <v>11610</v>
      </c>
      <c r="L4686">
        <v>0</v>
      </c>
      <c r="M4686">
        <v>0</v>
      </c>
      <c r="N4686">
        <v>0</v>
      </c>
    </row>
    <row r="4687" spans="1:15">
      <c r="A4687" t="s">
        <v>24745</v>
      </c>
      <c r="B4687" t="s">
        <v>15569</v>
      </c>
      <c r="C4687" t="s">
        <v>15570</v>
      </c>
      <c r="D4687" t="s">
        <v>24746</v>
      </c>
      <c r="E4687" t="b">
        <v>0</v>
      </c>
      <c r="F4687" t="s">
        <v>11622</v>
      </c>
      <c r="L4687">
        <v>1</v>
      </c>
      <c r="M4687">
        <v>4</v>
      </c>
      <c r="N4687">
        <v>3</v>
      </c>
    </row>
    <row r="4688" spans="1:15">
      <c r="A4688" t="s">
        <v>24747</v>
      </c>
      <c r="B4688" t="s">
        <v>15569</v>
      </c>
      <c r="C4688" t="s">
        <v>24745</v>
      </c>
      <c r="D4688" t="s">
        <v>24748</v>
      </c>
      <c r="E4688" t="b">
        <v>0</v>
      </c>
      <c r="F4688" t="s">
        <v>11622</v>
      </c>
      <c r="L4688">
        <v>0</v>
      </c>
      <c r="M4688">
        <v>2</v>
      </c>
      <c r="N4688">
        <v>0</v>
      </c>
    </row>
    <row r="4689" spans="1:15">
      <c r="A4689" t="s">
        <v>24749</v>
      </c>
      <c r="B4689" t="s">
        <v>15569</v>
      </c>
      <c r="C4689" t="s">
        <v>24747</v>
      </c>
      <c r="D4689" t="s">
        <v>24750</v>
      </c>
      <c r="E4689" t="b">
        <v>0</v>
      </c>
      <c r="F4689" t="s">
        <v>11624</v>
      </c>
      <c r="G4689">
        <v>4.2148899999999996</v>
      </c>
      <c r="H4689">
        <v>33.686900000000001</v>
      </c>
      <c r="I4689" t="s">
        <v>24751</v>
      </c>
      <c r="L4689">
        <v>0</v>
      </c>
      <c r="M4689">
        <v>0</v>
      </c>
      <c r="N4689">
        <v>0</v>
      </c>
      <c r="O4689" t="s">
        <v>11960</v>
      </c>
    </row>
    <row r="4690" spans="1:15">
      <c r="A4690" t="s">
        <v>24752</v>
      </c>
      <c r="B4690" t="s">
        <v>367</v>
      </c>
      <c r="C4690" t="s">
        <v>21555</v>
      </c>
      <c r="D4690" t="s">
        <v>24753</v>
      </c>
      <c r="E4690" t="b">
        <v>0</v>
      </c>
      <c r="F4690" t="s">
        <v>11610</v>
      </c>
      <c r="L4690">
        <v>0</v>
      </c>
      <c r="M4690">
        <v>0</v>
      </c>
      <c r="N4690">
        <v>0</v>
      </c>
    </row>
    <row r="4691" spans="1:15">
      <c r="A4691" t="s">
        <v>24754</v>
      </c>
      <c r="B4691" t="s">
        <v>13518</v>
      </c>
      <c r="C4691" t="s">
        <v>13519</v>
      </c>
      <c r="D4691" t="s">
        <v>24755</v>
      </c>
      <c r="E4691" t="b">
        <v>0</v>
      </c>
      <c r="F4691" t="s">
        <v>11610</v>
      </c>
      <c r="L4691">
        <v>0</v>
      </c>
      <c r="M4691">
        <v>0</v>
      </c>
      <c r="N4691">
        <v>0</v>
      </c>
    </row>
    <row r="4692" spans="1:15">
      <c r="A4692" t="s">
        <v>24756</v>
      </c>
      <c r="B4692" t="s">
        <v>12311</v>
      </c>
      <c r="C4692" t="s">
        <v>24757</v>
      </c>
      <c r="D4692" t="s">
        <v>24758</v>
      </c>
      <c r="E4692" t="b">
        <v>0</v>
      </c>
      <c r="F4692" t="s">
        <v>11624</v>
      </c>
      <c r="G4692">
        <v>42.264600000000002</v>
      </c>
      <c r="H4692">
        <v>45.809600000000003</v>
      </c>
      <c r="I4692" t="s">
        <v>24759</v>
      </c>
      <c r="L4692">
        <v>0</v>
      </c>
      <c r="M4692">
        <v>0</v>
      </c>
      <c r="N4692">
        <v>1</v>
      </c>
      <c r="O4692" t="s">
        <v>18235</v>
      </c>
    </row>
    <row r="4693" spans="1:15">
      <c r="A4693" t="s">
        <v>24760</v>
      </c>
      <c r="B4693" t="s">
        <v>5126</v>
      </c>
      <c r="C4693" t="s">
        <v>12482</v>
      </c>
      <c r="D4693" t="s">
        <v>24761</v>
      </c>
      <c r="E4693" t="b">
        <v>0</v>
      </c>
      <c r="F4693" t="s">
        <v>11610</v>
      </c>
      <c r="L4693">
        <v>0</v>
      </c>
      <c r="M4693">
        <v>0</v>
      </c>
      <c r="N4693">
        <v>0</v>
      </c>
    </row>
    <row r="4694" spans="1:15">
      <c r="A4694" t="s">
        <v>24762</v>
      </c>
      <c r="B4694" t="s">
        <v>23233</v>
      </c>
      <c r="C4694" t="s">
        <v>23247</v>
      </c>
      <c r="D4694" t="s">
        <v>24763</v>
      </c>
      <c r="E4694" t="b">
        <v>0</v>
      </c>
      <c r="F4694" t="s">
        <v>11622</v>
      </c>
      <c r="L4694">
        <v>0</v>
      </c>
      <c r="M4694">
        <v>2</v>
      </c>
      <c r="N4694">
        <v>0</v>
      </c>
    </row>
    <row r="4695" spans="1:15">
      <c r="A4695" t="s">
        <v>24764</v>
      </c>
      <c r="B4695" t="s">
        <v>10597</v>
      </c>
      <c r="C4695" t="s">
        <v>24765</v>
      </c>
      <c r="D4695" t="s">
        <v>24766</v>
      </c>
      <c r="E4695" t="b">
        <v>0</v>
      </c>
      <c r="F4695" t="s">
        <v>11622</v>
      </c>
      <c r="L4695">
        <v>0</v>
      </c>
      <c r="M4695">
        <v>3</v>
      </c>
      <c r="N4695">
        <v>3</v>
      </c>
    </row>
    <row r="4696" spans="1:15">
      <c r="A4696" t="s">
        <v>24767</v>
      </c>
      <c r="B4696" t="s">
        <v>10597</v>
      </c>
      <c r="C4696" t="s">
        <v>24764</v>
      </c>
      <c r="D4696" t="s">
        <v>24768</v>
      </c>
      <c r="E4696" t="b">
        <v>0</v>
      </c>
      <c r="F4696" t="s">
        <v>11624</v>
      </c>
      <c r="G4696">
        <v>-28.166699999999999</v>
      </c>
      <c r="H4696">
        <v>138</v>
      </c>
      <c r="I4696" t="s">
        <v>24769</v>
      </c>
      <c r="L4696">
        <v>0</v>
      </c>
      <c r="M4696">
        <v>0</v>
      </c>
      <c r="N4696">
        <v>0</v>
      </c>
      <c r="O4696" t="s">
        <v>12107</v>
      </c>
    </row>
    <row r="4697" spans="1:15">
      <c r="A4697" t="s">
        <v>24770</v>
      </c>
      <c r="B4697" t="s">
        <v>11644</v>
      </c>
      <c r="C4697" t="s">
        <v>24771</v>
      </c>
      <c r="D4697" t="s">
        <v>24772</v>
      </c>
      <c r="E4697" t="b">
        <v>0</v>
      </c>
      <c r="F4697" t="s">
        <v>11624</v>
      </c>
      <c r="G4697">
        <v>28.499300000000002</v>
      </c>
      <c r="H4697">
        <v>96.880300000000005</v>
      </c>
      <c r="I4697" t="s">
        <v>24773</v>
      </c>
      <c r="L4697">
        <v>0</v>
      </c>
      <c r="M4697">
        <v>0</v>
      </c>
      <c r="N4697">
        <v>0</v>
      </c>
      <c r="O4697" t="s">
        <v>24774</v>
      </c>
    </row>
    <row r="4698" spans="1:15">
      <c r="A4698" t="s">
        <v>24775</v>
      </c>
      <c r="B4698" t="s">
        <v>11607</v>
      </c>
      <c r="C4698" t="s">
        <v>19078</v>
      </c>
      <c r="D4698" t="s">
        <v>24776</v>
      </c>
      <c r="E4698" t="b">
        <v>0</v>
      </c>
      <c r="F4698" t="s">
        <v>11610</v>
      </c>
      <c r="L4698">
        <v>0</v>
      </c>
      <c r="M4698">
        <v>0</v>
      </c>
      <c r="N4698">
        <v>0</v>
      </c>
    </row>
    <row r="4699" spans="1:15">
      <c r="A4699" t="s">
        <v>24777</v>
      </c>
      <c r="B4699" t="s">
        <v>11637</v>
      </c>
      <c r="C4699" t="s">
        <v>13085</v>
      </c>
      <c r="D4699" t="s">
        <v>24778</v>
      </c>
      <c r="E4699" t="b">
        <v>0</v>
      </c>
      <c r="F4699" t="s">
        <v>11610</v>
      </c>
      <c r="L4699">
        <v>0</v>
      </c>
      <c r="M4699">
        <v>0</v>
      </c>
      <c r="N4699">
        <v>0</v>
      </c>
    </row>
    <row r="4700" spans="1:15">
      <c r="A4700" t="s">
        <v>24779</v>
      </c>
      <c r="B4700" t="s">
        <v>6742</v>
      </c>
      <c r="C4700" t="s">
        <v>24780</v>
      </c>
      <c r="D4700" t="s">
        <v>24781</v>
      </c>
      <c r="E4700" t="b">
        <v>0</v>
      </c>
      <c r="F4700" t="s">
        <v>11624</v>
      </c>
      <c r="G4700">
        <v>-4.6210100000000001</v>
      </c>
      <c r="H4700">
        <v>39.175199999999997</v>
      </c>
      <c r="I4700" t="s">
        <v>24782</v>
      </c>
      <c r="L4700">
        <v>0</v>
      </c>
      <c r="M4700">
        <v>0</v>
      </c>
      <c r="N4700">
        <v>0</v>
      </c>
      <c r="O4700" t="s">
        <v>14933</v>
      </c>
    </row>
    <row r="4701" spans="1:15">
      <c r="A4701" t="s">
        <v>24783</v>
      </c>
      <c r="B4701" t="s">
        <v>12438</v>
      </c>
      <c r="C4701" t="s">
        <v>18412</v>
      </c>
      <c r="D4701" t="s">
        <v>24784</v>
      </c>
      <c r="E4701" t="b">
        <v>0</v>
      </c>
      <c r="F4701" t="s">
        <v>11610</v>
      </c>
      <c r="L4701">
        <v>0</v>
      </c>
      <c r="M4701">
        <v>0</v>
      </c>
      <c r="N4701">
        <v>0</v>
      </c>
    </row>
    <row r="4702" spans="1:15">
      <c r="A4702" t="s">
        <v>24785</v>
      </c>
      <c r="B4702" t="s">
        <v>11607</v>
      </c>
      <c r="C4702" t="s">
        <v>24786</v>
      </c>
      <c r="D4702" t="s">
        <v>24787</v>
      </c>
      <c r="E4702" t="b">
        <v>0</v>
      </c>
      <c r="F4702" t="s">
        <v>11610</v>
      </c>
      <c r="L4702">
        <v>0</v>
      </c>
      <c r="M4702">
        <v>0</v>
      </c>
      <c r="N4702">
        <v>0</v>
      </c>
    </row>
    <row r="4703" spans="1:15">
      <c r="A4703" t="s">
        <v>24788</v>
      </c>
      <c r="B4703" t="s">
        <v>11607</v>
      </c>
      <c r="C4703" t="s">
        <v>13139</v>
      </c>
      <c r="D4703" t="s">
        <v>24789</v>
      </c>
      <c r="E4703" t="b">
        <v>0</v>
      </c>
      <c r="F4703" t="s">
        <v>11610</v>
      </c>
      <c r="L4703">
        <v>0</v>
      </c>
      <c r="M4703">
        <v>0</v>
      </c>
      <c r="N4703">
        <v>0</v>
      </c>
    </row>
    <row r="4704" spans="1:15">
      <c r="A4704" t="s">
        <v>24790</v>
      </c>
      <c r="B4704" t="s">
        <v>6742</v>
      </c>
      <c r="C4704" t="s">
        <v>24791</v>
      </c>
      <c r="D4704" t="s">
        <v>24792</v>
      </c>
      <c r="E4704" t="b">
        <v>0</v>
      </c>
      <c r="F4704" t="s">
        <v>11622</v>
      </c>
      <c r="L4704">
        <v>0</v>
      </c>
      <c r="M4704">
        <v>3</v>
      </c>
      <c r="N4704">
        <v>11</v>
      </c>
    </row>
    <row r="4705" spans="1:15">
      <c r="A4705" t="s">
        <v>19556</v>
      </c>
      <c r="B4705" t="s">
        <v>6742</v>
      </c>
      <c r="C4705" t="s">
        <v>24790</v>
      </c>
      <c r="D4705" t="s">
        <v>24793</v>
      </c>
      <c r="E4705" t="b">
        <v>0</v>
      </c>
      <c r="F4705" t="s">
        <v>11624</v>
      </c>
      <c r="G4705">
        <v>7.7741199999999999</v>
      </c>
      <c r="H4705">
        <v>13.9884</v>
      </c>
      <c r="I4705" t="s">
        <v>24794</v>
      </c>
      <c r="L4705">
        <v>0</v>
      </c>
      <c r="M4705">
        <v>0</v>
      </c>
      <c r="N4705">
        <v>9</v>
      </c>
      <c r="O4705" t="s">
        <v>11703</v>
      </c>
    </row>
    <row r="4706" spans="1:15">
      <c r="A4706" t="s">
        <v>20770</v>
      </c>
      <c r="B4706" t="s">
        <v>6742</v>
      </c>
      <c r="C4706" t="s">
        <v>16635</v>
      </c>
      <c r="D4706" t="s">
        <v>24795</v>
      </c>
      <c r="E4706" t="b">
        <v>0</v>
      </c>
      <c r="F4706" t="s">
        <v>11624</v>
      </c>
      <c r="G4706">
        <v>9.6756700000000002</v>
      </c>
      <c r="H4706">
        <v>11.520099999999999</v>
      </c>
      <c r="I4706" t="s">
        <v>24796</v>
      </c>
      <c r="L4706">
        <v>0</v>
      </c>
      <c r="M4706">
        <v>0</v>
      </c>
      <c r="N4706">
        <v>2</v>
      </c>
      <c r="O4706" t="s">
        <v>11693</v>
      </c>
    </row>
    <row r="4707" spans="1:15">
      <c r="A4707" t="s">
        <v>24797</v>
      </c>
      <c r="B4707" t="s">
        <v>6742</v>
      </c>
      <c r="C4707" t="s">
        <v>20770</v>
      </c>
      <c r="D4707" t="s">
        <v>24798</v>
      </c>
      <c r="E4707" t="b">
        <v>0</v>
      </c>
      <c r="F4707" t="s">
        <v>11610</v>
      </c>
      <c r="L4707">
        <v>0</v>
      </c>
      <c r="M4707">
        <v>0</v>
      </c>
      <c r="N4707">
        <v>0</v>
      </c>
    </row>
    <row r="4708" spans="1:15">
      <c r="A4708" t="s">
        <v>24799</v>
      </c>
      <c r="B4708" t="s">
        <v>367</v>
      </c>
      <c r="C4708" t="s">
        <v>24121</v>
      </c>
      <c r="D4708" t="s">
        <v>24800</v>
      </c>
      <c r="E4708" t="b">
        <v>0</v>
      </c>
      <c r="F4708" t="s">
        <v>11610</v>
      </c>
      <c r="L4708">
        <v>0</v>
      </c>
      <c r="M4708">
        <v>0</v>
      </c>
      <c r="N4708">
        <v>0</v>
      </c>
    </row>
    <row r="4709" spans="1:15">
      <c r="A4709" t="s">
        <v>24801</v>
      </c>
      <c r="B4709" t="s">
        <v>11644</v>
      </c>
      <c r="C4709" t="s">
        <v>18428</v>
      </c>
      <c r="D4709" t="s">
        <v>24802</v>
      </c>
      <c r="E4709" t="b">
        <v>0</v>
      </c>
      <c r="F4709" t="s">
        <v>11610</v>
      </c>
      <c r="L4709">
        <v>0</v>
      </c>
      <c r="M4709">
        <v>0</v>
      </c>
      <c r="N4709">
        <v>0</v>
      </c>
    </row>
    <row r="4710" spans="1:15">
      <c r="A4710" t="s">
        <v>24803</v>
      </c>
      <c r="B4710" t="s">
        <v>11637</v>
      </c>
      <c r="C4710" t="s">
        <v>24804</v>
      </c>
      <c r="D4710" t="s">
        <v>24805</v>
      </c>
      <c r="E4710" t="b">
        <v>0</v>
      </c>
      <c r="F4710" t="s">
        <v>11610</v>
      </c>
      <c r="L4710">
        <v>0</v>
      </c>
      <c r="M4710">
        <v>0</v>
      </c>
      <c r="N4710">
        <v>0</v>
      </c>
    </row>
    <row r="4711" spans="1:15">
      <c r="A4711" t="s">
        <v>24806</v>
      </c>
      <c r="B4711" t="s">
        <v>6742</v>
      </c>
      <c r="C4711" t="s">
        <v>24807</v>
      </c>
      <c r="D4711" t="s">
        <v>24808</v>
      </c>
      <c r="E4711" t="b">
        <v>0</v>
      </c>
      <c r="F4711" t="s">
        <v>11610</v>
      </c>
      <c r="L4711">
        <v>0</v>
      </c>
      <c r="M4711">
        <v>0</v>
      </c>
      <c r="N4711">
        <v>0</v>
      </c>
    </row>
    <row r="4712" spans="1:15">
      <c r="A4712" t="s">
        <v>24809</v>
      </c>
      <c r="B4712" t="s">
        <v>6742</v>
      </c>
      <c r="C4712" t="s">
        <v>24810</v>
      </c>
      <c r="D4712" t="s">
        <v>24811</v>
      </c>
      <c r="E4712" t="b">
        <v>0</v>
      </c>
      <c r="F4712" t="s">
        <v>11610</v>
      </c>
      <c r="L4712">
        <v>0</v>
      </c>
      <c r="M4712">
        <v>0</v>
      </c>
      <c r="N4712">
        <v>0</v>
      </c>
    </row>
    <row r="4713" spans="1:15">
      <c r="A4713" t="s">
        <v>24812</v>
      </c>
      <c r="B4713" t="s">
        <v>6742</v>
      </c>
      <c r="C4713" t="s">
        <v>24807</v>
      </c>
      <c r="D4713" t="s">
        <v>24813</v>
      </c>
      <c r="E4713" t="b">
        <v>0</v>
      </c>
      <c r="F4713" t="s">
        <v>11610</v>
      </c>
      <c r="L4713">
        <v>0</v>
      </c>
      <c r="M4713">
        <v>0</v>
      </c>
      <c r="N4713">
        <v>0</v>
      </c>
    </row>
    <row r="4714" spans="1:15">
      <c r="A4714" t="s">
        <v>24814</v>
      </c>
      <c r="B4714" t="s">
        <v>367</v>
      </c>
      <c r="C4714" t="s">
        <v>21607</v>
      </c>
      <c r="D4714" t="s">
        <v>24815</v>
      </c>
      <c r="E4714" t="b">
        <v>0</v>
      </c>
      <c r="F4714" t="s">
        <v>11610</v>
      </c>
      <c r="L4714">
        <v>0</v>
      </c>
      <c r="M4714">
        <v>0</v>
      </c>
      <c r="N4714">
        <v>0</v>
      </c>
    </row>
    <row r="4715" spans="1:15">
      <c r="A4715" t="s">
        <v>24335</v>
      </c>
      <c r="B4715" t="s">
        <v>3164</v>
      </c>
      <c r="C4715" t="s">
        <v>24816</v>
      </c>
      <c r="D4715" t="s">
        <v>24817</v>
      </c>
      <c r="E4715" t="b">
        <v>0</v>
      </c>
      <c r="F4715" t="s">
        <v>11624</v>
      </c>
      <c r="G4715">
        <v>12.034700000000001</v>
      </c>
      <c r="H4715">
        <v>29.605599999999999</v>
      </c>
      <c r="I4715" t="s">
        <v>24818</v>
      </c>
      <c r="L4715">
        <v>0</v>
      </c>
      <c r="M4715">
        <v>0</v>
      </c>
      <c r="N4715">
        <v>2</v>
      </c>
      <c r="O4715" t="s">
        <v>11910</v>
      </c>
    </row>
    <row r="4716" spans="1:15">
      <c r="A4716" t="s">
        <v>24819</v>
      </c>
      <c r="B4716" t="s">
        <v>13360</v>
      </c>
      <c r="C4716" t="s">
        <v>13360</v>
      </c>
      <c r="D4716" t="s">
        <v>24820</v>
      </c>
      <c r="E4716" t="b">
        <v>0</v>
      </c>
      <c r="F4716" t="s">
        <v>11624</v>
      </c>
      <c r="L4716">
        <v>0</v>
      </c>
      <c r="M4716">
        <v>0</v>
      </c>
      <c r="N4716">
        <v>0</v>
      </c>
      <c r="O4716" t="s">
        <v>11625</v>
      </c>
    </row>
    <row r="4717" spans="1:15">
      <c r="A4717" t="s">
        <v>24821</v>
      </c>
      <c r="B4717" t="s">
        <v>11644</v>
      </c>
      <c r="C4717" t="s">
        <v>16603</v>
      </c>
      <c r="D4717" t="s">
        <v>24822</v>
      </c>
      <c r="E4717" t="b">
        <v>0</v>
      </c>
      <c r="F4717" t="s">
        <v>11610</v>
      </c>
      <c r="L4717">
        <v>0</v>
      </c>
      <c r="M4717">
        <v>0</v>
      </c>
      <c r="N4717">
        <v>0</v>
      </c>
    </row>
    <row r="4718" spans="1:15">
      <c r="A4718" t="s">
        <v>24823</v>
      </c>
      <c r="B4718" t="s">
        <v>11644</v>
      </c>
      <c r="C4718" t="s">
        <v>24824</v>
      </c>
      <c r="D4718" t="s">
        <v>24825</v>
      </c>
      <c r="E4718" t="b">
        <v>0</v>
      </c>
      <c r="F4718" t="s">
        <v>11624</v>
      </c>
      <c r="G4718">
        <v>25.419799999999999</v>
      </c>
      <c r="H4718">
        <v>93.180599999999998</v>
      </c>
      <c r="I4718" t="s">
        <v>24826</v>
      </c>
      <c r="L4718">
        <v>0</v>
      </c>
      <c r="M4718">
        <v>0</v>
      </c>
      <c r="N4718">
        <v>2</v>
      </c>
      <c r="O4718" t="s">
        <v>11630</v>
      </c>
    </row>
    <row r="4719" spans="1:15">
      <c r="A4719" t="s">
        <v>24827</v>
      </c>
      <c r="B4719" t="s">
        <v>23796</v>
      </c>
      <c r="C4719" t="s">
        <v>23796</v>
      </c>
      <c r="D4719" t="s">
        <v>24828</v>
      </c>
      <c r="E4719" t="b">
        <v>0</v>
      </c>
      <c r="F4719" t="s">
        <v>11624</v>
      </c>
      <c r="G4719">
        <v>-9.70322</v>
      </c>
      <c r="H4719">
        <v>149.60499999999999</v>
      </c>
      <c r="I4719" t="s">
        <v>24829</v>
      </c>
      <c r="L4719">
        <v>0</v>
      </c>
      <c r="M4719">
        <v>0</v>
      </c>
      <c r="N4719">
        <v>0</v>
      </c>
      <c r="O4719" t="s">
        <v>11660</v>
      </c>
    </row>
    <row r="4720" spans="1:15">
      <c r="A4720" t="s">
        <v>24824</v>
      </c>
      <c r="B4720" t="s">
        <v>11644</v>
      </c>
      <c r="C4720" t="s">
        <v>19645</v>
      </c>
      <c r="D4720" t="s">
        <v>24830</v>
      </c>
      <c r="E4720" t="b">
        <v>0</v>
      </c>
      <c r="F4720" t="s">
        <v>11622</v>
      </c>
      <c r="L4720">
        <v>1</v>
      </c>
      <c r="M4720">
        <v>5</v>
      </c>
      <c r="N4720">
        <v>6</v>
      </c>
    </row>
    <row r="4721" spans="1:15">
      <c r="A4721" t="s">
        <v>24831</v>
      </c>
      <c r="B4721" t="s">
        <v>6742</v>
      </c>
      <c r="C4721" t="s">
        <v>24832</v>
      </c>
      <c r="D4721" t="s">
        <v>24833</v>
      </c>
      <c r="E4721" t="b">
        <v>0</v>
      </c>
      <c r="F4721" t="s">
        <v>11624</v>
      </c>
      <c r="G4721">
        <v>4.8055099999999999</v>
      </c>
      <c r="H4721">
        <v>10.988799999999999</v>
      </c>
      <c r="I4721" t="s">
        <v>24834</v>
      </c>
      <c r="L4721">
        <v>0</v>
      </c>
      <c r="M4721">
        <v>0</v>
      </c>
      <c r="N4721">
        <v>0</v>
      </c>
      <c r="O4721" t="s">
        <v>11703</v>
      </c>
    </row>
    <row r="4722" spans="1:15">
      <c r="A4722" t="s">
        <v>24835</v>
      </c>
      <c r="B4722" t="s">
        <v>11619</v>
      </c>
      <c r="C4722" t="s">
        <v>11619</v>
      </c>
      <c r="D4722" t="s">
        <v>24836</v>
      </c>
      <c r="E4722" t="b">
        <v>0</v>
      </c>
      <c r="F4722" t="s">
        <v>11624</v>
      </c>
      <c r="G4722">
        <v>6.2095099999999999</v>
      </c>
      <c r="H4722">
        <v>36.332900000000002</v>
      </c>
      <c r="I4722" t="s">
        <v>24837</v>
      </c>
      <c r="L4722">
        <v>0</v>
      </c>
      <c r="M4722">
        <v>0</v>
      </c>
      <c r="N4722">
        <v>0</v>
      </c>
      <c r="O4722" t="s">
        <v>11625</v>
      </c>
    </row>
    <row r="4723" spans="1:15">
      <c r="A4723" t="s">
        <v>24838</v>
      </c>
      <c r="B4723" t="s">
        <v>11607</v>
      </c>
      <c r="C4723" t="s">
        <v>24839</v>
      </c>
      <c r="D4723" t="s">
        <v>24840</v>
      </c>
      <c r="E4723" t="b">
        <v>0</v>
      </c>
      <c r="F4723" t="s">
        <v>11610</v>
      </c>
      <c r="L4723">
        <v>0</v>
      </c>
      <c r="M4723">
        <v>0</v>
      </c>
      <c r="N4723">
        <v>0</v>
      </c>
    </row>
    <row r="4724" spans="1:15">
      <c r="A4724" t="s">
        <v>24841</v>
      </c>
      <c r="B4724" t="s">
        <v>11615</v>
      </c>
      <c r="C4724" t="s">
        <v>24842</v>
      </c>
      <c r="D4724" t="s">
        <v>24843</v>
      </c>
      <c r="E4724" t="b">
        <v>0</v>
      </c>
      <c r="F4724" t="s">
        <v>11624</v>
      </c>
      <c r="G4724">
        <v>-4.8296000000000001</v>
      </c>
      <c r="H4724">
        <v>145.67599999999999</v>
      </c>
      <c r="I4724" t="s">
        <v>24844</v>
      </c>
      <c r="L4724">
        <v>0</v>
      </c>
      <c r="M4724">
        <v>0</v>
      </c>
      <c r="N4724">
        <v>0</v>
      </c>
      <c r="O4724" t="s">
        <v>11660</v>
      </c>
    </row>
    <row r="4725" spans="1:15">
      <c r="A4725" t="s">
        <v>24842</v>
      </c>
      <c r="B4725" t="s">
        <v>11615</v>
      </c>
      <c r="C4725" t="s">
        <v>13250</v>
      </c>
      <c r="D4725" t="s">
        <v>24845</v>
      </c>
      <c r="E4725" t="b">
        <v>0</v>
      </c>
      <c r="F4725" t="s">
        <v>11622</v>
      </c>
      <c r="L4725">
        <v>0</v>
      </c>
      <c r="M4725">
        <v>2</v>
      </c>
      <c r="N4725">
        <v>0</v>
      </c>
    </row>
    <row r="4726" spans="1:15">
      <c r="A4726" t="s">
        <v>24846</v>
      </c>
      <c r="B4726" t="s">
        <v>11637</v>
      </c>
      <c r="C4726" t="s">
        <v>24847</v>
      </c>
      <c r="D4726" t="s">
        <v>24848</v>
      </c>
      <c r="E4726" t="b">
        <v>0</v>
      </c>
      <c r="F4726" t="s">
        <v>11624</v>
      </c>
      <c r="G4726">
        <v>38.614699999999999</v>
      </c>
      <c r="H4726">
        <v>39.638800000000003</v>
      </c>
      <c r="I4726" t="s">
        <v>24849</v>
      </c>
      <c r="L4726">
        <v>0</v>
      </c>
      <c r="M4726">
        <v>0</v>
      </c>
      <c r="N4726">
        <v>5</v>
      </c>
      <c r="O4726" t="s">
        <v>16254</v>
      </c>
    </row>
    <row r="4727" spans="1:15">
      <c r="A4727" t="s">
        <v>24850</v>
      </c>
      <c r="B4727" t="s">
        <v>11644</v>
      </c>
      <c r="C4727" t="s">
        <v>20181</v>
      </c>
      <c r="D4727" t="s">
        <v>24851</v>
      </c>
      <c r="E4727" t="b">
        <v>0</v>
      </c>
      <c r="F4727" t="s">
        <v>11610</v>
      </c>
      <c r="L4727">
        <v>0</v>
      </c>
      <c r="M4727">
        <v>0</v>
      </c>
      <c r="N4727">
        <v>0</v>
      </c>
    </row>
    <row r="4728" spans="1:15">
      <c r="A4728" t="s">
        <v>24852</v>
      </c>
      <c r="B4728" t="s">
        <v>11607</v>
      </c>
      <c r="C4728" t="s">
        <v>20786</v>
      </c>
      <c r="D4728" t="s">
        <v>24853</v>
      </c>
      <c r="E4728" t="b">
        <v>0</v>
      </c>
      <c r="F4728" t="s">
        <v>11610</v>
      </c>
      <c r="L4728">
        <v>0</v>
      </c>
      <c r="M4728">
        <v>0</v>
      </c>
      <c r="N4728">
        <v>0</v>
      </c>
    </row>
    <row r="4729" spans="1:15">
      <c r="A4729" t="s">
        <v>24854</v>
      </c>
      <c r="B4729" t="s">
        <v>11637</v>
      </c>
      <c r="C4729" t="s">
        <v>4958</v>
      </c>
      <c r="D4729" t="s">
        <v>24855</v>
      </c>
      <c r="E4729" t="b">
        <v>0</v>
      </c>
      <c r="F4729" t="s">
        <v>11610</v>
      </c>
      <c r="L4729">
        <v>0</v>
      </c>
      <c r="M4729">
        <v>0</v>
      </c>
      <c r="N4729">
        <v>0</v>
      </c>
    </row>
    <row r="4730" spans="1:15">
      <c r="A4730" t="s">
        <v>24856</v>
      </c>
      <c r="B4730" t="s">
        <v>11644</v>
      </c>
      <c r="C4730" t="s">
        <v>20181</v>
      </c>
      <c r="D4730" t="s">
        <v>24857</v>
      </c>
      <c r="E4730" t="b">
        <v>0</v>
      </c>
      <c r="F4730" t="s">
        <v>11610</v>
      </c>
      <c r="L4730">
        <v>0</v>
      </c>
      <c r="M4730">
        <v>0</v>
      </c>
      <c r="N4730">
        <v>0</v>
      </c>
    </row>
    <row r="4731" spans="1:15">
      <c r="A4731" t="s">
        <v>24858</v>
      </c>
      <c r="B4731" t="s">
        <v>6742</v>
      </c>
      <c r="C4731" t="s">
        <v>24859</v>
      </c>
      <c r="D4731" t="s">
        <v>24860</v>
      </c>
      <c r="E4731" t="b">
        <v>0</v>
      </c>
      <c r="F4731" t="s">
        <v>11624</v>
      </c>
      <c r="G4731">
        <v>-4.4430399999999999</v>
      </c>
      <c r="H4731">
        <v>19.388100000000001</v>
      </c>
      <c r="I4731" t="s">
        <v>24861</v>
      </c>
      <c r="L4731">
        <v>0</v>
      </c>
      <c r="M4731">
        <v>0</v>
      </c>
      <c r="N4731">
        <v>0</v>
      </c>
      <c r="O4731" t="s">
        <v>14825</v>
      </c>
    </row>
    <row r="4732" spans="1:15">
      <c r="A4732" t="s">
        <v>24862</v>
      </c>
      <c r="B4732" t="s">
        <v>11615</v>
      </c>
      <c r="C4732" t="s">
        <v>24863</v>
      </c>
      <c r="D4732" t="s">
        <v>24864</v>
      </c>
      <c r="E4732" t="b">
        <v>0</v>
      </c>
      <c r="F4732" t="s">
        <v>11610</v>
      </c>
      <c r="L4732">
        <v>0</v>
      </c>
      <c r="M4732">
        <v>0</v>
      </c>
      <c r="N4732">
        <v>0</v>
      </c>
    </row>
    <row r="4733" spans="1:15">
      <c r="A4733" t="s">
        <v>24865</v>
      </c>
      <c r="B4733" t="s">
        <v>10597</v>
      </c>
      <c r="C4733" t="s">
        <v>23342</v>
      </c>
      <c r="D4733" t="s">
        <v>24866</v>
      </c>
      <c r="E4733" t="b">
        <v>0</v>
      </c>
      <c r="F4733" t="s">
        <v>11610</v>
      </c>
      <c r="L4733">
        <v>0</v>
      </c>
      <c r="M4733">
        <v>0</v>
      </c>
      <c r="N4733">
        <v>0</v>
      </c>
    </row>
    <row r="4734" spans="1:15">
      <c r="A4734" t="s">
        <v>24867</v>
      </c>
      <c r="B4734" t="s">
        <v>11644</v>
      </c>
      <c r="C4734" t="s">
        <v>24868</v>
      </c>
      <c r="D4734" t="s">
        <v>24869</v>
      </c>
      <c r="E4734" t="b">
        <v>0</v>
      </c>
      <c r="F4734" t="s">
        <v>11610</v>
      </c>
      <c r="L4734">
        <v>0</v>
      </c>
      <c r="M4734">
        <v>0</v>
      </c>
      <c r="N4734">
        <v>0</v>
      </c>
    </row>
    <row r="4735" spans="1:15">
      <c r="A4735" t="s">
        <v>24870</v>
      </c>
      <c r="B4735" t="s">
        <v>11644</v>
      </c>
      <c r="C4735" t="s">
        <v>24871</v>
      </c>
      <c r="D4735" t="s">
        <v>24872</v>
      </c>
      <c r="E4735" t="b">
        <v>0</v>
      </c>
      <c r="F4735" t="s">
        <v>11610</v>
      </c>
      <c r="L4735">
        <v>0</v>
      </c>
      <c r="M4735">
        <v>0</v>
      </c>
      <c r="N4735">
        <v>0</v>
      </c>
    </row>
    <row r="4736" spans="1:15">
      <c r="A4736" t="s">
        <v>24873</v>
      </c>
      <c r="B4736" t="s">
        <v>11757</v>
      </c>
      <c r="C4736" t="s">
        <v>24874</v>
      </c>
      <c r="D4736" t="s">
        <v>24875</v>
      </c>
      <c r="E4736" t="b">
        <v>0</v>
      </c>
      <c r="F4736" t="s">
        <v>11622</v>
      </c>
      <c r="L4736">
        <v>2</v>
      </c>
      <c r="M4736">
        <v>7</v>
      </c>
      <c r="N4736">
        <v>41</v>
      </c>
    </row>
    <row r="4737" spans="1:15">
      <c r="A4737" t="s">
        <v>3240</v>
      </c>
      <c r="B4737" t="s">
        <v>11757</v>
      </c>
      <c r="C4737" t="s">
        <v>24873</v>
      </c>
      <c r="D4737" t="s">
        <v>6593</v>
      </c>
      <c r="E4737" t="b">
        <v>0</v>
      </c>
      <c r="F4737" t="s">
        <v>11622</v>
      </c>
      <c r="I4737" t="s">
        <v>24876</v>
      </c>
      <c r="L4737">
        <v>0</v>
      </c>
      <c r="M4737">
        <v>5</v>
      </c>
      <c r="N4737">
        <v>31</v>
      </c>
      <c r="O4737" t="s">
        <v>24877</v>
      </c>
    </row>
    <row r="4738" spans="1:15">
      <c r="A4738" t="s">
        <v>24878</v>
      </c>
      <c r="B4738" t="s">
        <v>331</v>
      </c>
      <c r="C4738" t="s">
        <v>13639</v>
      </c>
      <c r="D4738" t="s">
        <v>24879</v>
      </c>
      <c r="E4738" t="b">
        <v>0</v>
      </c>
      <c r="F4738" t="s">
        <v>11610</v>
      </c>
      <c r="L4738">
        <v>0</v>
      </c>
      <c r="M4738">
        <v>0</v>
      </c>
      <c r="N4738">
        <v>0</v>
      </c>
    </row>
    <row r="4739" spans="1:15">
      <c r="A4739" t="s">
        <v>24880</v>
      </c>
      <c r="B4739" t="s">
        <v>6742</v>
      </c>
      <c r="C4739" t="s">
        <v>19747</v>
      </c>
      <c r="D4739" t="s">
        <v>24881</v>
      </c>
      <c r="E4739" t="b">
        <v>0</v>
      </c>
      <c r="F4739" t="s">
        <v>11610</v>
      </c>
      <c r="L4739">
        <v>0</v>
      </c>
      <c r="M4739">
        <v>0</v>
      </c>
      <c r="N4739">
        <v>0</v>
      </c>
    </row>
    <row r="4740" spans="1:15">
      <c r="A4740" t="s">
        <v>15325</v>
      </c>
      <c r="B4740" t="s">
        <v>367</v>
      </c>
      <c r="C4740" t="s">
        <v>20711</v>
      </c>
      <c r="D4740" t="s">
        <v>24882</v>
      </c>
      <c r="E4740" t="b">
        <v>0</v>
      </c>
      <c r="F4740" t="s">
        <v>11624</v>
      </c>
      <c r="G4740">
        <v>-9.3865400000000001</v>
      </c>
      <c r="H4740">
        <v>150.16800000000001</v>
      </c>
      <c r="I4740" t="s">
        <v>24883</v>
      </c>
      <c r="L4740">
        <v>0</v>
      </c>
      <c r="M4740">
        <v>0</v>
      </c>
      <c r="N4740">
        <v>4</v>
      </c>
      <c r="O4740" t="s">
        <v>11660</v>
      </c>
    </row>
    <row r="4741" spans="1:15">
      <c r="A4741" t="s">
        <v>24884</v>
      </c>
      <c r="B4741" t="s">
        <v>6742</v>
      </c>
      <c r="C4741" t="s">
        <v>5975</v>
      </c>
      <c r="D4741" t="s">
        <v>24885</v>
      </c>
      <c r="E4741" t="b">
        <v>0</v>
      </c>
      <c r="F4741" t="s">
        <v>11610</v>
      </c>
      <c r="L4741">
        <v>0</v>
      </c>
      <c r="M4741">
        <v>0</v>
      </c>
      <c r="N4741">
        <v>0</v>
      </c>
    </row>
    <row r="4742" spans="1:15">
      <c r="A4742" t="s">
        <v>24886</v>
      </c>
      <c r="B4742" t="s">
        <v>13276</v>
      </c>
      <c r="C4742" t="s">
        <v>24887</v>
      </c>
      <c r="D4742" t="s">
        <v>24888</v>
      </c>
      <c r="E4742" t="b">
        <v>0</v>
      </c>
      <c r="F4742" t="s">
        <v>11610</v>
      </c>
      <c r="L4742">
        <v>0</v>
      </c>
      <c r="M4742">
        <v>0</v>
      </c>
      <c r="N4742">
        <v>0</v>
      </c>
    </row>
    <row r="4743" spans="1:15">
      <c r="A4743" t="s">
        <v>24889</v>
      </c>
      <c r="B4743" t="s">
        <v>10597</v>
      </c>
      <c r="C4743" t="s">
        <v>24764</v>
      </c>
      <c r="D4743" t="s">
        <v>24890</v>
      </c>
      <c r="E4743" t="b">
        <v>0</v>
      </c>
      <c r="F4743" t="s">
        <v>11624</v>
      </c>
      <c r="G4743">
        <v>-28.799199999999999</v>
      </c>
      <c r="H4743">
        <v>138.078</v>
      </c>
      <c r="I4743" t="s">
        <v>24891</v>
      </c>
      <c r="L4743">
        <v>0</v>
      </c>
      <c r="M4743">
        <v>0</v>
      </c>
      <c r="N4743">
        <v>0</v>
      </c>
      <c r="O4743" t="s">
        <v>12107</v>
      </c>
    </row>
    <row r="4744" spans="1:15">
      <c r="A4744" t="s">
        <v>746</v>
      </c>
      <c r="B4744" t="s">
        <v>11607</v>
      </c>
      <c r="C4744" t="s">
        <v>20618</v>
      </c>
      <c r="D4744" t="s">
        <v>24892</v>
      </c>
      <c r="E4744" t="b">
        <v>0</v>
      </c>
      <c r="F4744" t="s">
        <v>11624</v>
      </c>
      <c r="G4744">
        <v>5.6045199999999999</v>
      </c>
      <c r="H4744">
        <v>37.4026</v>
      </c>
      <c r="I4744" t="s">
        <v>747</v>
      </c>
      <c r="L4744">
        <v>0</v>
      </c>
      <c r="M4744">
        <v>0</v>
      </c>
      <c r="N4744">
        <v>0</v>
      </c>
      <c r="O4744" t="s">
        <v>11625</v>
      </c>
    </row>
    <row r="4745" spans="1:15">
      <c r="A4745" t="s">
        <v>24893</v>
      </c>
      <c r="B4745" t="s">
        <v>6742</v>
      </c>
      <c r="C4745" t="s">
        <v>24894</v>
      </c>
      <c r="D4745" t="s">
        <v>24895</v>
      </c>
      <c r="E4745" t="b">
        <v>0</v>
      </c>
      <c r="F4745" t="s">
        <v>11624</v>
      </c>
      <c r="G4745">
        <v>-18.168099999999999</v>
      </c>
      <c r="H4745">
        <v>20.6678</v>
      </c>
      <c r="I4745" t="s">
        <v>24896</v>
      </c>
      <c r="L4745">
        <v>0</v>
      </c>
      <c r="M4745">
        <v>0</v>
      </c>
      <c r="N4745">
        <v>0</v>
      </c>
      <c r="O4745" t="s">
        <v>24897</v>
      </c>
    </row>
    <row r="4746" spans="1:15">
      <c r="A4746" t="s">
        <v>24898</v>
      </c>
      <c r="B4746" t="s">
        <v>6742</v>
      </c>
      <c r="C4746" t="s">
        <v>24899</v>
      </c>
      <c r="D4746" t="s">
        <v>24900</v>
      </c>
      <c r="E4746" t="b">
        <v>0</v>
      </c>
      <c r="F4746" t="s">
        <v>11624</v>
      </c>
      <c r="G4746">
        <v>8.36</v>
      </c>
      <c r="H4746">
        <v>11.05</v>
      </c>
      <c r="I4746" t="s">
        <v>24901</v>
      </c>
      <c r="L4746">
        <v>0</v>
      </c>
      <c r="M4746">
        <v>0</v>
      </c>
      <c r="N4746">
        <v>0</v>
      </c>
      <c r="O4746" t="s">
        <v>11693</v>
      </c>
    </row>
    <row r="4747" spans="1:15">
      <c r="A4747" t="s">
        <v>24902</v>
      </c>
      <c r="B4747" t="s">
        <v>11879</v>
      </c>
      <c r="C4747" t="s">
        <v>24903</v>
      </c>
      <c r="D4747" t="s">
        <v>24904</v>
      </c>
      <c r="E4747" t="b">
        <v>0</v>
      </c>
      <c r="F4747" t="s">
        <v>11610</v>
      </c>
      <c r="L4747">
        <v>0</v>
      </c>
      <c r="M4747">
        <v>0</v>
      </c>
      <c r="N4747">
        <v>0</v>
      </c>
    </row>
    <row r="4748" spans="1:15">
      <c r="A4748" t="s">
        <v>24905</v>
      </c>
      <c r="B4748" t="s">
        <v>11607</v>
      </c>
      <c r="C4748" t="s">
        <v>12615</v>
      </c>
      <c r="D4748" t="s">
        <v>24906</v>
      </c>
      <c r="E4748" t="b">
        <v>0</v>
      </c>
      <c r="F4748" t="s">
        <v>11624</v>
      </c>
      <c r="G4748">
        <v>11.1701</v>
      </c>
      <c r="H4748">
        <v>9.3236299999999996</v>
      </c>
      <c r="I4748" t="s">
        <v>24907</v>
      </c>
      <c r="L4748">
        <v>0</v>
      </c>
      <c r="M4748">
        <v>0</v>
      </c>
      <c r="N4748">
        <v>0</v>
      </c>
      <c r="O4748" t="s">
        <v>11693</v>
      </c>
    </row>
    <row r="4749" spans="1:15">
      <c r="A4749" t="s">
        <v>24899</v>
      </c>
      <c r="B4749" t="s">
        <v>6742</v>
      </c>
      <c r="C4749" t="s">
        <v>24908</v>
      </c>
      <c r="D4749" t="s">
        <v>24909</v>
      </c>
      <c r="E4749" t="b">
        <v>0</v>
      </c>
      <c r="F4749" t="s">
        <v>11622</v>
      </c>
      <c r="L4749">
        <v>0</v>
      </c>
      <c r="M4749">
        <v>2</v>
      </c>
      <c r="N4749">
        <v>3</v>
      </c>
    </row>
    <row r="4750" spans="1:15">
      <c r="A4750" t="s">
        <v>24910</v>
      </c>
      <c r="B4750" t="s">
        <v>11607</v>
      </c>
      <c r="C4750" t="s">
        <v>16969</v>
      </c>
      <c r="D4750" t="s">
        <v>24911</v>
      </c>
      <c r="E4750" t="b">
        <v>0</v>
      </c>
      <c r="F4750" t="s">
        <v>11610</v>
      </c>
      <c r="L4750">
        <v>0</v>
      </c>
      <c r="M4750">
        <v>0</v>
      </c>
      <c r="N4750">
        <v>0</v>
      </c>
    </row>
    <row r="4751" spans="1:15">
      <c r="A4751" t="s">
        <v>24912</v>
      </c>
      <c r="B4751" t="s">
        <v>11637</v>
      </c>
      <c r="C4751" t="s">
        <v>24913</v>
      </c>
      <c r="D4751" t="s">
        <v>24914</v>
      </c>
      <c r="E4751" t="b">
        <v>0</v>
      </c>
      <c r="F4751" t="s">
        <v>11622</v>
      </c>
      <c r="L4751">
        <v>0</v>
      </c>
      <c r="M4751">
        <v>3</v>
      </c>
      <c r="N4751">
        <v>8</v>
      </c>
    </row>
    <row r="4752" spans="1:15">
      <c r="A4752" t="s">
        <v>24915</v>
      </c>
      <c r="B4752" t="s">
        <v>11729</v>
      </c>
      <c r="C4752" t="s">
        <v>24916</v>
      </c>
      <c r="D4752" t="s">
        <v>24917</v>
      </c>
      <c r="E4752" t="b">
        <v>0</v>
      </c>
      <c r="F4752" t="s">
        <v>11624</v>
      </c>
      <c r="G4752">
        <v>10.3218</v>
      </c>
      <c r="H4752">
        <v>19.215599999999998</v>
      </c>
      <c r="I4752" t="s">
        <v>24918</v>
      </c>
      <c r="L4752">
        <v>0</v>
      </c>
      <c r="M4752">
        <v>0</v>
      </c>
      <c r="N4752">
        <v>0</v>
      </c>
      <c r="O4752" t="s">
        <v>13421</v>
      </c>
    </row>
    <row r="4753" spans="1:15">
      <c r="A4753" t="s">
        <v>24919</v>
      </c>
      <c r="B4753" t="s">
        <v>12254</v>
      </c>
      <c r="C4753" t="s">
        <v>12255</v>
      </c>
      <c r="D4753" t="s">
        <v>24920</v>
      </c>
      <c r="E4753" t="b">
        <v>0</v>
      </c>
      <c r="F4753" t="s">
        <v>11610</v>
      </c>
      <c r="L4753">
        <v>0</v>
      </c>
      <c r="M4753">
        <v>0</v>
      </c>
      <c r="N4753">
        <v>0</v>
      </c>
    </row>
    <row r="4754" spans="1:15">
      <c r="A4754" t="s">
        <v>24921</v>
      </c>
      <c r="B4754" t="s">
        <v>367</v>
      </c>
      <c r="C4754" t="s">
        <v>12989</v>
      </c>
      <c r="D4754" t="s">
        <v>24922</v>
      </c>
      <c r="E4754" t="b">
        <v>0</v>
      </c>
      <c r="F4754" t="s">
        <v>11610</v>
      </c>
      <c r="L4754">
        <v>0</v>
      </c>
      <c r="M4754">
        <v>0</v>
      </c>
      <c r="N4754">
        <v>0</v>
      </c>
    </row>
    <row r="4755" spans="1:15">
      <c r="A4755" t="s">
        <v>24923</v>
      </c>
      <c r="B4755" t="s">
        <v>6742</v>
      </c>
      <c r="C4755" t="s">
        <v>24924</v>
      </c>
      <c r="D4755" t="s">
        <v>24925</v>
      </c>
      <c r="E4755" t="b">
        <v>0</v>
      </c>
      <c r="F4755" t="s">
        <v>11624</v>
      </c>
      <c r="G4755">
        <v>10.1614</v>
      </c>
      <c r="H4755">
        <v>1.18045</v>
      </c>
      <c r="I4755" t="s">
        <v>24926</v>
      </c>
      <c r="L4755">
        <v>0</v>
      </c>
      <c r="M4755">
        <v>0</v>
      </c>
      <c r="N4755">
        <v>2</v>
      </c>
      <c r="O4755" t="s">
        <v>12394</v>
      </c>
    </row>
    <row r="4756" spans="1:15">
      <c r="A4756" t="s">
        <v>24924</v>
      </c>
      <c r="B4756" t="s">
        <v>6742</v>
      </c>
      <c r="C4756" t="s">
        <v>24927</v>
      </c>
      <c r="D4756" t="s">
        <v>24928</v>
      </c>
      <c r="E4756" t="b">
        <v>0</v>
      </c>
      <c r="F4756" t="s">
        <v>11622</v>
      </c>
      <c r="L4756">
        <v>0</v>
      </c>
      <c r="M4756">
        <v>2</v>
      </c>
      <c r="N4756">
        <v>2</v>
      </c>
    </row>
    <row r="4757" spans="1:15">
      <c r="A4757" t="s">
        <v>24929</v>
      </c>
      <c r="B4757" t="s">
        <v>11637</v>
      </c>
      <c r="C4757" t="s">
        <v>24930</v>
      </c>
      <c r="D4757" t="s">
        <v>24931</v>
      </c>
      <c r="E4757" t="b">
        <v>0</v>
      </c>
      <c r="F4757" t="s">
        <v>11610</v>
      </c>
      <c r="L4757">
        <v>0</v>
      </c>
      <c r="M4757">
        <v>0</v>
      </c>
      <c r="N4757">
        <v>0</v>
      </c>
    </row>
    <row r="4758" spans="1:15">
      <c r="A4758" t="s">
        <v>24932</v>
      </c>
      <c r="B4758" t="s">
        <v>17854</v>
      </c>
      <c r="C4758" t="s">
        <v>24933</v>
      </c>
      <c r="D4758" t="s">
        <v>24934</v>
      </c>
      <c r="E4758" t="b">
        <v>0</v>
      </c>
      <c r="F4758" t="s">
        <v>11624</v>
      </c>
      <c r="G4758">
        <v>48.67</v>
      </c>
      <c r="H4758">
        <v>-124.75</v>
      </c>
      <c r="I4758" t="s">
        <v>24935</v>
      </c>
      <c r="L4758">
        <v>0</v>
      </c>
      <c r="M4758">
        <v>0</v>
      </c>
      <c r="N4758">
        <v>0</v>
      </c>
      <c r="O4758" t="s">
        <v>13049</v>
      </c>
    </row>
    <row r="4759" spans="1:15">
      <c r="A4759" t="s">
        <v>24936</v>
      </c>
      <c r="B4759" t="s">
        <v>367</v>
      </c>
      <c r="C4759" t="s">
        <v>18575</v>
      </c>
      <c r="D4759" t="s">
        <v>24937</v>
      </c>
      <c r="E4759" t="b">
        <v>0</v>
      </c>
      <c r="F4759" t="s">
        <v>11610</v>
      </c>
      <c r="L4759">
        <v>0</v>
      </c>
      <c r="M4759">
        <v>0</v>
      </c>
      <c r="N4759">
        <v>0</v>
      </c>
    </row>
    <row r="4760" spans="1:15">
      <c r="A4760" t="s">
        <v>24938</v>
      </c>
      <c r="B4760" t="s">
        <v>11615</v>
      </c>
      <c r="C4760" t="s">
        <v>23086</v>
      </c>
      <c r="D4760" t="s">
        <v>24939</v>
      </c>
      <c r="E4760" t="b">
        <v>0</v>
      </c>
      <c r="F4760" t="s">
        <v>11624</v>
      </c>
      <c r="G4760">
        <v>-5.1262699999999999</v>
      </c>
      <c r="H4760">
        <v>139.45500000000001</v>
      </c>
      <c r="I4760" t="s">
        <v>24940</v>
      </c>
      <c r="L4760">
        <v>0</v>
      </c>
      <c r="M4760">
        <v>0</v>
      </c>
      <c r="N4760">
        <v>0</v>
      </c>
      <c r="O4760" t="s">
        <v>11768</v>
      </c>
    </row>
    <row r="4761" spans="1:15">
      <c r="A4761" t="s">
        <v>24941</v>
      </c>
      <c r="B4761" t="s">
        <v>11879</v>
      </c>
      <c r="C4761" t="s">
        <v>24942</v>
      </c>
      <c r="D4761" t="s">
        <v>24943</v>
      </c>
      <c r="E4761" t="b">
        <v>0</v>
      </c>
      <c r="F4761" t="s">
        <v>11624</v>
      </c>
      <c r="G4761">
        <v>17.3596</v>
      </c>
      <c r="H4761">
        <v>-97.386099999999999</v>
      </c>
      <c r="I4761" t="s">
        <v>24944</v>
      </c>
      <c r="L4761">
        <v>0</v>
      </c>
      <c r="M4761">
        <v>0</v>
      </c>
      <c r="N4761">
        <v>0</v>
      </c>
      <c r="O4761" t="s">
        <v>11883</v>
      </c>
    </row>
    <row r="4762" spans="1:15">
      <c r="A4762" t="s">
        <v>24945</v>
      </c>
      <c r="B4762" t="s">
        <v>6742</v>
      </c>
      <c r="C4762" t="s">
        <v>24946</v>
      </c>
      <c r="D4762" t="s">
        <v>24947</v>
      </c>
      <c r="E4762" t="b">
        <v>0</v>
      </c>
      <c r="F4762" t="s">
        <v>11610</v>
      </c>
      <c r="L4762">
        <v>0</v>
      </c>
      <c r="M4762">
        <v>0</v>
      </c>
      <c r="N4762">
        <v>0</v>
      </c>
    </row>
    <row r="4763" spans="1:15">
      <c r="A4763" t="s">
        <v>24948</v>
      </c>
      <c r="B4763" t="s">
        <v>367</v>
      </c>
      <c r="C4763" t="s">
        <v>15343</v>
      </c>
      <c r="D4763" t="s">
        <v>24949</v>
      </c>
      <c r="E4763" t="b">
        <v>0</v>
      </c>
      <c r="F4763" t="s">
        <v>11610</v>
      </c>
      <c r="L4763">
        <v>0</v>
      </c>
      <c r="M4763">
        <v>0</v>
      </c>
      <c r="N4763">
        <v>0</v>
      </c>
    </row>
    <row r="4764" spans="1:15">
      <c r="A4764" t="s">
        <v>24950</v>
      </c>
      <c r="B4764" t="s">
        <v>367</v>
      </c>
      <c r="C4764" t="s">
        <v>24951</v>
      </c>
      <c r="D4764" t="s">
        <v>24952</v>
      </c>
      <c r="E4764" t="b">
        <v>0</v>
      </c>
      <c r="F4764" t="s">
        <v>11624</v>
      </c>
      <c r="G4764">
        <v>-16.326699999999999</v>
      </c>
      <c r="H4764">
        <v>167.51599999999999</v>
      </c>
      <c r="I4764" t="s">
        <v>24953</v>
      </c>
      <c r="L4764">
        <v>0</v>
      </c>
      <c r="M4764">
        <v>0</v>
      </c>
      <c r="N4764">
        <v>0</v>
      </c>
      <c r="O4764" t="s">
        <v>12719</v>
      </c>
    </row>
    <row r="4765" spans="1:15">
      <c r="A4765" t="s">
        <v>1801</v>
      </c>
      <c r="B4765" t="s">
        <v>20265</v>
      </c>
      <c r="C4765" t="s">
        <v>20265</v>
      </c>
      <c r="D4765" t="s">
        <v>24954</v>
      </c>
      <c r="E4765" t="b">
        <v>0</v>
      </c>
      <c r="F4765" t="s">
        <v>11624</v>
      </c>
      <c r="G4765">
        <v>6.1405000000000003</v>
      </c>
      <c r="H4765">
        <v>35.576300000000003</v>
      </c>
      <c r="I4765" t="s">
        <v>1802</v>
      </c>
      <c r="L4765">
        <v>0</v>
      </c>
      <c r="M4765">
        <v>0</v>
      </c>
      <c r="N4765">
        <v>0</v>
      </c>
      <c r="O4765" t="s">
        <v>11625</v>
      </c>
    </row>
    <row r="4766" spans="1:15">
      <c r="A4766" t="s">
        <v>20265</v>
      </c>
      <c r="D4766" t="s">
        <v>24955</v>
      </c>
      <c r="E4766" t="b">
        <v>0</v>
      </c>
      <c r="F4766" t="s">
        <v>11622</v>
      </c>
      <c r="L4766">
        <v>0</v>
      </c>
      <c r="M4766">
        <v>3</v>
      </c>
      <c r="N4766">
        <v>2</v>
      </c>
    </row>
    <row r="4767" spans="1:15">
      <c r="A4767" t="s">
        <v>24956</v>
      </c>
      <c r="B4767" t="s">
        <v>10597</v>
      </c>
      <c r="C4767" t="s">
        <v>24957</v>
      </c>
      <c r="D4767" t="s">
        <v>24958</v>
      </c>
      <c r="E4767" t="b">
        <v>0</v>
      </c>
      <c r="F4767" t="s">
        <v>11610</v>
      </c>
      <c r="I4767" t="s">
        <v>24959</v>
      </c>
      <c r="L4767">
        <v>0</v>
      </c>
      <c r="M4767">
        <v>0</v>
      </c>
      <c r="N4767">
        <v>0</v>
      </c>
      <c r="O4767" t="s">
        <v>12107</v>
      </c>
    </row>
    <row r="4768" spans="1:15">
      <c r="A4768" t="s">
        <v>24960</v>
      </c>
      <c r="B4768" t="s">
        <v>10597</v>
      </c>
      <c r="C4768" t="s">
        <v>16360</v>
      </c>
      <c r="D4768" t="s">
        <v>24961</v>
      </c>
      <c r="E4768" t="b">
        <v>0</v>
      </c>
      <c r="F4768" t="s">
        <v>11610</v>
      </c>
      <c r="L4768">
        <v>0</v>
      </c>
      <c r="M4768">
        <v>0</v>
      </c>
      <c r="N4768">
        <v>0</v>
      </c>
    </row>
    <row r="4769" spans="1:15">
      <c r="A4769" t="s">
        <v>24962</v>
      </c>
      <c r="B4769" t="s">
        <v>11729</v>
      </c>
      <c r="C4769" t="s">
        <v>24963</v>
      </c>
      <c r="D4769" t="s">
        <v>24964</v>
      </c>
      <c r="E4769" t="b">
        <v>0</v>
      </c>
      <c r="F4769" t="s">
        <v>11610</v>
      </c>
      <c r="L4769">
        <v>0</v>
      </c>
      <c r="M4769">
        <v>0</v>
      </c>
      <c r="N4769">
        <v>0</v>
      </c>
    </row>
    <row r="4770" spans="1:15">
      <c r="A4770" t="s">
        <v>24957</v>
      </c>
      <c r="B4770" t="s">
        <v>10597</v>
      </c>
      <c r="C4770" t="s">
        <v>24965</v>
      </c>
      <c r="D4770" t="s">
        <v>24966</v>
      </c>
      <c r="E4770" t="b">
        <v>0</v>
      </c>
      <c r="F4770" t="s">
        <v>11610</v>
      </c>
      <c r="L4770">
        <v>0</v>
      </c>
      <c r="M4770">
        <v>0</v>
      </c>
      <c r="N4770">
        <v>2</v>
      </c>
    </row>
    <row r="4771" spans="1:15">
      <c r="A4771" t="s">
        <v>24967</v>
      </c>
      <c r="B4771" t="s">
        <v>6742</v>
      </c>
      <c r="C4771" t="s">
        <v>24707</v>
      </c>
      <c r="D4771" t="s">
        <v>24968</v>
      </c>
      <c r="E4771" t="b">
        <v>0</v>
      </c>
      <c r="F4771" t="s">
        <v>11610</v>
      </c>
      <c r="L4771">
        <v>0</v>
      </c>
      <c r="M4771">
        <v>0</v>
      </c>
      <c r="N4771">
        <v>0</v>
      </c>
    </row>
    <row r="4772" spans="1:15">
      <c r="A4772" t="s">
        <v>24969</v>
      </c>
      <c r="B4772" t="s">
        <v>18680</v>
      </c>
      <c r="C4772" t="s">
        <v>18680</v>
      </c>
      <c r="D4772" t="s">
        <v>24970</v>
      </c>
      <c r="E4772" t="b">
        <v>0</v>
      </c>
      <c r="F4772" t="s">
        <v>11622</v>
      </c>
      <c r="L4772">
        <v>0</v>
      </c>
      <c r="M4772">
        <v>2</v>
      </c>
      <c r="N4772">
        <v>2</v>
      </c>
    </row>
    <row r="4773" spans="1:15">
      <c r="A4773" t="s">
        <v>24971</v>
      </c>
      <c r="B4773" t="s">
        <v>18680</v>
      </c>
      <c r="C4773" t="s">
        <v>24969</v>
      </c>
      <c r="D4773" t="s">
        <v>24972</v>
      </c>
      <c r="E4773" t="b">
        <v>0</v>
      </c>
      <c r="F4773" t="s">
        <v>11624</v>
      </c>
      <c r="G4773">
        <v>-15.0558</v>
      </c>
      <c r="H4773">
        <v>130.06</v>
      </c>
      <c r="I4773" t="s">
        <v>24973</v>
      </c>
      <c r="L4773">
        <v>0</v>
      </c>
      <c r="M4773">
        <v>0</v>
      </c>
      <c r="N4773">
        <v>2</v>
      </c>
      <c r="O4773" t="s">
        <v>12107</v>
      </c>
    </row>
    <row r="4774" spans="1:15">
      <c r="A4774" t="s">
        <v>24974</v>
      </c>
      <c r="B4774" t="s">
        <v>10597</v>
      </c>
      <c r="C4774" t="s">
        <v>24975</v>
      </c>
      <c r="D4774" t="s">
        <v>24976</v>
      </c>
      <c r="E4774" t="b">
        <v>0</v>
      </c>
      <c r="F4774" t="s">
        <v>11624</v>
      </c>
      <c r="G4774">
        <v>-12.021000000000001</v>
      </c>
      <c r="H4774">
        <v>135.59</v>
      </c>
      <c r="I4774" t="s">
        <v>24977</v>
      </c>
      <c r="L4774">
        <v>0</v>
      </c>
      <c r="M4774">
        <v>0</v>
      </c>
      <c r="N4774">
        <v>0</v>
      </c>
      <c r="O4774" t="s">
        <v>12107</v>
      </c>
    </row>
    <row r="4775" spans="1:15">
      <c r="A4775" t="s">
        <v>24978</v>
      </c>
      <c r="B4775" t="s">
        <v>6742</v>
      </c>
      <c r="C4775" t="s">
        <v>23779</v>
      </c>
      <c r="D4775" t="s">
        <v>24979</v>
      </c>
      <c r="E4775" t="b">
        <v>0</v>
      </c>
      <c r="F4775" t="s">
        <v>11610</v>
      </c>
      <c r="L4775">
        <v>0</v>
      </c>
      <c r="M4775">
        <v>0</v>
      </c>
      <c r="N4775">
        <v>0</v>
      </c>
    </row>
    <row r="4776" spans="1:15">
      <c r="A4776" t="s">
        <v>24980</v>
      </c>
      <c r="B4776" t="s">
        <v>367</v>
      </c>
      <c r="C4776" t="s">
        <v>16048</v>
      </c>
      <c r="D4776" t="s">
        <v>24981</v>
      </c>
      <c r="E4776" t="b">
        <v>0</v>
      </c>
      <c r="F4776" t="s">
        <v>11610</v>
      </c>
      <c r="L4776">
        <v>0</v>
      </c>
      <c r="M4776">
        <v>0</v>
      </c>
      <c r="N4776">
        <v>0</v>
      </c>
    </row>
    <row r="4777" spans="1:15">
      <c r="A4777" t="s">
        <v>24982</v>
      </c>
      <c r="B4777" t="s">
        <v>10597</v>
      </c>
      <c r="C4777" t="s">
        <v>24983</v>
      </c>
      <c r="D4777" t="s">
        <v>24984</v>
      </c>
      <c r="E4777" t="b">
        <v>0</v>
      </c>
      <c r="F4777" t="s">
        <v>11624</v>
      </c>
      <c r="G4777">
        <v>-16.910509999999999</v>
      </c>
      <c r="H4777">
        <v>144.93244999999999</v>
      </c>
      <c r="I4777" t="s">
        <v>24985</v>
      </c>
      <c r="L4777">
        <v>0</v>
      </c>
      <c r="M4777">
        <v>0</v>
      </c>
      <c r="N4777">
        <v>0</v>
      </c>
      <c r="O4777" t="s">
        <v>12107</v>
      </c>
    </row>
    <row r="4778" spans="1:15">
      <c r="A4778" t="s">
        <v>2764</v>
      </c>
      <c r="B4778" t="s">
        <v>10597</v>
      </c>
      <c r="C4778" t="s">
        <v>668</v>
      </c>
      <c r="D4778" t="s">
        <v>2763</v>
      </c>
      <c r="E4778" t="b">
        <v>0</v>
      </c>
      <c r="F4778" t="s">
        <v>11610</v>
      </c>
      <c r="G4778">
        <v>-12.879764</v>
      </c>
      <c r="H4778">
        <v>136.41797800000001</v>
      </c>
      <c r="L4778">
        <v>0</v>
      </c>
      <c r="M4778">
        <v>0</v>
      </c>
      <c r="N4778">
        <v>0</v>
      </c>
    </row>
    <row r="4779" spans="1:15">
      <c r="A4779" t="s">
        <v>24986</v>
      </c>
      <c r="B4779" t="s">
        <v>10597</v>
      </c>
      <c r="C4779" t="s">
        <v>24987</v>
      </c>
      <c r="D4779" t="s">
        <v>24988</v>
      </c>
      <c r="E4779" t="b">
        <v>0</v>
      </c>
      <c r="F4779" t="s">
        <v>11610</v>
      </c>
      <c r="L4779">
        <v>0</v>
      </c>
      <c r="M4779">
        <v>0</v>
      </c>
      <c r="N4779">
        <v>0</v>
      </c>
    </row>
    <row r="4780" spans="1:15">
      <c r="A4780" t="s">
        <v>24989</v>
      </c>
      <c r="B4780" t="s">
        <v>10597</v>
      </c>
      <c r="C4780" t="s">
        <v>24300</v>
      </c>
      <c r="D4780" t="s">
        <v>24990</v>
      </c>
      <c r="E4780" t="b">
        <v>0</v>
      </c>
      <c r="F4780" t="s">
        <v>11610</v>
      </c>
      <c r="L4780">
        <v>0</v>
      </c>
      <c r="M4780">
        <v>0</v>
      </c>
      <c r="N4780">
        <v>0</v>
      </c>
    </row>
    <row r="4781" spans="1:15">
      <c r="A4781" t="s">
        <v>9905</v>
      </c>
      <c r="B4781" t="s">
        <v>9897</v>
      </c>
      <c r="C4781" t="s">
        <v>24991</v>
      </c>
      <c r="D4781" t="s">
        <v>24992</v>
      </c>
      <c r="E4781" t="b">
        <v>0</v>
      </c>
      <c r="F4781" t="s">
        <v>11624</v>
      </c>
      <c r="G4781">
        <v>-14.136100000000001</v>
      </c>
      <c r="H4781">
        <v>133.00200000000001</v>
      </c>
      <c r="I4781" t="s">
        <v>9906</v>
      </c>
      <c r="L4781">
        <v>0</v>
      </c>
      <c r="M4781">
        <v>0</v>
      </c>
      <c r="N4781">
        <v>0</v>
      </c>
      <c r="O4781" t="s">
        <v>12107</v>
      </c>
    </row>
    <row r="4782" spans="1:15">
      <c r="A4782" t="s">
        <v>24993</v>
      </c>
      <c r="B4782" t="s">
        <v>17023</v>
      </c>
      <c r="C4782" t="s">
        <v>17022</v>
      </c>
      <c r="D4782" t="s">
        <v>24994</v>
      </c>
      <c r="E4782" t="b">
        <v>0</v>
      </c>
      <c r="F4782" t="s">
        <v>11624</v>
      </c>
      <c r="G4782">
        <v>-16.4163</v>
      </c>
      <c r="H4782">
        <v>123.18600000000001</v>
      </c>
      <c r="I4782" t="s">
        <v>24995</v>
      </c>
      <c r="L4782">
        <v>0</v>
      </c>
      <c r="M4782">
        <v>0</v>
      </c>
      <c r="N4782">
        <v>0</v>
      </c>
      <c r="O4782" t="s">
        <v>12107</v>
      </c>
    </row>
    <row r="4783" spans="1:15">
      <c r="A4783" t="s">
        <v>24996</v>
      </c>
      <c r="B4783" t="s">
        <v>20424</v>
      </c>
      <c r="C4783" t="s">
        <v>20424</v>
      </c>
      <c r="D4783" t="s">
        <v>24997</v>
      </c>
      <c r="E4783" t="b">
        <v>0</v>
      </c>
      <c r="F4783" t="s">
        <v>11624</v>
      </c>
      <c r="G4783">
        <v>-12.013299999999999</v>
      </c>
      <c r="H4783">
        <v>134.09700000000001</v>
      </c>
      <c r="I4783" t="s">
        <v>24998</v>
      </c>
      <c r="L4783">
        <v>0</v>
      </c>
      <c r="M4783">
        <v>0</v>
      </c>
      <c r="N4783">
        <v>0</v>
      </c>
      <c r="O4783" t="s">
        <v>12107</v>
      </c>
    </row>
    <row r="4784" spans="1:15">
      <c r="A4784" t="s">
        <v>24999</v>
      </c>
      <c r="B4784" t="s">
        <v>6742</v>
      </c>
      <c r="C4784" t="s">
        <v>20592</v>
      </c>
      <c r="D4784" t="s">
        <v>25000</v>
      </c>
      <c r="E4784" t="b">
        <v>0</v>
      </c>
      <c r="F4784" t="s">
        <v>11610</v>
      </c>
      <c r="L4784">
        <v>0</v>
      </c>
      <c r="M4784">
        <v>0</v>
      </c>
      <c r="N4784">
        <v>0</v>
      </c>
    </row>
    <row r="4785" spans="1:15">
      <c r="A4785" t="s">
        <v>25001</v>
      </c>
      <c r="B4785" t="s">
        <v>12562</v>
      </c>
      <c r="C4785" t="s">
        <v>25002</v>
      </c>
      <c r="D4785" t="s">
        <v>25003</v>
      </c>
      <c r="E4785" t="b">
        <v>0</v>
      </c>
      <c r="F4785" t="s">
        <v>11610</v>
      </c>
      <c r="L4785">
        <v>0</v>
      </c>
      <c r="M4785">
        <v>0</v>
      </c>
      <c r="N4785">
        <v>0</v>
      </c>
    </row>
    <row r="4786" spans="1:15">
      <c r="A4786" t="s">
        <v>25004</v>
      </c>
      <c r="B4786" t="s">
        <v>12562</v>
      </c>
      <c r="C4786" t="s">
        <v>25005</v>
      </c>
      <c r="D4786" t="s">
        <v>25006</v>
      </c>
      <c r="E4786" t="b">
        <v>0</v>
      </c>
      <c r="F4786" t="s">
        <v>11610</v>
      </c>
      <c r="L4786">
        <v>0</v>
      </c>
      <c r="M4786">
        <v>0</v>
      </c>
      <c r="N4786">
        <v>0</v>
      </c>
    </row>
    <row r="4787" spans="1:15">
      <c r="A4787" t="s">
        <v>25007</v>
      </c>
      <c r="B4787" t="s">
        <v>11965</v>
      </c>
      <c r="C4787" t="s">
        <v>14545</v>
      </c>
      <c r="D4787" t="s">
        <v>25008</v>
      </c>
      <c r="E4787" t="b">
        <v>0</v>
      </c>
      <c r="F4787" t="s">
        <v>11624</v>
      </c>
      <c r="G4787">
        <v>-12.038</v>
      </c>
      <c r="H4787">
        <v>-64.669399999999996</v>
      </c>
      <c r="I4787" t="s">
        <v>25009</v>
      </c>
      <c r="L4787">
        <v>0</v>
      </c>
      <c r="M4787">
        <v>0</v>
      </c>
      <c r="N4787">
        <v>0</v>
      </c>
      <c r="O4787" t="s">
        <v>11969</v>
      </c>
    </row>
    <row r="4788" spans="1:15">
      <c r="A4788" t="s">
        <v>25010</v>
      </c>
      <c r="B4788" t="s">
        <v>6742</v>
      </c>
      <c r="C4788" t="s">
        <v>15983</v>
      </c>
      <c r="D4788" t="s">
        <v>25011</v>
      </c>
      <c r="E4788" t="b">
        <v>0</v>
      </c>
      <c r="F4788" t="s">
        <v>11610</v>
      </c>
      <c r="L4788">
        <v>0</v>
      </c>
      <c r="M4788">
        <v>0</v>
      </c>
      <c r="N4788">
        <v>0</v>
      </c>
    </row>
    <row r="4789" spans="1:15">
      <c r="A4789" t="s">
        <v>25012</v>
      </c>
      <c r="B4789" t="s">
        <v>6742</v>
      </c>
      <c r="C4789" t="s">
        <v>25013</v>
      </c>
      <c r="D4789" t="s">
        <v>25014</v>
      </c>
      <c r="E4789" t="b">
        <v>0</v>
      </c>
      <c r="F4789" t="s">
        <v>11610</v>
      </c>
      <c r="L4789">
        <v>0</v>
      </c>
      <c r="M4789">
        <v>0</v>
      </c>
      <c r="N4789">
        <v>0</v>
      </c>
    </row>
    <row r="4790" spans="1:15">
      <c r="A4790" t="s">
        <v>24707</v>
      </c>
      <c r="B4790" t="s">
        <v>6742</v>
      </c>
      <c r="C4790" t="s">
        <v>25015</v>
      </c>
      <c r="D4790" t="s">
        <v>25016</v>
      </c>
      <c r="E4790" t="b">
        <v>0</v>
      </c>
      <c r="F4790" t="s">
        <v>11624</v>
      </c>
      <c r="G4790">
        <v>8.3627900000000004</v>
      </c>
      <c r="H4790">
        <v>-4.45627</v>
      </c>
      <c r="I4790" t="s">
        <v>25017</v>
      </c>
      <c r="L4790">
        <v>0</v>
      </c>
      <c r="M4790">
        <v>0</v>
      </c>
      <c r="N4790">
        <v>5</v>
      </c>
      <c r="O4790" t="s">
        <v>11735</v>
      </c>
    </row>
    <row r="4791" spans="1:15">
      <c r="A4791" t="s">
        <v>25018</v>
      </c>
      <c r="B4791" t="s">
        <v>11607</v>
      </c>
      <c r="C4791" t="s">
        <v>25019</v>
      </c>
      <c r="D4791" t="s">
        <v>25020</v>
      </c>
      <c r="E4791" t="b">
        <v>0</v>
      </c>
      <c r="F4791" t="s">
        <v>11610</v>
      </c>
      <c r="L4791">
        <v>0</v>
      </c>
      <c r="M4791">
        <v>0</v>
      </c>
      <c r="N4791">
        <v>0</v>
      </c>
    </row>
    <row r="4792" spans="1:15">
      <c r="A4792" t="s">
        <v>25021</v>
      </c>
      <c r="B4792" t="s">
        <v>18680</v>
      </c>
      <c r="C4792" t="s">
        <v>18680</v>
      </c>
      <c r="D4792" t="s">
        <v>25022</v>
      </c>
      <c r="E4792" t="b">
        <v>0</v>
      </c>
      <c r="F4792" t="s">
        <v>11624</v>
      </c>
      <c r="G4792">
        <v>-17.164999999999999</v>
      </c>
      <c r="H4792">
        <v>133.65899999999999</v>
      </c>
      <c r="I4792" t="s">
        <v>25023</v>
      </c>
      <c r="L4792">
        <v>0</v>
      </c>
      <c r="M4792">
        <v>0</v>
      </c>
      <c r="N4792">
        <v>0</v>
      </c>
      <c r="O4792" t="s">
        <v>12107</v>
      </c>
    </row>
    <row r="4793" spans="1:15">
      <c r="A4793" t="s">
        <v>23752</v>
      </c>
      <c r="B4793" t="s">
        <v>10597</v>
      </c>
      <c r="C4793" t="s">
        <v>25024</v>
      </c>
      <c r="D4793" t="s">
        <v>25025</v>
      </c>
      <c r="E4793" t="b">
        <v>0</v>
      </c>
      <c r="F4793" t="s">
        <v>11624</v>
      </c>
      <c r="G4793">
        <v>-12.93</v>
      </c>
      <c r="H4793">
        <v>134.96700000000001</v>
      </c>
      <c r="I4793" t="s">
        <v>25026</v>
      </c>
      <c r="L4793">
        <v>0</v>
      </c>
      <c r="M4793">
        <v>0</v>
      </c>
      <c r="N4793">
        <v>3</v>
      </c>
      <c r="O4793" t="s">
        <v>12107</v>
      </c>
    </row>
    <row r="4794" spans="1:15">
      <c r="A4794" t="s">
        <v>16360</v>
      </c>
      <c r="B4794" t="s">
        <v>10597</v>
      </c>
      <c r="C4794" t="s">
        <v>25024</v>
      </c>
      <c r="D4794" t="s">
        <v>25027</v>
      </c>
      <c r="E4794" t="b">
        <v>0</v>
      </c>
      <c r="F4794" t="s">
        <v>11624</v>
      </c>
      <c r="G4794">
        <v>-12.462</v>
      </c>
      <c r="H4794">
        <v>134.82</v>
      </c>
      <c r="I4794" t="s">
        <v>25028</v>
      </c>
      <c r="L4794">
        <v>0</v>
      </c>
      <c r="M4794">
        <v>0</v>
      </c>
      <c r="N4794">
        <v>6</v>
      </c>
      <c r="O4794" t="s">
        <v>12107</v>
      </c>
    </row>
    <row r="4795" spans="1:15">
      <c r="A4795" t="s">
        <v>25029</v>
      </c>
      <c r="B4795" t="s">
        <v>10597</v>
      </c>
      <c r="C4795" t="s">
        <v>25030</v>
      </c>
      <c r="D4795" t="s">
        <v>25031</v>
      </c>
      <c r="E4795" t="b">
        <v>0</v>
      </c>
      <c r="F4795" t="s">
        <v>11622</v>
      </c>
      <c r="G4795">
        <v>-24.107240000000001</v>
      </c>
      <c r="H4795">
        <v>116.98858</v>
      </c>
      <c r="I4795" t="s">
        <v>25032</v>
      </c>
      <c r="L4795">
        <v>0</v>
      </c>
      <c r="M4795">
        <v>2</v>
      </c>
      <c r="N4795">
        <v>0</v>
      </c>
      <c r="O4795" t="s">
        <v>12107</v>
      </c>
    </row>
    <row r="4796" spans="1:15">
      <c r="A4796" t="s">
        <v>25033</v>
      </c>
      <c r="B4796" t="s">
        <v>10597</v>
      </c>
      <c r="C4796" t="s">
        <v>25029</v>
      </c>
      <c r="D4796" t="s">
        <v>25034</v>
      </c>
      <c r="E4796" t="b">
        <v>0</v>
      </c>
      <c r="F4796" t="s">
        <v>11624</v>
      </c>
      <c r="G4796">
        <v>-24.107240000000001</v>
      </c>
      <c r="H4796">
        <v>116.98858</v>
      </c>
      <c r="I4796" t="s">
        <v>25035</v>
      </c>
      <c r="L4796">
        <v>0</v>
      </c>
      <c r="M4796">
        <v>0</v>
      </c>
      <c r="N4796">
        <v>0</v>
      </c>
      <c r="O4796" t="s">
        <v>12107</v>
      </c>
    </row>
    <row r="4797" spans="1:15">
      <c r="A4797" t="s">
        <v>25036</v>
      </c>
      <c r="B4797" t="s">
        <v>6742</v>
      </c>
      <c r="C4797" t="s">
        <v>14948</v>
      </c>
      <c r="D4797" t="s">
        <v>25037</v>
      </c>
      <c r="E4797" t="b">
        <v>0</v>
      </c>
      <c r="F4797" t="s">
        <v>11610</v>
      </c>
      <c r="L4797">
        <v>0</v>
      </c>
      <c r="M4797">
        <v>0</v>
      </c>
      <c r="N4797">
        <v>0</v>
      </c>
    </row>
    <row r="4798" spans="1:15">
      <c r="A4798" t="s">
        <v>25038</v>
      </c>
      <c r="B4798" t="s">
        <v>6742</v>
      </c>
      <c r="C4798" t="s">
        <v>11737</v>
      </c>
      <c r="D4798" t="s">
        <v>25039</v>
      </c>
      <c r="E4798" t="b">
        <v>0</v>
      </c>
      <c r="F4798" t="s">
        <v>11610</v>
      </c>
      <c r="L4798">
        <v>0</v>
      </c>
      <c r="M4798">
        <v>0</v>
      </c>
      <c r="N4798">
        <v>0</v>
      </c>
    </row>
    <row r="4799" spans="1:15">
      <c r="A4799" t="s">
        <v>25040</v>
      </c>
      <c r="B4799" t="s">
        <v>11637</v>
      </c>
      <c r="C4799" t="s">
        <v>14365</v>
      </c>
      <c r="D4799" t="s">
        <v>25041</v>
      </c>
      <c r="E4799" t="b">
        <v>0</v>
      </c>
      <c r="F4799" t="s">
        <v>11610</v>
      </c>
      <c r="L4799">
        <v>0</v>
      </c>
      <c r="M4799">
        <v>0</v>
      </c>
      <c r="N4799">
        <v>0</v>
      </c>
    </row>
    <row r="4800" spans="1:15">
      <c r="A4800" t="s">
        <v>25042</v>
      </c>
      <c r="B4800" t="s">
        <v>11637</v>
      </c>
      <c r="C4800" t="s">
        <v>13105</v>
      </c>
      <c r="D4800" t="s">
        <v>25043</v>
      </c>
      <c r="E4800" t="b">
        <v>0</v>
      </c>
      <c r="F4800" t="s">
        <v>11610</v>
      </c>
      <c r="L4800">
        <v>0</v>
      </c>
      <c r="M4800">
        <v>0</v>
      </c>
      <c r="N4800">
        <v>0</v>
      </c>
    </row>
    <row r="4801" spans="1:15">
      <c r="A4801" t="s">
        <v>25044</v>
      </c>
      <c r="B4801" t="s">
        <v>10597</v>
      </c>
      <c r="C4801" t="s">
        <v>25045</v>
      </c>
      <c r="D4801" t="s">
        <v>25046</v>
      </c>
      <c r="E4801" t="b">
        <v>0</v>
      </c>
      <c r="F4801" t="s">
        <v>11610</v>
      </c>
      <c r="L4801">
        <v>0</v>
      </c>
      <c r="M4801">
        <v>0</v>
      </c>
      <c r="N4801">
        <v>0</v>
      </c>
    </row>
    <row r="4802" spans="1:15">
      <c r="A4802" t="s">
        <v>25047</v>
      </c>
      <c r="B4802" t="s">
        <v>11607</v>
      </c>
      <c r="C4802" t="s">
        <v>21754</v>
      </c>
      <c r="D4802" t="s">
        <v>25048</v>
      </c>
      <c r="E4802" t="b">
        <v>0</v>
      </c>
      <c r="F4802" t="s">
        <v>11610</v>
      </c>
      <c r="L4802">
        <v>0</v>
      </c>
      <c r="M4802">
        <v>0</v>
      </c>
      <c r="N4802">
        <v>0</v>
      </c>
    </row>
    <row r="4803" spans="1:15">
      <c r="A4803" t="s">
        <v>25049</v>
      </c>
      <c r="B4803" t="s">
        <v>6742</v>
      </c>
      <c r="C4803" t="s">
        <v>23831</v>
      </c>
      <c r="D4803" t="s">
        <v>25050</v>
      </c>
      <c r="E4803" t="b">
        <v>0</v>
      </c>
      <c r="F4803" t="s">
        <v>11610</v>
      </c>
      <c r="L4803">
        <v>0</v>
      </c>
      <c r="M4803">
        <v>0</v>
      </c>
      <c r="N4803">
        <v>0</v>
      </c>
    </row>
    <row r="4804" spans="1:15">
      <c r="A4804" t="s">
        <v>25051</v>
      </c>
      <c r="B4804" t="s">
        <v>11637</v>
      </c>
      <c r="C4804" t="s">
        <v>8925</v>
      </c>
      <c r="D4804" t="s">
        <v>25052</v>
      </c>
      <c r="E4804" t="b">
        <v>0</v>
      </c>
      <c r="F4804" t="s">
        <v>11610</v>
      </c>
      <c r="L4804">
        <v>0</v>
      </c>
      <c r="M4804">
        <v>0</v>
      </c>
      <c r="N4804">
        <v>0</v>
      </c>
    </row>
    <row r="4805" spans="1:15">
      <c r="A4805" t="s">
        <v>25053</v>
      </c>
      <c r="B4805" t="s">
        <v>367</v>
      </c>
      <c r="C4805" t="s">
        <v>25054</v>
      </c>
      <c r="D4805" t="s">
        <v>25055</v>
      </c>
      <c r="E4805" t="b">
        <v>0</v>
      </c>
      <c r="F4805" t="s">
        <v>11624</v>
      </c>
      <c r="G4805">
        <v>-6.32531</v>
      </c>
      <c r="H4805">
        <v>134.63800000000001</v>
      </c>
      <c r="I4805" t="s">
        <v>25056</v>
      </c>
      <c r="L4805">
        <v>0</v>
      </c>
      <c r="M4805">
        <v>0</v>
      </c>
      <c r="N4805">
        <v>3</v>
      </c>
      <c r="O4805" t="s">
        <v>11768</v>
      </c>
    </row>
    <row r="4806" spans="1:15">
      <c r="A4806" t="s">
        <v>25057</v>
      </c>
      <c r="B4806" t="s">
        <v>11607</v>
      </c>
      <c r="C4806" t="s">
        <v>14416</v>
      </c>
      <c r="D4806" t="s">
        <v>25058</v>
      </c>
      <c r="E4806" t="b">
        <v>0</v>
      </c>
      <c r="F4806" t="s">
        <v>11610</v>
      </c>
      <c r="L4806">
        <v>0</v>
      </c>
      <c r="M4806">
        <v>0</v>
      </c>
      <c r="N4806">
        <v>0</v>
      </c>
    </row>
    <row r="4807" spans="1:15">
      <c r="A4807" t="s">
        <v>25054</v>
      </c>
      <c r="B4807" t="s">
        <v>367</v>
      </c>
      <c r="C4807" t="s">
        <v>21942</v>
      </c>
      <c r="D4807" t="s">
        <v>25059</v>
      </c>
      <c r="E4807" t="b">
        <v>0</v>
      </c>
      <c r="F4807" t="s">
        <v>11622</v>
      </c>
      <c r="L4807">
        <v>0</v>
      </c>
      <c r="M4807">
        <v>2</v>
      </c>
      <c r="N4807">
        <v>4</v>
      </c>
    </row>
    <row r="4808" spans="1:15">
      <c r="A4808" t="s">
        <v>25060</v>
      </c>
      <c r="B4808" t="s">
        <v>11607</v>
      </c>
      <c r="C4808" t="s">
        <v>25061</v>
      </c>
      <c r="D4808" t="s">
        <v>25062</v>
      </c>
      <c r="E4808" t="b">
        <v>0</v>
      </c>
      <c r="F4808" t="s">
        <v>11610</v>
      </c>
      <c r="L4808">
        <v>0</v>
      </c>
      <c r="M4808">
        <v>0</v>
      </c>
      <c r="N4808">
        <v>0</v>
      </c>
    </row>
    <row r="4809" spans="1:15">
      <c r="A4809" t="s">
        <v>25063</v>
      </c>
      <c r="B4809" t="s">
        <v>11644</v>
      </c>
      <c r="C4809" t="s">
        <v>15930</v>
      </c>
      <c r="D4809" t="s">
        <v>25064</v>
      </c>
      <c r="E4809" t="b">
        <v>0</v>
      </c>
      <c r="F4809" t="s">
        <v>11610</v>
      </c>
      <c r="L4809">
        <v>0</v>
      </c>
      <c r="M4809">
        <v>0</v>
      </c>
      <c r="N4809">
        <v>0</v>
      </c>
    </row>
    <row r="4810" spans="1:15">
      <c r="A4810" t="s">
        <v>25065</v>
      </c>
      <c r="B4810" t="s">
        <v>367</v>
      </c>
      <c r="C4810" t="s">
        <v>13385</v>
      </c>
      <c r="D4810" t="s">
        <v>25066</v>
      </c>
      <c r="E4810" t="b">
        <v>0</v>
      </c>
      <c r="F4810" t="s">
        <v>11610</v>
      </c>
      <c r="L4810">
        <v>0</v>
      </c>
      <c r="M4810">
        <v>0</v>
      </c>
      <c r="N4810">
        <v>0</v>
      </c>
    </row>
    <row r="4811" spans="1:15">
      <c r="A4811" t="s">
        <v>19669</v>
      </c>
      <c r="B4811" t="s">
        <v>367</v>
      </c>
      <c r="C4811" t="s">
        <v>14042</v>
      </c>
      <c r="D4811" t="s">
        <v>25067</v>
      </c>
      <c r="E4811" t="b">
        <v>0</v>
      </c>
      <c r="F4811" t="s">
        <v>11622</v>
      </c>
      <c r="L4811">
        <v>2</v>
      </c>
      <c r="M4811">
        <v>7</v>
      </c>
      <c r="N4811">
        <v>34</v>
      </c>
    </row>
    <row r="4812" spans="1:15">
      <c r="A4812" t="s">
        <v>21560</v>
      </c>
      <c r="B4812" t="s">
        <v>367</v>
      </c>
      <c r="C4812" t="s">
        <v>19669</v>
      </c>
      <c r="D4812" t="s">
        <v>25068</v>
      </c>
      <c r="E4812" t="b">
        <v>0</v>
      </c>
      <c r="F4812" t="s">
        <v>11624</v>
      </c>
      <c r="G4812">
        <v>-9.6323899999999991</v>
      </c>
      <c r="H4812">
        <v>150.82499999999999</v>
      </c>
      <c r="I4812" t="s">
        <v>25069</v>
      </c>
      <c r="L4812">
        <v>0</v>
      </c>
      <c r="M4812">
        <v>0</v>
      </c>
      <c r="N4812">
        <v>5</v>
      </c>
      <c r="O4812" t="s">
        <v>11660</v>
      </c>
    </row>
    <row r="4813" spans="1:15">
      <c r="A4813" t="s">
        <v>25070</v>
      </c>
      <c r="B4813" t="s">
        <v>11644</v>
      </c>
      <c r="C4813" t="s">
        <v>16034</v>
      </c>
      <c r="D4813" t="s">
        <v>25071</v>
      </c>
      <c r="E4813" t="b">
        <v>0</v>
      </c>
      <c r="F4813" t="s">
        <v>11610</v>
      </c>
      <c r="L4813">
        <v>0</v>
      </c>
      <c r="M4813">
        <v>0</v>
      </c>
      <c r="N4813">
        <v>0</v>
      </c>
    </row>
    <row r="4814" spans="1:15">
      <c r="A4814" t="s">
        <v>25072</v>
      </c>
      <c r="B4814" t="s">
        <v>11637</v>
      </c>
      <c r="C4814" t="s">
        <v>23355</v>
      </c>
      <c r="D4814" t="s">
        <v>25073</v>
      </c>
      <c r="E4814" t="b">
        <v>0</v>
      </c>
      <c r="F4814" t="s">
        <v>11610</v>
      </c>
      <c r="L4814">
        <v>0</v>
      </c>
      <c r="M4814">
        <v>0</v>
      </c>
      <c r="N4814">
        <v>0</v>
      </c>
    </row>
    <row r="4815" spans="1:15">
      <c r="A4815" t="s">
        <v>25074</v>
      </c>
      <c r="B4815" t="s">
        <v>12133</v>
      </c>
      <c r="C4815" t="s">
        <v>18999</v>
      </c>
      <c r="D4815" t="s">
        <v>25075</v>
      </c>
      <c r="E4815" t="b">
        <v>0</v>
      </c>
      <c r="F4815" t="s">
        <v>11610</v>
      </c>
      <c r="L4815">
        <v>0</v>
      </c>
      <c r="M4815">
        <v>0</v>
      </c>
      <c r="N4815">
        <v>0</v>
      </c>
    </row>
    <row r="4816" spans="1:15">
      <c r="A4816" t="s">
        <v>25076</v>
      </c>
      <c r="B4816" t="s">
        <v>11757</v>
      </c>
      <c r="C4816" t="s">
        <v>1148</v>
      </c>
      <c r="D4816" t="s">
        <v>25077</v>
      </c>
      <c r="E4816" t="b">
        <v>0</v>
      </c>
      <c r="F4816" t="s">
        <v>11610</v>
      </c>
      <c r="L4816">
        <v>0</v>
      </c>
      <c r="M4816">
        <v>0</v>
      </c>
      <c r="N4816">
        <v>0</v>
      </c>
    </row>
    <row r="4817" spans="1:15">
      <c r="A4817" t="s">
        <v>25078</v>
      </c>
      <c r="B4817" t="s">
        <v>6742</v>
      </c>
      <c r="C4817" t="s">
        <v>21898</v>
      </c>
      <c r="D4817" t="s">
        <v>25079</v>
      </c>
      <c r="E4817" t="b">
        <v>0</v>
      </c>
      <c r="F4817" t="s">
        <v>11624</v>
      </c>
      <c r="G4817">
        <v>-6.2584400000000002</v>
      </c>
      <c r="H4817">
        <v>38.490200000000002</v>
      </c>
      <c r="I4817" t="s">
        <v>25080</v>
      </c>
      <c r="L4817">
        <v>0</v>
      </c>
      <c r="M4817">
        <v>0</v>
      </c>
      <c r="N4817">
        <v>0</v>
      </c>
      <c r="O4817" t="s">
        <v>11635</v>
      </c>
    </row>
    <row r="4818" spans="1:15">
      <c r="A4818" t="s">
        <v>25081</v>
      </c>
      <c r="B4818" t="s">
        <v>11607</v>
      </c>
      <c r="C4818" t="s">
        <v>24162</v>
      </c>
      <c r="D4818" t="s">
        <v>25082</v>
      </c>
      <c r="E4818" t="b">
        <v>0</v>
      </c>
      <c r="F4818" t="s">
        <v>11610</v>
      </c>
      <c r="L4818">
        <v>0</v>
      </c>
      <c r="M4818">
        <v>0</v>
      </c>
      <c r="N4818">
        <v>0</v>
      </c>
    </row>
    <row r="4819" spans="1:15">
      <c r="A4819" t="s">
        <v>25083</v>
      </c>
      <c r="B4819" t="s">
        <v>6742</v>
      </c>
      <c r="C4819" t="s">
        <v>24707</v>
      </c>
      <c r="D4819" t="s">
        <v>25084</v>
      </c>
      <c r="E4819" t="b">
        <v>0</v>
      </c>
      <c r="F4819" t="s">
        <v>11610</v>
      </c>
      <c r="L4819">
        <v>0</v>
      </c>
      <c r="M4819">
        <v>0</v>
      </c>
      <c r="N4819">
        <v>0</v>
      </c>
    </row>
    <row r="4820" spans="1:15">
      <c r="A4820" t="s">
        <v>25085</v>
      </c>
      <c r="B4820" t="s">
        <v>367</v>
      </c>
      <c r="C4820" t="s">
        <v>14452</v>
      </c>
      <c r="D4820" t="s">
        <v>25086</v>
      </c>
      <c r="E4820" t="b">
        <v>0</v>
      </c>
      <c r="F4820" t="s">
        <v>11624</v>
      </c>
      <c r="G4820">
        <v>-9.6369799999999994</v>
      </c>
      <c r="H4820">
        <v>149.84100000000001</v>
      </c>
      <c r="I4820" t="s">
        <v>25087</v>
      </c>
      <c r="L4820">
        <v>0</v>
      </c>
      <c r="M4820">
        <v>0</v>
      </c>
      <c r="N4820">
        <v>0</v>
      </c>
      <c r="O4820" t="s">
        <v>11660</v>
      </c>
    </row>
    <row r="4821" spans="1:15">
      <c r="A4821" t="s">
        <v>25088</v>
      </c>
      <c r="B4821" t="s">
        <v>11607</v>
      </c>
      <c r="C4821" t="s">
        <v>23988</v>
      </c>
      <c r="D4821" t="s">
        <v>25089</v>
      </c>
      <c r="E4821" t="b">
        <v>0</v>
      </c>
      <c r="F4821" t="s">
        <v>11610</v>
      </c>
      <c r="L4821">
        <v>0</v>
      </c>
      <c r="M4821">
        <v>0</v>
      </c>
      <c r="N4821">
        <v>0</v>
      </c>
    </row>
    <row r="4822" spans="1:15">
      <c r="A4822" t="s">
        <v>25090</v>
      </c>
      <c r="B4822" t="s">
        <v>6742</v>
      </c>
      <c r="C4822" t="s">
        <v>12603</v>
      </c>
      <c r="D4822" t="s">
        <v>25091</v>
      </c>
      <c r="E4822" t="b">
        <v>0</v>
      </c>
      <c r="F4822" t="s">
        <v>11610</v>
      </c>
      <c r="L4822">
        <v>0</v>
      </c>
      <c r="M4822">
        <v>0</v>
      </c>
      <c r="N4822">
        <v>0</v>
      </c>
    </row>
    <row r="4823" spans="1:15">
      <c r="A4823" t="s">
        <v>25092</v>
      </c>
      <c r="B4823" t="s">
        <v>11615</v>
      </c>
      <c r="C4823" t="s">
        <v>17173</v>
      </c>
      <c r="D4823" t="s">
        <v>25093</v>
      </c>
      <c r="E4823" t="b">
        <v>0</v>
      </c>
      <c r="F4823" t="s">
        <v>11624</v>
      </c>
      <c r="G4823">
        <v>-9.1368799999999997</v>
      </c>
      <c r="H4823">
        <v>148.76599999999999</v>
      </c>
      <c r="I4823" t="s">
        <v>25094</v>
      </c>
      <c r="L4823">
        <v>0</v>
      </c>
      <c r="M4823">
        <v>0</v>
      </c>
      <c r="N4823">
        <v>0</v>
      </c>
      <c r="O4823" t="s">
        <v>11660</v>
      </c>
    </row>
    <row r="4824" spans="1:15">
      <c r="A4824" t="s">
        <v>25095</v>
      </c>
      <c r="B4824" t="s">
        <v>6742</v>
      </c>
      <c r="C4824" t="s">
        <v>12603</v>
      </c>
      <c r="D4824" t="s">
        <v>25096</v>
      </c>
      <c r="E4824" t="b">
        <v>0</v>
      </c>
      <c r="F4824" t="s">
        <v>11610</v>
      </c>
      <c r="L4824">
        <v>0</v>
      </c>
      <c r="M4824">
        <v>0</v>
      </c>
      <c r="N4824">
        <v>0</v>
      </c>
    </row>
    <row r="4825" spans="1:15">
      <c r="A4825" t="s">
        <v>25097</v>
      </c>
      <c r="B4825" t="s">
        <v>6742</v>
      </c>
      <c r="C4825" t="s">
        <v>15584</v>
      </c>
      <c r="D4825" t="s">
        <v>25098</v>
      </c>
      <c r="E4825" t="b">
        <v>0</v>
      </c>
      <c r="F4825" t="s">
        <v>11622</v>
      </c>
      <c r="L4825">
        <v>0</v>
      </c>
      <c r="M4825">
        <v>2</v>
      </c>
      <c r="N4825">
        <v>0</v>
      </c>
    </row>
    <row r="4826" spans="1:15">
      <c r="A4826" t="s">
        <v>25099</v>
      </c>
      <c r="B4826" t="s">
        <v>6742</v>
      </c>
      <c r="C4826" t="s">
        <v>25097</v>
      </c>
      <c r="D4826" t="s">
        <v>25100</v>
      </c>
      <c r="E4826" t="b">
        <v>0</v>
      </c>
      <c r="F4826" t="s">
        <v>11624</v>
      </c>
      <c r="G4826">
        <v>10.0489</v>
      </c>
      <c r="H4826">
        <v>-4.3580500000000004</v>
      </c>
      <c r="I4826" t="s">
        <v>25101</v>
      </c>
      <c r="L4826">
        <v>0</v>
      </c>
      <c r="M4826">
        <v>0</v>
      </c>
      <c r="N4826">
        <v>0</v>
      </c>
      <c r="O4826" t="s">
        <v>22064</v>
      </c>
    </row>
    <row r="4827" spans="1:15">
      <c r="A4827" t="s">
        <v>25102</v>
      </c>
      <c r="B4827" t="s">
        <v>6742</v>
      </c>
      <c r="C4827" t="s">
        <v>25103</v>
      </c>
      <c r="D4827" t="s">
        <v>25104</v>
      </c>
      <c r="E4827" t="b">
        <v>0</v>
      </c>
      <c r="F4827" t="s">
        <v>11624</v>
      </c>
      <c r="G4827">
        <v>10.1899</v>
      </c>
      <c r="H4827">
        <v>-4.1493000000000002</v>
      </c>
      <c r="I4827" t="s">
        <v>25105</v>
      </c>
      <c r="L4827">
        <v>0</v>
      </c>
      <c r="M4827">
        <v>0</v>
      </c>
      <c r="N4827">
        <v>6</v>
      </c>
      <c r="O4827" t="s">
        <v>22064</v>
      </c>
    </row>
    <row r="4828" spans="1:15">
      <c r="A4828" t="s">
        <v>25106</v>
      </c>
      <c r="B4828" t="s">
        <v>11729</v>
      </c>
      <c r="C4828" t="s">
        <v>24743</v>
      </c>
      <c r="D4828" t="s">
        <v>25107</v>
      </c>
      <c r="E4828" t="b">
        <v>0</v>
      </c>
      <c r="F4828" t="s">
        <v>11610</v>
      </c>
      <c r="L4828">
        <v>0</v>
      </c>
      <c r="M4828">
        <v>0</v>
      </c>
      <c r="N4828">
        <v>0</v>
      </c>
    </row>
    <row r="4829" spans="1:15">
      <c r="A4829" t="s">
        <v>25108</v>
      </c>
      <c r="B4829" t="s">
        <v>21516</v>
      </c>
      <c r="C4829" t="s">
        <v>25109</v>
      </c>
      <c r="D4829" t="s">
        <v>25110</v>
      </c>
      <c r="E4829" t="b">
        <v>0</v>
      </c>
      <c r="F4829" t="s">
        <v>11610</v>
      </c>
      <c r="L4829">
        <v>0</v>
      </c>
      <c r="M4829">
        <v>0</v>
      </c>
      <c r="N4829">
        <v>0</v>
      </c>
    </row>
    <row r="4830" spans="1:15">
      <c r="A4830" t="s">
        <v>1342</v>
      </c>
      <c r="D4830" t="s">
        <v>1341</v>
      </c>
      <c r="E4830" t="b">
        <v>0</v>
      </c>
      <c r="F4830" t="s">
        <v>11622</v>
      </c>
      <c r="L4830">
        <v>8</v>
      </c>
      <c r="M4830">
        <v>20</v>
      </c>
      <c r="N4830">
        <v>18</v>
      </c>
    </row>
    <row r="4831" spans="1:15">
      <c r="A4831" t="s">
        <v>25103</v>
      </c>
      <c r="B4831" t="s">
        <v>6742</v>
      </c>
      <c r="C4831" t="s">
        <v>25111</v>
      </c>
      <c r="D4831" t="s">
        <v>25112</v>
      </c>
      <c r="E4831" t="b">
        <v>0</v>
      </c>
      <c r="F4831" t="s">
        <v>11622</v>
      </c>
      <c r="L4831">
        <v>0</v>
      </c>
      <c r="M4831">
        <v>2</v>
      </c>
      <c r="N4831">
        <v>6</v>
      </c>
    </row>
    <row r="4832" spans="1:15">
      <c r="A4832" t="s">
        <v>18279</v>
      </c>
      <c r="B4832" t="s">
        <v>11637</v>
      </c>
      <c r="C4832" t="s">
        <v>25113</v>
      </c>
      <c r="D4832" t="s">
        <v>25114</v>
      </c>
      <c r="E4832" t="b">
        <v>0</v>
      </c>
      <c r="F4832" t="s">
        <v>11624</v>
      </c>
      <c r="G4832">
        <v>32.553400000000003</v>
      </c>
      <c r="H4832">
        <v>75.711100000000002</v>
      </c>
      <c r="I4832" t="s">
        <v>25115</v>
      </c>
      <c r="L4832">
        <v>0</v>
      </c>
      <c r="M4832">
        <v>0</v>
      </c>
      <c r="N4832">
        <v>5</v>
      </c>
      <c r="O4832" t="s">
        <v>15870</v>
      </c>
    </row>
    <row r="4833" spans="1:15">
      <c r="A4833" t="s">
        <v>25116</v>
      </c>
      <c r="B4833" t="s">
        <v>11637</v>
      </c>
      <c r="C4833" t="s">
        <v>13378</v>
      </c>
      <c r="D4833" t="s">
        <v>25117</v>
      </c>
      <c r="E4833" t="b">
        <v>0</v>
      </c>
      <c r="F4833" t="s">
        <v>11610</v>
      </c>
      <c r="L4833">
        <v>0</v>
      </c>
      <c r="M4833">
        <v>0</v>
      </c>
      <c r="N4833">
        <v>0</v>
      </c>
    </row>
    <row r="4834" spans="1:15">
      <c r="A4834" t="s">
        <v>25118</v>
      </c>
      <c r="B4834" t="s">
        <v>12460</v>
      </c>
      <c r="C4834" t="s">
        <v>25119</v>
      </c>
      <c r="D4834" t="s">
        <v>25120</v>
      </c>
      <c r="E4834" t="b">
        <v>0</v>
      </c>
      <c r="F4834" t="s">
        <v>11624</v>
      </c>
      <c r="G4834">
        <v>62.382300000000001</v>
      </c>
      <c r="H4834">
        <v>-114.193</v>
      </c>
      <c r="I4834" t="s">
        <v>25121</v>
      </c>
      <c r="L4834">
        <v>0</v>
      </c>
      <c r="M4834">
        <v>0</v>
      </c>
      <c r="N4834">
        <v>0</v>
      </c>
      <c r="O4834" t="s">
        <v>13049</v>
      </c>
    </row>
    <row r="4835" spans="1:15">
      <c r="A4835" t="s">
        <v>25122</v>
      </c>
      <c r="B4835" t="s">
        <v>1342</v>
      </c>
      <c r="C4835" t="s">
        <v>25123</v>
      </c>
      <c r="D4835" t="s">
        <v>25124</v>
      </c>
      <c r="E4835" t="b">
        <v>0</v>
      </c>
      <c r="F4835" t="s">
        <v>11624</v>
      </c>
      <c r="G4835">
        <v>14.587199999999999</v>
      </c>
      <c r="H4835">
        <v>-3.5685500000000001</v>
      </c>
      <c r="I4835" t="s">
        <v>25125</v>
      </c>
      <c r="L4835">
        <v>0</v>
      </c>
      <c r="M4835">
        <v>0</v>
      </c>
      <c r="N4835">
        <v>0</v>
      </c>
      <c r="O4835" t="s">
        <v>13528</v>
      </c>
    </row>
    <row r="4836" spans="1:15">
      <c r="A4836" t="s">
        <v>25126</v>
      </c>
      <c r="B4836" t="s">
        <v>367</v>
      </c>
      <c r="C4836" t="s">
        <v>25127</v>
      </c>
      <c r="D4836" t="s">
        <v>25128</v>
      </c>
      <c r="E4836" t="b">
        <v>0</v>
      </c>
      <c r="F4836" t="s">
        <v>11610</v>
      </c>
      <c r="L4836">
        <v>0</v>
      </c>
      <c r="M4836">
        <v>0</v>
      </c>
      <c r="N4836">
        <v>0</v>
      </c>
    </row>
    <row r="4837" spans="1:15">
      <c r="A4837" t="s">
        <v>25129</v>
      </c>
      <c r="B4837" t="s">
        <v>11607</v>
      </c>
      <c r="C4837" t="s">
        <v>13237</v>
      </c>
      <c r="D4837" t="s">
        <v>25130</v>
      </c>
      <c r="E4837" t="b">
        <v>0</v>
      </c>
      <c r="F4837" t="s">
        <v>11610</v>
      </c>
      <c r="L4837">
        <v>0</v>
      </c>
      <c r="M4837">
        <v>0</v>
      </c>
      <c r="N4837">
        <v>0</v>
      </c>
    </row>
    <row r="4838" spans="1:15">
      <c r="A4838" t="s">
        <v>25131</v>
      </c>
      <c r="B4838" t="s">
        <v>12438</v>
      </c>
      <c r="C4838" t="s">
        <v>25132</v>
      </c>
      <c r="D4838" t="s">
        <v>25133</v>
      </c>
      <c r="E4838" t="b">
        <v>0</v>
      </c>
      <c r="F4838" t="s">
        <v>11610</v>
      </c>
      <c r="L4838">
        <v>0</v>
      </c>
      <c r="M4838">
        <v>0</v>
      </c>
      <c r="N4838">
        <v>0</v>
      </c>
    </row>
    <row r="4839" spans="1:15">
      <c r="A4839" t="s">
        <v>25134</v>
      </c>
      <c r="B4839" t="s">
        <v>367</v>
      </c>
      <c r="C4839" t="s">
        <v>12116</v>
      </c>
      <c r="D4839" t="s">
        <v>25135</v>
      </c>
      <c r="E4839" t="b">
        <v>0</v>
      </c>
      <c r="F4839" t="s">
        <v>11610</v>
      </c>
      <c r="L4839">
        <v>0</v>
      </c>
      <c r="M4839">
        <v>0</v>
      </c>
      <c r="N4839">
        <v>0</v>
      </c>
    </row>
    <row r="4840" spans="1:15">
      <c r="A4840" t="s">
        <v>25136</v>
      </c>
      <c r="B4840" t="s">
        <v>6742</v>
      </c>
      <c r="C4840" t="s">
        <v>25137</v>
      </c>
      <c r="D4840" t="s">
        <v>25138</v>
      </c>
      <c r="E4840" t="b">
        <v>0</v>
      </c>
      <c r="F4840" t="s">
        <v>11624</v>
      </c>
      <c r="G4840">
        <v>10.2287</v>
      </c>
      <c r="H4840">
        <v>7.9609899999999998</v>
      </c>
      <c r="I4840" t="s">
        <v>25139</v>
      </c>
      <c r="L4840">
        <v>0</v>
      </c>
      <c r="M4840">
        <v>0</v>
      </c>
      <c r="N4840">
        <v>0</v>
      </c>
      <c r="O4840" t="s">
        <v>11693</v>
      </c>
    </row>
    <row r="4841" spans="1:15">
      <c r="A4841" t="s">
        <v>25140</v>
      </c>
      <c r="B4841" t="s">
        <v>11729</v>
      </c>
      <c r="C4841" t="s">
        <v>17076</v>
      </c>
      <c r="D4841" t="s">
        <v>25141</v>
      </c>
      <c r="E4841" t="b">
        <v>0</v>
      </c>
      <c r="F4841" t="s">
        <v>11610</v>
      </c>
      <c r="L4841">
        <v>0</v>
      </c>
      <c r="M4841">
        <v>0</v>
      </c>
      <c r="N4841">
        <v>0</v>
      </c>
    </row>
    <row r="4842" spans="1:15">
      <c r="A4842" t="s">
        <v>25142</v>
      </c>
      <c r="B4842" t="s">
        <v>11607</v>
      </c>
      <c r="C4842" t="s">
        <v>25143</v>
      </c>
      <c r="D4842" t="s">
        <v>25144</v>
      </c>
      <c r="E4842" t="b">
        <v>0</v>
      </c>
      <c r="F4842" t="s">
        <v>11610</v>
      </c>
      <c r="L4842">
        <v>0</v>
      </c>
      <c r="M4842">
        <v>0</v>
      </c>
      <c r="N4842">
        <v>0</v>
      </c>
    </row>
    <row r="4843" spans="1:15">
      <c r="A4843" t="s">
        <v>25145</v>
      </c>
      <c r="B4843" t="s">
        <v>6742</v>
      </c>
      <c r="C4843" t="s">
        <v>12355</v>
      </c>
      <c r="D4843" t="s">
        <v>25146</v>
      </c>
      <c r="E4843" t="b">
        <v>0</v>
      </c>
      <c r="F4843" t="s">
        <v>11624</v>
      </c>
      <c r="G4843">
        <v>5.39961</v>
      </c>
      <c r="H4843">
        <v>8.2692499999999995</v>
      </c>
      <c r="I4843" t="s">
        <v>25147</v>
      </c>
      <c r="L4843">
        <v>0</v>
      </c>
      <c r="M4843">
        <v>0</v>
      </c>
      <c r="N4843">
        <v>0</v>
      </c>
      <c r="O4843" t="s">
        <v>11693</v>
      </c>
    </row>
    <row r="4844" spans="1:15">
      <c r="A4844" t="s">
        <v>25148</v>
      </c>
      <c r="B4844" t="s">
        <v>6742</v>
      </c>
      <c r="C4844" t="s">
        <v>18716</v>
      </c>
      <c r="D4844" t="s">
        <v>25149</v>
      </c>
      <c r="E4844" t="b">
        <v>0</v>
      </c>
      <c r="F4844" t="s">
        <v>11610</v>
      </c>
      <c r="L4844">
        <v>0</v>
      </c>
      <c r="M4844">
        <v>0</v>
      </c>
      <c r="N4844">
        <v>0</v>
      </c>
    </row>
    <row r="4845" spans="1:15">
      <c r="A4845" t="s">
        <v>25150</v>
      </c>
      <c r="B4845" t="s">
        <v>331</v>
      </c>
      <c r="C4845" t="s">
        <v>25151</v>
      </c>
      <c r="D4845" t="s">
        <v>25152</v>
      </c>
      <c r="E4845" t="b">
        <v>0</v>
      </c>
      <c r="F4845" t="s">
        <v>11624</v>
      </c>
      <c r="G4845">
        <v>71.1083</v>
      </c>
      <c r="H4845">
        <v>94.293599999999998</v>
      </c>
      <c r="I4845" t="s">
        <v>25153</v>
      </c>
      <c r="L4845">
        <v>0</v>
      </c>
      <c r="M4845">
        <v>0</v>
      </c>
      <c r="N4845">
        <v>0</v>
      </c>
      <c r="O4845" t="s">
        <v>12748</v>
      </c>
    </row>
    <row r="4846" spans="1:15">
      <c r="A4846" t="s">
        <v>25154</v>
      </c>
      <c r="B4846" t="s">
        <v>6742</v>
      </c>
      <c r="C4846" t="s">
        <v>20222</v>
      </c>
      <c r="D4846" t="s">
        <v>25155</v>
      </c>
      <c r="E4846" t="b">
        <v>0</v>
      </c>
      <c r="F4846" t="s">
        <v>11610</v>
      </c>
      <c r="L4846">
        <v>0</v>
      </c>
      <c r="M4846">
        <v>0</v>
      </c>
      <c r="N4846">
        <v>0</v>
      </c>
    </row>
    <row r="4847" spans="1:15">
      <c r="A4847" t="s">
        <v>25156</v>
      </c>
      <c r="B4847" t="s">
        <v>11607</v>
      </c>
      <c r="C4847" t="s">
        <v>25157</v>
      </c>
      <c r="D4847" t="s">
        <v>25158</v>
      </c>
      <c r="E4847" t="b">
        <v>0</v>
      </c>
      <c r="F4847" t="s">
        <v>11610</v>
      </c>
      <c r="L4847">
        <v>0</v>
      </c>
      <c r="M4847">
        <v>0</v>
      </c>
      <c r="N4847">
        <v>0</v>
      </c>
    </row>
    <row r="4848" spans="1:15">
      <c r="A4848" t="s">
        <v>25159</v>
      </c>
      <c r="B4848" t="s">
        <v>11644</v>
      </c>
      <c r="C4848" t="s">
        <v>15856</v>
      </c>
      <c r="D4848" t="s">
        <v>25160</v>
      </c>
      <c r="E4848" t="b">
        <v>0</v>
      </c>
      <c r="F4848" t="s">
        <v>11610</v>
      </c>
      <c r="L4848">
        <v>0</v>
      </c>
      <c r="M4848">
        <v>0</v>
      </c>
      <c r="N4848">
        <v>0</v>
      </c>
    </row>
    <row r="4849" spans="1:15">
      <c r="A4849" t="s">
        <v>25161</v>
      </c>
      <c r="B4849" t="s">
        <v>12751</v>
      </c>
      <c r="C4849" t="s">
        <v>25162</v>
      </c>
      <c r="D4849" t="s">
        <v>25163</v>
      </c>
      <c r="E4849" t="b">
        <v>0</v>
      </c>
      <c r="F4849" t="s">
        <v>11610</v>
      </c>
      <c r="L4849">
        <v>0</v>
      </c>
      <c r="M4849">
        <v>0</v>
      </c>
      <c r="N4849">
        <v>0</v>
      </c>
    </row>
    <row r="4850" spans="1:15">
      <c r="A4850" t="s">
        <v>25164</v>
      </c>
      <c r="B4850" t="s">
        <v>11644</v>
      </c>
      <c r="C4850" t="s">
        <v>25165</v>
      </c>
      <c r="D4850" t="s">
        <v>25166</v>
      </c>
      <c r="E4850" t="b">
        <v>0</v>
      </c>
      <c r="F4850" t="s">
        <v>11622</v>
      </c>
      <c r="L4850">
        <v>0</v>
      </c>
      <c r="M4850">
        <v>2</v>
      </c>
      <c r="N4850">
        <v>0</v>
      </c>
    </row>
    <row r="4851" spans="1:15">
      <c r="A4851" t="s">
        <v>25167</v>
      </c>
      <c r="B4851" t="s">
        <v>11644</v>
      </c>
      <c r="C4851" t="s">
        <v>25164</v>
      </c>
      <c r="D4851" t="s">
        <v>25168</v>
      </c>
      <c r="E4851" t="b">
        <v>0</v>
      </c>
      <c r="F4851" t="s">
        <v>11624</v>
      </c>
      <c r="G4851">
        <v>29.195699999999999</v>
      </c>
      <c r="H4851">
        <v>83.292699999999996</v>
      </c>
      <c r="I4851" t="s">
        <v>25169</v>
      </c>
      <c r="L4851">
        <v>0</v>
      </c>
      <c r="M4851">
        <v>0</v>
      </c>
      <c r="N4851">
        <v>0</v>
      </c>
      <c r="O4851" t="s">
        <v>16899</v>
      </c>
    </row>
    <row r="4852" spans="1:15">
      <c r="A4852" t="s">
        <v>16887</v>
      </c>
      <c r="B4852" t="s">
        <v>11637</v>
      </c>
      <c r="C4852" t="s">
        <v>25170</v>
      </c>
      <c r="D4852" t="s">
        <v>25171</v>
      </c>
      <c r="E4852" t="b">
        <v>0</v>
      </c>
      <c r="F4852" t="s">
        <v>11624</v>
      </c>
      <c r="G4852">
        <v>32</v>
      </c>
      <c r="H4852">
        <v>35</v>
      </c>
      <c r="I4852" t="s">
        <v>25172</v>
      </c>
      <c r="L4852">
        <v>0</v>
      </c>
      <c r="M4852">
        <v>0</v>
      </c>
      <c r="N4852">
        <v>17</v>
      </c>
      <c r="O4852" t="s">
        <v>25173</v>
      </c>
    </row>
    <row r="4853" spans="1:15">
      <c r="A4853" t="s">
        <v>25174</v>
      </c>
      <c r="B4853" t="s">
        <v>11637</v>
      </c>
      <c r="C4853" t="s">
        <v>16887</v>
      </c>
      <c r="D4853" t="s">
        <v>25175</v>
      </c>
      <c r="E4853" t="b">
        <v>0</v>
      </c>
      <c r="F4853" t="s">
        <v>11610</v>
      </c>
      <c r="L4853">
        <v>0</v>
      </c>
      <c r="M4853">
        <v>0</v>
      </c>
      <c r="N4853">
        <v>0</v>
      </c>
    </row>
    <row r="4854" spans="1:15">
      <c r="A4854" t="s">
        <v>25176</v>
      </c>
      <c r="B4854" t="s">
        <v>11637</v>
      </c>
      <c r="C4854" t="s">
        <v>25170</v>
      </c>
      <c r="D4854" t="s">
        <v>25177</v>
      </c>
      <c r="E4854" t="b">
        <v>0</v>
      </c>
      <c r="F4854" t="s">
        <v>11624</v>
      </c>
      <c r="G4854">
        <v>36.325800000000001</v>
      </c>
      <c r="H4854">
        <v>74.798400000000001</v>
      </c>
      <c r="I4854" t="s">
        <v>25178</v>
      </c>
      <c r="L4854">
        <v>0</v>
      </c>
      <c r="M4854">
        <v>0</v>
      </c>
      <c r="N4854">
        <v>2</v>
      </c>
      <c r="O4854" t="s">
        <v>12172</v>
      </c>
    </row>
    <row r="4855" spans="1:15">
      <c r="A4855" t="s">
        <v>25179</v>
      </c>
      <c r="B4855" t="s">
        <v>6742</v>
      </c>
      <c r="C4855" t="s">
        <v>12409</v>
      </c>
      <c r="D4855" t="s">
        <v>25180</v>
      </c>
      <c r="E4855" t="b">
        <v>0</v>
      </c>
      <c r="F4855" t="s">
        <v>11610</v>
      </c>
      <c r="L4855">
        <v>0</v>
      </c>
      <c r="M4855">
        <v>0</v>
      </c>
      <c r="N4855">
        <v>0</v>
      </c>
    </row>
    <row r="4856" spans="1:15">
      <c r="A4856" t="s">
        <v>25181</v>
      </c>
      <c r="B4856" t="s">
        <v>14798</v>
      </c>
      <c r="C4856" t="s">
        <v>14799</v>
      </c>
      <c r="D4856" t="s">
        <v>25182</v>
      </c>
      <c r="E4856" t="b">
        <v>0</v>
      </c>
      <c r="F4856" t="s">
        <v>11610</v>
      </c>
      <c r="L4856">
        <v>0</v>
      </c>
      <c r="M4856">
        <v>0</v>
      </c>
      <c r="N4856">
        <v>0</v>
      </c>
    </row>
    <row r="4857" spans="1:15">
      <c r="A4857" t="s">
        <v>25183</v>
      </c>
      <c r="B4857" t="s">
        <v>13769</v>
      </c>
      <c r="C4857" t="s">
        <v>13768</v>
      </c>
      <c r="D4857" t="s">
        <v>25184</v>
      </c>
      <c r="E4857" t="b">
        <v>0</v>
      </c>
      <c r="F4857" t="s">
        <v>11610</v>
      </c>
      <c r="L4857">
        <v>0</v>
      </c>
      <c r="M4857">
        <v>0</v>
      </c>
      <c r="N4857">
        <v>0</v>
      </c>
    </row>
    <row r="4858" spans="1:15">
      <c r="A4858" t="s">
        <v>25185</v>
      </c>
      <c r="B4858" t="s">
        <v>14314</v>
      </c>
      <c r="C4858" t="s">
        <v>14313</v>
      </c>
      <c r="D4858" t="s">
        <v>25186</v>
      </c>
      <c r="E4858" t="b">
        <v>0</v>
      </c>
      <c r="F4858" t="s">
        <v>11610</v>
      </c>
      <c r="L4858">
        <v>0</v>
      </c>
      <c r="M4858">
        <v>0</v>
      </c>
      <c r="N4858">
        <v>0</v>
      </c>
    </row>
    <row r="4859" spans="1:15">
      <c r="A4859" t="s">
        <v>25187</v>
      </c>
      <c r="B4859" t="s">
        <v>6742</v>
      </c>
      <c r="C4859" t="s">
        <v>19032</v>
      </c>
      <c r="D4859" t="s">
        <v>25188</v>
      </c>
      <c r="E4859" t="b">
        <v>0</v>
      </c>
      <c r="F4859" t="s">
        <v>11610</v>
      </c>
      <c r="L4859">
        <v>0</v>
      </c>
      <c r="M4859">
        <v>0</v>
      </c>
      <c r="N4859">
        <v>0</v>
      </c>
    </row>
    <row r="4860" spans="1:15">
      <c r="A4860" t="s">
        <v>25189</v>
      </c>
      <c r="B4860" t="s">
        <v>6742</v>
      </c>
      <c r="C4860" t="s">
        <v>21880</v>
      </c>
      <c r="D4860" t="s">
        <v>25190</v>
      </c>
      <c r="E4860" t="b">
        <v>0</v>
      </c>
      <c r="F4860" t="s">
        <v>11624</v>
      </c>
      <c r="G4860">
        <v>-18.37</v>
      </c>
      <c r="H4860">
        <v>26.501999999999999</v>
      </c>
      <c r="I4860" t="s">
        <v>25191</v>
      </c>
      <c r="L4860">
        <v>0</v>
      </c>
      <c r="M4860">
        <v>0</v>
      </c>
      <c r="N4860">
        <v>3</v>
      </c>
      <c r="O4860" t="s">
        <v>25192</v>
      </c>
    </row>
    <row r="4861" spans="1:15">
      <c r="A4861" t="s">
        <v>25193</v>
      </c>
      <c r="B4861" t="s">
        <v>6742</v>
      </c>
      <c r="C4861" t="s">
        <v>25189</v>
      </c>
      <c r="D4861" t="s">
        <v>25194</v>
      </c>
      <c r="E4861" t="b">
        <v>0</v>
      </c>
      <c r="F4861" t="s">
        <v>11610</v>
      </c>
      <c r="L4861">
        <v>0</v>
      </c>
      <c r="M4861">
        <v>0</v>
      </c>
      <c r="N4861">
        <v>0</v>
      </c>
    </row>
    <row r="4862" spans="1:15">
      <c r="A4862" t="s">
        <v>25195</v>
      </c>
      <c r="B4862" t="s">
        <v>11981</v>
      </c>
      <c r="C4862" t="s">
        <v>13456</v>
      </c>
      <c r="D4862" t="s">
        <v>25196</v>
      </c>
      <c r="E4862" t="b">
        <v>0</v>
      </c>
      <c r="F4862" t="s">
        <v>11624</v>
      </c>
      <c r="G4862">
        <v>18.879799999999999</v>
      </c>
      <c r="H4862">
        <v>-71.172200000000004</v>
      </c>
      <c r="I4862" t="s">
        <v>25197</v>
      </c>
      <c r="L4862">
        <v>0</v>
      </c>
      <c r="M4862">
        <v>0</v>
      </c>
      <c r="N4862">
        <v>0</v>
      </c>
      <c r="O4862" t="s">
        <v>25198</v>
      </c>
    </row>
    <row r="4863" spans="1:15">
      <c r="A4863" t="s">
        <v>25199</v>
      </c>
      <c r="B4863" t="s">
        <v>4236</v>
      </c>
      <c r="C4863" t="s">
        <v>25200</v>
      </c>
      <c r="D4863" t="s">
        <v>25201</v>
      </c>
      <c r="E4863" t="b">
        <v>0</v>
      </c>
      <c r="F4863" t="s">
        <v>11610</v>
      </c>
      <c r="L4863">
        <v>0</v>
      </c>
      <c r="M4863">
        <v>0</v>
      </c>
      <c r="N4863">
        <v>0</v>
      </c>
    </row>
    <row r="4864" spans="1:15">
      <c r="A4864" t="s">
        <v>25202</v>
      </c>
      <c r="B4864" t="s">
        <v>11844</v>
      </c>
      <c r="C4864" t="s">
        <v>2278</v>
      </c>
      <c r="D4864" t="s">
        <v>25203</v>
      </c>
      <c r="E4864" t="b">
        <v>0</v>
      </c>
      <c r="F4864" t="s">
        <v>11610</v>
      </c>
      <c r="L4864">
        <v>0</v>
      </c>
      <c r="M4864">
        <v>0</v>
      </c>
      <c r="N4864">
        <v>0</v>
      </c>
    </row>
    <row r="4865" spans="1:15">
      <c r="A4865" t="s">
        <v>25204</v>
      </c>
      <c r="B4865" t="s">
        <v>11615</v>
      </c>
      <c r="C4865" t="s">
        <v>25205</v>
      </c>
      <c r="D4865" t="s">
        <v>25206</v>
      </c>
      <c r="E4865" t="b">
        <v>0</v>
      </c>
      <c r="F4865" t="s">
        <v>11624</v>
      </c>
      <c r="G4865">
        <v>-6.0373700000000001</v>
      </c>
      <c r="H4865">
        <v>144.89500000000001</v>
      </c>
      <c r="I4865" t="s">
        <v>25207</v>
      </c>
      <c r="L4865">
        <v>0</v>
      </c>
      <c r="M4865">
        <v>0</v>
      </c>
      <c r="N4865">
        <v>1</v>
      </c>
      <c r="O4865" t="s">
        <v>11660</v>
      </c>
    </row>
    <row r="4866" spans="1:15">
      <c r="A4866" t="s">
        <v>25208</v>
      </c>
      <c r="B4866" t="s">
        <v>1342</v>
      </c>
      <c r="C4866" t="s">
        <v>16382</v>
      </c>
      <c r="D4866" t="s">
        <v>25209</v>
      </c>
      <c r="E4866" t="b">
        <v>0</v>
      </c>
      <c r="F4866" t="s">
        <v>11610</v>
      </c>
      <c r="L4866">
        <v>0</v>
      </c>
      <c r="M4866">
        <v>0</v>
      </c>
      <c r="N4866">
        <v>0</v>
      </c>
    </row>
    <row r="4867" spans="1:15">
      <c r="A4867" t="s">
        <v>25210</v>
      </c>
      <c r="B4867" t="s">
        <v>11607</v>
      </c>
      <c r="C4867" t="s">
        <v>25211</v>
      </c>
      <c r="D4867" t="s">
        <v>25212</v>
      </c>
      <c r="E4867" t="b">
        <v>0</v>
      </c>
      <c r="F4867" t="s">
        <v>11610</v>
      </c>
      <c r="L4867">
        <v>0</v>
      </c>
      <c r="M4867">
        <v>0</v>
      </c>
      <c r="N4867">
        <v>0</v>
      </c>
    </row>
    <row r="4868" spans="1:15">
      <c r="A4868" t="s">
        <v>25213</v>
      </c>
      <c r="B4868" t="s">
        <v>6742</v>
      </c>
      <c r="C4868" t="s">
        <v>25214</v>
      </c>
      <c r="D4868" t="s">
        <v>25215</v>
      </c>
      <c r="E4868" t="b">
        <v>0</v>
      </c>
      <c r="F4868" t="s">
        <v>11624</v>
      </c>
      <c r="G4868">
        <v>8.1820000000000004</v>
      </c>
      <c r="H4868">
        <v>-2.2949999999999999</v>
      </c>
      <c r="I4868" t="s">
        <v>25216</v>
      </c>
      <c r="L4868">
        <v>0</v>
      </c>
      <c r="M4868">
        <v>0</v>
      </c>
      <c r="N4868">
        <v>0</v>
      </c>
      <c r="O4868" t="s">
        <v>11985</v>
      </c>
    </row>
    <row r="4869" spans="1:15">
      <c r="A4869" t="s">
        <v>25217</v>
      </c>
      <c r="B4869" t="s">
        <v>11637</v>
      </c>
      <c r="C4869" t="s">
        <v>187</v>
      </c>
      <c r="D4869" t="s">
        <v>25218</v>
      </c>
      <c r="E4869" t="b">
        <v>0</v>
      </c>
      <c r="F4869" t="s">
        <v>11610</v>
      </c>
      <c r="L4869">
        <v>0</v>
      </c>
      <c r="M4869">
        <v>0</v>
      </c>
      <c r="N4869">
        <v>0</v>
      </c>
    </row>
    <row r="4870" spans="1:15">
      <c r="A4870" t="s">
        <v>25219</v>
      </c>
      <c r="B4870" t="s">
        <v>14798</v>
      </c>
      <c r="C4870" t="s">
        <v>14798</v>
      </c>
      <c r="D4870" t="s">
        <v>25220</v>
      </c>
      <c r="E4870" t="b">
        <v>0</v>
      </c>
      <c r="F4870" t="s">
        <v>11624</v>
      </c>
      <c r="G4870">
        <v>-10.151</v>
      </c>
      <c r="H4870">
        <v>148.44999999999999</v>
      </c>
      <c r="I4870" t="s">
        <v>25221</v>
      </c>
      <c r="L4870">
        <v>0</v>
      </c>
      <c r="M4870">
        <v>0</v>
      </c>
      <c r="N4870">
        <v>0</v>
      </c>
      <c r="O4870" t="s">
        <v>11660</v>
      </c>
    </row>
    <row r="4871" spans="1:15">
      <c r="A4871" t="s">
        <v>25222</v>
      </c>
      <c r="B4871" t="s">
        <v>11615</v>
      </c>
      <c r="C4871" t="s">
        <v>20738</v>
      </c>
      <c r="D4871" t="s">
        <v>25223</v>
      </c>
      <c r="E4871" t="b">
        <v>0</v>
      </c>
      <c r="F4871" t="s">
        <v>11624</v>
      </c>
      <c r="G4871">
        <v>-5.8185599999999997</v>
      </c>
      <c r="H4871">
        <v>146.68199999999999</v>
      </c>
      <c r="I4871" t="s">
        <v>25224</v>
      </c>
      <c r="L4871">
        <v>0</v>
      </c>
      <c r="M4871">
        <v>0</v>
      </c>
      <c r="N4871">
        <v>0</v>
      </c>
      <c r="O4871" t="s">
        <v>11660</v>
      </c>
    </row>
    <row r="4872" spans="1:15">
      <c r="A4872" t="s">
        <v>25225</v>
      </c>
      <c r="B4872" t="s">
        <v>6742</v>
      </c>
      <c r="C4872" t="s">
        <v>3622</v>
      </c>
      <c r="D4872" t="s">
        <v>25226</v>
      </c>
      <c r="E4872" t="b">
        <v>0</v>
      </c>
      <c r="F4872" t="s">
        <v>11610</v>
      </c>
      <c r="L4872">
        <v>0</v>
      </c>
      <c r="M4872">
        <v>0</v>
      </c>
      <c r="N4872">
        <v>0</v>
      </c>
    </row>
    <row r="4873" spans="1:15">
      <c r="A4873" t="s">
        <v>25227</v>
      </c>
      <c r="B4873" t="s">
        <v>6742</v>
      </c>
      <c r="C4873" t="s">
        <v>15545</v>
      </c>
      <c r="D4873" t="s">
        <v>25228</v>
      </c>
      <c r="E4873" t="b">
        <v>0</v>
      </c>
      <c r="F4873" t="s">
        <v>11610</v>
      </c>
      <c r="L4873">
        <v>0</v>
      </c>
      <c r="M4873">
        <v>0</v>
      </c>
      <c r="N4873">
        <v>0</v>
      </c>
    </row>
    <row r="4874" spans="1:15">
      <c r="A4874" t="s">
        <v>25229</v>
      </c>
      <c r="B4874" t="s">
        <v>11780</v>
      </c>
      <c r="C4874" t="s">
        <v>11781</v>
      </c>
      <c r="D4874" t="s">
        <v>25230</v>
      </c>
      <c r="E4874" t="b">
        <v>0</v>
      </c>
      <c r="F4874" t="s">
        <v>11610</v>
      </c>
      <c r="L4874">
        <v>0</v>
      </c>
      <c r="M4874">
        <v>0</v>
      </c>
      <c r="N4874">
        <v>0</v>
      </c>
    </row>
    <row r="4875" spans="1:15">
      <c r="A4875" t="s">
        <v>25231</v>
      </c>
      <c r="B4875" t="s">
        <v>367</v>
      </c>
      <c r="C4875" t="s">
        <v>25232</v>
      </c>
      <c r="D4875" t="s">
        <v>25233</v>
      </c>
      <c r="E4875" t="b">
        <v>0</v>
      </c>
      <c r="F4875" t="s">
        <v>11624</v>
      </c>
      <c r="G4875">
        <v>0.80347999999999997</v>
      </c>
      <c r="H4875">
        <v>120.70699999999999</v>
      </c>
      <c r="I4875" t="s">
        <v>25234</v>
      </c>
      <c r="L4875">
        <v>0</v>
      </c>
      <c r="M4875">
        <v>0</v>
      </c>
      <c r="N4875">
        <v>0</v>
      </c>
      <c r="O4875" t="s">
        <v>11768</v>
      </c>
    </row>
    <row r="4876" spans="1:15">
      <c r="A4876" t="s">
        <v>25235</v>
      </c>
      <c r="B4876" t="s">
        <v>11637</v>
      </c>
      <c r="C4876" t="s">
        <v>4833</v>
      </c>
      <c r="D4876" t="s">
        <v>25236</v>
      </c>
      <c r="E4876" t="b">
        <v>0</v>
      </c>
      <c r="F4876" t="s">
        <v>11610</v>
      </c>
      <c r="L4876">
        <v>0</v>
      </c>
      <c r="M4876">
        <v>0</v>
      </c>
      <c r="N4876">
        <v>0</v>
      </c>
    </row>
    <row r="4877" spans="1:15">
      <c r="A4877" t="s">
        <v>25237</v>
      </c>
      <c r="B4877" t="s">
        <v>11637</v>
      </c>
      <c r="C4877" t="s">
        <v>24567</v>
      </c>
      <c r="D4877" t="s">
        <v>25238</v>
      </c>
      <c r="E4877" t="b">
        <v>0</v>
      </c>
      <c r="F4877" t="s">
        <v>11610</v>
      </c>
      <c r="L4877">
        <v>0</v>
      </c>
      <c r="M4877">
        <v>0</v>
      </c>
      <c r="N4877">
        <v>0</v>
      </c>
    </row>
    <row r="4878" spans="1:15">
      <c r="A4878" t="s">
        <v>25239</v>
      </c>
      <c r="B4878" t="s">
        <v>12250</v>
      </c>
      <c r="C4878" t="s">
        <v>16849</v>
      </c>
      <c r="D4878" t="s">
        <v>25240</v>
      </c>
      <c r="E4878" t="b">
        <v>0</v>
      </c>
      <c r="F4878" t="s">
        <v>11624</v>
      </c>
      <c r="G4878">
        <v>35.580800000000004</v>
      </c>
      <c r="H4878">
        <v>103.55800000000001</v>
      </c>
      <c r="I4878" t="s">
        <v>25241</v>
      </c>
      <c r="L4878">
        <v>0</v>
      </c>
      <c r="M4878">
        <v>0</v>
      </c>
      <c r="N4878">
        <v>3</v>
      </c>
      <c r="O4878" t="s">
        <v>11905</v>
      </c>
    </row>
    <row r="4879" spans="1:15">
      <c r="A4879" t="s">
        <v>25242</v>
      </c>
      <c r="B4879" t="s">
        <v>11644</v>
      </c>
      <c r="C4879" t="s">
        <v>21919</v>
      </c>
      <c r="D4879" t="s">
        <v>25243</v>
      </c>
      <c r="E4879" t="b">
        <v>0</v>
      </c>
      <c r="F4879" t="s">
        <v>11624</v>
      </c>
      <c r="G4879">
        <v>25.434999999999999</v>
      </c>
      <c r="H4879">
        <v>100.178</v>
      </c>
      <c r="I4879" t="s">
        <v>25244</v>
      </c>
      <c r="L4879">
        <v>0</v>
      </c>
      <c r="M4879">
        <v>0</v>
      </c>
      <c r="N4879">
        <v>0</v>
      </c>
      <c r="O4879" t="s">
        <v>11905</v>
      </c>
    </row>
    <row r="4880" spans="1:15">
      <c r="A4880" t="s">
        <v>25245</v>
      </c>
      <c r="B4880" t="s">
        <v>5058</v>
      </c>
      <c r="C4880" t="s">
        <v>20323</v>
      </c>
      <c r="D4880" t="s">
        <v>25246</v>
      </c>
      <c r="E4880" t="b">
        <v>0</v>
      </c>
      <c r="F4880" t="s">
        <v>11610</v>
      </c>
      <c r="L4880">
        <v>0</v>
      </c>
      <c r="M4880">
        <v>0</v>
      </c>
      <c r="N4880">
        <v>0</v>
      </c>
    </row>
    <row r="4881" spans="1:15">
      <c r="A4881" t="s">
        <v>25247</v>
      </c>
      <c r="B4881" t="s">
        <v>3164</v>
      </c>
      <c r="C4881" t="s">
        <v>3324</v>
      </c>
      <c r="D4881" t="s">
        <v>25248</v>
      </c>
      <c r="E4881" t="b">
        <v>0</v>
      </c>
      <c r="F4881" t="s">
        <v>11610</v>
      </c>
      <c r="G4881">
        <v>18.25</v>
      </c>
      <c r="H4881">
        <v>30.75</v>
      </c>
      <c r="I4881" t="s">
        <v>25249</v>
      </c>
      <c r="L4881">
        <v>0</v>
      </c>
      <c r="M4881">
        <v>0</v>
      </c>
      <c r="N4881">
        <v>0</v>
      </c>
    </row>
    <row r="4882" spans="1:15">
      <c r="A4882" t="s">
        <v>25250</v>
      </c>
      <c r="B4882" t="s">
        <v>6742</v>
      </c>
      <c r="C4882" t="s">
        <v>25251</v>
      </c>
      <c r="D4882" t="s">
        <v>25252</v>
      </c>
      <c r="E4882" t="b">
        <v>0</v>
      </c>
      <c r="F4882" t="s">
        <v>11610</v>
      </c>
      <c r="L4882">
        <v>0</v>
      </c>
      <c r="M4882">
        <v>0</v>
      </c>
      <c r="N4882">
        <v>0</v>
      </c>
    </row>
    <row r="4883" spans="1:15">
      <c r="A4883" t="s">
        <v>25253</v>
      </c>
      <c r="B4883" t="s">
        <v>6742</v>
      </c>
      <c r="C4883" t="s">
        <v>25254</v>
      </c>
      <c r="D4883" t="s">
        <v>25255</v>
      </c>
      <c r="E4883" t="b">
        <v>0</v>
      </c>
      <c r="F4883" t="s">
        <v>11624</v>
      </c>
      <c r="G4883">
        <v>2.9668299999999999</v>
      </c>
      <c r="H4883">
        <v>29.9619</v>
      </c>
      <c r="I4883" t="s">
        <v>25256</v>
      </c>
      <c r="L4883">
        <v>0</v>
      </c>
      <c r="M4883">
        <v>0</v>
      </c>
      <c r="N4883">
        <v>0</v>
      </c>
      <c r="O4883" t="s">
        <v>14825</v>
      </c>
    </row>
    <row r="4884" spans="1:15">
      <c r="A4884" t="s">
        <v>25257</v>
      </c>
      <c r="B4884" t="s">
        <v>6742</v>
      </c>
      <c r="C4884" t="s">
        <v>14115</v>
      </c>
      <c r="D4884" t="s">
        <v>25258</v>
      </c>
      <c r="E4884" t="b">
        <v>0</v>
      </c>
      <c r="F4884" t="s">
        <v>11610</v>
      </c>
      <c r="L4884">
        <v>0</v>
      </c>
      <c r="M4884">
        <v>0</v>
      </c>
      <c r="N4884">
        <v>0</v>
      </c>
    </row>
    <row r="4885" spans="1:15">
      <c r="A4885" t="s">
        <v>25259</v>
      </c>
      <c r="B4885" t="s">
        <v>6742</v>
      </c>
      <c r="C4885" t="s">
        <v>25260</v>
      </c>
      <c r="D4885" t="s">
        <v>25261</v>
      </c>
      <c r="E4885" t="b">
        <v>0</v>
      </c>
      <c r="F4885" t="s">
        <v>11610</v>
      </c>
      <c r="L4885">
        <v>0</v>
      </c>
      <c r="M4885">
        <v>0</v>
      </c>
      <c r="N4885">
        <v>0</v>
      </c>
    </row>
    <row r="4886" spans="1:15">
      <c r="A4886" t="s">
        <v>25262</v>
      </c>
      <c r="B4886" t="s">
        <v>6742</v>
      </c>
      <c r="C4886" t="s">
        <v>25263</v>
      </c>
      <c r="D4886" t="s">
        <v>25264</v>
      </c>
      <c r="E4886" t="b">
        <v>0</v>
      </c>
      <c r="F4886" t="s">
        <v>11624</v>
      </c>
      <c r="G4886">
        <v>8.6411899999999999</v>
      </c>
      <c r="H4886">
        <v>11.9924</v>
      </c>
      <c r="I4886" t="s">
        <v>25265</v>
      </c>
      <c r="L4886">
        <v>0</v>
      </c>
      <c r="M4886">
        <v>0</v>
      </c>
      <c r="N4886">
        <v>0</v>
      </c>
      <c r="O4886" t="s">
        <v>11693</v>
      </c>
    </row>
    <row r="4887" spans="1:15">
      <c r="A4887" t="s">
        <v>25266</v>
      </c>
      <c r="B4887" t="s">
        <v>11757</v>
      </c>
      <c r="C4887" t="s">
        <v>25267</v>
      </c>
      <c r="D4887" t="s">
        <v>25268</v>
      </c>
      <c r="E4887" t="b">
        <v>0</v>
      </c>
      <c r="F4887" t="s">
        <v>11624</v>
      </c>
      <c r="G4887">
        <v>4.4342600000000001</v>
      </c>
      <c r="H4887">
        <v>33.242899999999999</v>
      </c>
      <c r="I4887" t="s">
        <v>25269</v>
      </c>
      <c r="L4887">
        <v>0</v>
      </c>
      <c r="M4887">
        <v>0</v>
      </c>
      <c r="N4887">
        <v>0</v>
      </c>
      <c r="O4887" t="s">
        <v>11910</v>
      </c>
    </row>
    <row r="4888" spans="1:15">
      <c r="A4888" t="s">
        <v>25270</v>
      </c>
      <c r="B4888" t="s">
        <v>11757</v>
      </c>
      <c r="C4888" t="s">
        <v>6594</v>
      </c>
      <c r="D4888" t="s">
        <v>25271</v>
      </c>
      <c r="E4888" t="b">
        <v>0</v>
      </c>
      <c r="F4888" t="s">
        <v>11610</v>
      </c>
      <c r="L4888">
        <v>0</v>
      </c>
      <c r="M4888">
        <v>0</v>
      </c>
      <c r="N4888">
        <v>0</v>
      </c>
    </row>
    <row r="4889" spans="1:15">
      <c r="A4889" t="s">
        <v>25272</v>
      </c>
      <c r="B4889" t="s">
        <v>12611</v>
      </c>
      <c r="C4889" t="s">
        <v>25273</v>
      </c>
      <c r="D4889" t="s">
        <v>25274</v>
      </c>
      <c r="E4889" t="b">
        <v>0</v>
      </c>
      <c r="F4889" t="s">
        <v>11610</v>
      </c>
      <c r="L4889">
        <v>0</v>
      </c>
      <c r="M4889">
        <v>0</v>
      </c>
      <c r="N4889">
        <v>0</v>
      </c>
    </row>
    <row r="4890" spans="1:15">
      <c r="A4890" t="s">
        <v>25275</v>
      </c>
      <c r="B4890" t="s">
        <v>367</v>
      </c>
      <c r="C4890" t="s">
        <v>14866</v>
      </c>
      <c r="D4890" t="s">
        <v>25276</v>
      </c>
      <c r="E4890" t="b">
        <v>0</v>
      </c>
      <c r="F4890" t="s">
        <v>11610</v>
      </c>
      <c r="L4890">
        <v>0</v>
      </c>
      <c r="M4890">
        <v>0</v>
      </c>
      <c r="N4890">
        <v>0</v>
      </c>
    </row>
    <row r="4891" spans="1:15">
      <c r="A4891" t="s">
        <v>25277</v>
      </c>
      <c r="B4891" t="s">
        <v>11644</v>
      </c>
      <c r="C4891" t="s">
        <v>25278</v>
      </c>
      <c r="D4891" t="s">
        <v>25279</v>
      </c>
      <c r="E4891" t="b">
        <v>0</v>
      </c>
      <c r="F4891" t="s">
        <v>11610</v>
      </c>
      <c r="L4891">
        <v>0</v>
      </c>
      <c r="M4891">
        <v>0</v>
      </c>
      <c r="N4891">
        <v>0</v>
      </c>
    </row>
    <row r="4892" spans="1:15">
      <c r="A4892" t="s">
        <v>25280</v>
      </c>
      <c r="B4892" t="s">
        <v>11644</v>
      </c>
      <c r="C4892" t="s">
        <v>25281</v>
      </c>
      <c r="D4892" t="s">
        <v>25282</v>
      </c>
      <c r="E4892" t="b">
        <v>0</v>
      </c>
      <c r="F4892" t="s">
        <v>11610</v>
      </c>
      <c r="L4892">
        <v>0</v>
      </c>
      <c r="M4892">
        <v>0</v>
      </c>
      <c r="N4892">
        <v>0</v>
      </c>
    </row>
    <row r="4893" spans="1:15">
      <c r="A4893" t="s">
        <v>25283</v>
      </c>
      <c r="B4893" t="s">
        <v>1342</v>
      </c>
      <c r="C4893" t="s">
        <v>25284</v>
      </c>
      <c r="D4893" t="s">
        <v>25285</v>
      </c>
      <c r="E4893" t="b">
        <v>0</v>
      </c>
      <c r="F4893" t="s">
        <v>11624</v>
      </c>
      <c r="G4893">
        <v>14.34019</v>
      </c>
      <c r="H4893">
        <v>-3.5146799999999998</v>
      </c>
      <c r="I4893" t="s">
        <v>25286</v>
      </c>
      <c r="L4893">
        <v>0</v>
      </c>
      <c r="M4893">
        <v>0</v>
      </c>
      <c r="N4893">
        <v>0</v>
      </c>
    </row>
    <row r="4894" spans="1:15">
      <c r="A4894" t="s">
        <v>25287</v>
      </c>
      <c r="B4894" t="s">
        <v>11607</v>
      </c>
      <c r="C4894" t="s">
        <v>25288</v>
      </c>
      <c r="D4894" t="s">
        <v>25289</v>
      </c>
      <c r="E4894" t="b">
        <v>0</v>
      </c>
      <c r="F4894" t="s">
        <v>11610</v>
      </c>
      <c r="L4894">
        <v>0</v>
      </c>
      <c r="M4894">
        <v>0</v>
      </c>
      <c r="N4894">
        <v>0</v>
      </c>
    </row>
    <row r="4895" spans="1:15">
      <c r="A4895" t="s">
        <v>25290</v>
      </c>
      <c r="B4895" t="s">
        <v>6742</v>
      </c>
      <c r="C4895" t="s">
        <v>25291</v>
      </c>
      <c r="D4895" t="s">
        <v>25292</v>
      </c>
      <c r="E4895" t="b">
        <v>0</v>
      </c>
      <c r="F4895" t="s">
        <v>11624</v>
      </c>
      <c r="G4895">
        <v>-4.3048299999999999</v>
      </c>
      <c r="H4895">
        <v>13.5641</v>
      </c>
      <c r="I4895" t="s">
        <v>25293</v>
      </c>
      <c r="L4895">
        <v>0</v>
      </c>
      <c r="M4895">
        <v>0</v>
      </c>
      <c r="N4895">
        <v>0</v>
      </c>
      <c r="O4895" t="s">
        <v>16337</v>
      </c>
    </row>
    <row r="4896" spans="1:15">
      <c r="A4896" t="s">
        <v>22287</v>
      </c>
      <c r="B4896" t="s">
        <v>6455</v>
      </c>
      <c r="C4896" t="s">
        <v>25294</v>
      </c>
      <c r="D4896" t="s">
        <v>25295</v>
      </c>
      <c r="E4896" t="b">
        <v>0</v>
      </c>
      <c r="F4896" t="s">
        <v>11622</v>
      </c>
      <c r="L4896">
        <v>0</v>
      </c>
      <c r="M4896">
        <v>2</v>
      </c>
      <c r="N4896">
        <v>0</v>
      </c>
    </row>
    <row r="4897" spans="1:15">
      <c r="A4897" t="s">
        <v>25296</v>
      </c>
      <c r="B4897" t="s">
        <v>6455</v>
      </c>
      <c r="C4897" t="s">
        <v>22287</v>
      </c>
      <c r="D4897" t="s">
        <v>25297</v>
      </c>
      <c r="E4897" t="b">
        <v>0</v>
      </c>
      <c r="F4897" t="s">
        <v>11624</v>
      </c>
      <c r="G4897">
        <v>8.5674419999999998</v>
      </c>
      <c r="H4897">
        <v>-82.375716999999995</v>
      </c>
      <c r="L4897">
        <v>0</v>
      </c>
      <c r="M4897">
        <v>0</v>
      </c>
      <c r="N4897">
        <v>0</v>
      </c>
      <c r="O4897" t="s">
        <v>11898</v>
      </c>
    </row>
    <row r="4898" spans="1:15">
      <c r="A4898" t="s">
        <v>25298</v>
      </c>
      <c r="B4898" t="s">
        <v>12250</v>
      </c>
      <c r="C4898" t="s">
        <v>20700</v>
      </c>
      <c r="D4898" t="s">
        <v>25299</v>
      </c>
      <c r="E4898" t="b">
        <v>0</v>
      </c>
      <c r="F4898" t="s">
        <v>11610</v>
      </c>
      <c r="L4898">
        <v>0</v>
      </c>
      <c r="M4898">
        <v>0</v>
      </c>
      <c r="N4898">
        <v>0</v>
      </c>
    </row>
    <row r="4899" spans="1:15">
      <c r="A4899" t="s">
        <v>25300</v>
      </c>
      <c r="B4899" t="s">
        <v>6742</v>
      </c>
      <c r="C4899" t="s">
        <v>25301</v>
      </c>
      <c r="D4899" t="s">
        <v>25302</v>
      </c>
      <c r="E4899" t="b">
        <v>0</v>
      </c>
      <c r="F4899" t="s">
        <v>11610</v>
      </c>
      <c r="L4899">
        <v>0</v>
      </c>
      <c r="M4899">
        <v>0</v>
      </c>
      <c r="N4899">
        <v>0</v>
      </c>
    </row>
    <row r="4900" spans="1:15">
      <c r="A4900" t="s">
        <v>25303</v>
      </c>
      <c r="B4900" t="s">
        <v>11644</v>
      </c>
      <c r="C4900" t="s">
        <v>14097</v>
      </c>
      <c r="D4900" t="s">
        <v>25304</v>
      </c>
      <c r="E4900" t="b">
        <v>0</v>
      </c>
      <c r="F4900" t="s">
        <v>11610</v>
      </c>
      <c r="L4900">
        <v>0</v>
      </c>
      <c r="M4900">
        <v>0</v>
      </c>
      <c r="N4900">
        <v>0</v>
      </c>
    </row>
    <row r="4901" spans="1:15">
      <c r="A4901" t="s">
        <v>25305</v>
      </c>
      <c r="B4901" t="s">
        <v>367</v>
      </c>
      <c r="C4901" t="s">
        <v>14441</v>
      </c>
      <c r="D4901" t="s">
        <v>25306</v>
      </c>
      <c r="E4901" t="b">
        <v>0</v>
      </c>
      <c r="F4901" t="s">
        <v>11624</v>
      </c>
      <c r="G4901">
        <v>-9.1153600000000008</v>
      </c>
      <c r="H4901">
        <v>160.89699999999999</v>
      </c>
      <c r="I4901" t="s">
        <v>25307</v>
      </c>
      <c r="L4901">
        <v>0</v>
      </c>
      <c r="M4901">
        <v>0</v>
      </c>
      <c r="N4901">
        <v>0</v>
      </c>
      <c r="O4901" t="s">
        <v>13346</v>
      </c>
    </row>
    <row r="4902" spans="1:15">
      <c r="A4902" t="s">
        <v>13770</v>
      </c>
      <c r="B4902" t="s">
        <v>13769</v>
      </c>
      <c r="C4902" t="s">
        <v>13769</v>
      </c>
      <c r="D4902" t="s">
        <v>25308</v>
      </c>
      <c r="E4902" t="b">
        <v>0</v>
      </c>
      <c r="F4902" t="s">
        <v>11622</v>
      </c>
      <c r="L4902">
        <v>0</v>
      </c>
      <c r="M4902">
        <v>2</v>
      </c>
      <c r="N4902">
        <v>5</v>
      </c>
    </row>
    <row r="4903" spans="1:15">
      <c r="A4903" t="s">
        <v>9684</v>
      </c>
      <c r="B4903" t="s">
        <v>11637</v>
      </c>
      <c r="C4903" t="s">
        <v>12163</v>
      </c>
      <c r="D4903" t="s">
        <v>25309</v>
      </c>
      <c r="E4903" t="b">
        <v>0</v>
      </c>
      <c r="F4903" t="s">
        <v>11610</v>
      </c>
      <c r="L4903">
        <v>0</v>
      </c>
      <c r="M4903">
        <v>0</v>
      </c>
      <c r="N4903">
        <v>0</v>
      </c>
    </row>
    <row r="4904" spans="1:15">
      <c r="A4904" t="s">
        <v>1319</v>
      </c>
      <c r="B4904" t="s">
        <v>11844</v>
      </c>
      <c r="C4904" t="s">
        <v>1318</v>
      </c>
      <c r="D4904" t="s">
        <v>25310</v>
      </c>
      <c r="E4904" t="b">
        <v>0</v>
      </c>
      <c r="F4904" t="s">
        <v>11610</v>
      </c>
      <c r="L4904">
        <v>0</v>
      </c>
      <c r="M4904">
        <v>0</v>
      </c>
      <c r="N4904">
        <v>0</v>
      </c>
    </row>
    <row r="4905" spans="1:15">
      <c r="A4905" t="s">
        <v>25311</v>
      </c>
      <c r="B4905" t="s">
        <v>6742</v>
      </c>
      <c r="C4905" t="s">
        <v>19627</v>
      </c>
      <c r="D4905" t="s">
        <v>25312</v>
      </c>
      <c r="E4905" t="b">
        <v>0</v>
      </c>
      <c r="F4905" t="s">
        <v>11610</v>
      </c>
      <c r="L4905">
        <v>0</v>
      </c>
      <c r="M4905">
        <v>0</v>
      </c>
      <c r="N4905">
        <v>0</v>
      </c>
    </row>
    <row r="4906" spans="1:15">
      <c r="A4906" t="s">
        <v>25313</v>
      </c>
      <c r="B4906" t="s">
        <v>11757</v>
      </c>
      <c r="C4906" t="s">
        <v>25314</v>
      </c>
      <c r="D4906" t="s">
        <v>25315</v>
      </c>
      <c r="E4906" t="b">
        <v>0</v>
      </c>
      <c r="F4906" t="s">
        <v>11610</v>
      </c>
      <c r="L4906">
        <v>0</v>
      </c>
      <c r="M4906">
        <v>0</v>
      </c>
      <c r="N4906">
        <v>0</v>
      </c>
    </row>
    <row r="4907" spans="1:15">
      <c r="A4907" t="s">
        <v>25316</v>
      </c>
      <c r="B4907" t="s">
        <v>21516</v>
      </c>
      <c r="C4907" t="s">
        <v>25109</v>
      </c>
      <c r="D4907" t="s">
        <v>25317</v>
      </c>
      <c r="E4907" t="b">
        <v>0</v>
      </c>
      <c r="F4907" t="s">
        <v>11610</v>
      </c>
      <c r="L4907">
        <v>0</v>
      </c>
      <c r="M4907">
        <v>0</v>
      </c>
      <c r="N4907">
        <v>0</v>
      </c>
    </row>
    <row r="4908" spans="1:15">
      <c r="A4908" t="s">
        <v>25318</v>
      </c>
      <c r="B4908" t="s">
        <v>367</v>
      </c>
      <c r="C4908" t="s">
        <v>19010</v>
      </c>
      <c r="D4908" t="s">
        <v>25319</v>
      </c>
      <c r="E4908" t="b">
        <v>0</v>
      </c>
      <c r="F4908" t="s">
        <v>11610</v>
      </c>
      <c r="L4908">
        <v>0</v>
      </c>
      <c r="M4908">
        <v>0</v>
      </c>
      <c r="N4908">
        <v>0</v>
      </c>
    </row>
    <row r="4909" spans="1:15">
      <c r="A4909" t="s">
        <v>25320</v>
      </c>
      <c r="B4909" t="s">
        <v>11686</v>
      </c>
      <c r="C4909" t="s">
        <v>11687</v>
      </c>
      <c r="D4909" t="s">
        <v>25321</v>
      </c>
      <c r="E4909" t="b">
        <v>0</v>
      </c>
      <c r="F4909" t="s">
        <v>11610</v>
      </c>
      <c r="L4909">
        <v>0</v>
      </c>
      <c r="M4909">
        <v>0</v>
      </c>
      <c r="N4909">
        <v>0</v>
      </c>
    </row>
    <row r="4910" spans="1:15">
      <c r="A4910" t="s">
        <v>25322</v>
      </c>
      <c r="B4910" t="s">
        <v>13518</v>
      </c>
      <c r="C4910" t="s">
        <v>13518</v>
      </c>
      <c r="D4910" t="s">
        <v>25323</v>
      </c>
      <c r="E4910" t="b">
        <v>0</v>
      </c>
      <c r="F4910" t="s">
        <v>11624</v>
      </c>
      <c r="G4910">
        <v>-9.5668699999999998</v>
      </c>
      <c r="H4910">
        <v>147.98599999999999</v>
      </c>
      <c r="I4910" t="s">
        <v>25324</v>
      </c>
      <c r="L4910">
        <v>0</v>
      </c>
      <c r="M4910">
        <v>0</v>
      </c>
      <c r="N4910">
        <v>3</v>
      </c>
      <c r="O4910" t="s">
        <v>11660</v>
      </c>
    </row>
    <row r="4911" spans="1:15">
      <c r="A4911" t="s">
        <v>25325</v>
      </c>
      <c r="B4911" t="s">
        <v>11627</v>
      </c>
      <c r="C4911" t="s">
        <v>11627</v>
      </c>
      <c r="D4911" t="s">
        <v>25326</v>
      </c>
      <c r="E4911" t="b">
        <v>1</v>
      </c>
      <c r="F4911" t="s">
        <v>11624</v>
      </c>
      <c r="G4911">
        <v>-8.3055599999999998</v>
      </c>
      <c r="H4911">
        <v>157.767</v>
      </c>
      <c r="I4911" t="s">
        <v>25327</v>
      </c>
      <c r="L4911">
        <v>0</v>
      </c>
      <c r="M4911">
        <v>0</v>
      </c>
      <c r="N4911">
        <v>0</v>
      </c>
      <c r="O4911" t="s">
        <v>13346</v>
      </c>
    </row>
    <row r="4912" spans="1:15">
      <c r="A4912" t="s">
        <v>25328</v>
      </c>
      <c r="B4912" t="s">
        <v>11757</v>
      </c>
      <c r="C4912" t="s">
        <v>945</v>
      </c>
      <c r="D4912" t="s">
        <v>25329</v>
      </c>
      <c r="E4912" t="b">
        <v>0</v>
      </c>
      <c r="F4912" t="s">
        <v>11610</v>
      </c>
      <c r="L4912">
        <v>0</v>
      </c>
      <c r="M4912">
        <v>0</v>
      </c>
      <c r="N4912">
        <v>0</v>
      </c>
    </row>
    <row r="4913" spans="1:15">
      <c r="A4913" t="s">
        <v>25330</v>
      </c>
      <c r="B4913" t="s">
        <v>12438</v>
      </c>
      <c r="C4913" t="s">
        <v>22166</v>
      </c>
      <c r="D4913" t="s">
        <v>25331</v>
      </c>
      <c r="E4913" t="b">
        <v>0</v>
      </c>
      <c r="F4913" t="s">
        <v>11610</v>
      </c>
      <c r="L4913">
        <v>0</v>
      </c>
      <c r="M4913">
        <v>0</v>
      </c>
      <c r="N4913">
        <v>0</v>
      </c>
    </row>
    <row r="4914" spans="1:15">
      <c r="A4914" t="s">
        <v>25332</v>
      </c>
      <c r="B4914" t="s">
        <v>13967</v>
      </c>
      <c r="C4914" t="s">
        <v>13968</v>
      </c>
      <c r="D4914" t="s">
        <v>25333</v>
      </c>
      <c r="E4914" t="b">
        <v>0</v>
      </c>
      <c r="F4914" t="s">
        <v>11610</v>
      </c>
      <c r="L4914">
        <v>0</v>
      </c>
      <c r="M4914">
        <v>0</v>
      </c>
      <c r="N4914">
        <v>0</v>
      </c>
    </row>
    <row r="4915" spans="1:15">
      <c r="A4915" t="s">
        <v>25334</v>
      </c>
      <c r="B4915" t="s">
        <v>20265</v>
      </c>
      <c r="C4915" t="s">
        <v>20266</v>
      </c>
      <c r="D4915" t="s">
        <v>25335</v>
      </c>
      <c r="E4915" t="b">
        <v>0</v>
      </c>
      <c r="F4915" t="s">
        <v>11610</v>
      </c>
      <c r="L4915">
        <v>0</v>
      </c>
      <c r="M4915">
        <v>0</v>
      </c>
      <c r="N4915">
        <v>0</v>
      </c>
    </row>
    <row r="4916" spans="1:15">
      <c r="A4916" t="s">
        <v>25336</v>
      </c>
      <c r="B4916" t="s">
        <v>11637</v>
      </c>
      <c r="C4916" t="s">
        <v>22295</v>
      </c>
      <c r="D4916" t="s">
        <v>25337</v>
      </c>
      <c r="E4916" t="b">
        <v>0</v>
      </c>
      <c r="F4916" t="s">
        <v>11610</v>
      </c>
      <c r="L4916">
        <v>0</v>
      </c>
      <c r="M4916">
        <v>0</v>
      </c>
      <c r="N4916">
        <v>0</v>
      </c>
    </row>
    <row r="4917" spans="1:15">
      <c r="A4917" t="s">
        <v>25338</v>
      </c>
      <c r="B4917" t="s">
        <v>11644</v>
      </c>
      <c r="C4917" t="s">
        <v>22873</v>
      </c>
      <c r="D4917" t="s">
        <v>25339</v>
      </c>
      <c r="E4917" t="b">
        <v>0</v>
      </c>
      <c r="F4917" t="s">
        <v>11610</v>
      </c>
      <c r="L4917">
        <v>0</v>
      </c>
      <c r="M4917">
        <v>0</v>
      </c>
      <c r="N4917">
        <v>0</v>
      </c>
    </row>
    <row r="4918" spans="1:15">
      <c r="A4918" t="s">
        <v>25340</v>
      </c>
      <c r="B4918" t="s">
        <v>13571</v>
      </c>
      <c r="C4918" t="s">
        <v>21507</v>
      </c>
      <c r="D4918" t="s">
        <v>25341</v>
      </c>
      <c r="E4918" t="b">
        <v>0</v>
      </c>
      <c r="F4918" t="s">
        <v>11624</v>
      </c>
      <c r="G4918">
        <v>6.25237</v>
      </c>
      <c r="H4918">
        <v>37.555399999999999</v>
      </c>
      <c r="I4918" t="s">
        <v>25342</v>
      </c>
      <c r="L4918">
        <v>0</v>
      </c>
      <c r="M4918">
        <v>0</v>
      </c>
      <c r="N4918">
        <v>0</v>
      </c>
      <c r="O4918" t="s">
        <v>11625</v>
      </c>
    </row>
    <row r="4919" spans="1:15">
      <c r="A4919" t="s">
        <v>25343</v>
      </c>
      <c r="D4919" t="s">
        <v>25344</v>
      </c>
      <c r="E4919" t="b">
        <v>0</v>
      </c>
      <c r="F4919" t="s">
        <v>11622</v>
      </c>
      <c r="L4919">
        <v>0</v>
      </c>
      <c r="M4919">
        <v>2</v>
      </c>
      <c r="N4919">
        <v>0</v>
      </c>
    </row>
    <row r="4920" spans="1:15">
      <c r="A4920" t="s">
        <v>25345</v>
      </c>
      <c r="B4920" t="s">
        <v>25343</v>
      </c>
      <c r="C4920" t="s">
        <v>25343</v>
      </c>
      <c r="D4920" t="s">
        <v>25346</v>
      </c>
      <c r="E4920" t="b">
        <v>0</v>
      </c>
      <c r="F4920" t="s">
        <v>11624</v>
      </c>
      <c r="G4920">
        <v>-7.85806</v>
      </c>
      <c r="H4920">
        <v>142.65600000000001</v>
      </c>
      <c r="I4920" t="s">
        <v>25347</v>
      </c>
      <c r="L4920">
        <v>0</v>
      </c>
      <c r="M4920">
        <v>0</v>
      </c>
      <c r="N4920">
        <v>0</v>
      </c>
      <c r="O4920" t="s">
        <v>11660</v>
      </c>
    </row>
    <row r="4921" spans="1:15">
      <c r="A4921" t="s">
        <v>25348</v>
      </c>
      <c r="B4921" t="s">
        <v>11637</v>
      </c>
      <c r="C4921" t="s">
        <v>148</v>
      </c>
      <c r="D4921" t="s">
        <v>25349</v>
      </c>
      <c r="E4921" t="b">
        <v>0</v>
      </c>
      <c r="F4921" t="s">
        <v>11610</v>
      </c>
      <c r="L4921">
        <v>0</v>
      </c>
      <c r="M4921">
        <v>0</v>
      </c>
      <c r="N4921">
        <v>0</v>
      </c>
    </row>
    <row r="4922" spans="1:15">
      <c r="A4922" t="s">
        <v>25350</v>
      </c>
      <c r="B4922" t="s">
        <v>11637</v>
      </c>
      <c r="C4922" t="s">
        <v>25351</v>
      </c>
      <c r="D4922" t="s">
        <v>25352</v>
      </c>
      <c r="E4922" t="b">
        <v>0</v>
      </c>
      <c r="F4922" t="s">
        <v>11624</v>
      </c>
      <c r="I4922" t="s">
        <v>25353</v>
      </c>
      <c r="L4922">
        <v>0</v>
      </c>
      <c r="M4922">
        <v>0</v>
      </c>
      <c r="N4922">
        <v>0</v>
      </c>
      <c r="O4922" t="s">
        <v>15007</v>
      </c>
    </row>
    <row r="4923" spans="1:15">
      <c r="A4923" t="s">
        <v>25354</v>
      </c>
      <c r="B4923" t="s">
        <v>11981</v>
      </c>
      <c r="C4923" t="s">
        <v>11982</v>
      </c>
      <c r="D4923" t="s">
        <v>25355</v>
      </c>
      <c r="E4923" t="b">
        <v>0</v>
      </c>
      <c r="F4923" t="s">
        <v>11624</v>
      </c>
      <c r="G4923">
        <v>15.006344</v>
      </c>
      <c r="H4923">
        <v>-2.9564650000000001</v>
      </c>
      <c r="L4923">
        <v>0</v>
      </c>
      <c r="M4923">
        <v>0</v>
      </c>
      <c r="N4923">
        <v>0</v>
      </c>
    </row>
    <row r="4924" spans="1:15">
      <c r="A4924" t="s">
        <v>25356</v>
      </c>
      <c r="B4924" t="s">
        <v>11607</v>
      </c>
      <c r="C4924" t="s">
        <v>25357</v>
      </c>
      <c r="D4924" t="s">
        <v>25358</v>
      </c>
      <c r="E4924" t="b">
        <v>0</v>
      </c>
      <c r="F4924" t="s">
        <v>11610</v>
      </c>
      <c r="L4924">
        <v>0</v>
      </c>
      <c r="M4924">
        <v>0</v>
      </c>
      <c r="N4924">
        <v>0</v>
      </c>
    </row>
    <row r="4925" spans="1:15">
      <c r="A4925" t="s">
        <v>25359</v>
      </c>
      <c r="B4925" t="s">
        <v>11607</v>
      </c>
      <c r="C4925" t="s">
        <v>25360</v>
      </c>
      <c r="D4925" t="s">
        <v>25361</v>
      </c>
      <c r="E4925" t="b">
        <v>0</v>
      </c>
      <c r="F4925" t="s">
        <v>11610</v>
      </c>
      <c r="L4925">
        <v>0</v>
      </c>
      <c r="M4925">
        <v>0</v>
      </c>
      <c r="N4925">
        <v>0</v>
      </c>
    </row>
    <row r="4926" spans="1:15">
      <c r="A4926" t="s">
        <v>25362</v>
      </c>
      <c r="B4926" t="s">
        <v>11637</v>
      </c>
      <c r="C4926" t="s">
        <v>25363</v>
      </c>
      <c r="D4926" t="s">
        <v>25364</v>
      </c>
      <c r="E4926" t="b">
        <v>0</v>
      </c>
      <c r="F4926" t="s">
        <v>11610</v>
      </c>
      <c r="L4926">
        <v>0</v>
      </c>
      <c r="M4926">
        <v>0</v>
      </c>
      <c r="N4926">
        <v>0</v>
      </c>
    </row>
    <row r="4927" spans="1:15">
      <c r="A4927" t="s">
        <v>25365</v>
      </c>
      <c r="B4927" t="s">
        <v>14524</v>
      </c>
      <c r="C4927" t="s">
        <v>23149</v>
      </c>
      <c r="D4927" t="s">
        <v>25366</v>
      </c>
      <c r="E4927" t="b">
        <v>0</v>
      </c>
      <c r="F4927" t="s">
        <v>11610</v>
      </c>
      <c r="L4927">
        <v>0</v>
      </c>
      <c r="M4927">
        <v>0</v>
      </c>
      <c r="N4927">
        <v>0</v>
      </c>
    </row>
    <row r="4928" spans="1:15">
      <c r="A4928" t="s">
        <v>25367</v>
      </c>
      <c r="B4928" t="s">
        <v>6742</v>
      </c>
      <c r="C4928" t="s">
        <v>18086</v>
      </c>
      <c r="D4928" t="s">
        <v>25368</v>
      </c>
      <c r="E4928" t="b">
        <v>0</v>
      </c>
      <c r="F4928" t="s">
        <v>11610</v>
      </c>
      <c r="L4928">
        <v>0</v>
      </c>
      <c r="M4928">
        <v>0</v>
      </c>
      <c r="N4928">
        <v>0</v>
      </c>
    </row>
    <row r="4929" spans="1:15">
      <c r="A4929" t="s">
        <v>25369</v>
      </c>
      <c r="B4929" t="s">
        <v>6742</v>
      </c>
      <c r="C4929" t="s">
        <v>19695</v>
      </c>
      <c r="D4929" t="s">
        <v>25370</v>
      </c>
      <c r="E4929" t="b">
        <v>0</v>
      </c>
      <c r="F4929" t="s">
        <v>11610</v>
      </c>
      <c r="L4929">
        <v>0</v>
      </c>
      <c r="M4929">
        <v>0</v>
      </c>
      <c r="N4929">
        <v>0</v>
      </c>
    </row>
    <row r="4930" spans="1:15">
      <c r="A4930" t="s">
        <v>25371</v>
      </c>
      <c r="B4930" t="s">
        <v>11607</v>
      </c>
      <c r="C4930" t="s">
        <v>25372</v>
      </c>
      <c r="D4930" t="s">
        <v>25373</v>
      </c>
      <c r="E4930" t="b">
        <v>0</v>
      </c>
      <c r="F4930" t="s">
        <v>11610</v>
      </c>
      <c r="L4930">
        <v>0</v>
      </c>
      <c r="M4930">
        <v>0</v>
      </c>
      <c r="N4930">
        <v>0</v>
      </c>
    </row>
    <row r="4931" spans="1:15">
      <c r="A4931" t="s">
        <v>25374</v>
      </c>
      <c r="B4931" t="s">
        <v>15365</v>
      </c>
      <c r="C4931" t="s">
        <v>25375</v>
      </c>
      <c r="D4931" t="s">
        <v>25376</v>
      </c>
      <c r="E4931" t="b">
        <v>0</v>
      </c>
      <c r="F4931" t="s">
        <v>11622</v>
      </c>
      <c r="L4931">
        <v>0</v>
      </c>
      <c r="M4931">
        <v>5</v>
      </c>
      <c r="N4931">
        <v>0</v>
      </c>
    </row>
    <row r="4932" spans="1:15">
      <c r="A4932" t="s">
        <v>25377</v>
      </c>
      <c r="B4932" t="s">
        <v>15365</v>
      </c>
      <c r="C4932" t="s">
        <v>25374</v>
      </c>
      <c r="D4932" t="s">
        <v>25378</v>
      </c>
      <c r="E4932" t="b">
        <v>0</v>
      </c>
      <c r="F4932" t="s">
        <v>11624</v>
      </c>
      <c r="G4932">
        <v>-3.2483200000000001</v>
      </c>
      <c r="H4932">
        <v>138.22</v>
      </c>
      <c r="I4932" t="s">
        <v>25379</v>
      </c>
      <c r="L4932">
        <v>0</v>
      </c>
      <c r="M4932">
        <v>0</v>
      </c>
      <c r="N4932">
        <v>0</v>
      </c>
      <c r="O4932" t="s">
        <v>11768</v>
      </c>
    </row>
    <row r="4933" spans="1:15">
      <c r="A4933" t="s">
        <v>25380</v>
      </c>
      <c r="B4933" t="s">
        <v>11644</v>
      </c>
      <c r="C4933" t="s">
        <v>25381</v>
      </c>
      <c r="D4933" t="s">
        <v>25382</v>
      </c>
      <c r="E4933" t="b">
        <v>0</v>
      </c>
      <c r="F4933" t="s">
        <v>11622</v>
      </c>
      <c r="L4933">
        <v>2</v>
      </c>
      <c r="M4933">
        <v>4</v>
      </c>
      <c r="N4933">
        <v>2</v>
      </c>
    </row>
    <row r="4934" spans="1:15">
      <c r="A4934" t="s">
        <v>23880</v>
      </c>
      <c r="B4934" t="s">
        <v>11644</v>
      </c>
      <c r="C4934" t="s">
        <v>25383</v>
      </c>
      <c r="D4934" t="s">
        <v>25384</v>
      </c>
      <c r="E4934" t="b">
        <v>0</v>
      </c>
      <c r="F4934" t="s">
        <v>11610</v>
      </c>
      <c r="L4934">
        <v>0</v>
      </c>
      <c r="M4934">
        <v>0</v>
      </c>
      <c r="N4934">
        <v>4</v>
      </c>
    </row>
    <row r="4935" spans="1:15">
      <c r="A4935" t="s">
        <v>25385</v>
      </c>
      <c r="B4935" t="s">
        <v>6742</v>
      </c>
      <c r="C4935" t="s">
        <v>25386</v>
      </c>
      <c r="D4935" t="s">
        <v>25387</v>
      </c>
      <c r="E4935" t="b">
        <v>0</v>
      </c>
      <c r="F4935" t="s">
        <v>11624</v>
      </c>
      <c r="G4935">
        <v>8.6860400000000002</v>
      </c>
      <c r="H4935">
        <v>13.0768</v>
      </c>
      <c r="I4935" t="s">
        <v>25388</v>
      </c>
      <c r="L4935">
        <v>0</v>
      </c>
      <c r="M4935">
        <v>0</v>
      </c>
      <c r="N4935">
        <v>3</v>
      </c>
      <c r="O4935" t="s">
        <v>11703</v>
      </c>
    </row>
    <row r="4936" spans="1:15">
      <c r="A4936" t="s">
        <v>25389</v>
      </c>
      <c r="B4936" t="s">
        <v>11644</v>
      </c>
      <c r="C4936" t="s">
        <v>25390</v>
      </c>
      <c r="D4936" t="s">
        <v>25391</v>
      </c>
      <c r="E4936" t="b">
        <v>0</v>
      </c>
      <c r="F4936" t="s">
        <v>11624</v>
      </c>
      <c r="L4936">
        <v>0</v>
      </c>
      <c r="M4936">
        <v>0</v>
      </c>
      <c r="N4936">
        <v>0</v>
      </c>
      <c r="O4936" t="s">
        <v>11905</v>
      </c>
    </row>
    <row r="4937" spans="1:15">
      <c r="A4937" t="s">
        <v>25392</v>
      </c>
      <c r="B4937" t="s">
        <v>6742</v>
      </c>
      <c r="C4937" t="s">
        <v>25393</v>
      </c>
      <c r="D4937" t="s">
        <v>25394</v>
      </c>
      <c r="E4937" t="b">
        <v>0</v>
      </c>
      <c r="F4937" t="s">
        <v>11610</v>
      </c>
      <c r="L4937">
        <v>0</v>
      </c>
      <c r="M4937">
        <v>0</v>
      </c>
      <c r="N4937">
        <v>0</v>
      </c>
    </row>
    <row r="4938" spans="1:15">
      <c r="A4938" t="s">
        <v>25395</v>
      </c>
      <c r="B4938" t="s">
        <v>11637</v>
      </c>
      <c r="C4938" t="s">
        <v>14887</v>
      </c>
      <c r="D4938" t="s">
        <v>25396</v>
      </c>
      <c r="E4938" t="b">
        <v>0</v>
      </c>
      <c r="F4938" t="s">
        <v>11610</v>
      </c>
      <c r="L4938">
        <v>0</v>
      </c>
      <c r="M4938">
        <v>0</v>
      </c>
      <c r="N4938">
        <v>0</v>
      </c>
    </row>
    <row r="4939" spans="1:15">
      <c r="A4939" t="s">
        <v>11844</v>
      </c>
      <c r="D4939" t="s">
        <v>25397</v>
      </c>
      <c r="E4939" t="b">
        <v>0</v>
      </c>
      <c r="F4939" t="s">
        <v>11622</v>
      </c>
      <c r="L4939">
        <v>45</v>
      </c>
      <c r="M4939">
        <v>81</v>
      </c>
      <c r="N4939">
        <v>131</v>
      </c>
    </row>
    <row r="4940" spans="1:15">
      <c r="A4940" t="s">
        <v>12273</v>
      </c>
      <c r="B4940" t="s">
        <v>12241</v>
      </c>
      <c r="C4940" t="s">
        <v>12241</v>
      </c>
      <c r="D4940" t="s">
        <v>25398</v>
      </c>
      <c r="E4940" t="b">
        <v>0</v>
      </c>
      <c r="F4940" t="s">
        <v>11622</v>
      </c>
      <c r="L4940">
        <v>0</v>
      </c>
      <c r="M4940">
        <v>3</v>
      </c>
      <c r="N4940">
        <v>0</v>
      </c>
    </row>
    <row r="4941" spans="1:15">
      <c r="A4941" t="s">
        <v>25399</v>
      </c>
      <c r="B4941" t="s">
        <v>14005</v>
      </c>
      <c r="C4941" t="s">
        <v>25400</v>
      </c>
      <c r="D4941" t="s">
        <v>25401</v>
      </c>
      <c r="E4941" t="b">
        <v>0</v>
      </c>
      <c r="F4941" t="s">
        <v>11624</v>
      </c>
      <c r="G4941">
        <v>-8.5</v>
      </c>
      <c r="H4941">
        <v>141.68</v>
      </c>
      <c r="L4941">
        <v>0</v>
      </c>
      <c r="M4941">
        <v>0</v>
      </c>
      <c r="N4941">
        <v>0</v>
      </c>
      <c r="O4941" t="s">
        <v>11660</v>
      </c>
    </row>
    <row r="4942" spans="1:15">
      <c r="A4942" t="s">
        <v>25402</v>
      </c>
      <c r="B4942" t="s">
        <v>367</v>
      </c>
      <c r="C4942" t="s">
        <v>19994</v>
      </c>
      <c r="D4942" t="s">
        <v>25403</v>
      </c>
      <c r="E4942" t="b">
        <v>0</v>
      </c>
      <c r="F4942" t="s">
        <v>11610</v>
      </c>
      <c r="L4942">
        <v>0</v>
      </c>
      <c r="M4942">
        <v>0</v>
      </c>
      <c r="N4942">
        <v>0</v>
      </c>
    </row>
    <row r="4943" spans="1:15">
      <c r="A4943" t="s">
        <v>25404</v>
      </c>
      <c r="B4943" t="s">
        <v>11637</v>
      </c>
      <c r="C4943" t="s">
        <v>11936</v>
      </c>
      <c r="D4943" t="s">
        <v>25405</v>
      </c>
      <c r="E4943" t="b">
        <v>0</v>
      </c>
      <c r="F4943" t="s">
        <v>11610</v>
      </c>
      <c r="G4943">
        <v>52.9024</v>
      </c>
      <c r="H4943">
        <v>6.51539</v>
      </c>
      <c r="I4943" t="s">
        <v>25406</v>
      </c>
      <c r="L4943">
        <v>0</v>
      </c>
      <c r="M4943">
        <v>0</v>
      </c>
      <c r="N4943">
        <v>2</v>
      </c>
      <c r="O4943" t="s">
        <v>11939</v>
      </c>
    </row>
    <row r="4944" spans="1:15">
      <c r="A4944" t="s">
        <v>25407</v>
      </c>
      <c r="B4944" t="s">
        <v>11644</v>
      </c>
      <c r="C4944" t="s">
        <v>24313</v>
      </c>
      <c r="D4944" t="s">
        <v>25408</v>
      </c>
      <c r="E4944" t="b">
        <v>0</v>
      </c>
      <c r="F4944" t="s">
        <v>11610</v>
      </c>
      <c r="L4944">
        <v>0</v>
      </c>
      <c r="M4944">
        <v>0</v>
      </c>
      <c r="N4944">
        <v>0</v>
      </c>
    </row>
    <row r="4945" spans="1:15">
      <c r="A4945" t="s">
        <v>25409</v>
      </c>
      <c r="B4945" t="s">
        <v>11607</v>
      </c>
      <c r="C4945" t="s">
        <v>25360</v>
      </c>
      <c r="D4945" t="s">
        <v>25410</v>
      </c>
      <c r="E4945" t="b">
        <v>0</v>
      </c>
      <c r="F4945" t="s">
        <v>11610</v>
      </c>
      <c r="L4945">
        <v>0</v>
      </c>
      <c r="M4945">
        <v>0</v>
      </c>
      <c r="N4945">
        <v>0</v>
      </c>
    </row>
    <row r="4946" spans="1:15">
      <c r="A4946" t="s">
        <v>25411</v>
      </c>
      <c r="B4946" t="s">
        <v>11644</v>
      </c>
      <c r="C4946" t="s">
        <v>25412</v>
      </c>
      <c r="D4946" t="s">
        <v>25413</v>
      </c>
      <c r="E4946" t="b">
        <v>0</v>
      </c>
      <c r="F4946" t="s">
        <v>11624</v>
      </c>
      <c r="G4946">
        <v>28.007919999999999</v>
      </c>
      <c r="H4946">
        <v>98.494489999999999</v>
      </c>
      <c r="I4946" t="s">
        <v>25414</v>
      </c>
      <c r="L4946">
        <v>0</v>
      </c>
      <c r="M4946">
        <v>0</v>
      </c>
      <c r="N4946">
        <v>2</v>
      </c>
      <c r="O4946" t="s">
        <v>11892</v>
      </c>
    </row>
    <row r="4947" spans="1:15">
      <c r="A4947" t="s">
        <v>19047</v>
      </c>
      <c r="B4947" t="s">
        <v>6742</v>
      </c>
      <c r="C4947" t="s">
        <v>25415</v>
      </c>
      <c r="D4947" t="s">
        <v>25416</v>
      </c>
      <c r="E4947" t="b">
        <v>0</v>
      </c>
      <c r="F4947" t="s">
        <v>11624</v>
      </c>
      <c r="G4947">
        <v>4.1020799999999999</v>
      </c>
      <c r="H4947">
        <v>9.6187699999999996</v>
      </c>
      <c r="I4947" t="s">
        <v>25417</v>
      </c>
      <c r="L4947">
        <v>0</v>
      </c>
      <c r="M4947">
        <v>0</v>
      </c>
      <c r="N4947">
        <v>4</v>
      </c>
      <c r="O4947" t="s">
        <v>11703</v>
      </c>
    </row>
    <row r="4948" spans="1:15">
      <c r="A4948" t="s">
        <v>25418</v>
      </c>
      <c r="B4948" t="s">
        <v>6742</v>
      </c>
      <c r="C4948" t="s">
        <v>17979</v>
      </c>
      <c r="D4948" t="s">
        <v>25419</v>
      </c>
      <c r="E4948" t="b">
        <v>0</v>
      </c>
      <c r="F4948" t="s">
        <v>11622</v>
      </c>
      <c r="L4948">
        <v>2</v>
      </c>
      <c r="M4948">
        <v>5</v>
      </c>
      <c r="N4948">
        <v>4</v>
      </c>
    </row>
    <row r="4949" spans="1:15">
      <c r="A4949" t="s">
        <v>25415</v>
      </c>
      <c r="B4949" t="s">
        <v>6742</v>
      </c>
      <c r="C4949" t="s">
        <v>25418</v>
      </c>
      <c r="D4949" t="s">
        <v>25420</v>
      </c>
      <c r="E4949" t="b">
        <v>0</v>
      </c>
      <c r="F4949" t="s">
        <v>11622</v>
      </c>
      <c r="L4949">
        <v>0</v>
      </c>
      <c r="M4949">
        <v>2</v>
      </c>
      <c r="N4949">
        <v>4</v>
      </c>
    </row>
    <row r="4950" spans="1:15">
      <c r="A4950" t="s">
        <v>25421</v>
      </c>
      <c r="B4950" t="s">
        <v>367</v>
      </c>
      <c r="C4950" t="s">
        <v>16294</v>
      </c>
      <c r="D4950" t="s">
        <v>25422</v>
      </c>
      <c r="E4950" t="b">
        <v>0</v>
      </c>
      <c r="F4950" t="s">
        <v>11624</v>
      </c>
      <c r="G4950">
        <v>1.56829</v>
      </c>
      <c r="H4950">
        <v>103.36</v>
      </c>
      <c r="I4950" t="s">
        <v>25423</v>
      </c>
      <c r="L4950">
        <v>0</v>
      </c>
      <c r="M4950">
        <v>0</v>
      </c>
      <c r="N4950">
        <v>0</v>
      </c>
      <c r="O4950" t="s">
        <v>16728</v>
      </c>
    </row>
    <row r="4951" spans="1:15">
      <c r="A4951" t="s">
        <v>24265</v>
      </c>
      <c r="B4951" t="s">
        <v>367</v>
      </c>
      <c r="C4951" t="s">
        <v>19669</v>
      </c>
      <c r="D4951" t="s">
        <v>25424</v>
      </c>
      <c r="E4951" t="b">
        <v>0</v>
      </c>
      <c r="F4951" t="s">
        <v>11624</v>
      </c>
      <c r="G4951">
        <v>-10.186999999999999</v>
      </c>
      <c r="H4951">
        <v>151.21799999999999</v>
      </c>
      <c r="I4951" t="s">
        <v>25425</v>
      </c>
      <c r="L4951">
        <v>0</v>
      </c>
      <c r="M4951">
        <v>0</v>
      </c>
      <c r="N4951">
        <v>5</v>
      </c>
      <c r="O4951" t="s">
        <v>11660</v>
      </c>
    </row>
    <row r="4952" spans="1:15">
      <c r="A4952" t="s">
        <v>25426</v>
      </c>
      <c r="B4952" t="s">
        <v>11637</v>
      </c>
      <c r="C4952" t="s">
        <v>25427</v>
      </c>
      <c r="D4952" t="s">
        <v>25428</v>
      </c>
      <c r="E4952" t="b">
        <v>0</v>
      </c>
      <c r="F4952" t="s">
        <v>11610</v>
      </c>
      <c r="L4952">
        <v>0</v>
      </c>
      <c r="M4952">
        <v>0</v>
      </c>
      <c r="N4952">
        <v>0</v>
      </c>
    </row>
    <row r="4953" spans="1:15">
      <c r="A4953" t="s">
        <v>25429</v>
      </c>
      <c r="B4953" t="s">
        <v>11637</v>
      </c>
      <c r="C4953" t="s">
        <v>25430</v>
      </c>
      <c r="D4953" t="s">
        <v>25431</v>
      </c>
      <c r="E4953" t="b">
        <v>0</v>
      </c>
      <c r="F4953" t="s">
        <v>11624</v>
      </c>
      <c r="G4953">
        <v>21.516100000000002</v>
      </c>
      <c r="H4953">
        <v>73.218000000000004</v>
      </c>
      <c r="I4953" t="s">
        <v>25432</v>
      </c>
      <c r="L4953">
        <v>0</v>
      </c>
      <c r="M4953">
        <v>0</v>
      </c>
      <c r="N4953">
        <v>0</v>
      </c>
      <c r="O4953" t="s">
        <v>11630</v>
      </c>
    </row>
    <row r="4954" spans="1:15">
      <c r="A4954" t="s">
        <v>25433</v>
      </c>
      <c r="B4954" t="s">
        <v>15132</v>
      </c>
      <c r="C4954" t="s">
        <v>25434</v>
      </c>
      <c r="D4954" t="s">
        <v>25435</v>
      </c>
      <c r="E4954" t="b">
        <v>0</v>
      </c>
      <c r="F4954" t="s">
        <v>11624</v>
      </c>
      <c r="G4954">
        <v>-3.6259100000000002</v>
      </c>
      <c r="H4954">
        <v>140.768</v>
      </c>
      <c r="I4954" t="s">
        <v>25436</v>
      </c>
      <c r="L4954">
        <v>0</v>
      </c>
      <c r="M4954">
        <v>0</v>
      </c>
      <c r="N4954">
        <v>0</v>
      </c>
      <c r="O4954" t="s">
        <v>11768</v>
      </c>
    </row>
    <row r="4955" spans="1:15">
      <c r="A4955" t="s">
        <v>25437</v>
      </c>
      <c r="B4955" t="s">
        <v>367</v>
      </c>
      <c r="C4955" t="s">
        <v>15445</v>
      </c>
      <c r="D4955" t="s">
        <v>25438</v>
      </c>
      <c r="E4955" t="b">
        <v>0</v>
      </c>
      <c r="F4955" t="s">
        <v>11610</v>
      </c>
      <c r="L4955">
        <v>0</v>
      </c>
      <c r="M4955">
        <v>0</v>
      </c>
      <c r="N4955">
        <v>0</v>
      </c>
    </row>
    <row r="4956" spans="1:15">
      <c r="A4956" t="s">
        <v>25439</v>
      </c>
      <c r="B4956" t="s">
        <v>12438</v>
      </c>
      <c r="C4956" t="s">
        <v>24643</v>
      </c>
      <c r="D4956" t="s">
        <v>25440</v>
      </c>
      <c r="E4956" t="b">
        <v>0</v>
      </c>
      <c r="F4956" t="s">
        <v>11610</v>
      </c>
      <c r="L4956">
        <v>0</v>
      </c>
      <c r="M4956">
        <v>0</v>
      </c>
      <c r="N4956">
        <v>0</v>
      </c>
    </row>
    <row r="4957" spans="1:15">
      <c r="A4957" t="s">
        <v>25441</v>
      </c>
      <c r="B4957" t="s">
        <v>11615</v>
      </c>
      <c r="C4957" t="s">
        <v>25442</v>
      </c>
      <c r="D4957" t="s">
        <v>25443</v>
      </c>
      <c r="E4957" t="b">
        <v>0</v>
      </c>
      <c r="F4957" t="s">
        <v>11624</v>
      </c>
      <c r="G4957">
        <v>-5.43119</v>
      </c>
      <c r="H4957">
        <v>145.642</v>
      </c>
      <c r="I4957" t="s">
        <v>25444</v>
      </c>
      <c r="L4957">
        <v>0</v>
      </c>
      <c r="M4957">
        <v>0</v>
      </c>
      <c r="N4957">
        <v>0</v>
      </c>
      <c r="O4957" t="s">
        <v>11660</v>
      </c>
    </row>
    <row r="4958" spans="1:15">
      <c r="A4958" t="s">
        <v>25445</v>
      </c>
      <c r="B4958" t="s">
        <v>6742</v>
      </c>
      <c r="C4958" t="s">
        <v>25446</v>
      </c>
      <c r="D4958" t="s">
        <v>25447</v>
      </c>
      <c r="E4958" t="b">
        <v>0</v>
      </c>
      <c r="F4958" t="s">
        <v>11610</v>
      </c>
      <c r="L4958">
        <v>0</v>
      </c>
      <c r="M4958">
        <v>0</v>
      </c>
      <c r="N4958">
        <v>0</v>
      </c>
    </row>
    <row r="4959" spans="1:15">
      <c r="A4959" t="s">
        <v>25448</v>
      </c>
      <c r="B4959" t="s">
        <v>6742</v>
      </c>
      <c r="C4959" t="s">
        <v>24790</v>
      </c>
      <c r="D4959" t="s">
        <v>25449</v>
      </c>
      <c r="E4959" t="b">
        <v>0</v>
      </c>
      <c r="F4959" t="s">
        <v>11624</v>
      </c>
      <c r="G4959">
        <v>8.3868899999999993</v>
      </c>
      <c r="H4959">
        <v>13.396599999999999</v>
      </c>
      <c r="I4959" t="s">
        <v>25450</v>
      </c>
      <c r="L4959">
        <v>0</v>
      </c>
      <c r="M4959">
        <v>0</v>
      </c>
      <c r="N4959">
        <v>2</v>
      </c>
      <c r="O4959" t="s">
        <v>11703</v>
      </c>
    </row>
    <row r="4960" spans="1:15">
      <c r="A4960" t="s">
        <v>15691</v>
      </c>
      <c r="B4960" t="s">
        <v>6742</v>
      </c>
      <c r="C4960" t="s">
        <v>15687</v>
      </c>
      <c r="D4960" t="s">
        <v>25451</v>
      </c>
      <c r="E4960" t="b">
        <v>0</v>
      </c>
      <c r="F4960" t="s">
        <v>11624</v>
      </c>
      <c r="G4960">
        <v>10.050000000000001</v>
      </c>
      <c r="H4960">
        <v>10.210000000000001</v>
      </c>
      <c r="I4960" t="s">
        <v>25452</v>
      </c>
      <c r="L4960">
        <v>0</v>
      </c>
      <c r="M4960">
        <v>0</v>
      </c>
      <c r="N4960">
        <v>4</v>
      </c>
      <c r="O4960" t="s">
        <v>11693</v>
      </c>
    </row>
    <row r="4961" spans="1:15">
      <c r="A4961" t="s">
        <v>25453</v>
      </c>
      <c r="B4961" t="s">
        <v>21516</v>
      </c>
      <c r="C4961" t="s">
        <v>25109</v>
      </c>
      <c r="D4961" t="s">
        <v>25454</v>
      </c>
      <c r="E4961" t="b">
        <v>0</v>
      </c>
      <c r="F4961" t="s">
        <v>11610</v>
      </c>
      <c r="L4961">
        <v>0</v>
      </c>
      <c r="M4961">
        <v>0</v>
      </c>
      <c r="N4961">
        <v>0</v>
      </c>
    </row>
    <row r="4962" spans="1:15">
      <c r="A4962" t="s">
        <v>25455</v>
      </c>
      <c r="B4962" t="s">
        <v>11607</v>
      </c>
      <c r="C4962" t="s">
        <v>11751</v>
      </c>
      <c r="D4962" t="s">
        <v>25456</v>
      </c>
      <c r="E4962" t="b">
        <v>0</v>
      </c>
      <c r="F4962" t="s">
        <v>11610</v>
      </c>
      <c r="L4962">
        <v>0</v>
      </c>
      <c r="M4962">
        <v>0</v>
      </c>
      <c r="N4962">
        <v>0</v>
      </c>
    </row>
    <row r="4963" spans="1:15">
      <c r="A4963" t="s">
        <v>25457</v>
      </c>
      <c r="B4963" t="s">
        <v>11607</v>
      </c>
      <c r="C4963" t="s">
        <v>25458</v>
      </c>
      <c r="D4963" t="s">
        <v>25459</v>
      </c>
      <c r="E4963" t="b">
        <v>0</v>
      </c>
      <c r="F4963" t="s">
        <v>11610</v>
      </c>
      <c r="L4963">
        <v>0</v>
      </c>
      <c r="M4963">
        <v>0</v>
      </c>
      <c r="N4963">
        <v>0</v>
      </c>
    </row>
    <row r="4964" spans="1:15">
      <c r="A4964" t="s">
        <v>25460</v>
      </c>
      <c r="B4964" t="s">
        <v>11607</v>
      </c>
      <c r="C4964" t="s">
        <v>25461</v>
      </c>
      <c r="D4964" t="s">
        <v>25462</v>
      </c>
      <c r="E4964" t="b">
        <v>0</v>
      </c>
      <c r="F4964" t="s">
        <v>11624</v>
      </c>
      <c r="G4964">
        <v>10.752000000000001</v>
      </c>
      <c r="H4964">
        <v>14.2134</v>
      </c>
      <c r="I4964" t="s">
        <v>25463</v>
      </c>
      <c r="L4964">
        <v>0</v>
      </c>
      <c r="M4964">
        <v>0</v>
      </c>
      <c r="N4964">
        <v>1</v>
      </c>
      <c r="O4964" t="s">
        <v>11703</v>
      </c>
    </row>
    <row r="4965" spans="1:15">
      <c r="A4965" t="s">
        <v>25464</v>
      </c>
      <c r="B4965" t="s">
        <v>367</v>
      </c>
      <c r="C4965" t="s">
        <v>25465</v>
      </c>
      <c r="D4965" t="s">
        <v>25466</v>
      </c>
      <c r="E4965" t="b">
        <v>0</v>
      </c>
      <c r="F4965" t="s">
        <v>11610</v>
      </c>
      <c r="L4965">
        <v>0</v>
      </c>
      <c r="M4965">
        <v>0</v>
      </c>
      <c r="N4965">
        <v>0</v>
      </c>
    </row>
    <row r="4966" spans="1:15">
      <c r="A4966" t="s">
        <v>25467</v>
      </c>
      <c r="B4966" t="s">
        <v>11607</v>
      </c>
      <c r="C4966" t="s">
        <v>25468</v>
      </c>
      <c r="D4966" t="s">
        <v>25469</v>
      </c>
      <c r="E4966" t="b">
        <v>0</v>
      </c>
      <c r="F4966" t="s">
        <v>11624</v>
      </c>
      <c r="G4966">
        <v>9.3258600000000005</v>
      </c>
      <c r="H4966">
        <v>8.7799499999999995</v>
      </c>
      <c r="I4966" t="s">
        <v>25470</v>
      </c>
      <c r="L4966">
        <v>0</v>
      </c>
      <c r="M4966">
        <v>0</v>
      </c>
      <c r="N4966">
        <v>0</v>
      </c>
      <c r="O4966" t="s">
        <v>11693</v>
      </c>
    </row>
    <row r="4967" spans="1:15">
      <c r="A4967" t="s">
        <v>25471</v>
      </c>
      <c r="B4967" t="s">
        <v>6455</v>
      </c>
      <c r="C4967" t="s">
        <v>22491</v>
      </c>
      <c r="D4967" t="s">
        <v>25472</v>
      </c>
      <c r="E4967" t="b">
        <v>0</v>
      </c>
      <c r="F4967" t="s">
        <v>11624</v>
      </c>
      <c r="G4967">
        <v>5.7867980000000001</v>
      </c>
      <c r="H4967">
        <v>-73.021373999999994</v>
      </c>
      <c r="L4967">
        <v>0</v>
      </c>
      <c r="M4967">
        <v>0</v>
      </c>
      <c r="N4967">
        <v>0</v>
      </c>
      <c r="O4967" t="s">
        <v>11898</v>
      </c>
    </row>
    <row r="4968" spans="1:15">
      <c r="A4968" t="s">
        <v>23128</v>
      </c>
      <c r="B4968" t="s">
        <v>6742</v>
      </c>
      <c r="C4968" t="s">
        <v>17235</v>
      </c>
      <c r="D4968" t="s">
        <v>25473</v>
      </c>
      <c r="E4968" t="b">
        <v>0</v>
      </c>
      <c r="F4968" t="s">
        <v>11622</v>
      </c>
      <c r="L4968">
        <v>3</v>
      </c>
      <c r="M4968">
        <v>5</v>
      </c>
      <c r="N4968">
        <v>16</v>
      </c>
    </row>
    <row r="4969" spans="1:15">
      <c r="A4969" t="s">
        <v>25474</v>
      </c>
      <c r="B4969" t="s">
        <v>13877</v>
      </c>
      <c r="C4969" t="s">
        <v>24522</v>
      </c>
      <c r="D4969" t="s">
        <v>25475</v>
      </c>
      <c r="E4969" t="b">
        <v>0</v>
      </c>
      <c r="F4969" t="s">
        <v>11610</v>
      </c>
      <c r="L4969">
        <v>0</v>
      </c>
      <c r="M4969">
        <v>0</v>
      </c>
      <c r="N4969">
        <v>0</v>
      </c>
    </row>
    <row r="4970" spans="1:15">
      <c r="A4970" t="s">
        <v>25476</v>
      </c>
      <c r="B4970" t="s">
        <v>13737</v>
      </c>
      <c r="C4970" t="s">
        <v>25477</v>
      </c>
      <c r="D4970" t="s">
        <v>25478</v>
      </c>
      <c r="E4970" t="b">
        <v>0</v>
      </c>
      <c r="F4970" t="s">
        <v>11610</v>
      </c>
      <c r="L4970">
        <v>0</v>
      </c>
      <c r="M4970">
        <v>0</v>
      </c>
      <c r="N4970">
        <v>0</v>
      </c>
    </row>
    <row r="4971" spans="1:15">
      <c r="A4971" t="s">
        <v>25479</v>
      </c>
      <c r="B4971" t="s">
        <v>6742</v>
      </c>
      <c r="C4971" t="s">
        <v>23128</v>
      </c>
      <c r="D4971" t="s">
        <v>25480</v>
      </c>
      <c r="E4971" t="b">
        <v>0</v>
      </c>
      <c r="F4971" t="s">
        <v>11622</v>
      </c>
      <c r="L4971">
        <v>1</v>
      </c>
      <c r="M4971">
        <v>3</v>
      </c>
      <c r="N4971">
        <v>12</v>
      </c>
    </row>
    <row r="4972" spans="1:15">
      <c r="A4972" t="s">
        <v>25481</v>
      </c>
      <c r="B4972" t="s">
        <v>367</v>
      </c>
      <c r="C4972" t="s">
        <v>25482</v>
      </c>
      <c r="D4972" t="s">
        <v>25483</v>
      </c>
      <c r="E4972" t="b">
        <v>0</v>
      </c>
      <c r="F4972" t="s">
        <v>11624</v>
      </c>
      <c r="G4972">
        <v>-7.9776800000000003</v>
      </c>
      <c r="H4972">
        <v>157.06399999999999</v>
      </c>
      <c r="I4972" t="s">
        <v>25484</v>
      </c>
      <c r="L4972">
        <v>0</v>
      </c>
      <c r="M4972">
        <v>0</v>
      </c>
      <c r="N4972">
        <v>0</v>
      </c>
      <c r="O4972" t="s">
        <v>13346</v>
      </c>
    </row>
    <row r="4973" spans="1:15">
      <c r="A4973" t="s">
        <v>25485</v>
      </c>
      <c r="B4973" t="s">
        <v>331</v>
      </c>
      <c r="C4973" t="s">
        <v>25486</v>
      </c>
      <c r="D4973" t="s">
        <v>25487</v>
      </c>
      <c r="E4973" t="b">
        <v>0</v>
      </c>
      <c r="F4973" t="s">
        <v>11610</v>
      </c>
      <c r="L4973">
        <v>0</v>
      </c>
      <c r="M4973">
        <v>0</v>
      </c>
      <c r="N4973">
        <v>0</v>
      </c>
    </row>
    <row r="4974" spans="1:15">
      <c r="A4974" t="s">
        <v>25488</v>
      </c>
      <c r="B4974" t="s">
        <v>6742</v>
      </c>
      <c r="C4974" t="s">
        <v>19458</v>
      </c>
      <c r="D4974" t="s">
        <v>25489</v>
      </c>
      <c r="E4974" t="b">
        <v>0</v>
      </c>
      <c r="F4974" t="s">
        <v>11610</v>
      </c>
      <c r="L4974">
        <v>0</v>
      </c>
      <c r="M4974">
        <v>0</v>
      </c>
      <c r="N4974">
        <v>0</v>
      </c>
    </row>
    <row r="4975" spans="1:15">
      <c r="A4975" t="s">
        <v>25490</v>
      </c>
      <c r="B4975" t="s">
        <v>11637</v>
      </c>
      <c r="C4975" t="s">
        <v>7239</v>
      </c>
      <c r="D4975" t="s">
        <v>25491</v>
      </c>
      <c r="E4975" t="b">
        <v>0</v>
      </c>
      <c r="F4975" t="s">
        <v>11610</v>
      </c>
      <c r="L4975">
        <v>0</v>
      </c>
      <c r="M4975">
        <v>0</v>
      </c>
      <c r="N4975">
        <v>0</v>
      </c>
    </row>
    <row r="4976" spans="1:15">
      <c r="A4976" t="s">
        <v>25492</v>
      </c>
      <c r="B4976" t="s">
        <v>21516</v>
      </c>
      <c r="C4976" t="s">
        <v>25109</v>
      </c>
      <c r="D4976" t="s">
        <v>25493</v>
      </c>
      <c r="E4976" t="b">
        <v>0</v>
      </c>
      <c r="F4976" t="s">
        <v>11610</v>
      </c>
      <c r="L4976">
        <v>0</v>
      </c>
      <c r="M4976">
        <v>0</v>
      </c>
      <c r="N4976">
        <v>0</v>
      </c>
    </row>
    <row r="4977" spans="1:15">
      <c r="A4977" t="s">
        <v>25494</v>
      </c>
      <c r="B4977" t="s">
        <v>6742</v>
      </c>
      <c r="C4977" t="s">
        <v>25495</v>
      </c>
      <c r="D4977" t="s">
        <v>25496</v>
      </c>
      <c r="E4977" t="b">
        <v>0</v>
      </c>
      <c r="F4977" t="s">
        <v>11624</v>
      </c>
      <c r="G4977">
        <v>10.1911</v>
      </c>
      <c r="H4977">
        <v>9.9475899999999999</v>
      </c>
      <c r="I4977" t="s">
        <v>25497</v>
      </c>
      <c r="L4977">
        <v>0</v>
      </c>
      <c r="M4977">
        <v>0</v>
      </c>
      <c r="N4977">
        <v>0</v>
      </c>
      <c r="O4977" t="s">
        <v>11693</v>
      </c>
    </row>
    <row r="4978" spans="1:15">
      <c r="A4978" t="s">
        <v>25498</v>
      </c>
      <c r="B4978" t="s">
        <v>367</v>
      </c>
      <c r="C4978" t="s">
        <v>25499</v>
      </c>
      <c r="D4978" t="s">
        <v>25500</v>
      </c>
      <c r="E4978" t="b">
        <v>0</v>
      </c>
      <c r="F4978" t="s">
        <v>11610</v>
      </c>
      <c r="L4978">
        <v>0</v>
      </c>
      <c r="M4978">
        <v>0</v>
      </c>
      <c r="N4978">
        <v>0</v>
      </c>
    </row>
    <row r="4979" spans="1:15">
      <c r="A4979" t="s">
        <v>25501</v>
      </c>
      <c r="B4979" t="s">
        <v>6742</v>
      </c>
      <c r="C4979" t="s">
        <v>25502</v>
      </c>
      <c r="D4979" t="s">
        <v>25503</v>
      </c>
      <c r="E4979" t="b">
        <v>0</v>
      </c>
      <c r="F4979" t="s">
        <v>11624</v>
      </c>
      <c r="G4979">
        <v>9.1124100000000006</v>
      </c>
      <c r="H4979">
        <v>13.4232</v>
      </c>
      <c r="I4979" t="s">
        <v>25504</v>
      </c>
      <c r="L4979">
        <v>0</v>
      </c>
      <c r="M4979">
        <v>0</v>
      </c>
      <c r="N4979">
        <v>0</v>
      </c>
      <c r="O4979" t="s">
        <v>11703</v>
      </c>
    </row>
    <row r="4980" spans="1:15">
      <c r="A4980" t="s">
        <v>25505</v>
      </c>
      <c r="B4980" t="s">
        <v>11607</v>
      </c>
      <c r="C4980" t="s">
        <v>25506</v>
      </c>
      <c r="D4980" t="s">
        <v>25507</v>
      </c>
      <c r="E4980" t="b">
        <v>0</v>
      </c>
      <c r="F4980" t="s">
        <v>11622</v>
      </c>
      <c r="L4980">
        <v>0</v>
      </c>
      <c r="M4980">
        <v>2</v>
      </c>
      <c r="N4980">
        <v>6</v>
      </c>
    </row>
    <row r="4981" spans="1:15">
      <c r="A4981" t="s">
        <v>25508</v>
      </c>
      <c r="B4981" t="s">
        <v>11644</v>
      </c>
      <c r="C4981" t="s">
        <v>24868</v>
      </c>
      <c r="D4981" t="s">
        <v>25509</v>
      </c>
      <c r="E4981" t="b">
        <v>0</v>
      </c>
      <c r="F4981" t="s">
        <v>11610</v>
      </c>
      <c r="L4981">
        <v>0</v>
      </c>
      <c r="M4981">
        <v>0</v>
      </c>
      <c r="N4981">
        <v>0</v>
      </c>
    </row>
    <row r="4982" spans="1:15">
      <c r="A4982" t="s">
        <v>25510</v>
      </c>
      <c r="B4982" t="s">
        <v>11644</v>
      </c>
      <c r="C4982" t="s">
        <v>25411</v>
      </c>
      <c r="D4982" t="s">
        <v>25511</v>
      </c>
      <c r="E4982" t="b">
        <v>0</v>
      </c>
      <c r="F4982" t="s">
        <v>11610</v>
      </c>
      <c r="L4982">
        <v>0</v>
      </c>
      <c r="M4982">
        <v>0</v>
      </c>
      <c r="N4982">
        <v>0</v>
      </c>
    </row>
    <row r="4983" spans="1:15">
      <c r="A4983" t="s">
        <v>3602</v>
      </c>
      <c r="B4983" t="s">
        <v>6742</v>
      </c>
      <c r="C4983" t="s">
        <v>25512</v>
      </c>
      <c r="D4983" t="s">
        <v>25513</v>
      </c>
      <c r="E4983" t="b">
        <v>0</v>
      </c>
      <c r="F4983" t="s">
        <v>11610</v>
      </c>
      <c r="L4983">
        <v>0</v>
      </c>
      <c r="M4983">
        <v>0</v>
      </c>
      <c r="N4983">
        <v>0</v>
      </c>
    </row>
    <row r="4984" spans="1:15">
      <c r="A4984" t="s">
        <v>7128</v>
      </c>
      <c r="B4984" t="s">
        <v>6742</v>
      </c>
      <c r="C4984" t="s">
        <v>25514</v>
      </c>
      <c r="D4984" t="s">
        <v>25515</v>
      </c>
      <c r="E4984" t="b">
        <v>0</v>
      </c>
      <c r="F4984" t="s">
        <v>11624</v>
      </c>
      <c r="G4984">
        <v>-0.91927000000000003</v>
      </c>
      <c r="H4984">
        <v>13.0046</v>
      </c>
      <c r="I4984" t="s">
        <v>7129</v>
      </c>
      <c r="L4984">
        <v>0</v>
      </c>
      <c r="M4984">
        <v>0</v>
      </c>
      <c r="N4984">
        <v>0</v>
      </c>
      <c r="O4984" t="s">
        <v>16915</v>
      </c>
    </row>
    <row r="4985" spans="1:15">
      <c r="A4985" t="s">
        <v>25516</v>
      </c>
      <c r="B4985" t="s">
        <v>367</v>
      </c>
      <c r="C4985" t="s">
        <v>17227</v>
      </c>
      <c r="D4985" t="s">
        <v>25517</v>
      </c>
      <c r="E4985" t="b">
        <v>0</v>
      </c>
      <c r="F4985" t="s">
        <v>11610</v>
      </c>
      <c r="L4985">
        <v>0</v>
      </c>
      <c r="M4985">
        <v>0</v>
      </c>
      <c r="N4985">
        <v>0</v>
      </c>
    </row>
    <row r="4986" spans="1:15">
      <c r="A4986" t="s">
        <v>25518</v>
      </c>
      <c r="B4986" t="s">
        <v>11607</v>
      </c>
      <c r="C4986" t="s">
        <v>13669</v>
      </c>
      <c r="D4986" t="s">
        <v>25519</v>
      </c>
      <c r="E4986" t="b">
        <v>0</v>
      </c>
      <c r="F4986" t="s">
        <v>11610</v>
      </c>
      <c r="L4986">
        <v>0</v>
      </c>
      <c r="M4986">
        <v>0</v>
      </c>
      <c r="N4986">
        <v>0</v>
      </c>
    </row>
    <row r="4987" spans="1:15">
      <c r="A4987" t="s">
        <v>25520</v>
      </c>
      <c r="B4987" t="s">
        <v>11637</v>
      </c>
      <c r="C4987" t="s">
        <v>24846</v>
      </c>
      <c r="D4987" t="s">
        <v>25521</v>
      </c>
      <c r="E4987" t="b">
        <v>0</v>
      </c>
      <c r="F4987" t="s">
        <v>11610</v>
      </c>
      <c r="L4987">
        <v>0</v>
      </c>
      <c r="M4987">
        <v>0</v>
      </c>
      <c r="N4987">
        <v>0</v>
      </c>
    </row>
    <row r="4988" spans="1:15">
      <c r="A4988" t="s">
        <v>25522</v>
      </c>
      <c r="B4988" t="s">
        <v>367</v>
      </c>
      <c r="C4988" t="s">
        <v>25523</v>
      </c>
      <c r="D4988" t="s">
        <v>25524</v>
      </c>
      <c r="E4988" t="b">
        <v>0</v>
      </c>
      <c r="F4988" t="s">
        <v>11624</v>
      </c>
      <c r="G4988">
        <v>-22.0947</v>
      </c>
      <c r="H4988">
        <v>166.53100000000001</v>
      </c>
      <c r="I4988" t="s">
        <v>25525</v>
      </c>
      <c r="L4988">
        <v>0</v>
      </c>
      <c r="M4988">
        <v>0</v>
      </c>
      <c r="N4988">
        <v>3</v>
      </c>
      <c r="O4988" t="s">
        <v>12624</v>
      </c>
    </row>
    <row r="4989" spans="1:15">
      <c r="A4989" t="s">
        <v>25526</v>
      </c>
      <c r="B4989" t="s">
        <v>11627</v>
      </c>
      <c r="C4989" t="s">
        <v>11627</v>
      </c>
      <c r="D4989" t="s">
        <v>25527</v>
      </c>
      <c r="E4989" t="b">
        <v>1</v>
      </c>
      <c r="F4989" t="s">
        <v>11624</v>
      </c>
      <c r="L4989">
        <v>0</v>
      </c>
      <c r="M4989">
        <v>0</v>
      </c>
      <c r="N4989">
        <v>0</v>
      </c>
      <c r="O4989" t="s">
        <v>11625</v>
      </c>
    </row>
    <row r="4990" spans="1:15">
      <c r="A4990" t="s">
        <v>25528</v>
      </c>
      <c r="B4990" t="s">
        <v>11607</v>
      </c>
      <c r="C4990" t="s">
        <v>25529</v>
      </c>
      <c r="D4990" t="s">
        <v>25530</v>
      </c>
      <c r="E4990" t="b">
        <v>0</v>
      </c>
      <c r="F4990" t="s">
        <v>11610</v>
      </c>
      <c r="L4990">
        <v>0</v>
      </c>
      <c r="M4990">
        <v>0</v>
      </c>
      <c r="N4990">
        <v>0</v>
      </c>
    </row>
    <row r="4991" spans="1:15">
      <c r="A4991" t="s">
        <v>19837</v>
      </c>
      <c r="B4991" t="s">
        <v>11644</v>
      </c>
      <c r="C4991" t="s">
        <v>25531</v>
      </c>
      <c r="D4991" t="s">
        <v>25532</v>
      </c>
      <c r="E4991" t="b">
        <v>0</v>
      </c>
      <c r="F4991" t="s">
        <v>11624</v>
      </c>
      <c r="G4991">
        <v>27.458490000000001</v>
      </c>
      <c r="H4991">
        <v>86.756990000000002</v>
      </c>
      <c r="I4991" t="s">
        <v>25533</v>
      </c>
      <c r="L4991">
        <v>0</v>
      </c>
      <c r="M4991">
        <v>0</v>
      </c>
      <c r="N4991">
        <v>4</v>
      </c>
      <c r="O4991" t="s">
        <v>15007</v>
      </c>
    </row>
    <row r="4992" spans="1:15">
      <c r="A4992" t="s">
        <v>25534</v>
      </c>
      <c r="B4992" t="s">
        <v>367</v>
      </c>
      <c r="C4992" t="s">
        <v>25535</v>
      </c>
      <c r="D4992" t="s">
        <v>25536</v>
      </c>
      <c r="E4992" t="b">
        <v>0</v>
      </c>
      <c r="F4992" t="s">
        <v>11610</v>
      </c>
      <c r="L4992">
        <v>0</v>
      </c>
      <c r="M4992">
        <v>0</v>
      </c>
      <c r="N4992">
        <v>0</v>
      </c>
    </row>
    <row r="4993" spans="1:15">
      <c r="A4993" t="s">
        <v>7790</v>
      </c>
      <c r="B4993" t="s">
        <v>11615</v>
      </c>
      <c r="C4993" t="s">
        <v>11956</v>
      </c>
      <c r="D4993" t="s">
        <v>25537</v>
      </c>
      <c r="E4993" t="b">
        <v>0</v>
      </c>
      <c r="F4993" t="s">
        <v>11610</v>
      </c>
      <c r="L4993">
        <v>0</v>
      </c>
      <c r="M4993">
        <v>0</v>
      </c>
      <c r="N4993">
        <v>0</v>
      </c>
    </row>
    <row r="4994" spans="1:15">
      <c r="A4994" t="s">
        <v>25538</v>
      </c>
      <c r="B4994" t="s">
        <v>367</v>
      </c>
      <c r="C4994" t="s">
        <v>25539</v>
      </c>
      <c r="D4994" t="s">
        <v>25540</v>
      </c>
      <c r="E4994" t="b">
        <v>0</v>
      </c>
      <c r="F4994" t="s">
        <v>11624</v>
      </c>
      <c r="G4994">
        <v>5.9348299999999998</v>
      </c>
      <c r="H4994">
        <v>117.419</v>
      </c>
      <c r="I4994" t="s">
        <v>25541</v>
      </c>
      <c r="L4994">
        <v>0</v>
      </c>
      <c r="M4994">
        <v>0</v>
      </c>
      <c r="N4994">
        <v>0</v>
      </c>
      <c r="O4994" t="s">
        <v>11672</v>
      </c>
    </row>
    <row r="4995" spans="1:15">
      <c r="A4995" t="s">
        <v>25542</v>
      </c>
      <c r="B4995" t="s">
        <v>11615</v>
      </c>
      <c r="C4995" t="s">
        <v>25543</v>
      </c>
      <c r="D4995" t="s">
        <v>25544</v>
      </c>
      <c r="E4995" t="b">
        <v>0</v>
      </c>
      <c r="F4995" t="s">
        <v>11624</v>
      </c>
      <c r="G4995">
        <v>-5.8200200000000004</v>
      </c>
      <c r="H4995">
        <v>145.655</v>
      </c>
      <c r="I4995" t="s">
        <v>25545</v>
      </c>
      <c r="L4995">
        <v>0</v>
      </c>
      <c r="M4995">
        <v>0</v>
      </c>
      <c r="N4995">
        <v>0</v>
      </c>
      <c r="O4995" t="s">
        <v>11660</v>
      </c>
    </row>
    <row r="4996" spans="1:15">
      <c r="A4996" t="s">
        <v>25539</v>
      </c>
      <c r="B4996" t="s">
        <v>367</v>
      </c>
      <c r="C4996" t="s">
        <v>25546</v>
      </c>
      <c r="D4996" t="s">
        <v>25547</v>
      </c>
      <c r="E4996" t="b">
        <v>0</v>
      </c>
      <c r="F4996" t="s">
        <v>11622</v>
      </c>
      <c r="L4996">
        <v>0</v>
      </c>
      <c r="M4996">
        <v>2</v>
      </c>
      <c r="N4996">
        <v>4</v>
      </c>
    </row>
    <row r="4997" spans="1:15">
      <c r="A4997" t="s">
        <v>25548</v>
      </c>
      <c r="B4997" t="s">
        <v>11615</v>
      </c>
      <c r="C4997" t="s">
        <v>16000</v>
      </c>
      <c r="D4997" t="s">
        <v>25549</v>
      </c>
      <c r="E4997" t="b">
        <v>0</v>
      </c>
      <c r="F4997" t="s">
        <v>11624</v>
      </c>
      <c r="G4997">
        <v>-5.5531499999999996</v>
      </c>
      <c r="H4997">
        <v>146.08199999999999</v>
      </c>
      <c r="I4997" t="s">
        <v>25550</v>
      </c>
      <c r="L4997">
        <v>0</v>
      </c>
      <c r="M4997">
        <v>0</v>
      </c>
      <c r="N4997">
        <v>0</v>
      </c>
      <c r="O4997" t="s">
        <v>11660</v>
      </c>
    </row>
    <row r="4998" spans="1:15">
      <c r="A4998" t="s">
        <v>25551</v>
      </c>
      <c r="B4998" t="s">
        <v>11615</v>
      </c>
      <c r="C4998" t="s">
        <v>15421</v>
      </c>
      <c r="D4998" t="s">
        <v>25552</v>
      </c>
      <c r="E4998" t="b">
        <v>0</v>
      </c>
      <c r="F4998" t="s">
        <v>11622</v>
      </c>
      <c r="L4998">
        <v>2</v>
      </c>
      <c r="M4998">
        <v>5</v>
      </c>
      <c r="N4998">
        <v>0</v>
      </c>
    </row>
    <row r="4999" spans="1:15">
      <c r="A4999" t="s">
        <v>25553</v>
      </c>
      <c r="D4999" t="s">
        <v>25554</v>
      </c>
      <c r="E4999" t="b">
        <v>0</v>
      </c>
      <c r="F4999" t="s">
        <v>11624</v>
      </c>
      <c r="G4999">
        <v>-5.41439</v>
      </c>
      <c r="H4999">
        <v>142.47499999999999</v>
      </c>
      <c r="I4999" t="s">
        <v>25555</v>
      </c>
      <c r="L4999">
        <v>0</v>
      </c>
      <c r="M4999">
        <v>0</v>
      </c>
      <c r="N4999">
        <v>0</v>
      </c>
      <c r="O4999" t="s">
        <v>11660</v>
      </c>
    </row>
    <row r="5000" spans="1:15">
      <c r="A5000" t="s">
        <v>25556</v>
      </c>
      <c r="B5000" t="s">
        <v>11637</v>
      </c>
      <c r="C5000" t="s">
        <v>1274</v>
      </c>
      <c r="D5000" t="s">
        <v>25557</v>
      </c>
      <c r="E5000" t="b">
        <v>0</v>
      </c>
      <c r="F5000" t="s">
        <v>11624</v>
      </c>
      <c r="G5000">
        <v>22.306000000000001</v>
      </c>
      <c r="H5000">
        <v>73.186999999999998</v>
      </c>
      <c r="I5000" t="s">
        <v>25558</v>
      </c>
      <c r="L5000">
        <v>0</v>
      </c>
      <c r="M5000">
        <v>0</v>
      </c>
      <c r="N5000">
        <v>0</v>
      </c>
      <c r="O5000" t="s">
        <v>11630</v>
      </c>
    </row>
    <row r="5001" spans="1:15">
      <c r="A5001" t="s">
        <v>25559</v>
      </c>
      <c r="B5001" t="s">
        <v>11644</v>
      </c>
      <c r="C5001" t="s">
        <v>16783</v>
      </c>
      <c r="D5001" t="s">
        <v>25560</v>
      </c>
      <c r="E5001" t="b">
        <v>0</v>
      </c>
      <c r="F5001" t="s">
        <v>11624</v>
      </c>
      <c r="G5001">
        <v>26.981300000000001</v>
      </c>
      <c r="H5001">
        <v>87.332800000000006</v>
      </c>
      <c r="I5001" t="s">
        <v>25561</v>
      </c>
      <c r="L5001">
        <v>0</v>
      </c>
      <c r="M5001">
        <v>0</v>
      </c>
      <c r="N5001">
        <v>1</v>
      </c>
      <c r="O5001" t="s">
        <v>15007</v>
      </c>
    </row>
    <row r="5002" spans="1:15">
      <c r="A5002" t="s">
        <v>25562</v>
      </c>
      <c r="B5002" t="s">
        <v>11644</v>
      </c>
      <c r="C5002" t="s">
        <v>25563</v>
      </c>
      <c r="D5002" t="s">
        <v>25564</v>
      </c>
      <c r="E5002" t="b">
        <v>0</v>
      </c>
      <c r="F5002" t="s">
        <v>11624</v>
      </c>
      <c r="G5002">
        <v>42.729199999999999</v>
      </c>
      <c r="H5002">
        <v>76.838200000000001</v>
      </c>
      <c r="I5002" t="s">
        <v>25565</v>
      </c>
      <c r="L5002">
        <v>0</v>
      </c>
      <c r="M5002">
        <v>0</v>
      </c>
      <c r="N5002">
        <v>3</v>
      </c>
      <c r="O5002" t="s">
        <v>25566</v>
      </c>
    </row>
    <row r="5003" spans="1:15">
      <c r="A5003" t="s">
        <v>25567</v>
      </c>
      <c r="B5003" t="s">
        <v>12241</v>
      </c>
      <c r="C5003" t="s">
        <v>15040</v>
      </c>
      <c r="D5003" t="s">
        <v>25568</v>
      </c>
      <c r="E5003" t="b">
        <v>0</v>
      </c>
      <c r="F5003" t="s">
        <v>11624</v>
      </c>
      <c r="G5003">
        <v>10.504300000000001</v>
      </c>
      <c r="H5003">
        <v>8.19543</v>
      </c>
      <c r="I5003" t="s">
        <v>25569</v>
      </c>
      <c r="L5003">
        <v>0</v>
      </c>
      <c r="M5003">
        <v>0</v>
      </c>
      <c r="N5003">
        <v>0</v>
      </c>
      <c r="O5003" t="s">
        <v>11693</v>
      </c>
    </row>
    <row r="5004" spans="1:15">
      <c r="A5004" t="s">
        <v>25570</v>
      </c>
      <c r="B5004" t="s">
        <v>367</v>
      </c>
      <c r="C5004" t="s">
        <v>25571</v>
      </c>
      <c r="D5004" t="s">
        <v>25572</v>
      </c>
      <c r="E5004" t="b">
        <v>0</v>
      </c>
      <c r="F5004" t="s">
        <v>11610</v>
      </c>
      <c r="L5004">
        <v>0</v>
      </c>
      <c r="M5004">
        <v>0</v>
      </c>
      <c r="N5004">
        <v>0</v>
      </c>
    </row>
    <row r="5005" spans="1:15">
      <c r="A5005" t="s">
        <v>25573</v>
      </c>
      <c r="B5005" t="s">
        <v>11729</v>
      </c>
      <c r="C5005" t="s">
        <v>16669</v>
      </c>
      <c r="D5005" t="s">
        <v>25574</v>
      </c>
      <c r="E5005" t="b">
        <v>0</v>
      </c>
      <c r="F5005" t="s">
        <v>11610</v>
      </c>
      <c r="L5005">
        <v>0</v>
      </c>
      <c r="M5005">
        <v>0</v>
      </c>
      <c r="N5005">
        <v>0</v>
      </c>
    </row>
    <row r="5006" spans="1:15">
      <c r="A5006" t="s">
        <v>25575</v>
      </c>
      <c r="B5006" t="s">
        <v>5126</v>
      </c>
      <c r="C5006" t="s">
        <v>25576</v>
      </c>
      <c r="D5006" t="s">
        <v>25577</v>
      </c>
      <c r="E5006" t="b">
        <v>0</v>
      </c>
      <c r="F5006" t="s">
        <v>11610</v>
      </c>
      <c r="L5006">
        <v>0</v>
      </c>
      <c r="M5006">
        <v>0</v>
      </c>
      <c r="N5006">
        <v>0</v>
      </c>
    </row>
    <row r="5007" spans="1:15">
      <c r="A5007" t="s">
        <v>25578</v>
      </c>
      <c r="B5007" t="s">
        <v>11644</v>
      </c>
      <c r="C5007" t="s">
        <v>25579</v>
      </c>
      <c r="D5007" t="s">
        <v>25580</v>
      </c>
      <c r="E5007" t="b">
        <v>0</v>
      </c>
      <c r="F5007" t="s">
        <v>11610</v>
      </c>
      <c r="L5007">
        <v>0</v>
      </c>
      <c r="M5007">
        <v>0</v>
      </c>
      <c r="N5007">
        <v>0</v>
      </c>
    </row>
    <row r="5008" spans="1:15">
      <c r="A5008" t="s">
        <v>17133</v>
      </c>
      <c r="B5008" t="s">
        <v>367</v>
      </c>
      <c r="C5008" t="s">
        <v>25581</v>
      </c>
      <c r="D5008" t="s">
        <v>25582</v>
      </c>
      <c r="E5008" t="b">
        <v>0</v>
      </c>
      <c r="F5008" t="s">
        <v>11624</v>
      </c>
      <c r="G5008">
        <v>17.3748</v>
      </c>
      <c r="H5008">
        <v>122.188</v>
      </c>
      <c r="I5008" t="s">
        <v>25583</v>
      </c>
      <c r="L5008">
        <v>0</v>
      </c>
      <c r="M5008">
        <v>0</v>
      </c>
      <c r="N5008">
        <v>11</v>
      </c>
      <c r="O5008" t="s">
        <v>11749</v>
      </c>
    </row>
    <row r="5009" spans="1:15">
      <c r="A5009" t="s">
        <v>25584</v>
      </c>
      <c r="B5009" t="s">
        <v>11637</v>
      </c>
      <c r="C5009" t="s">
        <v>25585</v>
      </c>
      <c r="D5009" t="s">
        <v>25586</v>
      </c>
      <c r="E5009" t="b">
        <v>0</v>
      </c>
      <c r="F5009" t="s">
        <v>11610</v>
      </c>
      <c r="L5009">
        <v>0</v>
      </c>
      <c r="M5009">
        <v>0</v>
      </c>
      <c r="N5009">
        <v>0</v>
      </c>
    </row>
    <row r="5010" spans="1:15">
      <c r="A5010" t="s">
        <v>25587</v>
      </c>
      <c r="B5010" t="s">
        <v>11644</v>
      </c>
      <c r="C5010" t="s">
        <v>22427</v>
      </c>
      <c r="D5010" t="s">
        <v>25588</v>
      </c>
      <c r="E5010" t="b">
        <v>0</v>
      </c>
      <c r="F5010" t="s">
        <v>11624</v>
      </c>
      <c r="G5010">
        <v>28.172999999999998</v>
      </c>
      <c r="H5010">
        <v>84.435000000000002</v>
      </c>
      <c r="I5010" t="s">
        <v>25589</v>
      </c>
      <c r="L5010">
        <v>0</v>
      </c>
      <c r="M5010">
        <v>0</v>
      </c>
      <c r="N5010">
        <v>0</v>
      </c>
      <c r="O5010" t="s">
        <v>15007</v>
      </c>
    </row>
    <row r="5011" spans="1:15">
      <c r="A5011" t="s">
        <v>25590</v>
      </c>
      <c r="B5011" t="s">
        <v>12751</v>
      </c>
      <c r="C5011" t="s">
        <v>25591</v>
      </c>
      <c r="D5011" t="s">
        <v>25592</v>
      </c>
      <c r="E5011" t="b">
        <v>0</v>
      </c>
      <c r="F5011" t="s">
        <v>11622</v>
      </c>
      <c r="I5011" t="s">
        <v>25593</v>
      </c>
      <c r="L5011">
        <v>0</v>
      </c>
      <c r="M5011">
        <v>2</v>
      </c>
      <c r="N5011">
        <v>0</v>
      </c>
      <c r="O5011" t="s">
        <v>11883</v>
      </c>
    </row>
    <row r="5012" spans="1:15">
      <c r="A5012" t="s">
        <v>20922</v>
      </c>
      <c r="B5012" t="s">
        <v>367</v>
      </c>
      <c r="C5012" t="s">
        <v>25594</v>
      </c>
      <c r="D5012" t="s">
        <v>25595</v>
      </c>
      <c r="E5012" t="b">
        <v>0</v>
      </c>
      <c r="F5012" t="s">
        <v>11624</v>
      </c>
      <c r="G5012">
        <v>-3.3708100000000001</v>
      </c>
      <c r="H5012">
        <v>119.871</v>
      </c>
      <c r="I5012" t="s">
        <v>25596</v>
      </c>
      <c r="L5012">
        <v>0</v>
      </c>
      <c r="M5012">
        <v>0</v>
      </c>
      <c r="N5012">
        <v>2</v>
      </c>
      <c r="O5012" t="s">
        <v>11768</v>
      </c>
    </row>
    <row r="5013" spans="1:15">
      <c r="A5013" t="s">
        <v>25597</v>
      </c>
      <c r="B5013" t="s">
        <v>25598</v>
      </c>
      <c r="C5013" t="s">
        <v>25598</v>
      </c>
      <c r="D5013" t="s">
        <v>25599</v>
      </c>
      <c r="E5013" t="b">
        <v>0</v>
      </c>
      <c r="F5013" t="s">
        <v>11624</v>
      </c>
      <c r="G5013">
        <v>-1.3894599999999999</v>
      </c>
      <c r="H5013">
        <v>130.92500000000001</v>
      </c>
      <c r="I5013" t="s">
        <v>25600</v>
      </c>
      <c r="L5013">
        <v>0</v>
      </c>
      <c r="M5013">
        <v>0</v>
      </c>
      <c r="N5013">
        <v>0</v>
      </c>
      <c r="O5013" t="s">
        <v>11768</v>
      </c>
    </row>
    <row r="5014" spans="1:15">
      <c r="A5014" t="s">
        <v>25601</v>
      </c>
      <c r="B5014" t="s">
        <v>6742</v>
      </c>
      <c r="C5014" t="s">
        <v>15674</v>
      </c>
      <c r="D5014" t="s">
        <v>25602</v>
      </c>
      <c r="E5014" t="b">
        <v>0</v>
      </c>
      <c r="F5014" t="s">
        <v>11610</v>
      </c>
      <c r="L5014">
        <v>0</v>
      </c>
      <c r="M5014">
        <v>0</v>
      </c>
      <c r="N5014">
        <v>0</v>
      </c>
    </row>
    <row r="5015" spans="1:15">
      <c r="A5015" t="s">
        <v>25603</v>
      </c>
      <c r="B5015" t="s">
        <v>11607</v>
      </c>
      <c r="C5015" t="s">
        <v>23918</v>
      </c>
      <c r="D5015" t="s">
        <v>25604</v>
      </c>
      <c r="E5015" t="b">
        <v>0</v>
      </c>
      <c r="F5015" t="s">
        <v>11610</v>
      </c>
      <c r="L5015">
        <v>0</v>
      </c>
      <c r="M5015">
        <v>0</v>
      </c>
      <c r="N5015">
        <v>0</v>
      </c>
    </row>
    <row r="5016" spans="1:15">
      <c r="A5016" t="s">
        <v>2266</v>
      </c>
      <c r="B5016" t="s">
        <v>11844</v>
      </c>
      <c r="C5016" t="s">
        <v>1119</v>
      </c>
      <c r="D5016" t="s">
        <v>25605</v>
      </c>
      <c r="E5016" t="b">
        <v>0</v>
      </c>
      <c r="F5016" t="s">
        <v>11624</v>
      </c>
      <c r="G5016">
        <v>19.0534</v>
      </c>
      <c r="H5016">
        <v>82.488100000000003</v>
      </c>
      <c r="I5016" t="s">
        <v>2267</v>
      </c>
      <c r="L5016">
        <v>0</v>
      </c>
      <c r="M5016">
        <v>0</v>
      </c>
      <c r="N5016">
        <v>4</v>
      </c>
      <c r="O5016" t="s">
        <v>11630</v>
      </c>
    </row>
    <row r="5017" spans="1:15">
      <c r="A5017" t="s">
        <v>25606</v>
      </c>
      <c r="B5017" t="s">
        <v>6742</v>
      </c>
      <c r="C5017" t="s">
        <v>22845</v>
      </c>
      <c r="D5017" t="s">
        <v>25607</v>
      </c>
      <c r="E5017" t="b">
        <v>0</v>
      </c>
      <c r="F5017" t="s">
        <v>11624</v>
      </c>
      <c r="G5017">
        <v>-4.0962899999999998</v>
      </c>
      <c r="H5017">
        <v>39.322000000000003</v>
      </c>
      <c r="I5017" t="s">
        <v>25608</v>
      </c>
      <c r="L5017">
        <v>0</v>
      </c>
      <c r="M5017">
        <v>0</v>
      </c>
      <c r="N5017">
        <v>0</v>
      </c>
      <c r="O5017" t="s">
        <v>14933</v>
      </c>
    </row>
    <row r="5018" spans="1:15">
      <c r="A5018" t="s">
        <v>25609</v>
      </c>
      <c r="B5018" t="s">
        <v>367</v>
      </c>
      <c r="C5018" t="s">
        <v>18370</v>
      </c>
      <c r="D5018" t="s">
        <v>25610</v>
      </c>
      <c r="E5018" t="b">
        <v>0</v>
      </c>
      <c r="F5018" t="s">
        <v>11624</v>
      </c>
      <c r="G5018">
        <v>-2.7385899999999999</v>
      </c>
      <c r="H5018">
        <v>134.39099999999999</v>
      </c>
      <c r="I5018" t="s">
        <v>25611</v>
      </c>
      <c r="L5018">
        <v>0</v>
      </c>
      <c r="M5018">
        <v>0</v>
      </c>
      <c r="N5018">
        <v>0</v>
      </c>
      <c r="O5018" t="s">
        <v>11768</v>
      </c>
    </row>
    <row r="5019" spans="1:15">
      <c r="A5019" t="s">
        <v>25612</v>
      </c>
      <c r="B5019" t="s">
        <v>367</v>
      </c>
      <c r="C5019" t="s">
        <v>25613</v>
      </c>
      <c r="D5019" t="s">
        <v>25614</v>
      </c>
      <c r="E5019" t="b">
        <v>0</v>
      </c>
      <c r="F5019" t="s">
        <v>11624</v>
      </c>
      <c r="G5019">
        <v>-1.5740799999999999</v>
      </c>
      <c r="H5019">
        <v>114.979</v>
      </c>
      <c r="I5019" t="s">
        <v>25615</v>
      </c>
      <c r="L5019">
        <v>0</v>
      </c>
      <c r="M5019">
        <v>0</v>
      </c>
      <c r="N5019">
        <v>2</v>
      </c>
      <c r="O5019" t="s">
        <v>11768</v>
      </c>
    </row>
    <row r="5020" spans="1:15">
      <c r="A5020" t="s">
        <v>25616</v>
      </c>
      <c r="B5020" t="s">
        <v>367</v>
      </c>
      <c r="C5020" t="s">
        <v>25612</v>
      </c>
      <c r="D5020" t="s">
        <v>25617</v>
      </c>
      <c r="E5020" t="b">
        <v>0</v>
      </c>
      <c r="F5020" t="s">
        <v>11610</v>
      </c>
      <c r="L5020">
        <v>0</v>
      </c>
      <c r="M5020">
        <v>0</v>
      </c>
      <c r="N5020">
        <v>0</v>
      </c>
    </row>
    <row r="5021" spans="1:15">
      <c r="A5021" t="s">
        <v>17556</v>
      </c>
      <c r="B5021" t="s">
        <v>367</v>
      </c>
      <c r="C5021" t="s">
        <v>17087</v>
      </c>
      <c r="D5021" t="s">
        <v>25618</v>
      </c>
      <c r="E5021" t="b">
        <v>0</v>
      </c>
      <c r="F5021" t="s">
        <v>11624</v>
      </c>
      <c r="G5021">
        <v>-0.85277000000000003</v>
      </c>
      <c r="H5021">
        <v>115.392</v>
      </c>
      <c r="I5021" t="s">
        <v>25619</v>
      </c>
      <c r="L5021">
        <v>0</v>
      </c>
      <c r="M5021">
        <v>0</v>
      </c>
      <c r="N5021">
        <v>2</v>
      </c>
      <c r="O5021" t="s">
        <v>11768</v>
      </c>
    </row>
    <row r="5022" spans="1:15">
      <c r="A5022" t="s">
        <v>25620</v>
      </c>
      <c r="B5022" t="s">
        <v>367</v>
      </c>
      <c r="C5022" t="s">
        <v>25621</v>
      </c>
      <c r="D5022" t="s">
        <v>25622</v>
      </c>
      <c r="E5022" t="b">
        <v>0</v>
      </c>
      <c r="F5022" t="s">
        <v>11610</v>
      </c>
      <c r="L5022">
        <v>0</v>
      </c>
      <c r="M5022">
        <v>0</v>
      </c>
      <c r="N5022">
        <v>0</v>
      </c>
    </row>
    <row r="5023" spans="1:15">
      <c r="A5023" t="s">
        <v>25623</v>
      </c>
      <c r="B5023" t="s">
        <v>367</v>
      </c>
      <c r="C5023" t="s">
        <v>17087</v>
      </c>
      <c r="D5023" t="s">
        <v>25624</v>
      </c>
      <c r="E5023" t="b">
        <v>0</v>
      </c>
      <c r="F5023" t="s">
        <v>11624</v>
      </c>
      <c r="G5023">
        <v>-1.9551400000000001</v>
      </c>
      <c r="H5023">
        <v>115.578</v>
      </c>
      <c r="I5023" t="s">
        <v>25625</v>
      </c>
      <c r="L5023">
        <v>0</v>
      </c>
      <c r="M5023">
        <v>0</v>
      </c>
      <c r="N5023">
        <v>0</v>
      </c>
      <c r="O5023" t="s">
        <v>11768</v>
      </c>
    </row>
    <row r="5024" spans="1:15">
      <c r="A5024" t="s">
        <v>25626</v>
      </c>
      <c r="B5024" t="s">
        <v>367</v>
      </c>
      <c r="C5024" t="s">
        <v>13408</v>
      </c>
      <c r="D5024" t="s">
        <v>25627</v>
      </c>
      <c r="E5024" t="b">
        <v>0</v>
      </c>
      <c r="F5024" t="s">
        <v>11610</v>
      </c>
      <c r="L5024">
        <v>0</v>
      </c>
      <c r="M5024">
        <v>0</v>
      </c>
      <c r="N5024">
        <v>0</v>
      </c>
    </row>
    <row r="5025" spans="1:15">
      <c r="A5025" t="s">
        <v>25628</v>
      </c>
      <c r="B5025" t="s">
        <v>367</v>
      </c>
      <c r="C5025" t="s">
        <v>17635</v>
      </c>
      <c r="D5025" t="s">
        <v>25629</v>
      </c>
      <c r="E5025" t="b">
        <v>0</v>
      </c>
      <c r="F5025" t="s">
        <v>11610</v>
      </c>
      <c r="L5025">
        <v>0</v>
      </c>
      <c r="M5025">
        <v>0</v>
      </c>
      <c r="N5025">
        <v>0</v>
      </c>
    </row>
    <row r="5026" spans="1:15">
      <c r="A5026" t="s">
        <v>25630</v>
      </c>
      <c r="B5026" t="s">
        <v>367</v>
      </c>
      <c r="C5026" t="s">
        <v>25631</v>
      </c>
      <c r="D5026" t="s">
        <v>25632</v>
      </c>
      <c r="E5026" t="b">
        <v>0</v>
      </c>
      <c r="F5026" t="s">
        <v>11610</v>
      </c>
      <c r="L5026">
        <v>0</v>
      </c>
      <c r="M5026">
        <v>0</v>
      </c>
      <c r="N5026">
        <v>0</v>
      </c>
    </row>
    <row r="5027" spans="1:15">
      <c r="A5027" t="s">
        <v>25633</v>
      </c>
      <c r="B5027" t="s">
        <v>367</v>
      </c>
      <c r="C5027" t="s">
        <v>18816</v>
      </c>
      <c r="D5027" t="s">
        <v>25634</v>
      </c>
      <c r="E5027" t="b">
        <v>0</v>
      </c>
      <c r="F5027" t="s">
        <v>11622</v>
      </c>
      <c r="L5027">
        <v>4</v>
      </c>
      <c r="M5027">
        <v>15</v>
      </c>
      <c r="N5027">
        <v>25</v>
      </c>
    </row>
    <row r="5028" spans="1:15">
      <c r="A5028" t="s">
        <v>25635</v>
      </c>
      <c r="B5028" t="s">
        <v>11981</v>
      </c>
      <c r="C5028" t="s">
        <v>17827</v>
      </c>
      <c r="D5028" t="s">
        <v>25636</v>
      </c>
      <c r="E5028" t="b">
        <v>0</v>
      </c>
      <c r="F5028" t="s">
        <v>11624</v>
      </c>
      <c r="G5028">
        <v>52.125100000000003</v>
      </c>
      <c r="H5028">
        <v>4.9113300000000004</v>
      </c>
      <c r="I5028" t="s">
        <v>25637</v>
      </c>
      <c r="L5028">
        <v>0</v>
      </c>
      <c r="M5028">
        <v>0</v>
      </c>
      <c r="N5028">
        <v>0</v>
      </c>
      <c r="O5028" t="s">
        <v>25638</v>
      </c>
    </row>
    <row r="5029" spans="1:15">
      <c r="A5029" t="s">
        <v>4736</v>
      </c>
      <c r="B5029" t="s">
        <v>11637</v>
      </c>
      <c r="C5029" t="s">
        <v>12228</v>
      </c>
      <c r="D5029" t="s">
        <v>25639</v>
      </c>
      <c r="E5029" t="b">
        <v>0</v>
      </c>
      <c r="F5029" t="s">
        <v>11624</v>
      </c>
      <c r="G5029">
        <v>52</v>
      </c>
      <c r="H5029">
        <v>5</v>
      </c>
      <c r="I5029" t="s">
        <v>4737</v>
      </c>
      <c r="L5029">
        <v>0</v>
      </c>
      <c r="M5029">
        <v>0</v>
      </c>
      <c r="N5029">
        <v>12</v>
      </c>
      <c r="O5029" t="s">
        <v>25640</v>
      </c>
    </row>
    <row r="5030" spans="1:15">
      <c r="A5030" t="s">
        <v>18075</v>
      </c>
      <c r="B5030" t="s">
        <v>11637</v>
      </c>
      <c r="C5030" t="s">
        <v>12228</v>
      </c>
      <c r="D5030" t="s">
        <v>25641</v>
      </c>
      <c r="E5030" t="b">
        <v>0</v>
      </c>
      <c r="F5030" t="s">
        <v>11622</v>
      </c>
      <c r="L5030">
        <v>0</v>
      </c>
      <c r="M5030">
        <v>3</v>
      </c>
      <c r="N5030">
        <v>1</v>
      </c>
    </row>
    <row r="5031" spans="1:15">
      <c r="A5031" t="s">
        <v>25642</v>
      </c>
      <c r="B5031" t="s">
        <v>13450</v>
      </c>
      <c r="C5031" t="s">
        <v>13450</v>
      </c>
      <c r="D5031" t="s">
        <v>25643</v>
      </c>
      <c r="E5031" t="b">
        <v>0</v>
      </c>
      <c r="F5031" t="s">
        <v>11622</v>
      </c>
      <c r="L5031">
        <v>0</v>
      </c>
      <c r="M5031">
        <v>1</v>
      </c>
      <c r="N5031">
        <v>0</v>
      </c>
    </row>
    <row r="5032" spans="1:15">
      <c r="A5032" t="s">
        <v>17827</v>
      </c>
      <c r="B5032" t="s">
        <v>11981</v>
      </c>
      <c r="C5032" t="s">
        <v>13026</v>
      </c>
      <c r="D5032" t="s">
        <v>25644</v>
      </c>
      <c r="E5032" t="b">
        <v>0</v>
      </c>
      <c r="F5032" t="s">
        <v>11622</v>
      </c>
      <c r="L5032">
        <v>1</v>
      </c>
      <c r="M5032">
        <v>3</v>
      </c>
      <c r="N5032">
        <v>0</v>
      </c>
    </row>
    <row r="5033" spans="1:15">
      <c r="A5033" t="s">
        <v>25645</v>
      </c>
      <c r="B5033" t="s">
        <v>10597</v>
      </c>
      <c r="C5033" t="s">
        <v>25646</v>
      </c>
      <c r="D5033" t="s">
        <v>25647</v>
      </c>
      <c r="E5033" t="b">
        <v>0</v>
      </c>
      <c r="F5033" t="s">
        <v>11610</v>
      </c>
      <c r="L5033">
        <v>0</v>
      </c>
      <c r="M5033">
        <v>0</v>
      </c>
      <c r="N5033">
        <v>0</v>
      </c>
    </row>
    <row r="5034" spans="1:15">
      <c r="A5034" t="s">
        <v>25648</v>
      </c>
      <c r="B5034" t="s">
        <v>13276</v>
      </c>
      <c r="C5034" t="s">
        <v>16746</v>
      </c>
      <c r="D5034" t="s">
        <v>25649</v>
      </c>
      <c r="E5034" t="b">
        <v>0</v>
      </c>
      <c r="F5034" t="s">
        <v>11624</v>
      </c>
      <c r="G5034">
        <v>10.923400000000001</v>
      </c>
      <c r="H5034">
        <v>-5.8587199999999999</v>
      </c>
      <c r="I5034" t="s">
        <v>25650</v>
      </c>
      <c r="L5034">
        <v>0</v>
      </c>
      <c r="M5034">
        <v>0</v>
      </c>
      <c r="N5034">
        <v>0</v>
      </c>
      <c r="O5034" t="s">
        <v>13528</v>
      </c>
    </row>
    <row r="5035" spans="1:15">
      <c r="A5035" t="s">
        <v>19020</v>
      </c>
      <c r="B5035" t="s">
        <v>13276</v>
      </c>
      <c r="C5035" t="s">
        <v>25651</v>
      </c>
      <c r="D5035" t="s">
        <v>25652</v>
      </c>
      <c r="E5035" t="b">
        <v>0</v>
      </c>
      <c r="F5035" t="s">
        <v>11622</v>
      </c>
      <c r="L5035">
        <v>4</v>
      </c>
      <c r="M5035">
        <v>8</v>
      </c>
      <c r="N5035">
        <v>16</v>
      </c>
    </row>
    <row r="5036" spans="1:15">
      <c r="A5036" t="s">
        <v>25653</v>
      </c>
      <c r="B5036" t="s">
        <v>13276</v>
      </c>
      <c r="C5036" t="s">
        <v>19020</v>
      </c>
      <c r="D5036" t="s">
        <v>25654</v>
      </c>
      <c r="E5036" t="b">
        <v>0</v>
      </c>
      <c r="F5036" t="s">
        <v>11622</v>
      </c>
      <c r="L5036">
        <v>2</v>
      </c>
      <c r="M5036">
        <v>6</v>
      </c>
      <c r="N5036">
        <v>4</v>
      </c>
    </row>
    <row r="5037" spans="1:15">
      <c r="A5037" t="s">
        <v>16746</v>
      </c>
      <c r="B5037" t="s">
        <v>13276</v>
      </c>
      <c r="C5037" t="s">
        <v>25655</v>
      </c>
      <c r="D5037" t="s">
        <v>25656</v>
      </c>
      <c r="E5037" t="b">
        <v>0</v>
      </c>
      <c r="F5037" t="s">
        <v>11622</v>
      </c>
      <c r="L5037">
        <v>0</v>
      </c>
      <c r="M5037">
        <v>4</v>
      </c>
      <c r="N5037">
        <v>2</v>
      </c>
    </row>
    <row r="5038" spans="1:15">
      <c r="A5038" t="s">
        <v>25657</v>
      </c>
      <c r="B5038" t="s">
        <v>6742</v>
      </c>
      <c r="C5038" t="s">
        <v>24790</v>
      </c>
      <c r="D5038" t="s">
        <v>25658</v>
      </c>
      <c r="E5038" t="b">
        <v>0</v>
      </c>
      <c r="F5038" t="s">
        <v>11624</v>
      </c>
      <c r="G5038">
        <v>8.5503099999999996</v>
      </c>
      <c r="H5038">
        <v>13.4544</v>
      </c>
      <c r="I5038" t="s">
        <v>25659</v>
      </c>
      <c r="L5038">
        <v>0</v>
      </c>
      <c r="M5038">
        <v>0</v>
      </c>
      <c r="N5038">
        <v>0</v>
      </c>
      <c r="O5038" t="s">
        <v>11703</v>
      </c>
    </row>
    <row r="5039" spans="1:15">
      <c r="A5039" t="s">
        <v>25660</v>
      </c>
      <c r="B5039" t="s">
        <v>11607</v>
      </c>
      <c r="C5039" t="s">
        <v>25661</v>
      </c>
      <c r="D5039" t="s">
        <v>25662</v>
      </c>
      <c r="E5039" t="b">
        <v>0</v>
      </c>
      <c r="F5039" t="s">
        <v>11610</v>
      </c>
      <c r="L5039">
        <v>0</v>
      </c>
      <c r="M5039">
        <v>0</v>
      </c>
      <c r="N5039">
        <v>0</v>
      </c>
    </row>
    <row r="5040" spans="1:15">
      <c r="A5040" t="s">
        <v>25663</v>
      </c>
      <c r="B5040" t="s">
        <v>11637</v>
      </c>
      <c r="C5040" t="s">
        <v>15431</v>
      </c>
      <c r="D5040" t="s">
        <v>25664</v>
      </c>
      <c r="E5040" t="b">
        <v>0</v>
      </c>
      <c r="F5040" t="s">
        <v>11610</v>
      </c>
      <c r="L5040">
        <v>0</v>
      </c>
      <c r="M5040">
        <v>0</v>
      </c>
      <c r="N5040">
        <v>0</v>
      </c>
    </row>
    <row r="5041" spans="1:15">
      <c r="A5041" t="s">
        <v>25665</v>
      </c>
      <c r="B5041" t="s">
        <v>13450</v>
      </c>
      <c r="C5041" t="s">
        <v>25666</v>
      </c>
      <c r="D5041" t="s">
        <v>25667</v>
      </c>
      <c r="E5041" t="b">
        <v>0</v>
      </c>
      <c r="F5041" t="s">
        <v>11624</v>
      </c>
      <c r="G5041">
        <v>-3.0130680000000001</v>
      </c>
      <c r="H5041">
        <v>138.20035799999999</v>
      </c>
      <c r="L5041">
        <v>0</v>
      </c>
      <c r="M5041">
        <v>0</v>
      </c>
      <c r="N5041">
        <v>0</v>
      </c>
      <c r="O5041" t="s">
        <v>11768</v>
      </c>
    </row>
    <row r="5042" spans="1:15">
      <c r="A5042" t="s">
        <v>25668</v>
      </c>
      <c r="B5042" t="s">
        <v>15365</v>
      </c>
      <c r="C5042" t="s">
        <v>21641</v>
      </c>
      <c r="D5042" t="s">
        <v>25669</v>
      </c>
      <c r="E5042" t="b">
        <v>0</v>
      </c>
      <c r="F5042" t="s">
        <v>11624</v>
      </c>
      <c r="G5042">
        <v>-3.2183199999999998</v>
      </c>
      <c r="H5042">
        <v>137.964</v>
      </c>
      <c r="I5042" t="s">
        <v>25670</v>
      </c>
      <c r="L5042">
        <v>0</v>
      </c>
      <c r="M5042">
        <v>0</v>
      </c>
      <c r="N5042">
        <v>2</v>
      </c>
      <c r="O5042" t="s">
        <v>11768</v>
      </c>
    </row>
    <row r="5043" spans="1:15">
      <c r="A5043" t="s">
        <v>25666</v>
      </c>
      <c r="B5043" t="s">
        <v>13450</v>
      </c>
      <c r="C5043" t="s">
        <v>13450</v>
      </c>
      <c r="D5043" t="s">
        <v>25671</v>
      </c>
      <c r="E5043" t="b">
        <v>0</v>
      </c>
      <c r="F5043" t="s">
        <v>11622</v>
      </c>
      <c r="L5043">
        <v>0</v>
      </c>
      <c r="M5043">
        <v>1</v>
      </c>
      <c r="N5043">
        <v>0</v>
      </c>
    </row>
    <row r="5044" spans="1:15">
      <c r="A5044" t="s">
        <v>25672</v>
      </c>
      <c r="B5044" t="s">
        <v>9071</v>
      </c>
      <c r="C5044" t="s">
        <v>25673</v>
      </c>
      <c r="D5044" t="s">
        <v>25674</v>
      </c>
      <c r="E5044" t="b">
        <v>0</v>
      </c>
      <c r="F5044" t="s">
        <v>11610</v>
      </c>
      <c r="L5044">
        <v>0</v>
      </c>
      <c r="M5044">
        <v>0</v>
      </c>
      <c r="N5044">
        <v>0</v>
      </c>
    </row>
    <row r="5045" spans="1:15">
      <c r="A5045" t="s">
        <v>25675</v>
      </c>
      <c r="B5045" t="s">
        <v>11607</v>
      </c>
      <c r="C5045" t="s">
        <v>25676</v>
      </c>
      <c r="D5045" t="s">
        <v>25677</v>
      </c>
      <c r="E5045" t="b">
        <v>0</v>
      </c>
      <c r="F5045" t="s">
        <v>11624</v>
      </c>
      <c r="G5045">
        <v>12.803000000000001</v>
      </c>
      <c r="H5045">
        <v>11.3367</v>
      </c>
      <c r="I5045" t="s">
        <v>25678</v>
      </c>
      <c r="L5045">
        <v>0</v>
      </c>
      <c r="M5045">
        <v>0</v>
      </c>
      <c r="N5045">
        <v>0</v>
      </c>
      <c r="O5045" t="s">
        <v>11693</v>
      </c>
    </row>
    <row r="5046" spans="1:15">
      <c r="A5046" t="s">
        <v>25679</v>
      </c>
      <c r="B5046" t="s">
        <v>367</v>
      </c>
      <c r="C5046" t="s">
        <v>14502</v>
      </c>
      <c r="D5046" t="s">
        <v>25680</v>
      </c>
      <c r="E5046" t="b">
        <v>0</v>
      </c>
      <c r="F5046" t="s">
        <v>11624</v>
      </c>
      <c r="G5046">
        <v>-6.4575199999999997</v>
      </c>
      <c r="H5046">
        <v>146.84100000000001</v>
      </c>
      <c r="I5046" t="s">
        <v>25681</v>
      </c>
      <c r="L5046">
        <v>0</v>
      </c>
      <c r="M5046">
        <v>0</v>
      </c>
      <c r="N5046">
        <v>0</v>
      </c>
      <c r="O5046" t="s">
        <v>11660</v>
      </c>
    </row>
    <row r="5047" spans="1:15">
      <c r="A5047" t="s">
        <v>17782</v>
      </c>
      <c r="B5047" t="s">
        <v>6742</v>
      </c>
      <c r="C5047" t="s">
        <v>25682</v>
      </c>
      <c r="D5047" t="s">
        <v>25683</v>
      </c>
      <c r="E5047" t="b">
        <v>0</v>
      </c>
      <c r="F5047" t="s">
        <v>11624</v>
      </c>
      <c r="G5047">
        <v>7.7071199999999997</v>
      </c>
      <c r="H5047">
        <v>-0.43010999999999999</v>
      </c>
      <c r="I5047" t="s">
        <v>25684</v>
      </c>
      <c r="L5047">
        <v>0</v>
      </c>
      <c r="M5047">
        <v>0</v>
      </c>
      <c r="N5047">
        <v>3</v>
      </c>
      <c r="O5047" t="s">
        <v>11985</v>
      </c>
    </row>
    <row r="5048" spans="1:15">
      <c r="A5048" t="s">
        <v>25685</v>
      </c>
      <c r="B5048" t="s">
        <v>367</v>
      </c>
      <c r="C5048" t="s">
        <v>14563</v>
      </c>
      <c r="D5048" t="s">
        <v>25686</v>
      </c>
      <c r="E5048" t="b">
        <v>0</v>
      </c>
      <c r="F5048" t="s">
        <v>11610</v>
      </c>
      <c r="L5048">
        <v>0</v>
      </c>
      <c r="M5048">
        <v>0</v>
      </c>
      <c r="N5048">
        <v>0</v>
      </c>
    </row>
    <row r="5049" spans="1:15">
      <c r="A5049" t="s">
        <v>25687</v>
      </c>
      <c r="B5049" t="s">
        <v>6742</v>
      </c>
      <c r="C5049" t="s">
        <v>19380</v>
      </c>
      <c r="D5049" t="s">
        <v>25688</v>
      </c>
      <c r="E5049" t="b">
        <v>0</v>
      </c>
      <c r="F5049" t="s">
        <v>11610</v>
      </c>
      <c r="L5049">
        <v>0</v>
      </c>
      <c r="M5049">
        <v>0</v>
      </c>
      <c r="N5049">
        <v>3</v>
      </c>
    </row>
    <row r="5050" spans="1:15">
      <c r="A5050" t="s">
        <v>25689</v>
      </c>
      <c r="B5050" t="s">
        <v>13276</v>
      </c>
      <c r="C5050" t="s">
        <v>15103</v>
      </c>
      <c r="D5050" t="s">
        <v>25690</v>
      </c>
      <c r="E5050" t="b">
        <v>0</v>
      </c>
      <c r="F5050" t="s">
        <v>11610</v>
      </c>
      <c r="L5050">
        <v>0</v>
      </c>
      <c r="M5050">
        <v>0</v>
      </c>
      <c r="N5050">
        <v>0</v>
      </c>
    </row>
    <row r="5051" spans="1:15">
      <c r="A5051" t="s">
        <v>25691</v>
      </c>
      <c r="B5051" t="s">
        <v>10597</v>
      </c>
      <c r="C5051" t="s">
        <v>25692</v>
      </c>
      <c r="D5051" t="s">
        <v>25693</v>
      </c>
      <c r="E5051" t="b">
        <v>0</v>
      </c>
      <c r="F5051" t="s">
        <v>11624</v>
      </c>
      <c r="G5051">
        <v>-16.596</v>
      </c>
      <c r="H5051">
        <v>145.38800000000001</v>
      </c>
      <c r="I5051" t="s">
        <v>25694</v>
      </c>
      <c r="L5051">
        <v>0</v>
      </c>
      <c r="M5051">
        <v>0</v>
      </c>
      <c r="N5051">
        <v>3</v>
      </c>
      <c r="O5051" t="s">
        <v>12107</v>
      </c>
    </row>
    <row r="5052" spans="1:15">
      <c r="A5052" t="s">
        <v>25695</v>
      </c>
      <c r="B5052" t="s">
        <v>17023</v>
      </c>
      <c r="C5052" t="s">
        <v>25696</v>
      </c>
      <c r="D5052" t="s">
        <v>25697</v>
      </c>
      <c r="E5052" t="b">
        <v>0</v>
      </c>
      <c r="F5052" t="s">
        <v>11624</v>
      </c>
      <c r="G5052">
        <v>-17.186530000000001</v>
      </c>
      <c r="H5052">
        <v>122.52306</v>
      </c>
      <c r="I5052" t="s">
        <v>25698</v>
      </c>
      <c r="L5052">
        <v>0</v>
      </c>
      <c r="M5052">
        <v>0</v>
      </c>
      <c r="N5052">
        <v>0</v>
      </c>
      <c r="O5052" t="s">
        <v>12107</v>
      </c>
    </row>
    <row r="5053" spans="1:15">
      <c r="A5053" t="s">
        <v>25699</v>
      </c>
      <c r="B5053" t="s">
        <v>10597</v>
      </c>
      <c r="C5053" t="s">
        <v>25700</v>
      </c>
      <c r="D5053" t="s">
        <v>25701</v>
      </c>
      <c r="E5053" t="b">
        <v>0</v>
      </c>
      <c r="F5053" t="s">
        <v>11624</v>
      </c>
      <c r="G5053">
        <v>-30.846900000000002</v>
      </c>
      <c r="H5053">
        <v>152.602</v>
      </c>
      <c r="I5053" t="s">
        <v>25702</v>
      </c>
      <c r="L5053">
        <v>0</v>
      </c>
      <c r="M5053">
        <v>0</v>
      </c>
      <c r="N5053">
        <v>0</v>
      </c>
      <c r="O5053" t="s">
        <v>12107</v>
      </c>
    </row>
    <row r="5054" spans="1:15">
      <c r="A5054" t="s">
        <v>25703</v>
      </c>
      <c r="B5054" t="s">
        <v>6742</v>
      </c>
      <c r="C5054" t="s">
        <v>25704</v>
      </c>
      <c r="D5054" t="s">
        <v>25705</v>
      </c>
      <c r="E5054" t="b">
        <v>0</v>
      </c>
      <c r="F5054" t="s">
        <v>11624</v>
      </c>
      <c r="G5054">
        <v>10.834199999999999</v>
      </c>
      <c r="H5054">
        <v>-3.59179</v>
      </c>
      <c r="I5054" t="s">
        <v>25706</v>
      </c>
      <c r="L5054">
        <v>0</v>
      </c>
      <c r="M5054">
        <v>0</v>
      </c>
      <c r="N5054">
        <v>1</v>
      </c>
      <c r="O5054" t="s">
        <v>19305</v>
      </c>
    </row>
    <row r="5055" spans="1:15">
      <c r="A5055" t="s">
        <v>25707</v>
      </c>
      <c r="B5055" t="s">
        <v>11607</v>
      </c>
      <c r="C5055" t="s">
        <v>25708</v>
      </c>
      <c r="D5055" t="s">
        <v>25709</v>
      </c>
      <c r="E5055" t="b">
        <v>0</v>
      </c>
      <c r="F5055" t="s">
        <v>11624</v>
      </c>
      <c r="G5055">
        <v>10.029999999999999</v>
      </c>
      <c r="H5055">
        <v>9.0649999999999995</v>
      </c>
      <c r="L5055">
        <v>0</v>
      </c>
      <c r="M5055">
        <v>0</v>
      </c>
      <c r="N5055">
        <v>0</v>
      </c>
      <c r="O5055" t="s">
        <v>11693</v>
      </c>
    </row>
    <row r="5056" spans="1:15">
      <c r="A5056" t="s">
        <v>25710</v>
      </c>
      <c r="B5056" t="s">
        <v>6742</v>
      </c>
      <c r="C5056" t="s">
        <v>25711</v>
      </c>
      <c r="D5056" t="s">
        <v>25712</v>
      </c>
      <c r="E5056" t="b">
        <v>0</v>
      </c>
      <c r="F5056" t="s">
        <v>11610</v>
      </c>
      <c r="L5056">
        <v>0</v>
      </c>
      <c r="M5056">
        <v>0</v>
      </c>
      <c r="N5056">
        <v>0</v>
      </c>
    </row>
    <row r="5057" spans="1:15">
      <c r="A5057" t="s">
        <v>25713</v>
      </c>
      <c r="B5057" t="s">
        <v>10597</v>
      </c>
      <c r="C5057" t="s">
        <v>10597</v>
      </c>
      <c r="D5057" t="s">
        <v>25714</v>
      </c>
      <c r="E5057" t="b">
        <v>0</v>
      </c>
      <c r="F5057" t="s">
        <v>11624</v>
      </c>
      <c r="G5057">
        <v>-17.451599999999999</v>
      </c>
      <c r="H5057">
        <v>145.54400000000001</v>
      </c>
      <c r="I5057" t="s">
        <v>25715</v>
      </c>
      <c r="L5057">
        <v>0</v>
      </c>
      <c r="M5057">
        <v>0</v>
      </c>
      <c r="N5057">
        <v>5</v>
      </c>
      <c r="O5057" t="s">
        <v>12107</v>
      </c>
    </row>
    <row r="5058" spans="1:15">
      <c r="A5058" t="s">
        <v>25716</v>
      </c>
      <c r="B5058" t="s">
        <v>10597</v>
      </c>
      <c r="C5058" t="s">
        <v>25713</v>
      </c>
      <c r="D5058" t="s">
        <v>25717</v>
      </c>
      <c r="E5058" t="b">
        <v>0</v>
      </c>
      <c r="F5058" t="s">
        <v>11610</v>
      </c>
      <c r="L5058">
        <v>0</v>
      </c>
      <c r="M5058">
        <v>0</v>
      </c>
      <c r="N5058">
        <v>0</v>
      </c>
    </row>
    <row r="5059" spans="1:15">
      <c r="A5059" t="s">
        <v>25718</v>
      </c>
      <c r="B5059" t="s">
        <v>6742</v>
      </c>
      <c r="C5059" t="s">
        <v>4927</v>
      </c>
      <c r="D5059" t="s">
        <v>25719</v>
      </c>
      <c r="E5059" t="b">
        <v>0</v>
      </c>
      <c r="F5059" t="s">
        <v>11610</v>
      </c>
      <c r="L5059">
        <v>0</v>
      </c>
      <c r="M5059">
        <v>0</v>
      </c>
      <c r="N5059">
        <v>0</v>
      </c>
    </row>
    <row r="5060" spans="1:15">
      <c r="A5060" t="s">
        <v>25720</v>
      </c>
      <c r="B5060" t="s">
        <v>17023</v>
      </c>
      <c r="C5060" t="s">
        <v>25721</v>
      </c>
      <c r="D5060" t="s">
        <v>25722</v>
      </c>
      <c r="E5060" t="b">
        <v>0</v>
      </c>
      <c r="F5060" t="s">
        <v>11624</v>
      </c>
      <c r="G5060">
        <v>-17.905999999999999</v>
      </c>
      <c r="H5060">
        <v>122.408</v>
      </c>
      <c r="I5060" t="s">
        <v>25723</v>
      </c>
      <c r="L5060">
        <v>0</v>
      </c>
      <c r="M5060">
        <v>0</v>
      </c>
      <c r="N5060">
        <v>0</v>
      </c>
      <c r="O5060" t="s">
        <v>12107</v>
      </c>
    </row>
    <row r="5061" spans="1:15">
      <c r="A5061" t="s">
        <v>24887</v>
      </c>
      <c r="B5061" t="s">
        <v>13276</v>
      </c>
      <c r="C5061" t="s">
        <v>16407</v>
      </c>
      <c r="D5061" t="s">
        <v>25724</v>
      </c>
      <c r="E5061" t="b">
        <v>0</v>
      </c>
      <c r="F5061" t="s">
        <v>11624</v>
      </c>
      <c r="G5061">
        <v>10.4536</v>
      </c>
      <c r="H5061">
        <v>-4.7200699999999998</v>
      </c>
      <c r="I5061" t="s">
        <v>25725</v>
      </c>
      <c r="L5061">
        <v>0</v>
      </c>
      <c r="M5061">
        <v>0</v>
      </c>
      <c r="N5061">
        <v>3</v>
      </c>
      <c r="O5061" t="s">
        <v>21276</v>
      </c>
    </row>
    <row r="5062" spans="1:15">
      <c r="A5062" t="s">
        <v>25726</v>
      </c>
      <c r="B5062" t="s">
        <v>6742</v>
      </c>
      <c r="C5062" t="s">
        <v>25727</v>
      </c>
      <c r="D5062" t="s">
        <v>25728</v>
      </c>
      <c r="E5062" t="b">
        <v>0</v>
      </c>
      <c r="F5062" t="s">
        <v>11624</v>
      </c>
      <c r="G5062">
        <v>9.2667099999999998</v>
      </c>
      <c r="H5062">
        <v>11.388400000000001</v>
      </c>
      <c r="I5062" t="s">
        <v>25729</v>
      </c>
      <c r="L5062">
        <v>0</v>
      </c>
      <c r="M5062">
        <v>0</v>
      </c>
      <c r="N5062">
        <v>3</v>
      </c>
      <c r="O5062" t="s">
        <v>11693</v>
      </c>
    </row>
    <row r="5063" spans="1:15">
      <c r="A5063" t="s">
        <v>25730</v>
      </c>
      <c r="B5063" t="s">
        <v>11644</v>
      </c>
      <c r="C5063" t="s">
        <v>23907</v>
      </c>
      <c r="D5063" t="s">
        <v>25731</v>
      </c>
      <c r="E5063" t="b">
        <v>0</v>
      </c>
      <c r="F5063" t="s">
        <v>11624</v>
      </c>
      <c r="G5063">
        <v>27.785499999999999</v>
      </c>
      <c r="H5063">
        <v>91.373999999999995</v>
      </c>
      <c r="I5063" t="s">
        <v>25732</v>
      </c>
      <c r="L5063">
        <v>0</v>
      </c>
      <c r="M5063">
        <v>0</v>
      </c>
      <c r="N5063">
        <v>1</v>
      </c>
      <c r="O5063" t="s">
        <v>19608</v>
      </c>
    </row>
    <row r="5064" spans="1:15">
      <c r="A5064" t="s">
        <v>25733</v>
      </c>
      <c r="B5064" t="s">
        <v>11637</v>
      </c>
      <c r="C5064" t="s">
        <v>25734</v>
      </c>
      <c r="D5064" t="s">
        <v>25735</v>
      </c>
      <c r="E5064" t="b">
        <v>0</v>
      </c>
      <c r="F5064" t="s">
        <v>11610</v>
      </c>
      <c r="L5064">
        <v>0</v>
      </c>
      <c r="M5064">
        <v>0</v>
      </c>
      <c r="N5064">
        <v>4</v>
      </c>
    </row>
    <row r="5065" spans="1:15">
      <c r="A5065" t="s">
        <v>25736</v>
      </c>
      <c r="B5065" t="s">
        <v>6742</v>
      </c>
      <c r="C5065" t="s">
        <v>16333</v>
      </c>
      <c r="D5065" t="s">
        <v>25737</v>
      </c>
      <c r="E5065" t="b">
        <v>0</v>
      </c>
      <c r="F5065" t="s">
        <v>11610</v>
      </c>
      <c r="L5065">
        <v>0</v>
      </c>
      <c r="M5065">
        <v>0</v>
      </c>
      <c r="N5065">
        <v>0</v>
      </c>
    </row>
    <row r="5066" spans="1:15">
      <c r="A5066" t="s">
        <v>25738</v>
      </c>
      <c r="B5066" t="s">
        <v>6742</v>
      </c>
      <c r="C5066" t="s">
        <v>16461</v>
      </c>
      <c r="D5066" t="s">
        <v>25739</v>
      </c>
      <c r="E5066" t="b">
        <v>0</v>
      </c>
      <c r="F5066" t="s">
        <v>11624</v>
      </c>
      <c r="G5066">
        <v>2.2419500000000001</v>
      </c>
      <c r="H5066">
        <v>19.002199999999998</v>
      </c>
      <c r="I5066" t="s">
        <v>25740</v>
      </c>
      <c r="L5066">
        <v>0</v>
      </c>
      <c r="M5066">
        <v>0</v>
      </c>
      <c r="N5066">
        <v>4</v>
      </c>
      <c r="O5066" t="s">
        <v>14825</v>
      </c>
    </row>
    <row r="5067" spans="1:15">
      <c r="A5067" t="s">
        <v>25741</v>
      </c>
      <c r="B5067" t="s">
        <v>5058</v>
      </c>
      <c r="C5067" t="s">
        <v>18397</v>
      </c>
      <c r="D5067" t="s">
        <v>25742</v>
      </c>
      <c r="E5067" t="b">
        <v>0</v>
      </c>
      <c r="F5067" t="s">
        <v>11624</v>
      </c>
      <c r="G5067">
        <v>24.9754</v>
      </c>
      <c r="H5067">
        <v>112.32599999999999</v>
      </c>
      <c r="I5067" t="s">
        <v>25743</v>
      </c>
      <c r="L5067">
        <v>0</v>
      </c>
      <c r="M5067">
        <v>0</v>
      </c>
      <c r="N5067">
        <v>0</v>
      </c>
      <c r="O5067" t="s">
        <v>11905</v>
      </c>
    </row>
    <row r="5068" spans="1:15">
      <c r="A5068" t="s">
        <v>25744</v>
      </c>
      <c r="B5068" t="s">
        <v>11615</v>
      </c>
      <c r="C5068" t="s">
        <v>24348</v>
      </c>
      <c r="D5068" t="s">
        <v>25745</v>
      </c>
      <c r="E5068" t="b">
        <v>0</v>
      </c>
      <c r="F5068" t="s">
        <v>11610</v>
      </c>
      <c r="L5068">
        <v>0</v>
      </c>
      <c r="M5068">
        <v>0</v>
      </c>
      <c r="N5068">
        <v>0</v>
      </c>
    </row>
    <row r="5069" spans="1:15">
      <c r="A5069" t="s">
        <v>25746</v>
      </c>
      <c r="B5069" t="s">
        <v>12311</v>
      </c>
      <c r="C5069" t="s">
        <v>13232</v>
      </c>
      <c r="D5069" t="s">
        <v>25747</v>
      </c>
      <c r="E5069" t="b">
        <v>0</v>
      </c>
      <c r="F5069" t="s">
        <v>11610</v>
      </c>
      <c r="L5069">
        <v>0</v>
      </c>
      <c r="M5069">
        <v>0</v>
      </c>
      <c r="N5069">
        <v>0</v>
      </c>
    </row>
    <row r="5070" spans="1:15">
      <c r="A5070" t="s">
        <v>25748</v>
      </c>
      <c r="B5070" t="s">
        <v>11637</v>
      </c>
      <c r="C5070" t="s">
        <v>14469</v>
      </c>
      <c r="D5070" t="s">
        <v>25749</v>
      </c>
      <c r="E5070" t="b">
        <v>0</v>
      </c>
      <c r="F5070" t="s">
        <v>11610</v>
      </c>
      <c r="L5070">
        <v>0</v>
      </c>
      <c r="M5070">
        <v>0</v>
      </c>
      <c r="N5070">
        <v>0</v>
      </c>
    </row>
    <row r="5071" spans="1:15">
      <c r="A5071" t="s">
        <v>25750</v>
      </c>
      <c r="B5071" t="s">
        <v>11644</v>
      </c>
      <c r="C5071" t="s">
        <v>25751</v>
      </c>
      <c r="D5071" t="s">
        <v>25752</v>
      </c>
      <c r="E5071" t="b">
        <v>0</v>
      </c>
      <c r="F5071" t="s">
        <v>11610</v>
      </c>
      <c r="L5071">
        <v>0</v>
      </c>
      <c r="M5071">
        <v>0</v>
      </c>
      <c r="N5071">
        <v>0</v>
      </c>
    </row>
    <row r="5072" spans="1:15">
      <c r="A5072" t="s">
        <v>25753</v>
      </c>
      <c r="B5072" t="s">
        <v>6742</v>
      </c>
      <c r="C5072" t="s">
        <v>25754</v>
      </c>
      <c r="D5072" t="s">
        <v>25755</v>
      </c>
      <c r="E5072" t="b">
        <v>0</v>
      </c>
      <c r="F5072" t="s">
        <v>11624</v>
      </c>
      <c r="G5072">
        <v>6.8900499999999996</v>
      </c>
      <c r="H5072">
        <v>10.763299999999999</v>
      </c>
      <c r="I5072" t="s">
        <v>25756</v>
      </c>
      <c r="L5072">
        <v>0</v>
      </c>
      <c r="M5072">
        <v>0</v>
      </c>
      <c r="N5072">
        <v>0</v>
      </c>
      <c r="O5072" t="s">
        <v>11802</v>
      </c>
    </row>
    <row r="5073" spans="1:15">
      <c r="A5073" t="s">
        <v>22770</v>
      </c>
      <c r="B5073" t="s">
        <v>11644</v>
      </c>
      <c r="C5073" t="s">
        <v>19893</v>
      </c>
      <c r="D5073" t="s">
        <v>25757</v>
      </c>
      <c r="E5073" t="b">
        <v>0</v>
      </c>
      <c r="F5073" t="s">
        <v>11622</v>
      </c>
      <c r="L5073">
        <v>1</v>
      </c>
      <c r="M5073">
        <v>6</v>
      </c>
      <c r="N5073">
        <v>5</v>
      </c>
    </row>
    <row r="5074" spans="1:15">
      <c r="A5074" t="s">
        <v>25758</v>
      </c>
      <c r="B5074" t="s">
        <v>11644</v>
      </c>
      <c r="C5074" t="s">
        <v>25759</v>
      </c>
      <c r="D5074" t="s">
        <v>25760</v>
      </c>
      <c r="E5074" t="b">
        <v>0</v>
      </c>
      <c r="F5074" t="s">
        <v>11624</v>
      </c>
      <c r="G5074">
        <v>27.410786000000002</v>
      </c>
      <c r="H5074">
        <v>89.581603999999999</v>
      </c>
      <c r="I5074" t="s">
        <v>25761</v>
      </c>
      <c r="L5074">
        <v>0</v>
      </c>
      <c r="M5074">
        <v>0</v>
      </c>
      <c r="N5074">
        <v>3</v>
      </c>
      <c r="O5074" t="s">
        <v>25762</v>
      </c>
    </row>
    <row r="5075" spans="1:15">
      <c r="A5075" t="s">
        <v>25763</v>
      </c>
      <c r="B5075" t="s">
        <v>25764</v>
      </c>
      <c r="C5075" t="s">
        <v>25764</v>
      </c>
      <c r="D5075" t="s">
        <v>25765</v>
      </c>
      <c r="E5075" t="b">
        <v>0</v>
      </c>
      <c r="F5075" t="s">
        <v>11610</v>
      </c>
      <c r="G5075">
        <v>-8.5142059999999997</v>
      </c>
      <c r="H5075">
        <v>-39.397888000000002</v>
      </c>
      <c r="L5075">
        <v>0</v>
      </c>
      <c r="M5075">
        <v>0</v>
      </c>
      <c r="N5075">
        <v>0</v>
      </c>
      <c r="O5075" t="s">
        <v>11969</v>
      </c>
    </row>
    <row r="5076" spans="1:15">
      <c r="A5076" t="s">
        <v>25766</v>
      </c>
      <c r="B5076" t="s">
        <v>11607</v>
      </c>
      <c r="C5076" t="s">
        <v>25767</v>
      </c>
      <c r="D5076" t="s">
        <v>25768</v>
      </c>
      <c r="E5076" t="b">
        <v>0</v>
      </c>
      <c r="F5076" t="s">
        <v>11610</v>
      </c>
      <c r="L5076">
        <v>0</v>
      </c>
      <c r="M5076">
        <v>0</v>
      </c>
      <c r="N5076">
        <v>0</v>
      </c>
    </row>
    <row r="5077" spans="1:15">
      <c r="A5077" t="s">
        <v>25769</v>
      </c>
      <c r="B5077" t="s">
        <v>11637</v>
      </c>
      <c r="C5077" t="s">
        <v>15135</v>
      </c>
      <c r="D5077" t="s">
        <v>25770</v>
      </c>
      <c r="E5077" t="b">
        <v>0</v>
      </c>
      <c r="F5077" t="s">
        <v>11610</v>
      </c>
      <c r="L5077">
        <v>0</v>
      </c>
      <c r="M5077">
        <v>0</v>
      </c>
      <c r="N5077">
        <v>0</v>
      </c>
    </row>
    <row r="5078" spans="1:15">
      <c r="A5078" t="s">
        <v>25771</v>
      </c>
      <c r="B5078" t="s">
        <v>11644</v>
      </c>
      <c r="C5078" t="s">
        <v>1298</v>
      </c>
      <c r="D5078" t="s">
        <v>25772</v>
      </c>
      <c r="E5078" t="b">
        <v>0</v>
      </c>
      <c r="F5078" t="s">
        <v>11610</v>
      </c>
      <c r="L5078">
        <v>0</v>
      </c>
      <c r="M5078">
        <v>0</v>
      </c>
      <c r="N5078">
        <v>0</v>
      </c>
    </row>
    <row r="5079" spans="1:15">
      <c r="A5079" t="s">
        <v>25773</v>
      </c>
      <c r="B5079" t="s">
        <v>12738</v>
      </c>
      <c r="C5079" t="s">
        <v>2093</v>
      </c>
      <c r="D5079" t="s">
        <v>25774</v>
      </c>
      <c r="E5079" t="b">
        <v>0</v>
      </c>
      <c r="F5079" t="s">
        <v>11610</v>
      </c>
      <c r="L5079">
        <v>0</v>
      </c>
      <c r="M5079">
        <v>0</v>
      </c>
      <c r="N5079">
        <v>0</v>
      </c>
    </row>
    <row r="5080" spans="1:15">
      <c r="A5080" t="s">
        <v>25775</v>
      </c>
      <c r="B5080" t="s">
        <v>13276</v>
      </c>
      <c r="C5080" t="s">
        <v>16746</v>
      </c>
      <c r="D5080" t="s">
        <v>25776</v>
      </c>
      <c r="E5080" t="b">
        <v>0</v>
      </c>
      <c r="F5080" t="s">
        <v>11624</v>
      </c>
      <c r="G5080">
        <v>11.3796</v>
      </c>
      <c r="H5080">
        <v>-4.9203599999999996</v>
      </c>
      <c r="I5080" t="s">
        <v>25777</v>
      </c>
      <c r="L5080">
        <v>0</v>
      </c>
      <c r="M5080">
        <v>0</v>
      </c>
      <c r="N5080">
        <v>2</v>
      </c>
      <c r="O5080" t="s">
        <v>19305</v>
      </c>
    </row>
    <row r="5081" spans="1:15">
      <c r="A5081" t="s">
        <v>25778</v>
      </c>
      <c r="B5081" t="s">
        <v>13276</v>
      </c>
      <c r="C5081" t="s">
        <v>25775</v>
      </c>
      <c r="D5081" t="s">
        <v>25779</v>
      </c>
      <c r="E5081" t="b">
        <v>0</v>
      </c>
      <c r="F5081" t="s">
        <v>11610</v>
      </c>
      <c r="L5081">
        <v>0</v>
      </c>
      <c r="M5081">
        <v>0</v>
      </c>
      <c r="N5081">
        <v>0</v>
      </c>
    </row>
    <row r="5082" spans="1:15">
      <c r="A5082" t="s">
        <v>25780</v>
      </c>
      <c r="B5082" t="s">
        <v>6742</v>
      </c>
      <c r="C5082" t="s">
        <v>4118</v>
      </c>
      <c r="D5082" t="s">
        <v>25781</v>
      </c>
      <c r="E5082" t="b">
        <v>0</v>
      </c>
      <c r="F5082" t="s">
        <v>11610</v>
      </c>
      <c r="L5082">
        <v>0</v>
      </c>
      <c r="M5082">
        <v>0</v>
      </c>
      <c r="N5082">
        <v>0</v>
      </c>
    </row>
    <row r="5083" spans="1:15">
      <c r="A5083" t="s">
        <v>18842</v>
      </c>
      <c r="B5083" t="s">
        <v>11637</v>
      </c>
      <c r="C5083" t="s">
        <v>25782</v>
      </c>
      <c r="D5083" t="s">
        <v>25783</v>
      </c>
      <c r="E5083" t="b">
        <v>0</v>
      </c>
      <c r="F5083" t="s">
        <v>11622</v>
      </c>
      <c r="L5083">
        <v>0</v>
      </c>
      <c r="M5083">
        <v>4</v>
      </c>
      <c r="N5083">
        <v>0</v>
      </c>
    </row>
    <row r="5084" spans="1:15">
      <c r="A5084" t="s">
        <v>25784</v>
      </c>
      <c r="B5084" t="s">
        <v>13450</v>
      </c>
      <c r="C5084" t="s">
        <v>14248</v>
      </c>
      <c r="D5084" t="s">
        <v>25785</v>
      </c>
      <c r="E5084" t="b">
        <v>0</v>
      </c>
      <c r="F5084" t="s">
        <v>11624</v>
      </c>
      <c r="L5084">
        <v>0</v>
      </c>
      <c r="M5084">
        <v>0</v>
      </c>
      <c r="N5084">
        <v>0</v>
      </c>
      <c r="O5084" t="s">
        <v>25786</v>
      </c>
    </row>
    <row r="5085" spans="1:15">
      <c r="A5085" t="s">
        <v>25787</v>
      </c>
      <c r="B5085" t="s">
        <v>11637</v>
      </c>
      <c r="C5085" t="s">
        <v>14436</v>
      </c>
      <c r="D5085" t="s">
        <v>25788</v>
      </c>
      <c r="E5085" t="b">
        <v>0</v>
      </c>
      <c r="F5085" t="s">
        <v>11610</v>
      </c>
      <c r="L5085">
        <v>0</v>
      </c>
      <c r="M5085">
        <v>0</v>
      </c>
      <c r="N5085">
        <v>0</v>
      </c>
    </row>
    <row r="5086" spans="1:15">
      <c r="A5086" t="s">
        <v>25789</v>
      </c>
      <c r="B5086" t="s">
        <v>12438</v>
      </c>
      <c r="C5086" t="s">
        <v>25790</v>
      </c>
      <c r="D5086" t="s">
        <v>25791</v>
      </c>
      <c r="E5086" t="b">
        <v>0</v>
      </c>
      <c r="F5086" t="s">
        <v>11624</v>
      </c>
      <c r="G5086">
        <v>15.8553</v>
      </c>
      <c r="H5086">
        <v>107.64400000000001</v>
      </c>
      <c r="I5086" t="s">
        <v>25792</v>
      </c>
      <c r="L5086">
        <v>0</v>
      </c>
      <c r="M5086">
        <v>0</v>
      </c>
      <c r="N5086">
        <v>0</v>
      </c>
      <c r="O5086" t="s">
        <v>14464</v>
      </c>
    </row>
    <row r="5087" spans="1:15">
      <c r="A5087" t="s">
        <v>17784</v>
      </c>
      <c r="B5087" t="s">
        <v>11637</v>
      </c>
      <c r="C5087" t="s">
        <v>25793</v>
      </c>
      <c r="D5087" t="s">
        <v>25794</v>
      </c>
      <c r="E5087" t="b">
        <v>0</v>
      </c>
      <c r="F5087" t="s">
        <v>11622</v>
      </c>
      <c r="L5087">
        <v>1</v>
      </c>
      <c r="M5087">
        <v>5</v>
      </c>
      <c r="N5087">
        <v>15</v>
      </c>
    </row>
    <row r="5088" spans="1:15">
      <c r="A5088" t="s">
        <v>25351</v>
      </c>
      <c r="B5088" t="s">
        <v>11637</v>
      </c>
      <c r="C5088" t="s">
        <v>21361</v>
      </c>
      <c r="D5088" t="s">
        <v>25795</v>
      </c>
      <c r="E5088" t="b">
        <v>0</v>
      </c>
      <c r="F5088" t="s">
        <v>11622</v>
      </c>
      <c r="G5088">
        <v>27.5947033333</v>
      </c>
      <c r="H5088">
        <v>87.620083333300002</v>
      </c>
      <c r="I5088" t="s">
        <v>25796</v>
      </c>
      <c r="L5088">
        <v>0</v>
      </c>
      <c r="M5088">
        <v>4</v>
      </c>
      <c r="N5088">
        <v>13</v>
      </c>
      <c r="O5088" t="s">
        <v>25797</v>
      </c>
    </row>
    <row r="5089" spans="1:15">
      <c r="A5089" t="s">
        <v>14315</v>
      </c>
      <c r="B5089" t="s">
        <v>14314</v>
      </c>
      <c r="C5089" t="s">
        <v>14314</v>
      </c>
      <c r="D5089" t="s">
        <v>25798</v>
      </c>
      <c r="E5089" t="b">
        <v>0</v>
      </c>
      <c r="F5089" t="s">
        <v>11622</v>
      </c>
      <c r="L5089">
        <v>0</v>
      </c>
      <c r="M5089">
        <v>3</v>
      </c>
      <c r="N5089">
        <v>6</v>
      </c>
    </row>
    <row r="5090" spans="1:15">
      <c r="A5090" t="s">
        <v>25799</v>
      </c>
      <c r="D5090" t="s">
        <v>25800</v>
      </c>
      <c r="E5090" t="b">
        <v>0</v>
      </c>
      <c r="F5090" t="s">
        <v>11622</v>
      </c>
      <c r="L5090">
        <v>1</v>
      </c>
      <c r="M5090">
        <v>3</v>
      </c>
      <c r="N5090">
        <v>0</v>
      </c>
    </row>
    <row r="5091" spans="1:15">
      <c r="A5091" t="s">
        <v>25801</v>
      </c>
      <c r="B5091" t="s">
        <v>11644</v>
      </c>
      <c r="C5091" t="s">
        <v>25802</v>
      </c>
      <c r="D5091" t="s">
        <v>25803</v>
      </c>
      <c r="E5091" t="b">
        <v>0</v>
      </c>
      <c r="F5091" t="s">
        <v>11622</v>
      </c>
      <c r="L5091">
        <v>5</v>
      </c>
      <c r="M5091">
        <v>8</v>
      </c>
      <c r="N5091">
        <v>14</v>
      </c>
    </row>
    <row r="5092" spans="1:15">
      <c r="A5092" t="s">
        <v>25804</v>
      </c>
      <c r="B5092" t="s">
        <v>4725</v>
      </c>
      <c r="C5092" t="s">
        <v>17287</v>
      </c>
      <c r="D5092" t="s">
        <v>25805</v>
      </c>
      <c r="E5092" t="b">
        <v>0</v>
      </c>
      <c r="F5092" t="s">
        <v>11610</v>
      </c>
      <c r="L5092">
        <v>0</v>
      </c>
      <c r="M5092">
        <v>0</v>
      </c>
      <c r="N5092">
        <v>0</v>
      </c>
    </row>
    <row r="5093" spans="1:15">
      <c r="A5093" t="s">
        <v>23239</v>
      </c>
      <c r="B5093" t="s">
        <v>10368</v>
      </c>
      <c r="C5093" t="s">
        <v>10368</v>
      </c>
      <c r="D5093" t="s">
        <v>25806</v>
      </c>
      <c r="E5093" t="b">
        <v>0</v>
      </c>
      <c r="F5093" t="s">
        <v>11624</v>
      </c>
      <c r="G5093">
        <v>35.521599999999999</v>
      </c>
      <c r="H5093">
        <v>-106.453</v>
      </c>
      <c r="I5093" t="s">
        <v>25807</v>
      </c>
      <c r="L5093">
        <v>0</v>
      </c>
      <c r="M5093">
        <v>0</v>
      </c>
      <c r="N5093">
        <v>5</v>
      </c>
      <c r="O5093" t="s">
        <v>11944</v>
      </c>
    </row>
    <row r="5094" spans="1:15">
      <c r="A5094" t="s">
        <v>25808</v>
      </c>
      <c r="B5094" t="s">
        <v>12557</v>
      </c>
      <c r="C5094" t="s">
        <v>25809</v>
      </c>
      <c r="D5094" t="s">
        <v>25810</v>
      </c>
      <c r="E5094" t="b">
        <v>0</v>
      </c>
      <c r="F5094" t="s">
        <v>11610</v>
      </c>
      <c r="L5094">
        <v>0</v>
      </c>
      <c r="M5094">
        <v>0</v>
      </c>
      <c r="N5094">
        <v>0</v>
      </c>
    </row>
    <row r="5095" spans="1:15">
      <c r="A5095" t="s">
        <v>22968</v>
      </c>
      <c r="B5095" t="s">
        <v>11637</v>
      </c>
      <c r="C5095" t="s">
        <v>25811</v>
      </c>
      <c r="D5095" t="s">
        <v>25812</v>
      </c>
      <c r="E5095" t="b">
        <v>0</v>
      </c>
      <c r="F5095" t="s">
        <v>11622</v>
      </c>
      <c r="L5095">
        <v>1</v>
      </c>
      <c r="M5095">
        <v>3</v>
      </c>
      <c r="N5095">
        <v>39</v>
      </c>
    </row>
    <row r="5096" spans="1:15">
      <c r="A5096" t="s">
        <v>25813</v>
      </c>
      <c r="B5096" t="s">
        <v>11637</v>
      </c>
      <c r="C5096" t="s">
        <v>1408</v>
      </c>
      <c r="D5096" t="s">
        <v>25814</v>
      </c>
      <c r="E5096" t="b">
        <v>0</v>
      </c>
      <c r="F5096" t="s">
        <v>11610</v>
      </c>
      <c r="L5096">
        <v>0</v>
      </c>
      <c r="M5096">
        <v>0</v>
      </c>
      <c r="N5096">
        <v>0</v>
      </c>
    </row>
    <row r="5097" spans="1:15">
      <c r="A5097" t="s">
        <v>25815</v>
      </c>
      <c r="B5097" t="s">
        <v>11637</v>
      </c>
      <c r="C5097" t="s">
        <v>21154</v>
      </c>
      <c r="D5097" t="s">
        <v>25816</v>
      </c>
      <c r="E5097" t="b">
        <v>0</v>
      </c>
      <c r="F5097" t="s">
        <v>11610</v>
      </c>
      <c r="L5097">
        <v>0</v>
      </c>
      <c r="M5097">
        <v>0</v>
      </c>
      <c r="N5097">
        <v>0</v>
      </c>
    </row>
    <row r="5098" spans="1:15">
      <c r="A5098" t="s">
        <v>25817</v>
      </c>
      <c r="B5098" t="s">
        <v>11637</v>
      </c>
      <c r="C5098" t="s">
        <v>14906</v>
      </c>
      <c r="D5098" t="s">
        <v>25818</v>
      </c>
      <c r="E5098" t="b">
        <v>0</v>
      </c>
      <c r="F5098" t="s">
        <v>11610</v>
      </c>
      <c r="L5098">
        <v>0</v>
      </c>
      <c r="M5098">
        <v>0</v>
      </c>
      <c r="N5098">
        <v>0</v>
      </c>
    </row>
    <row r="5099" spans="1:15">
      <c r="A5099" t="s">
        <v>25819</v>
      </c>
      <c r="B5099" t="s">
        <v>11637</v>
      </c>
      <c r="C5099" t="s">
        <v>14262</v>
      </c>
      <c r="D5099" t="s">
        <v>25820</v>
      </c>
      <c r="E5099" t="b">
        <v>0</v>
      </c>
      <c r="F5099" t="s">
        <v>11610</v>
      </c>
      <c r="L5099">
        <v>0</v>
      </c>
      <c r="M5099">
        <v>0</v>
      </c>
      <c r="N5099">
        <v>0</v>
      </c>
    </row>
    <row r="5100" spans="1:15">
      <c r="A5100" t="s">
        <v>25821</v>
      </c>
      <c r="B5100" t="s">
        <v>11637</v>
      </c>
      <c r="C5100" t="s">
        <v>19284</v>
      </c>
      <c r="D5100" t="s">
        <v>25822</v>
      </c>
      <c r="E5100" t="b">
        <v>0</v>
      </c>
      <c r="F5100" t="s">
        <v>11610</v>
      </c>
      <c r="L5100">
        <v>0</v>
      </c>
      <c r="M5100">
        <v>0</v>
      </c>
      <c r="N5100">
        <v>0</v>
      </c>
    </row>
    <row r="5101" spans="1:15">
      <c r="A5101" t="s">
        <v>25823</v>
      </c>
      <c r="B5101" t="s">
        <v>11637</v>
      </c>
      <c r="C5101" t="s">
        <v>13136</v>
      </c>
      <c r="D5101" t="s">
        <v>25824</v>
      </c>
      <c r="E5101" t="b">
        <v>0</v>
      </c>
      <c r="F5101" t="s">
        <v>11610</v>
      </c>
      <c r="L5101">
        <v>0</v>
      </c>
      <c r="M5101">
        <v>0</v>
      </c>
      <c r="N5101">
        <v>0</v>
      </c>
    </row>
    <row r="5102" spans="1:15">
      <c r="A5102" t="s">
        <v>25825</v>
      </c>
      <c r="B5102" t="s">
        <v>11637</v>
      </c>
      <c r="C5102" t="s">
        <v>7332</v>
      </c>
      <c r="D5102" t="s">
        <v>25826</v>
      </c>
      <c r="E5102" t="b">
        <v>0</v>
      </c>
      <c r="F5102" t="s">
        <v>11610</v>
      </c>
      <c r="L5102">
        <v>0</v>
      </c>
      <c r="M5102">
        <v>0</v>
      </c>
      <c r="N5102">
        <v>0</v>
      </c>
    </row>
    <row r="5103" spans="1:15">
      <c r="A5103" t="s">
        <v>25827</v>
      </c>
      <c r="B5103" t="s">
        <v>11637</v>
      </c>
      <c r="C5103" t="s">
        <v>5695</v>
      </c>
      <c r="D5103" t="s">
        <v>25828</v>
      </c>
      <c r="E5103" t="b">
        <v>0</v>
      </c>
      <c r="F5103" t="s">
        <v>11610</v>
      </c>
      <c r="L5103">
        <v>0</v>
      </c>
      <c r="M5103">
        <v>0</v>
      </c>
      <c r="N5103">
        <v>0</v>
      </c>
    </row>
    <row r="5104" spans="1:15">
      <c r="A5104" t="s">
        <v>25829</v>
      </c>
      <c r="B5104" t="s">
        <v>11637</v>
      </c>
      <c r="C5104" t="s">
        <v>16357</v>
      </c>
      <c r="D5104" t="s">
        <v>25830</v>
      </c>
      <c r="E5104" t="b">
        <v>0</v>
      </c>
      <c r="F5104" t="s">
        <v>11622</v>
      </c>
      <c r="L5104">
        <v>0</v>
      </c>
      <c r="M5104">
        <v>2</v>
      </c>
      <c r="N5104">
        <v>12</v>
      </c>
    </row>
    <row r="5105" spans="1:15">
      <c r="A5105" t="s">
        <v>25831</v>
      </c>
      <c r="B5105" t="s">
        <v>11637</v>
      </c>
      <c r="C5105" t="s">
        <v>15135</v>
      </c>
      <c r="D5105" t="s">
        <v>25832</v>
      </c>
      <c r="E5105" t="b">
        <v>0</v>
      </c>
      <c r="F5105" t="s">
        <v>11610</v>
      </c>
      <c r="L5105">
        <v>0</v>
      </c>
      <c r="M5105">
        <v>0</v>
      </c>
      <c r="N5105">
        <v>0</v>
      </c>
    </row>
    <row r="5106" spans="1:15">
      <c r="A5106" t="s">
        <v>25833</v>
      </c>
      <c r="B5106" t="s">
        <v>11637</v>
      </c>
      <c r="C5106" t="s">
        <v>1513</v>
      </c>
      <c r="D5106" t="s">
        <v>25834</v>
      </c>
      <c r="E5106" t="b">
        <v>0</v>
      </c>
      <c r="F5106" t="s">
        <v>11610</v>
      </c>
      <c r="I5106" t="s">
        <v>25835</v>
      </c>
      <c r="L5106">
        <v>0</v>
      </c>
      <c r="M5106">
        <v>0</v>
      </c>
      <c r="N5106">
        <v>0</v>
      </c>
    </row>
    <row r="5107" spans="1:15">
      <c r="A5107" t="s">
        <v>25836</v>
      </c>
      <c r="B5107" t="s">
        <v>11637</v>
      </c>
      <c r="C5107" t="s">
        <v>24930</v>
      </c>
      <c r="D5107" t="s">
        <v>25837</v>
      </c>
      <c r="E5107" t="b">
        <v>0</v>
      </c>
      <c r="F5107" t="s">
        <v>11610</v>
      </c>
      <c r="G5107">
        <v>52.971299999999999</v>
      </c>
      <c r="H5107">
        <v>7.7354900000000004</v>
      </c>
      <c r="L5107">
        <v>0</v>
      </c>
      <c r="M5107">
        <v>0</v>
      </c>
      <c r="N5107">
        <v>0</v>
      </c>
      <c r="O5107" t="s">
        <v>25838</v>
      </c>
    </row>
    <row r="5108" spans="1:15">
      <c r="A5108" t="s">
        <v>25839</v>
      </c>
      <c r="B5108" t="s">
        <v>11637</v>
      </c>
      <c r="C5108" t="s">
        <v>25840</v>
      </c>
      <c r="D5108" t="s">
        <v>25841</v>
      </c>
      <c r="E5108" t="b">
        <v>0</v>
      </c>
      <c r="F5108" t="s">
        <v>11624</v>
      </c>
      <c r="G5108">
        <v>52.117901000000003</v>
      </c>
      <c r="H5108">
        <v>10.005723</v>
      </c>
      <c r="L5108">
        <v>0</v>
      </c>
      <c r="M5108">
        <v>0</v>
      </c>
      <c r="N5108">
        <v>4</v>
      </c>
    </row>
    <row r="5109" spans="1:15">
      <c r="A5109" t="s">
        <v>25842</v>
      </c>
      <c r="B5109" t="s">
        <v>11637</v>
      </c>
      <c r="C5109" t="s">
        <v>10307</v>
      </c>
      <c r="D5109" t="s">
        <v>25843</v>
      </c>
      <c r="E5109" t="b">
        <v>0</v>
      </c>
      <c r="F5109" t="s">
        <v>11622</v>
      </c>
      <c r="L5109">
        <v>0</v>
      </c>
      <c r="M5109">
        <v>2</v>
      </c>
      <c r="N5109">
        <v>10</v>
      </c>
    </row>
    <row r="5110" spans="1:15">
      <c r="A5110" t="s">
        <v>25844</v>
      </c>
      <c r="B5110" t="s">
        <v>11637</v>
      </c>
      <c r="C5110" t="s">
        <v>19834</v>
      </c>
      <c r="D5110" t="s">
        <v>25845</v>
      </c>
      <c r="E5110" t="b">
        <v>0</v>
      </c>
      <c r="F5110" t="s">
        <v>11610</v>
      </c>
      <c r="L5110">
        <v>0</v>
      </c>
      <c r="M5110">
        <v>0</v>
      </c>
      <c r="N5110">
        <v>0</v>
      </c>
    </row>
    <row r="5111" spans="1:15">
      <c r="A5111" t="s">
        <v>25846</v>
      </c>
      <c r="B5111" t="s">
        <v>11637</v>
      </c>
      <c r="C5111" t="s">
        <v>25847</v>
      </c>
      <c r="D5111" t="s">
        <v>25848</v>
      </c>
      <c r="E5111" t="b">
        <v>0</v>
      </c>
      <c r="F5111" t="s">
        <v>11610</v>
      </c>
      <c r="L5111">
        <v>0</v>
      </c>
      <c r="M5111">
        <v>0</v>
      </c>
      <c r="N5111">
        <v>0</v>
      </c>
    </row>
    <row r="5112" spans="1:15">
      <c r="A5112" t="s">
        <v>25849</v>
      </c>
      <c r="B5112" t="s">
        <v>11637</v>
      </c>
      <c r="C5112" t="s">
        <v>25850</v>
      </c>
      <c r="D5112" t="s">
        <v>25851</v>
      </c>
      <c r="E5112" t="b">
        <v>0</v>
      </c>
      <c r="F5112" t="s">
        <v>11624</v>
      </c>
      <c r="G5112">
        <v>51.75</v>
      </c>
      <c r="H5112">
        <v>19.420000000000002</v>
      </c>
      <c r="I5112" t="s">
        <v>25852</v>
      </c>
      <c r="L5112">
        <v>0</v>
      </c>
      <c r="M5112">
        <v>0</v>
      </c>
      <c r="N5112">
        <v>10</v>
      </c>
      <c r="O5112" t="s">
        <v>25853</v>
      </c>
    </row>
    <row r="5113" spans="1:15">
      <c r="A5113" t="s">
        <v>12929</v>
      </c>
      <c r="B5113" t="s">
        <v>11637</v>
      </c>
      <c r="C5113" t="s">
        <v>25854</v>
      </c>
      <c r="D5113" t="s">
        <v>25855</v>
      </c>
      <c r="E5113" t="b">
        <v>0</v>
      </c>
      <c r="F5113" t="s">
        <v>11624</v>
      </c>
      <c r="G5113">
        <v>62.476944000000003</v>
      </c>
      <c r="H5113">
        <v>21.348610999999998</v>
      </c>
      <c r="L5113">
        <v>0</v>
      </c>
      <c r="M5113">
        <v>0</v>
      </c>
      <c r="N5113">
        <v>4</v>
      </c>
    </row>
    <row r="5114" spans="1:15">
      <c r="A5114" t="s">
        <v>25856</v>
      </c>
      <c r="B5114" t="s">
        <v>11637</v>
      </c>
      <c r="C5114" t="s">
        <v>7902</v>
      </c>
      <c r="D5114" t="s">
        <v>25857</v>
      </c>
      <c r="E5114" t="b">
        <v>0</v>
      </c>
      <c r="F5114" t="s">
        <v>11624</v>
      </c>
      <c r="G5114">
        <v>28</v>
      </c>
      <c r="H5114">
        <v>62</v>
      </c>
      <c r="I5114" t="s">
        <v>25858</v>
      </c>
      <c r="L5114">
        <v>0</v>
      </c>
      <c r="M5114">
        <v>0</v>
      </c>
      <c r="N5114">
        <v>0</v>
      </c>
      <c r="O5114" t="s">
        <v>12172</v>
      </c>
    </row>
    <row r="5115" spans="1:15">
      <c r="A5115" t="s">
        <v>25859</v>
      </c>
      <c r="B5115" t="s">
        <v>11637</v>
      </c>
      <c r="C5115" t="s">
        <v>21355</v>
      </c>
      <c r="D5115" t="s">
        <v>25860</v>
      </c>
      <c r="E5115" t="b">
        <v>0</v>
      </c>
      <c r="F5115" t="s">
        <v>11610</v>
      </c>
      <c r="L5115">
        <v>0</v>
      </c>
      <c r="M5115">
        <v>0</v>
      </c>
      <c r="N5115">
        <v>0</v>
      </c>
    </row>
    <row r="5116" spans="1:15">
      <c r="A5116" t="s">
        <v>25861</v>
      </c>
      <c r="B5116" t="s">
        <v>11637</v>
      </c>
      <c r="C5116" t="s">
        <v>25862</v>
      </c>
      <c r="D5116" t="s">
        <v>25863</v>
      </c>
      <c r="E5116" t="b">
        <v>0</v>
      </c>
      <c r="F5116" t="s">
        <v>11610</v>
      </c>
      <c r="L5116">
        <v>0</v>
      </c>
      <c r="M5116">
        <v>0</v>
      </c>
      <c r="N5116">
        <v>0</v>
      </c>
    </row>
    <row r="5117" spans="1:15">
      <c r="A5117" t="s">
        <v>25864</v>
      </c>
      <c r="B5117" t="s">
        <v>11637</v>
      </c>
      <c r="C5117" t="s">
        <v>25865</v>
      </c>
      <c r="D5117" t="s">
        <v>25866</v>
      </c>
      <c r="E5117" t="b">
        <v>0</v>
      </c>
      <c r="F5117" t="s">
        <v>11610</v>
      </c>
      <c r="L5117">
        <v>0</v>
      </c>
      <c r="M5117">
        <v>0</v>
      </c>
      <c r="N5117">
        <v>0</v>
      </c>
    </row>
    <row r="5118" spans="1:15">
      <c r="A5118" t="s">
        <v>25867</v>
      </c>
      <c r="B5118" t="s">
        <v>11637</v>
      </c>
      <c r="C5118" t="s">
        <v>18279</v>
      </c>
      <c r="D5118" t="s">
        <v>25868</v>
      </c>
      <c r="E5118" t="b">
        <v>0</v>
      </c>
      <c r="F5118" t="s">
        <v>11610</v>
      </c>
      <c r="L5118">
        <v>0</v>
      </c>
      <c r="M5118">
        <v>0</v>
      </c>
      <c r="N5118">
        <v>0</v>
      </c>
    </row>
    <row r="5119" spans="1:15">
      <c r="A5119" t="s">
        <v>25869</v>
      </c>
      <c r="B5119" t="s">
        <v>11637</v>
      </c>
      <c r="C5119" t="s">
        <v>16884</v>
      </c>
      <c r="D5119" t="s">
        <v>25870</v>
      </c>
      <c r="E5119" t="b">
        <v>0</v>
      </c>
      <c r="F5119" t="s">
        <v>11610</v>
      </c>
      <c r="L5119">
        <v>0</v>
      </c>
      <c r="M5119">
        <v>0</v>
      </c>
      <c r="N5119">
        <v>0</v>
      </c>
    </row>
    <row r="5120" spans="1:15">
      <c r="A5120" t="s">
        <v>25871</v>
      </c>
      <c r="B5120" t="s">
        <v>11637</v>
      </c>
      <c r="C5120" t="s">
        <v>12626</v>
      </c>
      <c r="D5120" t="s">
        <v>25872</v>
      </c>
      <c r="E5120" t="b">
        <v>0</v>
      </c>
      <c r="F5120" t="s">
        <v>11610</v>
      </c>
      <c r="L5120">
        <v>0</v>
      </c>
      <c r="M5120">
        <v>0</v>
      </c>
      <c r="N5120">
        <v>0</v>
      </c>
    </row>
    <row r="5121" spans="1:15">
      <c r="A5121" t="s">
        <v>25873</v>
      </c>
      <c r="B5121" t="s">
        <v>11637</v>
      </c>
      <c r="C5121" t="s">
        <v>19125</v>
      </c>
      <c r="D5121" t="s">
        <v>25874</v>
      </c>
      <c r="E5121" t="b">
        <v>0</v>
      </c>
      <c r="F5121" t="s">
        <v>11610</v>
      </c>
      <c r="L5121">
        <v>0</v>
      </c>
      <c r="M5121">
        <v>0</v>
      </c>
      <c r="N5121">
        <v>0</v>
      </c>
    </row>
    <row r="5122" spans="1:15">
      <c r="A5122" t="s">
        <v>25875</v>
      </c>
      <c r="B5122" t="s">
        <v>11637</v>
      </c>
      <c r="C5122" t="s">
        <v>16777</v>
      </c>
      <c r="D5122" t="s">
        <v>25876</v>
      </c>
      <c r="E5122" t="b">
        <v>0</v>
      </c>
      <c r="F5122" t="s">
        <v>11610</v>
      </c>
      <c r="L5122">
        <v>0</v>
      </c>
      <c r="M5122">
        <v>0</v>
      </c>
      <c r="N5122">
        <v>0</v>
      </c>
    </row>
    <row r="5123" spans="1:15">
      <c r="A5123" t="s">
        <v>22734</v>
      </c>
      <c r="B5123" t="s">
        <v>11637</v>
      </c>
      <c r="C5123" t="s">
        <v>25877</v>
      </c>
      <c r="D5123" t="s">
        <v>25878</v>
      </c>
      <c r="E5123" t="b">
        <v>0</v>
      </c>
      <c r="F5123" t="s">
        <v>11622</v>
      </c>
      <c r="L5123">
        <v>1</v>
      </c>
      <c r="M5123">
        <v>5</v>
      </c>
      <c r="N5123">
        <v>16</v>
      </c>
    </row>
    <row r="5124" spans="1:15">
      <c r="A5124" t="s">
        <v>25879</v>
      </c>
      <c r="B5124" t="s">
        <v>11637</v>
      </c>
      <c r="C5124" t="s">
        <v>24250</v>
      </c>
      <c r="D5124" t="s">
        <v>25880</v>
      </c>
      <c r="E5124" t="b">
        <v>0</v>
      </c>
      <c r="F5124" t="s">
        <v>11610</v>
      </c>
      <c r="L5124">
        <v>0</v>
      </c>
      <c r="M5124">
        <v>0</v>
      </c>
      <c r="N5124">
        <v>0</v>
      </c>
    </row>
    <row r="5125" spans="1:15">
      <c r="A5125" t="s">
        <v>25881</v>
      </c>
      <c r="B5125" t="s">
        <v>11637</v>
      </c>
      <c r="C5125" t="s">
        <v>7992</v>
      </c>
      <c r="D5125" t="s">
        <v>25882</v>
      </c>
      <c r="E5125" t="b">
        <v>0</v>
      </c>
      <c r="F5125" t="s">
        <v>11610</v>
      </c>
      <c r="L5125">
        <v>0</v>
      </c>
      <c r="M5125">
        <v>0</v>
      </c>
      <c r="N5125">
        <v>0</v>
      </c>
    </row>
    <row r="5126" spans="1:15">
      <c r="A5126" t="s">
        <v>25883</v>
      </c>
      <c r="B5126" t="s">
        <v>11637</v>
      </c>
      <c r="C5126" t="s">
        <v>25884</v>
      </c>
      <c r="D5126" t="s">
        <v>25885</v>
      </c>
      <c r="E5126" t="b">
        <v>0</v>
      </c>
      <c r="F5126" t="s">
        <v>11622</v>
      </c>
      <c r="L5126">
        <v>0</v>
      </c>
      <c r="M5126">
        <v>2</v>
      </c>
      <c r="N5126">
        <v>10</v>
      </c>
    </row>
    <row r="5127" spans="1:15">
      <c r="A5127" t="s">
        <v>25886</v>
      </c>
      <c r="B5127" t="s">
        <v>11637</v>
      </c>
      <c r="C5127" t="s">
        <v>96</v>
      </c>
      <c r="D5127" t="s">
        <v>25887</v>
      </c>
      <c r="E5127" t="b">
        <v>0</v>
      </c>
      <c r="F5127" t="s">
        <v>11610</v>
      </c>
      <c r="L5127">
        <v>0</v>
      </c>
      <c r="M5127">
        <v>0</v>
      </c>
      <c r="N5127">
        <v>0</v>
      </c>
    </row>
    <row r="5128" spans="1:15">
      <c r="A5128" t="s">
        <v>25888</v>
      </c>
      <c r="B5128" t="s">
        <v>12260</v>
      </c>
      <c r="C5128" t="s">
        <v>251</v>
      </c>
      <c r="D5128" t="s">
        <v>25889</v>
      </c>
      <c r="E5128" t="b">
        <v>0</v>
      </c>
      <c r="F5128" t="s">
        <v>11622</v>
      </c>
      <c r="L5128">
        <v>2</v>
      </c>
      <c r="M5128">
        <v>6</v>
      </c>
      <c r="N5128">
        <v>2</v>
      </c>
    </row>
    <row r="5129" spans="1:15">
      <c r="A5129" t="s">
        <v>25890</v>
      </c>
      <c r="B5129" t="s">
        <v>12260</v>
      </c>
      <c r="C5129" t="s">
        <v>12261</v>
      </c>
      <c r="D5129" t="s">
        <v>25891</v>
      </c>
      <c r="E5129" t="b">
        <v>0</v>
      </c>
      <c r="F5129" t="s">
        <v>11610</v>
      </c>
      <c r="L5129">
        <v>0</v>
      </c>
      <c r="M5129">
        <v>0</v>
      </c>
      <c r="N5129">
        <v>0</v>
      </c>
    </row>
    <row r="5130" spans="1:15">
      <c r="A5130" t="s">
        <v>25892</v>
      </c>
      <c r="B5130" t="s">
        <v>12260</v>
      </c>
      <c r="C5130" t="s">
        <v>25893</v>
      </c>
      <c r="D5130" t="s">
        <v>25894</v>
      </c>
      <c r="E5130" t="b">
        <v>0</v>
      </c>
      <c r="F5130" t="s">
        <v>11610</v>
      </c>
      <c r="L5130">
        <v>0</v>
      </c>
      <c r="M5130">
        <v>0</v>
      </c>
      <c r="N5130">
        <v>0</v>
      </c>
    </row>
    <row r="5131" spans="1:15">
      <c r="A5131" t="s">
        <v>25895</v>
      </c>
      <c r="B5131" t="s">
        <v>12260</v>
      </c>
      <c r="C5131" t="s">
        <v>25896</v>
      </c>
      <c r="D5131" t="s">
        <v>25897</v>
      </c>
      <c r="E5131" t="b">
        <v>0</v>
      </c>
      <c r="F5131" t="s">
        <v>11610</v>
      </c>
      <c r="L5131">
        <v>0</v>
      </c>
      <c r="M5131">
        <v>0</v>
      </c>
      <c r="N5131">
        <v>0</v>
      </c>
    </row>
    <row r="5132" spans="1:15">
      <c r="A5132" t="s">
        <v>25898</v>
      </c>
      <c r="B5132" t="s">
        <v>12260</v>
      </c>
      <c r="C5132" t="s">
        <v>3473</v>
      </c>
      <c r="D5132" t="s">
        <v>25899</v>
      </c>
      <c r="E5132" t="b">
        <v>0</v>
      </c>
      <c r="F5132" t="s">
        <v>11624</v>
      </c>
      <c r="G5132">
        <v>55.8307</v>
      </c>
      <c r="H5132">
        <v>48.405000000000001</v>
      </c>
      <c r="I5132" t="s">
        <v>25900</v>
      </c>
      <c r="L5132">
        <v>0</v>
      </c>
      <c r="M5132">
        <v>0</v>
      </c>
      <c r="N5132">
        <v>1</v>
      </c>
      <c r="O5132" t="s">
        <v>25901</v>
      </c>
    </row>
    <row r="5133" spans="1:15">
      <c r="A5133" t="s">
        <v>25902</v>
      </c>
      <c r="B5133" t="s">
        <v>12438</v>
      </c>
      <c r="C5133" t="s">
        <v>25903</v>
      </c>
      <c r="D5133" t="s">
        <v>25904</v>
      </c>
      <c r="E5133" t="b">
        <v>0</v>
      </c>
      <c r="F5133" t="s">
        <v>11624</v>
      </c>
      <c r="G5133">
        <v>19.0136</v>
      </c>
      <c r="H5133">
        <v>98.761300000000006</v>
      </c>
      <c r="I5133" t="s">
        <v>25905</v>
      </c>
      <c r="L5133">
        <v>0</v>
      </c>
      <c r="M5133">
        <v>0</v>
      </c>
      <c r="N5133">
        <v>1</v>
      </c>
      <c r="O5133" t="s">
        <v>16739</v>
      </c>
    </row>
    <row r="5134" spans="1:15">
      <c r="A5134" t="s">
        <v>13840</v>
      </c>
      <c r="B5134" t="s">
        <v>12438</v>
      </c>
      <c r="C5134" t="s">
        <v>24012</v>
      </c>
      <c r="D5134" t="s">
        <v>25906</v>
      </c>
      <c r="E5134" t="b">
        <v>0</v>
      </c>
      <c r="F5134" t="s">
        <v>11622</v>
      </c>
      <c r="L5134">
        <v>8</v>
      </c>
      <c r="M5134">
        <v>16</v>
      </c>
      <c r="N5134">
        <v>16</v>
      </c>
    </row>
    <row r="5135" spans="1:15">
      <c r="A5135" t="s">
        <v>19920</v>
      </c>
      <c r="B5135" t="s">
        <v>12438</v>
      </c>
      <c r="C5135" t="s">
        <v>25907</v>
      </c>
      <c r="D5135" t="s">
        <v>25908</v>
      </c>
      <c r="E5135" t="b">
        <v>0</v>
      </c>
      <c r="F5135" t="s">
        <v>11624</v>
      </c>
      <c r="G5135">
        <v>17.1311</v>
      </c>
      <c r="H5135">
        <v>105.67100000000001</v>
      </c>
      <c r="I5135" t="s">
        <v>25909</v>
      </c>
      <c r="L5135">
        <v>0</v>
      </c>
      <c r="M5135">
        <v>0</v>
      </c>
      <c r="N5135">
        <v>4</v>
      </c>
      <c r="O5135" t="s">
        <v>14464</v>
      </c>
    </row>
    <row r="5136" spans="1:15">
      <c r="A5136" t="s">
        <v>22559</v>
      </c>
      <c r="B5136" t="s">
        <v>12438</v>
      </c>
      <c r="C5136" t="s">
        <v>25910</v>
      </c>
      <c r="D5136" t="s">
        <v>25911</v>
      </c>
      <c r="E5136" t="b">
        <v>0</v>
      </c>
      <c r="F5136" t="s">
        <v>11624</v>
      </c>
      <c r="G5136">
        <v>12.3939</v>
      </c>
      <c r="H5136">
        <v>108.354</v>
      </c>
      <c r="I5136" t="s">
        <v>25912</v>
      </c>
      <c r="L5136">
        <v>0</v>
      </c>
      <c r="M5136">
        <v>0</v>
      </c>
      <c r="N5136">
        <v>4</v>
      </c>
      <c r="O5136" t="s">
        <v>15949</v>
      </c>
    </row>
    <row r="5137" spans="1:15">
      <c r="A5137" t="s">
        <v>25913</v>
      </c>
      <c r="B5137" t="s">
        <v>331</v>
      </c>
      <c r="C5137" t="s">
        <v>15530</v>
      </c>
      <c r="D5137" t="s">
        <v>25914</v>
      </c>
      <c r="E5137" t="b">
        <v>0</v>
      </c>
      <c r="F5137" t="s">
        <v>11622</v>
      </c>
      <c r="L5137">
        <v>0</v>
      </c>
      <c r="M5137">
        <v>2</v>
      </c>
      <c r="N5137">
        <v>14</v>
      </c>
    </row>
    <row r="5138" spans="1:15">
      <c r="A5138" t="s">
        <v>25915</v>
      </c>
      <c r="B5138" t="s">
        <v>331</v>
      </c>
      <c r="C5138" t="s">
        <v>25916</v>
      </c>
      <c r="D5138" t="s">
        <v>25917</v>
      </c>
      <c r="E5138" t="b">
        <v>0</v>
      </c>
      <c r="F5138" t="s">
        <v>11610</v>
      </c>
      <c r="L5138">
        <v>0</v>
      </c>
      <c r="M5138">
        <v>0</v>
      </c>
      <c r="N5138">
        <v>0</v>
      </c>
    </row>
    <row r="5139" spans="1:15">
      <c r="A5139" t="s">
        <v>16875</v>
      </c>
      <c r="B5139" t="s">
        <v>331</v>
      </c>
      <c r="C5139" t="s">
        <v>14894</v>
      </c>
      <c r="D5139" t="s">
        <v>25918</v>
      </c>
      <c r="E5139" t="b">
        <v>0</v>
      </c>
      <c r="F5139" t="s">
        <v>11610</v>
      </c>
      <c r="L5139">
        <v>0</v>
      </c>
      <c r="M5139">
        <v>0</v>
      </c>
      <c r="N5139">
        <v>8</v>
      </c>
    </row>
    <row r="5140" spans="1:15">
      <c r="A5140" t="s">
        <v>25919</v>
      </c>
      <c r="B5140" t="s">
        <v>12250</v>
      </c>
      <c r="C5140" t="s">
        <v>25920</v>
      </c>
      <c r="D5140" t="s">
        <v>25921</v>
      </c>
      <c r="E5140" t="b">
        <v>0</v>
      </c>
      <c r="F5140" t="s">
        <v>11624</v>
      </c>
      <c r="G5140">
        <v>37.988199999999999</v>
      </c>
      <c r="H5140">
        <v>101.762</v>
      </c>
      <c r="I5140" t="s">
        <v>25922</v>
      </c>
      <c r="L5140">
        <v>0</v>
      </c>
      <c r="M5140">
        <v>0</v>
      </c>
      <c r="N5140">
        <v>0</v>
      </c>
      <c r="O5140" t="s">
        <v>11905</v>
      </c>
    </row>
    <row r="5141" spans="1:15">
      <c r="A5141" t="s">
        <v>25923</v>
      </c>
      <c r="B5141" t="s">
        <v>11844</v>
      </c>
      <c r="C5141" t="s">
        <v>2278</v>
      </c>
      <c r="D5141" t="s">
        <v>25924</v>
      </c>
      <c r="E5141" t="b">
        <v>0</v>
      </c>
      <c r="F5141" t="s">
        <v>11610</v>
      </c>
      <c r="L5141">
        <v>0</v>
      </c>
      <c r="M5141">
        <v>0</v>
      </c>
      <c r="N5141">
        <v>0</v>
      </c>
    </row>
    <row r="5142" spans="1:15">
      <c r="A5142" t="s">
        <v>25925</v>
      </c>
      <c r="B5142" t="s">
        <v>11844</v>
      </c>
      <c r="C5142" t="s">
        <v>25926</v>
      </c>
      <c r="D5142" t="s">
        <v>25927</v>
      </c>
      <c r="E5142" t="b">
        <v>0</v>
      </c>
      <c r="F5142" t="s">
        <v>11610</v>
      </c>
      <c r="L5142">
        <v>0</v>
      </c>
      <c r="M5142">
        <v>0</v>
      </c>
      <c r="N5142">
        <v>0</v>
      </c>
    </row>
    <row r="5143" spans="1:15">
      <c r="A5143" t="s">
        <v>25928</v>
      </c>
      <c r="B5143" t="s">
        <v>11844</v>
      </c>
      <c r="C5143" t="s">
        <v>25929</v>
      </c>
      <c r="D5143" t="s">
        <v>25930</v>
      </c>
      <c r="E5143" t="b">
        <v>0</v>
      </c>
      <c r="F5143" t="s">
        <v>11624</v>
      </c>
      <c r="G5143">
        <v>20.142199999999999</v>
      </c>
      <c r="H5143">
        <v>80.889300000000006</v>
      </c>
      <c r="I5143" t="s">
        <v>25931</v>
      </c>
      <c r="L5143">
        <v>0</v>
      </c>
      <c r="M5143">
        <v>0</v>
      </c>
      <c r="N5143">
        <v>2</v>
      </c>
      <c r="O5143" t="s">
        <v>11630</v>
      </c>
    </row>
    <row r="5144" spans="1:15">
      <c r="A5144" t="s">
        <v>5428</v>
      </c>
      <c r="B5144" t="s">
        <v>11644</v>
      </c>
      <c r="C5144" t="s">
        <v>25932</v>
      </c>
      <c r="D5144" t="s">
        <v>25933</v>
      </c>
      <c r="E5144" t="b">
        <v>0</v>
      </c>
      <c r="F5144" t="s">
        <v>11622</v>
      </c>
      <c r="L5144">
        <v>0</v>
      </c>
      <c r="M5144">
        <v>2</v>
      </c>
      <c r="N5144">
        <v>7</v>
      </c>
    </row>
    <row r="5145" spans="1:15">
      <c r="A5145" t="s">
        <v>25934</v>
      </c>
      <c r="B5145" t="s">
        <v>11644</v>
      </c>
      <c r="C5145" t="s">
        <v>25935</v>
      </c>
      <c r="D5145" t="s">
        <v>25936</v>
      </c>
      <c r="E5145" t="b">
        <v>0</v>
      </c>
      <c r="F5145" t="s">
        <v>11624</v>
      </c>
      <c r="G5145">
        <v>19.893899999999999</v>
      </c>
      <c r="H5145">
        <v>98.335899999999995</v>
      </c>
      <c r="I5145" t="s">
        <v>25937</v>
      </c>
      <c r="L5145">
        <v>0</v>
      </c>
      <c r="M5145">
        <v>0</v>
      </c>
      <c r="N5145">
        <v>0</v>
      </c>
      <c r="O5145" t="s">
        <v>20757</v>
      </c>
    </row>
    <row r="5146" spans="1:15">
      <c r="A5146" t="s">
        <v>25938</v>
      </c>
      <c r="B5146" t="s">
        <v>11644</v>
      </c>
      <c r="C5146" t="s">
        <v>25939</v>
      </c>
      <c r="D5146" t="s">
        <v>25940</v>
      </c>
      <c r="E5146" t="b">
        <v>0</v>
      </c>
      <c r="F5146" t="s">
        <v>11610</v>
      </c>
      <c r="L5146">
        <v>0</v>
      </c>
      <c r="M5146">
        <v>0</v>
      </c>
      <c r="N5146">
        <v>0</v>
      </c>
    </row>
    <row r="5147" spans="1:15">
      <c r="A5147" t="s">
        <v>17422</v>
      </c>
      <c r="B5147" t="s">
        <v>11644</v>
      </c>
      <c r="C5147" t="s">
        <v>22028</v>
      </c>
      <c r="D5147" t="s">
        <v>25941</v>
      </c>
      <c r="E5147" t="b">
        <v>0</v>
      </c>
      <c r="F5147" t="s">
        <v>11610</v>
      </c>
      <c r="L5147">
        <v>0</v>
      </c>
      <c r="M5147">
        <v>0</v>
      </c>
      <c r="N5147">
        <v>7</v>
      </c>
    </row>
    <row r="5148" spans="1:15">
      <c r="A5148" t="s">
        <v>25942</v>
      </c>
      <c r="B5148" t="s">
        <v>11644</v>
      </c>
      <c r="C5148" t="s">
        <v>25943</v>
      </c>
      <c r="D5148" t="s">
        <v>25944</v>
      </c>
      <c r="E5148" t="b">
        <v>0</v>
      </c>
      <c r="F5148" t="s">
        <v>11610</v>
      </c>
      <c r="G5148">
        <v>28.436800000000002</v>
      </c>
      <c r="H5148">
        <v>84.581450000000004</v>
      </c>
      <c r="I5148" t="s">
        <v>25945</v>
      </c>
      <c r="L5148">
        <v>0</v>
      </c>
      <c r="M5148">
        <v>0</v>
      </c>
      <c r="N5148">
        <v>0</v>
      </c>
      <c r="O5148" t="s">
        <v>15007</v>
      </c>
    </row>
    <row r="5149" spans="1:15">
      <c r="A5149" t="s">
        <v>25946</v>
      </c>
      <c r="B5149" t="s">
        <v>11644</v>
      </c>
      <c r="C5149" t="s">
        <v>25947</v>
      </c>
      <c r="D5149" t="s">
        <v>25948</v>
      </c>
      <c r="E5149" t="b">
        <v>0</v>
      </c>
      <c r="F5149" t="s">
        <v>11624</v>
      </c>
      <c r="G5149">
        <v>28.221299999999999</v>
      </c>
      <c r="H5149">
        <v>84.945099999999996</v>
      </c>
      <c r="I5149" t="s">
        <v>25949</v>
      </c>
      <c r="L5149">
        <v>0</v>
      </c>
      <c r="M5149">
        <v>0</v>
      </c>
      <c r="N5149">
        <v>2</v>
      </c>
      <c r="O5149" t="s">
        <v>16899</v>
      </c>
    </row>
    <row r="5150" spans="1:15">
      <c r="A5150" t="s">
        <v>21413</v>
      </c>
      <c r="B5150" t="s">
        <v>11644</v>
      </c>
      <c r="C5150" t="s">
        <v>25947</v>
      </c>
      <c r="D5150" t="s">
        <v>25950</v>
      </c>
      <c r="E5150" t="b">
        <v>0</v>
      </c>
      <c r="F5150" t="s">
        <v>11624</v>
      </c>
      <c r="G5150">
        <v>27.323899999999998</v>
      </c>
      <c r="H5150">
        <v>87.083200000000005</v>
      </c>
      <c r="I5150" t="s">
        <v>25951</v>
      </c>
      <c r="L5150">
        <v>0</v>
      </c>
      <c r="M5150">
        <v>0</v>
      </c>
      <c r="N5150">
        <v>2</v>
      </c>
      <c r="O5150" t="s">
        <v>12524</v>
      </c>
    </row>
    <row r="5151" spans="1:15">
      <c r="A5151" t="s">
        <v>25952</v>
      </c>
      <c r="B5151" t="s">
        <v>11644</v>
      </c>
      <c r="C5151" t="s">
        <v>21416</v>
      </c>
      <c r="D5151" t="s">
        <v>25953</v>
      </c>
      <c r="E5151" t="b">
        <v>0</v>
      </c>
      <c r="F5151" t="s">
        <v>11610</v>
      </c>
      <c r="L5151">
        <v>0</v>
      </c>
      <c r="M5151">
        <v>0</v>
      </c>
      <c r="N5151">
        <v>0</v>
      </c>
    </row>
    <row r="5152" spans="1:15">
      <c r="A5152" t="s">
        <v>25954</v>
      </c>
      <c r="B5152" t="s">
        <v>11644</v>
      </c>
      <c r="C5152" t="s">
        <v>25955</v>
      </c>
      <c r="D5152" t="s">
        <v>25956</v>
      </c>
      <c r="E5152" t="b">
        <v>0</v>
      </c>
      <c r="F5152" t="s">
        <v>11624</v>
      </c>
      <c r="G5152">
        <v>23.984300000000001</v>
      </c>
      <c r="H5152">
        <v>102.694</v>
      </c>
      <c r="I5152" t="s">
        <v>25957</v>
      </c>
      <c r="L5152">
        <v>0</v>
      </c>
      <c r="M5152">
        <v>0</v>
      </c>
      <c r="N5152">
        <v>0</v>
      </c>
      <c r="O5152" t="s">
        <v>19781</v>
      </c>
    </row>
    <row r="5153" spans="1:15">
      <c r="A5153" t="s">
        <v>25958</v>
      </c>
      <c r="B5153" t="s">
        <v>11644</v>
      </c>
      <c r="C5153" t="s">
        <v>25959</v>
      </c>
      <c r="D5153" t="s">
        <v>25960</v>
      </c>
      <c r="E5153" t="b">
        <v>0</v>
      </c>
      <c r="F5153" t="s">
        <v>11610</v>
      </c>
      <c r="L5153">
        <v>0</v>
      </c>
      <c r="M5153">
        <v>0</v>
      </c>
      <c r="N5153">
        <v>0</v>
      </c>
    </row>
    <row r="5154" spans="1:15">
      <c r="A5154" t="s">
        <v>25961</v>
      </c>
      <c r="B5154" t="s">
        <v>11644</v>
      </c>
      <c r="C5154" t="s">
        <v>25962</v>
      </c>
      <c r="D5154" t="s">
        <v>25963</v>
      </c>
      <c r="E5154" t="b">
        <v>0</v>
      </c>
      <c r="F5154" t="s">
        <v>11610</v>
      </c>
      <c r="L5154">
        <v>0</v>
      </c>
      <c r="M5154">
        <v>0</v>
      </c>
      <c r="N5154">
        <v>0</v>
      </c>
    </row>
    <row r="5155" spans="1:15">
      <c r="A5155" t="s">
        <v>25964</v>
      </c>
      <c r="B5155" t="s">
        <v>11644</v>
      </c>
      <c r="C5155" t="s">
        <v>25965</v>
      </c>
      <c r="D5155" t="s">
        <v>25966</v>
      </c>
      <c r="E5155" t="b">
        <v>0</v>
      </c>
      <c r="F5155" t="s">
        <v>11624</v>
      </c>
      <c r="G5155">
        <v>27.413516666700001</v>
      </c>
      <c r="H5155">
        <v>87.061710000000005</v>
      </c>
      <c r="I5155" t="s">
        <v>25967</v>
      </c>
      <c r="L5155">
        <v>0</v>
      </c>
      <c r="M5155">
        <v>0</v>
      </c>
      <c r="N5155">
        <v>0</v>
      </c>
      <c r="O5155" t="s">
        <v>12524</v>
      </c>
    </row>
    <row r="5156" spans="1:15">
      <c r="A5156" t="s">
        <v>25968</v>
      </c>
      <c r="B5156" t="s">
        <v>11644</v>
      </c>
      <c r="C5156" t="s">
        <v>22429</v>
      </c>
      <c r="D5156" t="s">
        <v>25969</v>
      </c>
      <c r="E5156" t="b">
        <v>0</v>
      </c>
      <c r="F5156" t="s">
        <v>11610</v>
      </c>
      <c r="L5156">
        <v>0</v>
      </c>
      <c r="M5156">
        <v>0</v>
      </c>
      <c r="N5156">
        <v>0</v>
      </c>
    </row>
    <row r="5157" spans="1:15">
      <c r="A5157" t="s">
        <v>18333</v>
      </c>
      <c r="B5157" t="s">
        <v>11644</v>
      </c>
      <c r="C5157" t="s">
        <v>25970</v>
      </c>
      <c r="D5157" t="s">
        <v>25971</v>
      </c>
      <c r="E5157" t="b">
        <v>0</v>
      </c>
      <c r="F5157" t="s">
        <v>11624</v>
      </c>
      <c r="G5157">
        <v>28.5259</v>
      </c>
      <c r="H5157">
        <v>82.952299999999994</v>
      </c>
      <c r="I5157" t="s">
        <v>25972</v>
      </c>
      <c r="L5157">
        <v>0</v>
      </c>
      <c r="M5157">
        <v>0</v>
      </c>
      <c r="N5157">
        <v>1</v>
      </c>
      <c r="O5157" t="s">
        <v>15007</v>
      </c>
    </row>
    <row r="5158" spans="1:15">
      <c r="A5158" t="s">
        <v>25973</v>
      </c>
      <c r="B5158" t="s">
        <v>11644</v>
      </c>
      <c r="C5158" t="s">
        <v>25974</v>
      </c>
      <c r="D5158" t="s">
        <v>25975</v>
      </c>
      <c r="E5158" t="b">
        <v>0</v>
      </c>
      <c r="F5158" t="s">
        <v>11610</v>
      </c>
      <c r="L5158">
        <v>0</v>
      </c>
      <c r="M5158">
        <v>0</v>
      </c>
      <c r="N5158">
        <v>0</v>
      </c>
    </row>
    <row r="5159" spans="1:15">
      <c r="A5159" t="s">
        <v>24732</v>
      </c>
      <c r="B5159" t="s">
        <v>11644</v>
      </c>
      <c r="C5159" t="s">
        <v>25976</v>
      </c>
      <c r="D5159" t="s">
        <v>25977</v>
      </c>
      <c r="E5159" t="b">
        <v>0</v>
      </c>
      <c r="F5159" t="s">
        <v>11624</v>
      </c>
      <c r="G5159">
        <v>27.510300000000001</v>
      </c>
      <c r="H5159">
        <v>87.113399999999999</v>
      </c>
      <c r="I5159" t="s">
        <v>25978</v>
      </c>
      <c r="L5159">
        <v>0</v>
      </c>
      <c r="M5159">
        <v>0</v>
      </c>
      <c r="N5159">
        <v>3</v>
      </c>
      <c r="O5159" t="s">
        <v>15007</v>
      </c>
    </row>
    <row r="5160" spans="1:15">
      <c r="A5160" t="s">
        <v>25979</v>
      </c>
      <c r="B5160" t="s">
        <v>11644</v>
      </c>
      <c r="C5160" t="s">
        <v>25980</v>
      </c>
      <c r="D5160" t="s">
        <v>25981</v>
      </c>
      <c r="E5160" t="b">
        <v>0</v>
      </c>
      <c r="F5160" t="s">
        <v>11610</v>
      </c>
      <c r="L5160">
        <v>0</v>
      </c>
      <c r="M5160">
        <v>0</v>
      </c>
      <c r="N5160">
        <v>0</v>
      </c>
    </row>
    <row r="5161" spans="1:15">
      <c r="A5161" t="s">
        <v>25982</v>
      </c>
      <c r="B5161" t="s">
        <v>11644</v>
      </c>
      <c r="C5161" t="s">
        <v>16785</v>
      </c>
      <c r="D5161" t="s">
        <v>25983</v>
      </c>
      <c r="E5161" t="b">
        <v>0</v>
      </c>
      <c r="F5161" t="s">
        <v>11610</v>
      </c>
      <c r="L5161">
        <v>0</v>
      </c>
      <c r="M5161">
        <v>0</v>
      </c>
      <c r="N5161">
        <v>0</v>
      </c>
    </row>
    <row r="5162" spans="1:15">
      <c r="A5162" t="s">
        <v>25984</v>
      </c>
      <c r="B5162" t="s">
        <v>11644</v>
      </c>
      <c r="C5162" t="s">
        <v>21429</v>
      </c>
      <c r="D5162" t="s">
        <v>25985</v>
      </c>
      <c r="E5162" t="b">
        <v>0</v>
      </c>
      <c r="F5162" t="s">
        <v>11610</v>
      </c>
      <c r="L5162">
        <v>0</v>
      </c>
      <c r="M5162">
        <v>0</v>
      </c>
      <c r="N5162">
        <v>0</v>
      </c>
    </row>
    <row r="5163" spans="1:15">
      <c r="A5163" t="s">
        <v>19605</v>
      </c>
      <c r="B5163" t="s">
        <v>11644</v>
      </c>
      <c r="C5163" t="s">
        <v>25986</v>
      </c>
      <c r="D5163" t="s">
        <v>25987</v>
      </c>
      <c r="E5163" t="b">
        <v>0</v>
      </c>
      <c r="F5163" t="s">
        <v>11622</v>
      </c>
      <c r="L5163">
        <v>0</v>
      </c>
      <c r="M5163">
        <v>2</v>
      </c>
      <c r="N5163">
        <v>8</v>
      </c>
    </row>
    <row r="5164" spans="1:15">
      <c r="A5164" t="s">
        <v>25988</v>
      </c>
      <c r="B5164" t="s">
        <v>11644</v>
      </c>
      <c r="C5164" t="s">
        <v>24647</v>
      </c>
      <c r="D5164" t="s">
        <v>25989</v>
      </c>
      <c r="E5164" t="b">
        <v>0</v>
      </c>
      <c r="F5164" t="s">
        <v>11610</v>
      </c>
      <c r="L5164">
        <v>0</v>
      </c>
      <c r="M5164">
        <v>0</v>
      </c>
      <c r="N5164">
        <v>0</v>
      </c>
    </row>
    <row r="5165" spans="1:15">
      <c r="A5165" t="s">
        <v>25990</v>
      </c>
      <c r="B5165" t="s">
        <v>5126</v>
      </c>
      <c r="C5165" t="s">
        <v>19778</v>
      </c>
      <c r="D5165" t="s">
        <v>25991</v>
      </c>
      <c r="E5165" t="b">
        <v>0</v>
      </c>
      <c r="F5165" t="s">
        <v>11624</v>
      </c>
      <c r="G5165">
        <v>23.7</v>
      </c>
      <c r="H5165">
        <v>109</v>
      </c>
      <c r="I5165" t="s">
        <v>25992</v>
      </c>
      <c r="L5165">
        <v>0</v>
      </c>
      <c r="M5165">
        <v>0</v>
      </c>
      <c r="N5165">
        <v>0</v>
      </c>
      <c r="O5165" t="s">
        <v>11905</v>
      </c>
    </row>
    <row r="5166" spans="1:15">
      <c r="A5166" t="s">
        <v>25993</v>
      </c>
      <c r="B5166" t="s">
        <v>5126</v>
      </c>
      <c r="C5166" t="s">
        <v>21438</v>
      </c>
      <c r="D5166" t="s">
        <v>25994</v>
      </c>
      <c r="E5166" t="b">
        <v>0</v>
      </c>
      <c r="F5166" t="s">
        <v>11610</v>
      </c>
      <c r="L5166">
        <v>0</v>
      </c>
      <c r="M5166">
        <v>0</v>
      </c>
      <c r="N5166">
        <v>0</v>
      </c>
    </row>
    <row r="5167" spans="1:15">
      <c r="A5167" t="s">
        <v>20681</v>
      </c>
      <c r="B5167" t="s">
        <v>5126</v>
      </c>
      <c r="C5167" t="s">
        <v>25995</v>
      </c>
      <c r="D5167" t="s">
        <v>25996</v>
      </c>
      <c r="E5167" t="b">
        <v>0</v>
      </c>
      <c r="F5167" t="s">
        <v>11622</v>
      </c>
      <c r="L5167">
        <v>2</v>
      </c>
      <c r="M5167">
        <v>5</v>
      </c>
      <c r="N5167">
        <v>0</v>
      </c>
    </row>
    <row r="5168" spans="1:15">
      <c r="A5168" t="s">
        <v>21793</v>
      </c>
      <c r="B5168" t="s">
        <v>12686</v>
      </c>
      <c r="C5168" t="s">
        <v>12686</v>
      </c>
      <c r="D5168" t="s">
        <v>25997</v>
      </c>
      <c r="E5168" t="b">
        <v>0</v>
      </c>
      <c r="F5168" t="s">
        <v>11622</v>
      </c>
      <c r="L5168">
        <v>3</v>
      </c>
      <c r="M5168">
        <v>6</v>
      </c>
      <c r="N5168">
        <v>21</v>
      </c>
    </row>
    <row r="5169" spans="1:15">
      <c r="A5169" t="s">
        <v>12327</v>
      </c>
      <c r="B5169" t="s">
        <v>12311</v>
      </c>
      <c r="C5169" t="s">
        <v>25998</v>
      </c>
      <c r="D5169" t="s">
        <v>25999</v>
      </c>
      <c r="E5169" t="b">
        <v>0</v>
      </c>
      <c r="F5169" t="s">
        <v>11622</v>
      </c>
      <c r="L5169">
        <v>1</v>
      </c>
      <c r="M5169">
        <v>3</v>
      </c>
      <c r="N5169">
        <v>13</v>
      </c>
    </row>
    <row r="5170" spans="1:15">
      <c r="A5170" t="s">
        <v>18232</v>
      </c>
      <c r="B5170" t="s">
        <v>12311</v>
      </c>
      <c r="C5170" t="s">
        <v>26000</v>
      </c>
      <c r="D5170" t="s">
        <v>26001</v>
      </c>
      <c r="E5170" t="b">
        <v>0</v>
      </c>
      <c r="F5170" t="s">
        <v>11622</v>
      </c>
      <c r="L5170">
        <v>0</v>
      </c>
      <c r="M5170">
        <v>2</v>
      </c>
      <c r="N5170">
        <v>3</v>
      </c>
    </row>
    <row r="5171" spans="1:15">
      <c r="A5171" t="s">
        <v>26002</v>
      </c>
      <c r="B5171" t="s">
        <v>5058</v>
      </c>
      <c r="C5171" t="s">
        <v>26003</v>
      </c>
      <c r="D5171" t="s">
        <v>26004</v>
      </c>
      <c r="E5171" t="b">
        <v>0</v>
      </c>
      <c r="F5171" t="s">
        <v>11622</v>
      </c>
      <c r="L5171">
        <v>0</v>
      </c>
      <c r="M5171">
        <v>3</v>
      </c>
      <c r="N5171">
        <v>0</v>
      </c>
    </row>
    <row r="5172" spans="1:15">
      <c r="A5172" t="s">
        <v>26005</v>
      </c>
      <c r="B5172" t="s">
        <v>5058</v>
      </c>
      <c r="C5172" t="s">
        <v>26002</v>
      </c>
      <c r="D5172" t="s">
        <v>26006</v>
      </c>
      <c r="E5172" t="b">
        <v>0</v>
      </c>
      <c r="F5172" t="s">
        <v>11624</v>
      </c>
      <c r="G5172">
        <v>26.496600000000001</v>
      </c>
      <c r="H5172">
        <v>109.04600000000001</v>
      </c>
      <c r="I5172" t="s">
        <v>26007</v>
      </c>
      <c r="L5172">
        <v>0</v>
      </c>
      <c r="M5172">
        <v>0</v>
      </c>
      <c r="N5172">
        <v>0</v>
      </c>
      <c r="O5172" t="s">
        <v>11905</v>
      </c>
    </row>
    <row r="5173" spans="1:15">
      <c r="A5173" t="s">
        <v>26008</v>
      </c>
      <c r="B5173" t="s">
        <v>5058</v>
      </c>
      <c r="C5173" t="s">
        <v>26009</v>
      </c>
      <c r="D5173" t="s">
        <v>26010</v>
      </c>
      <c r="E5173" t="b">
        <v>0</v>
      </c>
      <c r="F5173" t="s">
        <v>11624</v>
      </c>
      <c r="G5173">
        <v>28.7318</v>
      </c>
      <c r="H5173">
        <v>109.756</v>
      </c>
      <c r="I5173" t="s">
        <v>26011</v>
      </c>
      <c r="L5173">
        <v>0</v>
      </c>
      <c r="M5173">
        <v>0</v>
      </c>
      <c r="N5173">
        <v>0</v>
      </c>
      <c r="O5173" t="s">
        <v>11905</v>
      </c>
    </row>
    <row r="5174" spans="1:15">
      <c r="A5174" t="s">
        <v>26012</v>
      </c>
      <c r="B5174" t="s">
        <v>5058</v>
      </c>
      <c r="C5174" t="s">
        <v>21441</v>
      </c>
      <c r="D5174" t="s">
        <v>26013</v>
      </c>
      <c r="E5174" t="b">
        <v>0</v>
      </c>
      <c r="F5174" t="s">
        <v>11624</v>
      </c>
      <c r="G5174">
        <v>25.994199999999999</v>
      </c>
      <c r="H5174">
        <v>106.83199999999999</v>
      </c>
      <c r="I5174" t="s">
        <v>26014</v>
      </c>
      <c r="L5174">
        <v>0</v>
      </c>
      <c r="M5174">
        <v>0</v>
      </c>
      <c r="N5174">
        <v>0</v>
      </c>
      <c r="O5174" t="s">
        <v>11905</v>
      </c>
    </row>
    <row r="5175" spans="1:15">
      <c r="A5175" t="s">
        <v>26015</v>
      </c>
      <c r="B5175" t="s">
        <v>6842</v>
      </c>
      <c r="C5175" t="s">
        <v>6842</v>
      </c>
      <c r="D5175" t="s">
        <v>26016</v>
      </c>
      <c r="E5175" t="b">
        <v>0</v>
      </c>
      <c r="F5175" t="s">
        <v>11610</v>
      </c>
      <c r="L5175">
        <v>0</v>
      </c>
      <c r="M5175">
        <v>0</v>
      </c>
      <c r="N5175">
        <v>0</v>
      </c>
    </row>
    <row r="5176" spans="1:15">
      <c r="A5176" t="s">
        <v>26017</v>
      </c>
      <c r="D5176" t="s">
        <v>26018</v>
      </c>
      <c r="E5176" t="b">
        <v>0</v>
      </c>
      <c r="F5176" t="s">
        <v>11622</v>
      </c>
      <c r="L5176">
        <v>0</v>
      </c>
      <c r="M5176">
        <v>2</v>
      </c>
      <c r="N5176">
        <v>0</v>
      </c>
    </row>
    <row r="5177" spans="1:15">
      <c r="A5177" t="s">
        <v>26019</v>
      </c>
      <c r="B5177" t="s">
        <v>10597</v>
      </c>
      <c r="C5177" t="s">
        <v>26020</v>
      </c>
      <c r="D5177" t="s">
        <v>26021</v>
      </c>
      <c r="E5177" t="b">
        <v>0</v>
      </c>
      <c r="F5177" t="s">
        <v>11610</v>
      </c>
      <c r="L5177">
        <v>0</v>
      </c>
      <c r="M5177">
        <v>0</v>
      </c>
      <c r="N5177">
        <v>0</v>
      </c>
    </row>
    <row r="5178" spans="1:15">
      <c r="A5178" t="s">
        <v>26022</v>
      </c>
      <c r="B5178" t="s">
        <v>10597</v>
      </c>
      <c r="C5178" t="s">
        <v>18595</v>
      </c>
      <c r="D5178" t="s">
        <v>26023</v>
      </c>
      <c r="E5178" t="b">
        <v>0</v>
      </c>
      <c r="F5178" t="s">
        <v>11610</v>
      </c>
      <c r="L5178">
        <v>0</v>
      </c>
      <c r="M5178">
        <v>0</v>
      </c>
      <c r="N5178">
        <v>0</v>
      </c>
    </row>
    <row r="5179" spans="1:15">
      <c r="A5179" t="s">
        <v>24975</v>
      </c>
      <c r="B5179" t="s">
        <v>10597</v>
      </c>
      <c r="C5179" t="s">
        <v>24688</v>
      </c>
      <c r="D5179" t="s">
        <v>26024</v>
      </c>
      <c r="E5179" t="b">
        <v>0</v>
      </c>
      <c r="F5179" t="s">
        <v>11622</v>
      </c>
      <c r="L5179">
        <v>0</v>
      </c>
      <c r="M5179">
        <v>2</v>
      </c>
      <c r="N5179">
        <v>6</v>
      </c>
    </row>
    <row r="5180" spans="1:15">
      <c r="A5180" t="s">
        <v>12694</v>
      </c>
      <c r="B5180" t="s">
        <v>10597</v>
      </c>
      <c r="C5180" t="s">
        <v>2625</v>
      </c>
      <c r="D5180" t="s">
        <v>26025</v>
      </c>
      <c r="E5180" t="b">
        <v>0</v>
      </c>
      <c r="F5180" t="s">
        <v>11624</v>
      </c>
      <c r="G5180">
        <v>-23.3583</v>
      </c>
      <c r="H5180">
        <v>135.04599999999999</v>
      </c>
      <c r="I5180" t="s">
        <v>26026</v>
      </c>
      <c r="L5180">
        <v>0</v>
      </c>
      <c r="M5180">
        <v>0</v>
      </c>
      <c r="N5180">
        <v>4</v>
      </c>
      <c r="O5180" t="s">
        <v>12107</v>
      </c>
    </row>
    <row r="5181" spans="1:15">
      <c r="A5181" t="s">
        <v>26027</v>
      </c>
      <c r="B5181" t="s">
        <v>10597</v>
      </c>
      <c r="C5181" t="s">
        <v>13979</v>
      </c>
      <c r="D5181" t="s">
        <v>26028</v>
      </c>
      <c r="E5181" t="b">
        <v>0</v>
      </c>
      <c r="F5181" t="s">
        <v>11610</v>
      </c>
      <c r="L5181">
        <v>0</v>
      </c>
      <c r="M5181">
        <v>0</v>
      </c>
      <c r="N5181">
        <v>0</v>
      </c>
    </row>
    <row r="5182" spans="1:15">
      <c r="A5182" t="s">
        <v>26029</v>
      </c>
      <c r="B5182" t="s">
        <v>17023</v>
      </c>
      <c r="C5182" t="s">
        <v>17023</v>
      </c>
      <c r="D5182" t="s">
        <v>26030</v>
      </c>
      <c r="E5182" t="b">
        <v>0</v>
      </c>
      <c r="F5182" t="s">
        <v>11622</v>
      </c>
      <c r="L5182">
        <v>3</v>
      </c>
      <c r="M5182">
        <v>5</v>
      </c>
      <c r="N5182">
        <v>5</v>
      </c>
    </row>
    <row r="5183" spans="1:15">
      <c r="A5183" t="s">
        <v>26031</v>
      </c>
      <c r="B5183" t="s">
        <v>17023</v>
      </c>
      <c r="C5183" t="s">
        <v>26032</v>
      </c>
      <c r="D5183" t="s">
        <v>26033</v>
      </c>
      <c r="E5183" t="b">
        <v>0</v>
      </c>
      <c r="F5183" t="s">
        <v>11610</v>
      </c>
      <c r="L5183">
        <v>0</v>
      </c>
      <c r="M5183">
        <v>0</v>
      </c>
      <c r="N5183">
        <v>0</v>
      </c>
    </row>
    <row r="5184" spans="1:15">
      <c r="A5184" t="s">
        <v>26034</v>
      </c>
      <c r="B5184" t="s">
        <v>12697</v>
      </c>
      <c r="C5184" t="s">
        <v>26035</v>
      </c>
      <c r="D5184" t="s">
        <v>26036</v>
      </c>
      <c r="E5184" t="b">
        <v>0</v>
      </c>
      <c r="F5184" t="s">
        <v>11622</v>
      </c>
      <c r="L5184">
        <v>2</v>
      </c>
      <c r="M5184">
        <v>5</v>
      </c>
      <c r="N5184">
        <v>2</v>
      </c>
    </row>
    <row r="5185" spans="1:15">
      <c r="A5185" t="s">
        <v>26037</v>
      </c>
      <c r="B5185" t="s">
        <v>12697</v>
      </c>
      <c r="C5185" t="s">
        <v>14175</v>
      </c>
      <c r="D5185" t="s">
        <v>26038</v>
      </c>
      <c r="E5185" t="b">
        <v>0</v>
      </c>
      <c r="F5185" t="s">
        <v>11610</v>
      </c>
      <c r="L5185">
        <v>0</v>
      </c>
      <c r="M5185">
        <v>0</v>
      </c>
      <c r="N5185">
        <v>0</v>
      </c>
    </row>
    <row r="5186" spans="1:15">
      <c r="A5186" t="s">
        <v>26039</v>
      </c>
      <c r="B5186" t="s">
        <v>12697</v>
      </c>
      <c r="C5186" t="s">
        <v>14175</v>
      </c>
      <c r="D5186" t="s">
        <v>26040</v>
      </c>
      <c r="E5186" t="b">
        <v>0</v>
      </c>
      <c r="F5186" t="s">
        <v>11610</v>
      </c>
      <c r="L5186">
        <v>0</v>
      </c>
      <c r="M5186">
        <v>0</v>
      </c>
      <c r="N5186">
        <v>0</v>
      </c>
    </row>
    <row r="5187" spans="1:15">
      <c r="A5187" t="s">
        <v>12646</v>
      </c>
      <c r="D5187" t="s">
        <v>26041</v>
      </c>
      <c r="E5187" t="b">
        <v>0</v>
      </c>
      <c r="F5187" t="s">
        <v>11622</v>
      </c>
      <c r="L5187">
        <v>1</v>
      </c>
      <c r="M5187">
        <v>4</v>
      </c>
      <c r="N5187">
        <v>6</v>
      </c>
    </row>
    <row r="5188" spans="1:15">
      <c r="A5188" t="s">
        <v>26042</v>
      </c>
      <c r="B5188" t="s">
        <v>6742</v>
      </c>
      <c r="C5188" t="s">
        <v>26043</v>
      </c>
      <c r="D5188" t="s">
        <v>26044</v>
      </c>
      <c r="E5188" t="b">
        <v>0</v>
      </c>
      <c r="F5188" t="s">
        <v>11624</v>
      </c>
      <c r="G5188">
        <v>9.7110699999999994</v>
      </c>
      <c r="H5188">
        <v>-11.749599999999999</v>
      </c>
      <c r="I5188" t="s">
        <v>26045</v>
      </c>
      <c r="L5188">
        <v>0</v>
      </c>
      <c r="M5188">
        <v>0</v>
      </c>
      <c r="N5188">
        <v>2</v>
      </c>
      <c r="O5188" t="s">
        <v>20263</v>
      </c>
    </row>
    <row r="5189" spans="1:15">
      <c r="A5189" t="s">
        <v>26046</v>
      </c>
      <c r="B5189" t="s">
        <v>6742</v>
      </c>
      <c r="C5189" t="s">
        <v>26047</v>
      </c>
      <c r="D5189" t="s">
        <v>26048</v>
      </c>
      <c r="E5189" t="b">
        <v>0</v>
      </c>
      <c r="F5189" t="s">
        <v>11610</v>
      </c>
      <c r="L5189">
        <v>0</v>
      </c>
      <c r="M5189">
        <v>0</v>
      </c>
      <c r="N5189">
        <v>0</v>
      </c>
    </row>
    <row r="5190" spans="1:15">
      <c r="A5190" t="s">
        <v>26049</v>
      </c>
      <c r="B5190" t="s">
        <v>6742</v>
      </c>
      <c r="C5190" t="s">
        <v>15474</v>
      </c>
      <c r="D5190" t="s">
        <v>26050</v>
      </c>
      <c r="E5190" t="b">
        <v>0</v>
      </c>
      <c r="F5190" t="s">
        <v>11624</v>
      </c>
      <c r="G5190">
        <v>6.3780299999999999</v>
      </c>
      <c r="H5190">
        <v>2.5498699999999999</v>
      </c>
      <c r="I5190" t="s">
        <v>26051</v>
      </c>
      <c r="L5190">
        <v>0</v>
      </c>
      <c r="M5190">
        <v>0</v>
      </c>
      <c r="N5190">
        <v>0</v>
      </c>
      <c r="O5190" t="s">
        <v>15477</v>
      </c>
    </row>
    <row r="5191" spans="1:15">
      <c r="A5191" t="s">
        <v>26052</v>
      </c>
      <c r="B5191" t="s">
        <v>6742</v>
      </c>
      <c r="C5191" t="s">
        <v>7140</v>
      </c>
      <c r="D5191" t="s">
        <v>26053</v>
      </c>
      <c r="E5191" t="b">
        <v>0</v>
      </c>
      <c r="F5191" t="s">
        <v>11622</v>
      </c>
      <c r="L5191">
        <v>1</v>
      </c>
      <c r="M5191">
        <v>3</v>
      </c>
      <c r="N5191">
        <v>5</v>
      </c>
    </row>
    <row r="5192" spans="1:15">
      <c r="A5192" t="s">
        <v>26054</v>
      </c>
      <c r="B5192" t="s">
        <v>6742</v>
      </c>
      <c r="C5192" t="s">
        <v>26055</v>
      </c>
      <c r="D5192" t="s">
        <v>26056</v>
      </c>
      <c r="E5192" t="b">
        <v>0</v>
      </c>
      <c r="F5192" t="s">
        <v>11610</v>
      </c>
      <c r="L5192">
        <v>0</v>
      </c>
      <c r="M5192">
        <v>0</v>
      </c>
      <c r="N5192">
        <v>0</v>
      </c>
    </row>
    <row r="5193" spans="1:15">
      <c r="A5193" t="s">
        <v>26057</v>
      </c>
      <c r="B5193" t="s">
        <v>6742</v>
      </c>
      <c r="C5193" t="s">
        <v>24923</v>
      </c>
      <c r="D5193" t="s">
        <v>26058</v>
      </c>
      <c r="E5193" t="b">
        <v>0</v>
      </c>
      <c r="F5193" t="s">
        <v>11610</v>
      </c>
      <c r="L5193">
        <v>0</v>
      </c>
      <c r="M5193">
        <v>0</v>
      </c>
      <c r="N5193">
        <v>0</v>
      </c>
    </row>
    <row r="5194" spans="1:15">
      <c r="A5194" t="s">
        <v>26059</v>
      </c>
      <c r="B5194" t="s">
        <v>6742</v>
      </c>
      <c r="C5194" t="s">
        <v>26060</v>
      </c>
      <c r="D5194" t="s">
        <v>26061</v>
      </c>
      <c r="E5194" t="b">
        <v>0</v>
      </c>
      <c r="F5194" t="s">
        <v>11610</v>
      </c>
      <c r="L5194">
        <v>0</v>
      </c>
      <c r="M5194">
        <v>0</v>
      </c>
      <c r="N5194">
        <v>0</v>
      </c>
    </row>
    <row r="5195" spans="1:15">
      <c r="A5195" t="s">
        <v>26062</v>
      </c>
      <c r="B5195" t="s">
        <v>6742</v>
      </c>
      <c r="C5195" t="s">
        <v>26063</v>
      </c>
      <c r="D5195" t="s">
        <v>26064</v>
      </c>
      <c r="E5195" t="b">
        <v>0</v>
      </c>
      <c r="F5195" t="s">
        <v>11610</v>
      </c>
      <c r="L5195">
        <v>0</v>
      </c>
      <c r="M5195">
        <v>0</v>
      </c>
      <c r="N5195">
        <v>0</v>
      </c>
    </row>
    <row r="5196" spans="1:15">
      <c r="A5196" t="s">
        <v>26065</v>
      </c>
      <c r="B5196" t="s">
        <v>6742</v>
      </c>
      <c r="C5196" t="s">
        <v>26066</v>
      </c>
      <c r="D5196" t="s">
        <v>26067</v>
      </c>
      <c r="E5196" t="b">
        <v>0</v>
      </c>
      <c r="F5196" t="s">
        <v>11622</v>
      </c>
      <c r="L5196">
        <v>4</v>
      </c>
      <c r="M5196">
        <v>7</v>
      </c>
      <c r="N5196">
        <v>9</v>
      </c>
    </row>
    <row r="5197" spans="1:15">
      <c r="A5197" t="s">
        <v>26068</v>
      </c>
      <c r="B5197" t="s">
        <v>6742</v>
      </c>
      <c r="C5197" t="s">
        <v>26069</v>
      </c>
      <c r="D5197" t="s">
        <v>26070</v>
      </c>
      <c r="E5197" t="b">
        <v>0</v>
      </c>
      <c r="F5197" t="s">
        <v>11624</v>
      </c>
      <c r="G5197">
        <v>10.498699999999999</v>
      </c>
      <c r="H5197">
        <v>-4.5225299999999997</v>
      </c>
      <c r="I5197" t="s">
        <v>26071</v>
      </c>
      <c r="L5197">
        <v>0</v>
      </c>
      <c r="M5197">
        <v>0</v>
      </c>
      <c r="N5197">
        <v>0</v>
      </c>
      <c r="O5197" t="s">
        <v>22064</v>
      </c>
    </row>
    <row r="5198" spans="1:15">
      <c r="A5198" t="s">
        <v>26072</v>
      </c>
      <c r="B5198" t="s">
        <v>6742</v>
      </c>
      <c r="C5198" t="s">
        <v>11804</v>
      </c>
      <c r="D5198" t="s">
        <v>26073</v>
      </c>
      <c r="E5198" t="b">
        <v>0</v>
      </c>
      <c r="F5198" t="s">
        <v>11610</v>
      </c>
      <c r="L5198">
        <v>0</v>
      </c>
      <c r="M5198">
        <v>0</v>
      </c>
      <c r="N5198">
        <v>0</v>
      </c>
    </row>
    <row r="5199" spans="1:15">
      <c r="A5199" t="s">
        <v>26074</v>
      </c>
      <c r="B5199" t="s">
        <v>6742</v>
      </c>
      <c r="C5199" t="s">
        <v>21467</v>
      </c>
      <c r="D5199" t="s">
        <v>26075</v>
      </c>
      <c r="E5199" t="b">
        <v>0</v>
      </c>
      <c r="F5199" t="s">
        <v>11622</v>
      </c>
      <c r="L5199">
        <v>5</v>
      </c>
      <c r="M5199">
        <v>8</v>
      </c>
      <c r="N5199">
        <v>13</v>
      </c>
    </row>
    <row r="5200" spans="1:15">
      <c r="A5200" t="s">
        <v>26076</v>
      </c>
      <c r="B5200" t="s">
        <v>6742</v>
      </c>
      <c r="C5200" t="s">
        <v>26077</v>
      </c>
      <c r="D5200" t="s">
        <v>26078</v>
      </c>
      <c r="E5200" t="b">
        <v>0</v>
      </c>
      <c r="F5200" t="s">
        <v>11622</v>
      </c>
      <c r="L5200">
        <v>1</v>
      </c>
      <c r="M5200">
        <v>3</v>
      </c>
      <c r="N5200">
        <v>10</v>
      </c>
    </row>
    <row r="5201" spans="1:15">
      <c r="A5201" t="s">
        <v>26079</v>
      </c>
      <c r="B5201" t="s">
        <v>6742</v>
      </c>
      <c r="C5201" t="s">
        <v>26080</v>
      </c>
      <c r="D5201" t="s">
        <v>26081</v>
      </c>
      <c r="E5201" t="b">
        <v>0</v>
      </c>
      <c r="F5201" t="s">
        <v>11610</v>
      </c>
      <c r="L5201">
        <v>0</v>
      </c>
      <c r="M5201">
        <v>0</v>
      </c>
      <c r="N5201">
        <v>0</v>
      </c>
    </row>
    <row r="5202" spans="1:15">
      <c r="A5202" t="s">
        <v>19624</v>
      </c>
      <c r="B5202" t="s">
        <v>6742</v>
      </c>
      <c r="C5202" t="s">
        <v>26082</v>
      </c>
      <c r="D5202" t="s">
        <v>26083</v>
      </c>
      <c r="E5202" t="b">
        <v>0</v>
      </c>
      <c r="F5202" t="s">
        <v>11624</v>
      </c>
      <c r="G5202">
        <v>10.7104</v>
      </c>
      <c r="H5202">
        <v>6.0105000000000004</v>
      </c>
      <c r="I5202" t="s">
        <v>26084</v>
      </c>
      <c r="L5202">
        <v>0</v>
      </c>
      <c r="M5202">
        <v>0</v>
      </c>
      <c r="N5202">
        <v>1</v>
      </c>
      <c r="O5202" t="s">
        <v>11693</v>
      </c>
    </row>
    <row r="5203" spans="1:15">
      <c r="A5203" t="s">
        <v>26085</v>
      </c>
      <c r="B5203" t="s">
        <v>6742</v>
      </c>
      <c r="C5203" t="s">
        <v>17208</v>
      </c>
      <c r="D5203" t="s">
        <v>26086</v>
      </c>
      <c r="E5203" t="b">
        <v>0</v>
      </c>
      <c r="F5203" t="s">
        <v>11622</v>
      </c>
      <c r="L5203">
        <v>11</v>
      </c>
      <c r="M5203">
        <v>24</v>
      </c>
      <c r="N5203">
        <v>15</v>
      </c>
    </row>
    <row r="5204" spans="1:15">
      <c r="A5204" t="s">
        <v>26087</v>
      </c>
      <c r="B5204" t="s">
        <v>6742</v>
      </c>
      <c r="C5204" t="s">
        <v>20764</v>
      </c>
      <c r="D5204" t="s">
        <v>26088</v>
      </c>
      <c r="E5204" t="b">
        <v>0</v>
      </c>
      <c r="F5204" t="s">
        <v>11610</v>
      </c>
      <c r="L5204">
        <v>0</v>
      </c>
      <c r="M5204">
        <v>0</v>
      </c>
      <c r="N5204">
        <v>0</v>
      </c>
    </row>
    <row r="5205" spans="1:15">
      <c r="A5205" t="s">
        <v>26089</v>
      </c>
      <c r="B5205" t="s">
        <v>6742</v>
      </c>
      <c r="C5205" t="s">
        <v>26090</v>
      </c>
      <c r="D5205" t="s">
        <v>26091</v>
      </c>
      <c r="E5205" t="b">
        <v>0</v>
      </c>
      <c r="F5205" t="s">
        <v>11610</v>
      </c>
      <c r="L5205">
        <v>0</v>
      </c>
      <c r="M5205">
        <v>0</v>
      </c>
      <c r="N5205">
        <v>0</v>
      </c>
    </row>
    <row r="5206" spans="1:15">
      <c r="A5206" t="s">
        <v>26092</v>
      </c>
      <c r="B5206" t="s">
        <v>6742</v>
      </c>
      <c r="C5206" t="s">
        <v>15793</v>
      </c>
      <c r="D5206" t="s">
        <v>26093</v>
      </c>
      <c r="E5206" t="b">
        <v>0</v>
      </c>
      <c r="F5206" t="s">
        <v>11610</v>
      </c>
      <c r="L5206">
        <v>0</v>
      </c>
      <c r="M5206">
        <v>0</v>
      </c>
      <c r="N5206">
        <v>0</v>
      </c>
    </row>
    <row r="5207" spans="1:15">
      <c r="A5207" t="s">
        <v>26094</v>
      </c>
      <c r="B5207" t="s">
        <v>6742</v>
      </c>
      <c r="C5207" t="s">
        <v>26095</v>
      </c>
      <c r="D5207" t="s">
        <v>26096</v>
      </c>
      <c r="E5207" t="b">
        <v>0</v>
      </c>
      <c r="F5207" t="s">
        <v>11610</v>
      </c>
      <c r="L5207">
        <v>0</v>
      </c>
      <c r="M5207">
        <v>0</v>
      </c>
      <c r="N5207">
        <v>0</v>
      </c>
    </row>
    <row r="5208" spans="1:15">
      <c r="A5208" t="s">
        <v>26097</v>
      </c>
      <c r="B5208" t="s">
        <v>6742</v>
      </c>
      <c r="C5208" t="s">
        <v>21900</v>
      </c>
      <c r="D5208" t="s">
        <v>26098</v>
      </c>
      <c r="E5208" t="b">
        <v>0</v>
      </c>
      <c r="F5208" t="s">
        <v>11624</v>
      </c>
      <c r="G5208">
        <v>0.38163000000000002</v>
      </c>
      <c r="H5208">
        <v>34.662599999999998</v>
      </c>
      <c r="I5208" t="s">
        <v>26099</v>
      </c>
      <c r="L5208">
        <v>0</v>
      </c>
      <c r="M5208">
        <v>0</v>
      </c>
      <c r="N5208">
        <v>0</v>
      </c>
      <c r="O5208" t="s">
        <v>22848</v>
      </c>
    </row>
    <row r="5209" spans="1:15">
      <c r="A5209" t="s">
        <v>26100</v>
      </c>
      <c r="B5209" t="s">
        <v>6742</v>
      </c>
      <c r="C5209" t="s">
        <v>26101</v>
      </c>
      <c r="D5209" t="s">
        <v>26102</v>
      </c>
      <c r="E5209" t="b">
        <v>0</v>
      </c>
      <c r="F5209" t="s">
        <v>11610</v>
      </c>
      <c r="L5209">
        <v>0</v>
      </c>
      <c r="M5209">
        <v>0</v>
      </c>
      <c r="N5209">
        <v>0</v>
      </c>
    </row>
    <row r="5210" spans="1:15">
      <c r="A5210" t="s">
        <v>26103</v>
      </c>
      <c r="B5210" t="s">
        <v>6742</v>
      </c>
      <c r="C5210" t="s">
        <v>26104</v>
      </c>
      <c r="D5210" t="s">
        <v>26105</v>
      </c>
      <c r="E5210" t="b">
        <v>0</v>
      </c>
      <c r="F5210" t="s">
        <v>11610</v>
      </c>
      <c r="L5210">
        <v>0</v>
      </c>
      <c r="M5210">
        <v>0</v>
      </c>
      <c r="N5210">
        <v>2</v>
      </c>
    </row>
    <row r="5211" spans="1:15">
      <c r="A5211" t="s">
        <v>26106</v>
      </c>
      <c r="B5211" t="s">
        <v>6742</v>
      </c>
      <c r="C5211" t="s">
        <v>21492</v>
      </c>
      <c r="D5211" t="s">
        <v>26107</v>
      </c>
      <c r="E5211" t="b">
        <v>0</v>
      </c>
      <c r="F5211" t="s">
        <v>11610</v>
      </c>
      <c r="L5211">
        <v>0</v>
      </c>
      <c r="M5211">
        <v>0</v>
      </c>
      <c r="N5211">
        <v>0</v>
      </c>
    </row>
    <row r="5212" spans="1:15">
      <c r="A5212" t="s">
        <v>26108</v>
      </c>
      <c r="B5212" t="s">
        <v>6742</v>
      </c>
      <c r="C5212" t="s">
        <v>26109</v>
      </c>
      <c r="D5212" t="s">
        <v>26110</v>
      </c>
      <c r="E5212" t="b">
        <v>0</v>
      </c>
      <c r="F5212" t="s">
        <v>11624</v>
      </c>
      <c r="G5212">
        <v>5.8355499999999996</v>
      </c>
      <c r="H5212">
        <v>-7.8545400000000001</v>
      </c>
      <c r="I5212" t="s">
        <v>26111</v>
      </c>
      <c r="L5212">
        <v>0</v>
      </c>
      <c r="M5212">
        <v>0</v>
      </c>
      <c r="N5212">
        <v>4</v>
      </c>
      <c r="O5212" t="s">
        <v>23855</v>
      </c>
    </row>
    <row r="5213" spans="1:15">
      <c r="A5213" t="s">
        <v>16184</v>
      </c>
      <c r="B5213" t="s">
        <v>6742</v>
      </c>
      <c r="C5213" t="s">
        <v>12595</v>
      </c>
      <c r="D5213" t="s">
        <v>26112</v>
      </c>
      <c r="E5213" t="b">
        <v>0</v>
      </c>
      <c r="F5213" t="s">
        <v>11622</v>
      </c>
      <c r="L5213">
        <v>8</v>
      </c>
      <c r="M5213">
        <v>12</v>
      </c>
      <c r="N5213">
        <v>25</v>
      </c>
    </row>
    <row r="5214" spans="1:15">
      <c r="A5214" t="s">
        <v>26113</v>
      </c>
      <c r="B5214" t="s">
        <v>6742</v>
      </c>
      <c r="C5214" t="s">
        <v>18189</v>
      </c>
      <c r="D5214" t="s">
        <v>26114</v>
      </c>
      <c r="E5214" t="b">
        <v>0</v>
      </c>
      <c r="F5214" t="s">
        <v>11622</v>
      </c>
      <c r="L5214">
        <v>0</v>
      </c>
      <c r="M5214">
        <v>2</v>
      </c>
      <c r="N5214">
        <v>6</v>
      </c>
    </row>
    <row r="5215" spans="1:15">
      <c r="A5215" t="s">
        <v>26115</v>
      </c>
      <c r="B5215" t="s">
        <v>11729</v>
      </c>
      <c r="C5215" t="s">
        <v>24743</v>
      </c>
      <c r="D5215" t="s">
        <v>26116</v>
      </c>
      <c r="E5215" t="b">
        <v>0</v>
      </c>
      <c r="F5215" t="s">
        <v>11610</v>
      </c>
      <c r="L5215">
        <v>0</v>
      </c>
      <c r="M5215">
        <v>0</v>
      </c>
      <c r="N5215">
        <v>0</v>
      </c>
    </row>
    <row r="5216" spans="1:15">
      <c r="A5216" t="s">
        <v>17079</v>
      </c>
      <c r="B5216" t="s">
        <v>11757</v>
      </c>
      <c r="C5216" t="s">
        <v>11757</v>
      </c>
      <c r="D5216" t="s">
        <v>26117</v>
      </c>
      <c r="E5216" t="b">
        <v>0</v>
      </c>
      <c r="F5216" t="s">
        <v>11622</v>
      </c>
      <c r="L5216">
        <v>8</v>
      </c>
      <c r="M5216">
        <v>16</v>
      </c>
      <c r="N5216">
        <v>36</v>
      </c>
    </row>
    <row r="5217" spans="1:15">
      <c r="A5217" t="s">
        <v>26118</v>
      </c>
      <c r="B5217" t="s">
        <v>11757</v>
      </c>
      <c r="C5217" t="s">
        <v>26119</v>
      </c>
      <c r="D5217" t="s">
        <v>26120</v>
      </c>
      <c r="E5217" t="b">
        <v>0</v>
      </c>
      <c r="F5217" t="s">
        <v>11610</v>
      </c>
      <c r="L5217">
        <v>0</v>
      </c>
      <c r="M5217">
        <v>0</v>
      </c>
      <c r="N5217">
        <v>0</v>
      </c>
    </row>
    <row r="5218" spans="1:15">
      <c r="A5218" t="s">
        <v>26121</v>
      </c>
      <c r="B5218" t="s">
        <v>11757</v>
      </c>
      <c r="C5218" t="s">
        <v>26122</v>
      </c>
      <c r="D5218" t="s">
        <v>26123</v>
      </c>
      <c r="E5218" t="b">
        <v>0</v>
      </c>
      <c r="F5218" t="s">
        <v>11610</v>
      </c>
      <c r="L5218">
        <v>0</v>
      </c>
      <c r="M5218">
        <v>0</v>
      </c>
      <c r="N5218">
        <v>0</v>
      </c>
    </row>
    <row r="5219" spans="1:15">
      <c r="A5219" t="s">
        <v>26124</v>
      </c>
      <c r="B5219" t="s">
        <v>11757</v>
      </c>
      <c r="C5219" t="s">
        <v>945</v>
      </c>
      <c r="D5219" t="s">
        <v>26125</v>
      </c>
      <c r="E5219" t="b">
        <v>0</v>
      </c>
      <c r="F5219" t="s">
        <v>11610</v>
      </c>
      <c r="L5219">
        <v>0</v>
      </c>
      <c r="M5219">
        <v>0</v>
      </c>
      <c r="N5219">
        <v>0</v>
      </c>
    </row>
    <row r="5220" spans="1:15">
      <c r="A5220" t="s">
        <v>26126</v>
      </c>
      <c r="B5220" t="s">
        <v>11757</v>
      </c>
      <c r="C5220" t="s">
        <v>945</v>
      </c>
      <c r="D5220" t="s">
        <v>26127</v>
      </c>
      <c r="E5220" t="b">
        <v>0</v>
      </c>
      <c r="F5220" t="s">
        <v>11610</v>
      </c>
      <c r="L5220">
        <v>0</v>
      </c>
      <c r="M5220">
        <v>0</v>
      </c>
      <c r="N5220">
        <v>0</v>
      </c>
    </row>
    <row r="5221" spans="1:15">
      <c r="A5221" t="s">
        <v>26128</v>
      </c>
      <c r="B5221" t="s">
        <v>13571</v>
      </c>
      <c r="C5221" t="s">
        <v>22320</v>
      </c>
      <c r="D5221" t="s">
        <v>26129</v>
      </c>
      <c r="E5221" t="b">
        <v>0</v>
      </c>
      <c r="F5221" t="s">
        <v>11622</v>
      </c>
      <c r="L5221">
        <v>0</v>
      </c>
      <c r="M5221">
        <v>3</v>
      </c>
      <c r="N5221">
        <v>5</v>
      </c>
    </row>
    <row r="5222" spans="1:15">
      <c r="A5222" t="s">
        <v>26130</v>
      </c>
      <c r="B5222" t="s">
        <v>11868</v>
      </c>
      <c r="C5222" t="s">
        <v>21780</v>
      </c>
      <c r="D5222" t="s">
        <v>26131</v>
      </c>
      <c r="E5222" t="b">
        <v>0</v>
      </c>
      <c r="F5222" t="s">
        <v>11622</v>
      </c>
      <c r="L5222">
        <v>0</v>
      </c>
      <c r="M5222">
        <v>2</v>
      </c>
      <c r="N5222">
        <v>4</v>
      </c>
    </row>
    <row r="5223" spans="1:15">
      <c r="A5223" t="s">
        <v>16407</v>
      </c>
      <c r="B5223" t="s">
        <v>13276</v>
      </c>
      <c r="C5223" t="s">
        <v>26132</v>
      </c>
      <c r="D5223" t="s">
        <v>26133</v>
      </c>
      <c r="E5223" t="b">
        <v>0</v>
      </c>
      <c r="F5223" t="s">
        <v>11622</v>
      </c>
      <c r="L5223">
        <v>3</v>
      </c>
      <c r="M5223">
        <v>13</v>
      </c>
      <c r="N5223">
        <v>38</v>
      </c>
    </row>
    <row r="5224" spans="1:15">
      <c r="A5224" t="s">
        <v>13277</v>
      </c>
      <c r="B5224" t="s">
        <v>13276</v>
      </c>
      <c r="C5224" t="s">
        <v>26134</v>
      </c>
      <c r="D5224" t="s">
        <v>26135</v>
      </c>
      <c r="E5224" t="b">
        <v>0</v>
      </c>
      <c r="F5224" t="s">
        <v>11624</v>
      </c>
      <c r="G5224">
        <v>9.3304799999999997</v>
      </c>
      <c r="H5224">
        <v>-10.539400000000001</v>
      </c>
      <c r="I5224" t="s">
        <v>26136</v>
      </c>
      <c r="L5224">
        <v>0</v>
      </c>
      <c r="M5224">
        <v>0</v>
      </c>
      <c r="N5224">
        <v>4</v>
      </c>
      <c r="O5224" t="s">
        <v>26137</v>
      </c>
    </row>
    <row r="5225" spans="1:15">
      <c r="A5225" t="s">
        <v>26138</v>
      </c>
      <c r="B5225" t="s">
        <v>17030</v>
      </c>
      <c r="C5225" t="s">
        <v>17030</v>
      </c>
      <c r="D5225" t="s">
        <v>26139</v>
      </c>
      <c r="E5225" t="b">
        <v>0</v>
      </c>
      <c r="F5225" t="s">
        <v>11622</v>
      </c>
      <c r="L5225">
        <v>0</v>
      </c>
      <c r="M5225">
        <v>2</v>
      </c>
      <c r="N5225">
        <v>3</v>
      </c>
    </row>
    <row r="5226" spans="1:15">
      <c r="A5226" t="s">
        <v>26140</v>
      </c>
      <c r="B5226" t="s">
        <v>21516</v>
      </c>
      <c r="C5226" t="s">
        <v>21516</v>
      </c>
      <c r="D5226" t="s">
        <v>26141</v>
      </c>
      <c r="E5226" t="b">
        <v>0</v>
      </c>
      <c r="F5226" t="s">
        <v>11622</v>
      </c>
      <c r="L5226">
        <v>0</v>
      </c>
      <c r="M5226">
        <v>2</v>
      </c>
      <c r="N5226">
        <v>2</v>
      </c>
    </row>
    <row r="5227" spans="1:15">
      <c r="A5227" t="s">
        <v>26142</v>
      </c>
      <c r="B5227" t="s">
        <v>3165</v>
      </c>
      <c r="C5227" t="s">
        <v>11906</v>
      </c>
      <c r="D5227" t="s">
        <v>26143</v>
      </c>
      <c r="E5227" t="b">
        <v>0</v>
      </c>
      <c r="F5227" t="s">
        <v>11610</v>
      </c>
      <c r="L5227">
        <v>0</v>
      </c>
      <c r="M5227">
        <v>0</v>
      </c>
      <c r="N5227">
        <v>0</v>
      </c>
    </row>
    <row r="5228" spans="1:15">
      <c r="A5228" t="s">
        <v>26144</v>
      </c>
      <c r="B5228" t="s">
        <v>12562</v>
      </c>
      <c r="C5228" t="s">
        <v>12562</v>
      </c>
      <c r="D5228" t="s">
        <v>26145</v>
      </c>
      <c r="E5228" t="b">
        <v>0</v>
      </c>
      <c r="F5228" t="s">
        <v>11622</v>
      </c>
      <c r="L5228">
        <v>1</v>
      </c>
      <c r="M5228">
        <v>5</v>
      </c>
      <c r="N5228">
        <v>3</v>
      </c>
    </row>
    <row r="5229" spans="1:15">
      <c r="A5229" t="s">
        <v>18131</v>
      </c>
      <c r="B5229" t="s">
        <v>13967</v>
      </c>
      <c r="C5229" t="s">
        <v>13967</v>
      </c>
      <c r="D5229" t="s">
        <v>26146</v>
      </c>
      <c r="E5229" t="b">
        <v>0</v>
      </c>
      <c r="F5229" t="s">
        <v>11622</v>
      </c>
      <c r="L5229">
        <v>0</v>
      </c>
      <c r="M5229">
        <v>2</v>
      </c>
      <c r="N5229">
        <v>6</v>
      </c>
    </row>
    <row r="5230" spans="1:15">
      <c r="A5230" t="s">
        <v>26147</v>
      </c>
      <c r="D5230" t="s">
        <v>26148</v>
      </c>
      <c r="E5230" t="b">
        <v>0</v>
      </c>
      <c r="F5230" t="s">
        <v>11622</v>
      </c>
      <c r="L5230">
        <v>1</v>
      </c>
      <c r="M5230">
        <v>6</v>
      </c>
      <c r="N5230">
        <v>3</v>
      </c>
    </row>
    <row r="5231" spans="1:15">
      <c r="A5231" t="s">
        <v>26149</v>
      </c>
      <c r="B5231" t="s">
        <v>21528</v>
      </c>
      <c r="C5231" t="s">
        <v>21529</v>
      </c>
      <c r="D5231" t="s">
        <v>26150</v>
      </c>
      <c r="E5231" t="b">
        <v>0</v>
      </c>
      <c r="F5231" t="s">
        <v>11610</v>
      </c>
      <c r="L5231">
        <v>0</v>
      </c>
      <c r="M5231">
        <v>0</v>
      </c>
      <c r="N5231">
        <v>0</v>
      </c>
    </row>
    <row r="5232" spans="1:15">
      <c r="A5232" t="s">
        <v>26151</v>
      </c>
      <c r="B5232" t="s">
        <v>367</v>
      </c>
      <c r="C5232" t="s">
        <v>21878</v>
      </c>
      <c r="D5232" t="s">
        <v>26152</v>
      </c>
      <c r="E5232" t="b">
        <v>0</v>
      </c>
      <c r="F5232" t="s">
        <v>11622</v>
      </c>
      <c r="L5232">
        <v>0</v>
      </c>
      <c r="M5232">
        <v>2</v>
      </c>
      <c r="N5232">
        <v>0</v>
      </c>
    </row>
    <row r="5233" spans="1:15">
      <c r="A5233" t="s">
        <v>26153</v>
      </c>
      <c r="B5233" t="s">
        <v>367</v>
      </c>
      <c r="C5233" t="s">
        <v>21862</v>
      </c>
      <c r="D5233" t="s">
        <v>26154</v>
      </c>
      <c r="E5233" t="b">
        <v>0</v>
      </c>
      <c r="F5233" t="s">
        <v>11622</v>
      </c>
      <c r="L5233">
        <v>0</v>
      </c>
      <c r="M5233">
        <v>2</v>
      </c>
      <c r="N5233">
        <v>2</v>
      </c>
    </row>
    <row r="5234" spans="1:15">
      <c r="A5234" t="s">
        <v>26155</v>
      </c>
      <c r="B5234" t="s">
        <v>367</v>
      </c>
      <c r="C5234" t="s">
        <v>26153</v>
      </c>
      <c r="D5234" t="s">
        <v>26156</v>
      </c>
      <c r="E5234" t="b">
        <v>0</v>
      </c>
      <c r="F5234" t="s">
        <v>11624</v>
      </c>
      <c r="G5234">
        <v>7.3370000000000005E-2</v>
      </c>
      <c r="H5234">
        <v>127.423</v>
      </c>
      <c r="I5234" t="s">
        <v>26157</v>
      </c>
      <c r="L5234">
        <v>0</v>
      </c>
      <c r="M5234">
        <v>0</v>
      </c>
      <c r="N5234">
        <v>2</v>
      </c>
      <c r="O5234" t="s">
        <v>11768</v>
      </c>
    </row>
    <row r="5235" spans="1:15">
      <c r="A5235" t="s">
        <v>26158</v>
      </c>
      <c r="B5235" t="s">
        <v>367</v>
      </c>
      <c r="C5235" t="s">
        <v>69</v>
      </c>
      <c r="D5235" t="s">
        <v>26159</v>
      </c>
      <c r="E5235" t="b">
        <v>0</v>
      </c>
      <c r="F5235" t="s">
        <v>11610</v>
      </c>
      <c r="L5235">
        <v>0</v>
      </c>
      <c r="M5235">
        <v>0</v>
      </c>
      <c r="N5235">
        <v>0</v>
      </c>
    </row>
    <row r="5236" spans="1:15">
      <c r="A5236" t="s">
        <v>26160</v>
      </c>
      <c r="B5236" t="s">
        <v>367</v>
      </c>
      <c r="C5236" t="s">
        <v>13356</v>
      </c>
      <c r="D5236" t="s">
        <v>26161</v>
      </c>
      <c r="E5236" t="b">
        <v>0</v>
      </c>
      <c r="F5236" t="s">
        <v>11624</v>
      </c>
      <c r="G5236">
        <v>-15.3523</v>
      </c>
      <c r="H5236">
        <v>167.89</v>
      </c>
      <c r="I5236" t="s">
        <v>26162</v>
      </c>
      <c r="L5236">
        <v>0</v>
      </c>
      <c r="M5236">
        <v>0</v>
      </c>
      <c r="N5236">
        <v>3</v>
      </c>
      <c r="O5236" t="s">
        <v>12719</v>
      </c>
    </row>
    <row r="5237" spans="1:15">
      <c r="A5237" t="s">
        <v>26163</v>
      </c>
      <c r="B5237" t="s">
        <v>367</v>
      </c>
      <c r="C5237" t="s">
        <v>21538</v>
      </c>
      <c r="D5237" t="s">
        <v>26164</v>
      </c>
      <c r="E5237" t="b">
        <v>0</v>
      </c>
      <c r="F5237" t="s">
        <v>11622</v>
      </c>
      <c r="L5237">
        <v>20</v>
      </c>
      <c r="M5237">
        <v>42</v>
      </c>
      <c r="N5237">
        <v>57</v>
      </c>
    </row>
    <row r="5238" spans="1:15">
      <c r="A5238" t="s">
        <v>26165</v>
      </c>
      <c r="B5238" t="s">
        <v>367</v>
      </c>
      <c r="C5238" t="s">
        <v>26163</v>
      </c>
      <c r="D5238" t="s">
        <v>26166</v>
      </c>
      <c r="E5238" t="b">
        <v>0</v>
      </c>
      <c r="F5238" t="s">
        <v>11622</v>
      </c>
      <c r="L5238">
        <v>0</v>
      </c>
      <c r="M5238">
        <v>4</v>
      </c>
      <c r="N5238">
        <v>10</v>
      </c>
    </row>
    <row r="5239" spans="1:15">
      <c r="A5239" t="s">
        <v>26167</v>
      </c>
      <c r="B5239" t="s">
        <v>367</v>
      </c>
      <c r="C5239" t="s">
        <v>14052</v>
      </c>
      <c r="D5239" t="s">
        <v>26168</v>
      </c>
      <c r="E5239" t="b">
        <v>0</v>
      </c>
      <c r="F5239" t="s">
        <v>11624</v>
      </c>
      <c r="G5239">
        <v>-14.278717</v>
      </c>
      <c r="H5239">
        <v>-178.13722200000001</v>
      </c>
      <c r="I5239" t="s">
        <v>26169</v>
      </c>
      <c r="L5239">
        <v>0</v>
      </c>
      <c r="M5239">
        <v>0</v>
      </c>
      <c r="N5239">
        <v>0</v>
      </c>
      <c r="O5239" t="s">
        <v>26170</v>
      </c>
    </row>
    <row r="5240" spans="1:15">
      <c r="A5240" t="s">
        <v>21543</v>
      </c>
      <c r="B5240" t="s">
        <v>367</v>
      </c>
      <c r="C5240" t="s">
        <v>21921</v>
      </c>
      <c r="D5240" t="s">
        <v>26171</v>
      </c>
      <c r="E5240" t="b">
        <v>0</v>
      </c>
      <c r="F5240" t="s">
        <v>11622</v>
      </c>
      <c r="L5240">
        <v>4</v>
      </c>
      <c r="M5240">
        <v>13</v>
      </c>
      <c r="N5240">
        <v>31</v>
      </c>
    </row>
    <row r="5241" spans="1:15">
      <c r="A5241" t="s">
        <v>26172</v>
      </c>
      <c r="B5241" t="s">
        <v>367</v>
      </c>
      <c r="C5241" t="s">
        <v>26173</v>
      </c>
      <c r="D5241" t="s">
        <v>26174</v>
      </c>
      <c r="E5241" t="b">
        <v>0</v>
      </c>
      <c r="F5241" t="s">
        <v>11610</v>
      </c>
      <c r="L5241">
        <v>0</v>
      </c>
      <c r="M5241">
        <v>0</v>
      </c>
      <c r="N5241">
        <v>0</v>
      </c>
    </row>
    <row r="5242" spans="1:15">
      <c r="A5242" t="s">
        <v>22391</v>
      </c>
      <c r="B5242" t="s">
        <v>367</v>
      </c>
      <c r="C5242" t="s">
        <v>21546</v>
      </c>
      <c r="D5242" t="s">
        <v>26175</v>
      </c>
      <c r="E5242" t="b">
        <v>0</v>
      </c>
      <c r="F5242" t="s">
        <v>11622</v>
      </c>
      <c r="L5242">
        <v>0</v>
      </c>
      <c r="M5242">
        <v>2</v>
      </c>
      <c r="N5242">
        <v>2</v>
      </c>
    </row>
    <row r="5243" spans="1:15">
      <c r="A5243" t="s">
        <v>26176</v>
      </c>
      <c r="B5243" t="s">
        <v>367</v>
      </c>
      <c r="C5243" t="s">
        <v>6861</v>
      </c>
      <c r="D5243" t="s">
        <v>26177</v>
      </c>
      <c r="E5243" t="b">
        <v>0</v>
      </c>
      <c r="F5243" t="s">
        <v>11610</v>
      </c>
      <c r="L5243">
        <v>0</v>
      </c>
      <c r="M5243">
        <v>0</v>
      </c>
      <c r="N5243">
        <v>0</v>
      </c>
    </row>
    <row r="5244" spans="1:15">
      <c r="A5244" t="s">
        <v>26178</v>
      </c>
      <c r="B5244" t="s">
        <v>367</v>
      </c>
      <c r="C5244" t="s">
        <v>26179</v>
      </c>
      <c r="D5244" t="s">
        <v>26180</v>
      </c>
      <c r="E5244" t="b">
        <v>0</v>
      </c>
      <c r="F5244" t="s">
        <v>11610</v>
      </c>
      <c r="L5244">
        <v>0</v>
      </c>
      <c r="M5244">
        <v>0</v>
      </c>
      <c r="N5244">
        <v>0</v>
      </c>
    </row>
    <row r="5245" spans="1:15">
      <c r="A5245" t="s">
        <v>26181</v>
      </c>
      <c r="B5245" t="s">
        <v>367</v>
      </c>
      <c r="C5245" t="s">
        <v>7972</v>
      </c>
      <c r="D5245" t="s">
        <v>26182</v>
      </c>
      <c r="E5245" t="b">
        <v>0</v>
      </c>
      <c r="F5245" t="s">
        <v>11610</v>
      </c>
      <c r="L5245">
        <v>0</v>
      </c>
      <c r="M5245">
        <v>0</v>
      </c>
      <c r="N5245">
        <v>0</v>
      </c>
    </row>
    <row r="5246" spans="1:15">
      <c r="A5246" t="s">
        <v>26183</v>
      </c>
      <c r="B5246" t="s">
        <v>367</v>
      </c>
      <c r="C5246" t="s">
        <v>26184</v>
      </c>
      <c r="D5246" t="s">
        <v>26185</v>
      </c>
      <c r="E5246" t="b">
        <v>0</v>
      </c>
      <c r="F5246" t="s">
        <v>11610</v>
      </c>
      <c r="L5246">
        <v>0</v>
      </c>
      <c r="M5246">
        <v>0</v>
      </c>
      <c r="N5246">
        <v>0</v>
      </c>
    </row>
    <row r="5247" spans="1:15">
      <c r="A5247" t="s">
        <v>26186</v>
      </c>
      <c r="B5247" t="s">
        <v>367</v>
      </c>
      <c r="C5247" t="s">
        <v>7452</v>
      </c>
      <c r="D5247" t="s">
        <v>26187</v>
      </c>
      <c r="E5247" t="b">
        <v>0</v>
      </c>
      <c r="F5247" t="s">
        <v>11610</v>
      </c>
      <c r="L5247">
        <v>0</v>
      </c>
      <c r="M5247">
        <v>0</v>
      </c>
      <c r="N5247">
        <v>0</v>
      </c>
    </row>
    <row r="5248" spans="1:15">
      <c r="A5248" t="s">
        <v>26188</v>
      </c>
      <c r="B5248" t="s">
        <v>367</v>
      </c>
      <c r="C5248" t="s">
        <v>12100</v>
      </c>
      <c r="D5248" t="s">
        <v>26189</v>
      </c>
      <c r="E5248" t="b">
        <v>0</v>
      </c>
      <c r="F5248" t="s">
        <v>11622</v>
      </c>
      <c r="L5248">
        <v>12</v>
      </c>
      <c r="M5248">
        <v>28</v>
      </c>
      <c r="N5248">
        <v>16</v>
      </c>
    </row>
    <row r="5249" spans="1:15">
      <c r="A5249" t="s">
        <v>13758</v>
      </c>
      <c r="B5249" t="s">
        <v>367</v>
      </c>
      <c r="C5249" t="s">
        <v>7798</v>
      </c>
      <c r="D5249" t="s">
        <v>26190</v>
      </c>
      <c r="E5249" t="b">
        <v>0</v>
      </c>
      <c r="F5249" t="s">
        <v>11622</v>
      </c>
      <c r="L5249">
        <v>4</v>
      </c>
      <c r="M5249">
        <v>12</v>
      </c>
      <c r="N5249">
        <v>2</v>
      </c>
    </row>
    <row r="5250" spans="1:15">
      <c r="A5250" t="s">
        <v>26191</v>
      </c>
      <c r="B5250" t="s">
        <v>367</v>
      </c>
      <c r="C5250" t="s">
        <v>26192</v>
      </c>
      <c r="D5250" t="s">
        <v>26193</v>
      </c>
      <c r="E5250" t="b">
        <v>0</v>
      </c>
      <c r="F5250" t="s">
        <v>11610</v>
      </c>
      <c r="L5250">
        <v>0</v>
      </c>
      <c r="M5250">
        <v>0</v>
      </c>
      <c r="N5250">
        <v>0</v>
      </c>
    </row>
    <row r="5251" spans="1:15">
      <c r="A5251" t="s">
        <v>26194</v>
      </c>
      <c r="B5251" t="s">
        <v>367</v>
      </c>
      <c r="C5251" t="s">
        <v>21566</v>
      </c>
      <c r="D5251" t="s">
        <v>26195</v>
      </c>
      <c r="E5251" t="b">
        <v>0</v>
      </c>
      <c r="F5251" t="s">
        <v>11624</v>
      </c>
      <c r="G5251">
        <v>-8.1345500000000008</v>
      </c>
      <c r="H5251">
        <v>129.87299999999999</v>
      </c>
      <c r="I5251" t="s">
        <v>26196</v>
      </c>
      <c r="L5251">
        <v>0</v>
      </c>
      <c r="M5251">
        <v>0</v>
      </c>
      <c r="N5251">
        <v>0</v>
      </c>
      <c r="O5251" t="s">
        <v>11768</v>
      </c>
    </row>
    <row r="5252" spans="1:15">
      <c r="A5252" t="s">
        <v>26197</v>
      </c>
      <c r="B5252" t="s">
        <v>367</v>
      </c>
      <c r="C5252" t="s">
        <v>5503</v>
      </c>
      <c r="D5252" t="s">
        <v>26198</v>
      </c>
      <c r="E5252" t="b">
        <v>0</v>
      </c>
      <c r="F5252" t="s">
        <v>11610</v>
      </c>
      <c r="L5252">
        <v>0</v>
      </c>
      <c r="M5252">
        <v>0</v>
      </c>
      <c r="N5252">
        <v>0</v>
      </c>
    </row>
    <row r="5253" spans="1:15">
      <c r="A5253" t="s">
        <v>26199</v>
      </c>
      <c r="B5253" t="s">
        <v>367</v>
      </c>
      <c r="C5253" t="s">
        <v>16051</v>
      </c>
      <c r="D5253" t="s">
        <v>26200</v>
      </c>
      <c r="E5253" t="b">
        <v>0</v>
      </c>
      <c r="F5253" t="s">
        <v>11610</v>
      </c>
      <c r="G5253">
        <v>-8.8274500000000007</v>
      </c>
      <c r="H5253">
        <v>121.121</v>
      </c>
      <c r="I5253" t="s">
        <v>26201</v>
      </c>
      <c r="L5253">
        <v>0</v>
      </c>
      <c r="M5253">
        <v>0</v>
      </c>
      <c r="N5253">
        <v>0</v>
      </c>
      <c r="O5253" t="s">
        <v>11768</v>
      </c>
    </row>
    <row r="5254" spans="1:15">
      <c r="A5254" t="s">
        <v>26202</v>
      </c>
      <c r="B5254" t="s">
        <v>367</v>
      </c>
      <c r="C5254" t="s">
        <v>14691</v>
      </c>
      <c r="D5254" t="s">
        <v>26203</v>
      </c>
      <c r="E5254" t="b">
        <v>0</v>
      </c>
      <c r="F5254" t="s">
        <v>11624</v>
      </c>
      <c r="G5254">
        <v>-6.76213</v>
      </c>
      <c r="H5254">
        <v>134.28800000000001</v>
      </c>
      <c r="I5254" t="s">
        <v>26204</v>
      </c>
      <c r="L5254">
        <v>0</v>
      </c>
      <c r="M5254">
        <v>0</v>
      </c>
      <c r="N5254">
        <v>0</v>
      </c>
      <c r="O5254" t="s">
        <v>11768</v>
      </c>
    </row>
    <row r="5255" spans="1:15">
      <c r="A5255" t="s">
        <v>16577</v>
      </c>
      <c r="B5255" t="s">
        <v>367</v>
      </c>
      <c r="C5255" t="s">
        <v>21833</v>
      </c>
      <c r="D5255" t="s">
        <v>26205</v>
      </c>
      <c r="E5255" t="b">
        <v>0</v>
      </c>
      <c r="F5255" t="s">
        <v>11622</v>
      </c>
      <c r="L5255">
        <v>31</v>
      </c>
      <c r="M5255">
        <v>42</v>
      </c>
      <c r="N5255">
        <v>67</v>
      </c>
    </row>
    <row r="5256" spans="1:15">
      <c r="A5256" t="s">
        <v>18993</v>
      </c>
      <c r="B5256" t="s">
        <v>367</v>
      </c>
      <c r="C5256" t="s">
        <v>26206</v>
      </c>
      <c r="D5256" t="s">
        <v>26207</v>
      </c>
      <c r="E5256" t="b">
        <v>0</v>
      </c>
      <c r="F5256" t="s">
        <v>11622</v>
      </c>
      <c r="L5256">
        <v>0</v>
      </c>
      <c r="M5256">
        <v>2</v>
      </c>
      <c r="N5256">
        <v>3</v>
      </c>
    </row>
    <row r="5257" spans="1:15">
      <c r="A5257" t="s">
        <v>26208</v>
      </c>
      <c r="B5257" t="s">
        <v>367</v>
      </c>
      <c r="C5257" t="s">
        <v>12111</v>
      </c>
      <c r="D5257" t="s">
        <v>26209</v>
      </c>
      <c r="E5257" t="b">
        <v>0</v>
      </c>
      <c r="F5257" t="s">
        <v>11610</v>
      </c>
      <c r="L5257">
        <v>0</v>
      </c>
      <c r="M5257">
        <v>0</v>
      </c>
      <c r="N5257">
        <v>2</v>
      </c>
    </row>
    <row r="5258" spans="1:15">
      <c r="A5258" t="s">
        <v>25499</v>
      </c>
      <c r="B5258" t="s">
        <v>367</v>
      </c>
      <c r="C5258" t="s">
        <v>12111</v>
      </c>
      <c r="D5258" t="s">
        <v>26210</v>
      </c>
      <c r="E5258" t="b">
        <v>0</v>
      </c>
      <c r="F5258" t="s">
        <v>11610</v>
      </c>
      <c r="L5258">
        <v>0</v>
      </c>
      <c r="M5258">
        <v>0</v>
      </c>
      <c r="N5258">
        <v>2</v>
      </c>
    </row>
    <row r="5259" spans="1:15">
      <c r="A5259" t="s">
        <v>26211</v>
      </c>
      <c r="B5259" t="s">
        <v>367</v>
      </c>
      <c r="C5259" t="s">
        <v>26212</v>
      </c>
      <c r="D5259" t="s">
        <v>26213</v>
      </c>
      <c r="E5259" t="b">
        <v>0</v>
      </c>
      <c r="F5259" t="s">
        <v>11624</v>
      </c>
      <c r="G5259">
        <v>-7.1699099999999998</v>
      </c>
      <c r="H5259">
        <v>128.636</v>
      </c>
      <c r="I5259" t="s">
        <v>26214</v>
      </c>
      <c r="L5259">
        <v>0</v>
      </c>
      <c r="M5259">
        <v>0</v>
      </c>
      <c r="N5259">
        <v>0</v>
      </c>
      <c r="O5259" t="s">
        <v>11768</v>
      </c>
    </row>
    <row r="5260" spans="1:15">
      <c r="A5260" t="s">
        <v>26215</v>
      </c>
      <c r="B5260" t="s">
        <v>367</v>
      </c>
      <c r="C5260" t="s">
        <v>26216</v>
      </c>
      <c r="D5260" t="s">
        <v>26217</v>
      </c>
      <c r="E5260" t="b">
        <v>0</v>
      </c>
      <c r="F5260" t="s">
        <v>11610</v>
      </c>
      <c r="L5260">
        <v>0</v>
      </c>
      <c r="M5260">
        <v>0</v>
      </c>
      <c r="N5260">
        <v>0</v>
      </c>
    </row>
    <row r="5261" spans="1:15">
      <c r="A5261" t="s">
        <v>26218</v>
      </c>
      <c r="B5261" t="s">
        <v>367</v>
      </c>
      <c r="C5261" t="s">
        <v>24498</v>
      </c>
      <c r="D5261" t="s">
        <v>26219</v>
      </c>
      <c r="E5261" t="b">
        <v>0</v>
      </c>
      <c r="F5261" t="s">
        <v>11610</v>
      </c>
      <c r="L5261">
        <v>0</v>
      </c>
      <c r="M5261">
        <v>0</v>
      </c>
      <c r="N5261">
        <v>0</v>
      </c>
    </row>
    <row r="5262" spans="1:15">
      <c r="A5262" t="s">
        <v>26220</v>
      </c>
      <c r="B5262" t="s">
        <v>367</v>
      </c>
      <c r="C5262" t="s">
        <v>12024</v>
      </c>
      <c r="D5262" t="s">
        <v>26221</v>
      </c>
      <c r="E5262" t="b">
        <v>0</v>
      </c>
      <c r="F5262" t="s">
        <v>11610</v>
      </c>
      <c r="L5262">
        <v>0</v>
      </c>
      <c r="M5262">
        <v>0</v>
      </c>
      <c r="N5262">
        <v>0</v>
      </c>
    </row>
    <row r="5263" spans="1:15">
      <c r="A5263" t="s">
        <v>26222</v>
      </c>
      <c r="B5263" t="s">
        <v>367</v>
      </c>
      <c r="C5263" t="s">
        <v>24253</v>
      </c>
      <c r="D5263" t="s">
        <v>26223</v>
      </c>
      <c r="E5263" t="b">
        <v>0</v>
      </c>
      <c r="F5263" t="s">
        <v>11622</v>
      </c>
      <c r="L5263">
        <v>0</v>
      </c>
      <c r="M5263">
        <v>2</v>
      </c>
      <c r="N5263">
        <v>0</v>
      </c>
    </row>
    <row r="5264" spans="1:15">
      <c r="A5264" t="s">
        <v>12397</v>
      </c>
      <c r="B5264" t="s">
        <v>367</v>
      </c>
      <c r="C5264" t="s">
        <v>21595</v>
      </c>
      <c r="D5264" t="s">
        <v>26224</v>
      </c>
      <c r="E5264" t="b">
        <v>0</v>
      </c>
      <c r="F5264" t="s">
        <v>11622</v>
      </c>
      <c r="L5264">
        <v>0</v>
      </c>
      <c r="M5264">
        <v>3</v>
      </c>
      <c r="N5264">
        <v>3</v>
      </c>
    </row>
    <row r="5265" spans="1:15">
      <c r="A5265" t="s">
        <v>26225</v>
      </c>
      <c r="B5265" t="s">
        <v>367</v>
      </c>
      <c r="C5265" t="s">
        <v>26226</v>
      </c>
      <c r="D5265" t="s">
        <v>26227</v>
      </c>
      <c r="E5265" t="b">
        <v>0</v>
      </c>
      <c r="F5265" t="s">
        <v>11610</v>
      </c>
      <c r="L5265">
        <v>0</v>
      </c>
      <c r="M5265">
        <v>0</v>
      </c>
      <c r="N5265">
        <v>0</v>
      </c>
    </row>
    <row r="5266" spans="1:15">
      <c r="A5266" t="s">
        <v>26228</v>
      </c>
      <c r="B5266" t="s">
        <v>367</v>
      </c>
      <c r="C5266" t="s">
        <v>21597</v>
      </c>
      <c r="D5266" t="s">
        <v>26229</v>
      </c>
      <c r="E5266" t="b">
        <v>0</v>
      </c>
      <c r="F5266" t="s">
        <v>11610</v>
      </c>
      <c r="L5266">
        <v>0</v>
      </c>
      <c r="M5266">
        <v>0</v>
      </c>
      <c r="N5266">
        <v>0</v>
      </c>
    </row>
    <row r="5267" spans="1:15">
      <c r="A5267" t="s">
        <v>26230</v>
      </c>
      <c r="B5267" t="s">
        <v>367</v>
      </c>
      <c r="C5267" t="s">
        <v>17389</v>
      </c>
      <c r="D5267" t="s">
        <v>26231</v>
      </c>
      <c r="E5267" t="b">
        <v>0</v>
      </c>
      <c r="F5267" t="s">
        <v>11624</v>
      </c>
      <c r="G5267">
        <v>12.896800000000001</v>
      </c>
      <c r="H5267">
        <v>121.17700000000001</v>
      </c>
      <c r="I5267" t="s">
        <v>26232</v>
      </c>
      <c r="L5267">
        <v>0</v>
      </c>
      <c r="M5267">
        <v>0</v>
      </c>
      <c r="N5267">
        <v>0</v>
      </c>
      <c r="O5267" t="s">
        <v>11749</v>
      </c>
    </row>
    <row r="5268" spans="1:15">
      <c r="A5268" t="s">
        <v>26233</v>
      </c>
      <c r="B5268" t="s">
        <v>367</v>
      </c>
      <c r="C5268" t="s">
        <v>26234</v>
      </c>
      <c r="D5268" t="s">
        <v>26235</v>
      </c>
      <c r="E5268" t="b">
        <v>0</v>
      </c>
      <c r="F5268" t="s">
        <v>11624</v>
      </c>
      <c r="G5268">
        <v>4.5914999999999999</v>
      </c>
      <c r="H5268">
        <v>114.584</v>
      </c>
      <c r="I5268" t="s">
        <v>26236</v>
      </c>
      <c r="L5268">
        <v>0</v>
      </c>
      <c r="M5268">
        <v>0</v>
      </c>
      <c r="N5268">
        <v>1</v>
      </c>
      <c r="O5268" t="s">
        <v>17804</v>
      </c>
    </row>
    <row r="5269" spans="1:15">
      <c r="A5269" t="s">
        <v>26237</v>
      </c>
      <c r="B5269" t="s">
        <v>367</v>
      </c>
      <c r="C5269" t="s">
        <v>21612</v>
      </c>
      <c r="D5269" t="s">
        <v>26238</v>
      </c>
      <c r="E5269" t="b">
        <v>0</v>
      </c>
      <c r="F5269" t="s">
        <v>11624</v>
      </c>
      <c r="G5269">
        <v>3.9609800000000002</v>
      </c>
      <c r="H5269">
        <v>114.60599999999999</v>
      </c>
      <c r="I5269" t="s">
        <v>26239</v>
      </c>
      <c r="L5269">
        <v>0</v>
      </c>
      <c r="M5269">
        <v>0</v>
      </c>
      <c r="N5269">
        <v>0</v>
      </c>
      <c r="O5269" t="s">
        <v>11672</v>
      </c>
    </row>
    <row r="5270" spans="1:15">
      <c r="A5270" t="s">
        <v>14458</v>
      </c>
      <c r="B5270" t="s">
        <v>367</v>
      </c>
      <c r="C5270" t="s">
        <v>5409</v>
      </c>
      <c r="D5270" t="s">
        <v>26240</v>
      </c>
      <c r="E5270" t="b">
        <v>0</v>
      </c>
      <c r="F5270" t="s">
        <v>11610</v>
      </c>
      <c r="L5270">
        <v>0</v>
      </c>
      <c r="M5270">
        <v>0</v>
      </c>
      <c r="N5270">
        <v>4</v>
      </c>
    </row>
    <row r="5271" spans="1:15">
      <c r="A5271" t="s">
        <v>26241</v>
      </c>
      <c r="B5271" t="s">
        <v>367</v>
      </c>
      <c r="C5271" t="s">
        <v>21285</v>
      </c>
      <c r="D5271" t="s">
        <v>26242</v>
      </c>
      <c r="E5271" t="b">
        <v>0</v>
      </c>
      <c r="F5271" t="s">
        <v>11622</v>
      </c>
      <c r="L5271">
        <v>21</v>
      </c>
      <c r="M5271">
        <v>33</v>
      </c>
      <c r="N5271">
        <v>76</v>
      </c>
    </row>
    <row r="5272" spans="1:15">
      <c r="A5272" t="s">
        <v>26243</v>
      </c>
      <c r="B5272" t="s">
        <v>367</v>
      </c>
      <c r="C5272" t="s">
        <v>20379</v>
      </c>
      <c r="D5272" t="s">
        <v>26244</v>
      </c>
      <c r="E5272" t="b">
        <v>0</v>
      </c>
      <c r="F5272" t="s">
        <v>11622</v>
      </c>
      <c r="L5272">
        <v>1</v>
      </c>
      <c r="M5272">
        <v>8</v>
      </c>
      <c r="N5272">
        <v>17</v>
      </c>
    </row>
    <row r="5273" spans="1:15">
      <c r="A5273" t="s">
        <v>15954</v>
      </c>
      <c r="B5273" t="s">
        <v>367</v>
      </c>
      <c r="C5273" t="s">
        <v>26243</v>
      </c>
      <c r="D5273" t="s">
        <v>26245</v>
      </c>
      <c r="E5273" t="b">
        <v>0</v>
      </c>
      <c r="F5273" t="s">
        <v>11622</v>
      </c>
      <c r="L5273">
        <v>0</v>
      </c>
      <c r="M5273">
        <v>7</v>
      </c>
      <c r="N5273">
        <v>13</v>
      </c>
    </row>
    <row r="5274" spans="1:15">
      <c r="A5274" t="s">
        <v>16243</v>
      </c>
      <c r="B5274" t="s">
        <v>367</v>
      </c>
      <c r="C5274" t="s">
        <v>26246</v>
      </c>
      <c r="D5274" t="s">
        <v>26247</v>
      </c>
      <c r="E5274" t="b">
        <v>0</v>
      </c>
      <c r="F5274" t="s">
        <v>11622</v>
      </c>
      <c r="L5274">
        <v>0</v>
      </c>
      <c r="M5274">
        <v>2</v>
      </c>
      <c r="N5274">
        <v>2</v>
      </c>
    </row>
    <row r="5275" spans="1:15">
      <c r="A5275" t="s">
        <v>26248</v>
      </c>
      <c r="B5275" t="s">
        <v>367</v>
      </c>
      <c r="C5275" t="s">
        <v>16692</v>
      </c>
      <c r="D5275" t="s">
        <v>26249</v>
      </c>
      <c r="E5275" t="b">
        <v>0</v>
      </c>
      <c r="F5275" t="s">
        <v>11610</v>
      </c>
      <c r="L5275">
        <v>0</v>
      </c>
      <c r="M5275">
        <v>0</v>
      </c>
      <c r="N5275">
        <v>0</v>
      </c>
    </row>
    <row r="5276" spans="1:15">
      <c r="A5276" t="s">
        <v>21626</v>
      </c>
      <c r="B5276" t="s">
        <v>367</v>
      </c>
      <c r="C5276" t="s">
        <v>367</v>
      </c>
      <c r="D5276" t="s">
        <v>26250</v>
      </c>
      <c r="E5276" t="b">
        <v>0</v>
      </c>
      <c r="F5276" t="s">
        <v>11622</v>
      </c>
      <c r="L5276">
        <v>2</v>
      </c>
      <c r="M5276">
        <v>6</v>
      </c>
      <c r="N5276">
        <v>12</v>
      </c>
    </row>
    <row r="5277" spans="1:15">
      <c r="A5277" t="s">
        <v>26251</v>
      </c>
      <c r="B5277" t="s">
        <v>12425</v>
      </c>
      <c r="C5277" t="s">
        <v>12425</v>
      </c>
      <c r="D5277" t="s">
        <v>26252</v>
      </c>
      <c r="E5277" t="b">
        <v>0</v>
      </c>
      <c r="F5277" t="s">
        <v>11622</v>
      </c>
      <c r="L5277">
        <v>0</v>
      </c>
      <c r="M5277">
        <v>2</v>
      </c>
      <c r="N5277">
        <v>3</v>
      </c>
    </row>
    <row r="5278" spans="1:15">
      <c r="A5278" t="s">
        <v>26253</v>
      </c>
      <c r="B5278" t="s">
        <v>7862</v>
      </c>
      <c r="C5278" t="s">
        <v>26254</v>
      </c>
      <c r="D5278" t="s">
        <v>26255</v>
      </c>
      <c r="E5278" t="b">
        <v>0</v>
      </c>
      <c r="F5278" t="s">
        <v>11610</v>
      </c>
      <c r="L5278">
        <v>0</v>
      </c>
      <c r="M5278">
        <v>0</v>
      </c>
      <c r="N5278">
        <v>0</v>
      </c>
    </row>
    <row r="5279" spans="1:15">
      <c r="A5279" t="s">
        <v>12925</v>
      </c>
      <c r="B5279" t="s">
        <v>11705</v>
      </c>
      <c r="C5279" t="s">
        <v>21790</v>
      </c>
      <c r="D5279" t="s">
        <v>26256</v>
      </c>
      <c r="E5279" t="b">
        <v>0</v>
      </c>
      <c r="F5279" t="s">
        <v>11622</v>
      </c>
      <c r="L5279">
        <v>0</v>
      </c>
      <c r="M5279">
        <v>2</v>
      </c>
      <c r="N5279">
        <v>2</v>
      </c>
    </row>
    <row r="5280" spans="1:15">
      <c r="A5280" t="s">
        <v>26257</v>
      </c>
      <c r="B5280" t="s">
        <v>11834</v>
      </c>
      <c r="C5280" t="s">
        <v>26258</v>
      </c>
      <c r="D5280" t="s">
        <v>26259</v>
      </c>
      <c r="E5280" t="b">
        <v>0</v>
      </c>
      <c r="F5280" t="s">
        <v>11610</v>
      </c>
      <c r="L5280">
        <v>0</v>
      </c>
      <c r="M5280">
        <v>0</v>
      </c>
      <c r="N5280">
        <v>0</v>
      </c>
    </row>
    <row r="5281" spans="1:15">
      <c r="A5281" t="s">
        <v>26260</v>
      </c>
      <c r="B5281" t="s">
        <v>11834</v>
      </c>
      <c r="C5281" t="s">
        <v>26261</v>
      </c>
      <c r="D5281" t="s">
        <v>26262</v>
      </c>
      <c r="E5281" t="b">
        <v>0</v>
      </c>
      <c r="F5281" t="s">
        <v>11610</v>
      </c>
      <c r="L5281">
        <v>0</v>
      </c>
      <c r="M5281">
        <v>0</v>
      </c>
      <c r="N5281">
        <v>0</v>
      </c>
    </row>
    <row r="5282" spans="1:15">
      <c r="A5282" t="s">
        <v>26263</v>
      </c>
      <c r="D5282" t="s">
        <v>26264</v>
      </c>
      <c r="E5282" t="b">
        <v>0</v>
      </c>
      <c r="F5282" t="s">
        <v>11622</v>
      </c>
      <c r="L5282">
        <v>0</v>
      </c>
      <c r="M5282">
        <v>2</v>
      </c>
      <c r="N5282">
        <v>4</v>
      </c>
    </row>
    <row r="5283" spans="1:15">
      <c r="A5283" t="s">
        <v>26265</v>
      </c>
      <c r="B5283" t="s">
        <v>15365</v>
      </c>
      <c r="C5283" t="s">
        <v>15365</v>
      </c>
      <c r="D5283" t="s">
        <v>26266</v>
      </c>
      <c r="E5283" t="b">
        <v>0</v>
      </c>
      <c r="F5283" t="s">
        <v>11622</v>
      </c>
      <c r="L5283">
        <v>0</v>
      </c>
      <c r="M5283">
        <v>2</v>
      </c>
      <c r="N5283">
        <v>0</v>
      </c>
    </row>
    <row r="5284" spans="1:15">
      <c r="A5284" t="s">
        <v>26267</v>
      </c>
      <c r="B5284" t="s">
        <v>15365</v>
      </c>
      <c r="C5284" t="s">
        <v>25668</v>
      </c>
      <c r="D5284" t="s">
        <v>26268</v>
      </c>
      <c r="E5284" t="b">
        <v>0</v>
      </c>
      <c r="F5284" t="s">
        <v>11610</v>
      </c>
      <c r="L5284">
        <v>0</v>
      </c>
      <c r="M5284">
        <v>0</v>
      </c>
      <c r="N5284">
        <v>0</v>
      </c>
    </row>
    <row r="5285" spans="1:15">
      <c r="A5285" t="s">
        <v>25375</v>
      </c>
      <c r="B5285" t="s">
        <v>15365</v>
      </c>
      <c r="C5285" t="s">
        <v>21641</v>
      </c>
      <c r="D5285" t="s">
        <v>26269</v>
      </c>
      <c r="E5285" t="b">
        <v>0</v>
      </c>
      <c r="F5285" t="s">
        <v>11622</v>
      </c>
      <c r="L5285">
        <v>2</v>
      </c>
      <c r="M5285">
        <v>9</v>
      </c>
      <c r="N5285">
        <v>0</v>
      </c>
    </row>
    <row r="5286" spans="1:15">
      <c r="A5286" t="s">
        <v>11686</v>
      </c>
      <c r="D5286" t="s">
        <v>26270</v>
      </c>
      <c r="E5286" t="b">
        <v>0</v>
      </c>
      <c r="F5286" t="s">
        <v>11622</v>
      </c>
      <c r="L5286">
        <v>0</v>
      </c>
      <c r="M5286">
        <v>4</v>
      </c>
      <c r="N5286">
        <v>28</v>
      </c>
    </row>
    <row r="5287" spans="1:15">
      <c r="A5287" t="s">
        <v>26271</v>
      </c>
      <c r="B5287" t="s">
        <v>11615</v>
      </c>
      <c r="C5287" t="s">
        <v>26272</v>
      </c>
      <c r="D5287" t="s">
        <v>26273</v>
      </c>
      <c r="E5287" t="b">
        <v>0</v>
      </c>
      <c r="F5287" t="s">
        <v>11622</v>
      </c>
      <c r="L5287">
        <v>0</v>
      </c>
      <c r="M5287">
        <v>3</v>
      </c>
      <c r="N5287">
        <v>4</v>
      </c>
    </row>
    <row r="5288" spans="1:15">
      <c r="A5288" t="s">
        <v>26274</v>
      </c>
      <c r="B5288" t="s">
        <v>11615</v>
      </c>
      <c r="C5288" t="s">
        <v>26275</v>
      </c>
      <c r="D5288" t="s">
        <v>26276</v>
      </c>
      <c r="E5288" t="b">
        <v>0</v>
      </c>
      <c r="F5288" t="s">
        <v>11610</v>
      </c>
      <c r="L5288">
        <v>0</v>
      </c>
      <c r="M5288">
        <v>0</v>
      </c>
      <c r="N5288">
        <v>0</v>
      </c>
    </row>
    <row r="5289" spans="1:15">
      <c r="A5289" t="s">
        <v>26277</v>
      </c>
      <c r="B5289" t="s">
        <v>11615</v>
      </c>
      <c r="C5289" t="s">
        <v>26278</v>
      </c>
      <c r="D5289" t="s">
        <v>26279</v>
      </c>
      <c r="E5289" t="b">
        <v>0</v>
      </c>
      <c r="F5289" t="s">
        <v>11610</v>
      </c>
      <c r="L5289">
        <v>0</v>
      </c>
      <c r="M5289">
        <v>0</v>
      </c>
      <c r="N5289">
        <v>0</v>
      </c>
    </row>
    <row r="5290" spans="1:15">
      <c r="A5290" t="s">
        <v>26280</v>
      </c>
      <c r="B5290" t="s">
        <v>11615</v>
      </c>
      <c r="C5290" t="s">
        <v>26281</v>
      </c>
      <c r="D5290" t="s">
        <v>26282</v>
      </c>
      <c r="E5290" t="b">
        <v>0</v>
      </c>
      <c r="F5290" t="s">
        <v>11610</v>
      </c>
      <c r="L5290">
        <v>0</v>
      </c>
      <c r="M5290">
        <v>0</v>
      </c>
      <c r="N5290">
        <v>0</v>
      </c>
    </row>
    <row r="5291" spans="1:15">
      <c r="A5291" t="s">
        <v>26283</v>
      </c>
      <c r="B5291" t="s">
        <v>11615</v>
      </c>
      <c r="C5291" t="s">
        <v>19586</v>
      </c>
      <c r="D5291" t="s">
        <v>26284</v>
      </c>
      <c r="E5291" t="b">
        <v>0</v>
      </c>
      <c r="F5291" t="s">
        <v>11610</v>
      </c>
      <c r="L5291">
        <v>0</v>
      </c>
      <c r="M5291">
        <v>0</v>
      </c>
      <c r="N5291">
        <v>0</v>
      </c>
    </row>
    <row r="5292" spans="1:15">
      <c r="A5292" t="s">
        <v>26285</v>
      </c>
      <c r="B5292" t="s">
        <v>11615</v>
      </c>
      <c r="C5292" t="s">
        <v>26286</v>
      </c>
      <c r="D5292" t="s">
        <v>26287</v>
      </c>
      <c r="E5292" t="b">
        <v>0</v>
      </c>
      <c r="F5292" t="s">
        <v>11610</v>
      </c>
      <c r="L5292">
        <v>0</v>
      </c>
      <c r="M5292">
        <v>0</v>
      </c>
      <c r="N5292">
        <v>0</v>
      </c>
    </row>
    <row r="5293" spans="1:15">
      <c r="A5293" t="s">
        <v>26288</v>
      </c>
      <c r="B5293" t="s">
        <v>11615</v>
      </c>
      <c r="C5293" t="s">
        <v>7854</v>
      </c>
      <c r="D5293" t="s">
        <v>26289</v>
      </c>
      <c r="E5293" t="b">
        <v>0</v>
      </c>
      <c r="F5293" t="s">
        <v>11610</v>
      </c>
      <c r="L5293">
        <v>0</v>
      </c>
      <c r="M5293">
        <v>0</v>
      </c>
      <c r="N5293">
        <v>0</v>
      </c>
    </row>
    <row r="5294" spans="1:15">
      <c r="A5294" t="s">
        <v>26290</v>
      </c>
      <c r="B5294" t="s">
        <v>11615</v>
      </c>
      <c r="C5294" t="s">
        <v>26291</v>
      </c>
      <c r="D5294" t="s">
        <v>26292</v>
      </c>
      <c r="E5294" t="b">
        <v>0</v>
      </c>
      <c r="F5294" t="s">
        <v>11610</v>
      </c>
      <c r="L5294">
        <v>0</v>
      </c>
      <c r="M5294">
        <v>0</v>
      </c>
      <c r="N5294">
        <v>0</v>
      </c>
    </row>
    <row r="5295" spans="1:15">
      <c r="A5295" t="s">
        <v>26293</v>
      </c>
      <c r="B5295" t="s">
        <v>11615</v>
      </c>
      <c r="C5295" t="s">
        <v>26294</v>
      </c>
      <c r="D5295" t="s">
        <v>26295</v>
      </c>
      <c r="E5295" t="b">
        <v>0</v>
      </c>
      <c r="F5295" t="s">
        <v>11624</v>
      </c>
      <c r="G5295">
        <v>-6.3298899999999998</v>
      </c>
      <c r="H5295">
        <v>143.93100000000001</v>
      </c>
      <c r="I5295" t="s">
        <v>26296</v>
      </c>
      <c r="L5295">
        <v>0</v>
      </c>
      <c r="M5295">
        <v>0</v>
      </c>
      <c r="N5295">
        <v>0</v>
      </c>
      <c r="O5295" t="s">
        <v>11660</v>
      </c>
    </row>
    <row r="5296" spans="1:15">
      <c r="A5296" t="s">
        <v>26297</v>
      </c>
      <c r="B5296" t="s">
        <v>12218</v>
      </c>
      <c r="C5296" t="s">
        <v>26298</v>
      </c>
      <c r="D5296" t="s">
        <v>26299</v>
      </c>
      <c r="E5296" t="b">
        <v>0</v>
      </c>
      <c r="F5296" t="s">
        <v>11610</v>
      </c>
      <c r="L5296">
        <v>0</v>
      </c>
      <c r="M5296">
        <v>0</v>
      </c>
      <c r="N5296">
        <v>0</v>
      </c>
    </row>
    <row r="5297" spans="1:14">
      <c r="A5297" t="s">
        <v>26300</v>
      </c>
      <c r="B5297" t="s">
        <v>21672</v>
      </c>
      <c r="C5297" t="s">
        <v>21673</v>
      </c>
      <c r="D5297" t="s">
        <v>26301</v>
      </c>
      <c r="E5297" t="b">
        <v>0</v>
      </c>
      <c r="F5297" t="s">
        <v>11610</v>
      </c>
      <c r="L5297">
        <v>0</v>
      </c>
      <c r="M5297">
        <v>0</v>
      </c>
      <c r="N5297">
        <v>0</v>
      </c>
    </row>
    <row r="5298" spans="1:14">
      <c r="A5298" t="s">
        <v>20340</v>
      </c>
      <c r="B5298" t="s">
        <v>11839</v>
      </c>
      <c r="C5298" t="s">
        <v>11839</v>
      </c>
      <c r="D5298" t="s">
        <v>26302</v>
      </c>
      <c r="E5298" t="b">
        <v>0</v>
      </c>
      <c r="F5298" t="s">
        <v>11622</v>
      </c>
      <c r="L5298">
        <v>2</v>
      </c>
      <c r="M5298">
        <v>4</v>
      </c>
      <c r="N5298">
        <v>2</v>
      </c>
    </row>
    <row r="5299" spans="1:14">
      <c r="A5299" t="s">
        <v>26303</v>
      </c>
      <c r="B5299" t="s">
        <v>11839</v>
      </c>
      <c r="C5299" t="s">
        <v>20340</v>
      </c>
      <c r="D5299" t="s">
        <v>26304</v>
      </c>
      <c r="E5299" t="b">
        <v>0</v>
      </c>
      <c r="F5299" t="s">
        <v>11622</v>
      </c>
      <c r="L5299">
        <v>1</v>
      </c>
      <c r="M5299">
        <v>3</v>
      </c>
      <c r="N5299">
        <v>2</v>
      </c>
    </row>
    <row r="5300" spans="1:14">
      <c r="A5300" t="s">
        <v>26305</v>
      </c>
      <c r="B5300" t="s">
        <v>14524</v>
      </c>
      <c r="C5300" t="s">
        <v>23149</v>
      </c>
      <c r="D5300" t="s">
        <v>26306</v>
      </c>
      <c r="E5300" t="b">
        <v>0</v>
      </c>
      <c r="F5300" t="s">
        <v>11610</v>
      </c>
      <c r="L5300">
        <v>0</v>
      </c>
      <c r="M5300">
        <v>0</v>
      </c>
      <c r="N5300">
        <v>0</v>
      </c>
    </row>
    <row r="5301" spans="1:14">
      <c r="A5301" t="s">
        <v>26307</v>
      </c>
      <c r="B5301" t="s">
        <v>12158</v>
      </c>
      <c r="C5301" t="s">
        <v>12157</v>
      </c>
      <c r="D5301" t="s">
        <v>26308</v>
      </c>
      <c r="E5301" t="b">
        <v>0</v>
      </c>
      <c r="F5301" t="s">
        <v>11610</v>
      </c>
      <c r="L5301">
        <v>0</v>
      </c>
      <c r="M5301">
        <v>0</v>
      </c>
      <c r="N5301">
        <v>0</v>
      </c>
    </row>
    <row r="5302" spans="1:14">
      <c r="A5302" t="s">
        <v>26309</v>
      </c>
      <c r="B5302" t="s">
        <v>23796</v>
      </c>
      <c r="C5302" t="s">
        <v>26310</v>
      </c>
      <c r="D5302" t="s">
        <v>26311</v>
      </c>
      <c r="E5302" t="b">
        <v>0</v>
      </c>
      <c r="F5302" t="s">
        <v>11610</v>
      </c>
      <c r="L5302">
        <v>0</v>
      </c>
      <c r="M5302">
        <v>0</v>
      </c>
      <c r="N5302">
        <v>0</v>
      </c>
    </row>
    <row r="5303" spans="1:14">
      <c r="A5303" t="s">
        <v>26312</v>
      </c>
      <c r="B5303" t="s">
        <v>15969</v>
      </c>
      <c r="C5303" t="s">
        <v>26313</v>
      </c>
      <c r="D5303" t="s">
        <v>26314</v>
      </c>
      <c r="E5303" t="b">
        <v>0</v>
      </c>
      <c r="F5303" t="s">
        <v>11610</v>
      </c>
      <c r="L5303">
        <v>0</v>
      </c>
      <c r="M5303">
        <v>0</v>
      </c>
      <c r="N5303">
        <v>0</v>
      </c>
    </row>
    <row r="5304" spans="1:14">
      <c r="A5304" t="s">
        <v>26315</v>
      </c>
      <c r="B5304" t="s">
        <v>13411</v>
      </c>
      <c r="C5304" t="s">
        <v>19145</v>
      </c>
      <c r="D5304" t="s">
        <v>26316</v>
      </c>
      <c r="E5304" t="b">
        <v>0</v>
      </c>
      <c r="F5304" t="s">
        <v>11610</v>
      </c>
      <c r="L5304">
        <v>0</v>
      </c>
      <c r="M5304">
        <v>0</v>
      </c>
      <c r="N5304">
        <v>0</v>
      </c>
    </row>
    <row r="5305" spans="1:14">
      <c r="A5305" t="s">
        <v>26317</v>
      </c>
      <c r="B5305" t="s">
        <v>4342</v>
      </c>
      <c r="C5305" t="s">
        <v>4314</v>
      </c>
      <c r="D5305" t="s">
        <v>26318</v>
      </c>
      <c r="E5305" t="b">
        <v>0</v>
      </c>
      <c r="F5305" t="s">
        <v>11610</v>
      </c>
      <c r="L5305">
        <v>0</v>
      </c>
      <c r="M5305">
        <v>0</v>
      </c>
      <c r="N5305">
        <v>57</v>
      </c>
    </row>
    <row r="5306" spans="1:14">
      <c r="A5306" t="s">
        <v>22488</v>
      </c>
      <c r="B5306" t="s">
        <v>4342</v>
      </c>
      <c r="C5306" t="s">
        <v>26319</v>
      </c>
      <c r="D5306" t="s">
        <v>26320</v>
      </c>
      <c r="E5306" t="b">
        <v>0</v>
      </c>
      <c r="F5306" t="s">
        <v>11610</v>
      </c>
      <c r="L5306">
        <v>0</v>
      </c>
      <c r="M5306">
        <v>0</v>
      </c>
      <c r="N5306">
        <v>3</v>
      </c>
    </row>
    <row r="5307" spans="1:14">
      <c r="A5307" t="s">
        <v>26321</v>
      </c>
      <c r="B5307" t="s">
        <v>4342</v>
      </c>
      <c r="C5307" t="s">
        <v>26322</v>
      </c>
      <c r="D5307" t="s">
        <v>26323</v>
      </c>
      <c r="E5307" t="b">
        <v>0</v>
      </c>
      <c r="F5307" t="s">
        <v>11610</v>
      </c>
      <c r="L5307">
        <v>0</v>
      </c>
      <c r="M5307">
        <v>0</v>
      </c>
      <c r="N5307">
        <v>0</v>
      </c>
    </row>
    <row r="5308" spans="1:14">
      <c r="A5308" t="s">
        <v>26324</v>
      </c>
      <c r="B5308" t="s">
        <v>4342</v>
      </c>
      <c r="C5308" t="s">
        <v>26325</v>
      </c>
      <c r="D5308" t="s">
        <v>26326</v>
      </c>
      <c r="E5308" t="b">
        <v>0</v>
      </c>
      <c r="F5308" t="s">
        <v>11610</v>
      </c>
      <c r="L5308">
        <v>0</v>
      </c>
      <c r="M5308">
        <v>0</v>
      </c>
      <c r="N5308">
        <v>0</v>
      </c>
    </row>
    <row r="5309" spans="1:14">
      <c r="A5309" t="s">
        <v>26327</v>
      </c>
      <c r="B5309" t="s">
        <v>15132</v>
      </c>
      <c r="C5309" t="s">
        <v>15132</v>
      </c>
      <c r="D5309" t="s">
        <v>26328</v>
      </c>
      <c r="E5309" t="b">
        <v>0</v>
      </c>
      <c r="F5309" t="s">
        <v>11622</v>
      </c>
      <c r="L5309">
        <v>0</v>
      </c>
      <c r="M5309">
        <v>3</v>
      </c>
      <c r="N5309">
        <v>3</v>
      </c>
    </row>
    <row r="5310" spans="1:14">
      <c r="A5310" t="s">
        <v>26329</v>
      </c>
      <c r="B5310" t="s">
        <v>12532</v>
      </c>
      <c r="C5310" t="s">
        <v>26330</v>
      </c>
      <c r="D5310" t="s">
        <v>26331</v>
      </c>
      <c r="E5310" t="b">
        <v>0</v>
      </c>
      <c r="F5310" t="s">
        <v>11610</v>
      </c>
      <c r="L5310">
        <v>0</v>
      </c>
      <c r="M5310">
        <v>0</v>
      </c>
      <c r="N5310">
        <v>0</v>
      </c>
    </row>
    <row r="5311" spans="1:14">
      <c r="A5311" t="s">
        <v>26332</v>
      </c>
      <c r="B5311" t="s">
        <v>12532</v>
      </c>
      <c r="C5311" t="s">
        <v>26333</v>
      </c>
      <c r="D5311" t="s">
        <v>26334</v>
      </c>
      <c r="E5311" t="b">
        <v>0</v>
      </c>
      <c r="F5311" t="s">
        <v>11610</v>
      </c>
      <c r="L5311">
        <v>0</v>
      </c>
      <c r="M5311">
        <v>0</v>
      </c>
      <c r="N5311">
        <v>0</v>
      </c>
    </row>
    <row r="5312" spans="1:14">
      <c r="A5312" t="s">
        <v>26335</v>
      </c>
      <c r="B5312" t="s">
        <v>13014</v>
      </c>
      <c r="C5312" t="s">
        <v>13013</v>
      </c>
      <c r="D5312" t="s">
        <v>26336</v>
      </c>
      <c r="E5312" t="b">
        <v>0</v>
      </c>
      <c r="F5312" t="s">
        <v>11610</v>
      </c>
      <c r="L5312">
        <v>0</v>
      </c>
      <c r="M5312">
        <v>0</v>
      </c>
      <c r="N5312">
        <v>0</v>
      </c>
    </row>
    <row r="5313" spans="1:15">
      <c r="A5313" t="s">
        <v>278</v>
      </c>
      <c r="B5313" t="s">
        <v>13014</v>
      </c>
      <c r="C5313" t="s">
        <v>277</v>
      </c>
      <c r="D5313" t="s">
        <v>26337</v>
      </c>
      <c r="E5313" t="b">
        <v>0</v>
      </c>
      <c r="F5313" t="s">
        <v>11624</v>
      </c>
      <c r="G5313">
        <v>62.173499999999997</v>
      </c>
      <c r="H5313">
        <v>-75.613900000000001</v>
      </c>
      <c r="I5313" t="s">
        <v>721</v>
      </c>
      <c r="L5313">
        <v>0</v>
      </c>
      <c r="M5313">
        <v>0</v>
      </c>
      <c r="N5313">
        <v>12</v>
      </c>
      <c r="O5313" t="s">
        <v>13049</v>
      </c>
    </row>
    <row r="5314" spans="1:15">
      <c r="A5314" t="s">
        <v>26338</v>
      </c>
      <c r="B5314" t="s">
        <v>9071</v>
      </c>
      <c r="C5314" t="s">
        <v>26339</v>
      </c>
      <c r="D5314" t="s">
        <v>26340</v>
      </c>
      <c r="E5314" t="b">
        <v>0</v>
      </c>
      <c r="F5314" t="s">
        <v>11610</v>
      </c>
      <c r="L5314">
        <v>0</v>
      </c>
      <c r="M5314">
        <v>0</v>
      </c>
      <c r="N5314">
        <v>0</v>
      </c>
    </row>
    <row r="5315" spans="1:15">
      <c r="A5315" t="s">
        <v>26341</v>
      </c>
      <c r="B5315" t="s">
        <v>12751</v>
      </c>
      <c r="C5315" t="s">
        <v>21703</v>
      </c>
      <c r="D5315" t="s">
        <v>26342</v>
      </c>
      <c r="E5315" t="b">
        <v>0</v>
      </c>
      <c r="F5315" t="s">
        <v>11624</v>
      </c>
      <c r="G5315">
        <v>21.0639</v>
      </c>
      <c r="H5315">
        <v>-97.907700000000006</v>
      </c>
      <c r="I5315" t="s">
        <v>26343</v>
      </c>
      <c r="L5315">
        <v>0</v>
      </c>
      <c r="M5315">
        <v>0</v>
      </c>
      <c r="N5315">
        <v>1</v>
      </c>
      <c r="O5315" t="s">
        <v>11883</v>
      </c>
    </row>
    <row r="5316" spans="1:15">
      <c r="A5316" t="s">
        <v>26344</v>
      </c>
      <c r="B5316" t="s">
        <v>12979</v>
      </c>
      <c r="C5316" t="s">
        <v>26345</v>
      </c>
      <c r="D5316" t="s">
        <v>26346</v>
      </c>
      <c r="E5316" t="b">
        <v>0</v>
      </c>
      <c r="F5316" t="s">
        <v>11610</v>
      </c>
      <c r="L5316">
        <v>0</v>
      </c>
      <c r="M5316">
        <v>0</v>
      </c>
      <c r="N5316">
        <v>0</v>
      </c>
    </row>
    <row r="5317" spans="1:15">
      <c r="A5317" t="s">
        <v>26347</v>
      </c>
      <c r="B5317" t="s">
        <v>12979</v>
      </c>
      <c r="C5317" t="s">
        <v>26348</v>
      </c>
      <c r="D5317" t="s">
        <v>26349</v>
      </c>
      <c r="E5317" t="b">
        <v>0</v>
      </c>
      <c r="F5317" t="s">
        <v>11610</v>
      </c>
      <c r="L5317">
        <v>0</v>
      </c>
      <c r="M5317">
        <v>0</v>
      </c>
      <c r="N5317">
        <v>0</v>
      </c>
    </row>
    <row r="5318" spans="1:15">
      <c r="A5318" t="s">
        <v>26350</v>
      </c>
      <c r="B5318" t="s">
        <v>12979</v>
      </c>
      <c r="C5318" t="s">
        <v>26351</v>
      </c>
      <c r="D5318" t="s">
        <v>26352</v>
      </c>
      <c r="E5318" t="b">
        <v>0</v>
      </c>
      <c r="F5318" t="s">
        <v>11610</v>
      </c>
      <c r="L5318">
        <v>0</v>
      </c>
      <c r="M5318">
        <v>0</v>
      </c>
      <c r="N5318">
        <v>0</v>
      </c>
    </row>
    <row r="5319" spans="1:15">
      <c r="A5319" t="s">
        <v>26353</v>
      </c>
      <c r="B5319" t="s">
        <v>12979</v>
      </c>
      <c r="C5319" t="s">
        <v>21710</v>
      </c>
      <c r="D5319" t="s">
        <v>26354</v>
      </c>
      <c r="E5319" t="b">
        <v>0</v>
      </c>
      <c r="F5319" t="s">
        <v>11624</v>
      </c>
      <c r="G5319">
        <v>45.011200000000002</v>
      </c>
      <c r="H5319">
        <v>-79.750299999999996</v>
      </c>
      <c r="I5319" t="s">
        <v>26355</v>
      </c>
      <c r="L5319">
        <v>0</v>
      </c>
      <c r="M5319">
        <v>0</v>
      </c>
      <c r="N5319">
        <v>0</v>
      </c>
      <c r="O5319" t="s">
        <v>13049</v>
      </c>
    </row>
    <row r="5320" spans="1:15">
      <c r="A5320" t="s">
        <v>26356</v>
      </c>
      <c r="B5320" t="s">
        <v>12979</v>
      </c>
      <c r="C5320" t="s">
        <v>21166</v>
      </c>
      <c r="D5320" t="s">
        <v>26357</v>
      </c>
      <c r="E5320" t="b">
        <v>0</v>
      </c>
      <c r="F5320" t="s">
        <v>11624</v>
      </c>
      <c r="G5320">
        <v>45.011200000000002</v>
      </c>
      <c r="H5320">
        <v>-68.661699999999996</v>
      </c>
      <c r="I5320" t="s">
        <v>26358</v>
      </c>
      <c r="L5320">
        <v>0</v>
      </c>
      <c r="M5320">
        <v>0</v>
      </c>
      <c r="N5320">
        <v>1</v>
      </c>
      <c r="O5320" t="s">
        <v>11944</v>
      </c>
    </row>
    <row r="5321" spans="1:15">
      <c r="A5321" t="s">
        <v>26359</v>
      </c>
      <c r="B5321" t="s">
        <v>21717</v>
      </c>
      <c r="C5321" t="s">
        <v>26360</v>
      </c>
      <c r="D5321" t="s">
        <v>26361</v>
      </c>
      <c r="E5321" t="b">
        <v>0</v>
      </c>
      <c r="F5321" t="s">
        <v>11624</v>
      </c>
      <c r="G5321">
        <v>38.564700000000002</v>
      </c>
      <c r="H5321">
        <v>-122.586</v>
      </c>
      <c r="I5321" t="s">
        <v>26362</v>
      </c>
      <c r="L5321">
        <v>0</v>
      </c>
      <c r="M5321">
        <v>0</v>
      </c>
      <c r="N5321">
        <v>0</v>
      </c>
      <c r="O5321" t="s">
        <v>11944</v>
      </c>
    </row>
    <row r="5322" spans="1:15">
      <c r="A5322" t="s">
        <v>17580</v>
      </c>
      <c r="B5322" t="s">
        <v>17579</v>
      </c>
      <c r="C5322" t="s">
        <v>26363</v>
      </c>
      <c r="D5322" t="s">
        <v>26364</v>
      </c>
      <c r="E5322" t="b">
        <v>0</v>
      </c>
      <c r="F5322" t="s">
        <v>11622</v>
      </c>
      <c r="L5322">
        <v>1</v>
      </c>
      <c r="M5322">
        <v>5</v>
      </c>
      <c r="N5322">
        <v>2</v>
      </c>
    </row>
    <row r="5323" spans="1:15">
      <c r="A5323" t="s">
        <v>26365</v>
      </c>
      <c r="B5323" t="s">
        <v>17579</v>
      </c>
      <c r="C5323" t="s">
        <v>21723</v>
      </c>
      <c r="D5323" t="s">
        <v>26366</v>
      </c>
      <c r="E5323" t="b">
        <v>0</v>
      </c>
      <c r="F5323" t="s">
        <v>11610</v>
      </c>
      <c r="L5323">
        <v>0</v>
      </c>
      <c r="M5323">
        <v>0</v>
      </c>
      <c r="N5323">
        <v>0</v>
      </c>
    </row>
    <row r="5324" spans="1:15">
      <c r="A5324" t="s">
        <v>26367</v>
      </c>
      <c r="B5324" t="s">
        <v>17579</v>
      </c>
      <c r="C5324" t="s">
        <v>26368</v>
      </c>
      <c r="D5324" t="s">
        <v>26369</v>
      </c>
      <c r="E5324" t="b">
        <v>0</v>
      </c>
      <c r="F5324" t="s">
        <v>11610</v>
      </c>
      <c r="L5324">
        <v>0</v>
      </c>
      <c r="M5324">
        <v>0</v>
      </c>
      <c r="N5324">
        <v>0</v>
      </c>
    </row>
    <row r="5325" spans="1:15">
      <c r="A5325" t="s">
        <v>24282</v>
      </c>
      <c r="B5325" t="s">
        <v>24281</v>
      </c>
      <c r="C5325" t="s">
        <v>24281</v>
      </c>
      <c r="D5325" t="s">
        <v>26370</v>
      </c>
      <c r="E5325" t="b">
        <v>0</v>
      </c>
      <c r="F5325" t="s">
        <v>11622</v>
      </c>
      <c r="L5325">
        <v>1</v>
      </c>
      <c r="M5325">
        <v>3</v>
      </c>
      <c r="N5325">
        <v>3</v>
      </c>
    </row>
    <row r="5326" spans="1:15">
      <c r="A5326" t="s">
        <v>26371</v>
      </c>
      <c r="B5326" t="s">
        <v>141</v>
      </c>
      <c r="C5326" t="s">
        <v>20894</v>
      </c>
      <c r="D5326" t="s">
        <v>26372</v>
      </c>
      <c r="E5326" t="b">
        <v>0</v>
      </c>
      <c r="F5326" t="s">
        <v>11610</v>
      </c>
      <c r="L5326">
        <v>0</v>
      </c>
      <c r="M5326">
        <v>0</v>
      </c>
      <c r="N5326">
        <v>0</v>
      </c>
    </row>
    <row r="5327" spans="1:15">
      <c r="A5327" t="s">
        <v>11695</v>
      </c>
      <c r="B5327" t="s">
        <v>141</v>
      </c>
      <c r="C5327" t="s">
        <v>143</v>
      </c>
      <c r="D5327" t="s">
        <v>26373</v>
      </c>
      <c r="E5327" t="b">
        <v>0</v>
      </c>
      <c r="F5327" t="s">
        <v>11624</v>
      </c>
      <c r="G5327">
        <v>-14.1754</v>
      </c>
      <c r="H5327">
        <v>-72.668599999999998</v>
      </c>
      <c r="I5327" t="s">
        <v>26374</v>
      </c>
      <c r="L5327">
        <v>0</v>
      </c>
      <c r="M5327">
        <v>0</v>
      </c>
      <c r="N5327">
        <v>3</v>
      </c>
      <c r="O5327" t="s">
        <v>11778</v>
      </c>
    </row>
    <row r="5328" spans="1:15">
      <c r="A5328" t="s">
        <v>26375</v>
      </c>
      <c r="B5328" t="s">
        <v>141</v>
      </c>
      <c r="C5328" t="s">
        <v>26376</v>
      </c>
      <c r="D5328" t="s">
        <v>26377</v>
      </c>
      <c r="E5328" t="b">
        <v>0</v>
      </c>
      <c r="F5328" t="s">
        <v>11610</v>
      </c>
      <c r="L5328">
        <v>0</v>
      </c>
      <c r="M5328">
        <v>0</v>
      </c>
      <c r="N5328">
        <v>0</v>
      </c>
    </row>
    <row r="5329" spans="1:15">
      <c r="A5329" t="s">
        <v>26378</v>
      </c>
      <c r="B5329" t="s">
        <v>23217</v>
      </c>
      <c r="C5329" t="s">
        <v>6098</v>
      </c>
      <c r="D5329" t="s">
        <v>26379</v>
      </c>
      <c r="E5329" t="b">
        <v>0</v>
      </c>
      <c r="F5329" t="s">
        <v>11610</v>
      </c>
      <c r="L5329">
        <v>0</v>
      </c>
      <c r="M5329">
        <v>0</v>
      </c>
      <c r="N5329">
        <v>0</v>
      </c>
    </row>
    <row r="5330" spans="1:15">
      <c r="A5330" t="s">
        <v>15232</v>
      </c>
      <c r="B5330" t="s">
        <v>11912</v>
      </c>
      <c r="C5330" t="s">
        <v>22718</v>
      </c>
      <c r="D5330" t="s">
        <v>26380</v>
      </c>
      <c r="E5330" t="b">
        <v>0</v>
      </c>
      <c r="F5330" t="s">
        <v>11624</v>
      </c>
      <c r="G5330">
        <v>-21.090900000000001</v>
      </c>
      <c r="H5330">
        <v>-61.7179</v>
      </c>
      <c r="I5330" t="s">
        <v>26381</v>
      </c>
      <c r="L5330">
        <v>0</v>
      </c>
      <c r="M5330">
        <v>0</v>
      </c>
      <c r="N5330">
        <v>2</v>
      </c>
      <c r="O5330" t="s">
        <v>26382</v>
      </c>
    </row>
    <row r="5331" spans="1:15">
      <c r="A5331" t="s">
        <v>26383</v>
      </c>
      <c r="B5331" t="s">
        <v>11879</v>
      </c>
      <c r="C5331" t="s">
        <v>26384</v>
      </c>
      <c r="D5331" t="s">
        <v>26385</v>
      </c>
      <c r="E5331" t="b">
        <v>0</v>
      </c>
      <c r="F5331" t="s">
        <v>11624</v>
      </c>
      <c r="G5331">
        <v>20.5991</v>
      </c>
      <c r="H5331">
        <v>-98.097800000000007</v>
      </c>
      <c r="I5331" t="s">
        <v>26386</v>
      </c>
      <c r="L5331">
        <v>0</v>
      </c>
      <c r="M5331">
        <v>0</v>
      </c>
      <c r="N5331">
        <v>0</v>
      </c>
      <c r="O5331" t="s">
        <v>11883</v>
      </c>
    </row>
    <row r="5332" spans="1:15">
      <c r="A5332" t="s">
        <v>13581</v>
      </c>
      <c r="B5332" t="s">
        <v>11879</v>
      </c>
      <c r="C5332" t="s">
        <v>11879</v>
      </c>
      <c r="D5332" t="s">
        <v>26387</v>
      </c>
      <c r="E5332" t="b">
        <v>0</v>
      </c>
      <c r="F5332" t="s">
        <v>11622</v>
      </c>
      <c r="L5332">
        <v>46</v>
      </c>
      <c r="M5332">
        <v>142</v>
      </c>
      <c r="N5332">
        <v>70</v>
      </c>
    </row>
    <row r="5333" spans="1:15">
      <c r="A5333" t="s">
        <v>26388</v>
      </c>
      <c r="B5333" t="s">
        <v>11879</v>
      </c>
      <c r="C5333" t="s">
        <v>26389</v>
      </c>
      <c r="D5333" t="s">
        <v>26390</v>
      </c>
      <c r="E5333" t="b">
        <v>0</v>
      </c>
      <c r="F5333" t="s">
        <v>11624</v>
      </c>
      <c r="G5333">
        <v>16.2437</v>
      </c>
      <c r="H5333">
        <v>-97.152600000000007</v>
      </c>
      <c r="I5333" t="s">
        <v>26391</v>
      </c>
      <c r="L5333">
        <v>0</v>
      </c>
      <c r="M5333">
        <v>0</v>
      </c>
      <c r="N5333">
        <v>0</v>
      </c>
      <c r="O5333" t="s">
        <v>11883</v>
      </c>
    </row>
    <row r="5334" spans="1:15">
      <c r="A5334" t="s">
        <v>26392</v>
      </c>
      <c r="B5334" t="s">
        <v>2975</v>
      </c>
      <c r="C5334" t="s">
        <v>26393</v>
      </c>
      <c r="D5334" t="s">
        <v>26394</v>
      </c>
      <c r="E5334" t="b">
        <v>0</v>
      </c>
      <c r="F5334" t="s">
        <v>11610</v>
      </c>
      <c r="L5334">
        <v>0</v>
      </c>
      <c r="M5334">
        <v>0</v>
      </c>
      <c r="N5334">
        <v>0</v>
      </c>
    </row>
    <row r="5335" spans="1:15">
      <c r="A5335" t="s">
        <v>26395</v>
      </c>
      <c r="B5335" t="s">
        <v>11894</v>
      </c>
      <c r="C5335" t="s">
        <v>11894</v>
      </c>
      <c r="D5335" t="s">
        <v>26396</v>
      </c>
      <c r="E5335" t="b">
        <v>0</v>
      </c>
      <c r="F5335" t="s">
        <v>11622</v>
      </c>
      <c r="L5335">
        <v>0</v>
      </c>
      <c r="M5335">
        <v>2</v>
      </c>
      <c r="N5335">
        <v>0</v>
      </c>
    </row>
    <row r="5336" spans="1:15">
      <c r="A5336" t="s">
        <v>26397</v>
      </c>
      <c r="B5336" t="s">
        <v>11894</v>
      </c>
      <c r="C5336" t="s">
        <v>286</v>
      </c>
      <c r="D5336" t="s">
        <v>26398</v>
      </c>
      <c r="E5336" t="b">
        <v>0</v>
      </c>
      <c r="F5336" t="s">
        <v>11610</v>
      </c>
      <c r="L5336">
        <v>0</v>
      </c>
      <c r="M5336">
        <v>0</v>
      </c>
      <c r="N5336">
        <v>0</v>
      </c>
    </row>
    <row r="5337" spans="1:15">
      <c r="A5337" t="s">
        <v>5136</v>
      </c>
      <c r="B5337" t="s">
        <v>367</v>
      </c>
      <c r="C5337" t="s">
        <v>5137</v>
      </c>
      <c r="D5337" t="s">
        <v>26399</v>
      </c>
      <c r="E5337" t="b">
        <v>0</v>
      </c>
      <c r="F5337" t="s">
        <v>11624</v>
      </c>
      <c r="G5337">
        <v>11.285299999999999</v>
      </c>
      <c r="H5337">
        <v>108.49</v>
      </c>
      <c r="I5337" t="s">
        <v>5138</v>
      </c>
      <c r="L5337">
        <v>0</v>
      </c>
      <c r="M5337">
        <v>0</v>
      </c>
      <c r="N5337">
        <v>0</v>
      </c>
      <c r="O5337" t="s">
        <v>15949</v>
      </c>
    </row>
    <row r="5338" spans="1:15">
      <c r="A5338" t="s">
        <v>26400</v>
      </c>
      <c r="B5338" t="s">
        <v>6455</v>
      </c>
      <c r="C5338" t="s">
        <v>25294</v>
      </c>
      <c r="D5338" t="s">
        <v>26401</v>
      </c>
      <c r="E5338" t="b">
        <v>0</v>
      </c>
      <c r="F5338" t="s">
        <v>11622</v>
      </c>
      <c r="L5338">
        <v>2</v>
      </c>
      <c r="M5338">
        <v>4</v>
      </c>
      <c r="N5338">
        <v>6</v>
      </c>
    </row>
    <row r="5339" spans="1:15">
      <c r="A5339" t="s">
        <v>26402</v>
      </c>
      <c r="B5339" t="s">
        <v>6455</v>
      </c>
      <c r="C5339" t="s">
        <v>26403</v>
      </c>
      <c r="D5339" t="s">
        <v>26404</v>
      </c>
      <c r="E5339" t="b">
        <v>0</v>
      </c>
      <c r="F5339" t="s">
        <v>11610</v>
      </c>
      <c r="L5339">
        <v>0</v>
      </c>
      <c r="M5339">
        <v>0</v>
      </c>
      <c r="N5339">
        <v>0</v>
      </c>
    </row>
    <row r="5340" spans="1:15">
      <c r="A5340" t="s">
        <v>14499</v>
      </c>
      <c r="B5340" t="s">
        <v>6455</v>
      </c>
      <c r="C5340" t="s">
        <v>14496</v>
      </c>
      <c r="D5340" t="s">
        <v>26405</v>
      </c>
      <c r="E5340" t="b">
        <v>0</v>
      </c>
      <c r="F5340" t="s">
        <v>11622</v>
      </c>
      <c r="L5340">
        <v>1</v>
      </c>
      <c r="M5340">
        <v>3</v>
      </c>
      <c r="N5340">
        <v>0</v>
      </c>
    </row>
    <row r="5341" spans="1:15">
      <c r="A5341" t="s">
        <v>26406</v>
      </c>
      <c r="B5341" t="s">
        <v>6455</v>
      </c>
      <c r="C5341" t="s">
        <v>14499</v>
      </c>
      <c r="D5341" t="s">
        <v>26407</v>
      </c>
      <c r="E5341" t="b">
        <v>0</v>
      </c>
      <c r="F5341" t="s">
        <v>11622</v>
      </c>
      <c r="L5341">
        <v>0</v>
      </c>
      <c r="M5341">
        <v>2</v>
      </c>
      <c r="N5341">
        <v>0</v>
      </c>
    </row>
    <row r="5342" spans="1:15">
      <c r="A5342" t="s">
        <v>26408</v>
      </c>
      <c r="B5342" t="s">
        <v>11607</v>
      </c>
      <c r="C5342" t="s">
        <v>18916</v>
      </c>
      <c r="D5342" t="s">
        <v>26409</v>
      </c>
      <c r="E5342" t="b">
        <v>0</v>
      </c>
      <c r="F5342" t="s">
        <v>11622</v>
      </c>
      <c r="L5342">
        <v>18</v>
      </c>
      <c r="M5342">
        <v>35</v>
      </c>
      <c r="N5342">
        <v>54</v>
      </c>
    </row>
    <row r="5343" spans="1:15">
      <c r="A5343" t="s">
        <v>17051</v>
      </c>
      <c r="B5343" t="s">
        <v>11607</v>
      </c>
      <c r="C5343" t="s">
        <v>26408</v>
      </c>
      <c r="D5343" t="s">
        <v>26410</v>
      </c>
      <c r="E5343" t="b">
        <v>0</v>
      </c>
      <c r="F5343" t="s">
        <v>11622</v>
      </c>
      <c r="L5343">
        <v>8</v>
      </c>
      <c r="M5343">
        <v>19</v>
      </c>
      <c r="N5343">
        <v>34</v>
      </c>
    </row>
    <row r="5344" spans="1:15">
      <c r="A5344" t="s">
        <v>26411</v>
      </c>
      <c r="B5344" t="s">
        <v>11607</v>
      </c>
      <c r="C5344" t="s">
        <v>6751</v>
      </c>
      <c r="D5344" t="s">
        <v>26412</v>
      </c>
      <c r="E5344" t="b">
        <v>0</v>
      </c>
      <c r="F5344" t="s">
        <v>11610</v>
      </c>
      <c r="L5344">
        <v>0</v>
      </c>
      <c r="M5344">
        <v>0</v>
      </c>
      <c r="N5344">
        <v>0</v>
      </c>
    </row>
    <row r="5345" spans="1:15">
      <c r="A5345" t="s">
        <v>26413</v>
      </c>
      <c r="B5345" t="s">
        <v>11607</v>
      </c>
      <c r="C5345" t="s">
        <v>11751</v>
      </c>
      <c r="D5345" t="s">
        <v>26414</v>
      </c>
      <c r="E5345" t="b">
        <v>0</v>
      </c>
      <c r="F5345" t="s">
        <v>11610</v>
      </c>
      <c r="L5345">
        <v>0</v>
      </c>
      <c r="M5345">
        <v>0</v>
      </c>
      <c r="N5345">
        <v>0</v>
      </c>
    </row>
    <row r="5346" spans="1:15">
      <c r="A5346" t="s">
        <v>26415</v>
      </c>
      <c r="B5346" t="s">
        <v>11607</v>
      </c>
      <c r="C5346" t="s">
        <v>26408</v>
      </c>
      <c r="D5346" t="s">
        <v>26416</v>
      </c>
      <c r="E5346" t="b">
        <v>0</v>
      </c>
      <c r="F5346" t="s">
        <v>11622</v>
      </c>
      <c r="L5346">
        <v>8</v>
      </c>
      <c r="M5346">
        <v>16</v>
      </c>
      <c r="N5346">
        <v>20</v>
      </c>
    </row>
    <row r="5347" spans="1:15">
      <c r="A5347" t="s">
        <v>26417</v>
      </c>
      <c r="B5347" t="s">
        <v>11607</v>
      </c>
      <c r="C5347" t="s">
        <v>26415</v>
      </c>
      <c r="D5347" t="s">
        <v>26418</v>
      </c>
      <c r="E5347" t="b">
        <v>0</v>
      </c>
      <c r="F5347" t="s">
        <v>11622</v>
      </c>
      <c r="L5347">
        <v>0</v>
      </c>
      <c r="M5347">
        <v>2</v>
      </c>
      <c r="N5347">
        <v>9</v>
      </c>
    </row>
    <row r="5348" spans="1:15">
      <c r="A5348" t="s">
        <v>26419</v>
      </c>
      <c r="B5348" t="s">
        <v>11607</v>
      </c>
      <c r="C5348" t="s">
        <v>26420</v>
      </c>
      <c r="D5348" t="s">
        <v>26421</v>
      </c>
      <c r="E5348" t="b">
        <v>0</v>
      </c>
      <c r="F5348" t="s">
        <v>11622</v>
      </c>
      <c r="L5348">
        <v>0</v>
      </c>
      <c r="M5348">
        <v>4</v>
      </c>
      <c r="N5348">
        <v>4</v>
      </c>
    </row>
    <row r="5349" spans="1:15">
      <c r="A5349" t="s">
        <v>19552</v>
      </c>
      <c r="B5349" t="s">
        <v>11607</v>
      </c>
      <c r="C5349" t="s">
        <v>26420</v>
      </c>
      <c r="D5349" t="s">
        <v>26422</v>
      </c>
      <c r="E5349" t="b">
        <v>0</v>
      </c>
      <c r="F5349" t="s">
        <v>11622</v>
      </c>
      <c r="L5349">
        <v>0</v>
      </c>
      <c r="M5349">
        <v>4</v>
      </c>
      <c r="N5349">
        <v>0</v>
      </c>
    </row>
    <row r="5350" spans="1:15">
      <c r="A5350" t="s">
        <v>26423</v>
      </c>
      <c r="B5350" t="s">
        <v>11607</v>
      </c>
      <c r="C5350" t="s">
        <v>26415</v>
      </c>
      <c r="D5350" t="s">
        <v>26424</v>
      </c>
      <c r="E5350" t="b">
        <v>0</v>
      </c>
      <c r="F5350" t="s">
        <v>11622</v>
      </c>
      <c r="L5350">
        <v>3</v>
      </c>
      <c r="M5350">
        <v>6</v>
      </c>
      <c r="N5350">
        <v>7</v>
      </c>
    </row>
    <row r="5351" spans="1:15">
      <c r="A5351" t="s">
        <v>26425</v>
      </c>
      <c r="B5351" t="s">
        <v>11607</v>
      </c>
      <c r="C5351" t="s">
        <v>21752</v>
      </c>
      <c r="D5351" t="s">
        <v>26426</v>
      </c>
      <c r="E5351" t="b">
        <v>0</v>
      </c>
      <c r="F5351" t="s">
        <v>11610</v>
      </c>
      <c r="L5351">
        <v>0</v>
      </c>
      <c r="M5351">
        <v>0</v>
      </c>
      <c r="N5351">
        <v>2</v>
      </c>
    </row>
    <row r="5352" spans="1:15">
      <c r="A5352" t="s">
        <v>19098</v>
      </c>
      <c r="B5352" t="s">
        <v>11607</v>
      </c>
      <c r="C5352" t="s">
        <v>18910</v>
      </c>
      <c r="D5352" t="s">
        <v>26427</v>
      </c>
      <c r="E5352" t="b">
        <v>0</v>
      </c>
      <c r="F5352" t="s">
        <v>11622</v>
      </c>
      <c r="L5352">
        <v>0</v>
      </c>
      <c r="M5352">
        <v>3</v>
      </c>
      <c r="N5352">
        <v>2</v>
      </c>
    </row>
    <row r="5353" spans="1:15">
      <c r="A5353" t="s">
        <v>26428</v>
      </c>
      <c r="B5353" t="s">
        <v>11607</v>
      </c>
      <c r="C5353" t="s">
        <v>6491</v>
      </c>
      <c r="D5353" t="s">
        <v>26429</v>
      </c>
      <c r="E5353" t="b">
        <v>0</v>
      </c>
      <c r="F5353" t="s">
        <v>11610</v>
      </c>
      <c r="L5353">
        <v>0</v>
      </c>
      <c r="M5353">
        <v>0</v>
      </c>
      <c r="N5353">
        <v>3</v>
      </c>
    </row>
    <row r="5354" spans="1:15">
      <c r="A5354" t="s">
        <v>17055</v>
      </c>
      <c r="B5354" t="s">
        <v>11607</v>
      </c>
      <c r="C5354" t="s">
        <v>26430</v>
      </c>
      <c r="D5354" t="s">
        <v>26431</v>
      </c>
      <c r="E5354" t="b">
        <v>0</v>
      </c>
      <c r="F5354" t="s">
        <v>11624</v>
      </c>
      <c r="G5354">
        <v>8.6742799999999995</v>
      </c>
      <c r="H5354">
        <v>41.439500000000002</v>
      </c>
      <c r="I5354" t="s">
        <v>26432</v>
      </c>
      <c r="L5354">
        <v>0</v>
      </c>
      <c r="M5354">
        <v>0</v>
      </c>
      <c r="N5354">
        <v>4</v>
      </c>
      <c r="O5354" t="s">
        <v>11625</v>
      </c>
    </row>
    <row r="5355" spans="1:15">
      <c r="A5355" t="s">
        <v>16031</v>
      </c>
      <c r="B5355" t="s">
        <v>11607</v>
      </c>
      <c r="C5355" t="s">
        <v>26433</v>
      </c>
      <c r="D5355" t="s">
        <v>26434</v>
      </c>
      <c r="E5355" t="b">
        <v>0</v>
      </c>
      <c r="F5355" t="s">
        <v>11622</v>
      </c>
      <c r="L5355">
        <v>3</v>
      </c>
      <c r="M5355">
        <v>10</v>
      </c>
      <c r="N5355">
        <v>17</v>
      </c>
    </row>
    <row r="5356" spans="1:15">
      <c r="A5356" t="s">
        <v>12762</v>
      </c>
      <c r="B5356" t="s">
        <v>11607</v>
      </c>
      <c r="C5356" t="s">
        <v>26435</v>
      </c>
      <c r="D5356" t="s">
        <v>26436</v>
      </c>
      <c r="E5356" t="b">
        <v>0</v>
      </c>
      <c r="F5356" t="s">
        <v>11622</v>
      </c>
      <c r="L5356">
        <v>0</v>
      </c>
      <c r="M5356">
        <v>2</v>
      </c>
      <c r="N5356">
        <v>0</v>
      </c>
    </row>
    <row r="5357" spans="1:15">
      <c r="A5357" t="s">
        <v>26437</v>
      </c>
      <c r="B5357" t="s">
        <v>11607</v>
      </c>
      <c r="C5357" t="s">
        <v>26438</v>
      </c>
      <c r="D5357" t="s">
        <v>26439</v>
      </c>
      <c r="E5357" t="b">
        <v>0</v>
      </c>
      <c r="F5357" t="s">
        <v>11610</v>
      </c>
      <c r="L5357">
        <v>0</v>
      </c>
      <c r="M5357">
        <v>0</v>
      </c>
      <c r="N5357">
        <v>0</v>
      </c>
    </row>
    <row r="5358" spans="1:15">
      <c r="A5358" t="s">
        <v>21769</v>
      </c>
      <c r="B5358" t="s">
        <v>11607</v>
      </c>
      <c r="C5358" t="s">
        <v>14306</v>
      </c>
      <c r="D5358" t="s">
        <v>26440</v>
      </c>
      <c r="E5358" t="b">
        <v>0</v>
      </c>
      <c r="F5358" t="s">
        <v>11622</v>
      </c>
      <c r="L5358">
        <v>9</v>
      </c>
      <c r="M5358">
        <v>17</v>
      </c>
      <c r="N5358">
        <v>86</v>
      </c>
    </row>
    <row r="5359" spans="1:15">
      <c r="A5359" t="s">
        <v>26441</v>
      </c>
      <c r="B5359" t="s">
        <v>11607</v>
      </c>
      <c r="C5359" t="s">
        <v>23111</v>
      </c>
      <c r="D5359" t="s">
        <v>26442</v>
      </c>
      <c r="E5359" t="b">
        <v>0</v>
      </c>
      <c r="F5359" t="s">
        <v>11610</v>
      </c>
      <c r="L5359">
        <v>0</v>
      </c>
      <c r="M5359">
        <v>0</v>
      </c>
      <c r="N5359">
        <v>0</v>
      </c>
    </row>
    <row r="5360" spans="1:15">
      <c r="A5360" t="s">
        <v>26443</v>
      </c>
      <c r="B5360" t="s">
        <v>11607</v>
      </c>
      <c r="C5360" t="s">
        <v>26444</v>
      </c>
      <c r="D5360" t="s">
        <v>26445</v>
      </c>
      <c r="E5360" t="b">
        <v>0</v>
      </c>
      <c r="F5360" t="s">
        <v>11610</v>
      </c>
      <c r="L5360">
        <v>0</v>
      </c>
      <c r="M5360">
        <v>0</v>
      </c>
      <c r="N5360">
        <v>6</v>
      </c>
    </row>
    <row r="5361" spans="1:15">
      <c r="A5361" t="s">
        <v>26446</v>
      </c>
      <c r="B5361" t="s">
        <v>11607</v>
      </c>
      <c r="C5361" t="s">
        <v>26447</v>
      </c>
      <c r="D5361" t="s">
        <v>26448</v>
      </c>
      <c r="E5361" t="b">
        <v>0</v>
      </c>
      <c r="F5361" t="s">
        <v>11624</v>
      </c>
      <c r="G5361">
        <v>29.674199999999999</v>
      </c>
      <c r="H5361">
        <v>33.6113</v>
      </c>
      <c r="I5361" t="s">
        <v>26449</v>
      </c>
      <c r="L5361">
        <v>0</v>
      </c>
      <c r="M5361">
        <v>0</v>
      </c>
      <c r="N5361">
        <v>4</v>
      </c>
      <c r="O5361" t="s">
        <v>26450</v>
      </c>
    </row>
    <row r="5362" spans="1:15">
      <c r="A5362" t="s">
        <v>26451</v>
      </c>
      <c r="B5362" t="s">
        <v>11607</v>
      </c>
      <c r="C5362" t="s">
        <v>26452</v>
      </c>
      <c r="D5362" t="s">
        <v>26453</v>
      </c>
      <c r="E5362" t="b">
        <v>0</v>
      </c>
      <c r="F5362" t="s">
        <v>11610</v>
      </c>
      <c r="L5362">
        <v>0</v>
      </c>
      <c r="M5362">
        <v>0</v>
      </c>
      <c r="N5362">
        <v>0</v>
      </c>
    </row>
    <row r="5363" spans="1:15">
      <c r="A5363" t="s">
        <v>26454</v>
      </c>
      <c r="B5363" t="s">
        <v>11637</v>
      </c>
      <c r="C5363" t="s">
        <v>12230</v>
      </c>
      <c r="D5363" t="s">
        <v>26455</v>
      </c>
      <c r="E5363" t="b">
        <v>0</v>
      </c>
      <c r="F5363" t="s">
        <v>11610</v>
      </c>
      <c r="L5363">
        <v>0</v>
      </c>
      <c r="M5363">
        <v>0</v>
      </c>
      <c r="N5363">
        <v>0</v>
      </c>
    </row>
    <row r="5364" spans="1:15">
      <c r="A5364" t="s">
        <v>26456</v>
      </c>
      <c r="B5364" t="s">
        <v>367</v>
      </c>
      <c r="C5364" t="s">
        <v>21598</v>
      </c>
      <c r="D5364" t="s">
        <v>26457</v>
      </c>
      <c r="E5364" t="b">
        <v>0</v>
      </c>
      <c r="F5364" t="s">
        <v>11624</v>
      </c>
      <c r="I5364" t="s">
        <v>26458</v>
      </c>
      <c r="L5364">
        <v>0</v>
      </c>
      <c r="M5364">
        <v>0</v>
      </c>
      <c r="N5364">
        <v>0</v>
      </c>
      <c r="O5364" t="s">
        <v>11749</v>
      </c>
    </row>
    <row r="5365" spans="1:15">
      <c r="A5365" t="s">
        <v>26459</v>
      </c>
      <c r="B5365" t="s">
        <v>12751</v>
      </c>
      <c r="C5365" t="s">
        <v>25590</v>
      </c>
      <c r="D5365" t="s">
        <v>26460</v>
      </c>
      <c r="E5365" t="b">
        <v>0</v>
      </c>
      <c r="F5365" t="s">
        <v>11624</v>
      </c>
      <c r="I5365" t="s">
        <v>26461</v>
      </c>
      <c r="L5365">
        <v>0</v>
      </c>
      <c r="M5365">
        <v>0</v>
      </c>
      <c r="N5365">
        <v>0</v>
      </c>
      <c r="O5365" t="s">
        <v>11883</v>
      </c>
    </row>
    <row r="5366" spans="1:15">
      <c r="A5366" t="s">
        <v>26462</v>
      </c>
      <c r="B5366" t="s">
        <v>11644</v>
      </c>
      <c r="C5366" t="s">
        <v>26463</v>
      </c>
      <c r="D5366" t="s">
        <v>26464</v>
      </c>
      <c r="E5366" t="b">
        <v>0</v>
      </c>
      <c r="F5366" t="s">
        <v>11624</v>
      </c>
      <c r="G5366">
        <v>23.585000000000001</v>
      </c>
      <c r="H5366">
        <v>101.54600000000001</v>
      </c>
      <c r="I5366" t="s">
        <v>26465</v>
      </c>
      <c r="L5366">
        <v>0</v>
      </c>
      <c r="M5366">
        <v>0</v>
      </c>
      <c r="N5366">
        <v>0</v>
      </c>
      <c r="O5366" t="s">
        <v>11905</v>
      </c>
    </row>
    <row r="5367" spans="1:15">
      <c r="A5367" t="s">
        <v>18812</v>
      </c>
      <c r="B5367" t="s">
        <v>13276</v>
      </c>
      <c r="C5367" t="s">
        <v>13276</v>
      </c>
      <c r="D5367" t="s">
        <v>26466</v>
      </c>
      <c r="E5367" t="b">
        <v>0</v>
      </c>
      <c r="F5367" t="s">
        <v>11622</v>
      </c>
      <c r="L5367">
        <v>17</v>
      </c>
      <c r="M5367">
        <v>21</v>
      </c>
      <c r="N5367">
        <v>60</v>
      </c>
    </row>
    <row r="5368" spans="1:15">
      <c r="A5368" t="s">
        <v>26467</v>
      </c>
      <c r="B5368" t="s">
        <v>2975</v>
      </c>
      <c r="C5368" t="s">
        <v>2975</v>
      </c>
      <c r="D5368" t="s">
        <v>26468</v>
      </c>
      <c r="E5368" t="b">
        <v>0</v>
      </c>
      <c r="F5368" t="s">
        <v>11622</v>
      </c>
      <c r="L5368">
        <v>14</v>
      </c>
      <c r="M5368">
        <v>17</v>
      </c>
      <c r="N5368">
        <v>12</v>
      </c>
    </row>
    <row r="5369" spans="1:15">
      <c r="A5369" t="s">
        <v>23844</v>
      </c>
      <c r="B5369" t="s">
        <v>11607</v>
      </c>
      <c r="C5369" t="s">
        <v>17758</v>
      </c>
      <c r="D5369" t="s">
        <v>26469</v>
      </c>
      <c r="E5369" t="b">
        <v>0</v>
      </c>
      <c r="F5369" t="s">
        <v>11622</v>
      </c>
      <c r="L5369">
        <v>26</v>
      </c>
      <c r="M5369">
        <v>35</v>
      </c>
      <c r="N5369">
        <v>59</v>
      </c>
    </row>
    <row r="5370" spans="1:15">
      <c r="A5370" t="s">
        <v>21166</v>
      </c>
      <c r="B5370" t="s">
        <v>12979</v>
      </c>
      <c r="C5370" t="s">
        <v>13050</v>
      </c>
      <c r="D5370" t="s">
        <v>26470</v>
      </c>
      <c r="E5370" t="b">
        <v>0</v>
      </c>
      <c r="F5370" t="s">
        <v>11622</v>
      </c>
      <c r="L5370">
        <v>4</v>
      </c>
      <c r="M5370">
        <v>15</v>
      </c>
      <c r="N5370">
        <v>9</v>
      </c>
    </row>
    <row r="5371" spans="1:15">
      <c r="A5371" t="s">
        <v>26471</v>
      </c>
      <c r="B5371" t="s">
        <v>9897</v>
      </c>
      <c r="C5371" t="s">
        <v>26472</v>
      </c>
      <c r="D5371" t="s">
        <v>26473</v>
      </c>
      <c r="E5371" t="b">
        <v>0</v>
      </c>
      <c r="F5371" t="s">
        <v>11622</v>
      </c>
      <c r="L5371">
        <v>1</v>
      </c>
      <c r="M5371">
        <v>3</v>
      </c>
      <c r="N5371">
        <v>0</v>
      </c>
    </row>
    <row r="5372" spans="1:15">
      <c r="A5372" t="s">
        <v>26474</v>
      </c>
      <c r="B5372" t="s">
        <v>2975</v>
      </c>
      <c r="C5372" t="s">
        <v>26467</v>
      </c>
      <c r="D5372" t="s">
        <v>26475</v>
      </c>
      <c r="E5372" t="b">
        <v>0</v>
      </c>
      <c r="F5372" t="s">
        <v>11622</v>
      </c>
      <c r="L5372">
        <v>7</v>
      </c>
      <c r="M5372">
        <v>9</v>
      </c>
      <c r="N5372">
        <v>5</v>
      </c>
    </row>
    <row r="5373" spans="1:15">
      <c r="A5373" t="s">
        <v>16016</v>
      </c>
      <c r="B5373" t="s">
        <v>6742</v>
      </c>
      <c r="C5373" t="s">
        <v>26476</v>
      </c>
      <c r="D5373" t="s">
        <v>26477</v>
      </c>
      <c r="E5373" t="b">
        <v>0</v>
      </c>
      <c r="F5373" t="s">
        <v>11622</v>
      </c>
      <c r="L5373">
        <v>2</v>
      </c>
      <c r="M5373">
        <v>6</v>
      </c>
      <c r="N5373">
        <v>2</v>
      </c>
    </row>
    <row r="5374" spans="1:15">
      <c r="A5374" t="s">
        <v>24349</v>
      </c>
      <c r="B5374" t="s">
        <v>11615</v>
      </c>
      <c r="C5374" t="s">
        <v>26478</v>
      </c>
      <c r="D5374" t="s">
        <v>26479</v>
      </c>
      <c r="E5374" t="b">
        <v>0</v>
      </c>
      <c r="F5374" t="s">
        <v>11622</v>
      </c>
      <c r="L5374">
        <v>2</v>
      </c>
      <c r="M5374">
        <v>8</v>
      </c>
      <c r="N5374">
        <v>17</v>
      </c>
    </row>
    <row r="5375" spans="1:15">
      <c r="A5375" t="s">
        <v>24673</v>
      </c>
      <c r="B5375" t="s">
        <v>10597</v>
      </c>
      <c r="C5375" t="s">
        <v>26480</v>
      </c>
      <c r="D5375" t="s">
        <v>26481</v>
      </c>
      <c r="E5375" t="b">
        <v>0</v>
      </c>
      <c r="F5375" t="s">
        <v>11622</v>
      </c>
      <c r="L5375">
        <v>1</v>
      </c>
      <c r="M5375">
        <v>3</v>
      </c>
      <c r="N5375">
        <v>1</v>
      </c>
    </row>
    <row r="5376" spans="1:15">
      <c r="A5376" t="s">
        <v>16977</v>
      </c>
      <c r="B5376" t="s">
        <v>2975</v>
      </c>
      <c r="C5376" t="s">
        <v>26474</v>
      </c>
      <c r="D5376" t="s">
        <v>26482</v>
      </c>
      <c r="E5376" t="b">
        <v>0</v>
      </c>
      <c r="F5376" t="s">
        <v>11622</v>
      </c>
      <c r="L5376">
        <v>1</v>
      </c>
      <c r="M5376">
        <v>3</v>
      </c>
      <c r="N5376">
        <v>4</v>
      </c>
    </row>
    <row r="5377" spans="1:14">
      <c r="A5377" t="s">
        <v>26483</v>
      </c>
      <c r="B5377" t="s">
        <v>2975</v>
      </c>
      <c r="C5377" t="s">
        <v>26474</v>
      </c>
      <c r="D5377" t="s">
        <v>26484</v>
      </c>
      <c r="E5377" t="b">
        <v>0</v>
      </c>
      <c r="F5377" t="s">
        <v>11622</v>
      </c>
      <c r="L5377">
        <v>4</v>
      </c>
      <c r="M5377">
        <v>6</v>
      </c>
      <c r="N5377">
        <v>1</v>
      </c>
    </row>
    <row r="5378" spans="1:14">
      <c r="A5378" t="s">
        <v>24048</v>
      </c>
      <c r="B5378" t="s">
        <v>11607</v>
      </c>
      <c r="C5378" t="s">
        <v>17051</v>
      </c>
      <c r="D5378" t="s">
        <v>26485</v>
      </c>
      <c r="E5378" t="b">
        <v>0</v>
      </c>
      <c r="F5378" t="s">
        <v>11622</v>
      </c>
      <c r="L5378">
        <v>5</v>
      </c>
      <c r="M5378">
        <v>12</v>
      </c>
      <c r="N5378">
        <v>22</v>
      </c>
    </row>
    <row r="5379" spans="1:14">
      <c r="A5379" t="s">
        <v>26486</v>
      </c>
      <c r="B5379" t="s">
        <v>11607</v>
      </c>
      <c r="C5379" t="s">
        <v>17051</v>
      </c>
      <c r="D5379" t="s">
        <v>26487</v>
      </c>
      <c r="E5379" t="b">
        <v>0</v>
      </c>
      <c r="F5379" t="s">
        <v>11622</v>
      </c>
      <c r="L5379">
        <v>1</v>
      </c>
      <c r="M5379">
        <v>5</v>
      </c>
      <c r="N5379">
        <v>2</v>
      </c>
    </row>
    <row r="5380" spans="1:14">
      <c r="A5380" t="s">
        <v>15474</v>
      </c>
      <c r="B5380" t="s">
        <v>6742</v>
      </c>
      <c r="C5380" t="s">
        <v>12604</v>
      </c>
      <c r="D5380" t="s">
        <v>26488</v>
      </c>
      <c r="E5380" t="b">
        <v>0</v>
      </c>
      <c r="F5380" t="s">
        <v>11622</v>
      </c>
      <c r="L5380">
        <v>0</v>
      </c>
      <c r="M5380">
        <v>15</v>
      </c>
      <c r="N5380">
        <v>21</v>
      </c>
    </row>
    <row r="5381" spans="1:14">
      <c r="A5381" t="s">
        <v>26489</v>
      </c>
      <c r="B5381" t="s">
        <v>367</v>
      </c>
      <c r="C5381" t="s">
        <v>21797</v>
      </c>
      <c r="D5381" t="s">
        <v>26490</v>
      </c>
      <c r="E5381" t="b">
        <v>0</v>
      </c>
      <c r="F5381" t="s">
        <v>11622</v>
      </c>
      <c r="L5381">
        <v>302</v>
      </c>
      <c r="M5381">
        <v>569</v>
      </c>
      <c r="N5381">
        <v>654</v>
      </c>
    </row>
    <row r="5382" spans="1:14">
      <c r="A5382" t="s">
        <v>21203</v>
      </c>
      <c r="B5382" t="s">
        <v>11637</v>
      </c>
      <c r="C5382" t="s">
        <v>26491</v>
      </c>
      <c r="D5382" t="s">
        <v>26492</v>
      </c>
      <c r="E5382" t="b">
        <v>0</v>
      </c>
      <c r="F5382" t="s">
        <v>11622</v>
      </c>
      <c r="L5382">
        <v>1</v>
      </c>
      <c r="M5382">
        <v>5</v>
      </c>
      <c r="N5382">
        <v>11</v>
      </c>
    </row>
    <row r="5383" spans="1:14">
      <c r="A5383" t="s">
        <v>23868</v>
      </c>
      <c r="B5383" t="s">
        <v>3164</v>
      </c>
      <c r="C5383" t="s">
        <v>26493</v>
      </c>
      <c r="D5383" t="s">
        <v>26494</v>
      </c>
      <c r="E5383" t="b">
        <v>0</v>
      </c>
      <c r="F5383" t="s">
        <v>11622</v>
      </c>
      <c r="L5383">
        <v>0</v>
      </c>
      <c r="M5383">
        <v>3</v>
      </c>
      <c r="N5383">
        <v>6</v>
      </c>
    </row>
    <row r="5384" spans="1:14">
      <c r="A5384" t="s">
        <v>18772</v>
      </c>
      <c r="B5384" t="s">
        <v>10597</v>
      </c>
      <c r="C5384" t="s">
        <v>26495</v>
      </c>
      <c r="D5384" t="s">
        <v>26496</v>
      </c>
      <c r="E5384" t="b">
        <v>0</v>
      </c>
      <c r="F5384" t="s">
        <v>11622</v>
      </c>
      <c r="L5384">
        <v>0</v>
      </c>
      <c r="M5384">
        <v>3</v>
      </c>
      <c r="N5384">
        <v>0</v>
      </c>
    </row>
    <row r="5385" spans="1:14">
      <c r="A5385" t="s">
        <v>26497</v>
      </c>
      <c r="B5385" t="s">
        <v>10597</v>
      </c>
      <c r="C5385" t="s">
        <v>26498</v>
      </c>
      <c r="D5385" t="s">
        <v>26499</v>
      </c>
      <c r="E5385" t="b">
        <v>0</v>
      </c>
      <c r="F5385" t="s">
        <v>11622</v>
      </c>
      <c r="L5385">
        <v>0</v>
      </c>
      <c r="M5385">
        <v>2</v>
      </c>
      <c r="N5385">
        <v>3</v>
      </c>
    </row>
    <row r="5386" spans="1:14">
      <c r="A5386" t="s">
        <v>18617</v>
      </c>
      <c r="B5386" t="s">
        <v>13967</v>
      </c>
      <c r="C5386" t="s">
        <v>21520</v>
      </c>
      <c r="D5386" t="s">
        <v>26500</v>
      </c>
      <c r="E5386" t="b">
        <v>0</v>
      </c>
      <c r="F5386" t="s">
        <v>11622</v>
      </c>
      <c r="L5386">
        <v>0</v>
      </c>
      <c r="M5386">
        <v>2</v>
      </c>
      <c r="N5386">
        <v>4</v>
      </c>
    </row>
    <row r="5387" spans="1:14">
      <c r="A5387" t="s">
        <v>26501</v>
      </c>
      <c r="B5387" t="s">
        <v>11644</v>
      </c>
      <c r="C5387" t="s">
        <v>21823</v>
      </c>
      <c r="D5387" t="s">
        <v>26502</v>
      </c>
      <c r="E5387" t="b">
        <v>0</v>
      </c>
      <c r="F5387" t="s">
        <v>11622</v>
      </c>
      <c r="L5387">
        <v>6</v>
      </c>
      <c r="M5387">
        <v>10</v>
      </c>
      <c r="N5387">
        <v>12</v>
      </c>
    </row>
    <row r="5388" spans="1:14">
      <c r="A5388" t="s">
        <v>26503</v>
      </c>
      <c r="B5388" t="s">
        <v>12751</v>
      </c>
      <c r="C5388" t="s">
        <v>444</v>
      </c>
      <c r="D5388" t="s">
        <v>26504</v>
      </c>
      <c r="E5388" t="b">
        <v>0</v>
      </c>
      <c r="F5388" t="s">
        <v>11622</v>
      </c>
      <c r="L5388">
        <v>4</v>
      </c>
      <c r="M5388">
        <v>19</v>
      </c>
      <c r="N5388">
        <v>3</v>
      </c>
    </row>
    <row r="5389" spans="1:14">
      <c r="A5389" t="s">
        <v>26505</v>
      </c>
      <c r="B5389" t="s">
        <v>11607</v>
      </c>
      <c r="C5389" t="s">
        <v>26423</v>
      </c>
      <c r="D5389" t="s">
        <v>26506</v>
      </c>
      <c r="E5389" t="b">
        <v>0</v>
      </c>
      <c r="F5389" t="s">
        <v>11622</v>
      </c>
      <c r="L5389">
        <v>0</v>
      </c>
      <c r="M5389">
        <v>2</v>
      </c>
      <c r="N5389">
        <v>0</v>
      </c>
    </row>
    <row r="5390" spans="1:14">
      <c r="A5390" t="s">
        <v>26507</v>
      </c>
      <c r="B5390" t="s">
        <v>11607</v>
      </c>
      <c r="C5390" t="s">
        <v>26423</v>
      </c>
      <c r="D5390" t="s">
        <v>26508</v>
      </c>
      <c r="E5390" t="b">
        <v>0</v>
      </c>
      <c r="F5390" t="s">
        <v>11622</v>
      </c>
      <c r="L5390">
        <v>1</v>
      </c>
      <c r="M5390">
        <v>4</v>
      </c>
      <c r="N5390">
        <v>7</v>
      </c>
    </row>
    <row r="5391" spans="1:14">
      <c r="A5391" t="s">
        <v>26509</v>
      </c>
      <c r="B5391" t="s">
        <v>12460</v>
      </c>
      <c r="C5391" t="s">
        <v>26510</v>
      </c>
      <c r="D5391" t="s">
        <v>26511</v>
      </c>
      <c r="E5391" t="b">
        <v>0</v>
      </c>
      <c r="F5391" t="s">
        <v>11622</v>
      </c>
      <c r="L5391">
        <v>0</v>
      </c>
      <c r="M5391">
        <v>2</v>
      </c>
      <c r="N5391">
        <v>0</v>
      </c>
    </row>
    <row r="5392" spans="1:14">
      <c r="A5392" t="s">
        <v>26512</v>
      </c>
      <c r="B5392" t="s">
        <v>367</v>
      </c>
      <c r="C5392" t="s">
        <v>11674</v>
      </c>
      <c r="D5392" t="s">
        <v>26513</v>
      </c>
      <c r="E5392" t="b">
        <v>0</v>
      </c>
      <c r="F5392" t="s">
        <v>11622</v>
      </c>
      <c r="L5392">
        <v>1</v>
      </c>
      <c r="M5392">
        <v>4</v>
      </c>
      <c r="N5392">
        <v>0</v>
      </c>
    </row>
    <row r="5393" spans="1:14">
      <c r="A5393" t="s">
        <v>26514</v>
      </c>
      <c r="B5393" t="s">
        <v>11637</v>
      </c>
      <c r="C5393" t="s">
        <v>26515</v>
      </c>
      <c r="D5393" t="s">
        <v>26516</v>
      </c>
      <c r="E5393" t="b">
        <v>0</v>
      </c>
      <c r="F5393" t="s">
        <v>11622</v>
      </c>
      <c r="L5393">
        <v>0</v>
      </c>
      <c r="M5393">
        <v>3</v>
      </c>
      <c r="N5393">
        <v>3</v>
      </c>
    </row>
    <row r="5394" spans="1:14">
      <c r="A5394" t="s">
        <v>15310</v>
      </c>
      <c r="B5394" t="s">
        <v>11637</v>
      </c>
      <c r="C5394" t="s">
        <v>18306</v>
      </c>
      <c r="D5394" t="s">
        <v>26517</v>
      </c>
      <c r="E5394" t="b">
        <v>0</v>
      </c>
      <c r="F5394" t="s">
        <v>11622</v>
      </c>
      <c r="L5394">
        <v>0</v>
      </c>
      <c r="M5394">
        <v>4</v>
      </c>
      <c r="N5394">
        <v>28</v>
      </c>
    </row>
    <row r="5395" spans="1:14">
      <c r="A5395" t="s">
        <v>26518</v>
      </c>
      <c r="B5395" t="s">
        <v>11637</v>
      </c>
      <c r="C5395" t="s">
        <v>1290</v>
      </c>
      <c r="D5395" t="s">
        <v>26519</v>
      </c>
      <c r="E5395" t="b">
        <v>0</v>
      </c>
      <c r="F5395" t="s">
        <v>11622</v>
      </c>
      <c r="L5395">
        <v>0</v>
      </c>
      <c r="M5395">
        <v>2</v>
      </c>
      <c r="N5395">
        <v>8</v>
      </c>
    </row>
    <row r="5396" spans="1:14">
      <c r="A5396" t="s">
        <v>12197</v>
      </c>
      <c r="B5396" t="s">
        <v>11607</v>
      </c>
      <c r="C5396" t="s">
        <v>1523</v>
      </c>
      <c r="D5396" t="s">
        <v>26520</v>
      </c>
      <c r="E5396" t="b">
        <v>0</v>
      </c>
      <c r="F5396" t="s">
        <v>11622</v>
      </c>
      <c r="L5396">
        <v>2</v>
      </c>
      <c r="M5396">
        <v>6</v>
      </c>
      <c r="N5396">
        <v>6</v>
      </c>
    </row>
    <row r="5397" spans="1:14">
      <c r="A5397" t="s">
        <v>17661</v>
      </c>
      <c r="B5397" t="s">
        <v>6742</v>
      </c>
      <c r="C5397" t="s">
        <v>17672</v>
      </c>
      <c r="D5397" t="s">
        <v>26521</v>
      </c>
      <c r="E5397" t="b">
        <v>0</v>
      </c>
      <c r="F5397" t="s">
        <v>11622</v>
      </c>
      <c r="L5397">
        <v>8</v>
      </c>
      <c r="M5397">
        <v>11</v>
      </c>
      <c r="N5397">
        <v>2</v>
      </c>
    </row>
    <row r="5398" spans="1:14">
      <c r="A5398" t="s">
        <v>19707</v>
      </c>
      <c r="B5398" t="s">
        <v>6742</v>
      </c>
      <c r="C5398" t="s">
        <v>500</v>
      </c>
      <c r="D5398" t="s">
        <v>26522</v>
      </c>
      <c r="E5398" t="b">
        <v>0</v>
      </c>
      <c r="F5398" t="s">
        <v>11622</v>
      </c>
      <c r="L5398">
        <v>152</v>
      </c>
      <c r="M5398">
        <v>251</v>
      </c>
      <c r="N5398">
        <v>495</v>
      </c>
    </row>
    <row r="5399" spans="1:14">
      <c r="A5399" t="s">
        <v>26523</v>
      </c>
      <c r="B5399" t="s">
        <v>367</v>
      </c>
      <c r="C5399" t="s">
        <v>21581</v>
      </c>
      <c r="D5399" t="s">
        <v>26524</v>
      </c>
      <c r="E5399" t="b">
        <v>0</v>
      </c>
      <c r="F5399" t="s">
        <v>11622</v>
      </c>
      <c r="L5399">
        <v>4</v>
      </c>
      <c r="M5399">
        <v>8</v>
      </c>
      <c r="N5399">
        <v>10</v>
      </c>
    </row>
    <row r="5400" spans="1:14">
      <c r="A5400" t="s">
        <v>26525</v>
      </c>
      <c r="B5400" t="s">
        <v>367</v>
      </c>
      <c r="C5400" t="s">
        <v>26526</v>
      </c>
      <c r="D5400" t="s">
        <v>26527</v>
      </c>
      <c r="E5400" t="b">
        <v>0</v>
      </c>
      <c r="F5400" t="s">
        <v>11622</v>
      </c>
      <c r="L5400">
        <v>0</v>
      </c>
      <c r="M5400">
        <v>2</v>
      </c>
      <c r="N5400">
        <v>0</v>
      </c>
    </row>
    <row r="5401" spans="1:14">
      <c r="A5401" t="s">
        <v>26528</v>
      </c>
      <c r="B5401" t="s">
        <v>11637</v>
      </c>
      <c r="C5401" t="s">
        <v>26529</v>
      </c>
      <c r="D5401" t="s">
        <v>26530</v>
      </c>
      <c r="E5401" t="b">
        <v>0</v>
      </c>
      <c r="F5401" t="s">
        <v>11622</v>
      </c>
      <c r="L5401">
        <v>0</v>
      </c>
      <c r="M5401">
        <v>2</v>
      </c>
      <c r="N5401">
        <v>2</v>
      </c>
    </row>
    <row r="5402" spans="1:14">
      <c r="A5402" t="s">
        <v>24942</v>
      </c>
      <c r="B5402" t="s">
        <v>11879</v>
      </c>
      <c r="C5402" t="s">
        <v>8183</v>
      </c>
      <c r="D5402" t="s">
        <v>26531</v>
      </c>
      <c r="E5402" t="b">
        <v>0</v>
      </c>
      <c r="F5402" t="s">
        <v>11622</v>
      </c>
      <c r="L5402">
        <v>1</v>
      </c>
      <c r="M5402">
        <v>9</v>
      </c>
      <c r="N5402">
        <v>3</v>
      </c>
    </row>
    <row r="5403" spans="1:14">
      <c r="A5403" t="s">
        <v>26389</v>
      </c>
      <c r="B5403" t="s">
        <v>11879</v>
      </c>
      <c r="C5403" t="s">
        <v>23172</v>
      </c>
      <c r="D5403" t="s">
        <v>26532</v>
      </c>
      <c r="E5403" t="b">
        <v>0</v>
      </c>
      <c r="F5403" t="s">
        <v>11622</v>
      </c>
      <c r="L5403">
        <v>0</v>
      </c>
      <c r="M5403">
        <v>4</v>
      </c>
      <c r="N5403">
        <v>3</v>
      </c>
    </row>
    <row r="5404" spans="1:14">
      <c r="A5404" t="s">
        <v>26384</v>
      </c>
      <c r="B5404" t="s">
        <v>11879</v>
      </c>
      <c r="C5404" t="s">
        <v>5465</v>
      </c>
      <c r="D5404" t="s">
        <v>26533</v>
      </c>
      <c r="E5404" t="b">
        <v>0</v>
      </c>
      <c r="F5404" t="s">
        <v>11622</v>
      </c>
      <c r="L5404">
        <v>0</v>
      </c>
      <c r="M5404">
        <v>3</v>
      </c>
      <c r="N5404">
        <v>0</v>
      </c>
    </row>
    <row r="5405" spans="1:14">
      <c r="A5405" t="s">
        <v>26534</v>
      </c>
      <c r="B5405" t="s">
        <v>6742</v>
      </c>
      <c r="C5405" t="s">
        <v>26535</v>
      </c>
      <c r="D5405" t="s">
        <v>26536</v>
      </c>
      <c r="E5405" t="b">
        <v>0</v>
      </c>
      <c r="F5405" t="s">
        <v>11622</v>
      </c>
      <c r="L5405">
        <v>3</v>
      </c>
      <c r="M5405">
        <v>6</v>
      </c>
      <c r="N5405">
        <v>20</v>
      </c>
    </row>
    <row r="5406" spans="1:14">
      <c r="A5406" t="s">
        <v>15580</v>
      </c>
      <c r="B5406" t="s">
        <v>6742</v>
      </c>
      <c r="C5406" t="s">
        <v>26537</v>
      </c>
      <c r="D5406" t="s">
        <v>26538</v>
      </c>
      <c r="E5406" t="b">
        <v>0</v>
      </c>
      <c r="F5406" t="s">
        <v>11622</v>
      </c>
      <c r="L5406">
        <v>0</v>
      </c>
      <c r="M5406">
        <v>3</v>
      </c>
      <c r="N5406">
        <v>1</v>
      </c>
    </row>
    <row r="5407" spans="1:14">
      <c r="A5407" t="s">
        <v>26066</v>
      </c>
      <c r="B5407" t="s">
        <v>6742</v>
      </c>
      <c r="C5407" t="s">
        <v>26539</v>
      </c>
      <c r="D5407" t="s">
        <v>26540</v>
      </c>
      <c r="E5407" t="b">
        <v>0</v>
      </c>
      <c r="F5407" t="s">
        <v>11622</v>
      </c>
      <c r="L5407">
        <v>12</v>
      </c>
      <c r="M5407">
        <v>18</v>
      </c>
      <c r="N5407">
        <v>20</v>
      </c>
    </row>
    <row r="5408" spans="1:14">
      <c r="A5408" t="s">
        <v>26541</v>
      </c>
      <c r="B5408" t="s">
        <v>367</v>
      </c>
      <c r="C5408" t="s">
        <v>16577</v>
      </c>
      <c r="D5408" t="s">
        <v>26542</v>
      </c>
      <c r="E5408" t="b">
        <v>0</v>
      </c>
      <c r="F5408" t="s">
        <v>11622</v>
      </c>
      <c r="L5408">
        <v>2</v>
      </c>
      <c r="M5408">
        <v>6</v>
      </c>
      <c r="N5408">
        <v>6</v>
      </c>
    </row>
    <row r="5409" spans="1:14">
      <c r="A5409" t="s">
        <v>21595</v>
      </c>
      <c r="B5409" t="s">
        <v>367</v>
      </c>
      <c r="C5409" t="s">
        <v>26543</v>
      </c>
      <c r="D5409" t="s">
        <v>26544</v>
      </c>
      <c r="E5409" t="b">
        <v>0</v>
      </c>
      <c r="F5409" t="s">
        <v>11622</v>
      </c>
      <c r="L5409">
        <v>2</v>
      </c>
      <c r="M5409">
        <v>5</v>
      </c>
      <c r="N5409">
        <v>7</v>
      </c>
    </row>
    <row r="5410" spans="1:14">
      <c r="A5410" t="s">
        <v>13393</v>
      </c>
      <c r="B5410" t="s">
        <v>367</v>
      </c>
      <c r="C5410" t="s">
        <v>15607</v>
      </c>
      <c r="D5410" t="s">
        <v>26545</v>
      </c>
      <c r="E5410" t="b">
        <v>0</v>
      </c>
      <c r="F5410" t="s">
        <v>11622</v>
      </c>
      <c r="L5410">
        <v>2</v>
      </c>
      <c r="M5410">
        <v>7</v>
      </c>
      <c r="N5410">
        <v>2</v>
      </c>
    </row>
    <row r="5411" spans="1:14">
      <c r="A5411" t="s">
        <v>26546</v>
      </c>
      <c r="B5411" t="s">
        <v>11637</v>
      </c>
      <c r="C5411" t="s">
        <v>17956</v>
      </c>
      <c r="D5411" t="s">
        <v>26547</v>
      </c>
      <c r="E5411" t="b">
        <v>0</v>
      </c>
      <c r="F5411" t="s">
        <v>11622</v>
      </c>
      <c r="L5411">
        <v>0</v>
      </c>
      <c r="M5411">
        <v>2</v>
      </c>
      <c r="N5411">
        <v>0</v>
      </c>
    </row>
    <row r="5412" spans="1:14">
      <c r="A5412" t="s">
        <v>12510</v>
      </c>
      <c r="B5412" t="s">
        <v>11637</v>
      </c>
      <c r="C5412" t="s">
        <v>26548</v>
      </c>
      <c r="D5412" t="s">
        <v>26549</v>
      </c>
      <c r="E5412" t="b">
        <v>0</v>
      </c>
      <c r="F5412" t="s">
        <v>11622</v>
      </c>
      <c r="L5412">
        <v>1</v>
      </c>
      <c r="M5412">
        <v>7</v>
      </c>
      <c r="N5412">
        <v>12</v>
      </c>
    </row>
    <row r="5413" spans="1:14">
      <c r="A5413" t="s">
        <v>22367</v>
      </c>
      <c r="B5413" t="s">
        <v>11879</v>
      </c>
      <c r="C5413" t="s">
        <v>23176</v>
      </c>
      <c r="D5413" t="s">
        <v>26550</v>
      </c>
      <c r="E5413" t="b">
        <v>0</v>
      </c>
      <c r="F5413" t="s">
        <v>11622</v>
      </c>
      <c r="L5413">
        <v>0</v>
      </c>
      <c r="M5413">
        <v>5</v>
      </c>
      <c r="N5413">
        <v>1</v>
      </c>
    </row>
    <row r="5414" spans="1:14">
      <c r="A5414" t="s">
        <v>26551</v>
      </c>
      <c r="B5414" t="s">
        <v>6742</v>
      </c>
      <c r="C5414" t="s">
        <v>26552</v>
      </c>
      <c r="D5414" t="s">
        <v>26553</v>
      </c>
      <c r="E5414" t="b">
        <v>0</v>
      </c>
      <c r="F5414" t="s">
        <v>11622</v>
      </c>
      <c r="L5414">
        <v>0</v>
      </c>
      <c r="M5414">
        <v>2</v>
      </c>
      <c r="N5414">
        <v>5</v>
      </c>
    </row>
    <row r="5415" spans="1:14">
      <c r="A5415" t="s">
        <v>19023</v>
      </c>
      <c r="B5415" t="s">
        <v>367</v>
      </c>
      <c r="C5415" t="s">
        <v>26541</v>
      </c>
      <c r="D5415" t="s">
        <v>26554</v>
      </c>
      <c r="E5415" t="b">
        <v>0</v>
      </c>
      <c r="F5415" t="s">
        <v>11622</v>
      </c>
      <c r="L5415">
        <v>0</v>
      </c>
      <c r="M5415">
        <v>2</v>
      </c>
      <c r="N5415">
        <v>0</v>
      </c>
    </row>
    <row r="5416" spans="1:14">
      <c r="A5416" t="s">
        <v>24592</v>
      </c>
      <c r="B5416" t="s">
        <v>6742</v>
      </c>
      <c r="C5416" t="s">
        <v>21870</v>
      </c>
      <c r="D5416" t="s">
        <v>26555</v>
      </c>
      <c r="E5416" t="b">
        <v>0</v>
      </c>
      <c r="F5416" t="s">
        <v>11622</v>
      </c>
      <c r="L5416">
        <v>0</v>
      </c>
      <c r="M5416">
        <v>2</v>
      </c>
      <c r="N5416">
        <v>4</v>
      </c>
    </row>
    <row r="5417" spans="1:14">
      <c r="A5417" t="s">
        <v>26556</v>
      </c>
      <c r="B5417" t="s">
        <v>6742</v>
      </c>
      <c r="C5417" t="s">
        <v>26557</v>
      </c>
      <c r="D5417" t="s">
        <v>26558</v>
      </c>
      <c r="E5417" t="b">
        <v>0</v>
      </c>
      <c r="F5417" t="s">
        <v>11622</v>
      </c>
      <c r="L5417">
        <v>5</v>
      </c>
      <c r="M5417">
        <v>12</v>
      </c>
      <c r="N5417">
        <v>12</v>
      </c>
    </row>
    <row r="5418" spans="1:14">
      <c r="A5418" t="s">
        <v>26559</v>
      </c>
      <c r="B5418" t="s">
        <v>367</v>
      </c>
      <c r="C5418" t="s">
        <v>20647</v>
      </c>
      <c r="D5418" t="s">
        <v>26560</v>
      </c>
      <c r="E5418" t="b">
        <v>0</v>
      </c>
      <c r="F5418" t="s">
        <v>11622</v>
      </c>
      <c r="L5418">
        <v>0</v>
      </c>
      <c r="M5418">
        <v>2</v>
      </c>
      <c r="N5418">
        <v>0</v>
      </c>
    </row>
    <row r="5419" spans="1:14">
      <c r="A5419" t="s">
        <v>26561</v>
      </c>
      <c r="B5419" t="s">
        <v>367</v>
      </c>
      <c r="C5419" t="s">
        <v>26562</v>
      </c>
      <c r="D5419" t="s">
        <v>26563</v>
      </c>
      <c r="E5419" t="b">
        <v>0</v>
      </c>
      <c r="F5419" t="s">
        <v>11622</v>
      </c>
      <c r="L5419">
        <v>11</v>
      </c>
      <c r="M5419">
        <v>14</v>
      </c>
      <c r="N5419">
        <v>26</v>
      </c>
    </row>
    <row r="5420" spans="1:14">
      <c r="A5420" t="s">
        <v>21958</v>
      </c>
      <c r="B5420" t="s">
        <v>367</v>
      </c>
      <c r="C5420" t="s">
        <v>26564</v>
      </c>
      <c r="D5420" t="s">
        <v>26565</v>
      </c>
      <c r="E5420" t="b">
        <v>0</v>
      </c>
      <c r="F5420" t="s">
        <v>11622</v>
      </c>
      <c r="L5420">
        <v>5</v>
      </c>
      <c r="M5420">
        <v>12</v>
      </c>
      <c r="N5420">
        <v>7</v>
      </c>
    </row>
    <row r="5421" spans="1:14">
      <c r="A5421" t="s">
        <v>14101</v>
      </c>
      <c r="B5421" t="s">
        <v>367</v>
      </c>
      <c r="C5421" t="s">
        <v>21884</v>
      </c>
      <c r="D5421" t="s">
        <v>26566</v>
      </c>
      <c r="E5421" t="b">
        <v>0</v>
      </c>
      <c r="F5421" t="s">
        <v>11622</v>
      </c>
      <c r="L5421">
        <v>2</v>
      </c>
      <c r="M5421">
        <v>10</v>
      </c>
      <c r="N5421">
        <v>4</v>
      </c>
    </row>
    <row r="5422" spans="1:14">
      <c r="A5422" t="s">
        <v>16730</v>
      </c>
      <c r="B5422" t="s">
        <v>367</v>
      </c>
      <c r="C5422" t="s">
        <v>26567</v>
      </c>
      <c r="D5422" t="s">
        <v>26568</v>
      </c>
      <c r="E5422" t="b">
        <v>0</v>
      </c>
      <c r="F5422" t="s">
        <v>11622</v>
      </c>
      <c r="L5422">
        <v>3</v>
      </c>
      <c r="M5422">
        <v>5</v>
      </c>
      <c r="N5422">
        <v>5</v>
      </c>
    </row>
    <row r="5423" spans="1:14">
      <c r="A5423" t="s">
        <v>21898</v>
      </c>
      <c r="B5423" t="s">
        <v>6742</v>
      </c>
      <c r="C5423" t="s">
        <v>26569</v>
      </c>
      <c r="D5423" t="s">
        <v>26570</v>
      </c>
      <c r="E5423" t="b">
        <v>0</v>
      </c>
      <c r="F5423" t="s">
        <v>11622</v>
      </c>
      <c r="L5423">
        <v>2</v>
      </c>
      <c r="M5423">
        <v>6</v>
      </c>
      <c r="N5423">
        <v>0</v>
      </c>
    </row>
    <row r="5424" spans="1:14">
      <c r="A5424" t="s">
        <v>26571</v>
      </c>
      <c r="B5424" t="s">
        <v>367</v>
      </c>
      <c r="C5424" t="s">
        <v>26561</v>
      </c>
      <c r="D5424" t="s">
        <v>26572</v>
      </c>
      <c r="E5424" t="b">
        <v>0</v>
      </c>
      <c r="F5424" t="s">
        <v>11622</v>
      </c>
      <c r="L5424">
        <v>0</v>
      </c>
      <c r="M5424">
        <v>2</v>
      </c>
      <c r="N5424">
        <v>2</v>
      </c>
    </row>
    <row r="5425" spans="1:15">
      <c r="A5425" t="s">
        <v>26573</v>
      </c>
      <c r="B5425" t="s">
        <v>367</v>
      </c>
      <c r="C5425" t="s">
        <v>14052</v>
      </c>
      <c r="D5425" t="s">
        <v>26574</v>
      </c>
      <c r="E5425" t="b">
        <v>0</v>
      </c>
      <c r="F5425" t="s">
        <v>11622</v>
      </c>
      <c r="L5425">
        <v>0</v>
      </c>
      <c r="M5425">
        <v>3</v>
      </c>
      <c r="N5425">
        <v>0</v>
      </c>
    </row>
    <row r="5426" spans="1:15">
      <c r="A5426" t="s">
        <v>17003</v>
      </c>
      <c r="B5426" t="s">
        <v>11637</v>
      </c>
      <c r="C5426" t="s">
        <v>1379</v>
      </c>
      <c r="D5426" t="s">
        <v>26575</v>
      </c>
      <c r="E5426" t="b">
        <v>0</v>
      </c>
      <c r="F5426" t="s">
        <v>11622</v>
      </c>
      <c r="L5426">
        <v>7</v>
      </c>
      <c r="M5426">
        <v>12</v>
      </c>
      <c r="N5426">
        <v>0</v>
      </c>
    </row>
    <row r="5427" spans="1:15">
      <c r="A5427" t="s">
        <v>26576</v>
      </c>
      <c r="B5427" t="s">
        <v>367</v>
      </c>
      <c r="C5427" t="s">
        <v>8733</v>
      </c>
      <c r="D5427" t="s">
        <v>26577</v>
      </c>
      <c r="E5427" t="b">
        <v>0</v>
      </c>
      <c r="F5427" t="s">
        <v>11622</v>
      </c>
      <c r="L5427">
        <v>1</v>
      </c>
      <c r="M5427">
        <v>3</v>
      </c>
      <c r="N5427">
        <v>6</v>
      </c>
    </row>
    <row r="5428" spans="1:15">
      <c r="A5428" t="s">
        <v>26578</v>
      </c>
      <c r="B5428" t="s">
        <v>367</v>
      </c>
      <c r="C5428" t="s">
        <v>26579</v>
      </c>
      <c r="D5428" t="s">
        <v>26580</v>
      </c>
      <c r="E5428" t="b">
        <v>0</v>
      </c>
      <c r="F5428" t="s">
        <v>11622</v>
      </c>
      <c r="L5428">
        <v>3</v>
      </c>
      <c r="M5428">
        <v>6</v>
      </c>
      <c r="N5428">
        <v>4</v>
      </c>
    </row>
    <row r="5429" spans="1:15">
      <c r="A5429" t="s">
        <v>26581</v>
      </c>
      <c r="B5429" t="s">
        <v>367</v>
      </c>
      <c r="C5429" t="s">
        <v>26582</v>
      </c>
      <c r="D5429" t="s">
        <v>26583</v>
      </c>
      <c r="E5429" t="b">
        <v>0</v>
      </c>
      <c r="F5429" t="s">
        <v>11622</v>
      </c>
      <c r="L5429">
        <v>0</v>
      </c>
      <c r="M5429">
        <v>4</v>
      </c>
      <c r="N5429">
        <v>2</v>
      </c>
    </row>
    <row r="5430" spans="1:15">
      <c r="A5430" t="s">
        <v>12780</v>
      </c>
      <c r="B5430" t="s">
        <v>367</v>
      </c>
      <c r="C5430" t="s">
        <v>14400</v>
      </c>
      <c r="D5430" t="s">
        <v>26584</v>
      </c>
      <c r="E5430" t="b">
        <v>0</v>
      </c>
      <c r="F5430" t="s">
        <v>11622</v>
      </c>
      <c r="L5430">
        <v>0</v>
      </c>
      <c r="M5430">
        <v>3</v>
      </c>
      <c r="N5430">
        <v>3</v>
      </c>
    </row>
    <row r="5431" spans="1:15">
      <c r="A5431" t="s">
        <v>26585</v>
      </c>
      <c r="B5431" t="s">
        <v>367</v>
      </c>
      <c r="C5431" t="s">
        <v>21905</v>
      </c>
      <c r="D5431" t="s">
        <v>26586</v>
      </c>
      <c r="E5431" t="b">
        <v>0</v>
      </c>
      <c r="F5431" t="s">
        <v>11622</v>
      </c>
      <c r="L5431">
        <v>2</v>
      </c>
      <c r="M5431">
        <v>4</v>
      </c>
      <c r="N5431">
        <v>8</v>
      </c>
    </row>
    <row r="5432" spans="1:15">
      <c r="A5432" t="s">
        <v>26587</v>
      </c>
      <c r="B5432" t="s">
        <v>12979</v>
      </c>
      <c r="C5432" t="s">
        <v>13050</v>
      </c>
      <c r="D5432" t="s">
        <v>26588</v>
      </c>
      <c r="E5432" t="b">
        <v>0</v>
      </c>
      <c r="F5432" t="s">
        <v>11622</v>
      </c>
      <c r="L5432">
        <v>7</v>
      </c>
      <c r="M5432">
        <v>13</v>
      </c>
      <c r="N5432">
        <v>20</v>
      </c>
    </row>
    <row r="5433" spans="1:15">
      <c r="A5433" t="s">
        <v>26589</v>
      </c>
      <c r="B5433" t="s">
        <v>11607</v>
      </c>
      <c r="C5433" t="s">
        <v>26590</v>
      </c>
      <c r="D5433" t="s">
        <v>26591</v>
      </c>
      <c r="E5433" t="b">
        <v>0</v>
      </c>
      <c r="F5433" t="s">
        <v>11622</v>
      </c>
      <c r="L5433">
        <v>0</v>
      </c>
      <c r="M5433">
        <v>2</v>
      </c>
      <c r="N5433">
        <v>10</v>
      </c>
    </row>
    <row r="5434" spans="1:15">
      <c r="A5434" t="s">
        <v>12572</v>
      </c>
      <c r="B5434" t="s">
        <v>11615</v>
      </c>
      <c r="C5434" t="s">
        <v>14968</v>
      </c>
      <c r="D5434" t="s">
        <v>26592</v>
      </c>
      <c r="E5434" t="b">
        <v>0</v>
      </c>
      <c r="F5434" t="s">
        <v>11622</v>
      </c>
      <c r="L5434">
        <v>1</v>
      </c>
      <c r="M5434">
        <v>4</v>
      </c>
      <c r="N5434">
        <v>0</v>
      </c>
    </row>
    <row r="5435" spans="1:15">
      <c r="A5435" t="s">
        <v>26593</v>
      </c>
      <c r="B5435" t="s">
        <v>11637</v>
      </c>
      <c r="C5435" t="s">
        <v>7045</v>
      </c>
      <c r="D5435" t="s">
        <v>26594</v>
      </c>
      <c r="E5435" t="b">
        <v>0</v>
      </c>
      <c r="F5435" t="s">
        <v>11622</v>
      </c>
      <c r="L5435">
        <v>0</v>
      </c>
      <c r="M5435">
        <v>2</v>
      </c>
      <c r="N5435">
        <v>68</v>
      </c>
    </row>
    <row r="5436" spans="1:15">
      <c r="A5436" t="s">
        <v>21598</v>
      </c>
      <c r="B5436" t="s">
        <v>367</v>
      </c>
      <c r="C5436" t="s">
        <v>26595</v>
      </c>
      <c r="D5436" t="s">
        <v>26596</v>
      </c>
      <c r="E5436" t="b">
        <v>0</v>
      </c>
      <c r="F5436" t="s">
        <v>11622</v>
      </c>
      <c r="L5436">
        <v>0</v>
      </c>
      <c r="M5436">
        <v>3</v>
      </c>
      <c r="N5436">
        <v>4</v>
      </c>
    </row>
    <row r="5437" spans="1:15">
      <c r="A5437" t="s">
        <v>26597</v>
      </c>
      <c r="B5437" t="s">
        <v>10597</v>
      </c>
      <c r="C5437" t="s">
        <v>10597</v>
      </c>
      <c r="D5437" t="s">
        <v>26598</v>
      </c>
      <c r="E5437" t="b">
        <v>0</v>
      </c>
      <c r="F5437" t="s">
        <v>11622</v>
      </c>
      <c r="L5437">
        <v>2</v>
      </c>
      <c r="M5437">
        <v>4</v>
      </c>
      <c r="N5437">
        <v>2</v>
      </c>
    </row>
    <row r="5438" spans="1:15">
      <c r="A5438" t="s">
        <v>15992</v>
      </c>
      <c r="B5438" t="s">
        <v>11644</v>
      </c>
      <c r="C5438" t="s">
        <v>22025</v>
      </c>
      <c r="D5438" t="s">
        <v>26599</v>
      </c>
      <c r="E5438" t="b">
        <v>0</v>
      </c>
      <c r="F5438" t="s">
        <v>11622</v>
      </c>
      <c r="L5438">
        <v>0</v>
      </c>
      <c r="M5438">
        <v>3</v>
      </c>
      <c r="N5438">
        <v>4</v>
      </c>
    </row>
    <row r="5439" spans="1:15">
      <c r="A5439" t="s">
        <v>17084</v>
      </c>
      <c r="B5439" t="s">
        <v>367</v>
      </c>
      <c r="C5439" t="s">
        <v>26600</v>
      </c>
      <c r="D5439" t="s">
        <v>26601</v>
      </c>
      <c r="E5439" t="b">
        <v>0</v>
      </c>
      <c r="F5439" t="s">
        <v>11622</v>
      </c>
      <c r="L5439">
        <v>1</v>
      </c>
      <c r="M5439">
        <v>3</v>
      </c>
      <c r="N5439">
        <v>1</v>
      </c>
    </row>
    <row r="5440" spans="1:15">
      <c r="A5440" t="s">
        <v>26602</v>
      </c>
      <c r="B5440" t="s">
        <v>11644</v>
      </c>
      <c r="C5440" t="s">
        <v>26603</v>
      </c>
      <c r="D5440" t="s">
        <v>26604</v>
      </c>
      <c r="E5440" t="b">
        <v>0</v>
      </c>
      <c r="F5440" t="s">
        <v>11624</v>
      </c>
      <c r="L5440">
        <v>0</v>
      </c>
      <c r="M5440">
        <v>0</v>
      </c>
      <c r="N5440">
        <v>0</v>
      </c>
      <c r="O5440" t="s">
        <v>15007</v>
      </c>
    </row>
    <row r="5441" spans="1:15">
      <c r="A5441" t="s">
        <v>26605</v>
      </c>
      <c r="B5441" t="s">
        <v>12260</v>
      </c>
      <c r="C5441" t="s">
        <v>26606</v>
      </c>
      <c r="D5441" t="s">
        <v>26607</v>
      </c>
      <c r="E5441" t="b">
        <v>0</v>
      </c>
      <c r="F5441" t="s">
        <v>11622</v>
      </c>
      <c r="L5441">
        <v>0</v>
      </c>
      <c r="M5441">
        <v>2</v>
      </c>
      <c r="N5441">
        <v>8</v>
      </c>
    </row>
    <row r="5442" spans="1:15">
      <c r="A5442" t="s">
        <v>26420</v>
      </c>
      <c r="B5442" t="s">
        <v>11607</v>
      </c>
      <c r="C5442" t="s">
        <v>26415</v>
      </c>
      <c r="D5442" t="s">
        <v>26608</v>
      </c>
      <c r="E5442" t="b">
        <v>0</v>
      </c>
      <c r="F5442" t="s">
        <v>11622</v>
      </c>
      <c r="L5442">
        <v>2</v>
      </c>
      <c r="M5442">
        <v>8</v>
      </c>
      <c r="N5442">
        <v>4</v>
      </c>
    </row>
    <row r="5443" spans="1:15">
      <c r="A5443" t="s">
        <v>26609</v>
      </c>
      <c r="B5443" t="s">
        <v>12438</v>
      </c>
      <c r="C5443" t="s">
        <v>13839</v>
      </c>
      <c r="D5443" t="s">
        <v>26610</v>
      </c>
      <c r="E5443" t="b">
        <v>0</v>
      </c>
      <c r="F5443" t="s">
        <v>11624</v>
      </c>
      <c r="L5443">
        <v>0</v>
      </c>
      <c r="M5443">
        <v>0</v>
      </c>
      <c r="N5443">
        <v>0</v>
      </c>
      <c r="O5443" t="s">
        <v>11905</v>
      </c>
    </row>
    <row r="5444" spans="1:15">
      <c r="A5444" t="s">
        <v>21948</v>
      </c>
      <c r="B5444" t="s">
        <v>11644</v>
      </c>
      <c r="C5444" t="s">
        <v>26611</v>
      </c>
      <c r="D5444" t="s">
        <v>26612</v>
      </c>
      <c r="E5444" t="b">
        <v>0</v>
      </c>
      <c r="F5444" t="s">
        <v>11622</v>
      </c>
      <c r="L5444">
        <v>5</v>
      </c>
      <c r="M5444">
        <v>8</v>
      </c>
      <c r="N5444">
        <v>6</v>
      </c>
    </row>
    <row r="5445" spans="1:15">
      <c r="A5445" t="s">
        <v>26543</v>
      </c>
      <c r="B5445" t="s">
        <v>367</v>
      </c>
      <c r="C5445" t="s">
        <v>21835</v>
      </c>
      <c r="D5445" t="s">
        <v>26613</v>
      </c>
      <c r="E5445" t="b">
        <v>0</v>
      </c>
      <c r="F5445" t="s">
        <v>11622</v>
      </c>
      <c r="L5445">
        <v>5</v>
      </c>
      <c r="M5445">
        <v>8</v>
      </c>
      <c r="N5445">
        <v>16</v>
      </c>
    </row>
    <row r="5446" spans="1:15">
      <c r="A5446" t="s">
        <v>26614</v>
      </c>
      <c r="B5446" t="s">
        <v>11644</v>
      </c>
      <c r="C5446" t="s">
        <v>26615</v>
      </c>
      <c r="D5446" t="s">
        <v>26616</v>
      </c>
      <c r="E5446" t="b">
        <v>0</v>
      </c>
      <c r="F5446" t="s">
        <v>11624</v>
      </c>
      <c r="I5446" t="s">
        <v>26617</v>
      </c>
      <c r="L5446">
        <v>0</v>
      </c>
      <c r="M5446">
        <v>0</v>
      </c>
      <c r="N5446">
        <v>0</v>
      </c>
      <c r="O5446" t="s">
        <v>14059</v>
      </c>
    </row>
    <row r="5447" spans="1:15">
      <c r="A5447" t="s">
        <v>23927</v>
      </c>
      <c r="B5447" t="s">
        <v>11637</v>
      </c>
      <c r="C5447" t="s">
        <v>26618</v>
      </c>
      <c r="D5447" t="s">
        <v>26619</v>
      </c>
      <c r="E5447" t="b">
        <v>0</v>
      </c>
      <c r="F5447" t="s">
        <v>11622</v>
      </c>
      <c r="L5447">
        <v>1</v>
      </c>
      <c r="M5447">
        <v>4</v>
      </c>
      <c r="N5447">
        <v>48</v>
      </c>
    </row>
    <row r="5448" spans="1:15">
      <c r="A5448" t="s">
        <v>25854</v>
      </c>
      <c r="B5448" t="s">
        <v>11637</v>
      </c>
      <c r="C5448" t="s">
        <v>23927</v>
      </c>
      <c r="D5448" t="s">
        <v>26620</v>
      </c>
      <c r="E5448" t="b">
        <v>0</v>
      </c>
      <c r="F5448" t="s">
        <v>11622</v>
      </c>
      <c r="L5448">
        <v>0</v>
      </c>
      <c r="M5448">
        <v>3</v>
      </c>
      <c r="N5448">
        <v>8</v>
      </c>
    </row>
    <row r="5449" spans="1:15">
      <c r="A5449" t="s">
        <v>26621</v>
      </c>
      <c r="B5449" t="s">
        <v>6742</v>
      </c>
      <c r="C5449" t="s">
        <v>26622</v>
      </c>
      <c r="D5449" t="s">
        <v>26623</v>
      </c>
      <c r="E5449" t="b">
        <v>0</v>
      </c>
      <c r="F5449" t="s">
        <v>11624</v>
      </c>
      <c r="G5449">
        <v>-5.25</v>
      </c>
      <c r="H5449">
        <v>15.5</v>
      </c>
      <c r="L5449">
        <v>0</v>
      </c>
      <c r="M5449">
        <v>0</v>
      </c>
      <c r="N5449">
        <v>0</v>
      </c>
      <c r="O5449" t="s">
        <v>14825</v>
      </c>
    </row>
    <row r="5450" spans="1:15">
      <c r="A5450" t="s">
        <v>25907</v>
      </c>
      <c r="B5450" t="s">
        <v>12438</v>
      </c>
      <c r="C5450" t="s">
        <v>19916</v>
      </c>
      <c r="D5450" t="s">
        <v>26624</v>
      </c>
      <c r="E5450" t="b">
        <v>0</v>
      </c>
      <c r="F5450" t="s">
        <v>11622</v>
      </c>
      <c r="L5450">
        <v>1</v>
      </c>
      <c r="M5450">
        <v>3</v>
      </c>
      <c r="N5450">
        <v>4</v>
      </c>
    </row>
    <row r="5451" spans="1:15">
      <c r="A5451" t="s">
        <v>25998</v>
      </c>
      <c r="B5451" t="s">
        <v>12311</v>
      </c>
      <c r="C5451" t="s">
        <v>26625</v>
      </c>
      <c r="D5451" t="s">
        <v>26626</v>
      </c>
      <c r="E5451" t="b">
        <v>0</v>
      </c>
      <c r="F5451" t="s">
        <v>11622</v>
      </c>
      <c r="L5451">
        <v>3</v>
      </c>
      <c r="M5451">
        <v>5</v>
      </c>
      <c r="N5451">
        <v>16</v>
      </c>
    </row>
    <row r="5452" spans="1:15">
      <c r="A5452" t="s">
        <v>26627</v>
      </c>
      <c r="B5452" t="s">
        <v>331</v>
      </c>
      <c r="C5452" t="s">
        <v>26628</v>
      </c>
      <c r="D5452" t="s">
        <v>26629</v>
      </c>
      <c r="E5452" t="b">
        <v>0</v>
      </c>
      <c r="F5452" t="s">
        <v>11622</v>
      </c>
      <c r="L5452">
        <v>0</v>
      </c>
      <c r="M5452">
        <v>2</v>
      </c>
      <c r="N5452">
        <v>4</v>
      </c>
    </row>
    <row r="5453" spans="1:15">
      <c r="A5453" t="s">
        <v>12541</v>
      </c>
      <c r="B5453" t="s">
        <v>331</v>
      </c>
      <c r="C5453" t="s">
        <v>26630</v>
      </c>
      <c r="D5453" t="s">
        <v>26631</v>
      </c>
      <c r="E5453" t="b">
        <v>0</v>
      </c>
      <c r="F5453" t="s">
        <v>11622</v>
      </c>
      <c r="L5453">
        <v>0</v>
      </c>
      <c r="M5453">
        <v>2</v>
      </c>
      <c r="N5453">
        <v>0</v>
      </c>
    </row>
    <row r="5454" spans="1:15">
      <c r="A5454" t="s">
        <v>26632</v>
      </c>
      <c r="B5454" t="s">
        <v>11644</v>
      </c>
      <c r="C5454" t="s">
        <v>23880</v>
      </c>
      <c r="D5454" t="s">
        <v>26633</v>
      </c>
      <c r="E5454" t="b">
        <v>0</v>
      </c>
      <c r="F5454" t="s">
        <v>11610</v>
      </c>
      <c r="L5454">
        <v>0</v>
      </c>
      <c r="M5454">
        <v>0</v>
      </c>
      <c r="N5454">
        <v>2</v>
      </c>
    </row>
    <row r="5455" spans="1:15">
      <c r="A5455" t="s">
        <v>18350</v>
      </c>
      <c r="B5455" t="s">
        <v>13276</v>
      </c>
      <c r="C5455" t="s">
        <v>26634</v>
      </c>
      <c r="D5455" t="s">
        <v>26635</v>
      </c>
      <c r="E5455" t="b">
        <v>0</v>
      </c>
      <c r="F5455" t="s">
        <v>11610</v>
      </c>
      <c r="L5455">
        <v>0</v>
      </c>
      <c r="M5455">
        <v>0</v>
      </c>
      <c r="N5455">
        <v>14</v>
      </c>
    </row>
    <row r="5456" spans="1:15">
      <c r="A5456" t="s">
        <v>26636</v>
      </c>
      <c r="B5456" t="s">
        <v>26637</v>
      </c>
      <c r="C5456" t="s">
        <v>26637</v>
      </c>
      <c r="D5456" t="s">
        <v>26638</v>
      </c>
      <c r="E5456" t="b">
        <v>0</v>
      </c>
      <c r="F5456" t="s">
        <v>11610</v>
      </c>
      <c r="L5456">
        <v>0</v>
      </c>
      <c r="M5456">
        <v>0</v>
      </c>
      <c r="N5456">
        <v>2</v>
      </c>
    </row>
    <row r="5457" spans="1:15">
      <c r="A5457" t="s">
        <v>26639</v>
      </c>
      <c r="B5457" t="s">
        <v>12260</v>
      </c>
      <c r="C5457" t="s">
        <v>26640</v>
      </c>
      <c r="D5457" t="s">
        <v>26641</v>
      </c>
      <c r="E5457" t="b">
        <v>0</v>
      </c>
      <c r="F5457" t="s">
        <v>11622</v>
      </c>
      <c r="L5457">
        <v>0</v>
      </c>
      <c r="M5457">
        <v>3</v>
      </c>
      <c r="N5457">
        <v>3</v>
      </c>
    </row>
    <row r="5458" spans="1:15">
      <c r="A5458" t="s">
        <v>13661</v>
      </c>
      <c r="B5458" t="s">
        <v>11637</v>
      </c>
      <c r="C5458" t="s">
        <v>397</v>
      </c>
      <c r="D5458" t="s">
        <v>26642</v>
      </c>
      <c r="E5458" t="b">
        <v>0</v>
      </c>
      <c r="F5458" t="s">
        <v>11622</v>
      </c>
      <c r="L5458">
        <v>3</v>
      </c>
      <c r="M5458">
        <v>9</v>
      </c>
      <c r="N5458">
        <v>39</v>
      </c>
    </row>
    <row r="5459" spans="1:15">
      <c r="A5459" t="s">
        <v>26643</v>
      </c>
      <c r="B5459" t="s">
        <v>11637</v>
      </c>
      <c r="C5459" t="s">
        <v>21077</v>
      </c>
      <c r="D5459" t="s">
        <v>26644</v>
      </c>
      <c r="E5459" t="b">
        <v>0</v>
      </c>
      <c r="F5459" t="s">
        <v>11610</v>
      </c>
      <c r="L5459">
        <v>0</v>
      </c>
      <c r="M5459">
        <v>0</v>
      </c>
      <c r="N5459">
        <v>0</v>
      </c>
    </row>
    <row r="5460" spans="1:15">
      <c r="A5460" t="s">
        <v>26645</v>
      </c>
      <c r="B5460" t="s">
        <v>14398</v>
      </c>
      <c r="C5460" t="s">
        <v>16509</v>
      </c>
      <c r="D5460" t="s">
        <v>26646</v>
      </c>
      <c r="E5460" t="b">
        <v>0</v>
      </c>
      <c r="F5460" t="s">
        <v>11610</v>
      </c>
      <c r="L5460">
        <v>0</v>
      </c>
      <c r="M5460">
        <v>0</v>
      </c>
      <c r="N5460">
        <v>0</v>
      </c>
    </row>
    <row r="5461" spans="1:15">
      <c r="A5461" t="s">
        <v>26647</v>
      </c>
      <c r="B5461" t="s">
        <v>367</v>
      </c>
      <c r="C5461" t="s">
        <v>15834</v>
      </c>
      <c r="D5461" t="s">
        <v>26648</v>
      </c>
      <c r="E5461" t="b">
        <v>0</v>
      </c>
      <c r="F5461" t="s">
        <v>11610</v>
      </c>
      <c r="L5461">
        <v>0</v>
      </c>
      <c r="M5461">
        <v>0</v>
      </c>
      <c r="N5461">
        <v>0</v>
      </c>
    </row>
    <row r="5462" spans="1:15">
      <c r="A5462" t="s">
        <v>26649</v>
      </c>
      <c r="B5462" t="s">
        <v>14953</v>
      </c>
      <c r="C5462" t="s">
        <v>14953</v>
      </c>
      <c r="D5462" t="s">
        <v>26650</v>
      </c>
      <c r="E5462" t="b">
        <v>0</v>
      </c>
      <c r="F5462" t="s">
        <v>11610</v>
      </c>
      <c r="L5462">
        <v>0</v>
      </c>
      <c r="M5462">
        <v>0</v>
      </c>
      <c r="N5462">
        <v>0</v>
      </c>
    </row>
    <row r="5463" spans="1:15">
      <c r="A5463" t="s">
        <v>26651</v>
      </c>
      <c r="B5463" t="s">
        <v>11607</v>
      </c>
      <c r="C5463" t="s">
        <v>26652</v>
      </c>
      <c r="D5463" t="s">
        <v>26653</v>
      </c>
      <c r="E5463" t="b">
        <v>0</v>
      </c>
      <c r="F5463" t="s">
        <v>11610</v>
      </c>
      <c r="L5463">
        <v>0</v>
      </c>
      <c r="M5463">
        <v>0</v>
      </c>
      <c r="N5463">
        <v>0</v>
      </c>
    </row>
    <row r="5464" spans="1:15">
      <c r="A5464" t="s">
        <v>17991</v>
      </c>
      <c r="B5464" t="s">
        <v>11607</v>
      </c>
      <c r="C5464" t="s">
        <v>3259</v>
      </c>
      <c r="D5464" t="s">
        <v>26654</v>
      </c>
      <c r="E5464" t="b">
        <v>0</v>
      </c>
      <c r="F5464" t="s">
        <v>11610</v>
      </c>
      <c r="L5464">
        <v>0</v>
      </c>
      <c r="M5464">
        <v>0</v>
      </c>
      <c r="N5464">
        <v>12</v>
      </c>
    </row>
    <row r="5465" spans="1:15">
      <c r="A5465" t="s">
        <v>23532</v>
      </c>
      <c r="B5465" t="s">
        <v>11637</v>
      </c>
      <c r="C5465" t="s">
        <v>26655</v>
      </c>
      <c r="D5465" t="s">
        <v>26656</v>
      </c>
      <c r="E5465" t="b">
        <v>0</v>
      </c>
      <c r="F5465" t="s">
        <v>11622</v>
      </c>
      <c r="L5465">
        <v>0</v>
      </c>
      <c r="M5465">
        <v>2</v>
      </c>
      <c r="N5465">
        <v>3</v>
      </c>
    </row>
    <row r="5466" spans="1:15">
      <c r="A5466" t="s">
        <v>20995</v>
      </c>
      <c r="B5466" t="s">
        <v>6742</v>
      </c>
      <c r="C5466" t="s">
        <v>26657</v>
      </c>
      <c r="D5466" t="s">
        <v>26658</v>
      </c>
      <c r="E5466" t="b">
        <v>0</v>
      </c>
      <c r="F5466" t="s">
        <v>11622</v>
      </c>
      <c r="L5466">
        <v>0</v>
      </c>
      <c r="M5466">
        <v>2</v>
      </c>
      <c r="N5466">
        <v>7</v>
      </c>
    </row>
    <row r="5467" spans="1:15">
      <c r="A5467" t="s">
        <v>16019</v>
      </c>
      <c r="B5467" t="s">
        <v>367</v>
      </c>
      <c r="C5467" t="s">
        <v>26659</v>
      </c>
      <c r="D5467" t="s">
        <v>26660</v>
      </c>
      <c r="E5467" t="b">
        <v>0</v>
      </c>
      <c r="F5467" t="s">
        <v>11610</v>
      </c>
      <c r="L5467">
        <v>0</v>
      </c>
      <c r="M5467">
        <v>0</v>
      </c>
      <c r="N5467">
        <v>4</v>
      </c>
    </row>
    <row r="5468" spans="1:15">
      <c r="A5468" t="s">
        <v>26661</v>
      </c>
      <c r="B5468" t="s">
        <v>12260</v>
      </c>
      <c r="C5468" t="s">
        <v>26662</v>
      </c>
      <c r="D5468" t="s">
        <v>26663</v>
      </c>
      <c r="E5468" t="b">
        <v>0</v>
      </c>
      <c r="F5468" t="s">
        <v>11610</v>
      </c>
      <c r="L5468">
        <v>0</v>
      </c>
      <c r="M5468">
        <v>0</v>
      </c>
      <c r="N5468">
        <v>0</v>
      </c>
    </row>
    <row r="5469" spans="1:15">
      <c r="A5469" t="s">
        <v>11956</v>
      </c>
      <c r="B5469" t="s">
        <v>11615</v>
      </c>
      <c r="C5469" t="s">
        <v>26664</v>
      </c>
      <c r="D5469" t="s">
        <v>26665</v>
      </c>
      <c r="E5469" t="b">
        <v>0</v>
      </c>
      <c r="F5469" t="s">
        <v>11610</v>
      </c>
      <c r="L5469">
        <v>0</v>
      </c>
      <c r="M5469">
        <v>0</v>
      </c>
      <c r="N5469">
        <v>3</v>
      </c>
    </row>
    <row r="5470" spans="1:15">
      <c r="A5470" t="s">
        <v>26666</v>
      </c>
      <c r="B5470" t="s">
        <v>11644</v>
      </c>
      <c r="C5470" t="s">
        <v>26667</v>
      </c>
      <c r="D5470" t="s">
        <v>26668</v>
      </c>
      <c r="E5470" t="b">
        <v>0</v>
      </c>
      <c r="F5470" t="s">
        <v>11610</v>
      </c>
      <c r="L5470">
        <v>0</v>
      </c>
      <c r="M5470">
        <v>0</v>
      </c>
      <c r="N5470">
        <v>2</v>
      </c>
    </row>
    <row r="5471" spans="1:15">
      <c r="A5471" t="s">
        <v>18105</v>
      </c>
      <c r="B5471" t="s">
        <v>12686</v>
      </c>
      <c r="C5471" t="s">
        <v>14581</v>
      </c>
      <c r="D5471" t="s">
        <v>26669</v>
      </c>
      <c r="E5471" t="b">
        <v>0</v>
      </c>
      <c r="F5471" t="s">
        <v>11610</v>
      </c>
      <c r="L5471">
        <v>0</v>
      </c>
      <c r="M5471">
        <v>0</v>
      </c>
      <c r="N5471">
        <v>7</v>
      </c>
    </row>
    <row r="5472" spans="1:15">
      <c r="A5472" t="s">
        <v>26670</v>
      </c>
      <c r="B5472" t="s">
        <v>13210</v>
      </c>
      <c r="C5472" t="s">
        <v>26671</v>
      </c>
      <c r="D5472" t="s">
        <v>26672</v>
      </c>
      <c r="E5472" t="b">
        <v>0</v>
      </c>
      <c r="F5472" t="s">
        <v>11624</v>
      </c>
      <c r="G5472">
        <v>57.596102999999999</v>
      </c>
      <c r="H5472">
        <v>162.486163</v>
      </c>
      <c r="L5472">
        <v>0</v>
      </c>
      <c r="M5472">
        <v>0</v>
      </c>
      <c r="N5472">
        <v>2</v>
      </c>
      <c r="O5472" t="s">
        <v>12748</v>
      </c>
    </row>
    <row r="5473" spans="1:14">
      <c r="A5473" t="s">
        <v>26673</v>
      </c>
      <c r="B5473" t="s">
        <v>13210</v>
      </c>
      <c r="C5473" t="s">
        <v>26670</v>
      </c>
      <c r="D5473" t="s">
        <v>26674</v>
      </c>
      <c r="E5473" t="b">
        <v>0</v>
      </c>
      <c r="F5473" t="s">
        <v>11610</v>
      </c>
      <c r="L5473">
        <v>0</v>
      </c>
      <c r="M5473">
        <v>0</v>
      </c>
      <c r="N5473">
        <v>0</v>
      </c>
    </row>
    <row r="5474" spans="1:14">
      <c r="A5474" t="s">
        <v>16329</v>
      </c>
      <c r="B5474" t="s">
        <v>11637</v>
      </c>
      <c r="C5474" t="s">
        <v>2354</v>
      </c>
      <c r="D5474" t="s">
        <v>26675</v>
      </c>
      <c r="E5474" t="b">
        <v>0</v>
      </c>
      <c r="F5474" t="s">
        <v>11610</v>
      </c>
      <c r="L5474">
        <v>0</v>
      </c>
      <c r="M5474">
        <v>0</v>
      </c>
      <c r="N5474">
        <v>15</v>
      </c>
    </row>
    <row r="5475" spans="1:14">
      <c r="A5475" t="s">
        <v>26676</v>
      </c>
      <c r="B5475" t="s">
        <v>11637</v>
      </c>
      <c r="C5475" t="s">
        <v>16328</v>
      </c>
      <c r="D5475" t="s">
        <v>26677</v>
      </c>
      <c r="E5475" t="b">
        <v>0</v>
      </c>
      <c r="F5475" t="s">
        <v>11610</v>
      </c>
      <c r="L5475">
        <v>0</v>
      </c>
      <c r="M5475">
        <v>0</v>
      </c>
      <c r="N5475">
        <v>0</v>
      </c>
    </row>
    <row r="5476" spans="1:14">
      <c r="A5476" t="s">
        <v>16512</v>
      </c>
      <c r="B5476" t="s">
        <v>11637</v>
      </c>
      <c r="C5476" t="s">
        <v>22009</v>
      </c>
      <c r="D5476" t="s">
        <v>26678</v>
      </c>
      <c r="E5476" t="b">
        <v>0</v>
      </c>
      <c r="F5476" t="s">
        <v>11610</v>
      </c>
      <c r="L5476">
        <v>0</v>
      </c>
      <c r="M5476">
        <v>0</v>
      </c>
      <c r="N5476">
        <v>2</v>
      </c>
    </row>
    <row r="5477" spans="1:14">
      <c r="A5477" t="s">
        <v>26679</v>
      </c>
      <c r="B5477" t="s">
        <v>11637</v>
      </c>
      <c r="C5477" t="s">
        <v>26680</v>
      </c>
      <c r="D5477" t="s">
        <v>26681</v>
      </c>
      <c r="E5477" t="b">
        <v>0</v>
      </c>
      <c r="F5477" t="s">
        <v>11610</v>
      </c>
      <c r="L5477">
        <v>0</v>
      </c>
      <c r="M5477">
        <v>0</v>
      </c>
      <c r="N5477">
        <v>0</v>
      </c>
    </row>
    <row r="5478" spans="1:14">
      <c r="A5478" t="s">
        <v>26682</v>
      </c>
      <c r="B5478" t="s">
        <v>11637</v>
      </c>
      <c r="C5478" t="s">
        <v>26683</v>
      </c>
      <c r="D5478" t="s">
        <v>26684</v>
      </c>
      <c r="E5478" t="b">
        <v>0</v>
      </c>
      <c r="F5478" t="s">
        <v>11610</v>
      </c>
      <c r="L5478">
        <v>0</v>
      </c>
      <c r="M5478">
        <v>0</v>
      </c>
      <c r="N5478">
        <v>2</v>
      </c>
    </row>
    <row r="5479" spans="1:14">
      <c r="A5479" t="s">
        <v>26685</v>
      </c>
      <c r="B5479" t="s">
        <v>11637</v>
      </c>
      <c r="C5479" t="s">
        <v>26686</v>
      </c>
      <c r="D5479" t="s">
        <v>26687</v>
      </c>
      <c r="E5479" t="b">
        <v>0</v>
      </c>
      <c r="F5479" t="s">
        <v>11610</v>
      </c>
      <c r="L5479">
        <v>0</v>
      </c>
      <c r="M5479">
        <v>0</v>
      </c>
      <c r="N5479">
        <v>4</v>
      </c>
    </row>
    <row r="5480" spans="1:14">
      <c r="A5480" t="s">
        <v>26688</v>
      </c>
      <c r="B5480" t="s">
        <v>11637</v>
      </c>
      <c r="C5480" t="s">
        <v>26689</v>
      </c>
      <c r="D5480" t="s">
        <v>26690</v>
      </c>
      <c r="E5480" t="b">
        <v>0</v>
      </c>
      <c r="F5480" t="s">
        <v>11610</v>
      </c>
      <c r="L5480">
        <v>0</v>
      </c>
      <c r="M5480">
        <v>0</v>
      </c>
      <c r="N5480">
        <v>0</v>
      </c>
    </row>
    <row r="5481" spans="1:14">
      <c r="A5481" t="s">
        <v>19683</v>
      </c>
      <c r="B5481" t="s">
        <v>11637</v>
      </c>
      <c r="C5481" t="s">
        <v>20403</v>
      </c>
      <c r="D5481" t="s">
        <v>26691</v>
      </c>
      <c r="E5481" t="b">
        <v>0</v>
      </c>
      <c r="F5481" t="s">
        <v>11610</v>
      </c>
      <c r="L5481">
        <v>0</v>
      </c>
      <c r="M5481">
        <v>0</v>
      </c>
      <c r="N5481">
        <v>4</v>
      </c>
    </row>
    <row r="5482" spans="1:14">
      <c r="A5482" t="s">
        <v>26692</v>
      </c>
      <c r="B5482" t="s">
        <v>11637</v>
      </c>
      <c r="C5482" t="s">
        <v>20403</v>
      </c>
      <c r="D5482" t="s">
        <v>26693</v>
      </c>
      <c r="E5482" t="b">
        <v>0</v>
      </c>
      <c r="F5482" t="s">
        <v>11610</v>
      </c>
      <c r="L5482">
        <v>0</v>
      </c>
      <c r="M5482">
        <v>0</v>
      </c>
      <c r="N5482">
        <v>0</v>
      </c>
    </row>
    <row r="5483" spans="1:14">
      <c r="A5483" t="s">
        <v>26694</v>
      </c>
      <c r="B5483" t="s">
        <v>9071</v>
      </c>
      <c r="C5483" t="s">
        <v>17677</v>
      </c>
      <c r="D5483" t="s">
        <v>26695</v>
      </c>
      <c r="E5483" t="b">
        <v>0</v>
      </c>
      <c r="F5483" t="s">
        <v>11610</v>
      </c>
      <c r="L5483">
        <v>0</v>
      </c>
      <c r="M5483">
        <v>0</v>
      </c>
      <c r="N5483">
        <v>0</v>
      </c>
    </row>
    <row r="5484" spans="1:14">
      <c r="A5484" t="s">
        <v>26696</v>
      </c>
      <c r="B5484" t="s">
        <v>9071</v>
      </c>
      <c r="C5484" t="s">
        <v>26697</v>
      </c>
      <c r="D5484" t="s">
        <v>26698</v>
      </c>
      <c r="E5484" t="b">
        <v>0</v>
      </c>
      <c r="F5484" t="s">
        <v>11610</v>
      </c>
      <c r="L5484">
        <v>0</v>
      </c>
      <c r="M5484">
        <v>0</v>
      </c>
      <c r="N5484">
        <v>0</v>
      </c>
    </row>
    <row r="5485" spans="1:14">
      <c r="A5485" t="s">
        <v>26699</v>
      </c>
      <c r="B5485" t="s">
        <v>11637</v>
      </c>
      <c r="C5485" t="s">
        <v>22018</v>
      </c>
      <c r="D5485" t="s">
        <v>26700</v>
      </c>
      <c r="E5485" t="b">
        <v>0</v>
      </c>
      <c r="F5485" t="s">
        <v>11610</v>
      </c>
      <c r="L5485">
        <v>0</v>
      </c>
      <c r="M5485">
        <v>0</v>
      </c>
      <c r="N5485">
        <v>3</v>
      </c>
    </row>
    <row r="5486" spans="1:14">
      <c r="A5486" t="s">
        <v>26701</v>
      </c>
      <c r="B5486" t="s">
        <v>11637</v>
      </c>
      <c r="C5486" t="s">
        <v>26702</v>
      </c>
      <c r="D5486" t="s">
        <v>26703</v>
      </c>
      <c r="E5486" t="b">
        <v>0</v>
      </c>
      <c r="F5486" t="s">
        <v>11610</v>
      </c>
      <c r="L5486">
        <v>0</v>
      </c>
      <c r="M5486">
        <v>0</v>
      </c>
      <c r="N5486">
        <v>0</v>
      </c>
    </row>
    <row r="5487" spans="1:14">
      <c r="A5487" t="s">
        <v>24564</v>
      </c>
      <c r="B5487" t="s">
        <v>11637</v>
      </c>
      <c r="C5487" t="s">
        <v>22295</v>
      </c>
      <c r="D5487" t="s">
        <v>26704</v>
      </c>
      <c r="E5487" t="b">
        <v>0</v>
      </c>
      <c r="F5487" t="s">
        <v>11610</v>
      </c>
      <c r="L5487">
        <v>0</v>
      </c>
      <c r="M5487">
        <v>0</v>
      </c>
      <c r="N5487">
        <v>2</v>
      </c>
    </row>
    <row r="5488" spans="1:14">
      <c r="A5488" t="s">
        <v>26705</v>
      </c>
      <c r="B5488" t="s">
        <v>11637</v>
      </c>
      <c r="C5488" t="s">
        <v>24564</v>
      </c>
      <c r="D5488" t="s">
        <v>26706</v>
      </c>
      <c r="E5488" t="b">
        <v>0</v>
      </c>
      <c r="F5488" t="s">
        <v>11610</v>
      </c>
      <c r="L5488">
        <v>0</v>
      </c>
      <c r="M5488">
        <v>0</v>
      </c>
      <c r="N5488">
        <v>0</v>
      </c>
    </row>
    <row r="5489" spans="1:14">
      <c r="A5489" t="s">
        <v>26707</v>
      </c>
      <c r="B5489" t="s">
        <v>11637</v>
      </c>
      <c r="C5489" t="s">
        <v>22022</v>
      </c>
      <c r="D5489" t="s">
        <v>26708</v>
      </c>
      <c r="E5489" t="b">
        <v>0</v>
      </c>
      <c r="F5489" t="s">
        <v>11610</v>
      </c>
      <c r="L5489">
        <v>0</v>
      </c>
      <c r="M5489">
        <v>0</v>
      </c>
      <c r="N5489">
        <v>0</v>
      </c>
    </row>
    <row r="5490" spans="1:14">
      <c r="A5490" t="s">
        <v>22075</v>
      </c>
      <c r="B5490" t="s">
        <v>11644</v>
      </c>
      <c r="C5490" t="s">
        <v>26709</v>
      </c>
      <c r="D5490" t="s">
        <v>26710</v>
      </c>
      <c r="E5490" t="b">
        <v>0</v>
      </c>
      <c r="F5490" t="s">
        <v>11610</v>
      </c>
      <c r="L5490">
        <v>0</v>
      </c>
      <c r="M5490">
        <v>0</v>
      </c>
      <c r="N5490">
        <v>3</v>
      </c>
    </row>
    <row r="5491" spans="1:14">
      <c r="A5491" t="s">
        <v>26711</v>
      </c>
      <c r="B5491" t="s">
        <v>11637</v>
      </c>
      <c r="C5491" t="s">
        <v>26712</v>
      </c>
      <c r="D5491" t="s">
        <v>26713</v>
      </c>
      <c r="E5491" t="b">
        <v>0</v>
      </c>
      <c r="F5491" t="s">
        <v>11610</v>
      </c>
      <c r="L5491">
        <v>0</v>
      </c>
      <c r="M5491">
        <v>0</v>
      </c>
      <c r="N5491">
        <v>0</v>
      </c>
    </row>
    <row r="5492" spans="1:14">
      <c r="A5492" t="s">
        <v>26714</v>
      </c>
      <c r="B5492" t="s">
        <v>11637</v>
      </c>
      <c r="C5492" t="s">
        <v>26715</v>
      </c>
      <c r="D5492" t="s">
        <v>26716</v>
      </c>
      <c r="E5492" t="b">
        <v>0</v>
      </c>
      <c r="F5492" t="s">
        <v>11622</v>
      </c>
      <c r="L5492">
        <v>2</v>
      </c>
      <c r="M5492">
        <v>5</v>
      </c>
      <c r="N5492">
        <v>49</v>
      </c>
    </row>
    <row r="5493" spans="1:14">
      <c r="A5493" t="s">
        <v>26717</v>
      </c>
      <c r="B5493" t="s">
        <v>11637</v>
      </c>
      <c r="C5493" t="s">
        <v>22040</v>
      </c>
      <c r="D5493" t="s">
        <v>26718</v>
      </c>
      <c r="E5493" t="b">
        <v>0</v>
      </c>
      <c r="F5493" t="s">
        <v>11610</v>
      </c>
      <c r="L5493">
        <v>0</v>
      </c>
      <c r="M5493">
        <v>0</v>
      </c>
      <c r="N5493">
        <v>0</v>
      </c>
    </row>
    <row r="5494" spans="1:14">
      <c r="A5494" t="s">
        <v>26719</v>
      </c>
      <c r="B5494" t="s">
        <v>11637</v>
      </c>
      <c r="C5494" t="s">
        <v>26720</v>
      </c>
      <c r="D5494" t="s">
        <v>26721</v>
      </c>
      <c r="E5494" t="b">
        <v>0</v>
      </c>
      <c r="F5494" t="s">
        <v>11610</v>
      </c>
      <c r="L5494">
        <v>0</v>
      </c>
      <c r="M5494">
        <v>0</v>
      </c>
      <c r="N5494">
        <v>2</v>
      </c>
    </row>
    <row r="5495" spans="1:14">
      <c r="A5495" t="s">
        <v>19701</v>
      </c>
      <c r="B5495" t="s">
        <v>11637</v>
      </c>
      <c r="C5495" t="s">
        <v>21048</v>
      </c>
      <c r="D5495" t="s">
        <v>26722</v>
      </c>
      <c r="E5495" t="b">
        <v>0</v>
      </c>
      <c r="F5495" t="s">
        <v>11610</v>
      </c>
      <c r="L5495">
        <v>0</v>
      </c>
      <c r="M5495">
        <v>0</v>
      </c>
      <c r="N5495">
        <v>2</v>
      </c>
    </row>
    <row r="5496" spans="1:14">
      <c r="A5496" t="s">
        <v>26723</v>
      </c>
      <c r="B5496" t="s">
        <v>11637</v>
      </c>
      <c r="C5496" t="s">
        <v>26724</v>
      </c>
      <c r="D5496" t="s">
        <v>26725</v>
      </c>
      <c r="E5496" t="b">
        <v>0</v>
      </c>
      <c r="F5496" t="s">
        <v>11610</v>
      </c>
      <c r="L5496">
        <v>0</v>
      </c>
      <c r="M5496">
        <v>0</v>
      </c>
      <c r="N5496">
        <v>0</v>
      </c>
    </row>
    <row r="5497" spans="1:14">
      <c r="A5497" t="s">
        <v>26726</v>
      </c>
      <c r="B5497" t="s">
        <v>11637</v>
      </c>
      <c r="C5497" t="s">
        <v>26727</v>
      </c>
      <c r="D5497" t="s">
        <v>26728</v>
      </c>
      <c r="E5497" t="b">
        <v>0</v>
      </c>
      <c r="F5497" t="s">
        <v>11610</v>
      </c>
      <c r="L5497">
        <v>0</v>
      </c>
      <c r="M5497">
        <v>0</v>
      </c>
      <c r="N5497">
        <v>0</v>
      </c>
    </row>
    <row r="5498" spans="1:14">
      <c r="A5498" t="s">
        <v>26729</v>
      </c>
      <c r="B5498" t="s">
        <v>367</v>
      </c>
      <c r="C5498" t="s">
        <v>22043</v>
      </c>
      <c r="D5498" t="s">
        <v>26730</v>
      </c>
      <c r="E5498" t="b">
        <v>0</v>
      </c>
      <c r="F5498" t="s">
        <v>11610</v>
      </c>
      <c r="L5498">
        <v>0</v>
      </c>
      <c r="M5498">
        <v>0</v>
      </c>
      <c r="N5498">
        <v>0</v>
      </c>
    </row>
    <row r="5499" spans="1:14">
      <c r="A5499" t="s">
        <v>16164</v>
      </c>
      <c r="B5499" t="s">
        <v>331</v>
      </c>
      <c r="C5499" t="s">
        <v>4630</v>
      </c>
      <c r="D5499" t="s">
        <v>26731</v>
      </c>
      <c r="E5499" t="b">
        <v>0</v>
      </c>
      <c r="F5499" t="s">
        <v>11610</v>
      </c>
      <c r="L5499">
        <v>0</v>
      </c>
      <c r="M5499">
        <v>0</v>
      </c>
      <c r="N5499">
        <v>6</v>
      </c>
    </row>
    <row r="5500" spans="1:14">
      <c r="A5500" t="s">
        <v>26732</v>
      </c>
      <c r="B5500" t="s">
        <v>367</v>
      </c>
      <c r="C5500" t="s">
        <v>5517</v>
      </c>
      <c r="D5500" t="s">
        <v>26733</v>
      </c>
      <c r="E5500" t="b">
        <v>0</v>
      </c>
      <c r="F5500" t="s">
        <v>11610</v>
      </c>
      <c r="L5500">
        <v>0</v>
      </c>
      <c r="M5500">
        <v>0</v>
      </c>
      <c r="N5500">
        <v>0</v>
      </c>
    </row>
    <row r="5501" spans="1:14">
      <c r="A5501" t="s">
        <v>26734</v>
      </c>
      <c r="B5501" t="s">
        <v>11637</v>
      </c>
      <c r="C5501" t="s">
        <v>11474</v>
      </c>
      <c r="D5501" t="s">
        <v>26735</v>
      </c>
      <c r="E5501" t="b">
        <v>0</v>
      </c>
      <c r="F5501" t="s">
        <v>11610</v>
      </c>
      <c r="L5501">
        <v>0</v>
      </c>
      <c r="M5501">
        <v>0</v>
      </c>
      <c r="N5501">
        <v>0</v>
      </c>
    </row>
    <row r="5502" spans="1:14">
      <c r="A5502" t="s">
        <v>26736</v>
      </c>
      <c r="B5502" t="s">
        <v>11637</v>
      </c>
      <c r="C5502" t="s">
        <v>11474</v>
      </c>
      <c r="D5502" t="s">
        <v>26737</v>
      </c>
      <c r="E5502" t="b">
        <v>0</v>
      </c>
      <c r="F5502" t="s">
        <v>11610</v>
      </c>
      <c r="L5502">
        <v>0</v>
      </c>
      <c r="M5502">
        <v>0</v>
      </c>
      <c r="N5502">
        <v>0</v>
      </c>
    </row>
    <row r="5503" spans="1:14">
      <c r="A5503" t="s">
        <v>26738</v>
      </c>
      <c r="B5503" t="s">
        <v>21516</v>
      </c>
      <c r="C5503" t="s">
        <v>21515</v>
      </c>
      <c r="D5503" t="s">
        <v>26739</v>
      </c>
      <c r="E5503" t="b">
        <v>0</v>
      </c>
      <c r="F5503" t="s">
        <v>11622</v>
      </c>
      <c r="L5503">
        <v>1</v>
      </c>
      <c r="M5503">
        <v>4</v>
      </c>
      <c r="N5503">
        <v>6</v>
      </c>
    </row>
    <row r="5504" spans="1:14">
      <c r="A5504" t="s">
        <v>26740</v>
      </c>
      <c r="B5504" t="s">
        <v>21516</v>
      </c>
      <c r="C5504" t="s">
        <v>26738</v>
      </c>
      <c r="D5504" t="s">
        <v>26741</v>
      </c>
      <c r="E5504" t="b">
        <v>0</v>
      </c>
      <c r="F5504" t="s">
        <v>11622</v>
      </c>
      <c r="L5504">
        <v>0</v>
      </c>
      <c r="M5504">
        <v>2</v>
      </c>
      <c r="N5504">
        <v>2</v>
      </c>
    </row>
    <row r="5505" spans="1:15">
      <c r="A5505" t="s">
        <v>26742</v>
      </c>
      <c r="B5505" t="s">
        <v>6742</v>
      </c>
      <c r="C5505" t="s">
        <v>26743</v>
      </c>
      <c r="D5505" t="s">
        <v>26744</v>
      </c>
      <c r="E5505" t="b">
        <v>0</v>
      </c>
      <c r="F5505" t="s">
        <v>11624</v>
      </c>
      <c r="G5505">
        <v>8.1551600000000004</v>
      </c>
      <c r="H5505">
        <v>7.0618299999999996</v>
      </c>
      <c r="I5505" t="s">
        <v>26745</v>
      </c>
      <c r="L5505">
        <v>0</v>
      </c>
      <c r="M5505">
        <v>0</v>
      </c>
      <c r="N5505">
        <v>3</v>
      </c>
      <c r="O5505" t="s">
        <v>11693</v>
      </c>
    </row>
    <row r="5506" spans="1:15">
      <c r="A5506" t="s">
        <v>26743</v>
      </c>
      <c r="B5506" t="s">
        <v>6742</v>
      </c>
      <c r="C5506" t="s">
        <v>12815</v>
      </c>
      <c r="D5506" t="s">
        <v>26746</v>
      </c>
      <c r="E5506" t="b">
        <v>0</v>
      </c>
      <c r="F5506" t="s">
        <v>11622</v>
      </c>
      <c r="L5506">
        <v>6</v>
      </c>
      <c r="M5506">
        <v>10</v>
      </c>
      <c r="N5506">
        <v>27</v>
      </c>
    </row>
    <row r="5507" spans="1:15">
      <c r="A5507" t="s">
        <v>26747</v>
      </c>
      <c r="B5507" t="s">
        <v>15496</v>
      </c>
      <c r="C5507" t="s">
        <v>22209</v>
      </c>
      <c r="D5507" t="s">
        <v>26748</v>
      </c>
      <c r="E5507" t="b">
        <v>0</v>
      </c>
      <c r="F5507" t="s">
        <v>11610</v>
      </c>
      <c r="L5507">
        <v>0</v>
      </c>
      <c r="M5507">
        <v>0</v>
      </c>
      <c r="N5507">
        <v>0</v>
      </c>
    </row>
    <row r="5508" spans="1:15">
      <c r="A5508" t="s">
        <v>26749</v>
      </c>
      <c r="B5508" t="s">
        <v>11607</v>
      </c>
      <c r="C5508" t="s">
        <v>12762</v>
      </c>
      <c r="D5508" t="s">
        <v>26750</v>
      </c>
      <c r="E5508" t="b">
        <v>0</v>
      </c>
      <c r="F5508" t="s">
        <v>11624</v>
      </c>
      <c r="I5508" t="s">
        <v>26751</v>
      </c>
      <c r="L5508">
        <v>0</v>
      </c>
      <c r="M5508">
        <v>0</v>
      </c>
      <c r="N5508">
        <v>0</v>
      </c>
      <c r="O5508" t="s">
        <v>12765</v>
      </c>
    </row>
    <row r="5509" spans="1:15">
      <c r="A5509" t="s">
        <v>26752</v>
      </c>
      <c r="B5509" t="s">
        <v>6742</v>
      </c>
      <c r="C5509" t="s">
        <v>26753</v>
      </c>
      <c r="D5509" t="s">
        <v>26754</v>
      </c>
      <c r="E5509" t="b">
        <v>0</v>
      </c>
      <c r="F5509" t="s">
        <v>11610</v>
      </c>
      <c r="L5509">
        <v>0</v>
      </c>
      <c r="M5509">
        <v>0</v>
      </c>
      <c r="N5509">
        <v>0</v>
      </c>
    </row>
    <row r="5510" spans="1:15">
      <c r="A5510" t="s">
        <v>26755</v>
      </c>
      <c r="B5510" t="s">
        <v>6742</v>
      </c>
      <c r="C5510" t="s">
        <v>26756</v>
      </c>
      <c r="D5510" t="s">
        <v>26757</v>
      </c>
      <c r="E5510" t="b">
        <v>0</v>
      </c>
      <c r="F5510" t="s">
        <v>11624</v>
      </c>
      <c r="G5510">
        <v>5.3686800000000003</v>
      </c>
      <c r="H5510">
        <v>-4.0318800000000001</v>
      </c>
      <c r="I5510" t="s">
        <v>26758</v>
      </c>
      <c r="L5510">
        <v>0</v>
      </c>
      <c r="M5510">
        <v>0</v>
      </c>
      <c r="N5510">
        <v>0</v>
      </c>
      <c r="O5510" t="s">
        <v>11735</v>
      </c>
    </row>
    <row r="5511" spans="1:15">
      <c r="A5511" t="s">
        <v>26759</v>
      </c>
      <c r="B5511" t="s">
        <v>6742</v>
      </c>
      <c r="C5511" t="s">
        <v>21831</v>
      </c>
      <c r="D5511" t="s">
        <v>26760</v>
      </c>
      <c r="E5511" t="b">
        <v>0</v>
      </c>
      <c r="F5511" t="s">
        <v>11624</v>
      </c>
      <c r="G5511">
        <v>4.8254400000000004</v>
      </c>
      <c r="H5511">
        <v>8.0130400000000002</v>
      </c>
      <c r="I5511" t="s">
        <v>26761</v>
      </c>
      <c r="L5511">
        <v>0</v>
      </c>
      <c r="M5511">
        <v>0</v>
      </c>
      <c r="N5511">
        <v>0</v>
      </c>
      <c r="O5511" t="s">
        <v>11693</v>
      </c>
    </row>
    <row r="5512" spans="1:15">
      <c r="A5512" t="s">
        <v>26762</v>
      </c>
      <c r="B5512" t="s">
        <v>6742</v>
      </c>
      <c r="C5512" t="s">
        <v>19190</v>
      </c>
      <c r="D5512" t="s">
        <v>26763</v>
      </c>
      <c r="E5512" t="b">
        <v>0</v>
      </c>
      <c r="F5512" t="s">
        <v>11610</v>
      </c>
      <c r="L5512">
        <v>0</v>
      </c>
      <c r="M5512">
        <v>0</v>
      </c>
      <c r="N5512">
        <v>0</v>
      </c>
    </row>
    <row r="5513" spans="1:15">
      <c r="A5513" t="s">
        <v>26764</v>
      </c>
      <c r="B5513" t="s">
        <v>6742</v>
      </c>
      <c r="C5513" t="s">
        <v>12589</v>
      </c>
      <c r="D5513" t="s">
        <v>26765</v>
      </c>
      <c r="E5513" t="b">
        <v>0</v>
      </c>
      <c r="F5513" t="s">
        <v>11610</v>
      </c>
      <c r="L5513">
        <v>0</v>
      </c>
      <c r="M5513">
        <v>0</v>
      </c>
      <c r="N5513">
        <v>0</v>
      </c>
    </row>
    <row r="5514" spans="1:15">
      <c r="A5514" t="s">
        <v>26766</v>
      </c>
      <c r="B5514" t="s">
        <v>6742</v>
      </c>
      <c r="C5514" t="s">
        <v>12589</v>
      </c>
      <c r="D5514" t="s">
        <v>26767</v>
      </c>
      <c r="E5514" t="b">
        <v>0</v>
      </c>
      <c r="F5514" t="s">
        <v>11610</v>
      </c>
      <c r="L5514">
        <v>0</v>
      </c>
      <c r="M5514">
        <v>0</v>
      </c>
      <c r="N5514">
        <v>0</v>
      </c>
    </row>
    <row r="5515" spans="1:15">
      <c r="A5515" t="s">
        <v>26768</v>
      </c>
      <c r="B5515" t="s">
        <v>6742</v>
      </c>
      <c r="C5515" t="s">
        <v>13977</v>
      </c>
      <c r="D5515" t="s">
        <v>26769</v>
      </c>
      <c r="E5515" t="b">
        <v>0</v>
      </c>
      <c r="F5515" t="s">
        <v>11610</v>
      </c>
      <c r="L5515">
        <v>0</v>
      </c>
      <c r="M5515">
        <v>0</v>
      </c>
      <c r="N5515">
        <v>0</v>
      </c>
    </row>
    <row r="5516" spans="1:15">
      <c r="A5516" t="s">
        <v>26770</v>
      </c>
      <c r="B5516" t="s">
        <v>6742</v>
      </c>
      <c r="C5516" t="s">
        <v>12211</v>
      </c>
      <c r="D5516" t="s">
        <v>26771</v>
      </c>
      <c r="E5516" t="b">
        <v>0</v>
      </c>
      <c r="F5516" t="s">
        <v>11610</v>
      </c>
      <c r="L5516">
        <v>0</v>
      </c>
      <c r="M5516">
        <v>0</v>
      </c>
      <c r="N5516">
        <v>0</v>
      </c>
    </row>
    <row r="5517" spans="1:15">
      <c r="A5517" t="s">
        <v>26772</v>
      </c>
      <c r="B5517" t="s">
        <v>4342</v>
      </c>
      <c r="C5517" t="s">
        <v>26773</v>
      </c>
      <c r="D5517" t="s">
        <v>26774</v>
      </c>
      <c r="E5517" t="b">
        <v>0</v>
      </c>
      <c r="F5517" t="s">
        <v>11610</v>
      </c>
      <c r="L5517">
        <v>0</v>
      </c>
      <c r="M5517">
        <v>0</v>
      </c>
      <c r="N5517">
        <v>4</v>
      </c>
    </row>
    <row r="5518" spans="1:15">
      <c r="A5518" t="s">
        <v>26775</v>
      </c>
      <c r="B5518" t="s">
        <v>13821</v>
      </c>
      <c r="C5518" t="s">
        <v>26776</v>
      </c>
      <c r="D5518" t="s">
        <v>26777</v>
      </c>
      <c r="E5518" t="b">
        <v>0</v>
      </c>
      <c r="F5518" t="s">
        <v>11610</v>
      </c>
      <c r="L5518">
        <v>0</v>
      </c>
      <c r="M5518">
        <v>0</v>
      </c>
      <c r="N5518">
        <v>0</v>
      </c>
    </row>
    <row r="5519" spans="1:15">
      <c r="A5519" t="s">
        <v>26778</v>
      </c>
      <c r="B5519" t="s">
        <v>11981</v>
      </c>
      <c r="C5519" t="s">
        <v>19263</v>
      </c>
      <c r="D5519" t="s">
        <v>26779</v>
      </c>
      <c r="E5519" t="b">
        <v>0</v>
      </c>
      <c r="F5519" t="s">
        <v>11624</v>
      </c>
      <c r="G5519">
        <v>-1.2499899999999999</v>
      </c>
      <c r="H5519">
        <v>-79.166600000000003</v>
      </c>
      <c r="I5519" t="s">
        <v>26780</v>
      </c>
      <c r="L5519">
        <v>0</v>
      </c>
      <c r="M5519">
        <v>0</v>
      </c>
      <c r="N5519">
        <v>0</v>
      </c>
      <c r="O5519" t="s">
        <v>14946</v>
      </c>
    </row>
    <row r="5520" spans="1:15">
      <c r="A5520" t="s">
        <v>26781</v>
      </c>
      <c r="B5520" t="s">
        <v>2975</v>
      </c>
      <c r="C5520" t="s">
        <v>13884</v>
      </c>
      <c r="D5520" t="s">
        <v>26782</v>
      </c>
      <c r="E5520" t="b">
        <v>0</v>
      </c>
      <c r="F5520" t="s">
        <v>11610</v>
      </c>
      <c r="L5520">
        <v>0</v>
      </c>
      <c r="M5520">
        <v>0</v>
      </c>
      <c r="N5520">
        <v>0</v>
      </c>
    </row>
    <row r="5521" spans="1:15">
      <c r="A5521" t="s">
        <v>20941</v>
      </c>
      <c r="B5521" t="s">
        <v>141</v>
      </c>
      <c r="C5521" t="s">
        <v>461</v>
      </c>
      <c r="D5521" t="s">
        <v>26783</v>
      </c>
      <c r="E5521" t="b">
        <v>0</v>
      </c>
      <c r="F5521" t="s">
        <v>11622</v>
      </c>
      <c r="L5521">
        <v>0</v>
      </c>
      <c r="M5521">
        <v>3</v>
      </c>
      <c r="N5521">
        <v>0</v>
      </c>
    </row>
    <row r="5522" spans="1:15">
      <c r="A5522" t="s">
        <v>21043</v>
      </c>
      <c r="B5522" t="s">
        <v>141</v>
      </c>
      <c r="C5522" t="s">
        <v>461</v>
      </c>
      <c r="D5522" t="s">
        <v>26784</v>
      </c>
      <c r="E5522" t="b">
        <v>0</v>
      </c>
      <c r="F5522" t="s">
        <v>11622</v>
      </c>
      <c r="L5522">
        <v>1</v>
      </c>
      <c r="M5522">
        <v>7</v>
      </c>
      <c r="N5522">
        <v>2</v>
      </c>
    </row>
    <row r="5523" spans="1:15">
      <c r="A5523" t="s">
        <v>26785</v>
      </c>
      <c r="B5523" t="s">
        <v>141</v>
      </c>
      <c r="C5523" t="s">
        <v>21043</v>
      </c>
      <c r="D5523" t="s">
        <v>26786</v>
      </c>
      <c r="E5523" t="b">
        <v>0</v>
      </c>
      <c r="F5523" t="s">
        <v>11622</v>
      </c>
      <c r="L5523">
        <v>0</v>
      </c>
      <c r="M5523">
        <v>4</v>
      </c>
      <c r="N5523">
        <v>2</v>
      </c>
    </row>
    <row r="5524" spans="1:15">
      <c r="A5524" t="s">
        <v>26787</v>
      </c>
      <c r="B5524" t="s">
        <v>6742</v>
      </c>
      <c r="C5524" t="s">
        <v>14309</v>
      </c>
      <c r="D5524" t="s">
        <v>26788</v>
      </c>
      <c r="E5524" t="b">
        <v>0</v>
      </c>
      <c r="F5524" t="s">
        <v>11610</v>
      </c>
      <c r="L5524">
        <v>0</v>
      </c>
      <c r="M5524">
        <v>0</v>
      </c>
      <c r="N5524">
        <v>0</v>
      </c>
    </row>
    <row r="5525" spans="1:15">
      <c r="A5525" t="s">
        <v>26789</v>
      </c>
      <c r="B5525" t="s">
        <v>6742</v>
      </c>
      <c r="C5525" t="s">
        <v>1780</v>
      </c>
      <c r="D5525" t="s">
        <v>26790</v>
      </c>
      <c r="E5525" t="b">
        <v>0</v>
      </c>
      <c r="F5525" t="s">
        <v>11610</v>
      </c>
      <c r="L5525">
        <v>0</v>
      </c>
      <c r="M5525">
        <v>0</v>
      </c>
      <c r="N5525">
        <v>0</v>
      </c>
    </row>
    <row r="5526" spans="1:15">
      <c r="A5526" t="s">
        <v>26535</v>
      </c>
      <c r="B5526" t="s">
        <v>6742</v>
      </c>
      <c r="C5526" t="s">
        <v>26791</v>
      </c>
      <c r="D5526" t="s">
        <v>26792</v>
      </c>
      <c r="E5526" t="b">
        <v>0</v>
      </c>
      <c r="F5526" t="s">
        <v>11622</v>
      </c>
      <c r="L5526">
        <v>6</v>
      </c>
      <c r="M5526">
        <v>12</v>
      </c>
      <c r="N5526">
        <v>25</v>
      </c>
    </row>
    <row r="5527" spans="1:15">
      <c r="A5527" t="s">
        <v>26793</v>
      </c>
      <c r="B5527" t="s">
        <v>6742</v>
      </c>
      <c r="C5527" t="s">
        <v>26534</v>
      </c>
      <c r="D5527" t="s">
        <v>26794</v>
      </c>
      <c r="E5527" t="b">
        <v>0</v>
      </c>
      <c r="F5527" t="s">
        <v>11624</v>
      </c>
      <c r="G5527">
        <v>7.7817600000000002</v>
      </c>
      <c r="H5527">
        <v>2.4812799999999999</v>
      </c>
      <c r="I5527" t="s">
        <v>26795</v>
      </c>
      <c r="L5527">
        <v>0</v>
      </c>
      <c r="M5527">
        <v>0</v>
      </c>
      <c r="N5527">
        <v>0</v>
      </c>
      <c r="O5527" t="s">
        <v>15587</v>
      </c>
    </row>
    <row r="5528" spans="1:15">
      <c r="A5528" t="s">
        <v>26796</v>
      </c>
      <c r="B5528" t="s">
        <v>6742</v>
      </c>
      <c r="C5528" t="s">
        <v>26797</v>
      </c>
      <c r="D5528" t="s">
        <v>26798</v>
      </c>
      <c r="E5528" t="b">
        <v>0</v>
      </c>
      <c r="F5528" t="s">
        <v>11624</v>
      </c>
      <c r="G5528">
        <v>7.7842799999999999</v>
      </c>
      <c r="H5528">
        <v>2.2703899999999999</v>
      </c>
      <c r="I5528" t="s">
        <v>26799</v>
      </c>
      <c r="L5528">
        <v>0</v>
      </c>
      <c r="M5528">
        <v>0</v>
      </c>
      <c r="N5528">
        <v>0</v>
      </c>
      <c r="O5528" t="s">
        <v>15477</v>
      </c>
    </row>
    <row r="5529" spans="1:15">
      <c r="A5529" t="s">
        <v>26800</v>
      </c>
      <c r="B5529" t="s">
        <v>6742</v>
      </c>
      <c r="C5529" t="s">
        <v>26801</v>
      </c>
      <c r="D5529" t="s">
        <v>26802</v>
      </c>
      <c r="E5529" t="b">
        <v>0</v>
      </c>
      <c r="F5529" t="s">
        <v>11624</v>
      </c>
      <c r="G5529">
        <v>7.0972900000000001</v>
      </c>
      <c r="H5529">
        <v>2.64262</v>
      </c>
      <c r="I5529" t="s">
        <v>26803</v>
      </c>
      <c r="L5529">
        <v>0</v>
      </c>
      <c r="M5529">
        <v>0</v>
      </c>
      <c r="N5529">
        <v>0</v>
      </c>
      <c r="O5529" t="s">
        <v>15477</v>
      </c>
    </row>
    <row r="5530" spans="1:15">
      <c r="A5530" t="s">
        <v>26804</v>
      </c>
      <c r="B5530" t="s">
        <v>6742</v>
      </c>
      <c r="C5530" t="s">
        <v>26797</v>
      </c>
      <c r="D5530" t="s">
        <v>26805</v>
      </c>
      <c r="E5530" t="b">
        <v>0</v>
      </c>
      <c r="F5530" t="s">
        <v>11624</v>
      </c>
      <c r="G5530">
        <v>8.4612800000000004</v>
      </c>
      <c r="H5530">
        <v>1.8213699999999999</v>
      </c>
      <c r="I5530" t="s">
        <v>26806</v>
      </c>
      <c r="L5530">
        <v>0</v>
      </c>
      <c r="M5530">
        <v>0</v>
      </c>
      <c r="N5530">
        <v>2</v>
      </c>
      <c r="O5530" t="s">
        <v>15477</v>
      </c>
    </row>
    <row r="5531" spans="1:15">
      <c r="A5531" t="s">
        <v>26791</v>
      </c>
      <c r="B5531" t="s">
        <v>6742</v>
      </c>
      <c r="C5531" t="s">
        <v>26807</v>
      </c>
      <c r="D5531" t="s">
        <v>26808</v>
      </c>
      <c r="E5531" t="b">
        <v>0</v>
      </c>
      <c r="F5531" t="s">
        <v>11622</v>
      </c>
      <c r="L5531">
        <v>7</v>
      </c>
      <c r="M5531">
        <v>13</v>
      </c>
      <c r="N5531">
        <v>25</v>
      </c>
    </row>
    <row r="5532" spans="1:15">
      <c r="A5532" t="s">
        <v>26809</v>
      </c>
      <c r="B5532" t="s">
        <v>6742</v>
      </c>
      <c r="C5532" t="s">
        <v>26801</v>
      </c>
      <c r="D5532" t="s">
        <v>26810</v>
      </c>
      <c r="E5532" t="b">
        <v>0</v>
      </c>
      <c r="F5532" t="s">
        <v>11624</v>
      </c>
      <c r="G5532">
        <v>6.7576299999999998</v>
      </c>
      <c r="H5532">
        <v>2.6490800000000001</v>
      </c>
      <c r="I5532" t="s">
        <v>26811</v>
      </c>
      <c r="L5532">
        <v>0</v>
      </c>
      <c r="M5532">
        <v>0</v>
      </c>
      <c r="N5532">
        <v>0</v>
      </c>
      <c r="O5532" t="s">
        <v>15587</v>
      </c>
    </row>
    <row r="5533" spans="1:15">
      <c r="A5533" t="s">
        <v>26812</v>
      </c>
      <c r="B5533" t="s">
        <v>11615</v>
      </c>
      <c r="C5533" t="s">
        <v>14909</v>
      </c>
      <c r="D5533" t="s">
        <v>26813</v>
      </c>
      <c r="E5533" t="b">
        <v>0</v>
      </c>
      <c r="F5533" t="s">
        <v>11624</v>
      </c>
      <c r="G5533">
        <v>-7.0038</v>
      </c>
      <c r="H5533">
        <v>139.91399999999999</v>
      </c>
      <c r="I5533" t="s">
        <v>26814</v>
      </c>
      <c r="L5533">
        <v>0</v>
      </c>
      <c r="M5533">
        <v>0</v>
      </c>
      <c r="N5533">
        <v>0</v>
      </c>
      <c r="O5533" t="s">
        <v>11768</v>
      </c>
    </row>
    <row r="5534" spans="1:15">
      <c r="A5534" t="s">
        <v>26815</v>
      </c>
      <c r="B5534" t="s">
        <v>11637</v>
      </c>
      <c r="C5534" t="s">
        <v>26816</v>
      </c>
      <c r="D5534" t="s">
        <v>26817</v>
      </c>
      <c r="E5534" t="b">
        <v>0</v>
      </c>
      <c r="F5534" t="s">
        <v>11610</v>
      </c>
      <c r="L5534">
        <v>0</v>
      </c>
      <c r="M5534">
        <v>0</v>
      </c>
      <c r="N5534">
        <v>0</v>
      </c>
    </row>
    <row r="5535" spans="1:15">
      <c r="A5535" t="s">
        <v>26818</v>
      </c>
      <c r="B5535" t="s">
        <v>367</v>
      </c>
      <c r="C5535" t="s">
        <v>15619</v>
      </c>
      <c r="D5535" t="s">
        <v>26819</v>
      </c>
      <c r="E5535" t="b">
        <v>0</v>
      </c>
      <c r="F5535" t="s">
        <v>11610</v>
      </c>
      <c r="L5535">
        <v>0</v>
      </c>
      <c r="M5535">
        <v>0</v>
      </c>
      <c r="N5535">
        <v>0</v>
      </c>
    </row>
    <row r="5536" spans="1:15">
      <c r="A5536" t="s">
        <v>26820</v>
      </c>
      <c r="B5536" t="s">
        <v>331</v>
      </c>
      <c r="C5536" t="s">
        <v>13639</v>
      </c>
      <c r="D5536" t="s">
        <v>26821</v>
      </c>
      <c r="E5536" t="b">
        <v>0</v>
      </c>
      <c r="F5536" t="s">
        <v>11610</v>
      </c>
      <c r="L5536">
        <v>0</v>
      </c>
      <c r="M5536">
        <v>0</v>
      </c>
      <c r="N5536">
        <v>0</v>
      </c>
    </row>
    <row r="5537" spans="1:15">
      <c r="A5537" t="s">
        <v>26822</v>
      </c>
      <c r="B5537" t="s">
        <v>6742</v>
      </c>
      <c r="C5537" t="s">
        <v>26823</v>
      </c>
      <c r="D5537" t="s">
        <v>26824</v>
      </c>
      <c r="E5537" t="b">
        <v>0</v>
      </c>
      <c r="F5537" t="s">
        <v>11610</v>
      </c>
      <c r="L5537">
        <v>0</v>
      </c>
      <c r="M5537">
        <v>0</v>
      </c>
      <c r="N5537">
        <v>0</v>
      </c>
    </row>
    <row r="5538" spans="1:15">
      <c r="A5538" t="s">
        <v>24442</v>
      </c>
      <c r="B5538" t="s">
        <v>6742</v>
      </c>
      <c r="C5538" t="s">
        <v>12812</v>
      </c>
      <c r="D5538" t="s">
        <v>26825</v>
      </c>
      <c r="E5538" t="b">
        <v>0</v>
      </c>
      <c r="F5538" t="s">
        <v>11622</v>
      </c>
      <c r="L5538">
        <v>14</v>
      </c>
      <c r="M5538">
        <v>28</v>
      </c>
      <c r="N5538">
        <v>75</v>
      </c>
    </row>
    <row r="5539" spans="1:15">
      <c r="A5539" t="s">
        <v>26254</v>
      </c>
      <c r="B5539" t="s">
        <v>7862</v>
      </c>
      <c r="C5539" t="s">
        <v>17626</v>
      </c>
      <c r="D5539" t="s">
        <v>26826</v>
      </c>
      <c r="E5539" t="b">
        <v>0</v>
      </c>
      <c r="F5539" t="s">
        <v>11624</v>
      </c>
      <c r="G5539">
        <v>-6.1161799999999999</v>
      </c>
      <c r="H5539">
        <v>142.65</v>
      </c>
      <c r="I5539" t="s">
        <v>26827</v>
      </c>
      <c r="L5539">
        <v>0</v>
      </c>
      <c r="M5539">
        <v>0</v>
      </c>
      <c r="N5539">
        <v>2</v>
      </c>
      <c r="O5539" t="s">
        <v>11660</v>
      </c>
    </row>
    <row r="5540" spans="1:15">
      <c r="A5540" t="s">
        <v>26828</v>
      </c>
      <c r="B5540" t="s">
        <v>11627</v>
      </c>
      <c r="C5540" t="s">
        <v>11627</v>
      </c>
      <c r="D5540" t="s">
        <v>26829</v>
      </c>
      <c r="E5540" t="b">
        <v>1</v>
      </c>
      <c r="F5540" t="s">
        <v>11624</v>
      </c>
      <c r="I5540" t="s">
        <v>26830</v>
      </c>
      <c r="L5540">
        <v>0</v>
      </c>
      <c r="M5540">
        <v>0</v>
      </c>
      <c r="N5540">
        <v>0</v>
      </c>
      <c r="O5540" t="s">
        <v>13488</v>
      </c>
    </row>
    <row r="5541" spans="1:15">
      <c r="A5541" t="s">
        <v>26831</v>
      </c>
      <c r="B5541" t="s">
        <v>367</v>
      </c>
      <c r="C5541" t="s">
        <v>12116</v>
      </c>
      <c r="D5541" t="s">
        <v>26832</v>
      </c>
      <c r="E5541" t="b">
        <v>0</v>
      </c>
      <c r="F5541" t="s">
        <v>11610</v>
      </c>
      <c r="L5541">
        <v>0</v>
      </c>
      <c r="M5541">
        <v>0</v>
      </c>
      <c r="N5541">
        <v>0</v>
      </c>
    </row>
    <row r="5542" spans="1:15">
      <c r="A5542" t="s">
        <v>26833</v>
      </c>
      <c r="B5542" t="s">
        <v>15365</v>
      </c>
      <c r="C5542" t="s">
        <v>21640</v>
      </c>
      <c r="D5542" t="s">
        <v>26834</v>
      </c>
      <c r="E5542" t="b">
        <v>0</v>
      </c>
      <c r="F5542" t="s">
        <v>11624</v>
      </c>
      <c r="G5542">
        <v>-3.1107800000000001</v>
      </c>
      <c r="H5542">
        <v>137.387</v>
      </c>
      <c r="I5542" t="s">
        <v>26835</v>
      </c>
      <c r="L5542">
        <v>0</v>
      </c>
      <c r="M5542">
        <v>0</v>
      </c>
      <c r="N5542">
        <v>0</v>
      </c>
      <c r="O5542" t="s">
        <v>11768</v>
      </c>
    </row>
    <row r="5543" spans="1:15">
      <c r="A5543" t="s">
        <v>26836</v>
      </c>
      <c r="B5543" t="s">
        <v>5126</v>
      </c>
      <c r="C5543" t="s">
        <v>26837</v>
      </c>
      <c r="D5543" t="s">
        <v>26838</v>
      </c>
      <c r="E5543" t="b">
        <v>0</v>
      </c>
      <c r="F5543" t="s">
        <v>11624</v>
      </c>
      <c r="G5543">
        <v>24.726199999999999</v>
      </c>
      <c r="H5543">
        <v>109.063</v>
      </c>
      <c r="I5543" t="s">
        <v>26839</v>
      </c>
      <c r="L5543">
        <v>0</v>
      </c>
      <c r="M5543">
        <v>0</v>
      </c>
      <c r="N5543">
        <v>0</v>
      </c>
      <c r="O5543" t="s">
        <v>11905</v>
      </c>
    </row>
    <row r="5544" spans="1:15">
      <c r="A5544" t="s">
        <v>26840</v>
      </c>
      <c r="B5544" t="s">
        <v>6742</v>
      </c>
      <c r="C5544" t="s">
        <v>21830</v>
      </c>
      <c r="D5544" t="s">
        <v>26841</v>
      </c>
      <c r="E5544" t="b">
        <v>0</v>
      </c>
      <c r="F5544" t="s">
        <v>11624</v>
      </c>
      <c r="G5544">
        <v>4.6044700000000001</v>
      </c>
      <c r="H5544">
        <v>8.2762499999999992</v>
      </c>
      <c r="I5544" t="s">
        <v>26842</v>
      </c>
      <c r="L5544">
        <v>0</v>
      </c>
      <c r="M5544">
        <v>0</v>
      </c>
      <c r="N5544">
        <v>0</v>
      </c>
      <c r="O5544" t="s">
        <v>11802</v>
      </c>
    </row>
    <row r="5545" spans="1:15">
      <c r="A5545" t="s">
        <v>26843</v>
      </c>
      <c r="B5545" t="s">
        <v>14629</v>
      </c>
      <c r="C5545" t="s">
        <v>26844</v>
      </c>
      <c r="D5545" t="s">
        <v>26845</v>
      </c>
      <c r="E5545" t="b">
        <v>0</v>
      </c>
      <c r="F5545" t="s">
        <v>11624</v>
      </c>
      <c r="L5545">
        <v>0</v>
      </c>
      <c r="M5545">
        <v>0</v>
      </c>
      <c r="N5545">
        <v>0</v>
      </c>
      <c r="O5545" t="s">
        <v>12719</v>
      </c>
    </row>
    <row r="5546" spans="1:15">
      <c r="A5546" t="s">
        <v>26846</v>
      </c>
      <c r="B5546" t="s">
        <v>367</v>
      </c>
      <c r="C5546" t="s">
        <v>26847</v>
      </c>
      <c r="D5546" t="s">
        <v>26848</v>
      </c>
      <c r="E5546" t="b">
        <v>0</v>
      </c>
      <c r="F5546" t="s">
        <v>11622</v>
      </c>
      <c r="L5546">
        <v>2</v>
      </c>
      <c r="M5546">
        <v>4</v>
      </c>
      <c r="N5546">
        <v>8</v>
      </c>
    </row>
    <row r="5547" spans="1:15">
      <c r="A5547" t="s">
        <v>26844</v>
      </c>
      <c r="B5547" t="s">
        <v>14629</v>
      </c>
      <c r="C5547" t="s">
        <v>14629</v>
      </c>
      <c r="D5547" t="s">
        <v>26849</v>
      </c>
      <c r="E5547" t="b">
        <v>0</v>
      </c>
      <c r="F5547" t="s">
        <v>11622</v>
      </c>
      <c r="L5547">
        <v>0</v>
      </c>
      <c r="M5547">
        <v>1</v>
      </c>
      <c r="N5547">
        <v>0</v>
      </c>
    </row>
    <row r="5548" spans="1:15">
      <c r="A5548" t="s">
        <v>7073</v>
      </c>
      <c r="B5548" t="s">
        <v>11729</v>
      </c>
      <c r="C5548" t="s">
        <v>17941</v>
      </c>
      <c r="D5548" t="s">
        <v>26850</v>
      </c>
      <c r="E5548" t="b">
        <v>0</v>
      </c>
      <c r="F5548" t="s">
        <v>11624</v>
      </c>
      <c r="G5548">
        <v>1.8797999999999999</v>
      </c>
      <c r="H5548">
        <v>29.291799999999999</v>
      </c>
      <c r="I5548" t="s">
        <v>7074</v>
      </c>
      <c r="L5548">
        <v>0</v>
      </c>
      <c r="M5548">
        <v>0</v>
      </c>
      <c r="N5548">
        <v>0</v>
      </c>
      <c r="O5548" t="s">
        <v>14825</v>
      </c>
    </row>
    <row r="5549" spans="1:15">
      <c r="A5549" t="s">
        <v>26851</v>
      </c>
      <c r="B5549" t="s">
        <v>6742</v>
      </c>
      <c r="C5549" t="s">
        <v>12811</v>
      </c>
      <c r="D5549" t="s">
        <v>26852</v>
      </c>
      <c r="E5549" t="b">
        <v>0</v>
      </c>
      <c r="F5549" t="s">
        <v>11610</v>
      </c>
      <c r="L5549">
        <v>0</v>
      </c>
      <c r="M5549">
        <v>0</v>
      </c>
      <c r="N5549">
        <v>0</v>
      </c>
    </row>
    <row r="5550" spans="1:15">
      <c r="A5550" t="s">
        <v>13585</v>
      </c>
      <c r="B5550" t="s">
        <v>6742</v>
      </c>
      <c r="C5550" t="s">
        <v>21830</v>
      </c>
      <c r="D5550" t="s">
        <v>26853</v>
      </c>
      <c r="E5550" t="b">
        <v>0</v>
      </c>
      <c r="F5550" t="s">
        <v>11622</v>
      </c>
      <c r="L5550">
        <v>0</v>
      </c>
      <c r="M5550">
        <v>4</v>
      </c>
      <c r="N5550">
        <v>7</v>
      </c>
    </row>
    <row r="5551" spans="1:15">
      <c r="A5551" t="s">
        <v>26854</v>
      </c>
      <c r="B5551" t="s">
        <v>6742</v>
      </c>
      <c r="C5551" t="s">
        <v>13585</v>
      </c>
      <c r="D5551" t="s">
        <v>26855</v>
      </c>
      <c r="E5551" t="b">
        <v>0</v>
      </c>
      <c r="F5551" t="s">
        <v>11624</v>
      </c>
      <c r="G5551">
        <v>4.8937900000000001</v>
      </c>
      <c r="H5551">
        <v>8.3812099999999994</v>
      </c>
      <c r="I5551" t="s">
        <v>26856</v>
      </c>
      <c r="L5551">
        <v>0</v>
      </c>
      <c r="M5551">
        <v>0</v>
      </c>
      <c r="N5551">
        <v>0</v>
      </c>
      <c r="O5551" t="s">
        <v>11802</v>
      </c>
    </row>
    <row r="5552" spans="1:15">
      <c r="A5552" t="s">
        <v>26857</v>
      </c>
      <c r="B5552" t="s">
        <v>11637</v>
      </c>
      <c r="C5552" t="s">
        <v>26858</v>
      </c>
      <c r="D5552" t="s">
        <v>26859</v>
      </c>
      <c r="E5552" t="b">
        <v>0</v>
      </c>
      <c r="F5552" t="s">
        <v>11610</v>
      </c>
      <c r="L5552">
        <v>0</v>
      </c>
      <c r="M5552">
        <v>0</v>
      </c>
      <c r="N5552">
        <v>0</v>
      </c>
    </row>
    <row r="5553" spans="1:15">
      <c r="A5553" t="s">
        <v>26860</v>
      </c>
      <c r="B5553" t="s">
        <v>6742</v>
      </c>
      <c r="C5553" t="s">
        <v>15409</v>
      </c>
      <c r="D5553" t="s">
        <v>26861</v>
      </c>
      <c r="E5553" t="b">
        <v>0</v>
      </c>
      <c r="F5553" t="s">
        <v>11610</v>
      </c>
      <c r="L5553">
        <v>0</v>
      </c>
      <c r="M5553">
        <v>0</v>
      </c>
      <c r="N5553">
        <v>0</v>
      </c>
    </row>
    <row r="5554" spans="1:15">
      <c r="A5554" t="s">
        <v>26862</v>
      </c>
      <c r="B5554" t="s">
        <v>6742</v>
      </c>
      <c r="C5554" t="s">
        <v>26863</v>
      </c>
      <c r="D5554" t="s">
        <v>26864</v>
      </c>
      <c r="E5554" t="b">
        <v>0</v>
      </c>
      <c r="F5554" t="s">
        <v>11624</v>
      </c>
      <c r="G5554">
        <v>5.9243100000000002</v>
      </c>
      <c r="H5554">
        <v>8.3542500000000004</v>
      </c>
      <c r="I5554" t="s">
        <v>26865</v>
      </c>
      <c r="L5554">
        <v>0</v>
      </c>
      <c r="M5554">
        <v>0</v>
      </c>
      <c r="N5554">
        <v>0</v>
      </c>
      <c r="O5554" t="s">
        <v>11693</v>
      </c>
    </row>
    <row r="5555" spans="1:15">
      <c r="A5555" t="s">
        <v>26866</v>
      </c>
      <c r="B5555" t="s">
        <v>6742</v>
      </c>
      <c r="C5555" t="s">
        <v>18018</v>
      </c>
      <c r="D5555" t="s">
        <v>26867</v>
      </c>
      <c r="E5555" t="b">
        <v>0</v>
      </c>
      <c r="F5555" t="s">
        <v>11624</v>
      </c>
      <c r="G5555">
        <v>5.56081</v>
      </c>
      <c r="H5555">
        <v>-5.4173200000000001</v>
      </c>
      <c r="I5555" t="s">
        <v>26868</v>
      </c>
      <c r="L5555">
        <v>0</v>
      </c>
      <c r="M5555">
        <v>0</v>
      </c>
      <c r="N5555">
        <v>0</v>
      </c>
      <c r="O5555" t="s">
        <v>11735</v>
      </c>
    </row>
    <row r="5556" spans="1:15">
      <c r="A5556" t="s">
        <v>26869</v>
      </c>
      <c r="B5556" t="s">
        <v>11644</v>
      </c>
      <c r="C5556" t="s">
        <v>18520</v>
      </c>
      <c r="D5556" t="s">
        <v>26870</v>
      </c>
      <c r="E5556" t="b">
        <v>0</v>
      </c>
      <c r="F5556" t="s">
        <v>11610</v>
      </c>
      <c r="L5556">
        <v>0</v>
      </c>
      <c r="M5556">
        <v>0</v>
      </c>
      <c r="N5556">
        <v>0</v>
      </c>
    </row>
    <row r="5557" spans="1:15">
      <c r="A5557" t="s">
        <v>26871</v>
      </c>
      <c r="B5557" t="s">
        <v>6742</v>
      </c>
      <c r="C5557" t="s">
        <v>3193</v>
      </c>
      <c r="D5557" t="s">
        <v>26872</v>
      </c>
      <c r="E5557" t="b">
        <v>0</v>
      </c>
      <c r="F5557" t="s">
        <v>11610</v>
      </c>
      <c r="L5557">
        <v>0</v>
      </c>
      <c r="M5557">
        <v>0</v>
      </c>
      <c r="N5557">
        <v>0</v>
      </c>
    </row>
    <row r="5558" spans="1:15">
      <c r="A5558" t="s">
        <v>26873</v>
      </c>
      <c r="B5558" t="s">
        <v>12697</v>
      </c>
      <c r="C5558" t="s">
        <v>14175</v>
      </c>
      <c r="D5558" t="s">
        <v>26874</v>
      </c>
      <c r="E5558" t="b">
        <v>0</v>
      </c>
      <c r="F5558" t="s">
        <v>11610</v>
      </c>
      <c r="L5558">
        <v>0</v>
      </c>
      <c r="M5558">
        <v>0</v>
      </c>
      <c r="N5558">
        <v>0</v>
      </c>
    </row>
    <row r="5559" spans="1:15">
      <c r="A5559" t="s">
        <v>26875</v>
      </c>
      <c r="B5559" t="s">
        <v>6742</v>
      </c>
      <c r="C5559" t="s">
        <v>12818</v>
      </c>
      <c r="D5559" t="s">
        <v>26876</v>
      </c>
      <c r="E5559" t="b">
        <v>0</v>
      </c>
      <c r="F5559" t="s">
        <v>11610</v>
      </c>
      <c r="L5559">
        <v>0</v>
      </c>
      <c r="M5559">
        <v>0</v>
      </c>
      <c r="N5559">
        <v>0</v>
      </c>
    </row>
    <row r="5560" spans="1:15">
      <c r="A5560" t="s">
        <v>26877</v>
      </c>
      <c r="B5560" t="s">
        <v>6742</v>
      </c>
      <c r="C5560" t="s">
        <v>12211</v>
      </c>
      <c r="D5560" t="s">
        <v>26878</v>
      </c>
      <c r="E5560" t="b">
        <v>0</v>
      </c>
      <c r="F5560" t="s">
        <v>11610</v>
      </c>
      <c r="L5560">
        <v>0</v>
      </c>
      <c r="M5560">
        <v>0</v>
      </c>
      <c r="N5560">
        <v>0</v>
      </c>
    </row>
    <row r="5561" spans="1:15">
      <c r="A5561" t="s">
        <v>26879</v>
      </c>
      <c r="B5561" t="s">
        <v>6742</v>
      </c>
      <c r="C5561" t="s">
        <v>20021</v>
      </c>
      <c r="D5561" t="s">
        <v>26880</v>
      </c>
      <c r="E5561" t="b">
        <v>0</v>
      </c>
      <c r="F5561" t="s">
        <v>11624</v>
      </c>
      <c r="L5561">
        <v>0</v>
      </c>
      <c r="M5561">
        <v>0</v>
      </c>
      <c r="N5561">
        <v>0</v>
      </c>
      <c r="O5561" t="s">
        <v>14825</v>
      </c>
    </row>
    <row r="5562" spans="1:15">
      <c r="A5562" t="s">
        <v>26881</v>
      </c>
      <c r="B5562" t="s">
        <v>11981</v>
      </c>
      <c r="C5562" t="s">
        <v>19997</v>
      </c>
      <c r="D5562" t="s">
        <v>26882</v>
      </c>
      <c r="E5562" t="b">
        <v>0</v>
      </c>
      <c r="F5562" t="s">
        <v>11610</v>
      </c>
      <c r="L5562">
        <v>0</v>
      </c>
      <c r="M5562">
        <v>0</v>
      </c>
      <c r="N5562">
        <v>0</v>
      </c>
    </row>
    <row r="5563" spans="1:15">
      <c r="A5563" t="s">
        <v>26883</v>
      </c>
      <c r="B5563" t="s">
        <v>6742</v>
      </c>
      <c r="C5563" t="s">
        <v>12712</v>
      </c>
      <c r="D5563" t="s">
        <v>26884</v>
      </c>
      <c r="E5563" t="b">
        <v>0</v>
      </c>
      <c r="F5563" t="s">
        <v>11624</v>
      </c>
      <c r="G5563">
        <v>8.7144200000000005</v>
      </c>
      <c r="H5563">
        <v>8.4568600000000007</v>
      </c>
      <c r="I5563" t="s">
        <v>26885</v>
      </c>
      <c r="L5563">
        <v>0</v>
      </c>
      <c r="M5563">
        <v>0</v>
      </c>
      <c r="N5563">
        <v>0</v>
      </c>
      <c r="O5563" t="s">
        <v>11693</v>
      </c>
    </row>
    <row r="5564" spans="1:15">
      <c r="A5564" t="s">
        <v>12712</v>
      </c>
      <c r="B5564" t="s">
        <v>6742</v>
      </c>
      <c r="C5564" t="s">
        <v>26886</v>
      </c>
      <c r="D5564" t="s">
        <v>26887</v>
      </c>
      <c r="E5564" t="b">
        <v>0</v>
      </c>
      <c r="F5564" t="s">
        <v>11622</v>
      </c>
      <c r="L5564">
        <v>0</v>
      </c>
      <c r="M5564">
        <v>2</v>
      </c>
      <c r="N5564">
        <v>0</v>
      </c>
    </row>
    <row r="5565" spans="1:15">
      <c r="A5565" t="s">
        <v>26888</v>
      </c>
      <c r="B5565" t="s">
        <v>6742</v>
      </c>
      <c r="C5565" t="s">
        <v>26889</v>
      </c>
      <c r="D5565" t="s">
        <v>26890</v>
      </c>
      <c r="E5565" t="b">
        <v>0</v>
      </c>
      <c r="F5565" t="s">
        <v>11610</v>
      </c>
      <c r="L5565">
        <v>0</v>
      </c>
      <c r="M5565">
        <v>0</v>
      </c>
      <c r="N5565">
        <v>0</v>
      </c>
    </row>
    <row r="5566" spans="1:15">
      <c r="A5566" t="s">
        <v>26891</v>
      </c>
      <c r="B5566" t="s">
        <v>367</v>
      </c>
      <c r="C5566" t="s">
        <v>11680</v>
      </c>
      <c r="D5566" t="s">
        <v>26892</v>
      </c>
      <c r="E5566" t="b">
        <v>0</v>
      </c>
      <c r="F5566" t="s">
        <v>11610</v>
      </c>
      <c r="L5566">
        <v>0</v>
      </c>
      <c r="M5566">
        <v>0</v>
      </c>
      <c r="N5566">
        <v>0</v>
      </c>
    </row>
    <row r="5567" spans="1:15">
      <c r="A5567" t="s">
        <v>26893</v>
      </c>
      <c r="B5567" t="s">
        <v>11981</v>
      </c>
      <c r="C5567" t="s">
        <v>14250</v>
      </c>
      <c r="D5567" t="s">
        <v>26894</v>
      </c>
      <c r="E5567" t="b">
        <v>0</v>
      </c>
      <c r="F5567" t="s">
        <v>11624</v>
      </c>
      <c r="G5567">
        <v>29.567</v>
      </c>
      <c r="H5567">
        <v>29.654</v>
      </c>
      <c r="I5567" t="s">
        <v>26895</v>
      </c>
      <c r="L5567">
        <v>0</v>
      </c>
      <c r="M5567">
        <v>0</v>
      </c>
      <c r="N5567">
        <v>0</v>
      </c>
      <c r="O5567" t="s">
        <v>23389</v>
      </c>
    </row>
    <row r="5568" spans="1:15">
      <c r="A5568" t="s">
        <v>23386</v>
      </c>
      <c r="B5568" t="s">
        <v>11607</v>
      </c>
      <c r="C5568" t="s">
        <v>11607</v>
      </c>
      <c r="D5568" t="s">
        <v>26896</v>
      </c>
      <c r="E5568" t="b">
        <v>0</v>
      </c>
      <c r="F5568" t="s">
        <v>11622</v>
      </c>
      <c r="L5568">
        <v>0</v>
      </c>
      <c r="M5568">
        <v>2</v>
      </c>
      <c r="N5568">
        <v>9</v>
      </c>
    </row>
    <row r="5569" spans="1:15">
      <c r="A5569" t="s">
        <v>26897</v>
      </c>
      <c r="B5569" t="s">
        <v>11607</v>
      </c>
      <c r="C5569" t="s">
        <v>23386</v>
      </c>
      <c r="D5569" t="s">
        <v>26898</v>
      </c>
      <c r="E5569" t="b">
        <v>0</v>
      </c>
      <c r="F5569" t="s">
        <v>11624</v>
      </c>
      <c r="G5569">
        <v>28.381734999999999</v>
      </c>
      <c r="H5569">
        <v>30.834959000000001</v>
      </c>
      <c r="I5569" t="s">
        <v>26899</v>
      </c>
      <c r="L5569">
        <v>0</v>
      </c>
      <c r="M5569">
        <v>0</v>
      </c>
      <c r="N5569">
        <v>0</v>
      </c>
      <c r="O5569" t="s">
        <v>23389</v>
      </c>
    </row>
    <row r="5570" spans="1:15">
      <c r="A5570" t="s">
        <v>26447</v>
      </c>
      <c r="B5570" t="s">
        <v>11607</v>
      </c>
      <c r="C5570" t="s">
        <v>1523</v>
      </c>
      <c r="D5570" t="s">
        <v>26900</v>
      </c>
      <c r="E5570" t="b">
        <v>0</v>
      </c>
      <c r="F5570" t="s">
        <v>11622</v>
      </c>
      <c r="L5570">
        <v>2</v>
      </c>
      <c r="M5570">
        <v>7</v>
      </c>
      <c r="N5570">
        <v>16</v>
      </c>
    </row>
    <row r="5571" spans="1:15">
      <c r="A5571" t="s">
        <v>3698</v>
      </c>
      <c r="B5571" t="s">
        <v>11607</v>
      </c>
      <c r="C5571" t="s">
        <v>26901</v>
      </c>
      <c r="D5571" t="s">
        <v>26902</v>
      </c>
      <c r="E5571" t="b">
        <v>0</v>
      </c>
      <c r="F5571" t="s">
        <v>11624</v>
      </c>
      <c r="G5571">
        <v>31</v>
      </c>
      <c r="H5571">
        <v>31</v>
      </c>
      <c r="I5571" t="s">
        <v>3699</v>
      </c>
      <c r="L5571">
        <v>0</v>
      </c>
      <c r="M5571">
        <v>0</v>
      </c>
      <c r="N5571">
        <v>3</v>
      </c>
      <c r="O5571" t="s">
        <v>26903</v>
      </c>
    </row>
    <row r="5572" spans="1:15">
      <c r="A5572" t="s">
        <v>26901</v>
      </c>
      <c r="B5572" t="s">
        <v>11607</v>
      </c>
      <c r="C5572" t="s">
        <v>26447</v>
      </c>
      <c r="D5572" t="s">
        <v>26904</v>
      </c>
      <c r="E5572" t="b">
        <v>0</v>
      </c>
      <c r="F5572" t="s">
        <v>11622</v>
      </c>
      <c r="L5572">
        <v>1</v>
      </c>
      <c r="M5572">
        <v>6</v>
      </c>
      <c r="N5572">
        <v>12</v>
      </c>
    </row>
    <row r="5573" spans="1:15">
      <c r="A5573" t="s">
        <v>26905</v>
      </c>
      <c r="B5573" t="s">
        <v>6742</v>
      </c>
      <c r="C5573" t="s">
        <v>26906</v>
      </c>
      <c r="D5573" t="s">
        <v>26907</v>
      </c>
      <c r="E5573" t="b">
        <v>0</v>
      </c>
      <c r="F5573" t="s">
        <v>11610</v>
      </c>
      <c r="L5573">
        <v>0</v>
      </c>
      <c r="M5573">
        <v>0</v>
      </c>
      <c r="N5573">
        <v>0</v>
      </c>
    </row>
    <row r="5574" spans="1:15">
      <c r="A5574" t="s">
        <v>26908</v>
      </c>
      <c r="B5574" t="s">
        <v>6742</v>
      </c>
      <c r="C5574" t="s">
        <v>26909</v>
      </c>
      <c r="D5574" t="s">
        <v>26910</v>
      </c>
      <c r="E5574" t="b">
        <v>0</v>
      </c>
      <c r="F5574" t="s">
        <v>11624</v>
      </c>
      <c r="G5574">
        <v>7.4509980000000002</v>
      </c>
      <c r="H5574">
        <v>5.8588459999999998</v>
      </c>
      <c r="I5574" t="s">
        <v>26911</v>
      </c>
      <c r="L5574">
        <v>0</v>
      </c>
      <c r="M5574">
        <v>0</v>
      </c>
      <c r="N5574">
        <v>0</v>
      </c>
      <c r="O5574" t="s">
        <v>11693</v>
      </c>
    </row>
    <row r="5575" spans="1:15">
      <c r="A5575" t="s">
        <v>5602</v>
      </c>
      <c r="B5575" t="s">
        <v>11615</v>
      </c>
      <c r="C5575" t="s">
        <v>26271</v>
      </c>
      <c r="D5575" t="s">
        <v>26912</v>
      </c>
      <c r="E5575" t="b">
        <v>0</v>
      </c>
      <c r="F5575" t="s">
        <v>11624</v>
      </c>
      <c r="G5575">
        <v>-4.3369099999999996</v>
      </c>
      <c r="H5575">
        <v>140.04499999999999</v>
      </c>
      <c r="I5575" t="s">
        <v>5603</v>
      </c>
      <c r="L5575">
        <v>0</v>
      </c>
      <c r="M5575">
        <v>0</v>
      </c>
      <c r="N5575">
        <v>0</v>
      </c>
      <c r="O5575" t="s">
        <v>11768</v>
      </c>
    </row>
    <row r="5576" spans="1:15">
      <c r="A5576" t="s">
        <v>26913</v>
      </c>
      <c r="B5576" t="s">
        <v>11834</v>
      </c>
      <c r="C5576" t="s">
        <v>26914</v>
      </c>
      <c r="D5576" t="s">
        <v>26915</v>
      </c>
      <c r="E5576" t="b">
        <v>0</v>
      </c>
      <c r="F5576" t="s">
        <v>11624</v>
      </c>
      <c r="G5576">
        <v>-3.5156100000000001</v>
      </c>
      <c r="H5576">
        <v>142.55500000000001</v>
      </c>
      <c r="I5576" t="s">
        <v>26916</v>
      </c>
      <c r="L5576">
        <v>0</v>
      </c>
      <c r="M5576">
        <v>0</v>
      </c>
      <c r="N5576">
        <v>0</v>
      </c>
      <c r="O5576" t="s">
        <v>11660</v>
      </c>
    </row>
    <row r="5577" spans="1:15">
      <c r="A5577" t="s">
        <v>26917</v>
      </c>
      <c r="B5577" t="s">
        <v>11637</v>
      </c>
      <c r="C5577" t="s">
        <v>16273</v>
      </c>
      <c r="D5577" t="s">
        <v>26918</v>
      </c>
      <c r="E5577" t="b">
        <v>0</v>
      </c>
      <c r="F5577" t="s">
        <v>11610</v>
      </c>
      <c r="L5577">
        <v>0</v>
      </c>
      <c r="M5577">
        <v>0</v>
      </c>
      <c r="N5577">
        <v>0</v>
      </c>
    </row>
    <row r="5578" spans="1:15">
      <c r="A5578" t="s">
        <v>26104</v>
      </c>
      <c r="B5578" t="s">
        <v>6742</v>
      </c>
      <c r="C5578" t="s">
        <v>16156</v>
      </c>
      <c r="D5578" t="s">
        <v>26919</v>
      </c>
      <c r="E5578" t="b">
        <v>0</v>
      </c>
      <c r="F5578" t="s">
        <v>11624</v>
      </c>
      <c r="G5578">
        <v>5.5444199999999997</v>
      </c>
      <c r="H5578">
        <v>8.9095899999999997</v>
      </c>
      <c r="I5578" t="s">
        <v>26920</v>
      </c>
      <c r="L5578">
        <v>0</v>
      </c>
      <c r="M5578">
        <v>0</v>
      </c>
      <c r="N5578">
        <v>10</v>
      </c>
      <c r="O5578" t="s">
        <v>11802</v>
      </c>
    </row>
    <row r="5579" spans="1:15">
      <c r="A5579" t="s">
        <v>16156</v>
      </c>
      <c r="B5579" t="s">
        <v>6742</v>
      </c>
      <c r="C5579" t="s">
        <v>26921</v>
      </c>
      <c r="D5579" t="s">
        <v>26922</v>
      </c>
      <c r="E5579" t="b">
        <v>0</v>
      </c>
      <c r="F5579" t="s">
        <v>11622</v>
      </c>
      <c r="L5579">
        <v>3</v>
      </c>
      <c r="M5579">
        <v>7</v>
      </c>
      <c r="N5579">
        <v>15</v>
      </c>
    </row>
    <row r="5580" spans="1:15">
      <c r="A5580" t="s">
        <v>26923</v>
      </c>
      <c r="B5580" t="s">
        <v>6742</v>
      </c>
      <c r="C5580" t="s">
        <v>26924</v>
      </c>
      <c r="D5580" t="s">
        <v>26925</v>
      </c>
      <c r="E5580" t="b">
        <v>0</v>
      </c>
      <c r="F5580" t="s">
        <v>11624</v>
      </c>
      <c r="G5580">
        <v>12.3355</v>
      </c>
      <c r="H5580">
        <v>-16.515000000000001</v>
      </c>
      <c r="I5580" t="s">
        <v>26926</v>
      </c>
      <c r="L5580">
        <v>0</v>
      </c>
      <c r="M5580">
        <v>0</v>
      </c>
      <c r="N5580">
        <v>0</v>
      </c>
      <c r="O5580" t="s">
        <v>16009</v>
      </c>
    </row>
    <row r="5581" spans="1:15">
      <c r="A5581" t="s">
        <v>26927</v>
      </c>
      <c r="B5581" t="s">
        <v>6742</v>
      </c>
      <c r="C5581" t="s">
        <v>17732</v>
      </c>
      <c r="D5581" t="s">
        <v>26928</v>
      </c>
      <c r="E5581" t="b">
        <v>0</v>
      </c>
      <c r="F5581" t="s">
        <v>11610</v>
      </c>
      <c r="L5581">
        <v>0</v>
      </c>
      <c r="M5581">
        <v>0</v>
      </c>
      <c r="N5581">
        <v>0</v>
      </c>
    </row>
    <row r="5582" spans="1:15">
      <c r="A5582" t="s">
        <v>26929</v>
      </c>
      <c r="B5582" t="s">
        <v>6742</v>
      </c>
      <c r="C5582" t="s">
        <v>22382</v>
      </c>
      <c r="D5582" t="s">
        <v>26930</v>
      </c>
      <c r="E5582" t="b">
        <v>0</v>
      </c>
      <c r="F5582" t="s">
        <v>11610</v>
      </c>
      <c r="L5582">
        <v>0</v>
      </c>
      <c r="M5582">
        <v>0</v>
      </c>
      <c r="N5582">
        <v>0</v>
      </c>
    </row>
    <row r="5583" spans="1:15">
      <c r="A5583" t="s">
        <v>26931</v>
      </c>
      <c r="B5583" t="s">
        <v>12250</v>
      </c>
      <c r="C5583" t="s">
        <v>22113</v>
      </c>
      <c r="D5583" t="s">
        <v>26932</v>
      </c>
      <c r="E5583" t="b">
        <v>0</v>
      </c>
      <c r="F5583" t="s">
        <v>11610</v>
      </c>
      <c r="L5583">
        <v>0</v>
      </c>
      <c r="M5583">
        <v>0</v>
      </c>
      <c r="N5583">
        <v>0</v>
      </c>
    </row>
    <row r="5584" spans="1:15">
      <c r="A5584" t="s">
        <v>26933</v>
      </c>
      <c r="B5584" t="s">
        <v>11644</v>
      </c>
      <c r="C5584" t="s">
        <v>26934</v>
      </c>
      <c r="D5584" t="s">
        <v>26935</v>
      </c>
      <c r="E5584" t="b">
        <v>0</v>
      </c>
      <c r="F5584" t="s">
        <v>11624</v>
      </c>
      <c r="G5584">
        <v>23.475000000000001</v>
      </c>
      <c r="H5584">
        <v>99.864999999999995</v>
      </c>
      <c r="L5584">
        <v>0</v>
      </c>
      <c r="M5584">
        <v>0</v>
      </c>
      <c r="N5584">
        <v>0</v>
      </c>
      <c r="O5584" t="s">
        <v>11905</v>
      </c>
    </row>
    <row r="5585" spans="1:15">
      <c r="A5585" t="s">
        <v>26936</v>
      </c>
      <c r="B5585" t="s">
        <v>6742</v>
      </c>
      <c r="C5585" t="s">
        <v>11690</v>
      </c>
      <c r="D5585" t="s">
        <v>26937</v>
      </c>
      <c r="E5585" t="b">
        <v>0</v>
      </c>
      <c r="F5585" t="s">
        <v>11624</v>
      </c>
      <c r="G5585">
        <v>6.4573099999999997</v>
      </c>
      <c r="H5585">
        <v>8.5505800000000001</v>
      </c>
      <c r="I5585" t="s">
        <v>26938</v>
      </c>
      <c r="L5585">
        <v>0</v>
      </c>
      <c r="M5585">
        <v>0</v>
      </c>
      <c r="N5585">
        <v>0</v>
      </c>
      <c r="O5585" t="s">
        <v>11693</v>
      </c>
    </row>
    <row r="5586" spans="1:15">
      <c r="A5586" t="s">
        <v>26939</v>
      </c>
      <c r="B5586" t="s">
        <v>6742</v>
      </c>
      <c r="C5586" t="s">
        <v>12125</v>
      </c>
      <c r="D5586" t="s">
        <v>26940</v>
      </c>
      <c r="E5586" t="b">
        <v>0</v>
      </c>
      <c r="F5586" t="s">
        <v>11610</v>
      </c>
      <c r="L5586">
        <v>0</v>
      </c>
      <c r="M5586">
        <v>0</v>
      </c>
      <c r="N5586">
        <v>0</v>
      </c>
    </row>
    <row r="5587" spans="1:15">
      <c r="A5587" t="s">
        <v>26941</v>
      </c>
      <c r="B5587" t="s">
        <v>11615</v>
      </c>
      <c r="C5587" t="s">
        <v>15225</v>
      </c>
      <c r="D5587" t="s">
        <v>26942</v>
      </c>
      <c r="E5587" t="b">
        <v>0</v>
      </c>
      <c r="F5587" t="s">
        <v>11624</v>
      </c>
      <c r="G5587">
        <v>-3.8897400000000002</v>
      </c>
      <c r="H5587">
        <v>136.018</v>
      </c>
      <c r="I5587" t="s">
        <v>26943</v>
      </c>
      <c r="L5587">
        <v>0</v>
      </c>
      <c r="M5587">
        <v>0</v>
      </c>
      <c r="N5587">
        <v>4</v>
      </c>
      <c r="O5587" t="s">
        <v>11768</v>
      </c>
    </row>
    <row r="5588" spans="1:15">
      <c r="A5588" t="s">
        <v>26944</v>
      </c>
      <c r="B5588" t="s">
        <v>12250</v>
      </c>
      <c r="C5588" t="s">
        <v>2129</v>
      </c>
      <c r="D5588" t="s">
        <v>26945</v>
      </c>
      <c r="E5588" t="b">
        <v>0</v>
      </c>
      <c r="F5588" t="s">
        <v>11610</v>
      </c>
      <c r="L5588">
        <v>0</v>
      </c>
      <c r="M5588">
        <v>0</v>
      </c>
      <c r="N5588">
        <v>0</v>
      </c>
    </row>
    <row r="5589" spans="1:15">
      <c r="A5589" t="s">
        <v>26946</v>
      </c>
      <c r="B5589" t="s">
        <v>6742</v>
      </c>
      <c r="C5589" t="s">
        <v>26947</v>
      </c>
      <c r="D5589" t="s">
        <v>26948</v>
      </c>
      <c r="E5589" t="b">
        <v>0</v>
      </c>
      <c r="F5589" t="s">
        <v>11624</v>
      </c>
      <c r="G5589">
        <v>5.1502999999999997</v>
      </c>
      <c r="H5589">
        <v>8.1361299999999996</v>
      </c>
      <c r="I5589" t="s">
        <v>26949</v>
      </c>
      <c r="L5589">
        <v>0</v>
      </c>
      <c r="M5589">
        <v>0</v>
      </c>
      <c r="N5589">
        <v>0</v>
      </c>
      <c r="O5589" t="s">
        <v>11693</v>
      </c>
    </row>
    <row r="5590" spans="1:15">
      <c r="A5590" t="s">
        <v>26950</v>
      </c>
      <c r="B5590" t="s">
        <v>6742</v>
      </c>
      <c r="C5590" t="s">
        <v>17643</v>
      </c>
      <c r="D5590" t="s">
        <v>26951</v>
      </c>
      <c r="E5590" t="b">
        <v>0</v>
      </c>
      <c r="F5590" t="s">
        <v>11610</v>
      </c>
      <c r="L5590">
        <v>0</v>
      </c>
      <c r="M5590">
        <v>0</v>
      </c>
      <c r="N5590">
        <v>0</v>
      </c>
    </row>
    <row r="5591" spans="1:15">
      <c r="A5591" t="s">
        <v>26952</v>
      </c>
      <c r="B5591" t="s">
        <v>6742</v>
      </c>
      <c r="C5591" t="s">
        <v>26953</v>
      </c>
      <c r="D5591" t="s">
        <v>26954</v>
      </c>
      <c r="E5591" t="b">
        <v>0</v>
      </c>
      <c r="F5591" t="s">
        <v>11610</v>
      </c>
      <c r="L5591">
        <v>0</v>
      </c>
      <c r="M5591">
        <v>0</v>
      </c>
      <c r="N5591">
        <v>0</v>
      </c>
    </row>
    <row r="5592" spans="1:15">
      <c r="A5592" t="s">
        <v>26955</v>
      </c>
      <c r="B5592" t="s">
        <v>6742</v>
      </c>
      <c r="C5592" t="s">
        <v>3193</v>
      </c>
      <c r="D5592" t="s">
        <v>26956</v>
      </c>
      <c r="E5592" t="b">
        <v>0</v>
      </c>
      <c r="F5592" t="s">
        <v>11610</v>
      </c>
      <c r="L5592">
        <v>0</v>
      </c>
      <c r="M5592">
        <v>0</v>
      </c>
      <c r="N5592">
        <v>0</v>
      </c>
    </row>
    <row r="5593" spans="1:15">
      <c r="A5593" t="s">
        <v>26957</v>
      </c>
      <c r="B5593" t="s">
        <v>6742</v>
      </c>
      <c r="C5593" t="s">
        <v>21830</v>
      </c>
      <c r="D5593" t="s">
        <v>26958</v>
      </c>
      <c r="E5593" t="b">
        <v>0</v>
      </c>
      <c r="F5593" t="s">
        <v>11622</v>
      </c>
      <c r="L5593">
        <v>0</v>
      </c>
      <c r="M5593">
        <v>2</v>
      </c>
      <c r="N5593">
        <v>0</v>
      </c>
    </row>
    <row r="5594" spans="1:15">
      <c r="A5594" t="s">
        <v>26959</v>
      </c>
      <c r="B5594" t="s">
        <v>6742</v>
      </c>
      <c r="C5594" t="s">
        <v>26957</v>
      </c>
      <c r="D5594" t="s">
        <v>26960</v>
      </c>
      <c r="E5594" t="b">
        <v>0</v>
      </c>
      <c r="F5594" t="s">
        <v>11624</v>
      </c>
      <c r="G5594">
        <v>4.7645</v>
      </c>
      <c r="H5594">
        <v>7.89222</v>
      </c>
      <c r="I5594" t="s">
        <v>26961</v>
      </c>
      <c r="L5594">
        <v>0</v>
      </c>
      <c r="M5594">
        <v>0</v>
      </c>
      <c r="N5594">
        <v>0</v>
      </c>
      <c r="O5594" t="s">
        <v>11693</v>
      </c>
    </row>
    <row r="5595" spans="1:15">
      <c r="A5595" t="s">
        <v>26962</v>
      </c>
      <c r="B5595" t="s">
        <v>6742</v>
      </c>
      <c r="C5595" t="s">
        <v>1780</v>
      </c>
      <c r="D5595" t="s">
        <v>26963</v>
      </c>
      <c r="E5595" t="b">
        <v>0</v>
      </c>
      <c r="F5595" t="s">
        <v>11610</v>
      </c>
      <c r="L5595">
        <v>0</v>
      </c>
      <c r="M5595">
        <v>0</v>
      </c>
      <c r="N5595">
        <v>0</v>
      </c>
    </row>
    <row r="5596" spans="1:15">
      <c r="A5596" t="s">
        <v>26921</v>
      </c>
      <c r="B5596" t="s">
        <v>6742</v>
      </c>
      <c r="C5596" t="s">
        <v>26964</v>
      </c>
      <c r="D5596" t="s">
        <v>26965</v>
      </c>
      <c r="E5596" t="b">
        <v>0</v>
      </c>
      <c r="F5596" t="s">
        <v>11622</v>
      </c>
      <c r="L5596">
        <v>4</v>
      </c>
      <c r="M5596">
        <v>8</v>
      </c>
      <c r="N5596">
        <v>17</v>
      </c>
    </row>
    <row r="5597" spans="1:15">
      <c r="A5597" t="s">
        <v>26964</v>
      </c>
      <c r="B5597" t="s">
        <v>6742</v>
      </c>
      <c r="C5597" t="s">
        <v>11700</v>
      </c>
      <c r="D5597" t="s">
        <v>26966</v>
      </c>
      <c r="E5597" t="b">
        <v>0</v>
      </c>
      <c r="F5597" t="s">
        <v>11622</v>
      </c>
      <c r="L5597">
        <v>5</v>
      </c>
      <c r="M5597">
        <v>9</v>
      </c>
      <c r="N5597">
        <v>20</v>
      </c>
    </row>
    <row r="5598" spans="1:15">
      <c r="A5598" t="s">
        <v>26967</v>
      </c>
      <c r="B5598" t="s">
        <v>6742</v>
      </c>
      <c r="C5598" t="s">
        <v>18635</v>
      </c>
      <c r="D5598" t="s">
        <v>26968</v>
      </c>
      <c r="E5598" t="b">
        <v>0</v>
      </c>
      <c r="F5598" t="s">
        <v>11610</v>
      </c>
      <c r="L5598">
        <v>0</v>
      </c>
      <c r="M5598">
        <v>0</v>
      </c>
      <c r="N5598">
        <v>0</v>
      </c>
    </row>
    <row r="5599" spans="1:15">
      <c r="A5599" t="s">
        <v>5544</v>
      </c>
      <c r="B5599" t="s">
        <v>6742</v>
      </c>
      <c r="C5599" t="s">
        <v>5545</v>
      </c>
      <c r="D5599" t="s">
        <v>26969</v>
      </c>
      <c r="E5599" t="b">
        <v>0</v>
      </c>
      <c r="F5599" t="s">
        <v>11610</v>
      </c>
      <c r="L5599">
        <v>0</v>
      </c>
      <c r="M5599">
        <v>0</v>
      </c>
      <c r="N5599">
        <v>0</v>
      </c>
    </row>
    <row r="5600" spans="1:15">
      <c r="A5600" t="s">
        <v>26970</v>
      </c>
      <c r="B5600" t="s">
        <v>6742</v>
      </c>
      <c r="C5600" t="s">
        <v>12589</v>
      </c>
      <c r="D5600" t="s">
        <v>26971</v>
      </c>
      <c r="E5600" t="b">
        <v>0</v>
      </c>
      <c r="F5600" t="s">
        <v>11610</v>
      </c>
      <c r="L5600">
        <v>0</v>
      </c>
      <c r="M5600">
        <v>0</v>
      </c>
      <c r="N5600">
        <v>0</v>
      </c>
    </row>
    <row r="5601" spans="1:15">
      <c r="A5601" t="s">
        <v>26972</v>
      </c>
      <c r="B5601" t="s">
        <v>26973</v>
      </c>
      <c r="C5601" t="s">
        <v>26974</v>
      </c>
      <c r="D5601" t="s">
        <v>26975</v>
      </c>
      <c r="E5601" t="b">
        <v>0</v>
      </c>
      <c r="F5601" t="s">
        <v>11610</v>
      </c>
      <c r="L5601">
        <v>0</v>
      </c>
      <c r="M5601">
        <v>0</v>
      </c>
      <c r="N5601">
        <v>0</v>
      </c>
    </row>
    <row r="5602" spans="1:15">
      <c r="A5602" t="s">
        <v>26976</v>
      </c>
      <c r="B5602" t="s">
        <v>6742</v>
      </c>
      <c r="C5602" t="s">
        <v>26977</v>
      </c>
      <c r="D5602" t="s">
        <v>26978</v>
      </c>
      <c r="E5602" t="b">
        <v>0</v>
      </c>
      <c r="F5602" t="s">
        <v>11610</v>
      </c>
      <c r="L5602">
        <v>0</v>
      </c>
      <c r="M5602">
        <v>0</v>
      </c>
      <c r="N5602">
        <v>0</v>
      </c>
    </row>
    <row r="5603" spans="1:15">
      <c r="A5603" t="s">
        <v>26979</v>
      </c>
      <c r="B5603" t="s">
        <v>6742</v>
      </c>
      <c r="C5603" t="s">
        <v>16265</v>
      </c>
      <c r="D5603" t="s">
        <v>26980</v>
      </c>
      <c r="E5603" t="b">
        <v>0</v>
      </c>
      <c r="F5603" t="s">
        <v>11610</v>
      </c>
      <c r="L5603">
        <v>0</v>
      </c>
      <c r="M5603">
        <v>0</v>
      </c>
      <c r="N5603">
        <v>0</v>
      </c>
    </row>
    <row r="5604" spans="1:15">
      <c r="A5604" t="s">
        <v>26981</v>
      </c>
      <c r="B5604" t="s">
        <v>12697</v>
      </c>
      <c r="C5604" t="s">
        <v>14175</v>
      </c>
      <c r="D5604" t="s">
        <v>26982</v>
      </c>
      <c r="E5604" t="b">
        <v>0</v>
      </c>
      <c r="F5604" t="s">
        <v>11610</v>
      </c>
      <c r="L5604">
        <v>0</v>
      </c>
      <c r="M5604">
        <v>0</v>
      </c>
      <c r="N5604">
        <v>0</v>
      </c>
    </row>
    <row r="5605" spans="1:15">
      <c r="A5605" t="s">
        <v>26983</v>
      </c>
      <c r="B5605" t="s">
        <v>6742</v>
      </c>
      <c r="C5605" t="s">
        <v>15118</v>
      </c>
      <c r="D5605" t="s">
        <v>26984</v>
      </c>
      <c r="E5605" t="b">
        <v>0</v>
      </c>
      <c r="F5605" t="s">
        <v>11610</v>
      </c>
      <c r="L5605">
        <v>0</v>
      </c>
      <c r="M5605">
        <v>0</v>
      </c>
      <c r="N5605">
        <v>0</v>
      </c>
    </row>
    <row r="5606" spans="1:15">
      <c r="A5606" t="s">
        <v>26985</v>
      </c>
      <c r="B5606" t="s">
        <v>6742</v>
      </c>
      <c r="C5606" t="s">
        <v>12589</v>
      </c>
      <c r="D5606" t="s">
        <v>26986</v>
      </c>
      <c r="E5606" t="b">
        <v>0</v>
      </c>
      <c r="F5606" t="s">
        <v>11610</v>
      </c>
      <c r="L5606">
        <v>0</v>
      </c>
      <c r="M5606">
        <v>0</v>
      </c>
      <c r="N5606">
        <v>0</v>
      </c>
    </row>
    <row r="5607" spans="1:15">
      <c r="A5607" t="s">
        <v>12792</v>
      </c>
      <c r="B5607" t="s">
        <v>6742</v>
      </c>
      <c r="C5607" t="s">
        <v>26987</v>
      </c>
      <c r="D5607" t="s">
        <v>26988</v>
      </c>
      <c r="E5607" t="b">
        <v>0</v>
      </c>
      <c r="F5607" t="s">
        <v>11624</v>
      </c>
      <c r="G5607">
        <v>5.0671499999999998</v>
      </c>
      <c r="H5607">
        <v>6.53362</v>
      </c>
      <c r="I5607" t="s">
        <v>26989</v>
      </c>
      <c r="L5607">
        <v>0</v>
      </c>
      <c r="M5607">
        <v>0</v>
      </c>
      <c r="N5607">
        <v>4</v>
      </c>
      <c r="O5607" t="s">
        <v>11693</v>
      </c>
    </row>
    <row r="5608" spans="1:15">
      <c r="A5608" t="s">
        <v>26990</v>
      </c>
      <c r="B5608" t="s">
        <v>6742</v>
      </c>
      <c r="C5608" t="s">
        <v>26991</v>
      </c>
      <c r="D5608" t="s">
        <v>26992</v>
      </c>
      <c r="E5608" t="b">
        <v>0</v>
      </c>
      <c r="F5608" t="s">
        <v>11610</v>
      </c>
      <c r="L5608">
        <v>0</v>
      </c>
      <c r="M5608">
        <v>0</v>
      </c>
      <c r="N5608">
        <v>0</v>
      </c>
    </row>
    <row r="5609" spans="1:15">
      <c r="A5609" t="s">
        <v>26993</v>
      </c>
      <c r="B5609" t="s">
        <v>6742</v>
      </c>
      <c r="C5609" t="s">
        <v>12683</v>
      </c>
      <c r="D5609" t="s">
        <v>26994</v>
      </c>
      <c r="E5609" t="b">
        <v>0</v>
      </c>
      <c r="F5609" t="s">
        <v>11610</v>
      </c>
      <c r="L5609">
        <v>0</v>
      </c>
      <c r="M5609">
        <v>0</v>
      </c>
      <c r="N5609">
        <v>0</v>
      </c>
    </row>
    <row r="5610" spans="1:15">
      <c r="A5610" t="s">
        <v>26995</v>
      </c>
      <c r="B5610" t="s">
        <v>11879</v>
      </c>
      <c r="C5610" t="s">
        <v>26996</v>
      </c>
      <c r="D5610" t="s">
        <v>26997</v>
      </c>
      <c r="E5610" t="b">
        <v>0</v>
      </c>
      <c r="F5610" t="s">
        <v>11624</v>
      </c>
      <c r="G5610">
        <v>16.874199999999998</v>
      </c>
      <c r="H5610">
        <v>-96.998699999999999</v>
      </c>
      <c r="I5610" t="s">
        <v>26998</v>
      </c>
      <c r="L5610">
        <v>0</v>
      </c>
      <c r="M5610">
        <v>0</v>
      </c>
      <c r="N5610">
        <v>0</v>
      </c>
      <c r="O5610" t="s">
        <v>11883</v>
      </c>
    </row>
    <row r="5611" spans="1:15">
      <c r="A5611" t="s">
        <v>26999</v>
      </c>
      <c r="D5611" t="s">
        <v>27000</v>
      </c>
      <c r="E5611" t="b">
        <v>0</v>
      </c>
      <c r="F5611" t="s">
        <v>11624</v>
      </c>
      <c r="G5611">
        <v>31.183299999999999</v>
      </c>
      <c r="H5611">
        <v>48.2333</v>
      </c>
      <c r="I5611" t="s">
        <v>27001</v>
      </c>
      <c r="L5611">
        <v>0</v>
      </c>
      <c r="M5611">
        <v>0</v>
      </c>
      <c r="N5611">
        <v>0</v>
      </c>
      <c r="O5611" t="s">
        <v>13225</v>
      </c>
    </row>
    <row r="5612" spans="1:15">
      <c r="A5612" t="s">
        <v>27002</v>
      </c>
      <c r="B5612" t="s">
        <v>367</v>
      </c>
      <c r="C5612" t="s">
        <v>16579</v>
      </c>
      <c r="D5612" t="s">
        <v>27003</v>
      </c>
      <c r="E5612" t="b">
        <v>0</v>
      </c>
      <c r="F5612" t="s">
        <v>11610</v>
      </c>
      <c r="L5612">
        <v>0</v>
      </c>
      <c r="M5612">
        <v>0</v>
      </c>
      <c r="N5612">
        <v>0</v>
      </c>
    </row>
    <row r="5613" spans="1:15">
      <c r="A5613" t="s">
        <v>27004</v>
      </c>
      <c r="B5613" t="s">
        <v>300</v>
      </c>
      <c r="C5613" t="s">
        <v>8583</v>
      </c>
      <c r="D5613" t="s">
        <v>27005</v>
      </c>
      <c r="E5613" t="b">
        <v>0</v>
      </c>
      <c r="F5613" t="s">
        <v>11610</v>
      </c>
      <c r="L5613">
        <v>0</v>
      </c>
      <c r="M5613">
        <v>0</v>
      </c>
      <c r="N5613">
        <v>0</v>
      </c>
    </row>
    <row r="5614" spans="1:15">
      <c r="A5614" t="s">
        <v>27006</v>
      </c>
      <c r="B5614" t="s">
        <v>11637</v>
      </c>
      <c r="C5614" t="s">
        <v>25839</v>
      </c>
      <c r="D5614" t="s">
        <v>27007</v>
      </c>
      <c r="E5614" t="b">
        <v>0</v>
      </c>
      <c r="F5614" t="s">
        <v>11610</v>
      </c>
      <c r="L5614">
        <v>0</v>
      </c>
      <c r="M5614">
        <v>0</v>
      </c>
      <c r="N5614">
        <v>0</v>
      </c>
    </row>
    <row r="5615" spans="1:15">
      <c r="A5615" t="s">
        <v>27008</v>
      </c>
      <c r="B5615" t="s">
        <v>6742</v>
      </c>
      <c r="C5615" t="s">
        <v>12818</v>
      </c>
      <c r="D5615" t="s">
        <v>27009</v>
      </c>
      <c r="E5615" t="b">
        <v>0</v>
      </c>
      <c r="F5615" t="s">
        <v>11610</v>
      </c>
      <c r="L5615">
        <v>0</v>
      </c>
      <c r="M5615">
        <v>0</v>
      </c>
      <c r="N5615">
        <v>0</v>
      </c>
    </row>
    <row r="5616" spans="1:15">
      <c r="A5616" t="s">
        <v>27010</v>
      </c>
      <c r="B5616" t="s">
        <v>6742</v>
      </c>
      <c r="C5616" t="s">
        <v>15576</v>
      </c>
      <c r="D5616" t="s">
        <v>27011</v>
      </c>
      <c r="E5616" t="b">
        <v>0</v>
      </c>
      <c r="F5616" t="s">
        <v>11624</v>
      </c>
      <c r="G5616">
        <v>4.7296399999999998</v>
      </c>
      <c r="H5616">
        <v>7.2670000000000003</v>
      </c>
      <c r="I5616" t="s">
        <v>27012</v>
      </c>
      <c r="L5616">
        <v>0</v>
      </c>
      <c r="M5616">
        <v>0</v>
      </c>
      <c r="N5616">
        <v>0</v>
      </c>
      <c r="O5616" t="s">
        <v>11693</v>
      </c>
    </row>
    <row r="5617" spans="1:15">
      <c r="A5617" t="s">
        <v>27013</v>
      </c>
      <c r="B5617" t="s">
        <v>6742</v>
      </c>
      <c r="C5617" t="s">
        <v>27014</v>
      </c>
      <c r="D5617" t="s">
        <v>27015</v>
      </c>
      <c r="E5617" t="b">
        <v>0</v>
      </c>
      <c r="F5617" t="s">
        <v>11610</v>
      </c>
      <c r="L5617">
        <v>0</v>
      </c>
      <c r="M5617">
        <v>0</v>
      </c>
      <c r="N5617">
        <v>0</v>
      </c>
    </row>
    <row r="5618" spans="1:15">
      <c r="A5618" t="s">
        <v>27016</v>
      </c>
      <c r="B5618" t="s">
        <v>11834</v>
      </c>
      <c r="C5618" t="s">
        <v>27017</v>
      </c>
      <c r="D5618" t="s">
        <v>27018</v>
      </c>
      <c r="E5618" t="b">
        <v>0</v>
      </c>
      <c r="F5618" t="s">
        <v>11624</v>
      </c>
      <c r="G5618">
        <v>-3.7505000000000002</v>
      </c>
      <c r="H5618">
        <v>143.93</v>
      </c>
      <c r="I5618" t="s">
        <v>27019</v>
      </c>
      <c r="L5618">
        <v>0</v>
      </c>
      <c r="M5618">
        <v>0</v>
      </c>
      <c r="N5618">
        <v>0</v>
      </c>
      <c r="O5618" t="s">
        <v>11660</v>
      </c>
    </row>
    <row r="5619" spans="1:15">
      <c r="A5619" t="s">
        <v>27017</v>
      </c>
      <c r="B5619" t="s">
        <v>11834</v>
      </c>
      <c r="C5619" t="s">
        <v>20336</v>
      </c>
      <c r="D5619" t="s">
        <v>27020</v>
      </c>
      <c r="E5619" t="b">
        <v>0</v>
      </c>
      <c r="F5619" t="s">
        <v>11622</v>
      </c>
      <c r="L5619">
        <v>0</v>
      </c>
      <c r="M5619">
        <v>3</v>
      </c>
      <c r="N5619">
        <v>3</v>
      </c>
    </row>
    <row r="5620" spans="1:15">
      <c r="A5620" t="s">
        <v>14730</v>
      </c>
      <c r="B5620" t="s">
        <v>11637</v>
      </c>
      <c r="C5620" t="s">
        <v>27021</v>
      </c>
      <c r="D5620" t="s">
        <v>27022</v>
      </c>
      <c r="E5620" t="b">
        <v>0</v>
      </c>
      <c r="F5620" t="s">
        <v>11610</v>
      </c>
      <c r="I5620" t="s">
        <v>27023</v>
      </c>
      <c r="L5620">
        <v>0</v>
      </c>
      <c r="M5620">
        <v>0</v>
      </c>
      <c r="N5620">
        <v>3</v>
      </c>
      <c r="O5620" t="s">
        <v>14434</v>
      </c>
    </row>
    <row r="5621" spans="1:15">
      <c r="A5621" t="s">
        <v>27024</v>
      </c>
      <c r="B5621" t="s">
        <v>11757</v>
      </c>
      <c r="C5621" t="s">
        <v>1002</v>
      </c>
      <c r="D5621" t="s">
        <v>27025</v>
      </c>
      <c r="E5621" t="b">
        <v>0</v>
      </c>
      <c r="F5621" t="s">
        <v>11622</v>
      </c>
      <c r="L5621">
        <v>0</v>
      </c>
      <c r="M5621">
        <v>2</v>
      </c>
      <c r="N5621">
        <v>6</v>
      </c>
    </row>
    <row r="5622" spans="1:15">
      <c r="A5622" t="s">
        <v>27026</v>
      </c>
      <c r="B5622" t="s">
        <v>3164</v>
      </c>
      <c r="C5622" t="s">
        <v>24816</v>
      </c>
      <c r="D5622" t="s">
        <v>27027</v>
      </c>
      <c r="E5622" t="b">
        <v>0</v>
      </c>
      <c r="F5622" t="s">
        <v>11624</v>
      </c>
      <c r="G5622">
        <v>11.948</v>
      </c>
      <c r="H5622">
        <v>28.5901</v>
      </c>
      <c r="I5622" t="s">
        <v>27028</v>
      </c>
      <c r="L5622">
        <v>0</v>
      </c>
      <c r="M5622">
        <v>0</v>
      </c>
      <c r="N5622">
        <v>0</v>
      </c>
      <c r="O5622" t="s">
        <v>11910</v>
      </c>
    </row>
    <row r="5623" spans="1:15">
      <c r="A5623" t="s">
        <v>27029</v>
      </c>
      <c r="B5623" t="s">
        <v>367</v>
      </c>
      <c r="C5623" t="s">
        <v>16579</v>
      </c>
      <c r="D5623" t="s">
        <v>27030</v>
      </c>
      <c r="E5623" t="b">
        <v>0</v>
      </c>
      <c r="F5623" t="s">
        <v>11610</v>
      </c>
      <c r="L5623">
        <v>0</v>
      </c>
      <c r="M5623">
        <v>0</v>
      </c>
      <c r="N5623">
        <v>0</v>
      </c>
    </row>
    <row r="5624" spans="1:15">
      <c r="A5624" t="s">
        <v>27031</v>
      </c>
      <c r="B5624" t="s">
        <v>11615</v>
      </c>
      <c r="C5624" t="s">
        <v>22897</v>
      </c>
      <c r="D5624" t="s">
        <v>27032</v>
      </c>
      <c r="E5624" t="b">
        <v>0</v>
      </c>
      <c r="F5624" t="s">
        <v>11610</v>
      </c>
      <c r="L5624">
        <v>0</v>
      </c>
      <c r="M5624">
        <v>0</v>
      </c>
      <c r="N5624">
        <v>0</v>
      </c>
    </row>
    <row r="5625" spans="1:15">
      <c r="A5625" t="s">
        <v>27033</v>
      </c>
      <c r="B5625" t="s">
        <v>6742</v>
      </c>
      <c r="C5625" t="s">
        <v>27034</v>
      </c>
      <c r="D5625" t="s">
        <v>27035</v>
      </c>
      <c r="E5625" t="b">
        <v>0</v>
      </c>
      <c r="F5625" t="s">
        <v>11610</v>
      </c>
      <c r="L5625">
        <v>0</v>
      </c>
      <c r="M5625">
        <v>0</v>
      </c>
      <c r="N5625">
        <v>0</v>
      </c>
    </row>
    <row r="5626" spans="1:15">
      <c r="A5626" t="s">
        <v>27036</v>
      </c>
      <c r="B5626" t="s">
        <v>6742</v>
      </c>
      <c r="C5626" t="s">
        <v>27037</v>
      </c>
      <c r="D5626" t="s">
        <v>27038</v>
      </c>
      <c r="E5626" t="b">
        <v>0</v>
      </c>
      <c r="F5626" t="s">
        <v>11624</v>
      </c>
      <c r="G5626">
        <v>4.4569400000000003</v>
      </c>
      <c r="H5626">
        <v>11.193</v>
      </c>
      <c r="I5626" t="s">
        <v>27039</v>
      </c>
      <c r="L5626">
        <v>0</v>
      </c>
      <c r="M5626">
        <v>0</v>
      </c>
      <c r="N5626">
        <v>0</v>
      </c>
      <c r="O5626" t="s">
        <v>11703</v>
      </c>
    </row>
    <row r="5627" spans="1:15">
      <c r="A5627" t="s">
        <v>27037</v>
      </c>
      <c r="B5627" t="s">
        <v>6742</v>
      </c>
      <c r="C5627" t="s">
        <v>17428</v>
      </c>
      <c r="D5627" t="s">
        <v>27040</v>
      </c>
      <c r="E5627" t="b">
        <v>0</v>
      </c>
      <c r="F5627" t="s">
        <v>11622</v>
      </c>
      <c r="L5627">
        <v>0</v>
      </c>
      <c r="M5627">
        <v>2</v>
      </c>
      <c r="N5627">
        <v>0</v>
      </c>
    </row>
    <row r="5628" spans="1:15">
      <c r="A5628" t="s">
        <v>27041</v>
      </c>
      <c r="B5628" t="s">
        <v>11834</v>
      </c>
      <c r="C5628" t="s">
        <v>27042</v>
      </c>
      <c r="D5628" t="s">
        <v>27043</v>
      </c>
      <c r="E5628" t="b">
        <v>0</v>
      </c>
      <c r="F5628" t="s">
        <v>11624</v>
      </c>
      <c r="G5628">
        <v>-3.4554399999999998</v>
      </c>
      <c r="H5628">
        <v>142.09299999999999</v>
      </c>
      <c r="I5628" t="s">
        <v>27044</v>
      </c>
      <c r="L5628">
        <v>0</v>
      </c>
      <c r="M5628">
        <v>0</v>
      </c>
      <c r="N5628">
        <v>0</v>
      </c>
      <c r="O5628" t="s">
        <v>11660</v>
      </c>
    </row>
    <row r="5629" spans="1:15">
      <c r="A5629" t="s">
        <v>27045</v>
      </c>
      <c r="B5629" t="s">
        <v>367</v>
      </c>
      <c r="C5629" t="s">
        <v>14052</v>
      </c>
      <c r="D5629" t="s">
        <v>27046</v>
      </c>
      <c r="E5629" t="b">
        <v>0</v>
      </c>
      <c r="F5629" t="s">
        <v>11622</v>
      </c>
      <c r="L5629">
        <v>1</v>
      </c>
      <c r="M5629">
        <v>3</v>
      </c>
      <c r="N5629">
        <v>2</v>
      </c>
    </row>
    <row r="5630" spans="1:15">
      <c r="A5630" t="s">
        <v>27047</v>
      </c>
      <c r="B5630" t="s">
        <v>11607</v>
      </c>
      <c r="C5630" t="s">
        <v>14422</v>
      </c>
      <c r="D5630" t="s">
        <v>27048</v>
      </c>
      <c r="E5630" t="b">
        <v>0</v>
      </c>
      <c r="F5630" t="s">
        <v>11624</v>
      </c>
      <c r="G5630">
        <v>2.79312</v>
      </c>
      <c r="H5630">
        <v>36.761899999999997</v>
      </c>
      <c r="I5630" t="s">
        <v>27049</v>
      </c>
      <c r="L5630">
        <v>0</v>
      </c>
      <c r="M5630">
        <v>0</v>
      </c>
      <c r="N5630">
        <v>0</v>
      </c>
      <c r="O5630" t="s">
        <v>22848</v>
      </c>
    </row>
    <row r="5631" spans="1:15">
      <c r="A5631" t="s">
        <v>27050</v>
      </c>
      <c r="B5631" t="s">
        <v>12751</v>
      </c>
      <c r="C5631" t="s">
        <v>6056</v>
      </c>
      <c r="D5631" t="s">
        <v>27051</v>
      </c>
      <c r="E5631" t="b">
        <v>0</v>
      </c>
      <c r="F5631" t="s">
        <v>11624</v>
      </c>
      <c r="G5631">
        <v>22.4099</v>
      </c>
      <c r="H5631">
        <v>-104.467</v>
      </c>
      <c r="I5631" t="s">
        <v>27052</v>
      </c>
      <c r="L5631">
        <v>0</v>
      </c>
      <c r="M5631">
        <v>0</v>
      </c>
      <c r="N5631">
        <v>4</v>
      </c>
      <c r="O5631" t="s">
        <v>12238</v>
      </c>
    </row>
    <row r="5632" spans="1:15">
      <c r="A5632" t="s">
        <v>27053</v>
      </c>
      <c r="B5632" t="s">
        <v>11879</v>
      </c>
      <c r="C5632" t="s">
        <v>27054</v>
      </c>
      <c r="D5632" t="s">
        <v>27055</v>
      </c>
      <c r="E5632" t="b">
        <v>0</v>
      </c>
      <c r="F5632" t="s">
        <v>11624</v>
      </c>
      <c r="G5632">
        <v>16.869299999999999</v>
      </c>
      <c r="H5632">
        <v>-97.191199999999995</v>
      </c>
      <c r="I5632" t="s">
        <v>27056</v>
      </c>
      <c r="L5632">
        <v>0</v>
      </c>
      <c r="M5632">
        <v>0</v>
      </c>
      <c r="N5632">
        <v>0</v>
      </c>
      <c r="O5632" t="s">
        <v>11883</v>
      </c>
    </row>
    <row r="5633" spans="1:15">
      <c r="A5633" t="s">
        <v>27057</v>
      </c>
      <c r="B5633" t="s">
        <v>6742</v>
      </c>
      <c r="C5633" t="s">
        <v>18028</v>
      </c>
      <c r="D5633" t="s">
        <v>27058</v>
      </c>
      <c r="E5633" t="b">
        <v>0</v>
      </c>
      <c r="F5633" t="s">
        <v>11610</v>
      </c>
      <c r="L5633">
        <v>0</v>
      </c>
      <c r="M5633">
        <v>0</v>
      </c>
      <c r="N5633">
        <v>0</v>
      </c>
    </row>
    <row r="5634" spans="1:15">
      <c r="A5634" t="s">
        <v>27059</v>
      </c>
      <c r="B5634" t="s">
        <v>6742</v>
      </c>
      <c r="C5634" t="s">
        <v>12468</v>
      </c>
      <c r="D5634" t="s">
        <v>27060</v>
      </c>
      <c r="E5634" t="b">
        <v>0</v>
      </c>
      <c r="F5634" t="s">
        <v>11624</v>
      </c>
      <c r="G5634">
        <v>8.2469599999999996</v>
      </c>
      <c r="H5634">
        <v>7.9706099999999998</v>
      </c>
      <c r="I5634" t="s">
        <v>27061</v>
      </c>
      <c r="L5634">
        <v>0</v>
      </c>
      <c r="M5634">
        <v>0</v>
      </c>
      <c r="N5634">
        <v>3</v>
      </c>
      <c r="O5634" t="s">
        <v>11693</v>
      </c>
    </row>
    <row r="5635" spans="1:15">
      <c r="A5635" t="s">
        <v>13240</v>
      </c>
      <c r="B5635" t="s">
        <v>367</v>
      </c>
      <c r="C5635" t="s">
        <v>27062</v>
      </c>
      <c r="D5635" t="s">
        <v>27063</v>
      </c>
      <c r="E5635" t="b">
        <v>0</v>
      </c>
      <c r="F5635" t="s">
        <v>11622</v>
      </c>
      <c r="L5635">
        <v>0</v>
      </c>
      <c r="M5635">
        <v>2</v>
      </c>
      <c r="N5635">
        <v>3</v>
      </c>
    </row>
    <row r="5636" spans="1:15">
      <c r="A5636" t="s">
        <v>27064</v>
      </c>
      <c r="B5636" t="s">
        <v>11627</v>
      </c>
      <c r="C5636" t="s">
        <v>11627</v>
      </c>
      <c r="D5636" t="s">
        <v>27065</v>
      </c>
      <c r="E5636" t="b">
        <v>1</v>
      </c>
      <c r="F5636" t="s">
        <v>11624</v>
      </c>
      <c r="G5636">
        <v>-3.0779999999999998</v>
      </c>
      <c r="H5636">
        <v>128.26300000000001</v>
      </c>
      <c r="I5636" t="s">
        <v>27066</v>
      </c>
      <c r="L5636">
        <v>0</v>
      </c>
      <c r="M5636">
        <v>0</v>
      </c>
      <c r="N5636">
        <v>0</v>
      </c>
      <c r="O5636" t="s">
        <v>11768</v>
      </c>
    </row>
    <row r="5637" spans="1:15">
      <c r="A5637" t="s">
        <v>27067</v>
      </c>
      <c r="D5637" t="s">
        <v>27068</v>
      </c>
      <c r="E5637" t="b">
        <v>0</v>
      </c>
      <c r="F5637" t="s">
        <v>11624</v>
      </c>
      <c r="G5637">
        <v>-3.00176</v>
      </c>
      <c r="H5637">
        <v>140.41800000000001</v>
      </c>
      <c r="I5637" t="s">
        <v>27069</v>
      </c>
      <c r="L5637">
        <v>0</v>
      </c>
      <c r="M5637">
        <v>0</v>
      </c>
      <c r="N5637">
        <v>0</v>
      </c>
      <c r="O5637" t="s">
        <v>11768</v>
      </c>
    </row>
    <row r="5638" spans="1:15">
      <c r="A5638" t="s">
        <v>27070</v>
      </c>
      <c r="B5638" t="s">
        <v>11607</v>
      </c>
      <c r="C5638" t="s">
        <v>15512</v>
      </c>
      <c r="D5638" t="s">
        <v>27071</v>
      </c>
      <c r="E5638" t="b">
        <v>0</v>
      </c>
      <c r="F5638" t="s">
        <v>11610</v>
      </c>
      <c r="L5638">
        <v>0</v>
      </c>
      <c r="M5638">
        <v>0</v>
      </c>
      <c r="N5638">
        <v>0</v>
      </c>
    </row>
    <row r="5639" spans="1:15">
      <c r="A5639" t="s">
        <v>27072</v>
      </c>
      <c r="B5639" t="s">
        <v>6742</v>
      </c>
      <c r="C5639" t="s">
        <v>12194</v>
      </c>
      <c r="D5639" t="s">
        <v>27073</v>
      </c>
      <c r="E5639" t="b">
        <v>0</v>
      </c>
      <c r="F5639" t="s">
        <v>11610</v>
      </c>
      <c r="L5639">
        <v>0</v>
      </c>
      <c r="M5639">
        <v>0</v>
      </c>
      <c r="N5639">
        <v>0</v>
      </c>
    </row>
    <row r="5640" spans="1:15">
      <c r="A5640" t="s">
        <v>27074</v>
      </c>
      <c r="B5640" t="s">
        <v>6742</v>
      </c>
      <c r="C5640" t="s">
        <v>12787</v>
      </c>
      <c r="D5640" t="s">
        <v>27075</v>
      </c>
      <c r="E5640" t="b">
        <v>0</v>
      </c>
      <c r="F5640" t="s">
        <v>11610</v>
      </c>
      <c r="L5640">
        <v>0</v>
      </c>
      <c r="M5640">
        <v>0</v>
      </c>
      <c r="N5640">
        <v>0</v>
      </c>
    </row>
    <row r="5641" spans="1:15">
      <c r="A5641" t="s">
        <v>27076</v>
      </c>
      <c r="B5641" t="s">
        <v>6742</v>
      </c>
      <c r="C5641" t="s">
        <v>15272</v>
      </c>
      <c r="D5641" t="s">
        <v>27077</v>
      </c>
      <c r="E5641" t="b">
        <v>0</v>
      </c>
      <c r="F5641" t="s">
        <v>11610</v>
      </c>
      <c r="L5641">
        <v>0</v>
      </c>
      <c r="M5641">
        <v>0</v>
      </c>
      <c r="N5641">
        <v>0</v>
      </c>
    </row>
    <row r="5642" spans="1:15">
      <c r="A5642" t="s">
        <v>27078</v>
      </c>
      <c r="B5642" t="s">
        <v>367</v>
      </c>
      <c r="C5642" t="s">
        <v>27079</v>
      </c>
      <c r="D5642" t="s">
        <v>27080</v>
      </c>
      <c r="E5642" t="b">
        <v>0</v>
      </c>
      <c r="F5642" t="s">
        <v>11624</v>
      </c>
      <c r="G5642">
        <v>-1.99841</v>
      </c>
      <c r="H5642">
        <v>147.101</v>
      </c>
      <c r="I5642" t="s">
        <v>27081</v>
      </c>
      <c r="L5642">
        <v>0</v>
      </c>
      <c r="M5642">
        <v>0</v>
      </c>
      <c r="N5642">
        <v>0</v>
      </c>
      <c r="O5642" t="s">
        <v>11660</v>
      </c>
    </row>
    <row r="5643" spans="1:15">
      <c r="A5643" t="s">
        <v>27082</v>
      </c>
      <c r="B5643" t="s">
        <v>13360</v>
      </c>
      <c r="C5643" t="s">
        <v>13360</v>
      </c>
      <c r="D5643" t="s">
        <v>27083</v>
      </c>
      <c r="E5643" t="b">
        <v>0</v>
      </c>
      <c r="F5643" t="s">
        <v>11624</v>
      </c>
      <c r="I5643" t="s">
        <v>27084</v>
      </c>
      <c r="L5643">
        <v>0</v>
      </c>
      <c r="M5643">
        <v>0</v>
      </c>
      <c r="N5643">
        <v>0</v>
      </c>
      <c r="O5643" t="s">
        <v>13676</v>
      </c>
    </row>
    <row r="5644" spans="1:15">
      <c r="A5644" t="s">
        <v>27085</v>
      </c>
      <c r="B5644" t="s">
        <v>5126</v>
      </c>
      <c r="C5644" t="s">
        <v>27086</v>
      </c>
      <c r="D5644" t="s">
        <v>27087</v>
      </c>
      <c r="E5644" t="b">
        <v>0</v>
      </c>
      <c r="F5644" t="s">
        <v>11624</v>
      </c>
      <c r="G5644">
        <v>23.604572000000001</v>
      </c>
      <c r="H5644">
        <v>106.030277</v>
      </c>
      <c r="I5644" t="s">
        <v>27088</v>
      </c>
      <c r="L5644">
        <v>0</v>
      </c>
      <c r="M5644">
        <v>0</v>
      </c>
      <c r="N5644">
        <v>0</v>
      </c>
      <c r="O5644" t="s">
        <v>11905</v>
      </c>
    </row>
    <row r="5645" spans="1:15">
      <c r="A5645" t="s">
        <v>27089</v>
      </c>
      <c r="B5645" t="s">
        <v>367</v>
      </c>
      <c r="C5645" t="s">
        <v>27090</v>
      </c>
      <c r="D5645" t="s">
        <v>27091</v>
      </c>
      <c r="E5645" t="b">
        <v>0</v>
      </c>
      <c r="F5645" t="s">
        <v>11624</v>
      </c>
      <c r="G5645">
        <v>-17.052</v>
      </c>
      <c r="H5645">
        <v>168.399</v>
      </c>
      <c r="I5645" t="s">
        <v>27092</v>
      </c>
      <c r="L5645">
        <v>0</v>
      </c>
      <c r="M5645">
        <v>0</v>
      </c>
      <c r="N5645">
        <v>0</v>
      </c>
      <c r="O5645" t="s">
        <v>12719</v>
      </c>
    </row>
    <row r="5646" spans="1:15">
      <c r="A5646" t="s">
        <v>27093</v>
      </c>
      <c r="B5646" t="s">
        <v>6742</v>
      </c>
      <c r="C5646" t="s">
        <v>18703</v>
      </c>
      <c r="D5646" t="s">
        <v>27094</v>
      </c>
      <c r="E5646" t="b">
        <v>0</v>
      </c>
      <c r="F5646" t="s">
        <v>11624</v>
      </c>
      <c r="G5646">
        <v>7.0908899999999999</v>
      </c>
      <c r="H5646">
        <v>5.8449400000000002</v>
      </c>
      <c r="I5646" t="s">
        <v>27095</v>
      </c>
      <c r="L5646">
        <v>0</v>
      </c>
      <c r="M5646">
        <v>0</v>
      </c>
      <c r="N5646">
        <v>4</v>
      </c>
      <c r="O5646" t="s">
        <v>11693</v>
      </c>
    </row>
    <row r="5647" spans="1:15">
      <c r="A5647" t="s">
        <v>27096</v>
      </c>
      <c r="B5647" t="s">
        <v>6742</v>
      </c>
      <c r="C5647" t="s">
        <v>27093</v>
      </c>
      <c r="D5647" t="s">
        <v>27097</v>
      </c>
      <c r="E5647" t="b">
        <v>0</v>
      </c>
      <c r="F5647" t="s">
        <v>11610</v>
      </c>
      <c r="L5647">
        <v>0</v>
      </c>
      <c r="M5647">
        <v>0</v>
      </c>
      <c r="N5647">
        <v>0</v>
      </c>
    </row>
    <row r="5648" spans="1:15">
      <c r="A5648" t="s">
        <v>13273</v>
      </c>
      <c r="B5648" t="s">
        <v>6742</v>
      </c>
      <c r="C5648" t="s">
        <v>20906</v>
      </c>
      <c r="D5648" t="s">
        <v>27098</v>
      </c>
      <c r="E5648" t="b">
        <v>0</v>
      </c>
      <c r="F5648" t="s">
        <v>11624</v>
      </c>
      <c r="G5648">
        <v>6.2292300000000003</v>
      </c>
      <c r="H5648">
        <v>9.7056199999999997</v>
      </c>
      <c r="I5648" t="s">
        <v>27099</v>
      </c>
      <c r="L5648">
        <v>0</v>
      </c>
      <c r="M5648">
        <v>0</v>
      </c>
      <c r="N5648">
        <v>2</v>
      </c>
      <c r="O5648" t="s">
        <v>11703</v>
      </c>
    </row>
    <row r="5649" spans="1:15">
      <c r="A5649" t="s">
        <v>27100</v>
      </c>
      <c r="B5649" t="s">
        <v>367</v>
      </c>
      <c r="C5649" t="s">
        <v>20392</v>
      </c>
      <c r="D5649" t="s">
        <v>27101</v>
      </c>
      <c r="E5649" t="b">
        <v>0</v>
      </c>
      <c r="F5649" t="s">
        <v>11610</v>
      </c>
      <c r="L5649">
        <v>0</v>
      </c>
      <c r="M5649">
        <v>0</v>
      </c>
      <c r="N5649">
        <v>0</v>
      </c>
    </row>
    <row r="5650" spans="1:15">
      <c r="A5650" t="s">
        <v>27102</v>
      </c>
      <c r="B5650" t="s">
        <v>367</v>
      </c>
      <c r="C5650" t="s">
        <v>27103</v>
      </c>
      <c r="D5650" t="s">
        <v>27104</v>
      </c>
      <c r="E5650" t="b">
        <v>0</v>
      </c>
      <c r="F5650" t="s">
        <v>11624</v>
      </c>
      <c r="G5650">
        <v>1.3156000000000001</v>
      </c>
      <c r="H5650">
        <v>112.63</v>
      </c>
      <c r="I5650" t="s">
        <v>27105</v>
      </c>
      <c r="L5650">
        <v>0</v>
      </c>
      <c r="M5650">
        <v>0</v>
      </c>
      <c r="N5650">
        <v>1</v>
      </c>
      <c r="O5650" t="s">
        <v>11768</v>
      </c>
    </row>
    <row r="5651" spans="1:15">
      <c r="A5651" t="s">
        <v>238</v>
      </c>
      <c r="B5651" t="s">
        <v>9578</v>
      </c>
      <c r="C5651" t="s">
        <v>9578</v>
      </c>
      <c r="D5651" t="s">
        <v>27106</v>
      </c>
      <c r="E5651" t="b">
        <v>0</v>
      </c>
      <c r="F5651" t="s">
        <v>11622</v>
      </c>
      <c r="L5651">
        <v>4</v>
      </c>
      <c r="M5651">
        <v>6</v>
      </c>
      <c r="N5651">
        <v>1</v>
      </c>
    </row>
    <row r="5652" spans="1:15">
      <c r="A5652" t="s">
        <v>27107</v>
      </c>
      <c r="B5652" t="s">
        <v>9578</v>
      </c>
      <c r="C5652" t="s">
        <v>27108</v>
      </c>
      <c r="D5652" t="s">
        <v>27109</v>
      </c>
      <c r="E5652" t="b">
        <v>0</v>
      </c>
      <c r="F5652" t="s">
        <v>11624</v>
      </c>
      <c r="G5652">
        <v>5.2824</v>
      </c>
      <c r="H5652">
        <v>-76.325479999999999</v>
      </c>
      <c r="I5652" t="s">
        <v>27110</v>
      </c>
      <c r="L5652">
        <v>0</v>
      </c>
      <c r="M5652">
        <v>0</v>
      </c>
      <c r="N5652">
        <v>0</v>
      </c>
      <c r="O5652" t="s">
        <v>11898</v>
      </c>
    </row>
    <row r="5653" spans="1:15">
      <c r="A5653" t="s">
        <v>27111</v>
      </c>
      <c r="B5653" t="s">
        <v>9578</v>
      </c>
      <c r="C5653" t="s">
        <v>15066</v>
      </c>
      <c r="D5653" t="s">
        <v>27112</v>
      </c>
      <c r="E5653" t="b">
        <v>0</v>
      </c>
      <c r="F5653" t="s">
        <v>11624</v>
      </c>
      <c r="G5653">
        <v>7.5272100000000002</v>
      </c>
      <c r="H5653">
        <v>-76.747600000000006</v>
      </c>
      <c r="I5653" t="s">
        <v>27113</v>
      </c>
      <c r="L5653">
        <v>0</v>
      </c>
      <c r="M5653">
        <v>0</v>
      </c>
      <c r="N5653">
        <v>0</v>
      </c>
      <c r="O5653" t="s">
        <v>19590</v>
      </c>
    </row>
    <row r="5654" spans="1:15">
      <c r="A5654" t="s">
        <v>27114</v>
      </c>
      <c r="B5654" t="s">
        <v>9578</v>
      </c>
      <c r="C5654" t="s">
        <v>27115</v>
      </c>
      <c r="D5654" t="s">
        <v>27116</v>
      </c>
      <c r="E5654" t="b">
        <v>0</v>
      </c>
      <c r="F5654" t="s">
        <v>11624</v>
      </c>
      <c r="G5654">
        <v>5.23658</v>
      </c>
      <c r="H5654">
        <v>-77.153300000000002</v>
      </c>
      <c r="I5654" t="s">
        <v>27117</v>
      </c>
      <c r="L5654">
        <v>0</v>
      </c>
      <c r="M5654">
        <v>0</v>
      </c>
      <c r="N5654">
        <v>0</v>
      </c>
      <c r="O5654" t="s">
        <v>11898</v>
      </c>
    </row>
    <row r="5655" spans="1:15">
      <c r="A5655" t="s">
        <v>27118</v>
      </c>
      <c r="B5655" t="s">
        <v>9578</v>
      </c>
      <c r="C5655" t="s">
        <v>27115</v>
      </c>
      <c r="D5655" t="s">
        <v>27119</v>
      </c>
      <c r="E5655" t="b">
        <v>0</v>
      </c>
      <c r="F5655" t="s">
        <v>11624</v>
      </c>
      <c r="G5655">
        <v>4.8791000000000002</v>
      </c>
      <c r="H5655">
        <v>-76.0749</v>
      </c>
      <c r="I5655" t="s">
        <v>27120</v>
      </c>
      <c r="L5655">
        <v>0</v>
      </c>
      <c r="M5655">
        <v>0</v>
      </c>
      <c r="N5655">
        <v>0</v>
      </c>
      <c r="O5655" t="s">
        <v>11898</v>
      </c>
    </row>
    <row r="5656" spans="1:15">
      <c r="A5656" t="s">
        <v>27121</v>
      </c>
      <c r="B5656" t="s">
        <v>6742</v>
      </c>
      <c r="C5656" t="s">
        <v>27122</v>
      </c>
      <c r="D5656" t="s">
        <v>27123</v>
      </c>
      <c r="E5656" t="b">
        <v>0</v>
      </c>
      <c r="F5656" t="s">
        <v>11624</v>
      </c>
      <c r="G5656">
        <v>-0.62822</v>
      </c>
      <c r="H5656">
        <v>37.593299999999999</v>
      </c>
      <c r="I5656" t="s">
        <v>27124</v>
      </c>
      <c r="L5656">
        <v>0</v>
      </c>
      <c r="M5656">
        <v>0</v>
      </c>
      <c r="N5656">
        <v>2</v>
      </c>
      <c r="O5656" t="s">
        <v>22848</v>
      </c>
    </row>
    <row r="5657" spans="1:15">
      <c r="A5657" t="s">
        <v>27125</v>
      </c>
      <c r="B5657" t="s">
        <v>6742</v>
      </c>
      <c r="C5657" t="s">
        <v>15272</v>
      </c>
      <c r="D5657" t="s">
        <v>27126</v>
      </c>
      <c r="E5657" t="b">
        <v>0</v>
      </c>
      <c r="F5657" t="s">
        <v>11610</v>
      </c>
      <c r="L5657">
        <v>0</v>
      </c>
      <c r="M5657">
        <v>0</v>
      </c>
      <c r="N5657">
        <v>0</v>
      </c>
    </row>
    <row r="5658" spans="1:15">
      <c r="A5658" t="s">
        <v>27127</v>
      </c>
      <c r="B5658" t="s">
        <v>11912</v>
      </c>
      <c r="C5658" t="s">
        <v>27128</v>
      </c>
      <c r="D5658" t="s">
        <v>27129</v>
      </c>
      <c r="E5658" t="b">
        <v>0</v>
      </c>
      <c r="F5658" t="s">
        <v>11624</v>
      </c>
      <c r="G5658">
        <v>3.2369400000000002</v>
      </c>
      <c r="H5658">
        <v>-52.369900000000001</v>
      </c>
      <c r="I5658" t="s">
        <v>27130</v>
      </c>
      <c r="L5658">
        <v>0</v>
      </c>
      <c r="M5658">
        <v>0</v>
      </c>
      <c r="N5658">
        <v>0</v>
      </c>
      <c r="O5658" t="s">
        <v>27131</v>
      </c>
    </row>
    <row r="5659" spans="1:15">
      <c r="A5659" t="s">
        <v>27132</v>
      </c>
      <c r="B5659" t="s">
        <v>6742</v>
      </c>
      <c r="C5659" t="s">
        <v>27133</v>
      </c>
      <c r="D5659" t="s">
        <v>27134</v>
      </c>
      <c r="E5659" t="b">
        <v>0</v>
      </c>
      <c r="F5659" t="s">
        <v>11610</v>
      </c>
      <c r="L5659">
        <v>0</v>
      </c>
      <c r="M5659">
        <v>0</v>
      </c>
      <c r="N5659">
        <v>0</v>
      </c>
    </row>
    <row r="5660" spans="1:15">
      <c r="A5660" t="s">
        <v>19284</v>
      </c>
      <c r="B5660" t="s">
        <v>11637</v>
      </c>
      <c r="C5660" t="s">
        <v>27135</v>
      </c>
      <c r="D5660" t="s">
        <v>27136</v>
      </c>
      <c r="E5660" t="b">
        <v>0</v>
      </c>
      <c r="F5660" t="s">
        <v>11624</v>
      </c>
      <c r="G5660">
        <v>44.3536</v>
      </c>
      <c r="H5660">
        <v>11.5794</v>
      </c>
      <c r="I5660" t="s">
        <v>27137</v>
      </c>
      <c r="L5660">
        <v>0</v>
      </c>
      <c r="M5660">
        <v>0</v>
      </c>
      <c r="N5660">
        <v>6</v>
      </c>
      <c r="O5660" t="s">
        <v>13676</v>
      </c>
    </row>
    <row r="5661" spans="1:15">
      <c r="A5661" t="s">
        <v>27135</v>
      </c>
      <c r="B5661" t="s">
        <v>11637</v>
      </c>
      <c r="C5661" t="s">
        <v>27138</v>
      </c>
      <c r="D5661" t="s">
        <v>27139</v>
      </c>
      <c r="E5661" t="b">
        <v>0</v>
      </c>
      <c r="F5661" t="s">
        <v>11622</v>
      </c>
      <c r="I5661" t="s">
        <v>27140</v>
      </c>
      <c r="L5661">
        <v>0</v>
      </c>
      <c r="M5661">
        <v>2</v>
      </c>
      <c r="N5661">
        <v>9</v>
      </c>
      <c r="O5661" t="s">
        <v>27141</v>
      </c>
    </row>
    <row r="5662" spans="1:15">
      <c r="A5662" t="s">
        <v>27142</v>
      </c>
      <c r="B5662" t="s">
        <v>367</v>
      </c>
      <c r="C5662" t="s">
        <v>27143</v>
      </c>
      <c r="D5662" t="s">
        <v>27144</v>
      </c>
      <c r="E5662" t="b">
        <v>0</v>
      </c>
      <c r="F5662" t="s">
        <v>11610</v>
      </c>
      <c r="L5662">
        <v>0</v>
      </c>
      <c r="M5662">
        <v>0</v>
      </c>
      <c r="N5662">
        <v>0</v>
      </c>
    </row>
    <row r="5663" spans="1:15">
      <c r="A5663" t="s">
        <v>27145</v>
      </c>
      <c r="B5663" t="s">
        <v>11627</v>
      </c>
      <c r="C5663" t="s">
        <v>11627</v>
      </c>
      <c r="D5663" t="s">
        <v>27146</v>
      </c>
      <c r="E5663" t="b">
        <v>1</v>
      </c>
      <c r="F5663" t="s">
        <v>11624</v>
      </c>
      <c r="G5663">
        <v>-24.920200000000001</v>
      </c>
      <c r="H5663">
        <v>-57.889200000000002</v>
      </c>
      <c r="I5663" t="s">
        <v>27147</v>
      </c>
      <c r="L5663">
        <v>0</v>
      </c>
      <c r="M5663">
        <v>0</v>
      </c>
      <c r="N5663">
        <v>0</v>
      </c>
      <c r="O5663" t="s">
        <v>11916</v>
      </c>
    </row>
    <row r="5664" spans="1:15">
      <c r="A5664" t="s">
        <v>27148</v>
      </c>
      <c r="B5664" t="s">
        <v>6742</v>
      </c>
      <c r="C5664" t="s">
        <v>12818</v>
      </c>
      <c r="D5664" t="s">
        <v>27149</v>
      </c>
      <c r="E5664" t="b">
        <v>0</v>
      </c>
      <c r="F5664" t="s">
        <v>11610</v>
      </c>
      <c r="L5664">
        <v>0</v>
      </c>
      <c r="M5664">
        <v>0</v>
      </c>
      <c r="N5664">
        <v>0</v>
      </c>
    </row>
    <row r="5665" spans="1:15">
      <c r="A5665" t="s">
        <v>27150</v>
      </c>
      <c r="B5665" t="s">
        <v>6742</v>
      </c>
      <c r="C5665" t="s">
        <v>21479</v>
      </c>
      <c r="D5665" t="s">
        <v>27151</v>
      </c>
      <c r="E5665" t="b">
        <v>0</v>
      </c>
      <c r="F5665" t="s">
        <v>11610</v>
      </c>
      <c r="L5665">
        <v>0</v>
      </c>
      <c r="M5665">
        <v>0</v>
      </c>
      <c r="N5665">
        <v>0</v>
      </c>
    </row>
    <row r="5666" spans="1:15">
      <c r="A5666" t="s">
        <v>27152</v>
      </c>
      <c r="B5666" t="s">
        <v>367</v>
      </c>
      <c r="C5666" t="s">
        <v>14866</v>
      </c>
      <c r="D5666" t="s">
        <v>27153</v>
      </c>
      <c r="E5666" t="b">
        <v>0</v>
      </c>
      <c r="F5666" t="s">
        <v>11610</v>
      </c>
      <c r="L5666">
        <v>0</v>
      </c>
      <c r="M5666">
        <v>0</v>
      </c>
      <c r="N5666">
        <v>0</v>
      </c>
    </row>
    <row r="5667" spans="1:15">
      <c r="A5667" t="s">
        <v>27154</v>
      </c>
      <c r="B5667" t="s">
        <v>6742</v>
      </c>
      <c r="C5667" t="s">
        <v>20319</v>
      </c>
      <c r="D5667" t="s">
        <v>27155</v>
      </c>
      <c r="E5667" t="b">
        <v>0</v>
      </c>
      <c r="F5667" t="s">
        <v>11610</v>
      </c>
      <c r="L5667">
        <v>0</v>
      </c>
      <c r="M5667">
        <v>0</v>
      </c>
      <c r="N5667">
        <v>0</v>
      </c>
    </row>
    <row r="5668" spans="1:15">
      <c r="A5668" t="s">
        <v>27156</v>
      </c>
      <c r="B5668" t="s">
        <v>367</v>
      </c>
      <c r="C5668" t="s">
        <v>27157</v>
      </c>
      <c r="D5668" t="s">
        <v>27158</v>
      </c>
      <c r="E5668" t="b">
        <v>0</v>
      </c>
      <c r="F5668" t="s">
        <v>11624</v>
      </c>
      <c r="G5668">
        <v>-8.0320900000000002</v>
      </c>
      <c r="H5668">
        <v>129.721</v>
      </c>
      <c r="I5668" t="s">
        <v>27159</v>
      </c>
      <c r="L5668">
        <v>0</v>
      </c>
      <c r="M5668">
        <v>0</v>
      </c>
      <c r="N5668">
        <v>0</v>
      </c>
      <c r="O5668" t="s">
        <v>11768</v>
      </c>
    </row>
    <row r="5669" spans="1:15">
      <c r="A5669" t="s">
        <v>27160</v>
      </c>
      <c r="B5669" t="s">
        <v>11637</v>
      </c>
      <c r="C5669" t="s">
        <v>27161</v>
      </c>
      <c r="D5669" t="s">
        <v>27162</v>
      </c>
      <c r="E5669" t="b">
        <v>0</v>
      </c>
      <c r="F5669" t="s">
        <v>11610</v>
      </c>
      <c r="L5669">
        <v>0</v>
      </c>
      <c r="M5669">
        <v>0</v>
      </c>
      <c r="N5669">
        <v>0</v>
      </c>
    </row>
    <row r="5670" spans="1:15">
      <c r="A5670" t="s">
        <v>27163</v>
      </c>
      <c r="B5670" t="s">
        <v>11637</v>
      </c>
      <c r="C5670" t="s">
        <v>24930</v>
      </c>
      <c r="D5670" t="s">
        <v>27164</v>
      </c>
      <c r="E5670" t="b">
        <v>0</v>
      </c>
      <c r="F5670" t="s">
        <v>11610</v>
      </c>
      <c r="L5670">
        <v>0</v>
      </c>
      <c r="M5670">
        <v>0</v>
      </c>
      <c r="N5670">
        <v>0</v>
      </c>
    </row>
    <row r="5671" spans="1:15">
      <c r="A5671" t="s">
        <v>27165</v>
      </c>
      <c r="B5671" t="s">
        <v>6742</v>
      </c>
      <c r="C5671" t="s">
        <v>11830</v>
      </c>
      <c r="D5671" t="s">
        <v>27166</v>
      </c>
      <c r="E5671" t="b">
        <v>0</v>
      </c>
      <c r="F5671" t="s">
        <v>11610</v>
      </c>
      <c r="L5671">
        <v>0</v>
      </c>
      <c r="M5671">
        <v>0</v>
      </c>
      <c r="N5671">
        <v>0</v>
      </c>
    </row>
    <row r="5672" spans="1:15">
      <c r="A5672" t="s">
        <v>27167</v>
      </c>
      <c r="B5672" t="s">
        <v>15132</v>
      </c>
      <c r="C5672" t="s">
        <v>26327</v>
      </c>
      <c r="D5672" t="s">
        <v>27168</v>
      </c>
      <c r="E5672" t="b">
        <v>0</v>
      </c>
      <c r="F5672" t="s">
        <v>11624</v>
      </c>
      <c r="G5672">
        <v>-3.7424200000000001</v>
      </c>
      <c r="H5672">
        <v>140.90299999999999</v>
      </c>
      <c r="I5672" t="s">
        <v>27169</v>
      </c>
      <c r="L5672">
        <v>0</v>
      </c>
      <c r="M5672">
        <v>0</v>
      </c>
      <c r="N5672">
        <v>0</v>
      </c>
      <c r="O5672" t="s">
        <v>11768</v>
      </c>
    </row>
    <row r="5673" spans="1:15">
      <c r="A5673" t="s">
        <v>27170</v>
      </c>
      <c r="B5673" t="s">
        <v>6742</v>
      </c>
      <c r="C5673" t="s">
        <v>27171</v>
      </c>
      <c r="D5673" t="s">
        <v>27172</v>
      </c>
      <c r="E5673" t="b">
        <v>0</v>
      </c>
      <c r="F5673" t="s">
        <v>11610</v>
      </c>
      <c r="L5673">
        <v>0</v>
      </c>
      <c r="M5673">
        <v>0</v>
      </c>
      <c r="N5673">
        <v>0</v>
      </c>
    </row>
    <row r="5674" spans="1:15">
      <c r="A5674" t="s">
        <v>27173</v>
      </c>
      <c r="B5674" t="s">
        <v>6742</v>
      </c>
      <c r="C5674" t="s">
        <v>21479</v>
      </c>
      <c r="D5674" t="s">
        <v>27174</v>
      </c>
      <c r="E5674" t="b">
        <v>0</v>
      </c>
      <c r="F5674" t="s">
        <v>11610</v>
      </c>
      <c r="L5674">
        <v>0</v>
      </c>
      <c r="M5674">
        <v>0</v>
      </c>
      <c r="N5674">
        <v>0</v>
      </c>
    </row>
    <row r="5675" spans="1:15">
      <c r="A5675" t="s">
        <v>27175</v>
      </c>
      <c r="B5675" t="s">
        <v>6742</v>
      </c>
      <c r="C5675" t="s">
        <v>21479</v>
      </c>
      <c r="D5675" t="s">
        <v>27176</v>
      </c>
      <c r="E5675" t="b">
        <v>0</v>
      </c>
      <c r="F5675" t="s">
        <v>11610</v>
      </c>
      <c r="L5675">
        <v>0</v>
      </c>
      <c r="M5675">
        <v>0</v>
      </c>
      <c r="N5675">
        <v>0</v>
      </c>
    </row>
    <row r="5676" spans="1:15">
      <c r="A5676" t="s">
        <v>27177</v>
      </c>
      <c r="B5676" t="s">
        <v>8310</v>
      </c>
      <c r="C5676" t="s">
        <v>27178</v>
      </c>
      <c r="D5676" t="s">
        <v>27179</v>
      </c>
      <c r="E5676" t="b">
        <v>0</v>
      </c>
      <c r="F5676" t="s">
        <v>11624</v>
      </c>
      <c r="G5676">
        <v>6.9503500000000003</v>
      </c>
      <c r="H5676">
        <v>-65.848299999999995</v>
      </c>
      <c r="I5676" t="s">
        <v>27180</v>
      </c>
      <c r="L5676">
        <v>0</v>
      </c>
      <c r="M5676">
        <v>0</v>
      </c>
      <c r="N5676">
        <v>0</v>
      </c>
      <c r="O5676" t="s">
        <v>16711</v>
      </c>
    </row>
    <row r="5677" spans="1:15">
      <c r="A5677" t="s">
        <v>27181</v>
      </c>
      <c r="B5677" t="s">
        <v>6742</v>
      </c>
      <c r="C5677" t="s">
        <v>26977</v>
      </c>
      <c r="D5677" t="s">
        <v>27182</v>
      </c>
      <c r="E5677" t="b">
        <v>0</v>
      </c>
      <c r="F5677" t="s">
        <v>11610</v>
      </c>
      <c r="L5677">
        <v>0</v>
      </c>
      <c r="M5677">
        <v>0</v>
      </c>
      <c r="N5677">
        <v>0</v>
      </c>
    </row>
    <row r="5678" spans="1:15">
      <c r="A5678" t="s">
        <v>27183</v>
      </c>
      <c r="B5678" t="s">
        <v>11894</v>
      </c>
      <c r="C5678" t="s">
        <v>27184</v>
      </c>
      <c r="D5678" t="s">
        <v>27185</v>
      </c>
      <c r="E5678" t="b">
        <v>0</v>
      </c>
      <c r="F5678" t="s">
        <v>11624</v>
      </c>
      <c r="G5678">
        <v>-12.430199999999999</v>
      </c>
      <c r="H5678">
        <v>-58.980200000000004</v>
      </c>
      <c r="I5678" t="s">
        <v>27186</v>
      </c>
      <c r="L5678">
        <v>0</v>
      </c>
      <c r="M5678">
        <v>0</v>
      </c>
      <c r="N5678">
        <v>0</v>
      </c>
      <c r="O5678" t="s">
        <v>11969</v>
      </c>
    </row>
    <row r="5679" spans="1:15">
      <c r="A5679" t="s">
        <v>27187</v>
      </c>
      <c r="B5679" t="s">
        <v>12347</v>
      </c>
      <c r="C5679" t="s">
        <v>12346</v>
      </c>
      <c r="D5679" t="s">
        <v>27188</v>
      </c>
      <c r="E5679" t="b">
        <v>0</v>
      </c>
      <c r="F5679" t="s">
        <v>11610</v>
      </c>
      <c r="L5679">
        <v>0</v>
      </c>
      <c r="M5679">
        <v>0</v>
      </c>
      <c r="N5679">
        <v>0</v>
      </c>
    </row>
    <row r="5680" spans="1:15">
      <c r="A5680" t="s">
        <v>27189</v>
      </c>
      <c r="B5680" t="s">
        <v>367</v>
      </c>
      <c r="C5680" t="s">
        <v>27190</v>
      </c>
      <c r="D5680" t="s">
        <v>27191</v>
      </c>
      <c r="E5680" t="b">
        <v>0</v>
      </c>
      <c r="F5680" t="s">
        <v>11622</v>
      </c>
      <c r="L5680">
        <v>2</v>
      </c>
      <c r="M5680">
        <v>4</v>
      </c>
      <c r="N5680">
        <v>5</v>
      </c>
    </row>
    <row r="5681" spans="1:15">
      <c r="A5681" t="s">
        <v>27192</v>
      </c>
      <c r="B5681" t="s">
        <v>367</v>
      </c>
      <c r="C5681" t="s">
        <v>27193</v>
      </c>
      <c r="D5681" t="s">
        <v>27194</v>
      </c>
      <c r="E5681" t="b">
        <v>0</v>
      </c>
      <c r="F5681" t="s">
        <v>11624</v>
      </c>
      <c r="G5681">
        <v>-8.7099799999999998</v>
      </c>
      <c r="H5681">
        <v>121.55500000000001</v>
      </c>
      <c r="I5681" t="s">
        <v>27195</v>
      </c>
      <c r="L5681">
        <v>0</v>
      </c>
      <c r="M5681">
        <v>0</v>
      </c>
      <c r="N5681">
        <v>0</v>
      </c>
      <c r="O5681" t="s">
        <v>11768</v>
      </c>
    </row>
    <row r="5682" spans="1:15">
      <c r="A5682" t="s">
        <v>27193</v>
      </c>
      <c r="B5682" t="s">
        <v>367</v>
      </c>
      <c r="C5682" t="s">
        <v>27189</v>
      </c>
      <c r="D5682" t="s">
        <v>27196</v>
      </c>
      <c r="E5682" t="b">
        <v>0</v>
      </c>
      <c r="F5682" t="s">
        <v>11622</v>
      </c>
      <c r="L5682">
        <v>0</v>
      </c>
      <c r="M5682">
        <v>2</v>
      </c>
      <c r="N5682">
        <v>2</v>
      </c>
    </row>
    <row r="5683" spans="1:15">
      <c r="A5683" t="s">
        <v>27197</v>
      </c>
      <c r="B5683" t="s">
        <v>11757</v>
      </c>
      <c r="C5683" t="s">
        <v>27198</v>
      </c>
      <c r="D5683" t="s">
        <v>27199</v>
      </c>
      <c r="E5683" t="b">
        <v>0</v>
      </c>
      <c r="F5683" t="s">
        <v>11610</v>
      </c>
      <c r="L5683">
        <v>0</v>
      </c>
      <c r="M5683">
        <v>0</v>
      </c>
      <c r="N5683">
        <v>0</v>
      </c>
    </row>
    <row r="5684" spans="1:15">
      <c r="A5684" t="s">
        <v>27200</v>
      </c>
      <c r="B5684" t="s">
        <v>367</v>
      </c>
      <c r="C5684" t="s">
        <v>14736</v>
      </c>
      <c r="D5684" t="s">
        <v>27201</v>
      </c>
      <c r="E5684" t="b">
        <v>0</v>
      </c>
      <c r="F5684" t="s">
        <v>11610</v>
      </c>
      <c r="L5684">
        <v>0</v>
      </c>
      <c r="M5684">
        <v>0</v>
      </c>
      <c r="N5684">
        <v>0</v>
      </c>
    </row>
    <row r="5685" spans="1:15">
      <c r="A5685" t="s">
        <v>27202</v>
      </c>
      <c r="B5685" t="s">
        <v>6742</v>
      </c>
      <c r="C5685" t="s">
        <v>14795</v>
      </c>
      <c r="D5685" t="s">
        <v>27203</v>
      </c>
      <c r="E5685" t="b">
        <v>0</v>
      </c>
      <c r="F5685" t="s">
        <v>11610</v>
      </c>
      <c r="L5685">
        <v>0</v>
      </c>
      <c r="M5685">
        <v>0</v>
      </c>
      <c r="N5685">
        <v>0</v>
      </c>
    </row>
    <row r="5686" spans="1:15">
      <c r="A5686" t="s">
        <v>27204</v>
      </c>
      <c r="B5686" t="s">
        <v>11607</v>
      </c>
      <c r="C5686" t="s">
        <v>27205</v>
      </c>
      <c r="D5686" t="s">
        <v>27206</v>
      </c>
      <c r="E5686" t="b">
        <v>0</v>
      </c>
      <c r="F5686" t="s">
        <v>11610</v>
      </c>
      <c r="L5686">
        <v>0</v>
      </c>
      <c r="M5686">
        <v>0</v>
      </c>
      <c r="N5686">
        <v>0</v>
      </c>
    </row>
    <row r="5687" spans="1:15">
      <c r="A5687" t="s">
        <v>27207</v>
      </c>
      <c r="B5687" t="s">
        <v>6742</v>
      </c>
      <c r="C5687" t="s">
        <v>12641</v>
      </c>
      <c r="D5687" t="s">
        <v>27208</v>
      </c>
      <c r="E5687" t="b">
        <v>0</v>
      </c>
      <c r="F5687" t="s">
        <v>11610</v>
      </c>
      <c r="L5687">
        <v>0</v>
      </c>
      <c r="M5687">
        <v>0</v>
      </c>
      <c r="N5687">
        <v>0</v>
      </c>
    </row>
    <row r="5688" spans="1:15">
      <c r="A5688" t="s">
        <v>27209</v>
      </c>
      <c r="B5688" t="s">
        <v>12260</v>
      </c>
      <c r="C5688" t="s">
        <v>27210</v>
      </c>
      <c r="D5688" t="s">
        <v>27211</v>
      </c>
      <c r="E5688" t="b">
        <v>0</v>
      </c>
      <c r="F5688" t="s">
        <v>11622</v>
      </c>
      <c r="L5688">
        <v>0</v>
      </c>
      <c r="M5688">
        <v>2</v>
      </c>
      <c r="N5688">
        <v>0</v>
      </c>
    </row>
    <row r="5689" spans="1:15">
      <c r="A5689" t="s">
        <v>27210</v>
      </c>
      <c r="B5689" t="s">
        <v>12260</v>
      </c>
      <c r="C5689" t="s">
        <v>3374</v>
      </c>
      <c r="D5689" t="s">
        <v>27212</v>
      </c>
      <c r="E5689" t="b">
        <v>0</v>
      </c>
      <c r="F5689" t="s">
        <v>11622</v>
      </c>
      <c r="L5689">
        <v>2</v>
      </c>
      <c r="M5689">
        <v>4</v>
      </c>
      <c r="N5689">
        <v>7</v>
      </c>
    </row>
    <row r="5690" spans="1:15">
      <c r="A5690" t="s">
        <v>27213</v>
      </c>
      <c r="B5690" t="s">
        <v>11615</v>
      </c>
      <c r="C5690" t="s">
        <v>27214</v>
      </c>
      <c r="D5690" t="s">
        <v>27215</v>
      </c>
      <c r="E5690" t="b">
        <v>0</v>
      </c>
      <c r="F5690" t="s">
        <v>11622</v>
      </c>
      <c r="L5690">
        <v>1</v>
      </c>
      <c r="M5690">
        <v>6</v>
      </c>
      <c r="N5690">
        <v>17</v>
      </c>
    </row>
    <row r="5691" spans="1:15">
      <c r="A5691" t="s">
        <v>27216</v>
      </c>
      <c r="B5691" t="s">
        <v>11615</v>
      </c>
      <c r="C5691" t="s">
        <v>27213</v>
      </c>
      <c r="D5691" t="s">
        <v>27217</v>
      </c>
      <c r="E5691" t="b">
        <v>0</v>
      </c>
      <c r="F5691" t="s">
        <v>11624</v>
      </c>
      <c r="G5691">
        <v>-5.4561900000000003</v>
      </c>
      <c r="H5691">
        <v>143.685</v>
      </c>
      <c r="I5691" t="s">
        <v>27218</v>
      </c>
      <c r="L5691">
        <v>0</v>
      </c>
      <c r="M5691">
        <v>0</v>
      </c>
      <c r="N5691">
        <v>13</v>
      </c>
      <c r="O5691" t="s">
        <v>11660</v>
      </c>
    </row>
    <row r="5692" spans="1:15">
      <c r="A5692" t="s">
        <v>27219</v>
      </c>
      <c r="B5692" t="s">
        <v>11981</v>
      </c>
      <c r="C5692" t="s">
        <v>11982</v>
      </c>
      <c r="D5692" t="s">
        <v>27220</v>
      </c>
      <c r="E5692" t="b">
        <v>0</v>
      </c>
      <c r="F5692" t="s">
        <v>11624</v>
      </c>
      <c r="G5692">
        <v>-5.4083709999999998</v>
      </c>
      <c r="H5692">
        <v>143.44143600000001</v>
      </c>
      <c r="L5692">
        <v>0</v>
      </c>
      <c r="M5692">
        <v>0</v>
      </c>
      <c r="N5692">
        <v>0</v>
      </c>
      <c r="O5692" t="s">
        <v>11660</v>
      </c>
    </row>
    <row r="5693" spans="1:15">
      <c r="A5693" t="s">
        <v>27214</v>
      </c>
      <c r="B5693" t="s">
        <v>11615</v>
      </c>
      <c r="C5693" t="s">
        <v>11615</v>
      </c>
      <c r="D5693" t="s">
        <v>27221</v>
      </c>
      <c r="E5693" t="b">
        <v>0</v>
      </c>
      <c r="F5693" t="s">
        <v>11622</v>
      </c>
      <c r="L5693">
        <v>8</v>
      </c>
      <c r="M5693">
        <v>14</v>
      </c>
      <c r="N5693">
        <v>21</v>
      </c>
    </row>
    <row r="5694" spans="1:15">
      <c r="A5694" t="s">
        <v>14260</v>
      </c>
      <c r="B5694" t="s">
        <v>13450</v>
      </c>
      <c r="C5694" t="s">
        <v>13450</v>
      </c>
      <c r="D5694" t="s">
        <v>27222</v>
      </c>
      <c r="E5694" t="b">
        <v>0</v>
      </c>
      <c r="F5694" t="s">
        <v>11622</v>
      </c>
      <c r="L5694">
        <v>0</v>
      </c>
      <c r="M5694">
        <v>1</v>
      </c>
      <c r="N5694">
        <v>0</v>
      </c>
    </row>
    <row r="5695" spans="1:15">
      <c r="A5695" t="s">
        <v>26823</v>
      </c>
      <c r="B5695" t="s">
        <v>6742</v>
      </c>
      <c r="C5695" t="s">
        <v>24380</v>
      </c>
      <c r="D5695" t="s">
        <v>27223</v>
      </c>
      <c r="E5695" t="b">
        <v>0</v>
      </c>
      <c r="F5695" t="s">
        <v>11624</v>
      </c>
      <c r="G5695">
        <v>5.1193099999999996</v>
      </c>
      <c r="H5695">
        <v>6.3733899999999997</v>
      </c>
      <c r="I5695" t="s">
        <v>27224</v>
      </c>
      <c r="L5695">
        <v>0</v>
      </c>
      <c r="M5695">
        <v>0</v>
      </c>
      <c r="N5695">
        <v>4</v>
      </c>
      <c r="O5695" t="s">
        <v>11693</v>
      </c>
    </row>
    <row r="5696" spans="1:15">
      <c r="A5696" t="s">
        <v>27225</v>
      </c>
      <c r="B5696" t="s">
        <v>367</v>
      </c>
      <c r="C5696" t="s">
        <v>4363</v>
      </c>
      <c r="D5696" t="s">
        <v>27226</v>
      </c>
      <c r="E5696" t="b">
        <v>0</v>
      </c>
      <c r="F5696" t="s">
        <v>11624</v>
      </c>
      <c r="G5696">
        <v>-5.3884600000000002</v>
      </c>
      <c r="H5696">
        <v>102.245</v>
      </c>
      <c r="I5696" t="s">
        <v>27227</v>
      </c>
      <c r="L5696">
        <v>0</v>
      </c>
      <c r="M5696">
        <v>0</v>
      </c>
      <c r="N5696">
        <v>0</v>
      </c>
      <c r="O5696" t="s">
        <v>11768</v>
      </c>
    </row>
    <row r="5697" spans="1:15">
      <c r="A5697" t="s">
        <v>27228</v>
      </c>
      <c r="B5697" t="s">
        <v>13500</v>
      </c>
      <c r="C5697" t="s">
        <v>13500</v>
      </c>
      <c r="D5697" t="s">
        <v>27229</v>
      </c>
      <c r="E5697" t="b">
        <v>0</v>
      </c>
      <c r="F5697" t="s">
        <v>11610</v>
      </c>
      <c r="L5697">
        <v>0</v>
      </c>
      <c r="M5697">
        <v>0</v>
      </c>
      <c r="N5697">
        <v>0</v>
      </c>
    </row>
    <row r="5698" spans="1:15">
      <c r="A5698" t="s">
        <v>13451</v>
      </c>
      <c r="B5698" t="s">
        <v>13450</v>
      </c>
      <c r="C5698" t="s">
        <v>13450</v>
      </c>
      <c r="D5698" t="s">
        <v>27230</v>
      </c>
      <c r="E5698" t="b">
        <v>0</v>
      </c>
      <c r="F5698" t="s">
        <v>11622</v>
      </c>
      <c r="L5698">
        <v>0</v>
      </c>
      <c r="M5698">
        <v>11</v>
      </c>
      <c r="N5698">
        <v>0</v>
      </c>
    </row>
    <row r="5699" spans="1:15">
      <c r="A5699" t="s">
        <v>27231</v>
      </c>
      <c r="B5699" t="s">
        <v>6742</v>
      </c>
      <c r="C5699" t="s">
        <v>15272</v>
      </c>
      <c r="D5699" t="s">
        <v>27232</v>
      </c>
      <c r="E5699" t="b">
        <v>0</v>
      </c>
      <c r="F5699" t="s">
        <v>11610</v>
      </c>
      <c r="L5699">
        <v>0</v>
      </c>
      <c r="M5699">
        <v>0</v>
      </c>
      <c r="N5699">
        <v>0</v>
      </c>
    </row>
    <row r="5700" spans="1:15">
      <c r="A5700" t="s">
        <v>27233</v>
      </c>
      <c r="B5700" t="s">
        <v>6742</v>
      </c>
      <c r="C5700" t="s">
        <v>27234</v>
      </c>
      <c r="D5700" t="s">
        <v>27235</v>
      </c>
      <c r="E5700" t="b">
        <v>0</v>
      </c>
      <c r="F5700" t="s">
        <v>11610</v>
      </c>
      <c r="L5700">
        <v>0</v>
      </c>
      <c r="M5700">
        <v>0</v>
      </c>
      <c r="N5700">
        <v>0</v>
      </c>
    </row>
    <row r="5701" spans="1:15">
      <c r="A5701" t="s">
        <v>27236</v>
      </c>
      <c r="B5701" t="s">
        <v>11627</v>
      </c>
      <c r="C5701" t="s">
        <v>11627</v>
      </c>
      <c r="D5701" t="s">
        <v>27237</v>
      </c>
      <c r="E5701" t="b">
        <v>1</v>
      </c>
      <c r="F5701" t="s">
        <v>11624</v>
      </c>
      <c r="I5701" t="s">
        <v>27238</v>
      </c>
      <c r="L5701">
        <v>0</v>
      </c>
      <c r="M5701">
        <v>0</v>
      </c>
      <c r="N5701">
        <v>0</v>
      </c>
    </row>
    <row r="5702" spans="1:15">
      <c r="A5702" t="s">
        <v>27239</v>
      </c>
      <c r="B5702" t="s">
        <v>11644</v>
      </c>
      <c r="C5702" t="s">
        <v>25751</v>
      </c>
      <c r="D5702" t="s">
        <v>27240</v>
      </c>
      <c r="E5702" t="b">
        <v>0</v>
      </c>
      <c r="F5702" t="s">
        <v>11610</v>
      </c>
      <c r="L5702">
        <v>0</v>
      </c>
      <c r="M5702">
        <v>0</v>
      </c>
      <c r="N5702">
        <v>0</v>
      </c>
    </row>
    <row r="5703" spans="1:15">
      <c r="A5703" t="s">
        <v>27241</v>
      </c>
      <c r="B5703" t="s">
        <v>6742</v>
      </c>
      <c r="C5703" t="s">
        <v>21479</v>
      </c>
      <c r="D5703" t="s">
        <v>27242</v>
      </c>
      <c r="E5703" t="b">
        <v>0</v>
      </c>
      <c r="F5703" t="s">
        <v>11610</v>
      </c>
      <c r="L5703">
        <v>0</v>
      </c>
      <c r="M5703">
        <v>0</v>
      </c>
      <c r="N5703">
        <v>0</v>
      </c>
    </row>
    <row r="5704" spans="1:15">
      <c r="A5704" t="s">
        <v>27243</v>
      </c>
      <c r="B5704" t="s">
        <v>13210</v>
      </c>
      <c r="C5704" t="s">
        <v>355</v>
      </c>
      <c r="D5704" t="s">
        <v>27244</v>
      </c>
      <c r="E5704" t="b">
        <v>0</v>
      </c>
      <c r="F5704" t="s">
        <v>11610</v>
      </c>
      <c r="L5704">
        <v>0</v>
      </c>
      <c r="M5704">
        <v>0</v>
      </c>
      <c r="N5704">
        <v>0</v>
      </c>
    </row>
    <row r="5705" spans="1:15">
      <c r="A5705" t="s">
        <v>27245</v>
      </c>
      <c r="B5705" t="s">
        <v>12438</v>
      </c>
      <c r="C5705" t="s">
        <v>27246</v>
      </c>
      <c r="D5705" t="s">
        <v>27247</v>
      </c>
      <c r="E5705" t="b">
        <v>0</v>
      </c>
      <c r="F5705" t="s">
        <v>11610</v>
      </c>
      <c r="L5705">
        <v>0</v>
      </c>
      <c r="M5705">
        <v>0</v>
      </c>
      <c r="N5705">
        <v>0</v>
      </c>
    </row>
    <row r="5706" spans="1:15">
      <c r="A5706" t="s">
        <v>27248</v>
      </c>
      <c r="B5706" t="s">
        <v>5126</v>
      </c>
      <c r="C5706" t="s">
        <v>27086</v>
      </c>
      <c r="D5706" t="s">
        <v>27249</v>
      </c>
      <c r="E5706" t="b">
        <v>0</v>
      </c>
      <c r="F5706" t="s">
        <v>11624</v>
      </c>
      <c r="G5706">
        <v>22.8386</v>
      </c>
      <c r="H5706">
        <v>106.167</v>
      </c>
      <c r="I5706" t="s">
        <v>27250</v>
      </c>
      <c r="L5706">
        <v>0</v>
      </c>
      <c r="M5706">
        <v>0</v>
      </c>
      <c r="N5706">
        <v>0</v>
      </c>
      <c r="O5706" t="s">
        <v>15949</v>
      </c>
    </row>
    <row r="5707" spans="1:15">
      <c r="A5707" t="s">
        <v>27251</v>
      </c>
      <c r="B5707" t="s">
        <v>6742</v>
      </c>
      <c r="C5707" t="s">
        <v>15734</v>
      </c>
      <c r="D5707" t="s">
        <v>27252</v>
      </c>
      <c r="E5707" t="b">
        <v>0</v>
      </c>
      <c r="F5707" t="s">
        <v>11610</v>
      </c>
      <c r="L5707">
        <v>0</v>
      </c>
      <c r="M5707">
        <v>0</v>
      </c>
      <c r="N5707">
        <v>0</v>
      </c>
    </row>
    <row r="5708" spans="1:15">
      <c r="A5708" t="s">
        <v>27253</v>
      </c>
      <c r="B5708" t="s">
        <v>11644</v>
      </c>
      <c r="C5708" t="s">
        <v>18520</v>
      </c>
      <c r="D5708" t="s">
        <v>27254</v>
      </c>
      <c r="E5708" t="b">
        <v>0</v>
      </c>
      <c r="F5708" t="s">
        <v>11610</v>
      </c>
      <c r="L5708">
        <v>0</v>
      </c>
      <c r="M5708">
        <v>0</v>
      </c>
      <c r="N5708">
        <v>0</v>
      </c>
    </row>
    <row r="5709" spans="1:15">
      <c r="A5709" t="s">
        <v>27255</v>
      </c>
      <c r="B5709" t="s">
        <v>367</v>
      </c>
      <c r="C5709" t="s">
        <v>25594</v>
      </c>
      <c r="D5709" t="s">
        <v>27256</v>
      </c>
      <c r="E5709" t="b">
        <v>0</v>
      </c>
      <c r="F5709" t="s">
        <v>11624</v>
      </c>
      <c r="G5709">
        <v>-3.5384799999999998</v>
      </c>
      <c r="H5709">
        <v>119.66</v>
      </c>
      <c r="I5709" t="s">
        <v>27257</v>
      </c>
      <c r="L5709">
        <v>0</v>
      </c>
      <c r="M5709">
        <v>0</v>
      </c>
      <c r="N5709">
        <v>3</v>
      </c>
      <c r="O5709" t="s">
        <v>11768</v>
      </c>
    </row>
    <row r="5710" spans="1:15">
      <c r="A5710" t="s">
        <v>27258</v>
      </c>
      <c r="B5710" t="s">
        <v>4342</v>
      </c>
      <c r="C5710" t="s">
        <v>27259</v>
      </c>
      <c r="D5710" t="s">
        <v>27260</v>
      </c>
      <c r="E5710" t="b">
        <v>0</v>
      </c>
      <c r="F5710" t="s">
        <v>11610</v>
      </c>
      <c r="L5710">
        <v>0</v>
      </c>
      <c r="M5710">
        <v>0</v>
      </c>
      <c r="N5710">
        <v>0</v>
      </c>
    </row>
    <row r="5711" spans="1:15">
      <c r="A5711" t="s">
        <v>27261</v>
      </c>
      <c r="B5711" t="s">
        <v>13210</v>
      </c>
      <c r="C5711" t="s">
        <v>355</v>
      </c>
      <c r="D5711" t="s">
        <v>27262</v>
      </c>
      <c r="E5711" t="b">
        <v>0</v>
      </c>
      <c r="F5711" t="s">
        <v>11610</v>
      </c>
      <c r="L5711">
        <v>0</v>
      </c>
      <c r="M5711">
        <v>0</v>
      </c>
      <c r="N5711">
        <v>0</v>
      </c>
    </row>
    <row r="5712" spans="1:15">
      <c r="A5712" t="s">
        <v>27263</v>
      </c>
      <c r="B5712" t="s">
        <v>11644</v>
      </c>
      <c r="C5712" t="s">
        <v>18532</v>
      </c>
      <c r="D5712" t="s">
        <v>27264</v>
      </c>
      <c r="E5712" t="b">
        <v>0</v>
      </c>
      <c r="F5712" t="s">
        <v>11624</v>
      </c>
      <c r="G5712">
        <v>22.95</v>
      </c>
      <c r="H5712">
        <v>101.85</v>
      </c>
      <c r="I5712" t="s">
        <v>27265</v>
      </c>
      <c r="L5712">
        <v>0</v>
      </c>
      <c r="M5712">
        <v>0</v>
      </c>
      <c r="N5712">
        <v>0</v>
      </c>
      <c r="O5712" t="s">
        <v>11905</v>
      </c>
    </row>
    <row r="5713" spans="1:15">
      <c r="A5713" t="s">
        <v>27266</v>
      </c>
      <c r="B5713" t="s">
        <v>13360</v>
      </c>
      <c r="C5713" t="s">
        <v>13360</v>
      </c>
      <c r="D5713" t="s">
        <v>27267</v>
      </c>
      <c r="E5713" t="b">
        <v>0</v>
      </c>
      <c r="F5713" t="s">
        <v>11624</v>
      </c>
      <c r="G5713">
        <v>-3.5562099999999999E-2</v>
      </c>
      <c r="H5713">
        <v>-70.944973000000005</v>
      </c>
      <c r="L5713">
        <v>0</v>
      </c>
      <c r="M5713">
        <v>0</v>
      </c>
      <c r="N5713">
        <v>0</v>
      </c>
      <c r="O5713" t="s">
        <v>11898</v>
      </c>
    </row>
    <row r="5714" spans="1:15">
      <c r="A5714" t="s">
        <v>27268</v>
      </c>
      <c r="B5714" t="s">
        <v>6742</v>
      </c>
      <c r="C5714" t="s">
        <v>21831</v>
      </c>
      <c r="D5714" t="s">
        <v>27269</v>
      </c>
      <c r="E5714" t="b">
        <v>0</v>
      </c>
      <c r="F5714" t="s">
        <v>11622</v>
      </c>
      <c r="L5714">
        <v>0</v>
      </c>
      <c r="M5714">
        <v>2</v>
      </c>
      <c r="N5714">
        <v>0</v>
      </c>
    </row>
    <row r="5715" spans="1:15">
      <c r="A5715" t="s">
        <v>27270</v>
      </c>
      <c r="B5715" t="s">
        <v>6742</v>
      </c>
      <c r="C5715" t="s">
        <v>27268</v>
      </c>
      <c r="D5715" t="s">
        <v>27271</v>
      </c>
      <c r="E5715" t="b">
        <v>0</v>
      </c>
      <c r="F5715" t="s">
        <v>11624</v>
      </c>
      <c r="G5715">
        <v>4.6873899999999997</v>
      </c>
      <c r="H5715">
        <v>8.20974</v>
      </c>
      <c r="I5715" t="s">
        <v>27272</v>
      </c>
      <c r="L5715">
        <v>0</v>
      </c>
      <c r="M5715">
        <v>0</v>
      </c>
      <c r="N5715">
        <v>0</v>
      </c>
      <c r="O5715" t="s">
        <v>11693</v>
      </c>
    </row>
    <row r="5716" spans="1:15">
      <c r="A5716" t="s">
        <v>27273</v>
      </c>
      <c r="B5716" t="s">
        <v>6742</v>
      </c>
      <c r="C5716" t="s">
        <v>27274</v>
      </c>
      <c r="D5716" t="s">
        <v>27275</v>
      </c>
      <c r="E5716" t="b">
        <v>0</v>
      </c>
      <c r="F5716" t="s">
        <v>11624</v>
      </c>
      <c r="G5716">
        <v>7.1531599999999997</v>
      </c>
      <c r="H5716">
        <v>6.0739299999999998</v>
      </c>
      <c r="I5716" t="s">
        <v>27276</v>
      </c>
      <c r="L5716">
        <v>0</v>
      </c>
      <c r="M5716">
        <v>0</v>
      </c>
      <c r="N5716">
        <v>0</v>
      </c>
      <c r="O5716" t="s">
        <v>11693</v>
      </c>
    </row>
    <row r="5717" spans="1:15">
      <c r="A5717" t="s">
        <v>27277</v>
      </c>
      <c r="B5717" t="s">
        <v>6742</v>
      </c>
      <c r="C5717" t="s">
        <v>21479</v>
      </c>
      <c r="D5717" t="s">
        <v>27278</v>
      </c>
      <c r="E5717" t="b">
        <v>0</v>
      </c>
      <c r="F5717" t="s">
        <v>11610</v>
      </c>
      <c r="L5717">
        <v>0</v>
      </c>
      <c r="M5717">
        <v>0</v>
      </c>
      <c r="N5717">
        <v>0</v>
      </c>
    </row>
    <row r="5718" spans="1:15">
      <c r="A5718" t="s">
        <v>27279</v>
      </c>
      <c r="B5718" t="s">
        <v>6742</v>
      </c>
      <c r="C5718" t="s">
        <v>27280</v>
      </c>
      <c r="D5718" t="s">
        <v>27281</v>
      </c>
      <c r="E5718" t="b">
        <v>0</v>
      </c>
      <c r="F5718" t="s">
        <v>11624</v>
      </c>
      <c r="G5718">
        <v>0.56000000000000005</v>
      </c>
      <c r="H5718">
        <v>25.15</v>
      </c>
      <c r="I5718" t="s">
        <v>27282</v>
      </c>
      <c r="L5718">
        <v>0</v>
      </c>
      <c r="M5718">
        <v>0</v>
      </c>
      <c r="N5718">
        <v>0</v>
      </c>
      <c r="O5718" t="s">
        <v>14825</v>
      </c>
    </row>
    <row r="5719" spans="1:15">
      <c r="A5719" t="s">
        <v>27280</v>
      </c>
      <c r="B5719" t="s">
        <v>6742</v>
      </c>
      <c r="C5719" t="s">
        <v>19707</v>
      </c>
      <c r="D5719" t="s">
        <v>27283</v>
      </c>
      <c r="E5719" t="b">
        <v>0</v>
      </c>
      <c r="F5719" t="s">
        <v>11622</v>
      </c>
      <c r="L5719">
        <v>0</v>
      </c>
      <c r="M5719">
        <v>2</v>
      </c>
      <c r="N5719">
        <v>5</v>
      </c>
    </row>
    <row r="5720" spans="1:15">
      <c r="A5720" t="s">
        <v>27284</v>
      </c>
      <c r="B5720" t="s">
        <v>6742</v>
      </c>
      <c r="C5720" t="s">
        <v>11753</v>
      </c>
      <c r="D5720" t="s">
        <v>27285</v>
      </c>
      <c r="E5720" t="b">
        <v>0</v>
      </c>
      <c r="F5720" t="s">
        <v>11610</v>
      </c>
      <c r="L5720">
        <v>0</v>
      </c>
      <c r="M5720">
        <v>0</v>
      </c>
      <c r="N5720">
        <v>0</v>
      </c>
    </row>
    <row r="5721" spans="1:15">
      <c r="A5721" t="s">
        <v>27286</v>
      </c>
      <c r="B5721" t="s">
        <v>6742</v>
      </c>
      <c r="C5721" t="s">
        <v>21474</v>
      </c>
      <c r="D5721" t="s">
        <v>27287</v>
      </c>
      <c r="E5721" t="b">
        <v>0</v>
      </c>
      <c r="F5721" t="s">
        <v>11610</v>
      </c>
      <c r="L5721">
        <v>0</v>
      </c>
      <c r="M5721">
        <v>0</v>
      </c>
      <c r="N5721">
        <v>0</v>
      </c>
    </row>
    <row r="5722" spans="1:15">
      <c r="A5722" t="s">
        <v>17330</v>
      </c>
      <c r="B5722" t="s">
        <v>9578</v>
      </c>
      <c r="C5722" t="s">
        <v>27288</v>
      </c>
      <c r="D5722" t="s">
        <v>27289</v>
      </c>
      <c r="E5722" t="b">
        <v>0</v>
      </c>
      <c r="F5722" t="s">
        <v>11624</v>
      </c>
      <c r="G5722">
        <v>4.2587700000000002</v>
      </c>
      <c r="H5722">
        <v>-77.3566</v>
      </c>
      <c r="I5722" t="s">
        <v>27290</v>
      </c>
      <c r="L5722">
        <v>0</v>
      </c>
      <c r="M5722">
        <v>0</v>
      </c>
      <c r="N5722">
        <v>1</v>
      </c>
      <c r="O5722" t="s">
        <v>27291</v>
      </c>
    </row>
    <row r="5723" spans="1:15">
      <c r="A5723" t="s">
        <v>15024</v>
      </c>
      <c r="B5723" t="s">
        <v>6742</v>
      </c>
      <c r="C5723" t="s">
        <v>24390</v>
      </c>
      <c r="D5723" t="s">
        <v>27292</v>
      </c>
      <c r="E5723" t="b">
        <v>0</v>
      </c>
      <c r="F5723" t="s">
        <v>11624</v>
      </c>
      <c r="G5723">
        <v>5.0089399999999999</v>
      </c>
      <c r="H5723">
        <v>6.3146000000000004</v>
      </c>
      <c r="I5723" t="s">
        <v>27293</v>
      </c>
      <c r="L5723">
        <v>0</v>
      </c>
      <c r="M5723">
        <v>0</v>
      </c>
      <c r="N5723">
        <v>1</v>
      </c>
      <c r="O5723" t="s">
        <v>11693</v>
      </c>
    </row>
    <row r="5724" spans="1:15">
      <c r="A5724" t="s">
        <v>26847</v>
      </c>
      <c r="B5724" t="s">
        <v>367</v>
      </c>
      <c r="C5724" t="s">
        <v>13403</v>
      </c>
      <c r="D5724" t="s">
        <v>27294</v>
      </c>
      <c r="E5724" t="b">
        <v>0</v>
      </c>
      <c r="F5724" t="s">
        <v>11622</v>
      </c>
      <c r="L5724">
        <v>7</v>
      </c>
      <c r="M5724">
        <v>10</v>
      </c>
      <c r="N5724">
        <v>12</v>
      </c>
    </row>
    <row r="5725" spans="1:15">
      <c r="A5725" t="s">
        <v>27295</v>
      </c>
      <c r="B5725" t="s">
        <v>6742</v>
      </c>
      <c r="C5725" t="s">
        <v>27296</v>
      </c>
      <c r="D5725" t="s">
        <v>27297</v>
      </c>
      <c r="E5725" t="b">
        <v>0</v>
      </c>
      <c r="F5725" t="s">
        <v>11610</v>
      </c>
      <c r="L5725">
        <v>0</v>
      </c>
      <c r="M5725">
        <v>0</v>
      </c>
      <c r="N5725">
        <v>0</v>
      </c>
    </row>
    <row r="5726" spans="1:15">
      <c r="A5726" t="s">
        <v>27298</v>
      </c>
      <c r="B5726" t="s">
        <v>5911</v>
      </c>
      <c r="C5726" t="s">
        <v>22814</v>
      </c>
      <c r="D5726" t="s">
        <v>27299</v>
      </c>
      <c r="E5726" t="b">
        <v>0</v>
      </c>
      <c r="F5726" t="s">
        <v>11624</v>
      </c>
      <c r="I5726" t="s">
        <v>27300</v>
      </c>
      <c r="L5726">
        <v>0</v>
      </c>
      <c r="M5726">
        <v>0</v>
      </c>
      <c r="N5726">
        <v>0</v>
      </c>
      <c r="O5726" t="s">
        <v>11883</v>
      </c>
    </row>
    <row r="5727" spans="1:15">
      <c r="A5727" t="s">
        <v>16133</v>
      </c>
      <c r="B5727" t="s">
        <v>367</v>
      </c>
      <c r="C5727" t="s">
        <v>26847</v>
      </c>
      <c r="D5727" t="s">
        <v>27301</v>
      </c>
      <c r="E5727" t="b">
        <v>0</v>
      </c>
      <c r="F5727" t="s">
        <v>11622</v>
      </c>
      <c r="L5727">
        <v>3</v>
      </c>
      <c r="M5727">
        <v>6</v>
      </c>
      <c r="N5727">
        <v>4</v>
      </c>
    </row>
    <row r="5728" spans="1:15">
      <c r="A5728" t="s">
        <v>27302</v>
      </c>
      <c r="B5728" t="s">
        <v>11637</v>
      </c>
      <c r="C5728" t="s">
        <v>27303</v>
      </c>
      <c r="D5728" t="s">
        <v>27304</v>
      </c>
      <c r="E5728" t="b">
        <v>0</v>
      </c>
      <c r="F5728" t="s">
        <v>11610</v>
      </c>
      <c r="L5728">
        <v>0</v>
      </c>
      <c r="M5728">
        <v>0</v>
      </c>
      <c r="N5728">
        <v>0</v>
      </c>
    </row>
    <row r="5729" spans="1:15">
      <c r="A5729" t="s">
        <v>27305</v>
      </c>
      <c r="B5729" t="s">
        <v>11615</v>
      </c>
      <c r="C5729" t="s">
        <v>25204</v>
      </c>
      <c r="D5729" t="s">
        <v>27306</v>
      </c>
      <c r="E5729" t="b">
        <v>0</v>
      </c>
      <c r="F5729" t="s">
        <v>11610</v>
      </c>
      <c r="L5729">
        <v>0</v>
      </c>
      <c r="M5729">
        <v>0</v>
      </c>
      <c r="N5729">
        <v>0</v>
      </c>
    </row>
    <row r="5730" spans="1:15">
      <c r="A5730" t="s">
        <v>19002</v>
      </c>
      <c r="B5730" t="s">
        <v>11615</v>
      </c>
      <c r="C5730" t="s">
        <v>27307</v>
      </c>
      <c r="D5730" t="s">
        <v>27308</v>
      </c>
      <c r="E5730" t="b">
        <v>0</v>
      </c>
      <c r="F5730" t="s">
        <v>11622</v>
      </c>
      <c r="L5730">
        <v>4</v>
      </c>
      <c r="M5730">
        <v>11</v>
      </c>
      <c r="N5730">
        <v>10</v>
      </c>
    </row>
    <row r="5731" spans="1:15">
      <c r="A5731" t="s">
        <v>27309</v>
      </c>
      <c r="B5731" t="s">
        <v>11844</v>
      </c>
      <c r="C5731" t="s">
        <v>27310</v>
      </c>
      <c r="D5731" t="s">
        <v>27311</v>
      </c>
      <c r="E5731" t="b">
        <v>0</v>
      </c>
      <c r="F5731" t="s">
        <v>11624</v>
      </c>
      <c r="I5731" t="s">
        <v>27312</v>
      </c>
      <c r="L5731">
        <v>0</v>
      </c>
      <c r="M5731">
        <v>0</v>
      </c>
      <c r="N5731">
        <v>0</v>
      </c>
      <c r="O5731" t="s">
        <v>11630</v>
      </c>
    </row>
    <row r="5732" spans="1:15">
      <c r="A5732" t="s">
        <v>27313</v>
      </c>
      <c r="B5732" t="s">
        <v>15162</v>
      </c>
      <c r="C5732" t="s">
        <v>23771</v>
      </c>
      <c r="D5732" t="s">
        <v>27314</v>
      </c>
      <c r="E5732" t="b">
        <v>0</v>
      </c>
      <c r="F5732" t="s">
        <v>11610</v>
      </c>
      <c r="L5732">
        <v>0</v>
      </c>
      <c r="M5732">
        <v>0</v>
      </c>
      <c r="N5732">
        <v>0</v>
      </c>
    </row>
    <row r="5733" spans="1:15">
      <c r="A5733" t="s">
        <v>27315</v>
      </c>
      <c r="B5733" t="s">
        <v>11615</v>
      </c>
      <c r="C5733" t="s">
        <v>26294</v>
      </c>
      <c r="D5733" t="s">
        <v>27316</v>
      </c>
      <c r="E5733" t="b">
        <v>0</v>
      </c>
      <c r="F5733" t="s">
        <v>11624</v>
      </c>
      <c r="G5733">
        <v>-6.5501100000000001</v>
      </c>
      <c r="H5733">
        <v>143.91800000000001</v>
      </c>
      <c r="I5733" t="s">
        <v>27317</v>
      </c>
      <c r="L5733">
        <v>0</v>
      </c>
      <c r="M5733">
        <v>0</v>
      </c>
      <c r="N5733">
        <v>0</v>
      </c>
      <c r="O5733" t="s">
        <v>11660</v>
      </c>
    </row>
    <row r="5734" spans="1:15">
      <c r="A5734" t="s">
        <v>27318</v>
      </c>
      <c r="B5734" t="s">
        <v>367</v>
      </c>
      <c r="C5734" t="s">
        <v>27319</v>
      </c>
      <c r="D5734" t="s">
        <v>27320</v>
      </c>
      <c r="E5734" t="b">
        <v>0</v>
      </c>
      <c r="F5734" t="s">
        <v>11610</v>
      </c>
      <c r="L5734">
        <v>0</v>
      </c>
      <c r="M5734">
        <v>0</v>
      </c>
      <c r="N5734">
        <v>0</v>
      </c>
    </row>
    <row r="5735" spans="1:15">
      <c r="A5735" t="s">
        <v>27321</v>
      </c>
      <c r="B5735" t="s">
        <v>11644</v>
      </c>
      <c r="C5735" t="s">
        <v>27322</v>
      </c>
      <c r="D5735" t="s">
        <v>27323</v>
      </c>
      <c r="E5735" t="b">
        <v>0</v>
      </c>
      <c r="F5735" t="s">
        <v>11610</v>
      </c>
      <c r="L5735">
        <v>0</v>
      </c>
      <c r="M5735">
        <v>0</v>
      </c>
      <c r="N5735">
        <v>0</v>
      </c>
    </row>
    <row r="5736" spans="1:15">
      <c r="A5736" t="s">
        <v>27324</v>
      </c>
      <c r="B5736" t="s">
        <v>367</v>
      </c>
      <c r="C5736" t="s">
        <v>27325</v>
      </c>
      <c r="D5736" t="s">
        <v>27326</v>
      </c>
      <c r="E5736" t="b">
        <v>0</v>
      </c>
      <c r="F5736" t="s">
        <v>11624</v>
      </c>
      <c r="G5736">
        <v>-2.1556899999999999</v>
      </c>
      <c r="H5736">
        <v>147.083</v>
      </c>
      <c r="I5736" t="s">
        <v>27327</v>
      </c>
      <c r="L5736">
        <v>0</v>
      </c>
      <c r="M5736">
        <v>0</v>
      </c>
      <c r="N5736">
        <v>0</v>
      </c>
      <c r="O5736" t="s">
        <v>11660</v>
      </c>
    </row>
    <row r="5737" spans="1:15">
      <c r="A5737" t="s">
        <v>27328</v>
      </c>
      <c r="B5737" t="s">
        <v>17030</v>
      </c>
      <c r="C5737" t="s">
        <v>17031</v>
      </c>
      <c r="D5737" t="s">
        <v>27329</v>
      </c>
      <c r="E5737" t="b">
        <v>0</v>
      </c>
      <c r="F5737" t="s">
        <v>11610</v>
      </c>
      <c r="L5737">
        <v>0</v>
      </c>
      <c r="M5737">
        <v>0</v>
      </c>
      <c r="N5737">
        <v>0</v>
      </c>
    </row>
    <row r="5738" spans="1:15">
      <c r="A5738" t="s">
        <v>27330</v>
      </c>
      <c r="B5738" t="s">
        <v>6742</v>
      </c>
      <c r="C5738" t="s">
        <v>14115</v>
      </c>
      <c r="D5738" t="s">
        <v>27331</v>
      </c>
      <c r="E5738" t="b">
        <v>0</v>
      </c>
      <c r="F5738" t="s">
        <v>11610</v>
      </c>
      <c r="L5738">
        <v>0</v>
      </c>
      <c r="M5738">
        <v>0</v>
      </c>
      <c r="N5738">
        <v>0</v>
      </c>
    </row>
    <row r="5739" spans="1:15">
      <c r="A5739" t="s">
        <v>27332</v>
      </c>
      <c r="B5739" t="s">
        <v>6742</v>
      </c>
      <c r="C5739" t="s">
        <v>11712</v>
      </c>
      <c r="D5739" t="s">
        <v>27333</v>
      </c>
      <c r="E5739" t="b">
        <v>0</v>
      </c>
      <c r="F5739" t="s">
        <v>11610</v>
      </c>
      <c r="L5739">
        <v>0</v>
      </c>
      <c r="M5739">
        <v>0</v>
      </c>
      <c r="N5739">
        <v>0</v>
      </c>
    </row>
    <row r="5740" spans="1:15">
      <c r="A5740" t="s">
        <v>27334</v>
      </c>
      <c r="B5740" t="s">
        <v>11810</v>
      </c>
      <c r="C5740" t="s">
        <v>14856</v>
      </c>
      <c r="D5740" t="s">
        <v>27335</v>
      </c>
      <c r="E5740" t="b">
        <v>0</v>
      </c>
      <c r="F5740" t="s">
        <v>11610</v>
      </c>
      <c r="L5740">
        <v>0</v>
      </c>
      <c r="M5740">
        <v>0</v>
      </c>
      <c r="N5740">
        <v>0</v>
      </c>
    </row>
    <row r="5741" spans="1:15">
      <c r="A5741" t="s">
        <v>27336</v>
      </c>
      <c r="B5741" t="s">
        <v>11637</v>
      </c>
      <c r="C5741" t="s">
        <v>14365</v>
      </c>
      <c r="D5741" t="s">
        <v>27337</v>
      </c>
      <c r="E5741" t="b">
        <v>0</v>
      </c>
      <c r="F5741" t="s">
        <v>11610</v>
      </c>
      <c r="L5741">
        <v>0</v>
      </c>
      <c r="M5741">
        <v>0</v>
      </c>
      <c r="N5741">
        <v>0</v>
      </c>
    </row>
    <row r="5742" spans="1:15">
      <c r="A5742" t="s">
        <v>27338</v>
      </c>
      <c r="B5742" t="s">
        <v>11644</v>
      </c>
      <c r="C5742" t="s">
        <v>27322</v>
      </c>
      <c r="D5742" t="s">
        <v>27339</v>
      </c>
      <c r="E5742" t="b">
        <v>0</v>
      </c>
      <c r="F5742" t="s">
        <v>11610</v>
      </c>
      <c r="L5742">
        <v>0</v>
      </c>
      <c r="M5742">
        <v>0</v>
      </c>
      <c r="N5742">
        <v>0</v>
      </c>
    </row>
    <row r="5743" spans="1:15">
      <c r="A5743" t="s">
        <v>27340</v>
      </c>
      <c r="B5743" t="s">
        <v>13360</v>
      </c>
      <c r="C5743" t="s">
        <v>13360</v>
      </c>
      <c r="D5743" t="s">
        <v>27341</v>
      </c>
      <c r="E5743" t="b">
        <v>0</v>
      </c>
      <c r="F5743" t="s">
        <v>11624</v>
      </c>
      <c r="G5743">
        <v>42.158000000000001</v>
      </c>
      <c r="H5743">
        <v>-79.64</v>
      </c>
      <c r="L5743">
        <v>0</v>
      </c>
      <c r="M5743">
        <v>0</v>
      </c>
      <c r="N5743">
        <v>0</v>
      </c>
      <c r="O5743" t="s">
        <v>11944</v>
      </c>
    </row>
    <row r="5744" spans="1:15">
      <c r="A5744" t="s">
        <v>18782</v>
      </c>
      <c r="B5744" t="s">
        <v>15365</v>
      </c>
      <c r="C5744" t="s">
        <v>25375</v>
      </c>
      <c r="D5744" t="s">
        <v>27342</v>
      </c>
      <c r="E5744" t="b">
        <v>0</v>
      </c>
      <c r="F5744" t="s">
        <v>11622</v>
      </c>
      <c r="L5744">
        <v>0</v>
      </c>
      <c r="M5744">
        <v>3</v>
      </c>
      <c r="N5744">
        <v>0</v>
      </c>
    </row>
    <row r="5745" spans="1:15">
      <c r="A5745" t="s">
        <v>27343</v>
      </c>
      <c r="B5745" t="s">
        <v>15365</v>
      </c>
      <c r="C5745" t="s">
        <v>18782</v>
      </c>
      <c r="D5745" t="s">
        <v>27344</v>
      </c>
      <c r="E5745" t="b">
        <v>0</v>
      </c>
      <c r="F5745" t="s">
        <v>11624</v>
      </c>
      <c r="G5745">
        <v>-2.7118199999999999</v>
      </c>
      <c r="H5745">
        <v>138.053</v>
      </c>
      <c r="I5745" t="s">
        <v>27345</v>
      </c>
      <c r="L5745">
        <v>0</v>
      </c>
      <c r="M5745">
        <v>0</v>
      </c>
      <c r="N5745">
        <v>0</v>
      </c>
      <c r="O5745" t="s">
        <v>11768</v>
      </c>
    </row>
    <row r="5746" spans="1:15">
      <c r="A5746" t="s">
        <v>27346</v>
      </c>
      <c r="B5746" t="s">
        <v>11637</v>
      </c>
      <c r="C5746" t="s">
        <v>11822</v>
      </c>
      <c r="D5746" t="s">
        <v>27347</v>
      </c>
      <c r="E5746" t="b">
        <v>0</v>
      </c>
      <c r="F5746" t="s">
        <v>11610</v>
      </c>
      <c r="L5746">
        <v>0</v>
      </c>
      <c r="M5746">
        <v>0</v>
      </c>
      <c r="N5746">
        <v>0</v>
      </c>
    </row>
    <row r="5747" spans="1:15">
      <c r="A5747" t="s">
        <v>27348</v>
      </c>
      <c r="B5747" t="s">
        <v>11637</v>
      </c>
      <c r="C5747" t="s">
        <v>21255</v>
      </c>
      <c r="D5747" t="s">
        <v>27349</v>
      </c>
      <c r="E5747" t="b">
        <v>0</v>
      </c>
      <c r="F5747" t="s">
        <v>11610</v>
      </c>
      <c r="L5747">
        <v>0</v>
      </c>
      <c r="M5747">
        <v>0</v>
      </c>
      <c r="N5747">
        <v>0</v>
      </c>
    </row>
    <row r="5748" spans="1:15">
      <c r="A5748" t="s">
        <v>27350</v>
      </c>
      <c r="B5748" t="s">
        <v>367</v>
      </c>
      <c r="C5748" t="s">
        <v>14484</v>
      </c>
      <c r="D5748" t="s">
        <v>27351</v>
      </c>
      <c r="E5748" t="b">
        <v>0</v>
      </c>
      <c r="F5748" t="s">
        <v>11624</v>
      </c>
      <c r="G5748">
        <v>-2.8374600000000001</v>
      </c>
      <c r="H5748">
        <v>132.70500000000001</v>
      </c>
      <c r="I5748" t="s">
        <v>27352</v>
      </c>
      <c r="L5748">
        <v>0</v>
      </c>
      <c r="M5748">
        <v>0</v>
      </c>
      <c r="N5748">
        <v>0</v>
      </c>
      <c r="O5748" t="s">
        <v>11768</v>
      </c>
    </row>
    <row r="5749" spans="1:15">
      <c r="A5749" t="s">
        <v>27353</v>
      </c>
      <c r="B5749" t="s">
        <v>27354</v>
      </c>
      <c r="C5749" t="s">
        <v>27355</v>
      </c>
      <c r="D5749" t="s">
        <v>27356</v>
      </c>
      <c r="E5749" t="b">
        <v>0</v>
      </c>
      <c r="F5749" t="s">
        <v>11624</v>
      </c>
      <c r="G5749">
        <v>-12.283899999999999</v>
      </c>
      <c r="H5749">
        <v>132.86799999999999</v>
      </c>
      <c r="I5749" t="s">
        <v>27357</v>
      </c>
      <c r="L5749">
        <v>0</v>
      </c>
      <c r="M5749">
        <v>0</v>
      </c>
      <c r="N5749">
        <v>0</v>
      </c>
      <c r="O5749" t="s">
        <v>12107</v>
      </c>
    </row>
    <row r="5750" spans="1:15">
      <c r="A5750" t="s">
        <v>27358</v>
      </c>
      <c r="B5750" t="s">
        <v>367</v>
      </c>
      <c r="C5750" t="s">
        <v>13765</v>
      </c>
      <c r="D5750" t="s">
        <v>27359</v>
      </c>
      <c r="E5750" t="b">
        <v>0</v>
      </c>
      <c r="F5750" t="s">
        <v>11622</v>
      </c>
      <c r="L5750">
        <v>0</v>
      </c>
      <c r="M5750">
        <v>3</v>
      </c>
      <c r="N5750">
        <v>3</v>
      </c>
    </row>
    <row r="5751" spans="1:15">
      <c r="A5751" t="s">
        <v>27360</v>
      </c>
      <c r="B5751" t="s">
        <v>12128</v>
      </c>
      <c r="C5751" t="s">
        <v>17295</v>
      </c>
      <c r="D5751" t="s">
        <v>27361</v>
      </c>
      <c r="E5751" t="b">
        <v>0</v>
      </c>
      <c r="F5751" t="s">
        <v>11624</v>
      </c>
      <c r="I5751" t="s">
        <v>27362</v>
      </c>
      <c r="L5751">
        <v>0</v>
      </c>
      <c r="M5751">
        <v>0</v>
      </c>
      <c r="N5751">
        <v>0</v>
      </c>
      <c r="O5751" t="s">
        <v>19870</v>
      </c>
    </row>
    <row r="5752" spans="1:15">
      <c r="A5752" t="s">
        <v>25579</v>
      </c>
      <c r="B5752" t="s">
        <v>11644</v>
      </c>
      <c r="C5752" t="s">
        <v>27363</v>
      </c>
      <c r="D5752" t="s">
        <v>27364</v>
      </c>
      <c r="E5752" t="b">
        <v>0</v>
      </c>
      <c r="F5752" t="s">
        <v>11624</v>
      </c>
      <c r="G5752">
        <v>29.2867</v>
      </c>
      <c r="H5752">
        <v>102.21299999999999</v>
      </c>
      <c r="I5752" t="s">
        <v>27365</v>
      </c>
      <c r="L5752">
        <v>0</v>
      </c>
      <c r="M5752">
        <v>0</v>
      </c>
      <c r="N5752">
        <v>3</v>
      </c>
      <c r="O5752" t="s">
        <v>11905</v>
      </c>
    </row>
    <row r="5753" spans="1:15">
      <c r="A5753" t="s">
        <v>27363</v>
      </c>
      <c r="B5753" t="s">
        <v>11644</v>
      </c>
      <c r="C5753" t="s">
        <v>27366</v>
      </c>
      <c r="D5753" t="s">
        <v>27367</v>
      </c>
      <c r="E5753" t="b">
        <v>0</v>
      </c>
      <c r="F5753" t="s">
        <v>11622</v>
      </c>
      <c r="L5753">
        <v>0</v>
      </c>
      <c r="M5753">
        <v>3</v>
      </c>
      <c r="N5753">
        <v>3</v>
      </c>
    </row>
    <row r="5754" spans="1:15">
      <c r="A5754" t="s">
        <v>27368</v>
      </c>
      <c r="B5754" t="s">
        <v>6742</v>
      </c>
      <c r="C5754" t="s">
        <v>12177</v>
      </c>
      <c r="D5754" t="s">
        <v>27369</v>
      </c>
      <c r="E5754" t="b">
        <v>0</v>
      </c>
      <c r="F5754" t="s">
        <v>11610</v>
      </c>
      <c r="L5754">
        <v>0</v>
      </c>
      <c r="M5754">
        <v>0</v>
      </c>
      <c r="N5754">
        <v>0</v>
      </c>
    </row>
    <row r="5755" spans="1:15">
      <c r="A5755" t="s">
        <v>27370</v>
      </c>
      <c r="B5755" t="s">
        <v>6742</v>
      </c>
      <c r="C5755" t="s">
        <v>27371</v>
      </c>
      <c r="D5755" t="s">
        <v>27372</v>
      </c>
      <c r="E5755" t="b">
        <v>0</v>
      </c>
      <c r="F5755" t="s">
        <v>11624</v>
      </c>
      <c r="G5755">
        <v>5.1802599999999996</v>
      </c>
      <c r="H5755">
        <v>6.0481800000000003</v>
      </c>
      <c r="I5755" t="s">
        <v>27373</v>
      </c>
      <c r="L5755">
        <v>0</v>
      </c>
      <c r="M5755">
        <v>0</v>
      </c>
      <c r="N5755">
        <v>0</v>
      </c>
      <c r="O5755" t="s">
        <v>11693</v>
      </c>
    </row>
    <row r="5756" spans="1:15">
      <c r="A5756" t="s">
        <v>27374</v>
      </c>
      <c r="B5756" t="s">
        <v>11644</v>
      </c>
      <c r="C5756" t="s">
        <v>21421</v>
      </c>
      <c r="D5756" t="s">
        <v>27375</v>
      </c>
      <c r="E5756" t="b">
        <v>0</v>
      </c>
      <c r="F5756" t="s">
        <v>11610</v>
      </c>
      <c r="G5756">
        <v>26.0991374</v>
      </c>
      <c r="H5756">
        <v>99.941616100000005</v>
      </c>
      <c r="L5756">
        <v>0</v>
      </c>
      <c r="M5756">
        <v>0</v>
      </c>
      <c r="N5756">
        <v>0</v>
      </c>
    </row>
    <row r="5757" spans="1:15">
      <c r="A5757" t="s">
        <v>1450</v>
      </c>
      <c r="B5757" t="s">
        <v>12260</v>
      </c>
      <c r="C5757" t="s">
        <v>1451</v>
      </c>
      <c r="D5757" t="s">
        <v>27376</v>
      </c>
      <c r="E5757" t="b">
        <v>0</v>
      </c>
      <c r="F5757" t="s">
        <v>11624</v>
      </c>
      <c r="G5757">
        <v>52.854799999999997</v>
      </c>
      <c r="H5757">
        <v>45.390099999999997</v>
      </c>
      <c r="I5757" t="s">
        <v>27377</v>
      </c>
      <c r="L5757">
        <v>0</v>
      </c>
      <c r="M5757">
        <v>0</v>
      </c>
      <c r="N5757">
        <v>0</v>
      </c>
      <c r="O5757" t="s">
        <v>27378</v>
      </c>
    </row>
    <row r="5758" spans="1:15">
      <c r="A5758" t="s">
        <v>26991</v>
      </c>
      <c r="B5758" t="s">
        <v>6742</v>
      </c>
      <c r="C5758" t="s">
        <v>18703</v>
      </c>
      <c r="D5758" t="s">
        <v>27379</v>
      </c>
      <c r="E5758" t="b">
        <v>0</v>
      </c>
      <c r="F5758" t="s">
        <v>11624</v>
      </c>
      <c r="G5758">
        <v>6.25685</v>
      </c>
      <c r="H5758">
        <v>6.3391700000000002</v>
      </c>
      <c r="I5758" t="s">
        <v>27380</v>
      </c>
      <c r="L5758">
        <v>0</v>
      </c>
      <c r="M5758">
        <v>0</v>
      </c>
      <c r="N5758">
        <v>2</v>
      </c>
      <c r="O5758" t="s">
        <v>11693</v>
      </c>
    </row>
    <row r="5759" spans="1:15">
      <c r="A5759" t="s">
        <v>27381</v>
      </c>
      <c r="B5759" t="s">
        <v>331</v>
      </c>
      <c r="C5759" t="s">
        <v>332</v>
      </c>
      <c r="D5759" t="s">
        <v>27382</v>
      </c>
      <c r="E5759" t="b">
        <v>0</v>
      </c>
      <c r="F5759" t="s">
        <v>11610</v>
      </c>
      <c r="L5759">
        <v>0</v>
      </c>
      <c r="M5759">
        <v>0</v>
      </c>
      <c r="N5759">
        <v>0</v>
      </c>
    </row>
    <row r="5760" spans="1:15">
      <c r="A5760" t="s">
        <v>27383</v>
      </c>
      <c r="B5760" t="s">
        <v>11615</v>
      </c>
      <c r="C5760" t="s">
        <v>19991</v>
      </c>
      <c r="D5760" t="s">
        <v>27384</v>
      </c>
      <c r="E5760" t="b">
        <v>0</v>
      </c>
      <c r="F5760" t="s">
        <v>11610</v>
      </c>
      <c r="L5760">
        <v>0</v>
      </c>
      <c r="M5760">
        <v>0</v>
      </c>
      <c r="N5760">
        <v>0</v>
      </c>
    </row>
    <row r="5761" spans="1:15">
      <c r="A5761" t="s">
        <v>25284</v>
      </c>
      <c r="B5761" t="s">
        <v>1342</v>
      </c>
      <c r="C5761" t="s">
        <v>1342</v>
      </c>
      <c r="D5761" t="s">
        <v>27385</v>
      </c>
      <c r="E5761" t="b">
        <v>0</v>
      </c>
      <c r="F5761" t="s">
        <v>11622</v>
      </c>
      <c r="L5761">
        <v>0</v>
      </c>
      <c r="M5761">
        <v>3</v>
      </c>
      <c r="N5761">
        <v>5</v>
      </c>
    </row>
    <row r="5762" spans="1:15">
      <c r="A5762" t="s">
        <v>27386</v>
      </c>
      <c r="B5762" t="s">
        <v>6742</v>
      </c>
      <c r="C5762" t="s">
        <v>12177</v>
      </c>
      <c r="D5762" t="s">
        <v>27387</v>
      </c>
      <c r="E5762" t="b">
        <v>0</v>
      </c>
      <c r="F5762" t="s">
        <v>11610</v>
      </c>
      <c r="L5762">
        <v>0</v>
      </c>
      <c r="M5762">
        <v>0</v>
      </c>
      <c r="N5762">
        <v>0</v>
      </c>
    </row>
    <row r="5763" spans="1:15">
      <c r="A5763" t="s">
        <v>12219</v>
      </c>
      <c r="B5763" t="s">
        <v>12218</v>
      </c>
      <c r="C5763" t="s">
        <v>16956</v>
      </c>
      <c r="D5763" t="s">
        <v>27388</v>
      </c>
      <c r="E5763" t="b">
        <v>0</v>
      </c>
      <c r="F5763" t="s">
        <v>11624</v>
      </c>
      <c r="G5763">
        <v>-9.0945099999999996</v>
      </c>
      <c r="H5763">
        <v>148.376</v>
      </c>
      <c r="I5763" t="s">
        <v>27389</v>
      </c>
      <c r="L5763">
        <v>0</v>
      </c>
      <c r="M5763">
        <v>0</v>
      </c>
      <c r="N5763">
        <v>14</v>
      </c>
      <c r="O5763" t="s">
        <v>11660</v>
      </c>
    </row>
    <row r="5764" spans="1:15">
      <c r="A5764" t="s">
        <v>27390</v>
      </c>
      <c r="B5764" t="s">
        <v>13244</v>
      </c>
      <c r="C5764" t="s">
        <v>27391</v>
      </c>
      <c r="D5764" t="s">
        <v>27392</v>
      </c>
      <c r="E5764" t="b">
        <v>0</v>
      </c>
      <c r="F5764" t="s">
        <v>11624</v>
      </c>
      <c r="G5764">
        <v>-11.726800000000001</v>
      </c>
      <c r="H5764">
        <v>-67.515000000000001</v>
      </c>
      <c r="I5764" t="s">
        <v>27393</v>
      </c>
      <c r="L5764">
        <v>0</v>
      </c>
      <c r="M5764">
        <v>0</v>
      </c>
      <c r="N5764">
        <v>0</v>
      </c>
      <c r="O5764" t="s">
        <v>27394</v>
      </c>
    </row>
    <row r="5765" spans="1:15">
      <c r="A5765" t="s">
        <v>27395</v>
      </c>
      <c r="B5765" t="s">
        <v>6742</v>
      </c>
      <c r="C5765" t="s">
        <v>17774</v>
      </c>
      <c r="D5765" t="s">
        <v>27396</v>
      </c>
      <c r="E5765" t="b">
        <v>0</v>
      </c>
      <c r="F5765" t="s">
        <v>11610</v>
      </c>
      <c r="L5765">
        <v>0</v>
      </c>
      <c r="M5765">
        <v>0</v>
      </c>
      <c r="N5765">
        <v>0</v>
      </c>
    </row>
    <row r="5766" spans="1:15">
      <c r="A5766" t="s">
        <v>27397</v>
      </c>
      <c r="B5766" t="s">
        <v>11637</v>
      </c>
      <c r="C5766" t="s">
        <v>14273</v>
      </c>
      <c r="D5766" t="s">
        <v>27398</v>
      </c>
      <c r="E5766" t="b">
        <v>0</v>
      </c>
      <c r="F5766" t="s">
        <v>11610</v>
      </c>
      <c r="L5766">
        <v>0</v>
      </c>
      <c r="M5766">
        <v>0</v>
      </c>
      <c r="N5766">
        <v>0</v>
      </c>
    </row>
    <row r="5767" spans="1:15">
      <c r="A5767" t="s">
        <v>27399</v>
      </c>
      <c r="B5767" t="s">
        <v>11644</v>
      </c>
      <c r="C5767" t="s">
        <v>27400</v>
      </c>
      <c r="D5767" t="s">
        <v>27401</v>
      </c>
      <c r="E5767" t="b">
        <v>0</v>
      </c>
      <c r="F5767" t="s">
        <v>11610</v>
      </c>
      <c r="L5767">
        <v>0</v>
      </c>
      <c r="M5767">
        <v>0</v>
      </c>
      <c r="N5767">
        <v>0</v>
      </c>
    </row>
    <row r="5768" spans="1:15">
      <c r="A5768" t="s">
        <v>27402</v>
      </c>
      <c r="B5768" t="s">
        <v>11637</v>
      </c>
      <c r="C5768" t="s">
        <v>27403</v>
      </c>
      <c r="D5768" t="s">
        <v>27404</v>
      </c>
      <c r="E5768" t="b">
        <v>0</v>
      </c>
      <c r="F5768" t="s">
        <v>11624</v>
      </c>
      <c r="G5768">
        <v>35.726700000000001</v>
      </c>
      <c r="H5768">
        <v>50.367699999999999</v>
      </c>
      <c r="I5768" t="s">
        <v>27405</v>
      </c>
      <c r="L5768">
        <v>0</v>
      </c>
      <c r="M5768">
        <v>0</v>
      </c>
      <c r="N5768">
        <v>0</v>
      </c>
      <c r="O5768" t="s">
        <v>13225</v>
      </c>
    </row>
    <row r="5769" spans="1:15">
      <c r="A5769" t="s">
        <v>27406</v>
      </c>
      <c r="B5769" t="s">
        <v>6742</v>
      </c>
      <c r="C5769" t="s">
        <v>21844</v>
      </c>
      <c r="D5769" t="s">
        <v>27407</v>
      </c>
      <c r="E5769" t="b">
        <v>0</v>
      </c>
      <c r="F5769" t="s">
        <v>11624</v>
      </c>
      <c r="G5769">
        <v>6.5009399999999999</v>
      </c>
      <c r="H5769">
        <v>9.8693600000000004</v>
      </c>
      <c r="I5769" t="s">
        <v>27408</v>
      </c>
      <c r="L5769">
        <v>0</v>
      </c>
      <c r="M5769">
        <v>0</v>
      </c>
      <c r="N5769">
        <v>0</v>
      </c>
      <c r="O5769" t="s">
        <v>11802</v>
      </c>
    </row>
    <row r="5770" spans="1:15">
      <c r="A5770" t="s">
        <v>27409</v>
      </c>
      <c r="B5770" t="s">
        <v>14629</v>
      </c>
      <c r="C5770" t="s">
        <v>14629</v>
      </c>
      <c r="D5770" t="s">
        <v>27410</v>
      </c>
      <c r="E5770" t="b">
        <v>0</v>
      </c>
      <c r="F5770" t="s">
        <v>11624</v>
      </c>
      <c r="I5770" t="s">
        <v>27411</v>
      </c>
      <c r="L5770">
        <v>0</v>
      </c>
      <c r="M5770">
        <v>0</v>
      </c>
      <c r="N5770">
        <v>0</v>
      </c>
      <c r="O5770" t="s">
        <v>11749</v>
      </c>
    </row>
    <row r="5771" spans="1:15">
      <c r="A5771" t="s">
        <v>27412</v>
      </c>
      <c r="B5771" t="s">
        <v>331</v>
      </c>
      <c r="C5771" t="s">
        <v>13639</v>
      </c>
      <c r="D5771" t="s">
        <v>27413</v>
      </c>
      <c r="E5771" t="b">
        <v>0</v>
      </c>
      <c r="F5771" t="s">
        <v>11610</v>
      </c>
      <c r="L5771">
        <v>0</v>
      </c>
      <c r="M5771">
        <v>0</v>
      </c>
      <c r="N5771">
        <v>0</v>
      </c>
    </row>
    <row r="5772" spans="1:15">
      <c r="A5772" t="s">
        <v>13014</v>
      </c>
      <c r="D5772" t="s">
        <v>27414</v>
      </c>
      <c r="E5772" t="b">
        <v>0</v>
      </c>
      <c r="F5772" t="s">
        <v>11622</v>
      </c>
      <c r="L5772">
        <v>5</v>
      </c>
      <c r="M5772">
        <v>12</v>
      </c>
      <c r="N5772">
        <v>29</v>
      </c>
    </row>
    <row r="5773" spans="1:15">
      <c r="A5773" t="s">
        <v>27415</v>
      </c>
      <c r="B5773" t="s">
        <v>13014</v>
      </c>
      <c r="C5773" t="s">
        <v>13014</v>
      </c>
      <c r="D5773" t="s">
        <v>27416</v>
      </c>
      <c r="E5773" t="b">
        <v>0</v>
      </c>
      <c r="F5773" t="s">
        <v>11622</v>
      </c>
      <c r="L5773">
        <v>4</v>
      </c>
      <c r="M5773">
        <v>11</v>
      </c>
      <c r="N5773">
        <v>27</v>
      </c>
    </row>
    <row r="5774" spans="1:15">
      <c r="A5774" t="s">
        <v>27417</v>
      </c>
      <c r="B5774" t="s">
        <v>13450</v>
      </c>
      <c r="C5774" t="s">
        <v>27418</v>
      </c>
      <c r="D5774" t="s">
        <v>27419</v>
      </c>
      <c r="E5774" t="b">
        <v>0</v>
      </c>
      <c r="F5774" t="s">
        <v>11624</v>
      </c>
      <c r="G5774">
        <v>70.11</v>
      </c>
      <c r="H5774">
        <v>-152.01</v>
      </c>
      <c r="L5774">
        <v>0</v>
      </c>
      <c r="M5774">
        <v>0</v>
      </c>
      <c r="N5774">
        <v>0</v>
      </c>
      <c r="O5774" t="s">
        <v>11944</v>
      </c>
    </row>
    <row r="5775" spans="1:15">
      <c r="A5775" t="s">
        <v>27418</v>
      </c>
      <c r="B5775" t="s">
        <v>13450</v>
      </c>
      <c r="C5775" t="s">
        <v>13450</v>
      </c>
      <c r="D5775" t="s">
        <v>27420</v>
      </c>
      <c r="E5775" t="b">
        <v>0</v>
      </c>
      <c r="F5775" t="s">
        <v>11622</v>
      </c>
      <c r="L5775">
        <v>0</v>
      </c>
      <c r="M5775">
        <v>2</v>
      </c>
      <c r="N5775">
        <v>0</v>
      </c>
    </row>
    <row r="5776" spans="1:15">
      <c r="A5776" t="s">
        <v>27421</v>
      </c>
      <c r="B5776" t="s">
        <v>14629</v>
      </c>
      <c r="C5776" t="s">
        <v>14629</v>
      </c>
      <c r="D5776" t="s">
        <v>27422</v>
      </c>
      <c r="E5776" t="b">
        <v>0</v>
      </c>
      <c r="F5776" t="s">
        <v>11624</v>
      </c>
      <c r="G5776">
        <v>49.327300000000001</v>
      </c>
      <c r="H5776">
        <v>2.8104499999999999</v>
      </c>
      <c r="I5776" t="s">
        <v>27423</v>
      </c>
      <c r="L5776">
        <v>0</v>
      </c>
      <c r="M5776">
        <v>0</v>
      </c>
      <c r="N5776">
        <v>0</v>
      </c>
      <c r="O5776" t="s">
        <v>27424</v>
      </c>
    </row>
    <row r="5777" spans="1:15">
      <c r="A5777" t="s">
        <v>21884</v>
      </c>
      <c r="B5777" t="s">
        <v>367</v>
      </c>
      <c r="C5777" t="s">
        <v>13357</v>
      </c>
      <c r="D5777" t="s">
        <v>27425</v>
      </c>
      <c r="E5777" t="b">
        <v>0</v>
      </c>
      <c r="F5777" t="s">
        <v>11622</v>
      </c>
      <c r="L5777">
        <v>8</v>
      </c>
      <c r="M5777">
        <v>29</v>
      </c>
      <c r="N5777">
        <v>5</v>
      </c>
    </row>
    <row r="5778" spans="1:15">
      <c r="A5778" t="s">
        <v>27426</v>
      </c>
      <c r="B5778" t="s">
        <v>367</v>
      </c>
      <c r="C5778" t="s">
        <v>14327</v>
      </c>
      <c r="D5778" t="s">
        <v>27427</v>
      </c>
      <c r="E5778" t="b">
        <v>0</v>
      </c>
      <c r="F5778" t="s">
        <v>11610</v>
      </c>
      <c r="L5778">
        <v>0</v>
      </c>
      <c r="M5778">
        <v>0</v>
      </c>
      <c r="N5778">
        <v>0</v>
      </c>
    </row>
    <row r="5779" spans="1:15">
      <c r="A5779" t="s">
        <v>27428</v>
      </c>
      <c r="D5779" t="s">
        <v>27429</v>
      </c>
      <c r="E5779" t="b">
        <v>0</v>
      </c>
      <c r="F5779" t="s">
        <v>11624</v>
      </c>
      <c r="G5779">
        <v>36.5473</v>
      </c>
      <c r="H5779">
        <v>-121.867</v>
      </c>
      <c r="I5779" t="s">
        <v>27430</v>
      </c>
      <c r="L5779">
        <v>0</v>
      </c>
      <c r="M5779">
        <v>0</v>
      </c>
      <c r="N5779">
        <v>0</v>
      </c>
      <c r="O5779" t="s">
        <v>11944</v>
      </c>
    </row>
    <row r="5780" spans="1:15">
      <c r="A5780" t="s">
        <v>27431</v>
      </c>
      <c r="B5780" t="s">
        <v>6742</v>
      </c>
      <c r="C5780" t="s">
        <v>18223</v>
      </c>
      <c r="D5780" t="s">
        <v>27432</v>
      </c>
      <c r="E5780" t="b">
        <v>0</v>
      </c>
      <c r="F5780" t="s">
        <v>11610</v>
      </c>
      <c r="L5780">
        <v>0</v>
      </c>
      <c r="M5780">
        <v>0</v>
      </c>
      <c r="N5780">
        <v>0</v>
      </c>
    </row>
    <row r="5781" spans="1:15">
      <c r="A5781" t="s">
        <v>27433</v>
      </c>
      <c r="B5781" t="s">
        <v>11637</v>
      </c>
      <c r="C5781" t="s">
        <v>27434</v>
      </c>
      <c r="D5781" t="s">
        <v>27435</v>
      </c>
      <c r="E5781" t="b">
        <v>0</v>
      </c>
      <c r="F5781" t="s">
        <v>11610</v>
      </c>
      <c r="L5781">
        <v>0</v>
      </c>
      <c r="M5781">
        <v>0</v>
      </c>
      <c r="N5781">
        <v>0</v>
      </c>
    </row>
    <row r="5782" spans="1:15">
      <c r="A5782" t="s">
        <v>27436</v>
      </c>
      <c r="B5782" t="s">
        <v>11637</v>
      </c>
      <c r="C5782" t="s">
        <v>22021</v>
      </c>
      <c r="D5782" t="s">
        <v>27437</v>
      </c>
      <c r="E5782" t="b">
        <v>0</v>
      </c>
      <c r="F5782" t="s">
        <v>11610</v>
      </c>
      <c r="L5782">
        <v>0</v>
      </c>
      <c r="M5782">
        <v>0</v>
      </c>
      <c r="N5782">
        <v>0</v>
      </c>
    </row>
    <row r="5783" spans="1:15">
      <c r="A5783" t="s">
        <v>27438</v>
      </c>
      <c r="B5783" t="s">
        <v>6742</v>
      </c>
      <c r="C5783" t="s">
        <v>17586</v>
      </c>
      <c r="D5783" t="s">
        <v>27439</v>
      </c>
      <c r="E5783" t="b">
        <v>0</v>
      </c>
      <c r="F5783" t="s">
        <v>11610</v>
      </c>
      <c r="L5783">
        <v>0</v>
      </c>
      <c r="M5783">
        <v>0</v>
      </c>
      <c r="N5783">
        <v>0</v>
      </c>
    </row>
    <row r="5784" spans="1:15">
      <c r="A5784" t="s">
        <v>27440</v>
      </c>
      <c r="B5784" t="s">
        <v>11879</v>
      </c>
      <c r="C5784" t="s">
        <v>27441</v>
      </c>
      <c r="D5784" t="s">
        <v>27442</v>
      </c>
      <c r="E5784" t="b">
        <v>0</v>
      </c>
      <c r="F5784" t="s">
        <v>11624</v>
      </c>
      <c r="G5784">
        <v>19.8781</v>
      </c>
      <c r="H5784">
        <v>-99.61</v>
      </c>
      <c r="I5784" t="s">
        <v>27443</v>
      </c>
      <c r="L5784">
        <v>0</v>
      </c>
      <c r="M5784">
        <v>0</v>
      </c>
      <c r="N5784">
        <v>1</v>
      </c>
      <c r="O5784" t="s">
        <v>11883</v>
      </c>
    </row>
    <row r="5785" spans="1:15">
      <c r="A5785" t="s">
        <v>27444</v>
      </c>
      <c r="B5785" t="s">
        <v>11981</v>
      </c>
      <c r="C5785" t="s">
        <v>12200</v>
      </c>
      <c r="D5785" t="s">
        <v>27445</v>
      </c>
      <c r="E5785" t="b">
        <v>0</v>
      </c>
      <c r="F5785" t="s">
        <v>11624</v>
      </c>
      <c r="G5785">
        <v>58.947000000000003</v>
      </c>
      <c r="H5785">
        <v>24.565999999999999</v>
      </c>
      <c r="I5785" t="s">
        <v>27446</v>
      </c>
      <c r="L5785">
        <v>0</v>
      </c>
      <c r="M5785">
        <v>0</v>
      </c>
      <c r="N5785">
        <v>0</v>
      </c>
      <c r="O5785" t="s">
        <v>27447</v>
      </c>
    </row>
    <row r="5786" spans="1:15">
      <c r="A5786" t="s">
        <v>27448</v>
      </c>
      <c r="B5786" t="s">
        <v>11637</v>
      </c>
      <c r="C5786" t="s">
        <v>27449</v>
      </c>
      <c r="D5786" t="s">
        <v>27450</v>
      </c>
      <c r="E5786" t="b">
        <v>0</v>
      </c>
      <c r="F5786" t="s">
        <v>11610</v>
      </c>
      <c r="L5786">
        <v>0</v>
      </c>
      <c r="M5786">
        <v>0</v>
      </c>
      <c r="N5786">
        <v>0</v>
      </c>
    </row>
    <row r="5787" spans="1:15">
      <c r="A5787" t="s">
        <v>1503</v>
      </c>
      <c r="B5787" t="s">
        <v>12260</v>
      </c>
      <c r="C5787" t="s">
        <v>21985</v>
      </c>
      <c r="D5787" t="s">
        <v>27451</v>
      </c>
      <c r="E5787" t="b">
        <v>0</v>
      </c>
      <c r="F5787" t="s">
        <v>11624</v>
      </c>
      <c r="G5787">
        <v>58.55</v>
      </c>
      <c r="H5787">
        <v>25.82</v>
      </c>
      <c r="I5787" t="s">
        <v>1504</v>
      </c>
      <c r="L5787">
        <v>0</v>
      </c>
      <c r="M5787">
        <v>0</v>
      </c>
      <c r="N5787">
        <v>2</v>
      </c>
      <c r="O5787" t="s">
        <v>27452</v>
      </c>
    </row>
    <row r="5788" spans="1:15">
      <c r="A5788" t="s">
        <v>27453</v>
      </c>
      <c r="B5788" t="s">
        <v>11637</v>
      </c>
      <c r="C5788" t="s">
        <v>25854</v>
      </c>
      <c r="D5788" t="s">
        <v>27454</v>
      </c>
      <c r="E5788" t="b">
        <v>0</v>
      </c>
      <c r="F5788" t="s">
        <v>11624</v>
      </c>
      <c r="G5788">
        <v>59.054720000000003</v>
      </c>
      <c r="H5788">
        <v>23.45</v>
      </c>
      <c r="L5788">
        <v>0</v>
      </c>
      <c r="M5788">
        <v>0</v>
      </c>
      <c r="N5788">
        <v>0</v>
      </c>
      <c r="O5788" t="s">
        <v>27447</v>
      </c>
    </row>
    <row r="5789" spans="1:15">
      <c r="A5789" t="s">
        <v>27455</v>
      </c>
      <c r="B5789" t="s">
        <v>11637</v>
      </c>
      <c r="C5789" t="s">
        <v>552</v>
      </c>
      <c r="D5789" t="s">
        <v>27456</v>
      </c>
      <c r="E5789" t="b">
        <v>0</v>
      </c>
      <c r="F5789" t="s">
        <v>11610</v>
      </c>
      <c r="L5789">
        <v>0</v>
      </c>
      <c r="M5789">
        <v>0</v>
      </c>
      <c r="N5789">
        <v>0</v>
      </c>
    </row>
    <row r="5790" spans="1:15">
      <c r="A5790" t="s">
        <v>27457</v>
      </c>
      <c r="B5790" t="s">
        <v>11637</v>
      </c>
      <c r="C5790" t="s">
        <v>11723</v>
      </c>
      <c r="D5790" t="s">
        <v>27458</v>
      </c>
      <c r="E5790" t="b">
        <v>0</v>
      </c>
      <c r="F5790" t="s">
        <v>11610</v>
      </c>
      <c r="L5790">
        <v>0</v>
      </c>
      <c r="M5790">
        <v>0</v>
      </c>
      <c r="N5790">
        <v>0</v>
      </c>
    </row>
    <row r="5791" spans="1:15">
      <c r="A5791" t="s">
        <v>27459</v>
      </c>
      <c r="B5791" t="s">
        <v>6455</v>
      </c>
      <c r="C5791" t="s">
        <v>20807</v>
      </c>
      <c r="D5791" t="s">
        <v>27460</v>
      </c>
      <c r="E5791" t="b">
        <v>0</v>
      </c>
      <c r="F5791" t="s">
        <v>11610</v>
      </c>
      <c r="L5791">
        <v>0</v>
      </c>
      <c r="M5791">
        <v>0</v>
      </c>
      <c r="N5791">
        <v>0</v>
      </c>
    </row>
    <row r="5792" spans="1:15">
      <c r="A5792" t="s">
        <v>27461</v>
      </c>
      <c r="B5792" t="s">
        <v>6742</v>
      </c>
      <c r="C5792" t="s">
        <v>12811</v>
      </c>
      <c r="D5792" t="s">
        <v>27462</v>
      </c>
      <c r="E5792" t="b">
        <v>0</v>
      </c>
      <c r="F5792" t="s">
        <v>11610</v>
      </c>
      <c r="L5792">
        <v>0</v>
      </c>
      <c r="M5792">
        <v>0</v>
      </c>
      <c r="N5792">
        <v>0</v>
      </c>
    </row>
    <row r="5793" spans="1:15">
      <c r="A5793" t="s">
        <v>27463</v>
      </c>
      <c r="B5793" t="s">
        <v>6742</v>
      </c>
      <c r="C5793" t="s">
        <v>15515</v>
      </c>
      <c r="D5793" t="s">
        <v>27464</v>
      </c>
      <c r="E5793" t="b">
        <v>0</v>
      </c>
      <c r="F5793" t="s">
        <v>11610</v>
      </c>
      <c r="L5793">
        <v>0</v>
      </c>
      <c r="M5793">
        <v>0</v>
      </c>
      <c r="N5793">
        <v>0</v>
      </c>
    </row>
    <row r="5794" spans="1:15">
      <c r="A5794" t="s">
        <v>27465</v>
      </c>
      <c r="B5794" t="s">
        <v>367</v>
      </c>
      <c r="C5794" t="s">
        <v>27319</v>
      </c>
      <c r="D5794" t="s">
        <v>27466</v>
      </c>
      <c r="E5794" t="b">
        <v>0</v>
      </c>
      <c r="F5794" t="s">
        <v>11610</v>
      </c>
      <c r="L5794">
        <v>0</v>
      </c>
      <c r="M5794">
        <v>0</v>
      </c>
      <c r="N5794">
        <v>0</v>
      </c>
    </row>
    <row r="5795" spans="1:15">
      <c r="A5795" t="s">
        <v>27467</v>
      </c>
      <c r="B5795" t="s">
        <v>12241</v>
      </c>
      <c r="C5795" t="s">
        <v>15040</v>
      </c>
      <c r="D5795" t="s">
        <v>27468</v>
      </c>
      <c r="E5795" t="b">
        <v>0</v>
      </c>
      <c r="F5795" t="s">
        <v>11624</v>
      </c>
      <c r="G5795">
        <v>5.2150400000000001</v>
      </c>
      <c r="H5795">
        <v>-3.05409</v>
      </c>
      <c r="I5795" t="s">
        <v>27469</v>
      </c>
      <c r="L5795">
        <v>0</v>
      </c>
      <c r="M5795">
        <v>0</v>
      </c>
      <c r="N5795">
        <v>0</v>
      </c>
      <c r="O5795" t="s">
        <v>11735</v>
      </c>
    </row>
    <row r="5796" spans="1:15">
      <c r="A5796" t="s">
        <v>27470</v>
      </c>
      <c r="B5796" t="s">
        <v>6742</v>
      </c>
      <c r="C5796" t="s">
        <v>20319</v>
      </c>
      <c r="D5796" t="s">
        <v>27471</v>
      </c>
      <c r="E5796" t="b">
        <v>0</v>
      </c>
      <c r="F5796" t="s">
        <v>11610</v>
      </c>
      <c r="L5796">
        <v>0</v>
      </c>
      <c r="M5796">
        <v>0</v>
      </c>
      <c r="N5796">
        <v>0</v>
      </c>
    </row>
    <row r="5797" spans="1:15">
      <c r="A5797" t="s">
        <v>27472</v>
      </c>
      <c r="B5797" t="s">
        <v>11844</v>
      </c>
      <c r="C5797" t="s">
        <v>12435</v>
      </c>
      <c r="D5797" t="s">
        <v>27473</v>
      </c>
      <c r="E5797" t="b">
        <v>0</v>
      </c>
      <c r="F5797" t="s">
        <v>11610</v>
      </c>
      <c r="L5797">
        <v>0</v>
      </c>
      <c r="M5797">
        <v>0</v>
      </c>
      <c r="N5797">
        <v>0</v>
      </c>
    </row>
    <row r="5798" spans="1:15">
      <c r="A5798" t="s">
        <v>27474</v>
      </c>
      <c r="B5798" t="s">
        <v>11844</v>
      </c>
      <c r="C5798" t="s">
        <v>11845</v>
      </c>
      <c r="D5798" t="s">
        <v>27475</v>
      </c>
      <c r="E5798" t="b">
        <v>0</v>
      </c>
      <c r="F5798" t="s">
        <v>11610</v>
      </c>
      <c r="L5798">
        <v>0</v>
      </c>
      <c r="M5798">
        <v>0</v>
      </c>
      <c r="N5798">
        <v>0</v>
      </c>
    </row>
    <row r="5799" spans="1:15">
      <c r="A5799" t="s">
        <v>27476</v>
      </c>
      <c r="B5799" t="s">
        <v>6742</v>
      </c>
      <c r="C5799" t="s">
        <v>26957</v>
      </c>
      <c r="D5799" t="s">
        <v>27477</v>
      </c>
      <c r="E5799" t="b">
        <v>0</v>
      </c>
      <c r="F5799" t="s">
        <v>11624</v>
      </c>
      <c r="G5799">
        <v>4.7905899999999999</v>
      </c>
      <c r="H5799">
        <v>7.9735699999999996</v>
      </c>
      <c r="I5799" t="s">
        <v>27478</v>
      </c>
      <c r="L5799">
        <v>0</v>
      </c>
      <c r="M5799">
        <v>0</v>
      </c>
      <c r="N5799">
        <v>0</v>
      </c>
      <c r="O5799" t="s">
        <v>11693</v>
      </c>
    </row>
    <row r="5800" spans="1:15">
      <c r="A5800" t="s">
        <v>27479</v>
      </c>
      <c r="B5800" t="s">
        <v>6742</v>
      </c>
      <c r="C5800" t="s">
        <v>18120</v>
      </c>
      <c r="D5800" t="s">
        <v>27480</v>
      </c>
      <c r="E5800" t="b">
        <v>0</v>
      </c>
      <c r="F5800" t="s">
        <v>11624</v>
      </c>
      <c r="G5800">
        <v>9.7307299999999994</v>
      </c>
      <c r="H5800">
        <v>8.6144300000000005</v>
      </c>
      <c r="I5800" t="s">
        <v>27481</v>
      </c>
      <c r="L5800">
        <v>0</v>
      </c>
      <c r="M5800">
        <v>0</v>
      </c>
      <c r="N5800">
        <v>0</v>
      </c>
      <c r="O5800" t="s">
        <v>11693</v>
      </c>
    </row>
    <row r="5801" spans="1:15">
      <c r="A5801" t="s">
        <v>27482</v>
      </c>
      <c r="B5801" t="s">
        <v>13360</v>
      </c>
      <c r="C5801" t="s">
        <v>13360</v>
      </c>
      <c r="D5801" t="s">
        <v>27483</v>
      </c>
      <c r="E5801" t="b">
        <v>0</v>
      </c>
      <c r="F5801" t="s">
        <v>11624</v>
      </c>
      <c r="I5801" t="s">
        <v>27484</v>
      </c>
      <c r="L5801">
        <v>0</v>
      </c>
      <c r="M5801">
        <v>0</v>
      </c>
      <c r="N5801">
        <v>0</v>
      </c>
      <c r="O5801" t="s">
        <v>13664</v>
      </c>
    </row>
    <row r="5802" spans="1:15">
      <c r="A5802" t="s">
        <v>27485</v>
      </c>
      <c r="B5802" t="s">
        <v>13360</v>
      </c>
      <c r="C5802" t="s">
        <v>13360</v>
      </c>
      <c r="D5802" t="s">
        <v>27486</v>
      </c>
      <c r="E5802" t="b">
        <v>0</v>
      </c>
      <c r="F5802" t="s">
        <v>11624</v>
      </c>
      <c r="I5802" t="s">
        <v>27487</v>
      </c>
      <c r="L5802">
        <v>0</v>
      </c>
      <c r="M5802">
        <v>0</v>
      </c>
      <c r="N5802">
        <v>0</v>
      </c>
      <c r="O5802" t="s">
        <v>23693</v>
      </c>
    </row>
    <row r="5803" spans="1:15">
      <c r="A5803" t="s">
        <v>27488</v>
      </c>
      <c r="B5803" t="s">
        <v>11981</v>
      </c>
      <c r="C5803" t="s">
        <v>13456</v>
      </c>
      <c r="D5803" t="s">
        <v>27489</v>
      </c>
      <c r="E5803" t="b">
        <v>0</v>
      </c>
      <c r="F5803" t="s">
        <v>11624</v>
      </c>
      <c r="G5803">
        <v>8.9761000000000006</v>
      </c>
      <c r="H5803">
        <v>38.853400000000001</v>
      </c>
      <c r="I5803" t="s">
        <v>27490</v>
      </c>
      <c r="L5803">
        <v>0</v>
      </c>
      <c r="M5803">
        <v>0</v>
      </c>
      <c r="N5803">
        <v>0</v>
      </c>
      <c r="O5803" t="s">
        <v>11625</v>
      </c>
    </row>
    <row r="5804" spans="1:15">
      <c r="A5804" t="s">
        <v>27491</v>
      </c>
      <c r="B5804" t="s">
        <v>11607</v>
      </c>
      <c r="C5804" t="s">
        <v>21795</v>
      </c>
      <c r="D5804" t="s">
        <v>27492</v>
      </c>
      <c r="E5804" t="b">
        <v>0</v>
      </c>
      <c r="F5804" t="s">
        <v>11622</v>
      </c>
      <c r="L5804">
        <v>11</v>
      </c>
      <c r="M5804">
        <v>16</v>
      </c>
      <c r="N5804">
        <v>24</v>
      </c>
    </row>
    <row r="5805" spans="1:15">
      <c r="A5805" t="s">
        <v>27493</v>
      </c>
      <c r="B5805" t="s">
        <v>6742</v>
      </c>
      <c r="C5805" t="s">
        <v>27494</v>
      </c>
      <c r="D5805" t="s">
        <v>27495</v>
      </c>
      <c r="E5805" t="b">
        <v>0</v>
      </c>
      <c r="F5805" t="s">
        <v>11624</v>
      </c>
      <c r="G5805">
        <v>7.1377300000000004</v>
      </c>
      <c r="H5805">
        <v>10.350099999999999</v>
      </c>
      <c r="I5805" t="s">
        <v>27496</v>
      </c>
      <c r="L5805">
        <v>0</v>
      </c>
      <c r="M5805">
        <v>0</v>
      </c>
      <c r="N5805">
        <v>0</v>
      </c>
      <c r="O5805" t="s">
        <v>11693</v>
      </c>
    </row>
    <row r="5806" spans="1:15">
      <c r="A5806" t="s">
        <v>27497</v>
      </c>
      <c r="B5806" t="s">
        <v>6742</v>
      </c>
      <c r="C5806" t="s">
        <v>18365</v>
      </c>
      <c r="D5806" t="s">
        <v>27498</v>
      </c>
      <c r="E5806" t="b">
        <v>0</v>
      </c>
      <c r="F5806" t="s">
        <v>11610</v>
      </c>
      <c r="L5806">
        <v>0</v>
      </c>
      <c r="M5806">
        <v>0</v>
      </c>
      <c r="N5806">
        <v>0</v>
      </c>
    </row>
    <row r="5807" spans="1:15">
      <c r="A5807" t="s">
        <v>27499</v>
      </c>
      <c r="B5807" t="s">
        <v>6742</v>
      </c>
      <c r="C5807" t="s">
        <v>11712</v>
      </c>
      <c r="D5807" t="s">
        <v>27500</v>
      </c>
      <c r="E5807" t="b">
        <v>0</v>
      </c>
      <c r="F5807" t="s">
        <v>11610</v>
      </c>
      <c r="L5807">
        <v>0</v>
      </c>
      <c r="M5807">
        <v>0</v>
      </c>
      <c r="N5807">
        <v>0</v>
      </c>
    </row>
    <row r="5808" spans="1:15">
      <c r="A5808" t="s">
        <v>18223</v>
      </c>
      <c r="B5808" t="s">
        <v>6742</v>
      </c>
      <c r="C5808" t="s">
        <v>20277</v>
      </c>
      <c r="D5808" t="s">
        <v>27501</v>
      </c>
      <c r="E5808" t="b">
        <v>0</v>
      </c>
      <c r="F5808" t="s">
        <v>11624</v>
      </c>
      <c r="G5808">
        <v>4.2104499999999998</v>
      </c>
      <c r="H5808">
        <v>11.3935</v>
      </c>
      <c r="I5808" t="s">
        <v>27502</v>
      </c>
      <c r="L5808">
        <v>0</v>
      </c>
      <c r="M5808">
        <v>0</v>
      </c>
      <c r="N5808">
        <v>4</v>
      </c>
      <c r="O5808" t="s">
        <v>11703</v>
      </c>
    </row>
    <row r="5809" spans="1:15">
      <c r="A5809" t="s">
        <v>27503</v>
      </c>
      <c r="B5809" t="s">
        <v>6742</v>
      </c>
      <c r="C5809" t="s">
        <v>27504</v>
      </c>
      <c r="D5809" t="s">
        <v>27505</v>
      </c>
      <c r="E5809" t="b">
        <v>0</v>
      </c>
      <c r="F5809" t="s">
        <v>11610</v>
      </c>
      <c r="L5809">
        <v>0</v>
      </c>
      <c r="M5809">
        <v>0</v>
      </c>
      <c r="N5809">
        <v>0</v>
      </c>
    </row>
    <row r="5810" spans="1:15">
      <c r="A5810" t="s">
        <v>27506</v>
      </c>
      <c r="B5810" t="s">
        <v>367</v>
      </c>
      <c r="C5810" t="s">
        <v>27507</v>
      </c>
      <c r="D5810" t="s">
        <v>27508</v>
      </c>
      <c r="E5810" t="b">
        <v>0</v>
      </c>
      <c r="F5810" t="s">
        <v>11624</v>
      </c>
      <c r="G5810">
        <v>-17.739999999999998</v>
      </c>
      <c r="H5810">
        <v>168.54900000000001</v>
      </c>
      <c r="I5810" t="s">
        <v>27509</v>
      </c>
      <c r="L5810">
        <v>0</v>
      </c>
      <c r="M5810">
        <v>0</v>
      </c>
      <c r="N5810">
        <v>2</v>
      </c>
      <c r="O5810" t="s">
        <v>12719</v>
      </c>
    </row>
    <row r="5811" spans="1:15">
      <c r="A5811" t="s">
        <v>27510</v>
      </c>
      <c r="B5811" t="s">
        <v>367</v>
      </c>
      <c r="C5811" t="s">
        <v>27506</v>
      </c>
      <c r="D5811" t="s">
        <v>27511</v>
      </c>
      <c r="E5811" t="b">
        <v>0</v>
      </c>
      <c r="F5811" t="s">
        <v>11610</v>
      </c>
      <c r="L5811">
        <v>0</v>
      </c>
      <c r="M5811">
        <v>0</v>
      </c>
      <c r="N5811">
        <v>0</v>
      </c>
    </row>
    <row r="5812" spans="1:15">
      <c r="A5812" t="s">
        <v>17626</v>
      </c>
      <c r="B5812" t="s">
        <v>7862</v>
      </c>
      <c r="C5812" t="s">
        <v>7862</v>
      </c>
      <c r="D5812" t="s">
        <v>27512</v>
      </c>
      <c r="E5812" t="b">
        <v>0</v>
      </c>
      <c r="F5812" t="s">
        <v>11622</v>
      </c>
      <c r="L5812">
        <v>0</v>
      </c>
      <c r="M5812">
        <v>2</v>
      </c>
      <c r="N5812">
        <v>4</v>
      </c>
    </row>
    <row r="5813" spans="1:15">
      <c r="A5813" t="s">
        <v>27513</v>
      </c>
      <c r="B5813" t="s">
        <v>11615</v>
      </c>
      <c r="C5813" t="s">
        <v>27514</v>
      </c>
      <c r="D5813" t="s">
        <v>27515</v>
      </c>
      <c r="E5813" t="b">
        <v>0</v>
      </c>
      <c r="F5813" t="s">
        <v>11622</v>
      </c>
      <c r="L5813">
        <v>0</v>
      </c>
      <c r="M5813">
        <v>2</v>
      </c>
      <c r="N5813">
        <v>0</v>
      </c>
    </row>
    <row r="5814" spans="1:15">
      <c r="A5814" t="s">
        <v>27516</v>
      </c>
      <c r="D5814" t="s">
        <v>27517</v>
      </c>
      <c r="E5814" t="b">
        <v>0</v>
      </c>
      <c r="F5814" t="s">
        <v>11624</v>
      </c>
      <c r="G5814">
        <v>41.9</v>
      </c>
      <c r="H5814">
        <v>12.4833</v>
      </c>
      <c r="I5814" t="s">
        <v>27518</v>
      </c>
      <c r="L5814">
        <v>0</v>
      </c>
      <c r="M5814">
        <v>0</v>
      </c>
      <c r="N5814">
        <v>0</v>
      </c>
      <c r="O5814" t="s">
        <v>13676</v>
      </c>
    </row>
    <row r="5815" spans="1:15">
      <c r="A5815" t="s">
        <v>27519</v>
      </c>
      <c r="B5815" t="s">
        <v>6742</v>
      </c>
      <c r="C5815" t="s">
        <v>27520</v>
      </c>
      <c r="D5815" t="s">
        <v>27521</v>
      </c>
      <c r="E5815" t="b">
        <v>0</v>
      </c>
      <c r="F5815" t="s">
        <v>11622</v>
      </c>
      <c r="L5815">
        <v>2</v>
      </c>
      <c r="M5815">
        <v>6</v>
      </c>
      <c r="N5815">
        <v>15</v>
      </c>
    </row>
    <row r="5816" spans="1:15">
      <c r="A5816" t="s">
        <v>27522</v>
      </c>
      <c r="B5816" t="s">
        <v>6742</v>
      </c>
      <c r="C5816" t="s">
        <v>27523</v>
      </c>
      <c r="D5816" t="s">
        <v>27524</v>
      </c>
      <c r="E5816" t="b">
        <v>0</v>
      </c>
      <c r="F5816" t="s">
        <v>11624</v>
      </c>
      <c r="G5816">
        <v>7.7586500000000003</v>
      </c>
      <c r="H5816">
        <v>9.4444700000000008</v>
      </c>
      <c r="I5816" t="s">
        <v>27525</v>
      </c>
      <c r="L5816">
        <v>0</v>
      </c>
      <c r="M5816">
        <v>0</v>
      </c>
      <c r="N5816">
        <v>0</v>
      </c>
      <c r="O5816" t="s">
        <v>11693</v>
      </c>
    </row>
    <row r="5817" spans="1:15">
      <c r="A5817" t="s">
        <v>27523</v>
      </c>
      <c r="B5817" t="s">
        <v>6742</v>
      </c>
      <c r="C5817" t="s">
        <v>27519</v>
      </c>
      <c r="D5817" t="s">
        <v>27526</v>
      </c>
      <c r="E5817" t="b">
        <v>0</v>
      </c>
      <c r="F5817" t="s">
        <v>11622</v>
      </c>
      <c r="L5817">
        <v>1</v>
      </c>
      <c r="M5817">
        <v>5</v>
      </c>
      <c r="N5817">
        <v>11</v>
      </c>
    </row>
    <row r="5818" spans="1:15">
      <c r="A5818" t="s">
        <v>27527</v>
      </c>
      <c r="B5818" t="s">
        <v>12751</v>
      </c>
      <c r="C5818" t="s">
        <v>27528</v>
      </c>
      <c r="D5818" t="s">
        <v>27529</v>
      </c>
      <c r="E5818" t="b">
        <v>0</v>
      </c>
      <c r="F5818" t="s">
        <v>11624</v>
      </c>
      <c r="G5818">
        <v>28.5</v>
      </c>
      <c r="H5818">
        <v>-110</v>
      </c>
      <c r="L5818">
        <v>0</v>
      </c>
      <c r="M5818">
        <v>0</v>
      </c>
      <c r="N5818">
        <v>0</v>
      </c>
      <c r="O5818" t="s">
        <v>11883</v>
      </c>
    </row>
    <row r="5819" spans="1:15">
      <c r="A5819" t="s">
        <v>27530</v>
      </c>
      <c r="B5819" t="s">
        <v>6742</v>
      </c>
      <c r="C5819" t="s">
        <v>4058</v>
      </c>
      <c r="D5819" t="s">
        <v>27531</v>
      </c>
      <c r="E5819" t="b">
        <v>0</v>
      </c>
      <c r="F5819" t="s">
        <v>11610</v>
      </c>
      <c r="L5819">
        <v>0</v>
      </c>
      <c r="M5819">
        <v>0</v>
      </c>
      <c r="N5819">
        <v>0</v>
      </c>
    </row>
    <row r="5820" spans="1:15">
      <c r="A5820" t="s">
        <v>27532</v>
      </c>
      <c r="B5820" t="s">
        <v>11607</v>
      </c>
      <c r="C5820" t="s">
        <v>13635</v>
      </c>
      <c r="D5820" t="s">
        <v>27533</v>
      </c>
      <c r="E5820" t="b">
        <v>0</v>
      </c>
      <c r="F5820" t="s">
        <v>11610</v>
      </c>
      <c r="L5820">
        <v>0</v>
      </c>
      <c r="M5820">
        <v>0</v>
      </c>
      <c r="N5820">
        <v>0</v>
      </c>
    </row>
    <row r="5821" spans="1:15">
      <c r="A5821" t="s">
        <v>27534</v>
      </c>
      <c r="B5821" t="s">
        <v>11627</v>
      </c>
      <c r="C5821" t="s">
        <v>11627</v>
      </c>
      <c r="D5821" t="s">
        <v>27535</v>
      </c>
      <c r="E5821" t="b">
        <v>1</v>
      </c>
      <c r="F5821" t="s">
        <v>11624</v>
      </c>
      <c r="I5821" t="s">
        <v>27536</v>
      </c>
      <c r="L5821">
        <v>0</v>
      </c>
      <c r="M5821">
        <v>0</v>
      </c>
      <c r="N5821">
        <v>0</v>
      </c>
    </row>
    <row r="5822" spans="1:15">
      <c r="A5822" t="s">
        <v>27537</v>
      </c>
      <c r="B5822" t="s">
        <v>6742</v>
      </c>
      <c r="C5822" t="s">
        <v>27538</v>
      </c>
      <c r="D5822" t="s">
        <v>27539</v>
      </c>
      <c r="E5822" t="b">
        <v>0</v>
      </c>
      <c r="F5822" t="s">
        <v>11610</v>
      </c>
      <c r="L5822">
        <v>0</v>
      </c>
      <c r="M5822">
        <v>0</v>
      </c>
      <c r="N5822">
        <v>0</v>
      </c>
    </row>
    <row r="5823" spans="1:15">
      <c r="A5823" t="s">
        <v>27540</v>
      </c>
      <c r="B5823" t="s">
        <v>6742</v>
      </c>
      <c r="C5823" t="s">
        <v>27541</v>
      </c>
      <c r="D5823" t="s">
        <v>27542</v>
      </c>
      <c r="E5823" t="b">
        <v>0</v>
      </c>
      <c r="F5823" t="s">
        <v>11624</v>
      </c>
      <c r="G5823">
        <v>6.3490599999999997</v>
      </c>
      <c r="H5823">
        <v>9.4643200000000007</v>
      </c>
      <c r="I5823" t="s">
        <v>27543</v>
      </c>
      <c r="L5823">
        <v>0</v>
      </c>
      <c r="M5823">
        <v>0</v>
      </c>
      <c r="N5823">
        <v>0</v>
      </c>
      <c r="O5823" t="s">
        <v>11802</v>
      </c>
    </row>
    <row r="5824" spans="1:15">
      <c r="A5824" t="s">
        <v>25543</v>
      </c>
      <c r="B5824" t="s">
        <v>11615</v>
      </c>
      <c r="C5824" t="s">
        <v>27544</v>
      </c>
      <c r="D5824" t="s">
        <v>27545</v>
      </c>
      <c r="E5824" t="b">
        <v>0</v>
      </c>
      <c r="F5824" t="s">
        <v>11622</v>
      </c>
      <c r="L5824">
        <v>1</v>
      </c>
      <c r="M5824">
        <v>4</v>
      </c>
      <c r="N5824">
        <v>2</v>
      </c>
    </row>
    <row r="5825" spans="1:15">
      <c r="A5825" t="s">
        <v>27546</v>
      </c>
      <c r="B5825" t="s">
        <v>11637</v>
      </c>
      <c r="C5825" t="s">
        <v>17320</v>
      </c>
      <c r="D5825" t="s">
        <v>27547</v>
      </c>
      <c r="E5825" t="b">
        <v>0</v>
      </c>
      <c r="F5825" t="s">
        <v>11610</v>
      </c>
      <c r="L5825">
        <v>0</v>
      </c>
      <c r="M5825">
        <v>0</v>
      </c>
      <c r="N5825">
        <v>0</v>
      </c>
    </row>
    <row r="5826" spans="1:15">
      <c r="A5826" t="s">
        <v>6182</v>
      </c>
      <c r="B5826" t="s">
        <v>12686</v>
      </c>
      <c r="C5826" t="s">
        <v>27548</v>
      </c>
      <c r="D5826" t="s">
        <v>27549</v>
      </c>
      <c r="E5826" t="b">
        <v>0</v>
      </c>
      <c r="F5826" t="s">
        <v>11624</v>
      </c>
      <c r="G5826">
        <v>53.85</v>
      </c>
      <c r="H5826">
        <v>108.626</v>
      </c>
      <c r="I5826" t="s">
        <v>6184</v>
      </c>
      <c r="L5826">
        <v>0</v>
      </c>
      <c r="M5826">
        <v>0</v>
      </c>
      <c r="N5826">
        <v>5</v>
      </c>
      <c r="O5826" t="s">
        <v>22632</v>
      </c>
    </row>
    <row r="5827" spans="1:15">
      <c r="A5827" t="s">
        <v>14581</v>
      </c>
      <c r="B5827" t="s">
        <v>12686</v>
      </c>
      <c r="C5827" t="s">
        <v>27550</v>
      </c>
      <c r="D5827" t="s">
        <v>27551</v>
      </c>
      <c r="E5827" t="b">
        <v>0</v>
      </c>
      <c r="F5827" t="s">
        <v>11624</v>
      </c>
      <c r="G5827">
        <v>70.668700000000001</v>
      </c>
      <c r="H5827">
        <v>130.91399999999999</v>
      </c>
      <c r="I5827" t="s">
        <v>27552</v>
      </c>
      <c r="L5827">
        <v>0</v>
      </c>
      <c r="M5827">
        <v>0</v>
      </c>
      <c r="N5827">
        <v>17</v>
      </c>
      <c r="O5827" t="s">
        <v>12748</v>
      </c>
    </row>
    <row r="5828" spans="1:15">
      <c r="A5828" t="s">
        <v>27553</v>
      </c>
      <c r="B5828" t="s">
        <v>11637</v>
      </c>
      <c r="C5828" t="s">
        <v>14730</v>
      </c>
      <c r="D5828" t="s">
        <v>27554</v>
      </c>
      <c r="E5828" t="b">
        <v>0</v>
      </c>
      <c r="F5828" t="s">
        <v>11610</v>
      </c>
      <c r="L5828">
        <v>0</v>
      </c>
      <c r="M5828">
        <v>0</v>
      </c>
      <c r="N5828">
        <v>0</v>
      </c>
    </row>
    <row r="5829" spans="1:15">
      <c r="A5829" t="s">
        <v>27555</v>
      </c>
      <c r="B5829" t="s">
        <v>6742</v>
      </c>
      <c r="C5829" t="s">
        <v>19987</v>
      </c>
      <c r="D5829" t="s">
        <v>27556</v>
      </c>
      <c r="E5829" t="b">
        <v>0</v>
      </c>
      <c r="F5829" t="s">
        <v>11624</v>
      </c>
      <c r="G5829">
        <v>-1.22</v>
      </c>
      <c r="H5829">
        <v>10.58</v>
      </c>
      <c r="I5829" t="s">
        <v>27557</v>
      </c>
      <c r="L5829">
        <v>0</v>
      </c>
      <c r="M5829">
        <v>0</v>
      </c>
      <c r="N5829">
        <v>0</v>
      </c>
      <c r="O5829" t="s">
        <v>16915</v>
      </c>
    </row>
    <row r="5830" spans="1:15">
      <c r="A5830" t="s">
        <v>27558</v>
      </c>
      <c r="B5830" t="s">
        <v>6742</v>
      </c>
      <c r="C5830" t="s">
        <v>15734</v>
      </c>
      <c r="D5830" t="s">
        <v>27559</v>
      </c>
      <c r="E5830" t="b">
        <v>0</v>
      </c>
      <c r="F5830" t="s">
        <v>11610</v>
      </c>
      <c r="L5830">
        <v>0</v>
      </c>
      <c r="M5830">
        <v>0</v>
      </c>
      <c r="N5830">
        <v>0</v>
      </c>
    </row>
    <row r="5831" spans="1:15">
      <c r="A5831" t="s">
        <v>27560</v>
      </c>
      <c r="B5831" t="s">
        <v>11615</v>
      </c>
      <c r="C5831" t="s">
        <v>17174</v>
      </c>
      <c r="D5831" t="s">
        <v>27561</v>
      </c>
      <c r="E5831" t="b">
        <v>0</v>
      </c>
      <c r="F5831" t="s">
        <v>11624</v>
      </c>
      <c r="G5831">
        <v>-8.6875599999999995</v>
      </c>
      <c r="H5831">
        <v>148.405</v>
      </c>
      <c r="I5831" t="s">
        <v>27562</v>
      </c>
      <c r="L5831">
        <v>0</v>
      </c>
      <c r="M5831">
        <v>0</v>
      </c>
      <c r="N5831">
        <v>2</v>
      </c>
      <c r="O5831" t="s">
        <v>11660</v>
      </c>
    </row>
    <row r="5832" spans="1:15">
      <c r="A5832" t="s">
        <v>27563</v>
      </c>
      <c r="B5832" t="s">
        <v>11637</v>
      </c>
      <c r="C5832" t="s">
        <v>12777</v>
      </c>
      <c r="D5832" t="s">
        <v>27564</v>
      </c>
      <c r="E5832" t="b">
        <v>0</v>
      </c>
      <c r="F5832" t="s">
        <v>11610</v>
      </c>
      <c r="L5832">
        <v>0</v>
      </c>
      <c r="M5832">
        <v>0</v>
      </c>
      <c r="N5832">
        <v>0</v>
      </c>
    </row>
    <row r="5833" spans="1:15">
      <c r="A5833" t="s">
        <v>134</v>
      </c>
      <c r="B5833" t="s">
        <v>6742</v>
      </c>
      <c r="C5833" t="s">
        <v>12003</v>
      </c>
      <c r="D5833" t="s">
        <v>133</v>
      </c>
      <c r="E5833" t="b">
        <v>0</v>
      </c>
      <c r="F5833" t="s">
        <v>11624</v>
      </c>
      <c r="G5833">
        <v>6.46061</v>
      </c>
      <c r="H5833">
        <v>0.814975</v>
      </c>
      <c r="I5833" t="s">
        <v>135</v>
      </c>
      <c r="L5833">
        <v>0</v>
      </c>
      <c r="M5833">
        <v>0</v>
      </c>
      <c r="N5833">
        <v>14</v>
      </c>
      <c r="O5833" t="s">
        <v>12006</v>
      </c>
    </row>
    <row r="5834" spans="1:15">
      <c r="A5834" t="s">
        <v>15734</v>
      </c>
      <c r="B5834" t="s">
        <v>6742</v>
      </c>
      <c r="C5834" t="s">
        <v>17644</v>
      </c>
      <c r="D5834" t="s">
        <v>27565</v>
      </c>
      <c r="E5834" t="b">
        <v>0</v>
      </c>
      <c r="F5834" t="s">
        <v>11624</v>
      </c>
      <c r="G5834">
        <v>4.2114099999999999</v>
      </c>
      <c r="H5834">
        <v>11.93646</v>
      </c>
      <c r="I5834" t="s">
        <v>27566</v>
      </c>
      <c r="L5834">
        <v>0</v>
      </c>
      <c r="M5834">
        <v>0</v>
      </c>
      <c r="N5834">
        <v>15</v>
      </c>
      <c r="O5834" t="s">
        <v>20279</v>
      </c>
    </row>
    <row r="5835" spans="1:15">
      <c r="A5835" t="s">
        <v>27567</v>
      </c>
      <c r="B5835" t="s">
        <v>13450</v>
      </c>
      <c r="C5835" t="s">
        <v>27568</v>
      </c>
      <c r="D5835" t="s">
        <v>27569</v>
      </c>
      <c r="E5835" t="b">
        <v>0</v>
      </c>
      <c r="F5835" t="s">
        <v>11624</v>
      </c>
      <c r="L5835">
        <v>0</v>
      </c>
      <c r="M5835">
        <v>0</v>
      </c>
      <c r="N5835">
        <v>0</v>
      </c>
      <c r="O5835" t="s">
        <v>11703</v>
      </c>
    </row>
    <row r="5836" spans="1:15">
      <c r="A5836" t="s">
        <v>17644</v>
      </c>
      <c r="B5836" t="s">
        <v>6742</v>
      </c>
      <c r="C5836" t="s">
        <v>20277</v>
      </c>
      <c r="D5836" t="s">
        <v>27570</v>
      </c>
      <c r="E5836" t="b">
        <v>0</v>
      </c>
      <c r="F5836" t="s">
        <v>11622</v>
      </c>
      <c r="L5836">
        <v>0</v>
      </c>
      <c r="M5836">
        <v>3</v>
      </c>
      <c r="N5836">
        <v>17</v>
      </c>
    </row>
    <row r="5837" spans="1:15">
      <c r="A5837" t="s">
        <v>27568</v>
      </c>
      <c r="B5837" t="s">
        <v>13450</v>
      </c>
      <c r="C5837" t="s">
        <v>13450</v>
      </c>
      <c r="D5837" t="s">
        <v>27571</v>
      </c>
      <c r="E5837" t="b">
        <v>0</v>
      </c>
      <c r="F5837" t="s">
        <v>11622</v>
      </c>
      <c r="L5837">
        <v>0</v>
      </c>
      <c r="M5837">
        <v>1</v>
      </c>
      <c r="N5837">
        <v>0</v>
      </c>
    </row>
    <row r="5838" spans="1:15">
      <c r="A5838" t="s">
        <v>4892</v>
      </c>
      <c r="B5838" t="s">
        <v>11637</v>
      </c>
      <c r="C5838" t="s">
        <v>21198</v>
      </c>
      <c r="D5838" t="s">
        <v>27572</v>
      </c>
      <c r="E5838" t="b">
        <v>0</v>
      </c>
      <c r="F5838" t="s">
        <v>11624</v>
      </c>
      <c r="G5838">
        <v>39.192599999999999</v>
      </c>
      <c r="H5838">
        <v>-6.1017900000000003</v>
      </c>
      <c r="I5838" t="s">
        <v>27573</v>
      </c>
      <c r="L5838">
        <v>0</v>
      </c>
      <c r="M5838">
        <v>0</v>
      </c>
      <c r="N5838">
        <v>3</v>
      </c>
      <c r="O5838" t="s">
        <v>14905</v>
      </c>
    </row>
    <row r="5839" spans="1:15">
      <c r="A5839" t="s">
        <v>27574</v>
      </c>
      <c r="B5839" t="s">
        <v>367</v>
      </c>
      <c r="C5839" t="s">
        <v>27575</v>
      </c>
      <c r="D5839" t="s">
        <v>27576</v>
      </c>
      <c r="E5839" t="b">
        <v>0</v>
      </c>
      <c r="F5839" t="s">
        <v>11622</v>
      </c>
      <c r="L5839">
        <v>3</v>
      </c>
      <c r="M5839">
        <v>5</v>
      </c>
      <c r="N5839">
        <v>8</v>
      </c>
    </row>
    <row r="5840" spans="1:15">
      <c r="A5840" t="s">
        <v>25523</v>
      </c>
      <c r="B5840" t="s">
        <v>367</v>
      </c>
      <c r="C5840" t="s">
        <v>27577</v>
      </c>
      <c r="D5840" t="s">
        <v>27578</v>
      </c>
      <c r="E5840" t="b">
        <v>0</v>
      </c>
      <c r="F5840" t="s">
        <v>11622</v>
      </c>
      <c r="L5840">
        <v>0</v>
      </c>
      <c r="M5840">
        <v>2</v>
      </c>
      <c r="N5840">
        <v>6</v>
      </c>
    </row>
    <row r="5841" spans="1:15">
      <c r="A5841" t="s">
        <v>27579</v>
      </c>
      <c r="B5841" t="s">
        <v>6742</v>
      </c>
      <c r="C5841" t="s">
        <v>27580</v>
      </c>
      <c r="D5841" t="s">
        <v>27581</v>
      </c>
      <c r="E5841" t="b">
        <v>0</v>
      </c>
      <c r="F5841" t="s">
        <v>11622</v>
      </c>
      <c r="L5841">
        <v>0</v>
      </c>
      <c r="M5841">
        <v>3</v>
      </c>
      <c r="N5841">
        <v>0</v>
      </c>
    </row>
    <row r="5842" spans="1:15">
      <c r="A5842" t="s">
        <v>27582</v>
      </c>
      <c r="B5842" t="s">
        <v>11981</v>
      </c>
      <c r="C5842" t="s">
        <v>11982</v>
      </c>
      <c r="D5842" t="s">
        <v>27583</v>
      </c>
      <c r="E5842" t="b">
        <v>0</v>
      </c>
      <c r="F5842" t="s">
        <v>11624</v>
      </c>
      <c r="G5842">
        <v>10.597222</v>
      </c>
      <c r="H5842">
        <v>14.315833</v>
      </c>
      <c r="L5842">
        <v>0</v>
      </c>
      <c r="M5842">
        <v>0</v>
      </c>
      <c r="N5842">
        <v>0</v>
      </c>
      <c r="O5842" t="s">
        <v>11703</v>
      </c>
    </row>
    <row r="5843" spans="1:15">
      <c r="A5843" t="s">
        <v>27584</v>
      </c>
      <c r="B5843" t="s">
        <v>12460</v>
      </c>
      <c r="C5843" t="s">
        <v>14989</v>
      </c>
      <c r="D5843" t="s">
        <v>27585</v>
      </c>
      <c r="E5843" t="b">
        <v>0</v>
      </c>
      <c r="F5843" t="s">
        <v>11624</v>
      </c>
      <c r="G5843">
        <v>60.423200000000001</v>
      </c>
      <c r="H5843">
        <v>-144.762</v>
      </c>
      <c r="I5843" t="s">
        <v>27586</v>
      </c>
      <c r="L5843">
        <v>0</v>
      </c>
      <c r="M5843">
        <v>0</v>
      </c>
      <c r="N5843">
        <v>0</v>
      </c>
      <c r="O5843" t="s">
        <v>11944</v>
      </c>
    </row>
    <row r="5844" spans="1:15">
      <c r="A5844" t="s">
        <v>27587</v>
      </c>
      <c r="B5844" t="s">
        <v>6742</v>
      </c>
      <c r="C5844" t="s">
        <v>27588</v>
      </c>
      <c r="D5844" t="s">
        <v>27589</v>
      </c>
      <c r="E5844" t="b">
        <v>0</v>
      </c>
      <c r="F5844" t="s">
        <v>11610</v>
      </c>
      <c r="I5844" t="s">
        <v>27590</v>
      </c>
      <c r="L5844">
        <v>0</v>
      </c>
      <c r="M5844">
        <v>0</v>
      </c>
      <c r="N5844">
        <v>0</v>
      </c>
    </row>
    <row r="5845" spans="1:15">
      <c r="A5845" t="s">
        <v>27591</v>
      </c>
      <c r="B5845" t="s">
        <v>11607</v>
      </c>
      <c r="C5845" t="s">
        <v>22119</v>
      </c>
      <c r="D5845" t="s">
        <v>27592</v>
      </c>
      <c r="E5845" t="b">
        <v>0</v>
      </c>
      <c r="F5845" t="s">
        <v>11610</v>
      </c>
      <c r="L5845">
        <v>0</v>
      </c>
      <c r="M5845">
        <v>0</v>
      </c>
      <c r="N5845">
        <v>0</v>
      </c>
    </row>
    <row r="5846" spans="1:15">
      <c r="A5846" t="s">
        <v>27593</v>
      </c>
      <c r="B5846" t="s">
        <v>6742</v>
      </c>
      <c r="C5846" t="s">
        <v>21489</v>
      </c>
      <c r="D5846" t="s">
        <v>27594</v>
      </c>
      <c r="E5846" t="b">
        <v>0</v>
      </c>
      <c r="F5846" t="s">
        <v>11610</v>
      </c>
      <c r="L5846">
        <v>0</v>
      </c>
      <c r="M5846">
        <v>0</v>
      </c>
      <c r="N5846">
        <v>0</v>
      </c>
    </row>
    <row r="5847" spans="1:15">
      <c r="A5847" t="s">
        <v>27595</v>
      </c>
      <c r="B5847" t="s">
        <v>6742</v>
      </c>
      <c r="C5847" t="s">
        <v>2522</v>
      </c>
      <c r="D5847" t="s">
        <v>27596</v>
      </c>
      <c r="E5847" t="b">
        <v>0</v>
      </c>
      <c r="F5847" t="s">
        <v>11610</v>
      </c>
      <c r="L5847">
        <v>0</v>
      </c>
      <c r="M5847">
        <v>0</v>
      </c>
      <c r="N5847">
        <v>0</v>
      </c>
    </row>
    <row r="5848" spans="1:15">
      <c r="A5848" t="s">
        <v>27597</v>
      </c>
      <c r="B5848" t="s">
        <v>11637</v>
      </c>
      <c r="C5848" t="s">
        <v>2886</v>
      </c>
      <c r="D5848" t="s">
        <v>27598</v>
      </c>
      <c r="E5848" t="b">
        <v>0</v>
      </c>
      <c r="F5848" t="s">
        <v>11610</v>
      </c>
      <c r="L5848">
        <v>0</v>
      </c>
      <c r="M5848">
        <v>0</v>
      </c>
      <c r="N5848">
        <v>0</v>
      </c>
    </row>
    <row r="5849" spans="1:15">
      <c r="A5849" t="s">
        <v>27599</v>
      </c>
      <c r="B5849" t="s">
        <v>367</v>
      </c>
      <c r="C5849" t="s">
        <v>27600</v>
      </c>
      <c r="D5849" t="s">
        <v>27601</v>
      </c>
      <c r="E5849" t="b">
        <v>0</v>
      </c>
      <c r="F5849" t="s">
        <v>11610</v>
      </c>
      <c r="L5849">
        <v>0</v>
      </c>
      <c r="M5849">
        <v>0</v>
      </c>
      <c r="N5849">
        <v>0</v>
      </c>
    </row>
    <row r="5850" spans="1:15">
      <c r="A5850" t="s">
        <v>27602</v>
      </c>
      <c r="B5850" t="s">
        <v>13967</v>
      </c>
      <c r="C5850" t="s">
        <v>18616</v>
      </c>
      <c r="D5850" t="s">
        <v>27603</v>
      </c>
      <c r="E5850" t="b">
        <v>0</v>
      </c>
      <c r="F5850" t="s">
        <v>11610</v>
      </c>
      <c r="L5850">
        <v>0</v>
      </c>
      <c r="M5850">
        <v>0</v>
      </c>
      <c r="N5850">
        <v>0</v>
      </c>
    </row>
    <row r="5851" spans="1:15">
      <c r="A5851" t="s">
        <v>27604</v>
      </c>
      <c r="B5851" t="s">
        <v>13967</v>
      </c>
      <c r="C5851" t="s">
        <v>21519</v>
      </c>
      <c r="D5851" t="s">
        <v>27605</v>
      </c>
      <c r="E5851" t="b">
        <v>0</v>
      </c>
      <c r="F5851" t="s">
        <v>11610</v>
      </c>
      <c r="L5851">
        <v>0</v>
      </c>
      <c r="M5851">
        <v>0</v>
      </c>
      <c r="N5851">
        <v>0</v>
      </c>
    </row>
    <row r="5852" spans="1:15">
      <c r="A5852" t="s">
        <v>27606</v>
      </c>
      <c r="B5852" t="s">
        <v>16115</v>
      </c>
      <c r="C5852" t="s">
        <v>16115</v>
      </c>
      <c r="D5852" t="s">
        <v>27607</v>
      </c>
      <c r="E5852" t="b">
        <v>0</v>
      </c>
      <c r="F5852" t="s">
        <v>11610</v>
      </c>
      <c r="L5852">
        <v>0</v>
      </c>
      <c r="M5852">
        <v>0</v>
      </c>
      <c r="N5852">
        <v>0</v>
      </c>
    </row>
    <row r="5853" spans="1:15">
      <c r="A5853" t="s">
        <v>27608</v>
      </c>
      <c r="B5853" t="s">
        <v>6742</v>
      </c>
      <c r="C5853" t="s">
        <v>16901</v>
      </c>
      <c r="D5853" t="s">
        <v>27609</v>
      </c>
      <c r="E5853" t="b">
        <v>0</v>
      </c>
      <c r="F5853" t="s">
        <v>11610</v>
      </c>
      <c r="L5853">
        <v>0</v>
      </c>
      <c r="M5853">
        <v>0</v>
      </c>
      <c r="N5853">
        <v>0</v>
      </c>
    </row>
    <row r="5854" spans="1:15">
      <c r="A5854" t="s">
        <v>27610</v>
      </c>
      <c r="B5854" t="s">
        <v>11637</v>
      </c>
      <c r="C5854" t="s">
        <v>13891</v>
      </c>
      <c r="D5854" t="s">
        <v>27611</v>
      </c>
      <c r="E5854" t="b">
        <v>0</v>
      </c>
      <c r="F5854" t="s">
        <v>11624</v>
      </c>
      <c r="G5854">
        <v>-1.4303300000000001</v>
      </c>
      <c r="H5854">
        <v>5.6187899999999997</v>
      </c>
      <c r="I5854" t="s">
        <v>27612</v>
      </c>
      <c r="L5854">
        <v>0</v>
      </c>
      <c r="M5854">
        <v>0</v>
      </c>
      <c r="N5854">
        <v>0</v>
      </c>
      <c r="O5854" t="s">
        <v>19979</v>
      </c>
    </row>
    <row r="5855" spans="1:15">
      <c r="A5855" t="s">
        <v>27613</v>
      </c>
      <c r="B5855" t="s">
        <v>6742</v>
      </c>
      <c r="C5855" t="s">
        <v>25711</v>
      </c>
      <c r="D5855" t="s">
        <v>27614</v>
      </c>
      <c r="E5855" t="b">
        <v>0</v>
      </c>
      <c r="F5855" t="s">
        <v>11610</v>
      </c>
      <c r="L5855">
        <v>0</v>
      </c>
      <c r="M5855">
        <v>0</v>
      </c>
      <c r="N5855">
        <v>0</v>
      </c>
    </row>
    <row r="5856" spans="1:15">
      <c r="A5856" t="s">
        <v>27615</v>
      </c>
      <c r="B5856" t="s">
        <v>11637</v>
      </c>
      <c r="C5856" t="s">
        <v>21288</v>
      </c>
      <c r="D5856" t="s">
        <v>27616</v>
      </c>
      <c r="E5856" t="b">
        <v>0</v>
      </c>
      <c r="F5856" t="s">
        <v>11610</v>
      </c>
      <c r="L5856">
        <v>0</v>
      </c>
      <c r="M5856">
        <v>0</v>
      </c>
      <c r="N5856">
        <v>0</v>
      </c>
    </row>
    <row r="5857" spans="1:15">
      <c r="A5857" t="s">
        <v>27617</v>
      </c>
      <c r="B5857" t="s">
        <v>11637</v>
      </c>
      <c r="C5857" t="s">
        <v>27618</v>
      </c>
      <c r="D5857" t="s">
        <v>27619</v>
      </c>
      <c r="E5857" t="b">
        <v>0</v>
      </c>
      <c r="F5857" t="s">
        <v>11624</v>
      </c>
      <c r="L5857">
        <v>0</v>
      </c>
      <c r="M5857">
        <v>0</v>
      </c>
      <c r="N5857">
        <v>0</v>
      </c>
      <c r="O5857" t="s">
        <v>13676</v>
      </c>
    </row>
    <row r="5858" spans="1:15">
      <c r="A5858" t="s">
        <v>12383</v>
      </c>
      <c r="B5858" t="s">
        <v>367</v>
      </c>
      <c r="C5858" t="s">
        <v>14619</v>
      </c>
      <c r="D5858" t="s">
        <v>27620</v>
      </c>
      <c r="E5858" t="b">
        <v>0</v>
      </c>
      <c r="F5858" t="s">
        <v>11624</v>
      </c>
      <c r="G5858">
        <v>-10.447900000000001</v>
      </c>
      <c r="H5858">
        <v>161.66200000000001</v>
      </c>
      <c r="I5858" t="s">
        <v>27621</v>
      </c>
      <c r="L5858">
        <v>0</v>
      </c>
      <c r="M5858">
        <v>0</v>
      </c>
      <c r="N5858">
        <v>3</v>
      </c>
      <c r="O5858" t="s">
        <v>13346</v>
      </c>
    </row>
    <row r="5859" spans="1:15">
      <c r="A5859" t="s">
        <v>27622</v>
      </c>
      <c r="B5859" t="s">
        <v>367</v>
      </c>
      <c r="C5859" t="s">
        <v>27600</v>
      </c>
      <c r="D5859" t="s">
        <v>27623</v>
      </c>
      <c r="E5859" t="b">
        <v>0</v>
      </c>
      <c r="F5859" t="s">
        <v>11610</v>
      </c>
      <c r="L5859">
        <v>0</v>
      </c>
      <c r="M5859">
        <v>0</v>
      </c>
      <c r="N5859">
        <v>0</v>
      </c>
    </row>
    <row r="5860" spans="1:15">
      <c r="A5860" t="s">
        <v>27624</v>
      </c>
      <c r="B5860" t="s">
        <v>15365</v>
      </c>
      <c r="C5860" t="s">
        <v>27625</v>
      </c>
      <c r="D5860" t="s">
        <v>27626</v>
      </c>
      <c r="E5860" t="b">
        <v>0</v>
      </c>
      <c r="F5860" t="s">
        <v>11610</v>
      </c>
      <c r="L5860">
        <v>0</v>
      </c>
      <c r="M5860">
        <v>0</v>
      </c>
      <c r="N5860">
        <v>0</v>
      </c>
    </row>
    <row r="5861" spans="1:15">
      <c r="A5861" t="s">
        <v>27627</v>
      </c>
      <c r="B5861" t="s">
        <v>367</v>
      </c>
      <c r="C5861" t="s">
        <v>14563</v>
      </c>
      <c r="D5861" t="s">
        <v>27628</v>
      </c>
      <c r="E5861" t="b">
        <v>0</v>
      </c>
      <c r="F5861" t="s">
        <v>11610</v>
      </c>
      <c r="L5861">
        <v>0</v>
      </c>
      <c r="M5861">
        <v>0</v>
      </c>
      <c r="N5861">
        <v>0</v>
      </c>
    </row>
    <row r="5862" spans="1:15">
      <c r="A5862" t="s">
        <v>27629</v>
      </c>
      <c r="B5862" t="s">
        <v>367</v>
      </c>
      <c r="C5862" t="s">
        <v>15089</v>
      </c>
      <c r="D5862" t="s">
        <v>27630</v>
      </c>
      <c r="E5862" t="b">
        <v>0</v>
      </c>
      <c r="F5862" t="s">
        <v>11624</v>
      </c>
      <c r="G5862">
        <v>17.980799999999999</v>
      </c>
      <c r="H5862">
        <v>121.43600000000001</v>
      </c>
      <c r="I5862" t="s">
        <v>27631</v>
      </c>
      <c r="L5862">
        <v>0</v>
      </c>
      <c r="M5862">
        <v>0</v>
      </c>
      <c r="N5862">
        <v>0</v>
      </c>
      <c r="O5862" t="s">
        <v>11749</v>
      </c>
    </row>
    <row r="5863" spans="1:15">
      <c r="A5863" t="s">
        <v>27632</v>
      </c>
      <c r="B5863" t="s">
        <v>11607</v>
      </c>
      <c r="C5863" t="s">
        <v>24470</v>
      </c>
      <c r="D5863" t="s">
        <v>27633</v>
      </c>
      <c r="E5863" t="b">
        <v>0</v>
      </c>
      <c r="F5863" t="s">
        <v>11610</v>
      </c>
      <c r="L5863">
        <v>0</v>
      </c>
      <c r="M5863">
        <v>0</v>
      </c>
      <c r="N5863">
        <v>0</v>
      </c>
    </row>
    <row r="5864" spans="1:15">
      <c r="A5864" t="s">
        <v>27634</v>
      </c>
      <c r="B5864" t="s">
        <v>11615</v>
      </c>
      <c r="C5864" t="s">
        <v>12572</v>
      </c>
      <c r="D5864" t="s">
        <v>27635</v>
      </c>
      <c r="E5864" t="b">
        <v>0</v>
      </c>
      <c r="F5864" t="s">
        <v>11624</v>
      </c>
      <c r="G5864">
        <v>-5.5994700000000002</v>
      </c>
      <c r="H5864">
        <v>145.298</v>
      </c>
      <c r="I5864" t="s">
        <v>27636</v>
      </c>
      <c r="L5864">
        <v>0</v>
      </c>
      <c r="M5864">
        <v>0</v>
      </c>
      <c r="N5864">
        <v>0</v>
      </c>
      <c r="O5864" t="s">
        <v>11660</v>
      </c>
    </row>
    <row r="5865" spans="1:15">
      <c r="A5865" t="s">
        <v>13843</v>
      </c>
      <c r="B5865" t="s">
        <v>11615</v>
      </c>
      <c r="C5865" t="s">
        <v>18644</v>
      </c>
      <c r="D5865" t="s">
        <v>27637</v>
      </c>
      <c r="E5865" t="b">
        <v>0</v>
      </c>
      <c r="F5865" t="s">
        <v>11624</v>
      </c>
      <c r="G5865">
        <v>-5.4966999999999997</v>
      </c>
      <c r="H5865">
        <v>141.65600000000001</v>
      </c>
      <c r="I5865" t="s">
        <v>27638</v>
      </c>
      <c r="L5865">
        <v>0</v>
      </c>
      <c r="M5865">
        <v>0</v>
      </c>
      <c r="N5865">
        <v>3</v>
      </c>
      <c r="O5865" t="s">
        <v>24525</v>
      </c>
    </row>
    <row r="5866" spans="1:15">
      <c r="A5866" t="s">
        <v>27639</v>
      </c>
      <c r="B5866" t="s">
        <v>11615</v>
      </c>
      <c r="C5866" t="s">
        <v>13843</v>
      </c>
      <c r="D5866" t="s">
        <v>27640</v>
      </c>
      <c r="E5866" t="b">
        <v>0</v>
      </c>
      <c r="F5866" t="s">
        <v>11610</v>
      </c>
      <c r="L5866">
        <v>0</v>
      </c>
      <c r="M5866">
        <v>0</v>
      </c>
      <c r="N5866">
        <v>0</v>
      </c>
    </row>
    <row r="5867" spans="1:15">
      <c r="A5867" t="s">
        <v>27641</v>
      </c>
      <c r="B5867" t="s">
        <v>367</v>
      </c>
      <c r="C5867" t="s">
        <v>17655</v>
      </c>
      <c r="D5867" t="s">
        <v>27642</v>
      </c>
      <c r="E5867" t="b">
        <v>0</v>
      </c>
      <c r="F5867" t="s">
        <v>11610</v>
      </c>
      <c r="L5867">
        <v>0</v>
      </c>
      <c r="M5867">
        <v>0</v>
      </c>
      <c r="N5867">
        <v>0</v>
      </c>
    </row>
    <row r="5868" spans="1:15">
      <c r="A5868" t="s">
        <v>27643</v>
      </c>
      <c r="B5868" t="s">
        <v>11637</v>
      </c>
      <c r="C5868" t="s">
        <v>27644</v>
      </c>
      <c r="D5868" t="s">
        <v>27645</v>
      </c>
      <c r="E5868" t="b">
        <v>0</v>
      </c>
      <c r="F5868" t="s">
        <v>11624</v>
      </c>
      <c r="G5868">
        <v>40.165100000000002</v>
      </c>
      <c r="H5868">
        <v>-6.9145200000000004</v>
      </c>
      <c r="I5868" t="s">
        <v>27646</v>
      </c>
      <c r="L5868">
        <v>0</v>
      </c>
      <c r="M5868">
        <v>0</v>
      </c>
      <c r="N5868">
        <v>3</v>
      </c>
      <c r="O5868" t="s">
        <v>14905</v>
      </c>
    </row>
    <row r="5869" spans="1:15">
      <c r="A5869" t="s">
        <v>17538</v>
      </c>
      <c r="B5869" t="s">
        <v>11644</v>
      </c>
      <c r="C5869" t="s">
        <v>27647</v>
      </c>
      <c r="D5869" t="s">
        <v>27648</v>
      </c>
      <c r="E5869" t="b">
        <v>0</v>
      </c>
      <c r="F5869" t="s">
        <v>11622</v>
      </c>
      <c r="L5869">
        <v>0</v>
      </c>
      <c r="M5869">
        <v>3</v>
      </c>
      <c r="N5869">
        <v>0</v>
      </c>
    </row>
    <row r="5870" spans="1:15">
      <c r="A5870" t="s">
        <v>27649</v>
      </c>
      <c r="B5870" t="s">
        <v>11644</v>
      </c>
      <c r="C5870" t="s">
        <v>17538</v>
      </c>
      <c r="D5870" t="s">
        <v>27650</v>
      </c>
      <c r="E5870" t="b">
        <v>0</v>
      </c>
      <c r="F5870" t="s">
        <v>11624</v>
      </c>
      <c r="G5870">
        <v>23.789283333299998</v>
      </c>
      <c r="H5870">
        <v>92.325463333299993</v>
      </c>
      <c r="I5870" t="s">
        <v>27651</v>
      </c>
      <c r="L5870">
        <v>0</v>
      </c>
      <c r="M5870">
        <v>0</v>
      </c>
      <c r="N5870">
        <v>0</v>
      </c>
      <c r="O5870" t="s">
        <v>17541</v>
      </c>
    </row>
    <row r="5871" spans="1:15">
      <c r="A5871" t="s">
        <v>27652</v>
      </c>
      <c r="B5871" t="s">
        <v>367</v>
      </c>
      <c r="C5871" t="s">
        <v>27600</v>
      </c>
      <c r="D5871" t="s">
        <v>27653</v>
      </c>
      <c r="E5871" t="b">
        <v>0</v>
      </c>
      <c r="F5871" t="s">
        <v>11610</v>
      </c>
      <c r="L5871">
        <v>0</v>
      </c>
      <c r="M5871">
        <v>0</v>
      </c>
      <c r="N5871">
        <v>0</v>
      </c>
    </row>
    <row r="5872" spans="1:15">
      <c r="A5872" t="s">
        <v>27654</v>
      </c>
      <c r="B5872" t="s">
        <v>11627</v>
      </c>
      <c r="C5872" t="s">
        <v>11627</v>
      </c>
      <c r="D5872" t="s">
        <v>27655</v>
      </c>
      <c r="E5872" t="b">
        <v>1</v>
      </c>
      <c r="F5872" t="s">
        <v>11624</v>
      </c>
      <c r="I5872" t="s">
        <v>27656</v>
      </c>
      <c r="L5872">
        <v>0</v>
      </c>
      <c r="M5872">
        <v>0</v>
      </c>
      <c r="N5872">
        <v>0</v>
      </c>
    </row>
    <row r="5873" spans="1:15">
      <c r="A5873" t="s">
        <v>27657</v>
      </c>
      <c r="B5873" t="s">
        <v>11607</v>
      </c>
      <c r="C5873" t="s">
        <v>24456</v>
      </c>
      <c r="D5873" t="s">
        <v>27658</v>
      </c>
      <c r="E5873" t="b">
        <v>0</v>
      </c>
      <c r="F5873" t="s">
        <v>11610</v>
      </c>
      <c r="L5873">
        <v>0</v>
      </c>
      <c r="M5873">
        <v>0</v>
      </c>
      <c r="N5873">
        <v>0</v>
      </c>
    </row>
    <row r="5874" spans="1:15">
      <c r="A5874" t="s">
        <v>27659</v>
      </c>
      <c r="B5874" t="s">
        <v>6742</v>
      </c>
      <c r="C5874" t="s">
        <v>17809</v>
      </c>
      <c r="D5874" t="s">
        <v>27660</v>
      </c>
      <c r="E5874" t="b">
        <v>0</v>
      </c>
      <c r="F5874" t="s">
        <v>11610</v>
      </c>
      <c r="L5874">
        <v>0</v>
      </c>
      <c r="M5874">
        <v>0</v>
      </c>
      <c r="N5874">
        <v>0</v>
      </c>
    </row>
    <row r="5875" spans="1:15">
      <c r="A5875" t="s">
        <v>27661</v>
      </c>
      <c r="B5875" t="s">
        <v>11607</v>
      </c>
      <c r="C5875" t="s">
        <v>27662</v>
      </c>
      <c r="D5875" t="s">
        <v>27663</v>
      </c>
      <c r="E5875" t="b">
        <v>0</v>
      </c>
      <c r="F5875" t="s">
        <v>11624</v>
      </c>
      <c r="G5875">
        <v>10.5419</v>
      </c>
      <c r="H5875">
        <v>13.4087</v>
      </c>
      <c r="I5875" t="s">
        <v>27664</v>
      </c>
      <c r="L5875">
        <v>0</v>
      </c>
      <c r="M5875">
        <v>0</v>
      </c>
      <c r="N5875">
        <v>0</v>
      </c>
      <c r="O5875" t="s">
        <v>11802</v>
      </c>
    </row>
    <row r="5876" spans="1:15">
      <c r="A5876" t="s">
        <v>27665</v>
      </c>
      <c r="B5876" t="s">
        <v>11607</v>
      </c>
      <c r="C5876" t="s">
        <v>27666</v>
      </c>
      <c r="D5876" t="s">
        <v>27667</v>
      </c>
      <c r="E5876" t="b">
        <v>0</v>
      </c>
      <c r="F5876" t="s">
        <v>11610</v>
      </c>
      <c r="L5876">
        <v>0</v>
      </c>
      <c r="M5876">
        <v>0</v>
      </c>
      <c r="N5876">
        <v>0</v>
      </c>
    </row>
    <row r="5877" spans="1:15">
      <c r="A5877" t="s">
        <v>27668</v>
      </c>
      <c r="B5877" t="s">
        <v>11607</v>
      </c>
      <c r="C5877" t="s">
        <v>27666</v>
      </c>
      <c r="D5877" t="s">
        <v>27669</v>
      </c>
      <c r="E5877" t="b">
        <v>0</v>
      </c>
      <c r="F5877" t="s">
        <v>11610</v>
      </c>
      <c r="L5877">
        <v>0</v>
      </c>
      <c r="M5877">
        <v>0</v>
      </c>
      <c r="N5877">
        <v>0</v>
      </c>
    </row>
    <row r="5878" spans="1:15">
      <c r="A5878" t="s">
        <v>27670</v>
      </c>
      <c r="B5878" t="s">
        <v>11607</v>
      </c>
      <c r="C5878" t="s">
        <v>27666</v>
      </c>
      <c r="D5878" t="s">
        <v>27671</v>
      </c>
      <c r="E5878" t="b">
        <v>0</v>
      </c>
      <c r="F5878" t="s">
        <v>11610</v>
      </c>
      <c r="L5878">
        <v>0</v>
      </c>
      <c r="M5878">
        <v>0</v>
      </c>
      <c r="N5878">
        <v>0</v>
      </c>
    </row>
    <row r="5879" spans="1:15">
      <c r="A5879" t="s">
        <v>27672</v>
      </c>
      <c r="B5879" t="s">
        <v>11607</v>
      </c>
      <c r="C5879" t="s">
        <v>27666</v>
      </c>
      <c r="D5879" t="s">
        <v>27673</v>
      </c>
      <c r="E5879" t="b">
        <v>0</v>
      </c>
      <c r="F5879" t="s">
        <v>11610</v>
      </c>
      <c r="L5879">
        <v>0</v>
      </c>
      <c r="M5879">
        <v>0</v>
      </c>
      <c r="N5879">
        <v>0</v>
      </c>
    </row>
    <row r="5880" spans="1:15">
      <c r="A5880" t="s">
        <v>27662</v>
      </c>
      <c r="B5880" t="s">
        <v>11607</v>
      </c>
      <c r="C5880" t="s">
        <v>27674</v>
      </c>
      <c r="D5880" t="s">
        <v>27675</v>
      </c>
      <c r="E5880" t="b">
        <v>0</v>
      </c>
      <c r="F5880" t="s">
        <v>11622</v>
      </c>
      <c r="L5880">
        <v>0</v>
      </c>
      <c r="M5880">
        <v>2</v>
      </c>
      <c r="N5880">
        <v>4</v>
      </c>
    </row>
    <row r="5881" spans="1:15">
      <c r="A5881" t="s">
        <v>27676</v>
      </c>
      <c r="B5881" t="s">
        <v>11637</v>
      </c>
      <c r="C5881" t="s">
        <v>27677</v>
      </c>
      <c r="D5881" t="s">
        <v>27678</v>
      </c>
      <c r="E5881" t="b">
        <v>0</v>
      </c>
      <c r="F5881" t="s">
        <v>11624</v>
      </c>
      <c r="I5881" t="s">
        <v>27679</v>
      </c>
      <c r="L5881">
        <v>0</v>
      </c>
      <c r="M5881">
        <v>0</v>
      </c>
      <c r="N5881">
        <v>0</v>
      </c>
      <c r="O5881" t="s">
        <v>13676</v>
      </c>
    </row>
    <row r="5882" spans="1:15">
      <c r="A5882" t="s">
        <v>27680</v>
      </c>
      <c r="B5882" t="s">
        <v>11868</v>
      </c>
      <c r="C5882" t="s">
        <v>27681</v>
      </c>
      <c r="D5882" t="s">
        <v>27682</v>
      </c>
      <c r="E5882" t="b">
        <v>0</v>
      </c>
      <c r="F5882" t="s">
        <v>11610</v>
      </c>
      <c r="L5882">
        <v>0</v>
      </c>
      <c r="M5882">
        <v>0</v>
      </c>
      <c r="N5882">
        <v>0</v>
      </c>
    </row>
    <row r="5883" spans="1:15">
      <c r="A5883" t="s">
        <v>18081</v>
      </c>
      <c r="B5883" t="s">
        <v>11981</v>
      </c>
      <c r="C5883" t="s">
        <v>11981</v>
      </c>
      <c r="D5883" t="s">
        <v>27683</v>
      </c>
      <c r="E5883" t="b">
        <v>0</v>
      </c>
      <c r="F5883" t="s">
        <v>11622</v>
      </c>
      <c r="L5883">
        <v>0</v>
      </c>
      <c r="M5883">
        <v>1</v>
      </c>
      <c r="N5883">
        <v>0</v>
      </c>
    </row>
    <row r="5884" spans="1:15">
      <c r="A5884" t="s">
        <v>27684</v>
      </c>
      <c r="B5884" t="s">
        <v>6742</v>
      </c>
      <c r="C5884" t="s">
        <v>27685</v>
      </c>
      <c r="D5884" t="s">
        <v>27686</v>
      </c>
      <c r="E5884" t="b">
        <v>0</v>
      </c>
      <c r="F5884" t="s">
        <v>11624</v>
      </c>
      <c r="G5884">
        <v>7.54277</v>
      </c>
      <c r="H5884">
        <v>10.505000000000001</v>
      </c>
      <c r="I5884" t="s">
        <v>27687</v>
      </c>
      <c r="L5884">
        <v>0</v>
      </c>
      <c r="M5884">
        <v>0</v>
      </c>
      <c r="N5884">
        <v>0</v>
      </c>
      <c r="O5884" t="s">
        <v>11693</v>
      </c>
    </row>
    <row r="5885" spans="1:15">
      <c r="A5885" t="s">
        <v>22545</v>
      </c>
      <c r="B5885" t="s">
        <v>13450</v>
      </c>
      <c r="C5885" t="s">
        <v>27688</v>
      </c>
      <c r="D5885" t="s">
        <v>27689</v>
      </c>
      <c r="E5885" t="b">
        <v>0</v>
      </c>
      <c r="F5885" t="s">
        <v>11624</v>
      </c>
      <c r="G5885">
        <v>-25.384841999999999</v>
      </c>
      <c r="H5885">
        <v>27.140083333300002</v>
      </c>
      <c r="I5885" t="s">
        <v>27690</v>
      </c>
      <c r="L5885">
        <v>0</v>
      </c>
      <c r="M5885">
        <v>0</v>
      </c>
      <c r="N5885">
        <v>2</v>
      </c>
      <c r="O5885" t="s">
        <v>27691</v>
      </c>
    </row>
    <row r="5886" spans="1:15">
      <c r="A5886" t="s">
        <v>27692</v>
      </c>
      <c r="B5886" t="s">
        <v>6742</v>
      </c>
      <c r="C5886" t="s">
        <v>15674</v>
      </c>
      <c r="D5886" t="s">
        <v>27693</v>
      </c>
      <c r="E5886" t="b">
        <v>0</v>
      </c>
      <c r="F5886" t="s">
        <v>11610</v>
      </c>
      <c r="L5886">
        <v>0</v>
      </c>
      <c r="M5886">
        <v>0</v>
      </c>
      <c r="N5886">
        <v>0</v>
      </c>
    </row>
    <row r="5887" spans="1:15">
      <c r="A5887" t="s">
        <v>8425</v>
      </c>
      <c r="B5887" t="s">
        <v>6742</v>
      </c>
      <c r="C5887" t="s">
        <v>20277</v>
      </c>
      <c r="D5887" t="s">
        <v>27694</v>
      </c>
      <c r="E5887" t="b">
        <v>0</v>
      </c>
      <c r="F5887" t="s">
        <v>11624</v>
      </c>
      <c r="G5887">
        <v>1.723965</v>
      </c>
      <c r="H5887">
        <v>11.61454</v>
      </c>
      <c r="I5887" t="s">
        <v>8426</v>
      </c>
      <c r="L5887">
        <v>0</v>
      </c>
      <c r="M5887">
        <v>0</v>
      </c>
      <c r="N5887">
        <v>5</v>
      </c>
      <c r="O5887" t="s">
        <v>27695</v>
      </c>
    </row>
    <row r="5888" spans="1:15">
      <c r="A5888" t="s">
        <v>27696</v>
      </c>
      <c r="B5888" t="s">
        <v>6742</v>
      </c>
      <c r="C5888" t="s">
        <v>8425</v>
      </c>
      <c r="D5888" t="s">
        <v>8424</v>
      </c>
      <c r="E5888" t="b">
        <v>0</v>
      </c>
      <c r="F5888" t="s">
        <v>11610</v>
      </c>
      <c r="L5888">
        <v>0</v>
      </c>
      <c r="M5888">
        <v>0</v>
      </c>
      <c r="N5888">
        <v>0</v>
      </c>
    </row>
    <row r="5889" spans="1:15">
      <c r="A5889" t="s">
        <v>27697</v>
      </c>
      <c r="B5889" t="s">
        <v>6742</v>
      </c>
      <c r="C5889" t="s">
        <v>11700</v>
      </c>
      <c r="D5889" t="s">
        <v>27698</v>
      </c>
      <c r="E5889" t="b">
        <v>0</v>
      </c>
      <c r="F5889" t="s">
        <v>11624</v>
      </c>
      <c r="G5889">
        <v>6.5438400000000003</v>
      </c>
      <c r="H5889">
        <v>10.319000000000001</v>
      </c>
      <c r="I5889" t="s">
        <v>27699</v>
      </c>
      <c r="L5889">
        <v>0</v>
      </c>
      <c r="M5889">
        <v>0</v>
      </c>
      <c r="N5889">
        <v>0</v>
      </c>
      <c r="O5889" t="s">
        <v>11703</v>
      </c>
    </row>
    <row r="5890" spans="1:15">
      <c r="A5890" t="s">
        <v>27700</v>
      </c>
      <c r="B5890" t="s">
        <v>367</v>
      </c>
      <c r="C5890" t="s">
        <v>27701</v>
      </c>
      <c r="D5890" t="s">
        <v>27702</v>
      </c>
      <c r="E5890" t="b">
        <v>0</v>
      </c>
      <c r="F5890" t="s">
        <v>11610</v>
      </c>
      <c r="L5890">
        <v>0</v>
      </c>
      <c r="M5890">
        <v>0</v>
      </c>
      <c r="N5890">
        <v>0</v>
      </c>
    </row>
    <row r="5891" spans="1:15">
      <c r="A5891" t="s">
        <v>27703</v>
      </c>
      <c r="B5891" t="s">
        <v>6742</v>
      </c>
      <c r="C5891" t="s">
        <v>27704</v>
      </c>
      <c r="D5891" t="s">
        <v>27705</v>
      </c>
      <c r="E5891" t="b">
        <v>0</v>
      </c>
      <c r="F5891" t="s">
        <v>11624</v>
      </c>
      <c r="G5891">
        <v>10.291</v>
      </c>
      <c r="H5891">
        <v>18.75</v>
      </c>
      <c r="I5891" t="s">
        <v>27706</v>
      </c>
      <c r="L5891">
        <v>0</v>
      </c>
      <c r="M5891">
        <v>0</v>
      </c>
      <c r="N5891">
        <v>2</v>
      </c>
      <c r="O5891" t="s">
        <v>13421</v>
      </c>
    </row>
    <row r="5892" spans="1:15">
      <c r="A5892" t="s">
        <v>27707</v>
      </c>
      <c r="B5892" t="s">
        <v>6742</v>
      </c>
      <c r="C5892" t="s">
        <v>27708</v>
      </c>
      <c r="D5892" t="s">
        <v>27709</v>
      </c>
      <c r="E5892" t="b">
        <v>0</v>
      </c>
      <c r="F5892" t="s">
        <v>11610</v>
      </c>
      <c r="L5892">
        <v>0</v>
      </c>
      <c r="M5892">
        <v>0</v>
      </c>
      <c r="N5892">
        <v>0</v>
      </c>
    </row>
    <row r="5893" spans="1:15">
      <c r="A5893" t="s">
        <v>27710</v>
      </c>
      <c r="B5893" t="s">
        <v>11615</v>
      </c>
      <c r="C5893" t="s">
        <v>24348</v>
      </c>
      <c r="D5893" t="s">
        <v>27711</v>
      </c>
      <c r="E5893" t="b">
        <v>0</v>
      </c>
      <c r="F5893" t="s">
        <v>11610</v>
      </c>
      <c r="L5893">
        <v>0</v>
      </c>
      <c r="M5893">
        <v>0</v>
      </c>
      <c r="N5893">
        <v>0</v>
      </c>
    </row>
    <row r="5894" spans="1:15">
      <c r="A5894" t="s">
        <v>27712</v>
      </c>
      <c r="B5894" t="s">
        <v>11644</v>
      </c>
      <c r="C5894" t="s">
        <v>27713</v>
      </c>
      <c r="D5894" t="s">
        <v>27714</v>
      </c>
      <c r="E5894" t="b">
        <v>0</v>
      </c>
      <c r="F5894" t="s">
        <v>11610</v>
      </c>
      <c r="L5894">
        <v>0</v>
      </c>
      <c r="M5894">
        <v>0</v>
      </c>
      <c r="N5894">
        <v>0</v>
      </c>
    </row>
    <row r="5895" spans="1:15">
      <c r="A5895" t="s">
        <v>27715</v>
      </c>
      <c r="B5895" t="s">
        <v>6742</v>
      </c>
      <c r="C5895" t="s">
        <v>50</v>
      </c>
      <c r="D5895" t="s">
        <v>27716</v>
      </c>
      <c r="E5895" t="b">
        <v>0</v>
      </c>
      <c r="F5895" t="s">
        <v>11610</v>
      </c>
      <c r="I5895" t="s">
        <v>27717</v>
      </c>
      <c r="L5895">
        <v>0</v>
      </c>
      <c r="M5895">
        <v>0</v>
      </c>
      <c r="N5895">
        <v>0</v>
      </c>
    </row>
    <row r="5896" spans="1:15">
      <c r="A5896" t="s">
        <v>27718</v>
      </c>
      <c r="B5896" t="s">
        <v>6742</v>
      </c>
      <c r="C5896" t="s">
        <v>27719</v>
      </c>
      <c r="D5896" t="s">
        <v>27720</v>
      </c>
      <c r="E5896" t="b">
        <v>0</v>
      </c>
      <c r="F5896" t="s">
        <v>11610</v>
      </c>
      <c r="L5896">
        <v>0</v>
      </c>
      <c r="M5896">
        <v>0</v>
      </c>
      <c r="N5896">
        <v>0</v>
      </c>
    </row>
    <row r="5897" spans="1:15">
      <c r="A5897" t="s">
        <v>27721</v>
      </c>
      <c r="B5897" t="s">
        <v>11780</v>
      </c>
      <c r="C5897" t="s">
        <v>27722</v>
      </c>
      <c r="D5897" t="s">
        <v>27723</v>
      </c>
      <c r="E5897" t="b">
        <v>0</v>
      </c>
      <c r="F5897" t="s">
        <v>11610</v>
      </c>
      <c r="L5897">
        <v>0</v>
      </c>
      <c r="M5897">
        <v>0</v>
      </c>
      <c r="N5897">
        <v>0</v>
      </c>
    </row>
    <row r="5898" spans="1:15">
      <c r="A5898" t="s">
        <v>19532</v>
      </c>
      <c r="B5898" t="s">
        <v>6742</v>
      </c>
      <c r="C5898" t="s">
        <v>27724</v>
      </c>
      <c r="D5898" t="s">
        <v>27725</v>
      </c>
      <c r="E5898" t="b">
        <v>0</v>
      </c>
      <c r="F5898" t="s">
        <v>11624</v>
      </c>
      <c r="G5898">
        <v>11.091799999999999</v>
      </c>
      <c r="H5898">
        <v>-0.81108999999999998</v>
      </c>
      <c r="I5898" t="s">
        <v>27726</v>
      </c>
      <c r="L5898">
        <v>0</v>
      </c>
      <c r="M5898">
        <v>0</v>
      </c>
      <c r="N5898">
        <v>7</v>
      </c>
      <c r="O5898" t="s">
        <v>27727</v>
      </c>
    </row>
    <row r="5899" spans="1:15">
      <c r="A5899" t="s">
        <v>27728</v>
      </c>
      <c r="B5899" t="s">
        <v>11729</v>
      </c>
      <c r="C5899" t="s">
        <v>14667</v>
      </c>
      <c r="D5899" t="s">
        <v>27729</v>
      </c>
      <c r="E5899" t="b">
        <v>0</v>
      </c>
      <c r="F5899" t="s">
        <v>11610</v>
      </c>
      <c r="L5899">
        <v>0</v>
      </c>
      <c r="M5899">
        <v>0</v>
      </c>
      <c r="N5899">
        <v>0</v>
      </c>
    </row>
    <row r="5900" spans="1:15">
      <c r="A5900" t="s">
        <v>27730</v>
      </c>
      <c r="B5900" t="s">
        <v>12260</v>
      </c>
      <c r="C5900" t="s">
        <v>26605</v>
      </c>
      <c r="D5900" t="s">
        <v>27731</v>
      </c>
      <c r="E5900" t="b">
        <v>0</v>
      </c>
      <c r="F5900" t="s">
        <v>11624</v>
      </c>
      <c r="L5900">
        <v>0</v>
      </c>
      <c r="M5900">
        <v>0</v>
      </c>
      <c r="N5900">
        <v>2</v>
      </c>
      <c r="O5900" t="s">
        <v>12748</v>
      </c>
    </row>
    <row r="5901" spans="1:15">
      <c r="A5901" t="s">
        <v>27732</v>
      </c>
      <c r="B5901" t="s">
        <v>11644</v>
      </c>
      <c r="C5901" t="s">
        <v>27733</v>
      </c>
      <c r="D5901" t="s">
        <v>27734</v>
      </c>
      <c r="E5901" t="b">
        <v>0</v>
      </c>
      <c r="F5901" t="s">
        <v>11624</v>
      </c>
      <c r="G5901">
        <v>25.646902000000001</v>
      </c>
      <c r="H5901">
        <v>99.684186999999994</v>
      </c>
      <c r="I5901" t="s">
        <v>27735</v>
      </c>
      <c r="L5901">
        <v>0</v>
      </c>
      <c r="M5901">
        <v>0</v>
      </c>
      <c r="N5901">
        <v>0</v>
      </c>
      <c r="O5901" t="s">
        <v>11905</v>
      </c>
    </row>
    <row r="5902" spans="1:15">
      <c r="A5902" t="s">
        <v>27736</v>
      </c>
      <c r="B5902" t="s">
        <v>11637</v>
      </c>
      <c r="C5902" t="s">
        <v>19415</v>
      </c>
      <c r="D5902" t="s">
        <v>27737</v>
      </c>
      <c r="E5902" t="b">
        <v>0</v>
      </c>
      <c r="F5902" t="s">
        <v>11610</v>
      </c>
      <c r="L5902">
        <v>0</v>
      </c>
      <c r="M5902">
        <v>0</v>
      </c>
      <c r="N5902">
        <v>0</v>
      </c>
    </row>
    <row r="5903" spans="1:15">
      <c r="A5903" t="s">
        <v>27738</v>
      </c>
      <c r="B5903" t="s">
        <v>11637</v>
      </c>
      <c r="C5903" t="s">
        <v>27739</v>
      </c>
      <c r="D5903" t="s">
        <v>27740</v>
      </c>
      <c r="E5903" t="b">
        <v>0</v>
      </c>
      <c r="F5903" t="s">
        <v>11624</v>
      </c>
      <c r="G5903">
        <v>62.0732</v>
      </c>
      <c r="H5903">
        <v>-6.88497</v>
      </c>
      <c r="I5903" t="s">
        <v>27741</v>
      </c>
      <c r="L5903">
        <v>0</v>
      </c>
      <c r="M5903">
        <v>0</v>
      </c>
      <c r="N5903">
        <v>0</v>
      </c>
      <c r="O5903" t="s">
        <v>27742</v>
      </c>
    </row>
    <row r="5904" spans="1:15">
      <c r="A5904" t="s">
        <v>27743</v>
      </c>
      <c r="B5904" t="s">
        <v>11637</v>
      </c>
      <c r="C5904" t="s">
        <v>27744</v>
      </c>
      <c r="D5904" t="s">
        <v>27745</v>
      </c>
      <c r="E5904" t="b">
        <v>0</v>
      </c>
      <c r="F5904" t="s">
        <v>11610</v>
      </c>
      <c r="L5904">
        <v>0</v>
      </c>
      <c r="M5904">
        <v>0</v>
      </c>
      <c r="N5904">
        <v>0</v>
      </c>
    </row>
    <row r="5905" spans="1:15">
      <c r="A5905" t="s">
        <v>21239</v>
      </c>
      <c r="B5905" t="s">
        <v>11637</v>
      </c>
      <c r="C5905" t="s">
        <v>17249</v>
      </c>
      <c r="D5905" t="s">
        <v>27746</v>
      </c>
      <c r="E5905" t="b">
        <v>0</v>
      </c>
      <c r="F5905" t="s">
        <v>11622</v>
      </c>
      <c r="L5905">
        <v>4</v>
      </c>
      <c r="M5905">
        <v>11</v>
      </c>
      <c r="N5905">
        <v>42</v>
      </c>
    </row>
    <row r="5906" spans="1:15">
      <c r="A5906" t="s">
        <v>26548</v>
      </c>
      <c r="B5906" t="s">
        <v>11637</v>
      </c>
      <c r="C5906" t="s">
        <v>21239</v>
      </c>
      <c r="D5906" t="s">
        <v>27747</v>
      </c>
      <c r="E5906" t="b">
        <v>0</v>
      </c>
      <c r="F5906" t="s">
        <v>11622</v>
      </c>
      <c r="L5906">
        <v>2</v>
      </c>
      <c r="M5906">
        <v>9</v>
      </c>
      <c r="N5906">
        <v>29</v>
      </c>
    </row>
    <row r="5907" spans="1:15">
      <c r="A5907" t="s">
        <v>27748</v>
      </c>
      <c r="B5907" t="s">
        <v>11844</v>
      </c>
      <c r="C5907" t="s">
        <v>25929</v>
      </c>
      <c r="D5907" t="s">
        <v>27749</v>
      </c>
      <c r="E5907" t="b">
        <v>0</v>
      </c>
      <c r="F5907" t="s">
        <v>11624</v>
      </c>
      <c r="G5907">
        <v>20.1754</v>
      </c>
      <c r="H5907">
        <v>80.471199999999996</v>
      </c>
      <c r="I5907" t="s">
        <v>27750</v>
      </c>
      <c r="L5907">
        <v>0</v>
      </c>
      <c r="M5907">
        <v>0</v>
      </c>
      <c r="N5907">
        <v>0</v>
      </c>
      <c r="O5907" t="s">
        <v>11630</v>
      </c>
    </row>
    <row r="5908" spans="1:15">
      <c r="A5908" t="s">
        <v>15366</v>
      </c>
      <c r="B5908" t="s">
        <v>15365</v>
      </c>
      <c r="C5908" t="s">
        <v>15365</v>
      </c>
      <c r="D5908" t="s">
        <v>27751</v>
      </c>
      <c r="E5908" t="b">
        <v>0</v>
      </c>
      <c r="F5908" t="s">
        <v>11622</v>
      </c>
      <c r="L5908">
        <v>1</v>
      </c>
      <c r="M5908">
        <v>3</v>
      </c>
      <c r="N5908">
        <v>0</v>
      </c>
    </row>
    <row r="5909" spans="1:15">
      <c r="A5909" t="s">
        <v>27752</v>
      </c>
      <c r="B5909" t="s">
        <v>11637</v>
      </c>
      <c r="C5909" t="s">
        <v>13534</v>
      </c>
      <c r="D5909" t="s">
        <v>27753</v>
      </c>
      <c r="E5909" t="b">
        <v>0</v>
      </c>
      <c r="F5909" t="s">
        <v>11610</v>
      </c>
      <c r="L5909">
        <v>0</v>
      </c>
      <c r="M5909">
        <v>0</v>
      </c>
      <c r="N5909">
        <v>0</v>
      </c>
    </row>
    <row r="5910" spans="1:15">
      <c r="A5910" t="s">
        <v>26313</v>
      </c>
      <c r="B5910" t="s">
        <v>15969</v>
      </c>
      <c r="C5910" t="s">
        <v>15969</v>
      </c>
      <c r="D5910" t="s">
        <v>27754</v>
      </c>
      <c r="E5910" t="b">
        <v>0</v>
      </c>
      <c r="F5910" t="s">
        <v>11624</v>
      </c>
      <c r="G5910">
        <v>-3.1086800000000001</v>
      </c>
      <c r="H5910">
        <v>141.63999999999999</v>
      </c>
      <c r="I5910" t="s">
        <v>27755</v>
      </c>
      <c r="L5910">
        <v>0</v>
      </c>
      <c r="M5910">
        <v>0</v>
      </c>
      <c r="N5910">
        <v>2</v>
      </c>
      <c r="O5910" t="s">
        <v>11660</v>
      </c>
    </row>
    <row r="5911" spans="1:15">
      <c r="A5911" t="s">
        <v>27756</v>
      </c>
      <c r="D5911" t="s">
        <v>27757</v>
      </c>
      <c r="E5911" t="b">
        <v>0</v>
      </c>
      <c r="F5911" t="s">
        <v>11624</v>
      </c>
      <c r="G5911">
        <v>-6.6268700000000003</v>
      </c>
      <c r="H5911">
        <v>143.28399999999999</v>
      </c>
      <c r="I5911" t="s">
        <v>27758</v>
      </c>
      <c r="L5911">
        <v>0</v>
      </c>
      <c r="M5911">
        <v>0</v>
      </c>
      <c r="N5911">
        <v>3</v>
      </c>
      <c r="O5911" t="s">
        <v>11660</v>
      </c>
    </row>
    <row r="5912" spans="1:15">
      <c r="A5912" t="s">
        <v>8725</v>
      </c>
      <c r="B5912" t="s">
        <v>367</v>
      </c>
      <c r="C5912" t="s">
        <v>15748</v>
      </c>
      <c r="D5912" t="s">
        <v>27759</v>
      </c>
      <c r="E5912" t="b">
        <v>0</v>
      </c>
      <c r="F5912" t="s">
        <v>11624</v>
      </c>
      <c r="G5912">
        <v>-8.5904100000000003</v>
      </c>
      <c r="H5912">
        <v>160.86099999999999</v>
      </c>
      <c r="I5912" t="s">
        <v>8726</v>
      </c>
      <c r="L5912">
        <v>0</v>
      </c>
      <c r="M5912">
        <v>0</v>
      </c>
      <c r="N5912">
        <v>0</v>
      </c>
      <c r="O5912" t="s">
        <v>13346</v>
      </c>
    </row>
    <row r="5913" spans="1:15">
      <c r="A5913" t="s">
        <v>27760</v>
      </c>
      <c r="B5913" t="s">
        <v>11839</v>
      </c>
      <c r="C5913" t="s">
        <v>26303</v>
      </c>
      <c r="D5913" t="s">
        <v>27761</v>
      </c>
      <c r="E5913" t="b">
        <v>0</v>
      </c>
      <c r="F5913" t="s">
        <v>11622</v>
      </c>
      <c r="L5913">
        <v>0</v>
      </c>
      <c r="M5913">
        <v>2</v>
      </c>
      <c r="N5913">
        <v>0</v>
      </c>
    </row>
    <row r="5914" spans="1:15">
      <c r="A5914" t="s">
        <v>27762</v>
      </c>
      <c r="B5914" t="s">
        <v>11839</v>
      </c>
      <c r="C5914" t="s">
        <v>27760</v>
      </c>
      <c r="D5914" t="s">
        <v>27763</v>
      </c>
      <c r="E5914" t="b">
        <v>0</v>
      </c>
      <c r="F5914" t="s">
        <v>11624</v>
      </c>
      <c r="G5914">
        <v>-8.4946400000000004</v>
      </c>
      <c r="H5914">
        <v>127.08</v>
      </c>
      <c r="I5914" t="s">
        <v>27764</v>
      </c>
      <c r="L5914">
        <v>0</v>
      </c>
      <c r="M5914">
        <v>0</v>
      </c>
      <c r="N5914">
        <v>0</v>
      </c>
      <c r="O5914" t="s">
        <v>27765</v>
      </c>
    </row>
    <row r="5915" spans="1:15">
      <c r="A5915" t="s">
        <v>27766</v>
      </c>
      <c r="B5915" t="s">
        <v>367</v>
      </c>
      <c r="C5915" t="s">
        <v>27767</v>
      </c>
      <c r="D5915" t="s">
        <v>27768</v>
      </c>
      <c r="E5915" t="b">
        <v>0</v>
      </c>
      <c r="F5915" t="s">
        <v>11610</v>
      </c>
      <c r="L5915">
        <v>0</v>
      </c>
      <c r="M5915">
        <v>0</v>
      </c>
      <c r="N5915">
        <v>0</v>
      </c>
    </row>
    <row r="5916" spans="1:15">
      <c r="A5916" t="s">
        <v>27769</v>
      </c>
      <c r="B5916" t="s">
        <v>367</v>
      </c>
      <c r="C5916" t="s">
        <v>13219</v>
      </c>
      <c r="D5916" t="s">
        <v>27770</v>
      </c>
      <c r="E5916" t="b">
        <v>0</v>
      </c>
      <c r="F5916" t="s">
        <v>11610</v>
      </c>
      <c r="L5916">
        <v>0</v>
      </c>
      <c r="M5916">
        <v>0</v>
      </c>
      <c r="N5916">
        <v>0</v>
      </c>
    </row>
    <row r="5917" spans="1:15">
      <c r="A5917" t="s">
        <v>27771</v>
      </c>
      <c r="B5917" t="s">
        <v>367</v>
      </c>
      <c r="C5917" t="s">
        <v>15641</v>
      </c>
      <c r="D5917" t="s">
        <v>27772</v>
      </c>
      <c r="E5917" t="b">
        <v>0</v>
      </c>
      <c r="F5917" t="s">
        <v>11610</v>
      </c>
      <c r="L5917">
        <v>0</v>
      </c>
      <c r="M5917">
        <v>0</v>
      </c>
      <c r="N5917">
        <v>0</v>
      </c>
    </row>
    <row r="5918" spans="1:15">
      <c r="A5918" t="s">
        <v>27773</v>
      </c>
      <c r="B5918" t="s">
        <v>367</v>
      </c>
      <c r="C5918" t="s">
        <v>27774</v>
      </c>
      <c r="D5918" t="s">
        <v>27775</v>
      </c>
      <c r="E5918" t="b">
        <v>0</v>
      </c>
      <c r="F5918" t="s">
        <v>11610</v>
      </c>
      <c r="L5918">
        <v>0</v>
      </c>
      <c r="M5918">
        <v>0</v>
      </c>
      <c r="N5918">
        <v>0</v>
      </c>
    </row>
    <row r="5919" spans="1:15">
      <c r="A5919" t="s">
        <v>27776</v>
      </c>
      <c r="B5919" t="s">
        <v>367</v>
      </c>
      <c r="C5919" t="s">
        <v>69</v>
      </c>
      <c r="D5919" t="s">
        <v>27777</v>
      </c>
      <c r="E5919" t="b">
        <v>0</v>
      </c>
      <c r="F5919" t="s">
        <v>11610</v>
      </c>
      <c r="L5919">
        <v>0</v>
      </c>
      <c r="M5919">
        <v>0</v>
      </c>
      <c r="N5919">
        <v>0</v>
      </c>
    </row>
    <row r="5920" spans="1:15">
      <c r="A5920" t="s">
        <v>27778</v>
      </c>
      <c r="B5920" t="s">
        <v>13360</v>
      </c>
      <c r="C5920" t="s">
        <v>13360</v>
      </c>
      <c r="D5920" t="s">
        <v>27779</v>
      </c>
      <c r="E5920" t="b">
        <v>0</v>
      </c>
      <c r="F5920" t="s">
        <v>11624</v>
      </c>
      <c r="L5920">
        <v>0</v>
      </c>
      <c r="M5920">
        <v>0</v>
      </c>
      <c r="N5920">
        <v>0</v>
      </c>
      <c r="O5920" t="s">
        <v>12895</v>
      </c>
    </row>
    <row r="5921" spans="1:15">
      <c r="A5921" t="s">
        <v>27780</v>
      </c>
      <c r="B5921" t="s">
        <v>15365</v>
      </c>
      <c r="C5921" t="s">
        <v>27781</v>
      </c>
      <c r="D5921" t="s">
        <v>27782</v>
      </c>
      <c r="E5921" t="b">
        <v>0</v>
      </c>
      <c r="F5921" t="s">
        <v>11624</v>
      </c>
      <c r="G5921">
        <v>-3.1449699999999998</v>
      </c>
      <c r="H5921">
        <v>136.86699999999999</v>
      </c>
      <c r="I5921" t="s">
        <v>27783</v>
      </c>
      <c r="L5921">
        <v>0</v>
      </c>
      <c r="M5921">
        <v>0</v>
      </c>
      <c r="N5921">
        <v>0</v>
      </c>
      <c r="O5921" t="s">
        <v>11768</v>
      </c>
    </row>
    <row r="5922" spans="1:15">
      <c r="A5922" t="s">
        <v>27781</v>
      </c>
      <c r="B5922" t="s">
        <v>15365</v>
      </c>
      <c r="C5922" t="s">
        <v>27784</v>
      </c>
      <c r="D5922" t="s">
        <v>27785</v>
      </c>
      <c r="E5922" t="b">
        <v>0</v>
      </c>
      <c r="F5922" t="s">
        <v>11622</v>
      </c>
      <c r="L5922">
        <v>0</v>
      </c>
      <c r="M5922">
        <v>2</v>
      </c>
      <c r="N5922">
        <v>2</v>
      </c>
    </row>
    <row r="5923" spans="1:15">
      <c r="A5923" t="s">
        <v>27786</v>
      </c>
      <c r="B5923" t="s">
        <v>11607</v>
      </c>
      <c r="C5923" t="s">
        <v>27787</v>
      </c>
      <c r="D5923" t="s">
        <v>27788</v>
      </c>
      <c r="E5923" t="b">
        <v>0</v>
      </c>
      <c r="F5923" t="s">
        <v>11610</v>
      </c>
      <c r="L5923">
        <v>0</v>
      </c>
      <c r="M5923">
        <v>0</v>
      </c>
      <c r="N5923">
        <v>0</v>
      </c>
    </row>
    <row r="5924" spans="1:15">
      <c r="A5924" t="s">
        <v>27789</v>
      </c>
      <c r="B5924" t="s">
        <v>11607</v>
      </c>
      <c r="C5924" t="s">
        <v>24470</v>
      </c>
      <c r="D5924" t="s">
        <v>27790</v>
      </c>
      <c r="E5924" t="b">
        <v>0</v>
      </c>
      <c r="F5924" t="s">
        <v>11610</v>
      </c>
      <c r="L5924">
        <v>0</v>
      </c>
      <c r="M5924">
        <v>0</v>
      </c>
      <c r="N5924">
        <v>0</v>
      </c>
    </row>
    <row r="5925" spans="1:15">
      <c r="A5925" t="s">
        <v>20801</v>
      </c>
      <c r="B5925" t="s">
        <v>6742</v>
      </c>
      <c r="C5925" t="s">
        <v>16434</v>
      </c>
      <c r="D5925" t="s">
        <v>27791</v>
      </c>
      <c r="E5925" t="b">
        <v>0</v>
      </c>
      <c r="F5925" t="s">
        <v>11624</v>
      </c>
      <c r="G5925">
        <v>5.1815800000000003</v>
      </c>
      <c r="H5925">
        <v>10.1442</v>
      </c>
      <c r="I5925" t="s">
        <v>27792</v>
      </c>
      <c r="L5925">
        <v>0</v>
      </c>
      <c r="M5925">
        <v>0</v>
      </c>
      <c r="N5925">
        <v>12</v>
      </c>
      <c r="O5925" t="s">
        <v>11703</v>
      </c>
    </row>
    <row r="5926" spans="1:15">
      <c r="A5926" t="s">
        <v>27793</v>
      </c>
      <c r="B5926" t="s">
        <v>11607</v>
      </c>
      <c r="C5926" t="s">
        <v>27794</v>
      </c>
      <c r="D5926" t="s">
        <v>27795</v>
      </c>
      <c r="E5926" t="b">
        <v>0</v>
      </c>
      <c r="F5926" t="s">
        <v>11610</v>
      </c>
      <c r="L5926">
        <v>0</v>
      </c>
      <c r="M5926">
        <v>0</v>
      </c>
      <c r="N5926">
        <v>0</v>
      </c>
    </row>
    <row r="5927" spans="1:15">
      <c r="A5927" t="s">
        <v>27796</v>
      </c>
      <c r="B5927" t="s">
        <v>26147</v>
      </c>
      <c r="C5927" t="s">
        <v>26147</v>
      </c>
      <c r="D5927" t="s">
        <v>27797</v>
      </c>
      <c r="E5927" t="b">
        <v>0</v>
      </c>
      <c r="F5927" t="s">
        <v>11624</v>
      </c>
      <c r="G5927">
        <v>-5.7159599999999999</v>
      </c>
      <c r="H5927">
        <v>142.25399999999999</v>
      </c>
      <c r="I5927" t="s">
        <v>27798</v>
      </c>
      <c r="L5927">
        <v>0</v>
      </c>
      <c r="M5927">
        <v>0</v>
      </c>
      <c r="N5927">
        <v>0</v>
      </c>
      <c r="O5927" t="s">
        <v>11660</v>
      </c>
    </row>
    <row r="5928" spans="1:15">
      <c r="A5928" t="s">
        <v>27799</v>
      </c>
      <c r="B5928" t="s">
        <v>11615</v>
      </c>
      <c r="C5928" t="s">
        <v>27800</v>
      </c>
      <c r="D5928" t="s">
        <v>27801</v>
      </c>
      <c r="E5928" t="b">
        <v>0</v>
      </c>
      <c r="F5928" t="s">
        <v>11610</v>
      </c>
      <c r="L5928">
        <v>0</v>
      </c>
      <c r="M5928">
        <v>0</v>
      </c>
      <c r="N5928">
        <v>0</v>
      </c>
    </row>
    <row r="5929" spans="1:15">
      <c r="A5929" t="s">
        <v>27802</v>
      </c>
      <c r="B5929" t="s">
        <v>12148</v>
      </c>
      <c r="C5929" t="s">
        <v>61</v>
      </c>
      <c r="D5929" t="s">
        <v>27803</v>
      </c>
      <c r="E5929" t="b">
        <v>0</v>
      </c>
      <c r="F5929" t="s">
        <v>11610</v>
      </c>
      <c r="L5929">
        <v>0</v>
      </c>
      <c r="M5929">
        <v>0</v>
      </c>
      <c r="N5929">
        <v>0</v>
      </c>
    </row>
    <row r="5930" spans="1:15">
      <c r="A5930" t="s">
        <v>27804</v>
      </c>
      <c r="B5930" t="s">
        <v>6742</v>
      </c>
      <c r="C5930" t="s">
        <v>26063</v>
      </c>
      <c r="D5930" t="s">
        <v>27805</v>
      </c>
      <c r="E5930" t="b">
        <v>0</v>
      </c>
      <c r="F5930" t="s">
        <v>11610</v>
      </c>
      <c r="L5930">
        <v>0</v>
      </c>
      <c r="M5930">
        <v>0</v>
      </c>
      <c r="N5930">
        <v>0</v>
      </c>
    </row>
    <row r="5931" spans="1:15">
      <c r="A5931" t="s">
        <v>27806</v>
      </c>
      <c r="B5931" t="s">
        <v>11729</v>
      </c>
      <c r="C5931" t="s">
        <v>27807</v>
      </c>
      <c r="D5931" t="s">
        <v>27808</v>
      </c>
      <c r="E5931" t="b">
        <v>0</v>
      </c>
      <c r="F5931" t="s">
        <v>11622</v>
      </c>
      <c r="L5931">
        <v>0</v>
      </c>
      <c r="M5931">
        <v>3</v>
      </c>
      <c r="N5931">
        <v>8</v>
      </c>
    </row>
    <row r="5932" spans="1:15">
      <c r="A5932" t="s">
        <v>27809</v>
      </c>
      <c r="B5932" t="s">
        <v>11637</v>
      </c>
      <c r="C5932" t="s">
        <v>27810</v>
      </c>
      <c r="D5932" t="s">
        <v>27811</v>
      </c>
      <c r="E5932" t="b">
        <v>0</v>
      </c>
      <c r="F5932" t="s">
        <v>11624</v>
      </c>
      <c r="G5932">
        <v>3.74</v>
      </c>
      <c r="H5932">
        <v>8.7799999999999994</v>
      </c>
      <c r="I5932" t="s">
        <v>27812</v>
      </c>
      <c r="L5932">
        <v>0</v>
      </c>
      <c r="M5932">
        <v>0</v>
      </c>
      <c r="N5932">
        <v>0</v>
      </c>
      <c r="O5932" t="s">
        <v>19979</v>
      </c>
    </row>
    <row r="5933" spans="1:15">
      <c r="A5933" t="s">
        <v>27813</v>
      </c>
      <c r="B5933" t="s">
        <v>6742</v>
      </c>
      <c r="C5933" t="s">
        <v>27814</v>
      </c>
      <c r="D5933" t="s">
        <v>27815</v>
      </c>
      <c r="E5933" t="b">
        <v>0</v>
      </c>
      <c r="F5933" t="s">
        <v>11622</v>
      </c>
      <c r="L5933">
        <v>0</v>
      </c>
      <c r="M5933">
        <v>2</v>
      </c>
      <c r="N5933">
        <v>0</v>
      </c>
    </row>
    <row r="5934" spans="1:15">
      <c r="A5934" t="s">
        <v>27816</v>
      </c>
      <c r="B5934" t="s">
        <v>6742</v>
      </c>
      <c r="C5934" t="s">
        <v>27813</v>
      </c>
      <c r="D5934" t="s">
        <v>27817</v>
      </c>
      <c r="E5934" t="b">
        <v>0</v>
      </c>
      <c r="F5934" t="s">
        <v>11624</v>
      </c>
      <c r="G5934">
        <v>8.6161200000000004</v>
      </c>
      <c r="H5934">
        <v>25.717099999999999</v>
      </c>
      <c r="I5934" t="s">
        <v>27818</v>
      </c>
      <c r="L5934">
        <v>0</v>
      </c>
      <c r="M5934">
        <v>0</v>
      </c>
      <c r="N5934">
        <v>0</v>
      </c>
      <c r="O5934" t="s">
        <v>11910</v>
      </c>
    </row>
    <row r="5935" spans="1:15">
      <c r="A5935" t="s">
        <v>11638</v>
      </c>
      <c r="B5935" t="s">
        <v>11637</v>
      </c>
      <c r="C5935" t="s">
        <v>13547</v>
      </c>
      <c r="D5935" t="s">
        <v>27819</v>
      </c>
      <c r="E5935" t="b">
        <v>0</v>
      </c>
      <c r="F5935" t="s">
        <v>11610</v>
      </c>
      <c r="L5935">
        <v>0</v>
      </c>
      <c r="M5935">
        <v>0</v>
      </c>
      <c r="N5935">
        <v>2</v>
      </c>
    </row>
    <row r="5936" spans="1:15">
      <c r="A5936" t="s">
        <v>27820</v>
      </c>
      <c r="B5936" t="s">
        <v>6742</v>
      </c>
      <c r="C5936" t="s">
        <v>27821</v>
      </c>
      <c r="D5936" t="s">
        <v>27822</v>
      </c>
      <c r="E5936" t="b">
        <v>0</v>
      </c>
      <c r="F5936" t="s">
        <v>11610</v>
      </c>
      <c r="L5936">
        <v>0</v>
      </c>
      <c r="M5936">
        <v>0</v>
      </c>
      <c r="N5936">
        <v>0</v>
      </c>
    </row>
    <row r="5937" spans="1:15">
      <c r="A5937" t="s">
        <v>27823</v>
      </c>
      <c r="B5937" t="s">
        <v>11637</v>
      </c>
      <c r="C5937" t="s">
        <v>17607</v>
      </c>
      <c r="D5937" t="s">
        <v>27824</v>
      </c>
      <c r="E5937" t="b">
        <v>0</v>
      </c>
      <c r="F5937" t="s">
        <v>11610</v>
      </c>
      <c r="L5937">
        <v>0</v>
      </c>
      <c r="M5937">
        <v>0</v>
      </c>
      <c r="N5937">
        <v>0</v>
      </c>
    </row>
    <row r="5938" spans="1:15">
      <c r="A5938" t="s">
        <v>27825</v>
      </c>
      <c r="B5938" t="s">
        <v>11607</v>
      </c>
      <c r="C5938" t="s">
        <v>27826</v>
      </c>
      <c r="D5938" t="s">
        <v>27827</v>
      </c>
      <c r="E5938" t="b">
        <v>0</v>
      </c>
      <c r="F5938" t="s">
        <v>11610</v>
      </c>
      <c r="L5938">
        <v>0</v>
      </c>
      <c r="M5938">
        <v>0</v>
      </c>
      <c r="N5938">
        <v>0</v>
      </c>
    </row>
    <row r="5939" spans="1:15">
      <c r="A5939" t="s">
        <v>27828</v>
      </c>
      <c r="B5939" t="s">
        <v>6742</v>
      </c>
      <c r="C5939" t="s">
        <v>16203</v>
      </c>
      <c r="D5939" t="s">
        <v>27829</v>
      </c>
      <c r="E5939" t="b">
        <v>0</v>
      </c>
      <c r="F5939" t="s">
        <v>11610</v>
      </c>
      <c r="L5939">
        <v>0</v>
      </c>
      <c r="M5939">
        <v>0</v>
      </c>
      <c r="N5939">
        <v>0</v>
      </c>
    </row>
    <row r="5940" spans="1:15">
      <c r="A5940" t="s">
        <v>27830</v>
      </c>
      <c r="B5940" t="s">
        <v>6742</v>
      </c>
      <c r="C5940" t="s">
        <v>17604</v>
      </c>
      <c r="D5940" t="s">
        <v>27831</v>
      </c>
      <c r="E5940" t="b">
        <v>0</v>
      </c>
      <c r="F5940" t="s">
        <v>11622</v>
      </c>
      <c r="L5940">
        <v>4</v>
      </c>
      <c r="M5940">
        <v>6</v>
      </c>
      <c r="N5940">
        <v>6</v>
      </c>
    </row>
    <row r="5941" spans="1:15">
      <c r="A5941" t="s">
        <v>27832</v>
      </c>
      <c r="B5941" t="s">
        <v>6742</v>
      </c>
      <c r="C5941" t="s">
        <v>13438</v>
      </c>
      <c r="D5941" t="s">
        <v>27833</v>
      </c>
      <c r="E5941" t="b">
        <v>0</v>
      </c>
      <c r="F5941" t="s">
        <v>11610</v>
      </c>
      <c r="L5941">
        <v>0</v>
      </c>
      <c r="M5941">
        <v>0</v>
      </c>
      <c r="N5941">
        <v>0</v>
      </c>
    </row>
    <row r="5942" spans="1:15">
      <c r="A5942" t="s">
        <v>27834</v>
      </c>
      <c r="B5942" t="s">
        <v>11637</v>
      </c>
      <c r="C5942" t="s">
        <v>27835</v>
      </c>
      <c r="D5942" t="s">
        <v>27836</v>
      </c>
      <c r="E5942" t="b">
        <v>0</v>
      </c>
      <c r="F5942" t="s">
        <v>11610</v>
      </c>
      <c r="L5942">
        <v>0</v>
      </c>
      <c r="M5942">
        <v>0</v>
      </c>
      <c r="N5942">
        <v>0</v>
      </c>
    </row>
    <row r="5943" spans="1:15">
      <c r="A5943" t="s">
        <v>27837</v>
      </c>
      <c r="B5943" t="s">
        <v>11637</v>
      </c>
      <c r="C5943" t="s">
        <v>13683</v>
      </c>
      <c r="D5943" t="s">
        <v>27838</v>
      </c>
      <c r="E5943" t="b">
        <v>0</v>
      </c>
      <c r="F5943" t="s">
        <v>11624</v>
      </c>
      <c r="G5943">
        <v>-17.814800000000002</v>
      </c>
      <c r="H5943">
        <v>177.77199999999999</v>
      </c>
      <c r="I5943" t="s">
        <v>27839</v>
      </c>
      <c r="L5943">
        <v>0</v>
      </c>
      <c r="M5943">
        <v>0</v>
      </c>
      <c r="N5943">
        <v>0</v>
      </c>
      <c r="O5943" t="s">
        <v>27840</v>
      </c>
    </row>
    <row r="5944" spans="1:15">
      <c r="A5944" t="s">
        <v>11080</v>
      </c>
      <c r="B5944" t="s">
        <v>367</v>
      </c>
      <c r="C5944" t="s">
        <v>26165</v>
      </c>
      <c r="D5944" t="s">
        <v>27841</v>
      </c>
      <c r="E5944" t="b">
        <v>0</v>
      </c>
      <c r="F5944" t="s">
        <v>11624</v>
      </c>
      <c r="G5944">
        <v>-18</v>
      </c>
      <c r="H5944">
        <v>178.33</v>
      </c>
      <c r="I5944" t="s">
        <v>27842</v>
      </c>
      <c r="L5944">
        <v>0</v>
      </c>
      <c r="M5944">
        <v>0</v>
      </c>
      <c r="N5944">
        <v>8</v>
      </c>
      <c r="O5944" t="s">
        <v>27843</v>
      </c>
    </row>
    <row r="5945" spans="1:15">
      <c r="A5945" t="s">
        <v>27844</v>
      </c>
      <c r="B5945" t="s">
        <v>13450</v>
      </c>
      <c r="C5945" t="s">
        <v>13450</v>
      </c>
      <c r="D5945" t="s">
        <v>27845</v>
      </c>
      <c r="E5945" t="b">
        <v>0</v>
      </c>
      <c r="F5945" t="s">
        <v>11622</v>
      </c>
      <c r="L5945">
        <v>0</v>
      </c>
      <c r="M5945">
        <v>1</v>
      </c>
      <c r="N5945">
        <v>0</v>
      </c>
    </row>
    <row r="5946" spans="1:15">
      <c r="A5946" t="s">
        <v>27846</v>
      </c>
      <c r="B5946" t="s">
        <v>12241</v>
      </c>
      <c r="C5946" t="s">
        <v>16972</v>
      </c>
      <c r="D5946" t="s">
        <v>27847</v>
      </c>
      <c r="E5946" t="b">
        <v>0</v>
      </c>
      <c r="F5946" t="s">
        <v>11610</v>
      </c>
      <c r="L5946">
        <v>0</v>
      </c>
      <c r="M5946">
        <v>0</v>
      </c>
      <c r="N5946">
        <v>0</v>
      </c>
    </row>
    <row r="5947" spans="1:15">
      <c r="A5947" t="s">
        <v>27848</v>
      </c>
      <c r="B5947" t="s">
        <v>11607</v>
      </c>
      <c r="C5947" t="s">
        <v>27849</v>
      </c>
      <c r="D5947" t="s">
        <v>27850</v>
      </c>
      <c r="E5947" t="b">
        <v>0</v>
      </c>
      <c r="F5947" t="s">
        <v>11610</v>
      </c>
      <c r="L5947">
        <v>0</v>
      </c>
      <c r="M5947">
        <v>0</v>
      </c>
      <c r="N5947">
        <v>0</v>
      </c>
    </row>
    <row r="5948" spans="1:15">
      <c r="A5948" t="s">
        <v>27851</v>
      </c>
      <c r="B5948" t="s">
        <v>6742</v>
      </c>
      <c r="C5948" t="s">
        <v>27852</v>
      </c>
      <c r="D5948" t="s">
        <v>27853</v>
      </c>
      <c r="E5948" t="b">
        <v>0</v>
      </c>
      <c r="F5948" t="s">
        <v>11610</v>
      </c>
      <c r="L5948">
        <v>0</v>
      </c>
      <c r="M5948">
        <v>0</v>
      </c>
      <c r="N5948">
        <v>0</v>
      </c>
    </row>
    <row r="5949" spans="1:15">
      <c r="A5949" t="s">
        <v>27854</v>
      </c>
      <c r="B5949" t="s">
        <v>367</v>
      </c>
      <c r="C5949" t="s">
        <v>27855</v>
      </c>
      <c r="D5949" t="s">
        <v>27856</v>
      </c>
      <c r="E5949" t="b">
        <v>0</v>
      </c>
      <c r="F5949" t="s">
        <v>11610</v>
      </c>
      <c r="L5949">
        <v>0</v>
      </c>
      <c r="M5949">
        <v>0</v>
      </c>
      <c r="N5949">
        <v>0</v>
      </c>
    </row>
    <row r="5950" spans="1:15">
      <c r="A5950" t="s">
        <v>27857</v>
      </c>
      <c r="B5950" t="s">
        <v>6742</v>
      </c>
      <c r="C5950" t="s">
        <v>4025</v>
      </c>
      <c r="D5950" t="s">
        <v>27858</v>
      </c>
      <c r="E5950" t="b">
        <v>0</v>
      </c>
      <c r="F5950" t="s">
        <v>11610</v>
      </c>
      <c r="L5950">
        <v>0</v>
      </c>
      <c r="M5950">
        <v>0</v>
      </c>
      <c r="N5950">
        <v>0</v>
      </c>
    </row>
    <row r="5951" spans="1:15">
      <c r="A5951" t="s">
        <v>27859</v>
      </c>
      <c r="B5951" t="s">
        <v>367</v>
      </c>
      <c r="C5951" t="s">
        <v>27860</v>
      </c>
      <c r="D5951" t="s">
        <v>27861</v>
      </c>
      <c r="E5951" t="b">
        <v>0</v>
      </c>
      <c r="F5951" t="s">
        <v>11624</v>
      </c>
      <c r="G5951">
        <v>12.265000000000001</v>
      </c>
      <c r="H5951">
        <v>123.464</v>
      </c>
      <c r="I5951" t="s">
        <v>27862</v>
      </c>
      <c r="L5951">
        <v>0</v>
      </c>
      <c r="M5951">
        <v>0</v>
      </c>
      <c r="N5951">
        <v>0</v>
      </c>
      <c r="O5951" t="s">
        <v>11749</v>
      </c>
    </row>
    <row r="5952" spans="1:15">
      <c r="A5952" t="s">
        <v>27863</v>
      </c>
      <c r="B5952" t="s">
        <v>11834</v>
      </c>
      <c r="C5952" t="s">
        <v>16306</v>
      </c>
      <c r="D5952" t="s">
        <v>27864</v>
      </c>
      <c r="E5952" t="b">
        <v>0</v>
      </c>
      <c r="F5952" t="s">
        <v>11610</v>
      </c>
      <c r="L5952">
        <v>0</v>
      </c>
      <c r="M5952">
        <v>0</v>
      </c>
      <c r="N5952">
        <v>0</v>
      </c>
    </row>
    <row r="5953" spans="1:15">
      <c r="A5953" t="s">
        <v>27865</v>
      </c>
      <c r="B5953" t="s">
        <v>21317</v>
      </c>
      <c r="C5953" t="s">
        <v>21316</v>
      </c>
      <c r="D5953" t="s">
        <v>27866</v>
      </c>
      <c r="E5953" t="b">
        <v>0</v>
      </c>
      <c r="F5953" t="s">
        <v>11624</v>
      </c>
      <c r="G5953">
        <v>20.141500000000001</v>
      </c>
      <c r="H5953">
        <v>-97.593100000000007</v>
      </c>
      <c r="I5953" t="s">
        <v>27867</v>
      </c>
      <c r="L5953">
        <v>0</v>
      </c>
      <c r="M5953">
        <v>0</v>
      </c>
      <c r="N5953">
        <v>0</v>
      </c>
      <c r="O5953" t="s">
        <v>11883</v>
      </c>
    </row>
    <row r="5954" spans="1:15">
      <c r="A5954" t="s">
        <v>27868</v>
      </c>
      <c r="B5954" t="s">
        <v>10597</v>
      </c>
      <c r="C5954" t="s">
        <v>12968</v>
      </c>
      <c r="D5954" t="s">
        <v>27869</v>
      </c>
      <c r="E5954" t="b">
        <v>0</v>
      </c>
      <c r="F5954" t="s">
        <v>11622</v>
      </c>
      <c r="L5954">
        <v>0</v>
      </c>
      <c r="M5954">
        <v>2</v>
      </c>
      <c r="N5954">
        <v>0</v>
      </c>
    </row>
    <row r="5955" spans="1:15">
      <c r="A5955" t="s">
        <v>27870</v>
      </c>
      <c r="B5955" t="s">
        <v>13276</v>
      </c>
      <c r="C5955" t="s">
        <v>16919</v>
      </c>
      <c r="D5955" t="s">
        <v>27871</v>
      </c>
      <c r="E5955" t="b">
        <v>0</v>
      </c>
      <c r="F5955" t="s">
        <v>11610</v>
      </c>
      <c r="L5955">
        <v>0</v>
      </c>
      <c r="M5955">
        <v>0</v>
      </c>
      <c r="N5955">
        <v>0</v>
      </c>
    </row>
    <row r="5956" spans="1:15">
      <c r="A5956" t="s">
        <v>17115</v>
      </c>
      <c r="B5956" t="s">
        <v>367</v>
      </c>
      <c r="C5956" t="s">
        <v>19517</v>
      </c>
      <c r="D5956" t="s">
        <v>27872</v>
      </c>
      <c r="E5956" t="b">
        <v>0</v>
      </c>
      <c r="F5956" t="s">
        <v>11624</v>
      </c>
      <c r="G5956">
        <v>17.0319</v>
      </c>
      <c r="H5956">
        <v>121.11</v>
      </c>
      <c r="I5956" t="s">
        <v>27873</v>
      </c>
      <c r="L5956">
        <v>0</v>
      </c>
      <c r="M5956">
        <v>0</v>
      </c>
      <c r="N5956">
        <v>3</v>
      </c>
      <c r="O5956" t="s">
        <v>11749</v>
      </c>
    </row>
    <row r="5957" spans="1:15">
      <c r="A5957" t="s">
        <v>27874</v>
      </c>
      <c r="B5957" t="s">
        <v>11637</v>
      </c>
      <c r="C5957" t="s">
        <v>26719</v>
      </c>
      <c r="D5957" t="s">
        <v>27875</v>
      </c>
      <c r="E5957" t="b">
        <v>0</v>
      </c>
      <c r="F5957" t="s">
        <v>11610</v>
      </c>
      <c r="L5957">
        <v>0</v>
      </c>
      <c r="M5957">
        <v>0</v>
      </c>
      <c r="N5957">
        <v>0</v>
      </c>
    </row>
    <row r="5958" spans="1:15">
      <c r="A5958" t="s">
        <v>27876</v>
      </c>
      <c r="B5958" t="s">
        <v>11615</v>
      </c>
      <c r="C5958" t="s">
        <v>11615</v>
      </c>
      <c r="D5958" t="s">
        <v>27877</v>
      </c>
      <c r="E5958" t="b">
        <v>0</v>
      </c>
      <c r="F5958" t="s">
        <v>11622</v>
      </c>
      <c r="L5958">
        <v>33</v>
      </c>
      <c r="M5958">
        <v>61</v>
      </c>
      <c r="N5958">
        <v>64</v>
      </c>
    </row>
    <row r="5959" spans="1:15">
      <c r="A5959" t="s">
        <v>27307</v>
      </c>
      <c r="B5959" t="s">
        <v>11615</v>
      </c>
      <c r="C5959" t="s">
        <v>27876</v>
      </c>
      <c r="D5959" t="s">
        <v>27878</v>
      </c>
      <c r="E5959" t="b">
        <v>0</v>
      </c>
      <c r="F5959" t="s">
        <v>11622</v>
      </c>
      <c r="L5959">
        <v>22</v>
      </c>
      <c r="M5959">
        <v>41</v>
      </c>
      <c r="N5959">
        <v>28</v>
      </c>
    </row>
    <row r="5960" spans="1:15">
      <c r="A5960" t="s">
        <v>27879</v>
      </c>
      <c r="B5960" t="s">
        <v>11981</v>
      </c>
      <c r="C5960" t="s">
        <v>27880</v>
      </c>
      <c r="D5960" t="s">
        <v>27881</v>
      </c>
      <c r="E5960" t="b">
        <v>0</v>
      </c>
      <c r="F5960" t="s">
        <v>11624</v>
      </c>
      <c r="G5960">
        <v>60.39</v>
      </c>
      <c r="H5960">
        <v>25.67</v>
      </c>
      <c r="I5960" t="s">
        <v>27882</v>
      </c>
      <c r="L5960">
        <v>0</v>
      </c>
      <c r="M5960">
        <v>0</v>
      </c>
      <c r="N5960">
        <v>0</v>
      </c>
      <c r="O5960" t="s">
        <v>27883</v>
      </c>
    </row>
    <row r="5961" spans="1:15">
      <c r="A5961" t="s">
        <v>27884</v>
      </c>
      <c r="B5961" t="s">
        <v>11981</v>
      </c>
      <c r="C5961" t="s">
        <v>27880</v>
      </c>
      <c r="D5961" t="s">
        <v>27885</v>
      </c>
      <c r="E5961" t="b">
        <v>0</v>
      </c>
      <c r="F5961" t="s">
        <v>11624</v>
      </c>
      <c r="G5961">
        <v>60.661000000000001</v>
      </c>
      <c r="H5961">
        <v>25.067699999999999</v>
      </c>
      <c r="I5961" t="s">
        <v>27886</v>
      </c>
      <c r="L5961">
        <v>0</v>
      </c>
      <c r="M5961">
        <v>0</v>
      </c>
      <c r="N5961">
        <v>0</v>
      </c>
      <c r="O5961" t="s">
        <v>27883</v>
      </c>
    </row>
    <row r="5962" spans="1:15">
      <c r="A5962" t="s">
        <v>23185</v>
      </c>
      <c r="B5962" t="s">
        <v>12260</v>
      </c>
      <c r="C5962" t="s">
        <v>12260</v>
      </c>
      <c r="D5962" t="s">
        <v>27887</v>
      </c>
      <c r="E5962" t="b">
        <v>0</v>
      </c>
      <c r="F5962" t="s">
        <v>11622</v>
      </c>
      <c r="L5962">
        <v>7</v>
      </c>
      <c r="M5962">
        <v>12</v>
      </c>
      <c r="N5962">
        <v>42</v>
      </c>
    </row>
    <row r="5963" spans="1:15">
      <c r="A5963" t="s">
        <v>10115</v>
      </c>
      <c r="B5963" t="s">
        <v>12260</v>
      </c>
      <c r="C5963" t="s">
        <v>27888</v>
      </c>
      <c r="D5963" t="s">
        <v>27889</v>
      </c>
      <c r="E5963" t="b">
        <v>0</v>
      </c>
      <c r="F5963" t="s">
        <v>11624</v>
      </c>
      <c r="G5963">
        <v>64.762799999999999</v>
      </c>
      <c r="H5963">
        <v>25.557700000000001</v>
      </c>
      <c r="I5963" t="s">
        <v>10116</v>
      </c>
      <c r="L5963">
        <v>0</v>
      </c>
      <c r="M5963">
        <v>0</v>
      </c>
      <c r="N5963">
        <v>7</v>
      </c>
      <c r="O5963" t="s">
        <v>27890</v>
      </c>
    </row>
    <row r="5964" spans="1:15">
      <c r="A5964" t="s">
        <v>27880</v>
      </c>
      <c r="B5964" t="s">
        <v>11981</v>
      </c>
      <c r="C5964" t="s">
        <v>27891</v>
      </c>
      <c r="D5964" t="s">
        <v>27892</v>
      </c>
      <c r="E5964" t="b">
        <v>0</v>
      </c>
      <c r="F5964" t="s">
        <v>11622</v>
      </c>
      <c r="L5964">
        <v>0</v>
      </c>
      <c r="M5964">
        <v>2</v>
      </c>
      <c r="N5964">
        <v>0</v>
      </c>
    </row>
    <row r="5965" spans="1:15">
      <c r="A5965" t="s">
        <v>27893</v>
      </c>
      <c r="B5965" t="s">
        <v>11615</v>
      </c>
      <c r="C5965" t="s">
        <v>27894</v>
      </c>
      <c r="D5965" t="s">
        <v>27895</v>
      </c>
      <c r="E5965" t="b">
        <v>0</v>
      </c>
      <c r="F5965" t="s">
        <v>11624</v>
      </c>
      <c r="G5965">
        <v>-6.33005</v>
      </c>
      <c r="H5965">
        <v>146.62899999999999</v>
      </c>
      <c r="I5965" t="s">
        <v>27896</v>
      </c>
      <c r="L5965">
        <v>0</v>
      </c>
      <c r="M5965">
        <v>0</v>
      </c>
      <c r="N5965">
        <v>0</v>
      </c>
      <c r="O5965" t="s">
        <v>11660</v>
      </c>
    </row>
    <row r="5966" spans="1:15">
      <c r="A5966" t="s">
        <v>27894</v>
      </c>
      <c r="B5966" t="s">
        <v>11615</v>
      </c>
      <c r="C5966" t="s">
        <v>19002</v>
      </c>
      <c r="D5966" t="s">
        <v>27897</v>
      </c>
      <c r="E5966" t="b">
        <v>0</v>
      </c>
      <c r="F5966" t="s">
        <v>11622</v>
      </c>
      <c r="L5966">
        <v>0</v>
      </c>
      <c r="M5966">
        <v>3</v>
      </c>
      <c r="N5966">
        <v>0</v>
      </c>
    </row>
    <row r="5967" spans="1:15">
      <c r="A5967" t="s">
        <v>27898</v>
      </c>
      <c r="B5967" t="s">
        <v>6742</v>
      </c>
      <c r="C5967" t="s">
        <v>27899</v>
      </c>
      <c r="D5967" t="s">
        <v>27900</v>
      </c>
      <c r="E5967" t="b">
        <v>0</v>
      </c>
      <c r="F5967" t="s">
        <v>11624</v>
      </c>
      <c r="L5967">
        <v>0</v>
      </c>
      <c r="M5967">
        <v>0</v>
      </c>
      <c r="N5967">
        <v>0</v>
      </c>
      <c r="O5967" t="s">
        <v>11703</v>
      </c>
    </row>
    <row r="5968" spans="1:15">
      <c r="A5968" t="s">
        <v>27901</v>
      </c>
      <c r="B5968" t="s">
        <v>11637</v>
      </c>
      <c r="C5968" t="s">
        <v>4378</v>
      </c>
      <c r="D5968" t="s">
        <v>27902</v>
      </c>
      <c r="E5968" t="b">
        <v>0</v>
      </c>
      <c r="F5968" t="s">
        <v>11610</v>
      </c>
      <c r="L5968">
        <v>0</v>
      </c>
      <c r="M5968">
        <v>0</v>
      </c>
      <c r="N5968">
        <v>0</v>
      </c>
    </row>
    <row r="5969" spans="1:15">
      <c r="A5969" t="s">
        <v>27903</v>
      </c>
      <c r="B5969" t="s">
        <v>11637</v>
      </c>
      <c r="C5969" t="s">
        <v>4378</v>
      </c>
      <c r="D5969" t="s">
        <v>27904</v>
      </c>
      <c r="E5969" t="b">
        <v>0</v>
      </c>
      <c r="F5969" t="s">
        <v>11610</v>
      </c>
      <c r="L5969">
        <v>0</v>
      </c>
      <c r="M5969">
        <v>0</v>
      </c>
      <c r="N5969">
        <v>0</v>
      </c>
    </row>
    <row r="5970" spans="1:15">
      <c r="A5970" t="s">
        <v>27905</v>
      </c>
      <c r="B5970" t="s">
        <v>6742</v>
      </c>
      <c r="C5970" t="s">
        <v>27906</v>
      </c>
      <c r="D5970" t="s">
        <v>27907</v>
      </c>
      <c r="E5970" t="b">
        <v>0</v>
      </c>
      <c r="F5970" t="s">
        <v>11624</v>
      </c>
      <c r="G5970">
        <v>-7.8896300000000004</v>
      </c>
      <c r="H5970">
        <v>31.344200000000001</v>
      </c>
      <c r="I5970" t="s">
        <v>27908</v>
      </c>
      <c r="L5970">
        <v>0</v>
      </c>
      <c r="M5970">
        <v>0</v>
      </c>
      <c r="N5970">
        <v>8</v>
      </c>
      <c r="O5970" t="s">
        <v>27909</v>
      </c>
    </row>
    <row r="5971" spans="1:15">
      <c r="A5971" t="s">
        <v>27906</v>
      </c>
      <c r="B5971" t="s">
        <v>6742</v>
      </c>
      <c r="C5971" t="s">
        <v>20372</v>
      </c>
      <c r="D5971" t="s">
        <v>27910</v>
      </c>
      <c r="E5971" t="b">
        <v>0</v>
      </c>
      <c r="F5971" t="s">
        <v>11622</v>
      </c>
      <c r="L5971">
        <v>1</v>
      </c>
      <c r="M5971">
        <v>5</v>
      </c>
      <c r="N5971">
        <v>13</v>
      </c>
    </row>
    <row r="5972" spans="1:15">
      <c r="A5972" t="s">
        <v>27911</v>
      </c>
      <c r="B5972" t="s">
        <v>6742</v>
      </c>
      <c r="C5972" t="s">
        <v>21305</v>
      </c>
      <c r="D5972" t="s">
        <v>27912</v>
      </c>
      <c r="E5972" t="b">
        <v>0</v>
      </c>
      <c r="F5972" t="s">
        <v>11624</v>
      </c>
      <c r="G5972">
        <v>9.65245</v>
      </c>
      <c r="H5972">
        <v>8.6909500000000008</v>
      </c>
      <c r="I5972" t="s">
        <v>27913</v>
      </c>
      <c r="L5972">
        <v>0</v>
      </c>
      <c r="M5972">
        <v>0</v>
      </c>
      <c r="N5972">
        <v>0</v>
      </c>
      <c r="O5972" t="s">
        <v>11693</v>
      </c>
    </row>
    <row r="5973" spans="1:15">
      <c r="A5973" t="s">
        <v>27914</v>
      </c>
      <c r="B5973" t="s">
        <v>13276</v>
      </c>
      <c r="C5973" t="s">
        <v>27915</v>
      </c>
      <c r="D5973" t="s">
        <v>27916</v>
      </c>
      <c r="E5973" t="b">
        <v>0</v>
      </c>
      <c r="F5973" t="s">
        <v>11610</v>
      </c>
      <c r="L5973">
        <v>0</v>
      </c>
      <c r="M5973">
        <v>0</v>
      </c>
      <c r="N5973">
        <v>0</v>
      </c>
    </row>
    <row r="5974" spans="1:15">
      <c r="A5974" t="s">
        <v>27917</v>
      </c>
      <c r="B5974" t="s">
        <v>11637</v>
      </c>
      <c r="C5974" t="s">
        <v>12509</v>
      </c>
      <c r="D5974" t="s">
        <v>27918</v>
      </c>
      <c r="E5974" t="b">
        <v>0</v>
      </c>
      <c r="F5974" t="s">
        <v>11610</v>
      </c>
      <c r="L5974">
        <v>0</v>
      </c>
      <c r="M5974">
        <v>0</v>
      </c>
      <c r="N5974">
        <v>0</v>
      </c>
    </row>
    <row r="5975" spans="1:15">
      <c r="A5975" t="s">
        <v>5057</v>
      </c>
      <c r="B5975" t="s">
        <v>5058</v>
      </c>
      <c r="C5975" t="s">
        <v>22891</v>
      </c>
      <c r="D5975" t="s">
        <v>27919</v>
      </c>
      <c r="E5975" t="b">
        <v>0</v>
      </c>
      <c r="F5975" t="s">
        <v>11622</v>
      </c>
      <c r="L5975">
        <v>2</v>
      </c>
      <c r="M5975">
        <v>7</v>
      </c>
      <c r="N5975">
        <v>4</v>
      </c>
    </row>
    <row r="5976" spans="1:15">
      <c r="A5976" t="s">
        <v>27920</v>
      </c>
      <c r="B5976" t="s">
        <v>26263</v>
      </c>
      <c r="C5976" t="s">
        <v>26263</v>
      </c>
      <c r="D5976" t="s">
        <v>27921</v>
      </c>
      <c r="E5976" t="b">
        <v>0</v>
      </c>
      <c r="F5976" t="s">
        <v>11624</v>
      </c>
      <c r="G5976">
        <v>-6.6634200000000003</v>
      </c>
      <c r="H5976">
        <v>143.64599999999999</v>
      </c>
      <c r="I5976" t="s">
        <v>27922</v>
      </c>
      <c r="L5976">
        <v>0</v>
      </c>
      <c r="M5976">
        <v>0</v>
      </c>
      <c r="N5976">
        <v>0</v>
      </c>
      <c r="O5976" t="s">
        <v>11660</v>
      </c>
    </row>
    <row r="5977" spans="1:15">
      <c r="A5977" t="s">
        <v>27923</v>
      </c>
      <c r="B5977" t="s">
        <v>3164</v>
      </c>
      <c r="C5977" t="s">
        <v>27924</v>
      </c>
      <c r="D5977" t="s">
        <v>27925</v>
      </c>
      <c r="E5977" t="b">
        <v>0</v>
      </c>
      <c r="F5977" t="s">
        <v>11610</v>
      </c>
      <c r="L5977">
        <v>0</v>
      </c>
      <c r="M5977">
        <v>0</v>
      </c>
      <c r="N5977">
        <v>0</v>
      </c>
    </row>
    <row r="5978" spans="1:15">
      <c r="A5978" t="s">
        <v>27926</v>
      </c>
      <c r="B5978" t="s">
        <v>6742</v>
      </c>
      <c r="C5978" t="s">
        <v>16203</v>
      </c>
      <c r="D5978" t="s">
        <v>27927</v>
      </c>
      <c r="E5978" t="b">
        <v>0</v>
      </c>
      <c r="F5978" t="s">
        <v>11610</v>
      </c>
      <c r="L5978">
        <v>0</v>
      </c>
      <c r="M5978">
        <v>0</v>
      </c>
      <c r="N5978">
        <v>0</v>
      </c>
    </row>
    <row r="5979" spans="1:15">
      <c r="A5979" t="s">
        <v>27928</v>
      </c>
      <c r="B5979" t="s">
        <v>27929</v>
      </c>
      <c r="C5979" t="s">
        <v>27930</v>
      </c>
      <c r="D5979" t="s">
        <v>27931</v>
      </c>
      <c r="E5979" t="b">
        <v>0</v>
      </c>
      <c r="F5979" t="s">
        <v>11610</v>
      </c>
      <c r="L5979">
        <v>0</v>
      </c>
      <c r="M5979">
        <v>0</v>
      </c>
      <c r="N5979">
        <v>0</v>
      </c>
    </row>
    <row r="5980" spans="1:15">
      <c r="A5980" t="s">
        <v>27932</v>
      </c>
      <c r="B5980" t="s">
        <v>11637</v>
      </c>
      <c r="C5980" t="s">
        <v>15431</v>
      </c>
      <c r="D5980" t="s">
        <v>27933</v>
      </c>
      <c r="E5980" t="b">
        <v>0</v>
      </c>
      <c r="F5980" t="s">
        <v>11610</v>
      </c>
      <c r="L5980">
        <v>0</v>
      </c>
      <c r="M5980">
        <v>0</v>
      </c>
      <c r="N5980">
        <v>0</v>
      </c>
    </row>
    <row r="5981" spans="1:15">
      <c r="A5981" t="s">
        <v>27934</v>
      </c>
      <c r="B5981" t="s">
        <v>12241</v>
      </c>
      <c r="C5981" t="s">
        <v>12241</v>
      </c>
      <c r="D5981" t="s">
        <v>27935</v>
      </c>
      <c r="E5981" t="b">
        <v>0</v>
      </c>
      <c r="F5981" t="s">
        <v>11624</v>
      </c>
      <c r="L5981">
        <v>0</v>
      </c>
      <c r="M5981">
        <v>0</v>
      </c>
      <c r="N5981">
        <v>0</v>
      </c>
      <c r="O5981" t="s">
        <v>11969</v>
      </c>
    </row>
    <row r="5982" spans="1:15">
      <c r="A5982" t="s">
        <v>27936</v>
      </c>
      <c r="B5982" t="s">
        <v>6742</v>
      </c>
      <c r="C5982" t="s">
        <v>18216</v>
      </c>
      <c r="D5982" t="s">
        <v>27937</v>
      </c>
      <c r="E5982" t="b">
        <v>0</v>
      </c>
      <c r="F5982" t="s">
        <v>11610</v>
      </c>
      <c r="L5982">
        <v>0</v>
      </c>
      <c r="M5982">
        <v>0</v>
      </c>
      <c r="N5982">
        <v>0</v>
      </c>
    </row>
    <row r="5983" spans="1:15">
      <c r="A5983" t="s">
        <v>27938</v>
      </c>
      <c r="B5983" t="s">
        <v>10597</v>
      </c>
      <c r="C5983" t="s">
        <v>17141</v>
      </c>
      <c r="D5983" t="s">
        <v>27939</v>
      </c>
      <c r="E5983" t="b">
        <v>0</v>
      </c>
      <c r="F5983" t="s">
        <v>11624</v>
      </c>
      <c r="G5983">
        <v>-14.1812</v>
      </c>
      <c r="H5983">
        <v>144.25899999999999</v>
      </c>
      <c r="I5983" t="s">
        <v>27940</v>
      </c>
      <c r="L5983">
        <v>0</v>
      </c>
      <c r="M5983">
        <v>0</v>
      </c>
      <c r="N5983">
        <v>0</v>
      </c>
      <c r="O5983" t="s">
        <v>12107</v>
      </c>
    </row>
    <row r="5984" spans="1:15">
      <c r="A5984" t="s">
        <v>17141</v>
      </c>
      <c r="B5984" t="s">
        <v>10597</v>
      </c>
      <c r="C5984" t="s">
        <v>27941</v>
      </c>
      <c r="D5984" t="s">
        <v>27942</v>
      </c>
      <c r="E5984" t="b">
        <v>0</v>
      </c>
      <c r="F5984" t="s">
        <v>11622</v>
      </c>
      <c r="L5984">
        <v>0</v>
      </c>
      <c r="M5984">
        <v>2</v>
      </c>
      <c r="N5984">
        <v>0</v>
      </c>
    </row>
    <row r="5985" spans="1:15">
      <c r="A5985" t="s">
        <v>27943</v>
      </c>
      <c r="B5985" t="s">
        <v>11637</v>
      </c>
      <c r="C5985" t="s">
        <v>14195</v>
      </c>
      <c r="D5985" t="s">
        <v>27944</v>
      </c>
      <c r="E5985" t="b">
        <v>0</v>
      </c>
      <c r="F5985" t="s">
        <v>11610</v>
      </c>
      <c r="L5985">
        <v>0</v>
      </c>
      <c r="M5985">
        <v>0</v>
      </c>
      <c r="N5985">
        <v>0</v>
      </c>
    </row>
    <row r="5986" spans="1:15">
      <c r="A5986" t="s">
        <v>27945</v>
      </c>
      <c r="B5986" t="s">
        <v>367</v>
      </c>
      <c r="C5986" t="s">
        <v>14692</v>
      </c>
      <c r="D5986" t="s">
        <v>27946</v>
      </c>
      <c r="E5986" t="b">
        <v>0</v>
      </c>
      <c r="F5986" t="s">
        <v>11622</v>
      </c>
      <c r="L5986">
        <v>8</v>
      </c>
      <c r="M5986">
        <v>14</v>
      </c>
      <c r="N5986">
        <v>45</v>
      </c>
    </row>
    <row r="5987" spans="1:15">
      <c r="A5987" t="s">
        <v>27947</v>
      </c>
      <c r="B5987" t="s">
        <v>367</v>
      </c>
      <c r="C5987" t="s">
        <v>14692</v>
      </c>
      <c r="D5987" t="s">
        <v>27948</v>
      </c>
      <c r="E5987" t="b">
        <v>0</v>
      </c>
      <c r="F5987" t="s">
        <v>11622</v>
      </c>
      <c r="L5987">
        <v>16</v>
      </c>
      <c r="M5987">
        <v>23</v>
      </c>
      <c r="N5987">
        <v>41</v>
      </c>
    </row>
    <row r="5988" spans="1:15">
      <c r="A5988" t="s">
        <v>27949</v>
      </c>
      <c r="B5988" t="s">
        <v>367</v>
      </c>
      <c r="C5988" t="s">
        <v>27947</v>
      </c>
      <c r="D5988" t="s">
        <v>27950</v>
      </c>
      <c r="E5988" t="b">
        <v>0</v>
      </c>
      <c r="F5988" t="s">
        <v>11622</v>
      </c>
      <c r="L5988">
        <v>9</v>
      </c>
      <c r="M5988">
        <v>14</v>
      </c>
      <c r="N5988">
        <v>16</v>
      </c>
    </row>
    <row r="5989" spans="1:15">
      <c r="A5989" t="s">
        <v>27951</v>
      </c>
      <c r="B5989" t="s">
        <v>367</v>
      </c>
      <c r="C5989" t="s">
        <v>13129</v>
      </c>
      <c r="D5989" t="s">
        <v>27952</v>
      </c>
      <c r="E5989" t="b">
        <v>0</v>
      </c>
      <c r="F5989" t="s">
        <v>11622</v>
      </c>
      <c r="L5989">
        <v>0</v>
      </c>
      <c r="M5989">
        <v>3</v>
      </c>
      <c r="N5989">
        <v>12</v>
      </c>
    </row>
    <row r="5990" spans="1:15">
      <c r="A5990" t="s">
        <v>27953</v>
      </c>
      <c r="B5990" t="s">
        <v>11637</v>
      </c>
      <c r="C5990" t="s">
        <v>27954</v>
      </c>
      <c r="D5990" t="s">
        <v>27955</v>
      </c>
      <c r="E5990" t="b">
        <v>0</v>
      </c>
      <c r="F5990" t="s">
        <v>11610</v>
      </c>
      <c r="L5990">
        <v>0</v>
      </c>
      <c r="M5990">
        <v>0</v>
      </c>
      <c r="N5990">
        <v>0</v>
      </c>
    </row>
    <row r="5991" spans="1:15">
      <c r="A5991" t="s">
        <v>27956</v>
      </c>
      <c r="B5991" t="s">
        <v>11637</v>
      </c>
      <c r="C5991" t="s">
        <v>15431</v>
      </c>
      <c r="D5991" t="s">
        <v>27957</v>
      </c>
      <c r="E5991" t="b">
        <v>0</v>
      </c>
      <c r="F5991" t="s">
        <v>11610</v>
      </c>
      <c r="L5991">
        <v>0</v>
      </c>
      <c r="M5991">
        <v>0</v>
      </c>
      <c r="N5991">
        <v>0</v>
      </c>
    </row>
    <row r="5992" spans="1:15">
      <c r="A5992" t="s">
        <v>27958</v>
      </c>
      <c r="B5992" t="s">
        <v>6742</v>
      </c>
      <c r="C5992" t="s">
        <v>15515</v>
      </c>
      <c r="D5992" t="s">
        <v>27959</v>
      </c>
      <c r="E5992" t="b">
        <v>0</v>
      </c>
      <c r="F5992" t="s">
        <v>11610</v>
      </c>
      <c r="L5992">
        <v>0</v>
      </c>
      <c r="M5992">
        <v>0</v>
      </c>
      <c r="N5992">
        <v>0</v>
      </c>
    </row>
    <row r="5993" spans="1:15">
      <c r="A5993" t="s">
        <v>27960</v>
      </c>
      <c r="B5993" t="s">
        <v>14304</v>
      </c>
      <c r="C5993" t="s">
        <v>14304</v>
      </c>
      <c r="D5993" t="s">
        <v>27961</v>
      </c>
      <c r="E5993" t="b">
        <v>0</v>
      </c>
      <c r="F5993" t="s">
        <v>11610</v>
      </c>
      <c r="L5993">
        <v>0</v>
      </c>
      <c r="M5993">
        <v>0</v>
      </c>
      <c r="N5993">
        <v>0</v>
      </c>
    </row>
    <row r="5994" spans="1:15">
      <c r="A5994" t="s">
        <v>27962</v>
      </c>
      <c r="B5994" t="s">
        <v>11981</v>
      </c>
      <c r="C5994" t="s">
        <v>11982</v>
      </c>
      <c r="D5994" t="s">
        <v>27963</v>
      </c>
      <c r="E5994" t="b">
        <v>0</v>
      </c>
      <c r="F5994" t="s">
        <v>11624</v>
      </c>
      <c r="G5994">
        <v>-14.830544</v>
      </c>
      <c r="H5994">
        <v>142.923879</v>
      </c>
      <c r="L5994">
        <v>0</v>
      </c>
      <c r="M5994">
        <v>0</v>
      </c>
      <c r="N5994">
        <v>0</v>
      </c>
      <c r="O5994" t="s">
        <v>12107</v>
      </c>
    </row>
    <row r="5995" spans="1:15">
      <c r="A5995" t="s">
        <v>27964</v>
      </c>
      <c r="B5995" t="s">
        <v>15365</v>
      </c>
      <c r="C5995" t="s">
        <v>26265</v>
      </c>
      <c r="D5995" t="s">
        <v>27965</v>
      </c>
      <c r="E5995" t="b">
        <v>0</v>
      </c>
      <c r="F5995" t="s">
        <v>11624</v>
      </c>
      <c r="G5995">
        <v>-3.04582</v>
      </c>
      <c r="H5995">
        <v>139.21299999999999</v>
      </c>
      <c r="I5995" t="s">
        <v>27966</v>
      </c>
      <c r="L5995">
        <v>0</v>
      </c>
      <c r="M5995">
        <v>0</v>
      </c>
      <c r="N5995">
        <v>0</v>
      </c>
      <c r="O5995" t="s">
        <v>11768</v>
      </c>
    </row>
    <row r="5996" spans="1:15">
      <c r="A5996" t="s">
        <v>27967</v>
      </c>
      <c r="B5996" t="s">
        <v>6742</v>
      </c>
      <c r="C5996" t="s">
        <v>21272</v>
      </c>
      <c r="D5996" t="s">
        <v>27968</v>
      </c>
      <c r="E5996" t="b">
        <v>0</v>
      </c>
      <c r="F5996" t="s">
        <v>11610</v>
      </c>
      <c r="L5996">
        <v>0</v>
      </c>
      <c r="M5996">
        <v>0</v>
      </c>
      <c r="N5996">
        <v>0</v>
      </c>
    </row>
    <row r="5997" spans="1:15">
      <c r="A5997" t="s">
        <v>27969</v>
      </c>
      <c r="B5997" t="s">
        <v>367</v>
      </c>
      <c r="C5997" t="s">
        <v>20534</v>
      </c>
      <c r="D5997" t="s">
        <v>27970</v>
      </c>
      <c r="E5997" t="b">
        <v>0</v>
      </c>
      <c r="F5997" t="s">
        <v>11610</v>
      </c>
      <c r="L5997">
        <v>0</v>
      </c>
      <c r="M5997">
        <v>0</v>
      </c>
      <c r="N5997">
        <v>0</v>
      </c>
    </row>
    <row r="5998" spans="1:15">
      <c r="A5998" t="s">
        <v>13547</v>
      </c>
      <c r="B5998" t="s">
        <v>11637</v>
      </c>
      <c r="C5998" t="s">
        <v>27971</v>
      </c>
      <c r="D5998" t="s">
        <v>27972</v>
      </c>
      <c r="E5998" t="b">
        <v>0</v>
      </c>
      <c r="F5998" t="s">
        <v>11610</v>
      </c>
      <c r="L5998">
        <v>0</v>
      </c>
      <c r="M5998">
        <v>0</v>
      </c>
      <c r="N5998">
        <v>4</v>
      </c>
    </row>
    <row r="5999" spans="1:15">
      <c r="A5999" t="s">
        <v>27973</v>
      </c>
      <c r="B5999" t="s">
        <v>11627</v>
      </c>
      <c r="C5999" t="s">
        <v>11627</v>
      </c>
      <c r="D5999" t="s">
        <v>27974</v>
      </c>
      <c r="E5999" t="b">
        <v>1</v>
      </c>
      <c r="F5999" t="s">
        <v>11624</v>
      </c>
      <c r="I5999" t="s">
        <v>27975</v>
      </c>
      <c r="L5999">
        <v>0</v>
      </c>
      <c r="M5999">
        <v>0</v>
      </c>
      <c r="N5999">
        <v>0</v>
      </c>
      <c r="O5999" t="s">
        <v>11660</v>
      </c>
    </row>
    <row r="6000" spans="1:15">
      <c r="A6000" t="s">
        <v>27976</v>
      </c>
      <c r="B6000" t="s">
        <v>26263</v>
      </c>
      <c r="C6000" t="s">
        <v>26263</v>
      </c>
      <c r="D6000" t="s">
        <v>27977</v>
      </c>
      <c r="E6000" t="b">
        <v>0</v>
      </c>
      <c r="F6000" t="s">
        <v>11624</v>
      </c>
      <c r="G6000">
        <v>-6.4725799999999998</v>
      </c>
      <c r="H6000">
        <v>143.495</v>
      </c>
      <c r="I6000" t="s">
        <v>27978</v>
      </c>
      <c r="L6000">
        <v>0</v>
      </c>
      <c r="M6000">
        <v>0</v>
      </c>
      <c r="N6000">
        <v>4</v>
      </c>
      <c r="O6000" t="s">
        <v>11660</v>
      </c>
    </row>
    <row r="6001" spans="1:15">
      <c r="A6001" t="s">
        <v>27979</v>
      </c>
      <c r="B6001" t="s">
        <v>15365</v>
      </c>
      <c r="C6001" t="s">
        <v>27980</v>
      </c>
      <c r="D6001" t="s">
        <v>27981</v>
      </c>
      <c r="E6001" t="b">
        <v>0</v>
      </c>
      <c r="F6001" t="s">
        <v>11610</v>
      </c>
      <c r="L6001">
        <v>0</v>
      </c>
      <c r="M6001">
        <v>0</v>
      </c>
      <c r="N6001">
        <v>0</v>
      </c>
    </row>
    <row r="6002" spans="1:15">
      <c r="A6002" t="s">
        <v>27982</v>
      </c>
      <c r="B6002" t="s">
        <v>6742</v>
      </c>
      <c r="C6002" t="s">
        <v>16450</v>
      </c>
      <c r="D6002" t="s">
        <v>27983</v>
      </c>
      <c r="E6002" t="b">
        <v>0</v>
      </c>
      <c r="F6002" t="s">
        <v>11610</v>
      </c>
      <c r="L6002">
        <v>0</v>
      </c>
      <c r="M6002">
        <v>0</v>
      </c>
      <c r="N6002">
        <v>0</v>
      </c>
    </row>
    <row r="6003" spans="1:15">
      <c r="A6003" t="s">
        <v>15163</v>
      </c>
      <c r="B6003" t="s">
        <v>15162</v>
      </c>
      <c r="C6003" t="s">
        <v>15162</v>
      </c>
      <c r="D6003" t="s">
        <v>27984</v>
      </c>
      <c r="E6003" t="b">
        <v>0</v>
      </c>
      <c r="F6003" t="s">
        <v>11624</v>
      </c>
      <c r="G6003">
        <v>-6.8632099999999996</v>
      </c>
      <c r="H6003">
        <v>144.458</v>
      </c>
      <c r="I6003" t="s">
        <v>27985</v>
      </c>
      <c r="L6003">
        <v>0</v>
      </c>
      <c r="M6003">
        <v>0</v>
      </c>
      <c r="N6003">
        <v>13</v>
      </c>
      <c r="O6003" t="s">
        <v>11660</v>
      </c>
    </row>
    <row r="6004" spans="1:15">
      <c r="A6004" t="s">
        <v>27986</v>
      </c>
      <c r="B6004" t="s">
        <v>11627</v>
      </c>
      <c r="C6004" t="s">
        <v>11627</v>
      </c>
      <c r="D6004" t="s">
        <v>27987</v>
      </c>
      <c r="E6004" t="b">
        <v>1</v>
      </c>
      <c r="F6004" t="s">
        <v>11624</v>
      </c>
      <c r="G6004">
        <v>0.88031999999999999</v>
      </c>
      <c r="H6004">
        <v>24.3202</v>
      </c>
      <c r="I6004" t="s">
        <v>27988</v>
      </c>
      <c r="L6004">
        <v>0</v>
      </c>
      <c r="M6004">
        <v>0</v>
      </c>
      <c r="N6004">
        <v>0</v>
      </c>
      <c r="O6004" t="s">
        <v>14825</v>
      </c>
    </row>
    <row r="6005" spans="1:15">
      <c r="A6005" t="s">
        <v>27989</v>
      </c>
      <c r="B6005" t="s">
        <v>6742</v>
      </c>
      <c r="C6005" t="s">
        <v>25013</v>
      </c>
      <c r="D6005" t="s">
        <v>27990</v>
      </c>
      <c r="E6005" t="b">
        <v>0</v>
      </c>
      <c r="F6005" t="s">
        <v>11610</v>
      </c>
      <c r="L6005">
        <v>0</v>
      </c>
      <c r="M6005">
        <v>0</v>
      </c>
      <c r="N6005">
        <v>0</v>
      </c>
    </row>
    <row r="6006" spans="1:15">
      <c r="A6006" t="s">
        <v>27991</v>
      </c>
      <c r="B6006" t="s">
        <v>6742</v>
      </c>
      <c r="C6006" t="s">
        <v>15734</v>
      </c>
      <c r="D6006" t="s">
        <v>27992</v>
      </c>
      <c r="E6006" t="b">
        <v>0</v>
      </c>
      <c r="F6006" t="s">
        <v>11610</v>
      </c>
      <c r="L6006">
        <v>0</v>
      </c>
      <c r="M6006">
        <v>0</v>
      </c>
      <c r="N6006">
        <v>0</v>
      </c>
    </row>
    <row r="6007" spans="1:15">
      <c r="A6007" t="s">
        <v>27993</v>
      </c>
      <c r="B6007" t="s">
        <v>11729</v>
      </c>
      <c r="C6007" t="s">
        <v>27806</v>
      </c>
      <c r="D6007" t="s">
        <v>27994</v>
      </c>
      <c r="E6007" t="b">
        <v>0</v>
      </c>
      <c r="F6007" t="s">
        <v>11624</v>
      </c>
      <c r="G6007">
        <v>11.3179</v>
      </c>
      <c r="H6007">
        <v>22.5611</v>
      </c>
      <c r="I6007" t="s">
        <v>27995</v>
      </c>
      <c r="L6007">
        <v>0</v>
      </c>
      <c r="M6007">
        <v>0</v>
      </c>
      <c r="N6007">
        <v>0</v>
      </c>
      <c r="O6007" t="s">
        <v>27996</v>
      </c>
    </row>
    <row r="6008" spans="1:15">
      <c r="A6008" t="s">
        <v>1387</v>
      </c>
      <c r="B6008" t="s">
        <v>6742</v>
      </c>
      <c r="C6008" t="s">
        <v>15474</v>
      </c>
      <c r="D6008" t="s">
        <v>1939</v>
      </c>
      <c r="E6008" t="b">
        <v>0</v>
      </c>
      <c r="F6008" t="s">
        <v>11624</v>
      </c>
      <c r="G6008">
        <v>7.1548400000000001</v>
      </c>
      <c r="H6008">
        <v>1.6649499999999999</v>
      </c>
      <c r="I6008" t="s">
        <v>1388</v>
      </c>
      <c r="L6008">
        <v>0</v>
      </c>
      <c r="M6008">
        <v>0</v>
      </c>
      <c r="N6008">
        <v>3</v>
      </c>
      <c r="O6008" t="s">
        <v>12394</v>
      </c>
    </row>
    <row r="6009" spans="1:15">
      <c r="A6009" t="s">
        <v>27997</v>
      </c>
      <c r="B6009" t="s">
        <v>6742</v>
      </c>
      <c r="C6009" t="s">
        <v>3500</v>
      </c>
      <c r="D6009" t="s">
        <v>27998</v>
      </c>
      <c r="E6009" t="b">
        <v>0</v>
      </c>
      <c r="F6009" t="s">
        <v>11610</v>
      </c>
      <c r="L6009">
        <v>0</v>
      </c>
      <c r="M6009">
        <v>0</v>
      </c>
      <c r="N6009">
        <v>0</v>
      </c>
    </row>
    <row r="6010" spans="1:15">
      <c r="A6010" t="s">
        <v>27999</v>
      </c>
      <c r="B6010" t="s">
        <v>6742</v>
      </c>
      <c r="C6010" t="s">
        <v>28000</v>
      </c>
      <c r="D6010" t="s">
        <v>28001</v>
      </c>
      <c r="E6010" t="b">
        <v>0</v>
      </c>
      <c r="F6010" t="s">
        <v>11624</v>
      </c>
      <c r="G6010">
        <v>9.5648900000000001</v>
      </c>
      <c r="H6010">
        <v>1.40486</v>
      </c>
      <c r="I6010" t="s">
        <v>28002</v>
      </c>
      <c r="L6010">
        <v>0</v>
      </c>
      <c r="M6010">
        <v>0</v>
      </c>
      <c r="N6010">
        <v>0</v>
      </c>
      <c r="O6010" t="s">
        <v>12394</v>
      </c>
    </row>
    <row r="6011" spans="1:15">
      <c r="A6011" t="s">
        <v>28003</v>
      </c>
      <c r="B6011" t="s">
        <v>6742</v>
      </c>
      <c r="C6011" t="s">
        <v>24707</v>
      </c>
      <c r="D6011" t="s">
        <v>28004</v>
      </c>
      <c r="E6011" t="b">
        <v>0</v>
      </c>
      <c r="F6011" t="s">
        <v>11610</v>
      </c>
      <c r="L6011">
        <v>0</v>
      </c>
      <c r="M6011">
        <v>0</v>
      </c>
      <c r="N6011">
        <v>0</v>
      </c>
    </row>
    <row r="6012" spans="1:15">
      <c r="A6012" t="s">
        <v>28005</v>
      </c>
      <c r="B6012" t="s">
        <v>6742</v>
      </c>
      <c r="C6012" t="s">
        <v>22382</v>
      </c>
      <c r="D6012" t="s">
        <v>28006</v>
      </c>
      <c r="E6012" t="b">
        <v>0</v>
      </c>
      <c r="F6012" t="s">
        <v>11610</v>
      </c>
      <c r="L6012">
        <v>0</v>
      </c>
      <c r="M6012">
        <v>0</v>
      </c>
      <c r="N6012">
        <v>0</v>
      </c>
    </row>
    <row r="6013" spans="1:15">
      <c r="A6013" t="s">
        <v>28007</v>
      </c>
      <c r="B6013" t="s">
        <v>6742</v>
      </c>
      <c r="C6013" t="s">
        <v>16200</v>
      </c>
      <c r="D6013" t="s">
        <v>28008</v>
      </c>
      <c r="E6013" t="b">
        <v>0</v>
      </c>
      <c r="F6013" t="s">
        <v>11610</v>
      </c>
      <c r="L6013">
        <v>0</v>
      </c>
      <c r="M6013">
        <v>0</v>
      </c>
      <c r="N6013">
        <v>0</v>
      </c>
    </row>
    <row r="6014" spans="1:15">
      <c r="A6014" t="s">
        <v>28009</v>
      </c>
      <c r="B6014" t="s">
        <v>11615</v>
      </c>
      <c r="C6014" t="s">
        <v>24384</v>
      </c>
      <c r="D6014" t="s">
        <v>28010</v>
      </c>
      <c r="E6014" t="b">
        <v>0</v>
      </c>
      <c r="F6014" t="s">
        <v>11624</v>
      </c>
      <c r="G6014">
        <v>-5.6907899999999998</v>
      </c>
      <c r="H6014">
        <v>146.541</v>
      </c>
      <c r="I6014" t="s">
        <v>28011</v>
      </c>
      <c r="L6014">
        <v>0</v>
      </c>
      <c r="M6014">
        <v>0</v>
      </c>
      <c r="N6014">
        <v>0</v>
      </c>
      <c r="O6014" t="s">
        <v>11660</v>
      </c>
    </row>
    <row r="6015" spans="1:15">
      <c r="A6015" t="s">
        <v>28012</v>
      </c>
      <c r="B6015" t="s">
        <v>367</v>
      </c>
      <c r="C6015" t="s">
        <v>28013</v>
      </c>
      <c r="D6015" t="s">
        <v>28014</v>
      </c>
      <c r="E6015" t="b">
        <v>0</v>
      </c>
      <c r="F6015" t="s">
        <v>11624</v>
      </c>
      <c r="G6015">
        <v>-7.2890199999999998</v>
      </c>
      <c r="H6015">
        <v>131.511</v>
      </c>
      <c r="I6015" t="s">
        <v>28015</v>
      </c>
      <c r="L6015">
        <v>0</v>
      </c>
      <c r="M6015">
        <v>0</v>
      </c>
      <c r="N6015">
        <v>4</v>
      </c>
      <c r="O6015" t="s">
        <v>11768</v>
      </c>
    </row>
    <row r="6016" spans="1:15">
      <c r="A6016" t="s">
        <v>28016</v>
      </c>
      <c r="B6016" t="s">
        <v>367</v>
      </c>
      <c r="C6016" t="s">
        <v>28012</v>
      </c>
      <c r="D6016" t="s">
        <v>28017</v>
      </c>
      <c r="E6016" t="b">
        <v>0</v>
      </c>
      <c r="F6016" t="s">
        <v>11610</v>
      </c>
      <c r="L6016">
        <v>0</v>
      </c>
      <c r="M6016">
        <v>0</v>
      </c>
      <c r="N6016">
        <v>0</v>
      </c>
    </row>
    <row r="6017" spans="1:15">
      <c r="A6017" t="s">
        <v>28018</v>
      </c>
      <c r="B6017" t="s">
        <v>367</v>
      </c>
      <c r="C6017" t="s">
        <v>28012</v>
      </c>
      <c r="D6017" t="s">
        <v>28019</v>
      </c>
      <c r="E6017" t="b">
        <v>0</v>
      </c>
      <c r="F6017" t="s">
        <v>11610</v>
      </c>
      <c r="L6017">
        <v>0</v>
      </c>
      <c r="M6017">
        <v>0</v>
      </c>
      <c r="N6017">
        <v>0</v>
      </c>
    </row>
    <row r="6018" spans="1:15">
      <c r="A6018" t="s">
        <v>28020</v>
      </c>
      <c r="B6018" t="s">
        <v>12260</v>
      </c>
      <c r="C6018" t="s">
        <v>27209</v>
      </c>
      <c r="D6018" t="s">
        <v>28021</v>
      </c>
      <c r="E6018" t="b">
        <v>0</v>
      </c>
      <c r="F6018" t="s">
        <v>11624</v>
      </c>
      <c r="G6018">
        <v>69.982900000000001</v>
      </c>
      <c r="H6018">
        <v>88.212100000000007</v>
      </c>
      <c r="I6018" t="s">
        <v>28022</v>
      </c>
      <c r="L6018">
        <v>0</v>
      </c>
      <c r="M6018">
        <v>0</v>
      </c>
      <c r="N6018">
        <v>0</v>
      </c>
      <c r="O6018" t="s">
        <v>12748</v>
      </c>
    </row>
    <row r="6019" spans="1:15">
      <c r="A6019" t="s">
        <v>28023</v>
      </c>
      <c r="B6019" t="s">
        <v>12260</v>
      </c>
      <c r="C6019" t="s">
        <v>12264</v>
      </c>
      <c r="D6019" t="s">
        <v>28024</v>
      </c>
      <c r="E6019" t="b">
        <v>0</v>
      </c>
      <c r="F6019" t="s">
        <v>11610</v>
      </c>
      <c r="L6019">
        <v>0</v>
      </c>
      <c r="M6019">
        <v>0</v>
      </c>
      <c r="N6019">
        <v>0</v>
      </c>
    </row>
    <row r="6020" spans="1:15">
      <c r="A6020" t="s">
        <v>28025</v>
      </c>
      <c r="B6020" t="s">
        <v>6742</v>
      </c>
      <c r="C6020" t="s">
        <v>28026</v>
      </c>
      <c r="D6020" t="s">
        <v>28027</v>
      </c>
      <c r="E6020" t="b">
        <v>0</v>
      </c>
      <c r="F6020" t="s">
        <v>11610</v>
      </c>
      <c r="L6020">
        <v>0</v>
      </c>
      <c r="M6020">
        <v>0</v>
      </c>
      <c r="N6020">
        <v>0</v>
      </c>
    </row>
    <row r="6021" spans="1:15">
      <c r="A6021" t="s">
        <v>28028</v>
      </c>
      <c r="B6021" t="s">
        <v>11627</v>
      </c>
      <c r="C6021" t="s">
        <v>11627</v>
      </c>
      <c r="D6021" t="s">
        <v>28029</v>
      </c>
      <c r="E6021" t="b">
        <v>1</v>
      </c>
      <c r="F6021" t="s">
        <v>11624</v>
      </c>
      <c r="G6021">
        <v>9.4968500000000002</v>
      </c>
      <c r="H6021">
        <v>-7.5315099999999999</v>
      </c>
      <c r="I6021" t="s">
        <v>28030</v>
      </c>
      <c r="L6021">
        <v>0</v>
      </c>
      <c r="M6021">
        <v>0</v>
      </c>
      <c r="N6021">
        <v>0</v>
      </c>
      <c r="O6021" t="s">
        <v>11735</v>
      </c>
    </row>
    <row r="6022" spans="1:15">
      <c r="A6022" t="s">
        <v>28031</v>
      </c>
      <c r="B6022" t="s">
        <v>11615</v>
      </c>
      <c r="C6022" t="s">
        <v>28032</v>
      </c>
      <c r="D6022" t="s">
        <v>28033</v>
      </c>
      <c r="E6022" t="b">
        <v>0</v>
      </c>
      <c r="F6022" t="s">
        <v>11624</v>
      </c>
      <c r="G6022">
        <v>-6.64473</v>
      </c>
      <c r="H6022">
        <v>145.50649999999999</v>
      </c>
      <c r="I6022" t="s">
        <v>28034</v>
      </c>
      <c r="L6022">
        <v>0</v>
      </c>
      <c r="M6022">
        <v>0</v>
      </c>
      <c r="N6022">
        <v>2</v>
      </c>
      <c r="O6022" t="s">
        <v>11660</v>
      </c>
    </row>
    <row r="6023" spans="1:15">
      <c r="A6023" t="s">
        <v>28035</v>
      </c>
      <c r="B6023" t="s">
        <v>389</v>
      </c>
      <c r="C6023" t="s">
        <v>28036</v>
      </c>
      <c r="D6023" t="s">
        <v>28037</v>
      </c>
      <c r="E6023" t="b">
        <v>0</v>
      </c>
      <c r="F6023" t="s">
        <v>11610</v>
      </c>
      <c r="L6023">
        <v>0</v>
      </c>
      <c r="M6023">
        <v>0</v>
      </c>
      <c r="N6023">
        <v>0</v>
      </c>
    </row>
    <row r="6024" spans="1:15">
      <c r="A6024" t="s">
        <v>28038</v>
      </c>
      <c r="B6024" t="s">
        <v>6742</v>
      </c>
      <c r="C6024" t="s">
        <v>28039</v>
      </c>
      <c r="D6024" t="s">
        <v>28040</v>
      </c>
      <c r="E6024" t="b">
        <v>0</v>
      </c>
      <c r="F6024" t="s">
        <v>11622</v>
      </c>
      <c r="L6024">
        <v>3</v>
      </c>
      <c r="M6024">
        <v>7</v>
      </c>
      <c r="N6024">
        <v>6</v>
      </c>
    </row>
    <row r="6025" spans="1:15">
      <c r="A6025" t="s">
        <v>28032</v>
      </c>
      <c r="B6025" t="s">
        <v>11615</v>
      </c>
      <c r="C6025" t="s">
        <v>28041</v>
      </c>
      <c r="D6025" t="s">
        <v>28042</v>
      </c>
      <c r="E6025" t="b">
        <v>0</v>
      </c>
      <c r="F6025" t="s">
        <v>11622</v>
      </c>
      <c r="L6025">
        <v>0</v>
      </c>
      <c r="M6025">
        <v>2</v>
      </c>
      <c r="N6025">
        <v>4</v>
      </c>
    </row>
    <row r="6026" spans="1:15">
      <c r="A6026" t="s">
        <v>12264</v>
      </c>
      <c r="B6026" t="s">
        <v>12260</v>
      </c>
      <c r="C6026" t="s">
        <v>28043</v>
      </c>
      <c r="D6026" t="s">
        <v>28044</v>
      </c>
      <c r="E6026" t="b">
        <v>0</v>
      </c>
      <c r="F6026" t="s">
        <v>11624</v>
      </c>
      <c r="G6026">
        <v>63.72</v>
      </c>
      <c r="H6026">
        <v>71.97</v>
      </c>
      <c r="L6026">
        <v>0</v>
      </c>
      <c r="M6026">
        <v>0</v>
      </c>
      <c r="N6026">
        <v>4</v>
      </c>
      <c r="O6026" t="s">
        <v>12748</v>
      </c>
    </row>
    <row r="6027" spans="1:15">
      <c r="A6027" t="s">
        <v>28045</v>
      </c>
      <c r="B6027" t="s">
        <v>1588</v>
      </c>
      <c r="C6027" t="s">
        <v>28046</v>
      </c>
      <c r="D6027" t="s">
        <v>28047</v>
      </c>
      <c r="E6027" t="b">
        <v>0</v>
      </c>
      <c r="F6027" t="s">
        <v>11622</v>
      </c>
      <c r="L6027">
        <v>0</v>
      </c>
      <c r="M6027">
        <v>3</v>
      </c>
      <c r="N6027">
        <v>0</v>
      </c>
    </row>
    <row r="6028" spans="1:15">
      <c r="A6028" t="s">
        <v>28048</v>
      </c>
      <c r="B6028" t="s">
        <v>367</v>
      </c>
      <c r="C6028" t="s">
        <v>21883</v>
      </c>
      <c r="D6028" t="s">
        <v>28049</v>
      </c>
      <c r="E6028" t="b">
        <v>0</v>
      </c>
      <c r="F6028" t="s">
        <v>11624</v>
      </c>
      <c r="G6028">
        <v>-15.448399999999999</v>
      </c>
      <c r="H6028">
        <v>166.93100000000001</v>
      </c>
      <c r="I6028" t="s">
        <v>28050</v>
      </c>
      <c r="L6028">
        <v>0</v>
      </c>
      <c r="M6028">
        <v>0</v>
      </c>
      <c r="N6028">
        <v>0</v>
      </c>
      <c r="O6028" t="s">
        <v>12719</v>
      </c>
    </row>
    <row r="6029" spans="1:15">
      <c r="A6029" t="s">
        <v>28051</v>
      </c>
      <c r="B6029" t="s">
        <v>6742</v>
      </c>
      <c r="C6029" t="s">
        <v>25013</v>
      </c>
      <c r="D6029" t="s">
        <v>28052</v>
      </c>
      <c r="E6029" t="b">
        <v>0</v>
      </c>
      <c r="F6029" t="s">
        <v>11610</v>
      </c>
      <c r="L6029">
        <v>0</v>
      </c>
      <c r="M6029">
        <v>0</v>
      </c>
      <c r="N6029">
        <v>0</v>
      </c>
    </row>
    <row r="6030" spans="1:15">
      <c r="A6030" t="s">
        <v>28053</v>
      </c>
      <c r="B6030" t="s">
        <v>11615</v>
      </c>
      <c r="C6030" t="s">
        <v>12938</v>
      </c>
      <c r="D6030" t="s">
        <v>28054</v>
      </c>
      <c r="E6030" t="b">
        <v>0</v>
      </c>
      <c r="F6030" t="s">
        <v>11610</v>
      </c>
      <c r="L6030">
        <v>0</v>
      </c>
      <c r="M6030">
        <v>0</v>
      </c>
      <c r="N6030">
        <v>0</v>
      </c>
    </row>
    <row r="6031" spans="1:15">
      <c r="A6031" t="s">
        <v>28055</v>
      </c>
      <c r="B6031" t="s">
        <v>12979</v>
      </c>
      <c r="C6031" t="s">
        <v>26587</v>
      </c>
      <c r="D6031" t="s">
        <v>28056</v>
      </c>
      <c r="E6031" t="b">
        <v>0</v>
      </c>
      <c r="F6031" t="s">
        <v>11622</v>
      </c>
      <c r="L6031">
        <v>0</v>
      </c>
      <c r="M6031">
        <v>2</v>
      </c>
      <c r="N6031">
        <v>2</v>
      </c>
    </row>
    <row r="6032" spans="1:15">
      <c r="A6032" t="s">
        <v>28057</v>
      </c>
      <c r="B6032" t="s">
        <v>6742</v>
      </c>
      <c r="C6032" t="s">
        <v>19532</v>
      </c>
      <c r="D6032" t="s">
        <v>28058</v>
      </c>
      <c r="E6032" t="b">
        <v>0</v>
      </c>
      <c r="F6032" t="s">
        <v>11610</v>
      </c>
      <c r="L6032">
        <v>0</v>
      </c>
      <c r="M6032">
        <v>0</v>
      </c>
      <c r="N6032">
        <v>0</v>
      </c>
    </row>
    <row r="6033" spans="1:15">
      <c r="A6033" t="s">
        <v>27724</v>
      </c>
      <c r="B6033" t="s">
        <v>6742</v>
      </c>
      <c r="C6033" t="s">
        <v>28059</v>
      </c>
      <c r="D6033" t="s">
        <v>28060</v>
      </c>
      <c r="E6033" t="b">
        <v>0</v>
      </c>
      <c r="F6033" t="s">
        <v>11622</v>
      </c>
      <c r="L6033">
        <v>0</v>
      </c>
      <c r="M6033">
        <v>2</v>
      </c>
      <c r="N6033">
        <v>7</v>
      </c>
    </row>
    <row r="6034" spans="1:15">
      <c r="A6034" t="s">
        <v>21288</v>
      </c>
      <c r="B6034" t="s">
        <v>11637</v>
      </c>
      <c r="C6034" t="s">
        <v>27618</v>
      </c>
      <c r="D6034" t="s">
        <v>28061</v>
      </c>
      <c r="E6034" t="b">
        <v>0</v>
      </c>
      <c r="F6034" t="s">
        <v>11624</v>
      </c>
      <c r="G6034">
        <v>45.805100000000003</v>
      </c>
      <c r="H6034">
        <v>6.4815199999999997</v>
      </c>
      <c r="I6034" t="s">
        <v>28062</v>
      </c>
      <c r="L6034">
        <v>0</v>
      </c>
      <c r="M6034">
        <v>0</v>
      </c>
      <c r="N6034">
        <v>11</v>
      </c>
      <c r="O6034" t="s">
        <v>28063</v>
      </c>
    </row>
    <row r="6035" spans="1:15">
      <c r="A6035" t="s">
        <v>28064</v>
      </c>
      <c r="B6035" t="s">
        <v>11637</v>
      </c>
      <c r="C6035" t="s">
        <v>21288</v>
      </c>
      <c r="D6035" t="s">
        <v>28065</v>
      </c>
      <c r="E6035" t="b">
        <v>0</v>
      </c>
      <c r="F6035" t="s">
        <v>11610</v>
      </c>
      <c r="L6035">
        <v>0</v>
      </c>
      <c r="M6035">
        <v>0</v>
      </c>
      <c r="N6035">
        <v>0</v>
      </c>
    </row>
    <row r="6036" spans="1:15">
      <c r="A6036" t="s">
        <v>28066</v>
      </c>
      <c r="B6036" t="s">
        <v>11637</v>
      </c>
      <c r="C6036" t="s">
        <v>3656</v>
      </c>
      <c r="D6036" t="s">
        <v>28067</v>
      </c>
      <c r="E6036" t="b">
        <v>0</v>
      </c>
      <c r="F6036" t="s">
        <v>11610</v>
      </c>
      <c r="L6036">
        <v>0</v>
      </c>
      <c r="M6036">
        <v>0</v>
      </c>
      <c r="N6036">
        <v>0</v>
      </c>
    </row>
    <row r="6037" spans="1:15">
      <c r="A6037" t="s">
        <v>28068</v>
      </c>
      <c r="B6037" t="s">
        <v>11637</v>
      </c>
      <c r="C6037" t="s">
        <v>28069</v>
      </c>
      <c r="D6037" t="s">
        <v>28070</v>
      </c>
      <c r="E6037" t="b">
        <v>0</v>
      </c>
      <c r="F6037" t="s">
        <v>11610</v>
      </c>
      <c r="G6037">
        <v>52.896000000000001</v>
      </c>
      <c r="H6037">
        <v>9.9838799999999992</v>
      </c>
      <c r="I6037" t="s">
        <v>28071</v>
      </c>
      <c r="L6037">
        <v>0</v>
      </c>
      <c r="M6037">
        <v>0</v>
      </c>
      <c r="N6037">
        <v>0</v>
      </c>
      <c r="O6037" t="s">
        <v>25838</v>
      </c>
    </row>
    <row r="6038" spans="1:15">
      <c r="A6038" t="s">
        <v>28072</v>
      </c>
      <c r="B6038" t="s">
        <v>11637</v>
      </c>
      <c r="C6038" t="s">
        <v>28073</v>
      </c>
      <c r="D6038" t="s">
        <v>28074</v>
      </c>
      <c r="E6038" t="b">
        <v>0</v>
      </c>
      <c r="F6038" t="s">
        <v>11610</v>
      </c>
      <c r="L6038">
        <v>0</v>
      </c>
      <c r="M6038">
        <v>0</v>
      </c>
      <c r="N6038">
        <v>2</v>
      </c>
    </row>
    <row r="6039" spans="1:15">
      <c r="A6039" t="s">
        <v>22303</v>
      </c>
      <c r="B6039" t="s">
        <v>15027</v>
      </c>
      <c r="C6039" t="s">
        <v>22478</v>
      </c>
      <c r="D6039" t="s">
        <v>28075</v>
      </c>
      <c r="E6039" t="b">
        <v>0</v>
      </c>
      <c r="F6039" t="s">
        <v>11624</v>
      </c>
      <c r="G6039">
        <v>17.365400000000001</v>
      </c>
      <c r="H6039">
        <v>-93.363299999999995</v>
      </c>
      <c r="I6039" t="s">
        <v>28076</v>
      </c>
      <c r="L6039">
        <v>0</v>
      </c>
      <c r="M6039">
        <v>0</v>
      </c>
      <c r="N6039">
        <v>2</v>
      </c>
      <c r="O6039" t="s">
        <v>22509</v>
      </c>
    </row>
    <row r="6040" spans="1:15">
      <c r="A6040" t="s">
        <v>28077</v>
      </c>
      <c r="B6040" t="s">
        <v>13450</v>
      </c>
      <c r="C6040" t="s">
        <v>17528</v>
      </c>
      <c r="D6040" t="s">
        <v>28078</v>
      </c>
      <c r="E6040" t="b">
        <v>0</v>
      </c>
      <c r="F6040" t="s">
        <v>11624</v>
      </c>
      <c r="L6040">
        <v>0</v>
      </c>
      <c r="M6040">
        <v>0</v>
      </c>
      <c r="N6040">
        <v>0</v>
      </c>
      <c r="O6040" t="s">
        <v>16532</v>
      </c>
    </row>
    <row r="6041" spans="1:15">
      <c r="A6041" t="s">
        <v>26715</v>
      </c>
      <c r="B6041" t="s">
        <v>11637</v>
      </c>
      <c r="C6041" t="s">
        <v>28079</v>
      </c>
      <c r="D6041" t="s">
        <v>28080</v>
      </c>
      <c r="E6041" t="b">
        <v>0</v>
      </c>
      <c r="F6041" t="s">
        <v>11622</v>
      </c>
      <c r="L6041">
        <v>8</v>
      </c>
      <c r="M6041">
        <v>11</v>
      </c>
      <c r="N6041">
        <v>83</v>
      </c>
    </row>
    <row r="6042" spans="1:15">
      <c r="A6042" t="s">
        <v>27618</v>
      </c>
      <c r="B6042" t="s">
        <v>11637</v>
      </c>
      <c r="C6042" t="s">
        <v>21889</v>
      </c>
      <c r="D6042" t="s">
        <v>28081</v>
      </c>
      <c r="E6042" t="b">
        <v>0</v>
      </c>
      <c r="F6042" t="s">
        <v>11622</v>
      </c>
      <c r="L6042">
        <v>0</v>
      </c>
      <c r="M6042">
        <v>2</v>
      </c>
      <c r="N6042">
        <v>11</v>
      </c>
    </row>
    <row r="6043" spans="1:15">
      <c r="A6043" t="s">
        <v>28082</v>
      </c>
      <c r="B6043" t="s">
        <v>11637</v>
      </c>
      <c r="C6043" t="s">
        <v>19771</v>
      </c>
      <c r="D6043" t="s">
        <v>28083</v>
      </c>
      <c r="E6043" t="b">
        <v>0</v>
      </c>
      <c r="F6043" t="s">
        <v>11610</v>
      </c>
      <c r="L6043">
        <v>0</v>
      </c>
      <c r="M6043">
        <v>0</v>
      </c>
      <c r="N6043">
        <v>0</v>
      </c>
    </row>
    <row r="6044" spans="1:15">
      <c r="A6044" t="s">
        <v>28084</v>
      </c>
      <c r="B6044" t="s">
        <v>11637</v>
      </c>
      <c r="C6044" t="s">
        <v>28072</v>
      </c>
      <c r="D6044" t="s">
        <v>28085</v>
      </c>
      <c r="E6044" t="b">
        <v>0</v>
      </c>
      <c r="F6044" t="s">
        <v>11610</v>
      </c>
      <c r="L6044">
        <v>0</v>
      </c>
      <c r="M6044">
        <v>0</v>
      </c>
      <c r="N6044">
        <v>0</v>
      </c>
    </row>
    <row r="6045" spans="1:15">
      <c r="A6045" t="s">
        <v>28086</v>
      </c>
      <c r="B6045" t="s">
        <v>11637</v>
      </c>
      <c r="C6045" t="s">
        <v>27835</v>
      </c>
      <c r="D6045" t="s">
        <v>28087</v>
      </c>
      <c r="E6045" t="b">
        <v>0</v>
      </c>
      <c r="F6045" t="s">
        <v>11610</v>
      </c>
      <c r="L6045">
        <v>0</v>
      </c>
      <c r="M6045">
        <v>0</v>
      </c>
      <c r="N6045">
        <v>0</v>
      </c>
    </row>
    <row r="6046" spans="1:15">
      <c r="A6046" t="s">
        <v>28088</v>
      </c>
      <c r="B6046" t="s">
        <v>11981</v>
      </c>
      <c r="C6046" t="s">
        <v>13026</v>
      </c>
      <c r="D6046" t="s">
        <v>28089</v>
      </c>
      <c r="E6046" t="b">
        <v>0</v>
      </c>
      <c r="F6046" t="s">
        <v>11624</v>
      </c>
      <c r="G6046">
        <v>47</v>
      </c>
      <c r="H6046">
        <v>3</v>
      </c>
      <c r="I6046" t="s">
        <v>28090</v>
      </c>
      <c r="L6046">
        <v>0</v>
      </c>
      <c r="M6046">
        <v>0</v>
      </c>
      <c r="N6046">
        <v>1</v>
      </c>
      <c r="O6046" t="s">
        <v>28091</v>
      </c>
    </row>
    <row r="6047" spans="1:15">
      <c r="A6047" t="s">
        <v>28092</v>
      </c>
      <c r="B6047" t="s">
        <v>12204</v>
      </c>
      <c r="C6047" t="s">
        <v>12204</v>
      </c>
      <c r="D6047" t="s">
        <v>28093</v>
      </c>
      <c r="E6047" t="b">
        <v>0</v>
      </c>
      <c r="F6047" t="s">
        <v>11622</v>
      </c>
      <c r="L6047">
        <v>0</v>
      </c>
      <c r="M6047">
        <v>1</v>
      </c>
      <c r="N6047">
        <v>0</v>
      </c>
    </row>
    <row r="6048" spans="1:15">
      <c r="A6048" t="s">
        <v>17528</v>
      </c>
      <c r="B6048" t="s">
        <v>13450</v>
      </c>
      <c r="C6048" t="s">
        <v>13450</v>
      </c>
      <c r="D6048" t="s">
        <v>28094</v>
      </c>
      <c r="E6048" t="b">
        <v>0</v>
      </c>
      <c r="F6048" t="s">
        <v>11622</v>
      </c>
      <c r="L6048">
        <v>1</v>
      </c>
      <c r="M6048">
        <v>8</v>
      </c>
      <c r="N6048">
        <v>0</v>
      </c>
    </row>
    <row r="6049" spans="1:15">
      <c r="A6049" t="s">
        <v>28095</v>
      </c>
      <c r="B6049" t="s">
        <v>11981</v>
      </c>
      <c r="C6049" t="s">
        <v>11982</v>
      </c>
      <c r="D6049" t="s">
        <v>28096</v>
      </c>
      <c r="E6049" t="b">
        <v>0</v>
      </c>
      <c r="F6049" t="s">
        <v>11624</v>
      </c>
      <c r="G6049">
        <v>16.35726</v>
      </c>
      <c r="H6049">
        <v>-86.461386000000005</v>
      </c>
      <c r="L6049">
        <v>0</v>
      </c>
      <c r="M6049">
        <v>0</v>
      </c>
      <c r="N6049">
        <v>0</v>
      </c>
    </row>
    <row r="6050" spans="1:15">
      <c r="A6050" t="s">
        <v>28097</v>
      </c>
      <c r="B6050" t="s">
        <v>11637</v>
      </c>
      <c r="C6050" t="s">
        <v>18116</v>
      </c>
      <c r="D6050" t="s">
        <v>28098</v>
      </c>
      <c r="E6050" t="b">
        <v>0</v>
      </c>
      <c r="F6050" t="s">
        <v>11610</v>
      </c>
      <c r="L6050">
        <v>0</v>
      </c>
      <c r="M6050">
        <v>0</v>
      </c>
      <c r="N6050">
        <v>0</v>
      </c>
    </row>
    <row r="6051" spans="1:15">
      <c r="A6051" t="s">
        <v>28099</v>
      </c>
      <c r="B6051" t="s">
        <v>11637</v>
      </c>
      <c r="C6051" t="s">
        <v>13864</v>
      </c>
      <c r="D6051" t="s">
        <v>28100</v>
      </c>
      <c r="E6051" t="b">
        <v>0</v>
      </c>
      <c r="F6051" t="s">
        <v>11622</v>
      </c>
      <c r="L6051">
        <v>2</v>
      </c>
      <c r="M6051">
        <v>7</v>
      </c>
      <c r="N6051">
        <v>23</v>
      </c>
    </row>
    <row r="6052" spans="1:15">
      <c r="A6052" t="s">
        <v>21154</v>
      </c>
      <c r="B6052" t="s">
        <v>11637</v>
      </c>
      <c r="C6052" t="s">
        <v>28101</v>
      </c>
      <c r="D6052" t="s">
        <v>28102</v>
      </c>
      <c r="E6052" t="b">
        <v>0</v>
      </c>
      <c r="F6052" t="s">
        <v>11624</v>
      </c>
      <c r="G6052">
        <v>46.147300000000001</v>
      </c>
      <c r="H6052">
        <v>13.049300000000001</v>
      </c>
      <c r="I6052" t="s">
        <v>28103</v>
      </c>
      <c r="L6052">
        <v>0</v>
      </c>
      <c r="M6052">
        <v>0</v>
      </c>
      <c r="N6052">
        <v>3</v>
      </c>
      <c r="O6052" t="s">
        <v>28104</v>
      </c>
    </row>
    <row r="6053" spans="1:15">
      <c r="A6053" t="s">
        <v>28105</v>
      </c>
      <c r="B6053" t="s">
        <v>6742</v>
      </c>
      <c r="C6053" t="s">
        <v>20222</v>
      </c>
      <c r="D6053" t="s">
        <v>28106</v>
      </c>
      <c r="E6053" t="b">
        <v>0</v>
      </c>
      <c r="F6053" t="s">
        <v>11610</v>
      </c>
      <c r="L6053">
        <v>0</v>
      </c>
      <c r="M6053">
        <v>0</v>
      </c>
      <c r="N6053">
        <v>0</v>
      </c>
    </row>
    <row r="6054" spans="1:15">
      <c r="A6054" t="s">
        <v>28107</v>
      </c>
      <c r="B6054" t="s">
        <v>13571</v>
      </c>
      <c r="C6054" t="s">
        <v>28108</v>
      </c>
      <c r="D6054" t="s">
        <v>28109</v>
      </c>
      <c r="E6054" t="b">
        <v>0</v>
      </c>
      <c r="F6054" t="s">
        <v>11610</v>
      </c>
      <c r="L6054">
        <v>0</v>
      </c>
      <c r="M6054">
        <v>0</v>
      </c>
      <c r="N6054">
        <v>0</v>
      </c>
    </row>
    <row r="6055" spans="1:15">
      <c r="A6055" t="s">
        <v>28110</v>
      </c>
      <c r="B6055" t="s">
        <v>11644</v>
      </c>
      <c r="C6055" t="s">
        <v>22270</v>
      </c>
      <c r="D6055" t="s">
        <v>28111</v>
      </c>
      <c r="E6055" t="b">
        <v>0</v>
      </c>
      <c r="F6055" t="s">
        <v>11610</v>
      </c>
      <c r="L6055">
        <v>0</v>
      </c>
      <c r="M6055">
        <v>0</v>
      </c>
      <c r="N6055">
        <v>0</v>
      </c>
    </row>
    <row r="6056" spans="1:15">
      <c r="A6056" t="s">
        <v>28112</v>
      </c>
      <c r="B6056" t="s">
        <v>11644</v>
      </c>
      <c r="C6056" t="s">
        <v>28113</v>
      </c>
      <c r="D6056" t="s">
        <v>28114</v>
      </c>
      <c r="E6056" t="b">
        <v>0</v>
      </c>
      <c r="F6056" t="s">
        <v>11610</v>
      </c>
      <c r="L6056">
        <v>0</v>
      </c>
      <c r="M6056">
        <v>0</v>
      </c>
      <c r="N6056">
        <v>0</v>
      </c>
    </row>
    <row r="6057" spans="1:15">
      <c r="A6057" t="s">
        <v>28115</v>
      </c>
      <c r="B6057" t="s">
        <v>11615</v>
      </c>
      <c r="C6057" t="s">
        <v>28116</v>
      </c>
      <c r="D6057" t="s">
        <v>28117</v>
      </c>
      <c r="E6057" t="b">
        <v>0</v>
      </c>
      <c r="F6057" t="s">
        <v>11610</v>
      </c>
      <c r="L6057">
        <v>0</v>
      </c>
      <c r="M6057">
        <v>0</v>
      </c>
      <c r="N6057">
        <v>0</v>
      </c>
    </row>
    <row r="6058" spans="1:15">
      <c r="A6058" t="s">
        <v>28118</v>
      </c>
      <c r="B6058" t="s">
        <v>4342</v>
      </c>
      <c r="C6058" t="s">
        <v>28119</v>
      </c>
      <c r="D6058" t="s">
        <v>28120</v>
      </c>
      <c r="E6058" t="b">
        <v>0</v>
      </c>
      <c r="F6058" t="s">
        <v>11610</v>
      </c>
      <c r="L6058">
        <v>0</v>
      </c>
      <c r="M6058">
        <v>0</v>
      </c>
      <c r="N6058">
        <v>0</v>
      </c>
    </row>
    <row r="6059" spans="1:15">
      <c r="A6059" t="s">
        <v>28121</v>
      </c>
      <c r="B6059" t="s">
        <v>4342</v>
      </c>
      <c r="C6059" t="s">
        <v>22911</v>
      </c>
      <c r="D6059" t="s">
        <v>28122</v>
      </c>
      <c r="E6059" t="b">
        <v>0</v>
      </c>
      <c r="F6059" t="s">
        <v>11610</v>
      </c>
      <c r="L6059">
        <v>0</v>
      </c>
      <c r="M6059">
        <v>0</v>
      </c>
      <c r="N6059">
        <v>0</v>
      </c>
    </row>
    <row r="6060" spans="1:15">
      <c r="A6060" t="s">
        <v>28123</v>
      </c>
      <c r="B6060" t="s">
        <v>4342</v>
      </c>
      <c r="C6060" t="s">
        <v>12598</v>
      </c>
      <c r="D6060" t="s">
        <v>28124</v>
      </c>
      <c r="E6060" t="b">
        <v>0</v>
      </c>
      <c r="F6060" t="s">
        <v>11610</v>
      </c>
      <c r="L6060">
        <v>0</v>
      </c>
      <c r="M6060">
        <v>0</v>
      </c>
      <c r="N6060">
        <v>0</v>
      </c>
    </row>
    <row r="6061" spans="1:15">
      <c r="A6061" t="s">
        <v>346</v>
      </c>
      <c r="B6061" t="s">
        <v>6742</v>
      </c>
      <c r="C6061" t="s">
        <v>28125</v>
      </c>
      <c r="D6061" t="s">
        <v>28126</v>
      </c>
      <c r="E6061" t="b">
        <v>0</v>
      </c>
      <c r="F6061" t="s">
        <v>11622</v>
      </c>
      <c r="I6061" t="s">
        <v>348</v>
      </c>
      <c r="L6061">
        <v>2</v>
      </c>
      <c r="M6061">
        <v>9</v>
      </c>
      <c r="N6061">
        <v>37</v>
      </c>
      <c r="O6061" t="s">
        <v>16532</v>
      </c>
    </row>
    <row r="6062" spans="1:15">
      <c r="A6062" t="s">
        <v>11997</v>
      </c>
      <c r="B6062" t="s">
        <v>6742</v>
      </c>
      <c r="C6062" t="s">
        <v>346</v>
      </c>
      <c r="D6062" t="s">
        <v>28127</v>
      </c>
      <c r="E6062" t="b">
        <v>0</v>
      </c>
      <c r="F6062" t="s">
        <v>11622</v>
      </c>
      <c r="L6062">
        <v>1</v>
      </c>
      <c r="M6062">
        <v>4</v>
      </c>
      <c r="N6062">
        <v>13</v>
      </c>
    </row>
    <row r="6063" spans="1:15">
      <c r="A6063" t="s">
        <v>28128</v>
      </c>
      <c r="B6063" t="s">
        <v>6742</v>
      </c>
      <c r="C6063" t="s">
        <v>28129</v>
      </c>
      <c r="D6063" t="s">
        <v>28130</v>
      </c>
      <c r="E6063" t="b">
        <v>0</v>
      </c>
      <c r="F6063" t="s">
        <v>11610</v>
      </c>
      <c r="L6063">
        <v>0</v>
      </c>
      <c r="M6063">
        <v>0</v>
      </c>
      <c r="N6063">
        <v>0</v>
      </c>
    </row>
    <row r="6064" spans="1:15">
      <c r="A6064" t="s">
        <v>28131</v>
      </c>
      <c r="B6064" t="s">
        <v>6742</v>
      </c>
      <c r="C6064" t="s">
        <v>28132</v>
      </c>
      <c r="D6064" t="s">
        <v>28133</v>
      </c>
      <c r="E6064" t="b">
        <v>0</v>
      </c>
      <c r="F6064" t="s">
        <v>11610</v>
      </c>
      <c r="L6064">
        <v>0</v>
      </c>
      <c r="M6064">
        <v>0</v>
      </c>
      <c r="N6064">
        <v>0</v>
      </c>
    </row>
    <row r="6065" spans="1:15">
      <c r="A6065" t="s">
        <v>28134</v>
      </c>
      <c r="B6065" t="s">
        <v>13276</v>
      </c>
      <c r="C6065" t="s">
        <v>28135</v>
      </c>
      <c r="D6065" t="s">
        <v>28136</v>
      </c>
      <c r="E6065" t="b">
        <v>0</v>
      </c>
      <c r="F6065" t="s">
        <v>11610</v>
      </c>
      <c r="L6065">
        <v>0</v>
      </c>
      <c r="M6065">
        <v>0</v>
      </c>
      <c r="N6065">
        <v>0</v>
      </c>
    </row>
    <row r="6066" spans="1:15">
      <c r="A6066" t="s">
        <v>28137</v>
      </c>
      <c r="B6066" t="s">
        <v>6742</v>
      </c>
      <c r="C6066" t="s">
        <v>28138</v>
      </c>
      <c r="D6066" t="s">
        <v>28139</v>
      </c>
      <c r="E6066" t="b">
        <v>0</v>
      </c>
      <c r="F6066" t="s">
        <v>11624</v>
      </c>
      <c r="G6066">
        <v>-3.0402200000000001</v>
      </c>
      <c r="H6066">
        <v>28.986499999999999</v>
      </c>
      <c r="I6066" t="s">
        <v>28140</v>
      </c>
      <c r="L6066">
        <v>0</v>
      </c>
      <c r="M6066">
        <v>0</v>
      </c>
      <c r="N6066">
        <v>0</v>
      </c>
      <c r="O6066" t="s">
        <v>28141</v>
      </c>
    </row>
    <row r="6067" spans="1:15">
      <c r="A6067" t="s">
        <v>28142</v>
      </c>
      <c r="B6067" t="s">
        <v>6742</v>
      </c>
      <c r="C6067" t="s">
        <v>28038</v>
      </c>
      <c r="D6067" t="s">
        <v>28143</v>
      </c>
      <c r="E6067" t="b">
        <v>0</v>
      </c>
      <c r="F6067" t="s">
        <v>11622</v>
      </c>
      <c r="L6067">
        <v>1</v>
      </c>
      <c r="M6067">
        <v>3</v>
      </c>
      <c r="N6067">
        <v>0</v>
      </c>
    </row>
    <row r="6068" spans="1:15">
      <c r="A6068" t="s">
        <v>28138</v>
      </c>
      <c r="B6068" t="s">
        <v>6742</v>
      </c>
      <c r="C6068" t="s">
        <v>28142</v>
      </c>
      <c r="D6068" t="s">
        <v>28144</v>
      </c>
      <c r="E6068" t="b">
        <v>0</v>
      </c>
      <c r="F6068" t="s">
        <v>11622</v>
      </c>
      <c r="L6068">
        <v>0</v>
      </c>
      <c r="M6068">
        <v>2</v>
      </c>
      <c r="N6068">
        <v>0</v>
      </c>
    </row>
    <row r="6069" spans="1:15">
      <c r="A6069" t="s">
        <v>28145</v>
      </c>
      <c r="D6069" t="s">
        <v>28146</v>
      </c>
      <c r="E6069" t="b">
        <v>0</v>
      </c>
      <c r="F6069" t="s">
        <v>11624</v>
      </c>
      <c r="G6069">
        <v>-9.0259099999999997</v>
      </c>
      <c r="H6069">
        <v>-37.1402</v>
      </c>
      <c r="I6069" t="s">
        <v>28147</v>
      </c>
      <c r="L6069">
        <v>0</v>
      </c>
      <c r="M6069">
        <v>0</v>
      </c>
      <c r="N6069">
        <v>2</v>
      </c>
      <c r="O6069" t="s">
        <v>11969</v>
      </c>
    </row>
    <row r="6070" spans="1:15">
      <c r="A6070" t="s">
        <v>28148</v>
      </c>
      <c r="B6070" t="s">
        <v>28145</v>
      </c>
      <c r="C6070" t="s">
        <v>28145</v>
      </c>
      <c r="D6070" t="s">
        <v>28149</v>
      </c>
      <c r="E6070" t="b">
        <v>0</v>
      </c>
      <c r="F6070" t="s">
        <v>11610</v>
      </c>
      <c r="L6070">
        <v>0</v>
      </c>
      <c r="M6070">
        <v>0</v>
      </c>
      <c r="N6070">
        <v>0</v>
      </c>
    </row>
    <row r="6071" spans="1:15">
      <c r="A6071" t="s">
        <v>28150</v>
      </c>
      <c r="B6071" t="s">
        <v>11627</v>
      </c>
      <c r="C6071" t="s">
        <v>11627</v>
      </c>
      <c r="D6071" t="s">
        <v>28151</v>
      </c>
      <c r="E6071" t="b">
        <v>1</v>
      </c>
      <c r="F6071" t="s">
        <v>11624</v>
      </c>
      <c r="G6071">
        <v>6.6652399999999998</v>
      </c>
      <c r="H6071">
        <v>11.108700000000001</v>
      </c>
      <c r="I6071" t="s">
        <v>28152</v>
      </c>
      <c r="L6071">
        <v>0</v>
      </c>
      <c r="M6071">
        <v>0</v>
      </c>
      <c r="N6071">
        <v>0</v>
      </c>
      <c r="O6071" t="s">
        <v>11693</v>
      </c>
    </row>
    <row r="6072" spans="1:15">
      <c r="A6072" t="s">
        <v>28153</v>
      </c>
      <c r="B6072" t="s">
        <v>367</v>
      </c>
      <c r="C6072" t="s">
        <v>28154</v>
      </c>
      <c r="D6072" t="s">
        <v>28155</v>
      </c>
      <c r="E6072" t="b">
        <v>0</v>
      </c>
      <c r="F6072" t="s">
        <v>11610</v>
      </c>
      <c r="L6072">
        <v>0</v>
      </c>
      <c r="M6072">
        <v>0</v>
      </c>
      <c r="N6072">
        <v>0</v>
      </c>
    </row>
    <row r="6073" spans="1:15">
      <c r="A6073" t="s">
        <v>28156</v>
      </c>
      <c r="B6073" t="s">
        <v>6742</v>
      </c>
      <c r="C6073" t="s">
        <v>13575</v>
      </c>
      <c r="D6073" t="s">
        <v>28157</v>
      </c>
      <c r="E6073" t="b">
        <v>0</v>
      </c>
      <c r="F6073" t="s">
        <v>11610</v>
      </c>
      <c r="L6073">
        <v>0</v>
      </c>
      <c r="M6073">
        <v>0</v>
      </c>
      <c r="N6073">
        <v>0</v>
      </c>
    </row>
    <row r="6074" spans="1:15">
      <c r="A6074" t="s">
        <v>28158</v>
      </c>
      <c r="B6074" t="s">
        <v>6742</v>
      </c>
      <c r="C6074" t="s">
        <v>17487</v>
      </c>
      <c r="D6074" t="s">
        <v>28159</v>
      </c>
      <c r="E6074" t="b">
        <v>0</v>
      </c>
      <c r="F6074" t="s">
        <v>11624</v>
      </c>
      <c r="G6074">
        <v>10.5021</v>
      </c>
      <c r="H6074">
        <v>6.59138</v>
      </c>
      <c r="I6074" t="s">
        <v>28160</v>
      </c>
      <c r="L6074">
        <v>0</v>
      </c>
      <c r="M6074">
        <v>0</v>
      </c>
      <c r="N6074">
        <v>0</v>
      </c>
      <c r="O6074" t="s">
        <v>11693</v>
      </c>
    </row>
    <row r="6075" spans="1:15">
      <c r="A6075" t="s">
        <v>28161</v>
      </c>
      <c r="B6075" t="s">
        <v>6742</v>
      </c>
      <c r="C6075" t="s">
        <v>4025</v>
      </c>
      <c r="D6075" t="s">
        <v>28162</v>
      </c>
      <c r="E6075" t="b">
        <v>0</v>
      </c>
      <c r="F6075" t="s">
        <v>11610</v>
      </c>
      <c r="L6075">
        <v>0</v>
      </c>
      <c r="M6075">
        <v>0</v>
      </c>
      <c r="N6075">
        <v>0</v>
      </c>
    </row>
    <row r="6076" spans="1:15">
      <c r="A6076" t="s">
        <v>28163</v>
      </c>
      <c r="B6076" t="s">
        <v>6742</v>
      </c>
      <c r="C6076" t="s">
        <v>22072</v>
      </c>
      <c r="D6076" t="s">
        <v>28164</v>
      </c>
      <c r="E6076" t="b">
        <v>0</v>
      </c>
      <c r="F6076" t="s">
        <v>11610</v>
      </c>
      <c r="L6076">
        <v>0</v>
      </c>
      <c r="M6076">
        <v>0</v>
      </c>
      <c r="N6076">
        <v>0</v>
      </c>
    </row>
    <row r="6077" spans="1:15">
      <c r="A6077" t="s">
        <v>13418</v>
      </c>
      <c r="D6077" t="s">
        <v>28165</v>
      </c>
      <c r="E6077" t="b">
        <v>0</v>
      </c>
      <c r="F6077" t="s">
        <v>11622</v>
      </c>
      <c r="L6077">
        <v>0</v>
      </c>
      <c r="M6077">
        <v>2</v>
      </c>
      <c r="N6077">
        <v>0</v>
      </c>
    </row>
    <row r="6078" spans="1:15">
      <c r="A6078" t="s">
        <v>3231</v>
      </c>
      <c r="B6078" t="s">
        <v>13418</v>
      </c>
      <c r="C6078" t="s">
        <v>13418</v>
      </c>
      <c r="D6078" t="s">
        <v>28166</v>
      </c>
      <c r="E6078" t="b">
        <v>0</v>
      </c>
      <c r="F6078" t="s">
        <v>11624</v>
      </c>
      <c r="G6078">
        <v>12.045500000000001</v>
      </c>
      <c r="H6078">
        <v>23.6401</v>
      </c>
      <c r="I6078" t="s">
        <v>3232</v>
      </c>
      <c r="L6078">
        <v>0</v>
      </c>
      <c r="M6078">
        <v>0</v>
      </c>
      <c r="N6078">
        <v>0</v>
      </c>
      <c r="O6078" t="s">
        <v>27996</v>
      </c>
    </row>
    <row r="6079" spans="1:15">
      <c r="A6079" t="s">
        <v>28167</v>
      </c>
      <c r="B6079" t="s">
        <v>11607</v>
      </c>
      <c r="C6079" t="s">
        <v>24470</v>
      </c>
      <c r="D6079" t="s">
        <v>28168</v>
      </c>
      <c r="E6079" t="b">
        <v>0</v>
      </c>
      <c r="F6079" t="s">
        <v>11610</v>
      </c>
      <c r="L6079">
        <v>0</v>
      </c>
      <c r="M6079">
        <v>0</v>
      </c>
      <c r="N6079">
        <v>0</v>
      </c>
    </row>
    <row r="6080" spans="1:15">
      <c r="A6080" t="s">
        <v>28169</v>
      </c>
      <c r="B6080" t="s">
        <v>12697</v>
      </c>
      <c r="C6080" t="s">
        <v>14175</v>
      </c>
      <c r="D6080" t="s">
        <v>28170</v>
      </c>
      <c r="E6080" t="b">
        <v>0</v>
      </c>
      <c r="F6080" t="s">
        <v>11610</v>
      </c>
      <c r="L6080">
        <v>0</v>
      </c>
      <c r="M6080">
        <v>0</v>
      </c>
      <c r="N6080">
        <v>0</v>
      </c>
    </row>
    <row r="6081" spans="1:15">
      <c r="A6081" t="s">
        <v>28171</v>
      </c>
      <c r="B6081" t="s">
        <v>11729</v>
      </c>
      <c r="C6081" t="s">
        <v>17066</v>
      </c>
      <c r="D6081" t="s">
        <v>28172</v>
      </c>
      <c r="E6081" t="b">
        <v>0</v>
      </c>
      <c r="F6081" t="s">
        <v>11624</v>
      </c>
      <c r="G6081">
        <v>4.4850000000000003</v>
      </c>
      <c r="H6081">
        <v>20.6448</v>
      </c>
      <c r="I6081" t="s">
        <v>28173</v>
      </c>
      <c r="L6081">
        <v>0</v>
      </c>
      <c r="M6081">
        <v>0</v>
      </c>
      <c r="N6081">
        <v>0</v>
      </c>
      <c r="O6081" t="s">
        <v>13069</v>
      </c>
    </row>
    <row r="6082" spans="1:15">
      <c r="A6082" t="s">
        <v>175</v>
      </c>
      <c r="B6082" t="s">
        <v>367</v>
      </c>
      <c r="C6082" t="s">
        <v>28174</v>
      </c>
      <c r="D6082" t="s">
        <v>28175</v>
      </c>
      <c r="E6082" t="b">
        <v>0</v>
      </c>
      <c r="F6082" t="s">
        <v>11624</v>
      </c>
      <c r="G6082">
        <v>-19.5303</v>
      </c>
      <c r="H6082">
        <v>170.215</v>
      </c>
      <c r="I6082" t="s">
        <v>28176</v>
      </c>
      <c r="L6082">
        <v>0</v>
      </c>
      <c r="M6082">
        <v>0</v>
      </c>
      <c r="N6082">
        <v>2</v>
      </c>
      <c r="O6082" t="s">
        <v>12719</v>
      </c>
    </row>
    <row r="6083" spans="1:15">
      <c r="A6083" t="s">
        <v>28177</v>
      </c>
      <c r="B6083" t="s">
        <v>6742</v>
      </c>
      <c r="C6083" t="s">
        <v>28178</v>
      </c>
      <c r="D6083" t="s">
        <v>28179</v>
      </c>
      <c r="E6083" t="b">
        <v>0</v>
      </c>
      <c r="F6083" t="s">
        <v>11610</v>
      </c>
      <c r="L6083">
        <v>0</v>
      </c>
      <c r="M6083">
        <v>0</v>
      </c>
      <c r="N6083">
        <v>0</v>
      </c>
    </row>
    <row r="6084" spans="1:15">
      <c r="A6084" t="s">
        <v>21676</v>
      </c>
      <c r="B6084" t="s">
        <v>13264</v>
      </c>
      <c r="C6084" t="s">
        <v>13264</v>
      </c>
      <c r="D6084" t="s">
        <v>28180</v>
      </c>
      <c r="E6084" t="b">
        <v>0</v>
      </c>
      <c r="F6084" t="s">
        <v>11624</v>
      </c>
      <c r="G6084">
        <v>-8.6371000000000002</v>
      </c>
      <c r="H6084">
        <v>147.31200000000001</v>
      </c>
      <c r="I6084" t="s">
        <v>28181</v>
      </c>
      <c r="L6084">
        <v>0</v>
      </c>
      <c r="M6084">
        <v>0</v>
      </c>
      <c r="N6084">
        <v>4</v>
      </c>
      <c r="O6084" t="s">
        <v>11660</v>
      </c>
    </row>
    <row r="6085" spans="1:15">
      <c r="A6085" t="s">
        <v>28182</v>
      </c>
      <c r="B6085" t="s">
        <v>11644</v>
      </c>
      <c r="C6085" t="s">
        <v>28183</v>
      </c>
      <c r="D6085" t="s">
        <v>28184</v>
      </c>
      <c r="E6085" t="b">
        <v>0</v>
      </c>
      <c r="F6085" t="s">
        <v>11610</v>
      </c>
      <c r="G6085">
        <v>26.089040000000001</v>
      </c>
      <c r="H6085">
        <v>119.29424299999999</v>
      </c>
      <c r="L6085">
        <v>0</v>
      </c>
      <c r="M6085">
        <v>0</v>
      </c>
      <c r="N6085">
        <v>0</v>
      </c>
    </row>
    <row r="6086" spans="1:15">
      <c r="A6086" t="s">
        <v>28185</v>
      </c>
      <c r="B6086" t="s">
        <v>367</v>
      </c>
      <c r="C6086" t="s">
        <v>28186</v>
      </c>
      <c r="D6086" t="s">
        <v>28187</v>
      </c>
      <c r="E6086" t="b">
        <v>0</v>
      </c>
      <c r="F6086" t="s">
        <v>11624</v>
      </c>
      <c r="G6086">
        <v>-20.6873</v>
      </c>
      <c r="H6086">
        <v>164.90100000000001</v>
      </c>
      <c r="I6086" t="s">
        <v>28188</v>
      </c>
      <c r="L6086">
        <v>0</v>
      </c>
      <c r="M6086">
        <v>0</v>
      </c>
      <c r="N6086">
        <v>0</v>
      </c>
      <c r="O6086" t="s">
        <v>12624</v>
      </c>
    </row>
    <row r="6087" spans="1:15">
      <c r="A6087" t="s">
        <v>28189</v>
      </c>
      <c r="B6087" t="s">
        <v>6742</v>
      </c>
      <c r="C6087" t="s">
        <v>28190</v>
      </c>
      <c r="D6087" t="s">
        <v>28191</v>
      </c>
      <c r="E6087" t="b">
        <v>0</v>
      </c>
      <c r="F6087" t="s">
        <v>11624</v>
      </c>
      <c r="G6087">
        <v>-17.72372</v>
      </c>
      <c r="H6087">
        <v>24.431509999999999</v>
      </c>
      <c r="I6087" t="s">
        <v>28192</v>
      </c>
      <c r="L6087">
        <v>0</v>
      </c>
      <c r="M6087">
        <v>0</v>
      </c>
      <c r="N6087">
        <v>0</v>
      </c>
      <c r="O6087" t="s">
        <v>28193</v>
      </c>
    </row>
    <row r="6088" spans="1:15">
      <c r="A6088" t="s">
        <v>28194</v>
      </c>
      <c r="B6088" t="s">
        <v>6742</v>
      </c>
      <c r="C6088" t="s">
        <v>28195</v>
      </c>
      <c r="D6088" t="s">
        <v>28196</v>
      </c>
      <c r="E6088" t="b">
        <v>0</v>
      </c>
      <c r="F6088" t="s">
        <v>11624</v>
      </c>
      <c r="G6088">
        <v>9.5900599999999994</v>
      </c>
      <c r="H6088">
        <v>9.2229299999999999</v>
      </c>
      <c r="I6088" t="s">
        <v>28197</v>
      </c>
      <c r="L6088">
        <v>0</v>
      </c>
      <c r="M6088">
        <v>0</v>
      </c>
      <c r="N6088">
        <v>0</v>
      </c>
      <c r="O6088" t="s">
        <v>11693</v>
      </c>
    </row>
    <row r="6089" spans="1:15">
      <c r="A6089" t="s">
        <v>28198</v>
      </c>
      <c r="B6089" t="s">
        <v>11607</v>
      </c>
      <c r="C6089" t="s">
        <v>28199</v>
      </c>
      <c r="D6089" t="s">
        <v>28200</v>
      </c>
      <c r="E6089" t="b">
        <v>0</v>
      </c>
      <c r="F6089" t="s">
        <v>11622</v>
      </c>
      <c r="L6089">
        <v>0</v>
      </c>
      <c r="M6089">
        <v>2</v>
      </c>
      <c r="N6089">
        <v>0</v>
      </c>
    </row>
    <row r="6090" spans="1:15">
      <c r="A6090" t="s">
        <v>28201</v>
      </c>
      <c r="B6090" t="s">
        <v>11607</v>
      </c>
      <c r="C6090" t="s">
        <v>28198</v>
      </c>
      <c r="D6090" t="s">
        <v>28202</v>
      </c>
      <c r="E6090" t="b">
        <v>0</v>
      </c>
      <c r="F6090" t="s">
        <v>11624</v>
      </c>
      <c r="G6090">
        <v>9.4993599999999994</v>
      </c>
      <c r="H6090">
        <v>9.2950300000000006</v>
      </c>
      <c r="I6090" t="s">
        <v>28203</v>
      </c>
      <c r="L6090">
        <v>0</v>
      </c>
      <c r="M6090">
        <v>0</v>
      </c>
      <c r="N6090">
        <v>0</v>
      </c>
      <c r="O6090" t="s">
        <v>11693</v>
      </c>
    </row>
    <row r="6091" spans="1:15">
      <c r="A6091" t="s">
        <v>28204</v>
      </c>
      <c r="B6091" t="s">
        <v>6742</v>
      </c>
      <c r="C6091" t="s">
        <v>11999</v>
      </c>
      <c r="D6091" t="s">
        <v>28205</v>
      </c>
      <c r="E6091" t="b">
        <v>0</v>
      </c>
      <c r="F6091" t="s">
        <v>11624</v>
      </c>
      <c r="G6091">
        <v>5.6548800000000004</v>
      </c>
      <c r="H6091">
        <v>-0.18598000000000001</v>
      </c>
      <c r="I6091" t="s">
        <v>28206</v>
      </c>
      <c r="L6091">
        <v>0</v>
      </c>
      <c r="M6091">
        <v>0</v>
      </c>
      <c r="N6091">
        <v>0</v>
      </c>
      <c r="O6091" t="s">
        <v>11985</v>
      </c>
    </row>
    <row r="6092" spans="1:15">
      <c r="A6092" t="s">
        <v>28207</v>
      </c>
      <c r="B6092" t="s">
        <v>6742</v>
      </c>
      <c r="C6092" t="s">
        <v>25263</v>
      </c>
      <c r="D6092" t="s">
        <v>28208</v>
      </c>
      <c r="E6092" t="b">
        <v>0</v>
      </c>
      <c r="F6092" t="s">
        <v>11624</v>
      </c>
      <c r="G6092">
        <v>8.4809000000000001</v>
      </c>
      <c r="H6092">
        <v>11.9603</v>
      </c>
      <c r="I6092" t="s">
        <v>28209</v>
      </c>
      <c r="L6092">
        <v>0</v>
      </c>
      <c r="M6092">
        <v>0</v>
      </c>
      <c r="N6092">
        <v>0</v>
      </c>
      <c r="O6092" t="s">
        <v>11693</v>
      </c>
    </row>
    <row r="6093" spans="1:15">
      <c r="A6093" t="s">
        <v>28210</v>
      </c>
      <c r="B6093" t="s">
        <v>4236</v>
      </c>
      <c r="C6093" t="s">
        <v>25200</v>
      </c>
      <c r="D6093" t="s">
        <v>28211</v>
      </c>
      <c r="E6093" t="b">
        <v>0</v>
      </c>
      <c r="F6093" t="s">
        <v>11610</v>
      </c>
      <c r="L6093">
        <v>0</v>
      </c>
      <c r="M6093">
        <v>0</v>
      </c>
      <c r="N6093">
        <v>0</v>
      </c>
    </row>
    <row r="6094" spans="1:15">
      <c r="A6094" t="s">
        <v>28212</v>
      </c>
      <c r="B6094" t="s">
        <v>10597</v>
      </c>
      <c r="C6094" t="s">
        <v>24616</v>
      </c>
      <c r="D6094" t="s">
        <v>28213</v>
      </c>
      <c r="E6094" t="b">
        <v>0</v>
      </c>
      <c r="F6094" t="s">
        <v>11610</v>
      </c>
      <c r="L6094">
        <v>0</v>
      </c>
      <c r="M6094">
        <v>0</v>
      </c>
      <c r="N6094">
        <v>0</v>
      </c>
    </row>
    <row r="6095" spans="1:15">
      <c r="A6095" t="s">
        <v>20664</v>
      </c>
      <c r="B6095" t="s">
        <v>12646</v>
      </c>
      <c r="C6095" t="s">
        <v>12646</v>
      </c>
      <c r="D6095" t="s">
        <v>28214</v>
      </c>
      <c r="E6095" t="b">
        <v>0</v>
      </c>
      <c r="F6095" t="s">
        <v>11624</v>
      </c>
      <c r="G6095">
        <v>11.4674</v>
      </c>
      <c r="H6095">
        <v>33.979700000000001</v>
      </c>
      <c r="I6095" t="s">
        <v>28215</v>
      </c>
      <c r="L6095">
        <v>0</v>
      </c>
      <c r="M6095">
        <v>0</v>
      </c>
      <c r="N6095">
        <v>4</v>
      </c>
      <c r="O6095" t="s">
        <v>11910</v>
      </c>
    </row>
    <row r="6096" spans="1:15">
      <c r="A6096" t="s">
        <v>28216</v>
      </c>
      <c r="B6096" t="s">
        <v>11607</v>
      </c>
      <c r="C6096" t="s">
        <v>19098</v>
      </c>
      <c r="D6096" t="s">
        <v>28217</v>
      </c>
      <c r="E6096" t="b">
        <v>0</v>
      </c>
      <c r="F6096" t="s">
        <v>11624</v>
      </c>
      <c r="G6096">
        <v>10.295500000000001</v>
      </c>
      <c r="H6096">
        <v>12.6479</v>
      </c>
      <c r="I6096" t="s">
        <v>28218</v>
      </c>
      <c r="L6096">
        <v>0</v>
      </c>
      <c r="M6096">
        <v>0</v>
      </c>
      <c r="N6096">
        <v>2</v>
      </c>
      <c r="O6096" t="s">
        <v>11693</v>
      </c>
    </row>
    <row r="6097" spans="1:15">
      <c r="A6097" t="s">
        <v>28219</v>
      </c>
      <c r="B6097" t="s">
        <v>13276</v>
      </c>
      <c r="C6097" t="s">
        <v>18350</v>
      </c>
      <c r="D6097" t="s">
        <v>28220</v>
      </c>
      <c r="E6097" t="b">
        <v>0</v>
      </c>
      <c r="F6097" t="s">
        <v>11610</v>
      </c>
      <c r="L6097">
        <v>0</v>
      </c>
      <c r="M6097">
        <v>0</v>
      </c>
      <c r="N6097">
        <v>0</v>
      </c>
    </row>
    <row r="6098" spans="1:15">
      <c r="A6098" t="s">
        <v>28221</v>
      </c>
      <c r="B6098" t="s">
        <v>11705</v>
      </c>
      <c r="C6098" t="s">
        <v>28222</v>
      </c>
      <c r="D6098" t="s">
        <v>28223</v>
      </c>
      <c r="E6098" t="b">
        <v>0</v>
      </c>
      <c r="F6098" t="s">
        <v>11610</v>
      </c>
      <c r="L6098">
        <v>0</v>
      </c>
      <c r="M6098">
        <v>0</v>
      </c>
      <c r="N6098">
        <v>0</v>
      </c>
    </row>
    <row r="6099" spans="1:15">
      <c r="A6099" t="s">
        <v>28224</v>
      </c>
      <c r="B6099" t="s">
        <v>11607</v>
      </c>
      <c r="C6099" t="s">
        <v>28216</v>
      </c>
      <c r="D6099" t="s">
        <v>28225</v>
      </c>
      <c r="E6099" t="b">
        <v>0</v>
      </c>
      <c r="F6099" t="s">
        <v>11610</v>
      </c>
      <c r="L6099">
        <v>0</v>
      </c>
      <c r="M6099">
        <v>0</v>
      </c>
      <c r="N6099">
        <v>0</v>
      </c>
    </row>
    <row r="6100" spans="1:15">
      <c r="A6100" t="s">
        <v>28226</v>
      </c>
      <c r="B6100" t="s">
        <v>10597</v>
      </c>
      <c r="C6100" t="s">
        <v>2607</v>
      </c>
      <c r="D6100" t="s">
        <v>28227</v>
      </c>
      <c r="E6100" t="b">
        <v>0</v>
      </c>
      <c r="F6100" t="s">
        <v>11610</v>
      </c>
      <c r="L6100">
        <v>0</v>
      </c>
      <c r="M6100">
        <v>0</v>
      </c>
      <c r="N6100">
        <v>0</v>
      </c>
    </row>
    <row r="6101" spans="1:15">
      <c r="A6101" t="s">
        <v>28228</v>
      </c>
      <c r="B6101" t="s">
        <v>11607</v>
      </c>
      <c r="C6101" t="s">
        <v>28229</v>
      </c>
      <c r="D6101" t="s">
        <v>28230</v>
      </c>
      <c r="E6101" t="b">
        <v>0</v>
      </c>
      <c r="F6101" t="s">
        <v>11610</v>
      </c>
      <c r="L6101">
        <v>0</v>
      </c>
      <c r="M6101">
        <v>0</v>
      </c>
      <c r="N6101">
        <v>0</v>
      </c>
    </row>
    <row r="6102" spans="1:15">
      <c r="A6102" t="s">
        <v>28231</v>
      </c>
      <c r="B6102" t="s">
        <v>6742</v>
      </c>
      <c r="C6102" t="s">
        <v>28232</v>
      </c>
      <c r="D6102" t="s">
        <v>28233</v>
      </c>
      <c r="E6102" t="b">
        <v>0</v>
      </c>
      <c r="F6102" t="s">
        <v>11624</v>
      </c>
      <c r="G6102">
        <v>5.9647610000000002</v>
      </c>
      <c r="H6102">
        <v>-5.8418190000000001</v>
      </c>
      <c r="I6102" t="s">
        <v>28234</v>
      </c>
      <c r="L6102">
        <v>0</v>
      </c>
      <c r="M6102">
        <v>0</v>
      </c>
      <c r="N6102">
        <v>0</v>
      </c>
      <c r="O6102" t="s">
        <v>11735</v>
      </c>
    </row>
    <row r="6103" spans="1:15">
      <c r="A6103" t="s">
        <v>28235</v>
      </c>
      <c r="B6103" t="s">
        <v>11607</v>
      </c>
      <c r="C6103" t="s">
        <v>28236</v>
      </c>
      <c r="D6103" t="s">
        <v>28237</v>
      </c>
      <c r="E6103" t="b">
        <v>0</v>
      </c>
      <c r="F6103" t="s">
        <v>11624</v>
      </c>
      <c r="G6103">
        <v>9.3395499999999991</v>
      </c>
      <c r="H6103">
        <v>16.623000000000001</v>
      </c>
      <c r="I6103" t="s">
        <v>28238</v>
      </c>
      <c r="L6103">
        <v>0</v>
      </c>
      <c r="M6103">
        <v>0</v>
      </c>
      <c r="N6103">
        <v>0</v>
      </c>
      <c r="O6103" t="s">
        <v>13421</v>
      </c>
    </row>
    <row r="6104" spans="1:15">
      <c r="A6104" t="s">
        <v>28239</v>
      </c>
      <c r="B6104" t="s">
        <v>11607</v>
      </c>
      <c r="C6104" t="s">
        <v>28240</v>
      </c>
      <c r="D6104" t="s">
        <v>28241</v>
      </c>
      <c r="E6104" t="b">
        <v>0</v>
      </c>
      <c r="F6104" t="s">
        <v>11610</v>
      </c>
      <c r="L6104">
        <v>0</v>
      </c>
      <c r="M6104">
        <v>0</v>
      </c>
      <c r="N6104">
        <v>0</v>
      </c>
    </row>
    <row r="6105" spans="1:15">
      <c r="A6105" t="s">
        <v>28242</v>
      </c>
      <c r="B6105" t="s">
        <v>11607</v>
      </c>
      <c r="C6105" t="s">
        <v>14623</v>
      </c>
      <c r="D6105" t="s">
        <v>28243</v>
      </c>
      <c r="E6105" t="b">
        <v>0</v>
      </c>
      <c r="F6105" t="s">
        <v>11610</v>
      </c>
      <c r="L6105">
        <v>0</v>
      </c>
      <c r="M6105">
        <v>0</v>
      </c>
      <c r="N6105">
        <v>0</v>
      </c>
    </row>
    <row r="6106" spans="1:15">
      <c r="A6106" t="s">
        <v>28236</v>
      </c>
      <c r="B6106" t="s">
        <v>11607</v>
      </c>
      <c r="C6106" t="s">
        <v>26507</v>
      </c>
      <c r="D6106" t="s">
        <v>28244</v>
      </c>
      <c r="E6106" t="b">
        <v>0</v>
      </c>
      <c r="F6106" t="s">
        <v>11622</v>
      </c>
      <c r="L6106">
        <v>0</v>
      </c>
      <c r="M6106">
        <v>2</v>
      </c>
      <c r="N6106">
        <v>3</v>
      </c>
    </row>
    <row r="6107" spans="1:15">
      <c r="A6107" t="s">
        <v>28245</v>
      </c>
      <c r="B6107" t="s">
        <v>6742</v>
      </c>
      <c r="C6107" t="s">
        <v>28246</v>
      </c>
      <c r="D6107" t="s">
        <v>28247</v>
      </c>
      <c r="E6107" t="b">
        <v>0</v>
      </c>
      <c r="F6107" t="s">
        <v>11610</v>
      </c>
      <c r="L6107">
        <v>0</v>
      </c>
      <c r="M6107">
        <v>0</v>
      </c>
      <c r="N6107">
        <v>0</v>
      </c>
    </row>
    <row r="6108" spans="1:15">
      <c r="A6108" t="s">
        <v>28248</v>
      </c>
      <c r="B6108" t="s">
        <v>6742</v>
      </c>
      <c r="C6108" t="s">
        <v>798</v>
      </c>
      <c r="D6108" t="s">
        <v>28249</v>
      </c>
      <c r="E6108" t="b">
        <v>0</v>
      </c>
      <c r="F6108" t="s">
        <v>11610</v>
      </c>
      <c r="L6108">
        <v>0</v>
      </c>
      <c r="M6108">
        <v>0</v>
      </c>
      <c r="N6108">
        <v>0</v>
      </c>
    </row>
    <row r="6109" spans="1:15">
      <c r="A6109" t="s">
        <v>28250</v>
      </c>
      <c r="B6109" t="s">
        <v>11627</v>
      </c>
      <c r="C6109" t="s">
        <v>11627</v>
      </c>
      <c r="D6109" t="s">
        <v>28251</v>
      </c>
      <c r="E6109" t="b">
        <v>1</v>
      </c>
      <c r="F6109" t="s">
        <v>11624</v>
      </c>
      <c r="G6109">
        <v>-5.8075000000000001</v>
      </c>
      <c r="H6109">
        <v>146.62100000000001</v>
      </c>
      <c r="I6109" t="s">
        <v>28252</v>
      </c>
      <c r="L6109">
        <v>0</v>
      </c>
      <c r="M6109">
        <v>0</v>
      </c>
      <c r="N6109">
        <v>0</v>
      </c>
      <c r="O6109" t="s">
        <v>11660</v>
      </c>
    </row>
    <row r="6110" spans="1:15">
      <c r="A6110" t="s">
        <v>28253</v>
      </c>
      <c r="B6110" t="s">
        <v>11637</v>
      </c>
      <c r="C6110" t="s">
        <v>12098</v>
      </c>
      <c r="D6110" t="s">
        <v>28254</v>
      </c>
      <c r="E6110" t="b">
        <v>0</v>
      </c>
      <c r="F6110" t="s">
        <v>11610</v>
      </c>
      <c r="L6110">
        <v>0</v>
      </c>
      <c r="M6110">
        <v>0</v>
      </c>
      <c r="N6110">
        <v>0</v>
      </c>
    </row>
    <row r="6111" spans="1:15">
      <c r="A6111" t="s">
        <v>11999</v>
      </c>
      <c r="B6111" t="s">
        <v>6742</v>
      </c>
      <c r="C6111" t="s">
        <v>28255</v>
      </c>
      <c r="D6111" t="s">
        <v>28256</v>
      </c>
      <c r="E6111" t="b">
        <v>0</v>
      </c>
      <c r="F6111" t="s">
        <v>11622</v>
      </c>
      <c r="L6111">
        <v>0</v>
      </c>
      <c r="M6111">
        <v>2</v>
      </c>
      <c r="N6111">
        <v>6</v>
      </c>
    </row>
    <row r="6112" spans="1:15">
      <c r="A6112" t="s">
        <v>28257</v>
      </c>
      <c r="B6112" t="s">
        <v>367</v>
      </c>
      <c r="C6112" t="s">
        <v>20856</v>
      </c>
      <c r="D6112" t="s">
        <v>28258</v>
      </c>
      <c r="E6112" t="b">
        <v>0</v>
      </c>
      <c r="F6112" t="s">
        <v>11624</v>
      </c>
      <c r="G6112">
        <v>17.223800000000001</v>
      </c>
      <c r="H6112">
        <v>121.455</v>
      </c>
      <c r="I6112" t="s">
        <v>28259</v>
      </c>
      <c r="L6112">
        <v>0</v>
      </c>
      <c r="M6112">
        <v>0</v>
      </c>
      <c r="N6112">
        <v>0</v>
      </c>
      <c r="O6112" t="s">
        <v>11749</v>
      </c>
    </row>
    <row r="6113" spans="1:15">
      <c r="A6113" t="s">
        <v>28260</v>
      </c>
      <c r="B6113" t="s">
        <v>11607</v>
      </c>
      <c r="C6113" t="s">
        <v>19552</v>
      </c>
      <c r="D6113" t="s">
        <v>28261</v>
      </c>
      <c r="E6113" t="b">
        <v>0</v>
      </c>
      <c r="F6113" t="s">
        <v>11624</v>
      </c>
      <c r="G6113">
        <v>10.425000000000001</v>
      </c>
      <c r="H6113">
        <v>16.997</v>
      </c>
      <c r="I6113" t="s">
        <v>28262</v>
      </c>
      <c r="L6113">
        <v>0</v>
      </c>
      <c r="M6113">
        <v>0</v>
      </c>
      <c r="N6113">
        <v>0</v>
      </c>
      <c r="O6113" t="s">
        <v>13421</v>
      </c>
    </row>
    <row r="6114" spans="1:15">
      <c r="A6114" t="s">
        <v>28263</v>
      </c>
      <c r="B6114" t="s">
        <v>11607</v>
      </c>
      <c r="C6114" t="s">
        <v>27849</v>
      </c>
      <c r="D6114" t="s">
        <v>28264</v>
      </c>
      <c r="E6114" t="b">
        <v>0</v>
      </c>
      <c r="F6114" t="s">
        <v>11610</v>
      </c>
      <c r="L6114">
        <v>0</v>
      </c>
      <c r="M6114">
        <v>0</v>
      </c>
      <c r="N6114">
        <v>0</v>
      </c>
    </row>
    <row r="6115" spans="1:15">
      <c r="A6115" t="s">
        <v>18267</v>
      </c>
      <c r="B6115" t="s">
        <v>11637</v>
      </c>
      <c r="C6115" t="s">
        <v>18246</v>
      </c>
      <c r="D6115" t="s">
        <v>28265</v>
      </c>
      <c r="E6115" t="b">
        <v>0</v>
      </c>
      <c r="F6115" t="s">
        <v>11624</v>
      </c>
      <c r="G6115">
        <v>32.36</v>
      </c>
      <c r="H6115">
        <v>76.571299999999994</v>
      </c>
      <c r="I6115" t="s">
        <v>28266</v>
      </c>
      <c r="L6115">
        <v>0</v>
      </c>
      <c r="M6115">
        <v>0</v>
      </c>
      <c r="N6115">
        <v>2</v>
      </c>
      <c r="O6115" t="s">
        <v>11630</v>
      </c>
    </row>
    <row r="6116" spans="1:15">
      <c r="A6116" t="s">
        <v>28267</v>
      </c>
      <c r="B6116" t="s">
        <v>367</v>
      </c>
      <c r="C6116" t="s">
        <v>20856</v>
      </c>
      <c r="D6116" t="s">
        <v>28268</v>
      </c>
      <c r="E6116" t="b">
        <v>0</v>
      </c>
      <c r="F6116" t="s">
        <v>11624</v>
      </c>
      <c r="G6116">
        <v>16.546800000000001</v>
      </c>
      <c r="H6116">
        <v>121.17700000000001</v>
      </c>
      <c r="I6116" t="s">
        <v>28269</v>
      </c>
      <c r="L6116">
        <v>0</v>
      </c>
      <c r="M6116">
        <v>0</v>
      </c>
      <c r="N6116">
        <v>0</v>
      </c>
      <c r="O6116" t="s">
        <v>11749</v>
      </c>
    </row>
    <row r="6117" spans="1:15">
      <c r="A6117" t="s">
        <v>20857</v>
      </c>
      <c r="B6117" t="s">
        <v>367</v>
      </c>
      <c r="C6117" t="s">
        <v>12025</v>
      </c>
      <c r="D6117" t="s">
        <v>28270</v>
      </c>
      <c r="E6117" t="b">
        <v>0</v>
      </c>
      <c r="F6117" t="s">
        <v>11622</v>
      </c>
      <c r="L6117">
        <v>1</v>
      </c>
      <c r="M6117">
        <v>5</v>
      </c>
      <c r="N6117">
        <v>0</v>
      </c>
    </row>
    <row r="6118" spans="1:15">
      <c r="A6118" t="s">
        <v>28271</v>
      </c>
      <c r="B6118" t="s">
        <v>11637</v>
      </c>
      <c r="C6118" t="s">
        <v>28272</v>
      </c>
      <c r="D6118" t="s">
        <v>28273</v>
      </c>
      <c r="E6118" t="b">
        <v>0</v>
      </c>
      <c r="F6118" t="s">
        <v>11624</v>
      </c>
      <c r="G6118">
        <v>25.8583</v>
      </c>
      <c r="H6118">
        <v>78.218699999999998</v>
      </c>
      <c r="I6118" t="s">
        <v>28274</v>
      </c>
      <c r="L6118">
        <v>0</v>
      </c>
      <c r="M6118">
        <v>0</v>
      </c>
      <c r="N6118">
        <v>0</v>
      </c>
      <c r="O6118" t="s">
        <v>11630</v>
      </c>
    </row>
    <row r="6119" spans="1:15">
      <c r="A6119" t="s">
        <v>28275</v>
      </c>
      <c r="B6119" t="s">
        <v>6742</v>
      </c>
      <c r="C6119" t="s">
        <v>12815</v>
      </c>
      <c r="D6119" t="s">
        <v>28276</v>
      </c>
      <c r="E6119" t="b">
        <v>0</v>
      </c>
      <c r="F6119" t="s">
        <v>11624</v>
      </c>
      <c r="G6119">
        <v>8.7113899999999997</v>
      </c>
      <c r="H6119">
        <v>7.4986899999999999</v>
      </c>
      <c r="I6119" t="s">
        <v>28277</v>
      </c>
      <c r="L6119">
        <v>0</v>
      </c>
      <c r="M6119">
        <v>0</v>
      </c>
      <c r="N6119">
        <v>0</v>
      </c>
      <c r="O6119" t="s">
        <v>11693</v>
      </c>
    </row>
    <row r="6120" spans="1:15">
      <c r="A6120" t="s">
        <v>28278</v>
      </c>
      <c r="B6120" t="s">
        <v>11637</v>
      </c>
      <c r="C6120" t="s">
        <v>16767</v>
      </c>
      <c r="D6120" t="s">
        <v>28279</v>
      </c>
      <c r="E6120" t="b">
        <v>0</v>
      </c>
      <c r="F6120" t="s">
        <v>11610</v>
      </c>
      <c r="L6120">
        <v>0</v>
      </c>
      <c r="M6120">
        <v>0</v>
      </c>
      <c r="N6120">
        <v>0</v>
      </c>
    </row>
    <row r="6121" spans="1:15">
      <c r="A6121" t="s">
        <v>28280</v>
      </c>
      <c r="B6121" t="s">
        <v>2665</v>
      </c>
      <c r="C6121" t="s">
        <v>2665</v>
      </c>
      <c r="D6121" t="s">
        <v>28281</v>
      </c>
      <c r="E6121" t="b">
        <v>0</v>
      </c>
      <c r="F6121" t="s">
        <v>11624</v>
      </c>
      <c r="G6121">
        <v>-15.4786</v>
      </c>
      <c r="H6121">
        <v>129.15600000000001</v>
      </c>
      <c r="I6121" t="s">
        <v>28282</v>
      </c>
      <c r="L6121">
        <v>0</v>
      </c>
      <c r="M6121">
        <v>0</v>
      </c>
      <c r="N6121">
        <v>0</v>
      </c>
      <c r="O6121" t="s">
        <v>12107</v>
      </c>
    </row>
    <row r="6122" spans="1:15">
      <c r="A6122" t="s">
        <v>28283</v>
      </c>
      <c r="B6122" t="s">
        <v>17030</v>
      </c>
      <c r="C6122" t="s">
        <v>17031</v>
      </c>
      <c r="D6122" t="s">
        <v>28284</v>
      </c>
      <c r="E6122" t="b">
        <v>0</v>
      </c>
      <c r="F6122" t="s">
        <v>11610</v>
      </c>
      <c r="L6122">
        <v>0</v>
      </c>
      <c r="M6122">
        <v>0</v>
      </c>
      <c r="N6122">
        <v>0</v>
      </c>
    </row>
    <row r="6123" spans="1:15">
      <c r="A6123" t="s">
        <v>28285</v>
      </c>
      <c r="B6123" t="s">
        <v>11637</v>
      </c>
      <c r="C6123" t="s">
        <v>28286</v>
      </c>
      <c r="D6123" t="s">
        <v>28287</v>
      </c>
      <c r="E6123" t="b">
        <v>0</v>
      </c>
      <c r="F6123" t="s">
        <v>11610</v>
      </c>
      <c r="L6123">
        <v>0</v>
      </c>
      <c r="M6123">
        <v>0</v>
      </c>
      <c r="N6123">
        <v>4</v>
      </c>
    </row>
    <row r="6124" spans="1:15">
      <c r="A6124" t="s">
        <v>28288</v>
      </c>
      <c r="B6124" t="s">
        <v>11615</v>
      </c>
      <c r="C6124" t="s">
        <v>12277</v>
      </c>
      <c r="D6124" t="s">
        <v>28289</v>
      </c>
      <c r="E6124" t="b">
        <v>0</v>
      </c>
      <c r="F6124" t="s">
        <v>11624</v>
      </c>
      <c r="G6124">
        <v>-6.3163099999999996</v>
      </c>
      <c r="H6124">
        <v>145.99700000000001</v>
      </c>
      <c r="I6124" t="s">
        <v>28290</v>
      </c>
      <c r="L6124">
        <v>0</v>
      </c>
      <c r="M6124">
        <v>0</v>
      </c>
      <c r="N6124">
        <v>2</v>
      </c>
      <c r="O6124" t="s">
        <v>11660</v>
      </c>
    </row>
    <row r="6125" spans="1:15">
      <c r="A6125" t="s">
        <v>12277</v>
      </c>
      <c r="B6125" t="s">
        <v>11615</v>
      </c>
      <c r="C6125" t="s">
        <v>15219</v>
      </c>
      <c r="D6125" t="s">
        <v>28291</v>
      </c>
      <c r="E6125" t="b">
        <v>0</v>
      </c>
      <c r="F6125" t="s">
        <v>11622</v>
      </c>
      <c r="L6125">
        <v>0</v>
      </c>
      <c r="M6125">
        <v>2</v>
      </c>
      <c r="N6125">
        <v>2</v>
      </c>
    </row>
    <row r="6126" spans="1:15">
      <c r="A6126" t="s">
        <v>28292</v>
      </c>
      <c r="B6126" t="s">
        <v>12311</v>
      </c>
      <c r="C6126" t="s">
        <v>22191</v>
      </c>
      <c r="D6126" t="s">
        <v>28293</v>
      </c>
      <c r="E6126" t="b">
        <v>0</v>
      </c>
      <c r="F6126" t="s">
        <v>11610</v>
      </c>
      <c r="L6126">
        <v>0</v>
      </c>
      <c r="M6126">
        <v>0</v>
      </c>
      <c r="N6126">
        <v>0</v>
      </c>
    </row>
    <row r="6127" spans="1:15">
      <c r="A6127" t="s">
        <v>28294</v>
      </c>
      <c r="B6127" t="s">
        <v>13276</v>
      </c>
      <c r="C6127" t="s">
        <v>15533</v>
      </c>
      <c r="D6127" t="s">
        <v>28295</v>
      </c>
      <c r="E6127" t="b">
        <v>0</v>
      </c>
      <c r="F6127" t="s">
        <v>11610</v>
      </c>
      <c r="L6127">
        <v>0</v>
      </c>
      <c r="M6127">
        <v>0</v>
      </c>
      <c r="N6127">
        <v>0</v>
      </c>
    </row>
    <row r="6128" spans="1:15">
      <c r="A6128" t="s">
        <v>28296</v>
      </c>
      <c r="B6128" t="s">
        <v>367</v>
      </c>
      <c r="C6128" t="s">
        <v>28297</v>
      </c>
      <c r="D6128" t="s">
        <v>28298</v>
      </c>
      <c r="E6128" t="b">
        <v>0</v>
      </c>
      <c r="F6128" t="s">
        <v>11610</v>
      </c>
      <c r="L6128">
        <v>0</v>
      </c>
      <c r="M6128">
        <v>0</v>
      </c>
      <c r="N6128">
        <v>0</v>
      </c>
    </row>
    <row r="6129" spans="1:15">
      <c r="A6129" t="s">
        <v>28299</v>
      </c>
      <c r="B6129" t="s">
        <v>11615</v>
      </c>
      <c r="C6129" t="s">
        <v>17174</v>
      </c>
      <c r="D6129" t="s">
        <v>28300</v>
      </c>
      <c r="E6129" t="b">
        <v>0</v>
      </c>
      <c r="F6129" t="s">
        <v>11622</v>
      </c>
      <c r="L6129">
        <v>0</v>
      </c>
      <c r="M6129">
        <v>2</v>
      </c>
      <c r="N6129">
        <v>3</v>
      </c>
    </row>
    <row r="6130" spans="1:15">
      <c r="A6130" t="s">
        <v>28301</v>
      </c>
      <c r="B6130" t="s">
        <v>11607</v>
      </c>
      <c r="C6130" t="s">
        <v>28302</v>
      </c>
      <c r="D6130" t="s">
        <v>28303</v>
      </c>
      <c r="E6130" t="b">
        <v>0</v>
      </c>
      <c r="F6130" t="s">
        <v>11624</v>
      </c>
      <c r="G6130">
        <v>11.5764</v>
      </c>
      <c r="H6130">
        <v>39.560499999999998</v>
      </c>
      <c r="I6130" t="s">
        <v>28304</v>
      </c>
      <c r="L6130">
        <v>0</v>
      </c>
      <c r="M6130">
        <v>0</v>
      </c>
      <c r="N6130">
        <v>0</v>
      </c>
      <c r="O6130" t="s">
        <v>11625</v>
      </c>
    </row>
    <row r="6131" spans="1:15">
      <c r="A6131" t="s">
        <v>20233</v>
      </c>
      <c r="B6131" t="s">
        <v>331</v>
      </c>
      <c r="C6131" t="s">
        <v>16319</v>
      </c>
      <c r="D6131" t="s">
        <v>28305</v>
      </c>
      <c r="E6131" t="b">
        <v>0</v>
      </c>
      <c r="F6131" t="s">
        <v>11624</v>
      </c>
      <c r="G6131">
        <v>44.598799999999997</v>
      </c>
      <c r="H6131">
        <v>28.027699999999999</v>
      </c>
      <c r="I6131" t="s">
        <v>28306</v>
      </c>
      <c r="L6131">
        <v>0</v>
      </c>
      <c r="M6131">
        <v>0</v>
      </c>
      <c r="N6131">
        <v>2</v>
      </c>
      <c r="O6131" t="s">
        <v>28307</v>
      </c>
    </row>
    <row r="6132" spans="1:15">
      <c r="A6132" t="s">
        <v>28308</v>
      </c>
      <c r="B6132" t="s">
        <v>12311</v>
      </c>
      <c r="C6132" t="s">
        <v>13726</v>
      </c>
      <c r="D6132" t="s">
        <v>28309</v>
      </c>
      <c r="E6132" t="b">
        <v>0</v>
      </c>
      <c r="F6132" t="s">
        <v>11610</v>
      </c>
      <c r="L6132">
        <v>0</v>
      </c>
      <c r="M6132">
        <v>0</v>
      </c>
      <c r="N6132">
        <v>0</v>
      </c>
    </row>
    <row r="6133" spans="1:15">
      <c r="A6133" t="s">
        <v>28310</v>
      </c>
      <c r="D6133" t="s">
        <v>28311</v>
      </c>
      <c r="E6133" t="b">
        <v>0</v>
      </c>
      <c r="F6133" t="s">
        <v>11624</v>
      </c>
      <c r="G6133">
        <v>-12.5176</v>
      </c>
      <c r="H6133">
        <v>132.643</v>
      </c>
      <c r="I6133" t="s">
        <v>28312</v>
      </c>
      <c r="L6133">
        <v>0</v>
      </c>
      <c r="M6133">
        <v>0</v>
      </c>
      <c r="N6133">
        <v>0</v>
      </c>
      <c r="O6133" t="s">
        <v>12107</v>
      </c>
    </row>
    <row r="6134" spans="1:15">
      <c r="A6134" t="s">
        <v>28313</v>
      </c>
      <c r="B6134" t="s">
        <v>6742</v>
      </c>
      <c r="C6134" t="s">
        <v>26113</v>
      </c>
      <c r="D6134" t="s">
        <v>28314</v>
      </c>
      <c r="E6134" t="b">
        <v>0</v>
      </c>
      <c r="F6134" t="s">
        <v>11624</v>
      </c>
      <c r="G6134">
        <v>6.1005099999999999</v>
      </c>
      <c r="H6134">
        <v>-5.9701000000000004</v>
      </c>
      <c r="I6134" t="s">
        <v>28315</v>
      </c>
      <c r="L6134">
        <v>0</v>
      </c>
      <c r="M6134">
        <v>0</v>
      </c>
      <c r="N6134">
        <v>6</v>
      </c>
      <c r="O6134" t="s">
        <v>11735</v>
      </c>
    </row>
    <row r="6135" spans="1:15">
      <c r="A6135" t="s">
        <v>28316</v>
      </c>
      <c r="B6135" t="s">
        <v>11637</v>
      </c>
      <c r="C6135" t="s">
        <v>13105</v>
      </c>
      <c r="D6135" t="s">
        <v>28317</v>
      </c>
      <c r="E6135" t="b">
        <v>0</v>
      </c>
      <c r="F6135" t="s">
        <v>11610</v>
      </c>
      <c r="L6135">
        <v>0</v>
      </c>
      <c r="M6135">
        <v>0</v>
      </c>
      <c r="N6135">
        <v>0</v>
      </c>
    </row>
    <row r="6136" spans="1:15">
      <c r="A6136" t="s">
        <v>19158</v>
      </c>
      <c r="B6136" t="s">
        <v>13276</v>
      </c>
      <c r="C6136" t="s">
        <v>17967</v>
      </c>
      <c r="D6136" t="s">
        <v>28318</v>
      </c>
      <c r="E6136" t="b">
        <v>0</v>
      </c>
      <c r="F6136" t="s">
        <v>11624</v>
      </c>
      <c r="G6136">
        <v>6.4085900000000002</v>
      </c>
      <c r="H6136">
        <v>-5.51851</v>
      </c>
      <c r="I6136" t="s">
        <v>28319</v>
      </c>
      <c r="L6136">
        <v>0</v>
      </c>
      <c r="M6136">
        <v>0</v>
      </c>
      <c r="N6136">
        <v>4</v>
      </c>
      <c r="O6136" t="s">
        <v>11735</v>
      </c>
    </row>
    <row r="6137" spans="1:15">
      <c r="A6137" t="s">
        <v>28320</v>
      </c>
      <c r="B6137" t="s">
        <v>11637</v>
      </c>
      <c r="C6137" t="s">
        <v>15841</v>
      </c>
      <c r="D6137" t="s">
        <v>28321</v>
      </c>
      <c r="E6137" t="b">
        <v>0</v>
      </c>
      <c r="F6137" t="s">
        <v>11610</v>
      </c>
      <c r="L6137">
        <v>0</v>
      </c>
      <c r="M6137">
        <v>0</v>
      </c>
      <c r="N6137">
        <v>0</v>
      </c>
    </row>
    <row r="6138" spans="1:15">
      <c r="A6138" t="s">
        <v>28322</v>
      </c>
      <c r="B6138" t="s">
        <v>11644</v>
      </c>
      <c r="C6138" t="s">
        <v>21947</v>
      </c>
      <c r="D6138" t="s">
        <v>28323</v>
      </c>
      <c r="E6138" t="b">
        <v>0</v>
      </c>
      <c r="F6138" t="s">
        <v>11624</v>
      </c>
      <c r="G6138">
        <v>32.216799999999999</v>
      </c>
      <c r="H6138">
        <v>77.959599999999995</v>
      </c>
      <c r="I6138" t="s">
        <v>28324</v>
      </c>
      <c r="L6138">
        <v>0</v>
      </c>
      <c r="M6138">
        <v>0</v>
      </c>
      <c r="N6138">
        <v>0</v>
      </c>
      <c r="O6138" t="s">
        <v>11630</v>
      </c>
    </row>
    <row r="6139" spans="1:15">
      <c r="A6139" t="s">
        <v>13001</v>
      </c>
      <c r="B6139" t="s">
        <v>11615</v>
      </c>
      <c r="C6139" t="s">
        <v>28041</v>
      </c>
      <c r="D6139" t="s">
        <v>28325</v>
      </c>
      <c r="E6139" t="b">
        <v>0</v>
      </c>
      <c r="F6139" t="s">
        <v>11622</v>
      </c>
      <c r="L6139">
        <v>0</v>
      </c>
      <c r="M6139">
        <v>3</v>
      </c>
      <c r="N6139">
        <v>7</v>
      </c>
    </row>
    <row r="6140" spans="1:15">
      <c r="A6140" t="s">
        <v>28326</v>
      </c>
      <c r="B6140" t="s">
        <v>6742</v>
      </c>
      <c r="C6140" t="s">
        <v>1906</v>
      </c>
      <c r="D6140" t="s">
        <v>28327</v>
      </c>
      <c r="E6140" t="b">
        <v>0</v>
      </c>
      <c r="F6140" t="s">
        <v>11610</v>
      </c>
      <c r="L6140">
        <v>0</v>
      </c>
      <c r="M6140">
        <v>0</v>
      </c>
      <c r="N6140">
        <v>0</v>
      </c>
    </row>
    <row r="6141" spans="1:15">
      <c r="A6141" t="s">
        <v>28328</v>
      </c>
      <c r="B6141" t="s">
        <v>13411</v>
      </c>
      <c r="C6141" t="s">
        <v>20357</v>
      </c>
      <c r="D6141" t="s">
        <v>28329</v>
      </c>
      <c r="E6141" t="b">
        <v>0</v>
      </c>
      <c r="F6141" t="s">
        <v>11624</v>
      </c>
      <c r="G6141">
        <v>-4.0171799999999998</v>
      </c>
      <c r="H6141">
        <v>143.13900000000001</v>
      </c>
      <c r="I6141" t="s">
        <v>28330</v>
      </c>
      <c r="L6141">
        <v>0</v>
      </c>
      <c r="M6141">
        <v>0</v>
      </c>
      <c r="N6141">
        <v>0</v>
      </c>
      <c r="O6141" t="s">
        <v>11660</v>
      </c>
    </row>
    <row r="6142" spans="1:15">
      <c r="A6142" t="s">
        <v>28331</v>
      </c>
      <c r="B6142" t="s">
        <v>13360</v>
      </c>
      <c r="C6142" t="s">
        <v>13360</v>
      </c>
      <c r="D6142" t="s">
        <v>28332</v>
      </c>
      <c r="E6142" t="b">
        <v>0</v>
      </c>
      <c r="F6142" t="s">
        <v>11624</v>
      </c>
      <c r="G6142">
        <v>-28.77</v>
      </c>
      <c r="H6142">
        <v>26.895</v>
      </c>
      <c r="I6142" t="s">
        <v>28333</v>
      </c>
      <c r="L6142">
        <v>0</v>
      </c>
      <c r="M6142">
        <v>0</v>
      </c>
      <c r="N6142">
        <v>0</v>
      </c>
      <c r="O6142" t="s">
        <v>21031</v>
      </c>
    </row>
    <row r="6143" spans="1:15">
      <c r="A6143" t="s">
        <v>17045</v>
      </c>
      <c r="B6143" t="s">
        <v>11615</v>
      </c>
      <c r="C6143" t="s">
        <v>28299</v>
      </c>
      <c r="D6143" t="s">
        <v>28334</v>
      </c>
      <c r="E6143" t="b">
        <v>0</v>
      </c>
      <c r="F6143" t="s">
        <v>11624</v>
      </c>
      <c r="G6143">
        <v>-9.1440900000000003</v>
      </c>
      <c r="H6143">
        <v>148.59</v>
      </c>
      <c r="I6143" t="s">
        <v>28335</v>
      </c>
      <c r="L6143">
        <v>0</v>
      </c>
      <c r="M6143">
        <v>0</v>
      </c>
      <c r="N6143">
        <v>2</v>
      </c>
      <c r="O6143" t="s">
        <v>11660</v>
      </c>
    </row>
    <row r="6144" spans="1:15">
      <c r="A6144" t="s">
        <v>28336</v>
      </c>
      <c r="B6144" t="s">
        <v>23796</v>
      </c>
      <c r="C6144" t="s">
        <v>28337</v>
      </c>
      <c r="D6144" t="s">
        <v>28338</v>
      </c>
      <c r="E6144" t="b">
        <v>0</v>
      </c>
      <c r="F6144" t="s">
        <v>11610</v>
      </c>
      <c r="L6144">
        <v>0</v>
      </c>
      <c r="M6144">
        <v>0</v>
      </c>
      <c r="N6144">
        <v>0</v>
      </c>
    </row>
    <row r="6145" spans="1:15">
      <c r="A6145" t="s">
        <v>28339</v>
      </c>
      <c r="B6145" t="s">
        <v>13264</v>
      </c>
      <c r="C6145" t="s">
        <v>7959</v>
      </c>
      <c r="D6145" t="s">
        <v>28340</v>
      </c>
      <c r="E6145" t="b">
        <v>0</v>
      </c>
      <c r="F6145" t="s">
        <v>11610</v>
      </c>
      <c r="L6145">
        <v>0</v>
      </c>
      <c r="M6145">
        <v>0</v>
      </c>
      <c r="N6145">
        <v>0</v>
      </c>
    </row>
    <row r="6146" spans="1:15">
      <c r="A6146" t="s">
        <v>28341</v>
      </c>
      <c r="B6146" t="s">
        <v>331</v>
      </c>
      <c r="C6146" t="s">
        <v>16318</v>
      </c>
      <c r="D6146" t="s">
        <v>28342</v>
      </c>
      <c r="E6146" t="b">
        <v>0</v>
      </c>
      <c r="F6146" t="s">
        <v>11610</v>
      </c>
      <c r="L6146">
        <v>0</v>
      </c>
      <c r="M6146">
        <v>0</v>
      </c>
      <c r="N6146">
        <v>0</v>
      </c>
    </row>
    <row r="6147" spans="1:15">
      <c r="A6147" t="s">
        <v>28343</v>
      </c>
      <c r="B6147" t="s">
        <v>12311</v>
      </c>
      <c r="C6147" t="s">
        <v>22191</v>
      </c>
      <c r="D6147" t="s">
        <v>28344</v>
      </c>
      <c r="E6147" t="b">
        <v>0</v>
      </c>
      <c r="F6147" t="s">
        <v>11610</v>
      </c>
      <c r="L6147">
        <v>0</v>
      </c>
      <c r="M6147">
        <v>0</v>
      </c>
      <c r="N6147">
        <v>0</v>
      </c>
    </row>
    <row r="6148" spans="1:15">
      <c r="A6148" t="s">
        <v>28345</v>
      </c>
      <c r="B6148" t="s">
        <v>11637</v>
      </c>
      <c r="C6148" t="s">
        <v>23078</v>
      </c>
      <c r="D6148" t="s">
        <v>28346</v>
      </c>
      <c r="E6148" t="b">
        <v>0</v>
      </c>
      <c r="F6148" t="s">
        <v>11624</v>
      </c>
      <c r="G6148">
        <v>39.340000000000003</v>
      </c>
      <c r="H6148">
        <v>32.840000000000003</v>
      </c>
      <c r="I6148" t="s">
        <v>28347</v>
      </c>
      <c r="L6148">
        <v>0</v>
      </c>
      <c r="M6148">
        <v>0</v>
      </c>
      <c r="N6148">
        <v>0</v>
      </c>
      <c r="O6148" t="s">
        <v>16254</v>
      </c>
    </row>
    <row r="6149" spans="1:15">
      <c r="A6149" t="s">
        <v>28348</v>
      </c>
      <c r="B6149" t="s">
        <v>6742</v>
      </c>
      <c r="C6149" t="s">
        <v>18598</v>
      </c>
      <c r="D6149" t="s">
        <v>28349</v>
      </c>
      <c r="E6149" t="b">
        <v>0</v>
      </c>
      <c r="F6149" t="s">
        <v>11610</v>
      </c>
      <c r="L6149">
        <v>0</v>
      </c>
      <c r="M6149">
        <v>0</v>
      </c>
      <c r="N6149">
        <v>0</v>
      </c>
    </row>
    <row r="6150" spans="1:15">
      <c r="A6150" t="s">
        <v>28350</v>
      </c>
      <c r="B6150" t="s">
        <v>6742</v>
      </c>
      <c r="C6150" t="s">
        <v>28351</v>
      </c>
      <c r="D6150" t="s">
        <v>28352</v>
      </c>
      <c r="E6150" t="b">
        <v>0</v>
      </c>
      <c r="F6150" t="s">
        <v>11610</v>
      </c>
      <c r="L6150">
        <v>0</v>
      </c>
      <c r="M6150">
        <v>0</v>
      </c>
      <c r="N6150">
        <v>0</v>
      </c>
    </row>
    <row r="6151" spans="1:15">
      <c r="A6151" t="s">
        <v>28353</v>
      </c>
      <c r="B6151" t="s">
        <v>11607</v>
      </c>
      <c r="C6151" t="s">
        <v>24470</v>
      </c>
      <c r="D6151" t="s">
        <v>28354</v>
      </c>
      <c r="E6151" t="b">
        <v>0</v>
      </c>
      <c r="F6151" t="s">
        <v>11610</v>
      </c>
      <c r="L6151">
        <v>0</v>
      </c>
      <c r="M6151">
        <v>0</v>
      </c>
      <c r="N6151">
        <v>0</v>
      </c>
    </row>
    <row r="6152" spans="1:15">
      <c r="A6152" t="s">
        <v>28355</v>
      </c>
      <c r="B6152" t="s">
        <v>11607</v>
      </c>
      <c r="C6152" t="s">
        <v>28356</v>
      </c>
      <c r="D6152" t="s">
        <v>28357</v>
      </c>
      <c r="E6152" t="b">
        <v>0</v>
      </c>
      <c r="F6152" t="s">
        <v>11624</v>
      </c>
      <c r="G6152">
        <v>10.1258</v>
      </c>
      <c r="H6152">
        <v>10.254200000000001</v>
      </c>
      <c r="I6152" t="s">
        <v>28358</v>
      </c>
      <c r="L6152">
        <v>0</v>
      </c>
      <c r="M6152">
        <v>0</v>
      </c>
      <c r="N6152">
        <v>0</v>
      </c>
      <c r="O6152" t="s">
        <v>11693</v>
      </c>
    </row>
    <row r="6153" spans="1:15">
      <c r="A6153" t="s">
        <v>28356</v>
      </c>
      <c r="B6153" t="s">
        <v>11607</v>
      </c>
      <c r="C6153" t="s">
        <v>28359</v>
      </c>
      <c r="D6153" t="s">
        <v>28360</v>
      </c>
      <c r="E6153" t="b">
        <v>0</v>
      </c>
      <c r="F6153" t="s">
        <v>11622</v>
      </c>
      <c r="L6153">
        <v>3</v>
      </c>
      <c r="M6153">
        <v>5</v>
      </c>
      <c r="N6153">
        <v>2</v>
      </c>
    </row>
    <row r="6154" spans="1:15">
      <c r="A6154" t="s">
        <v>28361</v>
      </c>
      <c r="B6154" t="s">
        <v>6742</v>
      </c>
      <c r="C6154" t="s">
        <v>15686</v>
      </c>
      <c r="D6154" t="s">
        <v>28362</v>
      </c>
      <c r="E6154" t="b">
        <v>0</v>
      </c>
      <c r="F6154" t="s">
        <v>11610</v>
      </c>
      <c r="L6154">
        <v>0</v>
      </c>
      <c r="M6154">
        <v>0</v>
      </c>
      <c r="N6154">
        <v>0</v>
      </c>
    </row>
    <row r="6155" spans="1:15">
      <c r="A6155" t="s">
        <v>28363</v>
      </c>
      <c r="B6155" t="s">
        <v>11637</v>
      </c>
      <c r="C6155" t="s">
        <v>28364</v>
      </c>
      <c r="D6155" t="s">
        <v>28365</v>
      </c>
      <c r="E6155" t="b">
        <v>0</v>
      </c>
      <c r="F6155" t="s">
        <v>11610</v>
      </c>
      <c r="L6155">
        <v>0</v>
      </c>
      <c r="M6155">
        <v>0</v>
      </c>
      <c r="N6155">
        <v>0</v>
      </c>
    </row>
    <row r="6156" spans="1:15">
      <c r="A6156" t="s">
        <v>17265</v>
      </c>
      <c r="B6156" t="s">
        <v>367</v>
      </c>
      <c r="C6156" t="s">
        <v>19666</v>
      </c>
      <c r="D6156" t="s">
        <v>28366</v>
      </c>
      <c r="E6156" t="b">
        <v>0</v>
      </c>
      <c r="F6156" t="s">
        <v>11624</v>
      </c>
      <c r="G6156">
        <v>-9.5413700000000006</v>
      </c>
      <c r="H6156">
        <v>150.83600000000001</v>
      </c>
      <c r="I6156" t="s">
        <v>28367</v>
      </c>
      <c r="L6156">
        <v>0</v>
      </c>
      <c r="M6156">
        <v>0</v>
      </c>
      <c r="N6156">
        <v>6</v>
      </c>
      <c r="O6156" t="s">
        <v>11660</v>
      </c>
    </row>
    <row r="6157" spans="1:15">
      <c r="A6157" t="s">
        <v>28368</v>
      </c>
      <c r="B6157" t="s">
        <v>367</v>
      </c>
      <c r="C6157" t="s">
        <v>15313</v>
      </c>
      <c r="D6157" t="s">
        <v>28369</v>
      </c>
      <c r="E6157" t="b">
        <v>0</v>
      </c>
      <c r="F6157" t="s">
        <v>11610</v>
      </c>
      <c r="L6157">
        <v>0</v>
      </c>
      <c r="M6157">
        <v>0</v>
      </c>
      <c r="N6157">
        <v>0</v>
      </c>
    </row>
    <row r="6158" spans="1:15">
      <c r="A6158" t="s">
        <v>28370</v>
      </c>
      <c r="B6158" t="s">
        <v>12133</v>
      </c>
      <c r="C6158" t="s">
        <v>28371</v>
      </c>
      <c r="D6158" t="s">
        <v>28372</v>
      </c>
      <c r="E6158" t="b">
        <v>0</v>
      </c>
      <c r="F6158" t="s">
        <v>11624</v>
      </c>
      <c r="G6158">
        <v>2.3146100000000001</v>
      </c>
      <c r="H6158">
        <v>128.44</v>
      </c>
      <c r="I6158" t="s">
        <v>28373</v>
      </c>
      <c r="L6158">
        <v>0</v>
      </c>
      <c r="M6158">
        <v>0</v>
      </c>
      <c r="N6158">
        <v>4</v>
      </c>
      <c r="O6158" t="s">
        <v>11768</v>
      </c>
    </row>
    <row r="6159" spans="1:15">
      <c r="A6159" t="s">
        <v>28374</v>
      </c>
      <c r="B6159" t="s">
        <v>12959</v>
      </c>
      <c r="C6159" t="s">
        <v>12960</v>
      </c>
      <c r="D6159" t="s">
        <v>28375</v>
      </c>
      <c r="E6159" t="b">
        <v>0</v>
      </c>
      <c r="F6159" t="s">
        <v>11610</v>
      </c>
      <c r="L6159">
        <v>0</v>
      </c>
      <c r="M6159">
        <v>0</v>
      </c>
      <c r="N6159">
        <v>0</v>
      </c>
    </row>
    <row r="6160" spans="1:15">
      <c r="A6160" t="s">
        <v>28371</v>
      </c>
      <c r="B6160" t="s">
        <v>12133</v>
      </c>
      <c r="C6160" t="s">
        <v>28376</v>
      </c>
      <c r="D6160" t="s">
        <v>28377</v>
      </c>
      <c r="E6160" t="b">
        <v>0</v>
      </c>
      <c r="F6160" t="s">
        <v>11622</v>
      </c>
      <c r="L6160">
        <v>0</v>
      </c>
      <c r="M6160">
        <v>2</v>
      </c>
      <c r="N6160">
        <v>5</v>
      </c>
    </row>
    <row r="6161" spans="1:15">
      <c r="A6161" t="s">
        <v>28378</v>
      </c>
      <c r="B6161" t="s">
        <v>10597</v>
      </c>
      <c r="C6161" t="s">
        <v>10597</v>
      </c>
      <c r="D6161" t="s">
        <v>28379</v>
      </c>
      <c r="E6161" t="b">
        <v>0</v>
      </c>
      <c r="F6161" t="s">
        <v>11622</v>
      </c>
      <c r="L6161">
        <v>0</v>
      </c>
      <c r="M6161">
        <v>2</v>
      </c>
      <c r="N6161">
        <v>0</v>
      </c>
    </row>
    <row r="6162" spans="1:15">
      <c r="A6162" t="s">
        <v>28380</v>
      </c>
      <c r="B6162" t="s">
        <v>11637</v>
      </c>
      <c r="C6162" t="s">
        <v>552</v>
      </c>
      <c r="D6162" t="s">
        <v>28381</v>
      </c>
      <c r="E6162" t="b">
        <v>0</v>
      </c>
      <c r="F6162" t="s">
        <v>11610</v>
      </c>
      <c r="L6162">
        <v>0</v>
      </c>
      <c r="M6162">
        <v>0</v>
      </c>
      <c r="N6162">
        <v>0</v>
      </c>
    </row>
    <row r="6163" spans="1:15">
      <c r="A6163" t="s">
        <v>4395</v>
      </c>
      <c r="B6163" t="s">
        <v>11637</v>
      </c>
      <c r="C6163" t="s">
        <v>27644</v>
      </c>
      <c r="D6163" t="s">
        <v>28382</v>
      </c>
      <c r="E6163" t="b">
        <v>0</v>
      </c>
      <c r="F6163" t="s">
        <v>11624</v>
      </c>
      <c r="G6163">
        <v>42.244599999999998</v>
      </c>
      <c r="H6163">
        <v>-7.5343</v>
      </c>
      <c r="I6163" t="s">
        <v>28383</v>
      </c>
      <c r="L6163">
        <v>0</v>
      </c>
      <c r="M6163">
        <v>0</v>
      </c>
      <c r="N6163">
        <v>0</v>
      </c>
      <c r="O6163" t="s">
        <v>14905</v>
      </c>
    </row>
    <row r="6164" spans="1:15">
      <c r="A6164" t="s">
        <v>28384</v>
      </c>
      <c r="B6164" t="s">
        <v>11637</v>
      </c>
      <c r="C6164" t="s">
        <v>19125</v>
      </c>
      <c r="D6164" t="s">
        <v>28385</v>
      </c>
      <c r="E6164" t="b">
        <v>0</v>
      </c>
      <c r="F6164" t="s">
        <v>11610</v>
      </c>
      <c r="L6164">
        <v>0</v>
      </c>
      <c r="M6164">
        <v>0</v>
      </c>
      <c r="N6164">
        <v>0</v>
      </c>
    </row>
    <row r="6165" spans="1:15">
      <c r="A6165" t="s">
        <v>28386</v>
      </c>
      <c r="B6165" t="s">
        <v>331</v>
      </c>
      <c r="C6165" t="s">
        <v>28387</v>
      </c>
      <c r="D6165" t="s">
        <v>28388</v>
      </c>
      <c r="E6165" t="b">
        <v>0</v>
      </c>
      <c r="F6165" t="s">
        <v>11610</v>
      </c>
      <c r="L6165">
        <v>0</v>
      </c>
      <c r="M6165">
        <v>0</v>
      </c>
      <c r="N6165">
        <v>0</v>
      </c>
    </row>
    <row r="6166" spans="1:15">
      <c r="A6166" t="s">
        <v>28389</v>
      </c>
      <c r="B6166" t="s">
        <v>12460</v>
      </c>
      <c r="C6166" t="s">
        <v>23391</v>
      </c>
      <c r="D6166" t="s">
        <v>28390</v>
      </c>
      <c r="E6166" t="b">
        <v>0</v>
      </c>
      <c r="F6166" t="s">
        <v>11624</v>
      </c>
      <c r="G6166">
        <v>45.391399999999997</v>
      </c>
      <c r="H6166">
        <v>-120.75</v>
      </c>
      <c r="I6166" t="s">
        <v>28391</v>
      </c>
      <c r="L6166">
        <v>0</v>
      </c>
      <c r="M6166">
        <v>0</v>
      </c>
      <c r="N6166">
        <v>0</v>
      </c>
      <c r="O6166" t="s">
        <v>11944</v>
      </c>
    </row>
    <row r="6167" spans="1:15">
      <c r="A6167" t="s">
        <v>287</v>
      </c>
      <c r="B6167" t="s">
        <v>8310</v>
      </c>
      <c r="C6167" t="s">
        <v>3311</v>
      </c>
      <c r="D6167" t="s">
        <v>28392</v>
      </c>
      <c r="E6167" t="b">
        <v>0</v>
      </c>
      <c r="F6167" t="s">
        <v>11624</v>
      </c>
      <c r="G6167">
        <v>5.83772</v>
      </c>
      <c r="H6167">
        <v>-56.832299999999996</v>
      </c>
      <c r="I6167" t="s">
        <v>3304</v>
      </c>
      <c r="L6167">
        <v>0</v>
      </c>
      <c r="M6167">
        <v>0</v>
      </c>
      <c r="N6167">
        <v>3</v>
      </c>
      <c r="O6167" t="s">
        <v>28393</v>
      </c>
    </row>
    <row r="6168" spans="1:15">
      <c r="A6168" t="s">
        <v>27644</v>
      </c>
      <c r="B6168" t="s">
        <v>11637</v>
      </c>
      <c r="C6168" t="s">
        <v>14900</v>
      </c>
      <c r="D6168" t="s">
        <v>28394</v>
      </c>
      <c r="E6168" t="b">
        <v>0</v>
      </c>
      <c r="F6168" t="s">
        <v>11622</v>
      </c>
      <c r="L6168">
        <v>8</v>
      </c>
      <c r="M6168">
        <v>18</v>
      </c>
      <c r="N6168">
        <v>17</v>
      </c>
    </row>
    <row r="6169" spans="1:15">
      <c r="A6169" t="s">
        <v>28395</v>
      </c>
      <c r="B6169" t="s">
        <v>13450</v>
      </c>
      <c r="C6169" t="s">
        <v>13450</v>
      </c>
      <c r="D6169" t="s">
        <v>28396</v>
      </c>
      <c r="E6169" t="b">
        <v>0</v>
      </c>
      <c r="F6169" t="s">
        <v>11622</v>
      </c>
      <c r="L6169">
        <v>0</v>
      </c>
      <c r="M6169">
        <v>2</v>
      </c>
      <c r="N6169">
        <v>0</v>
      </c>
    </row>
    <row r="6170" spans="1:15">
      <c r="A6170" t="s">
        <v>28397</v>
      </c>
      <c r="B6170" t="s">
        <v>10597</v>
      </c>
      <c r="C6170" t="s">
        <v>23342</v>
      </c>
      <c r="D6170" t="s">
        <v>28398</v>
      </c>
      <c r="E6170" t="b">
        <v>0</v>
      </c>
      <c r="F6170" t="s">
        <v>11610</v>
      </c>
      <c r="L6170">
        <v>0</v>
      </c>
      <c r="M6170">
        <v>0</v>
      </c>
      <c r="N6170">
        <v>0</v>
      </c>
    </row>
    <row r="6171" spans="1:15">
      <c r="A6171" t="s">
        <v>28399</v>
      </c>
      <c r="B6171" t="s">
        <v>11637</v>
      </c>
      <c r="C6171" t="s">
        <v>19771</v>
      </c>
      <c r="D6171" t="s">
        <v>28400</v>
      </c>
      <c r="E6171" t="b">
        <v>0</v>
      </c>
      <c r="F6171" t="s">
        <v>11610</v>
      </c>
      <c r="L6171">
        <v>0</v>
      </c>
      <c r="M6171">
        <v>0</v>
      </c>
      <c r="N6171">
        <v>0</v>
      </c>
    </row>
    <row r="6172" spans="1:15">
      <c r="A6172" t="s">
        <v>28401</v>
      </c>
      <c r="B6172" t="s">
        <v>11637</v>
      </c>
      <c r="C6172" t="s">
        <v>23459</v>
      </c>
      <c r="D6172" t="s">
        <v>28402</v>
      </c>
      <c r="E6172" t="b">
        <v>0</v>
      </c>
      <c r="F6172" t="s">
        <v>11624</v>
      </c>
      <c r="G6172">
        <v>41.113100000000003</v>
      </c>
      <c r="H6172">
        <v>9.2427899999999994</v>
      </c>
      <c r="I6172" t="s">
        <v>28403</v>
      </c>
      <c r="L6172">
        <v>0</v>
      </c>
      <c r="M6172">
        <v>0</v>
      </c>
      <c r="N6172">
        <v>0</v>
      </c>
      <c r="O6172" t="s">
        <v>13676</v>
      </c>
    </row>
    <row r="6173" spans="1:15">
      <c r="A6173" t="s">
        <v>28404</v>
      </c>
      <c r="B6173" t="s">
        <v>12260</v>
      </c>
      <c r="C6173" t="s">
        <v>28405</v>
      </c>
      <c r="D6173" t="s">
        <v>28406</v>
      </c>
      <c r="E6173" t="b">
        <v>0</v>
      </c>
      <c r="F6173" t="s">
        <v>11610</v>
      </c>
      <c r="L6173">
        <v>0</v>
      </c>
      <c r="M6173">
        <v>0</v>
      </c>
      <c r="N6173">
        <v>0</v>
      </c>
    </row>
    <row r="6174" spans="1:15">
      <c r="A6174" t="s">
        <v>28407</v>
      </c>
      <c r="B6174" t="s">
        <v>11615</v>
      </c>
      <c r="C6174" t="s">
        <v>15996</v>
      </c>
      <c r="D6174" t="s">
        <v>28408</v>
      </c>
      <c r="E6174" t="b">
        <v>0</v>
      </c>
      <c r="F6174" t="s">
        <v>11624</v>
      </c>
      <c r="G6174">
        <v>-5.1635099999999996</v>
      </c>
      <c r="H6174">
        <v>145.62299999999999</v>
      </c>
      <c r="I6174" t="s">
        <v>28409</v>
      </c>
      <c r="L6174">
        <v>0</v>
      </c>
      <c r="M6174">
        <v>0</v>
      </c>
      <c r="N6174">
        <v>0</v>
      </c>
      <c r="O6174" t="s">
        <v>11660</v>
      </c>
    </row>
    <row r="6175" spans="1:15">
      <c r="A6175" t="s">
        <v>27138</v>
      </c>
      <c r="B6175" t="s">
        <v>11637</v>
      </c>
      <c r="C6175" t="s">
        <v>28410</v>
      </c>
      <c r="D6175" t="s">
        <v>28411</v>
      </c>
      <c r="E6175" t="b">
        <v>0</v>
      </c>
      <c r="F6175" t="s">
        <v>11622</v>
      </c>
      <c r="L6175">
        <v>2</v>
      </c>
      <c r="M6175">
        <v>8</v>
      </c>
      <c r="N6175">
        <v>31</v>
      </c>
    </row>
    <row r="6176" spans="1:15">
      <c r="A6176" t="s">
        <v>28101</v>
      </c>
      <c r="B6176" t="s">
        <v>11637</v>
      </c>
      <c r="C6176" t="s">
        <v>28410</v>
      </c>
      <c r="D6176" t="s">
        <v>28412</v>
      </c>
      <c r="E6176" t="b">
        <v>0</v>
      </c>
      <c r="F6176" t="s">
        <v>11622</v>
      </c>
      <c r="L6176">
        <v>10</v>
      </c>
      <c r="M6176">
        <v>23</v>
      </c>
      <c r="N6176">
        <v>76</v>
      </c>
    </row>
    <row r="6177" spans="1:15">
      <c r="A6177" t="s">
        <v>28413</v>
      </c>
      <c r="B6177" t="s">
        <v>11644</v>
      </c>
      <c r="C6177" t="s">
        <v>16702</v>
      </c>
      <c r="D6177" t="s">
        <v>28414</v>
      </c>
      <c r="E6177" t="b">
        <v>0</v>
      </c>
      <c r="F6177" t="s">
        <v>11624</v>
      </c>
      <c r="G6177">
        <v>27.980558599999998</v>
      </c>
      <c r="H6177">
        <v>94.688495599999996</v>
      </c>
      <c r="I6177" t="s">
        <v>28415</v>
      </c>
      <c r="L6177">
        <v>0</v>
      </c>
      <c r="M6177">
        <v>0</v>
      </c>
      <c r="N6177">
        <v>0</v>
      </c>
      <c r="O6177" t="s">
        <v>11630</v>
      </c>
    </row>
    <row r="6178" spans="1:15">
      <c r="A6178" t="s">
        <v>15619</v>
      </c>
      <c r="B6178" t="s">
        <v>367</v>
      </c>
      <c r="C6178" t="s">
        <v>26212</v>
      </c>
      <c r="D6178" t="s">
        <v>28416</v>
      </c>
      <c r="E6178" t="b">
        <v>0</v>
      </c>
      <c r="F6178" t="s">
        <v>11624</v>
      </c>
      <c r="G6178">
        <v>-8.6107399999999998</v>
      </c>
      <c r="H6178">
        <v>125.959</v>
      </c>
      <c r="I6178" t="s">
        <v>28417</v>
      </c>
      <c r="L6178">
        <v>0</v>
      </c>
      <c r="M6178">
        <v>0</v>
      </c>
      <c r="N6178">
        <v>10</v>
      </c>
      <c r="O6178" t="s">
        <v>11976</v>
      </c>
    </row>
    <row r="6179" spans="1:15">
      <c r="A6179" t="s">
        <v>28418</v>
      </c>
      <c r="B6179" t="s">
        <v>367</v>
      </c>
      <c r="C6179" t="s">
        <v>21560</v>
      </c>
      <c r="D6179" t="s">
        <v>28419</v>
      </c>
      <c r="E6179" t="b">
        <v>0</v>
      </c>
      <c r="F6179" t="s">
        <v>11610</v>
      </c>
      <c r="L6179">
        <v>0</v>
      </c>
      <c r="M6179">
        <v>0</v>
      </c>
      <c r="N6179">
        <v>0</v>
      </c>
    </row>
    <row r="6180" spans="1:15">
      <c r="A6180" t="s">
        <v>24695</v>
      </c>
      <c r="B6180" t="s">
        <v>11834</v>
      </c>
      <c r="C6180" t="s">
        <v>11834</v>
      </c>
      <c r="D6180" t="s">
        <v>28420</v>
      </c>
      <c r="E6180" t="b">
        <v>0</v>
      </c>
      <c r="F6180" t="s">
        <v>11622</v>
      </c>
      <c r="L6180">
        <v>0</v>
      </c>
      <c r="M6180">
        <v>2</v>
      </c>
      <c r="N6180">
        <v>0</v>
      </c>
    </row>
    <row r="6181" spans="1:15">
      <c r="A6181" t="s">
        <v>28421</v>
      </c>
      <c r="B6181" t="s">
        <v>6742</v>
      </c>
      <c r="C6181" t="s">
        <v>12641</v>
      </c>
      <c r="D6181" t="s">
        <v>28422</v>
      </c>
      <c r="E6181" t="b">
        <v>0</v>
      </c>
      <c r="F6181" t="s">
        <v>11610</v>
      </c>
      <c r="L6181">
        <v>0</v>
      </c>
      <c r="M6181">
        <v>0</v>
      </c>
      <c r="N6181">
        <v>0</v>
      </c>
    </row>
    <row r="6182" spans="1:15">
      <c r="A6182" t="s">
        <v>28423</v>
      </c>
      <c r="B6182" t="s">
        <v>11637</v>
      </c>
      <c r="C6182" t="s">
        <v>8918</v>
      </c>
      <c r="D6182" t="s">
        <v>28424</v>
      </c>
      <c r="E6182" t="b">
        <v>0</v>
      </c>
      <c r="F6182" t="s">
        <v>11610</v>
      </c>
      <c r="L6182">
        <v>0</v>
      </c>
      <c r="M6182">
        <v>0</v>
      </c>
      <c r="N6182">
        <v>0</v>
      </c>
    </row>
    <row r="6183" spans="1:15">
      <c r="A6183" t="s">
        <v>28425</v>
      </c>
      <c r="B6183" t="s">
        <v>11644</v>
      </c>
      <c r="C6183" t="s">
        <v>28426</v>
      </c>
      <c r="D6183" t="s">
        <v>28427</v>
      </c>
      <c r="E6183" t="b">
        <v>0</v>
      </c>
      <c r="F6183" t="s">
        <v>11624</v>
      </c>
      <c r="G6183">
        <v>28.411000000000001</v>
      </c>
      <c r="H6183">
        <v>82.674899999999994</v>
      </c>
      <c r="I6183" t="s">
        <v>28428</v>
      </c>
      <c r="L6183">
        <v>0</v>
      </c>
      <c r="M6183">
        <v>0</v>
      </c>
      <c r="N6183">
        <v>2</v>
      </c>
      <c r="O6183" t="s">
        <v>15007</v>
      </c>
    </row>
    <row r="6184" spans="1:15">
      <c r="A6184" t="s">
        <v>28429</v>
      </c>
      <c r="B6184" t="s">
        <v>367</v>
      </c>
      <c r="C6184" t="s">
        <v>28430</v>
      </c>
      <c r="D6184" t="s">
        <v>28431</v>
      </c>
      <c r="E6184" t="b">
        <v>0</v>
      </c>
      <c r="F6184" t="s">
        <v>11610</v>
      </c>
      <c r="L6184">
        <v>0</v>
      </c>
      <c r="M6184">
        <v>0</v>
      </c>
      <c r="N6184">
        <v>0</v>
      </c>
    </row>
    <row r="6185" spans="1:15">
      <c r="A6185" t="s">
        <v>28432</v>
      </c>
      <c r="B6185" t="s">
        <v>11686</v>
      </c>
      <c r="C6185" t="s">
        <v>11687</v>
      </c>
      <c r="D6185" t="s">
        <v>28433</v>
      </c>
      <c r="E6185" t="b">
        <v>0</v>
      </c>
      <c r="F6185" t="s">
        <v>11610</v>
      </c>
      <c r="L6185">
        <v>0</v>
      </c>
      <c r="M6185">
        <v>0</v>
      </c>
      <c r="N6185">
        <v>0</v>
      </c>
    </row>
    <row r="6186" spans="1:15">
      <c r="A6186" t="s">
        <v>28434</v>
      </c>
      <c r="B6186" t="s">
        <v>14524</v>
      </c>
      <c r="C6186" t="s">
        <v>16455</v>
      </c>
      <c r="D6186" t="s">
        <v>28435</v>
      </c>
      <c r="E6186" t="b">
        <v>0</v>
      </c>
      <c r="F6186" t="s">
        <v>11610</v>
      </c>
      <c r="L6186">
        <v>0</v>
      </c>
      <c r="M6186">
        <v>0</v>
      </c>
      <c r="N6186">
        <v>0</v>
      </c>
    </row>
    <row r="6187" spans="1:15">
      <c r="A6187" t="s">
        <v>28436</v>
      </c>
      <c r="B6187" t="s">
        <v>11607</v>
      </c>
      <c r="C6187" t="s">
        <v>28437</v>
      </c>
      <c r="D6187" t="s">
        <v>28438</v>
      </c>
      <c r="E6187" t="b">
        <v>0</v>
      </c>
      <c r="F6187" t="s">
        <v>11610</v>
      </c>
      <c r="L6187">
        <v>0</v>
      </c>
      <c r="M6187">
        <v>0</v>
      </c>
      <c r="N6187">
        <v>0</v>
      </c>
    </row>
    <row r="6188" spans="1:15">
      <c r="A6188" t="s">
        <v>28439</v>
      </c>
      <c r="B6188" t="s">
        <v>13276</v>
      </c>
      <c r="C6188" t="s">
        <v>18350</v>
      </c>
      <c r="D6188" t="s">
        <v>28440</v>
      </c>
      <c r="E6188" t="b">
        <v>0</v>
      </c>
      <c r="F6188" t="s">
        <v>11610</v>
      </c>
      <c r="L6188">
        <v>0</v>
      </c>
      <c r="M6188">
        <v>0</v>
      </c>
      <c r="N6188">
        <v>0</v>
      </c>
    </row>
    <row r="6189" spans="1:15">
      <c r="A6189" t="s">
        <v>28441</v>
      </c>
      <c r="B6189" t="s">
        <v>1588</v>
      </c>
      <c r="C6189" t="s">
        <v>28045</v>
      </c>
      <c r="D6189" t="s">
        <v>28442</v>
      </c>
      <c r="E6189" t="b">
        <v>0</v>
      </c>
      <c r="F6189" t="s">
        <v>11624</v>
      </c>
      <c r="G6189">
        <v>-14.29546</v>
      </c>
      <c r="H6189">
        <v>126.27131</v>
      </c>
      <c r="I6189" t="s">
        <v>28443</v>
      </c>
      <c r="L6189">
        <v>0</v>
      </c>
      <c r="M6189">
        <v>0</v>
      </c>
      <c r="N6189">
        <v>0</v>
      </c>
      <c r="O6189" t="s">
        <v>12107</v>
      </c>
    </row>
    <row r="6190" spans="1:15">
      <c r="A6190" t="s">
        <v>28444</v>
      </c>
      <c r="B6190" t="s">
        <v>6742</v>
      </c>
      <c r="C6190" t="s">
        <v>28445</v>
      </c>
      <c r="D6190" t="s">
        <v>28446</v>
      </c>
      <c r="E6190" t="b">
        <v>0</v>
      </c>
      <c r="F6190" t="s">
        <v>11624</v>
      </c>
      <c r="G6190">
        <v>13.5337</v>
      </c>
      <c r="H6190">
        <v>-16.154399999999999</v>
      </c>
      <c r="I6190" t="s">
        <v>28447</v>
      </c>
      <c r="L6190">
        <v>0</v>
      </c>
      <c r="M6190">
        <v>0</v>
      </c>
      <c r="N6190">
        <v>0</v>
      </c>
      <c r="O6190" t="s">
        <v>28448</v>
      </c>
    </row>
    <row r="6191" spans="1:15">
      <c r="A6191" t="s">
        <v>28449</v>
      </c>
      <c r="B6191" t="s">
        <v>6742</v>
      </c>
      <c r="C6191" t="s">
        <v>16561</v>
      </c>
      <c r="D6191" t="s">
        <v>28450</v>
      </c>
      <c r="E6191" t="b">
        <v>0</v>
      </c>
      <c r="F6191" t="s">
        <v>11610</v>
      </c>
      <c r="L6191">
        <v>0</v>
      </c>
      <c r="M6191">
        <v>0</v>
      </c>
      <c r="N6191">
        <v>0</v>
      </c>
    </row>
    <row r="6192" spans="1:15">
      <c r="A6192" t="s">
        <v>28451</v>
      </c>
      <c r="B6192" t="s">
        <v>11607</v>
      </c>
      <c r="C6192" t="s">
        <v>16501</v>
      </c>
      <c r="D6192" t="s">
        <v>28452</v>
      </c>
      <c r="E6192" t="b">
        <v>0</v>
      </c>
      <c r="F6192" t="s">
        <v>11610</v>
      </c>
      <c r="L6192">
        <v>0</v>
      </c>
      <c r="M6192">
        <v>0</v>
      </c>
      <c r="N6192">
        <v>0</v>
      </c>
    </row>
    <row r="6193" spans="1:15">
      <c r="A6193" t="s">
        <v>28453</v>
      </c>
      <c r="B6193" t="s">
        <v>11981</v>
      </c>
      <c r="C6193" t="s">
        <v>13456</v>
      </c>
      <c r="D6193" t="s">
        <v>28454</v>
      </c>
      <c r="E6193" t="b">
        <v>0</v>
      </c>
      <c r="F6193" t="s">
        <v>11624</v>
      </c>
      <c r="G6193">
        <v>13.453443999999999</v>
      </c>
      <c r="H6193">
        <v>-16.580639000000001</v>
      </c>
      <c r="L6193">
        <v>0</v>
      </c>
      <c r="M6193">
        <v>0</v>
      </c>
      <c r="N6193">
        <v>0</v>
      </c>
      <c r="O6193" t="s">
        <v>28455</v>
      </c>
    </row>
    <row r="6194" spans="1:15">
      <c r="A6194" t="s">
        <v>28456</v>
      </c>
      <c r="B6194" t="s">
        <v>11607</v>
      </c>
      <c r="C6194" t="s">
        <v>18150</v>
      </c>
      <c r="D6194" t="s">
        <v>28457</v>
      </c>
      <c r="E6194" t="b">
        <v>0</v>
      </c>
      <c r="F6194" t="s">
        <v>11610</v>
      </c>
      <c r="L6194">
        <v>0</v>
      </c>
      <c r="M6194">
        <v>0</v>
      </c>
      <c r="N6194">
        <v>0</v>
      </c>
    </row>
    <row r="6195" spans="1:15">
      <c r="A6195" t="s">
        <v>28458</v>
      </c>
      <c r="B6195" t="s">
        <v>13360</v>
      </c>
      <c r="C6195" t="s">
        <v>13360</v>
      </c>
      <c r="D6195" t="s">
        <v>28459</v>
      </c>
      <c r="E6195" t="b">
        <v>0</v>
      </c>
      <c r="F6195" t="s">
        <v>11624</v>
      </c>
      <c r="G6195">
        <v>-3.2913380999999999</v>
      </c>
      <c r="H6195">
        <v>-45.183518499999998</v>
      </c>
      <c r="L6195">
        <v>0</v>
      </c>
      <c r="M6195">
        <v>0</v>
      </c>
      <c r="N6195">
        <v>0</v>
      </c>
      <c r="O6195" t="s">
        <v>11969</v>
      </c>
    </row>
    <row r="6196" spans="1:15">
      <c r="A6196" t="s">
        <v>28460</v>
      </c>
      <c r="B6196" t="s">
        <v>367</v>
      </c>
      <c r="C6196" t="s">
        <v>17265</v>
      </c>
      <c r="D6196" t="s">
        <v>28461</v>
      </c>
      <c r="E6196" t="b">
        <v>0</v>
      </c>
      <c r="F6196" t="s">
        <v>11610</v>
      </c>
      <c r="L6196">
        <v>0</v>
      </c>
      <c r="M6196">
        <v>0</v>
      </c>
      <c r="N6196">
        <v>0</v>
      </c>
    </row>
    <row r="6197" spans="1:15">
      <c r="A6197" t="s">
        <v>28462</v>
      </c>
      <c r="B6197" t="s">
        <v>11637</v>
      </c>
      <c r="C6197" t="s">
        <v>1274</v>
      </c>
      <c r="D6197" t="s">
        <v>28463</v>
      </c>
      <c r="E6197" t="b">
        <v>0</v>
      </c>
      <c r="F6197" t="s">
        <v>11624</v>
      </c>
      <c r="G6197">
        <v>21.069700000000001</v>
      </c>
      <c r="H6197">
        <v>73.683899999999994</v>
      </c>
      <c r="I6197" t="s">
        <v>28464</v>
      </c>
      <c r="L6197">
        <v>0</v>
      </c>
      <c r="M6197">
        <v>0</v>
      </c>
      <c r="N6197">
        <v>0</v>
      </c>
      <c r="O6197" t="s">
        <v>11630</v>
      </c>
    </row>
    <row r="6198" spans="1:15">
      <c r="A6198" t="s">
        <v>28465</v>
      </c>
      <c r="B6198" t="s">
        <v>10597</v>
      </c>
      <c r="C6198" t="s">
        <v>28466</v>
      </c>
      <c r="D6198" t="s">
        <v>28467</v>
      </c>
      <c r="E6198" t="b">
        <v>0</v>
      </c>
      <c r="F6198" t="s">
        <v>11624</v>
      </c>
      <c r="G6198">
        <v>-29.903700000000001</v>
      </c>
      <c r="H6198">
        <v>149.54300000000001</v>
      </c>
      <c r="I6198" t="s">
        <v>28468</v>
      </c>
      <c r="L6198">
        <v>0</v>
      </c>
      <c r="M6198">
        <v>0</v>
      </c>
      <c r="N6198">
        <v>6</v>
      </c>
      <c r="O6198" t="s">
        <v>12107</v>
      </c>
    </row>
    <row r="6199" spans="1:15">
      <c r="A6199" t="s">
        <v>28469</v>
      </c>
      <c r="B6199" t="s">
        <v>13571</v>
      </c>
      <c r="C6199" t="s">
        <v>13572</v>
      </c>
      <c r="D6199" t="s">
        <v>28470</v>
      </c>
      <c r="E6199" t="b">
        <v>0</v>
      </c>
      <c r="F6199" t="s">
        <v>11610</v>
      </c>
      <c r="L6199">
        <v>0</v>
      </c>
      <c r="M6199">
        <v>0</v>
      </c>
      <c r="N6199">
        <v>0</v>
      </c>
    </row>
    <row r="6200" spans="1:15">
      <c r="A6200" t="s">
        <v>28471</v>
      </c>
      <c r="B6200" t="s">
        <v>11607</v>
      </c>
      <c r="C6200" t="s">
        <v>23988</v>
      </c>
      <c r="D6200" t="s">
        <v>28472</v>
      </c>
      <c r="E6200" t="b">
        <v>0</v>
      </c>
      <c r="F6200" t="s">
        <v>11610</v>
      </c>
      <c r="L6200">
        <v>0</v>
      </c>
      <c r="M6200">
        <v>0</v>
      </c>
      <c r="N6200">
        <v>0</v>
      </c>
    </row>
    <row r="6201" spans="1:15">
      <c r="A6201" t="s">
        <v>28473</v>
      </c>
      <c r="B6201" t="s">
        <v>12133</v>
      </c>
      <c r="C6201" t="s">
        <v>28474</v>
      </c>
      <c r="D6201" t="s">
        <v>28475</v>
      </c>
      <c r="E6201" t="b">
        <v>0</v>
      </c>
      <c r="F6201" t="s">
        <v>11624</v>
      </c>
      <c r="G6201">
        <v>1.3430800000000001</v>
      </c>
      <c r="H6201">
        <v>127.506</v>
      </c>
      <c r="I6201" t="s">
        <v>28476</v>
      </c>
      <c r="L6201">
        <v>0</v>
      </c>
      <c r="M6201">
        <v>0</v>
      </c>
      <c r="N6201">
        <v>0</v>
      </c>
      <c r="O6201" t="s">
        <v>11768</v>
      </c>
    </row>
    <row r="6202" spans="1:15">
      <c r="A6202" t="s">
        <v>28477</v>
      </c>
      <c r="B6202" t="s">
        <v>6742</v>
      </c>
      <c r="C6202" t="s">
        <v>28478</v>
      </c>
      <c r="D6202" t="s">
        <v>28479</v>
      </c>
      <c r="E6202" t="b">
        <v>0</v>
      </c>
      <c r="F6202" t="s">
        <v>11624</v>
      </c>
      <c r="G6202">
        <v>10.9346</v>
      </c>
      <c r="H6202">
        <v>9.2484300000000008</v>
      </c>
      <c r="I6202" t="s">
        <v>28480</v>
      </c>
      <c r="L6202">
        <v>0</v>
      </c>
      <c r="M6202">
        <v>0</v>
      </c>
      <c r="N6202">
        <v>2</v>
      </c>
      <c r="O6202" t="s">
        <v>11693</v>
      </c>
    </row>
    <row r="6203" spans="1:15">
      <c r="A6203" t="s">
        <v>28481</v>
      </c>
      <c r="B6203" t="s">
        <v>6742</v>
      </c>
      <c r="C6203" t="s">
        <v>28477</v>
      </c>
      <c r="D6203" t="s">
        <v>28482</v>
      </c>
      <c r="E6203" t="b">
        <v>0</v>
      </c>
      <c r="F6203" t="s">
        <v>11610</v>
      </c>
      <c r="L6203">
        <v>0</v>
      </c>
      <c r="M6203">
        <v>0</v>
      </c>
      <c r="N6203">
        <v>0</v>
      </c>
    </row>
    <row r="6204" spans="1:15">
      <c r="A6204" t="s">
        <v>1814</v>
      </c>
      <c r="B6204" t="s">
        <v>13571</v>
      </c>
      <c r="C6204" t="s">
        <v>24273</v>
      </c>
      <c r="D6204" t="s">
        <v>1813</v>
      </c>
      <c r="E6204" t="b">
        <v>0</v>
      </c>
      <c r="F6204" t="s">
        <v>11624</v>
      </c>
      <c r="G6204">
        <v>6.2764499999999996</v>
      </c>
      <c r="H6204">
        <v>37.238079999999997</v>
      </c>
      <c r="I6204" t="s">
        <v>1816</v>
      </c>
      <c r="L6204">
        <v>0</v>
      </c>
      <c r="M6204">
        <v>0</v>
      </c>
      <c r="N6204">
        <v>0</v>
      </c>
      <c r="O6204" t="s">
        <v>11625</v>
      </c>
    </row>
    <row r="6205" spans="1:15">
      <c r="A6205" t="s">
        <v>28483</v>
      </c>
      <c r="B6205" t="s">
        <v>11627</v>
      </c>
      <c r="C6205" t="s">
        <v>11627</v>
      </c>
      <c r="D6205" t="s">
        <v>28484</v>
      </c>
      <c r="E6205" t="b">
        <v>1</v>
      </c>
      <c r="F6205" t="s">
        <v>11624</v>
      </c>
      <c r="G6205">
        <v>6.5764500000000004</v>
      </c>
      <c r="H6205">
        <v>37.138100000000001</v>
      </c>
      <c r="I6205" t="s">
        <v>28485</v>
      </c>
      <c r="L6205">
        <v>0</v>
      </c>
      <c r="M6205">
        <v>0</v>
      </c>
      <c r="N6205">
        <v>0</v>
      </c>
      <c r="O6205" t="s">
        <v>11625</v>
      </c>
    </row>
    <row r="6206" spans="1:15">
      <c r="A6206" t="s">
        <v>28486</v>
      </c>
      <c r="B6206" t="s">
        <v>11607</v>
      </c>
      <c r="C6206" t="s">
        <v>25661</v>
      </c>
      <c r="D6206" t="s">
        <v>28487</v>
      </c>
      <c r="E6206" t="b">
        <v>0</v>
      </c>
      <c r="F6206" t="s">
        <v>11610</v>
      </c>
      <c r="L6206">
        <v>0</v>
      </c>
      <c r="M6206">
        <v>0</v>
      </c>
      <c r="N6206">
        <v>0</v>
      </c>
    </row>
    <row r="6207" spans="1:15">
      <c r="A6207" t="s">
        <v>28488</v>
      </c>
      <c r="B6207" t="s">
        <v>11637</v>
      </c>
      <c r="C6207" t="s">
        <v>28489</v>
      </c>
      <c r="D6207" t="s">
        <v>28490</v>
      </c>
      <c r="E6207" t="b">
        <v>0</v>
      </c>
      <c r="F6207" t="s">
        <v>11610</v>
      </c>
      <c r="L6207">
        <v>0</v>
      </c>
      <c r="M6207">
        <v>0</v>
      </c>
      <c r="N6207">
        <v>0</v>
      </c>
    </row>
    <row r="6208" spans="1:15">
      <c r="A6208" t="s">
        <v>28491</v>
      </c>
      <c r="B6208" t="s">
        <v>11644</v>
      </c>
      <c r="C6208" t="s">
        <v>28492</v>
      </c>
      <c r="D6208" t="s">
        <v>28493</v>
      </c>
      <c r="E6208" t="b">
        <v>0</v>
      </c>
      <c r="F6208" t="s">
        <v>11610</v>
      </c>
      <c r="I6208" t="s">
        <v>28494</v>
      </c>
      <c r="L6208">
        <v>0</v>
      </c>
      <c r="M6208">
        <v>0</v>
      </c>
      <c r="N6208">
        <v>0</v>
      </c>
    </row>
    <row r="6209" spans="1:15">
      <c r="A6209" t="s">
        <v>28495</v>
      </c>
      <c r="B6209" t="s">
        <v>10597</v>
      </c>
      <c r="C6209" t="s">
        <v>28496</v>
      </c>
      <c r="D6209" t="s">
        <v>28497</v>
      </c>
      <c r="E6209" t="b">
        <v>0</v>
      </c>
      <c r="F6209" t="s">
        <v>11624</v>
      </c>
      <c r="G6209">
        <v>-37.049999999999997</v>
      </c>
      <c r="H6209">
        <v>148.93</v>
      </c>
      <c r="I6209" t="s">
        <v>28498</v>
      </c>
      <c r="L6209">
        <v>0</v>
      </c>
      <c r="M6209">
        <v>0</v>
      </c>
      <c r="N6209">
        <v>0</v>
      </c>
      <c r="O6209" t="s">
        <v>12107</v>
      </c>
    </row>
    <row r="6210" spans="1:15">
      <c r="A6210" t="s">
        <v>28499</v>
      </c>
      <c r="B6210" t="s">
        <v>10597</v>
      </c>
      <c r="C6210" t="s">
        <v>23752</v>
      </c>
      <c r="D6210" t="s">
        <v>28500</v>
      </c>
      <c r="E6210" t="b">
        <v>0</v>
      </c>
      <c r="F6210" t="s">
        <v>11610</v>
      </c>
      <c r="L6210">
        <v>0</v>
      </c>
      <c r="M6210">
        <v>0</v>
      </c>
      <c r="N6210">
        <v>0</v>
      </c>
    </row>
    <row r="6211" spans="1:15">
      <c r="A6211" t="s">
        <v>28501</v>
      </c>
      <c r="B6211" t="s">
        <v>6742</v>
      </c>
      <c r="C6211" t="s">
        <v>21305</v>
      </c>
      <c r="D6211" t="s">
        <v>28502</v>
      </c>
      <c r="E6211" t="b">
        <v>0</v>
      </c>
      <c r="F6211" t="s">
        <v>11624</v>
      </c>
      <c r="G6211">
        <v>9.9319500000000005</v>
      </c>
      <c r="H6211">
        <v>9.09741</v>
      </c>
      <c r="I6211" t="s">
        <v>28503</v>
      </c>
      <c r="L6211">
        <v>0</v>
      </c>
      <c r="M6211">
        <v>0</v>
      </c>
      <c r="N6211">
        <v>0</v>
      </c>
      <c r="O6211" t="s">
        <v>11693</v>
      </c>
    </row>
    <row r="6212" spans="1:15">
      <c r="A6212" t="s">
        <v>28504</v>
      </c>
      <c r="B6212" t="s">
        <v>6742</v>
      </c>
      <c r="C6212" t="s">
        <v>28505</v>
      </c>
      <c r="D6212" t="s">
        <v>28506</v>
      </c>
      <c r="E6212" t="b">
        <v>0</v>
      </c>
      <c r="F6212" t="s">
        <v>11610</v>
      </c>
      <c r="L6212">
        <v>0</v>
      </c>
      <c r="M6212">
        <v>0</v>
      </c>
      <c r="N6212">
        <v>0</v>
      </c>
    </row>
    <row r="6213" spans="1:15">
      <c r="A6213" t="s">
        <v>28507</v>
      </c>
      <c r="B6213" t="s">
        <v>6742</v>
      </c>
      <c r="C6213" t="s">
        <v>4118</v>
      </c>
      <c r="D6213" t="s">
        <v>28508</v>
      </c>
      <c r="E6213" t="b">
        <v>0</v>
      </c>
      <c r="F6213" t="s">
        <v>11610</v>
      </c>
      <c r="L6213">
        <v>0</v>
      </c>
      <c r="M6213">
        <v>0</v>
      </c>
      <c r="N6213">
        <v>0</v>
      </c>
    </row>
    <row r="6214" spans="1:15">
      <c r="A6214" t="s">
        <v>28509</v>
      </c>
      <c r="B6214" t="s">
        <v>13276</v>
      </c>
      <c r="C6214" t="s">
        <v>16406</v>
      </c>
      <c r="D6214" t="s">
        <v>28510</v>
      </c>
      <c r="E6214" t="b">
        <v>0</v>
      </c>
      <c r="F6214" t="s">
        <v>11610</v>
      </c>
      <c r="L6214">
        <v>0</v>
      </c>
      <c r="M6214">
        <v>0</v>
      </c>
      <c r="N6214">
        <v>0</v>
      </c>
    </row>
    <row r="6215" spans="1:15">
      <c r="A6215" t="s">
        <v>25200</v>
      </c>
      <c r="B6215" t="s">
        <v>4236</v>
      </c>
      <c r="C6215" t="s">
        <v>13588</v>
      </c>
      <c r="D6215" t="s">
        <v>28511</v>
      </c>
      <c r="E6215" t="b">
        <v>0</v>
      </c>
      <c r="F6215" t="s">
        <v>11624</v>
      </c>
      <c r="G6215">
        <v>-21.855499999999999</v>
      </c>
      <c r="H6215">
        <v>22.200299999999999</v>
      </c>
      <c r="I6215" t="s">
        <v>28512</v>
      </c>
      <c r="L6215">
        <v>0</v>
      </c>
      <c r="M6215">
        <v>0</v>
      </c>
      <c r="N6215">
        <v>4</v>
      </c>
      <c r="O6215" t="s">
        <v>13927</v>
      </c>
    </row>
    <row r="6216" spans="1:15">
      <c r="A6216" t="s">
        <v>28513</v>
      </c>
      <c r="B6216" t="s">
        <v>4236</v>
      </c>
      <c r="C6216" t="s">
        <v>25200</v>
      </c>
      <c r="D6216" t="s">
        <v>28514</v>
      </c>
      <c r="E6216" t="b">
        <v>0</v>
      </c>
      <c r="F6216" t="s">
        <v>11610</v>
      </c>
      <c r="L6216">
        <v>0</v>
      </c>
      <c r="M6216">
        <v>0</v>
      </c>
      <c r="N6216">
        <v>0</v>
      </c>
    </row>
    <row r="6217" spans="1:15">
      <c r="A6217" t="s">
        <v>28515</v>
      </c>
      <c r="B6217" t="s">
        <v>4236</v>
      </c>
      <c r="C6217" t="s">
        <v>12592</v>
      </c>
      <c r="D6217" t="s">
        <v>28516</v>
      </c>
      <c r="E6217" t="b">
        <v>0</v>
      </c>
      <c r="F6217" t="s">
        <v>11610</v>
      </c>
      <c r="L6217">
        <v>0</v>
      </c>
      <c r="M6217">
        <v>0</v>
      </c>
      <c r="N6217">
        <v>0</v>
      </c>
    </row>
    <row r="6218" spans="1:15">
      <c r="A6218" t="s">
        <v>28517</v>
      </c>
      <c r="B6218" t="s">
        <v>367</v>
      </c>
      <c r="C6218" t="s">
        <v>19527</v>
      </c>
      <c r="D6218" t="s">
        <v>28518</v>
      </c>
      <c r="E6218" t="b">
        <v>0</v>
      </c>
      <c r="F6218" t="s">
        <v>11624</v>
      </c>
      <c r="G6218">
        <v>5.5758299999999998</v>
      </c>
      <c r="H6218">
        <v>116.145</v>
      </c>
      <c r="I6218" t="s">
        <v>28519</v>
      </c>
      <c r="L6218">
        <v>0</v>
      </c>
      <c r="M6218">
        <v>0</v>
      </c>
      <c r="N6218">
        <v>0</v>
      </c>
      <c r="O6218" t="s">
        <v>11672</v>
      </c>
    </row>
    <row r="6219" spans="1:15">
      <c r="A6219" t="s">
        <v>28520</v>
      </c>
      <c r="B6219" t="s">
        <v>10597</v>
      </c>
      <c r="C6219" t="s">
        <v>28496</v>
      </c>
      <c r="D6219" t="s">
        <v>28521</v>
      </c>
      <c r="E6219" t="b">
        <v>0</v>
      </c>
      <c r="F6219" t="s">
        <v>11624</v>
      </c>
      <c r="G6219">
        <v>-37.85</v>
      </c>
      <c r="H6219">
        <v>147.58333300000001</v>
      </c>
      <c r="I6219" t="s">
        <v>28522</v>
      </c>
      <c r="L6219">
        <v>0</v>
      </c>
      <c r="M6219">
        <v>0</v>
      </c>
      <c r="N6219">
        <v>0</v>
      </c>
      <c r="O6219" t="s">
        <v>12107</v>
      </c>
    </row>
    <row r="6220" spans="1:15">
      <c r="A6220" t="s">
        <v>28496</v>
      </c>
      <c r="B6220" t="s">
        <v>10597</v>
      </c>
      <c r="C6220" t="s">
        <v>10597</v>
      </c>
      <c r="D6220" t="s">
        <v>28523</v>
      </c>
      <c r="E6220" t="b">
        <v>0</v>
      </c>
      <c r="F6220" t="s">
        <v>11622</v>
      </c>
      <c r="L6220">
        <v>0</v>
      </c>
      <c r="M6220">
        <v>2</v>
      </c>
      <c r="N6220">
        <v>0</v>
      </c>
    </row>
    <row r="6221" spans="1:15">
      <c r="A6221" t="s">
        <v>28524</v>
      </c>
      <c r="B6221" t="s">
        <v>11644</v>
      </c>
      <c r="C6221" t="s">
        <v>126</v>
      </c>
      <c r="D6221" t="s">
        <v>28525</v>
      </c>
      <c r="E6221" t="b">
        <v>0</v>
      </c>
      <c r="F6221" t="s">
        <v>11610</v>
      </c>
      <c r="L6221">
        <v>0</v>
      </c>
      <c r="M6221">
        <v>0</v>
      </c>
      <c r="N6221">
        <v>0</v>
      </c>
    </row>
    <row r="6222" spans="1:15">
      <c r="A6222" t="s">
        <v>22270</v>
      </c>
      <c r="B6222" t="s">
        <v>11644</v>
      </c>
      <c r="C6222" t="s">
        <v>28526</v>
      </c>
      <c r="D6222" t="s">
        <v>28527</v>
      </c>
      <c r="E6222" t="b">
        <v>0</v>
      </c>
      <c r="F6222" t="s">
        <v>11624</v>
      </c>
      <c r="G6222">
        <v>27.989599999999999</v>
      </c>
      <c r="H6222">
        <v>115.166</v>
      </c>
      <c r="I6222" t="s">
        <v>28528</v>
      </c>
      <c r="L6222">
        <v>0</v>
      </c>
      <c r="M6222">
        <v>0</v>
      </c>
      <c r="N6222">
        <v>8</v>
      </c>
      <c r="O6222" t="s">
        <v>11905</v>
      </c>
    </row>
    <row r="6223" spans="1:15">
      <c r="A6223" t="s">
        <v>28529</v>
      </c>
      <c r="B6223" t="s">
        <v>11637</v>
      </c>
      <c r="C6223" t="s">
        <v>3565</v>
      </c>
      <c r="D6223" t="s">
        <v>28530</v>
      </c>
      <c r="E6223" t="b">
        <v>0</v>
      </c>
      <c r="F6223" t="s">
        <v>11610</v>
      </c>
      <c r="L6223">
        <v>0</v>
      </c>
      <c r="M6223">
        <v>0</v>
      </c>
      <c r="N6223">
        <v>0</v>
      </c>
    </row>
    <row r="6224" spans="1:15">
      <c r="A6224" t="s">
        <v>25111</v>
      </c>
      <c r="B6224" t="s">
        <v>6742</v>
      </c>
      <c r="C6224" t="s">
        <v>15584</v>
      </c>
      <c r="D6224" t="s">
        <v>28531</v>
      </c>
      <c r="E6224" t="b">
        <v>0</v>
      </c>
      <c r="F6224" t="s">
        <v>11622</v>
      </c>
      <c r="L6224">
        <v>1</v>
      </c>
      <c r="M6224">
        <v>3</v>
      </c>
      <c r="N6224">
        <v>8</v>
      </c>
    </row>
    <row r="6225" spans="1:15">
      <c r="A6225" t="s">
        <v>473</v>
      </c>
      <c r="B6225" t="s">
        <v>6742</v>
      </c>
      <c r="C6225" t="s">
        <v>28532</v>
      </c>
      <c r="D6225" t="s">
        <v>472</v>
      </c>
      <c r="E6225" t="b">
        <v>0</v>
      </c>
      <c r="F6225" t="s">
        <v>11624</v>
      </c>
      <c r="G6225">
        <v>0.66883999999999999</v>
      </c>
      <c r="H6225">
        <v>32.151530000000001</v>
      </c>
      <c r="I6225" t="s">
        <v>474</v>
      </c>
      <c r="L6225">
        <v>0</v>
      </c>
      <c r="M6225">
        <v>0</v>
      </c>
      <c r="N6225">
        <v>4</v>
      </c>
      <c r="O6225" t="s">
        <v>25786</v>
      </c>
    </row>
    <row r="6226" spans="1:15">
      <c r="A6226" t="s">
        <v>28533</v>
      </c>
      <c r="B6226" t="s">
        <v>6742</v>
      </c>
      <c r="C6226" t="s">
        <v>1780</v>
      </c>
      <c r="D6226" t="s">
        <v>28534</v>
      </c>
      <c r="E6226" t="b">
        <v>0</v>
      </c>
      <c r="F6226" t="s">
        <v>11610</v>
      </c>
      <c r="L6226">
        <v>0</v>
      </c>
      <c r="M6226">
        <v>0</v>
      </c>
      <c r="N6226">
        <v>0</v>
      </c>
    </row>
    <row r="6227" spans="1:15">
      <c r="A6227" t="s">
        <v>28535</v>
      </c>
      <c r="B6227" t="s">
        <v>6742</v>
      </c>
      <c r="C6227" t="s">
        <v>28536</v>
      </c>
      <c r="D6227" t="s">
        <v>28537</v>
      </c>
      <c r="E6227" t="b">
        <v>0</v>
      </c>
      <c r="F6227" t="s">
        <v>11610</v>
      </c>
      <c r="L6227">
        <v>0</v>
      </c>
      <c r="M6227">
        <v>0</v>
      </c>
      <c r="N6227">
        <v>0</v>
      </c>
    </row>
    <row r="6228" spans="1:15">
      <c r="A6228" t="s">
        <v>28538</v>
      </c>
      <c r="B6228" t="s">
        <v>367</v>
      </c>
      <c r="C6228" t="s">
        <v>26153</v>
      </c>
      <c r="D6228" t="s">
        <v>28539</v>
      </c>
      <c r="E6228" t="b">
        <v>0</v>
      </c>
      <c r="F6228" t="s">
        <v>11624</v>
      </c>
      <c r="G6228">
        <v>-0.42618</v>
      </c>
      <c r="H6228">
        <v>127.976</v>
      </c>
      <c r="I6228" t="s">
        <v>28540</v>
      </c>
      <c r="L6228">
        <v>0</v>
      </c>
      <c r="M6228">
        <v>0</v>
      </c>
      <c r="N6228">
        <v>0</v>
      </c>
      <c r="O6228" t="s">
        <v>11768</v>
      </c>
    </row>
    <row r="6229" spans="1:15">
      <c r="A6229" t="s">
        <v>28541</v>
      </c>
      <c r="B6229" t="s">
        <v>11637</v>
      </c>
      <c r="C6229" t="s">
        <v>15714</v>
      </c>
      <c r="D6229" t="s">
        <v>28542</v>
      </c>
      <c r="E6229" t="b">
        <v>0</v>
      </c>
      <c r="F6229" t="s">
        <v>11610</v>
      </c>
      <c r="L6229">
        <v>0</v>
      </c>
      <c r="M6229">
        <v>0</v>
      </c>
      <c r="N6229">
        <v>0</v>
      </c>
    </row>
    <row r="6230" spans="1:15">
      <c r="A6230" t="s">
        <v>28543</v>
      </c>
      <c r="B6230" t="s">
        <v>11637</v>
      </c>
      <c r="C6230" t="s">
        <v>15309</v>
      </c>
      <c r="D6230" t="s">
        <v>28544</v>
      </c>
      <c r="E6230" t="b">
        <v>0</v>
      </c>
      <c r="F6230" t="s">
        <v>11610</v>
      </c>
      <c r="L6230">
        <v>0</v>
      </c>
      <c r="M6230">
        <v>0</v>
      </c>
      <c r="N6230">
        <v>0</v>
      </c>
    </row>
    <row r="6231" spans="1:15">
      <c r="A6231" t="s">
        <v>28545</v>
      </c>
      <c r="B6231" t="s">
        <v>11644</v>
      </c>
      <c r="C6231" t="s">
        <v>28546</v>
      </c>
      <c r="D6231" t="s">
        <v>28547</v>
      </c>
      <c r="E6231" t="b">
        <v>0</v>
      </c>
      <c r="F6231" t="s">
        <v>11624</v>
      </c>
      <c r="G6231">
        <v>24.511299999999999</v>
      </c>
      <c r="H6231">
        <v>94.168099999999995</v>
      </c>
      <c r="I6231" t="s">
        <v>28548</v>
      </c>
      <c r="L6231">
        <v>0</v>
      </c>
      <c r="M6231">
        <v>0</v>
      </c>
      <c r="N6231">
        <v>0</v>
      </c>
      <c r="O6231" t="s">
        <v>13598</v>
      </c>
    </row>
    <row r="6232" spans="1:15">
      <c r="A6232" t="s">
        <v>28549</v>
      </c>
      <c r="B6232" t="s">
        <v>28550</v>
      </c>
      <c r="C6232" t="s">
        <v>28551</v>
      </c>
      <c r="D6232" t="s">
        <v>28552</v>
      </c>
      <c r="E6232" t="b">
        <v>0</v>
      </c>
      <c r="F6232" t="s">
        <v>11624</v>
      </c>
      <c r="G6232">
        <v>-17.544599999999999</v>
      </c>
      <c r="H6232">
        <v>139.42599999999999</v>
      </c>
      <c r="I6232" t="s">
        <v>28553</v>
      </c>
      <c r="L6232">
        <v>0</v>
      </c>
      <c r="M6232">
        <v>0</v>
      </c>
      <c r="N6232">
        <v>2</v>
      </c>
      <c r="O6232" t="s">
        <v>12107</v>
      </c>
    </row>
    <row r="6233" spans="1:15">
      <c r="A6233" t="s">
        <v>28554</v>
      </c>
      <c r="B6233" t="s">
        <v>10597</v>
      </c>
      <c r="C6233" t="s">
        <v>18772</v>
      </c>
      <c r="D6233" t="s">
        <v>28555</v>
      </c>
      <c r="E6233" t="b">
        <v>0</v>
      </c>
      <c r="F6233" t="s">
        <v>11624</v>
      </c>
      <c r="G6233">
        <v>-22.7637</v>
      </c>
      <c r="H6233">
        <v>149.416</v>
      </c>
      <c r="I6233" t="s">
        <v>28556</v>
      </c>
      <c r="L6233">
        <v>0</v>
      </c>
      <c r="M6233">
        <v>0</v>
      </c>
      <c r="N6233">
        <v>0</v>
      </c>
      <c r="O6233" t="s">
        <v>12107</v>
      </c>
    </row>
    <row r="6234" spans="1:15">
      <c r="A6234" t="s">
        <v>28557</v>
      </c>
      <c r="B6234" t="s">
        <v>15146</v>
      </c>
      <c r="C6234" t="s">
        <v>28558</v>
      </c>
      <c r="D6234" t="s">
        <v>28559</v>
      </c>
      <c r="E6234" t="b">
        <v>0</v>
      </c>
      <c r="F6234" t="s">
        <v>11610</v>
      </c>
      <c r="L6234">
        <v>0</v>
      </c>
      <c r="M6234">
        <v>0</v>
      </c>
      <c r="N6234">
        <v>0</v>
      </c>
    </row>
    <row r="6235" spans="1:15">
      <c r="A6235" t="s">
        <v>28560</v>
      </c>
      <c r="B6235" t="s">
        <v>11615</v>
      </c>
      <c r="C6235" t="s">
        <v>16000</v>
      </c>
      <c r="D6235" t="s">
        <v>28561</v>
      </c>
      <c r="E6235" t="b">
        <v>0</v>
      </c>
      <c r="F6235" t="s">
        <v>11624</v>
      </c>
      <c r="G6235">
        <v>-5.5794499999999996</v>
      </c>
      <c r="H6235">
        <v>146.13050000000001</v>
      </c>
      <c r="I6235" t="s">
        <v>28562</v>
      </c>
      <c r="L6235">
        <v>0</v>
      </c>
      <c r="M6235">
        <v>0</v>
      </c>
      <c r="N6235">
        <v>0</v>
      </c>
      <c r="O6235" t="s">
        <v>11660</v>
      </c>
    </row>
    <row r="6236" spans="1:15">
      <c r="A6236" t="s">
        <v>28546</v>
      </c>
      <c r="B6236" t="s">
        <v>11644</v>
      </c>
      <c r="C6236" t="s">
        <v>28563</v>
      </c>
      <c r="D6236" t="s">
        <v>28564</v>
      </c>
      <c r="E6236" t="b">
        <v>0</v>
      </c>
      <c r="F6236" t="s">
        <v>11622</v>
      </c>
      <c r="L6236">
        <v>0</v>
      </c>
      <c r="M6236">
        <v>2</v>
      </c>
      <c r="N6236">
        <v>0</v>
      </c>
    </row>
    <row r="6237" spans="1:15">
      <c r="A6237" t="s">
        <v>28565</v>
      </c>
      <c r="B6237" t="s">
        <v>11644</v>
      </c>
      <c r="C6237" t="s">
        <v>25563</v>
      </c>
      <c r="D6237" t="s">
        <v>28566</v>
      </c>
      <c r="E6237" t="b">
        <v>0</v>
      </c>
      <c r="F6237" t="s">
        <v>11624</v>
      </c>
      <c r="L6237">
        <v>0</v>
      </c>
      <c r="M6237">
        <v>0</v>
      </c>
      <c r="N6237">
        <v>0</v>
      </c>
      <c r="O6237" t="s">
        <v>11905</v>
      </c>
    </row>
    <row r="6238" spans="1:15">
      <c r="A6238" t="s">
        <v>28567</v>
      </c>
      <c r="B6238" t="s">
        <v>331</v>
      </c>
      <c r="C6238" t="s">
        <v>22045</v>
      </c>
      <c r="D6238" t="s">
        <v>28568</v>
      </c>
      <c r="E6238" t="b">
        <v>0</v>
      </c>
      <c r="F6238" t="s">
        <v>11610</v>
      </c>
      <c r="L6238">
        <v>0</v>
      </c>
      <c r="M6238">
        <v>0</v>
      </c>
      <c r="N6238">
        <v>0</v>
      </c>
    </row>
    <row r="6239" spans="1:15">
      <c r="A6239" t="s">
        <v>28569</v>
      </c>
      <c r="B6239" t="s">
        <v>13571</v>
      </c>
      <c r="C6239" t="s">
        <v>28570</v>
      </c>
      <c r="D6239" t="s">
        <v>28571</v>
      </c>
      <c r="E6239" t="b">
        <v>0</v>
      </c>
      <c r="F6239" t="s">
        <v>11610</v>
      </c>
      <c r="L6239">
        <v>0</v>
      </c>
      <c r="M6239">
        <v>0</v>
      </c>
      <c r="N6239">
        <v>0</v>
      </c>
    </row>
    <row r="6240" spans="1:15">
      <c r="A6240" t="s">
        <v>28572</v>
      </c>
      <c r="B6240" t="s">
        <v>12686</v>
      </c>
      <c r="C6240" t="s">
        <v>28573</v>
      </c>
      <c r="D6240" t="s">
        <v>28574</v>
      </c>
      <c r="E6240" t="b">
        <v>0</v>
      </c>
      <c r="F6240" t="s">
        <v>11610</v>
      </c>
      <c r="L6240">
        <v>0</v>
      </c>
      <c r="M6240">
        <v>0</v>
      </c>
      <c r="N6240">
        <v>0</v>
      </c>
    </row>
    <row r="6241" spans="1:15">
      <c r="A6241" t="s">
        <v>28575</v>
      </c>
      <c r="B6241" t="s">
        <v>367</v>
      </c>
      <c r="C6241" t="s">
        <v>28576</v>
      </c>
      <c r="D6241" t="s">
        <v>28577</v>
      </c>
      <c r="E6241" t="b">
        <v>0</v>
      </c>
      <c r="F6241" t="s">
        <v>11610</v>
      </c>
      <c r="L6241">
        <v>0</v>
      </c>
      <c r="M6241">
        <v>0</v>
      </c>
      <c r="N6241">
        <v>0</v>
      </c>
    </row>
    <row r="6242" spans="1:15">
      <c r="A6242" t="s">
        <v>28578</v>
      </c>
      <c r="B6242" t="s">
        <v>13571</v>
      </c>
      <c r="C6242" t="s">
        <v>28570</v>
      </c>
      <c r="D6242" t="s">
        <v>28579</v>
      </c>
      <c r="E6242" t="b">
        <v>0</v>
      </c>
      <c r="F6242" t="s">
        <v>11610</v>
      </c>
      <c r="L6242">
        <v>0</v>
      </c>
      <c r="M6242">
        <v>0</v>
      </c>
      <c r="N6242">
        <v>0</v>
      </c>
    </row>
    <row r="6243" spans="1:15">
      <c r="A6243" t="s">
        <v>28580</v>
      </c>
      <c r="B6243" t="s">
        <v>11615</v>
      </c>
      <c r="C6243" t="s">
        <v>12572</v>
      </c>
      <c r="D6243" t="s">
        <v>28581</v>
      </c>
      <c r="E6243" t="b">
        <v>0</v>
      </c>
      <c r="F6243" t="s">
        <v>11624</v>
      </c>
      <c r="G6243">
        <v>-5.2811300000000001</v>
      </c>
      <c r="H6243">
        <v>144.77099999999999</v>
      </c>
      <c r="I6243" t="s">
        <v>28582</v>
      </c>
      <c r="L6243">
        <v>0</v>
      </c>
      <c r="M6243">
        <v>0</v>
      </c>
      <c r="N6243">
        <v>0</v>
      </c>
      <c r="O6243" t="s">
        <v>11660</v>
      </c>
    </row>
    <row r="6244" spans="1:15">
      <c r="A6244" t="s">
        <v>28583</v>
      </c>
      <c r="B6244" t="s">
        <v>11644</v>
      </c>
      <c r="C6244" t="s">
        <v>25562</v>
      </c>
      <c r="D6244" t="s">
        <v>28584</v>
      </c>
      <c r="E6244" t="b">
        <v>0</v>
      </c>
      <c r="F6244" t="s">
        <v>11610</v>
      </c>
      <c r="L6244">
        <v>0</v>
      </c>
      <c r="M6244">
        <v>0</v>
      </c>
      <c r="N6244">
        <v>0</v>
      </c>
    </row>
    <row r="6245" spans="1:15">
      <c r="A6245" t="s">
        <v>28585</v>
      </c>
      <c r="B6245" t="s">
        <v>16388</v>
      </c>
      <c r="C6245" t="s">
        <v>28586</v>
      </c>
      <c r="D6245" t="s">
        <v>28587</v>
      </c>
      <c r="E6245" t="b">
        <v>0</v>
      </c>
      <c r="F6245" t="s">
        <v>11624</v>
      </c>
      <c r="G6245">
        <v>10.299099999999999</v>
      </c>
      <c r="H6245">
        <v>35.137300000000003</v>
      </c>
      <c r="I6245" t="s">
        <v>28588</v>
      </c>
      <c r="L6245">
        <v>0</v>
      </c>
      <c r="M6245">
        <v>0</v>
      </c>
      <c r="N6245">
        <v>0</v>
      </c>
      <c r="O6245" t="s">
        <v>11625</v>
      </c>
    </row>
    <row r="6246" spans="1:15">
      <c r="A6246" t="s">
        <v>28589</v>
      </c>
      <c r="B6246" t="s">
        <v>6742</v>
      </c>
      <c r="C6246" t="s">
        <v>16095</v>
      </c>
      <c r="D6246" t="s">
        <v>28590</v>
      </c>
      <c r="E6246" t="b">
        <v>0</v>
      </c>
      <c r="F6246" t="s">
        <v>11624</v>
      </c>
      <c r="G6246">
        <v>6.5439999999999996</v>
      </c>
      <c r="H6246">
        <v>19.347000000000001</v>
      </c>
      <c r="I6246" t="s">
        <v>28591</v>
      </c>
      <c r="L6246">
        <v>0</v>
      </c>
      <c r="M6246">
        <v>0</v>
      </c>
      <c r="N6246">
        <v>0</v>
      </c>
      <c r="O6246" t="s">
        <v>16548</v>
      </c>
    </row>
    <row r="6247" spans="1:15">
      <c r="A6247" t="s">
        <v>28592</v>
      </c>
      <c r="B6247" t="s">
        <v>11644</v>
      </c>
      <c r="C6247" t="s">
        <v>28593</v>
      </c>
      <c r="D6247" t="s">
        <v>28594</v>
      </c>
      <c r="E6247" t="b">
        <v>0</v>
      </c>
      <c r="F6247" t="s">
        <v>11610</v>
      </c>
      <c r="L6247">
        <v>0</v>
      </c>
      <c r="M6247">
        <v>0</v>
      </c>
      <c r="N6247">
        <v>2</v>
      </c>
    </row>
    <row r="6248" spans="1:15">
      <c r="A6248" t="s">
        <v>28595</v>
      </c>
      <c r="B6248" t="s">
        <v>11637</v>
      </c>
      <c r="C6248" t="s">
        <v>13063</v>
      </c>
      <c r="D6248" t="s">
        <v>28596</v>
      </c>
      <c r="E6248" t="b">
        <v>0</v>
      </c>
      <c r="F6248" t="s">
        <v>11610</v>
      </c>
      <c r="L6248">
        <v>0</v>
      </c>
      <c r="M6248">
        <v>0</v>
      </c>
      <c r="N6248">
        <v>0</v>
      </c>
    </row>
    <row r="6249" spans="1:15">
      <c r="A6249" t="s">
        <v>28597</v>
      </c>
      <c r="B6249" t="s">
        <v>367</v>
      </c>
      <c r="C6249" t="s">
        <v>22391</v>
      </c>
      <c r="D6249" t="s">
        <v>28598</v>
      </c>
      <c r="E6249" t="b">
        <v>0</v>
      </c>
      <c r="F6249" t="s">
        <v>11624</v>
      </c>
      <c r="G6249">
        <v>-8.3516300000000001</v>
      </c>
      <c r="H6249">
        <v>159.78899999999999</v>
      </c>
      <c r="I6249" t="s">
        <v>28599</v>
      </c>
      <c r="L6249">
        <v>0</v>
      </c>
      <c r="M6249">
        <v>0</v>
      </c>
      <c r="N6249">
        <v>0</v>
      </c>
      <c r="O6249" t="s">
        <v>13346</v>
      </c>
    </row>
    <row r="6250" spans="1:15">
      <c r="A6250" t="s">
        <v>28600</v>
      </c>
      <c r="B6250" t="s">
        <v>11644</v>
      </c>
      <c r="C6250" t="s">
        <v>28592</v>
      </c>
      <c r="D6250" t="s">
        <v>28601</v>
      </c>
      <c r="E6250" t="b">
        <v>0</v>
      </c>
      <c r="F6250" t="s">
        <v>11610</v>
      </c>
      <c r="L6250">
        <v>0</v>
      </c>
      <c r="M6250">
        <v>0</v>
      </c>
      <c r="N6250">
        <v>0</v>
      </c>
    </row>
    <row r="6251" spans="1:15">
      <c r="A6251" t="s">
        <v>28602</v>
      </c>
      <c r="B6251" t="s">
        <v>367</v>
      </c>
      <c r="C6251" t="s">
        <v>14452</v>
      </c>
      <c r="D6251" t="s">
        <v>28603</v>
      </c>
      <c r="E6251" t="b">
        <v>0</v>
      </c>
      <c r="F6251" t="s">
        <v>11624</v>
      </c>
      <c r="G6251">
        <v>-9.7331699999999994</v>
      </c>
      <c r="H6251">
        <v>149.85400000000001</v>
      </c>
      <c r="I6251" t="s">
        <v>28604</v>
      </c>
      <c r="L6251">
        <v>0</v>
      </c>
      <c r="M6251">
        <v>0</v>
      </c>
      <c r="N6251">
        <v>0</v>
      </c>
      <c r="O6251" t="s">
        <v>11660</v>
      </c>
    </row>
    <row r="6252" spans="1:15">
      <c r="A6252" t="s">
        <v>28605</v>
      </c>
      <c r="B6252" t="s">
        <v>12311</v>
      </c>
      <c r="C6252" t="s">
        <v>23588</v>
      </c>
      <c r="D6252" t="s">
        <v>28606</v>
      </c>
      <c r="E6252" t="b">
        <v>0</v>
      </c>
      <c r="F6252" t="s">
        <v>11610</v>
      </c>
      <c r="L6252">
        <v>0</v>
      </c>
      <c r="M6252">
        <v>0</v>
      </c>
      <c r="N6252">
        <v>0</v>
      </c>
    </row>
    <row r="6253" spans="1:15">
      <c r="A6253" t="s">
        <v>28607</v>
      </c>
      <c r="B6253" t="s">
        <v>367</v>
      </c>
      <c r="C6253" t="s">
        <v>28608</v>
      </c>
      <c r="D6253" t="s">
        <v>28609</v>
      </c>
      <c r="E6253" t="b">
        <v>0</v>
      </c>
      <c r="F6253" t="s">
        <v>11610</v>
      </c>
      <c r="L6253">
        <v>0</v>
      </c>
      <c r="M6253">
        <v>0</v>
      </c>
      <c r="N6253">
        <v>0</v>
      </c>
    </row>
    <row r="6254" spans="1:15">
      <c r="A6254" t="s">
        <v>28610</v>
      </c>
      <c r="B6254" t="s">
        <v>10597</v>
      </c>
      <c r="C6254" t="s">
        <v>15730</v>
      </c>
      <c r="D6254" t="s">
        <v>28611</v>
      </c>
      <c r="E6254" t="b">
        <v>0</v>
      </c>
      <c r="F6254" t="s">
        <v>11610</v>
      </c>
      <c r="L6254">
        <v>0</v>
      </c>
      <c r="M6254">
        <v>0</v>
      </c>
      <c r="N6254">
        <v>0</v>
      </c>
    </row>
    <row r="6255" spans="1:15">
      <c r="A6255" t="s">
        <v>28612</v>
      </c>
      <c r="B6255" t="s">
        <v>6742</v>
      </c>
      <c r="C6255" t="s">
        <v>28613</v>
      </c>
      <c r="D6255" t="s">
        <v>28614</v>
      </c>
      <c r="E6255" t="b">
        <v>0</v>
      </c>
      <c r="F6255" t="s">
        <v>11610</v>
      </c>
      <c r="L6255">
        <v>0</v>
      </c>
      <c r="M6255">
        <v>0</v>
      </c>
      <c r="N6255">
        <v>0</v>
      </c>
    </row>
    <row r="6256" spans="1:15">
      <c r="A6256" t="s">
        <v>28615</v>
      </c>
      <c r="B6256" t="s">
        <v>11607</v>
      </c>
      <c r="C6256" t="s">
        <v>18435</v>
      </c>
      <c r="D6256" t="s">
        <v>28616</v>
      </c>
      <c r="E6256" t="b">
        <v>0</v>
      </c>
      <c r="F6256" t="s">
        <v>11610</v>
      </c>
      <c r="L6256">
        <v>0</v>
      </c>
      <c r="M6256">
        <v>0</v>
      </c>
      <c r="N6256">
        <v>0</v>
      </c>
    </row>
    <row r="6257" spans="1:15">
      <c r="A6257" t="s">
        <v>12086</v>
      </c>
      <c r="B6257" t="s">
        <v>11637</v>
      </c>
      <c r="C6257" t="s">
        <v>1274</v>
      </c>
      <c r="D6257" t="s">
        <v>28617</v>
      </c>
      <c r="E6257" t="b">
        <v>0</v>
      </c>
      <c r="F6257" t="s">
        <v>11622</v>
      </c>
      <c r="L6257">
        <v>0</v>
      </c>
      <c r="M6257">
        <v>2</v>
      </c>
      <c r="N6257">
        <v>0</v>
      </c>
    </row>
    <row r="6258" spans="1:15">
      <c r="A6258" t="s">
        <v>28618</v>
      </c>
      <c r="B6258" t="s">
        <v>28619</v>
      </c>
      <c r="C6258" t="s">
        <v>28619</v>
      </c>
      <c r="D6258" t="s">
        <v>28620</v>
      </c>
      <c r="E6258" t="b">
        <v>0</v>
      </c>
      <c r="F6258" t="s">
        <v>11624</v>
      </c>
      <c r="G6258">
        <v>-17.450399999999998</v>
      </c>
      <c r="H6258">
        <v>137.72013999999999</v>
      </c>
      <c r="I6258" t="s">
        <v>28621</v>
      </c>
      <c r="L6258">
        <v>0</v>
      </c>
      <c r="M6258">
        <v>0</v>
      </c>
      <c r="N6258">
        <v>2</v>
      </c>
      <c r="O6258" t="s">
        <v>12107</v>
      </c>
    </row>
    <row r="6259" spans="1:15">
      <c r="A6259" t="s">
        <v>28622</v>
      </c>
      <c r="B6259" t="s">
        <v>6742</v>
      </c>
      <c r="C6259" t="s">
        <v>28351</v>
      </c>
      <c r="D6259" t="s">
        <v>28623</v>
      </c>
      <c r="E6259" t="b">
        <v>0</v>
      </c>
      <c r="F6259" t="s">
        <v>11610</v>
      </c>
      <c r="L6259">
        <v>0</v>
      </c>
      <c r="M6259">
        <v>0</v>
      </c>
      <c r="N6259">
        <v>0</v>
      </c>
    </row>
    <row r="6260" spans="1:15">
      <c r="A6260" t="s">
        <v>28624</v>
      </c>
      <c r="B6260" t="s">
        <v>11637</v>
      </c>
      <c r="C6260" t="s">
        <v>13534</v>
      </c>
      <c r="D6260" t="s">
        <v>28625</v>
      </c>
      <c r="E6260" t="b">
        <v>0</v>
      </c>
      <c r="F6260" t="s">
        <v>11610</v>
      </c>
      <c r="L6260">
        <v>0</v>
      </c>
      <c r="M6260">
        <v>0</v>
      </c>
      <c r="N6260">
        <v>0</v>
      </c>
    </row>
    <row r="6261" spans="1:15">
      <c r="A6261" t="s">
        <v>28626</v>
      </c>
      <c r="B6261" t="s">
        <v>6742</v>
      </c>
      <c r="C6261" t="s">
        <v>15691</v>
      </c>
      <c r="D6261" t="s">
        <v>28627</v>
      </c>
      <c r="E6261" t="b">
        <v>0</v>
      </c>
      <c r="F6261" t="s">
        <v>11610</v>
      </c>
      <c r="L6261">
        <v>0</v>
      </c>
      <c r="M6261">
        <v>0</v>
      </c>
      <c r="N6261">
        <v>0</v>
      </c>
    </row>
    <row r="6262" spans="1:15">
      <c r="A6262" t="s">
        <v>28628</v>
      </c>
      <c r="B6262" t="s">
        <v>11637</v>
      </c>
      <c r="C6262" t="s">
        <v>28629</v>
      </c>
      <c r="D6262" t="s">
        <v>28630</v>
      </c>
      <c r="E6262" t="b">
        <v>0</v>
      </c>
      <c r="F6262" t="s">
        <v>11624</v>
      </c>
      <c r="L6262">
        <v>0</v>
      </c>
      <c r="M6262">
        <v>0</v>
      </c>
      <c r="N6262">
        <v>0</v>
      </c>
      <c r="O6262" t="s">
        <v>13676</v>
      </c>
    </row>
    <row r="6263" spans="1:15">
      <c r="A6263" t="s">
        <v>28631</v>
      </c>
      <c r="B6263" t="s">
        <v>367</v>
      </c>
      <c r="C6263" t="s">
        <v>17265</v>
      </c>
      <c r="D6263" t="s">
        <v>28632</v>
      </c>
      <c r="E6263" t="b">
        <v>0</v>
      </c>
      <c r="F6263" t="s">
        <v>11610</v>
      </c>
      <c r="L6263">
        <v>0</v>
      </c>
      <c r="M6263">
        <v>0</v>
      </c>
      <c r="N6263">
        <v>0</v>
      </c>
    </row>
    <row r="6264" spans="1:15">
      <c r="A6264" t="s">
        <v>15714</v>
      </c>
      <c r="B6264" t="s">
        <v>11637</v>
      </c>
      <c r="C6264" t="s">
        <v>21360</v>
      </c>
      <c r="D6264" t="s">
        <v>28633</v>
      </c>
      <c r="E6264" t="b">
        <v>0</v>
      </c>
      <c r="F6264" t="s">
        <v>11624</v>
      </c>
      <c r="G6264">
        <v>30.5061</v>
      </c>
      <c r="H6264">
        <v>78.720100000000002</v>
      </c>
      <c r="I6264" t="s">
        <v>28634</v>
      </c>
      <c r="L6264">
        <v>0</v>
      </c>
      <c r="M6264">
        <v>0</v>
      </c>
      <c r="N6264">
        <v>16</v>
      </c>
      <c r="O6264" t="s">
        <v>24774</v>
      </c>
    </row>
    <row r="6265" spans="1:15">
      <c r="A6265" t="s">
        <v>28635</v>
      </c>
      <c r="B6265" t="s">
        <v>13302</v>
      </c>
      <c r="C6265" t="s">
        <v>21778</v>
      </c>
      <c r="D6265" t="s">
        <v>28636</v>
      </c>
      <c r="E6265" t="b">
        <v>0</v>
      </c>
      <c r="F6265" t="s">
        <v>11624</v>
      </c>
      <c r="G6265">
        <v>-11.412000000000001</v>
      </c>
      <c r="H6265">
        <v>132.18199999999999</v>
      </c>
      <c r="I6265" t="s">
        <v>28637</v>
      </c>
      <c r="L6265">
        <v>0</v>
      </c>
      <c r="M6265">
        <v>0</v>
      </c>
      <c r="N6265">
        <v>2</v>
      </c>
      <c r="O6265" t="s">
        <v>12107</v>
      </c>
    </row>
    <row r="6266" spans="1:15">
      <c r="A6266" t="s">
        <v>28638</v>
      </c>
      <c r="B6266" t="s">
        <v>13302</v>
      </c>
      <c r="C6266" t="s">
        <v>28635</v>
      </c>
      <c r="D6266" t="s">
        <v>28639</v>
      </c>
      <c r="E6266" t="b">
        <v>0</v>
      </c>
      <c r="F6266" t="s">
        <v>11610</v>
      </c>
      <c r="L6266">
        <v>0</v>
      </c>
      <c r="M6266">
        <v>0</v>
      </c>
      <c r="N6266">
        <v>0</v>
      </c>
    </row>
    <row r="6267" spans="1:15">
      <c r="A6267" t="s">
        <v>28640</v>
      </c>
      <c r="B6267" t="s">
        <v>28641</v>
      </c>
      <c r="C6267" t="s">
        <v>28642</v>
      </c>
      <c r="D6267" t="s">
        <v>28643</v>
      </c>
      <c r="E6267" t="b">
        <v>0</v>
      </c>
      <c r="F6267" t="s">
        <v>11610</v>
      </c>
      <c r="L6267">
        <v>0</v>
      </c>
      <c r="M6267">
        <v>0</v>
      </c>
      <c r="N6267">
        <v>0</v>
      </c>
    </row>
    <row r="6268" spans="1:15">
      <c r="A6268" t="s">
        <v>286</v>
      </c>
      <c r="B6268" t="s">
        <v>11894</v>
      </c>
      <c r="C6268" t="s">
        <v>28644</v>
      </c>
      <c r="D6268" t="s">
        <v>285</v>
      </c>
      <c r="E6268" t="b">
        <v>0</v>
      </c>
      <c r="F6268" t="s">
        <v>11624</v>
      </c>
      <c r="G6268">
        <v>15.3529</v>
      </c>
      <c r="H6268">
        <v>-86.909099999999995</v>
      </c>
      <c r="I6268" t="s">
        <v>288</v>
      </c>
      <c r="L6268">
        <v>0</v>
      </c>
      <c r="M6268">
        <v>0</v>
      </c>
      <c r="N6268">
        <v>2</v>
      </c>
      <c r="O6268" t="s">
        <v>28645</v>
      </c>
    </row>
    <row r="6269" spans="1:15">
      <c r="A6269" t="s">
        <v>28646</v>
      </c>
      <c r="B6269" t="s">
        <v>12311</v>
      </c>
      <c r="C6269" t="s">
        <v>12742</v>
      </c>
      <c r="D6269" t="s">
        <v>28647</v>
      </c>
      <c r="E6269" t="b">
        <v>0</v>
      </c>
      <c r="F6269" t="s">
        <v>11610</v>
      </c>
      <c r="L6269">
        <v>0</v>
      </c>
      <c r="M6269">
        <v>0</v>
      </c>
      <c r="N6269">
        <v>0</v>
      </c>
    </row>
    <row r="6270" spans="1:15">
      <c r="A6270" t="s">
        <v>28648</v>
      </c>
      <c r="B6270" t="s">
        <v>11637</v>
      </c>
      <c r="C6270" t="s">
        <v>4401</v>
      </c>
      <c r="D6270" t="s">
        <v>28649</v>
      </c>
      <c r="E6270" t="b">
        <v>0</v>
      </c>
      <c r="F6270" t="s">
        <v>11610</v>
      </c>
      <c r="L6270">
        <v>0</v>
      </c>
      <c r="M6270">
        <v>0</v>
      </c>
      <c r="N6270">
        <v>0</v>
      </c>
    </row>
    <row r="6271" spans="1:15">
      <c r="A6271" t="s">
        <v>28650</v>
      </c>
      <c r="B6271" t="s">
        <v>10597</v>
      </c>
      <c r="C6271" t="s">
        <v>10029</v>
      </c>
      <c r="D6271" t="s">
        <v>28651</v>
      </c>
      <c r="E6271" t="b">
        <v>0</v>
      </c>
      <c r="F6271" t="s">
        <v>11610</v>
      </c>
      <c r="L6271">
        <v>0</v>
      </c>
      <c r="M6271">
        <v>0</v>
      </c>
      <c r="N6271">
        <v>0</v>
      </c>
    </row>
    <row r="6272" spans="1:15">
      <c r="A6272" t="s">
        <v>126</v>
      </c>
      <c r="B6272" t="s">
        <v>11644</v>
      </c>
      <c r="C6272" t="s">
        <v>19080</v>
      </c>
      <c r="D6272" t="s">
        <v>125</v>
      </c>
      <c r="E6272" t="b">
        <v>0</v>
      </c>
      <c r="F6272" t="s">
        <v>11624</v>
      </c>
      <c r="G6272">
        <v>25.295400000000001</v>
      </c>
      <c r="H6272">
        <v>90.462000000000003</v>
      </c>
      <c r="I6272" t="s">
        <v>127</v>
      </c>
      <c r="L6272">
        <v>0</v>
      </c>
      <c r="M6272">
        <v>0</v>
      </c>
      <c r="N6272">
        <v>10</v>
      </c>
      <c r="O6272" t="s">
        <v>15054</v>
      </c>
    </row>
    <row r="6273" spans="1:15">
      <c r="A6273" t="s">
        <v>28652</v>
      </c>
      <c r="B6273" t="s">
        <v>6742</v>
      </c>
      <c r="C6273" t="s">
        <v>11986</v>
      </c>
      <c r="D6273" t="s">
        <v>28653</v>
      </c>
      <c r="E6273" t="b">
        <v>0</v>
      </c>
      <c r="F6273" t="s">
        <v>11610</v>
      </c>
      <c r="L6273">
        <v>0</v>
      </c>
      <c r="M6273">
        <v>0</v>
      </c>
      <c r="N6273">
        <v>0</v>
      </c>
    </row>
    <row r="6274" spans="1:15">
      <c r="A6274" t="s">
        <v>28654</v>
      </c>
      <c r="B6274" t="s">
        <v>11607</v>
      </c>
      <c r="C6274" t="s">
        <v>17383</v>
      </c>
      <c r="D6274" t="s">
        <v>28655</v>
      </c>
      <c r="E6274" t="b">
        <v>0</v>
      </c>
      <c r="F6274" t="s">
        <v>11610</v>
      </c>
      <c r="L6274">
        <v>0</v>
      </c>
      <c r="M6274">
        <v>0</v>
      </c>
      <c r="N6274">
        <v>0</v>
      </c>
    </row>
    <row r="6275" spans="1:15">
      <c r="A6275" t="s">
        <v>28656</v>
      </c>
      <c r="B6275" t="s">
        <v>11607</v>
      </c>
      <c r="C6275" t="s">
        <v>25288</v>
      </c>
      <c r="D6275" t="s">
        <v>28657</v>
      </c>
      <c r="E6275" t="b">
        <v>0</v>
      </c>
      <c r="F6275" t="s">
        <v>11610</v>
      </c>
      <c r="L6275">
        <v>0</v>
      </c>
      <c r="M6275">
        <v>0</v>
      </c>
      <c r="N6275">
        <v>0</v>
      </c>
    </row>
    <row r="6276" spans="1:15">
      <c r="A6276" t="s">
        <v>28658</v>
      </c>
      <c r="B6276" t="s">
        <v>11637</v>
      </c>
      <c r="C6276" t="s">
        <v>17607</v>
      </c>
      <c r="D6276" t="s">
        <v>28659</v>
      </c>
      <c r="E6276" t="b">
        <v>0</v>
      </c>
      <c r="F6276" t="s">
        <v>11610</v>
      </c>
      <c r="L6276">
        <v>0</v>
      </c>
      <c r="M6276">
        <v>0</v>
      </c>
      <c r="N6276">
        <v>0</v>
      </c>
    </row>
    <row r="6277" spans="1:15">
      <c r="A6277" t="s">
        <v>28660</v>
      </c>
      <c r="B6277" t="s">
        <v>11607</v>
      </c>
      <c r="C6277" t="s">
        <v>15355</v>
      </c>
      <c r="D6277" t="s">
        <v>28661</v>
      </c>
      <c r="E6277" t="b">
        <v>0</v>
      </c>
      <c r="F6277" t="s">
        <v>11624</v>
      </c>
      <c r="G6277">
        <v>2.2963300000000002</v>
      </c>
      <c r="H6277">
        <v>44.686199999999999</v>
      </c>
      <c r="I6277" t="s">
        <v>28662</v>
      </c>
      <c r="L6277">
        <v>0</v>
      </c>
      <c r="M6277">
        <v>0</v>
      </c>
      <c r="N6277">
        <v>0</v>
      </c>
      <c r="O6277" t="s">
        <v>19538</v>
      </c>
    </row>
    <row r="6278" spans="1:15">
      <c r="A6278" t="s">
        <v>28619</v>
      </c>
      <c r="D6278" t="s">
        <v>28663</v>
      </c>
      <c r="E6278" t="b">
        <v>0</v>
      </c>
      <c r="F6278" t="s">
        <v>11622</v>
      </c>
      <c r="I6278" t="s">
        <v>28664</v>
      </c>
      <c r="L6278">
        <v>0</v>
      </c>
      <c r="M6278">
        <v>2</v>
      </c>
      <c r="N6278">
        <v>2</v>
      </c>
      <c r="O6278" t="s">
        <v>12107</v>
      </c>
    </row>
    <row r="6279" spans="1:15">
      <c r="A6279" t="s">
        <v>28665</v>
      </c>
      <c r="B6279" t="s">
        <v>11627</v>
      </c>
      <c r="C6279" t="s">
        <v>11627</v>
      </c>
      <c r="D6279" t="s">
        <v>28666</v>
      </c>
      <c r="E6279" t="b">
        <v>1</v>
      </c>
      <c r="F6279" t="s">
        <v>11624</v>
      </c>
      <c r="I6279" t="s">
        <v>28667</v>
      </c>
      <c r="L6279">
        <v>0</v>
      </c>
      <c r="M6279">
        <v>0</v>
      </c>
      <c r="N6279">
        <v>0</v>
      </c>
    </row>
    <row r="6280" spans="1:15">
      <c r="A6280" t="s">
        <v>28668</v>
      </c>
      <c r="B6280" t="s">
        <v>11644</v>
      </c>
      <c r="C6280" t="s">
        <v>28669</v>
      </c>
      <c r="D6280" t="s">
        <v>28670</v>
      </c>
      <c r="E6280" t="b">
        <v>0</v>
      </c>
      <c r="F6280" t="s">
        <v>11610</v>
      </c>
      <c r="L6280">
        <v>0</v>
      </c>
      <c r="M6280">
        <v>0</v>
      </c>
      <c r="N6280">
        <v>0</v>
      </c>
    </row>
    <row r="6281" spans="1:15">
      <c r="A6281" t="s">
        <v>28671</v>
      </c>
      <c r="B6281" t="s">
        <v>11615</v>
      </c>
      <c r="C6281" t="s">
        <v>28672</v>
      </c>
      <c r="D6281" t="s">
        <v>28673</v>
      </c>
      <c r="E6281" t="b">
        <v>0</v>
      </c>
      <c r="F6281" t="s">
        <v>11624</v>
      </c>
      <c r="G6281">
        <v>-4.9222000000000001</v>
      </c>
      <c r="H6281">
        <v>145.68299999999999</v>
      </c>
      <c r="I6281" t="s">
        <v>28674</v>
      </c>
      <c r="L6281">
        <v>0</v>
      </c>
      <c r="M6281">
        <v>0</v>
      </c>
      <c r="N6281">
        <v>0</v>
      </c>
      <c r="O6281" t="s">
        <v>11660</v>
      </c>
    </row>
    <row r="6282" spans="1:15">
      <c r="A6282" t="s">
        <v>15996</v>
      </c>
      <c r="B6282" t="s">
        <v>11615</v>
      </c>
      <c r="C6282" t="s">
        <v>28675</v>
      </c>
      <c r="D6282" t="s">
        <v>28676</v>
      </c>
      <c r="E6282" t="b">
        <v>0</v>
      </c>
      <c r="F6282" t="s">
        <v>11622</v>
      </c>
      <c r="L6282">
        <v>0</v>
      </c>
      <c r="M6282">
        <v>4</v>
      </c>
      <c r="N6282">
        <v>1</v>
      </c>
    </row>
    <row r="6283" spans="1:15">
      <c r="A6283" t="s">
        <v>28677</v>
      </c>
      <c r="B6283" t="s">
        <v>6742</v>
      </c>
      <c r="C6283" t="s">
        <v>3622</v>
      </c>
      <c r="D6283" t="s">
        <v>28678</v>
      </c>
      <c r="E6283" t="b">
        <v>0</v>
      </c>
      <c r="F6283" t="s">
        <v>11610</v>
      </c>
      <c r="L6283">
        <v>0</v>
      </c>
      <c r="M6283">
        <v>0</v>
      </c>
      <c r="N6283">
        <v>0</v>
      </c>
    </row>
    <row r="6284" spans="1:15">
      <c r="A6284" t="s">
        <v>28679</v>
      </c>
      <c r="B6284" t="s">
        <v>23299</v>
      </c>
      <c r="C6284" t="s">
        <v>23299</v>
      </c>
      <c r="D6284" t="s">
        <v>28680</v>
      </c>
      <c r="E6284" t="b">
        <v>0</v>
      </c>
      <c r="F6284" t="s">
        <v>11610</v>
      </c>
      <c r="I6284" t="s">
        <v>28681</v>
      </c>
      <c r="L6284">
        <v>0</v>
      </c>
      <c r="M6284">
        <v>0</v>
      </c>
      <c r="N6284">
        <v>0</v>
      </c>
    </row>
    <row r="6285" spans="1:15">
      <c r="A6285" t="s">
        <v>14319</v>
      </c>
      <c r="B6285" t="s">
        <v>11637</v>
      </c>
      <c r="C6285" t="s">
        <v>4724</v>
      </c>
      <c r="D6285" t="s">
        <v>28682</v>
      </c>
      <c r="E6285" t="b">
        <v>0</v>
      </c>
      <c r="F6285" t="s">
        <v>11610</v>
      </c>
      <c r="L6285">
        <v>0</v>
      </c>
      <c r="M6285">
        <v>0</v>
      </c>
      <c r="N6285">
        <v>8</v>
      </c>
    </row>
    <row r="6286" spans="1:15">
      <c r="A6286" t="s">
        <v>28683</v>
      </c>
      <c r="B6286" t="s">
        <v>11627</v>
      </c>
      <c r="C6286" t="s">
        <v>11627</v>
      </c>
      <c r="D6286" t="s">
        <v>28684</v>
      </c>
      <c r="E6286" t="b">
        <v>1</v>
      </c>
      <c r="F6286" t="s">
        <v>11624</v>
      </c>
      <c r="I6286" t="s">
        <v>28685</v>
      </c>
      <c r="L6286">
        <v>0</v>
      </c>
      <c r="M6286">
        <v>0</v>
      </c>
      <c r="N6286">
        <v>0</v>
      </c>
    </row>
    <row r="6287" spans="1:15">
      <c r="A6287" t="s">
        <v>28686</v>
      </c>
      <c r="B6287" t="s">
        <v>11644</v>
      </c>
      <c r="C6287" t="s">
        <v>28687</v>
      </c>
      <c r="D6287" t="s">
        <v>28688</v>
      </c>
      <c r="E6287" t="b">
        <v>0</v>
      </c>
      <c r="F6287" t="s">
        <v>11610</v>
      </c>
      <c r="L6287">
        <v>0</v>
      </c>
      <c r="M6287">
        <v>0</v>
      </c>
      <c r="N6287">
        <v>0</v>
      </c>
    </row>
    <row r="6288" spans="1:15">
      <c r="A6288" t="s">
        <v>28689</v>
      </c>
      <c r="B6288" t="s">
        <v>11607</v>
      </c>
      <c r="C6288" t="s">
        <v>15709</v>
      </c>
      <c r="D6288" t="s">
        <v>28690</v>
      </c>
      <c r="E6288" t="b">
        <v>0</v>
      </c>
      <c r="F6288" t="s">
        <v>11610</v>
      </c>
      <c r="L6288">
        <v>0</v>
      </c>
      <c r="M6288">
        <v>0</v>
      </c>
      <c r="N6288">
        <v>0</v>
      </c>
    </row>
    <row r="6289" spans="1:15">
      <c r="A6289" t="s">
        <v>28691</v>
      </c>
      <c r="B6289" t="s">
        <v>9348</v>
      </c>
      <c r="C6289" t="s">
        <v>24447</v>
      </c>
      <c r="D6289" t="s">
        <v>28692</v>
      </c>
      <c r="E6289" t="b">
        <v>0</v>
      </c>
      <c r="F6289" t="s">
        <v>11610</v>
      </c>
      <c r="L6289">
        <v>0</v>
      </c>
      <c r="M6289">
        <v>0</v>
      </c>
      <c r="N6289">
        <v>0</v>
      </c>
    </row>
    <row r="6290" spans="1:15">
      <c r="A6290" t="s">
        <v>28693</v>
      </c>
      <c r="B6290" t="s">
        <v>11607</v>
      </c>
      <c r="C6290" t="s">
        <v>24526</v>
      </c>
      <c r="D6290" t="s">
        <v>28694</v>
      </c>
      <c r="E6290" t="b">
        <v>0</v>
      </c>
      <c r="F6290" t="s">
        <v>11610</v>
      </c>
      <c r="L6290">
        <v>0</v>
      </c>
      <c r="M6290">
        <v>0</v>
      </c>
      <c r="N6290">
        <v>0</v>
      </c>
    </row>
    <row r="6291" spans="1:15">
      <c r="A6291" t="s">
        <v>28695</v>
      </c>
      <c r="B6291" t="s">
        <v>367</v>
      </c>
      <c r="C6291" t="s">
        <v>15259</v>
      </c>
      <c r="D6291" t="s">
        <v>28696</v>
      </c>
      <c r="E6291" t="b">
        <v>0</v>
      </c>
      <c r="F6291" t="s">
        <v>11610</v>
      </c>
      <c r="L6291">
        <v>0</v>
      </c>
      <c r="M6291">
        <v>0</v>
      </c>
      <c r="N6291">
        <v>0</v>
      </c>
    </row>
    <row r="6292" spans="1:15">
      <c r="A6292" t="s">
        <v>28697</v>
      </c>
      <c r="B6292" t="s">
        <v>13276</v>
      </c>
      <c r="C6292" t="s">
        <v>28698</v>
      </c>
      <c r="D6292" t="s">
        <v>28699</v>
      </c>
      <c r="E6292" t="b">
        <v>0</v>
      </c>
      <c r="F6292" t="s">
        <v>11610</v>
      </c>
      <c r="L6292">
        <v>0</v>
      </c>
      <c r="M6292">
        <v>0</v>
      </c>
      <c r="N6292">
        <v>0</v>
      </c>
    </row>
    <row r="6293" spans="1:15">
      <c r="A6293" t="s">
        <v>28700</v>
      </c>
      <c r="B6293" t="s">
        <v>12438</v>
      </c>
      <c r="C6293" t="s">
        <v>28701</v>
      </c>
      <c r="D6293" t="s">
        <v>28702</v>
      </c>
      <c r="E6293" t="b">
        <v>0</v>
      </c>
      <c r="F6293" t="s">
        <v>11624</v>
      </c>
      <c r="G6293">
        <v>18.607600000000001</v>
      </c>
      <c r="H6293">
        <v>82.983999999999995</v>
      </c>
      <c r="I6293" t="s">
        <v>28703</v>
      </c>
      <c r="L6293">
        <v>0</v>
      </c>
      <c r="M6293">
        <v>0</v>
      </c>
      <c r="N6293">
        <v>2</v>
      </c>
      <c r="O6293" t="s">
        <v>11630</v>
      </c>
    </row>
    <row r="6294" spans="1:15">
      <c r="A6294" t="s">
        <v>28704</v>
      </c>
      <c r="B6294" t="s">
        <v>10597</v>
      </c>
      <c r="C6294" t="s">
        <v>18799</v>
      </c>
      <c r="D6294" t="s">
        <v>28705</v>
      </c>
      <c r="E6294" t="b">
        <v>0</v>
      </c>
      <c r="F6294" t="s">
        <v>11610</v>
      </c>
      <c r="L6294">
        <v>0</v>
      </c>
      <c r="M6294">
        <v>0</v>
      </c>
      <c r="N6294">
        <v>0</v>
      </c>
    </row>
    <row r="6295" spans="1:15">
      <c r="A6295" t="s">
        <v>28706</v>
      </c>
      <c r="B6295" t="s">
        <v>6742</v>
      </c>
      <c r="C6295" t="s">
        <v>28707</v>
      </c>
      <c r="D6295" t="s">
        <v>28708</v>
      </c>
      <c r="E6295" t="b">
        <v>0</v>
      </c>
      <c r="F6295" t="s">
        <v>11610</v>
      </c>
      <c r="L6295">
        <v>0</v>
      </c>
      <c r="M6295">
        <v>0</v>
      </c>
      <c r="N6295">
        <v>0</v>
      </c>
    </row>
    <row r="6296" spans="1:15">
      <c r="A6296" t="s">
        <v>28709</v>
      </c>
      <c r="B6296" t="s">
        <v>11637</v>
      </c>
      <c r="C6296" t="s">
        <v>28710</v>
      </c>
      <c r="D6296" t="s">
        <v>28711</v>
      </c>
      <c r="E6296" t="b">
        <v>0</v>
      </c>
      <c r="F6296" t="s">
        <v>11622</v>
      </c>
      <c r="L6296">
        <v>7</v>
      </c>
      <c r="M6296">
        <v>17</v>
      </c>
      <c r="N6296">
        <v>21</v>
      </c>
    </row>
    <row r="6297" spans="1:15">
      <c r="A6297" t="s">
        <v>17956</v>
      </c>
      <c r="B6297" t="s">
        <v>11637</v>
      </c>
      <c r="C6297" t="s">
        <v>28709</v>
      </c>
      <c r="D6297" t="s">
        <v>28712</v>
      </c>
      <c r="E6297" t="b">
        <v>0</v>
      </c>
      <c r="F6297" t="s">
        <v>11622</v>
      </c>
      <c r="L6297">
        <v>3</v>
      </c>
      <c r="M6297">
        <v>12</v>
      </c>
      <c r="N6297">
        <v>17</v>
      </c>
    </row>
    <row r="6298" spans="1:15">
      <c r="A6298" t="s">
        <v>28713</v>
      </c>
      <c r="B6298" t="s">
        <v>367</v>
      </c>
      <c r="C6298" t="s">
        <v>28714</v>
      </c>
      <c r="D6298" t="s">
        <v>28715</v>
      </c>
      <c r="E6298" t="b">
        <v>0</v>
      </c>
      <c r="F6298" t="s">
        <v>11610</v>
      </c>
      <c r="L6298">
        <v>0</v>
      </c>
      <c r="M6298">
        <v>0</v>
      </c>
      <c r="N6298">
        <v>0</v>
      </c>
    </row>
    <row r="6299" spans="1:15">
      <c r="A6299" t="s">
        <v>28716</v>
      </c>
      <c r="B6299" t="s">
        <v>367</v>
      </c>
      <c r="C6299" t="s">
        <v>28717</v>
      </c>
      <c r="D6299" t="s">
        <v>28718</v>
      </c>
      <c r="E6299" t="b">
        <v>0</v>
      </c>
      <c r="F6299" t="s">
        <v>11610</v>
      </c>
      <c r="L6299">
        <v>0</v>
      </c>
      <c r="M6299">
        <v>0</v>
      </c>
      <c r="N6299">
        <v>0</v>
      </c>
    </row>
    <row r="6300" spans="1:15">
      <c r="A6300" t="s">
        <v>15219</v>
      </c>
      <c r="B6300" t="s">
        <v>11615</v>
      </c>
      <c r="C6300" t="s">
        <v>28719</v>
      </c>
      <c r="D6300" t="s">
        <v>28720</v>
      </c>
      <c r="E6300" t="b">
        <v>0</v>
      </c>
      <c r="F6300" t="s">
        <v>11622</v>
      </c>
      <c r="L6300">
        <v>3</v>
      </c>
      <c r="M6300">
        <v>6</v>
      </c>
      <c r="N6300">
        <v>6</v>
      </c>
    </row>
    <row r="6301" spans="1:15">
      <c r="A6301" t="s">
        <v>28721</v>
      </c>
      <c r="B6301" t="s">
        <v>11607</v>
      </c>
      <c r="C6301" t="s">
        <v>22412</v>
      </c>
      <c r="D6301" t="s">
        <v>28722</v>
      </c>
      <c r="E6301" t="b">
        <v>0</v>
      </c>
      <c r="F6301" t="s">
        <v>11610</v>
      </c>
      <c r="L6301">
        <v>0</v>
      </c>
      <c r="M6301">
        <v>0</v>
      </c>
      <c r="N6301">
        <v>0</v>
      </c>
    </row>
    <row r="6302" spans="1:15">
      <c r="A6302" t="s">
        <v>28723</v>
      </c>
      <c r="B6302" t="s">
        <v>11607</v>
      </c>
      <c r="C6302" t="s">
        <v>20667</v>
      </c>
      <c r="D6302" t="s">
        <v>28724</v>
      </c>
      <c r="E6302" t="b">
        <v>0</v>
      </c>
      <c r="F6302" t="s">
        <v>11624</v>
      </c>
      <c r="G6302">
        <v>10.5603</v>
      </c>
      <c r="H6302">
        <v>13.8188</v>
      </c>
      <c r="I6302" t="s">
        <v>28725</v>
      </c>
      <c r="L6302">
        <v>0</v>
      </c>
      <c r="M6302">
        <v>0</v>
      </c>
      <c r="N6302">
        <v>0</v>
      </c>
      <c r="O6302" t="s">
        <v>11703</v>
      </c>
    </row>
    <row r="6303" spans="1:15">
      <c r="A6303" t="s">
        <v>28726</v>
      </c>
      <c r="B6303" t="s">
        <v>11607</v>
      </c>
      <c r="C6303" t="s">
        <v>17620</v>
      </c>
      <c r="D6303" t="s">
        <v>28727</v>
      </c>
      <c r="E6303" t="b">
        <v>0</v>
      </c>
      <c r="F6303" t="s">
        <v>11610</v>
      </c>
      <c r="L6303">
        <v>0</v>
      </c>
      <c r="M6303">
        <v>0</v>
      </c>
      <c r="N6303">
        <v>0</v>
      </c>
    </row>
    <row r="6304" spans="1:15">
      <c r="A6304" t="s">
        <v>28728</v>
      </c>
      <c r="B6304" t="s">
        <v>11912</v>
      </c>
      <c r="C6304" t="s">
        <v>14646</v>
      </c>
      <c r="D6304" t="s">
        <v>28729</v>
      </c>
      <c r="E6304" t="b">
        <v>0</v>
      </c>
      <c r="F6304" t="s">
        <v>11624</v>
      </c>
      <c r="G6304">
        <v>-10.7235</v>
      </c>
      <c r="H6304">
        <v>-61.675199999999997</v>
      </c>
      <c r="I6304" t="s">
        <v>28730</v>
      </c>
      <c r="L6304">
        <v>0</v>
      </c>
      <c r="M6304">
        <v>0</v>
      </c>
      <c r="N6304">
        <v>2</v>
      </c>
      <c r="O6304" t="s">
        <v>11969</v>
      </c>
    </row>
    <row r="6305" spans="1:15">
      <c r="A6305" t="s">
        <v>28731</v>
      </c>
      <c r="B6305" t="s">
        <v>11912</v>
      </c>
      <c r="C6305" t="s">
        <v>28728</v>
      </c>
      <c r="D6305" t="s">
        <v>28732</v>
      </c>
      <c r="E6305" t="b">
        <v>0</v>
      </c>
      <c r="F6305" t="s">
        <v>11610</v>
      </c>
      <c r="L6305">
        <v>0</v>
      </c>
      <c r="M6305">
        <v>0</v>
      </c>
      <c r="N6305">
        <v>0</v>
      </c>
    </row>
    <row r="6306" spans="1:15">
      <c r="A6306" t="s">
        <v>14646</v>
      </c>
      <c r="B6306" t="s">
        <v>11912</v>
      </c>
      <c r="C6306" t="s">
        <v>28733</v>
      </c>
      <c r="D6306" t="s">
        <v>28734</v>
      </c>
      <c r="E6306" t="b">
        <v>0</v>
      </c>
      <c r="F6306" t="s">
        <v>11622</v>
      </c>
      <c r="L6306">
        <v>0</v>
      </c>
      <c r="M6306">
        <v>3</v>
      </c>
      <c r="N6306">
        <v>3</v>
      </c>
    </row>
    <row r="6307" spans="1:15">
      <c r="A6307" t="s">
        <v>28733</v>
      </c>
      <c r="B6307" t="s">
        <v>11912</v>
      </c>
      <c r="C6307" t="s">
        <v>28735</v>
      </c>
      <c r="D6307" t="s">
        <v>28736</v>
      </c>
      <c r="E6307" t="b">
        <v>0</v>
      </c>
      <c r="F6307" t="s">
        <v>11622</v>
      </c>
      <c r="L6307">
        <v>1</v>
      </c>
      <c r="M6307">
        <v>4</v>
      </c>
      <c r="N6307">
        <v>3</v>
      </c>
    </row>
    <row r="6308" spans="1:15">
      <c r="A6308" t="s">
        <v>28737</v>
      </c>
      <c r="B6308" t="s">
        <v>11637</v>
      </c>
      <c r="C6308" t="s">
        <v>24239</v>
      </c>
      <c r="D6308" t="s">
        <v>28738</v>
      </c>
      <c r="E6308" t="b">
        <v>0</v>
      </c>
      <c r="F6308" t="s">
        <v>11610</v>
      </c>
      <c r="L6308">
        <v>0</v>
      </c>
      <c r="M6308">
        <v>0</v>
      </c>
      <c r="N6308">
        <v>0</v>
      </c>
    </row>
    <row r="6309" spans="1:15">
      <c r="A6309" t="s">
        <v>28739</v>
      </c>
      <c r="B6309" t="s">
        <v>11637</v>
      </c>
      <c r="C6309" t="s">
        <v>23993</v>
      </c>
      <c r="D6309" t="s">
        <v>28740</v>
      </c>
      <c r="E6309" t="b">
        <v>0</v>
      </c>
      <c r="F6309" t="s">
        <v>11622</v>
      </c>
      <c r="L6309">
        <v>0</v>
      </c>
      <c r="M6309">
        <v>3</v>
      </c>
      <c r="N6309">
        <v>3</v>
      </c>
    </row>
    <row r="6310" spans="1:15">
      <c r="A6310" t="s">
        <v>28741</v>
      </c>
      <c r="B6310" t="s">
        <v>11637</v>
      </c>
      <c r="C6310" t="s">
        <v>28739</v>
      </c>
      <c r="D6310" t="s">
        <v>28742</v>
      </c>
      <c r="E6310" t="b">
        <v>0</v>
      </c>
      <c r="F6310" t="s">
        <v>11624</v>
      </c>
      <c r="G6310">
        <v>35.1982</v>
      </c>
      <c r="H6310">
        <v>71.5428</v>
      </c>
      <c r="I6310" t="s">
        <v>28743</v>
      </c>
      <c r="L6310">
        <v>0</v>
      </c>
      <c r="M6310">
        <v>0</v>
      </c>
      <c r="N6310">
        <v>0</v>
      </c>
      <c r="O6310" t="s">
        <v>21350</v>
      </c>
    </row>
    <row r="6311" spans="1:15">
      <c r="A6311" t="s">
        <v>28744</v>
      </c>
      <c r="B6311" t="s">
        <v>11644</v>
      </c>
      <c r="C6311" t="s">
        <v>23834</v>
      </c>
      <c r="D6311" t="s">
        <v>28745</v>
      </c>
      <c r="E6311" t="b">
        <v>0</v>
      </c>
      <c r="F6311" t="s">
        <v>11610</v>
      </c>
      <c r="L6311">
        <v>0</v>
      </c>
      <c r="M6311">
        <v>0</v>
      </c>
      <c r="N6311">
        <v>0</v>
      </c>
    </row>
    <row r="6312" spans="1:15">
      <c r="A6312" t="s">
        <v>28746</v>
      </c>
      <c r="B6312" t="s">
        <v>10597</v>
      </c>
      <c r="C6312" t="s">
        <v>28465</v>
      </c>
      <c r="D6312" t="s">
        <v>28747</v>
      </c>
      <c r="E6312" t="b">
        <v>0</v>
      </c>
      <c r="F6312" t="s">
        <v>11610</v>
      </c>
      <c r="L6312">
        <v>0</v>
      </c>
      <c r="M6312">
        <v>0</v>
      </c>
      <c r="N6312">
        <v>0</v>
      </c>
    </row>
    <row r="6313" spans="1:15">
      <c r="A6313" t="s">
        <v>28748</v>
      </c>
      <c r="B6313" t="s">
        <v>11637</v>
      </c>
      <c r="C6313" t="s">
        <v>17020</v>
      </c>
      <c r="D6313" t="s">
        <v>28749</v>
      </c>
      <c r="E6313" t="b">
        <v>0</v>
      </c>
      <c r="F6313" t="s">
        <v>11610</v>
      </c>
      <c r="L6313">
        <v>0</v>
      </c>
      <c r="M6313">
        <v>0</v>
      </c>
      <c r="N6313">
        <v>0</v>
      </c>
    </row>
    <row r="6314" spans="1:15">
      <c r="A6314" t="s">
        <v>28750</v>
      </c>
      <c r="B6314" t="s">
        <v>11637</v>
      </c>
      <c r="C6314" t="s">
        <v>28751</v>
      </c>
      <c r="D6314" t="s">
        <v>28752</v>
      </c>
      <c r="E6314" t="b">
        <v>0</v>
      </c>
      <c r="F6314" t="s">
        <v>11610</v>
      </c>
      <c r="L6314">
        <v>0</v>
      </c>
      <c r="M6314">
        <v>0</v>
      </c>
      <c r="N6314">
        <v>0</v>
      </c>
    </row>
    <row r="6315" spans="1:15">
      <c r="A6315" t="s">
        <v>28753</v>
      </c>
      <c r="B6315" t="s">
        <v>11794</v>
      </c>
      <c r="C6315" t="s">
        <v>28754</v>
      </c>
      <c r="D6315" t="s">
        <v>28755</v>
      </c>
      <c r="E6315" t="b">
        <v>0</v>
      </c>
      <c r="F6315" t="s">
        <v>11610</v>
      </c>
      <c r="L6315">
        <v>0</v>
      </c>
      <c r="M6315">
        <v>0</v>
      </c>
      <c r="N6315">
        <v>0</v>
      </c>
    </row>
    <row r="6316" spans="1:15">
      <c r="A6316" t="s">
        <v>28756</v>
      </c>
      <c r="B6316" t="s">
        <v>11607</v>
      </c>
      <c r="C6316" t="s">
        <v>28757</v>
      </c>
      <c r="D6316" t="s">
        <v>28758</v>
      </c>
      <c r="E6316" t="b">
        <v>0</v>
      </c>
      <c r="F6316" t="s">
        <v>11610</v>
      </c>
      <c r="L6316">
        <v>0</v>
      </c>
      <c r="M6316">
        <v>0</v>
      </c>
      <c r="N6316">
        <v>0</v>
      </c>
    </row>
    <row r="6317" spans="1:15">
      <c r="A6317" t="s">
        <v>24786</v>
      </c>
      <c r="B6317" t="s">
        <v>11607</v>
      </c>
      <c r="C6317" t="s">
        <v>25505</v>
      </c>
      <c r="D6317" t="s">
        <v>28759</v>
      </c>
      <c r="E6317" t="b">
        <v>0</v>
      </c>
      <c r="F6317" t="s">
        <v>11624</v>
      </c>
      <c r="G6317">
        <v>5.3786899999999997</v>
      </c>
      <c r="H6317">
        <v>37.273699999999998</v>
      </c>
      <c r="I6317" t="s">
        <v>28760</v>
      </c>
      <c r="L6317">
        <v>0</v>
      </c>
      <c r="M6317">
        <v>0</v>
      </c>
      <c r="N6317">
        <v>6</v>
      </c>
      <c r="O6317" t="s">
        <v>11625</v>
      </c>
    </row>
    <row r="6318" spans="1:15">
      <c r="A6318" t="s">
        <v>28761</v>
      </c>
      <c r="B6318" t="s">
        <v>6742</v>
      </c>
      <c r="C6318" t="s">
        <v>28351</v>
      </c>
      <c r="D6318" t="s">
        <v>28762</v>
      </c>
      <c r="E6318" t="b">
        <v>0</v>
      </c>
      <c r="F6318" t="s">
        <v>11610</v>
      </c>
      <c r="L6318">
        <v>0</v>
      </c>
      <c r="M6318">
        <v>0</v>
      </c>
      <c r="N6318">
        <v>0</v>
      </c>
    </row>
    <row r="6319" spans="1:15">
      <c r="A6319" t="s">
        <v>28763</v>
      </c>
      <c r="B6319" t="s">
        <v>11607</v>
      </c>
      <c r="C6319" t="s">
        <v>13119</v>
      </c>
      <c r="D6319" t="s">
        <v>28764</v>
      </c>
      <c r="E6319" t="b">
        <v>0</v>
      </c>
      <c r="F6319" t="s">
        <v>11610</v>
      </c>
      <c r="L6319">
        <v>0</v>
      </c>
      <c r="M6319">
        <v>0</v>
      </c>
      <c r="N6319">
        <v>0</v>
      </c>
    </row>
    <row r="6320" spans="1:15">
      <c r="A6320" t="s">
        <v>28765</v>
      </c>
      <c r="B6320" t="s">
        <v>11607</v>
      </c>
      <c r="C6320" t="s">
        <v>25288</v>
      </c>
      <c r="D6320" t="s">
        <v>28766</v>
      </c>
      <c r="E6320" t="b">
        <v>0</v>
      </c>
      <c r="F6320" t="s">
        <v>11610</v>
      </c>
      <c r="L6320">
        <v>0</v>
      </c>
      <c r="M6320">
        <v>0</v>
      </c>
      <c r="N6320">
        <v>0</v>
      </c>
    </row>
    <row r="6321" spans="1:15">
      <c r="A6321" t="s">
        <v>28767</v>
      </c>
      <c r="B6321" t="s">
        <v>11607</v>
      </c>
      <c r="C6321" t="s">
        <v>6491</v>
      </c>
      <c r="D6321" t="s">
        <v>28768</v>
      </c>
      <c r="E6321" t="b">
        <v>0</v>
      </c>
      <c r="F6321" t="s">
        <v>11610</v>
      </c>
      <c r="L6321">
        <v>0</v>
      </c>
      <c r="M6321">
        <v>0</v>
      </c>
      <c r="N6321">
        <v>0</v>
      </c>
    </row>
    <row r="6322" spans="1:15">
      <c r="A6322" t="s">
        <v>28769</v>
      </c>
      <c r="B6322" t="s">
        <v>6742</v>
      </c>
      <c r="C6322" t="s">
        <v>19704</v>
      </c>
      <c r="D6322" t="s">
        <v>28770</v>
      </c>
      <c r="E6322" t="b">
        <v>0</v>
      </c>
      <c r="F6322" t="s">
        <v>11610</v>
      </c>
      <c r="L6322">
        <v>0</v>
      </c>
      <c r="M6322">
        <v>0</v>
      </c>
      <c r="N6322">
        <v>0</v>
      </c>
    </row>
    <row r="6323" spans="1:15">
      <c r="A6323" t="s">
        <v>28771</v>
      </c>
      <c r="B6323" t="s">
        <v>11619</v>
      </c>
      <c r="C6323" t="s">
        <v>11618</v>
      </c>
      <c r="D6323" t="s">
        <v>28772</v>
      </c>
      <c r="E6323" t="b">
        <v>0</v>
      </c>
      <c r="F6323" t="s">
        <v>11624</v>
      </c>
      <c r="G6323">
        <v>6.1503399999999999</v>
      </c>
      <c r="H6323">
        <v>36.672110000000004</v>
      </c>
      <c r="I6323" t="s">
        <v>28773</v>
      </c>
      <c r="L6323">
        <v>0</v>
      </c>
      <c r="M6323">
        <v>0</v>
      </c>
      <c r="N6323">
        <v>0</v>
      </c>
      <c r="O6323" t="s">
        <v>11625</v>
      </c>
    </row>
    <row r="6324" spans="1:15">
      <c r="A6324" t="s">
        <v>28774</v>
      </c>
      <c r="B6324" t="s">
        <v>6742</v>
      </c>
      <c r="C6324" t="s">
        <v>7100</v>
      </c>
      <c r="D6324" t="s">
        <v>28775</v>
      </c>
      <c r="E6324" t="b">
        <v>0</v>
      </c>
      <c r="F6324" t="s">
        <v>11610</v>
      </c>
      <c r="L6324">
        <v>0</v>
      </c>
      <c r="M6324">
        <v>0</v>
      </c>
      <c r="N6324">
        <v>0</v>
      </c>
    </row>
    <row r="6325" spans="1:15">
      <c r="A6325" t="s">
        <v>19010</v>
      </c>
      <c r="B6325" t="s">
        <v>367</v>
      </c>
      <c r="C6325" t="s">
        <v>28776</v>
      </c>
      <c r="D6325" t="s">
        <v>28777</v>
      </c>
      <c r="E6325" t="b">
        <v>0</v>
      </c>
      <c r="F6325" t="s">
        <v>11624</v>
      </c>
      <c r="G6325">
        <v>4.3733000000000004</v>
      </c>
      <c r="H6325">
        <v>97.345600000000005</v>
      </c>
      <c r="I6325" t="s">
        <v>28778</v>
      </c>
      <c r="L6325">
        <v>0</v>
      </c>
      <c r="M6325">
        <v>0</v>
      </c>
      <c r="N6325">
        <v>4</v>
      </c>
      <c r="O6325" t="s">
        <v>11768</v>
      </c>
    </row>
    <row r="6326" spans="1:15">
      <c r="A6326" t="s">
        <v>28779</v>
      </c>
      <c r="B6326" t="s">
        <v>15490</v>
      </c>
      <c r="C6326" t="s">
        <v>15490</v>
      </c>
      <c r="D6326" t="s">
        <v>28780</v>
      </c>
      <c r="E6326" t="b">
        <v>0</v>
      </c>
      <c r="F6326" t="s">
        <v>11610</v>
      </c>
      <c r="L6326">
        <v>0</v>
      </c>
      <c r="M6326">
        <v>0</v>
      </c>
      <c r="N6326">
        <v>0</v>
      </c>
    </row>
    <row r="6327" spans="1:15">
      <c r="A6327" t="s">
        <v>28781</v>
      </c>
      <c r="B6327" t="s">
        <v>11637</v>
      </c>
      <c r="C6327" t="s">
        <v>21850</v>
      </c>
      <c r="D6327" t="s">
        <v>28782</v>
      </c>
      <c r="E6327" t="b">
        <v>0</v>
      </c>
      <c r="F6327" t="s">
        <v>11624</v>
      </c>
      <c r="G6327">
        <v>34.035699999999999</v>
      </c>
      <c r="H6327">
        <v>49.455300000000001</v>
      </c>
      <c r="I6327" t="s">
        <v>28783</v>
      </c>
      <c r="L6327">
        <v>0</v>
      </c>
      <c r="M6327">
        <v>0</v>
      </c>
      <c r="N6327">
        <v>0</v>
      </c>
      <c r="O6327" t="s">
        <v>13225</v>
      </c>
    </row>
    <row r="6328" spans="1:15">
      <c r="A6328" t="s">
        <v>28784</v>
      </c>
      <c r="B6328" t="s">
        <v>331</v>
      </c>
      <c r="C6328" t="s">
        <v>13639</v>
      </c>
      <c r="D6328" t="s">
        <v>28785</v>
      </c>
      <c r="E6328" t="b">
        <v>0</v>
      </c>
      <c r="F6328" t="s">
        <v>11610</v>
      </c>
      <c r="L6328">
        <v>0</v>
      </c>
      <c r="M6328">
        <v>0</v>
      </c>
      <c r="N6328">
        <v>0</v>
      </c>
    </row>
    <row r="6329" spans="1:15">
      <c r="A6329" t="s">
        <v>28786</v>
      </c>
      <c r="B6329" t="s">
        <v>6742</v>
      </c>
      <c r="C6329" t="s">
        <v>19698</v>
      </c>
      <c r="D6329" t="s">
        <v>28787</v>
      </c>
      <c r="E6329" t="b">
        <v>0</v>
      </c>
      <c r="F6329" t="s">
        <v>11610</v>
      </c>
      <c r="L6329">
        <v>0</v>
      </c>
      <c r="M6329">
        <v>0</v>
      </c>
      <c r="N6329">
        <v>0</v>
      </c>
    </row>
    <row r="6330" spans="1:15">
      <c r="A6330" t="s">
        <v>28788</v>
      </c>
      <c r="B6330" t="s">
        <v>6742</v>
      </c>
      <c r="C6330" t="s">
        <v>28789</v>
      </c>
      <c r="D6330" t="s">
        <v>28790</v>
      </c>
      <c r="E6330" t="b">
        <v>0</v>
      </c>
      <c r="F6330" t="s">
        <v>11610</v>
      </c>
      <c r="L6330">
        <v>0</v>
      </c>
      <c r="M6330">
        <v>0</v>
      </c>
      <c r="N6330">
        <v>0</v>
      </c>
    </row>
    <row r="6331" spans="1:15">
      <c r="A6331" t="s">
        <v>28791</v>
      </c>
      <c r="B6331" t="s">
        <v>6742</v>
      </c>
      <c r="C6331" t="s">
        <v>28313</v>
      </c>
      <c r="D6331" t="s">
        <v>28792</v>
      </c>
      <c r="E6331" t="b">
        <v>0</v>
      </c>
      <c r="F6331" t="s">
        <v>11610</v>
      </c>
      <c r="L6331">
        <v>0</v>
      </c>
      <c r="M6331">
        <v>0</v>
      </c>
      <c r="N6331">
        <v>0</v>
      </c>
    </row>
    <row r="6332" spans="1:15">
      <c r="A6332" t="s">
        <v>28793</v>
      </c>
      <c r="B6332" t="s">
        <v>6742</v>
      </c>
      <c r="C6332" t="s">
        <v>18362</v>
      </c>
      <c r="D6332" t="s">
        <v>28794</v>
      </c>
      <c r="E6332" t="b">
        <v>0</v>
      </c>
      <c r="F6332" t="s">
        <v>11610</v>
      </c>
      <c r="L6332">
        <v>0</v>
      </c>
      <c r="M6332">
        <v>0</v>
      </c>
      <c r="N6332">
        <v>0</v>
      </c>
    </row>
    <row r="6333" spans="1:15">
      <c r="A6333" t="s">
        <v>28795</v>
      </c>
      <c r="B6333" t="s">
        <v>6742</v>
      </c>
      <c r="C6333" t="s">
        <v>20015</v>
      </c>
      <c r="D6333" t="s">
        <v>28796</v>
      </c>
      <c r="E6333" t="b">
        <v>0</v>
      </c>
      <c r="F6333" t="s">
        <v>11610</v>
      </c>
      <c r="L6333">
        <v>0</v>
      </c>
      <c r="M6333">
        <v>0</v>
      </c>
      <c r="N6333">
        <v>0</v>
      </c>
    </row>
    <row r="6334" spans="1:15">
      <c r="A6334" t="s">
        <v>28797</v>
      </c>
      <c r="B6334" t="s">
        <v>6742</v>
      </c>
      <c r="C6334" t="s">
        <v>8097</v>
      </c>
      <c r="D6334" t="s">
        <v>28798</v>
      </c>
      <c r="E6334" t="b">
        <v>0</v>
      </c>
      <c r="F6334" t="s">
        <v>11610</v>
      </c>
      <c r="L6334">
        <v>0</v>
      </c>
      <c r="M6334">
        <v>0</v>
      </c>
      <c r="N6334">
        <v>0</v>
      </c>
    </row>
    <row r="6335" spans="1:15">
      <c r="A6335" t="s">
        <v>28799</v>
      </c>
      <c r="B6335" t="s">
        <v>6742</v>
      </c>
      <c r="C6335" t="s">
        <v>16541</v>
      </c>
      <c r="D6335" t="s">
        <v>28800</v>
      </c>
      <c r="E6335" t="b">
        <v>0</v>
      </c>
      <c r="F6335" t="s">
        <v>11610</v>
      </c>
      <c r="L6335">
        <v>0</v>
      </c>
      <c r="M6335">
        <v>0</v>
      </c>
      <c r="N6335">
        <v>0</v>
      </c>
    </row>
    <row r="6336" spans="1:15">
      <c r="A6336" t="s">
        <v>28801</v>
      </c>
      <c r="B6336" t="s">
        <v>6742</v>
      </c>
      <c r="C6336" t="s">
        <v>28802</v>
      </c>
      <c r="D6336" t="s">
        <v>28803</v>
      </c>
      <c r="E6336" t="b">
        <v>0</v>
      </c>
      <c r="F6336" t="s">
        <v>11622</v>
      </c>
      <c r="L6336">
        <v>0</v>
      </c>
      <c r="M6336">
        <v>2</v>
      </c>
      <c r="N6336">
        <v>18</v>
      </c>
    </row>
    <row r="6337" spans="1:15">
      <c r="A6337" t="s">
        <v>28804</v>
      </c>
      <c r="B6337" t="s">
        <v>6742</v>
      </c>
      <c r="C6337" t="s">
        <v>19704</v>
      </c>
      <c r="D6337" t="s">
        <v>28805</v>
      </c>
      <c r="E6337" t="b">
        <v>0</v>
      </c>
      <c r="F6337" t="s">
        <v>11610</v>
      </c>
      <c r="L6337">
        <v>0</v>
      </c>
      <c r="M6337">
        <v>0</v>
      </c>
      <c r="N6337">
        <v>0</v>
      </c>
    </row>
    <row r="6338" spans="1:15">
      <c r="A6338" t="s">
        <v>24810</v>
      </c>
      <c r="B6338" t="s">
        <v>6742</v>
      </c>
      <c r="C6338" t="s">
        <v>28801</v>
      </c>
      <c r="D6338" t="s">
        <v>28806</v>
      </c>
      <c r="E6338" t="b">
        <v>0</v>
      </c>
      <c r="F6338" t="s">
        <v>11624</v>
      </c>
      <c r="G6338">
        <v>9.2984200000000001</v>
      </c>
      <c r="H6338">
        <v>6.9049500000000004</v>
      </c>
      <c r="I6338" t="s">
        <v>28807</v>
      </c>
      <c r="L6338">
        <v>0</v>
      </c>
      <c r="M6338">
        <v>0</v>
      </c>
      <c r="N6338">
        <v>8</v>
      </c>
      <c r="O6338" t="s">
        <v>11693</v>
      </c>
    </row>
    <row r="6339" spans="1:15">
      <c r="A6339" t="s">
        <v>28808</v>
      </c>
      <c r="B6339" t="s">
        <v>6742</v>
      </c>
      <c r="C6339" t="s">
        <v>16541</v>
      </c>
      <c r="D6339" t="s">
        <v>28809</v>
      </c>
      <c r="E6339" t="b">
        <v>0</v>
      </c>
      <c r="F6339" t="s">
        <v>11610</v>
      </c>
      <c r="L6339">
        <v>0</v>
      </c>
      <c r="M6339">
        <v>0</v>
      </c>
      <c r="N6339">
        <v>0</v>
      </c>
    </row>
    <row r="6340" spans="1:15">
      <c r="A6340" t="s">
        <v>28810</v>
      </c>
      <c r="B6340" t="s">
        <v>6742</v>
      </c>
      <c r="C6340" t="s">
        <v>20720</v>
      </c>
      <c r="D6340" t="s">
        <v>28811</v>
      </c>
      <c r="E6340" t="b">
        <v>0</v>
      </c>
      <c r="F6340" t="s">
        <v>11624</v>
      </c>
      <c r="G6340">
        <v>4.6846699999999997</v>
      </c>
      <c r="H6340">
        <v>20.260899999999999</v>
      </c>
      <c r="I6340" t="s">
        <v>28812</v>
      </c>
      <c r="L6340">
        <v>0</v>
      </c>
      <c r="M6340">
        <v>0</v>
      </c>
      <c r="N6340">
        <v>0</v>
      </c>
      <c r="O6340" t="s">
        <v>13069</v>
      </c>
    </row>
    <row r="6341" spans="1:15">
      <c r="A6341" t="s">
        <v>28813</v>
      </c>
      <c r="B6341" t="s">
        <v>6742</v>
      </c>
      <c r="C6341" t="s">
        <v>28814</v>
      </c>
      <c r="D6341" t="s">
        <v>28815</v>
      </c>
      <c r="E6341" t="b">
        <v>0</v>
      </c>
      <c r="F6341" t="s">
        <v>11622</v>
      </c>
      <c r="L6341">
        <v>3</v>
      </c>
      <c r="M6341">
        <v>5</v>
      </c>
      <c r="N6341">
        <v>3</v>
      </c>
    </row>
    <row r="6342" spans="1:15">
      <c r="A6342" t="s">
        <v>20015</v>
      </c>
      <c r="B6342" t="s">
        <v>6742</v>
      </c>
      <c r="C6342" t="s">
        <v>28813</v>
      </c>
      <c r="D6342" t="s">
        <v>28816</v>
      </c>
      <c r="E6342" t="b">
        <v>0</v>
      </c>
      <c r="F6342" t="s">
        <v>11624</v>
      </c>
      <c r="G6342">
        <v>5.2818300000000002</v>
      </c>
      <c r="H6342">
        <v>17.3887</v>
      </c>
      <c r="I6342" t="s">
        <v>28817</v>
      </c>
      <c r="L6342">
        <v>0</v>
      </c>
      <c r="M6342">
        <v>0</v>
      </c>
      <c r="N6342">
        <v>3</v>
      </c>
      <c r="O6342" t="s">
        <v>16548</v>
      </c>
    </row>
    <row r="6343" spans="1:15">
      <c r="A6343" t="s">
        <v>28818</v>
      </c>
      <c r="B6343" t="s">
        <v>6742</v>
      </c>
      <c r="C6343" t="s">
        <v>28819</v>
      </c>
      <c r="D6343" t="s">
        <v>28820</v>
      </c>
      <c r="E6343" t="b">
        <v>0</v>
      </c>
      <c r="F6343" t="s">
        <v>11610</v>
      </c>
      <c r="L6343">
        <v>0</v>
      </c>
      <c r="M6343">
        <v>0</v>
      </c>
      <c r="N6343">
        <v>0</v>
      </c>
    </row>
    <row r="6344" spans="1:15">
      <c r="A6344" t="s">
        <v>28821</v>
      </c>
      <c r="B6344" t="s">
        <v>6742</v>
      </c>
      <c r="C6344" t="s">
        <v>20025</v>
      </c>
      <c r="D6344" t="s">
        <v>28822</v>
      </c>
      <c r="E6344" t="b">
        <v>0</v>
      </c>
      <c r="F6344" t="s">
        <v>11610</v>
      </c>
      <c r="L6344">
        <v>0</v>
      </c>
      <c r="M6344">
        <v>0</v>
      </c>
      <c r="N6344">
        <v>0</v>
      </c>
    </row>
    <row r="6345" spans="1:15">
      <c r="A6345" t="s">
        <v>28823</v>
      </c>
      <c r="B6345" t="s">
        <v>13276</v>
      </c>
      <c r="C6345" t="s">
        <v>18350</v>
      </c>
      <c r="D6345" t="s">
        <v>28824</v>
      </c>
      <c r="E6345" t="b">
        <v>0</v>
      </c>
      <c r="F6345" t="s">
        <v>11610</v>
      </c>
      <c r="L6345">
        <v>0</v>
      </c>
      <c r="M6345">
        <v>0</v>
      </c>
      <c r="N6345">
        <v>0</v>
      </c>
    </row>
    <row r="6346" spans="1:15">
      <c r="A6346" t="s">
        <v>28825</v>
      </c>
      <c r="B6346" t="s">
        <v>12697</v>
      </c>
      <c r="C6346" t="s">
        <v>14175</v>
      </c>
      <c r="D6346" t="s">
        <v>28826</v>
      </c>
      <c r="E6346" t="b">
        <v>0</v>
      </c>
      <c r="F6346" t="s">
        <v>11610</v>
      </c>
      <c r="L6346">
        <v>0</v>
      </c>
      <c r="M6346">
        <v>0</v>
      </c>
      <c r="N6346">
        <v>0</v>
      </c>
    </row>
    <row r="6347" spans="1:15">
      <c r="A6347" t="s">
        <v>19704</v>
      </c>
      <c r="B6347" t="s">
        <v>6742</v>
      </c>
      <c r="C6347" t="s">
        <v>28801</v>
      </c>
      <c r="D6347" t="s">
        <v>28827</v>
      </c>
      <c r="E6347" t="b">
        <v>0</v>
      </c>
      <c r="F6347" t="s">
        <v>11624</v>
      </c>
      <c r="G6347">
        <v>8.4641099999999998</v>
      </c>
      <c r="H6347">
        <v>7.1075699999999999</v>
      </c>
      <c r="I6347" t="s">
        <v>28828</v>
      </c>
      <c r="L6347">
        <v>0</v>
      </c>
      <c r="M6347">
        <v>0</v>
      </c>
      <c r="N6347">
        <v>10</v>
      </c>
      <c r="O6347" t="s">
        <v>11693</v>
      </c>
    </row>
    <row r="6348" spans="1:15">
      <c r="A6348" t="s">
        <v>28829</v>
      </c>
      <c r="B6348" t="s">
        <v>6742</v>
      </c>
      <c r="C6348" t="s">
        <v>18362</v>
      </c>
      <c r="D6348" t="s">
        <v>28830</v>
      </c>
      <c r="E6348" t="b">
        <v>0</v>
      </c>
      <c r="F6348" t="s">
        <v>11610</v>
      </c>
      <c r="L6348">
        <v>0</v>
      </c>
      <c r="M6348">
        <v>0</v>
      </c>
      <c r="N6348">
        <v>0</v>
      </c>
    </row>
    <row r="6349" spans="1:15">
      <c r="A6349" t="s">
        <v>28831</v>
      </c>
      <c r="B6349" t="s">
        <v>6742</v>
      </c>
      <c r="C6349" t="s">
        <v>21495</v>
      </c>
      <c r="D6349" t="s">
        <v>28832</v>
      </c>
      <c r="E6349" t="b">
        <v>0</v>
      </c>
      <c r="F6349" t="s">
        <v>11610</v>
      </c>
      <c r="L6349">
        <v>0</v>
      </c>
      <c r="M6349">
        <v>0</v>
      </c>
      <c r="N6349">
        <v>0</v>
      </c>
    </row>
    <row r="6350" spans="1:15">
      <c r="A6350" t="s">
        <v>28833</v>
      </c>
      <c r="B6350" t="s">
        <v>11627</v>
      </c>
      <c r="C6350" t="s">
        <v>11627</v>
      </c>
      <c r="D6350" t="s">
        <v>28834</v>
      </c>
      <c r="E6350" t="b">
        <v>1</v>
      </c>
      <c r="F6350" t="s">
        <v>11624</v>
      </c>
      <c r="G6350">
        <v>2.9858500000000001</v>
      </c>
      <c r="H6350">
        <v>28.7911</v>
      </c>
      <c r="I6350" t="s">
        <v>28835</v>
      </c>
      <c r="L6350">
        <v>0</v>
      </c>
      <c r="M6350">
        <v>0</v>
      </c>
      <c r="N6350">
        <v>0</v>
      </c>
      <c r="O6350" t="s">
        <v>14825</v>
      </c>
    </row>
    <row r="6351" spans="1:15">
      <c r="A6351" t="s">
        <v>28836</v>
      </c>
      <c r="B6351" t="s">
        <v>6742</v>
      </c>
      <c r="C6351" t="s">
        <v>28837</v>
      </c>
      <c r="D6351" t="s">
        <v>28838</v>
      </c>
      <c r="E6351" t="b">
        <v>0</v>
      </c>
      <c r="F6351" t="s">
        <v>11624</v>
      </c>
      <c r="G6351">
        <v>5.5737800000000002</v>
      </c>
      <c r="H6351">
        <v>21.970700000000001</v>
      </c>
      <c r="I6351" t="s">
        <v>28839</v>
      </c>
      <c r="L6351">
        <v>0</v>
      </c>
      <c r="M6351">
        <v>0</v>
      </c>
      <c r="N6351">
        <v>0</v>
      </c>
      <c r="O6351" t="s">
        <v>16548</v>
      </c>
    </row>
    <row r="6352" spans="1:15">
      <c r="A6352" t="s">
        <v>7095</v>
      </c>
      <c r="B6352" t="s">
        <v>6742</v>
      </c>
      <c r="C6352" t="s">
        <v>19959</v>
      </c>
      <c r="D6352" t="s">
        <v>28840</v>
      </c>
      <c r="E6352" t="b">
        <v>0</v>
      </c>
      <c r="F6352" t="s">
        <v>11622</v>
      </c>
      <c r="L6352">
        <v>11</v>
      </c>
      <c r="M6352">
        <v>14</v>
      </c>
      <c r="N6352">
        <v>23</v>
      </c>
    </row>
    <row r="6353" spans="1:15">
      <c r="A6353" t="s">
        <v>28814</v>
      </c>
      <c r="B6353" t="s">
        <v>6742</v>
      </c>
      <c r="C6353" t="s">
        <v>7095</v>
      </c>
      <c r="D6353" t="s">
        <v>28841</v>
      </c>
      <c r="E6353" t="b">
        <v>0</v>
      </c>
      <c r="F6353" t="s">
        <v>11622</v>
      </c>
      <c r="L6353">
        <v>5</v>
      </c>
      <c r="M6353">
        <v>7</v>
      </c>
      <c r="N6353">
        <v>3</v>
      </c>
    </row>
    <row r="6354" spans="1:15">
      <c r="A6354" t="s">
        <v>28842</v>
      </c>
      <c r="B6354" t="s">
        <v>6742</v>
      </c>
      <c r="C6354" t="s">
        <v>19089</v>
      </c>
      <c r="D6354" t="s">
        <v>28843</v>
      </c>
      <c r="E6354" t="b">
        <v>0</v>
      </c>
      <c r="F6354" t="s">
        <v>11624</v>
      </c>
      <c r="G6354">
        <v>4.8003650000000002</v>
      </c>
      <c r="H6354">
        <v>14.606865000000001</v>
      </c>
      <c r="I6354" t="s">
        <v>28844</v>
      </c>
      <c r="L6354">
        <v>0</v>
      </c>
      <c r="M6354">
        <v>0</v>
      </c>
      <c r="N6354">
        <v>0</v>
      </c>
      <c r="O6354" t="s">
        <v>28845</v>
      </c>
    </row>
    <row r="6355" spans="1:15">
      <c r="A6355" t="s">
        <v>19178</v>
      </c>
      <c r="B6355" t="s">
        <v>6742</v>
      </c>
      <c r="C6355" t="s">
        <v>7095</v>
      </c>
      <c r="D6355" t="s">
        <v>28846</v>
      </c>
      <c r="E6355" t="b">
        <v>0</v>
      </c>
      <c r="F6355" t="s">
        <v>11622</v>
      </c>
      <c r="L6355">
        <v>4</v>
      </c>
      <c r="M6355">
        <v>7</v>
      </c>
      <c r="N6355">
        <v>20</v>
      </c>
    </row>
    <row r="6356" spans="1:15">
      <c r="A6356" t="s">
        <v>28847</v>
      </c>
      <c r="B6356" t="s">
        <v>6742</v>
      </c>
      <c r="C6356" t="s">
        <v>7100</v>
      </c>
      <c r="D6356" t="s">
        <v>28848</v>
      </c>
      <c r="E6356" t="b">
        <v>0</v>
      </c>
      <c r="F6356" t="s">
        <v>11610</v>
      </c>
      <c r="L6356">
        <v>0</v>
      </c>
      <c r="M6356">
        <v>0</v>
      </c>
      <c r="N6356">
        <v>0</v>
      </c>
    </row>
    <row r="6357" spans="1:15">
      <c r="A6357" t="s">
        <v>16630</v>
      </c>
      <c r="B6357" t="s">
        <v>6742</v>
      </c>
      <c r="C6357" t="s">
        <v>19178</v>
      </c>
      <c r="D6357" t="s">
        <v>28849</v>
      </c>
      <c r="E6357" t="b">
        <v>0</v>
      </c>
      <c r="F6357" t="s">
        <v>11622</v>
      </c>
      <c r="L6357">
        <v>0</v>
      </c>
      <c r="M6357">
        <v>2</v>
      </c>
      <c r="N6357">
        <v>2</v>
      </c>
    </row>
    <row r="6358" spans="1:15">
      <c r="A6358" t="s">
        <v>28850</v>
      </c>
      <c r="B6358" t="s">
        <v>6742</v>
      </c>
      <c r="C6358" t="s">
        <v>19180</v>
      </c>
      <c r="D6358" t="s">
        <v>28851</v>
      </c>
      <c r="E6358" t="b">
        <v>0</v>
      </c>
      <c r="F6358" t="s">
        <v>11610</v>
      </c>
      <c r="L6358">
        <v>0</v>
      </c>
      <c r="M6358">
        <v>0</v>
      </c>
      <c r="N6358">
        <v>0</v>
      </c>
    </row>
    <row r="6359" spans="1:15">
      <c r="A6359" t="s">
        <v>19794</v>
      </c>
      <c r="B6359" t="s">
        <v>6742</v>
      </c>
      <c r="C6359" t="s">
        <v>28852</v>
      </c>
      <c r="D6359" t="s">
        <v>28853</v>
      </c>
      <c r="E6359" t="b">
        <v>0</v>
      </c>
      <c r="F6359" t="s">
        <v>11624</v>
      </c>
      <c r="G6359">
        <v>5.9878999999999998</v>
      </c>
      <c r="H6359">
        <v>16.464300000000001</v>
      </c>
      <c r="I6359" t="s">
        <v>28854</v>
      </c>
      <c r="L6359">
        <v>0</v>
      </c>
      <c r="M6359">
        <v>0</v>
      </c>
      <c r="N6359">
        <v>3</v>
      </c>
      <c r="O6359" t="s">
        <v>16548</v>
      </c>
    </row>
    <row r="6360" spans="1:15">
      <c r="A6360" t="s">
        <v>19698</v>
      </c>
      <c r="B6360" t="s">
        <v>6742</v>
      </c>
      <c r="C6360" t="s">
        <v>28855</v>
      </c>
      <c r="D6360" t="s">
        <v>28856</v>
      </c>
      <c r="E6360" t="b">
        <v>0</v>
      </c>
      <c r="F6360" t="s">
        <v>11624</v>
      </c>
      <c r="G6360">
        <v>6.6189600000000004</v>
      </c>
      <c r="H6360">
        <v>17.645</v>
      </c>
      <c r="I6360" t="s">
        <v>28857</v>
      </c>
      <c r="L6360">
        <v>0</v>
      </c>
      <c r="M6360">
        <v>0</v>
      </c>
      <c r="N6360">
        <v>2</v>
      </c>
      <c r="O6360" t="s">
        <v>16548</v>
      </c>
    </row>
    <row r="6361" spans="1:15">
      <c r="A6361" t="s">
        <v>25273</v>
      </c>
      <c r="B6361" t="s">
        <v>12611</v>
      </c>
      <c r="C6361" t="s">
        <v>12611</v>
      </c>
      <c r="D6361" t="s">
        <v>28858</v>
      </c>
      <c r="E6361" t="b">
        <v>0</v>
      </c>
      <c r="F6361" t="s">
        <v>11624</v>
      </c>
      <c r="G6361">
        <v>8.4339099999999991</v>
      </c>
      <c r="H6361">
        <v>25.517299999999999</v>
      </c>
      <c r="I6361" t="s">
        <v>28859</v>
      </c>
      <c r="L6361">
        <v>0</v>
      </c>
      <c r="M6361">
        <v>0</v>
      </c>
      <c r="N6361">
        <v>7</v>
      </c>
      <c r="O6361" t="s">
        <v>16540</v>
      </c>
    </row>
    <row r="6362" spans="1:15">
      <c r="A6362" t="s">
        <v>28860</v>
      </c>
      <c r="B6362" t="s">
        <v>12611</v>
      </c>
      <c r="C6362" t="s">
        <v>25273</v>
      </c>
      <c r="D6362" t="s">
        <v>28861</v>
      </c>
      <c r="E6362" t="b">
        <v>0</v>
      </c>
      <c r="F6362" t="s">
        <v>11610</v>
      </c>
      <c r="L6362">
        <v>0</v>
      </c>
      <c r="M6362">
        <v>0</v>
      </c>
      <c r="N6362">
        <v>0</v>
      </c>
    </row>
    <row r="6363" spans="1:15">
      <c r="A6363" t="s">
        <v>28862</v>
      </c>
      <c r="B6363" t="s">
        <v>12611</v>
      </c>
      <c r="C6363" t="s">
        <v>25273</v>
      </c>
      <c r="D6363" t="s">
        <v>28863</v>
      </c>
      <c r="E6363" t="b">
        <v>0</v>
      </c>
      <c r="F6363" t="s">
        <v>11610</v>
      </c>
      <c r="L6363">
        <v>0</v>
      </c>
      <c r="M6363">
        <v>0</v>
      </c>
      <c r="N6363">
        <v>0</v>
      </c>
    </row>
    <row r="6364" spans="1:15">
      <c r="A6364" t="s">
        <v>28864</v>
      </c>
      <c r="B6364" t="s">
        <v>12611</v>
      </c>
      <c r="C6364" t="s">
        <v>25273</v>
      </c>
      <c r="D6364" t="s">
        <v>28865</v>
      </c>
      <c r="E6364" t="b">
        <v>0</v>
      </c>
      <c r="F6364" t="s">
        <v>11610</v>
      </c>
      <c r="L6364">
        <v>0</v>
      </c>
      <c r="M6364">
        <v>0</v>
      </c>
      <c r="N6364">
        <v>0</v>
      </c>
    </row>
    <row r="6365" spans="1:15">
      <c r="A6365" t="s">
        <v>28866</v>
      </c>
      <c r="B6365" t="s">
        <v>12611</v>
      </c>
      <c r="C6365" t="s">
        <v>25273</v>
      </c>
      <c r="D6365" t="s">
        <v>28867</v>
      </c>
      <c r="E6365" t="b">
        <v>0</v>
      </c>
      <c r="F6365" t="s">
        <v>11610</v>
      </c>
      <c r="L6365">
        <v>0</v>
      </c>
      <c r="M6365">
        <v>0</v>
      </c>
      <c r="N6365">
        <v>0</v>
      </c>
    </row>
    <row r="6366" spans="1:15">
      <c r="A6366" t="s">
        <v>28868</v>
      </c>
      <c r="B6366" t="s">
        <v>6742</v>
      </c>
      <c r="C6366" t="s">
        <v>3193</v>
      </c>
      <c r="D6366" t="s">
        <v>28869</v>
      </c>
      <c r="E6366" t="b">
        <v>0</v>
      </c>
      <c r="F6366" t="s">
        <v>11610</v>
      </c>
      <c r="L6366">
        <v>0</v>
      </c>
      <c r="M6366">
        <v>0</v>
      </c>
      <c r="N6366">
        <v>0</v>
      </c>
    </row>
    <row r="6367" spans="1:15">
      <c r="A6367" t="s">
        <v>12604</v>
      </c>
      <c r="B6367" t="s">
        <v>6742</v>
      </c>
      <c r="C6367" t="s">
        <v>28255</v>
      </c>
      <c r="D6367" t="s">
        <v>28870</v>
      </c>
      <c r="E6367" t="b">
        <v>0</v>
      </c>
      <c r="F6367" t="s">
        <v>11622</v>
      </c>
      <c r="L6367">
        <v>2</v>
      </c>
      <c r="M6367">
        <v>22</v>
      </c>
      <c r="N6367">
        <v>45</v>
      </c>
    </row>
    <row r="6368" spans="1:15">
      <c r="A6368" t="s">
        <v>28871</v>
      </c>
      <c r="B6368" t="s">
        <v>6742</v>
      </c>
      <c r="C6368" t="s">
        <v>28872</v>
      </c>
      <c r="D6368" t="s">
        <v>28873</v>
      </c>
      <c r="E6368" t="b">
        <v>0</v>
      </c>
      <c r="F6368" t="s">
        <v>11610</v>
      </c>
      <c r="L6368">
        <v>0</v>
      </c>
      <c r="M6368">
        <v>0</v>
      </c>
      <c r="N6368">
        <v>0</v>
      </c>
    </row>
    <row r="6369" spans="1:15">
      <c r="A6369" t="s">
        <v>28874</v>
      </c>
      <c r="B6369" t="s">
        <v>6742</v>
      </c>
      <c r="C6369" t="s">
        <v>16545</v>
      </c>
      <c r="D6369" t="s">
        <v>28875</v>
      </c>
      <c r="E6369" t="b">
        <v>0</v>
      </c>
      <c r="F6369" t="s">
        <v>11610</v>
      </c>
      <c r="L6369">
        <v>0</v>
      </c>
      <c r="M6369">
        <v>0</v>
      </c>
      <c r="N6369">
        <v>0</v>
      </c>
    </row>
    <row r="6370" spans="1:15">
      <c r="A6370" t="s">
        <v>28876</v>
      </c>
      <c r="B6370" t="s">
        <v>13276</v>
      </c>
      <c r="C6370" t="s">
        <v>20688</v>
      </c>
      <c r="D6370" t="s">
        <v>28877</v>
      </c>
      <c r="E6370" t="b">
        <v>0</v>
      </c>
      <c r="F6370" t="s">
        <v>11610</v>
      </c>
      <c r="L6370">
        <v>0</v>
      </c>
      <c r="M6370">
        <v>0</v>
      </c>
      <c r="N6370">
        <v>0</v>
      </c>
    </row>
    <row r="6371" spans="1:15">
      <c r="A6371" t="s">
        <v>28878</v>
      </c>
      <c r="B6371" t="s">
        <v>6742</v>
      </c>
      <c r="C6371" t="s">
        <v>22382</v>
      </c>
      <c r="D6371" t="s">
        <v>28879</v>
      </c>
      <c r="E6371" t="b">
        <v>0</v>
      </c>
      <c r="F6371" t="s">
        <v>11610</v>
      </c>
      <c r="L6371">
        <v>0</v>
      </c>
      <c r="M6371">
        <v>0</v>
      </c>
      <c r="N6371">
        <v>0</v>
      </c>
    </row>
    <row r="6372" spans="1:15">
      <c r="A6372" t="s">
        <v>28880</v>
      </c>
      <c r="B6372" t="s">
        <v>11729</v>
      </c>
      <c r="C6372" t="s">
        <v>17832</v>
      </c>
      <c r="D6372" t="s">
        <v>28881</v>
      </c>
      <c r="E6372" t="b">
        <v>0</v>
      </c>
      <c r="F6372" t="s">
        <v>11622</v>
      </c>
      <c r="L6372">
        <v>0</v>
      </c>
      <c r="M6372">
        <v>3</v>
      </c>
      <c r="N6372">
        <v>3</v>
      </c>
    </row>
    <row r="6373" spans="1:15">
      <c r="A6373" t="s">
        <v>28882</v>
      </c>
      <c r="B6373" t="s">
        <v>6742</v>
      </c>
      <c r="C6373" t="s">
        <v>15474</v>
      </c>
      <c r="D6373" t="s">
        <v>28883</v>
      </c>
      <c r="E6373" t="b">
        <v>0</v>
      </c>
      <c r="F6373" t="s">
        <v>11624</v>
      </c>
      <c r="G6373">
        <v>6.5591100000000004</v>
      </c>
      <c r="H6373">
        <v>2.0268999999999999</v>
      </c>
      <c r="I6373" t="s">
        <v>28884</v>
      </c>
      <c r="L6373">
        <v>0</v>
      </c>
      <c r="M6373">
        <v>0</v>
      </c>
      <c r="N6373">
        <v>1</v>
      </c>
      <c r="O6373" t="s">
        <v>15477</v>
      </c>
    </row>
    <row r="6374" spans="1:15">
      <c r="A6374" t="s">
        <v>28885</v>
      </c>
      <c r="B6374" t="s">
        <v>6742</v>
      </c>
      <c r="C6374" t="s">
        <v>28886</v>
      </c>
      <c r="D6374" t="s">
        <v>28887</v>
      </c>
      <c r="E6374" t="b">
        <v>0</v>
      </c>
      <c r="F6374" t="s">
        <v>11610</v>
      </c>
      <c r="L6374">
        <v>0</v>
      </c>
      <c r="M6374">
        <v>0</v>
      </c>
      <c r="N6374">
        <v>0</v>
      </c>
    </row>
    <row r="6375" spans="1:15">
      <c r="A6375" t="s">
        <v>28852</v>
      </c>
      <c r="B6375" t="s">
        <v>6742</v>
      </c>
      <c r="C6375" t="s">
        <v>19177</v>
      </c>
      <c r="D6375" t="s">
        <v>28888</v>
      </c>
      <c r="E6375" t="b">
        <v>0</v>
      </c>
      <c r="F6375" t="s">
        <v>11622</v>
      </c>
      <c r="L6375">
        <v>1</v>
      </c>
      <c r="M6375">
        <v>3</v>
      </c>
      <c r="N6375">
        <v>5</v>
      </c>
    </row>
    <row r="6376" spans="1:15">
      <c r="A6376" t="s">
        <v>28855</v>
      </c>
      <c r="B6376" t="s">
        <v>6742</v>
      </c>
      <c r="C6376" t="s">
        <v>28852</v>
      </c>
      <c r="D6376" t="s">
        <v>28889</v>
      </c>
      <c r="E6376" t="b">
        <v>0</v>
      </c>
      <c r="F6376" t="s">
        <v>11622</v>
      </c>
      <c r="L6376">
        <v>0</v>
      </c>
      <c r="M6376">
        <v>2</v>
      </c>
      <c r="N6376">
        <v>2</v>
      </c>
    </row>
    <row r="6377" spans="1:15">
      <c r="A6377" t="s">
        <v>28890</v>
      </c>
      <c r="B6377" t="s">
        <v>6742</v>
      </c>
      <c r="C6377" t="s">
        <v>25102</v>
      </c>
      <c r="D6377" t="s">
        <v>28891</v>
      </c>
      <c r="E6377" t="b">
        <v>0</v>
      </c>
      <c r="F6377" t="s">
        <v>11610</v>
      </c>
      <c r="L6377">
        <v>0</v>
      </c>
      <c r="M6377">
        <v>0</v>
      </c>
      <c r="N6377">
        <v>0</v>
      </c>
    </row>
    <row r="6378" spans="1:15">
      <c r="A6378" t="s">
        <v>28892</v>
      </c>
      <c r="B6378" t="s">
        <v>6742</v>
      </c>
      <c r="C6378" t="s">
        <v>8097</v>
      </c>
      <c r="D6378" t="s">
        <v>28893</v>
      </c>
      <c r="E6378" t="b">
        <v>0</v>
      </c>
      <c r="F6378" t="s">
        <v>11610</v>
      </c>
      <c r="L6378">
        <v>0</v>
      </c>
      <c r="M6378">
        <v>0</v>
      </c>
      <c r="N6378">
        <v>0</v>
      </c>
    </row>
    <row r="6379" spans="1:15">
      <c r="A6379" t="s">
        <v>25301</v>
      </c>
      <c r="B6379" t="s">
        <v>6742</v>
      </c>
      <c r="C6379" t="s">
        <v>17312</v>
      </c>
      <c r="D6379" t="s">
        <v>28894</v>
      </c>
      <c r="E6379" t="b">
        <v>0</v>
      </c>
      <c r="F6379" t="s">
        <v>11624</v>
      </c>
      <c r="G6379">
        <v>5.8702100000000002</v>
      </c>
      <c r="H6379">
        <v>-8.9345999999999997</v>
      </c>
      <c r="I6379" t="s">
        <v>28895</v>
      </c>
      <c r="L6379">
        <v>0</v>
      </c>
      <c r="M6379">
        <v>0</v>
      </c>
      <c r="N6379">
        <v>2</v>
      </c>
      <c r="O6379" t="s">
        <v>17011</v>
      </c>
    </row>
    <row r="6380" spans="1:15">
      <c r="A6380" t="s">
        <v>28896</v>
      </c>
      <c r="B6380" t="s">
        <v>6742</v>
      </c>
      <c r="C6380" t="s">
        <v>134</v>
      </c>
      <c r="D6380" t="s">
        <v>28897</v>
      </c>
      <c r="E6380" t="b">
        <v>0</v>
      </c>
      <c r="F6380" t="s">
        <v>11610</v>
      </c>
      <c r="L6380">
        <v>0</v>
      </c>
      <c r="M6380">
        <v>0</v>
      </c>
      <c r="N6380">
        <v>0</v>
      </c>
    </row>
    <row r="6381" spans="1:15">
      <c r="A6381" t="s">
        <v>28898</v>
      </c>
      <c r="B6381" t="s">
        <v>13276</v>
      </c>
      <c r="C6381" t="s">
        <v>28899</v>
      </c>
      <c r="D6381" t="s">
        <v>28900</v>
      </c>
      <c r="E6381" t="b">
        <v>0</v>
      </c>
      <c r="F6381" t="s">
        <v>11624</v>
      </c>
      <c r="G6381">
        <v>8.0208569999999995</v>
      </c>
      <c r="H6381">
        <v>-2.811213</v>
      </c>
      <c r="I6381" t="s">
        <v>28901</v>
      </c>
      <c r="L6381">
        <v>0</v>
      </c>
      <c r="M6381">
        <v>0</v>
      </c>
      <c r="N6381">
        <v>0</v>
      </c>
      <c r="O6381" t="s">
        <v>11735</v>
      </c>
    </row>
    <row r="6382" spans="1:15">
      <c r="A6382" t="s">
        <v>28902</v>
      </c>
      <c r="B6382" t="s">
        <v>6742</v>
      </c>
      <c r="C6382" t="s">
        <v>18654</v>
      </c>
      <c r="D6382" t="s">
        <v>28903</v>
      </c>
      <c r="E6382" t="b">
        <v>0</v>
      </c>
      <c r="F6382" t="s">
        <v>11624</v>
      </c>
      <c r="G6382">
        <v>10.392300000000001</v>
      </c>
      <c r="H6382">
        <v>8.4315700000000007</v>
      </c>
      <c r="I6382" t="s">
        <v>28904</v>
      </c>
      <c r="L6382">
        <v>0</v>
      </c>
      <c r="M6382">
        <v>0</v>
      </c>
      <c r="N6382">
        <v>2</v>
      </c>
      <c r="O6382" t="s">
        <v>11693</v>
      </c>
    </row>
    <row r="6383" spans="1:15">
      <c r="A6383" t="s">
        <v>28905</v>
      </c>
      <c r="B6383" t="s">
        <v>6742</v>
      </c>
      <c r="C6383" t="s">
        <v>28902</v>
      </c>
      <c r="D6383" t="s">
        <v>28906</v>
      </c>
      <c r="E6383" t="b">
        <v>0</v>
      </c>
      <c r="F6383" t="s">
        <v>11610</v>
      </c>
      <c r="L6383">
        <v>0</v>
      </c>
      <c r="M6383">
        <v>0</v>
      </c>
      <c r="N6383">
        <v>0</v>
      </c>
    </row>
    <row r="6384" spans="1:15">
      <c r="A6384" t="s">
        <v>28907</v>
      </c>
      <c r="B6384" t="s">
        <v>13276</v>
      </c>
      <c r="C6384" t="s">
        <v>18350</v>
      </c>
      <c r="D6384" t="s">
        <v>28908</v>
      </c>
      <c r="E6384" t="b">
        <v>0</v>
      </c>
      <c r="F6384" t="s">
        <v>11610</v>
      </c>
      <c r="L6384">
        <v>0</v>
      </c>
      <c r="M6384">
        <v>0</v>
      </c>
      <c r="N6384">
        <v>0</v>
      </c>
    </row>
    <row r="6385" spans="1:15">
      <c r="A6385" t="s">
        <v>28909</v>
      </c>
      <c r="B6385" t="s">
        <v>6742</v>
      </c>
      <c r="C6385" t="s">
        <v>25102</v>
      </c>
      <c r="D6385" t="s">
        <v>28910</v>
      </c>
      <c r="E6385" t="b">
        <v>0</v>
      </c>
      <c r="F6385" t="s">
        <v>11610</v>
      </c>
      <c r="L6385">
        <v>0</v>
      </c>
      <c r="M6385">
        <v>0</v>
      </c>
      <c r="N6385">
        <v>0</v>
      </c>
    </row>
    <row r="6386" spans="1:15">
      <c r="A6386" t="s">
        <v>28911</v>
      </c>
      <c r="B6386" t="s">
        <v>6742</v>
      </c>
      <c r="C6386" t="s">
        <v>28882</v>
      </c>
      <c r="D6386" t="s">
        <v>28912</v>
      </c>
      <c r="E6386" t="b">
        <v>0</v>
      </c>
      <c r="F6386" t="s">
        <v>11610</v>
      </c>
      <c r="L6386">
        <v>0</v>
      </c>
      <c r="M6386">
        <v>0</v>
      </c>
      <c r="N6386">
        <v>0</v>
      </c>
    </row>
    <row r="6387" spans="1:15">
      <c r="A6387" t="s">
        <v>18347</v>
      </c>
      <c r="B6387" t="s">
        <v>6742</v>
      </c>
      <c r="C6387" t="s">
        <v>21497</v>
      </c>
      <c r="D6387" t="s">
        <v>28913</v>
      </c>
      <c r="E6387" t="b">
        <v>0</v>
      </c>
      <c r="F6387" t="s">
        <v>11624</v>
      </c>
      <c r="G6387">
        <v>4.7540500000000003</v>
      </c>
      <c r="H6387">
        <v>-7.6669900000000002</v>
      </c>
      <c r="I6387" t="s">
        <v>28914</v>
      </c>
      <c r="L6387">
        <v>0</v>
      </c>
      <c r="M6387">
        <v>0</v>
      </c>
      <c r="N6387">
        <v>4</v>
      </c>
      <c r="O6387" t="s">
        <v>23855</v>
      </c>
    </row>
    <row r="6388" spans="1:15">
      <c r="A6388" t="s">
        <v>21497</v>
      </c>
      <c r="B6388" t="s">
        <v>6742</v>
      </c>
      <c r="C6388" t="s">
        <v>17008</v>
      </c>
      <c r="D6388" t="s">
        <v>28915</v>
      </c>
      <c r="E6388" t="b">
        <v>0</v>
      </c>
      <c r="F6388" t="s">
        <v>11622</v>
      </c>
      <c r="L6388">
        <v>0</v>
      </c>
      <c r="M6388">
        <v>2</v>
      </c>
      <c r="N6388">
        <v>9</v>
      </c>
    </row>
    <row r="6389" spans="1:15">
      <c r="A6389" t="s">
        <v>28916</v>
      </c>
      <c r="B6389" t="s">
        <v>6742</v>
      </c>
      <c r="C6389" t="s">
        <v>25013</v>
      </c>
      <c r="D6389" t="s">
        <v>28917</v>
      </c>
      <c r="E6389" t="b">
        <v>0</v>
      </c>
      <c r="F6389" t="s">
        <v>11610</v>
      </c>
      <c r="L6389">
        <v>0</v>
      </c>
      <c r="M6389">
        <v>0</v>
      </c>
      <c r="N6389">
        <v>0</v>
      </c>
    </row>
    <row r="6390" spans="1:15">
      <c r="A6390" t="s">
        <v>28918</v>
      </c>
      <c r="B6390" t="s">
        <v>6742</v>
      </c>
      <c r="C6390" t="s">
        <v>18362</v>
      </c>
      <c r="D6390" t="s">
        <v>28919</v>
      </c>
      <c r="E6390" t="b">
        <v>0</v>
      </c>
      <c r="F6390" t="s">
        <v>11610</v>
      </c>
      <c r="L6390">
        <v>0</v>
      </c>
      <c r="M6390">
        <v>0</v>
      </c>
      <c r="N6390">
        <v>0</v>
      </c>
    </row>
    <row r="6391" spans="1:15">
      <c r="A6391" t="s">
        <v>28920</v>
      </c>
      <c r="B6391" t="s">
        <v>6742</v>
      </c>
      <c r="C6391" t="s">
        <v>18216</v>
      </c>
      <c r="D6391" t="s">
        <v>28921</v>
      </c>
      <c r="E6391" t="b">
        <v>0</v>
      </c>
      <c r="F6391" t="s">
        <v>11610</v>
      </c>
      <c r="L6391">
        <v>0</v>
      </c>
      <c r="M6391">
        <v>0</v>
      </c>
      <c r="N6391">
        <v>0</v>
      </c>
    </row>
    <row r="6392" spans="1:15">
      <c r="A6392" t="s">
        <v>28922</v>
      </c>
      <c r="B6392" t="s">
        <v>6742</v>
      </c>
      <c r="C6392" t="s">
        <v>21495</v>
      </c>
      <c r="D6392" t="s">
        <v>28923</v>
      </c>
      <c r="E6392" t="b">
        <v>0</v>
      </c>
      <c r="F6392" t="s">
        <v>11610</v>
      </c>
      <c r="L6392">
        <v>0</v>
      </c>
      <c r="M6392">
        <v>0</v>
      </c>
      <c r="N6392">
        <v>0</v>
      </c>
    </row>
    <row r="6393" spans="1:15">
      <c r="A6393" t="s">
        <v>28924</v>
      </c>
      <c r="B6393" t="s">
        <v>6742</v>
      </c>
      <c r="C6393" t="s">
        <v>18362</v>
      </c>
      <c r="D6393" t="s">
        <v>28925</v>
      </c>
      <c r="E6393" t="b">
        <v>0</v>
      </c>
      <c r="F6393" t="s">
        <v>11610</v>
      </c>
      <c r="L6393">
        <v>0</v>
      </c>
      <c r="M6393">
        <v>0</v>
      </c>
      <c r="N6393">
        <v>0</v>
      </c>
    </row>
    <row r="6394" spans="1:15">
      <c r="A6394" t="s">
        <v>28926</v>
      </c>
      <c r="B6394" t="s">
        <v>6742</v>
      </c>
      <c r="C6394" t="s">
        <v>25446</v>
      </c>
      <c r="D6394" t="s">
        <v>28927</v>
      </c>
      <c r="E6394" t="b">
        <v>0</v>
      </c>
      <c r="F6394" t="s">
        <v>11610</v>
      </c>
      <c r="L6394">
        <v>0</v>
      </c>
      <c r="M6394">
        <v>0</v>
      </c>
      <c r="N6394">
        <v>0</v>
      </c>
    </row>
    <row r="6395" spans="1:15">
      <c r="A6395" t="s">
        <v>28928</v>
      </c>
      <c r="B6395" t="s">
        <v>6742</v>
      </c>
      <c r="C6395" t="s">
        <v>11971</v>
      </c>
      <c r="D6395" t="s">
        <v>28929</v>
      </c>
      <c r="E6395" t="b">
        <v>0</v>
      </c>
      <c r="F6395" t="s">
        <v>11610</v>
      </c>
      <c r="L6395">
        <v>0</v>
      </c>
      <c r="M6395">
        <v>0</v>
      </c>
      <c r="N6395">
        <v>0</v>
      </c>
    </row>
    <row r="6396" spans="1:15">
      <c r="A6396" t="s">
        <v>28930</v>
      </c>
      <c r="B6396" t="s">
        <v>6742</v>
      </c>
      <c r="C6396" t="s">
        <v>12870</v>
      </c>
      <c r="D6396" t="s">
        <v>28931</v>
      </c>
      <c r="E6396" t="b">
        <v>0</v>
      </c>
      <c r="F6396" t="s">
        <v>11610</v>
      </c>
      <c r="L6396">
        <v>0</v>
      </c>
      <c r="M6396">
        <v>0</v>
      </c>
      <c r="N6396">
        <v>0</v>
      </c>
    </row>
    <row r="6397" spans="1:15">
      <c r="A6397" t="s">
        <v>28932</v>
      </c>
      <c r="B6397" t="s">
        <v>11644</v>
      </c>
      <c r="C6397" t="s">
        <v>24223</v>
      </c>
      <c r="D6397" t="s">
        <v>28933</v>
      </c>
      <c r="E6397" t="b">
        <v>0</v>
      </c>
      <c r="F6397" t="s">
        <v>11610</v>
      </c>
      <c r="L6397">
        <v>0</v>
      </c>
      <c r="M6397">
        <v>0</v>
      </c>
      <c r="N6397">
        <v>0</v>
      </c>
    </row>
    <row r="6398" spans="1:15">
      <c r="A6398" t="s">
        <v>28934</v>
      </c>
      <c r="B6398" t="s">
        <v>14798</v>
      </c>
      <c r="C6398" t="s">
        <v>14799</v>
      </c>
      <c r="D6398" t="s">
        <v>28935</v>
      </c>
      <c r="E6398" t="b">
        <v>0</v>
      </c>
      <c r="F6398" t="s">
        <v>11610</v>
      </c>
      <c r="L6398">
        <v>0</v>
      </c>
      <c r="M6398">
        <v>0</v>
      </c>
      <c r="N6398">
        <v>0</v>
      </c>
    </row>
    <row r="6399" spans="1:15">
      <c r="A6399" t="s">
        <v>28936</v>
      </c>
      <c r="B6399" t="s">
        <v>6742</v>
      </c>
      <c r="C6399" t="s">
        <v>1906</v>
      </c>
      <c r="D6399" t="s">
        <v>28937</v>
      </c>
      <c r="E6399" t="b">
        <v>0</v>
      </c>
      <c r="F6399" t="s">
        <v>11610</v>
      </c>
      <c r="L6399">
        <v>0</v>
      </c>
      <c r="M6399">
        <v>0</v>
      </c>
      <c r="N6399">
        <v>0</v>
      </c>
    </row>
    <row r="6400" spans="1:15">
      <c r="A6400" t="s">
        <v>20754</v>
      </c>
      <c r="B6400" t="s">
        <v>11644</v>
      </c>
      <c r="C6400" t="s">
        <v>21409</v>
      </c>
      <c r="D6400" t="s">
        <v>28938</v>
      </c>
      <c r="E6400" t="b">
        <v>0</v>
      </c>
      <c r="F6400" t="s">
        <v>11622</v>
      </c>
      <c r="L6400">
        <v>0</v>
      </c>
      <c r="M6400">
        <v>2</v>
      </c>
      <c r="N6400">
        <v>0</v>
      </c>
    </row>
    <row r="6401" spans="1:15">
      <c r="A6401" t="s">
        <v>28939</v>
      </c>
      <c r="B6401" t="s">
        <v>11644</v>
      </c>
      <c r="C6401" t="s">
        <v>20754</v>
      </c>
      <c r="D6401" t="s">
        <v>28940</v>
      </c>
      <c r="E6401" t="b">
        <v>0</v>
      </c>
      <c r="F6401" t="s">
        <v>11624</v>
      </c>
      <c r="G6401">
        <v>19.499099999999999</v>
      </c>
      <c r="H6401">
        <v>96.949200000000005</v>
      </c>
      <c r="I6401" t="s">
        <v>28941</v>
      </c>
      <c r="L6401">
        <v>0</v>
      </c>
      <c r="M6401">
        <v>0</v>
      </c>
      <c r="N6401">
        <v>0</v>
      </c>
      <c r="O6401" t="s">
        <v>14059</v>
      </c>
    </row>
    <row r="6402" spans="1:15">
      <c r="A6402" t="s">
        <v>28942</v>
      </c>
      <c r="B6402" t="s">
        <v>367</v>
      </c>
      <c r="C6402" t="s">
        <v>21862</v>
      </c>
      <c r="D6402" t="s">
        <v>28943</v>
      </c>
      <c r="E6402" t="b">
        <v>0</v>
      </c>
      <c r="F6402" t="s">
        <v>11624</v>
      </c>
      <c r="G6402">
        <v>-7.8770000000000007E-2</v>
      </c>
      <c r="H6402">
        <v>129.42400000000001</v>
      </c>
      <c r="I6402" t="s">
        <v>28944</v>
      </c>
      <c r="L6402">
        <v>0</v>
      </c>
      <c r="M6402">
        <v>0</v>
      </c>
      <c r="N6402">
        <v>1</v>
      </c>
      <c r="O6402" t="s">
        <v>11768</v>
      </c>
    </row>
    <row r="6403" spans="1:15">
      <c r="A6403" t="s">
        <v>28945</v>
      </c>
      <c r="B6403" t="s">
        <v>13518</v>
      </c>
      <c r="C6403" t="s">
        <v>13519</v>
      </c>
      <c r="D6403" t="s">
        <v>28946</v>
      </c>
      <c r="E6403" t="b">
        <v>0</v>
      </c>
      <c r="F6403" t="s">
        <v>11610</v>
      </c>
      <c r="L6403">
        <v>0</v>
      </c>
      <c r="M6403">
        <v>0</v>
      </c>
      <c r="N6403">
        <v>0</v>
      </c>
    </row>
    <row r="6404" spans="1:15">
      <c r="A6404" t="s">
        <v>28947</v>
      </c>
      <c r="B6404" t="s">
        <v>11637</v>
      </c>
      <c r="C6404" t="s">
        <v>28948</v>
      </c>
      <c r="D6404" t="s">
        <v>28949</v>
      </c>
      <c r="E6404" t="b">
        <v>0</v>
      </c>
      <c r="F6404" t="s">
        <v>11610</v>
      </c>
      <c r="L6404">
        <v>0</v>
      </c>
      <c r="M6404">
        <v>0</v>
      </c>
      <c r="N6404">
        <v>0</v>
      </c>
    </row>
    <row r="6405" spans="1:15">
      <c r="A6405" t="s">
        <v>28950</v>
      </c>
      <c r="B6405" t="s">
        <v>367</v>
      </c>
      <c r="C6405" t="s">
        <v>18572</v>
      </c>
      <c r="D6405" t="s">
        <v>28951</v>
      </c>
      <c r="E6405" t="b">
        <v>0</v>
      </c>
      <c r="F6405" t="s">
        <v>11624</v>
      </c>
      <c r="G6405">
        <v>-5.1817500000000001</v>
      </c>
      <c r="H6405">
        <v>145.78100000000001</v>
      </c>
      <c r="I6405" t="s">
        <v>28952</v>
      </c>
      <c r="L6405">
        <v>0</v>
      </c>
      <c r="M6405">
        <v>0</v>
      </c>
      <c r="N6405">
        <v>0</v>
      </c>
      <c r="O6405" t="s">
        <v>11660</v>
      </c>
    </row>
    <row r="6406" spans="1:15">
      <c r="A6406" t="s">
        <v>28953</v>
      </c>
      <c r="B6406" t="s">
        <v>6742</v>
      </c>
      <c r="C6406" t="s">
        <v>12811</v>
      </c>
      <c r="D6406" t="s">
        <v>28954</v>
      </c>
      <c r="E6406" t="b">
        <v>0</v>
      </c>
      <c r="F6406" t="s">
        <v>11610</v>
      </c>
      <c r="L6406">
        <v>0</v>
      </c>
      <c r="M6406">
        <v>0</v>
      </c>
      <c r="N6406">
        <v>0</v>
      </c>
    </row>
    <row r="6407" spans="1:15">
      <c r="A6407" t="s">
        <v>28955</v>
      </c>
      <c r="B6407" t="s">
        <v>6742</v>
      </c>
      <c r="C6407" t="s">
        <v>18347</v>
      </c>
      <c r="D6407" t="s">
        <v>28956</v>
      </c>
      <c r="E6407" t="b">
        <v>0</v>
      </c>
      <c r="F6407" t="s">
        <v>11610</v>
      </c>
      <c r="L6407">
        <v>0</v>
      </c>
      <c r="M6407">
        <v>0</v>
      </c>
      <c r="N6407">
        <v>0</v>
      </c>
    </row>
    <row r="6408" spans="1:15">
      <c r="A6408" t="s">
        <v>28957</v>
      </c>
      <c r="B6408" t="s">
        <v>11607</v>
      </c>
      <c r="C6408" t="s">
        <v>28958</v>
      </c>
      <c r="D6408" t="s">
        <v>28959</v>
      </c>
      <c r="E6408" t="b">
        <v>0</v>
      </c>
      <c r="F6408" t="s">
        <v>11624</v>
      </c>
      <c r="G6408">
        <v>6.1846899999999998</v>
      </c>
      <c r="H6408">
        <v>38.2395</v>
      </c>
      <c r="I6408" t="s">
        <v>28960</v>
      </c>
      <c r="L6408">
        <v>0</v>
      </c>
      <c r="M6408">
        <v>0</v>
      </c>
      <c r="N6408">
        <v>0</v>
      </c>
      <c r="O6408" t="s">
        <v>11625</v>
      </c>
    </row>
    <row r="6409" spans="1:15">
      <c r="A6409" t="s">
        <v>28961</v>
      </c>
      <c r="B6409" t="s">
        <v>11844</v>
      </c>
      <c r="C6409" t="s">
        <v>24024</v>
      </c>
      <c r="D6409" t="s">
        <v>28962</v>
      </c>
      <c r="E6409" t="b">
        <v>0</v>
      </c>
      <c r="F6409" t="s">
        <v>11610</v>
      </c>
      <c r="L6409">
        <v>0</v>
      </c>
      <c r="M6409">
        <v>0</v>
      </c>
      <c r="N6409">
        <v>0</v>
      </c>
    </row>
    <row r="6410" spans="1:15">
      <c r="A6410" t="s">
        <v>28963</v>
      </c>
      <c r="B6410" t="s">
        <v>5058</v>
      </c>
      <c r="C6410" t="s">
        <v>22892</v>
      </c>
      <c r="D6410" t="s">
        <v>28964</v>
      </c>
      <c r="E6410" t="b">
        <v>0</v>
      </c>
      <c r="F6410" t="s">
        <v>11624</v>
      </c>
      <c r="G6410">
        <v>26.854199999999999</v>
      </c>
      <c r="H6410">
        <v>107.82299999999999</v>
      </c>
      <c r="I6410" t="s">
        <v>28965</v>
      </c>
      <c r="L6410">
        <v>0</v>
      </c>
      <c r="M6410">
        <v>0</v>
      </c>
      <c r="N6410">
        <v>1</v>
      </c>
      <c r="O6410" t="s">
        <v>11905</v>
      </c>
    </row>
    <row r="6411" spans="1:15">
      <c r="A6411" t="s">
        <v>15142</v>
      </c>
      <c r="D6411" t="s">
        <v>28966</v>
      </c>
      <c r="E6411" t="b">
        <v>0</v>
      </c>
      <c r="F6411" t="s">
        <v>11622</v>
      </c>
      <c r="L6411">
        <v>3</v>
      </c>
      <c r="M6411">
        <v>10</v>
      </c>
      <c r="N6411">
        <v>5</v>
      </c>
    </row>
    <row r="6412" spans="1:15">
      <c r="A6412" t="s">
        <v>28967</v>
      </c>
      <c r="B6412" t="s">
        <v>11607</v>
      </c>
      <c r="C6412" t="s">
        <v>27491</v>
      </c>
      <c r="D6412" t="s">
        <v>28968</v>
      </c>
      <c r="E6412" t="b">
        <v>0</v>
      </c>
      <c r="F6412" t="s">
        <v>11624</v>
      </c>
      <c r="G6412">
        <v>10.1342</v>
      </c>
      <c r="H6412">
        <v>40.682099999999998</v>
      </c>
      <c r="I6412" t="s">
        <v>28969</v>
      </c>
      <c r="L6412">
        <v>0</v>
      </c>
      <c r="M6412">
        <v>0</v>
      </c>
      <c r="N6412">
        <v>0</v>
      </c>
      <c r="O6412" t="s">
        <v>28970</v>
      </c>
    </row>
    <row r="6413" spans="1:15">
      <c r="A6413" t="s">
        <v>28971</v>
      </c>
      <c r="B6413" t="s">
        <v>11644</v>
      </c>
      <c r="C6413" t="s">
        <v>13869</v>
      </c>
      <c r="D6413" t="s">
        <v>28972</v>
      </c>
      <c r="E6413" t="b">
        <v>0</v>
      </c>
      <c r="F6413" t="s">
        <v>11610</v>
      </c>
      <c r="L6413">
        <v>0</v>
      </c>
      <c r="M6413">
        <v>0</v>
      </c>
      <c r="N6413">
        <v>0</v>
      </c>
    </row>
    <row r="6414" spans="1:15">
      <c r="A6414" t="s">
        <v>28973</v>
      </c>
      <c r="B6414" t="s">
        <v>11965</v>
      </c>
      <c r="C6414" t="s">
        <v>28974</v>
      </c>
      <c r="D6414" t="s">
        <v>28975</v>
      </c>
      <c r="E6414" t="b">
        <v>0</v>
      </c>
      <c r="F6414" t="s">
        <v>11624</v>
      </c>
      <c r="G6414">
        <v>-6.56</v>
      </c>
      <c r="H6414">
        <v>-43</v>
      </c>
      <c r="L6414">
        <v>0</v>
      </c>
      <c r="M6414">
        <v>0</v>
      </c>
      <c r="N6414">
        <v>0</v>
      </c>
      <c r="O6414" t="s">
        <v>11969</v>
      </c>
    </row>
    <row r="6415" spans="1:15">
      <c r="A6415" t="s">
        <v>28976</v>
      </c>
      <c r="B6415" t="s">
        <v>5058</v>
      </c>
      <c r="C6415" t="s">
        <v>28963</v>
      </c>
      <c r="D6415" t="s">
        <v>28977</v>
      </c>
      <c r="E6415" t="b">
        <v>0</v>
      </c>
      <c r="F6415" t="s">
        <v>11610</v>
      </c>
      <c r="L6415">
        <v>0</v>
      </c>
      <c r="M6415">
        <v>0</v>
      </c>
      <c r="N6415">
        <v>0</v>
      </c>
    </row>
    <row r="6416" spans="1:15">
      <c r="A6416" t="s">
        <v>19315</v>
      </c>
      <c r="B6416" t="s">
        <v>11607</v>
      </c>
      <c r="C6416" t="s">
        <v>28978</v>
      </c>
      <c r="D6416" t="s">
        <v>28979</v>
      </c>
      <c r="E6416" t="b">
        <v>0</v>
      </c>
      <c r="F6416" t="s">
        <v>11624</v>
      </c>
      <c r="G6416">
        <v>10.347799999999999</v>
      </c>
      <c r="H6416">
        <v>9.6496499999999994</v>
      </c>
      <c r="I6416" t="s">
        <v>28980</v>
      </c>
      <c r="L6416">
        <v>0</v>
      </c>
      <c r="M6416">
        <v>0</v>
      </c>
      <c r="N6416">
        <v>3</v>
      </c>
      <c r="O6416" t="s">
        <v>11693</v>
      </c>
    </row>
    <row r="6417" spans="1:15">
      <c r="A6417" t="s">
        <v>28981</v>
      </c>
      <c r="B6417" t="s">
        <v>11644</v>
      </c>
      <c r="C6417" t="s">
        <v>21409</v>
      </c>
      <c r="D6417" t="s">
        <v>28982</v>
      </c>
      <c r="E6417" t="b">
        <v>0</v>
      </c>
      <c r="F6417" t="s">
        <v>11624</v>
      </c>
      <c r="G6417">
        <v>19.674099999999999</v>
      </c>
      <c r="H6417">
        <v>96.530799999999999</v>
      </c>
      <c r="I6417" t="s">
        <v>28983</v>
      </c>
      <c r="L6417">
        <v>0</v>
      </c>
      <c r="M6417">
        <v>0</v>
      </c>
      <c r="N6417">
        <v>0</v>
      </c>
      <c r="O6417" t="s">
        <v>14059</v>
      </c>
    </row>
    <row r="6418" spans="1:15">
      <c r="A6418" t="s">
        <v>28984</v>
      </c>
      <c r="B6418" t="s">
        <v>12311</v>
      </c>
      <c r="C6418" t="s">
        <v>12310</v>
      </c>
      <c r="D6418" t="s">
        <v>28985</v>
      </c>
      <c r="E6418" t="b">
        <v>0</v>
      </c>
      <c r="F6418" t="s">
        <v>11610</v>
      </c>
      <c r="L6418">
        <v>0</v>
      </c>
      <c r="M6418">
        <v>0</v>
      </c>
      <c r="N6418">
        <v>0</v>
      </c>
    </row>
    <row r="6419" spans="1:15">
      <c r="A6419" t="s">
        <v>28986</v>
      </c>
      <c r="B6419" t="s">
        <v>11627</v>
      </c>
      <c r="C6419" t="s">
        <v>11627</v>
      </c>
      <c r="D6419" t="s">
        <v>28987</v>
      </c>
      <c r="E6419" t="b">
        <v>1</v>
      </c>
      <c r="F6419" t="s">
        <v>11624</v>
      </c>
      <c r="G6419">
        <v>26.154499999999999</v>
      </c>
      <c r="H6419">
        <v>106.235</v>
      </c>
      <c r="I6419" t="s">
        <v>28988</v>
      </c>
      <c r="L6419">
        <v>0</v>
      </c>
      <c r="M6419">
        <v>0</v>
      </c>
      <c r="N6419">
        <v>0</v>
      </c>
      <c r="O6419" t="s">
        <v>11905</v>
      </c>
    </row>
    <row r="6420" spans="1:15">
      <c r="A6420" t="s">
        <v>28989</v>
      </c>
      <c r="B6420" t="s">
        <v>6742</v>
      </c>
      <c r="C6420" t="s">
        <v>28990</v>
      </c>
      <c r="D6420" t="s">
        <v>28991</v>
      </c>
      <c r="E6420" t="b">
        <v>0</v>
      </c>
      <c r="F6420" t="s">
        <v>11610</v>
      </c>
      <c r="L6420">
        <v>0</v>
      </c>
      <c r="M6420">
        <v>0</v>
      </c>
      <c r="N6420">
        <v>0</v>
      </c>
    </row>
    <row r="6421" spans="1:15">
      <c r="A6421" t="s">
        <v>28992</v>
      </c>
      <c r="B6421" t="s">
        <v>367</v>
      </c>
      <c r="C6421" t="s">
        <v>20080</v>
      </c>
      <c r="D6421" t="s">
        <v>28993</v>
      </c>
      <c r="E6421" t="b">
        <v>0</v>
      </c>
      <c r="F6421" t="s">
        <v>11624</v>
      </c>
      <c r="G6421">
        <v>-9.0458700000000007</v>
      </c>
      <c r="H6421">
        <v>160.18600000000001</v>
      </c>
      <c r="I6421" t="s">
        <v>28994</v>
      </c>
      <c r="L6421">
        <v>0</v>
      </c>
      <c r="M6421">
        <v>0</v>
      </c>
      <c r="N6421">
        <v>0</v>
      </c>
      <c r="O6421" t="s">
        <v>13346</v>
      </c>
    </row>
    <row r="6422" spans="1:15">
      <c r="A6422" t="s">
        <v>28995</v>
      </c>
      <c r="B6422" t="s">
        <v>5126</v>
      </c>
      <c r="C6422" t="s">
        <v>12457</v>
      </c>
      <c r="D6422" t="s">
        <v>28996</v>
      </c>
      <c r="E6422" t="b">
        <v>0</v>
      </c>
      <c r="F6422" t="s">
        <v>11624</v>
      </c>
      <c r="G6422">
        <v>26.574604999999998</v>
      </c>
      <c r="H6422">
        <v>107.239537</v>
      </c>
      <c r="I6422" t="s">
        <v>28997</v>
      </c>
      <c r="L6422">
        <v>0</v>
      </c>
      <c r="M6422">
        <v>0</v>
      </c>
      <c r="N6422">
        <v>0</v>
      </c>
      <c r="O6422" t="s">
        <v>11905</v>
      </c>
    </row>
    <row r="6423" spans="1:15">
      <c r="A6423" t="s">
        <v>28998</v>
      </c>
      <c r="B6423" t="s">
        <v>5126</v>
      </c>
      <c r="C6423" t="s">
        <v>28999</v>
      </c>
      <c r="D6423" t="s">
        <v>29000</v>
      </c>
      <c r="E6423" t="b">
        <v>0</v>
      </c>
      <c r="F6423" t="s">
        <v>11622</v>
      </c>
      <c r="L6423">
        <v>3</v>
      </c>
      <c r="M6423">
        <v>6</v>
      </c>
      <c r="N6423">
        <v>9</v>
      </c>
    </row>
    <row r="6424" spans="1:15">
      <c r="A6424" t="s">
        <v>29001</v>
      </c>
      <c r="B6424" t="s">
        <v>11644</v>
      </c>
      <c r="C6424" t="s">
        <v>13896</v>
      </c>
      <c r="D6424" t="s">
        <v>29002</v>
      </c>
      <c r="E6424" t="b">
        <v>0</v>
      </c>
      <c r="F6424" t="s">
        <v>11610</v>
      </c>
      <c r="L6424">
        <v>0</v>
      </c>
      <c r="M6424">
        <v>0</v>
      </c>
      <c r="N6424">
        <v>0</v>
      </c>
    </row>
    <row r="6425" spans="1:15">
      <c r="A6425" t="s">
        <v>29003</v>
      </c>
      <c r="B6425" t="s">
        <v>367</v>
      </c>
      <c r="C6425" t="s">
        <v>29004</v>
      </c>
      <c r="D6425" t="s">
        <v>29005</v>
      </c>
      <c r="E6425" t="b">
        <v>0</v>
      </c>
      <c r="F6425" t="s">
        <v>11610</v>
      </c>
      <c r="L6425">
        <v>0</v>
      </c>
      <c r="M6425">
        <v>0</v>
      </c>
      <c r="N6425">
        <v>0</v>
      </c>
    </row>
    <row r="6426" spans="1:15">
      <c r="A6426" t="s">
        <v>29006</v>
      </c>
      <c r="B6426" t="s">
        <v>11644</v>
      </c>
      <c r="C6426" t="s">
        <v>11644</v>
      </c>
      <c r="D6426" t="s">
        <v>29007</v>
      </c>
      <c r="E6426" t="b">
        <v>0</v>
      </c>
      <c r="F6426" t="s">
        <v>11622</v>
      </c>
      <c r="L6426">
        <v>0</v>
      </c>
      <c r="M6426">
        <v>2</v>
      </c>
      <c r="N6426">
        <v>0</v>
      </c>
    </row>
    <row r="6427" spans="1:15">
      <c r="A6427" t="s">
        <v>29008</v>
      </c>
      <c r="B6427" t="s">
        <v>11627</v>
      </c>
      <c r="C6427" t="s">
        <v>11627</v>
      </c>
      <c r="D6427" t="s">
        <v>29009</v>
      </c>
      <c r="E6427" t="b">
        <v>1</v>
      </c>
      <c r="F6427" t="s">
        <v>11624</v>
      </c>
      <c r="I6427" t="s">
        <v>29010</v>
      </c>
      <c r="L6427">
        <v>0</v>
      </c>
      <c r="M6427">
        <v>0</v>
      </c>
      <c r="N6427">
        <v>0</v>
      </c>
    </row>
    <row r="6428" spans="1:15">
      <c r="A6428" t="s">
        <v>29011</v>
      </c>
      <c r="B6428" t="s">
        <v>6742</v>
      </c>
      <c r="C6428" t="s">
        <v>29012</v>
      </c>
      <c r="D6428" t="s">
        <v>29013</v>
      </c>
      <c r="E6428" t="b">
        <v>0</v>
      </c>
      <c r="F6428" t="s">
        <v>11624</v>
      </c>
      <c r="G6428">
        <v>8.4835899999999995</v>
      </c>
      <c r="H6428">
        <v>20.661100000000001</v>
      </c>
      <c r="I6428" t="s">
        <v>29014</v>
      </c>
      <c r="L6428">
        <v>0</v>
      </c>
      <c r="M6428">
        <v>0</v>
      </c>
      <c r="N6428">
        <v>2</v>
      </c>
      <c r="O6428" t="s">
        <v>16548</v>
      </c>
    </row>
    <row r="6429" spans="1:15">
      <c r="A6429" t="s">
        <v>29015</v>
      </c>
      <c r="B6429" t="s">
        <v>6742</v>
      </c>
      <c r="C6429" t="s">
        <v>29011</v>
      </c>
      <c r="D6429" t="s">
        <v>29016</v>
      </c>
      <c r="E6429" t="b">
        <v>0</v>
      </c>
      <c r="F6429" t="s">
        <v>11610</v>
      </c>
      <c r="L6429">
        <v>0</v>
      </c>
      <c r="M6429">
        <v>0</v>
      </c>
      <c r="N6429">
        <v>0</v>
      </c>
    </row>
    <row r="6430" spans="1:15">
      <c r="A6430" t="s">
        <v>29017</v>
      </c>
      <c r="B6430" t="s">
        <v>6742</v>
      </c>
      <c r="C6430" t="s">
        <v>29011</v>
      </c>
      <c r="D6430" t="s">
        <v>29018</v>
      </c>
      <c r="E6430" t="b">
        <v>0</v>
      </c>
      <c r="F6430" t="s">
        <v>11610</v>
      </c>
      <c r="L6430">
        <v>0</v>
      </c>
      <c r="M6430">
        <v>0</v>
      </c>
      <c r="N6430">
        <v>0</v>
      </c>
    </row>
    <row r="6431" spans="1:15">
      <c r="A6431" t="s">
        <v>18380</v>
      </c>
      <c r="B6431" t="s">
        <v>11757</v>
      </c>
      <c r="C6431" t="s">
        <v>29019</v>
      </c>
      <c r="D6431" t="s">
        <v>29020</v>
      </c>
      <c r="E6431" t="b">
        <v>0</v>
      </c>
      <c r="F6431" t="s">
        <v>11622</v>
      </c>
      <c r="L6431">
        <v>1</v>
      </c>
      <c r="M6431">
        <v>4</v>
      </c>
      <c r="N6431">
        <v>6</v>
      </c>
    </row>
    <row r="6432" spans="1:15">
      <c r="A6432" t="s">
        <v>29021</v>
      </c>
      <c r="B6432" t="s">
        <v>11607</v>
      </c>
      <c r="C6432" t="s">
        <v>29022</v>
      </c>
      <c r="D6432" t="s">
        <v>29023</v>
      </c>
      <c r="E6432" t="b">
        <v>0</v>
      </c>
      <c r="F6432" t="s">
        <v>11610</v>
      </c>
      <c r="L6432">
        <v>0</v>
      </c>
      <c r="M6432">
        <v>0</v>
      </c>
      <c r="N6432">
        <v>0</v>
      </c>
    </row>
    <row r="6433" spans="1:15">
      <c r="A6433" t="s">
        <v>29024</v>
      </c>
      <c r="B6433" t="s">
        <v>11839</v>
      </c>
      <c r="C6433" t="s">
        <v>29025</v>
      </c>
      <c r="D6433" t="s">
        <v>29026</v>
      </c>
      <c r="E6433" t="b">
        <v>0</v>
      </c>
      <c r="F6433" t="s">
        <v>11610</v>
      </c>
      <c r="L6433">
        <v>0</v>
      </c>
      <c r="M6433">
        <v>0</v>
      </c>
      <c r="N6433">
        <v>0</v>
      </c>
    </row>
    <row r="6434" spans="1:15">
      <c r="A6434" t="s">
        <v>29027</v>
      </c>
      <c r="B6434" t="s">
        <v>11615</v>
      </c>
      <c r="C6434" t="s">
        <v>29028</v>
      </c>
      <c r="D6434" t="s">
        <v>29029</v>
      </c>
      <c r="E6434" t="b">
        <v>0</v>
      </c>
      <c r="F6434" t="s">
        <v>11624</v>
      </c>
      <c r="G6434">
        <v>-5.6752799999999999</v>
      </c>
      <c r="H6434">
        <v>145.17699999999999</v>
      </c>
      <c r="I6434" t="s">
        <v>29030</v>
      </c>
      <c r="L6434">
        <v>0</v>
      </c>
      <c r="M6434">
        <v>0</v>
      </c>
      <c r="N6434">
        <v>0</v>
      </c>
      <c r="O6434" t="s">
        <v>11660</v>
      </c>
    </row>
    <row r="6435" spans="1:15">
      <c r="A6435" t="s">
        <v>29031</v>
      </c>
      <c r="B6435" t="s">
        <v>11607</v>
      </c>
      <c r="C6435" t="s">
        <v>29032</v>
      </c>
      <c r="D6435" t="s">
        <v>29033</v>
      </c>
      <c r="E6435" t="b">
        <v>0</v>
      </c>
      <c r="F6435" t="s">
        <v>11610</v>
      </c>
      <c r="L6435">
        <v>0</v>
      </c>
      <c r="M6435">
        <v>0</v>
      </c>
      <c r="N6435">
        <v>0</v>
      </c>
    </row>
    <row r="6436" spans="1:15">
      <c r="A6436" t="s">
        <v>20052</v>
      </c>
      <c r="B6436" t="s">
        <v>9348</v>
      </c>
      <c r="C6436" t="s">
        <v>9348</v>
      </c>
      <c r="D6436" t="s">
        <v>29034</v>
      </c>
      <c r="E6436" t="b">
        <v>0</v>
      </c>
      <c r="F6436" t="s">
        <v>11622</v>
      </c>
      <c r="L6436">
        <v>1</v>
      </c>
      <c r="M6436">
        <v>3</v>
      </c>
      <c r="N6436">
        <v>10</v>
      </c>
    </row>
    <row r="6437" spans="1:15">
      <c r="A6437" t="s">
        <v>24444</v>
      </c>
      <c r="B6437" t="s">
        <v>23233</v>
      </c>
      <c r="C6437" t="s">
        <v>29035</v>
      </c>
      <c r="D6437" t="s">
        <v>29036</v>
      </c>
      <c r="E6437" t="b">
        <v>0</v>
      </c>
      <c r="F6437" t="s">
        <v>11622</v>
      </c>
      <c r="L6437">
        <v>4</v>
      </c>
      <c r="M6437">
        <v>9</v>
      </c>
      <c r="N6437">
        <v>3</v>
      </c>
    </row>
    <row r="6438" spans="1:15">
      <c r="A6438" t="s">
        <v>29037</v>
      </c>
      <c r="B6438" t="s">
        <v>11844</v>
      </c>
      <c r="C6438" t="s">
        <v>29038</v>
      </c>
      <c r="D6438" t="s">
        <v>29039</v>
      </c>
      <c r="E6438" t="b">
        <v>0</v>
      </c>
      <c r="F6438" t="s">
        <v>11622</v>
      </c>
      <c r="L6438">
        <v>2</v>
      </c>
      <c r="M6438">
        <v>5</v>
      </c>
      <c r="N6438">
        <v>11</v>
      </c>
    </row>
    <row r="6439" spans="1:15">
      <c r="A6439" t="s">
        <v>29040</v>
      </c>
      <c r="B6439" t="s">
        <v>11627</v>
      </c>
      <c r="C6439" t="s">
        <v>11627</v>
      </c>
      <c r="D6439" t="s">
        <v>29041</v>
      </c>
      <c r="E6439" t="b">
        <v>1</v>
      </c>
      <c r="F6439" t="s">
        <v>11624</v>
      </c>
      <c r="G6439">
        <v>8.8956</v>
      </c>
      <c r="H6439">
        <v>11.9527</v>
      </c>
      <c r="I6439" t="s">
        <v>29042</v>
      </c>
      <c r="L6439">
        <v>0</v>
      </c>
      <c r="M6439">
        <v>0</v>
      </c>
      <c r="N6439">
        <v>0</v>
      </c>
      <c r="O6439" t="s">
        <v>11693</v>
      </c>
    </row>
    <row r="6440" spans="1:15">
      <c r="A6440" t="s">
        <v>29043</v>
      </c>
      <c r="B6440" t="s">
        <v>6742</v>
      </c>
      <c r="C6440" t="s">
        <v>29044</v>
      </c>
      <c r="D6440" t="s">
        <v>29045</v>
      </c>
      <c r="E6440" t="b">
        <v>0</v>
      </c>
      <c r="F6440" t="s">
        <v>11610</v>
      </c>
      <c r="L6440">
        <v>0</v>
      </c>
      <c r="M6440">
        <v>0</v>
      </c>
      <c r="N6440">
        <v>0</v>
      </c>
    </row>
    <row r="6441" spans="1:15">
      <c r="A6441" t="s">
        <v>12353</v>
      </c>
      <c r="B6441" t="s">
        <v>6742</v>
      </c>
      <c r="C6441" t="s">
        <v>12003</v>
      </c>
      <c r="D6441" t="s">
        <v>29046</v>
      </c>
      <c r="E6441" t="b">
        <v>0</v>
      </c>
      <c r="F6441" t="s">
        <v>11624</v>
      </c>
      <c r="G6441">
        <v>6.2597100000000001</v>
      </c>
      <c r="H6441">
        <v>1.67727</v>
      </c>
      <c r="I6441" t="s">
        <v>29047</v>
      </c>
      <c r="L6441">
        <v>0</v>
      </c>
      <c r="M6441">
        <v>0</v>
      </c>
      <c r="N6441">
        <v>4</v>
      </c>
      <c r="O6441" t="s">
        <v>12394</v>
      </c>
    </row>
    <row r="6442" spans="1:15">
      <c r="A6442" t="s">
        <v>29048</v>
      </c>
      <c r="B6442" t="s">
        <v>11637</v>
      </c>
      <c r="C6442" t="s">
        <v>29049</v>
      </c>
      <c r="D6442" t="s">
        <v>29050</v>
      </c>
      <c r="E6442" t="b">
        <v>0</v>
      </c>
      <c r="F6442" t="s">
        <v>11610</v>
      </c>
      <c r="L6442">
        <v>0</v>
      </c>
      <c r="M6442">
        <v>0</v>
      </c>
      <c r="N6442">
        <v>0</v>
      </c>
    </row>
    <row r="6443" spans="1:15">
      <c r="A6443" t="s">
        <v>29051</v>
      </c>
      <c r="B6443" t="s">
        <v>12148</v>
      </c>
      <c r="C6443" t="s">
        <v>12148</v>
      </c>
      <c r="D6443" t="s">
        <v>29052</v>
      </c>
      <c r="E6443" t="b">
        <v>0</v>
      </c>
      <c r="F6443" t="s">
        <v>11622</v>
      </c>
      <c r="L6443">
        <v>2</v>
      </c>
      <c r="M6443">
        <v>5</v>
      </c>
      <c r="N6443">
        <v>21</v>
      </c>
    </row>
    <row r="6444" spans="1:15">
      <c r="A6444" t="s">
        <v>29053</v>
      </c>
      <c r="B6444" t="s">
        <v>12148</v>
      </c>
      <c r="C6444" t="s">
        <v>29051</v>
      </c>
      <c r="D6444" t="s">
        <v>29054</v>
      </c>
      <c r="E6444" t="b">
        <v>0</v>
      </c>
      <c r="F6444" t="s">
        <v>11622</v>
      </c>
      <c r="L6444">
        <v>0</v>
      </c>
      <c r="M6444">
        <v>3</v>
      </c>
      <c r="N6444">
        <v>15</v>
      </c>
    </row>
    <row r="6445" spans="1:15">
      <c r="A6445" t="s">
        <v>29055</v>
      </c>
      <c r="B6445" t="s">
        <v>11981</v>
      </c>
      <c r="C6445" t="s">
        <v>29056</v>
      </c>
      <c r="D6445" t="s">
        <v>29057</v>
      </c>
      <c r="E6445" t="b">
        <v>0</v>
      </c>
      <c r="F6445" t="s">
        <v>11624</v>
      </c>
      <c r="G6445">
        <v>41.727761999999998</v>
      </c>
      <c r="H6445">
        <v>44.813437</v>
      </c>
      <c r="L6445">
        <v>0</v>
      </c>
      <c r="M6445">
        <v>0</v>
      </c>
      <c r="N6445">
        <v>0</v>
      </c>
      <c r="O6445" t="s">
        <v>17456</v>
      </c>
    </row>
    <row r="6446" spans="1:15">
      <c r="A6446" t="s">
        <v>29058</v>
      </c>
      <c r="B6446" t="s">
        <v>11644</v>
      </c>
      <c r="C6446" t="s">
        <v>29059</v>
      </c>
      <c r="D6446" t="s">
        <v>29060</v>
      </c>
      <c r="E6446" t="b">
        <v>0</v>
      </c>
      <c r="F6446" t="s">
        <v>11624</v>
      </c>
      <c r="G6446">
        <v>25.7</v>
      </c>
      <c r="H6446">
        <v>102.5</v>
      </c>
      <c r="I6446" t="s">
        <v>29061</v>
      </c>
      <c r="L6446">
        <v>0</v>
      </c>
      <c r="M6446">
        <v>0</v>
      </c>
      <c r="N6446">
        <v>0</v>
      </c>
      <c r="O6446" t="s">
        <v>11905</v>
      </c>
    </row>
    <row r="6447" spans="1:15">
      <c r="A6447" t="s">
        <v>29062</v>
      </c>
      <c r="B6447" t="s">
        <v>11637</v>
      </c>
      <c r="C6447" t="s">
        <v>17320</v>
      </c>
      <c r="D6447" t="s">
        <v>29063</v>
      </c>
      <c r="E6447" t="b">
        <v>0</v>
      </c>
      <c r="F6447" t="s">
        <v>11610</v>
      </c>
      <c r="L6447">
        <v>0</v>
      </c>
      <c r="M6447">
        <v>0</v>
      </c>
      <c r="N6447">
        <v>0</v>
      </c>
    </row>
    <row r="6448" spans="1:15">
      <c r="A6448" t="s">
        <v>29064</v>
      </c>
      <c r="B6448" t="s">
        <v>367</v>
      </c>
      <c r="C6448" t="s">
        <v>17736</v>
      </c>
      <c r="D6448" t="s">
        <v>29065</v>
      </c>
      <c r="E6448" t="b">
        <v>0</v>
      </c>
      <c r="F6448" t="s">
        <v>11610</v>
      </c>
      <c r="L6448">
        <v>0</v>
      </c>
      <c r="M6448">
        <v>0</v>
      </c>
      <c r="N6448">
        <v>0</v>
      </c>
    </row>
    <row r="6449" spans="1:15">
      <c r="A6449" t="s">
        <v>29066</v>
      </c>
      <c r="B6449" t="s">
        <v>11607</v>
      </c>
      <c r="C6449" t="s">
        <v>29067</v>
      </c>
      <c r="D6449" t="s">
        <v>29068</v>
      </c>
      <c r="E6449" t="b">
        <v>0</v>
      </c>
      <c r="F6449" t="s">
        <v>11624</v>
      </c>
      <c r="G6449">
        <v>10.4331</v>
      </c>
      <c r="H6449">
        <v>10.119999999999999</v>
      </c>
      <c r="I6449" t="s">
        <v>29069</v>
      </c>
      <c r="L6449">
        <v>0</v>
      </c>
      <c r="M6449">
        <v>0</v>
      </c>
      <c r="N6449">
        <v>0</v>
      </c>
      <c r="O6449" t="s">
        <v>11693</v>
      </c>
    </row>
    <row r="6450" spans="1:15">
      <c r="A6450" t="s">
        <v>29070</v>
      </c>
      <c r="B6450" t="s">
        <v>11607</v>
      </c>
      <c r="C6450" t="s">
        <v>28359</v>
      </c>
      <c r="D6450" t="s">
        <v>29071</v>
      </c>
      <c r="E6450" t="b">
        <v>0</v>
      </c>
      <c r="F6450" t="s">
        <v>11622</v>
      </c>
      <c r="L6450">
        <v>2</v>
      </c>
      <c r="M6450">
        <v>4</v>
      </c>
      <c r="N6450">
        <v>3</v>
      </c>
    </row>
    <row r="6451" spans="1:15">
      <c r="A6451" t="s">
        <v>29067</v>
      </c>
      <c r="B6451" t="s">
        <v>11607</v>
      </c>
      <c r="C6451" t="s">
        <v>29070</v>
      </c>
      <c r="D6451" t="s">
        <v>29072</v>
      </c>
      <c r="E6451" t="b">
        <v>0</v>
      </c>
      <c r="F6451" t="s">
        <v>11622</v>
      </c>
      <c r="L6451">
        <v>0</v>
      </c>
      <c r="M6451">
        <v>2</v>
      </c>
      <c r="N6451">
        <v>3</v>
      </c>
    </row>
    <row r="6452" spans="1:15">
      <c r="A6452" t="s">
        <v>29073</v>
      </c>
      <c r="B6452" t="s">
        <v>6742</v>
      </c>
      <c r="C6452" t="s">
        <v>28613</v>
      </c>
      <c r="D6452" t="s">
        <v>29074</v>
      </c>
      <c r="E6452" t="b">
        <v>0</v>
      </c>
      <c r="F6452" t="s">
        <v>11610</v>
      </c>
      <c r="L6452">
        <v>0</v>
      </c>
      <c r="M6452">
        <v>0</v>
      </c>
      <c r="N6452">
        <v>0</v>
      </c>
    </row>
    <row r="6453" spans="1:15">
      <c r="A6453" t="s">
        <v>29075</v>
      </c>
      <c r="B6453" t="s">
        <v>11607</v>
      </c>
      <c r="C6453" t="s">
        <v>24786</v>
      </c>
      <c r="D6453" t="s">
        <v>29076</v>
      </c>
      <c r="E6453" t="b">
        <v>0</v>
      </c>
      <c r="F6453" t="s">
        <v>11610</v>
      </c>
      <c r="L6453">
        <v>0</v>
      </c>
      <c r="M6453">
        <v>0</v>
      </c>
      <c r="N6453">
        <v>0</v>
      </c>
    </row>
    <row r="6454" spans="1:15">
      <c r="A6454" t="s">
        <v>29077</v>
      </c>
      <c r="B6454" t="s">
        <v>11644</v>
      </c>
      <c r="C6454" t="s">
        <v>28669</v>
      </c>
      <c r="D6454" t="s">
        <v>29078</v>
      </c>
      <c r="E6454" t="b">
        <v>0</v>
      </c>
      <c r="F6454" t="s">
        <v>11610</v>
      </c>
      <c r="L6454">
        <v>0</v>
      </c>
      <c r="M6454">
        <v>0</v>
      </c>
      <c r="N6454">
        <v>0</v>
      </c>
    </row>
    <row r="6455" spans="1:15">
      <c r="A6455" t="s">
        <v>29079</v>
      </c>
      <c r="B6455" t="s">
        <v>367</v>
      </c>
      <c r="C6455" t="s">
        <v>28297</v>
      </c>
      <c r="D6455" t="s">
        <v>29080</v>
      </c>
      <c r="E6455" t="b">
        <v>0</v>
      </c>
      <c r="F6455" t="s">
        <v>11610</v>
      </c>
      <c r="L6455">
        <v>0</v>
      </c>
      <c r="M6455">
        <v>0</v>
      </c>
      <c r="N6455">
        <v>0</v>
      </c>
    </row>
    <row r="6456" spans="1:15">
      <c r="A6456" t="s">
        <v>29081</v>
      </c>
      <c r="B6456" t="s">
        <v>331</v>
      </c>
      <c r="C6456" t="s">
        <v>16318</v>
      </c>
      <c r="D6456" t="s">
        <v>29082</v>
      </c>
      <c r="E6456" t="b">
        <v>0</v>
      </c>
      <c r="F6456" t="s">
        <v>11610</v>
      </c>
      <c r="L6456">
        <v>0</v>
      </c>
      <c r="M6456">
        <v>0</v>
      </c>
      <c r="N6456">
        <v>0</v>
      </c>
    </row>
    <row r="6457" spans="1:15">
      <c r="A6457" t="s">
        <v>29083</v>
      </c>
      <c r="B6457" t="s">
        <v>11981</v>
      </c>
      <c r="C6457" t="s">
        <v>24589</v>
      </c>
      <c r="D6457" t="s">
        <v>29084</v>
      </c>
      <c r="E6457" t="b">
        <v>0</v>
      </c>
      <c r="F6457" t="s">
        <v>11624</v>
      </c>
      <c r="G6457">
        <v>50.815399999999997</v>
      </c>
      <c r="H6457">
        <v>7.3047800000000001</v>
      </c>
      <c r="I6457" t="s">
        <v>29085</v>
      </c>
      <c r="L6457">
        <v>0</v>
      </c>
      <c r="M6457">
        <v>0</v>
      </c>
      <c r="N6457">
        <v>0</v>
      </c>
      <c r="O6457" t="s">
        <v>25838</v>
      </c>
    </row>
    <row r="6458" spans="1:15">
      <c r="A6458" t="s">
        <v>26655</v>
      </c>
      <c r="B6458" t="s">
        <v>11637</v>
      </c>
      <c r="C6458" t="s">
        <v>11637</v>
      </c>
      <c r="D6458" t="s">
        <v>29086</v>
      </c>
      <c r="E6458" t="b">
        <v>0</v>
      </c>
      <c r="F6458" t="s">
        <v>11622</v>
      </c>
      <c r="L6458">
        <v>75</v>
      </c>
      <c r="M6458">
        <v>106</v>
      </c>
      <c r="N6458">
        <v>403</v>
      </c>
    </row>
    <row r="6459" spans="1:15">
      <c r="A6459" t="s">
        <v>29087</v>
      </c>
      <c r="B6459" t="s">
        <v>12204</v>
      </c>
      <c r="C6459" t="s">
        <v>12204</v>
      </c>
      <c r="D6459" t="s">
        <v>29088</v>
      </c>
      <c r="E6459" t="b">
        <v>0</v>
      </c>
      <c r="F6459" t="s">
        <v>11622</v>
      </c>
      <c r="L6459">
        <v>0</v>
      </c>
      <c r="M6459">
        <v>1</v>
      </c>
      <c r="N6459">
        <v>0</v>
      </c>
    </row>
    <row r="6460" spans="1:15">
      <c r="A6460" t="s">
        <v>29089</v>
      </c>
      <c r="B6460" t="s">
        <v>13450</v>
      </c>
      <c r="C6460" t="s">
        <v>13450</v>
      </c>
      <c r="D6460" t="s">
        <v>29090</v>
      </c>
      <c r="E6460" t="b">
        <v>0</v>
      </c>
      <c r="F6460" t="s">
        <v>11622</v>
      </c>
      <c r="L6460">
        <v>0</v>
      </c>
      <c r="M6460">
        <v>2</v>
      </c>
      <c r="N6460">
        <v>0</v>
      </c>
    </row>
    <row r="6461" spans="1:15">
      <c r="A6461" t="s">
        <v>29091</v>
      </c>
      <c r="B6461" t="s">
        <v>11644</v>
      </c>
      <c r="C6461" t="s">
        <v>13427</v>
      </c>
      <c r="D6461" t="s">
        <v>29092</v>
      </c>
      <c r="E6461" t="b">
        <v>0</v>
      </c>
      <c r="F6461" t="s">
        <v>11610</v>
      </c>
      <c r="L6461">
        <v>0</v>
      </c>
      <c r="M6461">
        <v>0</v>
      </c>
      <c r="N6461">
        <v>0</v>
      </c>
    </row>
    <row r="6462" spans="1:15">
      <c r="A6462" t="s">
        <v>25661</v>
      </c>
      <c r="B6462" t="s">
        <v>11607</v>
      </c>
      <c r="C6462" t="s">
        <v>29067</v>
      </c>
      <c r="D6462" t="s">
        <v>29093</v>
      </c>
      <c r="E6462" t="b">
        <v>0</v>
      </c>
      <c r="F6462" t="s">
        <v>11624</v>
      </c>
      <c r="G6462">
        <v>10.477499999999999</v>
      </c>
      <c r="H6462">
        <v>9.7848400000000009</v>
      </c>
      <c r="I6462" t="s">
        <v>29094</v>
      </c>
      <c r="L6462">
        <v>0</v>
      </c>
      <c r="M6462">
        <v>0</v>
      </c>
      <c r="N6462">
        <v>3</v>
      </c>
      <c r="O6462" t="s">
        <v>11693</v>
      </c>
    </row>
    <row r="6463" spans="1:15">
      <c r="A6463" t="s">
        <v>29095</v>
      </c>
      <c r="B6463" t="s">
        <v>15142</v>
      </c>
      <c r="C6463" t="s">
        <v>15143</v>
      </c>
      <c r="D6463" t="s">
        <v>29096</v>
      </c>
      <c r="E6463" t="b">
        <v>0</v>
      </c>
      <c r="F6463" t="s">
        <v>11610</v>
      </c>
      <c r="L6463">
        <v>0</v>
      </c>
      <c r="M6463">
        <v>0</v>
      </c>
      <c r="N6463">
        <v>0</v>
      </c>
    </row>
    <row r="6464" spans="1:15">
      <c r="A6464" t="s">
        <v>29097</v>
      </c>
      <c r="B6464" t="s">
        <v>367</v>
      </c>
      <c r="C6464" t="s">
        <v>16576</v>
      </c>
      <c r="D6464" t="s">
        <v>29098</v>
      </c>
      <c r="E6464" t="b">
        <v>0</v>
      </c>
      <c r="F6464" t="s">
        <v>11622</v>
      </c>
      <c r="L6464">
        <v>1</v>
      </c>
      <c r="M6464">
        <v>3</v>
      </c>
      <c r="N6464">
        <v>5</v>
      </c>
    </row>
    <row r="6465" spans="1:15">
      <c r="A6465" t="s">
        <v>29099</v>
      </c>
      <c r="B6465" t="s">
        <v>367</v>
      </c>
      <c r="C6465" t="s">
        <v>17435</v>
      </c>
      <c r="D6465" t="s">
        <v>29100</v>
      </c>
      <c r="E6465" t="b">
        <v>0</v>
      </c>
      <c r="F6465" t="s">
        <v>11624</v>
      </c>
      <c r="G6465">
        <v>-3.8016000000000001</v>
      </c>
      <c r="H6465">
        <v>130.70099999999999</v>
      </c>
      <c r="I6465" t="s">
        <v>29101</v>
      </c>
      <c r="L6465">
        <v>0</v>
      </c>
      <c r="M6465">
        <v>0</v>
      </c>
      <c r="N6465">
        <v>3</v>
      </c>
      <c r="O6465" t="s">
        <v>11768</v>
      </c>
    </row>
    <row r="6466" spans="1:15">
      <c r="A6466" t="s">
        <v>17435</v>
      </c>
      <c r="B6466" t="s">
        <v>367</v>
      </c>
      <c r="C6466" t="s">
        <v>29097</v>
      </c>
      <c r="D6466" t="s">
        <v>29102</v>
      </c>
      <c r="E6466" t="b">
        <v>0</v>
      </c>
      <c r="F6466" t="s">
        <v>11622</v>
      </c>
      <c r="L6466">
        <v>0</v>
      </c>
      <c r="M6466">
        <v>2</v>
      </c>
      <c r="N6466">
        <v>3</v>
      </c>
    </row>
    <row r="6467" spans="1:15">
      <c r="A6467" t="s">
        <v>29103</v>
      </c>
      <c r="B6467" t="s">
        <v>11644</v>
      </c>
      <c r="C6467" t="s">
        <v>24097</v>
      </c>
      <c r="D6467" t="s">
        <v>29104</v>
      </c>
      <c r="E6467" t="b">
        <v>0</v>
      </c>
      <c r="F6467" t="s">
        <v>11610</v>
      </c>
      <c r="L6467">
        <v>0</v>
      </c>
      <c r="M6467">
        <v>0</v>
      </c>
      <c r="N6467">
        <v>0</v>
      </c>
    </row>
    <row r="6468" spans="1:15">
      <c r="A6468" t="s">
        <v>29105</v>
      </c>
      <c r="B6468" t="s">
        <v>11644</v>
      </c>
      <c r="C6468" t="s">
        <v>29106</v>
      </c>
      <c r="D6468" t="s">
        <v>29107</v>
      </c>
      <c r="E6468" t="b">
        <v>0</v>
      </c>
      <c r="F6468" t="s">
        <v>11610</v>
      </c>
      <c r="L6468">
        <v>0</v>
      </c>
      <c r="M6468">
        <v>0</v>
      </c>
      <c r="N6468">
        <v>0</v>
      </c>
    </row>
    <row r="6469" spans="1:15">
      <c r="A6469" t="s">
        <v>29108</v>
      </c>
      <c r="B6469" t="s">
        <v>11637</v>
      </c>
      <c r="C6469" t="s">
        <v>29109</v>
      </c>
      <c r="D6469" t="s">
        <v>29110</v>
      </c>
      <c r="E6469" t="b">
        <v>0</v>
      </c>
      <c r="F6469" t="s">
        <v>11610</v>
      </c>
      <c r="L6469">
        <v>0</v>
      </c>
      <c r="M6469">
        <v>0</v>
      </c>
      <c r="N6469">
        <v>0</v>
      </c>
    </row>
    <row r="6470" spans="1:15">
      <c r="A6470" t="s">
        <v>29111</v>
      </c>
      <c r="B6470" t="s">
        <v>11627</v>
      </c>
      <c r="C6470" t="s">
        <v>11627</v>
      </c>
      <c r="D6470" t="s">
        <v>29112</v>
      </c>
      <c r="E6470" t="b">
        <v>1</v>
      </c>
      <c r="F6470" t="s">
        <v>11624</v>
      </c>
      <c r="G6470">
        <v>9.3751300000000004</v>
      </c>
      <c r="H6470">
        <v>13.5809</v>
      </c>
      <c r="I6470" t="s">
        <v>29113</v>
      </c>
      <c r="L6470">
        <v>0</v>
      </c>
      <c r="M6470">
        <v>0</v>
      </c>
      <c r="N6470">
        <v>0</v>
      </c>
      <c r="O6470" t="s">
        <v>11703</v>
      </c>
    </row>
    <row r="6471" spans="1:15">
      <c r="A6471" t="s">
        <v>29114</v>
      </c>
      <c r="B6471" t="s">
        <v>6742</v>
      </c>
      <c r="C6471" t="s">
        <v>29115</v>
      </c>
      <c r="D6471" t="s">
        <v>29116</v>
      </c>
      <c r="E6471" t="b">
        <v>0</v>
      </c>
      <c r="F6471" t="s">
        <v>11610</v>
      </c>
      <c r="L6471">
        <v>0</v>
      </c>
      <c r="M6471">
        <v>0</v>
      </c>
      <c r="N6471">
        <v>0</v>
      </c>
    </row>
    <row r="6472" spans="1:15">
      <c r="A6472" t="s">
        <v>15512</v>
      </c>
      <c r="B6472" t="s">
        <v>11607</v>
      </c>
      <c r="C6472" t="s">
        <v>515</v>
      </c>
      <c r="D6472" t="s">
        <v>29117</v>
      </c>
      <c r="E6472" t="b">
        <v>0</v>
      </c>
      <c r="F6472" t="s">
        <v>11624</v>
      </c>
      <c r="G6472">
        <v>30.116800000000001</v>
      </c>
      <c r="H6472">
        <v>10.016500000000001</v>
      </c>
      <c r="I6472" t="s">
        <v>29118</v>
      </c>
      <c r="L6472">
        <v>0</v>
      </c>
      <c r="M6472">
        <v>0</v>
      </c>
      <c r="N6472">
        <v>2</v>
      </c>
      <c r="O6472" t="s">
        <v>29119</v>
      </c>
    </row>
    <row r="6473" spans="1:15">
      <c r="A6473" t="s">
        <v>29120</v>
      </c>
      <c r="B6473" t="s">
        <v>11637</v>
      </c>
      <c r="C6473" t="s">
        <v>21368</v>
      </c>
      <c r="D6473" t="s">
        <v>29121</v>
      </c>
      <c r="E6473" t="b">
        <v>0</v>
      </c>
      <c r="F6473" t="s">
        <v>11610</v>
      </c>
      <c r="L6473">
        <v>0</v>
      </c>
      <c r="M6473">
        <v>0</v>
      </c>
      <c r="N6473">
        <v>0</v>
      </c>
    </row>
    <row r="6474" spans="1:15">
      <c r="A6474" t="s">
        <v>29122</v>
      </c>
      <c r="B6474" t="s">
        <v>367</v>
      </c>
      <c r="C6474" t="s">
        <v>14093</v>
      </c>
      <c r="D6474" t="s">
        <v>29123</v>
      </c>
      <c r="E6474" t="b">
        <v>0</v>
      </c>
      <c r="F6474" t="s">
        <v>11610</v>
      </c>
      <c r="L6474">
        <v>0</v>
      </c>
      <c r="M6474">
        <v>0</v>
      </c>
      <c r="N6474">
        <v>0</v>
      </c>
    </row>
    <row r="6475" spans="1:15">
      <c r="A6475" t="s">
        <v>29124</v>
      </c>
      <c r="B6475" t="s">
        <v>11644</v>
      </c>
      <c r="C6475" t="s">
        <v>29125</v>
      </c>
      <c r="D6475" t="s">
        <v>29126</v>
      </c>
      <c r="E6475" t="b">
        <v>0</v>
      </c>
      <c r="F6475" t="s">
        <v>11622</v>
      </c>
      <c r="L6475">
        <v>0</v>
      </c>
      <c r="M6475">
        <v>3</v>
      </c>
      <c r="N6475">
        <v>11</v>
      </c>
    </row>
    <row r="6476" spans="1:15">
      <c r="A6476" t="s">
        <v>29125</v>
      </c>
      <c r="B6476" t="s">
        <v>11644</v>
      </c>
      <c r="C6476" t="s">
        <v>29127</v>
      </c>
      <c r="D6476" t="s">
        <v>29128</v>
      </c>
      <c r="E6476" t="b">
        <v>0</v>
      </c>
      <c r="F6476" t="s">
        <v>11622</v>
      </c>
      <c r="L6476">
        <v>6</v>
      </c>
      <c r="M6476">
        <v>12</v>
      </c>
      <c r="N6476">
        <v>35</v>
      </c>
    </row>
    <row r="6477" spans="1:15">
      <c r="A6477" t="s">
        <v>29129</v>
      </c>
      <c r="B6477" t="s">
        <v>11981</v>
      </c>
      <c r="C6477" t="s">
        <v>13456</v>
      </c>
      <c r="D6477" t="s">
        <v>29130</v>
      </c>
      <c r="E6477" t="b">
        <v>0</v>
      </c>
      <c r="F6477" t="s">
        <v>11624</v>
      </c>
      <c r="G6477">
        <v>5.5522499999999999</v>
      </c>
      <c r="H6477">
        <v>-0.30274000000000001</v>
      </c>
      <c r="I6477" t="s">
        <v>29131</v>
      </c>
      <c r="L6477">
        <v>0</v>
      </c>
      <c r="M6477">
        <v>0</v>
      </c>
      <c r="N6477">
        <v>0</v>
      </c>
      <c r="O6477" t="s">
        <v>11985</v>
      </c>
    </row>
    <row r="6478" spans="1:15">
      <c r="A6478" t="s">
        <v>28576</v>
      </c>
      <c r="B6478" t="s">
        <v>367</v>
      </c>
      <c r="C6478" t="s">
        <v>29132</v>
      </c>
      <c r="D6478" t="s">
        <v>29133</v>
      </c>
      <c r="E6478" t="b">
        <v>0</v>
      </c>
      <c r="F6478" t="s">
        <v>11624</v>
      </c>
      <c r="G6478">
        <v>-8.0203500000000005</v>
      </c>
      <c r="H6478">
        <v>156.55199999999999</v>
      </c>
      <c r="I6478" t="s">
        <v>29134</v>
      </c>
      <c r="L6478">
        <v>0</v>
      </c>
      <c r="M6478">
        <v>0</v>
      </c>
      <c r="N6478">
        <v>2</v>
      </c>
      <c r="O6478" t="s">
        <v>13346</v>
      </c>
    </row>
    <row r="6479" spans="1:15">
      <c r="A6479" t="s">
        <v>29135</v>
      </c>
      <c r="B6479" t="s">
        <v>11637</v>
      </c>
      <c r="C6479" t="s">
        <v>27810</v>
      </c>
      <c r="D6479" t="s">
        <v>29136</v>
      </c>
      <c r="E6479" t="b">
        <v>0</v>
      </c>
      <c r="F6479" t="s">
        <v>11624</v>
      </c>
      <c r="G6479">
        <v>5.7932410000000001</v>
      </c>
      <c r="H6479">
        <v>-0.28364099999999998</v>
      </c>
      <c r="I6479" t="s">
        <v>29137</v>
      </c>
      <c r="L6479">
        <v>0</v>
      </c>
      <c r="M6479">
        <v>0</v>
      </c>
      <c r="N6479">
        <v>0</v>
      </c>
      <c r="O6479" t="s">
        <v>11985</v>
      </c>
    </row>
    <row r="6480" spans="1:15">
      <c r="A6480" t="s">
        <v>29138</v>
      </c>
      <c r="B6480" t="s">
        <v>11981</v>
      </c>
      <c r="C6480" t="s">
        <v>11982</v>
      </c>
      <c r="D6480" t="s">
        <v>29139</v>
      </c>
      <c r="E6480" t="b">
        <v>0</v>
      </c>
      <c r="F6480" t="s">
        <v>11624</v>
      </c>
      <c r="G6480">
        <v>28.376999999999999</v>
      </c>
      <c r="H6480">
        <v>83.807000000000002</v>
      </c>
      <c r="I6480" t="s">
        <v>29140</v>
      </c>
      <c r="L6480">
        <v>0</v>
      </c>
      <c r="M6480">
        <v>0</v>
      </c>
      <c r="N6480">
        <v>0</v>
      </c>
      <c r="O6480" t="s">
        <v>15007</v>
      </c>
    </row>
    <row r="6481" spans="1:15">
      <c r="A6481" t="s">
        <v>29132</v>
      </c>
      <c r="B6481" t="s">
        <v>367</v>
      </c>
      <c r="C6481" t="s">
        <v>29141</v>
      </c>
      <c r="D6481" t="s">
        <v>29142</v>
      </c>
      <c r="E6481" t="b">
        <v>0</v>
      </c>
      <c r="F6481" t="s">
        <v>11622</v>
      </c>
      <c r="L6481">
        <v>0</v>
      </c>
      <c r="M6481">
        <v>2</v>
      </c>
      <c r="N6481">
        <v>2</v>
      </c>
    </row>
    <row r="6482" spans="1:15">
      <c r="A6482" t="s">
        <v>28297</v>
      </c>
      <c r="B6482" t="s">
        <v>367</v>
      </c>
      <c r="C6482" t="s">
        <v>29143</v>
      </c>
      <c r="D6482" t="s">
        <v>29144</v>
      </c>
      <c r="E6482" t="b">
        <v>0</v>
      </c>
      <c r="F6482" t="s">
        <v>11624</v>
      </c>
      <c r="G6482">
        <v>-9.4791000000000007</v>
      </c>
      <c r="H6482">
        <v>159.917</v>
      </c>
      <c r="I6482" t="s">
        <v>29145</v>
      </c>
      <c r="L6482">
        <v>0</v>
      </c>
      <c r="M6482">
        <v>0</v>
      </c>
      <c r="N6482">
        <v>6</v>
      </c>
      <c r="O6482" t="s">
        <v>13346</v>
      </c>
    </row>
    <row r="6483" spans="1:15">
      <c r="A6483" t="s">
        <v>29146</v>
      </c>
      <c r="B6483" t="s">
        <v>11981</v>
      </c>
      <c r="C6483" t="s">
        <v>11982</v>
      </c>
      <c r="D6483" t="s">
        <v>29147</v>
      </c>
      <c r="E6483" t="b">
        <v>0</v>
      </c>
      <c r="F6483" t="s">
        <v>11624</v>
      </c>
      <c r="G6483">
        <v>32.483333000000002</v>
      </c>
      <c r="H6483">
        <v>3.6666669999999999</v>
      </c>
      <c r="L6483">
        <v>0</v>
      </c>
      <c r="M6483">
        <v>0</v>
      </c>
      <c r="N6483">
        <v>0</v>
      </c>
      <c r="O6483" t="s">
        <v>13029</v>
      </c>
    </row>
    <row r="6484" spans="1:15">
      <c r="A6484" t="s">
        <v>29148</v>
      </c>
      <c r="B6484" t="s">
        <v>11637</v>
      </c>
      <c r="C6484" t="s">
        <v>12270</v>
      </c>
      <c r="D6484" t="s">
        <v>29149</v>
      </c>
      <c r="E6484" t="b">
        <v>0</v>
      </c>
      <c r="F6484" t="s">
        <v>11610</v>
      </c>
      <c r="L6484">
        <v>0</v>
      </c>
      <c r="M6484">
        <v>0</v>
      </c>
      <c r="N6484">
        <v>0</v>
      </c>
    </row>
    <row r="6485" spans="1:15">
      <c r="A6485" t="s">
        <v>29150</v>
      </c>
      <c r="B6485" t="s">
        <v>11607</v>
      </c>
      <c r="C6485" t="s">
        <v>3332</v>
      </c>
      <c r="D6485" t="s">
        <v>29151</v>
      </c>
      <c r="E6485" t="b">
        <v>0</v>
      </c>
      <c r="F6485" t="s">
        <v>11610</v>
      </c>
      <c r="L6485">
        <v>0</v>
      </c>
      <c r="M6485">
        <v>0</v>
      </c>
      <c r="N6485">
        <v>0</v>
      </c>
    </row>
    <row r="6486" spans="1:15">
      <c r="A6486" t="s">
        <v>29152</v>
      </c>
      <c r="B6486" t="s">
        <v>367</v>
      </c>
      <c r="C6486" t="s">
        <v>14452</v>
      </c>
      <c r="D6486" t="s">
        <v>29153</v>
      </c>
      <c r="E6486" t="b">
        <v>0</v>
      </c>
      <c r="F6486" t="s">
        <v>11624</v>
      </c>
      <c r="G6486">
        <v>-10.010999999999999</v>
      </c>
      <c r="H6486">
        <v>149.84</v>
      </c>
      <c r="I6486" t="s">
        <v>29154</v>
      </c>
      <c r="L6486">
        <v>0</v>
      </c>
      <c r="M6486">
        <v>0</v>
      </c>
      <c r="N6486">
        <v>0</v>
      </c>
      <c r="O6486" t="s">
        <v>11660</v>
      </c>
    </row>
    <row r="6487" spans="1:15">
      <c r="A6487" t="s">
        <v>9247</v>
      </c>
      <c r="B6487" t="s">
        <v>11637</v>
      </c>
      <c r="C6487" t="s">
        <v>5172</v>
      </c>
      <c r="D6487" t="s">
        <v>29155</v>
      </c>
      <c r="E6487" t="b">
        <v>0</v>
      </c>
      <c r="F6487" t="s">
        <v>11624</v>
      </c>
      <c r="G6487">
        <v>42.317</v>
      </c>
      <c r="H6487">
        <v>21.383700000000001</v>
      </c>
      <c r="I6487" t="s">
        <v>9248</v>
      </c>
      <c r="L6487">
        <v>0</v>
      </c>
      <c r="M6487">
        <v>0</v>
      </c>
      <c r="N6487">
        <v>7</v>
      </c>
      <c r="O6487" t="s">
        <v>29156</v>
      </c>
    </row>
    <row r="6488" spans="1:15">
      <c r="A6488" t="s">
        <v>29157</v>
      </c>
      <c r="B6488" t="s">
        <v>11637</v>
      </c>
      <c r="C6488" t="s">
        <v>29158</v>
      </c>
      <c r="D6488" t="s">
        <v>29159</v>
      </c>
      <c r="E6488" t="b">
        <v>0</v>
      </c>
      <c r="F6488" t="s">
        <v>11624</v>
      </c>
      <c r="G6488">
        <v>25.382999999999999</v>
      </c>
      <c r="H6488">
        <v>68.367999999999995</v>
      </c>
      <c r="I6488" t="s">
        <v>29160</v>
      </c>
      <c r="L6488">
        <v>0</v>
      </c>
      <c r="M6488">
        <v>0</v>
      </c>
      <c r="N6488">
        <v>0</v>
      </c>
      <c r="O6488" t="s">
        <v>12172</v>
      </c>
    </row>
    <row r="6489" spans="1:15">
      <c r="A6489" t="s">
        <v>29158</v>
      </c>
      <c r="B6489" t="s">
        <v>11637</v>
      </c>
      <c r="C6489" t="s">
        <v>29161</v>
      </c>
      <c r="D6489" t="s">
        <v>29162</v>
      </c>
      <c r="E6489" t="b">
        <v>0</v>
      </c>
      <c r="F6489" t="s">
        <v>11622</v>
      </c>
      <c r="L6489">
        <v>0</v>
      </c>
      <c r="M6489">
        <v>2</v>
      </c>
      <c r="N6489">
        <v>0</v>
      </c>
    </row>
    <row r="6490" spans="1:15">
      <c r="A6490" t="s">
        <v>29163</v>
      </c>
      <c r="B6490" t="s">
        <v>11637</v>
      </c>
      <c r="C6490" t="s">
        <v>25585</v>
      </c>
      <c r="D6490" t="s">
        <v>29164</v>
      </c>
      <c r="E6490" t="b">
        <v>0</v>
      </c>
      <c r="F6490" t="s">
        <v>11610</v>
      </c>
      <c r="L6490">
        <v>0</v>
      </c>
      <c r="M6490">
        <v>0</v>
      </c>
      <c r="N6490">
        <v>0</v>
      </c>
    </row>
    <row r="6491" spans="1:15">
      <c r="A6491" t="s">
        <v>29165</v>
      </c>
      <c r="B6491" t="s">
        <v>11834</v>
      </c>
      <c r="C6491" t="s">
        <v>29166</v>
      </c>
      <c r="D6491" t="s">
        <v>29167</v>
      </c>
      <c r="E6491" t="b">
        <v>0</v>
      </c>
      <c r="F6491" t="s">
        <v>11610</v>
      </c>
      <c r="L6491">
        <v>0</v>
      </c>
      <c r="M6491">
        <v>0</v>
      </c>
      <c r="N6491">
        <v>0</v>
      </c>
    </row>
    <row r="6492" spans="1:15">
      <c r="A6492" t="s">
        <v>29168</v>
      </c>
      <c r="B6492" t="s">
        <v>12311</v>
      </c>
      <c r="C6492" t="s">
        <v>19721</v>
      </c>
      <c r="D6492" t="s">
        <v>29169</v>
      </c>
      <c r="E6492" t="b">
        <v>0</v>
      </c>
      <c r="F6492" t="s">
        <v>11624</v>
      </c>
      <c r="G6492">
        <v>42.742800000000003</v>
      </c>
      <c r="H6492">
        <v>46.225200000000001</v>
      </c>
      <c r="I6492" t="s">
        <v>29170</v>
      </c>
      <c r="L6492">
        <v>0</v>
      </c>
      <c r="M6492">
        <v>0</v>
      </c>
      <c r="N6492">
        <v>0</v>
      </c>
      <c r="O6492" t="s">
        <v>12748</v>
      </c>
    </row>
    <row r="6493" spans="1:15">
      <c r="A6493" t="s">
        <v>29171</v>
      </c>
      <c r="B6493" t="s">
        <v>11757</v>
      </c>
      <c r="C6493" t="s">
        <v>14999</v>
      </c>
      <c r="D6493" t="s">
        <v>29172</v>
      </c>
      <c r="E6493" t="b">
        <v>0</v>
      </c>
      <c r="F6493" t="s">
        <v>11610</v>
      </c>
      <c r="L6493">
        <v>0</v>
      </c>
      <c r="M6493">
        <v>0</v>
      </c>
      <c r="N6493">
        <v>0</v>
      </c>
    </row>
    <row r="6494" spans="1:15">
      <c r="A6494" t="s">
        <v>29173</v>
      </c>
      <c r="B6494" t="s">
        <v>6742</v>
      </c>
      <c r="C6494" t="s">
        <v>16434</v>
      </c>
      <c r="D6494" t="s">
        <v>29174</v>
      </c>
      <c r="E6494" t="b">
        <v>0</v>
      </c>
      <c r="F6494" t="s">
        <v>11624</v>
      </c>
      <c r="G6494">
        <v>5.3961899999999998</v>
      </c>
      <c r="H6494">
        <v>10.352</v>
      </c>
      <c r="I6494" t="s">
        <v>29175</v>
      </c>
      <c r="L6494">
        <v>0</v>
      </c>
      <c r="M6494">
        <v>0</v>
      </c>
      <c r="N6494">
        <v>7</v>
      </c>
      <c r="O6494" t="s">
        <v>11703</v>
      </c>
    </row>
    <row r="6495" spans="1:15">
      <c r="A6495" t="s">
        <v>29176</v>
      </c>
      <c r="B6495" t="s">
        <v>6742</v>
      </c>
      <c r="C6495" t="s">
        <v>29173</v>
      </c>
      <c r="D6495" t="s">
        <v>29177</v>
      </c>
      <c r="E6495" t="b">
        <v>0</v>
      </c>
      <c r="F6495" t="s">
        <v>11610</v>
      </c>
      <c r="L6495">
        <v>0</v>
      </c>
      <c r="M6495">
        <v>0</v>
      </c>
      <c r="N6495">
        <v>0</v>
      </c>
    </row>
    <row r="6496" spans="1:15">
      <c r="A6496" t="s">
        <v>16262</v>
      </c>
      <c r="B6496" t="s">
        <v>6742</v>
      </c>
      <c r="C6496" t="s">
        <v>29173</v>
      </c>
      <c r="D6496" t="s">
        <v>29178</v>
      </c>
      <c r="E6496" t="b">
        <v>0</v>
      </c>
      <c r="F6496" t="s">
        <v>11610</v>
      </c>
      <c r="L6496">
        <v>0</v>
      </c>
      <c r="M6496">
        <v>0</v>
      </c>
      <c r="N6496">
        <v>3</v>
      </c>
    </row>
    <row r="6497" spans="1:15">
      <c r="A6497" t="s">
        <v>29179</v>
      </c>
      <c r="B6497" t="s">
        <v>6742</v>
      </c>
      <c r="C6497" t="s">
        <v>29173</v>
      </c>
      <c r="D6497" t="s">
        <v>29180</v>
      </c>
      <c r="E6497" t="b">
        <v>0</v>
      </c>
      <c r="F6497" t="s">
        <v>11610</v>
      </c>
      <c r="L6497">
        <v>0</v>
      </c>
      <c r="M6497">
        <v>0</v>
      </c>
      <c r="N6497">
        <v>0</v>
      </c>
    </row>
    <row r="6498" spans="1:15">
      <c r="A6498" t="s">
        <v>29181</v>
      </c>
      <c r="B6498" t="s">
        <v>11607</v>
      </c>
      <c r="C6498" t="s">
        <v>29182</v>
      </c>
      <c r="D6498" t="s">
        <v>29183</v>
      </c>
      <c r="E6498" t="b">
        <v>0</v>
      </c>
      <c r="F6498" t="s">
        <v>11624</v>
      </c>
      <c r="G6498">
        <v>34.797899999999998</v>
      </c>
      <c r="H6498">
        <v>-4.6696</v>
      </c>
      <c r="I6498" t="s">
        <v>29184</v>
      </c>
      <c r="L6498">
        <v>0</v>
      </c>
      <c r="M6498">
        <v>0</v>
      </c>
      <c r="N6498">
        <v>0</v>
      </c>
      <c r="O6498" t="s">
        <v>29185</v>
      </c>
    </row>
    <row r="6499" spans="1:15">
      <c r="A6499" t="s">
        <v>29186</v>
      </c>
      <c r="B6499" t="s">
        <v>367</v>
      </c>
      <c r="C6499" t="s">
        <v>29187</v>
      </c>
      <c r="D6499" t="s">
        <v>29188</v>
      </c>
      <c r="E6499" t="b">
        <v>0</v>
      </c>
      <c r="F6499" t="s">
        <v>11610</v>
      </c>
      <c r="L6499">
        <v>0</v>
      </c>
      <c r="M6499">
        <v>0</v>
      </c>
      <c r="N6499">
        <v>0</v>
      </c>
    </row>
    <row r="6500" spans="1:15">
      <c r="A6500" t="s">
        <v>29189</v>
      </c>
      <c r="B6500" t="s">
        <v>6742</v>
      </c>
      <c r="C6500" t="s">
        <v>12187</v>
      </c>
      <c r="D6500" t="s">
        <v>29190</v>
      </c>
      <c r="E6500" t="b">
        <v>0</v>
      </c>
      <c r="F6500" t="s">
        <v>11624</v>
      </c>
      <c r="G6500">
        <v>7.1155099999999996</v>
      </c>
      <c r="H6500">
        <v>5.9566299999999996</v>
      </c>
      <c r="I6500" t="s">
        <v>29191</v>
      </c>
      <c r="L6500">
        <v>0</v>
      </c>
      <c r="M6500">
        <v>0</v>
      </c>
      <c r="N6500">
        <v>0</v>
      </c>
      <c r="O6500" t="s">
        <v>11693</v>
      </c>
    </row>
    <row r="6501" spans="1:15">
      <c r="A6501" t="s">
        <v>29192</v>
      </c>
      <c r="B6501" t="s">
        <v>11607</v>
      </c>
      <c r="C6501" t="s">
        <v>21755</v>
      </c>
      <c r="D6501" t="s">
        <v>29193</v>
      </c>
      <c r="E6501" t="b">
        <v>0</v>
      </c>
      <c r="F6501" t="s">
        <v>11610</v>
      </c>
      <c r="L6501">
        <v>0</v>
      </c>
      <c r="M6501">
        <v>0</v>
      </c>
      <c r="N6501">
        <v>0</v>
      </c>
    </row>
    <row r="6502" spans="1:15">
      <c r="A6502" t="s">
        <v>29194</v>
      </c>
      <c r="B6502" t="s">
        <v>11637</v>
      </c>
      <c r="C6502" t="s">
        <v>29195</v>
      </c>
      <c r="D6502" t="s">
        <v>29196</v>
      </c>
      <c r="E6502" t="b">
        <v>0</v>
      </c>
      <c r="F6502" t="s">
        <v>11610</v>
      </c>
      <c r="L6502">
        <v>0</v>
      </c>
      <c r="M6502">
        <v>0</v>
      </c>
      <c r="N6502">
        <v>0</v>
      </c>
    </row>
    <row r="6503" spans="1:15">
      <c r="A6503" t="s">
        <v>29197</v>
      </c>
      <c r="B6503" t="s">
        <v>3164</v>
      </c>
      <c r="C6503" t="s">
        <v>23868</v>
      </c>
      <c r="D6503" t="s">
        <v>29198</v>
      </c>
      <c r="E6503" t="b">
        <v>0</v>
      </c>
      <c r="F6503" t="s">
        <v>11624</v>
      </c>
      <c r="G6503">
        <v>11.6432</v>
      </c>
      <c r="H6503">
        <v>29.812200000000001</v>
      </c>
      <c r="I6503" t="s">
        <v>29199</v>
      </c>
      <c r="L6503">
        <v>0</v>
      </c>
      <c r="M6503">
        <v>0</v>
      </c>
      <c r="N6503">
        <v>0</v>
      </c>
      <c r="O6503" t="s">
        <v>11910</v>
      </c>
    </row>
    <row r="6504" spans="1:15">
      <c r="A6504" t="s">
        <v>29200</v>
      </c>
      <c r="B6504" t="s">
        <v>11637</v>
      </c>
      <c r="C6504" t="s">
        <v>16084</v>
      </c>
      <c r="D6504" t="s">
        <v>29201</v>
      </c>
      <c r="E6504" t="b">
        <v>0</v>
      </c>
      <c r="F6504" t="s">
        <v>11610</v>
      </c>
      <c r="L6504">
        <v>0</v>
      </c>
      <c r="M6504">
        <v>0</v>
      </c>
      <c r="N6504">
        <v>0</v>
      </c>
    </row>
    <row r="6505" spans="1:15">
      <c r="A6505" t="s">
        <v>29202</v>
      </c>
      <c r="B6505" t="s">
        <v>11644</v>
      </c>
      <c r="C6505" t="s">
        <v>28425</v>
      </c>
      <c r="D6505" t="s">
        <v>29203</v>
      </c>
      <c r="E6505" t="b">
        <v>0</v>
      </c>
      <c r="F6505" t="s">
        <v>11610</v>
      </c>
      <c r="L6505">
        <v>0</v>
      </c>
      <c r="M6505">
        <v>0</v>
      </c>
      <c r="N6505">
        <v>0</v>
      </c>
    </row>
    <row r="6506" spans="1:15">
      <c r="A6506" t="s">
        <v>29204</v>
      </c>
      <c r="B6506" t="s">
        <v>5126</v>
      </c>
      <c r="C6506" t="s">
        <v>29205</v>
      </c>
      <c r="D6506" t="s">
        <v>29206</v>
      </c>
      <c r="E6506" t="b">
        <v>0</v>
      </c>
      <c r="F6506" t="s">
        <v>11610</v>
      </c>
      <c r="L6506">
        <v>0</v>
      </c>
      <c r="M6506">
        <v>0</v>
      </c>
      <c r="N6506">
        <v>0</v>
      </c>
    </row>
    <row r="6507" spans="1:15">
      <c r="A6507" t="s">
        <v>29207</v>
      </c>
      <c r="B6507" t="s">
        <v>367</v>
      </c>
      <c r="C6507" t="s">
        <v>18602</v>
      </c>
      <c r="D6507" t="s">
        <v>29208</v>
      </c>
      <c r="E6507" t="b">
        <v>0</v>
      </c>
      <c r="F6507" t="s">
        <v>11624</v>
      </c>
      <c r="G6507">
        <v>6.9996700000000001</v>
      </c>
      <c r="H6507">
        <v>125.35899999999999</v>
      </c>
      <c r="I6507" t="s">
        <v>29209</v>
      </c>
      <c r="L6507">
        <v>0</v>
      </c>
      <c r="M6507">
        <v>0</v>
      </c>
      <c r="N6507">
        <v>0</v>
      </c>
      <c r="O6507" t="s">
        <v>11749</v>
      </c>
    </row>
    <row r="6508" spans="1:15">
      <c r="A6508" t="s">
        <v>29210</v>
      </c>
      <c r="B6508" t="s">
        <v>13450</v>
      </c>
      <c r="C6508" t="s">
        <v>17070</v>
      </c>
      <c r="D6508" t="s">
        <v>29211</v>
      </c>
      <c r="E6508" t="b">
        <v>0</v>
      </c>
      <c r="F6508" t="s">
        <v>11624</v>
      </c>
      <c r="G6508">
        <v>12.584</v>
      </c>
      <c r="H6508">
        <v>8.6150000000000002</v>
      </c>
      <c r="I6508" t="s">
        <v>29212</v>
      </c>
      <c r="L6508">
        <v>0</v>
      </c>
      <c r="M6508">
        <v>0</v>
      </c>
      <c r="N6508">
        <v>0</v>
      </c>
      <c r="O6508" t="s">
        <v>11693</v>
      </c>
    </row>
    <row r="6509" spans="1:15">
      <c r="A6509" t="s">
        <v>29213</v>
      </c>
      <c r="B6509" t="s">
        <v>14524</v>
      </c>
      <c r="C6509" t="s">
        <v>14525</v>
      </c>
      <c r="D6509" t="s">
        <v>29214</v>
      </c>
      <c r="E6509" t="b">
        <v>0</v>
      </c>
      <c r="F6509" t="s">
        <v>11610</v>
      </c>
      <c r="L6509">
        <v>0</v>
      </c>
      <c r="M6509">
        <v>0</v>
      </c>
      <c r="N6509">
        <v>0</v>
      </c>
    </row>
    <row r="6510" spans="1:15">
      <c r="A6510" t="s">
        <v>29215</v>
      </c>
      <c r="B6510" t="s">
        <v>14524</v>
      </c>
      <c r="C6510" t="s">
        <v>29216</v>
      </c>
      <c r="D6510" t="s">
        <v>29217</v>
      </c>
      <c r="E6510" t="b">
        <v>0</v>
      </c>
      <c r="F6510" t="s">
        <v>11610</v>
      </c>
      <c r="L6510">
        <v>0</v>
      </c>
      <c r="M6510">
        <v>0</v>
      </c>
      <c r="N6510">
        <v>0</v>
      </c>
    </row>
    <row r="6511" spans="1:15">
      <c r="A6511" t="s">
        <v>29218</v>
      </c>
      <c r="B6511" t="s">
        <v>6742</v>
      </c>
      <c r="C6511" t="s">
        <v>29219</v>
      </c>
      <c r="D6511" t="s">
        <v>29220</v>
      </c>
      <c r="E6511" t="b">
        <v>0</v>
      </c>
      <c r="F6511" t="s">
        <v>11610</v>
      </c>
      <c r="L6511">
        <v>0</v>
      </c>
      <c r="M6511">
        <v>0</v>
      </c>
      <c r="N6511">
        <v>0</v>
      </c>
    </row>
    <row r="6512" spans="1:15">
      <c r="A6512" t="s">
        <v>29221</v>
      </c>
      <c r="B6512" t="s">
        <v>10597</v>
      </c>
      <c r="C6512" t="s">
        <v>23342</v>
      </c>
      <c r="D6512" t="s">
        <v>29222</v>
      </c>
      <c r="E6512" t="b">
        <v>0</v>
      </c>
      <c r="F6512" t="s">
        <v>11610</v>
      </c>
      <c r="L6512">
        <v>0</v>
      </c>
      <c r="M6512">
        <v>0</v>
      </c>
      <c r="N6512">
        <v>0</v>
      </c>
    </row>
    <row r="6513" spans="1:15">
      <c r="A6513" t="s">
        <v>29223</v>
      </c>
      <c r="B6513" t="s">
        <v>11607</v>
      </c>
      <c r="C6513" t="s">
        <v>18913</v>
      </c>
      <c r="D6513" t="s">
        <v>29224</v>
      </c>
      <c r="E6513" t="b">
        <v>0</v>
      </c>
      <c r="F6513" t="s">
        <v>11624</v>
      </c>
      <c r="G6513">
        <v>9.8747150000000001</v>
      </c>
      <c r="H6513">
        <v>14.07845</v>
      </c>
      <c r="I6513" t="s">
        <v>29225</v>
      </c>
      <c r="L6513">
        <v>0</v>
      </c>
      <c r="M6513">
        <v>0</v>
      </c>
      <c r="N6513">
        <v>1</v>
      </c>
      <c r="O6513" t="s">
        <v>29226</v>
      </c>
    </row>
    <row r="6514" spans="1:15">
      <c r="A6514" t="s">
        <v>29227</v>
      </c>
      <c r="B6514" t="s">
        <v>11757</v>
      </c>
      <c r="C6514" t="s">
        <v>16081</v>
      </c>
      <c r="D6514" t="s">
        <v>29228</v>
      </c>
      <c r="E6514" t="b">
        <v>0</v>
      </c>
      <c r="F6514" t="s">
        <v>11610</v>
      </c>
      <c r="L6514">
        <v>0</v>
      </c>
      <c r="M6514">
        <v>0</v>
      </c>
      <c r="N6514">
        <v>0</v>
      </c>
    </row>
    <row r="6515" spans="1:15">
      <c r="A6515" t="s">
        <v>20618</v>
      </c>
      <c r="B6515" t="s">
        <v>11607</v>
      </c>
      <c r="C6515" t="s">
        <v>29229</v>
      </c>
      <c r="D6515" t="s">
        <v>29230</v>
      </c>
      <c r="E6515" t="b">
        <v>0</v>
      </c>
      <c r="F6515" t="s">
        <v>11622</v>
      </c>
      <c r="L6515">
        <v>0</v>
      </c>
      <c r="M6515">
        <v>2</v>
      </c>
      <c r="N6515">
        <v>0</v>
      </c>
    </row>
    <row r="6516" spans="1:15">
      <c r="A6516" t="s">
        <v>29231</v>
      </c>
      <c r="B6516" t="s">
        <v>4342</v>
      </c>
      <c r="C6516" t="s">
        <v>26773</v>
      </c>
      <c r="D6516" t="s">
        <v>29232</v>
      </c>
      <c r="E6516" t="b">
        <v>0</v>
      </c>
      <c r="F6516" t="s">
        <v>11610</v>
      </c>
      <c r="L6516">
        <v>0</v>
      </c>
      <c r="M6516">
        <v>0</v>
      </c>
      <c r="N6516">
        <v>8</v>
      </c>
    </row>
    <row r="6517" spans="1:15">
      <c r="A6517" t="s">
        <v>29233</v>
      </c>
      <c r="B6517" t="s">
        <v>12311</v>
      </c>
      <c r="C6517" t="s">
        <v>22191</v>
      </c>
      <c r="D6517" t="s">
        <v>29234</v>
      </c>
      <c r="E6517" t="b">
        <v>0</v>
      </c>
      <c r="F6517" t="s">
        <v>11610</v>
      </c>
      <c r="L6517">
        <v>0</v>
      </c>
      <c r="M6517">
        <v>0</v>
      </c>
      <c r="N6517">
        <v>0</v>
      </c>
    </row>
    <row r="6518" spans="1:15">
      <c r="A6518" t="s">
        <v>27354</v>
      </c>
      <c r="D6518" t="s">
        <v>29235</v>
      </c>
      <c r="E6518" t="b">
        <v>0</v>
      </c>
      <c r="F6518" t="s">
        <v>11622</v>
      </c>
      <c r="L6518">
        <v>1</v>
      </c>
      <c r="M6518">
        <v>3</v>
      </c>
      <c r="N6518">
        <v>0</v>
      </c>
    </row>
    <row r="6519" spans="1:15">
      <c r="A6519" t="s">
        <v>29236</v>
      </c>
      <c r="B6519" t="s">
        <v>11607</v>
      </c>
      <c r="C6519" t="s">
        <v>29237</v>
      </c>
      <c r="D6519" t="s">
        <v>29238</v>
      </c>
      <c r="E6519" t="b">
        <v>0</v>
      </c>
      <c r="F6519" t="s">
        <v>11624</v>
      </c>
      <c r="G6519">
        <v>10.35754</v>
      </c>
      <c r="H6519">
        <v>10.460369999999999</v>
      </c>
      <c r="I6519" t="s">
        <v>29239</v>
      </c>
      <c r="L6519">
        <v>0</v>
      </c>
      <c r="M6519">
        <v>0</v>
      </c>
      <c r="N6519">
        <v>0</v>
      </c>
      <c r="O6519" t="s">
        <v>11693</v>
      </c>
    </row>
    <row r="6520" spans="1:15">
      <c r="A6520" t="s">
        <v>29240</v>
      </c>
      <c r="B6520" t="s">
        <v>6742</v>
      </c>
      <c r="C6520" t="s">
        <v>12809</v>
      </c>
      <c r="D6520" t="s">
        <v>29241</v>
      </c>
      <c r="E6520" t="b">
        <v>0</v>
      </c>
      <c r="F6520" t="s">
        <v>11610</v>
      </c>
      <c r="L6520">
        <v>0</v>
      </c>
      <c r="M6520">
        <v>0</v>
      </c>
      <c r="N6520">
        <v>0</v>
      </c>
    </row>
    <row r="6521" spans="1:15">
      <c r="A6521" t="s">
        <v>29242</v>
      </c>
      <c r="B6521" t="s">
        <v>6742</v>
      </c>
      <c r="C6521" t="s">
        <v>28000</v>
      </c>
      <c r="D6521" t="s">
        <v>29243</v>
      </c>
      <c r="E6521" t="b">
        <v>0</v>
      </c>
      <c r="F6521" t="s">
        <v>11624</v>
      </c>
      <c r="G6521">
        <v>8.3947800000000008</v>
      </c>
      <c r="H6521">
        <v>0.56974999999999998</v>
      </c>
      <c r="I6521" t="s">
        <v>29244</v>
      </c>
      <c r="L6521">
        <v>0</v>
      </c>
      <c r="M6521">
        <v>0</v>
      </c>
      <c r="N6521">
        <v>0</v>
      </c>
      <c r="O6521" t="s">
        <v>12006</v>
      </c>
    </row>
    <row r="6522" spans="1:15">
      <c r="A6522" t="s">
        <v>29245</v>
      </c>
      <c r="B6522" t="s">
        <v>6742</v>
      </c>
      <c r="C6522" t="s">
        <v>29246</v>
      </c>
      <c r="D6522" t="s">
        <v>29247</v>
      </c>
      <c r="E6522" t="b">
        <v>0</v>
      </c>
      <c r="F6522" t="s">
        <v>11622</v>
      </c>
      <c r="L6522">
        <v>1</v>
      </c>
      <c r="M6522">
        <v>3</v>
      </c>
      <c r="N6522">
        <v>0</v>
      </c>
    </row>
    <row r="6523" spans="1:15">
      <c r="A6523" t="s">
        <v>28000</v>
      </c>
      <c r="B6523" t="s">
        <v>6742</v>
      </c>
      <c r="C6523" t="s">
        <v>29245</v>
      </c>
      <c r="D6523" t="s">
        <v>29248</v>
      </c>
      <c r="E6523" t="b">
        <v>0</v>
      </c>
      <c r="F6523" t="s">
        <v>11622</v>
      </c>
      <c r="L6523">
        <v>0</v>
      </c>
      <c r="M6523">
        <v>2</v>
      </c>
      <c r="N6523">
        <v>0</v>
      </c>
    </row>
    <row r="6524" spans="1:15">
      <c r="A6524" t="s">
        <v>28364</v>
      </c>
      <c r="B6524" t="s">
        <v>11637</v>
      </c>
      <c r="C6524" t="s">
        <v>29249</v>
      </c>
      <c r="D6524" t="s">
        <v>29250</v>
      </c>
      <c r="E6524" t="b">
        <v>0</v>
      </c>
      <c r="F6524" t="s">
        <v>11624</v>
      </c>
      <c r="G6524">
        <v>37.134399999999999</v>
      </c>
      <c r="H6524">
        <v>49.835900000000002</v>
      </c>
      <c r="I6524" t="s">
        <v>29251</v>
      </c>
      <c r="L6524">
        <v>0</v>
      </c>
      <c r="M6524">
        <v>0</v>
      </c>
      <c r="N6524">
        <v>2</v>
      </c>
      <c r="O6524" t="s">
        <v>13225</v>
      </c>
    </row>
    <row r="6525" spans="1:15">
      <c r="A6525" t="s">
        <v>29249</v>
      </c>
      <c r="B6525" t="s">
        <v>11637</v>
      </c>
      <c r="C6525" t="s">
        <v>21194</v>
      </c>
      <c r="D6525" t="s">
        <v>29252</v>
      </c>
      <c r="E6525" t="b">
        <v>0</v>
      </c>
      <c r="F6525" t="s">
        <v>11622</v>
      </c>
      <c r="L6525">
        <v>0</v>
      </c>
      <c r="M6525">
        <v>2</v>
      </c>
      <c r="N6525">
        <v>2</v>
      </c>
    </row>
    <row r="6526" spans="1:15">
      <c r="A6526" t="s">
        <v>29253</v>
      </c>
      <c r="B6526" t="s">
        <v>6742</v>
      </c>
      <c r="C6526" t="s">
        <v>29254</v>
      </c>
      <c r="D6526" t="s">
        <v>29255</v>
      </c>
      <c r="E6526" t="b">
        <v>0</v>
      </c>
      <c r="F6526" t="s">
        <v>11610</v>
      </c>
      <c r="L6526">
        <v>0</v>
      </c>
      <c r="M6526">
        <v>0</v>
      </c>
      <c r="N6526">
        <v>0</v>
      </c>
    </row>
    <row r="6527" spans="1:15">
      <c r="A6527" t="s">
        <v>29256</v>
      </c>
      <c r="B6527" t="s">
        <v>6742</v>
      </c>
      <c r="C6527" t="s">
        <v>29257</v>
      </c>
      <c r="D6527" t="s">
        <v>29258</v>
      </c>
      <c r="E6527" t="b">
        <v>0</v>
      </c>
      <c r="F6527" t="s">
        <v>11610</v>
      </c>
      <c r="L6527">
        <v>0</v>
      </c>
      <c r="M6527">
        <v>0</v>
      </c>
      <c r="N6527">
        <v>0</v>
      </c>
    </row>
    <row r="6528" spans="1:15">
      <c r="A6528" t="s">
        <v>16482</v>
      </c>
      <c r="B6528" t="s">
        <v>367</v>
      </c>
      <c r="C6528" t="s">
        <v>21875</v>
      </c>
      <c r="D6528" t="s">
        <v>29259</v>
      </c>
      <c r="E6528" t="b">
        <v>0</v>
      </c>
      <c r="F6528" t="s">
        <v>11624</v>
      </c>
      <c r="G6528">
        <v>-1.34</v>
      </c>
      <c r="H6528">
        <v>176.44</v>
      </c>
      <c r="I6528" t="s">
        <v>29260</v>
      </c>
      <c r="L6528">
        <v>0</v>
      </c>
      <c r="M6528">
        <v>0</v>
      </c>
      <c r="N6528">
        <v>2</v>
      </c>
      <c r="O6528" t="s">
        <v>29261</v>
      </c>
    </row>
    <row r="6529" spans="1:15">
      <c r="A6529" t="s">
        <v>29262</v>
      </c>
      <c r="B6529" t="s">
        <v>6742</v>
      </c>
      <c r="C6529" t="s">
        <v>12809</v>
      </c>
      <c r="D6529" t="s">
        <v>29263</v>
      </c>
      <c r="E6529" t="b">
        <v>0</v>
      </c>
      <c r="F6529" t="s">
        <v>11610</v>
      </c>
      <c r="L6529">
        <v>0</v>
      </c>
      <c r="M6529">
        <v>0</v>
      </c>
      <c r="N6529">
        <v>0</v>
      </c>
    </row>
    <row r="6530" spans="1:15">
      <c r="A6530" t="s">
        <v>15872</v>
      </c>
      <c r="B6530" t="s">
        <v>11637</v>
      </c>
      <c r="C6530" t="s">
        <v>8013</v>
      </c>
      <c r="D6530" t="s">
        <v>29264</v>
      </c>
      <c r="E6530" t="b">
        <v>0</v>
      </c>
      <c r="F6530" t="s">
        <v>11610</v>
      </c>
      <c r="L6530">
        <v>0</v>
      </c>
      <c r="M6530">
        <v>0</v>
      </c>
      <c r="N6530">
        <v>7</v>
      </c>
    </row>
    <row r="6531" spans="1:15">
      <c r="A6531" t="s">
        <v>29265</v>
      </c>
      <c r="B6531" t="s">
        <v>11637</v>
      </c>
      <c r="C6531" t="s">
        <v>15872</v>
      </c>
      <c r="D6531" t="s">
        <v>29266</v>
      </c>
      <c r="E6531" t="b">
        <v>0</v>
      </c>
      <c r="F6531" t="s">
        <v>11610</v>
      </c>
      <c r="L6531">
        <v>0</v>
      </c>
      <c r="M6531">
        <v>0</v>
      </c>
      <c r="N6531">
        <v>0</v>
      </c>
    </row>
    <row r="6532" spans="1:15">
      <c r="A6532" t="s">
        <v>29267</v>
      </c>
      <c r="B6532" t="s">
        <v>6742</v>
      </c>
      <c r="C6532" t="s">
        <v>20719</v>
      </c>
      <c r="D6532" t="s">
        <v>29268</v>
      </c>
      <c r="E6532" t="b">
        <v>0</v>
      </c>
      <c r="F6532" t="s">
        <v>11624</v>
      </c>
      <c r="G6532">
        <v>4.5585000000000004</v>
      </c>
      <c r="H6532">
        <v>19.0091</v>
      </c>
      <c r="I6532" t="s">
        <v>29269</v>
      </c>
      <c r="L6532">
        <v>0</v>
      </c>
      <c r="M6532">
        <v>0</v>
      </c>
      <c r="N6532">
        <v>0</v>
      </c>
      <c r="O6532" t="s">
        <v>13069</v>
      </c>
    </row>
    <row r="6533" spans="1:15">
      <c r="A6533" t="s">
        <v>29270</v>
      </c>
      <c r="B6533" t="s">
        <v>11615</v>
      </c>
      <c r="C6533" t="s">
        <v>29271</v>
      </c>
      <c r="D6533" t="s">
        <v>29272</v>
      </c>
      <c r="E6533" t="b">
        <v>0</v>
      </c>
      <c r="F6533" t="s">
        <v>11610</v>
      </c>
      <c r="L6533">
        <v>0</v>
      </c>
      <c r="M6533">
        <v>0</v>
      </c>
      <c r="N6533">
        <v>0</v>
      </c>
    </row>
    <row r="6534" spans="1:15">
      <c r="A6534" t="s">
        <v>29273</v>
      </c>
      <c r="B6534" t="s">
        <v>11607</v>
      </c>
      <c r="C6534" t="s">
        <v>16501</v>
      </c>
      <c r="D6534" t="s">
        <v>29274</v>
      </c>
      <c r="E6534" t="b">
        <v>0</v>
      </c>
      <c r="F6534" t="s">
        <v>11610</v>
      </c>
      <c r="L6534">
        <v>0</v>
      </c>
      <c r="M6534">
        <v>0</v>
      </c>
      <c r="N6534">
        <v>0</v>
      </c>
    </row>
    <row r="6535" spans="1:15">
      <c r="A6535" t="s">
        <v>6842</v>
      </c>
      <c r="D6535" t="s">
        <v>6841</v>
      </c>
      <c r="E6535" t="b">
        <v>0</v>
      </c>
      <c r="F6535" t="s">
        <v>11624</v>
      </c>
      <c r="G6535">
        <v>52.59</v>
      </c>
      <c r="H6535">
        <v>140.68100000000001</v>
      </c>
      <c r="I6535" t="s">
        <v>6843</v>
      </c>
      <c r="L6535">
        <v>0</v>
      </c>
      <c r="M6535">
        <v>0</v>
      </c>
      <c r="N6535">
        <v>3</v>
      </c>
      <c r="O6535" t="s">
        <v>12748</v>
      </c>
    </row>
    <row r="6536" spans="1:15">
      <c r="A6536" t="s">
        <v>29275</v>
      </c>
      <c r="B6536" t="s">
        <v>6742</v>
      </c>
      <c r="C6536" t="s">
        <v>23978</v>
      </c>
      <c r="D6536" t="s">
        <v>29276</v>
      </c>
      <c r="E6536" t="b">
        <v>0</v>
      </c>
      <c r="F6536" t="s">
        <v>11610</v>
      </c>
      <c r="L6536">
        <v>0</v>
      </c>
      <c r="M6536">
        <v>0</v>
      </c>
      <c r="N6536">
        <v>0</v>
      </c>
    </row>
    <row r="6537" spans="1:15">
      <c r="A6537" t="s">
        <v>29277</v>
      </c>
      <c r="B6537" t="s">
        <v>367</v>
      </c>
      <c r="C6537" t="s">
        <v>12500</v>
      </c>
      <c r="D6537" t="s">
        <v>29278</v>
      </c>
      <c r="E6537" t="b">
        <v>0</v>
      </c>
      <c r="F6537" t="s">
        <v>11624</v>
      </c>
      <c r="G6537">
        <v>-6.0246399999999998</v>
      </c>
      <c r="H6537">
        <v>149.47800000000001</v>
      </c>
      <c r="I6537" t="s">
        <v>29279</v>
      </c>
      <c r="L6537">
        <v>0</v>
      </c>
      <c r="M6537">
        <v>0</v>
      </c>
      <c r="N6537">
        <v>0</v>
      </c>
      <c r="O6537" t="s">
        <v>11660</v>
      </c>
    </row>
    <row r="6538" spans="1:15">
      <c r="A6538" t="s">
        <v>26291</v>
      </c>
      <c r="B6538" t="s">
        <v>11615</v>
      </c>
      <c r="C6538" t="s">
        <v>28032</v>
      </c>
      <c r="D6538" t="s">
        <v>29280</v>
      </c>
      <c r="E6538" t="b">
        <v>0</v>
      </c>
      <c r="F6538" t="s">
        <v>11624</v>
      </c>
      <c r="G6538">
        <v>-6.4209699999999996</v>
      </c>
      <c r="H6538">
        <v>145.214</v>
      </c>
      <c r="I6538" t="s">
        <v>29281</v>
      </c>
      <c r="L6538">
        <v>0</v>
      </c>
      <c r="M6538">
        <v>0</v>
      </c>
      <c r="N6538">
        <v>2</v>
      </c>
      <c r="O6538" t="s">
        <v>11660</v>
      </c>
    </row>
    <row r="6539" spans="1:15">
      <c r="A6539" t="s">
        <v>29282</v>
      </c>
      <c r="B6539" t="s">
        <v>6742</v>
      </c>
      <c r="C6539" t="s">
        <v>29283</v>
      </c>
      <c r="D6539" t="s">
        <v>29284</v>
      </c>
      <c r="E6539" t="b">
        <v>0</v>
      </c>
      <c r="F6539" t="s">
        <v>11624</v>
      </c>
      <c r="G6539">
        <v>8.5808400000000002</v>
      </c>
      <c r="H6539">
        <v>12.665800000000001</v>
      </c>
      <c r="I6539" t="s">
        <v>29285</v>
      </c>
      <c r="L6539">
        <v>0</v>
      </c>
      <c r="M6539">
        <v>0</v>
      </c>
      <c r="N6539">
        <v>0</v>
      </c>
      <c r="O6539" t="s">
        <v>11802</v>
      </c>
    </row>
    <row r="6540" spans="1:15">
      <c r="A6540" t="s">
        <v>29286</v>
      </c>
      <c r="B6540" t="s">
        <v>6742</v>
      </c>
      <c r="C6540" t="s">
        <v>29283</v>
      </c>
      <c r="D6540" t="s">
        <v>29287</v>
      </c>
      <c r="E6540" t="b">
        <v>0</v>
      </c>
      <c r="F6540" t="s">
        <v>11624</v>
      </c>
      <c r="G6540">
        <v>8.5812899999999992</v>
      </c>
      <c r="H6540">
        <v>12.786899999999999</v>
      </c>
      <c r="I6540" t="s">
        <v>29288</v>
      </c>
      <c r="L6540">
        <v>0</v>
      </c>
      <c r="M6540">
        <v>0</v>
      </c>
      <c r="N6540">
        <v>1</v>
      </c>
      <c r="O6540" t="s">
        <v>11802</v>
      </c>
    </row>
    <row r="6541" spans="1:15">
      <c r="A6541" t="s">
        <v>29289</v>
      </c>
      <c r="B6541" t="s">
        <v>4236</v>
      </c>
      <c r="C6541" t="s">
        <v>21525</v>
      </c>
      <c r="D6541" t="s">
        <v>29290</v>
      </c>
      <c r="E6541" t="b">
        <v>0</v>
      </c>
      <c r="F6541" t="s">
        <v>11610</v>
      </c>
      <c r="L6541">
        <v>0</v>
      </c>
      <c r="M6541">
        <v>0</v>
      </c>
      <c r="N6541">
        <v>0</v>
      </c>
    </row>
    <row r="6542" spans="1:15">
      <c r="A6542" t="s">
        <v>29291</v>
      </c>
      <c r="B6542" t="s">
        <v>6742</v>
      </c>
      <c r="C6542" t="s">
        <v>29292</v>
      </c>
      <c r="D6542" t="s">
        <v>29293</v>
      </c>
      <c r="E6542" t="b">
        <v>0</v>
      </c>
      <c r="F6542" t="s">
        <v>11610</v>
      </c>
      <c r="L6542">
        <v>0</v>
      </c>
      <c r="M6542">
        <v>0</v>
      </c>
      <c r="N6542">
        <v>0</v>
      </c>
    </row>
    <row r="6543" spans="1:15">
      <c r="A6543" t="s">
        <v>29294</v>
      </c>
      <c r="B6543" t="s">
        <v>6742</v>
      </c>
      <c r="C6543" t="s">
        <v>1627</v>
      </c>
      <c r="D6543" t="s">
        <v>29295</v>
      </c>
      <c r="E6543" t="b">
        <v>0</v>
      </c>
      <c r="F6543" t="s">
        <v>11610</v>
      </c>
      <c r="L6543">
        <v>0</v>
      </c>
      <c r="M6543">
        <v>0</v>
      </c>
      <c r="N6543">
        <v>0</v>
      </c>
    </row>
    <row r="6544" spans="1:15">
      <c r="A6544" t="s">
        <v>29296</v>
      </c>
      <c r="B6544" t="s">
        <v>4236</v>
      </c>
      <c r="C6544" t="s">
        <v>4228</v>
      </c>
      <c r="D6544" t="s">
        <v>29297</v>
      </c>
      <c r="E6544" t="b">
        <v>0</v>
      </c>
      <c r="F6544" t="s">
        <v>11610</v>
      </c>
      <c r="L6544">
        <v>0</v>
      </c>
      <c r="M6544">
        <v>0</v>
      </c>
      <c r="N6544">
        <v>0</v>
      </c>
    </row>
    <row r="6545" spans="1:15">
      <c r="A6545" t="s">
        <v>29298</v>
      </c>
      <c r="B6545" t="s">
        <v>23796</v>
      </c>
      <c r="C6545" t="s">
        <v>23796</v>
      </c>
      <c r="D6545" t="s">
        <v>29299</v>
      </c>
      <c r="E6545" t="b">
        <v>0</v>
      </c>
      <c r="F6545" t="s">
        <v>11624</v>
      </c>
      <c r="G6545">
        <v>-10.0298</v>
      </c>
      <c r="H6545">
        <v>149.69999999999999</v>
      </c>
      <c r="I6545" t="s">
        <v>29300</v>
      </c>
      <c r="L6545">
        <v>0</v>
      </c>
      <c r="M6545">
        <v>0</v>
      </c>
      <c r="N6545">
        <v>0</v>
      </c>
      <c r="O6545" t="s">
        <v>11660</v>
      </c>
    </row>
    <row r="6546" spans="1:15">
      <c r="A6546" t="s">
        <v>29301</v>
      </c>
      <c r="B6546" t="s">
        <v>6742</v>
      </c>
      <c r="C6546" t="s">
        <v>29245</v>
      </c>
      <c r="D6546" t="s">
        <v>29302</v>
      </c>
      <c r="E6546" t="b">
        <v>0</v>
      </c>
      <c r="F6546" t="s">
        <v>11624</v>
      </c>
      <c r="G6546">
        <v>8.2326999999999995</v>
      </c>
      <c r="H6546">
        <v>0.98348000000000002</v>
      </c>
      <c r="I6546" t="s">
        <v>29303</v>
      </c>
      <c r="L6546">
        <v>0</v>
      </c>
      <c r="M6546">
        <v>0</v>
      </c>
      <c r="N6546">
        <v>0</v>
      </c>
      <c r="O6546" t="s">
        <v>12704</v>
      </c>
    </row>
    <row r="6547" spans="1:15">
      <c r="A6547" t="s">
        <v>29304</v>
      </c>
      <c r="B6547" t="s">
        <v>6742</v>
      </c>
      <c r="C6547" t="s">
        <v>22116</v>
      </c>
      <c r="D6547" t="s">
        <v>29305</v>
      </c>
      <c r="E6547" t="b">
        <v>0</v>
      </c>
      <c r="F6547" t="s">
        <v>11610</v>
      </c>
      <c r="L6547">
        <v>0</v>
      </c>
      <c r="M6547">
        <v>0</v>
      </c>
      <c r="N6547">
        <v>0</v>
      </c>
    </row>
    <row r="6548" spans="1:15">
      <c r="A6548" t="s">
        <v>29306</v>
      </c>
      <c r="B6548" t="s">
        <v>4342</v>
      </c>
      <c r="C6548" t="s">
        <v>29307</v>
      </c>
      <c r="D6548" t="s">
        <v>29308</v>
      </c>
      <c r="E6548" t="b">
        <v>0</v>
      </c>
      <c r="F6548" t="s">
        <v>11610</v>
      </c>
      <c r="L6548">
        <v>0</v>
      </c>
      <c r="M6548">
        <v>0</v>
      </c>
      <c r="N6548">
        <v>0</v>
      </c>
    </row>
    <row r="6549" spans="1:15">
      <c r="A6549" t="s">
        <v>29309</v>
      </c>
      <c r="B6549" t="s">
        <v>6742</v>
      </c>
      <c r="C6549" t="s">
        <v>29310</v>
      </c>
      <c r="D6549" t="s">
        <v>29311</v>
      </c>
      <c r="E6549" t="b">
        <v>0</v>
      </c>
      <c r="F6549" t="s">
        <v>11610</v>
      </c>
      <c r="L6549">
        <v>0</v>
      </c>
      <c r="M6549">
        <v>0</v>
      </c>
      <c r="N6549">
        <v>0</v>
      </c>
    </row>
    <row r="6550" spans="1:15">
      <c r="A6550" t="s">
        <v>29312</v>
      </c>
      <c r="B6550" t="s">
        <v>11615</v>
      </c>
      <c r="C6550" t="s">
        <v>29313</v>
      </c>
      <c r="D6550" t="s">
        <v>29314</v>
      </c>
      <c r="E6550" t="b">
        <v>0</v>
      </c>
      <c r="F6550" t="s">
        <v>11624</v>
      </c>
      <c r="G6550">
        <v>-5.3534199999999998</v>
      </c>
      <c r="H6550">
        <v>145.423</v>
      </c>
      <c r="I6550" t="s">
        <v>29315</v>
      </c>
      <c r="L6550">
        <v>0</v>
      </c>
      <c r="M6550">
        <v>0</v>
      </c>
      <c r="N6550">
        <v>0</v>
      </c>
      <c r="O6550" t="s">
        <v>11660</v>
      </c>
    </row>
    <row r="6551" spans="1:15">
      <c r="A6551" t="s">
        <v>29316</v>
      </c>
      <c r="B6551" t="s">
        <v>11615</v>
      </c>
      <c r="C6551" t="s">
        <v>29317</v>
      </c>
      <c r="D6551" t="s">
        <v>29318</v>
      </c>
      <c r="E6551" t="b">
        <v>0</v>
      </c>
      <c r="F6551" t="s">
        <v>11622</v>
      </c>
      <c r="L6551">
        <v>0</v>
      </c>
      <c r="M6551">
        <v>3</v>
      </c>
      <c r="N6551">
        <v>0</v>
      </c>
    </row>
    <row r="6552" spans="1:15">
      <c r="A6552" t="s">
        <v>29319</v>
      </c>
      <c r="B6552" t="s">
        <v>11810</v>
      </c>
      <c r="C6552" t="s">
        <v>14856</v>
      </c>
      <c r="D6552" t="s">
        <v>29320</v>
      </c>
      <c r="E6552" t="b">
        <v>0</v>
      </c>
      <c r="F6552" t="s">
        <v>11610</v>
      </c>
      <c r="L6552">
        <v>0</v>
      </c>
      <c r="M6552">
        <v>0</v>
      </c>
      <c r="N6552">
        <v>0</v>
      </c>
    </row>
    <row r="6553" spans="1:15">
      <c r="A6553" t="s">
        <v>29321</v>
      </c>
      <c r="B6553" t="s">
        <v>11810</v>
      </c>
      <c r="C6553" t="s">
        <v>29322</v>
      </c>
      <c r="D6553" t="s">
        <v>29323</v>
      </c>
      <c r="E6553" t="b">
        <v>0</v>
      </c>
      <c r="F6553" t="s">
        <v>11610</v>
      </c>
      <c r="L6553">
        <v>0</v>
      </c>
      <c r="M6553">
        <v>0</v>
      </c>
      <c r="N6553">
        <v>0</v>
      </c>
    </row>
    <row r="6554" spans="1:15">
      <c r="A6554" t="s">
        <v>29324</v>
      </c>
      <c r="B6554" t="s">
        <v>11637</v>
      </c>
      <c r="C6554" t="s">
        <v>24625</v>
      </c>
      <c r="D6554" t="s">
        <v>29325</v>
      </c>
      <c r="E6554" t="b">
        <v>0</v>
      </c>
      <c r="F6554" t="s">
        <v>11610</v>
      </c>
      <c r="L6554">
        <v>0</v>
      </c>
      <c r="M6554">
        <v>0</v>
      </c>
      <c r="N6554">
        <v>0</v>
      </c>
    </row>
    <row r="6555" spans="1:15">
      <c r="A6555" t="s">
        <v>29326</v>
      </c>
      <c r="B6555" t="s">
        <v>11794</v>
      </c>
      <c r="C6555" t="s">
        <v>29327</v>
      </c>
      <c r="D6555" t="s">
        <v>29328</v>
      </c>
      <c r="E6555" t="b">
        <v>0</v>
      </c>
      <c r="F6555" t="s">
        <v>11610</v>
      </c>
      <c r="L6555">
        <v>0</v>
      </c>
      <c r="M6555">
        <v>0</v>
      </c>
      <c r="N6555">
        <v>0</v>
      </c>
    </row>
    <row r="6556" spans="1:15">
      <c r="A6556" t="s">
        <v>29329</v>
      </c>
      <c r="B6556" t="s">
        <v>11607</v>
      </c>
      <c r="C6556" t="s">
        <v>16031</v>
      </c>
      <c r="D6556" t="s">
        <v>29330</v>
      </c>
      <c r="E6556" t="b">
        <v>0</v>
      </c>
      <c r="F6556" t="s">
        <v>11624</v>
      </c>
      <c r="G6556">
        <v>5.76</v>
      </c>
      <c r="H6556">
        <v>42.17</v>
      </c>
      <c r="L6556">
        <v>0</v>
      </c>
      <c r="M6556">
        <v>0</v>
      </c>
      <c r="N6556">
        <v>0</v>
      </c>
      <c r="O6556" t="s">
        <v>11625</v>
      </c>
    </row>
    <row r="6557" spans="1:15">
      <c r="A6557" t="s">
        <v>29331</v>
      </c>
      <c r="B6557" t="s">
        <v>10597</v>
      </c>
      <c r="C6557" t="s">
        <v>25713</v>
      </c>
      <c r="D6557" t="s">
        <v>29332</v>
      </c>
      <c r="E6557" t="b">
        <v>0</v>
      </c>
      <c r="F6557" t="s">
        <v>11610</v>
      </c>
      <c r="L6557">
        <v>0</v>
      </c>
      <c r="M6557">
        <v>0</v>
      </c>
      <c r="N6557">
        <v>0</v>
      </c>
    </row>
    <row r="6558" spans="1:15">
      <c r="A6558" t="s">
        <v>29333</v>
      </c>
      <c r="B6558" t="s">
        <v>6742</v>
      </c>
      <c r="C6558" t="s">
        <v>22116</v>
      </c>
      <c r="D6558" t="s">
        <v>29334</v>
      </c>
      <c r="E6558" t="b">
        <v>0</v>
      </c>
      <c r="F6558" t="s">
        <v>11610</v>
      </c>
      <c r="L6558">
        <v>0</v>
      </c>
      <c r="M6558">
        <v>0</v>
      </c>
      <c r="N6558">
        <v>0</v>
      </c>
    </row>
    <row r="6559" spans="1:15">
      <c r="A6559" t="s">
        <v>23010</v>
      </c>
      <c r="B6559" t="s">
        <v>6742</v>
      </c>
      <c r="C6559" t="s">
        <v>22845</v>
      </c>
      <c r="D6559" t="s">
        <v>29335</v>
      </c>
      <c r="E6559" t="b">
        <v>0</v>
      </c>
      <c r="F6559" t="s">
        <v>11624</v>
      </c>
      <c r="G6559">
        <v>-3.3063799999999999</v>
      </c>
      <c r="H6559">
        <v>39.6648</v>
      </c>
      <c r="I6559" t="s">
        <v>29336</v>
      </c>
      <c r="L6559">
        <v>0</v>
      </c>
      <c r="M6559">
        <v>0</v>
      </c>
      <c r="N6559">
        <v>7</v>
      </c>
      <c r="O6559" t="s">
        <v>22848</v>
      </c>
    </row>
    <row r="6560" spans="1:15">
      <c r="A6560" t="s">
        <v>29337</v>
      </c>
      <c r="B6560" t="s">
        <v>11757</v>
      </c>
      <c r="C6560" t="s">
        <v>16081</v>
      </c>
      <c r="D6560" t="s">
        <v>29338</v>
      </c>
      <c r="E6560" t="b">
        <v>0</v>
      </c>
      <c r="F6560" t="s">
        <v>11610</v>
      </c>
      <c r="L6560">
        <v>0</v>
      </c>
      <c r="M6560">
        <v>0</v>
      </c>
      <c r="N6560">
        <v>0</v>
      </c>
    </row>
    <row r="6561" spans="1:15">
      <c r="A6561" t="s">
        <v>29339</v>
      </c>
      <c r="B6561" t="s">
        <v>6742</v>
      </c>
      <c r="C6561" t="s">
        <v>12809</v>
      </c>
      <c r="D6561" t="s">
        <v>29340</v>
      </c>
      <c r="E6561" t="b">
        <v>0</v>
      </c>
      <c r="F6561" t="s">
        <v>11610</v>
      </c>
      <c r="L6561">
        <v>0</v>
      </c>
      <c r="M6561">
        <v>0</v>
      </c>
      <c r="N6561">
        <v>0</v>
      </c>
    </row>
    <row r="6562" spans="1:15">
      <c r="A6562" t="s">
        <v>29341</v>
      </c>
      <c r="B6562" t="s">
        <v>6742</v>
      </c>
      <c r="C6562" t="s">
        <v>12809</v>
      </c>
      <c r="D6562" t="s">
        <v>29342</v>
      </c>
      <c r="E6562" t="b">
        <v>0</v>
      </c>
      <c r="F6562" t="s">
        <v>11610</v>
      </c>
      <c r="L6562">
        <v>0</v>
      </c>
      <c r="M6562">
        <v>0</v>
      </c>
      <c r="N6562">
        <v>0</v>
      </c>
    </row>
    <row r="6563" spans="1:15">
      <c r="A6563" t="s">
        <v>29343</v>
      </c>
      <c r="B6563" t="s">
        <v>6742</v>
      </c>
      <c r="C6563" t="s">
        <v>22854</v>
      </c>
      <c r="D6563" t="s">
        <v>29344</v>
      </c>
      <c r="E6563" t="b">
        <v>0</v>
      </c>
      <c r="F6563" t="s">
        <v>11624</v>
      </c>
      <c r="G6563">
        <v>-23.796399999999998</v>
      </c>
      <c r="H6563">
        <v>35.157699999999998</v>
      </c>
      <c r="I6563" t="s">
        <v>29345</v>
      </c>
      <c r="L6563">
        <v>0</v>
      </c>
      <c r="M6563">
        <v>0</v>
      </c>
      <c r="N6563">
        <v>3</v>
      </c>
      <c r="O6563" t="s">
        <v>17188</v>
      </c>
    </row>
    <row r="6564" spans="1:15">
      <c r="A6564" t="s">
        <v>29346</v>
      </c>
      <c r="B6564" t="s">
        <v>6742</v>
      </c>
      <c r="C6564" t="s">
        <v>29343</v>
      </c>
      <c r="D6564" t="s">
        <v>29347</v>
      </c>
      <c r="E6564" t="b">
        <v>0</v>
      </c>
      <c r="F6564" t="s">
        <v>11610</v>
      </c>
      <c r="L6564">
        <v>0</v>
      </c>
      <c r="M6564">
        <v>0</v>
      </c>
      <c r="N6564">
        <v>0</v>
      </c>
    </row>
    <row r="6565" spans="1:15">
      <c r="A6565" t="s">
        <v>29348</v>
      </c>
      <c r="B6565" t="s">
        <v>6436</v>
      </c>
      <c r="C6565" t="s">
        <v>29349</v>
      </c>
      <c r="D6565" t="s">
        <v>29350</v>
      </c>
      <c r="E6565" t="b">
        <v>0</v>
      </c>
      <c r="F6565" t="s">
        <v>11610</v>
      </c>
      <c r="L6565">
        <v>0</v>
      </c>
      <c r="M6565">
        <v>0</v>
      </c>
      <c r="N6565">
        <v>0</v>
      </c>
    </row>
    <row r="6566" spans="1:15">
      <c r="A6566" t="s">
        <v>29351</v>
      </c>
      <c r="B6566" t="s">
        <v>367</v>
      </c>
      <c r="C6566" t="s">
        <v>29352</v>
      </c>
      <c r="D6566" t="s">
        <v>29353</v>
      </c>
      <c r="E6566" t="b">
        <v>0</v>
      </c>
      <c r="F6566" t="s">
        <v>11624</v>
      </c>
      <c r="G6566">
        <v>-6.0151000000000003</v>
      </c>
      <c r="H6566">
        <v>147.48500000000001</v>
      </c>
      <c r="I6566" t="s">
        <v>29354</v>
      </c>
      <c r="L6566">
        <v>0</v>
      </c>
      <c r="M6566">
        <v>0</v>
      </c>
      <c r="N6566">
        <v>0</v>
      </c>
      <c r="O6566" t="s">
        <v>11660</v>
      </c>
    </row>
    <row r="6567" spans="1:15">
      <c r="A6567" t="s">
        <v>29349</v>
      </c>
      <c r="B6567" t="s">
        <v>6436</v>
      </c>
      <c r="C6567" t="s">
        <v>29355</v>
      </c>
      <c r="D6567" t="s">
        <v>29356</v>
      </c>
      <c r="E6567" t="b">
        <v>0</v>
      </c>
      <c r="F6567" t="s">
        <v>11624</v>
      </c>
      <c r="G6567">
        <v>55.09</v>
      </c>
      <c r="H6567">
        <v>-128.08000000000001</v>
      </c>
      <c r="I6567" t="s">
        <v>29357</v>
      </c>
      <c r="L6567">
        <v>0</v>
      </c>
      <c r="M6567">
        <v>0</v>
      </c>
      <c r="N6567">
        <v>2</v>
      </c>
      <c r="O6567" t="s">
        <v>13049</v>
      </c>
    </row>
    <row r="6568" spans="1:15">
      <c r="A6568" t="s">
        <v>29358</v>
      </c>
      <c r="B6568" t="s">
        <v>10597</v>
      </c>
      <c r="C6568" t="s">
        <v>18772</v>
      </c>
      <c r="D6568" t="s">
        <v>29359</v>
      </c>
      <c r="E6568" t="b">
        <v>0</v>
      </c>
      <c r="F6568" t="s">
        <v>11624</v>
      </c>
      <c r="L6568">
        <v>0</v>
      </c>
      <c r="M6568">
        <v>0</v>
      </c>
      <c r="N6568">
        <v>0</v>
      </c>
      <c r="O6568" t="s">
        <v>12107</v>
      </c>
    </row>
    <row r="6569" spans="1:15">
      <c r="A6569" t="s">
        <v>29360</v>
      </c>
      <c r="B6569" t="s">
        <v>12241</v>
      </c>
      <c r="C6569" t="s">
        <v>12241</v>
      </c>
      <c r="D6569" t="s">
        <v>29361</v>
      </c>
      <c r="E6569" t="b">
        <v>0</v>
      </c>
      <c r="F6569" t="s">
        <v>11624</v>
      </c>
      <c r="G6569">
        <v>-13.200100000000001</v>
      </c>
      <c r="H6569">
        <v>130.09200000000001</v>
      </c>
      <c r="I6569" t="s">
        <v>29362</v>
      </c>
      <c r="L6569">
        <v>0</v>
      </c>
      <c r="M6569">
        <v>0</v>
      </c>
      <c r="N6569">
        <v>0</v>
      </c>
      <c r="O6569" t="s">
        <v>12107</v>
      </c>
    </row>
    <row r="6570" spans="1:15">
      <c r="A6570" t="s">
        <v>29363</v>
      </c>
      <c r="B6570" t="s">
        <v>11607</v>
      </c>
      <c r="C6570" t="s">
        <v>21749</v>
      </c>
      <c r="D6570" t="s">
        <v>29364</v>
      </c>
      <c r="E6570" t="b">
        <v>0</v>
      </c>
      <c r="F6570" t="s">
        <v>11610</v>
      </c>
      <c r="L6570">
        <v>0</v>
      </c>
      <c r="M6570">
        <v>0</v>
      </c>
      <c r="N6570">
        <v>0</v>
      </c>
    </row>
    <row r="6571" spans="1:15">
      <c r="A6571" t="s">
        <v>29365</v>
      </c>
      <c r="B6571" t="s">
        <v>11607</v>
      </c>
      <c r="C6571" t="s">
        <v>29366</v>
      </c>
      <c r="D6571" t="s">
        <v>29367</v>
      </c>
      <c r="E6571" t="b">
        <v>0</v>
      </c>
      <c r="F6571" t="s">
        <v>11624</v>
      </c>
      <c r="G6571">
        <v>10.023277999999999</v>
      </c>
      <c r="H6571">
        <v>15.269102999999999</v>
      </c>
      <c r="L6571">
        <v>0</v>
      </c>
      <c r="M6571">
        <v>0</v>
      </c>
      <c r="N6571">
        <v>0</v>
      </c>
      <c r="O6571" t="s">
        <v>13421</v>
      </c>
    </row>
    <row r="6572" spans="1:15">
      <c r="A6572" t="s">
        <v>29368</v>
      </c>
      <c r="B6572" t="s">
        <v>13276</v>
      </c>
      <c r="C6572" t="s">
        <v>20281</v>
      </c>
      <c r="D6572" t="s">
        <v>29369</v>
      </c>
      <c r="E6572" t="b">
        <v>0</v>
      </c>
      <c r="F6572" t="s">
        <v>11610</v>
      </c>
      <c r="L6572">
        <v>0</v>
      </c>
      <c r="M6572">
        <v>0</v>
      </c>
      <c r="N6572">
        <v>0</v>
      </c>
    </row>
    <row r="6573" spans="1:15">
      <c r="A6573" t="s">
        <v>29370</v>
      </c>
      <c r="B6573" t="s">
        <v>11686</v>
      </c>
      <c r="C6573" t="s">
        <v>11686</v>
      </c>
      <c r="D6573" t="s">
        <v>29371</v>
      </c>
      <c r="E6573" t="b">
        <v>0</v>
      </c>
      <c r="F6573" t="s">
        <v>11624</v>
      </c>
      <c r="G6573">
        <v>-9.1829999999999998</v>
      </c>
      <c r="H6573">
        <v>142.804</v>
      </c>
      <c r="I6573" t="s">
        <v>29372</v>
      </c>
      <c r="L6573">
        <v>0</v>
      </c>
      <c r="M6573">
        <v>0</v>
      </c>
      <c r="N6573">
        <v>2</v>
      </c>
      <c r="O6573" t="s">
        <v>11660</v>
      </c>
    </row>
    <row r="6574" spans="1:15">
      <c r="A6574" t="s">
        <v>29373</v>
      </c>
      <c r="B6574" t="s">
        <v>12311</v>
      </c>
      <c r="C6574" t="s">
        <v>12742</v>
      </c>
      <c r="D6574" t="s">
        <v>29374</v>
      </c>
      <c r="E6574" t="b">
        <v>0</v>
      </c>
      <c r="F6574" t="s">
        <v>11610</v>
      </c>
      <c r="L6574">
        <v>0</v>
      </c>
      <c r="M6574">
        <v>0</v>
      </c>
      <c r="N6574">
        <v>0</v>
      </c>
    </row>
    <row r="6575" spans="1:15">
      <c r="A6575" t="s">
        <v>29375</v>
      </c>
      <c r="B6575" t="s">
        <v>6742</v>
      </c>
      <c r="C6575" t="s">
        <v>23852</v>
      </c>
      <c r="D6575" t="s">
        <v>29376</v>
      </c>
      <c r="E6575" t="b">
        <v>0</v>
      </c>
      <c r="F6575" t="s">
        <v>11624</v>
      </c>
      <c r="G6575">
        <v>5.23264</v>
      </c>
      <c r="H6575">
        <v>-7.5031699999999999</v>
      </c>
      <c r="I6575" t="s">
        <v>29377</v>
      </c>
      <c r="L6575">
        <v>0</v>
      </c>
      <c r="M6575">
        <v>0</v>
      </c>
      <c r="N6575">
        <v>2</v>
      </c>
      <c r="O6575" t="s">
        <v>23855</v>
      </c>
    </row>
    <row r="6576" spans="1:15">
      <c r="A6576" t="s">
        <v>29378</v>
      </c>
      <c r="B6576" t="s">
        <v>6742</v>
      </c>
      <c r="C6576" t="s">
        <v>29375</v>
      </c>
      <c r="D6576" t="s">
        <v>29379</v>
      </c>
      <c r="E6576" t="b">
        <v>0</v>
      </c>
      <c r="F6576" t="s">
        <v>11610</v>
      </c>
      <c r="L6576">
        <v>0</v>
      </c>
      <c r="M6576">
        <v>0</v>
      </c>
      <c r="N6576">
        <v>0</v>
      </c>
    </row>
    <row r="6577" spans="1:15">
      <c r="A6577" t="s">
        <v>19217</v>
      </c>
      <c r="B6577" t="s">
        <v>11607</v>
      </c>
      <c r="C6577" t="s">
        <v>29380</v>
      </c>
      <c r="D6577" t="s">
        <v>29381</v>
      </c>
      <c r="E6577" t="b">
        <v>0</v>
      </c>
      <c r="F6577" t="s">
        <v>11624</v>
      </c>
      <c r="G6577">
        <v>11.1334</v>
      </c>
      <c r="H6577">
        <v>13.8652</v>
      </c>
      <c r="I6577" t="s">
        <v>29382</v>
      </c>
      <c r="L6577">
        <v>0</v>
      </c>
      <c r="M6577">
        <v>0</v>
      </c>
      <c r="N6577">
        <v>3</v>
      </c>
      <c r="O6577" t="s">
        <v>11802</v>
      </c>
    </row>
    <row r="6578" spans="1:15">
      <c r="A6578" t="s">
        <v>29383</v>
      </c>
      <c r="B6578" t="s">
        <v>6742</v>
      </c>
      <c r="C6578" t="s">
        <v>16872</v>
      </c>
      <c r="D6578" t="s">
        <v>29384</v>
      </c>
      <c r="E6578" t="b">
        <v>0</v>
      </c>
      <c r="F6578" t="s">
        <v>11610</v>
      </c>
      <c r="L6578">
        <v>0</v>
      </c>
      <c r="M6578">
        <v>0</v>
      </c>
      <c r="N6578">
        <v>0</v>
      </c>
    </row>
    <row r="6579" spans="1:15">
      <c r="A6579" t="s">
        <v>29385</v>
      </c>
      <c r="B6579" t="s">
        <v>6742</v>
      </c>
      <c r="C6579" t="s">
        <v>29386</v>
      </c>
      <c r="D6579" t="s">
        <v>29387</v>
      </c>
      <c r="E6579" t="b">
        <v>0</v>
      </c>
      <c r="F6579" t="s">
        <v>11610</v>
      </c>
      <c r="L6579">
        <v>0</v>
      </c>
      <c r="M6579">
        <v>0</v>
      </c>
      <c r="N6579">
        <v>0</v>
      </c>
    </row>
    <row r="6580" spans="1:15">
      <c r="A6580" t="s">
        <v>29388</v>
      </c>
      <c r="B6580" t="s">
        <v>6742</v>
      </c>
      <c r="C6580" t="s">
        <v>23831</v>
      </c>
      <c r="D6580" t="s">
        <v>29389</v>
      </c>
      <c r="E6580" t="b">
        <v>0</v>
      </c>
      <c r="F6580" t="s">
        <v>11610</v>
      </c>
      <c r="L6580">
        <v>0</v>
      </c>
      <c r="M6580">
        <v>0</v>
      </c>
      <c r="N6580">
        <v>0</v>
      </c>
    </row>
    <row r="6581" spans="1:15">
      <c r="A6581" t="s">
        <v>29390</v>
      </c>
      <c r="B6581" t="s">
        <v>6742</v>
      </c>
      <c r="C6581" t="s">
        <v>12353</v>
      </c>
      <c r="D6581" t="s">
        <v>29391</v>
      </c>
      <c r="E6581" t="b">
        <v>0</v>
      </c>
      <c r="F6581" t="s">
        <v>11610</v>
      </c>
      <c r="L6581">
        <v>0</v>
      </c>
      <c r="M6581">
        <v>0</v>
      </c>
      <c r="N6581">
        <v>0</v>
      </c>
    </row>
    <row r="6582" spans="1:15">
      <c r="A6582" t="s">
        <v>29392</v>
      </c>
      <c r="B6582" t="s">
        <v>6742</v>
      </c>
      <c r="C6582" t="s">
        <v>23852</v>
      </c>
      <c r="D6582" t="s">
        <v>29393</v>
      </c>
      <c r="E6582" t="b">
        <v>0</v>
      </c>
      <c r="F6582" t="s">
        <v>11624</v>
      </c>
      <c r="G6582">
        <v>5.3996599999999999</v>
      </c>
      <c r="H6582">
        <v>-7.5058499999999997</v>
      </c>
      <c r="I6582" t="s">
        <v>29394</v>
      </c>
      <c r="L6582">
        <v>0</v>
      </c>
      <c r="M6582">
        <v>0</v>
      </c>
      <c r="N6582">
        <v>0</v>
      </c>
      <c r="O6582" t="s">
        <v>23855</v>
      </c>
    </row>
    <row r="6583" spans="1:15">
      <c r="A6583" t="s">
        <v>29395</v>
      </c>
      <c r="B6583" t="s">
        <v>6742</v>
      </c>
      <c r="C6583" t="s">
        <v>19627</v>
      </c>
      <c r="D6583" t="s">
        <v>29396</v>
      </c>
      <c r="E6583" t="b">
        <v>0</v>
      </c>
      <c r="F6583" t="s">
        <v>11610</v>
      </c>
      <c r="L6583">
        <v>0</v>
      </c>
      <c r="M6583">
        <v>0</v>
      </c>
      <c r="N6583">
        <v>0</v>
      </c>
    </row>
    <row r="6584" spans="1:15">
      <c r="A6584" t="s">
        <v>29397</v>
      </c>
      <c r="B6584" t="s">
        <v>11637</v>
      </c>
      <c r="C6584" t="s">
        <v>23068</v>
      </c>
      <c r="D6584" t="s">
        <v>29398</v>
      </c>
      <c r="E6584" t="b">
        <v>0</v>
      </c>
      <c r="F6584" t="s">
        <v>11622</v>
      </c>
      <c r="L6584">
        <v>0</v>
      </c>
      <c r="M6584">
        <v>2</v>
      </c>
      <c r="N6584">
        <v>20</v>
      </c>
    </row>
    <row r="6585" spans="1:15">
      <c r="A6585" t="s">
        <v>12228</v>
      </c>
      <c r="B6585" t="s">
        <v>11637</v>
      </c>
      <c r="C6585" t="s">
        <v>29399</v>
      </c>
      <c r="D6585" t="s">
        <v>29400</v>
      </c>
      <c r="E6585" t="b">
        <v>0</v>
      </c>
      <c r="F6585" t="s">
        <v>11622</v>
      </c>
      <c r="L6585">
        <v>2</v>
      </c>
      <c r="M6585">
        <v>8</v>
      </c>
      <c r="N6585">
        <v>16</v>
      </c>
    </row>
    <row r="6586" spans="1:15">
      <c r="A6586" t="s">
        <v>23038</v>
      </c>
      <c r="B6586" t="s">
        <v>11637</v>
      </c>
      <c r="C6586" t="s">
        <v>17532</v>
      </c>
      <c r="D6586" t="s">
        <v>29401</v>
      </c>
      <c r="E6586" t="b">
        <v>0</v>
      </c>
      <c r="F6586" t="s">
        <v>11622</v>
      </c>
      <c r="L6586">
        <v>0</v>
      </c>
      <c r="M6586">
        <v>3</v>
      </c>
      <c r="N6586">
        <v>6</v>
      </c>
    </row>
    <row r="6587" spans="1:15">
      <c r="A6587" t="s">
        <v>29402</v>
      </c>
      <c r="B6587" t="s">
        <v>11637</v>
      </c>
      <c r="C6587" t="s">
        <v>29403</v>
      </c>
      <c r="D6587" t="s">
        <v>29404</v>
      </c>
      <c r="E6587" t="b">
        <v>0</v>
      </c>
      <c r="F6587" t="s">
        <v>11622</v>
      </c>
      <c r="L6587">
        <v>0</v>
      </c>
      <c r="M6587">
        <v>2</v>
      </c>
      <c r="N6587">
        <v>3</v>
      </c>
    </row>
    <row r="6588" spans="1:15">
      <c r="A6588" t="s">
        <v>29405</v>
      </c>
      <c r="B6588" t="s">
        <v>11834</v>
      </c>
      <c r="C6588" t="s">
        <v>29406</v>
      </c>
      <c r="D6588" t="s">
        <v>29407</v>
      </c>
      <c r="E6588" t="b">
        <v>0</v>
      </c>
      <c r="F6588" t="s">
        <v>11624</v>
      </c>
      <c r="G6588">
        <v>-3.5909300000000002</v>
      </c>
      <c r="H6588">
        <v>142.196</v>
      </c>
      <c r="I6588" t="s">
        <v>29408</v>
      </c>
      <c r="L6588">
        <v>0</v>
      </c>
      <c r="M6588">
        <v>0</v>
      </c>
      <c r="N6588">
        <v>0</v>
      </c>
      <c r="O6588" t="s">
        <v>11660</v>
      </c>
    </row>
    <row r="6589" spans="1:15">
      <c r="A6589" t="s">
        <v>29409</v>
      </c>
      <c r="B6589" t="s">
        <v>6742</v>
      </c>
      <c r="C6589" t="s">
        <v>25251</v>
      </c>
      <c r="D6589" t="s">
        <v>29410</v>
      </c>
      <c r="E6589" t="b">
        <v>0</v>
      </c>
      <c r="F6589" t="s">
        <v>11610</v>
      </c>
      <c r="L6589">
        <v>0</v>
      </c>
      <c r="M6589">
        <v>0</v>
      </c>
      <c r="N6589">
        <v>0</v>
      </c>
    </row>
    <row r="6590" spans="1:15">
      <c r="A6590" t="s">
        <v>29411</v>
      </c>
      <c r="B6590" t="s">
        <v>11871</v>
      </c>
      <c r="C6590" t="s">
        <v>12344</v>
      </c>
      <c r="D6590" t="s">
        <v>29412</v>
      </c>
      <c r="E6590" t="b">
        <v>0</v>
      </c>
      <c r="F6590" t="s">
        <v>11622</v>
      </c>
      <c r="L6590">
        <v>5</v>
      </c>
      <c r="M6590">
        <v>10</v>
      </c>
      <c r="N6590">
        <v>0</v>
      </c>
    </row>
    <row r="6591" spans="1:15">
      <c r="A6591" t="s">
        <v>17020</v>
      </c>
      <c r="B6591" t="s">
        <v>11637</v>
      </c>
      <c r="C6591" t="s">
        <v>29413</v>
      </c>
      <c r="D6591" t="s">
        <v>29414</v>
      </c>
      <c r="E6591" t="b">
        <v>0</v>
      </c>
      <c r="F6591" t="s">
        <v>11624</v>
      </c>
      <c r="G6591">
        <v>15.273199999999999</v>
      </c>
      <c r="H6591">
        <v>74.209800000000001</v>
      </c>
      <c r="I6591" t="s">
        <v>29415</v>
      </c>
      <c r="L6591">
        <v>0</v>
      </c>
      <c r="M6591">
        <v>0</v>
      </c>
      <c r="N6591">
        <v>8</v>
      </c>
      <c r="O6591" t="s">
        <v>11630</v>
      </c>
    </row>
    <row r="6592" spans="1:15">
      <c r="A6592" t="s">
        <v>29416</v>
      </c>
      <c r="B6592" t="s">
        <v>11637</v>
      </c>
      <c r="C6592" t="s">
        <v>18293</v>
      </c>
      <c r="D6592" t="s">
        <v>29417</v>
      </c>
      <c r="E6592" t="b">
        <v>0</v>
      </c>
      <c r="F6592" t="s">
        <v>11624</v>
      </c>
      <c r="G6592">
        <v>27.253</v>
      </c>
      <c r="H6592">
        <v>68.363</v>
      </c>
      <c r="I6592" t="s">
        <v>29418</v>
      </c>
      <c r="L6592">
        <v>0</v>
      </c>
      <c r="M6592">
        <v>0</v>
      </c>
      <c r="N6592">
        <v>0</v>
      </c>
      <c r="O6592" t="s">
        <v>12172</v>
      </c>
    </row>
    <row r="6593" spans="1:15">
      <c r="A6593" t="s">
        <v>29419</v>
      </c>
      <c r="B6593" t="s">
        <v>16115</v>
      </c>
      <c r="C6593" t="s">
        <v>16115</v>
      </c>
      <c r="D6593" t="s">
        <v>29420</v>
      </c>
      <c r="E6593" t="b">
        <v>0</v>
      </c>
      <c r="F6593" t="s">
        <v>11610</v>
      </c>
      <c r="L6593">
        <v>0</v>
      </c>
      <c r="M6593">
        <v>0</v>
      </c>
      <c r="N6593">
        <v>0</v>
      </c>
    </row>
    <row r="6594" spans="1:15">
      <c r="A6594" t="s">
        <v>29421</v>
      </c>
      <c r="B6594" t="s">
        <v>26147</v>
      </c>
      <c r="C6594" t="s">
        <v>29422</v>
      </c>
      <c r="D6594" t="s">
        <v>29423</v>
      </c>
      <c r="E6594" t="b">
        <v>0</v>
      </c>
      <c r="F6594" t="s">
        <v>11624</v>
      </c>
      <c r="G6594">
        <v>-6.4867800000000004</v>
      </c>
      <c r="H6594">
        <v>142.20099999999999</v>
      </c>
      <c r="I6594" t="s">
        <v>29424</v>
      </c>
      <c r="L6594">
        <v>0</v>
      </c>
      <c r="M6594">
        <v>0</v>
      </c>
      <c r="N6594">
        <v>3</v>
      </c>
      <c r="O6594" t="s">
        <v>11660</v>
      </c>
    </row>
    <row r="6595" spans="1:15">
      <c r="A6595" t="s">
        <v>29425</v>
      </c>
      <c r="B6595" t="s">
        <v>11607</v>
      </c>
      <c r="C6595" t="s">
        <v>24786</v>
      </c>
      <c r="D6595" t="s">
        <v>29426</v>
      </c>
      <c r="E6595" t="b">
        <v>0</v>
      </c>
      <c r="F6595" t="s">
        <v>11610</v>
      </c>
      <c r="L6595">
        <v>0</v>
      </c>
      <c r="M6595">
        <v>0</v>
      </c>
      <c r="N6595">
        <v>0</v>
      </c>
    </row>
    <row r="6596" spans="1:15">
      <c r="A6596" t="s">
        <v>29427</v>
      </c>
      <c r="B6596" t="s">
        <v>11607</v>
      </c>
      <c r="C6596" t="s">
        <v>12022</v>
      </c>
      <c r="D6596" t="s">
        <v>29428</v>
      </c>
      <c r="E6596" t="b">
        <v>0</v>
      </c>
      <c r="F6596" t="s">
        <v>11610</v>
      </c>
      <c r="L6596">
        <v>0</v>
      </c>
      <c r="M6596">
        <v>0</v>
      </c>
      <c r="N6596">
        <v>0</v>
      </c>
    </row>
    <row r="6597" spans="1:15">
      <c r="A6597" t="s">
        <v>29429</v>
      </c>
      <c r="B6597" t="s">
        <v>6742</v>
      </c>
      <c r="C6597" t="s">
        <v>29430</v>
      </c>
      <c r="D6597" t="s">
        <v>29431</v>
      </c>
      <c r="E6597" t="b">
        <v>0</v>
      </c>
      <c r="F6597" t="s">
        <v>11624</v>
      </c>
      <c r="G6597">
        <v>5.0120100000000001</v>
      </c>
      <c r="H6597">
        <v>20.019400000000001</v>
      </c>
      <c r="I6597" t="s">
        <v>29432</v>
      </c>
      <c r="L6597">
        <v>0</v>
      </c>
      <c r="M6597">
        <v>0</v>
      </c>
      <c r="N6597">
        <v>0</v>
      </c>
      <c r="O6597" t="s">
        <v>13069</v>
      </c>
    </row>
    <row r="6598" spans="1:15">
      <c r="A6598" t="s">
        <v>29433</v>
      </c>
      <c r="B6598" t="s">
        <v>11844</v>
      </c>
      <c r="C6598" t="s">
        <v>29434</v>
      </c>
      <c r="D6598" t="s">
        <v>29435</v>
      </c>
      <c r="E6598" t="b">
        <v>0</v>
      </c>
      <c r="F6598" t="s">
        <v>11610</v>
      </c>
      <c r="L6598">
        <v>0</v>
      </c>
      <c r="M6598">
        <v>0</v>
      </c>
      <c r="N6598">
        <v>0</v>
      </c>
    </row>
    <row r="6599" spans="1:15">
      <c r="A6599" t="s">
        <v>23831</v>
      </c>
      <c r="B6599" t="s">
        <v>6742</v>
      </c>
      <c r="C6599" t="s">
        <v>23948</v>
      </c>
      <c r="D6599" t="s">
        <v>29436</v>
      </c>
      <c r="E6599" t="b">
        <v>0</v>
      </c>
      <c r="F6599" t="s">
        <v>11624</v>
      </c>
      <c r="G6599">
        <v>5.3944000000000001</v>
      </c>
      <c r="H6599">
        <v>-5.8269599999999997</v>
      </c>
      <c r="I6599" t="s">
        <v>29437</v>
      </c>
      <c r="L6599">
        <v>0</v>
      </c>
      <c r="M6599">
        <v>0</v>
      </c>
      <c r="N6599">
        <v>9</v>
      </c>
      <c r="O6599" t="s">
        <v>11735</v>
      </c>
    </row>
    <row r="6600" spans="1:15">
      <c r="A6600" t="s">
        <v>16373</v>
      </c>
      <c r="B6600" t="s">
        <v>11637</v>
      </c>
      <c r="C6600" t="s">
        <v>29438</v>
      </c>
      <c r="D6600" t="s">
        <v>29439</v>
      </c>
      <c r="E6600" t="b">
        <v>0</v>
      </c>
      <c r="F6600" t="s">
        <v>11624</v>
      </c>
      <c r="G6600">
        <v>24.885000000000002</v>
      </c>
      <c r="H6600">
        <v>72.846000000000004</v>
      </c>
      <c r="I6600" t="s">
        <v>29440</v>
      </c>
      <c r="L6600">
        <v>0</v>
      </c>
      <c r="M6600">
        <v>0</v>
      </c>
      <c r="N6600">
        <v>4</v>
      </c>
      <c r="O6600" t="s">
        <v>11630</v>
      </c>
    </row>
    <row r="6601" spans="1:15">
      <c r="A6601" t="s">
        <v>29441</v>
      </c>
      <c r="B6601" t="s">
        <v>11637</v>
      </c>
      <c r="C6601" t="s">
        <v>15841</v>
      </c>
      <c r="D6601" t="s">
        <v>29442</v>
      </c>
      <c r="E6601" t="b">
        <v>0</v>
      </c>
      <c r="F6601" t="s">
        <v>11610</v>
      </c>
      <c r="L6601">
        <v>0</v>
      </c>
      <c r="M6601">
        <v>0</v>
      </c>
      <c r="N6601">
        <v>0</v>
      </c>
    </row>
    <row r="6602" spans="1:15">
      <c r="A6602" t="s">
        <v>29443</v>
      </c>
      <c r="B6602" t="s">
        <v>11607</v>
      </c>
      <c r="C6602" t="s">
        <v>22159</v>
      </c>
      <c r="D6602" t="s">
        <v>29444</v>
      </c>
      <c r="E6602" t="b">
        <v>0</v>
      </c>
      <c r="F6602" t="s">
        <v>11624</v>
      </c>
      <c r="G6602">
        <v>8.7445500000000003</v>
      </c>
      <c r="H6602">
        <v>9.7245299999999997</v>
      </c>
      <c r="I6602" t="s">
        <v>29445</v>
      </c>
      <c r="L6602">
        <v>0</v>
      </c>
      <c r="M6602">
        <v>0</v>
      </c>
      <c r="N6602">
        <v>0</v>
      </c>
      <c r="O6602" t="s">
        <v>11693</v>
      </c>
    </row>
    <row r="6603" spans="1:15">
      <c r="A6603" t="s">
        <v>22159</v>
      </c>
      <c r="B6603" t="s">
        <v>11607</v>
      </c>
      <c r="C6603" t="s">
        <v>13810</v>
      </c>
      <c r="D6603" t="s">
        <v>29446</v>
      </c>
      <c r="E6603" t="b">
        <v>0</v>
      </c>
      <c r="F6603" t="s">
        <v>11622</v>
      </c>
      <c r="L6603">
        <v>0</v>
      </c>
      <c r="M6603">
        <v>2</v>
      </c>
      <c r="N6603">
        <v>0</v>
      </c>
    </row>
    <row r="6604" spans="1:15">
      <c r="A6604" t="s">
        <v>29447</v>
      </c>
      <c r="B6604" t="s">
        <v>11637</v>
      </c>
      <c r="C6604" t="s">
        <v>15431</v>
      </c>
      <c r="D6604" t="s">
        <v>29448</v>
      </c>
      <c r="E6604" t="b">
        <v>0</v>
      </c>
      <c r="F6604" t="s">
        <v>11610</v>
      </c>
      <c r="L6604">
        <v>0</v>
      </c>
      <c r="M6604">
        <v>0</v>
      </c>
      <c r="N6604">
        <v>0</v>
      </c>
    </row>
    <row r="6605" spans="1:15">
      <c r="A6605" t="s">
        <v>29449</v>
      </c>
      <c r="B6605" t="s">
        <v>13571</v>
      </c>
      <c r="C6605" t="s">
        <v>24273</v>
      </c>
      <c r="D6605" t="s">
        <v>29450</v>
      </c>
      <c r="E6605" t="b">
        <v>0</v>
      </c>
      <c r="F6605" t="s">
        <v>11624</v>
      </c>
      <c r="G6605">
        <v>6.5764500000000004</v>
      </c>
      <c r="H6605">
        <v>37.049999999999997</v>
      </c>
      <c r="I6605" t="s">
        <v>29451</v>
      </c>
      <c r="L6605">
        <v>0</v>
      </c>
      <c r="M6605">
        <v>0</v>
      </c>
      <c r="N6605">
        <v>0</v>
      </c>
      <c r="O6605" t="s">
        <v>11625</v>
      </c>
    </row>
    <row r="6606" spans="1:15">
      <c r="A6606" t="s">
        <v>29452</v>
      </c>
      <c r="B6606" t="s">
        <v>6742</v>
      </c>
      <c r="C6606" t="s">
        <v>29453</v>
      </c>
      <c r="D6606" t="s">
        <v>29454</v>
      </c>
      <c r="E6606" t="b">
        <v>0</v>
      </c>
      <c r="F6606" t="s">
        <v>11624</v>
      </c>
      <c r="G6606">
        <v>-6.3595100000000002</v>
      </c>
      <c r="H6606">
        <v>35.480699999999999</v>
      </c>
      <c r="I6606" t="s">
        <v>29455</v>
      </c>
      <c r="L6606">
        <v>0</v>
      </c>
      <c r="M6606">
        <v>0</v>
      </c>
      <c r="N6606">
        <v>2</v>
      </c>
      <c r="O6606" t="s">
        <v>11635</v>
      </c>
    </row>
    <row r="6607" spans="1:15">
      <c r="A6607" t="s">
        <v>14568</v>
      </c>
      <c r="B6607" t="s">
        <v>14528</v>
      </c>
      <c r="C6607" t="s">
        <v>14528</v>
      </c>
      <c r="D6607" t="s">
        <v>29456</v>
      </c>
      <c r="E6607" t="b">
        <v>0</v>
      </c>
      <c r="F6607" t="s">
        <v>11622</v>
      </c>
      <c r="L6607">
        <v>1</v>
      </c>
      <c r="M6607">
        <v>3</v>
      </c>
      <c r="N6607">
        <v>0</v>
      </c>
    </row>
    <row r="6608" spans="1:15">
      <c r="A6608" t="s">
        <v>29457</v>
      </c>
      <c r="B6608" t="s">
        <v>14528</v>
      </c>
      <c r="C6608" t="s">
        <v>14568</v>
      </c>
      <c r="D6608" t="s">
        <v>29458</v>
      </c>
      <c r="E6608" t="b">
        <v>0</v>
      </c>
      <c r="F6608" t="s">
        <v>11624</v>
      </c>
      <c r="G6608">
        <v>-8.0852699999999995</v>
      </c>
      <c r="H6608">
        <v>142.874</v>
      </c>
      <c r="I6608" t="s">
        <v>29459</v>
      </c>
      <c r="L6608">
        <v>0</v>
      </c>
      <c r="M6608">
        <v>0</v>
      </c>
      <c r="N6608">
        <v>0</v>
      </c>
      <c r="O6608" t="s">
        <v>11660</v>
      </c>
    </row>
    <row r="6609" spans="1:15">
      <c r="A6609" t="s">
        <v>29460</v>
      </c>
      <c r="B6609" t="s">
        <v>11615</v>
      </c>
      <c r="C6609" t="s">
        <v>29461</v>
      </c>
      <c r="D6609" t="s">
        <v>29462</v>
      </c>
      <c r="E6609" t="b">
        <v>0</v>
      </c>
      <c r="F6609" t="s">
        <v>11610</v>
      </c>
      <c r="L6609">
        <v>0</v>
      </c>
      <c r="M6609">
        <v>0</v>
      </c>
      <c r="N6609">
        <v>0</v>
      </c>
    </row>
    <row r="6610" spans="1:15">
      <c r="A6610" t="s">
        <v>29463</v>
      </c>
      <c r="B6610" t="s">
        <v>367</v>
      </c>
      <c r="C6610" t="s">
        <v>17819</v>
      </c>
      <c r="D6610" t="s">
        <v>29464</v>
      </c>
      <c r="E6610" t="b">
        <v>0</v>
      </c>
      <c r="F6610" t="s">
        <v>11610</v>
      </c>
      <c r="L6610">
        <v>0</v>
      </c>
      <c r="M6610">
        <v>0</v>
      </c>
      <c r="N6610">
        <v>0</v>
      </c>
    </row>
    <row r="6611" spans="1:15">
      <c r="A6611" t="s">
        <v>29465</v>
      </c>
      <c r="B6611" t="s">
        <v>11637</v>
      </c>
      <c r="C6611" t="s">
        <v>19945</v>
      </c>
      <c r="D6611" t="s">
        <v>29466</v>
      </c>
      <c r="E6611" t="b">
        <v>0</v>
      </c>
      <c r="F6611" t="s">
        <v>11622</v>
      </c>
      <c r="L6611">
        <v>2</v>
      </c>
      <c r="M6611">
        <v>4</v>
      </c>
      <c r="N6611">
        <v>11</v>
      </c>
    </row>
    <row r="6612" spans="1:15">
      <c r="A6612" t="s">
        <v>13264</v>
      </c>
      <c r="D6612" t="s">
        <v>29467</v>
      </c>
      <c r="E6612" t="b">
        <v>0</v>
      </c>
      <c r="F6612" t="s">
        <v>11622</v>
      </c>
      <c r="L6612">
        <v>1</v>
      </c>
      <c r="M6612">
        <v>6</v>
      </c>
      <c r="N6612">
        <v>13</v>
      </c>
    </row>
    <row r="6613" spans="1:15">
      <c r="A6613" t="s">
        <v>29468</v>
      </c>
      <c r="B6613" t="s">
        <v>11637</v>
      </c>
      <c r="C6613" t="s">
        <v>21355</v>
      </c>
      <c r="D6613" t="s">
        <v>29469</v>
      </c>
      <c r="E6613" t="b">
        <v>0</v>
      </c>
      <c r="F6613" t="s">
        <v>11610</v>
      </c>
      <c r="L6613">
        <v>0</v>
      </c>
      <c r="M6613">
        <v>0</v>
      </c>
      <c r="N6613">
        <v>0</v>
      </c>
    </row>
    <row r="6614" spans="1:15">
      <c r="A6614" t="s">
        <v>19066</v>
      </c>
      <c r="B6614" t="s">
        <v>6742</v>
      </c>
      <c r="C6614" t="s">
        <v>26076</v>
      </c>
      <c r="D6614" t="s">
        <v>29470</v>
      </c>
      <c r="E6614" t="b">
        <v>0</v>
      </c>
      <c r="F6614" t="s">
        <v>11624</v>
      </c>
      <c r="G6614">
        <v>4.6188900000000004</v>
      </c>
      <c r="H6614">
        <v>7.34457</v>
      </c>
      <c r="I6614" t="s">
        <v>29471</v>
      </c>
      <c r="L6614">
        <v>0</v>
      </c>
      <c r="M6614">
        <v>0</v>
      </c>
      <c r="N6614">
        <v>4</v>
      </c>
      <c r="O6614" t="s">
        <v>11693</v>
      </c>
    </row>
    <row r="6615" spans="1:15">
      <c r="A6615" t="s">
        <v>29472</v>
      </c>
      <c r="B6615" t="s">
        <v>11757</v>
      </c>
      <c r="C6615" t="s">
        <v>12267</v>
      </c>
      <c r="D6615" t="s">
        <v>29473</v>
      </c>
      <c r="E6615" t="b">
        <v>0</v>
      </c>
      <c r="F6615" t="s">
        <v>11610</v>
      </c>
      <c r="L6615">
        <v>0</v>
      </c>
      <c r="M6615">
        <v>0</v>
      </c>
      <c r="N6615">
        <v>0</v>
      </c>
    </row>
    <row r="6616" spans="1:15">
      <c r="A6616" t="s">
        <v>29474</v>
      </c>
      <c r="B6616" t="s">
        <v>331</v>
      </c>
      <c r="C6616" t="s">
        <v>332</v>
      </c>
      <c r="D6616" t="s">
        <v>29475</v>
      </c>
      <c r="E6616" t="b">
        <v>0</v>
      </c>
      <c r="F6616" t="s">
        <v>11610</v>
      </c>
      <c r="L6616">
        <v>0</v>
      </c>
      <c r="M6616">
        <v>0</v>
      </c>
      <c r="N6616">
        <v>0</v>
      </c>
    </row>
    <row r="6617" spans="1:15">
      <c r="A6617" t="s">
        <v>29476</v>
      </c>
      <c r="B6617" t="s">
        <v>11844</v>
      </c>
      <c r="C6617" t="s">
        <v>2278</v>
      </c>
      <c r="D6617" t="s">
        <v>29477</v>
      </c>
      <c r="E6617" t="b">
        <v>0</v>
      </c>
      <c r="F6617" t="s">
        <v>11610</v>
      </c>
      <c r="L6617">
        <v>0</v>
      </c>
      <c r="M6617">
        <v>0</v>
      </c>
      <c r="N6617">
        <v>0</v>
      </c>
    </row>
    <row r="6618" spans="1:15">
      <c r="A6618" t="s">
        <v>29478</v>
      </c>
      <c r="B6618" t="s">
        <v>12438</v>
      </c>
      <c r="C6618" t="s">
        <v>12915</v>
      </c>
      <c r="D6618" t="s">
        <v>29479</v>
      </c>
      <c r="E6618" t="b">
        <v>0</v>
      </c>
      <c r="F6618" t="s">
        <v>11610</v>
      </c>
      <c r="L6618">
        <v>0</v>
      </c>
      <c r="M6618">
        <v>0</v>
      </c>
      <c r="N6618">
        <v>0</v>
      </c>
    </row>
    <row r="6619" spans="1:15">
      <c r="A6619" t="s">
        <v>24355</v>
      </c>
      <c r="B6619" t="s">
        <v>6742</v>
      </c>
      <c r="C6619" t="s">
        <v>6742</v>
      </c>
      <c r="D6619" t="s">
        <v>29480</v>
      </c>
      <c r="E6619" t="b">
        <v>0</v>
      </c>
      <c r="F6619" t="s">
        <v>11624</v>
      </c>
      <c r="G6619">
        <v>7.0619300000000003</v>
      </c>
      <c r="H6619">
        <v>-10.813800000000001</v>
      </c>
      <c r="I6619" t="s">
        <v>29481</v>
      </c>
      <c r="L6619">
        <v>0</v>
      </c>
      <c r="M6619">
        <v>0</v>
      </c>
      <c r="N6619">
        <v>9</v>
      </c>
      <c r="O6619" t="s">
        <v>29482</v>
      </c>
    </row>
    <row r="6620" spans="1:15">
      <c r="A6620" t="s">
        <v>29483</v>
      </c>
      <c r="B6620" t="s">
        <v>6742</v>
      </c>
      <c r="C6620" t="s">
        <v>25251</v>
      </c>
      <c r="D6620" t="s">
        <v>29484</v>
      </c>
      <c r="E6620" t="b">
        <v>0</v>
      </c>
      <c r="F6620" t="s">
        <v>11610</v>
      </c>
      <c r="L6620">
        <v>0</v>
      </c>
      <c r="M6620">
        <v>0</v>
      </c>
      <c r="N6620">
        <v>0</v>
      </c>
    </row>
    <row r="6621" spans="1:15">
      <c r="A6621" t="s">
        <v>29485</v>
      </c>
      <c r="B6621" t="s">
        <v>367</v>
      </c>
      <c r="C6621" t="s">
        <v>14352</v>
      </c>
      <c r="D6621" t="s">
        <v>29486</v>
      </c>
      <c r="E6621" t="b">
        <v>0</v>
      </c>
      <c r="F6621" t="s">
        <v>11610</v>
      </c>
      <c r="L6621">
        <v>0</v>
      </c>
      <c r="M6621">
        <v>0</v>
      </c>
      <c r="N6621">
        <v>0</v>
      </c>
    </row>
    <row r="6622" spans="1:15">
      <c r="A6622" t="s">
        <v>29487</v>
      </c>
      <c r="B6622" t="s">
        <v>11615</v>
      </c>
      <c r="C6622" t="s">
        <v>29488</v>
      </c>
      <c r="D6622" t="s">
        <v>29489</v>
      </c>
      <c r="E6622" t="b">
        <v>0</v>
      </c>
      <c r="F6622" t="s">
        <v>11622</v>
      </c>
      <c r="L6622">
        <v>0</v>
      </c>
      <c r="M6622">
        <v>3</v>
      </c>
      <c r="N6622">
        <v>12</v>
      </c>
    </row>
    <row r="6623" spans="1:15">
      <c r="A6623" t="s">
        <v>29490</v>
      </c>
      <c r="B6623" t="s">
        <v>11615</v>
      </c>
      <c r="C6623" t="s">
        <v>29487</v>
      </c>
      <c r="D6623" t="s">
        <v>29491</v>
      </c>
      <c r="E6623" t="b">
        <v>0</v>
      </c>
      <c r="F6623" t="s">
        <v>11624</v>
      </c>
      <c r="G6623">
        <v>-6.2248999999999999</v>
      </c>
      <c r="H6623">
        <v>144.85050000000001</v>
      </c>
      <c r="I6623" t="s">
        <v>29492</v>
      </c>
      <c r="L6623">
        <v>0</v>
      </c>
      <c r="M6623">
        <v>0</v>
      </c>
      <c r="N6623">
        <v>5</v>
      </c>
      <c r="O6623" t="s">
        <v>11660</v>
      </c>
    </row>
    <row r="6624" spans="1:15">
      <c r="A6624" t="s">
        <v>29493</v>
      </c>
      <c r="B6624" t="s">
        <v>11729</v>
      </c>
      <c r="C6624" t="s">
        <v>15848</v>
      </c>
      <c r="D6624" t="s">
        <v>29494</v>
      </c>
      <c r="E6624" t="b">
        <v>0</v>
      </c>
      <c r="F6624" t="s">
        <v>11610</v>
      </c>
      <c r="L6624">
        <v>0</v>
      </c>
      <c r="M6624">
        <v>0</v>
      </c>
      <c r="N6624">
        <v>0</v>
      </c>
    </row>
    <row r="6625" spans="1:15">
      <c r="A6625" t="s">
        <v>29495</v>
      </c>
      <c r="B6625" t="s">
        <v>11607</v>
      </c>
      <c r="C6625" t="s">
        <v>24786</v>
      </c>
      <c r="D6625" t="s">
        <v>29496</v>
      </c>
      <c r="E6625" t="b">
        <v>0</v>
      </c>
      <c r="F6625" t="s">
        <v>11610</v>
      </c>
      <c r="L6625">
        <v>0</v>
      </c>
      <c r="M6625">
        <v>0</v>
      </c>
      <c r="N6625">
        <v>0</v>
      </c>
    </row>
    <row r="6626" spans="1:15">
      <c r="A6626" t="s">
        <v>29497</v>
      </c>
      <c r="B6626" t="s">
        <v>10597</v>
      </c>
      <c r="C6626" t="s">
        <v>24616</v>
      </c>
      <c r="D6626" t="s">
        <v>29498</v>
      </c>
      <c r="E6626" t="b">
        <v>0</v>
      </c>
      <c r="F6626" t="s">
        <v>11610</v>
      </c>
      <c r="L6626">
        <v>0</v>
      </c>
      <c r="M6626">
        <v>0</v>
      </c>
      <c r="N6626">
        <v>0</v>
      </c>
    </row>
    <row r="6627" spans="1:15">
      <c r="A6627" t="s">
        <v>29499</v>
      </c>
      <c r="B6627" t="s">
        <v>6742</v>
      </c>
      <c r="C6627" t="s">
        <v>17491</v>
      </c>
      <c r="D6627" t="s">
        <v>29500</v>
      </c>
      <c r="E6627" t="b">
        <v>0</v>
      </c>
      <c r="F6627" t="s">
        <v>11610</v>
      </c>
      <c r="L6627">
        <v>0</v>
      </c>
      <c r="M6627">
        <v>0</v>
      </c>
      <c r="N6627">
        <v>0</v>
      </c>
    </row>
    <row r="6628" spans="1:15">
      <c r="A6628" t="s">
        <v>29501</v>
      </c>
      <c r="B6628" t="s">
        <v>6742</v>
      </c>
      <c r="C6628" t="s">
        <v>16646</v>
      </c>
      <c r="D6628" t="s">
        <v>29502</v>
      </c>
      <c r="E6628" t="b">
        <v>0</v>
      </c>
      <c r="F6628" t="s">
        <v>11610</v>
      </c>
      <c r="L6628">
        <v>0</v>
      </c>
      <c r="M6628">
        <v>0</v>
      </c>
      <c r="N6628">
        <v>0</v>
      </c>
    </row>
    <row r="6629" spans="1:15">
      <c r="A6629" t="s">
        <v>29503</v>
      </c>
      <c r="B6629" t="s">
        <v>12254</v>
      </c>
      <c r="C6629" t="s">
        <v>12255</v>
      </c>
      <c r="D6629" t="s">
        <v>29504</v>
      </c>
      <c r="E6629" t="b">
        <v>0</v>
      </c>
      <c r="F6629" t="s">
        <v>11610</v>
      </c>
      <c r="L6629">
        <v>0</v>
      </c>
      <c r="M6629">
        <v>0</v>
      </c>
      <c r="N6629">
        <v>0</v>
      </c>
    </row>
    <row r="6630" spans="1:15">
      <c r="A6630" t="s">
        <v>29505</v>
      </c>
      <c r="B6630" t="s">
        <v>13276</v>
      </c>
      <c r="C6630" t="s">
        <v>16674</v>
      </c>
      <c r="D6630" t="s">
        <v>29506</v>
      </c>
      <c r="E6630" t="b">
        <v>0</v>
      </c>
      <c r="F6630" t="s">
        <v>11610</v>
      </c>
      <c r="L6630">
        <v>0</v>
      </c>
      <c r="M6630">
        <v>0</v>
      </c>
      <c r="N6630">
        <v>0</v>
      </c>
    </row>
    <row r="6631" spans="1:15">
      <c r="A6631" t="s">
        <v>29507</v>
      </c>
      <c r="B6631" t="s">
        <v>11615</v>
      </c>
      <c r="C6631" t="s">
        <v>22897</v>
      </c>
      <c r="D6631" t="s">
        <v>29508</v>
      </c>
      <c r="E6631" t="b">
        <v>0</v>
      </c>
      <c r="F6631" t="s">
        <v>11610</v>
      </c>
      <c r="L6631">
        <v>0</v>
      </c>
      <c r="M6631">
        <v>0</v>
      </c>
      <c r="N6631">
        <v>0</v>
      </c>
    </row>
    <row r="6632" spans="1:15">
      <c r="A6632" t="s">
        <v>29509</v>
      </c>
      <c r="B6632" t="s">
        <v>6742</v>
      </c>
      <c r="C6632" t="s">
        <v>16612</v>
      </c>
      <c r="D6632" t="s">
        <v>29510</v>
      </c>
      <c r="E6632" t="b">
        <v>0</v>
      </c>
      <c r="F6632" t="s">
        <v>11610</v>
      </c>
      <c r="L6632">
        <v>0</v>
      </c>
      <c r="M6632">
        <v>0</v>
      </c>
      <c r="N6632">
        <v>0</v>
      </c>
    </row>
    <row r="6633" spans="1:15">
      <c r="A6633" t="s">
        <v>29511</v>
      </c>
      <c r="B6633" t="s">
        <v>6742</v>
      </c>
      <c r="C6633" t="s">
        <v>16612</v>
      </c>
      <c r="D6633" t="s">
        <v>29512</v>
      </c>
      <c r="E6633" t="b">
        <v>0</v>
      </c>
      <c r="F6633" t="s">
        <v>11610</v>
      </c>
      <c r="L6633">
        <v>0</v>
      </c>
      <c r="M6633">
        <v>0</v>
      </c>
      <c r="N6633">
        <v>0</v>
      </c>
    </row>
    <row r="6634" spans="1:15">
      <c r="A6634" t="s">
        <v>1305</v>
      </c>
      <c r="B6634" t="s">
        <v>11844</v>
      </c>
      <c r="C6634" t="s">
        <v>29513</v>
      </c>
      <c r="D6634" t="s">
        <v>29514</v>
      </c>
      <c r="E6634" t="b">
        <v>0</v>
      </c>
      <c r="F6634" t="s">
        <v>11622</v>
      </c>
      <c r="L6634">
        <v>5</v>
      </c>
      <c r="M6634">
        <v>8</v>
      </c>
      <c r="N6634">
        <v>30</v>
      </c>
    </row>
    <row r="6635" spans="1:15">
      <c r="A6635" t="s">
        <v>29515</v>
      </c>
      <c r="B6635" t="s">
        <v>367</v>
      </c>
      <c r="C6635" t="s">
        <v>26165</v>
      </c>
      <c r="D6635" t="s">
        <v>29516</v>
      </c>
      <c r="E6635" t="b">
        <v>0</v>
      </c>
      <c r="F6635" t="s">
        <v>11624</v>
      </c>
      <c r="G6635">
        <v>-16.5886</v>
      </c>
      <c r="H6635">
        <v>178.59899999999999</v>
      </c>
      <c r="I6635" t="s">
        <v>29517</v>
      </c>
      <c r="L6635">
        <v>0</v>
      </c>
      <c r="M6635">
        <v>0</v>
      </c>
      <c r="N6635">
        <v>0</v>
      </c>
      <c r="O6635" t="s">
        <v>27843</v>
      </c>
    </row>
    <row r="6636" spans="1:15">
      <c r="A6636" t="s">
        <v>29518</v>
      </c>
      <c r="B6636" t="s">
        <v>6742</v>
      </c>
      <c r="C6636" t="s">
        <v>29519</v>
      </c>
      <c r="D6636" t="s">
        <v>29520</v>
      </c>
      <c r="E6636" t="b">
        <v>0</v>
      </c>
      <c r="F6636" t="s">
        <v>11610</v>
      </c>
      <c r="L6636">
        <v>0</v>
      </c>
      <c r="M6636">
        <v>0</v>
      </c>
      <c r="N6636">
        <v>0</v>
      </c>
    </row>
    <row r="6637" spans="1:15">
      <c r="A6637" t="s">
        <v>29521</v>
      </c>
      <c r="B6637" t="s">
        <v>11644</v>
      </c>
      <c r="C6637" t="s">
        <v>11644</v>
      </c>
      <c r="D6637" t="s">
        <v>29522</v>
      </c>
      <c r="E6637" t="b">
        <v>0</v>
      </c>
      <c r="F6637" t="s">
        <v>11624</v>
      </c>
      <c r="G6637">
        <v>27.065999999999999</v>
      </c>
      <c r="H6637">
        <v>91.168599999999998</v>
      </c>
      <c r="I6637" t="s">
        <v>29523</v>
      </c>
      <c r="L6637">
        <v>0</v>
      </c>
      <c r="M6637">
        <v>0</v>
      </c>
      <c r="N6637">
        <v>0</v>
      </c>
      <c r="O6637" t="s">
        <v>12020</v>
      </c>
    </row>
    <row r="6638" spans="1:15">
      <c r="A6638" t="s">
        <v>29524</v>
      </c>
      <c r="B6638" t="s">
        <v>6742</v>
      </c>
      <c r="C6638" t="s">
        <v>25251</v>
      </c>
      <c r="D6638" t="s">
        <v>29525</v>
      </c>
      <c r="E6638" t="b">
        <v>0</v>
      </c>
      <c r="F6638" t="s">
        <v>11610</v>
      </c>
      <c r="L6638">
        <v>0</v>
      </c>
      <c r="M6638">
        <v>0</v>
      </c>
      <c r="N6638">
        <v>0</v>
      </c>
    </row>
    <row r="6639" spans="1:15">
      <c r="A6639" t="s">
        <v>29526</v>
      </c>
      <c r="B6639" t="s">
        <v>6742</v>
      </c>
      <c r="C6639" t="s">
        <v>29527</v>
      </c>
      <c r="D6639" t="s">
        <v>29528</v>
      </c>
      <c r="E6639" t="b">
        <v>0</v>
      </c>
      <c r="F6639" t="s">
        <v>11610</v>
      </c>
      <c r="L6639">
        <v>0</v>
      </c>
      <c r="M6639">
        <v>0</v>
      </c>
      <c r="N6639">
        <v>0</v>
      </c>
    </row>
    <row r="6640" spans="1:15">
      <c r="A6640" t="s">
        <v>13571</v>
      </c>
      <c r="D6640" t="s">
        <v>29529</v>
      </c>
      <c r="E6640" t="b">
        <v>0</v>
      </c>
      <c r="F6640" t="s">
        <v>11622</v>
      </c>
      <c r="L6640">
        <v>7</v>
      </c>
      <c r="M6640">
        <v>19</v>
      </c>
      <c r="N6640">
        <v>17</v>
      </c>
    </row>
    <row r="6641" spans="1:15">
      <c r="A6641" t="s">
        <v>13781</v>
      </c>
      <c r="B6641" t="s">
        <v>13571</v>
      </c>
      <c r="C6641" t="s">
        <v>13571</v>
      </c>
      <c r="D6641" t="s">
        <v>29530</v>
      </c>
      <c r="E6641" t="b">
        <v>0</v>
      </c>
      <c r="F6641" t="s">
        <v>11622</v>
      </c>
      <c r="L6641">
        <v>1</v>
      </c>
      <c r="M6641">
        <v>4</v>
      </c>
      <c r="N6641">
        <v>6</v>
      </c>
    </row>
    <row r="6642" spans="1:15">
      <c r="A6642" t="s">
        <v>22859</v>
      </c>
      <c r="B6642" t="s">
        <v>6742</v>
      </c>
      <c r="C6642" t="s">
        <v>25214</v>
      </c>
      <c r="D6642" t="s">
        <v>29531</v>
      </c>
      <c r="E6642" t="b">
        <v>0</v>
      </c>
      <c r="F6642" t="s">
        <v>11624</v>
      </c>
      <c r="G6642">
        <v>8.4880099999999992</v>
      </c>
      <c r="H6642">
        <v>-0.72757000000000005</v>
      </c>
      <c r="I6642" t="s">
        <v>29532</v>
      </c>
      <c r="L6642">
        <v>0</v>
      </c>
      <c r="M6642">
        <v>0</v>
      </c>
      <c r="N6642">
        <v>2</v>
      </c>
      <c r="O6642" t="s">
        <v>11985</v>
      </c>
    </row>
    <row r="6643" spans="1:15">
      <c r="A6643" t="s">
        <v>25214</v>
      </c>
      <c r="B6643" t="s">
        <v>6742</v>
      </c>
      <c r="C6643" t="s">
        <v>29533</v>
      </c>
      <c r="D6643" t="s">
        <v>29534</v>
      </c>
      <c r="E6643" t="b">
        <v>0</v>
      </c>
      <c r="F6643" t="s">
        <v>11622</v>
      </c>
      <c r="L6643">
        <v>0</v>
      </c>
      <c r="M6643">
        <v>2</v>
      </c>
      <c r="N6643">
        <v>2</v>
      </c>
    </row>
    <row r="6644" spans="1:15">
      <c r="A6644" t="s">
        <v>29535</v>
      </c>
      <c r="B6644" t="s">
        <v>1342</v>
      </c>
      <c r="C6644" t="s">
        <v>16382</v>
      </c>
      <c r="D6644" t="s">
        <v>29536</v>
      </c>
      <c r="E6644" t="b">
        <v>0</v>
      </c>
      <c r="F6644" t="s">
        <v>11610</v>
      </c>
      <c r="L6644">
        <v>0</v>
      </c>
      <c r="M6644">
        <v>0</v>
      </c>
      <c r="N6644">
        <v>0</v>
      </c>
    </row>
    <row r="6645" spans="1:15">
      <c r="A6645" t="s">
        <v>29537</v>
      </c>
      <c r="B6645" t="s">
        <v>367</v>
      </c>
      <c r="C6645" t="s">
        <v>29538</v>
      </c>
      <c r="D6645" t="s">
        <v>29539</v>
      </c>
      <c r="E6645" t="b">
        <v>0</v>
      </c>
      <c r="F6645" t="s">
        <v>11610</v>
      </c>
      <c r="L6645">
        <v>0</v>
      </c>
      <c r="M6645">
        <v>0</v>
      </c>
      <c r="N6645">
        <v>0</v>
      </c>
    </row>
    <row r="6646" spans="1:15">
      <c r="A6646" t="s">
        <v>29540</v>
      </c>
      <c r="B6646" t="s">
        <v>13276</v>
      </c>
      <c r="C6646" t="s">
        <v>29541</v>
      </c>
      <c r="D6646" t="s">
        <v>29542</v>
      </c>
      <c r="E6646" t="b">
        <v>0</v>
      </c>
      <c r="F6646" t="s">
        <v>11624</v>
      </c>
      <c r="L6646">
        <v>0</v>
      </c>
      <c r="M6646">
        <v>0</v>
      </c>
      <c r="N6646">
        <v>0</v>
      </c>
      <c r="O6646" t="s">
        <v>11735</v>
      </c>
    </row>
    <row r="6647" spans="1:15">
      <c r="A6647" t="s">
        <v>29543</v>
      </c>
      <c r="B6647" t="s">
        <v>6742</v>
      </c>
      <c r="C6647" t="s">
        <v>19556</v>
      </c>
      <c r="D6647" t="s">
        <v>29544</v>
      </c>
      <c r="E6647" t="b">
        <v>0</v>
      </c>
      <c r="F6647" t="s">
        <v>11610</v>
      </c>
      <c r="L6647">
        <v>0</v>
      </c>
      <c r="M6647">
        <v>0</v>
      </c>
      <c r="N6647">
        <v>0</v>
      </c>
    </row>
    <row r="6648" spans="1:15">
      <c r="A6648" t="s">
        <v>29545</v>
      </c>
      <c r="B6648" t="s">
        <v>20327</v>
      </c>
      <c r="C6648" t="s">
        <v>20327</v>
      </c>
      <c r="D6648" t="s">
        <v>29546</v>
      </c>
      <c r="E6648" t="b">
        <v>0</v>
      </c>
      <c r="F6648" t="s">
        <v>11624</v>
      </c>
      <c r="G6648">
        <v>-18.407299999999999</v>
      </c>
      <c r="H6648">
        <v>126.351</v>
      </c>
      <c r="I6648" t="s">
        <v>29547</v>
      </c>
      <c r="L6648">
        <v>0</v>
      </c>
      <c r="M6648">
        <v>0</v>
      </c>
      <c r="N6648">
        <v>0</v>
      </c>
      <c r="O6648" t="s">
        <v>12107</v>
      </c>
    </row>
    <row r="6649" spans="1:15">
      <c r="A6649" t="s">
        <v>29548</v>
      </c>
      <c r="B6649" t="s">
        <v>11637</v>
      </c>
      <c r="C6649" t="s">
        <v>29549</v>
      </c>
      <c r="D6649" t="s">
        <v>29550</v>
      </c>
      <c r="E6649" t="b">
        <v>0</v>
      </c>
      <c r="F6649" t="s">
        <v>11610</v>
      </c>
      <c r="L6649">
        <v>0</v>
      </c>
      <c r="M6649">
        <v>0</v>
      </c>
      <c r="N6649">
        <v>0</v>
      </c>
    </row>
    <row r="6650" spans="1:15">
      <c r="A6650" t="s">
        <v>29551</v>
      </c>
      <c r="B6650" t="s">
        <v>11637</v>
      </c>
      <c r="C6650" t="s">
        <v>17323</v>
      </c>
      <c r="D6650" t="s">
        <v>29552</v>
      </c>
      <c r="E6650" t="b">
        <v>0</v>
      </c>
      <c r="F6650" t="s">
        <v>11610</v>
      </c>
      <c r="L6650">
        <v>0</v>
      </c>
      <c r="M6650">
        <v>0</v>
      </c>
      <c r="N6650">
        <v>0</v>
      </c>
    </row>
    <row r="6651" spans="1:15">
      <c r="A6651" t="s">
        <v>29553</v>
      </c>
      <c r="B6651" t="s">
        <v>367</v>
      </c>
      <c r="C6651" t="s">
        <v>29554</v>
      </c>
      <c r="D6651" t="s">
        <v>29555</v>
      </c>
      <c r="E6651" t="b">
        <v>0</v>
      </c>
      <c r="F6651" t="s">
        <v>11624</v>
      </c>
      <c r="G6651">
        <v>2.1305800000000001</v>
      </c>
      <c r="H6651">
        <v>128.261</v>
      </c>
      <c r="I6651" t="s">
        <v>29556</v>
      </c>
      <c r="L6651">
        <v>0</v>
      </c>
      <c r="M6651">
        <v>0</v>
      </c>
      <c r="N6651">
        <v>0</v>
      </c>
      <c r="O6651" t="s">
        <v>11768</v>
      </c>
    </row>
    <row r="6652" spans="1:15">
      <c r="A6652" t="s">
        <v>29557</v>
      </c>
      <c r="B6652" t="s">
        <v>367</v>
      </c>
      <c r="C6652" t="s">
        <v>23984</v>
      </c>
      <c r="D6652" t="s">
        <v>29558</v>
      </c>
      <c r="E6652" t="b">
        <v>0</v>
      </c>
      <c r="F6652" t="s">
        <v>11624</v>
      </c>
      <c r="G6652">
        <v>-6.8556400000000002</v>
      </c>
      <c r="H6652">
        <v>146.57900000000001</v>
      </c>
      <c r="I6652" t="s">
        <v>29559</v>
      </c>
      <c r="L6652">
        <v>0</v>
      </c>
      <c r="M6652">
        <v>0</v>
      </c>
      <c r="N6652">
        <v>1</v>
      </c>
      <c r="O6652" t="s">
        <v>11660</v>
      </c>
    </row>
    <row r="6653" spans="1:15">
      <c r="A6653" t="s">
        <v>29560</v>
      </c>
      <c r="B6653" t="s">
        <v>367</v>
      </c>
      <c r="C6653" t="s">
        <v>29099</v>
      </c>
      <c r="D6653" t="s">
        <v>29561</v>
      </c>
      <c r="E6653" t="b">
        <v>0</v>
      </c>
      <c r="F6653" t="s">
        <v>11610</v>
      </c>
      <c r="L6653">
        <v>0</v>
      </c>
      <c r="M6653">
        <v>0</v>
      </c>
      <c r="N6653">
        <v>0</v>
      </c>
    </row>
    <row r="6654" spans="1:15">
      <c r="A6654" t="s">
        <v>29562</v>
      </c>
      <c r="B6654" t="s">
        <v>11615</v>
      </c>
      <c r="C6654" t="s">
        <v>29461</v>
      </c>
      <c r="D6654" t="s">
        <v>29563</v>
      </c>
      <c r="E6654" t="b">
        <v>0</v>
      </c>
      <c r="F6654" t="s">
        <v>11610</v>
      </c>
      <c r="L6654">
        <v>0</v>
      </c>
      <c r="M6654">
        <v>0</v>
      </c>
      <c r="N6654">
        <v>0</v>
      </c>
    </row>
    <row r="6655" spans="1:15">
      <c r="A6655" t="s">
        <v>29564</v>
      </c>
      <c r="B6655" t="s">
        <v>17101</v>
      </c>
      <c r="C6655" t="s">
        <v>29565</v>
      </c>
      <c r="D6655" t="s">
        <v>29566</v>
      </c>
      <c r="E6655" t="b">
        <v>0</v>
      </c>
      <c r="F6655" t="s">
        <v>11610</v>
      </c>
      <c r="L6655">
        <v>0</v>
      </c>
      <c r="M6655">
        <v>0</v>
      </c>
      <c r="N6655">
        <v>0</v>
      </c>
    </row>
    <row r="6656" spans="1:15">
      <c r="A6656" t="s">
        <v>29567</v>
      </c>
      <c r="B6656" t="s">
        <v>12218</v>
      </c>
      <c r="C6656" t="s">
        <v>14708</v>
      </c>
      <c r="D6656" t="s">
        <v>29568</v>
      </c>
      <c r="E6656" t="b">
        <v>0</v>
      </c>
      <c r="F6656" t="s">
        <v>11610</v>
      </c>
      <c r="L6656">
        <v>0</v>
      </c>
      <c r="M6656">
        <v>0</v>
      </c>
      <c r="N6656">
        <v>0</v>
      </c>
    </row>
    <row r="6657" spans="1:15">
      <c r="A6657" t="s">
        <v>29569</v>
      </c>
      <c r="B6657" t="s">
        <v>11637</v>
      </c>
      <c r="C6657" t="s">
        <v>12047</v>
      </c>
      <c r="D6657" t="s">
        <v>29570</v>
      </c>
      <c r="E6657" t="b">
        <v>0</v>
      </c>
      <c r="F6657" t="s">
        <v>11622</v>
      </c>
      <c r="L6657">
        <v>1</v>
      </c>
      <c r="M6657">
        <v>4</v>
      </c>
      <c r="N6657">
        <v>6</v>
      </c>
    </row>
    <row r="6658" spans="1:15">
      <c r="A6658" t="s">
        <v>29571</v>
      </c>
      <c r="B6658" t="s">
        <v>11637</v>
      </c>
      <c r="C6658" t="s">
        <v>29572</v>
      </c>
      <c r="D6658" t="s">
        <v>29573</v>
      </c>
      <c r="E6658" t="b">
        <v>0</v>
      </c>
      <c r="F6658" t="s">
        <v>11610</v>
      </c>
      <c r="L6658">
        <v>0</v>
      </c>
      <c r="M6658">
        <v>0</v>
      </c>
      <c r="N6658">
        <v>0</v>
      </c>
    </row>
    <row r="6659" spans="1:15">
      <c r="A6659" t="s">
        <v>29574</v>
      </c>
      <c r="B6659" t="s">
        <v>6742</v>
      </c>
      <c r="C6659" t="s">
        <v>26108</v>
      </c>
      <c r="D6659" t="s">
        <v>29575</v>
      </c>
      <c r="E6659" t="b">
        <v>0</v>
      </c>
      <c r="F6659" t="s">
        <v>11610</v>
      </c>
      <c r="L6659">
        <v>0</v>
      </c>
      <c r="M6659">
        <v>0</v>
      </c>
      <c r="N6659">
        <v>0</v>
      </c>
    </row>
    <row r="6660" spans="1:15">
      <c r="A6660" t="s">
        <v>29576</v>
      </c>
      <c r="B6660" t="s">
        <v>11729</v>
      </c>
      <c r="C6660" t="s">
        <v>29577</v>
      </c>
      <c r="D6660" t="s">
        <v>29578</v>
      </c>
      <c r="E6660" t="b">
        <v>0</v>
      </c>
      <c r="F6660" t="s">
        <v>11622</v>
      </c>
      <c r="L6660">
        <v>0</v>
      </c>
      <c r="M6660">
        <v>2</v>
      </c>
      <c r="N6660">
        <v>5</v>
      </c>
    </row>
    <row r="6661" spans="1:15">
      <c r="A6661" t="s">
        <v>29579</v>
      </c>
      <c r="B6661" t="s">
        <v>10597</v>
      </c>
      <c r="C6661" t="s">
        <v>18418</v>
      </c>
      <c r="D6661" t="s">
        <v>29580</v>
      </c>
      <c r="E6661" t="b">
        <v>0</v>
      </c>
      <c r="F6661" t="s">
        <v>11610</v>
      </c>
      <c r="I6661" t="s">
        <v>29581</v>
      </c>
      <c r="L6661">
        <v>0</v>
      </c>
      <c r="M6661">
        <v>0</v>
      </c>
      <c r="N6661">
        <v>0</v>
      </c>
      <c r="O6661" t="s">
        <v>12107</v>
      </c>
    </row>
    <row r="6662" spans="1:15">
      <c r="A6662" t="s">
        <v>29582</v>
      </c>
      <c r="B6662" t="s">
        <v>11637</v>
      </c>
      <c r="C6662" t="s">
        <v>29583</v>
      </c>
      <c r="D6662" t="s">
        <v>29584</v>
      </c>
      <c r="E6662" t="b">
        <v>0</v>
      </c>
      <c r="F6662" t="s">
        <v>11610</v>
      </c>
      <c r="L6662">
        <v>0</v>
      </c>
      <c r="M6662">
        <v>0</v>
      </c>
      <c r="N6662">
        <v>0</v>
      </c>
    </row>
    <row r="6663" spans="1:15">
      <c r="A6663" t="s">
        <v>29585</v>
      </c>
      <c r="B6663" t="s">
        <v>6742</v>
      </c>
      <c r="C6663" t="s">
        <v>17262</v>
      </c>
      <c r="D6663" t="s">
        <v>29586</v>
      </c>
      <c r="E6663" t="b">
        <v>0</v>
      </c>
      <c r="F6663" t="s">
        <v>11610</v>
      </c>
      <c r="L6663">
        <v>0</v>
      </c>
      <c r="M6663">
        <v>0</v>
      </c>
      <c r="N6663">
        <v>0</v>
      </c>
    </row>
    <row r="6664" spans="1:15">
      <c r="A6664" t="s">
        <v>29587</v>
      </c>
      <c r="B6664" t="s">
        <v>11637</v>
      </c>
      <c r="C6664" t="s">
        <v>148</v>
      </c>
      <c r="D6664" t="s">
        <v>29588</v>
      </c>
      <c r="E6664" t="b">
        <v>0</v>
      </c>
      <c r="F6664" t="s">
        <v>11610</v>
      </c>
      <c r="L6664">
        <v>0</v>
      </c>
      <c r="M6664">
        <v>0</v>
      </c>
      <c r="N6664">
        <v>0</v>
      </c>
    </row>
    <row r="6665" spans="1:15">
      <c r="A6665" t="s">
        <v>29589</v>
      </c>
      <c r="B6665" t="s">
        <v>11644</v>
      </c>
      <c r="C6665" t="s">
        <v>25943</v>
      </c>
      <c r="D6665" t="s">
        <v>29590</v>
      </c>
      <c r="E6665" t="b">
        <v>0</v>
      </c>
      <c r="F6665" t="s">
        <v>11610</v>
      </c>
      <c r="L6665">
        <v>0</v>
      </c>
      <c r="M6665">
        <v>0</v>
      </c>
      <c r="N6665">
        <v>0</v>
      </c>
    </row>
    <row r="6666" spans="1:15">
      <c r="A6666" t="s">
        <v>29591</v>
      </c>
      <c r="B6666" t="s">
        <v>10597</v>
      </c>
      <c r="C6666" t="s">
        <v>24041</v>
      </c>
      <c r="D6666" t="s">
        <v>29592</v>
      </c>
      <c r="E6666" t="b">
        <v>0</v>
      </c>
      <c r="F6666" t="s">
        <v>11610</v>
      </c>
      <c r="L6666">
        <v>0</v>
      </c>
      <c r="M6666">
        <v>0</v>
      </c>
      <c r="N6666">
        <v>0</v>
      </c>
    </row>
    <row r="6667" spans="1:15">
      <c r="A6667" t="s">
        <v>29593</v>
      </c>
      <c r="B6667" t="s">
        <v>6742</v>
      </c>
      <c r="C6667" t="s">
        <v>16646</v>
      </c>
      <c r="D6667" t="s">
        <v>29594</v>
      </c>
      <c r="E6667" t="b">
        <v>0</v>
      </c>
      <c r="F6667" t="s">
        <v>11610</v>
      </c>
      <c r="L6667">
        <v>0</v>
      </c>
      <c r="M6667">
        <v>0</v>
      </c>
      <c r="N6667">
        <v>0</v>
      </c>
    </row>
    <row r="6668" spans="1:15">
      <c r="A6668" t="s">
        <v>29595</v>
      </c>
      <c r="B6668" t="s">
        <v>367</v>
      </c>
      <c r="C6668" t="s">
        <v>21816</v>
      </c>
      <c r="D6668" t="s">
        <v>29596</v>
      </c>
      <c r="E6668" t="b">
        <v>0</v>
      </c>
      <c r="F6668" t="s">
        <v>11622</v>
      </c>
      <c r="L6668">
        <v>2</v>
      </c>
      <c r="M6668">
        <v>9</v>
      </c>
      <c r="N6668">
        <v>13</v>
      </c>
    </row>
    <row r="6669" spans="1:15">
      <c r="A6669" t="s">
        <v>26226</v>
      </c>
      <c r="B6669" t="s">
        <v>367</v>
      </c>
      <c r="C6669" t="s">
        <v>18730</v>
      </c>
      <c r="D6669" t="s">
        <v>29597</v>
      </c>
      <c r="E6669" t="b">
        <v>0</v>
      </c>
      <c r="F6669" t="s">
        <v>11624</v>
      </c>
      <c r="G6669">
        <v>0.62688999999999995</v>
      </c>
      <c r="H6669">
        <v>122.288</v>
      </c>
      <c r="I6669" t="s">
        <v>29598</v>
      </c>
      <c r="L6669">
        <v>0</v>
      </c>
      <c r="M6669">
        <v>0</v>
      </c>
      <c r="N6669">
        <v>5</v>
      </c>
      <c r="O6669" t="s">
        <v>11768</v>
      </c>
    </row>
    <row r="6670" spans="1:15">
      <c r="A6670" t="s">
        <v>29599</v>
      </c>
      <c r="B6670" t="s">
        <v>367</v>
      </c>
      <c r="C6670" t="s">
        <v>26226</v>
      </c>
      <c r="D6670" t="s">
        <v>29600</v>
      </c>
      <c r="E6670" t="b">
        <v>0</v>
      </c>
      <c r="F6670" t="s">
        <v>11610</v>
      </c>
      <c r="L6670">
        <v>0</v>
      </c>
      <c r="M6670">
        <v>0</v>
      </c>
      <c r="N6670">
        <v>0</v>
      </c>
    </row>
    <row r="6671" spans="1:15">
      <c r="A6671" t="s">
        <v>29601</v>
      </c>
      <c r="B6671" t="s">
        <v>11871</v>
      </c>
      <c r="C6671" t="s">
        <v>11872</v>
      </c>
      <c r="D6671" t="s">
        <v>29602</v>
      </c>
      <c r="E6671" t="b">
        <v>0</v>
      </c>
      <c r="F6671" t="s">
        <v>11624</v>
      </c>
      <c r="G6671">
        <v>-4.5294699999999999</v>
      </c>
      <c r="H6671">
        <v>144.59</v>
      </c>
      <c r="I6671" t="s">
        <v>29603</v>
      </c>
      <c r="L6671">
        <v>0</v>
      </c>
      <c r="M6671">
        <v>0</v>
      </c>
      <c r="N6671">
        <v>0</v>
      </c>
      <c r="O6671" t="s">
        <v>11660</v>
      </c>
    </row>
    <row r="6672" spans="1:15">
      <c r="A6672" t="s">
        <v>29604</v>
      </c>
      <c r="B6672" t="s">
        <v>11607</v>
      </c>
      <c r="C6672" t="s">
        <v>29605</v>
      </c>
      <c r="D6672" t="s">
        <v>29606</v>
      </c>
      <c r="E6672" t="b">
        <v>0</v>
      </c>
      <c r="F6672" t="s">
        <v>11624</v>
      </c>
      <c r="G6672">
        <v>-4.2357500000000003</v>
      </c>
      <c r="H6672">
        <v>35.799599999999998</v>
      </c>
      <c r="I6672" t="s">
        <v>29607</v>
      </c>
      <c r="L6672">
        <v>0</v>
      </c>
      <c r="M6672">
        <v>0</v>
      </c>
      <c r="N6672">
        <v>0</v>
      </c>
      <c r="O6672" t="s">
        <v>11635</v>
      </c>
    </row>
    <row r="6673" spans="1:15">
      <c r="A6673" t="s">
        <v>29608</v>
      </c>
      <c r="B6673" t="s">
        <v>11607</v>
      </c>
      <c r="C6673" t="s">
        <v>24786</v>
      </c>
      <c r="D6673" t="s">
        <v>29609</v>
      </c>
      <c r="E6673" t="b">
        <v>0</v>
      </c>
      <c r="F6673" t="s">
        <v>11610</v>
      </c>
      <c r="L6673">
        <v>0</v>
      </c>
      <c r="M6673">
        <v>0</v>
      </c>
      <c r="N6673">
        <v>0</v>
      </c>
    </row>
    <row r="6674" spans="1:15">
      <c r="A6674" t="s">
        <v>29028</v>
      </c>
      <c r="B6674" t="s">
        <v>11615</v>
      </c>
      <c r="C6674" t="s">
        <v>29610</v>
      </c>
      <c r="D6674" t="s">
        <v>29611</v>
      </c>
      <c r="E6674" t="b">
        <v>0</v>
      </c>
      <c r="F6674" t="s">
        <v>11622</v>
      </c>
      <c r="L6674">
        <v>7</v>
      </c>
      <c r="M6674">
        <v>16</v>
      </c>
      <c r="N6674">
        <v>33</v>
      </c>
    </row>
    <row r="6675" spans="1:15">
      <c r="A6675" t="s">
        <v>18730</v>
      </c>
      <c r="B6675" t="s">
        <v>367</v>
      </c>
      <c r="C6675" t="s">
        <v>29595</v>
      </c>
      <c r="D6675" t="s">
        <v>29612</v>
      </c>
      <c r="E6675" t="b">
        <v>0</v>
      </c>
      <c r="F6675" t="s">
        <v>11622</v>
      </c>
      <c r="L6675">
        <v>0</v>
      </c>
      <c r="M6675">
        <v>7</v>
      </c>
      <c r="N6675">
        <v>10</v>
      </c>
    </row>
    <row r="6676" spans="1:15">
      <c r="A6676" t="s">
        <v>7769</v>
      </c>
      <c r="B6676" t="s">
        <v>11729</v>
      </c>
      <c r="C6676" t="s">
        <v>17693</v>
      </c>
      <c r="D6676" t="s">
        <v>7768</v>
      </c>
      <c r="E6676" t="b">
        <v>0</v>
      </c>
      <c r="F6676" t="s">
        <v>11624</v>
      </c>
      <c r="G6676">
        <v>8.0840999999999994</v>
      </c>
      <c r="H6676">
        <v>17.071300000000001</v>
      </c>
      <c r="I6676" t="s">
        <v>29613</v>
      </c>
      <c r="L6676">
        <v>0</v>
      </c>
      <c r="M6676">
        <v>0</v>
      </c>
      <c r="N6676">
        <v>2</v>
      </c>
      <c r="O6676" t="s">
        <v>15847</v>
      </c>
    </row>
    <row r="6677" spans="1:15">
      <c r="A6677" t="s">
        <v>29614</v>
      </c>
      <c r="B6677" t="s">
        <v>4342</v>
      </c>
      <c r="C6677" t="s">
        <v>29307</v>
      </c>
      <c r="D6677" t="s">
        <v>29615</v>
      </c>
      <c r="E6677" t="b">
        <v>0</v>
      </c>
      <c r="F6677" t="s">
        <v>11610</v>
      </c>
      <c r="L6677">
        <v>0</v>
      </c>
      <c r="M6677">
        <v>0</v>
      </c>
      <c r="N6677">
        <v>0</v>
      </c>
    </row>
    <row r="6678" spans="1:15">
      <c r="A6678" t="s">
        <v>29616</v>
      </c>
      <c r="B6678" t="s">
        <v>12751</v>
      </c>
      <c r="C6678" t="s">
        <v>29617</v>
      </c>
      <c r="D6678" t="s">
        <v>29618</v>
      </c>
      <c r="E6678" t="b">
        <v>0</v>
      </c>
      <c r="F6678" t="s">
        <v>11610</v>
      </c>
      <c r="L6678">
        <v>0</v>
      </c>
      <c r="M6678">
        <v>0</v>
      </c>
      <c r="N6678">
        <v>0</v>
      </c>
    </row>
    <row r="6679" spans="1:15">
      <c r="A6679" t="s">
        <v>29619</v>
      </c>
      <c r="B6679" t="s">
        <v>11637</v>
      </c>
      <c r="C6679" t="s">
        <v>438</v>
      </c>
      <c r="D6679" t="s">
        <v>29620</v>
      </c>
      <c r="E6679" t="b">
        <v>0</v>
      </c>
      <c r="F6679" t="s">
        <v>11610</v>
      </c>
      <c r="L6679">
        <v>0</v>
      </c>
      <c r="M6679">
        <v>0</v>
      </c>
      <c r="N6679">
        <v>0</v>
      </c>
    </row>
    <row r="6680" spans="1:15">
      <c r="A6680" t="s">
        <v>29621</v>
      </c>
      <c r="B6680" t="s">
        <v>11637</v>
      </c>
      <c r="C6680" t="s">
        <v>23532</v>
      </c>
      <c r="D6680" t="s">
        <v>29622</v>
      </c>
      <c r="E6680" t="b">
        <v>0</v>
      </c>
      <c r="F6680" t="s">
        <v>11624</v>
      </c>
      <c r="G6680">
        <v>46.930399999999999</v>
      </c>
      <c r="H6680">
        <v>29.9786</v>
      </c>
      <c r="I6680" t="s">
        <v>29623</v>
      </c>
      <c r="L6680">
        <v>0</v>
      </c>
      <c r="M6680">
        <v>0</v>
      </c>
      <c r="N6680">
        <v>3</v>
      </c>
      <c r="O6680" t="s">
        <v>29624</v>
      </c>
    </row>
    <row r="6681" spans="1:15">
      <c r="A6681" t="s">
        <v>29625</v>
      </c>
      <c r="B6681" t="s">
        <v>11637</v>
      </c>
      <c r="C6681" t="s">
        <v>29626</v>
      </c>
      <c r="D6681" t="s">
        <v>29627</v>
      </c>
      <c r="E6681" t="b">
        <v>0</v>
      </c>
      <c r="F6681" t="s">
        <v>11610</v>
      </c>
      <c r="L6681">
        <v>0</v>
      </c>
      <c r="M6681">
        <v>0</v>
      </c>
      <c r="N6681">
        <v>0</v>
      </c>
    </row>
    <row r="6682" spans="1:15">
      <c r="A6682" t="s">
        <v>29628</v>
      </c>
      <c r="B6682" t="s">
        <v>11637</v>
      </c>
      <c r="C6682" t="s">
        <v>25839</v>
      </c>
      <c r="D6682" t="s">
        <v>29629</v>
      </c>
      <c r="E6682" t="b">
        <v>0</v>
      </c>
      <c r="F6682" t="s">
        <v>11610</v>
      </c>
      <c r="L6682">
        <v>0</v>
      </c>
      <c r="M6682">
        <v>0</v>
      </c>
      <c r="N6682">
        <v>0</v>
      </c>
    </row>
    <row r="6683" spans="1:15">
      <c r="A6683" t="s">
        <v>29630</v>
      </c>
      <c r="B6683" t="s">
        <v>6742</v>
      </c>
      <c r="C6683" t="s">
        <v>18374</v>
      </c>
      <c r="D6683" t="s">
        <v>29631</v>
      </c>
      <c r="E6683" t="b">
        <v>0</v>
      </c>
      <c r="F6683" t="s">
        <v>11610</v>
      </c>
      <c r="L6683">
        <v>0</v>
      </c>
      <c r="M6683">
        <v>0</v>
      </c>
      <c r="N6683">
        <v>0</v>
      </c>
    </row>
    <row r="6684" spans="1:15">
      <c r="A6684" t="s">
        <v>29632</v>
      </c>
      <c r="B6684" t="s">
        <v>6742</v>
      </c>
      <c r="C6684" t="s">
        <v>16596</v>
      </c>
      <c r="D6684" t="s">
        <v>29633</v>
      </c>
      <c r="E6684" t="b">
        <v>0</v>
      </c>
      <c r="F6684" t="s">
        <v>11610</v>
      </c>
      <c r="L6684">
        <v>0</v>
      </c>
      <c r="M6684">
        <v>0</v>
      </c>
      <c r="N6684">
        <v>0</v>
      </c>
    </row>
    <row r="6685" spans="1:15">
      <c r="A6685" t="s">
        <v>29634</v>
      </c>
      <c r="B6685" t="s">
        <v>11644</v>
      </c>
      <c r="C6685" t="s">
        <v>29635</v>
      </c>
      <c r="D6685" t="s">
        <v>29636</v>
      </c>
      <c r="E6685" t="b">
        <v>0</v>
      </c>
      <c r="F6685" t="s">
        <v>11610</v>
      </c>
      <c r="L6685">
        <v>0</v>
      </c>
      <c r="M6685">
        <v>0</v>
      </c>
      <c r="N6685">
        <v>0</v>
      </c>
    </row>
    <row r="6686" spans="1:15">
      <c r="A6686" t="s">
        <v>29637</v>
      </c>
      <c r="B6686" t="s">
        <v>11729</v>
      </c>
      <c r="C6686" t="s">
        <v>17894</v>
      </c>
      <c r="D6686" t="s">
        <v>29638</v>
      </c>
      <c r="E6686" t="b">
        <v>0</v>
      </c>
      <c r="F6686" t="s">
        <v>11610</v>
      </c>
      <c r="L6686">
        <v>0</v>
      </c>
      <c r="M6686">
        <v>0</v>
      </c>
      <c r="N6686">
        <v>0</v>
      </c>
    </row>
    <row r="6687" spans="1:15">
      <c r="A6687" t="s">
        <v>29639</v>
      </c>
      <c r="B6687" t="s">
        <v>11607</v>
      </c>
      <c r="C6687" t="s">
        <v>25360</v>
      </c>
      <c r="D6687" t="s">
        <v>29640</v>
      </c>
      <c r="E6687" t="b">
        <v>0</v>
      </c>
      <c r="F6687" t="s">
        <v>11610</v>
      </c>
      <c r="L6687">
        <v>0</v>
      </c>
      <c r="M6687">
        <v>0</v>
      </c>
      <c r="N6687">
        <v>0</v>
      </c>
    </row>
    <row r="6688" spans="1:15">
      <c r="A6688" t="s">
        <v>29641</v>
      </c>
      <c r="B6688" t="s">
        <v>6742</v>
      </c>
      <c r="C6688" t="s">
        <v>11994</v>
      </c>
      <c r="D6688" t="s">
        <v>29642</v>
      </c>
      <c r="E6688" t="b">
        <v>0</v>
      </c>
      <c r="F6688" t="s">
        <v>11622</v>
      </c>
      <c r="L6688">
        <v>4</v>
      </c>
      <c r="M6688">
        <v>6</v>
      </c>
      <c r="N6688">
        <v>11</v>
      </c>
    </row>
    <row r="6689" spans="1:15">
      <c r="A6689" t="s">
        <v>19454</v>
      </c>
      <c r="B6689" t="s">
        <v>6742</v>
      </c>
      <c r="C6689" t="s">
        <v>29641</v>
      </c>
      <c r="D6689" t="s">
        <v>29643</v>
      </c>
      <c r="E6689" t="b">
        <v>0</v>
      </c>
      <c r="F6689" t="s">
        <v>11622</v>
      </c>
      <c r="L6689">
        <v>2</v>
      </c>
      <c r="M6689">
        <v>4</v>
      </c>
      <c r="N6689">
        <v>9</v>
      </c>
    </row>
    <row r="6690" spans="1:15">
      <c r="A6690" t="s">
        <v>29644</v>
      </c>
      <c r="B6690" t="s">
        <v>6742</v>
      </c>
      <c r="C6690" t="s">
        <v>18153</v>
      </c>
      <c r="D6690" t="s">
        <v>29645</v>
      </c>
      <c r="E6690" t="b">
        <v>0</v>
      </c>
      <c r="F6690" t="s">
        <v>11624</v>
      </c>
      <c r="G6690">
        <v>9.4668299999999999</v>
      </c>
      <c r="H6690">
        <v>16.254999999999999</v>
      </c>
      <c r="I6690" t="s">
        <v>29646</v>
      </c>
      <c r="L6690">
        <v>0</v>
      </c>
      <c r="M6690">
        <v>0</v>
      </c>
      <c r="N6690">
        <v>0</v>
      </c>
      <c r="O6690" t="s">
        <v>13421</v>
      </c>
    </row>
    <row r="6691" spans="1:15">
      <c r="A6691" t="s">
        <v>29647</v>
      </c>
      <c r="B6691" t="s">
        <v>6742</v>
      </c>
      <c r="C6691" t="s">
        <v>16901</v>
      </c>
      <c r="D6691" t="s">
        <v>29648</v>
      </c>
      <c r="E6691" t="b">
        <v>0</v>
      </c>
      <c r="F6691" t="s">
        <v>11610</v>
      </c>
      <c r="L6691">
        <v>0</v>
      </c>
      <c r="M6691">
        <v>0</v>
      </c>
      <c r="N6691">
        <v>0</v>
      </c>
    </row>
    <row r="6692" spans="1:15">
      <c r="A6692" t="s">
        <v>21462</v>
      </c>
      <c r="B6692" t="s">
        <v>6742</v>
      </c>
      <c r="C6692" t="s">
        <v>29649</v>
      </c>
      <c r="D6692" t="s">
        <v>29650</v>
      </c>
      <c r="E6692" t="b">
        <v>0</v>
      </c>
      <c r="F6692" t="s">
        <v>11624</v>
      </c>
      <c r="G6692">
        <v>11.671099999999999</v>
      </c>
      <c r="H6692">
        <v>1.2848900000000001</v>
      </c>
      <c r="I6692" t="s">
        <v>29651</v>
      </c>
      <c r="L6692">
        <v>0</v>
      </c>
      <c r="M6692">
        <v>0</v>
      </c>
      <c r="N6692">
        <v>3</v>
      </c>
      <c r="O6692" t="s">
        <v>29652</v>
      </c>
    </row>
    <row r="6693" spans="1:15">
      <c r="A6693" t="s">
        <v>514</v>
      </c>
      <c r="B6693" t="s">
        <v>11607</v>
      </c>
      <c r="C6693" t="s">
        <v>29653</v>
      </c>
      <c r="D6693" t="s">
        <v>513</v>
      </c>
      <c r="E6693" t="b">
        <v>0</v>
      </c>
      <c r="F6693" t="s">
        <v>11610</v>
      </c>
      <c r="L6693">
        <v>0</v>
      </c>
      <c r="M6693">
        <v>0</v>
      </c>
      <c r="N6693">
        <v>0</v>
      </c>
    </row>
    <row r="6694" spans="1:15">
      <c r="A6694" t="s">
        <v>29649</v>
      </c>
      <c r="B6694" t="s">
        <v>6742</v>
      </c>
      <c r="C6694" t="s">
        <v>29654</v>
      </c>
      <c r="D6694" t="s">
        <v>29655</v>
      </c>
      <c r="E6694" t="b">
        <v>0</v>
      </c>
      <c r="F6694" t="s">
        <v>11622</v>
      </c>
      <c r="L6694">
        <v>1</v>
      </c>
      <c r="M6694">
        <v>3</v>
      </c>
      <c r="N6694">
        <v>4</v>
      </c>
    </row>
    <row r="6695" spans="1:15">
      <c r="A6695" t="s">
        <v>29656</v>
      </c>
      <c r="B6695" t="s">
        <v>11637</v>
      </c>
      <c r="C6695" t="s">
        <v>18327</v>
      </c>
      <c r="D6695" t="s">
        <v>29657</v>
      </c>
      <c r="E6695" t="b">
        <v>0</v>
      </c>
      <c r="F6695" t="s">
        <v>11610</v>
      </c>
      <c r="L6695">
        <v>0</v>
      </c>
      <c r="M6695">
        <v>0</v>
      </c>
      <c r="N6695">
        <v>0</v>
      </c>
    </row>
    <row r="6696" spans="1:15">
      <c r="A6696" t="s">
        <v>29658</v>
      </c>
      <c r="B6696" t="s">
        <v>11637</v>
      </c>
      <c r="C6696" t="s">
        <v>19820</v>
      </c>
      <c r="D6696" t="s">
        <v>29659</v>
      </c>
      <c r="E6696" t="b">
        <v>0</v>
      </c>
      <c r="F6696" t="s">
        <v>11610</v>
      </c>
      <c r="L6696">
        <v>0</v>
      </c>
      <c r="M6696">
        <v>0</v>
      </c>
      <c r="N6696">
        <v>0</v>
      </c>
    </row>
    <row r="6697" spans="1:15">
      <c r="A6697" t="s">
        <v>29660</v>
      </c>
      <c r="B6697" t="s">
        <v>6742</v>
      </c>
      <c r="C6697" t="s">
        <v>20047</v>
      </c>
      <c r="D6697" t="s">
        <v>29661</v>
      </c>
      <c r="E6697" t="b">
        <v>0</v>
      </c>
      <c r="F6697" t="s">
        <v>11610</v>
      </c>
      <c r="L6697">
        <v>0</v>
      </c>
      <c r="M6697">
        <v>0</v>
      </c>
      <c r="N6697">
        <v>0</v>
      </c>
    </row>
    <row r="6698" spans="1:15">
      <c r="A6698" t="s">
        <v>29662</v>
      </c>
      <c r="B6698" t="s">
        <v>6742</v>
      </c>
      <c r="C6698" t="s">
        <v>25512</v>
      </c>
      <c r="D6698" t="s">
        <v>29663</v>
      </c>
      <c r="E6698" t="b">
        <v>0</v>
      </c>
      <c r="F6698" t="s">
        <v>11610</v>
      </c>
      <c r="L6698">
        <v>0</v>
      </c>
      <c r="M6698">
        <v>0</v>
      </c>
      <c r="N6698">
        <v>0</v>
      </c>
    </row>
    <row r="6699" spans="1:15">
      <c r="A6699" t="s">
        <v>29664</v>
      </c>
      <c r="B6699" t="s">
        <v>367</v>
      </c>
      <c r="C6699" t="s">
        <v>29665</v>
      </c>
      <c r="D6699" t="s">
        <v>29666</v>
      </c>
      <c r="E6699" t="b">
        <v>0</v>
      </c>
      <c r="F6699" t="s">
        <v>11610</v>
      </c>
      <c r="L6699">
        <v>0</v>
      </c>
      <c r="M6699">
        <v>0</v>
      </c>
      <c r="N6699">
        <v>0</v>
      </c>
    </row>
    <row r="6700" spans="1:15">
      <c r="A6700" t="s">
        <v>29667</v>
      </c>
      <c r="B6700" t="s">
        <v>6742</v>
      </c>
      <c r="C6700" t="s">
        <v>16541</v>
      </c>
      <c r="D6700" t="s">
        <v>29668</v>
      </c>
      <c r="E6700" t="b">
        <v>0</v>
      </c>
      <c r="F6700" t="s">
        <v>11610</v>
      </c>
      <c r="L6700">
        <v>0</v>
      </c>
      <c r="M6700">
        <v>0</v>
      </c>
      <c r="N6700">
        <v>0</v>
      </c>
    </row>
    <row r="6701" spans="1:15">
      <c r="A6701" t="s">
        <v>29669</v>
      </c>
      <c r="B6701" t="s">
        <v>367</v>
      </c>
      <c r="C6701" t="s">
        <v>5401</v>
      </c>
      <c r="D6701" t="s">
        <v>29670</v>
      </c>
      <c r="E6701" t="b">
        <v>0</v>
      </c>
      <c r="F6701" t="s">
        <v>11610</v>
      </c>
      <c r="L6701">
        <v>0</v>
      </c>
      <c r="M6701">
        <v>0</v>
      </c>
      <c r="N6701">
        <v>0</v>
      </c>
    </row>
    <row r="6702" spans="1:15">
      <c r="A6702" t="s">
        <v>29671</v>
      </c>
      <c r="B6702" t="s">
        <v>11627</v>
      </c>
      <c r="C6702" t="s">
        <v>11627</v>
      </c>
      <c r="D6702" t="s">
        <v>29672</v>
      </c>
      <c r="E6702" t="b">
        <v>1</v>
      </c>
      <c r="F6702" t="s">
        <v>11624</v>
      </c>
      <c r="G6702">
        <v>21.772600000000001</v>
      </c>
      <c r="H6702">
        <v>77.3733</v>
      </c>
      <c r="I6702" t="s">
        <v>29673</v>
      </c>
      <c r="L6702">
        <v>0</v>
      </c>
      <c r="M6702">
        <v>0</v>
      </c>
      <c r="N6702">
        <v>0</v>
      </c>
      <c r="O6702" t="s">
        <v>11630</v>
      </c>
    </row>
    <row r="6703" spans="1:15">
      <c r="A6703" t="s">
        <v>29674</v>
      </c>
      <c r="B6703" t="s">
        <v>11627</v>
      </c>
      <c r="C6703" t="s">
        <v>11627</v>
      </c>
      <c r="D6703" t="s">
        <v>29675</v>
      </c>
      <c r="E6703" t="b">
        <v>1</v>
      </c>
      <c r="F6703" t="s">
        <v>11624</v>
      </c>
      <c r="G6703">
        <v>21.509599999999999</v>
      </c>
      <c r="H6703">
        <v>77.264700000000005</v>
      </c>
      <c r="I6703" t="s">
        <v>29676</v>
      </c>
      <c r="L6703">
        <v>0</v>
      </c>
      <c r="M6703">
        <v>0</v>
      </c>
      <c r="N6703">
        <v>0</v>
      </c>
      <c r="O6703" t="s">
        <v>11630</v>
      </c>
    </row>
    <row r="6704" spans="1:15">
      <c r="A6704" t="s">
        <v>29677</v>
      </c>
      <c r="B6704" t="s">
        <v>11637</v>
      </c>
      <c r="C6704" t="s">
        <v>17411</v>
      </c>
      <c r="D6704" t="s">
        <v>29678</v>
      </c>
      <c r="E6704" t="b">
        <v>0</v>
      </c>
      <c r="F6704" t="s">
        <v>11624</v>
      </c>
      <c r="G6704">
        <v>35.124299999999998</v>
      </c>
      <c r="H6704">
        <v>73.1233</v>
      </c>
      <c r="I6704" t="s">
        <v>29679</v>
      </c>
      <c r="L6704">
        <v>0</v>
      </c>
      <c r="M6704">
        <v>0</v>
      </c>
      <c r="N6704">
        <v>0</v>
      </c>
      <c r="O6704" t="s">
        <v>12172</v>
      </c>
    </row>
    <row r="6705" spans="1:15">
      <c r="A6705" t="s">
        <v>29680</v>
      </c>
      <c r="B6705" t="s">
        <v>11637</v>
      </c>
      <c r="C6705" t="s">
        <v>29681</v>
      </c>
      <c r="D6705" t="s">
        <v>29682</v>
      </c>
      <c r="E6705" t="b">
        <v>0</v>
      </c>
      <c r="F6705" t="s">
        <v>11624</v>
      </c>
      <c r="G6705">
        <v>36.4133</v>
      </c>
      <c r="H6705">
        <v>50.698700000000002</v>
      </c>
      <c r="I6705" t="s">
        <v>29683</v>
      </c>
      <c r="L6705">
        <v>0</v>
      </c>
      <c r="M6705">
        <v>0</v>
      </c>
      <c r="N6705">
        <v>0</v>
      </c>
      <c r="O6705" t="s">
        <v>13225</v>
      </c>
    </row>
    <row r="6706" spans="1:15">
      <c r="A6706" t="s">
        <v>29684</v>
      </c>
      <c r="B6706" t="s">
        <v>11607</v>
      </c>
      <c r="C6706" t="s">
        <v>29685</v>
      </c>
      <c r="D6706" t="s">
        <v>29686</v>
      </c>
      <c r="E6706" t="b">
        <v>0</v>
      </c>
      <c r="F6706" t="s">
        <v>11610</v>
      </c>
      <c r="L6706">
        <v>0</v>
      </c>
      <c r="M6706">
        <v>0</v>
      </c>
      <c r="N6706">
        <v>0</v>
      </c>
    </row>
    <row r="6707" spans="1:15">
      <c r="A6707" t="s">
        <v>29687</v>
      </c>
      <c r="B6707" t="s">
        <v>11637</v>
      </c>
      <c r="C6707" t="s">
        <v>11637</v>
      </c>
      <c r="D6707" t="s">
        <v>29688</v>
      </c>
      <c r="E6707" t="b">
        <v>0</v>
      </c>
      <c r="F6707" t="s">
        <v>11622</v>
      </c>
      <c r="L6707">
        <v>5</v>
      </c>
      <c r="M6707">
        <v>11</v>
      </c>
      <c r="N6707">
        <v>43</v>
      </c>
    </row>
    <row r="6708" spans="1:15">
      <c r="A6708" t="s">
        <v>29689</v>
      </c>
      <c r="B6708" t="s">
        <v>11637</v>
      </c>
      <c r="C6708" t="s">
        <v>14769</v>
      </c>
      <c r="D6708" t="s">
        <v>29690</v>
      </c>
      <c r="E6708" t="b">
        <v>0</v>
      </c>
      <c r="F6708" t="s">
        <v>11610</v>
      </c>
      <c r="L6708">
        <v>0</v>
      </c>
      <c r="M6708">
        <v>0</v>
      </c>
      <c r="N6708">
        <v>0</v>
      </c>
    </row>
    <row r="6709" spans="1:15">
      <c r="A6709" t="s">
        <v>29691</v>
      </c>
      <c r="B6709" t="s">
        <v>11637</v>
      </c>
      <c r="C6709" t="s">
        <v>28739</v>
      </c>
      <c r="D6709" t="s">
        <v>29692</v>
      </c>
      <c r="E6709" t="b">
        <v>0</v>
      </c>
      <c r="F6709" t="s">
        <v>11624</v>
      </c>
      <c r="G6709">
        <v>34.648499999999999</v>
      </c>
      <c r="H6709">
        <v>70.732299999999995</v>
      </c>
      <c r="I6709" t="s">
        <v>29693</v>
      </c>
      <c r="L6709">
        <v>0</v>
      </c>
      <c r="M6709">
        <v>0</v>
      </c>
      <c r="N6709">
        <v>3</v>
      </c>
      <c r="O6709" t="s">
        <v>12131</v>
      </c>
    </row>
    <row r="6710" spans="1:15">
      <c r="A6710" t="s">
        <v>29694</v>
      </c>
      <c r="B6710" t="s">
        <v>11615</v>
      </c>
      <c r="C6710" t="s">
        <v>21788</v>
      </c>
      <c r="D6710" t="s">
        <v>29695</v>
      </c>
      <c r="E6710" t="b">
        <v>0</v>
      </c>
      <c r="F6710" t="s">
        <v>11622</v>
      </c>
      <c r="L6710">
        <v>0</v>
      </c>
      <c r="M6710">
        <v>4</v>
      </c>
      <c r="N6710">
        <v>5</v>
      </c>
    </row>
    <row r="6711" spans="1:15">
      <c r="A6711" t="s">
        <v>29696</v>
      </c>
      <c r="B6711" t="s">
        <v>12260</v>
      </c>
      <c r="C6711" t="s">
        <v>25898</v>
      </c>
      <c r="D6711" t="s">
        <v>29697</v>
      </c>
      <c r="E6711" t="b">
        <v>0</v>
      </c>
      <c r="F6711" t="s">
        <v>11610</v>
      </c>
      <c r="L6711">
        <v>0</v>
      </c>
      <c r="M6711">
        <v>0</v>
      </c>
      <c r="N6711">
        <v>0</v>
      </c>
    </row>
    <row r="6712" spans="1:15">
      <c r="A6712" t="s">
        <v>29698</v>
      </c>
      <c r="B6712" t="s">
        <v>12218</v>
      </c>
      <c r="C6712" t="s">
        <v>29699</v>
      </c>
      <c r="D6712" t="s">
        <v>29700</v>
      </c>
      <c r="E6712" t="b">
        <v>0</v>
      </c>
      <c r="F6712" t="s">
        <v>11624</v>
      </c>
      <c r="G6712">
        <v>-9.5121800000000007</v>
      </c>
      <c r="H6712">
        <v>147.43700000000001</v>
      </c>
      <c r="I6712" t="s">
        <v>29701</v>
      </c>
      <c r="L6712">
        <v>0</v>
      </c>
      <c r="M6712">
        <v>0</v>
      </c>
      <c r="N6712">
        <v>3</v>
      </c>
      <c r="O6712" t="s">
        <v>11660</v>
      </c>
    </row>
    <row r="6713" spans="1:15">
      <c r="A6713" t="s">
        <v>29702</v>
      </c>
      <c r="B6713" t="s">
        <v>11637</v>
      </c>
      <c r="C6713" t="s">
        <v>18116</v>
      </c>
      <c r="D6713" t="s">
        <v>29703</v>
      </c>
      <c r="E6713" t="b">
        <v>0</v>
      </c>
      <c r="F6713" t="s">
        <v>11610</v>
      </c>
      <c r="L6713">
        <v>0</v>
      </c>
      <c r="M6713">
        <v>0</v>
      </c>
      <c r="N6713">
        <v>0</v>
      </c>
    </row>
    <row r="6714" spans="1:15">
      <c r="A6714" t="s">
        <v>12650</v>
      </c>
      <c r="D6714" t="s">
        <v>29704</v>
      </c>
      <c r="E6714" t="b">
        <v>0</v>
      </c>
      <c r="F6714" t="s">
        <v>11622</v>
      </c>
      <c r="L6714">
        <v>8</v>
      </c>
      <c r="M6714">
        <v>10</v>
      </c>
      <c r="N6714">
        <v>1</v>
      </c>
    </row>
    <row r="6715" spans="1:15">
      <c r="A6715" t="s">
        <v>29705</v>
      </c>
      <c r="B6715" t="s">
        <v>12438</v>
      </c>
      <c r="C6715" t="s">
        <v>23340</v>
      </c>
      <c r="D6715" t="s">
        <v>29706</v>
      </c>
      <c r="E6715" t="b">
        <v>0</v>
      </c>
      <c r="F6715" t="s">
        <v>11610</v>
      </c>
      <c r="L6715">
        <v>0</v>
      </c>
      <c r="M6715">
        <v>0</v>
      </c>
      <c r="N6715">
        <v>0</v>
      </c>
    </row>
    <row r="6716" spans="1:15">
      <c r="A6716" t="s">
        <v>29707</v>
      </c>
      <c r="B6716" t="s">
        <v>12438</v>
      </c>
      <c r="C6716" t="s">
        <v>21393</v>
      </c>
      <c r="D6716" t="s">
        <v>29708</v>
      </c>
      <c r="E6716" t="b">
        <v>0</v>
      </c>
      <c r="F6716" t="s">
        <v>11610</v>
      </c>
      <c r="L6716">
        <v>0</v>
      </c>
      <c r="M6716">
        <v>0</v>
      </c>
      <c r="N6716">
        <v>0</v>
      </c>
    </row>
    <row r="6717" spans="1:15">
      <c r="A6717" t="s">
        <v>29709</v>
      </c>
      <c r="B6717" t="s">
        <v>11653</v>
      </c>
      <c r="C6717" t="s">
        <v>7654</v>
      </c>
      <c r="D6717" t="s">
        <v>29710</v>
      </c>
      <c r="E6717" t="b">
        <v>0</v>
      </c>
      <c r="F6717" t="s">
        <v>11610</v>
      </c>
      <c r="L6717">
        <v>0</v>
      </c>
      <c r="M6717">
        <v>0</v>
      </c>
      <c r="N6717">
        <v>0</v>
      </c>
    </row>
    <row r="6718" spans="1:15">
      <c r="A6718" t="s">
        <v>15422</v>
      </c>
      <c r="B6718" t="s">
        <v>11615</v>
      </c>
      <c r="C6718" t="s">
        <v>15425</v>
      </c>
      <c r="D6718" t="s">
        <v>29711</v>
      </c>
      <c r="E6718" t="b">
        <v>0</v>
      </c>
      <c r="F6718" t="s">
        <v>11622</v>
      </c>
      <c r="L6718">
        <v>10</v>
      </c>
      <c r="M6718">
        <v>18</v>
      </c>
      <c r="N6718">
        <v>2</v>
      </c>
    </row>
    <row r="6719" spans="1:15">
      <c r="A6719" t="s">
        <v>23406</v>
      </c>
      <c r="B6719" t="s">
        <v>5911</v>
      </c>
      <c r="C6719" t="s">
        <v>29712</v>
      </c>
      <c r="D6719" t="s">
        <v>29713</v>
      </c>
      <c r="E6719" t="b">
        <v>0</v>
      </c>
      <c r="F6719" t="s">
        <v>11622</v>
      </c>
      <c r="L6719">
        <v>4</v>
      </c>
      <c r="M6719">
        <v>10</v>
      </c>
      <c r="N6719">
        <v>0</v>
      </c>
    </row>
    <row r="6720" spans="1:15">
      <c r="A6720" t="s">
        <v>29714</v>
      </c>
      <c r="B6720" t="s">
        <v>5911</v>
      </c>
      <c r="C6720" t="s">
        <v>29712</v>
      </c>
      <c r="D6720" t="s">
        <v>29715</v>
      </c>
      <c r="E6720" t="b">
        <v>0</v>
      </c>
      <c r="F6720" t="s">
        <v>11622</v>
      </c>
      <c r="L6720">
        <v>2</v>
      </c>
      <c r="M6720">
        <v>4</v>
      </c>
      <c r="N6720">
        <v>0</v>
      </c>
    </row>
    <row r="6721" spans="1:15">
      <c r="A6721" t="s">
        <v>29716</v>
      </c>
      <c r="B6721" t="s">
        <v>11607</v>
      </c>
      <c r="C6721" t="s">
        <v>29717</v>
      </c>
      <c r="D6721" t="s">
        <v>29718</v>
      </c>
      <c r="E6721" t="b">
        <v>0</v>
      </c>
      <c r="F6721" t="s">
        <v>11610</v>
      </c>
      <c r="L6721">
        <v>0</v>
      </c>
      <c r="M6721">
        <v>0</v>
      </c>
      <c r="N6721">
        <v>0</v>
      </c>
    </row>
    <row r="6722" spans="1:15">
      <c r="A6722" t="s">
        <v>29719</v>
      </c>
      <c r="B6722" t="s">
        <v>10597</v>
      </c>
      <c r="C6722" t="s">
        <v>10597</v>
      </c>
      <c r="D6722" t="s">
        <v>29720</v>
      </c>
      <c r="E6722" t="b">
        <v>0</v>
      </c>
      <c r="F6722" t="s">
        <v>11622</v>
      </c>
      <c r="L6722">
        <v>10</v>
      </c>
      <c r="M6722">
        <v>20</v>
      </c>
      <c r="N6722">
        <v>0</v>
      </c>
    </row>
    <row r="6723" spans="1:15">
      <c r="A6723" t="s">
        <v>17087</v>
      </c>
      <c r="B6723" t="s">
        <v>367</v>
      </c>
      <c r="C6723" t="s">
        <v>17228</v>
      </c>
      <c r="D6723" t="s">
        <v>29721</v>
      </c>
      <c r="E6723" t="b">
        <v>0</v>
      </c>
      <c r="F6723" t="s">
        <v>11622</v>
      </c>
      <c r="L6723">
        <v>20</v>
      </c>
      <c r="M6723">
        <v>36</v>
      </c>
      <c r="N6723">
        <v>97</v>
      </c>
    </row>
    <row r="6724" spans="1:15">
      <c r="A6724" t="s">
        <v>21816</v>
      </c>
      <c r="B6724" t="s">
        <v>367</v>
      </c>
      <c r="C6724" t="s">
        <v>4363</v>
      </c>
      <c r="D6724" t="s">
        <v>29722</v>
      </c>
      <c r="E6724" t="b">
        <v>0</v>
      </c>
      <c r="F6724" t="s">
        <v>11622</v>
      </c>
      <c r="L6724">
        <v>60</v>
      </c>
      <c r="M6724">
        <v>95</v>
      </c>
      <c r="N6724">
        <v>107</v>
      </c>
    </row>
    <row r="6725" spans="1:15">
      <c r="A6725" t="s">
        <v>15002</v>
      </c>
      <c r="B6725" t="s">
        <v>11644</v>
      </c>
      <c r="C6725" t="s">
        <v>26501</v>
      </c>
      <c r="D6725" t="s">
        <v>29723</v>
      </c>
      <c r="E6725" t="b">
        <v>0</v>
      </c>
      <c r="F6725" t="s">
        <v>11622</v>
      </c>
      <c r="L6725">
        <v>1</v>
      </c>
      <c r="M6725">
        <v>5</v>
      </c>
      <c r="N6725">
        <v>3</v>
      </c>
    </row>
    <row r="6726" spans="1:15">
      <c r="A6726" t="s">
        <v>29724</v>
      </c>
      <c r="B6726" t="s">
        <v>6742</v>
      </c>
      <c r="C6726" t="s">
        <v>21841</v>
      </c>
      <c r="D6726" t="s">
        <v>29725</v>
      </c>
      <c r="E6726" t="b">
        <v>0</v>
      </c>
      <c r="F6726" t="s">
        <v>11622</v>
      </c>
      <c r="L6726">
        <v>29</v>
      </c>
      <c r="M6726">
        <v>48</v>
      </c>
      <c r="N6726">
        <v>86</v>
      </c>
    </row>
    <row r="6727" spans="1:15">
      <c r="A6727" t="s">
        <v>26552</v>
      </c>
      <c r="B6727" t="s">
        <v>6742</v>
      </c>
      <c r="C6727" t="s">
        <v>21841</v>
      </c>
      <c r="D6727" t="s">
        <v>29726</v>
      </c>
      <c r="E6727" t="b">
        <v>0</v>
      </c>
      <c r="F6727" t="s">
        <v>11622</v>
      </c>
      <c r="L6727">
        <v>4</v>
      </c>
      <c r="M6727">
        <v>6</v>
      </c>
      <c r="N6727">
        <v>15</v>
      </c>
    </row>
    <row r="6728" spans="1:15">
      <c r="A6728" t="s">
        <v>29727</v>
      </c>
      <c r="B6728" t="s">
        <v>6742</v>
      </c>
      <c r="C6728" t="s">
        <v>29728</v>
      </c>
      <c r="D6728" t="s">
        <v>29729</v>
      </c>
      <c r="E6728" t="b">
        <v>0</v>
      </c>
      <c r="F6728" t="s">
        <v>11622</v>
      </c>
      <c r="L6728">
        <v>3</v>
      </c>
      <c r="M6728">
        <v>5</v>
      </c>
      <c r="N6728">
        <v>0</v>
      </c>
    </row>
    <row r="6729" spans="1:15">
      <c r="A6729" t="s">
        <v>26557</v>
      </c>
      <c r="B6729" t="s">
        <v>6742</v>
      </c>
      <c r="C6729" t="s">
        <v>21871</v>
      </c>
      <c r="D6729" t="s">
        <v>29730</v>
      </c>
      <c r="E6729" t="b">
        <v>0</v>
      </c>
      <c r="F6729" t="s">
        <v>11622</v>
      </c>
      <c r="L6729">
        <v>32</v>
      </c>
      <c r="M6729">
        <v>64</v>
      </c>
      <c r="N6729">
        <v>76</v>
      </c>
    </row>
    <row r="6730" spans="1:15">
      <c r="A6730" t="s">
        <v>29731</v>
      </c>
      <c r="B6730" t="s">
        <v>6742</v>
      </c>
      <c r="C6730" t="s">
        <v>29732</v>
      </c>
      <c r="D6730" t="s">
        <v>29733</v>
      </c>
      <c r="E6730" t="b">
        <v>0</v>
      </c>
      <c r="F6730" t="s">
        <v>11622</v>
      </c>
      <c r="L6730">
        <v>3</v>
      </c>
      <c r="M6730">
        <v>5</v>
      </c>
      <c r="N6730">
        <v>0</v>
      </c>
    </row>
    <row r="6731" spans="1:15">
      <c r="A6731" t="s">
        <v>29734</v>
      </c>
      <c r="B6731" t="s">
        <v>6742</v>
      </c>
      <c r="C6731" t="s">
        <v>26557</v>
      </c>
      <c r="D6731" t="s">
        <v>29735</v>
      </c>
      <c r="E6731" t="b">
        <v>0</v>
      </c>
      <c r="F6731" t="s">
        <v>11622</v>
      </c>
      <c r="L6731">
        <v>7</v>
      </c>
      <c r="M6731">
        <v>17</v>
      </c>
      <c r="N6731">
        <v>14</v>
      </c>
    </row>
    <row r="6732" spans="1:15">
      <c r="A6732" t="s">
        <v>23418</v>
      </c>
      <c r="B6732" t="s">
        <v>11644</v>
      </c>
      <c r="C6732" t="s">
        <v>26934</v>
      </c>
      <c r="D6732" t="s">
        <v>29736</v>
      </c>
      <c r="E6732" t="b">
        <v>0</v>
      </c>
      <c r="F6732" t="s">
        <v>11622</v>
      </c>
      <c r="L6732">
        <v>3</v>
      </c>
      <c r="M6732">
        <v>5</v>
      </c>
      <c r="N6732">
        <v>0</v>
      </c>
    </row>
    <row r="6733" spans="1:15">
      <c r="A6733" t="s">
        <v>18816</v>
      </c>
      <c r="B6733" t="s">
        <v>367</v>
      </c>
      <c r="C6733" t="s">
        <v>29737</v>
      </c>
      <c r="D6733" t="s">
        <v>29738</v>
      </c>
      <c r="E6733" t="b">
        <v>0</v>
      </c>
      <c r="F6733" t="s">
        <v>11622</v>
      </c>
      <c r="L6733">
        <v>8</v>
      </c>
      <c r="M6733">
        <v>24</v>
      </c>
      <c r="N6733">
        <v>32</v>
      </c>
    </row>
    <row r="6734" spans="1:15">
      <c r="A6734" t="s">
        <v>29739</v>
      </c>
      <c r="B6734" t="s">
        <v>367</v>
      </c>
      <c r="C6734" t="s">
        <v>29737</v>
      </c>
      <c r="D6734" t="s">
        <v>29740</v>
      </c>
      <c r="E6734" t="b">
        <v>0</v>
      </c>
      <c r="F6734" t="s">
        <v>11622</v>
      </c>
      <c r="L6734">
        <v>7</v>
      </c>
      <c r="M6734">
        <v>16</v>
      </c>
      <c r="N6734">
        <v>40</v>
      </c>
    </row>
    <row r="6735" spans="1:15">
      <c r="A6735" t="s">
        <v>22892</v>
      </c>
      <c r="B6735" t="s">
        <v>5058</v>
      </c>
      <c r="C6735" t="s">
        <v>20324</v>
      </c>
      <c r="D6735" t="s">
        <v>29741</v>
      </c>
      <c r="E6735" t="b">
        <v>0</v>
      </c>
      <c r="F6735" t="s">
        <v>11622</v>
      </c>
      <c r="L6735">
        <v>7</v>
      </c>
      <c r="M6735">
        <v>22</v>
      </c>
      <c r="N6735">
        <v>5</v>
      </c>
    </row>
    <row r="6736" spans="1:15">
      <c r="A6736" t="s">
        <v>29742</v>
      </c>
      <c r="B6736" t="s">
        <v>6742</v>
      </c>
      <c r="C6736" t="s">
        <v>29743</v>
      </c>
      <c r="D6736" t="s">
        <v>29744</v>
      </c>
      <c r="E6736" t="b">
        <v>0</v>
      </c>
      <c r="F6736" t="s">
        <v>11622</v>
      </c>
      <c r="I6736" t="s">
        <v>29745</v>
      </c>
      <c r="L6736">
        <v>3</v>
      </c>
      <c r="M6736">
        <v>5</v>
      </c>
      <c r="N6736">
        <v>29</v>
      </c>
      <c r="O6736" t="s">
        <v>17011</v>
      </c>
    </row>
    <row r="6737" spans="1:15">
      <c r="A6737" t="s">
        <v>29743</v>
      </c>
      <c r="B6737" t="s">
        <v>6742</v>
      </c>
      <c r="C6737" t="s">
        <v>17313</v>
      </c>
      <c r="D6737" t="s">
        <v>29746</v>
      </c>
      <c r="E6737" t="b">
        <v>0</v>
      </c>
      <c r="F6737" t="s">
        <v>11622</v>
      </c>
      <c r="L6737">
        <v>6</v>
      </c>
      <c r="M6737">
        <v>8</v>
      </c>
      <c r="N6737">
        <v>45</v>
      </c>
    </row>
    <row r="6738" spans="1:15">
      <c r="A6738" t="s">
        <v>29747</v>
      </c>
      <c r="B6738" t="s">
        <v>11981</v>
      </c>
      <c r="C6738" t="s">
        <v>13026</v>
      </c>
      <c r="D6738" t="s">
        <v>29748</v>
      </c>
      <c r="E6738" t="b">
        <v>0</v>
      </c>
      <c r="F6738" t="s">
        <v>11624</v>
      </c>
      <c r="G6738">
        <v>38.053600000000003</v>
      </c>
      <c r="H6738">
        <v>23.376200000000001</v>
      </c>
      <c r="I6738" t="s">
        <v>29749</v>
      </c>
      <c r="L6738">
        <v>0</v>
      </c>
      <c r="M6738">
        <v>0</v>
      </c>
      <c r="N6738">
        <v>0</v>
      </c>
      <c r="O6738" t="s">
        <v>13664</v>
      </c>
    </row>
    <row r="6739" spans="1:15">
      <c r="A6739" t="s">
        <v>397</v>
      </c>
      <c r="B6739" t="s">
        <v>11637</v>
      </c>
      <c r="C6739" t="s">
        <v>29687</v>
      </c>
      <c r="D6739" t="s">
        <v>4957</v>
      </c>
      <c r="E6739" t="b">
        <v>0</v>
      </c>
      <c r="F6739" t="s">
        <v>11622</v>
      </c>
      <c r="L6739">
        <v>4</v>
      </c>
      <c r="M6739">
        <v>10</v>
      </c>
      <c r="N6739">
        <v>42</v>
      </c>
    </row>
    <row r="6740" spans="1:15">
      <c r="A6740" t="s">
        <v>29750</v>
      </c>
      <c r="B6740" t="s">
        <v>11637</v>
      </c>
      <c r="C6740" t="s">
        <v>11822</v>
      </c>
      <c r="D6740" t="s">
        <v>29751</v>
      </c>
      <c r="E6740" t="b">
        <v>0</v>
      </c>
      <c r="F6740" t="s">
        <v>11610</v>
      </c>
      <c r="L6740">
        <v>0</v>
      </c>
      <c r="M6740">
        <v>0</v>
      </c>
      <c r="N6740">
        <v>0</v>
      </c>
    </row>
    <row r="6741" spans="1:15">
      <c r="A6741" t="s">
        <v>29752</v>
      </c>
      <c r="B6741" t="s">
        <v>5126</v>
      </c>
      <c r="C6741" t="s">
        <v>29753</v>
      </c>
      <c r="D6741" t="s">
        <v>29754</v>
      </c>
      <c r="E6741" t="b">
        <v>0</v>
      </c>
      <c r="F6741" t="s">
        <v>11624</v>
      </c>
      <c r="G6741">
        <v>22.563199999999998</v>
      </c>
      <c r="H6741">
        <v>104.69799999999999</v>
      </c>
      <c r="I6741" t="s">
        <v>29755</v>
      </c>
      <c r="L6741">
        <v>0</v>
      </c>
      <c r="M6741">
        <v>0</v>
      </c>
      <c r="N6741">
        <v>3</v>
      </c>
      <c r="O6741" t="s">
        <v>15949</v>
      </c>
    </row>
    <row r="6742" spans="1:15">
      <c r="A6742" t="s">
        <v>629</v>
      </c>
      <c r="B6742" t="s">
        <v>13014</v>
      </c>
      <c r="C6742" t="s">
        <v>277</v>
      </c>
      <c r="D6742" t="s">
        <v>29756</v>
      </c>
      <c r="E6742" t="b">
        <v>0</v>
      </c>
      <c r="F6742" t="s">
        <v>11622</v>
      </c>
      <c r="L6742">
        <v>0</v>
      </c>
      <c r="M6742">
        <v>2</v>
      </c>
      <c r="N6742">
        <v>0</v>
      </c>
    </row>
    <row r="6743" spans="1:15">
      <c r="A6743" t="s">
        <v>29757</v>
      </c>
      <c r="B6743" t="s">
        <v>11637</v>
      </c>
      <c r="C6743" t="s">
        <v>25734</v>
      </c>
      <c r="D6743" t="s">
        <v>29758</v>
      </c>
      <c r="E6743" t="b">
        <v>0</v>
      </c>
      <c r="F6743" t="s">
        <v>11610</v>
      </c>
      <c r="L6743">
        <v>0</v>
      </c>
      <c r="M6743">
        <v>0</v>
      </c>
      <c r="N6743">
        <v>0</v>
      </c>
    </row>
    <row r="6744" spans="1:15">
      <c r="A6744" t="s">
        <v>29759</v>
      </c>
      <c r="B6744" t="s">
        <v>141</v>
      </c>
      <c r="C6744" t="s">
        <v>22078</v>
      </c>
      <c r="D6744" t="s">
        <v>29760</v>
      </c>
      <c r="E6744" t="b">
        <v>0</v>
      </c>
      <c r="F6744" t="s">
        <v>11610</v>
      </c>
      <c r="L6744">
        <v>0</v>
      </c>
      <c r="M6744">
        <v>0</v>
      </c>
      <c r="N6744">
        <v>0</v>
      </c>
    </row>
    <row r="6745" spans="1:15">
      <c r="A6745" t="s">
        <v>2731</v>
      </c>
      <c r="B6745" t="s">
        <v>11637</v>
      </c>
      <c r="C6745" t="s">
        <v>29761</v>
      </c>
      <c r="D6745" t="s">
        <v>29762</v>
      </c>
      <c r="E6745" t="b">
        <v>0</v>
      </c>
      <c r="F6745" t="s">
        <v>11624</v>
      </c>
      <c r="G6745">
        <v>12.0067</v>
      </c>
      <c r="H6745">
        <v>-61.698900000000002</v>
      </c>
      <c r="I6745" t="s">
        <v>2732</v>
      </c>
      <c r="L6745">
        <v>0</v>
      </c>
      <c r="M6745">
        <v>0</v>
      </c>
      <c r="N6745">
        <v>0</v>
      </c>
      <c r="O6745" t="s">
        <v>29763</v>
      </c>
    </row>
    <row r="6746" spans="1:15">
      <c r="A6746" t="s">
        <v>29761</v>
      </c>
      <c r="B6746" t="s">
        <v>11637</v>
      </c>
      <c r="C6746" t="s">
        <v>29764</v>
      </c>
      <c r="D6746" t="s">
        <v>29765</v>
      </c>
      <c r="E6746" t="b">
        <v>0</v>
      </c>
      <c r="F6746" t="s">
        <v>11622</v>
      </c>
      <c r="L6746">
        <v>0</v>
      </c>
      <c r="M6746">
        <v>2</v>
      </c>
      <c r="N6746">
        <v>0</v>
      </c>
    </row>
    <row r="6747" spans="1:15">
      <c r="A6747" t="s">
        <v>29766</v>
      </c>
      <c r="B6747" t="s">
        <v>29767</v>
      </c>
      <c r="C6747" t="s">
        <v>29768</v>
      </c>
      <c r="D6747" t="s">
        <v>29769</v>
      </c>
      <c r="E6747" t="b">
        <v>0</v>
      </c>
      <c r="F6747" t="s">
        <v>11624</v>
      </c>
      <c r="G6747">
        <v>-2.7222900000000001</v>
      </c>
      <c r="H6747">
        <v>140.279</v>
      </c>
      <c r="I6747" t="s">
        <v>29770</v>
      </c>
      <c r="L6747">
        <v>0</v>
      </c>
      <c r="M6747">
        <v>0</v>
      </c>
      <c r="N6747">
        <v>0</v>
      </c>
      <c r="O6747" t="s">
        <v>11768</v>
      </c>
    </row>
    <row r="6748" spans="1:15">
      <c r="A6748" t="s">
        <v>29768</v>
      </c>
      <c r="B6748" t="s">
        <v>29767</v>
      </c>
      <c r="C6748" t="s">
        <v>29771</v>
      </c>
      <c r="D6748" t="s">
        <v>29772</v>
      </c>
      <c r="E6748" t="b">
        <v>0</v>
      </c>
      <c r="F6748" t="s">
        <v>11622</v>
      </c>
      <c r="L6748">
        <v>0</v>
      </c>
      <c r="M6748">
        <v>2</v>
      </c>
      <c r="N6748">
        <v>0</v>
      </c>
    </row>
    <row r="6749" spans="1:15">
      <c r="A6749" t="s">
        <v>29773</v>
      </c>
      <c r="B6749" t="s">
        <v>367</v>
      </c>
      <c r="C6749" t="s">
        <v>26184</v>
      </c>
      <c r="D6749" t="s">
        <v>29774</v>
      </c>
      <c r="E6749" t="b">
        <v>0</v>
      </c>
      <c r="F6749" t="s">
        <v>11610</v>
      </c>
      <c r="L6749">
        <v>0</v>
      </c>
      <c r="M6749">
        <v>0</v>
      </c>
      <c r="N6749">
        <v>0</v>
      </c>
    </row>
    <row r="6750" spans="1:15">
      <c r="A6750" t="s">
        <v>29775</v>
      </c>
      <c r="B6750" t="s">
        <v>12438</v>
      </c>
      <c r="C6750" t="s">
        <v>5160</v>
      </c>
      <c r="D6750" t="s">
        <v>29776</v>
      </c>
      <c r="E6750" t="b">
        <v>0</v>
      </c>
      <c r="F6750" t="s">
        <v>11610</v>
      </c>
      <c r="L6750">
        <v>0</v>
      </c>
      <c r="M6750">
        <v>0</v>
      </c>
      <c r="N6750">
        <v>0</v>
      </c>
    </row>
    <row r="6751" spans="1:15">
      <c r="A6751" t="s">
        <v>29777</v>
      </c>
      <c r="B6751" t="s">
        <v>367</v>
      </c>
      <c r="C6751" t="s">
        <v>14866</v>
      </c>
      <c r="D6751" t="s">
        <v>29778</v>
      </c>
      <c r="E6751" t="b">
        <v>0</v>
      </c>
      <c r="F6751" t="s">
        <v>11610</v>
      </c>
      <c r="L6751">
        <v>0</v>
      </c>
      <c r="M6751">
        <v>0</v>
      </c>
      <c r="N6751">
        <v>0</v>
      </c>
    </row>
    <row r="6752" spans="1:15">
      <c r="A6752" t="s">
        <v>29779</v>
      </c>
      <c r="B6752" t="s">
        <v>11644</v>
      </c>
      <c r="C6752" t="s">
        <v>22770</v>
      </c>
      <c r="D6752" t="s">
        <v>29780</v>
      </c>
      <c r="E6752" t="b">
        <v>0</v>
      </c>
      <c r="F6752" t="s">
        <v>11624</v>
      </c>
      <c r="G6752">
        <v>27.608899999999998</v>
      </c>
      <c r="H6752">
        <v>88.854100000000003</v>
      </c>
      <c r="I6752" t="s">
        <v>29781</v>
      </c>
      <c r="L6752">
        <v>0</v>
      </c>
      <c r="M6752">
        <v>0</v>
      </c>
      <c r="N6752">
        <v>2</v>
      </c>
      <c r="O6752" t="s">
        <v>19608</v>
      </c>
    </row>
    <row r="6753" spans="1:15">
      <c r="A6753" t="s">
        <v>29782</v>
      </c>
      <c r="B6753" t="s">
        <v>11637</v>
      </c>
      <c r="C6753" t="s">
        <v>29783</v>
      </c>
      <c r="D6753" t="s">
        <v>29784</v>
      </c>
      <c r="E6753" t="b">
        <v>0</v>
      </c>
      <c r="F6753" t="s">
        <v>11624</v>
      </c>
      <c r="G6753">
        <v>53.284199999999998</v>
      </c>
      <c r="H6753">
        <v>6.6980000000000004</v>
      </c>
      <c r="I6753" t="s">
        <v>29785</v>
      </c>
      <c r="L6753">
        <v>0</v>
      </c>
      <c r="M6753">
        <v>0</v>
      </c>
      <c r="N6753">
        <v>4</v>
      </c>
      <c r="O6753" t="s">
        <v>11939</v>
      </c>
    </row>
    <row r="6754" spans="1:15">
      <c r="A6754" t="s">
        <v>29786</v>
      </c>
      <c r="B6754" t="s">
        <v>11637</v>
      </c>
      <c r="C6754" t="s">
        <v>29782</v>
      </c>
      <c r="D6754" t="s">
        <v>29787</v>
      </c>
      <c r="E6754" t="b">
        <v>0</v>
      </c>
      <c r="F6754" t="s">
        <v>11610</v>
      </c>
      <c r="L6754">
        <v>0</v>
      </c>
      <c r="M6754">
        <v>0</v>
      </c>
      <c r="N6754">
        <v>0</v>
      </c>
    </row>
    <row r="6755" spans="1:15">
      <c r="A6755" t="s">
        <v>29788</v>
      </c>
      <c r="B6755" t="s">
        <v>12979</v>
      </c>
      <c r="C6755" t="s">
        <v>14344</v>
      </c>
      <c r="D6755" t="s">
        <v>29789</v>
      </c>
      <c r="E6755" t="b">
        <v>0</v>
      </c>
      <c r="F6755" t="s">
        <v>11624</v>
      </c>
      <c r="G6755">
        <v>48.483400000000003</v>
      </c>
      <c r="H6755">
        <v>-108.738</v>
      </c>
      <c r="I6755" t="s">
        <v>29790</v>
      </c>
      <c r="L6755">
        <v>0</v>
      </c>
      <c r="M6755">
        <v>0</v>
      </c>
      <c r="N6755">
        <v>0</v>
      </c>
      <c r="O6755" t="s">
        <v>11944</v>
      </c>
    </row>
    <row r="6756" spans="1:15">
      <c r="A6756" t="s">
        <v>26539</v>
      </c>
      <c r="B6756" t="s">
        <v>6742</v>
      </c>
      <c r="C6756" t="s">
        <v>15584</v>
      </c>
      <c r="D6756" t="s">
        <v>29791</v>
      </c>
      <c r="E6756" t="b">
        <v>0</v>
      </c>
      <c r="F6756" t="s">
        <v>11622</v>
      </c>
      <c r="L6756">
        <v>16</v>
      </c>
      <c r="M6756">
        <v>24</v>
      </c>
      <c r="N6756">
        <v>42</v>
      </c>
    </row>
    <row r="6757" spans="1:15">
      <c r="A6757" t="s">
        <v>24871</v>
      </c>
      <c r="B6757" t="s">
        <v>11644</v>
      </c>
      <c r="C6757" t="s">
        <v>24314</v>
      </c>
      <c r="D6757" t="s">
        <v>29792</v>
      </c>
      <c r="E6757" t="b">
        <v>0</v>
      </c>
      <c r="F6757" t="s">
        <v>11610</v>
      </c>
      <c r="L6757">
        <v>0</v>
      </c>
      <c r="M6757">
        <v>0</v>
      </c>
      <c r="N6757">
        <v>4</v>
      </c>
    </row>
    <row r="6758" spans="1:15">
      <c r="A6758" t="s">
        <v>14061</v>
      </c>
      <c r="B6758" t="s">
        <v>6742</v>
      </c>
      <c r="C6758" t="s">
        <v>22435</v>
      </c>
      <c r="D6758" t="s">
        <v>29793</v>
      </c>
      <c r="E6758" t="b">
        <v>0</v>
      </c>
      <c r="F6758" t="s">
        <v>11624</v>
      </c>
      <c r="G6758">
        <v>6.5210600000000003</v>
      </c>
      <c r="H6758">
        <v>0.16932</v>
      </c>
      <c r="I6758" t="s">
        <v>29794</v>
      </c>
      <c r="L6758">
        <v>0</v>
      </c>
      <c r="M6758">
        <v>0</v>
      </c>
      <c r="N6758">
        <v>2</v>
      </c>
      <c r="O6758" t="s">
        <v>11985</v>
      </c>
    </row>
    <row r="6759" spans="1:15">
      <c r="A6759" t="s">
        <v>29795</v>
      </c>
      <c r="D6759" t="s">
        <v>29796</v>
      </c>
      <c r="E6759" t="b">
        <v>0</v>
      </c>
      <c r="F6759" t="s">
        <v>11624</v>
      </c>
      <c r="G6759">
        <v>-19.5572257</v>
      </c>
      <c r="H6759">
        <v>-57.566322300000003</v>
      </c>
      <c r="L6759">
        <v>0</v>
      </c>
      <c r="M6759">
        <v>0</v>
      </c>
      <c r="N6759">
        <v>0</v>
      </c>
      <c r="O6759" t="s">
        <v>11969</v>
      </c>
    </row>
    <row r="6760" spans="1:15">
      <c r="A6760" t="s">
        <v>29797</v>
      </c>
      <c r="B6760" t="s">
        <v>13360</v>
      </c>
      <c r="C6760" t="s">
        <v>13360</v>
      </c>
      <c r="D6760" t="s">
        <v>29798</v>
      </c>
      <c r="E6760" t="b">
        <v>0</v>
      </c>
      <c r="F6760" t="s">
        <v>11624</v>
      </c>
      <c r="L6760">
        <v>0</v>
      </c>
      <c r="M6760">
        <v>0</v>
      </c>
      <c r="N6760">
        <v>0</v>
      </c>
      <c r="O6760" t="s">
        <v>11774</v>
      </c>
    </row>
    <row r="6761" spans="1:15">
      <c r="A6761" t="s">
        <v>22435</v>
      </c>
      <c r="B6761" t="s">
        <v>6742</v>
      </c>
      <c r="C6761" t="s">
        <v>29799</v>
      </c>
      <c r="D6761" t="s">
        <v>29800</v>
      </c>
      <c r="E6761" t="b">
        <v>0</v>
      </c>
      <c r="F6761" t="s">
        <v>11622</v>
      </c>
      <c r="L6761">
        <v>0</v>
      </c>
      <c r="M6761">
        <v>2</v>
      </c>
      <c r="N6761">
        <v>2</v>
      </c>
    </row>
    <row r="6762" spans="1:15">
      <c r="A6762" t="s">
        <v>29801</v>
      </c>
      <c r="B6762" t="s">
        <v>367</v>
      </c>
      <c r="C6762" t="s">
        <v>29802</v>
      </c>
      <c r="D6762" t="s">
        <v>29803</v>
      </c>
      <c r="E6762" t="b">
        <v>0</v>
      </c>
      <c r="F6762" t="s">
        <v>11622</v>
      </c>
      <c r="L6762">
        <v>4</v>
      </c>
      <c r="M6762">
        <v>7</v>
      </c>
      <c r="N6762">
        <v>18</v>
      </c>
    </row>
    <row r="6763" spans="1:15">
      <c r="A6763" t="s">
        <v>2756</v>
      </c>
      <c r="B6763" t="s">
        <v>11637</v>
      </c>
      <c r="C6763" t="s">
        <v>2757</v>
      </c>
      <c r="D6763" t="s">
        <v>29804</v>
      </c>
      <c r="E6763" t="b">
        <v>0</v>
      </c>
      <c r="F6763" t="s">
        <v>11624</v>
      </c>
      <c r="G6763">
        <v>16.304874999999999</v>
      </c>
      <c r="H6763">
        <v>-61.405914000000003</v>
      </c>
      <c r="I6763" t="s">
        <v>2758</v>
      </c>
      <c r="L6763">
        <v>0</v>
      </c>
      <c r="M6763">
        <v>0</v>
      </c>
      <c r="N6763">
        <v>2</v>
      </c>
      <c r="O6763" t="s">
        <v>29805</v>
      </c>
    </row>
    <row r="6764" spans="1:15">
      <c r="A6764" t="s">
        <v>978</v>
      </c>
      <c r="D6764" t="s">
        <v>29806</v>
      </c>
      <c r="E6764" t="b">
        <v>0</v>
      </c>
      <c r="F6764" t="s">
        <v>11622</v>
      </c>
      <c r="L6764">
        <v>2</v>
      </c>
      <c r="M6764">
        <v>5</v>
      </c>
      <c r="N6764">
        <v>12</v>
      </c>
    </row>
    <row r="6765" spans="1:15">
      <c r="A6765" t="s">
        <v>23592</v>
      </c>
      <c r="B6765" t="s">
        <v>978</v>
      </c>
      <c r="C6765" t="s">
        <v>978</v>
      </c>
      <c r="D6765" t="s">
        <v>29807</v>
      </c>
      <c r="E6765" t="b">
        <v>0</v>
      </c>
      <c r="F6765" t="s">
        <v>11622</v>
      </c>
      <c r="L6765">
        <v>1</v>
      </c>
      <c r="M6765">
        <v>3</v>
      </c>
      <c r="N6765">
        <v>12</v>
      </c>
    </row>
    <row r="6766" spans="1:15">
      <c r="A6766" t="s">
        <v>29808</v>
      </c>
      <c r="B6766" t="s">
        <v>978</v>
      </c>
      <c r="C6766" t="s">
        <v>23592</v>
      </c>
      <c r="D6766" t="s">
        <v>29809</v>
      </c>
      <c r="E6766" t="b">
        <v>0</v>
      </c>
      <c r="F6766" t="s">
        <v>11622</v>
      </c>
      <c r="L6766">
        <v>0</v>
      </c>
      <c r="M6766">
        <v>2</v>
      </c>
      <c r="N6766">
        <v>3</v>
      </c>
    </row>
    <row r="6767" spans="1:15">
      <c r="A6767" t="s">
        <v>979</v>
      </c>
      <c r="B6767" t="s">
        <v>978</v>
      </c>
      <c r="C6767" t="s">
        <v>29808</v>
      </c>
      <c r="D6767" t="s">
        <v>977</v>
      </c>
      <c r="E6767" t="b">
        <v>0</v>
      </c>
      <c r="F6767" t="s">
        <v>11624</v>
      </c>
      <c r="G6767">
        <v>5.8173599999999999</v>
      </c>
      <c r="H6767">
        <v>-68.983900000000006</v>
      </c>
      <c r="I6767" t="s">
        <v>29810</v>
      </c>
      <c r="L6767">
        <v>0</v>
      </c>
      <c r="M6767">
        <v>0</v>
      </c>
      <c r="N6767">
        <v>3</v>
      </c>
      <c r="O6767" t="s">
        <v>17099</v>
      </c>
    </row>
    <row r="6768" spans="1:15">
      <c r="A6768" t="s">
        <v>29811</v>
      </c>
      <c r="D6768" t="s">
        <v>29812</v>
      </c>
      <c r="E6768" t="b">
        <v>0</v>
      </c>
      <c r="F6768" t="s">
        <v>11624</v>
      </c>
      <c r="G6768">
        <v>24.166666666699999</v>
      </c>
      <c r="H6768">
        <v>-110.3</v>
      </c>
      <c r="L6768">
        <v>0</v>
      </c>
      <c r="M6768">
        <v>0</v>
      </c>
      <c r="N6768">
        <v>0</v>
      </c>
      <c r="O6768" t="s">
        <v>11883</v>
      </c>
    </row>
    <row r="6769" spans="1:15">
      <c r="A6769" t="s">
        <v>29813</v>
      </c>
      <c r="B6769" t="s">
        <v>13360</v>
      </c>
      <c r="C6769" t="s">
        <v>13360</v>
      </c>
      <c r="D6769" t="s">
        <v>29814</v>
      </c>
      <c r="E6769" t="b">
        <v>0</v>
      </c>
      <c r="F6769" t="s">
        <v>11624</v>
      </c>
      <c r="L6769">
        <v>0</v>
      </c>
      <c r="M6769">
        <v>0</v>
      </c>
      <c r="N6769">
        <v>0</v>
      </c>
      <c r="O6769" t="s">
        <v>11774</v>
      </c>
    </row>
    <row r="6770" spans="1:15">
      <c r="A6770" t="s">
        <v>11770</v>
      </c>
      <c r="D6770" t="s">
        <v>29815</v>
      </c>
      <c r="E6770" t="b">
        <v>0</v>
      </c>
      <c r="F6770" t="s">
        <v>11622</v>
      </c>
      <c r="L6770">
        <v>3</v>
      </c>
      <c r="M6770">
        <v>5</v>
      </c>
      <c r="N6770">
        <v>4</v>
      </c>
    </row>
    <row r="6771" spans="1:15">
      <c r="A6771" t="s">
        <v>11771</v>
      </c>
      <c r="B6771" t="s">
        <v>11770</v>
      </c>
      <c r="C6771" t="s">
        <v>11770</v>
      </c>
      <c r="D6771" t="s">
        <v>29816</v>
      </c>
      <c r="E6771" t="b">
        <v>0</v>
      </c>
      <c r="F6771" t="s">
        <v>11622</v>
      </c>
      <c r="L6771">
        <v>2</v>
      </c>
      <c r="M6771">
        <v>4</v>
      </c>
      <c r="N6771">
        <v>4</v>
      </c>
    </row>
    <row r="6772" spans="1:15">
      <c r="A6772" t="s">
        <v>29817</v>
      </c>
      <c r="B6772" t="s">
        <v>11912</v>
      </c>
      <c r="C6772" t="s">
        <v>29818</v>
      </c>
      <c r="D6772" t="s">
        <v>29819</v>
      </c>
      <c r="E6772" t="b">
        <v>0</v>
      </c>
      <c r="F6772" t="s">
        <v>11610</v>
      </c>
      <c r="G6772">
        <v>-4.6946099999999999</v>
      </c>
      <c r="H6772">
        <v>-45.708100000000002</v>
      </c>
      <c r="I6772" t="s">
        <v>29820</v>
      </c>
      <c r="L6772">
        <v>0</v>
      </c>
      <c r="M6772">
        <v>0</v>
      </c>
      <c r="N6772">
        <v>3</v>
      </c>
      <c r="O6772" t="s">
        <v>11969</v>
      </c>
    </row>
    <row r="6773" spans="1:15">
      <c r="A6773" t="s">
        <v>13612</v>
      </c>
      <c r="B6773" t="s">
        <v>11912</v>
      </c>
      <c r="C6773" t="s">
        <v>15158</v>
      </c>
      <c r="D6773" t="s">
        <v>29821</v>
      </c>
      <c r="E6773" t="b">
        <v>0</v>
      </c>
      <c r="F6773" t="s">
        <v>11624</v>
      </c>
      <c r="G6773">
        <v>-3.93574</v>
      </c>
      <c r="H6773">
        <v>-46.368299999999998</v>
      </c>
      <c r="I6773" t="s">
        <v>29822</v>
      </c>
      <c r="L6773">
        <v>0</v>
      </c>
      <c r="M6773">
        <v>0</v>
      </c>
      <c r="N6773">
        <v>2</v>
      </c>
      <c r="O6773" t="s">
        <v>11969</v>
      </c>
    </row>
    <row r="6774" spans="1:15">
      <c r="A6774" t="s">
        <v>491</v>
      </c>
      <c r="B6774" t="s">
        <v>11894</v>
      </c>
      <c r="C6774" t="s">
        <v>14391</v>
      </c>
      <c r="D6774" t="s">
        <v>29823</v>
      </c>
      <c r="E6774" t="b">
        <v>0</v>
      </c>
      <c r="F6774" t="s">
        <v>11622</v>
      </c>
      <c r="L6774">
        <v>0</v>
      </c>
      <c r="M6774">
        <v>2</v>
      </c>
      <c r="N6774">
        <v>2</v>
      </c>
    </row>
    <row r="6775" spans="1:15">
      <c r="A6775" t="s">
        <v>15235</v>
      </c>
      <c r="B6775" t="s">
        <v>11912</v>
      </c>
      <c r="C6775" t="s">
        <v>29824</v>
      </c>
      <c r="D6775" t="s">
        <v>29825</v>
      </c>
      <c r="E6775" t="b">
        <v>0</v>
      </c>
      <c r="F6775" t="s">
        <v>11622</v>
      </c>
      <c r="L6775">
        <v>2</v>
      </c>
      <c r="M6775">
        <v>5</v>
      </c>
      <c r="N6775">
        <v>2</v>
      </c>
    </row>
    <row r="6776" spans="1:15">
      <c r="A6776" t="s">
        <v>15158</v>
      </c>
      <c r="B6776" t="s">
        <v>11912</v>
      </c>
      <c r="C6776" t="s">
        <v>15235</v>
      </c>
      <c r="D6776" t="s">
        <v>29826</v>
      </c>
      <c r="E6776" t="b">
        <v>0</v>
      </c>
      <c r="F6776" t="s">
        <v>11622</v>
      </c>
      <c r="L6776">
        <v>0</v>
      </c>
      <c r="M6776">
        <v>2</v>
      </c>
      <c r="N6776">
        <v>2</v>
      </c>
    </row>
    <row r="6777" spans="1:15">
      <c r="A6777" t="s">
        <v>29827</v>
      </c>
      <c r="B6777" t="s">
        <v>12241</v>
      </c>
      <c r="C6777" t="s">
        <v>12241</v>
      </c>
      <c r="D6777" t="s">
        <v>29828</v>
      </c>
      <c r="E6777" t="b">
        <v>0</v>
      </c>
      <c r="F6777" t="s">
        <v>11624</v>
      </c>
      <c r="L6777">
        <v>0</v>
      </c>
      <c r="M6777">
        <v>0</v>
      </c>
      <c r="N6777">
        <v>0</v>
      </c>
      <c r="O6777" t="s">
        <v>11944</v>
      </c>
    </row>
    <row r="6778" spans="1:15">
      <c r="A6778" t="s">
        <v>29829</v>
      </c>
      <c r="D6778" t="s">
        <v>29830</v>
      </c>
      <c r="E6778" t="b">
        <v>0</v>
      </c>
      <c r="F6778" t="s">
        <v>11624</v>
      </c>
      <c r="G6778">
        <v>8.2351027000000006</v>
      </c>
      <c r="H6778">
        <v>-67.4018753</v>
      </c>
      <c r="L6778">
        <v>0</v>
      </c>
      <c r="M6778">
        <v>0</v>
      </c>
      <c r="N6778">
        <v>2</v>
      </c>
      <c r="O6778" t="s">
        <v>16711</v>
      </c>
    </row>
    <row r="6779" spans="1:15">
      <c r="A6779" t="s">
        <v>29831</v>
      </c>
      <c r="B6779" t="s">
        <v>15304</v>
      </c>
      <c r="C6779" t="s">
        <v>23250</v>
      </c>
      <c r="D6779" t="s">
        <v>29832</v>
      </c>
      <c r="E6779" t="b">
        <v>0</v>
      </c>
      <c r="F6779" t="s">
        <v>11624</v>
      </c>
      <c r="G6779">
        <v>2.5584899999999999</v>
      </c>
      <c r="H6779">
        <v>-76.581999999999994</v>
      </c>
      <c r="I6779" t="s">
        <v>29833</v>
      </c>
      <c r="L6779">
        <v>0</v>
      </c>
      <c r="M6779">
        <v>0</v>
      </c>
      <c r="N6779">
        <v>0</v>
      </c>
      <c r="O6779" t="s">
        <v>11898</v>
      </c>
    </row>
    <row r="6780" spans="1:15">
      <c r="A6780" t="s">
        <v>29834</v>
      </c>
      <c r="B6780" t="s">
        <v>11644</v>
      </c>
      <c r="C6780" t="s">
        <v>27322</v>
      </c>
      <c r="D6780" t="s">
        <v>29835</v>
      </c>
      <c r="E6780" t="b">
        <v>0</v>
      </c>
      <c r="F6780" t="s">
        <v>11610</v>
      </c>
      <c r="L6780">
        <v>0</v>
      </c>
      <c r="M6780">
        <v>0</v>
      </c>
      <c r="N6780">
        <v>0</v>
      </c>
    </row>
    <row r="6781" spans="1:15">
      <c r="A6781" t="s">
        <v>27322</v>
      </c>
      <c r="B6781" t="s">
        <v>11644</v>
      </c>
      <c r="C6781" t="s">
        <v>29836</v>
      </c>
      <c r="D6781" t="s">
        <v>29837</v>
      </c>
      <c r="E6781" t="b">
        <v>0</v>
      </c>
      <c r="F6781" t="s">
        <v>11624</v>
      </c>
      <c r="G6781">
        <v>31.5655</v>
      </c>
      <c r="H6781">
        <v>101.928</v>
      </c>
      <c r="I6781" t="s">
        <v>29838</v>
      </c>
      <c r="L6781">
        <v>0</v>
      </c>
      <c r="M6781">
        <v>0</v>
      </c>
      <c r="N6781">
        <v>8</v>
      </c>
      <c r="O6781" t="s">
        <v>11905</v>
      </c>
    </row>
    <row r="6782" spans="1:15">
      <c r="A6782" t="s">
        <v>26776</v>
      </c>
      <c r="B6782" t="s">
        <v>13821</v>
      </c>
      <c r="C6782" t="s">
        <v>13821</v>
      </c>
      <c r="D6782" t="s">
        <v>29839</v>
      </c>
      <c r="E6782" t="b">
        <v>0</v>
      </c>
      <c r="F6782" t="s">
        <v>11624</v>
      </c>
      <c r="G6782">
        <v>-21.9803</v>
      </c>
      <c r="H6782">
        <v>-58.065399999999997</v>
      </c>
      <c r="I6782" t="s">
        <v>29840</v>
      </c>
      <c r="L6782">
        <v>0</v>
      </c>
      <c r="M6782">
        <v>0</v>
      </c>
      <c r="N6782">
        <v>2</v>
      </c>
      <c r="O6782" t="s">
        <v>29841</v>
      </c>
    </row>
    <row r="6783" spans="1:15">
      <c r="A6783" t="s">
        <v>2974</v>
      </c>
      <c r="B6783" t="s">
        <v>2975</v>
      </c>
      <c r="C6783" t="s">
        <v>29842</v>
      </c>
      <c r="D6783" t="s">
        <v>29843</v>
      </c>
      <c r="E6783" t="b">
        <v>0</v>
      </c>
      <c r="F6783" t="s">
        <v>11624</v>
      </c>
      <c r="G6783">
        <v>1.0755399999999999</v>
      </c>
      <c r="H6783">
        <v>-69.570499999999996</v>
      </c>
      <c r="I6783" t="s">
        <v>2976</v>
      </c>
      <c r="L6783">
        <v>0</v>
      </c>
      <c r="M6783">
        <v>0</v>
      </c>
      <c r="N6783">
        <v>0</v>
      </c>
      <c r="O6783" t="s">
        <v>21122</v>
      </c>
    </row>
    <row r="6784" spans="1:15">
      <c r="A6784" t="s">
        <v>29844</v>
      </c>
      <c r="B6784" t="s">
        <v>11894</v>
      </c>
      <c r="C6784" t="s">
        <v>22283</v>
      </c>
      <c r="D6784" t="s">
        <v>29845</v>
      </c>
      <c r="E6784" t="b">
        <v>0</v>
      </c>
      <c r="F6784" t="s">
        <v>11610</v>
      </c>
      <c r="G6784">
        <v>-19.166699999999999</v>
      </c>
      <c r="H6784">
        <v>-54.033299999999997</v>
      </c>
      <c r="I6784" t="s">
        <v>29846</v>
      </c>
      <c r="L6784">
        <v>0</v>
      </c>
      <c r="M6784">
        <v>0</v>
      </c>
      <c r="N6784">
        <v>0</v>
      </c>
      <c r="O6784" t="s">
        <v>11969</v>
      </c>
    </row>
    <row r="6785" spans="1:15">
      <c r="A6785" t="s">
        <v>29847</v>
      </c>
      <c r="B6785" t="s">
        <v>11607</v>
      </c>
      <c r="C6785" t="s">
        <v>29848</v>
      </c>
      <c r="D6785" t="s">
        <v>29849</v>
      </c>
      <c r="E6785" t="b">
        <v>0</v>
      </c>
      <c r="F6785" t="s">
        <v>11624</v>
      </c>
      <c r="G6785">
        <v>28</v>
      </c>
      <c r="H6785">
        <v>-15.5</v>
      </c>
      <c r="I6785" t="s">
        <v>29850</v>
      </c>
      <c r="L6785">
        <v>0</v>
      </c>
      <c r="M6785">
        <v>0</v>
      </c>
      <c r="N6785">
        <v>0</v>
      </c>
      <c r="O6785" t="s">
        <v>13707</v>
      </c>
    </row>
    <row r="6786" spans="1:15">
      <c r="A6786" t="s">
        <v>29851</v>
      </c>
      <c r="B6786" t="s">
        <v>6742</v>
      </c>
      <c r="C6786" t="s">
        <v>21846</v>
      </c>
      <c r="D6786" t="s">
        <v>29852</v>
      </c>
      <c r="E6786" t="b">
        <v>0</v>
      </c>
      <c r="F6786" t="s">
        <v>11622</v>
      </c>
      <c r="L6786">
        <v>13</v>
      </c>
      <c r="M6786">
        <v>19</v>
      </c>
      <c r="N6786">
        <v>15</v>
      </c>
    </row>
    <row r="6787" spans="1:15">
      <c r="A6787" t="s">
        <v>29853</v>
      </c>
      <c r="B6787" t="s">
        <v>11644</v>
      </c>
      <c r="C6787" t="s">
        <v>21071</v>
      </c>
      <c r="D6787" t="s">
        <v>29854</v>
      </c>
      <c r="E6787" t="b">
        <v>0</v>
      </c>
      <c r="F6787" t="s">
        <v>11610</v>
      </c>
      <c r="G6787">
        <v>23.125350300000001</v>
      </c>
      <c r="H6787">
        <v>112.9476548</v>
      </c>
      <c r="L6787">
        <v>0</v>
      </c>
      <c r="M6787">
        <v>0</v>
      </c>
      <c r="N6787">
        <v>0</v>
      </c>
    </row>
    <row r="6788" spans="1:15">
      <c r="A6788" t="s">
        <v>29855</v>
      </c>
      <c r="B6788" t="s">
        <v>11644</v>
      </c>
      <c r="C6788" t="s">
        <v>21072</v>
      </c>
      <c r="D6788" t="s">
        <v>29856</v>
      </c>
      <c r="E6788" t="b">
        <v>0</v>
      </c>
      <c r="F6788" t="s">
        <v>11610</v>
      </c>
      <c r="L6788">
        <v>0</v>
      </c>
      <c r="M6788">
        <v>0</v>
      </c>
      <c r="N6788">
        <v>0</v>
      </c>
    </row>
    <row r="6789" spans="1:15">
      <c r="A6789" t="s">
        <v>29857</v>
      </c>
      <c r="B6789" t="s">
        <v>11912</v>
      </c>
      <c r="C6789" t="s">
        <v>29858</v>
      </c>
      <c r="D6789" t="s">
        <v>29859</v>
      </c>
      <c r="E6789" t="b">
        <v>0</v>
      </c>
      <c r="F6789" t="s">
        <v>11624</v>
      </c>
      <c r="G6789">
        <v>-15.8247</v>
      </c>
      <c r="H6789">
        <v>-61.693399999999997</v>
      </c>
      <c r="I6789" t="s">
        <v>29860</v>
      </c>
      <c r="L6789">
        <v>0</v>
      </c>
      <c r="M6789">
        <v>0</v>
      </c>
      <c r="N6789">
        <v>0</v>
      </c>
      <c r="O6789" t="s">
        <v>14185</v>
      </c>
    </row>
    <row r="6790" spans="1:15">
      <c r="A6790" t="s">
        <v>16722</v>
      </c>
      <c r="B6790" t="s">
        <v>11894</v>
      </c>
      <c r="C6790" t="s">
        <v>29861</v>
      </c>
      <c r="D6790" t="s">
        <v>29862</v>
      </c>
      <c r="E6790" t="b">
        <v>0</v>
      </c>
      <c r="F6790" t="s">
        <v>11624</v>
      </c>
      <c r="G6790">
        <v>1.8083499999999999</v>
      </c>
      <c r="H6790">
        <v>-66.922505000000001</v>
      </c>
      <c r="I6790" t="s">
        <v>29863</v>
      </c>
      <c r="L6790">
        <v>0</v>
      </c>
      <c r="M6790">
        <v>0</v>
      </c>
      <c r="N6790">
        <v>2</v>
      </c>
      <c r="O6790" t="s">
        <v>16716</v>
      </c>
    </row>
    <row r="6791" spans="1:15">
      <c r="A6791" t="s">
        <v>29864</v>
      </c>
      <c r="B6791" t="s">
        <v>11894</v>
      </c>
      <c r="C6791" t="s">
        <v>29865</v>
      </c>
      <c r="D6791" t="s">
        <v>29866</v>
      </c>
      <c r="E6791" t="b">
        <v>0</v>
      </c>
      <c r="F6791" t="s">
        <v>11624</v>
      </c>
      <c r="G6791">
        <v>-0.25</v>
      </c>
      <c r="H6791">
        <v>-71.650000000000006</v>
      </c>
      <c r="L6791">
        <v>0</v>
      </c>
      <c r="M6791">
        <v>0</v>
      </c>
      <c r="N6791">
        <v>0</v>
      </c>
      <c r="O6791" t="s">
        <v>11898</v>
      </c>
    </row>
    <row r="6792" spans="1:15">
      <c r="A6792" t="s">
        <v>29867</v>
      </c>
      <c r="B6792" t="s">
        <v>11981</v>
      </c>
      <c r="C6792" t="s">
        <v>12200</v>
      </c>
      <c r="D6792" t="s">
        <v>29868</v>
      </c>
      <c r="E6792" t="b">
        <v>0</v>
      </c>
      <c r="F6792" t="s">
        <v>11624</v>
      </c>
      <c r="G6792">
        <v>14.503399999999999</v>
      </c>
      <c r="H6792">
        <v>-90.566699999999997</v>
      </c>
      <c r="I6792" t="s">
        <v>29869</v>
      </c>
      <c r="L6792">
        <v>0</v>
      </c>
      <c r="M6792">
        <v>0</v>
      </c>
      <c r="N6792">
        <v>0</v>
      </c>
      <c r="O6792" t="s">
        <v>11927</v>
      </c>
    </row>
    <row r="6793" spans="1:15">
      <c r="A6793" t="s">
        <v>29870</v>
      </c>
      <c r="D6793" t="s">
        <v>29871</v>
      </c>
      <c r="E6793" t="b">
        <v>0</v>
      </c>
      <c r="F6793" t="s">
        <v>11624</v>
      </c>
      <c r="G6793">
        <v>-17.869599999999998</v>
      </c>
      <c r="H6793">
        <v>-57.289700000000003</v>
      </c>
      <c r="I6793" t="s">
        <v>29872</v>
      </c>
      <c r="L6793">
        <v>0</v>
      </c>
      <c r="M6793">
        <v>0</v>
      </c>
      <c r="N6793">
        <v>0</v>
      </c>
      <c r="O6793" t="s">
        <v>11969</v>
      </c>
    </row>
    <row r="6794" spans="1:15">
      <c r="A6794" t="s">
        <v>29873</v>
      </c>
      <c r="B6794" t="s">
        <v>141</v>
      </c>
      <c r="C6794" t="s">
        <v>29874</v>
      </c>
      <c r="D6794" t="s">
        <v>29875</v>
      </c>
      <c r="E6794" t="b">
        <v>0</v>
      </c>
      <c r="F6794" t="s">
        <v>11610</v>
      </c>
      <c r="L6794">
        <v>0</v>
      </c>
      <c r="M6794">
        <v>0</v>
      </c>
      <c r="N6794">
        <v>0</v>
      </c>
    </row>
    <row r="6795" spans="1:15">
      <c r="A6795" t="s">
        <v>29876</v>
      </c>
      <c r="B6795" t="s">
        <v>978</v>
      </c>
      <c r="C6795" t="s">
        <v>978</v>
      </c>
      <c r="D6795" t="s">
        <v>29877</v>
      </c>
      <c r="E6795" t="b">
        <v>0</v>
      </c>
      <c r="F6795" t="s">
        <v>11624</v>
      </c>
      <c r="G6795">
        <v>2.8969</v>
      </c>
      <c r="H6795">
        <v>-71.843999999999994</v>
      </c>
      <c r="I6795" t="s">
        <v>29878</v>
      </c>
      <c r="L6795">
        <v>0</v>
      </c>
      <c r="M6795">
        <v>0</v>
      </c>
      <c r="N6795">
        <v>0</v>
      </c>
      <c r="O6795" t="s">
        <v>11898</v>
      </c>
    </row>
    <row r="6796" spans="1:15">
      <c r="A6796" t="s">
        <v>20092</v>
      </c>
      <c r="B6796" t="s">
        <v>6455</v>
      </c>
      <c r="C6796" t="s">
        <v>26400</v>
      </c>
      <c r="D6796" t="s">
        <v>29879</v>
      </c>
      <c r="E6796" t="b">
        <v>0</v>
      </c>
      <c r="F6796" t="s">
        <v>11622</v>
      </c>
      <c r="L6796">
        <v>0</v>
      </c>
      <c r="M6796">
        <v>2</v>
      </c>
      <c r="N6796">
        <v>4</v>
      </c>
    </row>
    <row r="6797" spans="1:15">
      <c r="A6797" t="s">
        <v>29880</v>
      </c>
      <c r="B6797" t="s">
        <v>12751</v>
      </c>
      <c r="C6797" t="s">
        <v>29881</v>
      </c>
      <c r="D6797" t="s">
        <v>29882</v>
      </c>
      <c r="E6797" t="b">
        <v>0</v>
      </c>
      <c r="F6797" t="s">
        <v>11624</v>
      </c>
      <c r="G6797">
        <v>27.356999999999999</v>
      </c>
      <c r="H6797">
        <v>-108.279</v>
      </c>
      <c r="L6797">
        <v>0</v>
      </c>
      <c r="M6797">
        <v>0</v>
      </c>
      <c r="N6797">
        <v>0</v>
      </c>
      <c r="O6797" t="s">
        <v>11883</v>
      </c>
    </row>
    <row r="6798" spans="1:15">
      <c r="A6798" t="s">
        <v>29883</v>
      </c>
      <c r="B6798" t="s">
        <v>13571</v>
      </c>
      <c r="C6798" t="s">
        <v>13572</v>
      </c>
      <c r="D6798" t="s">
        <v>29884</v>
      </c>
      <c r="E6798" t="b">
        <v>0</v>
      </c>
      <c r="F6798" t="s">
        <v>11610</v>
      </c>
      <c r="L6798">
        <v>0</v>
      </c>
      <c r="M6798">
        <v>0</v>
      </c>
      <c r="N6798">
        <v>0</v>
      </c>
    </row>
    <row r="6799" spans="1:15">
      <c r="A6799" t="s">
        <v>29885</v>
      </c>
      <c r="B6799" t="s">
        <v>12254</v>
      </c>
      <c r="C6799" t="s">
        <v>12255</v>
      </c>
      <c r="D6799" t="s">
        <v>29886</v>
      </c>
      <c r="E6799" t="b">
        <v>0</v>
      </c>
      <c r="F6799" t="s">
        <v>11610</v>
      </c>
      <c r="L6799">
        <v>0</v>
      </c>
      <c r="M6799">
        <v>0</v>
      </c>
      <c r="N6799">
        <v>0</v>
      </c>
    </row>
    <row r="6800" spans="1:15">
      <c r="A6800" t="s">
        <v>29887</v>
      </c>
      <c r="B6800" t="s">
        <v>367</v>
      </c>
      <c r="C6800" t="s">
        <v>16484</v>
      </c>
      <c r="D6800" t="s">
        <v>29888</v>
      </c>
      <c r="E6800" t="b">
        <v>0</v>
      </c>
      <c r="F6800" t="s">
        <v>11610</v>
      </c>
      <c r="L6800">
        <v>0</v>
      </c>
      <c r="M6800">
        <v>0</v>
      </c>
      <c r="N6800">
        <v>0</v>
      </c>
    </row>
    <row r="6801" spans="1:15">
      <c r="A6801" t="s">
        <v>29889</v>
      </c>
      <c r="B6801" t="s">
        <v>6742</v>
      </c>
      <c r="C6801" t="s">
        <v>14309</v>
      </c>
      <c r="D6801" t="s">
        <v>29890</v>
      </c>
      <c r="E6801" t="b">
        <v>0</v>
      </c>
      <c r="F6801" t="s">
        <v>11610</v>
      </c>
      <c r="L6801">
        <v>0</v>
      </c>
      <c r="M6801">
        <v>0</v>
      </c>
      <c r="N6801">
        <v>0</v>
      </c>
    </row>
    <row r="6802" spans="1:15">
      <c r="A6802" t="s">
        <v>29891</v>
      </c>
      <c r="B6802" t="s">
        <v>6742</v>
      </c>
      <c r="C6802" t="s">
        <v>16003</v>
      </c>
      <c r="D6802" t="s">
        <v>29892</v>
      </c>
      <c r="E6802" t="b">
        <v>0</v>
      </c>
      <c r="F6802" t="s">
        <v>11624</v>
      </c>
      <c r="G6802">
        <v>12.56</v>
      </c>
      <c r="H6802">
        <v>-17.190000000000001</v>
      </c>
      <c r="L6802">
        <v>0</v>
      </c>
      <c r="M6802">
        <v>0</v>
      </c>
      <c r="N6802">
        <v>0</v>
      </c>
      <c r="O6802" t="s">
        <v>11693</v>
      </c>
    </row>
    <row r="6803" spans="1:15">
      <c r="A6803" t="s">
        <v>29893</v>
      </c>
      <c r="B6803" t="s">
        <v>6742</v>
      </c>
      <c r="C6803" t="s">
        <v>29894</v>
      </c>
      <c r="D6803" t="s">
        <v>29895</v>
      </c>
      <c r="E6803" t="b">
        <v>0</v>
      </c>
      <c r="F6803" t="s">
        <v>11610</v>
      </c>
      <c r="L6803">
        <v>0</v>
      </c>
      <c r="M6803">
        <v>0</v>
      </c>
      <c r="N6803">
        <v>0</v>
      </c>
    </row>
    <row r="6804" spans="1:15">
      <c r="A6804" t="s">
        <v>29896</v>
      </c>
      <c r="B6804" t="s">
        <v>18680</v>
      </c>
      <c r="C6804" t="s">
        <v>18681</v>
      </c>
      <c r="D6804" t="s">
        <v>29897</v>
      </c>
      <c r="E6804" t="b">
        <v>0</v>
      </c>
      <c r="F6804" t="s">
        <v>11610</v>
      </c>
      <c r="G6804">
        <v>-17.420000000000002</v>
      </c>
      <c r="H6804">
        <v>134.72999999999999</v>
      </c>
      <c r="L6804">
        <v>0</v>
      </c>
      <c r="M6804">
        <v>0</v>
      </c>
      <c r="N6804">
        <v>2</v>
      </c>
      <c r="O6804" t="s">
        <v>12107</v>
      </c>
    </row>
    <row r="6805" spans="1:15">
      <c r="A6805" t="s">
        <v>29898</v>
      </c>
      <c r="B6805" t="s">
        <v>18680</v>
      </c>
      <c r="C6805" t="s">
        <v>29896</v>
      </c>
      <c r="D6805" t="s">
        <v>29899</v>
      </c>
      <c r="E6805" t="b">
        <v>0</v>
      </c>
      <c r="F6805" t="s">
        <v>11610</v>
      </c>
      <c r="L6805">
        <v>0</v>
      </c>
      <c r="M6805">
        <v>0</v>
      </c>
      <c r="N6805">
        <v>0</v>
      </c>
    </row>
    <row r="6806" spans="1:15">
      <c r="A6806" t="s">
        <v>29900</v>
      </c>
      <c r="B6806" t="s">
        <v>10597</v>
      </c>
      <c r="C6806" t="s">
        <v>29901</v>
      </c>
      <c r="D6806" t="s">
        <v>29902</v>
      </c>
      <c r="E6806" t="b">
        <v>0</v>
      </c>
      <c r="F6806" t="s">
        <v>11624</v>
      </c>
      <c r="G6806">
        <v>-10.916135990000001</v>
      </c>
      <c r="H6806">
        <v>142.5768928</v>
      </c>
      <c r="I6806" t="s">
        <v>29903</v>
      </c>
      <c r="L6806">
        <v>0</v>
      </c>
      <c r="M6806">
        <v>0</v>
      </c>
      <c r="N6806">
        <v>0</v>
      </c>
      <c r="O6806" t="s">
        <v>12107</v>
      </c>
    </row>
    <row r="6807" spans="1:15">
      <c r="A6807" t="s">
        <v>29904</v>
      </c>
      <c r="B6807" t="s">
        <v>18680</v>
      </c>
      <c r="C6807" t="s">
        <v>18680</v>
      </c>
      <c r="D6807" t="s">
        <v>29905</v>
      </c>
      <c r="E6807" t="b">
        <v>0</v>
      </c>
      <c r="F6807" t="s">
        <v>11622</v>
      </c>
      <c r="L6807">
        <v>0</v>
      </c>
      <c r="M6807">
        <v>2</v>
      </c>
      <c r="N6807">
        <v>4</v>
      </c>
    </row>
    <row r="6808" spans="1:15">
      <c r="A6808" t="s">
        <v>29901</v>
      </c>
      <c r="B6808" t="s">
        <v>10597</v>
      </c>
      <c r="C6808" t="s">
        <v>12986</v>
      </c>
      <c r="D6808" t="s">
        <v>29906</v>
      </c>
      <c r="E6808" t="b">
        <v>0</v>
      </c>
      <c r="F6808" t="s">
        <v>11622</v>
      </c>
      <c r="L6808">
        <v>3</v>
      </c>
      <c r="M6808">
        <v>5</v>
      </c>
      <c r="N6808">
        <v>0</v>
      </c>
    </row>
    <row r="6809" spans="1:15">
      <c r="A6809" t="s">
        <v>29907</v>
      </c>
      <c r="B6809" t="s">
        <v>6742</v>
      </c>
      <c r="C6809" t="s">
        <v>19532</v>
      </c>
      <c r="D6809" t="s">
        <v>29908</v>
      </c>
      <c r="E6809" t="b">
        <v>0</v>
      </c>
      <c r="F6809" t="s">
        <v>11610</v>
      </c>
      <c r="L6809">
        <v>0</v>
      </c>
      <c r="M6809">
        <v>0</v>
      </c>
      <c r="N6809">
        <v>0</v>
      </c>
    </row>
    <row r="6810" spans="1:15">
      <c r="A6810" t="s">
        <v>27666</v>
      </c>
      <c r="B6810" t="s">
        <v>11607</v>
      </c>
      <c r="C6810" t="s">
        <v>27662</v>
      </c>
      <c r="D6810" t="s">
        <v>29909</v>
      </c>
      <c r="E6810" t="b">
        <v>0</v>
      </c>
      <c r="F6810" t="s">
        <v>11624</v>
      </c>
      <c r="G6810">
        <v>10.213800000000001</v>
      </c>
      <c r="H6810">
        <v>13.403</v>
      </c>
      <c r="I6810" t="s">
        <v>29910</v>
      </c>
      <c r="L6810">
        <v>0</v>
      </c>
      <c r="M6810">
        <v>0</v>
      </c>
      <c r="N6810">
        <v>4</v>
      </c>
      <c r="O6810" t="s">
        <v>11802</v>
      </c>
    </row>
    <row r="6811" spans="1:15">
      <c r="A6811" t="s">
        <v>29911</v>
      </c>
      <c r="B6811" t="s">
        <v>11607</v>
      </c>
      <c r="C6811" t="s">
        <v>15660</v>
      </c>
      <c r="D6811" t="s">
        <v>29912</v>
      </c>
      <c r="E6811" t="b">
        <v>0</v>
      </c>
      <c r="F6811" t="s">
        <v>11622</v>
      </c>
      <c r="L6811">
        <v>4</v>
      </c>
      <c r="M6811">
        <v>8</v>
      </c>
      <c r="N6811">
        <v>18</v>
      </c>
    </row>
    <row r="6812" spans="1:15">
      <c r="A6812" t="s">
        <v>27674</v>
      </c>
      <c r="B6812" t="s">
        <v>11607</v>
      </c>
      <c r="C6812" t="s">
        <v>29911</v>
      </c>
      <c r="D6812" t="s">
        <v>29913</v>
      </c>
      <c r="E6812" t="b">
        <v>0</v>
      </c>
      <c r="F6812" t="s">
        <v>11622</v>
      </c>
      <c r="L6812">
        <v>1</v>
      </c>
      <c r="M6812">
        <v>4</v>
      </c>
      <c r="N6812">
        <v>9</v>
      </c>
    </row>
    <row r="6813" spans="1:15">
      <c r="A6813" t="s">
        <v>29914</v>
      </c>
      <c r="B6813" t="s">
        <v>6742</v>
      </c>
      <c r="C6813" t="s">
        <v>29915</v>
      </c>
      <c r="D6813" t="s">
        <v>29916</v>
      </c>
      <c r="E6813" t="b">
        <v>0</v>
      </c>
      <c r="F6813" t="s">
        <v>11610</v>
      </c>
      <c r="L6813">
        <v>0</v>
      </c>
      <c r="M6813">
        <v>0</v>
      </c>
      <c r="N6813">
        <v>0</v>
      </c>
    </row>
    <row r="6814" spans="1:15">
      <c r="A6814" t="s">
        <v>29917</v>
      </c>
      <c r="B6814" t="s">
        <v>10597</v>
      </c>
      <c r="C6814" t="s">
        <v>29918</v>
      </c>
      <c r="D6814" t="s">
        <v>29919</v>
      </c>
      <c r="E6814" t="b">
        <v>0</v>
      </c>
      <c r="F6814" t="s">
        <v>11624</v>
      </c>
      <c r="G6814">
        <v>-19.441574060000001</v>
      </c>
      <c r="H6814">
        <v>144.6482584</v>
      </c>
      <c r="L6814">
        <v>0</v>
      </c>
      <c r="M6814">
        <v>0</v>
      </c>
      <c r="N6814">
        <v>0</v>
      </c>
      <c r="O6814" t="s">
        <v>12107</v>
      </c>
    </row>
    <row r="6815" spans="1:15">
      <c r="A6815" t="s">
        <v>29920</v>
      </c>
      <c r="B6815" t="s">
        <v>11607</v>
      </c>
      <c r="C6815" t="s">
        <v>15660</v>
      </c>
      <c r="D6815" t="s">
        <v>29921</v>
      </c>
      <c r="E6815" t="b">
        <v>0</v>
      </c>
      <c r="F6815" t="s">
        <v>11624</v>
      </c>
      <c r="G6815">
        <v>10.1206</v>
      </c>
      <c r="H6815">
        <v>12.5359</v>
      </c>
      <c r="I6815" t="s">
        <v>29922</v>
      </c>
      <c r="L6815">
        <v>0</v>
      </c>
      <c r="M6815">
        <v>0</v>
      </c>
      <c r="N6815">
        <v>1</v>
      </c>
      <c r="O6815" t="s">
        <v>11693</v>
      </c>
    </row>
    <row r="6816" spans="1:15">
      <c r="A6816" t="s">
        <v>29923</v>
      </c>
      <c r="B6816" t="s">
        <v>11607</v>
      </c>
      <c r="C6816" t="s">
        <v>24839</v>
      </c>
      <c r="D6816" t="s">
        <v>29924</v>
      </c>
      <c r="E6816" t="b">
        <v>0</v>
      </c>
      <c r="F6816" t="s">
        <v>11610</v>
      </c>
      <c r="L6816">
        <v>0</v>
      </c>
      <c r="M6816">
        <v>0</v>
      </c>
      <c r="N6816">
        <v>0</v>
      </c>
    </row>
    <row r="6817" spans="1:15">
      <c r="A6817" t="s">
        <v>22412</v>
      </c>
      <c r="B6817" t="s">
        <v>11607</v>
      </c>
      <c r="C6817" t="s">
        <v>23060</v>
      </c>
      <c r="D6817" t="s">
        <v>29925</v>
      </c>
      <c r="E6817" t="b">
        <v>0</v>
      </c>
      <c r="F6817" t="s">
        <v>11624</v>
      </c>
      <c r="G6817">
        <v>11.105700000000001</v>
      </c>
      <c r="H6817">
        <v>13.789300000000001</v>
      </c>
      <c r="I6817" t="s">
        <v>29926</v>
      </c>
      <c r="L6817">
        <v>0</v>
      </c>
      <c r="M6817">
        <v>0</v>
      </c>
      <c r="N6817">
        <v>3</v>
      </c>
      <c r="O6817" t="s">
        <v>11802</v>
      </c>
    </row>
    <row r="6818" spans="1:15">
      <c r="A6818" t="s">
        <v>28232</v>
      </c>
      <c r="B6818" t="s">
        <v>6742</v>
      </c>
      <c r="C6818" t="s">
        <v>24740</v>
      </c>
      <c r="D6818" t="s">
        <v>29927</v>
      </c>
      <c r="E6818" t="b">
        <v>0</v>
      </c>
      <c r="F6818" t="s">
        <v>11622</v>
      </c>
      <c r="L6818">
        <v>0</v>
      </c>
      <c r="M6818">
        <v>2</v>
      </c>
      <c r="N6818">
        <v>1</v>
      </c>
    </row>
    <row r="6819" spans="1:15">
      <c r="A6819" t="s">
        <v>29928</v>
      </c>
      <c r="B6819" t="s">
        <v>11607</v>
      </c>
      <c r="C6819" t="s">
        <v>14701</v>
      </c>
      <c r="D6819" t="s">
        <v>29929</v>
      </c>
      <c r="E6819" t="b">
        <v>0</v>
      </c>
      <c r="F6819" t="s">
        <v>11610</v>
      </c>
      <c r="L6819">
        <v>0</v>
      </c>
      <c r="M6819">
        <v>0</v>
      </c>
      <c r="N6819">
        <v>0</v>
      </c>
    </row>
    <row r="6820" spans="1:15">
      <c r="A6820" t="s">
        <v>29930</v>
      </c>
      <c r="B6820" t="s">
        <v>22237</v>
      </c>
      <c r="C6820" t="s">
        <v>22237</v>
      </c>
      <c r="D6820" t="s">
        <v>29931</v>
      </c>
      <c r="E6820" t="b">
        <v>0</v>
      </c>
      <c r="F6820" t="s">
        <v>11624</v>
      </c>
      <c r="G6820">
        <v>-33.810189000000001</v>
      </c>
      <c r="H6820">
        <v>-54.473877000000002</v>
      </c>
      <c r="L6820">
        <v>0</v>
      </c>
      <c r="M6820">
        <v>0</v>
      </c>
      <c r="N6820">
        <v>0</v>
      </c>
      <c r="O6820" t="s">
        <v>22239</v>
      </c>
    </row>
    <row r="6821" spans="1:15">
      <c r="A6821" t="s">
        <v>29932</v>
      </c>
      <c r="B6821" t="s">
        <v>6742</v>
      </c>
      <c r="C6821" t="s">
        <v>23852</v>
      </c>
      <c r="D6821" t="s">
        <v>29933</v>
      </c>
      <c r="E6821" t="b">
        <v>0</v>
      </c>
      <c r="F6821" t="s">
        <v>11622</v>
      </c>
      <c r="L6821">
        <v>0</v>
      </c>
      <c r="M6821">
        <v>2</v>
      </c>
      <c r="N6821">
        <v>11</v>
      </c>
    </row>
    <row r="6822" spans="1:15">
      <c r="A6822" t="s">
        <v>29934</v>
      </c>
      <c r="B6822" t="s">
        <v>12751</v>
      </c>
      <c r="C6822" t="s">
        <v>26503</v>
      </c>
      <c r="D6822" t="s">
        <v>29935</v>
      </c>
      <c r="E6822" t="b">
        <v>0</v>
      </c>
      <c r="F6822" t="s">
        <v>11624</v>
      </c>
      <c r="G6822">
        <v>17.8583</v>
      </c>
      <c r="H6822">
        <v>-99.002300000000005</v>
      </c>
      <c r="I6822" t="s">
        <v>29936</v>
      </c>
      <c r="L6822">
        <v>0</v>
      </c>
      <c r="M6822">
        <v>0</v>
      </c>
      <c r="N6822">
        <v>0</v>
      </c>
      <c r="O6822" t="s">
        <v>11883</v>
      </c>
    </row>
    <row r="6823" spans="1:15">
      <c r="A6823" t="s">
        <v>29937</v>
      </c>
      <c r="B6823" t="s">
        <v>11965</v>
      </c>
      <c r="C6823" t="s">
        <v>12527</v>
      </c>
      <c r="D6823" t="s">
        <v>29938</v>
      </c>
      <c r="E6823" t="b">
        <v>0</v>
      </c>
      <c r="F6823" t="s">
        <v>11624</v>
      </c>
      <c r="G6823">
        <v>-17.726973999999998</v>
      </c>
      <c r="H6823">
        <v>-39.614409999999999</v>
      </c>
      <c r="L6823">
        <v>0</v>
      </c>
      <c r="M6823">
        <v>0</v>
      </c>
      <c r="N6823">
        <v>0</v>
      </c>
      <c r="O6823" t="s">
        <v>11969</v>
      </c>
    </row>
    <row r="6824" spans="1:15">
      <c r="A6824" t="s">
        <v>29939</v>
      </c>
      <c r="B6824" t="s">
        <v>11879</v>
      </c>
      <c r="C6824" t="s">
        <v>13583</v>
      </c>
      <c r="D6824" t="s">
        <v>29940</v>
      </c>
      <c r="E6824" t="b">
        <v>0</v>
      </c>
      <c r="F6824" t="s">
        <v>11624</v>
      </c>
      <c r="G6824">
        <v>16.772259999999999</v>
      </c>
      <c r="H6824">
        <v>-98.189530000000005</v>
      </c>
      <c r="I6824" t="s">
        <v>29941</v>
      </c>
      <c r="L6824">
        <v>0</v>
      </c>
      <c r="M6824">
        <v>0</v>
      </c>
      <c r="N6824">
        <v>0</v>
      </c>
      <c r="O6824" t="s">
        <v>11883</v>
      </c>
    </row>
    <row r="6825" spans="1:15">
      <c r="A6825" t="s">
        <v>23852</v>
      </c>
      <c r="B6825" t="s">
        <v>6742</v>
      </c>
      <c r="C6825" t="s">
        <v>26109</v>
      </c>
      <c r="D6825" t="s">
        <v>29942</v>
      </c>
      <c r="E6825" t="b">
        <v>0</v>
      </c>
      <c r="F6825" t="s">
        <v>11622</v>
      </c>
      <c r="L6825">
        <v>1</v>
      </c>
      <c r="M6825">
        <v>7</v>
      </c>
      <c r="N6825">
        <v>27</v>
      </c>
    </row>
    <row r="6826" spans="1:15">
      <c r="A6826" t="s">
        <v>12899</v>
      </c>
      <c r="B6826" t="s">
        <v>11879</v>
      </c>
      <c r="C6826" t="s">
        <v>8183</v>
      </c>
      <c r="D6826" t="s">
        <v>29943</v>
      </c>
      <c r="E6826" t="b">
        <v>0</v>
      </c>
      <c r="F6826" t="s">
        <v>11622</v>
      </c>
      <c r="L6826">
        <v>0</v>
      </c>
      <c r="M6826">
        <v>4</v>
      </c>
      <c r="N6826">
        <v>7</v>
      </c>
    </row>
    <row r="6827" spans="1:15">
      <c r="A6827" t="s">
        <v>29944</v>
      </c>
      <c r="B6827" t="s">
        <v>11879</v>
      </c>
      <c r="C6827" t="s">
        <v>14920</v>
      </c>
      <c r="D6827" t="s">
        <v>29945</v>
      </c>
      <c r="E6827" t="b">
        <v>0</v>
      </c>
      <c r="F6827" t="s">
        <v>11624</v>
      </c>
      <c r="G6827">
        <v>16.731200000000001</v>
      </c>
      <c r="H6827">
        <v>-95.364099999999993</v>
      </c>
      <c r="I6827" t="s">
        <v>29946</v>
      </c>
      <c r="L6827">
        <v>0</v>
      </c>
      <c r="M6827">
        <v>0</v>
      </c>
      <c r="N6827">
        <v>0</v>
      </c>
      <c r="O6827" t="s">
        <v>11883</v>
      </c>
    </row>
    <row r="6828" spans="1:15">
      <c r="A6828" t="s">
        <v>29947</v>
      </c>
      <c r="B6828" t="s">
        <v>10597</v>
      </c>
      <c r="C6828" t="s">
        <v>12968</v>
      </c>
      <c r="D6828" t="s">
        <v>29948</v>
      </c>
      <c r="E6828" t="b">
        <v>0</v>
      </c>
      <c r="F6828" t="s">
        <v>11624</v>
      </c>
      <c r="G6828">
        <v>-17.837199999999999</v>
      </c>
      <c r="H6828">
        <v>141.16800000000001</v>
      </c>
      <c r="I6828" t="s">
        <v>29949</v>
      </c>
      <c r="L6828">
        <v>0</v>
      </c>
      <c r="M6828">
        <v>0</v>
      </c>
      <c r="N6828">
        <v>0</v>
      </c>
      <c r="O6828" t="s">
        <v>12107</v>
      </c>
    </row>
    <row r="6829" spans="1:15">
      <c r="A6829" t="s">
        <v>29950</v>
      </c>
      <c r="B6829" t="s">
        <v>11607</v>
      </c>
      <c r="C6829" t="s">
        <v>25157</v>
      </c>
      <c r="D6829" t="s">
        <v>29951</v>
      </c>
      <c r="E6829" t="b">
        <v>0</v>
      </c>
      <c r="F6829" t="s">
        <v>11610</v>
      </c>
      <c r="L6829">
        <v>0</v>
      </c>
      <c r="M6829">
        <v>0</v>
      </c>
      <c r="N6829">
        <v>0</v>
      </c>
    </row>
    <row r="6830" spans="1:15">
      <c r="A6830" t="s">
        <v>29952</v>
      </c>
      <c r="B6830" t="s">
        <v>10597</v>
      </c>
      <c r="C6830" t="s">
        <v>29953</v>
      </c>
      <c r="D6830" t="s">
        <v>29954</v>
      </c>
      <c r="E6830" t="b">
        <v>0</v>
      </c>
      <c r="F6830" t="s">
        <v>11624</v>
      </c>
      <c r="G6830">
        <v>-18.492100000000001</v>
      </c>
      <c r="H6830">
        <v>144.46</v>
      </c>
      <c r="I6830" t="s">
        <v>29955</v>
      </c>
      <c r="L6830">
        <v>0</v>
      </c>
      <c r="M6830">
        <v>0</v>
      </c>
      <c r="N6830">
        <v>0</v>
      </c>
      <c r="O6830" t="s">
        <v>12107</v>
      </c>
    </row>
    <row r="6831" spans="1:15">
      <c r="A6831" t="s">
        <v>10180</v>
      </c>
      <c r="B6831" t="s">
        <v>10597</v>
      </c>
      <c r="C6831" t="s">
        <v>24638</v>
      </c>
      <c r="D6831" t="s">
        <v>29956</v>
      </c>
      <c r="E6831" t="b">
        <v>0</v>
      </c>
      <c r="F6831" t="s">
        <v>11624</v>
      </c>
      <c r="G6831">
        <v>-15.429600000000001</v>
      </c>
      <c r="H6831">
        <v>141.63499999999999</v>
      </c>
      <c r="I6831" t="s">
        <v>10181</v>
      </c>
      <c r="L6831">
        <v>0</v>
      </c>
      <c r="M6831">
        <v>0</v>
      </c>
      <c r="N6831">
        <v>0</v>
      </c>
      <c r="O6831" t="s">
        <v>12107</v>
      </c>
    </row>
    <row r="6832" spans="1:15">
      <c r="A6832" t="s">
        <v>29957</v>
      </c>
      <c r="B6832" t="s">
        <v>10597</v>
      </c>
      <c r="C6832" t="s">
        <v>29958</v>
      </c>
      <c r="D6832" t="s">
        <v>29959</v>
      </c>
      <c r="E6832" t="b">
        <v>0</v>
      </c>
      <c r="F6832" t="s">
        <v>11624</v>
      </c>
      <c r="G6832">
        <v>-14.942399999999999</v>
      </c>
      <c r="H6832">
        <v>144.83099999999999</v>
      </c>
      <c r="I6832" t="s">
        <v>29960</v>
      </c>
      <c r="L6832">
        <v>0</v>
      </c>
      <c r="M6832">
        <v>0</v>
      </c>
      <c r="N6832">
        <v>0</v>
      </c>
      <c r="O6832" t="s">
        <v>12107</v>
      </c>
    </row>
    <row r="6833" spans="1:15">
      <c r="A6833" t="s">
        <v>29961</v>
      </c>
      <c r="B6833" t="s">
        <v>10597</v>
      </c>
      <c r="C6833" t="s">
        <v>29962</v>
      </c>
      <c r="D6833" t="s">
        <v>29963</v>
      </c>
      <c r="E6833" t="b">
        <v>0</v>
      </c>
      <c r="F6833" t="s">
        <v>11624</v>
      </c>
      <c r="G6833">
        <v>-12.712999999999999</v>
      </c>
      <c r="H6833">
        <v>142.56899999999999</v>
      </c>
      <c r="I6833" t="s">
        <v>29964</v>
      </c>
      <c r="L6833">
        <v>0</v>
      </c>
      <c r="M6833">
        <v>0</v>
      </c>
      <c r="N6833">
        <v>0</v>
      </c>
      <c r="O6833" t="s">
        <v>12107</v>
      </c>
    </row>
    <row r="6834" spans="1:15">
      <c r="A6834" t="s">
        <v>29965</v>
      </c>
      <c r="B6834" t="s">
        <v>11627</v>
      </c>
      <c r="C6834" t="s">
        <v>11627</v>
      </c>
      <c r="D6834" t="s">
        <v>29966</v>
      </c>
      <c r="E6834" t="b">
        <v>1</v>
      </c>
      <c r="F6834" t="s">
        <v>11624</v>
      </c>
      <c r="I6834" t="s">
        <v>29967</v>
      </c>
      <c r="L6834">
        <v>0</v>
      </c>
      <c r="M6834">
        <v>0</v>
      </c>
      <c r="N6834">
        <v>0</v>
      </c>
      <c r="O6834" t="s">
        <v>12107</v>
      </c>
    </row>
    <row r="6835" spans="1:15">
      <c r="A6835" t="s">
        <v>29968</v>
      </c>
      <c r="B6835" t="s">
        <v>11615</v>
      </c>
      <c r="C6835" t="s">
        <v>18670</v>
      </c>
      <c r="D6835" t="s">
        <v>29969</v>
      </c>
      <c r="E6835" t="b">
        <v>0</v>
      </c>
      <c r="F6835" t="s">
        <v>11624</v>
      </c>
      <c r="G6835">
        <v>-7.9992200000000002</v>
      </c>
      <c r="H6835">
        <v>147.22800000000001</v>
      </c>
      <c r="I6835" t="s">
        <v>29970</v>
      </c>
      <c r="L6835">
        <v>0</v>
      </c>
      <c r="M6835">
        <v>0</v>
      </c>
      <c r="N6835">
        <v>1</v>
      </c>
      <c r="O6835" t="s">
        <v>11660</v>
      </c>
    </row>
    <row r="6836" spans="1:15">
      <c r="A6836" t="s">
        <v>29971</v>
      </c>
      <c r="B6836" t="s">
        <v>11686</v>
      </c>
      <c r="C6836" t="s">
        <v>11687</v>
      </c>
      <c r="D6836" t="s">
        <v>29972</v>
      </c>
      <c r="E6836" t="b">
        <v>0</v>
      </c>
      <c r="F6836" t="s">
        <v>11610</v>
      </c>
      <c r="L6836">
        <v>0</v>
      </c>
      <c r="M6836">
        <v>0</v>
      </c>
      <c r="N6836">
        <v>0</v>
      </c>
    </row>
    <row r="6837" spans="1:15">
      <c r="A6837" t="s">
        <v>3311</v>
      </c>
      <c r="B6837" t="s">
        <v>8310</v>
      </c>
      <c r="C6837" t="s">
        <v>8310</v>
      </c>
      <c r="D6837" t="s">
        <v>29973</v>
      </c>
      <c r="E6837" t="b">
        <v>0</v>
      </c>
      <c r="F6837" t="s">
        <v>11622</v>
      </c>
      <c r="L6837">
        <v>4</v>
      </c>
      <c r="M6837">
        <v>11</v>
      </c>
      <c r="N6837">
        <v>8</v>
      </c>
    </row>
    <row r="6838" spans="1:15">
      <c r="A6838" t="s">
        <v>29974</v>
      </c>
      <c r="B6838" t="s">
        <v>11637</v>
      </c>
      <c r="C6838" t="s">
        <v>29975</v>
      </c>
      <c r="D6838" t="s">
        <v>29976</v>
      </c>
      <c r="E6838" t="b">
        <v>0</v>
      </c>
      <c r="F6838" t="s">
        <v>11624</v>
      </c>
      <c r="G6838">
        <v>4.9480399999999998</v>
      </c>
      <c r="H6838">
        <v>-52.733600000000003</v>
      </c>
      <c r="I6838" t="s">
        <v>29977</v>
      </c>
      <c r="L6838">
        <v>0</v>
      </c>
      <c r="M6838">
        <v>0</v>
      </c>
      <c r="N6838">
        <v>0</v>
      </c>
      <c r="O6838" t="s">
        <v>29978</v>
      </c>
    </row>
    <row r="6839" spans="1:15">
      <c r="A6839" t="s">
        <v>29979</v>
      </c>
      <c r="B6839" t="s">
        <v>5126</v>
      </c>
      <c r="C6839" t="s">
        <v>19778</v>
      </c>
      <c r="D6839" t="s">
        <v>29980</v>
      </c>
      <c r="E6839" t="b">
        <v>0</v>
      </c>
      <c r="F6839" t="s">
        <v>11624</v>
      </c>
      <c r="G6839">
        <v>24.3</v>
      </c>
      <c r="H6839">
        <v>106.2</v>
      </c>
      <c r="I6839" t="s">
        <v>29981</v>
      </c>
      <c r="L6839">
        <v>0</v>
      </c>
      <c r="M6839">
        <v>0</v>
      </c>
      <c r="N6839">
        <v>0</v>
      </c>
      <c r="O6839" t="s">
        <v>11905</v>
      </c>
    </row>
    <row r="6840" spans="1:15">
      <c r="A6840" t="s">
        <v>29982</v>
      </c>
      <c r="B6840" t="s">
        <v>5126</v>
      </c>
      <c r="C6840" t="s">
        <v>19778</v>
      </c>
      <c r="D6840" t="s">
        <v>29983</v>
      </c>
      <c r="E6840" t="b">
        <v>0</v>
      </c>
      <c r="F6840" t="s">
        <v>11624</v>
      </c>
      <c r="G6840">
        <v>24.9</v>
      </c>
      <c r="H6840">
        <v>108.1</v>
      </c>
      <c r="I6840" t="s">
        <v>29984</v>
      </c>
      <c r="L6840">
        <v>0</v>
      </c>
      <c r="M6840">
        <v>0</v>
      </c>
      <c r="N6840">
        <v>0</v>
      </c>
      <c r="O6840" t="s">
        <v>11905</v>
      </c>
    </row>
    <row r="6841" spans="1:15">
      <c r="A6841" t="s">
        <v>29985</v>
      </c>
      <c r="B6841" t="s">
        <v>6742</v>
      </c>
      <c r="C6841" t="s">
        <v>23948</v>
      </c>
      <c r="D6841" t="s">
        <v>29986</v>
      </c>
      <c r="E6841" t="b">
        <v>0</v>
      </c>
      <c r="F6841" t="s">
        <v>11624</v>
      </c>
      <c r="G6841">
        <v>6.1383700000000001</v>
      </c>
      <c r="H6841">
        <v>-6.5129099999999998</v>
      </c>
      <c r="I6841" t="s">
        <v>29987</v>
      </c>
      <c r="L6841">
        <v>0</v>
      </c>
      <c r="M6841">
        <v>0</v>
      </c>
      <c r="N6841">
        <v>2</v>
      </c>
      <c r="O6841" t="s">
        <v>11735</v>
      </c>
    </row>
    <row r="6842" spans="1:15">
      <c r="A6842" t="s">
        <v>29988</v>
      </c>
      <c r="B6842" t="s">
        <v>6742</v>
      </c>
      <c r="C6842" t="s">
        <v>29985</v>
      </c>
      <c r="D6842" t="s">
        <v>29989</v>
      </c>
      <c r="E6842" t="b">
        <v>0</v>
      </c>
      <c r="F6842" t="s">
        <v>11610</v>
      </c>
      <c r="L6842">
        <v>0</v>
      </c>
      <c r="M6842">
        <v>0</v>
      </c>
      <c r="N6842">
        <v>0</v>
      </c>
    </row>
    <row r="6843" spans="1:15">
      <c r="A6843" t="s">
        <v>29990</v>
      </c>
      <c r="B6843" t="s">
        <v>21717</v>
      </c>
      <c r="C6843" t="s">
        <v>29991</v>
      </c>
      <c r="D6843" t="s">
        <v>29992</v>
      </c>
      <c r="E6843" t="b">
        <v>0</v>
      </c>
      <c r="F6843" t="s">
        <v>11610</v>
      </c>
      <c r="L6843">
        <v>0</v>
      </c>
      <c r="M6843">
        <v>0</v>
      </c>
      <c r="N6843">
        <v>0</v>
      </c>
    </row>
    <row r="6844" spans="1:15">
      <c r="A6844" t="s">
        <v>29993</v>
      </c>
      <c r="B6844" t="s">
        <v>11879</v>
      </c>
      <c r="C6844" t="s">
        <v>14920</v>
      </c>
      <c r="D6844" t="s">
        <v>29994</v>
      </c>
      <c r="E6844" t="b">
        <v>0</v>
      </c>
      <c r="F6844" t="s">
        <v>11624</v>
      </c>
      <c r="G6844">
        <v>16.882400000000001</v>
      </c>
      <c r="H6844">
        <v>-96.4572</v>
      </c>
      <c r="I6844" t="s">
        <v>29995</v>
      </c>
      <c r="L6844">
        <v>0</v>
      </c>
      <c r="M6844">
        <v>0</v>
      </c>
      <c r="N6844">
        <v>0</v>
      </c>
      <c r="O6844" t="s">
        <v>11883</v>
      </c>
    </row>
    <row r="6845" spans="1:15">
      <c r="A6845" t="s">
        <v>29996</v>
      </c>
      <c r="B6845" t="s">
        <v>11607</v>
      </c>
      <c r="C6845" t="s">
        <v>17050</v>
      </c>
      <c r="D6845" t="s">
        <v>29997</v>
      </c>
      <c r="E6845" t="b">
        <v>0</v>
      </c>
      <c r="F6845" t="s">
        <v>11610</v>
      </c>
      <c r="L6845">
        <v>0</v>
      </c>
      <c r="M6845">
        <v>0</v>
      </c>
      <c r="N6845">
        <v>0</v>
      </c>
    </row>
    <row r="6846" spans="1:15">
      <c r="A6846" t="s">
        <v>29998</v>
      </c>
      <c r="B6846" t="s">
        <v>11644</v>
      </c>
      <c r="C6846" t="s">
        <v>25281</v>
      </c>
      <c r="D6846" t="s">
        <v>29999</v>
      </c>
      <c r="E6846" t="b">
        <v>0</v>
      </c>
      <c r="F6846" t="s">
        <v>11610</v>
      </c>
      <c r="G6846">
        <v>25.266667000000002</v>
      </c>
      <c r="H6846">
        <v>110.283333</v>
      </c>
      <c r="L6846">
        <v>0</v>
      </c>
      <c r="M6846">
        <v>0</v>
      </c>
      <c r="N6846">
        <v>0</v>
      </c>
    </row>
    <row r="6847" spans="1:15">
      <c r="A6847" t="s">
        <v>30000</v>
      </c>
      <c r="B6847" t="s">
        <v>1342</v>
      </c>
      <c r="C6847" t="s">
        <v>30001</v>
      </c>
      <c r="D6847" t="s">
        <v>30002</v>
      </c>
      <c r="E6847" t="b">
        <v>0</v>
      </c>
      <c r="F6847" t="s">
        <v>11610</v>
      </c>
      <c r="L6847">
        <v>0</v>
      </c>
      <c r="M6847">
        <v>0</v>
      </c>
      <c r="N6847">
        <v>0</v>
      </c>
    </row>
    <row r="6848" spans="1:15">
      <c r="A6848" t="s">
        <v>30003</v>
      </c>
      <c r="B6848" t="s">
        <v>367</v>
      </c>
      <c r="C6848" t="s">
        <v>13941</v>
      </c>
      <c r="D6848" t="s">
        <v>30004</v>
      </c>
      <c r="E6848" t="b">
        <v>0</v>
      </c>
      <c r="F6848" t="s">
        <v>11610</v>
      </c>
      <c r="L6848">
        <v>0</v>
      </c>
      <c r="M6848">
        <v>0</v>
      </c>
      <c r="N6848">
        <v>0</v>
      </c>
    </row>
    <row r="6849" spans="1:15">
      <c r="A6849" t="s">
        <v>30005</v>
      </c>
      <c r="B6849" t="s">
        <v>11644</v>
      </c>
      <c r="C6849" t="s">
        <v>28593</v>
      </c>
      <c r="D6849" t="s">
        <v>30006</v>
      </c>
      <c r="E6849" t="b">
        <v>0</v>
      </c>
      <c r="F6849" t="s">
        <v>11610</v>
      </c>
      <c r="L6849">
        <v>0</v>
      </c>
      <c r="M6849">
        <v>0</v>
      </c>
      <c r="N6849">
        <v>0</v>
      </c>
    </row>
    <row r="6850" spans="1:15">
      <c r="A6850" t="s">
        <v>30007</v>
      </c>
      <c r="B6850" t="s">
        <v>11981</v>
      </c>
      <c r="C6850" t="s">
        <v>13456</v>
      </c>
      <c r="D6850" t="s">
        <v>30008</v>
      </c>
      <c r="E6850" t="b">
        <v>0</v>
      </c>
      <c r="F6850" t="s">
        <v>11624</v>
      </c>
      <c r="G6850">
        <v>9.5530000000000008</v>
      </c>
      <c r="H6850">
        <v>-13.673999999999999</v>
      </c>
      <c r="I6850" t="s">
        <v>30009</v>
      </c>
      <c r="L6850">
        <v>0</v>
      </c>
      <c r="M6850">
        <v>0</v>
      </c>
      <c r="N6850">
        <v>0</v>
      </c>
      <c r="O6850" t="s">
        <v>15802</v>
      </c>
    </row>
    <row r="6851" spans="1:15">
      <c r="A6851" t="s">
        <v>30010</v>
      </c>
      <c r="B6851" t="s">
        <v>13276</v>
      </c>
      <c r="C6851" t="s">
        <v>30011</v>
      </c>
      <c r="D6851" t="s">
        <v>30012</v>
      </c>
      <c r="E6851" t="b">
        <v>0</v>
      </c>
      <c r="F6851" t="s">
        <v>11624</v>
      </c>
      <c r="G6851">
        <v>7.9319600000000001</v>
      </c>
      <c r="H6851">
        <v>-8.9884299999999993</v>
      </c>
      <c r="I6851" t="s">
        <v>30013</v>
      </c>
      <c r="L6851">
        <v>0</v>
      </c>
      <c r="M6851">
        <v>0</v>
      </c>
      <c r="N6851">
        <v>0</v>
      </c>
      <c r="O6851" t="s">
        <v>30014</v>
      </c>
    </row>
    <row r="6852" spans="1:15">
      <c r="A6852" t="s">
        <v>30015</v>
      </c>
      <c r="B6852" t="s">
        <v>367</v>
      </c>
      <c r="C6852" t="s">
        <v>11788</v>
      </c>
      <c r="D6852" t="s">
        <v>30016</v>
      </c>
      <c r="E6852" t="b">
        <v>0</v>
      </c>
      <c r="F6852" t="s">
        <v>11610</v>
      </c>
      <c r="L6852">
        <v>0</v>
      </c>
      <c r="M6852">
        <v>0</v>
      </c>
      <c r="N6852">
        <v>0</v>
      </c>
    </row>
    <row r="6853" spans="1:15">
      <c r="A6853" t="s">
        <v>30017</v>
      </c>
      <c r="B6853" t="s">
        <v>367</v>
      </c>
      <c r="C6853" t="s">
        <v>17614</v>
      </c>
      <c r="D6853" t="s">
        <v>30018</v>
      </c>
      <c r="E6853" t="b">
        <v>0</v>
      </c>
      <c r="F6853" t="s">
        <v>11610</v>
      </c>
      <c r="L6853">
        <v>0</v>
      </c>
      <c r="M6853">
        <v>0</v>
      </c>
      <c r="N6853">
        <v>0</v>
      </c>
    </row>
    <row r="6854" spans="1:15">
      <c r="A6854" t="s">
        <v>30019</v>
      </c>
      <c r="B6854" t="s">
        <v>367</v>
      </c>
      <c r="C6854" t="s">
        <v>16171</v>
      </c>
      <c r="D6854" t="s">
        <v>30020</v>
      </c>
      <c r="E6854" t="b">
        <v>0</v>
      </c>
      <c r="F6854" t="s">
        <v>11610</v>
      </c>
      <c r="L6854">
        <v>0</v>
      </c>
      <c r="M6854">
        <v>0</v>
      </c>
      <c r="N6854">
        <v>0</v>
      </c>
    </row>
    <row r="6855" spans="1:15">
      <c r="A6855" t="s">
        <v>30021</v>
      </c>
      <c r="B6855" t="s">
        <v>11894</v>
      </c>
      <c r="C6855" t="s">
        <v>13168</v>
      </c>
      <c r="D6855" t="s">
        <v>30022</v>
      </c>
      <c r="E6855" t="b">
        <v>0</v>
      </c>
      <c r="F6855" t="s">
        <v>11624</v>
      </c>
      <c r="G6855">
        <v>4.7976070000000002</v>
      </c>
      <c r="H6855">
        <v>-64.738770000000002</v>
      </c>
      <c r="L6855">
        <v>0</v>
      </c>
      <c r="M6855">
        <v>0</v>
      </c>
      <c r="N6855">
        <v>0</v>
      </c>
      <c r="O6855" t="s">
        <v>11969</v>
      </c>
    </row>
    <row r="6856" spans="1:15">
      <c r="A6856" t="s">
        <v>21149</v>
      </c>
      <c r="B6856" t="s">
        <v>11637</v>
      </c>
      <c r="C6856" t="s">
        <v>6460</v>
      </c>
      <c r="D6856" t="s">
        <v>30023</v>
      </c>
      <c r="E6856" t="b">
        <v>0</v>
      </c>
      <c r="F6856" t="s">
        <v>11622</v>
      </c>
      <c r="L6856">
        <v>18</v>
      </c>
      <c r="M6856">
        <v>26</v>
      </c>
      <c r="N6856">
        <v>5</v>
      </c>
    </row>
    <row r="6857" spans="1:15">
      <c r="A6857" t="s">
        <v>30024</v>
      </c>
      <c r="B6857" t="s">
        <v>11981</v>
      </c>
      <c r="C6857" t="s">
        <v>11982</v>
      </c>
      <c r="D6857" t="s">
        <v>30025</v>
      </c>
      <c r="E6857" t="b">
        <v>0</v>
      </c>
      <c r="F6857" t="s">
        <v>11624</v>
      </c>
      <c r="G6857">
        <v>11.859297</v>
      </c>
      <c r="H6857">
        <v>-15.591552999999999</v>
      </c>
      <c r="L6857">
        <v>0</v>
      </c>
      <c r="M6857">
        <v>0</v>
      </c>
      <c r="N6857">
        <v>0</v>
      </c>
      <c r="O6857" t="s">
        <v>14312</v>
      </c>
    </row>
    <row r="6858" spans="1:15">
      <c r="A6858" t="s">
        <v>30026</v>
      </c>
      <c r="B6858" t="s">
        <v>4725</v>
      </c>
      <c r="C6858" t="s">
        <v>4725</v>
      </c>
      <c r="D6858" t="s">
        <v>30027</v>
      </c>
      <c r="E6858" t="b">
        <v>0</v>
      </c>
      <c r="F6858" t="s">
        <v>11610</v>
      </c>
      <c r="L6858">
        <v>0</v>
      </c>
      <c r="M6858">
        <v>0</v>
      </c>
      <c r="N6858">
        <v>0</v>
      </c>
    </row>
    <row r="6859" spans="1:15">
      <c r="A6859" t="s">
        <v>30028</v>
      </c>
      <c r="B6859" t="s">
        <v>11644</v>
      </c>
      <c r="C6859" t="s">
        <v>27366</v>
      </c>
      <c r="D6859" t="s">
        <v>30029</v>
      </c>
      <c r="E6859" t="b">
        <v>0</v>
      </c>
      <c r="F6859" t="s">
        <v>11624</v>
      </c>
      <c r="G6859">
        <v>30.4803</v>
      </c>
      <c r="H6859">
        <v>102.128</v>
      </c>
      <c r="I6859" t="s">
        <v>30030</v>
      </c>
      <c r="L6859">
        <v>0</v>
      </c>
      <c r="M6859">
        <v>0</v>
      </c>
      <c r="N6859">
        <v>0</v>
      </c>
      <c r="O6859" t="s">
        <v>11905</v>
      </c>
    </row>
    <row r="6860" spans="1:15">
      <c r="A6860" t="s">
        <v>30031</v>
      </c>
      <c r="B6860" t="s">
        <v>5058</v>
      </c>
      <c r="C6860" t="s">
        <v>22892</v>
      </c>
      <c r="D6860" t="s">
        <v>30032</v>
      </c>
      <c r="E6860" t="b">
        <v>0</v>
      </c>
      <c r="F6860" t="s">
        <v>11622</v>
      </c>
      <c r="G6860">
        <v>26.716909999999999</v>
      </c>
      <c r="H6860">
        <v>106.638336</v>
      </c>
      <c r="L6860">
        <v>0</v>
      </c>
      <c r="M6860">
        <v>3</v>
      </c>
      <c r="N6860">
        <v>0</v>
      </c>
    </row>
    <row r="6861" spans="1:15">
      <c r="A6861" t="s">
        <v>30033</v>
      </c>
      <c r="B6861" t="s">
        <v>11644</v>
      </c>
      <c r="C6861" t="s">
        <v>22419</v>
      </c>
      <c r="D6861" t="s">
        <v>30034</v>
      </c>
      <c r="E6861" t="b">
        <v>0</v>
      </c>
      <c r="F6861" t="s">
        <v>11610</v>
      </c>
      <c r="L6861">
        <v>0</v>
      </c>
      <c r="M6861">
        <v>0</v>
      </c>
      <c r="N6861">
        <v>0</v>
      </c>
    </row>
    <row r="6862" spans="1:15">
      <c r="A6862" t="s">
        <v>8918</v>
      </c>
      <c r="B6862" t="s">
        <v>11637</v>
      </c>
      <c r="C6862" t="s">
        <v>25430</v>
      </c>
      <c r="D6862" t="s">
        <v>8917</v>
      </c>
      <c r="E6862" t="b">
        <v>0</v>
      </c>
      <c r="F6862" t="s">
        <v>11624</v>
      </c>
      <c r="G6862">
        <v>22.687000000000001</v>
      </c>
      <c r="H6862">
        <v>71.096199999999996</v>
      </c>
      <c r="I6862" t="s">
        <v>8919</v>
      </c>
      <c r="L6862">
        <v>0</v>
      </c>
      <c r="M6862">
        <v>0</v>
      </c>
      <c r="N6862">
        <v>6</v>
      </c>
      <c r="O6862" t="s">
        <v>30035</v>
      </c>
    </row>
    <row r="6863" spans="1:15">
      <c r="A6863" t="s">
        <v>12626</v>
      </c>
      <c r="B6863" t="s">
        <v>11637</v>
      </c>
      <c r="C6863" t="s">
        <v>29438</v>
      </c>
      <c r="D6863" t="s">
        <v>30036</v>
      </c>
      <c r="E6863" t="b">
        <v>0</v>
      </c>
      <c r="F6863" t="s">
        <v>11624</v>
      </c>
      <c r="G6863">
        <v>34.376800000000003</v>
      </c>
      <c r="H6863">
        <v>73.146100000000004</v>
      </c>
      <c r="I6863" t="s">
        <v>30037</v>
      </c>
      <c r="L6863">
        <v>0</v>
      </c>
      <c r="M6863">
        <v>0</v>
      </c>
      <c r="N6863">
        <v>3</v>
      </c>
      <c r="O6863" t="s">
        <v>30038</v>
      </c>
    </row>
    <row r="6864" spans="1:15">
      <c r="A6864" t="s">
        <v>30039</v>
      </c>
      <c r="B6864" t="s">
        <v>6742</v>
      </c>
      <c r="C6864" t="s">
        <v>16010</v>
      </c>
      <c r="D6864" t="s">
        <v>30040</v>
      </c>
      <c r="E6864" t="b">
        <v>0</v>
      </c>
      <c r="F6864" t="s">
        <v>11610</v>
      </c>
      <c r="L6864">
        <v>0</v>
      </c>
      <c r="M6864">
        <v>0</v>
      </c>
      <c r="N6864">
        <v>0</v>
      </c>
    </row>
    <row r="6865" spans="1:15">
      <c r="A6865" t="s">
        <v>30041</v>
      </c>
      <c r="B6865" t="s">
        <v>11637</v>
      </c>
      <c r="C6865" t="s">
        <v>18306</v>
      </c>
      <c r="D6865" t="s">
        <v>30042</v>
      </c>
      <c r="E6865" t="b">
        <v>0</v>
      </c>
      <c r="F6865" t="s">
        <v>11622</v>
      </c>
      <c r="L6865">
        <v>7</v>
      </c>
      <c r="M6865">
        <v>29</v>
      </c>
      <c r="N6865">
        <v>53</v>
      </c>
    </row>
    <row r="6866" spans="1:15">
      <c r="A6866" t="s">
        <v>25430</v>
      </c>
      <c r="B6866" t="s">
        <v>11637</v>
      </c>
      <c r="C6866" t="s">
        <v>30041</v>
      </c>
      <c r="D6866" t="s">
        <v>30043</v>
      </c>
      <c r="E6866" t="b">
        <v>0</v>
      </c>
      <c r="F6866" t="s">
        <v>11622</v>
      </c>
      <c r="L6866">
        <v>1</v>
      </c>
      <c r="M6866">
        <v>7</v>
      </c>
      <c r="N6866">
        <v>24</v>
      </c>
    </row>
    <row r="6867" spans="1:15">
      <c r="A6867" t="s">
        <v>30044</v>
      </c>
      <c r="B6867" t="s">
        <v>11607</v>
      </c>
      <c r="C6867" t="s">
        <v>14623</v>
      </c>
      <c r="D6867" t="s">
        <v>30045</v>
      </c>
      <c r="E6867" t="b">
        <v>0</v>
      </c>
      <c r="F6867" t="s">
        <v>11610</v>
      </c>
      <c r="L6867">
        <v>0</v>
      </c>
      <c r="M6867">
        <v>0</v>
      </c>
      <c r="N6867">
        <v>0</v>
      </c>
    </row>
    <row r="6868" spans="1:15">
      <c r="A6868" t="s">
        <v>30046</v>
      </c>
      <c r="B6868" t="s">
        <v>10597</v>
      </c>
      <c r="C6868" t="s">
        <v>25691</v>
      </c>
      <c r="D6868" t="s">
        <v>30047</v>
      </c>
      <c r="E6868" t="b">
        <v>0</v>
      </c>
      <c r="F6868" t="s">
        <v>11610</v>
      </c>
      <c r="L6868">
        <v>0</v>
      </c>
      <c r="M6868">
        <v>0</v>
      </c>
      <c r="N6868">
        <v>0</v>
      </c>
    </row>
    <row r="6869" spans="1:15">
      <c r="A6869" t="s">
        <v>30048</v>
      </c>
      <c r="B6869" t="s">
        <v>6742</v>
      </c>
      <c r="C6869" t="s">
        <v>27704</v>
      </c>
      <c r="D6869" t="s">
        <v>30049</v>
      </c>
      <c r="E6869" t="b">
        <v>0</v>
      </c>
      <c r="F6869" t="s">
        <v>11624</v>
      </c>
      <c r="G6869">
        <v>10.266999999999999</v>
      </c>
      <c r="H6869">
        <v>19.535900000000002</v>
      </c>
      <c r="I6869" t="s">
        <v>30050</v>
      </c>
      <c r="L6869">
        <v>0</v>
      </c>
      <c r="M6869">
        <v>0</v>
      </c>
      <c r="N6869">
        <v>5</v>
      </c>
      <c r="O6869" t="s">
        <v>13421</v>
      </c>
    </row>
    <row r="6870" spans="1:15">
      <c r="A6870" t="s">
        <v>30051</v>
      </c>
      <c r="B6870" t="s">
        <v>11729</v>
      </c>
      <c r="C6870" t="s">
        <v>27806</v>
      </c>
      <c r="D6870" t="s">
        <v>30052</v>
      </c>
      <c r="E6870" t="b">
        <v>0</v>
      </c>
      <c r="F6870" t="s">
        <v>11624</v>
      </c>
      <c r="G6870">
        <v>9.4909199999999991</v>
      </c>
      <c r="H6870">
        <v>23.380500000000001</v>
      </c>
      <c r="I6870" t="s">
        <v>30053</v>
      </c>
      <c r="L6870">
        <v>0</v>
      </c>
      <c r="M6870">
        <v>0</v>
      </c>
      <c r="N6870">
        <v>8</v>
      </c>
      <c r="O6870" t="s">
        <v>16540</v>
      </c>
    </row>
    <row r="6871" spans="1:15">
      <c r="A6871" t="s">
        <v>30054</v>
      </c>
      <c r="B6871" t="s">
        <v>11729</v>
      </c>
      <c r="C6871" t="s">
        <v>30051</v>
      </c>
      <c r="D6871" t="s">
        <v>30055</v>
      </c>
      <c r="E6871" t="b">
        <v>0</v>
      </c>
      <c r="F6871" t="s">
        <v>11610</v>
      </c>
      <c r="L6871">
        <v>0</v>
      </c>
      <c r="M6871">
        <v>0</v>
      </c>
      <c r="N6871">
        <v>0</v>
      </c>
    </row>
    <row r="6872" spans="1:15">
      <c r="A6872" t="s">
        <v>30056</v>
      </c>
      <c r="B6872" t="s">
        <v>11729</v>
      </c>
      <c r="C6872" t="s">
        <v>30057</v>
      </c>
      <c r="D6872" t="s">
        <v>30058</v>
      </c>
      <c r="E6872" t="b">
        <v>0</v>
      </c>
      <c r="F6872" t="s">
        <v>11624</v>
      </c>
      <c r="G6872">
        <v>9.0662900000000004</v>
      </c>
      <c r="H6872">
        <v>17.315100000000001</v>
      </c>
      <c r="I6872" t="s">
        <v>30059</v>
      </c>
      <c r="L6872">
        <v>0</v>
      </c>
      <c r="M6872">
        <v>0</v>
      </c>
      <c r="N6872">
        <v>2</v>
      </c>
      <c r="O6872" t="s">
        <v>13421</v>
      </c>
    </row>
    <row r="6873" spans="1:15">
      <c r="A6873" t="s">
        <v>30060</v>
      </c>
      <c r="B6873" t="s">
        <v>11729</v>
      </c>
      <c r="C6873" t="s">
        <v>17601</v>
      </c>
      <c r="D6873" t="s">
        <v>30061</v>
      </c>
      <c r="E6873" t="b">
        <v>0</v>
      </c>
      <c r="F6873" t="s">
        <v>11624</v>
      </c>
      <c r="G6873">
        <v>10.3049</v>
      </c>
      <c r="H6873">
        <v>19.2182</v>
      </c>
      <c r="I6873" t="s">
        <v>30062</v>
      </c>
      <c r="L6873">
        <v>0</v>
      </c>
      <c r="M6873">
        <v>0</v>
      </c>
      <c r="N6873">
        <v>0</v>
      </c>
      <c r="O6873" t="s">
        <v>13421</v>
      </c>
    </row>
    <row r="6874" spans="1:15">
      <c r="A6874" t="s">
        <v>30063</v>
      </c>
      <c r="B6874" t="s">
        <v>367</v>
      </c>
      <c r="C6874" t="s">
        <v>30064</v>
      </c>
      <c r="D6874" t="s">
        <v>30065</v>
      </c>
      <c r="E6874" t="b">
        <v>0</v>
      </c>
      <c r="F6874" t="s">
        <v>11624</v>
      </c>
      <c r="G6874">
        <v>-8.74742</v>
      </c>
      <c r="H6874">
        <v>161.023</v>
      </c>
      <c r="I6874" t="s">
        <v>30066</v>
      </c>
      <c r="L6874">
        <v>0</v>
      </c>
      <c r="M6874">
        <v>0</v>
      </c>
      <c r="N6874">
        <v>0</v>
      </c>
      <c r="O6874" t="s">
        <v>13346</v>
      </c>
    </row>
    <row r="6875" spans="1:15">
      <c r="A6875" t="s">
        <v>20543</v>
      </c>
      <c r="B6875" t="s">
        <v>367</v>
      </c>
      <c r="C6875" t="s">
        <v>30067</v>
      </c>
      <c r="D6875" t="s">
        <v>30068</v>
      </c>
      <c r="E6875" t="b">
        <v>0</v>
      </c>
      <c r="F6875" t="s">
        <v>11610</v>
      </c>
      <c r="L6875">
        <v>0</v>
      </c>
      <c r="M6875">
        <v>0</v>
      </c>
      <c r="N6875">
        <v>14</v>
      </c>
    </row>
    <row r="6876" spans="1:15">
      <c r="A6876" t="s">
        <v>30069</v>
      </c>
      <c r="B6876" t="s">
        <v>11607</v>
      </c>
      <c r="C6876" t="s">
        <v>30070</v>
      </c>
      <c r="D6876" t="s">
        <v>30071</v>
      </c>
      <c r="E6876" t="b">
        <v>0</v>
      </c>
      <c r="F6876" t="s">
        <v>11610</v>
      </c>
      <c r="L6876">
        <v>0</v>
      </c>
      <c r="M6876">
        <v>0</v>
      </c>
      <c r="N6876">
        <v>0</v>
      </c>
    </row>
    <row r="6877" spans="1:15">
      <c r="A6877" t="s">
        <v>30072</v>
      </c>
      <c r="B6877" t="s">
        <v>11637</v>
      </c>
      <c r="C6877" t="s">
        <v>12947</v>
      </c>
      <c r="D6877" t="s">
        <v>30073</v>
      </c>
      <c r="E6877" t="b">
        <v>0</v>
      </c>
      <c r="F6877" t="s">
        <v>11610</v>
      </c>
      <c r="L6877">
        <v>0</v>
      </c>
      <c r="M6877">
        <v>0</v>
      </c>
      <c r="N6877">
        <v>0</v>
      </c>
    </row>
    <row r="6878" spans="1:15">
      <c r="A6878" t="s">
        <v>30074</v>
      </c>
      <c r="D6878" t="s">
        <v>30075</v>
      </c>
      <c r="E6878" t="b">
        <v>0</v>
      </c>
      <c r="F6878" t="s">
        <v>11624</v>
      </c>
      <c r="G6878">
        <v>11.833600000000001</v>
      </c>
      <c r="H6878">
        <v>33.692900000000002</v>
      </c>
      <c r="I6878" t="s">
        <v>30076</v>
      </c>
      <c r="L6878">
        <v>0</v>
      </c>
      <c r="M6878">
        <v>0</v>
      </c>
      <c r="N6878">
        <v>0</v>
      </c>
      <c r="O6878" t="s">
        <v>11910</v>
      </c>
    </row>
    <row r="6879" spans="1:15">
      <c r="A6879" t="s">
        <v>30077</v>
      </c>
      <c r="B6879" t="s">
        <v>367</v>
      </c>
      <c r="C6879" t="s">
        <v>24265</v>
      </c>
      <c r="D6879" t="s">
        <v>30078</v>
      </c>
      <c r="E6879" t="b">
        <v>0</v>
      </c>
      <c r="F6879" t="s">
        <v>11610</v>
      </c>
      <c r="L6879">
        <v>0</v>
      </c>
      <c r="M6879">
        <v>0</v>
      </c>
      <c r="N6879">
        <v>0</v>
      </c>
    </row>
    <row r="6880" spans="1:15">
      <c r="A6880" t="s">
        <v>30079</v>
      </c>
      <c r="B6880" t="s">
        <v>15027</v>
      </c>
      <c r="C6880" t="s">
        <v>22479</v>
      </c>
      <c r="D6880" t="s">
        <v>30080</v>
      </c>
      <c r="E6880" t="b">
        <v>0</v>
      </c>
      <c r="F6880" t="s">
        <v>11622</v>
      </c>
      <c r="L6880">
        <v>0</v>
      </c>
      <c r="M6880">
        <v>3</v>
      </c>
      <c r="N6880">
        <v>0</v>
      </c>
    </row>
    <row r="6881" spans="1:15">
      <c r="A6881" t="s">
        <v>13053</v>
      </c>
      <c r="B6881" t="s">
        <v>11607</v>
      </c>
      <c r="C6881" t="s">
        <v>4675</v>
      </c>
      <c r="D6881" t="s">
        <v>30081</v>
      </c>
      <c r="E6881" t="b">
        <v>0</v>
      </c>
      <c r="F6881" t="s">
        <v>11624</v>
      </c>
      <c r="G6881">
        <v>30.17</v>
      </c>
      <c r="H6881">
        <v>47.5</v>
      </c>
      <c r="I6881" t="s">
        <v>30082</v>
      </c>
      <c r="L6881">
        <v>0</v>
      </c>
      <c r="M6881">
        <v>0</v>
      </c>
      <c r="N6881">
        <v>8</v>
      </c>
      <c r="O6881" t="s">
        <v>30083</v>
      </c>
    </row>
    <row r="6882" spans="1:15">
      <c r="A6882" t="s">
        <v>30084</v>
      </c>
      <c r="B6882" t="s">
        <v>11637</v>
      </c>
      <c r="C6882" t="s">
        <v>23067</v>
      </c>
      <c r="D6882" t="s">
        <v>30085</v>
      </c>
      <c r="E6882" t="b">
        <v>0</v>
      </c>
      <c r="F6882" t="s">
        <v>11624</v>
      </c>
      <c r="L6882">
        <v>0</v>
      </c>
      <c r="M6882">
        <v>0</v>
      </c>
      <c r="N6882">
        <v>0</v>
      </c>
      <c r="O6882" t="s">
        <v>11944</v>
      </c>
    </row>
    <row r="6883" spans="1:15">
      <c r="A6883" t="s">
        <v>30086</v>
      </c>
      <c r="B6883" t="s">
        <v>12487</v>
      </c>
      <c r="C6883" t="s">
        <v>17169</v>
      </c>
      <c r="D6883" t="s">
        <v>30087</v>
      </c>
      <c r="E6883" t="b">
        <v>0</v>
      </c>
      <c r="F6883" t="s">
        <v>11610</v>
      </c>
      <c r="L6883">
        <v>0</v>
      </c>
      <c r="M6883">
        <v>0</v>
      </c>
      <c r="N6883">
        <v>0</v>
      </c>
    </row>
    <row r="6884" spans="1:15">
      <c r="A6884" t="s">
        <v>30088</v>
      </c>
      <c r="B6884" t="s">
        <v>11627</v>
      </c>
      <c r="C6884" t="s">
        <v>11627</v>
      </c>
      <c r="D6884" t="s">
        <v>30089</v>
      </c>
      <c r="E6884" t="b">
        <v>1</v>
      </c>
      <c r="F6884" t="s">
        <v>11624</v>
      </c>
      <c r="G6884">
        <v>-8.1026600000000002</v>
      </c>
      <c r="H6884">
        <v>157.56399999999999</v>
      </c>
      <c r="I6884" t="s">
        <v>30090</v>
      </c>
      <c r="L6884">
        <v>0</v>
      </c>
      <c r="M6884">
        <v>0</v>
      </c>
      <c r="N6884">
        <v>0</v>
      </c>
      <c r="O6884" t="s">
        <v>13346</v>
      </c>
    </row>
    <row r="6885" spans="1:15">
      <c r="A6885" t="s">
        <v>30091</v>
      </c>
      <c r="B6885" t="s">
        <v>11637</v>
      </c>
      <c r="C6885" t="s">
        <v>12824</v>
      </c>
      <c r="D6885" t="s">
        <v>30092</v>
      </c>
      <c r="E6885" t="b">
        <v>0</v>
      </c>
      <c r="F6885" t="s">
        <v>11610</v>
      </c>
      <c r="L6885">
        <v>0</v>
      </c>
      <c r="M6885">
        <v>0</v>
      </c>
      <c r="N6885">
        <v>0</v>
      </c>
    </row>
    <row r="6886" spans="1:15">
      <c r="A6886" t="s">
        <v>30093</v>
      </c>
      <c r="B6886" t="s">
        <v>11637</v>
      </c>
      <c r="C6886" t="s">
        <v>12235</v>
      </c>
      <c r="D6886" t="s">
        <v>30094</v>
      </c>
      <c r="E6886" t="b">
        <v>0</v>
      </c>
      <c r="F6886" t="s">
        <v>11624</v>
      </c>
      <c r="G6886">
        <v>33.663200000000003</v>
      </c>
      <c r="H6886">
        <v>-79.6036</v>
      </c>
      <c r="I6886" t="s">
        <v>30095</v>
      </c>
      <c r="L6886">
        <v>0</v>
      </c>
      <c r="M6886">
        <v>0</v>
      </c>
      <c r="N6886">
        <v>0</v>
      </c>
      <c r="O6886" t="s">
        <v>11944</v>
      </c>
    </row>
    <row r="6887" spans="1:15">
      <c r="A6887" t="s">
        <v>14023</v>
      </c>
      <c r="B6887" t="s">
        <v>11637</v>
      </c>
      <c r="C6887" t="s">
        <v>17003</v>
      </c>
      <c r="D6887" t="s">
        <v>30096</v>
      </c>
      <c r="E6887" t="b">
        <v>0</v>
      </c>
      <c r="F6887" t="s">
        <v>11622</v>
      </c>
      <c r="L6887">
        <v>2</v>
      </c>
      <c r="M6887">
        <v>5</v>
      </c>
      <c r="N6887">
        <v>0</v>
      </c>
    </row>
    <row r="6888" spans="1:15">
      <c r="A6888" t="s">
        <v>12235</v>
      </c>
      <c r="B6888" t="s">
        <v>11637</v>
      </c>
      <c r="C6888" t="s">
        <v>14023</v>
      </c>
      <c r="D6888" t="s">
        <v>30097</v>
      </c>
      <c r="E6888" t="b">
        <v>0</v>
      </c>
      <c r="F6888" t="s">
        <v>11622</v>
      </c>
      <c r="L6888">
        <v>1</v>
      </c>
      <c r="M6888">
        <v>4</v>
      </c>
      <c r="N6888">
        <v>0</v>
      </c>
    </row>
    <row r="6889" spans="1:15">
      <c r="A6889" t="s">
        <v>30098</v>
      </c>
      <c r="B6889" t="s">
        <v>10597</v>
      </c>
      <c r="C6889" t="s">
        <v>25713</v>
      </c>
      <c r="D6889" t="s">
        <v>30099</v>
      </c>
      <c r="E6889" t="b">
        <v>0</v>
      </c>
      <c r="F6889" t="s">
        <v>11610</v>
      </c>
      <c r="L6889">
        <v>0</v>
      </c>
      <c r="M6889">
        <v>0</v>
      </c>
      <c r="N6889">
        <v>0</v>
      </c>
    </row>
    <row r="6890" spans="1:15">
      <c r="A6890" t="s">
        <v>30100</v>
      </c>
      <c r="B6890" t="s">
        <v>12241</v>
      </c>
      <c r="C6890" t="s">
        <v>30101</v>
      </c>
      <c r="D6890" t="s">
        <v>30102</v>
      </c>
      <c r="E6890" t="b">
        <v>0</v>
      </c>
      <c r="F6890" t="s">
        <v>11624</v>
      </c>
      <c r="L6890">
        <v>0</v>
      </c>
      <c r="M6890">
        <v>0</v>
      </c>
      <c r="N6890">
        <v>0</v>
      </c>
      <c r="O6890" t="s">
        <v>12107</v>
      </c>
    </row>
    <row r="6891" spans="1:15">
      <c r="A6891" t="s">
        <v>9769</v>
      </c>
      <c r="B6891" t="s">
        <v>9897</v>
      </c>
      <c r="C6891" t="s">
        <v>10240</v>
      </c>
      <c r="D6891" t="s">
        <v>10239</v>
      </c>
      <c r="E6891" t="b">
        <v>0</v>
      </c>
      <c r="F6891" t="s">
        <v>11610</v>
      </c>
      <c r="L6891">
        <v>0</v>
      </c>
      <c r="M6891">
        <v>0</v>
      </c>
      <c r="N6891">
        <v>0</v>
      </c>
    </row>
    <row r="6892" spans="1:15">
      <c r="A6892" t="s">
        <v>30103</v>
      </c>
      <c r="B6892" t="s">
        <v>10597</v>
      </c>
      <c r="C6892" t="s">
        <v>24690</v>
      </c>
      <c r="D6892" t="s">
        <v>30104</v>
      </c>
      <c r="E6892" t="b">
        <v>0</v>
      </c>
      <c r="F6892" t="s">
        <v>11624</v>
      </c>
      <c r="G6892">
        <v>-12.25254</v>
      </c>
      <c r="H6892">
        <v>136.83042</v>
      </c>
      <c r="I6892" t="s">
        <v>30105</v>
      </c>
      <c r="L6892">
        <v>0</v>
      </c>
      <c r="M6892">
        <v>0</v>
      </c>
      <c r="N6892">
        <v>1</v>
      </c>
      <c r="O6892" t="s">
        <v>12107</v>
      </c>
    </row>
    <row r="6893" spans="1:15">
      <c r="A6893" t="s">
        <v>30106</v>
      </c>
      <c r="B6893" t="s">
        <v>367</v>
      </c>
      <c r="C6893" t="s">
        <v>14042</v>
      </c>
      <c r="D6893" t="s">
        <v>30107</v>
      </c>
      <c r="E6893" t="b">
        <v>0</v>
      </c>
      <c r="F6893" t="s">
        <v>11624</v>
      </c>
      <c r="G6893">
        <v>-9.2849699999999995</v>
      </c>
      <c r="H6893">
        <v>150.762</v>
      </c>
      <c r="I6893" t="s">
        <v>30108</v>
      </c>
      <c r="L6893">
        <v>0</v>
      </c>
      <c r="M6893">
        <v>0</v>
      </c>
      <c r="N6893">
        <v>0</v>
      </c>
      <c r="O6893" t="s">
        <v>11660</v>
      </c>
    </row>
    <row r="6894" spans="1:15">
      <c r="A6894" t="s">
        <v>30109</v>
      </c>
      <c r="B6894" t="s">
        <v>11615</v>
      </c>
      <c r="C6894" t="s">
        <v>13430</v>
      </c>
      <c r="D6894" t="s">
        <v>30110</v>
      </c>
      <c r="E6894" t="b">
        <v>0</v>
      </c>
      <c r="F6894" t="s">
        <v>11624</v>
      </c>
      <c r="G6894">
        <v>-5.2218900000000001</v>
      </c>
      <c r="H6894">
        <v>145.61799999999999</v>
      </c>
      <c r="I6894" t="s">
        <v>30111</v>
      </c>
      <c r="L6894">
        <v>0</v>
      </c>
      <c r="M6894">
        <v>0</v>
      </c>
      <c r="N6894">
        <v>0</v>
      </c>
      <c r="O6894" t="s">
        <v>11660</v>
      </c>
    </row>
    <row r="6895" spans="1:15">
      <c r="A6895" t="s">
        <v>30112</v>
      </c>
      <c r="B6895" t="s">
        <v>11607</v>
      </c>
      <c r="C6895" t="s">
        <v>16499</v>
      </c>
      <c r="D6895" t="s">
        <v>30113</v>
      </c>
      <c r="E6895" t="b">
        <v>0</v>
      </c>
      <c r="F6895" t="s">
        <v>11610</v>
      </c>
      <c r="L6895">
        <v>0</v>
      </c>
      <c r="M6895">
        <v>0</v>
      </c>
      <c r="N6895">
        <v>0</v>
      </c>
    </row>
    <row r="6896" spans="1:15">
      <c r="A6896" t="s">
        <v>30114</v>
      </c>
      <c r="B6896" t="s">
        <v>10597</v>
      </c>
      <c r="C6896" t="s">
        <v>30115</v>
      </c>
      <c r="D6896" t="s">
        <v>30116</v>
      </c>
      <c r="E6896" t="b">
        <v>0</v>
      </c>
      <c r="F6896" t="s">
        <v>11622</v>
      </c>
      <c r="L6896">
        <v>0</v>
      </c>
      <c r="M6896">
        <v>2</v>
      </c>
      <c r="N6896">
        <v>0</v>
      </c>
    </row>
    <row r="6897" spans="1:15">
      <c r="A6897" t="s">
        <v>30117</v>
      </c>
      <c r="B6897" t="s">
        <v>367</v>
      </c>
      <c r="C6897" t="s">
        <v>14866</v>
      </c>
      <c r="D6897" t="s">
        <v>30118</v>
      </c>
      <c r="E6897" t="b">
        <v>0</v>
      </c>
      <c r="F6897" t="s">
        <v>11610</v>
      </c>
      <c r="L6897">
        <v>0</v>
      </c>
      <c r="M6897">
        <v>0</v>
      </c>
      <c r="N6897">
        <v>0</v>
      </c>
    </row>
    <row r="6898" spans="1:15">
      <c r="A6898" t="s">
        <v>30119</v>
      </c>
      <c r="B6898" t="s">
        <v>11607</v>
      </c>
      <c r="C6898" t="s">
        <v>22119</v>
      </c>
      <c r="D6898" t="s">
        <v>30120</v>
      </c>
      <c r="E6898" t="b">
        <v>0</v>
      </c>
      <c r="F6898" t="s">
        <v>11610</v>
      </c>
      <c r="L6898">
        <v>0</v>
      </c>
      <c r="M6898">
        <v>0</v>
      </c>
      <c r="N6898">
        <v>0</v>
      </c>
    </row>
    <row r="6899" spans="1:15">
      <c r="A6899" t="s">
        <v>13430</v>
      </c>
      <c r="B6899" t="s">
        <v>11615</v>
      </c>
      <c r="C6899" t="s">
        <v>30121</v>
      </c>
      <c r="D6899" t="s">
        <v>30122</v>
      </c>
      <c r="E6899" t="b">
        <v>0</v>
      </c>
      <c r="F6899" t="s">
        <v>11622</v>
      </c>
      <c r="L6899">
        <v>1</v>
      </c>
      <c r="M6899">
        <v>6</v>
      </c>
      <c r="N6899">
        <v>6</v>
      </c>
    </row>
    <row r="6900" spans="1:15">
      <c r="A6900" t="s">
        <v>17211</v>
      </c>
      <c r="B6900" t="s">
        <v>6742</v>
      </c>
      <c r="C6900" t="s">
        <v>17215</v>
      </c>
      <c r="D6900" t="s">
        <v>30123</v>
      </c>
      <c r="E6900" t="b">
        <v>0</v>
      </c>
      <c r="F6900" t="s">
        <v>11622</v>
      </c>
      <c r="L6900">
        <v>0</v>
      </c>
      <c r="M6900">
        <v>2</v>
      </c>
      <c r="N6900">
        <v>0</v>
      </c>
    </row>
    <row r="6901" spans="1:15">
      <c r="A6901" t="s">
        <v>30124</v>
      </c>
      <c r="B6901" t="s">
        <v>11844</v>
      </c>
      <c r="C6901" t="s">
        <v>30125</v>
      </c>
      <c r="D6901" t="s">
        <v>30126</v>
      </c>
      <c r="E6901" t="b">
        <v>0</v>
      </c>
      <c r="F6901" t="s">
        <v>11610</v>
      </c>
      <c r="L6901">
        <v>0</v>
      </c>
      <c r="M6901">
        <v>0</v>
      </c>
      <c r="N6901">
        <v>0</v>
      </c>
    </row>
    <row r="6902" spans="1:15">
      <c r="A6902" t="s">
        <v>12255</v>
      </c>
      <c r="B6902" t="s">
        <v>12254</v>
      </c>
      <c r="C6902" t="s">
        <v>12254</v>
      </c>
      <c r="D6902" t="s">
        <v>30127</v>
      </c>
      <c r="E6902" t="b">
        <v>0</v>
      </c>
      <c r="F6902" t="s">
        <v>11624</v>
      </c>
      <c r="G6902">
        <v>11.05</v>
      </c>
      <c r="H6902">
        <v>35.93</v>
      </c>
      <c r="I6902" t="s">
        <v>30128</v>
      </c>
      <c r="L6902">
        <v>0</v>
      </c>
      <c r="M6902">
        <v>0</v>
      </c>
      <c r="N6902">
        <v>19</v>
      </c>
      <c r="O6902" t="s">
        <v>14035</v>
      </c>
    </row>
    <row r="6903" spans="1:15">
      <c r="A6903" t="s">
        <v>12254</v>
      </c>
      <c r="D6903" t="s">
        <v>30129</v>
      </c>
      <c r="E6903" t="b">
        <v>0</v>
      </c>
      <c r="F6903" t="s">
        <v>11622</v>
      </c>
      <c r="L6903">
        <v>1</v>
      </c>
      <c r="M6903">
        <v>3</v>
      </c>
      <c r="N6903">
        <v>19</v>
      </c>
    </row>
    <row r="6904" spans="1:15">
      <c r="A6904" t="s">
        <v>30130</v>
      </c>
      <c r="B6904" t="s">
        <v>11615</v>
      </c>
      <c r="C6904" t="s">
        <v>24863</v>
      </c>
      <c r="D6904" t="s">
        <v>30131</v>
      </c>
      <c r="E6904" t="b">
        <v>0</v>
      </c>
      <c r="F6904" t="s">
        <v>11610</v>
      </c>
      <c r="L6904">
        <v>0</v>
      </c>
      <c r="M6904">
        <v>0</v>
      </c>
      <c r="N6904">
        <v>0</v>
      </c>
    </row>
    <row r="6905" spans="1:15">
      <c r="A6905" t="s">
        <v>30132</v>
      </c>
      <c r="B6905" t="s">
        <v>9897</v>
      </c>
      <c r="C6905" t="s">
        <v>10240</v>
      </c>
      <c r="D6905" t="s">
        <v>30133</v>
      </c>
      <c r="E6905" t="b">
        <v>0</v>
      </c>
      <c r="F6905" t="s">
        <v>11610</v>
      </c>
      <c r="L6905">
        <v>0</v>
      </c>
      <c r="M6905">
        <v>0</v>
      </c>
      <c r="N6905">
        <v>0</v>
      </c>
    </row>
    <row r="6906" spans="1:15">
      <c r="A6906" t="s">
        <v>30134</v>
      </c>
      <c r="B6906" t="s">
        <v>6742</v>
      </c>
      <c r="C6906" t="s">
        <v>16092</v>
      </c>
      <c r="D6906" t="s">
        <v>30135</v>
      </c>
      <c r="E6906" t="b">
        <v>0</v>
      </c>
      <c r="F6906" t="s">
        <v>11624</v>
      </c>
      <c r="G6906">
        <v>3.45973</v>
      </c>
      <c r="H6906">
        <v>15.7334</v>
      </c>
      <c r="I6906" t="s">
        <v>30136</v>
      </c>
      <c r="L6906">
        <v>0</v>
      </c>
      <c r="M6906">
        <v>0</v>
      </c>
      <c r="N6906">
        <v>0</v>
      </c>
      <c r="O6906" t="s">
        <v>28845</v>
      </c>
    </row>
    <row r="6907" spans="1:15">
      <c r="A6907" t="s">
        <v>30137</v>
      </c>
      <c r="B6907" t="s">
        <v>10597</v>
      </c>
      <c r="C6907" t="s">
        <v>30138</v>
      </c>
      <c r="D6907" t="s">
        <v>30139</v>
      </c>
      <c r="E6907" t="b">
        <v>0</v>
      </c>
      <c r="F6907" t="s">
        <v>11610</v>
      </c>
      <c r="G6907">
        <v>-33.700000000000003</v>
      </c>
      <c r="H6907">
        <v>150.30000000000001</v>
      </c>
      <c r="I6907" t="s">
        <v>30140</v>
      </c>
      <c r="L6907">
        <v>0</v>
      </c>
      <c r="M6907">
        <v>0</v>
      </c>
      <c r="N6907">
        <v>0</v>
      </c>
      <c r="O6907" t="s">
        <v>12107</v>
      </c>
    </row>
    <row r="6908" spans="1:15">
      <c r="A6908" t="s">
        <v>30141</v>
      </c>
      <c r="B6908" t="s">
        <v>10597</v>
      </c>
      <c r="C6908" t="s">
        <v>30142</v>
      </c>
      <c r="D6908" t="s">
        <v>30143</v>
      </c>
      <c r="E6908" t="b">
        <v>0</v>
      </c>
      <c r="F6908" t="s">
        <v>11610</v>
      </c>
      <c r="L6908">
        <v>0</v>
      </c>
      <c r="M6908">
        <v>0</v>
      </c>
      <c r="N6908">
        <v>0</v>
      </c>
      <c r="O6908" t="s">
        <v>12107</v>
      </c>
    </row>
    <row r="6909" spans="1:15">
      <c r="A6909" t="s">
        <v>30144</v>
      </c>
      <c r="B6909" t="s">
        <v>9897</v>
      </c>
      <c r="C6909" t="s">
        <v>10240</v>
      </c>
      <c r="D6909" t="s">
        <v>30145</v>
      </c>
      <c r="E6909" t="b">
        <v>0</v>
      </c>
      <c r="F6909" t="s">
        <v>11610</v>
      </c>
      <c r="L6909">
        <v>0</v>
      </c>
      <c r="M6909">
        <v>0</v>
      </c>
      <c r="N6909">
        <v>2</v>
      </c>
    </row>
    <row r="6910" spans="1:15">
      <c r="A6910" t="s">
        <v>30146</v>
      </c>
      <c r="B6910" t="s">
        <v>10597</v>
      </c>
      <c r="C6910" t="s">
        <v>2618</v>
      </c>
      <c r="D6910" t="s">
        <v>30147</v>
      </c>
      <c r="E6910" t="b">
        <v>0</v>
      </c>
      <c r="F6910" t="s">
        <v>11624</v>
      </c>
      <c r="G6910">
        <v>-25.689599999999999</v>
      </c>
      <c r="H6910">
        <v>148.60400000000001</v>
      </c>
      <c r="I6910" t="s">
        <v>30148</v>
      </c>
      <c r="L6910">
        <v>0</v>
      </c>
      <c r="M6910">
        <v>0</v>
      </c>
      <c r="N6910">
        <v>0</v>
      </c>
      <c r="O6910" t="s">
        <v>12107</v>
      </c>
    </row>
    <row r="6911" spans="1:15">
      <c r="A6911" t="s">
        <v>30149</v>
      </c>
      <c r="B6911" t="s">
        <v>10597</v>
      </c>
      <c r="C6911" t="s">
        <v>30150</v>
      </c>
      <c r="D6911" t="s">
        <v>30151</v>
      </c>
      <c r="E6911" t="b">
        <v>0</v>
      </c>
      <c r="F6911" t="s">
        <v>11610</v>
      </c>
      <c r="L6911">
        <v>0</v>
      </c>
      <c r="M6911">
        <v>0</v>
      </c>
      <c r="N6911">
        <v>0</v>
      </c>
    </row>
    <row r="6912" spans="1:15">
      <c r="A6912" t="s">
        <v>30152</v>
      </c>
      <c r="B6912" t="s">
        <v>6742</v>
      </c>
      <c r="C6912" t="s">
        <v>26557</v>
      </c>
      <c r="D6912" t="s">
        <v>30153</v>
      </c>
      <c r="E6912" t="b">
        <v>0</v>
      </c>
      <c r="F6912" t="s">
        <v>11624</v>
      </c>
      <c r="G6912">
        <v>2.0675400000000002</v>
      </c>
      <c r="H6912">
        <v>31.4819</v>
      </c>
      <c r="I6912" t="s">
        <v>30154</v>
      </c>
      <c r="L6912">
        <v>0</v>
      </c>
      <c r="M6912">
        <v>0</v>
      </c>
      <c r="N6912">
        <v>0</v>
      </c>
      <c r="O6912" t="s">
        <v>25786</v>
      </c>
    </row>
    <row r="6913" spans="1:15">
      <c r="A6913" t="s">
        <v>30155</v>
      </c>
      <c r="B6913" t="s">
        <v>4342</v>
      </c>
      <c r="C6913" t="s">
        <v>19678</v>
      </c>
      <c r="D6913" t="s">
        <v>30156</v>
      </c>
      <c r="E6913" t="b">
        <v>0</v>
      </c>
      <c r="F6913" t="s">
        <v>11610</v>
      </c>
      <c r="L6913">
        <v>0</v>
      </c>
      <c r="M6913">
        <v>0</v>
      </c>
      <c r="N6913">
        <v>0</v>
      </c>
    </row>
    <row r="6914" spans="1:15">
      <c r="A6914" t="s">
        <v>30157</v>
      </c>
      <c r="B6914" t="s">
        <v>20424</v>
      </c>
      <c r="C6914" t="s">
        <v>20423</v>
      </c>
      <c r="D6914" t="s">
        <v>30158</v>
      </c>
      <c r="E6914" t="b">
        <v>0</v>
      </c>
      <c r="F6914" t="s">
        <v>11610</v>
      </c>
      <c r="L6914">
        <v>0</v>
      </c>
      <c r="M6914">
        <v>0</v>
      </c>
      <c r="N6914">
        <v>0</v>
      </c>
    </row>
    <row r="6915" spans="1:15">
      <c r="A6915" t="s">
        <v>30159</v>
      </c>
      <c r="B6915" t="s">
        <v>20424</v>
      </c>
      <c r="C6915" t="s">
        <v>20423</v>
      </c>
      <c r="D6915" t="s">
        <v>30160</v>
      </c>
      <c r="E6915" t="b">
        <v>0</v>
      </c>
      <c r="F6915" t="s">
        <v>11610</v>
      </c>
      <c r="L6915">
        <v>0</v>
      </c>
      <c r="M6915">
        <v>0</v>
      </c>
      <c r="N6915">
        <v>0</v>
      </c>
    </row>
    <row r="6916" spans="1:15">
      <c r="A6916" t="s">
        <v>30161</v>
      </c>
      <c r="B6916" t="s">
        <v>20424</v>
      </c>
      <c r="C6916" t="s">
        <v>20423</v>
      </c>
      <c r="D6916" t="s">
        <v>30162</v>
      </c>
      <c r="E6916" t="b">
        <v>0</v>
      </c>
      <c r="F6916" t="s">
        <v>11610</v>
      </c>
      <c r="L6916">
        <v>0</v>
      </c>
      <c r="M6916">
        <v>0</v>
      </c>
      <c r="N6916">
        <v>0</v>
      </c>
    </row>
    <row r="6917" spans="1:15">
      <c r="A6917" t="s">
        <v>12632</v>
      </c>
      <c r="B6917" t="s">
        <v>6742</v>
      </c>
      <c r="C6917" t="s">
        <v>15474</v>
      </c>
      <c r="D6917" t="s">
        <v>30163</v>
      </c>
      <c r="E6917" t="b">
        <v>0</v>
      </c>
      <c r="F6917" t="s">
        <v>11624</v>
      </c>
      <c r="G6917">
        <v>6.48529</v>
      </c>
      <c r="H6917">
        <v>2.7676699999999999</v>
      </c>
      <c r="I6917" t="s">
        <v>30164</v>
      </c>
      <c r="L6917">
        <v>0</v>
      </c>
      <c r="M6917">
        <v>0</v>
      </c>
      <c r="N6917">
        <v>9</v>
      </c>
      <c r="O6917" t="s">
        <v>15587</v>
      </c>
    </row>
    <row r="6918" spans="1:15">
      <c r="A6918" t="s">
        <v>25412</v>
      </c>
      <c r="B6918" t="s">
        <v>11644</v>
      </c>
      <c r="C6918" t="s">
        <v>30165</v>
      </c>
      <c r="D6918" t="s">
        <v>30166</v>
      </c>
      <c r="E6918" t="b">
        <v>0</v>
      </c>
      <c r="F6918" t="s">
        <v>11622</v>
      </c>
      <c r="L6918">
        <v>0</v>
      </c>
      <c r="M6918">
        <v>2</v>
      </c>
      <c r="N6918">
        <v>8</v>
      </c>
    </row>
    <row r="6919" spans="1:15">
      <c r="A6919" t="s">
        <v>30167</v>
      </c>
      <c r="B6919" t="s">
        <v>11844</v>
      </c>
      <c r="C6919" t="s">
        <v>2278</v>
      </c>
      <c r="D6919" t="s">
        <v>30168</v>
      </c>
      <c r="E6919" t="b">
        <v>0</v>
      </c>
      <c r="F6919" t="s">
        <v>11610</v>
      </c>
      <c r="L6919">
        <v>0</v>
      </c>
      <c r="M6919">
        <v>0</v>
      </c>
      <c r="N6919">
        <v>0</v>
      </c>
    </row>
    <row r="6920" spans="1:15">
      <c r="A6920" t="s">
        <v>16250</v>
      </c>
      <c r="B6920" t="s">
        <v>14005</v>
      </c>
      <c r="C6920" t="s">
        <v>14300</v>
      </c>
      <c r="D6920" t="s">
        <v>30169</v>
      </c>
      <c r="E6920" t="b">
        <v>0</v>
      </c>
      <c r="F6920" t="s">
        <v>11624</v>
      </c>
      <c r="G6920">
        <v>-8.8080599999999993</v>
      </c>
      <c r="H6920">
        <v>141.25299999999999</v>
      </c>
      <c r="I6920" t="s">
        <v>30170</v>
      </c>
      <c r="L6920">
        <v>0</v>
      </c>
      <c r="M6920">
        <v>0</v>
      </c>
      <c r="N6920">
        <v>5</v>
      </c>
      <c r="O6920" t="s">
        <v>11660</v>
      </c>
    </row>
    <row r="6921" spans="1:15">
      <c r="A6921" t="s">
        <v>9897</v>
      </c>
      <c r="D6921" t="s">
        <v>30171</v>
      </c>
      <c r="E6921" t="b">
        <v>0</v>
      </c>
      <c r="F6921" t="s">
        <v>11622</v>
      </c>
      <c r="L6921">
        <v>9</v>
      </c>
      <c r="M6921">
        <v>12</v>
      </c>
      <c r="N6921">
        <v>8</v>
      </c>
    </row>
    <row r="6922" spans="1:15">
      <c r="A6922" t="s">
        <v>10240</v>
      </c>
      <c r="B6922" t="s">
        <v>9897</v>
      </c>
      <c r="C6922" t="s">
        <v>21783</v>
      </c>
      <c r="D6922" t="s">
        <v>30172</v>
      </c>
      <c r="E6922" t="b">
        <v>0</v>
      </c>
      <c r="F6922" t="s">
        <v>11624</v>
      </c>
      <c r="G6922">
        <v>-12.3398</v>
      </c>
      <c r="H6922">
        <v>133.358</v>
      </c>
      <c r="I6922" t="s">
        <v>10241</v>
      </c>
      <c r="L6922">
        <v>0</v>
      </c>
      <c r="M6922">
        <v>0</v>
      </c>
      <c r="N6922">
        <v>8</v>
      </c>
      <c r="O6922" t="s">
        <v>12107</v>
      </c>
    </row>
    <row r="6923" spans="1:15">
      <c r="A6923" t="s">
        <v>26472</v>
      </c>
      <c r="B6923" t="s">
        <v>9897</v>
      </c>
      <c r="C6923" t="s">
        <v>9897</v>
      </c>
      <c r="D6923" t="s">
        <v>30173</v>
      </c>
      <c r="E6923" t="b">
        <v>0</v>
      </c>
      <c r="F6923" t="s">
        <v>11622</v>
      </c>
      <c r="L6923">
        <v>3</v>
      </c>
      <c r="M6923">
        <v>5</v>
      </c>
      <c r="N6923">
        <v>0</v>
      </c>
    </row>
    <row r="6924" spans="1:15">
      <c r="A6924" t="s">
        <v>30174</v>
      </c>
      <c r="B6924" t="s">
        <v>10597</v>
      </c>
      <c r="C6924" t="s">
        <v>30175</v>
      </c>
      <c r="D6924" t="s">
        <v>30176</v>
      </c>
      <c r="E6924" t="b">
        <v>0</v>
      </c>
      <c r="F6924" t="s">
        <v>11624</v>
      </c>
      <c r="G6924">
        <v>-27.0642</v>
      </c>
      <c r="H6924">
        <v>145.86199999999999</v>
      </c>
      <c r="I6924" t="s">
        <v>30177</v>
      </c>
      <c r="L6924">
        <v>0</v>
      </c>
      <c r="M6924">
        <v>0</v>
      </c>
      <c r="N6924">
        <v>0</v>
      </c>
      <c r="O6924" t="s">
        <v>12107</v>
      </c>
    </row>
    <row r="6925" spans="1:15">
      <c r="A6925" t="s">
        <v>30178</v>
      </c>
      <c r="B6925" t="s">
        <v>6742</v>
      </c>
      <c r="C6925" t="s">
        <v>16010</v>
      </c>
      <c r="D6925" t="s">
        <v>30179</v>
      </c>
      <c r="E6925" t="b">
        <v>0</v>
      </c>
      <c r="F6925" t="s">
        <v>11610</v>
      </c>
      <c r="L6925">
        <v>0</v>
      </c>
      <c r="M6925">
        <v>0</v>
      </c>
      <c r="N6925">
        <v>0</v>
      </c>
    </row>
    <row r="6926" spans="1:15">
      <c r="A6926" t="s">
        <v>30180</v>
      </c>
      <c r="B6926" t="s">
        <v>11644</v>
      </c>
      <c r="C6926" t="s">
        <v>13869</v>
      </c>
      <c r="D6926" t="s">
        <v>30181</v>
      </c>
      <c r="E6926" t="b">
        <v>0</v>
      </c>
      <c r="F6926" t="s">
        <v>11610</v>
      </c>
      <c r="L6926">
        <v>0</v>
      </c>
      <c r="M6926">
        <v>0</v>
      </c>
      <c r="N6926">
        <v>0</v>
      </c>
    </row>
    <row r="6927" spans="1:15">
      <c r="A6927" t="s">
        <v>30182</v>
      </c>
      <c r="B6927" t="s">
        <v>11644</v>
      </c>
      <c r="C6927" t="s">
        <v>13869</v>
      </c>
      <c r="D6927" t="s">
        <v>30183</v>
      </c>
      <c r="E6927" t="b">
        <v>0</v>
      </c>
      <c r="F6927" t="s">
        <v>11610</v>
      </c>
      <c r="L6927">
        <v>0</v>
      </c>
      <c r="M6927">
        <v>0</v>
      </c>
      <c r="N6927">
        <v>0</v>
      </c>
    </row>
    <row r="6928" spans="1:15">
      <c r="A6928" t="s">
        <v>30184</v>
      </c>
      <c r="B6928" t="s">
        <v>10597</v>
      </c>
      <c r="C6928" t="s">
        <v>24975</v>
      </c>
      <c r="D6928" t="s">
        <v>30185</v>
      </c>
      <c r="E6928" t="b">
        <v>0</v>
      </c>
      <c r="F6928" t="s">
        <v>11624</v>
      </c>
      <c r="G6928">
        <v>-12.286799999999999</v>
      </c>
      <c r="H6928">
        <v>135.33699999999999</v>
      </c>
      <c r="I6928" t="s">
        <v>30186</v>
      </c>
      <c r="L6928">
        <v>0</v>
      </c>
      <c r="M6928">
        <v>0</v>
      </c>
      <c r="N6928">
        <v>6</v>
      </c>
      <c r="O6928" t="s">
        <v>12107</v>
      </c>
    </row>
    <row r="6929" spans="1:15">
      <c r="A6929" t="s">
        <v>11709</v>
      </c>
      <c r="B6929" t="s">
        <v>6742</v>
      </c>
      <c r="C6929" t="s">
        <v>30187</v>
      </c>
      <c r="D6929" t="s">
        <v>30188</v>
      </c>
      <c r="E6929" t="b">
        <v>0</v>
      </c>
      <c r="F6929" t="s">
        <v>11624</v>
      </c>
      <c r="G6929">
        <v>8.2129100000000008</v>
      </c>
      <c r="H6929">
        <v>6.6912799999999999</v>
      </c>
      <c r="I6929" t="s">
        <v>30189</v>
      </c>
      <c r="L6929">
        <v>0</v>
      </c>
      <c r="M6929">
        <v>0</v>
      </c>
      <c r="N6929">
        <v>2</v>
      </c>
      <c r="O6929" t="s">
        <v>11693</v>
      </c>
    </row>
    <row r="6930" spans="1:15">
      <c r="A6930" t="s">
        <v>30190</v>
      </c>
      <c r="B6930" t="s">
        <v>6742</v>
      </c>
      <c r="C6930" t="s">
        <v>11709</v>
      </c>
      <c r="D6930" t="s">
        <v>30191</v>
      </c>
      <c r="E6930" t="b">
        <v>0</v>
      </c>
      <c r="F6930" t="s">
        <v>11610</v>
      </c>
      <c r="L6930">
        <v>0</v>
      </c>
      <c r="M6930">
        <v>0</v>
      </c>
      <c r="N6930">
        <v>0</v>
      </c>
    </row>
    <row r="6931" spans="1:15">
      <c r="A6931" t="s">
        <v>28751</v>
      </c>
      <c r="B6931" t="s">
        <v>11637</v>
      </c>
      <c r="C6931" t="s">
        <v>29569</v>
      </c>
      <c r="D6931" t="s">
        <v>30192</v>
      </c>
      <c r="E6931" t="b">
        <v>0</v>
      </c>
      <c r="F6931" t="s">
        <v>11624</v>
      </c>
      <c r="G6931">
        <v>36.837699999999998</v>
      </c>
      <c r="H6931">
        <v>44.495600000000003</v>
      </c>
      <c r="I6931" t="s">
        <v>30193</v>
      </c>
      <c r="L6931">
        <v>0</v>
      </c>
      <c r="M6931">
        <v>0</v>
      </c>
      <c r="N6931">
        <v>6</v>
      </c>
      <c r="O6931" t="s">
        <v>21347</v>
      </c>
    </row>
    <row r="6932" spans="1:15">
      <c r="A6932" t="s">
        <v>30194</v>
      </c>
      <c r="B6932" t="s">
        <v>20424</v>
      </c>
      <c r="C6932" t="s">
        <v>20425</v>
      </c>
      <c r="D6932" t="s">
        <v>30195</v>
      </c>
      <c r="E6932" t="b">
        <v>0</v>
      </c>
      <c r="F6932" t="s">
        <v>11624</v>
      </c>
      <c r="G6932">
        <v>-12.66855</v>
      </c>
      <c r="H6932">
        <v>134.09501</v>
      </c>
      <c r="I6932" t="s">
        <v>30196</v>
      </c>
      <c r="L6932">
        <v>0</v>
      </c>
      <c r="M6932">
        <v>0</v>
      </c>
      <c r="N6932">
        <v>0</v>
      </c>
      <c r="O6932" t="s">
        <v>12107</v>
      </c>
    </row>
    <row r="6933" spans="1:15">
      <c r="A6933" t="s">
        <v>30197</v>
      </c>
      <c r="B6933" t="s">
        <v>6742</v>
      </c>
      <c r="C6933" t="s">
        <v>30198</v>
      </c>
      <c r="D6933" t="s">
        <v>30199</v>
      </c>
      <c r="E6933" t="b">
        <v>0</v>
      </c>
      <c r="F6933" t="s">
        <v>11610</v>
      </c>
      <c r="L6933">
        <v>0</v>
      </c>
      <c r="M6933">
        <v>0</v>
      </c>
      <c r="N6933">
        <v>0</v>
      </c>
    </row>
    <row r="6934" spans="1:15">
      <c r="A6934" t="s">
        <v>30200</v>
      </c>
      <c r="B6934" t="s">
        <v>367</v>
      </c>
      <c r="C6934" t="s">
        <v>30201</v>
      </c>
      <c r="D6934" t="s">
        <v>30202</v>
      </c>
      <c r="E6934" t="b">
        <v>0</v>
      </c>
      <c r="F6934" t="s">
        <v>11624</v>
      </c>
      <c r="G6934">
        <v>-4.2666599999999999</v>
      </c>
      <c r="H6934">
        <v>152.93299999999999</v>
      </c>
      <c r="I6934" t="s">
        <v>30203</v>
      </c>
      <c r="L6934">
        <v>0</v>
      </c>
      <c r="M6934">
        <v>0</v>
      </c>
      <c r="N6934">
        <v>0</v>
      </c>
      <c r="O6934" t="s">
        <v>11660</v>
      </c>
    </row>
    <row r="6935" spans="1:15">
      <c r="A6935" t="s">
        <v>30204</v>
      </c>
      <c r="B6935" t="s">
        <v>11607</v>
      </c>
      <c r="C6935" t="s">
        <v>22119</v>
      </c>
      <c r="D6935" t="s">
        <v>30205</v>
      </c>
      <c r="E6935" t="b">
        <v>0</v>
      </c>
      <c r="F6935" t="s">
        <v>11610</v>
      </c>
      <c r="L6935">
        <v>0</v>
      </c>
      <c r="M6935">
        <v>0</v>
      </c>
      <c r="N6935">
        <v>0</v>
      </c>
    </row>
    <row r="6936" spans="1:15">
      <c r="A6936" t="s">
        <v>21811</v>
      </c>
      <c r="B6936" t="s">
        <v>6742</v>
      </c>
      <c r="C6936" t="s">
        <v>19959</v>
      </c>
      <c r="D6936" t="s">
        <v>30206</v>
      </c>
      <c r="E6936" t="b">
        <v>0</v>
      </c>
      <c r="F6936" t="s">
        <v>11622</v>
      </c>
      <c r="L6936">
        <v>81</v>
      </c>
      <c r="M6936">
        <v>110</v>
      </c>
      <c r="N6936">
        <v>185</v>
      </c>
    </row>
    <row r="6937" spans="1:15">
      <c r="A6937" t="s">
        <v>30207</v>
      </c>
      <c r="B6937" t="s">
        <v>10597</v>
      </c>
      <c r="C6937" t="s">
        <v>14445</v>
      </c>
      <c r="D6937" t="s">
        <v>30208</v>
      </c>
      <c r="E6937" t="b">
        <v>0</v>
      </c>
      <c r="F6937" t="s">
        <v>11624</v>
      </c>
      <c r="G6937">
        <v>-17.165299999999998</v>
      </c>
      <c r="H6937">
        <v>141.14500000000001</v>
      </c>
      <c r="I6937" t="s">
        <v>30209</v>
      </c>
      <c r="L6937">
        <v>0</v>
      </c>
      <c r="M6937">
        <v>0</v>
      </c>
      <c r="N6937">
        <v>0</v>
      </c>
      <c r="O6937" t="s">
        <v>12107</v>
      </c>
    </row>
    <row r="6938" spans="1:15">
      <c r="A6938" t="s">
        <v>30210</v>
      </c>
      <c r="B6938" t="s">
        <v>11637</v>
      </c>
      <c r="C6938" t="s">
        <v>14887</v>
      </c>
      <c r="D6938" t="s">
        <v>30211</v>
      </c>
      <c r="E6938" t="b">
        <v>0</v>
      </c>
      <c r="F6938" t="s">
        <v>11610</v>
      </c>
      <c r="L6938">
        <v>0</v>
      </c>
      <c r="M6938">
        <v>0</v>
      </c>
      <c r="N6938">
        <v>0</v>
      </c>
    </row>
    <row r="6939" spans="1:15">
      <c r="A6939" t="s">
        <v>24681</v>
      </c>
      <c r="B6939" t="s">
        <v>10597</v>
      </c>
      <c r="C6939" t="s">
        <v>26497</v>
      </c>
      <c r="D6939" t="s">
        <v>30212</v>
      </c>
      <c r="E6939" t="b">
        <v>0</v>
      </c>
      <c r="F6939" t="s">
        <v>11624</v>
      </c>
      <c r="G6939">
        <v>-25.389299999999999</v>
      </c>
      <c r="H6939">
        <v>151.17500000000001</v>
      </c>
      <c r="I6939" t="s">
        <v>30213</v>
      </c>
      <c r="L6939">
        <v>0</v>
      </c>
      <c r="M6939">
        <v>0</v>
      </c>
      <c r="N6939">
        <v>1</v>
      </c>
      <c r="O6939" t="s">
        <v>12107</v>
      </c>
    </row>
    <row r="6940" spans="1:15">
      <c r="A6940" t="s">
        <v>30214</v>
      </c>
      <c r="B6940" t="s">
        <v>11637</v>
      </c>
      <c r="C6940" t="s">
        <v>29158</v>
      </c>
      <c r="D6940" t="s">
        <v>30215</v>
      </c>
      <c r="E6940" t="b">
        <v>0</v>
      </c>
      <c r="F6940" t="s">
        <v>11624</v>
      </c>
      <c r="G6940">
        <v>25.736999999999998</v>
      </c>
      <c r="H6940">
        <v>68.564999999999998</v>
      </c>
      <c r="I6940" t="s">
        <v>30216</v>
      </c>
      <c r="L6940">
        <v>0</v>
      </c>
      <c r="M6940">
        <v>0</v>
      </c>
      <c r="N6940">
        <v>0</v>
      </c>
      <c r="O6940" t="s">
        <v>12172</v>
      </c>
    </row>
    <row r="6941" spans="1:15">
      <c r="A6941" t="s">
        <v>30217</v>
      </c>
      <c r="B6941" t="s">
        <v>11637</v>
      </c>
      <c r="C6941" t="s">
        <v>21194</v>
      </c>
      <c r="D6941" t="s">
        <v>30218</v>
      </c>
      <c r="E6941" t="b">
        <v>0</v>
      </c>
      <c r="F6941" t="s">
        <v>11624</v>
      </c>
      <c r="G6941">
        <v>36.83</v>
      </c>
      <c r="H6941">
        <v>54.43</v>
      </c>
      <c r="L6941">
        <v>0</v>
      </c>
      <c r="M6941">
        <v>0</v>
      </c>
      <c r="N6941">
        <v>0</v>
      </c>
      <c r="O6941" t="s">
        <v>13225</v>
      </c>
    </row>
    <row r="6942" spans="1:15">
      <c r="A6942" t="s">
        <v>7363</v>
      </c>
      <c r="B6942" t="s">
        <v>12148</v>
      </c>
      <c r="C6942" t="s">
        <v>61</v>
      </c>
      <c r="D6942" t="s">
        <v>30219</v>
      </c>
      <c r="E6942" t="b">
        <v>0</v>
      </c>
      <c r="F6942" t="s">
        <v>11610</v>
      </c>
      <c r="L6942">
        <v>0</v>
      </c>
      <c r="M6942">
        <v>0</v>
      </c>
      <c r="N6942">
        <v>0</v>
      </c>
    </row>
    <row r="6943" spans="1:15">
      <c r="A6943" t="s">
        <v>30220</v>
      </c>
      <c r="B6943" t="s">
        <v>10597</v>
      </c>
      <c r="C6943" t="s">
        <v>30221</v>
      </c>
      <c r="D6943" t="s">
        <v>30222</v>
      </c>
      <c r="E6943" t="b">
        <v>0</v>
      </c>
      <c r="F6943" t="s">
        <v>11624</v>
      </c>
      <c r="G6943">
        <v>-17.032900000000001</v>
      </c>
      <c r="H6943">
        <v>130.37899999999999</v>
      </c>
      <c r="I6943" t="s">
        <v>30223</v>
      </c>
      <c r="L6943">
        <v>0</v>
      </c>
      <c r="M6943">
        <v>0</v>
      </c>
      <c r="N6943">
        <v>2</v>
      </c>
      <c r="O6943" t="s">
        <v>12107</v>
      </c>
    </row>
    <row r="6944" spans="1:15">
      <c r="A6944" t="s">
        <v>30224</v>
      </c>
      <c r="D6944" t="s">
        <v>30225</v>
      </c>
      <c r="E6944" t="b">
        <v>0</v>
      </c>
      <c r="F6944" t="s">
        <v>11624</v>
      </c>
      <c r="G6944">
        <v>-3.5718000000000001</v>
      </c>
      <c r="H6944">
        <v>141.59700000000001</v>
      </c>
      <c r="I6944" t="s">
        <v>30226</v>
      </c>
      <c r="L6944">
        <v>0</v>
      </c>
      <c r="M6944">
        <v>0</v>
      </c>
      <c r="N6944">
        <v>0</v>
      </c>
      <c r="O6944" t="s">
        <v>11660</v>
      </c>
    </row>
    <row r="6945" spans="1:15">
      <c r="A6945" t="s">
        <v>30227</v>
      </c>
      <c r="B6945" t="s">
        <v>12204</v>
      </c>
      <c r="C6945" t="s">
        <v>30228</v>
      </c>
      <c r="D6945" t="s">
        <v>30229</v>
      </c>
      <c r="E6945" t="b">
        <v>0</v>
      </c>
      <c r="F6945" t="s">
        <v>11624</v>
      </c>
      <c r="I6945" t="s">
        <v>30230</v>
      </c>
      <c r="L6945">
        <v>0</v>
      </c>
      <c r="M6945">
        <v>0</v>
      </c>
      <c r="N6945">
        <v>0</v>
      </c>
      <c r="O6945" t="s">
        <v>12107</v>
      </c>
    </row>
    <row r="6946" spans="1:15">
      <c r="A6946" t="s">
        <v>30221</v>
      </c>
      <c r="B6946" t="s">
        <v>10597</v>
      </c>
      <c r="C6946" t="s">
        <v>30231</v>
      </c>
      <c r="D6946" t="s">
        <v>30232</v>
      </c>
      <c r="E6946" t="b">
        <v>0</v>
      </c>
      <c r="F6946" t="s">
        <v>11622</v>
      </c>
      <c r="L6946">
        <v>0</v>
      </c>
      <c r="M6946">
        <v>3</v>
      </c>
      <c r="N6946">
        <v>5</v>
      </c>
    </row>
    <row r="6947" spans="1:15">
      <c r="A6947" t="s">
        <v>30228</v>
      </c>
      <c r="B6947" t="s">
        <v>12204</v>
      </c>
      <c r="C6947" t="s">
        <v>12204</v>
      </c>
      <c r="D6947" t="s">
        <v>30233</v>
      </c>
      <c r="E6947" t="b">
        <v>0</v>
      </c>
      <c r="F6947" t="s">
        <v>11622</v>
      </c>
      <c r="L6947">
        <v>0</v>
      </c>
      <c r="M6947">
        <v>1</v>
      </c>
      <c r="N6947">
        <v>0</v>
      </c>
    </row>
    <row r="6948" spans="1:15">
      <c r="A6948" t="s">
        <v>30234</v>
      </c>
      <c r="B6948" t="s">
        <v>10597</v>
      </c>
      <c r="C6948" t="s">
        <v>10029</v>
      </c>
      <c r="D6948" t="s">
        <v>30235</v>
      </c>
      <c r="E6948" t="b">
        <v>0</v>
      </c>
      <c r="F6948" t="s">
        <v>11610</v>
      </c>
      <c r="L6948">
        <v>0</v>
      </c>
      <c r="M6948">
        <v>0</v>
      </c>
      <c r="N6948">
        <v>0</v>
      </c>
    </row>
    <row r="6949" spans="1:15">
      <c r="A6949" t="s">
        <v>30236</v>
      </c>
      <c r="B6949" t="s">
        <v>6742</v>
      </c>
      <c r="C6949" t="s">
        <v>17487</v>
      </c>
      <c r="D6949" t="s">
        <v>30237</v>
      </c>
      <c r="E6949" t="b">
        <v>0</v>
      </c>
      <c r="F6949" t="s">
        <v>11624</v>
      </c>
      <c r="G6949">
        <v>10.1487</v>
      </c>
      <c r="H6949">
        <v>6.7945599999999997</v>
      </c>
      <c r="I6949" t="s">
        <v>30238</v>
      </c>
      <c r="L6949">
        <v>0</v>
      </c>
      <c r="M6949">
        <v>0</v>
      </c>
      <c r="N6949">
        <v>0</v>
      </c>
      <c r="O6949" t="s">
        <v>11693</v>
      </c>
    </row>
    <row r="6950" spans="1:15">
      <c r="A6950" t="s">
        <v>30239</v>
      </c>
      <c r="B6950" t="s">
        <v>6742</v>
      </c>
      <c r="C6950" t="s">
        <v>30240</v>
      </c>
      <c r="D6950" t="s">
        <v>30241</v>
      </c>
      <c r="E6950" t="b">
        <v>0</v>
      </c>
      <c r="F6950" t="s">
        <v>11622</v>
      </c>
      <c r="L6950">
        <v>23</v>
      </c>
      <c r="M6950">
        <v>26</v>
      </c>
      <c r="N6950">
        <v>52</v>
      </c>
    </row>
    <row r="6951" spans="1:15">
      <c r="A6951" t="s">
        <v>30242</v>
      </c>
      <c r="B6951" t="s">
        <v>6742</v>
      </c>
      <c r="C6951" t="s">
        <v>30239</v>
      </c>
      <c r="D6951" t="s">
        <v>30243</v>
      </c>
      <c r="E6951" t="b">
        <v>0</v>
      </c>
      <c r="F6951" t="s">
        <v>11622</v>
      </c>
      <c r="L6951">
        <v>7</v>
      </c>
      <c r="M6951">
        <v>9</v>
      </c>
      <c r="N6951">
        <v>16</v>
      </c>
    </row>
    <row r="6952" spans="1:15">
      <c r="A6952" t="s">
        <v>30244</v>
      </c>
      <c r="B6952" t="s">
        <v>6742</v>
      </c>
      <c r="C6952" t="s">
        <v>30242</v>
      </c>
      <c r="D6952" t="s">
        <v>30245</v>
      </c>
      <c r="E6952" t="b">
        <v>0</v>
      </c>
      <c r="F6952" t="s">
        <v>11622</v>
      </c>
      <c r="L6952">
        <v>5</v>
      </c>
      <c r="M6952">
        <v>7</v>
      </c>
      <c r="N6952">
        <v>16</v>
      </c>
    </row>
    <row r="6953" spans="1:15">
      <c r="A6953" t="s">
        <v>29654</v>
      </c>
      <c r="B6953" t="s">
        <v>6742</v>
      </c>
      <c r="C6953" t="s">
        <v>30244</v>
      </c>
      <c r="D6953" t="s">
        <v>30246</v>
      </c>
      <c r="E6953" t="b">
        <v>0</v>
      </c>
      <c r="F6953" t="s">
        <v>11622</v>
      </c>
      <c r="L6953">
        <v>3</v>
      </c>
      <c r="M6953">
        <v>5</v>
      </c>
      <c r="N6953">
        <v>11</v>
      </c>
    </row>
    <row r="6954" spans="1:15">
      <c r="A6954" t="s">
        <v>30247</v>
      </c>
      <c r="B6954" t="s">
        <v>13276</v>
      </c>
      <c r="C6954" t="s">
        <v>30248</v>
      </c>
      <c r="D6954" t="s">
        <v>30249</v>
      </c>
      <c r="E6954" t="b">
        <v>0</v>
      </c>
      <c r="F6954" t="s">
        <v>11622</v>
      </c>
      <c r="L6954">
        <v>4</v>
      </c>
      <c r="M6954">
        <v>6</v>
      </c>
      <c r="N6954">
        <v>40</v>
      </c>
    </row>
    <row r="6955" spans="1:15">
      <c r="A6955" t="s">
        <v>24081</v>
      </c>
      <c r="B6955" t="s">
        <v>13276</v>
      </c>
      <c r="C6955" t="s">
        <v>30247</v>
      </c>
      <c r="D6955" t="s">
        <v>30250</v>
      </c>
      <c r="E6955" t="b">
        <v>0</v>
      </c>
      <c r="F6955" t="s">
        <v>11622</v>
      </c>
      <c r="L6955">
        <v>3</v>
      </c>
      <c r="M6955">
        <v>5</v>
      </c>
      <c r="N6955">
        <v>40</v>
      </c>
    </row>
    <row r="6956" spans="1:15">
      <c r="A6956" t="s">
        <v>30251</v>
      </c>
      <c r="B6956" t="s">
        <v>13276</v>
      </c>
      <c r="C6956" t="s">
        <v>24081</v>
      </c>
      <c r="D6956" t="s">
        <v>30252</v>
      </c>
      <c r="E6956" t="b">
        <v>0</v>
      </c>
      <c r="F6956" t="s">
        <v>11622</v>
      </c>
      <c r="L6956">
        <v>0</v>
      </c>
      <c r="M6956">
        <v>2</v>
      </c>
      <c r="N6956">
        <v>5</v>
      </c>
    </row>
    <row r="6957" spans="1:15">
      <c r="A6957" t="s">
        <v>30253</v>
      </c>
      <c r="B6957" t="s">
        <v>13276</v>
      </c>
      <c r="C6957" t="s">
        <v>30251</v>
      </c>
      <c r="D6957" t="s">
        <v>30254</v>
      </c>
      <c r="E6957" t="b">
        <v>0</v>
      </c>
      <c r="F6957" t="s">
        <v>11624</v>
      </c>
      <c r="G6957">
        <v>7.3495400000000002</v>
      </c>
      <c r="H6957">
        <v>-6.3115399999999999</v>
      </c>
      <c r="I6957" t="s">
        <v>30255</v>
      </c>
      <c r="L6957">
        <v>0</v>
      </c>
      <c r="M6957">
        <v>0</v>
      </c>
      <c r="N6957">
        <v>0</v>
      </c>
      <c r="O6957" t="s">
        <v>11735</v>
      </c>
    </row>
    <row r="6958" spans="1:15">
      <c r="A6958" t="s">
        <v>30256</v>
      </c>
      <c r="B6958" t="s">
        <v>11644</v>
      </c>
      <c r="C6958" t="s">
        <v>30257</v>
      </c>
      <c r="D6958" t="s">
        <v>30258</v>
      </c>
      <c r="E6958" t="b">
        <v>0</v>
      </c>
      <c r="F6958" t="s">
        <v>11622</v>
      </c>
      <c r="L6958">
        <v>2</v>
      </c>
      <c r="M6958">
        <v>5</v>
      </c>
      <c r="N6958">
        <v>13</v>
      </c>
    </row>
    <row r="6959" spans="1:15">
      <c r="A6959" t="s">
        <v>25943</v>
      </c>
      <c r="B6959" t="s">
        <v>11644</v>
      </c>
      <c r="C6959" t="s">
        <v>30256</v>
      </c>
      <c r="D6959" t="s">
        <v>30259</v>
      </c>
      <c r="E6959" t="b">
        <v>0</v>
      </c>
      <c r="F6959" t="s">
        <v>11624</v>
      </c>
      <c r="G6959">
        <v>27.416869999999999</v>
      </c>
      <c r="H6959">
        <v>86.289879999999997</v>
      </c>
      <c r="I6959" t="s">
        <v>30260</v>
      </c>
      <c r="L6959">
        <v>0</v>
      </c>
      <c r="M6959">
        <v>0</v>
      </c>
      <c r="N6959">
        <v>7</v>
      </c>
      <c r="O6959" t="s">
        <v>30261</v>
      </c>
    </row>
    <row r="6960" spans="1:15">
      <c r="A6960" t="s">
        <v>30262</v>
      </c>
      <c r="B6960" t="s">
        <v>6742</v>
      </c>
      <c r="C6960" t="s">
        <v>19532</v>
      </c>
      <c r="D6960" t="s">
        <v>30263</v>
      </c>
      <c r="E6960" t="b">
        <v>0</v>
      </c>
      <c r="F6960" t="s">
        <v>11610</v>
      </c>
      <c r="L6960">
        <v>0</v>
      </c>
      <c r="M6960">
        <v>0</v>
      </c>
      <c r="N6960">
        <v>0</v>
      </c>
    </row>
    <row r="6961" spans="1:15">
      <c r="A6961" t="s">
        <v>30264</v>
      </c>
      <c r="B6961" t="s">
        <v>6742</v>
      </c>
      <c r="C6961" t="s">
        <v>30265</v>
      </c>
      <c r="D6961" t="s">
        <v>30266</v>
      </c>
      <c r="E6961" t="b">
        <v>0</v>
      </c>
      <c r="F6961" t="s">
        <v>11610</v>
      </c>
      <c r="L6961">
        <v>0</v>
      </c>
      <c r="M6961">
        <v>0</v>
      </c>
      <c r="N6961">
        <v>0</v>
      </c>
    </row>
    <row r="6962" spans="1:15">
      <c r="A6962" t="s">
        <v>30267</v>
      </c>
      <c r="B6962" t="s">
        <v>6742</v>
      </c>
      <c r="C6962" t="s">
        <v>29894</v>
      </c>
      <c r="D6962" t="s">
        <v>30268</v>
      </c>
      <c r="E6962" t="b">
        <v>0</v>
      </c>
      <c r="F6962" t="s">
        <v>11610</v>
      </c>
      <c r="L6962">
        <v>0</v>
      </c>
      <c r="M6962">
        <v>0</v>
      </c>
      <c r="N6962">
        <v>0</v>
      </c>
    </row>
    <row r="6963" spans="1:15">
      <c r="A6963" t="s">
        <v>30269</v>
      </c>
      <c r="B6963" t="s">
        <v>1342</v>
      </c>
      <c r="C6963" t="s">
        <v>16382</v>
      </c>
      <c r="D6963" t="s">
        <v>30270</v>
      </c>
      <c r="E6963" t="b">
        <v>0</v>
      </c>
      <c r="F6963" t="s">
        <v>11610</v>
      </c>
      <c r="L6963">
        <v>0</v>
      </c>
      <c r="M6963">
        <v>0</v>
      </c>
      <c r="N6963">
        <v>0</v>
      </c>
    </row>
    <row r="6964" spans="1:15">
      <c r="A6964" t="s">
        <v>25288</v>
      </c>
      <c r="B6964" t="s">
        <v>11607</v>
      </c>
      <c r="C6964" t="s">
        <v>30271</v>
      </c>
      <c r="D6964" t="s">
        <v>30272</v>
      </c>
      <c r="E6964" t="b">
        <v>0</v>
      </c>
      <c r="F6964" t="s">
        <v>11624</v>
      </c>
      <c r="G6964">
        <v>9.8733199999999997</v>
      </c>
      <c r="H6964">
        <v>10.162000000000001</v>
      </c>
      <c r="I6964" t="s">
        <v>30273</v>
      </c>
      <c r="L6964">
        <v>0</v>
      </c>
      <c r="M6964">
        <v>0</v>
      </c>
      <c r="N6964">
        <v>7</v>
      </c>
      <c r="O6964" t="s">
        <v>11693</v>
      </c>
    </row>
    <row r="6965" spans="1:15">
      <c r="A6965" t="s">
        <v>30271</v>
      </c>
      <c r="B6965" t="s">
        <v>11607</v>
      </c>
      <c r="C6965" t="s">
        <v>19102</v>
      </c>
      <c r="D6965" t="s">
        <v>30274</v>
      </c>
      <c r="E6965" t="b">
        <v>0</v>
      </c>
      <c r="F6965" t="s">
        <v>11622</v>
      </c>
      <c r="L6965">
        <v>1</v>
      </c>
      <c r="M6965">
        <v>5</v>
      </c>
      <c r="N6965">
        <v>8</v>
      </c>
    </row>
    <row r="6966" spans="1:15">
      <c r="A6966" t="s">
        <v>30275</v>
      </c>
      <c r="B6966" t="s">
        <v>11637</v>
      </c>
      <c r="C6966" t="s">
        <v>21169</v>
      </c>
      <c r="D6966" t="s">
        <v>30276</v>
      </c>
      <c r="E6966" t="b">
        <v>0</v>
      </c>
      <c r="F6966" t="s">
        <v>11610</v>
      </c>
      <c r="L6966">
        <v>0</v>
      </c>
      <c r="M6966">
        <v>0</v>
      </c>
      <c r="N6966">
        <v>0</v>
      </c>
    </row>
    <row r="6967" spans="1:15">
      <c r="A6967" t="s">
        <v>29317</v>
      </c>
      <c r="B6967" t="s">
        <v>11615</v>
      </c>
      <c r="C6967" t="s">
        <v>27307</v>
      </c>
      <c r="D6967" t="s">
        <v>30277</v>
      </c>
      <c r="E6967" t="b">
        <v>0</v>
      </c>
      <c r="F6967" t="s">
        <v>11622</v>
      </c>
      <c r="L6967">
        <v>3</v>
      </c>
      <c r="M6967">
        <v>7</v>
      </c>
      <c r="N6967">
        <v>2</v>
      </c>
    </row>
    <row r="6968" spans="1:15">
      <c r="A6968" t="s">
        <v>30278</v>
      </c>
      <c r="B6968" t="s">
        <v>11615</v>
      </c>
      <c r="C6968" t="s">
        <v>27894</v>
      </c>
      <c r="D6968" t="s">
        <v>30279</v>
      </c>
      <c r="E6968" t="b">
        <v>0</v>
      </c>
      <c r="F6968" t="s">
        <v>11624</v>
      </c>
      <c r="G6968">
        <v>-6.2899799999999999</v>
      </c>
      <c r="H6968">
        <v>146.679</v>
      </c>
      <c r="I6968" t="s">
        <v>30280</v>
      </c>
      <c r="L6968">
        <v>0</v>
      </c>
      <c r="M6968">
        <v>0</v>
      </c>
      <c r="N6968">
        <v>0</v>
      </c>
      <c r="O6968" t="s">
        <v>11660</v>
      </c>
    </row>
    <row r="6969" spans="1:15">
      <c r="A6969" t="s">
        <v>30281</v>
      </c>
      <c r="B6969" t="s">
        <v>13276</v>
      </c>
      <c r="C6969" t="s">
        <v>19545</v>
      </c>
      <c r="D6969" t="s">
        <v>30282</v>
      </c>
      <c r="E6969" t="b">
        <v>0</v>
      </c>
      <c r="F6969" t="s">
        <v>11610</v>
      </c>
      <c r="L6969">
        <v>0</v>
      </c>
      <c r="M6969">
        <v>0</v>
      </c>
      <c r="N6969">
        <v>0</v>
      </c>
    </row>
    <row r="6970" spans="1:15">
      <c r="A6970" t="s">
        <v>16529</v>
      </c>
      <c r="B6970" t="s">
        <v>6742</v>
      </c>
      <c r="C6970" t="s">
        <v>17604</v>
      </c>
      <c r="D6970" t="s">
        <v>30283</v>
      </c>
      <c r="E6970" t="b">
        <v>0</v>
      </c>
      <c r="F6970" t="s">
        <v>11622</v>
      </c>
      <c r="L6970">
        <v>0</v>
      </c>
      <c r="M6970">
        <v>2</v>
      </c>
      <c r="N6970">
        <v>3</v>
      </c>
    </row>
    <row r="6971" spans="1:15">
      <c r="A6971" t="s">
        <v>30284</v>
      </c>
      <c r="B6971" t="s">
        <v>6742</v>
      </c>
      <c r="C6971" t="s">
        <v>16529</v>
      </c>
      <c r="D6971" t="s">
        <v>30285</v>
      </c>
      <c r="E6971" t="b">
        <v>0</v>
      </c>
      <c r="F6971" t="s">
        <v>11624</v>
      </c>
      <c r="G6971">
        <v>12.7761</v>
      </c>
      <c r="H6971">
        <v>-16.502600000000001</v>
      </c>
      <c r="I6971" t="s">
        <v>30286</v>
      </c>
      <c r="L6971">
        <v>0</v>
      </c>
      <c r="M6971">
        <v>0</v>
      </c>
      <c r="N6971">
        <v>0</v>
      </c>
      <c r="O6971" t="s">
        <v>16532</v>
      </c>
    </row>
    <row r="6972" spans="1:15">
      <c r="A6972" t="s">
        <v>30287</v>
      </c>
      <c r="B6972" t="s">
        <v>6742</v>
      </c>
      <c r="C6972" t="s">
        <v>30288</v>
      </c>
      <c r="D6972" t="s">
        <v>30289</v>
      </c>
      <c r="E6972" t="b">
        <v>0</v>
      </c>
      <c r="F6972" t="s">
        <v>11624</v>
      </c>
      <c r="G6972">
        <v>-0.78871999999999998</v>
      </c>
      <c r="H6972">
        <v>34.767510000000001</v>
      </c>
      <c r="I6972" t="s">
        <v>30290</v>
      </c>
      <c r="L6972">
        <v>0</v>
      </c>
      <c r="M6972">
        <v>0</v>
      </c>
      <c r="N6972">
        <v>0</v>
      </c>
      <c r="O6972" t="s">
        <v>14933</v>
      </c>
    </row>
    <row r="6973" spans="1:15">
      <c r="A6973" t="s">
        <v>30291</v>
      </c>
      <c r="B6973" t="s">
        <v>6742</v>
      </c>
      <c r="C6973" t="s">
        <v>18072</v>
      </c>
      <c r="D6973" t="s">
        <v>30292</v>
      </c>
      <c r="E6973" t="b">
        <v>0</v>
      </c>
      <c r="F6973" t="s">
        <v>11610</v>
      </c>
      <c r="L6973">
        <v>0</v>
      </c>
      <c r="M6973">
        <v>0</v>
      </c>
      <c r="N6973">
        <v>0</v>
      </c>
    </row>
    <row r="6974" spans="1:15">
      <c r="A6974" t="s">
        <v>30293</v>
      </c>
      <c r="B6974" t="s">
        <v>6742</v>
      </c>
      <c r="C6974" t="s">
        <v>20135</v>
      </c>
      <c r="D6974" t="s">
        <v>30294</v>
      </c>
      <c r="E6974" t="b">
        <v>0</v>
      </c>
      <c r="F6974" t="s">
        <v>11610</v>
      </c>
      <c r="L6974">
        <v>0</v>
      </c>
      <c r="M6974">
        <v>0</v>
      </c>
      <c r="N6974">
        <v>0</v>
      </c>
    </row>
    <row r="6975" spans="1:15">
      <c r="A6975" t="s">
        <v>30295</v>
      </c>
      <c r="B6975" t="s">
        <v>6742</v>
      </c>
      <c r="C6975" t="s">
        <v>19032</v>
      </c>
      <c r="D6975" t="s">
        <v>30296</v>
      </c>
      <c r="E6975" t="b">
        <v>0</v>
      </c>
      <c r="F6975" t="s">
        <v>11610</v>
      </c>
      <c r="L6975">
        <v>0</v>
      </c>
      <c r="M6975">
        <v>0</v>
      </c>
      <c r="N6975">
        <v>0</v>
      </c>
    </row>
    <row r="6976" spans="1:15">
      <c r="A6976" t="s">
        <v>30297</v>
      </c>
      <c r="B6976" t="s">
        <v>13360</v>
      </c>
      <c r="C6976" t="s">
        <v>13360</v>
      </c>
      <c r="D6976" t="s">
        <v>30298</v>
      </c>
      <c r="E6976" t="b">
        <v>0</v>
      </c>
      <c r="F6976" t="s">
        <v>11624</v>
      </c>
      <c r="L6976">
        <v>0</v>
      </c>
      <c r="M6976">
        <v>0</v>
      </c>
      <c r="N6976">
        <v>0</v>
      </c>
      <c r="O6976" t="s">
        <v>13225</v>
      </c>
    </row>
    <row r="6977" spans="1:15">
      <c r="A6977" t="s">
        <v>27744</v>
      </c>
      <c r="B6977" t="s">
        <v>11637</v>
      </c>
      <c r="C6977" t="s">
        <v>26618</v>
      </c>
      <c r="D6977" t="s">
        <v>30299</v>
      </c>
      <c r="E6977" t="b">
        <v>0</v>
      </c>
      <c r="F6977" t="s">
        <v>11624</v>
      </c>
      <c r="G6977">
        <v>57.95167</v>
      </c>
      <c r="H6977">
        <v>19.1629</v>
      </c>
      <c r="L6977">
        <v>0</v>
      </c>
      <c r="M6977">
        <v>0</v>
      </c>
      <c r="N6977">
        <v>2</v>
      </c>
    </row>
    <row r="6978" spans="1:15">
      <c r="A6978" t="s">
        <v>19057</v>
      </c>
      <c r="B6978" t="s">
        <v>12438</v>
      </c>
      <c r="C6978" t="s">
        <v>28701</v>
      </c>
      <c r="D6978" t="s">
        <v>30300</v>
      </c>
      <c r="E6978" t="b">
        <v>0</v>
      </c>
      <c r="F6978" t="s">
        <v>11622</v>
      </c>
      <c r="L6978">
        <v>0</v>
      </c>
      <c r="M6978">
        <v>2</v>
      </c>
      <c r="N6978">
        <v>4</v>
      </c>
    </row>
    <row r="6979" spans="1:15">
      <c r="A6979" t="s">
        <v>30301</v>
      </c>
      <c r="B6979" t="s">
        <v>367</v>
      </c>
      <c r="C6979" t="s">
        <v>20543</v>
      </c>
      <c r="D6979" t="s">
        <v>30302</v>
      </c>
      <c r="E6979" t="b">
        <v>0</v>
      </c>
      <c r="F6979" t="s">
        <v>11610</v>
      </c>
      <c r="L6979">
        <v>0</v>
      </c>
      <c r="M6979">
        <v>0</v>
      </c>
      <c r="N6979">
        <v>0</v>
      </c>
    </row>
    <row r="6980" spans="1:15">
      <c r="A6980" t="s">
        <v>30303</v>
      </c>
      <c r="B6980" t="s">
        <v>6742</v>
      </c>
      <c r="C6980" t="s">
        <v>3970</v>
      </c>
      <c r="D6980" t="s">
        <v>30304</v>
      </c>
      <c r="E6980" t="b">
        <v>0</v>
      </c>
      <c r="F6980" t="s">
        <v>11610</v>
      </c>
      <c r="L6980">
        <v>0</v>
      </c>
      <c r="M6980">
        <v>0</v>
      </c>
      <c r="N6980">
        <v>0</v>
      </c>
    </row>
    <row r="6981" spans="1:15">
      <c r="A6981" t="s">
        <v>30305</v>
      </c>
      <c r="B6981" t="s">
        <v>13967</v>
      </c>
      <c r="C6981" t="s">
        <v>21519</v>
      </c>
      <c r="D6981" t="s">
        <v>30306</v>
      </c>
      <c r="E6981" t="b">
        <v>0</v>
      </c>
      <c r="F6981" t="s">
        <v>11610</v>
      </c>
      <c r="L6981">
        <v>0</v>
      </c>
      <c r="M6981">
        <v>0</v>
      </c>
      <c r="N6981">
        <v>0</v>
      </c>
    </row>
    <row r="6982" spans="1:15">
      <c r="A6982" t="s">
        <v>30307</v>
      </c>
      <c r="B6982" t="s">
        <v>10597</v>
      </c>
      <c r="C6982" t="s">
        <v>30308</v>
      </c>
      <c r="D6982" t="s">
        <v>30309</v>
      </c>
      <c r="E6982" t="b">
        <v>0</v>
      </c>
      <c r="F6982" t="s">
        <v>11622</v>
      </c>
      <c r="L6982">
        <v>0</v>
      </c>
      <c r="M6982">
        <v>2</v>
      </c>
      <c r="N6982">
        <v>0</v>
      </c>
    </row>
    <row r="6983" spans="1:15">
      <c r="A6983" t="s">
        <v>30310</v>
      </c>
      <c r="B6983" t="s">
        <v>10597</v>
      </c>
      <c r="C6983" t="s">
        <v>30307</v>
      </c>
      <c r="D6983" t="s">
        <v>30311</v>
      </c>
      <c r="E6983" t="b">
        <v>0</v>
      </c>
      <c r="F6983" t="s">
        <v>11624</v>
      </c>
      <c r="G6983">
        <v>-21.351477060000001</v>
      </c>
      <c r="H6983">
        <v>142.5243782</v>
      </c>
      <c r="I6983" t="s">
        <v>30312</v>
      </c>
      <c r="L6983">
        <v>0</v>
      </c>
      <c r="M6983">
        <v>0</v>
      </c>
      <c r="N6983">
        <v>0</v>
      </c>
      <c r="O6983" t="s">
        <v>12107</v>
      </c>
    </row>
    <row r="6984" spans="1:15">
      <c r="A6984" t="s">
        <v>30313</v>
      </c>
      <c r="B6984" t="s">
        <v>10597</v>
      </c>
      <c r="C6984" t="s">
        <v>2618</v>
      </c>
      <c r="D6984" t="s">
        <v>30314</v>
      </c>
      <c r="E6984" t="b">
        <v>0</v>
      </c>
      <c r="F6984" t="s">
        <v>11624</v>
      </c>
      <c r="G6984">
        <v>-27.828900000000001</v>
      </c>
      <c r="H6984">
        <v>148.86699999999999</v>
      </c>
      <c r="I6984" t="s">
        <v>30315</v>
      </c>
      <c r="L6984">
        <v>0</v>
      </c>
      <c r="M6984">
        <v>0</v>
      </c>
      <c r="N6984">
        <v>0</v>
      </c>
      <c r="O6984" t="s">
        <v>12107</v>
      </c>
    </row>
    <row r="6985" spans="1:15">
      <c r="A6985" t="s">
        <v>30316</v>
      </c>
      <c r="B6985" t="s">
        <v>10597</v>
      </c>
      <c r="C6985" t="s">
        <v>16527</v>
      </c>
      <c r="D6985" t="s">
        <v>30317</v>
      </c>
      <c r="E6985" t="b">
        <v>0</v>
      </c>
      <c r="F6985" t="s">
        <v>11624</v>
      </c>
      <c r="G6985">
        <v>-27.166989730000001</v>
      </c>
      <c r="H6985">
        <v>153.39982449999999</v>
      </c>
      <c r="L6985">
        <v>0</v>
      </c>
      <c r="M6985">
        <v>0</v>
      </c>
      <c r="N6985">
        <v>0</v>
      </c>
      <c r="O6985" t="s">
        <v>12107</v>
      </c>
    </row>
    <row r="6986" spans="1:15">
      <c r="A6986" t="s">
        <v>30308</v>
      </c>
      <c r="B6986" t="s">
        <v>10597</v>
      </c>
      <c r="C6986" t="s">
        <v>29719</v>
      </c>
      <c r="D6986" t="s">
        <v>30318</v>
      </c>
      <c r="E6986" t="b">
        <v>0</v>
      </c>
      <c r="F6986" t="s">
        <v>11622</v>
      </c>
      <c r="L6986">
        <v>7</v>
      </c>
      <c r="M6986">
        <v>17</v>
      </c>
      <c r="N6986">
        <v>0</v>
      </c>
    </row>
    <row r="6987" spans="1:15">
      <c r="A6987" t="s">
        <v>30319</v>
      </c>
      <c r="B6987" t="s">
        <v>1588</v>
      </c>
      <c r="C6987" t="s">
        <v>2656</v>
      </c>
      <c r="D6987" t="s">
        <v>30320</v>
      </c>
      <c r="E6987" t="b">
        <v>0</v>
      </c>
      <c r="F6987" t="s">
        <v>11610</v>
      </c>
      <c r="G6987">
        <v>-15.1</v>
      </c>
      <c r="H6987">
        <v>126.5</v>
      </c>
      <c r="L6987">
        <v>0</v>
      </c>
      <c r="M6987">
        <v>0</v>
      </c>
      <c r="N6987">
        <v>0</v>
      </c>
    </row>
    <row r="6988" spans="1:15">
      <c r="A6988" t="s">
        <v>30321</v>
      </c>
      <c r="B6988" t="s">
        <v>10597</v>
      </c>
      <c r="C6988" t="s">
        <v>12104</v>
      </c>
      <c r="D6988" t="s">
        <v>30322</v>
      </c>
      <c r="E6988" t="b">
        <v>0</v>
      </c>
      <c r="F6988" t="s">
        <v>11624</v>
      </c>
      <c r="G6988">
        <v>-34.738999999999997</v>
      </c>
      <c r="H6988">
        <v>137.661</v>
      </c>
      <c r="I6988" t="s">
        <v>30323</v>
      </c>
      <c r="L6988">
        <v>0</v>
      </c>
      <c r="M6988">
        <v>0</v>
      </c>
      <c r="N6988">
        <v>0</v>
      </c>
      <c r="O6988" t="s">
        <v>12107</v>
      </c>
    </row>
    <row r="6989" spans="1:15">
      <c r="A6989" t="s">
        <v>30324</v>
      </c>
      <c r="B6989" t="s">
        <v>10597</v>
      </c>
      <c r="C6989" t="s">
        <v>30325</v>
      </c>
      <c r="D6989" t="s">
        <v>30326</v>
      </c>
      <c r="E6989" t="b">
        <v>0</v>
      </c>
      <c r="F6989" t="s">
        <v>11624</v>
      </c>
      <c r="G6989">
        <v>-29.1</v>
      </c>
      <c r="H6989">
        <v>151</v>
      </c>
      <c r="L6989">
        <v>0</v>
      </c>
      <c r="M6989">
        <v>0</v>
      </c>
      <c r="N6989">
        <v>0</v>
      </c>
      <c r="O6989" t="s">
        <v>12107</v>
      </c>
    </row>
    <row r="6990" spans="1:15">
      <c r="A6990" t="s">
        <v>30327</v>
      </c>
      <c r="B6990" t="s">
        <v>11615</v>
      </c>
      <c r="C6990" t="s">
        <v>20238</v>
      </c>
      <c r="D6990" t="s">
        <v>30328</v>
      </c>
      <c r="E6990" t="b">
        <v>0</v>
      </c>
      <c r="F6990" t="s">
        <v>11624</v>
      </c>
      <c r="G6990">
        <v>-5.7037399999999998</v>
      </c>
      <c r="H6990">
        <v>146.453</v>
      </c>
      <c r="I6990" t="s">
        <v>30329</v>
      </c>
      <c r="L6990">
        <v>0</v>
      </c>
      <c r="M6990">
        <v>0</v>
      </c>
      <c r="N6990">
        <v>0</v>
      </c>
      <c r="O6990" t="s">
        <v>11660</v>
      </c>
    </row>
    <row r="6991" spans="1:15">
      <c r="A6991" t="s">
        <v>29975</v>
      </c>
      <c r="B6991" t="s">
        <v>11637</v>
      </c>
      <c r="C6991" t="s">
        <v>23067</v>
      </c>
      <c r="D6991" t="s">
        <v>30330</v>
      </c>
      <c r="E6991" t="b">
        <v>0</v>
      </c>
      <c r="F6991" t="s">
        <v>11622</v>
      </c>
      <c r="L6991">
        <v>0</v>
      </c>
      <c r="M6991">
        <v>2</v>
      </c>
      <c r="N6991">
        <v>0</v>
      </c>
    </row>
    <row r="6992" spans="1:15">
      <c r="A6992" t="s">
        <v>30331</v>
      </c>
      <c r="B6992" t="s">
        <v>11981</v>
      </c>
      <c r="C6992" t="s">
        <v>23573</v>
      </c>
      <c r="D6992" t="s">
        <v>30332</v>
      </c>
      <c r="E6992" t="b">
        <v>0</v>
      </c>
      <c r="F6992" t="s">
        <v>11624</v>
      </c>
      <c r="G6992">
        <v>6.7958090000000002</v>
      </c>
      <c r="H6992">
        <v>-58.151363000000003</v>
      </c>
      <c r="L6992">
        <v>0</v>
      </c>
      <c r="M6992">
        <v>0</v>
      </c>
      <c r="N6992">
        <v>0</v>
      </c>
      <c r="O6992" t="s">
        <v>18078</v>
      </c>
    </row>
    <row r="6993" spans="1:15">
      <c r="A6993" t="s">
        <v>30333</v>
      </c>
      <c r="B6993" t="s">
        <v>11637</v>
      </c>
      <c r="C6993" t="s">
        <v>17275</v>
      </c>
      <c r="D6993" t="s">
        <v>30334</v>
      </c>
      <c r="E6993" t="b">
        <v>0</v>
      </c>
      <c r="F6993" t="s">
        <v>11610</v>
      </c>
      <c r="L6993">
        <v>0</v>
      </c>
      <c r="M6993">
        <v>0</v>
      </c>
      <c r="N6993">
        <v>0</v>
      </c>
    </row>
    <row r="6994" spans="1:15">
      <c r="A6994" t="s">
        <v>30335</v>
      </c>
      <c r="B6994" t="s">
        <v>10597</v>
      </c>
      <c r="C6994" t="s">
        <v>28465</v>
      </c>
      <c r="D6994" t="s">
        <v>30336</v>
      </c>
      <c r="E6994" t="b">
        <v>0</v>
      </c>
      <c r="F6994" t="s">
        <v>11610</v>
      </c>
      <c r="L6994">
        <v>0</v>
      </c>
      <c r="M6994">
        <v>0</v>
      </c>
      <c r="N6994">
        <v>0</v>
      </c>
    </row>
    <row r="6995" spans="1:15">
      <c r="A6995" t="s">
        <v>30337</v>
      </c>
      <c r="B6995" t="s">
        <v>11644</v>
      </c>
      <c r="C6995" t="s">
        <v>16856</v>
      </c>
      <c r="D6995" t="s">
        <v>30338</v>
      </c>
      <c r="E6995" t="b">
        <v>0</v>
      </c>
      <c r="F6995" t="s">
        <v>11610</v>
      </c>
      <c r="L6995">
        <v>0</v>
      </c>
      <c r="M6995">
        <v>0</v>
      </c>
      <c r="N6995">
        <v>0</v>
      </c>
    </row>
    <row r="6996" spans="1:15">
      <c r="A6996" t="s">
        <v>30339</v>
      </c>
      <c r="B6996" t="s">
        <v>11607</v>
      </c>
      <c r="C6996" t="s">
        <v>23060</v>
      </c>
      <c r="D6996" t="s">
        <v>30340</v>
      </c>
      <c r="E6996" t="b">
        <v>0</v>
      </c>
      <c r="F6996" t="s">
        <v>11624</v>
      </c>
      <c r="G6996">
        <v>10.9918</v>
      </c>
      <c r="H6996">
        <v>13.7537</v>
      </c>
      <c r="I6996" t="s">
        <v>30341</v>
      </c>
      <c r="L6996">
        <v>0</v>
      </c>
      <c r="M6996">
        <v>0</v>
      </c>
      <c r="N6996">
        <v>0</v>
      </c>
      <c r="O6996" t="s">
        <v>11802</v>
      </c>
    </row>
    <row r="6997" spans="1:15">
      <c r="A6997" t="s">
        <v>30342</v>
      </c>
      <c r="B6997" t="s">
        <v>6742</v>
      </c>
      <c r="C6997" t="s">
        <v>30343</v>
      </c>
      <c r="D6997" t="s">
        <v>30344</v>
      </c>
      <c r="E6997" t="b">
        <v>0</v>
      </c>
      <c r="F6997" t="s">
        <v>11624</v>
      </c>
      <c r="G6997">
        <v>10.306900000000001</v>
      </c>
      <c r="H6997">
        <v>9.1143400000000003</v>
      </c>
      <c r="I6997" t="s">
        <v>30345</v>
      </c>
      <c r="L6997">
        <v>0</v>
      </c>
      <c r="M6997">
        <v>0</v>
      </c>
      <c r="N6997">
        <v>0</v>
      </c>
      <c r="O6997" t="s">
        <v>11693</v>
      </c>
    </row>
    <row r="6998" spans="1:15">
      <c r="A6998" t="s">
        <v>30346</v>
      </c>
      <c r="B6998" t="s">
        <v>13276</v>
      </c>
      <c r="C6998" t="s">
        <v>18350</v>
      </c>
      <c r="D6998" t="s">
        <v>30347</v>
      </c>
      <c r="E6998" t="b">
        <v>0</v>
      </c>
      <c r="F6998" t="s">
        <v>11610</v>
      </c>
      <c r="L6998">
        <v>0</v>
      </c>
      <c r="M6998">
        <v>0</v>
      </c>
      <c r="N6998">
        <v>0</v>
      </c>
    </row>
    <row r="6999" spans="1:15">
      <c r="A6999" t="s">
        <v>30348</v>
      </c>
      <c r="B6999" t="s">
        <v>367</v>
      </c>
      <c r="C6999" t="s">
        <v>21555</v>
      </c>
      <c r="D6999" t="s">
        <v>30349</v>
      </c>
      <c r="E6999" t="b">
        <v>0</v>
      </c>
      <c r="F6999" t="s">
        <v>11610</v>
      </c>
      <c r="L6999">
        <v>0</v>
      </c>
      <c r="M6999">
        <v>0</v>
      </c>
      <c r="N6999">
        <v>0</v>
      </c>
    </row>
    <row r="7000" spans="1:15">
      <c r="A7000" t="s">
        <v>29461</v>
      </c>
      <c r="B7000" t="s">
        <v>11615</v>
      </c>
      <c r="C7000" t="s">
        <v>30350</v>
      </c>
      <c r="D7000" t="s">
        <v>30351</v>
      </c>
      <c r="E7000" t="b">
        <v>0</v>
      </c>
      <c r="F7000" t="s">
        <v>11624</v>
      </c>
      <c r="G7000">
        <v>-5.6455500000000001</v>
      </c>
      <c r="H7000">
        <v>146.45500000000001</v>
      </c>
      <c r="I7000" t="s">
        <v>30352</v>
      </c>
      <c r="L7000">
        <v>0</v>
      </c>
      <c r="M7000">
        <v>0</v>
      </c>
      <c r="N7000">
        <v>5</v>
      </c>
      <c r="O7000" t="s">
        <v>11660</v>
      </c>
    </row>
    <row r="7001" spans="1:15">
      <c r="A7001" t="s">
        <v>30353</v>
      </c>
      <c r="B7001" t="s">
        <v>11615</v>
      </c>
      <c r="C7001" t="s">
        <v>29461</v>
      </c>
      <c r="D7001" t="s">
        <v>30354</v>
      </c>
      <c r="E7001" t="b">
        <v>0</v>
      </c>
      <c r="F7001" t="s">
        <v>11610</v>
      </c>
      <c r="L7001">
        <v>0</v>
      </c>
      <c r="M7001">
        <v>0</v>
      </c>
      <c r="N7001">
        <v>0</v>
      </c>
    </row>
    <row r="7002" spans="1:15">
      <c r="A7002" t="s">
        <v>30355</v>
      </c>
      <c r="B7002" t="s">
        <v>6742</v>
      </c>
      <c r="C7002" t="s">
        <v>30356</v>
      </c>
      <c r="D7002" t="s">
        <v>30357</v>
      </c>
      <c r="E7002" t="b">
        <v>0</v>
      </c>
      <c r="F7002" t="s">
        <v>11624</v>
      </c>
      <c r="G7002">
        <v>11.8081</v>
      </c>
      <c r="H7002">
        <v>5.07897</v>
      </c>
      <c r="I7002" t="s">
        <v>30358</v>
      </c>
      <c r="L7002">
        <v>0</v>
      </c>
      <c r="M7002">
        <v>0</v>
      </c>
      <c r="N7002">
        <v>2</v>
      </c>
      <c r="O7002" t="s">
        <v>11693</v>
      </c>
    </row>
    <row r="7003" spans="1:15">
      <c r="A7003" t="s">
        <v>30359</v>
      </c>
      <c r="B7003" t="s">
        <v>6742</v>
      </c>
      <c r="C7003" t="s">
        <v>30355</v>
      </c>
      <c r="D7003" t="s">
        <v>30360</v>
      </c>
      <c r="E7003" t="b">
        <v>0</v>
      </c>
      <c r="F7003" t="s">
        <v>11610</v>
      </c>
      <c r="L7003">
        <v>0</v>
      </c>
      <c r="M7003">
        <v>0</v>
      </c>
      <c r="N7003">
        <v>0</v>
      </c>
    </row>
    <row r="7004" spans="1:15">
      <c r="A7004" t="s">
        <v>30361</v>
      </c>
      <c r="B7004" t="s">
        <v>6742</v>
      </c>
      <c r="C7004" t="s">
        <v>4187</v>
      </c>
      <c r="D7004" t="s">
        <v>30362</v>
      </c>
      <c r="E7004" t="b">
        <v>0</v>
      </c>
      <c r="F7004" t="s">
        <v>11610</v>
      </c>
      <c r="L7004">
        <v>0</v>
      </c>
      <c r="M7004">
        <v>0</v>
      </c>
      <c r="N7004">
        <v>0</v>
      </c>
    </row>
    <row r="7005" spans="1:15">
      <c r="A7005" t="s">
        <v>30363</v>
      </c>
      <c r="B7005" t="s">
        <v>6742</v>
      </c>
      <c r="C7005" t="s">
        <v>30364</v>
      </c>
      <c r="D7005" t="s">
        <v>30365</v>
      </c>
      <c r="E7005" t="b">
        <v>0</v>
      </c>
      <c r="F7005" t="s">
        <v>11610</v>
      </c>
      <c r="L7005">
        <v>0</v>
      </c>
      <c r="M7005">
        <v>0</v>
      </c>
      <c r="N7005">
        <v>0</v>
      </c>
    </row>
    <row r="7006" spans="1:15">
      <c r="A7006" t="s">
        <v>30366</v>
      </c>
      <c r="B7006" t="s">
        <v>6742</v>
      </c>
      <c r="C7006" t="s">
        <v>30367</v>
      </c>
      <c r="D7006" t="s">
        <v>30368</v>
      </c>
      <c r="E7006" t="b">
        <v>0</v>
      </c>
      <c r="F7006" t="s">
        <v>11610</v>
      </c>
      <c r="L7006">
        <v>0</v>
      </c>
      <c r="M7006">
        <v>0</v>
      </c>
      <c r="N7006">
        <v>0</v>
      </c>
    </row>
    <row r="7007" spans="1:15">
      <c r="A7007" t="s">
        <v>30369</v>
      </c>
      <c r="B7007" t="s">
        <v>11607</v>
      </c>
      <c r="C7007" t="s">
        <v>28437</v>
      </c>
      <c r="D7007" t="s">
        <v>30370</v>
      </c>
      <c r="E7007" t="b">
        <v>0</v>
      </c>
      <c r="F7007" t="s">
        <v>11610</v>
      </c>
      <c r="L7007">
        <v>0</v>
      </c>
      <c r="M7007">
        <v>0</v>
      </c>
      <c r="N7007">
        <v>0</v>
      </c>
    </row>
    <row r="7008" spans="1:15">
      <c r="A7008" t="s">
        <v>30371</v>
      </c>
      <c r="B7008" t="s">
        <v>11607</v>
      </c>
      <c r="C7008" t="s">
        <v>30372</v>
      </c>
      <c r="D7008" t="s">
        <v>30373</v>
      </c>
      <c r="E7008" t="b">
        <v>0</v>
      </c>
      <c r="F7008" t="s">
        <v>11624</v>
      </c>
      <c r="G7008">
        <v>9.2046399999999995</v>
      </c>
      <c r="H7008">
        <v>7.4993100000000004</v>
      </c>
      <c r="I7008" t="s">
        <v>30374</v>
      </c>
      <c r="L7008">
        <v>0</v>
      </c>
      <c r="M7008">
        <v>0</v>
      </c>
      <c r="N7008">
        <v>6</v>
      </c>
      <c r="O7008" t="s">
        <v>11693</v>
      </c>
    </row>
    <row r="7009" spans="1:15">
      <c r="A7009" t="s">
        <v>30375</v>
      </c>
      <c r="B7009" t="s">
        <v>11607</v>
      </c>
      <c r="C7009" t="s">
        <v>30371</v>
      </c>
      <c r="D7009" t="s">
        <v>30376</v>
      </c>
      <c r="E7009" t="b">
        <v>0</v>
      </c>
      <c r="F7009" t="s">
        <v>11610</v>
      </c>
      <c r="L7009">
        <v>0</v>
      </c>
      <c r="M7009">
        <v>0</v>
      </c>
      <c r="N7009">
        <v>0</v>
      </c>
    </row>
    <row r="7010" spans="1:15">
      <c r="A7010" t="s">
        <v>30377</v>
      </c>
      <c r="B7010" t="s">
        <v>11607</v>
      </c>
      <c r="C7010" t="s">
        <v>30371</v>
      </c>
      <c r="D7010" t="s">
        <v>30378</v>
      </c>
      <c r="E7010" t="b">
        <v>0</v>
      </c>
      <c r="F7010" t="s">
        <v>11610</v>
      </c>
      <c r="L7010">
        <v>0</v>
      </c>
      <c r="M7010">
        <v>0</v>
      </c>
      <c r="N7010">
        <v>0</v>
      </c>
    </row>
    <row r="7011" spans="1:15">
      <c r="A7011" t="s">
        <v>30379</v>
      </c>
      <c r="B7011" t="s">
        <v>11607</v>
      </c>
      <c r="C7011" t="s">
        <v>30371</v>
      </c>
      <c r="D7011" t="s">
        <v>30380</v>
      </c>
      <c r="E7011" t="b">
        <v>0</v>
      </c>
      <c r="F7011" t="s">
        <v>11610</v>
      </c>
      <c r="L7011">
        <v>0</v>
      </c>
      <c r="M7011">
        <v>0</v>
      </c>
      <c r="N7011">
        <v>0</v>
      </c>
    </row>
    <row r="7012" spans="1:15">
      <c r="A7012" t="s">
        <v>30381</v>
      </c>
      <c r="B7012" t="s">
        <v>11607</v>
      </c>
      <c r="C7012" t="s">
        <v>30371</v>
      </c>
      <c r="D7012" t="s">
        <v>30382</v>
      </c>
      <c r="E7012" t="b">
        <v>0</v>
      </c>
      <c r="F7012" t="s">
        <v>11610</v>
      </c>
      <c r="L7012">
        <v>0</v>
      </c>
      <c r="M7012">
        <v>0</v>
      </c>
      <c r="N7012">
        <v>0</v>
      </c>
    </row>
    <row r="7013" spans="1:15">
      <c r="A7013" t="s">
        <v>30383</v>
      </c>
      <c r="B7013" t="s">
        <v>11607</v>
      </c>
      <c r="C7013" t="s">
        <v>30371</v>
      </c>
      <c r="D7013" t="s">
        <v>30384</v>
      </c>
      <c r="E7013" t="b">
        <v>0</v>
      </c>
      <c r="F7013" t="s">
        <v>11610</v>
      </c>
      <c r="L7013">
        <v>0</v>
      </c>
      <c r="M7013">
        <v>0</v>
      </c>
      <c r="N7013">
        <v>0</v>
      </c>
    </row>
    <row r="7014" spans="1:15">
      <c r="A7014" t="s">
        <v>30385</v>
      </c>
      <c r="B7014" t="s">
        <v>11615</v>
      </c>
      <c r="C7014" t="s">
        <v>29461</v>
      </c>
      <c r="D7014" t="s">
        <v>30386</v>
      </c>
      <c r="E7014" t="b">
        <v>0</v>
      </c>
      <c r="F7014" t="s">
        <v>11610</v>
      </c>
      <c r="L7014">
        <v>0</v>
      </c>
      <c r="M7014">
        <v>0</v>
      </c>
      <c r="N7014">
        <v>0</v>
      </c>
    </row>
    <row r="7015" spans="1:15">
      <c r="A7015" t="s">
        <v>30387</v>
      </c>
      <c r="B7015" t="s">
        <v>6742</v>
      </c>
      <c r="C7015" t="s">
        <v>14748</v>
      </c>
      <c r="D7015" t="s">
        <v>30388</v>
      </c>
      <c r="E7015" t="b">
        <v>0</v>
      </c>
      <c r="F7015" t="s">
        <v>11624</v>
      </c>
      <c r="G7015">
        <v>9.49</v>
      </c>
      <c r="H7015">
        <v>7.88</v>
      </c>
      <c r="L7015">
        <v>0</v>
      </c>
      <c r="M7015">
        <v>0</v>
      </c>
      <c r="N7015">
        <v>0</v>
      </c>
      <c r="O7015" t="s">
        <v>11693</v>
      </c>
    </row>
    <row r="7016" spans="1:15">
      <c r="A7016" t="s">
        <v>30389</v>
      </c>
      <c r="B7016" t="s">
        <v>23796</v>
      </c>
      <c r="C7016" t="s">
        <v>28337</v>
      </c>
      <c r="D7016" t="s">
        <v>30390</v>
      </c>
      <c r="E7016" t="b">
        <v>0</v>
      </c>
      <c r="F7016" t="s">
        <v>11610</v>
      </c>
      <c r="L7016">
        <v>0</v>
      </c>
      <c r="M7016">
        <v>0</v>
      </c>
      <c r="N7016">
        <v>0</v>
      </c>
    </row>
    <row r="7017" spans="1:15">
      <c r="A7017" t="s">
        <v>30391</v>
      </c>
      <c r="B7017" t="s">
        <v>11607</v>
      </c>
      <c r="C7017" t="s">
        <v>30070</v>
      </c>
      <c r="D7017" t="s">
        <v>30392</v>
      </c>
      <c r="E7017" t="b">
        <v>0</v>
      </c>
      <c r="F7017" t="s">
        <v>11610</v>
      </c>
      <c r="L7017">
        <v>0</v>
      </c>
      <c r="M7017">
        <v>0</v>
      </c>
      <c r="N7017">
        <v>0</v>
      </c>
    </row>
    <row r="7018" spans="1:15">
      <c r="A7018" t="s">
        <v>30393</v>
      </c>
      <c r="B7018" t="s">
        <v>11644</v>
      </c>
      <c r="C7018" t="s">
        <v>20789</v>
      </c>
      <c r="D7018" t="s">
        <v>30394</v>
      </c>
      <c r="E7018" t="b">
        <v>0</v>
      </c>
      <c r="F7018" t="s">
        <v>11610</v>
      </c>
      <c r="L7018">
        <v>0</v>
      </c>
      <c r="M7018">
        <v>0</v>
      </c>
      <c r="N7018">
        <v>0</v>
      </c>
    </row>
    <row r="7019" spans="1:15">
      <c r="A7019" t="s">
        <v>30395</v>
      </c>
      <c r="B7019" t="s">
        <v>367</v>
      </c>
      <c r="C7019" t="s">
        <v>26581</v>
      </c>
      <c r="D7019" t="s">
        <v>30396</v>
      </c>
      <c r="E7019" t="b">
        <v>0</v>
      </c>
      <c r="F7019" t="s">
        <v>11624</v>
      </c>
      <c r="G7019">
        <v>-10.2173</v>
      </c>
      <c r="H7019">
        <v>150.42099999999999</v>
      </c>
      <c r="I7019" t="s">
        <v>30397</v>
      </c>
      <c r="L7019">
        <v>0</v>
      </c>
      <c r="M7019">
        <v>0</v>
      </c>
      <c r="N7019">
        <v>0</v>
      </c>
      <c r="O7019" t="s">
        <v>11660</v>
      </c>
    </row>
    <row r="7020" spans="1:15">
      <c r="A7020" t="s">
        <v>30398</v>
      </c>
      <c r="B7020" t="s">
        <v>6742</v>
      </c>
      <c r="C7020" t="s">
        <v>30399</v>
      </c>
      <c r="D7020" t="s">
        <v>30400</v>
      </c>
      <c r="E7020" t="b">
        <v>0</v>
      </c>
      <c r="F7020" t="s">
        <v>11610</v>
      </c>
      <c r="L7020">
        <v>0</v>
      </c>
      <c r="M7020">
        <v>0</v>
      </c>
      <c r="N7020">
        <v>0</v>
      </c>
    </row>
    <row r="7021" spans="1:15">
      <c r="A7021" t="s">
        <v>30401</v>
      </c>
      <c r="B7021" t="s">
        <v>13276</v>
      </c>
      <c r="C7021" t="s">
        <v>18350</v>
      </c>
      <c r="D7021" t="s">
        <v>30402</v>
      </c>
      <c r="E7021" t="b">
        <v>0</v>
      </c>
      <c r="F7021" t="s">
        <v>11610</v>
      </c>
      <c r="L7021">
        <v>0</v>
      </c>
      <c r="M7021">
        <v>0</v>
      </c>
      <c r="N7021">
        <v>0</v>
      </c>
    </row>
    <row r="7022" spans="1:15">
      <c r="A7022" t="s">
        <v>30403</v>
      </c>
      <c r="B7022" t="s">
        <v>6742</v>
      </c>
      <c r="C7022" t="s">
        <v>22108</v>
      </c>
      <c r="D7022" t="s">
        <v>30404</v>
      </c>
      <c r="E7022" t="b">
        <v>0</v>
      </c>
      <c r="F7022" t="s">
        <v>11624</v>
      </c>
      <c r="G7022">
        <v>-3.6840700000000002</v>
      </c>
      <c r="H7022">
        <v>37.682699999999997</v>
      </c>
      <c r="I7022" t="s">
        <v>30405</v>
      </c>
      <c r="L7022">
        <v>0</v>
      </c>
      <c r="M7022">
        <v>0</v>
      </c>
      <c r="N7022">
        <v>0</v>
      </c>
      <c r="O7022" t="s">
        <v>14933</v>
      </c>
    </row>
    <row r="7023" spans="1:15">
      <c r="A7023" t="s">
        <v>30406</v>
      </c>
      <c r="B7023" t="s">
        <v>11607</v>
      </c>
      <c r="C7023" t="s">
        <v>25529</v>
      </c>
      <c r="D7023" t="s">
        <v>30407</v>
      </c>
      <c r="E7023" t="b">
        <v>0</v>
      </c>
      <c r="F7023" t="s">
        <v>11610</v>
      </c>
      <c r="L7023">
        <v>0</v>
      </c>
      <c r="M7023">
        <v>0</v>
      </c>
      <c r="N7023">
        <v>0</v>
      </c>
    </row>
    <row r="7024" spans="1:15">
      <c r="A7024" t="s">
        <v>30408</v>
      </c>
      <c r="B7024" t="s">
        <v>13276</v>
      </c>
      <c r="C7024" t="s">
        <v>19545</v>
      </c>
      <c r="D7024" t="s">
        <v>30409</v>
      </c>
      <c r="E7024" t="b">
        <v>0</v>
      </c>
      <c r="F7024" t="s">
        <v>11610</v>
      </c>
      <c r="L7024">
        <v>0</v>
      </c>
      <c r="M7024">
        <v>0</v>
      </c>
      <c r="N7024">
        <v>0</v>
      </c>
    </row>
    <row r="7025" spans="1:15">
      <c r="A7025" t="s">
        <v>30410</v>
      </c>
      <c r="B7025" t="s">
        <v>6742</v>
      </c>
      <c r="C7025" t="s">
        <v>28532</v>
      </c>
      <c r="D7025" t="s">
        <v>30411</v>
      </c>
      <c r="E7025" t="b">
        <v>0</v>
      </c>
      <c r="F7025" t="s">
        <v>11624</v>
      </c>
      <c r="G7025">
        <v>1.11392</v>
      </c>
      <c r="H7025">
        <v>33.822699999999998</v>
      </c>
      <c r="I7025" t="s">
        <v>30412</v>
      </c>
      <c r="L7025">
        <v>0</v>
      </c>
      <c r="M7025">
        <v>0</v>
      </c>
      <c r="N7025">
        <v>0</v>
      </c>
      <c r="O7025" t="s">
        <v>25786</v>
      </c>
    </row>
    <row r="7026" spans="1:15">
      <c r="A7026" t="s">
        <v>30413</v>
      </c>
      <c r="B7026" t="s">
        <v>12460</v>
      </c>
      <c r="C7026" t="s">
        <v>12461</v>
      </c>
      <c r="D7026" t="s">
        <v>30414</v>
      </c>
      <c r="E7026" t="b">
        <v>0</v>
      </c>
      <c r="F7026" t="s">
        <v>11624</v>
      </c>
      <c r="G7026">
        <v>67.430700000000002</v>
      </c>
      <c r="H7026">
        <v>-142.96299999999999</v>
      </c>
      <c r="I7026" t="s">
        <v>30415</v>
      </c>
      <c r="L7026">
        <v>0</v>
      </c>
      <c r="M7026">
        <v>0</v>
      </c>
      <c r="N7026">
        <v>0</v>
      </c>
      <c r="O7026" t="s">
        <v>14875</v>
      </c>
    </row>
    <row r="7027" spans="1:15">
      <c r="A7027" t="s">
        <v>30416</v>
      </c>
      <c r="B7027" t="s">
        <v>4236</v>
      </c>
      <c r="C7027" t="s">
        <v>13588</v>
      </c>
      <c r="D7027" t="s">
        <v>30417</v>
      </c>
      <c r="E7027" t="b">
        <v>0</v>
      </c>
      <c r="F7027" t="s">
        <v>11624</v>
      </c>
      <c r="G7027">
        <v>-22.270800000000001</v>
      </c>
      <c r="H7027">
        <v>21.943100000000001</v>
      </c>
      <c r="I7027" t="s">
        <v>30418</v>
      </c>
      <c r="L7027">
        <v>0</v>
      </c>
      <c r="M7027">
        <v>0</v>
      </c>
      <c r="N7027">
        <v>1</v>
      </c>
      <c r="O7027" t="s">
        <v>13927</v>
      </c>
    </row>
    <row r="7028" spans="1:15">
      <c r="A7028" t="s">
        <v>30419</v>
      </c>
      <c r="B7028" t="s">
        <v>11607</v>
      </c>
      <c r="C7028" t="s">
        <v>20786</v>
      </c>
      <c r="D7028" t="s">
        <v>30420</v>
      </c>
      <c r="E7028" t="b">
        <v>0</v>
      </c>
      <c r="F7028" t="s">
        <v>11610</v>
      </c>
      <c r="L7028">
        <v>0</v>
      </c>
      <c r="M7028">
        <v>0</v>
      </c>
      <c r="N7028">
        <v>0</v>
      </c>
    </row>
    <row r="7029" spans="1:15">
      <c r="A7029" t="s">
        <v>30421</v>
      </c>
      <c r="B7029" t="s">
        <v>11607</v>
      </c>
      <c r="C7029" t="s">
        <v>25767</v>
      </c>
      <c r="D7029" t="s">
        <v>30422</v>
      </c>
      <c r="E7029" t="b">
        <v>0</v>
      </c>
      <c r="F7029" t="s">
        <v>11610</v>
      </c>
      <c r="L7029">
        <v>0</v>
      </c>
      <c r="M7029">
        <v>0</v>
      </c>
      <c r="N7029">
        <v>0</v>
      </c>
    </row>
    <row r="7030" spans="1:15">
      <c r="A7030" t="s">
        <v>30423</v>
      </c>
      <c r="B7030" t="s">
        <v>6742</v>
      </c>
      <c r="C7030" t="s">
        <v>30424</v>
      </c>
      <c r="D7030" t="s">
        <v>30425</v>
      </c>
      <c r="E7030" t="b">
        <v>0</v>
      </c>
      <c r="F7030" t="s">
        <v>11610</v>
      </c>
      <c r="L7030">
        <v>0</v>
      </c>
      <c r="M7030">
        <v>0</v>
      </c>
      <c r="N7030">
        <v>0</v>
      </c>
    </row>
    <row r="7031" spans="1:15">
      <c r="A7031" t="s">
        <v>30426</v>
      </c>
      <c r="B7031" t="s">
        <v>11644</v>
      </c>
      <c r="C7031" t="s">
        <v>30427</v>
      </c>
      <c r="D7031" t="s">
        <v>30428</v>
      </c>
      <c r="E7031" t="b">
        <v>0</v>
      </c>
      <c r="F7031" t="s">
        <v>11622</v>
      </c>
      <c r="L7031">
        <v>0</v>
      </c>
      <c r="M7031">
        <v>2</v>
      </c>
      <c r="N7031">
        <v>6</v>
      </c>
    </row>
    <row r="7032" spans="1:15">
      <c r="A7032" t="s">
        <v>30429</v>
      </c>
      <c r="B7032" t="s">
        <v>11644</v>
      </c>
      <c r="C7032" t="s">
        <v>30430</v>
      </c>
      <c r="D7032" t="s">
        <v>30431</v>
      </c>
      <c r="E7032" t="b">
        <v>0</v>
      </c>
      <c r="F7032" t="s">
        <v>11610</v>
      </c>
      <c r="I7032" t="s">
        <v>30432</v>
      </c>
      <c r="L7032">
        <v>0</v>
      </c>
      <c r="M7032">
        <v>0</v>
      </c>
      <c r="N7032">
        <v>0</v>
      </c>
      <c r="O7032" t="s">
        <v>15007</v>
      </c>
    </row>
    <row r="7033" spans="1:15">
      <c r="A7033" t="s">
        <v>30433</v>
      </c>
      <c r="B7033" t="s">
        <v>6742</v>
      </c>
      <c r="C7033" t="s">
        <v>15674</v>
      </c>
      <c r="D7033" t="s">
        <v>30434</v>
      </c>
      <c r="E7033" t="b">
        <v>0</v>
      </c>
      <c r="F7033" t="s">
        <v>11610</v>
      </c>
      <c r="L7033">
        <v>0</v>
      </c>
      <c r="M7033">
        <v>0</v>
      </c>
      <c r="N7033">
        <v>0</v>
      </c>
    </row>
    <row r="7034" spans="1:15">
      <c r="A7034" t="s">
        <v>30435</v>
      </c>
      <c r="B7034" t="s">
        <v>6742</v>
      </c>
      <c r="C7034" t="s">
        <v>30436</v>
      </c>
      <c r="D7034" t="s">
        <v>30437</v>
      </c>
      <c r="E7034" t="b">
        <v>0</v>
      </c>
      <c r="F7034" t="s">
        <v>11624</v>
      </c>
      <c r="G7034">
        <v>2.4745699999999999</v>
      </c>
      <c r="H7034">
        <v>10.2493</v>
      </c>
      <c r="I7034" t="s">
        <v>30438</v>
      </c>
      <c r="L7034">
        <v>0</v>
      </c>
      <c r="M7034">
        <v>0</v>
      </c>
      <c r="N7034">
        <v>0</v>
      </c>
      <c r="O7034" t="s">
        <v>17341</v>
      </c>
    </row>
    <row r="7035" spans="1:15">
      <c r="A7035" t="s">
        <v>30439</v>
      </c>
      <c r="B7035" t="s">
        <v>6742</v>
      </c>
      <c r="C7035" t="s">
        <v>30440</v>
      </c>
      <c r="D7035" t="s">
        <v>30441</v>
      </c>
      <c r="E7035" t="b">
        <v>0</v>
      </c>
      <c r="F7035" t="s">
        <v>11624</v>
      </c>
      <c r="G7035">
        <v>10.4109</v>
      </c>
      <c r="H7035">
        <v>9.2392299999999992</v>
      </c>
      <c r="I7035" t="s">
        <v>30442</v>
      </c>
      <c r="L7035">
        <v>0</v>
      </c>
      <c r="M7035">
        <v>0</v>
      </c>
      <c r="N7035">
        <v>0</v>
      </c>
      <c r="O7035" t="s">
        <v>11693</v>
      </c>
    </row>
    <row r="7036" spans="1:15">
      <c r="A7036" t="s">
        <v>30443</v>
      </c>
      <c r="B7036" t="s">
        <v>11607</v>
      </c>
      <c r="C7036" t="s">
        <v>22119</v>
      </c>
      <c r="D7036" t="s">
        <v>30444</v>
      </c>
      <c r="E7036" t="b">
        <v>0</v>
      </c>
      <c r="F7036" t="s">
        <v>11610</v>
      </c>
      <c r="L7036">
        <v>0</v>
      </c>
      <c r="M7036">
        <v>0</v>
      </c>
      <c r="N7036">
        <v>0</v>
      </c>
    </row>
    <row r="7037" spans="1:15">
      <c r="A7037" t="s">
        <v>30445</v>
      </c>
      <c r="B7037" t="s">
        <v>11607</v>
      </c>
      <c r="C7037" t="s">
        <v>27205</v>
      </c>
      <c r="D7037" t="s">
        <v>30446</v>
      </c>
      <c r="E7037" t="b">
        <v>0</v>
      </c>
      <c r="F7037" t="s">
        <v>11610</v>
      </c>
      <c r="L7037">
        <v>0</v>
      </c>
      <c r="M7037">
        <v>0</v>
      </c>
      <c r="N7037">
        <v>0</v>
      </c>
    </row>
    <row r="7038" spans="1:15">
      <c r="A7038" t="s">
        <v>30447</v>
      </c>
      <c r="B7038" t="s">
        <v>13276</v>
      </c>
      <c r="C7038" t="s">
        <v>15103</v>
      </c>
      <c r="D7038" t="s">
        <v>30448</v>
      </c>
      <c r="E7038" t="b">
        <v>0</v>
      </c>
      <c r="F7038" t="s">
        <v>11610</v>
      </c>
      <c r="L7038">
        <v>0</v>
      </c>
      <c r="M7038">
        <v>0</v>
      </c>
      <c r="N7038">
        <v>0</v>
      </c>
    </row>
    <row r="7039" spans="1:15">
      <c r="A7039" t="s">
        <v>30449</v>
      </c>
      <c r="B7039" t="s">
        <v>6742</v>
      </c>
      <c r="C7039" t="s">
        <v>30450</v>
      </c>
      <c r="D7039" t="s">
        <v>30451</v>
      </c>
      <c r="E7039" t="b">
        <v>0</v>
      </c>
      <c r="F7039" t="s">
        <v>11622</v>
      </c>
      <c r="L7039">
        <v>0</v>
      </c>
      <c r="M7039">
        <v>2</v>
      </c>
      <c r="N7039">
        <v>0</v>
      </c>
    </row>
    <row r="7040" spans="1:15">
      <c r="A7040" t="s">
        <v>30452</v>
      </c>
      <c r="B7040" t="s">
        <v>5126</v>
      </c>
      <c r="C7040" t="s">
        <v>17928</v>
      </c>
      <c r="D7040" t="s">
        <v>30453</v>
      </c>
      <c r="E7040" t="b">
        <v>0</v>
      </c>
      <c r="F7040" t="s">
        <v>11610</v>
      </c>
      <c r="L7040">
        <v>0</v>
      </c>
      <c r="M7040">
        <v>0</v>
      </c>
      <c r="N7040">
        <v>0</v>
      </c>
    </row>
    <row r="7041" spans="1:15">
      <c r="A7041" t="s">
        <v>30454</v>
      </c>
      <c r="B7041" t="s">
        <v>12438</v>
      </c>
      <c r="C7041" t="s">
        <v>30455</v>
      </c>
      <c r="D7041" t="s">
        <v>30456</v>
      </c>
      <c r="E7041" t="b">
        <v>0</v>
      </c>
      <c r="F7041" t="s">
        <v>11610</v>
      </c>
      <c r="L7041">
        <v>0</v>
      </c>
      <c r="M7041">
        <v>0</v>
      </c>
      <c r="N7041">
        <v>0</v>
      </c>
    </row>
    <row r="7042" spans="1:15">
      <c r="A7042" t="s">
        <v>30457</v>
      </c>
      <c r="B7042" t="s">
        <v>11644</v>
      </c>
      <c r="C7042" t="s">
        <v>25758</v>
      </c>
      <c r="D7042" t="s">
        <v>30458</v>
      </c>
      <c r="E7042" t="b">
        <v>0</v>
      </c>
      <c r="F7042" t="s">
        <v>11610</v>
      </c>
      <c r="L7042">
        <v>0</v>
      </c>
      <c r="M7042">
        <v>0</v>
      </c>
      <c r="N7042">
        <v>0</v>
      </c>
    </row>
    <row r="7043" spans="1:15">
      <c r="A7043" t="s">
        <v>30459</v>
      </c>
      <c r="B7043" t="s">
        <v>6742</v>
      </c>
      <c r="C7043" t="s">
        <v>30460</v>
      </c>
      <c r="D7043" t="s">
        <v>30461</v>
      </c>
      <c r="E7043" t="b">
        <v>0</v>
      </c>
      <c r="F7043" t="s">
        <v>11624</v>
      </c>
      <c r="G7043">
        <v>-3.7787299999999999</v>
      </c>
      <c r="H7043">
        <v>30.4894</v>
      </c>
      <c r="I7043" t="s">
        <v>30462</v>
      </c>
      <c r="L7043">
        <v>0</v>
      </c>
      <c r="M7043">
        <v>0</v>
      </c>
      <c r="N7043">
        <v>0</v>
      </c>
      <c r="O7043" t="s">
        <v>30463</v>
      </c>
    </row>
    <row r="7044" spans="1:15">
      <c r="A7044" t="s">
        <v>30464</v>
      </c>
      <c r="B7044" t="s">
        <v>11615</v>
      </c>
      <c r="C7044" t="s">
        <v>11641</v>
      </c>
      <c r="D7044" t="s">
        <v>30465</v>
      </c>
      <c r="E7044" t="b">
        <v>0</v>
      </c>
      <c r="F7044" t="s">
        <v>11610</v>
      </c>
      <c r="L7044">
        <v>0</v>
      </c>
      <c r="M7044">
        <v>0</v>
      </c>
      <c r="N7044">
        <v>0</v>
      </c>
    </row>
    <row r="7045" spans="1:15">
      <c r="A7045" t="s">
        <v>30466</v>
      </c>
      <c r="B7045" t="s">
        <v>367</v>
      </c>
      <c r="C7045" t="s">
        <v>14352</v>
      </c>
      <c r="D7045" t="s">
        <v>30467</v>
      </c>
      <c r="E7045" t="b">
        <v>0</v>
      </c>
      <c r="F7045" t="s">
        <v>11610</v>
      </c>
      <c r="L7045">
        <v>0</v>
      </c>
      <c r="M7045">
        <v>0</v>
      </c>
      <c r="N7045">
        <v>0</v>
      </c>
    </row>
    <row r="7046" spans="1:15">
      <c r="A7046" t="s">
        <v>30468</v>
      </c>
      <c r="B7046" t="s">
        <v>11607</v>
      </c>
      <c r="C7046" t="s">
        <v>11608</v>
      </c>
      <c r="D7046" t="s">
        <v>30469</v>
      </c>
      <c r="E7046" t="b">
        <v>0</v>
      </c>
      <c r="F7046" t="s">
        <v>11610</v>
      </c>
      <c r="L7046">
        <v>0</v>
      </c>
      <c r="M7046">
        <v>0</v>
      </c>
      <c r="N7046">
        <v>0</v>
      </c>
    </row>
    <row r="7047" spans="1:15">
      <c r="A7047" t="s">
        <v>30470</v>
      </c>
      <c r="B7047" t="s">
        <v>11607</v>
      </c>
      <c r="C7047" t="s">
        <v>4703</v>
      </c>
      <c r="D7047" t="s">
        <v>30471</v>
      </c>
      <c r="E7047" t="b">
        <v>0</v>
      </c>
      <c r="F7047" t="s">
        <v>11610</v>
      </c>
      <c r="L7047">
        <v>0</v>
      </c>
      <c r="M7047">
        <v>0</v>
      </c>
      <c r="N7047">
        <v>0</v>
      </c>
    </row>
    <row r="7048" spans="1:15">
      <c r="A7048" t="s">
        <v>30472</v>
      </c>
      <c r="B7048" t="s">
        <v>11637</v>
      </c>
      <c r="C7048" t="s">
        <v>1273</v>
      </c>
      <c r="D7048" t="s">
        <v>30473</v>
      </c>
      <c r="E7048" t="b">
        <v>0</v>
      </c>
      <c r="F7048" t="s">
        <v>11610</v>
      </c>
      <c r="L7048">
        <v>0</v>
      </c>
      <c r="M7048">
        <v>0</v>
      </c>
      <c r="N7048">
        <v>0</v>
      </c>
    </row>
    <row r="7049" spans="1:15">
      <c r="A7049" t="s">
        <v>30474</v>
      </c>
      <c r="B7049" t="s">
        <v>367</v>
      </c>
      <c r="C7049" t="s">
        <v>21580</v>
      </c>
      <c r="D7049" t="s">
        <v>30475</v>
      </c>
      <c r="E7049" t="b">
        <v>0</v>
      </c>
      <c r="F7049" t="s">
        <v>11624</v>
      </c>
      <c r="G7049">
        <v>-8.7656500000000008</v>
      </c>
      <c r="H7049">
        <v>125.965</v>
      </c>
      <c r="I7049" t="s">
        <v>30476</v>
      </c>
      <c r="L7049">
        <v>0</v>
      </c>
      <c r="M7049">
        <v>0</v>
      </c>
      <c r="N7049">
        <v>0</v>
      </c>
      <c r="O7049" t="s">
        <v>27765</v>
      </c>
    </row>
    <row r="7050" spans="1:15">
      <c r="A7050" t="s">
        <v>30477</v>
      </c>
      <c r="B7050" t="s">
        <v>4342</v>
      </c>
      <c r="C7050" t="s">
        <v>4314</v>
      </c>
      <c r="D7050" t="s">
        <v>30478</v>
      </c>
      <c r="E7050" t="b">
        <v>0</v>
      </c>
      <c r="F7050" t="s">
        <v>11610</v>
      </c>
      <c r="L7050">
        <v>0</v>
      </c>
      <c r="M7050">
        <v>0</v>
      </c>
      <c r="N7050">
        <v>0</v>
      </c>
    </row>
    <row r="7051" spans="1:15">
      <c r="A7051" t="s">
        <v>30479</v>
      </c>
      <c r="B7051" t="s">
        <v>4342</v>
      </c>
      <c r="C7051" t="s">
        <v>4342</v>
      </c>
      <c r="D7051" t="s">
        <v>30480</v>
      </c>
      <c r="E7051" t="b">
        <v>0</v>
      </c>
      <c r="F7051" t="s">
        <v>11624</v>
      </c>
      <c r="L7051">
        <v>0</v>
      </c>
      <c r="M7051">
        <v>0</v>
      </c>
      <c r="N7051">
        <v>0</v>
      </c>
      <c r="O7051" t="s">
        <v>12539</v>
      </c>
    </row>
    <row r="7052" spans="1:15">
      <c r="A7052" t="s">
        <v>30481</v>
      </c>
      <c r="B7052" t="s">
        <v>11607</v>
      </c>
      <c r="C7052" t="s">
        <v>11648</v>
      </c>
      <c r="D7052" t="s">
        <v>30482</v>
      </c>
      <c r="E7052" t="b">
        <v>0</v>
      </c>
      <c r="F7052" t="s">
        <v>11610</v>
      </c>
      <c r="L7052">
        <v>0</v>
      </c>
      <c r="M7052">
        <v>0</v>
      </c>
      <c r="N7052">
        <v>0</v>
      </c>
    </row>
    <row r="7053" spans="1:15">
      <c r="A7053" t="s">
        <v>30483</v>
      </c>
      <c r="B7053" t="s">
        <v>11644</v>
      </c>
      <c r="C7053" t="s">
        <v>30484</v>
      </c>
      <c r="D7053" t="s">
        <v>30485</v>
      </c>
      <c r="E7053" t="b">
        <v>0</v>
      </c>
      <c r="F7053" t="s">
        <v>11610</v>
      </c>
      <c r="L7053">
        <v>0</v>
      </c>
      <c r="M7053">
        <v>0</v>
      </c>
      <c r="N7053">
        <v>0</v>
      </c>
    </row>
    <row r="7054" spans="1:15">
      <c r="A7054" t="s">
        <v>30486</v>
      </c>
      <c r="B7054" t="s">
        <v>11607</v>
      </c>
      <c r="C7054" t="s">
        <v>26428</v>
      </c>
      <c r="D7054" t="s">
        <v>30487</v>
      </c>
      <c r="E7054" t="b">
        <v>0</v>
      </c>
      <c r="F7054" t="s">
        <v>11610</v>
      </c>
      <c r="L7054">
        <v>0</v>
      </c>
      <c r="M7054">
        <v>0</v>
      </c>
      <c r="N7054">
        <v>0</v>
      </c>
    </row>
    <row r="7055" spans="1:15">
      <c r="A7055" t="s">
        <v>30488</v>
      </c>
      <c r="B7055" t="s">
        <v>11607</v>
      </c>
      <c r="C7055" t="s">
        <v>11648</v>
      </c>
      <c r="D7055" t="s">
        <v>30489</v>
      </c>
      <c r="E7055" t="b">
        <v>0</v>
      </c>
      <c r="F7055" t="s">
        <v>11610</v>
      </c>
      <c r="L7055">
        <v>0</v>
      </c>
      <c r="M7055">
        <v>0</v>
      </c>
      <c r="N7055">
        <v>0</v>
      </c>
    </row>
    <row r="7056" spans="1:15">
      <c r="A7056" t="s">
        <v>30490</v>
      </c>
      <c r="B7056" t="s">
        <v>11607</v>
      </c>
      <c r="C7056" t="s">
        <v>30491</v>
      </c>
      <c r="D7056" t="s">
        <v>30492</v>
      </c>
      <c r="E7056" t="b">
        <v>0</v>
      </c>
      <c r="F7056" t="s">
        <v>11624</v>
      </c>
      <c r="G7056">
        <v>7.5737699999999997</v>
      </c>
      <c r="H7056">
        <v>37.7577</v>
      </c>
      <c r="I7056" t="s">
        <v>30493</v>
      </c>
      <c r="L7056">
        <v>0</v>
      </c>
      <c r="M7056">
        <v>0</v>
      </c>
      <c r="N7056">
        <v>2</v>
      </c>
      <c r="O7056" t="s">
        <v>11625</v>
      </c>
    </row>
    <row r="7057" spans="1:15">
      <c r="A7057" t="s">
        <v>30494</v>
      </c>
      <c r="B7057" t="s">
        <v>11607</v>
      </c>
      <c r="C7057" t="s">
        <v>30495</v>
      </c>
      <c r="D7057" t="s">
        <v>30496</v>
      </c>
      <c r="E7057" t="b">
        <v>0</v>
      </c>
      <c r="F7057" t="s">
        <v>11622</v>
      </c>
      <c r="L7057">
        <v>2</v>
      </c>
      <c r="M7057">
        <v>4</v>
      </c>
      <c r="N7057">
        <v>5</v>
      </c>
    </row>
    <row r="7058" spans="1:15">
      <c r="A7058" t="s">
        <v>30491</v>
      </c>
      <c r="B7058" t="s">
        <v>11607</v>
      </c>
      <c r="C7058" t="s">
        <v>30494</v>
      </c>
      <c r="D7058" t="s">
        <v>30497</v>
      </c>
      <c r="E7058" t="b">
        <v>0</v>
      </c>
      <c r="F7058" t="s">
        <v>11622</v>
      </c>
      <c r="L7058">
        <v>0</v>
      </c>
      <c r="M7058">
        <v>2</v>
      </c>
      <c r="N7058">
        <v>2</v>
      </c>
    </row>
    <row r="7059" spans="1:15">
      <c r="A7059" t="s">
        <v>30498</v>
      </c>
      <c r="B7059" t="s">
        <v>11637</v>
      </c>
      <c r="C7059" t="s">
        <v>15874</v>
      </c>
      <c r="D7059" t="s">
        <v>30499</v>
      </c>
      <c r="E7059" t="b">
        <v>0</v>
      </c>
      <c r="F7059" t="s">
        <v>11624</v>
      </c>
      <c r="G7059">
        <v>24.854600000000001</v>
      </c>
      <c r="H7059">
        <v>75.836600000000004</v>
      </c>
      <c r="I7059" t="s">
        <v>30500</v>
      </c>
      <c r="L7059">
        <v>0</v>
      </c>
      <c r="M7059">
        <v>0</v>
      </c>
      <c r="N7059">
        <v>2</v>
      </c>
      <c r="O7059" t="s">
        <v>11630</v>
      </c>
    </row>
    <row r="7060" spans="1:15">
      <c r="A7060" t="s">
        <v>30501</v>
      </c>
      <c r="B7060" t="s">
        <v>11607</v>
      </c>
      <c r="C7060" t="s">
        <v>30502</v>
      </c>
      <c r="D7060" t="s">
        <v>30503</v>
      </c>
      <c r="E7060" t="b">
        <v>0</v>
      </c>
      <c r="F7060" t="s">
        <v>11624</v>
      </c>
      <c r="I7060" t="s">
        <v>30504</v>
      </c>
      <c r="L7060">
        <v>0</v>
      </c>
      <c r="M7060">
        <v>0</v>
      </c>
      <c r="N7060">
        <v>0</v>
      </c>
      <c r="O7060" t="s">
        <v>30505</v>
      </c>
    </row>
    <row r="7061" spans="1:15">
      <c r="A7061" t="s">
        <v>30506</v>
      </c>
      <c r="B7061" t="s">
        <v>11607</v>
      </c>
      <c r="C7061" t="s">
        <v>4675</v>
      </c>
      <c r="D7061" t="s">
        <v>30507</v>
      </c>
      <c r="E7061" t="b">
        <v>0</v>
      </c>
      <c r="F7061" t="s">
        <v>11624</v>
      </c>
      <c r="G7061">
        <v>15.4468</v>
      </c>
      <c r="H7061">
        <v>48.6524</v>
      </c>
      <c r="I7061" t="s">
        <v>30508</v>
      </c>
      <c r="L7061">
        <v>0</v>
      </c>
      <c r="M7061">
        <v>0</v>
      </c>
      <c r="N7061">
        <v>0</v>
      </c>
      <c r="O7061" t="s">
        <v>30509</v>
      </c>
    </row>
    <row r="7062" spans="1:15">
      <c r="A7062" t="s">
        <v>30510</v>
      </c>
      <c r="B7062" t="s">
        <v>6742</v>
      </c>
      <c r="C7062" t="s">
        <v>30511</v>
      </c>
      <c r="D7062" t="s">
        <v>30512</v>
      </c>
      <c r="E7062" t="b">
        <v>0</v>
      </c>
      <c r="F7062" t="s">
        <v>11610</v>
      </c>
      <c r="L7062">
        <v>0</v>
      </c>
      <c r="M7062">
        <v>0</v>
      </c>
      <c r="N7062">
        <v>0</v>
      </c>
    </row>
    <row r="7063" spans="1:15">
      <c r="A7063" t="s">
        <v>935</v>
      </c>
      <c r="D7063" t="s">
        <v>934</v>
      </c>
      <c r="E7063" t="b">
        <v>0</v>
      </c>
      <c r="F7063" t="s">
        <v>11624</v>
      </c>
      <c r="G7063">
        <v>-3.8311500000000001</v>
      </c>
      <c r="H7063">
        <v>35.0458</v>
      </c>
      <c r="I7063" t="s">
        <v>936</v>
      </c>
      <c r="L7063">
        <v>0</v>
      </c>
      <c r="M7063">
        <v>0</v>
      </c>
      <c r="N7063">
        <v>0</v>
      </c>
      <c r="O7063" t="s">
        <v>11635</v>
      </c>
    </row>
    <row r="7064" spans="1:15">
      <c r="A7064" t="s">
        <v>30513</v>
      </c>
      <c r="B7064" t="s">
        <v>367</v>
      </c>
      <c r="C7064" t="s">
        <v>20744</v>
      </c>
      <c r="D7064" t="s">
        <v>30514</v>
      </c>
      <c r="E7064" t="b">
        <v>0</v>
      </c>
      <c r="F7064" t="s">
        <v>11624</v>
      </c>
      <c r="G7064">
        <v>-21.073499999999999</v>
      </c>
      <c r="H7064">
        <v>164.869</v>
      </c>
      <c r="I7064" t="s">
        <v>30515</v>
      </c>
      <c r="L7064">
        <v>0</v>
      </c>
      <c r="M7064">
        <v>0</v>
      </c>
      <c r="N7064">
        <v>0</v>
      </c>
      <c r="O7064" t="s">
        <v>12624</v>
      </c>
    </row>
    <row r="7065" spans="1:15">
      <c r="A7065" t="s">
        <v>20744</v>
      </c>
      <c r="B7065" t="s">
        <v>367</v>
      </c>
      <c r="C7065" t="s">
        <v>20747</v>
      </c>
      <c r="D7065" t="s">
        <v>30516</v>
      </c>
      <c r="E7065" t="b">
        <v>0</v>
      </c>
      <c r="F7065" t="s">
        <v>11622</v>
      </c>
      <c r="L7065">
        <v>0</v>
      </c>
      <c r="M7065">
        <v>2</v>
      </c>
      <c r="N7065">
        <v>0</v>
      </c>
    </row>
    <row r="7066" spans="1:15">
      <c r="A7066" t="s">
        <v>30517</v>
      </c>
      <c r="B7066" t="s">
        <v>11644</v>
      </c>
      <c r="C7066" t="s">
        <v>30518</v>
      </c>
      <c r="D7066" t="s">
        <v>30519</v>
      </c>
      <c r="E7066" t="b">
        <v>0</v>
      </c>
      <c r="F7066" t="s">
        <v>11610</v>
      </c>
      <c r="G7066">
        <v>45.846595000000001</v>
      </c>
      <c r="H7066">
        <v>126.551056</v>
      </c>
      <c r="L7066">
        <v>0</v>
      </c>
      <c r="M7066">
        <v>0</v>
      </c>
      <c r="N7066">
        <v>0</v>
      </c>
    </row>
    <row r="7067" spans="1:15">
      <c r="A7067" t="s">
        <v>30520</v>
      </c>
      <c r="B7067" t="s">
        <v>11637</v>
      </c>
      <c r="C7067" t="s">
        <v>16120</v>
      </c>
      <c r="D7067" t="s">
        <v>30521</v>
      </c>
      <c r="E7067" t="b">
        <v>0</v>
      </c>
      <c r="F7067" t="s">
        <v>11610</v>
      </c>
      <c r="L7067">
        <v>0</v>
      </c>
      <c r="M7067">
        <v>0</v>
      </c>
      <c r="N7067">
        <v>0</v>
      </c>
    </row>
    <row r="7068" spans="1:15">
      <c r="A7068" t="s">
        <v>30522</v>
      </c>
      <c r="B7068" t="s">
        <v>367</v>
      </c>
      <c r="C7068" t="s">
        <v>20079</v>
      </c>
      <c r="D7068" t="s">
        <v>30523</v>
      </c>
      <c r="E7068" t="b">
        <v>0</v>
      </c>
      <c r="F7068" t="s">
        <v>11610</v>
      </c>
      <c r="L7068">
        <v>0</v>
      </c>
      <c r="M7068">
        <v>0</v>
      </c>
      <c r="N7068">
        <v>0</v>
      </c>
    </row>
    <row r="7069" spans="1:15">
      <c r="A7069" t="s">
        <v>15115</v>
      </c>
      <c r="B7069" t="s">
        <v>11615</v>
      </c>
      <c r="C7069" t="s">
        <v>21663</v>
      </c>
      <c r="D7069" t="s">
        <v>30524</v>
      </c>
      <c r="E7069" t="b">
        <v>0</v>
      </c>
      <c r="F7069" t="s">
        <v>11622</v>
      </c>
      <c r="L7069">
        <v>2</v>
      </c>
      <c r="M7069">
        <v>4</v>
      </c>
      <c r="N7069">
        <v>7</v>
      </c>
    </row>
    <row r="7070" spans="1:15">
      <c r="A7070" t="s">
        <v>30525</v>
      </c>
      <c r="B7070" t="s">
        <v>11834</v>
      </c>
      <c r="C7070" t="s">
        <v>29166</v>
      </c>
      <c r="D7070" t="s">
        <v>30526</v>
      </c>
      <c r="E7070" t="b">
        <v>0</v>
      </c>
      <c r="F7070" t="s">
        <v>11610</v>
      </c>
      <c r="L7070">
        <v>0</v>
      </c>
      <c r="M7070">
        <v>0</v>
      </c>
      <c r="N7070">
        <v>0</v>
      </c>
    </row>
    <row r="7071" spans="1:15">
      <c r="A7071" t="s">
        <v>30527</v>
      </c>
      <c r="B7071" t="s">
        <v>367</v>
      </c>
      <c r="C7071" t="s">
        <v>15619</v>
      </c>
      <c r="D7071" t="s">
        <v>30528</v>
      </c>
      <c r="E7071" t="b">
        <v>0</v>
      </c>
      <c r="F7071" t="s">
        <v>11610</v>
      </c>
      <c r="L7071">
        <v>0</v>
      </c>
      <c r="M7071">
        <v>0</v>
      </c>
      <c r="N7071">
        <v>0</v>
      </c>
    </row>
    <row r="7072" spans="1:15">
      <c r="A7072" t="s">
        <v>30529</v>
      </c>
      <c r="B7072" t="s">
        <v>12959</v>
      </c>
      <c r="C7072" t="s">
        <v>12960</v>
      </c>
      <c r="D7072" t="s">
        <v>30530</v>
      </c>
      <c r="E7072" t="b">
        <v>0</v>
      </c>
      <c r="F7072" t="s">
        <v>11610</v>
      </c>
      <c r="L7072">
        <v>0</v>
      </c>
      <c r="M7072">
        <v>0</v>
      </c>
      <c r="N7072">
        <v>0</v>
      </c>
    </row>
    <row r="7073" spans="1:15">
      <c r="A7073" t="s">
        <v>14377</v>
      </c>
      <c r="B7073" t="s">
        <v>367</v>
      </c>
      <c r="C7073" t="s">
        <v>30531</v>
      </c>
      <c r="D7073" t="s">
        <v>30532</v>
      </c>
      <c r="E7073" t="b">
        <v>0</v>
      </c>
      <c r="F7073" t="s">
        <v>11624</v>
      </c>
      <c r="G7073">
        <v>-5.5903099999999997</v>
      </c>
      <c r="H7073">
        <v>154.80099999999999</v>
      </c>
      <c r="I7073" t="s">
        <v>30533</v>
      </c>
      <c r="L7073">
        <v>0</v>
      </c>
      <c r="M7073">
        <v>0</v>
      </c>
      <c r="N7073">
        <v>3</v>
      </c>
      <c r="O7073" t="s">
        <v>11660</v>
      </c>
    </row>
    <row r="7074" spans="1:15">
      <c r="A7074" t="s">
        <v>30534</v>
      </c>
      <c r="B7074" t="s">
        <v>11981</v>
      </c>
      <c r="C7074" t="s">
        <v>23565</v>
      </c>
      <c r="D7074" t="s">
        <v>30535</v>
      </c>
      <c r="E7074" t="b">
        <v>0</v>
      </c>
      <c r="F7074" t="s">
        <v>11622</v>
      </c>
      <c r="L7074">
        <v>0</v>
      </c>
      <c r="M7074">
        <v>2</v>
      </c>
      <c r="N7074">
        <v>0</v>
      </c>
    </row>
    <row r="7075" spans="1:15">
      <c r="A7075" t="s">
        <v>607</v>
      </c>
      <c r="D7075" t="s">
        <v>606</v>
      </c>
      <c r="E7075" t="b">
        <v>0</v>
      </c>
      <c r="F7075" t="s">
        <v>11622</v>
      </c>
      <c r="I7075" t="s">
        <v>608</v>
      </c>
      <c r="L7075">
        <v>0</v>
      </c>
      <c r="M7075">
        <v>2</v>
      </c>
      <c r="N7075">
        <v>0</v>
      </c>
      <c r="O7075" t="s">
        <v>13049</v>
      </c>
    </row>
    <row r="7076" spans="1:15">
      <c r="A7076" t="s">
        <v>30536</v>
      </c>
      <c r="B7076" t="s">
        <v>367</v>
      </c>
      <c r="C7076" t="s">
        <v>26581</v>
      </c>
      <c r="D7076" t="s">
        <v>30537</v>
      </c>
      <c r="E7076" t="b">
        <v>0</v>
      </c>
      <c r="F7076" t="s">
        <v>11624</v>
      </c>
      <c r="G7076">
        <v>-10.274100000000001</v>
      </c>
      <c r="H7076">
        <v>150.256</v>
      </c>
      <c r="I7076" t="s">
        <v>30538</v>
      </c>
      <c r="L7076">
        <v>0</v>
      </c>
      <c r="M7076">
        <v>0</v>
      </c>
      <c r="N7076">
        <v>2</v>
      </c>
      <c r="O7076" t="s">
        <v>11660</v>
      </c>
    </row>
    <row r="7077" spans="1:15">
      <c r="A7077" t="s">
        <v>30539</v>
      </c>
      <c r="B7077" t="s">
        <v>6742</v>
      </c>
      <c r="C7077" t="s">
        <v>16541</v>
      </c>
      <c r="D7077" t="s">
        <v>30540</v>
      </c>
      <c r="E7077" t="b">
        <v>0</v>
      </c>
      <c r="F7077" t="s">
        <v>11610</v>
      </c>
      <c r="L7077">
        <v>0</v>
      </c>
      <c r="M7077">
        <v>0</v>
      </c>
      <c r="N7077">
        <v>0</v>
      </c>
    </row>
    <row r="7078" spans="1:15">
      <c r="A7078" t="s">
        <v>30541</v>
      </c>
      <c r="B7078" t="s">
        <v>6742</v>
      </c>
      <c r="C7078" t="s">
        <v>19672</v>
      </c>
      <c r="D7078" t="s">
        <v>30542</v>
      </c>
      <c r="E7078" t="b">
        <v>0</v>
      </c>
      <c r="F7078" t="s">
        <v>11610</v>
      </c>
      <c r="L7078">
        <v>0</v>
      </c>
      <c r="M7078">
        <v>0</v>
      </c>
      <c r="N7078">
        <v>0</v>
      </c>
    </row>
    <row r="7079" spans="1:15">
      <c r="A7079" t="s">
        <v>30543</v>
      </c>
      <c r="B7079" t="s">
        <v>11615</v>
      </c>
      <c r="C7079" t="s">
        <v>13429</v>
      </c>
      <c r="D7079" t="s">
        <v>30544</v>
      </c>
      <c r="E7079" t="b">
        <v>0</v>
      </c>
      <c r="F7079" t="s">
        <v>11610</v>
      </c>
      <c r="L7079">
        <v>0</v>
      </c>
      <c r="M7079">
        <v>0</v>
      </c>
      <c r="N7079">
        <v>0</v>
      </c>
    </row>
    <row r="7080" spans="1:15">
      <c r="A7080" t="s">
        <v>30545</v>
      </c>
      <c r="B7080" t="s">
        <v>12250</v>
      </c>
      <c r="C7080" t="s">
        <v>20636</v>
      </c>
      <c r="D7080" t="s">
        <v>30546</v>
      </c>
      <c r="E7080" t="b">
        <v>0</v>
      </c>
      <c r="F7080" t="s">
        <v>11610</v>
      </c>
      <c r="L7080">
        <v>0</v>
      </c>
      <c r="M7080">
        <v>0</v>
      </c>
      <c r="N7080">
        <v>0</v>
      </c>
    </row>
    <row r="7081" spans="1:15">
      <c r="A7081" t="s">
        <v>30547</v>
      </c>
      <c r="B7081" t="s">
        <v>11644</v>
      </c>
      <c r="C7081" t="s">
        <v>30548</v>
      </c>
      <c r="D7081" t="s">
        <v>30549</v>
      </c>
      <c r="E7081" t="b">
        <v>0</v>
      </c>
      <c r="F7081" t="s">
        <v>11610</v>
      </c>
      <c r="L7081">
        <v>0</v>
      </c>
      <c r="M7081">
        <v>0</v>
      </c>
      <c r="N7081">
        <v>0</v>
      </c>
    </row>
    <row r="7082" spans="1:15">
      <c r="A7082" t="s">
        <v>30550</v>
      </c>
      <c r="B7082" t="s">
        <v>12686</v>
      </c>
      <c r="C7082" t="s">
        <v>6182</v>
      </c>
      <c r="D7082" t="s">
        <v>30551</v>
      </c>
      <c r="E7082" t="b">
        <v>0</v>
      </c>
      <c r="F7082" t="s">
        <v>11610</v>
      </c>
      <c r="L7082">
        <v>0</v>
      </c>
      <c r="M7082">
        <v>0</v>
      </c>
      <c r="N7082">
        <v>0</v>
      </c>
    </row>
    <row r="7083" spans="1:15">
      <c r="A7083" t="s">
        <v>30552</v>
      </c>
      <c r="B7083" t="s">
        <v>11644</v>
      </c>
      <c r="C7083" t="s">
        <v>22102</v>
      </c>
      <c r="D7083" t="s">
        <v>30553</v>
      </c>
      <c r="E7083" t="b">
        <v>0</v>
      </c>
      <c r="F7083" t="s">
        <v>11610</v>
      </c>
      <c r="G7083">
        <v>20.043869000000001</v>
      </c>
      <c r="H7083">
        <v>110.329399</v>
      </c>
      <c r="L7083">
        <v>0</v>
      </c>
      <c r="M7083">
        <v>0</v>
      </c>
      <c r="N7083">
        <v>0</v>
      </c>
    </row>
    <row r="7084" spans="1:15">
      <c r="A7084" t="s">
        <v>22102</v>
      </c>
      <c r="B7084" t="s">
        <v>11644</v>
      </c>
      <c r="C7084" t="s">
        <v>30554</v>
      </c>
      <c r="D7084" t="s">
        <v>30555</v>
      </c>
      <c r="E7084" t="b">
        <v>0</v>
      </c>
      <c r="F7084" t="s">
        <v>11610</v>
      </c>
      <c r="L7084">
        <v>0</v>
      </c>
      <c r="M7084">
        <v>0</v>
      </c>
      <c r="N7084">
        <v>3</v>
      </c>
    </row>
    <row r="7085" spans="1:15">
      <c r="A7085" t="s">
        <v>30556</v>
      </c>
      <c r="B7085" t="s">
        <v>11637</v>
      </c>
      <c r="C7085" t="s">
        <v>13473</v>
      </c>
      <c r="D7085" t="s">
        <v>30557</v>
      </c>
      <c r="E7085" t="b">
        <v>0</v>
      </c>
      <c r="F7085" t="s">
        <v>11610</v>
      </c>
      <c r="L7085">
        <v>0</v>
      </c>
      <c r="M7085">
        <v>0</v>
      </c>
      <c r="N7085">
        <v>0</v>
      </c>
    </row>
    <row r="7086" spans="1:15">
      <c r="A7086" t="s">
        <v>30558</v>
      </c>
      <c r="B7086" t="s">
        <v>13276</v>
      </c>
      <c r="C7086" t="s">
        <v>19809</v>
      </c>
      <c r="D7086" t="s">
        <v>30559</v>
      </c>
      <c r="E7086" t="b">
        <v>0</v>
      </c>
      <c r="F7086" t="s">
        <v>11624</v>
      </c>
      <c r="G7086">
        <v>13.8734</v>
      </c>
      <c r="H7086">
        <v>-5.6508500000000002</v>
      </c>
      <c r="I7086" t="s">
        <v>30560</v>
      </c>
      <c r="L7086">
        <v>0</v>
      </c>
      <c r="M7086">
        <v>0</v>
      </c>
      <c r="N7086">
        <v>0</v>
      </c>
      <c r="O7086" t="s">
        <v>13528</v>
      </c>
    </row>
    <row r="7087" spans="1:15">
      <c r="A7087" t="s">
        <v>30561</v>
      </c>
      <c r="B7087" t="s">
        <v>4236</v>
      </c>
      <c r="C7087" t="s">
        <v>23013</v>
      </c>
      <c r="D7087" t="s">
        <v>30562</v>
      </c>
      <c r="E7087" t="b">
        <v>0</v>
      </c>
      <c r="F7087" t="s">
        <v>11610</v>
      </c>
      <c r="L7087">
        <v>0</v>
      </c>
      <c r="M7087">
        <v>0</v>
      </c>
      <c r="N7087">
        <v>0</v>
      </c>
    </row>
    <row r="7088" spans="1:15">
      <c r="A7088" t="s">
        <v>23013</v>
      </c>
      <c r="B7088" t="s">
        <v>4236</v>
      </c>
      <c r="C7088" t="s">
        <v>30563</v>
      </c>
      <c r="D7088" t="s">
        <v>30564</v>
      </c>
      <c r="E7088" t="b">
        <v>0</v>
      </c>
      <c r="F7088" t="s">
        <v>11624</v>
      </c>
      <c r="G7088">
        <v>-19.7637</v>
      </c>
      <c r="H7088">
        <v>17.029900000000001</v>
      </c>
      <c r="I7088" t="s">
        <v>30565</v>
      </c>
      <c r="L7088">
        <v>0</v>
      </c>
      <c r="M7088">
        <v>0</v>
      </c>
      <c r="N7088">
        <v>3</v>
      </c>
      <c r="O7088" t="s">
        <v>30566</v>
      </c>
    </row>
    <row r="7089" spans="1:15">
      <c r="A7089" t="s">
        <v>30567</v>
      </c>
      <c r="B7089" t="s">
        <v>11981</v>
      </c>
      <c r="C7089" t="s">
        <v>30568</v>
      </c>
      <c r="D7089" t="s">
        <v>30569</v>
      </c>
      <c r="E7089" t="b">
        <v>0</v>
      </c>
      <c r="F7089" t="s">
        <v>11624</v>
      </c>
      <c r="G7089">
        <v>20.8537</v>
      </c>
      <c r="H7089">
        <v>106.68899999999999</v>
      </c>
      <c r="I7089" t="s">
        <v>30570</v>
      </c>
      <c r="L7089">
        <v>0</v>
      </c>
      <c r="M7089">
        <v>0</v>
      </c>
      <c r="N7089">
        <v>0</v>
      </c>
      <c r="O7089" t="s">
        <v>15949</v>
      </c>
    </row>
    <row r="7090" spans="1:15">
      <c r="A7090" t="s">
        <v>30571</v>
      </c>
      <c r="B7090" t="s">
        <v>17854</v>
      </c>
      <c r="C7090" t="s">
        <v>30572</v>
      </c>
      <c r="D7090" t="s">
        <v>30573</v>
      </c>
      <c r="E7090" t="b">
        <v>0</v>
      </c>
      <c r="F7090" t="s">
        <v>11624</v>
      </c>
      <c r="G7090">
        <v>53.963999999999999</v>
      </c>
      <c r="H7090">
        <v>-128.602</v>
      </c>
      <c r="I7090" t="s">
        <v>30574</v>
      </c>
      <c r="L7090">
        <v>0</v>
      </c>
      <c r="M7090">
        <v>0</v>
      </c>
      <c r="N7090">
        <v>1</v>
      </c>
      <c r="O7090" t="s">
        <v>13049</v>
      </c>
    </row>
    <row r="7091" spans="1:15">
      <c r="A7091" t="s">
        <v>30575</v>
      </c>
      <c r="B7091" t="s">
        <v>13360</v>
      </c>
      <c r="C7091" t="s">
        <v>13360</v>
      </c>
      <c r="D7091" t="s">
        <v>30576</v>
      </c>
      <c r="E7091" t="b">
        <v>0</v>
      </c>
      <c r="F7091" t="s">
        <v>11624</v>
      </c>
      <c r="G7091">
        <v>18.911000000000001</v>
      </c>
      <c r="H7091">
        <v>-72.394000000000005</v>
      </c>
      <c r="I7091" t="s">
        <v>30577</v>
      </c>
      <c r="L7091">
        <v>0</v>
      </c>
      <c r="M7091">
        <v>0</v>
      </c>
      <c r="N7091">
        <v>0</v>
      </c>
      <c r="O7091" t="s">
        <v>30578</v>
      </c>
    </row>
    <row r="7092" spans="1:15">
      <c r="A7092" t="s">
        <v>2886</v>
      </c>
      <c r="B7092" t="s">
        <v>11637</v>
      </c>
      <c r="C7092" t="s">
        <v>23067</v>
      </c>
      <c r="D7092" t="s">
        <v>30579</v>
      </c>
      <c r="E7092" t="b">
        <v>0</v>
      </c>
      <c r="F7092" t="s">
        <v>11624</v>
      </c>
      <c r="G7092">
        <v>18.795134999999998</v>
      </c>
      <c r="H7092">
        <v>-72.136115000000004</v>
      </c>
      <c r="I7092" t="s">
        <v>2888</v>
      </c>
      <c r="L7092">
        <v>0</v>
      </c>
      <c r="M7092">
        <v>0</v>
      </c>
      <c r="N7092">
        <v>2</v>
      </c>
      <c r="O7092" t="s">
        <v>30580</v>
      </c>
    </row>
    <row r="7093" spans="1:15">
      <c r="A7093" t="s">
        <v>30581</v>
      </c>
      <c r="B7093" t="s">
        <v>367</v>
      </c>
      <c r="C7093" t="s">
        <v>21532</v>
      </c>
      <c r="D7093" t="s">
        <v>30582</v>
      </c>
      <c r="E7093" t="b">
        <v>0</v>
      </c>
      <c r="F7093" t="s">
        <v>11624</v>
      </c>
      <c r="G7093">
        <v>-5.0778100000000004</v>
      </c>
      <c r="H7093">
        <v>104.714</v>
      </c>
      <c r="I7093" t="s">
        <v>30583</v>
      </c>
      <c r="L7093">
        <v>0</v>
      </c>
      <c r="M7093">
        <v>0</v>
      </c>
      <c r="N7093">
        <v>0</v>
      </c>
      <c r="O7093" t="s">
        <v>11768</v>
      </c>
    </row>
    <row r="7094" spans="1:15">
      <c r="A7094" t="s">
        <v>30584</v>
      </c>
      <c r="B7094" t="s">
        <v>11637</v>
      </c>
      <c r="C7094" t="s">
        <v>30585</v>
      </c>
      <c r="D7094" t="s">
        <v>30586</v>
      </c>
      <c r="E7094" t="b">
        <v>0</v>
      </c>
      <c r="F7094" t="s">
        <v>11610</v>
      </c>
      <c r="L7094">
        <v>0</v>
      </c>
      <c r="M7094">
        <v>0</v>
      </c>
      <c r="N7094">
        <v>0</v>
      </c>
    </row>
    <row r="7095" spans="1:15">
      <c r="A7095" t="s">
        <v>30587</v>
      </c>
      <c r="B7095" t="s">
        <v>11637</v>
      </c>
      <c r="C7095" t="s">
        <v>26546</v>
      </c>
      <c r="D7095" t="s">
        <v>30588</v>
      </c>
      <c r="E7095" t="b">
        <v>0</v>
      </c>
      <c r="F7095" t="s">
        <v>11624</v>
      </c>
      <c r="G7095">
        <v>25.514299999999999</v>
      </c>
      <c r="H7095">
        <v>89.859399999999994</v>
      </c>
      <c r="I7095" t="s">
        <v>30589</v>
      </c>
      <c r="L7095">
        <v>0</v>
      </c>
      <c r="M7095">
        <v>0</v>
      </c>
      <c r="N7095">
        <v>0</v>
      </c>
      <c r="O7095" t="s">
        <v>15054</v>
      </c>
    </row>
    <row r="7096" spans="1:15">
      <c r="A7096" t="s">
        <v>30590</v>
      </c>
      <c r="B7096" t="s">
        <v>11644</v>
      </c>
      <c r="C7096" t="s">
        <v>27647</v>
      </c>
      <c r="D7096" t="s">
        <v>30591</v>
      </c>
      <c r="E7096" t="b">
        <v>0</v>
      </c>
      <c r="F7096" t="s">
        <v>11624</v>
      </c>
      <c r="G7096">
        <v>22.8735</v>
      </c>
      <c r="H7096">
        <v>92.820800000000006</v>
      </c>
      <c r="I7096" t="s">
        <v>30592</v>
      </c>
      <c r="L7096">
        <v>0</v>
      </c>
      <c r="M7096">
        <v>0</v>
      </c>
      <c r="N7096">
        <v>3</v>
      </c>
      <c r="O7096" t="s">
        <v>17541</v>
      </c>
    </row>
    <row r="7097" spans="1:15">
      <c r="A7097" t="s">
        <v>30593</v>
      </c>
      <c r="B7097" t="s">
        <v>4342</v>
      </c>
      <c r="C7097" t="s">
        <v>22538</v>
      </c>
      <c r="D7097" t="s">
        <v>30594</v>
      </c>
      <c r="E7097" t="b">
        <v>0</v>
      </c>
      <c r="F7097" t="s">
        <v>11610</v>
      </c>
      <c r="L7097">
        <v>0</v>
      </c>
      <c r="M7097">
        <v>0</v>
      </c>
      <c r="N7097">
        <v>0</v>
      </c>
    </row>
    <row r="7098" spans="1:15">
      <c r="A7098" t="s">
        <v>30595</v>
      </c>
      <c r="B7098" t="s">
        <v>11644</v>
      </c>
      <c r="C7098" t="s">
        <v>19716</v>
      </c>
      <c r="D7098" t="s">
        <v>30596</v>
      </c>
      <c r="E7098" t="b">
        <v>0</v>
      </c>
      <c r="F7098" t="s">
        <v>11610</v>
      </c>
      <c r="L7098">
        <v>0</v>
      </c>
      <c r="M7098">
        <v>0</v>
      </c>
      <c r="N7098">
        <v>0</v>
      </c>
    </row>
    <row r="7099" spans="1:15">
      <c r="A7099" t="s">
        <v>30597</v>
      </c>
      <c r="B7099" t="s">
        <v>11644</v>
      </c>
      <c r="C7099" t="s">
        <v>19716</v>
      </c>
      <c r="D7099" t="s">
        <v>30598</v>
      </c>
      <c r="E7099" t="b">
        <v>0</v>
      </c>
      <c r="F7099" t="s">
        <v>11610</v>
      </c>
      <c r="L7099">
        <v>0</v>
      </c>
      <c r="M7099">
        <v>0</v>
      </c>
      <c r="N7099">
        <v>0</v>
      </c>
    </row>
    <row r="7100" spans="1:15">
      <c r="A7100" t="s">
        <v>30548</v>
      </c>
      <c r="B7100" t="s">
        <v>11644</v>
      </c>
      <c r="C7100" t="s">
        <v>28526</v>
      </c>
      <c r="D7100" t="s">
        <v>30599</v>
      </c>
      <c r="E7100" t="b">
        <v>0</v>
      </c>
      <c r="F7100" t="s">
        <v>11624</v>
      </c>
      <c r="G7100">
        <v>25</v>
      </c>
      <c r="H7100">
        <v>116</v>
      </c>
      <c r="I7100" t="s">
        <v>30600</v>
      </c>
      <c r="L7100">
        <v>0</v>
      </c>
      <c r="M7100">
        <v>0</v>
      </c>
      <c r="N7100">
        <v>20</v>
      </c>
      <c r="O7100" t="s">
        <v>30601</v>
      </c>
    </row>
    <row r="7101" spans="1:15">
      <c r="A7101" t="s">
        <v>30602</v>
      </c>
      <c r="B7101" t="s">
        <v>367</v>
      </c>
      <c r="C7101" t="s">
        <v>30603</v>
      </c>
      <c r="D7101" t="s">
        <v>30604</v>
      </c>
      <c r="E7101" t="b">
        <v>0</v>
      </c>
      <c r="F7101" t="s">
        <v>11624</v>
      </c>
      <c r="G7101">
        <v>-5.0683199999999999</v>
      </c>
      <c r="H7101">
        <v>154.59399999999999</v>
      </c>
      <c r="I7101" t="s">
        <v>30605</v>
      </c>
      <c r="L7101">
        <v>0</v>
      </c>
      <c r="M7101">
        <v>0</v>
      </c>
      <c r="N7101">
        <v>1</v>
      </c>
      <c r="O7101" t="s">
        <v>11660</v>
      </c>
    </row>
    <row r="7102" spans="1:15">
      <c r="A7102" t="s">
        <v>30606</v>
      </c>
      <c r="B7102" t="s">
        <v>12438</v>
      </c>
      <c r="C7102" t="s">
        <v>30607</v>
      </c>
      <c r="D7102" t="s">
        <v>30608</v>
      </c>
      <c r="E7102" t="b">
        <v>0</v>
      </c>
      <c r="F7102" t="s">
        <v>11624</v>
      </c>
      <c r="G7102">
        <v>14.786199999999999</v>
      </c>
      <c r="H7102">
        <v>107.45699999999999</v>
      </c>
      <c r="I7102" t="s">
        <v>30609</v>
      </c>
      <c r="L7102">
        <v>0</v>
      </c>
      <c r="M7102">
        <v>0</v>
      </c>
      <c r="N7102">
        <v>0</v>
      </c>
      <c r="O7102" t="s">
        <v>14464</v>
      </c>
    </row>
    <row r="7103" spans="1:15">
      <c r="A7103" t="s">
        <v>30610</v>
      </c>
      <c r="B7103" t="s">
        <v>12438</v>
      </c>
      <c r="C7103" t="s">
        <v>30611</v>
      </c>
      <c r="D7103" t="s">
        <v>30612</v>
      </c>
      <c r="E7103" t="b">
        <v>0</v>
      </c>
      <c r="F7103" t="s">
        <v>11624</v>
      </c>
      <c r="G7103">
        <v>14.9704</v>
      </c>
      <c r="H7103">
        <v>107.86</v>
      </c>
      <c r="I7103" t="s">
        <v>30613</v>
      </c>
      <c r="L7103">
        <v>0</v>
      </c>
      <c r="M7103">
        <v>0</v>
      </c>
      <c r="N7103">
        <v>0</v>
      </c>
      <c r="O7103" t="s">
        <v>14464</v>
      </c>
    </row>
    <row r="7104" spans="1:15">
      <c r="A7104" t="s">
        <v>30614</v>
      </c>
      <c r="B7104" t="s">
        <v>11644</v>
      </c>
      <c r="C7104" t="s">
        <v>24327</v>
      </c>
      <c r="D7104" t="s">
        <v>30615</v>
      </c>
      <c r="E7104" t="b">
        <v>0</v>
      </c>
      <c r="F7104" t="s">
        <v>11610</v>
      </c>
      <c r="L7104">
        <v>0</v>
      </c>
      <c r="M7104">
        <v>0</v>
      </c>
      <c r="N7104">
        <v>0</v>
      </c>
    </row>
    <row r="7105" spans="1:15">
      <c r="A7105" t="s">
        <v>12098</v>
      </c>
      <c r="B7105" t="s">
        <v>11637</v>
      </c>
      <c r="C7105" t="s">
        <v>18286</v>
      </c>
      <c r="D7105" t="s">
        <v>30616</v>
      </c>
      <c r="E7105" t="b">
        <v>0</v>
      </c>
      <c r="F7105" t="s">
        <v>11624</v>
      </c>
      <c r="G7105">
        <v>20.3081</v>
      </c>
      <c r="H7105">
        <v>81.374200000000002</v>
      </c>
      <c r="I7105" t="s">
        <v>30617</v>
      </c>
      <c r="L7105">
        <v>0</v>
      </c>
      <c r="M7105">
        <v>0</v>
      </c>
      <c r="N7105">
        <v>9</v>
      </c>
      <c r="O7105" t="s">
        <v>11630</v>
      </c>
    </row>
    <row r="7106" spans="1:15">
      <c r="A7106" t="s">
        <v>30618</v>
      </c>
      <c r="B7106" t="s">
        <v>11637</v>
      </c>
      <c r="C7106" t="s">
        <v>30619</v>
      </c>
      <c r="D7106" t="s">
        <v>30620</v>
      </c>
      <c r="E7106" t="b">
        <v>0</v>
      </c>
      <c r="F7106" t="s">
        <v>11610</v>
      </c>
      <c r="L7106">
        <v>0</v>
      </c>
      <c r="M7106">
        <v>0</v>
      </c>
      <c r="N7106">
        <v>0</v>
      </c>
    </row>
    <row r="7107" spans="1:15">
      <c r="A7107" t="s">
        <v>18286</v>
      </c>
      <c r="B7107" t="s">
        <v>11637</v>
      </c>
      <c r="C7107" t="s">
        <v>30621</v>
      </c>
      <c r="D7107" t="s">
        <v>30622</v>
      </c>
      <c r="E7107" t="b">
        <v>0</v>
      </c>
      <c r="F7107" t="s">
        <v>11622</v>
      </c>
      <c r="L7107">
        <v>0</v>
      </c>
      <c r="M7107">
        <v>5</v>
      </c>
      <c r="N7107">
        <v>9</v>
      </c>
    </row>
    <row r="7108" spans="1:15">
      <c r="A7108" t="s">
        <v>30623</v>
      </c>
      <c r="B7108" t="s">
        <v>11839</v>
      </c>
      <c r="C7108" t="s">
        <v>29025</v>
      </c>
      <c r="D7108" t="s">
        <v>30624</v>
      </c>
      <c r="E7108" t="b">
        <v>0</v>
      </c>
      <c r="F7108" t="s">
        <v>11610</v>
      </c>
      <c r="L7108">
        <v>0</v>
      </c>
      <c r="M7108">
        <v>0</v>
      </c>
      <c r="N7108">
        <v>0</v>
      </c>
    </row>
    <row r="7109" spans="1:15">
      <c r="A7109" t="s">
        <v>24159</v>
      </c>
      <c r="B7109" t="s">
        <v>12250</v>
      </c>
      <c r="C7109" t="s">
        <v>30625</v>
      </c>
      <c r="D7109" t="s">
        <v>30626</v>
      </c>
      <c r="E7109" t="b">
        <v>0</v>
      </c>
      <c r="F7109" t="s">
        <v>11624</v>
      </c>
      <c r="G7109">
        <v>48.323999999999998</v>
      </c>
      <c r="H7109">
        <v>106.289</v>
      </c>
      <c r="I7109" t="s">
        <v>30627</v>
      </c>
      <c r="L7109">
        <v>0</v>
      </c>
      <c r="M7109">
        <v>0</v>
      </c>
      <c r="N7109">
        <v>5</v>
      </c>
      <c r="O7109" t="s">
        <v>24170</v>
      </c>
    </row>
    <row r="7110" spans="1:15">
      <c r="A7110" t="s">
        <v>30628</v>
      </c>
      <c r="B7110" t="s">
        <v>12250</v>
      </c>
      <c r="C7110" t="s">
        <v>24159</v>
      </c>
      <c r="D7110" t="s">
        <v>30629</v>
      </c>
      <c r="E7110" t="b">
        <v>0</v>
      </c>
      <c r="F7110" t="s">
        <v>11610</v>
      </c>
      <c r="L7110">
        <v>0</v>
      </c>
      <c r="M7110">
        <v>0</v>
      </c>
      <c r="N7110">
        <v>0</v>
      </c>
    </row>
    <row r="7111" spans="1:15">
      <c r="A7111" t="s">
        <v>30603</v>
      </c>
      <c r="B7111" t="s">
        <v>367</v>
      </c>
      <c r="C7111" t="s">
        <v>20158</v>
      </c>
      <c r="D7111" t="s">
        <v>30630</v>
      </c>
      <c r="E7111" t="b">
        <v>0</v>
      </c>
      <c r="F7111" t="s">
        <v>11622</v>
      </c>
      <c r="L7111">
        <v>0</v>
      </c>
      <c r="M7111">
        <v>2</v>
      </c>
      <c r="N7111">
        <v>5</v>
      </c>
    </row>
    <row r="7112" spans="1:15">
      <c r="A7112" t="s">
        <v>30631</v>
      </c>
      <c r="B7112" t="s">
        <v>367</v>
      </c>
      <c r="C7112" t="s">
        <v>30603</v>
      </c>
      <c r="D7112" t="s">
        <v>30632</v>
      </c>
      <c r="E7112" t="b">
        <v>0</v>
      </c>
      <c r="F7112" t="s">
        <v>11624</v>
      </c>
      <c r="G7112">
        <v>-5.2660299999999998</v>
      </c>
      <c r="H7112">
        <v>154.66200000000001</v>
      </c>
      <c r="I7112" t="s">
        <v>30633</v>
      </c>
      <c r="L7112">
        <v>0</v>
      </c>
      <c r="M7112">
        <v>0</v>
      </c>
      <c r="N7112">
        <v>4</v>
      </c>
      <c r="O7112" t="s">
        <v>11660</v>
      </c>
    </row>
    <row r="7113" spans="1:15">
      <c r="A7113" t="s">
        <v>28754</v>
      </c>
      <c r="B7113" t="s">
        <v>11794</v>
      </c>
      <c r="C7113" t="s">
        <v>21992</v>
      </c>
      <c r="D7113" t="s">
        <v>30634</v>
      </c>
      <c r="E7113" t="b">
        <v>0</v>
      </c>
      <c r="F7113" t="s">
        <v>11610</v>
      </c>
      <c r="L7113">
        <v>0</v>
      </c>
      <c r="M7113">
        <v>0</v>
      </c>
      <c r="N7113">
        <v>3</v>
      </c>
    </row>
    <row r="7114" spans="1:15">
      <c r="A7114" t="s">
        <v>22568</v>
      </c>
      <c r="B7114" t="s">
        <v>9071</v>
      </c>
      <c r="C7114" t="s">
        <v>21688</v>
      </c>
      <c r="D7114" t="s">
        <v>30635</v>
      </c>
      <c r="E7114" t="b">
        <v>0</v>
      </c>
      <c r="F7114" t="s">
        <v>11624</v>
      </c>
      <c r="G7114">
        <v>48.075099999999999</v>
      </c>
      <c r="H7114">
        <v>-122.029</v>
      </c>
      <c r="I7114" t="s">
        <v>30636</v>
      </c>
      <c r="L7114">
        <v>0</v>
      </c>
      <c r="M7114">
        <v>0</v>
      </c>
      <c r="N7114">
        <v>4</v>
      </c>
      <c r="O7114" t="s">
        <v>14875</v>
      </c>
    </row>
    <row r="7115" spans="1:15">
      <c r="A7115" t="s">
        <v>30637</v>
      </c>
      <c r="B7115" t="s">
        <v>11637</v>
      </c>
      <c r="C7115" t="s">
        <v>18972</v>
      </c>
      <c r="D7115" t="s">
        <v>30638</v>
      </c>
      <c r="E7115" t="b">
        <v>0</v>
      </c>
      <c r="F7115" t="s">
        <v>11610</v>
      </c>
      <c r="L7115">
        <v>0</v>
      </c>
      <c r="M7115">
        <v>0</v>
      </c>
      <c r="N7115">
        <v>0</v>
      </c>
    </row>
    <row r="7116" spans="1:15">
      <c r="A7116" t="s">
        <v>30639</v>
      </c>
      <c r="B7116" t="s">
        <v>11637</v>
      </c>
      <c r="C7116" t="s">
        <v>30640</v>
      </c>
      <c r="D7116" t="s">
        <v>30641</v>
      </c>
      <c r="E7116" t="b">
        <v>0</v>
      </c>
      <c r="F7116" t="s">
        <v>11610</v>
      </c>
      <c r="L7116">
        <v>0</v>
      </c>
      <c r="M7116">
        <v>0</v>
      </c>
      <c r="N7116">
        <v>0</v>
      </c>
    </row>
    <row r="7117" spans="1:15">
      <c r="A7117" t="s">
        <v>30642</v>
      </c>
      <c r="B7117" t="s">
        <v>12959</v>
      </c>
      <c r="C7117" t="s">
        <v>12960</v>
      </c>
      <c r="D7117" t="s">
        <v>30643</v>
      </c>
      <c r="E7117" t="b">
        <v>0</v>
      </c>
      <c r="F7117" t="s">
        <v>11610</v>
      </c>
      <c r="L7117">
        <v>0</v>
      </c>
      <c r="M7117">
        <v>0</v>
      </c>
      <c r="N7117">
        <v>0</v>
      </c>
    </row>
    <row r="7118" spans="1:15">
      <c r="A7118" t="s">
        <v>30644</v>
      </c>
      <c r="B7118" t="s">
        <v>11644</v>
      </c>
      <c r="C7118" t="s">
        <v>30645</v>
      </c>
      <c r="D7118" t="s">
        <v>30646</v>
      </c>
      <c r="E7118" t="b">
        <v>0</v>
      </c>
      <c r="F7118" t="s">
        <v>11610</v>
      </c>
      <c r="L7118">
        <v>0</v>
      </c>
      <c r="M7118">
        <v>0</v>
      </c>
      <c r="N7118">
        <v>0</v>
      </c>
    </row>
    <row r="7119" spans="1:15">
      <c r="A7119" t="s">
        <v>30647</v>
      </c>
      <c r="B7119" t="s">
        <v>11644</v>
      </c>
      <c r="C7119" t="s">
        <v>18256</v>
      </c>
      <c r="D7119" t="s">
        <v>30648</v>
      </c>
      <c r="E7119" t="b">
        <v>0</v>
      </c>
      <c r="F7119" t="s">
        <v>11610</v>
      </c>
      <c r="L7119">
        <v>0</v>
      </c>
      <c r="M7119">
        <v>0</v>
      </c>
      <c r="N7119">
        <v>0</v>
      </c>
    </row>
    <row r="7120" spans="1:15">
      <c r="A7120" t="s">
        <v>30649</v>
      </c>
      <c r="B7120" t="s">
        <v>11839</v>
      </c>
      <c r="C7120" t="s">
        <v>12012</v>
      </c>
      <c r="D7120" t="s">
        <v>30650</v>
      </c>
      <c r="E7120" t="b">
        <v>0</v>
      </c>
      <c r="F7120" t="s">
        <v>11624</v>
      </c>
      <c r="G7120">
        <v>-8.2674900000000004</v>
      </c>
      <c r="H7120">
        <v>124.52200000000001</v>
      </c>
      <c r="I7120" t="s">
        <v>30651</v>
      </c>
      <c r="L7120">
        <v>0</v>
      </c>
      <c r="M7120">
        <v>0</v>
      </c>
      <c r="N7120">
        <v>0</v>
      </c>
      <c r="O7120" t="s">
        <v>11768</v>
      </c>
    </row>
    <row r="7121" spans="1:15">
      <c r="A7121" t="s">
        <v>30652</v>
      </c>
      <c r="B7121" t="s">
        <v>11607</v>
      </c>
      <c r="C7121" t="s">
        <v>30653</v>
      </c>
      <c r="D7121" t="s">
        <v>30654</v>
      </c>
      <c r="E7121" t="b">
        <v>0</v>
      </c>
      <c r="F7121" t="s">
        <v>11624</v>
      </c>
      <c r="G7121">
        <v>9.9517209999999992</v>
      </c>
      <c r="H7121">
        <v>15.590037000000001</v>
      </c>
      <c r="L7121">
        <v>0</v>
      </c>
      <c r="M7121">
        <v>0</v>
      </c>
      <c r="N7121">
        <v>0</v>
      </c>
      <c r="O7121" t="s">
        <v>13421</v>
      </c>
    </row>
    <row r="7122" spans="1:15">
      <c r="A7122" t="s">
        <v>30655</v>
      </c>
      <c r="B7122" t="s">
        <v>13360</v>
      </c>
      <c r="C7122" t="s">
        <v>13360</v>
      </c>
      <c r="D7122" t="s">
        <v>30656</v>
      </c>
      <c r="E7122" t="b">
        <v>0</v>
      </c>
      <c r="F7122" t="s">
        <v>11624</v>
      </c>
      <c r="L7122">
        <v>0</v>
      </c>
      <c r="M7122">
        <v>0</v>
      </c>
      <c r="N7122">
        <v>0</v>
      </c>
      <c r="O7122" t="s">
        <v>11635</v>
      </c>
    </row>
    <row r="7123" spans="1:15">
      <c r="A7123" t="s">
        <v>30657</v>
      </c>
      <c r="B7123" t="s">
        <v>6742</v>
      </c>
      <c r="C7123" t="s">
        <v>30658</v>
      </c>
      <c r="D7123" t="s">
        <v>30659</v>
      </c>
      <c r="E7123" t="b">
        <v>0</v>
      </c>
      <c r="F7123" t="s">
        <v>11624</v>
      </c>
      <c r="G7123">
        <v>-2.4904700000000002</v>
      </c>
      <c r="H7123">
        <v>24.229900000000001</v>
      </c>
      <c r="I7123" t="s">
        <v>30660</v>
      </c>
      <c r="L7123">
        <v>0</v>
      </c>
      <c r="M7123">
        <v>0</v>
      </c>
      <c r="N7123">
        <v>0</v>
      </c>
      <c r="O7123" t="s">
        <v>14825</v>
      </c>
    </row>
    <row r="7124" spans="1:15">
      <c r="A7124" t="s">
        <v>30661</v>
      </c>
      <c r="B7124" t="s">
        <v>6742</v>
      </c>
      <c r="C7124" t="s">
        <v>1780</v>
      </c>
      <c r="D7124" t="s">
        <v>30662</v>
      </c>
      <c r="E7124" t="b">
        <v>0</v>
      </c>
      <c r="F7124" t="s">
        <v>11610</v>
      </c>
      <c r="L7124">
        <v>0</v>
      </c>
      <c r="M7124">
        <v>0</v>
      </c>
      <c r="N7124">
        <v>0</v>
      </c>
    </row>
    <row r="7125" spans="1:15">
      <c r="A7125" t="s">
        <v>30663</v>
      </c>
      <c r="B7125" t="s">
        <v>12260</v>
      </c>
      <c r="C7125" t="s">
        <v>10115</v>
      </c>
      <c r="D7125" t="s">
        <v>30664</v>
      </c>
      <c r="E7125" t="b">
        <v>0</v>
      </c>
      <c r="F7125" t="s">
        <v>11610</v>
      </c>
      <c r="L7125">
        <v>0</v>
      </c>
      <c r="M7125">
        <v>0</v>
      </c>
      <c r="N7125">
        <v>0</v>
      </c>
    </row>
    <row r="7126" spans="1:15">
      <c r="A7126" t="s">
        <v>30665</v>
      </c>
      <c r="B7126" t="s">
        <v>11619</v>
      </c>
      <c r="C7126" t="s">
        <v>11620</v>
      </c>
      <c r="D7126" t="s">
        <v>30666</v>
      </c>
      <c r="E7126" t="b">
        <v>0</v>
      </c>
      <c r="F7126" t="s">
        <v>11622</v>
      </c>
      <c r="L7126">
        <v>0</v>
      </c>
      <c r="M7126">
        <v>2</v>
      </c>
      <c r="N7126">
        <v>0</v>
      </c>
    </row>
    <row r="7127" spans="1:15">
      <c r="A7127" t="s">
        <v>773</v>
      </c>
      <c r="B7127" t="s">
        <v>11619</v>
      </c>
      <c r="C7127" t="s">
        <v>30665</v>
      </c>
      <c r="D7127" t="s">
        <v>30667</v>
      </c>
      <c r="E7127" t="b">
        <v>0</v>
      </c>
      <c r="F7127" t="s">
        <v>11624</v>
      </c>
      <c r="G7127">
        <v>5.06515</v>
      </c>
      <c r="H7127">
        <v>36.517600000000002</v>
      </c>
      <c r="I7127" t="s">
        <v>774</v>
      </c>
      <c r="L7127">
        <v>0</v>
      </c>
      <c r="M7127">
        <v>0</v>
      </c>
      <c r="N7127">
        <v>0</v>
      </c>
      <c r="O7127" t="s">
        <v>20497</v>
      </c>
    </row>
    <row r="7128" spans="1:15">
      <c r="A7128" t="s">
        <v>30668</v>
      </c>
      <c r="B7128" t="s">
        <v>11644</v>
      </c>
      <c r="C7128" t="s">
        <v>19716</v>
      </c>
      <c r="D7128" t="s">
        <v>30669</v>
      </c>
      <c r="E7128" t="b">
        <v>0</v>
      </c>
      <c r="F7128" t="s">
        <v>11610</v>
      </c>
      <c r="L7128">
        <v>0</v>
      </c>
      <c r="M7128">
        <v>0</v>
      </c>
      <c r="N7128">
        <v>0</v>
      </c>
    </row>
    <row r="7129" spans="1:15">
      <c r="A7129" t="s">
        <v>30670</v>
      </c>
      <c r="B7129" t="s">
        <v>22388</v>
      </c>
      <c r="C7129" t="s">
        <v>232</v>
      </c>
      <c r="D7129" t="s">
        <v>30671</v>
      </c>
      <c r="E7129" t="b">
        <v>0</v>
      </c>
      <c r="F7129" t="s">
        <v>11610</v>
      </c>
      <c r="L7129">
        <v>0</v>
      </c>
      <c r="M7129">
        <v>0</v>
      </c>
      <c r="N7129">
        <v>0</v>
      </c>
    </row>
    <row r="7130" spans="1:15">
      <c r="A7130" t="s">
        <v>30672</v>
      </c>
      <c r="B7130" t="s">
        <v>11637</v>
      </c>
      <c r="C7130" t="s">
        <v>30673</v>
      </c>
      <c r="D7130" t="s">
        <v>30674</v>
      </c>
      <c r="E7130" t="b">
        <v>0</v>
      </c>
      <c r="F7130" t="s">
        <v>11610</v>
      </c>
      <c r="L7130">
        <v>0</v>
      </c>
      <c r="M7130">
        <v>0</v>
      </c>
      <c r="N7130">
        <v>0</v>
      </c>
    </row>
    <row r="7131" spans="1:15">
      <c r="A7131" t="s">
        <v>30675</v>
      </c>
      <c r="B7131" t="s">
        <v>11637</v>
      </c>
      <c r="C7131" t="s">
        <v>26816</v>
      </c>
      <c r="D7131" t="s">
        <v>30676</v>
      </c>
      <c r="E7131" t="b">
        <v>0</v>
      </c>
      <c r="F7131" t="s">
        <v>11610</v>
      </c>
      <c r="L7131">
        <v>0</v>
      </c>
      <c r="M7131">
        <v>0</v>
      </c>
      <c r="N7131">
        <v>0</v>
      </c>
    </row>
    <row r="7132" spans="1:15">
      <c r="A7132" t="s">
        <v>26816</v>
      </c>
      <c r="B7132" t="s">
        <v>11637</v>
      </c>
      <c r="C7132" t="s">
        <v>14027</v>
      </c>
      <c r="D7132" t="s">
        <v>30677</v>
      </c>
      <c r="E7132" t="b">
        <v>0</v>
      </c>
      <c r="F7132" t="s">
        <v>11610</v>
      </c>
      <c r="L7132">
        <v>0</v>
      </c>
      <c r="M7132">
        <v>0</v>
      </c>
      <c r="N7132">
        <v>2</v>
      </c>
    </row>
    <row r="7133" spans="1:15">
      <c r="A7133" t="s">
        <v>30678</v>
      </c>
      <c r="B7133" t="s">
        <v>12487</v>
      </c>
      <c r="C7133" t="s">
        <v>30679</v>
      </c>
      <c r="D7133" t="s">
        <v>30680</v>
      </c>
      <c r="E7133" t="b">
        <v>0</v>
      </c>
      <c r="F7133" t="s">
        <v>11624</v>
      </c>
      <c r="G7133">
        <v>-7.5497500000000004</v>
      </c>
      <c r="H7133">
        <v>146.227</v>
      </c>
      <c r="I7133" t="s">
        <v>30681</v>
      </c>
      <c r="L7133">
        <v>0</v>
      </c>
      <c r="M7133">
        <v>0</v>
      </c>
      <c r="N7133">
        <v>5</v>
      </c>
      <c r="O7133" t="s">
        <v>11660</v>
      </c>
    </row>
    <row r="7134" spans="1:15">
      <c r="A7134" t="s">
        <v>30682</v>
      </c>
      <c r="B7134" t="s">
        <v>367</v>
      </c>
      <c r="C7134" t="s">
        <v>13941</v>
      </c>
      <c r="D7134" t="s">
        <v>30683</v>
      </c>
      <c r="E7134" t="b">
        <v>0</v>
      </c>
      <c r="F7134" t="s">
        <v>11610</v>
      </c>
      <c r="L7134">
        <v>0</v>
      </c>
      <c r="M7134">
        <v>0</v>
      </c>
      <c r="N7134">
        <v>0</v>
      </c>
    </row>
    <row r="7135" spans="1:15">
      <c r="A7135" t="s">
        <v>30684</v>
      </c>
      <c r="B7135" t="s">
        <v>11637</v>
      </c>
      <c r="C7135" t="s">
        <v>10626</v>
      </c>
      <c r="D7135" t="s">
        <v>30685</v>
      </c>
      <c r="E7135" t="b">
        <v>0</v>
      </c>
      <c r="F7135" t="s">
        <v>11610</v>
      </c>
      <c r="L7135">
        <v>0</v>
      </c>
      <c r="M7135">
        <v>0</v>
      </c>
      <c r="N7135">
        <v>0</v>
      </c>
    </row>
    <row r="7136" spans="1:15">
      <c r="A7136" t="s">
        <v>30686</v>
      </c>
      <c r="B7136" t="s">
        <v>367</v>
      </c>
      <c r="C7136" t="s">
        <v>30631</v>
      </c>
      <c r="D7136" t="s">
        <v>30687</v>
      </c>
      <c r="E7136" t="b">
        <v>0</v>
      </c>
      <c r="F7136" t="s">
        <v>11610</v>
      </c>
      <c r="L7136">
        <v>0</v>
      </c>
      <c r="M7136">
        <v>0</v>
      </c>
      <c r="N7136">
        <v>0</v>
      </c>
    </row>
    <row r="7137" spans="1:15">
      <c r="A7137" t="s">
        <v>30688</v>
      </c>
      <c r="B7137" t="s">
        <v>6742</v>
      </c>
      <c r="C7137" t="s">
        <v>16639</v>
      </c>
      <c r="D7137" t="s">
        <v>30689</v>
      </c>
      <c r="E7137" t="b">
        <v>0</v>
      </c>
      <c r="F7137" t="s">
        <v>11610</v>
      </c>
      <c r="L7137">
        <v>0</v>
      </c>
      <c r="M7137">
        <v>0</v>
      </c>
      <c r="N7137">
        <v>0</v>
      </c>
    </row>
    <row r="7138" spans="1:15">
      <c r="A7138" t="s">
        <v>30690</v>
      </c>
      <c r="B7138" t="s">
        <v>11644</v>
      </c>
      <c r="C7138" t="s">
        <v>30691</v>
      </c>
      <c r="D7138" t="s">
        <v>30692</v>
      </c>
      <c r="E7138" t="b">
        <v>0</v>
      </c>
      <c r="F7138" t="s">
        <v>11610</v>
      </c>
      <c r="G7138">
        <v>30.261316000000001</v>
      </c>
      <c r="H7138">
        <v>120.03180570000001</v>
      </c>
      <c r="L7138">
        <v>0</v>
      </c>
      <c r="M7138">
        <v>0</v>
      </c>
      <c r="N7138">
        <v>0</v>
      </c>
    </row>
    <row r="7139" spans="1:15">
      <c r="A7139" t="s">
        <v>30693</v>
      </c>
      <c r="B7139" t="s">
        <v>6742</v>
      </c>
      <c r="C7139" t="s">
        <v>30694</v>
      </c>
      <c r="D7139" t="s">
        <v>30695</v>
      </c>
      <c r="E7139" t="b">
        <v>0</v>
      </c>
      <c r="F7139" t="s">
        <v>11624</v>
      </c>
      <c r="G7139">
        <v>9.3392900000000001</v>
      </c>
      <c r="H7139">
        <v>-1.57833</v>
      </c>
      <c r="I7139" t="s">
        <v>30696</v>
      </c>
      <c r="L7139">
        <v>0</v>
      </c>
      <c r="M7139">
        <v>0</v>
      </c>
      <c r="N7139">
        <v>7</v>
      </c>
      <c r="O7139" t="s">
        <v>11985</v>
      </c>
    </row>
    <row r="7140" spans="1:15">
      <c r="A7140" t="s">
        <v>30697</v>
      </c>
      <c r="B7140" t="s">
        <v>6742</v>
      </c>
      <c r="C7140" t="s">
        <v>1780</v>
      </c>
      <c r="D7140" t="s">
        <v>30698</v>
      </c>
      <c r="E7140" t="b">
        <v>0</v>
      </c>
      <c r="F7140" t="s">
        <v>11610</v>
      </c>
      <c r="L7140">
        <v>0</v>
      </c>
      <c r="M7140">
        <v>0</v>
      </c>
      <c r="N7140">
        <v>0</v>
      </c>
    </row>
    <row r="7141" spans="1:15">
      <c r="A7141" t="s">
        <v>30699</v>
      </c>
      <c r="B7141" t="s">
        <v>6742</v>
      </c>
      <c r="C7141" t="s">
        <v>30700</v>
      </c>
      <c r="D7141" t="s">
        <v>30701</v>
      </c>
      <c r="E7141" t="b">
        <v>0</v>
      </c>
      <c r="F7141" t="s">
        <v>11624</v>
      </c>
      <c r="G7141">
        <v>-2.5234700000000001</v>
      </c>
      <c r="H7141">
        <v>30.7074</v>
      </c>
      <c r="I7141" t="s">
        <v>30702</v>
      </c>
      <c r="L7141">
        <v>0</v>
      </c>
      <c r="M7141">
        <v>0</v>
      </c>
      <c r="N7141">
        <v>0</v>
      </c>
      <c r="O7141" t="s">
        <v>30463</v>
      </c>
    </row>
    <row r="7142" spans="1:15">
      <c r="A7142" t="s">
        <v>30703</v>
      </c>
      <c r="B7142" t="s">
        <v>6742</v>
      </c>
      <c r="C7142" t="s">
        <v>18031</v>
      </c>
      <c r="D7142" t="s">
        <v>30704</v>
      </c>
      <c r="E7142" t="b">
        <v>0</v>
      </c>
      <c r="F7142" t="s">
        <v>11610</v>
      </c>
      <c r="L7142">
        <v>0</v>
      </c>
      <c r="M7142">
        <v>0</v>
      </c>
      <c r="N7142">
        <v>0</v>
      </c>
    </row>
    <row r="7143" spans="1:15">
      <c r="A7143" t="s">
        <v>30705</v>
      </c>
      <c r="B7143" t="s">
        <v>367</v>
      </c>
      <c r="C7143" t="s">
        <v>30631</v>
      </c>
      <c r="D7143" t="s">
        <v>30706</v>
      </c>
      <c r="E7143" t="b">
        <v>0</v>
      </c>
      <c r="F7143" t="s">
        <v>11610</v>
      </c>
      <c r="L7143">
        <v>0</v>
      </c>
      <c r="M7143">
        <v>0</v>
      </c>
      <c r="N7143">
        <v>0</v>
      </c>
    </row>
    <row r="7144" spans="1:15">
      <c r="A7144" t="s">
        <v>30707</v>
      </c>
      <c r="B7144" t="s">
        <v>13411</v>
      </c>
      <c r="C7144" t="s">
        <v>13410</v>
      </c>
      <c r="D7144" t="s">
        <v>30708</v>
      </c>
      <c r="E7144" t="b">
        <v>0</v>
      </c>
      <c r="F7144" t="s">
        <v>11624</v>
      </c>
      <c r="G7144">
        <v>-3.9036400000000002</v>
      </c>
      <c r="H7144">
        <v>142.84899999999999</v>
      </c>
      <c r="I7144" t="s">
        <v>30709</v>
      </c>
      <c r="L7144">
        <v>0</v>
      </c>
      <c r="M7144">
        <v>0</v>
      </c>
      <c r="N7144">
        <v>0</v>
      </c>
      <c r="O7144" t="s">
        <v>11660</v>
      </c>
    </row>
    <row r="7145" spans="1:15">
      <c r="A7145" t="s">
        <v>30700</v>
      </c>
      <c r="B7145" t="s">
        <v>6742</v>
      </c>
      <c r="C7145" t="s">
        <v>30460</v>
      </c>
      <c r="D7145" t="s">
        <v>30710</v>
      </c>
      <c r="E7145" t="b">
        <v>0</v>
      </c>
      <c r="F7145" t="s">
        <v>11622</v>
      </c>
      <c r="L7145">
        <v>0</v>
      </c>
      <c r="M7145">
        <v>2</v>
      </c>
      <c r="N7145">
        <v>0</v>
      </c>
    </row>
    <row r="7146" spans="1:15">
      <c r="A7146" t="s">
        <v>13869</v>
      </c>
      <c r="B7146" t="s">
        <v>11644</v>
      </c>
      <c r="C7146" t="s">
        <v>12732</v>
      </c>
      <c r="D7146" t="s">
        <v>30711</v>
      </c>
      <c r="E7146" t="b">
        <v>0</v>
      </c>
      <c r="F7146" t="s">
        <v>11624</v>
      </c>
      <c r="G7146">
        <v>22.677530000000001</v>
      </c>
      <c r="H7146">
        <v>102.85167333299999</v>
      </c>
      <c r="I7146" t="s">
        <v>30712</v>
      </c>
      <c r="L7146">
        <v>0</v>
      </c>
      <c r="M7146">
        <v>0</v>
      </c>
      <c r="N7146">
        <v>9</v>
      </c>
      <c r="O7146" t="s">
        <v>18933</v>
      </c>
    </row>
    <row r="7147" spans="1:15">
      <c r="A7147" t="s">
        <v>18855</v>
      </c>
      <c r="B7147" t="s">
        <v>11644</v>
      </c>
      <c r="C7147" t="s">
        <v>30713</v>
      </c>
      <c r="D7147" t="s">
        <v>30714</v>
      </c>
      <c r="E7147" t="b">
        <v>0</v>
      </c>
      <c r="F7147" t="s">
        <v>11622</v>
      </c>
      <c r="L7147">
        <v>11</v>
      </c>
      <c r="M7147">
        <v>23</v>
      </c>
      <c r="N7147">
        <v>17</v>
      </c>
    </row>
    <row r="7148" spans="1:15">
      <c r="A7148" t="s">
        <v>18533</v>
      </c>
      <c r="B7148" t="s">
        <v>11644</v>
      </c>
      <c r="C7148" t="s">
        <v>18847</v>
      </c>
      <c r="D7148" t="s">
        <v>30715</v>
      </c>
      <c r="E7148" t="b">
        <v>0</v>
      </c>
      <c r="F7148" t="s">
        <v>11622</v>
      </c>
      <c r="L7148">
        <v>3</v>
      </c>
      <c r="M7148">
        <v>10</v>
      </c>
      <c r="N7148">
        <v>12</v>
      </c>
    </row>
    <row r="7149" spans="1:15">
      <c r="A7149" t="s">
        <v>30716</v>
      </c>
      <c r="B7149" t="s">
        <v>11637</v>
      </c>
      <c r="C7149" t="s">
        <v>10209</v>
      </c>
      <c r="D7149" t="s">
        <v>30717</v>
      </c>
      <c r="E7149" t="b">
        <v>0</v>
      </c>
      <c r="F7149" t="s">
        <v>11610</v>
      </c>
      <c r="L7149">
        <v>0</v>
      </c>
      <c r="M7149">
        <v>0</v>
      </c>
      <c r="N7149">
        <v>0</v>
      </c>
    </row>
    <row r="7150" spans="1:15">
      <c r="A7150" t="s">
        <v>30718</v>
      </c>
      <c r="B7150" t="s">
        <v>12460</v>
      </c>
      <c r="C7150" t="s">
        <v>12461</v>
      </c>
      <c r="D7150" t="s">
        <v>30719</v>
      </c>
      <c r="E7150" t="b">
        <v>0</v>
      </c>
      <c r="F7150" t="s">
        <v>11624</v>
      </c>
      <c r="G7150">
        <v>64.500200000000007</v>
      </c>
      <c r="H7150">
        <v>-140.352</v>
      </c>
      <c r="I7150" t="s">
        <v>30720</v>
      </c>
      <c r="L7150">
        <v>0</v>
      </c>
      <c r="M7150">
        <v>0</v>
      </c>
      <c r="N7150">
        <v>0</v>
      </c>
      <c r="O7150" t="s">
        <v>14875</v>
      </c>
    </row>
    <row r="7151" spans="1:15">
      <c r="A7151" t="s">
        <v>30721</v>
      </c>
      <c r="B7151" t="s">
        <v>11981</v>
      </c>
      <c r="C7151" t="s">
        <v>30534</v>
      </c>
      <c r="D7151" t="s">
        <v>30722</v>
      </c>
      <c r="E7151" t="b">
        <v>0</v>
      </c>
      <c r="F7151" t="s">
        <v>11624</v>
      </c>
      <c r="G7151">
        <v>21.0245</v>
      </c>
      <c r="H7151">
        <v>105.834</v>
      </c>
      <c r="I7151" t="s">
        <v>30723</v>
      </c>
      <c r="L7151">
        <v>0</v>
      </c>
      <c r="M7151">
        <v>0</v>
      </c>
      <c r="N7151">
        <v>0</v>
      </c>
      <c r="O7151" t="s">
        <v>15949</v>
      </c>
    </row>
    <row r="7152" spans="1:15">
      <c r="A7152" t="s">
        <v>30724</v>
      </c>
      <c r="B7152" t="s">
        <v>367</v>
      </c>
      <c r="C7152" t="s">
        <v>13357</v>
      </c>
      <c r="D7152" t="s">
        <v>30725</v>
      </c>
      <c r="E7152" t="b">
        <v>0</v>
      </c>
      <c r="F7152" t="s">
        <v>11624</v>
      </c>
      <c r="G7152">
        <v>-15.543200000000001</v>
      </c>
      <c r="H7152">
        <v>168.167</v>
      </c>
      <c r="I7152" t="s">
        <v>30726</v>
      </c>
      <c r="L7152">
        <v>0</v>
      </c>
      <c r="M7152">
        <v>0</v>
      </c>
      <c r="N7152">
        <v>0</v>
      </c>
      <c r="O7152" t="s">
        <v>12719</v>
      </c>
    </row>
    <row r="7153" spans="1:15">
      <c r="A7153" t="s">
        <v>30727</v>
      </c>
      <c r="B7153" t="s">
        <v>14571</v>
      </c>
      <c r="C7153" t="s">
        <v>14570</v>
      </c>
      <c r="D7153" t="s">
        <v>30728</v>
      </c>
      <c r="E7153" t="b">
        <v>0</v>
      </c>
      <c r="F7153" t="s">
        <v>11610</v>
      </c>
      <c r="L7153">
        <v>0</v>
      </c>
      <c r="M7153">
        <v>0</v>
      </c>
      <c r="N7153">
        <v>0</v>
      </c>
    </row>
    <row r="7154" spans="1:15">
      <c r="A7154" t="s">
        <v>30729</v>
      </c>
      <c r="B7154" t="s">
        <v>10597</v>
      </c>
      <c r="C7154" t="s">
        <v>402</v>
      </c>
      <c r="D7154" t="s">
        <v>30730</v>
      </c>
      <c r="E7154" t="b">
        <v>0</v>
      </c>
      <c r="F7154" t="s">
        <v>11610</v>
      </c>
      <c r="L7154">
        <v>0</v>
      </c>
      <c r="M7154">
        <v>0</v>
      </c>
      <c r="N7154">
        <v>0</v>
      </c>
    </row>
    <row r="7155" spans="1:15">
      <c r="A7155" t="s">
        <v>28675</v>
      </c>
      <c r="B7155" t="s">
        <v>11615</v>
      </c>
      <c r="C7155" t="s">
        <v>30121</v>
      </c>
      <c r="D7155" t="s">
        <v>30731</v>
      </c>
      <c r="E7155" t="b">
        <v>0</v>
      </c>
      <c r="F7155" t="s">
        <v>11622</v>
      </c>
      <c r="L7155">
        <v>6</v>
      </c>
      <c r="M7155">
        <v>19</v>
      </c>
      <c r="N7155">
        <v>1</v>
      </c>
    </row>
    <row r="7156" spans="1:15">
      <c r="A7156" t="s">
        <v>30732</v>
      </c>
      <c r="B7156" t="s">
        <v>11637</v>
      </c>
      <c r="C7156" t="s">
        <v>30733</v>
      </c>
      <c r="D7156" t="s">
        <v>30734</v>
      </c>
      <c r="E7156" t="b">
        <v>0</v>
      </c>
      <c r="F7156" t="s">
        <v>11610</v>
      </c>
      <c r="L7156">
        <v>0</v>
      </c>
      <c r="M7156">
        <v>0</v>
      </c>
      <c r="N7156">
        <v>0</v>
      </c>
    </row>
    <row r="7157" spans="1:15">
      <c r="A7157" t="s">
        <v>30735</v>
      </c>
      <c r="B7157" t="s">
        <v>12438</v>
      </c>
      <c r="C7157" t="s">
        <v>30736</v>
      </c>
      <c r="D7157" t="s">
        <v>30737</v>
      </c>
      <c r="E7157" t="b">
        <v>0</v>
      </c>
      <c r="F7157" t="s">
        <v>11610</v>
      </c>
      <c r="L7157">
        <v>0</v>
      </c>
      <c r="M7157">
        <v>0</v>
      </c>
      <c r="N7157">
        <v>0</v>
      </c>
    </row>
    <row r="7158" spans="1:15">
      <c r="A7158" t="s">
        <v>5348</v>
      </c>
      <c r="B7158" t="s">
        <v>367</v>
      </c>
      <c r="C7158" t="s">
        <v>20117</v>
      </c>
      <c r="D7158" t="s">
        <v>30738</v>
      </c>
      <c r="E7158" t="b">
        <v>0</v>
      </c>
      <c r="F7158" t="s">
        <v>11624</v>
      </c>
      <c r="G7158">
        <v>12.415900000000001</v>
      </c>
      <c r="H7158">
        <v>121.221</v>
      </c>
      <c r="I7158" t="s">
        <v>5349</v>
      </c>
      <c r="L7158">
        <v>0</v>
      </c>
      <c r="M7158">
        <v>0</v>
      </c>
      <c r="N7158">
        <v>4</v>
      </c>
      <c r="O7158" t="s">
        <v>11749</v>
      </c>
    </row>
    <row r="7159" spans="1:15">
      <c r="A7159" t="s">
        <v>30739</v>
      </c>
      <c r="B7159" t="s">
        <v>367</v>
      </c>
      <c r="C7159" t="s">
        <v>30740</v>
      </c>
      <c r="D7159" t="s">
        <v>30741</v>
      </c>
      <c r="E7159" t="b">
        <v>0</v>
      </c>
      <c r="F7159" t="s">
        <v>11610</v>
      </c>
      <c r="L7159">
        <v>0</v>
      </c>
      <c r="M7159">
        <v>0</v>
      </c>
      <c r="N7159">
        <v>0</v>
      </c>
    </row>
    <row r="7160" spans="1:15">
      <c r="A7160" t="s">
        <v>30742</v>
      </c>
      <c r="B7160" t="s">
        <v>11637</v>
      </c>
      <c r="C7160" t="s">
        <v>9882</v>
      </c>
      <c r="D7160" t="s">
        <v>30743</v>
      </c>
      <c r="E7160" t="b">
        <v>0</v>
      </c>
      <c r="F7160" t="s">
        <v>11610</v>
      </c>
      <c r="L7160">
        <v>0</v>
      </c>
      <c r="M7160">
        <v>0</v>
      </c>
      <c r="N7160">
        <v>0</v>
      </c>
    </row>
    <row r="7161" spans="1:15">
      <c r="A7161" t="s">
        <v>30744</v>
      </c>
      <c r="B7161" t="s">
        <v>11637</v>
      </c>
      <c r="C7161" t="s">
        <v>30498</v>
      </c>
      <c r="D7161" t="s">
        <v>30745</v>
      </c>
      <c r="E7161" t="b">
        <v>0</v>
      </c>
      <c r="F7161" t="s">
        <v>11610</v>
      </c>
      <c r="L7161">
        <v>0</v>
      </c>
      <c r="M7161">
        <v>0</v>
      </c>
      <c r="N7161">
        <v>0</v>
      </c>
    </row>
    <row r="7162" spans="1:15">
      <c r="A7162" t="s">
        <v>30746</v>
      </c>
      <c r="B7162" t="s">
        <v>11637</v>
      </c>
      <c r="C7162" t="s">
        <v>15872</v>
      </c>
      <c r="D7162" t="s">
        <v>30747</v>
      </c>
      <c r="E7162" t="b">
        <v>0</v>
      </c>
      <c r="F7162" t="s">
        <v>11610</v>
      </c>
      <c r="L7162">
        <v>0</v>
      </c>
      <c r="M7162">
        <v>0</v>
      </c>
      <c r="N7162">
        <v>0</v>
      </c>
    </row>
    <row r="7163" spans="1:15">
      <c r="A7163" t="s">
        <v>30748</v>
      </c>
      <c r="B7163" t="s">
        <v>3164</v>
      </c>
      <c r="C7163" t="s">
        <v>30749</v>
      </c>
      <c r="D7163" t="s">
        <v>30750</v>
      </c>
      <c r="E7163" t="b">
        <v>0</v>
      </c>
      <c r="F7163" t="s">
        <v>11624</v>
      </c>
      <c r="G7163">
        <v>15.083</v>
      </c>
      <c r="H7163">
        <v>30.417000000000002</v>
      </c>
      <c r="L7163">
        <v>0</v>
      </c>
      <c r="M7163">
        <v>0</v>
      </c>
      <c r="N7163">
        <v>0</v>
      </c>
      <c r="O7163" t="s">
        <v>11910</v>
      </c>
    </row>
    <row r="7164" spans="1:15">
      <c r="A7164" t="s">
        <v>30751</v>
      </c>
      <c r="B7164" t="s">
        <v>6742</v>
      </c>
      <c r="C7164" t="s">
        <v>3984</v>
      </c>
      <c r="D7164" t="s">
        <v>30752</v>
      </c>
      <c r="E7164" t="b">
        <v>0</v>
      </c>
      <c r="F7164" t="s">
        <v>11610</v>
      </c>
      <c r="L7164">
        <v>0</v>
      </c>
      <c r="M7164">
        <v>0</v>
      </c>
      <c r="N7164">
        <v>0</v>
      </c>
    </row>
    <row r="7165" spans="1:15">
      <c r="A7165" t="s">
        <v>13314</v>
      </c>
      <c r="D7165" t="s">
        <v>30753</v>
      </c>
      <c r="E7165" t="b">
        <v>0</v>
      </c>
      <c r="F7165" t="s">
        <v>11622</v>
      </c>
      <c r="L7165">
        <v>0</v>
      </c>
      <c r="M7165">
        <v>2</v>
      </c>
      <c r="N7165">
        <v>5</v>
      </c>
    </row>
    <row r="7166" spans="1:15">
      <c r="A7166" t="s">
        <v>30754</v>
      </c>
      <c r="B7166" t="s">
        <v>11607</v>
      </c>
      <c r="C7166" t="s">
        <v>13468</v>
      </c>
      <c r="D7166" t="s">
        <v>30755</v>
      </c>
      <c r="E7166" t="b">
        <v>0</v>
      </c>
      <c r="F7166" t="s">
        <v>11622</v>
      </c>
      <c r="L7166">
        <v>1</v>
      </c>
      <c r="M7166">
        <v>4</v>
      </c>
      <c r="N7166">
        <v>0</v>
      </c>
    </row>
    <row r="7167" spans="1:15">
      <c r="A7167" t="s">
        <v>30756</v>
      </c>
      <c r="B7167" t="s">
        <v>11607</v>
      </c>
      <c r="C7167" t="s">
        <v>30754</v>
      </c>
      <c r="D7167" t="s">
        <v>30757</v>
      </c>
      <c r="E7167" t="b">
        <v>0</v>
      </c>
      <c r="F7167" t="s">
        <v>11624</v>
      </c>
      <c r="G7167">
        <v>9.3048500000000001</v>
      </c>
      <c r="H7167">
        <v>42.133200000000002</v>
      </c>
      <c r="I7167" t="s">
        <v>30758</v>
      </c>
      <c r="L7167">
        <v>0</v>
      </c>
      <c r="M7167">
        <v>0</v>
      </c>
      <c r="N7167">
        <v>0</v>
      </c>
      <c r="O7167" t="s">
        <v>11625</v>
      </c>
    </row>
    <row r="7168" spans="1:15">
      <c r="A7168" t="s">
        <v>30759</v>
      </c>
      <c r="B7168" t="s">
        <v>12241</v>
      </c>
      <c r="C7168" t="s">
        <v>12241</v>
      </c>
      <c r="D7168" t="s">
        <v>30760</v>
      </c>
      <c r="E7168" t="b">
        <v>0</v>
      </c>
      <c r="F7168" t="s">
        <v>11624</v>
      </c>
      <c r="I7168" t="s">
        <v>30761</v>
      </c>
      <c r="L7168">
        <v>0</v>
      </c>
      <c r="M7168">
        <v>0</v>
      </c>
      <c r="N7168">
        <v>0</v>
      </c>
      <c r="O7168" t="s">
        <v>12172</v>
      </c>
    </row>
    <row r="7169" spans="1:15">
      <c r="A7169" t="s">
        <v>30762</v>
      </c>
      <c r="B7169" t="s">
        <v>11637</v>
      </c>
      <c r="C7169" t="s">
        <v>22554</v>
      </c>
      <c r="D7169" t="s">
        <v>30763</v>
      </c>
      <c r="E7169" t="b">
        <v>0</v>
      </c>
      <c r="F7169" t="s">
        <v>11610</v>
      </c>
      <c r="L7169">
        <v>0</v>
      </c>
      <c r="M7169">
        <v>0</v>
      </c>
      <c r="N7169">
        <v>0</v>
      </c>
    </row>
    <row r="7170" spans="1:15">
      <c r="A7170" t="s">
        <v>30764</v>
      </c>
      <c r="B7170" t="s">
        <v>12438</v>
      </c>
      <c r="C7170" t="s">
        <v>30765</v>
      </c>
      <c r="D7170" t="s">
        <v>30766</v>
      </c>
      <c r="E7170" t="b">
        <v>0</v>
      </c>
      <c r="F7170" t="s">
        <v>11610</v>
      </c>
      <c r="L7170">
        <v>0</v>
      </c>
      <c r="M7170">
        <v>0</v>
      </c>
      <c r="N7170">
        <v>0</v>
      </c>
    </row>
    <row r="7171" spans="1:15">
      <c r="A7171" t="s">
        <v>30767</v>
      </c>
      <c r="B7171" t="s">
        <v>367</v>
      </c>
      <c r="C7171" t="s">
        <v>30768</v>
      </c>
      <c r="D7171" t="s">
        <v>30769</v>
      </c>
      <c r="E7171" t="b">
        <v>0</v>
      </c>
      <c r="F7171" t="s">
        <v>11610</v>
      </c>
      <c r="L7171">
        <v>0</v>
      </c>
      <c r="M7171">
        <v>0</v>
      </c>
      <c r="N7171">
        <v>0</v>
      </c>
    </row>
    <row r="7172" spans="1:15">
      <c r="A7172" t="s">
        <v>25119</v>
      </c>
      <c r="B7172" t="s">
        <v>12460</v>
      </c>
      <c r="C7172" t="s">
        <v>12461</v>
      </c>
      <c r="D7172" t="s">
        <v>30770</v>
      </c>
      <c r="E7172" t="b">
        <v>0</v>
      </c>
      <c r="F7172" t="s">
        <v>11622</v>
      </c>
      <c r="L7172">
        <v>1</v>
      </c>
      <c r="M7172">
        <v>3</v>
      </c>
      <c r="N7172">
        <v>0</v>
      </c>
    </row>
    <row r="7173" spans="1:15">
      <c r="A7173" t="s">
        <v>30771</v>
      </c>
      <c r="B7173" t="s">
        <v>11637</v>
      </c>
      <c r="C7173" t="s">
        <v>30772</v>
      </c>
      <c r="D7173" t="s">
        <v>30773</v>
      </c>
      <c r="E7173" t="b">
        <v>0</v>
      </c>
      <c r="F7173" t="s">
        <v>11624</v>
      </c>
      <c r="G7173">
        <v>31.783999999999999</v>
      </c>
      <c r="H7173">
        <v>77.063999999999993</v>
      </c>
      <c r="I7173" t="s">
        <v>30774</v>
      </c>
      <c r="L7173">
        <v>0</v>
      </c>
      <c r="M7173">
        <v>0</v>
      </c>
      <c r="N7173">
        <v>0</v>
      </c>
      <c r="O7173" t="s">
        <v>11630</v>
      </c>
    </row>
    <row r="7174" spans="1:15">
      <c r="A7174" t="s">
        <v>30775</v>
      </c>
      <c r="B7174" t="s">
        <v>11844</v>
      </c>
      <c r="C7174" t="s">
        <v>9047</v>
      </c>
      <c r="D7174" t="s">
        <v>30776</v>
      </c>
      <c r="E7174" t="b">
        <v>0</v>
      </c>
      <c r="F7174" t="s">
        <v>11610</v>
      </c>
      <c r="L7174">
        <v>0</v>
      </c>
      <c r="M7174">
        <v>0</v>
      </c>
      <c r="N7174">
        <v>0</v>
      </c>
    </row>
    <row r="7175" spans="1:15">
      <c r="A7175" t="s">
        <v>30777</v>
      </c>
      <c r="B7175" t="s">
        <v>11644</v>
      </c>
      <c r="C7175" t="s">
        <v>16472</v>
      </c>
      <c r="D7175" t="s">
        <v>30778</v>
      </c>
      <c r="E7175" t="b">
        <v>0</v>
      </c>
      <c r="F7175" t="s">
        <v>11610</v>
      </c>
      <c r="L7175">
        <v>0</v>
      </c>
      <c r="M7175">
        <v>0</v>
      </c>
      <c r="N7175">
        <v>0</v>
      </c>
    </row>
    <row r="7176" spans="1:15">
      <c r="A7176" t="s">
        <v>30779</v>
      </c>
      <c r="B7176" t="s">
        <v>11644</v>
      </c>
      <c r="C7176" t="s">
        <v>24823</v>
      </c>
      <c r="D7176" t="s">
        <v>30780</v>
      </c>
      <c r="E7176" t="b">
        <v>0</v>
      </c>
      <c r="F7176" t="s">
        <v>11610</v>
      </c>
      <c r="L7176">
        <v>0</v>
      </c>
      <c r="M7176">
        <v>0</v>
      </c>
      <c r="N7176">
        <v>0</v>
      </c>
    </row>
    <row r="7177" spans="1:15">
      <c r="A7177" t="s">
        <v>30781</v>
      </c>
      <c r="B7177" t="s">
        <v>13411</v>
      </c>
      <c r="C7177" t="s">
        <v>19145</v>
      </c>
      <c r="D7177" t="s">
        <v>30782</v>
      </c>
      <c r="E7177" t="b">
        <v>0</v>
      </c>
      <c r="F7177" t="s">
        <v>11610</v>
      </c>
      <c r="L7177">
        <v>0</v>
      </c>
      <c r="M7177">
        <v>0</v>
      </c>
      <c r="N7177">
        <v>0</v>
      </c>
    </row>
    <row r="7178" spans="1:15">
      <c r="A7178" t="s">
        <v>30783</v>
      </c>
      <c r="B7178" t="s">
        <v>367</v>
      </c>
      <c r="C7178" t="s">
        <v>22222</v>
      </c>
      <c r="D7178" t="s">
        <v>30784</v>
      </c>
      <c r="E7178" t="b">
        <v>0</v>
      </c>
      <c r="F7178" t="s">
        <v>11624</v>
      </c>
      <c r="G7178">
        <v>13.2201</v>
      </c>
      <c r="H7178">
        <v>108.995</v>
      </c>
      <c r="I7178" t="s">
        <v>30785</v>
      </c>
      <c r="L7178">
        <v>0</v>
      </c>
      <c r="M7178">
        <v>0</v>
      </c>
      <c r="N7178">
        <v>0</v>
      </c>
      <c r="O7178" t="s">
        <v>15949</v>
      </c>
    </row>
    <row r="7179" spans="1:15">
      <c r="A7179" t="s">
        <v>30786</v>
      </c>
      <c r="B7179" t="s">
        <v>11607</v>
      </c>
      <c r="C7179" t="s">
        <v>24786</v>
      </c>
      <c r="D7179" t="s">
        <v>30787</v>
      </c>
      <c r="E7179" t="b">
        <v>0</v>
      </c>
      <c r="F7179" t="s">
        <v>11610</v>
      </c>
      <c r="L7179">
        <v>0</v>
      </c>
      <c r="M7179">
        <v>0</v>
      </c>
      <c r="N7179">
        <v>0</v>
      </c>
    </row>
    <row r="7180" spans="1:15">
      <c r="A7180" t="s">
        <v>30788</v>
      </c>
      <c r="B7180" t="s">
        <v>11607</v>
      </c>
      <c r="C7180" t="s">
        <v>17416</v>
      </c>
      <c r="D7180" t="s">
        <v>30789</v>
      </c>
      <c r="E7180" t="b">
        <v>0</v>
      </c>
      <c r="F7180" t="s">
        <v>11624</v>
      </c>
      <c r="G7180">
        <v>19.6511</v>
      </c>
      <c r="H7180">
        <v>56.156199999999998</v>
      </c>
      <c r="I7180" t="s">
        <v>30790</v>
      </c>
      <c r="L7180">
        <v>0</v>
      </c>
      <c r="M7180">
        <v>0</v>
      </c>
      <c r="N7180">
        <v>0</v>
      </c>
      <c r="O7180" t="s">
        <v>24663</v>
      </c>
    </row>
    <row r="7181" spans="1:15">
      <c r="A7181" t="s">
        <v>30791</v>
      </c>
      <c r="B7181" t="s">
        <v>367</v>
      </c>
      <c r="C7181" t="s">
        <v>19227</v>
      </c>
      <c r="D7181" t="s">
        <v>30792</v>
      </c>
      <c r="E7181" t="b">
        <v>0</v>
      </c>
      <c r="F7181" t="s">
        <v>11610</v>
      </c>
      <c r="L7181">
        <v>0</v>
      </c>
      <c r="M7181">
        <v>0</v>
      </c>
      <c r="N7181">
        <v>0</v>
      </c>
    </row>
    <row r="7182" spans="1:15">
      <c r="A7182" t="s">
        <v>30793</v>
      </c>
      <c r="B7182" t="s">
        <v>367</v>
      </c>
      <c r="C7182" t="s">
        <v>30794</v>
      </c>
      <c r="D7182" t="s">
        <v>30795</v>
      </c>
      <c r="E7182" t="b">
        <v>0</v>
      </c>
      <c r="F7182" t="s">
        <v>11624</v>
      </c>
      <c r="G7182">
        <v>-3.57029</v>
      </c>
      <c r="H7182">
        <v>128.476</v>
      </c>
      <c r="I7182" t="s">
        <v>30796</v>
      </c>
      <c r="L7182">
        <v>0</v>
      </c>
      <c r="M7182">
        <v>0</v>
      </c>
      <c r="N7182">
        <v>4</v>
      </c>
      <c r="O7182" t="s">
        <v>11768</v>
      </c>
    </row>
    <row r="7183" spans="1:15">
      <c r="A7183" t="s">
        <v>21669</v>
      </c>
      <c r="B7183" t="s">
        <v>21668</v>
      </c>
      <c r="C7183" t="s">
        <v>21668</v>
      </c>
      <c r="D7183" t="s">
        <v>30797</v>
      </c>
      <c r="E7183" t="b">
        <v>0</v>
      </c>
      <c r="F7183" t="s">
        <v>11624</v>
      </c>
      <c r="G7183">
        <v>-5.0952200000000003</v>
      </c>
      <c r="H7183">
        <v>144.33750000000001</v>
      </c>
      <c r="I7183" t="s">
        <v>30798</v>
      </c>
      <c r="L7183">
        <v>0</v>
      </c>
      <c r="M7183">
        <v>0</v>
      </c>
      <c r="N7183">
        <v>3</v>
      </c>
      <c r="O7183" t="s">
        <v>11660</v>
      </c>
    </row>
    <row r="7184" spans="1:15">
      <c r="A7184" t="s">
        <v>15828</v>
      </c>
      <c r="B7184" t="s">
        <v>11637</v>
      </c>
      <c r="C7184" t="s">
        <v>19828</v>
      </c>
      <c r="D7184" t="s">
        <v>30799</v>
      </c>
      <c r="E7184" t="b">
        <v>0</v>
      </c>
      <c r="F7184" t="s">
        <v>11624</v>
      </c>
      <c r="G7184">
        <v>29.0166</v>
      </c>
      <c r="H7184">
        <v>76.043199999999999</v>
      </c>
      <c r="I7184" t="s">
        <v>30800</v>
      </c>
      <c r="L7184">
        <v>0</v>
      </c>
      <c r="M7184">
        <v>0</v>
      </c>
      <c r="N7184">
        <v>5</v>
      </c>
      <c r="O7184" t="s">
        <v>11630</v>
      </c>
    </row>
    <row r="7185" spans="1:15">
      <c r="A7185" t="s">
        <v>30801</v>
      </c>
      <c r="B7185" t="s">
        <v>11637</v>
      </c>
      <c r="C7185" t="s">
        <v>30802</v>
      </c>
      <c r="D7185" t="s">
        <v>30803</v>
      </c>
      <c r="E7185" t="b">
        <v>0</v>
      </c>
      <c r="F7185" t="s">
        <v>11624</v>
      </c>
      <c r="G7185">
        <v>38.434100000000001</v>
      </c>
      <c r="H7185">
        <v>48.284799999999997</v>
      </c>
      <c r="I7185" t="s">
        <v>30804</v>
      </c>
      <c r="L7185">
        <v>0</v>
      </c>
      <c r="M7185">
        <v>0</v>
      </c>
      <c r="N7185">
        <v>0</v>
      </c>
      <c r="O7185" t="s">
        <v>13225</v>
      </c>
    </row>
    <row r="7186" spans="1:15">
      <c r="A7186" t="s">
        <v>30805</v>
      </c>
      <c r="B7186" t="s">
        <v>6742</v>
      </c>
      <c r="C7186" t="s">
        <v>19747</v>
      </c>
      <c r="D7186" t="s">
        <v>30806</v>
      </c>
      <c r="E7186" t="b">
        <v>0</v>
      </c>
      <c r="F7186" t="s">
        <v>11610</v>
      </c>
      <c r="L7186">
        <v>0</v>
      </c>
      <c r="M7186">
        <v>0</v>
      </c>
      <c r="N7186">
        <v>0</v>
      </c>
    </row>
    <row r="7187" spans="1:15">
      <c r="A7187" t="s">
        <v>30807</v>
      </c>
      <c r="B7187" t="s">
        <v>13276</v>
      </c>
      <c r="C7187" t="s">
        <v>16569</v>
      </c>
      <c r="D7187" t="s">
        <v>30808</v>
      </c>
      <c r="E7187" t="b">
        <v>0</v>
      </c>
      <c r="F7187" t="s">
        <v>11610</v>
      </c>
      <c r="L7187">
        <v>0</v>
      </c>
      <c r="M7187">
        <v>0</v>
      </c>
      <c r="N7187">
        <v>0</v>
      </c>
    </row>
    <row r="7188" spans="1:15">
      <c r="A7188" t="s">
        <v>30809</v>
      </c>
      <c r="B7188" t="s">
        <v>11607</v>
      </c>
      <c r="C7188" t="s">
        <v>13669</v>
      </c>
      <c r="D7188" t="s">
        <v>30810</v>
      </c>
      <c r="E7188" t="b">
        <v>0</v>
      </c>
      <c r="F7188" t="s">
        <v>11610</v>
      </c>
      <c r="L7188">
        <v>0</v>
      </c>
      <c r="M7188">
        <v>0</v>
      </c>
      <c r="N7188">
        <v>0</v>
      </c>
    </row>
    <row r="7189" spans="1:15">
      <c r="A7189" t="s">
        <v>30811</v>
      </c>
      <c r="B7189" t="s">
        <v>6742</v>
      </c>
      <c r="C7189" t="s">
        <v>30812</v>
      </c>
      <c r="D7189" t="s">
        <v>30813</v>
      </c>
      <c r="E7189" t="b">
        <v>0</v>
      </c>
      <c r="F7189" t="s">
        <v>11624</v>
      </c>
      <c r="G7189">
        <v>9.1406299999999998</v>
      </c>
      <c r="H7189">
        <v>8.6613699999999998</v>
      </c>
      <c r="I7189" t="s">
        <v>30814</v>
      </c>
      <c r="L7189">
        <v>0</v>
      </c>
      <c r="M7189">
        <v>0</v>
      </c>
      <c r="N7189">
        <v>0</v>
      </c>
      <c r="O7189" t="s">
        <v>11693</v>
      </c>
    </row>
    <row r="7190" spans="1:15">
      <c r="A7190" t="s">
        <v>30812</v>
      </c>
      <c r="B7190" t="s">
        <v>6742</v>
      </c>
      <c r="C7190" t="s">
        <v>13195</v>
      </c>
      <c r="D7190" t="s">
        <v>30815</v>
      </c>
      <c r="E7190" t="b">
        <v>0</v>
      </c>
      <c r="F7190" t="s">
        <v>11622</v>
      </c>
      <c r="L7190">
        <v>0</v>
      </c>
      <c r="M7190">
        <v>2</v>
      </c>
      <c r="N7190">
        <v>0</v>
      </c>
    </row>
    <row r="7191" spans="1:15">
      <c r="A7191" t="s">
        <v>30816</v>
      </c>
      <c r="B7191" t="s">
        <v>11644</v>
      </c>
      <c r="C7191" t="s">
        <v>19716</v>
      </c>
      <c r="D7191" t="s">
        <v>30817</v>
      </c>
      <c r="E7191" t="b">
        <v>0</v>
      </c>
      <c r="F7191" t="s">
        <v>11610</v>
      </c>
      <c r="L7191">
        <v>0</v>
      </c>
      <c r="M7191">
        <v>0</v>
      </c>
      <c r="N7191">
        <v>0</v>
      </c>
    </row>
    <row r="7192" spans="1:15">
      <c r="A7192" t="s">
        <v>30818</v>
      </c>
      <c r="B7192" t="s">
        <v>11637</v>
      </c>
      <c r="C7192" t="s">
        <v>30819</v>
      </c>
      <c r="D7192" t="s">
        <v>30820</v>
      </c>
      <c r="E7192" t="b">
        <v>0</v>
      </c>
      <c r="F7192" t="s">
        <v>11610</v>
      </c>
      <c r="L7192">
        <v>0</v>
      </c>
      <c r="M7192">
        <v>0</v>
      </c>
      <c r="N7192">
        <v>0</v>
      </c>
    </row>
    <row r="7193" spans="1:15">
      <c r="A7193" t="s">
        <v>30821</v>
      </c>
      <c r="B7193" t="s">
        <v>11637</v>
      </c>
      <c r="C7193" t="s">
        <v>30819</v>
      </c>
      <c r="D7193" t="s">
        <v>30822</v>
      </c>
      <c r="E7193" t="b">
        <v>0</v>
      </c>
      <c r="F7193" t="s">
        <v>11610</v>
      </c>
      <c r="L7193">
        <v>0</v>
      </c>
      <c r="M7193">
        <v>0</v>
      </c>
      <c r="N7193">
        <v>0</v>
      </c>
    </row>
    <row r="7194" spans="1:15">
      <c r="A7194" t="s">
        <v>3710</v>
      </c>
      <c r="B7194" t="s">
        <v>11607</v>
      </c>
      <c r="C7194" t="s">
        <v>13031</v>
      </c>
      <c r="D7194" t="s">
        <v>30823</v>
      </c>
      <c r="E7194" t="b">
        <v>0</v>
      </c>
      <c r="F7194" t="s">
        <v>11624</v>
      </c>
      <c r="G7194">
        <v>18.29</v>
      </c>
      <c r="H7194">
        <v>-14.11</v>
      </c>
      <c r="I7194" t="s">
        <v>3711</v>
      </c>
      <c r="L7194">
        <v>0</v>
      </c>
      <c r="M7194">
        <v>0</v>
      </c>
      <c r="N7194">
        <v>0</v>
      </c>
      <c r="O7194" t="s">
        <v>30824</v>
      </c>
    </row>
    <row r="7195" spans="1:15">
      <c r="A7195" t="s">
        <v>12067</v>
      </c>
      <c r="D7195" t="s">
        <v>30825</v>
      </c>
      <c r="E7195" t="b">
        <v>0</v>
      </c>
      <c r="F7195" t="s">
        <v>11622</v>
      </c>
      <c r="L7195">
        <v>0</v>
      </c>
      <c r="M7195">
        <v>2</v>
      </c>
      <c r="N7195">
        <v>5</v>
      </c>
    </row>
    <row r="7196" spans="1:15">
      <c r="A7196" t="s">
        <v>12068</v>
      </c>
      <c r="B7196" t="s">
        <v>12067</v>
      </c>
      <c r="C7196" t="s">
        <v>12067</v>
      </c>
      <c r="D7196" t="s">
        <v>30826</v>
      </c>
      <c r="E7196" t="b">
        <v>0</v>
      </c>
      <c r="F7196" t="s">
        <v>11624</v>
      </c>
      <c r="G7196">
        <v>-1.13531</v>
      </c>
      <c r="H7196">
        <v>134.03700000000001</v>
      </c>
      <c r="I7196" t="s">
        <v>30827</v>
      </c>
      <c r="L7196">
        <v>0</v>
      </c>
      <c r="M7196">
        <v>0</v>
      </c>
      <c r="N7196">
        <v>5</v>
      </c>
      <c r="O7196" t="s">
        <v>11768</v>
      </c>
    </row>
    <row r="7197" spans="1:15">
      <c r="A7197" t="s">
        <v>30828</v>
      </c>
      <c r="B7197" t="s">
        <v>4342</v>
      </c>
      <c r="C7197" t="s">
        <v>30829</v>
      </c>
      <c r="D7197" t="s">
        <v>30830</v>
      </c>
      <c r="E7197" t="b">
        <v>0</v>
      </c>
      <c r="F7197" t="s">
        <v>11610</v>
      </c>
      <c r="L7197">
        <v>0</v>
      </c>
      <c r="M7197">
        <v>0</v>
      </c>
      <c r="N7197">
        <v>0</v>
      </c>
    </row>
    <row r="7198" spans="1:15">
      <c r="A7198" t="s">
        <v>30831</v>
      </c>
      <c r="B7198" t="s">
        <v>4342</v>
      </c>
      <c r="C7198" t="s">
        <v>30832</v>
      </c>
      <c r="D7198" t="s">
        <v>30833</v>
      </c>
      <c r="E7198" t="b">
        <v>0</v>
      </c>
      <c r="F7198" t="s">
        <v>11610</v>
      </c>
      <c r="L7198">
        <v>0</v>
      </c>
      <c r="M7198">
        <v>0</v>
      </c>
      <c r="N7198">
        <v>0</v>
      </c>
    </row>
    <row r="7199" spans="1:15">
      <c r="A7199" t="s">
        <v>30834</v>
      </c>
      <c r="B7199" t="s">
        <v>13264</v>
      </c>
      <c r="C7199" t="s">
        <v>7959</v>
      </c>
      <c r="D7199" t="s">
        <v>30835</v>
      </c>
      <c r="E7199" t="b">
        <v>0</v>
      </c>
      <c r="F7199" t="s">
        <v>11610</v>
      </c>
      <c r="L7199">
        <v>0</v>
      </c>
      <c r="M7199">
        <v>0</v>
      </c>
      <c r="N7199">
        <v>0</v>
      </c>
    </row>
    <row r="7200" spans="1:15">
      <c r="A7200" t="s">
        <v>30836</v>
      </c>
      <c r="B7200" t="s">
        <v>11644</v>
      </c>
      <c r="C7200" t="s">
        <v>19716</v>
      </c>
      <c r="D7200" t="s">
        <v>30837</v>
      </c>
      <c r="E7200" t="b">
        <v>0</v>
      </c>
      <c r="F7200" t="s">
        <v>11610</v>
      </c>
      <c r="L7200">
        <v>0</v>
      </c>
      <c r="M7200">
        <v>0</v>
      </c>
      <c r="N7200">
        <v>0</v>
      </c>
    </row>
    <row r="7201" spans="1:15">
      <c r="A7201" t="s">
        <v>30838</v>
      </c>
      <c r="B7201" t="s">
        <v>4342</v>
      </c>
      <c r="C7201" t="s">
        <v>30832</v>
      </c>
      <c r="D7201" t="s">
        <v>30839</v>
      </c>
      <c r="E7201" t="b">
        <v>0</v>
      </c>
      <c r="F7201" t="s">
        <v>11610</v>
      </c>
      <c r="L7201">
        <v>0</v>
      </c>
      <c r="M7201">
        <v>0</v>
      </c>
      <c r="N7201">
        <v>0</v>
      </c>
    </row>
    <row r="7202" spans="1:15">
      <c r="A7202" t="s">
        <v>30840</v>
      </c>
      <c r="B7202" t="s">
        <v>12438</v>
      </c>
      <c r="C7202" t="s">
        <v>30841</v>
      </c>
      <c r="D7202" t="s">
        <v>30842</v>
      </c>
      <c r="E7202" t="b">
        <v>0</v>
      </c>
      <c r="F7202" t="s">
        <v>11610</v>
      </c>
      <c r="L7202">
        <v>0</v>
      </c>
      <c r="M7202">
        <v>0</v>
      </c>
      <c r="N7202">
        <v>0</v>
      </c>
    </row>
    <row r="7203" spans="1:15">
      <c r="A7203" t="s">
        <v>30843</v>
      </c>
      <c r="D7203" t="s">
        <v>30844</v>
      </c>
      <c r="E7203" t="b">
        <v>0</v>
      </c>
      <c r="F7203" t="s">
        <v>11624</v>
      </c>
      <c r="G7203">
        <v>33.9833</v>
      </c>
      <c r="H7203">
        <v>40.333300000000001</v>
      </c>
      <c r="I7203" t="s">
        <v>30845</v>
      </c>
      <c r="L7203">
        <v>0</v>
      </c>
      <c r="M7203">
        <v>0</v>
      </c>
      <c r="N7203">
        <v>0</v>
      </c>
      <c r="O7203" t="s">
        <v>12765</v>
      </c>
    </row>
    <row r="7204" spans="1:15">
      <c r="A7204" t="s">
        <v>30846</v>
      </c>
      <c r="B7204" t="s">
        <v>367</v>
      </c>
      <c r="C7204" t="s">
        <v>2795</v>
      </c>
      <c r="D7204" t="s">
        <v>30847</v>
      </c>
      <c r="E7204" t="b">
        <v>0</v>
      </c>
      <c r="F7204" t="s">
        <v>11610</v>
      </c>
      <c r="L7204">
        <v>0</v>
      </c>
      <c r="M7204">
        <v>0</v>
      </c>
      <c r="N7204">
        <v>0</v>
      </c>
    </row>
    <row r="7205" spans="1:15">
      <c r="A7205" t="s">
        <v>27062</v>
      </c>
      <c r="B7205" t="s">
        <v>367</v>
      </c>
      <c r="C7205" t="s">
        <v>30794</v>
      </c>
      <c r="D7205" t="s">
        <v>30848</v>
      </c>
      <c r="E7205" t="b">
        <v>0</v>
      </c>
      <c r="F7205" t="s">
        <v>11622</v>
      </c>
      <c r="L7205">
        <v>2</v>
      </c>
      <c r="M7205">
        <v>4</v>
      </c>
      <c r="N7205">
        <v>7</v>
      </c>
    </row>
    <row r="7206" spans="1:15">
      <c r="A7206" t="s">
        <v>30849</v>
      </c>
      <c r="B7206" t="s">
        <v>367</v>
      </c>
      <c r="C7206" t="s">
        <v>30850</v>
      </c>
      <c r="D7206" t="s">
        <v>30851</v>
      </c>
      <c r="E7206" t="b">
        <v>0</v>
      </c>
      <c r="F7206" t="s">
        <v>11610</v>
      </c>
      <c r="L7206">
        <v>0</v>
      </c>
      <c r="M7206">
        <v>0</v>
      </c>
      <c r="N7206">
        <v>0</v>
      </c>
    </row>
    <row r="7207" spans="1:15">
      <c r="A7207" t="s">
        <v>30852</v>
      </c>
      <c r="B7207" t="s">
        <v>367</v>
      </c>
      <c r="C7207" t="s">
        <v>30853</v>
      </c>
      <c r="D7207" t="s">
        <v>30854</v>
      </c>
      <c r="E7207" t="b">
        <v>0</v>
      </c>
      <c r="F7207" t="s">
        <v>11610</v>
      </c>
      <c r="L7207">
        <v>0</v>
      </c>
      <c r="M7207">
        <v>0</v>
      </c>
      <c r="N7207">
        <v>0</v>
      </c>
    </row>
    <row r="7208" spans="1:15">
      <c r="A7208" t="s">
        <v>30794</v>
      </c>
      <c r="B7208" t="s">
        <v>367</v>
      </c>
      <c r="C7208" t="s">
        <v>30855</v>
      </c>
      <c r="D7208" t="s">
        <v>30856</v>
      </c>
      <c r="E7208" t="b">
        <v>0</v>
      </c>
      <c r="F7208" t="s">
        <v>11622</v>
      </c>
      <c r="L7208">
        <v>3</v>
      </c>
      <c r="M7208">
        <v>5</v>
      </c>
      <c r="N7208">
        <v>11</v>
      </c>
    </row>
    <row r="7209" spans="1:15">
      <c r="A7209" t="s">
        <v>30857</v>
      </c>
      <c r="B7209" t="s">
        <v>6742</v>
      </c>
      <c r="C7209" t="s">
        <v>30858</v>
      </c>
      <c r="D7209" t="s">
        <v>30859</v>
      </c>
      <c r="E7209" t="b">
        <v>0</v>
      </c>
      <c r="F7209" t="s">
        <v>11610</v>
      </c>
      <c r="L7209">
        <v>0</v>
      </c>
      <c r="M7209">
        <v>0</v>
      </c>
      <c r="N7209">
        <v>0</v>
      </c>
    </row>
    <row r="7210" spans="1:15">
      <c r="A7210" t="s">
        <v>30860</v>
      </c>
      <c r="B7210" t="s">
        <v>367</v>
      </c>
      <c r="C7210" t="s">
        <v>17502</v>
      </c>
      <c r="D7210" t="s">
        <v>30861</v>
      </c>
      <c r="E7210" t="b">
        <v>0</v>
      </c>
      <c r="F7210" t="s">
        <v>11610</v>
      </c>
      <c r="L7210">
        <v>0</v>
      </c>
      <c r="M7210">
        <v>0</v>
      </c>
      <c r="N7210">
        <v>0</v>
      </c>
    </row>
    <row r="7211" spans="1:15">
      <c r="A7211" t="s">
        <v>30862</v>
      </c>
      <c r="B7211" t="s">
        <v>13450</v>
      </c>
      <c r="C7211" t="s">
        <v>30863</v>
      </c>
      <c r="D7211" t="s">
        <v>30864</v>
      </c>
      <c r="E7211" t="b">
        <v>0</v>
      </c>
      <c r="F7211" t="s">
        <v>11624</v>
      </c>
      <c r="G7211">
        <v>-4.2923359999999997</v>
      </c>
      <c r="H7211">
        <v>141.62565799999999</v>
      </c>
      <c r="L7211">
        <v>0</v>
      </c>
      <c r="M7211">
        <v>0</v>
      </c>
      <c r="N7211">
        <v>0</v>
      </c>
      <c r="O7211" t="s">
        <v>11660</v>
      </c>
    </row>
    <row r="7212" spans="1:15">
      <c r="A7212" t="s">
        <v>30865</v>
      </c>
      <c r="B7212" t="s">
        <v>11810</v>
      </c>
      <c r="C7212" t="s">
        <v>29322</v>
      </c>
      <c r="D7212" t="s">
        <v>30866</v>
      </c>
      <c r="E7212" t="b">
        <v>0</v>
      </c>
      <c r="F7212" t="s">
        <v>11610</v>
      </c>
      <c r="L7212">
        <v>0</v>
      </c>
      <c r="M7212">
        <v>0</v>
      </c>
      <c r="N7212">
        <v>0</v>
      </c>
    </row>
    <row r="7213" spans="1:15">
      <c r="A7213" t="s">
        <v>30867</v>
      </c>
      <c r="B7213" t="s">
        <v>15155</v>
      </c>
      <c r="C7213" t="s">
        <v>15155</v>
      </c>
      <c r="D7213" t="s">
        <v>30868</v>
      </c>
      <c r="E7213" t="b">
        <v>0</v>
      </c>
      <c r="F7213" t="s">
        <v>11610</v>
      </c>
      <c r="L7213">
        <v>0</v>
      </c>
      <c r="M7213">
        <v>0</v>
      </c>
      <c r="N7213">
        <v>0</v>
      </c>
    </row>
    <row r="7214" spans="1:15">
      <c r="A7214" t="s">
        <v>30869</v>
      </c>
      <c r="B7214" t="s">
        <v>22849</v>
      </c>
      <c r="C7214" t="s">
        <v>30870</v>
      </c>
      <c r="D7214" t="s">
        <v>30871</v>
      </c>
      <c r="E7214" t="b">
        <v>0</v>
      </c>
      <c r="F7214" t="s">
        <v>11624</v>
      </c>
      <c r="G7214">
        <v>-54.7</v>
      </c>
      <c r="H7214">
        <v>-65.5</v>
      </c>
      <c r="L7214">
        <v>0</v>
      </c>
      <c r="M7214">
        <v>0</v>
      </c>
      <c r="N7214">
        <v>0</v>
      </c>
      <c r="O7214" t="s">
        <v>12895</v>
      </c>
    </row>
    <row r="7215" spans="1:15">
      <c r="A7215" t="s">
        <v>30872</v>
      </c>
      <c r="B7215" t="s">
        <v>11981</v>
      </c>
      <c r="C7215" t="s">
        <v>12200</v>
      </c>
      <c r="D7215" t="s">
        <v>30873</v>
      </c>
      <c r="E7215" t="b">
        <v>0</v>
      </c>
      <c r="F7215" t="s">
        <v>11624</v>
      </c>
      <c r="G7215">
        <v>8.4860000000000007</v>
      </c>
      <c r="H7215">
        <v>7.1680000000000001</v>
      </c>
      <c r="I7215" t="s">
        <v>30874</v>
      </c>
      <c r="L7215">
        <v>0</v>
      </c>
      <c r="M7215">
        <v>0</v>
      </c>
      <c r="N7215">
        <v>0</v>
      </c>
      <c r="O7215" t="s">
        <v>11693</v>
      </c>
    </row>
    <row r="7216" spans="1:15">
      <c r="A7216" t="s">
        <v>6491</v>
      </c>
      <c r="B7216" t="s">
        <v>11607</v>
      </c>
      <c r="C7216" t="s">
        <v>30372</v>
      </c>
      <c r="D7216" t="s">
        <v>6490</v>
      </c>
      <c r="E7216" t="b">
        <v>0</v>
      </c>
      <c r="F7216" t="s">
        <v>11624</v>
      </c>
      <c r="G7216">
        <v>11.151300000000001</v>
      </c>
      <c r="H7216">
        <v>8.7804000000000002</v>
      </c>
      <c r="I7216" t="s">
        <v>6492</v>
      </c>
      <c r="L7216">
        <v>0</v>
      </c>
      <c r="M7216">
        <v>0</v>
      </c>
      <c r="N7216">
        <v>19</v>
      </c>
      <c r="O7216" t="s">
        <v>30875</v>
      </c>
    </row>
    <row r="7217" spans="1:15">
      <c r="A7217" t="s">
        <v>17070</v>
      </c>
      <c r="B7217" t="s">
        <v>13450</v>
      </c>
      <c r="C7217" t="s">
        <v>13450</v>
      </c>
      <c r="D7217" t="s">
        <v>30876</v>
      </c>
      <c r="E7217" t="b">
        <v>0</v>
      </c>
      <c r="F7217" t="s">
        <v>11622</v>
      </c>
      <c r="L7217">
        <v>0</v>
      </c>
      <c r="M7217">
        <v>2</v>
      </c>
      <c r="N7217">
        <v>0</v>
      </c>
    </row>
    <row r="7218" spans="1:15">
      <c r="A7218" t="s">
        <v>30877</v>
      </c>
      <c r="B7218" t="s">
        <v>11637</v>
      </c>
      <c r="C7218" t="s">
        <v>17275</v>
      </c>
      <c r="D7218" t="s">
        <v>30878</v>
      </c>
      <c r="E7218" t="b">
        <v>0</v>
      </c>
      <c r="F7218" t="s">
        <v>11610</v>
      </c>
      <c r="L7218">
        <v>0</v>
      </c>
      <c r="M7218">
        <v>0</v>
      </c>
      <c r="N7218">
        <v>0</v>
      </c>
    </row>
    <row r="7219" spans="1:15">
      <c r="A7219" t="s">
        <v>30879</v>
      </c>
      <c r="B7219" t="s">
        <v>11637</v>
      </c>
      <c r="C7219" t="s">
        <v>15203</v>
      </c>
      <c r="D7219" t="s">
        <v>30880</v>
      </c>
      <c r="E7219" t="b">
        <v>0</v>
      </c>
      <c r="F7219" t="s">
        <v>11610</v>
      </c>
      <c r="L7219">
        <v>0</v>
      </c>
      <c r="M7219">
        <v>0</v>
      </c>
      <c r="N7219">
        <v>0</v>
      </c>
    </row>
    <row r="7220" spans="1:15">
      <c r="A7220" t="s">
        <v>30881</v>
      </c>
      <c r="B7220" t="s">
        <v>11637</v>
      </c>
      <c r="C7220" t="s">
        <v>17278</v>
      </c>
      <c r="D7220" t="s">
        <v>30882</v>
      </c>
      <c r="E7220" t="b">
        <v>0</v>
      </c>
      <c r="F7220" t="s">
        <v>11610</v>
      </c>
      <c r="L7220">
        <v>0</v>
      </c>
      <c r="M7220">
        <v>0</v>
      </c>
      <c r="N7220">
        <v>0</v>
      </c>
    </row>
    <row r="7221" spans="1:15">
      <c r="A7221" t="s">
        <v>11211</v>
      </c>
      <c r="B7221" t="s">
        <v>23233</v>
      </c>
      <c r="C7221" t="s">
        <v>30883</v>
      </c>
      <c r="D7221" t="s">
        <v>30884</v>
      </c>
      <c r="E7221" t="b">
        <v>0</v>
      </c>
      <c r="F7221" t="s">
        <v>11624</v>
      </c>
      <c r="G7221">
        <v>35.630200000000002</v>
      </c>
      <c r="H7221">
        <v>-113.38500000000001</v>
      </c>
      <c r="I7221" t="s">
        <v>11213</v>
      </c>
      <c r="L7221">
        <v>0</v>
      </c>
      <c r="M7221">
        <v>0</v>
      </c>
      <c r="N7221">
        <v>3</v>
      </c>
      <c r="O7221" t="s">
        <v>11944</v>
      </c>
    </row>
    <row r="7222" spans="1:15">
      <c r="A7222" t="s">
        <v>30885</v>
      </c>
      <c r="B7222" t="s">
        <v>23233</v>
      </c>
      <c r="C7222" t="s">
        <v>11211</v>
      </c>
      <c r="D7222" t="s">
        <v>30886</v>
      </c>
      <c r="E7222" t="b">
        <v>0</v>
      </c>
      <c r="F7222" t="s">
        <v>11610</v>
      </c>
      <c r="L7222">
        <v>0</v>
      </c>
      <c r="M7222">
        <v>0</v>
      </c>
      <c r="N7222">
        <v>0</v>
      </c>
    </row>
    <row r="7223" spans="1:15">
      <c r="A7223" t="s">
        <v>30887</v>
      </c>
      <c r="B7223" t="s">
        <v>11644</v>
      </c>
      <c r="C7223" t="s">
        <v>28687</v>
      </c>
      <c r="D7223" t="s">
        <v>30888</v>
      </c>
      <c r="E7223" t="b">
        <v>0</v>
      </c>
      <c r="F7223" t="s">
        <v>11610</v>
      </c>
      <c r="L7223">
        <v>0</v>
      </c>
      <c r="M7223">
        <v>0</v>
      </c>
      <c r="N7223">
        <v>0</v>
      </c>
    </row>
    <row r="7224" spans="1:15">
      <c r="A7224" t="s">
        <v>30889</v>
      </c>
      <c r="B7224" t="s">
        <v>367</v>
      </c>
      <c r="C7224" t="s">
        <v>20747</v>
      </c>
      <c r="D7224" t="s">
        <v>30890</v>
      </c>
      <c r="E7224" t="b">
        <v>0</v>
      </c>
      <c r="F7224" t="s">
        <v>11624</v>
      </c>
      <c r="G7224">
        <v>-21.024899999999999</v>
      </c>
      <c r="H7224">
        <v>164.75299999999999</v>
      </c>
      <c r="I7224" t="s">
        <v>30891</v>
      </c>
      <c r="L7224">
        <v>0</v>
      </c>
      <c r="M7224">
        <v>0</v>
      </c>
      <c r="N7224">
        <v>0</v>
      </c>
      <c r="O7224" t="s">
        <v>12624</v>
      </c>
    </row>
    <row r="7225" spans="1:15">
      <c r="A7225" t="s">
        <v>30892</v>
      </c>
      <c r="B7225" t="s">
        <v>6742</v>
      </c>
      <c r="C7225" t="s">
        <v>30893</v>
      </c>
      <c r="D7225" t="s">
        <v>30894</v>
      </c>
      <c r="E7225" t="b">
        <v>0</v>
      </c>
      <c r="F7225" t="s">
        <v>11624</v>
      </c>
      <c r="G7225">
        <v>-1.9997499999999999</v>
      </c>
      <c r="H7225">
        <v>28.862400000000001</v>
      </c>
      <c r="I7225" t="s">
        <v>30895</v>
      </c>
      <c r="L7225">
        <v>0</v>
      </c>
      <c r="M7225">
        <v>0</v>
      </c>
      <c r="N7225">
        <v>0</v>
      </c>
      <c r="O7225" t="s">
        <v>14825</v>
      </c>
    </row>
    <row r="7226" spans="1:15">
      <c r="A7226" t="s">
        <v>30896</v>
      </c>
      <c r="B7226" t="s">
        <v>11981</v>
      </c>
      <c r="C7226" t="s">
        <v>13026</v>
      </c>
      <c r="D7226" t="s">
        <v>30897</v>
      </c>
      <c r="E7226" t="b">
        <v>0</v>
      </c>
      <c r="F7226" t="s">
        <v>11624</v>
      </c>
      <c r="G7226">
        <v>21.6311</v>
      </c>
      <c r="H7226">
        <v>-158.00200000000001</v>
      </c>
      <c r="I7226" t="s">
        <v>30898</v>
      </c>
      <c r="L7226">
        <v>0</v>
      </c>
      <c r="M7226">
        <v>0</v>
      </c>
      <c r="N7226">
        <v>0</v>
      </c>
      <c r="O7226" t="s">
        <v>11944</v>
      </c>
    </row>
    <row r="7227" spans="1:15">
      <c r="A7227" t="s">
        <v>200</v>
      </c>
      <c r="B7227" t="s">
        <v>367</v>
      </c>
      <c r="C7227" t="s">
        <v>21542</v>
      </c>
      <c r="D7227" t="s">
        <v>30899</v>
      </c>
      <c r="E7227" t="b">
        <v>0</v>
      </c>
      <c r="F7227" t="s">
        <v>11624</v>
      </c>
      <c r="G7227">
        <v>19.6297</v>
      </c>
      <c r="H7227">
        <v>-155.43</v>
      </c>
      <c r="I7227" t="s">
        <v>201</v>
      </c>
      <c r="L7227">
        <v>0</v>
      </c>
      <c r="M7227">
        <v>0</v>
      </c>
      <c r="N7227">
        <v>0</v>
      </c>
      <c r="O7227" t="s">
        <v>11944</v>
      </c>
    </row>
    <row r="7228" spans="1:15">
      <c r="A7228" t="s">
        <v>30900</v>
      </c>
      <c r="B7228" t="s">
        <v>11637</v>
      </c>
      <c r="C7228" t="s">
        <v>25782</v>
      </c>
      <c r="D7228" t="s">
        <v>30901</v>
      </c>
      <c r="E7228" t="b">
        <v>0</v>
      </c>
      <c r="F7228" t="s">
        <v>11624</v>
      </c>
      <c r="G7228">
        <v>19.628699999999998</v>
      </c>
      <c r="H7228">
        <v>-155.43700000000001</v>
      </c>
      <c r="I7228" t="s">
        <v>30902</v>
      </c>
      <c r="L7228">
        <v>0</v>
      </c>
      <c r="M7228">
        <v>0</v>
      </c>
      <c r="N7228">
        <v>0</v>
      </c>
      <c r="O7228" t="s">
        <v>11944</v>
      </c>
    </row>
    <row r="7229" spans="1:15">
      <c r="A7229" t="s">
        <v>30903</v>
      </c>
      <c r="B7229" t="s">
        <v>13450</v>
      </c>
      <c r="C7229" t="s">
        <v>13450</v>
      </c>
      <c r="D7229" t="s">
        <v>30904</v>
      </c>
      <c r="E7229" t="b">
        <v>0</v>
      </c>
      <c r="F7229" t="s">
        <v>11622</v>
      </c>
      <c r="L7229">
        <v>0</v>
      </c>
      <c r="M7229">
        <v>1</v>
      </c>
      <c r="N7229">
        <v>0</v>
      </c>
    </row>
    <row r="7230" spans="1:15">
      <c r="A7230" t="s">
        <v>30905</v>
      </c>
      <c r="B7230" t="s">
        <v>11644</v>
      </c>
      <c r="C7230" t="s">
        <v>16039</v>
      </c>
      <c r="D7230" t="s">
        <v>30906</v>
      </c>
      <c r="E7230" t="b">
        <v>0</v>
      </c>
      <c r="F7230" t="s">
        <v>11610</v>
      </c>
      <c r="L7230">
        <v>0</v>
      </c>
      <c r="M7230">
        <v>0</v>
      </c>
      <c r="N7230">
        <v>0</v>
      </c>
    </row>
    <row r="7231" spans="1:15">
      <c r="A7231" t="s">
        <v>30907</v>
      </c>
      <c r="B7231" t="s">
        <v>10597</v>
      </c>
      <c r="C7231" t="s">
        <v>30908</v>
      </c>
      <c r="D7231" t="s">
        <v>30909</v>
      </c>
      <c r="E7231" t="b">
        <v>0</v>
      </c>
      <c r="F7231" t="s">
        <v>11624</v>
      </c>
      <c r="G7231">
        <v>-33.114707439999997</v>
      </c>
      <c r="H7231">
        <v>150.49523830000001</v>
      </c>
      <c r="I7231" t="s">
        <v>30910</v>
      </c>
      <c r="L7231">
        <v>0</v>
      </c>
      <c r="M7231">
        <v>0</v>
      </c>
      <c r="N7231">
        <v>0</v>
      </c>
      <c r="O7231" t="s">
        <v>12107</v>
      </c>
    </row>
    <row r="7232" spans="1:15">
      <c r="A7232" t="s">
        <v>30911</v>
      </c>
      <c r="B7232" t="s">
        <v>11637</v>
      </c>
      <c r="C7232" t="s">
        <v>28751</v>
      </c>
      <c r="D7232" t="s">
        <v>30912</v>
      </c>
      <c r="E7232" t="b">
        <v>0</v>
      </c>
      <c r="F7232" t="s">
        <v>11610</v>
      </c>
      <c r="L7232">
        <v>0</v>
      </c>
      <c r="M7232">
        <v>0</v>
      </c>
      <c r="N7232">
        <v>0</v>
      </c>
    </row>
    <row r="7233" spans="1:15">
      <c r="A7233" t="s">
        <v>30913</v>
      </c>
      <c r="B7233" t="s">
        <v>11637</v>
      </c>
      <c r="C7233" t="s">
        <v>28751</v>
      </c>
      <c r="D7233" t="s">
        <v>30914</v>
      </c>
      <c r="E7233" t="b">
        <v>0</v>
      </c>
      <c r="F7233" t="s">
        <v>11610</v>
      </c>
      <c r="L7233">
        <v>0</v>
      </c>
      <c r="M7233">
        <v>0</v>
      </c>
      <c r="N7233">
        <v>0</v>
      </c>
    </row>
    <row r="7234" spans="1:15">
      <c r="A7234" t="s">
        <v>24621</v>
      </c>
      <c r="B7234" t="s">
        <v>367</v>
      </c>
      <c r="C7234" t="s">
        <v>30915</v>
      </c>
      <c r="D7234" t="s">
        <v>30916</v>
      </c>
      <c r="E7234" t="b">
        <v>0</v>
      </c>
      <c r="F7234" t="s">
        <v>11622</v>
      </c>
      <c r="L7234">
        <v>0</v>
      </c>
      <c r="M7234">
        <v>2</v>
      </c>
      <c r="N7234">
        <v>5</v>
      </c>
    </row>
    <row r="7235" spans="1:15">
      <c r="A7235" t="s">
        <v>1780</v>
      </c>
      <c r="B7235" t="s">
        <v>6742</v>
      </c>
      <c r="C7235" t="s">
        <v>30917</v>
      </c>
      <c r="D7235" t="s">
        <v>1779</v>
      </c>
      <c r="E7235" t="b">
        <v>0</v>
      </c>
      <c r="F7235" t="s">
        <v>11624</v>
      </c>
      <c r="G7235">
        <v>-1.70878</v>
      </c>
      <c r="H7235">
        <v>31.4846</v>
      </c>
      <c r="I7235" t="s">
        <v>1781</v>
      </c>
      <c r="L7235">
        <v>0</v>
      </c>
      <c r="M7235">
        <v>0</v>
      </c>
      <c r="N7235">
        <v>9</v>
      </c>
      <c r="O7235" t="s">
        <v>30918</v>
      </c>
    </row>
    <row r="7236" spans="1:15">
      <c r="A7236" t="s">
        <v>12732</v>
      </c>
      <c r="B7236" t="s">
        <v>11644</v>
      </c>
      <c r="C7236" t="s">
        <v>18533</v>
      </c>
      <c r="D7236" t="s">
        <v>30919</v>
      </c>
      <c r="E7236" t="b">
        <v>0</v>
      </c>
      <c r="F7236" t="s">
        <v>11622</v>
      </c>
      <c r="L7236">
        <v>1</v>
      </c>
      <c r="M7236">
        <v>5</v>
      </c>
      <c r="N7236">
        <v>11</v>
      </c>
    </row>
    <row r="7237" spans="1:15">
      <c r="A7237" t="s">
        <v>30920</v>
      </c>
      <c r="B7237" t="s">
        <v>11637</v>
      </c>
      <c r="C7237" t="s">
        <v>12510</v>
      </c>
      <c r="D7237" t="s">
        <v>30921</v>
      </c>
      <c r="E7237" t="b">
        <v>0</v>
      </c>
      <c r="F7237" t="s">
        <v>11624</v>
      </c>
      <c r="G7237">
        <v>33.370800000000003</v>
      </c>
      <c r="H7237">
        <v>64.510499999999993</v>
      </c>
      <c r="I7237" t="s">
        <v>30922</v>
      </c>
      <c r="L7237">
        <v>0</v>
      </c>
      <c r="M7237">
        <v>0</v>
      </c>
      <c r="N7237">
        <v>0</v>
      </c>
      <c r="O7237" t="s">
        <v>30923</v>
      </c>
    </row>
    <row r="7238" spans="1:15">
      <c r="A7238" t="s">
        <v>30924</v>
      </c>
      <c r="B7238" t="s">
        <v>11637</v>
      </c>
      <c r="C7238" t="s">
        <v>24846</v>
      </c>
      <c r="D7238" t="s">
        <v>30925</v>
      </c>
      <c r="E7238" t="b">
        <v>0</v>
      </c>
      <c r="F7238" t="s">
        <v>11610</v>
      </c>
      <c r="L7238">
        <v>0</v>
      </c>
      <c r="M7238">
        <v>0</v>
      </c>
      <c r="N7238">
        <v>0</v>
      </c>
    </row>
    <row r="7239" spans="1:15">
      <c r="A7239" t="s">
        <v>26709</v>
      </c>
      <c r="B7239" t="s">
        <v>11644</v>
      </c>
      <c r="C7239" t="s">
        <v>13422</v>
      </c>
      <c r="D7239" t="s">
        <v>30926</v>
      </c>
      <c r="E7239" t="b">
        <v>0</v>
      </c>
      <c r="F7239" t="s">
        <v>11610</v>
      </c>
      <c r="L7239">
        <v>0</v>
      </c>
      <c r="M7239">
        <v>0</v>
      </c>
      <c r="N7239">
        <v>14</v>
      </c>
    </row>
    <row r="7240" spans="1:15">
      <c r="A7240" t="s">
        <v>30927</v>
      </c>
      <c r="B7240" t="s">
        <v>11644</v>
      </c>
      <c r="C7240" t="s">
        <v>22839</v>
      </c>
      <c r="D7240" t="s">
        <v>30928</v>
      </c>
      <c r="E7240" t="b">
        <v>0</v>
      </c>
      <c r="F7240" t="s">
        <v>11610</v>
      </c>
      <c r="L7240">
        <v>0</v>
      </c>
      <c r="M7240">
        <v>0</v>
      </c>
      <c r="N7240">
        <v>0</v>
      </c>
    </row>
    <row r="7241" spans="1:15">
      <c r="A7241" t="s">
        <v>30929</v>
      </c>
      <c r="B7241" t="s">
        <v>11607</v>
      </c>
      <c r="C7241" t="s">
        <v>30930</v>
      </c>
      <c r="D7241" t="s">
        <v>30931</v>
      </c>
      <c r="E7241" t="b">
        <v>0</v>
      </c>
      <c r="F7241" t="s">
        <v>11624</v>
      </c>
      <c r="G7241">
        <v>10.942</v>
      </c>
      <c r="H7241">
        <v>13.6881</v>
      </c>
      <c r="I7241" t="s">
        <v>30932</v>
      </c>
      <c r="L7241">
        <v>0</v>
      </c>
      <c r="M7241">
        <v>0</v>
      </c>
      <c r="N7241">
        <v>1</v>
      </c>
      <c r="O7241" t="s">
        <v>11802</v>
      </c>
    </row>
    <row r="7242" spans="1:15">
      <c r="A7242" t="s">
        <v>30933</v>
      </c>
      <c r="B7242" t="s">
        <v>11615</v>
      </c>
      <c r="C7242" t="s">
        <v>30934</v>
      </c>
      <c r="D7242" t="s">
        <v>30935</v>
      </c>
      <c r="E7242" t="b">
        <v>0</v>
      </c>
      <c r="F7242" t="s">
        <v>11610</v>
      </c>
      <c r="L7242">
        <v>0</v>
      </c>
      <c r="M7242">
        <v>0</v>
      </c>
      <c r="N7242">
        <v>0</v>
      </c>
    </row>
    <row r="7243" spans="1:15">
      <c r="A7243" t="s">
        <v>13245</v>
      </c>
      <c r="B7243" t="s">
        <v>13244</v>
      </c>
      <c r="C7243" t="s">
        <v>19277</v>
      </c>
      <c r="D7243" t="s">
        <v>30936</v>
      </c>
      <c r="E7243" t="b">
        <v>0</v>
      </c>
      <c r="F7243" t="s">
        <v>11622</v>
      </c>
      <c r="L7243">
        <v>1</v>
      </c>
      <c r="M7243">
        <v>8</v>
      </c>
      <c r="N7243">
        <v>7</v>
      </c>
    </row>
    <row r="7244" spans="1:15">
      <c r="A7244" t="s">
        <v>30937</v>
      </c>
      <c r="B7244" t="s">
        <v>11844</v>
      </c>
      <c r="C7244" t="s">
        <v>9047</v>
      </c>
      <c r="D7244" t="s">
        <v>30938</v>
      </c>
      <c r="E7244" t="b">
        <v>0</v>
      </c>
      <c r="F7244" t="s">
        <v>11610</v>
      </c>
      <c r="L7244">
        <v>0</v>
      </c>
      <c r="M7244">
        <v>0</v>
      </c>
      <c r="N7244">
        <v>0</v>
      </c>
    </row>
    <row r="7245" spans="1:15">
      <c r="A7245" t="s">
        <v>30939</v>
      </c>
      <c r="B7245" t="s">
        <v>11607</v>
      </c>
      <c r="C7245" t="s">
        <v>13666</v>
      </c>
      <c r="D7245" t="s">
        <v>30940</v>
      </c>
      <c r="E7245" t="b">
        <v>0</v>
      </c>
      <c r="F7245" t="s">
        <v>11624</v>
      </c>
      <c r="G7245">
        <v>31.105599999999999</v>
      </c>
      <c r="H7245">
        <v>35.017899999999997</v>
      </c>
      <c r="I7245" t="s">
        <v>30941</v>
      </c>
      <c r="L7245">
        <v>0</v>
      </c>
      <c r="M7245">
        <v>0</v>
      </c>
      <c r="N7245">
        <v>2</v>
      </c>
      <c r="O7245" t="s">
        <v>30942</v>
      </c>
    </row>
    <row r="7246" spans="1:15">
      <c r="A7246" t="s">
        <v>13666</v>
      </c>
      <c r="B7246" t="s">
        <v>11607</v>
      </c>
      <c r="C7246" t="s">
        <v>21046</v>
      </c>
      <c r="D7246" t="s">
        <v>30943</v>
      </c>
      <c r="E7246" t="b">
        <v>0</v>
      </c>
      <c r="F7246" t="s">
        <v>11622</v>
      </c>
      <c r="L7246">
        <v>0</v>
      </c>
      <c r="M7246">
        <v>3</v>
      </c>
      <c r="N7246">
        <v>2</v>
      </c>
    </row>
    <row r="7247" spans="1:15">
      <c r="A7247" t="s">
        <v>30944</v>
      </c>
      <c r="B7247" t="s">
        <v>11644</v>
      </c>
      <c r="C7247" t="s">
        <v>16603</v>
      </c>
      <c r="D7247" t="s">
        <v>30945</v>
      </c>
      <c r="E7247" t="b">
        <v>0</v>
      </c>
      <c r="F7247" t="s">
        <v>11610</v>
      </c>
      <c r="L7247">
        <v>0</v>
      </c>
      <c r="M7247">
        <v>0</v>
      </c>
      <c r="N7247">
        <v>0</v>
      </c>
    </row>
    <row r="7248" spans="1:15">
      <c r="A7248" t="s">
        <v>30946</v>
      </c>
      <c r="B7248" t="s">
        <v>11607</v>
      </c>
      <c r="C7248" t="s">
        <v>21754</v>
      </c>
      <c r="D7248" t="s">
        <v>30947</v>
      </c>
      <c r="E7248" t="b">
        <v>0</v>
      </c>
      <c r="F7248" t="s">
        <v>11610</v>
      </c>
      <c r="L7248">
        <v>0</v>
      </c>
      <c r="M7248">
        <v>0</v>
      </c>
      <c r="N7248">
        <v>0</v>
      </c>
    </row>
    <row r="7249" spans="1:15">
      <c r="A7249" t="s">
        <v>30948</v>
      </c>
      <c r="B7249" t="s">
        <v>5126</v>
      </c>
      <c r="C7249" t="s">
        <v>30949</v>
      </c>
      <c r="D7249" t="s">
        <v>30950</v>
      </c>
      <c r="E7249" t="b">
        <v>0</v>
      </c>
      <c r="F7249" t="s">
        <v>11610</v>
      </c>
      <c r="L7249">
        <v>0</v>
      </c>
      <c r="M7249">
        <v>0</v>
      </c>
      <c r="N7249">
        <v>0</v>
      </c>
    </row>
    <row r="7250" spans="1:15">
      <c r="A7250" t="s">
        <v>30951</v>
      </c>
      <c r="B7250" t="s">
        <v>11644</v>
      </c>
      <c r="C7250" t="s">
        <v>30952</v>
      </c>
      <c r="D7250" t="s">
        <v>30953</v>
      </c>
      <c r="E7250" t="b">
        <v>0</v>
      </c>
      <c r="F7250" t="s">
        <v>11610</v>
      </c>
      <c r="G7250">
        <v>31.873593</v>
      </c>
      <c r="H7250">
        <v>117.223663</v>
      </c>
      <c r="L7250">
        <v>0</v>
      </c>
      <c r="M7250">
        <v>0</v>
      </c>
      <c r="N7250">
        <v>0</v>
      </c>
    </row>
    <row r="7251" spans="1:15">
      <c r="A7251" t="s">
        <v>812</v>
      </c>
      <c r="B7251" t="s">
        <v>6742</v>
      </c>
      <c r="C7251" t="s">
        <v>17909</v>
      </c>
      <c r="D7251" t="s">
        <v>1788</v>
      </c>
      <c r="E7251" t="b">
        <v>0</v>
      </c>
      <c r="F7251" t="s">
        <v>11624</v>
      </c>
      <c r="G7251">
        <v>-7.7157200000000001</v>
      </c>
      <c r="H7251">
        <v>35.725499999999997</v>
      </c>
      <c r="I7251" t="s">
        <v>813</v>
      </c>
      <c r="L7251">
        <v>0</v>
      </c>
      <c r="M7251">
        <v>0</v>
      </c>
      <c r="N7251">
        <v>0</v>
      </c>
      <c r="O7251" t="s">
        <v>11635</v>
      </c>
    </row>
    <row r="7252" spans="1:15">
      <c r="A7252" t="s">
        <v>21516</v>
      </c>
      <c r="D7252" t="s">
        <v>30954</v>
      </c>
      <c r="E7252" t="b">
        <v>0</v>
      </c>
      <c r="F7252" t="s">
        <v>11622</v>
      </c>
      <c r="L7252">
        <v>6</v>
      </c>
      <c r="M7252">
        <v>10</v>
      </c>
      <c r="N7252">
        <v>27</v>
      </c>
    </row>
    <row r="7253" spans="1:15">
      <c r="A7253" t="s">
        <v>30955</v>
      </c>
      <c r="B7253" t="s">
        <v>21516</v>
      </c>
      <c r="C7253" t="s">
        <v>26740</v>
      </c>
      <c r="D7253" t="s">
        <v>30956</v>
      </c>
      <c r="E7253" t="b">
        <v>0</v>
      </c>
      <c r="F7253" t="s">
        <v>11624</v>
      </c>
      <c r="G7253">
        <v>11.290800000000001</v>
      </c>
      <c r="H7253">
        <v>30.528199999999998</v>
      </c>
      <c r="I7253" t="s">
        <v>30957</v>
      </c>
      <c r="L7253">
        <v>0</v>
      </c>
      <c r="M7253">
        <v>0</v>
      </c>
      <c r="N7253">
        <v>0</v>
      </c>
      <c r="O7253" t="s">
        <v>11910</v>
      </c>
    </row>
    <row r="7254" spans="1:15">
      <c r="A7254" t="s">
        <v>30958</v>
      </c>
      <c r="B7254" t="s">
        <v>11637</v>
      </c>
      <c r="C7254" t="s">
        <v>25839</v>
      </c>
      <c r="D7254" t="s">
        <v>30959</v>
      </c>
      <c r="E7254" t="b">
        <v>0</v>
      </c>
      <c r="F7254" t="s">
        <v>11610</v>
      </c>
      <c r="L7254">
        <v>0</v>
      </c>
      <c r="M7254">
        <v>0</v>
      </c>
      <c r="N7254">
        <v>0</v>
      </c>
    </row>
    <row r="7255" spans="1:15">
      <c r="A7255" t="s">
        <v>30960</v>
      </c>
      <c r="B7255" t="s">
        <v>11644</v>
      </c>
      <c r="C7255" t="s">
        <v>23045</v>
      </c>
      <c r="D7255" t="s">
        <v>30961</v>
      </c>
      <c r="E7255" t="b">
        <v>0</v>
      </c>
      <c r="F7255" t="s">
        <v>11610</v>
      </c>
      <c r="L7255">
        <v>0</v>
      </c>
      <c r="M7255">
        <v>0</v>
      </c>
      <c r="N7255">
        <v>0</v>
      </c>
    </row>
    <row r="7256" spans="1:15">
      <c r="A7256" t="s">
        <v>30962</v>
      </c>
      <c r="B7256" t="s">
        <v>12686</v>
      </c>
      <c r="C7256" t="s">
        <v>28573</v>
      </c>
      <c r="D7256" t="s">
        <v>30963</v>
      </c>
      <c r="E7256" t="b">
        <v>0</v>
      </c>
      <c r="F7256" t="s">
        <v>11610</v>
      </c>
      <c r="L7256">
        <v>0</v>
      </c>
      <c r="M7256">
        <v>0</v>
      </c>
      <c r="N7256">
        <v>0</v>
      </c>
    </row>
    <row r="7257" spans="1:15">
      <c r="A7257" t="s">
        <v>17855</v>
      </c>
      <c r="B7257" t="s">
        <v>17854</v>
      </c>
      <c r="C7257" t="s">
        <v>456</v>
      </c>
      <c r="D7257" t="s">
        <v>30964</v>
      </c>
      <c r="E7257" t="b">
        <v>0</v>
      </c>
      <c r="F7257" t="s">
        <v>11624</v>
      </c>
      <c r="G7257">
        <v>51.704500000000003</v>
      </c>
      <c r="H7257">
        <v>-127.221</v>
      </c>
      <c r="I7257" t="s">
        <v>30965</v>
      </c>
      <c r="L7257">
        <v>0</v>
      </c>
      <c r="M7257">
        <v>0</v>
      </c>
      <c r="N7257">
        <v>2</v>
      </c>
      <c r="O7257" t="s">
        <v>13049</v>
      </c>
    </row>
    <row r="7258" spans="1:15">
      <c r="A7258" t="s">
        <v>30966</v>
      </c>
      <c r="B7258" t="s">
        <v>11637</v>
      </c>
      <c r="C7258" t="s">
        <v>12824</v>
      </c>
      <c r="D7258" t="s">
        <v>30967</v>
      </c>
      <c r="E7258" t="b">
        <v>0</v>
      </c>
      <c r="F7258" t="s">
        <v>11610</v>
      </c>
      <c r="L7258">
        <v>0</v>
      </c>
      <c r="M7258">
        <v>0</v>
      </c>
      <c r="N7258">
        <v>0</v>
      </c>
    </row>
    <row r="7259" spans="1:15">
      <c r="A7259" t="s">
        <v>25939</v>
      </c>
      <c r="B7259" t="s">
        <v>11644</v>
      </c>
      <c r="C7259" t="s">
        <v>30968</v>
      </c>
      <c r="D7259" t="s">
        <v>30969</v>
      </c>
      <c r="E7259" t="b">
        <v>0</v>
      </c>
      <c r="F7259" t="s">
        <v>11624</v>
      </c>
      <c r="G7259">
        <v>27.921199999999999</v>
      </c>
      <c r="H7259">
        <v>85.628900000000002</v>
      </c>
      <c r="I7259" t="s">
        <v>30970</v>
      </c>
      <c r="L7259">
        <v>0</v>
      </c>
      <c r="M7259">
        <v>0</v>
      </c>
      <c r="N7259">
        <v>4</v>
      </c>
      <c r="O7259" t="s">
        <v>15007</v>
      </c>
    </row>
    <row r="7260" spans="1:15">
      <c r="A7260" t="s">
        <v>30971</v>
      </c>
      <c r="B7260" t="s">
        <v>11637</v>
      </c>
      <c r="C7260" t="s">
        <v>16887</v>
      </c>
      <c r="D7260" t="s">
        <v>30972</v>
      </c>
      <c r="E7260" t="b">
        <v>0</v>
      </c>
      <c r="F7260" t="s">
        <v>11610</v>
      </c>
      <c r="L7260">
        <v>0</v>
      </c>
      <c r="M7260">
        <v>0</v>
      </c>
      <c r="N7260">
        <v>0</v>
      </c>
    </row>
    <row r="7261" spans="1:15">
      <c r="A7261" t="s">
        <v>30973</v>
      </c>
      <c r="B7261" t="s">
        <v>6742</v>
      </c>
      <c r="C7261" t="s">
        <v>30974</v>
      </c>
      <c r="D7261" t="s">
        <v>30975</v>
      </c>
      <c r="E7261" t="b">
        <v>0</v>
      </c>
      <c r="F7261" t="s">
        <v>11610</v>
      </c>
      <c r="L7261">
        <v>0</v>
      </c>
      <c r="M7261">
        <v>0</v>
      </c>
      <c r="N7261">
        <v>0</v>
      </c>
    </row>
    <row r="7262" spans="1:15">
      <c r="A7262" t="s">
        <v>30976</v>
      </c>
      <c r="B7262" t="s">
        <v>11637</v>
      </c>
      <c r="C7262" t="s">
        <v>27971</v>
      </c>
      <c r="D7262" t="s">
        <v>30977</v>
      </c>
      <c r="E7262" t="b">
        <v>0</v>
      </c>
      <c r="F7262" t="s">
        <v>11610</v>
      </c>
      <c r="L7262">
        <v>0</v>
      </c>
      <c r="M7262">
        <v>0</v>
      </c>
      <c r="N7262">
        <v>0</v>
      </c>
    </row>
    <row r="7263" spans="1:15">
      <c r="A7263" t="s">
        <v>28154</v>
      </c>
      <c r="B7263" t="s">
        <v>367</v>
      </c>
      <c r="C7263" t="s">
        <v>30978</v>
      </c>
      <c r="D7263" t="s">
        <v>30979</v>
      </c>
      <c r="E7263" t="b">
        <v>0</v>
      </c>
      <c r="F7263" t="s">
        <v>11624</v>
      </c>
      <c r="G7263">
        <v>-10.264699999999999</v>
      </c>
      <c r="H7263">
        <v>123.377</v>
      </c>
      <c r="I7263" t="s">
        <v>30980</v>
      </c>
      <c r="L7263">
        <v>0</v>
      </c>
      <c r="M7263">
        <v>0</v>
      </c>
      <c r="N7263">
        <v>3</v>
      </c>
      <c r="O7263" t="s">
        <v>11768</v>
      </c>
    </row>
    <row r="7264" spans="1:15">
      <c r="A7264" t="s">
        <v>30981</v>
      </c>
      <c r="B7264" t="s">
        <v>367</v>
      </c>
      <c r="C7264" t="s">
        <v>28154</v>
      </c>
      <c r="D7264" t="s">
        <v>30982</v>
      </c>
      <c r="E7264" t="b">
        <v>0</v>
      </c>
      <c r="F7264" t="s">
        <v>11610</v>
      </c>
      <c r="L7264">
        <v>0</v>
      </c>
      <c r="M7264">
        <v>0</v>
      </c>
      <c r="N7264">
        <v>0</v>
      </c>
    </row>
    <row r="7265" spans="1:15">
      <c r="A7265" t="s">
        <v>30983</v>
      </c>
      <c r="B7265" t="s">
        <v>367</v>
      </c>
      <c r="C7265" t="s">
        <v>28154</v>
      </c>
      <c r="D7265" t="s">
        <v>30984</v>
      </c>
      <c r="E7265" t="b">
        <v>0</v>
      </c>
      <c r="F7265" t="s">
        <v>11610</v>
      </c>
      <c r="L7265">
        <v>0</v>
      </c>
      <c r="M7265">
        <v>0</v>
      </c>
      <c r="N7265">
        <v>0</v>
      </c>
    </row>
    <row r="7266" spans="1:15">
      <c r="A7266" t="s">
        <v>806</v>
      </c>
      <c r="B7266" t="s">
        <v>6742</v>
      </c>
      <c r="C7266" t="s">
        <v>30985</v>
      </c>
      <c r="D7266" t="s">
        <v>30986</v>
      </c>
      <c r="E7266" t="b">
        <v>0</v>
      </c>
      <c r="F7266" t="s">
        <v>11624</v>
      </c>
      <c r="G7266">
        <v>1.0495300000000001</v>
      </c>
      <c r="H7266">
        <v>30.087199999999999</v>
      </c>
      <c r="I7266" t="s">
        <v>1772</v>
      </c>
      <c r="L7266">
        <v>0</v>
      </c>
      <c r="M7266">
        <v>0</v>
      </c>
      <c r="N7266">
        <v>0</v>
      </c>
      <c r="O7266" t="s">
        <v>13208</v>
      </c>
    </row>
    <row r="7267" spans="1:15">
      <c r="A7267" t="s">
        <v>30987</v>
      </c>
      <c r="B7267" t="s">
        <v>6742</v>
      </c>
      <c r="C7267" t="s">
        <v>16642</v>
      </c>
      <c r="D7267" t="s">
        <v>30988</v>
      </c>
      <c r="E7267" t="b">
        <v>0</v>
      </c>
      <c r="F7267" t="s">
        <v>11624</v>
      </c>
      <c r="G7267">
        <v>-7.7745899999999999</v>
      </c>
      <c r="H7267">
        <v>27.5913</v>
      </c>
      <c r="I7267" t="s">
        <v>30989</v>
      </c>
      <c r="L7267">
        <v>0</v>
      </c>
      <c r="M7267">
        <v>0</v>
      </c>
      <c r="N7267">
        <v>0</v>
      </c>
      <c r="O7267" t="s">
        <v>14825</v>
      </c>
    </row>
    <row r="7268" spans="1:15">
      <c r="A7268" t="s">
        <v>30990</v>
      </c>
      <c r="B7268" t="s">
        <v>13276</v>
      </c>
      <c r="C7268" t="s">
        <v>16569</v>
      </c>
      <c r="D7268" t="s">
        <v>30991</v>
      </c>
      <c r="E7268" t="b">
        <v>0</v>
      </c>
      <c r="F7268" t="s">
        <v>11610</v>
      </c>
      <c r="L7268">
        <v>0</v>
      </c>
      <c r="M7268">
        <v>0</v>
      </c>
      <c r="N7268">
        <v>0</v>
      </c>
    </row>
    <row r="7269" spans="1:15">
      <c r="A7269" t="s">
        <v>30992</v>
      </c>
      <c r="B7269" t="s">
        <v>11637</v>
      </c>
      <c r="C7269" t="s">
        <v>30993</v>
      </c>
      <c r="D7269" t="s">
        <v>30994</v>
      </c>
      <c r="E7269" t="b">
        <v>0</v>
      </c>
      <c r="F7269" t="s">
        <v>11610</v>
      </c>
      <c r="I7269" t="s">
        <v>30995</v>
      </c>
      <c r="L7269">
        <v>0</v>
      </c>
      <c r="M7269">
        <v>0</v>
      </c>
      <c r="N7269">
        <v>0</v>
      </c>
    </row>
    <row r="7270" spans="1:15">
      <c r="A7270" t="s">
        <v>30996</v>
      </c>
      <c r="B7270" t="s">
        <v>11644</v>
      </c>
      <c r="C7270" t="s">
        <v>30997</v>
      </c>
      <c r="D7270" t="s">
        <v>30998</v>
      </c>
      <c r="E7270" t="b">
        <v>0</v>
      </c>
      <c r="F7270" t="s">
        <v>11610</v>
      </c>
      <c r="L7270">
        <v>0</v>
      </c>
      <c r="M7270">
        <v>0</v>
      </c>
      <c r="N7270">
        <v>0</v>
      </c>
    </row>
    <row r="7271" spans="1:15">
      <c r="A7271" t="s">
        <v>30999</v>
      </c>
      <c r="B7271" t="s">
        <v>11644</v>
      </c>
      <c r="C7271" t="s">
        <v>22268</v>
      </c>
      <c r="D7271" t="s">
        <v>31000</v>
      </c>
      <c r="E7271" t="b">
        <v>0</v>
      </c>
      <c r="F7271" t="s">
        <v>11610</v>
      </c>
      <c r="L7271">
        <v>0</v>
      </c>
      <c r="M7271">
        <v>0</v>
      </c>
      <c r="N7271">
        <v>0</v>
      </c>
    </row>
    <row r="7272" spans="1:15">
      <c r="A7272" t="s">
        <v>31001</v>
      </c>
      <c r="B7272" t="s">
        <v>11644</v>
      </c>
      <c r="C7272" t="s">
        <v>31002</v>
      </c>
      <c r="D7272" t="s">
        <v>31003</v>
      </c>
      <c r="E7272" t="b">
        <v>0</v>
      </c>
      <c r="F7272" t="s">
        <v>11610</v>
      </c>
      <c r="L7272">
        <v>0</v>
      </c>
      <c r="M7272">
        <v>0</v>
      </c>
      <c r="N7272">
        <v>0</v>
      </c>
    </row>
    <row r="7273" spans="1:15">
      <c r="A7273" t="s">
        <v>31004</v>
      </c>
      <c r="B7273" t="s">
        <v>11637</v>
      </c>
      <c r="C7273" t="s">
        <v>31005</v>
      </c>
      <c r="D7273" t="s">
        <v>31006</v>
      </c>
      <c r="E7273" t="b">
        <v>0</v>
      </c>
      <c r="F7273" t="s">
        <v>11610</v>
      </c>
      <c r="L7273">
        <v>0</v>
      </c>
      <c r="M7273">
        <v>0</v>
      </c>
      <c r="N7273">
        <v>0</v>
      </c>
    </row>
    <row r="7274" spans="1:15">
      <c r="A7274" t="s">
        <v>31007</v>
      </c>
      <c r="B7274" t="s">
        <v>11644</v>
      </c>
      <c r="C7274" t="s">
        <v>21421</v>
      </c>
      <c r="D7274" t="s">
        <v>31008</v>
      </c>
      <c r="E7274" t="b">
        <v>0</v>
      </c>
      <c r="F7274" t="s">
        <v>11610</v>
      </c>
      <c r="G7274">
        <v>26.553620800000001</v>
      </c>
      <c r="H7274">
        <v>100.1396921</v>
      </c>
      <c r="L7274">
        <v>0</v>
      </c>
      <c r="M7274">
        <v>0</v>
      </c>
      <c r="N7274">
        <v>0</v>
      </c>
    </row>
    <row r="7275" spans="1:15">
      <c r="A7275" t="s">
        <v>31009</v>
      </c>
      <c r="B7275" t="s">
        <v>11607</v>
      </c>
      <c r="C7275" t="s">
        <v>31010</v>
      </c>
      <c r="D7275" t="s">
        <v>31011</v>
      </c>
      <c r="E7275" t="b">
        <v>0</v>
      </c>
      <c r="F7275" t="s">
        <v>11624</v>
      </c>
      <c r="G7275">
        <v>9.1434300000000004</v>
      </c>
      <c r="H7275">
        <v>14.9267</v>
      </c>
      <c r="I7275" t="s">
        <v>31012</v>
      </c>
      <c r="L7275">
        <v>0</v>
      </c>
      <c r="M7275">
        <v>0</v>
      </c>
      <c r="N7275">
        <v>0</v>
      </c>
      <c r="O7275" t="s">
        <v>29226</v>
      </c>
    </row>
    <row r="7276" spans="1:15">
      <c r="A7276" t="s">
        <v>26924</v>
      </c>
      <c r="B7276" t="s">
        <v>6742</v>
      </c>
      <c r="C7276" t="s">
        <v>31013</v>
      </c>
      <c r="D7276" t="s">
        <v>31014</v>
      </c>
      <c r="E7276" t="b">
        <v>0</v>
      </c>
      <c r="F7276" t="s">
        <v>11622</v>
      </c>
      <c r="L7276">
        <v>0</v>
      </c>
      <c r="M7276">
        <v>2</v>
      </c>
      <c r="N7276">
        <v>0</v>
      </c>
    </row>
    <row r="7277" spans="1:15">
      <c r="A7277" t="s">
        <v>31015</v>
      </c>
      <c r="B7277" t="s">
        <v>6742</v>
      </c>
      <c r="C7277" t="s">
        <v>19032</v>
      </c>
      <c r="D7277" t="s">
        <v>31016</v>
      </c>
      <c r="E7277" t="b">
        <v>0</v>
      </c>
      <c r="F7277" t="s">
        <v>11610</v>
      </c>
      <c r="L7277">
        <v>0</v>
      </c>
      <c r="M7277">
        <v>0</v>
      </c>
      <c r="N7277">
        <v>0</v>
      </c>
    </row>
    <row r="7278" spans="1:15">
      <c r="A7278" t="s">
        <v>31017</v>
      </c>
      <c r="B7278" t="s">
        <v>6742</v>
      </c>
      <c r="C7278" t="s">
        <v>23041</v>
      </c>
      <c r="D7278" t="s">
        <v>31018</v>
      </c>
      <c r="E7278" t="b">
        <v>0</v>
      </c>
      <c r="F7278" t="s">
        <v>11622</v>
      </c>
      <c r="L7278">
        <v>0</v>
      </c>
      <c r="M7278">
        <v>2</v>
      </c>
      <c r="N7278">
        <v>1</v>
      </c>
    </row>
    <row r="7279" spans="1:15">
      <c r="A7279" t="s">
        <v>4216</v>
      </c>
      <c r="B7279" t="s">
        <v>6742</v>
      </c>
      <c r="C7279" t="s">
        <v>31017</v>
      </c>
      <c r="D7279" t="s">
        <v>4215</v>
      </c>
      <c r="E7279" t="b">
        <v>0</v>
      </c>
      <c r="F7279" t="s">
        <v>11624</v>
      </c>
      <c r="G7279">
        <v>-21.023099999999999</v>
      </c>
      <c r="H7279">
        <v>20.5655</v>
      </c>
      <c r="I7279" t="s">
        <v>4217</v>
      </c>
      <c r="L7279">
        <v>0</v>
      </c>
      <c r="M7279">
        <v>0</v>
      </c>
      <c r="N7279">
        <v>1</v>
      </c>
      <c r="O7279" t="s">
        <v>31019</v>
      </c>
    </row>
    <row r="7280" spans="1:15">
      <c r="A7280" t="s">
        <v>31020</v>
      </c>
      <c r="B7280" t="s">
        <v>13264</v>
      </c>
      <c r="C7280" t="s">
        <v>7959</v>
      </c>
      <c r="D7280" t="s">
        <v>31021</v>
      </c>
      <c r="E7280" t="b">
        <v>0</v>
      </c>
      <c r="F7280" t="s">
        <v>11610</v>
      </c>
      <c r="L7280">
        <v>0</v>
      </c>
      <c r="M7280">
        <v>0</v>
      </c>
      <c r="N7280">
        <v>0</v>
      </c>
    </row>
    <row r="7281" spans="1:15">
      <c r="A7281" t="s">
        <v>31022</v>
      </c>
      <c r="B7281" t="s">
        <v>367</v>
      </c>
      <c r="C7281" t="s">
        <v>18745</v>
      </c>
      <c r="D7281" t="s">
        <v>31023</v>
      </c>
      <c r="E7281" t="b">
        <v>0</v>
      </c>
      <c r="F7281" t="s">
        <v>11624</v>
      </c>
      <c r="G7281">
        <v>-1.52891</v>
      </c>
      <c r="H7281">
        <v>145.07499999999999</v>
      </c>
      <c r="I7281" t="s">
        <v>31024</v>
      </c>
      <c r="L7281">
        <v>0</v>
      </c>
      <c r="M7281">
        <v>0</v>
      </c>
      <c r="N7281">
        <v>0</v>
      </c>
      <c r="O7281" t="s">
        <v>11660</v>
      </c>
    </row>
    <row r="7282" spans="1:15">
      <c r="A7282" t="s">
        <v>31025</v>
      </c>
      <c r="B7282" t="s">
        <v>11607</v>
      </c>
      <c r="C7282" t="s">
        <v>19133</v>
      </c>
      <c r="D7282" t="s">
        <v>31026</v>
      </c>
      <c r="E7282" t="b">
        <v>0</v>
      </c>
      <c r="F7282" t="s">
        <v>11624</v>
      </c>
      <c r="G7282">
        <v>37.372999999999998</v>
      </c>
      <c r="H7282">
        <v>42.519199999999998</v>
      </c>
      <c r="I7282" t="s">
        <v>31027</v>
      </c>
      <c r="L7282">
        <v>0</v>
      </c>
      <c r="M7282">
        <v>0</v>
      </c>
      <c r="N7282">
        <v>3</v>
      </c>
      <c r="O7282" t="s">
        <v>16254</v>
      </c>
    </row>
    <row r="7283" spans="1:15">
      <c r="A7283" t="s">
        <v>31028</v>
      </c>
      <c r="B7283" t="s">
        <v>11607</v>
      </c>
      <c r="C7283" t="s">
        <v>31025</v>
      </c>
      <c r="D7283" t="s">
        <v>31029</v>
      </c>
      <c r="E7283" t="b">
        <v>0</v>
      </c>
      <c r="F7283" t="s">
        <v>11610</v>
      </c>
      <c r="L7283">
        <v>0</v>
      </c>
      <c r="M7283">
        <v>0</v>
      </c>
      <c r="N7283">
        <v>0</v>
      </c>
    </row>
    <row r="7284" spans="1:15">
      <c r="A7284" t="s">
        <v>31030</v>
      </c>
      <c r="B7284" t="s">
        <v>11637</v>
      </c>
      <c r="C7284" t="s">
        <v>26683</v>
      </c>
      <c r="D7284" t="s">
        <v>31031</v>
      </c>
      <c r="E7284" t="b">
        <v>0</v>
      </c>
      <c r="F7284" t="s">
        <v>11610</v>
      </c>
      <c r="L7284">
        <v>0</v>
      </c>
      <c r="M7284">
        <v>0</v>
      </c>
      <c r="N7284">
        <v>3</v>
      </c>
    </row>
    <row r="7285" spans="1:15">
      <c r="A7285" t="s">
        <v>31032</v>
      </c>
      <c r="B7285" t="s">
        <v>11705</v>
      </c>
      <c r="C7285" t="s">
        <v>31033</v>
      </c>
      <c r="D7285" t="s">
        <v>31034</v>
      </c>
      <c r="E7285" t="b">
        <v>0</v>
      </c>
      <c r="F7285" t="s">
        <v>11622</v>
      </c>
      <c r="L7285">
        <v>0</v>
      </c>
      <c r="M7285">
        <v>3</v>
      </c>
      <c r="N7285">
        <v>7</v>
      </c>
    </row>
    <row r="7286" spans="1:15">
      <c r="A7286" t="s">
        <v>21635</v>
      </c>
      <c r="B7286" t="s">
        <v>11705</v>
      </c>
      <c r="C7286" t="s">
        <v>31032</v>
      </c>
      <c r="D7286" t="s">
        <v>31035</v>
      </c>
      <c r="E7286" t="b">
        <v>0</v>
      </c>
      <c r="F7286" t="s">
        <v>11624</v>
      </c>
      <c r="G7286">
        <v>-5.0363499999999997</v>
      </c>
      <c r="H7286">
        <v>142.55099999999999</v>
      </c>
      <c r="I7286" t="s">
        <v>31036</v>
      </c>
      <c r="L7286">
        <v>0</v>
      </c>
      <c r="M7286">
        <v>0</v>
      </c>
      <c r="N7286">
        <v>4</v>
      </c>
      <c r="O7286" t="s">
        <v>11660</v>
      </c>
    </row>
    <row r="7287" spans="1:15">
      <c r="A7287" t="s">
        <v>31037</v>
      </c>
      <c r="B7287" t="s">
        <v>6742</v>
      </c>
      <c r="C7287" t="s">
        <v>4025</v>
      </c>
      <c r="D7287" t="s">
        <v>31038</v>
      </c>
      <c r="E7287" t="b">
        <v>0</v>
      </c>
      <c r="F7287" t="s">
        <v>11610</v>
      </c>
      <c r="L7287">
        <v>0</v>
      </c>
      <c r="M7287">
        <v>0</v>
      </c>
      <c r="N7287">
        <v>0</v>
      </c>
    </row>
    <row r="7288" spans="1:15">
      <c r="A7288" t="s">
        <v>31039</v>
      </c>
      <c r="B7288" t="s">
        <v>11637</v>
      </c>
      <c r="C7288" t="s">
        <v>4401</v>
      </c>
      <c r="D7288" t="s">
        <v>31040</v>
      </c>
      <c r="E7288" t="b">
        <v>0</v>
      </c>
      <c r="F7288" t="s">
        <v>11610</v>
      </c>
      <c r="L7288">
        <v>0</v>
      </c>
      <c r="M7288">
        <v>0</v>
      </c>
      <c r="N7288">
        <v>0</v>
      </c>
    </row>
    <row r="7289" spans="1:15">
      <c r="A7289" t="s">
        <v>31041</v>
      </c>
      <c r="B7289" t="s">
        <v>5126</v>
      </c>
      <c r="C7289" t="s">
        <v>30949</v>
      </c>
      <c r="D7289" t="s">
        <v>31042</v>
      </c>
      <c r="E7289" t="b">
        <v>0</v>
      </c>
      <c r="F7289" t="s">
        <v>11610</v>
      </c>
      <c r="L7289">
        <v>0</v>
      </c>
      <c r="M7289">
        <v>0</v>
      </c>
      <c r="N7289">
        <v>0</v>
      </c>
    </row>
    <row r="7290" spans="1:15">
      <c r="A7290" t="s">
        <v>31043</v>
      </c>
      <c r="B7290" t="s">
        <v>11834</v>
      </c>
      <c r="C7290" t="s">
        <v>31044</v>
      </c>
      <c r="D7290" t="s">
        <v>31045</v>
      </c>
      <c r="E7290" t="b">
        <v>0</v>
      </c>
      <c r="F7290" t="s">
        <v>11624</v>
      </c>
      <c r="G7290">
        <v>-3.8300299999999998</v>
      </c>
      <c r="H7290">
        <v>142.471</v>
      </c>
      <c r="I7290" t="s">
        <v>31046</v>
      </c>
      <c r="L7290">
        <v>0</v>
      </c>
      <c r="M7290">
        <v>0</v>
      </c>
      <c r="N7290">
        <v>0</v>
      </c>
      <c r="O7290" t="s">
        <v>11660</v>
      </c>
    </row>
    <row r="7291" spans="1:15">
      <c r="A7291" t="s">
        <v>31044</v>
      </c>
      <c r="B7291" t="s">
        <v>11834</v>
      </c>
      <c r="C7291" t="s">
        <v>31047</v>
      </c>
      <c r="D7291" t="s">
        <v>31048</v>
      </c>
      <c r="E7291" t="b">
        <v>0</v>
      </c>
      <c r="F7291" t="s">
        <v>11622</v>
      </c>
      <c r="L7291">
        <v>0</v>
      </c>
      <c r="M7291">
        <v>2</v>
      </c>
      <c r="N7291">
        <v>0</v>
      </c>
    </row>
    <row r="7292" spans="1:15">
      <c r="A7292" t="s">
        <v>31049</v>
      </c>
      <c r="B7292" t="s">
        <v>11644</v>
      </c>
      <c r="C7292" t="s">
        <v>31002</v>
      </c>
      <c r="D7292" t="s">
        <v>31050</v>
      </c>
      <c r="E7292" t="b">
        <v>0</v>
      </c>
      <c r="F7292" t="s">
        <v>11610</v>
      </c>
      <c r="L7292">
        <v>0</v>
      </c>
      <c r="M7292">
        <v>0</v>
      </c>
      <c r="N7292">
        <v>0</v>
      </c>
    </row>
    <row r="7293" spans="1:15">
      <c r="A7293" t="s">
        <v>31051</v>
      </c>
      <c r="B7293" t="s">
        <v>11644</v>
      </c>
      <c r="C7293" t="s">
        <v>24102</v>
      </c>
      <c r="D7293" t="s">
        <v>31052</v>
      </c>
      <c r="E7293" t="b">
        <v>0</v>
      </c>
      <c r="F7293" t="s">
        <v>11624</v>
      </c>
      <c r="L7293">
        <v>0</v>
      </c>
      <c r="M7293">
        <v>0</v>
      </c>
      <c r="N7293">
        <v>0</v>
      </c>
      <c r="O7293" t="s">
        <v>11905</v>
      </c>
    </row>
    <row r="7294" spans="1:15">
      <c r="A7294" t="s">
        <v>31053</v>
      </c>
      <c r="B7294" t="s">
        <v>367</v>
      </c>
      <c r="C7294" t="s">
        <v>31054</v>
      </c>
      <c r="D7294" t="s">
        <v>31055</v>
      </c>
      <c r="E7294" t="b">
        <v>0</v>
      </c>
      <c r="F7294" t="s">
        <v>11610</v>
      </c>
      <c r="L7294">
        <v>0</v>
      </c>
      <c r="M7294">
        <v>0</v>
      </c>
      <c r="N7294">
        <v>0</v>
      </c>
    </row>
    <row r="7295" spans="1:15">
      <c r="A7295" t="s">
        <v>31056</v>
      </c>
      <c r="B7295" t="s">
        <v>11637</v>
      </c>
      <c r="C7295" t="s">
        <v>14436</v>
      </c>
      <c r="D7295" t="s">
        <v>31057</v>
      </c>
      <c r="E7295" t="b">
        <v>0</v>
      </c>
      <c r="F7295" t="s">
        <v>11610</v>
      </c>
      <c r="G7295">
        <v>55.932000000000002</v>
      </c>
      <c r="H7295">
        <v>-5.2220000000000004</v>
      </c>
      <c r="I7295" t="s">
        <v>31058</v>
      </c>
      <c r="L7295">
        <v>0</v>
      </c>
      <c r="M7295">
        <v>0</v>
      </c>
      <c r="N7295">
        <v>0</v>
      </c>
      <c r="O7295" t="s">
        <v>19884</v>
      </c>
    </row>
    <row r="7296" spans="1:15">
      <c r="A7296" t="s">
        <v>22823</v>
      </c>
      <c r="D7296" t="s">
        <v>31059</v>
      </c>
      <c r="E7296" t="b">
        <v>0</v>
      </c>
      <c r="F7296" t="s">
        <v>11622</v>
      </c>
      <c r="L7296">
        <v>0</v>
      </c>
      <c r="M7296">
        <v>2</v>
      </c>
      <c r="N7296">
        <v>0</v>
      </c>
    </row>
    <row r="7297" spans="1:15">
      <c r="A7297" t="s">
        <v>31060</v>
      </c>
      <c r="B7297" t="s">
        <v>22823</v>
      </c>
      <c r="C7297" t="s">
        <v>22823</v>
      </c>
      <c r="D7297" t="s">
        <v>31061</v>
      </c>
      <c r="E7297" t="b">
        <v>0</v>
      </c>
      <c r="F7297" t="s">
        <v>11624</v>
      </c>
      <c r="G7297">
        <v>-6.5833300000000001</v>
      </c>
      <c r="H7297">
        <v>-77.7</v>
      </c>
      <c r="I7297" t="s">
        <v>31062</v>
      </c>
      <c r="L7297">
        <v>0</v>
      </c>
      <c r="M7297">
        <v>0</v>
      </c>
      <c r="N7297">
        <v>0</v>
      </c>
      <c r="O7297" t="s">
        <v>11778</v>
      </c>
    </row>
    <row r="7298" spans="1:15">
      <c r="A7298" t="s">
        <v>22538</v>
      </c>
      <c r="B7298" t="s">
        <v>4342</v>
      </c>
      <c r="C7298" t="s">
        <v>31063</v>
      </c>
      <c r="D7298" t="s">
        <v>31064</v>
      </c>
      <c r="E7298" t="b">
        <v>0</v>
      </c>
      <c r="F7298" t="s">
        <v>11610</v>
      </c>
      <c r="L7298">
        <v>0</v>
      </c>
      <c r="M7298">
        <v>0</v>
      </c>
      <c r="N7298">
        <v>12</v>
      </c>
    </row>
    <row r="7299" spans="1:15">
      <c r="A7299" t="s">
        <v>31065</v>
      </c>
      <c r="B7299" t="s">
        <v>4342</v>
      </c>
      <c r="C7299" t="s">
        <v>29231</v>
      </c>
      <c r="D7299" t="s">
        <v>31066</v>
      </c>
      <c r="E7299" t="b">
        <v>0</v>
      </c>
      <c r="F7299" t="s">
        <v>11610</v>
      </c>
      <c r="L7299">
        <v>0</v>
      </c>
      <c r="M7299">
        <v>0</v>
      </c>
      <c r="N7299">
        <v>0</v>
      </c>
    </row>
    <row r="7300" spans="1:15">
      <c r="A7300" t="s">
        <v>31067</v>
      </c>
      <c r="B7300" t="s">
        <v>8897</v>
      </c>
      <c r="C7300" t="s">
        <v>23557</v>
      </c>
      <c r="D7300" t="s">
        <v>31068</v>
      </c>
      <c r="E7300" t="b">
        <v>0</v>
      </c>
      <c r="F7300" t="s">
        <v>11624</v>
      </c>
      <c r="G7300">
        <v>47.753399999999999</v>
      </c>
      <c r="H7300">
        <v>-102.52800000000001</v>
      </c>
      <c r="I7300" t="s">
        <v>31069</v>
      </c>
      <c r="L7300">
        <v>0</v>
      </c>
      <c r="M7300">
        <v>0</v>
      </c>
      <c r="N7300">
        <v>0</v>
      </c>
      <c r="O7300" t="s">
        <v>11944</v>
      </c>
    </row>
    <row r="7301" spans="1:15">
      <c r="A7301" t="s">
        <v>31070</v>
      </c>
      <c r="B7301" t="s">
        <v>12311</v>
      </c>
      <c r="C7301" t="s">
        <v>13678</v>
      </c>
      <c r="D7301" t="s">
        <v>31071</v>
      </c>
      <c r="E7301" t="b">
        <v>0</v>
      </c>
      <c r="F7301" t="s">
        <v>11610</v>
      </c>
      <c r="L7301">
        <v>0</v>
      </c>
      <c r="M7301">
        <v>0</v>
      </c>
      <c r="N7301">
        <v>0</v>
      </c>
    </row>
    <row r="7302" spans="1:15">
      <c r="A7302" t="s">
        <v>31072</v>
      </c>
      <c r="B7302" t="s">
        <v>11637</v>
      </c>
      <c r="C7302" t="s">
        <v>23617</v>
      </c>
      <c r="D7302" t="s">
        <v>31073</v>
      </c>
      <c r="E7302" t="b">
        <v>0</v>
      </c>
      <c r="F7302" t="s">
        <v>11624</v>
      </c>
      <c r="I7302" t="s">
        <v>31074</v>
      </c>
      <c r="L7302">
        <v>0</v>
      </c>
      <c r="M7302">
        <v>0</v>
      </c>
      <c r="N7302">
        <v>0</v>
      </c>
      <c r="O7302" t="s">
        <v>16254</v>
      </c>
    </row>
    <row r="7303" spans="1:15">
      <c r="A7303" t="s">
        <v>31075</v>
      </c>
      <c r="B7303" t="s">
        <v>367</v>
      </c>
      <c r="C7303" t="s">
        <v>18737</v>
      </c>
      <c r="D7303" t="s">
        <v>31076</v>
      </c>
      <c r="E7303" t="b">
        <v>0</v>
      </c>
      <c r="F7303" t="s">
        <v>11624</v>
      </c>
      <c r="G7303">
        <v>8.6120199999999993</v>
      </c>
      <c r="H7303">
        <v>125.071</v>
      </c>
      <c r="I7303" t="s">
        <v>31077</v>
      </c>
      <c r="L7303">
        <v>0</v>
      </c>
      <c r="M7303">
        <v>0</v>
      </c>
      <c r="N7303">
        <v>0</v>
      </c>
      <c r="O7303" t="s">
        <v>11749</v>
      </c>
    </row>
    <row r="7304" spans="1:15">
      <c r="A7304" t="s">
        <v>31078</v>
      </c>
      <c r="B7304" t="s">
        <v>31079</v>
      </c>
      <c r="C7304" t="s">
        <v>31079</v>
      </c>
      <c r="D7304" t="s">
        <v>31080</v>
      </c>
      <c r="E7304" t="b">
        <v>0</v>
      </c>
      <c r="F7304" t="s">
        <v>11624</v>
      </c>
      <c r="G7304">
        <v>16.184899999999999</v>
      </c>
      <c r="H7304">
        <v>-95.730099999999993</v>
      </c>
      <c r="I7304" t="s">
        <v>31081</v>
      </c>
      <c r="L7304">
        <v>0</v>
      </c>
      <c r="M7304">
        <v>0</v>
      </c>
      <c r="N7304">
        <v>0</v>
      </c>
      <c r="O7304" t="s">
        <v>11883</v>
      </c>
    </row>
    <row r="7305" spans="1:15">
      <c r="A7305" t="s">
        <v>31082</v>
      </c>
      <c r="B7305" t="s">
        <v>21317</v>
      </c>
      <c r="C7305" t="s">
        <v>23508</v>
      </c>
      <c r="D7305" t="s">
        <v>31083</v>
      </c>
      <c r="E7305" t="b">
        <v>0</v>
      </c>
      <c r="F7305" t="s">
        <v>11624</v>
      </c>
      <c r="G7305">
        <v>20.379799999999999</v>
      </c>
      <c r="H7305">
        <v>-97.615899999999996</v>
      </c>
      <c r="I7305" t="s">
        <v>31084</v>
      </c>
      <c r="L7305">
        <v>0</v>
      </c>
      <c r="M7305">
        <v>0</v>
      </c>
      <c r="N7305">
        <v>0</v>
      </c>
      <c r="O7305" t="s">
        <v>11883</v>
      </c>
    </row>
    <row r="7306" spans="1:15">
      <c r="A7306" t="s">
        <v>31085</v>
      </c>
      <c r="B7306" t="s">
        <v>11637</v>
      </c>
      <c r="C7306" t="s">
        <v>4379</v>
      </c>
      <c r="D7306" t="s">
        <v>31086</v>
      </c>
      <c r="E7306" t="b">
        <v>0</v>
      </c>
      <c r="F7306" t="s">
        <v>11610</v>
      </c>
      <c r="L7306">
        <v>0</v>
      </c>
      <c r="M7306">
        <v>0</v>
      </c>
      <c r="N7306">
        <v>0</v>
      </c>
    </row>
    <row r="7307" spans="1:15">
      <c r="A7307" t="s">
        <v>19864</v>
      </c>
      <c r="B7307" t="s">
        <v>11637</v>
      </c>
      <c r="C7307" t="s">
        <v>31087</v>
      </c>
      <c r="D7307" t="s">
        <v>31088</v>
      </c>
      <c r="E7307" t="b">
        <v>0</v>
      </c>
      <c r="F7307" t="s">
        <v>11610</v>
      </c>
      <c r="L7307">
        <v>0</v>
      </c>
      <c r="M7307">
        <v>0</v>
      </c>
      <c r="N7307">
        <v>2</v>
      </c>
    </row>
    <row r="7308" spans="1:15">
      <c r="A7308" t="s">
        <v>31089</v>
      </c>
      <c r="B7308" t="s">
        <v>11644</v>
      </c>
      <c r="C7308" t="s">
        <v>31090</v>
      </c>
      <c r="D7308" t="s">
        <v>31091</v>
      </c>
      <c r="E7308" t="b">
        <v>0</v>
      </c>
      <c r="F7308" t="s">
        <v>11622</v>
      </c>
      <c r="L7308">
        <v>11</v>
      </c>
      <c r="M7308">
        <v>15</v>
      </c>
      <c r="N7308">
        <v>0</v>
      </c>
    </row>
    <row r="7309" spans="1:15">
      <c r="A7309" t="s">
        <v>11899</v>
      </c>
      <c r="B7309" t="s">
        <v>11644</v>
      </c>
      <c r="C7309" t="s">
        <v>31092</v>
      </c>
      <c r="D7309" t="s">
        <v>31093</v>
      </c>
      <c r="E7309" t="b">
        <v>0</v>
      </c>
      <c r="F7309" t="s">
        <v>11622</v>
      </c>
      <c r="L7309">
        <v>2</v>
      </c>
      <c r="M7309">
        <v>7</v>
      </c>
      <c r="N7309">
        <v>6</v>
      </c>
    </row>
    <row r="7310" spans="1:15">
      <c r="A7310" t="s">
        <v>31094</v>
      </c>
      <c r="B7310" t="s">
        <v>367</v>
      </c>
      <c r="C7310" t="s">
        <v>4780</v>
      </c>
      <c r="D7310" t="s">
        <v>31095</v>
      </c>
      <c r="E7310" t="b">
        <v>0</v>
      </c>
      <c r="F7310" t="s">
        <v>11610</v>
      </c>
      <c r="L7310">
        <v>0</v>
      </c>
      <c r="M7310">
        <v>0</v>
      </c>
      <c r="N7310">
        <v>0</v>
      </c>
    </row>
    <row r="7311" spans="1:15">
      <c r="A7311" t="s">
        <v>31096</v>
      </c>
      <c r="B7311" t="s">
        <v>367</v>
      </c>
      <c r="C7311" t="s">
        <v>23141</v>
      </c>
      <c r="D7311" t="s">
        <v>31097</v>
      </c>
      <c r="E7311" t="b">
        <v>0</v>
      </c>
      <c r="F7311" t="s">
        <v>11624</v>
      </c>
      <c r="G7311">
        <v>-5.2655900000000004</v>
      </c>
      <c r="H7311">
        <v>119.928</v>
      </c>
      <c r="I7311" t="s">
        <v>31098</v>
      </c>
      <c r="L7311">
        <v>0</v>
      </c>
      <c r="M7311">
        <v>0</v>
      </c>
      <c r="N7311">
        <v>0</v>
      </c>
      <c r="O7311" t="s">
        <v>11768</v>
      </c>
    </row>
    <row r="7312" spans="1:15">
      <c r="A7312" t="s">
        <v>31099</v>
      </c>
      <c r="B7312" t="s">
        <v>15027</v>
      </c>
      <c r="C7312" t="s">
        <v>30079</v>
      </c>
      <c r="D7312" t="s">
        <v>31100</v>
      </c>
      <c r="E7312" t="b">
        <v>0</v>
      </c>
      <c r="F7312" t="s">
        <v>11624</v>
      </c>
      <c r="G7312">
        <v>18.198</v>
      </c>
      <c r="H7312">
        <v>-94.910899999999998</v>
      </c>
      <c r="I7312" t="s">
        <v>31101</v>
      </c>
      <c r="L7312">
        <v>0</v>
      </c>
      <c r="M7312">
        <v>0</v>
      </c>
      <c r="N7312">
        <v>0</v>
      </c>
      <c r="O7312" t="s">
        <v>11883</v>
      </c>
    </row>
    <row r="7313" spans="1:15">
      <c r="A7313" t="s">
        <v>31102</v>
      </c>
      <c r="B7313" t="s">
        <v>12751</v>
      </c>
      <c r="C7313" t="s">
        <v>31103</v>
      </c>
      <c r="D7313" t="s">
        <v>31104</v>
      </c>
      <c r="E7313" t="b">
        <v>0</v>
      </c>
      <c r="F7313" t="s">
        <v>11610</v>
      </c>
      <c r="L7313">
        <v>0</v>
      </c>
      <c r="M7313">
        <v>0</v>
      </c>
      <c r="N7313">
        <v>0</v>
      </c>
    </row>
    <row r="7314" spans="1:15">
      <c r="A7314" t="s">
        <v>31105</v>
      </c>
      <c r="B7314" t="s">
        <v>12751</v>
      </c>
      <c r="C7314" t="s">
        <v>26503</v>
      </c>
      <c r="D7314" t="s">
        <v>31106</v>
      </c>
      <c r="E7314" t="b">
        <v>0</v>
      </c>
      <c r="F7314" t="s">
        <v>11624</v>
      </c>
      <c r="G7314">
        <v>20.1554</v>
      </c>
      <c r="H7314">
        <v>-97.555599999999998</v>
      </c>
      <c r="I7314" t="s">
        <v>31107</v>
      </c>
      <c r="L7314">
        <v>0</v>
      </c>
      <c r="M7314">
        <v>0</v>
      </c>
      <c r="N7314">
        <v>0</v>
      </c>
      <c r="O7314" t="s">
        <v>11883</v>
      </c>
    </row>
    <row r="7315" spans="1:15">
      <c r="A7315" t="s">
        <v>31108</v>
      </c>
      <c r="B7315" t="s">
        <v>141</v>
      </c>
      <c r="C7315" t="s">
        <v>14016</v>
      </c>
      <c r="D7315" t="s">
        <v>31109</v>
      </c>
      <c r="E7315" t="b">
        <v>0</v>
      </c>
      <c r="F7315" t="s">
        <v>11610</v>
      </c>
      <c r="L7315">
        <v>0</v>
      </c>
      <c r="M7315">
        <v>0</v>
      </c>
      <c r="N7315">
        <v>0</v>
      </c>
    </row>
    <row r="7316" spans="1:15">
      <c r="A7316" t="s">
        <v>22885</v>
      </c>
      <c r="B7316" t="s">
        <v>367</v>
      </c>
      <c r="C7316" t="s">
        <v>22226</v>
      </c>
      <c r="D7316" t="s">
        <v>31110</v>
      </c>
      <c r="E7316" t="b">
        <v>0</v>
      </c>
      <c r="F7316" t="s">
        <v>11622</v>
      </c>
      <c r="L7316">
        <v>4</v>
      </c>
      <c r="M7316">
        <v>8</v>
      </c>
      <c r="N7316">
        <v>19</v>
      </c>
    </row>
    <row r="7317" spans="1:15">
      <c r="A7317" t="s">
        <v>20494</v>
      </c>
      <c r="B7317" t="s">
        <v>11607</v>
      </c>
      <c r="C7317" t="s">
        <v>23844</v>
      </c>
      <c r="D7317" t="s">
        <v>31111</v>
      </c>
      <c r="E7317" t="b">
        <v>0</v>
      </c>
      <c r="F7317" t="s">
        <v>11622</v>
      </c>
      <c r="L7317">
        <v>5</v>
      </c>
      <c r="M7317">
        <v>7</v>
      </c>
      <c r="N7317">
        <v>5</v>
      </c>
    </row>
    <row r="7318" spans="1:15">
      <c r="A7318" t="s">
        <v>31112</v>
      </c>
      <c r="B7318" t="s">
        <v>11637</v>
      </c>
      <c r="C7318" t="s">
        <v>28079</v>
      </c>
      <c r="D7318" t="s">
        <v>31113</v>
      </c>
      <c r="E7318" t="b">
        <v>0</v>
      </c>
      <c r="F7318" t="s">
        <v>11622</v>
      </c>
      <c r="L7318">
        <v>9</v>
      </c>
      <c r="M7318">
        <v>13</v>
      </c>
      <c r="N7318">
        <v>45</v>
      </c>
    </row>
    <row r="7319" spans="1:15">
      <c r="A7319" t="s">
        <v>31114</v>
      </c>
      <c r="B7319" t="s">
        <v>11637</v>
      </c>
      <c r="C7319" t="s">
        <v>26715</v>
      </c>
      <c r="D7319" t="s">
        <v>31115</v>
      </c>
      <c r="E7319" t="b">
        <v>0</v>
      </c>
      <c r="F7319" t="s">
        <v>11622</v>
      </c>
      <c r="L7319">
        <v>4</v>
      </c>
      <c r="M7319">
        <v>6</v>
      </c>
      <c r="N7319">
        <v>34</v>
      </c>
    </row>
    <row r="7320" spans="1:15">
      <c r="A7320" t="s">
        <v>31116</v>
      </c>
      <c r="B7320" t="s">
        <v>367</v>
      </c>
      <c r="C7320" t="s">
        <v>31117</v>
      </c>
      <c r="D7320" t="s">
        <v>31118</v>
      </c>
      <c r="E7320" t="b">
        <v>0</v>
      </c>
      <c r="F7320" t="s">
        <v>11622</v>
      </c>
      <c r="L7320">
        <v>1</v>
      </c>
      <c r="M7320">
        <v>3</v>
      </c>
      <c r="N7320">
        <v>9</v>
      </c>
    </row>
    <row r="7321" spans="1:15">
      <c r="A7321" t="s">
        <v>28079</v>
      </c>
      <c r="B7321" t="s">
        <v>11637</v>
      </c>
      <c r="C7321" t="s">
        <v>31119</v>
      </c>
      <c r="D7321" t="s">
        <v>31120</v>
      </c>
      <c r="E7321" t="b">
        <v>0</v>
      </c>
      <c r="F7321" t="s">
        <v>11622</v>
      </c>
      <c r="L7321">
        <v>19</v>
      </c>
      <c r="M7321">
        <v>24</v>
      </c>
      <c r="N7321">
        <v>128</v>
      </c>
    </row>
    <row r="7322" spans="1:15">
      <c r="A7322" t="s">
        <v>18116</v>
      </c>
      <c r="B7322" t="s">
        <v>11637</v>
      </c>
      <c r="C7322" t="s">
        <v>10515</v>
      </c>
      <c r="D7322" t="s">
        <v>31121</v>
      </c>
      <c r="E7322" t="b">
        <v>0</v>
      </c>
      <c r="F7322" t="s">
        <v>11610</v>
      </c>
      <c r="L7322">
        <v>0</v>
      </c>
      <c r="M7322">
        <v>0</v>
      </c>
      <c r="N7322">
        <v>10</v>
      </c>
    </row>
    <row r="7323" spans="1:15">
      <c r="A7323" t="s">
        <v>31122</v>
      </c>
      <c r="B7323" t="s">
        <v>26637</v>
      </c>
      <c r="C7323" t="s">
        <v>26636</v>
      </c>
      <c r="D7323" t="s">
        <v>31123</v>
      </c>
      <c r="E7323" t="b">
        <v>0</v>
      </c>
      <c r="F7323" t="s">
        <v>11610</v>
      </c>
      <c r="L7323">
        <v>0</v>
      </c>
      <c r="M7323">
        <v>0</v>
      </c>
      <c r="N7323">
        <v>0</v>
      </c>
    </row>
    <row r="7324" spans="1:15">
      <c r="A7324" t="s">
        <v>31124</v>
      </c>
      <c r="B7324" t="s">
        <v>11607</v>
      </c>
      <c r="C7324" t="s">
        <v>18913</v>
      </c>
      <c r="D7324" t="s">
        <v>31125</v>
      </c>
      <c r="E7324" t="b">
        <v>0</v>
      </c>
      <c r="F7324" t="s">
        <v>11622</v>
      </c>
      <c r="L7324">
        <v>2</v>
      </c>
      <c r="M7324">
        <v>5</v>
      </c>
      <c r="N7324">
        <v>5</v>
      </c>
    </row>
    <row r="7325" spans="1:15">
      <c r="A7325" t="s">
        <v>31126</v>
      </c>
      <c r="B7325" t="s">
        <v>11607</v>
      </c>
      <c r="C7325" t="s">
        <v>16502</v>
      </c>
      <c r="D7325" t="s">
        <v>31127</v>
      </c>
      <c r="E7325" t="b">
        <v>0</v>
      </c>
      <c r="F7325" t="s">
        <v>11622</v>
      </c>
      <c r="L7325">
        <v>0</v>
      </c>
      <c r="M7325">
        <v>2</v>
      </c>
      <c r="N7325">
        <v>0</v>
      </c>
    </row>
    <row r="7326" spans="1:15">
      <c r="A7326" t="s">
        <v>31128</v>
      </c>
      <c r="B7326" t="s">
        <v>11644</v>
      </c>
      <c r="C7326" t="s">
        <v>28687</v>
      </c>
      <c r="D7326" t="s">
        <v>31129</v>
      </c>
      <c r="E7326" t="b">
        <v>0</v>
      </c>
      <c r="F7326" t="s">
        <v>11610</v>
      </c>
      <c r="L7326">
        <v>0</v>
      </c>
      <c r="M7326">
        <v>0</v>
      </c>
      <c r="N7326">
        <v>0</v>
      </c>
    </row>
    <row r="7327" spans="1:15">
      <c r="A7327" t="s">
        <v>31130</v>
      </c>
      <c r="B7327" t="s">
        <v>11644</v>
      </c>
      <c r="C7327" t="s">
        <v>28687</v>
      </c>
      <c r="D7327" t="s">
        <v>31131</v>
      </c>
      <c r="E7327" t="b">
        <v>0</v>
      </c>
      <c r="F7327" t="s">
        <v>11610</v>
      </c>
      <c r="L7327">
        <v>0</v>
      </c>
      <c r="M7327">
        <v>0</v>
      </c>
      <c r="N7327">
        <v>0</v>
      </c>
    </row>
    <row r="7328" spans="1:15">
      <c r="A7328" t="s">
        <v>23163</v>
      </c>
      <c r="B7328" t="s">
        <v>11607</v>
      </c>
      <c r="C7328" t="s">
        <v>4675</v>
      </c>
      <c r="D7328" t="s">
        <v>31132</v>
      </c>
      <c r="E7328" t="b">
        <v>0</v>
      </c>
      <c r="F7328" t="s">
        <v>11624</v>
      </c>
      <c r="G7328">
        <v>22.834599999999998</v>
      </c>
      <c r="H7328">
        <v>38.923699999999997</v>
      </c>
      <c r="I7328" t="s">
        <v>31133</v>
      </c>
      <c r="L7328">
        <v>0</v>
      </c>
      <c r="M7328">
        <v>0</v>
      </c>
      <c r="N7328">
        <v>4</v>
      </c>
      <c r="O7328" t="s">
        <v>30509</v>
      </c>
    </row>
    <row r="7329" spans="1:15">
      <c r="A7329" t="s">
        <v>31134</v>
      </c>
      <c r="B7329" t="s">
        <v>6742</v>
      </c>
      <c r="C7329" t="s">
        <v>17222</v>
      </c>
      <c r="D7329" t="s">
        <v>31135</v>
      </c>
      <c r="E7329" t="b">
        <v>0</v>
      </c>
      <c r="F7329" t="s">
        <v>11624</v>
      </c>
      <c r="G7329">
        <v>4.3964100000000004</v>
      </c>
      <c r="H7329">
        <v>10.908099999999999</v>
      </c>
      <c r="I7329" t="s">
        <v>31136</v>
      </c>
      <c r="L7329">
        <v>0</v>
      </c>
      <c r="M7329">
        <v>0</v>
      </c>
      <c r="N7329">
        <v>0</v>
      </c>
      <c r="O7329" t="s">
        <v>11703</v>
      </c>
    </row>
    <row r="7330" spans="1:15">
      <c r="A7330" t="s">
        <v>31137</v>
      </c>
      <c r="B7330" t="s">
        <v>367</v>
      </c>
      <c r="C7330" t="s">
        <v>31138</v>
      </c>
      <c r="D7330" t="s">
        <v>31139</v>
      </c>
      <c r="E7330" t="b">
        <v>0</v>
      </c>
      <c r="F7330" t="s">
        <v>11610</v>
      </c>
      <c r="L7330">
        <v>0</v>
      </c>
      <c r="M7330">
        <v>0</v>
      </c>
      <c r="N7330">
        <v>0</v>
      </c>
    </row>
    <row r="7331" spans="1:15">
      <c r="A7331" t="s">
        <v>16801</v>
      </c>
      <c r="B7331" t="s">
        <v>367</v>
      </c>
      <c r="C7331" t="s">
        <v>21093</v>
      </c>
      <c r="D7331" t="s">
        <v>31140</v>
      </c>
      <c r="E7331" t="b">
        <v>0</v>
      </c>
      <c r="F7331" t="s">
        <v>11624</v>
      </c>
      <c r="G7331">
        <v>10.4018</v>
      </c>
      <c r="H7331">
        <v>122.974</v>
      </c>
      <c r="I7331" t="s">
        <v>31141</v>
      </c>
      <c r="L7331">
        <v>0</v>
      </c>
      <c r="M7331">
        <v>0</v>
      </c>
      <c r="N7331">
        <v>4</v>
      </c>
      <c r="O7331" t="s">
        <v>11749</v>
      </c>
    </row>
    <row r="7332" spans="1:15">
      <c r="A7332" t="s">
        <v>31142</v>
      </c>
      <c r="B7332" t="s">
        <v>12438</v>
      </c>
      <c r="C7332" t="s">
        <v>28700</v>
      </c>
      <c r="D7332" t="s">
        <v>31143</v>
      </c>
      <c r="E7332" t="b">
        <v>0</v>
      </c>
      <c r="F7332" t="s">
        <v>11610</v>
      </c>
      <c r="L7332">
        <v>0</v>
      </c>
      <c r="M7332">
        <v>0</v>
      </c>
      <c r="N7332">
        <v>0</v>
      </c>
    </row>
    <row r="7333" spans="1:15">
      <c r="A7333" t="s">
        <v>31144</v>
      </c>
      <c r="B7333" t="s">
        <v>11607</v>
      </c>
      <c r="C7333" t="s">
        <v>31145</v>
      </c>
      <c r="D7333" t="s">
        <v>31146</v>
      </c>
      <c r="E7333" t="b">
        <v>0</v>
      </c>
      <c r="F7333" t="s">
        <v>11610</v>
      </c>
      <c r="L7333">
        <v>0</v>
      </c>
      <c r="M7333">
        <v>0</v>
      </c>
      <c r="N7333">
        <v>0</v>
      </c>
    </row>
    <row r="7334" spans="1:15">
      <c r="A7334" t="s">
        <v>29799</v>
      </c>
      <c r="B7334" t="s">
        <v>6742</v>
      </c>
      <c r="C7334" t="s">
        <v>15410</v>
      </c>
      <c r="D7334" t="s">
        <v>31147</v>
      </c>
      <c r="E7334" t="b">
        <v>0</v>
      </c>
      <c r="F7334" t="s">
        <v>11622</v>
      </c>
      <c r="L7334">
        <v>1</v>
      </c>
      <c r="M7334">
        <v>3</v>
      </c>
      <c r="N7334">
        <v>2</v>
      </c>
    </row>
    <row r="7335" spans="1:15">
      <c r="A7335" t="s">
        <v>24025</v>
      </c>
      <c r="B7335" t="s">
        <v>11844</v>
      </c>
      <c r="C7335" t="s">
        <v>29037</v>
      </c>
      <c r="D7335" t="s">
        <v>31148</v>
      </c>
      <c r="E7335" t="b">
        <v>0</v>
      </c>
      <c r="F7335" t="s">
        <v>11622</v>
      </c>
      <c r="L7335">
        <v>0</v>
      </c>
      <c r="M7335">
        <v>2</v>
      </c>
      <c r="N7335">
        <v>6</v>
      </c>
    </row>
    <row r="7336" spans="1:15">
      <c r="A7336" t="s">
        <v>31149</v>
      </c>
      <c r="B7336" t="s">
        <v>11644</v>
      </c>
      <c r="C7336" t="s">
        <v>12680</v>
      </c>
      <c r="D7336" t="s">
        <v>31150</v>
      </c>
      <c r="E7336" t="b">
        <v>0</v>
      </c>
      <c r="F7336" t="s">
        <v>11610</v>
      </c>
      <c r="L7336">
        <v>0</v>
      </c>
      <c r="M7336">
        <v>0</v>
      </c>
      <c r="N7336">
        <v>0</v>
      </c>
    </row>
    <row r="7337" spans="1:15">
      <c r="A7337" t="s">
        <v>31151</v>
      </c>
      <c r="B7337" t="s">
        <v>12241</v>
      </c>
      <c r="C7337" t="s">
        <v>14403</v>
      </c>
      <c r="D7337" t="s">
        <v>31152</v>
      </c>
      <c r="E7337" t="b">
        <v>0</v>
      </c>
      <c r="F7337" t="s">
        <v>11624</v>
      </c>
      <c r="G7337">
        <v>-6.2521699999999996</v>
      </c>
      <c r="H7337">
        <v>-64.700469999999996</v>
      </c>
      <c r="I7337" t="s">
        <v>31153</v>
      </c>
      <c r="L7337">
        <v>0</v>
      </c>
      <c r="M7337">
        <v>0</v>
      </c>
      <c r="N7337">
        <v>0</v>
      </c>
      <c r="O7337" t="s">
        <v>11969</v>
      </c>
    </row>
    <row r="7338" spans="1:15">
      <c r="A7338" t="s">
        <v>31154</v>
      </c>
      <c r="B7338" t="s">
        <v>6742</v>
      </c>
      <c r="C7338" t="s">
        <v>31155</v>
      </c>
      <c r="D7338" t="s">
        <v>31156</v>
      </c>
      <c r="E7338" t="b">
        <v>0</v>
      </c>
      <c r="F7338" t="s">
        <v>11610</v>
      </c>
      <c r="L7338">
        <v>0</v>
      </c>
      <c r="M7338">
        <v>0</v>
      </c>
      <c r="N7338">
        <v>0</v>
      </c>
    </row>
    <row r="7339" spans="1:15">
      <c r="A7339" t="s">
        <v>31157</v>
      </c>
      <c r="B7339" t="s">
        <v>11644</v>
      </c>
      <c r="C7339" t="s">
        <v>11644</v>
      </c>
      <c r="D7339" t="s">
        <v>31158</v>
      </c>
      <c r="E7339" t="b">
        <v>0</v>
      </c>
      <c r="F7339" t="s">
        <v>11622</v>
      </c>
      <c r="L7339">
        <v>26</v>
      </c>
      <c r="M7339">
        <v>46</v>
      </c>
      <c r="N7339">
        <v>94</v>
      </c>
    </row>
    <row r="7340" spans="1:15">
      <c r="A7340" t="s">
        <v>31159</v>
      </c>
      <c r="B7340" t="s">
        <v>11637</v>
      </c>
      <c r="C7340" t="s">
        <v>21361</v>
      </c>
      <c r="D7340" t="s">
        <v>31160</v>
      </c>
      <c r="E7340" t="b">
        <v>0</v>
      </c>
      <c r="F7340" t="s">
        <v>11622</v>
      </c>
      <c r="L7340">
        <v>5</v>
      </c>
      <c r="M7340">
        <v>16</v>
      </c>
      <c r="N7340">
        <v>29</v>
      </c>
    </row>
    <row r="7341" spans="1:15">
      <c r="A7341" t="s">
        <v>31161</v>
      </c>
      <c r="B7341" t="s">
        <v>11615</v>
      </c>
      <c r="C7341" t="s">
        <v>31162</v>
      </c>
      <c r="D7341" t="s">
        <v>31163</v>
      </c>
      <c r="E7341" t="b">
        <v>0</v>
      </c>
      <c r="F7341" t="s">
        <v>11610</v>
      </c>
      <c r="L7341">
        <v>0</v>
      </c>
      <c r="M7341">
        <v>0</v>
      </c>
      <c r="N7341">
        <v>0</v>
      </c>
    </row>
    <row r="7342" spans="1:15">
      <c r="A7342" t="s">
        <v>31164</v>
      </c>
      <c r="B7342" t="s">
        <v>11637</v>
      </c>
      <c r="C7342" t="s">
        <v>30772</v>
      </c>
      <c r="D7342" t="s">
        <v>31165</v>
      </c>
      <c r="E7342" t="b">
        <v>0</v>
      </c>
      <c r="F7342" t="s">
        <v>11624</v>
      </c>
      <c r="G7342">
        <v>31.015999999999998</v>
      </c>
      <c r="H7342">
        <v>77.144000000000005</v>
      </c>
      <c r="I7342" t="s">
        <v>31166</v>
      </c>
      <c r="L7342">
        <v>0</v>
      </c>
      <c r="M7342">
        <v>0</v>
      </c>
      <c r="N7342">
        <v>0</v>
      </c>
      <c r="O7342" t="s">
        <v>11630</v>
      </c>
    </row>
    <row r="7343" spans="1:15">
      <c r="A7343" t="s">
        <v>186</v>
      </c>
      <c r="B7343" t="s">
        <v>11637</v>
      </c>
      <c r="C7343" t="s">
        <v>13683</v>
      </c>
      <c r="D7343" t="s">
        <v>8856</v>
      </c>
      <c r="E7343" t="b">
        <v>0</v>
      </c>
      <c r="F7343" t="s">
        <v>11624</v>
      </c>
      <c r="G7343">
        <v>25</v>
      </c>
      <c r="H7343">
        <v>77</v>
      </c>
      <c r="I7343" t="s">
        <v>3581</v>
      </c>
      <c r="L7343">
        <v>0</v>
      </c>
      <c r="M7343">
        <v>0</v>
      </c>
      <c r="N7343">
        <v>4</v>
      </c>
      <c r="O7343" t="s">
        <v>31167</v>
      </c>
    </row>
    <row r="7344" spans="1:15">
      <c r="A7344" t="s">
        <v>13683</v>
      </c>
      <c r="B7344" t="s">
        <v>11637</v>
      </c>
      <c r="C7344" t="s">
        <v>19828</v>
      </c>
      <c r="D7344" t="s">
        <v>31168</v>
      </c>
      <c r="E7344" t="b">
        <v>0</v>
      </c>
      <c r="F7344" t="s">
        <v>11622</v>
      </c>
      <c r="L7344">
        <v>0</v>
      </c>
      <c r="M7344">
        <v>4</v>
      </c>
      <c r="N7344">
        <v>6</v>
      </c>
    </row>
    <row r="7345" spans="1:15">
      <c r="A7345" t="s">
        <v>31169</v>
      </c>
      <c r="B7345" t="s">
        <v>11637</v>
      </c>
      <c r="C7345" t="s">
        <v>31170</v>
      </c>
      <c r="D7345" t="s">
        <v>31171</v>
      </c>
      <c r="E7345" t="b">
        <v>0</v>
      </c>
      <c r="F7345" t="s">
        <v>11622</v>
      </c>
      <c r="L7345">
        <v>0</v>
      </c>
      <c r="M7345">
        <v>2</v>
      </c>
      <c r="N7345">
        <v>4</v>
      </c>
    </row>
    <row r="7346" spans="1:15">
      <c r="A7346" t="s">
        <v>31172</v>
      </c>
      <c r="B7346" t="s">
        <v>13450</v>
      </c>
      <c r="C7346" t="s">
        <v>13450</v>
      </c>
      <c r="D7346" t="s">
        <v>31173</v>
      </c>
      <c r="E7346" t="b">
        <v>0</v>
      </c>
      <c r="F7346" t="s">
        <v>11622</v>
      </c>
      <c r="L7346">
        <v>0</v>
      </c>
      <c r="M7346">
        <v>1</v>
      </c>
      <c r="N7346">
        <v>0</v>
      </c>
    </row>
    <row r="7347" spans="1:15">
      <c r="A7347" t="s">
        <v>31174</v>
      </c>
      <c r="B7347" t="s">
        <v>11637</v>
      </c>
      <c r="C7347" t="s">
        <v>31175</v>
      </c>
      <c r="D7347" t="s">
        <v>31176</v>
      </c>
      <c r="E7347" t="b">
        <v>0</v>
      </c>
      <c r="F7347" t="s">
        <v>11624</v>
      </c>
      <c r="G7347">
        <v>52.942700000000002</v>
      </c>
      <c r="H7347">
        <v>5.4013</v>
      </c>
      <c r="L7347">
        <v>0</v>
      </c>
      <c r="M7347">
        <v>0</v>
      </c>
      <c r="N7347">
        <v>0</v>
      </c>
      <c r="O7347" t="s">
        <v>25638</v>
      </c>
    </row>
    <row r="7348" spans="1:15">
      <c r="A7348" t="s">
        <v>31177</v>
      </c>
      <c r="B7348" t="s">
        <v>11615</v>
      </c>
      <c r="C7348" t="s">
        <v>31162</v>
      </c>
      <c r="D7348" t="s">
        <v>31178</v>
      </c>
      <c r="E7348" t="b">
        <v>0</v>
      </c>
      <c r="F7348" t="s">
        <v>11610</v>
      </c>
      <c r="L7348">
        <v>0</v>
      </c>
      <c r="M7348">
        <v>0</v>
      </c>
      <c r="N7348">
        <v>0</v>
      </c>
    </row>
    <row r="7349" spans="1:15">
      <c r="A7349" t="s">
        <v>31179</v>
      </c>
      <c r="B7349" t="s">
        <v>12311</v>
      </c>
      <c r="C7349" t="s">
        <v>24757</v>
      </c>
      <c r="D7349" t="s">
        <v>31180</v>
      </c>
      <c r="E7349" t="b">
        <v>0</v>
      </c>
      <c r="F7349" t="s">
        <v>11624</v>
      </c>
      <c r="G7349">
        <v>42.450200000000002</v>
      </c>
      <c r="H7349">
        <v>45.806399999999996</v>
      </c>
      <c r="I7349" t="s">
        <v>31181</v>
      </c>
      <c r="L7349">
        <v>0</v>
      </c>
      <c r="M7349">
        <v>0</v>
      </c>
      <c r="N7349">
        <v>0</v>
      </c>
      <c r="O7349" t="s">
        <v>12748</v>
      </c>
    </row>
    <row r="7350" spans="1:15">
      <c r="A7350" t="s">
        <v>31182</v>
      </c>
      <c r="B7350" t="s">
        <v>11844</v>
      </c>
      <c r="C7350" t="s">
        <v>29434</v>
      </c>
      <c r="D7350" t="s">
        <v>31183</v>
      </c>
      <c r="E7350" t="b">
        <v>0</v>
      </c>
      <c r="F7350" t="s">
        <v>11610</v>
      </c>
      <c r="L7350">
        <v>0</v>
      </c>
      <c r="M7350">
        <v>0</v>
      </c>
      <c r="N7350">
        <v>0</v>
      </c>
    </row>
    <row r="7351" spans="1:15">
      <c r="A7351" t="s">
        <v>31184</v>
      </c>
      <c r="B7351" t="s">
        <v>11615</v>
      </c>
      <c r="C7351" t="s">
        <v>23820</v>
      </c>
      <c r="D7351" t="s">
        <v>31185</v>
      </c>
      <c r="E7351" t="b">
        <v>0</v>
      </c>
      <c r="F7351" t="s">
        <v>11610</v>
      </c>
      <c r="L7351">
        <v>0</v>
      </c>
      <c r="M7351">
        <v>0</v>
      </c>
      <c r="N7351">
        <v>0</v>
      </c>
    </row>
    <row r="7352" spans="1:15">
      <c r="A7352" t="s">
        <v>31186</v>
      </c>
      <c r="B7352" t="s">
        <v>4342</v>
      </c>
      <c r="C7352" t="s">
        <v>31187</v>
      </c>
      <c r="D7352" t="s">
        <v>31188</v>
      </c>
      <c r="E7352" t="b">
        <v>0</v>
      </c>
      <c r="F7352" t="s">
        <v>11610</v>
      </c>
      <c r="L7352">
        <v>0</v>
      </c>
      <c r="M7352">
        <v>0</v>
      </c>
      <c r="N7352">
        <v>0</v>
      </c>
    </row>
    <row r="7353" spans="1:15">
      <c r="A7353" t="s">
        <v>31189</v>
      </c>
      <c r="B7353" t="s">
        <v>13450</v>
      </c>
      <c r="C7353" t="s">
        <v>31190</v>
      </c>
      <c r="D7353" t="s">
        <v>31191</v>
      </c>
      <c r="E7353" t="b">
        <v>0</v>
      </c>
      <c r="F7353" t="s">
        <v>11624</v>
      </c>
      <c r="G7353">
        <v>-8.3165800000000001</v>
      </c>
      <c r="H7353">
        <v>146.23457999999999</v>
      </c>
      <c r="L7353">
        <v>0</v>
      </c>
      <c r="M7353">
        <v>0</v>
      </c>
      <c r="N7353">
        <v>0</v>
      </c>
      <c r="O7353" t="s">
        <v>11660</v>
      </c>
    </row>
    <row r="7354" spans="1:15">
      <c r="A7354" t="s">
        <v>31192</v>
      </c>
      <c r="B7354" t="s">
        <v>13450</v>
      </c>
      <c r="C7354" t="s">
        <v>31190</v>
      </c>
      <c r="D7354" t="s">
        <v>31193</v>
      </c>
      <c r="E7354" t="b">
        <v>0</v>
      </c>
      <c r="F7354" t="s">
        <v>11624</v>
      </c>
      <c r="G7354">
        <v>-7.7751380000000001</v>
      </c>
      <c r="H7354">
        <v>144.91203300000001</v>
      </c>
      <c r="L7354">
        <v>0</v>
      </c>
      <c r="M7354">
        <v>0</v>
      </c>
      <c r="N7354">
        <v>0</v>
      </c>
      <c r="O7354" t="s">
        <v>11660</v>
      </c>
    </row>
    <row r="7355" spans="1:15">
      <c r="A7355" t="s">
        <v>15175</v>
      </c>
      <c r="B7355" t="s">
        <v>13450</v>
      </c>
      <c r="C7355" t="s">
        <v>31190</v>
      </c>
      <c r="D7355" t="s">
        <v>31194</v>
      </c>
      <c r="E7355" t="b">
        <v>0</v>
      </c>
      <c r="F7355" t="s">
        <v>11624</v>
      </c>
      <c r="G7355">
        <v>-9.3333300000000001</v>
      </c>
      <c r="H7355">
        <v>147.083</v>
      </c>
      <c r="I7355" t="s">
        <v>31195</v>
      </c>
      <c r="L7355">
        <v>0</v>
      </c>
      <c r="M7355">
        <v>0</v>
      </c>
      <c r="N7355">
        <v>2</v>
      </c>
      <c r="O7355" t="s">
        <v>11660</v>
      </c>
    </row>
    <row r="7356" spans="1:15">
      <c r="A7356" t="s">
        <v>31196</v>
      </c>
      <c r="B7356" t="s">
        <v>4342</v>
      </c>
      <c r="C7356" t="s">
        <v>22911</v>
      </c>
      <c r="D7356" t="s">
        <v>31197</v>
      </c>
      <c r="E7356" t="b">
        <v>0</v>
      </c>
      <c r="F7356" t="s">
        <v>11610</v>
      </c>
      <c r="L7356">
        <v>0</v>
      </c>
      <c r="M7356">
        <v>0</v>
      </c>
      <c r="N7356">
        <v>0</v>
      </c>
    </row>
    <row r="7357" spans="1:15">
      <c r="A7357" t="s">
        <v>31198</v>
      </c>
      <c r="B7357" t="s">
        <v>11607</v>
      </c>
      <c r="C7357" t="s">
        <v>13669</v>
      </c>
      <c r="D7357" t="s">
        <v>31199</v>
      </c>
      <c r="E7357" t="b">
        <v>0</v>
      </c>
      <c r="F7357" t="s">
        <v>11610</v>
      </c>
      <c r="L7357">
        <v>0</v>
      </c>
      <c r="M7357">
        <v>0</v>
      </c>
      <c r="N7357">
        <v>0</v>
      </c>
    </row>
    <row r="7358" spans="1:15">
      <c r="A7358" t="s">
        <v>31200</v>
      </c>
      <c r="B7358" t="s">
        <v>367</v>
      </c>
      <c r="C7358" t="s">
        <v>31201</v>
      </c>
      <c r="D7358" t="s">
        <v>31202</v>
      </c>
      <c r="E7358" t="b">
        <v>0</v>
      </c>
      <c r="F7358" t="s">
        <v>11610</v>
      </c>
      <c r="L7358">
        <v>0</v>
      </c>
      <c r="M7358">
        <v>0</v>
      </c>
      <c r="N7358">
        <v>0</v>
      </c>
    </row>
    <row r="7359" spans="1:15">
      <c r="A7359" t="s">
        <v>31203</v>
      </c>
      <c r="B7359" t="s">
        <v>11615</v>
      </c>
      <c r="C7359" t="s">
        <v>31204</v>
      </c>
      <c r="D7359" t="s">
        <v>31205</v>
      </c>
      <c r="E7359" t="b">
        <v>0</v>
      </c>
      <c r="F7359" t="s">
        <v>11610</v>
      </c>
      <c r="L7359">
        <v>0</v>
      </c>
      <c r="M7359">
        <v>0</v>
      </c>
      <c r="N7359">
        <v>0</v>
      </c>
    </row>
    <row r="7360" spans="1:15">
      <c r="A7360" t="s">
        <v>31206</v>
      </c>
      <c r="B7360" t="s">
        <v>4342</v>
      </c>
      <c r="C7360" t="s">
        <v>22538</v>
      </c>
      <c r="D7360" t="s">
        <v>31207</v>
      </c>
      <c r="E7360" t="b">
        <v>0</v>
      </c>
      <c r="F7360" t="s">
        <v>11610</v>
      </c>
      <c r="L7360">
        <v>0</v>
      </c>
      <c r="M7360">
        <v>0</v>
      </c>
      <c r="N7360">
        <v>0</v>
      </c>
    </row>
    <row r="7361" spans="1:15">
      <c r="A7361" t="s">
        <v>31208</v>
      </c>
      <c r="B7361" t="s">
        <v>12875</v>
      </c>
      <c r="C7361" t="s">
        <v>8594</v>
      </c>
      <c r="D7361" t="s">
        <v>31209</v>
      </c>
      <c r="E7361" t="b">
        <v>0</v>
      </c>
      <c r="F7361" t="s">
        <v>11610</v>
      </c>
      <c r="L7361">
        <v>0</v>
      </c>
      <c r="M7361">
        <v>0</v>
      </c>
      <c r="N7361">
        <v>0</v>
      </c>
    </row>
    <row r="7362" spans="1:15">
      <c r="A7362" t="s">
        <v>31210</v>
      </c>
      <c r="B7362" t="s">
        <v>11637</v>
      </c>
      <c r="C7362" t="s">
        <v>13637</v>
      </c>
      <c r="D7362" t="s">
        <v>31211</v>
      </c>
      <c r="E7362" t="b">
        <v>0</v>
      </c>
      <c r="F7362" t="s">
        <v>11624</v>
      </c>
      <c r="G7362">
        <v>40</v>
      </c>
      <c r="H7362">
        <v>35</v>
      </c>
      <c r="I7362" t="s">
        <v>31212</v>
      </c>
      <c r="L7362">
        <v>0</v>
      </c>
      <c r="M7362">
        <v>0</v>
      </c>
      <c r="N7362">
        <v>0</v>
      </c>
      <c r="O7362" t="s">
        <v>16254</v>
      </c>
    </row>
    <row r="7363" spans="1:15">
      <c r="A7363" t="s">
        <v>31138</v>
      </c>
      <c r="B7363" t="s">
        <v>367</v>
      </c>
      <c r="C7363" t="s">
        <v>31213</v>
      </c>
      <c r="D7363" t="s">
        <v>31214</v>
      </c>
      <c r="E7363" t="b">
        <v>0</v>
      </c>
      <c r="F7363" t="s">
        <v>11624</v>
      </c>
      <c r="G7363">
        <v>-3.5747800000000001</v>
      </c>
      <c r="H7363">
        <v>128.18600000000001</v>
      </c>
      <c r="I7363" t="s">
        <v>31215</v>
      </c>
      <c r="L7363">
        <v>0</v>
      </c>
      <c r="M7363">
        <v>0</v>
      </c>
      <c r="N7363">
        <v>5</v>
      </c>
      <c r="O7363" t="s">
        <v>11768</v>
      </c>
    </row>
    <row r="7364" spans="1:15">
      <c r="A7364" t="s">
        <v>31216</v>
      </c>
      <c r="B7364" t="s">
        <v>367</v>
      </c>
      <c r="C7364" t="s">
        <v>27767</v>
      </c>
      <c r="D7364" t="s">
        <v>31217</v>
      </c>
      <c r="E7364" t="b">
        <v>0</v>
      </c>
      <c r="F7364" t="s">
        <v>11610</v>
      </c>
      <c r="L7364">
        <v>0</v>
      </c>
      <c r="M7364">
        <v>0</v>
      </c>
      <c r="N7364">
        <v>0</v>
      </c>
    </row>
    <row r="7365" spans="1:15">
      <c r="A7365" t="s">
        <v>31218</v>
      </c>
      <c r="B7365" t="s">
        <v>367</v>
      </c>
      <c r="C7365" t="s">
        <v>31219</v>
      </c>
      <c r="D7365" t="s">
        <v>31220</v>
      </c>
      <c r="E7365" t="b">
        <v>0</v>
      </c>
      <c r="F7365" t="s">
        <v>11622</v>
      </c>
      <c r="L7365">
        <v>0</v>
      </c>
      <c r="M7365">
        <v>2</v>
      </c>
      <c r="N7365">
        <v>0</v>
      </c>
    </row>
    <row r="7366" spans="1:15">
      <c r="A7366" t="s">
        <v>31221</v>
      </c>
      <c r="B7366" t="s">
        <v>367</v>
      </c>
      <c r="C7366" t="s">
        <v>31218</v>
      </c>
      <c r="D7366" t="s">
        <v>31222</v>
      </c>
      <c r="E7366" t="b">
        <v>0</v>
      </c>
      <c r="F7366" t="s">
        <v>11624</v>
      </c>
      <c r="G7366">
        <v>-13.126367</v>
      </c>
      <c r="H7366">
        <v>166.584857</v>
      </c>
      <c r="I7366" t="s">
        <v>31223</v>
      </c>
      <c r="L7366">
        <v>0</v>
      </c>
      <c r="M7366">
        <v>0</v>
      </c>
      <c r="N7366">
        <v>0</v>
      </c>
      <c r="O7366" t="s">
        <v>12719</v>
      </c>
    </row>
    <row r="7367" spans="1:15">
      <c r="A7367" t="s">
        <v>31224</v>
      </c>
      <c r="B7367" t="s">
        <v>8310</v>
      </c>
      <c r="C7367" t="s">
        <v>31225</v>
      </c>
      <c r="D7367" t="s">
        <v>31226</v>
      </c>
      <c r="E7367" t="b">
        <v>0</v>
      </c>
      <c r="F7367" t="s">
        <v>11624</v>
      </c>
      <c r="G7367">
        <v>-0.16264999999999999</v>
      </c>
      <c r="H7367">
        <v>-58.80153</v>
      </c>
      <c r="I7367" t="s">
        <v>31227</v>
      </c>
      <c r="L7367">
        <v>0</v>
      </c>
      <c r="M7367">
        <v>0</v>
      </c>
      <c r="N7367">
        <v>0</v>
      </c>
      <c r="O7367" t="s">
        <v>11969</v>
      </c>
    </row>
    <row r="7368" spans="1:15">
      <c r="A7368" t="s">
        <v>31228</v>
      </c>
      <c r="B7368" t="s">
        <v>11705</v>
      </c>
      <c r="C7368" t="s">
        <v>31229</v>
      </c>
      <c r="D7368" t="s">
        <v>31230</v>
      </c>
      <c r="E7368" t="b">
        <v>0</v>
      </c>
      <c r="F7368" t="s">
        <v>11610</v>
      </c>
      <c r="L7368">
        <v>0</v>
      </c>
      <c r="M7368">
        <v>0</v>
      </c>
      <c r="N7368">
        <v>0</v>
      </c>
    </row>
    <row r="7369" spans="1:15">
      <c r="A7369" t="s">
        <v>31231</v>
      </c>
      <c r="B7369" t="s">
        <v>11644</v>
      </c>
      <c r="C7369" t="s">
        <v>25751</v>
      </c>
      <c r="D7369" t="s">
        <v>31232</v>
      </c>
      <c r="E7369" t="b">
        <v>0</v>
      </c>
      <c r="F7369" t="s">
        <v>11610</v>
      </c>
      <c r="L7369">
        <v>0</v>
      </c>
      <c r="M7369">
        <v>0</v>
      </c>
      <c r="N7369">
        <v>0</v>
      </c>
    </row>
    <row r="7370" spans="1:15">
      <c r="A7370" t="s">
        <v>31233</v>
      </c>
      <c r="B7370" t="s">
        <v>11644</v>
      </c>
      <c r="C7370" t="s">
        <v>28687</v>
      </c>
      <c r="D7370" t="s">
        <v>31234</v>
      </c>
      <c r="E7370" t="b">
        <v>0</v>
      </c>
      <c r="F7370" t="s">
        <v>11610</v>
      </c>
      <c r="L7370">
        <v>0</v>
      </c>
      <c r="M7370">
        <v>0</v>
      </c>
      <c r="N7370">
        <v>0</v>
      </c>
    </row>
    <row r="7371" spans="1:15">
      <c r="A7371" t="s">
        <v>31235</v>
      </c>
      <c r="B7371" t="s">
        <v>5126</v>
      </c>
      <c r="C7371" t="s">
        <v>5126</v>
      </c>
      <c r="D7371" t="s">
        <v>31236</v>
      </c>
      <c r="E7371" t="b">
        <v>0</v>
      </c>
      <c r="F7371" t="s">
        <v>11622</v>
      </c>
      <c r="L7371">
        <v>1</v>
      </c>
      <c r="M7371">
        <v>3</v>
      </c>
      <c r="N7371">
        <v>4</v>
      </c>
    </row>
    <row r="7372" spans="1:15">
      <c r="A7372" t="s">
        <v>17928</v>
      </c>
      <c r="B7372" t="s">
        <v>5126</v>
      </c>
      <c r="C7372" t="s">
        <v>23627</v>
      </c>
      <c r="D7372" t="s">
        <v>31237</v>
      </c>
      <c r="E7372" t="b">
        <v>0</v>
      </c>
      <c r="F7372" t="s">
        <v>11624</v>
      </c>
      <c r="G7372">
        <v>18.8062</v>
      </c>
      <c r="H7372">
        <v>109.459</v>
      </c>
      <c r="I7372" t="s">
        <v>31238</v>
      </c>
      <c r="L7372">
        <v>0</v>
      </c>
      <c r="M7372">
        <v>0</v>
      </c>
      <c r="N7372">
        <v>4</v>
      </c>
      <c r="O7372" t="s">
        <v>11905</v>
      </c>
    </row>
    <row r="7373" spans="1:15">
      <c r="A7373" t="s">
        <v>31239</v>
      </c>
      <c r="B7373" t="s">
        <v>6742</v>
      </c>
      <c r="C7373" t="s">
        <v>4187</v>
      </c>
      <c r="D7373" t="s">
        <v>31240</v>
      </c>
      <c r="E7373" t="b">
        <v>0</v>
      </c>
      <c r="F7373" t="s">
        <v>11610</v>
      </c>
      <c r="L7373">
        <v>0</v>
      </c>
      <c r="M7373">
        <v>0</v>
      </c>
      <c r="N7373">
        <v>0</v>
      </c>
    </row>
    <row r="7374" spans="1:15">
      <c r="A7374" t="s">
        <v>31241</v>
      </c>
      <c r="B7374" t="s">
        <v>11644</v>
      </c>
      <c r="C7374" t="s">
        <v>31242</v>
      </c>
      <c r="D7374" t="s">
        <v>31243</v>
      </c>
      <c r="E7374" t="b">
        <v>0</v>
      </c>
      <c r="F7374" t="s">
        <v>11610</v>
      </c>
      <c r="L7374">
        <v>0</v>
      </c>
      <c r="M7374">
        <v>0</v>
      </c>
      <c r="N7374">
        <v>0</v>
      </c>
    </row>
    <row r="7375" spans="1:15">
      <c r="A7375" t="s">
        <v>31244</v>
      </c>
      <c r="B7375" t="s">
        <v>6742</v>
      </c>
      <c r="C7375" t="s">
        <v>31245</v>
      </c>
      <c r="D7375" t="s">
        <v>31246</v>
      </c>
      <c r="E7375" t="b">
        <v>0</v>
      </c>
      <c r="F7375" t="s">
        <v>11610</v>
      </c>
      <c r="L7375">
        <v>0</v>
      </c>
      <c r="M7375">
        <v>0</v>
      </c>
      <c r="N7375">
        <v>0</v>
      </c>
    </row>
    <row r="7376" spans="1:15">
      <c r="A7376" t="s">
        <v>31247</v>
      </c>
      <c r="B7376" t="s">
        <v>11644</v>
      </c>
      <c r="C7376" t="s">
        <v>13932</v>
      </c>
      <c r="D7376" t="s">
        <v>31248</v>
      </c>
      <c r="E7376" t="b">
        <v>0</v>
      </c>
      <c r="F7376" t="s">
        <v>11622</v>
      </c>
      <c r="L7376">
        <v>1</v>
      </c>
      <c r="M7376">
        <v>4</v>
      </c>
      <c r="N7376">
        <v>0</v>
      </c>
    </row>
    <row r="7377" spans="1:15">
      <c r="A7377" t="s">
        <v>31249</v>
      </c>
      <c r="B7377" t="s">
        <v>11644</v>
      </c>
      <c r="C7377" t="s">
        <v>31247</v>
      </c>
      <c r="D7377" t="s">
        <v>31250</v>
      </c>
      <c r="E7377" t="b">
        <v>0</v>
      </c>
      <c r="F7377" t="s">
        <v>11624</v>
      </c>
      <c r="G7377">
        <v>23.591000000000001</v>
      </c>
      <c r="H7377">
        <v>103.733</v>
      </c>
      <c r="I7377" t="s">
        <v>31251</v>
      </c>
      <c r="L7377">
        <v>0</v>
      </c>
      <c r="M7377">
        <v>0</v>
      </c>
      <c r="N7377">
        <v>0</v>
      </c>
      <c r="O7377" t="s">
        <v>11905</v>
      </c>
    </row>
    <row r="7378" spans="1:15">
      <c r="A7378" t="s">
        <v>31252</v>
      </c>
      <c r="B7378" t="s">
        <v>11644</v>
      </c>
      <c r="C7378" t="s">
        <v>31253</v>
      </c>
      <c r="D7378" t="s">
        <v>31254</v>
      </c>
      <c r="E7378" t="b">
        <v>0</v>
      </c>
      <c r="F7378" t="s">
        <v>11624</v>
      </c>
      <c r="G7378">
        <v>24.4</v>
      </c>
      <c r="H7378">
        <v>101.4</v>
      </c>
      <c r="I7378" t="s">
        <v>31255</v>
      </c>
      <c r="L7378">
        <v>0</v>
      </c>
      <c r="M7378">
        <v>0</v>
      </c>
      <c r="N7378">
        <v>0</v>
      </c>
      <c r="O7378" t="s">
        <v>11905</v>
      </c>
    </row>
    <row r="7379" spans="1:15">
      <c r="A7379" t="s">
        <v>31256</v>
      </c>
      <c r="B7379" t="s">
        <v>11644</v>
      </c>
      <c r="C7379" t="s">
        <v>23834</v>
      </c>
      <c r="D7379" t="s">
        <v>31257</v>
      </c>
      <c r="E7379" t="b">
        <v>0</v>
      </c>
      <c r="F7379" t="s">
        <v>11610</v>
      </c>
      <c r="L7379">
        <v>0</v>
      </c>
      <c r="M7379">
        <v>0</v>
      </c>
      <c r="N7379">
        <v>0</v>
      </c>
    </row>
    <row r="7380" spans="1:15">
      <c r="A7380" t="s">
        <v>31258</v>
      </c>
      <c r="B7380" t="s">
        <v>6742</v>
      </c>
      <c r="C7380" t="s">
        <v>1906</v>
      </c>
      <c r="D7380" t="s">
        <v>31259</v>
      </c>
      <c r="E7380" t="b">
        <v>0</v>
      </c>
      <c r="F7380" t="s">
        <v>11610</v>
      </c>
      <c r="L7380">
        <v>0</v>
      </c>
      <c r="M7380">
        <v>0</v>
      </c>
      <c r="N7380">
        <v>0</v>
      </c>
    </row>
    <row r="7381" spans="1:15">
      <c r="A7381" t="s">
        <v>18466</v>
      </c>
      <c r="B7381" t="s">
        <v>11644</v>
      </c>
      <c r="C7381" t="s">
        <v>31260</v>
      </c>
      <c r="D7381" t="s">
        <v>31261</v>
      </c>
      <c r="E7381" t="b">
        <v>0</v>
      </c>
      <c r="F7381" t="s">
        <v>11622</v>
      </c>
      <c r="L7381">
        <v>0</v>
      </c>
      <c r="M7381">
        <v>4</v>
      </c>
      <c r="N7381">
        <v>4</v>
      </c>
    </row>
    <row r="7382" spans="1:15">
      <c r="A7382" t="s">
        <v>31262</v>
      </c>
      <c r="B7382" t="s">
        <v>11644</v>
      </c>
      <c r="C7382" t="s">
        <v>18466</v>
      </c>
      <c r="D7382" t="s">
        <v>31263</v>
      </c>
      <c r="E7382" t="b">
        <v>0</v>
      </c>
      <c r="F7382" t="s">
        <v>11624</v>
      </c>
      <c r="G7382">
        <v>24.753399999999999</v>
      </c>
      <c r="H7382">
        <v>93.549700000000001</v>
      </c>
      <c r="I7382" t="s">
        <v>31264</v>
      </c>
      <c r="L7382">
        <v>0</v>
      </c>
      <c r="M7382">
        <v>0</v>
      </c>
      <c r="N7382">
        <v>0</v>
      </c>
      <c r="O7382" t="s">
        <v>11630</v>
      </c>
    </row>
    <row r="7383" spans="1:15">
      <c r="A7383" t="s">
        <v>31265</v>
      </c>
      <c r="B7383" t="s">
        <v>5058</v>
      </c>
      <c r="C7383" t="s">
        <v>31266</v>
      </c>
      <c r="D7383" t="s">
        <v>31267</v>
      </c>
      <c r="E7383" t="b">
        <v>0</v>
      </c>
      <c r="F7383" t="s">
        <v>11624</v>
      </c>
      <c r="G7383">
        <v>21.521100000000001</v>
      </c>
      <c r="H7383">
        <v>104.589</v>
      </c>
      <c r="I7383" t="s">
        <v>31268</v>
      </c>
      <c r="L7383">
        <v>0</v>
      </c>
      <c r="M7383">
        <v>0</v>
      </c>
      <c r="N7383">
        <v>0</v>
      </c>
      <c r="O7383" t="s">
        <v>15949</v>
      </c>
    </row>
    <row r="7384" spans="1:15">
      <c r="A7384" t="s">
        <v>31269</v>
      </c>
      <c r="B7384" t="s">
        <v>5058</v>
      </c>
      <c r="C7384" t="s">
        <v>31270</v>
      </c>
      <c r="D7384" t="s">
        <v>31271</v>
      </c>
      <c r="E7384" t="b">
        <v>0</v>
      </c>
      <c r="F7384" t="s">
        <v>11624</v>
      </c>
      <c r="G7384">
        <v>22.563800000000001</v>
      </c>
      <c r="H7384">
        <v>101.95</v>
      </c>
      <c r="I7384" t="s">
        <v>31272</v>
      </c>
      <c r="L7384">
        <v>0</v>
      </c>
      <c r="M7384">
        <v>0</v>
      </c>
      <c r="N7384">
        <v>0</v>
      </c>
      <c r="O7384" t="s">
        <v>12731</v>
      </c>
    </row>
    <row r="7385" spans="1:15">
      <c r="A7385" t="s">
        <v>31273</v>
      </c>
      <c r="B7385" t="s">
        <v>5058</v>
      </c>
      <c r="C7385" t="s">
        <v>5057</v>
      </c>
      <c r="D7385" t="s">
        <v>31274</v>
      </c>
      <c r="E7385" t="b">
        <v>0</v>
      </c>
      <c r="F7385" t="s">
        <v>11624</v>
      </c>
      <c r="G7385">
        <v>23.226489999999998</v>
      </c>
      <c r="H7385">
        <v>105.08171</v>
      </c>
      <c r="I7385" t="s">
        <v>31275</v>
      </c>
      <c r="L7385">
        <v>0</v>
      </c>
      <c r="M7385">
        <v>0</v>
      </c>
      <c r="N7385">
        <v>0</v>
      </c>
      <c r="O7385" t="s">
        <v>19781</v>
      </c>
    </row>
    <row r="7386" spans="1:15">
      <c r="A7386" t="s">
        <v>31276</v>
      </c>
      <c r="B7386" t="s">
        <v>5058</v>
      </c>
      <c r="C7386" t="s">
        <v>31266</v>
      </c>
      <c r="D7386" t="s">
        <v>31277</v>
      </c>
      <c r="E7386" t="b">
        <v>0</v>
      </c>
      <c r="F7386" t="s">
        <v>11624</v>
      </c>
      <c r="G7386">
        <v>22.796199999999999</v>
      </c>
      <c r="H7386">
        <v>104.182</v>
      </c>
      <c r="I7386" t="s">
        <v>31278</v>
      </c>
      <c r="L7386">
        <v>0</v>
      </c>
      <c r="M7386">
        <v>0</v>
      </c>
      <c r="N7386">
        <v>0</v>
      </c>
      <c r="O7386" t="s">
        <v>19781</v>
      </c>
    </row>
    <row r="7387" spans="1:15">
      <c r="A7387" t="s">
        <v>31279</v>
      </c>
      <c r="B7387" t="s">
        <v>5058</v>
      </c>
      <c r="C7387" t="s">
        <v>5057</v>
      </c>
      <c r="D7387" t="s">
        <v>31280</v>
      </c>
      <c r="E7387" t="b">
        <v>0</v>
      </c>
      <c r="F7387" t="s">
        <v>11624</v>
      </c>
      <c r="G7387">
        <v>21.546099999999999</v>
      </c>
      <c r="H7387">
        <v>103.164</v>
      </c>
      <c r="I7387" t="s">
        <v>31281</v>
      </c>
      <c r="L7387">
        <v>0</v>
      </c>
      <c r="M7387">
        <v>0</v>
      </c>
      <c r="N7387">
        <v>4</v>
      </c>
      <c r="O7387" t="s">
        <v>31282</v>
      </c>
    </row>
    <row r="7388" spans="1:15">
      <c r="A7388" t="s">
        <v>31283</v>
      </c>
      <c r="B7388" t="s">
        <v>5058</v>
      </c>
      <c r="C7388" t="s">
        <v>31279</v>
      </c>
      <c r="D7388" t="s">
        <v>31284</v>
      </c>
      <c r="E7388" t="b">
        <v>0</v>
      </c>
      <c r="F7388" t="s">
        <v>11610</v>
      </c>
      <c r="L7388">
        <v>0</v>
      </c>
      <c r="M7388">
        <v>0</v>
      </c>
      <c r="N7388">
        <v>0</v>
      </c>
    </row>
    <row r="7389" spans="1:15">
      <c r="A7389" t="s">
        <v>31285</v>
      </c>
      <c r="B7389" t="s">
        <v>5058</v>
      </c>
      <c r="C7389" t="s">
        <v>31279</v>
      </c>
      <c r="D7389" t="s">
        <v>31286</v>
      </c>
      <c r="E7389" t="b">
        <v>0</v>
      </c>
      <c r="F7389" t="s">
        <v>11610</v>
      </c>
      <c r="L7389">
        <v>0</v>
      </c>
      <c r="M7389">
        <v>0</v>
      </c>
      <c r="N7389">
        <v>0</v>
      </c>
    </row>
    <row r="7390" spans="1:15">
      <c r="A7390" t="s">
        <v>5058</v>
      </c>
      <c r="D7390" t="s">
        <v>31287</v>
      </c>
      <c r="E7390" t="b">
        <v>0</v>
      </c>
      <c r="F7390" t="s">
        <v>11622</v>
      </c>
      <c r="L7390">
        <v>19</v>
      </c>
      <c r="M7390">
        <v>39</v>
      </c>
      <c r="N7390">
        <v>26</v>
      </c>
    </row>
    <row r="7391" spans="1:15">
      <c r="A7391" t="s">
        <v>31288</v>
      </c>
      <c r="B7391" t="s">
        <v>5058</v>
      </c>
      <c r="C7391" t="s">
        <v>5058</v>
      </c>
      <c r="D7391" t="s">
        <v>31289</v>
      </c>
      <c r="E7391" t="b">
        <v>0</v>
      </c>
      <c r="F7391" t="s">
        <v>11622</v>
      </c>
      <c r="L7391">
        <v>16</v>
      </c>
      <c r="M7391">
        <v>34</v>
      </c>
      <c r="N7391">
        <v>12</v>
      </c>
    </row>
    <row r="7392" spans="1:15">
      <c r="A7392" t="s">
        <v>31290</v>
      </c>
      <c r="B7392" t="s">
        <v>11627</v>
      </c>
      <c r="C7392" t="s">
        <v>11627</v>
      </c>
      <c r="D7392" t="s">
        <v>31291</v>
      </c>
      <c r="E7392" t="b">
        <v>1</v>
      </c>
      <c r="F7392" t="s">
        <v>11624</v>
      </c>
      <c r="I7392" t="s">
        <v>31292</v>
      </c>
      <c r="L7392">
        <v>0</v>
      </c>
      <c r="M7392">
        <v>0</v>
      </c>
      <c r="N7392">
        <v>0</v>
      </c>
    </row>
    <row r="7393" spans="1:15">
      <c r="A7393" t="s">
        <v>31293</v>
      </c>
      <c r="B7393" t="s">
        <v>367</v>
      </c>
      <c r="C7393" t="s">
        <v>31294</v>
      </c>
      <c r="D7393" t="s">
        <v>31295</v>
      </c>
      <c r="E7393" t="b">
        <v>0</v>
      </c>
      <c r="F7393" t="s">
        <v>11610</v>
      </c>
      <c r="L7393">
        <v>0</v>
      </c>
      <c r="M7393">
        <v>0</v>
      </c>
      <c r="N7393">
        <v>0</v>
      </c>
    </row>
    <row r="7394" spans="1:15">
      <c r="A7394" t="s">
        <v>31296</v>
      </c>
      <c r="B7394" t="s">
        <v>367</v>
      </c>
      <c r="C7394" t="s">
        <v>20748</v>
      </c>
      <c r="D7394" t="s">
        <v>31297</v>
      </c>
      <c r="E7394" t="b">
        <v>0</v>
      </c>
      <c r="F7394" t="s">
        <v>11624</v>
      </c>
      <c r="G7394">
        <v>-20.924600000000002</v>
      </c>
      <c r="H7394">
        <v>164.768</v>
      </c>
      <c r="I7394" t="s">
        <v>31298</v>
      </c>
      <c r="L7394">
        <v>0</v>
      </c>
      <c r="M7394">
        <v>0</v>
      </c>
      <c r="N7394">
        <v>0</v>
      </c>
      <c r="O7394" t="s">
        <v>12624</v>
      </c>
    </row>
    <row r="7395" spans="1:15">
      <c r="A7395" t="s">
        <v>31299</v>
      </c>
      <c r="B7395" t="s">
        <v>12738</v>
      </c>
      <c r="C7395" t="s">
        <v>12738</v>
      </c>
      <c r="D7395" t="s">
        <v>31300</v>
      </c>
      <c r="E7395" t="b">
        <v>0</v>
      </c>
      <c r="F7395" t="s">
        <v>11624</v>
      </c>
      <c r="G7395">
        <v>-23.934470000000001</v>
      </c>
      <c r="H7395">
        <v>24.69828</v>
      </c>
      <c r="I7395" t="s">
        <v>31301</v>
      </c>
      <c r="L7395">
        <v>0</v>
      </c>
      <c r="M7395">
        <v>0</v>
      </c>
      <c r="N7395">
        <v>2</v>
      </c>
      <c r="O7395" t="s">
        <v>13927</v>
      </c>
    </row>
    <row r="7396" spans="1:15">
      <c r="A7396" t="s">
        <v>26206</v>
      </c>
      <c r="B7396" t="s">
        <v>367</v>
      </c>
      <c r="C7396" t="s">
        <v>14806</v>
      </c>
      <c r="D7396" t="s">
        <v>31302</v>
      </c>
      <c r="E7396" t="b">
        <v>0</v>
      </c>
      <c r="F7396" t="s">
        <v>11622</v>
      </c>
      <c r="L7396">
        <v>2</v>
      </c>
      <c r="M7396">
        <v>4</v>
      </c>
      <c r="N7396">
        <v>6</v>
      </c>
    </row>
    <row r="7397" spans="1:15">
      <c r="A7397" t="s">
        <v>31303</v>
      </c>
      <c r="B7397" t="s">
        <v>367</v>
      </c>
      <c r="C7397" t="s">
        <v>31304</v>
      </c>
      <c r="D7397" t="s">
        <v>31305</v>
      </c>
      <c r="E7397" t="b">
        <v>0</v>
      </c>
      <c r="F7397" t="s">
        <v>11610</v>
      </c>
      <c r="L7397">
        <v>0</v>
      </c>
      <c r="M7397">
        <v>0</v>
      </c>
      <c r="N7397">
        <v>0</v>
      </c>
    </row>
    <row r="7398" spans="1:15">
      <c r="A7398" t="s">
        <v>31306</v>
      </c>
      <c r="B7398" t="s">
        <v>367</v>
      </c>
      <c r="C7398" t="s">
        <v>31307</v>
      </c>
      <c r="D7398" t="s">
        <v>31308</v>
      </c>
      <c r="E7398" t="b">
        <v>0</v>
      </c>
      <c r="F7398" t="s">
        <v>11624</v>
      </c>
      <c r="G7398">
        <v>-8.19679</v>
      </c>
      <c r="H7398">
        <v>157.595</v>
      </c>
      <c r="I7398" t="s">
        <v>31309</v>
      </c>
      <c r="L7398">
        <v>0</v>
      </c>
      <c r="M7398">
        <v>0</v>
      </c>
      <c r="N7398">
        <v>0</v>
      </c>
      <c r="O7398" t="s">
        <v>13346</v>
      </c>
    </row>
    <row r="7399" spans="1:15">
      <c r="A7399" t="s">
        <v>31307</v>
      </c>
      <c r="B7399" t="s">
        <v>367</v>
      </c>
      <c r="C7399" t="s">
        <v>31310</v>
      </c>
      <c r="D7399" t="s">
        <v>31311</v>
      </c>
      <c r="E7399" t="b">
        <v>0</v>
      </c>
      <c r="F7399" t="s">
        <v>11622</v>
      </c>
      <c r="L7399">
        <v>0</v>
      </c>
      <c r="M7399">
        <v>2</v>
      </c>
      <c r="N7399">
        <v>2</v>
      </c>
    </row>
    <row r="7400" spans="1:15">
      <c r="A7400" t="s">
        <v>31312</v>
      </c>
      <c r="B7400" t="s">
        <v>11607</v>
      </c>
      <c r="C7400" t="s">
        <v>31313</v>
      </c>
      <c r="D7400" t="s">
        <v>31314</v>
      </c>
      <c r="E7400" t="b">
        <v>0</v>
      </c>
      <c r="F7400" t="s">
        <v>11624</v>
      </c>
      <c r="G7400">
        <v>17.216000000000001</v>
      </c>
      <c r="H7400">
        <v>52.833399999999997</v>
      </c>
      <c r="I7400" t="s">
        <v>31315</v>
      </c>
      <c r="L7400">
        <v>0</v>
      </c>
      <c r="M7400">
        <v>0</v>
      </c>
      <c r="N7400">
        <v>0</v>
      </c>
      <c r="O7400" t="s">
        <v>17419</v>
      </c>
    </row>
    <row r="7401" spans="1:15">
      <c r="A7401" t="s">
        <v>31313</v>
      </c>
      <c r="B7401" t="s">
        <v>11607</v>
      </c>
      <c r="C7401" t="s">
        <v>26590</v>
      </c>
      <c r="D7401" t="s">
        <v>31316</v>
      </c>
      <c r="E7401" t="b">
        <v>0</v>
      </c>
      <c r="F7401" t="s">
        <v>11622</v>
      </c>
      <c r="L7401">
        <v>1</v>
      </c>
      <c r="M7401">
        <v>4</v>
      </c>
      <c r="N7401">
        <v>3</v>
      </c>
    </row>
    <row r="7402" spans="1:15">
      <c r="A7402" t="s">
        <v>31317</v>
      </c>
      <c r="B7402" t="s">
        <v>11981</v>
      </c>
      <c r="C7402" t="s">
        <v>30534</v>
      </c>
      <c r="D7402" t="s">
        <v>31318</v>
      </c>
      <c r="E7402" t="b">
        <v>0</v>
      </c>
      <c r="F7402" t="s">
        <v>11624</v>
      </c>
      <c r="G7402">
        <v>10.78646</v>
      </c>
      <c r="H7402">
        <v>106.68073</v>
      </c>
      <c r="I7402" t="s">
        <v>31319</v>
      </c>
      <c r="L7402">
        <v>0</v>
      </c>
      <c r="M7402">
        <v>0</v>
      </c>
      <c r="N7402">
        <v>0</v>
      </c>
      <c r="O7402" t="s">
        <v>15949</v>
      </c>
    </row>
    <row r="7403" spans="1:15">
      <c r="A7403" t="s">
        <v>31320</v>
      </c>
      <c r="B7403" t="s">
        <v>8897</v>
      </c>
      <c r="C7403" t="s">
        <v>31321</v>
      </c>
      <c r="D7403" t="s">
        <v>31322</v>
      </c>
      <c r="E7403" t="b">
        <v>0</v>
      </c>
      <c r="F7403" t="s">
        <v>11624</v>
      </c>
      <c r="G7403">
        <v>43.5</v>
      </c>
      <c r="H7403">
        <v>-88.5</v>
      </c>
      <c r="I7403" t="s">
        <v>31323</v>
      </c>
      <c r="L7403">
        <v>0</v>
      </c>
      <c r="M7403">
        <v>0</v>
      </c>
      <c r="N7403">
        <v>2</v>
      </c>
      <c r="O7403" t="s">
        <v>11944</v>
      </c>
    </row>
    <row r="7404" spans="1:15">
      <c r="A7404" t="s">
        <v>31324</v>
      </c>
      <c r="B7404" t="s">
        <v>367</v>
      </c>
      <c r="C7404" t="s">
        <v>14352</v>
      </c>
      <c r="D7404" t="s">
        <v>31325</v>
      </c>
      <c r="E7404" t="b">
        <v>0</v>
      </c>
      <c r="F7404" t="s">
        <v>11610</v>
      </c>
      <c r="L7404">
        <v>0</v>
      </c>
      <c r="M7404">
        <v>0</v>
      </c>
      <c r="N7404">
        <v>0</v>
      </c>
    </row>
    <row r="7405" spans="1:15">
      <c r="A7405" t="s">
        <v>31326</v>
      </c>
      <c r="B7405" t="s">
        <v>11637</v>
      </c>
      <c r="C7405" t="s">
        <v>31327</v>
      </c>
      <c r="D7405" t="s">
        <v>31328</v>
      </c>
      <c r="E7405" t="b">
        <v>0</v>
      </c>
      <c r="F7405" t="s">
        <v>11610</v>
      </c>
      <c r="L7405">
        <v>0</v>
      </c>
      <c r="M7405">
        <v>0</v>
      </c>
      <c r="N7405">
        <v>0</v>
      </c>
    </row>
    <row r="7406" spans="1:15">
      <c r="A7406" t="s">
        <v>31329</v>
      </c>
      <c r="B7406" t="s">
        <v>12218</v>
      </c>
      <c r="C7406" t="s">
        <v>29698</v>
      </c>
      <c r="D7406" t="s">
        <v>31330</v>
      </c>
      <c r="E7406" t="b">
        <v>0</v>
      </c>
      <c r="F7406" t="s">
        <v>11610</v>
      </c>
      <c r="L7406">
        <v>0</v>
      </c>
      <c r="M7406">
        <v>0</v>
      </c>
      <c r="N7406">
        <v>0</v>
      </c>
    </row>
    <row r="7407" spans="1:15">
      <c r="A7407" t="s">
        <v>3655</v>
      </c>
      <c r="B7407" t="s">
        <v>11607</v>
      </c>
      <c r="C7407" t="s">
        <v>3332</v>
      </c>
      <c r="D7407" t="s">
        <v>31331</v>
      </c>
      <c r="E7407" t="b">
        <v>0</v>
      </c>
      <c r="F7407" t="s">
        <v>11610</v>
      </c>
      <c r="L7407">
        <v>0</v>
      </c>
      <c r="M7407">
        <v>0</v>
      </c>
      <c r="N7407">
        <v>0</v>
      </c>
    </row>
    <row r="7408" spans="1:15">
      <c r="A7408" t="s">
        <v>31332</v>
      </c>
      <c r="B7408" t="s">
        <v>367</v>
      </c>
      <c r="C7408" t="s">
        <v>31333</v>
      </c>
      <c r="D7408" t="s">
        <v>31334</v>
      </c>
      <c r="E7408" t="b">
        <v>0</v>
      </c>
      <c r="F7408" t="s">
        <v>11610</v>
      </c>
      <c r="L7408">
        <v>0</v>
      </c>
      <c r="M7408">
        <v>0</v>
      </c>
      <c r="N7408">
        <v>0</v>
      </c>
    </row>
    <row r="7409" spans="1:15">
      <c r="A7409" t="s">
        <v>31335</v>
      </c>
      <c r="B7409" t="s">
        <v>367</v>
      </c>
      <c r="C7409" t="s">
        <v>22390</v>
      </c>
      <c r="D7409" t="s">
        <v>31336</v>
      </c>
      <c r="E7409" t="b">
        <v>0</v>
      </c>
      <c r="F7409" t="s">
        <v>11610</v>
      </c>
      <c r="L7409">
        <v>0</v>
      </c>
      <c r="M7409">
        <v>0</v>
      </c>
      <c r="N7409">
        <v>0</v>
      </c>
    </row>
    <row r="7410" spans="1:15">
      <c r="A7410" t="s">
        <v>31337</v>
      </c>
      <c r="B7410" t="s">
        <v>22598</v>
      </c>
      <c r="C7410" t="s">
        <v>31338</v>
      </c>
      <c r="D7410" t="s">
        <v>31339</v>
      </c>
      <c r="E7410" t="b">
        <v>0</v>
      </c>
      <c r="F7410" t="s">
        <v>11610</v>
      </c>
      <c r="L7410">
        <v>0</v>
      </c>
      <c r="M7410">
        <v>0</v>
      </c>
      <c r="N7410">
        <v>0</v>
      </c>
    </row>
    <row r="7411" spans="1:15">
      <c r="A7411" t="s">
        <v>31340</v>
      </c>
      <c r="B7411" t="s">
        <v>11894</v>
      </c>
      <c r="C7411" t="s">
        <v>16712</v>
      </c>
      <c r="D7411" t="s">
        <v>31341</v>
      </c>
      <c r="E7411" t="b">
        <v>0</v>
      </c>
      <c r="F7411" t="s">
        <v>11610</v>
      </c>
      <c r="L7411">
        <v>0</v>
      </c>
      <c r="M7411">
        <v>0</v>
      </c>
      <c r="N7411">
        <v>0</v>
      </c>
    </row>
    <row r="7412" spans="1:15">
      <c r="A7412" t="s">
        <v>31342</v>
      </c>
      <c r="B7412" t="s">
        <v>11794</v>
      </c>
      <c r="C7412" t="s">
        <v>31343</v>
      </c>
      <c r="D7412" t="s">
        <v>31344</v>
      </c>
      <c r="E7412" t="b">
        <v>0</v>
      </c>
      <c r="F7412" t="s">
        <v>11624</v>
      </c>
      <c r="I7412" t="s">
        <v>31345</v>
      </c>
      <c r="L7412">
        <v>0</v>
      </c>
      <c r="M7412">
        <v>0</v>
      </c>
      <c r="N7412">
        <v>0</v>
      </c>
      <c r="O7412" t="s">
        <v>11660</v>
      </c>
    </row>
    <row r="7413" spans="1:15">
      <c r="A7413" t="s">
        <v>28113</v>
      </c>
      <c r="B7413" t="s">
        <v>11644</v>
      </c>
      <c r="C7413" t="s">
        <v>22300</v>
      </c>
      <c r="D7413" t="s">
        <v>31346</v>
      </c>
      <c r="E7413" t="b">
        <v>0</v>
      </c>
      <c r="F7413" t="s">
        <v>11610</v>
      </c>
      <c r="G7413">
        <v>24.994520000000001</v>
      </c>
      <c r="H7413">
        <v>118.597442</v>
      </c>
      <c r="L7413">
        <v>0</v>
      </c>
      <c r="M7413">
        <v>0</v>
      </c>
      <c r="N7413">
        <v>4</v>
      </c>
    </row>
    <row r="7414" spans="1:15">
      <c r="A7414" t="s">
        <v>31347</v>
      </c>
      <c r="B7414" t="s">
        <v>85</v>
      </c>
      <c r="C7414" t="s">
        <v>84</v>
      </c>
      <c r="D7414" t="s">
        <v>31348</v>
      </c>
      <c r="E7414" t="b">
        <v>0</v>
      </c>
      <c r="F7414" t="s">
        <v>11610</v>
      </c>
      <c r="L7414">
        <v>0</v>
      </c>
      <c r="M7414">
        <v>0</v>
      </c>
      <c r="N7414">
        <v>0</v>
      </c>
    </row>
    <row r="7415" spans="1:15">
      <c r="A7415" t="s">
        <v>31349</v>
      </c>
      <c r="B7415" t="s">
        <v>4342</v>
      </c>
      <c r="C7415" t="s">
        <v>26317</v>
      </c>
      <c r="D7415" t="s">
        <v>31350</v>
      </c>
      <c r="E7415" t="b">
        <v>0</v>
      </c>
      <c r="F7415" t="s">
        <v>11610</v>
      </c>
      <c r="L7415">
        <v>0</v>
      </c>
      <c r="M7415">
        <v>0</v>
      </c>
      <c r="N7415">
        <v>0</v>
      </c>
    </row>
    <row r="7416" spans="1:15">
      <c r="A7416" t="s">
        <v>194</v>
      </c>
      <c r="B7416" t="s">
        <v>85</v>
      </c>
      <c r="C7416" t="s">
        <v>85</v>
      </c>
      <c r="D7416" t="s">
        <v>31351</v>
      </c>
      <c r="E7416" t="b">
        <v>0</v>
      </c>
      <c r="F7416" t="s">
        <v>11622</v>
      </c>
      <c r="L7416">
        <v>0</v>
      </c>
      <c r="M7416">
        <v>2</v>
      </c>
      <c r="N7416">
        <v>2</v>
      </c>
    </row>
    <row r="7417" spans="1:15">
      <c r="A7417" t="s">
        <v>28119</v>
      </c>
      <c r="B7417" t="s">
        <v>4342</v>
      </c>
      <c r="C7417" t="s">
        <v>22912</v>
      </c>
      <c r="D7417" t="s">
        <v>31352</v>
      </c>
      <c r="E7417" t="b">
        <v>0</v>
      </c>
      <c r="F7417" t="s">
        <v>11610</v>
      </c>
      <c r="L7417">
        <v>0</v>
      </c>
      <c r="M7417">
        <v>0</v>
      </c>
      <c r="N7417">
        <v>5</v>
      </c>
    </row>
    <row r="7418" spans="1:15">
      <c r="A7418" t="s">
        <v>31353</v>
      </c>
      <c r="B7418" t="s">
        <v>4342</v>
      </c>
      <c r="C7418" t="s">
        <v>22979</v>
      </c>
      <c r="D7418" t="s">
        <v>31354</v>
      </c>
      <c r="E7418" t="b">
        <v>0</v>
      </c>
      <c r="F7418" t="s">
        <v>11610</v>
      </c>
      <c r="L7418">
        <v>0</v>
      </c>
      <c r="M7418">
        <v>0</v>
      </c>
      <c r="N7418">
        <v>0</v>
      </c>
    </row>
    <row r="7419" spans="1:15">
      <c r="A7419" t="s">
        <v>31355</v>
      </c>
      <c r="B7419" t="s">
        <v>11844</v>
      </c>
      <c r="C7419" t="s">
        <v>13179</v>
      </c>
      <c r="D7419" t="s">
        <v>31356</v>
      </c>
      <c r="E7419" t="b">
        <v>0</v>
      </c>
      <c r="F7419" t="s">
        <v>11624</v>
      </c>
      <c r="G7419">
        <v>21.5259</v>
      </c>
      <c r="H7419">
        <v>79.916399999999996</v>
      </c>
      <c r="I7419" t="s">
        <v>31357</v>
      </c>
      <c r="L7419">
        <v>0</v>
      </c>
      <c r="M7419">
        <v>0</v>
      </c>
      <c r="N7419">
        <v>0</v>
      </c>
      <c r="O7419" t="s">
        <v>11630</v>
      </c>
    </row>
    <row r="7420" spans="1:15">
      <c r="A7420" t="s">
        <v>31358</v>
      </c>
      <c r="B7420" t="s">
        <v>367</v>
      </c>
      <c r="C7420" t="s">
        <v>20446</v>
      </c>
      <c r="D7420" t="s">
        <v>31359</v>
      </c>
      <c r="E7420" t="b">
        <v>0</v>
      </c>
      <c r="F7420" t="s">
        <v>11610</v>
      </c>
      <c r="L7420">
        <v>0</v>
      </c>
      <c r="M7420">
        <v>0</v>
      </c>
      <c r="N7420">
        <v>0</v>
      </c>
    </row>
    <row r="7421" spans="1:15">
      <c r="A7421" t="s">
        <v>31360</v>
      </c>
      <c r="B7421" t="s">
        <v>12460</v>
      </c>
      <c r="C7421" t="s">
        <v>12461</v>
      </c>
      <c r="D7421" t="s">
        <v>31361</v>
      </c>
      <c r="E7421" t="b">
        <v>0</v>
      </c>
      <c r="F7421" t="s">
        <v>11624</v>
      </c>
      <c r="G7421">
        <v>62.726599999999998</v>
      </c>
      <c r="H7421">
        <v>-159.83099999999999</v>
      </c>
      <c r="I7421" t="s">
        <v>31362</v>
      </c>
      <c r="L7421">
        <v>0</v>
      </c>
      <c r="M7421">
        <v>0</v>
      </c>
      <c r="N7421">
        <v>0</v>
      </c>
      <c r="O7421" t="s">
        <v>11944</v>
      </c>
    </row>
    <row r="7422" spans="1:15">
      <c r="A7422" t="s">
        <v>31363</v>
      </c>
      <c r="B7422" t="s">
        <v>11981</v>
      </c>
      <c r="C7422" t="s">
        <v>31364</v>
      </c>
      <c r="D7422" t="s">
        <v>31365</v>
      </c>
      <c r="E7422" t="b">
        <v>0</v>
      </c>
      <c r="F7422" t="s">
        <v>11610</v>
      </c>
      <c r="L7422">
        <v>0</v>
      </c>
      <c r="M7422">
        <v>0</v>
      </c>
      <c r="N7422">
        <v>0</v>
      </c>
    </row>
    <row r="7423" spans="1:15">
      <c r="A7423" t="s">
        <v>31366</v>
      </c>
      <c r="B7423" t="s">
        <v>11607</v>
      </c>
      <c r="C7423" t="s">
        <v>31367</v>
      </c>
      <c r="D7423" t="s">
        <v>31368</v>
      </c>
      <c r="E7423" t="b">
        <v>0</v>
      </c>
      <c r="F7423" t="s">
        <v>11624</v>
      </c>
      <c r="G7423">
        <v>9.9684299999999997</v>
      </c>
      <c r="H7423">
        <v>13.199490000000001</v>
      </c>
      <c r="I7423" t="s">
        <v>31369</v>
      </c>
      <c r="L7423">
        <v>0</v>
      </c>
      <c r="M7423">
        <v>0</v>
      </c>
      <c r="N7423">
        <v>0</v>
      </c>
      <c r="O7423" t="s">
        <v>11693</v>
      </c>
    </row>
    <row r="7424" spans="1:15">
      <c r="A7424" t="s">
        <v>31370</v>
      </c>
      <c r="B7424" t="s">
        <v>6742</v>
      </c>
      <c r="C7424" t="s">
        <v>20695</v>
      </c>
      <c r="D7424" t="s">
        <v>31371</v>
      </c>
      <c r="E7424" t="b">
        <v>0</v>
      </c>
      <c r="F7424" t="s">
        <v>11624</v>
      </c>
      <c r="G7424">
        <v>-5.3754499999999998</v>
      </c>
      <c r="H7424">
        <v>28.327400000000001</v>
      </c>
      <c r="I7424" t="s">
        <v>31372</v>
      </c>
      <c r="L7424">
        <v>0</v>
      </c>
      <c r="M7424">
        <v>0</v>
      </c>
      <c r="N7424">
        <v>0</v>
      </c>
      <c r="O7424" t="s">
        <v>14825</v>
      </c>
    </row>
    <row r="7425" spans="1:15">
      <c r="A7425" t="s">
        <v>31373</v>
      </c>
      <c r="B7425" t="s">
        <v>11637</v>
      </c>
      <c r="C7425" t="s">
        <v>24930</v>
      </c>
      <c r="D7425" t="s">
        <v>31374</v>
      </c>
      <c r="E7425" t="b">
        <v>0</v>
      </c>
      <c r="F7425" t="s">
        <v>11610</v>
      </c>
      <c r="L7425">
        <v>0</v>
      </c>
      <c r="M7425">
        <v>0</v>
      </c>
      <c r="N7425">
        <v>0</v>
      </c>
    </row>
    <row r="7426" spans="1:15">
      <c r="A7426" t="s">
        <v>31375</v>
      </c>
      <c r="B7426" t="s">
        <v>6742</v>
      </c>
      <c r="C7426" t="s">
        <v>31376</v>
      </c>
      <c r="D7426" t="s">
        <v>31377</v>
      </c>
      <c r="E7426" t="b">
        <v>0</v>
      </c>
      <c r="F7426" t="s">
        <v>11624</v>
      </c>
      <c r="G7426">
        <v>-8.1475399999999993</v>
      </c>
      <c r="H7426">
        <v>17.571999999999999</v>
      </c>
      <c r="I7426" t="s">
        <v>31378</v>
      </c>
      <c r="L7426">
        <v>0</v>
      </c>
      <c r="M7426">
        <v>0</v>
      </c>
      <c r="N7426">
        <v>2</v>
      </c>
      <c r="O7426" t="s">
        <v>31379</v>
      </c>
    </row>
    <row r="7427" spans="1:15">
      <c r="A7427" t="s">
        <v>31376</v>
      </c>
      <c r="B7427" t="s">
        <v>6742</v>
      </c>
      <c r="C7427" t="s">
        <v>31380</v>
      </c>
      <c r="D7427" t="s">
        <v>31381</v>
      </c>
      <c r="E7427" t="b">
        <v>0</v>
      </c>
      <c r="F7427" t="s">
        <v>11622</v>
      </c>
      <c r="L7427">
        <v>1</v>
      </c>
      <c r="M7427">
        <v>4</v>
      </c>
      <c r="N7427">
        <v>4</v>
      </c>
    </row>
    <row r="7428" spans="1:15">
      <c r="A7428" t="s">
        <v>31382</v>
      </c>
      <c r="B7428" t="s">
        <v>6742</v>
      </c>
      <c r="C7428" t="s">
        <v>31383</v>
      </c>
      <c r="D7428" t="s">
        <v>31384</v>
      </c>
      <c r="E7428" t="b">
        <v>0</v>
      </c>
      <c r="F7428" t="s">
        <v>11624</v>
      </c>
      <c r="G7428">
        <v>4.97912</v>
      </c>
      <c r="H7428">
        <v>28.003900000000002</v>
      </c>
      <c r="I7428" t="s">
        <v>31385</v>
      </c>
      <c r="L7428">
        <v>0</v>
      </c>
      <c r="M7428">
        <v>0</v>
      </c>
      <c r="N7428">
        <v>0</v>
      </c>
      <c r="O7428" t="s">
        <v>11910</v>
      </c>
    </row>
    <row r="7429" spans="1:15">
      <c r="A7429" t="s">
        <v>31386</v>
      </c>
      <c r="B7429" t="s">
        <v>6742</v>
      </c>
      <c r="C7429" t="s">
        <v>16641</v>
      </c>
      <c r="D7429" t="s">
        <v>31387</v>
      </c>
      <c r="E7429" t="b">
        <v>0</v>
      </c>
      <c r="F7429" t="s">
        <v>11610</v>
      </c>
      <c r="L7429">
        <v>0</v>
      </c>
      <c r="M7429">
        <v>0</v>
      </c>
      <c r="N7429">
        <v>0</v>
      </c>
    </row>
    <row r="7430" spans="1:15">
      <c r="A7430" t="s">
        <v>31388</v>
      </c>
      <c r="B7430" t="s">
        <v>6742</v>
      </c>
      <c r="C7430" t="s">
        <v>19556</v>
      </c>
      <c r="D7430" t="s">
        <v>31389</v>
      </c>
      <c r="E7430" t="b">
        <v>0</v>
      </c>
      <c r="F7430" t="s">
        <v>11610</v>
      </c>
      <c r="L7430">
        <v>0</v>
      </c>
      <c r="M7430">
        <v>0</v>
      </c>
      <c r="N7430">
        <v>0</v>
      </c>
    </row>
    <row r="7431" spans="1:15">
      <c r="A7431" t="s">
        <v>31390</v>
      </c>
      <c r="B7431" t="s">
        <v>9348</v>
      </c>
      <c r="C7431" t="s">
        <v>20051</v>
      </c>
      <c r="D7431" t="s">
        <v>31391</v>
      </c>
      <c r="E7431" t="b">
        <v>0</v>
      </c>
      <c r="F7431" t="s">
        <v>11610</v>
      </c>
      <c r="L7431">
        <v>0</v>
      </c>
      <c r="M7431">
        <v>0</v>
      </c>
      <c r="N7431">
        <v>0</v>
      </c>
    </row>
    <row r="7432" spans="1:15">
      <c r="A7432" t="s">
        <v>14027</v>
      </c>
      <c r="B7432" t="s">
        <v>11637</v>
      </c>
      <c r="C7432" t="s">
        <v>26593</v>
      </c>
      <c r="D7432" t="s">
        <v>31392</v>
      </c>
      <c r="E7432" t="b">
        <v>0</v>
      </c>
      <c r="F7432" t="s">
        <v>11624</v>
      </c>
      <c r="I7432" t="s">
        <v>31393</v>
      </c>
      <c r="L7432">
        <v>0</v>
      </c>
      <c r="M7432">
        <v>0</v>
      </c>
      <c r="N7432">
        <v>45</v>
      </c>
      <c r="O7432" t="s">
        <v>16254</v>
      </c>
    </row>
    <row r="7433" spans="1:15">
      <c r="A7433" t="s">
        <v>31394</v>
      </c>
      <c r="B7433" t="s">
        <v>12438</v>
      </c>
      <c r="C7433" t="s">
        <v>14927</v>
      </c>
      <c r="D7433" t="s">
        <v>31395</v>
      </c>
      <c r="E7433" t="b">
        <v>0</v>
      </c>
      <c r="F7433" t="s">
        <v>11622</v>
      </c>
      <c r="L7433">
        <v>0</v>
      </c>
      <c r="M7433">
        <v>2</v>
      </c>
      <c r="N7433">
        <v>2</v>
      </c>
    </row>
    <row r="7434" spans="1:15">
      <c r="A7434" t="s">
        <v>31396</v>
      </c>
      <c r="B7434" t="s">
        <v>11981</v>
      </c>
      <c r="C7434" t="s">
        <v>22722</v>
      </c>
      <c r="D7434" t="s">
        <v>31397</v>
      </c>
      <c r="E7434" t="b">
        <v>0</v>
      </c>
      <c r="F7434" t="s">
        <v>11624</v>
      </c>
      <c r="G7434">
        <v>14.622</v>
      </c>
      <c r="H7434">
        <v>-87.224000000000004</v>
      </c>
      <c r="I7434" t="s">
        <v>31398</v>
      </c>
      <c r="L7434">
        <v>0</v>
      </c>
      <c r="M7434">
        <v>0</v>
      </c>
      <c r="N7434">
        <v>0</v>
      </c>
      <c r="O7434" t="s">
        <v>31399</v>
      </c>
    </row>
    <row r="7435" spans="1:15">
      <c r="A7435" t="s">
        <v>31400</v>
      </c>
      <c r="B7435" t="s">
        <v>17576</v>
      </c>
      <c r="C7435" t="s">
        <v>6422</v>
      </c>
      <c r="D7435" t="s">
        <v>31401</v>
      </c>
      <c r="E7435" t="b">
        <v>0</v>
      </c>
      <c r="F7435" t="s">
        <v>11610</v>
      </c>
      <c r="L7435">
        <v>0</v>
      </c>
      <c r="M7435">
        <v>0</v>
      </c>
      <c r="N7435">
        <v>0</v>
      </c>
    </row>
    <row r="7436" spans="1:15">
      <c r="A7436" t="s">
        <v>30364</v>
      </c>
      <c r="B7436" t="s">
        <v>6742</v>
      </c>
      <c r="C7436" t="s">
        <v>31402</v>
      </c>
      <c r="D7436" t="s">
        <v>31403</v>
      </c>
      <c r="E7436" t="b">
        <v>0</v>
      </c>
      <c r="F7436" t="s">
        <v>11624</v>
      </c>
      <c r="G7436">
        <v>9.7971500000000002</v>
      </c>
      <c r="H7436">
        <v>10.9206</v>
      </c>
      <c r="I7436" t="s">
        <v>31404</v>
      </c>
      <c r="L7436">
        <v>0</v>
      </c>
      <c r="M7436">
        <v>0</v>
      </c>
      <c r="N7436">
        <v>2</v>
      </c>
      <c r="O7436" t="s">
        <v>11693</v>
      </c>
    </row>
    <row r="7437" spans="1:15">
      <c r="A7437" t="s">
        <v>31405</v>
      </c>
      <c r="B7437" t="s">
        <v>5058</v>
      </c>
      <c r="C7437" t="s">
        <v>31406</v>
      </c>
      <c r="D7437" t="s">
        <v>31407</v>
      </c>
      <c r="E7437" t="b">
        <v>0</v>
      </c>
      <c r="F7437" t="s">
        <v>11622</v>
      </c>
      <c r="L7437">
        <v>0</v>
      </c>
      <c r="M7437">
        <v>2</v>
      </c>
      <c r="N7437">
        <v>2</v>
      </c>
    </row>
    <row r="7438" spans="1:15">
      <c r="A7438" t="s">
        <v>31408</v>
      </c>
      <c r="B7438" t="s">
        <v>11981</v>
      </c>
      <c r="C7438" t="s">
        <v>22615</v>
      </c>
      <c r="D7438" t="s">
        <v>31409</v>
      </c>
      <c r="E7438" t="b">
        <v>0</v>
      </c>
      <c r="F7438" t="s">
        <v>11624</v>
      </c>
      <c r="G7438">
        <v>22.160630999999999</v>
      </c>
      <c r="H7438">
        <v>113.55522499999999</v>
      </c>
      <c r="I7438" t="s">
        <v>31410</v>
      </c>
      <c r="L7438">
        <v>0</v>
      </c>
      <c r="M7438">
        <v>0</v>
      </c>
      <c r="N7438">
        <v>0</v>
      </c>
      <c r="O7438" t="s">
        <v>11905</v>
      </c>
    </row>
    <row r="7439" spans="1:15">
      <c r="A7439" t="s">
        <v>31411</v>
      </c>
      <c r="B7439" t="s">
        <v>5126</v>
      </c>
      <c r="C7439" t="s">
        <v>14107</v>
      </c>
      <c r="D7439" t="s">
        <v>31412</v>
      </c>
      <c r="E7439" t="b">
        <v>0</v>
      </c>
      <c r="F7439" t="s">
        <v>11610</v>
      </c>
      <c r="L7439">
        <v>0</v>
      </c>
      <c r="M7439">
        <v>0</v>
      </c>
      <c r="N7439">
        <v>0</v>
      </c>
    </row>
    <row r="7440" spans="1:15">
      <c r="A7440" t="s">
        <v>31413</v>
      </c>
      <c r="B7440" t="s">
        <v>11644</v>
      </c>
      <c r="C7440" t="s">
        <v>31414</v>
      </c>
      <c r="D7440" t="s">
        <v>31415</v>
      </c>
      <c r="E7440" t="b">
        <v>0</v>
      </c>
      <c r="F7440" t="s">
        <v>11610</v>
      </c>
      <c r="L7440">
        <v>0</v>
      </c>
      <c r="M7440">
        <v>0</v>
      </c>
      <c r="N7440">
        <v>0</v>
      </c>
    </row>
    <row r="7441" spans="1:15">
      <c r="A7441" t="s">
        <v>31416</v>
      </c>
      <c r="B7441" t="s">
        <v>11644</v>
      </c>
      <c r="C7441" t="s">
        <v>31414</v>
      </c>
      <c r="D7441" t="s">
        <v>31417</v>
      </c>
      <c r="E7441" t="b">
        <v>0</v>
      </c>
      <c r="F7441" t="s">
        <v>11610</v>
      </c>
      <c r="L7441">
        <v>0</v>
      </c>
      <c r="M7441">
        <v>0</v>
      </c>
      <c r="N7441">
        <v>0</v>
      </c>
    </row>
    <row r="7442" spans="1:15">
      <c r="A7442" t="s">
        <v>15980</v>
      </c>
      <c r="B7442" t="s">
        <v>11644</v>
      </c>
      <c r="C7442" t="s">
        <v>18533</v>
      </c>
      <c r="D7442" t="s">
        <v>31418</v>
      </c>
      <c r="E7442" t="b">
        <v>0</v>
      </c>
      <c r="F7442" t="s">
        <v>11624</v>
      </c>
      <c r="G7442">
        <v>23.2074</v>
      </c>
      <c r="H7442">
        <v>101.886</v>
      </c>
      <c r="I7442" t="s">
        <v>31419</v>
      </c>
      <c r="L7442">
        <v>0</v>
      </c>
      <c r="M7442">
        <v>0</v>
      </c>
      <c r="N7442">
        <v>1</v>
      </c>
      <c r="O7442" t="s">
        <v>11905</v>
      </c>
    </row>
    <row r="7443" spans="1:15">
      <c r="A7443" t="s">
        <v>31420</v>
      </c>
      <c r="B7443" t="s">
        <v>26147</v>
      </c>
      <c r="C7443" t="s">
        <v>29421</v>
      </c>
      <c r="D7443" t="s">
        <v>31421</v>
      </c>
      <c r="E7443" t="b">
        <v>0</v>
      </c>
      <c r="F7443" t="s">
        <v>11610</v>
      </c>
      <c r="L7443">
        <v>0</v>
      </c>
      <c r="M7443">
        <v>0</v>
      </c>
      <c r="N7443">
        <v>0</v>
      </c>
    </row>
    <row r="7444" spans="1:15">
      <c r="A7444" t="s">
        <v>31422</v>
      </c>
      <c r="B7444" t="s">
        <v>4342</v>
      </c>
      <c r="C7444" t="s">
        <v>31063</v>
      </c>
      <c r="D7444" t="s">
        <v>31423</v>
      </c>
      <c r="E7444" t="b">
        <v>0</v>
      </c>
      <c r="F7444" t="s">
        <v>11610</v>
      </c>
      <c r="L7444">
        <v>0</v>
      </c>
      <c r="M7444">
        <v>0</v>
      </c>
      <c r="N7444">
        <v>3</v>
      </c>
    </row>
    <row r="7445" spans="1:15">
      <c r="A7445" t="s">
        <v>31424</v>
      </c>
      <c r="B7445" t="s">
        <v>367</v>
      </c>
      <c r="C7445" t="s">
        <v>31425</v>
      </c>
      <c r="D7445" t="s">
        <v>31426</v>
      </c>
      <c r="E7445" t="b">
        <v>0</v>
      </c>
      <c r="F7445" t="s">
        <v>11610</v>
      </c>
      <c r="L7445">
        <v>0</v>
      </c>
      <c r="M7445">
        <v>0</v>
      </c>
      <c r="N7445">
        <v>0</v>
      </c>
    </row>
    <row r="7446" spans="1:15">
      <c r="A7446" t="s">
        <v>31427</v>
      </c>
      <c r="B7446" t="s">
        <v>6742</v>
      </c>
      <c r="C7446" t="s">
        <v>16872</v>
      </c>
      <c r="D7446" t="s">
        <v>31428</v>
      </c>
      <c r="E7446" t="b">
        <v>0</v>
      </c>
      <c r="F7446" t="s">
        <v>11610</v>
      </c>
      <c r="L7446">
        <v>0</v>
      </c>
      <c r="M7446">
        <v>0</v>
      </c>
      <c r="N7446">
        <v>0</v>
      </c>
    </row>
    <row r="7447" spans="1:15">
      <c r="A7447" t="s">
        <v>31429</v>
      </c>
      <c r="B7447" t="s">
        <v>11607</v>
      </c>
      <c r="C7447" t="s">
        <v>24344</v>
      </c>
      <c r="D7447" t="s">
        <v>31430</v>
      </c>
      <c r="E7447" t="b">
        <v>0</v>
      </c>
      <c r="F7447" t="s">
        <v>11610</v>
      </c>
      <c r="L7447">
        <v>0</v>
      </c>
      <c r="M7447">
        <v>0</v>
      </c>
      <c r="N7447">
        <v>0</v>
      </c>
    </row>
    <row r="7448" spans="1:15">
      <c r="A7448" t="s">
        <v>22122</v>
      </c>
      <c r="B7448" t="s">
        <v>12438</v>
      </c>
      <c r="C7448" t="s">
        <v>31394</v>
      </c>
      <c r="D7448" t="s">
        <v>31431</v>
      </c>
      <c r="E7448" t="b">
        <v>0</v>
      </c>
      <c r="F7448" t="s">
        <v>11624</v>
      </c>
      <c r="G7448">
        <v>23.959599999999998</v>
      </c>
      <c r="H7448">
        <v>87.118799999999993</v>
      </c>
      <c r="I7448" t="s">
        <v>31432</v>
      </c>
      <c r="L7448">
        <v>0</v>
      </c>
      <c r="M7448">
        <v>0</v>
      </c>
      <c r="N7448">
        <v>2</v>
      </c>
      <c r="O7448" t="s">
        <v>11630</v>
      </c>
    </row>
    <row r="7449" spans="1:15">
      <c r="A7449" t="s">
        <v>31433</v>
      </c>
      <c r="B7449" t="s">
        <v>6742</v>
      </c>
      <c r="C7449" t="s">
        <v>134</v>
      </c>
      <c r="D7449" t="s">
        <v>31434</v>
      </c>
      <c r="E7449" t="b">
        <v>0</v>
      </c>
      <c r="F7449" t="s">
        <v>11610</v>
      </c>
      <c r="L7449">
        <v>0</v>
      </c>
      <c r="M7449">
        <v>0</v>
      </c>
      <c r="N7449">
        <v>0</v>
      </c>
    </row>
    <row r="7450" spans="1:15">
      <c r="A7450" t="s">
        <v>31435</v>
      </c>
      <c r="B7450" t="s">
        <v>13014</v>
      </c>
      <c r="C7450" t="s">
        <v>4307</v>
      </c>
      <c r="D7450" t="s">
        <v>31436</v>
      </c>
      <c r="E7450" t="b">
        <v>0</v>
      </c>
      <c r="F7450" t="s">
        <v>11610</v>
      </c>
      <c r="L7450">
        <v>0</v>
      </c>
      <c r="M7450">
        <v>0</v>
      </c>
      <c r="N7450">
        <v>0</v>
      </c>
    </row>
    <row r="7451" spans="1:15">
      <c r="A7451" t="s">
        <v>31437</v>
      </c>
      <c r="B7451" t="s">
        <v>11644</v>
      </c>
      <c r="C7451" t="s">
        <v>13896</v>
      </c>
      <c r="D7451" t="s">
        <v>31438</v>
      </c>
      <c r="E7451" t="b">
        <v>0</v>
      </c>
      <c r="F7451" t="s">
        <v>11610</v>
      </c>
      <c r="L7451">
        <v>0</v>
      </c>
      <c r="M7451">
        <v>0</v>
      </c>
      <c r="N7451">
        <v>0</v>
      </c>
    </row>
    <row r="7452" spans="1:15">
      <c r="A7452" t="s">
        <v>433</v>
      </c>
      <c r="B7452" t="s">
        <v>12751</v>
      </c>
      <c r="C7452" t="s">
        <v>20948</v>
      </c>
      <c r="D7452" t="s">
        <v>432</v>
      </c>
      <c r="E7452" t="b">
        <v>0</v>
      </c>
      <c r="F7452" t="s">
        <v>11624</v>
      </c>
      <c r="G7452">
        <v>35.765300000000003</v>
      </c>
      <c r="H7452">
        <v>-110.535</v>
      </c>
      <c r="I7452" t="s">
        <v>434</v>
      </c>
      <c r="L7452">
        <v>0</v>
      </c>
      <c r="M7452">
        <v>0</v>
      </c>
      <c r="N7452">
        <v>0</v>
      </c>
      <c r="O7452" t="s">
        <v>11944</v>
      </c>
    </row>
    <row r="7453" spans="1:15">
      <c r="A7453" t="s">
        <v>31439</v>
      </c>
      <c r="B7453" t="s">
        <v>21717</v>
      </c>
      <c r="C7453" t="s">
        <v>21716</v>
      </c>
      <c r="D7453" t="s">
        <v>31440</v>
      </c>
      <c r="E7453" t="b">
        <v>0</v>
      </c>
      <c r="F7453" t="s">
        <v>11610</v>
      </c>
      <c r="L7453">
        <v>0</v>
      </c>
      <c r="M7453">
        <v>0</v>
      </c>
      <c r="N7453">
        <v>0</v>
      </c>
    </row>
    <row r="7454" spans="1:15">
      <c r="A7454" t="s">
        <v>31441</v>
      </c>
      <c r="B7454" t="s">
        <v>367</v>
      </c>
      <c r="C7454" t="s">
        <v>31442</v>
      </c>
      <c r="D7454" t="s">
        <v>31443</v>
      </c>
      <c r="E7454" t="b">
        <v>0</v>
      </c>
      <c r="F7454" t="s">
        <v>11610</v>
      </c>
      <c r="L7454">
        <v>0</v>
      </c>
      <c r="M7454">
        <v>0</v>
      </c>
      <c r="N7454">
        <v>0</v>
      </c>
    </row>
    <row r="7455" spans="1:15">
      <c r="A7455" t="s">
        <v>31444</v>
      </c>
      <c r="B7455" t="s">
        <v>13450</v>
      </c>
      <c r="C7455" t="s">
        <v>31445</v>
      </c>
      <c r="D7455" t="s">
        <v>31446</v>
      </c>
      <c r="E7455" t="b">
        <v>0</v>
      </c>
      <c r="F7455" t="s">
        <v>11624</v>
      </c>
      <c r="G7455">
        <v>3.0051760000000001</v>
      </c>
      <c r="H7455">
        <v>131.17221799999999</v>
      </c>
      <c r="L7455">
        <v>0</v>
      </c>
      <c r="M7455">
        <v>0</v>
      </c>
      <c r="N7455">
        <v>0</v>
      </c>
      <c r="O7455" t="s">
        <v>31447</v>
      </c>
    </row>
    <row r="7456" spans="1:15">
      <c r="A7456" t="s">
        <v>5434</v>
      </c>
      <c r="B7456" t="s">
        <v>5058</v>
      </c>
      <c r="C7456" t="s">
        <v>5057</v>
      </c>
      <c r="D7456" t="s">
        <v>31448</v>
      </c>
      <c r="E7456" t="b">
        <v>0</v>
      </c>
      <c r="F7456" t="s">
        <v>11624</v>
      </c>
      <c r="G7456">
        <v>26.8</v>
      </c>
      <c r="H7456">
        <v>104.9</v>
      </c>
      <c r="I7456" t="s">
        <v>5435</v>
      </c>
      <c r="L7456">
        <v>0</v>
      </c>
      <c r="M7456">
        <v>0</v>
      </c>
      <c r="N7456">
        <v>0</v>
      </c>
      <c r="O7456" t="s">
        <v>11905</v>
      </c>
    </row>
    <row r="7457" spans="1:15">
      <c r="A7457" t="s">
        <v>31449</v>
      </c>
      <c r="B7457" t="s">
        <v>6742</v>
      </c>
      <c r="C7457" t="s">
        <v>28195</v>
      </c>
      <c r="D7457" t="s">
        <v>31450</v>
      </c>
      <c r="E7457" t="b">
        <v>0</v>
      </c>
      <c r="F7457" t="s">
        <v>11624</v>
      </c>
      <c r="G7457">
        <v>9.0574200000000005</v>
      </c>
      <c r="H7457">
        <v>8.9848199999999991</v>
      </c>
      <c r="I7457" t="s">
        <v>31451</v>
      </c>
      <c r="L7457">
        <v>0</v>
      </c>
      <c r="M7457">
        <v>0</v>
      </c>
      <c r="N7457">
        <v>0</v>
      </c>
      <c r="O7457" t="s">
        <v>11693</v>
      </c>
    </row>
    <row r="7458" spans="1:15">
      <c r="A7458" t="s">
        <v>31452</v>
      </c>
      <c r="B7458" t="s">
        <v>6742</v>
      </c>
      <c r="C7458" t="s">
        <v>31155</v>
      </c>
      <c r="D7458" t="s">
        <v>31453</v>
      </c>
      <c r="E7458" t="b">
        <v>0</v>
      </c>
      <c r="F7458" t="s">
        <v>11610</v>
      </c>
      <c r="L7458">
        <v>0</v>
      </c>
      <c r="M7458">
        <v>0</v>
      </c>
      <c r="N7458">
        <v>0</v>
      </c>
    </row>
    <row r="7459" spans="1:15">
      <c r="A7459" t="s">
        <v>31454</v>
      </c>
      <c r="B7459" t="s">
        <v>11729</v>
      </c>
      <c r="C7459" t="s">
        <v>30057</v>
      </c>
      <c r="D7459" t="s">
        <v>31455</v>
      </c>
      <c r="E7459" t="b">
        <v>0</v>
      </c>
      <c r="F7459" t="s">
        <v>11624</v>
      </c>
      <c r="G7459">
        <v>9.2390000000000008</v>
      </c>
      <c r="H7459">
        <v>18.378</v>
      </c>
      <c r="I7459" t="s">
        <v>31456</v>
      </c>
      <c r="L7459">
        <v>0</v>
      </c>
      <c r="M7459">
        <v>0</v>
      </c>
      <c r="N7459">
        <v>0</v>
      </c>
      <c r="O7459" t="s">
        <v>13421</v>
      </c>
    </row>
    <row r="7460" spans="1:15">
      <c r="A7460" t="s">
        <v>28195</v>
      </c>
      <c r="B7460" t="s">
        <v>6742</v>
      </c>
      <c r="C7460" t="s">
        <v>19652</v>
      </c>
      <c r="D7460" t="s">
        <v>31457</v>
      </c>
      <c r="E7460" t="b">
        <v>0</v>
      </c>
      <c r="F7460" t="s">
        <v>11622</v>
      </c>
      <c r="L7460">
        <v>0</v>
      </c>
      <c r="M7460">
        <v>2</v>
      </c>
      <c r="N7460">
        <v>0</v>
      </c>
    </row>
    <row r="7461" spans="1:15">
      <c r="A7461" t="s">
        <v>31458</v>
      </c>
      <c r="B7461" t="s">
        <v>367</v>
      </c>
      <c r="C7461" t="s">
        <v>31459</v>
      </c>
      <c r="D7461" t="s">
        <v>31460</v>
      </c>
      <c r="E7461" t="b">
        <v>0</v>
      </c>
      <c r="F7461" t="s">
        <v>11610</v>
      </c>
      <c r="L7461">
        <v>0</v>
      </c>
      <c r="M7461">
        <v>0</v>
      </c>
      <c r="N7461">
        <v>0</v>
      </c>
    </row>
    <row r="7462" spans="1:15">
      <c r="A7462" t="s">
        <v>31461</v>
      </c>
      <c r="B7462" t="s">
        <v>11644</v>
      </c>
      <c r="C7462" t="s">
        <v>13427</v>
      </c>
      <c r="D7462" t="s">
        <v>31462</v>
      </c>
      <c r="E7462" t="b">
        <v>0</v>
      </c>
      <c r="F7462" t="s">
        <v>11610</v>
      </c>
      <c r="L7462">
        <v>0</v>
      </c>
      <c r="M7462">
        <v>0</v>
      </c>
      <c r="N7462">
        <v>0</v>
      </c>
    </row>
    <row r="7463" spans="1:15">
      <c r="A7463" t="s">
        <v>24097</v>
      </c>
      <c r="B7463" t="s">
        <v>11644</v>
      </c>
      <c r="C7463" t="s">
        <v>31463</v>
      </c>
      <c r="D7463" t="s">
        <v>31464</v>
      </c>
      <c r="E7463" t="b">
        <v>0</v>
      </c>
      <c r="F7463" t="s">
        <v>11624</v>
      </c>
      <c r="G7463">
        <v>31.102599999999999</v>
      </c>
      <c r="H7463">
        <v>101.72</v>
      </c>
      <c r="I7463" t="s">
        <v>31465</v>
      </c>
      <c r="L7463">
        <v>0</v>
      </c>
      <c r="M7463">
        <v>0</v>
      </c>
      <c r="N7463">
        <v>4</v>
      </c>
      <c r="O7463" t="s">
        <v>11905</v>
      </c>
    </row>
    <row r="7464" spans="1:15">
      <c r="A7464" t="s">
        <v>31463</v>
      </c>
      <c r="B7464" t="s">
        <v>11644</v>
      </c>
      <c r="C7464" t="s">
        <v>29836</v>
      </c>
      <c r="D7464" t="s">
        <v>31466</v>
      </c>
      <c r="E7464" t="b">
        <v>0</v>
      </c>
      <c r="F7464" t="s">
        <v>11622</v>
      </c>
      <c r="L7464">
        <v>0</v>
      </c>
      <c r="M7464">
        <v>2</v>
      </c>
      <c r="N7464">
        <v>7</v>
      </c>
    </row>
    <row r="7465" spans="1:15">
      <c r="A7465" t="s">
        <v>29836</v>
      </c>
      <c r="B7465" t="s">
        <v>11644</v>
      </c>
      <c r="C7465" t="s">
        <v>23428</v>
      </c>
      <c r="D7465" t="s">
        <v>31467</v>
      </c>
      <c r="E7465" t="b">
        <v>0</v>
      </c>
      <c r="F7465" t="s">
        <v>11622</v>
      </c>
      <c r="L7465">
        <v>1</v>
      </c>
      <c r="M7465">
        <v>3</v>
      </c>
      <c r="N7465">
        <v>15</v>
      </c>
    </row>
    <row r="7466" spans="1:15">
      <c r="A7466" t="s">
        <v>31468</v>
      </c>
      <c r="B7466" t="s">
        <v>11644</v>
      </c>
      <c r="C7466" t="s">
        <v>19610</v>
      </c>
      <c r="D7466" t="s">
        <v>31469</v>
      </c>
      <c r="E7466" t="b">
        <v>0</v>
      </c>
      <c r="F7466" t="s">
        <v>11610</v>
      </c>
      <c r="L7466">
        <v>0</v>
      </c>
      <c r="M7466">
        <v>0</v>
      </c>
      <c r="N7466">
        <v>0</v>
      </c>
    </row>
    <row r="7467" spans="1:15">
      <c r="A7467" t="s">
        <v>31470</v>
      </c>
      <c r="B7467" t="s">
        <v>11627</v>
      </c>
      <c r="C7467" t="s">
        <v>11627</v>
      </c>
      <c r="D7467" t="s">
        <v>31471</v>
      </c>
      <c r="E7467" t="b">
        <v>1</v>
      </c>
      <c r="F7467" t="s">
        <v>11624</v>
      </c>
      <c r="G7467">
        <v>-3.1287500000000001</v>
      </c>
      <c r="H7467">
        <v>129.387</v>
      </c>
      <c r="I7467" t="s">
        <v>31472</v>
      </c>
      <c r="L7467">
        <v>0</v>
      </c>
      <c r="M7467">
        <v>0</v>
      </c>
      <c r="N7467">
        <v>0</v>
      </c>
      <c r="O7467" t="s">
        <v>11768</v>
      </c>
    </row>
    <row r="7468" spans="1:15">
      <c r="A7468" t="s">
        <v>31473</v>
      </c>
      <c r="B7468" t="s">
        <v>11637</v>
      </c>
      <c r="C7468" t="s">
        <v>15671</v>
      </c>
      <c r="D7468" t="s">
        <v>31474</v>
      </c>
      <c r="E7468" t="b">
        <v>0</v>
      </c>
      <c r="F7468" t="s">
        <v>11610</v>
      </c>
      <c r="L7468">
        <v>0</v>
      </c>
      <c r="M7468">
        <v>0</v>
      </c>
      <c r="N7468">
        <v>0</v>
      </c>
    </row>
    <row r="7469" spans="1:15">
      <c r="A7469" t="s">
        <v>31475</v>
      </c>
      <c r="B7469" t="s">
        <v>6742</v>
      </c>
      <c r="C7469" t="s">
        <v>15674</v>
      </c>
      <c r="D7469" t="s">
        <v>31476</v>
      </c>
      <c r="E7469" t="b">
        <v>0</v>
      </c>
      <c r="F7469" t="s">
        <v>11610</v>
      </c>
      <c r="L7469">
        <v>0</v>
      </c>
      <c r="M7469">
        <v>0</v>
      </c>
      <c r="N7469">
        <v>0</v>
      </c>
    </row>
    <row r="7470" spans="1:15">
      <c r="A7470" t="s">
        <v>31477</v>
      </c>
      <c r="B7470" t="s">
        <v>367</v>
      </c>
      <c r="C7470" t="s">
        <v>19971</v>
      </c>
      <c r="D7470" t="s">
        <v>31478</v>
      </c>
      <c r="E7470" t="b">
        <v>0</v>
      </c>
      <c r="F7470" t="s">
        <v>11622</v>
      </c>
      <c r="L7470">
        <v>0</v>
      </c>
      <c r="M7470">
        <v>2</v>
      </c>
      <c r="N7470">
        <v>2</v>
      </c>
    </row>
    <row r="7471" spans="1:15">
      <c r="A7471" t="s">
        <v>31479</v>
      </c>
      <c r="B7471" t="s">
        <v>367</v>
      </c>
      <c r="C7471" t="s">
        <v>31477</v>
      </c>
      <c r="D7471" t="s">
        <v>31480</v>
      </c>
      <c r="E7471" t="b">
        <v>0</v>
      </c>
      <c r="F7471" t="s">
        <v>11624</v>
      </c>
      <c r="G7471">
        <v>-7.0770799999999996</v>
      </c>
      <c r="H7471">
        <v>146.869</v>
      </c>
      <c r="I7471" t="s">
        <v>31481</v>
      </c>
      <c r="L7471">
        <v>0</v>
      </c>
      <c r="M7471">
        <v>0</v>
      </c>
      <c r="N7471">
        <v>2</v>
      </c>
      <c r="O7471" t="s">
        <v>11660</v>
      </c>
    </row>
    <row r="7472" spans="1:15">
      <c r="A7472" t="s">
        <v>31482</v>
      </c>
      <c r="B7472" t="s">
        <v>367</v>
      </c>
      <c r="C7472" t="s">
        <v>17974</v>
      </c>
      <c r="D7472" t="s">
        <v>31483</v>
      </c>
      <c r="E7472" t="b">
        <v>0</v>
      </c>
      <c r="F7472" t="s">
        <v>11624</v>
      </c>
      <c r="G7472">
        <v>-3.0083000000000002</v>
      </c>
      <c r="H7472">
        <v>130.16800000000001</v>
      </c>
      <c r="I7472" t="s">
        <v>31484</v>
      </c>
      <c r="L7472">
        <v>0</v>
      </c>
      <c r="M7472">
        <v>0</v>
      </c>
      <c r="N7472">
        <v>0</v>
      </c>
      <c r="O7472" t="s">
        <v>11768</v>
      </c>
    </row>
    <row r="7473" spans="1:15">
      <c r="A7473" t="s">
        <v>31485</v>
      </c>
      <c r="B7473" t="s">
        <v>13450</v>
      </c>
      <c r="C7473" t="s">
        <v>25642</v>
      </c>
      <c r="D7473" t="s">
        <v>31486</v>
      </c>
      <c r="E7473" t="b">
        <v>0</v>
      </c>
      <c r="F7473" t="s">
        <v>11624</v>
      </c>
      <c r="L7473">
        <v>0</v>
      </c>
      <c r="M7473">
        <v>0</v>
      </c>
      <c r="N7473">
        <v>0</v>
      </c>
      <c r="O7473" t="s">
        <v>21031</v>
      </c>
    </row>
    <row r="7474" spans="1:15">
      <c r="A7474" t="s">
        <v>12621</v>
      </c>
      <c r="B7474" t="s">
        <v>367</v>
      </c>
      <c r="C7474" t="s">
        <v>31487</v>
      </c>
      <c r="D7474" t="s">
        <v>31488</v>
      </c>
      <c r="E7474" t="b">
        <v>0</v>
      </c>
      <c r="F7474" t="s">
        <v>11622</v>
      </c>
      <c r="L7474">
        <v>0</v>
      </c>
      <c r="M7474">
        <v>3</v>
      </c>
      <c r="N7474">
        <v>0</v>
      </c>
    </row>
    <row r="7475" spans="1:15">
      <c r="A7475" t="s">
        <v>31489</v>
      </c>
      <c r="B7475" t="s">
        <v>11607</v>
      </c>
      <c r="C7475" t="s">
        <v>28757</v>
      </c>
      <c r="D7475" t="s">
        <v>31490</v>
      </c>
      <c r="E7475" t="b">
        <v>0</v>
      </c>
      <c r="F7475" t="s">
        <v>11610</v>
      </c>
      <c r="L7475">
        <v>0</v>
      </c>
      <c r="M7475">
        <v>0</v>
      </c>
      <c r="N7475">
        <v>0</v>
      </c>
    </row>
    <row r="7476" spans="1:15">
      <c r="A7476" t="s">
        <v>31491</v>
      </c>
      <c r="B7476" t="s">
        <v>367</v>
      </c>
      <c r="C7476" t="s">
        <v>14085</v>
      </c>
      <c r="D7476" t="s">
        <v>31492</v>
      </c>
      <c r="E7476" t="b">
        <v>0</v>
      </c>
      <c r="F7476" t="s">
        <v>11624</v>
      </c>
      <c r="G7476">
        <v>0.98409999999999997</v>
      </c>
      <c r="H7476">
        <v>113.89700000000001</v>
      </c>
      <c r="I7476" t="s">
        <v>31493</v>
      </c>
      <c r="L7476">
        <v>0</v>
      </c>
      <c r="M7476">
        <v>0</v>
      </c>
      <c r="N7476">
        <v>2</v>
      </c>
      <c r="O7476" t="s">
        <v>11768</v>
      </c>
    </row>
    <row r="7477" spans="1:15">
      <c r="A7477" t="s">
        <v>31494</v>
      </c>
      <c r="B7477" t="s">
        <v>12487</v>
      </c>
      <c r="C7477" t="s">
        <v>30678</v>
      </c>
      <c r="D7477" t="s">
        <v>31495</v>
      </c>
      <c r="E7477" t="b">
        <v>0</v>
      </c>
      <c r="F7477" t="s">
        <v>11610</v>
      </c>
      <c r="L7477">
        <v>0</v>
      </c>
      <c r="M7477">
        <v>0</v>
      </c>
      <c r="N7477">
        <v>0</v>
      </c>
    </row>
    <row r="7478" spans="1:15">
      <c r="A7478" t="s">
        <v>31496</v>
      </c>
      <c r="B7478" t="s">
        <v>13360</v>
      </c>
      <c r="C7478" t="s">
        <v>13360</v>
      </c>
      <c r="D7478" t="s">
        <v>31497</v>
      </c>
      <c r="E7478" t="b">
        <v>0</v>
      </c>
      <c r="F7478" t="s">
        <v>11624</v>
      </c>
      <c r="L7478">
        <v>0</v>
      </c>
      <c r="M7478">
        <v>0</v>
      </c>
      <c r="N7478">
        <v>0</v>
      </c>
      <c r="O7478" t="s">
        <v>11898</v>
      </c>
    </row>
    <row r="7479" spans="1:15">
      <c r="A7479" t="s">
        <v>31498</v>
      </c>
      <c r="B7479" t="s">
        <v>11794</v>
      </c>
      <c r="C7479" t="s">
        <v>31343</v>
      </c>
      <c r="D7479" t="s">
        <v>31499</v>
      </c>
      <c r="E7479" t="b">
        <v>0</v>
      </c>
      <c r="F7479" t="s">
        <v>11624</v>
      </c>
      <c r="I7479" t="s">
        <v>31500</v>
      </c>
      <c r="L7479">
        <v>0</v>
      </c>
      <c r="M7479">
        <v>0</v>
      </c>
      <c r="N7479">
        <v>0</v>
      </c>
      <c r="O7479" t="s">
        <v>11660</v>
      </c>
    </row>
    <row r="7480" spans="1:15">
      <c r="A7480" t="s">
        <v>31343</v>
      </c>
      <c r="B7480" t="s">
        <v>11794</v>
      </c>
      <c r="C7480" t="s">
        <v>31501</v>
      </c>
      <c r="D7480" t="s">
        <v>31502</v>
      </c>
      <c r="E7480" t="b">
        <v>0</v>
      </c>
      <c r="F7480" t="s">
        <v>11622</v>
      </c>
      <c r="L7480">
        <v>0</v>
      </c>
      <c r="M7480">
        <v>2</v>
      </c>
      <c r="N7480">
        <v>0</v>
      </c>
    </row>
    <row r="7481" spans="1:15">
      <c r="A7481" t="s">
        <v>31503</v>
      </c>
      <c r="B7481" t="s">
        <v>16388</v>
      </c>
      <c r="C7481" t="s">
        <v>28586</v>
      </c>
      <c r="D7481" t="s">
        <v>31504</v>
      </c>
      <c r="E7481" t="b">
        <v>0</v>
      </c>
      <c r="F7481" t="s">
        <v>11622</v>
      </c>
      <c r="L7481">
        <v>0</v>
      </c>
      <c r="M7481">
        <v>2</v>
      </c>
      <c r="N7481">
        <v>0</v>
      </c>
    </row>
    <row r="7482" spans="1:15">
      <c r="A7482" t="s">
        <v>31505</v>
      </c>
      <c r="B7482" t="s">
        <v>16388</v>
      </c>
      <c r="C7482" t="s">
        <v>31503</v>
      </c>
      <c r="D7482" t="s">
        <v>31506</v>
      </c>
      <c r="E7482" t="b">
        <v>0</v>
      </c>
      <c r="F7482" t="s">
        <v>11624</v>
      </c>
      <c r="G7482">
        <v>9.3887499999999999</v>
      </c>
      <c r="H7482">
        <v>34.604480000000002</v>
      </c>
      <c r="I7482" t="s">
        <v>31507</v>
      </c>
      <c r="L7482">
        <v>0</v>
      </c>
      <c r="M7482">
        <v>0</v>
      </c>
      <c r="N7482">
        <v>0</v>
      </c>
      <c r="O7482" t="s">
        <v>11625</v>
      </c>
    </row>
    <row r="7483" spans="1:15">
      <c r="A7483" t="s">
        <v>31508</v>
      </c>
      <c r="B7483" t="s">
        <v>11644</v>
      </c>
      <c r="C7483" t="s">
        <v>31092</v>
      </c>
      <c r="D7483" t="s">
        <v>31509</v>
      </c>
      <c r="E7483" t="b">
        <v>0</v>
      </c>
      <c r="F7483" t="s">
        <v>11624</v>
      </c>
      <c r="G7483">
        <v>24.460599999999999</v>
      </c>
      <c r="H7483">
        <v>97.114199999999997</v>
      </c>
      <c r="I7483" t="s">
        <v>31510</v>
      </c>
      <c r="L7483">
        <v>0</v>
      </c>
      <c r="M7483">
        <v>0</v>
      </c>
      <c r="N7483">
        <v>2</v>
      </c>
      <c r="O7483" t="s">
        <v>14059</v>
      </c>
    </row>
    <row r="7484" spans="1:15">
      <c r="A7484" t="s">
        <v>31511</v>
      </c>
      <c r="B7484" t="s">
        <v>11644</v>
      </c>
      <c r="C7484" t="s">
        <v>12404</v>
      </c>
      <c r="D7484" t="s">
        <v>31512</v>
      </c>
      <c r="E7484" t="b">
        <v>0</v>
      </c>
      <c r="F7484" t="s">
        <v>11610</v>
      </c>
      <c r="L7484">
        <v>0</v>
      </c>
      <c r="M7484">
        <v>0</v>
      </c>
      <c r="N7484">
        <v>0</v>
      </c>
    </row>
    <row r="7485" spans="1:15">
      <c r="A7485" t="s">
        <v>30484</v>
      </c>
      <c r="B7485" t="s">
        <v>11644</v>
      </c>
      <c r="C7485" t="s">
        <v>18466</v>
      </c>
      <c r="D7485" t="s">
        <v>31513</v>
      </c>
      <c r="E7485" t="b">
        <v>0</v>
      </c>
      <c r="F7485" t="s">
        <v>11624</v>
      </c>
      <c r="G7485">
        <v>24.4559</v>
      </c>
      <c r="H7485">
        <v>93.350999999999999</v>
      </c>
      <c r="I7485" t="s">
        <v>31514</v>
      </c>
      <c r="L7485">
        <v>0</v>
      </c>
      <c r="M7485">
        <v>0</v>
      </c>
      <c r="N7485">
        <v>1</v>
      </c>
      <c r="O7485" t="s">
        <v>13598</v>
      </c>
    </row>
    <row r="7486" spans="1:15">
      <c r="A7486" t="s">
        <v>31515</v>
      </c>
      <c r="B7486" t="s">
        <v>11644</v>
      </c>
      <c r="C7486" t="s">
        <v>19491</v>
      </c>
      <c r="D7486" t="s">
        <v>31516</v>
      </c>
      <c r="E7486" t="b">
        <v>0</v>
      </c>
      <c r="F7486" t="s">
        <v>11610</v>
      </c>
      <c r="L7486">
        <v>0</v>
      </c>
      <c r="M7486">
        <v>0</v>
      </c>
      <c r="N7486">
        <v>0</v>
      </c>
    </row>
    <row r="7487" spans="1:15">
      <c r="A7487" t="s">
        <v>23523</v>
      </c>
      <c r="B7487" t="s">
        <v>12438</v>
      </c>
      <c r="C7487" t="s">
        <v>31517</v>
      </c>
      <c r="D7487" t="s">
        <v>31518</v>
      </c>
      <c r="E7487" t="b">
        <v>0</v>
      </c>
      <c r="F7487" t="s">
        <v>11624</v>
      </c>
      <c r="G7487">
        <v>14.630800000000001</v>
      </c>
      <c r="H7487">
        <v>108.694</v>
      </c>
      <c r="I7487" t="s">
        <v>31519</v>
      </c>
      <c r="L7487">
        <v>0</v>
      </c>
      <c r="M7487">
        <v>0</v>
      </c>
      <c r="N7487">
        <v>3</v>
      </c>
      <c r="O7487" t="s">
        <v>15949</v>
      </c>
    </row>
    <row r="7488" spans="1:15">
      <c r="A7488" t="s">
        <v>19412</v>
      </c>
      <c r="B7488" t="s">
        <v>12438</v>
      </c>
      <c r="C7488" t="s">
        <v>31520</v>
      </c>
      <c r="D7488" t="s">
        <v>31521</v>
      </c>
      <c r="E7488" t="b">
        <v>0</v>
      </c>
      <c r="F7488" t="s">
        <v>11622</v>
      </c>
      <c r="L7488">
        <v>2</v>
      </c>
      <c r="M7488">
        <v>6</v>
      </c>
      <c r="N7488">
        <v>18</v>
      </c>
    </row>
    <row r="7489" spans="1:15">
      <c r="A7489" t="s">
        <v>31517</v>
      </c>
      <c r="B7489" t="s">
        <v>12438</v>
      </c>
      <c r="C7489" t="s">
        <v>19412</v>
      </c>
      <c r="D7489" t="s">
        <v>31522</v>
      </c>
      <c r="E7489" t="b">
        <v>0</v>
      </c>
      <c r="F7489" t="s">
        <v>11622</v>
      </c>
      <c r="L7489">
        <v>0</v>
      </c>
      <c r="M7489">
        <v>3</v>
      </c>
      <c r="N7489">
        <v>11</v>
      </c>
    </row>
    <row r="7490" spans="1:15">
      <c r="A7490" t="s">
        <v>31523</v>
      </c>
      <c r="D7490" t="s">
        <v>31524</v>
      </c>
      <c r="E7490" t="b">
        <v>0</v>
      </c>
      <c r="F7490" t="s">
        <v>11624</v>
      </c>
      <c r="G7490">
        <v>27.27</v>
      </c>
      <c r="H7490">
        <v>92.63</v>
      </c>
      <c r="I7490" t="s">
        <v>31525</v>
      </c>
      <c r="L7490">
        <v>0</v>
      </c>
      <c r="M7490">
        <v>0</v>
      </c>
      <c r="N7490">
        <v>3</v>
      </c>
      <c r="O7490" t="s">
        <v>11630</v>
      </c>
    </row>
    <row r="7491" spans="1:15">
      <c r="A7491" t="s">
        <v>31526</v>
      </c>
      <c r="B7491" t="s">
        <v>11644</v>
      </c>
      <c r="C7491" t="s">
        <v>12404</v>
      </c>
      <c r="D7491" t="s">
        <v>31527</v>
      </c>
      <c r="E7491" t="b">
        <v>0</v>
      </c>
      <c r="F7491" t="s">
        <v>11610</v>
      </c>
      <c r="L7491">
        <v>0</v>
      </c>
      <c r="M7491">
        <v>0</v>
      </c>
      <c r="N7491">
        <v>0</v>
      </c>
    </row>
    <row r="7492" spans="1:15">
      <c r="A7492" t="s">
        <v>31528</v>
      </c>
      <c r="B7492" t="s">
        <v>15146</v>
      </c>
      <c r="C7492" t="s">
        <v>15146</v>
      </c>
      <c r="D7492" t="s">
        <v>31529</v>
      </c>
      <c r="E7492" t="b">
        <v>0</v>
      </c>
      <c r="F7492" t="s">
        <v>11622</v>
      </c>
      <c r="L7492">
        <v>1</v>
      </c>
      <c r="M7492">
        <v>3</v>
      </c>
      <c r="N7492">
        <v>4</v>
      </c>
    </row>
    <row r="7493" spans="1:15">
      <c r="A7493" t="s">
        <v>31530</v>
      </c>
      <c r="B7493" t="s">
        <v>15146</v>
      </c>
      <c r="C7493" t="s">
        <v>31531</v>
      </c>
      <c r="D7493" t="s">
        <v>31532</v>
      </c>
      <c r="E7493" t="b">
        <v>0</v>
      </c>
      <c r="F7493" t="s">
        <v>11624</v>
      </c>
      <c r="G7493">
        <v>-24.200220000000002</v>
      </c>
      <c r="H7493">
        <v>20.795829999999999</v>
      </c>
      <c r="I7493" t="s">
        <v>31533</v>
      </c>
      <c r="L7493">
        <v>0</v>
      </c>
      <c r="M7493">
        <v>0</v>
      </c>
      <c r="N7493">
        <v>0</v>
      </c>
      <c r="O7493" t="s">
        <v>13927</v>
      </c>
    </row>
    <row r="7494" spans="1:15">
      <c r="A7494" t="s">
        <v>31534</v>
      </c>
      <c r="B7494" t="s">
        <v>12738</v>
      </c>
      <c r="C7494" t="s">
        <v>31299</v>
      </c>
      <c r="D7494" t="s">
        <v>31535</v>
      </c>
      <c r="E7494" t="b">
        <v>0</v>
      </c>
      <c r="F7494" t="s">
        <v>11610</v>
      </c>
      <c r="L7494">
        <v>0</v>
      </c>
      <c r="M7494">
        <v>0</v>
      </c>
      <c r="N7494">
        <v>0</v>
      </c>
    </row>
    <row r="7495" spans="1:15">
      <c r="A7495" t="s">
        <v>31536</v>
      </c>
      <c r="B7495" t="s">
        <v>11615</v>
      </c>
      <c r="C7495" t="s">
        <v>23820</v>
      </c>
      <c r="D7495" t="s">
        <v>31537</v>
      </c>
      <c r="E7495" t="b">
        <v>0</v>
      </c>
      <c r="F7495" t="s">
        <v>11610</v>
      </c>
      <c r="G7495">
        <v>-6.3534090000000001</v>
      </c>
      <c r="H7495">
        <v>145.33937900000001</v>
      </c>
      <c r="L7495">
        <v>0</v>
      </c>
      <c r="M7495">
        <v>0</v>
      </c>
      <c r="N7495">
        <v>0</v>
      </c>
    </row>
    <row r="7496" spans="1:15">
      <c r="A7496" t="s">
        <v>31538</v>
      </c>
      <c r="B7496" t="s">
        <v>11644</v>
      </c>
      <c r="C7496" t="s">
        <v>6112</v>
      </c>
      <c r="D7496" t="s">
        <v>31539</v>
      </c>
      <c r="E7496" t="b">
        <v>0</v>
      </c>
      <c r="F7496" t="s">
        <v>11610</v>
      </c>
      <c r="L7496">
        <v>0</v>
      </c>
      <c r="M7496">
        <v>0</v>
      </c>
      <c r="N7496">
        <v>3</v>
      </c>
    </row>
    <row r="7497" spans="1:15">
      <c r="A7497" t="s">
        <v>14368</v>
      </c>
      <c r="B7497" t="s">
        <v>13314</v>
      </c>
      <c r="C7497" t="s">
        <v>13314</v>
      </c>
      <c r="D7497" t="s">
        <v>31540</v>
      </c>
      <c r="E7497" t="b">
        <v>0</v>
      </c>
      <c r="F7497" t="s">
        <v>11624</v>
      </c>
      <c r="G7497">
        <v>-13.319509999999999</v>
      </c>
      <c r="H7497">
        <v>-71.227490000000003</v>
      </c>
      <c r="I7497" t="s">
        <v>31541</v>
      </c>
      <c r="L7497">
        <v>0</v>
      </c>
      <c r="M7497">
        <v>0</v>
      </c>
      <c r="N7497">
        <v>4</v>
      </c>
      <c r="O7497" t="s">
        <v>11778</v>
      </c>
    </row>
    <row r="7498" spans="1:15">
      <c r="A7498" t="s">
        <v>31542</v>
      </c>
      <c r="B7498" t="s">
        <v>13314</v>
      </c>
      <c r="C7498" t="s">
        <v>14368</v>
      </c>
      <c r="D7498" t="s">
        <v>31543</v>
      </c>
      <c r="E7498" t="b">
        <v>0</v>
      </c>
      <c r="F7498" t="s">
        <v>11610</v>
      </c>
      <c r="L7498">
        <v>0</v>
      </c>
      <c r="M7498">
        <v>0</v>
      </c>
      <c r="N7498">
        <v>0</v>
      </c>
    </row>
    <row r="7499" spans="1:15">
      <c r="A7499" t="s">
        <v>31544</v>
      </c>
      <c r="B7499" t="s">
        <v>141</v>
      </c>
      <c r="C7499" t="s">
        <v>31545</v>
      </c>
      <c r="D7499" t="s">
        <v>31546</v>
      </c>
      <c r="E7499" t="b">
        <v>0</v>
      </c>
      <c r="F7499" t="s">
        <v>11610</v>
      </c>
      <c r="L7499">
        <v>0</v>
      </c>
      <c r="M7499">
        <v>0</v>
      </c>
      <c r="N7499">
        <v>0</v>
      </c>
    </row>
    <row r="7500" spans="1:15">
      <c r="A7500" t="s">
        <v>31547</v>
      </c>
      <c r="B7500" t="s">
        <v>11644</v>
      </c>
      <c r="C7500" t="s">
        <v>18950</v>
      </c>
      <c r="D7500" t="s">
        <v>31548</v>
      </c>
      <c r="E7500" t="b">
        <v>0</v>
      </c>
      <c r="F7500" t="s">
        <v>11610</v>
      </c>
      <c r="L7500">
        <v>0</v>
      </c>
      <c r="M7500">
        <v>0</v>
      </c>
      <c r="N7500">
        <v>0</v>
      </c>
    </row>
    <row r="7501" spans="1:15">
      <c r="A7501" t="s">
        <v>31549</v>
      </c>
      <c r="B7501" t="s">
        <v>141</v>
      </c>
      <c r="C7501" t="s">
        <v>14134</v>
      </c>
      <c r="D7501" t="s">
        <v>31550</v>
      </c>
      <c r="E7501" t="b">
        <v>0</v>
      </c>
      <c r="F7501" t="s">
        <v>11624</v>
      </c>
      <c r="G7501">
        <v>-9.5713500000000007</v>
      </c>
      <c r="H7501">
        <v>-75.593999999999994</v>
      </c>
      <c r="I7501" t="s">
        <v>31551</v>
      </c>
      <c r="L7501">
        <v>0</v>
      </c>
      <c r="M7501">
        <v>0</v>
      </c>
      <c r="N7501">
        <v>0</v>
      </c>
      <c r="O7501" t="s">
        <v>11778</v>
      </c>
    </row>
    <row r="7502" spans="1:15">
      <c r="A7502" t="s">
        <v>31552</v>
      </c>
      <c r="B7502" t="s">
        <v>11946</v>
      </c>
      <c r="C7502" t="s">
        <v>8670</v>
      </c>
      <c r="D7502" t="s">
        <v>31553</v>
      </c>
      <c r="E7502" t="b">
        <v>0</v>
      </c>
      <c r="F7502" t="s">
        <v>11624</v>
      </c>
      <c r="G7502">
        <v>-3.9910899999999998</v>
      </c>
      <c r="H7502">
        <v>-77.979699999999994</v>
      </c>
      <c r="I7502" t="s">
        <v>31554</v>
      </c>
      <c r="L7502">
        <v>0</v>
      </c>
      <c r="M7502">
        <v>0</v>
      </c>
      <c r="N7502">
        <v>0</v>
      </c>
      <c r="O7502" t="s">
        <v>11778</v>
      </c>
    </row>
    <row r="7503" spans="1:15">
      <c r="A7503" t="s">
        <v>31555</v>
      </c>
      <c r="B7503" t="s">
        <v>141</v>
      </c>
      <c r="C7503" t="s">
        <v>23337</v>
      </c>
      <c r="D7503" t="s">
        <v>31556</v>
      </c>
      <c r="E7503" t="b">
        <v>0</v>
      </c>
      <c r="F7503" t="s">
        <v>11624</v>
      </c>
      <c r="G7503">
        <v>-9.1571800000000003</v>
      </c>
      <c r="H7503">
        <v>-76.337199999999996</v>
      </c>
      <c r="I7503" t="s">
        <v>31557</v>
      </c>
      <c r="L7503">
        <v>0</v>
      </c>
      <c r="M7503">
        <v>0</v>
      </c>
      <c r="N7503">
        <v>3</v>
      </c>
      <c r="O7503" t="s">
        <v>11778</v>
      </c>
    </row>
    <row r="7504" spans="1:15">
      <c r="A7504" t="s">
        <v>31558</v>
      </c>
      <c r="B7504" t="s">
        <v>141</v>
      </c>
      <c r="C7504" t="s">
        <v>31555</v>
      </c>
      <c r="D7504" t="s">
        <v>31559</v>
      </c>
      <c r="E7504" t="b">
        <v>0</v>
      </c>
      <c r="F7504" t="s">
        <v>11610</v>
      </c>
      <c r="L7504">
        <v>0</v>
      </c>
      <c r="M7504">
        <v>0</v>
      </c>
      <c r="N7504">
        <v>0</v>
      </c>
    </row>
    <row r="7505" spans="1:15">
      <c r="A7505" t="s">
        <v>31270</v>
      </c>
      <c r="B7505" t="s">
        <v>5058</v>
      </c>
      <c r="C7505" t="s">
        <v>5057</v>
      </c>
      <c r="D7505" t="s">
        <v>31560</v>
      </c>
      <c r="E7505" t="b">
        <v>0</v>
      </c>
      <c r="F7505" t="s">
        <v>11622</v>
      </c>
      <c r="L7505">
        <v>0</v>
      </c>
      <c r="M7505">
        <v>2</v>
      </c>
      <c r="N7505">
        <v>0</v>
      </c>
    </row>
    <row r="7506" spans="1:15">
      <c r="A7506" t="s">
        <v>31561</v>
      </c>
      <c r="B7506" t="s">
        <v>141</v>
      </c>
      <c r="C7506" t="s">
        <v>10678</v>
      </c>
      <c r="D7506" t="s">
        <v>31562</v>
      </c>
      <c r="E7506" t="b">
        <v>0</v>
      </c>
      <c r="F7506" t="s">
        <v>11610</v>
      </c>
      <c r="L7506">
        <v>0</v>
      </c>
      <c r="M7506">
        <v>0</v>
      </c>
      <c r="N7506">
        <v>0</v>
      </c>
    </row>
    <row r="7507" spans="1:15">
      <c r="A7507" t="s">
        <v>31563</v>
      </c>
      <c r="B7507" t="s">
        <v>141</v>
      </c>
      <c r="C7507" t="s">
        <v>14216</v>
      </c>
      <c r="D7507" t="s">
        <v>31564</v>
      </c>
      <c r="E7507" t="b">
        <v>0</v>
      </c>
      <c r="F7507" t="s">
        <v>11610</v>
      </c>
      <c r="L7507">
        <v>0</v>
      </c>
      <c r="M7507">
        <v>0</v>
      </c>
      <c r="N7507">
        <v>0</v>
      </c>
    </row>
    <row r="7508" spans="1:15">
      <c r="A7508" t="s">
        <v>31565</v>
      </c>
      <c r="B7508" t="s">
        <v>11644</v>
      </c>
      <c r="C7508" t="s">
        <v>31566</v>
      </c>
      <c r="D7508" t="s">
        <v>31567</v>
      </c>
      <c r="E7508" t="b">
        <v>0</v>
      </c>
      <c r="F7508" t="s">
        <v>11610</v>
      </c>
      <c r="L7508">
        <v>0</v>
      </c>
      <c r="M7508">
        <v>0</v>
      </c>
      <c r="N7508">
        <v>0</v>
      </c>
    </row>
    <row r="7509" spans="1:15">
      <c r="A7509" t="s">
        <v>31568</v>
      </c>
      <c r="B7509" t="s">
        <v>367</v>
      </c>
      <c r="C7509" t="s">
        <v>31569</v>
      </c>
      <c r="D7509" t="s">
        <v>31570</v>
      </c>
      <c r="E7509" t="b">
        <v>0</v>
      </c>
      <c r="F7509" t="s">
        <v>11610</v>
      </c>
      <c r="L7509">
        <v>0</v>
      </c>
      <c r="M7509">
        <v>0</v>
      </c>
      <c r="N7509">
        <v>0</v>
      </c>
    </row>
    <row r="7510" spans="1:15">
      <c r="A7510" t="s">
        <v>31571</v>
      </c>
      <c r="B7510" t="s">
        <v>11644</v>
      </c>
      <c r="C7510" t="s">
        <v>31572</v>
      </c>
      <c r="D7510" t="s">
        <v>31573</v>
      </c>
      <c r="E7510" t="b">
        <v>0</v>
      </c>
      <c r="F7510" t="s">
        <v>11610</v>
      </c>
      <c r="L7510">
        <v>0</v>
      </c>
      <c r="M7510">
        <v>0</v>
      </c>
      <c r="N7510">
        <v>0</v>
      </c>
    </row>
    <row r="7511" spans="1:15">
      <c r="A7511" t="s">
        <v>13102</v>
      </c>
      <c r="D7511" t="s">
        <v>31574</v>
      </c>
      <c r="E7511" t="b">
        <v>0</v>
      </c>
      <c r="F7511" t="s">
        <v>11622</v>
      </c>
      <c r="L7511">
        <v>0</v>
      </c>
      <c r="M7511">
        <v>2</v>
      </c>
      <c r="N7511">
        <v>0</v>
      </c>
    </row>
    <row r="7512" spans="1:15">
      <c r="A7512" t="s">
        <v>31575</v>
      </c>
      <c r="B7512" t="s">
        <v>11615</v>
      </c>
      <c r="C7512" t="s">
        <v>13429</v>
      </c>
      <c r="D7512" t="s">
        <v>31576</v>
      </c>
      <c r="E7512" t="b">
        <v>0</v>
      </c>
      <c r="F7512" t="s">
        <v>11610</v>
      </c>
      <c r="L7512">
        <v>0</v>
      </c>
      <c r="M7512">
        <v>0</v>
      </c>
      <c r="N7512">
        <v>0</v>
      </c>
    </row>
    <row r="7513" spans="1:15">
      <c r="A7513" t="s">
        <v>31103</v>
      </c>
      <c r="B7513" t="s">
        <v>12751</v>
      </c>
      <c r="C7513" t="s">
        <v>29881</v>
      </c>
      <c r="D7513" t="s">
        <v>31577</v>
      </c>
      <c r="E7513" t="b">
        <v>0</v>
      </c>
      <c r="F7513" t="s">
        <v>11624</v>
      </c>
      <c r="G7513">
        <v>27.868500000000001</v>
      </c>
      <c r="H7513">
        <v>-108.437</v>
      </c>
      <c r="I7513" t="s">
        <v>31578</v>
      </c>
      <c r="L7513">
        <v>0</v>
      </c>
      <c r="M7513">
        <v>0</v>
      </c>
      <c r="N7513">
        <v>2</v>
      </c>
      <c r="O7513" t="s">
        <v>11883</v>
      </c>
    </row>
    <row r="7514" spans="1:15">
      <c r="A7514" t="s">
        <v>31579</v>
      </c>
      <c r="B7514" t="s">
        <v>141</v>
      </c>
      <c r="C7514" t="s">
        <v>31545</v>
      </c>
      <c r="D7514" t="s">
        <v>31580</v>
      </c>
      <c r="E7514" t="b">
        <v>0</v>
      </c>
      <c r="F7514" t="s">
        <v>11610</v>
      </c>
      <c r="L7514">
        <v>0</v>
      </c>
      <c r="M7514">
        <v>0</v>
      </c>
      <c r="N7514">
        <v>0</v>
      </c>
    </row>
    <row r="7515" spans="1:15">
      <c r="A7515" t="s">
        <v>22506</v>
      </c>
      <c r="B7515" t="s">
        <v>5911</v>
      </c>
      <c r="C7515" t="s">
        <v>5911</v>
      </c>
      <c r="D7515" t="s">
        <v>31581</v>
      </c>
      <c r="E7515" t="b">
        <v>0</v>
      </c>
      <c r="F7515" t="s">
        <v>11622</v>
      </c>
      <c r="L7515">
        <v>0</v>
      </c>
      <c r="M7515">
        <v>2</v>
      </c>
      <c r="N7515">
        <v>0</v>
      </c>
    </row>
    <row r="7516" spans="1:15">
      <c r="A7516" t="s">
        <v>31582</v>
      </c>
      <c r="B7516" t="s">
        <v>5911</v>
      </c>
      <c r="C7516" t="s">
        <v>22506</v>
      </c>
      <c r="D7516" t="s">
        <v>31583</v>
      </c>
      <c r="E7516" t="b">
        <v>0</v>
      </c>
      <c r="F7516" t="s">
        <v>11624</v>
      </c>
      <c r="G7516">
        <v>21.615300000000001</v>
      </c>
      <c r="H7516">
        <v>-98.502799999999993</v>
      </c>
      <c r="I7516" t="s">
        <v>31584</v>
      </c>
      <c r="L7516">
        <v>0</v>
      </c>
      <c r="M7516">
        <v>0</v>
      </c>
      <c r="N7516">
        <v>0</v>
      </c>
      <c r="O7516" t="s">
        <v>11883</v>
      </c>
    </row>
    <row r="7517" spans="1:15">
      <c r="A7517" t="s">
        <v>31585</v>
      </c>
      <c r="B7517" t="s">
        <v>11627</v>
      </c>
      <c r="C7517" t="s">
        <v>11627</v>
      </c>
      <c r="D7517" t="s">
        <v>31586</v>
      </c>
      <c r="E7517" t="b">
        <v>1</v>
      </c>
      <c r="F7517" t="s">
        <v>11624</v>
      </c>
      <c r="I7517" t="s">
        <v>31587</v>
      </c>
      <c r="L7517">
        <v>0</v>
      </c>
      <c r="M7517">
        <v>0</v>
      </c>
      <c r="N7517">
        <v>0</v>
      </c>
      <c r="O7517" t="s">
        <v>11883</v>
      </c>
    </row>
    <row r="7518" spans="1:15">
      <c r="A7518" t="s">
        <v>31588</v>
      </c>
      <c r="B7518" t="s">
        <v>11627</v>
      </c>
      <c r="C7518" t="s">
        <v>11627</v>
      </c>
      <c r="D7518" t="s">
        <v>31589</v>
      </c>
      <c r="E7518" t="b">
        <v>1</v>
      </c>
      <c r="F7518" t="s">
        <v>11624</v>
      </c>
      <c r="I7518" t="s">
        <v>31590</v>
      </c>
      <c r="L7518">
        <v>0</v>
      </c>
      <c r="M7518">
        <v>0</v>
      </c>
      <c r="N7518">
        <v>0</v>
      </c>
      <c r="O7518" t="s">
        <v>11883</v>
      </c>
    </row>
    <row r="7519" spans="1:15">
      <c r="A7519" t="s">
        <v>21703</v>
      </c>
      <c r="B7519" t="s">
        <v>12751</v>
      </c>
      <c r="C7519" t="s">
        <v>26503</v>
      </c>
      <c r="D7519" t="s">
        <v>31591</v>
      </c>
      <c r="E7519" t="b">
        <v>0</v>
      </c>
      <c r="F7519" t="s">
        <v>11622</v>
      </c>
      <c r="L7519">
        <v>0</v>
      </c>
      <c r="M7519">
        <v>3</v>
      </c>
      <c r="N7519">
        <v>2</v>
      </c>
    </row>
    <row r="7520" spans="1:15">
      <c r="A7520" t="s">
        <v>31592</v>
      </c>
      <c r="B7520" t="s">
        <v>367</v>
      </c>
      <c r="C7520" t="s">
        <v>31593</v>
      </c>
      <c r="D7520" t="s">
        <v>31594</v>
      </c>
      <c r="E7520" t="b">
        <v>0</v>
      </c>
      <c r="F7520" t="s">
        <v>11624</v>
      </c>
      <c r="G7520">
        <v>-2.9583499999999998</v>
      </c>
      <c r="H7520">
        <v>129.202</v>
      </c>
      <c r="I7520" t="s">
        <v>31595</v>
      </c>
      <c r="L7520">
        <v>0</v>
      </c>
      <c r="M7520">
        <v>0</v>
      </c>
      <c r="N7520">
        <v>0</v>
      </c>
      <c r="O7520" t="s">
        <v>11768</v>
      </c>
    </row>
    <row r="7521" spans="1:15">
      <c r="A7521" t="s">
        <v>6067</v>
      </c>
      <c r="B7521" t="s">
        <v>11879</v>
      </c>
      <c r="C7521" t="s">
        <v>31596</v>
      </c>
      <c r="D7521" t="s">
        <v>31597</v>
      </c>
      <c r="E7521" t="b">
        <v>0</v>
      </c>
      <c r="F7521" t="s">
        <v>11624</v>
      </c>
      <c r="G7521">
        <v>18.255600000000001</v>
      </c>
      <c r="H7521">
        <v>-96.724000000000004</v>
      </c>
      <c r="I7521" t="s">
        <v>6068</v>
      </c>
      <c r="L7521">
        <v>0</v>
      </c>
      <c r="M7521">
        <v>0</v>
      </c>
      <c r="N7521">
        <v>2</v>
      </c>
      <c r="O7521" t="s">
        <v>11883</v>
      </c>
    </row>
    <row r="7522" spans="1:15">
      <c r="A7522" t="s">
        <v>31598</v>
      </c>
      <c r="D7522" t="s">
        <v>31599</v>
      </c>
      <c r="E7522" t="b">
        <v>0</v>
      </c>
      <c r="F7522" t="s">
        <v>11622</v>
      </c>
      <c r="L7522">
        <v>2</v>
      </c>
      <c r="M7522">
        <v>4</v>
      </c>
      <c r="N7522">
        <v>0</v>
      </c>
    </row>
    <row r="7523" spans="1:15">
      <c r="A7523" t="s">
        <v>31600</v>
      </c>
      <c r="B7523" t="s">
        <v>12751</v>
      </c>
      <c r="C7523" t="s">
        <v>26503</v>
      </c>
      <c r="D7523" t="s">
        <v>31601</v>
      </c>
      <c r="E7523" t="b">
        <v>0</v>
      </c>
      <c r="F7523" t="s">
        <v>11624</v>
      </c>
      <c r="G7523">
        <v>18.898900000000001</v>
      </c>
      <c r="H7523">
        <v>-96.953699999999998</v>
      </c>
      <c r="I7523" t="s">
        <v>31602</v>
      </c>
      <c r="L7523">
        <v>0</v>
      </c>
      <c r="M7523">
        <v>0</v>
      </c>
      <c r="N7523">
        <v>0</v>
      </c>
      <c r="O7523" t="s">
        <v>11883</v>
      </c>
    </row>
    <row r="7524" spans="1:15">
      <c r="A7524" t="s">
        <v>23337</v>
      </c>
      <c r="B7524" t="s">
        <v>141</v>
      </c>
      <c r="C7524" t="s">
        <v>14135</v>
      </c>
      <c r="D7524" t="s">
        <v>31603</v>
      </c>
      <c r="E7524" t="b">
        <v>0</v>
      </c>
      <c r="F7524" t="s">
        <v>11622</v>
      </c>
      <c r="L7524">
        <v>1</v>
      </c>
      <c r="M7524">
        <v>7</v>
      </c>
      <c r="N7524">
        <v>6</v>
      </c>
    </row>
    <row r="7525" spans="1:15">
      <c r="A7525" t="s">
        <v>31545</v>
      </c>
      <c r="B7525" t="s">
        <v>141</v>
      </c>
      <c r="C7525" t="s">
        <v>23337</v>
      </c>
      <c r="D7525" t="s">
        <v>31604</v>
      </c>
      <c r="E7525" t="b">
        <v>0</v>
      </c>
      <c r="F7525" t="s">
        <v>11624</v>
      </c>
      <c r="G7525">
        <v>-9.3870900000000006</v>
      </c>
      <c r="H7525">
        <v>-77.776799999999994</v>
      </c>
      <c r="I7525" t="s">
        <v>31605</v>
      </c>
      <c r="L7525">
        <v>0</v>
      </c>
      <c r="M7525">
        <v>0</v>
      </c>
      <c r="N7525">
        <v>3</v>
      </c>
      <c r="O7525" t="s">
        <v>11778</v>
      </c>
    </row>
    <row r="7526" spans="1:15">
      <c r="A7526" t="s">
        <v>26376</v>
      </c>
      <c r="B7526" t="s">
        <v>141</v>
      </c>
      <c r="C7526" t="s">
        <v>31606</v>
      </c>
      <c r="D7526" t="s">
        <v>31607</v>
      </c>
      <c r="E7526" t="b">
        <v>0</v>
      </c>
      <c r="F7526" t="s">
        <v>11624</v>
      </c>
      <c r="G7526">
        <v>-12.180899999999999</v>
      </c>
      <c r="H7526">
        <v>-75.205500000000001</v>
      </c>
      <c r="I7526" t="s">
        <v>31608</v>
      </c>
      <c r="L7526">
        <v>0</v>
      </c>
      <c r="M7526">
        <v>0</v>
      </c>
      <c r="N7526">
        <v>3</v>
      </c>
      <c r="O7526" t="s">
        <v>11778</v>
      </c>
    </row>
    <row r="7527" spans="1:15">
      <c r="A7527" t="s">
        <v>31609</v>
      </c>
      <c r="B7527" t="s">
        <v>11644</v>
      </c>
      <c r="C7527" t="s">
        <v>16856</v>
      </c>
      <c r="D7527" t="s">
        <v>31610</v>
      </c>
      <c r="E7527" t="b">
        <v>0</v>
      </c>
      <c r="F7527" t="s">
        <v>11610</v>
      </c>
      <c r="L7527">
        <v>0</v>
      </c>
      <c r="M7527">
        <v>0</v>
      </c>
      <c r="N7527">
        <v>0</v>
      </c>
    </row>
    <row r="7528" spans="1:15">
      <c r="A7528" t="s">
        <v>31611</v>
      </c>
      <c r="B7528" t="s">
        <v>11607</v>
      </c>
      <c r="C7528" t="s">
        <v>31612</v>
      </c>
      <c r="D7528" t="s">
        <v>31613</v>
      </c>
      <c r="E7528" t="b">
        <v>0</v>
      </c>
      <c r="F7528" t="s">
        <v>11624</v>
      </c>
      <c r="G7528">
        <v>10.3544</v>
      </c>
      <c r="H7528">
        <v>13.138999999999999</v>
      </c>
      <c r="I7528" t="s">
        <v>31614</v>
      </c>
      <c r="L7528">
        <v>0</v>
      </c>
      <c r="M7528">
        <v>0</v>
      </c>
      <c r="N7528">
        <v>1</v>
      </c>
      <c r="O7528" t="s">
        <v>11693</v>
      </c>
    </row>
    <row r="7529" spans="1:15">
      <c r="A7529" t="s">
        <v>31615</v>
      </c>
      <c r="B7529" t="s">
        <v>6742</v>
      </c>
      <c r="C7529" t="s">
        <v>134</v>
      </c>
      <c r="D7529" t="s">
        <v>31616</v>
      </c>
      <c r="E7529" t="b">
        <v>0</v>
      </c>
      <c r="F7529" t="s">
        <v>11610</v>
      </c>
      <c r="L7529">
        <v>0</v>
      </c>
      <c r="M7529">
        <v>0</v>
      </c>
      <c r="N7529">
        <v>0</v>
      </c>
    </row>
    <row r="7530" spans="1:15">
      <c r="A7530" t="s">
        <v>31617</v>
      </c>
      <c r="B7530" t="s">
        <v>21317</v>
      </c>
      <c r="C7530" t="s">
        <v>31618</v>
      </c>
      <c r="D7530" t="s">
        <v>31619</v>
      </c>
      <c r="E7530" t="b">
        <v>0</v>
      </c>
      <c r="F7530" t="s">
        <v>11624</v>
      </c>
      <c r="G7530">
        <v>20.6189</v>
      </c>
      <c r="H7530">
        <v>-97.934700000000007</v>
      </c>
      <c r="I7530" t="s">
        <v>31620</v>
      </c>
      <c r="L7530">
        <v>0</v>
      </c>
      <c r="M7530">
        <v>0</v>
      </c>
      <c r="N7530">
        <v>0</v>
      </c>
      <c r="O7530" t="s">
        <v>11883</v>
      </c>
    </row>
    <row r="7531" spans="1:15">
      <c r="A7531" t="s">
        <v>31621</v>
      </c>
      <c r="B7531" t="s">
        <v>11879</v>
      </c>
      <c r="C7531" t="s">
        <v>31622</v>
      </c>
      <c r="D7531" t="s">
        <v>31623</v>
      </c>
      <c r="E7531" t="b">
        <v>0</v>
      </c>
      <c r="F7531" t="s">
        <v>11610</v>
      </c>
      <c r="L7531">
        <v>0</v>
      </c>
      <c r="M7531">
        <v>0</v>
      </c>
      <c r="N7531">
        <v>0</v>
      </c>
    </row>
    <row r="7532" spans="1:15">
      <c r="A7532" t="s">
        <v>31624</v>
      </c>
      <c r="B7532" t="s">
        <v>6455</v>
      </c>
      <c r="C7532" t="s">
        <v>31625</v>
      </c>
      <c r="D7532" t="s">
        <v>31626</v>
      </c>
      <c r="E7532" t="b">
        <v>0</v>
      </c>
      <c r="F7532" t="s">
        <v>11624</v>
      </c>
      <c r="G7532">
        <v>10.159775</v>
      </c>
      <c r="H7532">
        <v>-84.255065999999999</v>
      </c>
      <c r="L7532">
        <v>0</v>
      </c>
      <c r="M7532">
        <v>0</v>
      </c>
      <c r="N7532">
        <v>0</v>
      </c>
      <c r="O7532" t="s">
        <v>19659</v>
      </c>
    </row>
    <row r="7533" spans="1:15">
      <c r="A7533" t="s">
        <v>31627</v>
      </c>
      <c r="B7533" t="s">
        <v>11644</v>
      </c>
      <c r="C7533" t="s">
        <v>31628</v>
      </c>
      <c r="D7533" t="s">
        <v>31629</v>
      </c>
      <c r="E7533" t="b">
        <v>0</v>
      </c>
      <c r="F7533" t="s">
        <v>11610</v>
      </c>
      <c r="G7533">
        <v>40.855525999999998</v>
      </c>
      <c r="H7533">
        <v>111.743889</v>
      </c>
      <c r="L7533">
        <v>0</v>
      </c>
      <c r="M7533">
        <v>0</v>
      </c>
      <c r="N7533">
        <v>0</v>
      </c>
    </row>
    <row r="7534" spans="1:15">
      <c r="A7534" t="s">
        <v>31630</v>
      </c>
      <c r="B7534" t="s">
        <v>367</v>
      </c>
      <c r="C7534" t="s">
        <v>15343</v>
      </c>
      <c r="D7534" t="s">
        <v>31631</v>
      </c>
      <c r="E7534" t="b">
        <v>0</v>
      </c>
      <c r="F7534" t="s">
        <v>11610</v>
      </c>
      <c r="L7534">
        <v>0</v>
      </c>
      <c r="M7534">
        <v>0</v>
      </c>
      <c r="N7534">
        <v>0</v>
      </c>
    </row>
    <row r="7535" spans="1:15">
      <c r="A7535" t="s">
        <v>2723</v>
      </c>
      <c r="B7535" t="s">
        <v>12751</v>
      </c>
      <c r="C7535" t="s">
        <v>23394</v>
      </c>
      <c r="D7535" t="s">
        <v>2722</v>
      </c>
      <c r="E7535" t="b">
        <v>0</v>
      </c>
      <c r="F7535" t="s">
        <v>11624</v>
      </c>
      <c r="G7535">
        <v>21.954000000000001</v>
      </c>
      <c r="H7535">
        <v>-104.062</v>
      </c>
      <c r="I7535" t="s">
        <v>2724</v>
      </c>
      <c r="L7535">
        <v>0</v>
      </c>
      <c r="M7535">
        <v>0</v>
      </c>
      <c r="N7535">
        <v>3</v>
      </c>
      <c r="O7535" t="s">
        <v>11883</v>
      </c>
    </row>
    <row r="7536" spans="1:15">
      <c r="A7536" t="s">
        <v>31632</v>
      </c>
      <c r="B7536" t="s">
        <v>12686</v>
      </c>
      <c r="C7536" t="s">
        <v>6182</v>
      </c>
      <c r="D7536" t="s">
        <v>31633</v>
      </c>
      <c r="E7536" t="b">
        <v>0</v>
      </c>
      <c r="F7536" t="s">
        <v>11610</v>
      </c>
      <c r="L7536">
        <v>0</v>
      </c>
      <c r="M7536">
        <v>0</v>
      </c>
      <c r="N7536">
        <v>0</v>
      </c>
    </row>
    <row r="7537" spans="1:15">
      <c r="A7537" t="s">
        <v>31634</v>
      </c>
      <c r="B7537" t="s">
        <v>11644</v>
      </c>
      <c r="C7537" t="s">
        <v>6134</v>
      </c>
      <c r="D7537" t="s">
        <v>31635</v>
      </c>
      <c r="E7537" t="b">
        <v>0</v>
      </c>
      <c r="F7537" t="s">
        <v>11610</v>
      </c>
      <c r="L7537">
        <v>0</v>
      </c>
      <c r="M7537">
        <v>0</v>
      </c>
      <c r="N7537">
        <v>0</v>
      </c>
    </row>
    <row r="7538" spans="1:15">
      <c r="A7538" t="s">
        <v>31636</v>
      </c>
      <c r="B7538" t="s">
        <v>14372</v>
      </c>
      <c r="C7538" t="s">
        <v>14372</v>
      </c>
      <c r="D7538" t="s">
        <v>31637</v>
      </c>
      <c r="E7538" t="b">
        <v>0</v>
      </c>
      <c r="F7538" t="s">
        <v>11624</v>
      </c>
      <c r="G7538">
        <v>-40.069400000000002</v>
      </c>
      <c r="H7538">
        <v>-72.766999999999996</v>
      </c>
      <c r="I7538" t="s">
        <v>31638</v>
      </c>
      <c r="L7538">
        <v>0</v>
      </c>
      <c r="M7538">
        <v>0</v>
      </c>
      <c r="N7538">
        <v>1</v>
      </c>
      <c r="O7538" t="s">
        <v>31639</v>
      </c>
    </row>
    <row r="7539" spans="1:15">
      <c r="A7539" t="s">
        <v>31640</v>
      </c>
      <c r="B7539" t="s">
        <v>17579</v>
      </c>
      <c r="C7539" t="s">
        <v>19039</v>
      </c>
      <c r="D7539" t="s">
        <v>31641</v>
      </c>
      <c r="E7539" t="b">
        <v>0</v>
      </c>
      <c r="F7539" t="s">
        <v>11610</v>
      </c>
      <c r="L7539">
        <v>0</v>
      </c>
      <c r="M7539">
        <v>0</v>
      </c>
      <c r="N7539">
        <v>0</v>
      </c>
    </row>
    <row r="7540" spans="1:15">
      <c r="A7540" t="s">
        <v>31642</v>
      </c>
      <c r="B7540" t="s">
        <v>5126</v>
      </c>
      <c r="C7540" t="s">
        <v>30949</v>
      </c>
      <c r="D7540" t="s">
        <v>31643</v>
      </c>
      <c r="E7540" t="b">
        <v>0</v>
      </c>
      <c r="F7540" t="s">
        <v>11610</v>
      </c>
      <c r="L7540">
        <v>0</v>
      </c>
      <c r="M7540">
        <v>0</v>
      </c>
      <c r="N7540">
        <v>0</v>
      </c>
    </row>
    <row r="7541" spans="1:15">
      <c r="A7541" t="s">
        <v>21441</v>
      </c>
      <c r="B7541" t="s">
        <v>5058</v>
      </c>
      <c r="C7541" t="s">
        <v>22892</v>
      </c>
      <c r="D7541" t="s">
        <v>31644</v>
      </c>
      <c r="E7541" t="b">
        <v>0</v>
      </c>
      <c r="F7541" t="s">
        <v>11622</v>
      </c>
      <c r="L7541">
        <v>0</v>
      </c>
      <c r="M7541">
        <v>4</v>
      </c>
      <c r="N7541">
        <v>0</v>
      </c>
    </row>
    <row r="7542" spans="1:15">
      <c r="A7542" t="s">
        <v>13737</v>
      </c>
      <c r="D7542" t="s">
        <v>31645</v>
      </c>
      <c r="E7542" t="b">
        <v>0</v>
      </c>
      <c r="F7542" t="s">
        <v>11622</v>
      </c>
      <c r="L7542">
        <v>4</v>
      </c>
      <c r="M7542">
        <v>7</v>
      </c>
      <c r="N7542">
        <v>3</v>
      </c>
    </row>
    <row r="7543" spans="1:15">
      <c r="A7543" t="s">
        <v>31646</v>
      </c>
      <c r="B7543" t="s">
        <v>11879</v>
      </c>
      <c r="C7543" t="s">
        <v>31647</v>
      </c>
      <c r="D7543" t="s">
        <v>31648</v>
      </c>
      <c r="E7543" t="b">
        <v>0</v>
      </c>
      <c r="F7543" t="s">
        <v>11624</v>
      </c>
      <c r="G7543">
        <v>16.947600000000001</v>
      </c>
      <c r="H7543">
        <v>-97.123599999999996</v>
      </c>
      <c r="I7543" t="s">
        <v>31649</v>
      </c>
      <c r="L7543">
        <v>0</v>
      </c>
      <c r="M7543">
        <v>0</v>
      </c>
      <c r="N7543">
        <v>0</v>
      </c>
      <c r="O7543" t="s">
        <v>11883</v>
      </c>
    </row>
    <row r="7544" spans="1:15">
      <c r="A7544" t="s">
        <v>31650</v>
      </c>
      <c r="B7544" t="s">
        <v>11644</v>
      </c>
      <c r="C7544" t="s">
        <v>31651</v>
      </c>
      <c r="D7544" t="s">
        <v>31652</v>
      </c>
      <c r="E7544" t="b">
        <v>0</v>
      </c>
      <c r="F7544" t="s">
        <v>11624</v>
      </c>
      <c r="G7544">
        <v>29.764600000000002</v>
      </c>
      <c r="H7544">
        <v>118.232</v>
      </c>
      <c r="I7544" t="s">
        <v>31653</v>
      </c>
      <c r="L7544">
        <v>0</v>
      </c>
      <c r="M7544">
        <v>0</v>
      </c>
      <c r="N7544">
        <v>15</v>
      </c>
      <c r="O7544" t="s">
        <v>11905</v>
      </c>
    </row>
    <row r="7545" spans="1:15">
      <c r="A7545" t="s">
        <v>31654</v>
      </c>
      <c r="B7545" t="s">
        <v>11644</v>
      </c>
      <c r="C7545" t="s">
        <v>30548</v>
      </c>
      <c r="D7545" t="s">
        <v>31655</v>
      </c>
      <c r="E7545" t="b">
        <v>0</v>
      </c>
      <c r="F7545" t="s">
        <v>11610</v>
      </c>
      <c r="L7545">
        <v>0</v>
      </c>
      <c r="M7545">
        <v>0</v>
      </c>
      <c r="N7545">
        <v>0</v>
      </c>
    </row>
    <row r="7546" spans="1:15">
      <c r="A7546" t="s">
        <v>31656</v>
      </c>
      <c r="B7546" t="s">
        <v>11879</v>
      </c>
      <c r="C7546" t="s">
        <v>31657</v>
      </c>
      <c r="D7546" t="s">
        <v>31658</v>
      </c>
      <c r="E7546" t="b">
        <v>0</v>
      </c>
      <c r="F7546" t="s">
        <v>11610</v>
      </c>
      <c r="L7546">
        <v>0</v>
      </c>
      <c r="M7546">
        <v>0</v>
      </c>
      <c r="N7546">
        <v>0</v>
      </c>
    </row>
    <row r="7547" spans="1:15">
      <c r="A7547" t="s">
        <v>31659</v>
      </c>
      <c r="B7547" t="s">
        <v>367</v>
      </c>
      <c r="C7547" t="s">
        <v>20535</v>
      </c>
      <c r="D7547" t="s">
        <v>31660</v>
      </c>
      <c r="E7547" t="b">
        <v>0</v>
      </c>
      <c r="F7547" t="s">
        <v>11624</v>
      </c>
      <c r="G7547">
        <v>-3.274</v>
      </c>
      <c r="H7547">
        <v>126.194</v>
      </c>
      <c r="I7547" t="s">
        <v>31661</v>
      </c>
      <c r="L7547">
        <v>0</v>
      </c>
      <c r="M7547">
        <v>0</v>
      </c>
      <c r="N7547">
        <v>0</v>
      </c>
      <c r="O7547" t="s">
        <v>11768</v>
      </c>
    </row>
    <row r="7548" spans="1:15">
      <c r="A7548" t="s">
        <v>13019</v>
      </c>
      <c r="B7548" t="s">
        <v>367</v>
      </c>
      <c r="C7548" t="s">
        <v>31662</v>
      </c>
      <c r="D7548" t="s">
        <v>31663</v>
      </c>
      <c r="E7548" t="b">
        <v>0</v>
      </c>
      <c r="F7548" t="s">
        <v>11624</v>
      </c>
      <c r="G7548">
        <v>-9.9942700000000002</v>
      </c>
      <c r="H7548">
        <v>147.70500000000001</v>
      </c>
      <c r="I7548" t="s">
        <v>31664</v>
      </c>
      <c r="L7548">
        <v>0</v>
      </c>
      <c r="M7548">
        <v>0</v>
      </c>
      <c r="N7548">
        <v>4</v>
      </c>
      <c r="O7548" t="s">
        <v>11660</v>
      </c>
    </row>
    <row r="7549" spans="1:15">
      <c r="A7549" t="s">
        <v>31665</v>
      </c>
      <c r="B7549" t="s">
        <v>367</v>
      </c>
      <c r="C7549" t="s">
        <v>30793</v>
      </c>
      <c r="D7549" t="s">
        <v>31666</v>
      </c>
      <c r="E7549" t="b">
        <v>0</v>
      </c>
      <c r="F7549" t="s">
        <v>11610</v>
      </c>
      <c r="L7549">
        <v>0</v>
      </c>
      <c r="M7549">
        <v>0</v>
      </c>
      <c r="N7549">
        <v>0</v>
      </c>
    </row>
    <row r="7550" spans="1:15">
      <c r="A7550" t="s">
        <v>31667</v>
      </c>
      <c r="B7550" t="s">
        <v>11607</v>
      </c>
      <c r="C7550" t="s">
        <v>31668</v>
      </c>
      <c r="D7550" t="s">
        <v>31669</v>
      </c>
      <c r="E7550" t="b">
        <v>0</v>
      </c>
      <c r="F7550" t="s">
        <v>11624</v>
      </c>
      <c r="G7550">
        <v>31.911100000000001</v>
      </c>
      <c r="H7550">
        <v>43.486499999999999</v>
      </c>
      <c r="I7550" t="s">
        <v>31670</v>
      </c>
      <c r="L7550">
        <v>0</v>
      </c>
      <c r="M7550">
        <v>0</v>
      </c>
      <c r="N7550">
        <v>4</v>
      </c>
      <c r="O7550" t="s">
        <v>31671</v>
      </c>
    </row>
    <row r="7551" spans="1:15">
      <c r="A7551" t="s">
        <v>31662</v>
      </c>
      <c r="B7551" t="s">
        <v>367</v>
      </c>
      <c r="C7551" t="s">
        <v>31672</v>
      </c>
      <c r="D7551" t="s">
        <v>31673</v>
      </c>
      <c r="E7551" t="b">
        <v>0</v>
      </c>
      <c r="F7551" t="s">
        <v>11622</v>
      </c>
      <c r="L7551">
        <v>0</v>
      </c>
      <c r="M7551">
        <v>2</v>
      </c>
      <c r="N7551">
        <v>12</v>
      </c>
    </row>
    <row r="7552" spans="1:15">
      <c r="A7552" t="s">
        <v>31674</v>
      </c>
      <c r="B7552" t="s">
        <v>11615</v>
      </c>
      <c r="C7552" t="s">
        <v>13798</v>
      </c>
      <c r="D7552" t="s">
        <v>31675</v>
      </c>
      <c r="E7552" t="b">
        <v>0</v>
      </c>
      <c r="F7552" t="s">
        <v>11624</v>
      </c>
      <c r="G7552">
        <v>-5.9721200000000003</v>
      </c>
      <c r="H7552">
        <v>142.96299999999999</v>
      </c>
      <c r="I7552" t="s">
        <v>31676</v>
      </c>
      <c r="L7552">
        <v>0</v>
      </c>
      <c r="M7552">
        <v>0</v>
      </c>
      <c r="N7552">
        <v>0</v>
      </c>
      <c r="O7552" t="s">
        <v>11660</v>
      </c>
    </row>
    <row r="7553" spans="1:15">
      <c r="A7553" t="s">
        <v>31677</v>
      </c>
      <c r="B7553" t="s">
        <v>6742</v>
      </c>
      <c r="C7553" t="s">
        <v>15515</v>
      </c>
      <c r="D7553" t="s">
        <v>31678</v>
      </c>
      <c r="E7553" t="b">
        <v>0</v>
      </c>
      <c r="F7553" t="s">
        <v>11610</v>
      </c>
      <c r="L7553">
        <v>0</v>
      </c>
      <c r="M7553">
        <v>0</v>
      </c>
      <c r="N7553">
        <v>0</v>
      </c>
    </row>
    <row r="7554" spans="1:15">
      <c r="A7554" t="s">
        <v>31679</v>
      </c>
      <c r="B7554" t="s">
        <v>367</v>
      </c>
      <c r="C7554" t="s">
        <v>16724</v>
      </c>
      <c r="D7554" t="s">
        <v>31680</v>
      </c>
      <c r="E7554" t="b">
        <v>0</v>
      </c>
      <c r="F7554" t="s">
        <v>11610</v>
      </c>
      <c r="L7554">
        <v>0</v>
      </c>
      <c r="M7554">
        <v>0</v>
      </c>
      <c r="N7554">
        <v>0</v>
      </c>
    </row>
    <row r="7555" spans="1:15">
      <c r="A7555" t="s">
        <v>31681</v>
      </c>
      <c r="B7555" t="s">
        <v>367</v>
      </c>
      <c r="C7555" t="s">
        <v>31682</v>
      </c>
      <c r="D7555" t="s">
        <v>31683</v>
      </c>
      <c r="E7555" t="b">
        <v>0</v>
      </c>
      <c r="F7555" t="s">
        <v>11624</v>
      </c>
      <c r="G7555">
        <v>-2.8738899999999998</v>
      </c>
      <c r="H7555">
        <v>128.58699999999999</v>
      </c>
      <c r="I7555" t="s">
        <v>31684</v>
      </c>
      <c r="L7555">
        <v>0</v>
      </c>
      <c r="M7555">
        <v>0</v>
      </c>
      <c r="N7555">
        <v>0</v>
      </c>
      <c r="O7555" t="s">
        <v>11768</v>
      </c>
    </row>
    <row r="7556" spans="1:15">
      <c r="A7556" t="s">
        <v>31685</v>
      </c>
      <c r="B7556" t="s">
        <v>6742</v>
      </c>
      <c r="C7556" t="s">
        <v>31686</v>
      </c>
      <c r="D7556" t="s">
        <v>31687</v>
      </c>
      <c r="E7556" t="b">
        <v>0</v>
      </c>
      <c r="F7556" t="s">
        <v>11610</v>
      </c>
      <c r="L7556">
        <v>0</v>
      </c>
      <c r="M7556">
        <v>0</v>
      </c>
      <c r="N7556">
        <v>0</v>
      </c>
    </row>
    <row r="7557" spans="1:15">
      <c r="A7557" t="s">
        <v>31688</v>
      </c>
      <c r="B7557" t="s">
        <v>6742</v>
      </c>
      <c r="C7557" t="s">
        <v>581</v>
      </c>
      <c r="D7557" t="s">
        <v>31689</v>
      </c>
      <c r="E7557" t="b">
        <v>0</v>
      </c>
      <c r="F7557" t="s">
        <v>11610</v>
      </c>
      <c r="L7557">
        <v>0</v>
      </c>
      <c r="M7557">
        <v>0</v>
      </c>
      <c r="N7557">
        <v>0</v>
      </c>
    </row>
    <row r="7558" spans="1:15">
      <c r="A7558" t="s">
        <v>25005</v>
      </c>
      <c r="B7558" t="s">
        <v>12562</v>
      </c>
      <c r="C7558" t="s">
        <v>26144</v>
      </c>
      <c r="D7558" t="s">
        <v>31690</v>
      </c>
      <c r="E7558" t="b">
        <v>0</v>
      </c>
      <c r="F7558" t="s">
        <v>11624</v>
      </c>
      <c r="G7558">
        <v>15.2948</v>
      </c>
      <c r="H7558">
        <v>-1.6930099999999999</v>
      </c>
      <c r="I7558" t="s">
        <v>31691</v>
      </c>
      <c r="L7558">
        <v>0</v>
      </c>
      <c r="M7558">
        <v>0</v>
      </c>
      <c r="N7558">
        <v>2</v>
      </c>
      <c r="O7558" t="s">
        <v>19384</v>
      </c>
    </row>
    <row r="7559" spans="1:15">
      <c r="A7559" t="s">
        <v>31692</v>
      </c>
      <c r="B7559" t="s">
        <v>28641</v>
      </c>
      <c r="C7559" t="s">
        <v>28641</v>
      </c>
      <c r="D7559" t="s">
        <v>31693</v>
      </c>
      <c r="E7559" t="b">
        <v>0</v>
      </c>
      <c r="F7559" t="s">
        <v>11622</v>
      </c>
      <c r="L7559">
        <v>0</v>
      </c>
      <c r="M7559">
        <v>2</v>
      </c>
      <c r="N7559">
        <v>4</v>
      </c>
    </row>
    <row r="7560" spans="1:15">
      <c r="A7560" t="s">
        <v>31694</v>
      </c>
      <c r="B7560" t="s">
        <v>28641</v>
      </c>
      <c r="C7560" t="s">
        <v>31692</v>
      </c>
      <c r="D7560" t="s">
        <v>31695</v>
      </c>
      <c r="E7560" t="b">
        <v>0</v>
      </c>
      <c r="F7560" t="s">
        <v>11624</v>
      </c>
      <c r="G7560">
        <v>-9.7069299999999998</v>
      </c>
      <c r="H7560">
        <v>147.56200000000001</v>
      </c>
      <c r="I7560" t="s">
        <v>31696</v>
      </c>
      <c r="L7560">
        <v>0</v>
      </c>
      <c r="M7560">
        <v>0</v>
      </c>
      <c r="N7560">
        <v>2</v>
      </c>
      <c r="O7560" t="s">
        <v>11660</v>
      </c>
    </row>
    <row r="7561" spans="1:15">
      <c r="A7561" t="s">
        <v>31697</v>
      </c>
      <c r="B7561" t="s">
        <v>11644</v>
      </c>
      <c r="C7561" t="s">
        <v>25165</v>
      </c>
      <c r="D7561" t="s">
        <v>31698</v>
      </c>
      <c r="E7561" t="b">
        <v>0</v>
      </c>
      <c r="F7561" t="s">
        <v>11624</v>
      </c>
      <c r="G7561">
        <v>30.145099999999999</v>
      </c>
      <c r="H7561">
        <v>81.565899999999999</v>
      </c>
      <c r="I7561" t="s">
        <v>31699</v>
      </c>
      <c r="L7561">
        <v>0</v>
      </c>
      <c r="M7561">
        <v>0</v>
      </c>
      <c r="N7561">
        <v>0</v>
      </c>
      <c r="O7561" t="s">
        <v>16899</v>
      </c>
    </row>
    <row r="7562" spans="1:15">
      <c r="A7562" t="s">
        <v>31700</v>
      </c>
      <c r="B7562" t="s">
        <v>6742</v>
      </c>
      <c r="C7562" t="s">
        <v>30893</v>
      </c>
      <c r="D7562" t="s">
        <v>31701</v>
      </c>
      <c r="E7562" t="b">
        <v>0</v>
      </c>
      <c r="F7562" t="s">
        <v>11624</v>
      </c>
      <c r="G7562">
        <v>-1.4676199999999999</v>
      </c>
      <c r="H7562">
        <v>28.930800000000001</v>
      </c>
      <c r="I7562" t="s">
        <v>31702</v>
      </c>
      <c r="L7562">
        <v>0</v>
      </c>
      <c r="M7562">
        <v>0</v>
      </c>
      <c r="N7562">
        <v>0</v>
      </c>
      <c r="O7562" t="s">
        <v>14825</v>
      </c>
    </row>
    <row r="7563" spans="1:15">
      <c r="A7563" t="s">
        <v>30893</v>
      </c>
      <c r="B7563" t="s">
        <v>6742</v>
      </c>
      <c r="C7563" t="s">
        <v>28038</v>
      </c>
      <c r="D7563" t="s">
        <v>31703</v>
      </c>
      <c r="E7563" t="b">
        <v>0</v>
      </c>
      <c r="F7563" t="s">
        <v>11622</v>
      </c>
      <c r="L7563">
        <v>0</v>
      </c>
      <c r="M7563">
        <v>2</v>
      </c>
      <c r="N7563">
        <v>0</v>
      </c>
    </row>
    <row r="7564" spans="1:15">
      <c r="A7564" t="s">
        <v>19997</v>
      </c>
      <c r="B7564" t="s">
        <v>11981</v>
      </c>
      <c r="C7564" t="s">
        <v>20225</v>
      </c>
      <c r="D7564" t="s">
        <v>31704</v>
      </c>
      <c r="E7564" t="b">
        <v>0</v>
      </c>
      <c r="F7564" t="s">
        <v>11624</v>
      </c>
      <c r="G7564">
        <v>47.492359999999998</v>
      </c>
      <c r="H7564">
        <v>19.052084000000001</v>
      </c>
      <c r="I7564" t="s">
        <v>31705</v>
      </c>
      <c r="L7564">
        <v>0</v>
      </c>
      <c r="M7564">
        <v>0</v>
      </c>
      <c r="N7564">
        <v>6</v>
      </c>
      <c r="O7564" t="s">
        <v>31706</v>
      </c>
    </row>
    <row r="7565" spans="1:15">
      <c r="A7565" t="s">
        <v>10255</v>
      </c>
      <c r="B7565" t="s">
        <v>12260</v>
      </c>
      <c r="C7565" t="s">
        <v>12260</v>
      </c>
      <c r="D7565" t="s">
        <v>31707</v>
      </c>
      <c r="E7565" t="b">
        <v>0</v>
      </c>
      <c r="F7565" t="s">
        <v>11624</v>
      </c>
      <c r="G7565">
        <v>46.906858571400001</v>
      </c>
      <c r="H7565">
        <v>19.655527142899999</v>
      </c>
      <c r="I7565" t="s">
        <v>10262</v>
      </c>
      <c r="L7565">
        <v>0</v>
      </c>
      <c r="M7565">
        <v>0</v>
      </c>
      <c r="N7565">
        <v>10</v>
      </c>
      <c r="O7565" t="s">
        <v>31708</v>
      </c>
    </row>
    <row r="7566" spans="1:15">
      <c r="A7566" t="s">
        <v>24066</v>
      </c>
      <c r="B7566" t="s">
        <v>12438</v>
      </c>
      <c r="C7566" t="s">
        <v>23633</v>
      </c>
      <c r="D7566" t="s">
        <v>31709</v>
      </c>
      <c r="E7566" t="b">
        <v>0</v>
      </c>
      <c r="F7566" t="s">
        <v>11624</v>
      </c>
      <c r="G7566">
        <v>18.7849</v>
      </c>
      <c r="H7566">
        <v>104.77200000000001</v>
      </c>
      <c r="I7566" t="s">
        <v>31710</v>
      </c>
      <c r="L7566">
        <v>0</v>
      </c>
      <c r="M7566">
        <v>0</v>
      </c>
      <c r="N7566">
        <v>4</v>
      </c>
      <c r="O7566" t="s">
        <v>14464</v>
      </c>
    </row>
    <row r="7567" spans="1:15">
      <c r="A7567" t="s">
        <v>31711</v>
      </c>
      <c r="B7567" t="s">
        <v>6742</v>
      </c>
      <c r="C7567" t="s">
        <v>31712</v>
      </c>
      <c r="D7567" t="s">
        <v>31713</v>
      </c>
      <c r="E7567" t="b">
        <v>0</v>
      </c>
      <c r="F7567" t="s">
        <v>11624</v>
      </c>
      <c r="G7567">
        <v>10.324299999999999</v>
      </c>
      <c r="H7567">
        <v>6.3023999999999996</v>
      </c>
      <c r="I7567" t="s">
        <v>31714</v>
      </c>
      <c r="L7567">
        <v>0</v>
      </c>
      <c r="M7567">
        <v>0</v>
      </c>
      <c r="N7567">
        <v>0</v>
      </c>
      <c r="O7567" t="s">
        <v>11693</v>
      </c>
    </row>
    <row r="7568" spans="1:15">
      <c r="A7568" t="s">
        <v>31715</v>
      </c>
      <c r="B7568" t="s">
        <v>6742</v>
      </c>
      <c r="C7568" t="s">
        <v>19032</v>
      </c>
      <c r="D7568" t="s">
        <v>31716</v>
      </c>
      <c r="E7568" t="b">
        <v>0</v>
      </c>
      <c r="F7568" t="s">
        <v>11610</v>
      </c>
      <c r="L7568">
        <v>0</v>
      </c>
      <c r="M7568">
        <v>0</v>
      </c>
      <c r="N7568">
        <v>0</v>
      </c>
    </row>
    <row r="7569" spans="1:15">
      <c r="A7569" t="s">
        <v>31717</v>
      </c>
      <c r="B7569" t="s">
        <v>6742</v>
      </c>
      <c r="C7569" t="s">
        <v>31718</v>
      </c>
      <c r="D7569" t="s">
        <v>31719</v>
      </c>
      <c r="E7569" t="b">
        <v>0</v>
      </c>
      <c r="F7569" t="s">
        <v>11624</v>
      </c>
      <c r="G7569">
        <v>-3.6969500000000002</v>
      </c>
      <c r="H7569">
        <v>18.4312</v>
      </c>
      <c r="I7569" t="s">
        <v>31720</v>
      </c>
      <c r="L7569">
        <v>0</v>
      </c>
      <c r="M7569">
        <v>0</v>
      </c>
      <c r="N7569">
        <v>0</v>
      </c>
      <c r="O7569" t="s">
        <v>14825</v>
      </c>
    </row>
    <row r="7570" spans="1:15">
      <c r="A7570" t="s">
        <v>31721</v>
      </c>
      <c r="B7570" t="s">
        <v>367</v>
      </c>
      <c r="C7570" t="s">
        <v>30740</v>
      </c>
      <c r="D7570" t="s">
        <v>31722</v>
      </c>
      <c r="E7570" t="b">
        <v>0</v>
      </c>
      <c r="F7570" t="s">
        <v>11610</v>
      </c>
      <c r="L7570">
        <v>0</v>
      </c>
      <c r="M7570">
        <v>0</v>
      </c>
      <c r="N7570">
        <v>0</v>
      </c>
    </row>
    <row r="7571" spans="1:15">
      <c r="A7571" t="s">
        <v>31723</v>
      </c>
      <c r="B7571" t="s">
        <v>6742</v>
      </c>
      <c r="C7571" t="s">
        <v>31724</v>
      </c>
      <c r="D7571" t="s">
        <v>31725</v>
      </c>
      <c r="E7571" t="b">
        <v>0</v>
      </c>
      <c r="F7571" t="s">
        <v>11624</v>
      </c>
      <c r="L7571">
        <v>0</v>
      </c>
      <c r="M7571">
        <v>0</v>
      </c>
      <c r="N7571">
        <v>0</v>
      </c>
      <c r="O7571" t="s">
        <v>19290</v>
      </c>
    </row>
    <row r="7572" spans="1:15">
      <c r="A7572" t="s">
        <v>31726</v>
      </c>
      <c r="B7572" t="s">
        <v>11615</v>
      </c>
      <c r="C7572" t="s">
        <v>12154</v>
      </c>
      <c r="D7572" t="s">
        <v>31727</v>
      </c>
      <c r="E7572" t="b">
        <v>0</v>
      </c>
      <c r="F7572" t="s">
        <v>11624</v>
      </c>
      <c r="G7572">
        <v>-8.92</v>
      </c>
      <c r="H7572">
        <v>147.9</v>
      </c>
      <c r="I7572" t="s">
        <v>31728</v>
      </c>
      <c r="L7572">
        <v>0</v>
      </c>
      <c r="M7572">
        <v>0</v>
      </c>
      <c r="N7572">
        <v>0</v>
      </c>
      <c r="O7572" t="s">
        <v>11660</v>
      </c>
    </row>
    <row r="7573" spans="1:15">
      <c r="A7573" t="s">
        <v>26080</v>
      </c>
      <c r="B7573" t="s">
        <v>6742</v>
      </c>
      <c r="C7573" t="s">
        <v>25479</v>
      </c>
      <c r="D7573" t="s">
        <v>31729</v>
      </c>
      <c r="E7573" t="b">
        <v>0</v>
      </c>
      <c r="F7573" t="s">
        <v>11624</v>
      </c>
      <c r="G7573">
        <v>10.7898</v>
      </c>
      <c r="H7573">
        <v>5.0731200000000003</v>
      </c>
      <c r="I7573" t="s">
        <v>31730</v>
      </c>
      <c r="L7573">
        <v>0</v>
      </c>
      <c r="M7573">
        <v>0</v>
      </c>
      <c r="N7573">
        <v>2</v>
      </c>
      <c r="O7573" t="s">
        <v>11693</v>
      </c>
    </row>
    <row r="7574" spans="1:15">
      <c r="A7574" t="s">
        <v>15294</v>
      </c>
      <c r="B7574" t="s">
        <v>10597</v>
      </c>
      <c r="C7574" t="s">
        <v>31731</v>
      </c>
      <c r="D7574" t="s">
        <v>31732</v>
      </c>
      <c r="E7574" t="b">
        <v>0</v>
      </c>
      <c r="F7574" t="s">
        <v>11622</v>
      </c>
      <c r="L7574">
        <v>0</v>
      </c>
      <c r="M7574">
        <v>2</v>
      </c>
      <c r="N7574">
        <v>5</v>
      </c>
    </row>
    <row r="7575" spans="1:15">
      <c r="A7575" t="s">
        <v>31733</v>
      </c>
      <c r="B7575" t="s">
        <v>11637</v>
      </c>
      <c r="C7575" t="s">
        <v>15872</v>
      </c>
      <c r="D7575" t="s">
        <v>31734</v>
      </c>
      <c r="E7575" t="b">
        <v>0</v>
      </c>
      <c r="F7575" t="s">
        <v>11610</v>
      </c>
      <c r="L7575">
        <v>0</v>
      </c>
      <c r="M7575">
        <v>0</v>
      </c>
      <c r="N7575">
        <v>0</v>
      </c>
    </row>
    <row r="7576" spans="1:15">
      <c r="A7576" t="s">
        <v>31735</v>
      </c>
      <c r="B7576" t="s">
        <v>12311</v>
      </c>
      <c r="C7576" t="s">
        <v>18232</v>
      </c>
      <c r="D7576" t="s">
        <v>31736</v>
      </c>
      <c r="E7576" t="b">
        <v>0</v>
      </c>
      <c r="F7576" t="s">
        <v>11624</v>
      </c>
      <c r="G7576">
        <v>42.080800000000004</v>
      </c>
      <c r="H7576">
        <v>46.136899999999997</v>
      </c>
      <c r="I7576" t="s">
        <v>31737</v>
      </c>
      <c r="L7576">
        <v>0</v>
      </c>
      <c r="M7576">
        <v>0</v>
      </c>
      <c r="N7576">
        <v>0</v>
      </c>
      <c r="O7576" t="s">
        <v>18235</v>
      </c>
    </row>
    <row r="7577" spans="1:15">
      <c r="A7577" t="s">
        <v>31738</v>
      </c>
      <c r="B7577" t="s">
        <v>7926</v>
      </c>
      <c r="C7577" t="s">
        <v>7926</v>
      </c>
      <c r="D7577" t="s">
        <v>31739</v>
      </c>
      <c r="E7577" t="b">
        <v>0</v>
      </c>
      <c r="F7577" t="s">
        <v>11610</v>
      </c>
      <c r="L7577">
        <v>0</v>
      </c>
      <c r="M7577">
        <v>0</v>
      </c>
      <c r="N7577">
        <v>0</v>
      </c>
    </row>
    <row r="7578" spans="1:15">
      <c r="A7578" t="s">
        <v>31740</v>
      </c>
      <c r="B7578" t="s">
        <v>11637</v>
      </c>
      <c r="C7578" t="s">
        <v>25176</v>
      </c>
      <c r="D7578" t="s">
        <v>31741</v>
      </c>
      <c r="E7578" t="b">
        <v>0</v>
      </c>
      <c r="F7578" t="s">
        <v>11610</v>
      </c>
      <c r="L7578">
        <v>0</v>
      </c>
      <c r="M7578">
        <v>0</v>
      </c>
      <c r="N7578">
        <v>0</v>
      </c>
    </row>
    <row r="7579" spans="1:15">
      <c r="A7579" t="s">
        <v>31742</v>
      </c>
      <c r="B7579" t="s">
        <v>367</v>
      </c>
      <c r="C7579" t="s">
        <v>31743</v>
      </c>
      <c r="D7579" t="s">
        <v>31744</v>
      </c>
      <c r="E7579" t="b">
        <v>0</v>
      </c>
      <c r="F7579" t="s">
        <v>11622</v>
      </c>
      <c r="L7579">
        <v>11</v>
      </c>
      <c r="M7579">
        <v>32</v>
      </c>
      <c r="N7579">
        <v>18</v>
      </c>
    </row>
    <row r="7580" spans="1:15">
      <c r="A7580" t="s">
        <v>26478</v>
      </c>
      <c r="B7580" t="s">
        <v>11615</v>
      </c>
      <c r="C7580" t="s">
        <v>27876</v>
      </c>
      <c r="D7580" t="s">
        <v>31745</v>
      </c>
      <c r="E7580" t="b">
        <v>0</v>
      </c>
      <c r="F7580" t="s">
        <v>11622</v>
      </c>
      <c r="L7580">
        <v>9</v>
      </c>
      <c r="M7580">
        <v>20</v>
      </c>
      <c r="N7580">
        <v>36</v>
      </c>
    </row>
    <row r="7581" spans="1:15">
      <c r="A7581" t="s">
        <v>31746</v>
      </c>
      <c r="B7581" t="s">
        <v>12460</v>
      </c>
      <c r="C7581" t="s">
        <v>20944</v>
      </c>
      <c r="D7581" t="s">
        <v>31747</v>
      </c>
      <c r="E7581" t="b">
        <v>0</v>
      </c>
      <c r="F7581" t="s">
        <v>11624</v>
      </c>
      <c r="G7581">
        <v>41.098199999999999</v>
      </c>
      <c r="H7581">
        <v>-123.68</v>
      </c>
      <c r="I7581" t="s">
        <v>31748</v>
      </c>
      <c r="L7581">
        <v>0</v>
      </c>
      <c r="M7581">
        <v>0</v>
      </c>
      <c r="N7581">
        <v>0</v>
      </c>
      <c r="O7581" t="s">
        <v>11944</v>
      </c>
    </row>
    <row r="7582" spans="1:15">
      <c r="A7582" t="s">
        <v>31749</v>
      </c>
      <c r="B7582" t="s">
        <v>24281</v>
      </c>
      <c r="C7582" t="s">
        <v>31750</v>
      </c>
      <c r="D7582" t="s">
        <v>31751</v>
      </c>
      <c r="E7582" t="b">
        <v>0</v>
      </c>
      <c r="F7582" t="s">
        <v>11624</v>
      </c>
      <c r="G7582">
        <v>0.58621999999999996</v>
      </c>
      <c r="H7582">
        <v>-69.835899999999995</v>
      </c>
      <c r="I7582" t="s">
        <v>31752</v>
      </c>
      <c r="L7582">
        <v>0</v>
      </c>
      <c r="M7582">
        <v>0</v>
      </c>
      <c r="N7582">
        <v>3</v>
      </c>
      <c r="O7582" t="s">
        <v>21122</v>
      </c>
    </row>
    <row r="7583" spans="1:15">
      <c r="A7583" t="s">
        <v>31753</v>
      </c>
      <c r="B7583" t="s">
        <v>24281</v>
      </c>
      <c r="C7583" t="s">
        <v>31749</v>
      </c>
      <c r="D7583" t="s">
        <v>31754</v>
      </c>
      <c r="E7583" t="b">
        <v>0</v>
      </c>
      <c r="F7583" t="s">
        <v>11610</v>
      </c>
      <c r="L7583">
        <v>0</v>
      </c>
      <c r="M7583">
        <v>0</v>
      </c>
      <c r="N7583">
        <v>0</v>
      </c>
    </row>
    <row r="7584" spans="1:15">
      <c r="A7584" t="s">
        <v>31755</v>
      </c>
      <c r="B7584" t="s">
        <v>11615</v>
      </c>
      <c r="C7584" t="s">
        <v>29694</v>
      </c>
      <c r="D7584" t="s">
        <v>31756</v>
      </c>
      <c r="E7584" t="b">
        <v>0</v>
      </c>
      <c r="F7584" t="s">
        <v>11624</v>
      </c>
      <c r="G7584">
        <v>-4.3634899999999996</v>
      </c>
      <c r="H7584">
        <v>139.16399999999999</v>
      </c>
      <c r="I7584" t="s">
        <v>31757</v>
      </c>
      <c r="L7584">
        <v>0</v>
      </c>
      <c r="M7584">
        <v>0</v>
      </c>
      <c r="N7584">
        <v>0</v>
      </c>
      <c r="O7584" t="s">
        <v>11768</v>
      </c>
    </row>
    <row r="7585" spans="1:15">
      <c r="A7585" t="s">
        <v>31750</v>
      </c>
      <c r="B7585" t="s">
        <v>24281</v>
      </c>
      <c r="C7585" t="s">
        <v>24282</v>
      </c>
      <c r="D7585" t="s">
        <v>31758</v>
      </c>
      <c r="E7585" t="b">
        <v>0</v>
      </c>
      <c r="F7585" t="s">
        <v>11622</v>
      </c>
      <c r="L7585">
        <v>0</v>
      </c>
      <c r="M7585">
        <v>2</v>
      </c>
      <c r="N7585">
        <v>3</v>
      </c>
    </row>
    <row r="7586" spans="1:15">
      <c r="A7586" t="s">
        <v>31759</v>
      </c>
      <c r="B7586" t="s">
        <v>300</v>
      </c>
      <c r="C7586" t="s">
        <v>23399</v>
      </c>
      <c r="D7586" t="s">
        <v>31760</v>
      </c>
      <c r="E7586" t="b">
        <v>0</v>
      </c>
      <c r="F7586" t="s">
        <v>11610</v>
      </c>
      <c r="L7586">
        <v>0</v>
      </c>
      <c r="M7586">
        <v>0</v>
      </c>
      <c r="N7586">
        <v>0</v>
      </c>
    </row>
    <row r="7587" spans="1:15">
      <c r="A7587" t="s">
        <v>31761</v>
      </c>
      <c r="D7587" t="s">
        <v>31762</v>
      </c>
      <c r="E7587" t="b">
        <v>0</v>
      </c>
      <c r="F7587" t="s">
        <v>11622</v>
      </c>
      <c r="L7587">
        <v>0</v>
      </c>
      <c r="M7587">
        <v>2</v>
      </c>
      <c r="N7587">
        <v>0</v>
      </c>
    </row>
    <row r="7588" spans="1:15">
      <c r="A7588" t="s">
        <v>31763</v>
      </c>
      <c r="B7588" t="s">
        <v>31761</v>
      </c>
      <c r="C7588" t="s">
        <v>31761</v>
      </c>
      <c r="D7588" t="s">
        <v>31764</v>
      </c>
      <c r="E7588" t="b">
        <v>0</v>
      </c>
      <c r="F7588" t="s">
        <v>11624</v>
      </c>
      <c r="G7588">
        <v>40.733899999999998</v>
      </c>
      <c r="H7588">
        <v>43.315399999999997</v>
      </c>
      <c r="I7588" t="s">
        <v>31765</v>
      </c>
      <c r="L7588">
        <v>0</v>
      </c>
      <c r="M7588">
        <v>0</v>
      </c>
      <c r="N7588">
        <v>0</v>
      </c>
      <c r="O7588" t="s">
        <v>16254</v>
      </c>
    </row>
    <row r="7589" spans="1:15">
      <c r="A7589" t="s">
        <v>31766</v>
      </c>
      <c r="B7589" t="s">
        <v>6742</v>
      </c>
      <c r="C7589" t="s">
        <v>1745</v>
      </c>
      <c r="D7589" t="s">
        <v>31767</v>
      </c>
      <c r="E7589" t="b">
        <v>0</v>
      </c>
      <c r="F7589" t="s">
        <v>11610</v>
      </c>
      <c r="L7589">
        <v>0</v>
      </c>
      <c r="M7589">
        <v>0</v>
      </c>
      <c r="N7589">
        <v>0</v>
      </c>
    </row>
    <row r="7590" spans="1:15">
      <c r="A7590" t="s">
        <v>31768</v>
      </c>
      <c r="B7590" t="s">
        <v>11607</v>
      </c>
      <c r="C7590" t="s">
        <v>18915</v>
      </c>
      <c r="D7590" t="s">
        <v>31769</v>
      </c>
      <c r="E7590" t="b">
        <v>0</v>
      </c>
      <c r="F7590" t="s">
        <v>11622</v>
      </c>
      <c r="L7590">
        <v>0</v>
      </c>
      <c r="M7590">
        <v>2</v>
      </c>
      <c r="N7590">
        <v>5</v>
      </c>
    </row>
    <row r="7591" spans="1:15">
      <c r="A7591" t="s">
        <v>31770</v>
      </c>
      <c r="B7591" t="s">
        <v>11607</v>
      </c>
      <c r="C7591" t="s">
        <v>25529</v>
      </c>
      <c r="D7591" t="s">
        <v>31771</v>
      </c>
      <c r="E7591" t="b">
        <v>0</v>
      </c>
      <c r="F7591" t="s">
        <v>11610</v>
      </c>
      <c r="L7591">
        <v>0</v>
      </c>
      <c r="M7591">
        <v>0</v>
      </c>
      <c r="N7591">
        <v>0</v>
      </c>
    </row>
    <row r="7592" spans="1:15">
      <c r="A7592" t="s">
        <v>31772</v>
      </c>
      <c r="B7592" t="s">
        <v>31523</v>
      </c>
      <c r="C7592" t="s">
        <v>31523</v>
      </c>
      <c r="D7592" t="s">
        <v>31773</v>
      </c>
      <c r="E7592" t="b">
        <v>0</v>
      </c>
      <c r="F7592" t="s">
        <v>11610</v>
      </c>
      <c r="L7592">
        <v>0</v>
      </c>
      <c r="M7592">
        <v>0</v>
      </c>
      <c r="N7592">
        <v>0</v>
      </c>
    </row>
    <row r="7593" spans="1:15">
      <c r="A7593" t="s">
        <v>31774</v>
      </c>
      <c r="B7593" t="s">
        <v>11637</v>
      </c>
      <c r="C7593" t="s">
        <v>23038</v>
      </c>
      <c r="D7593" t="s">
        <v>31775</v>
      </c>
      <c r="E7593" t="b">
        <v>0</v>
      </c>
      <c r="F7593" t="s">
        <v>11624</v>
      </c>
      <c r="G7593">
        <v>40</v>
      </c>
      <c r="H7593">
        <v>-97</v>
      </c>
      <c r="I7593" t="s">
        <v>31776</v>
      </c>
      <c r="L7593">
        <v>0</v>
      </c>
      <c r="M7593">
        <v>0</v>
      </c>
      <c r="N7593">
        <v>0</v>
      </c>
      <c r="O7593" t="s">
        <v>14875</v>
      </c>
    </row>
    <row r="7594" spans="1:15">
      <c r="A7594" t="s">
        <v>31777</v>
      </c>
      <c r="B7594" t="s">
        <v>6742</v>
      </c>
      <c r="C7594" t="s">
        <v>167</v>
      </c>
      <c r="D7594" t="s">
        <v>31778</v>
      </c>
      <c r="E7594" t="b">
        <v>0</v>
      </c>
      <c r="F7594" t="s">
        <v>11610</v>
      </c>
      <c r="L7594">
        <v>0</v>
      </c>
      <c r="M7594">
        <v>0</v>
      </c>
      <c r="N7594">
        <v>0</v>
      </c>
    </row>
    <row r="7595" spans="1:15">
      <c r="A7595" t="s">
        <v>31779</v>
      </c>
      <c r="B7595" t="s">
        <v>11637</v>
      </c>
      <c r="C7595" t="s">
        <v>16881</v>
      </c>
      <c r="D7595" t="s">
        <v>31780</v>
      </c>
      <c r="E7595" t="b">
        <v>0</v>
      </c>
      <c r="F7595" t="s">
        <v>11610</v>
      </c>
      <c r="L7595">
        <v>0</v>
      </c>
      <c r="M7595">
        <v>0</v>
      </c>
      <c r="N7595">
        <v>0</v>
      </c>
    </row>
    <row r="7596" spans="1:15">
      <c r="A7596" t="s">
        <v>31781</v>
      </c>
      <c r="B7596" t="s">
        <v>12438</v>
      </c>
      <c r="C7596" t="s">
        <v>31782</v>
      </c>
      <c r="D7596" t="s">
        <v>31783</v>
      </c>
      <c r="E7596" t="b">
        <v>0</v>
      </c>
      <c r="F7596" t="s">
        <v>11624</v>
      </c>
      <c r="G7596">
        <v>22.016300000000001</v>
      </c>
      <c r="H7596">
        <v>100.881</v>
      </c>
      <c r="I7596" t="s">
        <v>31784</v>
      </c>
      <c r="L7596">
        <v>0</v>
      </c>
      <c r="M7596">
        <v>0</v>
      </c>
      <c r="N7596">
        <v>0</v>
      </c>
      <c r="O7596" t="s">
        <v>11905</v>
      </c>
    </row>
    <row r="7597" spans="1:15">
      <c r="A7597" t="s">
        <v>31785</v>
      </c>
      <c r="B7597" t="s">
        <v>12250</v>
      </c>
      <c r="C7597" t="s">
        <v>31786</v>
      </c>
      <c r="D7597" t="s">
        <v>31787</v>
      </c>
      <c r="E7597" t="b">
        <v>0</v>
      </c>
      <c r="F7597" t="s">
        <v>11610</v>
      </c>
      <c r="L7597">
        <v>0</v>
      </c>
      <c r="M7597">
        <v>0</v>
      </c>
      <c r="N7597">
        <v>0</v>
      </c>
    </row>
    <row r="7598" spans="1:15">
      <c r="A7598" t="s">
        <v>31788</v>
      </c>
      <c r="B7598" t="s">
        <v>11644</v>
      </c>
      <c r="C7598" t="s">
        <v>31789</v>
      </c>
      <c r="D7598" t="s">
        <v>31790</v>
      </c>
      <c r="E7598" t="b">
        <v>0</v>
      </c>
      <c r="F7598" t="s">
        <v>11610</v>
      </c>
      <c r="L7598">
        <v>0</v>
      </c>
      <c r="M7598">
        <v>0</v>
      </c>
      <c r="N7598">
        <v>0</v>
      </c>
    </row>
    <row r="7599" spans="1:15">
      <c r="A7599" t="s">
        <v>31791</v>
      </c>
      <c r="B7599" t="s">
        <v>5126</v>
      </c>
      <c r="C7599" t="s">
        <v>22531</v>
      </c>
      <c r="D7599" t="s">
        <v>31792</v>
      </c>
      <c r="E7599" t="b">
        <v>0</v>
      </c>
      <c r="F7599" t="s">
        <v>11610</v>
      </c>
      <c r="L7599">
        <v>0</v>
      </c>
      <c r="M7599">
        <v>0</v>
      </c>
      <c r="N7599">
        <v>0</v>
      </c>
    </row>
    <row r="7600" spans="1:15">
      <c r="A7600" t="s">
        <v>31793</v>
      </c>
      <c r="B7600" t="s">
        <v>11607</v>
      </c>
      <c r="C7600" t="s">
        <v>31794</v>
      </c>
      <c r="D7600" t="s">
        <v>31795</v>
      </c>
      <c r="E7600" t="b">
        <v>0</v>
      </c>
      <c r="F7600" t="s">
        <v>11610</v>
      </c>
      <c r="L7600">
        <v>0</v>
      </c>
      <c r="M7600">
        <v>0</v>
      </c>
      <c r="N7600">
        <v>0</v>
      </c>
    </row>
    <row r="7601" spans="1:15">
      <c r="A7601" t="s">
        <v>31796</v>
      </c>
      <c r="B7601" t="s">
        <v>22388</v>
      </c>
      <c r="C7601" t="s">
        <v>232</v>
      </c>
      <c r="D7601" t="s">
        <v>31797</v>
      </c>
      <c r="E7601" t="b">
        <v>0</v>
      </c>
      <c r="F7601" t="s">
        <v>11610</v>
      </c>
      <c r="L7601">
        <v>0</v>
      </c>
      <c r="M7601">
        <v>0</v>
      </c>
      <c r="N7601">
        <v>0</v>
      </c>
    </row>
    <row r="7602" spans="1:15">
      <c r="A7602" t="s">
        <v>31798</v>
      </c>
      <c r="B7602" t="s">
        <v>11607</v>
      </c>
      <c r="C7602" t="s">
        <v>19098</v>
      </c>
      <c r="D7602" t="s">
        <v>31799</v>
      </c>
      <c r="E7602" t="b">
        <v>0</v>
      </c>
      <c r="F7602" t="s">
        <v>11624</v>
      </c>
      <c r="G7602">
        <v>10.363300000000001</v>
      </c>
      <c r="H7602">
        <v>12.7683</v>
      </c>
      <c r="I7602" t="s">
        <v>31800</v>
      </c>
      <c r="L7602">
        <v>0</v>
      </c>
      <c r="M7602">
        <v>0</v>
      </c>
      <c r="N7602">
        <v>0</v>
      </c>
      <c r="O7602" t="s">
        <v>11693</v>
      </c>
    </row>
    <row r="7603" spans="1:15">
      <c r="A7603" t="s">
        <v>31801</v>
      </c>
      <c r="B7603" t="s">
        <v>11607</v>
      </c>
      <c r="C7603" t="s">
        <v>24456</v>
      </c>
      <c r="D7603" t="s">
        <v>31802</v>
      </c>
      <c r="E7603" t="b">
        <v>0</v>
      </c>
      <c r="F7603" t="s">
        <v>11610</v>
      </c>
      <c r="L7603">
        <v>0</v>
      </c>
      <c r="M7603">
        <v>0</v>
      </c>
      <c r="N7603">
        <v>0</v>
      </c>
    </row>
    <row r="7604" spans="1:15">
      <c r="A7604" t="s">
        <v>31803</v>
      </c>
      <c r="B7604" t="s">
        <v>6742</v>
      </c>
      <c r="C7604" t="s">
        <v>12603</v>
      </c>
      <c r="D7604" t="s">
        <v>31804</v>
      </c>
      <c r="E7604" t="b">
        <v>0</v>
      </c>
      <c r="F7604" t="s">
        <v>11610</v>
      </c>
      <c r="L7604">
        <v>0</v>
      </c>
      <c r="M7604">
        <v>0</v>
      </c>
      <c r="N7604">
        <v>0</v>
      </c>
    </row>
    <row r="7605" spans="1:15">
      <c r="A7605" t="s">
        <v>31805</v>
      </c>
      <c r="B7605" t="s">
        <v>13276</v>
      </c>
      <c r="C7605" t="s">
        <v>15103</v>
      </c>
      <c r="D7605" t="s">
        <v>31806</v>
      </c>
      <c r="E7605" t="b">
        <v>0</v>
      </c>
      <c r="F7605" t="s">
        <v>11610</v>
      </c>
      <c r="L7605">
        <v>0</v>
      </c>
      <c r="M7605">
        <v>0</v>
      </c>
      <c r="N7605">
        <v>0</v>
      </c>
    </row>
    <row r="7606" spans="1:15">
      <c r="A7606" t="s">
        <v>31807</v>
      </c>
      <c r="B7606" t="s">
        <v>6742</v>
      </c>
      <c r="C7606" t="s">
        <v>21495</v>
      </c>
      <c r="D7606" t="s">
        <v>31808</v>
      </c>
      <c r="E7606" t="b">
        <v>0</v>
      </c>
      <c r="F7606" t="s">
        <v>11610</v>
      </c>
      <c r="L7606">
        <v>0</v>
      </c>
      <c r="M7606">
        <v>0</v>
      </c>
      <c r="N7606">
        <v>0</v>
      </c>
    </row>
    <row r="7607" spans="1:15">
      <c r="A7607" t="s">
        <v>31809</v>
      </c>
      <c r="B7607" t="s">
        <v>6742</v>
      </c>
      <c r="C7607" t="s">
        <v>3601</v>
      </c>
      <c r="D7607" t="s">
        <v>31810</v>
      </c>
      <c r="E7607" t="b">
        <v>0</v>
      </c>
      <c r="F7607" t="s">
        <v>11610</v>
      </c>
      <c r="L7607">
        <v>0</v>
      </c>
      <c r="M7607">
        <v>0</v>
      </c>
      <c r="N7607">
        <v>0</v>
      </c>
    </row>
    <row r="7608" spans="1:15">
      <c r="A7608" t="s">
        <v>31811</v>
      </c>
      <c r="B7608" t="s">
        <v>11644</v>
      </c>
      <c r="C7608" t="s">
        <v>18953</v>
      </c>
      <c r="D7608" t="s">
        <v>31812</v>
      </c>
      <c r="E7608" t="b">
        <v>0</v>
      </c>
      <c r="F7608" t="s">
        <v>11610</v>
      </c>
      <c r="L7608">
        <v>0</v>
      </c>
      <c r="M7608">
        <v>0</v>
      </c>
      <c r="N7608">
        <v>0</v>
      </c>
    </row>
    <row r="7609" spans="1:15">
      <c r="A7609" t="s">
        <v>31813</v>
      </c>
      <c r="B7609" t="s">
        <v>6742</v>
      </c>
      <c r="C7609" t="s">
        <v>31814</v>
      </c>
      <c r="D7609" t="s">
        <v>31815</v>
      </c>
      <c r="E7609" t="b">
        <v>0</v>
      </c>
      <c r="F7609" t="s">
        <v>11610</v>
      </c>
      <c r="L7609">
        <v>0</v>
      </c>
      <c r="M7609">
        <v>0</v>
      </c>
      <c r="N7609">
        <v>0</v>
      </c>
    </row>
    <row r="7610" spans="1:15">
      <c r="A7610" t="s">
        <v>31816</v>
      </c>
      <c r="B7610" t="s">
        <v>11607</v>
      </c>
      <c r="C7610" t="s">
        <v>31124</v>
      </c>
      <c r="D7610" t="s">
        <v>31817</v>
      </c>
      <c r="E7610" t="b">
        <v>0</v>
      </c>
      <c r="F7610" t="s">
        <v>11624</v>
      </c>
      <c r="G7610">
        <v>10.481400000000001</v>
      </c>
      <c r="H7610">
        <v>13.526</v>
      </c>
      <c r="I7610" t="s">
        <v>31818</v>
      </c>
      <c r="L7610">
        <v>0</v>
      </c>
      <c r="M7610">
        <v>0</v>
      </c>
      <c r="N7610">
        <v>0</v>
      </c>
      <c r="O7610" t="s">
        <v>11802</v>
      </c>
    </row>
    <row r="7611" spans="1:15">
      <c r="A7611" t="s">
        <v>31819</v>
      </c>
      <c r="B7611" t="s">
        <v>6742</v>
      </c>
      <c r="C7611" t="s">
        <v>23434</v>
      </c>
      <c r="D7611" t="s">
        <v>31820</v>
      </c>
      <c r="E7611" t="b">
        <v>0</v>
      </c>
      <c r="F7611" t="s">
        <v>11624</v>
      </c>
      <c r="G7611">
        <v>9.5783199999999997</v>
      </c>
      <c r="H7611">
        <v>7.9516299999999998</v>
      </c>
      <c r="I7611" t="s">
        <v>31821</v>
      </c>
      <c r="L7611">
        <v>0</v>
      </c>
      <c r="M7611">
        <v>0</v>
      </c>
      <c r="N7611">
        <v>0</v>
      </c>
      <c r="O7611" t="s">
        <v>11693</v>
      </c>
    </row>
    <row r="7612" spans="1:15">
      <c r="A7612" t="s">
        <v>23434</v>
      </c>
      <c r="B7612" t="s">
        <v>6742</v>
      </c>
      <c r="C7612" t="s">
        <v>30450</v>
      </c>
      <c r="D7612" t="s">
        <v>31822</v>
      </c>
      <c r="E7612" t="b">
        <v>0</v>
      </c>
      <c r="F7612" t="s">
        <v>11622</v>
      </c>
      <c r="L7612">
        <v>0</v>
      </c>
      <c r="M7612">
        <v>6</v>
      </c>
      <c r="N7612">
        <v>0</v>
      </c>
    </row>
    <row r="7613" spans="1:15">
      <c r="A7613" t="s">
        <v>28186</v>
      </c>
      <c r="B7613" t="s">
        <v>367</v>
      </c>
      <c r="C7613" t="s">
        <v>31823</v>
      </c>
      <c r="D7613" t="s">
        <v>31824</v>
      </c>
      <c r="E7613" t="b">
        <v>0</v>
      </c>
      <c r="F7613" t="s">
        <v>11622</v>
      </c>
      <c r="L7613">
        <v>0</v>
      </c>
      <c r="M7613">
        <v>2</v>
      </c>
      <c r="N7613">
        <v>0</v>
      </c>
    </row>
    <row r="7614" spans="1:15">
      <c r="A7614" t="s">
        <v>31825</v>
      </c>
      <c r="B7614" t="s">
        <v>11607</v>
      </c>
      <c r="C7614" t="s">
        <v>20452</v>
      </c>
      <c r="D7614" t="s">
        <v>31826</v>
      </c>
      <c r="E7614" t="b">
        <v>0</v>
      </c>
      <c r="F7614" t="s">
        <v>11610</v>
      </c>
      <c r="L7614">
        <v>0</v>
      </c>
      <c r="M7614">
        <v>0</v>
      </c>
      <c r="N7614">
        <v>0</v>
      </c>
    </row>
    <row r="7615" spans="1:15">
      <c r="A7615" t="s">
        <v>31827</v>
      </c>
      <c r="B7615" t="s">
        <v>4342</v>
      </c>
      <c r="C7615" t="s">
        <v>31828</v>
      </c>
      <c r="D7615" t="s">
        <v>31829</v>
      </c>
      <c r="E7615" t="b">
        <v>0</v>
      </c>
      <c r="F7615" t="s">
        <v>11610</v>
      </c>
      <c r="L7615">
        <v>0</v>
      </c>
      <c r="M7615">
        <v>0</v>
      </c>
      <c r="N7615">
        <v>0</v>
      </c>
    </row>
    <row r="7616" spans="1:15">
      <c r="A7616" t="s">
        <v>31830</v>
      </c>
      <c r="B7616" t="s">
        <v>367</v>
      </c>
      <c r="C7616" t="s">
        <v>24402</v>
      </c>
      <c r="D7616" t="s">
        <v>31831</v>
      </c>
      <c r="E7616" t="b">
        <v>0</v>
      </c>
      <c r="F7616" t="s">
        <v>11624</v>
      </c>
      <c r="G7616">
        <v>-20.630099999999999</v>
      </c>
      <c r="H7616">
        <v>166.59</v>
      </c>
      <c r="I7616" t="s">
        <v>31832</v>
      </c>
      <c r="L7616">
        <v>0</v>
      </c>
      <c r="M7616">
        <v>0</v>
      </c>
      <c r="N7616">
        <v>0</v>
      </c>
      <c r="O7616" t="s">
        <v>12624</v>
      </c>
    </row>
    <row r="7617" spans="1:15">
      <c r="A7617" t="s">
        <v>31833</v>
      </c>
      <c r="B7617" t="s">
        <v>28641</v>
      </c>
      <c r="C7617" t="s">
        <v>31834</v>
      </c>
      <c r="D7617" t="s">
        <v>31835</v>
      </c>
      <c r="E7617" t="b">
        <v>0</v>
      </c>
      <c r="F7617" t="s">
        <v>11610</v>
      </c>
      <c r="L7617">
        <v>0</v>
      </c>
      <c r="M7617">
        <v>0</v>
      </c>
      <c r="N7617">
        <v>0</v>
      </c>
    </row>
    <row r="7618" spans="1:15">
      <c r="A7618" t="s">
        <v>31836</v>
      </c>
      <c r="B7618" t="s">
        <v>31837</v>
      </c>
      <c r="C7618" t="s">
        <v>31837</v>
      </c>
      <c r="D7618" t="s">
        <v>31838</v>
      </c>
      <c r="E7618" t="b">
        <v>0</v>
      </c>
      <c r="F7618" t="s">
        <v>11610</v>
      </c>
      <c r="L7618">
        <v>0</v>
      </c>
      <c r="M7618">
        <v>0</v>
      </c>
      <c r="N7618">
        <v>0</v>
      </c>
    </row>
    <row r="7619" spans="1:15">
      <c r="A7619" t="s">
        <v>21555</v>
      </c>
      <c r="B7619" t="s">
        <v>367</v>
      </c>
      <c r="C7619" t="s">
        <v>31839</v>
      </c>
      <c r="D7619" t="s">
        <v>31840</v>
      </c>
      <c r="E7619" t="b">
        <v>0</v>
      </c>
      <c r="F7619" t="s">
        <v>11624</v>
      </c>
      <c r="G7619">
        <v>-9.4500499999999992</v>
      </c>
      <c r="H7619">
        <v>150.57300000000001</v>
      </c>
      <c r="I7619" t="s">
        <v>31841</v>
      </c>
      <c r="L7619">
        <v>0</v>
      </c>
      <c r="M7619">
        <v>0</v>
      </c>
      <c r="N7619">
        <v>5</v>
      </c>
      <c r="O7619" t="s">
        <v>11660</v>
      </c>
    </row>
    <row r="7620" spans="1:15">
      <c r="A7620" t="s">
        <v>31839</v>
      </c>
      <c r="B7620" t="s">
        <v>367</v>
      </c>
      <c r="C7620" t="s">
        <v>20711</v>
      </c>
      <c r="D7620" t="s">
        <v>31842</v>
      </c>
      <c r="E7620" t="b">
        <v>0</v>
      </c>
      <c r="F7620" t="s">
        <v>11622</v>
      </c>
      <c r="L7620">
        <v>0</v>
      </c>
      <c r="M7620">
        <v>2</v>
      </c>
      <c r="N7620">
        <v>5</v>
      </c>
    </row>
    <row r="7621" spans="1:15">
      <c r="A7621" t="s">
        <v>31843</v>
      </c>
      <c r="B7621" t="s">
        <v>6742</v>
      </c>
      <c r="C7621" t="s">
        <v>31844</v>
      </c>
      <c r="D7621" t="s">
        <v>31845</v>
      </c>
      <c r="E7621" t="b">
        <v>0</v>
      </c>
      <c r="F7621" t="s">
        <v>11610</v>
      </c>
      <c r="L7621">
        <v>0</v>
      </c>
      <c r="M7621">
        <v>0</v>
      </c>
      <c r="N7621">
        <v>0</v>
      </c>
    </row>
    <row r="7622" spans="1:15">
      <c r="A7622" t="s">
        <v>31846</v>
      </c>
      <c r="B7622" t="s">
        <v>11686</v>
      </c>
      <c r="C7622" t="s">
        <v>11687</v>
      </c>
      <c r="D7622" t="s">
        <v>31847</v>
      </c>
      <c r="E7622" t="b">
        <v>0</v>
      </c>
      <c r="F7622" t="s">
        <v>11610</v>
      </c>
      <c r="L7622">
        <v>0</v>
      </c>
      <c r="M7622">
        <v>0</v>
      </c>
      <c r="N7622">
        <v>0</v>
      </c>
    </row>
    <row r="7623" spans="1:15">
      <c r="A7623" t="s">
        <v>31848</v>
      </c>
      <c r="B7623" t="s">
        <v>11627</v>
      </c>
      <c r="C7623" t="s">
        <v>11627</v>
      </c>
      <c r="D7623" t="s">
        <v>31849</v>
      </c>
      <c r="E7623" t="b">
        <v>1</v>
      </c>
      <c r="F7623" t="s">
        <v>11624</v>
      </c>
      <c r="G7623">
        <v>0.97587999999999997</v>
      </c>
      <c r="H7623">
        <v>-53.326900000000002</v>
      </c>
      <c r="I7623" t="s">
        <v>31850</v>
      </c>
      <c r="L7623">
        <v>0</v>
      </c>
      <c r="M7623">
        <v>0</v>
      </c>
      <c r="N7623">
        <v>0</v>
      </c>
      <c r="O7623" t="s">
        <v>11969</v>
      </c>
    </row>
    <row r="7624" spans="1:15">
      <c r="A7624" t="s">
        <v>6323</v>
      </c>
      <c r="B7624" t="s">
        <v>13411</v>
      </c>
      <c r="C7624" t="s">
        <v>31851</v>
      </c>
      <c r="D7624" t="s">
        <v>31852</v>
      </c>
      <c r="E7624" t="b">
        <v>0</v>
      </c>
      <c r="F7624" t="s">
        <v>11624</v>
      </c>
      <c r="G7624">
        <v>-4.3006399999999996</v>
      </c>
      <c r="H7624">
        <v>143.316</v>
      </c>
      <c r="I7624" t="s">
        <v>6324</v>
      </c>
      <c r="L7624">
        <v>0</v>
      </c>
      <c r="M7624">
        <v>0</v>
      </c>
      <c r="N7624">
        <v>2</v>
      </c>
      <c r="O7624" t="s">
        <v>11660</v>
      </c>
    </row>
    <row r="7625" spans="1:15">
      <c r="A7625" t="s">
        <v>31853</v>
      </c>
      <c r="B7625" t="s">
        <v>367</v>
      </c>
      <c r="C7625" t="s">
        <v>15325</v>
      </c>
      <c r="D7625" t="s">
        <v>31854</v>
      </c>
      <c r="E7625" t="b">
        <v>0</v>
      </c>
      <c r="F7625" t="s">
        <v>11610</v>
      </c>
      <c r="L7625">
        <v>0</v>
      </c>
      <c r="M7625">
        <v>0</v>
      </c>
      <c r="N7625">
        <v>0</v>
      </c>
    </row>
    <row r="7626" spans="1:15">
      <c r="A7626" t="s">
        <v>27980</v>
      </c>
      <c r="B7626" t="s">
        <v>15365</v>
      </c>
      <c r="C7626" t="s">
        <v>21640</v>
      </c>
      <c r="D7626" t="s">
        <v>31855</v>
      </c>
      <c r="E7626" t="b">
        <v>0</v>
      </c>
      <c r="F7626" t="s">
        <v>11624</v>
      </c>
      <c r="G7626">
        <v>-3.1453700000000002</v>
      </c>
      <c r="H7626">
        <v>137.69</v>
      </c>
      <c r="I7626" t="s">
        <v>31856</v>
      </c>
      <c r="L7626">
        <v>0</v>
      </c>
      <c r="M7626">
        <v>0</v>
      </c>
      <c r="N7626">
        <v>3</v>
      </c>
      <c r="O7626" t="s">
        <v>11768</v>
      </c>
    </row>
    <row r="7627" spans="1:15">
      <c r="A7627" t="s">
        <v>31857</v>
      </c>
      <c r="B7627" t="s">
        <v>6742</v>
      </c>
      <c r="C7627" t="s">
        <v>12818</v>
      </c>
      <c r="D7627" t="s">
        <v>31858</v>
      </c>
      <c r="E7627" t="b">
        <v>0</v>
      </c>
      <c r="F7627" t="s">
        <v>11610</v>
      </c>
      <c r="L7627">
        <v>0</v>
      </c>
      <c r="M7627">
        <v>0</v>
      </c>
      <c r="N7627">
        <v>0</v>
      </c>
    </row>
    <row r="7628" spans="1:15">
      <c r="A7628" t="s">
        <v>31859</v>
      </c>
      <c r="B7628" t="s">
        <v>367</v>
      </c>
      <c r="C7628" t="s">
        <v>31860</v>
      </c>
      <c r="D7628" t="s">
        <v>31861</v>
      </c>
      <c r="E7628" t="b">
        <v>0</v>
      </c>
      <c r="F7628" t="s">
        <v>11610</v>
      </c>
      <c r="L7628">
        <v>0</v>
      </c>
      <c r="M7628">
        <v>0</v>
      </c>
      <c r="N7628">
        <v>0</v>
      </c>
    </row>
    <row r="7629" spans="1:15">
      <c r="A7629" t="s">
        <v>31862</v>
      </c>
      <c r="B7629" t="s">
        <v>6742</v>
      </c>
      <c r="C7629" t="s">
        <v>13977</v>
      </c>
      <c r="D7629" t="s">
        <v>31863</v>
      </c>
      <c r="E7629" t="b">
        <v>0</v>
      </c>
      <c r="F7629" t="s">
        <v>11610</v>
      </c>
      <c r="L7629">
        <v>0</v>
      </c>
      <c r="M7629">
        <v>0</v>
      </c>
      <c r="N7629">
        <v>0</v>
      </c>
    </row>
    <row r="7630" spans="1:15">
      <c r="A7630" t="s">
        <v>16286</v>
      </c>
      <c r="B7630" t="s">
        <v>6742</v>
      </c>
      <c r="C7630" t="s">
        <v>31864</v>
      </c>
      <c r="D7630" t="s">
        <v>31865</v>
      </c>
      <c r="E7630" t="b">
        <v>0</v>
      </c>
      <c r="F7630" t="s">
        <v>11624</v>
      </c>
      <c r="G7630">
        <v>-4.2069700000000001</v>
      </c>
      <c r="H7630">
        <v>15.3893</v>
      </c>
      <c r="I7630" t="s">
        <v>31866</v>
      </c>
      <c r="L7630">
        <v>0</v>
      </c>
      <c r="M7630">
        <v>0</v>
      </c>
      <c r="N7630">
        <v>3</v>
      </c>
      <c r="O7630" t="s">
        <v>16337</v>
      </c>
    </row>
    <row r="7631" spans="1:15">
      <c r="A7631" t="s">
        <v>31867</v>
      </c>
      <c r="B7631" t="s">
        <v>367</v>
      </c>
      <c r="C7631" t="s">
        <v>11680</v>
      </c>
      <c r="D7631" t="s">
        <v>31868</v>
      </c>
      <c r="E7631" t="b">
        <v>0</v>
      </c>
      <c r="F7631" t="s">
        <v>11610</v>
      </c>
      <c r="L7631">
        <v>0</v>
      </c>
      <c r="M7631">
        <v>0</v>
      </c>
      <c r="N7631">
        <v>0</v>
      </c>
    </row>
    <row r="7632" spans="1:15">
      <c r="A7632" t="s">
        <v>19202</v>
      </c>
      <c r="B7632" t="s">
        <v>367</v>
      </c>
      <c r="C7632" t="s">
        <v>31869</v>
      </c>
      <c r="D7632" t="s">
        <v>31870</v>
      </c>
      <c r="E7632" t="b">
        <v>0</v>
      </c>
      <c r="F7632" t="s">
        <v>11624</v>
      </c>
      <c r="G7632">
        <v>16.426300000000001</v>
      </c>
      <c r="H7632">
        <v>120.69499999999999</v>
      </c>
      <c r="I7632" t="s">
        <v>31871</v>
      </c>
      <c r="L7632">
        <v>0</v>
      </c>
      <c r="M7632">
        <v>0</v>
      </c>
      <c r="N7632">
        <v>3</v>
      </c>
      <c r="O7632" t="s">
        <v>11749</v>
      </c>
    </row>
    <row r="7633" spans="1:15">
      <c r="A7633" t="s">
        <v>31872</v>
      </c>
      <c r="B7633" t="s">
        <v>12697</v>
      </c>
      <c r="C7633" t="s">
        <v>31873</v>
      </c>
      <c r="D7633" t="s">
        <v>31874</v>
      </c>
      <c r="E7633" t="b">
        <v>0</v>
      </c>
      <c r="F7633" t="s">
        <v>11624</v>
      </c>
      <c r="G7633">
        <v>4.4911899999999996</v>
      </c>
      <c r="H7633">
        <v>7.2355799999999997</v>
      </c>
      <c r="I7633" t="s">
        <v>31875</v>
      </c>
      <c r="L7633">
        <v>0</v>
      </c>
      <c r="M7633">
        <v>0</v>
      </c>
      <c r="N7633">
        <v>0</v>
      </c>
      <c r="O7633" t="s">
        <v>11693</v>
      </c>
    </row>
    <row r="7634" spans="1:15">
      <c r="A7634" t="s">
        <v>31876</v>
      </c>
      <c r="B7634" t="s">
        <v>6742</v>
      </c>
      <c r="C7634" t="s">
        <v>18583</v>
      </c>
      <c r="D7634" t="s">
        <v>31877</v>
      </c>
      <c r="E7634" t="b">
        <v>0</v>
      </c>
      <c r="F7634" t="s">
        <v>11610</v>
      </c>
      <c r="L7634">
        <v>0</v>
      </c>
      <c r="M7634">
        <v>0</v>
      </c>
      <c r="N7634">
        <v>0</v>
      </c>
    </row>
    <row r="7635" spans="1:15">
      <c r="A7635" t="s">
        <v>31878</v>
      </c>
      <c r="B7635" t="s">
        <v>367</v>
      </c>
      <c r="C7635" t="s">
        <v>18177</v>
      </c>
      <c r="D7635" t="s">
        <v>31879</v>
      </c>
      <c r="E7635" t="b">
        <v>0</v>
      </c>
      <c r="F7635" t="s">
        <v>11622</v>
      </c>
      <c r="L7635">
        <v>0</v>
      </c>
      <c r="M7635">
        <v>5</v>
      </c>
      <c r="N7635">
        <v>7</v>
      </c>
    </row>
    <row r="7636" spans="1:15">
      <c r="A7636" t="s">
        <v>4260</v>
      </c>
      <c r="B7636" t="s">
        <v>367</v>
      </c>
      <c r="C7636" t="s">
        <v>31878</v>
      </c>
      <c r="D7636" t="s">
        <v>31880</v>
      </c>
      <c r="E7636" t="b">
        <v>0</v>
      </c>
      <c r="F7636" t="s">
        <v>11624</v>
      </c>
      <c r="G7636">
        <v>2.0904099999999999</v>
      </c>
      <c r="H7636">
        <v>112.934</v>
      </c>
      <c r="I7636" t="s">
        <v>4261</v>
      </c>
      <c r="L7636">
        <v>0</v>
      </c>
      <c r="M7636">
        <v>0</v>
      </c>
      <c r="N7636">
        <v>7</v>
      </c>
      <c r="O7636" t="s">
        <v>31881</v>
      </c>
    </row>
    <row r="7637" spans="1:15">
      <c r="A7637" t="s">
        <v>31882</v>
      </c>
      <c r="B7637" t="s">
        <v>367</v>
      </c>
      <c r="C7637" t="s">
        <v>31883</v>
      </c>
      <c r="D7637" t="s">
        <v>31884</v>
      </c>
      <c r="E7637" t="b">
        <v>0</v>
      </c>
      <c r="F7637" t="s">
        <v>11610</v>
      </c>
      <c r="L7637">
        <v>0</v>
      </c>
      <c r="M7637">
        <v>0</v>
      </c>
      <c r="N7637">
        <v>0</v>
      </c>
    </row>
    <row r="7638" spans="1:15">
      <c r="A7638" t="s">
        <v>31885</v>
      </c>
      <c r="B7638" t="s">
        <v>367</v>
      </c>
      <c r="C7638" t="s">
        <v>12025</v>
      </c>
      <c r="D7638" t="s">
        <v>31886</v>
      </c>
      <c r="E7638" t="b">
        <v>0</v>
      </c>
      <c r="F7638" t="s">
        <v>11624</v>
      </c>
      <c r="G7638">
        <v>17.420100000000001</v>
      </c>
      <c r="H7638">
        <v>121.89100000000001</v>
      </c>
      <c r="I7638" t="s">
        <v>31887</v>
      </c>
      <c r="L7638">
        <v>0</v>
      </c>
      <c r="M7638">
        <v>0</v>
      </c>
      <c r="N7638">
        <v>2</v>
      </c>
      <c r="O7638" t="s">
        <v>11749</v>
      </c>
    </row>
    <row r="7639" spans="1:15">
      <c r="A7639" t="s">
        <v>12025</v>
      </c>
      <c r="B7639" t="s">
        <v>367</v>
      </c>
      <c r="C7639" t="s">
        <v>20854</v>
      </c>
      <c r="D7639" t="s">
        <v>31888</v>
      </c>
      <c r="E7639" t="b">
        <v>0</v>
      </c>
      <c r="F7639" t="s">
        <v>11622</v>
      </c>
      <c r="L7639">
        <v>3</v>
      </c>
      <c r="M7639">
        <v>11</v>
      </c>
      <c r="N7639">
        <v>4</v>
      </c>
    </row>
    <row r="7640" spans="1:15">
      <c r="A7640" t="s">
        <v>31889</v>
      </c>
      <c r="B7640" t="s">
        <v>6742</v>
      </c>
      <c r="C7640" t="s">
        <v>12811</v>
      </c>
      <c r="D7640" t="s">
        <v>31890</v>
      </c>
      <c r="E7640" t="b">
        <v>0</v>
      </c>
      <c r="F7640" t="s">
        <v>11610</v>
      </c>
      <c r="L7640">
        <v>0</v>
      </c>
      <c r="M7640">
        <v>0</v>
      </c>
      <c r="N7640">
        <v>0</v>
      </c>
    </row>
    <row r="7641" spans="1:15">
      <c r="A7641" t="s">
        <v>31891</v>
      </c>
      <c r="B7641" t="s">
        <v>4342</v>
      </c>
      <c r="C7641" t="s">
        <v>22488</v>
      </c>
      <c r="D7641" t="s">
        <v>31892</v>
      </c>
      <c r="E7641" t="b">
        <v>0</v>
      </c>
      <c r="F7641" t="s">
        <v>11610</v>
      </c>
      <c r="L7641">
        <v>0</v>
      </c>
      <c r="M7641">
        <v>0</v>
      </c>
      <c r="N7641">
        <v>0</v>
      </c>
    </row>
    <row r="7642" spans="1:15">
      <c r="A7642" t="s">
        <v>15649</v>
      </c>
      <c r="B7642" t="s">
        <v>367</v>
      </c>
      <c r="C7642" t="s">
        <v>17385</v>
      </c>
      <c r="D7642" t="s">
        <v>31893</v>
      </c>
      <c r="E7642" t="b">
        <v>0</v>
      </c>
      <c r="F7642" t="s">
        <v>11624</v>
      </c>
      <c r="G7642">
        <v>18.939800000000002</v>
      </c>
      <c r="H7642">
        <v>121.90900000000001</v>
      </c>
      <c r="I7642" t="s">
        <v>31894</v>
      </c>
      <c r="L7642">
        <v>0</v>
      </c>
      <c r="M7642">
        <v>0</v>
      </c>
      <c r="N7642">
        <v>3</v>
      </c>
      <c r="O7642" t="s">
        <v>11749</v>
      </c>
    </row>
    <row r="7643" spans="1:15">
      <c r="A7643" t="s">
        <v>31895</v>
      </c>
      <c r="D7643" t="s">
        <v>31896</v>
      </c>
      <c r="E7643" t="b">
        <v>0</v>
      </c>
      <c r="F7643" t="s">
        <v>11624</v>
      </c>
      <c r="G7643">
        <v>40.624000000000002</v>
      </c>
      <c r="H7643">
        <v>0.21240100000000001</v>
      </c>
      <c r="I7643" t="s">
        <v>31897</v>
      </c>
      <c r="L7643">
        <v>0</v>
      </c>
      <c r="M7643">
        <v>0</v>
      </c>
      <c r="N7643">
        <v>0</v>
      </c>
      <c r="O7643" t="s">
        <v>13707</v>
      </c>
    </row>
    <row r="7644" spans="1:15">
      <c r="A7644" t="s">
        <v>31898</v>
      </c>
      <c r="B7644" t="s">
        <v>6742</v>
      </c>
      <c r="C7644" t="s">
        <v>31899</v>
      </c>
      <c r="D7644" t="s">
        <v>31900</v>
      </c>
      <c r="E7644" t="b">
        <v>0</v>
      </c>
      <c r="F7644" t="s">
        <v>11610</v>
      </c>
      <c r="L7644">
        <v>0</v>
      </c>
      <c r="M7644">
        <v>0</v>
      </c>
      <c r="N7644">
        <v>0</v>
      </c>
    </row>
    <row r="7645" spans="1:15">
      <c r="A7645" t="s">
        <v>21474</v>
      </c>
      <c r="B7645" t="s">
        <v>6742</v>
      </c>
      <c r="C7645" t="s">
        <v>13585</v>
      </c>
      <c r="D7645" t="s">
        <v>31901</v>
      </c>
      <c r="E7645" t="b">
        <v>0</v>
      </c>
      <c r="F7645" t="s">
        <v>11624</v>
      </c>
      <c r="G7645">
        <v>5.1527900000000004</v>
      </c>
      <c r="H7645">
        <v>7.8668800000000001</v>
      </c>
      <c r="I7645" t="s">
        <v>31902</v>
      </c>
      <c r="L7645">
        <v>0</v>
      </c>
      <c r="M7645">
        <v>0</v>
      </c>
      <c r="N7645">
        <v>4</v>
      </c>
      <c r="O7645" t="s">
        <v>11693</v>
      </c>
    </row>
    <row r="7646" spans="1:15">
      <c r="A7646" t="s">
        <v>31903</v>
      </c>
      <c r="B7646" t="s">
        <v>6742</v>
      </c>
      <c r="C7646" t="s">
        <v>15272</v>
      </c>
      <c r="D7646" t="s">
        <v>31904</v>
      </c>
      <c r="E7646" t="b">
        <v>0</v>
      </c>
      <c r="F7646" t="s">
        <v>11610</v>
      </c>
      <c r="L7646">
        <v>0</v>
      </c>
      <c r="M7646">
        <v>0</v>
      </c>
      <c r="N7646">
        <v>0</v>
      </c>
    </row>
    <row r="7647" spans="1:15">
      <c r="A7647" t="s">
        <v>31905</v>
      </c>
      <c r="B7647" t="s">
        <v>11627</v>
      </c>
      <c r="C7647" t="s">
        <v>11627</v>
      </c>
      <c r="D7647" t="s">
        <v>31906</v>
      </c>
      <c r="E7647" t="b">
        <v>1</v>
      </c>
      <c r="F7647" t="s">
        <v>11624</v>
      </c>
      <c r="G7647">
        <v>7.4266199999999998</v>
      </c>
      <c r="H7647">
        <v>6.0838400000000004</v>
      </c>
      <c r="I7647" t="s">
        <v>31907</v>
      </c>
      <c r="L7647">
        <v>0</v>
      </c>
      <c r="M7647">
        <v>0</v>
      </c>
      <c r="N7647">
        <v>0</v>
      </c>
      <c r="O7647" t="s">
        <v>11693</v>
      </c>
    </row>
    <row r="7648" spans="1:15">
      <c r="A7648" t="s">
        <v>31908</v>
      </c>
      <c r="B7648" t="s">
        <v>6742</v>
      </c>
      <c r="C7648" t="s">
        <v>21831</v>
      </c>
      <c r="D7648" t="s">
        <v>31909</v>
      </c>
      <c r="E7648" t="b">
        <v>0</v>
      </c>
      <c r="F7648" t="s">
        <v>11624</v>
      </c>
      <c r="G7648">
        <v>4.5960299999999998</v>
      </c>
      <c r="H7648">
        <v>8.1525400000000001</v>
      </c>
      <c r="I7648" t="s">
        <v>31910</v>
      </c>
      <c r="L7648">
        <v>0</v>
      </c>
      <c r="M7648">
        <v>0</v>
      </c>
      <c r="N7648">
        <v>0</v>
      </c>
      <c r="O7648" t="s">
        <v>11693</v>
      </c>
    </row>
    <row r="7649" spans="1:15">
      <c r="A7649" t="s">
        <v>31911</v>
      </c>
      <c r="B7649" t="s">
        <v>1342</v>
      </c>
      <c r="C7649" t="s">
        <v>31912</v>
      </c>
      <c r="D7649" t="s">
        <v>31913</v>
      </c>
      <c r="E7649" t="b">
        <v>0</v>
      </c>
      <c r="F7649" t="s">
        <v>11610</v>
      </c>
      <c r="L7649">
        <v>0</v>
      </c>
      <c r="M7649">
        <v>0</v>
      </c>
      <c r="N7649">
        <v>0</v>
      </c>
    </row>
    <row r="7650" spans="1:15">
      <c r="A7650" t="s">
        <v>31914</v>
      </c>
      <c r="B7650" t="s">
        <v>6742</v>
      </c>
      <c r="C7650" t="s">
        <v>14942</v>
      </c>
      <c r="D7650" t="s">
        <v>31915</v>
      </c>
      <c r="E7650" t="b">
        <v>0</v>
      </c>
      <c r="F7650" t="s">
        <v>11610</v>
      </c>
      <c r="L7650">
        <v>0</v>
      </c>
      <c r="M7650">
        <v>0</v>
      </c>
      <c r="N7650">
        <v>0</v>
      </c>
    </row>
    <row r="7651" spans="1:15">
      <c r="A7651" t="s">
        <v>31916</v>
      </c>
      <c r="B7651" t="s">
        <v>13737</v>
      </c>
      <c r="C7651" t="s">
        <v>25477</v>
      </c>
      <c r="D7651" t="s">
        <v>31917</v>
      </c>
      <c r="E7651" t="b">
        <v>0</v>
      </c>
      <c r="F7651" t="s">
        <v>11610</v>
      </c>
      <c r="L7651">
        <v>0</v>
      </c>
      <c r="M7651">
        <v>0</v>
      </c>
      <c r="N7651">
        <v>0</v>
      </c>
    </row>
    <row r="7652" spans="1:15">
      <c r="A7652" t="s">
        <v>31918</v>
      </c>
      <c r="B7652" t="s">
        <v>6742</v>
      </c>
      <c r="C7652" t="s">
        <v>21830</v>
      </c>
      <c r="D7652" t="s">
        <v>31919</v>
      </c>
      <c r="E7652" t="b">
        <v>0</v>
      </c>
      <c r="F7652" t="s">
        <v>11622</v>
      </c>
      <c r="L7652">
        <v>0</v>
      </c>
      <c r="M7652">
        <v>4</v>
      </c>
      <c r="N7652">
        <v>0</v>
      </c>
    </row>
    <row r="7653" spans="1:15">
      <c r="A7653" t="s">
        <v>31920</v>
      </c>
      <c r="B7653" t="s">
        <v>6742</v>
      </c>
      <c r="C7653" t="s">
        <v>31918</v>
      </c>
      <c r="D7653" t="s">
        <v>31921</v>
      </c>
      <c r="E7653" t="b">
        <v>0</v>
      </c>
      <c r="F7653" t="s">
        <v>11624</v>
      </c>
      <c r="G7653">
        <v>5.4967199999999998</v>
      </c>
      <c r="H7653">
        <v>7.9310799999999997</v>
      </c>
      <c r="I7653" t="s">
        <v>31922</v>
      </c>
      <c r="L7653">
        <v>0</v>
      </c>
      <c r="M7653">
        <v>0</v>
      </c>
      <c r="N7653">
        <v>0</v>
      </c>
      <c r="O7653" t="s">
        <v>11693</v>
      </c>
    </row>
    <row r="7654" spans="1:15">
      <c r="A7654" t="s">
        <v>31923</v>
      </c>
      <c r="B7654" t="s">
        <v>12133</v>
      </c>
      <c r="C7654" t="s">
        <v>31924</v>
      </c>
      <c r="D7654" t="s">
        <v>31925</v>
      </c>
      <c r="E7654" t="b">
        <v>0</v>
      </c>
      <c r="F7654" t="s">
        <v>11624</v>
      </c>
      <c r="G7654">
        <v>1.50556</v>
      </c>
      <c r="H7654">
        <v>127.542</v>
      </c>
      <c r="I7654" t="s">
        <v>31926</v>
      </c>
      <c r="L7654">
        <v>0</v>
      </c>
      <c r="M7654">
        <v>0</v>
      </c>
      <c r="N7654">
        <v>0</v>
      </c>
      <c r="O7654" t="s">
        <v>11768</v>
      </c>
    </row>
    <row r="7655" spans="1:15">
      <c r="A7655" t="s">
        <v>31927</v>
      </c>
      <c r="B7655" t="s">
        <v>6742</v>
      </c>
      <c r="C7655" t="s">
        <v>26804</v>
      </c>
      <c r="D7655" t="s">
        <v>31928</v>
      </c>
      <c r="E7655" t="b">
        <v>0</v>
      </c>
      <c r="F7655" t="s">
        <v>11610</v>
      </c>
      <c r="L7655">
        <v>0</v>
      </c>
      <c r="M7655">
        <v>0</v>
      </c>
      <c r="N7655">
        <v>0</v>
      </c>
    </row>
    <row r="7656" spans="1:15">
      <c r="A7656" t="s">
        <v>31929</v>
      </c>
      <c r="B7656" t="s">
        <v>12311</v>
      </c>
      <c r="C7656" t="s">
        <v>31930</v>
      </c>
      <c r="D7656" t="s">
        <v>31931</v>
      </c>
      <c r="E7656" t="b">
        <v>0</v>
      </c>
      <c r="F7656" t="s">
        <v>11610</v>
      </c>
      <c r="L7656">
        <v>0</v>
      </c>
      <c r="M7656">
        <v>0</v>
      </c>
      <c r="N7656">
        <v>0</v>
      </c>
    </row>
    <row r="7657" spans="1:15">
      <c r="A7657" t="s">
        <v>31932</v>
      </c>
      <c r="B7657" t="s">
        <v>11981</v>
      </c>
      <c r="C7657" t="s">
        <v>24053</v>
      </c>
      <c r="D7657" t="s">
        <v>31933</v>
      </c>
      <c r="E7657" t="b">
        <v>0</v>
      </c>
      <c r="F7657" t="s">
        <v>11624</v>
      </c>
      <c r="G7657">
        <v>64.173100000000005</v>
      </c>
      <c r="H7657">
        <v>-20.273099999999999</v>
      </c>
      <c r="I7657" t="s">
        <v>31934</v>
      </c>
      <c r="L7657">
        <v>0</v>
      </c>
      <c r="M7657">
        <v>0</v>
      </c>
      <c r="N7657">
        <v>0</v>
      </c>
      <c r="O7657" t="s">
        <v>31935</v>
      </c>
    </row>
    <row r="7658" spans="1:15">
      <c r="A7658" t="s">
        <v>27739</v>
      </c>
      <c r="B7658" t="s">
        <v>11637</v>
      </c>
      <c r="C7658" t="s">
        <v>31936</v>
      </c>
      <c r="D7658" t="s">
        <v>31937</v>
      </c>
      <c r="E7658" t="b">
        <v>0</v>
      </c>
      <c r="F7658" t="s">
        <v>11622</v>
      </c>
      <c r="L7658">
        <v>0</v>
      </c>
      <c r="M7658">
        <v>2</v>
      </c>
      <c r="N7658">
        <v>0</v>
      </c>
    </row>
    <row r="7659" spans="1:15">
      <c r="A7659" t="s">
        <v>11480</v>
      </c>
      <c r="B7659" t="s">
        <v>11637</v>
      </c>
      <c r="C7659" t="s">
        <v>27739</v>
      </c>
      <c r="D7659" t="s">
        <v>31938</v>
      </c>
      <c r="E7659" t="b">
        <v>0</v>
      </c>
      <c r="F7659" t="s">
        <v>11624</v>
      </c>
      <c r="G7659">
        <v>63.483699999999999</v>
      </c>
      <c r="H7659">
        <v>-19.0212</v>
      </c>
      <c r="I7659" t="s">
        <v>11481</v>
      </c>
      <c r="L7659">
        <v>0</v>
      </c>
      <c r="M7659">
        <v>0</v>
      </c>
      <c r="N7659">
        <v>0</v>
      </c>
      <c r="O7659" t="s">
        <v>31935</v>
      </c>
    </row>
    <row r="7660" spans="1:15">
      <c r="A7660" t="s">
        <v>31939</v>
      </c>
      <c r="B7660" t="s">
        <v>13450</v>
      </c>
      <c r="C7660" t="s">
        <v>31940</v>
      </c>
      <c r="D7660" t="s">
        <v>31941</v>
      </c>
      <c r="E7660" t="b">
        <v>0</v>
      </c>
      <c r="F7660" t="s">
        <v>11624</v>
      </c>
      <c r="G7660">
        <v>65.78</v>
      </c>
      <c r="H7660">
        <v>-22.3</v>
      </c>
      <c r="L7660">
        <v>0</v>
      </c>
      <c r="M7660">
        <v>0</v>
      </c>
      <c r="N7660">
        <v>0</v>
      </c>
      <c r="O7660" t="s">
        <v>31935</v>
      </c>
    </row>
    <row r="7661" spans="1:15">
      <c r="A7661" t="s">
        <v>31940</v>
      </c>
      <c r="B7661" t="s">
        <v>13450</v>
      </c>
      <c r="C7661" t="s">
        <v>13450</v>
      </c>
      <c r="D7661" t="s">
        <v>31942</v>
      </c>
      <c r="E7661" t="b">
        <v>0</v>
      </c>
      <c r="F7661" t="s">
        <v>11622</v>
      </c>
      <c r="L7661">
        <v>0</v>
      </c>
      <c r="M7661">
        <v>1</v>
      </c>
      <c r="N7661">
        <v>0</v>
      </c>
    </row>
    <row r="7662" spans="1:15">
      <c r="A7662" t="s">
        <v>31943</v>
      </c>
      <c r="B7662" t="s">
        <v>6742</v>
      </c>
      <c r="C7662" t="s">
        <v>21857</v>
      </c>
      <c r="D7662" t="s">
        <v>31944</v>
      </c>
      <c r="E7662" t="b">
        <v>0</v>
      </c>
      <c r="F7662" t="s">
        <v>11624</v>
      </c>
      <c r="G7662">
        <v>6.4242600000000003</v>
      </c>
      <c r="H7662">
        <v>9.5026399999999995</v>
      </c>
      <c r="I7662" t="s">
        <v>31945</v>
      </c>
      <c r="L7662">
        <v>0</v>
      </c>
      <c r="M7662">
        <v>0</v>
      </c>
      <c r="N7662">
        <v>2</v>
      </c>
      <c r="O7662" t="s">
        <v>11802</v>
      </c>
    </row>
    <row r="7663" spans="1:15">
      <c r="A7663" t="s">
        <v>31946</v>
      </c>
      <c r="B7663" t="s">
        <v>6742</v>
      </c>
      <c r="C7663" t="s">
        <v>31943</v>
      </c>
      <c r="D7663" t="s">
        <v>31947</v>
      </c>
      <c r="E7663" t="b">
        <v>0</v>
      </c>
      <c r="F7663" t="s">
        <v>11610</v>
      </c>
      <c r="L7663">
        <v>0</v>
      </c>
      <c r="M7663">
        <v>0</v>
      </c>
      <c r="N7663">
        <v>0</v>
      </c>
    </row>
    <row r="7664" spans="1:15">
      <c r="A7664" t="s">
        <v>31948</v>
      </c>
      <c r="B7664" t="s">
        <v>6742</v>
      </c>
      <c r="C7664" t="s">
        <v>31949</v>
      </c>
      <c r="D7664" t="s">
        <v>31950</v>
      </c>
      <c r="E7664" t="b">
        <v>0</v>
      </c>
      <c r="F7664" t="s">
        <v>11610</v>
      </c>
      <c r="L7664">
        <v>0</v>
      </c>
      <c r="M7664">
        <v>0</v>
      </c>
      <c r="N7664">
        <v>4</v>
      </c>
    </row>
    <row r="7665" spans="1:15">
      <c r="A7665" t="s">
        <v>17730</v>
      </c>
      <c r="B7665" t="s">
        <v>367</v>
      </c>
      <c r="C7665" t="s">
        <v>19477</v>
      </c>
      <c r="D7665" t="s">
        <v>31951</v>
      </c>
      <c r="E7665" t="b">
        <v>0</v>
      </c>
      <c r="F7665" t="s">
        <v>11624</v>
      </c>
      <c r="G7665">
        <v>5.2905899999999999</v>
      </c>
      <c r="H7665">
        <v>118.515</v>
      </c>
      <c r="I7665" t="s">
        <v>31952</v>
      </c>
      <c r="L7665">
        <v>0</v>
      </c>
      <c r="M7665">
        <v>0</v>
      </c>
      <c r="N7665">
        <v>3</v>
      </c>
      <c r="O7665" t="s">
        <v>11672</v>
      </c>
    </row>
    <row r="7666" spans="1:15">
      <c r="A7666" t="s">
        <v>31953</v>
      </c>
      <c r="B7666" t="s">
        <v>13360</v>
      </c>
      <c r="C7666" t="s">
        <v>13360</v>
      </c>
      <c r="D7666" t="s">
        <v>31954</v>
      </c>
      <c r="E7666" t="b">
        <v>0</v>
      </c>
      <c r="F7666" t="s">
        <v>11624</v>
      </c>
      <c r="L7666">
        <v>0</v>
      </c>
      <c r="M7666">
        <v>0</v>
      </c>
      <c r="N7666">
        <v>0</v>
      </c>
      <c r="O7666" t="s">
        <v>11898</v>
      </c>
    </row>
    <row r="7667" spans="1:15">
      <c r="A7667" t="s">
        <v>31955</v>
      </c>
      <c r="B7667" t="s">
        <v>6742</v>
      </c>
      <c r="C7667" t="s">
        <v>13977</v>
      </c>
      <c r="D7667" t="s">
        <v>31956</v>
      </c>
      <c r="E7667" t="b">
        <v>0</v>
      </c>
      <c r="F7667" t="s">
        <v>11610</v>
      </c>
      <c r="L7667">
        <v>0</v>
      </c>
      <c r="M7667">
        <v>0</v>
      </c>
      <c r="N7667">
        <v>0</v>
      </c>
    </row>
    <row r="7668" spans="1:15">
      <c r="A7668" t="s">
        <v>31957</v>
      </c>
      <c r="B7668" t="s">
        <v>6742</v>
      </c>
      <c r="C7668" t="s">
        <v>1066</v>
      </c>
      <c r="D7668" t="s">
        <v>31958</v>
      </c>
      <c r="E7668" t="b">
        <v>0</v>
      </c>
      <c r="F7668" t="s">
        <v>11624</v>
      </c>
      <c r="G7668">
        <v>0.21557000000000001</v>
      </c>
      <c r="H7668">
        <v>34.817</v>
      </c>
      <c r="I7668" t="s">
        <v>31959</v>
      </c>
      <c r="L7668">
        <v>0</v>
      </c>
      <c r="M7668">
        <v>0</v>
      </c>
      <c r="N7668">
        <v>3</v>
      </c>
      <c r="O7668" t="s">
        <v>22848</v>
      </c>
    </row>
    <row r="7669" spans="1:15">
      <c r="A7669" t="s">
        <v>31960</v>
      </c>
      <c r="B7669" t="s">
        <v>6742</v>
      </c>
      <c r="C7669" t="s">
        <v>31957</v>
      </c>
      <c r="D7669" t="s">
        <v>31961</v>
      </c>
      <c r="E7669" t="b">
        <v>0</v>
      </c>
      <c r="F7669" t="s">
        <v>11610</v>
      </c>
      <c r="L7669">
        <v>0</v>
      </c>
      <c r="M7669">
        <v>0</v>
      </c>
      <c r="N7669">
        <v>0</v>
      </c>
    </row>
    <row r="7670" spans="1:15">
      <c r="A7670" t="s">
        <v>31962</v>
      </c>
      <c r="B7670" t="s">
        <v>367</v>
      </c>
      <c r="C7670" t="s">
        <v>17819</v>
      </c>
      <c r="D7670" t="s">
        <v>31963</v>
      </c>
      <c r="E7670" t="b">
        <v>0</v>
      </c>
      <c r="F7670" t="s">
        <v>11610</v>
      </c>
      <c r="L7670">
        <v>0</v>
      </c>
      <c r="M7670">
        <v>0</v>
      </c>
      <c r="N7670">
        <v>0</v>
      </c>
    </row>
    <row r="7671" spans="1:15">
      <c r="A7671" t="s">
        <v>31964</v>
      </c>
      <c r="B7671" t="s">
        <v>367</v>
      </c>
      <c r="C7671" t="s">
        <v>26525</v>
      </c>
      <c r="D7671" t="s">
        <v>31965</v>
      </c>
      <c r="E7671" t="b">
        <v>0</v>
      </c>
      <c r="F7671" t="s">
        <v>11624</v>
      </c>
      <c r="G7671">
        <v>-8.7625799999999998</v>
      </c>
      <c r="H7671">
        <v>125.83199999999999</v>
      </c>
      <c r="I7671" t="s">
        <v>31966</v>
      </c>
      <c r="L7671">
        <v>0</v>
      </c>
      <c r="M7671">
        <v>0</v>
      </c>
      <c r="N7671">
        <v>0</v>
      </c>
      <c r="O7671" t="s">
        <v>27765</v>
      </c>
    </row>
    <row r="7672" spans="1:15">
      <c r="A7672" t="s">
        <v>31967</v>
      </c>
      <c r="B7672" t="s">
        <v>6742</v>
      </c>
      <c r="C7672" t="s">
        <v>26947</v>
      </c>
      <c r="D7672" t="s">
        <v>31968</v>
      </c>
      <c r="E7672" t="b">
        <v>0</v>
      </c>
      <c r="F7672" t="s">
        <v>11624</v>
      </c>
      <c r="G7672">
        <v>5.2118799999999998</v>
      </c>
      <c r="H7672">
        <v>8.0831</v>
      </c>
      <c r="I7672" t="s">
        <v>31969</v>
      </c>
      <c r="L7672">
        <v>0</v>
      </c>
      <c r="M7672">
        <v>0</v>
      </c>
      <c r="N7672">
        <v>0</v>
      </c>
      <c r="O7672" t="s">
        <v>11693</v>
      </c>
    </row>
    <row r="7673" spans="1:15">
      <c r="A7673" t="s">
        <v>31970</v>
      </c>
      <c r="B7673" t="s">
        <v>11627</v>
      </c>
      <c r="C7673" t="s">
        <v>11627</v>
      </c>
      <c r="D7673" t="s">
        <v>31971</v>
      </c>
      <c r="E7673" t="b">
        <v>1</v>
      </c>
      <c r="F7673" t="s">
        <v>11624</v>
      </c>
      <c r="G7673">
        <v>7.3462899999999998</v>
      </c>
      <c r="H7673">
        <v>6.2929000000000004</v>
      </c>
      <c r="I7673" t="s">
        <v>31972</v>
      </c>
      <c r="L7673">
        <v>0</v>
      </c>
      <c r="M7673">
        <v>0</v>
      </c>
      <c r="N7673">
        <v>0</v>
      </c>
      <c r="O7673" t="s">
        <v>11693</v>
      </c>
    </row>
    <row r="7674" spans="1:15">
      <c r="A7674" t="s">
        <v>31973</v>
      </c>
      <c r="B7674" t="s">
        <v>12347</v>
      </c>
      <c r="C7674" t="s">
        <v>12347</v>
      </c>
      <c r="D7674" t="s">
        <v>31974</v>
      </c>
      <c r="E7674" t="b">
        <v>0</v>
      </c>
      <c r="F7674" t="s">
        <v>11624</v>
      </c>
      <c r="G7674">
        <v>-8.75976</v>
      </c>
      <c r="H7674">
        <v>142.30099999999999</v>
      </c>
      <c r="I7674" t="s">
        <v>31975</v>
      </c>
      <c r="L7674">
        <v>0</v>
      </c>
      <c r="M7674">
        <v>0</v>
      </c>
      <c r="N7674">
        <v>2</v>
      </c>
      <c r="O7674" t="s">
        <v>11660</v>
      </c>
    </row>
    <row r="7675" spans="1:15">
      <c r="A7675" t="s">
        <v>31976</v>
      </c>
      <c r="B7675" t="s">
        <v>6742</v>
      </c>
      <c r="C7675" t="s">
        <v>12281</v>
      </c>
      <c r="D7675" t="s">
        <v>31977</v>
      </c>
      <c r="E7675" t="b">
        <v>0</v>
      </c>
      <c r="F7675" t="s">
        <v>11624</v>
      </c>
      <c r="G7675">
        <v>7.1913900000000002</v>
      </c>
      <c r="H7675">
        <v>7.7126099999999997</v>
      </c>
      <c r="I7675" t="s">
        <v>31978</v>
      </c>
      <c r="L7675">
        <v>0</v>
      </c>
      <c r="M7675">
        <v>0</v>
      </c>
      <c r="N7675">
        <v>4</v>
      </c>
      <c r="O7675" t="s">
        <v>11693</v>
      </c>
    </row>
    <row r="7676" spans="1:15">
      <c r="A7676" t="s">
        <v>31979</v>
      </c>
      <c r="B7676" t="s">
        <v>6742</v>
      </c>
      <c r="C7676" t="s">
        <v>31976</v>
      </c>
      <c r="D7676" t="s">
        <v>31980</v>
      </c>
      <c r="E7676" t="b">
        <v>0</v>
      </c>
      <c r="F7676" t="s">
        <v>11610</v>
      </c>
      <c r="L7676">
        <v>0</v>
      </c>
      <c r="M7676">
        <v>0</v>
      </c>
      <c r="N7676">
        <v>0</v>
      </c>
    </row>
    <row r="7677" spans="1:15">
      <c r="A7677" t="s">
        <v>31981</v>
      </c>
      <c r="B7677" t="s">
        <v>6742</v>
      </c>
      <c r="C7677" t="s">
        <v>31976</v>
      </c>
      <c r="D7677" t="s">
        <v>31982</v>
      </c>
      <c r="E7677" t="b">
        <v>0</v>
      </c>
      <c r="F7677" t="s">
        <v>11610</v>
      </c>
      <c r="L7677">
        <v>0</v>
      </c>
      <c r="M7677">
        <v>0</v>
      </c>
      <c r="N7677">
        <v>0</v>
      </c>
    </row>
    <row r="7678" spans="1:15">
      <c r="A7678" t="s">
        <v>31983</v>
      </c>
      <c r="B7678" t="s">
        <v>6742</v>
      </c>
      <c r="C7678" t="s">
        <v>31976</v>
      </c>
      <c r="D7678" t="s">
        <v>31984</v>
      </c>
      <c r="E7678" t="b">
        <v>0</v>
      </c>
      <c r="F7678" t="s">
        <v>11610</v>
      </c>
      <c r="L7678">
        <v>0</v>
      </c>
      <c r="M7678">
        <v>0</v>
      </c>
      <c r="N7678">
        <v>0</v>
      </c>
    </row>
    <row r="7679" spans="1:15">
      <c r="A7679" t="s">
        <v>27520</v>
      </c>
      <c r="B7679" t="s">
        <v>6742</v>
      </c>
      <c r="C7679" t="s">
        <v>12815</v>
      </c>
      <c r="D7679" t="s">
        <v>31985</v>
      </c>
      <c r="E7679" t="b">
        <v>0</v>
      </c>
      <c r="F7679" t="s">
        <v>11622</v>
      </c>
      <c r="L7679">
        <v>4</v>
      </c>
      <c r="M7679">
        <v>8</v>
      </c>
      <c r="N7679">
        <v>17</v>
      </c>
    </row>
    <row r="7680" spans="1:15">
      <c r="A7680" t="s">
        <v>31986</v>
      </c>
      <c r="B7680" t="s">
        <v>6742</v>
      </c>
      <c r="C7680" t="s">
        <v>25137</v>
      </c>
      <c r="D7680" t="s">
        <v>31987</v>
      </c>
      <c r="E7680" t="b">
        <v>0</v>
      </c>
      <c r="F7680" t="s">
        <v>11624</v>
      </c>
      <c r="G7680">
        <v>10.217499999999999</v>
      </c>
      <c r="H7680">
        <v>7.7815099999999999</v>
      </c>
      <c r="I7680" t="s">
        <v>31988</v>
      </c>
      <c r="L7680">
        <v>0</v>
      </c>
      <c r="M7680">
        <v>0</v>
      </c>
      <c r="N7680">
        <v>0</v>
      </c>
      <c r="O7680" t="s">
        <v>11693</v>
      </c>
    </row>
    <row r="7681" spans="1:15">
      <c r="A7681" t="s">
        <v>31989</v>
      </c>
      <c r="B7681" t="s">
        <v>11644</v>
      </c>
      <c r="C7681" t="s">
        <v>24771</v>
      </c>
      <c r="D7681" t="s">
        <v>31990</v>
      </c>
      <c r="E7681" t="b">
        <v>0</v>
      </c>
      <c r="F7681" t="s">
        <v>11624</v>
      </c>
      <c r="G7681">
        <v>29.447299999999998</v>
      </c>
      <c r="H7681">
        <v>95.647199999999998</v>
      </c>
      <c r="I7681" t="s">
        <v>31991</v>
      </c>
      <c r="L7681">
        <v>0</v>
      </c>
      <c r="M7681">
        <v>0</v>
      </c>
      <c r="N7681">
        <v>0</v>
      </c>
      <c r="O7681" t="s">
        <v>24774</v>
      </c>
    </row>
    <row r="7682" spans="1:15">
      <c r="A7682" t="s">
        <v>31992</v>
      </c>
      <c r="B7682" t="s">
        <v>6742</v>
      </c>
      <c r="C7682" t="s">
        <v>31993</v>
      </c>
      <c r="D7682" t="s">
        <v>31994</v>
      </c>
      <c r="E7682" t="b">
        <v>0</v>
      </c>
      <c r="F7682" t="s">
        <v>11610</v>
      </c>
      <c r="L7682">
        <v>0</v>
      </c>
      <c r="M7682">
        <v>0</v>
      </c>
      <c r="N7682">
        <v>0</v>
      </c>
    </row>
    <row r="7683" spans="1:15">
      <c r="A7683" t="s">
        <v>31995</v>
      </c>
      <c r="B7683" t="s">
        <v>6742</v>
      </c>
      <c r="C7683" t="s">
        <v>14748</v>
      </c>
      <c r="D7683" t="s">
        <v>31996</v>
      </c>
      <c r="E7683" t="b">
        <v>0</v>
      </c>
      <c r="F7683" t="s">
        <v>11624</v>
      </c>
      <c r="G7683">
        <v>9.1258499999999998</v>
      </c>
      <c r="H7683">
        <v>7.7752499999999998</v>
      </c>
      <c r="I7683" t="s">
        <v>31997</v>
      </c>
      <c r="L7683">
        <v>0</v>
      </c>
      <c r="M7683">
        <v>0</v>
      </c>
      <c r="N7683">
        <v>0</v>
      </c>
      <c r="O7683" t="s">
        <v>11693</v>
      </c>
    </row>
    <row r="7684" spans="1:15">
      <c r="A7684" t="s">
        <v>17819</v>
      </c>
      <c r="B7684" t="s">
        <v>367</v>
      </c>
      <c r="C7684" t="s">
        <v>20713</v>
      </c>
      <c r="D7684" t="s">
        <v>31998</v>
      </c>
      <c r="E7684" t="b">
        <v>0</v>
      </c>
      <c r="F7684" t="s">
        <v>11624</v>
      </c>
      <c r="G7684">
        <v>-9.34361</v>
      </c>
      <c r="H7684">
        <v>150.24</v>
      </c>
      <c r="I7684" t="s">
        <v>31999</v>
      </c>
      <c r="L7684">
        <v>0</v>
      </c>
      <c r="M7684">
        <v>0</v>
      </c>
      <c r="N7684">
        <v>8</v>
      </c>
      <c r="O7684" t="s">
        <v>11660</v>
      </c>
    </row>
    <row r="7685" spans="1:15">
      <c r="A7685" t="s">
        <v>32000</v>
      </c>
      <c r="B7685" t="s">
        <v>12697</v>
      </c>
      <c r="C7685" t="s">
        <v>14175</v>
      </c>
      <c r="D7685" t="s">
        <v>32001</v>
      </c>
      <c r="E7685" t="b">
        <v>0</v>
      </c>
      <c r="F7685" t="s">
        <v>11610</v>
      </c>
      <c r="L7685">
        <v>0</v>
      </c>
      <c r="M7685">
        <v>0</v>
      </c>
      <c r="N7685">
        <v>0</v>
      </c>
    </row>
    <row r="7686" spans="1:15">
      <c r="A7686" t="s">
        <v>23779</v>
      </c>
      <c r="B7686" t="s">
        <v>6742</v>
      </c>
      <c r="C7686" t="s">
        <v>26797</v>
      </c>
      <c r="D7686" t="s">
        <v>32002</v>
      </c>
      <c r="E7686" t="b">
        <v>0</v>
      </c>
      <c r="F7686" t="s">
        <v>11624</v>
      </c>
      <c r="G7686">
        <v>7.6356799999999998</v>
      </c>
      <c r="H7686">
        <v>1.58494</v>
      </c>
      <c r="I7686" t="s">
        <v>32003</v>
      </c>
      <c r="L7686">
        <v>0</v>
      </c>
      <c r="M7686">
        <v>0</v>
      </c>
      <c r="N7686">
        <v>3</v>
      </c>
      <c r="O7686" t="s">
        <v>12394</v>
      </c>
    </row>
    <row r="7687" spans="1:15">
      <c r="A7687" t="s">
        <v>32004</v>
      </c>
      <c r="B7687" t="s">
        <v>6742</v>
      </c>
      <c r="C7687" t="s">
        <v>13977</v>
      </c>
      <c r="D7687" t="s">
        <v>32005</v>
      </c>
      <c r="E7687" t="b">
        <v>0</v>
      </c>
      <c r="F7687" t="s">
        <v>11610</v>
      </c>
      <c r="L7687">
        <v>0</v>
      </c>
      <c r="M7687">
        <v>0</v>
      </c>
      <c r="N7687">
        <v>0</v>
      </c>
    </row>
    <row r="7688" spans="1:15">
      <c r="A7688" t="s">
        <v>32006</v>
      </c>
      <c r="B7688" t="s">
        <v>26263</v>
      </c>
      <c r="C7688" t="s">
        <v>27976</v>
      </c>
      <c r="D7688" t="s">
        <v>32007</v>
      </c>
      <c r="E7688" t="b">
        <v>0</v>
      </c>
      <c r="F7688" t="s">
        <v>11610</v>
      </c>
      <c r="L7688">
        <v>0</v>
      </c>
      <c r="M7688">
        <v>0</v>
      </c>
      <c r="N7688">
        <v>0</v>
      </c>
    </row>
    <row r="7689" spans="1:15">
      <c r="A7689" t="s">
        <v>32008</v>
      </c>
      <c r="B7689" t="s">
        <v>367</v>
      </c>
      <c r="C7689" t="s">
        <v>27358</v>
      </c>
      <c r="D7689" t="s">
        <v>32009</v>
      </c>
      <c r="E7689" t="b">
        <v>0</v>
      </c>
      <c r="F7689" t="s">
        <v>11624</v>
      </c>
      <c r="G7689">
        <v>-18.7668</v>
      </c>
      <c r="H7689">
        <v>169.00700000000001</v>
      </c>
      <c r="I7689" t="s">
        <v>32010</v>
      </c>
      <c r="L7689">
        <v>0</v>
      </c>
      <c r="M7689">
        <v>0</v>
      </c>
      <c r="N7689">
        <v>0</v>
      </c>
      <c r="O7689" t="s">
        <v>12719</v>
      </c>
    </row>
    <row r="7690" spans="1:15">
      <c r="A7690" t="s">
        <v>13464</v>
      </c>
      <c r="B7690" t="s">
        <v>367</v>
      </c>
      <c r="C7690" t="s">
        <v>16225</v>
      </c>
      <c r="D7690" t="s">
        <v>32011</v>
      </c>
      <c r="E7690" t="b">
        <v>0</v>
      </c>
      <c r="F7690" t="s">
        <v>11622</v>
      </c>
      <c r="L7690">
        <v>1</v>
      </c>
      <c r="M7690">
        <v>4</v>
      </c>
      <c r="N7690">
        <v>8</v>
      </c>
    </row>
    <row r="7691" spans="1:15">
      <c r="A7691" t="s">
        <v>32012</v>
      </c>
      <c r="B7691" t="s">
        <v>6742</v>
      </c>
      <c r="C7691" t="s">
        <v>32013</v>
      </c>
      <c r="D7691" t="s">
        <v>32014</v>
      </c>
      <c r="E7691" t="b">
        <v>0</v>
      </c>
      <c r="F7691" t="s">
        <v>11610</v>
      </c>
      <c r="L7691">
        <v>0</v>
      </c>
      <c r="M7691">
        <v>0</v>
      </c>
      <c r="N7691">
        <v>0</v>
      </c>
    </row>
    <row r="7692" spans="1:15">
      <c r="A7692" t="s">
        <v>32015</v>
      </c>
      <c r="B7692" t="s">
        <v>4342</v>
      </c>
      <c r="C7692" t="s">
        <v>32016</v>
      </c>
      <c r="D7692" t="s">
        <v>32017</v>
      </c>
      <c r="E7692" t="b">
        <v>0</v>
      </c>
      <c r="F7692" t="s">
        <v>11610</v>
      </c>
      <c r="L7692">
        <v>0</v>
      </c>
      <c r="M7692">
        <v>0</v>
      </c>
      <c r="N7692">
        <v>0</v>
      </c>
    </row>
    <row r="7693" spans="1:15">
      <c r="A7693" t="s">
        <v>13977</v>
      </c>
      <c r="B7693" t="s">
        <v>6742</v>
      </c>
      <c r="C7693" t="s">
        <v>26807</v>
      </c>
      <c r="D7693" t="s">
        <v>32018</v>
      </c>
      <c r="E7693" t="b">
        <v>0</v>
      </c>
      <c r="F7693" t="s">
        <v>11624</v>
      </c>
      <c r="G7693">
        <v>7.3432500000000003</v>
      </c>
      <c r="H7693">
        <v>7.1797399999999998</v>
      </c>
      <c r="I7693" t="s">
        <v>32019</v>
      </c>
      <c r="L7693">
        <v>0</v>
      </c>
      <c r="M7693">
        <v>0</v>
      </c>
      <c r="N7693">
        <v>7</v>
      </c>
      <c r="O7693" t="s">
        <v>11693</v>
      </c>
    </row>
    <row r="7694" spans="1:15">
      <c r="A7694" t="s">
        <v>32020</v>
      </c>
      <c r="B7694" t="s">
        <v>367</v>
      </c>
      <c r="C7694" t="s">
        <v>16303</v>
      </c>
      <c r="D7694" t="s">
        <v>32021</v>
      </c>
      <c r="E7694" t="b">
        <v>0</v>
      </c>
      <c r="F7694" t="s">
        <v>11610</v>
      </c>
      <c r="L7694">
        <v>0</v>
      </c>
      <c r="M7694">
        <v>0</v>
      </c>
      <c r="N7694">
        <v>0</v>
      </c>
    </row>
    <row r="7695" spans="1:15">
      <c r="A7695" t="s">
        <v>32022</v>
      </c>
      <c r="B7695" t="s">
        <v>11871</v>
      </c>
      <c r="C7695" t="s">
        <v>32023</v>
      </c>
      <c r="D7695" t="s">
        <v>32024</v>
      </c>
      <c r="E7695" t="b">
        <v>0</v>
      </c>
      <c r="F7695" t="s">
        <v>11624</v>
      </c>
      <c r="G7695">
        <v>-4.7094199999999997</v>
      </c>
      <c r="H7695">
        <v>144.84100000000001</v>
      </c>
      <c r="I7695" t="s">
        <v>32025</v>
      </c>
      <c r="L7695">
        <v>0</v>
      </c>
      <c r="M7695">
        <v>0</v>
      </c>
      <c r="N7695">
        <v>0</v>
      </c>
      <c r="O7695" t="s">
        <v>11660</v>
      </c>
    </row>
    <row r="7696" spans="1:15">
      <c r="A7696" t="s">
        <v>32026</v>
      </c>
      <c r="B7696" t="s">
        <v>6742</v>
      </c>
      <c r="C7696" t="s">
        <v>26742</v>
      </c>
      <c r="D7696" t="s">
        <v>32027</v>
      </c>
      <c r="E7696" t="b">
        <v>0</v>
      </c>
      <c r="F7696" t="s">
        <v>11610</v>
      </c>
      <c r="L7696">
        <v>0</v>
      </c>
      <c r="M7696">
        <v>0</v>
      </c>
      <c r="N7696">
        <v>0</v>
      </c>
    </row>
    <row r="7697" spans="1:15">
      <c r="A7697" t="s">
        <v>32028</v>
      </c>
      <c r="B7697" t="s">
        <v>6742</v>
      </c>
      <c r="C7697" t="s">
        <v>12177</v>
      </c>
      <c r="D7697" t="s">
        <v>32029</v>
      </c>
      <c r="E7697" t="b">
        <v>0</v>
      </c>
      <c r="F7697" t="s">
        <v>11610</v>
      </c>
      <c r="L7697">
        <v>0</v>
      </c>
      <c r="M7697">
        <v>0</v>
      </c>
      <c r="N7697">
        <v>0</v>
      </c>
    </row>
    <row r="7698" spans="1:15">
      <c r="A7698" t="s">
        <v>32030</v>
      </c>
      <c r="B7698" t="s">
        <v>6742</v>
      </c>
      <c r="C7698" t="s">
        <v>3193</v>
      </c>
      <c r="D7698" t="s">
        <v>32031</v>
      </c>
      <c r="E7698" t="b">
        <v>0</v>
      </c>
      <c r="F7698" t="s">
        <v>11610</v>
      </c>
      <c r="L7698">
        <v>0</v>
      </c>
      <c r="M7698">
        <v>0</v>
      </c>
      <c r="N7698">
        <v>0</v>
      </c>
    </row>
    <row r="7699" spans="1:15">
      <c r="A7699" t="s">
        <v>32032</v>
      </c>
      <c r="B7699" t="s">
        <v>6742</v>
      </c>
      <c r="C7699" t="s">
        <v>12589</v>
      </c>
      <c r="D7699" t="s">
        <v>32033</v>
      </c>
      <c r="E7699" t="b">
        <v>0</v>
      </c>
      <c r="F7699" t="s">
        <v>11610</v>
      </c>
      <c r="L7699">
        <v>0</v>
      </c>
      <c r="M7699">
        <v>0</v>
      </c>
      <c r="N7699">
        <v>0</v>
      </c>
    </row>
    <row r="7700" spans="1:15">
      <c r="A7700" t="s">
        <v>32034</v>
      </c>
      <c r="B7700" t="s">
        <v>6742</v>
      </c>
      <c r="C7700" t="s">
        <v>12589</v>
      </c>
      <c r="D7700" t="s">
        <v>32035</v>
      </c>
      <c r="E7700" t="b">
        <v>0</v>
      </c>
      <c r="F7700" t="s">
        <v>11610</v>
      </c>
      <c r="L7700">
        <v>0</v>
      </c>
      <c r="M7700">
        <v>0</v>
      </c>
      <c r="N7700">
        <v>0</v>
      </c>
    </row>
    <row r="7701" spans="1:15">
      <c r="A7701" t="s">
        <v>26987</v>
      </c>
      <c r="B7701" t="s">
        <v>6742</v>
      </c>
      <c r="C7701" t="s">
        <v>12815</v>
      </c>
      <c r="D7701" t="s">
        <v>32036</v>
      </c>
      <c r="E7701" t="b">
        <v>0</v>
      </c>
      <c r="F7701" t="s">
        <v>11622</v>
      </c>
      <c r="L7701">
        <v>1</v>
      </c>
      <c r="M7701">
        <v>7</v>
      </c>
      <c r="N7701">
        <v>48</v>
      </c>
    </row>
    <row r="7702" spans="1:15">
      <c r="A7702" t="s">
        <v>32037</v>
      </c>
      <c r="B7702" t="s">
        <v>6742</v>
      </c>
      <c r="C7702" t="s">
        <v>26987</v>
      </c>
      <c r="D7702" t="s">
        <v>32038</v>
      </c>
      <c r="E7702" t="b">
        <v>0</v>
      </c>
      <c r="F7702" t="s">
        <v>11622</v>
      </c>
      <c r="L7702">
        <v>0</v>
      </c>
      <c r="M7702">
        <v>6</v>
      </c>
      <c r="N7702">
        <v>44</v>
      </c>
    </row>
    <row r="7703" spans="1:15">
      <c r="A7703" t="s">
        <v>32039</v>
      </c>
      <c r="B7703" t="s">
        <v>6742</v>
      </c>
      <c r="C7703" t="s">
        <v>12792</v>
      </c>
      <c r="D7703" t="s">
        <v>32040</v>
      </c>
      <c r="E7703" t="b">
        <v>0</v>
      </c>
      <c r="F7703" t="s">
        <v>11610</v>
      </c>
      <c r="L7703">
        <v>0</v>
      </c>
      <c r="M7703">
        <v>0</v>
      </c>
      <c r="N7703">
        <v>0</v>
      </c>
    </row>
    <row r="7704" spans="1:15">
      <c r="A7704" t="s">
        <v>32041</v>
      </c>
      <c r="B7704" t="s">
        <v>6742</v>
      </c>
      <c r="C7704" t="s">
        <v>26889</v>
      </c>
      <c r="D7704" t="s">
        <v>32042</v>
      </c>
      <c r="E7704" t="b">
        <v>0</v>
      </c>
      <c r="F7704" t="s">
        <v>11610</v>
      </c>
      <c r="L7704">
        <v>0</v>
      </c>
      <c r="M7704">
        <v>0</v>
      </c>
      <c r="N7704">
        <v>0</v>
      </c>
    </row>
    <row r="7705" spans="1:15">
      <c r="A7705" t="s">
        <v>28246</v>
      </c>
      <c r="B7705" t="s">
        <v>6742</v>
      </c>
      <c r="C7705" t="s">
        <v>27519</v>
      </c>
      <c r="D7705" t="s">
        <v>32043</v>
      </c>
      <c r="E7705" t="b">
        <v>0</v>
      </c>
      <c r="F7705" t="s">
        <v>11624</v>
      </c>
      <c r="G7705">
        <v>6.9552199999999997</v>
      </c>
      <c r="H7705">
        <v>8.2736199999999993</v>
      </c>
      <c r="I7705" t="s">
        <v>32044</v>
      </c>
      <c r="L7705">
        <v>0</v>
      </c>
      <c r="M7705">
        <v>0</v>
      </c>
      <c r="N7705">
        <v>4</v>
      </c>
      <c r="O7705" t="s">
        <v>11693</v>
      </c>
    </row>
    <row r="7706" spans="1:15">
      <c r="A7706" t="s">
        <v>32045</v>
      </c>
      <c r="B7706" t="s">
        <v>6742</v>
      </c>
      <c r="C7706" t="s">
        <v>32046</v>
      </c>
      <c r="D7706" t="s">
        <v>32047</v>
      </c>
      <c r="E7706" t="b">
        <v>0</v>
      </c>
      <c r="F7706" t="s">
        <v>11610</v>
      </c>
      <c r="L7706">
        <v>0</v>
      </c>
      <c r="M7706">
        <v>0</v>
      </c>
      <c r="N7706">
        <v>0</v>
      </c>
    </row>
    <row r="7707" spans="1:15">
      <c r="A7707" t="s">
        <v>32048</v>
      </c>
      <c r="B7707" t="s">
        <v>6742</v>
      </c>
      <c r="C7707" t="s">
        <v>167</v>
      </c>
      <c r="D7707" t="s">
        <v>32049</v>
      </c>
      <c r="E7707" t="b">
        <v>0</v>
      </c>
      <c r="F7707" t="s">
        <v>11610</v>
      </c>
      <c r="L7707">
        <v>0</v>
      </c>
      <c r="M7707">
        <v>0</v>
      </c>
      <c r="N7707">
        <v>0</v>
      </c>
    </row>
    <row r="7708" spans="1:15">
      <c r="A7708" t="s">
        <v>32050</v>
      </c>
      <c r="B7708" t="s">
        <v>13014</v>
      </c>
      <c r="C7708" t="s">
        <v>15774</v>
      </c>
      <c r="D7708" t="s">
        <v>32051</v>
      </c>
      <c r="E7708" t="b">
        <v>0</v>
      </c>
      <c r="F7708" t="s">
        <v>11610</v>
      </c>
      <c r="L7708">
        <v>0</v>
      </c>
      <c r="M7708">
        <v>0</v>
      </c>
      <c r="N7708">
        <v>0</v>
      </c>
    </row>
    <row r="7709" spans="1:15">
      <c r="A7709" t="s">
        <v>32052</v>
      </c>
      <c r="B7709" t="s">
        <v>11894</v>
      </c>
      <c r="C7709" t="s">
        <v>32053</v>
      </c>
      <c r="D7709" t="s">
        <v>32054</v>
      </c>
      <c r="E7709" t="b">
        <v>0</v>
      </c>
      <c r="F7709" t="s">
        <v>11624</v>
      </c>
      <c r="G7709">
        <v>-15.1188</v>
      </c>
      <c r="H7709">
        <v>-65.399299999999997</v>
      </c>
      <c r="I7709" t="s">
        <v>32055</v>
      </c>
      <c r="L7709">
        <v>0</v>
      </c>
      <c r="M7709">
        <v>0</v>
      </c>
      <c r="N7709">
        <v>0</v>
      </c>
      <c r="O7709" t="s">
        <v>14185</v>
      </c>
    </row>
    <row r="7710" spans="1:15">
      <c r="A7710" t="s">
        <v>32056</v>
      </c>
      <c r="B7710" t="s">
        <v>6742</v>
      </c>
      <c r="C7710" t="s">
        <v>32046</v>
      </c>
      <c r="D7710" t="s">
        <v>32057</v>
      </c>
      <c r="E7710" t="b">
        <v>0</v>
      </c>
      <c r="F7710" t="s">
        <v>11610</v>
      </c>
      <c r="L7710">
        <v>0</v>
      </c>
      <c r="M7710">
        <v>0</v>
      </c>
      <c r="N7710">
        <v>0</v>
      </c>
    </row>
    <row r="7711" spans="1:15">
      <c r="A7711" t="s">
        <v>32058</v>
      </c>
      <c r="B7711" t="s">
        <v>6742</v>
      </c>
      <c r="C7711" t="s">
        <v>32059</v>
      </c>
      <c r="D7711" t="s">
        <v>32060</v>
      </c>
      <c r="E7711" t="b">
        <v>0</v>
      </c>
      <c r="F7711" t="s">
        <v>11624</v>
      </c>
      <c r="G7711">
        <v>7.2549900000000003</v>
      </c>
      <c r="H7711">
        <v>0.67845999999999995</v>
      </c>
      <c r="I7711" t="s">
        <v>32061</v>
      </c>
      <c r="L7711">
        <v>0</v>
      </c>
      <c r="M7711">
        <v>0</v>
      </c>
      <c r="N7711">
        <v>0</v>
      </c>
      <c r="O7711" t="s">
        <v>12006</v>
      </c>
    </row>
    <row r="7712" spans="1:15">
      <c r="A7712" t="s">
        <v>32062</v>
      </c>
      <c r="B7712" t="s">
        <v>6742</v>
      </c>
      <c r="C7712" t="s">
        <v>16450</v>
      </c>
      <c r="D7712" t="s">
        <v>32063</v>
      </c>
      <c r="E7712" t="b">
        <v>0</v>
      </c>
      <c r="F7712" t="s">
        <v>11610</v>
      </c>
      <c r="L7712">
        <v>0</v>
      </c>
      <c r="M7712">
        <v>0</v>
      </c>
      <c r="N7712">
        <v>0</v>
      </c>
    </row>
    <row r="7713" spans="1:15">
      <c r="A7713" t="s">
        <v>32064</v>
      </c>
      <c r="B7713" t="s">
        <v>6742</v>
      </c>
      <c r="C7713" t="s">
        <v>26991</v>
      </c>
      <c r="D7713" t="s">
        <v>32065</v>
      </c>
      <c r="E7713" t="b">
        <v>0</v>
      </c>
      <c r="F7713" t="s">
        <v>11610</v>
      </c>
      <c r="L7713">
        <v>0</v>
      </c>
      <c r="M7713">
        <v>0</v>
      </c>
      <c r="N7713">
        <v>0</v>
      </c>
    </row>
    <row r="7714" spans="1:15">
      <c r="A7714" t="s">
        <v>32066</v>
      </c>
      <c r="B7714" t="s">
        <v>6742</v>
      </c>
      <c r="C7714" t="s">
        <v>19805</v>
      </c>
      <c r="D7714" t="s">
        <v>32067</v>
      </c>
      <c r="E7714" t="b">
        <v>0</v>
      </c>
      <c r="F7714" t="s">
        <v>11624</v>
      </c>
      <c r="G7714">
        <v>9.9850499999999993</v>
      </c>
      <c r="H7714">
        <v>8.8170800000000007</v>
      </c>
      <c r="I7714" t="s">
        <v>32068</v>
      </c>
      <c r="L7714">
        <v>0</v>
      </c>
      <c r="M7714">
        <v>0</v>
      </c>
      <c r="N7714">
        <v>0</v>
      </c>
      <c r="O7714" t="s">
        <v>11693</v>
      </c>
    </row>
    <row r="7715" spans="1:15">
      <c r="A7715" t="s">
        <v>32069</v>
      </c>
      <c r="B7715" t="s">
        <v>6742</v>
      </c>
      <c r="C7715" t="s">
        <v>27274</v>
      </c>
      <c r="D7715" t="s">
        <v>32070</v>
      </c>
      <c r="E7715" t="b">
        <v>0</v>
      </c>
      <c r="F7715" t="s">
        <v>11624</v>
      </c>
      <c r="G7715">
        <v>7.1087800000000003</v>
      </c>
      <c r="H7715">
        <v>6.0815700000000001</v>
      </c>
      <c r="I7715" t="s">
        <v>32071</v>
      </c>
      <c r="L7715">
        <v>0</v>
      </c>
      <c r="M7715">
        <v>0</v>
      </c>
      <c r="N7715">
        <v>0</v>
      </c>
      <c r="O7715" t="s">
        <v>11693</v>
      </c>
    </row>
    <row r="7716" spans="1:15">
      <c r="A7716" t="s">
        <v>27274</v>
      </c>
      <c r="B7716" t="s">
        <v>6742</v>
      </c>
      <c r="C7716" t="s">
        <v>32072</v>
      </c>
      <c r="D7716" t="s">
        <v>32073</v>
      </c>
      <c r="E7716" t="b">
        <v>0</v>
      </c>
      <c r="F7716" t="s">
        <v>11622</v>
      </c>
      <c r="L7716">
        <v>0</v>
      </c>
      <c r="M7716">
        <v>4</v>
      </c>
      <c r="N7716">
        <v>0</v>
      </c>
    </row>
    <row r="7717" spans="1:15">
      <c r="A7717" t="s">
        <v>32074</v>
      </c>
      <c r="B7717" t="s">
        <v>6742</v>
      </c>
      <c r="C7717" t="s">
        <v>12818</v>
      </c>
      <c r="D7717" t="s">
        <v>32075</v>
      </c>
      <c r="E7717" t="b">
        <v>0</v>
      </c>
      <c r="F7717" t="s">
        <v>11610</v>
      </c>
      <c r="L7717">
        <v>0</v>
      </c>
      <c r="M7717">
        <v>0</v>
      </c>
      <c r="N7717">
        <v>0</v>
      </c>
    </row>
    <row r="7718" spans="1:15">
      <c r="A7718" t="s">
        <v>32076</v>
      </c>
      <c r="B7718" t="s">
        <v>6742</v>
      </c>
      <c r="C7718" t="s">
        <v>32077</v>
      </c>
      <c r="D7718" t="s">
        <v>32078</v>
      </c>
      <c r="E7718" t="b">
        <v>0</v>
      </c>
      <c r="F7718" t="s">
        <v>11610</v>
      </c>
      <c r="L7718">
        <v>0</v>
      </c>
      <c r="M7718">
        <v>0</v>
      </c>
      <c r="N7718">
        <v>0</v>
      </c>
    </row>
    <row r="7719" spans="1:15">
      <c r="A7719" t="s">
        <v>32079</v>
      </c>
      <c r="B7719" t="s">
        <v>11607</v>
      </c>
      <c r="C7719" t="s">
        <v>17998</v>
      </c>
      <c r="D7719" t="s">
        <v>32080</v>
      </c>
      <c r="E7719" t="b">
        <v>0</v>
      </c>
      <c r="F7719" t="s">
        <v>11610</v>
      </c>
      <c r="L7719">
        <v>0</v>
      </c>
      <c r="M7719">
        <v>0</v>
      </c>
      <c r="N7719">
        <v>0</v>
      </c>
    </row>
    <row r="7720" spans="1:15">
      <c r="A7720" t="s">
        <v>32081</v>
      </c>
      <c r="B7720" t="s">
        <v>15911</v>
      </c>
      <c r="C7720" t="s">
        <v>15912</v>
      </c>
      <c r="D7720" t="s">
        <v>32082</v>
      </c>
      <c r="E7720" t="b">
        <v>0</v>
      </c>
      <c r="F7720" t="s">
        <v>11624</v>
      </c>
      <c r="G7720">
        <v>-2.81013</v>
      </c>
      <c r="H7720">
        <v>132.27099999999999</v>
      </c>
      <c r="I7720" t="s">
        <v>32083</v>
      </c>
      <c r="L7720">
        <v>0</v>
      </c>
      <c r="M7720">
        <v>0</v>
      </c>
      <c r="N7720">
        <v>0</v>
      </c>
      <c r="O7720" t="s">
        <v>11768</v>
      </c>
    </row>
    <row r="7721" spans="1:15">
      <c r="A7721" t="s">
        <v>32084</v>
      </c>
      <c r="B7721" t="s">
        <v>13450</v>
      </c>
      <c r="C7721" t="s">
        <v>32085</v>
      </c>
      <c r="D7721" t="s">
        <v>32086</v>
      </c>
      <c r="E7721" t="b">
        <v>0</v>
      </c>
      <c r="F7721" t="s">
        <v>11624</v>
      </c>
      <c r="G7721">
        <v>-2.9350000000000001</v>
      </c>
      <c r="H7721">
        <v>132.29400000000001</v>
      </c>
      <c r="I7721" t="s">
        <v>32087</v>
      </c>
      <c r="L7721">
        <v>0</v>
      </c>
      <c r="M7721">
        <v>0</v>
      </c>
      <c r="N7721">
        <v>0</v>
      </c>
      <c r="O7721" t="s">
        <v>11768</v>
      </c>
    </row>
    <row r="7722" spans="1:15">
      <c r="A7722" t="s">
        <v>32085</v>
      </c>
      <c r="B7722" t="s">
        <v>13450</v>
      </c>
      <c r="C7722" t="s">
        <v>13450</v>
      </c>
      <c r="D7722" t="s">
        <v>32088</v>
      </c>
      <c r="E7722" t="b">
        <v>0</v>
      </c>
      <c r="F7722" t="s">
        <v>11622</v>
      </c>
      <c r="L7722">
        <v>0</v>
      </c>
      <c r="M7722">
        <v>1</v>
      </c>
      <c r="N7722">
        <v>0</v>
      </c>
    </row>
    <row r="7723" spans="1:15">
      <c r="A7723" t="s">
        <v>32089</v>
      </c>
      <c r="B7723" t="s">
        <v>6742</v>
      </c>
      <c r="C7723" t="s">
        <v>17908</v>
      </c>
      <c r="D7723" t="s">
        <v>32090</v>
      </c>
      <c r="E7723" t="b">
        <v>0</v>
      </c>
      <c r="F7723" t="s">
        <v>11610</v>
      </c>
      <c r="G7723">
        <v>-9.1058900000000005</v>
      </c>
      <c r="H7723">
        <v>34.656300000000002</v>
      </c>
      <c r="L7723">
        <v>0</v>
      </c>
      <c r="M7723">
        <v>0</v>
      </c>
      <c r="N7723">
        <v>0</v>
      </c>
    </row>
    <row r="7724" spans="1:15">
      <c r="A7724" t="s">
        <v>32091</v>
      </c>
      <c r="B7724" t="s">
        <v>367</v>
      </c>
      <c r="C7724" t="s">
        <v>32092</v>
      </c>
      <c r="D7724" t="s">
        <v>32093</v>
      </c>
      <c r="E7724" t="b">
        <v>0</v>
      </c>
      <c r="F7724" t="s">
        <v>11610</v>
      </c>
      <c r="L7724">
        <v>0</v>
      </c>
      <c r="M7724">
        <v>0</v>
      </c>
      <c r="N7724">
        <v>0</v>
      </c>
    </row>
    <row r="7725" spans="1:15">
      <c r="A7725" t="s">
        <v>32094</v>
      </c>
      <c r="B7725" t="s">
        <v>367</v>
      </c>
      <c r="C7725" t="s">
        <v>32092</v>
      </c>
      <c r="D7725" t="s">
        <v>32095</v>
      </c>
      <c r="E7725" t="b">
        <v>0</v>
      </c>
      <c r="F7725" t="s">
        <v>11610</v>
      </c>
      <c r="L7725">
        <v>0</v>
      </c>
      <c r="M7725">
        <v>0</v>
      </c>
      <c r="N7725">
        <v>0</v>
      </c>
    </row>
    <row r="7726" spans="1:15">
      <c r="A7726" t="s">
        <v>32096</v>
      </c>
      <c r="B7726" t="s">
        <v>11627</v>
      </c>
      <c r="C7726" t="s">
        <v>11627</v>
      </c>
      <c r="D7726" t="s">
        <v>32097</v>
      </c>
      <c r="E7726" t="b">
        <v>1</v>
      </c>
      <c r="F7726" t="s">
        <v>11624</v>
      </c>
      <c r="G7726">
        <v>7.0091700000000001</v>
      </c>
      <c r="H7726">
        <v>6.0858100000000004</v>
      </c>
      <c r="I7726" t="s">
        <v>32098</v>
      </c>
      <c r="L7726">
        <v>0</v>
      </c>
      <c r="M7726">
        <v>0</v>
      </c>
      <c r="N7726">
        <v>0</v>
      </c>
      <c r="O7726" t="s">
        <v>11693</v>
      </c>
    </row>
    <row r="7727" spans="1:15">
      <c r="A7727" t="s">
        <v>32099</v>
      </c>
      <c r="B7727" t="s">
        <v>8310</v>
      </c>
      <c r="C7727" t="s">
        <v>23631</v>
      </c>
      <c r="D7727" t="s">
        <v>32100</v>
      </c>
      <c r="E7727" t="b">
        <v>0</v>
      </c>
      <c r="F7727" t="s">
        <v>11610</v>
      </c>
      <c r="L7727">
        <v>0</v>
      </c>
      <c r="M7727">
        <v>0</v>
      </c>
      <c r="N7727">
        <v>0</v>
      </c>
    </row>
    <row r="7728" spans="1:15">
      <c r="A7728" t="s">
        <v>32101</v>
      </c>
      <c r="B7728" t="s">
        <v>367</v>
      </c>
      <c r="C7728" t="s">
        <v>25465</v>
      </c>
      <c r="D7728" t="s">
        <v>32102</v>
      </c>
      <c r="E7728" t="b">
        <v>0</v>
      </c>
      <c r="F7728" t="s">
        <v>11610</v>
      </c>
      <c r="L7728">
        <v>0</v>
      </c>
      <c r="M7728">
        <v>0</v>
      </c>
      <c r="N7728">
        <v>0</v>
      </c>
    </row>
    <row r="7729" spans="1:15">
      <c r="A7729" t="s">
        <v>32103</v>
      </c>
      <c r="B7729" t="s">
        <v>367</v>
      </c>
      <c r="C7729" t="s">
        <v>12116</v>
      </c>
      <c r="D7729" t="s">
        <v>32104</v>
      </c>
      <c r="E7729" t="b">
        <v>0</v>
      </c>
      <c r="F7729" t="s">
        <v>11610</v>
      </c>
      <c r="L7729">
        <v>0</v>
      </c>
      <c r="M7729">
        <v>0</v>
      </c>
      <c r="N7729">
        <v>0</v>
      </c>
    </row>
    <row r="7730" spans="1:15">
      <c r="A7730" t="s">
        <v>32105</v>
      </c>
      <c r="B7730" t="s">
        <v>6742</v>
      </c>
      <c r="C7730" t="s">
        <v>32106</v>
      </c>
      <c r="D7730" t="s">
        <v>32107</v>
      </c>
      <c r="E7730" t="b">
        <v>0</v>
      </c>
      <c r="F7730" t="s">
        <v>11624</v>
      </c>
      <c r="G7730">
        <v>8.9718300000000006</v>
      </c>
      <c r="H7730">
        <v>6.9861000000000004</v>
      </c>
      <c r="I7730" t="s">
        <v>32108</v>
      </c>
      <c r="L7730">
        <v>0</v>
      </c>
      <c r="M7730">
        <v>0</v>
      </c>
      <c r="N7730">
        <v>0</v>
      </c>
      <c r="O7730" t="s">
        <v>11693</v>
      </c>
    </row>
    <row r="7731" spans="1:15">
      <c r="A7731" t="s">
        <v>32109</v>
      </c>
      <c r="B7731" t="s">
        <v>6742</v>
      </c>
      <c r="C7731" t="s">
        <v>3193</v>
      </c>
      <c r="D7731" t="s">
        <v>32110</v>
      </c>
      <c r="E7731" t="b">
        <v>0</v>
      </c>
      <c r="F7731" t="s">
        <v>11610</v>
      </c>
      <c r="L7731">
        <v>0</v>
      </c>
      <c r="M7731">
        <v>0</v>
      </c>
      <c r="N7731">
        <v>0</v>
      </c>
    </row>
    <row r="7732" spans="1:15">
      <c r="A7732" t="s">
        <v>32111</v>
      </c>
      <c r="B7732" t="s">
        <v>6742</v>
      </c>
      <c r="C7732" t="s">
        <v>3193</v>
      </c>
      <c r="D7732" t="s">
        <v>32112</v>
      </c>
      <c r="E7732" t="b">
        <v>0</v>
      </c>
      <c r="F7732" t="s">
        <v>11610</v>
      </c>
      <c r="L7732">
        <v>0</v>
      </c>
      <c r="M7732">
        <v>0</v>
      </c>
      <c r="N7732">
        <v>0</v>
      </c>
    </row>
    <row r="7733" spans="1:15">
      <c r="A7733" t="s">
        <v>32113</v>
      </c>
      <c r="B7733" t="s">
        <v>6742</v>
      </c>
      <c r="C7733" t="s">
        <v>13060</v>
      </c>
      <c r="D7733" t="s">
        <v>32114</v>
      </c>
      <c r="E7733" t="b">
        <v>0</v>
      </c>
      <c r="F7733" t="s">
        <v>11610</v>
      </c>
      <c r="L7733">
        <v>0</v>
      </c>
      <c r="M7733">
        <v>0</v>
      </c>
      <c r="N7733">
        <v>0</v>
      </c>
    </row>
    <row r="7734" spans="1:15">
      <c r="A7734" t="s">
        <v>32115</v>
      </c>
      <c r="B7734" t="s">
        <v>12438</v>
      </c>
      <c r="C7734" t="s">
        <v>32116</v>
      </c>
      <c r="D7734" t="s">
        <v>32117</v>
      </c>
      <c r="E7734" t="b">
        <v>0</v>
      </c>
      <c r="F7734" t="s">
        <v>11610</v>
      </c>
      <c r="L7734">
        <v>0</v>
      </c>
      <c r="M7734">
        <v>0</v>
      </c>
      <c r="N7734">
        <v>0</v>
      </c>
    </row>
    <row r="7735" spans="1:15">
      <c r="A7735" t="s">
        <v>12697</v>
      </c>
      <c r="D7735" t="s">
        <v>32118</v>
      </c>
      <c r="E7735" t="b">
        <v>0</v>
      </c>
      <c r="F7735" t="s">
        <v>11622</v>
      </c>
      <c r="L7735">
        <v>6</v>
      </c>
      <c r="M7735">
        <v>10</v>
      </c>
      <c r="N7735">
        <v>29</v>
      </c>
    </row>
    <row r="7736" spans="1:15">
      <c r="A7736" t="s">
        <v>26035</v>
      </c>
      <c r="B7736" t="s">
        <v>12697</v>
      </c>
      <c r="C7736" t="s">
        <v>12697</v>
      </c>
      <c r="D7736" t="s">
        <v>32119</v>
      </c>
      <c r="E7736" t="b">
        <v>0</v>
      </c>
      <c r="F7736" t="s">
        <v>11622</v>
      </c>
      <c r="L7736">
        <v>5</v>
      </c>
      <c r="M7736">
        <v>9</v>
      </c>
      <c r="N7736">
        <v>29</v>
      </c>
    </row>
    <row r="7737" spans="1:15">
      <c r="A7737" t="s">
        <v>32120</v>
      </c>
      <c r="B7737" t="s">
        <v>6742</v>
      </c>
      <c r="C7737" t="s">
        <v>32037</v>
      </c>
      <c r="D7737" t="s">
        <v>9294</v>
      </c>
      <c r="E7737" t="b">
        <v>0</v>
      </c>
      <c r="F7737" t="s">
        <v>11624</v>
      </c>
      <c r="G7737">
        <v>6.3642300000000001</v>
      </c>
      <c r="H7737">
        <v>6.3105799999999999</v>
      </c>
      <c r="I7737" t="s">
        <v>32121</v>
      </c>
      <c r="L7737">
        <v>0</v>
      </c>
      <c r="M7737">
        <v>0</v>
      </c>
      <c r="N7737">
        <v>0</v>
      </c>
      <c r="O7737" t="s">
        <v>11693</v>
      </c>
    </row>
    <row r="7738" spans="1:15">
      <c r="A7738" t="s">
        <v>32122</v>
      </c>
      <c r="B7738" t="s">
        <v>6742</v>
      </c>
      <c r="C7738" t="s">
        <v>3193</v>
      </c>
      <c r="D7738" t="s">
        <v>32123</v>
      </c>
      <c r="E7738" t="b">
        <v>0</v>
      </c>
      <c r="F7738" t="s">
        <v>11610</v>
      </c>
      <c r="L7738">
        <v>0</v>
      </c>
      <c r="M7738">
        <v>0</v>
      </c>
      <c r="N7738">
        <v>0</v>
      </c>
    </row>
    <row r="7739" spans="1:15">
      <c r="A7739" t="s">
        <v>32124</v>
      </c>
      <c r="B7739" t="s">
        <v>6742</v>
      </c>
      <c r="C7739" t="s">
        <v>32125</v>
      </c>
      <c r="D7739" t="s">
        <v>32126</v>
      </c>
      <c r="E7739" t="b">
        <v>0</v>
      </c>
      <c r="F7739" t="s">
        <v>11610</v>
      </c>
      <c r="L7739">
        <v>0</v>
      </c>
      <c r="M7739">
        <v>0</v>
      </c>
      <c r="N7739">
        <v>0</v>
      </c>
    </row>
    <row r="7740" spans="1:15">
      <c r="A7740" t="s">
        <v>32127</v>
      </c>
      <c r="B7740" t="s">
        <v>6742</v>
      </c>
      <c r="C7740" t="s">
        <v>12589</v>
      </c>
      <c r="D7740" t="s">
        <v>32128</v>
      </c>
      <c r="E7740" t="b">
        <v>0</v>
      </c>
      <c r="F7740" t="s">
        <v>11610</v>
      </c>
      <c r="L7740">
        <v>0</v>
      </c>
      <c r="M7740">
        <v>0</v>
      </c>
      <c r="N7740">
        <v>0</v>
      </c>
    </row>
    <row r="7741" spans="1:15">
      <c r="A7741" t="s">
        <v>32129</v>
      </c>
      <c r="B7741" t="s">
        <v>6742</v>
      </c>
      <c r="C7741" t="s">
        <v>12589</v>
      </c>
      <c r="D7741" t="s">
        <v>32130</v>
      </c>
      <c r="E7741" t="b">
        <v>0</v>
      </c>
      <c r="F7741" t="s">
        <v>11610</v>
      </c>
      <c r="L7741">
        <v>0</v>
      </c>
      <c r="M7741">
        <v>0</v>
      </c>
      <c r="N7741">
        <v>0</v>
      </c>
    </row>
    <row r="7742" spans="1:15">
      <c r="A7742" t="s">
        <v>32131</v>
      </c>
      <c r="B7742" t="s">
        <v>10597</v>
      </c>
      <c r="C7742" t="s">
        <v>22002</v>
      </c>
      <c r="D7742" t="s">
        <v>32132</v>
      </c>
      <c r="E7742" t="b">
        <v>0</v>
      </c>
      <c r="F7742" t="s">
        <v>11624</v>
      </c>
      <c r="I7742" t="s">
        <v>32133</v>
      </c>
      <c r="L7742">
        <v>0</v>
      </c>
      <c r="M7742">
        <v>0</v>
      </c>
      <c r="N7742">
        <v>0</v>
      </c>
      <c r="O7742" t="s">
        <v>12107</v>
      </c>
    </row>
    <row r="7743" spans="1:15">
      <c r="A7743" t="s">
        <v>32134</v>
      </c>
      <c r="B7743" t="s">
        <v>367</v>
      </c>
      <c r="C7743" t="s">
        <v>13008</v>
      </c>
      <c r="D7743" t="s">
        <v>32135</v>
      </c>
      <c r="E7743" t="b">
        <v>0</v>
      </c>
      <c r="F7743" t="s">
        <v>11610</v>
      </c>
      <c r="L7743">
        <v>0</v>
      </c>
      <c r="M7743">
        <v>0</v>
      </c>
      <c r="N7743">
        <v>0</v>
      </c>
    </row>
    <row r="7744" spans="1:15">
      <c r="A7744" t="s">
        <v>32136</v>
      </c>
      <c r="B7744" t="s">
        <v>6742</v>
      </c>
      <c r="C7744" t="s">
        <v>26090</v>
      </c>
      <c r="D7744" t="s">
        <v>32137</v>
      </c>
      <c r="E7744" t="b">
        <v>0</v>
      </c>
      <c r="F7744" t="s">
        <v>11610</v>
      </c>
      <c r="L7744">
        <v>0</v>
      </c>
      <c r="M7744">
        <v>0</v>
      </c>
      <c r="N7744">
        <v>0</v>
      </c>
    </row>
    <row r="7745" spans="1:15">
      <c r="A7745" t="s">
        <v>32138</v>
      </c>
      <c r="B7745" t="s">
        <v>4342</v>
      </c>
      <c r="C7745" t="s">
        <v>21980</v>
      </c>
      <c r="D7745" t="s">
        <v>32139</v>
      </c>
      <c r="E7745" t="b">
        <v>0</v>
      </c>
      <c r="F7745" t="s">
        <v>11610</v>
      </c>
      <c r="L7745">
        <v>0</v>
      </c>
      <c r="M7745">
        <v>0</v>
      </c>
      <c r="N7745">
        <v>2</v>
      </c>
    </row>
    <row r="7746" spans="1:15">
      <c r="A7746" t="s">
        <v>32140</v>
      </c>
      <c r="B7746" t="s">
        <v>4342</v>
      </c>
      <c r="C7746" t="s">
        <v>32138</v>
      </c>
      <c r="D7746" t="s">
        <v>32141</v>
      </c>
      <c r="E7746" t="b">
        <v>0</v>
      </c>
      <c r="F7746" t="s">
        <v>11610</v>
      </c>
      <c r="L7746">
        <v>0</v>
      </c>
      <c r="M7746">
        <v>0</v>
      </c>
      <c r="N7746">
        <v>0</v>
      </c>
    </row>
    <row r="7747" spans="1:15">
      <c r="A7747" t="s">
        <v>32142</v>
      </c>
      <c r="B7747" t="s">
        <v>12697</v>
      </c>
      <c r="C7747" t="s">
        <v>14175</v>
      </c>
      <c r="D7747" t="s">
        <v>32143</v>
      </c>
      <c r="E7747" t="b">
        <v>0</v>
      </c>
      <c r="F7747" t="s">
        <v>11610</v>
      </c>
      <c r="L7747">
        <v>0</v>
      </c>
      <c r="M7747">
        <v>0</v>
      </c>
      <c r="N7747">
        <v>0</v>
      </c>
    </row>
    <row r="7748" spans="1:15">
      <c r="A7748" t="s">
        <v>32144</v>
      </c>
      <c r="B7748" t="s">
        <v>6742</v>
      </c>
      <c r="C7748" t="s">
        <v>32145</v>
      </c>
      <c r="D7748" t="s">
        <v>32146</v>
      </c>
      <c r="E7748" t="b">
        <v>0</v>
      </c>
      <c r="F7748" t="s">
        <v>11624</v>
      </c>
      <c r="G7748">
        <v>-1.9915</v>
      </c>
      <c r="H7748">
        <v>34.358899999999998</v>
      </c>
      <c r="I7748" t="s">
        <v>32147</v>
      </c>
      <c r="L7748">
        <v>0</v>
      </c>
      <c r="M7748">
        <v>0</v>
      </c>
      <c r="N7748">
        <v>0</v>
      </c>
      <c r="O7748" t="s">
        <v>11635</v>
      </c>
    </row>
    <row r="7749" spans="1:15">
      <c r="A7749" t="s">
        <v>32148</v>
      </c>
      <c r="B7749" t="s">
        <v>32149</v>
      </c>
      <c r="C7749" t="s">
        <v>32149</v>
      </c>
      <c r="D7749" t="s">
        <v>32150</v>
      </c>
      <c r="E7749" t="b">
        <v>0</v>
      </c>
      <c r="F7749" t="s">
        <v>11624</v>
      </c>
      <c r="G7749">
        <v>3.6140699999999999</v>
      </c>
      <c r="H7749">
        <v>34.250700000000002</v>
      </c>
      <c r="I7749" t="s">
        <v>32151</v>
      </c>
      <c r="L7749">
        <v>0</v>
      </c>
      <c r="M7749">
        <v>0</v>
      </c>
      <c r="N7749">
        <v>0</v>
      </c>
      <c r="O7749" t="s">
        <v>12057</v>
      </c>
    </row>
    <row r="7750" spans="1:15">
      <c r="A7750" t="s">
        <v>32152</v>
      </c>
      <c r="B7750" t="s">
        <v>10597</v>
      </c>
      <c r="C7750" t="s">
        <v>12694</v>
      </c>
      <c r="D7750" t="s">
        <v>32153</v>
      </c>
      <c r="E7750" t="b">
        <v>0</v>
      </c>
      <c r="F7750" t="s">
        <v>11610</v>
      </c>
      <c r="L7750">
        <v>0</v>
      </c>
      <c r="M7750">
        <v>0</v>
      </c>
      <c r="N7750">
        <v>0</v>
      </c>
    </row>
    <row r="7751" spans="1:15">
      <c r="A7751" t="s">
        <v>29565</v>
      </c>
      <c r="B7751" t="s">
        <v>17101</v>
      </c>
      <c r="C7751" t="s">
        <v>17102</v>
      </c>
      <c r="D7751" t="s">
        <v>32154</v>
      </c>
      <c r="E7751" t="b">
        <v>0</v>
      </c>
      <c r="F7751" t="s">
        <v>11624</v>
      </c>
      <c r="G7751">
        <v>-7.30342</v>
      </c>
      <c r="H7751">
        <v>143.61799999999999</v>
      </c>
      <c r="I7751" t="s">
        <v>32155</v>
      </c>
      <c r="L7751">
        <v>0</v>
      </c>
      <c r="M7751">
        <v>0</v>
      </c>
      <c r="N7751">
        <v>5</v>
      </c>
      <c r="O7751" t="s">
        <v>11660</v>
      </c>
    </row>
    <row r="7752" spans="1:15">
      <c r="A7752" t="s">
        <v>32156</v>
      </c>
      <c r="B7752" t="s">
        <v>367</v>
      </c>
      <c r="C7752" t="s">
        <v>13008</v>
      </c>
      <c r="D7752" t="s">
        <v>32157</v>
      </c>
      <c r="E7752" t="b">
        <v>0</v>
      </c>
      <c r="F7752" t="s">
        <v>11610</v>
      </c>
      <c r="L7752">
        <v>0</v>
      </c>
      <c r="M7752">
        <v>0</v>
      </c>
      <c r="N7752">
        <v>0</v>
      </c>
    </row>
    <row r="7753" spans="1:15">
      <c r="A7753" t="s">
        <v>32158</v>
      </c>
      <c r="B7753" t="s">
        <v>6742</v>
      </c>
      <c r="C7753" t="s">
        <v>32159</v>
      </c>
      <c r="D7753" t="s">
        <v>32160</v>
      </c>
      <c r="E7753" t="b">
        <v>0</v>
      </c>
      <c r="F7753" t="s">
        <v>11610</v>
      </c>
      <c r="L7753">
        <v>0</v>
      </c>
      <c r="M7753">
        <v>0</v>
      </c>
      <c r="N7753">
        <v>0</v>
      </c>
    </row>
    <row r="7754" spans="1:15">
      <c r="A7754" t="s">
        <v>32161</v>
      </c>
      <c r="B7754" t="s">
        <v>6742</v>
      </c>
      <c r="C7754" t="s">
        <v>32145</v>
      </c>
      <c r="D7754" t="s">
        <v>32162</v>
      </c>
      <c r="E7754" t="b">
        <v>0</v>
      </c>
      <c r="F7754" t="s">
        <v>11624</v>
      </c>
      <c r="G7754">
        <v>-1.9498899999999999</v>
      </c>
      <c r="H7754">
        <v>34.536099999999998</v>
      </c>
      <c r="I7754" t="s">
        <v>32163</v>
      </c>
      <c r="L7754">
        <v>0</v>
      </c>
      <c r="M7754">
        <v>0</v>
      </c>
      <c r="N7754">
        <v>1</v>
      </c>
      <c r="O7754" t="s">
        <v>11635</v>
      </c>
    </row>
    <row r="7755" spans="1:15">
      <c r="A7755" t="s">
        <v>32164</v>
      </c>
      <c r="B7755" t="s">
        <v>6742</v>
      </c>
      <c r="C7755" t="s">
        <v>12358</v>
      </c>
      <c r="D7755" t="s">
        <v>32165</v>
      </c>
      <c r="E7755" t="b">
        <v>0</v>
      </c>
      <c r="F7755" t="s">
        <v>11610</v>
      </c>
      <c r="L7755">
        <v>0</v>
      </c>
      <c r="M7755">
        <v>0</v>
      </c>
      <c r="N7755">
        <v>0</v>
      </c>
    </row>
    <row r="7756" spans="1:15">
      <c r="A7756" t="s">
        <v>32166</v>
      </c>
      <c r="B7756" t="s">
        <v>6742</v>
      </c>
      <c r="C7756" t="s">
        <v>21831</v>
      </c>
      <c r="D7756" t="s">
        <v>32167</v>
      </c>
      <c r="E7756" t="b">
        <v>0</v>
      </c>
      <c r="F7756" t="s">
        <v>11624</v>
      </c>
      <c r="G7756">
        <v>4.5619699999999996</v>
      </c>
      <c r="H7756">
        <v>7.9866000000000001</v>
      </c>
      <c r="I7756" t="s">
        <v>32168</v>
      </c>
      <c r="L7756">
        <v>0</v>
      </c>
      <c r="M7756">
        <v>0</v>
      </c>
      <c r="N7756">
        <v>0</v>
      </c>
      <c r="O7756" t="s">
        <v>11693</v>
      </c>
    </row>
    <row r="7757" spans="1:15">
      <c r="A7757" t="s">
        <v>32169</v>
      </c>
      <c r="B7757" t="s">
        <v>6742</v>
      </c>
      <c r="C7757" t="s">
        <v>12811</v>
      </c>
      <c r="D7757" t="s">
        <v>32170</v>
      </c>
      <c r="E7757" t="b">
        <v>0</v>
      </c>
      <c r="F7757" t="s">
        <v>11610</v>
      </c>
      <c r="L7757">
        <v>0</v>
      </c>
      <c r="M7757">
        <v>0</v>
      </c>
      <c r="N7757">
        <v>0</v>
      </c>
    </row>
    <row r="7758" spans="1:15">
      <c r="A7758" t="s">
        <v>32171</v>
      </c>
      <c r="B7758" t="s">
        <v>6742</v>
      </c>
      <c r="C7758" t="s">
        <v>11677</v>
      </c>
      <c r="D7758" t="s">
        <v>32172</v>
      </c>
      <c r="E7758" t="b">
        <v>0</v>
      </c>
      <c r="F7758" t="s">
        <v>11610</v>
      </c>
      <c r="L7758">
        <v>0</v>
      </c>
      <c r="M7758">
        <v>0</v>
      </c>
      <c r="N7758">
        <v>0</v>
      </c>
    </row>
    <row r="7759" spans="1:15">
      <c r="A7759" t="s">
        <v>32173</v>
      </c>
      <c r="B7759" t="s">
        <v>6742</v>
      </c>
      <c r="C7759" t="s">
        <v>27274</v>
      </c>
      <c r="D7759" t="s">
        <v>32174</v>
      </c>
      <c r="E7759" t="b">
        <v>0</v>
      </c>
      <c r="F7759" t="s">
        <v>11624</v>
      </c>
      <c r="G7759">
        <v>7.0447499999999996</v>
      </c>
      <c r="H7759">
        <v>6.1764700000000001</v>
      </c>
      <c r="I7759" t="s">
        <v>32175</v>
      </c>
      <c r="L7759">
        <v>0</v>
      </c>
      <c r="M7759">
        <v>0</v>
      </c>
      <c r="N7759">
        <v>0</v>
      </c>
      <c r="O7759" t="s">
        <v>11693</v>
      </c>
    </row>
    <row r="7760" spans="1:15">
      <c r="A7760" t="s">
        <v>32176</v>
      </c>
      <c r="B7760" t="s">
        <v>6742</v>
      </c>
      <c r="C7760" t="s">
        <v>12589</v>
      </c>
      <c r="D7760" t="s">
        <v>32177</v>
      </c>
      <c r="E7760" t="b">
        <v>0</v>
      </c>
      <c r="F7760" t="s">
        <v>11610</v>
      </c>
      <c r="L7760">
        <v>0</v>
      </c>
      <c r="M7760">
        <v>0</v>
      </c>
      <c r="N7760">
        <v>0</v>
      </c>
    </row>
    <row r="7761" spans="1:15">
      <c r="A7761" t="s">
        <v>32178</v>
      </c>
      <c r="B7761" t="s">
        <v>8310</v>
      </c>
      <c r="C7761" t="s">
        <v>14155</v>
      </c>
      <c r="D7761" t="s">
        <v>32179</v>
      </c>
      <c r="E7761" t="b">
        <v>0</v>
      </c>
      <c r="F7761" t="s">
        <v>11624</v>
      </c>
      <c r="G7761">
        <v>-11.378220000000001</v>
      </c>
      <c r="H7761">
        <v>-53.495530000000002</v>
      </c>
      <c r="I7761" t="s">
        <v>32180</v>
      </c>
      <c r="L7761">
        <v>0</v>
      </c>
      <c r="M7761">
        <v>0</v>
      </c>
      <c r="N7761">
        <v>0</v>
      </c>
      <c r="O7761" t="s">
        <v>11969</v>
      </c>
    </row>
    <row r="7762" spans="1:15">
      <c r="A7762" t="s">
        <v>13522</v>
      </c>
      <c r="B7762" t="s">
        <v>6742</v>
      </c>
      <c r="C7762" t="s">
        <v>32059</v>
      </c>
      <c r="D7762" t="s">
        <v>32181</v>
      </c>
      <c r="E7762" t="b">
        <v>0</v>
      </c>
      <c r="F7762" t="s">
        <v>11624</v>
      </c>
      <c r="G7762">
        <v>7.4477599999999997</v>
      </c>
      <c r="H7762">
        <v>0.83311999999999997</v>
      </c>
      <c r="I7762" t="s">
        <v>32182</v>
      </c>
      <c r="L7762">
        <v>0</v>
      </c>
      <c r="M7762">
        <v>0</v>
      </c>
      <c r="N7762">
        <v>6</v>
      </c>
      <c r="O7762" t="s">
        <v>12006</v>
      </c>
    </row>
    <row r="7763" spans="1:15">
      <c r="A7763" t="s">
        <v>32183</v>
      </c>
      <c r="B7763" t="s">
        <v>6742</v>
      </c>
      <c r="C7763" t="s">
        <v>13522</v>
      </c>
      <c r="D7763" t="s">
        <v>32184</v>
      </c>
      <c r="E7763" t="b">
        <v>0</v>
      </c>
      <c r="F7763" t="s">
        <v>11610</v>
      </c>
      <c r="L7763">
        <v>0</v>
      </c>
      <c r="M7763">
        <v>0</v>
      </c>
      <c r="N7763">
        <v>0</v>
      </c>
    </row>
    <row r="7764" spans="1:15">
      <c r="A7764" t="s">
        <v>32185</v>
      </c>
      <c r="B7764" t="s">
        <v>6742</v>
      </c>
      <c r="C7764" t="s">
        <v>25137</v>
      </c>
      <c r="D7764" t="s">
        <v>32186</v>
      </c>
      <c r="E7764" t="b">
        <v>0</v>
      </c>
      <c r="F7764" t="s">
        <v>11624</v>
      </c>
      <c r="G7764">
        <v>10.27852</v>
      </c>
      <c r="H7764">
        <v>7.8410500000000001</v>
      </c>
      <c r="I7764" t="s">
        <v>32187</v>
      </c>
      <c r="L7764">
        <v>0</v>
      </c>
      <c r="M7764">
        <v>0</v>
      </c>
      <c r="N7764">
        <v>0</v>
      </c>
      <c r="O7764" t="s">
        <v>11693</v>
      </c>
    </row>
    <row r="7765" spans="1:15">
      <c r="A7765" t="s">
        <v>32188</v>
      </c>
      <c r="B7765" t="s">
        <v>6742</v>
      </c>
      <c r="C7765" t="s">
        <v>32189</v>
      </c>
      <c r="D7765" t="s">
        <v>32190</v>
      </c>
      <c r="E7765" t="b">
        <v>0</v>
      </c>
      <c r="F7765" t="s">
        <v>11624</v>
      </c>
      <c r="G7765">
        <v>10.133900000000001</v>
      </c>
      <c r="H7765">
        <v>7.8668399999999998</v>
      </c>
      <c r="I7765" t="s">
        <v>32191</v>
      </c>
      <c r="L7765">
        <v>0</v>
      </c>
      <c r="M7765">
        <v>0</v>
      </c>
      <c r="N7765">
        <v>0</v>
      </c>
      <c r="O7765" t="s">
        <v>11693</v>
      </c>
    </row>
    <row r="7766" spans="1:15">
      <c r="A7766" t="s">
        <v>32192</v>
      </c>
      <c r="B7766" t="s">
        <v>6742</v>
      </c>
      <c r="C7766" t="s">
        <v>32013</v>
      </c>
      <c r="D7766" t="s">
        <v>32193</v>
      </c>
      <c r="E7766" t="b">
        <v>0</v>
      </c>
      <c r="F7766" t="s">
        <v>11610</v>
      </c>
      <c r="L7766">
        <v>0</v>
      </c>
      <c r="M7766">
        <v>0</v>
      </c>
      <c r="N7766">
        <v>0</v>
      </c>
    </row>
    <row r="7767" spans="1:15">
      <c r="A7767" t="s">
        <v>32194</v>
      </c>
      <c r="B7767" t="s">
        <v>6742</v>
      </c>
      <c r="C7767" t="s">
        <v>31993</v>
      </c>
      <c r="D7767" t="s">
        <v>32195</v>
      </c>
      <c r="E7767" t="b">
        <v>0</v>
      </c>
      <c r="F7767" t="s">
        <v>11610</v>
      </c>
      <c r="L7767">
        <v>0</v>
      </c>
      <c r="M7767">
        <v>0</v>
      </c>
      <c r="N7767">
        <v>0</v>
      </c>
    </row>
    <row r="7768" spans="1:15">
      <c r="A7768" t="s">
        <v>32196</v>
      </c>
      <c r="B7768" t="s">
        <v>6742</v>
      </c>
      <c r="C7768" t="s">
        <v>18365</v>
      </c>
      <c r="D7768" t="s">
        <v>32197</v>
      </c>
      <c r="E7768" t="b">
        <v>0</v>
      </c>
      <c r="F7768" t="s">
        <v>11610</v>
      </c>
      <c r="L7768">
        <v>0</v>
      </c>
      <c r="M7768">
        <v>0</v>
      </c>
      <c r="N7768">
        <v>0</v>
      </c>
    </row>
    <row r="7769" spans="1:15">
      <c r="A7769" t="s">
        <v>32198</v>
      </c>
      <c r="B7769" t="s">
        <v>6742</v>
      </c>
      <c r="C7769" t="s">
        <v>17908</v>
      </c>
      <c r="D7769" t="s">
        <v>32199</v>
      </c>
      <c r="E7769" t="b">
        <v>0</v>
      </c>
      <c r="F7769" t="s">
        <v>11610</v>
      </c>
      <c r="G7769">
        <v>-9.1370799999999992</v>
      </c>
      <c r="H7769">
        <v>34.908299999999997</v>
      </c>
      <c r="L7769">
        <v>0</v>
      </c>
      <c r="M7769">
        <v>0</v>
      </c>
      <c r="N7769">
        <v>0</v>
      </c>
    </row>
    <row r="7770" spans="1:15">
      <c r="A7770" t="s">
        <v>32200</v>
      </c>
      <c r="B7770" t="s">
        <v>6742</v>
      </c>
      <c r="C7770" t="s">
        <v>16152</v>
      </c>
      <c r="D7770" t="s">
        <v>32201</v>
      </c>
      <c r="E7770" t="b">
        <v>0</v>
      </c>
      <c r="F7770" t="s">
        <v>11610</v>
      </c>
      <c r="L7770">
        <v>0</v>
      </c>
      <c r="M7770">
        <v>0</v>
      </c>
      <c r="N7770">
        <v>0</v>
      </c>
    </row>
    <row r="7771" spans="1:15">
      <c r="A7771" t="s">
        <v>12818</v>
      </c>
      <c r="B7771" t="s">
        <v>6742</v>
      </c>
      <c r="C7771" t="s">
        <v>32037</v>
      </c>
      <c r="D7771" t="s">
        <v>32202</v>
      </c>
      <c r="E7771" t="b">
        <v>0</v>
      </c>
      <c r="F7771" t="s">
        <v>11624</v>
      </c>
      <c r="G7771">
        <v>5.0433300000000001</v>
      </c>
      <c r="H7771">
        <v>6.8665099999999999</v>
      </c>
      <c r="I7771" t="s">
        <v>32203</v>
      </c>
      <c r="L7771">
        <v>0</v>
      </c>
      <c r="M7771">
        <v>0</v>
      </c>
      <c r="N7771">
        <v>18</v>
      </c>
      <c r="O7771" t="s">
        <v>11693</v>
      </c>
    </row>
    <row r="7772" spans="1:15">
      <c r="A7772" t="s">
        <v>32204</v>
      </c>
      <c r="B7772" t="s">
        <v>6742</v>
      </c>
      <c r="C7772" t="s">
        <v>27588</v>
      </c>
      <c r="D7772" t="s">
        <v>32205</v>
      </c>
      <c r="E7772" t="b">
        <v>0</v>
      </c>
      <c r="F7772" t="s">
        <v>11610</v>
      </c>
      <c r="I7772" t="s">
        <v>32206</v>
      </c>
      <c r="L7772">
        <v>0</v>
      </c>
      <c r="M7772">
        <v>0</v>
      </c>
      <c r="N7772">
        <v>0</v>
      </c>
    </row>
    <row r="7773" spans="1:15">
      <c r="A7773" t="s">
        <v>32207</v>
      </c>
      <c r="B7773" t="s">
        <v>367</v>
      </c>
      <c r="C7773" t="s">
        <v>32208</v>
      </c>
      <c r="D7773" t="s">
        <v>32209</v>
      </c>
      <c r="E7773" t="b">
        <v>0</v>
      </c>
      <c r="F7773" t="s">
        <v>11610</v>
      </c>
      <c r="L7773">
        <v>0</v>
      </c>
      <c r="M7773">
        <v>0</v>
      </c>
      <c r="N7773">
        <v>0</v>
      </c>
    </row>
    <row r="7774" spans="1:15">
      <c r="A7774" t="s">
        <v>10069</v>
      </c>
      <c r="B7774" t="s">
        <v>6742</v>
      </c>
      <c r="C7774" t="s">
        <v>3193</v>
      </c>
      <c r="D7774" t="s">
        <v>32210</v>
      </c>
      <c r="E7774" t="b">
        <v>0</v>
      </c>
      <c r="F7774" t="s">
        <v>11610</v>
      </c>
      <c r="L7774">
        <v>0</v>
      </c>
      <c r="M7774">
        <v>0</v>
      </c>
      <c r="N7774">
        <v>0</v>
      </c>
    </row>
    <row r="7775" spans="1:15">
      <c r="A7775" t="s">
        <v>32211</v>
      </c>
      <c r="B7775" t="s">
        <v>6742</v>
      </c>
      <c r="C7775" t="s">
        <v>32212</v>
      </c>
      <c r="D7775" t="s">
        <v>32213</v>
      </c>
      <c r="E7775" t="b">
        <v>0</v>
      </c>
      <c r="F7775" t="s">
        <v>11624</v>
      </c>
      <c r="G7775">
        <v>-15.60807</v>
      </c>
      <c r="H7775">
        <v>26.455480000000001</v>
      </c>
      <c r="I7775" t="s">
        <v>32214</v>
      </c>
      <c r="L7775">
        <v>0</v>
      </c>
      <c r="M7775">
        <v>0</v>
      </c>
      <c r="N7775">
        <v>4</v>
      </c>
      <c r="O7775" t="s">
        <v>32215</v>
      </c>
    </row>
    <row r="7776" spans="1:15">
      <c r="A7776" t="s">
        <v>32216</v>
      </c>
      <c r="B7776" t="s">
        <v>6742</v>
      </c>
      <c r="C7776" t="s">
        <v>3970</v>
      </c>
      <c r="D7776" t="s">
        <v>32217</v>
      </c>
      <c r="E7776" t="b">
        <v>0</v>
      </c>
      <c r="F7776" t="s">
        <v>11610</v>
      </c>
      <c r="L7776">
        <v>0</v>
      </c>
      <c r="M7776">
        <v>0</v>
      </c>
      <c r="N7776">
        <v>0</v>
      </c>
    </row>
    <row r="7777" spans="1:15">
      <c r="A7777" t="s">
        <v>32218</v>
      </c>
      <c r="B7777" t="s">
        <v>14798</v>
      </c>
      <c r="C7777" t="s">
        <v>14799</v>
      </c>
      <c r="D7777" t="s">
        <v>32219</v>
      </c>
      <c r="E7777" t="b">
        <v>0</v>
      </c>
      <c r="F7777" t="s">
        <v>11610</v>
      </c>
      <c r="L7777">
        <v>0</v>
      </c>
      <c r="M7777">
        <v>0</v>
      </c>
      <c r="N7777">
        <v>0</v>
      </c>
    </row>
    <row r="7778" spans="1:15">
      <c r="A7778" t="s">
        <v>32220</v>
      </c>
      <c r="B7778" t="s">
        <v>6742</v>
      </c>
      <c r="C7778" t="s">
        <v>3193</v>
      </c>
      <c r="D7778" t="s">
        <v>32221</v>
      </c>
      <c r="E7778" t="b">
        <v>0</v>
      </c>
      <c r="F7778" t="s">
        <v>11610</v>
      </c>
      <c r="L7778">
        <v>0</v>
      </c>
      <c r="M7778">
        <v>0</v>
      </c>
      <c r="N7778">
        <v>0</v>
      </c>
    </row>
    <row r="7779" spans="1:15">
      <c r="A7779" t="s">
        <v>32222</v>
      </c>
      <c r="B7779" t="s">
        <v>11615</v>
      </c>
      <c r="C7779" t="s">
        <v>15331</v>
      </c>
      <c r="D7779" t="s">
        <v>32223</v>
      </c>
      <c r="E7779" t="b">
        <v>0</v>
      </c>
      <c r="F7779" t="s">
        <v>11610</v>
      </c>
      <c r="L7779">
        <v>0</v>
      </c>
      <c r="M7779">
        <v>0</v>
      </c>
      <c r="N7779">
        <v>0</v>
      </c>
    </row>
    <row r="7780" spans="1:15">
      <c r="A7780" t="s">
        <v>32224</v>
      </c>
      <c r="B7780" t="s">
        <v>11644</v>
      </c>
      <c r="C7780" t="s">
        <v>32225</v>
      </c>
      <c r="D7780" t="s">
        <v>32226</v>
      </c>
      <c r="E7780" t="b">
        <v>0</v>
      </c>
      <c r="F7780" t="s">
        <v>11610</v>
      </c>
      <c r="L7780">
        <v>0</v>
      </c>
      <c r="M7780">
        <v>0</v>
      </c>
      <c r="N7780">
        <v>0</v>
      </c>
    </row>
    <row r="7781" spans="1:15">
      <c r="A7781" t="s">
        <v>32227</v>
      </c>
      <c r="B7781" t="s">
        <v>11644</v>
      </c>
      <c r="C7781" t="s">
        <v>25939</v>
      </c>
      <c r="D7781" t="s">
        <v>32228</v>
      </c>
      <c r="E7781" t="b">
        <v>0</v>
      </c>
      <c r="F7781" t="s">
        <v>11610</v>
      </c>
      <c r="L7781">
        <v>0</v>
      </c>
      <c r="M7781">
        <v>0</v>
      </c>
      <c r="N7781">
        <v>0</v>
      </c>
    </row>
    <row r="7782" spans="1:15">
      <c r="A7782" t="s">
        <v>32229</v>
      </c>
      <c r="B7782" t="s">
        <v>367</v>
      </c>
      <c r="C7782" t="s">
        <v>12112</v>
      </c>
      <c r="D7782" t="s">
        <v>32230</v>
      </c>
      <c r="E7782" t="b">
        <v>0</v>
      </c>
      <c r="F7782" t="s">
        <v>11624</v>
      </c>
      <c r="G7782">
        <v>-8.3863599999999998</v>
      </c>
      <c r="H7782">
        <v>123.44199999999999</v>
      </c>
      <c r="I7782" t="s">
        <v>32231</v>
      </c>
      <c r="L7782">
        <v>0</v>
      </c>
      <c r="M7782">
        <v>0</v>
      </c>
      <c r="N7782">
        <v>2</v>
      </c>
      <c r="O7782" t="s">
        <v>11768</v>
      </c>
    </row>
    <row r="7783" spans="1:15">
      <c r="A7783" t="s">
        <v>32232</v>
      </c>
      <c r="B7783" t="s">
        <v>367</v>
      </c>
      <c r="C7783" t="s">
        <v>32233</v>
      </c>
      <c r="D7783" t="s">
        <v>32234</v>
      </c>
      <c r="E7783" t="b">
        <v>0</v>
      </c>
      <c r="F7783" t="s">
        <v>11610</v>
      </c>
      <c r="L7783">
        <v>0</v>
      </c>
      <c r="M7783">
        <v>0</v>
      </c>
      <c r="N7783">
        <v>0</v>
      </c>
    </row>
    <row r="7784" spans="1:15">
      <c r="A7784" t="s">
        <v>32235</v>
      </c>
      <c r="B7784" t="s">
        <v>13302</v>
      </c>
      <c r="C7784" t="s">
        <v>28635</v>
      </c>
      <c r="D7784" t="s">
        <v>32236</v>
      </c>
      <c r="E7784" t="b">
        <v>0</v>
      </c>
      <c r="F7784" t="s">
        <v>11610</v>
      </c>
      <c r="L7784">
        <v>0</v>
      </c>
      <c r="M7784">
        <v>0</v>
      </c>
      <c r="N7784">
        <v>0</v>
      </c>
    </row>
    <row r="7785" spans="1:15">
      <c r="A7785" t="s">
        <v>14574</v>
      </c>
      <c r="B7785" t="s">
        <v>367</v>
      </c>
      <c r="C7785" t="s">
        <v>32237</v>
      </c>
      <c r="D7785" t="s">
        <v>32238</v>
      </c>
      <c r="E7785" t="b">
        <v>0</v>
      </c>
      <c r="F7785" t="s">
        <v>11624</v>
      </c>
      <c r="G7785">
        <v>7.3444799999999999</v>
      </c>
      <c r="H7785">
        <v>124.76600000000001</v>
      </c>
      <c r="I7785" t="s">
        <v>32239</v>
      </c>
      <c r="L7785">
        <v>0</v>
      </c>
      <c r="M7785">
        <v>0</v>
      </c>
      <c r="N7785">
        <v>3</v>
      </c>
      <c r="O7785" t="s">
        <v>11749</v>
      </c>
    </row>
    <row r="7786" spans="1:15">
      <c r="A7786" t="s">
        <v>32240</v>
      </c>
      <c r="B7786" t="s">
        <v>331</v>
      </c>
      <c r="C7786" t="s">
        <v>21400</v>
      </c>
      <c r="D7786" t="s">
        <v>32241</v>
      </c>
      <c r="E7786" t="b">
        <v>0</v>
      </c>
      <c r="F7786" t="s">
        <v>11610</v>
      </c>
      <c r="L7786">
        <v>0</v>
      </c>
      <c r="M7786">
        <v>0</v>
      </c>
      <c r="N7786">
        <v>0</v>
      </c>
    </row>
    <row r="7787" spans="1:15">
      <c r="A7787" t="s">
        <v>32242</v>
      </c>
      <c r="B7787" t="s">
        <v>6742</v>
      </c>
      <c r="C7787" t="s">
        <v>20319</v>
      </c>
      <c r="D7787" t="s">
        <v>32243</v>
      </c>
      <c r="E7787" t="b">
        <v>0</v>
      </c>
      <c r="F7787" t="s">
        <v>11610</v>
      </c>
      <c r="L7787">
        <v>0</v>
      </c>
      <c r="M7787">
        <v>0</v>
      </c>
      <c r="N7787">
        <v>0</v>
      </c>
    </row>
    <row r="7788" spans="1:15">
      <c r="A7788" t="s">
        <v>32244</v>
      </c>
      <c r="B7788" t="s">
        <v>367</v>
      </c>
      <c r="C7788" t="s">
        <v>32245</v>
      </c>
      <c r="D7788" t="s">
        <v>32246</v>
      </c>
      <c r="E7788" t="b">
        <v>0</v>
      </c>
      <c r="F7788" t="s">
        <v>11610</v>
      </c>
      <c r="L7788">
        <v>0</v>
      </c>
      <c r="M7788">
        <v>0</v>
      </c>
      <c r="N7788">
        <v>0</v>
      </c>
    </row>
    <row r="7789" spans="1:15">
      <c r="A7789" t="s">
        <v>32247</v>
      </c>
      <c r="B7789" t="s">
        <v>331</v>
      </c>
      <c r="C7789" t="s">
        <v>32248</v>
      </c>
      <c r="D7789" t="s">
        <v>32249</v>
      </c>
      <c r="E7789" t="b">
        <v>0</v>
      </c>
      <c r="F7789" t="s">
        <v>11624</v>
      </c>
      <c r="G7789">
        <v>44.008899999999997</v>
      </c>
      <c r="H7789">
        <v>80.495699999999999</v>
      </c>
      <c r="I7789" t="s">
        <v>32250</v>
      </c>
      <c r="L7789">
        <v>0</v>
      </c>
      <c r="M7789">
        <v>0</v>
      </c>
      <c r="N7789">
        <v>0</v>
      </c>
      <c r="O7789" t="s">
        <v>32251</v>
      </c>
    </row>
    <row r="7790" spans="1:15">
      <c r="A7790" t="s">
        <v>32252</v>
      </c>
      <c r="B7790" t="s">
        <v>12514</v>
      </c>
      <c r="C7790" t="s">
        <v>12514</v>
      </c>
      <c r="D7790" t="s">
        <v>32253</v>
      </c>
      <c r="E7790" t="b">
        <v>0</v>
      </c>
      <c r="F7790" t="s">
        <v>11610</v>
      </c>
      <c r="L7790">
        <v>0</v>
      </c>
      <c r="M7790">
        <v>0</v>
      </c>
      <c r="N7790">
        <v>0</v>
      </c>
    </row>
    <row r="7791" spans="1:15">
      <c r="A7791" t="s">
        <v>27319</v>
      </c>
      <c r="B7791" t="s">
        <v>367</v>
      </c>
      <c r="C7791" t="s">
        <v>32254</v>
      </c>
      <c r="D7791" t="s">
        <v>32255</v>
      </c>
      <c r="E7791" t="b">
        <v>0</v>
      </c>
      <c r="F7791" t="s">
        <v>11624</v>
      </c>
      <c r="G7791">
        <v>-7.8438499999999998</v>
      </c>
      <c r="H7791">
        <v>125.902</v>
      </c>
      <c r="I7791" t="s">
        <v>32256</v>
      </c>
      <c r="L7791">
        <v>0</v>
      </c>
      <c r="M7791">
        <v>0</v>
      </c>
      <c r="N7791">
        <v>8</v>
      </c>
      <c r="O7791" t="s">
        <v>11768</v>
      </c>
    </row>
    <row r="7792" spans="1:15">
      <c r="A7792" t="s">
        <v>32257</v>
      </c>
      <c r="B7792" t="s">
        <v>13276</v>
      </c>
      <c r="C7792" t="s">
        <v>20580</v>
      </c>
      <c r="D7792" t="s">
        <v>32258</v>
      </c>
      <c r="E7792" t="b">
        <v>0</v>
      </c>
      <c r="F7792" t="s">
        <v>11610</v>
      </c>
      <c r="L7792">
        <v>0</v>
      </c>
      <c r="M7792">
        <v>0</v>
      </c>
      <c r="N7792">
        <v>0</v>
      </c>
    </row>
    <row r="7793" spans="1:15">
      <c r="A7793" t="s">
        <v>32259</v>
      </c>
      <c r="B7793" t="s">
        <v>13360</v>
      </c>
      <c r="C7793" t="s">
        <v>13360</v>
      </c>
      <c r="D7793" t="s">
        <v>32260</v>
      </c>
      <c r="E7793" t="b">
        <v>0</v>
      </c>
      <c r="F7793" t="s">
        <v>11624</v>
      </c>
      <c r="G7793">
        <v>43</v>
      </c>
      <c r="H7793">
        <v>18</v>
      </c>
      <c r="I7793" t="s">
        <v>32261</v>
      </c>
      <c r="L7793">
        <v>0</v>
      </c>
      <c r="M7793">
        <v>0</v>
      </c>
      <c r="N7793">
        <v>0</v>
      </c>
      <c r="O7793" t="s">
        <v>12971</v>
      </c>
    </row>
    <row r="7794" spans="1:15">
      <c r="A7794" t="s">
        <v>32262</v>
      </c>
      <c r="B7794" t="s">
        <v>367</v>
      </c>
      <c r="C7794" t="s">
        <v>27319</v>
      </c>
      <c r="D7794" t="s">
        <v>32263</v>
      </c>
      <c r="E7794" t="b">
        <v>0</v>
      </c>
      <c r="F7794" t="s">
        <v>11610</v>
      </c>
      <c r="L7794">
        <v>0</v>
      </c>
      <c r="M7794">
        <v>0</v>
      </c>
      <c r="N7794">
        <v>0</v>
      </c>
    </row>
    <row r="7795" spans="1:15">
      <c r="A7795" t="s">
        <v>32264</v>
      </c>
      <c r="B7795" t="s">
        <v>11637</v>
      </c>
      <c r="C7795" t="s">
        <v>22040</v>
      </c>
      <c r="D7795" t="s">
        <v>32265</v>
      </c>
      <c r="E7795" t="b">
        <v>0</v>
      </c>
      <c r="F7795" t="s">
        <v>11610</v>
      </c>
      <c r="L7795">
        <v>0</v>
      </c>
      <c r="M7795">
        <v>0</v>
      </c>
      <c r="N7795">
        <v>0</v>
      </c>
    </row>
    <row r="7796" spans="1:15">
      <c r="A7796" t="s">
        <v>32266</v>
      </c>
      <c r="B7796" t="s">
        <v>6742</v>
      </c>
      <c r="C7796" t="s">
        <v>26804</v>
      </c>
      <c r="D7796" t="s">
        <v>32267</v>
      </c>
      <c r="E7796" t="b">
        <v>0</v>
      </c>
      <c r="F7796" t="s">
        <v>11610</v>
      </c>
      <c r="L7796">
        <v>0</v>
      </c>
      <c r="M7796">
        <v>0</v>
      </c>
      <c r="N7796">
        <v>0</v>
      </c>
    </row>
    <row r="7797" spans="1:15">
      <c r="A7797" t="s">
        <v>32268</v>
      </c>
      <c r="B7797" t="s">
        <v>367</v>
      </c>
      <c r="C7797" t="s">
        <v>14626</v>
      </c>
      <c r="D7797" t="s">
        <v>32269</v>
      </c>
      <c r="E7797" t="b">
        <v>0</v>
      </c>
      <c r="F7797" t="s">
        <v>11624</v>
      </c>
      <c r="G7797">
        <v>15.9361</v>
      </c>
      <c r="H7797">
        <v>120.99299999999999</v>
      </c>
      <c r="I7797" t="s">
        <v>32270</v>
      </c>
      <c r="L7797">
        <v>0</v>
      </c>
      <c r="M7797">
        <v>0</v>
      </c>
      <c r="N7797">
        <v>0</v>
      </c>
      <c r="O7797" t="s">
        <v>11749</v>
      </c>
    </row>
    <row r="7798" spans="1:15">
      <c r="A7798" t="s">
        <v>11680</v>
      </c>
      <c r="B7798" t="s">
        <v>367</v>
      </c>
      <c r="C7798" t="s">
        <v>32271</v>
      </c>
      <c r="D7798" t="s">
        <v>32272</v>
      </c>
      <c r="E7798" t="b">
        <v>0</v>
      </c>
      <c r="F7798" t="s">
        <v>11624</v>
      </c>
      <c r="G7798">
        <v>16.378499999999999</v>
      </c>
      <c r="H7798">
        <v>121.547</v>
      </c>
      <c r="I7798" t="s">
        <v>32273</v>
      </c>
      <c r="L7798">
        <v>0</v>
      </c>
      <c r="M7798">
        <v>0</v>
      </c>
      <c r="N7798">
        <v>5</v>
      </c>
      <c r="O7798" t="s">
        <v>11749</v>
      </c>
    </row>
    <row r="7799" spans="1:15">
      <c r="A7799" t="s">
        <v>32274</v>
      </c>
      <c r="B7799" t="s">
        <v>11757</v>
      </c>
      <c r="C7799" t="s">
        <v>216</v>
      </c>
      <c r="D7799" t="s">
        <v>32275</v>
      </c>
      <c r="E7799" t="b">
        <v>0</v>
      </c>
      <c r="F7799" t="s">
        <v>11610</v>
      </c>
      <c r="L7799">
        <v>0</v>
      </c>
      <c r="M7799">
        <v>0</v>
      </c>
      <c r="N7799">
        <v>0</v>
      </c>
    </row>
    <row r="7800" spans="1:15">
      <c r="A7800" t="s">
        <v>32276</v>
      </c>
      <c r="B7800" t="s">
        <v>367</v>
      </c>
      <c r="C7800" t="s">
        <v>14698</v>
      </c>
      <c r="D7800" t="s">
        <v>32277</v>
      </c>
      <c r="E7800" t="b">
        <v>0</v>
      </c>
      <c r="F7800" t="s">
        <v>11610</v>
      </c>
      <c r="L7800">
        <v>0</v>
      </c>
      <c r="M7800">
        <v>0</v>
      </c>
      <c r="N7800">
        <v>0</v>
      </c>
    </row>
    <row r="7801" spans="1:15">
      <c r="A7801" t="s">
        <v>32278</v>
      </c>
      <c r="B7801" t="s">
        <v>367</v>
      </c>
      <c r="C7801" t="s">
        <v>14222</v>
      </c>
      <c r="D7801" t="s">
        <v>32279</v>
      </c>
      <c r="E7801" t="b">
        <v>0</v>
      </c>
      <c r="F7801" t="s">
        <v>11610</v>
      </c>
      <c r="L7801">
        <v>0</v>
      </c>
      <c r="M7801">
        <v>0</v>
      </c>
      <c r="N7801">
        <v>0</v>
      </c>
    </row>
    <row r="7802" spans="1:15">
      <c r="A7802" t="s">
        <v>32280</v>
      </c>
      <c r="B7802" t="s">
        <v>367</v>
      </c>
      <c r="C7802" t="s">
        <v>31054</v>
      </c>
      <c r="D7802" t="s">
        <v>32281</v>
      </c>
      <c r="E7802" t="b">
        <v>0</v>
      </c>
      <c r="F7802" t="s">
        <v>11610</v>
      </c>
      <c r="L7802">
        <v>0</v>
      </c>
      <c r="M7802">
        <v>0</v>
      </c>
      <c r="N7802">
        <v>0</v>
      </c>
    </row>
    <row r="7803" spans="1:15">
      <c r="A7803" t="s">
        <v>32282</v>
      </c>
      <c r="B7803" t="s">
        <v>367</v>
      </c>
      <c r="C7803" t="s">
        <v>4370</v>
      </c>
      <c r="D7803" t="s">
        <v>32283</v>
      </c>
      <c r="E7803" t="b">
        <v>0</v>
      </c>
      <c r="F7803" t="s">
        <v>11610</v>
      </c>
      <c r="L7803">
        <v>0</v>
      </c>
      <c r="M7803">
        <v>0</v>
      </c>
      <c r="N7803">
        <v>0</v>
      </c>
    </row>
    <row r="7804" spans="1:15">
      <c r="A7804" t="s">
        <v>32284</v>
      </c>
      <c r="B7804" t="s">
        <v>6742</v>
      </c>
      <c r="C7804" t="s">
        <v>21831</v>
      </c>
      <c r="D7804" t="s">
        <v>32285</v>
      </c>
      <c r="E7804" t="b">
        <v>0</v>
      </c>
      <c r="F7804" t="s">
        <v>11624</v>
      </c>
      <c r="G7804">
        <v>4.7861799999999999</v>
      </c>
      <c r="H7804">
        <v>8.2523599999999995</v>
      </c>
      <c r="I7804" t="s">
        <v>32286</v>
      </c>
      <c r="L7804">
        <v>0</v>
      </c>
      <c r="M7804">
        <v>0</v>
      </c>
      <c r="N7804">
        <v>0</v>
      </c>
      <c r="O7804" t="s">
        <v>11693</v>
      </c>
    </row>
    <row r="7805" spans="1:15">
      <c r="A7805" t="s">
        <v>32287</v>
      </c>
      <c r="B7805" t="s">
        <v>6742</v>
      </c>
      <c r="C7805" t="s">
        <v>32288</v>
      </c>
      <c r="D7805" t="s">
        <v>32289</v>
      </c>
      <c r="E7805" t="b">
        <v>0</v>
      </c>
      <c r="F7805" t="s">
        <v>11624</v>
      </c>
      <c r="G7805">
        <v>-0.66322000000000003</v>
      </c>
      <c r="H7805">
        <v>39.792999999999999</v>
      </c>
      <c r="I7805" t="s">
        <v>32290</v>
      </c>
      <c r="L7805">
        <v>0</v>
      </c>
      <c r="M7805">
        <v>0</v>
      </c>
      <c r="N7805">
        <v>0</v>
      </c>
      <c r="O7805" t="s">
        <v>22848</v>
      </c>
    </row>
    <row r="7806" spans="1:15">
      <c r="A7806" t="s">
        <v>32291</v>
      </c>
      <c r="B7806" t="s">
        <v>367</v>
      </c>
      <c r="C7806" t="s">
        <v>31054</v>
      </c>
      <c r="D7806" t="s">
        <v>32292</v>
      </c>
      <c r="E7806" t="b">
        <v>0</v>
      </c>
      <c r="F7806" t="s">
        <v>11610</v>
      </c>
      <c r="L7806">
        <v>0</v>
      </c>
      <c r="M7806">
        <v>0</v>
      </c>
      <c r="N7806">
        <v>0</v>
      </c>
    </row>
    <row r="7807" spans="1:15">
      <c r="A7807" t="s">
        <v>32293</v>
      </c>
      <c r="B7807" t="s">
        <v>367</v>
      </c>
      <c r="C7807" t="s">
        <v>26173</v>
      </c>
      <c r="D7807" t="s">
        <v>32294</v>
      </c>
      <c r="E7807" t="b">
        <v>0</v>
      </c>
      <c r="F7807" t="s">
        <v>11610</v>
      </c>
      <c r="L7807">
        <v>0</v>
      </c>
      <c r="M7807">
        <v>0</v>
      </c>
      <c r="N7807">
        <v>0</v>
      </c>
    </row>
    <row r="7808" spans="1:15">
      <c r="A7808" t="s">
        <v>32295</v>
      </c>
      <c r="B7808" t="s">
        <v>12686</v>
      </c>
      <c r="C7808" t="s">
        <v>13964</v>
      </c>
      <c r="D7808" t="s">
        <v>32296</v>
      </c>
      <c r="E7808" t="b">
        <v>0</v>
      </c>
      <c r="F7808" t="s">
        <v>11610</v>
      </c>
      <c r="L7808">
        <v>0</v>
      </c>
      <c r="M7808">
        <v>0</v>
      </c>
      <c r="N7808">
        <v>0</v>
      </c>
    </row>
    <row r="7809" spans="1:15">
      <c r="A7809" t="s">
        <v>32297</v>
      </c>
      <c r="B7809" t="s">
        <v>13360</v>
      </c>
      <c r="C7809" t="s">
        <v>13360</v>
      </c>
      <c r="D7809" t="s">
        <v>32298</v>
      </c>
      <c r="E7809" t="b">
        <v>0</v>
      </c>
      <c r="F7809" t="s">
        <v>11624</v>
      </c>
      <c r="L7809">
        <v>0</v>
      </c>
      <c r="M7809">
        <v>0</v>
      </c>
      <c r="N7809">
        <v>0</v>
      </c>
      <c r="O7809" t="s">
        <v>14946</v>
      </c>
    </row>
    <row r="7810" spans="1:15">
      <c r="A7810" t="s">
        <v>32299</v>
      </c>
      <c r="B7810" t="s">
        <v>6742</v>
      </c>
      <c r="C7810" t="s">
        <v>28990</v>
      </c>
      <c r="D7810" t="s">
        <v>32300</v>
      </c>
      <c r="E7810" t="b">
        <v>0</v>
      </c>
      <c r="F7810" t="s">
        <v>11610</v>
      </c>
      <c r="L7810">
        <v>0</v>
      </c>
      <c r="M7810">
        <v>0</v>
      </c>
      <c r="N7810">
        <v>0</v>
      </c>
    </row>
    <row r="7811" spans="1:15">
      <c r="A7811" t="s">
        <v>32301</v>
      </c>
      <c r="B7811" t="s">
        <v>141</v>
      </c>
      <c r="C7811" t="s">
        <v>21043</v>
      </c>
      <c r="D7811" t="s">
        <v>32302</v>
      </c>
      <c r="E7811" t="b">
        <v>0</v>
      </c>
      <c r="F7811" t="s">
        <v>11624</v>
      </c>
      <c r="G7811">
        <v>0.31775999999999999</v>
      </c>
      <c r="H7811">
        <v>-78.372900000000001</v>
      </c>
      <c r="I7811" t="s">
        <v>32303</v>
      </c>
      <c r="L7811">
        <v>0</v>
      </c>
      <c r="M7811">
        <v>0</v>
      </c>
      <c r="N7811">
        <v>0</v>
      </c>
      <c r="O7811" t="s">
        <v>14946</v>
      </c>
    </row>
    <row r="7812" spans="1:15">
      <c r="A7812" t="s">
        <v>15291</v>
      </c>
      <c r="B7812" t="s">
        <v>11615</v>
      </c>
      <c r="C7812" t="s">
        <v>8696</v>
      </c>
      <c r="D7812" t="s">
        <v>32304</v>
      </c>
      <c r="E7812" t="b">
        <v>0</v>
      </c>
      <c r="F7812" t="s">
        <v>11624</v>
      </c>
      <c r="G7812">
        <v>-6.1362899999999998</v>
      </c>
      <c r="H7812">
        <v>144.02600000000001</v>
      </c>
      <c r="I7812" t="s">
        <v>32305</v>
      </c>
      <c r="L7812">
        <v>0</v>
      </c>
      <c r="M7812">
        <v>0</v>
      </c>
      <c r="N7812">
        <v>1</v>
      </c>
      <c r="O7812" t="s">
        <v>11660</v>
      </c>
    </row>
    <row r="7813" spans="1:15">
      <c r="A7813" t="s">
        <v>32306</v>
      </c>
      <c r="B7813" t="s">
        <v>6742</v>
      </c>
      <c r="C7813" t="s">
        <v>32046</v>
      </c>
      <c r="D7813" t="s">
        <v>32307</v>
      </c>
      <c r="E7813" t="b">
        <v>0</v>
      </c>
      <c r="F7813" t="s">
        <v>11610</v>
      </c>
      <c r="L7813">
        <v>0</v>
      </c>
      <c r="M7813">
        <v>0</v>
      </c>
      <c r="N7813">
        <v>0</v>
      </c>
    </row>
    <row r="7814" spans="1:15">
      <c r="A7814" t="s">
        <v>32308</v>
      </c>
      <c r="B7814" t="s">
        <v>11627</v>
      </c>
      <c r="C7814" t="s">
        <v>11627</v>
      </c>
      <c r="D7814" t="s">
        <v>32309</v>
      </c>
      <c r="E7814" t="b">
        <v>1</v>
      </c>
      <c r="F7814" t="s">
        <v>11624</v>
      </c>
      <c r="G7814">
        <v>18.37331</v>
      </c>
      <c r="H7814">
        <v>-16.347259999999999</v>
      </c>
      <c r="I7814" t="s">
        <v>32310</v>
      </c>
      <c r="L7814">
        <v>0</v>
      </c>
      <c r="M7814">
        <v>0</v>
      </c>
      <c r="N7814">
        <v>0</v>
      </c>
      <c r="O7814" t="s">
        <v>32311</v>
      </c>
    </row>
    <row r="7815" spans="1:15">
      <c r="A7815" t="s">
        <v>32312</v>
      </c>
      <c r="B7815" t="s">
        <v>12148</v>
      </c>
      <c r="C7815" t="s">
        <v>61</v>
      </c>
      <c r="D7815" t="s">
        <v>32313</v>
      </c>
      <c r="E7815" t="b">
        <v>0</v>
      </c>
      <c r="F7815" t="s">
        <v>11610</v>
      </c>
      <c r="L7815">
        <v>0</v>
      </c>
      <c r="M7815">
        <v>0</v>
      </c>
      <c r="N7815">
        <v>0</v>
      </c>
    </row>
    <row r="7816" spans="1:15">
      <c r="A7816" t="s">
        <v>32314</v>
      </c>
      <c r="B7816" t="s">
        <v>12148</v>
      </c>
      <c r="C7816" t="s">
        <v>61</v>
      </c>
      <c r="D7816" t="s">
        <v>32315</v>
      </c>
      <c r="E7816" t="b">
        <v>0</v>
      </c>
      <c r="F7816" t="s">
        <v>11610</v>
      </c>
      <c r="L7816">
        <v>0</v>
      </c>
      <c r="M7816">
        <v>0</v>
      </c>
      <c r="N7816">
        <v>0</v>
      </c>
    </row>
    <row r="7817" spans="1:15">
      <c r="A7817" t="s">
        <v>32316</v>
      </c>
      <c r="B7817" t="s">
        <v>12148</v>
      </c>
      <c r="C7817" t="s">
        <v>61</v>
      </c>
      <c r="D7817" t="s">
        <v>32317</v>
      </c>
      <c r="E7817" t="b">
        <v>0</v>
      </c>
      <c r="F7817" t="s">
        <v>11610</v>
      </c>
      <c r="L7817">
        <v>0</v>
      </c>
      <c r="M7817">
        <v>0</v>
      </c>
      <c r="N7817">
        <v>0</v>
      </c>
    </row>
    <row r="7818" spans="1:15">
      <c r="A7818" t="s">
        <v>32318</v>
      </c>
      <c r="B7818" t="s">
        <v>6742</v>
      </c>
      <c r="C7818" t="s">
        <v>32319</v>
      </c>
      <c r="D7818" t="s">
        <v>32320</v>
      </c>
      <c r="E7818" t="b">
        <v>0</v>
      </c>
      <c r="F7818" t="s">
        <v>11610</v>
      </c>
      <c r="L7818">
        <v>0</v>
      </c>
      <c r="M7818">
        <v>0</v>
      </c>
      <c r="N7818">
        <v>0</v>
      </c>
    </row>
    <row r="7819" spans="1:15">
      <c r="A7819" t="s">
        <v>32321</v>
      </c>
      <c r="B7819" t="s">
        <v>13518</v>
      </c>
      <c r="C7819" t="s">
        <v>13519</v>
      </c>
      <c r="D7819" t="s">
        <v>32322</v>
      </c>
      <c r="E7819" t="b">
        <v>0</v>
      </c>
      <c r="F7819" t="s">
        <v>11610</v>
      </c>
      <c r="L7819">
        <v>0</v>
      </c>
      <c r="M7819">
        <v>0</v>
      </c>
      <c r="N7819">
        <v>0</v>
      </c>
    </row>
    <row r="7820" spans="1:15">
      <c r="A7820" t="s">
        <v>32323</v>
      </c>
      <c r="B7820" t="s">
        <v>6742</v>
      </c>
      <c r="C7820" t="s">
        <v>15272</v>
      </c>
      <c r="D7820" t="s">
        <v>32324</v>
      </c>
      <c r="E7820" t="b">
        <v>0</v>
      </c>
      <c r="F7820" t="s">
        <v>11610</v>
      </c>
      <c r="L7820">
        <v>0</v>
      </c>
      <c r="M7820">
        <v>0</v>
      </c>
      <c r="N7820">
        <v>0</v>
      </c>
    </row>
    <row r="7821" spans="1:15">
      <c r="A7821" t="s">
        <v>32325</v>
      </c>
      <c r="B7821" t="s">
        <v>6742</v>
      </c>
      <c r="C7821" t="s">
        <v>12589</v>
      </c>
      <c r="D7821" t="s">
        <v>32326</v>
      </c>
      <c r="E7821" t="b">
        <v>0</v>
      </c>
      <c r="F7821" t="s">
        <v>11610</v>
      </c>
      <c r="L7821">
        <v>0</v>
      </c>
      <c r="M7821">
        <v>0</v>
      </c>
      <c r="N7821">
        <v>0</v>
      </c>
    </row>
    <row r="7822" spans="1:15">
      <c r="A7822" t="s">
        <v>32327</v>
      </c>
      <c r="B7822" t="s">
        <v>6742</v>
      </c>
      <c r="C7822" t="s">
        <v>32328</v>
      </c>
      <c r="D7822" t="s">
        <v>32329</v>
      </c>
      <c r="E7822" t="b">
        <v>0</v>
      </c>
      <c r="F7822" t="s">
        <v>11610</v>
      </c>
      <c r="L7822">
        <v>0</v>
      </c>
      <c r="M7822">
        <v>0</v>
      </c>
      <c r="N7822">
        <v>0</v>
      </c>
    </row>
    <row r="7823" spans="1:15">
      <c r="A7823" t="s">
        <v>32330</v>
      </c>
      <c r="B7823" t="s">
        <v>12532</v>
      </c>
      <c r="C7823" t="s">
        <v>15214</v>
      </c>
      <c r="D7823" t="s">
        <v>32331</v>
      </c>
      <c r="E7823" t="b">
        <v>0</v>
      </c>
      <c r="F7823" t="s">
        <v>11624</v>
      </c>
      <c r="G7823">
        <v>-3.3122799999999999</v>
      </c>
      <c r="H7823">
        <v>141.17099999999999</v>
      </c>
      <c r="I7823" t="s">
        <v>32332</v>
      </c>
      <c r="L7823">
        <v>0</v>
      </c>
      <c r="M7823">
        <v>0</v>
      </c>
      <c r="N7823">
        <v>0</v>
      </c>
      <c r="O7823" t="s">
        <v>11660</v>
      </c>
    </row>
    <row r="7824" spans="1:15">
      <c r="A7824" t="s">
        <v>32333</v>
      </c>
      <c r="B7824" t="s">
        <v>11637</v>
      </c>
      <c r="C7824" t="s">
        <v>32334</v>
      </c>
      <c r="D7824" t="s">
        <v>32335</v>
      </c>
      <c r="E7824" t="b">
        <v>0</v>
      </c>
      <c r="F7824" t="s">
        <v>11622</v>
      </c>
      <c r="L7824">
        <v>45</v>
      </c>
      <c r="M7824">
        <v>81</v>
      </c>
      <c r="N7824">
        <v>254</v>
      </c>
    </row>
    <row r="7825" spans="1:15">
      <c r="A7825" t="s">
        <v>32336</v>
      </c>
      <c r="B7825" t="s">
        <v>367</v>
      </c>
      <c r="C7825" t="s">
        <v>27157</v>
      </c>
      <c r="D7825" t="s">
        <v>32337</v>
      </c>
      <c r="E7825" t="b">
        <v>0</v>
      </c>
      <c r="F7825" t="s">
        <v>11624</v>
      </c>
      <c r="G7825">
        <v>-7.9677199999999999</v>
      </c>
      <c r="H7825">
        <v>129.65100000000001</v>
      </c>
      <c r="I7825" t="s">
        <v>32338</v>
      </c>
      <c r="L7825">
        <v>0</v>
      </c>
      <c r="M7825">
        <v>0</v>
      </c>
      <c r="N7825">
        <v>0</v>
      </c>
      <c r="O7825" t="s">
        <v>11768</v>
      </c>
    </row>
    <row r="7826" spans="1:15">
      <c r="A7826" t="s">
        <v>32339</v>
      </c>
      <c r="B7826" t="s">
        <v>367</v>
      </c>
      <c r="C7826" t="s">
        <v>32340</v>
      </c>
      <c r="D7826" t="s">
        <v>32341</v>
      </c>
      <c r="E7826" t="b">
        <v>0</v>
      </c>
      <c r="F7826" t="s">
        <v>11610</v>
      </c>
      <c r="L7826">
        <v>0</v>
      </c>
      <c r="M7826">
        <v>0</v>
      </c>
      <c r="N7826">
        <v>0</v>
      </c>
    </row>
    <row r="7827" spans="1:15">
      <c r="A7827" t="s">
        <v>32342</v>
      </c>
      <c r="B7827" t="s">
        <v>13450</v>
      </c>
      <c r="C7827" t="s">
        <v>32343</v>
      </c>
      <c r="D7827" t="s">
        <v>32344</v>
      </c>
      <c r="E7827" t="b">
        <v>0</v>
      </c>
      <c r="F7827" t="s">
        <v>11624</v>
      </c>
      <c r="G7827">
        <v>-8.0752799999999993</v>
      </c>
      <c r="H7827">
        <v>146.56504899999999</v>
      </c>
      <c r="L7827">
        <v>0</v>
      </c>
      <c r="M7827">
        <v>0</v>
      </c>
      <c r="N7827">
        <v>0</v>
      </c>
      <c r="O7827" t="s">
        <v>11660</v>
      </c>
    </row>
    <row r="7828" spans="1:15">
      <c r="A7828" t="s">
        <v>32345</v>
      </c>
      <c r="B7828" t="s">
        <v>27929</v>
      </c>
      <c r="C7828" t="s">
        <v>27930</v>
      </c>
      <c r="D7828" t="s">
        <v>32346</v>
      </c>
      <c r="E7828" t="b">
        <v>0</v>
      </c>
      <c r="F7828" t="s">
        <v>11610</v>
      </c>
      <c r="L7828">
        <v>0</v>
      </c>
      <c r="M7828">
        <v>0</v>
      </c>
      <c r="N7828">
        <v>0</v>
      </c>
    </row>
    <row r="7829" spans="1:15">
      <c r="A7829" t="s">
        <v>32347</v>
      </c>
      <c r="B7829" t="s">
        <v>367</v>
      </c>
      <c r="C7829" t="s">
        <v>32348</v>
      </c>
      <c r="D7829" t="s">
        <v>32349</v>
      </c>
      <c r="E7829" t="b">
        <v>0</v>
      </c>
      <c r="F7829" t="s">
        <v>11624</v>
      </c>
      <c r="G7829">
        <v>12.426399999999999</v>
      </c>
      <c r="H7829">
        <v>124.166</v>
      </c>
      <c r="I7829" t="s">
        <v>32350</v>
      </c>
      <c r="L7829">
        <v>0</v>
      </c>
      <c r="M7829">
        <v>0</v>
      </c>
      <c r="N7829">
        <v>0</v>
      </c>
      <c r="O7829" t="s">
        <v>11749</v>
      </c>
    </row>
    <row r="7830" spans="1:15">
      <c r="A7830" t="s">
        <v>32351</v>
      </c>
      <c r="B7830" t="s">
        <v>367</v>
      </c>
      <c r="C7830" t="s">
        <v>18544</v>
      </c>
      <c r="D7830" t="s">
        <v>32352</v>
      </c>
      <c r="E7830" t="b">
        <v>0</v>
      </c>
      <c r="F7830" t="s">
        <v>11622</v>
      </c>
      <c r="L7830">
        <v>0</v>
      </c>
      <c r="M7830">
        <v>3</v>
      </c>
      <c r="N7830">
        <v>0</v>
      </c>
    </row>
    <row r="7831" spans="1:15">
      <c r="A7831" t="s">
        <v>25598</v>
      </c>
      <c r="D7831" t="s">
        <v>32353</v>
      </c>
      <c r="E7831" t="b">
        <v>0</v>
      </c>
      <c r="F7831" t="s">
        <v>11622</v>
      </c>
      <c r="L7831">
        <v>0</v>
      </c>
      <c r="M7831">
        <v>2</v>
      </c>
      <c r="N7831">
        <v>0</v>
      </c>
    </row>
    <row r="7832" spans="1:15">
      <c r="A7832" t="s">
        <v>32354</v>
      </c>
      <c r="B7832" t="s">
        <v>11871</v>
      </c>
      <c r="C7832" t="s">
        <v>12827</v>
      </c>
      <c r="D7832" t="s">
        <v>32355</v>
      </c>
      <c r="E7832" t="b">
        <v>0</v>
      </c>
      <c r="F7832" t="s">
        <v>11624</v>
      </c>
      <c r="G7832">
        <v>-4.6761400000000002</v>
      </c>
      <c r="H7832">
        <v>144.9</v>
      </c>
      <c r="I7832" t="s">
        <v>32356</v>
      </c>
      <c r="L7832">
        <v>0</v>
      </c>
      <c r="M7832">
        <v>0</v>
      </c>
      <c r="N7832">
        <v>0</v>
      </c>
      <c r="O7832" t="s">
        <v>11660</v>
      </c>
    </row>
    <row r="7833" spans="1:15">
      <c r="A7833" t="s">
        <v>32357</v>
      </c>
      <c r="B7833" t="s">
        <v>11894</v>
      </c>
      <c r="C7833" t="s">
        <v>14219</v>
      </c>
      <c r="D7833" t="s">
        <v>32358</v>
      </c>
      <c r="E7833" t="b">
        <v>0</v>
      </c>
      <c r="F7833" t="s">
        <v>11622</v>
      </c>
      <c r="L7833">
        <v>0</v>
      </c>
      <c r="M7833">
        <v>2</v>
      </c>
      <c r="N7833">
        <v>0</v>
      </c>
    </row>
    <row r="7834" spans="1:15">
      <c r="A7834" t="s">
        <v>32359</v>
      </c>
      <c r="B7834" t="s">
        <v>11894</v>
      </c>
      <c r="C7834" t="s">
        <v>32357</v>
      </c>
      <c r="D7834" t="s">
        <v>32360</v>
      </c>
      <c r="E7834" t="b">
        <v>0</v>
      </c>
      <c r="F7834" t="s">
        <v>11624</v>
      </c>
      <c r="G7834">
        <v>-12.465299999999999</v>
      </c>
      <c r="H7834">
        <v>-69.308300000000003</v>
      </c>
      <c r="I7834" t="s">
        <v>32361</v>
      </c>
      <c r="L7834">
        <v>0</v>
      </c>
      <c r="M7834">
        <v>0</v>
      </c>
      <c r="N7834">
        <v>0</v>
      </c>
      <c r="O7834" t="s">
        <v>11778</v>
      </c>
    </row>
    <row r="7835" spans="1:15">
      <c r="A7835" t="s">
        <v>32362</v>
      </c>
      <c r="B7835" t="s">
        <v>12260</v>
      </c>
      <c r="C7835" t="s">
        <v>12758</v>
      </c>
      <c r="D7835" t="s">
        <v>32363</v>
      </c>
      <c r="E7835" t="b">
        <v>0</v>
      </c>
      <c r="F7835" t="s">
        <v>11624</v>
      </c>
      <c r="G7835">
        <v>69.422899999999998</v>
      </c>
      <c r="H7835">
        <v>27.8658</v>
      </c>
      <c r="I7835" t="s">
        <v>32364</v>
      </c>
      <c r="L7835">
        <v>0</v>
      </c>
      <c r="M7835">
        <v>0</v>
      </c>
      <c r="N7835">
        <v>0</v>
      </c>
      <c r="O7835" t="s">
        <v>32365</v>
      </c>
    </row>
    <row r="7836" spans="1:15">
      <c r="A7836" t="s">
        <v>32366</v>
      </c>
      <c r="B7836" t="s">
        <v>14398</v>
      </c>
      <c r="C7836" t="s">
        <v>19360</v>
      </c>
      <c r="D7836" t="s">
        <v>32367</v>
      </c>
      <c r="E7836" t="b">
        <v>0</v>
      </c>
      <c r="F7836" t="s">
        <v>11610</v>
      </c>
      <c r="L7836">
        <v>0</v>
      </c>
      <c r="M7836">
        <v>0</v>
      </c>
      <c r="N7836">
        <v>0</v>
      </c>
    </row>
    <row r="7837" spans="1:15">
      <c r="A7837" t="s">
        <v>32368</v>
      </c>
      <c r="B7837" t="s">
        <v>141</v>
      </c>
      <c r="C7837" t="s">
        <v>21040</v>
      </c>
      <c r="D7837" t="s">
        <v>32369</v>
      </c>
      <c r="E7837" t="b">
        <v>0</v>
      </c>
      <c r="F7837" t="s">
        <v>11610</v>
      </c>
      <c r="L7837">
        <v>0</v>
      </c>
      <c r="M7837">
        <v>0</v>
      </c>
      <c r="N7837">
        <v>0</v>
      </c>
    </row>
    <row r="7838" spans="1:15">
      <c r="A7838" t="s">
        <v>32370</v>
      </c>
      <c r="B7838" t="s">
        <v>6742</v>
      </c>
      <c r="C7838" t="s">
        <v>11737</v>
      </c>
      <c r="D7838" t="s">
        <v>32371</v>
      </c>
      <c r="E7838" t="b">
        <v>0</v>
      </c>
      <c r="F7838" t="s">
        <v>11610</v>
      </c>
      <c r="L7838">
        <v>0</v>
      </c>
      <c r="M7838">
        <v>0</v>
      </c>
      <c r="N7838">
        <v>0</v>
      </c>
    </row>
    <row r="7839" spans="1:15">
      <c r="A7839" t="s">
        <v>32372</v>
      </c>
      <c r="B7839" t="s">
        <v>367</v>
      </c>
      <c r="C7839" t="s">
        <v>23710</v>
      </c>
      <c r="D7839" t="s">
        <v>32373</v>
      </c>
      <c r="E7839" t="b">
        <v>0</v>
      </c>
      <c r="F7839" t="s">
        <v>11610</v>
      </c>
      <c r="L7839">
        <v>0</v>
      </c>
      <c r="M7839">
        <v>0</v>
      </c>
      <c r="N7839">
        <v>0</v>
      </c>
    </row>
    <row r="7840" spans="1:15">
      <c r="A7840" t="s">
        <v>16705</v>
      </c>
      <c r="B7840" t="s">
        <v>11981</v>
      </c>
      <c r="C7840" t="s">
        <v>32374</v>
      </c>
      <c r="D7840" t="s">
        <v>32375</v>
      </c>
      <c r="E7840" t="b">
        <v>0</v>
      </c>
      <c r="F7840" t="s">
        <v>11624</v>
      </c>
      <c r="G7840">
        <v>27.518599999999999</v>
      </c>
      <c r="H7840">
        <v>79.678700000000006</v>
      </c>
      <c r="I7840" t="s">
        <v>32376</v>
      </c>
      <c r="L7840">
        <v>0</v>
      </c>
      <c r="M7840">
        <v>0</v>
      </c>
      <c r="N7840">
        <v>6</v>
      </c>
      <c r="O7840" t="s">
        <v>30035</v>
      </c>
    </row>
    <row r="7841" spans="1:15">
      <c r="A7841" t="s">
        <v>294</v>
      </c>
      <c r="B7841" t="s">
        <v>11637</v>
      </c>
      <c r="C7841" t="s">
        <v>180</v>
      </c>
      <c r="D7841" t="s">
        <v>32377</v>
      </c>
      <c r="E7841" t="b">
        <v>0</v>
      </c>
      <c r="F7841" t="s">
        <v>11610</v>
      </c>
      <c r="L7841">
        <v>0</v>
      </c>
      <c r="M7841">
        <v>0</v>
      </c>
      <c r="N7841">
        <v>0</v>
      </c>
    </row>
    <row r="7842" spans="1:15">
      <c r="A7842" t="s">
        <v>32378</v>
      </c>
      <c r="B7842" t="s">
        <v>11844</v>
      </c>
      <c r="C7842" t="s">
        <v>15350</v>
      </c>
      <c r="D7842" t="s">
        <v>32379</v>
      </c>
      <c r="E7842" t="b">
        <v>0</v>
      </c>
      <c r="F7842" t="s">
        <v>11610</v>
      </c>
      <c r="L7842">
        <v>0</v>
      </c>
      <c r="M7842">
        <v>0</v>
      </c>
      <c r="N7842">
        <v>0</v>
      </c>
    </row>
    <row r="7843" spans="1:15">
      <c r="A7843" t="s">
        <v>32380</v>
      </c>
      <c r="B7843" t="s">
        <v>12686</v>
      </c>
      <c r="C7843" t="s">
        <v>32381</v>
      </c>
      <c r="D7843" t="s">
        <v>32382</v>
      </c>
      <c r="E7843" t="b">
        <v>0</v>
      </c>
      <c r="F7843" t="s">
        <v>11610</v>
      </c>
      <c r="L7843">
        <v>0</v>
      </c>
      <c r="M7843">
        <v>0</v>
      </c>
      <c r="N7843">
        <v>0</v>
      </c>
    </row>
    <row r="7844" spans="1:15">
      <c r="A7844" t="s">
        <v>32383</v>
      </c>
      <c r="B7844" t="s">
        <v>11981</v>
      </c>
      <c r="C7844" t="s">
        <v>32384</v>
      </c>
      <c r="D7844" t="s">
        <v>32385</v>
      </c>
      <c r="E7844" t="b">
        <v>0</v>
      </c>
      <c r="F7844" t="s">
        <v>11624</v>
      </c>
      <c r="G7844">
        <v>-7.9080000000000004</v>
      </c>
      <c r="H7844">
        <v>112.378</v>
      </c>
      <c r="I7844" t="s">
        <v>32386</v>
      </c>
      <c r="L7844">
        <v>0</v>
      </c>
      <c r="M7844">
        <v>0</v>
      </c>
      <c r="N7844">
        <v>0</v>
      </c>
      <c r="O7844" t="s">
        <v>11768</v>
      </c>
    </row>
    <row r="7845" spans="1:15">
      <c r="A7845" t="s">
        <v>21361</v>
      </c>
      <c r="B7845" t="s">
        <v>11637</v>
      </c>
      <c r="C7845" t="s">
        <v>18494</v>
      </c>
      <c r="D7845" t="s">
        <v>32387</v>
      </c>
      <c r="E7845" t="b">
        <v>0</v>
      </c>
      <c r="F7845" t="s">
        <v>11622</v>
      </c>
      <c r="L7845">
        <v>8</v>
      </c>
      <c r="M7845">
        <v>22</v>
      </c>
      <c r="N7845">
        <v>62</v>
      </c>
    </row>
    <row r="7846" spans="1:15">
      <c r="A7846" t="s">
        <v>25113</v>
      </c>
      <c r="B7846" t="s">
        <v>11637</v>
      </c>
      <c r="C7846" t="s">
        <v>22228</v>
      </c>
      <c r="D7846" t="s">
        <v>32388</v>
      </c>
      <c r="E7846" t="b">
        <v>0</v>
      </c>
      <c r="F7846" t="s">
        <v>11622</v>
      </c>
      <c r="I7846" t="s">
        <v>32389</v>
      </c>
      <c r="L7846">
        <v>0</v>
      </c>
      <c r="M7846">
        <v>2</v>
      </c>
      <c r="N7846">
        <v>7</v>
      </c>
      <c r="O7846" t="s">
        <v>11630</v>
      </c>
    </row>
    <row r="7847" spans="1:15">
      <c r="A7847" t="s">
        <v>119</v>
      </c>
      <c r="B7847" t="s">
        <v>367</v>
      </c>
      <c r="C7847" t="s">
        <v>16294</v>
      </c>
      <c r="D7847" t="s">
        <v>32390</v>
      </c>
      <c r="E7847" t="b">
        <v>0</v>
      </c>
      <c r="F7847" t="s">
        <v>11624</v>
      </c>
      <c r="G7847">
        <v>-7.3345799999999999</v>
      </c>
      <c r="H7847">
        <v>109.71599999999999</v>
      </c>
      <c r="I7847" t="s">
        <v>120</v>
      </c>
      <c r="L7847">
        <v>0</v>
      </c>
      <c r="M7847">
        <v>0</v>
      </c>
      <c r="N7847">
        <v>2</v>
      </c>
      <c r="O7847" t="s">
        <v>32391</v>
      </c>
    </row>
    <row r="7848" spans="1:15">
      <c r="A7848" t="s">
        <v>5449</v>
      </c>
      <c r="B7848" t="s">
        <v>367</v>
      </c>
      <c r="C7848" t="s">
        <v>19617</v>
      </c>
      <c r="D7848" t="s">
        <v>32392</v>
      </c>
      <c r="E7848" t="b">
        <v>0</v>
      </c>
      <c r="F7848" t="s">
        <v>11624</v>
      </c>
      <c r="G7848">
        <v>-3.6866400000000001</v>
      </c>
      <c r="H7848">
        <v>122.253</v>
      </c>
      <c r="I7848" t="s">
        <v>5450</v>
      </c>
      <c r="L7848">
        <v>0</v>
      </c>
      <c r="M7848">
        <v>0</v>
      </c>
      <c r="N7848">
        <v>11</v>
      </c>
      <c r="O7848" t="s">
        <v>11768</v>
      </c>
    </row>
    <row r="7849" spans="1:15">
      <c r="A7849" t="s">
        <v>11637</v>
      </c>
      <c r="D7849" t="s">
        <v>32393</v>
      </c>
      <c r="E7849" t="b">
        <v>0</v>
      </c>
      <c r="F7849" t="s">
        <v>11622</v>
      </c>
      <c r="L7849">
        <v>320</v>
      </c>
      <c r="M7849">
        <v>588</v>
      </c>
      <c r="N7849">
        <v>1762</v>
      </c>
    </row>
    <row r="7850" spans="1:15">
      <c r="A7850" t="s">
        <v>185</v>
      </c>
      <c r="B7850" t="s">
        <v>11637</v>
      </c>
      <c r="C7850" t="s">
        <v>11637</v>
      </c>
      <c r="D7850" t="s">
        <v>32394</v>
      </c>
      <c r="E7850" t="b">
        <v>0</v>
      </c>
      <c r="F7850" t="s">
        <v>11622</v>
      </c>
      <c r="L7850">
        <v>150</v>
      </c>
      <c r="M7850">
        <v>324</v>
      </c>
      <c r="N7850">
        <v>832</v>
      </c>
    </row>
    <row r="7851" spans="1:15">
      <c r="A7851" t="s">
        <v>18494</v>
      </c>
      <c r="B7851" t="s">
        <v>11637</v>
      </c>
      <c r="C7851" t="s">
        <v>185</v>
      </c>
      <c r="D7851" t="s">
        <v>32395</v>
      </c>
      <c r="E7851" t="b">
        <v>0</v>
      </c>
      <c r="F7851" t="s">
        <v>11622</v>
      </c>
      <c r="L7851">
        <v>93</v>
      </c>
      <c r="M7851">
        <v>223</v>
      </c>
      <c r="N7851">
        <v>607</v>
      </c>
    </row>
    <row r="7852" spans="1:15">
      <c r="A7852" t="s">
        <v>25170</v>
      </c>
      <c r="B7852" t="s">
        <v>11637</v>
      </c>
      <c r="C7852" t="s">
        <v>18494</v>
      </c>
      <c r="D7852" t="s">
        <v>32396</v>
      </c>
      <c r="E7852" t="b">
        <v>0</v>
      </c>
      <c r="F7852" t="s">
        <v>11622</v>
      </c>
      <c r="L7852">
        <v>25</v>
      </c>
      <c r="M7852">
        <v>84</v>
      </c>
      <c r="N7852">
        <v>272</v>
      </c>
    </row>
    <row r="7853" spans="1:15">
      <c r="A7853" t="s">
        <v>30621</v>
      </c>
      <c r="B7853" t="s">
        <v>11637</v>
      </c>
      <c r="C7853" t="s">
        <v>18494</v>
      </c>
      <c r="D7853" t="s">
        <v>32397</v>
      </c>
      <c r="E7853" t="b">
        <v>0</v>
      </c>
      <c r="F7853" t="s">
        <v>11622</v>
      </c>
      <c r="L7853">
        <v>11</v>
      </c>
      <c r="M7853">
        <v>28</v>
      </c>
      <c r="N7853">
        <v>37</v>
      </c>
    </row>
    <row r="7854" spans="1:15">
      <c r="A7854" t="s">
        <v>22744</v>
      </c>
      <c r="B7854" t="s">
        <v>11637</v>
      </c>
      <c r="C7854" t="s">
        <v>18494</v>
      </c>
      <c r="D7854" t="s">
        <v>32398</v>
      </c>
      <c r="E7854" t="b">
        <v>0</v>
      </c>
      <c r="F7854" t="s">
        <v>11622</v>
      </c>
      <c r="L7854">
        <v>24</v>
      </c>
      <c r="M7854">
        <v>47</v>
      </c>
      <c r="N7854">
        <v>125</v>
      </c>
    </row>
    <row r="7855" spans="1:15">
      <c r="A7855" t="s">
        <v>32399</v>
      </c>
      <c r="B7855" t="s">
        <v>11637</v>
      </c>
      <c r="C7855" t="s">
        <v>18494</v>
      </c>
      <c r="D7855" t="s">
        <v>32400</v>
      </c>
      <c r="E7855" t="b">
        <v>0</v>
      </c>
      <c r="F7855" t="s">
        <v>11622</v>
      </c>
      <c r="L7855">
        <v>3</v>
      </c>
      <c r="M7855">
        <v>12</v>
      </c>
      <c r="N7855">
        <v>43</v>
      </c>
    </row>
    <row r="7856" spans="1:15">
      <c r="A7856" t="s">
        <v>16294</v>
      </c>
      <c r="B7856" t="s">
        <v>367</v>
      </c>
      <c r="C7856" t="s">
        <v>18177</v>
      </c>
      <c r="D7856" t="s">
        <v>32401</v>
      </c>
      <c r="E7856" t="b">
        <v>0</v>
      </c>
      <c r="F7856" t="s">
        <v>11622</v>
      </c>
      <c r="L7856">
        <v>1</v>
      </c>
      <c r="M7856">
        <v>9</v>
      </c>
      <c r="N7856">
        <v>16</v>
      </c>
    </row>
    <row r="7857" spans="1:15">
      <c r="A7857" t="s">
        <v>32402</v>
      </c>
      <c r="B7857" t="s">
        <v>11637</v>
      </c>
      <c r="C7857" t="s">
        <v>19849</v>
      </c>
      <c r="D7857" t="s">
        <v>32403</v>
      </c>
      <c r="E7857" t="b">
        <v>0</v>
      </c>
      <c r="F7857" t="s">
        <v>11622</v>
      </c>
      <c r="L7857">
        <v>1</v>
      </c>
      <c r="M7857">
        <v>3</v>
      </c>
      <c r="N7857">
        <v>0</v>
      </c>
    </row>
    <row r="7858" spans="1:15">
      <c r="A7858" t="s">
        <v>15706</v>
      </c>
      <c r="B7858" t="s">
        <v>12241</v>
      </c>
      <c r="C7858" t="s">
        <v>12241</v>
      </c>
      <c r="D7858" t="s">
        <v>32404</v>
      </c>
      <c r="E7858" t="b">
        <v>0</v>
      </c>
      <c r="F7858" t="s">
        <v>11622</v>
      </c>
      <c r="L7858">
        <v>0</v>
      </c>
      <c r="M7858">
        <v>1</v>
      </c>
      <c r="N7858">
        <v>0</v>
      </c>
    </row>
    <row r="7859" spans="1:15">
      <c r="A7859" t="s">
        <v>32405</v>
      </c>
      <c r="B7859" t="s">
        <v>11981</v>
      </c>
      <c r="C7859" t="s">
        <v>12200</v>
      </c>
      <c r="D7859" t="s">
        <v>32406</v>
      </c>
      <c r="E7859" t="b">
        <v>0</v>
      </c>
      <c r="F7859" t="s">
        <v>11622</v>
      </c>
      <c r="L7859">
        <v>1</v>
      </c>
      <c r="M7859">
        <v>3</v>
      </c>
      <c r="N7859">
        <v>6</v>
      </c>
    </row>
    <row r="7860" spans="1:15">
      <c r="A7860" t="s">
        <v>32374</v>
      </c>
      <c r="B7860" t="s">
        <v>11981</v>
      </c>
      <c r="C7860" t="s">
        <v>32405</v>
      </c>
      <c r="D7860" t="s">
        <v>32407</v>
      </c>
      <c r="E7860" t="b">
        <v>0</v>
      </c>
      <c r="F7860" t="s">
        <v>11622</v>
      </c>
      <c r="L7860">
        <v>0</v>
      </c>
      <c r="M7860">
        <v>2</v>
      </c>
      <c r="N7860">
        <v>6</v>
      </c>
    </row>
    <row r="7861" spans="1:15">
      <c r="A7861" t="s">
        <v>32384</v>
      </c>
      <c r="B7861" t="s">
        <v>11981</v>
      </c>
      <c r="C7861" t="s">
        <v>32408</v>
      </c>
      <c r="D7861" t="s">
        <v>32409</v>
      </c>
      <c r="E7861" t="b">
        <v>0</v>
      </c>
      <c r="F7861" t="s">
        <v>11622</v>
      </c>
      <c r="L7861">
        <v>0</v>
      </c>
      <c r="M7861">
        <v>2</v>
      </c>
      <c r="N7861">
        <v>0</v>
      </c>
    </row>
    <row r="7862" spans="1:15">
      <c r="A7862" t="s">
        <v>12129</v>
      </c>
      <c r="B7862" t="s">
        <v>12128</v>
      </c>
      <c r="C7862" t="s">
        <v>12128</v>
      </c>
      <c r="D7862" t="s">
        <v>32410</v>
      </c>
      <c r="E7862" t="b">
        <v>0</v>
      </c>
      <c r="F7862" t="s">
        <v>11622</v>
      </c>
      <c r="L7862">
        <v>0</v>
      </c>
      <c r="M7862">
        <v>4</v>
      </c>
      <c r="N7862">
        <v>0</v>
      </c>
    </row>
    <row r="7863" spans="1:15">
      <c r="A7863" t="s">
        <v>32411</v>
      </c>
      <c r="B7863" t="s">
        <v>6742</v>
      </c>
      <c r="C7863" t="s">
        <v>32412</v>
      </c>
      <c r="D7863" t="s">
        <v>32413</v>
      </c>
      <c r="E7863" t="b">
        <v>0</v>
      </c>
      <c r="F7863" t="s">
        <v>11622</v>
      </c>
      <c r="L7863">
        <v>0</v>
      </c>
      <c r="M7863">
        <v>2</v>
      </c>
      <c r="N7863">
        <v>0</v>
      </c>
    </row>
    <row r="7864" spans="1:15">
      <c r="A7864" t="s">
        <v>32414</v>
      </c>
      <c r="B7864" t="s">
        <v>6742</v>
      </c>
      <c r="C7864" t="s">
        <v>32411</v>
      </c>
      <c r="D7864" t="s">
        <v>32415</v>
      </c>
      <c r="E7864" t="b">
        <v>0</v>
      </c>
      <c r="F7864" t="s">
        <v>11624</v>
      </c>
      <c r="G7864">
        <v>8.8151299999999999</v>
      </c>
      <c r="H7864">
        <v>25.9848</v>
      </c>
      <c r="I7864" t="s">
        <v>32416</v>
      </c>
      <c r="L7864">
        <v>0</v>
      </c>
      <c r="M7864">
        <v>0</v>
      </c>
      <c r="N7864">
        <v>0</v>
      </c>
      <c r="O7864" t="s">
        <v>11910</v>
      </c>
    </row>
    <row r="7865" spans="1:15">
      <c r="A7865" t="s">
        <v>32417</v>
      </c>
      <c r="B7865" t="s">
        <v>367</v>
      </c>
      <c r="C7865" t="s">
        <v>16812</v>
      </c>
      <c r="D7865" t="s">
        <v>32418</v>
      </c>
      <c r="E7865" t="b">
        <v>0</v>
      </c>
      <c r="F7865" t="s">
        <v>11610</v>
      </c>
      <c r="L7865">
        <v>0</v>
      </c>
      <c r="M7865">
        <v>0</v>
      </c>
      <c r="N7865">
        <v>0</v>
      </c>
    </row>
    <row r="7866" spans="1:15">
      <c r="A7866" t="s">
        <v>32419</v>
      </c>
      <c r="B7866" t="s">
        <v>11637</v>
      </c>
      <c r="C7866" t="s">
        <v>24913</v>
      </c>
      <c r="D7866" t="s">
        <v>32420</v>
      </c>
      <c r="E7866" t="b">
        <v>0</v>
      </c>
      <c r="F7866" t="s">
        <v>11622</v>
      </c>
      <c r="L7866">
        <v>2</v>
      </c>
      <c r="M7866">
        <v>5</v>
      </c>
      <c r="N7866">
        <v>2</v>
      </c>
    </row>
    <row r="7867" spans="1:15">
      <c r="A7867" t="s">
        <v>25427</v>
      </c>
      <c r="B7867" t="s">
        <v>11637</v>
      </c>
      <c r="C7867" t="s">
        <v>32419</v>
      </c>
      <c r="D7867" t="s">
        <v>32421</v>
      </c>
      <c r="E7867" t="b">
        <v>0</v>
      </c>
      <c r="F7867" t="s">
        <v>11624</v>
      </c>
      <c r="G7867">
        <v>35.338900000000002</v>
      </c>
      <c r="H7867">
        <v>73.0154</v>
      </c>
      <c r="I7867" t="s">
        <v>32422</v>
      </c>
      <c r="L7867">
        <v>0</v>
      </c>
      <c r="M7867">
        <v>0</v>
      </c>
      <c r="N7867">
        <v>2</v>
      </c>
      <c r="O7867" t="s">
        <v>12172</v>
      </c>
    </row>
    <row r="7868" spans="1:15">
      <c r="A7868" t="s">
        <v>32423</v>
      </c>
      <c r="B7868" t="s">
        <v>11637</v>
      </c>
      <c r="C7868" t="s">
        <v>25427</v>
      </c>
      <c r="D7868" t="s">
        <v>32424</v>
      </c>
      <c r="E7868" t="b">
        <v>0</v>
      </c>
      <c r="F7868" t="s">
        <v>11610</v>
      </c>
      <c r="L7868">
        <v>0</v>
      </c>
      <c r="M7868">
        <v>0</v>
      </c>
      <c r="N7868">
        <v>0</v>
      </c>
    </row>
    <row r="7869" spans="1:15">
      <c r="A7869" t="s">
        <v>32425</v>
      </c>
      <c r="B7869" t="s">
        <v>11834</v>
      </c>
      <c r="C7869" t="s">
        <v>21799</v>
      </c>
      <c r="D7869" t="s">
        <v>32426</v>
      </c>
      <c r="E7869" t="b">
        <v>0</v>
      </c>
      <c r="F7869" t="s">
        <v>11624</v>
      </c>
      <c r="G7869">
        <v>-3.38015</v>
      </c>
      <c r="H7869">
        <v>141.892</v>
      </c>
      <c r="I7869" t="s">
        <v>32427</v>
      </c>
      <c r="L7869">
        <v>0</v>
      </c>
      <c r="M7869">
        <v>0</v>
      </c>
      <c r="N7869">
        <v>0</v>
      </c>
      <c r="O7869" t="s">
        <v>11660</v>
      </c>
    </row>
    <row r="7870" spans="1:15">
      <c r="A7870" t="s">
        <v>32428</v>
      </c>
      <c r="B7870" t="s">
        <v>6742</v>
      </c>
      <c r="C7870" t="s">
        <v>26823</v>
      </c>
      <c r="D7870" t="s">
        <v>32429</v>
      </c>
      <c r="E7870" t="b">
        <v>0</v>
      </c>
      <c r="F7870" t="s">
        <v>11610</v>
      </c>
      <c r="L7870">
        <v>0</v>
      </c>
      <c r="M7870">
        <v>0</v>
      </c>
      <c r="N7870">
        <v>0</v>
      </c>
    </row>
    <row r="7871" spans="1:15">
      <c r="A7871" t="s">
        <v>32430</v>
      </c>
      <c r="B7871" t="s">
        <v>16997</v>
      </c>
      <c r="C7871" t="s">
        <v>16998</v>
      </c>
      <c r="D7871" t="s">
        <v>32431</v>
      </c>
      <c r="E7871" t="b">
        <v>0</v>
      </c>
      <c r="F7871" t="s">
        <v>11624</v>
      </c>
      <c r="G7871">
        <v>34.616900000000001</v>
      </c>
      <c r="H7871">
        <v>-120.08</v>
      </c>
      <c r="I7871" t="s">
        <v>32432</v>
      </c>
      <c r="L7871">
        <v>0</v>
      </c>
      <c r="M7871">
        <v>0</v>
      </c>
      <c r="N7871">
        <v>0</v>
      </c>
      <c r="O7871" t="s">
        <v>11944</v>
      </c>
    </row>
    <row r="7872" spans="1:15">
      <c r="A7872" t="s">
        <v>32433</v>
      </c>
      <c r="B7872" t="s">
        <v>6742</v>
      </c>
      <c r="C7872" t="s">
        <v>15793</v>
      </c>
      <c r="D7872" t="s">
        <v>32434</v>
      </c>
      <c r="E7872" t="b">
        <v>0</v>
      </c>
      <c r="F7872" t="s">
        <v>11610</v>
      </c>
      <c r="L7872">
        <v>0</v>
      </c>
      <c r="M7872">
        <v>0</v>
      </c>
      <c r="N7872">
        <v>0</v>
      </c>
    </row>
    <row r="7873" spans="1:15">
      <c r="A7873" t="s">
        <v>32435</v>
      </c>
      <c r="B7873" t="s">
        <v>8310</v>
      </c>
      <c r="C7873" t="s">
        <v>14449</v>
      </c>
      <c r="D7873" t="s">
        <v>32436</v>
      </c>
      <c r="E7873" t="b">
        <v>0</v>
      </c>
      <c r="F7873" t="s">
        <v>11610</v>
      </c>
      <c r="L7873">
        <v>0</v>
      </c>
      <c r="M7873">
        <v>0</v>
      </c>
      <c r="N7873">
        <v>0</v>
      </c>
    </row>
    <row r="7874" spans="1:15">
      <c r="A7874" t="s">
        <v>32437</v>
      </c>
      <c r="B7874" t="s">
        <v>141</v>
      </c>
      <c r="C7874" t="s">
        <v>461</v>
      </c>
      <c r="D7874" t="s">
        <v>32438</v>
      </c>
      <c r="E7874" t="b">
        <v>0</v>
      </c>
      <c r="F7874" t="s">
        <v>11622</v>
      </c>
      <c r="L7874">
        <v>0</v>
      </c>
      <c r="M7874">
        <v>2</v>
      </c>
      <c r="N7874">
        <v>5</v>
      </c>
    </row>
    <row r="7875" spans="1:15">
      <c r="A7875" t="s">
        <v>14187</v>
      </c>
      <c r="B7875" t="s">
        <v>141</v>
      </c>
      <c r="C7875" t="s">
        <v>32437</v>
      </c>
      <c r="D7875" t="s">
        <v>32439</v>
      </c>
      <c r="E7875" t="b">
        <v>0</v>
      </c>
      <c r="F7875" t="s">
        <v>11624</v>
      </c>
      <c r="G7875">
        <v>1.0031300000000001</v>
      </c>
      <c r="H7875">
        <v>-76.860600000000005</v>
      </c>
      <c r="I7875" t="s">
        <v>32440</v>
      </c>
      <c r="L7875">
        <v>0</v>
      </c>
      <c r="M7875">
        <v>0</v>
      </c>
      <c r="N7875">
        <v>3</v>
      </c>
      <c r="O7875" t="s">
        <v>17099</v>
      </c>
    </row>
    <row r="7876" spans="1:15">
      <c r="A7876" t="s">
        <v>32441</v>
      </c>
      <c r="B7876" t="s">
        <v>11965</v>
      </c>
      <c r="C7876" t="s">
        <v>32442</v>
      </c>
      <c r="D7876" t="s">
        <v>32443</v>
      </c>
      <c r="E7876" t="b">
        <v>0</v>
      </c>
      <c r="F7876" t="s">
        <v>11622</v>
      </c>
      <c r="L7876">
        <v>0</v>
      </c>
      <c r="M7876">
        <v>2</v>
      </c>
      <c r="N7876">
        <v>0</v>
      </c>
    </row>
    <row r="7877" spans="1:15">
      <c r="A7877" t="s">
        <v>32444</v>
      </c>
      <c r="B7877" t="s">
        <v>11965</v>
      </c>
      <c r="C7877" t="s">
        <v>32441</v>
      </c>
      <c r="D7877" t="s">
        <v>32445</v>
      </c>
      <c r="E7877" t="b">
        <v>0</v>
      </c>
      <c r="F7877" t="s">
        <v>11624</v>
      </c>
      <c r="G7877">
        <v>-24.621051999999999</v>
      </c>
      <c r="H7877">
        <v>-54.254151</v>
      </c>
      <c r="L7877">
        <v>0</v>
      </c>
      <c r="M7877">
        <v>0</v>
      </c>
      <c r="N7877">
        <v>0</v>
      </c>
      <c r="O7877" t="s">
        <v>11969</v>
      </c>
    </row>
    <row r="7878" spans="1:15">
      <c r="A7878" t="s">
        <v>32446</v>
      </c>
      <c r="B7878" t="s">
        <v>12148</v>
      </c>
      <c r="C7878" t="s">
        <v>61</v>
      </c>
      <c r="D7878" t="s">
        <v>32447</v>
      </c>
      <c r="E7878" t="b">
        <v>0</v>
      </c>
      <c r="F7878" t="s">
        <v>11610</v>
      </c>
      <c r="L7878">
        <v>0</v>
      </c>
      <c r="M7878">
        <v>0</v>
      </c>
      <c r="N7878">
        <v>0</v>
      </c>
    </row>
    <row r="7879" spans="1:15">
      <c r="A7879" t="s">
        <v>32448</v>
      </c>
      <c r="B7879" t="s">
        <v>11794</v>
      </c>
      <c r="C7879" t="s">
        <v>12174</v>
      </c>
      <c r="D7879" t="s">
        <v>32449</v>
      </c>
      <c r="E7879" t="b">
        <v>0</v>
      </c>
      <c r="F7879" t="s">
        <v>11610</v>
      </c>
      <c r="L7879">
        <v>0</v>
      </c>
      <c r="M7879">
        <v>0</v>
      </c>
      <c r="N7879">
        <v>0</v>
      </c>
    </row>
    <row r="7880" spans="1:15">
      <c r="A7880" t="s">
        <v>32450</v>
      </c>
      <c r="B7880" t="s">
        <v>12260</v>
      </c>
      <c r="C7880" t="s">
        <v>26640</v>
      </c>
      <c r="D7880" t="s">
        <v>32451</v>
      </c>
      <c r="E7880" t="b">
        <v>0</v>
      </c>
      <c r="F7880" t="s">
        <v>11624</v>
      </c>
      <c r="G7880">
        <v>59.474029999999999</v>
      </c>
      <c r="H7880">
        <v>29.711449999999999</v>
      </c>
      <c r="I7880" t="s">
        <v>32452</v>
      </c>
      <c r="L7880">
        <v>0</v>
      </c>
      <c r="M7880">
        <v>0</v>
      </c>
      <c r="N7880">
        <v>5</v>
      </c>
      <c r="O7880" t="s">
        <v>32453</v>
      </c>
    </row>
    <row r="7881" spans="1:15">
      <c r="A7881" t="s">
        <v>32454</v>
      </c>
      <c r="B7881" t="s">
        <v>12311</v>
      </c>
      <c r="C7881" t="s">
        <v>22375</v>
      </c>
      <c r="D7881" t="s">
        <v>32455</v>
      </c>
      <c r="E7881" t="b">
        <v>0</v>
      </c>
      <c r="F7881" t="s">
        <v>11624</v>
      </c>
      <c r="G7881">
        <v>43.11</v>
      </c>
      <c r="H7881">
        <v>45.03</v>
      </c>
      <c r="I7881" t="s">
        <v>32456</v>
      </c>
      <c r="L7881">
        <v>0</v>
      </c>
      <c r="M7881">
        <v>0</v>
      </c>
      <c r="N7881">
        <v>0</v>
      </c>
      <c r="O7881" t="s">
        <v>18235</v>
      </c>
    </row>
    <row r="7882" spans="1:15">
      <c r="A7882" t="s">
        <v>32457</v>
      </c>
      <c r="B7882" t="s">
        <v>11607</v>
      </c>
      <c r="C7882" t="s">
        <v>14255</v>
      </c>
      <c r="D7882" t="s">
        <v>32458</v>
      </c>
      <c r="E7882" t="b">
        <v>0</v>
      </c>
      <c r="F7882" t="s">
        <v>11610</v>
      </c>
      <c r="L7882">
        <v>0</v>
      </c>
      <c r="M7882">
        <v>0</v>
      </c>
      <c r="N7882">
        <v>0</v>
      </c>
    </row>
    <row r="7883" spans="1:15">
      <c r="A7883" t="s">
        <v>32459</v>
      </c>
      <c r="B7883" t="s">
        <v>6742</v>
      </c>
      <c r="C7883" t="s">
        <v>19737</v>
      </c>
      <c r="D7883" t="s">
        <v>32460</v>
      </c>
      <c r="E7883" t="b">
        <v>0</v>
      </c>
      <c r="F7883" t="s">
        <v>11610</v>
      </c>
      <c r="L7883">
        <v>0</v>
      </c>
      <c r="M7883">
        <v>0</v>
      </c>
      <c r="N7883">
        <v>0</v>
      </c>
    </row>
    <row r="7884" spans="1:15">
      <c r="A7884" t="s">
        <v>18821</v>
      </c>
      <c r="B7884" t="s">
        <v>12697</v>
      </c>
      <c r="C7884" t="s">
        <v>32461</v>
      </c>
      <c r="D7884" t="s">
        <v>32462</v>
      </c>
      <c r="E7884" t="b">
        <v>0</v>
      </c>
      <c r="F7884" t="s">
        <v>11622</v>
      </c>
      <c r="L7884">
        <v>0</v>
      </c>
      <c r="M7884">
        <v>3</v>
      </c>
      <c r="N7884">
        <v>0</v>
      </c>
    </row>
    <row r="7885" spans="1:15">
      <c r="A7885" t="s">
        <v>32463</v>
      </c>
      <c r="B7885" t="s">
        <v>367</v>
      </c>
      <c r="C7885" t="s">
        <v>18721</v>
      </c>
      <c r="D7885" t="s">
        <v>32464</v>
      </c>
      <c r="E7885" t="b">
        <v>0</v>
      </c>
      <c r="F7885" t="s">
        <v>11624</v>
      </c>
      <c r="G7885">
        <v>17.617519999999999</v>
      </c>
      <c r="H7885">
        <v>120.65389</v>
      </c>
      <c r="I7885" t="s">
        <v>32465</v>
      </c>
      <c r="L7885">
        <v>0</v>
      </c>
      <c r="M7885">
        <v>0</v>
      </c>
      <c r="N7885">
        <v>0</v>
      </c>
      <c r="O7885" t="s">
        <v>11749</v>
      </c>
    </row>
    <row r="7886" spans="1:15">
      <c r="A7886" t="s">
        <v>32466</v>
      </c>
      <c r="B7886" t="s">
        <v>11794</v>
      </c>
      <c r="C7886" t="s">
        <v>11794</v>
      </c>
      <c r="D7886" t="s">
        <v>32467</v>
      </c>
      <c r="E7886" t="b">
        <v>0</v>
      </c>
      <c r="F7886" t="s">
        <v>11622</v>
      </c>
      <c r="L7886">
        <v>2</v>
      </c>
      <c r="M7886">
        <v>6</v>
      </c>
      <c r="N7886">
        <v>0</v>
      </c>
    </row>
    <row r="7887" spans="1:15">
      <c r="A7887" t="s">
        <v>13169</v>
      </c>
      <c r="B7887" t="s">
        <v>11894</v>
      </c>
      <c r="C7887" t="s">
        <v>13166</v>
      </c>
      <c r="D7887" t="s">
        <v>32468</v>
      </c>
      <c r="E7887" t="b">
        <v>0</v>
      </c>
      <c r="F7887" t="s">
        <v>11622</v>
      </c>
      <c r="L7887">
        <v>9</v>
      </c>
      <c r="M7887">
        <v>19</v>
      </c>
      <c r="N7887">
        <v>8</v>
      </c>
    </row>
    <row r="7888" spans="1:15">
      <c r="A7888" t="s">
        <v>23495</v>
      </c>
      <c r="B7888" t="s">
        <v>9071</v>
      </c>
      <c r="C7888" t="s">
        <v>23166</v>
      </c>
      <c r="D7888" t="s">
        <v>32469</v>
      </c>
      <c r="E7888" t="b">
        <v>0</v>
      </c>
      <c r="F7888" t="s">
        <v>11622</v>
      </c>
      <c r="L7888">
        <v>0</v>
      </c>
      <c r="M7888">
        <v>2</v>
      </c>
      <c r="N7888">
        <v>0</v>
      </c>
    </row>
    <row r="7889" spans="1:15">
      <c r="A7889" t="s">
        <v>12975</v>
      </c>
      <c r="B7889" t="s">
        <v>367</v>
      </c>
      <c r="C7889" t="s">
        <v>18544</v>
      </c>
      <c r="D7889" t="s">
        <v>32470</v>
      </c>
      <c r="E7889" t="b">
        <v>0</v>
      </c>
      <c r="F7889" t="s">
        <v>11622</v>
      </c>
      <c r="L7889">
        <v>0</v>
      </c>
      <c r="M7889">
        <v>2</v>
      </c>
      <c r="N7889">
        <v>5</v>
      </c>
    </row>
    <row r="7890" spans="1:15">
      <c r="A7890" t="s">
        <v>32471</v>
      </c>
      <c r="B7890" t="s">
        <v>11644</v>
      </c>
      <c r="C7890" t="s">
        <v>23182</v>
      </c>
      <c r="D7890" t="s">
        <v>32472</v>
      </c>
      <c r="E7890" t="b">
        <v>0</v>
      </c>
      <c r="F7890" t="s">
        <v>11622</v>
      </c>
      <c r="L7890">
        <v>0</v>
      </c>
      <c r="M7890">
        <v>2</v>
      </c>
      <c r="N7890">
        <v>10</v>
      </c>
    </row>
    <row r="7891" spans="1:15">
      <c r="A7891" t="s">
        <v>23343</v>
      </c>
      <c r="B7891" t="s">
        <v>10597</v>
      </c>
      <c r="C7891" t="s">
        <v>2606</v>
      </c>
      <c r="D7891" t="s">
        <v>32473</v>
      </c>
      <c r="E7891" t="b">
        <v>0</v>
      </c>
      <c r="F7891" t="s">
        <v>11622</v>
      </c>
      <c r="L7891">
        <v>0</v>
      </c>
      <c r="M7891">
        <v>2</v>
      </c>
      <c r="N7891">
        <v>8</v>
      </c>
    </row>
    <row r="7892" spans="1:15">
      <c r="A7892" t="s">
        <v>32474</v>
      </c>
      <c r="B7892" t="s">
        <v>11637</v>
      </c>
      <c r="C7892" t="s">
        <v>32475</v>
      </c>
      <c r="D7892" t="s">
        <v>32476</v>
      </c>
      <c r="E7892" t="b">
        <v>0</v>
      </c>
      <c r="F7892" t="s">
        <v>11610</v>
      </c>
      <c r="L7892">
        <v>0</v>
      </c>
      <c r="M7892">
        <v>0</v>
      </c>
      <c r="N7892">
        <v>0</v>
      </c>
    </row>
    <row r="7893" spans="1:15">
      <c r="A7893" t="s">
        <v>32477</v>
      </c>
      <c r="B7893" t="s">
        <v>11981</v>
      </c>
      <c r="C7893" t="s">
        <v>32478</v>
      </c>
      <c r="D7893" t="s">
        <v>32479</v>
      </c>
      <c r="E7893" t="b">
        <v>0</v>
      </c>
      <c r="F7893" t="s">
        <v>11624</v>
      </c>
      <c r="L7893">
        <v>0</v>
      </c>
      <c r="M7893">
        <v>0</v>
      </c>
      <c r="N7893">
        <v>0</v>
      </c>
      <c r="O7893" t="s">
        <v>11778</v>
      </c>
    </row>
    <row r="7894" spans="1:15">
      <c r="A7894" t="s">
        <v>32480</v>
      </c>
      <c r="B7894" t="s">
        <v>11637</v>
      </c>
      <c r="C7894" t="s">
        <v>2186</v>
      </c>
      <c r="D7894" t="s">
        <v>32481</v>
      </c>
      <c r="E7894" t="b">
        <v>0</v>
      </c>
      <c r="F7894" t="s">
        <v>11610</v>
      </c>
      <c r="L7894">
        <v>0</v>
      </c>
      <c r="M7894">
        <v>0</v>
      </c>
      <c r="N7894">
        <v>0</v>
      </c>
    </row>
    <row r="7895" spans="1:15">
      <c r="A7895" t="s">
        <v>16229</v>
      </c>
      <c r="B7895" t="s">
        <v>367</v>
      </c>
      <c r="C7895" t="s">
        <v>19618</v>
      </c>
      <c r="D7895" t="s">
        <v>32482</v>
      </c>
      <c r="E7895" t="b">
        <v>0</v>
      </c>
      <c r="F7895" t="s">
        <v>11622</v>
      </c>
      <c r="L7895">
        <v>0</v>
      </c>
      <c r="M7895">
        <v>3</v>
      </c>
      <c r="N7895">
        <v>24</v>
      </c>
    </row>
    <row r="7896" spans="1:15">
      <c r="A7896" t="s">
        <v>32483</v>
      </c>
      <c r="B7896" t="s">
        <v>11644</v>
      </c>
      <c r="C7896" t="s">
        <v>13422</v>
      </c>
      <c r="D7896" t="s">
        <v>32484</v>
      </c>
      <c r="E7896" t="b">
        <v>0</v>
      </c>
      <c r="F7896" t="s">
        <v>11610</v>
      </c>
      <c r="L7896">
        <v>0</v>
      </c>
      <c r="M7896">
        <v>0</v>
      </c>
      <c r="N7896">
        <v>2</v>
      </c>
    </row>
    <row r="7897" spans="1:15">
      <c r="A7897" t="s">
        <v>32485</v>
      </c>
      <c r="B7897" t="s">
        <v>12438</v>
      </c>
      <c r="C7897" t="s">
        <v>32486</v>
      </c>
      <c r="D7897" t="s">
        <v>32487</v>
      </c>
      <c r="E7897" t="b">
        <v>0</v>
      </c>
      <c r="F7897" t="s">
        <v>11610</v>
      </c>
      <c r="L7897">
        <v>0</v>
      </c>
      <c r="M7897">
        <v>0</v>
      </c>
      <c r="N7897">
        <v>0</v>
      </c>
    </row>
    <row r="7898" spans="1:15">
      <c r="A7898" t="s">
        <v>32488</v>
      </c>
      <c r="B7898" t="s">
        <v>11615</v>
      </c>
      <c r="C7898" t="s">
        <v>32489</v>
      </c>
      <c r="D7898" t="s">
        <v>32490</v>
      </c>
      <c r="E7898" t="b">
        <v>0</v>
      </c>
      <c r="F7898" t="s">
        <v>11624</v>
      </c>
      <c r="G7898">
        <v>-6.3231099999999998</v>
      </c>
      <c r="H7898">
        <v>145.53899999999999</v>
      </c>
      <c r="I7898" t="s">
        <v>32491</v>
      </c>
      <c r="L7898">
        <v>0</v>
      </c>
      <c r="M7898">
        <v>0</v>
      </c>
      <c r="N7898">
        <v>0</v>
      </c>
      <c r="O7898" t="s">
        <v>11660</v>
      </c>
    </row>
    <row r="7899" spans="1:15">
      <c r="A7899" t="s">
        <v>12989</v>
      </c>
      <c r="B7899" t="s">
        <v>367</v>
      </c>
      <c r="C7899" t="s">
        <v>12771</v>
      </c>
      <c r="D7899" t="s">
        <v>32492</v>
      </c>
      <c r="E7899" t="b">
        <v>0</v>
      </c>
      <c r="F7899" t="s">
        <v>11624</v>
      </c>
      <c r="G7899">
        <v>12.284000000000001</v>
      </c>
      <c r="H7899">
        <v>122.03</v>
      </c>
      <c r="I7899" t="s">
        <v>32493</v>
      </c>
      <c r="L7899">
        <v>0</v>
      </c>
      <c r="M7899">
        <v>0</v>
      </c>
      <c r="N7899">
        <v>4</v>
      </c>
      <c r="O7899" t="s">
        <v>11749</v>
      </c>
    </row>
    <row r="7900" spans="1:15">
      <c r="A7900" t="s">
        <v>27205</v>
      </c>
      <c r="B7900" t="s">
        <v>11607</v>
      </c>
      <c r="C7900" t="s">
        <v>32494</v>
      </c>
      <c r="D7900" t="s">
        <v>32495</v>
      </c>
      <c r="E7900" t="b">
        <v>0</v>
      </c>
      <c r="F7900" t="s">
        <v>11624</v>
      </c>
      <c r="G7900">
        <v>7.9488300000000001</v>
      </c>
      <c r="H7900">
        <v>37.796799999999998</v>
      </c>
      <c r="I7900" t="s">
        <v>32496</v>
      </c>
      <c r="L7900">
        <v>0</v>
      </c>
      <c r="M7900">
        <v>0</v>
      </c>
      <c r="N7900">
        <v>2</v>
      </c>
      <c r="O7900" t="s">
        <v>11625</v>
      </c>
    </row>
    <row r="7901" spans="1:15">
      <c r="A7901" t="s">
        <v>32494</v>
      </c>
      <c r="B7901" t="s">
        <v>11607</v>
      </c>
      <c r="C7901" t="s">
        <v>32497</v>
      </c>
      <c r="D7901" t="s">
        <v>32498</v>
      </c>
      <c r="E7901" t="b">
        <v>0</v>
      </c>
      <c r="F7901" t="s">
        <v>11622</v>
      </c>
      <c r="L7901">
        <v>0</v>
      </c>
      <c r="M7901">
        <v>2</v>
      </c>
      <c r="N7901">
        <v>2</v>
      </c>
    </row>
    <row r="7902" spans="1:15">
      <c r="A7902" t="s">
        <v>32499</v>
      </c>
      <c r="B7902" t="s">
        <v>11627</v>
      </c>
      <c r="C7902" t="s">
        <v>11627</v>
      </c>
      <c r="D7902" t="s">
        <v>32500</v>
      </c>
      <c r="E7902" t="b">
        <v>1</v>
      </c>
      <c r="F7902" t="s">
        <v>11624</v>
      </c>
      <c r="G7902">
        <v>24.876100000000001</v>
      </c>
      <c r="H7902">
        <v>93.809600000000003</v>
      </c>
      <c r="I7902" t="s">
        <v>32501</v>
      </c>
      <c r="L7902">
        <v>0</v>
      </c>
      <c r="M7902">
        <v>0</v>
      </c>
      <c r="N7902">
        <v>0</v>
      </c>
      <c r="O7902" t="s">
        <v>11630</v>
      </c>
    </row>
    <row r="7903" spans="1:15">
      <c r="A7903" t="s">
        <v>32502</v>
      </c>
      <c r="B7903" t="s">
        <v>11637</v>
      </c>
      <c r="C7903" t="s">
        <v>13136</v>
      </c>
      <c r="D7903" t="s">
        <v>32503</v>
      </c>
      <c r="E7903" t="b">
        <v>0</v>
      </c>
      <c r="F7903" t="s">
        <v>11610</v>
      </c>
      <c r="L7903">
        <v>0</v>
      </c>
      <c r="M7903">
        <v>0</v>
      </c>
      <c r="N7903">
        <v>0</v>
      </c>
    </row>
    <row r="7904" spans="1:15">
      <c r="A7904" t="s">
        <v>32504</v>
      </c>
      <c r="B7904" t="s">
        <v>11637</v>
      </c>
      <c r="C7904" t="s">
        <v>32505</v>
      </c>
      <c r="D7904" t="s">
        <v>32506</v>
      </c>
      <c r="E7904" t="b">
        <v>0</v>
      </c>
      <c r="F7904" t="s">
        <v>11610</v>
      </c>
      <c r="L7904">
        <v>0</v>
      </c>
      <c r="M7904">
        <v>0</v>
      </c>
      <c r="N7904">
        <v>2</v>
      </c>
    </row>
    <row r="7905" spans="1:15">
      <c r="A7905" t="s">
        <v>30870</v>
      </c>
      <c r="B7905" t="s">
        <v>22849</v>
      </c>
      <c r="C7905" t="s">
        <v>22849</v>
      </c>
      <c r="D7905" t="s">
        <v>32507</v>
      </c>
      <c r="E7905" t="b">
        <v>0</v>
      </c>
      <c r="F7905" t="s">
        <v>11622</v>
      </c>
      <c r="L7905">
        <v>0</v>
      </c>
      <c r="M7905">
        <v>2</v>
      </c>
      <c r="N7905">
        <v>0</v>
      </c>
    </row>
    <row r="7906" spans="1:15">
      <c r="A7906" t="s">
        <v>19945</v>
      </c>
      <c r="B7906" t="s">
        <v>11637</v>
      </c>
      <c r="C7906" t="s">
        <v>32508</v>
      </c>
      <c r="D7906" t="s">
        <v>32509</v>
      </c>
      <c r="E7906" t="b">
        <v>0</v>
      </c>
      <c r="F7906" t="s">
        <v>11622</v>
      </c>
      <c r="L7906">
        <v>6</v>
      </c>
      <c r="M7906">
        <v>8</v>
      </c>
      <c r="N7906">
        <v>24</v>
      </c>
    </row>
    <row r="7907" spans="1:15">
      <c r="A7907" t="s">
        <v>27971</v>
      </c>
      <c r="B7907" t="s">
        <v>11637</v>
      </c>
      <c r="C7907" t="s">
        <v>32510</v>
      </c>
      <c r="D7907" t="s">
        <v>32511</v>
      </c>
      <c r="E7907" t="b">
        <v>0</v>
      </c>
      <c r="F7907" t="s">
        <v>11610</v>
      </c>
      <c r="L7907">
        <v>0</v>
      </c>
      <c r="M7907">
        <v>0</v>
      </c>
      <c r="N7907">
        <v>7</v>
      </c>
    </row>
    <row r="7908" spans="1:15">
      <c r="A7908" t="s">
        <v>32512</v>
      </c>
      <c r="B7908" t="s">
        <v>14629</v>
      </c>
      <c r="C7908" t="s">
        <v>14629</v>
      </c>
      <c r="D7908" t="s">
        <v>32513</v>
      </c>
      <c r="E7908" t="b">
        <v>0</v>
      </c>
      <c r="F7908" t="s">
        <v>11624</v>
      </c>
      <c r="G7908">
        <v>48.203000000000003</v>
      </c>
      <c r="H7908">
        <v>2.6150000000000002</v>
      </c>
      <c r="I7908" t="s">
        <v>32514</v>
      </c>
      <c r="L7908">
        <v>0</v>
      </c>
      <c r="M7908">
        <v>0</v>
      </c>
      <c r="N7908">
        <v>0</v>
      </c>
      <c r="O7908" t="s">
        <v>19870</v>
      </c>
    </row>
    <row r="7909" spans="1:15">
      <c r="A7909" t="s">
        <v>32515</v>
      </c>
      <c r="B7909" t="s">
        <v>9071</v>
      </c>
      <c r="C7909" t="s">
        <v>9071</v>
      </c>
      <c r="D7909" t="s">
        <v>32516</v>
      </c>
      <c r="E7909" t="b">
        <v>0</v>
      </c>
      <c r="F7909" t="s">
        <v>11622</v>
      </c>
      <c r="L7909">
        <v>3</v>
      </c>
      <c r="M7909">
        <v>8</v>
      </c>
      <c r="N7909">
        <v>10</v>
      </c>
    </row>
    <row r="7910" spans="1:15">
      <c r="A7910" t="s">
        <v>32517</v>
      </c>
      <c r="B7910" t="s">
        <v>11644</v>
      </c>
      <c r="C7910" t="s">
        <v>16785</v>
      </c>
      <c r="D7910" t="s">
        <v>32518</v>
      </c>
      <c r="E7910" t="b">
        <v>0</v>
      </c>
      <c r="F7910" t="s">
        <v>11610</v>
      </c>
      <c r="L7910">
        <v>0</v>
      </c>
      <c r="M7910">
        <v>0</v>
      </c>
      <c r="N7910">
        <v>2</v>
      </c>
    </row>
    <row r="7911" spans="1:15">
      <c r="A7911" t="s">
        <v>32519</v>
      </c>
      <c r="B7911" t="s">
        <v>6742</v>
      </c>
      <c r="C7911" t="s">
        <v>23136</v>
      </c>
      <c r="D7911" t="s">
        <v>32520</v>
      </c>
      <c r="E7911" t="b">
        <v>0</v>
      </c>
      <c r="F7911" t="s">
        <v>11610</v>
      </c>
      <c r="L7911">
        <v>0</v>
      </c>
      <c r="M7911">
        <v>0</v>
      </c>
      <c r="N7911">
        <v>0</v>
      </c>
    </row>
    <row r="7912" spans="1:15">
      <c r="A7912" t="s">
        <v>32521</v>
      </c>
      <c r="B7912" t="s">
        <v>367</v>
      </c>
      <c r="C7912" t="s">
        <v>32522</v>
      </c>
      <c r="D7912" t="s">
        <v>32523</v>
      </c>
      <c r="E7912" t="b">
        <v>0</v>
      </c>
      <c r="F7912" t="s">
        <v>11622</v>
      </c>
      <c r="L7912">
        <v>0</v>
      </c>
      <c r="M7912">
        <v>3</v>
      </c>
      <c r="N7912">
        <v>1</v>
      </c>
    </row>
    <row r="7913" spans="1:15">
      <c r="A7913" t="s">
        <v>32524</v>
      </c>
      <c r="B7913" t="s">
        <v>11981</v>
      </c>
      <c r="C7913" t="s">
        <v>32525</v>
      </c>
      <c r="D7913" t="s">
        <v>32526</v>
      </c>
      <c r="E7913" t="b">
        <v>0</v>
      </c>
      <c r="F7913" t="s">
        <v>11624</v>
      </c>
      <c r="G7913">
        <v>49.735796000000001</v>
      </c>
      <c r="H7913">
        <v>-30.077155000000001</v>
      </c>
      <c r="I7913" t="s">
        <v>32527</v>
      </c>
      <c r="L7913">
        <v>0</v>
      </c>
      <c r="M7913">
        <v>0</v>
      </c>
      <c r="N7913">
        <v>0</v>
      </c>
      <c r="O7913" t="s">
        <v>11944</v>
      </c>
    </row>
    <row r="7914" spans="1:15">
      <c r="A7914" t="s">
        <v>32528</v>
      </c>
      <c r="B7914" t="s">
        <v>14629</v>
      </c>
      <c r="C7914" t="s">
        <v>14629</v>
      </c>
      <c r="D7914" t="s">
        <v>32529</v>
      </c>
      <c r="E7914" t="b">
        <v>0</v>
      </c>
      <c r="F7914" t="s">
        <v>11624</v>
      </c>
      <c r="I7914" t="s">
        <v>32530</v>
      </c>
      <c r="L7914">
        <v>0</v>
      </c>
      <c r="M7914">
        <v>0</v>
      </c>
      <c r="N7914">
        <v>0</v>
      </c>
    </row>
    <row r="7915" spans="1:15">
      <c r="A7915" t="s">
        <v>24091</v>
      </c>
      <c r="B7915" t="s">
        <v>11644</v>
      </c>
      <c r="C7915" t="s">
        <v>32531</v>
      </c>
      <c r="D7915" t="s">
        <v>32532</v>
      </c>
      <c r="E7915" t="b">
        <v>0</v>
      </c>
      <c r="F7915" t="s">
        <v>11624</v>
      </c>
      <c r="G7915">
        <v>20.391999999999999</v>
      </c>
      <c r="H7915">
        <v>96.938800000000001</v>
      </c>
      <c r="I7915" t="s">
        <v>32533</v>
      </c>
      <c r="L7915">
        <v>0</v>
      </c>
      <c r="M7915">
        <v>0</v>
      </c>
      <c r="N7915">
        <v>2</v>
      </c>
      <c r="O7915" t="s">
        <v>14059</v>
      </c>
    </row>
    <row r="7916" spans="1:15">
      <c r="A7916" t="s">
        <v>32534</v>
      </c>
      <c r="B7916" t="s">
        <v>11644</v>
      </c>
      <c r="C7916" t="s">
        <v>24091</v>
      </c>
      <c r="D7916" t="s">
        <v>32535</v>
      </c>
      <c r="E7916" t="b">
        <v>0</v>
      </c>
      <c r="F7916" t="s">
        <v>11610</v>
      </c>
      <c r="L7916">
        <v>0</v>
      </c>
      <c r="M7916">
        <v>0</v>
      </c>
      <c r="N7916">
        <v>0</v>
      </c>
    </row>
    <row r="7917" spans="1:15">
      <c r="A7917" t="s">
        <v>277</v>
      </c>
      <c r="B7917" t="s">
        <v>13014</v>
      </c>
      <c r="C7917" t="s">
        <v>27415</v>
      </c>
      <c r="D7917" t="s">
        <v>653</v>
      </c>
      <c r="E7917" t="b">
        <v>0</v>
      </c>
      <c r="F7917" t="s">
        <v>11622</v>
      </c>
      <c r="L7917">
        <v>2</v>
      </c>
      <c r="M7917">
        <v>6</v>
      </c>
      <c r="N7917">
        <v>21</v>
      </c>
    </row>
    <row r="7918" spans="1:15">
      <c r="A7918" t="s">
        <v>32536</v>
      </c>
      <c r="B7918" t="s">
        <v>11981</v>
      </c>
      <c r="C7918" t="s">
        <v>11982</v>
      </c>
      <c r="D7918" t="s">
        <v>32537</v>
      </c>
      <c r="E7918" t="b">
        <v>0</v>
      </c>
      <c r="F7918" t="s">
        <v>11624</v>
      </c>
      <c r="G7918">
        <v>63.748610999999997</v>
      </c>
      <c r="H7918">
        <v>-68.519722000000002</v>
      </c>
      <c r="I7918" t="s">
        <v>32538</v>
      </c>
      <c r="L7918">
        <v>0</v>
      </c>
      <c r="M7918">
        <v>0</v>
      </c>
      <c r="N7918">
        <v>0</v>
      </c>
      <c r="O7918" t="s">
        <v>13049</v>
      </c>
    </row>
    <row r="7919" spans="1:15">
      <c r="A7919" t="s">
        <v>713</v>
      </c>
      <c r="B7919" t="s">
        <v>13014</v>
      </c>
      <c r="C7919" t="s">
        <v>277</v>
      </c>
      <c r="D7919" t="s">
        <v>32539</v>
      </c>
      <c r="E7919" t="b">
        <v>0</v>
      </c>
      <c r="F7919" t="s">
        <v>11622</v>
      </c>
      <c r="I7919" t="s">
        <v>32540</v>
      </c>
      <c r="L7919">
        <v>0</v>
      </c>
      <c r="M7919">
        <v>2</v>
      </c>
      <c r="N7919">
        <v>6</v>
      </c>
      <c r="O7919" t="s">
        <v>11944</v>
      </c>
    </row>
    <row r="7920" spans="1:15">
      <c r="A7920" t="s">
        <v>32541</v>
      </c>
      <c r="B7920" t="s">
        <v>13244</v>
      </c>
      <c r="C7920" t="s">
        <v>13243</v>
      </c>
      <c r="D7920" t="s">
        <v>32542</v>
      </c>
      <c r="E7920" t="b">
        <v>0</v>
      </c>
      <c r="F7920" t="s">
        <v>11610</v>
      </c>
      <c r="L7920">
        <v>0</v>
      </c>
      <c r="M7920">
        <v>0</v>
      </c>
      <c r="N7920">
        <v>0</v>
      </c>
    </row>
    <row r="7921" spans="1:15">
      <c r="A7921" t="s">
        <v>32543</v>
      </c>
      <c r="B7921" t="s">
        <v>11644</v>
      </c>
      <c r="C7921" t="s">
        <v>25383</v>
      </c>
      <c r="D7921" t="s">
        <v>32544</v>
      </c>
      <c r="E7921" t="b">
        <v>0</v>
      </c>
      <c r="F7921" t="s">
        <v>11610</v>
      </c>
      <c r="L7921">
        <v>0</v>
      </c>
      <c r="M7921">
        <v>0</v>
      </c>
      <c r="N7921">
        <v>2</v>
      </c>
    </row>
    <row r="7922" spans="1:15">
      <c r="A7922" t="s">
        <v>32545</v>
      </c>
      <c r="B7922" t="s">
        <v>12311</v>
      </c>
      <c r="C7922" t="s">
        <v>32546</v>
      </c>
      <c r="D7922" t="s">
        <v>32547</v>
      </c>
      <c r="E7922" t="b">
        <v>0</v>
      </c>
      <c r="F7922" t="s">
        <v>11610</v>
      </c>
      <c r="L7922">
        <v>0</v>
      </c>
      <c r="M7922">
        <v>0</v>
      </c>
      <c r="N7922">
        <v>0</v>
      </c>
    </row>
    <row r="7923" spans="1:15">
      <c r="A7923" t="s">
        <v>32548</v>
      </c>
      <c r="B7923" t="s">
        <v>6742</v>
      </c>
      <c r="C7923" t="s">
        <v>32013</v>
      </c>
      <c r="D7923" t="s">
        <v>32549</v>
      </c>
      <c r="E7923" t="b">
        <v>0</v>
      </c>
      <c r="F7923" t="s">
        <v>11610</v>
      </c>
      <c r="L7923">
        <v>0</v>
      </c>
      <c r="M7923">
        <v>0</v>
      </c>
      <c r="N7923">
        <v>0</v>
      </c>
    </row>
    <row r="7924" spans="1:15">
      <c r="A7924" t="s">
        <v>32550</v>
      </c>
      <c r="B7924" t="s">
        <v>13450</v>
      </c>
      <c r="C7924" t="s">
        <v>32343</v>
      </c>
      <c r="D7924" t="s">
        <v>32551</v>
      </c>
      <c r="E7924" t="b">
        <v>0</v>
      </c>
      <c r="F7924" t="s">
        <v>11624</v>
      </c>
      <c r="G7924">
        <v>-8.1038490000000003</v>
      </c>
      <c r="H7924">
        <v>146.58689699999999</v>
      </c>
      <c r="L7924">
        <v>0</v>
      </c>
      <c r="M7924">
        <v>0</v>
      </c>
      <c r="N7924">
        <v>0</v>
      </c>
      <c r="O7924" t="s">
        <v>11660</v>
      </c>
    </row>
    <row r="7925" spans="1:15">
      <c r="A7925" t="s">
        <v>14993</v>
      </c>
      <c r="B7925" t="s">
        <v>11637</v>
      </c>
      <c r="C7925" t="s">
        <v>23355</v>
      </c>
      <c r="D7925" t="s">
        <v>32552</v>
      </c>
      <c r="E7925" t="b">
        <v>0</v>
      </c>
      <c r="F7925" t="s">
        <v>11610</v>
      </c>
      <c r="L7925">
        <v>0</v>
      </c>
      <c r="M7925">
        <v>0</v>
      </c>
      <c r="N7925">
        <v>7</v>
      </c>
    </row>
    <row r="7926" spans="1:15">
      <c r="A7926" t="s">
        <v>32553</v>
      </c>
      <c r="B7926" t="s">
        <v>11637</v>
      </c>
      <c r="C7926" t="s">
        <v>14993</v>
      </c>
      <c r="D7926" t="s">
        <v>32554</v>
      </c>
      <c r="E7926" t="b">
        <v>0</v>
      </c>
      <c r="F7926" t="s">
        <v>11610</v>
      </c>
      <c r="L7926">
        <v>0</v>
      </c>
      <c r="M7926">
        <v>0</v>
      </c>
      <c r="N7926">
        <v>0</v>
      </c>
    </row>
    <row r="7927" spans="1:15">
      <c r="A7927" t="s">
        <v>32555</v>
      </c>
      <c r="B7927" t="s">
        <v>11637</v>
      </c>
      <c r="C7927" t="s">
        <v>12163</v>
      </c>
      <c r="D7927" t="s">
        <v>32556</v>
      </c>
      <c r="E7927" t="b">
        <v>0</v>
      </c>
      <c r="F7927" t="s">
        <v>11610</v>
      </c>
      <c r="L7927">
        <v>0</v>
      </c>
      <c r="M7927">
        <v>0</v>
      </c>
      <c r="N7927">
        <v>0</v>
      </c>
    </row>
    <row r="7928" spans="1:15">
      <c r="A7928" t="s">
        <v>32557</v>
      </c>
      <c r="B7928" t="s">
        <v>367</v>
      </c>
      <c r="C7928" t="s">
        <v>32558</v>
      </c>
      <c r="D7928" t="s">
        <v>32559</v>
      </c>
      <c r="E7928" t="b">
        <v>0</v>
      </c>
      <c r="F7928" t="s">
        <v>11610</v>
      </c>
      <c r="L7928">
        <v>0</v>
      </c>
      <c r="M7928">
        <v>0</v>
      </c>
      <c r="N7928">
        <v>0</v>
      </c>
    </row>
    <row r="7929" spans="1:15">
      <c r="A7929" t="s">
        <v>32560</v>
      </c>
      <c r="B7929" t="s">
        <v>11607</v>
      </c>
      <c r="C7929" t="s">
        <v>32561</v>
      </c>
      <c r="D7929" t="s">
        <v>32562</v>
      </c>
      <c r="E7929" t="b">
        <v>0</v>
      </c>
      <c r="F7929" t="s">
        <v>11610</v>
      </c>
      <c r="L7929">
        <v>0</v>
      </c>
      <c r="M7929">
        <v>0</v>
      </c>
      <c r="N7929">
        <v>0</v>
      </c>
    </row>
    <row r="7930" spans="1:15">
      <c r="A7930" t="s">
        <v>32563</v>
      </c>
      <c r="B7930" t="s">
        <v>8897</v>
      </c>
      <c r="C7930" t="s">
        <v>31321</v>
      </c>
      <c r="D7930" t="s">
        <v>32564</v>
      </c>
      <c r="E7930" t="b">
        <v>0</v>
      </c>
      <c r="F7930" t="s">
        <v>11624</v>
      </c>
      <c r="G7930">
        <v>40.051099999999998</v>
      </c>
      <c r="H7930">
        <v>-95.521299999999997</v>
      </c>
      <c r="I7930" t="s">
        <v>32565</v>
      </c>
      <c r="L7930">
        <v>0</v>
      </c>
      <c r="M7930">
        <v>0</v>
      </c>
      <c r="N7930">
        <v>3</v>
      </c>
      <c r="O7930" t="s">
        <v>11944</v>
      </c>
    </row>
    <row r="7931" spans="1:15">
      <c r="A7931" t="s">
        <v>32566</v>
      </c>
      <c r="B7931" t="s">
        <v>8897</v>
      </c>
      <c r="C7931" t="s">
        <v>32563</v>
      </c>
      <c r="D7931" t="s">
        <v>32567</v>
      </c>
      <c r="E7931" t="b">
        <v>0</v>
      </c>
      <c r="F7931" t="s">
        <v>11610</v>
      </c>
      <c r="L7931">
        <v>0</v>
      </c>
      <c r="M7931">
        <v>0</v>
      </c>
      <c r="N7931">
        <v>0</v>
      </c>
    </row>
    <row r="7932" spans="1:15">
      <c r="A7932" t="s">
        <v>9355</v>
      </c>
      <c r="B7932" t="s">
        <v>23233</v>
      </c>
      <c r="C7932" t="s">
        <v>24762</v>
      </c>
      <c r="D7932" t="s">
        <v>32568</v>
      </c>
      <c r="E7932" t="b">
        <v>0</v>
      </c>
      <c r="F7932" t="s">
        <v>11624</v>
      </c>
      <c r="G7932">
        <v>33.005000000000003</v>
      </c>
      <c r="H7932">
        <v>-116.99299999999999</v>
      </c>
      <c r="L7932">
        <v>0</v>
      </c>
      <c r="M7932">
        <v>0</v>
      </c>
      <c r="N7932">
        <v>0</v>
      </c>
      <c r="O7932" t="s">
        <v>11944</v>
      </c>
    </row>
    <row r="7933" spans="1:15">
      <c r="A7933" t="s">
        <v>32569</v>
      </c>
      <c r="B7933" t="s">
        <v>11879</v>
      </c>
      <c r="C7933" t="s">
        <v>13583</v>
      </c>
      <c r="D7933" t="s">
        <v>32570</v>
      </c>
      <c r="E7933" t="b">
        <v>0</v>
      </c>
      <c r="F7933" t="s">
        <v>11624</v>
      </c>
      <c r="G7933">
        <v>16.505299999999998</v>
      </c>
      <c r="H7933">
        <v>-98.012900000000002</v>
      </c>
      <c r="I7933" t="s">
        <v>32571</v>
      </c>
      <c r="L7933">
        <v>0</v>
      </c>
      <c r="M7933">
        <v>0</v>
      </c>
      <c r="N7933">
        <v>0</v>
      </c>
      <c r="O7933" t="s">
        <v>11883</v>
      </c>
    </row>
    <row r="7934" spans="1:15">
      <c r="A7934" t="s">
        <v>32572</v>
      </c>
      <c r="B7934" t="s">
        <v>11627</v>
      </c>
      <c r="C7934" t="s">
        <v>11627</v>
      </c>
      <c r="D7934" t="s">
        <v>32573</v>
      </c>
      <c r="E7934" t="b">
        <v>1</v>
      </c>
      <c r="F7934" t="s">
        <v>11624</v>
      </c>
      <c r="I7934" t="s">
        <v>32574</v>
      </c>
      <c r="L7934">
        <v>0</v>
      </c>
      <c r="M7934">
        <v>0</v>
      </c>
      <c r="N7934">
        <v>0</v>
      </c>
    </row>
    <row r="7935" spans="1:15">
      <c r="A7935" t="s">
        <v>32575</v>
      </c>
      <c r="B7935" t="s">
        <v>11794</v>
      </c>
      <c r="C7935" t="s">
        <v>32466</v>
      </c>
      <c r="D7935" t="s">
        <v>32576</v>
      </c>
      <c r="E7935" t="b">
        <v>0</v>
      </c>
      <c r="F7935" t="s">
        <v>11624</v>
      </c>
      <c r="G7935">
        <v>-7.3742400000000004</v>
      </c>
      <c r="H7935">
        <v>144.863</v>
      </c>
      <c r="I7935" t="s">
        <v>32577</v>
      </c>
      <c r="L7935">
        <v>0</v>
      </c>
      <c r="M7935">
        <v>0</v>
      </c>
      <c r="N7935">
        <v>0</v>
      </c>
      <c r="O7935" t="s">
        <v>11660</v>
      </c>
    </row>
    <row r="7936" spans="1:15">
      <c r="A7936" t="s">
        <v>32578</v>
      </c>
      <c r="B7936" t="s">
        <v>11615</v>
      </c>
      <c r="C7936" t="s">
        <v>27213</v>
      </c>
      <c r="D7936" t="s">
        <v>32579</v>
      </c>
      <c r="E7936" t="b">
        <v>0</v>
      </c>
      <c r="F7936" t="s">
        <v>11624</v>
      </c>
      <c r="G7936">
        <v>-5.4258600000000001</v>
      </c>
      <c r="H7936">
        <v>143.089</v>
      </c>
      <c r="I7936" t="s">
        <v>32580</v>
      </c>
      <c r="L7936">
        <v>0</v>
      </c>
      <c r="M7936">
        <v>0</v>
      </c>
      <c r="N7936">
        <v>3</v>
      </c>
      <c r="O7936" t="s">
        <v>11660</v>
      </c>
    </row>
    <row r="7937" spans="1:15">
      <c r="A7937" t="s">
        <v>32581</v>
      </c>
      <c r="B7937" t="s">
        <v>6742</v>
      </c>
      <c r="C7937" t="s">
        <v>12818</v>
      </c>
      <c r="D7937" t="s">
        <v>32582</v>
      </c>
      <c r="E7937" t="b">
        <v>0</v>
      </c>
      <c r="F7937" t="s">
        <v>11610</v>
      </c>
      <c r="L7937">
        <v>0</v>
      </c>
      <c r="M7937">
        <v>0</v>
      </c>
      <c r="N7937">
        <v>0</v>
      </c>
    </row>
    <row r="7938" spans="1:15">
      <c r="A7938" t="s">
        <v>27504</v>
      </c>
      <c r="B7938" t="s">
        <v>6742</v>
      </c>
      <c r="C7938" t="s">
        <v>20906</v>
      </c>
      <c r="D7938" t="s">
        <v>32583</v>
      </c>
      <c r="E7938" t="b">
        <v>0</v>
      </c>
      <c r="F7938" t="s">
        <v>11624</v>
      </c>
      <c r="G7938">
        <v>6.2918000000000003</v>
      </c>
      <c r="H7938">
        <v>9.6467600000000004</v>
      </c>
      <c r="I7938" t="s">
        <v>32584</v>
      </c>
      <c r="L7938">
        <v>0</v>
      </c>
      <c r="M7938">
        <v>0</v>
      </c>
      <c r="N7938">
        <v>3</v>
      </c>
      <c r="O7938" t="s">
        <v>11703</v>
      </c>
    </row>
    <row r="7939" spans="1:15">
      <c r="A7939" t="s">
        <v>32585</v>
      </c>
      <c r="B7939" t="s">
        <v>6742</v>
      </c>
      <c r="C7939" t="s">
        <v>31949</v>
      </c>
      <c r="D7939" t="s">
        <v>32586</v>
      </c>
      <c r="E7939" t="b">
        <v>0</v>
      </c>
      <c r="F7939" t="s">
        <v>11610</v>
      </c>
      <c r="L7939">
        <v>0</v>
      </c>
      <c r="M7939">
        <v>0</v>
      </c>
      <c r="N7939">
        <v>5</v>
      </c>
    </row>
    <row r="7940" spans="1:15">
      <c r="A7940" t="s">
        <v>32587</v>
      </c>
      <c r="B7940" t="s">
        <v>11607</v>
      </c>
      <c r="C7940" t="s">
        <v>13011</v>
      </c>
      <c r="D7940" t="s">
        <v>32588</v>
      </c>
      <c r="E7940" t="b">
        <v>0</v>
      </c>
      <c r="F7940" t="s">
        <v>11610</v>
      </c>
      <c r="L7940">
        <v>0</v>
      </c>
      <c r="M7940">
        <v>0</v>
      </c>
      <c r="N7940">
        <v>0</v>
      </c>
    </row>
    <row r="7941" spans="1:15">
      <c r="A7941" t="s">
        <v>32589</v>
      </c>
      <c r="B7941" t="s">
        <v>13741</v>
      </c>
      <c r="C7941" t="s">
        <v>20878</v>
      </c>
      <c r="D7941" t="s">
        <v>32590</v>
      </c>
      <c r="E7941" t="b">
        <v>0</v>
      </c>
      <c r="F7941" t="s">
        <v>11624</v>
      </c>
      <c r="G7941">
        <v>-3.3123300000000002</v>
      </c>
      <c r="H7941">
        <v>-73.970460000000003</v>
      </c>
      <c r="I7941" t="s">
        <v>32591</v>
      </c>
      <c r="L7941">
        <v>0</v>
      </c>
      <c r="M7941">
        <v>0</v>
      </c>
      <c r="N7941">
        <v>1</v>
      </c>
      <c r="O7941" t="s">
        <v>11778</v>
      </c>
    </row>
    <row r="7942" spans="1:15">
      <c r="A7942" t="s">
        <v>14246</v>
      </c>
      <c r="B7942" t="s">
        <v>13741</v>
      </c>
      <c r="C7942" t="s">
        <v>13741</v>
      </c>
      <c r="D7942" t="s">
        <v>32592</v>
      </c>
      <c r="E7942" t="b">
        <v>0</v>
      </c>
      <c r="F7942" t="s">
        <v>11622</v>
      </c>
      <c r="L7942">
        <v>2</v>
      </c>
      <c r="M7942">
        <v>4</v>
      </c>
      <c r="N7942">
        <v>1</v>
      </c>
    </row>
    <row r="7943" spans="1:15">
      <c r="A7943" t="s">
        <v>32593</v>
      </c>
      <c r="B7943" t="s">
        <v>4342</v>
      </c>
      <c r="C7943" t="s">
        <v>32138</v>
      </c>
      <c r="D7943" t="s">
        <v>32594</v>
      </c>
      <c r="E7943" t="b">
        <v>0</v>
      </c>
      <c r="F7943" t="s">
        <v>11610</v>
      </c>
      <c r="G7943">
        <v>24.831088000000001</v>
      </c>
      <c r="H7943">
        <v>125.18956</v>
      </c>
      <c r="L7943">
        <v>0</v>
      </c>
      <c r="M7943">
        <v>0</v>
      </c>
      <c r="N7943">
        <v>0</v>
      </c>
    </row>
    <row r="7944" spans="1:15">
      <c r="A7944" t="s">
        <v>32595</v>
      </c>
      <c r="B7944" t="s">
        <v>11839</v>
      </c>
      <c r="C7944" t="s">
        <v>14670</v>
      </c>
      <c r="D7944" t="s">
        <v>32596</v>
      </c>
      <c r="E7944" t="b">
        <v>0</v>
      </c>
      <c r="F7944" t="s">
        <v>11610</v>
      </c>
      <c r="L7944">
        <v>0</v>
      </c>
      <c r="M7944">
        <v>0</v>
      </c>
      <c r="N7944">
        <v>0</v>
      </c>
    </row>
    <row r="7945" spans="1:15">
      <c r="A7945" t="s">
        <v>32597</v>
      </c>
      <c r="B7945" t="s">
        <v>367</v>
      </c>
      <c r="C7945" t="s">
        <v>24015</v>
      </c>
      <c r="D7945" t="s">
        <v>32598</v>
      </c>
      <c r="E7945" t="b">
        <v>0</v>
      </c>
      <c r="F7945" t="s">
        <v>11624</v>
      </c>
      <c r="G7945">
        <v>4.3361999999999998</v>
      </c>
      <c r="H7945">
        <v>118.224</v>
      </c>
      <c r="I7945" t="s">
        <v>32599</v>
      </c>
      <c r="L7945">
        <v>0</v>
      </c>
      <c r="M7945">
        <v>0</v>
      </c>
      <c r="N7945">
        <v>0</v>
      </c>
      <c r="O7945" t="s">
        <v>11672</v>
      </c>
    </row>
    <row r="7946" spans="1:15">
      <c r="A7946" t="s">
        <v>32600</v>
      </c>
      <c r="D7946" t="s">
        <v>32601</v>
      </c>
      <c r="E7946" t="b">
        <v>0</v>
      </c>
      <c r="F7946" t="s">
        <v>11624</v>
      </c>
      <c r="G7946">
        <v>-12.7178</v>
      </c>
      <c r="H7946">
        <v>-57.980600000000003</v>
      </c>
      <c r="I7946" t="s">
        <v>32602</v>
      </c>
      <c r="L7946">
        <v>0</v>
      </c>
      <c r="M7946">
        <v>0</v>
      </c>
      <c r="N7946">
        <v>2</v>
      </c>
      <c r="O7946" t="s">
        <v>11969</v>
      </c>
    </row>
    <row r="7947" spans="1:15">
      <c r="A7947" t="s">
        <v>32603</v>
      </c>
      <c r="B7947" t="s">
        <v>32600</v>
      </c>
      <c r="C7947" t="s">
        <v>32600</v>
      </c>
      <c r="D7947" t="s">
        <v>32604</v>
      </c>
      <c r="E7947" t="b">
        <v>0</v>
      </c>
      <c r="F7947" t="s">
        <v>11610</v>
      </c>
      <c r="L7947">
        <v>0</v>
      </c>
      <c r="M7947">
        <v>0</v>
      </c>
      <c r="N7947">
        <v>0</v>
      </c>
    </row>
    <row r="7948" spans="1:15">
      <c r="A7948" t="s">
        <v>32605</v>
      </c>
      <c r="B7948" t="s">
        <v>11607</v>
      </c>
      <c r="C7948" t="s">
        <v>14879</v>
      </c>
      <c r="D7948" t="s">
        <v>32606</v>
      </c>
      <c r="E7948" t="b">
        <v>0</v>
      </c>
      <c r="F7948" t="s">
        <v>11610</v>
      </c>
      <c r="L7948">
        <v>0</v>
      </c>
      <c r="M7948">
        <v>0</v>
      </c>
      <c r="N7948">
        <v>0</v>
      </c>
    </row>
    <row r="7949" spans="1:15">
      <c r="A7949" t="s">
        <v>2187</v>
      </c>
      <c r="B7949" t="s">
        <v>11637</v>
      </c>
      <c r="C7949" t="s">
        <v>185</v>
      </c>
      <c r="D7949" t="s">
        <v>32607</v>
      </c>
      <c r="E7949" t="b">
        <v>0</v>
      </c>
      <c r="F7949" t="s">
        <v>11622</v>
      </c>
      <c r="L7949">
        <v>50</v>
      </c>
      <c r="M7949">
        <v>95</v>
      </c>
      <c r="N7949">
        <v>212</v>
      </c>
    </row>
    <row r="7950" spans="1:15">
      <c r="A7950" t="s">
        <v>29605</v>
      </c>
      <c r="B7950" t="s">
        <v>11607</v>
      </c>
      <c r="C7950" t="s">
        <v>12909</v>
      </c>
      <c r="D7950" t="s">
        <v>32608</v>
      </c>
      <c r="E7950" t="b">
        <v>0</v>
      </c>
      <c r="F7950" t="s">
        <v>11622</v>
      </c>
      <c r="L7950">
        <v>0</v>
      </c>
      <c r="M7950">
        <v>2</v>
      </c>
      <c r="N7950">
        <v>1</v>
      </c>
    </row>
    <row r="7951" spans="1:15">
      <c r="A7951" t="s">
        <v>14704</v>
      </c>
      <c r="B7951" t="s">
        <v>11607</v>
      </c>
      <c r="C7951" t="s">
        <v>29605</v>
      </c>
      <c r="D7951" t="s">
        <v>32609</v>
      </c>
      <c r="E7951" t="b">
        <v>0</v>
      </c>
      <c r="F7951" t="s">
        <v>11624</v>
      </c>
      <c r="G7951">
        <v>-4.1994800000000003</v>
      </c>
      <c r="H7951">
        <v>35.293900000000001</v>
      </c>
      <c r="I7951" t="s">
        <v>32610</v>
      </c>
      <c r="L7951">
        <v>0</v>
      </c>
      <c r="M7951">
        <v>0</v>
      </c>
      <c r="N7951">
        <v>1</v>
      </c>
      <c r="O7951" t="s">
        <v>11635</v>
      </c>
    </row>
    <row r="7952" spans="1:15">
      <c r="A7952" t="s">
        <v>32611</v>
      </c>
      <c r="B7952" t="s">
        <v>11607</v>
      </c>
      <c r="C7952" t="s">
        <v>12472</v>
      </c>
      <c r="D7952" t="s">
        <v>32612</v>
      </c>
      <c r="E7952" t="b">
        <v>0</v>
      </c>
      <c r="F7952" t="s">
        <v>11610</v>
      </c>
      <c r="L7952">
        <v>0</v>
      </c>
      <c r="M7952">
        <v>0</v>
      </c>
      <c r="N7952">
        <v>0</v>
      </c>
    </row>
    <row r="7953" spans="1:15">
      <c r="A7953" t="s">
        <v>32613</v>
      </c>
      <c r="B7953" t="s">
        <v>11981</v>
      </c>
      <c r="C7953" t="s">
        <v>32614</v>
      </c>
      <c r="D7953" t="s">
        <v>32615</v>
      </c>
      <c r="E7953" t="b">
        <v>0</v>
      </c>
      <c r="F7953" t="s">
        <v>11624</v>
      </c>
      <c r="G7953">
        <v>33.308737999999998</v>
      </c>
      <c r="H7953">
        <v>44.377867000000002</v>
      </c>
      <c r="L7953">
        <v>0</v>
      </c>
      <c r="M7953">
        <v>0</v>
      </c>
      <c r="N7953">
        <v>0</v>
      </c>
      <c r="O7953" t="s">
        <v>11944</v>
      </c>
    </row>
    <row r="7954" spans="1:15">
      <c r="A7954" t="s">
        <v>32616</v>
      </c>
      <c r="B7954" t="s">
        <v>367</v>
      </c>
      <c r="C7954" t="s">
        <v>32617</v>
      </c>
      <c r="D7954" t="s">
        <v>32618</v>
      </c>
      <c r="E7954" t="b">
        <v>0</v>
      </c>
      <c r="F7954" t="s">
        <v>11624</v>
      </c>
      <c r="G7954">
        <v>-2.9443800000000002</v>
      </c>
      <c r="H7954">
        <v>133.58600000000001</v>
      </c>
      <c r="I7954" t="s">
        <v>32619</v>
      </c>
      <c r="L7954">
        <v>0</v>
      </c>
      <c r="M7954">
        <v>0</v>
      </c>
      <c r="N7954">
        <v>0</v>
      </c>
      <c r="O7954" t="s">
        <v>11768</v>
      </c>
    </row>
    <row r="7955" spans="1:15">
      <c r="A7955" t="s">
        <v>11814</v>
      </c>
      <c r="B7955" t="s">
        <v>367</v>
      </c>
      <c r="C7955" t="s">
        <v>12934</v>
      </c>
      <c r="D7955" t="s">
        <v>32620</v>
      </c>
      <c r="E7955" t="b">
        <v>0</v>
      </c>
      <c r="F7955" t="s">
        <v>11624</v>
      </c>
      <c r="G7955">
        <v>13.381</v>
      </c>
      <c r="H7955">
        <v>120.65</v>
      </c>
      <c r="I7955" t="s">
        <v>32621</v>
      </c>
      <c r="L7955">
        <v>0</v>
      </c>
      <c r="M7955">
        <v>0</v>
      </c>
      <c r="N7955">
        <v>6</v>
      </c>
      <c r="O7955" t="s">
        <v>11749</v>
      </c>
    </row>
    <row r="7956" spans="1:15">
      <c r="A7956" t="s">
        <v>32622</v>
      </c>
      <c r="B7956" t="s">
        <v>1342</v>
      </c>
      <c r="C7956" t="s">
        <v>31912</v>
      </c>
      <c r="D7956" t="s">
        <v>32623</v>
      </c>
      <c r="E7956" t="b">
        <v>0</v>
      </c>
      <c r="F7956" t="s">
        <v>11610</v>
      </c>
      <c r="L7956">
        <v>0</v>
      </c>
      <c r="M7956">
        <v>0</v>
      </c>
      <c r="N7956">
        <v>0</v>
      </c>
    </row>
    <row r="7957" spans="1:15">
      <c r="A7957" t="s">
        <v>32624</v>
      </c>
      <c r="B7957" t="s">
        <v>367</v>
      </c>
      <c r="C7957" t="s">
        <v>32625</v>
      </c>
      <c r="D7957" t="s">
        <v>32626</v>
      </c>
      <c r="E7957" t="b">
        <v>0</v>
      </c>
      <c r="F7957" t="s">
        <v>11624</v>
      </c>
      <c r="G7957">
        <v>-3.6280299999999999</v>
      </c>
      <c r="H7957">
        <v>135.02500000000001</v>
      </c>
      <c r="I7957" t="s">
        <v>32627</v>
      </c>
      <c r="L7957">
        <v>0</v>
      </c>
      <c r="M7957">
        <v>0</v>
      </c>
      <c r="N7957">
        <v>0</v>
      </c>
      <c r="O7957" t="s">
        <v>11768</v>
      </c>
    </row>
    <row r="7958" spans="1:15">
      <c r="A7958" t="s">
        <v>32628</v>
      </c>
      <c r="B7958" t="s">
        <v>6742</v>
      </c>
      <c r="C7958" t="s">
        <v>32629</v>
      </c>
      <c r="D7958" t="s">
        <v>32630</v>
      </c>
      <c r="E7958" t="b">
        <v>0</v>
      </c>
      <c r="F7958" t="s">
        <v>11624</v>
      </c>
      <c r="G7958">
        <v>9.8519699999999997</v>
      </c>
      <c r="H7958">
        <v>8.6524999999999999</v>
      </c>
      <c r="I7958" t="s">
        <v>32631</v>
      </c>
      <c r="L7958">
        <v>0</v>
      </c>
      <c r="M7958">
        <v>0</v>
      </c>
      <c r="N7958">
        <v>0</v>
      </c>
      <c r="O7958" t="s">
        <v>11693</v>
      </c>
    </row>
    <row r="7959" spans="1:15">
      <c r="A7959" t="s">
        <v>32632</v>
      </c>
      <c r="B7959" t="s">
        <v>367</v>
      </c>
      <c r="C7959" t="s">
        <v>12975</v>
      </c>
      <c r="D7959" t="s">
        <v>32633</v>
      </c>
      <c r="E7959" t="b">
        <v>0</v>
      </c>
      <c r="F7959" t="s">
        <v>11624</v>
      </c>
      <c r="G7959">
        <v>13.3896</v>
      </c>
      <c r="H7959">
        <v>123.331</v>
      </c>
      <c r="I7959" t="s">
        <v>32634</v>
      </c>
      <c r="L7959">
        <v>0</v>
      </c>
      <c r="M7959">
        <v>0</v>
      </c>
      <c r="N7959">
        <v>0</v>
      </c>
      <c r="O7959" t="s">
        <v>11749</v>
      </c>
    </row>
    <row r="7960" spans="1:15">
      <c r="A7960" t="s">
        <v>32635</v>
      </c>
      <c r="B7960" t="s">
        <v>6742</v>
      </c>
      <c r="C7960" t="s">
        <v>32636</v>
      </c>
      <c r="D7960" t="s">
        <v>32637</v>
      </c>
      <c r="E7960" t="b">
        <v>0</v>
      </c>
      <c r="F7960" t="s">
        <v>11610</v>
      </c>
      <c r="L7960">
        <v>0</v>
      </c>
      <c r="M7960">
        <v>0</v>
      </c>
      <c r="N7960">
        <v>0</v>
      </c>
    </row>
    <row r="7961" spans="1:15">
      <c r="A7961" t="s">
        <v>32638</v>
      </c>
      <c r="B7961" t="s">
        <v>11981</v>
      </c>
      <c r="C7961" t="s">
        <v>13026</v>
      </c>
      <c r="D7961" t="s">
        <v>32639</v>
      </c>
      <c r="E7961" t="b">
        <v>0</v>
      </c>
      <c r="F7961" t="s">
        <v>11624</v>
      </c>
      <c r="G7961">
        <v>53.314999999999998</v>
      </c>
      <c r="H7961">
        <v>-6.3654099999999998</v>
      </c>
      <c r="I7961" t="s">
        <v>32640</v>
      </c>
      <c r="L7961">
        <v>0</v>
      </c>
      <c r="M7961">
        <v>0</v>
      </c>
      <c r="N7961">
        <v>0</v>
      </c>
      <c r="O7961" t="s">
        <v>32641</v>
      </c>
    </row>
    <row r="7962" spans="1:15">
      <c r="A7962" t="s">
        <v>4833</v>
      </c>
      <c r="B7962" t="s">
        <v>11637</v>
      </c>
      <c r="C7962" t="s">
        <v>26529</v>
      </c>
      <c r="D7962" t="s">
        <v>32642</v>
      </c>
      <c r="E7962" t="b">
        <v>0</v>
      </c>
      <c r="F7962" t="s">
        <v>11624</v>
      </c>
      <c r="G7962">
        <v>53.218600000000002</v>
      </c>
      <c r="H7962">
        <v>-7.6150900000000004</v>
      </c>
      <c r="I7962" t="s">
        <v>4834</v>
      </c>
      <c r="L7962">
        <v>0</v>
      </c>
      <c r="M7962">
        <v>0</v>
      </c>
      <c r="N7962">
        <v>3</v>
      </c>
      <c r="O7962" t="s">
        <v>32643</v>
      </c>
    </row>
    <row r="7963" spans="1:15">
      <c r="A7963" t="s">
        <v>32644</v>
      </c>
      <c r="B7963" t="s">
        <v>12204</v>
      </c>
      <c r="C7963" t="s">
        <v>12204</v>
      </c>
      <c r="D7963" t="s">
        <v>32645</v>
      </c>
      <c r="E7963" t="b">
        <v>0</v>
      </c>
      <c r="F7963" t="s">
        <v>11622</v>
      </c>
      <c r="L7963">
        <v>0</v>
      </c>
      <c r="M7963">
        <v>1</v>
      </c>
      <c r="N7963">
        <v>0</v>
      </c>
    </row>
    <row r="7964" spans="1:15">
      <c r="A7964" t="s">
        <v>32646</v>
      </c>
      <c r="B7964" t="s">
        <v>11637</v>
      </c>
      <c r="C7964" t="s">
        <v>180</v>
      </c>
      <c r="D7964" t="s">
        <v>32647</v>
      </c>
      <c r="E7964" t="b">
        <v>0</v>
      </c>
      <c r="F7964" t="s">
        <v>11610</v>
      </c>
      <c r="L7964">
        <v>0</v>
      </c>
      <c r="M7964">
        <v>0</v>
      </c>
      <c r="N7964">
        <v>8</v>
      </c>
    </row>
    <row r="7965" spans="1:15">
      <c r="A7965" t="s">
        <v>32648</v>
      </c>
      <c r="B7965" t="s">
        <v>11607</v>
      </c>
      <c r="C7965" t="s">
        <v>32649</v>
      </c>
      <c r="D7965" t="s">
        <v>32650</v>
      </c>
      <c r="E7965" t="b">
        <v>0</v>
      </c>
      <c r="F7965" t="s">
        <v>11610</v>
      </c>
      <c r="L7965">
        <v>0</v>
      </c>
      <c r="M7965">
        <v>0</v>
      </c>
      <c r="N7965">
        <v>0</v>
      </c>
    </row>
    <row r="7966" spans="1:15">
      <c r="A7966" t="s">
        <v>32651</v>
      </c>
      <c r="B7966" t="s">
        <v>11637</v>
      </c>
      <c r="C7966" t="s">
        <v>13085</v>
      </c>
      <c r="D7966" t="s">
        <v>32652</v>
      </c>
      <c r="E7966" t="b">
        <v>0</v>
      </c>
      <c r="F7966" t="s">
        <v>11610</v>
      </c>
      <c r="L7966">
        <v>0</v>
      </c>
      <c r="M7966">
        <v>0</v>
      </c>
      <c r="N7966">
        <v>0</v>
      </c>
    </row>
    <row r="7967" spans="1:15">
      <c r="A7967" t="s">
        <v>32653</v>
      </c>
      <c r="B7967" t="s">
        <v>11637</v>
      </c>
      <c r="C7967" t="s">
        <v>25734</v>
      </c>
      <c r="D7967" t="s">
        <v>32654</v>
      </c>
      <c r="E7967" t="b">
        <v>0</v>
      </c>
      <c r="F7967" t="s">
        <v>11610</v>
      </c>
      <c r="L7967">
        <v>0</v>
      </c>
      <c r="M7967">
        <v>0</v>
      </c>
      <c r="N7967">
        <v>2</v>
      </c>
    </row>
    <row r="7968" spans="1:15">
      <c r="A7968" t="s">
        <v>32655</v>
      </c>
      <c r="B7968" t="s">
        <v>11607</v>
      </c>
      <c r="C7968" t="s">
        <v>23736</v>
      </c>
      <c r="D7968" t="s">
        <v>32656</v>
      </c>
      <c r="E7968" t="b">
        <v>0</v>
      </c>
      <c r="F7968" t="s">
        <v>11610</v>
      </c>
      <c r="L7968">
        <v>0</v>
      </c>
      <c r="M7968">
        <v>0</v>
      </c>
      <c r="N7968">
        <v>0</v>
      </c>
    </row>
    <row r="7969" spans="1:15">
      <c r="A7969" t="s">
        <v>300</v>
      </c>
      <c r="D7969" t="s">
        <v>32657</v>
      </c>
      <c r="E7969" t="b">
        <v>0</v>
      </c>
      <c r="F7969" t="s">
        <v>11622</v>
      </c>
      <c r="L7969">
        <v>3</v>
      </c>
      <c r="M7969">
        <v>11</v>
      </c>
      <c r="N7969">
        <v>12</v>
      </c>
    </row>
    <row r="7970" spans="1:15">
      <c r="A7970" t="s">
        <v>32658</v>
      </c>
      <c r="B7970" t="s">
        <v>6742</v>
      </c>
      <c r="C7970" t="s">
        <v>15272</v>
      </c>
      <c r="D7970" t="s">
        <v>32659</v>
      </c>
      <c r="E7970" t="b">
        <v>0</v>
      </c>
      <c r="F7970" t="s">
        <v>11610</v>
      </c>
      <c r="L7970">
        <v>0</v>
      </c>
      <c r="M7970">
        <v>0</v>
      </c>
      <c r="N7970">
        <v>0</v>
      </c>
    </row>
    <row r="7971" spans="1:15">
      <c r="A7971" t="s">
        <v>32660</v>
      </c>
      <c r="B7971" t="s">
        <v>11627</v>
      </c>
      <c r="C7971" t="s">
        <v>11627</v>
      </c>
      <c r="D7971" t="s">
        <v>32661</v>
      </c>
      <c r="E7971" t="b">
        <v>1</v>
      </c>
      <c r="F7971" t="s">
        <v>11624</v>
      </c>
      <c r="G7971">
        <v>15.7188</v>
      </c>
      <c r="H7971">
        <v>106.56399999999999</v>
      </c>
      <c r="I7971" t="s">
        <v>32662</v>
      </c>
      <c r="L7971">
        <v>0</v>
      </c>
      <c r="M7971">
        <v>0</v>
      </c>
      <c r="N7971">
        <v>0</v>
      </c>
      <c r="O7971" t="s">
        <v>12921</v>
      </c>
    </row>
    <row r="7972" spans="1:15">
      <c r="A7972" t="s">
        <v>32663</v>
      </c>
      <c r="B7972" t="s">
        <v>6742</v>
      </c>
      <c r="C7972" t="s">
        <v>11804</v>
      </c>
      <c r="D7972" t="s">
        <v>32664</v>
      </c>
      <c r="E7972" t="b">
        <v>0</v>
      </c>
      <c r="F7972" t="s">
        <v>11610</v>
      </c>
      <c r="L7972">
        <v>0</v>
      </c>
      <c r="M7972">
        <v>0</v>
      </c>
      <c r="N7972">
        <v>0</v>
      </c>
    </row>
    <row r="7973" spans="1:15">
      <c r="A7973" t="s">
        <v>32665</v>
      </c>
      <c r="B7973" t="s">
        <v>6742</v>
      </c>
      <c r="C7973" t="s">
        <v>11804</v>
      </c>
      <c r="D7973" t="s">
        <v>32666</v>
      </c>
      <c r="E7973" t="b">
        <v>0</v>
      </c>
      <c r="F7973" t="s">
        <v>11610</v>
      </c>
      <c r="L7973">
        <v>0</v>
      </c>
      <c r="M7973">
        <v>0</v>
      </c>
      <c r="N7973">
        <v>0</v>
      </c>
    </row>
    <row r="7974" spans="1:15">
      <c r="A7974" t="s">
        <v>32667</v>
      </c>
      <c r="B7974" t="s">
        <v>11844</v>
      </c>
      <c r="C7974" t="s">
        <v>32668</v>
      </c>
      <c r="D7974" t="s">
        <v>32669</v>
      </c>
      <c r="E7974" t="b">
        <v>0</v>
      </c>
      <c r="F7974" t="s">
        <v>11624</v>
      </c>
      <c r="G7974">
        <v>12.70645</v>
      </c>
      <c r="H7974">
        <v>79.952089999999998</v>
      </c>
      <c r="I7974" t="s">
        <v>32670</v>
      </c>
      <c r="L7974">
        <v>0</v>
      </c>
      <c r="M7974">
        <v>0</v>
      </c>
      <c r="N7974">
        <v>6</v>
      </c>
      <c r="O7974" t="s">
        <v>11630</v>
      </c>
    </row>
    <row r="7975" spans="1:15">
      <c r="A7975" t="s">
        <v>32671</v>
      </c>
      <c r="B7975" t="s">
        <v>11844</v>
      </c>
      <c r="C7975" t="s">
        <v>32667</v>
      </c>
      <c r="D7975" t="s">
        <v>32672</v>
      </c>
      <c r="E7975" t="b">
        <v>0</v>
      </c>
      <c r="F7975" t="s">
        <v>11610</v>
      </c>
      <c r="L7975">
        <v>0</v>
      </c>
      <c r="M7975">
        <v>0</v>
      </c>
      <c r="N7975">
        <v>0</v>
      </c>
    </row>
    <row r="7976" spans="1:15">
      <c r="A7976" t="s">
        <v>32668</v>
      </c>
      <c r="B7976" t="s">
        <v>11844</v>
      </c>
      <c r="C7976" t="s">
        <v>32673</v>
      </c>
      <c r="D7976" t="s">
        <v>32674</v>
      </c>
      <c r="E7976" t="b">
        <v>0</v>
      </c>
      <c r="F7976" t="s">
        <v>11622</v>
      </c>
      <c r="L7976">
        <v>1</v>
      </c>
      <c r="M7976">
        <v>3</v>
      </c>
      <c r="N7976">
        <v>6</v>
      </c>
    </row>
    <row r="7977" spans="1:15">
      <c r="A7977" t="s">
        <v>32675</v>
      </c>
      <c r="B7977" t="s">
        <v>11686</v>
      </c>
      <c r="C7977" t="s">
        <v>8688</v>
      </c>
      <c r="D7977" t="s">
        <v>32676</v>
      </c>
      <c r="E7977" t="b">
        <v>0</v>
      </c>
      <c r="F7977" t="s">
        <v>11610</v>
      </c>
      <c r="L7977">
        <v>0</v>
      </c>
      <c r="M7977">
        <v>0</v>
      </c>
      <c r="N7977">
        <v>0</v>
      </c>
    </row>
    <row r="7978" spans="1:15">
      <c r="A7978" t="s">
        <v>32677</v>
      </c>
      <c r="B7978" t="s">
        <v>367</v>
      </c>
      <c r="C7978" t="s">
        <v>13019</v>
      </c>
      <c r="D7978" t="s">
        <v>32678</v>
      </c>
      <c r="E7978" t="b">
        <v>0</v>
      </c>
      <c r="F7978" t="s">
        <v>11610</v>
      </c>
      <c r="L7978">
        <v>0</v>
      </c>
      <c r="M7978">
        <v>0</v>
      </c>
      <c r="N7978">
        <v>0</v>
      </c>
    </row>
    <row r="7979" spans="1:15">
      <c r="A7979" t="s">
        <v>32679</v>
      </c>
      <c r="B7979" t="s">
        <v>11615</v>
      </c>
      <c r="C7979" t="s">
        <v>32680</v>
      </c>
      <c r="D7979" t="s">
        <v>32681</v>
      </c>
      <c r="E7979" t="b">
        <v>0</v>
      </c>
      <c r="F7979" t="s">
        <v>11624</v>
      </c>
      <c r="G7979">
        <v>-5.8380900000000002</v>
      </c>
      <c r="H7979">
        <v>145.46199999999999</v>
      </c>
      <c r="I7979" t="s">
        <v>32682</v>
      </c>
      <c r="L7979">
        <v>0</v>
      </c>
      <c r="M7979">
        <v>0</v>
      </c>
      <c r="N7979">
        <v>0</v>
      </c>
      <c r="O7979" t="s">
        <v>11660</v>
      </c>
    </row>
    <row r="7980" spans="1:15">
      <c r="A7980" t="s">
        <v>32683</v>
      </c>
      <c r="B7980" t="s">
        <v>6742</v>
      </c>
      <c r="C7980" t="s">
        <v>29257</v>
      </c>
      <c r="D7980" t="s">
        <v>32684</v>
      </c>
      <c r="E7980" t="b">
        <v>0</v>
      </c>
      <c r="F7980" t="s">
        <v>11610</v>
      </c>
      <c r="L7980">
        <v>0</v>
      </c>
      <c r="M7980">
        <v>0</v>
      </c>
      <c r="N7980">
        <v>0</v>
      </c>
    </row>
    <row r="7981" spans="1:15">
      <c r="A7981" t="s">
        <v>32685</v>
      </c>
      <c r="B7981" t="s">
        <v>367</v>
      </c>
      <c r="C7981" t="s">
        <v>32686</v>
      </c>
      <c r="D7981" t="s">
        <v>32687</v>
      </c>
      <c r="E7981" t="b">
        <v>0</v>
      </c>
      <c r="F7981" t="s">
        <v>11610</v>
      </c>
      <c r="L7981">
        <v>0</v>
      </c>
      <c r="M7981">
        <v>0</v>
      </c>
      <c r="N7981">
        <v>0</v>
      </c>
    </row>
    <row r="7982" spans="1:15">
      <c r="A7982" t="s">
        <v>32688</v>
      </c>
      <c r="B7982" t="s">
        <v>12133</v>
      </c>
      <c r="C7982" t="s">
        <v>32689</v>
      </c>
      <c r="D7982" t="s">
        <v>32690</v>
      </c>
      <c r="E7982" t="b">
        <v>0</v>
      </c>
      <c r="F7982" t="s">
        <v>11610</v>
      </c>
      <c r="L7982">
        <v>0</v>
      </c>
      <c r="M7982">
        <v>0</v>
      </c>
      <c r="N7982">
        <v>0</v>
      </c>
    </row>
    <row r="7983" spans="1:15">
      <c r="A7983" t="s">
        <v>32691</v>
      </c>
      <c r="B7983" t="s">
        <v>6742</v>
      </c>
      <c r="C7983" t="s">
        <v>32692</v>
      </c>
      <c r="D7983" t="s">
        <v>32693</v>
      </c>
      <c r="E7983" t="b">
        <v>0</v>
      </c>
      <c r="F7983" t="s">
        <v>11624</v>
      </c>
      <c r="G7983">
        <v>-3.9999099999999999</v>
      </c>
      <c r="H7983">
        <v>34.845999999999997</v>
      </c>
      <c r="I7983" t="s">
        <v>32694</v>
      </c>
      <c r="L7983">
        <v>0</v>
      </c>
      <c r="M7983">
        <v>0</v>
      </c>
      <c r="N7983">
        <v>0</v>
      </c>
      <c r="O7983" t="s">
        <v>11635</v>
      </c>
    </row>
    <row r="7984" spans="1:15">
      <c r="A7984" t="s">
        <v>32695</v>
      </c>
      <c r="B7984" t="s">
        <v>11615</v>
      </c>
      <c r="C7984" t="s">
        <v>32696</v>
      </c>
      <c r="D7984" t="s">
        <v>32697</v>
      </c>
      <c r="E7984" t="b">
        <v>0</v>
      </c>
      <c r="F7984" t="s">
        <v>11610</v>
      </c>
      <c r="L7984">
        <v>0</v>
      </c>
      <c r="M7984">
        <v>0</v>
      </c>
      <c r="N7984">
        <v>0</v>
      </c>
    </row>
    <row r="7985" spans="1:15">
      <c r="A7985" t="s">
        <v>32698</v>
      </c>
      <c r="B7985" t="s">
        <v>367</v>
      </c>
      <c r="C7985" t="s">
        <v>32351</v>
      </c>
      <c r="D7985" t="s">
        <v>32699</v>
      </c>
      <c r="E7985" t="b">
        <v>0</v>
      </c>
      <c r="F7985" t="s">
        <v>11624</v>
      </c>
      <c r="G7985">
        <v>13.651</v>
      </c>
      <c r="H7985">
        <v>123.33199999999999</v>
      </c>
      <c r="I7985" t="s">
        <v>32700</v>
      </c>
      <c r="L7985">
        <v>0</v>
      </c>
      <c r="M7985">
        <v>0</v>
      </c>
      <c r="N7985">
        <v>0</v>
      </c>
      <c r="O7985" t="s">
        <v>11749</v>
      </c>
    </row>
    <row r="7986" spans="1:15">
      <c r="A7986" t="s">
        <v>32701</v>
      </c>
      <c r="B7986" t="s">
        <v>13244</v>
      </c>
      <c r="C7986" t="s">
        <v>32702</v>
      </c>
      <c r="D7986" t="s">
        <v>32703</v>
      </c>
      <c r="E7986" t="b">
        <v>0</v>
      </c>
      <c r="F7986" t="s">
        <v>11624</v>
      </c>
      <c r="G7986">
        <v>-7.7523600000000004</v>
      </c>
      <c r="H7986">
        <v>-74.519300000000001</v>
      </c>
      <c r="I7986" t="s">
        <v>32704</v>
      </c>
      <c r="L7986">
        <v>0</v>
      </c>
      <c r="M7986">
        <v>0</v>
      </c>
      <c r="N7986">
        <v>0</v>
      </c>
      <c r="O7986" t="s">
        <v>11778</v>
      </c>
    </row>
    <row r="7987" spans="1:15">
      <c r="A7987" t="s">
        <v>32705</v>
      </c>
      <c r="B7987" t="s">
        <v>11615</v>
      </c>
      <c r="C7987" t="s">
        <v>17519</v>
      </c>
      <c r="D7987" t="s">
        <v>32706</v>
      </c>
      <c r="E7987" t="b">
        <v>0</v>
      </c>
      <c r="F7987" t="s">
        <v>11624</v>
      </c>
      <c r="G7987">
        <v>-5.2071899999999998</v>
      </c>
      <c r="H7987">
        <v>145.691</v>
      </c>
      <c r="I7987" t="s">
        <v>32707</v>
      </c>
      <c r="L7987">
        <v>0</v>
      </c>
      <c r="M7987">
        <v>0</v>
      </c>
      <c r="N7987">
        <v>3</v>
      </c>
      <c r="O7987" t="s">
        <v>11660</v>
      </c>
    </row>
    <row r="7988" spans="1:15">
      <c r="A7988" t="s">
        <v>32708</v>
      </c>
      <c r="B7988" t="s">
        <v>4342</v>
      </c>
      <c r="C7988" t="s">
        <v>32016</v>
      </c>
      <c r="D7988" t="s">
        <v>32709</v>
      </c>
      <c r="E7988" t="b">
        <v>0</v>
      </c>
      <c r="F7988" t="s">
        <v>11610</v>
      </c>
      <c r="L7988">
        <v>0</v>
      </c>
      <c r="M7988">
        <v>0</v>
      </c>
      <c r="N7988">
        <v>0</v>
      </c>
    </row>
    <row r="7989" spans="1:15">
      <c r="A7989" t="s">
        <v>32710</v>
      </c>
      <c r="B7989" t="s">
        <v>6742</v>
      </c>
      <c r="C7989" t="s">
        <v>26791</v>
      </c>
      <c r="D7989" t="s">
        <v>32711</v>
      </c>
      <c r="E7989" t="b">
        <v>0</v>
      </c>
      <c r="F7989" t="s">
        <v>11624</v>
      </c>
      <c r="G7989">
        <v>5.8189799999999998</v>
      </c>
      <c r="H7989">
        <v>5.5861999999999998</v>
      </c>
      <c r="I7989" t="s">
        <v>32712</v>
      </c>
      <c r="L7989">
        <v>0</v>
      </c>
      <c r="M7989">
        <v>0</v>
      </c>
      <c r="N7989">
        <v>0</v>
      </c>
      <c r="O7989" t="s">
        <v>11693</v>
      </c>
    </row>
    <row r="7990" spans="1:15">
      <c r="A7990" t="s">
        <v>32713</v>
      </c>
      <c r="B7990" t="s">
        <v>6742</v>
      </c>
      <c r="C7990" t="s">
        <v>15121</v>
      </c>
      <c r="D7990" t="s">
        <v>32714</v>
      </c>
      <c r="E7990" t="b">
        <v>0</v>
      </c>
      <c r="F7990" t="s">
        <v>11610</v>
      </c>
      <c r="L7990">
        <v>0</v>
      </c>
      <c r="M7990">
        <v>0</v>
      </c>
      <c r="N7990">
        <v>0</v>
      </c>
    </row>
    <row r="7991" spans="1:15">
      <c r="A7991" t="s">
        <v>32715</v>
      </c>
      <c r="B7991" t="s">
        <v>4342</v>
      </c>
      <c r="C7991" t="s">
        <v>30832</v>
      </c>
      <c r="D7991" t="s">
        <v>32716</v>
      </c>
      <c r="E7991" t="b">
        <v>0</v>
      </c>
      <c r="F7991" t="s">
        <v>11610</v>
      </c>
      <c r="L7991">
        <v>0</v>
      </c>
      <c r="M7991">
        <v>0</v>
      </c>
      <c r="N7991">
        <v>0</v>
      </c>
    </row>
    <row r="7992" spans="1:15">
      <c r="A7992" t="s">
        <v>32717</v>
      </c>
      <c r="B7992" t="s">
        <v>11637</v>
      </c>
      <c r="C7992" t="s">
        <v>32718</v>
      </c>
      <c r="D7992" t="s">
        <v>32719</v>
      </c>
      <c r="E7992" t="b">
        <v>0</v>
      </c>
      <c r="F7992" t="s">
        <v>11610</v>
      </c>
      <c r="L7992">
        <v>0</v>
      </c>
      <c r="M7992">
        <v>0</v>
      </c>
      <c r="N7992">
        <v>0</v>
      </c>
    </row>
    <row r="7993" spans="1:15">
      <c r="A7993" t="s">
        <v>32720</v>
      </c>
      <c r="B7993" t="s">
        <v>11637</v>
      </c>
      <c r="C7993" t="s">
        <v>21355</v>
      </c>
      <c r="D7993" t="s">
        <v>32721</v>
      </c>
      <c r="E7993" t="b">
        <v>0</v>
      </c>
      <c r="F7993" t="s">
        <v>11610</v>
      </c>
      <c r="L7993">
        <v>0</v>
      </c>
      <c r="M7993">
        <v>0</v>
      </c>
      <c r="N7993">
        <v>0</v>
      </c>
    </row>
    <row r="7994" spans="1:15">
      <c r="A7994" t="s">
        <v>32718</v>
      </c>
      <c r="B7994" t="s">
        <v>11637</v>
      </c>
      <c r="C7994" t="s">
        <v>32722</v>
      </c>
      <c r="D7994" t="s">
        <v>32723</v>
      </c>
      <c r="E7994" t="b">
        <v>0</v>
      </c>
      <c r="F7994" t="s">
        <v>11624</v>
      </c>
      <c r="G7994">
        <v>36.67</v>
      </c>
      <c r="H7994">
        <v>71.55</v>
      </c>
      <c r="I7994" t="s">
        <v>32724</v>
      </c>
      <c r="L7994">
        <v>0</v>
      </c>
      <c r="M7994">
        <v>0</v>
      </c>
      <c r="N7994">
        <v>2</v>
      </c>
      <c r="O7994" t="s">
        <v>12131</v>
      </c>
    </row>
    <row r="7995" spans="1:15">
      <c r="A7995" t="s">
        <v>32725</v>
      </c>
      <c r="B7995" t="s">
        <v>11637</v>
      </c>
      <c r="C7995" t="s">
        <v>32726</v>
      </c>
      <c r="D7995" t="s">
        <v>32727</v>
      </c>
      <c r="E7995" t="b">
        <v>0</v>
      </c>
      <c r="F7995" t="s">
        <v>11610</v>
      </c>
      <c r="L7995">
        <v>0</v>
      </c>
      <c r="M7995">
        <v>0</v>
      </c>
      <c r="N7995">
        <v>0</v>
      </c>
    </row>
    <row r="7996" spans="1:15">
      <c r="A7996" t="s">
        <v>32728</v>
      </c>
      <c r="B7996" t="s">
        <v>11757</v>
      </c>
      <c r="C7996" t="s">
        <v>20443</v>
      </c>
      <c r="D7996" t="s">
        <v>32729</v>
      </c>
      <c r="E7996" t="b">
        <v>0</v>
      </c>
      <c r="F7996" t="s">
        <v>11624</v>
      </c>
      <c r="G7996">
        <v>-3.423772</v>
      </c>
      <c r="H7996">
        <v>35.428809999999999</v>
      </c>
      <c r="L7996">
        <v>0</v>
      </c>
      <c r="M7996">
        <v>0</v>
      </c>
      <c r="N7996">
        <v>2</v>
      </c>
      <c r="O7996" t="s">
        <v>11635</v>
      </c>
    </row>
    <row r="7997" spans="1:15">
      <c r="A7997" t="s">
        <v>32730</v>
      </c>
      <c r="B7997" t="s">
        <v>367</v>
      </c>
      <c r="C7997" t="s">
        <v>21915</v>
      </c>
      <c r="D7997" t="s">
        <v>32731</v>
      </c>
      <c r="E7997" t="b">
        <v>0</v>
      </c>
      <c r="F7997" t="s">
        <v>11624</v>
      </c>
      <c r="G7997">
        <v>16.329899999999999</v>
      </c>
      <c r="H7997">
        <v>121.12</v>
      </c>
      <c r="I7997" t="s">
        <v>32732</v>
      </c>
      <c r="L7997">
        <v>0</v>
      </c>
      <c r="M7997">
        <v>0</v>
      </c>
      <c r="N7997">
        <v>0</v>
      </c>
      <c r="O7997" t="s">
        <v>11749</v>
      </c>
    </row>
    <row r="7998" spans="1:15">
      <c r="A7998" t="s">
        <v>32733</v>
      </c>
      <c r="B7998" t="s">
        <v>6742</v>
      </c>
      <c r="C7998" t="s">
        <v>32734</v>
      </c>
      <c r="D7998" t="s">
        <v>32735</v>
      </c>
      <c r="E7998" t="b">
        <v>0</v>
      </c>
      <c r="F7998" t="s">
        <v>11610</v>
      </c>
      <c r="L7998">
        <v>0</v>
      </c>
      <c r="M7998">
        <v>0</v>
      </c>
      <c r="N7998">
        <v>0</v>
      </c>
    </row>
    <row r="7999" spans="1:15">
      <c r="A7999" t="s">
        <v>32736</v>
      </c>
      <c r="B7999" t="s">
        <v>6742</v>
      </c>
      <c r="C7999" t="s">
        <v>12818</v>
      </c>
      <c r="D7999" t="s">
        <v>32737</v>
      </c>
      <c r="E7999" t="b">
        <v>0</v>
      </c>
      <c r="F7999" t="s">
        <v>11610</v>
      </c>
      <c r="L7999">
        <v>0</v>
      </c>
      <c r="M7999">
        <v>0</v>
      </c>
      <c r="N7999">
        <v>0</v>
      </c>
    </row>
    <row r="8000" spans="1:15">
      <c r="A8000" t="s">
        <v>25809</v>
      </c>
      <c r="B8000" t="s">
        <v>12557</v>
      </c>
      <c r="C8000" t="s">
        <v>12557</v>
      </c>
      <c r="D8000" t="s">
        <v>32738</v>
      </c>
      <c r="E8000" t="b">
        <v>0</v>
      </c>
      <c r="F8000" t="s">
        <v>11624</v>
      </c>
      <c r="G8000">
        <v>-1.88775</v>
      </c>
      <c r="H8000">
        <v>138.595</v>
      </c>
      <c r="I8000" t="s">
        <v>32739</v>
      </c>
      <c r="L8000">
        <v>0</v>
      </c>
      <c r="M8000">
        <v>0</v>
      </c>
      <c r="N8000">
        <v>2</v>
      </c>
      <c r="O8000" t="s">
        <v>11768</v>
      </c>
    </row>
    <row r="8001" spans="1:15">
      <c r="A8001" t="s">
        <v>32740</v>
      </c>
      <c r="B8001" t="s">
        <v>11637</v>
      </c>
      <c r="C8001" t="s">
        <v>32726</v>
      </c>
      <c r="D8001" t="s">
        <v>32741</v>
      </c>
      <c r="E8001" t="b">
        <v>0</v>
      </c>
      <c r="F8001" t="s">
        <v>11610</v>
      </c>
      <c r="L8001">
        <v>0</v>
      </c>
      <c r="M8001">
        <v>0</v>
      </c>
      <c r="N8001">
        <v>0</v>
      </c>
    </row>
    <row r="8002" spans="1:15">
      <c r="A8002" t="s">
        <v>32742</v>
      </c>
      <c r="B8002" t="s">
        <v>367</v>
      </c>
      <c r="C8002" t="s">
        <v>7437</v>
      </c>
      <c r="D8002" t="s">
        <v>32743</v>
      </c>
      <c r="E8002" t="b">
        <v>0</v>
      </c>
      <c r="F8002" t="s">
        <v>11610</v>
      </c>
      <c r="L8002">
        <v>0</v>
      </c>
      <c r="M8002">
        <v>0</v>
      </c>
      <c r="N8002">
        <v>0</v>
      </c>
    </row>
    <row r="8003" spans="1:15">
      <c r="A8003" t="s">
        <v>32744</v>
      </c>
      <c r="B8003" t="s">
        <v>14798</v>
      </c>
      <c r="C8003" t="s">
        <v>14799</v>
      </c>
      <c r="D8003" t="s">
        <v>32745</v>
      </c>
      <c r="E8003" t="b">
        <v>0</v>
      </c>
      <c r="F8003" t="s">
        <v>11610</v>
      </c>
      <c r="L8003">
        <v>0</v>
      </c>
      <c r="M8003">
        <v>0</v>
      </c>
      <c r="N8003">
        <v>0</v>
      </c>
    </row>
    <row r="8004" spans="1:15">
      <c r="A8004" t="s">
        <v>32746</v>
      </c>
      <c r="B8004" t="s">
        <v>14524</v>
      </c>
      <c r="C8004" t="s">
        <v>23149</v>
      </c>
      <c r="D8004" t="s">
        <v>32747</v>
      </c>
      <c r="E8004" t="b">
        <v>0</v>
      </c>
      <c r="F8004" t="s">
        <v>11610</v>
      </c>
      <c r="L8004">
        <v>0</v>
      </c>
      <c r="M8004">
        <v>0</v>
      </c>
      <c r="N8004">
        <v>0</v>
      </c>
    </row>
    <row r="8005" spans="1:15">
      <c r="A8005" t="s">
        <v>32748</v>
      </c>
      <c r="B8005" t="s">
        <v>13411</v>
      </c>
      <c r="C8005" t="s">
        <v>19145</v>
      </c>
      <c r="D8005" t="s">
        <v>32749</v>
      </c>
      <c r="E8005" t="b">
        <v>0</v>
      </c>
      <c r="F8005" t="s">
        <v>11610</v>
      </c>
      <c r="L8005">
        <v>0</v>
      </c>
      <c r="M8005">
        <v>0</v>
      </c>
      <c r="N8005">
        <v>0</v>
      </c>
    </row>
    <row r="8006" spans="1:15">
      <c r="A8006" t="s">
        <v>32750</v>
      </c>
      <c r="B8006" t="s">
        <v>9071</v>
      </c>
      <c r="C8006" t="s">
        <v>23321</v>
      </c>
      <c r="D8006" t="s">
        <v>32751</v>
      </c>
      <c r="E8006" t="b">
        <v>0</v>
      </c>
      <c r="F8006" t="s">
        <v>11610</v>
      </c>
      <c r="L8006">
        <v>0</v>
      </c>
      <c r="M8006">
        <v>0</v>
      </c>
      <c r="N8006">
        <v>0</v>
      </c>
    </row>
    <row r="8007" spans="1:15">
      <c r="A8007" t="s">
        <v>32752</v>
      </c>
      <c r="B8007" t="s">
        <v>12751</v>
      </c>
      <c r="C8007" t="s">
        <v>32753</v>
      </c>
      <c r="D8007" t="s">
        <v>32754</v>
      </c>
      <c r="E8007" t="b">
        <v>0</v>
      </c>
      <c r="F8007" t="s">
        <v>11624</v>
      </c>
      <c r="L8007">
        <v>0</v>
      </c>
      <c r="M8007">
        <v>0</v>
      </c>
      <c r="N8007">
        <v>0</v>
      </c>
      <c r="O8007" t="s">
        <v>11944</v>
      </c>
    </row>
    <row r="8008" spans="1:15">
      <c r="A8008" t="s">
        <v>8311</v>
      </c>
      <c r="B8008" t="s">
        <v>11894</v>
      </c>
      <c r="C8008" t="s">
        <v>28644</v>
      </c>
      <c r="D8008" t="s">
        <v>32755</v>
      </c>
      <c r="E8008" t="b">
        <v>0</v>
      </c>
      <c r="F8008" t="s">
        <v>11624</v>
      </c>
      <c r="G8008">
        <v>15.364795000000001</v>
      </c>
      <c r="H8008">
        <v>-61.342956999999998</v>
      </c>
      <c r="I8008" t="s">
        <v>32756</v>
      </c>
      <c r="L8008">
        <v>0</v>
      </c>
      <c r="M8008">
        <v>0</v>
      </c>
      <c r="N8008">
        <v>1</v>
      </c>
      <c r="O8008" t="s">
        <v>25198</v>
      </c>
    </row>
    <row r="8009" spans="1:15">
      <c r="A8009" t="s">
        <v>28644</v>
      </c>
      <c r="B8009" t="s">
        <v>11894</v>
      </c>
      <c r="C8009" t="s">
        <v>14391</v>
      </c>
      <c r="D8009" t="s">
        <v>32757</v>
      </c>
      <c r="E8009" t="b">
        <v>0</v>
      </c>
      <c r="F8009" t="s">
        <v>11622</v>
      </c>
      <c r="L8009">
        <v>0</v>
      </c>
      <c r="M8009">
        <v>2</v>
      </c>
      <c r="N8009">
        <v>3</v>
      </c>
    </row>
    <row r="8010" spans="1:15">
      <c r="A8010" t="s">
        <v>32758</v>
      </c>
      <c r="B8010" t="s">
        <v>14571</v>
      </c>
      <c r="C8010" t="s">
        <v>32759</v>
      </c>
      <c r="D8010" t="s">
        <v>32760</v>
      </c>
      <c r="E8010" t="b">
        <v>0</v>
      </c>
      <c r="F8010" t="s">
        <v>11610</v>
      </c>
      <c r="L8010">
        <v>0</v>
      </c>
      <c r="M8010">
        <v>0</v>
      </c>
      <c r="N8010">
        <v>0</v>
      </c>
    </row>
    <row r="8011" spans="1:15">
      <c r="A8011" t="s">
        <v>32761</v>
      </c>
      <c r="B8011" t="s">
        <v>11637</v>
      </c>
      <c r="C8011" t="s">
        <v>23068</v>
      </c>
      <c r="D8011" t="s">
        <v>32762</v>
      </c>
      <c r="E8011" t="b">
        <v>0</v>
      </c>
      <c r="F8011" t="s">
        <v>11622</v>
      </c>
      <c r="L8011">
        <v>0</v>
      </c>
      <c r="M8011">
        <v>2</v>
      </c>
      <c r="N8011">
        <v>0</v>
      </c>
    </row>
    <row r="8012" spans="1:15">
      <c r="A8012" t="s">
        <v>17553</v>
      </c>
      <c r="B8012" t="s">
        <v>367</v>
      </c>
      <c r="C8012" t="s">
        <v>20854</v>
      </c>
      <c r="D8012" t="s">
        <v>32763</v>
      </c>
      <c r="E8012" t="b">
        <v>0</v>
      </c>
      <c r="F8012" t="s">
        <v>11624</v>
      </c>
      <c r="G8012">
        <v>18.213899999999999</v>
      </c>
      <c r="H8012">
        <v>121.16</v>
      </c>
      <c r="I8012" t="s">
        <v>32764</v>
      </c>
      <c r="L8012">
        <v>0</v>
      </c>
      <c r="M8012">
        <v>0</v>
      </c>
      <c r="N8012">
        <v>5</v>
      </c>
      <c r="O8012" t="s">
        <v>11749</v>
      </c>
    </row>
    <row r="8013" spans="1:15">
      <c r="A8013" t="s">
        <v>15272</v>
      </c>
      <c r="B8013" t="s">
        <v>6742</v>
      </c>
      <c r="C8013" t="s">
        <v>27371</v>
      </c>
      <c r="D8013" t="s">
        <v>32765</v>
      </c>
      <c r="E8013" t="b">
        <v>0</v>
      </c>
      <c r="F8013" t="s">
        <v>11624</v>
      </c>
      <c r="G8013">
        <v>5.5288899999999996</v>
      </c>
      <c r="H8013">
        <v>6.2468199999999996</v>
      </c>
      <c r="I8013" t="s">
        <v>32766</v>
      </c>
      <c r="L8013">
        <v>0</v>
      </c>
      <c r="M8013">
        <v>0</v>
      </c>
      <c r="N8013">
        <v>22</v>
      </c>
      <c r="O8013" t="s">
        <v>11693</v>
      </c>
    </row>
    <row r="8014" spans="1:15">
      <c r="A8014" t="s">
        <v>32767</v>
      </c>
      <c r="B8014" t="s">
        <v>11637</v>
      </c>
      <c r="C8014" t="s">
        <v>5695</v>
      </c>
      <c r="D8014" t="s">
        <v>32768</v>
      </c>
      <c r="E8014" t="b">
        <v>0</v>
      </c>
      <c r="F8014" t="s">
        <v>11610</v>
      </c>
      <c r="L8014">
        <v>0</v>
      </c>
      <c r="M8014">
        <v>0</v>
      </c>
      <c r="N8014">
        <v>0</v>
      </c>
    </row>
    <row r="8015" spans="1:15">
      <c r="A8015" t="s">
        <v>32769</v>
      </c>
      <c r="B8015" t="s">
        <v>6742</v>
      </c>
      <c r="C8015" t="s">
        <v>18583</v>
      </c>
      <c r="D8015" t="s">
        <v>32770</v>
      </c>
      <c r="E8015" t="b">
        <v>0</v>
      </c>
      <c r="F8015" t="s">
        <v>11610</v>
      </c>
      <c r="L8015">
        <v>0</v>
      </c>
      <c r="M8015">
        <v>0</v>
      </c>
      <c r="N8015">
        <v>0</v>
      </c>
    </row>
    <row r="8016" spans="1:15">
      <c r="A8016" t="s">
        <v>32771</v>
      </c>
      <c r="B8016" t="s">
        <v>11981</v>
      </c>
      <c r="C8016" t="s">
        <v>24589</v>
      </c>
      <c r="D8016" t="s">
        <v>32772</v>
      </c>
      <c r="E8016" t="b">
        <v>0</v>
      </c>
      <c r="F8016" t="s">
        <v>11624</v>
      </c>
      <c r="G8016">
        <v>31.527899999999999</v>
      </c>
      <c r="H8016">
        <v>34.7637</v>
      </c>
      <c r="I8016" t="s">
        <v>32773</v>
      </c>
      <c r="L8016">
        <v>0</v>
      </c>
      <c r="M8016">
        <v>0</v>
      </c>
      <c r="N8016">
        <v>0</v>
      </c>
      <c r="O8016" t="s">
        <v>13147</v>
      </c>
    </row>
    <row r="8017" spans="1:15">
      <c r="A8017" t="s">
        <v>32774</v>
      </c>
      <c r="B8017" t="s">
        <v>6742</v>
      </c>
      <c r="C8017" t="s">
        <v>32161</v>
      </c>
      <c r="D8017" t="s">
        <v>32775</v>
      </c>
      <c r="E8017" t="b">
        <v>0</v>
      </c>
      <c r="F8017" t="s">
        <v>11610</v>
      </c>
      <c r="L8017">
        <v>0</v>
      </c>
      <c r="M8017">
        <v>0</v>
      </c>
      <c r="N8017">
        <v>0</v>
      </c>
    </row>
    <row r="8018" spans="1:15">
      <c r="A8018" t="s">
        <v>32776</v>
      </c>
      <c r="B8018" t="s">
        <v>367</v>
      </c>
      <c r="C8018" t="s">
        <v>16411</v>
      </c>
      <c r="D8018" t="s">
        <v>32777</v>
      </c>
      <c r="E8018" t="b">
        <v>0</v>
      </c>
      <c r="F8018" t="s">
        <v>11610</v>
      </c>
      <c r="L8018">
        <v>0</v>
      </c>
      <c r="M8018">
        <v>0</v>
      </c>
      <c r="N8018">
        <v>0</v>
      </c>
    </row>
    <row r="8019" spans="1:15">
      <c r="A8019" t="s">
        <v>32778</v>
      </c>
      <c r="B8019" t="s">
        <v>15027</v>
      </c>
      <c r="C8019" t="s">
        <v>23192</v>
      </c>
      <c r="D8019" t="s">
        <v>32779</v>
      </c>
      <c r="E8019" t="b">
        <v>0</v>
      </c>
      <c r="F8019" t="s">
        <v>11624</v>
      </c>
      <c r="G8019">
        <v>16.9481</v>
      </c>
      <c r="H8019">
        <v>-95.068100000000001</v>
      </c>
      <c r="I8019" t="s">
        <v>32780</v>
      </c>
      <c r="L8019">
        <v>0</v>
      </c>
      <c r="M8019">
        <v>0</v>
      </c>
      <c r="N8019">
        <v>0</v>
      </c>
      <c r="O8019" t="s">
        <v>11883</v>
      </c>
    </row>
    <row r="8020" spans="1:15">
      <c r="A8020" t="s">
        <v>32781</v>
      </c>
      <c r="B8020" t="s">
        <v>12751</v>
      </c>
      <c r="C8020" t="s">
        <v>32782</v>
      </c>
      <c r="D8020" t="s">
        <v>32783</v>
      </c>
      <c r="E8020" t="b">
        <v>0</v>
      </c>
      <c r="F8020" t="s">
        <v>11624</v>
      </c>
      <c r="G8020">
        <v>17.940100000000001</v>
      </c>
      <c r="H8020">
        <v>-94.734700000000004</v>
      </c>
      <c r="I8020" t="s">
        <v>32784</v>
      </c>
      <c r="L8020">
        <v>0</v>
      </c>
      <c r="M8020">
        <v>0</v>
      </c>
      <c r="N8020">
        <v>0</v>
      </c>
      <c r="O8020" t="s">
        <v>11883</v>
      </c>
    </row>
    <row r="8021" spans="1:15">
      <c r="A8021" t="s">
        <v>32785</v>
      </c>
      <c r="B8021" t="s">
        <v>12751</v>
      </c>
      <c r="C8021" t="s">
        <v>32782</v>
      </c>
      <c r="D8021" t="s">
        <v>32786</v>
      </c>
      <c r="E8021" t="b">
        <v>0</v>
      </c>
      <c r="F8021" t="s">
        <v>11624</v>
      </c>
      <c r="G8021">
        <v>18.251300000000001</v>
      </c>
      <c r="H8021">
        <v>-94.664699999999996</v>
      </c>
      <c r="I8021" t="s">
        <v>32787</v>
      </c>
      <c r="L8021">
        <v>0</v>
      </c>
      <c r="M8021">
        <v>0</v>
      </c>
      <c r="N8021">
        <v>0</v>
      </c>
      <c r="O8021" t="s">
        <v>11883</v>
      </c>
    </row>
    <row r="8022" spans="1:15">
      <c r="A8022" t="s">
        <v>32788</v>
      </c>
      <c r="B8022" t="s">
        <v>12751</v>
      </c>
      <c r="C8022" t="s">
        <v>32782</v>
      </c>
      <c r="D8022" t="s">
        <v>32789</v>
      </c>
      <c r="E8022" t="b">
        <v>0</v>
      </c>
      <c r="F8022" t="s">
        <v>11624</v>
      </c>
      <c r="G8022">
        <v>18.2</v>
      </c>
      <c r="H8022">
        <v>-94.7547</v>
      </c>
      <c r="I8022" t="s">
        <v>32790</v>
      </c>
      <c r="L8022">
        <v>0</v>
      </c>
      <c r="M8022">
        <v>0</v>
      </c>
      <c r="N8022">
        <v>0</v>
      </c>
      <c r="O8022" t="s">
        <v>11883</v>
      </c>
    </row>
    <row r="8023" spans="1:15">
      <c r="A8023" t="s">
        <v>25294</v>
      </c>
      <c r="B8023" t="s">
        <v>6455</v>
      </c>
      <c r="C8023" t="s">
        <v>23408</v>
      </c>
      <c r="D8023" t="s">
        <v>32791</v>
      </c>
      <c r="E8023" t="b">
        <v>0</v>
      </c>
      <c r="F8023" t="s">
        <v>11622</v>
      </c>
      <c r="L8023">
        <v>6</v>
      </c>
      <c r="M8023">
        <v>10</v>
      </c>
      <c r="N8023">
        <v>13</v>
      </c>
    </row>
    <row r="8024" spans="1:15">
      <c r="A8024" t="s">
        <v>32792</v>
      </c>
      <c r="B8024" t="s">
        <v>11879</v>
      </c>
      <c r="C8024" t="s">
        <v>14920</v>
      </c>
      <c r="D8024" t="s">
        <v>32793</v>
      </c>
      <c r="E8024" t="b">
        <v>0</v>
      </c>
      <c r="F8024" t="s">
        <v>11624</v>
      </c>
      <c r="G8024">
        <v>16.454799999999999</v>
      </c>
      <c r="H8024">
        <v>-94.844399999999993</v>
      </c>
      <c r="I8024" t="s">
        <v>32794</v>
      </c>
      <c r="L8024">
        <v>0</v>
      </c>
      <c r="M8024">
        <v>0</v>
      </c>
      <c r="N8024">
        <v>0</v>
      </c>
      <c r="O8024" t="s">
        <v>11883</v>
      </c>
    </row>
    <row r="8025" spans="1:15">
      <c r="A8025" t="s">
        <v>32782</v>
      </c>
      <c r="B8025" t="s">
        <v>12751</v>
      </c>
      <c r="C8025" t="s">
        <v>26503</v>
      </c>
      <c r="D8025" t="s">
        <v>32795</v>
      </c>
      <c r="E8025" t="b">
        <v>0</v>
      </c>
      <c r="F8025" t="s">
        <v>11622</v>
      </c>
      <c r="L8025">
        <v>0</v>
      </c>
      <c r="M8025">
        <v>4</v>
      </c>
      <c r="N8025">
        <v>0</v>
      </c>
    </row>
    <row r="8026" spans="1:15">
      <c r="A8026" t="s">
        <v>32796</v>
      </c>
      <c r="B8026" t="s">
        <v>11637</v>
      </c>
      <c r="C8026" t="s">
        <v>23942</v>
      </c>
      <c r="D8026" t="s">
        <v>32797</v>
      </c>
      <c r="E8026" t="b">
        <v>0</v>
      </c>
      <c r="F8026" t="s">
        <v>11624</v>
      </c>
      <c r="G8026">
        <v>45.088000000000001</v>
      </c>
      <c r="H8026">
        <v>13.64</v>
      </c>
      <c r="I8026" t="s">
        <v>32798</v>
      </c>
      <c r="L8026">
        <v>0</v>
      </c>
      <c r="M8026">
        <v>0</v>
      </c>
      <c r="N8026">
        <v>0</v>
      </c>
      <c r="O8026" t="s">
        <v>23548</v>
      </c>
    </row>
    <row r="8027" spans="1:15">
      <c r="A8027" t="s">
        <v>32799</v>
      </c>
      <c r="B8027" t="s">
        <v>11637</v>
      </c>
      <c r="C8027" t="s">
        <v>14602</v>
      </c>
      <c r="D8027" t="s">
        <v>32800</v>
      </c>
      <c r="E8027" t="b">
        <v>0</v>
      </c>
      <c r="F8027" t="s">
        <v>11624</v>
      </c>
      <c r="G8027">
        <v>45.433</v>
      </c>
      <c r="H8027">
        <v>14.2</v>
      </c>
      <c r="I8027" t="s">
        <v>32801</v>
      </c>
      <c r="L8027">
        <v>0</v>
      </c>
      <c r="M8027">
        <v>0</v>
      </c>
      <c r="N8027">
        <v>0</v>
      </c>
      <c r="O8027" t="s">
        <v>23548</v>
      </c>
    </row>
    <row r="8028" spans="1:15">
      <c r="A8028" t="s">
        <v>32802</v>
      </c>
      <c r="B8028" t="s">
        <v>11637</v>
      </c>
      <c r="C8028" t="s">
        <v>18835</v>
      </c>
      <c r="D8028" t="s">
        <v>32803</v>
      </c>
      <c r="E8028" t="b">
        <v>0</v>
      </c>
      <c r="F8028" t="s">
        <v>11610</v>
      </c>
      <c r="L8028">
        <v>0</v>
      </c>
      <c r="M8028">
        <v>0</v>
      </c>
      <c r="N8028">
        <v>0</v>
      </c>
    </row>
    <row r="8029" spans="1:15">
      <c r="A8029" t="s">
        <v>32804</v>
      </c>
      <c r="B8029" t="s">
        <v>11637</v>
      </c>
      <c r="C8029" t="s">
        <v>14411</v>
      </c>
      <c r="D8029" t="s">
        <v>32805</v>
      </c>
      <c r="E8029" t="b">
        <v>0</v>
      </c>
      <c r="F8029" t="s">
        <v>11610</v>
      </c>
      <c r="L8029">
        <v>0</v>
      </c>
      <c r="M8029">
        <v>0</v>
      </c>
      <c r="N8029">
        <v>0</v>
      </c>
    </row>
    <row r="8030" spans="1:15">
      <c r="A8030" t="s">
        <v>32806</v>
      </c>
      <c r="B8030" t="s">
        <v>6742</v>
      </c>
      <c r="C8030" t="s">
        <v>16145</v>
      </c>
      <c r="D8030" t="s">
        <v>32807</v>
      </c>
      <c r="E8030" t="b">
        <v>0</v>
      </c>
      <c r="F8030" t="s">
        <v>11624</v>
      </c>
      <c r="G8030">
        <v>3.9675799999999999</v>
      </c>
      <c r="H8030">
        <v>9.3653499999999994</v>
      </c>
      <c r="I8030" t="s">
        <v>32808</v>
      </c>
      <c r="L8030">
        <v>0</v>
      </c>
      <c r="M8030">
        <v>0</v>
      </c>
      <c r="N8030">
        <v>0</v>
      </c>
      <c r="O8030" t="s">
        <v>11703</v>
      </c>
    </row>
    <row r="8031" spans="1:15">
      <c r="A8031" t="s">
        <v>32809</v>
      </c>
      <c r="B8031" t="s">
        <v>6742</v>
      </c>
      <c r="C8031" t="s">
        <v>31957</v>
      </c>
      <c r="D8031" t="s">
        <v>32810</v>
      </c>
      <c r="E8031" t="b">
        <v>0</v>
      </c>
      <c r="F8031" t="s">
        <v>11610</v>
      </c>
      <c r="L8031">
        <v>0</v>
      </c>
      <c r="M8031">
        <v>0</v>
      </c>
      <c r="N8031">
        <v>0</v>
      </c>
    </row>
    <row r="8032" spans="1:15">
      <c r="A8032" t="s">
        <v>32811</v>
      </c>
      <c r="B8032" t="s">
        <v>6742</v>
      </c>
      <c r="C8032" t="s">
        <v>12304</v>
      </c>
      <c r="D8032" t="s">
        <v>32812</v>
      </c>
      <c r="E8032" t="b">
        <v>0</v>
      </c>
      <c r="F8032" t="s">
        <v>11624</v>
      </c>
      <c r="G8032">
        <v>6.6373100000000003</v>
      </c>
      <c r="H8032">
        <v>9.9657699999999991</v>
      </c>
      <c r="I8032" t="s">
        <v>32813</v>
      </c>
      <c r="L8032">
        <v>0</v>
      </c>
      <c r="M8032">
        <v>0</v>
      </c>
      <c r="N8032">
        <v>0</v>
      </c>
      <c r="O8032" t="s">
        <v>11802</v>
      </c>
    </row>
    <row r="8033" spans="1:15">
      <c r="A8033" t="s">
        <v>32814</v>
      </c>
      <c r="B8033" t="s">
        <v>6742</v>
      </c>
      <c r="C8033" t="s">
        <v>21474</v>
      </c>
      <c r="D8033" t="s">
        <v>32815</v>
      </c>
      <c r="E8033" t="b">
        <v>0</v>
      </c>
      <c r="F8033" t="s">
        <v>11610</v>
      </c>
      <c r="L8033">
        <v>0</v>
      </c>
      <c r="M8033">
        <v>0</v>
      </c>
      <c r="N8033">
        <v>0</v>
      </c>
    </row>
    <row r="8034" spans="1:15">
      <c r="A8034" t="s">
        <v>32816</v>
      </c>
      <c r="B8034" t="s">
        <v>11981</v>
      </c>
      <c r="C8034" t="s">
        <v>32817</v>
      </c>
      <c r="D8034" t="s">
        <v>32818</v>
      </c>
      <c r="E8034" t="b">
        <v>0</v>
      </c>
      <c r="F8034" t="s">
        <v>11624</v>
      </c>
      <c r="G8034">
        <v>42.729149999999997</v>
      </c>
      <c r="H8034">
        <v>12.429489999999999</v>
      </c>
      <c r="I8034" t="s">
        <v>32819</v>
      </c>
      <c r="L8034">
        <v>0</v>
      </c>
      <c r="M8034">
        <v>0</v>
      </c>
      <c r="N8034">
        <v>0</v>
      </c>
      <c r="O8034" t="s">
        <v>13676</v>
      </c>
    </row>
    <row r="8035" spans="1:15">
      <c r="A8035" t="s">
        <v>4378</v>
      </c>
      <c r="B8035" t="s">
        <v>11637</v>
      </c>
      <c r="C8035" t="s">
        <v>32820</v>
      </c>
      <c r="D8035" t="s">
        <v>32821</v>
      </c>
      <c r="E8035" t="b">
        <v>0</v>
      </c>
      <c r="F8035" t="s">
        <v>11624</v>
      </c>
      <c r="G8035">
        <v>43.046399999999998</v>
      </c>
      <c r="H8035">
        <v>12.648899999999999</v>
      </c>
      <c r="I8035" t="s">
        <v>4380</v>
      </c>
      <c r="L8035">
        <v>0</v>
      </c>
      <c r="M8035">
        <v>0</v>
      </c>
      <c r="N8035">
        <v>4</v>
      </c>
      <c r="O8035" t="s">
        <v>32822</v>
      </c>
    </row>
    <row r="8036" spans="1:15">
      <c r="A8036" t="s">
        <v>32823</v>
      </c>
      <c r="B8036" t="s">
        <v>367</v>
      </c>
      <c r="C8036" t="s">
        <v>11680</v>
      </c>
      <c r="D8036" t="s">
        <v>32824</v>
      </c>
      <c r="E8036" t="b">
        <v>0</v>
      </c>
      <c r="F8036" t="s">
        <v>11610</v>
      </c>
      <c r="L8036">
        <v>0</v>
      </c>
      <c r="M8036">
        <v>0</v>
      </c>
      <c r="N8036">
        <v>0</v>
      </c>
    </row>
    <row r="8037" spans="1:15">
      <c r="A8037" t="s">
        <v>32825</v>
      </c>
      <c r="B8037" t="s">
        <v>11637</v>
      </c>
      <c r="C8037" t="s">
        <v>11637</v>
      </c>
      <c r="D8037" t="s">
        <v>32826</v>
      </c>
      <c r="E8037" t="b">
        <v>0</v>
      </c>
      <c r="F8037" t="s">
        <v>11622</v>
      </c>
      <c r="L8037">
        <v>49</v>
      </c>
      <c r="M8037">
        <v>86</v>
      </c>
      <c r="N8037">
        <v>265</v>
      </c>
    </row>
    <row r="8038" spans="1:15">
      <c r="A8038" t="s">
        <v>32827</v>
      </c>
      <c r="B8038" t="s">
        <v>11637</v>
      </c>
      <c r="C8038" t="s">
        <v>26491</v>
      </c>
      <c r="D8038" t="s">
        <v>32828</v>
      </c>
      <c r="E8038" t="b">
        <v>0</v>
      </c>
      <c r="F8038" t="s">
        <v>11622</v>
      </c>
      <c r="L8038">
        <v>37</v>
      </c>
      <c r="M8038">
        <v>70</v>
      </c>
      <c r="N8038">
        <v>224</v>
      </c>
    </row>
    <row r="8039" spans="1:15">
      <c r="A8039" t="s">
        <v>23945</v>
      </c>
      <c r="B8039" t="s">
        <v>11637</v>
      </c>
      <c r="C8039" t="s">
        <v>32827</v>
      </c>
      <c r="D8039" t="s">
        <v>32829</v>
      </c>
      <c r="E8039" t="b">
        <v>0</v>
      </c>
      <c r="F8039" t="s">
        <v>11622</v>
      </c>
      <c r="L8039">
        <v>2</v>
      </c>
      <c r="M8039">
        <v>5</v>
      </c>
      <c r="N8039">
        <v>16</v>
      </c>
    </row>
    <row r="8040" spans="1:15">
      <c r="A8040" t="s">
        <v>32820</v>
      </c>
      <c r="B8040" t="s">
        <v>11637</v>
      </c>
      <c r="C8040" t="s">
        <v>23945</v>
      </c>
      <c r="D8040" t="s">
        <v>32830</v>
      </c>
      <c r="E8040" t="b">
        <v>0</v>
      </c>
      <c r="F8040" t="s">
        <v>11622</v>
      </c>
      <c r="L8040">
        <v>0</v>
      </c>
      <c r="M8040">
        <v>3</v>
      </c>
      <c r="N8040">
        <v>16</v>
      </c>
    </row>
    <row r="8041" spans="1:15">
      <c r="A8041" t="s">
        <v>32817</v>
      </c>
      <c r="B8041" t="s">
        <v>11981</v>
      </c>
      <c r="C8041" t="s">
        <v>13026</v>
      </c>
      <c r="D8041" t="s">
        <v>32831</v>
      </c>
      <c r="E8041" t="b">
        <v>0</v>
      </c>
      <c r="F8041" t="s">
        <v>11622</v>
      </c>
      <c r="L8041">
        <v>0</v>
      </c>
      <c r="M8041">
        <v>3</v>
      </c>
      <c r="N8041">
        <v>0</v>
      </c>
    </row>
    <row r="8042" spans="1:15">
      <c r="A8042" t="s">
        <v>32832</v>
      </c>
      <c r="B8042" t="s">
        <v>6742</v>
      </c>
      <c r="C8042" t="s">
        <v>17908</v>
      </c>
      <c r="D8042" t="s">
        <v>32833</v>
      </c>
      <c r="E8042" t="b">
        <v>0</v>
      </c>
      <c r="F8042" t="s">
        <v>11610</v>
      </c>
      <c r="G8042">
        <v>-9.3607300000000002</v>
      </c>
      <c r="H8042">
        <v>35.32647</v>
      </c>
      <c r="L8042">
        <v>0</v>
      </c>
      <c r="M8042">
        <v>0</v>
      </c>
      <c r="N8042">
        <v>0</v>
      </c>
    </row>
    <row r="8043" spans="1:15">
      <c r="A8043" t="s">
        <v>32834</v>
      </c>
      <c r="B8043" t="s">
        <v>6742</v>
      </c>
      <c r="C8043" t="s">
        <v>32077</v>
      </c>
      <c r="D8043" t="s">
        <v>32835</v>
      </c>
      <c r="E8043" t="b">
        <v>0</v>
      </c>
      <c r="F8043" t="s">
        <v>11610</v>
      </c>
      <c r="L8043">
        <v>0</v>
      </c>
      <c r="M8043">
        <v>0</v>
      </c>
      <c r="N8043">
        <v>0</v>
      </c>
    </row>
    <row r="8044" spans="1:15">
      <c r="A8044" t="s">
        <v>32836</v>
      </c>
      <c r="B8044" t="s">
        <v>6742</v>
      </c>
      <c r="C8044" t="s">
        <v>32077</v>
      </c>
      <c r="D8044" t="s">
        <v>32837</v>
      </c>
      <c r="E8044" t="b">
        <v>0</v>
      </c>
      <c r="F8044" t="s">
        <v>11610</v>
      </c>
      <c r="L8044">
        <v>0</v>
      </c>
      <c r="M8044">
        <v>0</v>
      </c>
      <c r="N8044">
        <v>0</v>
      </c>
    </row>
    <row r="8045" spans="1:15">
      <c r="A8045" t="s">
        <v>32838</v>
      </c>
      <c r="B8045" t="s">
        <v>367</v>
      </c>
      <c r="C8045" t="s">
        <v>20857</v>
      </c>
      <c r="D8045" t="s">
        <v>32839</v>
      </c>
      <c r="E8045" t="b">
        <v>0</v>
      </c>
      <c r="F8045" t="s">
        <v>11624</v>
      </c>
      <c r="G8045">
        <v>17.732900000000001</v>
      </c>
      <c r="H8045">
        <v>121.58</v>
      </c>
      <c r="I8045" t="s">
        <v>32840</v>
      </c>
      <c r="L8045">
        <v>0</v>
      </c>
      <c r="M8045">
        <v>0</v>
      </c>
      <c r="N8045">
        <v>0</v>
      </c>
      <c r="O8045" t="s">
        <v>11749</v>
      </c>
    </row>
    <row r="8046" spans="1:15">
      <c r="A8046" t="s">
        <v>32841</v>
      </c>
      <c r="B8046" t="s">
        <v>6742</v>
      </c>
      <c r="C8046" t="s">
        <v>15272</v>
      </c>
      <c r="D8046" t="s">
        <v>32842</v>
      </c>
      <c r="E8046" t="b">
        <v>0</v>
      </c>
      <c r="F8046" t="s">
        <v>11610</v>
      </c>
      <c r="L8046">
        <v>0</v>
      </c>
      <c r="M8046">
        <v>0</v>
      </c>
      <c r="N8046">
        <v>0</v>
      </c>
    </row>
    <row r="8047" spans="1:15">
      <c r="A8047" t="s">
        <v>32843</v>
      </c>
      <c r="B8047" t="s">
        <v>6742</v>
      </c>
      <c r="C8047" t="s">
        <v>32844</v>
      </c>
      <c r="D8047" t="s">
        <v>32845</v>
      </c>
      <c r="E8047" t="b">
        <v>0</v>
      </c>
      <c r="F8047" t="s">
        <v>11610</v>
      </c>
      <c r="L8047">
        <v>0</v>
      </c>
      <c r="M8047">
        <v>0</v>
      </c>
      <c r="N8047">
        <v>0</v>
      </c>
    </row>
    <row r="8048" spans="1:15">
      <c r="A8048" t="s">
        <v>32846</v>
      </c>
      <c r="B8048" t="s">
        <v>13210</v>
      </c>
      <c r="C8048" t="s">
        <v>26671</v>
      </c>
      <c r="D8048" t="s">
        <v>32847</v>
      </c>
      <c r="E8048" t="b">
        <v>0</v>
      </c>
      <c r="F8048" t="s">
        <v>11624</v>
      </c>
      <c r="G8048">
        <v>56.046173000000003</v>
      </c>
      <c r="H8048">
        <v>156.30704</v>
      </c>
      <c r="I8048" t="s">
        <v>32848</v>
      </c>
      <c r="L8048">
        <v>0</v>
      </c>
      <c r="M8048">
        <v>0</v>
      </c>
      <c r="N8048">
        <v>2</v>
      </c>
      <c r="O8048" t="s">
        <v>12748</v>
      </c>
    </row>
    <row r="8049" spans="1:15">
      <c r="A8049" t="s">
        <v>32849</v>
      </c>
      <c r="B8049" t="s">
        <v>22306</v>
      </c>
      <c r="C8049" t="s">
        <v>32850</v>
      </c>
      <c r="D8049" t="s">
        <v>32851</v>
      </c>
      <c r="E8049" t="b">
        <v>0</v>
      </c>
      <c r="F8049" t="s">
        <v>11624</v>
      </c>
      <c r="G8049">
        <v>-12.2994</v>
      </c>
      <c r="H8049">
        <v>-64.984099999999998</v>
      </c>
      <c r="I8049" t="s">
        <v>32852</v>
      </c>
      <c r="L8049">
        <v>0</v>
      </c>
      <c r="M8049">
        <v>0</v>
      </c>
      <c r="N8049">
        <v>1</v>
      </c>
      <c r="O8049" t="s">
        <v>14185</v>
      </c>
    </row>
    <row r="8050" spans="1:15">
      <c r="A8050" t="s">
        <v>18120</v>
      </c>
      <c r="B8050" t="s">
        <v>6742</v>
      </c>
      <c r="C8050" t="s">
        <v>18118</v>
      </c>
      <c r="D8050" t="s">
        <v>32853</v>
      </c>
      <c r="E8050" t="b">
        <v>0</v>
      </c>
      <c r="F8050" t="s">
        <v>11622</v>
      </c>
      <c r="L8050">
        <v>0</v>
      </c>
      <c r="M8050">
        <v>2</v>
      </c>
      <c r="N8050">
        <v>6</v>
      </c>
    </row>
    <row r="8051" spans="1:15">
      <c r="A8051" t="s">
        <v>19559</v>
      </c>
      <c r="B8051" t="s">
        <v>13291</v>
      </c>
      <c r="C8051" t="s">
        <v>13292</v>
      </c>
      <c r="D8051" t="s">
        <v>32854</v>
      </c>
      <c r="E8051" t="b">
        <v>0</v>
      </c>
      <c r="F8051" t="s">
        <v>11622</v>
      </c>
      <c r="L8051">
        <v>0</v>
      </c>
      <c r="M8051">
        <v>2</v>
      </c>
      <c r="N8051">
        <v>3</v>
      </c>
    </row>
    <row r="8052" spans="1:15">
      <c r="A8052" t="s">
        <v>32855</v>
      </c>
      <c r="B8052" t="s">
        <v>13291</v>
      </c>
      <c r="C8052" t="s">
        <v>19559</v>
      </c>
      <c r="D8052" t="s">
        <v>32856</v>
      </c>
      <c r="E8052" t="b">
        <v>0</v>
      </c>
      <c r="F8052" t="s">
        <v>11624</v>
      </c>
      <c r="G8052">
        <v>-4.11998</v>
      </c>
      <c r="H8052">
        <v>141.58500000000001</v>
      </c>
      <c r="I8052" t="s">
        <v>32857</v>
      </c>
      <c r="L8052">
        <v>0</v>
      </c>
      <c r="M8052">
        <v>0</v>
      </c>
      <c r="N8052">
        <v>0</v>
      </c>
      <c r="O8052" t="s">
        <v>11660</v>
      </c>
    </row>
    <row r="8053" spans="1:15">
      <c r="A8053" t="s">
        <v>32858</v>
      </c>
      <c r="B8053" t="s">
        <v>16947</v>
      </c>
      <c r="C8053" t="s">
        <v>18101</v>
      </c>
      <c r="D8053" t="s">
        <v>32859</v>
      </c>
      <c r="E8053" t="b">
        <v>0</v>
      </c>
      <c r="F8053" t="s">
        <v>11624</v>
      </c>
      <c r="G8053">
        <v>-2.1834199999999999</v>
      </c>
      <c r="H8053">
        <v>139.34100000000001</v>
      </c>
      <c r="I8053" t="s">
        <v>32860</v>
      </c>
      <c r="L8053">
        <v>0</v>
      </c>
      <c r="M8053">
        <v>0</v>
      </c>
      <c r="N8053">
        <v>2</v>
      </c>
      <c r="O8053" t="s">
        <v>11768</v>
      </c>
    </row>
    <row r="8054" spans="1:15">
      <c r="A8054" t="s">
        <v>32861</v>
      </c>
      <c r="B8054" t="s">
        <v>6742</v>
      </c>
      <c r="C8054" t="s">
        <v>17908</v>
      </c>
      <c r="D8054" t="s">
        <v>32862</v>
      </c>
      <c r="E8054" t="b">
        <v>0</v>
      </c>
      <c r="F8054" t="s">
        <v>11610</v>
      </c>
      <c r="G8054">
        <v>-9.3498800000000006</v>
      </c>
      <c r="H8054">
        <v>35.215229999999998</v>
      </c>
      <c r="L8054">
        <v>0</v>
      </c>
      <c r="M8054">
        <v>0</v>
      </c>
      <c r="N8054">
        <v>0</v>
      </c>
    </row>
    <row r="8055" spans="1:15">
      <c r="A8055" t="s">
        <v>32863</v>
      </c>
      <c r="B8055" t="s">
        <v>6742</v>
      </c>
      <c r="C8055" t="s">
        <v>32013</v>
      </c>
      <c r="D8055" t="s">
        <v>32864</v>
      </c>
      <c r="E8055" t="b">
        <v>0</v>
      </c>
      <c r="F8055" t="s">
        <v>11610</v>
      </c>
      <c r="L8055">
        <v>0</v>
      </c>
      <c r="M8055">
        <v>0</v>
      </c>
      <c r="N8055">
        <v>0</v>
      </c>
    </row>
    <row r="8056" spans="1:15">
      <c r="A8056" t="s">
        <v>32865</v>
      </c>
      <c r="B8056" t="s">
        <v>13210</v>
      </c>
      <c r="C8056" t="s">
        <v>2047</v>
      </c>
      <c r="D8056" t="s">
        <v>32866</v>
      </c>
      <c r="E8056" t="b">
        <v>0</v>
      </c>
      <c r="F8056" t="s">
        <v>11610</v>
      </c>
      <c r="L8056">
        <v>0</v>
      </c>
      <c r="M8056">
        <v>0</v>
      </c>
      <c r="N8056">
        <v>0</v>
      </c>
    </row>
    <row r="8057" spans="1:15">
      <c r="A8057" t="s">
        <v>18721</v>
      </c>
      <c r="B8057" t="s">
        <v>367</v>
      </c>
      <c r="C8057" t="s">
        <v>32867</v>
      </c>
      <c r="D8057" t="s">
        <v>32868</v>
      </c>
      <c r="E8057" t="b">
        <v>0</v>
      </c>
      <c r="F8057" t="s">
        <v>11622</v>
      </c>
      <c r="L8057">
        <v>0</v>
      </c>
      <c r="M8057">
        <v>2</v>
      </c>
      <c r="N8057">
        <v>0</v>
      </c>
    </row>
    <row r="8058" spans="1:15">
      <c r="A8058" t="s">
        <v>32869</v>
      </c>
      <c r="B8058" t="s">
        <v>367</v>
      </c>
      <c r="C8058" t="s">
        <v>32208</v>
      </c>
      <c r="D8058" t="s">
        <v>32870</v>
      </c>
      <c r="E8058" t="b">
        <v>0</v>
      </c>
      <c r="F8058" t="s">
        <v>11610</v>
      </c>
      <c r="L8058">
        <v>0</v>
      </c>
      <c r="M8058">
        <v>0</v>
      </c>
      <c r="N8058">
        <v>0</v>
      </c>
    </row>
    <row r="8059" spans="1:15">
      <c r="A8059" t="s">
        <v>32871</v>
      </c>
      <c r="D8059" t="s">
        <v>32872</v>
      </c>
      <c r="E8059" t="b">
        <v>0</v>
      </c>
      <c r="F8059" t="s">
        <v>11624</v>
      </c>
      <c r="G8059">
        <v>-12.804309999999999</v>
      </c>
      <c r="H8059">
        <v>-64.357479999999995</v>
      </c>
      <c r="I8059" t="s">
        <v>32873</v>
      </c>
      <c r="L8059">
        <v>0</v>
      </c>
      <c r="M8059">
        <v>0</v>
      </c>
      <c r="N8059">
        <v>0</v>
      </c>
      <c r="O8059" t="s">
        <v>14185</v>
      </c>
    </row>
    <row r="8060" spans="1:15">
      <c r="A8060" t="s">
        <v>32874</v>
      </c>
      <c r="B8060" t="s">
        <v>6742</v>
      </c>
      <c r="C8060" t="s">
        <v>28246</v>
      </c>
      <c r="D8060" t="s">
        <v>32875</v>
      </c>
      <c r="E8060" t="b">
        <v>0</v>
      </c>
      <c r="F8060" t="s">
        <v>11610</v>
      </c>
      <c r="L8060">
        <v>0</v>
      </c>
      <c r="M8060">
        <v>0</v>
      </c>
      <c r="N8060">
        <v>0</v>
      </c>
    </row>
    <row r="8061" spans="1:15">
      <c r="A8061" t="s">
        <v>32876</v>
      </c>
      <c r="B8061" t="s">
        <v>6742</v>
      </c>
      <c r="C8061" t="s">
        <v>31918</v>
      </c>
      <c r="D8061" t="s">
        <v>32877</v>
      </c>
      <c r="E8061" t="b">
        <v>0</v>
      </c>
      <c r="F8061" t="s">
        <v>11624</v>
      </c>
      <c r="G8061">
        <v>5.14438</v>
      </c>
      <c r="H8061">
        <v>8.0462600000000002</v>
      </c>
      <c r="I8061" t="s">
        <v>32878</v>
      </c>
      <c r="L8061">
        <v>0</v>
      </c>
      <c r="M8061">
        <v>0</v>
      </c>
      <c r="N8061">
        <v>0</v>
      </c>
      <c r="O8061" t="s">
        <v>11693</v>
      </c>
    </row>
    <row r="8062" spans="1:15">
      <c r="A8062" t="s">
        <v>32879</v>
      </c>
      <c r="B8062" t="s">
        <v>22306</v>
      </c>
      <c r="C8062" t="s">
        <v>32849</v>
      </c>
      <c r="D8062" t="s">
        <v>32880</v>
      </c>
      <c r="E8062" t="b">
        <v>0</v>
      </c>
      <c r="F8062" t="s">
        <v>11610</v>
      </c>
      <c r="L8062">
        <v>0</v>
      </c>
      <c r="M8062">
        <v>0</v>
      </c>
      <c r="N8062">
        <v>0</v>
      </c>
    </row>
    <row r="8063" spans="1:15">
      <c r="A8063" t="s">
        <v>32881</v>
      </c>
      <c r="B8063" t="s">
        <v>16947</v>
      </c>
      <c r="C8063" t="s">
        <v>32858</v>
      </c>
      <c r="D8063" t="s">
        <v>32882</v>
      </c>
      <c r="E8063" t="b">
        <v>0</v>
      </c>
      <c r="F8063" t="s">
        <v>11610</v>
      </c>
      <c r="L8063">
        <v>0</v>
      </c>
      <c r="M8063">
        <v>0</v>
      </c>
      <c r="N8063">
        <v>0</v>
      </c>
    </row>
    <row r="8064" spans="1:15">
      <c r="A8064" t="s">
        <v>32883</v>
      </c>
      <c r="B8064" t="s">
        <v>16947</v>
      </c>
      <c r="C8064" t="s">
        <v>32858</v>
      </c>
      <c r="D8064" t="s">
        <v>32884</v>
      </c>
      <c r="E8064" t="b">
        <v>0</v>
      </c>
      <c r="F8064" t="s">
        <v>11610</v>
      </c>
      <c r="L8064">
        <v>0</v>
      </c>
      <c r="M8064">
        <v>0</v>
      </c>
      <c r="N8064">
        <v>0</v>
      </c>
    </row>
    <row r="8065" spans="1:15">
      <c r="A8065" t="s">
        <v>32885</v>
      </c>
      <c r="B8065" t="s">
        <v>12311</v>
      </c>
      <c r="C8065" t="s">
        <v>22377</v>
      </c>
      <c r="D8065" t="s">
        <v>32886</v>
      </c>
      <c r="E8065" t="b">
        <v>0</v>
      </c>
      <c r="F8065" t="s">
        <v>11610</v>
      </c>
      <c r="L8065">
        <v>0</v>
      </c>
      <c r="M8065">
        <v>0</v>
      </c>
      <c r="N8065">
        <v>0</v>
      </c>
    </row>
    <row r="8066" spans="1:15">
      <c r="A8066" t="s">
        <v>32887</v>
      </c>
      <c r="B8066" t="s">
        <v>6742</v>
      </c>
      <c r="C8066" t="s">
        <v>31918</v>
      </c>
      <c r="D8066" t="s">
        <v>32888</v>
      </c>
      <c r="E8066" t="b">
        <v>0</v>
      </c>
      <c r="F8066" t="s">
        <v>11624</v>
      </c>
      <c r="G8066">
        <v>5.5267900000000001</v>
      </c>
      <c r="H8066">
        <v>7.8037799999999997</v>
      </c>
      <c r="I8066" t="s">
        <v>32889</v>
      </c>
      <c r="L8066">
        <v>0</v>
      </c>
      <c r="M8066">
        <v>0</v>
      </c>
      <c r="N8066">
        <v>0</v>
      </c>
      <c r="O8066" t="s">
        <v>11693</v>
      </c>
    </row>
    <row r="8067" spans="1:15">
      <c r="A8067" t="s">
        <v>32890</v>
      </c>
      <c r="B8067" t="s">
        <v>6742</v>
      </c>
      <c r="C8067" t="s">
        <v>32891</v>
      </c>
      <c r="D8067" t="s">
        <v>32892</v>
      </c>
      <c r="E8067" t="b">
        <v>0</v>
      </c>
      <c r="F8067" t="s">
        <v>11610</v>
      </c>
      <c r="L8067">
        <v>0</v>
      </c>
      <c r="M8067">
        <v>0</v>
      </c>
      <c r="N8067">
        <v>0</v>
      </c>
    </row>
    <row r="8068" spans="1:15">
      <c r="A8068" t="s">
        <v>32893</v>
      </c>
      <c r="B8068" t="s">
        <v>6742</v>
      </c>
      <c r="C8068" t="s">
        <v>27034</v>
      </c>
      <c r="D8068" t="s">
        <v>32894</v>
      </c>
      <c r="E8068" t="b">
        <v>0</v>
      </c>
      <c r="F8068" t="s">
        <v>11610</v>
      </c>
      <c r="L8068">
        <v>0</v>
      </c>
      <c r="M8068">
        <v>0</v>
      </c>
      <c r="N8068">
        <v>0</v>
      </c>
    </row>
    <row r="8069" spans="1:15">
      <c r="A8069" t="s">
        <v>32895</v>
      </c>
      <c r="B8069" t="s">
        <v>11879</v>
      </c>
      <c r="C8069" t="s">
        <v>14974</v>
      </c>
      <c r="D8069" t="s">
        <v>32896</v>
      </c>
      <c r="E8069" t="b">
        <v>0</v>
      </c>
      <c r="F8069" t="s">
        <v>11624</v>
      </c>
      <c r="G8069">
        <v>16.778759999999998</v>
      </c>
      <c r="H8069">
        <v>-97.597530000000006</v>
      </c>
      <c r="I8069" t="s">
        <v>32897</v>
      </c>
      <c r="L8069">
        <v>0</v>
      </c>
      <c r="M8069">
        <v>0</v>
      </c>
      <c r="N8069">
        <v>0</v>
      </c>
      <c r="O8069" t="s">
        <v>11883</v>
      </c>
    </row>
    <row r="8070" spans="1:15">
      <c r="A8070" t="s">
        <v>32898</v>
      </c>
      <c r="B8070" t="s">
        <v>6742</v>
      </c>
      <c r="C8070" t="s">
        <v>23346</v>
      </c>
      <c r="D8070" t="s">
        <v>32899</v>
      </c>
      <c r="E8070" t="b">
        <v>0</v>
      </c>
      <c r="F8070" t="s">
        <v>11610</v>
      </c>
      <c r="L8070">
        <v>0</v>
      </c>
      <c r="M8070">
        <v>0</v>
      </c>
      <c r="N8070">
        <v>0</v>
      </c>
    </row>
    <row r="8071" spans="1:15">
      <c r="A8071" t="s">
        <v>32900</v>
      </c>
      <c r="B8071" t="s">
        <v>11627</v>
      </c>
      <c r="C8071" t="s">
        <v>11627</v>
      </c>
      <c r="D8071" t="s">
        <v>32901</v>
      </c>
      <c r="E8071" t="b">
        <v>1</v>
      </c>
      <c r="F8071" t="s">
        <v>11624</v>
      </c>
      <c r="I8071" t="s">
        <v>32902</v>
      </c>
      <c r="L8071">
        <v>0</v>
      </c>
      <c r="M8071">
        <v>0</v>
      </c>
      <c r="N8071">
        <v>0</v>
      </c>
    </row>
    <row r="8072" spans="1:15">
      <c r="A8072" t="s">
        <v>32903</v>
      </c>
      <c r="B8072" t="s">
        <v>5911</v>
      </c>
      <c r="C8072" t="s">
        <v>32904</v>
      </c>
      <c r="D8072" t="s">
        <v>32905</v>
      </c>
      <c r="E8072" t="b">
        <v>0</v>
      </c>
      <c r="F8072" t="s">
        <v>11624</v>
      </c>
      <c r="G8072">
        <v>17.026900000000001</v>
      </c>
      <c r="H8072">
        <v>-89.873400000000004</v>
      </c>
      <c r="I8072" t="s">
        <v>32906</v>
      </c>
      <c r="L8072">
        <v>0</v>
      </c>
      <c r="M8072">
        <v>0</v>
      </c>
      <c r="N8072">
        <v>0</v>
      </c>
      <c r="O8072" t="s">
        <v>11927</v>
      </c>
    </row>
    <row r="8073" spans="1:15">
      <c r="A8073" t="s">
        <v>32907</v>
      </c>
      <c r="B8073" t="s">
        <v>6742</v>
      </c>
      <c r="C8073" t="s">
        <v>27093</v>
      </c>
      <c r="D8073" t="s">
        <v>32908</v>
      </c>
      <c r="E8073" t="b">
        <v>0</v>
      </c>
      <c r="F8073" t="s">
        <v>11610</v>
      </c>
      <c r="L8073">
        <v>0</v>
      </c>
      <c r="M8073">
        <v>0</v>
      </c>
      <c r="N8073">
        <v>0</v>
      </c>
    </row>
    <row r="8074" spans="1:15">
      <c r="A8074" t="s">
        <v>22195</v>
      </c>
      <c r="B8074" t="s">
        <v>5058</v>
      </c>
      <c r="C8074" t="s">
        <v>18403</v>
      </c>
      <c r="D8074" t="s">
        <v>32909</v>
      </c>
      <c r="E8074" t="b">
        <v>0</v>
      </c>
      <c r="F8074" t="s">
        <v>11624</v>
      </c>
      <c r="G8074">
        <v>20.83</v>
      </c>
      <c r="H8074">
        <v>101.17</v>
      </c>
      <c r="I8074" t="s">
        <v>32910</v>
      </c>
      <c r="L8074">
        <v>0</v>
      </c>
      <c r="M8074">
        <v>0</v>
      </c>
      <c r="N8074">
        <v>8</v>
      </c>
      <c r="O8074" t="s">
        <v>12731</v>
      </c>
    </row>
    <row r="8075" spans="1:15">
      <c r="A8075" t="s">
        <v>32911</v>
      </c>
      <c r="B8075" t="s">
        <v>367</v>
      </c>
      <c r="C8075" t="s">
        <v>32912</v>
      </c>
      <c r="D8075" t="s">
        <v>32913</v>
      </c>
      <c r="E8075" t="b">
        <v>0</v>
      </c>
      <c r="F8075" t="s">
        <v>11624</v>
      </c>
      <c r="G8075">
        <v>20.77</v>
      </c>
      <c r="H8075">
        <v>121.85</v>
      </c>
      <c r="I8075" t="s">
        <v>32914</v>
      </c>
      <c r="L8075">
        <v>0</v>
      </c>
      <c r="M8075">
        <v>0</v>
      </c>
      <c r="N8075">
        <v>0</v>
      </c>
      <c r="O8075" t="s">
        <v>11749</v>
      </c>
    </row>
    <row r="8076" spans="1:15">
      <c r="A8076" t="s">
        <v>14491</v>
      </c>
      <c r="B8076" t="s">
        <v>6742</v>
      </c>
      <c r="C8076" t="s">
        <v>32072</v>
      </c>
      <c r="D8076" t="s">
        <v>32915</v>
      </c>
      <c r="E8076" t="b">
        <v>0</v>
      </c>
      <c r="F8076" t="s">
        <v>11624</v>
      </c>
      <c r="G8076">
        <v>7.1530699999999996</v>
      </c>
      <c r="H8076">
        <v>6.2120899999999999</v>
      </c>
      <c r="I8076" t="s">
        <v>32916</v>
      </c>
      <c r="L8076">
        <v>0</v>
      </c>
      <c r="M8076">
        <v>0</v>
      </c>
      <c r="N8076">
        <v>3</v>
      </c>
      <c r="O8076" t="s">
        <v>11693</v>
      </c>
    </row>
    <row r="8077" spans="1:15">
      <c r="A8077" t="s">
        <v>32917</v>
      </c>
      <c r="B8077" t="s">
        <v>6742</v>
      </c>
      <c r="C8077" t="s">
        <v>14491</v>
      </c>
      <c r="D8077" t="s">
        <v>32918</v>
      </c>
      <c r="E8077" t="b">
        <v>0</v>
      </c>
      <c r="F8077" t="s">
        <v>11610</v>
      </c>
      <c r="L8077">
        <v>0</v>
      </c>
      <c r="M8077">
        <v>0</v>
      </c>
      <c r="N8077">
        <v>0</v>
      </c>
    </row>
    <row r="8078" spans="1:15">
      <c r="A8078" t="s">
        <v>32919</v>
      </c>
      <c r="B8078" t="s">
        <v>6742</v>
      </c>
      <c r="C8078" t="s">
        <v>15118</v>
      </c>
      <c r="D8078" t="s">
        <v>32920</v>
      </c>
      <c r="E8078" t="b">
        <v>0</v>
      </c>
      <c r="F8078" t="s">
        <v>11610</v>
      </c>
      <c r="L8078">
        <v>0</v>
      </c>
      <c r="M8078">
        <v>0</v>
      </c>
      <c r="N8078">
        <v>0</v>
      </c>
    </row>
    <row r="8079" spans="1:15">
      <c r="A8079" t="s">
        <v>32921</v>
      </c>
      <c r="B8079" t="s">
        <v>6742</v>
      </c>
      <c r="C8079" t="s">
        <v>27093</v>
      </c>
      <c r="D8079" t="s">
        <v>32922</v>
      </c>
      <c r="E8079" t="b">
        <v>0</v>
      </c>
      <c r="F8079" t="s">
        <v>11610</v>
      </c>
      <c r="L8079">
        <v>0</v>
      </c>
      <c r="M8079">
        <v>0</v>
      </c>
      <c r="N8079">
        <v>0</v>
      </c>
    </row>
    <row r="8080" spans="1:15">
      <c r="A8080" t="s">
        <v>32923</v>
      </c>
      <c r="B8080" t="s">
        <v>6742</v>
      </c>
      <c r="C8080" t="s">
        <v>29743</v>
      </c>
      <c r="D8080" t="s">
        <v>32924</v>
      </c>
      <c r="E8080" t="b">
        <v>0</v>
      </c>
      <c r="F8080" t="s">
        <v>11622</v>
      </c>
      <c r="L8080">
        <v>1</v>
      </c>
      <c r="M8080">
        <v>3</v>
      </c>
      <c r="N8080">
        <v>16</v>
      </c>
    </row>
    <row r="8081" spans="1:15">
      <c r="A8081" t="s">
        <v>32925</v>
      </c>
      <c r="B8081" t="s">
        <v>6742</v>
      </c>
      <c r="C8081" t="s">
        <v>32926</v>
      </c>
      <c r="D8081" t="s">
        <v>32927</v>
      </c>
      <c r="E8081" t="b">
        <v>0</v>
      </c>
      <c r="F8081" t="s">
        <v>11610</v>
      </c>
      <c r="L8081">
        <v>0</v>
      </c>
      <c r="M8081">
        <v>0</v>
      </c>
      <c r="N8081">
        <v>0</v>
      </c>
    </row>
    <row r="8082" spans="1:15">
      <c r="A8082" t="s">
        <v>32928</v>
      </c>
      <c r="B8082" t="s">
        <v>367</v>
      </c>
      <c r="C8082" t="s">
        <v>32929</v>
      </c>
      <c r="D8082" t="s">
        <v>32930</v>
      </c>
      <c r="E8082" t="b">
        <v>0</v>
      </c>
      <c r="F8082" t="s">
        <v>11610</v>
      </c>
      <c r="L8082">
        <v>0</v>
      </c>
      <c r="M8082">
        <v>0</v>
      </c>
      <c r="N8082">
        <v>0</v>
      </c>
    </row>
    <row r="8083" spans="1:15">
      <c r="A8083" t="s">
        <v>338</v>
      </c>
      <c r="B8083" t="s">
        <v>13302</v>
      </c>
      <c r="C8083" t="s">
        <v>21778</v>
      </c>
      <c r="D8083" t="s">
        <v>337</v>
      </c>
      <c r="E8083" t="b">
        <v>0</v>
      </c>
      <c r="F8083" t="s">
        <v>11624</v>
      </c>
      <c r="G8083">
        <v>-11.337899999999999</v>
      </c>
      <c r="H8083">
        <v>132.453</v>
      </c>
      <c r="I8083" t="s">
        <v>339</v>
      </c>
      <c r="L8083">
        <v>0</v>
      </c>
      <c r="M8083">
        <v>0</v>
      </c>
      <c r="N8083">
        <v>1</v>
      </c>
      <c r="O8083" t="s">
        <v>12107</v>
      </c>
    </row>
    <row r="8084" spans="1:15">
      <c r="A8084" t="s">
        <v>13302</v>
      </c>
      <c r="D8084" t="s">
        <v>32931</v>
      </c>
      <c r="E8084" t="b">
        <v>0</v>
      </c>
      <c r="F8084" t="s">
        <v>11622</v>
      </c>
      <c r="L8084">
        <v>1</v>
      </c>
      <c r="M8084">
        <v>4</v>
      </c>
      <c r="N8084">
        <v>3</v>
      </c>
    </row>
    <row r="8085" spans="1:15">
      <c r="A8085" t="s">
        <v>32932</v>
      </c>
      <c r="B8085" t="s">
        <v>12241</v>
      </c>
      <c r="C8085" t="s">
        <v>12241</v>
      </c>
      <c r="D8085" t="s">
        <v>32933</v>
      </c>
      <c r="E8085" t="b">
        <v>0</v>
      </c>
      <c r="F8085" t="s">
        <v>11622</v>
      </c>
      <c r="L8085">
        <v>0</v>
      </c>
      <c r="M8085">
        <v>1</v>
      </c>
      <c r="N8085">
        <v>0</v>
      </c>
    </row>
    <row r="8086" spans="1:15">
      <c r="A8086" t="s">
        <v>32934</v>
      </c>
      <c r="B8086" t="s">
        <v>367</v>
      </c>
      <c r="C8086" t="s">
        <v>31869</v>
      </c>
      <c r="D8086" t="s">
        <v>32935</v>
      </c>
      <c r="E8086" t="b">
        <v>0</v>
      </c>
      <c r="F8086" t="s">
        <v>11624</v>
      </c>
      <c r="G8086">
        <v>16.304480000000002</v>
      </c>
      <c r="H8086">
        <v>120.78633000000001</v>
      </c>
      <c r="I8086" t="s">
        <v>32936</v>
      </c>
      <c r="L8086">
        <v>0</v>
      </c>
      <c r="M8086">
        <v>0</v>
      </c>
      <c r="N8086">
        <v>0</v>
      </c>
      <c r="O8086" t="s">
        <v>11749</v>
      </c>
    </row>
    <row r="8087" spans="1:15">
      <c r="A8087" t="s">
        <v>32937</v>
      </c>
      <c r="B8087" t="s">
        <v>367</v>
      </c>
      <c r="C8087" t="s">
        <v>19971</v>
      </c>
      <c r="D8087" t="s">
        <v>32938</v>
      </c>
      <c r="E8087" t="b">
        <v>0</v>
      </c>
      <c r="F8087" t="s">
        <v>11624</v>
      </c>
      <c r="G8087">
        <v>-7.2093800000000003</v>
      </c>
      <c r="H8087">
        <v>146.983</v>
      </c>
      <c r="I8087" t="s">
        <v>32939</v>
      </c>
      <c r="L8087">
        <v>0</v>
      </c>
      <c r="M8087">
        <v>0</v>
      </c>
      <c r="N8087">
        <v>0</v>
      </c>
      <c r="O8087" t="s">
        <v>11660</v>
      </c>
    </row>
    <row r="8088" spans="1:15">
      <c r="A8088" t="s">
        <v>32940</v>
      </c>
      <c r="B8088" t="s">
        <v>11705</v>
      </c>
      <c r="C8088" t="s">
        <v>32941</v>
      </c>
      <c r="D8088" t="s">
        <v>32942</v>
      </c>
      <c r="E8088" t="b">
        <v>0</v>
      </c>
      <c r="F8088" t="s">
        <v>11624</v>
      </c>
      <c r="G8088">
        <v>-4.27346</v>
      </c>
      <c r="H8088">
        <v>141.81700000000001</v>
      </c>
      <c r="I8088" t="s">
        <v>32943</v>
      </c>
      <c r="L8088">
        <v>0</v>
      </c>
      <c r="M8088">
        <v>0</v>
      </c>
      <c r="N8088">
        <v>0</v>
      </c>
      <c r="O8088" t="s">
        <v>11660</v>
      </c>
    </row>
    <row r="8089" spans="1:15">
      <c r="A8089" t="s">
        <v>32944</v>
      </c>
      <c r="B8089" t="s">
        <v>11834</v>
      </c>
      <c r="C8089" t="s">
        <v>16306</v>
      </c>
      <c r="D8089" t="s">
        <v>32945</v>
      </c>
      <c r="E8089" t="b">
        <v>0</v>
      </c>
      <c r="F8089" t="s">
        <v>11610</v>
      </c>
      <c r="L8089">
        <v>0</v>
      </c>
      <c r="M8089">
        <v>0</v>
      </c>
      <c r="N8089">
        <v>0</v>
      </c>
    </row>
    <row r="8090" spans="1:15">
      <c r="A8090" t="s">
        <v>32946</v>
      </c>
      <c r="B8090" t="s">
        <v>4342</v>
      </c>
      <c r="C8090" t="s">
        <v>22911</v>
      </c>
      <c r="D8090" t="s">
        <v>32947</v>
      </c>
      <c r="E8090" t="b">
        <v>0</v>
      </c>
      <c r="F8090" t="s">
        <v>11610</v>
      </c>
      <c r="L8090">
        <v>0</v>
      </c>
      <c r="M8090">
        <v>0</v>
      </c>
      <c r="N8090">
        <v>0</v>
      </c>
    </row>
    <row r="8091" spans="1:15">
      <c r="A8091" t="s">
        <v>32948</v>
      </c>
      <c r="B8091" t="s">
        <v>11705</v>
      </c>
      <c r="C8091" t="s">
        <v>11705</v>
      </c>
      <c r="D8091" t="s">
        <v>32949</v>
      </c>
      <c r="E8091" t="b">
        <v>0</v>
      </c>
      <c r="F8091" t="s">
        <v>11622</v>
      </c>
      <c r="L8091">
        <v>2</v>
      </c>
      <c r="M8091">
        <v>4</v>
      </c>
      <c r="N8091">
        <v>0</v>
      </c>
    </row>
    <row r="8092" spans="1:15">
      <c r="A8092" t="s">
        <v>32941</v>
      </c>
      <c r="B8092" t="s">
        <v>11705</v>
      </c>
      <c r="C8092" t="s">
        <v>32948</v>
      </c>
      <c r="D8092" t="s">
        <v>32950</v>
      </c>
      <c r="E8092" t="b">
        <v>0</v>
      </c>
      <c r="F8092" t="s">
        <v>11622</v>
      </c>
      <c r="L8092">
        <v>0</v>
      </c>
      <c r="M8092">
        <v>2</v>
      </c>
      <c r="N8092">
        <v>0</v>
      </c>
    </row>
    <row r="8093" spans="1:15">
      <c r="A8093" t="s">
        <v>32951</v>
      </c>
      <c r="B8093" t="s">
        <v>11607</v>
      </c>
      <c r="C8093" t="s">
        <v>13919</v>
      </c>
      <c r="D8093" t="s">
        <v>32952</v>
      </c>
      <c r="E8093" t="b">
        <v>0</v>
      </c>
      <c r="F8093" t="s">
        <v>11610</v>
      </c>
      <c r="L8093">
        <v>0</v>
      </c>
      <c r="M8093">
        <v>0</v>
      </c>
      <c r="N8093">
        <v>0</v>
      </c>
    </row>
    <row r="8094" spans="1:15">
      <c r="A8094" t="s">
        <v>32953</v>
      </c>
      <c r="B8094" t="s">
        <v>13302</v>
      </c>
      <c r="C8094" t="s">
        <v>338</v>
      </c>
      <c r="D8094" t="s">
        <v>32954</v>
      </c>
      <c r="E8094" t="b">
        <v>0</v>
      </c>
      <c r="F8094" t="s">
        <v>11610</v>
      </c>
      <c r="L8094">
        <v>0</v>
      </c>
      <c r="M8094">
        <v>0</v>
      </c>
      <c r="N8094">
        <v>0</v>
      </c>
    </row>
    <row r="8095" spans="1:15">
      <c r="A8095" t="s">
        <v>32955</v>
      </c>
      <c r="B8095" t="s">
        <v>6742</v>
      </c>
      <c r="C8095" t="s">
        <v>13522</v>
      </c>
      <c r="D8095" t="s">
        <v>32956</v>
      </c>
      <c r="E8095" t="b">
        <v>0</v>
      </c>
      <c r="F8095" t="s">
        <v>11610</v>
      </c>
      <c r="L8095">
        <v>0</v>
      </c>
      <c r="M8095">
        <v>0</v>
      </c>
      <c r="N8095">
        <v>0</v>
      </c>
    </row>
    <row r="8096" spans="1:15">
      <c r="A8096" t="s">
        <v>32957</v>
      </c>
      <c r="B8096" t="s">
        <v>6742</v>
      </c>
      <c r="C8096" t="s">
        <v>15272</v>
      </c>
      <c r="D8096" t="s">
        <v>32958</v>
      </c>
      <c r="E8096" t="b">
        <v>0</v>
      </c>
      <c r="F8096" t="s">
        <v>11610</v>
      </c>
      <c r="L8096">
        <v>0</v>
      </c>
      <c r="M8096">
        <v>0</v>
      </c>
      <c r="N8096">
        <v>0</v>
      </c>
    </row>
    <row r="8097" spans="1:15">
      <c r="A8097" t="s">
        <v>32959</v>
      </c>
      <c r="B8097" t="s">
        <v>6742</v>
      </c>
      <c r="C8097" t="s">
        <v>3193</v>
      </c>
      <c r="D8097" t="s">
        <v>32960</v>
      </c>
      <c r="E8097" t="b">
        <v>0</v>
      </c>
      <c r="F8097" t="s">
        <v>11610</v>
      </c>
      <c r="L8097">
        <v>0</v>
      </c>
      <c r="M8097">
        <v>0</v>
      </c>
      <c r="N8097">
        <v>0</v>
      </c>
    </row>
    <row r="8098" spans="1:15">
      <c r="A8098" t="s">
        <v>32961</v>
      </c>
      <c r="B8098" t="s">
        <v>11615</v>
      </c>
      <c r="C8098" t="s">
        <v>32962</v>
      </c>
      <c r="D8098" t="s">
        <v>32963</v>
      </c>
      <c r="E8098" t="b">
        <v>0</v>
      </c>
      <c r="F8098" t="s">
        <v>11624</v>
      </c>
      <c r="G8098">
        <v>-5.11036</v>
      </c>
      <c r="H8098">
        <v>140.82300000000001</v>
      </c>
      <c r="I8098" t="s">
        <v>32964</v>
      </c>
      <c r="L8098">
        <v>0</v>
      </c>
      <c r="M8098">
        <v>0</v>
      </c>
      <c r="N8098">
        <v>0</v>
      </c>
      <c r="O8098" t="s">
        <v>11768</v>
      </c>
    </row>
    <row r="8099" spans="1:15">
      <c r="A8099" t="s">
        <v>32965</v>
      </c>
      <c r="B8099" t="s">
        <v>11879</v>
      </c>
      <c r="C8099" t="s">
        <v>22777</v>
      </c>
      <c r="D8099" t="s">
        <v>32966</v>
      </c>
      <c r="E8099" t="b">
        <v>0</v>
      </c>
      <c r="F8099" t="s">
        <v>11624</v>
      </c>
      <c r="G8099">
        <v>17.759699999999999</v>
      </c>
      <c r="H8099">
        <v>-97.124200000000002</v>
      </c>
      <c r="I8099" t="s">
        <v>32967</v>
      </c>
      <c r="L8099">
        <v>0</v>
      </c>
      <c r="M8099">
        <v>0</v>
      </c>
      <c r="N8099">
        <v>0</v>
      </c>
      <c r="O8099" t="s">
        <v>11883</v>
      </c>
    </row>
    <row r="8100" spans="1:15">
      <c r="A8100" t="s">
        <v>32968</v>
      </c>
      <c r="B8100" t="s">
        <v>11879</v>
      </c>
      <c r="C8100" t="s">
        <v>15448</v>
      </c>
      <c r="D8100" t="s">
        <v>32969</v>
      </c>
      <c r="E8100" t="b">
        <v>0</v>
      </c>
      <c r="F8100" t="s">
        <v>11624</v>
      </c>
      <c r="G8100">
        <v>18.153099999999998</v>
      </c>
      <c r="H8100">
        <v>-96.571899999999999</v>
      </c>
      <c r="I8100" t="s">
        <v>32970</v>
      </c>
      <c r="L8100">
        <v>0</v>
      </c>
      <c r="M8100">
        <v>0</v>
      </c>
      <c r="N8100">
        <v>0</v>
      </c>
      <c r="O8100" t="s">
        <v>11883</v>
      </c>
    </row>
    <row r="8101" spans="1:15">
      <c r="A8101" t="s">
        <v>32971</v>
      </c>
      <c r="B8101" t="s">
        <v>12751</v>
      </c>
      <c r="C8101" t="s">
        <v>32972</v>
      </c>
      <c r="D8101" t="s">
        <v>32973</v>
      </c>
      <c r="E8101" t="b">
        <v>0</v>
      </c>
      <c r="F8101" t="s">
        <v>11610</v>
      </c>
      <c r="L8101">
        <v>0</v>
      </c>
      <c r="M8101">
        <v>0</v>
      </c>
      <c r="N8101">
        <v>0</v>
      </c>
    </row>
    <row r="8102" spans="1:15">
      <c r="A8102" t="s">
        <v>12373</v>
      </c>
      <c r="B8102" t="s">
        <v>5911</v>
      </c>
      <c r="C8102" t="s">
        <v>29714</v>
      </c>
      <c r="D8102" t="s">
        <v>32974</v>
      </c>
      <c r="E8102" t="b">
        <v>0</v>
      </c>
      <c r="F8102" t="s">
        <v>11622</v>
      </c>
      <c r="L8102">
        <v>0</v>
      </c>
      <c r="M8102">
        <v>2</v>
      </c>
      <c r="N8102">
        <v>0</v>
      </c>
    </row>
    <row r="8103" spans="1:15">
      <c r="A8103" t="s">
        <v>6934</v>
      </c>
      <c r="B8103" t="s">
        <v>5911</v>
      </c>
      <c r="C8103" t="s">
        <v>12373</v>
      </c>
      <c r="D8103" t="s">
        <v>9795</v>
      </c>
      <c r="E8103" t="b">
        <v>0</v>
      </c>
      <c r="F8103" t="s">
        <v>11624</v>
      </c>
      <c r="G8103">
        <v>15.456899999999999</v>
      </c>
      <c r="H8103">
        <v>-90.893500000000003</v>
      </c>
      <c r="I8103" t="s">
        <v>6935</v>
      </c>
      <c r="L8103">
        <v>0</v>
      </c>
      <c r="M8103">
        <v>0</v>
      </c>
      <c r="N8103">
        <v>0</v>
      </c>
      <c r="O8103" t="s">
        <v>11927</v>
      </c>
    </row>
    <row r="8104" spans="1:15">
      <c r="A8104" t="s">
        <v>32975</v>
      </c>
      <c r="B8104" t="s">
        <v>11627</v>
      </c>
      <c r="C8104" t="s">
        <v>11627</v>
      </c>
      <c r="D8104" t="s">
        <v>32976</v>
      </c>
      <c r="E8104" t="b">
        <v>1</v>
      </c>
      <c r="F8104" t="s">
        <v>11624</v>
      </c>
      <c r="I8104" t="s">
        <v>32977</v>
      </c>
      <c r="L8104">
        <v>0</v>
      </c>
      <c r="M8104">
        <v>0</v>
      </c>
      <c r="N8104">
        <v>0</v>
      </c>
      <c r="O8104" t="s">
        <v>11927</v>
      </c>
    </row>
    <row r="8105" spans="1:15">
      <c r="A8105" t="s">
        <v>32978</v>
      </c>
      <c r="B8105" t="s">
        <v>11627</v>
      </c>
      <c r="C8105" t="s">
        <v>11627</v>
      </c>
      <c r="D8105" t="s">
        <v>32979</v>
      </c>
      <c r="E8105" t="b">
        <v>1</v>
      </c>
      <c r="F8105" t="s">
        <v>11624</v>
      </c>
      <c r="I8105" t="s">
        <v>32980</v>
      </c>
      <c r="L8105">
        <v>0</v>
      </c>
      <c r="M8105">
        <v>0</v>
      </c>
      <c r="N8105">
        <v>0</v>
      </c>
      <c r="O8105" t="s">
        <v>11927</v>
      </c>
    </row>
    <row r="8106" spans="1:15">
      <c r="A8106" t="s">
        <v>32981</v>
      </c>
      <c r="B8106" t="s">
        <v>12311</v>
      </c>
      <c r="C8106" t="s">
        <v>19583</v>
      </c>
      <c r="D8106" t="s">
        <v>32982</v>
      </c>
      <c r="E8106" t="b">
        <v>0</v>
      </c>
      <c r="F8106" t="s">
        <v>11610</v>
      </c>
      <c r="L8106">
        <v>0</v>
      </c>
      <c r="M8106">
        <v>0</v>
      </c>
      <c r="N8106">
        <v>0</v>
      </c>
    </row>
    <row r="8107" spans="1:15">
      <c r="A8107" t="s">
        <v>32983</v>
      </c>
      <c r="B8107" t="s">
        <v>11879</v>
      </c>
      <c r="C8107" t="s">
        <v>22367</v>
      </c>
      <c r="D8107" t="s">
        <v>32984</v>
      </c>
      <c r="E8107" t="b">
        <v>0</v>
      </c>
      <c r="F8107" t="s">
        <v>11624</v>
      </c>
      <c r="G8107">
        <v>16.577400000000001</v>
      </c>
      <c r="H8107">
        <v>-97.575900000000004</v>
      </c>
      <c r="I8107" t="s">
        <v>32985</v>
      </c>
      <c r="L8107">
        <v>0</v>
      </c>
      <c r="M8107">
        <v>0</v>
      </c>
      <c r="N8107">
        <v>0</v>
      </c>
      <c r="O8107" t="s">
        <v>11883</v>
      </c>
    </row>
    <row r="8108" spans="1:15">
      <c r="A8108" t="s">
        <v>32986</v>
      </c>
      <c r="B8108" t="s">
        <v>11879</v>
      </c>
      <c r="C8108" t="s">
        <v>32987</v>
      </c>
      <c r="D8108" t="s">
        <v>32988</v>
      </c>
      <c r="E8108" t="b">
        <v>0</v>
      </c>
      <c r="F8108" t="s">
        <v>11624</v>
      </c>
      <c r="G8108">
        <v>19.214600000000001</v>
      </c>
      <c r="H8108">
        <v>-98.027199999999993</v>
      </c>
      <c r="I8108" t="s">
        <v>32989</v>
      </c>
      <c r="L8108">
        <v>0</v>
      </c>
      <c r="M8108">
        <v>0</v>
      </c>
      <c r="N8108">
        <v>0</v>
      </c>
      <c r="O8108" t="s">
        <v>11883</v>
      </c>
    </row>
    <row r="8109" spans="1:15">
      <c r="A8109" t="s">
        <v>32990</v>
      </c>
      <c r="B8109" t="s">
        <v>6742</v>
      </c>
      <c r="C8109" t="s">
        <v>12811</v>
      </c>
      <c r="D8109" t="s">
        <v>32991</v>
      </c>
      <c r="E8109" t="b">
        <v>0</v>
      </c>
      <c r="F8109" t="s">
        <v>11610</v>
      </c>
      <c r="L8109">
        <v>0</v>
      </c>
      <c r="M8109">
        <v>0</v>
      </c>
      <c r="N8109">
        <v>0</v>
      </c>
    </row>
    <row r="8110" spans="1:15">
      <c r="A8110" t="s">
        <v>32992</v>
      </c>
      <c r="B8110" t="s">
        <v>6742</v>
      </c>
      <c r="C8110" t="s">
        <v>14829</v>
      </c>
      <c r="D8110" t="s">
        <v>32993</v>
      </c>
      <c r="E8110" t="b">
        <v>0</v>
      </c>
      <c r="F8110" t="s">
        <v>11610</v>
      </c>
      <c r="L8110">
        <v>0</v>
      </c>
      <c r="M8110">
        <v>0</v>
      </c>
      <c r="N8110">
        <v>0</v>
      </c>
    </row>
    <row r="8111" spans="1:15">
      <c r="A8111" t="s">
        <v>32994</v>
      </c>
      <c r="B8111" t="s">
        <v>6742</v>
      </c>
      <c r="C8111" t="s">
        <v>32995</v>
      </c>
      <c r="D8111" t="s">
        <v>32996</v>
      </c>
      <c r="E8111" t="b">
        <v>0</v>
      </c>
      <c r="F8111" t="s">
        <v>11624</v>
      </c>
      <c r="G8111">
        <v>7.3007600000000004</v>
      </c>
      <c r="H8111">
        <v>5.8432599999999999</v>
      </c>
      <c r="I8111" t="s">
        <v>32997</v>
      </c>
      <c r="L8111">
        <v>0</v>
      </c>
      <c r="M8111">
        <v>0</v>
      </c>
      <c r="N8111">
        <v>0</v>
      </c>
      <c r="O8111" t="s">
        <v>11693</v>
      </c>
    </row>
    <row r="8112" spans="1:15">
      <c r="A8112" t="s">
        <v>32998</v>
      </c>
      <c r="B8112" t="s">
        <v>6742</v>
      </c>
      <c r="C8112" t="s">
        <v>15272</v>
      </c>
      <c r="D8112" t="s">
        <v>32999</v>
      </c>
      <c r="E8112" t="b">
        <v>0</v>
      </c>
      <c r="F8112" t="s">
        <v>11610</v>
      </c>
      <c r="L8112">
        <v>0</v>
      </c>
      <c r="M8112">
        <v>0</v>
      </c>
      <c r="N8112">
        <v>0</v>
      </c>
    </row>
    <row r="8113" spans="1:15">
      <c r="A8113" t="s">
        <v>33000</v>
      </c>
      <c r="B8113" t="s">
        <v>6742</v>
      </c>
      <c r="C8113" t="s">
        <v>15272</v>
      </c>
      <c r="D8113" t="s">
        <v>33001</v>
      </c>
      <c r="E8113" t="b">
        <v>0</v>
      </c>
      <c r="F8113" t="s">
        <v>11610</v>
      </c>
      <c r="L8113">
        <v>0</v>
      </c>
      <c r="M8113">
        <v>0</v>
      </c>
      <c r="N8113">
        <v>0</v>
      </c>
    </row>
    <row r="8114" spans="1:15">
      <c r="A8114" t="s">
        <v>33002</v>
      </c>
      <c r="B8114" t="s">
        <v>6742</v>
      </c>
      <c r="C8114" t="s">
        <v>33003</v>
      </c>
      <c r="D8114" t="s">
        <v>33004</v>
      </c>
      <c r="E8114" t="b">
        <v>0</v>
      </c>
      <c r="F8114" t="s">
        <v>11624</v>
      </c>
      <c r="G8114">
        <v>6.5043699999999998</v>
      </c>
      <c r="H8114">
        <v>9.5330200000000005</v>
      </c>
      <c r="I8114" t="s">
        <v>33005</v>
      </c>
      <c r="L8114">
        <v>0</v>
      </c>
      <c r="M8114">
        <v>0</v>
      </c>
      <c r="N8114">
        <v>0</v>
      </c>
      <c r="O8114" t="s">
        <v>11802</v>
      </c>
    </row>
    <row r="8115" spans="1:15">
      <c r="A8115" t="s">
        <v>33006</v>
      </c>
      <c r="B8115" t="s">
        <v>4342</v>
      </c>
      <c r="C8115" t="s">
        <v>30829</v>
      </c>
      <c r="D8115" t="s">
        <v>33007</v>
      </c>
      <c r="E8115" t="b">
        <v>0</v>
      </c>
      <c r="F8115" t="s">
        <v>11610</v>
      </c>
      <c r="L8115">
        <v>0</v>
      </c>
      <c r="M8115">
        <v>0</v>
      </c>
      <c r="N8115">
        <v>0</v>
      </c>
    </row>
    <row r="8116" spans="1:15">
      <c r="A8116" t="s">
        <v>33008</v>
      </c>
      <c r="B8116" t="s">
        <v>389</v>
      </c>
      <c r="C8116" t="s">
        <v>22864</v>
      </c>
      <c r="D8116" t="s">
        <v>33009</v>
      </c>
      <c r="E8116" t="b">
        <v>0</v>
      </c>
      <c r="F8116" t="s">
        <v>11624</v>
      </c>
      <c r="G8116">
        <v>-22.189599999999999</v>
      </c>
      <c r="H8116">
        <v>-63.238300000000002</v>
      </c>
      <c r="I8116" t="s">
        <v>33010</v>
      </c>
      <c r="L8116">
        <v>0</v>
      </c>
      <c r="M8116">
        <v>0</v>
      </c>
      <c r="N8116">
        <v>0</v>
      </c>
      <c r="O8116" t="s">
        <v>11774</v>
      </c>
    </row>
    <row r="8117" spans="1:15">
      <c r="A8117" t="s">
        <v>33011</v>
      </c>
      <c r="B8117" t="s">
        <v>6742</v>
      </c>
      <c r="C8117" t="s">
        <v>18583</v>
      </c>
      <c r="D8117" t="s">
        <v>33012</v>
      </c>
      <c r="E8117" t="b">
        <v>0</v>
      </c>
      <c r="F8117" t="s">
        <v>11610</v>
      </c>
      <c r="L8117">
        <v>0</v>
      </c>
      <c r="M8117">
        <v>0</v>
      </c>
      <c r="N8117">
        <v>0</v>
      </c>
    </row>
    <row r="8118" spans="1:15">
      <c r="A8118" t="s">
        <v>33013</v>
      </c>
      <c r="B8118" t="s">
        <v>367</v>
      </c>
      <c r="C8118" t="s">
        <v>11680</v>
      </c>
      <c r="D8118" t="s">
        <v>33014</v>
      </c>
      <c r="E8118" t="b">
        <v>0</v>
      </c>
      <c r="F8118" t="s">
        <v>11610</v>
      </c>
      <c r="L8118">
        <v>0</v>
      </c>
      <c r="M8118">
        <v>0</v>
      </c>
      <c r="N8118">
        <v>0</v>
      </c>
    </row>
    <row r="8119" spans="1:15">
      <c r="A8119" t="s">
        <v>33015</v>
      </c>
      <c r="B8119" t="s">
        <v>11615</v>
      </c>
      <c r="C8119" t="s">
        <v>33016</v>
      </c>
      <c r="D8119" t="s">
        <v>33017</v>
      </c>
      <c r="E8119" t="b">
        <v>0</v>
      </c>
      <c r="F8119" t="s">
        <v>11624</v>
      </c>
      <c r="G8119">
        <v>-5.8416100000000002</v>
      </c>
      <c r="H8119">
        <v>146.09200000000001</v>
      </c>
      <c r="I8119" t="s">
        <v>33018</v>
      </c>
      <c r="L8119">
        <v>0</v>
      </c>
      <c r="M8119">
        <v>0</v>
      </c>
      <c r="N8119">
        <v>0</v>
      </c>
      <c r="O8119" t="s">
        <v>11660</v>
      </c>
    </row>
    <row r="8120" spans="1:15">
      <c r="A8120" t="s">
        <v>33019</v>
      </c>
      <c r="B8120" t="s">
        <v>6742</v>
      </c>
      <c r="C8120" t="s">
        <v>15272</v>
      </c>
      <c r="D8120" t="s">
        <v>33020</v>
      </c>
      <c r="E8120" t="b">
        <v>0</v>
      </c>
      <c r="F8120" t="s">
        <v>11610</v>
      </c>
      <c r="L8120">
        <v>0</v>
      </c>
      <c r="M8120">
        <v>0</v>
      </c>
      <c r="N8120">
        <v>0</v>
      </c>
    </row>
    <row r="8121" spans="1:15">
      <c r="A8121" t="s">
        <v>33021</v>
      </c>
      <c r="B8121" t="s">
        <v>389</v>
      </c>
      <c r="C8121" t="s">
        <v>22864</v>
      </c>
      <c r="D8121" t="s">
        <v>33022</v>
      </c>
      <c r="E8121" t="b">
        <v>0</v>
      </c>
      <c r="F8121" t="s">
        <v>11624</v>
      </c>
      <c r="G8121">
        <v>-22.206700000000001</v>
      </c>
      <c r="H8121">
        <v>-62.650799999999997</v>
      </c>
      <c r="I8121" t="s">
        <v>33023</v>
      </c>
      <c r="L8121">
        <v>0</v>
      </c>
      <c r="M8121">
        <v>0</v>
      </c>
      <c r="N8121">
        <v>0</v>
      </c>
      <c r="O8121" t="s">
        <v>26382</v>
      </c>
    </row>
    <row r="8122" spans="1:15">
      <c r="A8122" t="s">
        <v>33024</v>
      </c>
      <c r="B8122" t="s">
        <v>6742</v>
      </c>
      <c r="C8122" t="s">
        <v>19704</v>
      </c>
      <c r="D8122" t="s">
        <v>33025</v>
      </c>
      <c r="E8122" t="b">
        <v>0</v>
      </c>
      <c r="F8122" t="s">
        <v>11610</v>
      </c>
      <c r="L8122">
        <v>0</v>
      </c>
      <c r="M8122">
        <v>0</v>
      </c>
      <c r="N8122">
        <v>0</v>
      </c>
    </row>
    <row r="8123" spans="1:15">
      <c r="A8123" t="s">
        <v>33026</v>
      </c>
      <c r="B8123" t="s">
        <v>6742</v>
      </c>
      <c r="C8123" t="s">
        <v>21305</v>
      </c>
      <c r="D8123" t="s">
        <v>33027</v>
      </c>
      <c r="E8123" t="b">
        <v>0</v>
      </c>
      <c r="F8123" t="s">
        <v>11624</v>
      </c>
      <c r="G8123">
        <v>9.5</v>
      </c>
      <c r="H8123">
        <v>8.6999999999999993</v>
      </c>
      <c r="I8123" t="s">
        <v>33028</v>
      </c>
      <c r="L8123">
        <v>0</v>
      </c>
      <c r="M8123">
        <v>0</v>
      </c>
      <c r="N8123">
        <v>0</v>
      </c>
      <c r="O8123" t="s">
        <v>11693</v>
      </c>
    </row>
    <row r="8124" spans="1:15">
      <c r="A8124" t="s">
        <v>21305</v>
      </c>
      <c r="B8124" t="s">
        <v>6742</v>
      </c>
      <c r="C8124" t="s">
        <v>32629</v>
      </c>
      <c r="D8124" t="s">
        <v>33029</v>
      </c>
      <c r="E8124" t="b">
        <v>0</v>
      </c>
      <c r="F8124" t="s">
        <v>11622</v>
      </c>
      <c r="L8124">
        <v>0</v>
      </c>
      <c r="M8124">
        <v>4</v>
      </c>
      <c r="N8124">
        <v>0</v>
      </c>
    </row>
    <row r="8125" spans="1:15">
      <c r="A8125" t="s">
        <v>33030</v>
      </c>
      <c r="B8125" t="s">
        <v>11627</v>
      </c>
      <c r="C8125" t="s">
        <v>11627</v>
      </c>
      <c r="D8125" t="s">
        <v>33031</v>
      </c>
      <c r="E8125" t="b">
        <v>1</v>
      </c>
      <c r="F8125" t="s">
        <v>11624</v>
      </c>
      <c r="I8125" t="s">
        <v>33032</v>
      </c>
      <c r="L8125">
        <v>0</v>
      </c>
      <c r="M8125">
        <v>0</v>
      </c>
      <c r="N8125">
        <v>0</v>
      </c>
    </row>
    <row r="8126" spans="1:15">
      <c r="A8126" t="s">
        <v>27588</v>
      </c>
      <c r="B8126" t="s">
        <v>6742</v>
      </c>
      <c r="C8126" t="s">
        <v>32037</v>
      </c>
      <c r="D8126" t="s">
        <v>33033</v>
      </c>
      <c r="E8126" t="b">
        <v>0</v>
      </c>
      <c r="F8126" t="s">
        <v>11624</v>
      </c>
      <c r="G8126">
        <v>6.3183100000000003</v>
      </c>
      <c r="H8126">
        <v>8.0304400000000005</v>
      </c>
      <c r="I8126" t="s">
        <v>33034</v>
      </c>
      <c r="L8126">
        <v>0</v>
      </c>
      <c r="M8126">
        <v>0</v>
      </c>
      <c r="N8126">
        <v>4</v>
      </c>
      <c r="O8126" t="s">
        <v>11693</v>
      </c>
    </row>
    <row r="8127" spans="1:15">
      <c r="A8127" t="s">
        <v>33035</v>
      </c>
      <c r="B8127" t="s">
        <v>6742</v>
      </c>
      <c r="C8127" t="s">
        <v>27588</v>
      </c>
      <c r="D8127" t="s">
        <v>33036</v>
      </c>
      <c r="E8127" t="b">
        <v>0</v>
      </c>
      <c r="F8127" t="s">
        <v>11610</v>
      </c>
      <c r="G8127">
        <v>6.33</v>
      </c>
      <c r="H8127">
        <v>8</v>
      </c>
      <c r="I8127" t="s">
        <v>33037</v>
      </c>
      <c r="L8127">
        <v>0</v>
      </c>
      <c r="M8127">
        <v>0</v>
      </c>
      <c r="N8127">
        <v>0</v>
      </c>
    </row>
    <row r="8128" spans="1:15">
      <c r="A8128" t="s">
        <v>33038</v>
      </c>
      <c r="B8128" t="s">
        <v>6742</v>
      </c>
      <c r="C8128" t="s">
        <v>32077</v>
      </c>
      <c r="D8128" t="s">
        <v>33039</v>
      </c>
      <c r="E8128" t="b">
        <v>0</v>
      </c>
      <c r="F8128" t="s">
        <v>11610</v>
      </c>
      <c r="L8128">
        <v>0</v>
      </c>
      <c r="M8128">
        <v>0</v>
      </c>
      <c r="N8128">
        <v>0</v>
      </c>
    </row>
    <row r="8129" spans="1:15">
      <c r="A8129" t="s">
        <v>33040</v>
      </c>
      <c r="B8129" t="s">
        <v>11912</v>
      </c>
      <c r="C8129" t="s">
        <v>15232</v>
      </c>
      <c r="D8129" t="s">
        <v>33041</v>
      </c>
      <c r="E8129" t="b">
        <v>0</v>
      </c>
      <c r="F8129" t="s">
        <v>11610</v>
      </c>
      <c r="L8129">
        <v>0</v>
      </c>
      <c r="M8129">
        <v>0</v>
      </c>
      <c r="N8129">
        <v>0</v>
      </c>
    </row>
    <row r="8130" spans="1:15">
      <c r="A8130" t="s">
        <v>14175</v>
      </c>
      <c r="B8130" t="s">
        <v>12697</v>
      </c>
      <c r="C8130" t="s">
        <v>32461</v>
      </c>
      <c r="D8130" t="s">
        <v>33042</v>
      </c>
      <c r="E8130" t="b">
        <v>0</v>
      </c>
      <c r="F8130" t="s">
        <v>11624</v>
      </c>
      <c r="G8130">
        <v>5.1798599999999997</v>
      </c>
      <c r="H8130">
        <v>5.5170199999999996</v>
      </c>
      <c r="I8130" t="s">
        <v>33043</v>
      </c>
      <c r="L8130">
        <v>0</v>
      </c>
      <c r="M8130">
        <v>0</v>
      </c>
      <c r="N8130">
        <v>27</v>
      </c>
      <c r="O8130" t="s">
        <v>11693</v>
      </c>
    </row>
    <row r="8131" spans="1:15">
      <c r="A8131" t="s">
        <v>33044</v>
      </c>
      <c r="B8131" t="s">
        <v>6742</v>
      </c>
      <c r="C8131" t="s">
        <v>22807</v>
      </c>
      <c r="D8131" t="s">
        <v>33045</v>
      </c>
      <c r="E8131" t="b">
        <v>0</v>
      </c>
      <c r="F8131" t="s">
        <v>11624</v>
      </c>
      <c r="G8131">
        <v>10.4735</v>
      </c>
      <c r="H8131">
        <v>8.7646800000000002</v>
      </c>
      <c r="I8131" t="s">
        <v>33046</v>
      </c>
      <c r="L8131">
        <v>0</v>
      </c>
      <c r="M8131">
        <v>0</v>
      </c>
      <c r="N8131">
        <v>0</v>
      </c>
      <c r="O8131" t="s">
        <v>11693</v>
      </c>
    </row>
    <row r="8132" spans="1:15">
      <c r="A8132" t="s">
        <v>33047</v>
      </c>
      <c r="B8132" t="s">
        <v>4342</v>
      </c>
      <c r="C8132" t="s">
        <v>33048</v>
      </c>
      <c r="D8132" t="s">
        <v>33049</v>
      </c>
      <c r="E8132" t="b">
        <v>0</v>
      </c>
      <c r="F8132" t="s">
        <v>11610</v>
      </c>
      <c r="L8132">
        <v>0</v>
      </c>
      <c r="M8132">
        <v>0</v>
      </c>
      <c r="N8132">
        <v>0</v>
      </c>
    </row>
    <row r="8133" spans="1:15">
      <c r="A8133" t="s">
        <v>33050</v>
      </c>
      <c r="B8133" t="s">
        <v>4342</v>
      </c>
      <c r="C8133" t="s">
        <v>27259</v>
      </c>
      <c r="D8133" t="s">
        <v>33051</v>
      </c>
      <c r="E8133" t="b">
        <v>0</v>
      </c>
      <c r="F8133" t="s">
        <v>11610</v>
      </c>
      <c r="L8133">
        <v>0</v>
      </c>
      <c r="M8133">
        <v>0</v>
      </c>
      <c r="N8133">
        <v>0</v>
      </c>
    </row>
    <row r="8134" spans="1:15">
      <c r="A8134" t="s">
        <v>15744</v>
      </c>
      <c r="B8134" t="s">
        <v>6742</v>
      </c>
      <c r="C8134" t="s">
        <v>21059</v>
      </c>
      <c r="D8134" t="s">
        <v>33052</v>
      </c>
      <c r="E8134" t="b">
        <v>0</v>
      </c>
      <c r="F8134" t="s">
        <v>11622</v>
      </c>
      <c r="L8134">
        <v>0</v>
      </c>
      <c r="M8134">
        <v>2</v>
      </c>
      <c r="N8134">
        <v>0</v>
      </c>
    </row>
    <row r="8135" spans="1:15">
      <c r="A8135" t="s">
        <v>33053</v>
      </c>
      <c r="B8135" t="s">
        <v>11607</v>
      </c>
      <c r="C8135" t="s">
        <v>3055</v>
      </c>
      <c r="D8135" t="s">
        <v>33054</v>
      </c>
      <c r="E8135" t="b">
        <v>0</v>
      </c>
      <c r="F8135" t="s">
        <v>11610</v>
      </c>
      <c r="L8135">
        <v>0</v>
      </c>
      <c r="M8135">
        <v>0</v>
      </c>
      <c r="N8135">
        <v>0</v>
      </c>
    </row>
    <row r="8136" spans="1:15">
      <c r="A8136" t="s">
        <v>33055</v>
      </c>
      <c r="B8136" t="s">
        <v>11607</v>
      </c>
      <c r="C8136" t="s">
        <v>30502</v>
      </c>
      <c r="D8136" t="s">
        <v>33056</v>
      </c>
      <c r="E8136" t="b">
        <v>0</v>
      </c>
      <c r="F8136" t="s">
        <v>11624</v>
      </c>
      <c r="G8136">
        <v>16.909199999999998</v>
      </c>
      <c r="H8136">
        <v>43.241690499999997</v>
      </c>
      <c r="I8136" t="s">
        <v>33057</v>
      </c>
      <c r="L8136">
        <v>0</v>
      </c>
      <c r="M8136">
        <v>0</v>
      </c>
      <c r="N8136">
        <v>0</v>
      </c>
      <c r="O8136" t="s">
        <v>30505</v>
      </c>
    </row>
    <row r="8137" spans="1:15">
      <c r="A8137" t="s">
        <v>33058</v>
      </c>
      <c r="B8137" t="s">
        <v>6742</v>
      </c>
      <c r="C8137" t="s">
        <v>29386</v>
      </c>
      <c r="D8137" t="s">
        <v>33059</v>
      </c>
      <c r="E8137" t="b">
        <v>0</v>
      </c>
      <c r="F8137" t="s">
        <v>11610</v>
      </c>
      <c r="L8137">
        <v>0</v>
      </c>
      <c r="M8137">
        <v>0</v>
      </c>
      <c r="N8137">
        <v>0</v>
      </c>
    </row>
    <row r="8138" spans="1:15">
      <c r="A8138" t="s">
        <v>33060</v>
      </c>
      <c r="B8138" t="s">
        <v>10597</v>
      </c>
      <c r="C8138" t="s">
        <v>26020</v>
      </c>
      <c r="D8138" t="s">
        <v>33061</v>
      </c>
      <c r="E8138" t="b">
        <v>0</v>
      </c>
      <c r="F8138" t="s">
        <v>11610</v>
      </c>
      <c r="L8138">
        <v>0</v>
      </c>
      <c r="M8138">
        <v>0</v>
      </c>
      <c r="N8138">
        <v>0</v>
      </c>
    </row>
    <row r="8139" spans="1:15">
      <c r="A8139" t="s">
        <v>33062</v>
      </c>
      <c r="B8139" t="s">
        <v>367</v>
      </c>
      <c r="C8139" t="s">
        <v>33063</v>
      </c>
      <c r="D8139" t="s">
        <v>33064</v>
      </c>
      <c r="E8139" t="b">
        <v>0</v>
      </c>
      <c r="F8139" t="s">
        <v>11610</v>
      </c>
      <c r="L8139">
        <v>0</v>
      </c>
      <c r="M8139">
        <v>0</v>
      </c>
      <c r="N8139">
        <v>0</v>
      </c>
    </row>
    <row r="8140" spans="1:15">
      <c r="A8140" t="s">
        <v>14545</v>
      </c>
      <c r="B8140" t="s">
        <v>11965</v>
      </c>
      <c r="C8140" t="s">
        <v>11965</v>
      </c>
      <c r="D8140" t="s">
        <v>33065</v>
      </c>
      <c r="E8140" t="b">
        <v>0</v>
      </c>
      <c r="F8140" t="s">
        <v>11622</v>
      </c>
      <c r="L8140">
        <v>0</v>
      </c>
      <c r="M8140">
        <v>2</v>
      </c>
      <c r="N8140">
        <v>0</v>
      </c>
    </row>
    <row r="8141" spans="1:15">
      <c r="A8141" t="s">
        <v>33066</v>
      </c>
      <c r="B8141" t="s">
        <v>11644</v>
      </c>
      <c r="C8141" t="s">
        <v>33067</v>
      </c>
      <c r="D8141" t="s">
        <v>33068</v>
      </c>
      <c r="E8141" t="b">
        <v>0</v>
      </c>
      <c r="F8141" t="s">
        <v>11610</v>
      </c>
      <c r="L8141">
        <v>0</v>
      </c>
      <c r="M8141">
        <v>0</v>
      </c>
      <c r="N8141">
        <v>0</v>
      </c>
    </row>
    <row r="8142" spans="1:15">
      <c r="A8142" t="s">
        <v>33067</v>
      </c>
      <c r="B8142" t="s">
        <v>11644</v>
      </c>
      <c r="C8142" t="s">
        <v>33069</v>
      </c>
      <c r="D8142" t="s">
        <v>33070</v>
      </c>
      <c r="E8142" t="b">
        <v>0</v>
      </c>
      <c r="F8142" t="s">
        <v>11624</v>
      </c>
      <c r="G8142">
        <v>30.241</v>
      </c>
      <c r="H8142">
        <v>79.153000000000006</v>
      </c>
      <c r="I8142" t="s">
        <v>33071</v>
      </c>
      <c r="L8142">
        <v>0</v>
      </c>
      <c r="M8142">
        <v>0</v>
      </c>
      <c r="N8142">
        <v>2</v>
      </c>
      <c r="O8142" t="s">
        <v>11630</v>
      </c>
    </row>
    <row r="8143" spans="1:15">
      <c r="A8143" t="s">
        <v>33072</v>
      </c>
      <c r="B8143" t="s">
        <v>11637</v>
      </c>
      <c r="C8143" t="s">
        <v>7473</v>
      </c>
      <c r="D8143" t="s">
        <v>33073</v>
      </c>
      <c r="E8143" t="b">
        <v>0</v>
      </c>
      <c r="F8143" t="s">
        <v>11610</v>
      </c>
      <c r="L8143">
        <v>0</v>
      </c>
      <c r="M8143">
        <v>0</v>
      </c>
      <c r="N8143">
        <v>0</v>
      </c>
    </row>
    <row r="8144" spans="1:15">
      <c r="A8144" t="s">
        <v>33074</v>
      </c>
      <c r="B8144" t="s">
        <v>11637</v>
      </c>
      <c r="C8144" t="s">
        <v>33075</v>
      </c>
      <c r="D8144" t="s">
        <v>33076</v>
      </c>
      <c r="E8144" t="b">
        <v>0</v>
      </c>
      <c r="F8144" t="s">
        <v>11624</v>
      </c>
      <c r="G8144">
        <v>26.9682</v>
      </c>
      <c r="H8144">
        <v>63.534999999999997</v>
      </c>
      <c r="I8144" t="s">
        <v>33077</v>
      </c>
      <c r="L8144">
        <v>0</v>
      </c>
      <c r="M8144">
        <v>0</v>
      </c>
      <c r="N8144">
        <v>0</v>
      </c>
      <c r="O8144" t="s">
        <v>33078</v>
      </c>
    </row>
    <row r="8145" spans="1:15">
      <c r="A8145" t="s">
        <v>33079</v>
      </c>
      <c r="B8145" t="s">
        <v>11637</v>
      </c>
      <c r="C8145" t="s">
        <v>14000</v>
      </c>
      <c r="D8145" t="s">
        <v>33080</v>
      </c>
      <c r="E8145" t="b">
        <v>0</v>
      </c>
      <c r="F8145" t="s">
        <v>11610</v>
      </c>
      <c r="L8145">
        <v>0</v>
      </c>
      <c r="M8145">
        <v>0</v>
      </c>
      <c r="N8145">
        <v>0</v>
      </c>
    </row>
    <row r="8146" spans="1:15">
      <c r="A8146" t="s">
        <v>33081</v>
      </c>
      <c r="B8146" t="s">
        <v>11637</v>
      </c>
      <c r="C8146" t="s">
        <v>15898</v>
      </c>
      <c r="D8146" t="s">
        <v>33082</v>
      </c>
      <c r="E8146" t="b">
        <v>0</v>
      </c>
      <c r="F8146" t="s">
        <v>11610</v>
      </c>
      <c r="L8146">
        <v>0</v>
      </c>
      <c r="M8146">
        <v>0</v>
      </c>
      <c r="N8146">
        <v>0</v>
      </c>
    </row>
    <row r="8147" spans="1:15">
      <c r="A8147" t="s">
        <v>33083</v>
      </c>
      <c r="B8147" t="s">
        <v>11844</v>
      </c>
      <c r="C8147" t="s">
        <v>1318</v>
      </c>
      <c r="D8147" t="s">
        <v>33084</v>
      </c>
      <c r="E8147" t="b">
        <v>0</v>
      </c>
      <c r="F8147" t="s">
        <v>11610</v>
      </c>
      <c r="L8147">
        <v>0</v>
      </c>
      <c r="M8147">
        <v>0</v>
      </c>
      <c r="N8147">
        <v>0</v>
      </c>
    </row>
    <row r="8148" spans="1:15">
      <c r="A8148" t="s">
        <v>33085</v>
      </c>
      <c r="B8148" t="s">
        <v>11644</v>
      </c>
      <c r="C8148" t="s">
        <v>33086</v>
      </c>
      <c r="D8148" t="s">
        <v>33087</v>
      </c>
      <c r="E8148" t="b">
        <v>0</v>
      </c>
      <c r="F8148" t="s">
        <v>11610</v>
      </c>
      <c r="L8148">
        <v>0</v>
      </c>
      <c r="M8148">
        <v>0</v>
      </c>
      <c r="N8148">
        <v>0</v>
      </c>
    </row>
    <row r="8149" spans="1:15">
      <c r="A8149" t="s">
        <v>33088</v>
      </c>
      <c r="B8149" t="s">
        <v>11615</v>
      </c>
      <c r="C8149" t="s">
        <v>13429</v>
      </c>
      <c r="D8149" t="s">
        <v>33089</v>
      </c>
      <c r="E8149" t="b">
        <v>0</v>
      </c>
      <c r="F8149" t="s">
        <v>11610</v>
      </c>
      <c r="L8149">
        <v>0</v>
      </c>
      <c r="M8149">
        <v>0</v>
      </c>
      <c r="N8149">
        <v>0</v>
      </c>
    </row>
    <row r="8150" spans="1:15">
      <c r="A8150" t="s">
        <v>33090</v>
      </c>
      <c r="B8150" t="s">
        <v>13276</v>
      </c>
      <c r="C8150" t="s">
        <v>33091</v>
      </c>
      <c r="D8150" t="s">
        <v>33092</v>
      </c>
      <c r="E8150" t="b">
        <v>0</v>
      </c>
      <c r="F8150" t="s">
        <v>11624</v>
      </c>
      <c r="G8150">
        <v>11.539899999999999</v>
      </c>
      <c r="H8150">
        <v>-12.7262</v>
      </c>
      <c r="I8150" t="s">
        <v>33093</v>
      </c>
      <c r="L8150">
        <v>0</v>
      </c>
      <c r="M8150">
        <v>0</v>
      </c>
      <c r="N8150">
        <v>0</v>
      </c>
      <c r="O8150" t="s">
        <v>33094</v>
      </c>
    </row>
    <row r="8151" spans="1:15">
      <c r="A8151" t="s">
        <v>33095</v>
      </c>
      <c r="B8151" t="s">
        <v>12438</v>
      </c>
      <c r="C8151" t="s">
        <v>21383</v>
      </c>
      <c r="D8151" t="s">
        <v>33096</v>
      </c>
      <c r="E8151" t="b">
        <v>0</v>
      </c>
      <c r="F8151" t="s">
        <v>11624</v>
      </c>
      <c r="G8151">
        <v>3.6761900000000001</v>
      </c>
      <c r="H8151">
        <v>102.291</v>
      </c>
      <c r="I8151" t="s">
        <v>33097</v>
      </c>
      <c r="L8151">
        <v>0</v>
      </c>
      <c r="M8151">
        <v>0</v>
      </c>
      <c r="N8151">
        <v>7</v>
      </c>
      <c r="O8151" t="s">
        <v>11672</v>
      </c>
    </row>
    <row r="8152" spans="1:15">
      <c r="A8152" t="s">
        <v>16890</v>
      </c>
      <c r="B8152" t="s">
        <v>12438</v>
      </c>
      <c r="C8152" t="s">
        <v>33098</v>
      </c>
      <c r="D8152" t="s">
        <v>33099</v>
      </c>
      <c r="E8152" t="b">
        <v>0</v>
      </c>
      <c r="F8152" t="s">
        <v>11610</v>
      </c>
      <c r="L8152">
        <v>0</v>
      </c>
      <c r="M8152">
        <v>0</v>
      </c>
      <c r="N8152">
        <v>12</v>
      </c>
    </row>
    <row r="8153" spans="1:15">
      <c r="A8153" t="s">
        <v>33100</v>
      </c>
      <c r="B8153" t="s">
        <v>11615</v>
      </c>
      <c r="C8153" t="s">
        <v>14909</v>
      </c>
      <c r="D8153" t="s">
        <v>33101</v>
      </c>
      <c r="E8153" t="b">
        <v>0</v>
      </c>
      <c r="F8153" t="s">
        <v>11624</v>
      </c>
      <c r="G8153">
        <v>-6.79732</v>
      </c>
      <c r="H8153">
        <v>140.10400000000001</v>
      </c>
      <c r="I8153" t="s">
        <v>33102</v>
      </c>
      <c r="L8153">
        <v>0</v>
      </c>
      <c r="M8153">
        <v>0</v>
      </c>
      <c r="N8153">
        <v>0</v>
      </c>
      <c r="O8153" t="s">
        <v>11768</v>
      </c>
    </row>
    <row r="8154" spans="1:15">
      <c r="A8154" t="s">
        <v>33103</v>
      </c>
      <c r="B8154" t="s">
        <v>367</v>
      </c>
      <c r="C8154" t="s">
        <v>25571</v>
      </c>
      <c r="D8154" t="s">
        <v>33104</v>
      </c>
      <c r="E8154" t="b">
        <v>0</v>
      </c>
      <c r="F8154" t="s">
        <v>11610</v>
      </c>
      <c r="L8154">
        <v>0</v>
      </c>
      <c r="M8154">
        <v>0</v>
      </c>
      <c r="N8154">
        <v>0</v>
      </c>
    </row>
    <row r="8155" spans="1:15">
      <c r="A8155" t="s">
        <v>33105</v>
      </c>
      <c r="B8155" t="s">
        <v>10597</v>
      </c>
      <c r="C8155" t="s">
        <v>33106</v>
      </c>
      <c r="D8155" t="s">
        <v>33107</v>
      </c>
      <c r="E8155" t="b">
        <v>0</v>
      </c>
      <c r="F8155" t="s">
        <v>11610</v>
      </c>
      <c r="I8155" t="s">
        <v>33108</v>
      </c>
      <c r="L8155">
        <v>0</v>
      </c>
      <c r="M8155">
        <v>0</v>
      </c>
      <c r="N8155">
        <v>0</v>
      </c>
      <c r="O8155" t="s">
        <v>12107</v>
      </c>
    </row>
    <row r="8156" spans="1:15">
      <c r="A8156" t="s">
        <v>33109</v>
      </c>
      <c r="B8156" t="s">
        <v>11637</v>
      </c>
      <c r="C8156" t="s">
        <v>7901</v>
      </c>
      <c r="D8156" t="s">
        <v>33110</v>
      </c>
      <c r="E8156" t="b">
        <v>0</v>
      </c>
      <c r="F8156" t="s">
        <v>11624</v>
      </c>
      <c r="G8156">
        <v>36.001755000000003</v>
      </c>
      <c r="H8156">
        <v>68.611035000000001</v>
      </c>
      <c r="I8156" t="s">
        <v>33111</v>
      </c>
      <c r="L8156">
        <v>0</v>
      </c>
      <c r="M8156">
        <v>0</v>
      </c>
      <c r="N8156">
        <v>0</v>
      </c>
      <c r="O8156" t="s">
        <v>33112</v>
      </c>
    </row>
    <row r="8157" spans="1:15">
      <c r="A8157" t="s">
        <v>33113</v>
      </c>
      <c r="B8157" t="s">
        <v>11627</v>
      </c>
      <c r="C8157" t="s">
        <v>11627</v>
      </c>
      <c r="D8157" t="s">
        <v>33114</v>
      </c>
      <c r="E8157" t="b">
        <v>1</v>
      </c>
      <c r="F8157" t="s">
        <v>11624</v>
      </c>
      <c r="I8157" t="s">
        <v>33115</v>
      </c>
      <c r="L8157">
        <v>0</v>
      </c>
      <c r="M8157">
        <v>0</v>
      </c>
      <c r="N8157">
        <v>0</v>
      </c>
      <c r="O8157" t="s">
        <v>22509</v>
      </c>
    </row>
    <row r="8158" spans="1:15">
      <c r="A8158" t="s">
        <v>33116</v>
      </c>
      <c r="B8158" t="s">
        <v>11644</v>
      </c>
      <c r="C8158" t="s">
        <v>13896</v>
      </c>
      <c r="D8158" t="s">
        <v>33117</v>
      </c>
      <c r="E8158" t="b">
        <v>0</v>
      </c>
      <c r="F8158" t="s">
        <v>11610</v>
      </c>
      <c r="L8158">
        <v>0</v>
      </c>
      <c r="M8158">
        <v>0</v>
      </c>
      <c r="N8158">
        <v>0</v>
      </c>
    </row>
    <row r="8159" spans="1:15">
      <c r="A8159" t="s">
        <v>33118</v>
      </c>
      <c r="B8159" t="s">
        <v>367</v>
      </c>
      <c r="C8159" t="s">
        <v>33119</v>
      </c>
      <c r="D8159" t="s">
        <v>33120</v>
      </c>
      <c r="E8159" t="b">
        <v>0</v>
      </c>
      <c r="F8159" t="s">
        <v>11624</v>
      </c>
      <c r="G8159">
        <v>2.6458200000000001</v>
      </c>
      <c r="H8159">
        <v>103.342</v>
      </c>
      <c r="I8159" t="s">
        <v>33121</v>
      </c>
      <c r="L8159">
        <v>0</v>
      </c>
      <c r="M8159">
        <v>0</v>
      </c>
      <c r="N8159">
        <v>0</v>
      </c>
      <c r="O8159" t="s">
        <v>11672</v>
      </c>
    </row>
    <row r="8160" spans="1:15">
      <c r="A8160" t="s">
        <v>25495</v>
      </c>
      <c r="B8160" t="s">
        <v>6742</v>
      </c>
      <c r="C8160" t="s">
        <v>33122</v>
      </c>
      <c r="D8160" t="s">
        <v>33123</v>
      </c>
      <c r="E8160" t="b">
        <v>0</v>
      </c>
      <c r="F8160" t="s">
        <v>11622</v>
      </c>
      <c r="L8160">
        <v>0</v>
      </c>
      <c r="M8160">
        <v>3</v>
      </c>
      <c r="N8160">
        <v>2</v>
      </c>
    </row>
    <row r="8161" spans="1:15">
      <c r="A8161" t="s">
        <v>33124</v>
      </c>
      <c r="B8161" t="s">
        <v>9897</v>
      </c>
      <c r="C8161" t="s">
        <v>26471</v>
      </c>
      <c r="D8161" t="s">
        <v>33125</v>
      </c>
      <c r="E8161" t="b">
        <v>0</v>
      </c>
      <c r="F8161" t="s">
        <v>11622</v>
      </c>
      <c r="L8161">
        <v>0</v>
      </c>
      <c r="M8161">
        <v>2</v>
      </c>
      <c r="N8161">
        <v>0</v>
      </c>
    </row>
    <row r="8162" spans="1:15">
      <c r="A8162" t="s">
        <v>33126</v>
      </c>
      <c r="B8162" t="s">
        <v>11879</v>
      </c>
      <c r="C8162" t="s">
        <v>21929</v>
      </c>
      <c r="D8162" t="s">
        <v>33127</v>
      </c>
      <c r="E8162" t="b">
        <v>0</v>
      </c>
      <c r="F8162" t="s">
        <v>11624</v>
      </c>
      <c r="G8162">
        <v>18.080300000000001</v>
      </c>
      <c r="H8162">
        <v>-96.497699999999995</v>
      </c>
      <c r="I8162" t="s">
        <v>33128</v>
      </c>
      <c r="L8162">
        <v>0</v>
      </c>
      <c r="M8162">
        <v>0</v>
      </c>
      <c r="N8162">
        <v>0</v>
      </c>
      <c r="O8162" t="s">
        <v>11883</v>
      </c>
    </row>
    <row r="8163" spans="1:15">
      <c r="A8163" t="s">
        <v>33129</v>
      </c>
      <c r="B8163" t="s">
        <v>11607</v>
      </c>
      <c r="C8163" t="s">
        <v>18792</v>
      </c>
      <c r="D8163" t="s">
        <v>33130</v>
      </c>
      <c r="E8163" t="b">
        <v>0</v>
      </c>
      <c r="F8163" t="s">
        <v>11610</v>
      </c>
      <c r="L8163">
        <v>0</v>
      </c>
      <c r="M8163">
        <v>0</v>
      </c>
      <c r="N8163">
        <v>0</v>
      </c>
    </row>
    <row r="8164" spans="1:15">
      <c r="A8164" t="s">
        <v>33131</v>
      </c>
      <c r="B8164" t="s">
        <v>6742</v>
      </c>
      <c r="C8164" t="s">
        <v>25251</v>
      </c>
      <c r="D8164" t="s">
        <v>33132</v>
      </c>
      <c r="E8164" t="b">
        <v>0</v>
      </c>
      <c r="F8164" t="s">
        <v>11610</v>
      </c>
      <c r="L8164">
        <v>0</v>
      </c>
      <c r="M8164">
        <v>0</v>
      </c>
      <c r="N8164">
        <v>0</v>
      </c>
    </row>
    <row r="8165" spans="1:15">
      <c r="A8165" t="s">
        <v>33133</v>
      </c>
      <c r="B8165" t="s">
        <v>11879</v>
      </c>
      <c r="C8165" t="s">
        <v>33134</v>
      </c>
      <c r="D8165" t="s">
        <v>33135</v>
      </c>
      <c r="E8165" t="b">
        <v>0</v>
      </c>
      <c r="F8165" t="s">
        <v>11610</v>
      </c>
      <c r="L8165">
        <v>0</v>
      </c>
      <c r="M8165">
        <v>0</v>
      </c>
      <c r="N8165">
        <v>0</v>
      </c>
    </row>
    <row r="8166" spans="1:15">
      <c r="A8166" t="s">
        <v>33136</v>
      </c>
      <c r="B8166" t="s">
        <v>11637</v>
      </c>
      <c r="C8166" t="s">
        <v>33137</v>
      </c>
      <c r="D8166" t="s">
        <v>33138</v>
      </c>
      <c r="E8166" t="b">
        <v>0</v>
      </c>
      <c r="F8166" t="s">
        <v>11610</v>
      </c>
      <c r="L8166">
        <v>0</v>
      </c>
      <c r="M8166">
        <v>0</v>
      </c>
      <c r="N8166">
        <v>0</v>
      </c>
    </row>
    <row r="8167" spans="1:15">
      <c r="A8167" t="s">
        <v>33139</v>
      </c>
      <c r="B8167" t="s">
        <v>13276</v>
      </c>
      <c r="C8167" t="s">
        <v>33140</v>
      </c>
      <c r="D8167" t="s">
        <v>33141</v>
      </c>
      <c r="E8167" t="b">
        <v>0</v>
      </c>
      <c r="F8167" t="s">
        <v>11624</v>
      </c>
      <c r="G8167">
        <v>10.5426</v>
      </c>
      <c r="H8167">
        <v>-5.2195900000000002</v>
      </c>
      <c r="I8167" t="s">
        <v>33142</v>
      </c>
      <c r="L8167">
        <v>0</v>
      </c>
      <c r="M8167">
        <v>0</v>
      </c>
      <c r="N8167">
        <v>0</v>
      </c>
      <c r="O8167" t="s">
        <v>19305</v>
      </c>
    </row>
    <row r="8168" spans="1:15">
      <c r="A8168" t="s">
        <v>33143</v>
      </c>
      <c r="B8168" t="s">
        <v>11607</v>
      </c>
      <c r="C8168" t="s">
        <v>17050</v>
      </c>
      <c r="D8168" t="s">
        <v>33144</v>
      </c>
      <c r="E8168" t="b">
        <v>0</v>
      </c>
      <c r="F8168" t="s">
        <v>11610</v>
      </c>
      <c r="L8168">
        <v>0</v>
      </c>
      <c r="M8168">
        <v>0</v>
      </c>
      <c r="N8168">
        <v>0</v>
      </c>
    </row>
    <row r="8169" spans="1:15">
      <c r="A8169" t="s">
        <v>33145</v>
      </c>
      <c r="B8169" t="s">
        <v>11981</v>
      </c>
      <c r="C8169" t="s">
        <v>11982</v>
      </c>
      <c r="D8169" t="s">
        <v>33146</v>
      </c>
      <c r="E8169" t="b">
        <v>0</v>
      </c>
      <c r="F8169" t="s">
        <v>11624</v>
      </c>
      <c r="G8169">
        <v>17.999700000000001</v>
      </c>
      <c r="H8169">
        <v>-76.932100000000005</v>
      </c>
      <c r="I8169" t="s">
        <v>33147</v>
      </c>
      <c r="L8169">
        <v>0</v>
      </c>
      <c r="M8169">
        <v>0</v>
      </c>
      <c r="N8169">
        <v>0</v>
      </c>
      <c r="O8169" t="s">
        <v>33148</v>
      </c>
    </row>
    <row r="8170" spans="1:15">
      <c r="A8170" t="s">
        <v>33149</v>
      </c>
      <c r="B8170" t="s">
        <v>11644</v>
      </c>
      <c r="C8170" t="s">
        <v>24327</v>
      </c>
      <c r="D8170" t="s">
        <v>33150</v>
      </c>
      <c r="E8170" t="b">
        <v>0</v>
      </c>
      <c r="F8170" t="s">
        <v>11610</v>
      </c>
      <c r="L8170">
        <v>0</v>
      </c>
      <c r="M8170">
        <v>0</v>
      </c>
      <c r="N8170">
        <v>0</v>
      </c>
    </row>
    <row r="8171" spans="1:15">
      <c r="A8171" t="s">
        <v>16509</v>
      </c>
      <c r="B8171" t="s">
        <v>14398</v>
      </c>
      <c r="C8171" t="s">
        <v>33151</v>
      </c>
      <c r="D8171" t="s">
        <v>33152</v>
      </c>
      <c r="E8171" t="b">
        <v>0</v>
      </c>
      <c r="F8171" t="s">
        <v>11624</v>
      </c>
      <c r="G8171">
        <v>-7.6222300000000001</v>
      </c>
      <c r="H8171">
        <v>-66.566199999999995</v>
      </c>
      <c r="I8171" t="s">
        <v>33153</v>
      </c>
      <c r="L8171">
        <v>0</v>
      </c>
      <c r="M8171">
        <v>0</v>
      </c>
      <c r="N8171">
        <v>3</v>
      </c>
      <c r="O8171" t="s">
        <v>11969</v>
      </c>
    </row>
    <row r="8172" spans="1:15">
      <c r="A8172" t="s">
        <v>19886</v>
      </c>
      <c r="B8172" t="s">
        <v>11637</v>
      </c>
      <c r="C8172" t="s">
        <v>1014</v>
      </c>
      <c r="D8172" t="s">
        <v>33154</v>
      </c>
      <c r="E8172" t="b">
        <v>0</v>
      </c>
      <c r="F8172" t="s">
        <v>11624</v>
      </c>
      <c r="G8172">
        <v>18.13</v>
      </c>
      <c r="H8172">
        <v>-77.261200000000002</v>
      </c>
      <c r="I8172" t="s">
        <v>33155</v>
      </c>
      <c r="L8172">
        <v>0</v>
      </c>
      <c r="M8172">
        <v>0</v>
      </c>
      <c r="N8172">
        <v>1</v>
      </c>
      <c r="O8172" t="s">
        <v>33156</v>
      </c>
    </row>
    <row r="8173" spans="1:15">
      <c r="A8173" t="s">
        <v>33157</v>
      </c>
      <c r="B8173" t="s">
        <v>11981</v>
      </c>
      <c r="C8173" t="s">
        <v>13443</v>
      </c>
      <c r="D8173" t="s">
        <v>33158</v>
      </c>
      <c r="E8173" t="b">
        <v>0</v>
      </c>
      <c r="F8173" t="s">
        <v>11624</v>
      </c>
      <c r="G8173">
        <v>18.049925000000002</v>
      </c>
      <c r="H8173">
        <v>-77.758042000000003</v>
      </c>
      <c r="I8173" t="s">
        <v>33159</v>
      </c>
      <c r="L8173">
        <v>0</v>
      </c>
      <c r="M8173">
        <v>0</v>
      </c>
      <c r="N8173">
        <v>0</v>
      </c>
      <c r="O8173" t="s">
        <v>33148</v>
      </c>
    </row>
    <row r="8174" spans="1:15">
      <c r="A8174" t="s">
        <v>1014</v>
      </c>
      <c r="B8174" t="s">
        <v>11637</v>
      </c>
      <c r="C8174" t="s">
        <v>33160</v>
      </c>
      <c r="D8174" t="s">
        <v>33161</v>
      </c>
      <c r="E8174" t="b">
        <v>0</v>
      </c>
      <c r="F8174" t="s">
        <v>11622</v>
      </c>
      <c r="L8174">
        <v>0</v>
      </c>
      <c r="M8174">
        <v>2</v>
      </c>
      <c r="N8174">
        <v>1</v>
      </c>
    </row>
    <row r="8175" spans="1:15">
      <c r="A8175" t="s">
        <v>32245</v>
      </c>
      <c r="B8175" t="s">
        <v>367</v>
      </c>
      <c r="C8175" t="s">
        <v>16294</v>
      </c>
      <c r="D8175" t="s">
        <v>33162</v>
      </c>
      <c r="E8175" t="b">
        <v>0</v>
      </c>
      <c r="F8175" t="s">
        <v>11624</v>
      </c>
      <c r="G8175">
        <v>-2.6469</v>
      </c>
      <c r="H8175">
        <v>103.13</v>
      </c>
      <c r="I8175" t="s">
        <v>33163</v>
      </c>
      <c r="L8175">
        <v>0</v>
      </c>
      <c r="M8175">
        <v>0</v>
      </c>
      <c r="N8175">
        <v>3</v>
      </c>
      <c r="O8175" t="s">
        <v>11768</v>
      </c>
    </row>
    <row r="8176" spans="1:15">
      <c r="A8176" t="s">
        <v>33164</v>
      </c>
      <c r="B8176" t="s">
        <v>11637</v>
      </c>
      <c r="C8176" t="s">
        <v>12168</v>
      </c>
      <c r="D8176" t="s">
        <v>33165</v>
      </c>
      <c r="E8176" t="b">
        <v>0</v>
      </c>
      <c r="F8176" t="s">
        <v>11610</v>
      </c>
      <c r="L8176">
        <v>0</v>
      </c>
      <c r="M8176">
        <v>0</v>
      </c>
      <c r="N8176">
        <v>0</v>
      </c>
    </row>
    <row r="8177" spans="1:15">
      <c r="A8177" t="s">
        <v>33166</v>
      </c>
      <c r="B8177" t="s">
        <v>11879</v>
      </c>
      <c r="C8177" t="s">
        <v>22367</v>
      </c>
      <c r="D8177" t="s">
        <v>33167</v>
      </c>
      <c r="E8177" t="b">
        <v>0</v>
      </c>
      <c r="F8177" t="s">
        <v>11624</v>
      </c>
      <c r="G8177">
        <v>16.227900000000002</v>
      </c>
      <c r="H8177">
        <v>-97.841700000000003</v>
      </c>
      <c r="I8177" t="s">
        <v>33168</v>
      </c>
      <c r="L8177">
        <v>0</v>
      </c>
      <c r="M8177">
        <v>0</v>
      </c>
      <c r="N8177">
        <v>0</v>
      </c>
      <c r="O8177" t="s">
        <v>11883</v>
      </c>
    </row>
    <row r="8178" spans="1:15">
      <c r="A8178" t="s">
        <v>33169</v>
      </c>
      <c r="B8178" t="s">
        <v>18680</v>
      </c>
      <c r="C8178" t="s">
        <v>24971</v>
      </c>
      <c r="D8178" t="s">
        <v>33170</v>
      </c>
      <c r="E8178" t="b">
        <v>0</v>
      </c>
      <c r="F8178" t="s">
        <v>11610</v>
      </c>
      <c r="L8178">
        <v>0</v>
      </c>
      <c r="M8178">
        <v>0</v>
      </c>
      <c r="N8178">
        <v>0</v>
      </c>
    </row>
    <row r="8179" spans="1:15">
      <c r="A8179" t="s">
        <v>33171</v>
      </c>
      <c r="B8179" t="s">
        <v>367</v>
      </c>
      <c r="C8179" t="s">
        <v>5449</v>
      </c>
      <c r="D8179" t="s">
        <v>33172</v>
      </c>
      <c r="E8179" t="b">
        <v>0</v>
      </c>
      <c r="F8179" t="s">
        <v>11610</v>
      </c>
      <c r="L8179">
        <v>0</v>
      </c>
      <c r="M8179">
        <v>0</v>
      </c>
      <c r="N8179">
        <v>0</v>
      </c>
    </row>
    <row r="8180" spans="1:15">
      <c r="A8180" t="s">
        <v>33173</v>
      </c>
      <c r="B8180" t="s">
        <v>11607</v>
      </c>
      <c r="C8180" t="s">
        <v>28437</v>
      </c>
      <c r="D8180" t="s">
        <v>33174</v>
      </c>
      <c r="E8180" t="b">
        <v>0</v>
      </c>
      <c r="F8180" t="s">
        <v>11610</v>
      </c>
      <c r="L8180">
        <v>0</v>
      </c>
      <c r="M8180">
        <v>0</v>
      </c>
      <c r="N8180">
        <v>0</v>
      </c>
    </row>
    <row r="8181" spans="1:15">
      <c r="A8181" t="s">
        <v>33175</v>
      </c>
      <c r="B8181" t="s">
        <v>11637</v>
      </c>
      <c r="C8181" t="s">
        <v>15671</v>
      </c>
      <c r="D8181" t="s">
        <v>33176</v>
      </c>
      <c r="E8181" t="b">
        <v>0</v>
      </c>
      <c r="F8181" t="s">
        <v>11610</v>
      </c>
      <c r="L8181">
        <v>0</v>
      </c>
      <c r="M8181">
        <v>0</v>
      </c>
      <c r="N8181">
        <v>0</v>
      </c>
    </row>
    <row r="8182" spans="1:15">
      <c r="A8182" t="s">
        <v>33177</v>
      </c>
      <c r="B8182" t="s">
        <v>11637</v>
      </c>
      <c r="C8182" t="s">
        <v>12509</v>
      </c>
      <c r="D8182" t="s">
        <v>33178</v>
      </c>
      <c r="E8182" t="b">
        <v>0</v>
      </c>
      <c r="F8182" t="s">
        <v>11610</v>
      </c>
      <c r="L8182">
        <v>0</v>
      </c>
      <c r="M8182">
        <v>0</v>
      </c>
      <c r="N8182">
        <v>0</v>
      </c>
    </row>
    <row r="8183" spans="1:15">
      <c r="A8183" t="s">
        <v>16382</v>
      </c>
      <c r="B8183" t="s">
        <v>1342</v>
      </c>
      <c r="C8183" t="s">
        <v>33179</v>
      </c>
      <c r="D8183" t="s">
        <v>33180</v>
      </c>
      <c r="E8183" t="b">
        <v>0</v>
      </c>
      <c r="F8183" t="s">
        <v>11624</v>
      </c>
      <c r="G8183">
        <v>14.179399999999999</v>
      </c>
      <c r="H8183">
        <v>-2.57999</v>
      </c>
      <c r="I8183" t="s">
        <v>33181</v>
      </c>
      <c r="L8183">
        <v>0</v>
      </c>
      <c r="M8183">
        <v>0</v>
      </c>
      <c r="N8183">
        <v>5</v>
      </c>
      <c r="O8183" t="s">
        <v>19384</v>
      </c>
    </row>
    <row r="8184" spans="1:15">
      <c r="A8184" t="s">
        <v>33182</v>
      </c>
      <c r="B8184" t="s">
        <v>11637</v>
      </c>
      <c r="C8184" t="s">
        <v>14432</v>
      </c>
      <c r="D8184" t="s">
        <v>33183</v>
      </c>
      <c r="E8184" t="b">
        <v>0</v>
      </c>
      <c r="F8184" t="s">
        <v>11624</v>
      </c>
      <c r="G8184">
        <v>63</v>
      </c>
      <c r="H8184">
        <v>14.67</v>
      </c>
      <c r="L8184">
        <v>0</v>
      </c>
      <c r="M8184">
        <v>0</v>
      </c>
      <c r="N8184">
        <v>0</v>
      </c>
      <c r="O8184" t="s">
        <v>14434</v>
      </c>
    </row>
    <row r="8185" spans="1:15">
      <c r="A8185" t="s">
        <v>33184</v>
      </c>
      <c r="B8185" t="s">
        <v>6742</v>
      </c>
      <c r="C8185" t="s">
        <v>31402</v>
      </c>
      <c r="D8185" t="s">
        <v>33185</v>
      </c>
      <c r="E8185" t="b">
        <v>0</v>
      </c>
      <c r="F8185" t="s">
        <v>11624</v>
      </c>
      <c r="G8185">
        <v>9.6611349999999998</v>
      </c>
      <c r="H8185">
        <v>11.384124999999999</v>
      </c>
      <c r="L8185">
        <v>0</v>
      </c>
      <c r="M8185">
        <v>0</v>
      </c>
      <c r="N8185">
        <v>0</v>
      </c>
      <c r="O8185" t="s">
        <v>11693</v>
      </c>
    </row>
    <row r="8186" spans="1:15">
      <c r="A8186" t="s">
        <v>33186</v>
      </c>
      <c r="B8186" t="s">
        <v>11637</v>
      </c>
      <c r="C8186" t="s">
        <v>15867</v>
      </c>
      <c r="D8186" t="s">
        <v>33187</v>
      </c>
      <c r="E8186" t="b">
        <v>0</v>
      </c>
      <c r="F8186" t="s">
        <v>11624</v>
      </c>
      <c r="G8186">
        <v>25.617000000000001</v>
      </c>
      <c r="H8186">
        <v>69.760000000000005</v>
      </c>
      <c r="I8186" t="s">
        <v>33188</v>
      </c>
      <c r="L8186">
        <v>0</v>
      </c>
      <c r="M8186">
        <v>0</v>
      </c>
      <c r="N8186">
        <v>0</v>
      </c>
      <c r="O8186" t="s">
        <v>12172</v>
      </c>
    </row>
    <row r="8187" spans="1:15">
      <c r="A8187" t="s">
        <v>33189</v>
      </c>
      <c r="B8187" t="s">
        <v>6742</v>
      </c>
      <c r="C8187" t="s">
        <v>4927</v>
      </c>
      <c r="D8187" t="s">
        <v>33190</v>
      </c>
      <c r="E8187" t="b">
        <v>0</v>
      </c>
      <c r="F8187" t="s">
        <v>11610</v>
      </c>
      <c r="L8187">
        <v>0</v>
      </c>
      <c r="M8187">
        <v>0</v>
      </c>
      <c r="N8187">
        <v>0</v>
      </c>
    </row>
    <row r="8188" spans="1:15">
      <c r="A8188" t="s">
        <v>33191</v>
      </c>
      <c r="B8188" t="s">
        <v>10597</v>
      </c>
      <c r="C8188" t="s">
        <v>33192</v>
      </c>
      <c r="D8188" t="s">
        <v>33193</v>
      </c>
      <c r="E8188" t="b">
        <v>0</v>
      </c>
      <c r="F8188" t="s">
        <v>11610</v>
      </c>
      <c r="I8188" t="s">
        <v>33194</v>
      </c>
      <c r="L8188">
        <v>0</v>
      </c>
      <c r="M8188">
        <v>0</v>
      </c>
      <c r="N8188">
        <v>0</v>
      </c>
      <c r="O8188" t="s">
        <v>12107</v>
      </c>
    </row>
    <row r="8189" spans="1:15">
      <c r="A8189" t="s">
        <v>33195</v>
      </c>
      <c r="B8189" t="s">
        <v>6742</v>
      </c>
      <c r="C8189" t="s">
        <v>28819</v>
      </c>
      <c r="D8189" t="s">
        <v>33196</v>
      </c>
      <c r="E8189" t="b">
        <v>0</v>
      </c>
      <c r="F8189" t="s">
        <v>11610</v>
      </c>
      <c r="L8189">
        <v>0</v>
      </c>
      <c r="M8189">
        <v>0</v>
      </c>
      <c r="N8189">
        <v>0</v>
      </c>
    </row>
    <row r="8190" spans="1:15">
      <c r="A8190" t="s">
        <v>33197</v>
      </c>
      <c r="B8190" t="s">
        <v>2975</v>
      </c>
      <c r="C8190" t="s">
        <v>16964</v>
      </c>
      <c r="D8190" t="s">
        <v>33198</v>
      </c>
      <c r="E8190" t="b">
        <v>0</v>
      </c>
      <c r="F8190" t="s">
        <v>11610</v>
      </c>
      <c r="L8190">
        <v>0</v>
      </c>
      <c r="M8190">
        <v>0</v>
      </c>
      <c r="N8190">
        <v>0</v>
      </c>
    </row>
    <row r="8191" spans="1:15">
      <c r="A8191" t="s">
        <v>33199</v>
      </c>
      <c r="B8191" t="s">
        <v>11637</v>
      </c>
      <c r="C8191" t="s">
        <v>15898</v>
      </c>
      <c r="D8191" t="s">
        <v>33200</v>
      </c>
      <c r="E8191" t="b">
        <v>0</v>
      </c>
      <c r="F8191" t="s">
        <v>11610</v>
      </c>
      <c r="L8191">
        <v>0</v>
      </c>
      <c r="M8191">
        <v>0</v>
      </c>
      <c r="N8191">
        <v>0</v>
      </c>
    </row>
    <row r="8192" spans="1:15">
      <c r="A8192" t="s">
        <v>33201</v>
      </c>
      <c r="B8192" t="s">
        <v>11644</v>
      </c>
      <c r="C8192" t="s">
        <v>33202</v>
      </c>
      <c r="D8192" t="s">
        <v>33203</v>
      </c>
      <c r="E8192" t="b">
        <v>0</v>
      </c>
      <c r="F8192" t="s">
        <v>11624</v>
      </c>
      <c r="G8192">
        <v>31.566600000000001</v>
      </c>
      <c r="H8192">
        <v>78.434399999999997</v>
      </c>
      <c r="I8192" t="s">
        <v>33204</v>
      </c>
      <c r="L8192">
        <v>0</v>
      </c>
      <c r="M8192">
        <v>0</v>
      </c>
      <c r="N8192">
        <v>0</v>
      </c>
      <c r="O8192" t="s">
        <v>11630</v>
      </c>
    </row>
    <row r="8193" spans="1:15">
      <c r="A8193" t="s">
        <v>33205</v>
      </c>
      <c r="B8193" t="s">
        <v>11644</v>
      </c>
      <c r="C8193" t="s">
        <v>16039</v>
      </c>
      <c r="D8193" t="s">
        <v>33206</v>
      </c>
      <c r="E8193" t="b">
        <v>0</v>
      </c>
      <c r="F8193" t="s">
        <v>11610</v>
      </c>
      <c r="L8193">
        <v>0</v>
      </c>
      <c r="M8193">
        <v>0</v>
      </c>
      <c r="N8193">
        <v>0</v>
      </c>
    </row>
    <row r="8194" spans="1:15">
      <c r="A8194" t="s">
        <v>33207</v>
      </c>
      <c r="B8194" t="s">
        <v>11644</v>
      </c>
      <c r="C8194" t="s">
        <v>33208</v>
      </c>
      <c r="D8194" t="s">
        <v>33209</v>
      </c>
      <c r="E8194" t="b">
        <v>0</v>
      </c>
      <c r="F8194" t="s">
        <v>11610</v>
      </c>
      <c r="L8194">
        <v>0</v>
      </c>
      <c r="M8194">
        <v>0</v>
      </c>
      <c r="N8194">
        <v>0</v>
      </c>
    </row>
    <row r="8195" spans="1:15">
      <c r="A8195" t="s">
        <v>33210</v>
      </c>
      <c r="B8195" t="s">
        <v>367</v>
      </c>
      <c r="C8195" t="s">
        <v>33211</v>
      </c>
      <c r="D8195" t="s">
        <v>33212</v>
      </c>
      <c r="E8195" t="b">
        <v>0</v>
      </c>
      <c r="F8195" t="s">
        <v>11624</v>
      </c>
      <c r="G8195">
        <v>0.29737999999999998</v>
      </c>
      <c r="H8195">
        <v>110.64700000000001</v>
      </c>
      <c r="I8195" t="s">
        <v>33213</v>
      </c>
      <c r="L8195">
        <v>0</v>
      </c>
      <c r="M8195">
        <v>0</v>
      </c>
      <c r="N8195">
        <v>0</v>
      </c>
      <c r="O8195" t="s">
        <v>11768</v>
      </c>
    </row>
    <row r="8196" spans="1:15">
      <c r="A8196" t="s">
        <v>33214</v>
      </c>
      <c r="B8196" t="s">
        <v>6742</v>
      </c>
      <c r="C8196" t="s">
        <v>19805</v>
      </c>
      <c r="D8196" t="s">
        <v>33215</v>
      </c>
      <c r="E8196" t="b">
        <v>0</v>
      </c>
      <c r="F8196" t="s">
        <v>11624</v>
      </c>
      <c r="G8196">
        <v>10.1197</v>
      </c>
      <c r="H8196">
        <v>8.6302900000000005</v>
      </c>
      <c r="I8196" t="s">
        <v>33216</v>
      </c>
      <c r="L8196">
        <v>0</v>
      </c>
      <c r="M8196">
        <v>0</v>
      </c>
      <c r="N8196">
        <v>0</v>
      </c>
      <c r="O8196" t="s">
        <v>11693</v>
      </c>
    </row>
    <row r="8197" spans="1:15">
      <c r="A8197" t="s">
        <v>33217</v>
      </c>
      <c r="B8197" t="s">
        <v>11981</v>
      </c>
      <c r="C8197" t="s">
        <v>33218</v>
      </c>
      <c r="D8197" t="s">
        <v>33219</v>
      </c>
      <c r="E8197" t="b">
        <v>0</v>
      </c>
      <c r="F8197" t="s">
        <v>11624</v>
      </c>
      <c r="G8197">
        <v>36.022100000000002</v>
      </c>
      <c r="H8197">
        <v>139.07900000000001</v>
      </c>
      <c r="I8197" t="s">
        <v>33220</v>
      </c>
      <c r="L8197">
        <v>0</v>
      </c>
      <c r="M8197">
        <v>0</v>
      </c>
      <c r="N8197">
        <v>0</v>
      </c>
      <c r="O8197" t="s">
        <v>12539</v>
      </c>
    </row>
    <row r="8198" spans="1:15">
      <c r="A8198" t="s">
        <v>33221</v>
      </c>
      <c r="B8198" t="s">
        <v>4342</v>
      </c>
      <c r="C8198" t="s">
        <v>4342</v>
      </c>
      <c r="D8198" t="s">
        <v>33222</v>
      </c>
      <c r="E8198" t="b">
        <v>0</v>
      </c>
      <c r="F8198" t="s">
        <v>11622</v>
      </c>
      <c r="L8198">
        <v>1</v>
      </c>
      <c r="M8198">
        <v>3</v>
      </c>
      <c r="N8198">
        <v>125</v>
      </c>
    </row>
    <row r="8199" spans="1:15">
      <c r="A8199" t="s">
        <v>33223</v>
      </c>
      <c r="B8199" t="s">
        <v>13450</v>
      </c>
      <c r="C8199" t="s">
        <v>13450</v>
      </c>
      <c r="D8199" t="s">
        <v>33224</v>
      </c>
      <c r="E8199" t="b">
        <v>0</v>
      </c>
      <c r="F8199" t="s">
        <v>11622</v>
      </c>
      <c r="L8199">
        <v>0</v>
      </c>
      <c r="M8199">
        <v>1</v>
      </c>
      <c r="N8199">
        <v>0</v>
      </c>
    </row>
    <row r="8200" spans="1:15">
      <c r="A8200" t="s">
        <v>33225</v>
      </c>
      <c r="B8200" t="s">
        <v>4342</v>
      </c>
      <c r="C8200" t="s">
        <v>33221</v>
      </c>
      <c r="D8200" t="s">
        <v>33226</v>
      </c>
      <c r="E8200" t="b">
        <v>0</v>
      </c>
      <c r="F8200" t="s">
        <v>11622</v>
      </c>
      <c r="L8200">
        <v>0</v>
      </c>
      <c r="M8200">
        <v>2</v>
      </c>
      <c r="N8200">
        <v>125</v>
      </c>
    </row>
    <row r="8201" spans="1:15">
      <c r="A8201" t="s">
        <v>24223</v>
      </c>
      <c r="B8201" t="s">
        <v>11644</v>
      </c>
      <c r="C8201" t="s">
        <v>33227</v>
      </c>
      <c r="D8201" t="s">
        <v>33228</v>
      </c>
      <c r="E8201" t="b">
        <v>0</v>
      </c>
      <c r="F8201" t="s">
        <v>11624</v>
      </c>
      <c r="G8201">
        <v>32.1</v>
      </c>
      <c r="H8201">
        <v>102.36</v>
      </c>
      <c r="L8201">
        <v>0</v>
      </c>
      <c r="M8201">
        <v>0</v>
      </c>
      <c r="N8201">
        <v>2</v>
      </c>
      <c r="O8201" t="s">
        <v>11905</v>
      </c>
    </row>
    <row r="8202" spans="1:15">
      <c r="A8202" t="s">
        <v>4342</v>
      </c>
      <c r="D8202" t="s">
        <v>33229</v>
      </c>
      <c r="E8202" t="b">
        <v>0</v>
      </c>
      <c r="F8202" t="s">
        <v>11622</v>
      </c>
      <c r="L8202">
        <v>11</v>
      </c>
      <c r="M8202">
        <v>15</v>
      </c>
      <c r="N8202">
        <v>153</v>
      </c>
    </row>
    <row r="8203" spans="1:15">
      <c r="A8203" t="s">
        <v>33230</v>
      </c>
      <c r="B8203" t="s">
        <v>8310</v>
      </c>
      <c r="C8203" t="s">
        <v>33231</v>
      </c>
      <c r="D8203" t="s">
        <v>33232</v>
      </c>
      <c r="E8203" t="b">
        <v>0</v>
      </c>
      <c r="F8203" t="s">
        <v>11624</v>
      </c>
      <c r="G8203">
        <v>10.552300000000001</v>
      </c>
      <c r="H8203">
        <v>-72.710099999999997</v>
      </c>
      <c r="I8203" t="s">
        <v>33233</v>
      </c>
      <c r="L8203">
        <v>0</v>
      </c>
      <c r="M8203">
        <v>0</v>
      </c>
      <c r="N8203">
        <v>0</v>
      </c>
      <c r="O8203" t="s">
        <v>16711</v>
      </c>
    </row>
    <row r="8204" spans="1:15">
      <c r="A8204" t="s">
        <v>33234</v>
      </c>
      <c r="B8204" t="s">
        <v>11894</v>
      </c>
      <c r="C8204" t="s">
        <v>13169</v>
      </c>
      <c r="D8204" t="s">
        <v>33235</v>
      </c>
      <c r="E8204" t="b">
        <v>0</v>
      </c>
      <c r="F8204" t="s">
        <v>11622</v>
      </c>
      <c r="L8204">
        <v>7</v>
      </c>
      <c r="M8204">
        <v>15</v>
      </c>
      <c r="N8204">
        <v>8</v>
      </c>
    </row>
    <row r="8205" spans="1:15">
      <c r="A8205" t="s">
        <v>33236</v>
      </c>
      <c r="B8205" t="s">
        <v>393</v>
      </c>
      <c r="C8205" t="s">
        <v>21246</v>
      </c>
      <c r="D8205" t="s">
        <v>33237</v>
      </c>
      <c r="E8205" t="b">
        <v>0</v>
      </c>
      <c r="F8205" t="s">
        <v>11624</v>
      </c>
      <c r="G8205">
        <v>-12.741939</v>
      </c>
      <c r="H8205">
        <v>-75.809230999999997</v>
      </c>
      <c r="I8205" t="s">
        <v>33238</v>
      </c>
      <c r="L8205">
        <v>0</v>
      </c>
      <c r="M8205">
        <v>0</v>
      </c>
      <c r="N8205">
        <v>0</v>
      </c>
      <c r="O8205" t="s">
        <v>11778</v>
      </c>
    </row>
    <row r="8206" spans="1:15">
      <c r="A8206" t="s">
        <v>33239</v>
      </c>
      <c r="D8206" t="s">
        <v>33240</v>
      </c>
      <c r="E8206" t="b">
        <v>0</v>
      </c>
      <c r="F8206" t="s">
        <v>11622</v>
      </c>
      <c r="L8206">
        <v>0</v>
      </c>
      <c r="M8206">
        <v>2</v>
      </c>
      <c r="N8206">
        <v>0</v>
      </c>
    </row>
    <row r="8207" spans="1:15">
      <c r="A8207" t="s">
        <v>33241</v>
      </c>
      <c r="B8207" t="s">
        <v>33239</v>
      </c>
      <c r="C8207" t="s">
        <v>33239</v>
      </c>
      <c r="D8207" t="s">
        <v>33242</v>
      </c>
      <c r="E8207" t="b">
        <v>0</v>
      </c>
      <c r="F8207" t="s">
        <v>11624</v>
      </c>
      <c r="G8207">
        <v>11.6089</v>
      </c>
      <c r="H8207">
        <v>92.658000000000001</v>
      </c>
      <c r="I8207" t="s">
        <v>33243</v>
      </c>
      <c r="L8207">
        <v>0</v>
      </c>
      <c r="M8207">
        <v>0</v>
      </c>
      <c r="N8207">
        <v>0</v>
      </c>
      <c r="O8207" t="s">
        <v>11630</v>
      </c>
    </row>
    <row r="8208" spans="1:15">
      <c r="A8208" t="s">
        <v>33244</v>
      </c>
      <c r="B8208" t="s">
        <v>6742</v>
      </c>
      <c r="C8208" t="s">
        <v>11700</v>
      </c>
      <c r="D8208" t="s">
        <v>33245</v>
      </c>
      <c r="E8208" t="b">
        <v>0</v>
      </c>
      <c r="F8208" t="s">
        <v>11622</v>
      </c>
      <c r="L8208">
        <v>5</v>
      </c>
      <c r="M8208">
        <v>14</v>
      </c>
      <c r="N8208">
        <v>18</v>
      </c>
    </row>
    <row r="8209" spans="1:15">
      <c r="A8209" t="s">
        <v>1627</v>
      </c>
      <c r="B8209" t="s">
        <v>6742</v>
      </c>
      <c r="C8209" t="s">
        <v>15687</v>
      </c>
      <c r="D8209" t="s">
        <v>33246</v>
      </c>
      <c r="E8209" t="b">
        <v>0</v>
      </c>
      <c r="F8209" t="s">
        <v>11624</v>
      </c>
      <c r="G8209">
        <v>9.8000000000000007</v>
      </c>
      <c r="H8209">
        <v>9.61</v>
      </c>
      <c r="I8209" t="s">
        <v>1628</v>
      </c>
      <c r="L8209">
        <v>0</v>
      </c>
      <c r="M8209">
        <v>0</v>
      </c>
      <c r="N8209">
        <v>5</v>
      </c>
      <c r="O8209" t="s">
        <v>11693</v>
      </c>
    </row>
    <row r="8210" spans="1:15">
      <c r="A8210" t="s">
        <v>14352</v>
      </c>
      <c r="B8210" t="s">
        <v>367</v>
      </c>
      <c r="C8210" t="s">
        <v>18497</v>
      </c>
      <c r="D8210" t="s">
        <v>33247</v>
      </c>
      <c r="E8210" t="b">
        <v>0</v>
      </c>
      <c r="F8210" t="s">
        <v>11624</v>
      </c>
      <c r="G8210">
        <v>13.616099999999999</v>
      </c>
      <c r="H8210">
        <v>107.813</v>
      </c>
      <c r="I8210" t="s">
        <v>33248</v>
      </c>
      <c r="L8210">
        <v>0</v>
      </c>
      <c r="M8210">
        <v>0</v>
      </c>
      <c r="N8210">
        <v>10</v>
      </c>
      <c r="O8210" t="s">
        <v>20010</v>
      </c>
    </row>
    <row r="8211" spans="1:15">
      <c r="A8211" t="s">
        <v>33249</v>
      </c>
      <c r="B8211" t="s">
        <v>11607</v>
      </c>
      <c r="C8211" t="s">
        <v>19488</v>
      </c>
      <c r="D8211" t="s">
        <v>33250</v>
      </c>
      <c r="E8211" t="b">
        <v>0</v>
      </c>
      <c r="F8211" t="s">
        <v>11610</v>
      </c>
      <c r="L8211">
        <v>0</v>
      </c>
      <c r="M8211">
        <v>0</v>
      </c>
      <c r="N8211">
        <v>0</v>
      </c>
    </row>
    <row r="8212" spans="1:15">
      <c r="A8212" t="s">
        <v>33251</v>
      </c>
      <c r="B8212" t="s">
        <v>11607</v>
      </c>
      <c r="C8212" t="s">
        <v>33252</v>
      </c>
      <c r="D8212" t="s">
        <v>33253</v>
      </c>
      <c r="E8212" t="b">
        <v>0</v>
      </c>
      <c r="F8212" t="s">
        <v>11624</v>
      </c>
      <c r="G8212">
        <v>10.523199999999999</v>
      </c>
      <c r="H8212">
        <v>11.7036</v>
      </c>
      <c r="I8212" t="s">
        <v>33254</v>
      </c>
      <c r="L8212">
        <v>0</v>
      </c>
      <c r="M8212">
        <v>0</v>
      </c>
      <c r="N8212">
        <v>0</v>
      </c>
      <c r="O8212" t="s">
        <v>11693</v>
      </c>
    </row>
    <row r="8213" spans="1:15">
      <c r="A8213" t="s">
        <v>15687</v>
      </c>
      <c r="B8213" t="s">
        <v>6742</v>
      </c>
      <c r="C8213" t="s">
        <v>33122</v>
      </c>
      <c r="D8213" t="s">
        <v>33255</v>
      </c>
      <c r="E8213" t="b">
        <v>0</v>
      </c>
      <c r="F8213" t="s">
        <v>11622</v>
      </c>
      <c r="L8213">
        <v>0</v>
      </c>
      <c r="M8213">
        <v>3</v>
      </c>
      <c r="N8213">
        <v>11</v>
      </c>
    </row>
    <row r="8214" spans="1:15">
      <c r="A8214" t="s">
        <v>33256</v>
      </c>
      <c r="B8214" t="s">
        <v>14398</v>
      </c>
      <c r="C8214" t="s">
        <v>16509</v>
      </c>
      <c r="D8214" t="s">
        <v>33257</v>
      </c>
      <c r="E8214" t="b">
        <v>0</v>
      </c>
      <c r="F8214" t="s">
        <v>11610</v>
      </c>
      <c r="L8214">
        <v>0</v>
      </c>
      <c r="M8214">
        <v>0</v>
      </c>
      <c r="N8214">
        <v>0</v>
      </c>
    </row>
    <row r="8215" spans="1:15">
      <c r="A8215" t="s">
        <v>33258</v>
      </c>
      <c r="B8215" t="s">
        <v>11607</v>
      </c>
      <c r="C8215" t="s">
        <v>21995</v>
      </c>
      <c r="D8215" t="s">
        <v>33259</v>
      </c>
      <c r="E8215" t="b">
        <v>0</v>
      </c>
      <c r="F8215" t="s">
        <v>11610</v>
      </c>
      <c r="L8215">
        <v>0</v>
      </c>
      <c r="M8215">
        <v>0</v>
      </c>
      <c r="N8215">
        <v>0</v>
      </c>
    </row>
    <row r="8216" spans="1:15">
      <c r="A8216" t="s">
        <v>33260</v>
      </c>
      <c r="B8216" t="s">
        <v>13450</v>
      </c>
      <c r="C8216" t="s">
        <v>19901</v>
      </c>
      <c r="D8216" t="s">
        <v>33261</v>
      </c>
      <c r="E8216" t="b">
        <v>0</v>
      </c>
      <c r="F8216" t="s">
        <v>11624</v>
      </c>
      <c r="L8216">
        <v>0</v>
      </c>
      <c r="M8216">
        <v>0</v>
      </c>
      <c r="N8216">
        <v>0</v>
      </c>
      <c r="O8216" t="s">
        <v>13049</v>
      </c>
    </row>
    <row r="8217" spans="1:15">
      <c r="A8217" t="s">
        <v>33262</v>
      </c>
      <c r="B8217" t="s">
        <v>13769</v>
      </c>
      <c r="C8217" t="s">
        <v>13768</v>
      </c>
      <c r="D8217" t="s">
        <v>33263</v>
      </c>
      <c r="E8217" t="b">
        <v>0</v>
      </c>
      <c r="F8217" t="s">
        <v>11610</v>
      </c>
      <c r="L8217">
        <v>0</v>
      </c>
      <c r="M8217">
        <v>0</v>
      </c>
      <c r="N8217">
        <v>0</v>
      </c>
    </row>
    <row r="8218" spans="1:15">
      <c r="A8218" t="s">
        <v>33264</v>
      </c>
      <c r="B8218" t="s">
        <v>11637</v>
      </c>
      <c r="C8218" t="s">
        <v>14195</v>
      </c>
      <c r="D8218" t="s">
        <v>33265</v>
      </c>
      <c r="E8218" t="b">
        <v>0</v>
      </c>
      <c r="F8218" t="s">
        <v>11610</v>
      </c>
      <c r="L8218">
        <v>0</v>
      </c>
      <c r="M8218">
        <v>0</v>
      </c>
      <c r="N8218">
        <v>0</v>
      </c>
    </row>
    <row r="8219" spans="1:15">
      <c r="A8219" t="s">
        <v>2665</v>
      </c>
      <c r="D8219" t="s">
        <v>33266</v>
      </c>
      <c r="E8219" t="b">
        <v>0</v>
      </c>
      <c r="F8219" t="s">
        <v>11622</v>
      </c>
      <c r="L8219">
        <v>0</v>
      </c>
      <c r="M8219">
        <v>3</v>
      </c>
      <c r="N8219">
        <v>0</v>
      </c>
    </row>
    <row r="8220" spans="1:15">
      <c r="A8220" t="s">
        <v>33267</v>
      </c>
      <c r="B8220" t="s">
        <v>12438</v>
      </c>
      <c r="C8220" t="s">
        <v>32116</v>
      </c>
      <c r="D8220" t="s">
        <v>33268</v>
      </c>
      <c r="E8220" t="b">
        <v>0</v>
      </c>
      <c r="F8220" t="s">
        <v>11610</v>
      </c>
      <c r="L8220">
        <v>0</v>
      </c>
      <c r="M8220">
        <v>0</v>
      </c>
      <c r="N8220">
        <v>0</v>
      </c>
    </row>
    <row r="8221" spans="1:15">
      <c r="A8221" t="s">
        <v>24987</v>
      </c>
      <c r="B8221" t="s">
        <v>10597</v>
      </c>
      <c r="C8221" t="s">
        <v>33269</v>
      </c>
      <c r="D8221" t="s">
        <v>33270</v>
      </c>
      <c r="E8221" t="b">
        <v>0</v>
      </c>
      <c r="F8221" t="s">
        <v>11624</v>
      </c>
      <c r="G8221">
        <v>-18.328800000000001</v>
      </c>
      <c r="H8221">
        <v>128.262</v>
      </c>
      <c r="I8221" t="s">
        <v>33271</v>
      </c>
      <c r="L8221">
        <v>0</v>
      </c>
      <c r="M8221">
        <v>0</v>
      </c>
      <c r="N8221">
        <v>2</v>
      </c>
      <c r="O8221" t="s">
        <v>12107</v>
      </c>
    </row>
    <row r="8222" spans="1:15">
      <c r="A8222" t="s">
        <v>33272</v>
      </c>
      <c r="B8222" t="s">
        <v>11683</v>
      </c>
      <c r="C8222" t="s">
        <v>11683</v>
      </c>
      <c r="D8222" t="s">
        <v>33273</v>
      </c>
      <c r="E8222" t="b">
        <v>0</v>
      </c>
      <c r="F8222" t="s">
        <v>11610</v>
      </c>
      <c r="L8222">
        <v>0</v>
      </c>
      <c r="M8222">
        <v>0</v>
      </c>
      <c r="N8222">
        <v>0</v>
      </c>
    </row>
    <row r="8223" spans="1:15">
      <c r="A8223" t="s">
        <v>33269</v>
      </c>
      <c r="B8223" t="s">
        <v>10597</v>
      </c>
      <c r="C8223" t="s">
        <v>30231</v>
      </c>
      <c r="D8223" t="s">
        <v>33274</v>
      </c>
      <c r="E8223" t="b">
        <v>0</v>
      </c>
      <c r="F8223" t="s">
        <v>11622</v>
      </c>
      <c r="L8223">
        <v>0</v>
      </c>
      <c r="M8223">
        <v>2</v>
      </c>
      <c r="N8223">
        <v>2</v>
      </c>
    </row>
    <row r="8224" spans="1:15">
      <c r="A8224" t="s">
        <v>33275</v>
      </c>
      <c r="B8224" t="s">
        <v>11627</v>
      </c>
      <c r="C8224" t="s">
        <v>11627</v>
      </c>
      <c r="D8224" t="s">
        <v>33276</v>
      </c>
      <c r="E8224" t="b">
        <v>1</v>
      </c>
      <c r="F8224" t="s">
        <v>11624</v>
      </c>
      <c r="I8224" t="s">
        <v>33277</v>
      </c>
      <c r="L8224">
        <v>0</v>
      </c>
      <c r="M8224">
        <v>0</v>
      </c>
      <c r="N8224">
        <v>0</v>
      </c>
    </row>
    <row r="8225" spans="1:15">
      <c r="A8225" t="s">
        <v>33278</v>
      </c>
      <c r="B8225" t="s">
        <v>6742</v>
      </c>
      <c r="C8225" t="s">
        <v>18442</v>
      </c>
      <c r="D8225" t="s">
        <v>33279</v>
      </c>
      <c r="E8225" t="b">
        <v>0</v>
      </c>
      <c r="F8225" t="s">
        <v>11610</v>
      </c>
      <c r="L8225">
        <v>0</v>
      </c>
      <c r="M8225">
        <v>0</v>
      </c>
      <c r="N8225">
        <v>0</v>
      </c>
    </row>
    <row r="8226" spans="1:15">
      <c r="A8226" t="s">
        <v>33280</v>
      </c>
      <c r="B8226" t="s">
        <v>11637</v>
      </c>
      <c r="C8226" t="s">
        <v>13085</v>
      </c>
      <c r="D8226" t="s">
        <v>33281</v>
      </c>
      <c r="E8226" t="b">
        <v>0</v>
      </c>
      <c r="F8226" t="s">
        <v>11610</v>
      </c>
      <c r="L8226">
        <v>0</v>
      </c>
      <c r="M8226">
        <v>0</v>
      </c>
      <c r="N8226">
        <v>0</v>
      </c>
    </row>
    <row r="8227" spans="1:15">
      <c r="A8227" t="s">
        <v>33282</v>
      </c>
      <c r="B8227" t="s">
        <v>11637</v>
      </c>
      <c r="C8227" t="s">
        <v>15898</v>
      </c>
      <c r="D8227" t="s">
        <v>33283</v>
      </c>
      <c r="E8227" t="b">
        <v>0</v>
      </c>
      <c r="F8227" t="s">
        <v>11610</v>
      </c>
      <c r="L8227">
        <v>0</v>
      </c>
      <c r="M8227">
        <v>0</v>
      </c>
      <c r="N8227">
        <v>0</v>
      </c>
    </row>
    <row r="8228" spans="1:15">
      <c r="A8228" t="s">
        <v>33284</v>
      </c>
      <c r="B8228" t="s">
        <v>23217</v>
      </c>
      <c r="C8228" t="s">
        <v>33285</v>
      </c>
      <c r="D8228" t="s">
        <v>33286</v>
      </c>
      <c r="E8228" t="b">
        <v>0</v>
      </c>
      <c r="F8228" t="s">
        <v>11610</v>
      </c>
      <c r="L8228">
        <v>0</v>
      </c>
      <c r="M8228">
        <v>0</v>
      </c>
      <c r="N8228">
        <v>0</v>
      </c>
    </row>
    <row r="8229" spans="1:15">
      <c r="A8229" t="s">
        <v>31606</v>
      </c>
      <c r="B8229" t="s">
        <v>141</v>
      </c>
      <c r="C8229" t="s">
        <v>14135</v>
      </c>
      <c r="D8229" t="s">
        <v>33287</v>
      </c>
      <c r="E8229" t="b">
        <v>0</v>
      </c>
      <c r="F8229" t="s">
        <v>11622</v>
      </c>
      <c r="L8229">
        <v>0</v>
      </c>
      <c r="M8229">
        <v>2</v>
      </c>
      <c r="N8229">
        <v>3</v>
      </c>
    </row>
    <row r="8230" spans="1:15">
      <c r="A8230" t="s">
        <v>33288</v>
      </c>
      <c r="B8230" t="s">
        <v>141</v>
      </c>
      <c r="C8230" t="s">
        <v>31606</v>
      </c>
      <c r="D8230" t="s">
        <v>33289</v>
      </c>
      <c r="E8230" t="b">
        <v>0</v>
      </c>
      <c r="F8230" t="s">
        <v>11624</v>
      </c>
      <c r="G8230">
        <v>-11.6747</v>
      </c>
      <c r="H8230">
        <v>-75.278599999999997</v>
      </c>
      <c r="I8230" t="s">
        <v>33290</v>
      </c>
      <c r="L8230">
        <v>0</v>
      </c>
      <c r="M8230">
        <v>0</v>
      </c>
      <c r="N8230">
        <v>0</v>
      </c>
      <c r="O8230" t="s">
        <v>11778</v>
      </c>
    </row>
    <row r="8231" spans="1:15">
      <c r="A8231" t="s">
        <v>33291</v>
      </c>
      <c r="B8231" t="s">
        <v>6742</v>
      </c>
      <c r="C8231" t="s">
        <v>25726</v>
      </c>
      <c r="D8231" t="s">
        <v>33292</v>
      </c>
      <c r="E8231" t="b">
        <v>0</v>
      </c>
      <c r="F8231" t="s">
        <v>11610</v>
      </c>
      <c r="L8231">
        <v>0</v>
      </c>
      <c r="M8231">
        <v>0</v>
      </c>
      <c r="N8231">
        <v>0</v>
      </c>
    </row>
    <row r="8232" spans="1:15">
      <c r="A8232" t="s">
        <v>1297</v>
      </c>
      <c r="B8232" t="s">
        <v>11637</v>
      </c>
      <c r="C8232" t="s">
        <v>31159</v>
      </c>
      <c r="D8232" t="s">
        <v>1296</v>
      </c>
      <c r="E8232" t="b">
        <v>0</v>
      </c>
      <c r="F8232" t="s">
        <v>11624</v>
      </c>
      <c r="G8232">
        <v>30.558700000000002</v>
      </c>
      <c r="H8232">
        <v>77.9084</v>
      </c>
      <c r="I8232" t="s">
        <v>1299</v>
      </c>
      <c r="L8232">
        <v>0</v>
      </c>
      <c r="M8232">
        <v>0</v>
      </c>
      <c r="N8232">
        <v>0</v>
      </c>
      <c r="O8232" t="s">
        <v>11630</v>
      </c>
    </row>
    <row r="8233" spans="1:15">
      <c r="A8233" t="s">
        <v>33293</v>
      </c>
      <c r="B8233" t="s">
        <v>11637</v>
      </c>
      <c r="C8233" t="s">
        <v>15714</v>
      </c>
      <c r="D8233" t="s">
        <v>33294</v>
      </c>
      <c r="E8233" t="b">
        <v>0</v>
      </c>
      <c r="F8233" t="s">
        <v>11610</v>
      </c>
      <c r="L8233">
        <v>0</v>
      </c>
      <c r="M8233">
        <v>0</v>
      </c>
      <c r="N8233">
        <v>0</v>
      </c>
    </row>
    <row r="8234" spans="1:15">
      <c r="A8234" t="s">
        <v>33295</v>
      </c>
      <c r="B8234" t="s">
        <v>367</v>
      </c>
      <c r="C8234" t="s">
        <v>21075</v>
      </c>
      <c r="D8234" t="s">
        <v>33296</v>
      </c>
      <c r="E8234" t="b">
        <v>0</v>
      </c>
      <c r="F8234" t="s">
        <v>11610</v>
      </c>
      <c r="L8234">
        <v>0</v>
      </c>
      <c r="M8234">
        <v>0</v>
      </c>
      <c r="N8234">
        <v>0</v>
      </c>
    </row>
    <row r="8235" spans="1:15">
      <c r="A8235" t="s">
        <v>33297</v>
      </c>
      <c r="B8235" t="s">
        <v>367</v>
      </c>
      <c r="C8235" t="s">
        <v>4363</v>
      </c>
      <c r="D8235" t="s">
        <v>33298</v>
      </c>
      <c r="E8235" t="b">
        <v>0</v>
      </c>
      <c r="F8235" t="s">
        <v>11622</v>
      </c>
      <c r="L8235">
        <v>1</v>
      </c>
      <c r="M8235">
        <v>6</v>
      </c>
      <c r="N8235">
        <v>24</v>
      </c>
    </row>
    <row r="8236" spans="1:15">
      <c r="A8236" t="s">
        <v>5409</v>
      </c>
      <c r="B8236" t="s">
        <v>367</v>
      </c>
      <c r="C8236" t="s">
        <v>21135</v>
      </c>
      <c r="D8236" t="s">
        <v>5408</v>
      </c>
      <c r="E8236" t="b">
        <v>0</v>
      </c>
      <c r="F8236" t="s">
        <v>11624</v>
      </c>
      <c r="G8236">
        <v>-0.57230700000000001</v>
      </c>
      <c r="H8236">
        <v>110.88500000000001</v>
      </c>
      <c r="I8236" t="s">
        <v>5410</v>
      </c>
      <c r="L8236">
        <v>0</v>
      </c>
      <c r="M8236">
        <v>0</v>
      </c>
      <c r="N8236">
        <v>24</v>
      </c>
      <c r="O8236" t="s">
        <v>16728</v>
      </c>
    </row>
    <row r="8237" spans="1:15">
      <c r="A8237" t="s">
        <v>545</v>
      </c>
      <c r="B8237" t="s">
        <v>11965</v>
      </c>
      <c r="C8237" t="s">
        <v>643</v>
      </c>
      <c r="D8237" t="s">
        <v>33299</v>
      </c>
      <c r="E8237" t="b">
        <v>0</v>
      </c>
      <c r="F8237" t="s">
        <v>11610</v>
      </c>
      <c r="L8237">
        <v>0</v>
      </c>
      <c r="M8237">
        <v>0</v>
      </c>
      <c r="N8237">
        <v>0</v>
      </c>
    </row>
    <row r="8238" spans="1:15">
      <c r="A8238" t="s">
        <v>33300</v>
      </c>
      <c r="B8238" t="s">
        <v>11637</v>
      </c>
      <c r="C8238" t="s">
        <v>12228</v>
      </c>
      <c r="D8238" t="s">
        <v>33301</v>
      </c>
      <c r="E8238" t="b">
        <v>0</v>
      </c>
      <c r="F8238" t="s">
        <v>11624</v>
      </c>
      <c r="I8238" t="s">
        <v>33302</v>
      </c>
      <c r="L8238">
        <v>0</v>
      </c>
      <c r="M8238">
        <v>0</v>
      </c>
      <c r="N8238">
        <v>0</v>
      </c>
      <c r="O8238" t="s">
        <v>11768</v>
      </c>
    </row>
    <row r="8239" spans="1:15">
      <c r="A8239" t="s">
        <v>33303</v>
      </c>
      <c r="B8239" t="s">
        <v>11894</v>
      </c>
      <c r="C8239" t="s">
        <v>33304</v>
      </c>
      <c r="D8239" t="s">
        <v>33305</v>
      </c>
      <c r="E8239" t="b">
        <v>0</v>
      </c>
      <c r="F8239" t="s">
        <v>11610</v>
      </c>
      <c r="L8239">
        <v>0</v>
      </c>
      <c r="M8239">
        <v>0</v>
      </c>
      <c r="N8239">
        <v>0</v>
      </c>
    </row>
    <row r="8240" spans="1:15">
      <c r="A8240" t="s">
        <v>33306</v>
      </c>
      <c r="B8240" t="s">
        <v>367</v>
      </c>
      <c r="C8240" t="s">
        <v>5409</v>
      </c>
      <c r="D8240" t="s">
        <v>33307</v>
      </c>
      <c r="E8240" t="b">
        <v>0</v>
      </c>
      <c r="F8240" t="s">
        <v>11610</v>
      </c>
      <c r="L8240">
        <v>0</v>
      </c>
      <c r="M8240">
        <v>0</v>
      </c>
      <c r="N8240">
        <v>0</v>
      </c>
    </row>
    <row r="8241" spans="1:15">
      <c r="A8241" t="s">
        <v>33308</v>
      </c>
      <c r="B8241" t="s">
        <v>8310</v>
      </c>
      <c r="C8241" t="s">
        <v>15069</v>
      </c>
      <c r="D8241" t="s">
        <v>33309</v>
      </c>
      <c r="E8241" t="b">
        <v>0</v>
      </c>
      <c r="F8241" t="s">
        <v>11610</v>
      </c>
      <c r="L8241">
        <v>0</v>
      </c>
      <c r="M8241">
        <v>0</v>
      </c>
      <c r="N8241">
        <v>0</v>
      </c>
    </row>
    <row r="8242" spans="1:15">
      <c r="A8242" t="s">
        <v>33310</v>
      </c>
      <c r="B8242" t="s">
        <v>367</v>
      </c>
      <c r="C8242" t="s">
        <v>33311</v>
      </c>
      <c r="D8242" t="s">
        <v>33312</v>
      </c>
      <c r="E8242" t="b">
        <v>0</v>
      </c>
      <c r="F8242" t="s">
        <v>11624</v>
      </c>
      <c r="G8242">
        <v>-20.6648</v>
      </c>
      <c r="H8242">
        <v>164.67599999999999</v>
      </c>
      <c r="I8242" t="s">
        <v>33313</v>
      </c>
      <c r="L8242">
        <v>0</v>
      </c>
      <c r="M8242">
        <v>0</v>
      </c>
      <c r="N8242">
        <v>0</v>
      </c>
      <c r="O8242" t="s">
        <v>12624</v>
      </c>
    </row>
    <row r="8243" spans="1:15">
      <c r="A8243" t="s">
        <v>33314</v>
      </c>
      <c r="B8243" t="s">
        <v>17023</v>
      </c>
      <c r="C8243" t="s">
        <v>17026</v>
      </c>
      <c r="D8243" t="s">
        <v>33315</v>
      </c>
      <c r="E8243" t="b">
        <v>0</v>
      </c>
      <c r="F8243" t="s">
        <v>11610</v>
      </c>
      <c r="L8243">
        <v>0</v>
      </c>
      <c r="M8243">
        <v>0</v>
      </c>
      <c r="N8243">
        <v>0</v>
      </c>
    </row>
    <row r="8244" spans="1:15">
      <c r="A8244" t="s">
        <v>33316</v>
      </c>
      <c r="B8244" t="s">
        <v>11729</v>
      </c>
      <c r="C8244" t="s">
        <v>17602</v>
      </c>
      <c r="D8244" t="s">
        <v>33317</v>
      </c>
      <c r="E8244" t="b">
        <v>0</v>
      </c>
      <c r="F8244" t="s">
        <v>11624</v>
      </c>
      <c r="G8244">
        <v>12.370699999999999</v>
      </c>
      <c r="H8244">
        <v>17.941500000000001</v>
      </c>
      <c r="I8244" t="s">
        <v>33318</v>
      </c>
      <c r="L8244">
        <v>0</v>
      </c>
      <c r="M8244">
        <v>0</v>
      </c>
      <c r="N8244">
        <v>0</v>
      </c>
      <c r="O8244" t="s">
        <v>13421</v>
      </c>
    </row>
    <row r="8245" spans="1:15">
      <c r="A8245" t="s">
        <v>33319</v>
      </c>
      <c r="B8245" t="s">
        <v>367</v>
      </c>
      <c r="C8245" t="s">
        <v>33320</v>
      </c>
      <c r="D8245" t="s">
        <v>33321</v>
      </c>
      <c r="E8245" t="b">
        <v>0</v>
      </c>
      <c r="F8245" t="s">
        <v>11622</v>
      </c>
      <c r="L8245">
        <v>0</v>
      </c>
      <c r="M8245">
        <v>3</v>
      </c>
      <c r="N8245">
        <v>0</v>
      </c>
    </row>
    <row r="8246" spans="1:15">
      <c r="A8246" t="s">
        <v>33322</v>
      </c>
      <c r="B8246" t="s">
        <v>367</v>
      </c>
      <c r="C8246" t="s">
        <v>5449</v>
      </c>
      <c r="D8246" t="s">
        <v>33323</v>
      </c>
      <c r="E8246" t="b">
        <v>0</v>
      </c>
      <c r="F8246" t="s">
        <v>11610</v>
      </c>
      <c r="L8246">
        <v>0</v>
      </c>
      <c r="M8246">
        <v>0</v>
      </c>
      <c r="N8246">
        <v>0</v>
      </c>
    </row>
    <row r="8247" spans="1:15">
      <c r="A8247" t="s">
        <v>33324</v>
      </c>
      <c r="B8247" t="s">
        <v>11607</v>
      </c>
      <c r="C8247" t="s">
        <v>33325</v>
      </c>
      <c r="D8247" t="s">
        <v>33326</v>
      </c>
      <c r="E8247" t="b">
        <v>0</v>
      </c>
      <c r="F8247" t="s">
        <v>11610</v>
      </c>
      <c r="L8247">
        <v>0</v>
      </c>
      <c r="M8247">
        <v>0</v>
      </c>
      <c r="N8247">
        <v>0</v>
      </c>
    </row>
    <row r="8248" spans="1:15">
      <c r="A8248" t="s">
        <v>33327</v>
      </c>
      <c r="B8248" t="s">
        <v>11607</v>
      </c>
      <c r="C8248" t="s">
        <v>13011</v>
      </c>
      <c r="D8248" t="s">
        <v>33328</v>
      </c>
      <c r="E8248" t="b">
        <v>0</v>
      </c>
      <c r="F8248" t="s">
        <v>11610</v>
      </c>
      <c r="L8248">
        <v>0</v>
      </c>
      <c r="M8248">
        <v>0</v>
      </c>
      <c r="N8248">
        <v>0</v>
      </c>
    </row>
    <row r="8249" spans="1:15">
      <c r="A8249" t="s">
        <v>33329</v>
      </c>
      <c r="B8249" t="s">
        <v>33330</v>
      </c>
      <c r="C8249" t="s">
        <v>33330</v>
      </c>
      <c r="D8249" t="s">
        <v>33331</v>
      </c>
      <c r="E8249" t="b">
        <v>0</v>
      </c>
      <c r="F8249" t="s">
        <v>11610</v>
      </c>
      <c r="L8249">
        <v>0</v>
      </c>
      <c r="M8249">
        <v>0</v>
      </c>
      <c r="N8249">
        <v>0</v>
      </c>
    </row>
    <row r="8250" spans="1:15">
      <c r="A8250" t="s">
        <v>33332</v>
      </c>
      <c r="B8250" t="s">
        <v>33330</v>
      </c>
      <c r="C8250" t="s">
        <v>33330</v>
      </c>
      <c r="D8250" t="s">
        <v>33333</v>
      </c>
      <c r="E8250" t="b">
        <v>0</v>
      </c>
      <c r="F8250" t="s">
        <v>11610</v>
      </c>
      <c r="L8250">
        <v>0</v>
      </c>
      <c r="M8250">
        <v>0</v>
      </c>
      <c r="N8250">
        <v>0</v>
      </c>
    </row>
    <row r="8251" spans="1:15">
      <c r="A8251" t="s">
        <v>33334</v>
      </c>
      <c r="B8251" t="s">
        <v>20873</v>
      </c>
      <c r="C8251" t="s">
        <v>20873</v>
      </c>
      <c r="D8251" t="s">
        <v>33335</v>
      </c>
      <c r="E8251" t="b">
        <v>0</v>
      </c>
      <c r="F8251" t="s">
        <v>11624</v>
      </c>
      <c r="G8251">
        <v>-5.4031700000000003</v>
      </c>
      <c r="H8251">
        <v>-76.410300000000007</v>
      </c>
      <c r="I8251" t="s">
        <v>33336</v>
      </c>
      <c r="L8251">
        <v>0</v>
      </c>
      <c r="M8251">
        <v>0</v>
      </c>
      <c r="N8251">
        <v>0</v>
      </c>
      <c r="O8251" t="s">
        <v>11778</v>
      </c>
    </row>
    <row r="8252" spans="1:15">
      <c r="A8252" t="s">
        <v>33337</v>
      </c>
      <c r="B8252" t="s">
        <v>11607</v>
      </c>
      <c r="C8252" t="s">
        <v>27826</v>
      </c>
      <c r="D8252" t="s">
        <v>33338</v>
      </c>
      <c r="E8252" t="b">
        <v>0</v>
      </c>
      <c r="F8252" t="s">
        <v>11610</v>
      </c>
      <c r="L8252">
        <v>0</v>
      </c>
      <c r="M8252">
        <v>0</v>
      </c>
      <c r="N8252">
        <v>0</v>
      </c>
    </row>
    <row r="8253" spans="1:15">
      <c r="A8253" t="s">
        <v>11966</v>
      </c>
      <c r="B8253" t="s">
        <v>11965</v>
      </c>
      <c r="C8253" t="s">
        <v>28974</v>
      </c>
      <c r="D8253" t="s">
        <v>33339</v>
      </c>
      <c r="E8253" t="b">
        <v>0</v>
      </c>
      <c r="F8253" t="s">
        <v>11622</v>
      </c>
      <c r="L8253">
        <v>0</v>
      </c>
      <c r="M8253">
        <v>4</v>
      </c>
      <c r="N8253">
        <v>0</v>
      </c>
    </row>
    <row r="8254" spans="1:15">
      <c r="A8254" t="s">
        <v>33340</v>
      </c>
      <c r="B8254" t="s">
        <v>6742</v>
      </c>
      <c r="C8254" t="s">
        <v>22382</v>
      </c>
      <c r="D8254" t="s">
        <v>33341</v>
      </c>
      <c r="E8254" t="b">
        <v>0</v>
      </c>
      <c r="F8254" t="s">
        <v>11610</v>
      </c>
      <c r="L8254">
        <v>0</v>
      </c>
      <c r="M8254">
        <v>0</v>
      </c>
      <c r="N8254">
        <v>0</v>
      </c>
    </row>
    <row r="8255" spans="1:15">
      <c r="A8255" t="s">
        <v>33342</v>
      </c>
      <c r="B8255" t="s">
        <v>12438</v>
      </c>
      <c r="C8255" t="s">
        <v>17409</v>
      </c>
      <c r="D8255" t="s">
        <v>33343</v>
      </c>
      <c r="E8255" t="b">
        <v>0</v>
      </c>
      <c r="F8255" t="s">
        <v>11624</v>
      </c>
      <c r="G8255">
        <v>5.3</v>
      </c>
      <c r="H8255">
        <v>101.75</v>
      </c>
      <c r="L8255">
        <v>0</v>
      </c>
      <c r="M8255">
        <v>0</v>
      </c>
      <c r="N8255">
        <v>0</v>
      </c>
      <c r="O8255" t="s">
        <v>11672</v>
      </c>
    </row>
    <row r="8256" spans="1:15">
      <c r="A8256" t="s">
        <v>28974</v>
      </c>
      <c r="B8256" t="s">
        <v>11965</v>
      </c>
      <c r="C8256" t="s">
        <v>11965</v>
      </c>
      <c r="D8256" t="s">
        <v>33344</v>
      </c>
      <c r="E8256" t="b">
        <v>0</v>
      </c>
      <c r="F8256" t="s">
        <v>11622</v>
      </c>
      <c r="L8256">
        <v>9</v>
      </c>
      <c r="M8256">
        <v>17</v>
      </c>
      <c r="N8256">
        <v>15</v>
      </c>
    </row>
    <row r="8257" spans="1:15">
      <c r="A8257" t="s">
        <v>33345</v>
      </c>
      <c r="B8257" t="s">
        <v>6742</v>
      </c>
      <c r="C8257" t="s">
        <v>33346</v>
      </c>
      <c r="D8257" t="s">
        <v>33347</v>
      </c>
      <c r="E8257" t="b">
        <v>0</v>
      </c>
      <c r="F8257" t="s">
        <v>11610</v>
      </c>
      <c r="L8257">
        <v>0</v>
      </c>
      <c r="M8257">
        <v>0</v>
      </c>
      <c r="N8257">
        <v>0</v>
      </c>
    </row>
    <row r="8258" spans="1:15">
      <c r="A8258" t="s">
        <v>5340</v>
      </c>
      <c r="B8258" t="s">
        <v>12438</v>
      </c>
      <c r="C8258" t="s">
        <v>17409</v>
      </c>
      <c r="D8258" t="s">
        <v>33348</v>
      </c>
      <c r="E8258" t="b">
        <v>0</v>
      </c>
      <c r="F8258" t="s">
        <v>11624</v>
      </c>
      <c r="G8258">
        <v>5.6369499999999997</v>
      </c>
      <c r="H8258">
        <v>101.541</v>
      </c>
      <c r="I8258" t="s">
        <v>5341</v>
      </c>
      <c r="L8258">
        <v>0</v>
      </c>
      <c r="M8258">
        <v>0</v>
      </c>
      <c r="N8258">
        <v>2</v>
      </c>
      <c r="O8258" t="s">
        <v>33349</v>
      </c>
    </row>
    <row r="8259" spans="1:15">
      <c r="A8259" t="s">
        <v>33350</v>
      </c>
      <c r="B8259" t="s">
        <v>12438</v>
      </c>
      <c r="C8259" t="s">
        <v>33351</v>
      </c>
      <c r="D8259" t="s">
        <v>33352</v>
      </c>
      <c r="E8259" t="b">
        <v>0</v>
      </c>
      <c r="F8259" t="s">
        <v>11610</v>
      </c>
      <c r="L8259">
        <v>0</v>
      </c>
      <c r="M8259">
        <v>0</v>
      </c>
      <c r="N8259">
        <v>0</v>
      </c>
    </row>
    <row r="8260" spans="1:15">
      <c r="A8260" t="s">
        <v>33353</v>
      </c>
      <c r="B8260" t="s">
        <v>12438</v>
      </c>
      <c r="C8260" t="s">
        <v>32116</v>
      </c>
      <c r="D8260" t="s">
        <v>33354</v>
      </c>
      <c r="E8260" t="b">
        <v>0</v>
      </c>
      <c r="F8260" t="s">
        <v>11610</v>
      </c>
      <c r="L8260">
        <v>0</v>
      </c>
      <c r="M8260">
        <v>0</v>
      </c>
      <c r="N8260">
        <v>0</v>
      </c>
    </row>
    <row r="8261" spans="1:15">
      <c r="A8261" t="s">
        <v>33355</v>
      </c>
      <c r="B8261" t="s">
        <v>12438</v>
      </c>
      <c r="C8261" t="s">
        <v>31520</v>
      </c>
      <c r="D8261" t="s">
        <v>33356</v>
      </c>
      <c r="E8261" t="b">
        <v>0</v>
      </c>
      <c r="F8261" t="s">
        <v>11622</v>
      </c>
      <c r="L8261">
        <v>2</v>
      </c>
      <c r="M8261">
        <v>4</v>
      </c>
      <c r="N8261">
        <v>2</v>
      </c>
    </row>
    <row r="8262" spans="1:15">
      <c r="A8262" t="s">
        <v>33351</v>
      </c>
      <c r="B8262" t="s">
        <v>12438</v>
      </c>
      <c r="C8262" t="s">
        <v>30607</v>
      </c>
      <c r="D8262" t="s">
        <v>33357</v>
      </c>
      <c r="E8262" t="b">
        <v>0</v>
      </c>
      <c r="F8262" t="s">
        <v>11624</v>
      </c>
      <c r="G8262">
        <v>15.235099999999999</v>
      </c>
      <c r="H8262">
        <v>107.753</v>
      </c>
      <c r="I8262" t="s">
        <v>33358</v>
      </c>
      <c r="L8262">
        <v>0</v>
      </c>
      <c r="M8262">
        <v>0</v>
      </c>
      <c r="N8262">
        <v>2</v>
      </c>
      <c r="O8262" t="s">
        <v>14464</v>
      </c>
    </row>
    <row r="8263" spans="1:15">
      <c r="A8263" t="s">
        <v>30607</v>
      </c>
      <c r="B8263" t="s">
        <v>12438</v>
      </c>
      <c r="C8263" t="s">
        <v>33355</v>
      </c>
      <c r="D8263" t="s">
        <v>33359</v>
      </c>
      <c r="E8263" t="b">
        <v>0</v>
      </c>
      <c r="F8263" t="s">
        <v>11622</v>
      </c>
      <c r="L8263">
        <v>0</v>
      </c>
      <c r="M8263">
        <v>2</v>
      </c>
      <c r="N8263">
        <v>2</v>
      </c>
    </row>
    <row r="8264" spans="1:15">
      <c r="A8264" t="s">
        <v>33360</v>
      </c>
      <c r="B8264" t="s">
        <v>12438</v>
      </c>
      <c r="C8264" t="s">
        <v>33351</v>
      </c>
      <c r="D8264" t="s">
        <v>33361</v>
      </c>
      <c r="E8264" t="b">
        <v>0</v>
      </c>
      <c r="F8264" t="s">
        <v>11610</v>
      </c>
      <c r="L8264">
        <v>0</v>
      </c>
      <c r="M8264">
        <v>0</v>
      </c>
      <c r="N8264">
        <v>0</v>
      </c>
    </row>
    <row r="8265" spans="1:15">
      <c r="A8265" t="s">
        <v>33362</v>
      </c>
      <c r="B8265" t="s">
        <v>11844</v>
      </c>
      <c r="C8265" t="s">
        <v>9420</v>
      </c>
      <c r="D8265" t="s">
        <v>33363</v>
      </c>
      <c r="E8265" t="b">
        <v>0</v>
      </c>
      <c r="F8265" t="s">
        <v>11610</v>
      </c>
      <c r="L8265">
        <v>0</v>
      </c>
      <c r="M8265">
        <v>0</v>
      </c>
      <c r="N8265">
        <v>0</v>
      </c>
    </row>
    <row r="8266" spans="1:15">
      <c r="A8266" t="s">
        <v>33364</v>
      </c>
      <c r="B8266" t="s">
        <v>22388</v>
      </c>
      <c r="C8266" t="s">
        <v>22388</v>
      </c>
      <c r="D8266" t="s">
        <v>33365</v>
      </c>
      <c r="E8266" t="b">
        <v>0</v>
      </c>
      <c r="F8266" t="s">
        <v>11624</v>
      </c>
      <c r="I8266" t="s">
        <v>33366</v>
      </c>
      <c r="L8266">
        <v>0</v>
      </c>
      <c r="M8266">
        <v>0</v>
      </c>
      <c r="N8266">
        <v>0</v>
      </c>
      <c r="O8266" t="s">
        <v>33367</v>
      </c>
    </row>
    <row r="8267" spans="1:15">
      <c r="A8267" t="s">
        <v>33368</v>
      </c>
      <c r="B8267" t="s">
        <v>11607</v>
      </c>
      <c r="C8267" t="s">
        <v>18435</v>
      </c>
      <c r="D8267" t="s">
        <v>33369</v>
      </c>
      <c r="E8267" t="b">
        <v>0</v>
      </c>
      <c r="F8267" t="s">
        <v>11610</v>
      </c>
      <c r="L8267">
        <v>0</v>
      </c>
      <c r="M8267">
        <v>0</v>
      </c>
      <c r="N8267">
        <v>0</v>
      </c>
    </row>
    <row r="8268" spans="1:15">
      <c r="A8268" t="s">
        <v>33370</v>
      </c>
      <c r="B8268" t="s">
        <v>12438</v>
      </c>
      <c r="C8268" t="s">
        <v>18163</v>
      </c>
      <c r="D8268" t="s">
        <v>33371</v>
      </c>
      <c r="E8268" t="b">
        <v>0</v>
      </c>
      <c r="F8268" t="s">
        <v>11610</v>
      </c>
      <c r="L8268">
        <v>0</v>
      </c>
      <c r="M8268">
        <v>0</v>
      </c>
      <c r="N8268">
        <v>0</v>
      </c>
    </row>
    <row r="8269" spans="1:15">
      <c r="A8269" t="s">
        <v>33372</v>
      </c>
      <c r="B8269" t="s">
        <v>367</v>
      </c>
      <c r="C8269" t="s">
        <v>19210</v>
      </c>
      <c r="D8269" t="s">
        <v>33373</v>
      </c>
      <c r="E8269" t="b">
        <v>0</v>
      </c>
      <c r="F8269" t="s">
        <v>11610</v>
      </c>
      <c r="L8269">
        <v>0</v>
      </c>
      <c r="M8269">
        <v>0</v>
      </c>
      <c r="N8269">
        <v>0</v>
      </c>
    </row>
    <row r="8270" spans="1:15">
      <c r="A8270" t="s">
        <v>33374</v>
      </c>
      <c r="B8270" t="s">
        <v>367</v>
      </c>
      <c r="C8270" t="s">
        <v>26184</v>
      </c>
      <c r="D8270" t="s">
        <v>33375</v>
      </c>
      <c r="E8270" t="b">
        <v>0</v>
      </c>
      <c r="F8270" t="s">
        <v>11610</v>
      </c>
      <c r="L8270">
        <v>0</v>
      </c>
      <c r="M8270">
        <v>0</v>
      </c>
      <c r="N8270">
        <v>0</v>
      </c>
    </row>
    <row r="8271" spans="1:15">
      <c r="A8271" t="s">
        <v>33376</v>
      </c>
      <c r="B8271" t="s">
        <v>6742</v>
      </c>
      <c r="C8271" t="s">
        <v>16901</v>
      </c>
      <c r="D8271" t="s">
        <v>33377</v>
      </c>
      <c r="E8271" t="b">
        <v>0</v>
      </c>
      <c r="F8271" t="s">
        <v>11610</v>
      </c>
      <c r="L8271">
        <v>0</v>
      </c>
      <c r="M8271">
        <v>0</v>
      </c>
      <c r="N8271">
        <v>0</v>
      </c>
    </row>
    <row r="8272" spans="1:15">
      <c r="A8272" t="s">
        <v>33378</v>
      </c>
      <c r="B8272" t="s">
        <v>367</v>
      </c>
      <c r="C8272" t="s">
        <v>17227</v>
      </c>
      <c r="D8272" t="s">
        <v>33379</v>
      </c>
      <c r="E8272" t="b">
        <v>0</v>
      </c>
      <c r="F8272" t="s">
        <v>11610</v>
      </c>
      <c r="L8272">
        <v>0</v>
      </c>
      <c r="M8272">
        <v>0</v>
      </c>
      <c r="N8272">
        <v>0</v>
      </c>
    </row>
    <row r="8273" spans="1:15">
      <c r="A8273" t="s">
        <v>33380</v>
      </c>
      <c r="B8273" t="s">
        <v>14571</v>
      </c>
      <c r="C8273" t="s">
        <v>14571</v>
      </c>
      <c r="D8273" t="s">
        <v>33381</v>
      </c>
      <c r="E8273" t="b">
        <v>0</v>
      </c>
      <c r="F8273" t="s">
        <v>11624</v>
      </c>
      <c r="G8273">
        <v>35.599400000000003</v>
      </c>
      <c r="H8273">
        <v>-106.76600000000001</v>
      </c>
      <c r="I8273" t="s">
        <v>33382</v>
      </c>
      <c r="L8273">
        <v>0</v>
      </c>
      <c r="M8273">
        <v>0</v>
      </c>
      <c r="N8273">
        <v>0</v>
      </c>
      <c r="O8273" t="s">
        <v>11944</v>
      </c>
    </row>
    <row r="8274" spans="1:15">
      <c r="A8274" t="s">
        <v>32442</v>
      </c>
      <c r="B8274" t="s">
        <v>11965</v>
      </c>
      <c r="C8274" t="s">
        <v>28974</v>
      </c>
      <c r="D8274" t="s">
        <v>33383</v>
      </c>
      <c r="E8274" t="b">
        <v>0</v>
      </c>
      <c r="F8274" t="s">
        <v>11622</v>
      </c>
      <c r="L8274">
        <v>3</v>
      </c>
      <c r="M8274">
        <v>5</v>
      </c>
      <c r="N8274">
        <v>4</v>
      </c>
    </row>
    <row r="8275" spans="1:15">
      <c r="A8275" t="s">
        <v>33384</v>
      </c>
      <c r="B8275" t="s">
        <v>12254</v>
      </c>
      <c r="C8275" t="s">
        <v>12255</v>
      </c>
      <c r="D8275" t="s">
        <v>33385</v>
      </c>
      <c r="E8275" t="b">
        <v>0</v>
      </c>
      <c r="F8275" t="s">
        <v>11610</v>
      </c>
      <c r="L8275">
        <v>0</v>
      </c>
      <c r="M8275">
        <v>0</v>
      </c>
      <c r="N8275">
        <v>0</v>
      </c>
    </row>
    <row r="8276" spans="1:15">
      <c r="A8276" t="s">
        <v>33386</v>
      </c>
      <c r="B8276" t="s">
        <v>6742</v>
      </c>
      <c r="C8276" t="s">
        <v>25512</v>
      </c>
      <c r="D8276" t="s">
        <v>33387</v>
      </c>
      <c r="E8276" t="b">
        <v>0</v>
      </c>
      <c r="F8276" t="s">
        <v>11610</v>
      </c>
      <c r="L8276">
        <v>0</v>
      </c>
      <c r="M8276">
        <v>0</v>
      </c>
      <c r="N8276">
        <v>0</v>
      </c>
    </row>
    <row r="8277" spans="1:15">
      <c r="A8277" t="s">
        <v>24330</v>
      </c>
      <c r="B8277" t="s">
        <v>13276</v>
      </c>
      <c r="C8277" t="s">
        <v>33388</v>
      </c>
      <c r="D8277" t="s">
        <v>33389</v>
      </c>
      <c r="E8277" t="b">
        <v>0</v>
      </c>
      <c r="F8277" t="s">
        <v>11624</v>
      </c>
      <c r="G8277">
        <v>15.5</v>
      </c>
      <c r="H8277">
        <v>-4</v>
      </c>
      <c r="I8277" t="s">
        <v>33390</v>
      </c>
      <c r="L8277">
        <v>0</v>
      </c>
      <c r="M8277">
        <v>0</v>
      </c>
      <c r="N8277">
        <v>4</v>
      </c>
      <c r="O8277" t="s">
        <v>13528</v>
      </c>
    </row>
    <row r="8278" spans="1:15">
      <c r="A8278" t="s">
        <v>33391</v>
      </c>
      <c r="B8278" t="s">
        <v>12438</v>
      </c>
      <c r="C8278" t="s">
        <v>32486</v>
      </c>
      <c r="D8278" t="s">
        <v>33392</v>
      </c>
      <c r="E8278" t="b">
        <v>0</v>
      </c>
      <c r="F8278" t="s">
        <v>11610</v>
      </c>
      <c r="G8278">
        <v>15.039199999999999</v>
      </c>
      <c r="H8278">
        <v>107.14700000000001</v>
      </c>
      <c r="I8278" t="s">
        <v>33393</v>
      </c>
      <c r="L8278">
        <v>0</v>
      </c>
      <c r="M8278">
        <v>0</v>
      </c>
      <c r="N8278">
        <v>0</v>
      </c>
      <c r="O8278" t="s">
        <v>12921</v>
      </c>
    </row>
    <row r="8279" spans="1:15">
      <c r="A8279" t="s">
        <v>33394</v>
      </c>
      <c r="B8279" t="s">
        <v>6742</v>
      </c>
      <c r="C8279" t="s">
        <v>25251</v>
      </c>
      <c r="D8279" t="s">
        <v>33395</v>
      </c>
      <c r="E8279" t="b">
        <v>0</v>
      </c>
      <c r="F8279" t="s">
        <v>11610</v>
      </c>
      <c r="L8279">
        <v>0</v>
      </c>
      <c r="M8279">
        <v>0</v>
      </c>
      <c r="N8279">
        <v>0</v>
      </c>
    </row>
    <row r="8280" spans="1:15">
      <c r="A8280" t="s">
        <v>33396</v>
      </c>
      <c r="B8280" t="s">
        <v>13360</v>
      </c>
      <c r="C8280" t="s">
        <v>13360</v>
      </c>
      <c r="D8280" t="s">
        <v>33397</v>
      </c>
      <c r="E8280" t="b">
        <v>0</v>
      </c>
      <c r="F8280" t="s">
        <v>11624</v>
      </c>
      <c r="L8280">
        <v>0</v>
      </c>
      <c r="M8280">
        <v>0</v>
      </c>
      <c r="N8280">
        <v>0</v>
      </c>
    </row>
    <row r="8281" spans="1:15">
      <c r="A8281" t="s">
        <v>33398</v>
      </c>
      <c r="B8281" t="s">
        <v>11844</v>
      </c>
      <c r="C8281" t="s">
        <v>13179</v>
      </c>
      <c r="D8281" t="s">
        <v>33399</v>
      </c>
      <c r="E8281" t="b">
        <v>0</v>
      </c>
      <c r="F8281" t="s">
        <v>11624</v>
      </c>
      <c r="G8281">
        <v>11.504099999999999</v>
      </c>
      <c r="H8281">
        <v>76.576700000000002</v>
      </c>
      <c r="I8281" t="s">
        <v>33400</v>
      </c>
      <c r="L8281">
        <v>0</v>
      </c>
      <c r="M8281">
        <v>0</v>
      </c>
      <c r="N8281">
        <v>0</v>
      </c>
      <c r="O8281" t="s">
        <v>11630</v>
      </c>
    </row>
    <row r="8282" spans="1:15">
      <c r="A8282" t="s">
        <v>25727</v>
      </c>
      <c r="B8282" t="s">
        <v>6742</v>
      </c>
      <c r="C8282" t="s">
        <v>18549</v>
      </c>
      <c r="D8282" t="s">
        <v>33401</v>
      </c>
      <c r="E8282" t="b">
        <v>0</v>
      </c>
      <c r="F8282" t="s">
        <v>11622</v>
      </c>
      <c r="L8282">
        <v>0</v>
      </c>
      <c r="M8282">
        <v>3</v>
      </c>
      <c r="N8282">
        <v>3</v>
      </c>
    </row>
    <row r="8283" spans="1:15">
      <c r="A8283" t="s">
        <v>33402</v>
      </c>
      <c r="B8283" t="s">
        <v>6742</v>
      </c>
      <c r="C8283" t="s">
        <v>27852</v>
      </c>
      <c r="D8283" t="s">
        <v>33403</v>
      </c>
      <c r="E8283" t="b">
        <v>0</v>
      </c>
      <c r="F8283" t="s">
        <v>11610</v>
      </c>
      <c r="L8283">
        <v>0</v>
      </c>
      <c r="M8283">
        <v>0</v>
      </c>
      <c r="N8283">
        <v>0</v>
      </c>
    </row>
    <row r="8284" spans="1:15">
      <c r="A8284" t="s">
        <v>33404</v>
      </c>
      <c r="B8284" t="s">
        <v>367</v>
      </c>
      <c r="C8284" t="s">
        <v>14563</v>
      </c>
      <c r="D8284" t="s">
        <v>33405</v>
      </c>
      <c r="E8284" t="b">
        <v>0</v>
      </c>
      <c r="F8284" t="s">
        <v>11610</v>
      </c>
      <c r="L8284">
        <v>0</v>
      </c>
      <c r="M8284">
        <v>0</v>
      </c>
      <c r="N8284">
        <v>0</v>
      </c>
    </row>
    <row r="8285" spans="1:15">
      <c r="A8285" t="s">
        <v>33406</v>
      </c>
      <c r="B8285" t="s">
        <v>11607</v>
      </c>
      <c r="C8285" t="s">
        <v>33325</v>
      </c>
      <c r="D8285" t="s">
        <v>33407</v>
      </c>
      <c r="E8285" t="b">
        <v>0</v>
      </c>
      <c r="F8285" t="s">
        <v>11610</v>
      </c>
      <c r="L8285">
        <v>0</v>
      </c>
      <c r="M8285">
        <v>0</v>
      </c>
      <c r="N8285">
        <v>0</v>
      </c>
    </row>
    <row r="8286" spans="1:15">
      <c r="A8286" t="s">
        <v>33408</v>
      </c>
      <c r="B8286" t="s">
        <v>11607</v>
      </c>
      <c r="C8286" t="s">
        <v>33325</v>
      </c>
      <c r="D8286" t="s">
        <v>33409</v>
      </c>
      <c r="E8286" t="b">
        <v>0</v>
      </c>
      <c r="F8286" t="s">
        <v>11610</v>
      </c>
      <c r="L8286">
        <v>0</v>
      </c>
      <c r="M8286">
        <v>0</v>
      </c>
      <c r="N8286">
        <v>0</v>
      </c>
    </row>
    <row r="8287" spans="1:15">
      <c r="A8287" t="s">
        <v>20135</v>
      </c>
      <c r="B8287" t="s">
        <v>6742</v>
      </c>
      <c r="C8287" t="s">
        <v>19804</v>
      </c>
      <c r="D8287" t="s">
        <v>33410</v>
      </c>
      <c r="E8287" t="b">
        <v>0</v>
      </c>
      <c r="F8287" t="s">
        <v>11624</v>
      </c>
      <c r="G8287">
        <v>10.196199999999999</v>
      </c>
      <c r="H8287">
        <v>8.9583399999999997</v>
      </c>
      <c r="I8287" t="s">
        <v>33411</v>
      </c>
      <c r="L8287">
        <v>0</v>
      </c>
      <c r="M8287">
        <v>0</v>
      </c>
      <c r="N8287">
        <v>4</v>
      </c>
      <c r="O8287" t="s">
        <v>11693</v>
      </c>
    </row>
    <row r="8288" spans="1:15">
      <c r="A8288" t="s">
        <v>33412</v>
      </c>
      <c r="B8288" t="s">
        <v>13276</v>
      </c>
      <c r="C8288" t="s">
        <v>33413</v>
      </c>
      <c r="D8288" t="s">
        <v>33414</v>
      </c>
      <c r="E8288" t="b">
        <v>0</v>
      </c>
      <c r="F8288" t="s">
        <v>11610</v>
      </c>
      <c r="L8288">
        <v>0</v>
      </c>
      <c r="M8288">
        <v>0</v>
      </c>
      <c r="N8288">
        <v>0</v>
      </c>
    </row>
    <row r="8289" spans="1:15">
      <c r="A8289" t="s">
        <v>33140</v>
      </c>
      <c r="B8289" t="s">
        <v>13276</v>
      </c>
      <c r="C8289" t="s">
        <v>33415</v>
      </c>
      <c r="D8289" t="s">
        <v>33416</v>
      </c>
      <c r="E8289" t="b">
        <v>0</v>
      </c>
      <c r="F8289" t="s">
        <v>11622</v>
      </c>
      <c r="L8289">
        <v>0</v>
      </c>
      <c r="M8289">
        <v>2</v>
      </c>
      <c r="N8289">
        <v>0</v>
      </c>
    </row>
    <row r="8290" spans="1:15">
      <c r="A8290" t="s">
        <v>33417</v>
      </c>
      <c r="B8290" t="s">
        <v>13276</v>
      </c>
      <c r="C8290" t="s">
        <v>33140</v>
      </c>
      <c r="D8290" t="s">
        <v>33418</v>
      </c>
      <c r="E8290" t="b">
        <v>0</v>
      </c>
      <c r="F8290" t="s">
        <v>11624</v>
      </c>
      <c r="G8290">
        <v>9.3956999999999997</v>
      </c>
      <c r="H8290">
        <v>-5.6671699999999996</v>
      </c>
      <c r="I8290" t="s">
        <v>33419</v>
      </c>
      <c r="L8290">
        <v>0</v>
      </c>
      <c r="M8290">
        <v>0</v>
      </c>
      <c r="N8290">
        <v>0</v>
      </c>
      <c r="O8290" t="s">
        <v>11735</v>
      </c>
    </row>
    <row r="8291" spans="1:15">
      <c r="A8291" t="s">
        <v>33420</v>
      </c>
      <c r="B8291" t="s">
        <v>11644</v>
      </c>
      <c r="C8291" t="s">
        <v>33421</v>
      </c>
      <c r="D8291" t="s">
        <v>33422</v>
      </c>
      <c r="E8291" t="b">
        <v>0</v>
      </c>
      <c r="F8291" t="s">
        <v>11610</v>
      </c>
      <c r="L8291">
        <v>0</v>
      </c>
      <c r="M8291">
        <v>0</v>
      </c>
      <c r="N8291">
        <v>0</v>
      </c>
    </row>
    <row r="8292" spans="1:15">
      <c r="A8292" t="s">
        <v>33423</v>
      </c>
      <c r="B8292" t="s">
        <v>11637</v>
      </c>
      <c r="C8292" t="s">
        <v>3656</v>
      </c>
      <c r="D8292" t="s">
        <v>33424</v>
      </c>
      <c r="E8292" t="b">
        <v>0</v>
      </c>
      <c r="F8292" t="s">
        <v>11610</v>
      </c>
      <c r="I8292" t="s">
        <v>33425</v>
      </c>
      <c r="L8292">
        <v>0</v>
      </c>
      <c r="M8292">
        <v>0</v>
      </c>
      <c r="N8292">
        <v>0</v>
      </c>
    </row>
    <row r="8293" spans="1:15">
      <c r="A8293" t="s">
        <v>12664</v>
      </c>
      <c r="B8293" t="s">
        <v>12650</v>
      </c>
      <c r="C8293" t="s">
        <v>19029</v>
      </c>
      <c r="D8293" t="s">
        <v>33426</v>
      </c>
      <c r="E8293" t="b">
        <v>0</v>
      </c>
      <c r="F8293" t="s">
        <v>11622</v>
      </c>
      <c r="L8293">
        <v>0</v>
      </c>
      <c r="M8293">
        <v>2</v>
      </c>
      <c r="N8293">
        <v>1</v>
      </c>
    </row>
    <row r="8294" spans="1:15">
      <c r="A8294" t="s">
        <v>16324</v>
      </c>
      <c r="B8294" t="s">
        <v>11644</v>
      </c>
      <c r="C8294" t="s">
        <v>22350</v>
      </c>
      <c r="D8294" t="s">
        <v>33427</v>
      </c>
      <c r="E8294" t="b">
        <v>0</v>
      </c>
      <c r="F8294" t="s">
        <v>11624</v>
      </c>
      <c r="G8294">
        <v>27.174099999999999</v>
      </c>
      <c r="H8294">
        <v>86.2547</v>
      </c>
      <c r="I8294" t="s">
        <v>33428</v>
      </c>
      <c r="L8294">
        <v>0</v>
      </c>
      <c r="M8294">
        <v>0</v>
      </c>
      <c r="N8294">
        <v>3</v>
      </c>
      <c r="O8294" t="s">
        <v>15007</v>
      </c>
    </row>
    <row r="8295" spans="1:15">
      <c r="A8295" t="s">
        <v>23431</v>
      </c>
      <c r="B8295" t="s">
        <v>11965</v>
      </c>
      <c r="C8295" t="s">
        <v>28974</v>
      </c>
      <c r="D8295" t="s">
        <v>33429</v>
      </c>
      <c r="E8295" t="b">
        <v>0</v>
      </c>
      <c r="F8295" t="s">
        <v>11622</v>
      </c>
      <c r="L8295">
        <v>3</v>
      </c>
      <c r="M8295">
        <v>7</v>
      </c>
      <c r="N8295">
        <v>11</v>
      </c>
    </row>
    <row r="8296" spans="1:15">
      <c r="A8296" t="s">
        <v>33430</v>
      </c>
      <c r="B8296" t="s">
        <v>12751</v>
      </c>
      <c r="C8296" t="s">
        <v>27050</v>
      </c>
      <c r="D8296" t="s">
        <v>33431</v>
      </c>
      <c r="E8296" t="b">
        <v>0</v>
      </c>
      <c r="F8296" t="s">
        <v>11610</v>
      </c>
      <c r="L8296">
        <v>0</v>
      </c>
      <c r="M8296">
        <v>0</v>
      </c>
      <c r="N8296">
        <v>0</v>
      </c>
    </row>
    <row r="8297" spans="1:15">
      <c r="A8297" t="s">
        <v>33432</v>
      </c>
      <c r="B8297" t="s">
        <v>20873</v>
      </c>
      <c r="C8297" t="s">
        <v>22363</v>
      </c>
      <c r="D8297" t="s">
        <v>33433</v>
      </c>
      <c r="E8297" t="b">
        <v>0</v>
      </c>
      <c r="F8297" t="s">
        <v>11624</v>
      </c>
      <c r="G8297">
        <v>-4.4445870000000003</v>
      </c>
      <c r="H8297">
        <v>-76.577682999999993</v>
      </c>
      <c r="L8297">
        <v>0</v>
      </c>
      <c r="M8297">
        <v>0</v>
      </c>
      <c r="N8297">
        <v>0</v>
      </c>
      <c r="O8297" t="s">
        <v>11778</v>
      </c>
    </row>
    <row r="8298" spans="1:15">
      <c r="A8298" t="s">
        <v>33434</v>
      </c>
      <c r="B8298" t="s">
        <v>11607</v>
      </c>
      <c r="C8298" t="s">
        <v>14880</v>
      </c>
      <c r="D8298" t="s">
        <v>33435</v>
      </c>
      <c r="E8298" t="b">
        <v>0</v>
      </c>
      <c r="F8298" t="s">
        <v>11624</v>
      </c>
      <c r="G8298">
        <v>32.273000000000003</v>
      </c>
      <c r="H8298">
        <v>44.244999999999997</v>
      </c>
      <c r="I8298" t="s">
        <v>33436</v>
      </c>
      <c r="L8298">
        <v>0</v>
      </c>
      <c r="M8298">
        <v>0</v>
      </c>
      <c r="N8298">
        <v>0</v>
      </c>
      <c r="O8298" t="s">
        <v>12765</v>
      </c>
    </row>
    <row r="8299" spans="1:15">
      <c r="A8299" t="s">
        <v>33437</v>
      </c>
      <c r="B8299" t="s">
        <v>11844</v>
      </c>
      <c r="C8299" t="s">
        <v>1264</v>
      </c>
      <c r="D8299" t="s">
        <v>33438</v>
      </c>
      <c r="E8299" t="b">
        <v>0</v>
      </c>
      <c r="F8299" t="s">
        <v>11610</v>
      </c>
      <c r="L8299">
        <v>0</v>
      </c>
      <c r="M8299">
        <v>0</v>
      </c>
      <c r="N8299">
        <v>0</v>
      </c>
    </row>
    <row r="8300" spans="1:15">
      <c r="A8300" t="s">
        <v>33439</v>
      </c>
      <c r="B8300" t="s">
        <v>6742</v>
      </c>
      <c r="C8300" t="s">
        <v>19704</v>
      </c>
      <c r="D8300" t="s">
        <v>33440</v>
      </c>
      <c r="E8300" t="b">
        <v>0</v>
      </c>
      <c r="F8300" t="s">
        <v>11610</v>
      </c>
      <c r="L8300">
        <v>0</v>
      </c>
      <c r="M8300">
        <v>0</v>
      </c>
      <c r="N8300">
        <v>0</v>
      </c>
    </row>
    <row r="8301" spans="1:15">
      <c r="A8301" t="s">
        <v>33441</v>
      </c>
      <c r="B8301" t="s">
        <v>11637</v>
      </c>
      <c r="C8301" t="s">
        <v>19820</v>
      </c>
      <c r="D8301" t="s">
        <v>33442</v>
      </c>
      <c r="E8301" t="b">
        <v>0</v>
      </c>
      <c r="F8301" t="s">
        <v>11610</v>
      </c>
      <c r="L8301">
        <v>0</v>
      </c>
      <c r="M8301">
        <v>0</v>
      </c>
      <c r="N8301">
        <v>0</v>
      </c>
    </row>
    <row r="8302" spans="1:15">
      <c r="A8302" t="s">
        <v>33443</v>
      </c>
      <c r="B8302" t="s">
        <v>11981</v>
      </c>
      <c r="C8302" t="s">
        <v>11982</v>
      </c>
      <c r="D8302" t="s">
        <v>33444</v>
      </c>
      <c r="E8302" t="b">
        <v>0</v>
      </c>
      <c r="F8302" t="s">
        <v>11624</v>
      </c>
      <c r="G8302">
        <v>28.933333000000001</v>
      </c>
      <c r="H8302">
        <v>82.9</v>
      </c>
      <c r="I8302" t="s">
        <v>33445</v>
      </c>
      <c r="L8302">
        <v>0</v>
      </c>
      <c r="M8302">
        <v>0</v>
      </c>
      <c r="N8302">
        <v>0</v>
      </c>
      <c r="O8302" t="s">
        <v>15007</v>
      </c>
    </row>
    <row r="8303" spans="1:15">
      <c r="A8303" t="s">
        <v>33446</v>
      </c>
      <c r="B8303" t="s">
        <v>11637</v>
      </c>
      <c r="C8303" t="s">
        <v>14839</v>
      </c>
      <c r="D8303" t="s">
        <v>33447</v>
      </c>
      <c r="E8303" t="b">
        <v>0</v>
      </c>
      <c r="F8303" t="s">
        <v>11610</v>
      </c>
      <c r="L8303">
        <v>0</v>
      </c>
      <c r="M8303">
        <v>0</v>
      </c>
      <c r="N8303">
        <v>0</v>
      </c>
    </row>
    <row r="8304" spans="1:15">
      <c r="A8304" t="s">
        <v>33448</v>
      </c>
      <c r="B8304" t="s">
        <v>11844</v>
      </c>
      <c r="C8304" t="s">
        <v>19822</v>
      </c>
      <c r="D8304" t="s">
        <v>33449</v>
      </c>
      <c r="E8304" t="b">
        <v>0</v>
      </c>
      <c r="F8304" t="s">
        <v>11610</v>
      </c>
      <c r="L8304">
        <v>0</v>
      </c>
      <c r="M8304">
        <v>0</v>
      </c>
      <c r="N8304">
        <v>0</v>
      </c>
    </row>
    <row r="8305" spans="1:15">
      <c r="A8305" t="s">
        <v>33450</v>
      </c>
      <c r="B8305" t="s">
        <v>367</v>
      </c>
      <c r="C8305" t="s">
        <v>14352</v>
      </c>
      <c r="D8305" t="s">
        <v>33451</v>
      </c>
      <c r="E8305" t="b">
        <v>0</v>
      </c>
      <c r="F8305" t="s">
        <v>11610</v>
      </c>
      <c r="L8305">
        <v>0</v>
      </c>
      <c r="M8305">
        <v>0</v>
      </c>
      <c r="N8305">
        <v>0</v>
      </c>
    </row>
    <row r="8306" spans="1:15">
      <c r="A8306" t="s">
        <v>33452</v>
      </c>
      <c r="B8306" t="s">
        <v>11637</v>
      </c>
      <c r="C8306" t="s">
        <v>1129</v>
      </c>
      <c r="D8306" t="s">
        <v>33453</v>
      </c>
      <c r="E8306" t="b">
        <v>0</v>
      </c>
      <c r="F8306" t="s">
        <v>11610</v>
      </c>
      <c r="L8306">
        <v>0</v>
      </c>
      <c r="M8306">
        <v>0</v>
      </c>
      <c r="N8306">
        <v>0</v>
      </c>
    </row>
    <row r="8307" spans="1:15">
      <c r="A8307" t="s">
        <v>33454</v>
      </c>
      <c r="B8307" t="s">
        <v>5126</v>
      </c>
      <c r="C8307" t="s">
        <v>31235</v>
      </c>
      <c r="D8307" t="s">
        <v>33455</v>
      </c>
      <c r="E8307" t="b">
        <v>0</v>
      </c>
      <c r="F8307" t="s">
        <v>11624</v>
      </c>
      <c r="G8307">
        <v>18.5548</v>
      </c>
      <c r="H8307">
        <v>109.854</v>
      </c>
      <c r="I8307" t="s">
        <v>33456</v>
      </c>
      <c r="L8307">
        <v>0</v>
      </c>
      <c r="M8307">
        <v>0</v>
      </c>
      <c r="N8307">
        <v>0</v>
      </c>
      <c r="O8307" t="s">
        <v>11905</v>
      </c>
    </row>
    <row r="8308" spans="1:15">
      <c r="A8308" t="s">
        <v>33457</v>
      </c>
      <c r="B8308" t="s">
        <v>11644</v>
      </c>
      <c r="C8308" t="s">
        <v>21421</v>
      </c>
      <c r="D8308" t="s">
        <v>33458</v>
      </c>
      <c r="E8308" t="b">
        <v>0</v>
      </c>
      <c r="F8308" t="s">
        <v>11610</v>
      </c>
      <c r="G8308">
        <v>26.538056000000001</v>
      </c>
      <c r="H8308">
        <v>99.91</v>
      </c>
      <c r="L8308">
        <v>0</v>
      </c>
      <c r="M8308">
        <v>0</v>
      </c>
      <c r="N8308">
        <v>0</v>
      </c>
    </row>
    <row r="8309" spans="1:15">
      <c r="A8309" t="s">
        <v>33459</v>
      </c>
      <c r="B8309" t="s">
        <v>11644</v>
      </c>
      <c r="C8309" t="s">
        <v>22852</v>
      </c>
      <c r="D8309" t="s">
        <v>33460</v>
      </c>
      <c r="E8309" t="b">
        <v>0</v>
      </c>
      <c r="F8309" t="s">
        <v>11610</v>
      </c>
      <c r="G8309">
        <v>27.042369999999998</v>
      </c>
      <c r="H8309">
        <v>118.307419</v>
      </c>
      <c r="L8309">
        <v>0</v>
      </c>
      <c r="M8309">
        <v>0</v>
      </c>
      <c r="N8309">
        <v>0</v>
      </c>
    </row>
    <row r="8310" spans="1:15">
      <c r="A8310" t="s">
        <v>33461</v>
      </c>
      <c r="B8310" t="s">
        <v>11644</v>
      </c>
      <c r="C8310" t="s">
        <v>22852</v>
      </c>
      <c r="D8310" t="s">
        <v>33462</v>
      </c>
      <c r="E8310" t="b">
        <v>0</v>
      </c>
      <c r="F8310" t="s">
        <v>11610</v>
      </c>
      <c r="L8310">
        <v>0</v>
      </c>
      <c r="M8310">
        <v>0</v>
      </c>
      <c r="N8310">
        <v>0</v>
      </c>
    </row>
    <row r="8311" spans="1:15">
      <c r="A8311" t="s">
        <v>33463</v>
      </c>
      <c r="B8311" t="s">
        <v>11644</v>
      </c>
      <c r="C8311" t="s">
        <v>33464</v>
      </c>
      <c r="D8311" t="s">
        <v>33465</v>
      </c>
      <c r="E8311" t="b">
        <v>0</v>
      </c>
      <c r="F8311" t="s">
        <v>11610</v>
      </c>
      <c r="L8311">
        <v>0</v>
      </c>
      <c r="M8311">
        <v>0</v>
      </c>
      <c r="N8311">
        <v>0</v>
      </c>
    </row>
    <row r="8312" spans="1:15">
      <c r="A8312" t="s">
        <v>33466</v>
      </c>
      <c r="B8312" t="s">
        <v>11644</v>
      </c>
      <c r="C8312" t="s">
        <v>25278</v>
      </c>
      <c r="D8312" t="s">
        <v>33467</v>
      </c>
      <c r="E8312" t="b">
        <v>0</v>
      </c>
      <c r="F8312" t="s">
        <v>11610</v>
      </c>
      <c r="L8312">
        <v>0</v>
      </c>
      <c r="M8312">
        <v>0</v>
      </c>
      <c r="N8312">
        <v>0</v>
      </c>
    </row>
    <row r="8313" spans="1:15">
      <c r="A8313" t="s">
        <v>33468</v>
      </c>
      <c r="B8313" t="s">
        <v>11644</v>
      </c>
      <c r="C8313" t="s">
        <v>24022</v>
      </c>
      <c r="D8313" t="s">
        <v>33469</v>
      </c>
      <c r="E8313" t="b">
        <v>0</v>
      </c>
      <c r="F8313" t="s">
        <v>11610</v>
      </c>
      <c r="L8313">
        <v>0</v>
      </c>
      <c r="M8313">
        <v>0</v>
      </c>
      <c r="N8313">
        <v>0</v>
      </c>
    </row>
    <row r="8314" spans="1:15">
      <c r="A8314" t="s">
        <v>33470</v>
      </c>
      <c r="B8314" t="s">
        <v>11644</v>
      </c>
      <c r="C8314" t="s">
        <v>23045</v>
      </c>
      <c r="D8314" t="s">
        <v>33471</v>
      </c>
      <c r="E8314" t="b">
        <v>0</v>
      </c>
      <c r="F8314" t="s">
        <v>11610</v>
      </c>
      <c r="L8314">
        <v>0</v>
      </c>
      <c r="M8314">
        <v>0</v>
      </c>
      <c r="N8314">
        <v>0</v>
      </c>
    </row>
    <row r="8315" spans="1:15">
      <c r="A8315" t="s">
        <v>33472</v>
      </c>
      <c r="B8315" t="s">
        <v>5058</v>
      </c>
      <c r="C8315" t="s">
        <v>18396</v>
      </c>
      <c r="D8315" t="s">
        <v>33473</v>
      </c>
      <c r="E8315" t="b">
        <v>0</v>
      </c>
      <c r="F8315" t="s">
        <v>11610</v>
      </c>
      <c r="L8315">
        <v>0</v>
      </c>
      <c r="M8315">
        <v>0</v>
      </c>
      <c r="N8315">
        <v>0</v>
      </c>
    </row>
    <row r="8316" spans="1:15">
      <c r="A8316" t="s">
        <v>33227</v>
      </c>
      <c r="B8316" t="s">
        <v>11644</v>
      </c>
      <c r="C8316" t="s">
        <v>23427</v>
      </c>
      <c r="D8316" t="s">
        <v>33474</v>
      </c>
      <c r="E8316" t="b">
        <v>0</v>
      </c>
      <c r="F8316" t="s">
        <v>11622</v>
      </c>
      <c r="G8316">
        <v>31.60295</v>
      </c>
      <c r="H8316">
        <v>102.22875000000001</v>
      </c>
      <c r="I8316" t="s">
        <v>33475</v>
      </c>
      <c r="L8316">
        <v>0</v>
      </c>
      <c r="M8316">
        <v>3</v>
      </c>
      <c r="N8316">
        <v>3</v>
      </c>
      <c r="O8316" t="s">
        <v>11905</v>
      </c>
    </row>
    <row r="8317" spans="1:15">
      <c r="A8317" t="s">
        <v>33476</v>
      </c>
      <c r="B8317" t="s">
        <v>11627</v>
      </c>
      <c r="C8317" t="s">
        <v>11627</v>
      </c>
      <c r="D8317" t="s">
        <v>33477</v>
      </c>
      <c r="E8317" t="b">
        <v>1</v>
      </c>
      <c r="F8317" t="s">
        <v>11624</v>
      </c>
      <c r="L8317">
        <v>0</v>
      </c>
      <c r="M8317">
        <v>0</v>
      </c>
      <c r="N8317">
        <v>0</v>
      </c>
    </row>
    <row r="8318" spans="1:15">
      <c r="A8318" t="s">
        <v>33478</v>
      </c>
      <c r="B8318" t="s">
        <v>11644</v>
      </c>
      <c r="C8318" t="s">
        <v>33479</v>
      </c>
      <c r="D8318" t="s">
        <v>33480</v>
      </c>
      <c r="E8318" t="b">
        <v>0</v>
      </c>
      <c r="F8318" t="s">
        <v>11610</v>
      </c>
      <c r="L8318">
        <v>0</v>
      </c>
      <c r="M8318">
        <v>0</v>
      </c>
      <c r="N8318">
        <v>0</v>
      </c>
    </row>
    <row r="8319" spans="1:15">
      <c r="A8319" t="s">
        <v>33481</v>
      </c>
      <c r="B8319" t="s">
        <v>6742</v>
      </c>
      <c r="C8319" t="s">
        <v>31402</v>
      </c>
      <c r="D8319" t="s">
        <v>33482</v>
      </c>
      <c r="E8319" t="b">
        <v>0</v>
      </c>
      <c r="F8319" t="s">
        <v>11624</v>
      </c>
      <c r="G8319">
        <v>9.2650799999999993</v>
      </c>
      <c r="H8319">
        <v>11.5099</v>
      </c>
      <c r="I8319" t="s">
        <v>33483</v>
      </c>
      <c r="L8319">
        <v>0</v>
      </c>
      <c r="M8319">
        <v>0</v>
      </c>
      <c r="N8319">
        <v>0</v>
      </c>
      <c r="O8319" t="s">
        <v>11693</v>
      </c>
    </row>
    <row r="8320" spans="1:15">
      <c r="A8320" t="s">
        <v>33484</v>
      </c>
      <c r="B8320" t="s">
        <v>6742</v>
      </c>
      <c r="C8320" t="s">
        <v>23010</v>
      </c>
      <c r="D8320" t="s">
        <v>33485</v>
      </c>
      <c r="E8320" t="b">
        <v>0</v>
      </c>
      <c r="F8320" t="s">
        <v>11610</v>
      </c>
      <c r="L8320">
        <v>0</v>
      </c>
      <c r="M8320">
        <v>0</v>
      </c>
      <c r="N8320">
        <v>0</v>
      </c>
    </row>
    <row r="8321" spans="1:15">
      <c r="A8321" t="s">
        <v>28351</v>
      </c>
      <c r="B8321" t="s">
        <v>6742</v>
      </c>
      <c r="C8321" t="s">
        <v>31402</v>
      </c>
      <c r="D8321" t="s">
        <v>33486</v>
      </c>
      <c r="E8321" t="b">
        <v>0</v>
      </c>
      <c r="F8321" t="s">
        <v>11624</v>
      </c>
      <c r="G8321">
        <v>7.49214</v>
      </c>
      <c r="H8321">
        <v>11.3086</v>
      </c>
      <c r="I8321" t="s">
        <v>33487</v>
      </c>
      <c r="L8321">
        <v>0</v>
      </c>
      <c r="M8321">
        <v>0</v>
      </c>
      <c r="N8321">
        <v>3</v>
      </c>
      <c r="O8321" t="s">
        <v>11693</v>
      </c>
    </row>
    <row r="8322" spans="1:15">
      <c r="A8322" t="s">
        <v>33488</v>
      </c>
      <c r="B8322" t="s">
        <v>11607</v>
      </c>
      <c r="C8322" t="s">
        <v>20917</v>
      </c>
      <c r="D8322" t="s">
        <v>33489</v>
      </c>
      <c r="E8322" t="b">
        <v>0</v>
      </c>
      <c r="F8322" t="s">
        <v>11610</v>
      </c>
      <c r="L8322">
        <v>0</v>
      </c>
      <c r="M8322">
        <v>0</v>
      </c>
      <c r="N8322">
        <v>0</v>
      </c>
    </row>
    <row r="8323" spans="1:15">
      <c r="A8323" t="s">
        <v>33490</v>
      </c>
      <c r="B8323" t="s">
        <v>12460</v>
      </c>
      <c r="C8323" t="s">
        <v>26509</v>
      </c>
      <c r="D8323" t="s">
        <v>33491</v>
      </c>
      <c r="E8323" t="b">
        <v>0</v>
      </c>
      <c r="F8323" t="s">
        <v>11624</v>
      </c>
      <c r="G8323">
        <v>36.807899999999997</v>
      </c>
      <c r="H8323">
        <v>-107.00700000000001</v>
      </c>
      <c r="I8323" t="s">
        <v>33492</v>
      </c>
      <c r="L8323">
        <v>0</v>
      </c>
      <c r="M8323">
        <v>0</v>
      </c>
      <c r="N8323">
        <v>0</v>
      </c>
      <c r="O8323" t="s">
        <v>11944</v>
      </c>
    </row>
    <row r="8324" spans="1:15">
      <c r="A8324" t="s">
        <v>33493</v>
      </c>
      <c r="D8324" t="s">
        <v>33494</v>
      </c>
      <c r="E8324" t="b">
        <v>0</v>
      </c>
      <c r="F8324" t="s">
        <v>11622</v>
      </c>
      <c r="L8324">
        <v>0</v>
      </c>
      <c r="M8324">
        <v>2</v>
      </c>
      <c r="N8324">
        <v>0</v>
      </c>
    </row>
    <row r="8325" spans="1:15">
      <c r="A8325" t="s">
        <v>33495</v>
      </c>
      <c r="B8325" t="s">
        <v>11644</v>
      </c>
      <c r="C8325" t="s">
        <v>22270</v>
      </c>
      <c r="D8325" t="s">
        <v>33496</v>
      </c>
      <c r="E8325" t="b">
        <v>0</v>
      </c>
      <c r="F8325" t="s">
        <v>11610</v>
      </c>
      <c r="L8325">
        <v>0</v>
      </c>
      <c r="M8325">
        <v>0</v>
      </c>
      <c r="N8325">
        <v>0</v>
      </c>
    </row>
    <row r="8326" spans="1:15">
      <c r="A8326" t="s">
        <v>1874</v>
      </c>
      <c r="B8326" t="s">
        <v>11757</v>
      </c>
      <c r="C8326" t="s">
        <v>1148</v>
      </c>
      <c r="D8326" t="s">
        <v>1873</v>
      </c>
      <c r="E8326" t="b">
        <v>0</v>
      </c>
      <c r="F8326" t="s">
        <v>11610</v>
      </c>
      <c r="L8326">
        <v>0</v>
      </c>
      <c r="M8326">
        <v>0</v>
      </c>
      <c r="N8326">
        <v>0</v>
      </c>
    </row>
    <row r="8327" spans="1:15">
      <c r="A8327" t="s">
        <v>33497</v>
      </c>
      <c r="B8327" t="s">
        <v>331</v>
      </c>
      <c r="C8327" t="s">
        <v>33498</v>
      </c>
      <c r="D8327" t="s">
        <v>33499</v>
      </c>
      <c r="E8327" t="b">
        <v>0</v>
      </c>
      <c r="F8327" t="s">
        <v>11610</v>
      </c>
      <c r="L8327">
        <v>0</v>
      </c>
      <c r="M8327">
        <v>0</v>
      </c>
      <c r="N8327">
        <v>0</v>
      </c>
    </row>
    <row r="8328" spans="1:15">
      <c r="A8328" t="s">
        <v>33500</v>
      </c>
      <c r="B8328" t="s">
        <v>11607</v>
      </c>
      <c r="C8328" t="s">
        <v>16028</v>
      </c>
      <c r="D8328" t="s">
        <v>33501</v>
      </c>
      <c r="E8328" t="b">
        <v>0</v>
      </c>
      <c r="F8328" t="s">
        <v>11624</v>
      </c>
      <c r="G8328">
        <v>1.8435299999999999</v>
      </c>
      <c r="H8328">
        <v>44.129399999999997</v>
      </c>
      <c r="I8328" t="s">
        <v>33502</v>
      </c>
      <c r="L8328">
        <v>0</v>
      </c>
      <c r="M8328">
        <v>0</v>
      </c>
      <c r="N8328">
        <v>0</v>
      </c>
      <c r="O8328" t="s">
        <v>19538</v>
      </c>
    </row>
    <row r="8329" spans="1:15">
      <c r="A8329" t="s">
        <v>33503</v>
      </c>
      <c r="B8329" t="s">
        <v>6742</v>
      </c>
      <c r="C8329" t="s">
        <v>27821</v>
      </c>
      <c r="D8329" t="s">
        <v>33504</v>
      </c>
      <c r="E8329" t="b">
        <v>0</v>
      </c>
      <c r="F8329" t="s">
        <v>11610</v>
      </c>
      <c r="L8329">
        <v>0</v>
      </c>
      <c r="M8329">
        <v>0</v>
      </c>
      <c r="N8329">
        <v>0</v>
      </c>
    </row>
    <row r="8330" spans="1:15">
      <c r="A8330" t="s">
        <v>33505</v>
      </c>
      <c r="B8330" t="s">
        <v>11637</v>
      </c>
      <c r="C8330" t="s">
        <v>12168</v>
      </c>
      <c r="D8330" t="s">
        <v>33506</v>
      </c>
      <c r="E8330" t="b">
        <v>0</v>
      </c>
      <c r="F8330" t="s">
        <v>11610</v>
      </c>
      <c r="L8330">
        <v>0</v>
      </c>
      <c r="M8330">
        <v>0</v>
      </c>
      <c r="N8330">
        <v>0</v>
      </c>
    </row>
    <row r="8331" spans="1:15">
      <c r="A8331" t="s">
        <v>33507</v>
      </c>
      <c r="B8331" t="s">
        <v>11607</v>
      </c>
      <c r="C8331" t="s">
        <v>33508</v>
      </c>
      <c r="D8331" t="s">
        <v>33509</v>
      </c>
      <c r="E8331" t="b">
        <v>0</v>
      </c>
      <c r="F8331" t="s">
        <v>11624</v>
      </c>
      <c r="G8331">
        <v>11.799200000000001</v>
      </c>
      <c r="H8331">
        <v>14.5794</v>
      </c>
      <c r="I8331" t="s">
        <v>33510</v>
      </c>
      <c r="L8331">
        <v>0</v>
      </c>
      <c r="M8331">
        <v>0</v>
      </c>
      <c r="N8331">
        <v>0</v>
      </c>
      <c r="O8331" t="s">
        <v>11802</v>
      </c>
    </row>
    <row r="8332" spans="1:15">
      <c r="A8332" t="s">
        <v>33511</v>
      </c>
      <c r="B8332" t="s">
        <v>11615</v>
      </c>
      <c r="C8332" t="s">
        <v>25442</v>
      </c>
      <c r="D8332" t="s">
        <v>33512</v>
      </c>
      <c r="E8332" t="b">
        <v>0</v>
      </c>
      <c r="F8332" t="s">
        <v>11624</v>
      </c>
      <c r="G8332">
        <v>-5.5661100000000001</v>
      </c>
      <c r="H8332">
        <v>145.70599999999999</v>
      </c>
      <c r="I8332" t="s">
        <v>33513</v>
      </c>
      <c r="L8332">
        <v>0</v>
      </c>
      <c r="M8332">
        <v>0</v>
      </c>
      <c r="N8332">
        <v>0</v>
      </c>
      <c r="O8332" t="s">
        <v>11660</v>
      </c>
    </row>
    <row r="8333" spans="1:15">
      <c r="A8333" t="s">
        <v>26886</v>
      </c>
      <c r="B8333" t="s">
        <v>6742</v>
      </c>
      <c r="C8333" t="s">
        <v>13193</v>
      </c>
      <c r="D8333" t="s">
        <v>33514</v>
      </c>
      <c r="E8333" t="b">
        <v>0</v>
      </c>
      <c r="F8333" t="s">
        <v>11622</v>
      </c>
      <c r="L8333">
        <v>2</v>
      </c>
      <c r="M8333">
        <v>5</v>
      </c>
      <c r="N8333">
        <v>0</v>
      </c>
    </row>
    <row r="8334" spans="1:15">
      <c r="A8334" t="s">
        <v>32106</v>
      </c>
      <c r="B8334" t="s">
        <v>6742</v>
      </c>
      <c r="C8334" t="s">
        <v>26886</v>
      </c>
      <c r="D8334" t="s">
        <v>33515</v>
      </c>
      <c r="E8334" t="b">
        <v>0</v>
      </c>
      <c r="F8334" t="s">
        <v>11622</v>
      </c>
      <c r="L8334">
        <v>0</v>
      </c>
      <c r="M8334">
        <v>3</v>
      </c>
      <c r="N8334">
        <v>0</v>
      </c>
    </row>
    <row r="8335" spans="1:15">
      <c r="A8335" t="s">
        <v>33516</v>
      </c>
      <c r="B8335" t="s">
        <v>11607</v>
      </c>
      <c r="C8335" t="s">
        <v>17620</v>
      </c>
      <c r="D8335" t="s">
        <v>33517</v>
      </c>
      <c r="E8335" t="b">
        <v>0</v>
      </c>
      <c r="F8335" t="s">
        <v>11610</v>
      </c>
      <c r="L8335">
        <v>0</v>
      </c>
      <c r="M8335">
        <v>0</v>
      </c>
      <c r="N8335">
        <v>0</v>
      </c>
    </row>
    <row r="8336" spans="1:15">
      <c r="A8336" t="s">
        <v>33518</v>
      </c>
      <c r="B8336" t="s">
        <v>11644</v>
      </c>
      <c r="C8336" t="s">
        <v>6112</v>
      </c>
      <c r="D8336" t="s">
        <v>33519</v>
      </c>
      <c r="E8336" t="b">
        <v>0</v>
      </c>
      <c r="F8336" t="s">
        <v>11610</v>
      </c>
      <c r="L8336">
        <v>0</v>
      </c>
      <c r="M8336">
        <v>0</v>
      </c>
      <c r="N8336">
        <v>2</v>
      </c>
    </row>
    <row r="8337" spans="1:15">
      <c r="A8337" t="s">
        <v>33520</v>
      </c>
      <c r="B8337" t="s">
        <v>11615</v>
      </c>
      <c r="C8337" t="s">
        <v>21663</v>
      </c>
      <c r="D8337" t="s">
        <v>33521</v>
      </c>
      <c r="E8337" t="b">
        <v>0</v>
      </c>
      <c r="F8337" t="s">
        <v>11622</v>
      </c>
      <c r="L8337">
        <v>1</v>
      </c>
      <c r="M8337">
        <v>3</v>
      </c>
      <c r="N8337">
        <v>6</v>
      </c>
    </row>
    <row r="8338" spans="1:15">
      <c r="A8338" t="s">
        <v>25019</v>
      </c>
      <c r="B8338" t="s">
        <v>11607</v>
      </c>
      <c r="C8338" t="s">
        <v>27674</v>
      </c>
      <c r="D8338" t="s">
        <v>33522</v>
      </c>
      <c r="E8338" t="b">
        <v>0</v>
      </c>
      <c r="F8338" t="s">
        <v>11624</v>
      </c>
      <c r="G8338">
        <v>10.250999999999999</v>
      </c>
      <c r="H8338">
        <v>13.5258</v>
      </c>
      <c r="I8338" t="s">
        <v>33523</v>
      </c>
      <c r="L8338">
        <v>0</v>
      </c>
      <c r="M8338">
        <v>0</v>
      </c>
      <c r="N8338">
        <v>5</v>
      </c>
      <c r="O8338" t="s">
        <v>11802</v>
      </c>
    </row>
    <row r="8339" spans="1:15">
      <c r="A8339" t="s">
        <v>33524</v>
      </c>
      <c r="B8339" t="s">
        <v>11607</v>
      </c>
      <c r="C8339" t="s">
        <v>30271</v>
      </c>
      <c r="D8339" t="s">
        <v>33525</v>
      </c>
      <c r="E8339" t="b">
        <v>0</v>
      </c>
      <c r="F8339" t="s">
        <v>11624</v>
      </c>
      <c r="G8339">
        <v>10.729900000000001</v>
      </c>
      <c r="H8339">
        <v>9.8117999999999999</v>
      </c>
      <c r="I8339" t="s">
        <v>33526</v>
      </c>
      <c r="L8339">
        <v>0</v>
      </c>
      <c r="M8339">
        <v>0</v>
      </c>
      <c r="N8339">
        <v>1</v>
      </c>
      <c r="O8339" t="s">
        <v>11693</v>
      </c>
    </row>
    <row r="8340" spans="1:15">
      <c r="A8340" t="s">
        <v>33527</v>
      </c>
      <c r="B8340" t="s">
        <v>11607</v>
      </c>
      <c r="C8340" t="s">
        <v>25019</v>
      </c>
      <c r="D8340" t="s">
        <v>33528</v>
      </c>
      <c r="E8340" t="b">
        <v>0</v>
      </c>
      <c r="F8340" t="s">
        <v>11610</v>
      </c>
      <c r="L8340">
        <v>0</v>
      </c>
      <c r="M8340">
        <v>0</v>
      </c>
      <c r="N8340">
        <v>0</v>
      </c>
    </row>
    <row r="8341" spans="1:15">
      <c r="A8341" t="s">
        <v>33529</v>
      </c>
      <c r="B8341" t="s">
        <v>12218</v>
      </c>
      <c r="C8341" t="s">
        <v>12219</v>
      </c>
      <c r="D8341" t="s">
        <v>33530</v>
      </c>
      <c r="E8341" t="b">
        <v>0</v>
      </c>
      <c r="F8341" t="s">
        <v>11610</v>
      </c>
      <c r="L8341">
        <v>0</v>
      </c>
      <c r="M8341">
        <v>0</v>
      </c>
      <c r="N8341">
        <v>0</v>
      </c>
    </row>
    <row r="8342" spans="1:15">
      <c r="A8342" t="s">
        <v>33531</v>
      </c>
      <c r="B8342" t="s">
        <v>11607</v>
      </c>
      <c r="C8342" t="s">
        <v>20042</v>
      </c>
      <c r="D8342" t="s">
        <v>33532</v>
      </c>
      <c r="E8342" t="b">
        <v>0</v>
      </c>
      <c r="F8342" t="s">
        <v>11622</v>
      </c>
      <c r="L8342">
        <v>0</v>
      </c>
      <c r="M8342">
        <v>2</v>
      </c>
      <c r="N8342">
        <v>6</v>
      </c>
    </row>
    <row r="8343" spans="1:15">
      <c r="A8343" t="s">
        <v>33533</v>
      </c>
      <c r="B8343" t="s">
        <v>11607</v>
      </c>
      <c r="C8343" t="s">
        <v>33531</v>
      </c>
      <c r="D8343" t="s">
        <v>33534</v>
      </c>
      <c r="E8343" t="b">
        <v>0</v>
      </c>
      <c r="F8343" t="s">
        <v>11624</v>
      </c>
      <c r="G8343">
        <v>11.355499999999999</v>
      </c>
      <c r="H8343">
        <v>14.9611</v>
      </c>
      <c r="I8343" t="s">
        <v>33535</v>
      </c>
      <c r="L8343">
        <v>0</v>
      </c>
      <c r="M8343">
        <v>0</v>
      </c>
      <c r="N8343">
        <v>3</v>
      </c>
      <c r="O8343" t="s">
        <v>29226</v>
      </c>
    </row>
    <row r="8344" spans="1:15">
      <c r="A8344" t="s">
        <v>33536</v>
      </c>
      <c r="B8344" t="s">
        <v>11644</v>
      </c>
      <c r="C8344" t="s">
        <v>33518</v>
      </c>
      <c r="D8344" t="s">
        <v>33537</v>
      </c>
      <c r="E8344" t="b">
        <v>0</v>
      </c>
      <c r="F8344" t="s">
        <v>11610</v>
      </c>
      <c r="G8344">
        <v>36.690776999999997</v>
      </c>
      <c r="H8344">
        <v>116.997299</v>
      </c>
      <c r="L8344">
        <v>0</v>
      </c>
      <c r="M8344">
        <v>0</v>
      </c>
      <c r="N8344">
        <v>0</v>
      </c>
    </row>
    <row r="8345" spans="1:15">
      <c r="A8345" t="s">
        <v>33538</v>
      </c>
      <c r="B8345" t="s">
        <v>11644</v>
      </c>
      <c r="C8345" t="s">
        <v>33539</v>
      </c>
      <c r="D8345" t="s">
        <v>33540</v>
      </c>
      <c r="E8345" t="b">
        <v>0</v>
      </c>
      <c r="F8345" t="s">
        <v>11610</v>
      </c>
      <c r="L8345">
        <v>0</v>
      </c>
      <c r="M8345">
        <v>0</v>
      </c>
      <c r="N8345">
        <v>0</v>
      </c>
    </row>
    <row r="8346" spans="1:15">
      <c r="A8346" t="s">
        <v>33541</v>
      </c>
      <c r="B8346" t="s">
        <v>6742</v>
      </c>
      <c r="C8346" t="s">
        <v>19032</v>
      </c>
      <c r="D8346" t="s">
        <v>33542</v>
      </c>
      <c r="E8346" t="b">
        <v>0</v>
      </c>
      <c r="F8346" t="s">
        <v>11610</v>
      </c>
      <c r="L8346">
        <v>0</v>
      </c>
      <c r="M8346">
        <v>0</v>
      </c>
      <c r="N8346">
        <v>0</v>
      </c>
    </row>
    <row r="8347" spans="1:15">
      <c r="A8347" t="s">
        <v>33543</v>
      </c>
      <c r="B8347" t="s">
        <v>11607</v>
      </c>
      <c r="C8347" t="s">
        <v>31025</v>
      </c>
      <c r="D8347" t="s">
        <v>33544</v>
      </c>
      <c r="E8347" t="b">
        <v>0</v>
      </c>
      <c r="F8347" t="s">
        <v>11610</v>
      </c>
      <c r="L8347">
        <v>0</v>
      </c>
      <c r="M8347">
        <v>0</v>
      </c>
      <c r="N8347">
        <v>0</v>
      </c>
    </row>
    <row r="8348" spans="1:15">
      <c r="A8348" t="s">
        <v>33545</v>
      </c>
      <c r="B8348" t="s">
        <v>11644</v>
      </c>
      <c r="C8348" t="s">
        <v>19081</v>
      </c>
      <c r="D8348" t="s">
        <v>33546</v>
      </c>
      <c r="E8348" t="b">
        <v>0</v>
      </c>
      <c r="F8348" t="s">
        <v>11622</v>
      </c>
      <c r="L8348">
        <v>4</v>
      </c>
      <c r="M8348">
        <v>8</v>
      </c>
      <c r="N8348">
        <v>19</v>
      </c>
    </row>
    <row r="8349" spans="1:15">
      <c r="A8349" t="s">
        <v>33547</v>
      </c>
      <c r="B8349" t="s">
        <v>11644</v>
      </c>
      <c r="C8349" t="s">
        <v>33545</v>
      </c>
      <c r="D8349" t="s">
        <v>33548</v>
      </c>
      <c r="E8349" t="b">
        <v>0</v>
      </c>
      <c r="F8349" t="s">
        <v>11622</v>
      </c>
      <c r="L8349">
        <v>0</v>
      </c>
      <c r="M8349">
        <v>2</v>
      </c>
      <c r="N8349">
        <v>11</v>
      </c>
    </row>
    <row r="8350" spans="1:15">
      <c r="A8350" t="s">
        <v>33549</v>
      </c>
      <c r="B8350" t="s">
        <v>11644</v>
      </c>
      <c r="C8350" t="s">
        <v>31650</v>
      </c>
      <c r="D8350" t="s">
        <v>33550</v>
      </c>
      <c r="E8350" t="b">
        <v>0</v>
      </c>
      <c r="F8350" t="s">
        <v>11610</v>
      </c>
      <c r="L8350">
        <v>0</v>
      </c>
      <c r="M8350">
        <v>0</v>
      </c>
      <c r="N8350">
        <v>0</v>
      </c>
    </row>
    <row r="8351" spans="1:15">
      <c r="A8351" t="s">
        <v>30952</v>
      </c>
      <c r="B8351" t="s">
        <v>11644</v>
      </c>
      <c r="C8351" t="s">
        <v>6112</v>
      </c>
      <c r="D8351" t="s">
        <v>33551</v>
      </c>
      <c r="E8351" t="b">
        <v>0</v>
      </c>
      <c r="F8351" t="s">
        <v>11610</v>
      </c>
      <c r="L8351">
        <v>0</v>
      </c>
      <c r="M8351">
        <v>0</v>
      </c>
      <c r="N8351">
        <v>2</v>
      </c>
    </row>
    <row r="8352" spans="1:15">
      <c r="A8352" t="s">
        <v>33552</v>
      </c>
      <c r="B8352" t="s">
        <v>12686</v>
      </c>
      <c r="C8352" t="s">
        <v>2123</v>
      </c>
      <c r="D8352" t="s">
        <v>33553</v>
      </c>
      <c r="E8352" t="b">
        <v>0</v>
      </c>
      <c r="F8352" t="s">
        <v>11610</v>
      </c>
      <c r="L8352">
        <v>0</v>
      </c>
      <c r="M8352">
        <v>0</v>
      </c>
      <c r="N8352">
        <v>0</v>
      </c>
    </row>
    <row r="8353" spans="1:15">
      <c r="A8353" t="s">
        <v>33554</v>
      </c>
      <c r="B8353" t="s">
        <v>11607</v>
      </c>
      <c r="C8353" t="s">
        <v>18150</v>
      </c>
      <c r="D8353" t="s">
        <v>33555</v>
      </c>
      <c r="E8353" t="b">
        <v>0</v>
      </c>
      <c r="F8353" t="s">
        <v>11610</v>
      </c>
      <c r="L8353">
        <v>0</v>
      </c>
      <c r="M8353">
        <v>0</v>
      </c>
      <c r="N8353">
        <v>0</v>
      </c>
    </row>
    <row r="8354" spans="1:15">
      <c r="A8354" t="s">
        <v>33556</v>
      </c>
      <c r="B8354" t="s">
        <v>11644</v>
      </c>
      <c r="C8354" t="s">
        <v>22961</v>
      </c>
      <c r="D8354" t="s">
        <v>33557</v>
      </c>
      <c r="E8354" t="b">
        <v>0</v>
      </c>
      <c r="F8354" t="s">
        <v>11610</v>
      </c>
      <c r="L8354">
        <v>0</v>
      </c>
      <c r="M8354">
        <v>0</v>
      </c>
      <c r="N8354">
        <v>0</v>
      </c>
    </row>
    <row r="8355" spans="1:15">
      <c r="A8355" t="s">
        <v>33558</v>
      </c>
      <c r="B8355" t="s">
        <v>11683</v>
      </c>
      <c r="C8355" t="s">
        <v>11683</v>
      </c>
      <c r="D8355" t="s">
        <v>33559</v>
      </c>
      <c r="E8355" t="b">
        <v>0</v>
      </c>
      <c r="F8355" t="s">
        <v>11610</v>
      </c>
      <c r="L8355">
        <v>0</v>
      </c>
      <c r="M8355">
        <v>0</v>
      </c>
      <c r="N8355">
        <v>0</v>
      </c>
    </row>
    <row r="8356" spans="1:15">
      <c r="A8356" t="s">
        <v>20691</v>
      </c>
      <c r="B8356" t="s">
        <v>11644</v>
      </c>
      <c r="C8356" t="s">
        <v>18855</v>
      </c>
      <c r="D8356" t="s">
        <v>33560</v>
      </c>
      <c r="E8356" t="b">
        <v>0</v>
      </c>
      <c r="F8356" t="s">
        <v>11622</v>
      </c>
      <c r="L8356">
        <v>0</v>
      </c>
      <c r="M8356">
        <v>2</v>
      </c>
      <c r="N8356">
        <v>0</v>
      </c>
    </row>
    <row r="8357" spans="1:15">
      <c r="A8357" t="s">
        <v>31628</v>
      </c>
      <c r="B8357" t="s">
        <v>11644</v>
      </c>
      <c r="C8357" t="s">
        <v>33561</v>
      </c>
      <c r="D8357" t="s">
        <v>33562</v>
      </c>
      <c r="E8357" t="b">
        <v>0</v>
      </c>
      <c r="F8357" t="s">
        <v>11624</v>
      </c>
      <c r="G8357">
        <v>38.828400000000002</v>
      </c>
      <c r="H8357">
        <v>111.27800000000001</v>
      </c>
      <c r="I8357" t="s">
        <v>33563</v>
      </c>
      <c r="L8357">
        <v>0</v>
      </c>
      <c r="M8357">
        <v>0</v>
      </c>
      <c r="N8357">
        <v>3</v>
      </c>
      <c r="O8357" t="s">
        <v>11905</v>
      </c>
    </row>
    <row r="8358" spans="1:15">
      <c r="A8358" t="s">
        <v>31406</v>
      </c>
      <c r="B8358" t="s">
        <v>5058</v>
      </c>
      <c r="C8358" t="s">
        <v>33564</v>
      </c>
      <c r="D8358" t="s">
        <v>33565</v>
      </c>
      <c r="E8358" t="b">
        <v>0</v>
      </c>
      <c r="F8358" t="s">
        <v>11622</v>
      </c>
      <c r="L8358">
        <v>1</v>
      </c>
      <c r="M8358">
        <v>3</v>
      </c>
      <c r="N8358">
        <v>2</v>
      </c>
    </row>
    <row r="8359" spans="1:15">
      <c r="A8359" t="s">
        <v>33566</v>
      </c>
      <c r="B8359" t="s">
        <v>5058</v>
      </c>
      <c r="C8359" t="s">
        <v>31406</v>
      </c>
      <c r="D8359" t="s">
        <v>33567</v>
      </c>
      <c r="E8359" t="b">
        <v>0</v>
      </c>
      <c r="F8359" t="s">
        <v>11624</v>
      </c>
      <c r="G8359">
        <v>23.869199999999999</v>
      </c>
      <c r="H8359">
        <v>110.00700000000001</v>
      </c>
      <c r="I8359" t="s">
        <v>33568</v>
      </c>
      <c r="L8359">
        <v>0</v>
      </c>
      <c r="M8359">
        <v>0</v>
      </c>
      <c r="N8359">
        <v>0</v>
      </c>
      <c r="O8359" t="s">
        <v>11905</v>
      </c>
    </row>
    <row r="8360" spans="1:15">
      <c r="A8360" t="s">
        <v>33569</v>
      </c>
      <c r="B8360" t="s">
        <v>11607</v>
      </c>
      <c r="C8360" t="s">
        <v>20786</v>
      </c>
      <c r="D8360" t="s">
        <v>33570</v>
      </c>
      <c r="E8360" t="b">
        <v>0</v>
      </c>
      <c r="F8360" t="s">
        <v>11610</v>
      </c>
      <c r="L8360">
        <v>0</v>
      </c>
      <c r="M8360">
        <v>0</v>
      </c>
      <c r="N8360">
        <v>0</v>
      </c>
    </row>
    <row r="8361" spans="1:15">
      <c r="A8361" t="s">
        <v>15490</v>
      </c>
      <c r="D8361" t="s">
        <v>33571</v>
      </c>
      <c r="E8361" t="b">
        <v>0</v>
      </c>
      <c r="F8361" t="s">
        <v>11624</v>
      </c>
      <c r="G8361">
        <v>7.2666666666699999</v>
      </c>
      <c r="H8361">
        <v>-68.400000000000006</v>
      </c>
      <c r="L8361">
        <v>0</v>
      </c>
      <c r="M8361">
        <v>0</v>
      </c>
      <c r="N8361">
        <v>3</v>
      </c>
      <c r="O8361" t="s">
        <v>16711</v>
      </c>
    </row>
    <row r="8362" spans="1:15">
      <c r="A8362" t="s">
        <v>33572</v>
      </c>
      <c r="B8362" t="s">
        <v>11607</v>
      </c>
      <c r="C8362" t="s">
        <v>17383</v>
      </c>
      <c r="D8362" t="s">
        <v>33573</v>
      </c>
      <c r="E8362" t="b">
        <v>0</v>
      </c>
      <c r="F8362" t="s">
        <v>11610</v>
      </c>
      <c r="L8362">
        <v>0</v>
      </c>
      <c r="M8362">
        <v>0</v>
      </c>
      <c r="N8362">
        <v>0</v>
      </c>
    </row>
    <row r="8363" spans="1:15">
      <c r="A8363" t="s">
        <v>33574</v>
      </c>
      <c r="B8363" t="s">
        <v>15505</v>
      </c>
      <c r="C8363" t="s">
        <v>18207</v>
      </c>
      <c r="D8363" t="s">
        <v>33575</v>
      </c>
      <c r="E8363" t="b">
        <v>0</v>
      </c>
      <c r="F8363" t="s">
        <v>11610</v>
      </c>
      <c r="L8363">
        <v>0</v>
      </c>
      <c r="M8363">
        <v>0</v>
      </c>
      <c r="N8363">
        <v>0</v>
      </c>
    </row>
    <row r="8364" spans="1:15">
      <c r="A8364" t="s">
        <v>33576</v>
      </c>
      <c r="B8364" t="s">
        <v>15490</v>
      </c>
      <c r="C8364" t="s">
        <v>15490</v>
      </c>
      <c r="D8364" t="s">
        <v>33577</v>
      </c>
      <c r="E8364" t="b">
        <v>0</v>
      </c>
      <c r="F8364" t="s">
        <v>11610</v>
      </c>
      <c r="L8364">
        <v>0</v>
      </c>
      <c r="M8364">
        <v>0</v>
      </c>
      <c r="N8364">
        <v>0</v>
      </c>
    </row>
    <row r="8365" spans="1:15">
      <c r="A8365" t="s">
        <v>33578</v>
      </c>
      <c r="B8365" t="s">
        <v>11644</v>
      </c>
      <c r="C8365" t="s">
        <v>33579</v>
      </c>
      <c r="D8365" t="s">
        <v>33580</v>
      </c>
      <c r="E8365" t="b">
        <v>0</v>
      </c>
      <c r="F8365" t="s">
        <v>11624</v>
      </c>
      <c r="G8365">
        <v>27.693100000000001</v>
      </c>
      <c r="H8365">
        <v>86.320099999999996</v>
      </c>
      <c r="I8365" t="s">
        <v>33581</v>
      </c>
      <c r="L8365">
        <v>0</v>
      </c>
      <c r="M8365">
        <v>0</v>
      </c>
      <c r="N8365">
        <v>0</v>
      </c>
      <c r="O8365" t="s">
        <v>15007</v>
      </c>
    </row>
    <row r="8366" spans="1:15">
      <c r="A8366" t="s">
        <v>33582</v>
      </c>
      <c r="B8366" t="s">
        <v>12250</v>
      </c>
      <c r="C8366" t="s">
        <v>22113</v>
      </c>
      <c r="D8366" t="s">
        <v>33583</v>
      </c>
      <c r="E8366" t="b">
        <v>0</v>
      </c>
      <c r="F8366" t="s">
        <v>11610</v>
      </c>
      <c r="L8366">
        <v>0</v>
      </c>
      <c r="M8366">
        <v>0</v>
      </c>
      <c r="N8366">
        <v>0</v>
      </c>
    </row>
    <row r="8367" spans="1:15">
      <c r="A8367" t="s">
        <v>33584</v>
      </c>
      <c r="B8367" t="s">
        <v>10597</v>
      </c>
      <c r="C8367" t="s">
        <v>24041</v>
      </c>
      <c r="D8367" t="s">
        <v>33585</v>
      </c>
      <c r="E8367" t="b">
        <v>0</v>
      </c>
      <c r="F8367" t="s">
        <v>11610</v>
      </c>
      <c r="G8367">
        <v>-14.83</v>
      </c>
      <c r="H8367">
        <v>141.83000000000001</v>
      </c>
      <c r="I8367" t="s">
        <v>33586</v>
      </c>
      <c r="L8367">
        <v>0</v>
      </c>
      <c r="M8367">
        <v>0</v>
      </c>
      <c r="N8367">
        <v>0</v>
      </c>
    </row>
    <row r="8368" spans="1:15">
      <c r="A8368" t="s">
        <v>33587</v>
      </c>
      <c r="B8368" t="s">
        <v>6742</v>
      </c>
      <c r="C8368" t="s">
        <v>23318</v>
      </c>
      <c r="D8368" t="s">
        <v>33588</v>
      </c>
      <c r="E8368" t="b">
        <v>0</v>
      </c>
      <c r="F8368" t="s">
        <v>11624</v>
      </c>
      <c r="G8368">
        <v>8.6412499999999994</v>
      </c>
      <c r="H8368">
        <v>10.587199999999999</v>
      </c>
      <c r="I8368" t="s">
        <v>33589</v>
      </c>
      <c r="L8368">
        <v>0</v>
      </c>
      <c r="M8368">
        <v>0</v>
      </c>
      <c r="N8368">
        <v>0</v>
      </c>
      <c r="O8368" t="s">
        <v>11693</v>
      </c>
    </row>
    <row r="8369" spans="1:15">
      <c r="A8369" t="s">
        <v>33590</v>
      </c>
      <c r="B8369" t="s">
        <v>12250</v>
      </c>
      <c r="C8369" t="s">
        <v>19396</v>
      </c>
      <c r="D8369" t="s">
        <v>33591</v>
      </c>
      <c r="E8369" t="b">
        <v>0</v>
      </c>
      <c r="F8369" t="s">
        <v>11610</v>
      </c>
      <c r="L8369">
        <v>0</v>
      </c>
      <c r="M8369">
        <v>0</v>
      </c>
      <c r="N8369">
        <v>0</v>
      </c>
    </row>
    <row r="8370" spans="1:15">
      <c r="A8370" t="s">
        <v>33592</v>
      </c>
      <c r="B8370" t="s">
        <v>11644</v>
      </c>
      <c r="C8370" t="s">
        <v>16856</v>
      </c>
      <c r="D8370" t="s">
        <v>33593</v>
      </c>
      <c r="E8370" t="b">
        <v>0</v>
      </c>
      <c r="F8370" t="s">
        <v>11610</v>
      </c>
      <c r="L8370">
        <v>0</v>
      </c>
      <c r="M8370">
        <v>0</v>
      </c>
      <c r="N8370">
        <v>0</v>
      </c>
    </row>
    <row r="8371" spans="1:15">
      <c r="A8371" t="s">
        <v>33594</v>
      </c>
      <c r="B8371" t="s">
        <v>11644</v>
      </c>
      <c r="C8371" t="s">
        <v>33595</v>
      </c>
      <c r="D8371" t="s">
        <v>33596</v>
      </c>
      <c r="E8371" t="b">
        <v>0</v>
      </c>
      <c r="F8371" t="s">
        <v>11610</v>
      </c>
      <c r="L8371">
        <v>0</v>
      </c>
      <c r="M8371">
        <v>0</v>
      </c>
      <c r="N8371">
        <v>0</v>
      </c>
    </row>
    <row r="8372" spans="1:15">
      <c r="A8372" t="s">
        <v>33597</v>
      </c>
      <c r="B8372" t="s">
        <v>6742</v>
      </c>
      <c r="C8372" t="s">
        <v>33598</v>
      </c>
      <c r="D8372" t="s">
        <v>33599</v>
      </c>
      <c r="E8372" t="b">
        <v>0</v>
      </c>
      <c r="F8372" t="s">
        <v>11624</v>
      </c>
      <c r="G8372">
        <v>-1.6268100000000001</v>
      </c>
      <c r="H8372">
        <v>33.914099999999998</v>
      </c>
      <c r="I8372" t="s">
        <v>33600</v>
      </c>
      <c r="L8372">
        <v>0</v>
      </c>
      <c r="M8372">
        <v>0</v>
      </c>
      <c r="N8372">
        <v>0</v>
      </c>
      <c r="O8372" t="s">
        <v>11635</v>
      </c>
    </row>
    <row r="8373" spans="1:15">
      <c r="A8373" t="s">
        <v>33601</v>
      </c>
      <c r="B8373" t="s">
        <v>15027</v>
      </c>
      <c r="C8373" t="s">
        <v>22478</v>
      </c>
      <c r="D8373" t="s">
        <v>33602</v>
      </c>
      <c r="E8373" t="b">
        <v>0</v>
      </c>
      <c r="F8373" t="s">
        <v>11624</v>
      </c>
      <c r="G8373">
        <v>17.054524000000001</v>
      </c>
      <c r="H8373">
        <v>-92.858395000000002</v>
      </c>
      <c r="L8373">
        <v>0</v>
      </c>
      <c r="M8373">
        <v>0</v>
      </c>
      <c r="N8373">
        <v>0</v>
      </c>
      <c r="O8373" t="s">
        <v>11883</v>
      </c>
    </row>
    <row r="8374" spans="1:15">
      <c r="A8374" t="s">
        <v>11946</v>
      </c>
      <c r="D8374" t="s">
        <v>33603</v>
      </c>
      <c r="E8374" t="b">
        <v>0</v>
      </c>
      <c r="F8374" t="s">
        <v>11622</v>
      </c>
      <c r="L8374">
        <v>1</v>
      </c>
      <c r="M8374">
        <v>4</v>
      </c>
      <c r="N8374">
        <v>2</v>
      </c>
    </row>
    <row r="8375" spans="1:15">
      <c r="A8375" t="s">
        <v>31414</v>
      </c>
      <c r="B8375" t="s">
        <v>11644</v>
      </c>
      <c r="C8375" t="s">
        <v>31650</v>
      </c>
      <c r="D8375" t="s">
        <v>33604</v>
      </c>
      <c r="E8375" t="b">
        <v>0</v>
      </c>
      <c r="F8375" t="s">
        <v>11610</v>
      </c>
      <c r="G8375">
        <v>30.071110999999998</v>
      </c>
      <c r="H8375">
        <v>118.59222200000001</v>
      </c>
      <c r="L8375">
        <v>0</v>
      </c>
      <c r="M8375">
        <v>0</v>
      </c>
      <c r="N8375">
        <v>4</v>
      </c>
    </row>
    <row r="8376" spans="1:15">
      <c r="A8376" t="s">
        <v>33605</v>
      </c>
      <c r="B8376" t="s">
        <v>11757</v>
      </c>
      <c r="C8376" t="s">
        <v>26119</v>
      </c>
      <c r="D8376" t="s">
        <v>33606</v>
      </c>
      <c r="E8376" t="b">
        <v>0</v>
      </c>
      <c r="F8376" t="s">
        <v>11610</v>
      </c>
      <c r="L8376">
        <v>0</v>
      </c>
      <c r="M8376">
        <v>0</v>
      </c>
      <c r="N8376">
        <v>0</v>
      </c>
    </row>
    <row r="8377" spans="1:15">
      <c r="A8377" t="s">
        <v>33607</v>
      </c>
      <c r="B8377" t="s">
        <v>5126</v>
      </c>
      <c r="C8377" t="s">
        <v>17743</v>
      </c>
      <c r="D8377" t="s">
        <v>33608</v>
      </c>
      <c r="E8377" t="b">
        <v>0</v>
      </c>
      <c r="F8377" t="s">
        <v>11624</v>
      </c>
      <c r="G8377">
        <v>21.388000000000002</v>
      </c>
      <c r="H8377">
        <v>110.86799999999999</v>
      </c>
      <c r="L8377">
        <v>0</v>
      </c>
      <c r="M8377">
        <v>0</v>
      </c>
      <c r="N8377">
        <v>0</v>
      </c>
      <c r="O8377" t="s">
        <v>11905</v>
      </c>
    </row>
    <row r="8378" spans="1:15">
      <c r="A8378" t="s">
        <v>33609</v>
      </c>
      <c r="B8378" t="s">
        <v>6742</v>
      </c>
      <c r="C8378" t="s">
        <v>33610</v>
      </c>
      <c r="D8378" t="s">
        <v>33611</v>
      </c>
      <c r="E8378" t="b">
        <v>0</v>
      </c>
      <c r="F8378" t="s">
        <v>11624</v>
      </c>
      <c r="G8378">
        <v>9.8311600000000006</v>
      </c>
      <c r="H8378">
        <v>7.9716699999999996</v>
      </c>
      <c r="I8378" t="s">
        <v>33612</v>
      </c>
      <c r="L8378">
        <v>0</v>
      </c>
      <c r="M8378">
        <v>0</v>
      </c>
      <c r="N8378">
        <v>0</v>
      </c>
      <c r="O8378" t="s">
        <v>11693</v>
      </c>
    </row>
    <row r="8379" spans="1:15">
      <c r="A8379" t="s">
        <v>33613</v>
      </c>
      <c r="B8379" t="s">
        <v>6742</v>
      </c>
      <c r="C8379" t="s">
        <v>23831</v>
      </c>
      <c r="D8379" t="s">
        <v>33614</v>
      </c>
      <c r="E8379" t="b">
        <v>0</v>
      </c>
      <c r="F8379" t="s">
        <v>11610</v>
      </c>
      <c r="L8379">
        <v>0</v>
      </c>
      <c r="M8379">
        <v>0</v>
      </c>
      <c r="N8379">
        <v>0</v>
      </c>
    </row>
    <row r="8380" spans="1:15">
      <c r="A8380" t="s">
        <v>33615</v>
      </c>
      <c r="B8380" t="s">
        <v>11894</v>
      </c>
      <c r="C8380" t="s">
        <v>17506</v>
      </c>
      <c r="D8380" t="s">
        <v>33616</v>
      </c>
      <c r="E8380" t="b">
        <v>0</v>
      </c>
      <c r="F8380" t="s">
        <v>11624</v>
      </c>
      <c r="G8380">
        <v>-13.4</v>
      </c>
      <c r="H8380">
        <v>-64.67</v>
      </c>
      <c r="L8380">
        <v>0</v>
      </c>
      <c r="M8380">
        <v>0</v>
      </c>
      <c r="N8380">
        <v>0</v>
      </c>
      <c r="O8380" t="s">
        <v>14185</v>
      </c>
    </row>
    <row r="8381" spans="1:15">
      <c r="A8381" t="s">
        <v>33617</v>
      </c>
      <c r="B8381" t="s">
        <v>6742</v>
      </c>
      <c r="C8381" t="s">
        <v>28138</v>
      </c>
      <c r="D8381" t="s">
        <v>33618</v>
      </c>
      <c r="E8381" t="b">
        <v>0</v>
      </c>
      <c r="F8381" t="s">
        <v>11624</v>
      </c>
      <c r="G8381">
        <v>-3.4578700000000002</v>
      </c>
      <c r="H8381">
        <v>28.997800000000002</v>
      </c>
      <c r="I8381" t="s">
        <v>33619</v>
      </c>
      <c r="L8381">
        <v>0</v>
      </c>
      <c r="M8381">
        <v>0</v>
      </c>
      <c r="N8381">
        <v>0</v>
      </c>
      <c r="O8381" t="s">
        <v>14825</v>
      </c>
    </row>
    <row r="8382" spans="1:15">
      <c r="A8382" t="s">
        <v>33620</v>
      </c>
      <c r="B8382" t="s">
        <v>367</v>
      </c>
      <c r="C8382" t="s">
        <v>33621</v>
      </c>
      <c r="D8382" t="s">
        <v>33622</v>
      </c>
      <c r="E8382" t="b">
        <v>0</v>
      </c>
      <c r="F8382" t="s">
        <v>11610</v>
      </c>
      <c r="L8382">
        <v>0</v>
      </c>
      <c r="M8382">
        <v>0</v>
      </c>
      <c r="N8382">
        <v>0</v>
      </c>
    </row>
    <row r="8383" spans="1:15">
      <c r="A8383" t="s">
        <v>33623</v>
      </c>
      <c r="D8383" t="s">
        <v>33624</v>
      </c>
      <c r="E8383" t="b">
        <v>0</v>
      </c>
      <c r="F8383" t="s">
        <v>11622</v>
      </c>
      <c r="L8383">
        <v>2</v>
      </c>
      <c r="M8383">
        <v>4</v>
      </c>
      <c r="N8383">
        <v>0</v>
      </c>
    </row>
    <row r="8384" spans="1:15">
      <c r="A8384" t="s">
        <v>33625</v>
      </c>
      <c r="B8384" t="s">
        <v>13450</v>
      </c>
      <c r="C8384" t="s">
        <v>28395</v>
      </c>
      <c r="D8384" t="s">
        <v>33626</v>
      </c>
      <c r="E8384" t="b">
        <v>0</v>
      </c>
      <c r="F8384" t="s">
        <v>11624</v>
      </c>
      <c r="L8384">
        <v>0</v>
      </c>
      <c r="M8384">
        <v>0</v>
      </c>
      <c r="N8384">
        <v>0</v>
      </c>
      <c r="O8384" t="s">
        <v>11660</v>
      </c>
    </row>
    <row r="8385" spans="1:15">
      <c r="A8385" t="s">
        <v>33627</v>
      </c>
      <c r="B8385" t="s">
        <v>4342</v>
      </c>
      <c r="C8385" t="s">
        <v>26772</v>
      </c>
      <c r="D8385" t="s">
        <v>33628</v>
      </c>
      <c r="E8385" t="b">
        <v>0</v>
      </c>
      <c r="F8385" t="s">
        <v>11610</v>
      </c>
      <c r="L8385">
        <v>0</v>
      </c>
      <c r="M8385">
        <v>0</v>
      </c>
      <c r="N8385">
        <v>0</v>
      </c>
    </row>
    <row r="8386" spans="1:15">
      <c r="A8386" t="s">
        <v>33629</v>
      </c>
      <c r="B8386" t="s">
        <v>16947</v>
      </c>
      <c r="C8386" t="s">
        <v>18175</v>
      </c>
      <c r="D8386" t="s">
        <v>33630</v>
      </c>
      <c r="E8386" t="b">
        <v>0</v>
      </c>
      <c r="F8386" t="s">
        <v>11624</v>
      </c>
      <c r="I8386" t="s">
        <v>33631</v>
      </c>
      <c r="L8386">
        <v>0</v>
      </c>
      <c r="M8386">
        <v>0</v>
      </c>
      <c r="N8386">
        <v>0</v>
      </c>
      <c r="O8386" t="s">
        <v>11768</v>
      </c>
    </row>
    <row r="8387" spans="1:15">
      <c r="A8387" t="s">
        <v>33415</v>
      </c>
      <c r="B8387" t="s">
        <v>13276</v>
      </c>
      <c r="C8387" t="s">
        <v>33632</v>
      </c>
      <c r="D8387" t="s">
        <v>33633</v>
      </c>
      <c r="E8387" t="b">
        <v>0</v>
      </c>
      <c r="F8387" t="s">
        <v>11622</v>
      </c>
      <c r="L8387">
        <v>2</v>
      </c>
      <c r="M8387">
        <v>4</v>
      </c>
      <c r="N8387">
        <v>6</v>
      </c>
    </row>
    <row r="8388" spans="1:15">
      <c r="A8388" t="s">
        <v>33634</v>
      </c>
      <c r="B8388" t="s">
        <v>13276</v>
      </c>
      <c r="C8388" t="s">
        <v>33415</v>
      </c>
      <c r="D8388" t="s">
        <v>33635</v>
      </c>
      <c r="E8388" t="b">
        <v>0</v>
      </c>
      <c r="F8388" t="s">
        <v>11622</v>
      </c>
      <c r="L8388">
        <v>0</v>
      </c>
      <c r="M8388">
        <v>2</v>
      </c>
      <c r="N8388">
        <v>6</v>
      </c>
    </row>
    <row r="8389" spans="1:15">
      <c r="A8389" t="s">
        <v>33636</v>
      </c>
      <c r="B8389" t="s">
        <v>11757</v>
      </c>
      <c r="C8389" t="s">
        <v>1166</v>
      </c>
      <c r="D8389" t="s">
        <v>33637</v>
      </c>
      <c r="E8389" t="b">
        <v>0</v>
      </c>
      <c r="F8389" t="s">
        <v>11610</v>
      </c>
      <c r="L8389">
        <v>0</v>
      </c>
      <c r="M8389">
        <v>0</v>
      </c>
      <c r="N8389">
        <v>0</v>
      </c>
    </row>
    <row r="8390" spans="1:15">
      <c r="A8390" t="s">
        <v>33638</v>
      </c>
      <c r="B8390" t="s">
        <v>11637</v>
      </c>
      <c r="C8390" t="s">
        <v>16777</v>
      </c>
      <c r="D8390" t="s">
        <v>33639</v>
      </c>
      <c r="E8390" t="b">
        <v>0</v>
      </c>
      <c r="F8390" t="s">
        <v>11610</v>
      </c>
      <c r="L8390">
        <v>0</v>
      </c>
      <c r="M8390">
        <v>0</v>
      </c>
      <c r="N8390">
        <v>0</v>
      </c>
    </row>
    <row r="8391" spans="1:15">
      <c r="A8391" t="s">
        <v>15515</v>
      </c>
      <c r="B8391" t="s">
        <v>6742</v>
      </c>
      <c r="C8391" t="s">
        <v>27830</v>
      </c>
      <c r="D8391" t="s">
        <v>33640</v>
      </c>
      <c r="E8391" t="b">
        <v>0</v>
      </c>
      <c r="F8391" t="s">
        <v>11624</v>
      </c>
      <c r="G8391">
        <v>12.508900000000001</v>
      </c>
      <c r="H8391">
        <v>-16.553899999999999</v>
      </c>
      <c r="I8391" t="s">
        <v>33641</v>
      </c>
      <c r="L8391">
        <v>0</v>
      </c>
      <c r="M8391">
        <v>0</v>
      </c>
      <c r="N8391">
        <v>6</v>
      </c>
      <c r="O8391" t="s">
        <v>16013</v>
      </c>
    </row>
    <row r="8392" spans="1:15">
      <c r="A8392" t="s">
        <v>3500</v>
      </c>
      <c r="B8392" t="s">
        <v>6742</v>
      </c>
      <c r="C8392" t="s">
        <v>17604</v>
      </c>
      <c r="D8392" t="s">
        <v>33642</v>
      </c>
      <c r="E8392" t="b">
        <v>0</v>
      </c>
      <c r="F8392" t="s">
        <v>11624</v>
      </c>
      <c r="G8392">
        <v>12.75752</v>
      </c>
      <c r="H8392">
        <v>-15.7354766667</v>
      </c>
      <c r="I8392" t="s">
        <v>3501</v>
      </c>
      <c r="L8392">
        <v>0</v>
      </c>
      <c r="M8392">
        <v>0</v>
      </c>
      <c r="N8392">
        <v>5</v>
      </c>
      <c r="O8392" t="s">
        <v>16013</v>
      </c>
    </row>
    <row r="8393" spans="1:15">
      <c r="A8393" t="s">
        <v>17604</v>
      </c>
      <c r="B8393" t="s">
        <v>6742</v>
      </c>
      <c r="C8393" t="s">
        <v>33643</v>
      </c>
      <c r="D8393" t="s">
        <v>33644</v>
      </c>
      <c r="E8393" t="b">
        <v>0</v>
      </c>
      <c r="F8393" t="s">
        <v>11622</v>
      </c>
      <c r="L8393">
        <v>7</v>
      </c>
      <c r="M8393">
        <v>11</v>
      </c>
      <c r="N8393">
        <v>18</v>
      </c>
    </row>
    <row r="8394" spans="1:15">
      <c r="A8394" t="s">
        <v>33645</v>
      </c>
      <c r="B8394" t="s">
        <v>11637</v>
      </c>
      <c r="C8394" t="s">
        <v>14469</v>
      </c>
      <c r="D8394" t="s">
        <v>33646</v>
      </c>
      <c r="E8394" t="b">
        <v>0</v>
      </c>
      <c r="F8394" t="s">
        <v>11610</v>
      </c>
      <c r="L8394">
        <v>0</v>
      </c>
      <c r="M8394">
        <v>0</v>
      </c>
      <c r="N8394">
        <v>0</v>
      </c>
    </row>
    <row r="8395" spans="1:15">
      <c r="A8395" t="s">
        <v>33647</v>
      </c>
      <c r="B8395" t="s">
        <v>12438</v>
      </c>
      <c r="C8395" t="s">
        <v>12915</v>
      </c>
      <c r="D8395" t="s">
        <v>33648</v>
      </c>
      <c r="E8395" t="b">
        <v>0</v>
      </c>
      <c r="F8395" t="s">
        <v>11610</v>
      </c>
      <c r="L8395">
        <v>0</v>
      </c>
      <c r="M8395">
        <v>0</v>
      </c>
      <c r="N8395">
        <v>0</v>
      </c>
    </row>
    <row r="8396" spans="1:15">
      <c r="A8396" t="s">
        <v>33649</v>
      </c>
      <c r="B8396" t="s">
        <v>367</v>
      </c>
      <c r="C8396" t="s">
        <v>14458</v>
      </c>
      <c r="D8396" t="s">
        <v>33650</v>
      </c>
      <c r="E8396" t="b">
        <v>0</v>
      </c>
      <c r="F8396" t="s">
        <v>11610</v>
      </c>
      <c r="L8396">
        <v>0</v>
      </c>
      <c r="M8396">
        <v>0</v>
      </c>
      <c r="N8396">
        <v>0</v>
      </c>
    </row>
    <row r="8397" spans="1:15">
      <c r="A8397" t="s">
        <v>1167</v>
      </c>
      <c r="B8397" t="s">
        <v>11757</v>
      </c>
      <c r="C8397" t="s">
        <v>1166</v>
      </c>
      <c r="D8397" t="s">
        <v>33651</v>
      </c>
      <c r="E8397" t="b">
        <v>0</v>
      </c>
      <c r="F8397" t="s">
        <v>11610</v>
      </c>
      <c r="L8397">
        <v>0</v>
      </c>
      <c r="M8397">
        <v>0</v>
      </c>
      <c r="N8397">
        <v>0</v>
      </c>
    </row>
    <row r="8398" spans="1:15">
      <c r="A8398" t="s">
        <v>33652</v>
      </c>
      <c r="B8398" t="s">
        <v>6742</v>
      </c>
      <c r="C8398" t="s">
        <v>4187</v>
      </c>
      <c r="D8398" t="s">
        <v>33653</v>
      </c>
      <c r="E8398" t="b">
        <v>0</v>
      </c>
      <c r="F8398" t="s">
        <v>11610</v>
      </c>
      <c r="L8398">
        <v>0</v>
      </c>
      <c r="M8398">
        <v>0</v>
      </c>
      <c r="N8398">
        <v>0</v>
      </c>
    </row>
    <row r="8399" spans="1:15">
      <c r="A8399" t="s">
        <v>25357</v>
      </c>
      <c r="B8399" t="s">
        <v>11607</v>
      </c>
      <c r="C8399" t="s">
        <v>33654</v>
      </c>
      <c r="D8399" t="s">
        <v>33655</v>
      </c>
      <c r="E8399" t="b">
        <v>0</v>
      </c>
      <c r="F8399" t="s">
        <v>11624</v>
      </c>
      <c r="G8399">
        <v>11.503399999999999</v>
      </c>
      <c r="H8399">
        <v>19.095400000000001</v>
      </c>
      <c r="I8399" t="s">
        <v>33656</v>
      </c>
      <c r="L8399">
        <v>0</v>
      </c>
      <c r="M8399">
        <v>0</v>
      </c>
      <c r="N8399">
        <v>2</v>
      </c>
      <c r="O8399" t="s">
        <v>13421</v>
      </c>
    </row>
    <row r="8400" spans="1:15">
      <c r="A8400" t="s">
        <v>33643</v>
      </c>
      <c r="B8400" t="s">
        <v>6742</v>
      </c>
      <c r="C8400" t="s">
        <v>16138</v>
      </c>
      <c r="D8400" t="s">
        <v>33657</v>
      </c>
      <c r="E8400" t="b">
        <v>0</v>
      </c>
      <c r="F8400" t="s">
        <v>11622</v>
      </c>
      <c r="L8400">
        <v>10</v>
      </c>
      <c r="M8400">
        <v>14</v>
      </c>
      <c r="N8400">
        <v>28</v>
      </c>
    </row>
    <row r="8401" spans="1:15">
      <c r="A8401" t="s">
        <v>33658</v>
      </c>
      <c r="B8401" t="s">
        <v>11912</v>
      </c>
      <c r="C8401" t="s">
        <v>9149</v>
      </c>
      <c r="D8401" t="s">
        <v>33659</v>
      </c>
      <c r="E8401" t="b">
        <v>0</v>
      </c>
      <c r="F8401" t="s">
        <v>11610</v>
      </c>
      <c r="L8401">
        <v>0</v>
      </c>
      <c r="M8401">
        <v>0</v>
      </c>
      <c r="N8401">
        <v>0</v>
      </c>
    </row>
    <row r="8402" spans="1:15">
      <c r="A8402" t="s">
        <v>33660</v>
      </c>
      <c r="B8402" t="s">
        <v>11912</v>
      </c>
      <c r="C8402" t="s">
        <v>33661</v>
      </c>
      <c r="D8402" t="s">
        <v>33662</v>
      </c>
      <c r="E8402" t="b">
        <v>0</v>
      </c>
      <c r="F8402" t="s">
        <v>11624</v>
      </c>
      <c r="G8402">
        <v>-15.7492</v>
      </c>
      <c r="H8402">
        <v>-63.209400000000002</v>
      </c>
      <c r="I8402" t="s">
        <v>33663</v>
      </c>
      <c r="L8402">
        <v>0</v>
      </c>
      <c r="M8402">
        <v>0</v>
      </c>
      <c r="N8402">
        <v>0</v>
      </c>
      <c r="O8402" t="s">
        <v>14185</v>
      </c>
    </row>
    <row r="8403" spans="1:15">
      <c r="A8403" t="s">
        <v>33664</v>
      </c>
      <c r="B8403" t="s">
        <v>11981</v>
      </c>
      <c r="C8403" t="s">
        <v>32614</v>
      </c>
      <c r="D8403" t="s">
        <v>33665</v>
      </c>
      <c r="E8403" t="b">
        <v>0</v>
      </c>
      <c r="F8403" t="s">
        <v>11624</v>
      </c>
      <c r="G8403">
        <v>31.8202</v>
      </c>
      <c r="H8403">
        <v>36.082900000000002</v>
      </c>
      <c r="I8403" t="s">
        <v>33666</v>
      </c>
      <c r="L8403">
        <v>0</v>
      </c>
      <c r="M8403">
        <v>0</v>
      </c>
      <c r="N8403">
        <v>0</v>
      </c>
      <c r="O8403" t="s">
        <v>13488</v>
      </c>
    </row>
    <row r="8404" spans="1:15">
      <c r="A8404" t="s">
        <v>33667</v>
      </c>
      <c r="B8404" t="s">
        <v>13450</v>
      </c>
      <c r="C8404" t="s">
        <v>14248</v>
      </c>
      <c r="D8404" t="s">
        <v>33668</v>
      </c>
      <c r="E8404" t="b">
        <v>0</v>
      </c>
      <c r="F8404" t="s">
        <v>11624</v>
      </c>
      <c r="L8404">
        <v>0</v>
      </c>
      <c r="M8404">
        <v>0</v>
      </c>
      <c r="N8404">
        <v>0</v>
      </c>
      <c r="O8404" t="s">
        <v>13488</v>
      </c>
    </row>
    <row r="8405" spans="1:15">
      <c r="A8405" t="s">
        <v>33669</v>
      </c>
      <c r="B8405" t="s">
        <v>11627</v>
      </c>
      <c r="C8405" t="s">
        <v>11627</v>
      </c>
      <c r="D8405" t="s">
        <v>33670</v>
      </c>
      <c r="E8405" t="b">
        <v>1</v>
      </c>
      <c r="F8405" t="s">
        <v>11624</v>
      </c>
      <c r="G8405">
        <v>8.9305500000000002</v>
      </c>
      <c r="H8405">
        <v>9.4248600000000007</v>
      </c>
      <c r="I8405" t="s">
        <v>33671</v>
      </c>
      <c r="L8405">
        <v>0</v>
      </c>
      <c r="M8405">
        <v>0</v>
      </c>
      <c r="N8405">
        <v>0</v>
      </c>
      <c r="O8405" t="s">
        <v>11693</v>
      </c>
    </row>
    <row r="8406" spans="1:15">
      <c r="A8406" t="s">
        <v>13506</v>
      </c>
      <c r="B8406" t="s">
        <v>6742</v>
      </c>
      <c r="C8406" t="s">
        <v>26085</v>
      </c>
      <c r="D8406" t="s">
        <v>33672</v>
      </c>
      <c r="E8406" t="b">
        <v>0</v>
      </c>
      <c r="F8406" t="s">
        <v>11622</v>
      </c>
      <c r="L8406">
        <v>9</v>
      </c>
      <c r="M8406">
        <v>22</v>
      </c>
      <c r="N8406">
        <v>14</v>
      </c>
    </row>
    <row r="8407" spans="1:15">
      <c r="A8407" t="s">
        <v>33673</v>
      </c>
      <c r="B8407" t="s">
        <v>12250</v>
      </c>
      <c r="C8407" t="s">
        <v>22113</v>
      </c>
      <c r="D8407" t="s">
        <v>33674</v>
      </c>
      <c r="E8407" t="b">
        <v>0</v>
      </c>
      <c r="F8407" t="s">
        <v>11610</v>
      </c>
      <c r="L8407">
        <v>0</v>
      </c>
      <c r="M8407">
        <v>0</v>
      </c>
      <c r="N8407">
        <v>0</v>
      </c>
    </row>
    <row r="8408" spans="1:15">
      <c r="A8408" t="s">
        <v>33675</v>
      </c>
      <c r="B8408" t="s">
        <v>6742</v>
      </c>
      <c r="C8408" t="s">
        <v>16545</v>
      </c>
      <c r="D8408" t="s">
        <v>33676</v>
      </c>
      <c r="E8408" t="b">
        <v>0</v>
      </c>
      <c r="F8408" t="s">
        <v>11610</v>
      </c>
      <c r="L8408">
        <v>0</v>
      </c>
      <c r="M8408">
        <v>0</v>
      </c>
      <c r="N8408">
        <v>0</v>
      </c>
    </row>
    <row r="8409" spans="1:15">
      <c r="A8409" t="s">
        <v>33677</v>
      </c>
      <c r="B8409" t="s">
        <v>12250</v>
      </c>
      <c r="C8409" t="s">
        <v>22113</v>
      </c>
      <c r="D8409" t="s">
        <v>33678</v>
      </c>
      <c r="E8409" t="b">
        <v>0</v>
      </c>
      <c r="F8409" t="s">
        <v>11610</v>
      </c>
      <c r="L8409">
        <v>0</v>
      </c>
      <c r="M8409">
        <v>0</v>
      </c>
      <c r="N8409">
        <v>0</v>
      </c>
    </row>
    <row r="8410" spans="1:15">
      <c r="A8410" t="s">
        <v>33679</v>
      </c>
      <c r="B8410" t="s">
        <v>12751</v>
      </c>
      <c r="C8410" t="s">
        <v>33680</v>
      </c>
      <c r="D8410" t="s">
        <v>33681</v>
      </c>
      <c r="E8410" t="b">
        <v>0</v>
      </c>
      <c r="F8410" t="s">
        <v>11624</v>
      </c>
      <c r="G8410">
        <v>28.5</v>
      </c>
      <c r="H8410">
        <v>-109</v>
      </c>
      <c r="L8410">
        <v>0</v>
      </c>
      <c r="M8410">
        <v>0</v>
      </c>
      <c r="N8410">
        <v>0</v>
      </c>
      <c r="O8410" t="s">
        <v>11883</v>
      </c>
    </row>
    <row r="8411" spans="1:15">
      <c r="A8411" t="s">
        <v>33682</v>
      </c>
      <c r="B8411" t="s">
        <v>12438</v>
      </c>
      <c r="C8411" t="s">
        <v>16890</v>
      </c>
      <c r="D8411" t="s">
        <v>33683</v>
      </c>
      <c r="E8411" t="b">
        <v>0</v>
      </c>
      <c r="F8411" t="s">
        <v>11610</v>
      </c>
      <c r="L8411">
        <v>0</v>
      </c>
      <c r="M8411">
        <v>0</v>
      </c>
      <c r="N8411">
        <v>0</v>
      </c>
    </row>
    <row r="8412" spans="1:15">
      <c r="A8412" t="s">
        <v>33684</v>
      </c>
      <c r="B8412" t="s">
        <v>13276</v>
      </c>
      <c r="C8412" t="s">
        <v>25653</v>
      </c>
      <c r="D8412" t="s">
        <v>33685</v>
      </c>
      <c r="E8412" t="b">
        <v>0</v>
      </c>
      <c r="F8412" t="s">
        <v>11624</v>
      </c>
      <c r="G8412">
        <v>10.7691</v>
      </c>
      <c r="H8412">
        <v>-5.4787299999999997</v>
      </c>
      <c r="I8412" t="s">
        <v>33686</v>
      </c>
      <c r="L8412">
        <v>0</v>
      </c>
      <c r="M8412">
        <v>0</v>
      </c>
      <c r="N8412">
        <v>0</v>
      </c>
      <c r="O8412" t="s">
        <v>19384</v>
      </c>
    </row>
    <row r="8413" spans="1:15">
      <c r="A8413" t="s">
        <v>33687</v>
      </c>
      <c r="B8413" t="s">
        <v>12438</v>
      </c>
      <c r="C8413" t="s">
        <v>22166</v>
      </c>
      <c r="D8413" t="s">
        <v>33688</v>
      </c>
      <c r="E8413" t="b">
        <v>0</v>
      </c>
      <c r="F8413" t="s">
        <v>11610</v>
      </c>
      <c r="L8413">
        <v>0</v>
      </c>
      <c r="M8413">
        <v>0</v>
      </c>
      <c r="N8413">
        <v>0</v>
      </c>
    </row>
    <row r="8414" spans="1:15">
      <c r="A8414" t="s">
        <v>33218</v>
      </c>
      <c r="B8414" t="s">
        <v>11981</v>
      </c>
      <c r="C8414" t="s">
        <v>12200</v>
      </c>
      <c r="D8414" t="s">
        <v>33689</v>
      </c>
      <c r="E8414" t="b">
        <v>0</v>
      </c>
      <c r="F8414" t="s">
        <v>11622</v>
      </c>
      <c r="L8414">
        <v>0</v>
      </c>
      <c r="M8414">
        <v>3</v>
      </c>
      <c r="N8414">
        <v>3</v>
      </c>
    </row>
    <row r="8415" spans="1:15">
      <c r="A8415" t="s">
        <v>33690</v>
      </c>
      <c r="B8415" t="s">
        <v>12438</v>
      </c>
      <c r="C8415" t="s">
        <v>28701</v>
      </c>
      <c r="D8415" t="s">
        <v>33691</v>
      </c>
      <c r="E8415" t="b">
        <v>0</v>
      </c>
      <c r="F8415" t="s">
        <v>11624</v>
      </c>
      <c r="G8415">
        <v>21.2606</v>
      </c>
      <c r="H8415">
        <v>85.584500000000006</v>
      </c>
      <c r="I8415" t="s">
        <v>33692</v>
      </c>
      <c r="L8415">
        <v>0</v>
      </c>
      <c r="M8415">
        <v>0</v>
      </c>
      <c r="N8415">
        <v>0</v>
      </c>
      <c r="O8415" t="s">
        <v>11630</v>
      </c>
    </row>
    <row r="8416" spans="1:15">
      <c r="A8416" t="s">
        <v>33693</v>
      </c>
      <c r="B8416" t="s">
        <v>367</v>
      </c>
      <c r="C8416" t="s">
        <v>33694</v>
      </c>
      <c r="D8416" t="s">
        <v>33695</v>
      </c>
      <c r="E8416" t="b">
        <v>0</v>
      </c>
      <c r="F8416" t="s">
        <v>11610</v>
      </c>
      <c r="L8416">
        <v>0</v>
      </c>
      <c r="M8416">
        <v>0</v>
      </c>
      <c r="N8416">
        <v>0</v>
      </c>
    </row>
    <row r="8417" spans="1:15">
      <c r="A8417" t="s">
        <v>33696</v>
      </c>
      <c r="B8417" t="s">
        <v>12751</v>
      </c>
      <c r="C8417" t="s">
        <v>33697</v>
      </c>
      <c r="D8417" t="s">
        <v>33698</v>
      </c>
      <c r="E8417" t="b">
        <v>0</v>
      </c>
      <c r="F8417" t="s">
        <v>11610</v>
      </c>
      <c r="L8417">
        <v>0</v>
      </c>
      <c r="M8417">
        <v>0</v>
      </c>
      <c r="N8417">
        <v>0</v>
      </c>
    </row>
    <row r="8418" spans="1:15">
      <c r="A8418" t="s">
        <v>33699</v>
      </c>
      <c r="B8418" t="s">
        <v>6742</v>
      </c>
      <c r="C8418" t="s">
        <v>33700</v>
      </c>
      <c r="D8418" t="s">
        <v>33701</v>
      </c>
      <c r="E8418" t="b">
        <v>0</v>
      </c>
      <c r="F8418" t="s">
        <v>11610</v>
      </c>
      <c r="L8418">
        <v>0</v>
      </c>
      <c r="M8418">
        <v>0</v>
      </c>
      <c r="N8418">
        <v>0</v>
      </c>
    </row>
    <row r="8419" spans="1:15">
      <c r="A8419" t="s">
        <v>33702</v>
      </c>
      <c r="B8419" t="s">
        <v>6742</v>
      </c>
      <c r="C8419" t="s">
        <v>17167</v>
      </c>
      <c r="D8419" t="s">
        <v>33703</v>
      </c>
      <c r="E8419" t="b">
        <v>0</v>
      </c>
      <c r="F8419" t="s">
        <v>11610</v>
      </c>
      <c r="L8419">
        <v>0</v>
      </c>
      <c r="M8419">
        <v>0</v>
      </c>
      <c r="N8419">
        <v>0</v>
      </c>
    </row>
    <row r="8420" spans="1:15">
      <c r="A8420" t="s">
        <v>33704</v>
      </c>
      <c r="B8420" t="s">
        <v>11607</v>
      </c>
      <c r="C8420" t="s">
        <v>16127</v>
      </c>
      <c r="D8420" t="s">
        <v>33705</v>
      </c>
      <c r="E8420" t="b">
        <v>0</v>
      </c>
      <c r="F8420" t="s">
        <v>11610</v>
      </c>
      <c r="L8420">
        <v>0</v>
      </c>
      <c r="M8420">
        <v>0</v>
      </c>
      <c r="N8420">
        <v>0</v>
      </c>
    </row>
    <row r="8421" spans="1:15">
      <c r="A8421" t="s">
        <v>33706</v>
      </c>
      <c r="B8421" t="s">
        <v>11637</v>
      </c>
      <c r="C8421" t="s">
        <v>9882</v>
      </c>
      <c r="D8421" t="s">
        <v>33707</v>
      </c>
      <c r="E8421" t="b">
        <v>0</v>
      </c>
      <c r="F8421" t="s">
        <v>11610</v>
      </c>
      <c r="L8421">
        <v>0</v>
      </c>
      <c r="M8421">
        <v>0</v>
      </c>
      <c r="N8421">
        <v>0</v>
      </c>
    </row>
    <row r="8422" spans="1:15">
      <c r="A8422" t="s">
        <v>33708</v>
      </c>
      <c r="B8422" t="s">
        <v>11637</v>
      </c>
      <c r="C8422" t="s">
        <v>27138</v>
      </c>
      <c r="D8422" t="s">
        <v>33709</v>
      </c>
      <c r="E8422" t="b">
        <v>0</v>
      </c>
      <c r="F8422" t="s">
        <v>11624</v>
      </c>
      <c r="G8422">
        <v>43.128399999999999</v>
      </c>
      <c r="H8422">
        <v>11.472300000000001</v>
      </c>
      <c r="I8422" t="s">
        <v>33710</v>
      </c>
      <c r="L8422">
        <v>0</v>
      </c>
      <c r="M8422">
        <v>0</v>
      </c>
      <c r="N8422">
        <v>0</v>
      </c>
      <c r="O8422" t="s">
        <v>13676</v>
      </c>
    </row>
    <row r="8423" spans="1:15">
      <c r="A8423" t="s">
        <v>24531</v>
      </c>
      <c r="B8423" t="s">
        <v>11637</v>
      </c>
      <c r="C8423" t="s">
        <v>21238</v>
      </c>
      <c r="D8423" t="s">
        <v>33711</v>
      </c>
      <c r="E8423" t="b">
        <v>0</v>
      </c>
      <c r="F8423" t="s">
        <v>11624</v>
      </c>
      <c r="G8423">
        <v>42.068306</v>
      </c>
      <c r="H8423">
        <v>48.264749000000002</v>
      </c>
      <c r="I8423" t="s">
        <v>33712</v>
      </c>
      <c r="L8423">
        <v>0</v>
      </c>
      <c r="M8423">
        <v>0</v>
      </c>
      <c r="N8423">
        <v>1</v>
      </c>
      <c r="O8423" t="s">
        <v>12049</v>
      </c>
    </row>
    <row r="8424" spans="1:15">
      <c r="A8424" t="s">
        <v>33713</v>
      </c>
      <c r="B8424" t="s">
        <v>11637</v>
      </c>
      <c r="C8424" t="s">
        <v>26548</v>
      </c>
      <c r="D8424" t="s">
        <v>33714</v>
      </c>
      <c r="E8424" t="b">
        <v>0</v>
      </c>
      <c r="F8424" t="s">
        <v>11624</v>
      </c>
      <c r="G8424">
        <v>31.450710000000001</v>
      </c>
      <c r="H8424">
        <v>43.571469999999998</v>
      </c>
      <c r="I8424" t="s">
        <v>33715</v>
      </c>
      <c r="L8424">
        <v>0</v>
      </c>
      <c r="M8424">
        <v>0</v>
      </c>
      <c r="N8424">
        <v>0</v>
      </c>
      <c r="O8424" t="s">
        <v>33716</v>
      </c>
    </row>
    <row r="8425" spans="1:15">
      <c r="A8425" t="s">
        <v>33717</v>
      </c>
      <c r="B8425" t="s">
        <v>12148</v>
      </c>
      <c r="C8425" t="s">
        <v>29053</v>
      </c>
      <c r="D8425" t="s">
        <v>33718</v>
      </c>
      <c r="E8425" t="b">
        <v>0</v>
      </c>
      <c r="F8425" t="s">
        <v>11624</v>
      </c>
      <c r="G8425">
        <v>31.5</v>
      </c>
      <c r="H8425">
        <v>34.75</v>
      </c>
      <c r="I8425" t="s">
        <v>33719</v>
      </c>
      <c r="L8425">
        <v>0</v>
      </c>
      <c r="M8425">
        <v>0</v>
      </c>
      <c r="N8425">
        <v>0</v>
      </c>
      <c r="O8425" t="s">
        <v>33720</v>
      </c>
    </row>
    <row r="8426" spans="1:15">
      <c r="A8426" t="s">
        <v>33721</v>
      </c>
      <c r="B8426" t="s">
        <v>11627</v>
      </c>
      <c r="C8426" t="s">
        <v>11627</v>
      </c>
      <c r="D8426" t="s">
        <v>33722</v>
      </c>
      <c r="E8426" t="b">
        <v>1</v>
      </c>
      <c r="F8426" t="s">
        <v>11624</v>
      </c>
      <c r="G8426">
        <v>30.9</v>
      </c>
      <c r="H8426">
        <v>-7.95</v>
      </c>
      <c r="I8426" t="s">
        <v>33723</v>
      </c>
      <c r="L8426">
        <v>0</v>
      </c>
      <c r="M8426">
        <v>0</v>
      </c>
      <c r="N8426">
        <v>0</v>
      </c>
      <c r="O8426" t="s">
        <v>13147</v>
      </c>
    </row>
    <row r="8427" spans="1:15">
      <c r="A8427" t="s">
        <v>33724</v>
      </c>
      <c r="B8427" t="s">
        <v>11607</v>
      </c>
      <c r="C8427" t="s">
        <v>13031</v>
      </c>
      <c r="D8427" t="s">
        <v>33725</v>
      </c>
      <c r="E8427" t="b">
        <v>0</v>
      </c>
      <c r="F8427" t="s">
        <v>11624</v>
      </c>
      <c r="G8427">
        <v>31.75</v>
      </c>
      <c r="H8427">
        <v>35.25</v>
      </c>
      <c r="I8427" t="s">
        <v>33726</v>
      </c>
      <c r="L8427">
        <v>0</v>
      </c>
      <c r="M8427">
        <v>0</v>
      </c>
      <c r="N8427">
        <v>1</v>
      </c>
      <c r="O8427" t="s">
        <v>33727</v>
      </c>
    </row>
    <row r="8428" spans="1:15">
      <c r="A8428" t="s">
        <v>33728</v>
      </c>
      <c r="B8428" t="s">
        <v>11607</v>
      </c>
      <c r="C8428" t="s">
        <v>13031</v>
      </c>
      <c r="D8428" t="s">
        <v>33729</v>
      </c>
      <c r="E8428" t="b">
        <v>0</v>
      </c>
      <c r="F8428" t="s">
        <v>11624</v>
      </c>
      <c r="G8428">
        <v>31.956700000000001</v>
      </c>
      <c r="H8428">
        <v>34.742199999999997</v>
      </c>
      <c r="I8428" t="s">
        <v>33730</v>
      </c>
      <c r="L8428">
        <v>0</v>
      </c>
      <c r="M8428">
        <v>0</v>
      </c>
      <c r="N8428">
        <v>0</v>
      </c>
      <c r="O8428" t="s">
        <v>33731</v>
      </c>
    </row>
    <row r="8429" spans="1:15">
      <c r="A8429" t="s">
        <v>33732</v>
      </c>
      <c r="B8429" t="s">
        <v>11607</v>
      </c>
      <c r="C8429" t="s">
        <v>13031</v>
      </c>
      <c r="D8429" t="s">
        <v>33733</v>
      </c>
      <c r="E8429" t="b">
        <v>0</v>
      </c>
      <c r="F8429" t="s">
        <v>11624</v>
      </c>
      <c r="G8429">
        <v>33.5</v>
      </c>
      <c r="H8429">
        <v>-7.5</v>
      </c>
      <c r="I8429" t="s">
        <v>33734</v>
      </c>
      <c r="L8429">
        <v>0</v>
      </c>
      <c r="M8429">
        <v>0</v>
      </c>
      <c r="N8429">
        <v>0</v>
      </c>
      <c r="O8429" t="s">
        <v>29185</v>
      </c>
    </row>
    <row r="8430" spans="1:15">
      <c r="A8430" t="s">
        <v>33735</v>
      </c>
      <c r="B8430" t="s">
        <v>11607</v>
      </c>
      <c r="C8430" t="s">
        <v>33736</v>
      </c>
      <c r="D8430" t="s">
        <v>33737</v>
      </c>
      <c r="E8430" t="b">
        <v>0</v>
      </c>
      <c r="F8430" t="s">
        <v>11624</v>
      </c>
      <c r="G8430">
        <v>31.533899999999999</v>
      </c>
      <c r="H8430">
        <v>41.259500000000003</v>
      </c>
      <c r="I8430" t="s">
        <v>33738</v>
      </c>
      <c r="L8430">
        <v>0</v>
      </c>
      <c r="M8430">
        <v>0</v>
      </c>
      <c r="N8430">
        <v>0</v>
      </c>
      <c r="O8430" t="s">
        <v>33739</v>
      </c>
    </row>
    <row r="8431" spans="1:15">
      <c r="A8431" t="s">
        <v>4703</v>
      </c>
      <c r="B8431" t="s">
        <v>11607</v>
      </c>
      <c r="C8431" t="s">
        <v>4675</v>
      </c>
      <c r="D8431" t="s">
        <v>33740</v>
      </c>
      <c r="E8431" t="b">
        <v>0</v>
      </c>
      <c r="F8431" t="s">
        <v>11624</v>
      </c>
      <c r="G8431">
        <v>15</v>
      </c>
      <c r="H8431">
        <v>45</v>
      </c>
      <c r="I8431" t="s">
        <v>4704</v>
      </c>
      <c r="L8431">
        <v>0</v>
      </c>
      <c r="M8431">
        <v>0</v>
      </c>
      <c r="N8431">
        <v>4</v>
      </c>
      <c r="O8431" t="s">
        <v>33741</v>
      </c>
    </row>
    <row r="8432" spans="1:15">
      <c r="A8432" t="s">
        <v>33742</v>
      </c>
      <c r="B8432" t="s">
        <v>11637</v>
      </c>
      <c r="C8432" t="s">
        <v>21850</v>
      </c>
      <c r="D8432" t="s">
        <v>33743</v>
      </c>
      <c r="E8432" t="b">
        <v>0</v>
      </c>
      <c r="F8432" t="s">
        <v>11624</v>
      </c>
      <c r="L8432">
        <v>0</v>
      </c>
      <c r="M8432">
        <v>0</v>
      </c>
      <c r="N8432">
        <v>0</v>
      </c>
      <c r="O8432" t="s">
        <v>13225</v>
      </c>
    </row>
    <row r="8433" spans="1:15">
      <c r="A8433" t="s">
        <v>33744</v>
      </c>
      <c r="B8433" t="s">
        <v>5126</v>
      </c>
      <c r="C8433" t="s">
        <v>25576</v>
      </c>
      <c r="D8433" t="s">
        <v>33745</v>
      </c>
      <c r="E8433" t="b">
        <v>0</v>
      </c>
      <c r="F8433" t="s">
        <v>11610</v>
      </c>
      <c r="L8433">
        <v>0</v>
      </c>
      <c r="M8433">
        <v>0</v>
      </c>
      <c r="N8433">
        <v>0</v>
      </c>
    </row>
    <row r="8434" spans="1:15">
      <c r="A8434" t="s">
        <v>33746</v>
      </c>
      <c r="B8434" t="s">
        <v>12260</v>
      </c>
      <c r="C8434" t="s">
        <v>12261</v>
      </c>
      <c r="D8434" t="s">
        <v>33747</v>
      </c>
      <c r="E8434" t="b">
        <v>0</v>
      </c>
      <c r="F8434" t="s">
        <v>11610</v>
      </c>
      <c r="L8434">
        <v>0</v>
      </c>
      <c r="M8434">
        <v>0</v>
      </c>
      <c r="N8434">
        <v>0</v>
      </c>
    </row>
    <row r="8435" spans="1:15">
      <c r="A8435" t="s">
        <v>2093</v>
      </c>
      <c r="B8435" t="s">
        <v>12738</v>
      </c>
      <c r="C8435" t="s">
        <v>21927</v>
      </c>
      <c r="D8435" t="s">
        <v>33748</v>
      </c>
      <c r="E8435" t="b">
        <v>0</v>
      </c>
      <c r="F8435" t="s">
        <v>11624</v>
      </c>
      <c r="G8435">
        <v>-19.687999999999999</v>
      </c>
      <c r="H8435">
        <v>20.767299999999999</v>
      </c>
      <c r="I8435" t="s">
        <v>2095</v>
      </c>
      <c r="L8435">
        <v>0</v>
      </c>
      <c r="M8435">
        <v>0</v>
      </c>
      <c r="N8435">
        <v>2</v>
      </c>
      <c r="O8435" t="s">
        <v>31019</v>
      </c>
    </row>
    <row r="8436" spans="1:15">
      <c r="A8436" t="s">
        <v>33749</v>
      </c>
      <c r="B8436" t="s">
        <v>6742</v>
      </c>
      <c r="C8436" t="s">
        <v>16664</v>
      </c>
      <c r="D8436" t="s">
        <v>33750</v>
      </c>
      <c r="E8436" t="b">
        <v>0</v>
      </c>
      <c r="F8436" t="s">
        <v>11610</v>
      </c>
      <c r="L8436">
        <v>0</v>
      </c>
      <c r="M8436">
        <v>0</v>
      </c>
      <c r="N8436">
        <v>0</v>
      </c>
    </row>
    <row r="8437" spans="1:15">
      <c r="A8437" t="s">
        <v>25260</v>
      </c>
      <c r="B8437" t="s">
        <v>6742</v>
      </c>
      <c r="C8437" t="s">
        <v>31402</v>
      </c>
      <c r="D8437" t="s">
        <v>33751</v>
      </c>
      <c r="E8437" t="b">
        <v>0</v>
      </c>
      <c r="F8437" t="s">
        <v>11624</v>
      </c>
      <c r="G8437">
        <v>7.2023599999999997</v>
      </c>
      <c r="H8437">
        <v>10.2576</v>
      </c>
      <c r="I8437" t="s">
        <v>33752</v>
      </c>
      <c r="L8437">
        <v>0</v>
      </c>
      <c r="M8437">
        <v>0</v>
      </c>
      <c r="N8437">
        <v>2</v>
      </c>
      <c r="O8437" t="s">
        <v>11802</v>
      </c>
    </row>
    <row r="8438" spans="1:15">
      <c r="A8438" t="s">
        <v>21927</v>
      </c>
      <c r="B8438" t="s">
        <v>12738</v>
      </c>
      <c r="C8438" t="s">
        <v>12738</v>
      </c>
      <c r="D8438" t="s">
        <v>33753</v>
      </c>
      <c r="E8438" t="b">
        <v>0</v>
      </c>
      <c r="F8438" t="s">
        <v>11622</v>
      </c>
      <c r="L8438">
        <v>0</v>
      </c>
      <c r="M8438">
        <v>4</v>
      </c>
      <c r="N8438">
        <v>3</v>
      </c>
    </row>
    <row r="8439" spans="1:15">
      <c r="A8439" t="s">
        <v>21806</v>
      </c>
      <c r="B8439" t="s">
        <v>6742</v>
      </c>
      <c r="C8439" t="s">
        <v>12815</v>
      </c>
      <c r="D8439" t="s">
        <v>33754</v>
      </c>
      <c r="E8439" t="b">
        <v>0</v>
      </c>
      <c r="F8439" t="s">
        <v>11622</v>
      </c>
      <c r="L8439">
        <v>5</v>
      </c>
      <c r="M8439">
        <v>15</v>
      </c>
      <c r="N8439">
        <v>28</v>
      </c>
    </row>
    <row r="8440" spans="1:15">
      <c r="A8440" t="s">
        <v>33755</v>
      </c>
      <c r="B8440" t="s">
        <v>6742</v>
      </c>
      <c r="C8440" t="s">
        <v>21805</v>
      </c>
      <c r="D8440" t="s">
        <v>33756</v>
      </c>
      <c r="E8440" t="b">
        <v>0</v>
      </c>
      <c r="F8440" t="s">
        <v>11622</v>
      </c>
      <c r="L8440">
        <v>2</v>
      </c>
      <c r="M8440">
        <v>12</v>
      </c>
      <c r="N8440">
        <v>16</v>
      </c>
    </row>
    <row r="8441" spans="1:15">
      <c r="A8441" t="s">
        <v>31402</v>
      </c>
      <c r="B8441" t="s">
        <v>6742</v>
      </c>
      <c r="C8441" t="s">
        <v>33755</v>
      </c>
      <c r="D8441" t="s">
        <v>33757</v>
      </c>
      <c r="E8441" t="b">
        <v>0</v>
      </c>
      <c r="F8441" t="s">
        <v>11622</v>
      </c>
      <c r="L8441">
        <v>0</v>
      </c>
      <c r="M8441">
        <v>8</v>
      </c>
      <c r="N8441">
        <v>8</v>
      </c>
    </row>
    <row r="8442" spans="1:15">
      <c r="A8442" t="s">
        <v>33758</v>
      </c>
      <c r="B8442" t="s">
        <v>19339</v>
      </c>
      <c r="C8442" t="s">
        <v>33759</v>
      </c>
      <c r="D8442" t="s">
        <v>33760</v>
      </c>
      <c r="E8442" t="b">
        <v>0</v>
      </c>
      <c r="F8442" t="s">
        <v>11624</v>
      </c>
      <c r="L8442">
        <v>0</v>
      </c>
      <c r="M8442">
        <v>0</v>
      </c>
      <c r="N8442">
        <v>0</v>
      </c>
      <c r="O8442" t="s">
        <v>11910</v>
      </c>
    </row>
    <row r="8443" spans="1:15">
      <c r="A8443" t="s">
        <v>33761</v>
      </c>
      <c r="B8443" t="s">
        <v>12241</v>
      </c>
      <c r="C8443" t="s">
        <v>12241</v>
      </c>
      <c r="D8443" t="s">
        <v>33762</v>
      </c>
      <c r="E8443" t="b">
        <v>0</v>
      </c>
      <c r="F8443" t="s">
        <v>11624</v>
      </c>
      <c r="L8443">
        <v>0</v>
      </c>
      <c r="M8443">
        <v>0</v>
      </c>
      <c r="N8443">
        <v>0</v>
      </c>
      <c r="O8443" t="s">
        <v>11883</v>
      </c>
    </row>
    <row r="8444" spans="1:15">
      <c r="A8444" t="s">
        <v>33763</v>
      </c>
      <c r="B8444" t="s">
        <v>11912</v>
      </c>
      <c r="C8444" t="s">
        <v>33764</v>
      </c>
      <c r="D8444" t="s">
        <v>33765</v>
      </c>
      <c r="E8444" t="b">
        <v>0</v>
      </c>
      <c r="F8444" t="s">
        <v>11624</v>
      </c>
      <c r="G8444">
        <v>-7.27501</v>
      </c>
      <c r="H8444">
        <v>-64.099800000000002</v>
      </c>
      <c r="I8444" t="s">
        <v>33766</v>
      </c>
      <c r="L8444">
        <v>0</v>
      </c>
      <c r="M8444">
        <v>0</v>
      </c>
      <c r="N8444">
        <v>0</v>
      </c>
      <c r="O8444" t="s">
        <v>11969</v>
      </c>
    </row>
    <row r="8445" spans="1:15">
      <c r="A8445" t="s">
        <v>33767</v>
      </c>
      <c r="B8445" t="s">
        <v>11894</v>
      </c>
      <c r="C8445" t="s">
        <v>33768</v>
      </c>
      <c r="D8445" t="s">
        <v>33769</v>
      </c>
      <c r="E8445" t="b">
        <v>0</v>
      </c>
      <c r="F8445" t="s">
        <v>11624</v>
      </c>
      <c r="G8445">
        <v>-1.77291</v>
      </c>
      <c r="H8445">
        <v>-69.195556999999994</v>
      </c>
      <c r="L8445">
        <v>0</v>
      </c>
      <c r="M8445">
        <v>0</v>
      </c>
      <c r="N8445">
        <v>0</v>
      </c>
      <c r="O8445" t="s">
        <v>11898</v>
      </c>
    </row>
    <row r="8446" spans="1:15">
      <c r="A8446" t="s">
        <v>33770</v>
      </c>
      <c r="B8446" t="s">
        <v>11757</v>
      </c>
      <c r="C8446" t="s">
        <v>33771</v>
      </c>
      <c r="D8446" t="s">
        <v>33772</v>
      </c>
      <c r="E8446" t="b">
        <v>0</v>
      </c>
      <c r="F8446" t="s">
        <v>11624</v>
      </c>
      <c r="G8446">
        <v>10.434900000000001</v>
      </c>
      <c r="H8446">
        <v>33.749400000000001</v>
      </c>
      <c r="I8446" t="s">
        <v>33773</v>
      </c>
      <c r="L8446">
        <v>0</v>
      </c>
      <c r="M8446">
        <v>0</v>
      </c>
      <c r="N8446">
        <v>0</v>
      </c>
      <c r="O8446" t="s">
        <v>11910</v>
      </c>
    </row>
    <row r="8447" spans="1:15">
      <c r="A8447" t="s">
        <v>14869</v>
      </c>
      <c r="B8447" t="s">
        <v>11637</v>
      </c>
      <c r="C8447" t="s">
        <v>25351</v>
      </c>
      <c r="D8447" t="s">
        <v>33774</v>
      </c>
      <c r="E8447" t="b">
        <v>0</v>
      </c>
      <c r="F8447" t="s">
        <v>11624</v>
      </c>
      <c r="G8447">
        <v>29.1708</v>
      </c>
      <c r="H8447">
        <v>82.436999999999998</v>
      </c>
      <c r="I8447" t="s">
        <v>33775</v>
      </c>
      <c r="L8447">
        <v>0</v>
      </c>
      <c r="M8447">
        <v>0</v>
      </c>
      <c r="N8447">
        <v>4</v>
      </c>
      <c r="O8447" t="s">
        <v>15007</v>
      </c>
    </row>
    <row r="8448" spans="1:15">
      <c r="A8448" t="s">
        <v>33776</v>
      </c>
      <c r="B8448" t="s">
        <v>11981</v>
      </c>
      <c r="C8448" t="s">
        <v>11982</v>
      </c>
      <c r="D8448" t="s">
        <v>33777</v>
      </c>
      <c r="E8448" t="b">
        <v>0</v>
      </c>
      <c r="F8448" t="s">
        <v>11624</v>
      </c>
      <c r="G8448">
        <v>29.275278</v>
      </c>
      <c r="H8448">
        <v>82.183333000000005</v>
      </c>
      <c r="I8448" t="s">
        <v>33778</v>
      </c>
      <c r="L8448">
        <v>0</v>
      </c>
      <c r="M8448">
        <v>0</v>
      </c>
      <c r="N8448">
        <v>0</v>
      </c>
      <c r="O8448" t="s">
        <v>15007</v>
      </c>
    </row>
    <row r="8449" spans="1:15">
      <c r="A8449" t="s">
        <v>33779</v>
      </c>
      <c r="B8449" t="s">
        <v>6742</v>
      </c>
      <c r="C8449" t="s">
        <v>3193</v>
      </c>
      <c r="D8449" t="s">
        <v>33780</v>
      </c>
      <c r="E8449" t="b">
        <v>0</v>
      </c>
      <c r="F8449" t="s">
        <v>11610</v>
      </c>
      <c r="L8449">
        <v>0</v>
      </c>
      <c r="M8449">
        <v>0</v>
      </c>
      <c r="N8449">
        <v>0</v>
      </c>
    </row>
    <row r="8450" spans="1:15">
      <c r="A8450" t="s">
        <v>33781</v>
      </c>
      <c r="B8450" t="s">
        <v>6742</v>
      </c>
      <c r="C8450" t="s">
        <v>17167</v>
      </c>
      <c r="D8450" t="s">
        <v>33782</v>
      </c>
      <c r="E8450" t="b">
        <v>0</v>
      </c>
      <c r="F8450" t="s">
        <v>11610</v>
      </c>
      <c r="L8450">
        <v>0</v>
      </c>
      <c r="M8450">
        <v>0</v>
      </c>
      <c r="N8450">
        <v>0</v>
      </c>
    </row>
    <row r="8451" spans="1:15">
      <c r="A8451" t="s">
        <v>33783</v>
      </c>
      <c r="B8451" t="s">
        <v>6742</v>
      </c>
      <c r="C8451" t="s">
        <v>16549</v>
      </c>
      <c r="D8451" t="s">
        <v>33784</v>
      </c>
      <c r="E8451" t="b">
        <v>0</v>
      </c>
      <c r="F8451" t="s">
        <v>11610</v>
      </c>
      <c r="L8451">
        <v>0</v>
      </c>
      <c r="M8451">
        <v>0</v>
      </c>
      <c r="N8451">
        <v>0</v>
      </c>
    </row>
    <row r="8452" spans="1:15">
      <c r="A8452" t="s">
        <v>29874</v>
      </c>
      <c r="B8452" t="s">
        <v>141</v>
      </c>
      <c r="C8452" t="s">
        <v>32437</v>
      </c>
      <c r="D8452" t="s">
        <v>33785</v>
      </c>
      <c r="E8452" t="b">
        <v>0</v>
      </c>
      <c r="F8452" t="s">
        <v>11624</v>
      </c>
      <c r="G8452">
        <v>0.88871999999999995</v>
      </c>
      <c r="H8452">
        <v>-76.659300000000002</v>
      </c>
      <c r="I8452" t="s">
        <v>33786</v>
      </c>
      <c r="L8452">
        <v>0</v>
      </c>
      <c r="M8452">
        <v>0</v>
      </c>
      <c r="N8452">
        <v>2</v>
      </c>
      <c r="O8452" t="s">
        <v>11898</v>
      </c>
    </row>
    <row r="8453" spans="1:15">
      <c r="A8453" t="s">
        <v>33787</v>
      </c>
      <c r="B8453" t="s">
        <v>12250</v>
      </c>
      <c r="C8453" t="s">
        <v>12953</v>
      </c>
      <c r="D8453" t="s">
        <v>33788</v>
      </c>
      <c r="E8453" t="b">
        <v>0</v>
      </c>
      <c r="F8453" t="s">
        <v>11610</v>
      </c>
      <c r="L8453">
        <v>0</v>
      </c>
      <c r="M8453">
        <v>0</v>
      </c>
      <c r="N8453">
        <v>0</v>
      </c>
    </row>
    <row r="8454" spans="1:15">
      <c r="A8454" t="s">
        <v>33789</v>
      </c>
      <c r="B8454" t="s">
        <v>2975</v>
      </c>
      <c r="C8454" t="s">
        <v>33790</v>
      </c>
      <c r="D8454" t="s">
        <v>33791</v>
      </c>
      <c r="E8454" t="b">
        <v>0</v>
      </c>
      <c r="F8454" t="s">
        <v>11624</v>
      </c>
      <c r="G8454">
        <v>-0.5</v>
      </c>
      <c r="H8454">
        <v>-70</v>
      </c>
      <c r="L8454">
        <v>0</v>
      </c>
      <c r="M8454">
        <v>0</v>
      </c>
      <c r="N8454">
        <v>0</v>
      </c>
      <c r="O8454" t="s">
        <v>11898</v>
      </c>
    </row>
    <row r="8455" spans="1:15">
      <c r="A8455" t="s">
        <v>33792</v>
      </c>
      <c r="B8455" t="s">
        <v>15027</v>
      </c>
      <c r="C8455" t="s">
        <v>33793</v>
      </c>
      <c r="D8455" t="s">
        <v>33794</v>
      </c>
      <c r="E8455" t="b">
        <v>0</v>
      </c>
      <c r="F8455" t="s">
        <v>11624</v>
      </c>
      <c r="G8455">
        <v>16.891200000000001</v>
      </c>
      <c r="H8455">
        <v>-95.848399999999998</v>
      </c>
      <c r="I8455" t="s">
        <v>33795</v>
      </c>
      <c r="L8455">
        <v>0</v>
      </c>
      <c r="M8455">
        <v>0</v>
      </c>
      <c r="N8455">
        <v>2</v>
      </c>
      <c r="O8455" t="s">
        <v>11883</v>
      </c>
    </row>
    <row r="8456" spans="1:15">
      <c r="A8456" t="s">
        <v>33796</v>
      </c>
      <c r="B8456" t="s">
        <v>12438</v>
      </c>
      <c r="C8456" t="s">
        <v>33797</v>
      </c>
      <c r="D8456" t="s">
        <v>33798</v>
      </c>
      <c r="E8456" t="b">
        <v>0</v>
      </c>
      <c r="F8456" t="s">
        <v>11624</v>
      </c>
      <c r="G8456">
        <v>19.091000000000001</v>
      </c>
      <c r="H8456">
        <v>84.120400000000004</v>
      </c>
      <c r="I8456" t="s">
        <v>33799</v>
      </c>
      <c r="L8456">
        <v>0</v>
      </c>
      <c r="M8456">
        <v>0</v>
      </c>
      <c r="N8456">
        <v>0</v>
      </c>
      <c r="O8456" t="s">
        <v>11630</v>
      </c>
    </row>
    <row r="8457" spans="1:15">
      <c r="A8457" t="s">
        <v>33800</v>
      </c>
      <c r="B8457" t="s">
        <v>12686</v>
      </c>
      <c r="C8457" t="s">
        <v>33801</v>
      </c>
      <c r="D8457" t="s">
        <v>33802</v>
      </c>
      <c r="E8457" t="b">
        <v>0</v>
      </c>
      <c r="F8457" t="s">
        <v>11624</v>
      </c>
      <c r="G8457">
        <v>44.412626000000003</v>
      </c>
      <c r="H8457">
        <v>126.866803</v>
      </c>
      <c r="I8457" t="s">
        <v>33803</v>
      </c>
      <c r="L8457">
        <v>0</v>
      </c>
      <c r="M8457">
        <v>0</v>
      </c>
      <c r="N8457">
        <v>0</v>
      </c>
      <c r="O8457" t="s">
        <v>11905</v>
      </c>
    </row>
    <row r="8458" spans="1:15">
      <c r="A8458" t="s">
        <v>33804</v>
      </c>
      <c r="B8458" t="s">
        <v>33805</v>
      </c>
      <c r="C8458" t="s">
        <v>33805</v>
      </c>
      <c r="D8458" t="s">
        <v>33806</v>
      </c>
      <c r="E8458" t="b">
        <v>0</v>
      </c>
      <c r="F8458" t="s">
        <v>11624</v>
      </c>
      <c r="G8458">
        <v>-1.358881</v>
      </c>
      <c r="H8458">
        <v>-69.984741</v>
      </c>
      <c r="L8458">
        <v>0</v>
      </c>
      <c r="M8458">
        <v>0</v>
      </c>
      <c r="N8458">
        <v>0</v>
      </c>
      <c r="O8458" t="s">
        <v>11898</v>
      </c>
    </row>
    <row r="8459" spans="1:15">
      <c r="A8459" t="s">
        <v>33807</v>
      </c>
      <c r="B8459" t="s">
        <v>11729</v>
      </c>
      <c r="C8459" t="s">
        <v>33808</v>
      </c>
      <c r="D8459" t="s">
        <v>33809</v>
      </c>
      <c r="E8459" t="b">
        <v>0</v>
      </c>
      <c r="F8459" t="s">
        <v>11624</v>
      </c>
      <c r="G8459">
        <v>6.0332100000000004</v>
      </c>
      <c r="H8459">
        <v>29.974</v>
      </c>
      <c r="I8459" t="s">
        <v>33810</v>
      </c>
      <c r="L8459">
        <v>0</v>
      </c>
      <c r="M8459">
        <v>0</v>
      </c>
      <c r="N8459">
        <v>3</v>
      </c>
      <c r="O8459" t="s">
        <v>11910</v>
      </c>
    </row>
    <row r="8460" spans="1:15">
      <c r="A8460" t="s">
        <v>2421</v>
      </c>
      <c r="B8460" t="s">
        <v>11912</v>
      </c>
      <c r="C8460" t="s">
        <v>33811</v>
      </c>
      <c r="D8460" t="s">
        <v>33812</v>
      </c>
      <c r="E8460" t="b">
        <v>0</v>
      </c>
      <c r="F8460" t="s">
        <v>11624</v>
      </c>
      <c r="G8460">
        <v>-10.9354</v>
      </c>
      <c r="H8460">
        <v>-53.347200000000001</v>
      </c>
      <c r="I8460" t="s">
        <v>33813</v>
      </c>
      <c r="L8460">
        <v>0</v>
      </c>
      <c r="M8460">
        <v>0</v>
      </c>
      <c r="N8460">
        <v>0</v>
      </c>
      <c r="O8460" t="s">
        <v>11969</v>
      </c>
    </row>
    <row r="8461" spans="1:15">
      <c r="A8461" t="s">
        <v>33814</v>
      </c>
      <c r="B8461" t="s">
        <v>14398</v>
      </c>
      <c r="C8461" t="s">
        <v>23604</v>
      </c>
      <c r="D8461" t="s">
        <v>33815</v>
      </c>
      <c r="E8461" t="b">
        <v>0</v>
      </c>
      <c r="F8461" t="s">
        <v>11610</v>
      </c>
      <c r="L8461">
        <v>0</v>
      </c>
      <c r="M8461">
        <v>0</v>
      </c>
      <c r="N8461">
        <v>0</v>
      </c>
    </row>
    <row r="8462" spans="1:15">
      <c r="A8462" t="s">
        <v>14270</v>
      </c>
      <c r="B8462" t="s">
        <v>11894</v>
      </c>
      <c r="C8462" t="s">
        <v>13166</v>
      </c>
      <c r="D8462" t="s">
        <v>33816</v>
      </c>
      <c r="E8462" t="b">
        <v>0</v>
      </c>
      <c r="F8462" t="s">
        <v>11622</v>
      </c>
      <c r="L8462">
        <v>0</v>
      </c>
      <c r="M8462">
        <v>2</v>
      </c>
      <c r="N8462">
        <v>0</v>
      </c>
    </row>
    <row r="8463" spans="1:15">
      <c r="A8463" t="s">
        <v>33817</v>
      </c>
      <c r="B8463" t="s">
        <v>11637</v>
      </c>
      <c r="C8463" t="s">
        <v>33818</v>
      </c>
      <c r="D8463" t="s">
        <v>33819</v>
      </c>
      <c r="E8463" t="b">
        <v>0</v>
      </c>
      <c r="F8463" t="s">
        <v>11624</v>
      </c>
      <c r="G8463">
        <v>54.911000000000001</v>
      </c>
      <c r="H8463">
        <v>9.3892399999999991</v>
      </c>
      <c r="I8463" t="s">
        <v>33820</v>
      </c>
      <c r="L8463">
        <v>0</v>
      </c>
      <c r="M8463">
        <v>0</v>
      </c>
      <c r="N8463">
        <v>0</v>
      </c>
      <c r="O8463" t="s">
        <v>24059</v>
      </c>
    </row>
    <row r="8464" spans="1:15">
      <c r="A8464" t="s">
        <v>33821</v>
      </c>
      <c r="B8464" t="s">
        <v>11607</v>
      </c>
      <c r="C8464" t="s">
        <v>33822</v>
      </c>
      <c r="D8464" t="s">
        <v>33823</v>
      </c>
      <c r="E8464" t="b">
        <v>0</v>
      </c>
      <c r="F8464" t="s">
        <v>11624</v>
      </c>
      <c r="G8464">
        <v>10.1845</v>
      </c>
      <c r="H8464">
        <v>9.81175</v>
      </c>
      <c r="I8464" t="s">
        <v>33824</v>
      </c>
      <c r="L8464">
        <v>0</v>
      </c>
      <c r="M8464">
        <v>0</v>
      </c>
      <c r="N8464">
        <v>0</v>
      </c>
      <c r="O8464" t="s">
        <v>11693</v>
      </c>
    </row>
    <row r="8465" spans="1:15">
      <c r="A8465" t="s">
        <v>33825</v>
      </c>
      <c r="B8465" t="s">
        <v>11834</v>
      </c>
      <c r="C8465" t="s">
        <v>33826</v>
      </c>
      <c r="D8465" t="s">
        <v>33827</v>
      </c>
      <c r="E8465" t="b">
        <v>0</v>
      </c>
      <c r="F8465" t="s">
        <v>11624</v>
      </c>
      <c r="G8465">
        <v>-3.7859600000000002</v>
      </c>
      <c r="H8465">
        <v>143.68100000000001</v>
      </c>
      <c r="I8465" t="s">
        <v>33828</v>
      </c>
      <c r="L8465">
        <v>0</v>
      </c>
      <c r="M8465">
        <v>0</v>
      </c>
      <c r="N8465">
        <v>0</v>
      </c>
      <c r="O8465" t="s">
        <v>11660</v>
      </c>
    </row>
    <row r="8466" spans="1:15">
      <c r="A8466" t="s">
        <v>8182</v>
      </c>
      <c r="B8466" t="s">
        <v>11879</v>
      </c>
      <c r="C8466" t="s">
        <v>15518</v>
      </c>
      <c r="D8466" t="s">
        <v>33829</v>
      </c>
      <c r="E8466" t="b">
        <v>0</v>
      </c>
      <c r="F8466" t="s">
        <v>11624</v>
      </c>
      <c r="G8466">
        <v>17.351800000000001</v>
      </c>
      <c r="H8466">
        <v>-98.014600000000002</v>
      </c>
      <c r="I8466" t="s">
        <v>8184</v>
      </c>
      <c r="L8466">
        <v>0</v>
      </c>
      <c r="M8466">
        <v>0</v>
      </c>
      <c r="N8466">
        <v>0</v>
      </c>
      <c r="O8466" t="s">
        <v>11883</v>
      </c>
    </row>
    <row r="8467" spans="1:15">
      <c r="A8467" t="s">
        <v>33830</v>
      </c>
      <c r="B8467" t="s">
        <v>6742</v>
      </c>
      <c r="C8467" t="s">
        <v>33831</v>
      </c>
      <c r="D8467" t="s">
        <v>33832</v>
      </c>
      <c r="E8467" t="b">
        <v>0</v>
      </c>
      <c r="F8467" t="s">
        <v>11624</v>
      </c>
      <c r="G8467">
        <v>5.1075200000000001</v>
      </c>
      <c r="H8467">
        <v>-2.1089099999999998</v>
      </c>
      <c r="I8467" t="s">
        <v>33833</v>
      </c>
      <c r="L8467">
        <v>0</v>
      </c>
      <c r="M8467">
        <v>0</v>
      </c>
      <c r="N8467">
        <v>2</v>
      </c>
      <c r="O8467" t="s">
        <v>11985</v>
      </c>
    </row>
    <row r="8468" spans="1:15">
      <c r="A8468" t="s">
        <v>33834</v>
      </c>
      <c r="B8468" t="s">
        <v>6742</v>
      </c>
      <c r="C8468" t="s">
        <v>33830</v>
      </c>
      <c r="D8468" t="s">
        <v>33835</v>
      </c>
      <c r="E8468" t="b">
        <v>0</v>
      </c>
      <c r="F8468" t="s">
        <v>11610</v>
      </c>
      <c r="L8468">
        <v>0</v>
      </c>
      <c r="M8468">
        <v>0</v>
      </c>
      <c r="N8468">
        <v>0</v>
      </c>
    </row>
    <row r="8469" spans="1:15">
      <c r="A8469" t="s">
        <v>33831</v>
      </c>
      <c r="B8469" t="s">
        <v>6742</v>
      </c>
      <c r="C8469" t="s">
        <v>12417</v>
      </c>
      <c r="D8469" t="s">
        <v>33836</v>
      </c>
      <c r="E8469" t="b">
        <v>0</v>
      </c>
      <c r="F8469" t="s">
        <v>11622</v>
      </c>
      <c r="L8469">
        <v>0</v>
      </c>
      <c r="M8469">
        <v>2</v>
      </c>
      <c r="N8469">
        <v>3</v>
      </c>
    </row>
    <row r="8470" spans="1:15">
      <c r="A8470" t="s">
        <v>33837</v>
      </c>
      <c r="B8470" t="s">
        <v>6742</v>
      </c>
      <c r="C8470" t="s">
        <v>16541</v>
      </c>
      <c r="D8470" t="s">
        <v>33838</v>
      </c>
      <c r="E8470" t="b">
        <v>0</v>
      </c>
      <c r="F8470" t="s">
        <v>11610</v>
      </c>
      <c r="L8470">
        <v>0</v>
      </c>
      <c r="M8470">
        <v>0</v>
      </c>
      <c r="N8470">
        <v>0</v>
      </c>
    </row>
    <row r="8471" spans="1:15">
      <c r="A8471" t="s">
        <v>33839</v>
      </c>
      <c r="B8471" t="s">
        <v>12562</v>
      </c>
      <c r="C8471" t="s">
        <v>33840</v>
      </c>
      <c r="D8471" t="s">
        <v>33841</v>
      </c>
      <c r="E8471" t="b">
        <v>0</v>
      </c>
      <c r="F8471" t="s">
        <v>11610</v>
      </c>
      <c r="L8471">
        <v>0</v>
      </c>
      <c r="M8471">
        <v>0</v>
      </c>
      <c r="N8471">
        <v>0</v>
      </c>
    </row>
    <row r="8472" spans="1:15">
      <c r="A8472" t="s">
        <v>33842</v>
      </c>
      <c r="B8472" t="s">
        <v>13276</v>
      </c>
      <c r="C8472" t="s">
        <v>18350</v>
      </c>
      <c r="D8472" t="s">
        <v>33843</v>
      </c>
      <c r="E8472" t="b">
        <v>0</v>
      </c>
      <c r="F8472" t="s">
        <v>11610</v>
      </c>
      <c r="L8472">
        <v>0</v>
      </c>
      <c r="M8472">
        <v>0</v>
      </c>
      <c r="N8472">
        <v>0</v>
      </c>
    </row>
    <row r="8473" spans="1:15">
      <c r="A8473" t="s">
        <v>33844</v>
      </c>
      <c r="B8473" t="s">
        <v>3164</v>
      </c>
      <c r="C8473" t="s">
        <v>33845</v>
      </c>
      <c r="D8473" t="s">
        <v>33846</v>
      </c>
      <c r="E8473" t="b">
        <v>0</v>
      </c>
      <c r="F8473" t="s">
        <v>11610</v>
      </c>
      <c r="L8473">
        <v>0</v>
      </c>
      <c r="M8473">
        <v>0</v>
      </c>
      <c r="N8473">
        <v>0</v>
      </c>
    </row>
    <row r="8474" spans="1:15">
      <c r="A8474" t="s">
        <v>33847</v>
      </c>
      <c r="B8474" t="s">
        <v>6742</v>
      </c>
      <c r="C8474" t="s">
        <v>16634</v>
      </c>
      <c r="D8474" t="s">
        <v>33848</v>
      </c>
      <c r="E8474" t="b">
        <v>0</v>
      </c>
      <c r="F8474" t="s">
        <v>11610</v>
      </c>
      <c r="L8474">
        <v>0</v>
      </c>
      <c r="M8474">
        <v>0</v>
      </c>
      <c r="N8474">
        <v>0</v>
      </c>
    </row>
    <row r="8475" spans="1:15">
      <c r="A8475" t="s">
        <v>33849</v>
      </c>
      <c r="B8475" t="s">
        <v>11637</v>
      </c>
      <c r="C8475" t="s">
        <v>27449</v>
      </c>
      <c r="D8475" t="s">
        <v>33850</v>
      </c>
      <c r="E8475" t="b">
        <v>0</v>
      </c>
      <c r="F8475" t="s">
        <v>11610</v>
      </c>
      <c r="L8475">
        <v>0</v>
      </c>
      <c r="M8475">
        <v>0</v>
      </c>
      <c r="N8475">
        <v>0</v>
      </c>
    </row>
    <row r="8476" spans="1:15">
      <c r="A8476" t="s">
        <v>33851</v>
      </c>
      <c r="B8476" t="s">
        <v>6742</v>
      </c>
      <c r="C8476" t="s">
        <v>25291</v>
      </c>
      <c r="D8476" t="s">
        <v>33852</v>
      </c>
      <c r="E8476" t="b">
        <v>0</v>
      </c>
      <c r="F8476" t="s">
        <v>11624</v>
      </c>
      <c r="G8476">
        <v>-4.0408999999999997</v>
      </c>
      <c r="H8476">
        <v>13.284000000000001</v>
      </c>
      <c r="I8476" t="s">
        <v>33853</v>
      </c>
      <c r="L8476">
        <v>0</v>
      </c>
      <c r="M8476">
        <v>0</v>
      </c>
      <c r="N8476">
        <v>0</v>
      </c>
      <c r="O8476" t="s">
        <v>12868</v>
      </c>
    </row>
    <row r="8477" spans="1:15">
      <c r="A8477" t="s">
        <v>33854</v>
      </c>
      <c r="B8477" t="s">
        <v>6742</v>
      </c>
      <c r="C8477" t="s">
        <v>25111</v>
      </c>
      <c r="D8477" t="s">
        <v>33855</v>
      </c>
      <c r="E8477" t="b">
        <v>0</v>
      </c>
      <c r="F8477" t="s">
        <v>11624</v>
      </c>
      <c r="G8477">
        <v>10.1675</v>
      </c>
      <c r="H8477">
        <v>-3.70994</v>
      </c>
      <c r="I8477" t="s">
        <v>33856</v>
      </c>
      <c r="L8477">
        <v>0</v>
      </c>
      <c r="M8477">
        <v>0</v>
      </c>
      <c r="N8477">
        <v>2</v>
      </c>
      <c r="O8477" t="s">
        <v>19305</v>
      </c>
    </row>
    <row r="8478" spans="1:15">
      <c r="A8478" t="s">
        <v>33857</v>
      </c>
      <c r="B8478" t="s">
        <v>6742</v>
      </c>
      <c r="C8478" t="s">
        <v>17899</v>
      </c>
      <c r="D8478" t="s">
        <v>33858</v>
      </c>
      <c r="E8478" t="b">
        <v>0</v>
      </c>
      <c r="F8478" t="s">
        <v>11624</v>
      </c>
      <c r="G8478">
        <v>9.7078100000000003</v>
      </c>
      <c r="H8478">
        <v>12.1508</v>
      </c>
      <c r="I8478" t="s">
        <v>33859</v>
      </c>
      <c r="L8478">
        <v>0</v>
      </c>
      <c r="M8478">
        <v>0</v>
      </c>
      <c r="N8478">
        <v>0</v>
      </c>
      <c r="O8478" t="s">
        <v>11693</v>
      </c>
    </row>
    <row r="8479" spans="1:15">
      <c r="A8479" t="s">
        <v>33860</v>
      </c>
      <c r="B8479" t="s">
        <v>11637</v>
      </c>
      <c r="C8479" t="s">
        <v>33861</v>
      </c>
      <c r="D8479" t="s">
        <v>33862</v>
      </c>
      <c r="E8479" t="b">
        <v>0</v>
      </c>
      <c r="F8479" t="s">
        <v>11624</v>
      </c>
      <c r="G8479">
        <v>37.052900000000001</v>
      </c>
      <c r="H8479">
        <v>49.760300000000001</v>
      </c>
      <c r="I8479" t="s">
        <v>33863</v>
      </c>
      <c r="L8479">
        <v>0</v>
      </c>
      <c r="M8479">
        <v>0</v>
      </c>
      <c r="N8479">
        <v>2</v>
      </c>
      <c r="O8479" t="s">
        <v>13225</v>
      </c>
    </row>
    <row r="8480" spans="1:15">
      <c r="A8480" t="s">
        <v>33864</v>
      </c>
      <c r="B8480" t="s">
        <v>11637</v>
      </c>
      <c r="C8480" t="s">
        <v>33860</v>
      </c>
      <c r="D8480" t="s">
        <v>33865</v>
      </c>
      <c r="E8480" t="b">
        <v>0</v>
      </c>
      <c r="F8480" t="s">
        <v>11610</v>
      </c>
      <c r="L8480">
        <v>0</v>
      </c>
      <c r="M8480">
        <v>0</v>
      </c>
      <c r="N8480">
        <v>0</v>
      </c>
    </row>
    <row r="8481" spans="1:15">
      <c r="A8481" t="s">
        <v>7654</v>
      </c>
      <c r="B8481" t="s">
        <v>11653</v>
      </c>
      <c r="C8481" t="s">
        <v>12136</v>
      </c>
      <c r="D8481" t="s">
        <v>33866</v>
      </c>
      <c r="E8481" t="b">
        <v>0</v>
      </c>
      <c r="F8481" t="s">
        <v>11624</v>
      </c>
      <c r="G8481">
        <v>43.508200000000002</v>
      </c>
      <c r="H8481">
        <v>43.391800000000003</v>
      </c>
      <c r="I8481" t="s">
        <v>7655</v>
      </c>
      <c r="L8481">
        <v>0</v>
      </c>
      <c r="M8481">
        <v>0</v>
      </c>
      <c r="N8481">
        <v>1</v>
      </c>
      <c r="O8481" t="s">
        <v>11718</v>
      </c>
    </row>
    <row r="8482" spans="1:15">
      <c r="A8482" t="s">
        <v>33867</v>
      </c>
      <c r="B8482" t="s">
        <v>6742</v>
      </c>
      <c r="C8482" t="s">
        <v>15575</v>
      </c>
      <c r="D8482" t="s">
        <v>33868</v>
      </c>
      <c r="E8482" t="b">
        <v>0</v>
      </c>
      <c r="F8482" t="s">
        <v>11610</v>
      </c>
      <c r="L8482">
        <v>0</v>
      </c>
      <c r="M8482">
        <v>0</v>
      </c>
      <c r="N8482">
        <v>0</v>
      </c>
    </row>
    <row r="8483" spans="1:15">
      <c r="A8483" t="s">
        <v>33869</v>
      </c>
      <c r="B8483" t="s">
        <v>6742</v>
      </c>
      <c r="C8483" t="s">
        <v>33700</v>
      </c>
      <c r="D8483" t="s">
        <v>33870</v>
      </c>
      <c r="E8483" t="b">
        <v>0</v>
      </c>
      <c r="F8483" t="s">
        <v>11610</v>
      </c>
      <c r="L8483">
        <v>0</v>
      </c>
      <c r="M8483">
        <v>0</v>
      </c>
      <c r="N8483">
        <v>0</v>
      </c>
    </row>
    <row r="8484" spans="1:15">
      <c r="A8484" t="s">
        <v>33871</v>
      </c>
      <c r="B8484" t="s">
        <v>11729</v>
      </c>
      <c r="C8484" t="s">
        <v>29576</v>
      </c>
      <c r="D8484" t="s">
        <v>33872</v>
      </c>
      <c r="E8484" t="b">
        <v>0</v>
      </c>
      <c r="F8484" t="s">
        <v>11624</v>
      </c>
      <c r="G8484">
        <v>7.6497200000000003</v>
      </c>
      <c r="H8484">
        <v>16.734400000000001</v>
      </c>
      <c r="I8484" t="s">
        <v>33873</v>
      </c>
      <c r="L8484">
        <v>0</v>
      </c>
      <c r="M8484">
        <v>0</v>
      </c>
      <c r="N8484">
        <v>0</v>
      </c>
      <c r="O8484" t="s">
        <v>15847</v>
      </c>
    </row>
    <row r="8485" spans="1:15">
      <c r="A8485" t="s">
        <v>33874</v>
      </c>
      <c r="B8485" t="s">
        <v>13967</v>
      </c>
      <c r="C8485" t="s">
        <v>21519</v>
      </c>
      <c r="D8485" t="s">
        <v>33875</v>
      </c>
      <c r="E8485" t="b">
        <v>0</v>
      </c>
      <c r="F8485" t="s">
        <v>11610</v>
      </c>
      <c r="L8485">
        <v>0</v>
      </c>
      <c r="M8485">
        <v>0</v>
      </c>
      <c r="N8485">
        <v>0</v>
      </c>
    </row>
    <row r="8486" spans="1:15">
      <c r="A8486" t="s">
        <v>33876</v>
      </c>
      <c r="B8486" t="s">
        <v>367</v>
      </c>
      <c r="C8486" t="s">
        <v>7268</v>
      </c>
      <c r="D8486" t="s">
        <v>33877</v>
      </c>
      <c r="E8486" t="b">
        <v>0</v>
      </c>
      <c r="F8486" t="s">
        <v>11610</v>
      </c>
      <c r="L8486">
        <v>0</v>
      </c>
      <c r="M8486">
        <v>0</v>
      </c>
      <c r="N8486">
        <v>0</v>
      </c>
    </row>
    <row r="8487" spans="1:15">
      <c r="A8487" t="s">
        <v>33878</v>
      </c>
      <c r="B8487" t="s">
        <v>367</v>
      </c>
      <c r="C8487" t="s">
        <v>19202</v>
      </c>
      <c r="D8487" t="s">
        <v>33879</v>
      </c>
      <c r="E8487" t="b">
        <v>0</v>
      </c>
      <c r="F8487" t="s">
        <v>11610</v>
      </c>
      <c r="L8487">
        <v>0</v>
      </c>
      <c r="M8487">
        <v>0</v>
      </c>
      <c r="N8487">
        <v>0</v>
      </c>
    </row>
    <row r="8488" spans="1:15">
      <c r="A8488" t="s">
        <v>33880</v>
      </c>
      <c r="B8488" t="s">
        <v>367</v>
      </c>
      <c r="C8488" t="s">
        <v>33881</v>
      </c>
      <c r="D8488" t="s">
        <v>33882</v>
      </c>
      <c r="E8488" t="b">
        <v>0</v>
      </c>
      <c r="F8488" t="s">
        <v>11610</v>
      </c>
      <c r="L8488">
        <v>0</v>
      </c>
      <c r="M8488">
        <v>0</v>
      </c>
      <c r="N8488">
        <v>0</v>
      </c>
    </row>
    <row r="8489" spans="1:15">
      <c r="A8489" t="s">
        <v>33883</v>
      </c>
      <c r="B8489" t="s">
        <v>367</v>
      </c>
      <c r="C8489" t="s">
        <v>33884</v>
      </c>
      <c r="D8489" t="s">
        <v>33885</v>
      </c>
      <c r="E8489" t="b">
        <v>0</v>
      </c>
      <c r="F8489" t="s">
        <v>11610</v>
      </c>
      <c r="L8489">
        <v>0</v>
      </c>
      <c r="M8489">
        <v>0</v>
      </c>
      <c r="N8489">
        <v>0</v>
      </c>
    </row>
    <row r="8490" spans="1:15">
      <c r="A8490" t="s">
        <v>28229</v>
      </c>
      <c r="B8490" t="s">
        <v>11607</v>
      </c>
      <c r="C8490" t="s">
        <v>26507</v>
      </c>
      <c r="D8490" t="s">
        <v>33886</v>
      </c>
      <c r="E8490" t="b">
        <v>0</v>
      </c>
      <c r="F8490" t="s">
        <v>11624</v>
      </c>
      <c r="G8490">
        <v>9.3837299999999999</v>
      </c>
      <c r="H8490">
        <v>16.2821</v>
      </c>
      <c r="I8490" t="s">
        <v>33887</v>
      </c>
      <c r="L8490">
        <v>0</v>
      </c>
      <c r="M8490">
        <v>0</v>
      </c>
      <c r="N8490">
        <v>1</v>
      </c>
      <c r="O8490" t="s">
        <v>13421</v>
      </c>
    </row>
    <row r="8491" spans="1:15">
      <c r="A8491" t="s">
        <v>33888</v>
      </c>
      <c r="B8491" t="s">
        <v>6742</v>
      </c>
      <c r="C8491" t="s">
        <v>17881</v>
      </c>
      <c r="D8491" t="s">
        <v>33889</v>
      </c>
      <c r="E8491" t="b">
        <v>0</v>
      </c>
      <c r="F8491" t="s">
        <v>11610</v>
      </c>
      <c r="L8491">
        <v>0</v>
      </c>
      <c r="M8491">
        <v>0</v>
      </c>
      <c r="N8491">
        <v>0</v>
      </c>
    </row>
    <row r="8492" spans="1:15">
      <c r="A8492" t="s">
        <v>14385</v>
      </c>
      <c r="B8492" t="s">
        <v>11615</v>
      </c>
      <c r="C8492" t="s">
        <v>27544</v>
      </c>
      <c r="D8492" t="s">
        <v>33890</v>
      </c>
      <c r="E8492" t="b">
        <v>0</v>
      </c>
      <c r="F8492" t="s">
        <v>11622</v>
      </c>
      <c r="L8492">
        <v>0</v>
      </c>
      <c r="M8492">
        <v>5</v>
      </c>
      <c r="N8492">
        <v>0</v>
      </c>
    </row>
    <row r="8493" spans="1:15">
      <c r="A8493" t="s">
        <v>33891</v>
      </c>
      <c r="B8493" t="s">
        <v>11607</v>
      </c>
      <c r="C8493" t="s">
        <v>28757</v>
      </c>
      <c r="D8493" t="s">
        <v>33892</v>
      </c>
      <c r="E8493" t="b">
        <v>0</v>
      </c>
      <c r="F8493" t="s">
        <v>11610</v>
      </c>
      <c r="L8493">
        <v>0</v>
      </c>
      <c r="M8493">
        <v>0</v>
      </c>
      <c r="N8493">
        <v>0</v>
      </c>
    </row>
    <row r="8494" spans="1:15">
      <c r="A8494" t="s">
        <v>2607</v>
      </c>
      <c r="B8494" t="s">
        <v>10597</v>
      </c>
      <c r="C8494" t="s">
        <v>26497</v>
      </c>
      <c r="D8494" t="s">
        <v>33893</v>
      </c>
      <c r="E8494" t="b">
        <v>0</v>
      </c>
      <c r="F8494" t="s">
        <v>11624</v>
      </c>
      <c r="G8494">
        <v>-25.44486229</v>
      </c>
      <c r="H8494">
        <v>153.15399289999999</v>
      </c>
      <c r="I8494" t="s">
        <v>33894</v>
      </c>
      <c r="L8494">
        <v>0</v>
      </c>
      <c r="M8494">
        <v>0</v>
      </c>
      <c r="N8494">
        <v>2</v>
      </c>
      <c r="O8494" t="s">
        <v>12107</v>
      </c>
    </row>
    <row r="8495" spans="1:15">
      <c r="A8495" t="s">
        <v>19744</v>
      </c>
      <c r="B8495" t="s">
        <v>6742</v>
      </c>
      <c r="C8495" t="s">
        <v>33895</v>
      </c>
      <c r="D8495" t="s">
        <v>33896</v>
      </c>
      <c r="E8495" t="b">
        <v>0</v>
      </c>
      <c r="F8495" t="s">
        <v>11624</v>
      </c>
      <c r="G8495">
        <v>8.9681599999999992</v>
      </c>
      <c r="H8495">
        <v>0.49502299999999999</v>
      </c>
      <c r="I8495" t="s">
        <v>33897</v>
      </c>
      <c r="L8495">
        <v>0</v>
      </c>
      <c r="M8495">
        <v>0</v>
      </c>
      <c r="N8495">
        <v>4</v>
      </c>
      <c r="O8495" t="s">
        <v>14040</v>
      </c>
    </row>
    <row r="8496" spans="1:15">
      <c r="A8496" t="s">
        <v>33898</v>
      </c>
      <c r="B8496" t="s">
        <v>367</v>
      </c>
      <c r="C8496" t="s">
        <v>16228</v>
      </c>
      <c r="D8496" t="s">
        <v>33899</v>
      </c>
      <c r="E8496" t="b">
        <v>0</v>
      </c>
      <c r="F8496" t="s">
        <v>11610</v>
      </c>
      <c r="L8496">
        <v>0</v>
      </c>
      <c r="M8496">
        <v>0</v>
      </c>
      <c r="N8496">
        <v>0</v>
      </c>
    </row>
    <row r="8497" spans="1:15">
      <c r="A8497" t="s">
        <v>33900</v>
      </c>
      <c r="B8497" t="s">
        <v>4342</v>
      </c>
      <c r="C8497" t="s">
        <v>30832</v>
      </c>
      <c r="D8497" t="s">
        <v>33901</v>
      </c>
      <c r="E8497" t="b">
        <v>0</v>
      </c>
      <c r="F8497" t="s">
        <v>11610</v>
      </c>
      <c r="L8497">
        <v>0</v>
      </c>
      <c r="M8497">
        <v>0</v>
      </c>
      <c r="N8497">
        <v>0</v>
      </c>
    </row>
    <row r="8498" spans="1:15">
      <c r="A8498" t="s">
        <v>33902</v>
      </c>
      <c r="B8498" t="s">
        <v>11627</v>
      </c>
      <c r="C8498" t="s">
        <v>11627</v>
      </c>
      <c r="D8498" t="s">
        <v>33903</v>
      </c>
      <c r="E8498" t="b">
        <v>1</v>
      </c>
      <c r="F8498" t="s">
        <v>11624</v>
      </c>
      <c r="G8498">
        <v>-14.2403</v>
      </c>
      <c r="H8498">
        <v>-58.993099999999998</v>
      </c>
      <c r="I8498" t="s">
        <v>33904</v>
      </c>
      <c r="L8498">
        <v>0</v>
      </c>
      <c r="M8498">
        <v>0</v>
      </c>
      <c r="N8498">
        <v>0</v>
      </c>
      <c r="O8498" t="s">
        <v>11969</v>
      </c>
    </row>
    <row r="8499" spans="1:15">
      <c r="A8499" t="s">
        <v>33895</v>
      </c>
      <c r="B8499" t="s">
        <v>6742</v>
      </c>
      <c r="C8499" t="s">
        <v>26065</v>
      </c>
      <c r="D8499" t="s">
        <v>33905</v>
      </c>
      <c r="E8499" t="b">
        <v>0</v>
      </c>
      <c r="F8499" t="s">
        <v>11622</v>
      </c>
      <c r="L8499">
        <v>0</v>
      </c>
      <c r="M8499">
        <v>3</v>
      </c>
      <c r="N8499">
        <v>7</v>
      </c>
    </row>
    <row r="8500" spans="1:15">
      <c r="A8500" t="s">
        <v>33906</v>
      </c>
      <c r="B8500" t="s">
        <v>12697</v>
      </c>
      <c r="C8500" t="s">
        <v>14175</v>
      </c>
      <c r="D8500" t="s">
        <v>33907</v>
      </c>
      <c r="E8500" t="b">
        <v>0</v>
      </c>
      <c r="F8500" t="s">
        <v>11610</v>
      </c>
      <c r="L8500">
        <v>0</v>
      </c>
      <c r="M8500">
        <v>0</v>
      </c>
      <c r="N8500">
        <v>0</v>
      </c>
    </row>
    <row r="8501" spans="1:15">
      <c r="A8501" t="s">
        <v>33908</v>
      </c>
      <c r="B8501" t="s">
        <v>11839</v>
      </c>
      <c r="C8501" t="s">
        <v>12012</v>
      </c>
      <c r="D8501" t="s">
        <v>33909</v>
      </c>
      <c r="E8501" t="b">
        <v>0</v>
      </c>
      <c r="F8501" t="s">
        <v>11624</v>
      </c>
      <c r="G8501">
        <v>-8.1731599999999993</v>
      </c>
      <c r="H8501">
        <v>124.539</v>
      </c>
      <c r="I8501" t="s">
        <v>33910</v>
      </c>
      <c r="L8501">
        <v>0</v>
      </c>
      <c r="M8501">
        <v>0</v>
      </c>
      <c r="N8501">
        <v>5</v>
      </c>
      <c r="O8501" t="s">
        <v>11768</v>
      </c>
    </row>
    <row r="8502" spans="1:15">
      <c r="A8502" t="s">
        <v>33911</v>
      </c>
      <c r="B8502" t="s">
        <v>11834</v>
      </c>
      <c r="C8502" t="s">
        <v>21799</v>
      </c>
      <c r="D8502" t="s">
        <v>33912</v>
      </c>
      <c r="E8502" t="b">
        <v>0</v>
      </c>
      <c r="F8502" t="s">
        <v>11624</v>
      </c>
      <c r="G8502">
        <v>-3.32403</v>
      </c>
      <c r="H8502">
        <v>141.88</v>
      </c>
      <c r="I8502" t="s">
        <v>33913</v>
      </c>
      <c r="L8502">
        <v>0</v>
      </c>
      <c r="M8502">
        <v>0</v>
      </c>
      <c r="N8502">
        <v>0</v>
      </c>
      <c r="O8502" t="s">
        <v>11660</v>
      </c>
    </row>
    <row r="8503" spans="1:15">
      <c r="A8503" t="s">
        <v>33914</v>
      </c>
      <c r="B8503" t="s">
        <v>13291</v>
      </c>
      <c r="C8503" t="s">
        <v>19558</v>
      </c>
      <c r="D8503" t="s">
        <v>33915</v>
      </c>
      <c r="E8503" t="b">
        <v>0</v>
      </c>
      <c r="F8503" t="s">
        <v>11610</v>
      </c>
      <c r="L8503">
        <v>0</v>
      </c>
      <c r="M8503">
        <v>0</v>
      </c>
      <c r="N8503">
        <v>0</v>
      </c>
    </row>
    <row r="8504" spans="1:15">
      <c r="A8504" t="s">
        <v>33916</v>
      </c>
      <c r="B8504" t="s">
        <v>6742</v>
      </c>
      <c r="C8504" t="s">
        <v>20190</v>
      </c>
      <c r="D8504" t="s">
        <v>33917</v>
      </c>
      <c r="E8504" t="b">
        <v>0</v>
      </c>
      <c r="F8504" t="s">
        <v>11624</v>
      </c>
      <c r="G8504">
        <v>0.28999999999999998</v>
      </c>
      <c r="H8504">
        <v>34.83</v>
      </c>
      <c r="I8504" t="s">
        <v>33918</v>
      </c>
      <c r="L8504">
        <v>0</v>
      </c>
      <c r="M8504">
        <v>0</v>
      </c>
      <c r="N8504">
        <v>0</v>
      </c>
      <c r="O8504" t="s">
        <v>22848</v>
      </c>
    </row>
    <row r="8505" spans="1:15">
      <c r="A8505" t="s">
        <v>33919</v>
      </c>
      <c r="B8505" t="s">
        <v>6742</v>
      </c>
      <c r="C8505" t="s">
        <v>20994</v>
      </c>
      <c r="D8505" t="s">
        <v>33920</v>
      </c>
      <c r="E8505" t="b">
        <v>0</v>
      </c>
      <c r="F8505" t="s">
        <v>11610</v>
      </c>
      <c r="L8505">
        <v>0</v>
      </c>
      <c r="M8505">
        <v>0</v>
      </c>
      <c r="N8505">
        <v>0</v>
      </c>
    </row>
    <row r="8506" spans="1:15">
      <c r="A8506" t="s">
        <v>33921</v>
      </c>
      <c r="B8506" t="s">
        <v>14314</v>
      </c>
      <c r="C8506" t="s">
        <v>14314</v>
      </c>
      <c r="D8506" t="s">
        <v>33922</v>
      </c>
      <c r="E8506" t="b">
        <v>0</v>
      </c>
      <c r="F8506" t="s">
        <v>11624</v>
      </c>
      <c r="G8506">
        <v>-1.92547</v>
      </c>
      <c r="H8506">
        <v>132.52799999999999</v>
      </c>
      <c r="I8506" t="s">
        <v>33923</v>
      </c>
      <c r="L8506">
        <v>0</v>
      </c>
      <c r="M8506">
        <v>0</v>
      </c>
      <c r="N8506">
        <v>0</v>
      </c>
      <c r="O8506" t="s">
        <v>11768</v>
      </c>
    </row>
    <row r="8507" spans="1:15">
      <c r="A8507" t="s">
        <v>33924</v>
      </c>
      <c r="B8507" t="s">
        <v>11637</v>
      </c>
      <c r="C8507" t="s">
        <v>15874</v>
      </c>
      <c r="D8507" t="s">
        <v>33925</v>
      </c>
      <c r="E8507" t="b">
        <v>0</v>
      </c>
      <c r="F8507" t="s">
        <v>11624</v>
      </c>
      <c r="G8507">
        <v>25.292000000000002</v>
      </c>
      <c r="H8507">
        <v>69.691000000000003</v>
      </c>
      <c r="I8507" t="s">
        <v>33926</v>
      </c>
      <c r="L8507">
        <v>0</v>
      </c>
      <c r="M8507">
        <v>0</v>
      </c>
      <c r="N8507">
        <v>0</v>
      </c>
      <c r="O8507" t="s">
        <v>12172</v>
      </c>
    </row>
    <row r="8508" spans="1:15">
      <c r="A8508" t="s">
        <v>33927</v>
      </c>
      <c r="B8508" t="s">
        <v>367</v>
      </c>
      <c r="C8508" t="s">
        <v>14327</v>
      </c>
      <c r="D8508" t="s">
        <v>33928</v>
      </c>
      <c r="E8508" t="b">
        <v>0</v>
      </c>
      <c r="F8508" t="s">
        <v>11610</v>
      </c>
      <c r="L8508">
        <v>0</v>
      </c>
      <c r="M8508">
        <v>0</v>
      </c>
      <c r="N8508">
        <v>0</v>
      </c>
    </row>
    <row r="8509" spans="1:15">
      <c r="A8509" t="s">
        <v>17118</v>
      </c>
      <c r="B8509" t="s">
        <v>11637</v>
      </c>
      <c r="C8509" t="s">
        <v>33929</v>
      </c>
      <c r="D8509" t="s">
        <v>33930</v>
      </c>
      <c r="E8509" t="b">
        <v>0</v>
      </c>
      <c r="F8509" t="s">
        <v>11624</v>
      </c>
      <c r="G8509">
        <v>15.0586</v>
      </c>
      <c r="H8509">
        <v>-23.614799999999999</v>
      </c>
      <c r="I8509" t="s">
        <v>33931</v>
      </c>
      <c r="L8509">
        <v>0</v>
      </c>
      <c r="M8509">
        <v>0</v>
      </c>
      <c r="N8509">
        <v>3</v>
      </c>
      <c r="O8509" t="s">
        <v>33932</v>
      </c>
    </row>
    <row r="8510" spans="1:15">
      <c r="A8510" t="s">
        <v>33933</v>
      </c>
      <c r="B8510" t="s">
        <v>11637</v>
      </c>
      <c r="C8510" t="s">
        <v>17118</v>
      </c>
      <c r="D8510" t="s">
        <v>33934</v>
      </c>
      <c r="E8510" t="b">
        <v>0</v>
      </c>
      <c r="F8510" t="s">
        <v>11610</v>
      </c>
      <c r="L8510">
        <v>0</v>
      </c>
      <c r="M8510">
        <v>0</v>
      </c>
      <c r="N8510">
        <v>0</v>
      </c>
    </row>
    <row r="8511" spans="1:15">
      <c r="A8511" t="s">
        <v>33935</v>
      </c>
      <c r="B8511" t="s">
        <v>6742</v>
      </c>
      <c r="C8511" t="s">
        <v>33936</v>
      </c>
      <c r="D8511" t="s">
        <v>33937</v>
      </c>
      <c r="E8511" t="b">
        <v>0</v>
      </c>
      <c r="F8511" t="s">
        <v>11624</v>
      </c>
      <c r="G8511">
        <v>-1.7123999999999999</v>
      </c>
      <c r="H8511">
        <v>34.392299999999999</v>
      </c>
      <c r="I8511" t="s">
        <v>33938</v>
      </c>
      <c r="L8511">
        <v>0</v>
      </c>
      <c r="M8511">
        <v>0</v>
      </c>
      <c r="N8511">
        <v>0</v>
      </c>
      <c r="O8511" t="s">
        <v>11635</v>
      </c>
    </row>
    <row r="8512" spans="1:15">
      <c r="A8512" t="s">
        <v>33939</v>
      </c>
      <c r="B8512" t="s">
        <v>6742</v>
      </c>
      <c r="C8512" t="s">
        <v>33940</v>
      </c>
      <c r="D8512" t="s">
        <v>33941</v>
      </c>
      <c r="E8512" t="b">
        <v>0</v>
      </c>
      <c r="F8512" t="s">
        <v>11624</v>
      </c>
      <c r="G8512">
        <v>-4.3696599999999997</v>
      </c>
      <c r="H8512">
        <v>29.168399999999998</v>
      </c>
      <c r="I8512" t="s">
        <v>33942</v>
      </c>
      <c r="L8512">
        <v>0</v>
      </c>
      <c r="M8512">
        <v>0</v>
      </c>
      <c r="N8512">
        <v>0</v>
      </c>
      <c r="O8512" t="s">
        <v>14825</v>
      </c>
    </row>
    <row r="8513" spans="1:15">
      <c r="A8513" t="s">
        <v>29717</v>
      </c>
      <c r="B8513" t="s">
        <v>11607</v>
      </c>
      <c r="C8513" t="s">
        <v>15037</v>
      </c>
      <c r="D8513" t="s">
        <v>33943</v>
      </c>
      <c r="E8513" t="b">
        <v>0</v>
      </c>
      <c r="F8513" t="s">
        <v>11624</v>
      </c>
      <c r="G8513">
        <v>36.410299999999999</v>
      </c>
      <c r="H8513">
        <v>4.7613700000000003</v>
      </c>
      <c r="I8513" t="s">
        <v>33944</v>
      </c>
      <c r="L8513">
        <v>0</v>
      </c>
      <c r="M8513">
        <v>0</v>
      </c>
      <c r="N8513">
        <v>2</v>
      </c>
      <c r="O8513" t="s">
        <v>13029</v>
      </c>
    </row>
    <row r="8514" spans="1:15">
      <c r="A8514" t="s">
        <v>15037</v>
      </c>
      <c r="B8514" t="s">
        <v>11607</v>
      </c>
      <c r="C8514" t="s">
        <v>515</v>
      </c>
      <c r="D8514" t="s">
        <v>33945</v>
      </c>
      <c r="E8514" t="b">
        <v>0</v>
      </c>
      <c r="F8514" t="s">
        <v>11622</v>
      </c>
      <c r="L8514">
        <v>2</v>
      </c>
      <c r="M8514">
        <v>5</v>
      </c>
      <c r="N8514">
        <v>5</v>
      </c>
    </row>
    <row r="8515" spans="1:15">
      <c r="A8515" t="s">
        <v>33946</v>
      </c>
      <c r="B8515" t="s">
        <v>11637</v>
      </c>
      <c r="C8515" t="s">
        <v>12169</v>
      </c>
      <c r="D8515" t="s">
        <v>33947</v>
      </c>
      <c r="E8515" t="b">
        <v>0</v>
      </c>
      <c r="F8515" t="s">
        <v>11624</v>
      </c>
      <c r="G8515">
        <v>24.296600000000002</v>
      </c>
      <c r="H8515">
        <v>69.190100000000001</v>
      </c>
      <c r="I8515" t="s">
        <v>33948</v>
      </c>
      <c r="L8515">
        <v>0</v>
      </c>
      <c r="M8515">
        <v>0</v>
      </c>
      <c r="N8515">
        <v>6</v>
      </c>
      <c r="O8515" t="s">
        <v>15870</v>
      </c>
    </row>
    <row r="8516" spans="1:15">
      <c r="A8516" t="s">
        <v>33949</v>
      </c>
      <c r="B8516" t="s">
        <v>11637</v>
      </c>
      <c r="C8516" t="s">
        <v>33946</v>
      </c>
      <c r="D8516" t="s">
        <v>33950</v>
      </c>
      <c r="E8516" t="b">
        <v>0</v>
      </c>
      <c r="F8516" t="s">
        <v>11610</v>
      </c>
      <c r="L8516">
        <v>0</v>
      </c>
      <c r="M8516">
        <v>0</v>
      </c>
      <c r="N8516">
        <v>0</v>
      </c>
    </row>
    <row r="8517" spans="1:15">
      <c r="A8517" t="s">
        <v>33951</v>
      </c>
      <c r="B8517" t="s">
        <v>11637</v>
      </c>
      <c r="C8517" t="s">
        <v>33946</v>
      </c>
      <c r="D8517" t="s">
        <v>33952</v>
      </c>
      <c r="E8517" t="b">
        <v>0</v>
      </c>
      <c r="F8517" t="s">
        <v>11610</v>
      </c>
      <c r="L8517">
        <v>0</v>
      </c>
      <c r="M8517">
        <v>0</v>
      </c>
      <c r="N8517">
        <v>0</v>
      </c>
    </row>
    <row r="8518" spans="1:15">
      <c r="A8518" t="s">
        <v>33953</v>
      </c>
      <c r="B8518" t="s">
        <v>11637</v>
      </c>
      <c r="C8518" t="s">
        <v>3565</v>
      </c>
      <c r="D8518" t="s">
        <v>33954</v>
      </c>
      <c r="E8518" t="b">
        <v>0</v>
      </c>
      <c r="F8518" t="s">
        <v>11610</v>
      </c>
      <c r="L8518">
        <v>0</v>
      </c>
      <c r="M8518">
        <v>0</v>
      </c>
      <c r="N8518">
        <v>0</v>
      </c>
    </row>
    <row r="8519" spans="1:15">
      <c r="A8519" t="s">
        <v>7473</v>
      </c>
      <c r="B8519" t="s">
        <v>11637</v>
      </c>
      <c r="C8519" t="s">
        <v>33955</v>
      </c>
      <c r="D8519" t="s">
        <v>33956</v>
      </c>
      <c r="E8519" t="b">
        <v>0</v>
      </c>
      <c r="F8519" t="s">
        <v>11624</v>
      </c>
      <c r="G8519">
        <v>23.83</v>
      </c>
      <c r="H8519">
        <v>69</v>
      </c>
      <c r="I8519" t="s">
        <v>7474</v>
      </c>
      <c r="L8519">
        <v>0</v>
      </c>
      <c r="M8519">
        <v>0</v>
      </c>
      <c r="N8519">
        <v>1</v>
      </c>
      <c r="O8519" t="s">
        <v>15870</v>
      </c>
    </row>
    <row r="8520" spans="1:15">
      <c r="A8520" t="s">
        <v>33957</v>
      </c>
      <c r="B8520" t="s">
        <v>331</v>
      </c>
      <c r="C8520" t="s">
        <v>5794</v>
      </c>
      <c r="D8520" t="s">
        <v>33958</v>
      </c>
      <c r="E8520" t="b">
        <v>0</v>
      </c>
      <c r="F8520" t="s">
        <v>11610</v>
      </c>
      <c r="L8520">
        <v>0</v>
      </c>
      <c r="M8520">
        <v>0</v>
      </c>
      <c r="N8520">
        <v>0</v>
      </c>
    </row>
    <row r="8521" spans="1:15">
      <c r="A8521" t="s">
        <v>33959</v>
      </c>
      <c r="B8521" t="s">
        <v>11644</v>
      </c>
      <c r="C8521" t="s">
        <v>19060</v>
      </c>
      <c r="D8521" t="s">
        <v>33960</v>
      </c>
      <c r="E8521" t="b">
        <v>0</v>
      </c>
      <c r="F8521" t="s">
        <v>11624</v>
      </c>
      <c r="G8521">
        <v>26.688199999999998</v>
      </c>
      <c r="H8521">
        <v>92.316999999999993</v>
      </c>
      <c r="I8521" t="s">
        <v>33961</v>
      </c>
      <c r="L8521">
        <v>0</v>
      </c>
      <c r="M8521">
        <v>0</v>
      </c>
      <c r="N8521">
        <v>0</v>
      </c>
      <c r="O8521" t="s">
        <v>11630</v>
      </c>
    </row>
    <row r="8522" spans="1:15">
      <c r="A8522" t="s">
        <v>25751</v>
      </c>
      <c r="B8522" t="s">
        <v>11644</v>
      </c>
      <c r="C8522" t="s">
        <v>33547</v>
      </c>
      <c r="D8522" t="s">
        <v>33962</v>
      </c>
      <c r="E8522" t="b">
        <v>0</v>
      </c>
      <c r="F8522" t="s">
        <v>11624</v>
      </c>
      <c r="G8522">
        <v>25.4634</v>
      </c>
      <c r="H8522">
        <v>97.327799999999996</v>
      </c>
      <c r="I8522" t="s">
        <v>33963</v>
      </c>
      <c r="L8522">
        <v>0</v>
      </c>
      <c r="M8522">
        <v>0</v>
      </c>
      <c r="N8522">
        <v>5</v>
      </c>
      <c r="O8522" t="s">
        <v>11892</v>
      </c>
    </row>
    <row r="8523" spans="1:15">
      <c r="A8523" t="s">
        <v>33964</v>
      </c>
      <c r="B8523" t="s">
        <v>6742</v>
      </c>
      <c r="C8523" t="s">
        <v>14951</v>
      </c>
      <c r="D8523" t="s">
        <v>33965</v>
      </c>
      <c r="E8523" t="b">
        <v>0</v>
      </c>
      <c r="F8523" t="s">
        <v>11610</v>
      </c>
      <c r="L8523">
        <v>0</v>
      </c>
      <c r="M8523">
        <v>0</v>
      </c>
      <c r="N8523">
        <v>0</v>
      </c>
    </row>
    <row r="8524" spans="1:15">
      <c r="A8524" t="s">
        <v>33966</v>
      </c>
      <c r="B8524" t="s">
        <v>6742</v>
      </c>
      <c r="C8524" t="s">
        <v>32636</v>
      </c>
      <c r="D8524" t="s">
        <v>33967</v>
      </c>
      <c r="E8524" t="b">
        <v>0</v>
      </c>
      <c r="F8524" t="s">
        <v>11610</v>
      </c>
      <c r="L8524">
        <v>0</v>
      </c>
      <c r="M8524">
        <v>0</v>
      </c>
      <c r="N8524">
        <v>0</v>
      </c>
    </row>
    <row r="8525" spans="1:15">
      <c r="A8525" t="s">
        <v>33968</v>
      </c>
      <c r="B8525" t="s">
        <v>6742</v>
      </c>
      <c r="C8525" t="s">
        <v>3984</v>
      </c>
      <c r="D8525" t="s">
        <v>33969</v>
      </c>
      <c r="E8525" t="b">
        <v>0</v>
      </c>
      <c r="F8525" t="s">
        <v>11610</v>
      </c>
      <c r="L8525">
        <v>0</v>
      </c>
      <c r="M8525">
        <v>0</v>
      </c>
      <c r="N8525">
        <v>0</v>
      </c>
    </row>
    <row r="8526" spans="1:15">
      <c r="A8526" t="s">
        <v>28570</v>
      </c>
      <c r="B8526" t="s">
        <v>13571</v>
      </c>
      <c r="C8526" t="s">
        <v>26128</v>
      </c>
      <c r="D8526" t="s">
        <v>33970</v>
      </c>
      <c r="E8526" t="b">
        <v>0</v>
      </c>
      <c r="F8526" t="s">
        <v>11624</v>
      </c>
      <c r="G8526">
        <v>6.3971</v>
      </c>
      <c r="H8526">
        <v>37.929099999999998</v>
      </c>
      <c r="I8526" t="s">
        <v>33971</v>
      </c>
      <c r="L8526">
        <v>0</v>
      </c>
      <c r="M8526">
        <v>0</v>
      </c>
      <c r="N8526">
        <v>3</v>
      </c>
      <c r="O8526" t="s">
        <v>11625</v>
      </c>
    </row>
    <row r="8527" spans="1:15">
      <c r="A8527" t="s">
        <v>33972</v>
      </c>
      <c r="B8527" t="s">
        <v>13571</v>
      </c>
      <c r="C8527" t="s">
        <v>28570</v>
      </c>
      <c r="D8527" t="s">
        <v>33973</v>
      </c>
      <c r="E8527" t="b">
        <v>0</v>
      </c>
      <c r="F8527" t="s">
        <v>11610</v>
      </c>
      <c r="L8527">
        <v>0</v>
      </c>
      <c r="M8527">
        <v>0</v>
      </c>
      <c r="N8527">
        <v>0</v>
      </c>
    </row>
    <row r="8528" spans="1:15">
      <c r="A8528" t="s">
        <v>16268</v>
      </c>
      <c r="B8528" t="s">
        <v>15569</v>
      </c>
      <c r="C8528" t="s">
        <v>15568</v>
      </c>
      <c r="D8528" t="s">
        <v>33974</v>
      </c>
      <c r="E8528" t="b">
        <v>0</v>
      </c>
      <c r="F8528" t="s">
        <v>11624</v>
      </c>
      <c r="G8528">
        <v>6.1651199999999999</v>
      </c>
      <c r="H8528">
        <v>34.943600000000004</v>
      </c>
      <c r="I8528" t="s">
        <v>33975</v>
      </c>
      <c r="L8528">
        <v>0</v>
      </c>
      <c r="M8528">
        <v>0</v>
      </c>
      <c r="N8528">
        <v>6</v>
      </c>
      <c r="O8528" t="s">
        <v>14035</v>
      </c>
    </row>
    <row r="8529" spans="1:15">
      <c r="A8529" t="s">
        <v>33976</v>
      </c>
      <c r="B8529" t="s">
        <v>15569</v>
      </c>
      <c r="C8529" t="s">
        <v>16268</v>
      </c>
      <c r="D8529" t="s">
        <v>33977</v>
      </c>
      <c r="E8529" t="b">
        <v>0</v>
      </c>
      <c r="F8529" t="s">
        <v>11610</v>
      </c>
      <c r="L8529">
        <v>0</v>
      </c>
      <c r="M8529">
        <v>0</v>
      </c>
      <c r="N8529">
        <v>0</v>
      </c>
    </row>
    <row r="8530" spans="1:15">
      <c r="A8530" t="s">
        <v>33978</v>
      </c>
      <c r="B8530" t="s">
        <v>12438</v>
      </c>
      <c r="C8530" t="s">
        <v>33979</v>
      </c>
      <c r="D8530" t="s">
        <v>33980</v>
      </c>
      <c r="E8530" t="b">
        <v>0</v>
      </c>
      <c r="F8530" t="s">
        <v>11624</v>
      </c>
      <c r="G8530">
        <v>13.827400000000001</v>
      </c>
      <c r="H8530">
        <v>107.25700000000001</v>
      </c>
      <c r="I8530" t="s">
        <v>33981</v>
      </c>
      <c r="L8530">
        <v>0</v>
      </c>
      <c r="M8530">
        <v>0</v>
      </c>
      <c r="N8530">
        <v>0</v>
      </c>
      <c r="O8530" t="s">
        <v>20983</v>
      </c>
    </row>
    <row r="8531" spans="1:15">
      <c r="A8531" t="s">
        <v>33982</v>
      </c>
      <c r="B8531" t="s">
        <v>11844</v>
      </c>
      <c r="C8531" t="s">
        <v>13088</v>
      </c>
      <c r="D8531" t="s">
        <v>33983</v>
      </c>
      <c r="E8531" t="b">
        <v>0</v>
      </c>
      <c r="F8531" t="s">
        <v>11624</v>
      </c>
      <c r="G8531">
        <v>11.0602</v>
      </c>
      <c r="H8531">
        <v>76.728499999999997</v>
      </c>
      <c r="I8531" t="s">
        <v>33984</v>
      </c>
      <c r="L8531">
        <v>0</v>
      </c>
      <c r="M8531">
        <v>0</v>
      </c>
      <c r="N8531">
        <v>0</v>
      </c>
      <c r="O8531" t="s">
        <v>11630</v>
      </c>
    </row>
    <row r="8532" spans="1:15">
      <c r="A8532" t="s">
        <v>23732</v>
      </c>
      <c r="B8532" t="s">
        <v>3164</v>
      </c>
      <c r="C8532" t="s">
        <v>23868</v>
      </c>
      <c r="D8532" t="s">
        <v>33985</v>
      </c>
      <c r="E8532" t="b">
        <v>0</v>
      </c>
      <c r="F8532" t="s">
        <v>11624</v>
      </c>
      <c r="G8532">
        <v>12.1554</v>
      </c>
      <c r="H8532">
        <v>30.270900000000001</v>
      </c>
      <c r="I8532" t="s">
        <v>33986</v>
      </c>
      <c r="L8532">
        <v>0</v>
      </c>
      <c r="M8532">
        <v>0</v>
      </c>
      <c r="N8532">
        <v>6</v>
      </c>
      <c r="O8532" t="s">
        <v>11910</v>
      </c>
    </row>
    <row r="8533" spans="1:15">
      <c r="A8533" t="s">
        <v>33987</v>
      </c>
      <c r="B8533" t="s">
        <v>6742</v>
      </c>
      <c r="C8533" t="s">
        <v>15473</v>
      </c>
      <c r="D8533" t="s">
        <v>33988</v>
      </c>
      <c r="E8533" t="b">
        <v>0</v>
      </c>
      <c r="F8533" t="s">
        <v>11610</v>
      </c>
      <c r="L8533">
        <v>0</v>
      </c>
      <c r="M8533">
        <v>0</v>
      </c>
      <c r="N8533">
        <v>0</v>
      </c>
    </row>
    <row r="8534" spans="1:15">
      <c r="A8534" t="s">
        <v>32636</v>
      </c>
      <c r="B8534" t="s">
        <v>6742</v>
      </c>
      <c r="C8534" t="s">
        <v>25137</v>
      </c>
      <c r="D8534" t="s">
        <v>33989</v>
      </c>
      <c r="E8534" t="b">
        <v>0</v>
      </c>
      <c r="F8534" t="s">
        <v>11624</v>
      </c>
      <c r="G8534">
        <v>9.9969599999999996</v>
      </c>
      <c r="H8534">
        <v>7.4593299999999996</v>
      </c>
      <c r="I8534" t="s">
        <v>33990</v>
      </c>
      <c r="L8534">
        <v>0</v>
      </c>
      <c r="M8534">
        <v>0</v>
      </c>
      <c r="N8534">
        <v>4</v>
      </c>
      <c r="O8534" t="s">
        <v>11693</v>
      </c>
    </row>
    <row r="8535" spans="1:15">
      <c r="A8535" t="s">
        <v>33991</v>
      </c>
      <c r="B8535" t="s">
        <v>367</v>
      </c>
      <c r="C8535" t="s">
        <v>11080</v>
      </c>
      <c r="D8535" t="s">
        <v>33992</v>
      </c>
      <c r="E8535" t="b">
        <v>0</v>
      </c>
      <c r="F8535" t="s">
        <v>11610</v>
      </c>
      <c r="L8535">
        <v>0</v>
      </c>
      <c r="M8535">
        <v>0</v>
      </c>
      <c r="N8535">
        <v>0</v>
      </c>
    </row>
    <row r="8536" spans="1:15">
      <c r="A8536" t="s">
        <v>33993</v>
      </c>
      <c r="B8536" t="s">
        <v>367</v>
      </c>
      <c r="C8536" t="s">
        <v>33994</v>
      </c>
      <c r="D8536" t="s">
        <v>33995</v>
      </c>
      <c r="E8536" t="b">
        <v>0</v>
      </c>
      <c r="F8536" t="s">
        <v>11624</v>
      </c>
      <c r="G8536">
        <v>-1.7454700000000001</v>
      </c>
      <c r="H8536">
        <v>125.142</v>
      </c>
      <c r="I8536" t="s">
        <v>33996</v>
      </c>
      <c r="L8536">
        <v>0</v>
      </c>
      <c r="M8536">
        <v>0</v>
      </c>
      <c r="N8536">
        <v>0</v>
      </c>
      <c r="O8536" t="s">
        <v>11768</v>
      </c>
    </row>
    <row r="8537" spans="1:15">
      <c r="A8537" t="s">
        <v>33997</v>
      </c>
      <c r="B8537" t="s">
        <v>367</v>
      </c>
      <c r="C8537" t="s">
        <v>17115</v>
      </c>
      <c r="D8537" t="s">
        <v>33998</v>
      </c>
      <c r="E8537" t="b">
        <v>0</v>
      </c>
      <c r="F8537" t="s">
        <v>11610</v>
      </c>
      <c r="L8537">
        <v>0</v>
      </c>
      <c r="M8537">
        <v>0</v>
      </c>
      <c r="N8537">
        <v>0</v>
      </c>
    </row>
    <row r="8538" spans="1:15">
      <c r="A8538" t="s">
        <v>33999</v>
      </c>
      <c r="B8538" t="s">
        <v>367</v>
      </c>
      <c r="C8538" t="s">
        <v>17635</v>
      </c>
      <c r="D8538" t="s">
        <v>34000</v>
      </c>
      <c r="E8538" t="b">
        <v>0</v>
      </c>
      <c r="F8538" t="s">
        <v>11610</v>
      </c>
      <c r="L8538">
        <v>0</v>
      </c>
      <c r="M8538">
        <v>0</v>
      </c>
      <c r="N8538">
        <v>0</v>
      </c>
    </row>
    <row r="8539" spans="1:15">
      <c r="A8539" t="s">
        <v>34001</v>
      </c>
      <c r="B8539" t="s">
        <v>367</v>
      </c>
      <c r="C8539" t="s">
        <v>20543</v>
      </c>
      <c r="D8539" t="s">
        <v>34002</v>
      </c>
      <c r="E8539" t="b">
        <v>0</v>
      </c>
      <c r="F8539" t="s">
        <v>11610</v>
      </c>
      <c r="L8539">
        <v>0</v>
      </c>
      <c r="M8539">
        <v>0</v>
      </c>
      <c r="N8539">
        <v>0</v>
      </c>
    </row>
    <row r="8540" spans="1:15">
      <c r="A8540" t="s">
        <v>34003</v>
      </c>
      <c r="B8540" t="s">
        <v>12133</v>
      </c>
      <c r="C8540" t="s">
        <v>28370</v>
      </c>
      <c r="D8540" t="s">
        <v>34004</v>
      </c>
      <c r="E8540" t="b">
        <v>0</v>
      </c>
      <c r="F8540" t="s">
        <v>11610</v>
      </c>
      <c r="L8540">
        <v>0</v>
      </c>
      <c r="M8540">
        <v>0</v>
      </c>
      <c r="N8540">
        <v>0</v>
      </c>
    </row>
    <row r="8541" spans="1:15">
      <c r="A8541" t="s">
        <v>25995</v>
      </c>
      <c r="B8541" t="s">
        <v>5126</v>
      </c>
      <c r="C8541" t="s">
        <v>5126</v>
      </c>
      <c r="D8541" t="s">
        <v>34005</v>
      </c>
      <c r="E8541" t="b">
        <v>0</v>
      </c>
      <c r="F8541" t="s">
        <v>11622</v>
      </c>
      <c r="L8541">
        <v>11</v>
      </c>
      <c r="M8541">
        <v>15</v>
      </c>
      <c r="N8541">
        <v>11</v>
      </c>
    </row>
    <row r="8542" spans="1:15">
      <c r="A8542" t="s">
        <v>21617</v>
      </c>
      <c r="B8542" t="s">
        <v>367</v>
      </c>
      <c r="C8542" t="s">
        <v>25633</v>
      </c>
      <c r="D8542" t="s">
        <v>34006</v>
      </c>
      <c r="E8542" t="b">
        <v>0</v>
      </c>
      <c r="F8542" t="s">
        <v>11622</v>
      </c>
      <c r="L8542">
        <v>1</v>
      </c>
      <c r="M8542">
        <v>7</v>
      </c>
      <c r="N8542">
        <v>14</v>
      </c>
    </row>
    <row r="8543" spans="1:15">
      <c r="A8543" t="s">
        <v>34007</v>
      </c>
      <c r="B8543" t="s">
        <v>13276</v>
      </c>
      <c r="C8543" t="s">
        <v>18988</v>
      </c>
      <c r="D8543" t="s">
        <v>34008</v>
      </c>
      <c r="E8543" t="b">
        <v>0</v>
      </c>
      <c r="F8543" t="s">
        <v>11610</v>
      </c>
      <c r="L8543">
        <v>0</v>
      </c>
      <c r="M8543">
        <v>0</v>
      </c>
      <c r="N8543">
        <v>0</v>
      </c>
    </row>
    <row r="8544" spans="1:15">
      <c r="A8544" t="s">
        <v>34009</v>
      </c>
      <c r="B8544" t="s">
        <v>12311</v>
      </c>
      <c r="C8544" t="s">
        <v>23588</v>
      </c>
      <c r="D8544" t="s">
        <v>34010</v>
      </c>
      <c r="E8544" t="b">
        <v>0</v>
      </c>
      <c r="F8544" t="s">
        <v>11610</v>
      </c>
      <c r="L8544">
        <v>0</v>
      </c>
      <c r="M8544">
        <v>0</v>
      </c>
      <c r="N8544">
        <v>0</v>
      </c>
    </row>
    <row r="8545" spans="1:15">
      <c r="A8545" t="s">
        <v>34011</v>
      </c>
      <c r="B8545" t="s">
        <v>11729</v>
      </c>
      <c r="C8545" t="s">
        <v>12334</v>
      </c>
      <c r="D8545" t="s">
        <v>34012</v>
      </c>
      <c r="E8545" t="b">
        <v>0</v>
      </c>
      <c r="F8545" t="s">
        <v>11610</v>
      </c>
      <c r="L8545">
        <v>0</v>
      </c>
      <c r="M8545">
        <v>0</v>
      </c>
      <c r="N8545">
        <v>0</v>
      </c>
    </row>
    <row r="8546" spans="1:15">
      <c r="A8546" t="s">
        <v>34013</v>
      </c>
      <c r="B8546" t="s">
        <v>12133</v>
      </c>
      <c r="C8546" t="s">
        <v>28370</v>
      </c>
      <c r="D8546" t="s">
        <v>34014</v>
      </c>
      <c r="E8546" t="b">
        <v>0</v>
      </c>
      <c r="F8546" t="s">
        <v>11610</v>
      </c>
      <c r="L8546">
        <v>0</v>
      </c>
      <c r="M8546">
        <v>0</v>
      </c>
      <c r="N8546">
        <v>0</v>
      </c>
    </row>
    <row r="8547" spans="1:15">
      <c r="A8547" t="s">
        <v>34015</v>
      </c>
      <c r="B8547" t="s">
        <v>11770</v>
      </c>
      <c r="C8547" t="s">
        <v>11770</v>
      </c>
      <c r="D8547" t="s">
        <v>34016</v>
      </c>
      <c r="E8547" t="b">
        <v>0</v>
      </c>
      <c r="F8547" t="s">
        <v>11624</v>
      </c>
      <c r="G8547">
        <v>-19.722200000000001</v>
      </c>
      <c r="H8547">
        <v>-57.582000000000001</v>
      </c>
      <c r="I8547" t="s">
        <v>34017</v>
      </c>
      <c r="L8547">
        <v>0</v>
      </c>
      <c r="M8547">
        <v>0</v>
      </c>
      <c r="N8547">
        <v>0</v>
      </c>
      <c r="O8547" t="s">
        <v>11969</v>
      </c>
    </row>
    <row r="8548" spans="1:15">
      <c r="A8548" t="s">
        <v>34018</v>
      </c>
      <c r="B8548" t="s">
        <v>6742</v>
      </c>
      <c r="C8548" t="s">
        <v>24365</v>
      </c>
      <c r="D8548" t="s">
        <v>34019</v>
      </c>
      <c r="E8548" t="b">
        <v>0</v>
      </c>
      <c r="F8548" t="s">
        <v>11610</v>
      </c>
      <c r="L8548">
        <v>0</v>
      </c>
      <c r="M8548">
        <v>0</v>
      </c>
      <c r="N8548">
        <v>0</v>
      </c>
    </row>
    <row r="8549" spans="1:15">
      <c r="A8549" t="s">
        <v>28492</v>
      </c>
      <c r="B8549" t="s">
        <v>11644</v>
      </c>
      <c r="C8549" t="s">
        <v>13751</v>
      </c>
      <c r="D8549" t="s">
        <v>34020</v>
      </c>
      <c r="E8549" t="b">
        <v>0</v>
      </c>
      <c r="F8549" t="s">
        <v>11624</v>
      </c>
      <c r="G8549">
        <v>21.5259</v>
      </c>
      <c r="H8549">
        <v>100.092</v>
      </c>
      <c r="I8549" t="s">
        <v>34021</v>
      </c>
      <c r="L8549">
        <v>0</v>
      </c>
      <c r="M8549">
        <v>0</v>
      </c>
      <c r="N8549">
        <v>3</v>
      </c>
      <c r="O8549" t="s">
        <v>14059</v>
      </c>
    </row>
    <row r="8550" spans="1:15">
      <c r="A8550" t="s">
        <v>34022</v>
      </c>
      <c r="B8550" t="s">
        <v>367</v>
      </c>
      <c r="C8550" t="s">
        <v>25127</v>
      </c>
      <c r="D8550" t="s">
        <v>34023</v>
      </c>
      <c r="E8550" t="b">
        <v>0</v>
      </c>
      <c r="F8550" t="s">
        <v>11610</v>
      </c>
      <c r="L8550">
        <v>0</v>
      </c>
      <c r="M8550">
        <v>0</v>
      </c>
      <c r="N8550">
        <v>0</v>
      </c>
    </row>
    <row r="8551" spans="1:15">
      <c r="A8551" t="s">
        <v>34024</v>
      </c>
      <c r="B8551" t="s">
        <v>11644</v>
      </c>
      <c r="C8551" t="s">
        <v>18532</v>
      </c>
      <c r="D8551" t="s">
        <v>34025</v>
      </c>
      <c r="E8551" t="b">
        <v>0</v>
      </c>
      <c r="F8551" t="s">
        <v>11624</v>
      </c>
      <c r="G8551">
        <v>22.299600000000002</v>
      </c>
      <c r="H8551">
        <v>101.74</v>
      </c>
      <c r="I8551" t="s">
        <v>34026</v>
      </c>
      <c r="L8551">
        <v>0</v>
      </c>
      <c r="M8551">
        <v>0</v>
      </c>
      <c r="N8551">
        <v>0</v>
      </c>
      <c r="O8551" t="s">
        <v>18896</v>
      </c>
    </row>
    <row r="8552" spans="1:15">
      <c r="A8552" t="s">
        <v>34027</v>
      </c>
      <c r="B8552" t="s">
        <v>11644</v>
      </c>
      <c r="C8552" t="s">
        <v>28492</v>
      </c>
      <c r="D8552" t="s">
        <v>34028</v>
      </c>
      <c r="E8552" t="b">
        <v>0</v>
      </c>
      <c r="F8552" t="s">
        <v>11610</v>
      </c>
      <c r="I8552" t="s">
        <v>34029</v>
      </c>
      <c r="L8552">
        <v>0</v>
      </c>
      <c r="M8552">
        <v>0</v>
      </c>
      <c r="N8552">
        <v>0</v>
      </c>
    </row>
    <row r="8553" spans="1:15">
      <c r="A8553" t="s">
        <v>34030</v>
      </c>
      <c r="B8553" t="s">
        <v>6742</v>
      </c>
      <c r="C8553" t="s">
        <v>24810</v>
      </c>
      <c r="D8553" t="s">
        <v>34031</v>
      </c>
      <c r="E8553" t="b">
        <v>0</v>
      </c>
      <c r="F8553" t="s">
        <v>11610</v>
      </c>
      <c r="L8553">
        <v>0</v>
      </c>
      <c r="M8553">
        <v>0</v>
      </c>
      <c r="N8553">
        <v>0</v>
      </c>
    </row>
    <row r="8554" spans="1:15">
      <c r="A8554" t="s">
        <v>11868</v>
      </c>
      <c r="D8554" t="s">
        <v>34032</v>
      </c>
      <c r="E8554" t="b">
        <v>0</v>
      </c>
      <c r="F8554" t="s">
        <v>11622</v>
      </c>
      <c r="L8554">
        <v>3</v>
      </c>
      <c r="M8554">
        <v>6</v>
      </c>
      <c r="N8554">
        <v>19</v>
      </c>
    </row>
    <row r="8555" spans="1:15">
      <c r="A8555" t="s">
        <v>34033</v>
      </c>
      <c r="B8555" t="s">
        <v>11868</v>
      </c>
      <c r="C8555" t="s">
        <v>23981</v>
      </c>
      <c r="D8555" t="s">
        <v>34034</v>
      </c>
      <c r="E8555" t="b">
        <v>0</v>
      </c>
      <c r="F8555" t="s">
        <v>11610</v>
      </c>
      <c r="L8555">
        <v>0</v>
      </c>
      <c r="M8555">
        <v>0</v>
      </c>
      <c r="N8555">
        <v>0</v>
      </c>
    </row>
    <row r="8556" spans="1:15">
      <c r="A8556" t="s">
        <v>34035</v>
      </c>
      <c r="B8556" t="s">
        <v>11839</v>
      </c>
      <c r="C8556" t="s">
        <v>13132</v>
      </c>
      <c r="D8556" t="s">
        <v>34036</v>
      </c>
      <c r="E8556" t="b">
        <v>0</v>
      </c>
      <c r="F8556" t="s">
        <v>11624</v>
      </c>
      <c r="I8556" t="s">
        <v>34037</v>
      </c>
      <c r="L8556">
        <v>0</v>
      </c>
      <c r="M8556">
        <v>0</v>
      </c>
      <c r="N8556">
        <v>0</v>
      </c>
      <c r="O8556" t="s">
        <v>11768</v>
      </c>
    </row>
    <row r="8557" spans="1:15">
      <c r="A8557" t="s">
        <v>34038</v>
      </c>
      <c r="B8557" t="s">
        <v>367</v>
      </c>
      <c r="C8557" t="s">
        <v>23017</v>
      </c>
      <c r="D8557" t="s">
        <v>34039</v>
      </c>
      <c r="E8557" t="b">
        <v>0</v>
      </c>
      <c r="F8557" t="s">
        <v>11610</v>
      </c>
      <c r="L8557">
        <v>0</v>
      </c>
      <c r="M8557">
        <v>0</v>
      </c>
      <c r="N8557">
        <v>0</v>
      </c>
    </row>
    <row r="8558" spans="1:15">
      <c r="A8558" t="s">
        <v>34040</v>
      </c>
      <c r="B8558" t="s">
        <v>11912</v>
      </c>
      <c r="C8558" t="s">
        <v>13490</v>
      </c>
      <c r="D8558" t="s">
        <v>34041</v>
      </c>
      <c r="E8558" t="b">
        <v>0</v>
      </c>
      <c r="F8558" t="s">
        <v>11610</v>
      </c>
      <c r="L8558">
        <v>0</v>
      </c>
      <c r="M8558">
        <v>0</v>
      </c>
      <c r="N8558">
        <v>0</v>
      </c>
    </row>
    <row r="8559" spans="1:15">
      <c r="A8559" t="s">
        <v>34042</v>
      </c>
      <c r="B8559" t="s">
        <v>6742</v>
      </c>
      <c r="C8559" t="s">
        <v>14951</v>
      </c>
      <c r="D8559" t="s">
        <v>34043</v>
      </c>
      <c r="E8559" t="b">
        <v>0</v>
      </c>
      <c r="F8559" t="s">
        <v>11610</v>
      </c>
      <c r="L8559">
        <v>0</v>
      </c>
      <c r="M8559">
        <v>0</v>
      </c>
      <c r="N8559">
        <v>0</v>
      </c>
    </row>
    <row r="8560" spans="1:15">
      <c r="A8560" t="s">
        <v>19675</v>
      </c>
      <c r="B8560" t="s">
        <v>13571</v>
      </c>
      <c r="C8560" t="s">
        <v>34044</v>
      </c>
      <c r="D8560" t="s">
        <v>34045</v>
      </c>
      <c r="E8560" t="b">
        <v>0</v>
      </c>
      <c r="F8560" t="s">
        <v>11624</v>
      </c>
      <c r="G8560">
        <v>7.3402200000000004</v>
      </c>
      <c r="H8560">
        <v>36.171799999999998</v>
      </c>
      <c r="I8560" t="s">
        <v>34046</v>
      </c>
      <c r="L8560">
        <v>0</v>
      </c>
      <c r="M8560">
        <v>0</v>
      </c>
      <c r="N8560">
        <v>2</v>
      </c>
      <c r="O8560" t="s">
        <v>11625</v>
      </c>
    </row>
    <row r="8561" spans="1:15">
      <c r="A8561" t="s">
        <v>34047</v>
      </c>
      <c r="B8561" t="s">
        <v>26263</v>
      </c>
      <c r="C8561" t="s">
        <v>27976</v>
      </c>
      <c r="D8561" t="s">
        <v>34048</v>
      </c>
      <c r="E8561" t="b">
        <v>0</v>
      </c>
      <c r="F8561" t="s">
        <v>11610</v>
      </c>
      <c r="L8561">
        <v>0</v>
      </c>
      <c r="M8561">
        <v>0</v>
      </c>
      <c r="N8561">
        <v>0</v>
      </c>
    </row>
    <row r="8562" spans="1:15">
      <c r="A8562" t="s">
        <v>34049</v>
      </c>
      <c r="B8562" t="s">
        <v>3164</v>
      </c>
      <c r="C8562" t="s">
        <v>23732</v>
      </c>
      <c r="D8562" t="s">
        <v>34050</v>
      </c>
      <c r="E8562" t="b">
        <v>0</v>
      </c>
      <c r="F8562" t="s">
        <v>11610</v>
      </c>
      <c r="L8562">
        <v>0</v>
      </c>
      <c r="M8562">
        <v>0</v>
      </c>
      <c r="N8562">
        <v>0</v>
      </c>
    </row>
    <row r="8563" spans="1:15">
      <c r="A8563" t="s">
        <v>34051</v>
      </c>
      <c r="B8563" t="s">
        <v>6742</v>
      </c>
      <c r="C8563" t="s">
        <v>21272</v>
      </c>
      <c r="D8563" t="s">
        <v>34052</v>
      </c>
      <c r="E8563" t="b">
        <v>0</v>
      </c>
      <c r="F8563" t="s">
        <v>11610</v>
      </c>
      <c r="L8563">
        <v>0</v>
      </c>
      <c r="M8563">
        <v>0</v>
      </c>
      <c r="N8563">
        <v>0</v>
      </c>
    </row>
    <row r="8564" spans="1:15">
      <c r="A8564" t="s">
        <v>34053</v>
      </c>
      <c r="B8564" t="s">
        <v>11839</v>
      </c>
      <c r="C8564" t="s">
        <v>34054</v>
      </c>
      <c r="D8564" t="s">
        <v>34055</v>
      </c>
      <c r="E8564" t="b">
        <v>0</v>
      </c>
      <c r="F8564" t="s">
        <v>11624</v>
      </c>
      <c r="G8564">
        <v>-8.3657199999999996</v>
      </c>
      <c r="H8564">
        <v>124.446</v>
      </c>
      <c r="I8564" t="s">
        <v>34056</v>
      </c>
      <c r="L8564">
        <v>0</v>
      </c>
      <c r="M8564">
        <v>0</v>
      </c>
      <c r="N8564">
        <v>0</v>
      </c>
      <c r="O8564" t="s">
        <v>11768</v>
      </c>
    </row>
    <row r="8565" spans="1:15">
      <c r="A8565" t="s">
        <v>34057</v>
      </c>
      <c r="B8565" t="s">
        <v>11981</v>
      </c>
      <c r="C8565" t="s">
        <v>11982</v>
      </c>
      <c r="D8565" t="s">
        <v>34058</v>
      </c>
      <c r="E8565" t="b">
        <v>0</v>
      </c>
      <c r="F8565" t="s">
        <v>11624</v>
      </c>
      <c r="G8565">
        <v>32.115099999999998</v>
      </c>
      <c r="H8565">
        <v>34.975099999999998</v>
      </c>
      <c r="L8565">
        <v>0</v>
      </c>
      <c r="M8565">
        <v>0</v>
      </c>
      <c r="N8565">
        <v>0</v>
      </c>
      <c r="O8565" t="s">
        <v>13147</v>
      </c>
    </row>
    <row r="8566" spans="1:15">
      <c r="A8566" t="s">
        <v>34059</v>
      </c>
      <c r="B8566" t="s">
        <v>6742</v>
      </c>
      <c r="C8566" t="s">
        <v>20260</v>
      </c>
      <c r="D8566" t="s">
        <v>34060</v>
      </c>
      <c r="E8566" t="b">
        <v>0</v>
      </c>
      <c r="F8566" t="s">
        <v>11610</v>
      </c>
      <c r="L8566">
        <v>0</v>
      </c>
      <c r="M8566">
        <v>0</v>
      </c>
      <c r="N8566">
        <v>0</v>
      </c>
    </row>
    <row r="8567" spans="1:15">
      <c r="A8567" t="s">
        <v>32212</v>
      </c>
      <c r="B8567" t="s">
        <v>6742</v>
      </c>
      <c r="C8567" t="s">
        <v>21880</v>
      </c>
      <c r="D8567" t="s">
        <v>34061</v>
      </c>
      <c r="E8567" t="b">
        <v>0</v>
      </c>
      <c r="F8567" t="s">
        <v>11622</v>
      </c>
      <c r="L8567">
        <v>0</v>
      </c>
      <c r="M8567">
        <v>4</v>
      </c>
      <c r="N8567">
        <v>9</v>
      </c>
    </row>
    <row r="8568" spans="1:15">
      <c r="A8568" t="s">
        <v>34062</v>
      </c>
      <c r="B8568" t="s">
        <v>11644</v>
      </c>
      <c r="C8568" t="s">
        <v>30968</v>
      </c>
      <c r="D8568" t="s">
        <v>34063</v>
      </c>
      <c r="E8568" t="b">
        <v>0</v>
      </c>
      <c r="F8568" t="s">
        <v>11624</v>
      </c>
      <c r="G8568">
        <v>27.449200000000001</v>
      </c>
      <c r="H8568">
        <v>86.167500000000004</v>
      </c>
      <c r="I8568" t="s">
        <v>34064</v>
      </c>
      <c r="L8568">
        <v>0</v>
      </c>
      <c r="M8568">
        <v>0</v>
      </c>
      <c r="N8568">
        <v>0</v>
      </c>
      <c r="O8568" t="s">
        <v>15007</v>
      </c>
    </row>
    <row r="8569" spans="1:15">
      <c r="A8569" t="s">
        <v>34065</v>
      </c>
      <c r="B8569" t="s">
        <v>6742</v>
      </c>
      <c r="C8569" t="s">
        <v>18598</v>
      </c>
      <c r="D8569" t="s">
        <v>34066</v>
      </c>
      <c r="E8569" t="b">
        <v>0</v>
      </c>
      <c r="F8569" t="s">
        <v>11610</v>
      </c>
      <c r="L8569">
        <v>0</v>
      </c>
      <c r="M8569">
        <v>0</v>
      </c>
      <c r="N8569">
        <v>0</v>
      </c>
    </row>
    <row r="8570" spans="1:15">
      <c r="A8570" t="s">
        <v>34067</v>
      </c>
      <c r="B8570" t="s">
        <v>13967</v>
      </c>
      <c r="C8570" t="s">
        <v>21519</v>
      </c>
      <c r="D8570" t="s">
        <v>34068</v>
      </c>
      <c r="E8570" t="b">
        <v>0</v>
      </c>
      <c r="F8570" t="s">
        <v>11610</v>
      </c>
      <c r="L8570">
        <v>0</v>
      </c>
      <c r="M8570">
        <v>0</v>
      </c>
      <c r="N8570">
        <v>0</v>
      </c>
    </row>
    <row r="8571" spans="1:15">
      <c r="A8571" t="s">
        <v>34069</v>
      </c>
      <c r="B8571" t="s">
        <v>367</v>
      </c>
      <c r="C8571" t="s">
        <v>34070</v>
      </c>
      <c r="D8571" t="s">
        <v>34071</v>
      </c>
      <c r="E8571" t="b">
        <v>0</v>
      </c>
      <c r="F8571" t="s">
        <v>11624</v>
      </c>
      <c r="G8571">
        <v>7.1069800000000001</v>
      </c>
      <c r="H8571">
        <v>125.61</v>
      </c>
      <c r="I8571" t="s">
        <v>34072</v>
      </c>
      <c r="L8571">
        <v>0</v>
      </c>
      <c r="M8571">
        <v>0</v>
      </c>
      <c r="N8571">
        <v>0</v>
      </c>
      <c r="O8571" t="s">
        <v>11749</v>
      </c>
    </row>
    <row r="8572" spans="1:15">
      <c r="A8572" t="s">
        <v>34073</v>
      </c>
      <c r="B8572" t="s">
        <v>367</v>
      </c>
      <c r="C8572" t="s">
        <v>34074</v>
      </c>
      <c r="D8572" t="s">
        <v>34075</v>
      </c>
      <c r="E8572" t="b">
        <v>0</v>
      </c>
      <c r="F8572" t="s">
        <v>11624</v>
      </c>
      <c r="G8572">
        <v>10.4656</v>
      </c>
      <c r="H8572">
        <v>119.872</v>
      </c>
      <c r="I8572" t="s">
        <v>34076</v>
      </c>
      <c r="L8572">
        <v>0</v>
      </c>
      <c r="M8572">
        <v>0</v>
      </c>
      <c r="N8572">
        <v>0</v>
      </c>
      <c r="O8572" t="s">
        <v>11749</v>
      </c>
    </row>
    <row r="8573" spans="1:15">
      <c r="A8573" t="s">
        <v>34077</v>
      </c>
      <c r="B8573" t="s">
        <v>367</v>
      </c>
      <c r="C8573" t="s">
        <v>5348</v>
      </c>
      <c r="D8573" t="s">
        <v>34078</v>
      </c>
      <c r="E8573" t="b">
        <v>0</v>
      </c>
      <c r="F8573" t="s">
        <v>11610</v>
      </c>
      <c r="L8573">
        <v>0</v>
      </c>
      <c r="M8573">
        <v>0</v>
      </c>
      <c r="N8573">
        <v>0</v>
      </c>
    </row>
    <row r="8574" spans="1:15">
      <c r="A8574" t="s">
        <v>34079</v>
      </c>
      <c r="B8574" t="s">
        <v>4342</v>
      </c>
      <c r="C8574" t="s">
        <v>30829</v>
      </c>
      <c r="D8574" t="s">
        <v>34080</v>
      </c>
      <c r="E8574" t="b">
        <v>0</v>
      </c>
      <c r="F8574" t="s">
        <v>11610</v>
      </c>
      <c r="L8574">
        <v>0</v>
      </c>
      <c r="M8574">
        <v>0</v>
      </c>
      <c r="N8574">
        <v>0</v>
      </c>
    </row>
    <row r="8575" spans="1:15">
      <c r="A8575" t="s">
        <v>34070</v>
      </c>
      <c r="B8575" t="s">
        <v>367</v>
      </c>
      <c r="C8575" t="s">
        <v>34081</v>
      </c>
      <c r="D8575" t="s">
        <v>34082</v>
      </c>
      <c r="E8575" t="b">
        <v>0</v>
      </c>
      <c r="F8575" t="s">
        <v>11622</v>
      </c>
      <c r="L8575">
        <v>0</v>
      </c>
      <c r="M8575">
        <v>2</v>
      </c>
      <c r="N8575">
        <v>4</v>
      </c>
    </row>
    <row r="8576" spans="1:15">
      <c r="A8576" t="s">
        <v>34083</v>
      </c>
      <c r="B8576" t="s">
        <v>6742</v>
      </c>
      <c r="C8576" t="s">
        <v>13910</v>
      </c>
      <c r="D8576" t="s">
        <v>34084</v>
      </c>
      <c r="E8576" t="b">
        <v>0</v>
      </c>
      <c r="F8576" t="s">
        <v>11610</v>
      </c>
      <c r="L8576">
        <v>0</v>
      </c>
      <c r="M8576">
        <v>0</v>
      </c>
      <c r="N8576">
        <v>0</v>
      </c>
    </row>
    <row r="8577" spans="1:15">
      <c r="A8577" t="s">
        <v>34085</v>
      </c>
      <c r="B8577" t="s">
        <v>6742</v>
      </c>
      <c r="C8577" t="s">
        <v>23831</v>
      </c>
      <c r="D8577" t="s">
        <v>34086</v>
      </c>
      <c r="E8577" t="b">
        <v>0</v>
      </c>
      <c r="F8577" t="s">
        <v>11610</v>
      </c>
      <c r="L8577">
        <v>0</v>
      </c>
      <c r="M8577">
        <v>0</v>
      </c>
      <c r="N8577">
        <v>0</v>
      </c>
    </row>
    <row r="8578" spans="1:15">
      <c r="A8578" t="s">
        <v>27821</v>
      </c>
      <c r="B8578" t="s">
        <v>6742</v>
      </c>
      <c r="C8578" t="s">
        <v>30356</v>
      </c>
      <c r="D8578" t="s">
        <v>34087</v>
      </c>
      <c r="E8578" t="b">
        <v>0</v>
      </c>
      <c r="F8578" t="s">
        <v>11624</v>
      </c>
      <c r="G8578">
        <v>11.5319</v>
      </c>
      <c r="H8578">
        <v>4.8387000000000002</v>
      </c>
      <c r="I8578" t="s">
        <v>34088</v>
      </c>
      <c r="L8578">
        <v>0</v>
      </c>
      <c r="M8578">
        <v>0</v>
      </c>
      <c r="N8578">
        <v>8</v>
      </c>
      <c r="O8578" t="s">
        <v>11693</v>
      </c>
    </row>
    <row r="8579" spans="1:15">
      <c r="A8579" t="s">
        <v>34089</v>
      </c>
      <c r="B8579" t="s">
        <v>6742</v>
      </c>
      <c r="C8579" t="s">
        <v>27821</v>
      </c>
      <c r="D8579" t="s">
        <v>34090</v>
      </c>
      <c r="E8579" t="b">
        <v>0</v>
      </c>
      <c r="F8579" t="s">
        <v>11610</v>
      </c>
      <c r="L8579">
        <v>0</v>
      </c>
      <c r="M8579">
        <v>0</v>
      </c>
      <c r="N8579">
        <v>0</v>
      </c>
    </row>
    <row r="8580" spans="1:15">
      <c r="A8580" t="s">
        <v>34091</v>
      </c>
      <c r="B8580" t="s">
        <v>6742</v>
      </c>
      <c r="C8580" t="s">
        <v>14951</v>
      </c>
      <c r="D8580" t="s">
        <v>34092</v>
      </c>
      <c r="E8580" t="b">
        <v>0</v>
      </c>
      <c r="F8580" t="s">
        <v>11610</v>
      </c>
      <c r="L8580">
        <v>0</v>
      </c>
      <c r="M8580">
        <v>0</v>
      </c>
      <c r="N8580">
        <v>0</v>
      </c>
    </row>
    <row r="8581" spans="1:15">
      <c r="A8581" t="s">
        <v>34093</v>
      </c>
      <c r="B8581" t="s">
        <v>6742</v>
      </c>
      <c r="C8581" t="s">
        <v>30449</v>
      </c>
      <c r="D8581" t="s">
        <v>34094</v>
      </c>
      <c r="E8581" t="b">
        <v>0</v>
      </c>
      <c r="F8581" t="s">
        <v>11624</v>
      </c>
      <c r="G8581">
        <v>9.22607</v>
      </c>
      <c r="H8581">
        <v>8.1869399999999999</v>
      </c>
      <c r="I8581" t="s">
        <v>34095</v>
      </c>
      <c r="L8581">
        <v>0</v>
      </c>
      <c r="M8581">
        <v>0</v>
      </c>
      <c r="N8581">
        <v>0</v>
      </c>
      <c r="O8581" t="s">
        <v>11693</v>
      </c>
    </row>
    <row r="8582" spans="1:15">
      <c r="A8582" t="s">
        <v>34096</v>
      </c>
      <c r="B8582" t="s">
        <v>13276</v>
      </c>
      <c r="C8582" t="s">
        <v>34097</v>
      </c>
      <c r="D8582" t="s">
        <v>34098</v>
      </c>
      <c r="E8582" t="b">
        <v>0</v>
      </c>
      <c r="F8582" t="s">
        <v>11624</v>
      </c>
      <c r="G8582">
        <v>14.054600000000001</v>
      </c>
      <c r="H8582">
        <v>-9.9640400000000007</v>
      </c>
      <c r="I8582" t="s">
        <v>34099</v>
      </c>
      <c r="L8582">
        <v>0</v>
      </c>
      <c r="M8582">
        <v>0</v>
      </c>
      <c r="N8582">
        <v>0</v>
      </c>
      <c r="O8582" t="s">
        <v>13528</v>
      </c>
    </row>
    <row r="8583" spans="1:15">
      <c r="A8583" t="s">
        <v>34100</v>
      </c>
      <c r="B8583" t="s">
        <v>6742</v>
      </c>
      <c r="C8583" t="s">
        <v>26569</v>
      </c>
      <c r="D8583" t="s">
        <v>34101</v>
      </c>
      <c r="E8583" t="b">
        <v>0</v>
      </c>
      <c r="F8583" t="s">
        <v>11624</v>
      </c>
      <c r="G8583">
        <v>-6.3820399999999999</v>
      </c>
      <c r="H8583">
        <v>37.053400000000003</v>
      </c>
      <c r="I8583" t="s">
        <v>34102</v>
      </c>
      <c r="L8583">
        <v>0</v>
      </c>
      <c r="M8583">
        <v>0</v>
      </c>
      <c r="N8583">
        <v>2</v>
      </c>
      <c r="O8583" t="s">
        <v>11635</v>
      </c>
    </row>
    <row r="8584" spans="1:15">
      <c r="A8584" t="s">
        <v>34103</v>
      </c>
      <c r="B8584" t="s">
        <v>367</v>
      </c>
      <c r="C8584" t="s">
        <v>14698</v>
      </c>
      <c r="D8584" t="s">
        <v>34104</v>
      </c>
      <c r="E8584" t="b">
        <v>0</v>
      </c>
      <c r="F8584" t="s">
        <v>11610</v>
      </c>
      <c r="L8584">
        <v>0</v>
      </c>
      <c r="M8584">
        <v>0</v>
      </c>
      <c r="N8584">
        <v>0</v>
      </c>
    </row>
    <row r="8585" spans="1:15">
      <c r="A8585" t="s">
        <v>34105</v>
      </c>
      <c r="B8585" t="s">
        <v>11627</v>
      </c>
      <c r="C8585" t="s">
        <v>11627</v>
      </c>
      <c r="D8585" t="s">
        <v>34106</v>
      </c>
      <c r="E8585" t="b">
        <v>1</v>
      </c>
      <c r="F8585" t="s">
        <v>11624</v>
      </c>
      <c r="I8585" t="s">
        <v>34107</v>
      </c>
      <c r="L8585">
        <v>0</v>
      </c>
      <c r="M8585">
        <v>0</v>
      </c>
      <c r="N8585">
        <v>0</v>
      </c>
    </row>
    <row r="8586" spans="1:15">
      <c r="A8586" t="s">
        <v>34108</v>
      </c>
      <c r="B8586" t="s">
        <v>6742</v>
      </c>
      <c r="C8586" t="s">
        <v>21895</v>
      </c>
      <c r="D8586" t="s">
        <v>34109</v>
      </c>
      <c r="E8586" t="b">
        <v>0</v>
      </c>
      <c r="F8586" t="s">
        <v>11624</v>
      </c>
      <c r="G8586">
        <v>-3.5141200000000001</v>
      </c>
      <c r="H8586">
        <v>37.575899999999997</v>
      </c>
      <c r="I8586" t="s">
        <v>34110</v>
      </c>
      <c r="L8586">
        <v>0</v>
      </c>
      <c r="M8586">
        <v>0</v>
      </c>
      <c r="N8586">
        <v>0</v>
      </c>
      <c r="O8586" t="s">
        <v>14933</v>
      </c>
    </row>
    <row r="8587" spans="1:15">
      <c r="A8587" t="s">
        <v>34111</v>
      </c>
      <c r="B8587" t="s">
        <v>6742</v>
      </c>
      <c r="C8587" t="s">
        <v>34112</v>
      </c>
      <c r="D8587" t="s">
        <v>34113</v>
      </c>
      <c r="E8587" t="b">
        <v>0</v>
      </c>
      <c r="F8587" t="s">
        <v>11610</v>
      </c>
      <c r="L8587">
        <v>0</v>
      </c>
      <c r="M8587">
        <v>0</v>
      </c>
      <c r="N8587">
        <v>0</v>
      </c>
    </row>
    <row r="8588" spans="1:15">
      <c r="A8588" t="s">
        <v>34114</v>
      </c>
      <c r="B8588" t="s">
        <v>367</v>
      </c>
      <c r="C8588" t="s">
        <v>14619</v>
      </c>
      <c r="D8588" t="s">
        <v>34115</v>
      </c>
      <c r="E8588" t="b">
        <v>0</v>
      </c>
      <c r="F8588" t="s">
        <v>11624</v>
      </c>
      <c r="G8588">
        <v>-10.696300000000001</v>
      </c>
      <c r="H8588">
        <v>162.191</v>
      </c>
      <c r="I8588" t="s">
        <v>34116</v>
      </c>
      <c r="L8588">
        <v>0</v>
      </c>
      <c r="M8588">
        <v>0</v>
      </c>
      <c r="N8588">
        <v>0</v>
      </c>
      <c r="O8588" t="s">
        <v>13346</v>
      </c>
    </row>
    <row r="8589" spans="1:15">
      <c r="A8589" t="s">
        <v>34117</v>
      </c>
      <c r="B8589" t="s">
        <v>11627</v>
      </c>
      <c r="C8589" t="s">
        <v>11627</v>
      </c>
      <c r="D8589" t="s">
        <v>34118</v>
      </c>
      <c r="E8589" t="b">
        <v>1</v>
      </c>
      <c r="F8589" t="s">
        <v>11624</v>
      </c>
      <c r="I8589" t="s">
        <v>34119</v>
      </c>
      <c r="L8589">
        <v>0</v>
      </c>
      <c r="M8589">
        <v>0</v>
      </c>
      <c r="N8589">
        <v>0</v>
      </c>
    </row>
    <row r="8590" spans="1:15">
      <c r="A8590" t="s">
        <v>34120</v>
      </c>
      <c r="B8590" t="s">
        <v>13276</v>
      </c>
      <c r="C8590" t="s">
        <v>19198</v>
      </c>
      <c r="D8590" t="s">
        <v>34121</v>
      </c>
      <c r="E8590" t="b">
        <v>0</v>
      </c>
      <c r="F8590" t="s">
        <v>11610</v>
      </c>
      <c r="L8590">
        <v>0</v>
      </c>
      <c r="M8590">
        <v>0</v>
      </c>
      <c r="N8590">
        <v>0</v>
      </c>
    </row>
    <row r="8591" spans="1:15">
      <c r="A8591" t="s">
        <v>34122</v>
      </c>
      <c r="B8591" t="s">
        <v>11871</v>
      </c>
      <c r="C8591" t="s">
        <v>34123</v>
      </c>
      <c r="D8591" t="s">
        <v>34124</v>
      </c>
      <c r="E8591" t="b">
        <v>0</v>
      </c>
      <c r="F8591" t="s">
        <v>11624</v>
      </c>
      <c r="G8591">
        <v>-4.0654300000000001</v>
      </c>
      <c r="H8591">
        <v>144.756</v>
      </c>
      <c r="I8591" t="s">
        <v>34125</v>
      </c>
      <c r="L8591">
        <v>0</v>
      </c>
      <c r="M8591">
        <v>0</v>
      </c>
      <c r="N8591">
        <v>0</v>
      </c>
      <c r="O8591" t="s">
        <v>11660</v>
      </c>
    </row>
    <row r="8592" spans="1:15">
      <c r="A8592" t="s">
        <v>34126</v>
      </c>
      <c r="B8592" t="s">
        <v>27756</v>
      </c>
      <c r="C8592" t="s">
        <v>27756</v>
      </c>
      <c r="D8592" t="s">
        <v>34127</v>
      </c>
      <c r="E8592" t="b">
        <v>0</v>
      </c>
      <c r="F8592" t="s">
        <v>11610</v>
      </c>
      <c r="L8592">
        <v>0</v>
      </c>
      <c r="M8592">
        <v>0</v>
      </c>
      <c r="N8592">
        <v>0</v>
      </c>
    </row>
    <row r="8593" spans="1:15">
      <c r="A8593" t="s">
        <v>30850</v>
      </c>
      <c r="B8593" t="s">
        <v>367</v>
      </c>
      <c r="C8593" t="s">
        <v>13396</v>
      </c>
      <c r="D8593" t="s">
        <v>34128</v>
      </c>
      <c r="E8593" t="b">
        <v>0</v>
      </c>
      <c r="F8593" t="s">
        <v>11624</v>
      </c>
      <c r="G8593">
        <v>-3.1602999999999999</v>
      </c>
      <c r="H8593">
        <v>128.21100000000001</v>
      </c>
      <c r="I8593" t="s">
        <v>34129</v>
      </c>
      <c r="L8593">
        <v>0</v>
      </c>
      <c r="M8593">
        <v>0</v>
      </c>
      <c r="N8593">
        <v>2</v>
      </c>
      <c r="O8593" t="s">
        <v>11768</v>
      </c>
    </row>
    <row r="8594" spans="1:15">
      <c r="A8594" t="s">
        <v>19232</v>
      </c>
      <c r="B8594" t="s">
        <v>367</v>
      </c>
      <c r="C8594" t="s">
        <v>18730</v>
      </c>
      <c r="D8594" t="s">
        <v>34130</v>
      </c>
      <c r="E8594" t="b">
        <v>0</v>
      </c>
      <c r="F8594" t="s">
        <v>11624</v>
      </c>
      <c r="G8594">
        <v>0.85641</v>
      </c>
      <c r="H8594">
        <v>123.217</v>
      </c>
      <c r="I8594" t="s">
        <v>34131</v>
      </c>
      <c r="L8594">
        <v>0</v>
      </c>
      <c r="M8594">
        <v>0</v>
      </c>
      <c r="N8594">
        <v>2</v>
      </c>
      <c r="O8594" t="s">
        <v>11768</v>
      </c>
    </row>
    <row r="8595" spans="1:15">
      <c r="A8595" t="s">
        <v>34132</v>
      </c>
      <c r="B8595" t="s">
        <v>367</v>
      </c>
      <c r="C8595" t="s">
        <v>19232</v>
      </c>
      <c r="D8595" t="s">
        <v>34133</v>
      </c>
      <c r="E8595" t="b">
        <v>0</v>
      </c>
      <c r="F8595" t="s">
        <v>11610</v>
      </c>
      <c r="L8595">
        <v>0</v>
      </c>
      <c r="M8595">
        <v>0</v>
      </c>
      <c r="N8595">
        <v>0</v>
      </c>
    </row>
    <row r="8596" spans="1:15">
      <c r="A8596" t="s">
        <v>34134</v>
      </c>
      <c r="B8596" t="s">
        <v>367</v>
      </c>
      <c r="C8596" t="s">
        <v>34135</v>
      </c>
      <c r="D8596" t="s">
        <v>34136</v>
      </c>
      <c r="E8596" t="b">
        <v>0</v>
      </c>
      <c r="F8596" t="s">
        <v>11624</v>
      </c>
      <c r="G8596">
        <v>-3.7052399999999999</v>
      </c>
      <c r="H8596">
        <v>143.88399999999999</v>
      </c>
      <c r="I8596" t="s">
        <v>34137</v>
      </c>
      <c r="L8596">
        <v>0</v>
      </c>
      <c r="M8596">
        <v>0</v>
      </c>
      <c r="N8596">
        <v>0</v>
      </c>
      <c r="O8596" t="s">
        <v>11660</v>
      </c>
    </row>
    <row r="8597" spans="1:15">
      <c r="A8597" t="s">
        <v>34135</v>
      </c>
      <c r="B8597" t="s">
        <v>367</v>
      </c>
      <c r="C8597" t="s">
        <v>34138</v>
      </c>
      <c r="D8597" t="s">
        <v>34139</v>
      </c>
      <c r="E8597" t="b">
        <v>0</v>
      </c>
      <c r="F8597" t="s">
        <v>11622</v>
      </c>
      <c r="L8597">
        <v>0</v>
      </c>
      <c r="M8597">
        <v>2</v>
      </c>
      <c r="N8597">
        <v>0</v>
      </c>
    </row>
    <row r="8598" spans="1:15">
      <c r="A8598" t="s">
        <v>34140</v>
      </c>
      <c r="B8598" t="s">
        <v>6742</v>
      </c>
      <c r="C8598" t="s">
        <v>25726</v>
      </c>
      <c r="D8598" t="s">
        <v>34141</v>
      </c>
      <c r="E8598" t="b">
        <v>0</v>
      </c>
      <c r="F8598" t="s">
        <v>11610</v>
      </c>
      <c r="L8598">
        <v>0</v>
      </c>
      <c r="M8598">
        <v>0</v>
      </c>
      <c r="N8598">
        <v>0</v>
      </c>
    </row>
    <row r="8599" spans="1:15">
      <c r="A8599" t="s">
        <v>34142</v>
      </c>
      <c r="B8599" t="s">
        <v>11844</v>
      </c>
      <c r="C8599" t="s">
        <v>34143</v>
      </c>
      <c r="D8599" t="s">
        <v>34144</v>
      </c>
      <c r="E8599" t="b">
        <v>0</v>
      </c>
      <c r="F8599" t="s">
        <v>11624</v>
      </c>
      <c r="G8599">
        <v>18.385899999999999</v>
      </c>
      <c r="H8599">
        <v>76.000299999999996</v>
      </c>
      <c r="I8599" t="s">
        <v>34145</v>
      </c>
      <c r="L8599">
        <v>0</v>
      </c>
      <c r="M8599">
        <v>0</v>
      </c>
      <c r="N8599">
        <v>0</v>
      </c>
      <c r="O8599" t="s">
        <v>11630</v>
      </c>
    </row>
    <row r="8600" spans="1:15">
      <c r="A8600" t="s">
        <v>34146</v>
      </c>
      <c r="B8600" t="s">
        <v>11644</v>
      </c>
      <c r="C8600" t="s">
        <v>29127</v>
      </c>
      <c r="D8600" t="s">
        <v>34147</v>
      </c>
      <c r="E8600" t="b">
        <v>0</v>
      </c>
      <c r="F8600" t="s">
        <v>11624</v>
      </c>
      <c r="G8600">
        <v>28.853000000000002</v>
      </c>
      <c r="H8600">
        <v>83.138400000000004</v>
      </c>
      <c r="I8600" t="s">
        <v>34148</v>
      </c>
      <c r="L8600">
        <v>0</v>
      </c>
      <c r="M8600">
        <v>0</v>
      </c>
      <c r="N8600">
        <v>0</v>
      </c>
      <c r="O8600" t="s">
        <v>15007</v>
      </c>
    </row>
    <row r="8601" spans="1:15">
      <c r="A8601" t="s">
        <v>34149</v>
      </c>
      <c r="B8601" t="s">
        <v>6742</v>
      </c>
      <c r="C8601" t="s">
        <v>18560</v>
      </c>
      <c r="D8601" t="s">
        <v>34150</v>
      </c>
      <c r="E8601" t="b">
        <v>0</v>
      </c>
      <c r="F8601" t="s">
        <v>11624</v>
      </c>
      <c r="G8601">
        <v>0.75068000000000001</v>
      </c>
      <c r="H8601">
        <v>28.7394</v>
      </c>
      <c r="I8601" t="s">
        <v>34151</v>
      </c>
      <c r="L8601">
        <v>0</v>
      </c>
      <c r="M8601">
        <v>0</v>
      </c>
      <c r="N8601">
        <v>0</v>
      </c>
      <c r="O8601" t="s">
        <v>14825</v>
      </c>
    </row>
    <row r="8602" spans="1:15">
      <c r="A8602" t="s">
        <v>29127</v>
      </c>
      <c r="B8602" t="s">
        <v>11644</v>
      </c>
      <c r="C8602" t="s">
        <v>19052</v>
      </c>
      <c r="D8602" t="s">
        <v>34152</v>
      </c>
      <c r="E8602" t="b">
        <v>0</v>
      </c>
      <c r="F8602" t="s">
        <v>11622</v>
      </c>
      <c r="L8602">
        <v>7</v>
      </c>
      <c r="M8602">
        <v>13</v>
      </c>
      <c r="N8602">
        <v>35</v>
      </c>
    </row>
    <row r="8603" spans="1:15">
      <c r="A8603" t="s">
        <v>34153</v>
      </c>
      <c r="B8603" t="s">
        <v>11637</v>
      </c>
      <c r="C8603" t="s">
        <v>16734</v>
      </c>
      <c r="D8603" t="s">
        <v>34154</v>
      </c>
      <c r="E8603" t="b">
        <v>0</v>
      </c>
      <c r="F8603" t="s">
        <v>11610</v>
      </c>
      <c r="L8603">
        <v>0</v>
      </c>
      <c r="M8603">
        <v>0</v>
      </c>
      <c r="N8603">
        <v>0</v>
      </c>
    </row>
    <row r="8604" spans="1:15">
      <c r="A8604" t="s">
        <v>34155</v>
      </c>
      <c r="B8604" t="s">
        <v>367</v>
      </c>
      <c r="C8604" t="s">
        <v>30793</v>
      </c>
      <c r="D8604" t="s">
        <v>34156</v>
      </c>
      <c r="E8604" t="b">
        <v>0</v>
      </c>
      <c r="F8604" t="s">
        <v>11610</v>
      </c>
      <c r="L8604">
        <v>0</v>
      </c>
      <c r="M8604">
        <v>0</v>
      </c>
      <c r="N8604">
        <v>0</v>
      </c>
    </row>
    <row r="8605" spans="1:15">
      <c r="A8605" t="s">
        <v>34157</v>
      </c>
      <c r="B8605" t="s">
        <v>367</v>
      </c>
      <c r="C8605" t="s">
        <v>34158</v>
      </c>
      <c r="D8605" t="s">
        <v>34159</v>
      </c>
      <c r="E8605" t="b">
        <v>0</v>
      </c>
      <c r="F8605" t="s">
        <v>11622</v>
      </c>
      <c r="L8605">
        <v>6</v>
      </c>
      <c r="M8605">
        <v>16</v>
      </c>
      <c r="N8605">
        <v>27</v>
      </c>
    </row>
    <row r="8606" spans="1:15">
      <c r="A8606" t="s">
        <v>16940</v>
      </c>
      <c r="B8606" t="s">
        <v>367</v>
      </c>
      <c r="C8606" t="s">
        <v>34160</v>
      </c>
      <c r="D8606" t="s">
        <v>34161</v>
      </c>
      <c r="E8606" t="b">
        <v>0</v>
      </c>
      <c r="F8606" t="s">
        <v>11622</v>
      </c>
      <c r="L8606">
        <v>1</v>
      </c>
      <c r="M8606">
        <v>8</v>
      </c>
      <c r="N8606">
        <v>14</v>
      </c>
    </row>
    <row r="8607" spans="1:15">
      <c r="A8607" t="s">
        <v>34158</v>
      </c>
      <c r="B8607" t="s">
        <v>367</v>
      </c>
      <c r="C8607" t="s">
        <v>21285</v>
      </c>
      <c r="D8607" t="s">
        <v>34162</v>
      </c>
      <c r="E8607" t="b">
        <v>0</v>
      </c>
      <c r="F8607" t="s">
        <v>11622</v>
      </c>
      <c r="L8607">
        <v>10</v>
      </c>
      <c r="M8607">
        <v>21</v>
      </c>
      <c r="N8607">
        <v>29</v>
      </c>
    </row>
    <row r="8608" spans="1:15">
      <c r="A8608" t="s">
        <v>34163</v>
      </c>
      <c r="B8608" t="s">
        <v>11981</v>
      </c>
      <c r="C8608" t="s">
        <v>11982</v>
      </c>
      <c r="D8608" t="s">
        <v>34164</v>
      </c>
      <c r="E8608" t="b">
        <v>0</v>
      </c>
      <c r="F8608" t="s">
        <v>11624</v>
      </c>
      <c r="L8608">
        <v>0</v>
      </c>
      <c r="M8608">
        <v>0</v>
      </c>
      <c r="N8608">
        <v>0</v>
      </c>
      <c r="O8608" t="s">
        <v>11660</v>
      </c>
    </row>
    <row r="8609" spans="1:15">
      <c r="A8609" t="s">
        <v>34165</v>
      </c>
      <c r="B8609" t="s">
        <v>13360</v>
      </c>
      <c r="C8609" t="s">
        <v>13360</v>
      </c>
      <c r="D8609" t="s">
        <v>34166</v>
      </c>
      <c r="E8609" t="b">
        <v>0</v>
      </c>
      <c r="F8609" t="s">
        <v>11624</v>
      </c>
      <c r="G8609">
        <v>-10.4795944</v>
      </c>
      <c r="H8609">
        <v>-39.026292599999998</v>
      </c>
      <c r="I8609" t="s">
        <v>34167</v>
      </c>
      <c r="L8609">
        <v>0</v>
      </c>
      <c r="M8609">
        <v>0</v>
      </c>
      <c r="N8609">
        <v>0</v>
      </c>
      <c r="O8609" t="s">
        <v>11969</v>
      </c>
    </row>
    <row r="8610" spans="1:15">
      <c r="A8610" t="s">
        <v>34168</v>
      </c>
      <c r="B8610" t="s">
        <v>367</v>
      </c>
      <c r="C8610" t="s">
        <v>34169</v>
      </c>
      <c r="D8610" t="s">
        <v>34170</v>
      </c>
      <c r="E8610" t="b">
        <v>0</v>
      </c>
      <c r="F8610" t="s">
        <v>11624</v>
      </c>
      <c r="G8610">
        <v>-5.6544699999999999</v>
      </c>
      <c r="H8610">
        <v>122.538</v>
      </c>
      <c r="I8610" t="s">
        <v>34171</v>
      </c>
      <c r="L8610">
        <v>0</v>
      </c>
      <c r="M8610">
        <v>0</v>
      </c>
      <c r="N8610">
        <v>2</v>
      </c>
      <c r="O8610" t="s">
        <v>11768</v>
      </c>
    </row>
    <row r="8611" spans="1:15">
      <c r="A8611" t="s">
        <v>34172</v>
      </c>
      <c r="B8611" t="s">
        <v>34173</v>
      </c>
      <c r="C8611" t="s">
        <v>34174</v>
      </c>
      <c r="D8611" t="s">
        <v>34175</v>
      </c>
      <c r="E8611" t="b">
        <v>0</v>
      </c>
      <c r="F8611" t="s">
        <v>11610</v>
      </c>
      <c r="L8611">
        <v>0</v>
      </c>
      <c r="M8611">
        <v>0</v>
      </c>
      <c r="N8611">
        <v>0</v>
      </c>
    </row>
    <row r="8612" spans="1:15">
      <c r="A8612" t="s">
        <v>34176</v>
      </c>
      <c r="B8612" t="s">
        <v>12487</v>
      </c>
      <c r="C8612" t="s">
        <v>30678</v>
      </c>
      <c r="D8612" t="s">
        <v>34177</v>
      </c>
      <c r="E8612" t="b">
        <v>0</v>
      </c>
      <c r="F8612" t="s">
        <v>11610</v>
      </c>
      <c r="L8612">
        <v>0</v>
      </c>
      <c r="M8612">
        <v>0</v>
      </c>
      <c r="N8612">
        <v>0</v>
      </c>
    </row>
    <row r="8613" spans="1:15">
      <c r="A8613" t="s">
        <v>34178</v>
      </c>
      <c r="B8613" t="s">
        <v>11615</v>
      </c>
      <c r="C8613" t="s">
        <v>27216</v>
      </c>
      <c r="D8613" t="s">
        <v>34179</v>
      </c>
      <c r="E8613" t="b">
        <v>0</v>
      </c>
      <c r="F8613" t="s">
        <v>11610</v>
      </c>
      <c r="L8613">
        <v>0</v>
      </c>
      <c r="M8613">
        <v>0</v>
      </c>
      <c r="N8613">
        <v>0</v>
      </c>
    </row>
    <row r="8614" spans="1:15">
      <c r="A8614" t="s">
        <v>34180</v>
      </c>
      <c r="B8614" t="s">
        <v>11965</v>
      </c>
      <c r="C8614" t="s">
        <v>32442</v>
      </c>
      <c r="D8614" t="s">
        <v>34181</v>
      </c>
      <c r="E8614" t="b">
        <v>0</v>
      </c>
      <c r="F8614" t="s">
        <v>11622</v>
      </c>
      <c r="L8614">
        <v>1</v>
      </c>
      <c r="M8614">
        <v>3</v>
      </c>
      <c r="N8614">
        <v>4</v>
      </c>
    </row>
    <row r="8615" spans="1:15">
      <c r="A8615" t="s">
        <v>34182</v>
      </c>
      <c r="B8615" t="s">
        <v>11965</v>
      </c>
      <c r="C8615" t="s">
        <v>34180</v>
      </c>
      <c r="D8615" t="s">
        <v>34183</v>
      </c>
      <c r="E8615" t="b">
        <v>0</v>
      </c>
      <c r="F8615" t="s">
        <v>11622</v>
      </c>
      <c r="L8615">
        <v>0</v>
      </c>
      <c r="M8615">
        <v>2</v>
      </c>
      <c r="N8615">
        <v>4</v>
      </c>
    </row>
    <row r="8616" spans="1:15">
      <c r="A8616" t="s">
        <v>5102</v>
      </c>
      <c r="B8616" t="s">
        <v>11965</v>
      </c>
      <c r="C8616" t="s">
        <v>34182</v>
      </c>
      <c r="D8616" t="s">
        <v>34184</v>
      </c>
      <c r="E8616" t="b">
        <v>0</v>
      </c>
      <c r="F8616" t="s">
        <v>11624</v>
      </c>
      <c r="G8616">
        <v>-27.767099999999999</v>
      </c>
      <c r="H8616">
        <v>-52.539400000000001</v>
      </c>
      <c r="I8616" t="s">
        <v>34185</v>
      </c>
      <c r="L8616">
        <v>0</v>
      </c>
      <c r="M8616">
        <v>0</v>
      </c>
      <c r="N8616">
        <v>4</v>
      </c>
      <c r="O8616" t="s">
        <v>11969</v>
      </c>
    </row>
    <row r="8617" spans="1:15">
      <c r="A8617" t="s">
        <v>29610</v>
      </c>
      <c r="B8617" t="s">
        <v>11615</v>
      </c>
      <c r="C8617" t="s">
        <v>11615</v>
      </c>
      <c r="D8617" t="s">
        <v>34186</v>
      </c>
      <c r="E8617" t="b">
        <v>0</v>
      </c>
      <c r="F8617" t="s">
        <v>11622</v>
      </c>
      <c r="L8617">
        <v>16</v>
      </c>
      <c r="M8617">
        <v>28</v>
      </c>
      <c r="N8617">
        <v>49</v>
      </c>
    </row>
    <row r="8618" spans="1:15">
      <c r="A8618" t="s">
        <v>28719</v>
      </c>
      <c r="B8618" t="s">
        <v>11615</v>
      </c>
      <c r="C8618" t="s">
        <v>29610</v>
      </c>
      <c r="D8618" t="s">
        <v>34187</v>
      </c>
      <c r="E8618" t="b">
        <v>0</v>
      </c>
      <c r="F8618" t="s">
        <v>11622</v>
      </c>
      <c r="L8618">
        <v>6</v>
      </c>
      <c r="M8618">
        <v>11</v>
      </c>
      <c r="N8618">
        <v>16</v>
      </c>
    </row>
    <row r="8619" spans="1:15">
      <c r="A8619" t="s">
        <v>21808</v>
      </c>
      <c r="B8619" t="s">
        <v>6742</v>
      </c>
      <c r="C8619" t="s">
        <v>12815</v>
      </c>
      <c r="D8619" t="s">
        <v>34188</v>
      </c>
      <c r="E8619" t="b">
        <v>0</v>
      </c>
      <c r="F8619" t="s">
        <v>11622</v>
      </c>
      <c r="L8619">
        <v>34</v>
      </c>
      <c r="M8619">
        <v>52</v>
      </c>
      <c r="N8619">
        <v>54</v>
      </c>
    </row>
    <row r="8620" spans="1:15">
      <c r="A8620" t="s">
        <v>34189</v>
      </c>
      <c r="B8620" t="s">
        <v>6742</v>
      </c>
      <c r="C8620" t="s">
        <v>21808</v>
      </c>
      <c r="D8620" t="s">
        <v>34190</v>
      </c>
      <c r="E8620" t="b">
        <v>0</v>
      </c>
      <c r="F8620" t="s">
        <v>11622</v>
      </c>
      <c r="L8620">
        <v>2</v>
      </c>
      <c r="M8620">
        <v>4</v>
      </c>
      <c r="N8620">
        <v>0</v>
      </c>
    </row>
    <row r="8621" spans="1:15">
      <c r="A8621" t="s">
        <v>34191</v>
      </c>
      <c r="B8621" t="s">
        <v>13360</v>
      </c>
      <c r="C8621" t="s">
        <v>13360</v>
      </c>
      <c r="D8621" t="s">
        <v>34192</v>
      </c>
      <c r="E8621" t="b">
        <v>0</v>
      </c>
      <c r="F8621" t="s">
        <v>11624</v>
      </c>
      <c r="L8621">
        <v>0</v>
      </c>
      <c r="M8621">
        <v>0</v>
      </c>
      <c r="N8621">
        <v>0</v>
      </c>
      <c r="O8621" t="s">
        <v>27883</v>
      </c>
    </row>
    <row r="8622" spans="1:15">
      <c r="A8622" t="s">
        <v>34193</v>
      </c>
      <c r="B8622" t="s">
        <v>12425</v>
      </c>
      <c r="C8622" t="s">
        <v>34194</v>
      </c>
      <c r="D8622" t="s">
        <v>34195</v>
      </c>
      <c r="E8622" t="b">
        <v>0</v>
      </c>
      <c r="F8622" t="s">
        <v>11610</v>
      </c>
      <c r="L8622">
        <v>0</v>
      </c>
      <c r="M8622">
        <v>0</v>
      </c>
      <c r="N8622">
        <v>0</v>
      </c>
    </row>
    <row r="8623" spans="1:15">
      <c r="A8623" t="s">
        <v>34196</v>
      </c>
      <c r="B8623" t="s">
        <v>11644</v>
      </c>
      <c r="C8623" t="s">
        <v>19491</v>
      </c>
      <c r="D8623" t="s">
        <v>34197</v>
      </c>
      <c r="E8623" t="b">
        <v>0</v>
      </c>
      <c r="F8623" t="s">
        <v>11610</v>
      </c>
      <c r="L8623">
        <v>0</v>
      </c>
      <c r="M8623">
        <v>0</v>
      </c>
      <c r="N8623">
        <v>0</v>
      </c>
    </row>
    <row r="8624" spans="1:15">
      <c r="A8624" t="s">
        <v>34198</v>
      </c>
      <c r="B8624" t="s">
        <v>367</v>
      </c>
      <c r="C8624" t="s">
        <v>34199</v>
      </c>
      <c r="D8624" t="s">
        <v>34200</v>
      </c>
      <c r="E8624" t="b">
        <v>0</v>
      </c>
      <c r="F8624" t="s">
        <v>11622</v>
      </c>
      <c r="L8624">
        <v>6</v>
      </c>
      <c r="M8624">
        <v>9</v>
      </c>
      <c r="N8624">
        <v>1</v>
      </c>
    </row>
    <row r="8625" spans="1:15">
      <c r="A8625" t="s">
        <v>34138</v>
      </c>
      <c r="B8625" t="s">
        <v>367</v>
      </c>
      <c r="C8625" t="s">
        <v>34198</v>
      </c>
      <c r="D8625" t="s">
        <v>34201</v>
      </c>
      <c r="E8625" t="b">
        <v>0</v>
      </c>
      <c r="F8625" t="s">
        <v>11622</v>
      </c>
      <c r="L8625">
        <v>1</v>
      </c>
      <c r="M8625">
        <v>3</v>
      </c>
      <c r="N8625">
        <v>0</v>
      </c>
    </row>
    <row r="8626" spans="1:15">
      <c r="A8626" t="s">
        <v>34202</v>
      </c>
      <c r="B8626" t="s">
        <v>367</v>
      </c>
      <c r="C8626" t="s">
        <v>34138</v>
      </c>
      <c r="D8626" t="s">
        <v>34203</v>
      </c>
      <c r="E8626" t="b">
        <v>0</v>
      </c>
      <c r="F8626" t="s">
        <v>11624</v>
      </c>
      <c r="G8626">
        <v>-3.3460800000000002</v>
      </c>
      <c r="H8626">
        <v>143.55799999999999</v>
      </c>
      <c r="I8626" t="s">
        <v>34204</v>
      </c>
      <c r="L8626">
        <v>0</v>
      </c>
      <c r="M8626">
        <v>0</v>
      </c>
      <c r="N8626">
        <v>0</v>
      </c>
      <c r="O8626" t="s">
        <v>11660</v>
      </c>
    </row>
    <row r="8627" spans="1:15">
      <c r="A8627" t="s">
        <v>34205</v>
      </c>
      <c r="B8627" t="s">
        <v>367</v>
      </c>
      <c r="C8627" t="s">
        <v>13198</v>
      </c>
      <c r="D8627" t="s">
        <v>34206</v>
      </c>
      <c r="E8627" t="b">
        <v>0</v>
      </c>
      <c r="F8627" t="s">
        <v>11610</v>
      </c>
      <c r="L8627">
        <v>0</v>
      </c>
      <c r="M8627">
        <v>0</v>
      </c>
      <c r="N8627">
        <v>0</v>
      </c>
    </row>
    <row r="8628" spans="1:15">
      <c r="A8628" t="s">
        <v>34207</v>
      </c>
      <c r="B8628" t="s">
        <v>367</v>
      </c>
      <c r="C8628" t="s">
        <v>34208</v>
      </c>
      <c r="D8628" t="s">
        <v>34209</v>
      </c>
      <c r="E8628" t="b">
        <v>0</v>
      </c>
      <c r="F8628" t="s">
        <v>11624</v>
      </c>
      <c r="G8628">
        <v>-8.7403399999999998</v>
      </c>
      <c r="H8628">
        <v>126.059</v>
      </c>
      <c r="I8628" t="s">
        <v>34210</v>
      </c>
      <c r="L8628">
        <v>0</v>
      </c>
      <c r="M8628">
        <v>0</v>
      </c>
      <c r="N8628">
        <v>2</v>
      </c>
      <c r="O8628" t="s">
        <v>27765</v>
      </c>
    </row>
    <row r="8629" spans="1:15">
      <c r="A8629" t="s">
        <v>34211</v>
      </c>
      <c r="B8629" t="s">
        <v>367</v>
      </c>
      <c r="C8629" t="s">
        <v>34207</v>
      </c>
      <c r="D8629" t="s">
        <v>34212</v>
      </c>
      <c r="E8629" t="b">
        <v>0</v>
      </c>
      <c r="F8629" t="s">
        <v>11610</v>
      </c>
      <c r="L8629">
        <v>0</v>
      </c>
      <c r="M8629">
        <v>0</v>
      </c>
      <c r="N8629">
        <v>0</v>
      </c>
    </row>
    <row r="8630" spans="1:15">
      <c r="A8630" t="s">
        <v>34213</v>
      </c>
      <c r="B8630" t="s">
        <v>16014</v>
      </c>
      <c r="C8630" t="s">
        <v>16014</v>
      </c>
      <c r="D8630" t="s">
        <v>34214</v>
      </c>
      <c r="E8630" t="b">
        <v>0</v>
      </c>
      <c r="F8630" t="s">
        <v>11624</v>
      </c>
      <c r="G8630">
        <v>-4.4694099999999999</v>
      </c>
      <c r="H8630">
        <v>151.97999999999999</v>
      </c>
      <c r="I8630" t="s">
        <v>34215</v>
      </c>
      <c r="L8630">
        <v>0</v>
      </c>
      <c r="M8630">
        <v>0</v>
      </c>
      <c r="N8630">
        <v>0</v>
      </c>
      <c r="O8630" t="s">
        <v>11660</v>
      </c>
    </row>
    <row r="8631" spans="1:15">
      <c r="A8631" t="s">
        <v>34216</v>
      </c>
      <c r="B8631" t="s">
        <v>14314</v>
      </c>
      <c r="C8631" t="s">
        <v>14314</v>
      </c>
      <c r="D8631" t="s">
        <v>34217</v>
      </c>
      <c r="E8631" t="b">
        <v>0</v>
      </c>
      <c r="F8631" t="s">
        <v>11624</v>
      </c>
      <c r="G8631">
        <v>-1.78077</v>
      </c>
      <c r="H8631">
        <v>132.31200000000001</v>
      </c>
      <c r="I8631" t="s">
        <v>34218</v>
      </c>
      <c r="L8631">
        <v>0</v>
      </c>
      <c r="M8631">
        <v>0</v>
      </c>
      <c r="N8631">
        <v>0</v>
      </c>
      <c r="O8631" t="s">
        <v>11768</v>
      </c>
    </row>
    <row r="8632" spans="1:15">
      <c r="A8632" t="s">
        <v>34219</v>
      </c>
      <c r="B8632" t="s">
        <v>367</v>
      </c>
      <c r="C8632" t="s">
        <v>15988</v>
      </c>
      <c r="D8632" t="s">
        <v>34220</v>
      </c>
      <c r="E8632" t="b">
        <v>0</v>
      </c>
      <c r="F8632" t="s">
        <v>11610</v>
      </c>
      <c r="L8632">
        <v>0</v>
      </c>
      <c r="M8632">
        <v>0</v>
      </c>
      <c r="N8632">
        <v>0</v>
      </c>
    </row>
    <row r="8633" spans="1:15">
      <c r="A8633" t="s">
        <v>34221</v>
      </c>
      <c r="B8633" t="s">
        <v>11894</v>
      </c>
      <c r="C8633" t="s">
        <v>33234</v>
      </c>
      <c r="D8633" t="s">
        <v>34222</v>
      </c>
      <c r="E8633" t="b">
        <v>0</v>
      </c>
      <c r="F8633" t="s">
        <v>11624</v>
      </c>
      <c r="G8633">
        <v>-1.656507</v>
      </c>
      <c r="H8633">
        <v>-67.419433999999995</v>
      </c>
      <c r="L8633">
        <v>0</v>
      </c>
      <c r="M8633">
        <v>0</v>
      </c>
      <c r="N8633">
        <v>0</v>
      </c>
      <c r="O8633" t="s">
        <v>11969</v>
      </c>
    </row>
    <row r="8634" spans="1:15">
      <c r="A8634" t="s">
        <v>34223</v>
      </c>
      <c r="B8634" t="s">
        <v>367</v>
      </c>
      <c r="C8634" t="s">
        <v>34224</v>
      </c>
      <c r="D8634" t="s">
        <v>34225</v>
      </c>
      <c r="E8634" t="b">
        <v>0</v>
      </c>
      <c r="F8634" t="s">
        <v>11610</v>
      </c>
      <c r="L8634">
        <v>0</v>
      </c>
      <c r="M8634">
        <v>0</v>
      </c>
      <c r="N8634">
        <v>0</v>
      </c>
    </row>
    <row r="8635" spans="1:15">
      <c r="A8635" t="s">
        <v>34226</v>
      </c>
      <c r="B8635" t="s">
        <v>12241</v>
      </c>
      <c r="C8635" t="s">
        <v>15040</v>
      </c>
      <c r="D8635" t="s">
        <v>34227</v>
      </c>
      <c r="E8635" t="b">
        <v>0</v>
      </c>
      <c r="F8635" t="s">
        <v>11624</v>
      </c>
      <c r="G8635">
        <v>10.4328</v>
      </c>
      <c r="H8635">
        <v>8.1079500000000007</v>
      </c>
      <c r="I8635" t="s">
        <v>34228</v>
      </c>
      <c r="L8635">
        <v>0</v>
      </c>
      <c r="M8635">
        <v>0</v>
      </c>
      <c r="N8635">
        <v>0</v>
      </c>
      <c r="O8635" t="s">
        <v>11693</v>
      </c>
    </row>
    <row r="8636" spans="1:15">
      <c r="A8636" t="s">
        <v>34229</v>
      </c>
      <c r="B8636" t="s">
        <v>11912</v>
      </c>
      <c r="C8636" t="s">
        <v>22705</v>
      </c>
      <c r="D8636" t="s">
        <v>34230</v>
      </c>
      <c r="E8636" t="b">
        <v>0</v>
      </c>
      <c r="F8636" t="s">
        <v>11624</v>
      </c>
      <c r="G8636">
        <v>-24.588999999999999</v>
      </c>
      <c r="H8636">
        <v>-54.6815</v>
      </c>
      <c r="I8636" t="s">
        <v>34231</v>
      </c>
      <c r="L8636">
        <v>0</v>
      </c>
      <c r="M8636">
        <v>0</v>
      </c>
      <c r="N8636">
        <v>3</v>
      </c>
      <c r="O8636" t="s">
        <v>22708</v>
      </c>
    </row>
    <row r="8637" spans="1:15">
      <c r="A8637" t="s">
        <v>34232</v>
      </c>
      <c r="B8637" t="s">
        <v>11912</v>
      </c>
      <c r="C8637" t="s">
        <v>34229</v>
      </c>
      <c r="D8637" t="s">
        <v>34233</v>
      </c>
      <c r="E8637" t="b">
        <v>0</v>
      </c>
      <c r="F8637" t="s">
        <v>11610</v>
      </c>
      <c r="L8637">
        <v>0</v>
      </c>
      <c r="M8637">
        <v>0</v>
      </c>
      <c r="N8637">
        <v>0</v>
      </c>
    </row>
    <row r="8638" spans="1:15">
      <c r="A8638" t="s">
        <v>34234</v>
      </c>
      <c r="B8638" t="s">
        <v>15365</v>
      </c>
      <c r="C8638" t="s">
        <v>25374</v>
      </c>
      <c r="D8638" t="s">
        <v>34235</v>
      </c>
      <c r="E8638" t="b">
        <v>0</v>
      </c>
      <c r="F8638" t="s">
        <v>11624</v>
      </c>
      <c r="G8638">
        <v>-2.94448</v>
      </c>
      <c r="H8638">
        <v>138.161</v>
      </c>
      <c r="I8638" t="s">
        <v>34236</v>
      </c>
      <c r="L8638">
        <v>0</v>
      </c>
      <c r="M8638">
        <v>0</v>
      </c>
      <c r="N8638">
        <v>0</v>
      </c>
      <c r="O8638" t="s">
        <v>11768</v>
      </c>
    </row>
    <row r="8639" spans="1:15">
      <c r="A8639" t="s">
        <v>34237</v>
      </c>
      <c r="B8639" t="s">
        <v>11637</v>
      </c>
      <c r="C8639" t="s">
        <v>34238</v>
      </c>
      <c r="D8639" t="s">
        <v>34239</v>
      </c>
      <c r="E8639" t="b">
        <v>0</v>
      </c>
      <c r="F8639" t="s">
        <v>11624</v>
      </c>
      <c r="G8639">
        <v>35.898899999999998</v>
      </c>
      <c r="H8639">
        <v>53.478499999999997</v>
      </c>
      <c r="I8639" t="s">
        <v>34240</v>
      </c>
      <c r="L8639">
        <v>0</v>
      </c>
      <c r="M8639">
        <v>0</v>
      </c>
      <c r="N8639">
        <v>0</v>
      </c>
      <c r="O8639" t="s">
        <v>13225</v>
      </c>
    </row>
    <row r="8640" spans="1:15">
      <c r="A8640" t="s">
        <v>34241</v>
      </c>
      <c r="B8640" t="s">
        <v>11780</v>
      </c>
      <c r="C8640" t="s">
        <v>11781</v>
      </c>
      <c r="D8640" t="s">
        <v>34242</v>
      </c>
      <c r="E8640" t="b">
        <v>0</v>
      </c>
      <c r="F8640" t="s">
        <v>11610</v>
      </c>
      <c r="L8640">
        <v>0</v>
      </c>
      <c r="M8640">
        <v>0</v>
      </c>
      <c r="N8640">
        <v>0</v>
      </c>
    </row>
    <row r="8641" spans="1:15">
      <c r="A8641" t="s">
        <v>34243</v>
      </c>
      <c r="B8641" t="s">
        <v>367</v>
      </c>
      <c r="C8641" t="s">
        <v>34244</v>
      </c>
      <c r="D8641" t="s">
        <v>34245</v>
      </c>
      <c r="E8641" t="b">
        <v>0</v>
      </c>
      <c r="F8641" t="s">
        <v>11624</v>
      </c>
      <c r="G8641">
        <v>2.78613</v>
      </c>
      <c r="H8641">
        <v>113.886</v>
      </c>
      <c r="I8641" t="s">
        <v>34246</v>
      </c>
      <c r="L8641">
        <v>0</v>
      </c>
      <c r="M8641">
        <v>0</v>
      </c>
      <c r="N8641">
        <v>0</v>
      </c>
      <c r="O8641" t="s">
        <v>11672</v>
      </c>
    </row>
    <row r="8642" spans="1:15">
      <c r="A8642" t="s">
        <v>34247</v>
      </c>
      <c r="B8642" t="s">
        <v>11607</v>
      </c>
      <c r="C8642" t="s">
        <v>34248</v>
      </c>
      <c r="D8642" t="s">
        <v>34249</v>
      </c>
      <c r="E8642" t="b">
        <v>0</v>
      </c>
      <c r="F8642" t="s">
        <v>11624</v>
      </c>
      <c r="G8642">
        <v>12.2492</v>
      </c>
      <c r="H8642">
        <v>20.879000000000001</v>
      </c>
      <c r="I8642" t="s">
        <v>34250</v>
      </c>
      <c r="L8642">
        <v>0</v>
      </c>
      <c r="M8642">
        <v>0</v>
      </c>
      <c r="N8642">
        <v>0</v>
      </c>
      <c r="O8642" t="s">
        <v>13421</v>
      </c>
    </row>
    <row r="8643" spans="1:15">
      <c r="A8643" t="s">
        <v>34251</v>
      </c>
      <c r="B8643" t="s">
        <v>367</v>
      </c>
      <c r="C8643" t="s">
        <v>34252</v>
      </c>
      <c r="D8643" t="s">
        <v>34253</v>
      </c>
      <c r="E8643" t="b">
        <v>0</v>
      </c>
      <c r="F8643" t="s">
        <v>11622</v>
      </c>
      <c r="L8643">
        <v>1</v>
      </c>
      <c r="M8643">
        <v>3</v>
      </c>
      <c r="N8643">
        <v>0</v>
      </c>
    </row>
    <row r="8644" spans="1:15">
      <c r="A8644" t="s">
        <v>34244</v>
      </c>
      <c r="B8644" t="s">
        <v>367</v>
      </c>
      <c r="C8644" t="s">
        <v>34251</v>
      </c>
      <c r="D8644" t="s">
        <v>34254</v>
      </c>
      <c r="E8644" t="b">
        <v>0</v>
      </c>
      <c r="F8644" t="s">
        <v>11622</v>
      </c>
      <c r="L8644">
        <v>0</v>
      </c>
      <c r="M8644">
        <v>2</v>
      </c>
      <c r="N8644">
        <v>0</v>
      </c>
    </row>
    <row r="8645" spans="1:15">
      <c r="A8645" t="s">
        <v>34255</v>
      </c>
      <c r="B8645" t="s">
        <v>11981</v>
      </c>
      <c r="C8645" t="s">
        <v>11982</v>
      </c>
      <c r="D8645" t="s">
        <v>34256</v>
      </c>
      <c r="E8645" t="b">
        <v>0</v>
      </c>
      <c r="F8645" t="s">
        <v>11624</v>
      </c>
      <c r="G8645">
        <v>3.888611</v>
      </c>
      <c r="H8645">
        <v>-55.572221999999996</v>
      </c>
      <c r="L8645">
        <v>0</v>
      </c>
      <c r="M8645">
        <v>0</v>
      </c>
      <c r="N8645">
        <v>0</v>
      </c>
      <c r="O8645" t="s">
        <v>12857</v>
      </c>
    </row>
    <row r="8646" spans="1:15">
      <c r="A8646" t="s">
        <v>34257</v>
      </c>
      <c r="B8646" t="s">
        <v>11607</v>
      </c>
      <c r="C8646" t="s">
        <v>31794</v>
      </c>
      <c r="D8646" t="s">
        <v>34258</v>
      </c>
      <c r="E8646" t="b">
        <v>0</v>
      </c>
      <c r="F8646" t="s">
        <v>11610</v>
      </c>
      <c r="L8646">
        <v>0</v>
      </c>
      <c r="M8646">
        <v>0</v>
      </c>
      <c r="N8646">
        <v>0</v>
      </c>
    </row>
    <row r="8647" spans="1:15">
      <c r="A8647" t="s">
        <v>34259</v>
      </c>
      <c r="B8647" t="s">
        <v>11637</v>
      </c>
      <c r="C8647" t="s">
        <v>34260</v>
      </c>
      <c r="D8647" t="s">
        <v>34261</v>
      </c>
      <c r="E8647" t="b">
        <v>0</v>
      </c>
      <c r="F8647" t="s">
        <v>11624</v>
      </c>
      <c r="G8647">
        <v>45.649748000000002</v>
      </c>
      <c r="H8647">
        <v>16.134108999999999</v>
      </c>
      <c r="I8647" t="s">
        <v>34262</v>
      </c>
      <c r="L8647">
        <v>0</v>
      </c>
      <c r="M8647">
        <v>0</v>
      </c>
      <c r="N8647">
        <v>0</v>
      </c>
      <c r="O8647" t="s">
        <v>23548</v>
      </c>
    </row>
    <row r="8648" spans="1:15">
      <c r="A8648" t="s">
        <v>34263</v>
      </c>
      <c r="B8648" t="s">
        <v>11637</v>
      </c>
      <c r="C8648" t="s">
        <v>22139</v>
      </c>
      <c r="D8648" t="s">
        <v>34264</v>
      </c>
      <c r="E8648" t="b">
        <v>0</v>
      </c>
      <c r="F8648" t="s">
        <v>11610</v>
      </c>
      <c r="L8648">
        <v>0</v>
      </c>
      <c r="M8648">
        <v>0</v>
      </c>
      <c r="N8648">
        <v>0</v>
      </c>
    </row>
    <row r="8649" spans="1:15">
      <c r="A8649" t="s">
        <v>34265</v>
      </c>
      <c r="B8649" t="s">
        <v>6742</v>
      </c>
      <c r="C8649" t="s">
        <v>13910</v>
      </c>
      <c r="D8649" t="s">
        <v>34266</v>
      </c>
      <c r="E8649" t="b">
        <v>0</v>
      </c>
      <c r="F8649" t="s">
        <v>11610</v>
      </c>
      <c r="L8649">
        <v>0</v>
      </c>
      <c r="M8649">
        <v>0</v>
      </c>
      <c r="N8649">
        <v>0</v>
      </c>
    </row>
    <row r="8650" spans="1:15">
      <c r="A8650" t="s">
        <v>34267</v>
      </c>
      <c r="B8650" t="s">
        <v>367</v>
      </c>
      <c r="C8650" t="s">
        <v>5449</v>
      </c>
      <c r="D8650" t="s">
        <v>34268</v>
      </c>
      <c r="E8650" t="b">
        <v>0</v>
      </c>
      <c r="F8650" t="s">
        <v>11610</v>
      </c>
      <c r="L8650">
        <v>0</v>
      </c>
      <c r="M8650">
        <v>0</v>
      </c>
      <c r="N8650">
        <v>0</v>
      </c>
    </row>
    <row r="8651" spans="1:15">
      <c r="A8651" t="s">
        <v>34269</v>
      </c>
      <c r="B8651" t="s">
        <v>12311</v>
      </c>
      <c r="C8651" t="s">
        <v>34270</v>
      </c>
      <c r="D8651" t="s">
        <v>34271</v>
      </c>
      <c r="E8651" t="b">
        <v>0</v>
      </c>
      <c r="F8651" t="s">
        <v>11624</v>
      </c>
      <c r="G8651">
        <v>42.052427999999999</v>
      </c>
      <c r="H8651">
        <v>47.776611000000003</v>
      </c>
      <c r="L8651">
        <v>0</v>
      </c>
      <c r="M8651">
        <v>0</v>
      </c>
      <c r="N8651">
        <v>0</v>
      </c>
    </row>
    <row r="8652" spans="1:15">
      <c r="A8652" t="s">
        <v>34272</v>
      </c>
      <c r="B8652" t="s">
        <v>6742</v>
      </c>
      <c r="C8652" t="s">
        <v>32636</v>
      </c>
      <c r="D8652" t="s">
        <v>34273</v>
      </c>
      <c r="E8652" t="b">
        <v>0</v>
      </c>
      <c r="F8652" t="s">
        <v>11610</v>
      </c>
      <c r="L8652">
        <v>0</v>
      </c>
      <c r="M8652">
        <v>0</v>
      </c>
      <c r="N8652">
        <v>0</v>
      </c>
    </row>
    <row r="8653" spans="1:15">
      <c r="A8653" t="s">
        <v>34274</v>
      </c>
      <c r="B8653" t="s">
        <v>11637</v>
      </c>
      <c r="C8653" t="s">
        <v>28751</v>
      </c>
      <c r="D8653" t="s">
        <v>34275</v>
      </c>
      <c r="E8653" t="b">
        <v>0</v>
      </c>
      <c r="F8653" t="s">
        <v>11610</v>
      </c>
      <c r="L8653">
        <v>0</v>
      </c>
      <c r="M8653">
        <v>0</v>
      </c>
      <c r="N8653">
        <v>0</v>
      </c>
    </row>
    <row r="8654" spans="1:15">
      <c r="A8654" t="s">
        <v>34276</v>
      </c>
      <c r="B8654" t="s">
        <v>11637</v>
      </c>
      <c r="C8654" t="s">
        <v>8918</v>
      </c>
      <c r="D8654" t="s">
        <v>34277</v>
      </c>
      <c r="E8654" t="b">
        <v>0</v>
      </c>
      <c r="F8654" t="s">
        <v>11610</v>
      </c>
      <c r="L8654">
        <v>0</v>
      </c>
      <c r="M8654">
        <v>0</v>
      </c>
      <c r="N8654">
        <v>0</v>
      </c>
    </row>
    <row r="8655" spans="1:15">
      <c r="A8655" t="s">
        <v>20025</v>
      </c>
      <c r="B8655" t="s">
        <v>6742</v>
      </c>
      <c r="C8655" t="s">
        <v>24728</v>
      </c>
      <c r="D8655" t="s">
        <v>34278</v>
      </c>
      <c r="E8655" t="b">
        <v>0</v>
      </c>
      <c r="F8655" t="s">
        <v>11624</v>
      </c>
      <c r="G8655">
        <v>8.3393099999999993</v>
      </c>
      <c r="H8655">
        <v>6.5592300000000003</v>
      </c>
      <c r="I8655" t="s">
        <v>34279</v>
      </c>
      <c r="L8655">
        <v>0</v>
      </c>
      <c r="M8655">
        <v>0</v>
      </c>
      <c r="N8655">
        <v>2</v>
      </c>
      <c r="O8655" t="s">
        <v>11693</v>
      </c>
    </row>
    <row r="8656" spans="1:15">
      <c r="A8656" t="s">
        <v>34280</v>
      </c>
      <c r="B8656" t="s">
        <v>13276</v>
      </c>
      <c r="C8656" t="s">
        <v>34281</v>
      </c>
      <c r="D8656" t="s">
        <v>34282</v>
      </c>
      <c r="E8656" t="b">
        <v>0</v>
      </c>
      <c r="F8656" t="s">
        <v>11624</v>
      </c>
      <c r="G8656">
        <v>10.5962</v>
      </c>
      <c r="H8656">
        <v>-11.441800000000001</v>
      </c>
      <c r="I8656" t="s">
        <v>34283</v>
      </c>
      <c r="L8656">
        <v>0</v>
      </c>
      <c r="M8656">
        <v>0</v>
      </c>
      <c r="N8656">
        <v>0</v>
      </c>
      <c r="O8656" t="s">
        <v>15802</v>
      </c>
    </row>
    <row r="8657" spans="1:15">
      <c r="A8657" t="s">
        <v>24261</v>
      </c>
      <c r="B8657" t="s">
        <v>367</v>
      </c>
      <c r="C8657" t="s">
        <v>14042</v>
      </c>
      <c r="D8657" t="s">
        <v>34284</v>
      </c>
      <c r="E8657" t="b">
        <v>0</v>
      </c>
      <c r="F8657" t="s">
        <v>11622</v>
      </c>
      <c r="L8657">
        <v>0</v>
      </c>
      <c r="M8657">
        <v>2</v>
      </c>
      <c r="N8657">
        <v>2</v>
      </c>
    </row>
    <row r="8658" spans="1:15">
      <c r="A8658" t="s">
        <v>34285</v>
      </c>
      <c r="B8658" t="s">
        <v>367</v>
      </c>
      <c r="C8658" t="s">
        <v>24261</v>
      </c>
      <c r="D8658" t="s">
        <v>34286</v>
      </c>
      <c r="E8658" t="b">
        <v>0</v>
      </c>
      <c r="F8658" t="s">
        <v>11624</v>
      </c>
      <c r="G8658">
        <v>-10.297599999999999</v>
      </c>
      <c r="H8658">
        <v>150.02699999999999</v>
      </c>
      <c r="I8658" t="s">
        <v>34287</v>
      </c>
      <c r="L8658">
        <v>0</v>
      </c>
      <c r="M8658">
        <v>0</v>
      </c>
      <c r="N8658">
        <v>2</v>
      </c>
      <c r="O8658" t="s">
        <v>11660</v>
      </c>
    </row>
    <row r="8659" spans="1:15">
      <c r="A8659" t="s">
        <v>34288</v>
      </c>
      <c r="B8659" t="s">
        <v>367</v>
      </c>
      <c r="C8659" t="s">
        <v>34289</v>
      </c>
      <c r="D8659" t="s">
        <v>34290</v>
      </c>
      <c r="E8659" t="b">
        <v>0</v>
      </c>
      <c r="F8659" t="s">
        <v>11610</v>
      </c>
      <c r="L8659">
        <v>0</v>
      </c>
      <c r="M8659">
        <v>0</v>
      </c>
      <c r="N8659">
        <v>0</v>
      </c>
    </row>
    <row r="8660" spans="1:15">
      <c r="A8660" t="s">
        <v>34291</v>
      </c>
      <c r="B8660" t="s">
        <v>11627</v>
      </c>
      <c r="C8660" t="s">
        <v>11627</v>
      </c>
      <c r="D8660" t="s">
        <v>34292</v>
      </c>
      <c r="E8660" t="b">
        <v>1</v>
      </c>
      <c r="F8660" t="s">
        <v>11624</v>
      </c>
      <c r="G8660">
        <v>-39.0488</v>
      </c>
      <c r="H8660">
        <v>-72.322800000000001</v>
      </c>
      <c r="I8660" t="s">
        <v>34293</v>
      </c>
      <c r="L8660">
        <v>0</v>
      </c>
      <c r="M8660">
        <v>0</v>
      </c>
      <c r="N8660">
        <v>0</v>
      </c>
      <c r="O8660" t="s">
        <v>12895</v>
      </c>
    </row>
    <row r="8661" spans="1:15">
      <c r="A8661" t="s">
        <v>34294</v>
      </c>
      <c r="B8661" t="s">
        <v>13360</v>
      </c>
      <c r="C8661" t="s">
        <v>13360</v>
      </c>
      <c r="D8661" t="s">
        <v>34295</v>
      </c>
      <c r="E8661" t="b">
        <v>0</v>
      </c>
      <c r="F8661" t="s">
        <v>11624</v>
      </c>
      <c r="L8661">
        <v>0</v>
      </c>
      <c r="M8661">
        <v>0</v>
      </c>
      <c r="N8661">
        <v>0</v>
      </c>
      <c r="O8661" t="s">
        <v>11635</v>
      </c>
    </row>
    <row r="8662" spans="1:15">
      <c r="A8662" t="s">
        <v>34296</v>
      </c>
      <c r="B8662" t="s">
        <v>12697</v>
      </c>
      <c r="C8662" t="s">
        <v>26034</v>
      </c>
      <c r="D8662" t="s">
        <v>34297</v>
      </c>
      <c r="E8662" t="b">
        <v>0</v>
      </c>
      <c r="F8662" t="s">
        <v>11622</v>
      </c>
      <c r="L8662">
        <v>1</v>
      </c>
      <c r="M8662">
        <v>4</v>
      </c>
      <c r="N8662">
        <v>0</v>
      </c>
    </row>
    <row r="8663" spans="1:15">
      <c r="A8663" t="s">
        <v>31873</v>
      </c>
      <c r="B8663" t="s">
        <v>12697</v>
      </c>
      <c r="C8663" t="s">
        <v>34296</v>
      </c>
      <c r="D8663" t="s">
        <v>34298</v>
      </c>
      <c r="E8663" t="b">
        <v>0</v>
      </c>
      <c r="F8663" t="s">
        <v>11622</v>
      </c>
      <c r="L8663">
        <v>0</v>
      </c>
      <c r="M8663">
        <v>3</v>
      </c>
      <c r="N8663">
        <v>0</v>
      </c>
    </row>
    <row r="8664" spans="1:15">
      <c r="A8664" t="s">
        <v>34299</v>
      </c>
      <c r="B8664" t="s">
        <v>11627</v>
      </c>
      <c r="C8664" t="s">
        <v>11627</v>
      </c>
      <c r="D8664" t="s">
        <v>34300</v>
      </c>
      <c r="E8664" t="b">
        <v>1</v>
      </c>
      <c r="F8664" t="s">
        <v>11624</v>
      </c>
      <c r="G8664">
        <v>10.8119</v>
      </c>
      <c r="H8664">
        <v>5.5885300000000004</v>
      </c>
      <c r="I8664" t="s">
        <v>34301</v>
      </c>
      <c r="L8664">
        <v>0</v>
      </c>
      <c r="M8664">
        <v>0</v>
      </c>
      <c r="N8664">
        <v>0</v>
      </c>
      <c r="O8664" t="s">
        <v>11693</v>
      </c>
    </row>
    <row r="8665" spans="1:15">
      <c r="A8665" t="s">
        <v>34302</v>
      </c>
      <c r="D8665" t="s">
        <v>34303</v>
      </c>
      <c r="E8665" t="b">
        <v>0</v>
      </c>
      <c r="F8665" t="s">
        <v>11624</v>
      </c>
      <c r="G8665">
        <v>-7.9946000000000002</v>
      </c>
      <c r="H8665">
        <v>145.816</v>
      </c>
      <c r="I8665" t="s">
        <v>34304</v>
      </c>
      <c r="L8665">
        <v>0</v>
      </c>
      <c r="M8665">
        <v>0</v>
      </c>
      <c r="N8665">
        <v>0</v>
      </c>
      <c r="O8665" t="s">
        <v>11660</v>
      </c>
    </row>
    <row r="8666" spans="1:15">
      <c r="A8666" t="s">
        <v>34305</v>
      </c>
      <c r="B8666" t="s">
        <v>11844</v>
      </c>
      <c r="C8666" t="s">
        <v>34306</v>
      </c>
      <c r="D8666" t="s">
        <v>34307</v>
      </c>
      <c r="E8666" t="b">
        <v>0</v>
      </c>
      <c r="F8666" t="s">
        <v>11624</v>
      </c>
      <c r="L8666">
        <v>0</v>
      </c>
      <c r="M8666">
        <v>0</v>
      </c>
      <c r="N8666">
        <v>0</v>
      </c>
      <c r="O8666" t="s">
        <v>11630</v>
      </c>
    </row>
    <row r="8667" spans="1:15">
      <c r="A8667" t="s">
        <v>34308</v>
      </c>
      <c r="B8667" t="s">
        <v>6742</v>
      </c>
      <c r="C8667" t="s">
        <v>34309</v>
      </c>
      <c r="D8667" t="s">
        <v>34310</v>
      </c>
      <c r="E8667" t="b">
        <v>0</v>
      </c>
      <c r="F8667" t="s">
        <v>11622</v>
      </c>
      <c r="L8667">
        <v>0</v>
      </c>
      <c r="M8667">
        <v>3</v>
      </c>
      <c r="N8667">
        <v>13</v>
      </c>
    </row>
    <row r="8668" spans="1:15">
      <c r="A8668" t="s">
        <v>18050</v>
      </c>
      <c r="B8668" t="s">
        <v>6742</v>
      </c>
      <c r="C8668" t="s">
        <v>34308</v>
      </c>
      <c r="D8668" t="s">
        <v>34311</v>
      </c>
      <c r="E8668" t="b">
        <v>0</v>
      </c>
      <c r="F8668" t="s">
        <v>11624</v>
      </c>
      <c r="G8668">
        <v>3.79989</v>
      </c>
      <c r="H8668">
        <v>15.6282</v>
      </c>
      <c r="I8668" t="s">
        <v>34312</v>
      </c>
      <c r="L8668">
        <v>0</v>
      </c>
      <c r="M8668">
        <v>0</v>
      </c>
      <c r="N8668">
        <v>4</v>
      </c>
      <c r="O8668" t="s">
        <v>34313</v>
      </c>
    </row>
    <row r="8669" spans="1:15">
      <c r="A8669" t="s">
        <v>34314</v>
      </c>
      <c r="B8669" t="s">
        <v>6742</v>
      </c>
      <c r="C8669" t="s">
        <v>15121</v>
      </c>
      <c r="D8669" t="s">
        <v>34315</v>
      </c>
      <c r="E8669" t="b">
        <v>0</v>
      </c>
      <c r="F8669" t="s">
        <v>11610</v>
      </c>
      <c r="L8669">
        <v>0</v>
      </c>
      <c r="M8669">
        <v>0</v>
      </c>
      <c r="N8669">
        <v>0</v>
      </c>
    </row>
    <row r="8670" spans="1:15">
      <c r="A8670" t="s">
        <v>34316</v>
      </c>
      <c r="B8670" t="s">
        <v>367</v>
      </c>
      <c r="C8670" t="s">
        <v>34317</v>
      </c>
      <c r="D8670" t="s">
        <v>34318</v>
      </c>
      <c r="E8670" t="b">
        <v>0</v>
      </c>
      <c r="F8670" t="s">
        <v>11610</v>
      </c>
      <c r="L8670">
        <v>0</v>
      </c>
      <c r="M8670">
        <v>0</v>
      </c>
      <c r="N8670">
        <v>0</v>
      </c>
    </row>
    <row r="8671" spans="1:15">
      <c r="A8671" t="s">
        <v>20840</v>
      </c>
      <c r="D8671" t="s">
        <v>34319</v>
      </c>
      <c r="E8671" t="b">
        <v>0</v>
      </c>
      <c r="F8671" t="s">
        <v>11622</v>
      </c>
      <c r="L8671">
        <v>0</v>
      </c>
      <c r="M8671">
        <v>2</v>
      </c>
      <c r="N8671">
        <v>2</v>
      </c>
    </row>
    <row r="8672" spans="1:15">
      <c r="A8672" t="s">
        <v>34320</v>
      </c>
      <c r="B8672" t="s">
        <v>11757</v>
      </c>
      <c r="C8672" t="s">
        <v>17078</v>
      </c>
      <c r="D8672" t="s">
        <v>34321</v>
      </c>
      <c r="E8672" t="b">
        <v>0</v>
      </c>
      <c r="F8672" t="s">
        <v>11624</v>
      </c>
      <c r="G8672">
        <v>3.6523300000000001</v>
      </c>
      <c r="H8672">
        <v>30.776199999999999</v>
      </c>
      <c r="I8672" t="s">
        <v>34322</v>
      </c>
      <c r="L8672">
        <v>0</v>
      </c>
      <c r="M8672">
        <v>0</v>
      </c>
      <c r="N8672">
        <v>0</v>
      </c>
      <c r="O8672" t="s">
        <v>34323</v>
      </c>
    </row>
    <row r="8673" spans="1:15">
      <c r="A8673" t="s">
        <v>34324</v>
      </c>
      <c r="B8673" t="s">
        <v>11844</v>
      </c>
      <c r="C8673" t="s">
        <v>34325</v>
      </c>
      <c r="D8673" t="s">
        <v>34326</v>
      </c>
      <c r="E8673" t="b">
        <v>0</v>
      </c>
      <c r="F8673" t="s">
        <v>11624</v>
      </c>
      <c r="I8673" t="s">
        <v>34327</v>
      </c>
      <c r="L8673">
        <v>0</v>
      </c>
      <c r="M8673">
        <v>0</v>
      </c>
      <c r="N8673">
        <v>0</v>
      </c>
      <c r="O8673" t="s">
        <v>11630</v>
      </c>
    </row>
    <row r="8674" spans="1:15">
      <c r="A8674" t="s">
        <v>34328</v>
      </c>
      <c r="B8674" t="s">
        <v>27929</v>
      </c>
      <c r="C8674" t="s">
        <v>34329</v>
      </c>
      <c r="D8674" t="s">
        <v>34330</v>
      </c>
      <c r="E8674" t="b">
        <v>0</v>
      </c>
      <c r="F8674" t="s">
        <v>11624</v>
      </c>
      <c r="G8674">
        <v>-1.4307399999999999</v>
      </c>
      <c r="H8674">
        <v>131.61699999999999</v>
      </c>
      <c r="I8674" t="s">
        <v>34331</v>
      </c>
      <c r="L8674">
        <v>0</v>
      </c>
      <c r="M8674">
        <v>0</v>
      </c>
      <c r="N8674">
        <v>0</v>
      </c>
      <c r="O8674" t="s">
        <v>11768</v>
      </c>
    </row>
    <row r="8675" spans="1:15">
      <c r="A8675" t="s">
        <v>34332</v>
      </c>
      <c r="B8675" t="s">
        <v>11637</v>
      </c>
      <c r="C8675" t="s">
        <v>33860</v>
      </c>
      <c r="D8675" t="s">
        <v>34333</v>
      </c>
      <c r="E8675" t="b">
        <v>0</v>
      </c>
      <c r="F8675" t="s">
        <v>11610</v>
      </c>
      <c r="L8675">
        <v>0</v>
      </c>
      <c r="M8675">
        <v>0</v>
      </c>
      <c r="N8675">
        <v>0</v>
      </c>
    </row>
    <row r="8676" spans="1:15">
      <c r="A8676" t="s">
        <v>34334</v>
      </c>
      <c r="B8676" t="s">
        <v>11637</v>
      </c>
      <c r="C8676" t="s">
        <v>15977</v>
      </c>
      <c r="D8676" t="s">
        <v>34335</v>
      </c>
      <c r="E8676" t="b">
        <v>0</v>
      </c>
      <c r="F8676" t="s">
        <v>11610</v>
      </c>
      <c r="L8676">
        <v>0</v>
      </c>
      <c r="M8676">
        <v>0</v>
      </c>
      <c r="N8676">
        <v>0</v>
      </c>
    </row>
    <row r="8677" spans="1:15">
      <c r="A8677" t="s">
        <v>8365</v>
      </c>
      <c r="B8677" t="s">
        <v>11637</v>
      </c>
      <c r="C8677" t="s">
        <v>22743</v>
      </c>
      <c r="D8677" t="s">
        <v>34336</v>
      </c>
      <c r="E8677" t="b">
        <v>0</v>
      </c>
      <c r="F8677" t="s">
        <v>11624</v>
      </c>
      <c r="G8677">
        <v>35.641500000000001</v>
      </c>
      <c r="H8677">
        <v>71.665700000000001</v>
      </c>
      <c r="I8677" t="s">
        <v>8366</v>
      </c>
      <c r="L8677">
        <v>0</v>
      </c>
      <c r="M8677">
        <v>0</v>
      </c>
      <c r="N8677">
        <v>2</v>
      </c>
      <c r="O8677" t="s">
        <v>12172</v>
      </c>
    </row>
    <row r="8678" spans="1:15">
      <c r="A8678" t="s">
        <v>24208</v>
      </c>
      <c r="B8678" t="s">
        <v>11637</v>
      </c>
      <c r="C8678" t="s">
        <v>24912</v>
      </c>
      <c r="D8678" t="s">
        <v>34337</v>
      </c>
      <c r="E8678" t="b">
        <v>0</v>
      </c>
      <c r="F8678" t="s">
        <v>11624</v>
      </c>
      <c r="G8678">
        <v>35.530299999999997</v>
      </c>
      <c r="H8678">
        <v>72.573800000000006</v>
      </c>
      <c r="I8678" t="s">
        <v>34338</v>
      </c>
      <c r="L8678">
        <v>0</v>
      </c>
      <c r="M8678">
        <v>0</v>
      </c>
      <c r="N8678">
        <v>6</v>
      </c>
      <c r="O8678" t="s">
        <v>12172</v>
      </c>
    </row>
    <row r="8679" spans="1:15">
      <c r="A8679" t="s">
        <v>34339</v>
      </c>
      <c r="B8679" t="s">
        <v>11637</v>
      </c>
      <c r="C8679" t="s">
        <v>24208</v>
      </c>
      <c r="D8679" t="s">
        <v>34340</v>
      </c>
      <c r="E8679" t="b">
        <v>0</v>
      </c>
      <c r="F8679" t="s">
        <v>11610</v>
      </c>
      <c r="L8679">
        <v>0</v>
      </c>
      <c r="M8679">
        <v>0</v>
      </c>
      <c r="N8679">
        <v>0</v>
      </c>
    </row>
    <row r="8680" spans="1:15">
      <c r="A8680" t="s">
        <v>34341</v>
      </c>
      <c r="B8680" t="s">
        <v>11844</v>
      </c>
      <c r="C8680" t="s">
        <v>19822</v>
      </c>
      <c r="D8680" t="s">
        <v>34342</v>
      </c>
      <c r="E8680" t="b">
        <v>0</v>
      </c>
      <c r="F8680" t="s">
        <v>11610</v>
      </c>
      <c r="L8680">
        <v>0</v>
      </c>
      <c r="M8680">
        <v>0</v>
      </c>
      <c r="N8680">
        <v>0</v>
      </c>
    </row>
    <row r="8681" spans="1:15">
      <c r="A8681" t="s">
        <v>3592</v>
      </c>
      <c r="B8681" t="s">
        <v>11644</v>
      </c>
      <c r="C8681" t="s">
        <v>34343</v>
      </c>
      <c r="D8681" t="s">
        <v>34344</v>
      </c>
      <c r="E8681" t="b">
        <v>0</v>
      </c>
      <c r="F8681" t="s">
        <v>11624</v>
      </c>
      <c r="G8681">
        <v>27.073067000000002</v>
      </c>
      <c r="H8681">
        <v>92.142965000000004</v>
      </c>
      <c r="I8681" t="s">
        <v>34345</v>
      </c>
      <c r="L8681">
        <v>0</v>
      </c>
      <c r="M8681">
        <v>0</v>
      </c>
      <c r="N8681">
        <v>0</v>
      </c>
      <c r="O8681" t="s">
        <v>19896</v>
      </c>
    </row>
    <row r="8682" spans="1:15">
      <c r="A8682" t="s">
        <v>34346</v>
      </c>
      <c r="B8682" t="s">
        <v>10597</v>
      </c>
      <c r="C8682" t="s">
        <v>10597</v>
      </c>
      <c r="D8682" t="s">
        <v>34347</v>
      </c>
      <c r="E8682" t="b">
        <v>0</v>
      </c>
      <c r="F8682" t="s">
        <v>11624</v>
      </c>
      <c r="G8682">
        <v>-10.674799999999999</v>
      </c>
      <c r="H8682">
        <v>142.196</v>
      </c>
      <c r="I8682" t="s">
        <v>34348</v>
      </c>
      <c r="L8682">
        <v>0</v>
      </c>
      <c r="M8682">
        <v>0</v>
      </c>
      <c r="N8682">
        <v>1</v>
      </c>
      <c r="O8682" t="s">
        <v>12107</v>
      </c>
    </row>
    <row r="8683" spans="1:15">
      <c r="A8683" t="s">
        <v>34349</v>
      </c>
      <c r="B8683" t="s">
        <v>10597</v>
      </c>
      <c r="C8683" t="s">
        <v>34346</v>
      </c>
      <c r="D8683" t="s">
        <v>34350</v>
      </c>
      <c r="E8683" t="b">
        <v>0</v>
      </c>
      <c r="F8683" t="s">
        <v>11610</v>
      </c>
      <c r="L8683">
        <v>0</v>
      </c>
      <c r="M8683">
        <v>0</v>
      </c>
      <c r="N8683">
        <v>0</v>
      </c>
    </row>
    <row r="8684" spans="1:15">
      <c r="A8684" t="s">
        <v>34351</v>
      </c>
      <c r="B8684" t="s">
        <v>10597</v>
      </c>
      <c r="C8684" t="s">
        <v>34352</v>
      </c>
      <c r="D8684" t="s">
        <v>34353</v>
      </c>
      <c r="E8684" t="b">
        <v>0</v>
      </c>
      <c r="F8684" t="s">
        <v>11624</v>
      </c>
      <c r="G8684">
        <v>-31.715399999999999</v>
      </c>
      <c r="H8684">
        <v>118.911</v>
      </c>
      <c r="I8684" t="s">
        <v>34354</v>
      </c>
      <c r="L8684">
        <v>0</v>
      </c>
      <c r="M8684">
        <v>0</v>
      </c>
      <c r="N8684">
        <v>0</v>
      </c>
      <c r="O8684" t="s">
        <v>12107</v>
      </c>
    </row>
    <row r="8685" spans="1:15">
      <c r="A8685" t="s">
        <v>34355</v>
      </c>
      <c r="B8685" t="s">
        <v>10597</v>
      </c>
      <c r="C8685" t="s">
        <v>15730</v>
      </c>
      <c r="D8685" t="s">
        <v>34356</v>
      </c>
      <c r="E8685" t="b">
        <v>0</v>
      </c>
      <c r="F8685" t="s">
        <v>11610</v>
      </c>
      <c r="I8685" t="s">
        <v>34357</v>
      </c>
      <c r="L8685">
        <v>0</v>
      </c>
      <c r="M8685">
        <v>0</v>
      </c>
      <c r="N8685">
        <v>0</v>
      </c>
    </row>
    <row r="8686" spans="1:15">
      <c r="A8686" t="s">
        <v>34358</v>
      </c>
      <c r="B8686" t="s">
        <v>12697</v>
      </c>
      <c r="C8686" t="s">
        <v>31873</v>
      </c>
      <c r="D8686" t="s">
        <v>34359</v>
      </c>
      <c r="E8686" t="b">
        <v>0</v>
      </c>
      <c r="F8686" t="s">
        <v>11624</v>
      </c>
      <c r="G8686">
        <v>4.5319399999999996</v>
      </c>
      <c r="H8686">
        <v>6.6953899999999997</v>
      </c>
      <c r="I8686" t="s">
        <v>34360</v>
      </c>
      <c r="L8686">
        <v>0</v>
      </c>
      <c r="M8686">
        <v>0</v>
      </c>
      <c r="N8686">
        <v>0</v>
      </c>
      <c r="O8686" t="s">
        <v>11693</v>
      </c>
    </row>
    <row r="8687" spans="1:15">
      <c r="A8687" t="s">
        <v>34361</v>
      </c>
      <c r="B8687" t="s">
        <v>6742</v>
      </c>
      <c r="C8687" t="s">
        <v>28789</v>
      </c>
      <c r="D8687" t="s">
        <v>34362</v>
      </c>
      <c r="E8687" t="b">
        <v>0</v>
      </c>
      <c r="F8687" t="s">
        <v>11610</v>
      </c>
      <c r="L8687">
        <v>0</v>
      </c>
      <c r="M8687">
        <v>0</v>
      </c>
      <c r="N8687">
        <v>0</v>
      </c>
    </row>
    <row r="8688" spans="1:15">
      <c r="A8688" t="s">
        <v>34363</v>
      </c>
      <c r="B8688" t="s">
        <v>6742</v>
      </c>
      <c r="C8688" t="s">
        <v>34364</v>
      </c>
      <c r="D8688" t="s">
        <v>34365</v>
      </c>
      <c r="E8688" t="b">
        <v>0</v>
      </c>
      <c r="F8688" t="s">
        <v>11624</v>
      </c>
      <c r="G8688">
        <v>13.6106</v>
      </c>
      <c r="H8688">
        <v>-3.10033</v>
      </c>
      <c r="I8688" t="s">
        <v>34366</v>
      </c>
      <c r="L8688">
        <v>0</v>
      </c>
      <c r="M8688">
        <v>0</v>
      </c>
      <c r="N8688">
        <v>2</v>
      </c>
      <c r="O8688" t="s">
        <v>19384</v>
      </c>
    </row>
    <row r="8689" spans="1:15">
      <c r="A8689" t="s">
        <v>32125</v>
      </c>
      <c r="B8689" t="s">
        <v>6742</v>
      </c>
      <c r="C8689" t="s">
        <v>34367</v>
      </c>
      <c r="D8689" t="s">
        <v>34368</v>
      </c>
      <c r="E8689" t="b">
        <v>0</v>
      </c>
      <c r="F8689" t="s">
        <v>11624</v>
      </c>
      <c r="G8689">
        <v>-21.288699999999999</v>
      </c>
      <c r="H8689">
        <v>27.401</v>
      </c>
      <c r="I8689" t="s">
        <v>34369</v>
      </c>
      <c r="L8689">
        <v>0</v>
      </c>
      <c r="M8689">
        <v>0</v>
      </c>
      <c r="N8689">
        <v>5</v>
      </c>
      <c r="O8689" t="s">
        <v>18806</v>
      </c>
    </row>
    <row r="8690" spans="1:15">
      <c r="A8690" t="s">
        <v>34370</v>
      </c>
      <c r="B8690" t="s">
        <v>6742</v>
      </c>
      <c r="C8690" t="s">
        <v>34371</v>
      </c>
      <c r="D8690" t="s">
        <v>34372</v>
      </c>
      <c r="E8690" t="b">
        <v>0</v>
      </c>
      <c r="F8690" t="s">
        <v>11610</v>
      </c>
      <c r="L8690">
        <v>0</v>
      </c>
      <c r="M8690">
        <v>0</v>
      </c>
      <c r="N8690">
        <v>0</v>
      </c>
    </row>
    <row r="8691" spans="1:15">
      <c r="A8691" t="s">
        <v>34373</v>
      </c>
      <c r="B8691" t="s">
        <v>367</v>
      </c>
      <c r="C8691" t="s">
        <v>17819</v>
      </c>
      <c r="D8691" t="s">
        <v>34374</v>
      </c>
      <c r="E8691" t="b">
        <v>0</v>
      </c>
      <c r="F8691" t="s">
        <v>11610</v>
      </c>
      <c r="L8691">
        <v>0</v>
      </c>
      <c r="M8691">
        <v>0</v>
      </c>
      <c r="N8691">
        <v>0</v>
      </c>
    </row>
    <row r="8692" spans="1:15">
      <c r="A8692" t="s">
        <v>32686</v>
      </c>
      <c r="B8692" t="s">
        <v>367</v>
      </c>
      <c r="C8692" t="s">
        <v>34070</v>
      </c>
      <c r="D8692" t="s">
        <v>34375</v>
      </c>
      <c r="E8692" t="b">
        <v>0</v>
      </c>
      <c r="F8692" t="s">
        <v>11624</v>
      </c>
      <c r="G8692">
        <v>6.8125999999999998</v>
      </c>
      <c r="H8692">
        <v>125.328</v>
      </c>
      <c r="I8692" t="s">
        <v>34376</v>
      </c>
      <c r="L8692">
        <v>0</v>
      </c>
      <c r="M8692">
        <v>0</v>
      </c>
      <c r="N8692">
        <v>4</v>
      </c>
      <c r="O8692" t="s">
        <v>11749</v>
      </c>
    </row>
    <row r="8693" spans="1:15">
      <c r="A8693" t="s">
        <v>12400</v>
      </c>
      <c r="B8693" t="s">
        <v>367</v>
      </c>
      <c r="C8693" t="s">
        <v>4363</v>
      </c>
      <c r="D8693" t="s">
        <v>34377</v>
      </c>
      <c r="E8693" t="b">
        <v>0</v>
      </c>
      <c r="F8693" t="s">
        <v>11622</v>
      </c>
      <c r="L8693">
        <v>0</v>
      </c>
      <c r="M8693">
        <v>2</v>
      </c>
      <c r="N8693">
        <v>1</v>
      </c>
    </row>
    <row r="8694" spans="1:15">
      <c r="A8694" t="s">
        <v>34378</v>
      </c>
      <c r="B8694" t="s">
        <v>367</v>
      </c>
      <c r="C8694" t="s">
        <v>12554</v>
      </c>
      <c r="D8694" t="s">
        <v>34379</v>
      </c>
      <c r="E8694" t="b">
        <v>0</v>
      </c>
      <c r="F8694" t="s">
        <v>11610</v>
      </c>
      <c r="L8694">
        <v>0</v>
      </c>
      <c r="M8694">
        <v>0</v>
      </c>
      <c r="N8694">
        <v>0</v>
      </c>
    </row>
    <row r="8695" spans="1:15">
      <c r="A8695" t="s">
        <v>34380</v>
      </c>
      <c r="B8695" t="s">
        <v>367</v>
      </c>
      <c r="C8695" t="s">
        <v>26512</v>
      </c>
      <c r="D8695" t="s">
        <v>34381</v>
      </c>
      <c r="E8695" t="b">
        <v>0</v>
      </c>
      <c r="F8695" t="s">
        <v>11624</v>
      </c>
      <c r="G8695">
        <v>4.5360500000000004</v>
      </c>
      <c r="H8695">
        <v>117.31699999999999</v>
      </c>
      <c r="I8695" t="s">
        <v>34382</v>
      </c>
      <c r="L8695">
        <v>0</v>
      </c>
      <c r="M8695">
        <v>0</v>
      </c>
      <c r="N8695">
        <v>0</v>
      </c>
      <c r="O8695" t="s">
        <v>11672</v>
      </c>
    </row>
    <row r="8696" spans="1:15">
      <c r="A8696" t="s">
        <v>34383</v>
      </c>
      <c r="B8696" t="s">
        <v>367</v>
      </c>
      <c r="C8696" t="s">
        <v>25631</v>
      </c>
      <c r="D8696" t="s">
        <v>34384</v>
      </c>
      <c r="E8696" t="b">
        <v>0</v>
      </c>
      <c r="F8696" t="s">
        <v>11610</v>
      </c>
      <c r="L8696">
        <v>0</v>
      </c>
      <c r="M8696">
        <v>0</v>
      </c>
      <c r="N8696">
        <v>0</v>
      </c>
    </row>
    <row r="8697" spans="1:15">
      <c r="A8697" t="s">
        <v>34385</v>
      </c>
      <c r="B8697" t="s">
        <v>367</v>
      </c>
      <c r="C8697" t="s">
        <v>34386</v>
      </c>
      <c r="D8697" t="s">
        <v>34387</v>
      </c>
      <c r="E8697" t="b">
        <v>0</v>
      </c>
      <c r="F8697" t="s">
        <v>11622</v>
      </c>
      <c r="L8697">
        <v>0</v>
      </c>
      <c r="M8697">
        <v>2</v>
      </c>
      <c r="N8697">
        <v>2</v>
      </c>
    </row>
    <row r="8698" spans="1:15">
      <c r="A8698" t="s">
        <v>34388</v>
      </c>
      <c r="B8698" t="s">
        <v>367</v>
      </c>
      <c r="C8698" t="s">
        <v>34385</v>
      </c>
      <c r="D8698" t="s">
        <v>34389</v>
      </c>
      <c r="E8698" t="b">
        <v>0</v>
      </c>
      <c r="F8698" t="s">
        <v>11624</v>
      </c>
      <c r="G8698">
        <v>-7.3121299999999998</v>
      </c>
      <c r="H8698">
        <v>120.995</v>
      </c>
      <c r="I8698" t="s">
        <v>34390</v>
      </c>
      <c r="L8698">
        <v>0</v>
      </c>
      <c r="M8698">
        <v>0</v>
      </c>
      <c r="N8698">
        <v>0</v>
      </c>
      <c r="O8698" t="s">
        <v>11768</v>
      </c>
    </row>
    <row r="8699" spans="1:15">
      <c r="A8699" t="s">
        <v>34391</v>
      </c>
      <c r="B8699" t="s">
        <v>11615</v>
      </c>
      <c r="C8699" t="s">
        <v>27513</v>
      </c>
      <c r="D8699" t="s">
        <v>34392</v>
      </c>
      <c r="E8699" t="b">
        <v>0</v>
      </c>
      <c r="F8699" t="s">
        <v>11624</v>
      </c>
      <c r="G8699">
        <v>-5.2521599999999999</v>
      </c>
      <c r="H8699">
        <v>144.58500000000001</v>
      </c>
      <c r="I8699" t="s">
        <v>34393</v>
      </c>
      <c r="L8699">
        <v>0</v>
      </c>
      <c r="M8699">
        <v>0</v>
      </c>
      <c r="N8699">
        <v>0</v>
      </c>
      <c r="O8699" t="s">
        <v>11660</v>
      </c>
    </row>
    <row r="8700" spans="1:15">
      <c r="A8700" t="s">
        <v>34394</v>
      </c>
      <c r="B8700" t="s">
        <v>11615</v>
      </c>
      <c r="C8700" t="s">
        <v>8695</v>
      </c>
      <c r="D8700" t="s">
        <v>34395</v>
      </c>
      <c r="E8700" t="b">
        <v>0</v>
      </c>
      <c r="F8700" t="s">
        <v>11610</v>
      </c>
      <c r="L8700">
        <v>0</v>
      </c>
      <c r="M8700">
        <v>0</v>
      </c>
      <c r="N8700">
        <v>0</v>
      </c>
    </row>
    <row r="8701" spans="1:15">
      <c r="A8701" t="s">
        <v>628</v>
      </c>
      <c r="B8701" t="s">
        <v>13014</v>
      </c>
      <c r="C8701" t="s">
        <v>629</v>
      </c>
      <c r="D8701" t="s">
        <v>34396</v>
      </c>
      <c r="E8701" t="b">
        <v>0</v>
      </c>
      <c r="F8701" t="s">
        <v>11624</v>
      </c>
      <c r="G8701">
        <v>69.376099999999994</v>
      </c>
      <c r="H8701">
        <v>-52.863999999999997</v>
      </c>
      <c r="I8701" t="s">
        <v>631</v>
      </c>
      <c r="L8701">
        <v>0</v>
      </c>
      <c r="M8701">
        <v>0</v>
      </c>
      <c r="N8701">
        <v>0</v>
      </c>
      <c r="O8701" t="s">
        <v>34397</v>
      </c>
    </row>
    <row r="8702" spans="1:15">
      <c r="A8702" t="s">
        <v>34398</v>
      </c>
      <c r="B8702" t="s">
        <v>34399</v>
      </c>
      <c r="C8702" t="s">
        <v>34399</v>
      </c>
      <c r="D8702" t="s">
        <v>34400</v>
      </c>
      <c r="E8702" t="b">
        <v>0</v>
      </c>
      <c r="F8702" t="s">
        <v>11624</v>
      </c>
      <c r="G8702">
        <v>44.9861</v>
      </c>
      <c r="H8702">
        <v>-123.925</v>
      </c>
      <c r="I8702" t="s">
        <v>34401</v>
      </c>
      <c r="L8702">
        <v>0</v>
      </c>
      <c r="M8702">
        <v>0</v>
      </c>
      <c r="N8702">
        <v>0</v>
      </c>
      <c r="O8702" t="s">
        <v>11944</v>
      </c>
    </row>
    <row r="8703" spans="1:15">
      <c r="A8703" t="s">
        <v>34402</v>
      </c>
      <c r="B8703" t="s">
        <v>10597</v>
      </c>
      <c r="C8703" t="s">
        <v>34352</v>
      </c>
      <c r="D8703" t="s">
        <v>34403</v>
      </c>
      <c r="E8703" t="b">
        <v>0</v>
      </c>
      <c r="F8703" t="s">
        <v>11624</v>
      </c>
      <c r="I8703" t="s">
        <v>34404</v>
      </c>
      <c r="L8703">
        <v>0</v>
      </c>
      <c r="M8703">
        <v>0</v>
      </c>
      <c r="N8703">
        <v>0</v>
      </c>
      <c r="O8703" t="s">
        <v>12107</v>
      </c>
    </row>
    <row r="8704" spans="1:15">
      <c r="A8704" t="s">
        <v>34399</v>
      </c>
      <c r="D8704" t="s">
        <v>34405</v>
      </c>
      <c r="E8704" t="b">
        <v>0</v>
      </c>
      <c r="F8704" t="s">
        <v>11622</v>
      </c>
      <c r="L8704">
        <v>0</v>
      </c>
      <c r="M8704">
        <v>3</v>
      </c>
      <c r="N8704">
        <v>0</v>
      </c>
    </row>
    <row r="8705" spans="1:15">
      <c r="A8705" t="s">
        <v>34406</v>
      </c>
      <c r="B8705" t="s">
        <v>11615</v>
      </c>
      <c r="C8705" t="s">
        <v>23551</v>
      </c>
      <c r="D8705" t="s">
        <v>34407</v>
      </c>
      <c r="E8705" t="b">
        <v>0</v>
      </c>
      <c r="F8705" t="s">
        <v>11622</v>
      </c>
      <c r="L8705">
        <v>12</v>
      </c>
      <c r="M8705">
        <v>18</v>
      </c>
      <c r="N8705">
        <v>2</v>
      </c>
    </row>
    <row r="8706" spans="1:15">
      <c r="A8706" t="s">
        <v>27514</v>
      </c>
      <c r="B8706" t="s">
        <v>11615</v>
      </c>
      <c r="C8706" t="s">
        <v>34406</v>
      </c>
      <c r="D8706" t="s">
        <v>34408</v>
      </c>
      <c r="E8706" t="b">
        <v>0</v>
      </c>
      <c r="F8706" t="s">
        <v>11622</v>
      </c>
      <c r="L8706">
        <v>1</v>
      </c>
      <c r="M8706">
        <v>3</v>
      </c>
      <c r="N8706">
        <v>0</v>
      </c>
    </row>
    <row r="8707" spans="1:15">
      <c r="A8707" t="s">
        <v>34367</v>
      </c>
      <c r="B8707" t="s">
        <v>6742</v>
      </c>
      <c r="C8707" t="s">
        <v>23413</v>
      </c>
      <c r="D8707" t="s">
        <v>34409</v>
      </c>
      <c r="E8707" t="b">
        <v>0</v>
      </c>
      <c r="F8707" t="s">
        <v>11622</v>
      </c>
      <c r="L8707">
        <v>0</v>
      </c>
      <c r="M8707">
        <v>2</v>
      </c>
      <c r="N8707">
        <v>5</v>
      </c>
    </row>
    <row r="8708" spans="1:15">
      <c r="A8708" t="s">
        <v>34325</v>
      </c>
      <c r="B8708" t="s">
        <v>11844</v>
      </c>
      <c r="C8708" t="s">
        <v>13088</v>
      </c>
      <c r="D8708" t="s">
        <v>34410</v>
      </c>
      <c r="E8708" t="b">
        <v>0</v>
      </c>
      <c r="F8708" t="s">
        <v>11622</v>
      </c>
      <c r="L8708">
        <v>0</v>
      </c>
      <c r="M8708">
        <v>3</v>
      </c>
      <c r="N8708">
        <v>0</v>
      </c>
    </row>
    <row r="8709" spans="1:15">
      <c r="A8709" t="s">
        <v>34411</v>
      </c>
      <c r="B8709" t="s">
        <v>6742</v>
      </c>
      <c r="C8709" t="s">
        <v>34112</v>
      </c>
      <c r="D8709" t="s">
        <v>34412</v>
      </c>
      <c r="E8709" t="b">
        <v>0</v>
      </c>
      <c r="F8709" t="s">
        <v>11610</v>
      </c>
      <c r="L8709">
        <v>0</v>
      </c>
      <c r="M8709">
        <v>0</v>
      </c>
      <c r="N8709">
        <v>0</v>
      </c>
    </row>
    <row r="8710" spans="1:15">
      <c r="A8710" t="s">
        <v>34413</v>
      </c>
      <c r="B8710" t="s">
        <v>11637</v>
      </c>
      <c r="C8710" t="s">
        <v>20110</v>
      </c>
      <c r="D8710" t="s">
        <v>34414</v>
      </c>
      <c r="E8710" t="b">
        <v>0</v>
      </c>
      <c r="F8710" t="s">
        <v>11610</v>
      </c>
      <c r="L8710">
        <v>0</v>
      </c>
      <c r="M8710">
        <v>0</v>
      </c>
      <c r="N8710">
        <v>0</v>
      </c>
    </row>
    <row r="8711" spans="1:15">
      <c r="A8711" t="s">
        <v>34415</v>
      </c>
      <c r="B8711" t="s">
        <v>11637</v>
      </c>
      <c r="C8711" t="s">
        <v>21368</v>
      </c>
      <c r="D8711" t="s">
        <v>34416</v>
      </c>
      <c r="E8711" t="b">
        <v>0</v>
      </c>
      <c r="F8711" t="s">
        <v>11610</v>
      </c>
      <c r="L8711">
        <v>0</v>
      </c>
      <c r="M8711">
        <v>0</v>
      </c>
      <c r="N8711">
        <v>0</v>
      </c>
    </row>
    <row r="8712" spans="1:15">
      <c r="A8712" t="s">
        <v>1002</v>
      </c>
      <c r="B8712" t="s">
        <v>11757</v>
      </c>
      <c r="C8712" t="s">
        <v>34417</v>
      </c>
      <c r="D8712" t="s">
        <v>34418</v>
      </c>
      <c r="E8712" t="b">
        <v>0</v>
      </c>
      <c r="F8712" t="s">
        <v>11622</v>
      </c>
      <c r="G8712">
        <v>-2.1579999999999998E-2</v>
      </c>
      <c r="H8712">
        <v>35.923630000000003</v>
      </c>
      <c r="I8712" t="s">
        <v>1004</v>
      </c>
      <c r="L8712">
        <v>5</v>
      </c>
      <c r="M8712">
        <v>11</v>
      </c>
      <c r="N8712">
        <v>14</v>
      </c>
      <c r="O8712" t="s">
        <v>22848</v>
      </c>
    </row>
    <row r="8713" spans="1:15">
      <c r="A8713" t="s">
        <v>34419</v>
      </c>
      <c r="B8713" t="s">
        <v>367</v>
      </c>
      <c r="C8713" t="s">
        <v>34420</v>
      </c>
      <c r="D8713" t="s">
        <v>34421</v>
      </c>
      <c r="E8713" t="b">
        <v>0</v>
      </c>
      <c r="F8713" t="s">
        <v>11610</v>
      </c>
      <c r="L8713">
        <v>0</v>
      </c>
      <c r="M8713">
        <v>0</v>
      </c>
      <c r="N8713">
        <v>0</v>
      </c>
    </row>
    <row r="8714" spans="1:15">
      <c r="A8714" t="s">
        <v>34422</v>
      </c>
      <c r="B8714" t="s">
        <v>367</v>
      </c>
      <c r="C8714" t="s">
        <v>34423</v>
      </c>
      <c r="D8714" t="s">
        <v>34424</v>
      </c>
      <c r="E8714" t="b">
        <v>0</v>
      </c>
      <c r="F8714" t="s">
        <v>11610</v>
      </c>
      <c r="L8714">
        <v>0</v>
      </c>
      <c r="M8714">
        <v>0</v>
      </c>
      <c r="N8714">
        <v>0</v>
      </c>
    </row>
    <row r="8715" spans="1:15">
      <c r="A8715" t="s">
        <v>34425</v>
      </c>
      <c r="B8715" t="s">
        <v>11637</v>
      </c>
      <c r="C8715" t="s">
        <v>17607</v>
      </c>
      <c r="D8715" t="s">
        <v>34426</v>
      </c>
      <c r="E8715" t="b">
        <v>0</v>
      </c>
      <c r="F8715" t="s">
        <v>11610</v>
      </c>
      <c r="L8715">
        <v>0</v>
      </c>
      <c r="M8715">
        <v>0</v>
      </c>
      <c r="N8715">
        <v>0</v>
      </c>
    </row>
    <row r="8716" spans="1:15">
      <c r="A8716" t="s">
        <v>34427</v>
      </c>
      <c r="B8716" t="s">
        <v>367</v>
      </c>
      <c r="C8716" t="s">
        <v>17084</v>
      </c>
      <c r="D8716" t="s">
        <v>34428</v>
      </c>
      <c r="E8716" t="b">
        <v>0</v>
      </c>
      <c r="F8716" t="s">
        <v>11622</v>
      </c>
      <c r="L8716">
        <v>0</v>
      </c>
      <c r="M8716">
        <v>2</v>
      </c>
      <c r="N8716">
        <v>1</v>
      </c>
    </row>
    <row r="8717" spans="1:15">
      <c r="A8717" t="s">
        <v>34429</v>
      </c>
      <c r="B8717" t="s">
        <v>367</v>
      </c>
      <c r="C8717" t="s">
        <v>34430</v>
      </c>
      <c r="D8717" t="s">
        <v>34431</v>
      </c>
      <c r="E8717" t="b">
        <v>0</v>
      </c>
      <c r="F8717" t="s">
        <v>11610</v>
      </c>
      <c r="L8717">
        <v>0</v>
      </c>
      <c r="M8717">
        <v>0</v>
      </c>
      <c r="N8717">
        <v>0</v>
      </c>
    </row>
    <row r="8718" spans="1:15">
      <c r="A8718" t="s">
        <v>34432</v>
      </c>
      <c r="B8718" t="s">
        <v>367</v>
      </c>
      <c r="C8718" t="s">
        <v>21999</v>
      </c>
      <c r="D8718" t="s">
        <v>34433</v>
      </c>
      <c r="E8718" t="b">
        <v>0</v>
      </c>
      <c r="F8718" t="s">
        <v>11610</v>
      </c>
      <c r="L8718">
        <v>0</v>
      </c>
      <c r="M8718">
        <v>0</v>
      </c>
      <c r="N8718">
        <v>0</v>
      </c>
    </row>
    <row r="8719" spans="1:15">
      <c r="A8719" t="s">
        <v>34434</v>
      </c>
      <c r="B8719" t="s">
        <v>367</v>
      </c>
      <c r="C8719" t="s">
        <v>12638</v>
      </c>
      <c r="D8719" t="s">
        <v>34435</v>
      </c>
      <c r="E8719" t="b">
        <v>0</v>
      </c>
      <c r="F8719" t="s">
        <v>11610</v>
      </c>
      <c r="L8719">
        <v>0</v>
      </c>
      <c r="M8719">
        <v>0</v>
      </c>
      <c r="N8719">
        <v>0</v>
      </c>
    </row>
    <row r="8720" spans="1:15">
      <c r="A8720" t="s">
        <v>34436</v>
      </c>
      <c r="B8720" t="s">
        <v>367</v>
      </c>
      <c r="C8720" t="s">
        <v>27102</v>
      </c>
      <c r="D8720" t="s">
        <v>34437</v>
      </c>
      <c r="E8720" t="b">
        <v>0</v>
      </c>
      <c r="F8720" t="s">
        <v>11610</v>
      </c>
      <c r="L8720">
        <v>0</v>
      </c>
      <c r="M8720">
        <v>0</v>
      </c>
      <c r="N8720">
        <v>0</v>
      </c>
    </row>
    <row r="8721" spans="1:15">
      <c r="A8721" t="s">
        <v>34438</v>
      </c>
      <c r="B8721" t="s">
        <v>367</v>
      </c>
      <c r="C8721" t="s">
        <v>20543</v>
      </c>
      <c r="D8721" t="s">
        <v>34439</v>
      </c>
      <c r="E8721" t="b">
        <v>0</v>
      </c>
      <c r="F8721" t="s">
        <v>11610</v>
      </c>
      <c r="L8721">
        <v>0</v>
      </c>
      <c r="M8721">
        <v>0</v>
      </c>
      <c r="N8721">
        <v>0</v>
      </c>
    </row>
    <row r="8722" spans="1:15">
      <c r="A8722" t="s">
        <v>8225</v>
      </c>
      <c r="B8722" t="s">
        <v>9071</v>
      </c>
      <c r="C8722" t="s">
        <v>23255</v>
      </c>
      <c r="D8722" t="s">
        <v>34440</v>
      </c>
      <c r="E8722" t="b">
        <v>0</v>
      </c>
      <c r="F8722" t="s">
        <v>11622</v>
      </c>
      <c r="L8722">
        <v>0</v>
      </c>
      <c r="M8722">
        <v>2</v>
      </c>
      <c r="N8722">
        <v>2</v>
      </c>
    </row>
    <row r="8723" spans="1:15">
      <c r="A8723" t="s">
        <v>8224</v>
      </c>
      <c r="B8723" t="s">
        <v>9071</v>
      </c>
      <c r="C8723" t="s">
        <v>8225</v>
      </c>
      <c r="D8723" t="s">
        <v>34441</v>
      </c>
      <c r="E8723" t="b">
        <v>0</v>
      </c>
      <c r="F8723" t="s">
        <v>11624</v>
      </c>
      <c r="G8723">
        <v>47.582500000000003</v>
      </c>
      <c r="H8723">
        <v>-114.19</v>
      </c>
      <c r="I8723" t="s">
        <v>8226</v>
      </c>
      <c r="L8723">
        <v>0</v>
      </c>
      <c r="M8723">
        <v>0</v>
      </c>
      <c r="N8723">
        <v>2</v>
      </c>
      <c r="O8723" t="s">
        <v>11944</v>
      </c>
    </row>
    <row r="8724" spans="1:15">
      <c r="A8724" t="s">
        <v>34442</v>
      </c>
      <c r="B8724" t="s">
        <v>9071</v>
      </c>
      <c r="C8724" t="s">
        <v>8224</v>
      </c>
      <c r="D8724" t="s">
        <v>34443</v>
      </c>
      <c r="E8724" t="b">
        <v>0</v>
      </c>
      <c r="F8724" t="s">
        <v>11610</v>
      </c>
      <c r="L8724">
        <v>0</v>
      </c>
      <c r="M8724">
        <v>0</v>
      </c>
      <c r="N8724">
        <v>0</v>
      </c>
    </row>
    <row r="8725" spans="1:15">
      <c r="A8725" t="s">
        <v>32867</v>
      </c>
      <c r="B8725" t="s">
        <v>367</v>
      </c>
      <c r="C8725" t="s">
        <v>34444</v>
      </c>
      <c r="D8725" t="s">
        <v>34445</v>
      </c>
      <c r="E8725" t="b">
        <v>0</v>
      </c>
      <c r="F8725" t="s">
        <v>11622</v>
      </c>
      <c r="L8725">
        <v>8</v>
      </c>
      <c r="M8725">
        <v>12</v>
      </c>
      <c r="N8725">
        <v>17</v>
      </c>
    </row>
    <row r="8726" spans="1:15">
      <c r="A8726" t="s">
        <v>21887</v>
      </c>
      <c r="B8726" t="s">
        <v>367</v>
      </c>
      <c r="C8726" t="s">
        <v>32867</v>
      </c>
      <c r="D8726" t="s">
        <v>34446</v>
      </c>
      <c r="E8726" t="b">
        <v>0</v>
      </c>
      <c r="F8726" t="s">
        <v>11622</v>
      </c>
      <c r="L8726">
        <v>6</v>
      </c>
      <c r="M8726">
        <v>10</v>
      </c>
      <c r="N8726">
        <v>17</v>
      </c>
    </row>
    <row r="8727" spans="1:15">
      <c r="A8727" t="s">
        <v>34447</v>
      </c>
      <c r="B8727" t="s">
        <v>11729</v>
      </c>
      <c r="C8727" t="s">
        <v>14559</v>
      </c>
      <c r="D8727" t="s">
        <v>34448</v>
      </c>
      <c r="E8727" t="b">
        <v>0</v>
      </c>
      <c r="F8727" t="s">
        <v>11622</v>
      </c>
      <c r="L8727">
        <v>0</v>
      </c>
      <c r="M8727">
        <v>2</v>
      </c>
      <c r="N8727">
        <v>4</v>
      </c>
    </row>
    <row r="8728" spans="1:15">
      <c r="A8728" t="s">
        <v>34449</v>
      </c>
      <c r="B8728" t="s">
        <v>11637</v>
      </c>
      <c r="C8728" t="s">
        <v>34450</v>
      </c>
      <c r="D8728" t="s">
        <v>34451</v>
      </c>
      <c r="E8728" t="b">
        <v>0</v>
      </c>
      <c r="F8728" t="s">
        <v>11624</v>
      </c>
      <c r="G8728">
        <v>35.365099999999998</v>
      </c>
      <c r="H8728">
        <v>72.053299999999993</v>
      </c>
      <c r="I8728" t="s">
        <v>34452</v>
      </c>
      <c r="L8728">
        <v>0</v>
      </c>
      <c r="M8728">
        <v>0</v>
      </c>
      <c r="N8728">
        <v>0</v>
      </c>
      <c r="O8728" t="s">
        <v>12172</v>
      </c>
    </row>
    <row r="8729" spans="1:15">
      <c r="A8729" t="s">
        <v>34453</v>
      </c>
      <c r="B8729" t="s">
        <v>10597</v>
      </c>
      <c r="C8729" t="s">
        <v>28378</v>
      </c>
      <c r="D8729" t="s">
        <v>34454</v>
      </c>
      <c r="E8729" t="b">
        <v>0</v>
      </c>
      <c r="F8729" t="s">
        <v>11624</v>
      </c>
      <c r="G8729">
        <v>-21</v>
      </c>
      <c r="H8729">
        <v>139.5</v>
      </c>
      <c r="I8729" t="s">
        <v>34455</v>
      </c>
      <c r="L8729">
        <v>0</v>
      </c>
      <c r="M8729">
        <v>0</v>
      </c>
      <c r="N8729">
        <v>0</v>
      </c>
      <c r="O8729" t="s">
        <v>12107</v>
      </c>
    </row>
    <row r="8730" spans="1:15">
      <c r="A8730" t="s">
        <v>12444</v>
      </c>
      <c r="B8730" t="s">
        <v>367</v>
      </c>
      <c r="C8730" t="s">
        <v>31869</v>
      </c>
      <c r="D8730" t="s">
        <v>34456</v>
      </c>
      <c r="E8730" t="b">
        <v>0</v>
      </c>
      <c r="F8730" t="s">
        <v>11622</v>
      </c>
      <c r="L8730">
        <v>0</v>
      </c>
      <c r="M8730">
        <v>2</v>
      </c>
      <c r="N8730">
        <v>4</v>
      </c>
    </row>
    <row r="8731" spans="1:15">
      <c r="A8731" t="s">
        <v>12953</v>
      </c>
      <c r="B8731" t="s">
        <v>12250</v>
      </c>
      <c r="C8731" t="s">
        <v>24167</v>
      </c>
      <c r="D8731" t="s">
        <v>34457</v>
      </c>
      <c r="E8731" t="b">
        <v>0</v>
      </c>
      <c r="F8731" t="s">
        <v>11624</v>
      </c>
      <c r="G8731">
        <v>46.566667000000002</v>
      </c>
      <c r="H8731">
        <v>45.316667000000002</v>
      </c>
      <c r="I8731" t="s">
        <v>34458</v>
      </c>
      <c r="L8731">
        <v>0</v>
      </c>
      <c r="M8731">
        <v>0</v>
      </c>
      <c r="N8731">
        <v>20</v>
      </c>
      <c r="O8731" t="s">
        <v>34459</v>
      </c>
    </row>
    <row r="8732" spans="1:15">
      <c r="A8732" t="s">
        <v>20700</v>
      </c>
      <c r="B8732" t="s">
        <v>12250</v>
      </c>
      <c r="C8732" t="s">
        <v>12953</v>
      </c>
      <c r="D8732" t="s">
        <v>34460</v>
      </c>
      <c r="E8732" t="b">
        <v>0</v>
      </c>
      <c r="F8732" t="s">
        <v>11610</v>
      </c>
      <c r="L8732">
        <v>0</v>
      </c>
      <c r="M8732">
        <v>0</v>
      </c>
      <c r="N8732">
        <v>5</v>
      </c>
    </row>
    <row r="8733" spans="1:15">
      <c r="A8733" t="s">
        <v>27449</v>
      </c>
      <c r="B8733" t="s">
        <v>11637</v>
      </c>
      <c r="C8733" t="s">
        <v>34461</v>
      </c>
      <c r="D8733" t="s">
        <v>34462</v>
      </c>
      <c r="E8733" t="b">
        <v>0</v>
      </c>
      <c r="F8733" t="s">
        <v>11624</v>
      </c>
      <c r="G8733">
        <v>60.45</v>
      </c>
      <c r="H8733">
        <v>24.43</v>
      </c>
      <c r="I8733" t="s">
        <v>34463</v>
      </c>
      <c r="L8733">
        <v>0</v>
      </c>
      <c r="M8733">
        <v>0</v>
      </c>
      <c r="N8733">
        <v>2</v>
      </c>
      <c r="O8733" t="s">
        <v>34464</v>
      </c>
    </row>
    <row r="8734" spans="1:15">
      <c r="A8734" t="s">
        <v>34465</v>
      </c>
      <c r="B8734" t="s">
        <v>12438</v>
      </c>
      <c r="C8734" t="s">
        <v>22562</v>
      </c>
      <c r="D8734" t="s">
        <v>34466</v>
      </c>
      <c r="E8734" t="b">
        <v>0</v>
      </c>
      <c r="F8734" t="s">
        <v>11610</v>
      </c>
      <c r="L8734">
        <v>0</v>
      </c>
      <c r="M8734">
        <v>0</v>
      </c>
      <c r="N8734">
        <v>0</v>
      </c>
    </row>
    <row r="8735" spans="1:15">
      <c r="A8735" t="s">
        <v>34467</v>
      </c>
      <c r="B8735" t="s">
        <v>6742</v>
      </c>
      <c r="C8735" t="s">
        <v>3500</v>
      </c>
      <c r="D8735" t="s">
        <v>34468</v>
      </c>
      <c r="E8735" t="b">
        <v>0</v>
      </c>
      <c r="F8735" t="s">
        <v>11610</v>
      </c>
      <c r="L8735">
        <v>0</v>
      </c>
      <c r="M8735">
        <v>0</v>
      </c>
      <c r="N8735">
        <v>0</v>
      </c>
    </row>
    <row r="8736" spans="1:15">
      <c r="A8736" t="s">
        <v>34469</v>
      </c>
      <c r="B8736" t="s">
        <v>367</v>
      </c>
      <c r="C8736" t="s">
        <v>14606</v>
      </c>
      <c r="D8736" t="s">
        <v>34470</v>
      </c>
      <c r="E8736" t="b">
        <v>0</v>
      </c>
      <c r="F8736" t="s">
        <v>11610</v>
      </c>
      <c r="L8736">
        <v>0</v>
      </c>
      <c r="M8736">
        <v>0</v>
      </c>
      <c r="N8736">
        <v>0</v>
      </c>
    </row>
    <row r="8737" spans="1:15">
      <c r="A8737" t="s">
        <v>34471</v>
      </c>
      <c r="B8737" t="s">
        <v>367</v>
      </c>
      <c r="C8737" t="s">
        <v>20922</v>
      </c>
      <c r="D8737" t="s">
        <v>34472</v>
      </c>
      <c r="E8737" t="b">
        <v>0</v>
      </c>
      <c r="F8737" t="s">
        <v>11610</v>
      </c>
      <c r="L8737">
        <v>0</v>
      </c>
      <c r="M8737">
        <v>0</v>
      </c>
      <c r="N8737">
        <v>0</v>
      </c>
    </row>
    <row r="8738" spans="1:15">
      <c r="A8738" t="s">
        <v>34473</v>
      </c>
      <c r="B8738" t="s">
        <v>11839</v>
      </c>
      <c r="C8738" t="s">
        <v>18383</v>
      </c>
      <c r="D8738" t="s">
        <v>34474</v>
      </c>
      <c r="E8738" t="b">
        <v>0</v>
      </c>
      <c r="F8738" t="s">
        <v>11610</v>
      </c>
      <c r="L8738">
        <v>0</v>
      </c>
      <c r="M8738">
        <v>0</v>
      </c>
      <c r="N8738">
        <v>0</v>
      </c>
    </row>
    <row r="8739" spans="1:15">
      <c r="A8739" t="s">
        <v>34475</v>
      </c>
      <c r="B8739" t="s">
        <v>11705</v>
      </c>
      <c r="C8739" t="s">
        <v>15462</v>
      </c>
      <c r="D8739" t="s">
        <v>34476</v>
      </c>
      <c r="E8739" t="b">
        <v>0</v>
      </c>
      <c r="F8739" t="s">
        <v>11624</v>
      </c>
      <c r="G8739">
        <v>-3.9398499999999999</v>
      </c>
      <c r="H8739">
        <v>142.21700000000001</v>
      </c>
      <c r="I8739" t="s">
        <v>34477</v>
      </c>
      <c r="L8739">
        <v>0</v>
      </c>
      <c r="M8739">
        <v>0</v>
      </c>
      <c r="N8739">
        <v>0</v>
      </c>
      <c r="O8739" t="s">
        <v>11660</v>
      </c>
    </row>
    <row r="8740" spans="1:15">
      <c r="A8740" t="s">
        <v>34478</v>
      </c>
      <c r="B8740" t="s">
        <v>11607</v>
      </c>
      <c r="C8740" t="s">
        <v>28757</v>
      </c>
      <c r="D8740" t="s">
        <v>34479</v>
      </c>
      <c r="E8740" t="b">
        <v>0</v>
      </c>
      <c r="F8740" t="s">
        <v>11610</v>
      </c>
      <c r="L8740">
        <v>0</v>
      </c>
      <c r="M8740">
        <v>0</v>
      </c>
      <c r="N8740">
        <v>0</v>
      </c>
    </row>
    <row r="8741" spans="1:15">
      <c r="A8741" t="s">
        <v>34480</v>
      </c>
      <c r="B8741" t="s">
        <v>11644</v>
      </c>
      <c r="C8741" t="s">
        <v>19491</v>
      </c>
      <c r="D8741" t="s">
        <v>34481</v>
      </c>
      <c r="E8741" t="b">
        <v>0</v>
      </c>
      <c r="F8741" t="s">
        <v>11610</v>
      </c>
      <c r="L8741">
        <v>0</v>
      </c>
      <c r="M8741">
        <v>0</v>
      </c>
      <c r="N8741">
        <v>0</v>
      </c>
    </row>
    <row r="8742" spans="1:15">
      <c r="A8742" t="s">
        <v>34482</v>
      </c>
      <c r="B8742" t="s">
        <v>11607</v>
      </c>
      <c r="C8742" t="s">
        <v>18605</v>
      </c>
      <c r="D8742" t="s">
        <v>34483</v>
      </c>
      <c r="E8742" t="b">
        <v>0</v>
      </c>
      <c r="F8742" t="s">
        <v>11610</v>
      </c>
      <c r="L8742">
        <v>0</v>
      </c>
      <c r="M8742">
        <v>0</v>
      </c>
      <c r="N8742">
        <v>0</v>
      </c>
    </row>
    <row r="8743" spans="1:15">
      <c r="A8743" t="s">
        <v>19444</v>
      </c>
      <c r="B8743" t="s">
        <v>367</v>
      </c>
      <c r="C8743" t="s">
        <v>34484</v>
      </c>
      <c r="D8743" t="s">
        <v>34485</v>
      </c>
      <c r="E8743" t="b">
        <v>0</v>
      </c>
      <c r="F8743" t="s">
        <v>11624</v>
      </c>
      <c r="G8743">
        <v>-2.3338800000000002</v>
      </c>
      <c r="H8743">
        <v>119.474</v>
      </c>
      <c r="I8743" t="s">
        <v>34486</v>
      </c>
      <c r="L8743">
        <v>0</v>
      </c>
      <c r="M8743">
        <v>0</v>
      </c>
      <c r="N8743">
        <v>4</v>
      </c>
      <c r="O8743" t="s">
        <v>11768</v>
      </c>
    </row>
    <row r="8744" spans="1:15">
      <c r="A8744" t="s">
        <v>7863</v>
      </c>
      <c r="B8744" t="s">
        <v>7862</v>
      </c>
      <c r="C8744" t="s">
        <v>34487</v>
      </c>
      <c r="D8744" t="s">
        <v>34488</v>
      </c>
      <c r="E8744" t="b">
        <v>0</v>
      </c>
      <c r="F8744" t="s">
        <v>11624</v>
      </c>
      <c r="G8744">
        <v>-6.45932</v>
      </c>
      <c r="H8744">
        <v>142.78800000000001</v>
      </c>
      <c r="I8744" t="s">
        <v>34489</v>
      </c>
      <c r="L8744">
        <v>0</v>
      </c>
      <c r="M8744">
        <v>0</v>
      </c>
      <c r="N8744">
        <v>4</v>
      </c>
      <c r="O8744" t="s">
        <v>11660</v>
      </c>
    </row>
    <row r="8745" spans="1:15">
      <c r="A8745" t="s">
        <v>34487</v>
      </c>
      <c r="B8745" t="s">
        <v>7862</v>
      </c>
      <c r="C8745" t="s">
        <v>12517</v>
      </c>
      <c r="D8745" t="s">
        <v>34490</v>
      </c>
      <c r="E8745" t="b">
        <v>0</v>
      </c>
      <c r="F8745" t="s">
        <v>11622</v>
      </c>
      <c r="L8745">
        <v>0</v>
      </c>
      <c r="M8745">
        <v>2</v>
      </c>
      <c r="N8745">
        <v>4</v>
      </c>
    </row>
    <row r="8746" spans="1:15">
      <c r="A8746" t="s">
        <v>34491</v>
      </c>
      <c r="B8746" t="s">
        <v>11637</v>
      </c>
      <c r="C8746" t="s">
        <v>18504</v>
      </c>
      <c r="D8746" t="s">
        <v>34492</v>
      </c>
      <c r="E8746" t="b">
        <v>0</v>
      </c>
      <c r="F8746" t="s">
        <v>11610</v>
      </c>
      <c r="L8746">
        <v>0</v>
      </c>
      <c r="M8746">
        <v>0</v>
      </c>
      <c r="N8746">
        <v>0</v>
      </c>
    </row>
    <row r="8747" spans="1:15">
      <c r="A8747" t="s">
        <v>34493</v>
      </c>
      <c r="B8747" t="s">
        <v>11637</v>
      </c>
      <c r="C8747" t="s">
        <v>18286</v>
      </c>
      <c r="D8747" t="s">
        <v>34494</v>
      </c>
      <c r="E8747" t="b">
        <v>0</v>
      </c>
      <c r="F8747" t="s">
        <v>11624</v>
      </c>
      <c r="G8747">
        <v>20.534199999999998</v>
      </c>
      <c r="H8747">
        <v>81.9101</v>
      </c>
      <c r="I8747" t="s">
        <v>34495</v>
      </c>
      <c r="L8747">
        <v>0</v>
      </c>
      <c r="M8747">
        <v>0</v>
      </c>
      <c r="N8747">
        <v>0</v>
      </c>
      <c r="O8747" t="s">
        <v>11630</v>
      </c>
    </row>
    <row r="8748" spans="1:15">
      <c r="A8748" t="s">
        <v>34496</v>
      </c>
      <c r="B8748" t="s">
        <v>12260</v>
      </c>
      <c r="C8748" t="s">
        <v>34497</v>
      </c>
      <c r="D8748" t="s">
        <v>34498</v>
      </c>
      <c r="E8748" t="b">
        <v>0</v>
      </c>
      <c r="F8748" t="s">
        <v>11624</v>
      </c>
      <c r="G8748">
        <v>55.07</v>
      </c>
      <c r="H8748">
        <v>94.83</v>
      </c>
      <c r="I8748" t="s">
        <v>34499</v>
      </c>
      <c r="L8748">
        <v>0</v>
      </c>
      <c r="M8748">
        <v>0</v>
      </c>
      <c r="N8748">
        <v>2</v>
      </c>
      <c r="O8748" t="s">
        <v>12748</v>
      </c>
    </row>
    <row r="8749" spans="1:15">
      <c r="A8749" t="s">
        <v>34500</v>
      </c>
      <c r="B8749" t="s">
        <v>12438</v>
      </c>
      <c r="C8749" t="s">
        <v>34501</v>
      </c>
      <c r="D8749" t="s">
        <v>34502</v>
      </c>
      <c r="E8749" t="b">
        <v>0</v>
      </c>
      <c r="F8749" t="s">
        <v>11610</v>
      </c>
      <c r="L8749">
        <v>0</v>
      </c>
      <c r="M8749">
        <v>0</v>
      </c>
      <c r="N8749">
        <v>0</v>
      </c>
    </row>
    <row r="8750" spans="1:15">
      <c r="A8750" t="s">
        <v>34503</v>
      </c>
      <c r="B8750" t="s">
        <v>331</v>
      </c>
      <c r="C8750" t="s">
        <v>5794</v>
      </c>
      <c r="D8750" t="s">
        <v>34504</v>
      </c>
      <c r="E8750" t="b">
        <v>0</v>
      </c>
      <c r="F8750" t="s">
        <v>11610</v>
      </c>
      <c r="L8750">
        <v>0</v>
      </c>
      <c r="M8750">
        <v>0</v>
      </c>
      <c r="N8750">
        <v>0</v>
      </c>
    </row>
    <row r="8751" spans="1:15">
      <c r="A8751" t="s">
        <v>34505</v>
      </c>
      <c r="B8751" t="s">
        <v>11844</v>
      </c>
      <c r="C8751" t="s">
        <v>2278</v>
      </c>
      <c r="D8751" t="s">
        <v>34506</v>
      </c>
      <c r="E8751" t="b">
        <v>0</v>
      </c>
      <c r="F8751" t="s">
        <v>11610</v>
      </c>
      <c r="L8751">
        <v>0</v>
      </c>
      <c r="M8751">
        <v>0</v>
      </c>
      <c r="N8751">
        <v>0</v>
      </c>
    </row>
    <row r="8752" spans="1:15">
      <c r="A8752" t="s">
        <v>34507</v>
      </c>
      <c r="B8752" t="s">
        <v>6742</v>
      </c>
      <c r="C8752" t="s">
        <v>34508</v>
      </c>
      <c r="D8752" t="s">
        <v>34509</v>
      </c>
      <c r="E8752" t="b">
        <v>0</v>
      </c>
      <c r="F8752" t="s">
        <v>11610</v>
      </c>
      <c r="L8752">
        <v>0</v>
      </c>
      <c r="M8752">
        <v>0</v>
      </c>
      <c r="N8752">
        <v>0</v>
      </c>
    </row>
    <row r="8753" spans="1:15">
      <c r="A8753" t="s">
        <v>34510</v>
      </c>
      <c r="B8753" t="s">
        <v>6742</v>
      </c>
      <c r="C8753" t="s">
        <v>30694</v>
      </c>
      <c r="D8753" t="s">
        <v>34511</v>
      </c>
      <c r="E8753" t="b">
        <v>0</v>
      </c>
      <c r="F8753" t="s">
        <v>11624</v>
      </c>
      <c r="G8753">
        <v>8.9389099999999999</v>
      </c>
      <c r="H8753">
        <v>-2.34944</v>
      </c>
      <c r="I8753" t="s">
        <v>34512</v>
      </c>
      <c r="L8753">
        <v>0</v>
      </c>
      <c r="M8753">
        <v>0</v>
      </c>
      <c r="N8753">
        <v>0</v>
      </c>
      <c r="O8753" t="s">
        <v>11985</v>
      </c>
    </row>
    <row r="8754" spans="1:15">
      <c r="A8754" t="s">
        <v>34513</v>
      </c>
      <c r="B8754" t="s">
        <v>6742</v>
      </c>
      <c r="C8754" t="s">
        <v>30449</v>
      </c>
      <c r="D8754" t="s">
        <v>34514</v>
      </c>
      <c r="E8754" t="b">
        <v>0</v>
      </c>
      <c r="F8754" t="s">
        <v>11624</v>
      </c>
      <c r="G8754">
        <v>9.8545499999999997</v>
      </c>
      <c r="H8754">
        <v>7.7119</v>
      </c>
      <c r="I8754" t="s">
        <v>34515</v>
      </c>
      <c r="L8754">
        <v>0</v>
      </c>
      <c r="M8754">
        <v>0</v>
      </c>
      <c r="N8754">
        <v>0</v>
      </c>
      <c r="O8754" t="s">
        <v>11693</v>
      </c>
    </row>
    <row r="8755" spans="1:15">
      <c r="A8755" t="s">
        <v>34516</v>
      </c>
      <c r="B8755" t="s">
        <v>12487</v>
      </c>
      <c r="C8755" t="s">
        <v>34517</v>
      </c>
      <c r="D8755" t="s">
        <v>34518</v>
      </c>
      <c r="E8755" t="b">
        <v>0</v>
      </c>
      <c r="F8755" t="s">
        <v>11622</v>
      </c>
      <c r="L8755">
        <v>0</v>
      </c>
      <c r="M8755">
        <v>2</v>
      </c>
      <c r="N8755">
        <v>0</v>
      </c>
    </row>
    <row r="8756" spans="1:15">
      <c r="A8756" t="s">
        <v>34519</v>
      </c>
      <c r="B8756" t="s">
        <v>12487</v>
      </c>
      <c r="C8756" t="s">
        <v>34516</v>
      </c>
      <c r="D8756" t="s">
        <v>34520</v>
      </c>
      <c r="E8756" t="b">
        <v>0</v>
      </c>
      <c r="F8756" t="s">
        <v>11624</v>
      </c>
      <c r="G8756">
        <v>-6.9741099999999996</v>
      </c>
      <c r="H8756">
        <v>146.20796999999999</v>
      </c>
      <c r="I8756" t="s">
        <v>34521</v>
      </c>
      <c r="L8756">
        <v>0</v>
      </c>
      <c r="M8756">
        <v>0</v>
      </c>
      <c r="N8756">
        <v>0</v>
      </c>
      <c r="O8756" t="s">
        <v>11660</v>
      </c>
    </row>
    <row r="8757" spans="1:15">
      <c r="A8757" t="s">
        <v>34522</v>
      </c>
      <c r="B8757" t="s">
        <v>14005</v>
      </c>
      <c r="C8757" t="s">
        <v>14006</v>
      </c>
      <c r="D8757" t="s">
        <v>34523</v>
      </c>
      <c r="E8757" t="b">
        <v>0</v>
      </c>
      <c r="F8757" t="s">
        <v>11610</v>
      </c>
      <c r="L8757">
        <v>0</v>
      </c>
      <c r="M8757">
        <v>0</v>
      </c>
      <c r="N8757">
        <v>0</v>
      </c>
    </row>
    <row r="8758" spans="1:15">
      <c r="A8758" t="s">
        <v>34524</v>
      </c>
      <c r="B8758" t="s">
        <v>367</v>
      </c>
      <c r="C8758" t="s">
        <v>30855</v>
      </c>
      <c r="D8758" t="s">
        <v>34525</v>
      </c>
      <c r="E8758" t="b">
        <v>0</v>
      </c>
      <c r="F8758" t="s">
        <v>11624</v>
      </c>
      <c r="G8758">
        <v>-3.4077899999999999</v>
      </c>
      <c r="H8758">
        <v>128.52600000000001</v>
      </c>
      <c r="I8758" t="s">
        <v>34526</v>
      </c>
      <c r="L8758">
        <v>0</v>
      </c>
      <c r="M8758">
        <v>0</v>
      </c>
      <c r="N8758">
        <v>0</v>
      </c>
      <c r="O8758" t="s">
        <v>11768</v>
      </c>
    </row>
    <row r="8759" spans="1:15">
      <c r="A8759" t="s">
        <v>34527</v>
      </c>
      <c r="B8759" t="s">
        <v>367</v>
      </c>
      <c r="C8759" t="s">
        <v>24253</v>
      </c>
      <c r="D8759" t="s">
        <v>34528</v>
      </c>
      <c r="E8759" t="b">
        <v>0</v>
      </c>
      <c r="F8759" t="s">
        <v>11624</v>
      </c>
      <c r="G8759">
        <v>8.1079600000000003</v>
      </c>
      <c r="H8759">
        <v>126.31399999999999</v>
      </c>
      <c r="I8759" t="s">
        <v>34529</v>
      </c>
      <c r="L8759">
        <v>0</v>
      </c>
      <c r="M8759">
        <v>0</v>
      </c>
      <c r="N8759">
        <v>2</v>
      </c>
      <c r="O8759" t="s">
        <v>11749</v>
      </c>
    </row>
    <row r="8760" spans="1:15">
      <c r="A8760" t="s">
        <v>34530</v>
      </c>
      <c r="B8760" t="s">
        <v>367</v>
      </c>
      <c r="C8760" t="s">
        <v>34531</v>
      </c>
      <c r="D8760" t="s">
        <v>34532</v>
      </c>
      <c r="E8760" t="b">
        <v>0</v>
      </c>
      <c r="F8760" t="s">
        <v>11624</v>
      </c>
      <c r="G8760">
        <v>-5.1569599999999998</v>
      </c>
      <c r="H8760">
        <v>123.045</v>
      </c>
      <c r="I8760" t="s">
        <v>34533</v>
      </c>
      <c r="L8760">
        <v>0</v>
      </c>
      <c r="M8760">
        <v>0</v>
      </c>
      <c r="N8760">
        <v>0</v>
      </c>
      <c r="O8760" t="s">
        <v>11768</v>
      </c>
    </row>
    <row r="8761" spans="1:15">
      <c r="A8761" t="s">
        <v>34534</v>
      </c>
      <c r="B8761" t="s">
        <v>11839</v>
      </c>
      <c r="C8761" t="s">
        <v>11840</v>
      </c>
      <c r="D8761" t="s">
        <v>34535</v>
      </c>
      <c r="E8761" t="b">
        <v>0</v>
      </c>
      <c r="F8761" t="s">
        <v>11624</v>
      </c>
      <c r="G8761">
        <v>-8.2689699999999995</v>
      </c>
      <c r="H8761">
        <v>124.792</v>
      </c>
      <c r="I8761" t="s">
        <v>34536</v>
      </c>
      <c r="L8761">
        <v>0</v>
      </c>
      <c r="M8761">
        <v>0</v>
      </c>
      <c r="N8761">
        <v>6</v>
      </c>
      <c r="O8761" t="s">
        <v>11768</v>
      </c>
    </row>
    <row r="8762" spans="1:15">
      <c r="A8762" t="s">
        <v>34537</v>
      </c>
      <c r="B8762" t="s">
        <v>11839</v>
      </c>
      <c r="C8762" t="s">
        <v>34534</v>
      </c>
      <c r="D8762" t="s">
        <v>34538</v>
      </c>
      <c r="E8762" t="b">
        <v>0</v>
      </c>
      <c r="F8762" t="s">
        <v>11610</v>
      </c>
      <c r="L8762">
        <v>0</v>
      </c>
      <c r="M8762">
        <v>0</v>
      </c>
      <c r="N8762">
        <v>0</v>
      </c>
    </row>
    <row r="8763" spans="1:15">
      <c r="A8763" t="s">
        <v>29166</v>
      </c>
      <c r="B8763" t="s">
        <v>11834</v>
      </c>
      <c r="C8763" t="s">
        <v>27017</v>
      </c>
      <c r="D8763" t="s">
        <v>34539</v>
      </c>
      <c r="E8763" t="b">
        <v>0</v>
      </c>
      <c r="F8763" t="s">
        <v>11624</v>
      </c>
      <c r="G8763">
        <v>-3.8502999999999998</v>
      </c>
      <c r="H8763">
        <v>143.84200000000001</v>
      </c>
      <c r="I8763" t="s">
        <v>34540</v>
      </c>
      <c r="L8763">
        <v>0</v>
      </c>
      <c r="M8763">
        <v>0</v>
      </c>
      <c r="N8763">
        <v>3</v>
      </c>
      <c r="O8763" t="s">
        <v>11660</v>
      </c>
    </row>
    <row r="8764" spans="1:15">
      <c r="A8764" t="s">
        <v>34541</v>
      </c>
      <c r="B8764" t="s">
        <v>11615</v>
      </c>
      <c r="C8764" t="s">
        <v>23820</v>
      </c>
      <c r="D8764" t="s">
        <v>34542</v>
      </c>
      <c r="E8764" t="b">
        <v>0</v>
      </c>
      <c r="F8764" t="s">
        <v>11610</v>
      </c>
      <c r="L8764">
        <v>0</v>
      </c>
      <c r="M8764">
        <v>0</v>
      </c>
      <c r="N8764">
        <v>0</v>
      </c>
    </row>
    <row r="8765" spans="1:15">
      <c r="A8765" t="s">
        <v>34543</v>
      </c>
      <c r="B8765" t="s">
        <v>11615</v>
      </c>
      <c r="C8765" t="s">
        <v>32489</v>
      </c>
      <c r="D8765" t="s">
        <v>34544</v>
      </c>
      <c r="E8765" t="b">
        <v>0</v>
      </c>
      <c r="F8765" t="s">
        <v>11624</v>
      </c>
      <c r="G8765">
        <v>-6.2582899999999997</v>
      </c>
      <c r="H8765">
        <v>145.72800000000001</v>
      </c>
      <c r="I8765" t="s">
        <v>34545</v>
      </c>
      <c r="L8765">
        <v>0</v>
      </c>
      <c r="M8765">
        <v>0</v>
      </c>
      <c r="N8765">
        <v>0</v>
      </c>
      <c r="O8765" t="s">
        <v>11660</v>
      </c>
    </row>
    <row r="8766" spans="1:15">
      <c r="A8766" t="s">
        <v>23482</v>
      </c>
      <c r="D8766" t="s">
        <v>34546</v>
      </c>
      <c r="E8766" t="b">
        <v>0</v>
      </c>
      <c r="F8766" t="s">
        <v>11622</v>
      </c>
      <c r="L8766">
        <v>1</v>
      </c>
      <c r="M8766">
        <v>4</v>
      </c>
      <c r="N8766">
        <v>0</v>
      </c>
    </row>
    <row r="8767" spans="1:15">
      <c r="A8767" t="s">
        <v>34547</v>
      </c>
      <c r="B8767" t="s">
        <v>23482</v>
      </c>
      <c r="C8767" t="s">
        <v>23483</v>
      </c>
      <c r="D8767" t="s">
        <v>34548</v>
      </c>
      <c r="E8767" t="b">
        <v>0</v>
      </c>
      <c r="F8767" t="s">
        <v>11624</v>
      </c>
      <c r="G8767">
        <v>-15</v>
      </c>
      <c r="H8767">
        <v>-41</v>
      </c>
      <c r="I8767" t="s">
        <v>34549</v>
      </c>
      <c r="L8767">
        <v>0</v>
      </c>
      <c r="M8767">
        <v>0</v>
      </c>
      <c r="N8767">
        <v>0</v>
      </c>
      <c r="O8767" t="s">
        <v>11969</v>
      </c>
    </row>
    <row r="8768" spans="1:15">
      <c r="A8768" t="s">
        <v>876</v>
      </c>
      <c r="B8768" t="s">
        <v>11912</v>
      </c>
      <c r="C8768" t="s">
        <v>34550</v>
      </c>
      <c r="D8768" t="s">
        <v>34551</v>
      </c>
      <c r="E8768" t="b">
        <v>0</v>
      </c>
      <c r="F8768" t="s">
        <v>11624</v>
      </c>
      <c r="G8768">
        <v>-12.2661</v>
      </c>
      <c r="H8768">
        <v>-53.4651</v>
      </c>
      <c r="I8768" t="s">
        <v>877</v>
      </c>
      <c r="L8768">
        <v>0</v>
      </c>
      <c r="M8768">
        <v>0</v>
      </c>
      <c r="N8768">
        <v>0</v>
      </c>
      <c r="O8768" t="s">
        <v>11969</v>
      </c>
    </row>
    <row r="8769" spans="1:15">
      <c r="A8769" t="s">
        <v>32489</v>
      </c>
      <c r="B8769" t="s">
        <v>11615</v>
      </c>
      <c r="C8769" t="s">
        <v>17915</v>
      </c>
      <c r="D8769" t="s">
        <v>34552</v>
      </c>
      <c r="E8769" t="b">
        <v>0</v>
      </c>
      <c r="F8769" t="s">
        <v>11622</v>
      </c>
      <c r="L8769">
        <v>1</v>
      </c>
      <c r="M8769">
        <v>6</v>
      </c>
      <c r="N8769">
        <v>8</v>
      </c>
    </row>
    <row r="8770" spans="1:15">
      <c r="A8770" t="s">
        <v>30694</v>
      </c>
      <c r="B8770" t="s">
        <v>6742</v>
      </c>
      <c r="C8770" t="s">
        <v>34553</v>
      </c>
      <c r="D8770" t="s">
        <v>34554</v>
      </c>
      <c r="E8770" t="b">
        <v>0</v>
      </c>
      <c r="F8770" t="s">
        <v>11622</v>
      </c>
      <c r="L8770">
        <v>0</v>
      </c>
      <c r="M8770">
        <v>2</v>
      </c>
      <c r="N8770">
        <v>7</v>
      </c>
    </row>
    <row r="8771" spans="1:15">
      <c r="A8771" t="s">
        <v>34497</v>
      </c>
      <c r="B8771" t="s">
        <v>12260</v>
      </c>
      <c r="C8771" t="s">
        <v>3374</v>
      </c>
      <c r="D8771" t="s">
        <v>34555</v>
      </c>
      <c r="E8771" t="b">
        <v>0</v>
      </c>
      <c r="F8771" t="s">
        <v>11622</v>
      </c>
      <c r="L8771">
        <v>0</v>
      </c>
      <c r="M8771">
        <v>2</v>
      </c>
      <c r="N8771">
        <v>11</v>
      </c>
    </row>
    <row r="8772" spans="1:15">
      <c r="A8772" t="s">
        <v>34556</v>
      </c>
      <c r="B8772" t="s">
        <v>12260</v>
      </c>
      <c r="C8772" t="s">
        <v>34496</v>
      </c>
      <c r="D8772" t="s">
        <v>34557</v>
      </c>
      <c r="E8772" t="b">
        <v>0</v>
      </c>
      <c r="F8772" t="s">
        <v>11610</v>
      </c>
      <c r="L8772">
        <v>0</v>
      </c>
      <c r="M8772">
        <v>0</v>
      </c>
      <c r="N8772">
        <v>0</v>
      </c>
    </row>
    <row r="8773" spans="1:15">
      <c r="A8773" t="s">
        <v>34558</v>
      </c>
      <c r="B8773" t="s">
        <v>13360</v>
      </c>
      <c r="C8773" t="s">
        <v>13360</v>
      </c>
      <c r="D8773" t="s">
        <v>34559</v>
      </c>
      <c r="E8773" t="b">
        <v>0</v>
      </c>
      <c r="F8773" t="s">
        <v>11624</v>
      </c>
      <c r="G8773">
        <v>-8.6093992999999998</v>
      </c>
      <c r="H8773">
        <v>-36.5993292</v>
      </c>
      <c r="I8773" t="s">
        <v>34560</v>
      </c>
      <c r="L8773">
        <v>0</v>
      </c>
      <c r="M8773">
        <v>0</v>
      </c>
      <c r="N8773">
        <v>0</v>
      </c>
      <c r="O8773" t="s">
        <v>11969</v>
      </c>
    </row>
    <row r="8774" spans="1:15">
      <c r="A8774" t="s">
        <v>34561</v>
      </c>
      <c r="B8774" t="s">
        <v>11627</v>
      </c>
      <c r="C8774" t="s">
        <v>11627</v>
      </c>
      <c r="D8774" t="s">
        <v>34562</v>
      </c>
      <c r="E8774" t="b">
        <v>1</v>
      </c>
      <c r="F8774" t="s">
        <v>11624</v>
      </c>
      <c r="G8774">
        <v>-18.833300000000001</v>
      </c>
      <c r="H8774">
        <v>-57.333300000000001</v>
      </c>
      <c r="I8774" t="s">
        <v>34563</v>
      </c>
      <c r="L8774">
        <v>0</v>
      </c>
      <c r="M8774">
        <v>0</v>
      </c>
      <c r="N8774">
        <v>0</v>
      </c>
      <c r="O8774" t="s">
        <v>11969</v>
      </c>
    </row>
    <row r="8775" spans="1:15">
      <c r="A8775" t="s">
        <v>34564</v>
      </c>
      <c r="B8775" t="s">
        <v>6742</v>
      </c>
      <c r="C8775" t="s">
        <v>11986</v>
      </c>
      <c r="D8775" t="s">
        <v>34565</v>
      </c>
      <c r="E8775" t="b">
        <v>0</v>
      </c>
      <c r="F8775" t="s">
        <v>11610</v>
      </c>
      <c r="L8775">
        <v>0</v>
      </c>
      <c r="M8775">
        <v>0</v>
      </c>
      <c r="N8775">
        <v>0</v>
      </c>
    </row>
    <row r="8776" spans="1:15">
      <c r="A8776" t="s">
        <v>34566</v>
      </c>
      <c r="B8776" t="s">
        <v>6742</v>
      </c>
      <c r="C8776" t="s">
        <v>24592</v>
      </c>
      <c r="D8776" t="s">
        <v>34567</v>
      </c>
      <c r="E8776" t="b">
        <v>0</v>
      </c>
      <c r="F8776" t="s">
        <v>11624</v>
      </c>
      <c r="G8776">
        <v>-1.6082700000000001</v>
      </c>
      <c r="H8776">
        <v>37.953200000000002</v>
      </c>
      <c r="I8776" t="s">
        <v>34568</v>
      </c>
      <c r="L8776">
        <v>0</v>
      </c>
      <c r="M8776">
        <v>0</v>
      </c>
      <c r="N8776">
        <v>4</v>
      </c>
      <c r="O8776" t="s">
        <v>22848</v>
      </c>
    </row>
    <row r="8777" spans="1:15">
      <c r="A8777" t="s">
        <v>34569</v>
      </c>
      <c r="B8777" t="s">
        <v>6742</v>
      </c>
      <c r="C8777" t="s">
        <v>23010</v>
      </c>
      <c r="D8777" t="s">
        <v>34570</v>
      </c>
      <c r="E8777" t="b">
        <v>0</v>
      </c>
      <c r="F8777" t="s">
        <v>11610</v>
      </c>
      <c r="L8777">
        <v>0</v>
      </c>
      <c r="M8777">
        <v>0</v>
      </c>
      <c r="N8777">
        <v>0</v>
      </c>
    </row>
    <row r="8778" spans="1:15">
      <c r="A8778" t="s">
        <v>5574</v>
      </c>
      <c r="B8778" t="s">
        <v>367</v>
      </c>
      <c r="C8778" t="s">
        <v>5576</v>
      </c>
      <c r="D8778" t="s">
        <v>34571</v>
      </c>
      <c r="E8778" t="b">
        <v>0</v>
      </c>
      <c r="F8778" t="s">
        <v>11624</v>
      </c>
      <c r="G8778">
        <v>-9.8844700000000003</v>
      </c>
      <c r="H8778">
        <v>120.235</v>
      </c>
      <c r="I8778" t="s">
        <v>5577</v>
      </c>
      <c r="L8778">
        <v>0</v>
      </c>
      <c r="M8778">
        <v>0</v>
      </c>
      <c r="N8778">
        <v>7</v>
      </c>
      <c r="O8778" t="s">
        <v>11768</v>
      </c>
    </row>
    <row r="8779" spans="1:15">
      <c r="A8779" t="s">
        <v>34572</v>
      </c>
      <c r="B8779" t="s">
        <v>367</v>
      </c>
      <c r="C8779" t="s">
        <v>34573</v>
      </c>
      <c r="D8779" t="s">
        <v>34574</v>
      </c>
      <c r="E8779" t="b">
        <v>0</v>
      </c>
      <c r="F8779" t="s">
        <v>11610</v>
      </c>
      <c r="L8779">
        <v>0</v>
      </c>
      <c r="M8779">
        <v>0</v>
      </c>
      <c r="N8779">
        <v>0</v>
      </c>
    </row>
    <row r="8780" spans="1:15">
      <c r="A8780" t="s">
        <v>34575</v>
      </c>
      <c r="B8780" t="s">
        <v>367</v>
      </c>
      <c r="C8780" t="s">
        <v>34168</v>
      </c>
      <c r="D8780" t="s">
        <v>34576</v>
      </c>
      <c r="E8780" t="b">
        <v>0</v>
      </c>
      <c r="F8780" t="s">
        <v>11610</v>
      </c>
      <c r="L8780">
        <v>0</v>
      </c>
      <c r="M8780">
        <v>0</v>
      </c>
      <c r="N8780">
        <v>0</v>
      </c>
    </row>
    <row r="8781" spans="1:15">
      <c r="A8781" t="s">
        <v>34577</v>
      </c>
      <c r="B8781" t="s">
        <v>11615</v>
      </c>
      <c r="C8781" t="s">
        <v>20553</v>
      </c>
      <c r="D8781" t="s">
        <v>34578</v>
      </c>
      <c r="E8781" t="b">
        <v>0</v>
      </c>
      <c r="F8781" t="s">
        <v>11624</v>
      </c>
      <c r="G8781">
        <v>-3.5318900000000002</v>
      </c>
      <c r="H8781">
        <v>133.518</v>
      </c>
      <c r="I8781" t="s">
        <v>34579</v>
      </c>
      <c r="L8781">
        <v>0</v>
      </c>
      <c r="M8781">
        <v>0</v>
      </c>
      <c r="N8781">
        <v>0</v>
      </c>
      <c r="O8781" t="s">
        <v>11768</v>
      </c>
    </row>
    <row r="8782" spans="1:15">
      <c r="A8782" t="s">
        <v>34580</v>
      </c>
      <c r="B8782" t="s">
        <v>11615</v>
      </c>
      <c r="C8782" t="s">
        <v>34581</v>
      </c>
      <c r="D8782" t="s">
        <v>34582</v>
      </c>
      <c r="E8782" t="b">
        <v>0</v>
      </c>
      <c r="F8782" t="s">
        <v>11624</v>
      </c>
      <c r="G8782">
        <v>-6.2665600000000001</v>
      </c>
      <c r="H8782">
        <v>146.083</v>
      </c>
      <c r="I8782" t="s">
        <v>34583</v>
      </c>
      <c r="L8782">
        <v>0</v>
      </c>
      <c r="M8782">
        <v>0</v>
      </c>
      <c r="N8782">
        <v>0</v>
      </c>
      <c r="O8782" t="s">
        <v>11660</v>
      </c>
    </row>
    <row r="8783" spans="1:15">
      <c r="A8783" t="s">
        <v>34584</v>
      </c>
      <c r="B8783" t="s">
        <v>11615</v>
      </c>
      <c r="C8783" t="s">
        <v>7854</v>
      </c>
      <c r="D8783" t="s">
        <v>34585</v>
      </c>
      <c r="E8783" t="b">
        <v>0</v>
      </c>
      <c r="F8783" t="s">
        <v>11610</v>
      </c>
      <c r="L8783">
        <v>0</v>
      </c>
      <c r="M8783">
        <v>0</v>
      </c>
      <c r="N8783">
        <v>0</v>
      </c>
    </row>
    <row r="8784" spans="1:15">
      <c r="A8784" t="s">
        <v>34586</v>
      </c>
      <c r="B8784" t="s">
        <v>11615</v>
      </c>
      <c r="C8784" t="s">
        <v>34587</v>
      </c>
      <c r="D8784" t="s">
        <v>34588</v>
      </c>
      <c r="E8784" t="b">
        <v>0</v>
      </c>
      <c r="F8784" t="s">
        <v>11610</v>
      </c>
      <c r="L8784">
        <v>0</v>
      </c>
      <c r="M8784">
        <v>0</v>
      </c>
      <c r="N8784">
        <v>0</v>
      </c>
    </row>
    <row r="8785" spans="1:15">
      <c r="A8785" t="s">
        <v>34589</v>
      </c>
      <c r="B8785" t="s">
        <v>14168</v>
      </c>
      <c r="C8785" t="s">
        <v>14168</v>
      </c>
      <c r="D8785" t="s">
        <v>34590</v>
      </c>
      <c r="E8785" t="b">
        <v>0</v>
      </c>
      <c r="F8785" t="s">
        <v>11610</v>
      </c>
      <c r="L8785">
        <v>0</v>
      </c>
      <c r="M8785">
        <v>0</v>
      </c>
      <c r="N8785">
        <v>0</v>
      </c>
    </row>
    <row r="8786" spans="1:15">
      <c r="A8786" t="s">
        <v>34591</v>
      </c>
      <c r="B8786" t="s">
        <v>11607</v>
      </c>
      <c r="C8786" t="s">
        <v>28437</v>
      </c>
      <c r="D8786" t="s">
        <v>34592</v>
      </c>
      <c r="E8786" t="b">
        <v>0</v>
      </c>
      <c r="F8786" t="s">
        <v>11610</v>
      </c>
      <c r="L8786">
        <v>0</v>
      </c>
      <c r="M8786">
        <v>0</v>
      </c>
      <c r="N8786">
        <v>0</v>
      </c>
    </row>
    <row r="8787" spans="1:15">
      <c r="A8787" t="s">
        <v>34593</v>
      </c>
      <c r="B8787" t="s">
        <v>11607</v>
      </c>
      <c r="C8787" t="s">
        <v>12885</v>
      </c>
      <c r="D8787" t="s">
        <v>34594</v>
      </c>
      <c r="E8787" t="b">
        <v>0</v>
      </c>
      <c r="F8787" t="s">
        <v>11624</v>
      </c>
      <c r="G8787">
        <v>7.37582</v>
      </c>
      <c r="H8787">
        <v>37.908799999999999</v>
      </c>
      <c r="I8787" t="s">
        <v>34595</v>
      </c>
      <c r="L8787">
        <v>0</v>
      </c>
      <c r="M8787">
        <v>0</v>
      </c>
      <c r="N8787">
        <v>3</v>
      </c>
      <c r="O8787" t="s">
        <v>11625</v>
      </c>
    </row>
    <row r="8788" spans="1:15">
      <c r="A8788" t="s">
        <v>23023</v>
      </c>
      <c r="B8788" t="s">
        <v>6742</v>
      </c>
      <c r="C8788" t="s">
        <v>17235</v>
      </c>
      <c r="D8788" t="s">
        <v>34596</v>
      </c>
      <c r="E8788" t="b">
        <v>0</v>
      </c>
      <c r="F8788" t="s">
        <v>11622</v>
      </c>
      <c r="L8788">
        <v>3</v>
      </c>
      <c r="M8788">
        <v>6</v>
      </c>
      <c r="N8788">
        <v>5</v>
      </c>
    </row>
    <row r="8789" spans="1:15">
      <c r="A8789" t="s">
        <v>12885</v>
      </c>
      <c r="B8789" t="s">
        <v>11607</v>
      </c>
      <c r="C8789" t="s">
        <v>30494</v>
      </c>
      <c r="D8789" t="s">
        <v>34597</v>
      </c>
      <c r="E8789" t="b">
        <v>0</v>
      </c>
      <c r="F8789" t="s">
        <v>11622</v>
      </c>
      <c r="L8789">
        <v>0</v>
      </c>
      <c r="M8789">
        <v>2</v>
      </c>
      <c r="N8789">
        <v>3</v>
      </c>
    </row>
    <row r="8790" spans="1:15">
      <c r="A8790" t="s">
        <v>26537</v>
      </c>
      <c r="B8790" t="s">
        <v>6742</v>
      </c>
      <c r="C8790" t="s">
        <v>23023</v>
      </c>
      <c r="D8790" t="s">
        <v>34598</v>
      </c>
      <c r="E8790" t="b">
        <v>0</v>
      </c>
      <c r="F8790" t="s">
        <v>11622</v>
      </c>
      <c r="L8790">
        <v>2</v>
      </c>
      <c r="M8790">
        <v>5</v>
      </c>
      <c r="N8790">
        <v>4</v>
      </c>
    </row>
    <row r="8791" spans="1:15">
      <c r="A8791" t="s">
        <v>5576</v>
      </c>
      <c r="B8791" t="s">
        <v>367</v>
      </c>
      <c r="C8791" t="s">
        <v>5575</v>
      </c>
      <c r="D8791" t="s">
        <v>34599</v>
      </c>
      <c r="E8791" t="b">
        <v>0</v>
      </c>
      <c r="F8791" t="s">
        <v>11622</v>
      </c>
      <c r="L8791">
        <v>1</v>
      </c>
      <c r="M8791">
        <v>4</v>
      </c>
      <c r="N8791">
        <v>9</v>
      </c>
    </row>
    <row r="8792" spans="1:15">
      <c r="A8792" t="s">
        <v>34600</v>
      </c>
      <c r="B8792" t="s">
        <v>12686</v>
      </c>
      <c r="C8792" t="s">
        <v>18105</v>
      </c>
      <c r="D8792" t="s">
        <v>34601</v>
      </c>
      <c r="E8792" t="b">
        <v>0</v>
      </c>
      <c r="F8792" t="s">
        <v>11610</v>
      </c>
      <c r="L8792">
        <v>0</v>
      </c>
      <c r="M8792">
        <v>0</v>
      </c>
      <c r="N8792">
        <v>0</v>
      </c>
    </row>
    <row r="8793" spans="1:15">
      <c r="A8793" t="s">
        <v>26671</v>
      </c>
      <c r="B8793" t="s">
        <v>13210</v>
      </c>
      <c r="C8793" t="s">
        <v>13210</v>
      </c>
      <c r="D8793" t="s">
        <v>34602</v>
      </c>
      <c r="E8793" t="b">
        <v>0</v>
      </c>
      <c r="F8793" t="s">
        <v>11622</v>
      </c>
      <c r="L8793">
        <v>0</v>
      </c>
      <c r="M8793">
        <v>3</v>
      </c>
      <c r="N8793">
        <v>4</v>
      </c>
    </row>
    <row r="8794" spans="1:15">
      <c r="A8794" t="s">
        <v>34603</v>
      </c>
      <c r="B8794" t="s">
        <v>11868</v>
      </c>
      <c r="C8794" t="s">
        <v>24143</v>
      </c>
      <c r="D8794" t="s">
        <v>34604</v>
      </c>
      <c r="E8794" t="b">
        <v>0</v>
      </c>
      <c r="F8794" t="s">
        <v>11610</v>
      </c>
      <c r="L8794">
        <v>0</v>
      </c>
      <c r="M8794">
        <v>0</v>
      </c>
      <c r="N8794">
        <v>0</v>
      </c>
    </row>
    <row r="8795" spans="1:15">
      <c r="A8795" t="s">
        <v>34605</v>
      </c>
      <c r="B8795" t="s">
        <v>11637</v>
      </c>
      <c r="C8795" t="s">
        <v>17514</v>
      </c>
      <c r="D8795" t="s">
        <v>34606</v>
      </c>
      <c r="E8795" t="b">
        <v>0</v>
      </c>
      <c r="F8795" t="s">
        <v>11610</v>
      </c>
      <c r="L8795">
        <v>0</v>
      </c>
      <c r="M8795">
        <v>0</v>
      </c>
      <c r="N8795">
        <v>0</v>
      </c>
    </row>
    <row r="8796" spans="1:15">
      <c r="A8796" t="s">
        <v>20101</v>
      </c>
      <c r="B8796" t="s">
        <v>11644</v>
      </c>
      <c r="C8796" t="s">
        <v>34607</v>
      </c>
      <c r="D8796" t="s">
        <v>34608</v>
      </c>
      <c r="E8796" t="b">
        <v>0</v>
      </c>
      <c r="F8796" t="s">
        <v>11622</v>
      </c>
      <c r="L8796">
        <v>3</v>
      </c>
      <c r="M8796">
        <v>5</v>
      </c>
      <c r="N8796">
        <v>12</v>
      </c>
    </row>
    <row r="8797" spans="1:15">
      <c r="A8797" t="s">
        <v>34609</v>
      </c>
      <c r="B8797" t="s">
        <v>13210</v>
      </c>
      <c r="C8797" t="s">
        <v>2047</v>
      </c>
      <c r="D8797" t="s">
        <v>34610</v>
      </c>
      <c r="E8797" t="b">
        <v>0</v>
      </c>
      <c r="F8797" t="s">
        <v>11610</v>
      </c>
      <c r="L8797">
        <v>0</v>
      </c>
      <c r="M8797">
        <v>0</v>
      </c>
      <c r="N8797">
        <v>0</v>
      </c>
    </row>
    <row r="8798" spans="1:15">
      <c r="A8798" t="s">
        <v>34611</v>
      </c>
      <c r="B8798" t="s">
        <v>367</v>
      </c>
      <c r="C8798" t="s">
        <v>14563</v>
      </c>
      <c r="D8798" t="s">
        <v>34612</v>
      </c>
      <c r="E8798" t="b">
        <v>0</v>
      </c>
      <c r="F8798" t="s">
        <v>11610</v>
      </c>
      <c r="L8798">
        <v>0</v>
      </c>
      <c r="M8798">
        <v>0</v>
      </c>
      <c r="N8798">
        <v>0</v>
      </c>
    </row>
    <row r="8799" spans="1:15">
      <c r="A8799" t="s">
        <v>34613</v>
      </c>
      <c r="B8799" t="s">
        <v>4342</v>
      </c>
      <c r="C8799" t="s">
        <v>34614</v>
      </c>
      <c r="D8799" t="s">
        <v>34615</v>
      </c>
      <c r="E8799" t="b">
        <v>0</v>
      </c>
      <c r="F8799" t="s">
        <v>11610</v>
      </c>
      <c r="L8799">
        <v>0</v>
      </c>
      <c r="M8799">
        <v>0</v>
      </c>
      <c r="N8799">
        <v>0</v>
      </c>
    </row>
    <row r="8800" spans="1:15">
      <c r="A8800" t="s">
        <v>34616</v>
      </c>
      <c r="B8800" t="s">
        <v>11644</v>
      </c>
      <c r="C8800" t="s">
        <v>34617</v>
      </c>
      <c r="D8800" t="s">
        <v>34618</v>
      </c>
      <c r="E8800" t="b">
        <v>0</v>
      </c>
      <c r="F8800" t="s">
        <v>11610</v>
      </c>
      <c r="L8800">
        <v>0</v>
      </c>
      <c r="M8800">
        <v>0</v>
      </c>
      <c r="N8800">
        <v>0</v>
      </c>
    </row>
    <row r="8801" spans="1:15">
      <c r="A8801" t="s">
        <v>34619</v>
      </c>
      <c r="B8801" t="s">
        <v>11644</v>
      </c>
      <c r="C8801" t="s">
        <v>34620</v>
      </c>
      <c r="D8801" t="s">
        <v>34621</v>
      </c>
      <c r="E8801" t="b">
        <v>0</v>
      </c>
      <c r="F8801" t="s">
        <v>11610</v>
      </c>
      <c r="L8801">
        <v>0</v>
      </c>
      <c r="M8801">
        <v>0</v>
      </c>
      <c r="N8801">
        <v>0</v>
      </c>
    </row>
    <row r="8802" spans="1:15">
      <c r="A8802" t="s">
        <v>34622</v>
      </c>
      <c r="B8802" t="s">
        <v>5126</v>
      </c>
      <c r="C8802" t="s">
        <v>34623</v>
      </c>
      <c r="D8802" t="s">
        <v>34624</v>
      </c>
      <c r="E8802" t="b">
        <v>0</v>
      </c>
      <c r="F8802" t="s">
        <v>11622</v>
      </c>
      <c r="L8802">
        <v>1</v>
      </c>
      <c r="M8802">
        <v>5</v>
      </c>
      <c r="N8802">
        <v>0</v>
      </c>
    </row>
    <row r="8803" spans="1:15">
      <c r="A8803" t="s">
        <v>34625</v>
      </c>
      <c r="B8803" t="s">
        <v>6742</v>
      </c>
      <c r="C8803" t="s">
        <v>21897</v>
      </c>
      <c r="D8803" t="s">
        <v>34626</v>
      </c>
      <c r="E8803" t="b">
        <v>0</v>
      </c>
      <c r="F8803" t="s">
        <v>11624</v>
      </c>
      <c r="G8803">
        <v>-6.71075</v>
      </c>
      <c r="H8803">
        <v>37.979999999999997</v>
      </c>
      <c r="I8803" t="s">
        <v>34627</v>
      </c>
      <c r="L8803">
        <v>0</v>
      </c>
      <c r="M8803">
        <v>0</v>
      </c>
      <c r="N8803">
        <v>0</v>
      </c>
      <c r="O8803" t="s">
        <v>11635</v>
      </c>
    </row>
    <row r="8804" spans="1:15">
      <c r="A8804" t="s">
        <v>34628</v>
      </c>
      <c r="B8804" t="s">
        <v>6742</v>
      </c>
      <c r="C8804" t="s">
        <v>13270</v>
      </c>
      <c r="D8804" t="s">
        <v>34629</v>
      </c>
      <c r="E8804" t="b">
        <v>0</v>
      </c>
      <c r="F8804" t="s">
        <v>11610</v>
      </c>
      <c r="L8804">
        <v>0</v>
      </c>
      <c r="M8804">
        <v>0</v>
      </c>
      <c r="N8804">
        <v>0</v>
      </c>
    </row>
    <row r="8805" spans="1:15">
      <c r="A8805" t="s">
        <v>34630</v>
      </c>
      <c r="B8805" t="s">
        <v>6742</v>
      </c>
      <c r="C8805" t="s">
        <v>30187</v>
      </c>
      <c r="D8805" t="s">
        <v>34631</v>
      </c>
      <c r="E8805" t="b">
        <v>0</v>
      </c>
      <c r="F8805" t="s">
        <v>11624</v>
      </c>
      <c r="G8805">
        <v>8.5744399999999992</v>
      </c>
      <c r="H8805">
        <v>6.6608799999999997</v>
      </c>
      <c r="I8805" t="s">
        <v>34632</v>
      </c>
      <c r="L8805">
        <v>0</v>
      </c>
      <c r="M8805">
        <v>0</v>
      </c>
      <c r="N8805">
        <v>0</v>
      </c>
      <c r="O8805" t="s">
        <v>11693</v>
      </c>
    </row>
    <row r="8806" spans="1:15">
      <c r="A8806" t="s">
        <v>34633</v>
      </c>
      <c r="B8806" t="s">
        <v>11615</v>
      </c>
      <c r="C8806" t="s">
        <v>23820</v>
      </c>
      <c r="D8806" t="s">
        <v>34634</v>
      </c>
      <c r="E8806" t="b">
        <v>0</v>
      </c>
      <c r="F8806" t="s">
        <v>11610</v>
      </c>
      <c r="L8806">
        <v>0</v>
      </c>
      <c r="M8806">
        <v>0</v>
      </c>
      <c r="N8806">
        <v>0</v>
      </c>
    </row>
    <row r="8807" spans="1:15">
      <c r="A8807" t="s">
        <v>30187</v>
      </c>
      <c r="B8807" t="s">
        <v>6742</v>
      </c>
      <c r="C8807" t="s">
        <v>24725</v>
      </c>
      <c r="D8807" t="s">
        <v>34635</v>
      </c>
      <c r="E8807" t="b">
        <v>0</v>
      </c>
      <c r="F8807" t="s">
        <v>11622</v>
      </c>
      <c r="L8807">
        <v>0</v>
      </c>
      <c r="M8807">
        <v>2</v>
      </c>
      <c r="N8807">
        <v>2</v>
      </c>
    </row>
    <row r="8808" spans="1:15">
      <c r="A8808" t="s">
        <v>34636</v>
      </c>
      <c r="B8808" t="s">
        <v>6742</v>
      </c>
      <c r="C8808" t="s">
        <v>19959</v>
      </c>
      <c r="D8808" t="s">
        <v>34637</v>
      </c>
      <c r="E8808" t="b">
        <v>0</v>
      </c>
      <c r="F8808" t="s">
        <v>11624</v>
      </c>
      <c r="G8808">
        <v>8.3049999999999997</v>
      </c>
      <c r="H8808">
        <v>11.05611111</v>
      </c>
      <c r="I8808" t="s">
        <v>34638</v>
      </c>
      <c r="L8808">
        <v>0</v>
      </c>
      <c r="M8808">
        <v>0</v>
      </c>
      <c r="N8808">
        <v>0</v>
      </c>
      <c r="O8808" t="s">
        <v>11693</v>
      </c>
    </row>
    <row r="8809" spans="1:15">
      <c r="A8809" t="s">
        <v>34639</v>
      </c>
      <c r="B8809" t="s">
        <v>6742</v>
      </c>
      <c r="C8809" t="s">
        <v>13910</v>
      </c>
      <c r="D8809" t="s">
        <v>34640</v>
      </c>
      <c r="E8809" t="b">
        <v>0</v>
      </c>
      <c r="F8809" t="s">
        <v>11610</v>
      </c>
      <c r="L8809">
        <v>0</v>
      </c>
      <c r="M8809">
        <v>0</v>
      </c>
      <c r="N8809">
        <v>0</v>
      </c>
    </row>
    <row r="8810" spans="1:15">
      <c r="A8810" t="s">
        <v>34641</v>
      </c>
      <c r="B8810" t="s">
        <v>6742</v>
      </c>
      <c r="C8810" t="s">
        <v>15318</v>
      </c>
      <c r="D8810" t="s">
        <v>34642</v>
      </c>
      <c r="E8810" t="b">
        <v>0</v>
      </c>
      <c r="F8810" t="s">
        <v>11624</v>
      </c>
      <c r="G8810">
        <v>10.0602</v>
      </c>
      <c r="H8810">
        <v>11.2712</v>
      </c>
      <c r="I8810" t="s">
        <v>34643</v>
      </c>
      <c r="L8810">
        <v>0</v>
      </c>
      <c r="M8810">
        <v>0</v>
      </c>
      <c r="N8810">
        <v>0</v>
      </c>
      <c r="O8810" t="s">
        <v>11693</v>
      </c>
    </row>
    <row r="8811" spans="1:15">
      <c r="A8811" t="s">
        <v>34644</v>
      </c>
      <c r="B8811" t="s">
        <v>11615</v>
      </c>
      <c r="C8811" t="s">
        <v>14818</v>
      </c>
      <c r="D8811" t="s">
        <v>34645</v>
      </c>
      <c r="E8811" t="b">
        <v>0</v>
      </c>
      <c r="F8811" t="s">
        <v>11624</v>
      </c>
      <c r="G8811">
        <v>-4.3043300000000002</v>
      </c>
      <c r="H8811">
        <v>135.88300000000001</v>
      </c>
      <c r="I8811" t="s">
        <v>34646</v>
      </c>
      <c r="L8811">
        <v>0</v>
      </c>
      <c r="M8811">
        <v>0</v>
      </c>
      <c r="N8811">
        <v>3</v>
      </c>
      <c r="O8811" t="s">
        <v>11768</v>
      </c>
    </row>
    <row r="8812" spans="1:15">
      <c r="A8812" t="s">
        <v>34647</v>
      </c>
      <c r="B8812" t="s">
        <v>6742</v>
      </c>
      <c r="C8812" t="s">
        <v>18451</v>
      </c>
      <c r="D8812" t="s">
        <v>34648</v>
      </c>
      <c r="E8812" t="b">
        <v>0</v>
      </c>
      <c r="F8812" t="s">
        <v>11624</v>
      </c>
      <c r="G8812">
        <v>11.525</v>
      </c>
      <c r="H8812">
        <v>-16.29</v>
      </c>
      <c r="L8812">
        <v>0</v>
      </c>
      <c r="M8812">
        <v>0</v>
      </c>
      <c r="N8812">
        <v>0</v>
      </c>
      <c r="O8812" t="s">
        <v>14312</v>
      </c>
    </row>
    <row r="8813" spans="1:15">
      <c r="A8813" t="s">
        <v>34649</v>
      </c>
      <c r="B8813" t="s">
        <v>367</v>
      </c>
      <c r="C8813" t="s">
        <v>19931</v>
      </c>
      <c r="D8813" t="s">
        <v>34650</v>
      </c>
      <c r="E8813" t="b">
        <v>0</v>
      </c>
      <c r="F8813" t="s">
        <v>11610</v>
      </c>
      <c r="L8813">
        <v>0</v>
      </c>
      <c r="M8813">
        <v>0</v>
      </c>
      <c r="N8813">
        <v>0</v>
      </c>
    </row>
    <row r="8814" spans="1:15">
      <c r="A8814" t="s">
        <v>34651</v>
      </c>
      <c r="B8814" t="s">
        <v>11644</v>
      </c>
      <c r="C8814" t="s">
        <v>126</v>
      </c>
      <c r="D8814" t="s">
        <v>34652</v>
      </c>
      <c r="E8814" t="b">
        <v>0</v>
      </c>
      <c r="F8814" t="s">
        <v>11610</v>
      </c>
      <c r="L8814">
        <v>0</v>
      </c>
      <c r="M8814">
        <v>0</v>
      </c>
      <c r="N8814">
        <v>0</v>
      </c>
    </row>
    <row r="8815" spans="1:15">
      <c r="A8815" t="s">
        <v>34653</v>
      </c>
      <c r="B8815" t="s">
        <v>5126</v>
      </c>
      <c r="C8815" t="s">
        <v>23858</v>
      </c>
      <c r="D8815" t="s">
        <v>34654</v>
      </c>
      <c r="E8815" t="b">
        <v>0</v>
      </c>
      <c r="F8815" t="s">
        <v>11622</v>
      </c>
      <c r="L8815">
        <v>7</v>
      </c>
      <c r="M8815">
        <v>12</v>
      </c>
      <c r="N8815">
        <v>13</v>
      </c>
    </row>
    <row r="8816" spans="1:15">
      <c r="A8816" t="s">
        <v>34655</v>
      </c>
      <c r="B8816" t="s">
        <v>6742</v>
      </c>
      <c r="C8816" t="s">
        <v>18527</v>
      </c>
      <c r="D8816" t="s">
        <v>34656</v>
      </c>
      <c r="E8816" t="b">
        <v>0</v>
      </c>
      <c r="F8816" t="s">
        <v>11610</v>
      </c>
      <c r="L8816">
        <v>0</v>
      </c>
      <c r="M8816">
        <v>0</v>
      </c>
      <c r="N8816">
        <v>0</v>
      </c>
    </row>
    <row r="8817" spans="1:15">
      <c r="A8817" t="s">
        <v>14837</v>
      </c>
      <c r="B8817" t="s">
        <v>11637</v>
      </c>
      <c r="C8817" t="s">
        <v>28709</v>
      </c>
      <c r="D8817" t="s">
        <v>34657</v>
      </c>
      <c r="E8817" t="b">
        <v>0</v>
      </c>
      <c r="F8817" t="s">
        <v>11622</v>
      </c>
      <c r="L8817">
        <v>2</v>
      </c>
      <c r="M8817">
        <v>5</v>
      </c>
      <c r="N8817">
        <v>4</v>
      </c>
    </row>
    <row r="8818" spans="1:15">
      <c r="A8818" t="s">
        <v>23858</v>
      </c>
      <c r="B8818" t="s">
        <v>5126</v>
      </c>
      <c r="C8818" t="s">
        <v>5126</v>
      </c>
      <c r="D8818" t="s">
        <v>34658</v>
      </c>
      <c r="E8818" t="b">
        <v>0</v>
      </c>
      <c r="F8818" t="s">
        <v>11622</v>
      </c>
      <c r="L8818">
        <v>38</v>
      </c>
      <c r="M8818">
        <v>76</v>
      </c>
      <c r="N8818">
        <v>62</v>
      </c>
    </row>
    <row r="8819" spans="1:15">
      <c r="A8819" t="s">
        <v>34659</v>
      </c>
      <c r="B8819" t="s">
        <v>25764</v>
      </c>
      <c r="C8819" t="s">
        <v>25764</v>
      </c>
      <c r="D8819" t="s">
        <v>34660</v>
      </c>
      <c r="E8819" t="b">
        <v>0</v>
      </c>
      <c r="F8819" t="s">
        <v>11610</v>
      </c>
      <c r="L8819">
        <v>0</v>
      </c>
      <c r="M8819">
        <v>0</v>
      </c>
      <c r="N8819">
        <v>0</v>
      </c>
    </row>
    <row r="8820" spans="1:15">
      <c r="A8820" t="s">
        <v>34661</v>
      </c>
      <c r="B8820" t="s">
        <v>12438</v>
      </c>
      <c r="C8820" t="s">
        <v>30455</v>
      </c>
      <c r="D8820" t="s">
        <v>34662</v>
      </c>
      <c r="E8820" t="b">
        <v>0</v>
      </c>
      <c r="F8820" t="s">
        <v>11610</v>
      </c>
      <c r="L8820">
        <v>0</v>
      </c>
      <c r="M8820">
        <v>0</v>
      </c>
      <c r="N8820">
        <v>0</v>
      </c>
    </row>
    <row r="8821" spans="1:15">
      <c r="A8821" t="s">
        <v>34663</v>
      </c>
      <c r="B8821" t="s">
        <v>26017</v>
      </c>
      <c r="C8821" t="s">
        <v>26017</v>
      </c>
      <c r="D8821" t="s">
        <v>34664</v>
      </c>
      <c r="E8821" t="b">
        <v>0</v>
      </c>
      <c r="F8821" t="s">
        <v>11624</v>
      </c>
      <c r="G8821">
        <v>-13.539300000000001</v>
      </c>
      <c r="H8821">
        <v>131.09800000000001</v>
      </c>
      <c r="I8821" t="s">
        <v>34665</v>
      </c>
      <c r="L8821">
        <v>0</v>
      </c>
      <c r="M8821">
        <v>0</v>
      </c>
      <c r="N8821">
        <v>0</v>
      </c>
      <c r="O8821" t="s">
        <v>12107</v>
      </c>
    </row>
    <row r="8822" spans="1:15">
      <c r="A8822" t="s">
        <v>34666</v>
      </c>
      <c r="B8822" t="s">
        <v>12158</v>
      </c>
      <c r="C8822" t="s">
        <v>12158</v>
      </c>
      <c r="D8822" t="s">
        <v>34667</v>
      </c>
      <c r="E8822" t="b">
        <v>0</v>
      </c>
      <c r="F8822" t="s">
        <v>11624</v>
      </c>
      <c r="G8822">
        <v>-7.2879800000000001</v>
      </c>
      <c r="H8822">
        <v>142.63900000000001</v>
      </c>
      <c r="I8822" t="s">
        <v>34668</v>
      </c>
      <c r="L8822">
        <v>0</v>
      </c>
      <c r="M8822">
        <v>0</v>
      </c>
      <c r="N8822">
        <v>0</v>
      </c>
      <c r="O8822" t="s">
        <v>11660</v>
      </c>
    </row>
    <row r="8823" spans="1:15">
      <c r="A8823" t="s">
        <v>31712</v>
      </c>
      <c r="B8823" t="s">
        <v>6742</v>
      </c>
      <c r="C8823" t="s">
        <v>34669</v>
      </c>
      <c r="D8823" t="s">
        <v>34670</v>
      </c>
      <c r="E8823" t="b">
        <v>0</v>
      </c>
      <c r="F8823" t="s">
        <v>11622</v>
      </c>
      <c r="L8823">
        <v>3</v>
      </c>
      <c r="M8823">
        <v>5</v>
      </c>
      <c r="N8823">
        <v>6</v>
      </c>
    </row>
    <row r="8824" spans="1:15">
      <c r="A8824" t="s">
        <v>23054</v>
      </c>
      <c r="B8824" t="s">
        <v>6742</v>
      </c>
      <c r="C8824" t="s">
        <v>31712</v>
      </c>
      <c r="D8824" t="s">
        <v>34671</v>
      </c>
      <c r="E8824" t="b">
        <v>0</v>
      </c>
      <c r="F8824" t="s">
        <v>11622</v>
      </c>
      <c r="L8824">
        <v>2</v>
      </c>
      <c r="M8824">
        <v>4</v>
      </c>
      <c r="N8824">
        <v>6</v>
      </c>
    </row>
    <row r="8825" spans="1:15">
      <c r="A8825" t="s">
        <v>12158</v>
      </c>
      <c r="D8825" t="s">
        <v>34672</v>
      </c>
      <c r="E8825" t="b">
        <v>0</v>
      </c>
      <c r="F8825" t="s">
        <v>11622</v>
      </c>
      <c r="L8825">
        <v>1</v>
      </c>
      <c r="M8825">
        <v>3</v>
      </c>
      <c r="N8825">
        <v>3</v>
      </c>
    </row>
    <row r="8826" spans="1:15">
      <c r="A8826" t="s">
        <v>34673</v>
      </c>
      <c r="B8826" t="s">
        <v>11637</v>
      </c>
      <c r="C8826" t="s">
        <v>34674</v>
      </c>
      <c r="D8826" t="s">
        <v>34675</v>
      </c>
      <c r="E8826" t="b">
        <v>0</v>
      </c>
      <c r="F8826" t="s">
        <v>11624</v>
      </c>
      <c r="G8826">
        <v>30</v>
      </c>
      <c r="H8826">
        <v>70</v>
      </c>
      <c r="I8826" t="s">
        <v>34676</v>
      </c>
      <c r="L8826">
        <v>0</v>
      </c>
      <c r="M8826">
        <v>0</v>
      </c>
      <c r="N8826">
        <v>2</v>
      </c>
      <c r="O8826" t="s">
        <v>21350</v>
      </c>
    </row>
    <row r="8827" spans="1:15">
      <c r="A8827" t="s">
        <v>34677</v>
      </c>
      <c r="B8827" t="s">
        <v>11607</v>
      </c>
      <c r="C8827" t="s">
        <v>31126</v>
      </c>
      <c r="D8827" t="s">
        <v>34678</v>
      </c>
      <c r="E8827" t="b">
        <v>0</v>
      </c>
      <c r="F8827" t="s">
        <v>11624</v>
      </c>
      <c r="G8827">
        <v>10.646000000000001</v>
      </c>
      <c r="H8827">
        <v>13.5136</v>
      </c>
      <c r="I8827" t="s">
        <v>34679</v>
      </c>
      <c r="L8827">
        <v>0</v>
      </c>
      <c r="M8827">
        <v>0</v>
      </c>
      <c r="N8827">
        <v>0</v>
      </c>
      <c r="O8827" t="s">
        <v>11802</v>
      </c>
    </row>
    <row r="8828" spans="1:15">
      <c r="A8828" t="s">
        <v>34680</v>
      </c>
      <c r="B8828" t="s">
        <v>11607</v>
      </c>
      <c r="C8828" t="s">
        <v>34681</v>
      </c>
      <c r="D8828" t="s">
        <v>34682</v>
      </c>
      <c r="E8828" t="b">
        <v>0</v>
      </c>
      <c r="F8828" t="s">
        <v>11610</v>
      </c>
      <c r="L8828">
        <v>0</v>
      </c>
      <c r="M8828">
        <v>0</v>
      </c>
      <c r="N8828">
        <v>0</v>
      </c>
    </row>
    <row r="8829" spans="1:15">
      <c r="A8829" t="s">
        <v>34683</v>
      </c>
      <c r="B8829" t="s">
        <v>11637</v>
      </c>
      <c r="C8829" t="s">
        <v>19828</v>
      </c>
      <c r="D8829" t="s">
        <v>34684</v>
      </c>
      <c r="E8829" t="b">
        <v>0</v>
      </c>
      <c r="F8829" t="s">
        <v>11624</v>
      </c>
      <c r="G8829">
        <v>27.107399999999998</v>
      </c>
      <c r="H8829">
        <v>79.288300000000007</v>
      </c>
      <c r="I8829" t="s">
        <v>34685</v>
      </c>
      <c r="L8829">
        <v>0</v>
      </c>
      <c r="M8829">
        <v>0</v>
      </c>
      <c r="N8829">
        <v>3</v>
      </c>
      <c r="O8829" t="s">
        <v>11630</v>
      </c>
    </row>
    <row r="8830" spans="1:15">
      <c r="A8830" t="s">
        <v>34686</v>
      </c>
      <c r="B8830" t="s">
        <v>11637</v>
      </c>
      <c r="C8830" t="s">
        <v>34683</v>
      </c>
      <c r="D8830" t="s">
        <v>34687</v>
      </c>
      <c r="E8830" t="b">
        <v>0</v>
      </c>
      <c r="F8830" t="s">
        <v>11610</v>
      </c>
      <c r="L8830">
        <v>0</v>
      </c>
      <c r="M8830">
        <v>0</v>
      </c>
      <c r="N8830">
        <v>0</v>
      </c>
    </row>
    <row r="8831" spans="1:15">
      <c r="A8831" t="s">
        <v>34688</v>
      </c>
      <c r="B8831" t="s">
        <v>11644</v>
      </c>
      <c r="C8831" t="s">
        <v>22747</v>
      </c>
      <c r="D8831" t="s">
        <v>34689</v>
      </c>
      <c r="E8831" t="b">
        <v>0</v>
      </c>
      <c r="F8831" t="s">
        <v>11624</v>
      </c>
      <c r="G8831">
        <v>32.284300000000002</v>
      </c>
      <c r="H8831">
        <v>77.155299999999997</v>
      </c>
      <c r="I8831" t="s">
        <v>34690</v>
      </c>
      <c r="L8831">
        <v>0</v>
      </c>
      <c r="M8831">
        <v>0</v>
      </c>
      <c r="N8831">
        <v>0</v>
      </c>
      <c r="O8831" t="s">
        <v>11630</v>
      </c>
    </row>
    <row r="8832" spans="1:15">
      <c r="A8832" t="s">
        <v>34691</v>
      </c>
      <c r="B8832" t="s">
        <v>6742</v>
      </c>
      <c r="C8832" t="s">
        <v>27296</v>
      </c>
      <c r="D8832" t="s">
        <v>34692</v>
      </c>
      <c r="E8832" t="b">
        <v>0</v>
      </c>
      <c r="F8832" t="s">
        <v>11610</v>
      </c>
      <c r="L8832">
        <v>0</v>
      </c>
      <c r="M8832">
        <v>0</v>
      </c>
      <c r="N8832">
        <v>0</v>
      </c>
    </row>
    <row r="8833" spans="1:15">
      <c r="A8833" t="s">
        <v>34693</v>
      </c>
      <c r="B8833" t="s">
        <v>6742</v>
      </c>
      <c r="C8833" t="s">
        <v>1627</v>
      </c>
      <c r="D8833" t="s">
        <v>34694</v>
      </c>
      <c r="E8833" t="b">
        <v>0</v>
      </c>
      <c r="F8833" t="s">
        <v>11610</v>
      </c>
      <c r="L8833">
        <v>0</v>
      </c>
      <c r="M8833">
        <v>0</v>
      </c>
      <c r="N8833">
        <v>0</v>
      </c>
    </row>
    <row r="8834" spans="1:15">
      <c r="A8834" t="s">
        <v>34695</v>
      </c>
      <c r="B8834" t="s">
        <v>367</v>
      </c>
      <c r="C8834" t="s">
        <v>34696</v>
      </c>
      <c r="D8834" t="s">
        <v>34697</v>
      </c>
      <c r="E8834" t="b">
        <v>0</v>
      </c>
      <c r="F8834" t="s">
        <v>11624</v>
      </c>
      <c r="G8834">
        <v>23.323499999999999</v>
      </c>
      <c r="H8834">
        <v>120.887</v>
      </c>
      <c r="I8834" t="s">
        <v>34698</v>
      </c>
      <c r="L8834">
        <v>0</v>
      </c>
      <c r="M8834">
        <v>0</v>
      </c>
      <c r="N8834">
        <v>0</v>
      </c>
      <c r="O8834" t="s">
        <v>13484</v>
      </c>
    </row>
    <row r="8835" spans="1:15">
      <c r="A8835" t="s">
        <v>34699</v>
      </c>
      <c r="B8835" t="s">
        <v>367</v>
      </c>
      <c r="C8835" t="s">
        <v>5574</v>
      </c>
      <c r="D8835" t="s">
        <v>34700</v>
      </c>
      <c r="E8835" t="b">
        <v>0</v>
      </c>
      <c r="F8835" t="s">
        <v>11610</v>
      </c>
      <c r="L8835">
        <v>0</v>
      </c>
      <c r="M8835">
        <v>0</v>
      </c>
      <c r="N8835">
        <v>0</v>
      </c>
    </row>
    <row r="8836" spans="1:15">
      <c r="A8836" t="s">
        <v>34701</v>
      </c>
      <c r="B8836" t="s">
        <v>23796</v>
      </c>
      <c r="C8836" t="s">
        <v>23796</v>
      </c>
      <c r="D8836" t="s">
        <v>34702</v>
      </c>
      <c r="E8836" t="b">
        <v>0</v>
      </c>
      <c r="F8836" t="s">
        <v>11624</v>
      </c>
      <c r="G8836">
        <v>-10.165800000000001</v>
      </c>
      <c r="H8836">
        <v>149.751</v>
      </c>
      <c r="I8836" t="s">
        <v>34703</v>
      </c>
      <c r="L8836">
        <v>0</v>
      </c>
      <c r="M8836">
        <v>0</v>
      </c>
      <c r="N8836">
        <v>0</v>
      </c>
      <c r="O8836" t="s">
        <v>11660</v>
      </c>
    </row>
    <row r="8837" spans="1:15">
      <c r="A8837" t="s">
        <v>34704</v>
      </c>
      <c r="B8837" t="s">
        <v>4342</v>
      </c>
      <c r="C8837" t="s">
        <v>28119</v>
      </c>
      <c r="D8837" t="s">
        <v>34705</v>
      </c>
      <c r="E8837" t="b">
        <v>0</v>
      </c>
      <c r="F8837" t="s">
        <v>11610</v>
      </c>
      <c r="L8837">
        <v>0</v>
      </c>
      <c r="M8837">
        <v>0</v>
      </c>
      <c r="N8837">
        <v>0</v>
      </c>
    </row>
    <row r="8838" spans="1:15">
      <c r="A8838" t="s">
        <v>34706</v>
      </c>
      <c r="B8838" t="s">
        <v>4342</v>
      </c>
      <c r="C8838" t="s">
        <v>19678</v>
      </c>
      <c r="D8838" t="s">
        <v>34707</v>
      </c>
      <c r="E8838" t="b">
        <v>0</v>
      </c>
      <c r="F8838" t="s">
        <v>11610</v>
      </c>
      <c r="L8838">
        <v>0</v>
      </c>
      <c r="M8838">
        <v>0</v>
      </c>
      <c r="N8838">
        <v>0</v>
      </c>
    </row>
    <row r="8839" spans="1:15">
      <c r="A8839" t="s">
        <v>23669</v>
      </c>
      <c r="B8839" t="s">
        <v>8345</v>
      </c>
      <c r="C8839" t="s">
        <v>8345</v>
      </c>
      <c r="D8839" t="s">
        <v>34708</v>
      </c>
      <c r="E8839" t="b">
        <v>0</v>
      </c>
      <c r="F8839" t="s">
        <v>11624</v>
      </c>
      <c r="G8839">
        <v>-6.4539900000000001</v>
      </c>
      <c r="H8839">
        <v>-68.767799999999994</v>
      </c>
      <c r="I8839" t="s">
        <v>34709</v>
      </c>
      <c r="L8839">
        <v>0</v>
      </c>
      <c r="M8839">
        <v>0</v>
      </c>
      <c r="N8839">
        <v>3</v>
      </c>
      <c r="O8839" t="s">
        <v>11969</v>
      </c>
    </row>
    <row r="8840" spans="1:15">
      <c r="A8840" t="s">
        <v>34696</v>
      </c>
      <c r="B8840" t="s">
        <v>367</v>
      </c>
      <c r="C8840" t="s">
        <v>34710</v>
      </c>
      <c r="D8840" t="s">
        <v>34711</v>
      </c>
      <c r="E8840" t="b">
        <v>0</v>
      </c>
      <c r="F8840" t="s">
        <v>11622</v>
      </c>
      <c r="L8840">
        <v>0</v>
      </c>
      <c r="M8840">
        <v>2</v>
      </c>
      <c r="N8840">
        <v>0</v>
      </c>
    </row>
    <row r="8841" spans="1:15">
      <c r="A8841" t="s">
        <v>34712</v>
      </c>
      <c r="B8841" t="s">
        <v>6742</v>
      </c>
      <c r="C8841" t="s">
        <v>17908</v>
      </c>
      <c r="D8841" t="s">
        <v>34713</v>
      </c>
      <c r="E8841" t="b">
        <v>0</v>
      </c>
      <c r="F8841" t="s">
        <v>11610</v>
      </c>
      <c r="G8841">
        <v>-8.9187200000000004</v>
      </c>
      <c r="H8841">
        <v>34.63776</v>
      </c>
      <c r="L8841">
        <v>0</v>
      </c>
      <c r="M8841">
        <v>0</v>
      </c>
      <c r="N8841">
        <v>0</v>
      </c>
    </row>
    <row r="8842" spans="1:15">
      <c r="A8842" t="s">
        <v>34714</v>
      </c>
      <c r="B8842" t="s">
        <v>11637</v>
      </c>
      <c r="C8842" t="s">
        <v>16734</v>
      </c>
      <c r="D8842" t="s">
        <v>34715</v>
      </c>
      <c r="E8842" t="b">
        <v>0</v>
      </c>
      <c r="F8842" t="s">
        <v>11610</v>
      </c>
      <c r="L8842">
        <v>0</v>
      </c>
      <c r="M8842">
        <v>0</v>
      </c>
      <c r="N8842">
        <v>0</v>
      </c>
    </row>
    <row r="8843" spans="1:15">
      <c r="A8843" t="s">
        <v>34716</v>
      </c>
      <c r="B8843" t="s">
        <v>11644</v>
      </c>
      <c r="C8843" t="s">
        <v>34717</v>
      </c>
      <c r="D8843" t="s">
        <v>34718</v>
      </c>
      <c r="E8843" t="b">
        <v>0</v>
      </c>
      <c r="F8843" t="s">
        <v>11610</v>
      </c>
      <c r="L8843">
        <v>0</v>
      </c>
      <c r="M8843">
        <v>0</v>
      </c>
      <c r="N8843">
        <v>0</v>
      </c>
    </row>
    <row r="8844" spans="1:15">
      <c r="A8844" t="s">
        <v>34719</v>
      </c>
      <c r="B8844" t="s">
        <v>11637</v>
      </c>
      <c r="C8844" t="s">
        <v>28751</v>
      </c>
      <c r="D8844" t="s">
        <v>34720</v>
      </c>
      <c r="E8844" t="b">
        <v>0</v>
      </c>
      <c r="F8844" t="s">
        <v>11610</v>
      </c>
      <c r="L8844">
        <v>0</v>
      </c>
      <c r="M8844">
        <v>0</v>
      </c>
      <c r="N8844">
        <v>0</v>
      </c>
    </row>
    <row r="8845" spans="1:15">
      <c r="A8845" t="s">
        <v>34721</v>
      </c>
      <c r="B8845" t="s">
        <v>11637</v>
      </c>
      <c r="C8845" t="s">
        <v>34722</v>
      </c>
      <c r="D8845" t="s">
        <v>34723</v>
      </c>
      <c r="E8845" t="b">
        <v>0</v>
      </c>
      <c r="F8845" t="s">
        <v>11610</v>
      </c>
      <c r="L8845">
        <v>0</v>
      </c>
      <c r="M8845">
        <v>0</v>
      </c>
      <c r="N8845">
        <v>0</v>
      </c>
    </row>
    <row r="8846" spans="1:15">
      <c r="A8846" t="s">
        <v>34724</v>
      </c>
      <c r="B8846" t="s">
        <v>11637</v>
      </c>
      <c r="C8846" t="s">
        <v>18279</v>
      </c>
      <c r="D8846" t="s">
        <v>34725</v>
      </c>
      <c r="E8846" t="b">
        <v>0</v>
      </c>
      <c r="F8846" t="s">
        <v>11610</v>
      </c>
      <c r="L8846">
        <v>0</v>
      </c>
      <c r="M8846">
        <v>0</v>
      </c>
      <c r="N8846">
        <v>0</v>
      </c>
    </row>
    <row r="8847" spans="1:15">
      <c r="A8847" t="s">
        <v>34726</v>
      </c>
      <c r="B8847" t="s">
        <v>11637</v>
      </c>
      <c r="C8847" t="s">
        <v>14472</v>
      </c>
      <c r="D8847" t="s">
        <v>34727</v>
      </c>
      <c r="E8847" t="b">
        <v>0</v>
      </c>
      <c r="F8847" t="s">
        <v>11610</v>
      </c>
      <c r="L8847">
        <v>0</v>
      </c>
      <c r="M8847">
        <v>0</v>
      </c>
      <c r="N8847">
        <v>0</v>
      </c>
    </row>
    <row r="8848" spans="1:15">
      <c r="A8848" t="s">
        <v>34728</v>
      </c>
      <c r="B8848" t="s">
        <v>6742</v>
      </c>
      <c r="C8848" t="s">
        <v>21465</v>
      </c>
      <c r="D8848" t="s">
        <v>34729</v>
      </c>
      <c r="E8848" t="b">
        <v>0</v>
      </c>
      <c r="F8848" t="s">
        <v>11610</v>
      </c>
      <c r="L8848">
        <v>0</v>
      </c>
      <c r="M8848">
        <v>0</v>
      </c>
      <c r="N8848">
        <v>0</v>
      </c>
    </row>
    <row r="8849" spans="1:15">
      <c r="A8849" t="s">
        <v>34730</v>
      </c>
      <c r="B8849" t="s">
        <v>6742</v>
      </c>
      <c r="C8849" t="s">
        <v>24365</v>
      </c>
      <c r="D8849" t="s">
        <v>34731</v>
      </c>
      <c r="E8849" t="b">
        <v>0</v>
      </c>
      <c r="F8849" t="s">
        <v>11610</v>
      </c>
      <c r="L8849">
        <v>0</v>
      </c>
      <c r="M8849">
        <v>0</v>
      </c>
      <c r="N8849">
        <v>0</v>
      </c>
    </row>
    <row r="8850" spans="1:15">
      <c r="A8850" t="s">
        <v>34732</v>
      </c>
      <c r="B8850" t="s">
        <v>6742</v>
      </c>
      <c r="C8850" t="s">
        <v>21272</v>
      </c>
      <c r="D8850" t="s">
        <v>34733</v>
      </c>
      <c r="E8850" t="b">
        <v>0</v>
      </c>
      <c r="F8850" t="s">
        <v>11610</v>
      </c>
      <c r="L8850">
        <v>0</v>
      </c>
      <c r="M8850">
        <v>0</v>
      </c>
      <c r="N8850">
        <v>0</v>
      </c>
    </row>
    <row r="8851" spans="1:15">
      <c r="A8851" t="s">
        <v>34734</v>
      </c>
      <c r="B8851" t="s">
        <v>6742</v>
      </c>
      <c r="C8851" t="s">
        <v>4187</v>
      </c>
      <c r="D8851" t="s">
        <v>34735</v>
      </c>
      <c r="E8851" t="b">
        <v>0</v>
      </c>
      <c r="F8851" t="s">
        <v>11610</v>
      </c>
      <c r="L8851">
        <v>0</v>
      </c>
      <c r="M8851">
        <v>0</v>
      </c>
      <c r="N8851">
        <v>0</v>
      </c>
    </row>
    <row r="8852" spans="1:15">
      <c r="A8852" t="s">
        <v>34736</v>
      </c>
      <c r="B8852" t="s">
        <v>6742</v>
      </c>
      <c r="C8852" t="s">
        <v>27905</v>
      </c>
      <c r="D8852" t="s">
        <v>34737</v>
      </c>
      <c r="E8852" t="b">
        <v>0</v>
      </c>
      <c r="F8852" t="s">
        <v>11610</v>
      </c>
      <c r="L8852">
        <v>0</v>
      </c>
      <c r="M8852">
        <v>0</v>
      </c>
      <c r="N8852">
        <v>0</v>
      </c>
    </row>
    <row r="8853" spans="1:15">
      <c r="A8853" t="s">
        <v>34738</v>
      </c>
      <c r="B8853" t="s">
        <v>6742</v>
      </c>
      <c r="C8853" t="s">
        <v>4025</v>
      </c>
      <c r="D8853" t="s">
        <v>34739</v>
      </c>
      <c r="E8853" t="b">
        <v>0</v>
      </c>
      <c r="F8853" t="s">
        <v>11610</v>
      </c>
      <c r="L8853">
        <v>0</v>
      </c>
      <c r="M8853">
        <v>0</v>
      </c>
      <c r="N8853">
        <v>0</v>
      </c>
    </row>
    <row r="8854" spans="1:15">
      <c r="A8854" t="s">
        <v>7121</v>
      </c>
      <c r="B8854" t="s">
        <v>6742</v>
      </c>
      <c r="C8854" t="s">
        <v>34740</v>
      </c>
      <c r="D8854" t="s">
        <v>34741</v>
      </c>
      <c r="E8854" t="b">
        <v>0</v>
      </c>
      <c r="F8854" t="s">
        <v>11624</v>
      </c>
      <c r="G8854">
        <v>-7.7600000000000004E-3</v>
      </c>
      <c r="H8854">
        <v>11.707599999999999</v>
      </c>
      <c r="I8854" t="s">
        <v>34742</v>
      </c>
      <c r="L8854">
        <v>0</v>
      </c>
      <c r="M8854">
        <v>0</v>
      </c>
      <c r="N8854">
        <v>0</v>
      </c>
      <c r="O8854" t="s">
        <v>16915</v>
      </c>
    </row>
    <row r="8855" spans="1:15">
      <c r="A8855" t="s">
        <v>34743</v>
      </c>
      <c r="B8855" t="s">
        <v>367</v>
      </c>
      <c r="C8855" t="s">
        <v>34744</v>
      </c>
      <c r="D8855" t="s">
        <v>34745</v>
      </c>
      <c r="E8855" t="b">
        <v>0</v>
      </c>
      <c r="F8855" t="s">
        <v>11624</v>
      </c>
      <c r="G8855">
        <v>-4.3651999999999997</v>
      </c>
      <c r="H8855">
        <v>152.78100000000001</v>
      </c>
      <c r="I8855" t="s">
        <v>34746</v>
      </c>
      <c r="L8855">
        <v>0</v>
      </c>
      <c r="M8855">
        <v>0</v>
      </c>
      <c r="N8855">
        <v>0</v>
      </c>
      <c r="O8855" t="s">
        <v>11660</v>
      </c>
    </row>
    <row r="8856" spans="1:15">
      <c r="A8856" t="s">
        <v>34747</v>
      </c>
      <c r="B8856" t="s">
        <v>367</v>
      </c>
      <c r="C8856" t="s">
        <v>34748</v>
      </c>
      <c r="D8856" t="s">
        <v>34749</v>
      </c>
      <c r="E8856" t="b">
        <v>0</v>
      </c>
      <c r="F8856" t="s">
        <v>11610</v>
      </c>
      <c r="L8856">
        <v>0</v>
      </c>
      <c r="M8856">
        <v>0</v>
      </c>
      <c r="N8856">
        <v>0</v>
      </c>
    </row>
    <row r="8857" spans="1:15">
      <c r="A8857" t="s">
        <v>34750</v>
      </c>
      <c r="B8857" t="s">
        <v>11615</v>
      </c>
      <c r="C8857" t="s">
        <v>34751</v>
      </c>
      <c r="D8857" t="s">
        <v>34752</v>
      </c>
      <c r="E8857" t="b">
        <v>0</v>
      </c>
      <c r="F8857" t="s">
        <v>11624</v>
      </c>
      <c r="G8857">
        <v>-5.7367400000000002</v>
      </c>
      <c r="H8857">
        <v>144.96600000000001</v>
      </c>
      <c r="I8857" t="s">
        <v>34753</v>
      </c>
      <c r="L8857">
        <v>0</v>
      </c>
      <c r="M8857">
        <v>0</v>
      </c>
      <c r="N8857">
        <v>0</v>
      </c>
      <c r="O8857" t="s">
        <v>11660</v>
      </c>
    </row>
    <row r="8858" spans="1:15">
      <c r="A8858" t="s">
        <v>34754</v>
      </c>
      <c r="B8858" t="s">
        <v>11615</v>
      </c>
      <c r="C8858" t="s">
        <v>27216</v>
      </c>
      <c r="D8858" t="s">
        <v>34755</v>
      </c>
      <c r="E8858" t="b">
        <v>0</v>
      </c>
      <c r="F8858" t="s">
        <v>11610</v>
      </c>
      <c r="L8858">
        <v>0</v>
      </c>
      <c r="M8858">
        <v>0</v>
      </c>
      <c r="N8858">
        <v>0</v>
      </c>
    </row>
    <row r="8859" spans="1:15">
      <c r="A8859" t="s">
        <v>34756</v>
      </c>
      <c r="B8859" t="s">
        <v>21050</v>
      </c>
      <c r="C8859" t="s">
        <v>21050</v>
      </c>
      <c r="D8859" t="s">
        <v>34757</v>
      </c>
      <c r="E8859" t="b">
        <v>0</v>
      </c>
      <c r="F8859" t="s">
        <v>11610</v>
      </c>
      <c r="L8859">
        <v>0</v>
      </c>
      <c r="M8859">
        <v>0</v>
      </c>
      <c r="N8859">
        <v>0</v>
      </c>
    </row>
    <row r="8860" spans="1:15">
      <c r="A8860" t="s">
        <v>34751</v>
      </c>
      <c r="B8860" t="s">
        <v>11615</v>
      </c>
      <c r="C8860" t="s">
        <v>33520</v>
      </c>
      <c r="D8860" t="s">
        <v>34758</v>
      </c>
      <c r="E8860" t="b">
        <v>0</v>
      </c>
      <c r="F8860" t="s">
        <v>11622</v>
      </c>
      <c r="L8860">
        <v>0</v>
      </c>
      <c r="M8860">
        <v>2</v>
      </c>
      <c r="N8860">
        <v>0</v>
      </c>
    </row>
    <row r="8861" spans="1:15">
      <c r="A8861" t="s">
        <v>34744</v>
      </c>
      <c r="B8861" t="s">
        <v>367</v>
      </c>
      <c r="C8861" t="s">
        <v>34759</v>
      </c>
      <c r="D8861" t="s">
        <v>34760</v>
      </c>
      <c r="E8861" t="b">
        <v>0</v>
      </c>
      <c r="F8861" t="s">
        <v>11622</v>
      </c>
      <c r="L8861">
        <v>0</v>
      </c>
      <c r="M8861">
        <v>2</v>
      </c>
      <c r="N8861">
        <v>3</v>
      </c>
    </row>
    <row r="8862" spans="1:15">
      <c r="A8862" t="s">
        <v>34761</v>
      </c>
      <c r="B8862" t="s">
        <v>13967</v>
      </c>
      <c r="C8862" t="s">
        <v>34762</v>
      </c>
      <c r="D8862" t="s">
        <v>34763</v>
      </c>
      <c r="E8862" t="b">
        <v>0</v>
      </c>
      <c r="F8862" t="s">
        <v>11624</v>
      </c>
      <c r="G8862">
        <v>13.8749</v>
      </c>
      <c r="H8862">
        <v>14.8437</v>
      </c>
      <c r="I8862" t="s">
        <v>34764</v>
      </c>
      <c r="L8862">
        <v>0</v>
      </c>
      <c r="M8862">
        <v>0</v>
      </c>
      <c r="N8862">
        <v>3</v>
      </c>
      <c r="O8862" t="s">
        <v>34765</v>
      </c>
    </row>
    <row r="8863" spans="1:15">
      <c r="A8863" t="s">
        <v>34762</v>
      </c>
      <c r="B8863" t="s">
        <v>13967</v>
      </c>
      <c r="C8863" t="s">
        <v>34766</v>
      </c>
      <c r="D8863" t="s">
        <v>34767</v>
      </c>
      <c r="E8863" t="b">
        <v>0</v>
      </c>
      <c r="F8863" t="s">
        <v>11622</v>
      </c>
      <c r="L8863">
        <v>0</v>
      </c>
      <c r="M8863">
        <v>3</v>
      </c>
      <c r="N8863">
        <v>6</v>
      </c>
    </row>
    <row r="8864" spans="1:15">
      <c r="A8864" t="s">
        <v>30673</v>
      </c>
      <c r="B8864" t="s">
        <v>11637</v>
      </c>
      <c r="C8864" t="s">
        <v>25113</v>
      </c>
      <c r="D8864" t="s">
        <v>34768</v>
      </c>
      <c r="E8864" t="b">
        <v>0</v>
      </c>
      <c r="F8864" t="s">
        <v>11624</v>
      </c>
      <c r="G8864">
        <v>31.914999999999999</v>
      </c>
      <c r="H8864">
        <v>76.366</v>
      </c>
      <c r="I8864" t="s">
        <v>34769</v>
      </c>
      <c r="L8864">
        <v>0</v>
      </c>
      <c r="M8864">
        <v>0</v>
      </c>
      <c r="N8864">
        <v>2</v>
      </c>
      <c r="O8864" t="s">
        <v>11630</v>
      </c>
    </row>
    <row r="8865" spans="1:15">
      <c r="A8865" t="s">
        <v>34770</v>
      </c>
      <c r="B8865" t="s">
        <v>12250</v>
      </c>
      <c r="C8865" t="s">
        <v>16849</v>
      </c>
      <c r="D8865" t="s">
        <v>34771</v>
      </c>
      <c r="E8865" t="b">
        <v>0</v>
      </c>
      <c r="F8865" t="s">
        <v>11624</v>
      </c>
      <c r="G8865">
        <v>35.042999999999999</v>
      </c>
      <c r="H8865">
        <v>101.254</v>
      </c>
      <c r="I8865" t="s">
        <v>34772</v>
      </c>
      <c r="L8865">
        <v>0</v>
      </c>
      <c r="M8865">
        <v>0</v>
      </c>
      <c r="N8865">
        <v>0</v>
      </c>
      <c r="O8865" t="s">
        <v>11905</v>
      </c>
    </row>
    <row r="8866" spans="1:15">
      <c r="A8866" t="s">
        <v>34773</v>
      </c>
      <c r="B8866" t="s">
        <v>11627</v>
      </c>
      <c r="C8866" t="s">
        <v>11627</v>
      </c>
      <c r="D8866" t="s">
        <v>34774</v>
      </c>
      <c r="E8866" t="b">
        <v>1</v>
      </c>
      <c r="F8866" t="s">
        <v>11624</v>
      </c>
      <c r="G8866">
        <v>22.4373</v>
      </c>
      <c r="H8866">
        <v>100.67100000000001</v>
      </c>
      <c r="I8866" t="s">
        <v>34775</v>
      </c>
      <c r="L8866">
        <v>0</v>
      </c>
      <c r="M8866">
        <v>0</v>
      </c>
      <c r="N8866">
        <v>0</v>
      </c>
      <c r="O8866" t="s">
        <v>18896</v>
      </c>
    </row>
    <row r="8867" spans="1:15">
      <c r="A8867" t="s">
        <v>34776</v>
      </c>
      <c r="B8867" t="s">
        <v>28550</v>
      </c>
      <c r="C8867" t="s">
        <v>28549</v>
      </c>
      <c r="D8867" t="s">
        <v>34777</v>
      </c>
      <c r="E8867" t="b">
        <v>0</v>
      </c>
      <c r="F8867" t="s">
        <v>11610</v>
      </c>
      <c r="L8867">
        <v>0</v>
      </c>
      <c r="M8867">
        <v>0</v>
      </c>
      <c r="N8867">
        <v>0</v>
      </c>
    </row>
    <row r="8868" spans="1:15">
      <c r="A8868" t="s">
        <v>34778</v>
      </c>
      <c r="B8868" t="s">
        <v>6742</v>
      </c>
      <c r="C8868" t="s">
        <v>17809</v>
      </c>
      <c r="D8868" t="s">
        <v>34779</v>
      </c>
      <c r="E8868" t="b">
        <v>0</v>
      </c>
      <c r="F8868" t="s">
        <v>11610</v>
      </c>
      <c r="L8868">
        <v>0</v>
      </c>
      <c r="M8868">
        <v>0</v>
      </c>
      <c r="N8868">
        <v>0</v>
      </c>
    </row>
    <row r="8869" spans="1:15">
      <c r="A8869" t="s">
        <v>34780</v>
      </c>
      <c r="B8869" t="s">
        <v>6742</v>
      </c>
      <c r="C8869" t="s">
        <v>18297</v>
      </c>
      <c r="D8869" t="s">
        <v>34781</v>
      </c>
      <c r="E8869" t="b">
        <v>0</v>
      </c>
      <c r="F8869" t="s">
        <v>11624</v>
      </c>
      <c r="G8869">
        <v>1.5985499999999999</v>
      </c>
      <c r="H8869">
        <v>27.018599999999999</v>
      </c>
      <c r="I8869" t="s">
        <v>34782</v>
      </c>
      <c r="L8869">
        <v>0</v>
      </c>
      <c r="M8869">
        <v>0</v>
      </c>
      <c r="N8869">
        <v>0</v>
      </c>
      <c r="O8869" t="s">
        <v>14825</v>
      </c>
    </row>
    <row r="8870" spans="1:15">
      <c r="A8870" t="s">
        <v>19375</v>
      </c>
      <c r="B8870" t="s">
        <v>6742</v>
      </c>
      <c r="C8870" t="s">
        <v>34783</v>
      </c>
      <c r="D8870" t="s">
        <v>34784</v>
      </c>
      <c r="E8870" t="b">
        <v>0</v>
      </c>
      <c r="F8870" t="s">
        <v>11624</v>
      </c>
      <c r="G8870">
        <v>3.4763299999999999</v>
      </c>
      <c r="H8870">
        <v>24.8202</v>
      </c>
      <c r="I8870" t="s">
        <v>34785</v>
      </c>
      <c r="L8870">
        <v>0</v>
      </c>
      <c r="M8870">
        <v>0</v>
      </c>
      <c r="N8870">
        <v>2</v>
      </c>
      <c r="O8870" t="s">
        <v>14825</v>
      </c>
    </row>
    <row r="8871" spans="1:15">
      <c r="A8871" t="s">
        <v>34786</v>
      </c>
      <c r="B8871" t="s">
        <v>6742</v>
      </c>
      <c r="C8871" t="s">
        <v>20319</v>
      </c>
      <c r="D8871" t="s">
        <v>34787</v>
      </c>
      <c r="E8871" t="b">
        <v>0</v>
      </c>
      <c r="F8871" t="s">
        <v>11610</v>
      </c>
      <c r="L8871">
        <v>0</v>
      </c>
      <c r="M8871">
        <v>0</v>
      </c>
      <c r="N8871">
        <v>0</v>
      </c>
    </row>
    <row r="8872" spans="1:15">
      <c r="A8872" t="s">
        <v>11869</v>
      </c>
      <c r="B8872" t="s">
        <v>11868</v>
      </c>
      <c r="C8872" t="s">
        <v>34788</v>
      </c>
      <c r="D8872" t="s">
        <v>34789</v>
      </c>
      <c r="E8872" t="b">
        <v>0</v>
      </c>
      <c r="F8872" t="s">
        <v>11624</v>
      </c>
      <c r="G8872">
        <v>11.0174</v>
      </c>
      <c r="H8872">
        <v>29.346299999999999</v>
      </c>
      <c r="I8872" t="s">
        <v>34790</v>
      </c>
      <c r="L8872">
        <v>0</v>
      </c>
      <c r="M8872">
        <v>0</v>
      </c>
      <c r="N8872">
        <v>5</v>
      </c>
      <c r="O8872" t="s">
        <v>11910</v>
      </c>
    </row>
    <row r="8873" spans="1:15">
      <c r="A8873" t="s">
        <v>34791</v>
      </c>
      <c r="B8873" t="s">
        <v>367</v>
      </c>
      <c r="C8873" t="s">
        <v>34792</v>
      </c>
      <c r="D8873" t="s">
        <v>34793</v>
      </c>
      <c r="E8873" t="b">
        <v>0</v>
      </c>
      <c r="F8873" t="s">
        <v>11624</v>
      </c>
      <c r="G8873">
        <v>-7.9833499999999997</v>
      </c>
      <c r="H8873">
        <v>112.968</v>
      </c>
      <c r="I8873" t="s">
        <v>34794</v>
      </c>
      <c r="L8873">
        <v>0</v>
      </c>
      <c r="M8873">
        <v>0</v>
      </c>
      <c r="N8873">
        <v>0</v>
      </c>
      <c r="O8873" t="s">
        <v>11768</v>
      </c>
    </row>
    <row r="8874" spans="1:15">
      <c r="A8874" t="s">
        <v>34795</v>
      </c>
      <c r="B8874" t="s">
        <v>11615</v>
      </c>
      <c r="C8874" t="s">
        <v>34796</v>
      </c>
      <c r="D8874" t="s">
        <v>34797</v>
      </c>
      <c r="E8874" t="b">
        <v>0</v>
      </c>
      <c r="F8874" t="s">
        <v>11610</v>
      </c>
      <c r="L8874">
        <v>0</v>
      </c>
      <c r="M8874">
        <v>0</v>
      </c>
      <c r="N8874">
        <v>0</v>
      </c>
    </row>
    <row r="8875" spans="1:15">
      <c r="A8875" t="s">
        <v>34798</v>
      </c>
      <c r="B8875" t="s">
        <v>11871</v>
      </c>
      <c r="C8875" t="s">
        <v>34799</v>
      </c>
      <c r="D8875" t="s">
        <v>34800</v>
      </c>
      <c r="E8875" t="b">
        <v>0</v>
      </c>
      <c r="F8875" t="s">
        <v>11624</v>
      </c>
      <c r="G8875">
        <v>-4.4153000000000002</v>
      </c>
      <c r="H8875">
        <v>144.816</v>
      </c>
      <c r="I8875" t="s">
        <v>34801</v>
      </c>
      <c r="L8875">
        <v>0</v>
      </c>
      <c r="M8875">
        <v>0</v>
      </c>
      <c r="N8875">
        <v>0</v>
      </c>
      <c r="O8875" t="s">
        <v>11660</v>
      </c>
    </row>
    <row r="8876" spans="1:15">
      <c r="A8876" t="s">
        <v>22228</v>
      </c>
      <c r="B8876" t="s">
        <v>11637</v>
      </c>
      <c r="C8876" t="s">
        <v>31159</v>
      </c>
      <c r="D8876" t="s">
        <v>34802</v>
      </c>
      <c r="E8876" t="b">
        <v>0</v>
      </c>
      <c r="F8876" t="s">
        <v>11622</v>
      </c>
      <c r="L8876">
        <v>3</v>
      </c>
      <c r="M8876">
        <v>9</v>
      </c>
      <c r="N8876">
        <v>15</v>
      </c>
    </row>
    <row r="8877" spans="1:15">
      <c r="A8877" t="s">
        <v>34803</v>
      </c>
      <c r="B8877" t="s">
        <v>11637</v>
      </c>
      <c r="C8877" t="s">
        <v>34804</v>
      </c>
      <c r="D8877" t="s">
        <v>34805</v>
      </c>
      <c r="E8877" t="b">
        <v>0</v>
      </c>
      <c r="F8877" t="s">
        <v>11610</v>
      </c>
      <c r="L8877">
        <v>0</v>
      </c>
      <c r="M8877">
        <v>0</v>
      </c>
      <c r="N8877">
        <v>0</v>
      </c>
    </row>
    <row r="8878" spans="1:15">
      <c r="A8878" t="s">
        <v>34806</v>
      </c>
      <c r="B8878" t="s">
        <v>11844</v>
      </c>
      <c r="C8878" t="s">
        <v>13088</v>
      </c>
      <c r="D8878" t="s">
        <v>34807</v>
      </c>
      <c r="E8878" t="b">
        <v>0</v>
      </c>
      <c r="F8878" t="s">
        <v>11624</v>
      </c>
      <c r="G8878">
        <v>8.44163</v>
      </c>
      <c r="H8878">
        <v>77.246499999999997</v>
      </c>
      <c r="I8878" t="s">
        <v>34808</v>
      </c>
      <c r="L8878">
        <v>0</v>
      </c>
      <c r="M8878">
        <v>0</v>
      </c>
      <c r="N8878">
        <v>0</v>
      </c>
      <c r="O8878" t="s">
        <v>11630</v>
      </c>
    </row>
    <row r="8879" spans="1:15">
      <c r="A8879" t="s">
        <v>34809</v>
      </c>
      <c r="B8879" t="s">
        <v>10597</v>
      </c>
      <c r="C8879" t="s">
        <v>18418</v>
      </c>
      <c r="D8879" t="s">
        <v>34810</v>
      </c>
      <c r="E8879" t="b">
        <v>0</v>
      </c>
      <c r="F8879" t="s">
        <v>11610</v>
      </c>
      <c r="L8879">
        <v>0</v>
      </c>
      <c r="M8879">
        <v>0</v>
      </c>
      <c r="N8879">
        <v>0</v>
      </c>
    </row>
    <row r="8880" spans="1:15">
      <c r="A8880" t="s">
        <v>34811</v>
      </c>
      <c r="B8880" t="s">
        <v>6742</v>
      </c>
      <c r="C8880" t="s">
        <v>34812</v>
      </c>
      <c r="D8880" t="s">
        <v>34813</v>
      </c>
      <c r="E8880" t="b">
        <v>0</v>
      </c>
      <c r="F8880" t="s">
        <v>11624</v>
      </c>
      <c r="G8880">
        <v>9.5250000000000004</v>
      </c>
      <c r="H8880">
        <v>8.3764400000000006</v>
      </c>
      <c r="I8880" t="s">
        <v>34814</v>
      </c>
      <c r="L8880">
        <v>0</v>
      </c>
      <c r="M8880">
        <v>0</v>
      </c>
      <c r="N8880">
        <v>2</v>
      </c>
      <c r="O8880" t="s">
        <v>11693</v>
      </c>
    </row>
    <row r="8881" spans="1:15">
      <c r="A8881" t="s">
        <v>34815</v>
      </c>
      <c r="B8881" t="s">
        <v>6742</v>
      </c>
      <c r="C8881" t="s">
        <v>34811</v>
      </c>
      <c r="D8881" t="s">
        <v>34816</v>
      </c>
      <c r="E8881" t="b">
        <v>0</v>
      </c>
      <c r="F8881" t="s">
        <v>11610</v>
      </c>
      <c r="L8881">
        <v>0</v>
      </c>
      <c r="M8881">
        <v>0</v>
      </c>
      <c r="N8881">
        <v>0</v>
      </c>
    </row>
    <row r="8882" spans="1:15">
      <c r="A8882" t="s">
        <v>34817</v>
      </c>
      <c r="B8882" t="s">
        <v>6742</v>
      </c>
      <c r="C8882" t="s">
        <v>34818</v>
      </c>
      <c r="D8882" t="s">
        <v>34819</v>
      </c>
      <c r="E8882" t="b">
        <v>0</v>
      </c>
      <c r="F8882" t="s">
        <v>11624</v>
      </c>
      <c r="G8882">
        <v>-1.71316</v>
      </c>
      <c r="H8882">
        <v>13.6111</v>
      </c>
      <c r="I8882" t="s">
        <v>34820</v>
      </c>
      <c r="L8882">
        <v>0</v>
      </c>
      <c r="M8882">
        <v>0</v>
      </c>
      <c r="N8882">
        <v>0</v>
      </c>
      <c r="O8882" t="s">
        <v>16915</v>
      </c>
    </row>
    <row r="8883" spans="1:15">
      <c r="A8883" t="s">
        <v>34821</v>
      </c>
      <c r="B8883" t="s">
        <v>13276</v>
      </c>
      <c r="C8883" t="s">
        <v>34822</v>
      </c>
      <c r="D8883" t="s">
        <v>34823</v>
      </c>
      <c r="E8883" t="b">
        <v>0</v>
      </c>
      <c r="F8883" t="s">
        <v>11610</v>
      </c>
      <c r="L8883">
        <v>0</v>
      </c>
      <c r="M8883">
        <v>0</v>
      </c>
      <c r="N8883">
        <v>0</v>
      </c>
    </row>
    <row r="8884" spans="1:15">
      <c r="A8884" t="s">
        <v>34824</v>
      </c>
      <c r="B8884" t="s">
        <v>367</v>
      </c>
      <c r="C8884" t="s">
        <v>14452</v>
      </c>
      <c r="D8884" t="s">
        <v>34825</v>
      </c>
      <c r="E8884" t="b">
        <v>0</v>
      </c>
      <c r="F8884" t="s">
        <v>11624</v>
      </c>
      <c r="G8884">
        <v>-9.2314799999999995</v>
      </c>
      <c r="H8884">
        <v>150.25299999999999</v>
      </c>
      <c r="I8884" t="s">
        <v>34826</v>
      </c>
      <c r="L8884">
        <v>0</v>
      </c>
      <c r="M8884">
        <v>0</v>
      </c>
      <c r="N8884">
        <v>0</v>
      </c>
      <c r="O8884" t="s">
        <v>11660</v>
      </c>
    </row>
    <row r="8885" spans="1:15">
      <c r="A8885" t="s">
        <v>34827</v>
      </c>
      <c r="B8885" t="s">
        <v>367</v>
      </c>
      <c r="C8885" t="s">
        <v>13656</v>
      </c>
      <c r="D8885" t="s">
        <v>34828</v>
      </c>
      <c r="E8885" t="b">
        <v>0</v>
      </c>
      <c r="F8885" t="s">
        <v>11624</v>
      </c>
      <c r="G8885">
        <v>-1.5177700000000001</v>
      </c>
      <c r="H8885">
        <v>145.08600000000001</v>
      </c>
      <c r="I8885" t="s">
        <v>34829</v>
      </c>
      <c r="L8885">
        <v>0</v>
      </c>
      <c r="M8885">
        <v>0</v>
      </c>
      <c r="N8885">
        <v>0</v>
      </c>
      <c r="O8885" t="s">
        <v>11660</v>
      </c>
    </row>
    <row r="8886" spans="1:15">
      <c r="A8886" t="s">
        <v>34830</v>
      </c>
      <c r="B8886" t="s">
        <v>367</v>
      </c>
      <c r="C8886" t="s">
        <v>13656</v>
      </c>
      <c r="D8886" t="s">
        <v>34831</v>
      </c>
      <c r="E8886" t="b">
        <v>0</v>
      </c>
      <c r="F8886" t="s">
        <v>11624</v>
      </c>
      <c r="G8886">
        <v>-0.89261100000000004</v>
      </c>
      <c r="H8886">
        <v>145.54379399999999</v>
      </c>
      <c r="L8886">
        <v>0</v>
      </c>
      <c r="M8886">
        <v>0</v>
      </c>
      <c r="N8886">
        <v>0</v>
      </c>
      <c r="O8886" t="s">
        <v>11660</v>
      </c>
    </row>
    <row r="8887" spans="1:15">
      <c r="A8887" t="s">
        <v>34832</v>
      </c>
      <c r="B8887" t="s">
        <v>367</v>
      </c>
      <c r="C8887" t="s">
        <v>30853</v>
      </c>
      <c r="D8887" t="s">
        <v>34833</v>
      </c>
      <c r="E8887" t="b">
        <v>0</v>
      </c>
      <c r="F8887" t="s">
        <v>11610</v>
      </c>
      <c r="L8887">
        <v>0</v>
      </c>
      <c r="M8887">
        <v>0</v>
      </c>
      <c r="N8887">
        <v>0</v>
      </c>
    </row>
    <row r="8888" spans="1:15">
      <c r="A8888" t="s">
        <v>34834</v>
      </c>
      <c r="B8888" t="s">
        <v>11705</v>
      </c>
      <c r="C8888" t="s">
        <v>12925</v>
      </c>
      <c r="D8888" t="s">
        <v>34835</v>
      </c>
      <c r="E8888" t="b">
        <v>0</v>
      </c>
      <c r="F8888" t="s">
        <v>11624</v>
      </c>
      <c r="G8888">
        <v>-4.49681</v>
      </c>
      <c r="H8888">
        <v>143.19200000000001</v>
      </c>
      <c r="I8888" t="s">
        <v>34836</v>
      </c>
      <c r="L8888">
        <v>0</v>
      </c>
      <c r="M8888">
        <v>0</v>
      </c>
      <c r="N8888">
        <v>0</v>
      </c>
      <c r="O8888" t="s">
        <v>11660</v>
      </c>
    </row>
    <row r="8889" spans="1:15">
      <c r="A8889" t="s">
        <v>34837</v>
      </c>
      <c r="B8889" t="s">
        <v>11615</v>
      </c>
      <c r="C8889" t="s">
        <v>32489</v>
      </c>
      <c r="D8889" t="s">
        <v>34838</v>
      </c>
      <c r="E8889" t="b">
        <v>0</v>
      </c>
      <c r="F8889" t="s">
        <v>11624</v>
      </c>
      <c r="G8889">
        <v>-6.3884100000000004</v>
      </c>
      <c r="H8889">
        <v>145.55600000000001</v>
      </c>
      <c r="I8889" t="s">
        <v>34839</v>
      </c>
      <c r="L8889">
        <v>0</v>
      </c>
      <c r="M8889">
        <v>0</v>
      </c>
      <c r="N8889">
        <v>0</v>
      </c>
      <c r="O8889" t="s">
        <v>11660</v>
      </c>
    </row>
    <row r="8890" spans="1:15">
      <c r="A8890" t="s">
        <v>34840</v>
      </c>
      <c r="B8890" t="s">
        <v>11637</v>
      </c>
      <c r="C8890" t="s">
        <v>15874</v>
      </c>
      <c r="D8890" t="s">
        <v>34841</v>
      </c>
      <c r="E8890" t="b">
        <v>0</v>
      </c>
      <c r="F8890" t="s">
        <v>11624</v>
      </c>
      <c r="G8890">
        <v>25.6999</v>
      </c>
      <c r="H8890">
        <v>74.735500000000002</v>
      </c>
      <c r="I8890" t="s">
        <v>34842</v>
      </c>
      <c r="L8890">
        <v>0</v>
      </c>
      <c r="M8890">
        <v>0</v>
      </c>
      <c r="N8890">
        <v>1</v>
      </c>
      <c r="O8890" t="s">
        <v>11630</v>
      </c>
    </row>
    <row r="8891" spans="1:15">
      <c r="A8891" t="s">
        <v>34843</v>
      </c>
      <c r="B8891" t="s">
        <v>10597</v>
      </c>
      <c r="C8891" t="s">
        <v>34844</v>
      </c>
      <c r="D8891" t="s">
        <v>34845</v>
      </c>
      <c r="E8891" t="b">
        <v>0</v>
      </c>
      <c r="F8891" t="s">
        <v>11624</v>
      </c>
      <c r="G8891">
        <v>-13.324299999999999</v>
      </c>
      <c r="H8891">
        <v>142.893</v>
      </c>
      <c r="I8891" t="s">
        <v>34846</v>
      </c>
      <c r="L8891">
        <v>0</v>
      </c>
      <c r="M8891">
        <v>0</v>
      </c>
      <c r="N8891">
        <v>0</v>
      </c>
      <c r="O8891" t="s">
        <v>12107</v>
      </c>
    </row>
    <row r="8892" spans="1:15">
      <c r="A8892" t="s">
        <v>22918</v>
      </c>
      <c r="B8892" t="s">
        <v>5911</v>
      </c>
      <c r="C8892" t="s">
        <v>22830</v>
      </c>
      <c r="D8892" t="s">
        <v>34847</v>
      </c>
      <c r="E8892" t="b">
        <v>0</v>
      </c>
      <c r="F8892" t="s">
        <v>11622</v>
      </c>
      <c r="L8892">
        <v>3</v>
      </c>
      <c r="M8892">
        <v>6</v>
      </c>
      <c r="N8892">
        <v>2</v>
      </c>
    </row>
    <row r="8893" spans="1:15">
      <c r="A8893" t="s">
        <v>34848</v>
      </c>
      <c r="B8893" t="s">
        <v>5911</v>
      </c>
      <c r="C8893" t="s">
        <v>22918</v>
      </c>
      <c r="D8893" t="s">
        <v>34849</v>
      </c>
      <c r="E8893" t="b">
        <v>0</v>
      </c>
      <c r="F8893" t="s">
        <v>11622</v>
      </c>
      <c r="L8893">
        <v>1</v>
      </c>
      <c r="M8893">
        <v>4</v>
      </c>
      <c r="N8893">
        <v>2</v>
      </c>
    </row>
    <row r="8894" spans="1:15">
      <c r="A8894" t="s">
        <v>34850</v>
      </c>
      <c r="B8894" t="s">
        <v>5911</v>
      </c>
      <c r="C8894" t="s">
        <v>34848</v>
      </c>
      <c r="D8894" t="s">
        <v>34851</v>
      </c>
      <c r="E8894" t="b">
        <v>0</v>
      </c>
      <c r="F8894" t="s">
        <v>11622</v>
      </c>
      <c r="L8894">
        <v>0</v>
      </c>
      <c r="M8894">
        <v>3</v>
      </c>
      <c r="N8894">
        <v>0</v>
      </c>
    </row>
    <row r="8895" spans="1:15">
      <c r="A8895" t="s">
        <v>16171</v>
      </c>
      <c r="B8895" t="s">
        <v>367</v>
      </c>
      <c r="C8895" t="s">
        <v>34852</v>
      </c>
      <c r="D8895" t="s">
        <v>34853</v>
      </c>
      <c r="E8895" t="b">
        <v>0</v>
      </c>
      <c r="F8895" t="s">
        <v>11624</v>
      </c>
      <c r="G8895">
        <v>16.854800000000001</v>
      </c>
      <c r="H8895">
        <v>120.68899999999999</v>
      </c>
      <c r="I8895" t="s">
        <v>34854</v>
      </c>
      <c r="L8895">
        <v>0</v>
      </c>
      <c r="M8895">
        <v>0</v>
      </c>
      <c r="N8895">
        <v>4</v>
      </c>
      <c r="O8895" t="s">
        <v>11749</v>
      </c>
    </row>
    <row r="8896" spans="1:15">
      <c r="A8896" t="s">
        <v>34855</v>
      </c>
      <c r="B8896" t="s">
        <v>6455</v>
      </c>
      <c r="C8896" t="s">
        <v>26406</v>
      </c>
      <c r="D8896" t="s">
        <v>34856</v>
      </c>
      <c r="E8896" t="b">
        <v>0</v>
      </c>
      <c r="F8896" t="s">
        <v>11624</v>
      </c>
      <c r="G8896">
        <v>10.750207</v>
      </c>
      <c r="H8896">
        <v>-73.357544000000004</v>
      </c>
      <c r="L8896">
        <v>0</v>
      </c>
      <c r="M8896">
        <v>0</v>
      </c>
      <c r="N8896">
        <v>0</v>
      </c>
      <c r="O8896" t="s">
        <v>11898</v>
      </c>
    </row>
    <row r="8897" spans="1:15">
      <c r="A8897" t="s">
        <v>34852</v>
      </c>
      <c r="B8897" t="s">
        <v>367</v>
      </c>
      <c r="C8897" t="s">
        <v>19515</v>
      </c>
      <c r="D8897" t="s">
        <v>34857</v>
      </c>
      <c r="E8897" t="b">
        <v>0</v>
      </c>
      <c r="F8897" t="s">
        <v>11622</v>
      </c>
      <c r="L8897">
        <v>1</v>
      </c>
      <c r="M8897">
        <v>3</v>
      </c>
      <c r="N8897">
        <v>4</v>
      </c>
    </row>
    <row r="8898" spans="1:15">
      <c r="A8898" t="s">
        <v>34858</v>
      </c>
      <c r="B8898" t="s">
        <v>11627</v>
      </c>
      <c r="C8898" t="s">
        <v>11627</v>
      </c>
      <c r="D8898" t="s">
        <v>34859</v>
      </c>
      <c r="E8898" t="b">
        <v>1</v>
      </c>
      <c r="F8898" t="s">
        <v>11624</v>
      </c>
      <c r="G8898">
        <v>11.382400000000001</v>
      </c>
      <c r="H8898">
        <v>76.525599999999997</v>
      </c>
      <c r="I8898" t="s">
        <v>34860</v>
      </c>
      <c r="L8898">
        <v>0</v>
      </c>
      <c r="M8898">
        <v>0</v>
      </c>
      <c r="N8898">
        <v>0</v>
      </c>
      <c r="O8898" t="s">
        <v>11630</v>
      </c>
    </row>
    <row r="8899" spans="1:15">
      <c r="A8899" t="s">
        <v>34861</v>
      </c>
      <c r="B8899" t="s">
        <v>11844</v>
      </c>
      <c r="C8899" t="s">
        <v>13179</v>
      </c>
      <c r="D8899" t="s">
        <v>34862</v>
      </c>
      <c r="E8899" t="b">
        <v>0</v>
      </c>
      <c r="F8899" t="s">
        <v>11622</v>
      </c>
      <c r="L8899">
        <v>0</v>
      </c>
      <c r="M8899">
        <v>2</v>
      </c>
      <c r="N8899">
        <v>3</v>
      </c>
    </row>
    <row r="8900" spans="1:15">
      <c r="A8900" t="s">
        <v>34863</v>
      </c>
      <c r="B8900" t="s">
        <v>6742</v>
      </c>
      <c r="C8900" t="s">
        <v>26108</v>
      </c>
      <c r="D8900" t="s">
        <v>34864</v>
      </c>
      <c r="E8900" t="b">
        <v>0</v>
      </c>
      <c r="F8900" t="s">
        <v>11610</v>
      </c>
      <c r="L8900">
        <v>0</v>
      </c>
      <c r="M8900">
        <v>0</v>
      </c>
      <c r="N8900">
        <v>0</v>
      </c>
    </row>
    <row r="8901" spans="1:15">
      <c r="A8901" t="s">
        <v>34865</v>
      </c>
      <c r="B8901" t="s">
        <v>11729</v>
      </c>
      <c r="C8901" t="s">
        <v>17623</v>
      </c>
      <c r="D8901" t="s">
        <v>34866</v>
      </c>
      <c r="E8901" t="b">
        <v>0</v>
      </c>
      <c r="F8901" t="s">
        <v>11610</v>
      </c>
      <c r="L8901">
        <v>0</v>
      </c>
      <c r="M8901">
        <v>0</v>
      </c>
      <c r="N8901">
        <v>0</v>
      </c>
    </row>
    <row r="8902" spans="1:15">
      <c r="A8902" t="s">
        <v>34867</v>
      </c>
      <c r="B8902" t="s">
        <v>14005</v>
      </c>
      <c r="C8902" t="s">
        <v>16250</v>
      </c>
      <c r="D8902" t="s">
        <v>34868</v>
      </c>
      <c r="E8902" t="b">
        <v>0</v>
      </c>
      <c r="F8902" t="s">
        <v>11610</v>
      </c>
      <c r="L8902">
        <v>0</v>
      </c>
      <c r="M8902">
        <v>0</v>
      </c>
      <c r="N8902">
        <v>0</v>
      </c>
    </row>
    <row r="8903" spans="1:15">
      <c r="A8903" t="s">
        <v>13179</v>
      </c>
      <c r="B8903" t="s">
        <v>11844</v>
      </c>
      <c r="C8903" t="s">
        <v>15683</v>
      </c>
      <c r="D8903" t="s">
        <v>34869</v>
      </c>
      <c r="E8903" t="b">
        <v>0</v>
      </c>
      <c r="F8903" t="s">
        <v>11622</v>
      </c>
      <c r="L8903">
        <v>1</v>
      </c>
      <c r="M8903">
        <v>7</v>
      </c>
      <c r="N8903">
        <v>3</v>
      </c>
    </row>
    <row r="8904" spans="1:15">
      <c r="A8904" t="s">
        <v>34870</v>
      </c>
      <c r="B8904" t="s">
        <v>6742</v>
      </c>
      <c r="C8904" t="s">
        <v>17491</v>
      </c>
      <c r="D8904" t="s">
        <v>34871</v>
      </c>
      <c r="E8904" t="b">
        <v>0</v>
      </c>
      <c r="F8904" t="s">
        <v>11610</v>
      </c>
      <c r="L8904">
        <v>0</v>
      </c>
      <c r="M8904">
        <v>0</v>
      </c>
      <c r="N8904">
        <v>0</v>
      </c>
    </row>
    <row r="8905" spans="1:15">
      <c r="A8905" t="s">
        <v>34872</v>
      </c>
      <c r="B8905" t="s">
        <v>367</v>
      </c>
      <c r="C8905" t="s">
        <v>34873</v>
      </c>
      <c r="D8905" t="s">
        <v>34874</v>
      </c>
      <c r="E8905" t="b">
        <v>0</v>
      </c>
      <c r="F8905" t="s">
        <v>11624</v>
      </c>
      <c r="G8905">
        <v>2.0378099999999999</v>
      </c>
      <c r="H8905">
        <v>112.383</v>
      </c>
      <c r="I8905" t="s">
        <v>34875</v>
      </c>
      <c r="L8905">
        <v>0</v>
      </c>
      <c r="M8905">
        <v>0</v>
      </c>
      <c r="N8905">
        <v>0</v>
      </c>
      <c r="O8905" t="s">
        <v>11672</v>
      </c>
    </row>
    <row r="8906" spans="1:15">
      <c r="A8906" t="s">
        <v>34876</v>
      </c>
      <c r="D8906" t="s">
        <v>34877</v>
      </c>
      <c r="E8906" t="b">
        <v>0</v>
      </c>
      <c r="F8906" t="s">
        <v>11624</v>
      </c>
      <c r="G8906">
        <v>-12.178900000000001</v>
      </c>
      <c r="H8906">
        <v>-64.581199999999995</v>
      </c>
      <c r="I8906" t="s">
        <v>34878</v>
      </c>
      <c r="L8906">
        <v>0</v>
      </c>
      <c r="M8906">
        <v>0</v>
      </c>
      <c r="N8906">
        <v>0</v>
      </c>
      <c r="O8906" t="s">
        <v>11969</v>
      </c>
    </row>
    <row r="8907" spans="1:15">
      <c r="A8907" t="s">
        <v>34879</v>
      </c>
      <c r="B8907" t="s">
        <v>11607</v>
      </c>
      <c r="C8907" t="s">
        <v>26428</v>
      </c>
      <c r="D8907" t="s">
        <v>34880</v>
      </c>
      <c r="E8907" t="b">
        <v>0</v>
      </c>
      <c r="F8907" t="s">
        <v>11610</v>
      </c>
      <c r="L8907">
        <v>0</v>
      </c>
      <c r="M8907">
        <v>0</v>
      </c>
      <c r="N8907">
        <v>0</v>
      </c>
    </row>
    <row r="8908" spans="1:15">
      <c r="A8908" t="s">
        <v>34881</v>
      </c>
      <c r="B8908" t="s">
        <v>11644</v>
      </c>
      <c r="C8908" t="s">
        <v>23714</v>
      </c>
      <c r="D8908" t="s">
        <v>34882</v>
      </c>
      <c r="E8908" t="b">
        <v>0</v>
      </c>
      <c r="F8908" t="s">
        <v>11610</v>
      </c>
      <c r="L8908">
        <v>0</v>
      </c>
      <c r="M8908">
        <v>0</v>
      </c>
      <c r="N8908">
        <v>0</v>
      </c>
    </row>
    <row r="8909" spans="1:15">
      <c r="A8909" t="s">
        <v>34883</v>
      </c>
      <c r="B8909" t="s">
        <v>8897</v>
      </c>
      <c r="C8909" t="s">
        <v>34884</v>
      </c>
      <c r="D8909" t="s">
        <v>34885</v>
      </c>
      <c r="E8909" t="b">
        <v>0</v>
      </c>
      <c r="F8909" t="s">
        <v>11624</v>
      </c>
      <c r="G8909">
        <v>36.804400000000001</v>
      </c>
      <c r="H8909">
        <v>-96.857100000000003</v>
      </c>
      <c r="I8909" t="s">
        <v>34886</v>
      </c>
      <c r="L8909">
        <v>0</v>
      </c>
      <c r="M8909">
        <v>0</v>
      </c>
      <c r="N8909">
        <v>0</v>
      </c>
      <c r="O8909" t="s">
        <v>11944</v>
      </c>
    </row>
    <row r="8910" spans="1:15">
      <c r="A8910" t="s">
        <v>34887</v>
      </c>
      <c r="B8910" t="s">
        <v>13360</v>
      </c>
      <c r="C8910" t="s">
        <v>13360</v>
      </c>
      <c r="D8910" t="s">
        <v>34888</v>
      </c>
      <c r="E8910" t="b">
        <v>0</v>
      </c>
      <c r="F8910" t="s">
        <v>11624</v>
      </c>
      <c r="L8910">
        <v>0</v>
      </c>
      <c r="M8910">
        <v>0</v>
      </c>
      <c r="N8910">
        <v>0</v>
      </c>
      <c r="O8910" t="s">
        <v>11969</v>
      </c>
    </row>
    <row r="8911" spans="1:15">
      <c r="A8911" t="s">
        <v>34889</v>
      </c>
      <c r="B8911" t="s">
        <v>6742</v>
      </c>
      <c r="C8911" t="s">
        <v>16200</v>
      </c>
      <c r="D8911" t="s">
        <v>34890</v>
      </c>
      <c r="E8911" t="b">
        <v>0</v>
      </c>
      <c r="F8911" t="s">
        <v>11610</v>
      </c>
      <c r="L8911">
        <v>0</v>
      </c>
      <c r="M8911">
        <v>0</v>
      </c>
      <c r="N8911">
        <v>0</v>
      </c>
    </row>
    <row r="8912" spans="1:15">
      <c r="A8912" t="s">
        <v>34891</v>
      </c>
      <c r="B8912" t="s">
        <v>6742</v>
      </c>
      <c r="C8912" t="s">
        <v>34892</v>
      </c>
      <c r="D8912" t="s">
        <v>34893</v>
      </c>
      <c r="E8912" t="b">
        <v>0</v>
      </c>
      <c r="F8912" t="s">
        <v>11624</v>
      </c>
      <c r="G8912">
        <v>10.9703</v>
      </c>
      <c r="H8912">
        <v>-1.92807</v>
      </c>
      <c r="I8912" t="s">
        <v>34894</v>
      </c>
      <c r="L8912">
        <v>0</v>
      </c>
      <c r="M8912">
        <v>0</v>
      </c>
      <c r="N8912">
        <v>0</v>
      </c>
      <c r="O8912" t="s">
        <v>27727</v>
      </c>
    </row>
    <row r="8913" spans="1:15">
      <c r="A8913" t="s">
        <v>34895</v>
      </c>
      <c r="B8913" t="s">
        <v>367</v>
      </c>
      <c r="C8913" t="s">
        <v>16493</v>
      </c>
      <c r="D8913" t="s">
        <v>34896</v>
      </c>
      <c r="E8913" t="b">
        <v>0</v>
      </c>
      <c r="F8913" t="s">
        <v>11610</v>
      </c>
      <c r="L8913">
        <v>0</v>
      </c>
      <c r="M8913">
        <v>0</v>
      </c>
      <c r="N8913">
        <v>0</v>
      </c>
    </row>
    <row r="8914" spans="1:15">
      <c r="A8914" t="s">
        <v>26319</v>
      </c>
      <c r="B8914" t="s">
        <v>4342</v>
      </c>
      <c r="C8914" t="s">
        <v>26317</v>
      </c>
      <c r="D8914" t="s">
        <v>34897</v>
      </c>
      <c r="E8914" t="b">
        <v>0</v>
      </c>
      <c r="F8914" t="s">
        <v>11610</v>
      </c>
      <c r="L8914">
        <v>0</v>
      </c>
      <c r="M8914">
        <v>0</v>
      </c>
      <c r="N8914">
        <v>13</v>
      </c>
    </row>
    <row r="8915" spans="1:15">
      <c r="A8915" t="s">
        <v>34898</v>
      </c>
      <c r="B8915" t="s">
        <v>6742</v>
      </c>
      <c r="C8915" t="s">
        <v>34812</v>
      </c>
      <c r="D8915" t="s">
        <v>34899</v>
      </c>
      <c r="E8915" t="b">
        <v>0</v>
      </c>
      <c r="F8915" t="s">
        <v>11624</v>
      </c>
      <c r="G8915">
        <v>9.5500000000000007</v>
      </c>
      <c r="H8915">
        <v>8.6</v>
      </c>
      <c r="I8915" t="s">
        <v>34900</v>
      </c>
      <c r="L8915">
        <v>0</v>
      </c>
      <c r="M8915">
        <v>0</v>
      </c>
      <c r="N8915">
        <v>0</v>
      </c>
      <c r="O8915" t="s">
        <v>11693</v>
      </c>
    </row>
    <row r="8916" spans="1:15">
      <c r="A8916" t="s">
        <v>34901</v>
      </c>
      <c r="B8916" t="s">
        <v>6742</v>
      </c>
      <c r="C8916" t="s">
        <v>34902</v>
      </c>
      <c r="D8916" t="s">
        <v>34903</v>
      </c>
      <c r="E8916" t="b">
        <v>0</v>
      </c>
      <c r="F8916" t="s">
        <v>11624</v>
      </c>
      <c r="G8916">
        <v>-1.82559</v>
      </c>
      <c r="H8916">
        <v>28.101700000000001</v>
      </c>
      <c r="I8916" t="s">
        <v>34904</v>
      </c>
      <c r="L8916">
        <v>0</v>
      </c>
      <c r="M8916">
        <v>0</v>
      </c>
      <c r="N8916">
        <v>0</v>
      </c>
      <c r="O8916" t="s">
        <v>14825</v>
      </c>
    </row>
    <row r="8917" spans="1:15">
      <c r="A8917" t="s">
        <v>34766</v>
      </c>
      <c r="B8917" t="s">
        <v>13967</v>
      </c>
      <c r="C8917" t="s">
        <v>34905</v>
      </c>
      <c r="D8917" t="s">
        <v>34906</v>
      </c>
      <c r="E8917" t="b">
        <v>0</v>
      </c>
      <c r="F8917" t="s">
        <v>11622</v>
      </c>
      <c r="L8917">
        <v>3</v>
      </c>
      <c r="M8917">
        <v>6</v>
      </c>
      <c r="N8917">
        <v>24</v>
      </c>
    </row>
    <row r="8918" spans="1:15">
      <c r="A8918" t="s">
        <v>34907</v>
      </c>
      <c r="B8918" t="s">
        <v>14005</v>
      </c>
      <c r="C8918" t="s">
        <v>14005</v>
      </c>
      <c r="D8918" t="s">
        <v>34908</v>
      </c>
      <c r="E8918" t="b">
        <v>0</v>
      </c>
      <c r="F8918" t="s">
        <v>11622</v>
      </c>
      <c r="L8918">
        <v>2</v>
      </c>
      <c r="M8918">
        <v>4</v>
      </c>
      <c r="N8918">
        <v>6</v>
      </c>
    </row>
    <row r="8919" spans="1:15">
      <c r="A8919" t="s">
        <v>21520</v>
      </c>
      <c r="B8919" t="s">
        <v>13967</v>
      </c>
      <c r="C8919" t="s">
        <v>34766</v>
      </c>
      <c r="D8919" t="s">
        <v>34909</v>
      </c>
      <c r="E8919" t="b">
        <v>0</v>
      </c>
      <c r="F8919" t="s">
        <v>11622</v>
      </c>
      <c r="L8919">
        <v>1</v>
      </c>
      <c r="M8919">
        <v>3</v>
      </c>
      <c r="N8919">
        <v>18</v>
      </c>
    </row>
    <row r="8920" spans="1:15">
      <c r="A8920" t="s">
        <v>34812</v>
      </c>
      <c r="B8920" t="s">
        <v>6742</v>
      </c>
      <c r="C8920" t="s">
        <v>15522</v>
      </c>
      <c r="D8920" t="s">
        <v>34910</v>
      </c>
      <c r="E8920" t="b">
        <v>0</v>
      </c>
      <c r="F8920" t="s">
        <v>11622</v>
      </c>
      <c r="L8920">
        <v>0</v>
      </c>
      <c r="M8920">
        <v>2</v>
      </c>
      <c r="N8920">
        <v>2</v>
      </c>
    </row>
    <row r="8921" spans="1:15">
      <c r="A8921" t="s">
        <v>17610</v>
      </c>
      <c r="B8921" t="s">
        <v>10597</v>
      </c>
      <c r="C8921" t="s">
        <v>34911</v>
      </c>
      <c r="D8921" t="s">
        <v>34912</v>
      </c>
      <c r="E8921" t="b">
        <v>0</v>
      </c>
      <c r="F8921" t="s">
        <v>11622</v>
      </c>
      <c r="L8921">
        <v>1</v>
      </c>
      <c r="M8921">
        <v>4</v>
      </c>
      <c r="N8921">
        <v>0</v>
      </c>
    </row>
    <row r="8922" spans="1:15">
      <c r="A8922" t="s">
        <v>7113</v>
      </c>
      <c r="B8922" t="s">
        <v>6742</v>
      </c>
      <c r="C8922" t="s">
        <v>16699</v>
      </c>
      <c r="D8922" t="s">
        <v>34913</v>
      </c>
      <c r="E8922" t="b">
        <v>0</v>
      </c>
      <c r="F8922" t="s">
        <v>11624</v>
      </c>
      <c r="G8922">
        <v>-7.3187800000000003</v>
      </c>
      <c r="H8922">
        <v>23.613</v>
      </c>
      <c r="I8922" t="s">
        <v>7114</v>
      </c>
      <c r="L8922">
        <v>0</v>
      </c>
      <c r="M8922">
        <v>0</v>
      </c>
      <c r="N8922">
        <v>0</v>
      </c>
      <c r="O8922" t="s">
        <v>14825</v>
      </c>
    </row>
    <row r="8923" spans="1:15">
      <c r="A8923" t="s">
        <v>34914</v>
      </c>
      <c r="B8923" t="s">
        <v>11981</v>
      </c>
      <c r="C8923" t="s">
        <v>34915</v>
      </c>
      <c r="D8923" t="s">
        <v>34916</v>
      </c>
      <c r="E8923" t="b">
        <v>0</v>
      </c>
      <c r="F8923" t="s">
        <v>11610</v>
      </c>
      <c r="L8923">
        <v>0</v>
      </c>
      <c r="M8923">
        <v>0</v>
      </c>
      <c r="N8923">
        <v>0</v>
      </c>
    </row>
    <row r="8924" spans="1:15">
      <c r="A8924" t="s">
        <v>34917</v>
      </c>
      <c r="B8924" t="s">
        <v>11644</v>
      </c>
      <c r="C8924" t="s">
        <v>16039</v>
      </c>
      <c r="D8924" t="s">
        <v>34918</v>
      </c>
      <c r="E8924" t="b">
        <v>0</v>
      </c>
      <c r="F8924" t="s">
        <v>11610</v>
      </c>
      <c r="L8924">
        <v>0</v>
      </c>
      <c r="M8924">
        <v>0</v>
      </c>
      <c r="N8924">
        <v>0</v>
      </c>
    </row>
    <row r="8925" spans="1:15">
      <c r="A8925" t="s">
        <v>34919</v>
      </c>
      <c r="B8925" t="s">
        <v>6742</v>
      </c>
      <c r="C8925" t="s">
        <v>34920</v>
      </c>
      <c r="D8925" t="s">
        <v>34921</v>
      </c>
      <c r="E8925" t="b">
        <v>0</v>
      </c>
      <c r="F8925" t="s">
        <v>11624</v>
      </c>
      <c r="G8925">
        <v>-12.4129</v>
      </c>
      <c r="H8925">
        <v>25.764600000000002</v>
      </c>
      <c r="I8925" t="s">
        <v>34922</v>
      </c>
      <c r="L8925">
        <v>0</v>
      </c>
      <c r="M8925">
        <v>0</v>
      </c>
      <c r="N8925">
        <v>0</v>
      </c>
      <c r="O8925" t="s">
        <v>15167</v>
      </c>
    </row>
    <row r="8926" spans="1:15">
      <c r="A8926" t="s">
        <v>34920</v>
      </c>
      <c r="B8926" t="s">
        <v>6742</v>
      </c>
      <c r="C8926" t="s">
        <v>34923</v>
      </c>
      <c r="D8926" t="s">
        <v>34924</v>
      </c>
      <c r="E8926" t="b">
        <v>0</v>
      </c>
      <c r="F8926" t="s">
        <v>11622</v>
      </c>
      <c r="L8926">
        <v>0</v>
      </c>
      <c r="M8926">
        <v>3</v>
      </c>
      <c r="N8926">
        <v>0</v>
      </c>
    </row>
    <row r="8927" spans="1:15">
      <c r="A8927" t="s">
        <v>34925</v>
      </c>
      <c r="B8927" t="s">
        <v>12133</v>
      </c>
      <c r="C8927" t="s">
        <v>34926</v>
      </c>
      <c r="D8927" t="s">
        <v>34927</v>
      </c>
      <c r="E8927" t="b">
        <v>0</v>
      </c>
      <c r="F8927" t="s">
        <v>11624</v>
      </c>
      <c r="G8927">
        <v>1.1665399999999999</v>
      </c>
      <c r="H8927">
        <v>127.84699999999999</v>
      </c>
      <c r="I8927" t="s">
        <v>34928</v>
      </c>
      <c r="L8927">
        <v>0</v>
      </c>
      <c r="M8927">
        <v>0</v>
      </c>
      <c r="N8927">
        <v>0</v>
      </c>
      <c r="O8927" t="s">
        <v>11768</v>
      </c>
    </row>
    <row r="8928" spans="1:15">
      <c r="A8928" t="s">
        <v>34929</v>
      </c>
      <c r="B8928" t="s">
        <v>6742</v>
      </c>
      <c r="C8928" t="s">
        <v>34930</v>
      </c>
      <c r="D8928" t="s">
        <v>34931</v>
      </c>
      <c r="E8928" t="b">
        <v>0</v>
      </c>
      <c r="F8928" t="s">
        <v>11610</v>
      </c>
      <c r="L8928">
        <v>0</v>
      </c>
      <c r="M8928">
        <v>0</v>
      </c>
      <c r="N8928">
        <v>0</v>
      </c>
    </row>
    <row r="8929" spans="1:15">
      <c r="A8929" t="s">
        <v>34932</v>
      </c>
      <c r="B8929" t="s">
        <v>12133</v>
      </c>
      <c r="C8929" t="s">
        <v>28376</v>
      </c>
      <c r="D8929" t="s">
        <v>34933</v>
      </c>
      <c r="E8929" t="b">
        <v>0</v>
      </c>
      <c r="F8929" t="s">
        <v>11622</v>
      </c>
      <c r="L8929">
        <v>1</v>
      </c>
      <c r="M8929">
        <v>3</v>
      </c>
      <c r="N8929">
        <v>5</v>
      </c>
    </row>
    <row r="8930" spans="1:15">
      <c r="A8930" t="s">
        <v>34934</v>
      </c>
      <c r="B8930" t="s">
        <v>6742</v>
      </c>
      <c r="C8930" t="s">
        <v>29292</v>
      </c>
      <c r="D8930" t="s">
        <v>34935</v>
      </c>
      <c r="E8930" t="b">
        <v>0</v>
      </c>
      <c r="F8930" t="s">
        <v>11610</v>
      </c>
      <c r="L8930">
        <v>0</v>
      </c>
      <c r="M8930">
        <v>0</v>
      </c>
      <c r="N8930">
        <v>0</v>
      </c>
    </row>
    <row r="8931" spans="1:15">
      <c r="A8931" t="s">
        <v>30679</v>
      </c>
      <c r="B8931" t="s">
        <v>12487</v>
      </c>
      <c r="C8931" t="s">
        <v>17180</v>
      </c>
      <c r="D8931" t="s">
        <v>34936</v>
      </c>
      <c r="E8931" t="b">
        <v>0</v>
      </c>
      <c r="F8931" t="s">
        <v>11622</v>
      </c>
      <c r="L8931">
        <v>0</v>
      </c>
      <c r="M8931">
        <v>2</v>
      </c>
      <c r="N8931">
        <v>5</v>
      </c>
    </row>
    <row r="8932" spans="1:15">
      <c r="A8932" t="s">
        <v>34937</v>
      </c>
      <c r="B8932" t="s">
        <v>367</v>
      </c>
      <c r="C8932" t="s">
        <v>14606</v>
      </c>
      <c r="D8932" t="s">
        <v>34938</v>
      </c>
      <c r="E8932" t="b">
        <v>0</v>
      </c>
      <c r="F8932" t="s">
        <v>11610</v>
      </c>
      <c r="L8932">
        <v>0</v>
      </c>
      <c r="M8932">
        <v>0</v>
      </c>
      <c r="N8932">
        <v>0</v>
      </c>
    </row>
    <row r="8933" spans="1:15">
      <c r="A8933" t="s">
        <v>34939</v>
      </c>
      <c r="B8933" t="s">
        <v>367</v>
      </c>
      <c r="C8933" t="s">
        <v>16171</v>
      </c>
      <c r="D8933" t="s">
        <v>34940</v>
      </c>
      <c r="E8933" t="b">
        <v>0</v>
      </c>
      <c r="F8933" t="s">
        <v>11610</v>
      </c>
      <c r="L8933">
        <v>0</v>
      </c>
      <c r="M8933">
        <v>0</v>
      </c>
      <c r="N8933">
        <v>0</v>
      </c>
    </row>
    <row r="8934" spans="1:15">
      <c r="A8934" t="s">
        <v>34941</v>
      </c>
      <c r="B8934" t="s">
        <v>367</v>
      </c>
      <c r="C8934" t="s">
        <v>17632</v>
      </c>
      <c r="D8934" t="s">
        <v>34942</v>
      </c>
      <c r="E8934" t="b">
        <v>0</v>
      </c>
      <c r="F8934" t="s">
        <v>11610</v>
      </c>
      <c r="L8934">
        <v>0</v>
      </c>
      <c r="M8934">
        <v>0</v>
      </c>
      <c r="N8934">
        <v>0</v>
      </c>
    </row>
    <row r="8935" spans="1:15">
      <c r="A8935" t="s">
        <v>34943</v>
      </c>
      <c r="B8935" t="s">
        <v>11686</v>
      </c>
      <c r="C8935" t="s">
        <v>11687</v>
      </c>
      <c r="D8935" t="s">
        <v>34944</v>
      </c>
      <c r="E8935" t="b">
        <v>0</v>
      </c>
      <c r="F8935" t="s">
        <v>11610</v>
      </c>
      <c r="L8935">
        <v>0</v>
      </c>
      <c r="M8935">
        <v>0</v>
      </c>
      <c r="N8935">
        <v>0</v>
      </c>
    </row>
    <row r="8936" spans="1:15">
      <c r="A8936" t="s">
        <v>34945</v>
      </c>
      <c r="B8936" t="s">
        <v>13360</v>
      </c>
      <c r="C8936" t="s">
        <v>13360</v>
      </c>
      <c r="D8936" t="s">
        <v>34946</v>
      </c>
      <c r="E8936" t="b">
        <v>0</v>
      </c>
      <c r="F8936" t="s">
        <v>11624</v>
      </c>
      <c r="G8936">
        <v>-8.4999900000000004</v>
      </c>
      <c r="H8936">
        <v>-38.333300000000001</v>
      </c>
      <c r="I8936" t="s">
        <v>34947</v>
      </c>
      <c r="L8936">
        <v>0</v>
      </c>
      <c r="M8936">
        <v>0</v>
      </c>
      <c r="N8936">
        <v>0</v>
      </c>
      <c r="O8936" t="s">
        <v>11969</v>
      </c>
    </row>
    <row r="8937" spans="1:15">
      <c r="A8937" t="s">
        <v>34948</v>
      </c>
      <c r="B8937" t="s">
        <v>367</v>
      </c>
      <c r="C8937" t="s">
        <v>34949</v>
      </c>
      <c r="D8937" t="s">
        <v>34950</v>
      </c>
      <c r="E8937" t="b">
        <v>0</v>
      </c>
      <c r="F8937" t="s">
        <v>11624</v>
      </c>
      <c r="G8937">
        <v>1.039166</v>
      </c>
      <c r="H8937">
        <v>154.797223</v>
      </c>
      <c r="I8937" t="s">
        <v>34951</v>
      </c>
      <c r="L8937">
        <v>0</v>
      </c>
      <c r="M8937">
        <v>0</v>
      </c>
      <c r="N8937">
        <v>0</v>
      </c>
      <c r="O8937" t="s">
        <v>22994</v>
      </c>
    </row>
    <row r="8938" spans="1:15">
      <c r="A8938" t="s">
        <v>28608</v>
      </c>
      <c r="B8938" t="s">
        <v>367</v>
      </c>
      <c r="C8938" t="s">
        <v>19970</v>
      </c>
      <c r="D8938" t="s">
        <v>34952</v>
      </c>
      <c r="E8938" t="b">
        <v>0</v>
      </c>
      <c r="F8938" t="s">
        <v>11624</v>
      </c>
      <c r="G8938">
        <v>-7.0573199999999998</v>
      </c>
      <c r="H8938">
        <v>146.529</v>
      </c>
      <c r="I8938" t="s">
        <v>34953</v>
      </c>
      <c r="L8938">
        <v>0</v>
      </c>
      <c r="M8938">
        <v>0</v>
      </c>
      <c r="N8938">
        <v>2</v>
      </c>
      <c r="O8938" t="s">
        <v>11660</v>
      </c>
    </row>
    <row r="8939" spans="1:15">
      <c r="A8939" t="s">
        <v>34954</v>
      </c>
      <c r="B8939" t="s">
        <v>367</v>
      </c>
      <c r="C8939" t="s">
        <v>34420</v>
      </c>
      <c r="D8939" t="s">
        <v>34955</v>
      </c>
      <c r="E8939" t="b">
        <v>0</v>
      </c>
      <c r="F8939" t="s">
        <v>11610</v>
      </c>
      <c r="L8939">
        <v>0</v>
      </c>
      <c r="M8939">
        <v>0</v>
      </c>
      <c r="N8939">
        <v>0</v>
      </c>
    </row>
    <row r="8940" spans="1:15">
      <c r="A8940" t="s">
        <v>34956</v>
      </c>
      <c r="B8940" t="s">
        <v>11615</v>
      </c>
      <c r="C8940" t="s">
        <v>27216</v>
      </c>
      <c r="D8940" t="s">
        <v>34957</v>
      </c>
      <c r="E8940" t="b">
        <v>0</v>
      </c>
      <c r="F8940" t="s">
        <v>11610</v>
      </c>
      <c r="L8940">
        <v>0</v>
      </c>
      <c r="M8940">
        <v>0</v>
      </c>
      <c r="N8940">
        <v>0</v>
      </c>
    </row>
    <row r="8941" spans="1:15">
      <c r="A8941" t="s">
        <v>34958</v>
      </c>
      <c r="D8941" t="s">
        <v>34959</v>
      </c>
      <c r="E8941" t="b">
        <v>0</v>
      </c>
      <c r="F8941" t="s">
        <v>11624</v>
      </c>
      <c r="G8941">
        <v>-3.5269599999999999</v>
      </c>
      <c r="H8941">
        <v>139.76599999999999</v>
      </c>
      <c r="I8941" t="s">
        <v>34960</v>
      </c>
      <c r="L8941">
        <v>0</v>
      </c>
      <c r="M8941">
        <v>0</v>
      </c>
      <c r="N8941">
        <v>0</v>
      </c>
      <c r="O8941" t="s">
        <v>11768</v>
      </c>
    </row>
    <row r="8942" spans="1:15">
      <c r="A8942" t="s">
        <v>12705</v>
      </c>
      <c r="B8942" t="s">
        <v>8310</v>
      </c>
      <c r="C8942" t="s">
        <v>34961</v>
      </c>
      <c r="D8942" t="s">
        <v>34962</v>
      </c>
      <c r="E8942" t="b">
        <v>0</v>
      </c>
      <c r="F8942" t="s">
        <v>11622</v>
      </c>
      <c r="L8942">
        <v>0</v>
      </c>
      <c r="M8942">
        <v>2</v>
      </c>
      <c r="N8942">
        <v>0</v>
      </c>
    </row>
    <row r="8943" spans="1:15">
      <c r="A8943" t="s">
        <v>34963</v>
      </c>
      <c r="B8943" t="s">
        <v>367</v>
      </c>
      <c r="C8943" t="s">
        <v>13019</v>
      </c>
      <c r="D8943" t="s">
        <v>34964</v>
      </c>
      <c r="E8943" t="b">
        <v>0</v>
      </c>
      <c r="F8943" t="s">
        <v>11610</v>
      </c>
      <c r="L8943">
        <v>0</v>
      </c>
      <c r="M8943">
        <v>0</v>
      </c>
      <c r="N8943">
        <v>0</v>
      </c>
    </row>
    <row r="8944" spans="1:15">
      <c r="A8944" t="s">
        <v>13071</v>
      </c>
      <c r="B8944" t="s">
        <v>367</v>
      </c>
      <c r="C8944" t="s">
        <v>13081</v>
      </c>
      <c r="D8944" t="s">
        <v>34965</v>
      </c>
      <c r="E8944" t="b">
        <v>0</v>
      </c>
      <c r="F8944" t="s">
        <v>11624</v>
      </c>
      <c r="G8944">
        <v>-3.2876099999999999</v>
      </c>
      <c r="H8944">
        <v>142.65899999999999</v>
      </c>
      <c r="I8944" t="s">
        <v>34966</v>
      </c>
      <c r="L8944">
        <v>0</v>
      </c>
      <c r="M8944">
        <v>0</v>
      </c>
      <c r="N8944">
        <v>2</v>
      </c>
      <c r="O8944" t="s">
        <v>11660</v>
      </c>
    </row>
    <row r="8945" spans="1:15">
      <c r="A8945" t="s">
        <v>34967</v>
      </c>
      <c r="B8945" t="s">
        <v>11705</v>
      </c>
      <c r="C8945" t="s">
        <v>18838</v>
      </c>
      <c r="D8945" t="s">
        <v>34968</v>
      </c>
      <c r="E8945" t="b">
        <v>0</v>
      </c>
      <c r="F8945" t="s">
        <v>11622</v>
      </c>
      <c r="L8945">
        <v>0</v>
      </c>
      <c r="M8945">
        <v>2</v>
      </c>
      <c r="N8945">
        <v>2</v>
      </c>
    </row>
    <row r="8946" spans="1:15">
      <c r="A8946" t="s">
        <v>34969</v>
      </c>
      <c r="B8946" t="s">
        <v>11705</v>
      </c>
      <c r="C8946" t="s">
        <v>34967</v>
      </c>
      <c r="D8946" t="s">
        <v>34970</v>
      </c>
      <c r="E8946" t="b">
        <v>0</v>
      </c>
      <c r="F8946" t="s">
        <v>11624</v>
      </c>
      <c r="G8946">
        <v>-4.5101100000000001</v>
      </c>
      <c r="H8946">
        <v>143.24100000000001</v>
      </c>
      <c r="I8946" t="s">
        <v>34971</v>
      </c>
      <c r="L8946">
        <v>0</v>
      </c>
      <c r="M8946">
        <v>0</v>
      </c>
      <c r="N8946">
        <v>2</v>
      </c>
      <c r="O8946" t="s">
        <v>11660</v>
      </c>
    </row>
    <row r="8947" spans="1:15">
      <c r="A8947" t="s">
        <v>34972</v>
      </c>
      <c r="B8947" t="s">
        <v>367</v>
      </c>
      <c r="C8947" t="s">
        <v>14049</v>
      </c>
      <c r="D8947" t="s">
        <v>34973</v>
      </c>
      <c r="E8947" t="b">
        <v>0</v>
      </c>
      <c r="F8947" t="s">
        <v>11624</v>
      </c>
      <c r="G8947">
        <v>-2.3884259999999999</v>
      </c>
      <c r="H8947">
        <v>139.795818</v>
      </c>
      <c r="I8947" t="s">
        <v>34974</v>
      </c>
      <c r="L8947">
        <v>0</v>
      </c>
      <c r="M8947">
        <v>0</v>
      </c>
      <c r="N8947">
        <v>0</v>
      </c>
      <c r="O8947" t="s">
        <v>11768</v>
      </c>
    </row>
    <row r="8948" spans="1:15">
      <c r="A8948" t="s">
        <v>34975</v>
      </c>
      <c r="B8948" t="s">
        <v>11757</v>
      </c>
      <c r="C8948" t="s">
        <v>216</v>
      </c>
      <c r="D8948" t="s">
        <v>34976</v>
      </c>
      <c r="E8948" t="b">
        <v>0</v>
      </c>
      <c r="F8948" t="s">
        <v>11610</v>
      </c>
      <c r="L8948">
        <v>0</v>
      </c>
      <c r="M8948">
        <v>0</v>
      </c>
      <c r="N8948">
        <v>0</v>
      </c>
    </row>
    <row r="8949" spans="1:15">
      <c r="A8949" t="s">
        <v>34977</v>
      </c>
      <c r="B8949" t="s">
        <v>367</v>
      </c>
      <c r="C8949" t="s">
        <v>30536</v>
      </c>
      <c r="D8949" t="s">
        <v>34978</v>
      </c>
      <c r="E8949" t="b">
        <v>0</v>
      </c>
      <c r="F8949" t="s">
        <v>11610</v>
      </c>
      <c r="L8949">
        <v>0</v>
      </c>
      <c r="M8949">
        <v>0</v>
      </c>
      <c r="N8949">
        <v>0</v>
      </c>
    </row>
    <row r="8950" spans="1:15">
      <c r="A8950" t="s">
        <v>34979</v>
      </c>
      <c r="B8950" t="s">
        <v>6742</v>
      </c>
      <c r="C8950" t="s">
        <v>12843</v>
      </c>
      <c r="D8950" t="s">
        <v>34980</v>
      </c>
      <c r="E8950" t="b">
        <v>0</v>
      </c>
      <c r="F8950" t="s">
        <v>11624</v>
      </c>
      <c r="G8950">
        <v>7.0325600000000001</v>
      </c>
      <c r="H8950">
        <v>10.097899999999999</v>
      </c>
      <c r="I8950" t="s">
        <v>34981</v>
      </c>
      <c r="L8950">
        <v>0</v>
      </c>
      <c r="M8950">
        <v>0</v>
      </c>
      <c r="N8950">
        <v>0</v>
      </c>
      <c r="O8950" t="s">
        <v>11802</v>
      </c>
    </row>
    <row r="8951" spans="1:15">
      <c r="A8951" t="s">
        <v>34982</v>
      </c>
      <c r="B8951" t="s">
        <v>5911</v>
      </c>
      <c r="C8951" t="s">
        <v>20913</v>
      </c>
      <c r="D8951" t="s">
        <v>34983</v>
      </c>
      <c r="E8951" t="b">
        <v>0</v>
      </c>
      <c r="F8951" t="s">
        <v>11624</v>
      </c>
      <c r="G8951">
        <v>14.466200000000001</v>
      </c>
      <c r="H8951">
        <v>-90.988100000000003</v>
      </c>
      <c r="I8951" t="s">
        <v>34984</v>
      </c>
      <c r="L8951">
        <v>0</v>
      </c>
      <c r="M8951">
        <v>0</v>
      </c>
      <c r="N8951">
        <v>0</v>
      </c>
      <c r="O8951" t="s">
        <v>11927</v>
      </c>
    </row>
    <row r="8952" spans="1:15">
      <c r="A8952" t="s">
        <v>34985</v>
      </c>
      <c r="B8952" t="s">
        <v>11627</v>
      </c>
      <c r="C8952" t="s">
        <v>11627</v>
      </c>
      <c r="D8952" t="s">
        <v>34986</v>
      </c>
      <c r="E8952" t="b">
        <v>1</v>
      </c>
      <c r="F8952" t="s">
        <v>11624</v>
      </c>
      <c r="I8952" t="s">
        <v>34987</v>
      </c>
      <c r="L8952">
        <v>0</v>
      </c>
      <c r="M8952">
        <v>0</v>
      </c>
      <c r="N8952">
        <v>0</v>
      </c>
      <c r="O8952" t="s">
        <v>11927</v>
      </c>
    </row>
    <row r="8953" spans="1:15">
      <c r="A8953" t="s">
        <v>34988</v>
      </c>
      <c r="B8953" t="s">
        <v>11627</v>
      </c>
      <c r="C8953" t="s">
        <v>11627</v>
      </c>
      <c r="D8953" t="s">
        <v>34989</v>
      </c>
      <c r="E8953" t="b">
        <v>1</v>
      </c>
      <c r="F8953" t="s">
        <v>11624</v>
      </c>
      <c r="I8953" t="s">
        <v>34990</v>
      </c>
      <c r="L8953">
        <v>0</v>
      </c>
      <c r="M8953">
        <v>0</v>
      </c>
      <c r="N8953">
        <v>0</v>
      </c>
      <c r="O8953" t="s">
        <v>11927</v>
      </c>
    </row>
    <row r="8954" spans="1:15">
      <c r="A8954" t="s">
        <v>34991</v>
      </c>
      <c r="B8954" t="s">
        <v>11627</v>
      </c>
      <c r="C8954" t="s">
        <v>11627</v>
      </c>
      <c r="D8954" t="s">
        <v>34992</v>
      </c>
      <c r="E8954" t="b">
        <v>1</v>
      </c>
      <c r="F8954" t="s">
        <v>11624</v>
      </c>
      <c r="I8954" t="s">
        <v>34993</v>
      </c>
      <c r="L8954">
        <v>0</v>
      </c>
      <c r="M8954">
        <v>0</v>
      </c>
      <c r="N8954">
        <v>0</v>
      </c>
      <c r="O8954" t="s">
        <v>11927</v>
      </c>
    </row>
    <row r="8955" spans="1:15">
      <c r="A8955" t="s">
        <v>34994</v>
      </c>
      <c r="B8955" t="s">
        <v>11627</v>
      </c>
      <c r="C8955" t="s">
        <v>11627</v>
      </c>
      <c r="D8955" t="s">
        <v>34995</v>
      </c>
      <c r="E8955" t="b">
        <v>1</v>
      </c>
      <c r="F8955" t="s">
        <v>11624</v>
      </c>
      <c r="I8955" t="s">
        <v>34996</v>
      </c>
      <c r="L8955">
        <v>0</v>
      </c>
      <c r="M8955">
        <v>0</v>
      </c>
      <c r="N8955">
        <v>0</v>
      </c>
      <c r="O8955" t="s">
        <v>11927</v>
      </c>
    </row>
    <row r="8956" spans="1:15">
      <c r="A8956" t="s">
        <v>34997</v>
      </c>
      <c r="B8956" t="s">
        <v>11627</v>
      </c>
      <c r="C8956" t="s">
        <v>11627</v>
      </c>
      <c r="D8956" t="s">
        <v>34998</v>
      </c>
      <c r="E8956" t="b">
        <v>1</v>
      </c>
      <c r="F8956" t="s">
        <v>11624</v>
      </c>
      <c r="I8956" t="s">
        <v>34999</v>
      </c>
      <c r="L8956">
        <v>0</v>
      </c>
      <c r="M8956">
        <v>0</v>
      </c>
      <c r="N8956">
        <v>0</v>
      </c>
      <c r="O8956" t="s">
        <v>11927</v>
      </c>
    </row>
    <row r="8957" spans="1:15">
      <c r="A8957" t="s">
        <v>35000</v>
      </c>
      <c r="B8957" t="s">
        <v>11627</v>
      </c>
      <c r="C8957" t="s">
        <v>11627</v>
      </c>
      <c r="D8957" t="s">
        <v>35001</v>
      </c>
      <c r="E8957" t="b">
        <v>1</v>
      </c>
      <c r="F8957" t="s">
        <v>11624</v>
      </c>
      <c r="I8957" t="s">
        <v>35002</v>
      </c>
      <c r="L8957">
        <v>0</v>
      </c>
      <c r="M8957">
        <v>0</v>
      </c>
      <c r="N8957">
        <v>0</v>
      </c>
      <c r="O8957" t="s">
        <v>11927</v>
      </c>
    </row>
    <row r="8958" spans="1:15">
      <c r="A8958" t="s">
        <v>35003</v>
      </c>
      <c r="B8958" t="s">
        <v>11627</v>
      </c>
      <c r="C8958" t="s">
        <v>11627</v>
      </c>
      <c r="D8958" t="s">
        <v>35004</v>
      </c>
      <c r="E8958" t="b">
        <v>1</v>
      </c>
      <c r="F8958" t="s">
        <v>11624</v>
      </c>
      <c r="I8958" t="s">
        <v>35005</v>
      </c>
      <c r="L8958">
        <v>0</v>
      </c>
      <c r="M8958">
        <v>0</v>
      </c>
      <c r="N8958">
        <v>0</v>
      </c>
      <c r="O8958" t="s">
        <v>11927</v>
      </c>
    </row>
    <row r="8959" spans="1:15">
      <c r="A8959" t="s">
        <v>35006</v>
      </c>
      <c r="B8959" t="s">
        <v>11627</v>
      </c>
      <c r="C8959" t="s">
        <v>11627</v>
      </c>
      <c r="D8959" t="s">
        <v>35007</v>
      </c>
      <c r="E8959" t="b">
        <v>1</v>
      </c>
      <c r="F8959" t="s">
        <v>11624</v>
      </c>
      <c r="I8959" t="s">
        <v>35008</v>
      </c>
      <c r="L8959">
        <v>0</v>
      </c>
      <c r="M8959">
        <v>0</v>
      </c>
      <c r="N8959">
        <v>0</v>
      </c>
      <c r="O8959" t="s">
        <v>11927</v>
      </c>
    </row>
    <row r="8960" spans="1:15">
      <c r="A8960" t="s">
        <v>35009</v>
      </c>
      <c r="B8960" t="s">
        <v>11627</v>
      </c>
      <c r="C8960" t="s">
        <v>11627</v>
      </c>
      <c r="D8960" t="s">
        <v>35010</v>
      </c>
      <c r="E8960" t="b">
        <v>1</v>
      </c>
      <c r="F8960" t="s">
        <v>11624</v>
      </c>
      <c r="I8960" t="s">
        <v>35011</v>
      </c>
      <c r="L8960">
        <v>0</v>
      </c>
      <c r="M8960">
        <v>0</v>
      </c>
      <c r="N8960">
        <v>0</v>
      </c>
      <c r="O8960" t="s">
        <v>11927</v>
      </c>
    </row>
    <row r="8961" spans="1:15">
      <c r="A8961" t="s">
        <v>35012</v>
      </c>
      <c r="D8961" t="s">
        <v>35013</v>
      </c>
      <c r="E8961" t="b">
        <v>0</v>
      </c>
      <c r="F8961" t="s">
        <v>11624</v>
      </c>
      <c r="G8961">
        <v>28.908200000000001</v>
      </c>
      <c r="H8961">
        <v>-96.485600000000005</v>
      </c>
      <c r="I8961" t="s">
        <v>35014</v>
      </c>
      <c r="L8961">
        <v>0</v>
      </c>
      <c r="M8961">
        <v>0</v>
      </c>
      <c r="N8961">
        <v>0</v>
      </c>
      <c r="O8961" t="s">
        <v>11944</v>
      </c>
    </row>
    <row r="8962" spans="1:15">
      <c r="A8962" t="s">
        <v>14469</v>
      </c>
      <c r="B8962" t="s">
        <v>11637</v>
      </c>
      <c r="C8962" t="s">
        <v>7044</v>
      </c>
      <c r="D8962" t="s">
        <v>35015</v>
      </c>
      <c r="E8962" t="b">
        <v>0</v>
      </c>
      <c r="F8962" t="s">
        <v>11610</v>
      </c>
      <c r="L8962">
        <v>0</v>
      </c>
      <c r="M8962">
        <v>0</v>
      </c>
      <c r="N8962">
        <v>9</v>
      </c>
    </row>
    <row r="8963" spans="1:15">
      <c r="A8963" t="s">
        <v>35016</v>
      </c>
      <c r="B8963" t="s">
        <v>11637</v>
      </c>
      <c r="C8963" t="s">
        <v>14469</v>
      </c>
      <c r="D8963" t="s">
        <v>35017</v>
      </c>
      <c r="E8963" t="b">
        <v>0</v>
      </c>
      <c r="F8963" t="s">
        <v>11610</v>
      </c>
      <c r="L8963">
        <v>0</v>
      </c>
      <c r="M8963">
        <v>0</v>
      </c>
      <c r="N8963">
        <v>0</v>
      </c>
    </row>
    <row r="8964" spans="1:15">
      <c r="A8964" t="s">
        <v>35018</v>
      </c>
      <c r="B8964" t="s">
        <v>11637</v>
      </c>
      <c r="C8964" t="s">
        <v>16887</v>
      </c>
      <c r="D8964" t="s">
        <v>35019</v>
      </c>
      <c r="E8964" t="b">
        <v>0</v>
      </c>
      <c r="F8964" t="s">
        <v>11610</v>
      </c>
      <c r="L8964">
        <v>0</v>
      </c>
      <c r="M8964">
        <v>0</v>
      </c>
      <c r="N8964">
        <v>0</v>
      </c>
    </row>
    <row r="8965" spans="1:15">
      <c r="A8965" t="s">
        <v>35020</v>
      </c>
      <c r="B8965" t="s">
        <v>12260</v>
      </c>
      <c r="C8965" t="s">
        <v>35021</v>
      </c>
      <c r="D8965" t="s">
        <v>35022</v>
      </c>
      <c r="E8965" t="b">
        <v>0</v>
      </c>
      <c r="F8965" t="s">
        <v>11610</v>
      </c>
      <c r="L8965">
        <v>0</v>
      </c>
      <c r="M8965">
        <v>0</v>
      </c>
      <c r="N8965">
        <v>0</v>
      </c>
    </row>
    <row r="8966" spans="1:15">
      <c r="A8966" t="s">
        <v>25486</v>
      </c>
      <c r="B8966" t="s">
        <v>331</v>
      </c>
      <c r="C8966" t="s">
        <v>35023</v>
      </c>
      <c r="D8966" t="s">
        <v>35024</v>
      </c>
      <c r="E8966" t="b">
        <v>0</v>
      </c>
      <c r="F8966" t="s">
        <v>11624</v>
      </c>
      <c r="G8966">
        <v>53.714500000000001</v>
      </c>
      <c r="H8966">
        <v>98.379199999999997</v>
      </c>
      <c r="I8966" t="s">
        <v>35025</v>
      </c>
      <c r="L8966">
        <v>0</v>
      </c>
      <c r="M8966">
        <v>0</v>
      </c>
      <c r="N8966">
        <v>5</v>
      </c>
      <c r="O8966" t="s">
        <v>12748</v>
      </c>
    </row>
    <row r="8967" spans="1:15">
      <c r="A8967" t="s">
        <v>25916</v>
      </c>
      <c r="B8967" t="s">
        <v>331</v>
      </c>
      <c r="C8967" t="s">
        <v>23535</v>
      </c>
      <c r="D8967" t="s">
        <v>35026</v>
      </c>
      <c r="E8967" t="b">
        <v>0</v>
      </c>
      <c r="F8967" t="s">
        <v>11624</v>
      </c>
      <c r="G8967">
        <v>54.553400000000003</v>
      </c>
      <c r="H8967">
        <v>25.105399999999999</v>
      </c>
      <c r="I8967" t="s">
        <v>35027</v>
      </c>
      <c r="L8967">
        <v>0</v>
      </c>
      <c r="M8967">
        <v>0</v>
      </c>
      <c r="N8967">
        <v>6</v>
      </c>
      <c r="O8967" t="s">
        <v>35028</v>
      </c>
    </row>
    <row r="8968" spans="1:15">
      <c r="A8968" t="s">
        <v>16316</v>
      </c>
      <c r="B8968" t="s">
        <v>331</v>
      </c>
      <c r="C8968" t="s">
        <v>23535</v>
      </c>
      <c r="D8968" t="s">
        <v>35029</v>
      </c>
      <c r="E8968" t="b">
        <v>0</v>
      </c>
      <c r="F8968" t="s">
        <v>11624</v>
      </c>
      <c r="G8968">
        <v>43.564999999999998</v>
      </c>
      <c r="H8968">
        <v>42.260599999999997</v>
      </c>
      <c r="I8968" t="s">
        <v>35030</v>
      </c>
      <c r="L8968">
        <v>0</v>
      </c>
      <c r="M8968">
        <v>0</v>
      </c>
      <c r="N8968">
        <v>2</v>
      </c>
      <c r="O8968" t="s">
        <v>35031</v>
      </c>
    </row>
    <row r="8969" spans="1:15">
      <c r="A8969" t="s">
        <v>35032</v>
      </c>
      <c r="B8969" t="s">
        <v>331</v>
      </c>
      <c r="C8969" t="s">
        <v>16316</v>
      </c>
      <c r="D8969" t="s">
        <v>35033</v>
      </c>
      <c r="E8969" t="b">
        <v>0</v>
      </c>
      <c r="F8969" t="s">
        <v>11610</v>
      </c>
      <c r="L8969">
        <v>0</v>
      </c>
      <c r="M8969">
        <v>0</v>
      </c>
      <c r="N8969">
        <v>0</v>
      </c>
    </row>
    <row r="8970" spans="1:15">
      <c r="A8970" t="s">
        <v>5803</v>
      </c>
      <c r="B8970" t="s">
        <v>331</v>
      </c>
      <c r="C8970" t="s">
        <v>35034</v>
      </c>
      <c r="D8970" t="s">
        <v>35035</v>
      </c>
      <c r="E8970" t="b">
        <v>0</v>
      </c>
      <c r="F8970" t="s">
        <v>11624</v>
      </c>
      <c r="G8970">
        <v>39.979999999999997</v>
      </c>
      <c r="H8970">
        <v>63.322299999999998</v>
      </c>
      <c r="I8970" t="s">
        <v>5804</v>
      </c>
      <c r="L8970">
        <v>0</v>
      </c>
      <c r="M8970">
        <v>0</v>
      </c>
      <c r="N8970">
        <v>2</v>
      </c>
      <c r="O8970" t="s">
        <v>35036</v>
      </c>
    </row>
    <row r="8971" spans="1:15">
      <c r="A8971" t="s">
        <v>35037</v>
      </c>
      <c r="B8971" t="s">
        <v>331</v>
      </c>
      <c r="C8971" t="s">
        <v>4410</v>
      </c>
      <c r="D8971" t="s">
        <v>35038</v>
      </c>
      <c r="E8971" t="b">
        <v>0</v>
      </c>
      <c r="F8971" t="s">
        <v>11610</v>
      </c>
      <c r="L8971">
        <v>0</v>
      </c>
      <c r="M8971">
        <v>0</v>
      </c>
      <c r="N8971">
        <v>0</v>
      </c>
    </row>
    <row r="8972" spans="1:15">
      <c r="A8972" t="s">
        <v>35039</v>
      </c>
      <c r="B8972" t="s">
        <v>331</v>
      </c>
      <c r="C8972" t="s">
        <v>35040</v>
      </c>
      <c r="D8972" t="s">
        <v>35041</v>
      </c>
      <c r="E8972" t="b">
        <v>0</v>
      </c>
      <c r="F8972" t="s">
        <v>11610</v>
      </c>
      <c r="L8972">
        <v>0</v>
      </c>
      <c r="M8972">
        <v>0</v>
      </c>
      <c r="N8972">
        <v>0</v>
      </c>
    </row>
    <row r="8973" spans="1:15">
      <c r="A8973" t="s">
        <v>35042</v>
      </c>
      <c r="B8973" t="s">
        <v>11644</v>
      </c>
      <c r="C8973" t="s">
        <v>35043</v>
      </c>
      <c r="D8973" t="s">
        <v>35044</v>
      </c>
      <c r="E8973" t="b">
        <v>0</v>
      </c>
      <c r="F8973" t="s">
        <v>11610</v>
      </c>
      <c r="L8973">
        <v>0</v>
      </c>
      <c r="M8973">
        <v>0</v>
      </c>
      <c r="N8973">
        <v>0</v>
      </c>
    </row>
    <row r="8974" spans="1:15">
      <c r="A8974" t="s">
        <v>35045</v>
      </c>
      <c r="B8974" t="s">
        <v>13210</v>
      </c>
      <c r="C8974" t="s">
        <v>13209</v>
      </c>
      <c r="D8974" t="s">
        <v>35046</v>
      </c>
      <c r="E8974" t="b">
        <v>0</v>
      </c>
      <c r="F8974" t="s">
        <v>11610</v>
      </c>
      <c r="L8974">
        <v>0</v>
      </c>
      <c r="M8974">
        <v>0</v>
      </c>
      <c r="N8974">
        <v>0</v>
      </c>
    </row>
    <row r="8975" spans="1:15">
      <c r="A8975" t="s">
        <v>35047</v>
      </c>
      <c r="B8975" t="s">
        <v>12311</v>
      </c>
      <c r="C8975" t="s">
        <v>13678</v>
      </c>
      <c r="D8975" t="s">
        <v>35048</v>
      </c>
      <c r="E8975" t="b">
        <v>0</v>
      </c>
      <c r="F8975" t="s">
        <v>11610</v>
      </c>
      <c r="L8975">
        <v>0</v>
      </c>
      <c r="M8975">
        <v>0</v>
      </c>
      <c r="N8975">
        <v>0</v>
      </c>
    </row>
    <row r="8976" spans="1:15">
      <c r="A8976" t="s">
        <v>13654</v>
      </c>
      <c r="B8976" t="s">
        <v>12311</v>
      </c>
      <c r="C8976" t="s">
        <v>12745</v>
      </c>
      <c r="D8976" t="s">
        <v>35049</v>
      </c>
      <c r="E8976" t="b">
        <v>0</v>
      </c>
      <c r="F8976" t="s">
        <v>11624</v>
      </c>
      <c r="G8976">
        <v>42.650100000000002</v>
      </c>
      <c r="H8976">
        <v>46.315100000000001</v>
      </c>
      <c r="I8976" t="s">
        <v>35050</v>
      </c>
      <c r="L8976">
        <v>0</v>
      </c>
      <c r="M8976">
        <v>0</v>
      </c>
      <c r="N8976">
        <v>2</v>
      </c>
      <c r="O8976" t="s">
        <v>12748</v>
      </c>
    </row>
    <row r="8977" spans="1:15">
      <c r="A8977" t="s">
        <v>35051</v>
      </c>
      <c r="B8977" t="s">
        <v>12241</v>
      </c>
      <c r="C8977" t="s">
        <v>21151</v>
      </c>
      <c r="D8977" t="s">
        <v>35052</v>
      </c>
      <c r="E8977" t="b">
        <v>0</v>
      </c>
      <c r="F8977" t="s">
        <v>11624</v>
      </c>
      <c r="G8977">
        <v>-1.2999099999999999</v>
      </c>
      <c r="H8977">
        <v>-57.871600000000001</v>
      </c>
      <c r="I8977" t="s">
        <v>35053</v>
      </c>
      <c r="L8977">
        <v>0</v>
      </c>
      <c r="M8977">
        <v>0</v>
      </c>
      <c r="N8977">
        <v>0</v>
      </c>
      <c r="O8977" t="s">
        <v>11969</v>
      </c>
    </row>
    <row r="8978" spans="1:15">
      <c r="A8978" t="s">
        <v>35054</v>
      </c>
      <c r="B8978" t="s">
        <v>10597</v>
      </c>
      <c r="C8978" t="s">
        <v>35055</v>
      </c>
      <c r="D8978" t="s">
        <v>35056</v>
      </c>
      <c r="E8978" t="b">
        <v>0</v>
      </c>
      <c r="F8978" t="s">
        <v>11624</v>
      </c>
      <c r="G8978">
        <v>-18.677099999999999</v>
      </c>
      <c r="H8978">
        <v>122.334</v>
      </c>
      <c r="I8978" t="s">
        <v>35057</v>
      </c>
      <c r="L8978">
        <v>0</v>
      </c>
      <c r="M8978">
        <v>0</v>
      </c>
      <c r="N8978">
        <v>3</v>
      </c>
      <c r="O8978" t="s">
        <v>12107</v>
      </c>
    </row>
    <row r="8979" spans="1:15">
      <c r="A8979" t="s">
        <v>35058</v>
      </c>
      <c r="B8979" t="s">
        <v>6742</v>
      </c>
      <c r="C8979" t="s">
        <v>21456</v>
      </c>
      <c r="D8979" t="s">
        <v>35059</v>
      </c>
      <c r="E8979" t="b">
        <v>0</v>
      </c>
      <c r="F8979" t="s">
        <v>11622</v>
      </c>
      <c r="L8979">
        <v>1</v>
      </c>
      <c r="M8979">
        <v>4</v>
      </c>
      <c r="N8979">
        <v>12</v>
      </c>
    </row>
    <row r="8980" spans="1:15">
      <c r="A8980" t="s">
        <v>35060</v>
      </c>
      <c r="B8980" t="s">
        <v>6742</v>
      </c>
      <c r="C8980" t="s">
        <v>35058</v>
      </c>
      <c r="D8980" t="s">
        <v>35061</v>
      </c>
      <c r="E8980" t="b">
        <v>0</v>
      </c>
      <c r="F8980" t="s">
        <v>11624</v>
      </c>
      <c r="G8980">
        <v>8.0172699999999999</v>
      </c>
      <c r="H8980">
        <v>15.211399999999999</v>
      </c>
      <c r="I8980" t="s">
        <v>35062</v>
      </c>
      <c r="L8980">
        <v>0</v>
      </c>
      <c r="M8980">
        <v>0</v>
      </c>
      <c r="N8980">
        <v>4</v>
      </c>
      <c r="O8980" t="s">
        <v>29226</v>
      </c>
    </row>
    <row r="8981" spans="1:15">
      <c r="A8981" t="s">
        <v>26069</v>
      </c>
      <c r="B8981" t="s">
        <v>6742</v>
      </c>
      <c r="C8981" t="s">
        <v>21813</v>
      </c>
      <c r="D8981" t="s">
        <v>35063</v>
      </c>
      <c r="E8981" t="b">
        <v>0</v>
      </c>
      <c r="F8981" t="s">
        <v>11622</v>
      </c>
      <c r="L8981">
        <v>0</v>
      </c>
      <c r="M8981">
        <v>2</v>
      </c>
      <c r="N8981">
        <v>2</v>
      </c>
    </row>
    <row r="8982" spans="1:15">
      <c r="A8982" t="s">
        <v>25512</v>
      </c>
      <c r="B8982" t="s">
        <v>6742</v>
      </c>
      <c r="C8982" t="s">
        <v>3601</v>
      </c>
      <c r="D8982" t="s">
        <v>35064</v>
      </c>
      <c r="E8982" t="b">
        <v>0</v>
      </c>
      <c r="F8982" t="s">
        <v>11610</v>
      </c>
      <c r="L8982">
        <v>0</v>
      </c>
      <c r="M8982">
        <v>0</v>
      </c>
      <c r="N8982">
        <v>6</v>
      </c>
    </row>
    <row r="8983" spans="1:15">
      <c r="A8983" t="s">
        <v>6860</v>
      </c>
      <c r="B8983" t="s">
        <v>6742</v>
      </c>
      <c r="C8983" t="s">
        <v>33598</v>
      </c>
      <c r="D8983" t="s">
        <v>35065</v>
      </c>
      <c r="E8983" t="b">
        <v>0</v>
      </c>
      <c r="F8983" t="s">
        <v>11624</v>
      </c>
      <c r="G8983">
        <v>-1.83511</v>
      </c>
      <c r="H8983">
        <v>33.0488</v>
      </c>
      <c r="I8983" t="s">
        <v>6862</v>
      </c>
      <c r="L8983">
        <v>0</v>
      </c>
      <c r="M8983">
        <v>0</v>
      </c>
      <c r="N8983">
        <v>0</v>
      </c>
      <c r="O8983" t="s">
        <v>11635</v>
      </c>
    </row>
    <row r="8984" spans="1:15">
      <c r="A8984" t="s">
        <v>35066</v>
      </c>
      <c r="B8984" t="s">
        <v>11729</v>
      </c>
      <c r="C8984" t="s">
        <v>27806</v>
      </c>
      <c r="D8984" t="s">
        <v>35067</v>
      </c>
      <c r="E8984" t="b">
        <v>0</v>
      </c>
      <c r="F8984" t="s">
        <v>11624</v>
      </c>
      <c r="G8984">
        <v>9.99526</v>
      </c>
      <c r="H8984">
        <v>22.994700000000002</v>
      </c>
      <c r="I8984" t="s">
        <v>35068</v>
      </c>
      <c r="L8984">
        <v>0</v>
      </c>
      <c r="M8984">
        <v>0</v>
      </c>
      <c r="N8984">
        <v>0</v>
      </c>
      <c r="O8984" t="s">
        <v>16540</v>
      </c>
    </row>
    <row r="8985" spans="1:15">
      <c r="A8985" t="s">
        <v>1148</v>
      </c>
      <c r="B8985" t="s">
        <v>11757</v>
      </c>
      <c r="C8985" t="s">
        <v>35069</v>
      </c>
      <c r="D8985" t="s">
        <v>1146</v>
      </c>
      <c r="E8985" t="b">
        <v>0</v>
      </c>
      <c r="F8985" t="s">
        <v>11624</v>
      </c>
      <c r="G8985">
        <v>2.4515699999999998</v>
      </c>
      <c r="H8985">
        <v>34.2761</v>
      </c>
      <c r="I8985" t="s">
        <v>35070</v>
      </c>
      <c r="L8985">
        <v>0</v>
      </c>
      <c r="M8985">
        <v>0</v>
      </c>
      <c r="N8985">
        <v>3</v>
      </c>
      <c r="O8985" t="s">
        <v>35071</v>
      </c>
    </row>
    <row r="8986" spans="1:15">
      <c r="A8986" t="s">
        <v>4079</v>
      </c>
      <c r="B8986" t="s">
        <v>11780</v>
      </c>
      <c r="C8986" t="s">
        <v>35072</v>
      </c>
      <c r="D8986" t="s">
        <v>4078</v>
      </c>
      <c r="E8986" t="b">
        <v>0</v>
      </c>
      <c r="F8986" t="s">
        <v>11624</v>
      </c>
      <c r="G8986">
        <v>13.174799999999999</v>
      </c>
      <c r="H8986">
        <v>20.635400000000001</v>
      </c>
      <c r="I8986" t="s">
        <v>4080</v>
      </c>
      <c r="L8986">
        <v>0</v>
      </c>
      <c r="M8986">
        <v>0</v>
      </c>
      <c r="N8986">
        <v>4</v>
      </c>
      <c r="O8986" t="s">
        <v>13421</v>
      </c>
    </row>
    <row r="8987" spans="1:15">
      <c r="A8987" t="s">
        <v>35073</v>
      </c>
      <c r="B8987" t="s">
        <v>13276</v>
      </c>
      <c r="C8987" t="s">
        <v>34822</v>
      </c>
      <c r="D8987" t="s">
        <v>35074</v>
      </c>
      <c r="E8987" t="b">
        <v>0</v>
      </c>
      <c r="F8987" t="s">
        <v>11610</v>
      </c>
      <c r="L8987">
        <v>0</v>
      </c>
      <c r="M8987">
        <v>0</v>
      </c>
      <c r="N8987">
        <v>0</v>
      </c>
    </row>
    <row r="8988" spans="1:15">
      <c r="A8988" t="s">
        <v>6861</v>
      </c>
      <c r="B8988" t="s">
        <v>367</v>
      </c>
      <c r="C8988" t="s">
        <v>35075</v>
      </c>
      <c r="D8988" t="s">
        <v>35076</v>
      </c>
      <c r="E8988" t="b">
        <v>0</v>
      </c>
      <c r="F8988" t="s">
        <v>11624</v>
      </c>
      <c r="G8988">
        <v>-2.8195700000000001</v>
      </c>
      <c r="H8988">
        <v>151.11099999999999</v>
      </c>
      <c r="I8988" t="s">
        <v>35077</v>
      </c>
      <c r="L8988">
        <v>0</v>
      </c>
      <c r="M8988">
        <v>0</v>
      </c>
      <c r="N8988">
        <v>5</v>
      </c>
      <c r="O8988" t="s">
        <v>11660</v>
      </c>
    </row>
    <row r="8989" spans="1:15">
      <c r="A8989" t="s">
        <v>35078</v>
      </c>
      <c r="B8989" t="s">
        <v>367</v>
      </c>
      <c r="C8989" t="s">
        <v>31869</v>
      </c>
      <c r="D8989" t="s">
        <v>35079</v>
      </c>
      <c r="E8989" t="b">
        <v>0</v>
      </c>
      <c r="F8989" t="s">
        <v>11624</v>
      </c>
      <c r="G8989">
        <v>16.5655</v>
      </c>
      <c r="H8989">
        <v>120.956</v>
      </c>
      <c r="I8989" t="s">
        <v>35080</v>
      </c>
      <c r="L8989">
        <v>0</v>
      </c>
      <c r="M8989">
        <v>0</v>
      </c>
      <c r="N8989">
        <v>0</v>
      </c>
      <c r="O8989" t="s">
        <v>11749</v>
      </c>
    </row>
    <row r="8990" spans="1:15">
      <c r="A8990" t="s">
        <v>35081</v>
      </c>
      <c r="B8990" t="s">
        <v>367</v>
      </c>
      <c r="C8990" t="s">
        <v>17553</v>
      </c>
      <c r="D8990" t="s">
        <v>35082</v>
      </c>
      <c r="E8990" t="b">
        <v>0</v>
      </c>
      <c r="F8990" t="s">
        <v>11610</v>
      </c>
      <c r="L8990">
        <v>0</v>
      </c>
      <c r="M8990">
        <v>0</v>
      </c>
      <c r="N8990">
        <v>0</v>
      </c>
    </row>
    <row r="8991" spans="1:15">
      <c r="A8991" t="s">
        <v>35083</v>
      </c>
      <c r="B8991" t="s">
        <v>367</v>
      </c>
      <c r="C8991" t="s">
        <v>26222</v>
      </c>
      <c r="D8991" t="s">
        <v>35084</v>
      </c>
      <c r="E8991" t="b">
        <v>0</v>
      </c>
      <c r="F8991" t="s">
        <v>11624</v>
      </c>
      <c r="G8991">
        <v>7.50481</v>
      </c>
      <c r="H8991">
        <v>126.40900000000001</v>
      </c>
      <c r="I8991" t="s">
        <v>35085</v>
      </c>
      <c r="L8991">
        <v>0</v>
      </c>
      <c r="M8991">
        <v>0</v>
      </c>
      <c r="N8991">
        <v>0</v>
      </c>
      <c r="O8991" t="s">
        <v>11749</v>
      </c>
    </row>
    <row r="8992" spans="1:15">
      <c r="A8992" t="s">
        <v>35086</v>
      </c>
      <c r="B8992" t="s">
        <v>367</v>
      </c>
      <c r="C8992" t="s">
        <v>12638</v>
      </c>
      <c r="D8992" t="s">
        <v>35087</v>
      </c>
      <c r="E8992" t="b">
        <v>0</v>
      </c>
      <c r="F8992" t="s">
        <v>11610</v>
      </c>
      <c r="L8992">
        <v>0</v>
      </c>
      <c r="M8992">
        <v>0</v>
      </c>
      <c r="N8992">
        <v>0</v>
      </c>
    </row>
    <row r="8993" spans="1:15">
      <c r="A8993" t="s">
        <v>35088</v>
      </c>
      <c r="B8993" t="s">
        <v>367</v>
      </c>
      <c r="C8993" t="s">
        <v>17227</v>
      </c>
      <c r="D8993" t="s">
        <v>35089</v>
      </c>
      <c r="E8993" t="b">
        <v>0</v>
      </c>
      <c r="F8993" t="s">
        <v>11610</v>
      </c>
      <c r="L8993">
        <v>0</v>
      </c>
      <c r="M8993">
        <v>0</v>
      </c>
      <c r="N8993">
        <v>0</v>
      </c>
    </row>
    <row r="8994" spans="1:15">
      <c r="A8994" t="s">
        <v>35090</v>
      </c>
      <c r="B8994" t="s">
        <v>367</v>
      </c>
      <c r="C8994" t="s">
        <v>19444</v>
      </c>
      <c r="D8994" t="s">
        <v>35091</v>
      </c>
      <c r="E8994" t="b">
        <v>0</v>
      </c>
      <c r="F8994" t="s">
        <v>11610</v>
      </c>
      <c r="L8994">
        <v>0</v>
      </c>
      <c r="M8994">
        <v>0</v>
      </c>
      <c r="N8994">
        <v>0</v>
      </c>
    </row>
    <row r="8995" spans="1:15">
      <c r="A8995" t="s">
        <v>35092</v>
      </c>
      <c r="B8995" t="s">
        <v>11705</v>
      </c>
      <c r="C8995" t="s">
        <v>34969</v>
      </c>
      <c r="D8995" t="s">
        <v>35093</v>
      </c>
      <c r="E8995" t="b">
        <v>0</v>
      </c>
      <c r="F8995" t="s">
        <v>11610</v>
      </c>
      <c r="L8995">
        <v>0</v>
      </c>
      <c r="M8995">
        <v>0</v>
      </c>
      <c r="N8995">
        <v>0</v>
      </c>
    </row>
    <row r="8996" spans="1:15">
      <c r="A8996" t="s">
        <v>35094</v>
      </c>
      <c r="B8996" t="s">
        <v>11705</v>
      </c>
      <c r="C8996" t="s">
        <v>12924</v>
      </c>
      <c r="D8996" t="s">
        <v>35095</v>
      </c>
      <c r="E8996" t="b">
        <v>0</v>
      </c>
      <c r="F8996" t="s">
        <v>11610</v>
      </c>
      <c r="L8996">
        <v>0</v>
      </c>
      <c r="M8996">
        <v>0</v>
      </c>
      <c r="N8996">
        <v>0</v>
      </c>
    </row>
    <row r="8997" spans="1:15">
      <c r="A8997" t="s">
        <v>35096</v>
      </c>
      <c r="B8997" t="s">
        <v>11705</v>
      </c>
      <c r="C8997" t="s">
        <v>35097</v>
      </c>
      <c r="D8997" t="s">
        <v>35098</v>
      </c>
      <c r="E8997" t="b">
        <v>0</v>
      </c>
      <c r="F8997" t="s">
        <v>11624</v>
      </c>
      <c r="G8997">
        <v>-3.6993299999999998</v>
      </c>
      <c r="H8997">
        <v>142.018</v>
      </c>
      <c r="I8997" t="s">
        <v>35099</v>
      </c>
      <c r="L8997">
        <v>0</v>
      </c>
      <c r="M8997">
        <v>0</v>
      </c>
      <c r="N8997">
        <v>0</v>
      </c>
      <c r="O8997" t="s">
        <v>11660</v>
      </c>
    </row>
    <row r="8998" spans="1:15">
      <c r="A8998" t="s">
        <v>35100</v>
      </c>
      <c r="B8998" t="s">
        <v>11615</v>
      </c>
      <c r="C8998" t="s">
        <v>7854</v>
      </c>
      <c r="D8998" t="s">
        <v>35101</v>
      </c>
      <c r="E8998" t="b">
        <v>0</v>
      </c>
      <c r="F8998" t="s">
        <v>11610</v>
      </c>
      <c r="L8998">
        <v>0</v>
      </c>
      <c r="M8998">
        <v>0</v>
      </c>
      <c r="N8998">
        <v>0</v>
      </c>
    </row>
    <row r="8999" spans="1:15">
      <c r="A8999" t="s">
        <v>35102</v>
      </c>
      <c r="D8999" t="s">
        <v>35103</v>
      </c>
      <c r="E8999" t="b">
        <v>0</v>
      </c>
      <c r="F8999" t="s">
        <v>11624</v>
      </c>
      <c r="G8999">
        <v>-7.1333299999999999</v>
      </c>
      <c r="H8999">
        <v>143.11699999999999</v>
      </c>
      <c r="I8999" t="s">
        <v>35104</v>
      </c>
      <c r="L8999">
        <v>0</v>
      </c>
      <c r="M8999">
        <v>0</v>
      </c>
      <c r="N8999">
        <v>0</v>
      </c>
      <c r="O8999" t="s">
        <v>11660</v>
      </c>
    </row>
    <row r="9000" spans="1:15">
      <c r="A9000" t="s">
        <v>35105</v>
      </c>
      <c r="B9000" t="s">
        <v>11871</v>
      </c>
      <c r="C9000" t="s">
        <v>13880</v>
      </c>
      <c r="D9000" t="s">
        <v>35106</v>
      </c>
      <c r="E9000" t="b">
        <v>0</v>
      </c>
      <c r="F9000" t="s">
        <v>11622</v>
      </c>
      <c r="L9000">
        <v>0</v>
      </c>
      <c r="M9000">
        <v>2</v>
      </c>
      <c r="N9000">
        <v>0</v>
      </c>
    </row>
    <row r="9001" spans="1:15">
      <c r="A9001" t="s">
        <v>35107</v>
      </c>
      <c r="B9001" t="s">
        <v>15911</v>
      </c>
      <c r="C9001" t="s">
        <v>15911</v>
      </c>
      <c r="D9001" t="s">
        <v>35108</v>
      </c>
      <c r="E9001" t="b">
        <v>0</v>
      </c>
      <c r="F9001" t="s">
        <v>11624</v>
      </c>
      <c r="G9001">
        <v>-3.47037</v>
      </c>
      <c r="H9001">
        <v>132.678</v>
      </c>
      <c r="I9001" t="s">
        <v>35109</v>
      </c>
      <c r="L9001">
        <v>0</v>
      </c>
      <c r="M9001">
        <v>0</v>
      </c>
      <c r="N9001">
        <v>0</v>
      </c>
      <c r="O9001" t="s">
        <v>11768</v>
      </c>
    </row>
    <row r="9002" spans="1:15">
      <c r="A9002" t="s">
        <v>643</v>
      </c>
      <c r="B9002" t="s">
        <v>11965</v>
      </c>
      <c r="C9002" t="s">
        <v>11965</v>
      </c>
      <c r="D9002" t="s">
        <v>35110</v>
      </c>
      <c r="E9002" t="b">
        <v>0</v>
      </c>
      <c r="F9002" t="s">
        <v>11624</v>
      </c>
      <c r="G9002">
        <v>-11.1881</v>
      </c>
      <c r="H9002">
        <v>-50.349200000000003</v>
      </c>
      <c r="I9002" t="s">
        <v>644</v>
      </c>
      <c r="L9002">
        <v>0</v>
      </c>
      <c r="M9002">
        <v>0</v>
      </c>
      <c r="N9002">
        <v>1</v>
      </c>
      <c r="O9002" t="s">
        <v>11969</v>
      </c>
    </row>
    <row r="9003" spans="1:15">
      <c r="A9003" t="s">
        <v>35111</v>
      </c>
      <c r="B9003" t="s">
        <v>11965</v>
      </c>
      <c r="C9003" t="s">
        <v>697</v>
      </c>
      <c r="D9003" t="s">
        <v>35112</v>
      </c>
      <c r="E9003" t="b">
        <v>0</v>
      </c>
      <c r="F9003" t="s">
        <v>11610</v>
      </c>
      <c r="L9003">
        <v>0</v>
      </c>
      <c r="M9003">
        <v>0</v>
      </c>
      <c r="N9003">
        <v>0</v>
      </c>
    </row>
    <row r="9004" spans="1:15">
      <c r="A9004" t="s">
        <v>35113</v>
      </c>
      <c r="B9004" t="s">
        <v>11607</v>
      </c>
      <c r="C9004" t="s">
        <v>25288</v>
      </c>
      <c r="D9004" t="s">
        <v>35114</v>
      </c>
      <c r="E9004" t="b">
        <v>0</v>
      </c>
      <c r="F9004" t="s">
        <v>11610</v>
      </c>
      <c r="L9004">
        <v>0</v>
      </c>
      <c r="M9004">
        <v>0</v>
      </c>
      <c r="N9004">
        <v>0</v>
      </c>
    </row>
    <row r="9005" spans="1:15">
      <c r="A9005" t="s">
        <v>35115</v>
      </c>
      <c r="B9005" t="s">
        <v>13360</v>
      </c>
      <c r="C9005" t="s">
        <v>13360</v>
      </c>
      <c r="D9005" t="s">
        <v>6859</v>
      </c>
      <c r="E9005" t="b">
        <v>0</v>
      </c>
      <c r="F9005" t="s">
        <v>11624</v>
      </c>
      <c r="L9005">
        <v>0</v>
      </c>
      <c r="M9005">
        <v>0</v>
      </c>
      <c r="N9005">
        <v>0</v>
      </c>
      <c r="O9005" t="s">
        <v>14946</v>
      </c>
    </row>
    <row r="9006" spans="1:15">
      <c r="A9006" t="s">
        <v>35116</v>
      </c>
      <c r="B9006" t="s">
        <v>11637</v>
      </c>
      <c r="C9006" t="s">
        <v>20403</v>
      </c>
      <c r="D9006" t="s">
        <v>35117</v>
      </c>
      <c r="E9006" t="b">
        <v>0</v>
      </c>
      <c r="F9006" t="s">
        <v>11610</v>
      </c>
      <c r="L9006">
        <v>0</v>
      </c>
      <c r="M9006">
        <v>0</v>
      </c>
      <c r="N9006">
        <v>0</v>
      </c>
    </row>
    <row r="9007" spans="1:15">
      <c r="A9007" t="s">
        <v>35118</v>
      </c>
      <c r="B9007" t="s">
        <v>10597</v>
      </c>
      <c r="C9007" t="s">
        <v>35119</v>
      </c>
      <c r="D9007" t="s">
        <v>35120</v>
      </c>
      <c r="E9007" t="b">
        <v>0</v>
      </c>
      <c r="F9007" t="s">
        <v>11610</v>
      </c>
      <c r="L9007">
        <v>0</v>
      </c>
      <c r="M9007">
        <v>0</v>
      </c>
      <c r="N9007">
        <v>0</v>
      </c>
    </row>
    <row r="9008" spans="1:15">
      <c r="A9008" t="s">
        <v>35121</v>
      </c>
      <c r="B9008" t="s">
        <v>331</v>
      </c>
      <c r="C9008" t="s">
        <v>12891</v>
      </c>
      <c r="D9008" t="s">
        <v>35122</v>
      </c>
      <c r="E9008" t="b">
        <v>0</v>
      </c>
      <c r="F9008" t="s">
        <v>11610</v>
      </c>
      <c r="L9008">
        <v>0</v>
      </c>
      <c r="M9008">
        <v>0</v>
      </c>
      <c r="N9008">
        <v>0</v>
      </c>
    </row>
    <row r="9009" spans="1:15">
      <c r="A9009" t="s">
        <v>35123</v>
      </c>
      <c r="B9009" t="s">
        <v>6742</v>
      </c>
      <c r="C9009" t="s">
        <v>20994</v>
      </c>
      <c r="D9009" t="s">
        <v>35124</v>
      </c>
      <c r="E9009" t="b">
        <v>0</v>
      </c>
      <c r="F9009" t="s">
        <v>11610</v>
      </c>
      <c r="L9009">
        <v>0</v>
      </c>
      <c r="M9009">
        <v>0</v>
      </c>
      <c r="N9009">
        <v>0</v>
      </c>
    </row>
    <row r="9010" spans="1:15">
      <c r="A9010" t="s">
        <v>13543</v>
      </c>
      <c r="B9010" t="s">
        <v>11644</v>
      </c>
      <c r="C9010" t="s">
        <v>13813</v>
      </c>
      <c r="D9010" t="s">
        <v>35125</v>
      </c>
      <c r="E9010" t="b">
        <v>0</v>
      </c>
      <c r="F9010" t="s">
        <v>11622</v>
      </c>
      <c r="L9010">
        <v>0</v>
      </c>
      <c r="M9010">
        <v>2</v>
      </c>
      <c r="N9010">
        <v>3</v>
      </c>
    </row>
    <row r="9011" spans="1:15">
      <c r="A9011" t="s">
        <v>22634</v>
      </c>
      <c r="B9011" t="s">
        <v>11644</v>
      </c>
      <c r="C9011" t="s">
        <v>13543</v>
      </c>
      <c r="D9011" t="s">
        <v>35126</v>
      </c>
      <c r="E9011" t="b">
        <v>0</v>
      </c>
      <c r="F9011" t="s">
        <v>11624</v>
      </c>
      <c r="G9011">
        <v>25.7317</v>
      </c>
      <c r="H9011">
        <v>93.046199999999999</v>
      </c>
      <c r="I9011" t="s">
        <v>35127</v>
      </c>
      <c r="L9011">
        <v>0</v>
      </c>
      <c r="M9011">
        <v>0</v>
      </c>
      <c r="N9011">
        <v>3</v>
      </c>
      <c r="O9011" t="s">
        <v>11630</v>
      </c>
    </row>
    <row r="9012" spans="1:15">
      <c r="A9012" t="s">
        <v>35128</v>
      </c>
      <c r="B9012" t="s">
        <v>367</v>
      </c>
      <c r="C9012" t="s">
        <v>27319</v>
      </c>
      <c r="D9012" t="s">
        <v>35129</v>
      </c>
      <c r="E9012" t="b">
        <v>0</v>
      </c>
      <c r="F9012" t="s">
        <v>11610</v>
      </c>
      <c r="L9012">
        <v>0</v>
      </c>
      <c r="M9012">
        <v>0</v>
      </c>
      <c r="N9012">
        <v>0</v>
      </c>
    </row>
    <row r="9013" spans="1:15">
      <c r="A9013" t="s">
        <v>35130</v>
      </c>
      <c r="B9013" t="s">
        <v>11644</v>
      </c>
      <c r="C9013" t="s">
        <v>17422</v>
      </c>
      <c r="D9013" t="s">
        <v>35131</v>
      </c>
      <c r="E9013" t="b">
        <v>0</v>
      </c>
      <c r="F9013" t="s">
        <v>11610</v>
      </c>
      <c r="L9013">
        <v>0</v>
      </c>
      <c r="M9013">
        <v>0</v>
      </c>
      <c r="N9013">
        <v>0</v>
      </c>
    </row>
    <row r="9014" spans="1:15">
      <c r="A9014" t="s">
        <v>10100</v>
      </c>
      <c r="B9014" t="s">
        <v>12260</v>
      </c>
      <c r="C9014" t="s">
        <v>26640</v>
      </c>
      <c r="D9014" t="s">
        <v>35132</v>
      </c>
      <c r="E9014" t="b">
        <v>0</v>
      </c>
      <c r="F9014" t="s">
        <v>11624</v>
      </c>
      <c r="G9014">
        <v>65.1691</v>
      </c>
      <c r="H9014">
        <v>30.865500000000001</v>
      </c>
      <c r="I9014" t="s">
        <v>35133</v>
      </c>
      <c r="L9014">
        <v>0</v>
      </c>
      <c r="M9014">
        <v>0</v>
      </c>
      <c r="N9014">
        <v>4</v>
      </c>
      <c r="O9014" t="s">
        <v>35134</v>
      </c>
    </row>
    <row r="9015" spans="1:15">
      <c r="A9015" t="s">
        <v>35135</v>
      </c>
      <c r="B9015" t="s">
        <v>12250</v>
      </c>
      <c r="C9015" t="s">
        <v>35136</v>
      </c>
      <c r="D9015" t="s">
        <v>35137</v>
      </c>
      <c r="E9015" t="b">
        <v>0</v>
      </c>
      <c r="F9015" t="s">
        <v>11610</v>
      </c>
      <c r="L9015">
        <v>0</v>
      </c>
      <c r="M9015">
        <v>0</v>
      </c>
      <c r="N9015">
        <v>0</v>
      </c>
    </row>
    <row r="9016" spans="1:15">
      <c r="A9016" t="s">
        <v>21410</v>
      </c>
      <c r="B9016" t="s">
        <v>11644</v>
      </c>
      <c r="C9016" t="s">
        <v>11644</v>
      </c>
      <c r="D9016" t="s">
        <v>35138</v>
      </c>
      <c r="E9016" t="b">
        <v>0</v>
      </c>
      <c r="F9016" t="s">
        <v>11622</v>
      </c>
      <c r="L9016">
        <v>12</v>
      </c>
      <c r="M9016">
        <v>20</v>
      </c>
      <c r="N9016">
        <v>16</v>
      </c>
    </row>
    <row r="9017" spans="1:15">
      <c r="A9017" t="s">
        <v>35139</v>
      </c>
      <c r="B9017" t="s">
        <v>6742</v>
      </c>
      <c r="C9017" t="s">
        <v>35140</v>
      </c>
      <c r="D9017" t="s">
        <v>35141</v>
      </c>
      <c r="E9017" t="b">
        <v>0</v>
      </c>
      <c r="F9017" t="s">
        <v>11624</v>
      </c>
      <c r="G9017">
        <v>7.0564099999999996</v>
      </c>
      <c r="H9017">
        <v>15.220700000000001</v>
      </c>
      <c r="I9017" t="s">
        <v>35142</v>
      </c>
      <c r="L9017">
        <v>0</v>
      </c>
      <c r="M9017">
        <v>0</v>
      </c>
      <c r="N9017">
        <v>2</v>
      </c>
      <c r="O9017" t="s">
        <v>28845</v>
      </c>
    </row>
    <row r="9018" spans="1:15">
      <c r="A9018" t="s">
        <v>35143</v>
      </c>
      <c r="B9018" t="s">
        <v>367</v>
      </c>
      <c r="C9018" t="s">
        <v>16928</v>
      </c>
      <c r="D9018" t="s">
        <v>35144</v>
      </c>
      <c r="E9018" t="b">
        <v>0</v>
      </c>
      <c r="F9018" t="s">
        <v>11624</v>
      </c>
      <c r="G9018">
        <v>-6.7418100000000001</v>
      </c>
      <c r="H9018">
        <v>134.375</v>
      </c>
      <c r="I9018" t="s">
        <v>35145</v>
      </c>
      <c r="L9018">
        <v>0</v>
      </c>
      <c r="M9018">
        <v>0</v>
      </c>
      <c r="N9018">
        <v>0</v>
      </c>
      <c r="O9018" t="s">
        <v>11768</v>
      </c>
    </row>
    <row r="9019" spans="1:15">
      <c r="A9019" t="s">
        <v>35146</v>
      </c>
      <c r="B9019" t="s">
        <v>367</v>
      </c>
      <c r="C9019" t="s">
        <v>35147</v>
      </c>
      <c r="D9019" t="s">
        <v>35148</v>
      </c>
      <c r="E9019" t="b">
        <v>0</v>
      </c>
      <c r="F9019" t="s">
        <v>11610</v>
      </c>
      <c r="L9019">
        <v>0</v>
      </c>
      <c r="M9019">
        <v>0</v>
      </c>
      <c r="N9019">
        <v>0</v>
      </c>
    </row>
    <row r="9020" spans="1:15">
      <c r="A9020" t="s">
        <v>35149</v>
      </c>
      <c r="B9020" t="s">
        <v>11615</v>
      </c>
      <c r="C9020" t="s">
        <v>30121</v>
      </c>
      <c r="D9020" t="s">
        <v>35150</v>
      </c>
      <c r="E9020" t="b">
        <v>0</v>
      </c>
      <c r="F9020" t="s">
        <v>11624</v>
      </c>
      <c r="G9020">
        <v>-5.07674</v>
      </c>
      <c r="H9020">
        <v>145.499</v>
      </c>
      <c r="I9020" t="s">
        <v>35151</v>
      </c>
      <c r="L9020">
        <v>0</v>
      </c>
      <c r="M9020">
        <v>0</v>
      </c>
      <c r="N9020">
        <v>0</v>
      </c>
      <c r="O9020" t="s">
        <v>11660</v>
      </c>
    </row>
    <row r="9021" spans="1:15">
      <c r="A9021" t="s">
        <v>18792</v>
      </c>
      <c r="B9021" t="s">
        <v>11607</v>
      </c>
      <c r="C9021" t="s">
        <v>19246</v>
      </c>
      <c r="D9021" t="s">
        <v>35152</v>
      </c>
      <c r="E9021" t="b">
        <v>0</v>
      </c>
      <c r="F9021" t="s">
        <v>11624</v>
      </c>
      <c r="G9021">
        <v>12.5176</v>
      </c>
      <c r="H9021">
        <v>10.873200000000001</v>
      </c>
      <c r="I9021" t="s">
        <v>35153</v>
      </c>
      <c r="L9021">
        <v>0</v>
      </c>
      <c r="M9021">
        <v>0</v>
      </c>
      <c r="N9021">
        <v>3</v>
      </c>
      <c r="O9021" t="s">
        <v>11693</v>
      </c>
    </row>
    <row r="9022" spans="1:15">
      <c r="A9022" t="s">
        <v>16928</v>
      </c>
      <c r="B9022" t="s">
        <v>367</v>
      </c>
      <c r="C9022" t="s">
        <v>14691</v>
      </c>
      <c r="D9022" t="s">
        <v>35154</v>
      </c>
      <c r="E9022" t="b">
        <v>0</v>
      </c>
      <c r="F9022" t="s">
        <v>11622</v>
      </c>
      <c r="L9022">
        <v>0</v>
      </c>
      <c r="M9022">
        <v>2</v>
      </c>
      <c r="N9022">
        <v>2</v>
      </c>
    </row>
    <row r="9023" spans="1:15">
      <c r="A9023" t="s">
        <v>35140</v>
      </c>
      <c r="B9023" t="s">
        <v>6742</v>
      </c>
      <c r="C9023" t="s">
        <v>35058</v>
      </c>
      <c r="D9023" t="s">
        <v>35155</v>
      </c>
      <c r="E9023" t="b">
        <v>0</v>
      </c>
      <c r="F9023" t="s">
        <v>11622</v>
      </c>
      <c r="L9023">
        <v>0</v>
      </c>
      <c r="M9023">
        <v>2</v>
      </c>
      <c r="N9023">
        <v>6</v>
      </c>
    </row>
    <row r="9024" spans="1:15">
      <c r="A9024" t="s">
        <v>35156</v>
      </c>
      <c r="B9024" t="s">
        <v>11637</v>
      </c>
      <c r="C9024" t="s">
        <v>12270</v>
      </c>
      <c r="D9024" t="s">
        <v>35157</v>
      </c>
      <c r="E9024" t="b">
        <v>0</v>
      </c>
      <c r="F9024" t="s">
        <v>11610</v>
      </c>
      <c r="L9024">
        <v>0</v>
      </c>
      <c r="M9024">
        <v>0</v>
      </c>
      <c r="N9024">
        <v>0</v>
      </c>
    </row>
    <row r="9025" spans="1:15">
      <c r="A9025" t="s">
        <v>25764</v>
      </c>
      <c r="D9025" t="s">
        <v>35158</v>
      </c>
      <c r="E9025" t="b">
        <v>0</v>
      </c>
      <c r="F9025" t="s">
        <v>11624</v>
      </c>
      <c r="G9025">
        <v>-7.434628</v>
      </c>
      <c r="H9025">
        <v>-40.487274999999997</v>
      </c>
      <c r="L9025">
        <v>0</v>
      </c>
      <c r="M9025">
        <v>0</v>
      </c>
      <c r="N9025">
        <v>4</v>
      </c>
      <c r="O9025" t="s">
        <v>11969</v>
      </c>
    </row>
    <row r="9026" spans="1:15">
      <c r="A9026" t="s">
        <v>35159</v>
      </c>
      <c r="B9026" t="s">
        <v>13360</v>
      </c>
      <c r="C9026" t="s">
        <v>13360</v>
      </c>
      <c r="D9026" t="s">
        <v>35160</v>
      </c>
      <c r="E9026" t="b">
        <v>0</v>
      </c>
      <c r="F9026" t="s">
        <v>11624</v>
      </c>
      <c r="G9026">
        <v>-9.84999</v>
      </c>
      <c r="H9026">
        <v>-36.333300000000001</v>
      </c>
      <c r="I9026" t="s">
        <v>35161</v>
      </c>
      <c r="L9026">
        <v>0</v>
      </c>
      <c r="M9026">
        <v>0</v>
      </c>
      <c r="N9026">
        <v>0</v>
      </c>
      <c r="O9026" t="s">
        <v>11969</v>
      </c>
    </row>
    <row r="9027" spans="1:15">
      <c r="A9027" t="s">
        <v>35162</v>
      </c>
      <c r="B9027" t="s">
        <v>11637</v>
      </c>
      <c r="C9027" t="s">
        <v>29975</v>
      </c>
      <c r="D9027" t="s">
        <v>35163</v>
      </c>
      <c r="E9027" t="b">
        <v>0</v>
      </c>
      <c r="F9027" t="s">
        <v>11624</v>
      </c>
      <c r="G9027">
        <v>3.4282499999999998</v>
      </c>
      <c r="H9027">
        <v>-51.688800000000001</v>
      </c>
      <c r="I9027" t="s">
        <v>35164</v>
      </c>
      <c r="L9027">
        <v>0</v>
      </c>
      <c r="M9027">
        <v>0</v>
      </c>
      <c r="N9027">
        <v>0</v>
      </c>
      <c r="O9027" t="s">
        <v>11969</v>
      </c>
    </row>
    <row r="9028" spans="1:15">
      <c r="A9028" t="s">
        <v>35165</v>
      </c>
      <c r="B9028" t="s">
        <v>11637</v>
      </c>
      <c r="C9028" t="s">
        <v>12777</v>
      </c>
      <c r="D9028" t="s">
        <v>35166</v>
      </c>
      <c r="E9028" t="b">
        <v>0</v>
      </c>
      <c r="F9028" t="s">
        <v>11610</v>
      </c>
      <c r="L9028">
        <v>0</v>
      </c>
      <c r="M9028">
        <v>0</v>
      </c>
      <c r="N9028">
        <v>0</v>
      </c>
    </row>
    <row r="9029" spans="1:15">
      <c r="A9029" t="s">
        <v>35167</v>
      </c>
      <c r="B9029" t="s">
        <v>11637</v>
      </c>
      <c r="C9029" t="s">
        <v>30802</v>
      </c>
      <c r="D9029" t="s">
        <v>35168</v>
      </c>
      <c r="E9029" t="b">
        <v>0</v>
      </c>
      <c r="F9029" t="s">
        <v>11624</v>
      </c>
      <c r="G9029">
        <v>38.565600000000003</v>
      </c>
      <c r="H9029">
        <v>47.432899999999997</v>
      </c>
      <c r="I9029" t="s">
        <v>35169</v>
      </c>
      <c r="L9029">
        <v>0</v>
      </c>
      <c r="M9029">
        <v>0</v>
      </c>
      <c r="N9029">
        <v>0</v>
      </c>
      <c r="O9029" t="s">
        <v>13225</v>
      </c>
    </row>
    <row r="9030" spans="1:15">
      <c r="A9030" t="s">
        <v>35170</v>
      </c>
      <c r="B9030" t="s">
        <v>10597</v>
      </c>
      <c r="C9030" t="s">
        <v>35171</v>
      </c>
      <c r="D9030" t="s">
        <v>35172</v>
      </c>
      <c r="E9030" t="b">
        <v>0</v>
      </c>
      <c r="F9030" t="s">
        <v>11624</v>
      </c>
      <c r="G9030">
        <v>-20.445</v>
      </c>
      <c r="H9030">
        <v>118.613</v>
      </c>
      <c r="I9030" t="s">
        <v>35173</v>
      </c>
      <c r="L9030">
        <v>0</v>
      </c>
      <c r="M9030">
        <v>0</v>
      </c>
      <c r="N9030">
        <v>0</v>
      </c>
      <c r="O9030" t="s">
        <v>12107</v>
      </c>
    </row>
    <row r="9031" spans="1:15">
      <c r="A9031" t="s">
        <v>35174</v>
      </c>
      <c r="B9031" t="s">
        <v>6742</v>
      </c>
      <c r="C9031" t="s">
        <v>35139</v>
      </c>
      <c r="D9031" t="s">
        <v>35175</v>
      </c>
      <c r="E9031" t="b">
        <v>0</v>
      </c>
      <c r="F9031" t="s">
        <v>11610</v>
      </c>
      <c r="L9031">
        <v>0</v>
      </c>
      <c r="M9031">
        <v>0</v>
      </c>
      <c r="N9031">
        <v>0</v>
      </c>
    </row>
    <row r="9032" spans="1:15">
      <c r="A9032" t="s">
        <v>35176</v>
      </c>
      <c r="B9032" t="s">
        <v>6742</v>
      </c>
      <c r="C9032" t="s">
        <v>27579</v>
      </c>
      <c r="D9032" t="s">
        <v>35177</v>
      </c>
      <c r="E9032" t="b">
        <v>0</v>
      </c>
      <c r="F9032" t="s">
        <v>11624</v>
      </c>
      <c r="G9032">
        <v>5.0352499999999996</v>
      </c>
      <c r="H9032">
        <v>25.749099999999999</v>
      </c>
      <c r="I9032" t="s">
        <v>35178</v>
      </c>
      <c r="L9032">
        <v>0</v>
      </c>
      <c r="M9032">
        <v>0</v>
      </c>
      <c r="N9032">
        <v>0</v>
      </c>
      <c r="O9032" t="s">
        <v>14825</v>
      </c>
    </row>
    <row r="9033" spans="1:15">
      <c r="A9033" t="s">
        <v>35179</v>
      </c>
      <c r="B9033" t="s">
        <v>367</v>
      </c>
      <c r="C9033" t="s">
        <v>16801</v>
      </c>
      <c r="D9033" t="s">
        <v>35180</v>
      </c>
      <c r="E9033" t="b">
        <v>0</v>
      </c>
      <c r="F9033" t="s">
        <v>11610</v>
      </c>
      <c r="L9033">
        <v>0</v>
      </c>
      <c r="M9033">
        <v>0</v>
      </c>
      <c r="N9033">
        <v>0</v>
      </c>
    </row>
    <row r="9034" spans="1:15">
      <c r="A9034" t="s">
        <v>35181</v>
      </c>
      <c r="B9034" t="s">
        <v>12218</v>
      </c>
      <c r="C9034" t="s">
        <v>12219</v>
      </c>
      <c r="D9034" t="s">
        <v>35182</v>
      </c>
      <c r="E9034" t="b">
        <v>0</v>
      </c>
      <c r="F9034" t="s">
        <v>11610</v>
      </c>
      <c r="L9034">
        <v>0</v>
      </c>
      <c r="M9034">
        <v>0</v>
      </c>
      <c r="N9034">
        <v>0</v>
      </c>
    </row>
    <row r="9035" spans="1:15">
      <c r="A9035" t="s">
        <v>35183</v>
      </c>
      <c r="B9035" t="s">
        <v>11627</v>
      </c>
      <c r="C9035" t="s">
        <v>11627</v>
      </c>
      <c r="D9035" t="s">
        <v>35184</v>
      </c>
      <c r="E9035" t="b">
        <v>1</v>
      </c>
      <c r="F9035" t="s">
        <v>11624</v>
      </c>
      <c r="G9035">
        <v>-2.92</v>
      </c>
      <c r="H9035">
        <v>-52.42</v>
      </c>
      <c r="I9035" t="s">
        <v>35185</v>
      </c>
      <c r="L9035">
        <v>0</v>
      </c>
      <c r="M9035">
        <v>0</v>
      </c>
      <c r="N9035">
        <v>0</v>
      </c>
      <c r="O9035" t="s">
        <v>11969</v>
      </c>
    </row>
    <row r="9036" spans="1:15">
      <c r="A9036" t="s">
        <v>35186</v>
      </c>
      <c r="B9036" t="s">
        <v>11912</v>
      </c>
      <c r="C9036" t="s">
        <v>14539</v>
      </c>
      <c r="D9036" t="s">
        <v>35187</v>
      </c>
      <c r="E9036" t="b">
        <v>0</v>
      </c>
      <c r="F9036" t="s">
        <v>11624</v>
      </c>
      <c r="G9036">
        <v>-9.3793699999999998</v>
      </c>
      <c r="H9036">
        <v>-64.152199999999993</v>
      </c>
      <c r="I9036" t="s">
        <v>35188</v>
      </c>
      <c r="L9036">
        <v>0</v>
      </c>
      <c r="M9036">
        <v>0</v>
      </c>
      <c r="N9036">
        <v>0</v>
      </c>
      <c r="O9036" t="s">
        <v>11969</v>
      </c>
    </row>
    <row r="9037" spans="1:15">
      <c r="A9037" t="s">
        <v>35189</v>
      </c>
      <c r="B9037" t="s">
        <v>13244</v>
      </c>
      <c r="C9037" t="s">
        <v>19276</v>
      </c>
      <c r="D9037" t="s">
        <v>35190</v>
      </c>
      <c r="E9037" t="b">
        <v>0</v>
      </c>
      <c r="F9037" t="s">
        <v>11624</v>
      </c>
      <c r="G9037">
        <v>-10</v>
      </c>
      <c r="H9037">
        <v>-65.5</v>
      </c>
      <c r="L9037">
        <v>0</v>
      </c>
      <c r="M9037">
        <v>0</v>
      </c>
      <c r="N9037">
        <v>0</v>
      </c>
      <c r="O9037" t="s">
        <v>11969</v>
      </c>
    </row>
    <row r="9038" spans="1:15">
      <c r="A9038" t="s">
        <v>35191</v>
      </c>
      <c r="B9038" t="s">
        <v>11607</v>
      </c>
      <c r="C9038" t="s">
        <v>35192</v>
      </c>
      <c r="D9038" t="s">
        <v>35193</v>
      </c>
      <c r="E9038" t="b">
        <v>0</v>
      </c>
      <c r="F9038" t="s">
        <v>11624</v>
      </c>
      <c r="G9038">
        <v>11.011900000000001</v>
      </c>
      <c r="H9038">
        <v>9.63992</v>
      </c>
      <c r="I9038" t="s">
        <v>35194</v>
      </c>
      <c r="L9038">
        <v>0</v>
      </c>
      <c r="M9038">
        <v>0</v>
      </c>
      <c r="N9038">
        <v>0</v>
      </c>
      <c r="O9038" t="s">
        <v>11693</v>
      </c>
    </row>
    <row r="9039" spans="1:15">
      <c r="A9039" t="s">
        <v>35195</v>
      </c>
      <c r="B9039" t="s">
        <v>11912</v>
      </c>
      <c r="C9039" t="s">
        <v>13503</v>
      </c>
      <c r="D9039" t="s">
        <v>35196</v>
      </c>
      <c r="E9039" t="b">
        <v>0</v>
      </c>
      <c r="F9039" t="s">
        <v>11624</v>
      </c>
      <c r="G9039">
        <v>-10.2006</v>
      </c>
      <c r="H9039">
        <v>-64.280699999999996</v>
      </c>
      <c r="I9039" t="s">
        <v>35197</v>
      </c>
      <c r="L9039">
        <v>0</v>
      </c>
      <c r="M9039">
        <v>0</v>
      </c>
      <c r="N9039">
        <v>0</v>
      </c>
      <c r="O9039" t="s">
        <v>11969</v>
      </c>
    </row>
    <row r="9040" spans="1:15">
      <c r="A9040" t="s">
        <v>35198</v>
      </c>
      <c r="B9040" t="s">
        <v>11644</v>
      </c>
      <c r="C9040" t="s">
        <v>19604</v>
      </c>
      <c r="D9040" t="s">
        <v>35199</v>
      </c>
      <c r="E9040" t="b">
        <v>0</v>
      </c>
      <c r="F9040" t="s">
        <v>11610</v>
      </c>
      <c r="L9040">
        <v>0</v>
      </c>
      <c r="M9040">
        <v>0</v>
      </c>
      <c r="N9040">
        <v>0</v>
      </c>
    </row>
    <row r="9041" spans="1:15">
      <c r="A9041" t="s">
        <v>35200</v>
      </c>
      <c r="B9041" t="s">
        <v>3164</v>
      </c>
      <c r="C9041" t="s">
        <v>24816</v>
      </c>
      <c r="D9041" t="s">
        <v>35201</v>
      </c>
      <c r="E9041" t="b">
        <v>0</v>
      </c>
      <c r="F9041" t="s">
        <v>11624</v>
      </c>
      <c r="G9041">
        <v>12.0542</v>
      </c>
      <c r="H9041">
        <v>29.2074</v>
      </c>
      <c r="I9041" t="s">
        <v>35202</v>
      </c>
      <c r="L9041">
        <v>0</v>
      </c>
      <c r="M9041">
        <v>0</v>
      </c>
      <c r="N9041">
        <v>0</v>
      </c>
      <c r="O9041" t="s">
        <v>11910</v>
      </c>
    </row>
    <row r="9042" spans="1:15">
      <c r="A9042" t="s">
        <v>35203</v>
      </c>
      <c r="B9042" t="s">
        <v>13967</v>
      </c>
      <c r="C9042" t="s">
        <v>34761</v>
      </c>
      <c r="D9042" t="s">
        <v>35204</v>
      </c>
      <c r="E9042" t="b">
        <v>0</v>
      </c>
      <c r="F9042" t="s">
        <v>11610</v>
      </c>
      <c r="L9042">
        <v>0</v>
      </c>
      <c r="M9042">
        <v>0</v>
      </c>
      <c r="N9042">
        <v>0</v>
      </c>
    </row>
    <row r="9043" spans="1:15">
      <c r="A9043" t="s">
        <v>15133</v>
      </c>
      <c r="B9043" t="s">
        <v>15132</v>
      </c>
      <c r="C9043" t="s">
        <v>26327</v>
      </c>
      <c r="D9043" t="s">
        <v>35205</v>
      </c>
      <c r="E9043" t="b">
        <v>0</v>
      </c>
      <c r="F9043" t="s">
        <v>11624</v>
      </c>
      <c r="G9043">
        <v>-3.7495400000000001</v>
      </c>
      <c r="H9043">
        <v>141.09800000000001</v>
      </c>
      <c r="I9043" t="s">
        <v>35206</v>
      </c>
      <c r="L9043">
        <v>0</v>
      </c>
      <c r="M9043">
        <v>0</v>
      </c>
      <c r="N9043">
        <v>3</v>
      </c>
      <c r="O9043" t="s">
        <v>11660</v>
      </c>
    </row>
    <row r="9044" spans="1:15">
      <c r="A9044" t="s">
        <v>35207</v>
      </c>
      <c r="B9044" t="s">
        <v>17579</v>
      </c>
      <c r="C9044" t="s">
        <v>23471</v>
      </c>
      <c r="D9044" t="s">
        <v>35208</v>
      </c>
      <c r="E9044" t="b">
        <v>0</v>
      </c>
      <c r="F9044" t="s">
        <v>11624</v>
      </c>
      <c r="G9044">
        <v>40.56</v>
      </c>
      <c r="H9044">
        <v>-122.167</v>
      </c>
      <c r="I9044" t="s">
        <v>35209</v>
      </c>
      <c r="L9044">
        <v>0</v>
      </c>
      <c r="M9044">
        <v>0</v>
      </c>
      <c r="N9044">
        <v>0</v>
      </c>
      <c r="O9044" t="s">
        <v>11944</v>
      </c>
    </row>
    <row r="9045" spans="1:15">
      <c r="A9045" t="s">
        <v>35210</v>
      </c>
      <c r="B9045" t="s">
        <v>331</v>
      </c>
      <c r="C9045" t="s">
        <v>21977</v>
      </c>
      <c r="D9045" t="s">
        <v>35211</v>
      </c>
      <c r="E9045" t="b">
        <v>0</v>
      </c>
      <c r="F9045" t="s">
        <v>11622</v>
      </c>
      <c r="L9045">
        <v>4</v>
      </c>
      <c r="M9045">
        <v>6</v>
      </c>
      <c r="N9045">
        <v>14</v>
      </c>
    </row>
    <row r="9046" spans="1:15">
      <c r="A9046" t="s">
        <v>35212</v>
      </c>
      <c r="B9046" t="s">
        <v>12438</v>
      </c>
      <c r="C9046" t="s">
        <v>34501</v>
      </c>
      <c r="D9046" t="s">
        <v>35213</v>
      </c>
      <c r="E9046" t="b">
        <v>0</v>
      </c>
      <c r="F9046" t="s">
        <v>11610</v>
      </c>
      <c r="L9046">
        <v>0</v>
      </c>
      <c r="M9046">
        <v>0</v>
      </c>
      <c r="N9046">
        <v>0</v>
      </c>
    </row>
    <row r="9047" spans="1:15">
      <c r="A9047" t="s">
        <v>35214</v>
      </c>
      <c r="B9047" t="s">
        <v>11637</v>
      </c>
      <c r="C9047" t="s">
        <v>13717</v>
      </c>
      <c r="D9047" t="s">
        <v>35215</v>
      </c>
      <c r="E9047" t="b">
        <v>0</v>
      </c>
      <c r="F9047" t="s">
        <v>11610</v>
      </c>
      <c r="L9047">
        <v>0</v>
      </c>
      <c r="M9047">
        <v>0</v>
      </c>
      <c r="N9047">
        <v>0</v>
      </c>
    </row>
    <row r="9048" spans="1:15">
      <c r="A9048" t="s">
        <v>35216</v>
      </c>
      <c r="B9048" t="s">
        <v>367</v>
      </c>
      <c r="C9048" t="s">
        <v>14613</v>
      </c>
      <c r="D9048" t="s">
        <v>35217</v>
      </c>
      <c r="E9048" t="b">
        <v>0</v>
      </c>
      <c r="F9048" t="s">
        <v>11624</v>
      </c>
      <c r="G9048">
        <v>-5.7413299999999996</v>
      </c>
      <c r="H9048">
        <v>147.917</v>
      </c>
      <c r="I9048" t="s">
        <v>35218</v>
      </c>
      <c r="L9048">
        <v>0</v>
      </c>
      <c r="M9048">
        <v>0</v>
      </c>
      <c r="N9048">
        <v>0</v>
      </c>
      <c r="O9048" t="s">
        <v>11660</v>
      </c>
    </row>
    <row r="9049" spans="1:15">
      <c r="A9049" t="s">
        <v>21447</v>
      </c>
      <c r="B9049" t="s">
        <v>10597</v>
      </c>
      <c r="C9049" t="s">
        <v>10597</v>
      </c>
      <c r="D9049" t="s">
        <v>35219</v>
      </c>
      <c r="E9049" t="b">
        <v>0</v>
      </c>
      <c r="F9049" t="s">
        <v>11622</v>
      </c>
      <c r="L9049">
        <v>10</v>
      </c>
      <c r="M9049">
        <v>15</v>
      </c>
      <c r="N9049">
        <v>15</v>
      </c>
    </row>
    <row r="9050" spans="1:15">
      <c r="A9050" t="s">
        <v>35220</v>
      </c>
      <c r="B9050" t="s">
        <v>19339</v>
      </c>
      <c r="C9050" t="s">
        <v>19340</v>
      </c>
      <c r="D9050" t="s">
        <v>35221</v>
      </c>
      <c r="E9050" t="b">
        <v>0</v>
      </c>
      <c r="F9050" t="s">
        <v>11610</v>
      </c>
      <c r="L9050">
        <v>0</v>
      </c>
      <c r="M9050">
        <v>0</v>
      </c>
      <c r="N9050">
        <v>0</v>
      </c>
    </row>
    <row r="9051" spans="1:15">
      <c r="A9051" t="s">
        <v>35222</v>
      </c>
      <c r="B9051" t="s">
        <v>6742</v>
      </c>
      <c r="C9051" t="s">
        <v>35223</v>
      </c>
      <c r="D9051" t="s">
        <v>35224</v>
      </c>
      <c r="E9051" t="b">
        <v>0</v>
      </c>
      <c r="F9051" t="s">
        <v>11622</v>
      </c>
      <c r="L9051">
        <v>0</v>
      </c>
      <c r="M9051">
        <v>2</v>
      </c>
      <c r="N9051">
        <v>0</v>
      </c>
    </row>
    <row r="9052" spans="1:15">
      <c r="A9052" t="s">
        <v>35225</v>
      </c>
      <c r="B9052" t="s">
        <v>6742</v>
      </c>
      <c r="C9052" t="s">
        <v>35222</v>
      </c>
      <c r="D9052" t="s">
        <v>35226</v>
      </c>
      <c r="E9052" t="b">
        <v>0</v>
      </c>
      <c r="F9052" t="s">
        <v>11624</v>
      </c>
      <c r="G9052">
        <v>12.9918</v>
      </c>
      <c r="H9052">
        <v>-16.738199999999999</v>
      </c>
      <c r="I9052" t="s">
        <v>35227</v>
      </c>
      <c r="L9052">
        <v>0</v>
      </c>
      <c r="M9052">
        <v>0</v>
      </c>
      <c r="N9052">
        <v>0</v>
      </c>
      <c r="O9052" t="s">
        <v>28448</v>
      </c>
    </row>
    <row r="9053" spans="1:15">
      <c r="A9053" t="s">
        <v>35228</v>
      </c>
      <c r="B9053" t="s">
        <v>6742</v>
      </c>
      <c r="C9053" t="s">
        <v>19032</v>
      </c>
      <c r="D9053" t="s">
        <v>35229</v>
      </c>
      <c r="E9053" t="b">
        <v>0</v>
      </c>
      <c r="F9053" t="s">
        <v>11610</v>
      </c>
      <c r="L9053">
        <v>0</v>
      </c>
      <c r="M9053">
        <v>0</v>
      </c>
      <c r="N9053">
        <v>0</v>
      </c>
    </row>
    <row r="9054" spans="1:15">
      <c r="A9054" t="s">
        <v>35230</v>
      </c>
      <c r="B9054" t="s">
        <v>11868</v>
      </c>
      <c r="C9054" t="s">
        <v>35231</v>
      </c>
      <c r="D9054" t="s">
        <v>35232</v>
      </c>
      <c r="E9054" t="b">
        <v>0</v>
      </c>
      <c r="F9054" t="s">
        <v>11610</v>
      </c>
      <c r="L9054">
        <v>0</v>
      </c>
      <c r="M9054">
        <v>0</v>
      </c>
      <c r="N9054">
        <v>0</v>
      </c>
    </row>
    <row r="9055" spans="1:15">
      <c r="A9055" t="s">
        <v>35233</v>
      </c>
      <c r="B9055" t="s">
        <v>11619</v>
      </c>
      <c r="C9055" t="s">
        <v>30665</v>
      </c>
      <c r="D9055" t="s">
        <v>35234</v>
      </c>
      <c r="E9055" t="b">
        <v>0</v>
      </c>
      <c r="F9055" t="s">
        <v>11624</v>
      </c>
      <c r="G9055">
        <v>5.2100999999999997</v>
      </c>
      <c r="H9055">
        <v>36.170900000000003</v>
      </c>
      <c r="I9055" t="s">
        <v>35235</v>
      </c>
      <c r="L9055">
        <v>0</v>
      </c>
      <c r="M9055">
        <v>0</v>
      </c>
      <c r="N9055">
        <v>0</v>
      </c>
      <c r="O9055" t="s">
        <v>11625</v>
      </c>
    </row>
    <row r="9056" spans="1:15">
      <c r="A9056" t="s">
        <v>35236</v>
      </c>
      <c r="B9056" t="s">
        <v>367</v>
      </c>
      <c r="C9056" t="s">
        <v>12491</v>
      </c>
      <c r="D9056" t="s">
        <v>35237</v>
      </c>
      <c r="E9056" t="b">
        <v>0</v>
      </c>
      <c r="F9056" t="s">
        <v>11624</v>
      </c>
      <c r="G9056">
        <v>-6.1556300000000004</v>
      </c>
      <c r="H9056">
        <v>149.90700000000001</v>
      </c>
      <c r="I9056" t="s">
        <v>35238</v>
      </c>
      <c r="L9056">
        <v>0</v>
      </c>
      <c r="M9056">
        <v>0</v>
      </c>
      <c r="N9056">
        <v>0</v>
      </c>
      <c r="O9056" t="s">
        <v>11660</v>
      </c>
    </row>
    <row r="9057" spans="1:15">
      <c r="A9057" t="s">
        <v>35239</v>
      </c>
      <c r="B9057" t="s">
        <v>367</v>
      </c>
      <c r="C9057" t="s">
        <v>35240</v>
      </c>
      <c r="D9057" t="s">
        <v>35241</v>
      </c>
      <c r="E9057" t="b">
        <v>0</v>
      </c>
      <c r="F9057" t="s">
        <v>11624</v>
      </c>
      <c r="G9057">
        <v>9.9920000000000009</v>
      </c>
      <c r="H9057">
        <v>122.816</v>
      </c>
      <c r="I9057" t="s">
        <v>35242</v>
      </c>
      <c r="L9057">
        <v>0</v>
      </c>
      <c r="M9057">
        <v>0</v>
      </c>
      <c r="N9057">
        <v>0</v>
      </c>
      <c r="O9057" t="s">
        <v>11749</v>
      </c>
    </row>
    <row r="9058" spans="1:15">
      <c r="A9058" t="s">
        <v>35243</v>
      </c>
      <c r="B9058" t="s">
        <v>367</v>
      </c>
      <c r="C9058" t="s">
        <v>35244</v>
      </c>
      <c r="D9058" t="s">
        <v>35245</v>
      </c>
      <c r="E9058" t="b">
        <v>0</v>
      </c>
      <c r="F9058" t="s">
        <v>11610</v>
      </c>
      <c r="L9058">
        <v>0</v>
      </c>
      <c r="M9058">
        <v>0</v>
      </c>
      <c r="N9058">
        <v>0</v>
      </c>
    </row>
    <row r="9059" spans="1:15">
      <c r="A9059" t="s">
        <v>35246</v>
      </c>
      <c r="B9059" t="s">
        <v>367</v>
      </c>
      <c r="C9059" t="s">
        <v>19446</v>
      </c>
      <c r="D9059" t="s">
        <v>35247</v>
      </c>
      <c r="E9059" t="b">
        <v>0</v>
      </c>
      <c r="F9059" t="s">
        <v>11610</v>
      </c>
      <c r="L9059">
        <v>0</v>
      </c>
      <c r="M9059">
        <v>0</v>
      </c>
      <c r="N9059">
        <v>0</v>
      </c>
    </row>
    <row r="9060" spans="1:15">
      <c r="A9060" t="s">
        <v>35248</v>
      </c>
      <c r="B9060" t="s">
        <v>11615</v>
      </c>
      <c r="C9060" t="s">
        <v>35249</v>
      </c>
      <c r="D9060" t="s">
        <v>35250</v>
      </c>
      <c r="E9060" t="b">
        <v>0</v>
      </c>
      <c r="F9060" t="s">
        <v>11610</v>
      </c>
      <c r="L9060">
        <v>0</v>
      </c>
      <c r="M9060">
        <v>0</v>
      </c>
      <c r="N9060">
        <v>0</v>
      </c>
    </row>
    <row r="9061" spans="1:15">
      <c r="A9061" t="s">
        <v>35251</v>
      </c>
      <c r="B9061" t="s">
        <v>35252</v>
      </c>
      <c r="C9061" t="s">
        <v>35252</v>
      </c>
      <c r="D9061" t="s">
        <v>35253</v>
      </c>
      <c r="E9061" t="b">
        <v>0</v>
      </c>
      <c r="F9061" t="s">
        <v>11610</v>
      </c>
      <c r="G9061">
        <v>-0.78710000000000002</v>
      </c>
      <c r="H9061">
        <v>132.66300000000001</v>
      </c>
      <c r="I9061" t="s">
        <v>35254</v>
      </c>
      <c r="L9061">
        <v>0</v>
      </c>
      <c r="M9061">
        <v>0</v>
      </c>
      <c r="N9061">
        <v>0</v>
      </c>
      <c r="O9061" t="s">
        <v>11768</v>
      </c>
    </row>
    <row r="9062" spans="1:15">
      <c r="A9062" t="s">
        <v>35255</v>
      </c>
      <c r="D9062" t="s">
        <v>35256</v>
      </c>
      <c r="E9062" t="b">
        <v>0</v>
      </c>
      <c r="F9062" t="s">
        <v>11624</v>
      </c>
      <c r="G9062">
        <v>41.822800000000001</v>
      </c>
      <c r="H9062">
        <v>-123.315</v>
      </c>
      <c r="I9062" t="s">
        <v>35257</v>
      </c>
      <c r="L9062">
        <v>0</v>
      </c>
      <c r="M9062">
        <v>0</v>
      </c>
      <c r="N9062">
        <v>0</v>
      </c>
      <c r="O9062" t="s">
        <v>11944</v>
      </c>
    </row>
    <row r="9063" spans="1:15">
      <c r="A9063" t="s">
        <v>35258</v>
      </c>
      <c r="B9063" t="s">
        <v>11912</v>
      </c>
      <c r="C9063" t="s">
        <v>35259</v>
      </c>
      <c r="D9063" t="s">
        <v>35260</v>
      </c>
      <c r="E9063" t="b">
        <v>0</v>
      </c>
      <c r="F9063" t="s">
        <v>11624</v>
      </c>
      <c r="G9063">
        <v>-10.334199999999999</v>
      </c>
      <c r="H9063">
        <v>-61.569099999999999</v>
      </c>
      <c r="I9063" t="s">
        <v>35261</v>
      </c>
      <c r="L9063">
        <v>0</v>
      </c>
      <c r="M9063">
        <v>0</v>
      </c>
      <c r="N9063">
        <v>1</v>
      </c>
      <c r="O9063" t="s">
        <v>11969</v>
      </c>
    </row>
    <row r="9064" spans="1:15">
      <c r="A9064" t="s">
        <v>35262</v>
      </c>
      <c r="B9064" t="s">
        <v>11912</v>
      </c>
      <c r="C9064" t="s">
        <v>35258</v>
      </c>
      <c r="D9064" t="s">
        <v>35263</v>
      </c>
      <c r="E9064" t="b">
        <v>0</v>
      </c>
      <c r="F9064" t="s">
        <v>11610</v>
      </c>
      <c r="L9064">
        <v>0</v>
      </c>
      <c r="M9064">
        <v>0</v>
      </c>
      <c r="N9064">
        <v>0</v>
      </c>
    </row>
    <row r="9065" spans="1:15">
      <c r="A9065" t="s">
        <v>35264</v>
      </c>
      <c r="B9065" t="s">
        <v>10597</v>
      </c>
      <c r="C9065" t="s">
        <v>35265</v>
      </c>
      <c r="D9065" t="s">
        <v>35266</v>
      </c>
      <c r="E9065" t="b">
        <v>0</v>
      </c>
      <c r="F9065" t="s">
        <v>11624</v>
      </c>
      <c r="I9065" t="s">
        <v>35267</v>
      </c>
      <c r="L9065">
        <v>0</v>
      </c>
      <c r="M9065">
        <v>0</v>
      </c>
      <c r="N9065">
        <v>0</v>
      </c>
      <c r="O9065" t="s">
        <v>12107</v>
      </c>
    </row>
    <row r="9066" spans="1:15">
      <c r="A9066" t="s">
        <v>15355</v>
      </c>
      <c r="B9066" t="s">
        <v>11607</v>
      </c>
      <c r="C9066" t="s">
        <v>16031</v>
      </c>
      <c r="D9066" t="s">
        <v>35268</v>
      </c>
      <c r="E9066" t="b">
        <v>0</v>
      </c>
      <c r="F9066" t="s">
        <v>11622</v>
      </c>
      <c r="L9066">
        <v>0</v>
      </c>
      <c r="M9066">
        <v>2</v>
      </c>
      <c r="N9066">
        <v>9</v>
      </c>
    </row>
    <row r="9067" spans="1:15">
      <c r="A9067" t="s">
        <v>35269</v>
      </c>
      <c r="B9067" t="s">
        <v>11637</v>
      </c>
      <c r="C9067" t="s">
        <v>30640</v>
      </c>
      <c r="D9067" t="s">
        <v>35270</v>
      </c>
      <c r="E9067" t="b">
        <v>0</v>
      </c>
      <c r="F9067" t="s">
        <v>11610</v>
      </c>
      <c r="L9067">
        <v>0</v>
      </c>
      <c r="M9067">
        <v>0</v>
      </c>
      <c r="N9067">
        <v>0</v>
      </c>
    </row>
    <row r="9068" spans="1:15">
      <c r="A9068" t="s">
        <v>35271</v>
      </c>
      <c r="B9068" t="s">
        <v>331</v>
      </c>
      <c r="C9068" t="s">
        <v>12244</v>
      </c>
      <c r="D9068" t="s">
        <v>35272</v>
      </c>
      <c r="E9068" t="b">
        <v>0</v>
      </c>
      <c r="F9068" t="s">
        <v>11610</v>
      </c>
      <c r="L9068">
        <v>0</v>
      </c>
      <c r="M9068">
        <v>0</v>
      </c>
      <c r="N9068">
        <v>0</v>
      </c>
    </row>
    <row r="9069" spans="1:15">
      <c r="A9069" t="s">
        <v>35273</v>
      </c>
      <c r="B9069" t="s">
        <v>10597</v>
      </c>
      <c r="C9069" t="s">
        <v>35274</v>
      </c>
      <c r="D9069" t="s">
        <v>35275</v>
      </c>
      <c r="E9069" t="b">
        <v>0</v>
      </c>
      <c r="F9069" t="s">
        <v>11610</v>
      </c>
      <c r="L9069">
        <v>0</v>
      </c>
      <c r="M9069">
        <v>0</v>
      </c>
      <c r="N9069">
        <v>0</v>
      </c>
    </row>
    <row r="9070" spans="1:15">
      <c r="A9070" t="s">
        <v>12148</v>
      </c>
      <c r="D9070" t="s">
        <v>35276</v>
      </c>
      <c r="E9070" t="b">
        <v>0</v>
      </c>
      <c r="F9070" t="s">
        <v>11622</v>
      </c>
      <c r="L9070">
        <v>3</v>
      </c>
      <c r="M9070">
        <v>6</v>
      </c>
      <c r="N9070">
        <v>25</v>
      </c>
    </row>
    <row r="9071" spans="1:15">
      <c r="A9071" t="s">
        <v>35277</v>
      </c>
      <c r="B9071" t="s">
        <v>10597</v>
      </c>
      <c r="C9071" t="s">
        <v>35278</v>
      </c>
      <c r="D9071" t="s">
        <v>35279</v>
      </c>
      <c r="E9071" t="b">
        <v>0</v>
      </c>
      <c r="F9071" t="s">
        <v>11622</v>
      </c>
      <c r="L9071">
        <v>1</v>
      </c>
      <c r="M9071">
        <v>4</v>
      </c>
      <c r="N9071">
        <v>0</v>
      </c>
    </row>
    <row r="9072" spans="1:15">
      <c r="A9072" t="s">
        <v>15722</v>
      </c>
      <c r="B9072" t="s">
        <v>10597</v>
      </c>
      <c r="C9072" t="s">
        <v>35277</v>
      </c>
      <c r="D9072" t="s">
        <v>35280</v>
      </c>
      <c r="E9072" t="b">
        <v>0</v>
      </c>
      <c r="F9072" t="s">
        <v>11622</v>
      </c>
      <c r="L9072">
        <v>0</v>
      </c>
      <c r="M9072">
        <v>3</v>
      </c>
      <c r="N9072">
        <v>0</v>
      </c>
    </row>
    <row r="9073" spans="1:15">
      <c r="A9073" t="s">
        <v>35281</v>
      </c>
      <c r="B9073" t="s">
        <v>6742</v>
      </c>
      <c r="C9073" t="s">
        <v>21482</v>
      </c>
      <c r="D9073" t="s">
        <v>35282</v>
      </c>
      <c r="E9073" t="b">
        <v>0</v>
      </c>
      <c r="F9073" t="s">
        <v>11610</v>
      </c>
      <c r="L9073">
        <v>0</v>
      </c>
      <c r="M9073">
        <v>0</v>
      </c>
      <c r="N9073">
        <v>0</v>
      </c>
    </row>
    <row r="9074" spans="1:15">
      <c r="A9074" t="s">
        <v>35283</v>
      </c>
      <c r="B9074" t="s">
        <v>6742</v>
      </c>
      <c r="C9074" t="s">
        <v>24810</v>
      </c>
      <c r="D9074" t="s">
        <v>35284</v>
      </c>
      <c r="E9074" t="b">
        <v>0</v>
      </c>
      <c r="F9074" t="s">
        <v>11610</v>
      </c>
      <c r="L9074">
        <v>0</v>
      </c>
      <c r="M9074">
        <v>0</v>
      </c>
      <c r="N9074">
        <v>0</v>
      </c>
    </row>
    <row r="9075" spans="1:15">
      <c r="A9075" t="s">
        <v>35285</v>
      </c>
      <c r="B9075" t="s">
        <v>13264</v>
      </c>
      <c r="C9075" t="s">
        <v>7959</v>
      </c>
      <c r="D9075" t="s">
        <v>35286</v>
      </c>
      <c r="E9075" t="b">
        <v>0</v>
      </c>
      <c r="F9075" t="s">
        <v>11610</v>
      </c>
      <c r="L9075">
        <v>0</v>
      </c>
      <c r="M9075">
        <v>0</v>
      </c>
      <c r="N9075">
        <v>0</v>
      </c>
    </row>
    <row r="9076" spans="1:15">
      <c r="A9076" t="s">
        <v>35287</v>
      </c>
      <c r="B9076" t="s">
        <v>11637</v>
      </c>
      <c r="C9076" t="s">
        <v>293</v>
      </c>
      <c r="D9076" t="s">
        <v>35288</v>
      </c>
      <c r="E9076" t="b">
        <v>0</v>
      </c>
      <c r="F9076" t="s">
        <v>11610</v>
      </c>
      <c r="L9076">
        <v>0</v>
      </c>
      <c r="M9076">
        <v>0</v>
      </c>
      <c r="N9076">
        <v>0</v>
      </c>
    </row>
    <row r="9077" spans="1:15">
      <c r="A9077" t="s">
        <v>35289</v>
      </c>
      <c r="B9077" t="s">
        <v>6742</v>
      </c>
      <c r="C9077" t="s">
        <v>35290</v>
      </c>
      <c r="D9077" t="s">
        <v>35291</v>
      </c>
      <c r="E9077" t="b">
        <v>0</v>
      </c>
      <c r="F9077" t="s">
        <v>11624</v>
      </c>
      <c r="G9077">
        <v>12.417299999999999</v>
      </c>
      <c r="H9077">
        <v>-15.9413</v>
      </c>
      <c r="I9077" t="s">
        <v>35292</v>
      </c>
      <c r="L9077">
        <v>0</v>
      </c>
      <c r="M9077">
        <v>0</v>
      </c>
      <c r="N9077">
        <v>0</v>
      </c>
      <c r="O9077" t="s">
        <v>16009</v>
      </c>
    </row>
    <row r="9078" spans="1:15">
      <c r="A9078" t="s">
        <v>35293</v>
      </c>
      <c r="B9078" t="s">
        <v>6742</v>
      </c>
      <c r="C9078" t="s">
        <v>25251</v>
      </c>
      <c r="D9078" t="s">
        <v>35294</v>
      </c>
      <c r="E9078" t="b">
        <v>0</v>
      </c>
      <c r="F9078" t="s">
        <v>11610</v>
      </c>
      <c r="L9078">
        <v>0</v>
      </c>
      <c r="M9078">
        <v>0</v>
      </c>
      <c r="N9078">
        <v>0</v>
      </c>
    </row>
    <row r="9079" spans="1:15">
      <c r="A9079" t="s">
        <v>35295</v>
      </c>
      <c r="B9079" t="s">
        <v>6742</v>
      </c>
      <c r="C9079" t="s">
        <v>21272</v>
      </c>
      <c r="D9079" t="s">
        <v>35296</v>
      </c>
      <c r="E9079" t="b">
        <v>0</v>
      </c>
      <c r="F9079" t="s">
        <v>11610</v>
      </c>
      <c r="L9079">
        <v>0</v>
      </c>
      <c r="M9079">
        <v>0</v>
      </c>
      <c r="N9079">
        <v>0</v>
      </c>
    </row>
    <row r="9080" spans="1:15">
      <c r="A9080" t="s">
        <v>26063</v>
      </c>
      <c r="B9080" t="s">
        <v>6742</v>
      </c>
      <c r="C9080" t="s">
        <v>35297</v>
      </c>
      <c r="D9080" t="s">
        <v>35298</v>
      </c>
      <c r="E9080" t="b">
        <v>0</v>
      </c>
      <c r="F9080" t="s">
        <v>11624</v>
      </c>
      <c r="G9080">
        <v>11.0824</v>
      </c>
      <c r="H9080">
        <v>-1.39076</v>
      </c>
      <c r="I9080" t="s">
        <v>35299</v>
      </c>
      <c r="L9080">
        <v>0</v>
      </c>
      <c r="M9080">
        <v>0</v>
      </c>
      <c r="N9080">
        <v>6</v>
      </c>
      <c r="O9080" t="s">
        <v>27727</v>
      </c>
    </row>
    <row r="9081" spans="1:15">
      <c r="A9081" t="s">
        <v>35300</v>
      </c>
      <c r="B9081" t="s">
        <v>6742</v>
      </c>
      <c r="C9081" t="s">
        <v>16641</v>
      </c>
      <c r="D9081" t="s">
        <v>35301</v>
      </c>
      <c r="E9081" t="b">
        <v>0</v>
      </c>
      <c r="F9081" t="s">
        <v>11610</v>
      </c>
      <c r="L9081">
        <v>0</v>
      </c>
      <c r="M9081">
        <v>0</v>
      </c>
      <c r="N9081">
        <v>0</v>
      </c>
    </row>
    <row r="9082" spans="1:15">
      <c r="A9082" t="s">
        <v>10502</v>
      </c>
      <c r="B9082" t="s">
        <v>11637</v>
      </c>
      <c r="C9082" t="s">
        <v>35302</v>
      </c>
      <c r="D9082" t="s">
        <v>35303</v>
      </c>
      <c r="E9082" t="b">
        <v>0</v>
      </c>
      <c r="F9082" t="s">
        <v>11624</v>
      </c>
      <c r="G9082">
        <v>54.299599999999998</v>
      </c>
      <c r="H9082">
        <v>18.616299999999999</v>
      </c>
      <c r="I9082" t="s">
        <v>35304</v>
      </c>
      <c r="L9082">
        <v>0</v>
      </c>
      <c r="M9082">
        <v>0</v>
      </c>
      <c r="N9082">
        <v>2</v>
      </c>
      <c r="O9082" t="s">
        <v>27424</v>
      </c>
    </row>
    <row r="9083" spans="1:15">
      <c r="A9083" t="s">
        <v>35305</v>
      </c>
      <c r="B9083" t="s">
        <v>11637</v>
      </c>
      <c r="C9083" t="s">
        <v>10502</v>
      </c>
      <c r="D9083" t="s">
        <v>35306</v>
      </c>
      <c r="E9083" t="b">
        <v>0</v>
      </c>
      <c r="F9083" t="s">
        <v>11610</v>
      </c>
      <c r="L9083">
        <v>0</v>
      </c>
      <c r="M9083">
        <v>0</v>
      </c>
      <c r="N9083">
        <v>0</v>
      </c>
    </row>
    <row r="9084" spans="1:15">
      <c r="A9084" t="s">
        <v>35307</v>
      </c>
      <c r="B9084" t="s">
        <v>11637</v>
      </c>
      <c r="C9084" t="s">
        <v>14273</v>
      </c>
      <c r="D9084" t="s">
        <v>35308</v>
      </c>
      <c r="E9084" t="b">
        <v>0</v>
      </c>
      <c r="F9084" t="s">
        <v>11610</v>
      </c>
      <c r="L9084">
        <v>0</v>
      </c>
      <c r="M9084">
        <v>0</v>
      </c>
      <c r="N9084">
        <v>0</v>
      </c>
    </row>
    <row r="9085" spans="1:15">
      <c r="A9085" t="s">
        <v>16090</v>
      </c>
      <c r="B9085" t="s">
        <v>11637</v>
      </c>
      <c r="C9085" t="s">
        <v>22744</v>
      </c>
      <c r="D9085" t="s">
        <v>35309</v>
      </c>
      <c r="E9085" t="b">
        <v>0</v>
      </c>
      <c r="F9085" t="s">
        <v>11624</v>
      </c>
      <c r="G9085">
        <v>34.166825000000003</v>
      </c>
      <c r="H9085">
        <v>74.330455000000001</v>
      </c>
      <c r="I9085" t="s">
        <v>35310</v>
      </c>
      <c r="L9085">
        <v>0</v>
      </c>
      <c r="M9085">
        <v>0</v>
      </c>
      <c r="N9085">
        <v>13</v>
      </c>
      <c r="O9085" t="s">
        <v>15870</v>
      </c>
    </row>
    <row r="9086" spans="1:15">
      <c r="A9086" t="s">
        <v>35311</v>
      </c>
      <c r="B9086" t="s">
        <v>331</v>
      </c>
      <c r="C9086" t="s">
        <v>21400</v>
      </c>
      <c r="D9086" t="s">
        <v>35312</v>
      </c>
      <c r="E9086" t="b">
        <v>0</v>
      </c>
      <c r="F9086" t="s">
        <v>11610</v>
      </c>
      <c r="L9086">
        <v>0</v>
      </c>
      <c r="M9086">
        <v>0</v>
      </c>
      <c r="N9086">
        <v>0</v>
      </c>
    </row>
    <row r="9087" spans="1:15">
      <c r="A9087" t="s">
        <v>35313</v>
      </c>
      <c r="B9087" t="s">
        <v>11780</v>
      </c>
      <c r="C9087" t="s">
        <v>4079</v>
      </c>
      <c r="D9087" t="s">
        <v>35314</v>
      </c>
      <c r="E9087" t="b">
        <v>0</v>
      </c>
      <c r="F9087" t="s">
        <v>11610</v>
      </c>
      <c r="L9087">
        <v>0</v>
      </c>
      <c r="M9087">
        <v>0</v>
      </c>
      <c r="N9087">
        <v>0</v>
      </c>
    </row>
    <row r="9088" spans="1:15">
      <c r="A9088" t="s">
        <v>35315</v>
      </c>
      <c r="B9088" t="s">
        <v>21717</v>
      </c>
      <c r="C9088" t="s">
        <v>35316</v>
      </c>
      <c r="D9088" t="s">
        <v>35317</v>
      </c>
      <c r="E9088" t="b">
        <v>0</v>
      </c>
      <c r="F9088" t="s">
        <v>11624</v>
      </c>
      <c r="G9088">
        <v>38.542400000000001</v>
      </c>
      <c r="H9088">
        <v>-123.08</v>
      </c>
      <c r="I9088" t="s">
        <v>35318</v>
      </c>
      <c r="L9088">
        <v>0</v>
      </c>
      <c r="M9088">
        <v>0</v>
      </c>
      <c r="N9088">
        <v>0</v>
      </c>
      <c r="O9088" t="s">
        <v>11944</v>
      </c>
    </row>
    <row r="9089" spans="1:15">
      <c r="A9089" t="s">
        <v>35319</v>
      </c>
      <c r="B9089" t="s">
        <v>11637</v>
      </c>
      <c r="C9089" t="s">
        <v>21850</v>
      </c>
      <c r="D9089" t="s">
        <v>35320</v>
      </c>
      <c r="E9089" t="b">
        <v>0</v>
      </c>
      <c r="F9089" t="s">
        <v>11622</v>
      </c>
      <c r="L9089">
        <v>0</v>
      </c>
      <c r="M9089">
        <v>2</v>
      </c>
      <c r="N9089">
        <v>0</v>
      </c>
    </row>
    <row r="9090" spans="1:15">
      <c r="A9090" t="s">
        <v>35321</v>
      </c>
      <c r="B9090" t="s">
        <v>331</v>
      </c>
      <c r="C9090" t="s">
        <v>14894</v>
      </c>
      <c r="D9090" t="s">
        <v>35322</v>
      </c>
      <c r="E9090" t="b">
        <v>0</v>
      </c>
      <c r="F9090" t="s">
        <v>11610</v>
      </c>
      <c r="L9090">
        <v>0</v>
      </c>
      <c r="M9090">
        <v>0</v>
      </c>
      <c r="N9090">
        <v>0</v>
      </c>
    </row>
    <row r="9091" spans="1:15">
      <c r="A9091" t="s">
        <v>35323</v>
      </c>
      <c r="B9091" t="s">
        <v>11644</v>
      </c>
      <c r="C9091" t="s">
        <v>25946</v>
      </c>
      <c r="D9091" t="s">
        <v>35324</v>
      </c>
      <c r="E9091" t="b">
        <v>0</v>
      </c>
      <c r="F9091" t="s">
        <v>11610</v>
      </c>
      <c r="L9091">
        <v>0</v>
      </c>
      <c r="M9091">
        <v>0</v>
      </c>
      <c r="N9091">
        <v>0</v>
      </c>
    </row>
    <row r="9092" spans="1:15">
      <c r="A9092" t="s">
        <v>35325</v>
      </c>
      <c r="B9092" t="s">
        <v>6742</v>
      </c>
      <c r="C9092" t="s">
        <v>23978</v>
      </c>
      <c r="D9092" t="s">
        <v>35326</v>
      </c>
      <c r="E9092" t="b">
        <v>0</v>
      </c>
      <c r="F9092" t="s">
        <v>11610</v>
      </c>
      <c r="L9092">
        <v>0</v>
      </c>
      <c r="M9092">
        <v>0</v>
      </c>
      <c r="N9092">
        <v>0</v>
      </c>
    </row>
    <row r="9093" spans="1:15">
      <c r="A9093" t="s">
        <v>35327</v>
      </c>
      <c r="B9093" t="s">
        <v>367</v>
      </c>
      <c r="C9093" t="s">
        <v>16925</v>
      </c>
      <c r="D9093" t="s">
        <v>35328</v>
      </c>
      <c r="E9093" t="b">
        <v>0</v>
      </c>
      <c r="F9093" t="s">
        <v>11610</v>
      </c>
      <c r="L9093">
        <v>0</v>
      </c>
      <c r="M9093">
        <v>0</v>
      </c>
      <c r="N9093">
        <v>0</v>
      </c>
    </row>
    <row r="9094" spans="1:15">
      <c r="A9094" t="s">
        <v>35329</v>
      </c>
      <c r="B9094" t="s">
        <v>367</v>
      </c>
      <c r="C9094" t="s">
        <v>31442</v>
      </c>
      <c r="D9094" t="s">
        <v>35330</v>
      </c>
      <c r="E9094" t="b">
        <v>0</v>
      </c>
      <c r="F9094" t="s">
        <v>11610</v>
      </c>
      <c r="L9094">
        <v>0</v>
      </c>
      <c r="M9094">
        <v>0</v>
      </c>
      <c r="N9094">
        <v>0</v>
      </c>
    </row>
    <row r="9095" spans="1:15">
      <c r="A9095" t="s">
        <v>35331</v>
      </c>
      <c r="B9095" t="s">
        <v>367</v>
      </c>
      <c r="C9095" t="s">
        <v>35332</v>
      </c>
      <c r="D9095" t="s">
        <v>35333</v>
      </c>
      <c r="E9095" t="b">
        <v>0</v>
      </c>
      <c r="F9095" t="s">
        <v>11624</v>
      </c>
      <c r="G9095">
        <v>16.188099999999999</v>
      </c>
      <c r="H9095">
        <v>122.11799999999999</v>
      </c>
      <c r="I9095" t="s">
        <v>35334</v>
      </c>
      <c r="L9095">
        <v>0</v>
      </c>
      <c r="M9095">
        <v>0</v>
      </c>
      <c r="N9095">
        <v>0</v>
      </c>
      <c r="O9095" t="s">
        <v>11749</v>
      </c>
    </row>
    <row r="9096" spans="1:15">
      <c r="A9096" t="s">
        <v>35335</v>
      </c>
      <c r="B9096" t="s">
        <v>12460</v>
      </c>
      <c r="C9096" t="s">
        <v>35336</v>
      </c>
      <c r="D9096" t="s">
        <v>35337</v>
      </c>
      <c r="E9096" t="b">
        <v>0</v>
      </c>
      <c r="F9096" t="s">
        <v>11624</v>
      </c>
      <c r="G9096">
        <v>61.994199999999999</v>
      </c>
      <c r="H9096">
        <v>-132.41200000000001</v>
      </c>
      <c r="I9096" t="s">
        <v>35338</v>
      </c>
      <c r="L9096">
        <v>0</v>
      </c>
      <c r="M9096">
        <v>0</v>
      </c>
      <c r="N9096">
        <v>0</v>
      </c>
      <c r="O9096" t="s">
        <v>13049</v>
      </c>
    </row>
    <row r="9097" spans="1:15">
      <c r="A9097" t="s">
        <v>35339</v>
      </c>
      <c r="B9097" t="s">
        <v>11834</v>
      </c>
      <c r="C9097" t="s">
        <v>20335</v>
      </c>
      <c r="D9097" t="s">
        <v>35340</v>
      </c>
      <c r="E9097" t="b">
        <v>0</v>
      </c>
      <c r="F9097" t="s">
        <v>11610</v>
      </c>
      <c r="L9097">
        <v>0</v>
      </c>
      <c r="M9097">
        <v>0</v>
      </c>
      <c r="N9097">
        <v>0</v>
      </c>
    </row>
    <row r="9098" spans="1:15">
      <c r="A9098" t="s">
        <v>35341</v>
      </c>
      <c r="B9098" t="s">
        <v>6742</v>
      </c>
      <c r="C9098" t="s">
        <v>34363</v>
      </c>
      <c r="D9098" t="s">
        <v>35342</v>
      </c>
      <c r="E9098" t="b">
        <v>0</v>
      </c>
      <c r="F9098" t="s">
        <v>11610</v>
      </c>
      <c r="L9098">
        <v>0</v>
      </c>
      <c r="M9098">
        <v>0</v>
      </c>
      <c r="N9098">
        <v>0</v>
      </c>
    </row>
    <row r="9099" spans="1:15">
      <c r="A9099" t="s">
        <v>35343</v>
      </c>
      <c r="B9099" t="s">
        <v>11644</v>
      </c>
      <c r="C9099" t="s">
        <v>18428</v>
      </c>
      <c r="D9099" t="s">
        <v>35344</v>
      </c>
      <c r="E9099" t="b">
        <v>0</v>
      </c>
      <c r="F9099" t="s">
        <v>11610</v>
      </c>
      <c r="L9099">
        <v>0</v>
      </c>
      <c r="M9099">
        <v>0</v>
      </c>
      <c r="N9099">
        <v>0</v>
      </c>
    </row>
    <row r="9100" spans="1:15">
      <c r="A9100" t="s">
        <v>35345</v>
      </c>
      <c r="B9100" t="s">
        <v>13360</v>
      </c>
      <c r="C9100" t="s">
        <v>13360</v>
      </c>
      <c r="D9100" t="s">
        <v>35346</v>
      </c>
      <c r="E9100" t="b">
        <v>0</v>
      </c>
      <c r="F9100" t="s">
        <v>11624</v>
      </c>
      <c r="L9100">
        <v>0</v>
      </c>
      <c r="M9100">
        <v>0</v>
      </c>
      <c r="N9100">
        <v>0</v>
      </c>
      <c r="O9100" t="s">
        <v>12765</v>
      </c>
    </row>
    <row r="9101" spans="1:15">
      <c r="A9101" t="s">
        <v>35347</v>
      </c>
      <c r="B9101" t="s">
        <v>13276</v>
      </c>
      <c r="C9101" t="s">
        <v>35348</v>
      </c>
      <c r="D9101" t="s">
        <v>35349</v>
      </c>
      <c r="E9101" t="b">
        <v>0</v>
      </c>
      <c r="F9101" t="s">
        <v>11610</v>
      </c>
      <c r="L9101">
        <v>0</v>
      </c>
      <c r="M9101">
        <v>0</v>
      </c>
      <c r="N9101">
        <v>0</v>
      </c>
    </row>
    <row r="9102" spans="1:15">
      <c r="A9102" t="s">
        <v>35350</v>
      </c>
      <c r="B9102" t="s">
        <v>14314</v>
      </c>
      <c r="C9102" t="s">
        <v>35351</v>
      </c>
      <c r="D9102" t="s">
        <v>35352</v>
      </c>
      <c r="E9102" t="b">
        <v>0</v>
      </c>
      <c r="F9102" t="s">
        <v>11610</v>
      </c>
      <c r="L9102">
        <v>0</v>
      </c>
      <c r="M9102">
        <v>0</v>
      </c>
      <c r="N9102">
        <v>0</v>
      </c>
    </row>
    <row r="9103" spans="1:15">
      <c r="A9103" t="s">
        <v>35353</v>
      </c>
      <c r="B9103" t="s">
        <v>7862</v>
      </c>
      <c r="C9103" t="s">
        <v>12517</v>
      </c>
      <c r="D9103" t="s">
        <v>35354</v>
      </c>
      <c r="E9103" t="b">
        <v>0</v>
      </c>
      <c r="F9103" t="s">
        <v>11624</v>
      </c>
      <c r="G9103">
        <v>-6.6486099999999997</v>
      </c>
      <c r="H9103">
        <v>142.99299999999999</v>
      </c>
      <c r="I9103" t="s">
        <v>35355</v>
      </c>
      <c r="L9103">
        <v>0</v>
      </c>
      <c r="M9103">
        <v>0</v>
      </c>
      <c r="N9103">
        <v>0</v>
      </c>
      <c r="O9103" t="s">
        <v>11660</v>
      </c>
    </row>
    <row r="9104" spans="1:15">
      <c r="A9104" t="s">
        <v>35356</v>
      </c>
      <c r="B9104" t="s">
        <v>11615</v>
      </c>
      <c r="C9104" t="s">
        <v>24242</v>
      </c>
      <c r="D9104" t="s">
        <v>35357</v>
      </c>
      <c r="E9104" t="b">
        <v>0</v>
      </c>
      <c r="F9104" t="s">
        <v>11610</v>
      </c>
      <c r="L9104">
        <v>0</v>
      </c>
      <c r="M9104">
        <v>0</v>
      </c>
      <c r="N9104">
        <v>0</v>
      </c>
    </row>
    <row r="9105" spans="1:15">
      <c r="A9105" t="s">
        <v>35358</v>
      </c>
      <c r="B9105" t="s">
        <v>11637</v>
      </c>
      <c r="C9105" t="s">
        <v>33946</v>
      </c>
      <c r="D9105" t="s">
        <v>35359</v>
      </c>
      <c r="E9105" t="b">
        <v>0</v>
      </c>
      <c r="F9105" t="s">
        <v>11610</v>
      </c>
      <c r="L9105">
        <v>0</v>
      </c>
      <c r="M9105">
        <v>0</v>
      </c>
      <c r="N9105">
        <v>0</v>
      </c>
    </row>
    <row r="9106" spans="1:15">
      <c r="A9106" t="s">
        <v>35360</v>
      </c>
      <c r="B9106" t="s">
        <v>12438</v>
      </c>
      <c r="C9106" t="s">
        <v>25907</v>
      </c>
      <c r="D9106" t="s">
        <v>35361</v>
      </c>
      <c r="E9106" t="b">
        <v>0</v>
      </c>
      <c r="F9106" t="s">
        <v>11622</v>
      </c>
      <c r="G9106">
        <v>16.182300000000001</v>
      </c>
      <c r="H9106">
        <v>106.459</v>
      </c>
      <c r="I9106" t="s">
        <v>35362</v>
      </c>
      <c r="L9106">
        <v>0</v>
      </c>
      <c r="M9106">
        <v>2</v>
      </c>
      <c r="N9106">
        <v>0</v>
      </c>
      <c r="O9106" t="s">
        <v>14464</v>
      </c>
    </row>
    <row r="9107" spans="1:15">
      <c r="A9107" t="s">
        <v>35363</v>
      </c>
      <c r="B9107" t="s">
        <v>6742</v>
      </c>
      <c r="C9107" t="s">
        <v>14951</v>
      </c>
      <c r="D9107" t="s">
        <v>35364</v>
      </c>
      <c r="E9107" t="b">
        <v>0</v>
      </c>
      <c r="F9107" t="s">
        <v>11610</v>
      </c>
      <c r="L9107">
        <v>0</v>
      </c>
      <c r="M9107">
        <v>0</v>
      </c>
      <c r="N9107">
        <v>0</v>
      </c>
    </row>
    <row r="9108" spans="1:15">
      <c r="A9108" t="s">
        <v>35365</v>
      </c>
      <c r="B9108" t="s">
        <v>6742</v>
      </c>
      <c r="C9108" t="s">
        <v>23346</v>
      </c>
      <c r="D9108" t="s">
        <v>35366</v>
      </c>
      <c r="E9108" t="b">
        <v>0</v>
      </c>
      <c r="F9108" t="s">
        <v>11610</v>
      </c>
      <c r="L9108">
        <v>0</v>
      </c>
      <c r="M9108">
        <v>0</v>
      </c>
      <c r="N9108">
        <v>0</v>
      </c>
    </row>
    <row r="9109" spans="1:15">
      <c r="A9109" t="s">
        <v>35367</v>
      </c>
      <c r="B9109" t="s">
        <v>367</v>
      </c>
      <c r="C9109" t="s">
        <v>15251</v>
      </c>
      <c r="D9109" t="s">
        <v>35368</v>
      </c>
      <c r="E9109" t="b">
        <v>0</v>
      </c>
      <c r="F9109" t="s">
        <v>11610</v>
      </c>
      <c r="L9109">
        <v>0</v>
      </c>
      <c r="M9109">
        <v>0</v>
      </c>
      <c r="N9109">
        <v>0</v>
      </c>
    </row>
    <row r="9110" spans="1:15">
      <c r="A9110" t="s">
        <v>35369</v>
      </c>
      <c r="B9110" t="s">
        <v>12241</v>
      </c>
      <c r="C9110" t="s">
        <v>15198</v>
      </c>
      <c r="D9110" t="s">
        <v>35370</v>
      </c>
      <c r="E9110" t="b">
        <v>0</v>
      </c>
      <c r="F9110" t="s">
        <v>11624</v>
      </c>
      <c r="G9110">
        <v>17.950900000000001</v>
      </c>
      <c r="H9110">
        <v>121.544</v>
      </c>
      <c r="I9110" t="s">
        <v>35371</v>
      </c>
      <c r="L9110">
        <v>0</v>
      </c>
      <c r="M9110">
        <v>0</v>
      </c>
      <c r="N9110">
        <v>0</v>
      </c>
      <c r="O9110" t="s">
        <v>11749</v>
      </c>
    </row>
    <row r="9111" spans="1:15">
      <c r="A9111" t="s">
        <v>35372</v>
      </c>
      <c r="B9111" t="s">
        <v>8310</v>
      </c>
      <c r="C9111" t="s">
        <v>35373</v>
      </c>
      <c r="D9111" t="s">
        <v>35374</v>
      </c>
      <c r="E9111" t="b">
        <v>0</v>
      </c>
      <c r="F9111" t="s">
        <v>11610</v>
      </c>
      <c r="L9111">
        <v>0</v>
      </c>
      <c r="M9111">
        <v>0</v>
      </c>
      <c r="N9111">
        <v>0</v>
      </c>
    </row>
    <row r="9112" spans="1:15">
      <c r="A9112" t="s">
        <v>35375</v>
      </c>
      <c r="B9112" t="s">
        <v>8345</v>
      </c>
      <c r="C9112" t="s">
        <v>8345</v>
      </c>
      <c r="D9112" t="s">
        <v>35376</v>
      </c>
      <c r="E9112" t="b">
        <v>0</v>
      </c>
      <c r="F9112" t="s">
        <v>11624</v>
      </c>
      <c r="G9112">
        <v>-7.2501499999999997</v>
      </c>
      <c r="H9112">
        <v>-64.831900000000005</v>
      </c>
      <c r="I9112" t="s">
        <v>35377</v>
      </c>
      <c r="L9112">
        <v>0</v>
      </c>
      <c r="M9112">
        <v>0</v>
      </c>
      <c r="N9112">
        <v>0</v>
      </c>
      <c r="O9112" t="s">
        <v>11969</v>
      </c>
    </row>
    <row r="9113" spans="1:15">
      <c r="A9113" t="s">
        <v>35378</v>
      </c>
      <c r="B9113" t="s">
        <v>11607</v>
      </c>
      <c r="C9113" t="s">
        <v>26428</v>
      </c>
      <c r="D9113" t="s">
        <v>35379</v>
      </c>
      <c r="E9113" t="b">
        <v>0</v>
      </c>
      <c r="F9113" t="s">
        <v>11610</v>
      </c>
      <c r="L9113">
        <v>0</v>
      </c>
      <c r="M9113">
        <v>0</v>
      </c>
      <c r="N9113">
        <v>0</v>
      </c>
    </row>
    <row r="9114" spans="1:15">
      <c r="A9114" t="s">
        <v>33610</v>
      </c>
      <c r="B9114" t="s">
        <v>6742</v>
      </c>
      <c r="C9114" t="s">
        <v>32629</v>
      </c>
      <c r="D9114" t="s">
        <v>35380</v>
      </c>
      <c r="E9114" t="b">
        <v>0</v>
      </c>
      <c r="F9114" t="s">
        <v>11622</v>
      </c>
      <c r="L9114">
        <v>0</v>
      </c>
      <c r="M9114">
        <v>2</v>
      </c>
      <c r="N9114">
        <v>6</v>
      </c>
    </row>
    <row r="9115" spans="1:15">
      <c r="A9115" t="s">
        <v>35381</v>
      </c>
      <c r="B9115" t="s">
        <v>367</v>
      </c>
      <c r="C9115" t="s">
        <v>24951</v>
      </c>
      <c r="D9115" t="s">
        <v>35382</v>
      </c>
      <c r="E9115" t="b">
        <v>0</v>
      </c>
      <c r="F9115" t="s">
        <v>11624</v>
      </c>
      <c r="G9115">
        <v>-16.270099999999999</v>
      </c>
      <c r="H9115">
        <v>167.48400000000001</v>
      </c>
      <c r="I9115" t="s">
        <v>35383</v>
      </c>
      <c r="L9115">
        <v>0</v>
      </c>
      <c r="M9115">
        <v>0</v>
      </c>
      <c r="N9115">
        <v>0</v>
      </c>
      <c r="O9115" t="s">
        <v>12719</v>
      </c>
    </row>
    <row r="9116" spans="1:15">
      <c r="A9116" t="s">
        <v>35384</v>
      </c>
      <c r="B9116" t="s">
        <v>12438</v>
      </c>
      <c r="C9116" t="s">
        <v>21008</v>
      </c>
      <c r="D9116" t="s">
        <v>35385</v>
      </c>
      <c r="E9116" t="b">
        <v>0</v>
      </c>
      <c r="F9116" t="s">
        <v>11610</v>
      </c>
      <c r="L9116">
        <v>0</v>
      </c>
      <c r="M9116">
        <v>0</v>
      </c>
      <c r="N9116">
        <v>0</v>
      </c>
    </row>
    <row r="9117" spans="1:15">
      <c r="A9117" t="s">
        <v>23981</v>
      </c>
      <c r="B9117" t="s">
        <v>11868</v>
      </c>
      <c r="C9117" t="s">
        <v>34788</v>
      </c>
      <c r="D9117" t="s">
        <v>35386</v>
      </c>
      <c r="E9117" t="b">
        <v>0</v>
      </c>
      <c r="F9117" t="s">
        <v>11624</v>
      </c>
      <c r="G9117">
        <v>10.8423</v>
      </c>
      <c r="H9117">
        <v>29.491399999999999</v>
      </c>
      <c r="I9117" t="s">
        <v>35387</v>
      </c>
      <c r="L9117">
        <v>0</v>
      </c>
      <c r="M9117">
        <v>0</v>
      </c>
      <c r="N9117">
        <v>5</v>
      </c>
      <c r="O9117" t="s">
        <v>11910</v>
      </c>
    </row>
    <row r="9118" spans="1:15">
      <c r="A9118" t="s">
        <v>35388</v>
      </c>
      <c r="B9118" t="s">
        <v>11868</v>
      </c>
      <c r="C9118" t="s">
        <v>23981</v>
      </c>
      <c r="D9118" t="s">
        <v>35389</v>
      </c>
      <c r="E9118" t="b">
        <v>0</v>
      </c>
      <c r="F9118" t="s">
        <v>11610</v>
      </c>
      <c r="L9118">
        <v>0</v>
      </c>
      <c r="M9118">
        <v>0</v>
      </c>
      <c r="N9118">
        <v>0</v>
      </c>
    </row>
    <row r="9119" spans="1:15">
      <c r="A9119" t="s">
        <v>34788</v>
      </c>
      <c r="B9119" t="s">
        <v>11868</v>
      </c>
      <c r="C9119" t="s">
        <v>21780</v>
      </c>
      <c r="D9119" t="s">
        <v>35390</v>
      </c>
      <c r="E9119" t="b">
        <v>0</v>
      </c>
      <c r="F9119" t="s">
        <v>11622</v>
      </c>
      <c r="L9119">
        <v>0</v>
      </c>
      <c r="M9119">
        <v>2</v>
      </c>
      <c r="N9119">
        <v>10</v>
      </c>
    </row>
    <row r="9120" spans="1:15">
      <c r="A9120" t="s">
        <v>35391</v>
      </c>
      <c r="B9120" t="s">
        <v>19339</v>
      </c>
      <c r="C9120" t="s">
        <v>19340</v>
      </c>
      <c r="D9120" t="s">
        <v>35392</v>
      </c>
      <c r="E9120" t="b">
        <v>0</v>
      </c>
      <c r="F9120" t="s">
        <v>11610</v>
      </c>
      <c r="L9120">
        <v>0</v>
      </c>
      <c r="M9120">
        <v>0</v>
      </c>
      <c r="N9120">
        <v>0</v>
      </c>
    </row>
    <row r="9121" spans="1:15">
      <c r="A9121" t="s">
        <v>35393</v>
      </c>
      <c r="B9121" t="s">
        <v>6742</v>
      </c>
      <c r="C9121" t="s">
        <v>35394</v>
      </c>
      <c r="D9121" t="s">
        <v>35395</v>
      </c>
      <c r="E9121" t="b">
        <v>0</v>
      </c>
      <c r="F9121" t="s">
        <v>11610</v>
      </c>
      <c r="L9121">
        <v>0</v>
      </c>
      <c r="M9121">
        <v>0</v>
      </c>
      <c r="N9121">
        <v>0</v>
      </c>
    </row>
    <row r="9122" spans="1:15">
      <c r="A9122" t="s">
        <v>35396</v>
      </c>
      <c r="B9122" t="s">
        <v>11615</v>
      </c>
      <c r="C9122" t="s">
        <v>35397</v>
      </c>
      <c r="D9122" t="s">
        <v>35398</v>
      </c>
      <c r="E9122" t="b">
        <v>0</v>
      </c>
      <c r="F9122" t="s">
        <v>11624</v>
      </c>
      <c r="G9122">
        <v>-6.4794999999999998</v>
      </c>
      <c r="H9122">
        <v>147.75700000000001</v>
      </c>
      <c r="I9122" t="s">
        <v>35399</v>
      </c>
      <c r="L9122">
        <v>0</v>
      </c>
      <c r="M9122">
        <v>0</v>
      </c>
      <c r="N9122">
        <v>5</v>
      </c>
      <c r="O9122" t="s">
        <v>11660</v>
      </c>
    </row>
    <row r="9123" spans="1:15">
      <c r="A9123" t="s">
        <v>35397</v>
      </c>
      <c r="B9123" t="s">
        <v>11615</v>
      </c>
      <c r="C9123" t="s">
        <v>24349</v>
      </c>
      <c r="D9123" t="s">
        <v>35400</v>
      </c>
      <c r="E9123" t="b">
        <v>0</v>
      </c>
      <c r="F9123" t="s">
        <v>11622</v>
      </c>
      <c r="L9123">
        <v>0</v>
      </c>
      <c r="M9123">
        <v>3</v>
      </c>
      <c r="N9123">
        <v>9</v>
      </c>
    </row>
    <row r="9124" spans="1:15">
      <c r="A9124" t="s">
        <v>35401</v>
      </c>
      <c r="B9124" t="s">
        <v>11637</v>
      </c>
      <c r="C9124" t="s">
        <v>4958</v>
      </c>
      <c r="D9124" t="s">
        <v>35402</v>
      </c>
      <c r="E9124" t="b">
        <v>0</v>
      </c>
      <c r="F9124" t="s">
        <v>11610</v>
      </c>
      <c r="L9124">
        <v>0</v>
      </c>
      <c r="M9124">
        <v>0</v>
      </c>
      <c r="N9124">
        <v>0</v>
      </c>
    </row>
    <row r="9125" spans="1:15">
      <c r="A9125" t="s">
        <v>35403</v>
      </c>
      <c r="B9125" t="s">
        <v>11637</v>
      </c>
      <c r="C9125" t="s">
        <v>8918</v>
      </c>
      <c r="D9125" t="s">
        <v>35404</v>
      </c>
      <c r="E9125" t="b">
        <v>0</v>
      </c>
      <c r="F9125" t="s">
        <v>11610</v>
      </c>
      <c r="L9125">
        <v>0</v>
      </c>
      <c r="M9125">
        <v>0</v>
      </c>
      <c r="N9125">
        <v>0</v>
      </c>
    </row>
    <row r="9126" spans="1:15">
      <c r="A9126" t="s">
        <v>35405</v>
      </c>
      <c r="B9126" t="s">
        <v>11637</v>
      </c>
      <c r="C9126" t="s">
        <v>22734</v>
      </c>
      <c r="D9126" t="s">
        <v>35406</v>
      </c>
      <c r="E9126" t="b">
        <v>0</v>
      </c>
      <c r="F9126" t="s">
        <v>11624</v>
      </c>
      <c r="G9126">
        <v>28.5867</v>
      </c>
      <c r="H9126">
        <v>80.893100000000004</v>
      </c>
      <c r="I9126" t="s">
        <v>35407</v>
      </c>
      <c r="L9126">
        <v>0</v>
      </c>
      <c r="M9126">
        <v>0</v>
      </c>
      <c r="N9126">
        <v>0</v>
      </c>
      <c r="O9126" t="s">
        <v>12524</v>
      </c>
    </row>
    <row r="9127" spans="1:15">
      <c r="A9127" t="s">
        <v>35408</v>
      </c>
      <c r="B9127" t="s">
        <v>11644</v>
      </c>
      <c r="C9127" t="s">
        <v>35409</v>
      </c>
      <c r="D9127" t="s">
        <v>35410</v>
      </c>
      <c r="E9127" t="b">
        <v>0</v>
      </c>
      <c r="F9127" t="s">
        <v>11624</v>
      </c>
      <c r="G9127">
        <v>24.2</v>
      </c>
      <c r="H9127">
        <v>105.1</v>
      </c>
      <c r="I9127" t="s">
        <v>35411</v>
      </c>
      <c r="L9127">
        <v>0</v>
      </c>
      <c r="M9127">
        <v>0</v>
      </c>
      <c r="N9127">
        <v>0</v>
      </c>
      <c r="O9127" t="s">
        <v>11905</v>
      </c>
    </row>
    <row r="9128" spans="1:15">
      <c r="A9128" t="s">
        <v>35412</v>
      </c>
      <c r="B9128" t="s">
        <v>11644</v>
      </c>
      <c r="C9128" t="s">
        <v>15856</v>
      </c>
      <c r="D9128" t="s">
        <v>35413</v>
      </c>
      <c r="E9128" t="b">
        <v>0</v>
      </c>
      <c r="F9128" t="s">
        <v>11610</v>
      </c>
      <c r="L9128">
        <v>0</v>
      </c>
      <c r="M9128">
        <v>0</v>
      </c>
      <c r="N9128">
        <v>0</v>
      </c>
    </row>
    <row r="9129" spans="1:15">
      <c r="A9129" t="s">
        <v>35414</v>
      </c>
      <c r="B9129" t="s">
        <v>22610</v>
      </c>
      <c r="C9129" t="s">
        <v>22610</v>
      </c>
      <c r="D9129" t="s">
        <v>35415</v>
      </c>
      <c r="E9129" t="b">
        <v>0</v>
      </c>
      <c r="F9129" t="s">
        <v>11624</v>
      </c>
      <c r="L9129">
        <v>0</v>
      </c>
      <c r="M9129">
        <v>0</v>
      </c>
      <c r="N9129">
        <v>0</v>
      </c>
      <c r="O9129" t="s">
        <v>11944</v>
      </c>
    </row>
    <row r="9130" spans="1:15">
      <c r="A9130" t="s">
        <v>34674</v>
      </c>
      <c r="B9130" t="s">
        <v>11637</v>
      </c>
      <c r="C9130" t="s">
        <v>35416</v>
      </c>
      <c r="D9130" t="s">
        <v>35417</v>
      </c>
      <c r="E9130" t="b">
        <v>0</v>
      </c>
      <c r="F9130" t="s">
        <v>11622</v>
      </c>
      <c r="L9130">
        <v>0</v>
      </c>
      <c r="M9130">
        <v>2</v>
      </c>
      <c r="N9130">
        <v>5</v>
      </c>
    </row>
    <row r="9131" spans="1:15">
      <c r="A9131" t="s">
        <v>25865</v>
      </c>
      <c r="B9131" t="s">
        <v>11637</v>
      </c>
      <c r="C9131" t="s">
        <v>34674</v>
      </c>
      <c r="D9131" t="s">
        <v>35418</v>
      </c>
      <c r="E9131" t="b">
        <v>0</v>
      </c>
      <c r="F9131" t="s">
        <v>11624</v>
      </c>
      <c r="G9131">
        <v>35.414499999999997</v>
      </c>
      <c r="H9131">
        <v>70.982600000000005</v>
      </c>
      <c r="I9131" t="s">
        <v>35419</v>
      </c>
      <c r="L9131">
        <v>0</v>
      </c>
      <c r="M9131">
        <v>0</v>
      </c>
      <c r="N9131">
        <v>3</v>
      </c>
      <c r="O9131" t="s">
        <v>21350</v>
      </c>
    </row>
    <row r="9132" spans="1:15">
      <c r="A9132" t="s">
        <v>35420</v>
      </c>
      <c r="B9132" t="s">
        <v>11637</v>
      </c>
      <c r="C9132" t="s">
        <v>15671</v>
      </c>
      <c r="D9132" t="s">
        <v>35421</v>
      </c>
      <c r="E9132" t="b">
        <v>0</v>
      </c>
      <c r="F9132" t="s">
        <v>11610</v>
      </c>
      <c r="L9132">
        <v>0</v>
      </c>
      <c r="M9132">
        <v>0</v>
      </c>
      <c r="N9132">
        <v>0</v>
      </c>
    </row>
    <row r="9133" spans="1:15">
      <c r="A9133" t="s">
        <v>35422</v>
      </c>
      <c r="B9133" t="s">
        <v>11637</v>
      </c>
      <c r="C9133" t="s">
        <v>19820</v>
      </c>
      <c r="D9133" t="s">
        <v>35423</v>
      </c>
      <c r="E9133" t="b">
        <v>0</v>
      </c>
      <c r="F9133" t="s">
        <v>11610</v>
      </c>
      <c r="L9133">
        <v>0</v>
      </c>
      <c r="M9133">
        <v>0</v>
      </c>
      <c r="N9133">
        <v>0</v>
      </c>
    </row>
    <row r="9134" spans="1:15">
      <c r="A9134" t="s">
        <v>35424</v>
      </c>
      <c r="B9134" t="s">
        <v>6742</v>
      </c>
      <c r="C9134" t="s">
        <v>25013</v>
      </c>
      <c r="D9134" t="s">
        <v>35425</v>
      </c>
      <c r="E9134" t="b">
        <v>0</v>
      </c>
      <c r="F9134" t="s">
        <v>11610</v>
      </c>
      <c r="L9134">
        <v>0</v>
      </c>
      <c r="M9134">
        <v>0</v>
      </c>
      <c r="N9134">
        <v>0</v>
      </c>
    </row>
    <row r="9135" spans="1:15">
      <c r="A9135" t="s">
        <v>35426</v>
      </c>
      <c r="B9135" t="s">
        <v>6742</v>
      </c>
      <c r="C9135" t="s">
        <v>25013</v>
      </c>
      <c r="D9135" t="s">
        <v>35427</v>
      </c>
      <c r="E9135" t="b">
        <v>0</v>
      </c>
      <c r="F9135" t="s">
        <v>11610</v>
      </c>
      <c r="L9135">
        <v>0</v>
      </c>
      <c r="M9135">
        <v>0</v>
      </c>
      <c r="N9135">
        <v>0</v>
      </c>
    </row>
    <row r="9136" spans="1:15">
      <c r="A9136" t="s">
        <v>35428</v>
      </c>
      <c r="B9136" t="s">
        <v>367</v>
      </c>
      <c r="C9136" t="s">
        <v>24088</v>
      </c>
      <c r="D9136" t="s">
        <v>35429</v>
      </c>
      <c r="E9136" t="b">
        <v>0</v>
      </c>
      <c r="F9136" t="s">
        <v>11610</v>
      </c>
      <c r="L9136">
        <v>0</v>
      </c>
      <c r="M9136">
        <v>0</v>
      </c>
      <c r="N9136">
        <v>0</v>
      </c>
    </row>
    <row r="9137" spans="1:15">
      <c r="A9137" t="s">
        <v>35430</v>
      </c>
      <c r="B9137" t="s">
        <v>11627</v>
      </c>
      <c r="C9137" t="s">
        <v>11627</v>
      </c>
      <c r="D9137" t="s">
        <v>35431</v>
      </c>
      <c r="E9137" t="b">
        <v>1</v>
      </c>
      <c r="F9137" t="s">
        <v>11624</v>
      </c>
      <c r="I9137" t="s">
        <v>35432</v>
      </c>
      <c r="L9137">
        <v>0</v>
      </c>
      <c r="M9137">
        <v>0</v>
      </c>
      <c r="N9137">
        <v>0</v>
      </c>
    </row>
    <row r="9138" spans="1:15">
      <c r="A9138" t="s">
        <v>21379</v>
      </c>
      <c r="B9138" t="s">
        <v>11637</v>
      </c>
      <c r="C9138" t="s">
        <v>13719</v>
      </c>
      <c r="D9138" t="s">
        <v>35433</v>
      </c>
      <c r="E9138" t="b">
        <v>0</v>
      </c>
      <c r="F9138" t="s">
        <v>11624</v>
      </c>
      <c r="G9138">
        <v>18.966899999999999</v>
      </c>
      <c r="H9138">
        <v>73.173299999999998</v>
      </c>
      <c r="I9138" t="s">
        <v>35434</v>
      </c>
      <c r="L9138">
        <v>0</v>
      </c>
      <c r="M9138">
        <v>0</v>
      </c>
      <c r="N9138">
        <v>3</v>
      </c>
      <c r="O9138" t="s">
        <v>11630</v>
      </c>
    </row>
    <row r="9139" spans="1:15">
      <c r="A9139" t="s">
        <v>33759</v>
      </c>
      <c r="B9139" t="s">
        <v>19339</v>
      </c>
      <c r="C9139" t="s">
        <v>19339</v>
      </c>
      <c r="D9139" t="s">
        <v>35435</v>
      </c>
      <c r="E9139" t="b">
        <v>0</v>
      </c>
      <c r="F9139" t="s">
        <v>11622</v>
      </c>
      <c r="L9139">
        <v>0</v>
      </c>
      <c r="M9139">
        <v>2</v>
      </c>
      <c r="N9139">
        <v>6</v>
      </c>
    </row>
    <row r="9140" spans="1:15">
      <c r="A9140" t="s">
        <v>19340</v>
      </c>
      <c r="B9140" t="s">
        <v>19339</v>
      </c>
      <c r="C9140" t="s">
        <v>33759</v>
      </c>
      <c r="D9140" t="s">
        <v>35436</v>
      </c>
      <c r="E9140" t="b">
        <v>0</v>
      </c>
      <c r="F9140" t="s">
        <v>11624</v>
      </c>
      <c r="G9140">
        <v>11.80325</v>
      </c>
      <c r="H9140">
        <v>29.282540000000001</v>
      </c>
      <c r="I9140" t="s">
        <v>35437</v>
      </c>
      <c r="L9140">
        <v>0</v>
      </c>
      <c r="M9140">
        <v>0</v>
      </c>
      <c r="N9140">
        <v>6</v>
      </c>
      <c r="O9140" t="s">
        <v>11910</v>
      </c>
    </row>
    <row r="9141" spans="1:15">
      <c r="A9141" t="s">
        <v>19339</v>
      </c>
      <c r="D9141" t="s">
        <v>35438</v>
      </c>
      <c r="E9141" t="b">
        <v>0</v>
      </c>
      <c r="F9141" t="s">
        <v>11622</v>
      </c>
      <c r="L9141">
        <v>1</v>
      </c>
      <c r="M9141">
        <v>3</v>
      </c>
      <c r="N9141">
        <v>6</v>
      </c>
    </row>
    <row r="9142" spans="1:15">
      <c r="A9142" t="s">
        <v>35439</v>
      </c>
      <c r="B9142" t="s">
        <v>367</v>
      </c>
      <c r="C9142" t="s">
        <v>33884</v>
      </c>
      <c r="D9142" t="s">
        <v>35440</v>
      </c>
      <c r="E9142" t="b">
        <v>0</v>
      </c>
      <c r="F9142" t="s">
        <v>11610</v>
      </c>
      <c r="L9142">
        <v>0</v>
      </c>
      <c r="M9142">
        <v>0</v>
      </c>
      <c r="N9142">
        <v>0</v>
      </c>
    </row>
    <row r="9143" spans="1:15">
      <c r="A9143" t="s">
        <v>35441</v>
      </c>
      <c r="B9143" t="s">
        <v>367</v>
      </c>
      <c r="C9143" t="s">
        <v>20543</v>
      </c>
      <c r="D9143" t="s">
        <v>35442</v>
      </c>
      <c r="E9143" t="b">
        <v>0</v>
      </c>
      <c r="F9143" t="s">
        <v>11610</v>
      </c>
      <c r="L9143">
        <v>0</v>
      </c>
      <c r="M9143">
        <v>0</v>
      </c>
      <c r="N9143">
        <v>0</v>
      </c>
    </row>
    <row r="9144" spans="1:15">
      <c r="A9144" t="s">
        <v>35443</v>
      </c>
      <c r="B9144" t="s">
        <v>12460</v>
      </c>
      <c r="C9144" t="s">
        <v>20944</v>
      </c>
      <c r="D9144" t="s">
        <v>35444</v>
      </c>
      <c r="E9144" t="b">
        <v>0</v>
      </c>
      <c r="F9144" t="s">
        <v>11624</v>
      </c>
      <c r="G9144">
        <v>39.700200000000002</v>
      </c>
      <c r="H9144">
        <v>-123.432</v>
      </c>
      <c r="I9144" t="s">
        <v>35445</v>
      </c>
      <c r="L9144">
        <v>0</v>
      </c>
      <c r="M9144">
        <v>0</v>
      </c>
      <c r="N9144">
        <v>0</v>
      </c>
      <c r="O9144" t="s">
        <v>11944</v>
      </c>
    </row>
    <row r="9145" spans="1:15">
      <c r="A9145" t="s">
        <v>15254</v>
      </c>
      <c r="B9145" t="s">
        <v>6742</v>
      </c>
      <c r="C9145" t="s">
        <v>28255</v>
      </c>
      <c r="D9145" t="s">
        <v>35446</v>
      </c>
      <c r="E9145" t="b">
        <v>0</v>
      </c>
      <c r="F9145" t="s">
        <v>11622</v>
      </c>
      <c r="L9145">
        <v>4</v>
      </c>
      <c r="M9145">
        <v>8</v>
      </c>
      <c r="N9145">
        <v>6</v>
      </c>
    </row>
    <row r="9146" spans="1:15">
      <c r="A9146" t="s">
        <v>35447</v>
      </c>
      <c r="B9146" t="s">
        <v>11644</v>
      </c>
      <c r="C9146" t="s">
        <v>35448</v>
      </c>
      <c r="D9146" t="s">
        <v>35449</v>
      </c>
      <c r="E9146" t="b">
        <v>0</v>
      </c>
      <c r="F9146" t="s">
        <v>11624</v>
      </c>
      <c r="G9146">
        <v>24.6</v>
      </c>
      <c r="H9146">
        <v>102.4</v>
      </c>
      <c r="I9146" t="s">
        <v>35450</v>
      </c>
      <c r="L9146">
        <v>0</v>
      </c>
      <c r="M9146">
        <v>0</v>
      </c>
      <c r="N9146">
        <v>0</v>
      </c>
      <c r="O9146" t="s">
        <v>11905</v>
      </c>
    </row>
    <row r="9147" spans="1:15">
      <c r="A9147" t="s">
        <v>35451</v>
      </c>
      <c r="B9147" t="s">
        <v>11607</v>
      </c>
      <c r="C9147" t="s">
        <v>12022</v>
      </c>
      <c r="D9147" t="s">
        <v>35452</v>
      </c>
      <c r="E9147" t="b">
        <v>0</v>
      </c>
      <c r="F9147" t="s">
        <v>11610</v>
      </c>
      <c r="L9147">
        <v>0</v>
      </c>
      <c r="M9147">
        <v>0</v>
      </c>
      <c r="N9147">
        <v>0</v>
      </c>
    </row>
    <row r="9148" spans="1:15">
      <c r="A9148" t="s">
        <v>35453</v>
      </c>
      <c r="B9148" t="s">
        <v>12260</v>
      </c>
      <c r="C9148" t="s">
        <v>35454</v>
      </c>
      <c r="D9148" t="s">
        <v>35455</v>
      </c>
      <c r="E9148" t="b">
        <v>0</v>
      </c>
      <c r="F9148" t="s">
        <v>11610</v>
      </c>
      <c r="L9148">
        <v>0</v>
      </c>
      <c r="M9148">
        <v>0</v>
      </c>
      <c r="N9148">
        <v>0</v>
      </c>
    </row>
    <row r="9149" spans="1:15">
      <c r="A9149" t="s">
        <v>35456</v>
      </c>
      <c r="B9149" t="s">
        <v>12438</v>
      </c>
      <c r="C9149" t="s">
        <v>12438</v>
      </c>
      <c r="D9149" t="s">
        <v>35457</v>
      </c>
      <c r="E9149" t="b">
        <v>0</v>
      </c>
      <c r="F9149" t="s">
        <v>11622</v>
      </c>
      <c r="L9149">
        <v>10</v>
      </c>
      <c r="M9149">
        <v>15</v>
      </c>
      <c r="N9149">
        <v>23</v>
      </c>
    </row>
    <row r="9150" spans="1:15">
      <c r="A9150" t="s">
        <v>35458</v>
      </c>
      <c r="B9150" t="s">
        <v>12438</v>
      </c>
      <c r="C9150" t="s">
        <v>35456</v>
      </c>
      <c r="D9150" t="s">
        <v>35459</v>
      </c>
      <c r="E9150" t="b">
        <v>0</v>
      </c>
      <c r="F9150" t="s">
        <v>11622</v>
      </c>
      <c r="L9150">
        <v>1</v>
      </c>
      <c r="M9150">
        <v>3</v>
      </c>
      <c r="N9150">
        <v>0</v>
      </c>
    </row>
    <row r="9151" spans="1:15">
      <c r="A9151" t="s">
        <v>35460</v>
      </c>
      <c r="B9151" t="s">
        <v>12438</v>
      </c>
      <c r="C9151" t="s">
        <v>31520</v>
      </c>
      <c r="D9151" t="s">
        <v>35461</v>
      </c>
      <c r="E9151" t="b">
        <v>0</v>
      </c>
      <c r="F9151" t="s">
        <v>11624</v>
      </c>
      <c r="G9151">
        <v>14.8971</v>
      </c>
      <c r="H9151">
        <v>108.29300000000001</v>
      </c>
      <c r="I9151" t="s">
        <v>35462</v>
      </c>
      <c r="L9151">
        <v>0</v>
      </c>
      <c r="M9151">
        <v>0</v>
      </c>
      <c r="N9151">
        <v>0</v>
      </c>
      <c r="O9151" t="s">
        <v>15949</v>
      </c>
    </row>
    <row r="9152" spans="1:15">
      <c r="A9152" t="s">
        <v>8345</v>
      </c>
      <c r="D9152" t="s">
        <v>35463</v>
      </c>
      <c r="E9152" t="b">
        <v>0</v>
      </c>
      <c r="F9152" t="s">
        <v>11622</v>
      </c>
      <c r="L9152">
        <v>0</v>
      </c>
      <c r="M9152">
        <v>2</v>
      </c>
      <c r="N9152">
        <v>3</v>
      </c>
    </row>
    <row r="9153" spans="1:15">
      <c r="A9153" t="s">
        <v>35464</v>
      </c>
      <c r="B9153" t="s">
        <v>8345</v>
      </c>
      <c r="C9153" t="s">
        <v>23669</v>
      </c>
      <c r="D9153" t="s">
        <v>35465</v>
      </c>
      <c r="E9153" t="b">
        <v>0</v>
      </c>
      <c r="F9153" t="s">
        <v>11610</v>
      </c>
      <c r="L9153">
        <v>0</v>
      </c>
      <c r="M9153">
        <v>0</v>
      </c>
      <c r="N9153">
        <v>0</v>
      </c>
    </row>
    <row r="9154" spans="1:15">
      <c r="A9154" t="s">
        <v>35466</v>
      </c>
      <c r="B9154" t="s">
        <v>367</v>
      </c>
      <c r="C9154" t="s">
        <v>12554</v>
      </c>
      <c r="D9154" t="s">
        <v>35467</v>
      </c>
      <c r="E9154" t="b">
        <v>0</v>
      </c>
      <c r="F9154" t="s">
        <v>11610</v>
      </c>
      <c r="L9154">
        <v>0</v>
      </c>
      <c r="M9154">
        <v>0</v>
      </c>
      <c r="N9154">
        <v>0</v>
      </c>
    </row>
    <row r="9155" spans="1:15">
      <c r="A9155" t="s">
        <v>35468</v>
      </c>
      <c r="B9155" t="s">
        <v>11615</v>
      </c>
      <c r="C9155" t="s">
        <v>17063</v>
      </c>
      <c r="D9155" t="s">
        <v>35469</v>
      </c>
      <c r="E9155" t="b">
        <v>0</v>
      </c>
      <c r="F9155" t="s">
        <v>11622</v>
      </c>
      <c r="L9155">
        <v>0</v>
      </c>
      <c r="M9155">
        <v>4</v>
      </c>
      <c r="N9155">
        <v>2</v>
      </c>
    </row>
    <row r="9156" spans="1:15">
      <c r="A9156" t="s">
        <v>7452</v>
      </c>
      <c r="B9156" t="s">
        <v>367</v>
      </c>
      <c r="C9156" t="s">
        <v>12491</v>
      </c>
      <c r="D9156" t="s">
        <v>35470</v>
      </c>
      <c r="E9156" t="b">
        <v>0</v>
      </c>
      <c r="F9156" t="s">
        <v>11624</v>
      </c>
      <c r="G9156">
        <v>-6.0819200000000002</v>
      </c>
      <c r="H9156">
        <v>149.696</v>
      </c>
      <c r="I9156" t="s">
        <v>7453</v>
      </c>
      <c r="L9156">
        <v>0</v>
      </c>
      <c r="M9156">
        <v>0</v>
      </c>
      <c r="N9156">
        <v>2</v>
      </c>
      <c r="O9156" t="s">
        <v>11660</v>
      </c>
    </row>
    <row r="9157" spans="1:15">
      <c r="A9157" t="s">
        <v>35471</v>
      </c>
      <c r="B9157" t="s">
        <v>6742</v>
      </c>
      <c r="C9157" t="s">
        <v>23010</v>
      </c>
      <c r="D9157" t="s">
        <v>35472</v>
      </c>
      <c r="E9157" t="b">
        <v>0</v>
      </c>
      <c r="F9157" t="s">
        <v>11610</v>
      </c>
      <c r="L9157">
        <v>0</v>
      </c>
      <c r="M9157">
        <v>0</v>
      </c>
      <c r="N9157">
        <v>0</v>
      </c>
    </row>
    <row r="9158" spans="1:15">
      <c r="A9158" t="s">
        <v>1248</v>
      </c>
      <c r="B9158" t="s">
        <v>11644</v>
      </c>
      <c r="C9158" t="s">
        <v>25751</v>
      </c>
      <c r="D9158" t="s">
        <v>35473</v>
      </c>
      <c r="E9158" t="b">
        <v>0</v>
      </c>
      <c r="F9158" t="s">
        <v>11610</v>
      </c>
      <c r="L9158">
        <v>0</v>
      </c>
      <c r="M9158">
        <v>0</v>
      </c>
      <c r="N9158">
        <v>0</v>
      </c>
    </row>
    <row r="9159" spans="1:15">
      <c r="A9159" t="s">
        <v>35474</v>
      </c>
      <c r="B9159" t="s">
        <v>10597</v>
      </c>
      <c r="C9159" t="s">
        <v>35475</v>
      </c>
      <c r="D9159" t="s">
        <v>35476</v>
      </c>
      <c r="E9159" t="b">
        <v>0</v>
      </c>
      <c r="F9159" t="s">
        <v>11624</v>
      </c>
      <c r="G9159">
        <v>-34.349661410000003</v>
      </c>
      <c r="H9159">
        <v>138.48007939999999</v>
      </c>
      <c r="I9159" t="s">
        <v>35477</v>
      </c>
      <c r="L9159">
        <v>0</v>
      </c>
      <c r="M9159">
        <v>0</v>
      </c>
      <c r="N9159">
        <v>0</v>
      </c>
      <c r="O9159" t="s">
        <v>12107</v>
      </c>
    </row>
    <row r="9160" spans="1:15">
      <c r="A9160" t="s">
        <v>18654</v>
      </c>
      <c r="B9160" t="s">
        <v>6742</v>
      </c>
      <c r="C9160" t="s">
        <v>13506</v>
      </c>
      <c r="D9160" t="s">
        <v>35478</v>
      </c>
      <c r="E9160" t="b">
        <v>0</v>
      </c>
      <c r="F9160" t="s">
        <v>11622</v>
      </c>
      <c r="L9160">
        <v>0</v>
      </c>
      <c r="M9160">
        <v>6</v>
      </c>
      <c r="N9160">
        <v>2</v>
      </c>
    </row>
    <row r="9161" spans="1:15">
      <c r="A9161" t="s">
        <v>35479</v>
      </c>
      <c r="B9161" t="s">
        <v>367</v>
      </c>
      <c r="C9161" t="s">
        <v>21532</v>
      </c>
      <c r="D9161" t="s">
        <v>35480</v>
      </c>
      <c r="E9161" t="b">
        <v>0</v>
      </c>
      <c r="F9161" t="s">
        <v>11624</v>
      </c>
      <c r="G9161">
        <v>-4.6250999999999998</v>
      </c>
      <c r="H9161">
        <v>103.512</v>
      </c>
      <c r="I9161" t="s">
        <v>35481</v>
      </c>
      <c r="L9161">
        <v>0</v>
      </c>
      <c r="M9161">
        <v>0</v>
      </c>
      <c r="N9161">
        <v>0</v>
      </c>
      <c r="O9161" t="s">
        <v>11768</v>
      </c>
    </row>
    <row r="9162" spans="1:15">
      <c r="A9162" t="s">
        <v>35482</v>
      </c>
      <c r="D9162" t="s">
        <v>35483</v>
      </c>
      <c r="E9162" t="b">
        <v>0</v>
      </c>
      <c r="F9162" t="s">
        <v>11624</v>
      </c>
      <c r="G9162">
        <v>-3.39188</v>
      </c>
      <c r="H9162">
        <v>140.13999999999999</v>
      </c>
      <c r="I9162" t="s">
        <v>35484</v>
      </c>
      <c r="L9162">
        <v>0</v>
      </c>
      <c r="M9162">
        <v>0</v>
      </c>
      <c r="N9162">
        <v>0</v>
      </c>
      <c r="O9162" t="s">
        <v>11768</v>
      </c>
    </row>
    <row r="9163" spans="1:15">
      <c r="A9163" t="s">
        <v>35485</v>
      </c>
      <c r="B9163" t="s">
        <v>13450</v>
      </c>
      <c r="C9163" t="s">
        <v>13450</v>
      </c>
      <c r="D9163" t="s">
        <v>35486</v>
      </c>
      <c r="E9163" t="b">
        <v>0</v>
      </c>
      <c r="F9163" t="s">
        <v>11622</v>
      </c>
      <c r="L9163">
        <v>0</v>
      </c>
      <c r="M9163">
        <v>1</v>
      </c>
      <c r="N9163">
        <v>0</v>
      </c>
    </row>
    <row r="9164" spans="1:15">
      <c r="A9164" t="s">
        <v>35487</v>
      </c>
      <c r="B9164" t="s">
        <v>21516</v>
      </c>
      <c r="C9164" t="s">
        <v>35488</v>
      </c>
      <c r="D9164" t="s">
        <v>35489</v>
      </c>
      <c r="E9164" t="b">
        <v>0</v>
      </c>
      <c r="F9164" t="s">
        <v>11610</v>
      </c>
      <c r="L9164">
        <v>0</v>
      </c>
      <c r="M9164">
        <v>0</v>
      </c>
      <c r="N9164">
        <v>0</v>
      </c>
    </row>
    <row r="9165" spans="1:15">
      <c r="A9165" t="s">
        <v>35490</v>
      </c>
      <c r="B9165" t="s">
        <v>12557</v>
      </c>
      <c r="C9165" t="s">
        <v>15882</v>
      </c>
      <c r="D9165" t="s">
        <v>35491</v>
      </c>
      <c r="E9165" t="b">
        <v>0</v>
      </c>
      <c r="F9165" t="s">
        <v>11624</v>
      </c>
      <c r="G9165">
        <v>-2.2279900000000001</v>
      </c>
      <c r="H9165">
        <v>138.15700000000001</v>
      </c>
      <c r="I9165" t="s">
        <v>35492</v>
      </c>
      <c r="L9165">
        <v>0</v>
      </c>
      <c r="M9165">
        <v>0</v>
      </c>
      <c r="N9165">
        <v>0</v>
      </c>
      <c r="O9165" t="s">
        <v>11768</v>
      </c>
    </row>
    <row r="9166" spans="1:15">
      <c r="A9166" t="s">
        <v>35493</v>
      </c>
      <c r="B9166" t="s">
        <v>11637</v>
      </c>
      <c r="C9166" t="s">
        <v>15977</v>
      </c>
      <c r="D9166" t="s">
        <v>35494</v>
      </c>
      <c r="E9166" t="b">
        <v>0</v>
      </c>
      <c r="F9166" t="s">
        <v>11610</v>
      </c>
      <c r="L9166">
        <v>0</v>
      </c>
      <c r="M9166">
        <v>0</v>
      </c>
      <c r="N9166">
        <v>0</v>
      </c>
    </row>
    <row r="9167" spans="1:15">
      <c r="A9167" t="s">
        <v>35147</v>
      </c>
      <c r="B9167" t="s">
        <v>367</v>
      </c>
      <c r="C9167" t="s">
        <v>17232</v>
      </c>
      <c r="D9167" t="s">
        <v>35495</v>
      </c>
      <c r="E9167" t="b">
        <v>0</v>
      </c>
      <c r="F9167" t="s">
        <v>11624</v>
      </c>
      <c r="G9167">
        <v>24.694700000000001</v>
      </c>
      <c r="H9167">
        <v>121.645</v>
      </c>
      <c r="I9167" t="s">
        <v>35496</v>
      </c>
      <c r="L9167">
        <v>0</v>
      </c>
      <c r="M9167">
        <v>0</v>
      </c>
      <c r="N9167">
        <v>1</v>
      </c>
      <c r="O9167" t="s">
        <v>13484</v>
      </c>
    </row>
    <row r="9168" spans="1:15">
      <c r="A9168" t="s">
        <v>35497</v>
      </c>
      <c r="B9168" t="s">
        <v>12438</v>
      </c>
      <c r="C9168" t="s">
        <v>35498</v>
      </c>
      <c r="D9168" t="s">
        <v>35499</v>
      </c>
      <c r="E9168" t="b">
        <v>0</v>
      </c>
      <c r="F9168" t="s">
        <v>11624</v>
      </c>
      <c r="G9168">
        <v>14.179600000000001</v>
      </c>
      <c r="H9168">
        <v>106.586</v>
      </c>
      <c r="I9168" t="s">
        <v>35500</v>
      </c>
      <c r="L9168">
        <v>0</v>
      </c>
      <c r="M9168">
        <v>0</v>
      </c>
      <c r="N9168">
        <v>0</v>
      </c>
      <c r="O9168" t="s">
        <v>35501</v>
      </c>
    </row>
    <row r="9169" spans="1:15">
      <c r="A9169" t="s">
        <v>35502</v>
      </c>
      <c r="B9169" t="s">
        <v>11637</v>
      </c>
      <c r="C9169" t="s">
        <v>16777</v>
      </c>
      <c r="D9169" t="s">
        <v>35503</v>
      </c>
      <c r="E9169" t="b">
        <v>0</v>
      </c>
      <c r="F9169" t="s">
        <v>11610</v>
      </c>
      <c r="L9169">
        <v>0</v>
      </c>
      <c r="M9169">
        <v>0</v>
      </c>
      <c r="N9169">
        <v>0</v>
      </c>
    </row>
    <row r="9170" spans="1:15">
      <c r="A9170" t="s">
        <v>35504</v>
      </c>
      <c r="B9170" t="s">
        <v>11637</v>
      </c>
      <c r="C9170" t="s">
        <v>12098</v>
      </c>
      <c r="D9170" t="s">
        <v>35505</v>
      </c>
      <c r="E9170" t="b">
        <v>0</v>
      </c>
      <c r="F9170" t="s">
        <v>11610</v>
      </c>
      <c r="L9170">
        <v>0</v>
      </c>
      <c r="M9170">
        <v>0</v>
      </c>
      <c r="N9170">
        <v>0</v>
      </c>
    </row>
    <row r="9171" spans="1:15">
      <c r="A9171" t="s">
        <v>35506</v>
      </c>
      <c r="B9171" t="s">
        <v>12487</v>
      </c>
      <c r="C9171" t="s">
        <v>34517</v>
      </c>
      <c r="D9171" t="s">
        <v>35507</v>
      </c>
      <c r="E9171" t="b">
        <v>0</v>
      </c>
      <c r="F9171" t="s">
        <v>11624</v>
      </c>
      <c r="G9171">
        <v>-6.95411</v>
      </c>
      <c r="H9171">
        <v>146.20997</v>
      </c>
      <c r="I9171" t="s">
        <v>35508</v>
      </c>
      <c r="L9171">
        <v>0</v>
      </c>
      <c r="M9171">
        <v>0</v>
      </c>
      <c r="N9171">
        <v>0</v>
      </c>
      <c r="O9171" t="s">
        <v>11660</v>
      </c>
    </row>
    <row r="9172" spans="1:15">
      <c r="A9172" t="s">
        <v>35509</v>
      </c>
      <c r="B9172" t="s">
        <v>367</v>
      </c>
      <c r="C9172" t="s">
        <v>35510</v>
      </c>
      <c r="D9172" t="s">
        <v>35511</v>
      </c>
      <c r="E9172" t="b">
        <v>0</v>
      </c>
      <c r="F9172" t="s">
        <v>11610</v>
      </c>
      <c r="L9172">
        <v>0</v>
      </c>
      <c r="M9172">
        <v>0</v>
      </c>
      <c r="N9172">
        <v>0</v>
      </c>
    </row>
    <row r="9173" spans="1:15">
      <c r="A9173" t="s">
        <v>35512</v>
      </c>
      <c r="B9173" t="s">
        <v>367</v>
      </c>
      <c r="C9173" t="s">
        <v>35513</v>
      </c>
      <c r="D9173" t="s">
        <v>35514</v>
      </c>
      <c r="E9173" t="b">
        <v>0</v>
      </c>
      <c r="F9173" t="s">
        <v>11610</v>
      </c>
      <c r="L9173">
        <v>0</v>
      </c>
      <c r="M9173">
        <v>0</v>
      </c>
      <c r="N9173">
        <v>0</v>
      </c>
    </row>
    <row r="9174" spans="1:15">
      <c r="A9174" t="s">
        <v>35515</v>
      </c>
      <c r="B9174" t="s">
        <v>367</v>
      </c>
      <c r="C9174" t="s">
        <v>16801</v>
      </c>
      <c r="D9174" t="s">
        <v>35516</v>
      </c>
      <c r="E9174" t="b">
        <v>0</v>
      </c>
      <c r="F9174" t="s">
        <v>11610</v>
      </c>
      <c r="L9174">
        <v>0</v>
      </c>
      <c r="M9174">
        <v>0</v>
      </c>
      <c r="N9174">
        <v>0</v>
      </c>
    </row>
    <row r="9175" spans="1:15">
      <c r="A9175" t="s">
        <v>35517</v>
      </c>
      <c r="B9175" t="s">
        <v>367</v>
      </c>
      <c r="C9175" t="s">
        <v>16690</v>
      </c>
      <c r="D9175" t="s">
        <v>35518</v>
      </c>
      <c r="E9175" t="b">
        <v>0</v>
      </c>
      <c r="F9175" t="s">
        <v>11610</v>
      </c>
      <c r="L9175">
        <v>0</v>
      </c>
      <c r="M9175">
        <v>0</v>
      </c>
      <c r="N9175">
        <v>0</v>
      </c>
    </row>
    <row r="9176" spans="1:15">
      <c r="A9176" t="s">
        <v>35519</v>
      </c>
      <c r="B9176" t="s">
        <v>12347</v>
      </c>
      <c r="C9176" t="s">
        <v>12346</v>
      </c>
      <c r="D9176" t="s">
        <v>35520</v>
      </c>
      <c r="E9176" t="b">
        <v>0</v>
      </c>
      <c r="F9176" t="s">
        <v>11610</v>
      </c>
      <c r="L9176">
        <v>0</v>
      </c>
      <c r="M9176">
        <v>0</v>
      </c>
      <c r="N9176">
        <v>0</v>
      </c>
    </row>
    <row r="9177" spans="1:15">
      <c r="A9177" t="s">
        <v>35521</v>
      </c>
      <c r="B9177" t="s">
        <v>4342</v>
      </c>
      <c r="C9177" t="s">
        <v>35522</v>
      </c>
      <c r="D9177" t="s">
        <v>35523</v>
      </c>
      <c r="E9177" t="b">
        <v>0</v>
      </c>
      <c r="F9177" t="s">
        <v>11610</v>
      </c>
      <c r="L9177">
        <v>0</v>
      </c>
      <c r="M9177">
        <v>0</v>
      </c>
      <c r="N9177">
        <v>0</v>
      </c>
    </row>
    <row r="9178" spans="1:15">
      <c r="A9178" t="s">
        <v>35524</v>
      </c>
      <c r="B9178" t="s">
        <v>12751</v>
      </c>
      <c r="C9178" t="s">
        <v>35525</v>
      </c>
      <c r="D9178" t="s">
        <v>35526</v>
      </c>
      <c r="E9178" t="b">
        <v>0</v>
      </c>
      <c r="F9178" t="s">
        <v>11624</v>
      </c>
      <c r="G9178">
        <v>36.053800000000003</v>
      </c>
      <c r="H9178">
        <v>-118.679</v>
      </c>
      <c r="I9178" t="s">
        <v>35527</v>
      </c>
      <c r="L9178">
        <v>0</v>
      </c>
      <c r="M9178">
        <v>0</v>
      </c>
      <c r="N9178">
        <v>0</v>
      </c>
      <c r="O9178" t="s">
        <v>11944</v>
      </c>
    </row>
    <row r="9179" spans="1:15">
      <c r="A9179" t="s">
        <v>35528</v>
      </c>
      <c r="B9179" t="s">
        <v>11607</v>
      </c>
      <c r="C9179" t="s">
        <v>13119</v>
      </c>
      <c r="D9179" t="s">
        <v>35529</v>
      </c>
      <c r="E9179" t="b">
        <v>0</v>
      </c>
      <c r="F9179" t="s">
        <v>11610</v>
      </c>
      <c r="L9179">
        <v>0</v>
      </c>
      <c r="M9179">
        <v>0</v>
      </c>
      <c r="N9179">
        <v>0</v>
      </c>
    </row>
    <row r="9180" spans="1:15">
      <c r="A9180" t="s">
        <v>34208</v>
      </c>
      <c r="B9180" t="s">
        <v>367</v>
      </c>
      <c r="C9180" t="s">
        <v>26523</v>
      </c>
      <c r="D9180" t="s">
        <v>35530</v>
      </c>
      <c r="E9180" t="b">
        <v>0</v>
      </c>
      <c r="F9180" t="s">
        <v>11622</v>
      </c>
      <c r="L9180">
        <v>0</v>
      </c>
      <c r="M9180">
        <v>3</v>
      </c>
      <c r="N9180">
        <v>4</v>
      </c>
    </row>
    <row r="9181" spans="1:15">
      <c r="A9181" t="s">
        <v>35531</v>
      </c>
      <c r="B9181" t="s">
        <v>10597</v>
      </c>
      <c r="C9181" t="s">
        <v>14996</v>
      </c>
      <c r="D9181" t="s">
        <v>35532</v>
      </c>
      <c r="E9181" t="b">
        <v>0</v>
      </c>
      <c r="F9181" t="s">
        <v>11624</v>
      </c>
      <c r="G9181">
        <v>-16.100000000000001</v>
      </c>
      <c r="H9181">
        <v>142.5</v>
      </c>
      <c r="L9181">
        <v>0</v>
      </c>
      <c r="M9181">
        <v>0</v>
      </c>
      <c r="N9181">
        <v>0</v>
      </c>
      <c r="O9181" t="s">
        <v>12107</v>
      </c>
    </row>
    <row r="9182" spans="1:15">
      <c r="A9182" t="s">
        <v>35533</v>
      </c>
      <c r="B9182" t="s">
        <v>6742</v>
      </c>
      <c r="C9182" t="s">
        <v>19949</v>
      </c>
      <c r="D9182" t="s">
        <v>35534</v>
      </c>
      <c r="E9182" t="b">
        <v>0</v>
      </c>
      <c r="F9182" t="s">
        <v>11624</v>
      </c>
      <c r="L9182">
        <v>0</v>
      </c>
      <c r="M9182">
        <v>0</v>
      </c>
      <c r="N9182">
        <v>0</v>
      </c>
      <c r="O9182" t="s">
        <v>13421</v>
      </c>
    </row>
    <row r="9183" spans="1:15">
      <c r="A9183" t="s">
        <v>33764</v>
      </c>
      <c r="B9183" t="s">
        <v>11912</v>
      </c>
      <c r="C9183" t="s">
        <v>35535</v>
      </c>
      <c r="D9183" t="s">
        <v>35536</v>
      </c>
      <c r="E9183" t="b">
        <v>0</v>
      </c>
      <c r="F9183" t="s">
        <v>11622</v>
      </c>
      <c r="L9183">
        <v>0</v>
      </c>
      <c r="M9183">
        <v>4</v>
      </c>
      <c r="N9183">
        <v>3</v>
      </c>
    </row>
    <row r="9184" spans="1:15">
      <c r="A9184" t="s">
        <v>13503</v>
      </c>
      <c r="B9184" t="s">
        <v>11912</v>
      </c>
      <c r="C9184" t="s">
        <v>35535</v>
      </c>
      <c r="D9184" t="s">
        <v>35537</v>
      </c>
      <c r="E9184" t="b">
        <v>0</v>
      </c>
      <c r="F9184" t="s">
        <v>11622</v>
      </c>
      <c r="L9184">
        <v>1</v>
      </c>
      <c r="M9184">
        <v>5</v>
      </c>
      <c r="N9184">
        <v>0</v>
      </c>
    </row>
    <row r="9185" spans="1:15">
      <c r="A9185" t="s">
        <v>525</v>
      </c>
      <c r="D9185" t="s">
        <v>35538</v>
      </c>
      <c r="E9185" t="b">
        <v>0</v>
      </c>
      <c r="F9185" t="s">
        <v>11622</v>
      </c>
      <c r="L9185">
        <v>1</v>
      </c>
      <c r="M9185">
        <v>3</v>
      </c>
      <c r="N9185">
        <v>1</v>
      </c>
    </row>
    <row r="9186" spans="1:15">
      <c r="A9186" t="s">
        <v>35539</v>
      </c>
      <c r="B9186" t="s">
        <v>367</v>
      </c>
      <c r="C9186" t="s">
        <v>17367</v>
      </c>
      <c r="D9186" t="s">
        <v>35540</v>
      </c>
      <c r="E9186" t="b">
        <v>0</v>
      </c>
      <c r="F9186" t="s">
        <v>11624</v>
      </c>
      <c r="G9186">
        <v>-0.17313000000000001</v>
      </c>
      <c r="H9186">
        <v>130.327</v>
      </c>
      <c r="I9186" t="s">
        <v>35541</v>
      </c>
      <c r="L9186">
        <v>0</v>
      </c>
      <c r="M9186">
        <v>0</v>
      </c>
      <c r="N9186">
        <v>0</v>
      </c>
      <c r="O9186" t="s">
        <v>11768</v>
      </c>
    </row>
    <row r="9187" spans="1:15">
      <c r="A9187" t="s">
        <v>17806</v>
      </c>
      <c r="B9187" t="s">
        <v>367</v>
      </c>
      <c r="C9187" t="s">
        <v>35542</v>
      </c>
      <c r="D9187" t="s">
        <v>35543</v>
      </c>
      <c r="E9187" t="b">
        <v>0</v>
      </c>
      <c r="F9187" t="s">
        <v>11610</v>
      </c>
      <c r="L9187">
        <v>0</v>
      </c>
      <c r="M9187">
        <v>0</v>
      </c>
      <c r="N9187">
        <v>2</v>
      </c>
    </row>
    <row r="9188" spans="1:15">
      <c r="A9188" t="s">
        <v>35544</v>
      </c>
      <c r="B9188" t="s">
        <v>6742</v>
      </c>
      <c r="C9188" t="s">
        <v>581</v>
      </c>
      <c r="D9188" t="s">
        <v>35545</v>
      </c>
      <c r="E9188" t="b">
        <v>0</v>
      </c>
      <c r="F9188" t="s">
        <v>11610</v>
      </c>
      <c r="L9188">
        <v>0</v>
      </c>
      <c r="M9188">
        <v>0</v>
      </c>
      <c r="N9188">
        <v>0</v>
      </c>
    </row>
    <row r="9189" spans="1:15">
      <c r="A9189" t="s">
        <v>35546</v>
      </c>
      <c r="B9189" t="s">
        <v>367</v>
      </c>
      <c r="C9189" t="s">
        <v>33297</v>
      </c>
      <c r="D9189" t="s">
        <v>35547</v>
      </c>
      <c r="E9189" t="b">
        <v>0</v>
      </c>
      <c r="F9189" t="s">
        <v>11624</v>
      </c>
      <c r="G9189">
        <v>-7</v>
      </c>
      <c r="H9189">
        <v>111</v>
      </c>
      <c r="I9189" t="s">
        <v>35548</v>
      </c>
      <c r="L9189">
        <v>0</v>
      </c>
      <c r="M9189">
        <v>0</v>
      </c>
      <c r="N9189">
        <v>0</v>
      </c>
      <c r="O9189" t="s">
        <v>11768</v>
      </c>
    </row>
    <row r="9190" spans="1:15">
      <c r="A9190" t="s">
        <v>35549</v>
      </c>
      <c r="B9190" t="s">
        <v>11644</v>
      </c>
      <c r="C9190" t="s">
        <v>34717</v>
      </c>
      <c r="D9190" t="s">
        <v>35550</v>
      </c>
      <c r="E9190" t="b">
        <v>0</v>
      </c>
      <c r="F9190" t="s">
        <v>11610</v>
      </c>
      <c r="L9190">
        <v>0</v>
      </c>
      <c r="M9190">
        <v>0</v>
      </c>
      <c r="N9190">
        <v>0</v>
      </c>
    </row>
    <row r="9191" spans="1:15">
      <c r="A9191" t="s">
        <v>35551</v>
      </c>
      <c r="B9191" t="s">
        <v>13244</v>
      </c>
      <c r="C9191" t="s">
        <v>21178</v>
      </c>
      <c r="D9191" t="s">
        <v>35552</v>
      </c>
      <c r="E9191" t="b">
        <v>0</v>
      </c>
      <c r="F9191" t="s">
        <v>11624</v>
      </c>
      <c r="G9191">
        <v>-9.47288</v>
      </c>
      <c r="H9191">
        <v>-66.332899999999995</v>
      </c>
      <c r="I9191" t="s">
        <v>35553</v>
      </c>
      <c r="L9191">
        <v>0</v>
      </c>
      <c r="M9191">
        <v>0</v>
      </c>
      <c r="N9191">
        <v>0</v>
      </c>
      <c r="O9191" t="s">
        <v>11969</v>
      </c>
    </row>
    <row r="9192" spans="1:15">
      <c r="A9192" t="s">
        <v>35554</v>
      </c>
      <c r="B9192" t="s">
        <v>12148</v>
      </c>
      <c r="C9192" t="s">
        <v>61</v>
      </c>
      <c r="D9192" t="s">
        <v>35555</v>
      </c>
      <c r="E9192" t="b">
        <v>0</v>
      </c>
      <c r="F9192" t="s">
        <v>11610</v>
      </c>
      <c r="L9192">
        <v>0</v>
      </c>
      <c r="M9192">
        <v>0</v>
      </c>
      <c r="N9192">
        <v>0</v>
      </c>
    </row>
    <row r="9193" spans="1:15">
      <c r="A9193" t="s">
        <v>35556</v>
      </c>
      <c r="B9193" t="s">
        <v>12311</v>
      </c>
      <c r="C9193" t="s">
        <v>13678</v>
      </c>
      <c r="D9193" t="s">
        <v>35557</v>
      </c>
      <c r="E9193" t="b">
        <v>0</v>
      </c>
      <c r="F9193" t="s">
        <v>11610</v>
      </c>
      <c r="L9193">
        <v>0</v>
      </c>
      <c r="M9193">
        <v>0</v>
      </c>
      <c r="N9193">
        <v>0</v>
      </c>
    </row>
    <row r="9194" spans="1:15">
      <c r="A9194" t="s">
        <v>23631</v>
      </c>
      <c r="B9194" t="s">
        <v>8310</v>
      </c>
      <c r="C9194" t="s">
        <v>35558</v>
      </c>
      <c r="D9194" t="s">
        <v>35559</v>
      </c>
      <c r="E9194" t="b">
        <v>0</v>
      </c>
      <c r="F9194" t="s">
        <v>11624</v>
      </c>
      <c r="G9194">
        <v>2.1713800000000001</v>
      </c>
      <c r="H9194">
        <v>-55.9101</v>
      </c>
      <c r="I9194" t="s">
        <v>35560</v>
      </c>
      <c r="L9194">
        <v>0</v>
      </c>
      <c r="M9194">
        <v>0</v>
      </c>
      <c r="N9194">
        <v>4</v>
      </c>
      <c r="O9194" t="s">
        <v>11969</v>
      </c>
    </row>
    <row r="9195" spans="1:15">
      <c r="A9195" t="s">
        <v>35561</v>
      </c>
      <c r="B9195" t="s">
        <v>11637</v>
      </c>
      <c r="C9195" t="s">
        <v>7239</v>
      </c>
      <c r="D9195" t="s">
        <v>35562</v>
      </c>
      <c r="E9195" t="b">
        <v>0</v>
      </c>
      <c r="F9195" t="s">
        <v>11610</v>
      </c>
      <c r="L9195">
        <v>0</v>
      </c>
      <c r="M9195">
        <v>0</v>
      </c>
      <c r="N9195">
        <v>0</v>
      </c>
    </row>
    <row r="9196" spans="1:15">
      <c r="A9196" t="s">
        <v>35563</v>
      </c>
      <c r="B9196" t="s">
        <v>11844</v>
      </c>
      <c r="C9196" t="s">
        <v>1264</v>
      </c>
      <c r="D9196" t="s">
        <v>35564</v>
      </c>
      <c r="E9196" t="b">
        <v>0</v>
      </c>
      <c r="F9196" t="s">
        <v>11610</v>
      </c>
      <c r="L9196">
        <v>0</v>
      </c>
      <c r="M9196">
        <v>0</v>
      </c>
      <c r="N9196">
        <v>0</v>
      </c>
    </row>
    <row r="9197" spans="1:15">
      <c r="A9197" t="s">
        <v>35565</v>
      </c>
      <c r="B9197" t="s">
        <v>11644</v>
      </c>
      <c r="C9197" t="s">
        <v>35566</v>
      </c>
      <c r="D9197" t="s">
        <v>35567</v>
      </c>
      <c r="E9197" t="b">
        <v>0</v>
      </c>
      <c r="F9197" t="s">
        <v>11624</v>
      </c>
      <c r="G9197">
        <v>19.5183</v>
      </c>
      <c r="H9197">
        <v>97.413799999999995</v>
      </c>
      <c r="I9197" t="s">
        <v>35568</v>
      </c>
      <c r="L9197">
        <v>0</v>
      </c>
      <c r="M9197">
        <v>0</v>
      </c>
      <c r="N9197">
        <v>0</v>
      </c>
      <c r="O9197" t="s">
        <v>20757</v>
      </c>
    </row>
    <row r="9198" spans="1:15">
      <c r="A9198" t="s">
        <v>19852</v>
      </c>
      <c r="B9198" t="s">
        <v>11644</v>
      </c>
      <c r="C9198" t="s">
        <v>21409</v>
      </c>
      <c r="D9198" t="s">
        <v>35569</v>
      </c>
      <c r="E9198" t="b">
        <v>0</v>
      </c>
      <c r="F9198" t="s">
        <v>11622</v>
      </c>
      <c r="L9198">
        <v>0</v>
      </c>
      <c r="M9198">
        <v>2</v>
      </c>
      <c r="N9198">
        <v>0</v>
      </c>
    </row>
    <row r="9199" spans="1:15">
      <c r="A9199" t="s">
        <v>25935</v>
      </c>
      <c r="B9199" t="s">
        <v>11644</v>
      </c>
      <c r="C9199" t="s">
        <v>21409</v>
      </c>
      <c r="D9199" t="s">
        <v>35570</v>
      </c>
      <c r="E9199" t="b">
        <v>0</v>
      </c>
      <c r="F9199" t="s">
        <v>11622</v>
      </c>
      <c r="L9199">
        <v>0</v>
      </c>
      <c r="M9199">
        <v>2</v>
      </c>
      <c r="N9199">
        <v>0</v>
      </c>
    </row>
    <row r="9200" spans="1:15">
      <c r="A9200" t="s">
        <v>35571</v>
      </c>
      <c r="B9200" t="s">
        <v>28550</v>
      </c>
      <c r="C9200" t="s">
        <v>28551</v>
      </c>
      <c r="D9200" t="s">
        <v>35572</v>
      </c>
      <c r="E9200" t="b">
        <v>0</v>
      </c>
      <c r="F9200" t="s">
        <v>11622</v>
      </c>
      <c r="L9200">
        <v>0</v>
      </c>
      <c r="M9200">
        <v>2</v>
      </c>
      <c r="N9200">
        <v>0</v>
      </c>
    </row>
    <row r="9201" spans="1:15">
      <c r="A9201" t="s">
        <v>35573</v>
      </c>
      <c r="B9201" t="s">
        <v>28550</v>
      </c>
      <c r="C9201" t="s">
        <v>35571</v>
      </c>
      <c r="D9201" t="s">
        <v>35574</v>
      </c>
      <c r="E9201" t="b">
        <v>0</v>
      </c>
      <c r="F9201" t="s">
        <v>11624</v>
      </c>
      <c r="G9201">
        <v>-17.069500000000001</v>
      </c>
      <c r="H9201">
        <v>139.489</v>
      </c>
      <c r="I9201" t="s">
        <v>35575</v>
      </c>
      <c r="L9201">
        <v>0</v>
      </c>
      <c r="M9201">
        <v>0</v>
      </c>
      <c r="N9201">
        <v>0</v>
      </c>
      <c r="O9201" t="s">
        <v>12107</v>
      </c>
    </row>
    <row r="9202" spans="1:15">
      <c r="A9202" t="s">
        <v>35576</v>
      </c>
      <c r="B9202" t="s">
        <v>367</v>
      </c>
      <c r="C9202" t="s">
        <v>12443</v>
      </c>
      <c r="D9202" t="s">
        <v>35577</v>
      </c>
      <c r="E9202" t="b">
        <v>0</v>
      </c>
      <c r="F9202" t="s">
        <v>11610</v>
      </c>
      <c r="G9202">
        <v>16.321000000000002</v>
      </c>
      <c r="H9202">
        <v>120.9</v>
      </c>
      <c r="L9202">
        <v>0</v>
      </c>
      <c r="M9202">
        <v>0</v>
      </c>
      <c r="N9202">
        <v>0</v>
      </c>
      <c r="O9202" t="s">
        <v>11749</v>
      </c>
    </row>
    <row r="9203" spans="1:15">
      <c r="A9203" t="s">
        <v>35578</v>
      </c>
      <c r="B9203" t="s">
        <v>367</v>
      </c>
      <c r="C9203" t="s">
        <v>20587</v>
      </c>
      <c r="D9203" t="s">
        <v>35579</v>
      </c>
      <c r="E9203" t="b">
        <v>0</v>
      </c>
      <c r="F9203" t="s">
        <v>11624</v>
      </c>
      <c r="G9203">
        <v>0.91786999999999996</v>
      </c>
      <c r="H9203">
        <v>114.452</v>
      </c>
      <c r="I9203" t="s">
        <v>35580</v>
      </c>
      <c r="L9203">
        <v>0</v>
      </c>
      <c r="M9203">
        <v>0</v>
      </c>
      <c r="N9203">
        <v>0</v>
      </c>
      <c r="O9203" t="s">
        <v>11768</v>
      </c>
    </row>
    <row r="9204" spans="1:15">
      <c r="A9204" t="s">
        <v>35581</v>
      </c>
      <c r="B9204" t="s">
        <v>367</v>
      </c>
      <c r="C9204" t="s">
        <v>15907</v>
      </c>
      <c r="D9204" t="s">
        <v>35582</v>
      </c>
      <c r="E9204" t="b">
        <v>0</v>
      </c>
      <c r="F9204" t="s">
        <v>11624</v>
      </c>
      <c r="G9204">
        <v>1.7826900000000001</v>
      </c>
      <c r="H9204">
        <v>115.827</v>
      </c>
      <c r="I9204" t="s">
        <v>35583</v>
      </c>
      <c r="L9204">
        <v>0</v>
      </c>
      <c r="M9204">
        <v>0</v>
      </c>
      <c r="N9204">
        <v>2</v>
      </c>
      <c r="O9204" t="s">
        <v>11768</v>
      </c>
    </row>
    <row r="9205" spans="1:15">
      <c r="A9205" t="s">
        <v>35584</v>
      </c>
      <c r="B9205" t="s">
        <v>367</v>
      </c>
      <c r="C9205" t="s">
        <v>35581</v>
      </c>
      <c r="D9205" t="s">
        <v>35585</v>
      </c>
      <c r="E9205" t="b">
        <v>0</v>
      </c>
      <c r="F9205" t="s">
        <v>11610</v>
      </c>
      <c r="L9205">
        <v>0</v>
      </c>
      <c r="M9205">
        <v>0</v>
      </c>
      <c r="N9205">
        <v>0</v>
      </c>
    </row>
    <row r="9206" spans="1:15">
      <c r="A9206" t="s">
        <v>15047</v>
      </c>
      <c r="D9206" t="s">
        <v>35586</v>
      </c>
      <c r="E9206" t="b">
        <v>0</v>
      </c>
      <c r="F9206" t="s">
        <v>11622</v>
      </c>
      <c r="L9206">
        <v>1</v>
      </c>
      <c r="M9206">
        <v>3</v>
      </c>
      <c r="N9206">
        <v>0</v>
      </c>
    </row>
    <row r="9207" spans="1:15">
      <c r="A9207" t="s">
        <v>35587</v>
      </c>
      <c r="B9207" t="s">
        <v>15047</v>
      </c>
      <c r="C9207" t="s">
        <v>35588</v>
      </c>
      <c r="D9207" t="s">
        <v>35589</v>
      </c>
      <c r="E9207" t="b">
        <v>0</v>
      </c>
      <c r="F9207" t="s">
        <v>11624</v>
      </c>
      <c r="G9207">
        <v>-6.3767699999999996</v>
      </c>
      <c r="H9207">
        <v>138.93199999999999</v>
      </c>
      <c r="I9207" t="s">
        <v>35590</v>
      </c>
      <c r="L9207">
        <v>0</v>
      </c>
      <c r="M9207">
        <v>0</v>
      </c>
      <c r="N9207">
        <v>0</v>
      </c>
      <c r="O9207" t="s">
        <v>11768</v>
      </c>
    </row>
    <row r="9208" spans="1:15">
      <c r="A9208" t="s">
        <v>35591</v>
      </c>
      <c r="B9208" t="s">
        <v>11912</v>
      </c>
      <c r="C9208" t="s">
        <v>13503</v>
      </c>
      <c r="D9208" t="s">
        <v>35592</v>
      </c>
      <c r="E9208" t="b">
        <v>0</v>
      </c>
      <c r="F9208" t="s">
        <v>11624</v>
      </c>
      <c r="G9208">
        <v>-11.274699999999999</v>
      </c>
      <c r="H9208">
        <v>-55.547899999999998</v>
      </c>
      <c r="I9208" t="s">
        <v>35593</v>
      </c>
      <c r="L9208">
        <v>0</v>
      </c>
      <c r="M9208">
        <v>0</v>
      </c>
      <c r="N9208">
        <v>0</v>
      </c>
      <c r="O9208" t="s">
        <v>11969</v>
      </c>
    </row>
    <row r="9209" spans="1:15">
      <c r="A9209" t="s">
        <v>697</v>
      </c>
      <c r="B9209" t="s">
        <v>11965</v>
      </c>
      <c r="C9209" t="s">
        <v>14161</v>
      </c>
      <c r="D9209" t="s">
        <v>35594</v>
      </c>
      <c r="E9209" t="b">
        <v>0</v>
      </c>
      <c r="F9209" t="s">
        <v>11624</v>
      </c>
      <c r="G9209">
        <v>-7.7735200000000004</v>
      </c>
      <c r="H9209">
        <v>-51.673699999999997</v>
      </c>
      <c r="I9209" t="s">
        <v>698</v>
      </c>
      <c r="L9209">
        <v>0</v>
      </c>
      <c r="M9209">
        <v>0</v>
      </c>
      <c r="N9209">
        <v>3</v>
      </c>
      <c r="O9209" t="s">
        <v>11969</v>
      </c>
    </row>
    <row r="9210" spans="1:15">
      <c r="A9210" t="s">
        <v>35595</v>
      </c>
      <c r="B9210" t="s">
        <v>11965</v>
      </c>
      <c r="C9210" t="s">
        <v>697</v>
      </c>
      <c r="D9210" t="s">
        <v>35596</v>
      </c>
      <c r="E9210" t="b">
        <v>0</v>
      </c>
      <c r="F9210" t="s">
        <v>11610</v>
      </c>
      <c r="L9210">
        <v>0</v>
      </c>
      <c r="M9210">
        <v>0</v>
      </c>
      <c r="N9210">
        <v>0</v>
      </c>
    </row>
    <row r="9211" spans="1:15">
      <c r="A9211" t="s">
        <v>15907</v>
      </c>
      <c r="B9211" t="s">
        <v>367</v>
      </c>
      <c r="C9211" t="s">
        <v>35597</v>
      </c>
      <c r="D9211" t="s">
        <v>35598</v>
      </c>
      <c r="E9211" t="b">
        <v>0</v>
      </c>
      <c r="F9211" t="s">
        <v>11622</v>
      </c>
      <c r="L9211">
        <v>1</v>
      </c>
      <c r="M9211">
        <v>7</v>
      </c>
      <c r="N9211">
        <v>16</v>
      </c>
    </row>
    <row r="9212" spans="1:15">
      <c r="A9212" t="s">
        <v>35599</v>
      </c>
      <c r="B9212" t="s">
        <v>11627</v>
      </c>
      <c r="C9212" t="s">
        <v>11627</v>
      </c>
      <c r="D9212" t="s">
        <v>35600</v>
      </c>
      <c r="E9212" t="b">
        <v>1</v>
      </c>
      <c r="F9212" t="s">
        <v>11624</v>
      </c>
      <c r="I9212" t="s">
        <v>35601</v>
      </c>
      <c r="L9212">
        <v>0</v>
      </c>
      <c r="M9212">
        <v>0</v>
      </c>
      <c r="N9212">
        <v>0</v>
      </c>
    </row>
    <row r="9213" spans="1:15">
      <c r="A9213" t="s">
        <v>35602</v>
      </c>
      <c r="B9213" t="s">
        <v>367</v>
      </c>
      <c r="C9213" t="s">
        <v>35603</v>
      </c>
      <c r="D9213" t="s">
        <v>35604</v>
      </c>
      <c r="E9213" t="b">
        <v>0</v>
      </c>
      <c r="F9213" t="s">
        <v>11622</v>
      </c>
      <c r="L9213">
        <v>4</v>
      </c>
      <c r="M9213">
        <v>10</v>
      </c>
      <c r="N9213">
        <v>29</v>
      </c>
    </row>
    <row r="9214" spans="1:15">
      <c r="A9214" t="s">
        <v>35597</v>
      </c>
      <c r="B9214" t="s">
        <v>367</v>
      </c>
      <c r="C9214" t="s">
        <v>35602</v>
      </c>
      <c r="D9214" t="s">
        <v>35605</v>
      </c>
      <c r="E9214" t="b">
        <v>0</v>
      </c>
      <c r="F9214" t="s">
        <v>11622</v>
      </c>
      <c r="L9214">
        <v>2</v>
      </c>
      <c r="M9214">
        <v>8</v>
      </c>
      <c r="N9214">
        <v>21</v>
      </c>
    </row>
    <row r="9215" spans="1:15">
      <c r="A9215" t="s">
        <v>35606</v>
      </c>
      <c r="B9215" t="s">
        <v>367</v>
      </c>
      <c r="C9215" t="s">
        <v>35607</v>
      </c>
      <c r="D9215" t="s">
        <v>35608</v>
      </c>
      <c r="E9215" t="b">
        <v>0</v>
      </c>
      <c r="F9215" t="s">
        <v>11624</v>
      </c>
      <c r="G9215">
        <v>-3.3924699999999999</v>
      </c>
      <c r="H9215">
        <v>127.11799999999999</v>
      </c>
      <c r="I9215" t="s">
        <v>35609</v>
      </c>
      <c r="L9215">
        <v>0</v>
      </c>
      <c r="M9215">
        <v>0</v>
      </c>
      <c r="N9215">
        <v>3</v>
      </c>
      <c r="O9215" t="s">
        <v>11768</v>
      </c>
    </row>
    <row r="9216" spans="1:15">
      <c r="A9216" t="s">
        <v>35588</v>
      </c>
      <c r="B9216" t="s">
        <v>15047</v>
      </c>
      <c r="C9216" t="s">
        <v>15047</v>
      </c>
      <c r="D9216" t="s">
        <v>35610</v>
      </c>
      <c r="E9216" t="b">
        <v>0</v>
      </c>
      <c r="F9216" t="s">
        <v>11622</v>
      </c>
      <c r="L9216">
        <v>0</v>
      </c>
      <c r="M9216">
        <v>2</v>
      </c>
      <c r="N9216">
        <v>0</v>
      </c>
    </row>
    <row r="9217" spans="1:15">
      <c r="A9217" t="s">
        <v>35611</v>
      </c>
      <c r="B9217" t="s">
        <v>11607</v>
      </c>
      <c r="C9217" t="s">
        <v>35612</v>
      </c>
      <c r="D9217" t="s">
        <v>35613</v>
      </c>
      <c r="E9217" t="b">
        <v>0</v>
      </c>
      <c r="F9217" t="s">
        <v>11610</v>
      </c>
      <c r="L9217">
        <v>0</v>
      </c>
      <c r="M9217">
        <v>0</v>
      </c>
      <c r="N9217">
        <v>0</v>
      </c>
    </row>
    <row r="9218" spans="1:15">
      <c r="A9218" t="s">
        <v>35614</v>
      </c>
      <c r="B9218" t="s">
        <v>12438</v>
      </c>
      <c r="C9218" t="s">
        <v>33355</v>
      </c>
      <c r="D9218" t="s">
        <v>35615</v>
      </c>
      <c r="E9218" t="b">
        <v>0</v>
      </c>
      <c r="F9218" t="s">
        <v>11624</v>
      </c>
      <c r="G9218">
        <v>14.922700000000001</v>
      </c>
      <c r="H9218">
        <v>108.447</v>
      </c>
      <c r="I9218" t="s">
        <v>35616</v>
      </c>
      <c r="L9218">
        <v>0</v>
      </c>
      <c r="M9218">
        <v>0</v>
      </c>
      <c r="N9218">
        <v>0</v>
      </c>
      <c r="O9218" t="s">
        <v>15949</v>
      </c>
    </row>
    <row r="9219" spans="1:15">
      <c r="A9219" t="s">
        <v>35617</v>
      </c>
      <c r="B9219" t="s">
        <v>367</v>
      </c>
      <c r="C9219" t="s">
        <v>26155</v>
      </c>
      <c r="D9219" t="s">
        <v>35618</v>
      </c>
      <c r="E9219" t="b">
        <v>0</v>
      </c>
      <c r="F9219" t="s">
        <v>11610</v>
      </c>
      <c r="L9219">
        <v>0</v>
      </c>
      <c r="M9219">
        <v>0</v>
      </c>
      <c r="N9219">
        <v>0</v>
      </c>
    </row>
    <row r="9220" spans="1:15">
      <c r="A9220" t="s">
        <v>35619</v>
      </c>
      <c r="B9220" t="s">
        <v>11627</v>
      </c>
      <c r="C9220" t="s">
        <v>11627</v>
      </c>
      <c r="D9220" t="s">
        <v>35620</v>
      </c>
      <c r="E9220" t="b">
        <v>1</v>
      </c>
      <c r="F9220" t="s">
        <v>11624</v>
      </c>
      <c r="G9220">
        <v>26.617899999999999</v>
      </c>
      <c r="H9220">
        <v>87.604200000000006</v>
      </c>
      <c r="I9220" t="s">
        <v>35621</v>
      </c>
      <c r="L9220">
        <v>0</v>
      </c>
      <c r="M9220">
        <v>0</v>
      </c>
      <c r="N9220">
        <v>0</v>
      </c>
      <c r="O9220" t="s">
        <v>15007</v>
      </c>
    </row>
    <row r="9221" spans="1:15">
      <c r="A9221" t="s">
        <v>35622</v>
      </c>
      <c r="B9221" t="s">
        <v>10597</v>
      </c>
      <c r="C9221" t="s">
        <v>14324</v>
      </c>
      <c r="D9221" t="s">
        <v>35623</v>
      </c>
      <c r="E9221" t="b">
        <v>0</v>
      </c>
      <c r="F9221" t="s">
        <v>11624</v>
      </c>
      <c r="G9221">
        <v>-21.584399999999999</v>
      </c>
      <c r="H9221">
        <v>133.602</v>
      </c>
      <c r="I9221" t="s">
        <v>35624</v>
      </c>
      <c r="L9221">
        <v>0</v>
      </c>
      <c r="M9221">
        <v>0</v>
      </c>
      <c r="N9221">
        <v>0</v>
      </c>
      <c r="O9221" t="s">
        <v>12107</v>
      </c>
    </row>
    <row r="9222" spans="1:15">
      <c r="A9222" t="s">
        <v>35625</v>
      </c>
      <c r="B9222" t="s">
        <v>367</v>
      </c>
      <c r="C9222" t="s">
        <v>14685</v>
      </c>
      <c r="D9222" t="s">
        <v>35626</v>
      </c>
      <c r="E9222" t="b">
        <v>0</v>
      </c>
      <c r="F9222" t="s">
        <v>11610</v>
      </c>
      <c r="L9222">
        <v>0</v>
      </c>
      <c r="M9222">
        <v>0</v>
      </c>
      <c r="N9222">
        <v>0</v>
      </c>
    </row>
    <row r="9223" spans="1:15">
      <c r="A9223" t="s">
        <v>35627</v>
      </c>
      <c r="B9223" t="s">
        <v>367</v>
      </c>
      <c r="C9223" t="s">
        <v>33319</v>
      </c>
      <c r="D9223" t="s">
        <v>35628</v>
      </c>
      <c r="E9223" t="b">
        <v>0</v>
      </c>
      <c r="F9223" t="s">
        <v>11624</v>
      </c>
      <c r="G9223">
        <v>-2.5441500000000001</v>
      </c>
      <c r="H9223">
        <v>140.626</v>
      </c>
      <c r="I9223" t="s">
        <v>35629</v>
      </c>
      <c r="L9223">
        <v>0</v>
      </c>
      <c r="M9223">
        <v>0</v>
      </c>
      <c r="N9223">
        <v>0</v>
      </c>
      <c r="O9223" t="s">
        <v>11768</v>
      </c>
    </row>
    <row r="9224" spans="1:15">
      <c r="A9224" t="s">
        <v>35630</v>
      </c>
      <c r="B9224" t="s">
        <v>11627</v>
      </c>
      <c r="C9224" t="s">
        <v>11627</v>
      </c>
      <c r="D9224" t="s">
        <v>35631</v>
      </c>
      <c r="E9224" t="b">
        <v>1</v>
      </c>
      <c r="F9224" t="s">
        <v>11624</v>
      </c>
      <c r="I9224" t="s">
        <v>35632</v>
      </c>
      <c r="L9224">
        <v>0</v>
      </c>
      <c r="M9224">
        <v>0</v>
      </c>
      <c r="N9224">
        <v>0</v>
      </c>
    </row>
    <row r="9225" spans="1:15">
      <c r="A9225" t="s">
        <v>3480</v>
      </c>
      <c r="B9225" t="s">
        <v>331</v>
      </c>
      <c r="C9225" t="s">
        <v>35034</v>
      </c>
      <c r="D9225" t="s">
        <v>35633</v>
      </c>
      <c r="E9225" t="b">
        <v>0</v>
      </c>
      <c r="F9225" t="s">
        <v>11624</v>
      </c>
      <c r="G9225">
        <v>41.872900000000001</v>
      </c>
      <c r="H9225">
        <v>65.770899999999997</v>
      </c>
      <c r="I9225" t="s">
        <v>5566</v>
      </c>
      <c r="L9225">
        <v>0</v>
      </c>
      <c r="M9225">
        <v>0</v>
      </c>
      <c r="N9225">
        <v>3</v>
      </c>
      <c r="O9225" t="s">
        <v>35634</v>
      </c>
    </row>
    <row r="9226" spans="1:15">
      <c r="A9226" t="s">
        <v>35635</v>
      </c>
      <c r="B9226" t="s">
        <v>11637</v>
      </c>
      <c r="C9226" t="s">
        <v>14469</v>
      </c>
      <c r="D9226" t="s">
        <v>35636</v>
      </c>
      <c r="E9226" t="b">
        <v>0</v>
      </c>
      <c r="F9226" t="s">
        <v>11610</v>
      </c>
      <c r="L9226">
        <v>0</v>
      </c>
      <c r="M9226">
        <v>0</v>
      </c>
      <c r="N9226">
        <v>0</v>
      </c>
    </row>
    <row r="9227" spans="1:15">
      <c r="A9227" t="s">
        <v>35448</v>
      </c>
      <c r="B9227" t="s">
        <v>11644</v>
      </c>
      <c r="C9227" t="s">
        <v>35637</v>
      </c>
      <c r="D9227" t="s">
        <v>35638</v>
      </c>
      <c r="E9227" t="b">
        <v>0</v>
      </c>
      <c r="F9227" t="s">
        <v>11622</v>
      </c>
      <c r="L9227">
        <v>0</v>
      </c>
      <c r="M9227">
        <v>3</v>
      </c>
      <c r="N9227">
        <v>0</v>
      </c>
    </row>
    <row r="9228" spans="1:15">
      <c r="A9228" t="s">
        <v>35639</v>
      </c>
      <c r="B9228" t="s">
        <v>367</v>
      </c>
      <c r="C9228" t="s">
        <v>26579</v>
      </c>
      <c r="D9228" t="s">
        <v>35640</v>
      </c>
      <c r="E9228" t="b">
        <v>0</v>
      </c>
      <c r="F9228" t="s">
        <v>11624</v>
      </c>
      <c r="G9228">
        <v>-8.2388600000000007</v>
      </c>
      <c r="H9228">
        <v>157.68700000000001</v>
      </c>
      <c r="I9228" t="s">
        <v>35641</v>
      </c>
      <c r="L9228">
        <v>0</v>
      </c>
      <c r="M9228">
        <v>0</v>
      </c>
      <c r="N9228">
        <v>0</v>
      </c>
      <c r="O9228" t="s">
        <v>13346</v>
      </c>
    </row>
    <row r="9229" spans="1:15">
      <c r="A9229" t="s">
        <v>35642</v>
      </c>
      <c r="B9229" t="s">
        <v>6742</v>
      </c>
      <c r="C9229" t="s">
        <v>26103</v>
      </c>
      <c r="D9229" t="s">
        <v>35643</v>
      </c>
      <c r="E9229" t="b">
        <v>0</v>
      </c>
      <c r="F9229" t="s">
        <v>11610</v>
      </c>
      <c r="L9229">
        <v>0</v>
      </c>
      <c r="M9229">
        <v>0</v>
      </c>
      <c r="N9229">
        <v>0</v>
      </c>
    </row>
    <row r="9230" spans="1:15">
      <c r="A9230" t="s">
        <v>35644</v>
      </c>
      <c r="B9230" t="s">
        <v>13411</v>
      </c>
      <c r="C9230" t="s">
        <v>31851</v>
      </c>
      <c r="D9230" t="s">
        <v>35645</v>
      </c>
      <c r="E9230" t="b">
        <v>0</v>
      </c>
      <c r="F9230" t="s">
        <v>11624</v>
      </c>
      <c r="G9230">
        <v>-3.9870800000000002</v>
      </c>
      <c r="H9230">
        <v>143.17400000000001</v>
      </c>
      <c r="I9230" t="s">
        <v>35646</v>
      </c>
      <c r="L9230">
        <v>0</v>
      </c>
      <c r="M9230">
        <v>0</v>
      </c>
      <c r="N9230">
        <v>0</v>
      </c>
      <c r="O9230" t="s">
        <v>11660</v>
      </c>
    </row>
    <row r="9231" spans="1:15">
      <c r="A9231" t="s">
        <v>35647</v>
      </c>
      <c r="B9231" t="s">
        <v>6742</v>
      </c>
      <c r="C9231" t="s">
        <v>12409</v>
      </c>
      <c r="D9231" t="s">
        <v>35648</v>
      </c>
      <c r="E9231" t="b">
        <v>0</v>
      </c>
      <c r="F9231" t="s">
        <v>11610</v>
      </c>
      <c r="L9231">
        <v>0</v>
      </c>
      <c r="M9231">
        <v>0</v>
      </c>
      <c r="N9231">
        <v>0</v>
      </c>
    </row>
    <row r="9232" spans="1:15">
      <c r="A9232" t="s">
        <v>14606</v>
      </c>
      <c r="B9232" t="s">
        <v>367</v>
      </c>
      <c r="C9232" t="s">
        <v>31662</v>
      </c>
      <c r="D9232" t="s">
        <v>35649</v>
      </c>
      <c r="E9232" t="b">
        <v>0</v>
      </c>
      <c r="F9232" t="s">
        <v>11624</v>
      </c>
      <c r="G9232">
        <v>-10.1342</v>
      </c>
      <c r="H9232">
        <v>147.94999999999999</v>
      </c>
      <c r="I9232" t="s">
        <v>35650</v>
      </c>
      <c r="L9232">
        <v>0</v>
      </c>
      <c r="M9232">
        <v>0</v>
      </c>
      <c r="N9232">
        <v>8</v>
      </c>
      <c r="O9232" t="s">
        <v>11660</v>
      </c>
    </row>
    <row r="9233" spans="1:15">
      <c r="A9233" t="s">
        <v>35651</v>
      </c>
      <c r="B9233" t="s">
        <v>367</v>
      </c>
      <c r="C9233" t="s">
        <v>35652</v>
      </c>
      <c r="D9233" t="s">
        <v>35653</v>
      </c>
      <c r="E9233" t="b">
        <v>0</v>
      </c>
      <c r="F9233" t="s">
        <v>11610</v>
      </c>
      <c r="L9233">
        <v>0</v>
      </c>
      <c r="M9233">
        <v>0</v>
      </c>
      <c r="N9233">
        <v>0</v>
      </c>
    </row>
    <row r="9234" spans="1:15">
      <c r="A9234" t="s">
        <v>35654</v>
      </c>
      <c r="B9234" t="s">
        <v>15162</v>
      </c>
      <c r="C9234" t="s">
        <v>15163</v>
      </c>
      <c r="D9234" t="s">
        <v>35655</v>
      </c>
      <c r="E9234" t="b">
        <v>0</v>
      </c>
      <c r="F9234" t="s">
        <v>11610</v>
      </c>
      <c r="L9234">
        <v>0</v>
      </c>
      <c r="M9234">
        <v>0</v>
      </c>
      <c r="N9234">
        <v>0</v>
      </c>
    </row>
    <row r="9235" spans="1:15">
      <c r="A9235" t="s">
        <v>35656</v>
      </c>
      <c r="B9235" t="s">
        <v>11615</v>
      </c>
      <c r="C9235" t="s">
        <v>22897</v>
      </c>
      <c r="D9235" t="s">
        <v>35657</v>
      </c>
      <c r="E9235" t="b">
        <v>0</v>
      </c>
      <c r="F9235" t="s">
        <v>11610</v>
      </c>
      <c r="L9235">
        <v>0</v>
      </c>
      <c r="M9235">
        <v>0</v>
      </c>
      <c r="N9235">
        <v>0</v>
      </c>
    </row>
    <row r="9236" spans="1:15">
      <c r="A9236" t="s">
        <v>35658</v>
      </c>
      <c r="B9236" t="s">
        <v>11615</v>
      </c>
      <c r="C9236" t="s">
        <v>24863</v>
      </c>
      <c r="D9236" t="s">
        <v>35659</v>
      </c>
      <c r="E9236" t="b">
        <v>0</v>
      </c>
      <c r="F9236" t="s">
        <v>11610</v>
      </c>
      <c r="L9236">
        <v>0</v>
      </c>
      <c r="M9236">
        <v>0</v>
      </c>
      <c r="N9236">
        <v>0</v>
      </c>
    </row>
    <row r="9237" spans="1:15">
      <c r="A9237" t="s">
        <v>35660</v>
      </c>
      <c r="B9237" t="s">
        <v>11607</v>
      </c>
      <c r="C9237" t="s">
        <v>12022</v>
      </c>
      <c r="D9237" t="s">
        <v>35661</v>
      </c>
      <c r="E9237" t="b">
        <v>0</v>
      </c>
      <c r="F9237" t="s">
        <v>11610</v>
      </c>
      <c r="L9237">
        <v>0</v>
      </c>
      <c r="M9237">
        <v>0</v>
      </c>
      <c r="N9237">
        <v>0</v>
      </c>
    </row>
    <row r="9238" spans="1:15">
      <c r="A9238" t="s">
        <v>35662</v>
      </c>
      <c r="B9238" t="s">
        <v>11607</v>
      </c>
      <c r="C9238" t="s">
        <v>17991</v>
      </c>
      <c r="D9238" t="s">
        <v>35663</v>
      </c>
      <c r="E9238" t="b">
        <v>0</v>
      </c>
      <c r="F9238" t="s">
        <v>11610</v>
      </c>
      <c r="L9238">
        <v>0</v>
      </c>
      <c r="M9238">
        <v>0</v>
      </c>
      <c r="N9238">
        <v>0</v>
      </c>
    </row>
    <row r="9239" spans="1:15">
      <c r="A9239" t="s">
        <v>35664</v>
      </c>
      <c r="B9239" t="s">
        <v>6742</v>
      </c>
      <c r="C9239" t="s">
        <v>35665</v>
      </c>
      <c r="D9239" t="s">
        <v>35666</v>
      </c>
      <c r="E9239" t="b">
        <v>0</v>
      </c>
      <c r="F9239" t="s">
        <v>11610</v>
      </c>
      <c r="L9239">
        <v>0</v>
      </c>
      <c r="M9239">
        <v>0</v>
      </c>
      <c r="N9239">
        <v>0</v>
      </c>
    </row>
    <row r="9240" spans="1:15">
      <c r="A9240" t="s">
        <v>35667</v>
      </c>
      <c r="B9240" t="s">
        <v>6742</v>
      </c>
      <c r="C9240" t="s">
        <v>28129</v>
      </c>
      <c r="D9240" t="s">
        <v>35668</v>
      </c>
      <c r="E9240" t="b">
        <v>0</v>
      </c>
      <c r="F9240" t="s">
        <v>11610</v>
      </c>
      <c r="L9240">
        <v>0</v>
      </c>
      <c r="M9240">
        <v>0</v>
      </c>
      <c r="N9240">
        <v>0</v>
      </c>
    </row>
    <row r="9241" spans="1:15">
      <c r="A9241" t="s">
        <v>12708</v>
      </c>
      <c r="B9241" t="s">
        <v>6742</v>
      </c>
      <c r="C9241" t="s">
        <v>15254</v>
      </c>
      <c r="D9241" t="s">
        <v>35669</v>
      </c>
      <c r="E9241" t="b">
        <v>0</v>
      </c>
      <c r="F9241" t="s">
        <v>11622</v>
      </c>
      <c r="L9241">
        <v>0</v>
      </c>
      <c r="M9241">
        <v>2</v>
      </c>
      <c r="N9241">
        <v>0</v>
      </c>
    </row>
    <row r="9242" spans="1:15">
      <c r="A9242" t="s">
        <v>35670</v>
      </c>
      <c r="B9242" t="s">
        <v>11839</v>
      </c>
      <c r="C9242" t="s">
        <v>33908</v>
      </c>
      <c r="D9242" t="s">
        <v>35671</v>
      </c>
      <c r="E9242" t="b">
        <v>0</v>
      </c>
      <c r="F9242" t="s">
        <v>11610</v>
      </c>
      <c r="L9242">
        <v>0</v>
      </c>
      <c r="M9242">
        <v>0</v>
      </c>
      <c r="N9242">
        <v>0</v>
      </c>
    </row>
    <row r="9243" spans="1:15">
      <c r="A9243" t="s">
        <v>35672</v>
      </c>
      <c r="B9243" t="s">
        <v>11637</v>
      </c>
      <c r="C9243" t="s">
        <v>16881</v>
      </c>
      <c r="D9243" t="s">
        <v>35673</v>
      </c>
      <c r="E9243" t="b">
        <v>0</v>
      </c>
      <c r="F9243" t="s">
        <v>11610</v>
      </c>
      <c r="L9243">
        <v>0</v>
      </c>
      <c r="M9243">
        <v>0</v>
      </c>
      <c r="N9243">
        <v>0</v>
      </c>
    </row>
    <row r="9244" spans="1:15">
      <c r="A9244" t="s">
        <v>35674</v>
      </c>
      <c r="B9244" t="s">
        <v>13967</v>
      </c>
      <c r="C9244" t="s">
        <v>6757</v>
      </c>
      <c r="D9244" t="s">
        <v>35675</v>
      </c>
      <c r="E9244" t="b">
        <v>0</v>
      </c>
      <c r="F9244" t="s">
        <v>11610</v>
      </c>
      <c r="L9244">
        <v>0</v>
      </c>
      <c r="M9244">
        <v>0</v>
      </c>
      <c r="N9244">
        <v>0</v>
      </c>
    </row>
    <row r="9245" spans="1:15">
      <c r="A9245" t="s">
        <v>35676</v>
      </c>
      <c r="B9245" t="s">
        <v>12438</v>
      </c>
      <c r="C9245" t="s">
        <v>32116</v>
      </c>
      <c r="D9245" t="s">
        <v>35677</v>
      </c>
      <c r="E9245" t="b">
        <v>0</v>
      </c>
      <c r="F9245" t="s">
        <v>11610</v>
      </c>
      <c r="L9245">
        <v>0</v>
      </c>
      <c r="M9245">
        <v>0</v>
      </c>
      <c r="N9245">
        <v>0</v>
      </c>
    </row>
    <row r="9246" spans="1:15">
      <c r="A9246" t="s">
        <v>35678</v>
      </c>
      <c r="B9246" t="s">
        <v>367</v>
      </c>
      <c r="C9246" t="s">
        <v>19931</v>
      </c>
      <c r="D9246" t="s">
        <v>35679</v>
      </c>
      <c r="E9246" t="b">
        <v>0</v>
      </c>
      <c r="F9246" t="s">
        <v>11610</v>
      </c>
      <c r="L9246">
        <v>0</v>
      </c>
      <c r="M9246">
        <v>0</v>
      </c>
      <c r="N9246">
        <v>0</v>
      </c>
    </row>
    <row r="9247" spans="1:15">
      <c r="A9247" t="s">
        <v>35680</v>
      </c>
      <c r="B9247" t="s">
        <v>367</v>
      </c>
      <c r="C9247" t="s">
        <v>33119</v>
      </c>
      <c r="D9247" t="s">
        <v>35681</v>
      </c>
      <c r="E9247" t="b">
        <v>0</v>
      </c>
      <c r="F9247" t="s">
        <v>11624</v>
      </c>
      <c r="G9247">
        <v>5.9329999999999998</v>
      </c>
      <c r="H9247">
        <v>100.492</v>
      </c>
      <c r="I9247" t="s">
        <v>35682</v>
      </c>
      <c r="L9247">
        <v>0</v>
      </c>
      <c r="M9247">
        <v>0</v>
      </c>
      <c r="N9247">
        <v>0</v>
      </c>
      <c r="O9247" t="s">
        <v>33349</v>
      </c>
    </row>
    <row r="9248" spans="1:15">
      <c r="A9248" t="s">
        <v>35683</v>
      </c>
      <c r="B9248" t="s">
        <v>367</v>
      </c>
      <c r="C9248" t="s">
        <v>27945</v>
      </c>
      <c r="D9248" t="s">
        <v>35684</v>
      </c>
      <c r="E9248" t="b">
        <v>0</v>
      </c>
      <c r="F9248" t="s">
        <v>11624</v>
      </c>
      <c r="G9248">
        <v>-8.2303899999999999</v>
      </c>
      <c r="H9248">
        <v>123.77</v>
      </c>
      <c r="I9248" t="s">
        <v>35685</v>
      </c>
      <c r="L9248">
        <v>0</v>
      </c>
      <c r="M9248">
        <v>0</v>
      </c>
      <c r="N9248">
        <v>0</v>
      </c>
      <c r="O9248" t="s">
        <v>11768</v>
      </c>
    </row>
    <row r="9249" spans="1:15">
      <c r="A9249" t="s">
        <v>35686</v>
      </c>
      <c r="B9249" t="s">
        <v>6742</v>
      </c>
      <c r="C9249" t="s">
        <v>13762</v>
      </c>
      <c r="D9249" t="s">
        <v>35687</v>
      </c>
      <c r="E9249" t="b">
        <v>0</v>
      </c>
      <c r="F9249" t="s">
        <v>11610</v>
      </c>
      <c r="L9249">
        <v>0</v>
      </c>
      <c r="M9249">
        <v>0</v>
      </c>
      <c r="N9249">
        <v>0</v>
      </c>
    </row>
    <row r="9250" spans="1:15">
      <c r="A9250" t="s">
        <v>35688</v>
      </c>
      <c r="B9250" t="s">
        <v>16947</v>
      </c>
      <c r="C9250" t="s">
        <v>18175</v>
      </c>
      <c r="D9250" t="s">
        <v>35689</v>
      </c>
      <c r="E9250" t="b">
        <v>0</v>
      </c>
      <c r="F9250" t="s">
        <v>11624</v>
      </c>
      <c r="G9250">
        <v>-2.0358900000000002</v>
      </c>
      <c r="H9250">
        <v>139.08099999999999</v>
      </c>
      <c r="I9250" t="s">
        <v>35690</v>
      </c>
      <c r="L9250">
        <v>0</v>
      </c>
      <c r="M9250">
        <v>0</v>
      </c>
      <c r="N9250">
        <v>0</v>
      </c>
      <c r="O9250" t="s">
        <v>11768</v>
      </c>
    </row>
    <row r="9251" spans="1:15">
      <c r="A9251" t="s">
        <v>35691</v>
      </c>
      <c r="B9251" t="s">
        <v>4236</v>
      </c>
      <c r="C9251" t="s">
        <v>23013</v>
      </c>
      <c r="D9251" t="s">
        <v>35692</v>
      </c>
      <c r="E9251" t="b">
        <v>0</v>
      </c>
      <c r="F9251" t="s">
        <v>11610</v>
      </c>
      <c r="L9251">
        <v>0</v>
      </c>
      <c r="M9251">
        <v>0</v>
      </c>
      <c r="N9251">
        <v>0</v>
      </c>
    </row>
    <row r="9252" spans="1:15">
      <c r="A9252" t="s">
        <v>35693</v>
      </c>
      <c r="B9252" t="s">
        <v>367</v>
      </c>
      <c r="C9252" t="s">
        <v>15834</v>
      </c>
      <c r="D9252" t="s">
        <v>35694</v>
      </c>
      <c r="E9252" t="b">
        <v>0</v>
      </c>
      <c r="F9252" t="s">
        <v>11610</v>
      </c>
      <c r="L9252">
        <v>0</v>
      </c>
      <c r="M9252">
        <v>0</v>
      </c>
      <c r="N9252">
        <v>0</v>
      </c>
    </row>
    <row r="9253" spans="1:15">
      <c r="A9253" t="s">
        <v>35695</v>
      </c>
      <c r="B9253" t="s">
        <v>11757</v>
      </c>
      <c r="C9253" t="s">
        <v>216</v>
      </c>
      <c r="D9253" t="s">
        <v>35696</v>
      </c>
      <c r="E9253" t="b">
        <v>0</v>
      </c>
      <c r="F9253" t="s">
        <v>11610</v>
      </c>
      <c r="L9253">
        <v>0</v>
      </c>
      <c r="M9253">
        <v>0</v>
      </c>
      <c r="N9253">
        <v>0</v>
      </c>
    </row>
    <row r="9254" spans="1:15">
      <c r="A9254" t="s">
        <v>35697</v>
      </c>
      <c r="B9254" t="s">
        <v>6742</v>
      </c>
      <c r="C9254" t="s">
        <v>19737</v>
      </c>
      <c r="D9254" t="s">
        <v>35698</v>
      </c>
      <c r="E9254" t="b">
        <v>0</v>
      </c>
      <c r="F9254" t="s">
        <v>11610</v>
      </c>
      <c r="L9254">
        <v>0</v>
      </c>
      <c r="M9254">
        <v>0</v>
      </c>
      <c r="N9254">
        <v>0</v>
      </c>
    </row>
    <row r="9255" spans="1:15">
      <c r="A9255" t="s">
        <v>35699</v>
      </c>
      <c r="B9255" t="s">
        <v>6742</v>
      </c>
      <c r="C9255" t="s">
        <v>17719</v>
      </c>
      <c r="D9255" t="s">
        <v>35700</v>
      </c>
      <c r="E9255" t="b">
        <v>0</v>
      </c>
      <c r="F9255" t="s">
        <v>11610</v>
      </c>
      <c r="L9255">
        <v>0</v>
      </c>
      <c r="M9255">
        <v>0</v>
      </c>
      <c r="N9255">
        <v>0</v>
      </c>
    </row>
    <row r="9256" spans="1:15">
      <c r="A9256" t="s">
        <v>35701</v>
      </c>
      <c r="B9256" t="s">
        <v>367</v>
      </c>
      <c r="C9256" t="s">
        <v>35702</v>
      </c>
      <c r="D9256" t="s">
        <v>35703</v>
      </c>
      <c r="E9256" t="b">
        <v>0</v>
      </c>
      <c r="F9256" t="s">
        <v>11610</v>
      </c>
      <c r="L9256">
        <v>0</v>
      </c>
      <c r="M9256">
        <v>0</v>
      </c>
      <c r="N9256">
        <v>0</v>
      </c>
    </row>
    <row r="9257" spans="1:15">
      <c r="A9257" t="s">
        <v>35704</v>
      </c>
      <c r="B9257" t="s">
        <v>11644</v>
      </c>
      <c r="C9257" t="s">
        <v>1298</v>
      </c>
      <c r="D9257" t="s">
        <v>35705</v>
      </c>
      <c r="E9257" t="b">
        <v>0</v>
      </c>
      <c r="F9257" t="s">
        <v>11610</v>
      </c>
      <c r="L9257">
        <v>0</v>
      </c>
      <c r="M9257">
        <v>0</v>
      </c>
      <c r="N9257">
        <v>0</v>
      </c>
    </row>
    <row r="9258" spans="1:15">
      <c r="A9258" t="s">
        <v>35706</v>
      </c>
      <c r="B9258" t="s">
        <v>367</v>
      </c>
      <c r="C9258" t="s">
        <v>15343</v>
      </c>
      <c r="D9258" t="s">
        <v>35707</v>
      </c>
      <c r="E9258" t="b">
        <v>0</v>
      </c>
      <c r="F9258" t="s">
        <v>11610</v>
      </c>
      <c r="L9258">
        <v>0</v>
      </c>
      <c r="M9258">
        <v>0</v>
      </c>
      <c r="N9258">
        <v>0</v>
      </c>
    </row>
    <row r="9259" spans="1:15">
      <c r="A9259" t="s">
        <v>35708</v>
      </c>
      <c r="D9259" t="s">
        <v>35709</v>
      </c>
      <c r="E9259" t="b">
        <v>0</v>
      </c>
      <c r="F9259" t="s">
        <v>11624</v>
      </c>
      <c r="G9259">
        <v>-3.1932800000000001</v>
      </c>
      <c r="H9259">
        <v>136.13999999999999</v>
      </c>
      <c r="I9259" t="s">
        <v>35710</v>
      </c>
      <c r="L9259">
        <v>0</v>
      </c>
      <c r="M9259">
        <v>0</v>
      </c>
      <c r="N9259">
        <v>0</v>
      </c>
      <c r="O9259" t="s">
        <v>11768</v>
      </c>
    </row>
    <row r="9260" spans="1:15">
      <c r="A9260" t="s">
        <v>35711</v>
      </c>
      <c r="B9260" t="s">
        <v>367</v>
      </c>
      <c r="C9260" t="s">
        <v>35712</v>
      </c>
      <c r="D9260" t="s">
        <v>35713</v>
      </c>
      <c r="E9260" t="b">
        <v>0</v>
      </c>
      <c r="F9260" t="s">
        <v>11610</v>
      </c>
      <c r="L9260">
        <v>0</v>
      </c>
      <c r="M9260">
        <v>0</v>
      </c>
      <c r="N9260">
        <v>0</v>
      </c>
    </row>
    <row r="9261" spans="1:15">
      <c r="A9261" t="s">
        <v>28013</v>
      </c>
      <c r="B9261" t="s">
        <v>367</v>
      </c>
      <c r="C9261" t="s">
        <v>35714</v>
      </c>
      <c r="D9261" t="s">
        <v>35715</v>
      </c>
      <c r="E9261" t="b">
        <v>0</v>
      </c>
      <c r="F9261" t="s">
        <v>11622</v>
      </c>
      <c r="L9261">
        <v>0</v>
      </c>
      <c r="M9261">
        <v>2</v>
      </c>
      <c r="N9261">
        <v>9</v>
      </c>
    </row>
    <row r="9262" spans="1:15">
      <c r="A9262" t="s">
        <v>24459</v>
      </c>
      <c r="B9262" t="s">
        <v>11868</v>
      </c>
      <c r="C9262" t="s">
        <v>11868</v>
      </c>
      <c r="D9262" t="s">
        <v>35716</v>
      </c>
      <c r="E9262" t="b">
        <v>0</v>
      </c>
      <c r="F9262" t="s">
        <v>11624</v>
      </c>
      <c r="G9262">
        <v>11.2064</v>
      </c>
      <c r="H9262">
        <v>29.3889</v>
      </c>
      <c r="I9262" t="s">
        <v>35717</v>
      </c>
      <c r="L9262">
        <v>0</v>
      </c>
      <c r="M9262">
        <v>0</v>
      </c>
      <c r="N9262">
        <v>2</v>
      </c>
      <c r="O9262" t="s">
        <v>11910</v>
      </c>
    </row>
    <row r="9263" spans="1:15">
      <c r="A9263" t="s">
        <v>35712</v>
      </c>
      <c r="B9263" t="s">
        <v>367</v>
      </c>
      <c r="C9263" t="s">
        <v>28013</v>
      </c>
      <c r="D9263" t="s">
        <v>35718</v>
      </c>
      <c r="E9263" t="b">
        <v>0</v>
      </c>
      <c r="F9263" t="s">
        <v>11624</v>
      </c>
      <c r="G9263">
        <v>-5.6394799999999998</v>
      </c>
      <c r="H9263">
        <v>133.02000000000001</v>
      </c>
      <c r="I9263" t="s">
        <v>35719</v>
      </c>
      <c r="L9263">
        <v>0</v>
      </c>
      <c r="M9263">
        <v>0</v>
      </c>
      <c r="N9263">
        <v>5</v>
      </c>
      <c r="O9263" t="s">
        <v>11768</v>
      </c>
    </row>
    <row r="9264" spans="1:15">
      <c r="A9264" t="s">
        <v>35720</v>
      </c>
      <c r="B9264" t="s">
        <v>367</v>
      </c>
      <c r="C9264" t="s">
        <v>35712</v>
      </c>
      <c r="D9264" t="s">
        <v>35721</v>
      </c>
      <c r="E9264" t="b">
        <v>0</v>
      </c>
      <c r="F9264" t="s">
        <v>11610</v>
      </c>
      <c r="L9264">
        <v>0</v>
      </c>
      <c r="M9264">
        <v>0</v>
      </c>
      <c r="N9264">
        <v>0</v>
      </c>
    </row>
    <row r="9265" spans="1:15">
      <c r="A9265" t="s">
        <v>35722</v>
      </c>
      <c r="B9265" t="s">
        <v>11615</v>
      </c>
      <c r="C9265" t="s">
        <v>29313</v>
      </c>
      <c r="D9265" t="s">
        <v>35723</v>
      </c>
      <c r="E9265" t="b">
        <v>0</v>
      </c>
      <c r="F9265" t="s">
        <v>11624</v>
      </c>
      <c r="G9265">
        <v>-5.3372999999999999</v>
      </c>
      <c r="H9265">
        <v>145.483</v>
      </c>
      <c r="I9265" t="s">
        <v>35724</v>
      </c>
      <c r="L9265">
        <v>0</v>
      </c>
      <c r="M9265">
        <v>0</v>
      </c>
      <c r="N9265">
        <v>0</v>
      </c>
      <c r="O9265" t="s">
        <v>11660</v>
      </c>
    </row>
    <row r="9266" spans="1:15">
      <c r="A9266" t="s">
        <v>35714</v>
      </c>
      <c r="B9266" t="s">
        <v>367</v>
      </c>
      <c r="C9266" t="s">
        <v>14692</v>
      </c>
      <c r="D9266" t="s">
        <v>35725</v>
      </c>
      <c r="E9266" t="b">
        <v>0</v>
      </c>
      <c r="F9266" t="s">
        <v>11622</v>
      </c>
      <c r="L9266">
        <v>3</v>
      </c>
      <c r="M9266">
        <v>6</v>
      </c>
      <c r="N9266">
        <v>15</v>
      </c>
    </row>
    <row r="9267" spans="1:15">
      <c r="A9267" t="s">
        <v>35726</v>
      </c>
      <c r="B9267" t="s">
        <v>11757</v>
      </c>
      <c r="C9267" t="s">
        <v>35727</v>
      </c>
      <c r="D9267" t="s">
        <v>35728</v>
      </c>
      <c r="E9267" t="b">
        <v>0</v>
      </c>
      <c r="F9267" t="s">
        <v>11624</v>
      </c>
      <c r="G9267">
        <v>0.51085700000000001</v>
      </c>
      <c r="H9267">
        <v>35.226745000000001</v>
      </c>
      <c r="I9267" t="s">
        <v>35729</v>
      </c>
      <c r="L9267">
        <v>0</v>
      </c>
      <c r="M9267">
        <v>0</v>
      </c>
      <c r="N9267">
        <v>0</v>
      </c>
      <c r="O9267" t="s">
        <v>22848</v>
      </c>
    </row>
    <row r="9268" spans="1:15">
      <c r="A9268" t="s">
        <v>8473</v>
      </c>
      <c r="B9268" t="s">
        <v>5911</v>
      </c>
      <c r="C9268" t="s">
        <v>23406</v>
      </c>
      <c r="D9268" t="s">
        <v>35730</v>
      </c>
      <c r="E9268" t="b">
        <v>0</v>
      </c>
      <c r="F9268" t="s">
        <v>11624</v>
      </c>
      <c r="G9268">
        <v>15.3788</v>
      </c>
      <c r="H9268">
        <v>-89.245199999999997</v>
      </c>
      <c r="I9268" t="s">
        <v>8474</v>
      </c>
      <c r="L9268">
        <v>0</v>
      </c>
      <c r="M9268">
        <v>0</v>
      </c>
      <c r="N9268">
        <v>0</v>
      </c>
      <c r="O9268" t="s">
        <v>35731</v>
      </c>
    </row>
    <row r="9269" spans="1:15">
      <c r="A9269" t="s">
        <v>35732</v>
      </c>
      <c r="B9269" t="s">
        <v>6742</v>
      </c>
      <c r="C9269" t="s">
        <v>17036</v>
      </c>
      <c r="D9269" t="s">
        <v>35733</v>
      </c>
      <c r="E9269" t="b">
        <v>0</v>
      </c>
      <c r="F9269" t="s">
        <v>11610</v>
      </c>
      <c r="L9269">
        <v>0</v>
      </c>
      <c r="M9269">
        <v>0</v>
      </c>
      <c r="N9269">
        <v>0</v>
      </c>
    </row>
    <row r="9270" spans="1:15">
      <c r="A9270" t="s">
        <v>35734</v>
      </c>
      <c r="B9270" t="s">
        <v>6742</v>
      </c>
      <c r="C9270" t="s">
        <v>35735</v>
      </c>
      <c r="D9270" t="s">
        <v>35736</v>
      </c>
      <c r="E9270" t="b">
        <v>0</v>
      </c>
      <c r="F9270" t="s">
        <v>11610</v>
      </c>
      <c r="G9270">
        <v>-1.3908499999999999</v>
      </c>
      <c r="H9270">
        <v>24.005099999999999</v>
      </c>
      <c r="I9270" t="s">
        <v>35737</v>
      </c>
      <c r="L9270">
        <v>0</v>
      </c>
      <c r="M9270">
        <v>0</v>
      </c>
      <c r="N9270">
        <v>0</v>
      </c>
      <c r="O9270" t="s">
        <v>14825</v>
      </c>
    </row>
    <row r="9271" spans="1:15">
      <c r="A9271" t="s">
        <v>35738</v>
      </c>
      <c r="B9271" t="s">
        <v>367</v>
      </c>
      <c r="C9271" t="s">
        <v>20071</v>
      </c>
      <c r="D9271" t="s">
        <v>35739</v>
      </c>
      <c r="E9271" t="b">
        <v>0</v>
      </c>
      <c r="F9271" t="s">
        <v>11624</v>
      </c>
      <c r="G9271">
        <v>-7.4710299999999998</v>
      </c>
      <c r="H9271">
        <v>147.173</v>
      </c>
      <c r="I9271" t="s">
        <v>35740</v>
      </c>
      <c r="L9271">
        <v>0</v>
      </c>
      <c r="M9271">
        <v>0</v>
      </c>
      <c r="N9271">
        <v>0</v>
      </c>
      <c r="O9271" t="s">
        <v>11660</v>
      </c>
    </row>
    <row r="9272" spans="1:15">
      <c r="A9272" t="s">
        <v>35741</v>
      </c>
      <c r="B9272" t="s">
        <v>367</v>
      </c>
      <c r="C9272" t="s">
        <v>17468</v>
      </c>
      <c r="D9272" t="s">
        <v>35742</v>
      </c>
      <c r="E9272" t="b">
        <v>0</v>
      </c>
      <c r="F9272" t="s">
        <v>11610</v>
      </c>
      <c r="L9272">
        <v>0</v>
      </c>
      <c r="M9272">
        <v>0</v>
      </c>
      <c r="N9272">
        <v>0</v>
      </c>
    </row>
    <row r="9273" spans="1:15">
      <c r="A9273" t="s">
        <v>35743</v>
      </c>
      <c r="B9273" t="s">
        <v>367</v>
      </c>
      <c r="C9273" t="s">
        <v>18061</v>
      </c>
      <c r="D9273" t="s">
        <v>35744</v>
      </c>
      <c r="E9273" t="b">
        <v>0</v>
      </c>
      <c r="F9273" t="s">
        <v>11622</v>
      </c>
      <c r="L9273">
        <v>1</v>
      </c>
      <c r="M9273">
        <v>5</v>
      </c>
      <c r="N9273">
        <v>16</v>
      </c>
    </row>
    <row r="9274" spans="1:15">
      <c r="A9274" t="s">
        <v>366</v>
      </c>
      <c r="B9274" t="s">
        <v>367</v>
      </c>
      <c r="C9274" t="s">
        <v>35745</v>
      </c>
      <c r="D9274" t="s">
        <v>365</v>
      </c>
      <c r="E9274" t="b">
        <v>0</v>
      </c>
      <c r="F9274" t="s">
        <v>11624</v>
      </c>
      <c r="G9274">
        <v>3.3178299999999998</v>
      </c>
      <c r="H9274">
        <v>115.428</v>
      </c>
      <c r="I9274" t="s">
        <v>369</v>
      </c>
      <c r="L9274">
        <v>0</v>
      </c>
      <c r="M9274">
        <v>0</v>
      </c>
      <c r="N9274">
        <v>5</v>
      </c>
      <c r="O9274" t="s">
        <v>31881</v>
      </c>
    </row>
    <row r="9275" spans="1:15">
      <c r="A9275" t="s">
        <v>35746</v>
      </c>
      <c r="B9275" t="s">
        <v>367</v>
      </c>
      <c r="C9275" t="s">
        <v>35747</v>
      </c>
      <c r="D9275" t="s">
        <v>35748</v>
      </c>
      <c r="E9275" t="b">
        <v>0</v>
      </c>
      <c r="F9275" t="s">
        <v>11610</v>
      </c>
      <c r="L9275">
        <v>0</v>
      </c>
      <c r="M9275">
        <v>0</v>
      </c>
      <c r="N9275">
        <v>0</v>
      </c>
    </row>
    <row r="9276" spans="1:15">
      <c r="A9276" t="s">
        <v>35745</v>
      </c>
      <c r="B9276" t="s">
        <v>367</v>
      </c>
      <c r="C9276" t="s">
        <v>35743</v>
      </c>
      <c r="D9276" t="s">
        <v>35749</v>
      </c>
      <c r="E9276" t="b">
        <v>0</v>
      </c>
      <c r="F9276" t="s">
        <v>11622</v>
      </c>
      <c r="L9276">
        <v>0</v>
      </c>
      <c r="M9276">
        <v>4</v>
      </c>
      <c r="N9276">
        <v>5</v>
      </c>
    </row>
    <row r="9277" spans="1:15">
      <c r="A9277" t="s">
        <v>19281</v>
      </c>
      <c r="B9277" t="s">
        <v>6742</v>
      </c>
      <c r="C9277" t="s">
        <v>29724</v>
      </c>
      <c r="D9277" t="s">
        <v>35750</v>
      </c>
      <c r="E9277" t="b">
        <v>0</v>
      </c>
      <c r="F9277" t="s">
        <v>11622</v>
      </c>
      <c r="L9277">
        <v>7</v>
      </c>
      <c r="M9277">
        <v>15</v>
      </c>
      <c r="N9277">
        <v>33</v>
      </c>
    </row>
    <row r="9278" spans="1:15">
      <c r="A9278" t="s">
        <v>35751</v>
      </c>
      <c r="B9278" t="s">
        <v>12311</v>
      </c>
      <c r="C9278" t="s">
        <v>13678</v>
      </c>
      <c r="D9278" t="s">
        <v>35752</v>
      </c>
      <c r="E9278" t="b">
        <v>0</v>
      </c>
      <c r="F9278" t="s">
        <v>11610</v>
      </c>
      <c r="L9278">
        <v>0</v>
      </c>
      <c r="M9278">
        <v>0</v>
      </c>
      <c r="N9278">
        <v>0</v>
      </c>
    </row>
    <row r="9279" spans="1:15">
      <c r="A9279" t="s">
        <v>35753</v>
      </c>
      <c r="B9279" t="s">
        <v>6742</v>
      </c>
      <c r="C9279" t="s">
        <v>35754</v>
      </c>
      <c r="D9279" t="s">
        <v>35755</v>
      </c>
      <c r="E9279" t="b">
        <v>0</v>
      </c>
      <c r="F9279" t="s">
        <v>11624</v>
      </c>
      <c r="G9279">
        <v>0.36906</v>
      </c>
      <c r="H9279">
        <v>24.309799999999999</v>
      </c>
      <c r="I9279" t="s">
        <v>35756</v>
      </c>
      <c r="L9279">
        <v>0</v>
      </c>
      <c r="M9279">
        <v>0</v>
      </c>
      <c r="N9279">
        <v>0</v>
      </c>
      <c r="O9279" t="s">
        <v>14825</v>
      </c>
    </row>
    <row r="9280" spans="1:15">
      <c r="A9280" t="s">
        <v>19981</v>
      </c>
      <c r="B9280" t="s">
        <v>6742</v>
      </c>
      <c r="C9280" t="s">
        <v>35757</v>
      </c>
      <c r="D9280" t="s">
        <v>35758</v>
      </c>
      <c r="E9280" t="b">
        <v>0</v>
      </c>
      <c r="F9280" t="s">
        <v>11624</v>
      </c>
      <c r="G9280">
        <v>-0.78854000000000002</v>
      </c>
      <c r="H9280">
        <v>10.383599999999999</v>
      </c>
      <c r="I9280" t="s">
        <v>35759</v>
      </c>
      <c r="L9280">
        <v>0</v>
      </c>
      <c r="M9280">
        <v>0</v>
      </c>
      <c r="N9280">
        <v>2</v>
      </c>
      <c r="O9280" t="s">
        <v>16915</v>
      </c>
    </row>
    <row r="9281" spans="1:15">
      <c r="A9281" t="s">
        <v>35760</v>
      </c>
      <c r="B9281" t="s">
        <v>367</v>
      </c>
      <c r="C9281" t="s">
        <v>27325</v>
      </c>
      <c r="D9281" t="s">
        <v>35761</v>
      </c>
      <c r="E9281" t="b">
        <v>0</v>
      </c>
      <c r="F9281" t="s">
        <v>11624</v>
      </c>
      <c r="G9281">
        <v>-2.0916299999999999</v>
      </c>
      <c r="H9281">
        <v>147.06399999999999</v>
      </c>
      <c r="I9281" t="s">
        <v>35762</v>
      </c>
      <c r="L9281">
        <v>0</v>
      </c>
      <c r="M9281">
        <v>0</v>
      </c>
      <c r="N9281">
        <v>0</v>
      </c>
      <c r="O9281" t="s">
        <v>11660</v>
      </c>
    </row>
    <row r="9282" spans="1:15">
      <c r="A9282" t="s">
        <v>17584</v>
      </c>
      <c r="B9282" t="s">
        <v>367</v>
      </c>
      <c r="C9282" t="s">
        <v>12444</v>
      </c>
      <c r="D9282" t="s">
        <v>35763</v>
      </c>
      <c r="E9282" t="b">
        <v>0</v>
      </c>
      <c r="F9282" t="s">
        <v>11624</v>
      </c>
      <c r="G9282">
        <v>16.709900000000001</v>
      </c>
      <c r="H9282">
        <v>121.035</v>
      </c>
      <c r="I9282" t="s">
        <v>35764</v>
      </c>
      <c r="L9282">
        <v>0</v>
      </c>
      <c r="M9282">
        <v>0</v>
      </c>
      <c r="N9282">
        <v>2</v>
      </c>
      <c r="O9282" t="s">
        <v>11749</v>
      </c>
    </row>
    <row r="9283" spans="1:15">
      <c r="A9283" t="s">
        <v>29728</v>
      </c>
      <c r="B9283" t="s">
        <v>6742</v>
      </c>
      <c r="C9283" t="s">
        <v>15558</v>
      </c>
      <c r="D9283" t="s">
        <v>35765</v>
      </c>
      <c r="E9283" t="b">
        <v>0</v>
      </c>
      <c r="F9283" t="s">
        <v>11622</v>
      </c>
      <c r="L9283">
        <v>10</v>
      </c>
      <c r="M9283">
        <v>12</v>
      </c>
      <c r="N9283">
        <v>2</v>
      </c>
    </row>
    <row r="9284" spans="1:15">
      <c r="A9284" t="s">
        <v>35766</v>
      </c>
      <c r="B9284" t="s">
        <v>6742</v>
      </c>
      <c r="C9284" t="s">
        <v>21841</v>
      </c>
      <c r="D9284" t="s">
        <v>35767</v>
      </c>
      <c r="E9284" t="b">
        <v>0</v>
      </c>
      <c r="F9284" t="s">
        <v>11622</v>
      </c>
      <c r="L9284">
        <v>4</v>
      </c>
      <c r="M9284">
        <v>7</v>
      </c>
      <c r="N9284">
        <v>12</v>
      </c>
    </row>
    <row r="9285" spans="1:15">
      <c r="A9285" t="s">
        <v>29732</v>
      </c>
      <c r="B9285" t="s">
        <v>6742</v>
      </c>
      <c r="C9285" t="s">
        <v>29728</v>
      </c>
      <c r="D9285" t="s">
        <v>35768</v>
      </c>
      <c r="E9285" t="b">
        <v>0</v>
      </c>
      <c r="F9285" t="s">
        <v>11622</v>
      </c>
      <c r="L9285">
        <v>5</v>
      </c>
      <c r="M9285">
        <v>7</v>
      </c>
      <c r="N9285">
        <v>2</v>
      </c>
    </row>
    <row r="9286" spans="1:15">
      <c r="A9286" t="s">
        <v>35769</v>
      </c>
      <c r="B9286" t="s">
        <v>6742</v>
      </c>
      <c r="C9286" t="s">
        <v>35766</v>
      </c>
      <c r="D9286" t="s">
        <v>35770</v>
      </c>
      <c r="E9286" t="b">
        <v>0</v>
      </c>
      <c r="F9286" t="s">
        <v>11622</v>
      </c>
      <c r="L9286">
        <v>3</v>
      </c>
      <c r="M9286">
        <v>6</v>
      </c>
      <c r="N9286">
        <v>12</v>
      </c>
    </row>
    <row r="9287" spans="1:15">
      <c r="A9287" t="s">
        <v>35757</v>
      </c>
      <c r="B9287" t="s">
        <v>6742</v>
      </c>
      <c r="C9287" t="s">
        <v>29732</v>
      </c>
      <c r="D9287" t="s">
        <v>35771</v>
      </c>
      <c r="E9287" t="b">
        <v>0</v>
      </c>
      <c r="F9287" t="s">
        <v>11622</v>
      </c>
      <c r="L9287">
        <v>0</v>
      </c>
      <c r="M9287">
        <v>2</v>
      </c>
      <c r="N9287">
        <v>2</v>
      </c>
    </row>
    <row r="9288" spans="1:15">
      <c r="A9288" t="s">
        <v>35754</v>
      </c>
      <c r="B9288" t="s">
        <v>6742</v>
      </c>
      <c r="C9288" t="s">
        <v>35769</v>
      </c>
      <c r="D9288" t="s">
        <v>35772</v>
      </c>
      <c r="E9288" t="b">
        <v>0</v>
      </c>
      <c r="F9288" t="s">
        <v>11622</v>
      </c>
      <c r="L9288">
        <v>0</v>
      </c>
      <c r="M9288">
        <v>2</v>
      </c>
      <c r="N9288">
        <v>0</v>
      </c>
    </row>
    <row r="9289" spans="1:15">
      <c r="A9289" t="s">
        <v>24743</v>
      </c>
      <c r="B9289" t="s">
        <v>11729</v>
      </c>
      <c r="C9289" t="s">
        <v>34447</v>
      </c>
      <c r="D9289" t="s">
        <v>35773</v>
      </c>
      <c r="E9289" t="b">
        <v>0</v>
      </c>
      <c r="F9289" t="s">
        <v>11624</v>
      </c>
      <c r="G9289">
        <v>3.5603899999999999</v>
      </c>
      <c r="H9289">
        <v>30.556000000000001</v>
      </c>
      <c r="I9289" t="s">
        <v>35774</v>
      </c>
      <c r="L9289">
        <v>0</v>
      </c>
      <c r="M9289">
        <v>0</v>
      </c>
      <c r="N9289">
        <v>4</v>
      </c>
      <c r="O9289" t="s">
        <v>34323</v>
      </c>
    </row>
    <row r="9290" spans="1:15">
      <c r="A9290" t="s">
        <v>35775</v>
      </c>
      <c r="B9290" t="s">
        <v>11780</v>
      </c>
      <c r="C9290" t="s">
        <v>11781</v>
      </c>
      <c r="D9290" t="s">
        <v>35776</v>
      </c>
      <c r="E9290" t="b">
        <v>0</v>
      </c>
      <c r="F9290" t="s">
        <v>11610</v>
      </c>
      <c r="L9290">
        <v>0</v>
      </c>
      <c r="M9290">
        <v>0</v>
      </c>
      <c r="N9290">
        <v>0</v>
      </c>
    </row>
    <row r="9291" spans="1:15">
      <c r="A9291" t="s">
        <v>35777</v>
      </c>
      <c r="B9291" t="s">
        <v>367</v>
      </c>
      <c r="C9291" t="s">
        <v>19139</v>
      </c>
      <c r="D9291" t="s">
        <v>35778</v>
      </c>
      <c r="E9291" t="b">
        <v>0</v>
      </c>
      <c r="F9291" t="s">
        <v>11610</v>
      </c>
      <c r="L9291">
        <v>0</v>
      </c>
      <c r="M9291">
        <v>0</v>
      </c>
      <c r="N9291">
        <v>0</v>
      </c>
    </row>
    <row r="9292" spans="1:15">
      <c r="A9292" t="s">
        <v>35779</v>
      </c>
      <c r="B9292" t="s">
        <v>367</v>
      </c>
      <c r="C9292" t="s">
        <v>29099</v>
      </c>
      <c r="D9292" t="s">
        <v>35780</v>
      </c>
      <c r="E9292" t="b">
        <v>0</v>
      </c>
      <c r="F9292" t="s">
        <v>11610</v>
      </c>
      <c r="L9292">
        <v>0</v>
      </c>
      <c r="M9292">
        <v>0</v>
      </c>
      <c r="N9292">
        <v>0</v>
      </c>
    </row>
    <row r="9293" spans="1:15">
      <c r="A9293" t="s">
        <v>35781</v>
      </c>
      <c r="B9293" t="s">
        <v>367</v>
      </c>
      <c r="C9293" t="s">
        <v>17951</v>
      </c>
      <c r="D9293" t="s">
        <v>35782</v>
      </c>
      <c r="E9293" t="b">
        <v>0</v>
      </c>
      <c r="F9293" t="s">
        <v>11610</v>
      </c>
      <c r="L9293">
        <v>0</v>
      </c>
      <c r="M9293">
        <v>0</v>
      </c>
      <c r="N9293">
        <v>0</v>
      </c>
    </row>
    <row r="9294" spans="1:15">
      <c r="A9294" t="s">
        <v>17986</v>
      </c>
      <c r="B9294" t="s">
        <v>12646</v>
      </c>
      <c r="C9294" t="s">
        <v>12647</v>
      </c>
      <c r="D9294" t="s">
        <v>35783</v>
      </c>
      <c r="E9294" t="b">
        <v>0</v>
      </c>
      <c r="F9294" t="s">
        <v>11624</v>
      </c>
      <c r="G9294">
        <v>10.9291</v>
      </c>
      <c r="H9294">
        <v>34.381599999999999</v>
      </c>
      <c r="I9294" t="s">
        <v>35784</v>
      </c>
      <c r="L9294">
        <v>0</v>
      </c>
      <c r="M9294">
        <v>0</v>
      </c>
      <c r="N9294">
        <v>2</v>
      </c>
      <c r="O9294" t="s">
        <v>11910</v>
      </c>
    </row>
    <row r="9295" spans="1:15">
      <c r="A9295" t="s">
        <v>29025</v>
      </c>
      <c r="B9295" t="s">
        <v>11839</v>
      </c>
      <c r="C9295" t="s">
        <v>34054</v>
      </c>
      <c r="D9295" t="s">
        <v>35785</v>
      </c>
      <c r="E9295" t="b">
        <v>0</v>
      </c>
      <c r="F9295" t="s">
        <v>11624</v>
      </c>
      <c r="G9295">
        <v>-8.4068799999999992</v>
      </c>
      <c r="H9295">
        <v>124.429</v>
      </c>
      <c r="I9295" t="s">
        <v>35786</v>
      </c>
      <c r="L9295">
        <v>0</v>
      </c>
      <c r="M9295">
        <v>0</v>
      </c>
      <c r="N9295">
        <v>4</v>
      </c>
      <c r="O9295" t="s">
        <v>11768</v>
      </c>
    </row>
    <row r="9296" spans="1:15">
      <c r="A9296" t="s">
        <v>5040</v>
      </c>
      <c r="B9296" t="s">
        <v>367</v>
      </c>
      <c r="C9296" t="s">
        <v>35787</v>
      </c>
      <c r="D9296" t="s">
        <v>35788</v>
      </c>
      <c r="E9296" t="b">
        <v>0</v>
      </c>
      <c r="F9296" t="s">
        <v>11624</v>
      </c>
      <c r="G9296">
        <v>-9.0029900000000005</v>
      </c>
      <c r="H9296">
        <v>125.15900000000001</v>
      </c>
      <c r="I9296" t="s">
        <v>35789</v>
      </c>
      <c r="L9296">
        <v>0</v>
      </c>
      <c r="M9296">
        <v>0</v>
      </c>
      <c r="N9296">
        <v>2</v>
      </c>
      <c r="O9296" t="s">
        <v>11976</v>
      </c>
    </row>
    <row r="9297" spans="1:15">
      <c r="A9297" t="s">
        <v>35790</v>
      </c>
      <c r="B9297" t="s">
        <v>11615</v>
      </c>
      <c r="C9297" t="s">
        <v>12938</v>
      </c>
      <c r="D9297" t="s">
        <v>35791</v>
      </c>
      <c r="E9297" t="b">
        <v>0</v>
      </c>
      <c r="F9297" t="s">
        <v>11610</v>
      </c>
      <c r="L9297">
        <v>0</v>
      </c>
      <c r="M9297">
        <v>0</v>
      </c>
      <c r="N9297">
        <v>0</v>
      </c>
    </row>
    <row r="9298" spans="1:15">
      <c r="A9298" t="s">
        <v>16878</v>
      </c>
      <c r="B9298" t="s">
        <v>14314</v>
      </c>
      <c r="C9298" t="s">
        <v>14315</v>
      </c>
      <c r="D9298" t="s">
        <v>35792</v>
      </c>
      <c r="E9298" t="b">
        <v>0</v>
      </c>
      <c r="F9298" t="s">
        <v>11624</v>
      </c>
      <c r="G9298">
        <v>-2.2449499999999998</v>
      </c>
      <c r="H9298">
        <v>132.988</v>
      </c>
      <c r="I9298" t="s">
        <v>35793</v>
      </c>
      <c r="L9298">
        <v>0</v>
      </c>
      <c r="M9298">
        <v>0</v>
      </c>
      <c r="N9298">
        <v>2</v>
      </c>
      <c r="O9298" t="s">
        <v>11768</v>
      </c>
    </row>
    <row r="9299" spans="1:15">
      <c r="A9299" t="s">
        <v>35794</v>
      </c>
      <c r="B9299" t="s">
        <v>367</v>
      </c>
      <c r="C9299" t="s">
        <v>33211</v>
      </c>
      <c r="D9299" t="s">
        <v>35795</v>
      </c>
      <c r="E9299" t="b">
        <v>0</v>
      </c>
      <c r="F9299" t="s">
        <v>11624</v>
      </c>
      <c r="G9299">
        <v>0.66181000000000001</v>
      </c>
      <c r="H9299">
        <v>110.468</v>
      </c>
      <c r="I9299" t="s">
        <v>35796</v>
      </c>
      <c r="L9299">
        <v>0</v>
      </c>
      <c r="M9299">
        <v>0</v>
      </c>
      <c r="N9299">
        <v>0</v>
      </c>
      <c r="O9299" t="s">
        <v>16728</v>
      </c>
    </row>
    <row r="9300" spans="1:15">
      <c r="A9300" t="s">
        <v>35797</v>
      </c>
      <c r="D9300" t="s">
        <v>35798</v>
      </c>
      <c r="E9300" t="b">
        <v>0</v>
      </c>
      <c r="F9300" t="s">
        <v>11624</v>
      </c>
      <c r="G9300">
        <v>-3.8906499999999999</v>
      </c>
      <c r="H9300">
        <v>140.434</v>
      </c>
      <c r="I9300" t="s">
        <v>35799</v>
      </c>
      <c r="L9300">
        <v>0</v>
      </c>
      <c r="M9300">
        <v>0</v>
      </c>
      <c r="N9300">
        <v>0</v>
      </c>
      <c r="O9300" t="s">
        <v>11768</v>
      </c>
    </row>
    <row r="9301" spans="1:15">
      <c r="A9301" t="s">
        <v>35800</v>
      </c>
      <c r="B9301" t="s">
        <v>12438</v>
      </c>
      <c r="C9301" t="s">
        <v>18967</v>
      </c>
      <c r="D9301" t="s">
        <v>35801</v>
      </c>
      <c r="E9301" t="b">
        <v>0</v>
      </c>
      <c r="F9301" t="s">
        <v>11610</v>
      </c>
      <c r="L9301">
        <v>0</v>
      </c>
      <c r="M9301">
        <v>0</v>
      </c>
      <c r="N9301">
        <v>0</v>
      </c>
    </row>
    <row r="9302" spans="1:15">
      <c r="A9302" t="s">
        <v>35802</v>
      </c>
      <c r="B9302" t="s">
        <v>6742</v>
      </c>
      <c r="C9302" t="s">
        <v>35803</v>
      </c>
      <c r="D9302" t="s">
        <v>35804</v>
      </c>
      <c r="E9302" t="b">
        <v>0</v>
      </c>
      <c r="F9302" t="s">
        <v>11624</v>
      </c>
      <c r="G9302">
        <v>6.6957700000000004</v>
      </c>
      <c r="H9302">
        <v>10.4984</v>
      </c>
      <c r="I9302" t="s">
        <v>35805</v>
      </c>
      <c r="L9302">
        <v>0</v>
      </c>
      <c r="M9302">
        <v>0</v>
      </c>
      <c r="N9302">
        <v>0</v>
      </c>
      <c r="O9302" t="s">
        <v>11703</v>
      </c>
    </row>
    <row r="9303" spans="1:15">
      <c r="A9303" t="s">
        <v>35806</v>
      </c>
      <c r="B9303" t="s">
        <v>367</v>
      </c>
      <c r="C9303" t="s">
        <v>34317</v>
      </c>
      <c r="D9303" t="s">
        <v>35807</v>
      </c>
      <c r="E9303" t="b">
        <v>0</v>
      </c>
      <c r="F9303" t="s">
        <v>11610</v>
      </c>
      <c r="L9303">
        <v>0</v>
      </c>
      <c r="M9303">
        <v>0</v>
      </c>
      <c r="N9303">
        <v>0</v>
      </c>
    </row>
    <row r="9304" spans="1:15">
      <c r="A9304" t="s">
        <v>35808</v>
      </c>
      <c r="B9304" t="s">
        <v>12260</v>
      </c>
      <c r="C9304" t="s">
        <v>12758</v>
      </c>
      <c r="D9304" t="s">
        <v>35809</v>
      </c>
      <c r="E9304" t="b">
        <v>0</v>
      </c>
      <c r="F9304" t="s">
        <v>11624</v>
      </c>
      <c r="G9304">
        <v>67.093000000000004</v>
      </c>
      <c r="H9304">
        <v>27.536999999999999</v>
      </c>
      <c r="I9304" t="s">
        <v>35810</v>
      </c>
      <c r="L9304">
        <v>0</v>
      </c>
      <c r="M9304">
        <v>0</v>
      </c>
      <c r="N9304">
        <v>0</v>
      </c>
      <c r="O9304" t="s">
        <v>27883</v>
      </c>
    </row>
    <row r="9305" spans="1:15">
      <c r="A9305" t="s">
        <v>35811</v>
      </c>
      <c r="B9305" t="s">
        <v>11627</v>
      </c>
      <c r="C9305" t="s">
        <v>11627</v>
      </c>
      <c r="D9305" t="s">
        <v>35812</v>
      </c>
      <c r="E9305" t="b">
        <v>1</v>
      </c>
      <c r="F9305" t="s">
        <v>11624</v>
      </c>
      <c r="G9305">
        <v>22.060300000000002</v>
      </c>
      <c r="H9305">
        <v>101.14400000000001</v>
      </c>
      <c r="I9305" t="s">
        <v>35813</v>
      </c>
      <c r="L9305">
        <v>0</v>
      </c>
      <c r="M9305">
        <v>0</v>
      </c>
      <c r="N9305">
        <v>0</v>
      </c>
      <c r="O9305" t="s">
        <v>11905</v>
      </c>
    </row>
    <row r="9306" spans="1:15">
      <c r="A9306" t="s">
        <v>35814</v>
      </c>
      <c r="B9306" t="s">
        <v>6742</v>
      </c>
      <c r="C9306" t="s">
        <v>19334</v>
      </c>
      <c r="D9306" t="s">
        <v>35815</v>
      </c>
      <c r="E9306" t="b">
        <v>0</v>
      </c>
      <c r="F9306" t="s">
        <v>11624</v>
      </c>
      <c r="G9306">
        <v>-2.2999999999999998</v>
      </c>
      <c r="H9306">
        <v>18</v>
      </c>
      <c r="L9306">
        <v>0</v>
      </c>
      <c r="M9306">
        <v>0</v>
      </c>
      <c r="N9306">
        <v>0</v>
      </c>
      <c r="O9306" t="s">
        <v>14825</v>
      </c>
    </row>
    <row r="9307" spans="1:15">
      <c r="A9307" t="s">
        <v>35816</v>
      </c>
      <c r="B9307" t="s">
        <v>29767</v>
      </c>
      <c r="C9307" t="s">
        <v>29768</v>
      </c>
      <c r="D9307" t="s">
        <v>35817</v>
      </c>
      <c r="E9307" t="b">
        <v>0</v>
      </c>
      <c r="F9307" t="s">
        <v>11624</v>
      </c>
      <c r="G9307">
        <v>-2.6489400000000001</v>
      </c>
      <c r="H9307">
        <v>140.37200000000001</v>
      </c>
      <c r="I9307" t="s">
        <v>35818</v>
      </c>
      <c r="L9307">
        <v>0</v>
      </c>
      <c r="M9307">
        <v>0</v>
      </c>
      <c r="N9307">
        <v>0</v>
      </c>
      <c r="O9307" t="s">
        <v>11768</v>
      </c>
    </row>
    <row r="9308" spans="1:15">
      <c r="A9308" t="s">
        <v>35819</v>
      </c>
      <c r="B9308" t="s">
        <v>13276</v>
      </c>
      <c r="C9308" t="s">
        <v>35820</v>
      </c>
      <c r="D9308" t="s">
        <v>35821</v>
      </c>
      <c r="E9308" t="b">
        <v>0</v>
      </c>
      <c r="F9308" t="s">
        <v>11610</v>
      </c>
      <c r="L9308">
        <v>0</v>
      </c>
      <c r="M9308">
        <v>0</v>
      </c>
      <c r="N9308">
        <v>0</v>
      </c>
    </row>
    <row r="9309" spans="1:15">
      <c r="A9309" t="s">
        <v>35822</v>
      </c>
      <c r="D9309" t="s">
        <v>35823</v>
      </c>
      <c r="E9309" t="b">
        <v>0</v>
      </c>
      <c r="F9309" t="s">
        <v>11624</v>
      </c>
      <c r="G9309">
        <v>3.1541619999999999</v>
      </c>
      <c r="H9309">
        <v>102.01596000000001</v>
      </c>
      <c r="I9309" t="s">
        <v>35824</v>
      </c>
      <c r="L9309">
        <v>0</v>
      </c>
      <c r="M9309">
        <v>0</v>
      </c>
      <c r="N9309">
        <v>0</v>
      </c>
      <c r="O9309" t="s">
        <v>11672</v>
      </c>
    </row>
    <row r="9310" spans="1:15">
      <c r="A9310" t="s">
        <v>35825</v>
      </c>
      <c r="B9310" t="s">
        <v>11615</v>
      </c>
      <c r="C9310" t="s">
        <v>35826</v>
      </c>
      <c r="D9310" t="s">
        <v>35827</v>
      </c>
      <c r="E9310" t="b">
        <v>0</v>
      </c>
      <c r="F9310" t="s">
        <v>11624</v>
      </c>
      <c r="G9310">
        <v>-6.7476500000000001</v>
      </c>
      <c r="H9310">
        <v>145.881</v>
      </c>
      <c r="I9310" t="s">
        <v>35828</v>
      </c>
      <c r="L9310">
        <v>0</v>
      </c>
      <c r="M9310">
        <v>0</v>
      </c>
      <c r="N9310">
        <v>0</v>
      </c>
      <c r="O9310" t="s">
        <v>11660</v>
      </c>
    </row>
    <row r="9311" spans="1:15">
      <c r="A9311" t="s">
        <v>35829</v>
      </c>
      <c r="B9311" t="s">
        <v>12438</v>
      </c>
      <c r="C9311" t="s">
        <v>5160</v>
      </c>
      <c r="D9311" t="s">
        <v>35830</v>
      </c>
      <c r="E9311" t="b">
        <v>0</v>
      </c>
      <c r="F9311" t="s">
        <v>11610</v>
      </c>
      <c r="L9311">
        <v>0</v>
      </c>
      <c r="M9311">
        <v>0</v>
      </c>
      <c r="N9311">
        <v>0</v>
      </c>
    </row>
    <row r="9312" spans="1:15">
      <c r="A9312" t="s">
        <v>35831</v>
      </c>
      <c r="B9312" t="s">
        <v>6742</v>
      </c>
      <c r="C9312" t="s">
        <v>24508</v>
      </c>
      <c r="D9312" t="s">
        <v>35832</v>
      </c>
      <c r="E9312" t="b">
        <v>0</v>
      </c>
      <c r="F9312" t="s">
        <v>11624</v>
      </c>
      <c r="G9312">
        <v>5.7742899999999997</v>
      </c>
      <c r="H9312">
        <v>9.6320099999999993</v>
      </c>
      <c r="I9312" t="s">
        <v>35833</v>
      </c>
      <c r="L9312">
        <v>0</v>
      </c>
      <c r="M9312">
        <v>0</v>
      </c>
      <c r="N9312">
        <v>0</v>
      </c>
      <c r="O9312" t="s">
        <v>11703</v>
      </c>
    </row>
    <row r="9313" spans="1:15">
      <c r="A9313" t="s">
        <v>27722</v>
      </c>
      <c r="B9313" t="s">
        <v>11780</v>
      </c>
      <c r="C9313" t="s">
        <v>35072</v>
      </c>
      <c r="D9313" t="s">
        <v>35834</v>
      </c>
      <c r="E9313" t="b">
        <v>0</v>
      </c>
      <c r="F9313" t="s">
        <v>11624</v>
      </c>
      <c r="G9313">
        <v>13.24447</v>
      </c>
      <c r="H9313">
        <v>21.539549999999998</v>
      </c>
      <c r="I9313" t="s">
        <v>35835</v>
      </c>
      <c r="L9313">
        <v>0</v>
      </c>
      <c r="M9313">
        <v>0</v>
      </c>
      <c r="N9313">
        <v>2</v>
      </c>
      <c r="O9313" t="s">
        <v>13421</v>
      </c>
    </row>
    <row r="9314" spans="1:15">
      <c r="A9314" t="s">
        <v>13336</v>
      </c>
      <c r="B9314" t="s">
        <v>367</v>
      </c>
      <c r="C9314" t="s">
        <v>35836</v>
      </c>
      <c r="D9314" t="s">
        <v>35837</v>
      </c>
      <c r="E9314" t="b">
        <v>0</v>
      </c>
      <c r="F9314" t="s">
        <v>11624</v>
      </c>
      <c r="G9314">
        <v>1.4795700000000001</v>
      </c>
      <c r="H9314">
        <v>109.467</v>
      </c>
      <c r="I9314" t="s">
        <v>35838</v>
      </c>
      <c r="L9314">
        <v>0</v>
      </c>
      <c r="M9314">
        <v>0</v>
      </c>
      <c r="N9314">
        <v>2</v>
      </c>
      <c r="O9314" t="s">
        <v>16728</v>
      </c>
    </row>
    <row r="9315" spans="1:15">
      <c r="A9315" t="s">
        <v>24508</v>
      </c>
      <c r="B9315" t="s">
        <v>6742</v>
      </c>
      <c r="C9315" t="s">
        <v>35839</v>
      </c>
      <c r="D9315" t="s">
        <v>35840</v>
      </c>
      <c r="E9315" t="b">
        <v>0</v>
      </c>
      <c r="F9315" t="s">
        <v>11622</v>
      </c>
      <c r="L9315">
        <v>0</v>
      </c>
      <c r="M9315">
        <v>2</v>
      </c>
      <c r="N9315">
        <v>4</v>
      </c>
    </row>
    <row r="9316" spans="1:15">
      <c r="A9316" t="s">
        <v>35841</v>
      </c>
      <c r="B9316" t="s">
        <v>12438</v>
      </c>
      <c r="C9316" t="s">
        <v>5160</v>
      </c>
      <c r="D9316" t="s">
        <v>35842</v>
      </c>
      <c r="E9316" t="b">
        <v>0</v>
      </c>
      <c r="F9316" t="s">
        <v>11610</v>
      </c>
      <c r="L9316">
        <v>0</v>
      </c>
      <c r="M9316">
        <v>0</v>
      </c>
      <c r="N9316">
        <v>0</v>
      </c>
    </row>
    <row r="9317" spans="1:15">
      <c r="A9317" t="s">
        <v>16475</v>
      </c>
      <c r="B9317" t="s">
        <v>11729</v>
      </c>
      <c r="C9317" t="s">
        <v>15849</v>
      </c>
      <c r="D9317" t="s">
        <v>35843</v>
      </c>
      <c r="E9317" t="b">
        <v>0</v>
      </c>
      <c r="F9317" t="s">
        <v>11624</v>
      </c>
      <c r="G9317">
        <v>11.6816</v>
      </c>
      <c r="H9317">
        <v>18.1464</v>
      </c>
      <c r="I9317" t="s">
        <v>35844</v>
      </c>
      <c r="L9317">
        <v>0</v>
      </c>
      <c r="M9317">
        <v>0</v>
      </c>
      <c r="N9317">
        <v>5</v>
      </c>
      <c r="O9317" t="s">
        <v>13421</v>
      </c>
    </row>
    <row r="9318" spans="1:15">
      <c r="A9318" t="s">
        <v>35845</v>
      </c>
      <c r="B9318" t="s">
        <v>11644</v>
      </c>
      <c r="C9318" t="s">
        <v>22248</v>
      </c>
      <c r="D9318" t="s">
        <v>35846</v>
      </c>
      <c r="E9318" t="b">
        <v>0</v>
      </c>
      <c r="F9318" t="s">
        <v>11622</v>
      </c>
      <c r="L9318">
        <v>0</v>
      </c>
      <c r="M9318">
        <v>2</v>
      </c>
      <c r="N9318">
        <v>3</v>
      </c>
    </row>
    <row r="9319" spans="1:15">
      <c r="A9319" t="s">
        <v>35847</v>
      </c>
      <c r="B9319" t="s">
        <v>6742</v>
      </c>
      <c r="C9319" t="s">
        <v>35848</v>
      </c>
      <c r="D9319" t="s">
        <v>35849</v>
      </c>
      <c r="E9319" t="b">
        <v>0</v>
      </c>
      <c r="F9319" t="s">
        <v>11610</v>
      </c>
      <c r="L9319">
        <v>0</v>
      </c>
      <c r="M9319">
        <v>0</v>
      </c>
      <c r="N9319">
        <v>0</v>
      </c>
    </row>
    <row r="9320" spans="1:15">
      <c r="A9320" t="s">
        <v>35850</v>
      </c>
      <c r="B9320" t="s">
        <v>13276</v>
      </c>
      <c r="C9320" t="s">
        <v>35851</v>
      </c>
      <c r="D9320" t="s">
        <v>35852</v>
      </c>
      <c r="E9320" t="b">
        <v>0</v>
      </c>
      <c r="F9320" t="s">
        <v>11610</v>
      </c>
      <c r="L9320">
        <v>0</v>
      </c>
      <c r="M9320">
        <v>0</v>
      </c>
      <c r="N9320">
        <v>0</v>
      </c>
    </row>
    <row r="9321" spans="1:15">
      <c r="A9321" t="s">
        <v>35853</v>
      </c>
      <c r="B9321" t="s">
        <v>367</v>
      </c>
      <c r="C9321" t="s">
        <v>35836</v>
      </c>
      <c r="D9321" t="s">
        <v>35854</v>
      </c>
      <c r="E9321" t="b">
        <v>0</v>
      </c>
      <c r="F9321" t="s">
        <v>11624</v>
      </c>
      <c r="G9321">
        <v>-0.63183999999999996</v>
      </c>
      <c r="H9321">
        <v>111.80800000000001</v>
      </c>
      <c r="I9321" t="s">
        <v>35855</v>
      </c>
      <c r="L9321">
        <v>0</v>
      </c>
      <c r="M9321">
        <v>0</v>
      </c>
      <c r="N9321">
        <v>0</v>
      </c>
      <c r="O9321" t="s">
        <v>11768</v>
      </c>
    </row>
    <row r="9322" spans="1:15">
      <c r="A9322" t="s">
        <v>13408</v>
      </c>
      <c r="B9322" t="s">
        <v>367</v>
      </c>
      <c r="C9322" t="s">
        <v>19527</v>
      </c>
      <c r="D9322" t="s">
        <v>35856</v>
      </c>
      <c r="E9322" t="b">
        <v>0</v>
      </c>
      <c r="F9322" t="s">
        <v>11624</v>
      </c>
      <c r="G9322">
        <v>5.42272</v>
      </c>
      <c r="H9322">
        <v>116.19799999999999</v>
      </c>
      <c r="I9322" t="s">
        <v>35857</v>
      </c>
      <c r="L9322">
        <v>0</v>
      </c>
      <c r="M9322">
        <v>0</v>
      </c>
      <c r="N9322">
        <v>3</v>
      </c>
      <c r="O9322" t="s">
        <v>11672</v>
      </c>
    </row>
    <row r="9323" spans="1:15">
      <c r="A9323" t="s">
        <v>35858</v>
      </c>
      <c r="B9323" t="s">
        <v>6742</v>
      </c>
      <c r="C9323" t="s">
        <v>15627</v>
      </c>
      <c r="D9323" t="s">
        <v>35859</v>
      </c>
      <c r="E9323" t="b">
        <v>0</v>
      </c>
      <c r="F9323" t="s">
        <v>11610</v>
      </c>
      <c r="L9323">
        <v>0</v>
      </c>
      <c r="M9323">
        <v>0</v>
      </c>
      <c r="N9323">
        <v>0</v>
      </c>
    </row>
    <row r="9324" spans="1:15">
      <c r="A9324" t="s">
        <v>32116</v>
      </c>
      <c r="B9324" t="s">
        <v>12438</v>
      </c>
      <c r="C9324" t="s">
        <v>35860</v>
      </c>
      <c r="D9324" t="s">
        <v>35861</v>
      </c>
      <c r="E9324" t="b">
        <v>0</v>
      </c>
      <c r="F9324" t="s">
        <v>11624</v>
      </c>
      <c r="G9324">
        <v>5.9808500000000002</v>
      </c>
      <c r="H9324">
        <v>101.026</v>
      </c>
      <c r="I9324" t="s">
        <v>35862</v>
      </c>
      <c r="L9324">
        <v>0</v>
      </c>
      <c r="M9324">
        <v>0</v>
      </c>
      <c r="N9324">
        <v>9</v>
      </c>
      <c r="O9324" t="s">
        <v>33349</v>
      </c>
    </row>
    <row r="9325" spans="1:15">
      <c r="A9325" t="s">
        <v>35863</v>
      </c>
      <c r="B9325" t="s">
        <v>12438</v>
      </c>
      <c r="C9325" t="s">
        <v>32116</v>
      </c>
      <c r="D9325" t="s">
        <v>35864</v>
      </c>
      <c r="E9325" t="b">
        <v>0</v>
      </c>
      <c r="F9325" t="s">
        <v>11610</v>
      </c>
      <c r="L9325">
        <v>0</v>
      </c>
      <c r="M9325">
        <v>0</v>
      </c>
      <c r="N9325">
        <v>0</v>
      </c>
    </row>
    <row r="9326" spans="1:15">
      <c r="A9326" t="s">
        <v>35865</v>
      </c>
      <c r="B9326" t="s">
        <v>12438</v>
      </c>
      <c r="C9326" t="s">
        <v>32116</v>
      </c>
      <c r="D9326" t="s">
        <v>35866</v>
      </c>
      <c r="E9326" t="b">
        <v>0</v>
      </c>
      <c r="F9326" t="s">
        <v>11610</v>
      </c>
      <c r="L9326">
        <v>0</v>
      </c>
      <c r="M9326">
        <v>0</v>
      </c>
      <c r="N9326">
        <v>0</v>
      </c>
    </row>
    <row r="9327" spans="1:15">
      <c r="A9327" t="s">
        <v>35867</v>
      </c>
      <c r="B9327" t="s">
        <v>6742</v>
      </c>
      <c r="C9327" t="s">
        <v>15645</v>
      </c>
      <c r="D9327" t="s">
        <v>35868</v>
      </c>
      <c r="E9327" t="b">
        <v>0</v>
      </c>
      <c r="F9327" t="s">
        <v>11624</v>
      </c>
      <c r="G9327">
        <v>6.0171299999999999</v>
      </c>
      <c r="H9327">
        <v>10.412000000000001</v>
      </c>
      <c r="I9327" t="s">
        <v>35869</v>
      </c>
      <c r="L9327">
        <v>0</v>
      </c>
      <c r="M9327">
        <v>0</v>
      </c>
      <c r="N9327">
        <v>0</v>
      </c>
      <c r="O9327" t="s">
        <v>11703</v>
      </c>
    </row>
    <row r="9328" spans="1:15">
      <c r="A9328" t="s">
        <v>35870</v>
      </c>
      <c r="B9328" t="s">
        <v>11637</v>
      </c>
      <c r="C9328" t="s">
        <v>13872</v>
      </c>
      <c r="D9328" t="s">
        <v>35871</v>
      </c>
      <c r="E9328" t="b">
        <v>0</v>
      </c>
      <c r="F9328" t="s">
        <v>11610</v>
      </c>
      <c r="L9328">
        <v>0</v>
      </c>
      <c r="M9328">
        <v>0</v>
      </c>
      <c r="N9328">
        <v>0</v>
      </c>
    </row>
    <row r="9329" spans="1:15">
      <c r="A9329" t="s">
        <v>35872</v>
      </c>
      <c r="B9329" t="s">
        <v>12438</v>
      </c>
      <c r="C9329" t="s">
        <v>27246</v>
      </c>
      <c r="D9329" t="s">
        <v>35873</v>
      </c>
      <c r="E9329" t="b">
        <v>0</v>
      </c>
      <c r="F9329" t="s">
        <v>11610</v>
      </c>
      <c r="L9329">
        <v>0</v>
      </c>
      <c r="M9329">
        <v>0</v>
      </c>
      <c r="N9329">
        <v>0</v>
      </c>
    </row>
    <row r="9330" spans="1:15">
      <c r="A9330" t="s">
        <v>35874</v>
      </c>
      <c r="B9330" t="s">
        <v>12438</v>
      </c>
      <c r="C9330" t="s">
        <v>32116</v>
      </c>
      <c r="D9330" t="s">
        <v>35875</v>
      </c>
      <c r="E9330" t="b">
        <v>0</v>
      </c>
      <c r="F9330" t="s">
        <v>11610</v>
      </c>
      <c r="L9330">
        <v>0</v>
      </c>
      <c r="M9330">
        <v>0</v>
      </c>
      <c r="N9330">
        <v>0</v>
      </c>
    </row>
    <row r="9331" spans="1:15">
      <c r="A9331" t="s">
        <v>35876</v>
      </c>
      <c r="B9331" t="s">
        <v>6742</v>
      </c>
      <c r="C9331" t="s">
        <v>14115</v>
      </c>
      <c r="D9331" t="s">
        <v>35877</v>
      </c>
      <c r="E9331" t="b">
        <v>0</v>
      </c>
      <c r="F9331" t="s">
        <v>11610</v>
      </c>
      <c r="L9331">
        <v>0</v>
      </c>
      <c r="M9331">
        <v>0</v>
      </c>
      <c r="N9331">
        <v>0</v>
      </c>
    </row>
    <row r="9332" spans="1:15">
      <c r="A9332" t="s">
        <v>35878</v>
      </c>
      <c r="B9332" t="s">
        <v>6742</v>
      </c>
      <c r="C9332" t="s">
        <v>27852</v>
      </c>
      <c r="D9332" t="s">
        <v>35879</v>
      </c>
      <c r="E9332" t="b">
        <v>0</v>
      </c>
      <c r="F9332" t="s">
        <v>11610</v>
      </c>
      <c r="L9332">
        <v>0</v>
      </c>
      <c r="M9332">
        <v>0</v>
      </c>
      <c r="N9332">
        <v>0</v>
      </c>
    </row>
    <row r="9333" spans="1:15">
      <c r="A9333" t="s">
        <v>35880</v>
      </c>
      <c r="B9333" t="s">
        <v>11637</v>
      </c>
      <c r="C9333" t="s">
        <v>35881</v>
      </c>
      <c r="D9333" t="s">
        <v>35882</v>
      </c>
      <c r="E9333" t="b">
        <v>0</v>
      </c>
      <c r="F9333" t="s">
        <v>11610</v>
      </c>
      <c r="L9333">
        <v>0</v>
      </c>
      <c r="M9333">
        <v>0</v>
      </c>
      <c r="N9333">
        <v>0</v>
      </c>
    </row>
    <row r="9334" spans="1:15">
      <c r="A9334" t="s">
        <v>3324</v>
      </c>
      <c r="B9334" t="s">
        <v>3164</v>
      </c>
      <c r="C9334" t="s">
        <v>18788</v>
      </c>
      <c r="D9334" t="s">
        <v>35883</v>
      </c>
      <c r="E9334" t="b">
        <v>0</v>
      </c>
      <c r="F9334" t="s">
        <v>11624</v>
      </c>
      <c r="G9334">
        <v>21.2837</v>
      </c>
      <c r="H9334">
        <v>31.8992</v>
      </c>
      <c r="I9334" t="s">
        <v>3325</v>
      </c>
      <c r="L9334">
        <v>0</v>
      </c>
      <c r="M9334">
        <v>0</v>
      </c>
      <c r="N9334">
        <v>2</v>
      </c>
      <c r="O9334" t="s">
        <v>35884</v>
      </c>
    </row>
    <row r="9335" spans="1:15">
      <c r="A9335" t="s">
        <v>35885</v>
      </c>
      <c r="B9335" t="s">
        <v>3164</v>
      </c>
      <c r="C9335" t="s">
        <v>3324</v>
      </c>
      <c r="D9335" t="s">
        <v>35886</v>
      </c>
      <c r="E9335" t="b">
        <v>0</v>
      </c>
      <c r="F9335" t="s">
        <v>11610</v>
      </c>
      <c r="G9335">
        <v>24.09</v>
      </c>
      <c r="H9335">
        <v>32.9</v>
      </c>
      <c r="I9335" t="s">
        <v>35887</v>
      </c>
      <c r="L9335">
        <v>0</v>
      </c>
      <c r="M9335">
        <v>0</v>
      </c>
      <c r="N9335">
        <v>0</v>
      </c>
    </row>
    <row r="9336" spans="1:15">
      <c r="A9336" t="s">
        <v>35888</v>
      </c>
      <c r="B9336" t="s">
        <v>11981</v>
      </c>
      <c r="C9336" t="s">
        <v>12200</v>
      </c>
      <c r="D9336" t="s">
        <v>35889</v>
      </c>
      <c r="E9336" t="b">
        <v>0</v>
      </c>
      <c r="F9336" t="s">
        <v>11624</v>
      </c>
      <c r="G9336">
        <v>-1.00166</v>
      </c>
      <c r="H9336">
        <v>37.1995</v>
      </c>
      <c r="I9336" t="s">
        <v>35890</v>
      </c>
      <c r="L9336">
        <v>0</v>
      </c>
      <c r="M9336">
        <v>0</v>
      </c>
      <c r="N9336">
        <v>0</v>
      </c>
      <c r="O9336" t="s">
        <v>22848</v>
      </c>
    </row>
    <row r="9337" spans="1:15">
      <c r="A9337" t="s">
        <v>35891</v>
      </c>
      <c r="B9337" t="s">
        <v>6742</v>
      </c>
      <c r="C9337" t="s">
        <v>17782</v>
      </c>
      <c r="D9337" t="s">
        <v>35892</v>
      </c>
      <c r="E9337" t="b">
        <v>0</v>
      </c>
      <c r="F9337" t="s">
        <v>11610</v>
      </c>
      <c r="L9337">
        <v>0</v>
      </c>
      <c r="M9337">
        <v>0</v>
      </c>
      <c r="N9337">
        <v>0</v>
      </c>
    </row>
    <row r="9338" spans="1:15">
      <c r="A9338" t="s">
        <v>35893</v>
      </c>
      <c r="B9338" t="s">
        <v>6742</v>
      </c>
      <c r="C9338" t="s">
        <v>16209</v>
      </c>
      <c r="D9338" t="s">
        <v>35894</v>
      </c>
      <c r="E9338" t="b">
        <v>0</v>
      </c>
      <c r="F9338" t="s">
        <v>11610</v>
      </c>
      <c r="L9338">
        <v>0</v>
      </c>
      <c r="M9338">
        <v>0</v>
      </c>
      <c r="N9338">
        <v>0</v>
      </c>
    </row>
    <row r="9339" spans="1:15">
      <c r="A9339" t="s">
        <v>35895</v>
      </c>
      <c r="B9339" t="s">
        <v>6742</v>
      </c>
      <c r="C9339" t="s">
        <v>35896</v>
      </c>
      <c r="D9339" t="s">
        <v>35897</v>
      </c>
      <c r="E9339" t="b">
        <v>0</v>
      </c>
      <c r="F9339" t="s">
        <v>11624</v>
      </c>
      <c r="G9339">
        <v>1.1513</v>
      </c>
      <c r="H9339">
        <v>33.479100000000003</v>
      </c>
      <c r="I9339" t="s">
        <v>35898</v>
      </c>
      <c r="L9339">
        <v>0</v>
      </c>
      <c r="M9339">
        <v>0</v>
      </c>
      <c r="N9339">
        <v>0</v>
      </c>
      <c r="O9339" t="s">
        <v>25786</v>
      </c>
    </row>
    <row r="9340" spans="1:15">
      <c r="A9340" t="s">
        <v>16149</v>
      </c>
      <c r="B9340" t="s">
        <v>6742</v>
      </c>
      <c r="C9340" t="s">
        <v>35839</v>
      </c>
      <c r="D9340" t="s">
        <v>35899</v>
      </c>
      <c r="E9340" t="b">
        <v>0</v>
      </c>
      <c r="F9340" t="s">
        <v>11624</v>
      </c>
      <c r="G9340">
        <v>5.5828800000000003</v>
      </c>
      <c r="H9340">
        <v>9.5591799999999996</v>
      </c>
      <c r="I9340" t="s">
        <v>35900</v>
      </c>
      <c r="L9340">
        <v>0</v>
      </c>
      <c r="M9340">
        <v>0</v>
      </c>
      <c r="N9340">
        <v>3</v>
      </c>
      <c r="O9340" t="s">
        <v>11703</v>
      </c>
    </row>
    <row r="9341" spans="1:15">
      <c r="A9341" t="s">
        <v>31117</v>
      </c>
      <c r="B9341" t="s">
        <v>367</v>
      </c>
      <c r="C9341" t="s">
        <v>18061</v>
      </c>
      <c r="D9341" t="s">
        <v>35901</v>
      </c>
      <c r="E9341" t="b">
        <v>0</v>
      </c>
      <c r="F9341" t="s">
        <v>11622</v>
      </c>
      <c r="L9341">
        <v>6</v>
      </c>
      <c r="M9341">
        <v>8</v>
      </c>
      <c r="N9341">
        <v>30</v>
      </c>
    </row>
    <row r="9342" spans="1:15">
      <c r="A9342" t="s">
        <v>35902</v>
      </c>
      <c r="B9342" t="s">
        <v>367</v>
      </c>
      <c r="C9342" t="s">
        <v>35903</v>
      </c>
      <c r="D9342" t="s">
        <v>35904</v>
      </c>
      <c r="E9342" t="b">
        <v>0</v>
      </c>
      <c r="F9342" t="s">
        <v>11624</v>
      </c>
      <c r="G9342">
        <v>-8.8704000000000001</v>
      </c>
      <c r="H9342">
        <v>121.256</v>
      </c>
      <c r="I9342" t="s">
        <v>35905</v>
      </c>
      <c r="L9342">
        <v>0</v>
      </c>
      <c r="M9342">
        <v>0</v>
      </c>
      <c r="N9342">
        <v>0</v>
      </c>
      <c r="O9342" t="s">
        <v>11768</v>
      </c>
    </row>
    <row r="9343" spans="1:15">
      <c r="A9343" t="s">
        <v>12426</v>
      </c>
      <c r="B9343" t="s">
        <v>12425</v>
      </c>
      <c r="C9343" t="s">
        <v>35906</v>
      </c>
      <c r="D9343" t="s">
        <v>35907</v>
      </c>
      <c r="E9343" t="b">
        <v>0</v>
      </c>
      <c r="F9343" t="s">
        <v>11624</v>
      </c>
      <c r="G9343">
        <v>-7.6360299999999999</v>
      </c>
      <c r="H9343">
        <v>145.41499999999999</v>
      </c>
      <c r="I9343" t="s">
        <v>35908</v>
      </c>
      <c r="L9343">
        <v>0</v>
      </c>
      <c r="M9343">
        <v>0</v>
      </c>
      <c r="N9343">
        <v>1</v>
      </c>
      <c r="O9343" t="s">
        <v>11660</v>
      </c>
    </row>
    <row r="9344" spans="1:15">
      <c r="A9344" t="s">
        <v>35909</v>
      </c>
      <c r="B9344" t="s">
        <v>11912</v>
      </c>
      <c r="C9344" t="s">
        <v>12851</v>
      </c>
      <c r="D9344" t="s">
        <v>35910</v>
      </c>
      <c r="E9344" t="b">
        <v>0</v>
      </c>
      <c r="F9344" t="s">
        <v>11624</v>
      </c>
      <c r="G9344">
        <v>-11.663</v>
      </c>
      <c r="H9344">
        <v>-61.246000000000002</v>
      </c>
      <c r="I9344" t="s">
        <v>35911</v>
      </c>
      <c r="L9344">
        <v>0</v>
      </c>
      <c r="M9344">
        <v>0</v>
      </c>
      <c r="N9344">
        <v>0</v>
      </c>
      <c r="O9344" t="s">
        <v>11969</v>
      </c>
    </row>
    <row r="9345" spans="1:15">
      <c r="A9345" t="s">
        <v>35912</v>
      </c>
      <c r="B9345" t="s">
        <v>367</v>
      </c>
      <c r="C9345" t="s">
        <v>35913</v>
      </c>
      <c r="D9345" t="s">
        <v>35914</v>
      </c>
      <c r="E9345" t="b">
        <v>0</v>
      </c>
      <c r="F9345" t="s">
        <v>11624</v>
      </c>
      <c r="G9345">
        <v>-8.6032410000000006</v>
      </c>
      <c r="H9345">
        <v>120.775273</v>
      </c>
      <c r="I9345" t="s">
        <v>35915</v>
      </c>
      <c r="L9345">
        <v>0</v>
      </c>
      <c r="M9345">
        <v>0</v>
      </c>
      <c r="N9345">
        <v>0</v>
      </c>
      <c r="O9345" t="s">
        <v>11768</v>
      </c>
    </row>
    <row r="9346" spans="1:15">
      <c r="A9346" t="s">
        <v>35916</v>
      </c>
      <c r="B9346" t="s">
        <v>6742</v>
      </c>
      <c r="C9346" t="s">
        <v>26924</v>
      </c>
      <c r="D9346" t="s">
        <v>35917</v>
      </c>
      <c r="E9346" t="b">
        <v>0</v>
      </c>
      <c r="F9346" t="s">
        <v>11624</v>
      </c>
      <c r="G9346">
        <v>12.3652</v>
      </c>
      <c r="H9346">
        <v>-16.685700000000001</v>
      </c>
      <c r="I9346" t="s">
        <v>35918</v>
      </c>
      <c r="L9346">
        <v>0</v>
      </c>
      <c r="M9346">
        <v>0</v>
      </c>
      <c r="N9346">
        <v>0</v>
      </c>
      <c r="O9346" t="s">
        <v>16009</v>
      </c>
    </row>
    <row r="9347" spans="1:15">
      <c r="A9347" t="s">
        <v>35919</v>
      </c>
      <c r="B9347" t="s">
        <v>11607</v>
      </c>
      <c r="C9347" t="s">
        <v>26417</v>
      </c>
      <c r="D9347" t="s">
        <v>35920</v>
      </c>
      <c r="E9347" t="b">
        <v>0</v>
      </c>
      <c r="F9347" t="s">
        <v>11624</v>
      </c>
      <c r="G9347">
        <v>9.8816500000000005</v>
      </c>
      <c r="H9347">
        <v>15.1419</v>
      </c>
      <c r="I9347" t="s">
        <v>35921</v>
      </c>
      <c r="L9347">
        <v>0</v>
      </c>
      <c r="M9347">
        <v>0</v>
      </c>
      <c r="N9347">
        <v>1</v>
      </c>
      <c r="O9347" t="s">
        <v>29226</v>
      </c>
    </row>
    <row r="9348" spans="1:15">
      <c r="A9348" t="s">
        <v>35922</v>
      </c>
      <c r="B9348" t="s">
        <v>10597</v>
      </c>
      <c r="C9348" t="s">
        <v>35923</v>
      </c>
      <c r="D9348" t="s">
        <v>35924</v>
      </c>
      <c r="E9348" t="b">
        <v>0</v>
      </c>
      <c r="F9348" t="s">
        <v>11610</v>
      </c>
      <c r="L9348">
        <v>0</v>
      </c>
      <c r="M9348">
        <v>0</v>
      </c>
      <c r="N9348">
        <v>0</v>
      </c>
    </row>
    <row r="9349" spans="1:15">
      <c r="A9349" t="s">
        <v>35925</v>
      </c>
      <c r="B9349" t="s">
        <v>12438</v>
      </c>
      <c r="C9349" t="s">
        <v>33095</v>
      </c>
      <c r="D9349" t="s">
        <v>35926</v>
      </c>
      <c r="E9349" t="b">
        <v>0</v>
      </c>
      <c r="F9349" t="s">
        <v>11610</v>
      </c>
      <c r="L9349">
        <v>0</v>
      </c>
      <c r="M9349">
        <v>0</v>
      </c>
      <c r="N9349">
        <v>0</v>
      </c>
    </row>
    <row r="9350" spans="1:15">
      <c r="A9350" t="s">
        <v>35927</v>
      </c>
      <c r="B9350" t="s">
        <v>13210</v>
      </c>
      <c r="C9350" t="s">
        <v>13211</v>
      </c>
      <c r="D9350" t="s">
        <v>35928</v>
      </c>
      <c r="E9350" t="b">
        <v>0</v>
      </c>
      <c r="F9350" t="s">
        <v>11624</v>
      </c>
      <c r="G9350">
        <v>62.177700000000002</v>
      </c>
      <c r="H9350">
        <v>175.07</v>
      </c>
      <c r="I9350" t="s">
        <v>35929</v>
      </c>
      <c r="L9350">
        <v>0</v>
      </c>
      <c r="M9350">
        <v>0</v>
      </c>
      <c r="N9350">
        <v>4</v>
      </c>
      <c r="O9350" t="s">
        <v>12748</v>
      </c>
    </row>
    <row r="9351" spans="1:15">
      <c r="A9351" t="s">
        <v>35930</v>
      </c>
      <c r="B9351" t="s">
        <v>12311</v>
      </c>
      <c r="C9351" t="s">
        <v>12310</v>
      </c>
      <c r="D9351" t="s">
        <v>35931</v>
      </c>
      <c r="E9351" t="b">
        <v>0</v>
      </c>
      <c r="F9351" t="s">
        <v>11610</v>
      </c>
      <c r="L9351">
        <v>0</v>
      </c>
      <c r="M9351">
        <v>0</v>
      </c>
      <c r="N9351">
        <v>0</v>
      </c>
    </row>
    <row r="9352" spans="1:15">
      <c r="A9352" t="s">
        <v>35932</v>
      </c>
      <c r="B9352" t="s">
        <v>16388</v>
      </c>
      <c r="C9352" t="s">
        <v>16387</v>
      </c>
      <c r="D9352" t="s">
        <v>35933</v>
      </c>
      <c r="E9352" t="b">
        <v>0</v>
      </c>
      <c r="F9352" t="s">
        <v>11610</v>
      </c>
      <c r="L9352">
        <v>0</v>
      </c>
      <c r="M9352">
        <v>0</v>
      </c>
      <c r="N9352">
        <v>0</v>
      </c>
    </row>
    <row r="9353" spans="1:15">
      <c r="A9353" t="s">
        <v>35934</v>
      </c>
      <c r="B9353" t="s">
        <v>6742</v>
      </c>
      <c r="C9353" t="s">
        <v>35935</v>
      </c>
      <c r="D9353" t="s">
        <v>35936</v>
      </c>
      <c r="E9353" t="b">
        <v>0</v>
      </c>
      <c r="F9353" t="s">
        <v>11624</v>
      </c>
      <c r="G9353">
        <v>-2.0931500000000001</v>
      </c>
      <c r="H9353">
        <v>33.532600000000002</v>
      </c>
      <c r="I9353" t="s">
        <v>35937</v>
      </c>
      <c r="L9353">
        <v>0</v>
      </c>
      <c r="M9353">
        <v>0</v>
      </c>
      <c r="N9353">
        <v>0</v>
      </c>
      <c r="O9353" t="s">
        <v>11635</v>
      </c>
    </row>
    <row r="9354" spans="1:15">
      <c r="A9354" t="s">
        <v>35938</v>
      </c>
      <c r="B9354" t="s">
        <v>11729</v>
      </c>
      <c r="C9354" t="s">
        <v>17872</v>
      </c>
      <c r="D9354" t="s">
        <v>35939</v>
      </c>
      <c r="E9354" t="b">
        <v>0</v>
      </c>
      <c r="F9354" t="s">
        <v>11610</v>
      </c>
      <c r="L9354">
        <v>0</v>
      </c>
      <c r="M9354">
        <v>0</v>
      </c>
      <c r="N9354">
        <v>0</v>
      </c>
    </row>
    <row r="9355" spans="1:15">
      <c r="A9355" t="s">
        <v>35940</v>
      </c>
      <c r="B9355" t="s">
        <v>367</v>
      </c>
      <c r="C9355" t="s">
        <v>14085</v>
      </c>
      <c r="D9355" t="s">
        <v>35941</v>
      </c>
      <c r="E9355" t="b">
        <v>0</v>
      </c>
      <c r="F9355" t="s">
        <v>11624</v>
      </c>
      <c r="G9355">
        <v>0.64649000000000001</v>
      </c>
      <c r="H9355">
        <v>113.64400000000001</v>
      </c>
      <c r="I9355" t="s">
        <v>35942</v>
      </c>
      <c r="L9355">
        <v>0</v>
      </c>
      <c r="M9355">
        <v>0</v>
      </c>
      <c r="N9355">
        <v>0</v>
      </c>
      <c r="O9355" t="s">
        <v>11768</v>
      </c>
    </row>
    <row r="9356" spans="1:15">
      <c r="A9356" t="s">
        <v>29216</v>
      </c>
      <c r="B9356" t="s">
        <v>14524</v>
      </c>
      <c r="C9356" t="s">
        <v>35943</v>
      </c>
      <c r="D9356" t="s">
        <v>35944</v>
      </c>
      <c r="E9356" t="b">
        <v>0</v>
      </c>
      <c r="F9356" t="s">
        <v>11624</v>
      </c>
      <c r="G9356">
        <v>-7.5510000000000002</v>
      </c>
      <c r="H9356">
        <v>144.309</v>
      </c>
      <c r="I9356" t="s">
        <v>35945</v>
      </c>
      <c r="L9356">
        <v>0</v>
      </c>
      <c r="M9356">
        <v>0</v>
      </c>
      <c r="N9356">
        <v>1</v>
      </c>
      <c r="O9356" t="s">
        <v>11660</v>
      </c>
    </row>
    <row r="9357" spans="1:15">
      <c r="A9357" t="s">
        <v>10368</v>
      </c>
      <c r="D9357" t="s">
        <v>35946</v>
      </c>
      <c r="E9357" t="b">
        <v>0</v>
      </c>
      <c r="F9357" t="s">
        <v>11622</v>
      </c>
      <c r="L9357">
        <v>0</v>
      </c>
      <c r="M9357">
        <v>2</v>
      </c>
      <c r="N9357">
        <v>6</v>
      </c>
    </row>
    <row r="9358" spans="1:15">
      <c r="A9358" t="s">
        <v>35947</v>
      </c>
      <c r="B9358" t="s">
        <v>11607</v>
      </c>
      <c r="C9358" t="s">
        <v>14623</v>
      </c>
      <c r="D9358" t="s">
        <v>35948</v>
      </c>
      <c r="E9358" t="b">
        <v>0</v>
      </c>
      <c r="F9358" t="s">
        <v>11610</v>
      </c>
      <c r="L9358">
        <v>0</v>
      </c>
      <c r="M9358">
        <v>0</v>
      </c>
      <c r="N9358">
        <v>0</v>
      </c>
    </row>
    <row r="9359" spans="1:15">
      <c r="A9359" t="s">
        <v>35949</v>
      </c>
      <c r="B9359" t="s">
        <v>11607</v>
      </c>
      <c r="C9359" t="s">
        <v>31667</v>
      </c>
      <c r="D9359" t="s">
        <v>35950</v>
      </c>
      <c r="E9359" t="b">
        <v>0</v>
      </c>
      <c r="F9359" t="s">
        <v>11610</v>
      </c>
      <c r="L9359">
        <v>0</v>
      </c>
      <c r="M9359">
        <v>0</v>
      </c>
      <c r="N9359">
        <v>0</v>
      </c>
    </row>
    <row r="9360" spans="1:15">
      <c r="A9360" t="s">
        <v>35951</v>
      </c>
      <c r="B9360" t="s">
        <v>11981</v>
      </c>
      <c r="C9360" t="s">
        <v>11982</v>
      </c>
      <c r="D9360" t="s">
        <v>35952</v>
      </c>
      <c r="E9360" t="b">
        <v>0</v>
      </c>
      <c r="F9360" t="s">
        <v>11624</v>
      </c>
      <c r="G9360">
        <v>35.503610999999999</v>
      </c>
      <c r="H9360">
        <v>-106.723333</v>
      </c>
      <c r="L9360">
        <v>0</v>
      </c>
      <c r="M9360">
        <v>0</v>
      </c>
      <c r="N9360">
        <v>0</v>
      </c>
      <c r="O9360" t="s">
        <v>11944</v>
      </c>
    </row>
    <row r="9361" spans="1:15">
      <c r="A9361" t="s">
        <v>35953</v>
      </c>
      <c r="B9361" t="s">
        <v>11615</v>
      </c>
      <c r="C9361" t="s">
        <v>24863</v>
      </c>
      <c r="D9361" t="s">
        <v>35954</v>
      </c>
      <c r="E9361" t="b">
        <v>0</v>
      </c>
      <c r="F9361" t="s">
        <v>11610</v>
      </c>
      <c r="L9361">
        <v>0</v>
      </c>
      <c r="M9361">
        <v>0</v>
      </c>
      <c r="N9361">
        <v>0</v>
      </c>
    </row>
    <row r="9362" spans="1:15">
      <c r="A9362" t="s">
        <v>35955</v>
      </c>
      <c r="B9362" t="s">
        <v>367</v>
      </c>
      <c r="C9362" t="s">
        <v>5309</v>
      </c>
      <c r="D9362" t="s">
        <v>35956</v>
      </c>
      <c r="E9362" t="b">
        <v>0</v>
      </c>
      <c r="F9362" t="s">
        <v>11610</v>
      </c>
      <c r="L9362">
        <v>0</v>
      </c>
      <c r="M9362">
        <v>0</v>
      </c>
      <c r="N9362">
        <v>0</v>
      </c>
    </row>
    <row r="9363" spans="1:15">
      <c r="A9363" t="s">
        <v>12753</v>
      </c>
      <c r="B9363" t="s">
        <v>367</v>
      </c>
      <c r="C9363" t="s">
        <v>18177</v>
      </c>
      <c r="D9363" t="s">
        <v>35957</v>
      </c>
      <c r="E9363" t="b">
        <v>0</v>
      </c>
      <c r="F9363" t="s">
        <v>11624</v>
      </c>
      <c r="G9363">
        <v>-1.93668</v>
      </c>
      <c r="H9363">
        <v>101.40300000000001</v>
      </c>
      <c r="I9363" t="s">
        <v>35958</v>
      </c>
      <c r="L9363">
        <v>0</v>
      </c>
      <c r="M9363">
        <v>0</v>
      </c>
      <c r="N9363">
        <v>5</v>
      </c>
      <c r="O9363" t="s">
        <v>11768</v>
      </c>
    </row>
    <row r="9364" spans="1:15">
      <c r="A9364" t="s">
        <v>35959</v>
      </c>
      <c r="B9364" t="s">
        <v>11615</v>
      </c>
      <c r="C9364" t="s">
        <v>29490</v>
      </c>
      <c r="D9364" t="s">
        <v>35960</v>
      </c>
      <c r="E9364" t="b">
        <v>0</v>
      </c>
      <c r="F9364" t="s">
        <v>11610</v>
      </c>
      <c r="L9364">
        <v>0</v>
      </c>
      <c r="M9364">
        <v>0</v>
      </c>
      <c r="N9364">
        <v>0</v>
      </c>
    </row>
    <row r="9365" spans="1:15">
      <c r="A9365" t="s">
        <v>35961</v>
      </c>
      <c r="B9365" t="s">
        <v>11637</v>
      </c>
      <c r="C9365" t="s">
        <v>4401</v>
      </c>
      <c r="D9365" t="s">
        <v>35962</v>
      </c>
      <c r="E9365" t="b">
        <v>0</v>
      </c>
      <c r="F9365" t="s">
        <v>11610</v>
      </c>
      <c r="L9365">
        <v>0</v>
      </c>
      <c r="M9365">
        <v>0</v>
      </c>
      <c r="N9365">
        <v>0</v>
      </c>
    </row>
    <row r="9366" spans="1:15">
      <c r="A9366" t="s">
        <v>35963</v>
      </c>
      <c r="B9366" t="s">
        <v>11637</v>
      </c>
      <c r="C9366" t="s">
        <v>17607</v>
      </c>
      <c r="D9366" t="s">
        <v>35964</v>
      </c>
      <c r="E9366" t="b">
        <v>0</v>
      </c>
      <c r="F9366" t="s">
        <v>11610</v>
      </c>
      <c r="L9366">
        <v>0</v>
      </c>
      <c r="M9366">
        <v>0</v>
      </c>
      <c r="N9366">
        <v>0</v>
      </c>
    </row>
    <row r="9367" spans="1:15">
      <c r="A9367" t="s">
        <v>35965</v>
      </c>
      <c r="B9367" t="s">
        <v>11637</v>
      </c>
      <c r="C9367" t="s">
        <v>14273</v>
      </c>
      <c r="D9367" t="s">
        <v>35966</v>
      </c>
      <c r="E9367" t="b">
        <v>0</v>
      </c>
      <c r="F9367" t="s">
        <v>11610</v>
      </c>
      <c r="L9367">
        <v>0</v>
      </c>
      <c r="M9367">
        <v>0</v>
      </c>
      <c r="N9367">
        <v>0</v>
      </c>
    </row>
    <row r="9368" spans="1:15">
      <c r="A9368" t="s">
        <v>35967</v>
      </c>
      <c r="B9368" t="s">
        <v>11637</v>
      </c>
      <c r="C9368" t="s">
        <v>25839</v>
      </c>
      <c r="D9368" t="s">
        <v>35968</v>
      </c>
      <c r="E9368" t="b">
        <v>0</v>
      </c>
      <c r="F9368" t="s">
        <v>11610</v>
      </c>
      <c r="L9368">
        <v>0</v>
      </c>
      <c r="M9368">
        <v>0</v>
      </c>
      <c r="N9368">
        <v>0</v>
      </c>
    </row>
    <row r="9369" spans="1:15">
      <c r="A9369" t="s">
        <v>35969</v>
      </c>
      <c r="B9369" t="s">
        <v>11644</v>
      </c>
      <c r="C9369" t="s">
        <v>25946</v>
      </c>
      <c r="D9369" t="s">
        <v>35970</v>
      </c>
      <c r="E9369" t="b">
        <v>0</v>
      </c>
      <c r="F9369" t="s">
        <v>11610</v>
      </c>
      <c r="L9369">
        <v>0</v>
      </c>
      <c r="M9369">
        <v>0</v>
      </c>
      <c r="N9369">
        <v>0</v>
      </c>
    </row>
    <row r="9370" spans="1:15">
      <c r="A9370" t="s">
        <v>35971</v>
      </c>
      <c r="B9370" t="s">
        <v>367</v>
      </c>
      <c r="C9370" t="s">
        <v>16925</v>
      </c>
      <c r="D9370" t="s">
        <v>35972</v>
      </c>
      <c r="E9370" t="b">
        <v>0</v>
      </c>
      <c r="F9370" t="s">
        <v>11610</v>
      </c>
      <c r="L9370">
        <v>0</v>
      </c>
      <c r="M9370">
        <v>0</v>
      </c>
      <c r="N9370">
        <v>0</v>
      </c>
    </row>
    <row r="9371" spans="1:15">
      <c r="A9371" t="s">
        <v>35973</v>
      </c>
      <c r="B9371" t="s">
        <v>367</v>
      </c>
      <c r="C9371" t="s">
        <v>12071</v>
      </c>
      <c r="D9371" t="s">
        <v>35974</v>
      </c>
      <c r="E9371" t="b">
        <v>0</v>
      </c>
      <c r="F9371" t="s">
        <v>11610</v>
      </c>
      <c r="L9371">
        <v>0</v>
      </c>
      <c r="M9371">
        <v>0</v>
      </c>
      <c r="N9371">
        <v>0</v>
      </c>
    </row>
    <row r="9372" spans="1:15">
      <c r="A9372" t="s">
        <v>35975</v>
      </c>
      <c r="B9372" t="s">
        <v>6742</v>
      </c>
      <c r="C9372" t="s">
        <v>15575</v>
      </c>
      <c r="D9372" t="s">
        <v>35976</v>
      </c>
      <c r="E9372" t="b">
        <v>0</v>
      </c>
      <c r="F9372" t="s">
        <v>11610</v>
      </c>
      <c r="L9372">
        <v>0</v>
      </c>
      <c r="M9372">
        <v>0</v>
      </c>
      <c r="N9372">
        <v>0</v>
      </c>
    </row>
    <row r="9373" spans="1:15">
      <c r="A9373" t="s">
        <v>35977</v>
      </c>
      <c r="B9373" t="s">
        <v>11615</v>
      </c>
      <c r="C9373" t="s">
        <v>35978</v>
      </c>
      <c r="D9373" t="s">
        <v>35979</v>
      </c>
      <c r="E9373" t="b">
        <v>0</v>
      </c>
      <c r="F9373" t="s">
        <v>11624</v>
      </c>
      <c r="G9373">
        <v>-5.76797</v>
      </c>
      <c r="H9373">
        <v>145.58000000000001</v>
      </c>
      <c r="I9373" t="s">
        <v>35980</v>
      </c>
      <c r="L9373">
        <v>0</v>
      </c>
      <c r="M9373">
        <v>0</v>
      </c>
      <c r="N9373">
        <v>0</v>
      </c>
      <c r="O9373" t="s">
        <v>11660</v>
      </c>
    </row>
    <row r="9374" spans="1:15">
      <c r="A9374" t="s">
        <v>35978</v>
      </c>
      <c r="B9374" t="s">
        <v>11615</v>
      </c>
      <c r="C9374" t="s">
        <v>25543</v>
      </c>
      <c r="D9374" t="s">
        <v>35981</v>
      </c>
      <c r="E9374" t="b">
        <v>0</v>
      </c>
      <c r="F9374" t="s">
        <v>11622</v>
      </c>
      <c r="L9374">
        <v>0</v>
      </c>
      <c r="M9374">
        <v>2</v>
      </c>
      <c r="N9374">
        <v>0</v>
      </c>
    </row>
    <row r="9375" spans="1:15">
      <c r="A9375" t="s">
        <v>35982</v>
      </c>
      <c r="B9375" t="s">
        <v>11637</v>
      </c>
      <c r="C9375" t="s">
        <v>14026</v>
      </c>
      <c r="D9375" t="s">
        <v>35983</v>
      </c>
      <c r="E9375" t="b">
        <v>0</v>
      </c>
      <c r="F9375" t="s">
        <v>11610</v>
      </c>
      <c r="L9375">
        <v>0</v>
      </c>
      <c r="M9375">
        <v>0</v>
      </c>
      <c r="N9375">
        <v>0</v>
      </c>
    </row>
    <row r="9376" spans="1:15">
      <c r="A9376" t="s">
        <v>35984</v>
      </c>
      <c r="B9376" t="s">
        <v>11637</v>
      </c>
      <c r="C9376" t="s">
        <v>12777</v>
      </c>
      <c r="D9376" t="s">
        <v>35985</v>
      </c>
      <c r="E9376" t="b">
        <v>0</v>
      </c>
      <c r="F9376" t="s">
        <v>11610</v>
      </c>
      <c r="L9376">
        <v>0</v>
      </c>
      <c r="M9376">
        <v>0</v>
      </c>
      <c r="N9376">
        <v>0</v>
      </c>
    </row>
    <row r="9377" spans="1:15">
      <c r="A9377" t="s">
        <v>35986</v>
      </c>
      <c r="B9377" t="s">
        <v>4342</v>
      </c>
      <c r="C9377" t="s">
        <v>12598</v>
      </c>
      <c r="D9377" t="s">
        <v>35987</v>
      </c>
      <c r="E9377" t="b">
        <v>0</v>
      </c>
      <c r="F9377" t="s">
        <v>11610</v>
      </c>
      <c r="L9377">
        <v>0</v>
      </c>
      <c r="M9377">
        <v>0</v>
      </c>
      <c r="N9377">
        <v>0</v>
      </c>
    </row>
    <row r="9378" spans="1:15">
      <c r="A9378" t="s">
        <v>35988</v>
      </c>
      <c r="B9378" t="s">
        <v>11637</v>
      </c>
      <c r="C9378" t="s">
        <v>14273</v>
      </c>
      <c r="D9378" t="s">
        <v>35989</v>
      </c>
      <c r="E9378" t="b">
        <v>0</v>
      </c>
      <c r="F9378" t="s">
        <v>11610</v>
      </c>
      <c r="L9378">
        <v>0</v>
      </c>
      <c r="M9378">
        <v>0</v>
      </c>
      <c r="N9378">
        <v>0</v>
      </c>
    </row>
    <row r="9379" spans="1:15">
      <c r="A9379" t="s">
        <v>35990</v>
      </c>
      <c r="B9379" t="s">
        <v>367</v>
      </c>
      <c r="C9379" t="s">
        <v>17232</v>
      </c>
      <c r="D9379" t="s">
        <v>35991</v>
      </c>
      <c r="E9379" t="b">
        <v>0</v>
      </c>
      <c r="F9379" t="s">
        <v>11624</v>
      </c>
      <c r="G9379">
        <v>25.025700000000001</v>
      </c>
      <c r="H9379">
        <v>121.425</v>
      </c>
      <c r="I9379" t="s">
        <v>35992</v>
      </c>
      <c r="L9379">
        <v>0</v>
      </c>
      <c r="M9379">
        <v>0</v>
      </c>
      <c r="N9379">
        <v>0</v>
      </c>
      <c r="O9379" t="s">
        <v>13484</v>
      </c>
    </row>
    <row r="9380" spans="1:15">
      <c r="A9380" t="s">
        <v>35993</v>
      </c>
      <c r="B9380" t="s">
        <v>11644</v>
      </c>
      <c r="C9380" t="s">
        <v>15548</v>
      </c>
      <c r="D9380" t="s">
        <v>35994</v>
      </c>
      <c r="E9380" t="b">
        <v>0</v>
      </c>
      <c r="F9380" t="s">
        <v>11610</v>
      </c>
      <c r="L9380">
        <v>0</v>
      </c>
      <c r="M9380">
        <v>0</v>
      </c>
      <c r="N9380">
        <v>0</v>
      </c>
    </row>
    <row r="9381" spans="1:15">
      <c r="A9381" t="s">
        <v>35995</v>
      </c>
      <c r="B9381" t="s">
        <v>6742</v>
      </c>
      <c r="C9381" t="s">
        <v>35996</v>
      </c>
      <c r="D9381" t="s">
        <v>35997</v>
      </c>
      <c r="E9381" t="b">
        <v>0</v>
      </c>
      <c r="F9381" t="s">
        <v>11624</v>
      </c>
      <c r="G9381">
        <v>-7.1510400000000001</v>
      </c>
      <c r="H9381">
        <v>22.902699999999999</v>
      </c>
      <c r="I9381" t="s">
        <v>35998</v>
      </c>
      <c r="L9381">
        <v>0</v>
      </c>
      <c r="M9381">
        <v>0</v>
      </c>
      <c r="N9381">
        <v>0</v>
      </c>
      <c r="O9381" t="s">
        <v>14825</v>
      </c>
    </row>
    <row r="9382" spans="1:15">
      <c r="A9382" t="s">
        <v>35999</v>
      </c>
      <c r="B9382" t="s">
        <v>6742</v>
      </c>
      <c r="C9382" t="s">
        <v>35394</v>
      </c>
      <c r="D9382" t="s">
        <v>36000</v>
      </c>
      <c r="E9382" t="b">
        <v>0</v>
      </c>
      <c r="F9382" t="s">
        <v>11610</v>
      </c>
      <c r="L9382">
        <v>0</v>
      </c>
      <c r="M9382">
        <v>0</v>
      </c>
      <c r="N9382">
        <v>0</v>
      </c>
    </row>
    <row r="9383" spans="1:15">
      <c r="A9383" t="s">
        <v>18641</v>
      </c>
      <c r="B9383" t="s">
        <v>11615</v>
      </c>
      <c r="C9383" t="s">
        <v>26271</v>
      </c>
      <c r="D9383" t="s">
        <v>36001</v>
      </c>
      <c r="E9383" t="b">
        <v>0</v>
      </c>
      <c r="F9383" t="s">
        <v>11624</v>
      </c>
      <c r="G9383">
        <v>-4.5041700000000002</v>
      </c>
      <c r="H9383">
        <v>140.44300000000001</v>
      </c>
      <c r="I9383" t="s">
        <v>36002</v>
      </c>
      <c r="L9383">
        <v>0</v>
      </c>
      <c r="M9383">
        <v>0</v>
      </c>
      <c r="N9383">
        <v>4</v>
      </c>
      <c r="O9383" t="s">
        <v>11768</v>
      </c>
    </row>
    <row r="9384" spans="1:15">
      <c r="A9384" t="s">
        <v>36003</v>
      </c>
      <c r="B9384" t="s">
        <v>12438</v>
      </c>
      <c r="C9384" t="s">
        <v>33095</v>
      </c>
      <c r="D9384" t="s">
        <v>36004</v>
      </c>
      <c r="E9384" t="b">
        <v>0</v>
      </c>
      <c r="F9384" t="s">
        <v>11610</v>
      </c>
      <c r="L9384">
        <v>0</v>
      </c>
      <c r="M9384">
        <v>0</v>
      </c>
      <c r="N9384">
        <v>0</v>
      </c>
    </row>
    <row r="9385" spans="1:15">
      <c r="A9385" t="s">
        <v>36005</v>
      </c>
      <c r="B9385" t="s">
        <v>6742</v>
      </c>
      <c r="C9385" t="s">
        <v>15091</v>
      </c>
      <c r="D9385" t="s">
        <v>36006</v>
      </c>
      <c r="E9385" t="b">
        <v>0</v>
      </c>
      <c r="F9385" t="s">
        <v>11610</v>
      </c>
      <c r="L9385">
        <v>0</v>
      </c>
      <c r="M9385">
        <v>0</v>
      </c>
      <c r="N9385">
        <v>0</v>
      </c>
    </row>
    <row r="9386" spans="1:15">
      <c r="A9386" t="s">
        <v>36007</v>
      </c>
      <c r="B9386" t="s">
        <v>6742</v>
      </c>
      <c r="C9386" t="s">
        <v>36008</v>
      </c>
      <c r="D9386" t="s">
        <v>36009</v>
      </c>
      <c r="E9386" t="b">
        <v>0</v>
      </c>
      <c r="F9386" t="s">
        <v>11610</v>
      </c>
      <c r="L9386">
        <v>0</v>
      </c>
      <c r="M9386">
        <v>0</v>
      </c>
      <c r="N9386">
        <v>0</v>
      </c>
    </row>
    <row r="9387" spans="1:15">
      <c r="A9387" t="s">
        <v>36010</v>
      </c>
      <c r="B9387" t="s">
        <v>11615</v>
      </c>
      <c r="C9387" t="s">
        <v>12938</v>
      </c>
      <c r="D9387" t="s">
        <v>36011</v>
      </c>
      <c r="E9387" t="b">
        <v>0</v>
      </c>
      <c r="F9387" t="s">
        <v>11610</v>
      </c>
      <c r="L9387">
        <v>0</v>
      </c>
      <c r="M9387">
        <v>0</v>
      </c>
      <c r="N9387">
        <v>0</v>
      </c>
    </row>
    <row r="9388" spans="1:15">
      <c r="A9388" t="s">
        <v>36012</v>
      </c>
      <c r="B9388" t="s">
        <v>331</v>
      </c>
      <c r="C9388" t="s">
        <v>22497</v>
      </c>
      <c r="D9388" t="s">
        <v>36013</v>
      </c>
      <c r="E9388" t="b">
        <v>0</v>
      </c>
      <c r="F9388" t="s">
        <v>11610</v>
      </c>
      <c r="L9388">
        <v>0</v>
      </c>
      <c r="M9388">
        <v>0</v>
      </c>
      <c r="N9388">
        <v>0</v>
      </c>
    </row>
    <row r="9389" spans="1:15">
      <c r="A9389" t="s">
        <v>22051</v>
      </c>
      <c r="B9389" t="s">
        <v>14552</v>
      </c>
      <c r="C9389" t="s">
        <v>36014</v>
      </c>
      <c r="D9389" t="s">
        <v>36015</v>
      </c>
      <c r="E9389" t="b">
        <v>0</v>
      </c>
      <c r="F9389" t="s">
        <v>11624</v>
      </c>
      <c r="G9389">
        <v>63.755099999999999</v>
      </c>
      <c r="H9389">
        <v>87.546599999999998</v>
      </c>
      <c r="I9389" t="s">
        <v>36016</v>
      </c>
      <c r="L9389">
        <v>0</v>
      </c>
      <c r="M9389">
        <v>0</v>
      </c>
      <c r="N9389">
        <v>3</v>
      </c>
      <c r="O9389" t="s">
        <v>12748</v>
      </c>
    </row>
    <row r="9390" spans="1:15">
      <c r="A9390" t="s">
        <v>36017</v>
      </c>
      <c r="B9390" t="s">
        <v>11615</v>
      </c>
      <c r="C9390" t="s">
        <v>36018</v>
      </c>
      <c r="D9390" t="s">
        <v>36019</v>
      </c>
      <c r="E9390" t="b">
        <v>0</v>
      </c>
      <c r="F9390" t="s">
        <v>11624</v>
      </c>
      <c r="G9390">
        <v>-5.3464700000000001</v>
      </c>
      <c r="H9390">
        <v>140.60400000000001</v>
      </c>
      <c r="I9390" t="s">
        <v>36020</v>
      </c>
      <c r="L9390">
        <v>0</v>
      </c>
      <c r="M9390">
        <v>0</v>
      </c>
      <c r="N9390">
        <v>0</v>
      </c>
      <c r="O9390" t="s">
        <v>11768</v>
      </c>
    </row>
    <row r="9391" spans="1:15">
      <c r="A9391" t="s">
        <v>36018</v>
      </c>
      <c r="B9391" t="s">
        <v>11615</v>
      </c>
      <c r="C9391" t="s">
        <v>25551</v>
      </c>
      <c r="D9391" t="s">
        <v>36021</v>
      </c>
      <c r="E9391" t="b">
        <v>0</v>
      </c>
      <c r="F9391" t="s">
        <v>11622</v>
      </c>
      <c r="L9391">
        <v>0</v>
      </c>
      <c r="M9391">
        <v>2</v>
      </c>
      <c r="N9391">
        <v>0</v>
      </c>
    </row>
    <row r="9392" spans="1:15">
      <c r="A9392" t="s">
        <v>36022</v>
      </c>
      <c r="B9392" t="s">
        <v>12260</v>
      </c>
      <c r="C9392" t="s">
        <v>575</v>
      </c>
      <c r="D9392" t="s">
        <v>36023</v>
      </c>
      <c r="E9392" t="b">
        <v>0</v>
      </c>
      <c r="F9392" t="s">
        <v>11610</v>
      </c>
      <c r="L9392">
        <v>0</v>
      </c>
      <c r="M9392">
        <v>0</v>
      </c>
      <c r="N9392">
        <v>7</v>
      </c>
    </row>
    <row r="9393" spans="1:15">
      <c r="A9393" t="s">
        <v>21983</v>
      </c>
      <c r="B9393" t="s">
        <v>12260</v>
      </c>
      <c r="C9393" t="s">
        <v>36022</v>
      </c>
      <c r="D9393" t="s">
        <v>36024</v>
      </c>
      <c r="E9393" t="b">
        <v>0</v>
      </c>
      <c r="F9393" t="s">
        <v>11610</v>
      </c>
      <c r="L9393">
        <v>0</v>
      </c>
      <c r="M9393">
        <v>0</v>
      </c>
      <c r="N9393">
        <v>5</v>
      </c>
    </row>
    <row r="9394" spans="1:15">
      <c r="A9394" t="s">
        <v>36025</v>
      </c>
      <c r="B9394" t="s">
        <v>15162</v>
      </c>
      <c r="C9394" t="s">
        <v>15163</v>
      </c>
      <c r="D9394" t="s">
        <v>36026</v>
      </c>
      <c r="E9394" t="b">
        <v>0</v>
      </c>
      <c r="F9394" t="s">
        <v>11610</v>
      </c>
      <c r="L9394">
        <v>0</v>
      </c>
      <c r="M9394">
        <v>0</v>
      </c>
      <c r="N9394">
        <v>0</v>
      </c>
    </row>
    <row r="9395" spans="1:15">
      <c r="A9395" t="s">
        <v>13798</v>
      </c>
      <c r="B9395" t="s">
        <v>11615</v>
      </c>
      <c r="C9395" t="s">
        <v>27214</v>
      </c>
      <c r="D9395" t="s">
        <v>36027</v>
      </c>
      <c r="E9395" t="b">
        <v>0</v>
      </c>
      <c r="F9395" t="s">
        <v>11622</v>
      </c>
      <c r="L9395">
        <v>5</v>
      </c>
      <c r="M9395">
        <v>8</v>
      </c>
      <c r="N9395">
        <v>4</v>
      </c>
    </row>
    <row r="9396" spans="1:15">
      <c r="A9396" t="s">
        <v>36028</v>
      </c>
      <c r="B9396" t="s">
        <v>11615</v>
      </c>
      <c r="C9396" t="s">
        <v>13815</v>
      </c>
      <c r="D9396" t="s">
        <v>36029</v>
      </c>
      <c r="E9396" t="b">
        <v>0</v>
      </c>
      <c r="F9396" t="s">
        <v>11622</v>
      </c>
      <c r="L9396">
        <v>1</v>
      </c>
      <c r="M9396">
        <v>3</v>
      </c>
      <c r="N9396">
        <v>0</v>
      </c>
    </row>
    <row r="9397" spans="1:15">
      <c r="A9397" t="s">
        <v>36030</v>
      </c>
      <c r="B9397" t="s">
        <v>6742</v>
      </c>
      <c r="C9397" t="s">
        <v>19744</v>
      </c>
      <c r="D9397" t="s">
        <v>36031</v>
      </c>
      <c r="E9397" t="b">
        <v>0</v>
      </c>
      <c r="F9397" t="s">
        <v>11610</v>
      </c>
      <c r="L9397">
        <v>0</v>
      </c>
      <c r="M9397">
        <v>0</v>
      </c>
      <c r="N9397">
        <v>0</v>
      </c>
    </row>
    <row r="9398" spans="1:15">
      <c r="A9398" t="s">
        <v>36032</v>
      </c>
      <c r="B9398" t="s">
        <v>11615</v>
      </c>
      <c r="C9398" t="s">
        <v>32696</v>
      </c>
      <c r="D9398" t="s">
        <v>36033</v>
      </c>
      <c r="E9398" t="b">
        <v>0</v>
      </c>
      <c r="F9398" t="s">
        <v>11610</v>
      </c>
      <c r="L9398">
        <v>0</v>
      </c>
      <c r="M9398">
        <v>0</v>
      </c>
      <c r="N9398">
        <v>0</v>
      </c>
    </row>
    <row r="9399" spans="1:15">
      <c r="A9399" t="s">
        <v>19508</v>
      </c>
      <c r="B9399" t="s">
        <v>11615</v>
      </c>
      <c r="C9399" t="s">
        <v>20739</v>
      </c>
      <c r="D9399" t="s">
        <v>36034</v>
      </c>
      <c r="E9399" t="b">
        <v>0</v>
      </c>
      <c r="F9399" t="s">
        <v>11622</v>
      </c>
      <c r="L9399">
        <v>0</v>
      </c>
      <c r="M9399">
        <v>2</v>
      </c>
      <c r="N9399">
        <v>4</v>
      </c>
    </row>
    <row r="9400" spans="1:15">
      <c r="A9400" t="s">
        <v>36035</v>
      </c>
      <c r="B9400" t="s">
        <v>11615</v>
      </c>
      <c r="C9400" t="s">
        <v>32489</v>
      </c>
      <c r="D9400" t="s">
        <v>36036</v>
      </c>
      <c r="E9400" t="b">
        <v>0</v>
      </c>
      <c r="F9400" t="s">
        <v>11624</v>
      </c>
      <c r="G9400">
        <v>-6.4759900000000004</v>
      </c>
      <c r="H9400">
        <v>145.464</v>
      </c>
      <c r="I9400" t="s">
        <v>36037</v>
      </c>
      <c r="L9400">
        <v>0</v>
      </c>
      <c r="M9400">
        <v>0</v>
      </c>
      <c r="N9400">
        <v>0</v>
      </c>
      <c r="O9400" t="s">
        <v>11660</v>
      </c>
    </row>
    <row r="9401" spans="1:15">
      <c r="A9401" t="s">
        <v>36038</v>
      </c>
      <c r="B9401" t="s">
        <v>11637</v>
      </c>
      <c r="C9401" t="s">
        <v>15431</v>
      </c>
      <c r="D9401" t="s">
        <v>36039</v>
      </c>
      <c r="E9401" t="b">
        <v>0</v>
      </c>
      <c r="F9401" t="s">
        <v>11610</v>
      </c>
      <c r="L9401">
        <v>0</v>
      </c>
      <c r="M9401">
        <v>0</v>
      </c>
      <c r="N9401">
        <v>0</v>
      </c>
    </row>
    <row r="9402" spans="1:15">
      <c r="A9402" t="s">
        <v>36040</v>
      </c>
      <c r="B9402" t="s">
        <v>11607</v>
      </c>
      <c r="C9402" t="s">
        <v>13919</v>
      </c>
      <c r="D9402" t="s">
        <v>36041</v>
      </c>
      <c r="E9402" t="b">
        <v>0</v>
      </c>
      <c r="F9402" t="s">
        <v>11610</v>
      </c>
      <c r="L9402">
        <v>0</v>
      </c>
      <c r="M9402">
        <v>0</v>
      </c>
      <c r="N9402">
        <v>0</v>
      </c>
    </row>
    <row r="9403" spans="1:15">
      <c r="A9403" t="s">
        <v>36042</v>
      </c>
      <c r="B9403" t="s">
        <v>6742</v>
      </c>
      <c r="C9403" t="s">
        <v>4118</v>
      </c>
      <c r="D9403" t="s">
        <v>36043</v>
      </c>
      <c r="E9403" t="b">
        <v>0</v>
      </c>
      <c r="F9403" t="s">
        <v>11610</v>
      </c>
      <c r="L9403">
        <v>0</v>
      </c>
      <c r="M9403">
        <v>0</v>
      </c>
      <c r="N9403">
        <v>0</v>
      </c>
    </row>
    <row r="9404" spans="1:15">
      <c r="A9404" t="s">
        <v>16209</v>
      </c>
      <c r="B9404" t="s">
        <v>6742</v>
      </c>
      <c r="C9404" t="s">
        <v>36044</v>
      </c>
      <c r="D9404" t="s">
        <v>36045</v>
      </c>
      <c r="E9404" t="b">
        <v>0</v>
      </c>
      <c r="F9404" t="s">
        <v>11624</v>
      </c>
      <c r="G9404">
        <v>-24.9208</v>
      </c>
      <c r="H9404">
        <v>22.72016</v>
      </c>
      <c r="I9404" t="s">
        <v>36046</v>
      </c>
      <c r="L9404">
        <v>0</v>
      </c>
      <c r="M9404">
        <v>0</v>
      </c>
      <c r="N9404">
        <v>10</v>
      </c>
      <c r="O9404" t="s">
        <v>30566</v>
      </c>
    </row>
    <row r="9405" spans="1:15">
      <c r="A9405" t="s">
        <v>36047</v>
      </c>
      <c r="B9405" t="s">
        <v>6742</v>
      </c>
      <c r="C9405" t="s">
        <v>1745</v>
      </c>
      <c r="D9405" t="s">
        <v>36048</v>
      </c>
      <c r="E9405" t="b">
        <v>0</v>
      </c>
      <c r="F9405" t="s">
        <v>11610</v>
      </c>
      <c r="L9405">
        <v>0</v>
      </c>
      <c r="M9405">
        <v>0</v>
      </c>
      <c r="N9405">
        <v>0</v>
      </c>
    </row>
    <row r="9406" spans="1:15">
      <c r="A9406" t="s">
        <v>36049</v>
      </c>
      <c r="B9406" t="s">
        <v>11644</v>
      </c>
      <c r="C9406" t="s">
        <v>13869</v>
      </c>
      <c r="D9406" t="s">
        <v>36050</v>
      </c>
      <c r="E9406" t="b">
        <v>0</v>
      </c>
      <c r="F9406" t="s">
        <v>11610</v>
      </c>
      <c r="L9406">
        <v>0</v>
      </c>
      <c r="M9406">
        <v>0</v>
      </c>
      <c r="N9406">
        <v>0</v>
      </c>
    </row>
    <row r="9407" spans="1:15">
      <c r="A9407" t="s">
        <v>36051</v>
      </c>
      <c r="B9407" t="s">
        <v>11637</v>
      </c>
      <c r="C9407" t="s">
        <v>15828</v>
      </c>
      <c r="D9407" t="s">
        <v>36052</v>
      </c>
      <c r="E9407" t="b">
        <v>0</v>
      </c>
      <c r="F9407" t="s">
        <v>11610</v>
      </c>
      <c r="L9407">
        <v>0</v>
      </c>
      <c r="M9407">
        <v>0</v>
      </c>
      <c r="N9407">
        <v>0</v>
      </c>
    </row>
    <row r="9408" spans="1:15">
      <c r="A9408" t="s">
        <v>36053</v>
      </c>
      <c r="B9408" t="s">
        <v>11637</v>
      </c>
      <c r="C9408" t="s">
        <v>29549</v>
      </c>
      <c r="D9408" t="s">
        <v>36054</v>
      </c>
      <c r="E9408" t="b">
        <v>0</v>
      </c>
      <c r="F9408" t="s">
        <v>11610</v>
      </c>
      <c r="L9408">
        <v>0</v>
      </c>
      <c r="M9408">
        <v>0</v>
      </c>
      <c r="N9408">
        <v>0</v>
      </c>
    </row>
    <row r="9409" spans="1:15">
      <c r="A9409" t="s">
        <v>36055</v>
      </c>
      <c r="B9409" t="s">
        <v>11637</v>
      </c>
      <c r="C9409" t="s">
        <v>15977</v>
      </c>
      <c r="D9409" t="s">
        <v>36056</v>
      </c>
      <c r="E9409" t="b">
        <v>0</v>
      </c>
      <c r="F9409" t="s">
        <v>11610</v>
      </c>
      <c r="L9409">
        <v>0</v>
      </c>
      <c r="M9409">
        <v>0</v>
      </c>
      <c r="N9409">
        <v>0</v>
      </c>
    </row>
    <row r="9410" spans="1:15">
      <c r="A9410" t="s">
        <v>36057</v>
      </c>
      <c r="B9410" t="s">
        <v>331</v>
      </c>
      <c r="C9410" t="s">
        <v>20126</v>
      </c>
      <c r="D9410" t="s">
        <v>36058</v>
      </c>
      <c r="E9410" t="b">
        <v>0</v>
      </c>
      <c r="F9410" t="s">
        <v>11610</v>
      </c>
      <c r="L9410">
        <v>0</v>
      </c>
      <c r="M9410">
        <v>0</v>
      </c>
      <c r="N9410">
        <v>0</v>
      </c>
    </row>
    <row r="9411" spans="1:15">
      <c r="A9411" t="s">
        <v>5794</v>
      </c>
      <c r="B9411" t="s">
        <v>331</v>
      </c>
      <c r="C9411" t="s">
        <v>36059</v>
      </c>
      <c r="D9411" t="s">
        <v>36060</v>
      </c>
      <c r="E9411" t="b">
        <v>0</v>
      </c>
      <c r="F9411" t="s">
        <v>11624</v>
      </c>
      <c r="G9411">
        <v>50.7393</v>
      </c>
      <c r="H9411">
        <v>107.169</v>
      </c>
      <c r="I9411" t="s">
        <v>5795</v>
      </c>
      <c r="L9411">
        <v>0</v>
      </c>
      <c r="M9411">
        <v>0</v>
      </c>
      <c r="N9411">
        <v>5</v>
      </c>
      <c r="O9411" t="s">
        <v>36061</v>
      </c>
    </row>
    <row r="9412" spans="1:15">
      <c r="A9412" t="s">
        <v>36062</v>
      </c>
      <c r="B9412" t="s">
        <v>6742</v>
      </c>
      <c r="C9412" t="s">
        <v>16209</v>
      </c>
      <c r="D9412" t="s">
        <v>36063</v>
      </c>
      <c r="E9412" t="b">
        <v>0</v>
      </c>
      <c r="F9412" t="s">
        <v>11610</v>
      </c>
      <c r="L9412">
        <v>0</v>
      </c>
      <c r="M9412">
        <v>0</v>
      </c>
      <c r="N9412">
        <v>0</v>
      </c>
    </row>
    <row r="9413" spans="1:15">
      <c r="A9413" t="s">
        <v>36064</v>
      </c>
      <c r="B9413" t="s">
        <v>11627</v>
      </c>
      <c r="C9413" t="s">
        <v>11627</v>
      </c>
      <c r="D9413" t="s">
        <v>36065</v>
      </c>
      <c r="E9413" t="b">
        <v>1</v>
      </c>
      <c r="F9413" t="s">
        <v>11624</v>
      </c>
      <c r="G9413">
        <v>36.531700000000001</v>
      </c>
      <c r="H9413">
        <v>49.576000000000001</v>
      </c>
      <c r="I9413" t="s">
        <v>36066</v>
      </c>
      <c r="L9413">
        <v>0</v>
      </c>
      <c r="M9413">
        <v>0</v>
      </c>
      <c r="N9413">
        <v>0</v>
      </c>
      <c r="O9413" t="s">
        <v>36067</v>
      </c>
    </row>
    <row r="9414" spans="1:15">
      <c r="A9414" t="s">
        <v>36068</v>
      </c>
      <c r="B9414" t="s">
        <v>11637</v>
      </c>
      <c r="C9414" t="s">
        <v>36069</v>
      </c>
      <c r="D9414" t="s">
        <v>36070</v>
      </c>
      <c r="E9414" t="b">
        <v>0</v>
      </c>
      <c r="F9414" t="s">
        <v>11610</v>
      </c>
      <c r="L9414">
        <v>0</v>
      </c>
      <c r="M9414">
        <v>0</v>
      </c>
      <c r="N9414">
        <v>0</v>
      </c>
    </row>
    <row r="9415" spans="1:15">
      <c r="A9415" t="s">
        <v>36071</v>
      </c>
      <c r="B9415" t="s">
        <v>11637</v>
      </c>
      <c r="C9415" t="s">
        <v>18327</v>
      </c>
      <c r="D9415" t="s">
        <v>36072</v>
      </c>
      <c r="E9415" t="b">
        <v>0</v>
      </c>
      <c r="F9415" t="s">
        <v>11610</v>
      </c>
      <c r="L9415">
        <v>0</v>
      </c>
      <c r="M9415">
        <v>0</v>
      </c>
      <c r="N9415">
        <v>0</v>
      </c>
    </row>
    <row r="9416" spans="1:15">
      <c r="A9416" t="s">
        <v>20490</v>
      </c>
      <c r="B9416" t="s">
        <v>12250</v>
      </c>
      <c r="C9416" t="s">
        <v>36073</v>
      </c>
      <c r="D9416" t="s">
        <v>36074</v>
      </c>
      <c r="E9416" t="b">
        <v>0</v>
      </c>
      <c r="F9416" t="s">
        <v>11622</v>
      </c>
      <c r="L9416">
        <v>2</v>
      </c>
      <c r="M9416">
        <v>5</v>
      </c>
      <c r="N9416">
        <v>26</v>
      </c>
    </row>
    <row r="9417" spans="1:15">
      <c r="A9417" t="s">
        <v>36075</v>
      </c>
      <c r="B9417" t="s">
        <v>11644</v>
      </c>
      <c r="C9417" t="s">
        <v>25531</v>
      </c>
      <c r="D9417" t="s">
        <v>36076</v>
      </c>
      <c r="E9417" t="b">
        <v>0</v>
      </c>
      <c r="F9417" t="s">
        <v>11624</v>
      </c>
      <c r="G9417">
        <v>27.391200000000001</v>
      </c>
      <c r="H9417">
        <v>87.505300000000005</v>
      </c>
      <c r="I9417" t="s">
        <v>36077</v>
      </c>
      <c r="L9417">
        <v>0</v>
      </c>
      <c r="M9417">
        <v>0</v>
      </c>
      <c r="N9417">
        <v>0</v>
      </c>
      <c r="O9417" t="s">
        <v>12524</v>
      </c>
    </row>
    <row r="9418" spans="1:15">
      <c r="A9418" t="s">
        <v>34238</v>
      </c>
      <c r="B9418" t="s">
        <v>11637</v>
      </c>
      <c r="C9418" t="s">
        <v>21852</v>
      </c>
      <c r="D9418" t="s">
        <v>36078</v>
      </c>
      <c r="E9418" t="b">
        <v>0</v>
      </c>
      <c r="F9418" t="s">
        <v>11622</v>
      </c>
      <c r="L9418">
        <v>0</v>
      </c>
      <c r="M9418">
        <v>3</v>
      </c>
      <c r="N9418">
        <v>2</v>
      </c>
    </row>
    <row r="9419" spans="1:15">
      <c r="A9419" t="s">
        <v>36079</v>
      </c>
      <c r="B9419" t="s">
        <v>11627</v>
      </c>
      <c r="C9419" t="s">
        <v>11627</v>
      </c>
      <c r="D9419" t="s">
        <v>36080</v>
      </c>
      <c r="E9419" t="b">
        <v>1</v>
      </c>
      <c r="F9419" t="s">
        <v>11624</v>
      </c>
      <c r="L9419">
        <v>0</v>
      </c>
      <c r="M9419">
        <v>0</v>
      </c>
      <c r="N9419">
        <v>0</v>
      </c>
    </row>
    <row r="9420" spans="1:15">
      <c r="A9420" t="s">
        <v>36081</v>
      </c>
      <c r="B9420" t="s">
        <v>12250</v>
      </c>
      <c r="C9420" t="s">
        <v>36082</v>
      </c>
      <c r="D9420" t="s">
        <v>36083</v>
      </c>
      <c r="E9420" t="b">
        <v>0</v>
      </c>
      <c r="F9420" t="s">
        <v>11624</v>
      </c>
      <c r="G9420">
        <v>49</v>
      </c>
      <c r="H9420">
        <v>117</v>
      </c>
      <c r="L9420">
        <v>0</v>
      </c>
      <c r="M9420">
        <v>0</v>
      </c>
      <c r="N9420">
        <v>0</v>
      </c>
      <c r="O9420" t="s">
        <v>11905</v>
      </c>
    </row>
    <row r="9421" spans="1:15">
      <c r="A9421" t="s">
        <v>22028</v>
      </c>
      <c r="B9421" t="s">
        <v>11644</v>
      </c>
      <c r="C9421" t="s">
        <v>36084</v>
      </c>
      <c r="D9421" t="s">
        <v>36085</v>
      </c>
      <c r="E9421" t="b">
        <v>0</v>
      </c>
      <c r="F9421" t="s">
        <v>11624</v>
      </c>
      <c r="G9421">
        <v>31.9313</v>
      </c>
      <c r="H9421">
        <v>91.706199999999995</v>
      </c>
      <c r="I9421" t="s">
        <v>36086</v>
      </c>
      <c r="L9421">
        <v>0</v>
      </c>
      <c r="M9421">
        <v>0</v>
      </c>
      <c r="N9421">
        <v>19</v>
      </c>
      <c r="O9421" t="s">
        <v>36087</v>
      </c>
    </row>
    <row r="9422" spans="1:15">
      <c r="A9422" t="s">
        <v>36088</v>
      </c>
      <c r="B9422" t="s">
        <v>11644</v>
      </c>
      <c r="C9422" t="s">
        <v>36089</v>
      </c>
      <c r="D9422" t="s">
        <v>36090</v>
      </c>
      <c r="E9422" t="b">
        <v>0</v>
      </c>
      <c r="F9422" t="s">
        <v>11624</v>
      </c>
      <c r="G9422">
        <v>28.993016699999998</v>
      </c>
      <c r="H9422">
        <v>94.894391159999998</v>
      </c>
      <c r="I9422" t="s">
        <v>36091</v>
      </c>
      <c r="L9422">
        <v>0</v>
      </c>
      <c r="M9422">
        <v>0</v>
      </c>
      <c r="N9422">
        <v>0</v>
      </c>
      <c r="O9422" t="s">
        <v>11630</v>
      </c>
    </row>
    <row r="9423" spans="1:15">
      <c r="A9423" t="s">
        <v>36092</v>
      </c>
      <c r="B9423" t="s">
        <v>11644</v>
      </c>
      <c r="C9423" t="s">
        <v>34620</v>
      </c>
      <c r="D9423" t="s">
        <v>36093</v>
      </c>
      <c r="E9423" t="b">
        <v>0</v>
      </c>
      <c r="F9423" t="s">
        <v>11610</v>
      </c>
      <c r="L9423">
        <v>0</v>
      </c>
      <c r="M9423">
        <v>0</v>
      </c>
      <c r="N9423">
        <v>0</v>
      </c>
    </row>
    <row r="9424" spans="1:15">
      <c r="A9424" t="s">
        <v>22427</v>
      </c>
      <c r="B9424" t="s">
        <v>11644</v>
      </c>
      <c r="C9424" t="s">
        <v>36094</v>
      </c>
      <c r="D9424" t="s">
        <v>36095</v>
      </c>
      <c r="E9424" t="b">
        <v>0</v>
      </c>
      <c r="F9424" t="s">
        <v>11622</v>
      </c>
      <c r="L9424">
        <v>4</v>
      </c>
      <c r="M9424">
        <v>9</v>
      </c>
      <c r="N9424">
        <v>11</v>
      </c>
    </row>
    <row r="9425" spans="1:15">
      <c r="A9425" t="s">
        <v>28426</v>
      </c>
      <c r="B9425" t="s">
        <v>11644</v>
      </c>
      <c r="C9425" t="s">
        <v>22427</v>
      </c>
      <c r="D9425" t="s">
        <v>36096</v>
      </c>
      <c r="E9425" t="b">
        <v>0</v>
      </c>
      <c r="F9425" t="s">
        <v>11622</v>
      </c>
      <c r="L9425">
        <v>1</v>
      </c>
      <c r="M9425">
        <v>4</v>
      </c>
      <c r="N9425">
        <v>9</v>
      </c>
    </row>
    <row r="9426" spans="1:15">
      <c r="A9426" t="s">
        <v>36097</v>
      </c>
      <c r="B9426" t="s">
        <v>11644</v>
      </c>
      <c r="C9426" t="s">
        <v>22458</v>
      </c>
      <c r="D9426" t="s">
        <v>36098</v>
      </c>
      <c r="E9426" t="b">
        <v>0</v>
      </c>
      <c r="F9426" t="s">
        <v>11610</v>
      </c>
      <c r="L9426">
        <v>0</v>
      </c>
      <c r="M9426">
        <v>0</v>
      </c>
      <c r="N9426">
        <v>0</v>
      </c>
    </row>
    <row r="9427" spans="1:15">
      <c r="A9427" t="s">
        <v>36099</v>
      </c>
      <c r="B9427" t="s">
        <v>5126</v>
      </c>
      <c r="C9427" t="s">
        <v>36100</v>
      </c>
      <c r="D9427" t="s">
        <v>36101</v>
      </c>
      <c r="E9427" t="b">
        <v>0</v>
      </c>
      <c r="F9427" t="s">
        <v>11610</v>
      </c>
      <c r="L9427">
        <v>0</v>
      </c>
      <c r="M9427">
        <v>0</v>
      </c>
      <c r="N9427">
        <v>0</v>
      </c>
    </row>
    <row r="9428" spans="1:15">
      <c r="A9428" t="s">
        <v>14846</v>
      </c>
      <c r="B9428" t="s">
        <v>5126</v>
      </c>
      <c r="C9428" t="s">
        <v>12579</v>
      </c>
      <c r="D9428" t="s">
        <v>36102</v>
      </c>
      <c r="E9428" t="b">
        <v>0</v>
      </c>
      <c r="F9428" t="s">
        <v>11624</v>
      </c>
      <c r="G9428">
        <v>27.665299999999998</v>
      </c>
      <c r="H9428">
        <v>97.035899999999998</v>
      </c>
      <c r="I9428" t="s">
        <v>36103</v>
      </c>
      <c r="L9428">
        <v>0</v>
      </c>
      <c r="M9428">
        <v>0</v>
      </c>
      <c r="N9428">
        <v>3</v>
      </c>
      <c r="O9428" t="s">
        <v>13598</v>
      </c>
    </row>
    <row r="9429" spans="1:15">
      <c r="A9429" t="s">
        <v>36104</v>
      </c>
      <c r="B9429" t="s">
        <v>5126</v>
      </c>
      <c r="C9429" t="s">
        <v>12579</v>
      </c>
      <c r="D9429" t="s">
        <v>36105</v>
      </c>
      <c r="E9429" t="b">
        <v>0</v>
      </c>
      <c r="F9429" t="s">
        <v>11624</v>
      </c>
      <c r="G9429">
        <v>26.88946</v>
      </c>
      <c r="H9429">
        <v>93.993250000000003</v>
      </c>
      <c r="I9429" t="s">
        <v>36106</v>
      </c>
      <c r="L9429">
        <v>0</v>
      </c>
      <c r="M9429">
        <v>0</v>
      </c>
      <c r="N9429">
        <v>0</v>
      </c>
      <c r="O9429" t="s">
        <v>11630</v>
      </c>
    </row>
    <row r="9430" spans="1:15">
      <c r="A9430" t="s">
        <v>36107</v>
      </c>
      <c r="B9430" t="s">
        <v>6742</v>
      </c>
      <c r="C9430" t="s">
        <v>3610</v>
      </c>
      <c r="D9430" t="s">
        <v>36108</v>
      </c>
      <c r="E9430" t="b">
        <v>0</v>
      </c>
      <c r="F9430" t="s">
        <v>11610</v>
      </c>
      <c r="L9430">
        <v>0</v>
      </c>
      <c r="M9430">
        <v>0</v>
      </c>
      <c r="N9430">
        <v>0</v>
      </c>
    </row>
    <row r="9431" spans="1:15">
      <c r="A9431" t="s">
        <v>36109</v>
      </c>
      <c r="B9431" t="s">
        <v>11607</v>
      </c>
      <c r="C9431" t="s">
        <v>13053</v>
      </c>
      <c r="D9431" t="s">
        <v>36110</v>
      </c>
      <c r="E9431" t="b">
        <v>0</v>
      </c>
      <c r="F9431" t="s">
        <v>11610</v>
      </c>
      <c r="L9431">
        <v>0</v>
      </c>
      <c r="M9431">
        <v>0</v>
      </c>
      <c r="N9431">
        <v>0</v>
      </c>
    </row>
    <row r="9432" spans="1:15">
      <c r="A9432" t="s">
        <v>36084</v>
      </c>
      <c r="B9432" t="s">
        <v>11644</v>
      </c>
      <c r="C9432" t="s">
        <v>22025</v>
      </c>
      <c r="D9432" t="s">
        <v>36111</v>
      </c>
      <c r="E9432" t="b">
        <v>0</v>
      </c>
      <c r="F9432" t="s">
        <v>11622</v>
      </c>
      <c r="L9432">
        <v>0</v>
      </c>
      <c r="M9432">
        <v>2</v>
      </c>
      <c r="N9432">
        <v>19</v>
      </c>
    </row>
    <row r="9433" spans="1:15">
      <c r="A9433" t="s">
        <v>36112</v>
      </c>
      <c r="B9433" t="s">
        <v>11644</v>
      </c>
      <c r="C9433" t="s">
        <v>21822</v>
      </c>
      <c r="D9433" t="s">
        <v>36113</v>
      </c>
      <c r="E9433" t="b">
        <v>0</v>
      </c>
      <c r="F9433" t="s">
        <v>11622</v>
      </c>
      <c r="L9433">
        <v>1</v>
      </c>
      <c r="M9433">
        <v>5</v>
      </c>
      <c r="N9433">
        <v>24</v>
      </c>
    </row>
    <row r="9434" spans="1:15">
      <c r="A9434" t="s">
        <v>36114</v>
      </c>
      <c r="B9434" t="s">
        <v>11607</v>
      </c>
      <c r="C9434" t="s">
        <v>36115</v>
      </c>
      <c r="D9434" t="s">
        <v>36116</v>
      </c>
      <c r="E9434" t="b">
        <v>0</v>
      </c>
      <c r="F9434" t="s">
        <v>11610</v>
      </c>
      <c r="L9434">
        <v>0</v>
      </c>
      <c r="M9434">
        <v>0</v>
      </c>
      <c r="N9434">
        <v>0</v>
      </c>
    </row>
    <row r="9435" spans="1:15">
      <c r="A9435" t="s">
        <v>24601</v>
      </c>
      <c r="B9435" t="s">
        <v>11637</v>
      </c>
      <c r="C9435" t="s">
        <v>18306</v>
      </c>
      <c r="D9435" t="s">
        <v>36117</v>
      </c>
      <c r="E9435" t="b">
        <v>0</v>
      </c>
      <c r="F9435" t="s">
        <v>11622</v>
      </c>
      <c r="L9435">
        <v>0</v>
      </c>
      <c r="M9435">
        <v>2</v>
      </c>
      <c r="N9435">
        <v>5</v>
      </c>
    </row>
    <row r="9436" spans="1:15">
      <c r="A9436" t="s">
        <v>24033</v>
      </c>
      <c r="B9436" t="s">
        <v>11637</v>
      </c>
      <c r="C9436" t="s">
        <v>24601</v>
      </c>
      <c r="D9436" t="s">
        <v>36118</v>
      </c>
      <c r="E9436" t="b">
        <v>0</v>
      </c>
      <c r="F9436" t="s">
        <v>11624</v>
      </c>
      <c r="G9436">
        <v>21.318100000000001</v>
      </c>
      <c r="H9436">
        <v>74.141999999999996</v>
      </c>
      <c r="I9436" t="s">
        <v>36119</v>
      </c>
      <c r="L9436">
        <v>0</v>
      </c>
      <c r="M9436">
        <v>0</v>
      </c>
      <c r="N9436">
        <v>5</v>
      </c>
      <c r="O9436" t="s">
        <v>11630</v>
      </c>
    </row>
    <row r="9437" spans="1:15">
      <c r="A9437" t="s">
        <v>18093</v>
      </c>
      <c r="B9437" t="s">
        <v>12260</v>
      </c>
      <c r="C9437" t="s">
        <v>36120</v>
      </c>
      <c r="D9437" t="s">
        <v>36121</v>
      </c>
      <c r="E9437" t="b">
        <v>0</v>
      </c>
      <c r="F9437" t="s">
        <v>11624</v>
      </c>
      <c r="G9437">
        <v>62.430799999999998</v>
      </c>
      <c r="H9437">
        <v>66.121799999999993</v>
      </c>
      <c r="I9437" t="s">
        <v>36122</v>
      </c>
      <c r="L9437">
        <v>0</v>
      </c>
      <c r="M9437">
        <v>0</v>
      </c>
      <c r="N9437">
        <v>4</v>
      </c>
      <c r="O9437" t="s">
        <v>12748</v>
      </c>
    </row>
    <row r="9438" spans="1:15">
      <c r="A9438" t="s">
        <v>36123</v>
      </c>
      <c r="B9438" t="s">
        <v>12438</v>
      </c>
      <c r="C9438" t="s">
        <v>18893</v>
      </c>
      <c r="D9438" t="s">
        <v>36124</v>
      </c>
      <c r="E9438" t="b">
        <v>0</v>
      </c>
      <c r="F9438" t="s">
        <v>11624</v>
      </c>
      <c r="G9438">
        <v>21.662400000000002</v>
      </c>
      <c r="H9438">
        <v>103.736</v>
      </c>
      <c r="I9438" t="s">
        <v>36125</v>
      </c>
      <c r="L9438">
        <v>0</v>
      </c>
      <c r="M9438">
        <v>0</v>
      </c>
      <c r="N9438">
        <v>2</v>
      </c>
      <c r="O9438" t="s">
        <v>19781</v>
      </c>
    </row>
    <row r="9439" spans="1:15">
      <c r="A9439" t="s">
        <v>36126</v>
      </c>
      <c r="B9439" t="s">
        <v>12438</v>
      </c>
      <c r="C9439" t="s">
        <v>36123</v>
      </c>
      <c r="D9439" t="s">
        <v>36127</v>
      </c>
      <c r="E9439" t="b">
        <v>0</v>
      </c>
      <c r="F9439" t="s">
        <v>11610</v>
      </c>
      <c r="L9439">
        <v>0</v>
      </c>
      <c r="M9439">
        <v>0</v>
      </c>
      <c r="N9439">
        <v>0</v>
      </c>
    </row>
    <row r="9440" spans="1:15">
      <c r="A9440" t="s">
        <v>36128</v>
      </c>
      <c r="B9440" t="s">
        <v>12438</v>
      </c>
      <c r="C9440" t="s">
        <v>36123</v>
      </c>
      <c r="D9440" t="s">
        <v>36129</v>
      </c>
      <c r="E9440" t="b">
        <v>0</v>
      </c>
      <c r="F9440" t="s">
        <v>11610</v>
      </c>
      <c r="L9440">
        <v>0</v>
      </c>
      <c r="M9440">
        <v>0</v>
      </c>
      <c r="N9440">
        <v>0</v>
      </c>
    </row>
    <row r="9441" spans="1:15">
      <c r="A9441" t="s">
        <v>36130</v>
      </c>
      <c r="B9441" t="s">
        <v>11644</v>
      </c>
      <c r="C9441" t="s">
        <v>36131</v>
      </c>
      <c r="D9441" t="s">
        <v>36132</v>
      </c>
      <c r="E9441" t="b">
        <v>0</v>
      </c>
      <c r="F9441" t="s">
        <v>11624</v>
      </c>
      <c r="L9441">
        <v>0</v>
      </c>
      <c r="M9441">
        <v>0</v>
      </c>
      <c r="N9441">
        <v>0</v>
      </c>
    </row>
    <row r="9442" spans="1:15">
      <c r="A9442" t="s">
        <v>15627</v>
      </c>
      <c r="B9442" t="s">
        <v>6742</v>
      </c>
      <c r="C9442" t="s">
        <v>36133</v>
      </c>
      <c r="D9442" t="s">
        <v>36134</v>
      </c>
      <c r="E9442" t="b">
        <v>0</v>
      </c>
      <c r="F9442" t="s">
        <v>11624</v>
      </c>
      <c r="G9442">
        <v>4.7090800000000002</v>
      </c>
      <c r="H9442">
        <v>7.4436299999999997</v>
      </c>
      <c r="I9442" t="s">
        <v>36135</v>
      </c>
      <c r="L9442">
        <v>0</v>
      </c>
      <c r="M9442">
        <v>0</v>
      </c>
      <c r="N9442">
        <v>6</v>
      </c>
      <c r="O9442" t="s">
        <v>11693</v>
      </c>
    </row>
    <row r="9443" spans="1:15">
      <c r="A9443" t="s">
        <v>26606</v>
      </c>
      <c r="B9443" t="s">
        <v>12260</v>
      </c>
      <c r="C9443" t="s">
        <v>12260</v>
      </c>
      <c r="D9443" t="s">
        <v>36136</v>
      </c>
      <c r="E9443" t="b">
        <v>0</v>
      </c>
      <c r="F9443" t="s">
        <v>11622</v>
      </c>
      <c r="L9443">
        <v>3</v>
      </c>
      <c r="M9443">
        <v>5</v>
      </c>
      <c r="N9443">
        <v>13</v>
      </c>
    </row>
    <row r="9444" spans="1:15">
      <c r="A9444" t="s">
        <v>18893</v>
      </c>
      <c r="B9444" t="s">
        <v>12438</v>
      </c>
      <c r="C9444" t="s">
        <v>13840</v>
      </c>
      <c r="D9444" t="s">
        <v>36137</v>
      </c>
      <c r="E9444" t="b">
        <v>0</v>
      </c>
      <c r="F9444" t="s">
        <v>11622</v>
      </c>
      <c r="L9444">
        <v>0</v>
      </c>
      <c r="M9444">
        <v>2</v>
      </c>
      <c r="N9444">
        <v>2</v>
      </c>
    </row>
    <row r="9445" spans="1:15">
      <c r="A9445" t="s">
        <v>36138</v>
      </c>
      <c r="B9445" t="s">
        <v>11627</v>
      </c>
      <c r="C9445" t="s">
        <v>11627</v>
      </c>
      <c r="D9445" t="s">
        <v>36139</v>
      </c>
      <c r="E9445" t="b">
        <v>1</v>
      </c>
      <c r="F9445" t="s">
        <v>11624</v>
      </c>
      <c r="G9445">
        <v>21.4543</v>
      </c>
      <c r="H9445">
        <v>103.467</v>
      </c>
      <c r="I9445" t="s">
        <v>36140</v>
      </c>
      <c r="L9445">
        <v>0</v>
      </c>
      <c r="M9445">
        <v>0</v>
      </c>
      <c r="N9445">
        <v>0</v>
      </c>
      <c r="O9445" t="s">
        <v>15949</v>
      </c>
    </row>
    <row r="9446" spans="1:15">
      <c r="A9446" t="s">
        <v>36141</v>
      </c>
      <c r="B9446" t="s">
        <v>12438</v>
      </c>
      <c r="C9446" t="s">
        <v>30765</v>
      </c>
      <c r="D9446" t="s">
        <v>36142</v>
      </c>
      <c r="E9446" t="b">
        <v>0</v>
      </c>
      <c r="F9446" t="s">
        <v>11610</v>
      </c>
      <c r="L9446">
        <v>0</v>
      </c>
      <c r="M9446">
        <v>0</v>
      </c>
      <c r="N9446">
        <v>0</v>
      </c>
    </row>
    <row r="9447" spans="1:15">
      <c r="A9447" t="s">
        <v>36143</v>
      </c>
      <c r="B9447" t="s">
        <v>11644</v>
      </c>
      <c r="C9447" t="s">
        <v>19716</v>
      </c>
      <c r="D9447" t="s">
        <v>36144</v>
      </c>
      <c r="E9447" t="b">
        <v>0</v>
      </c>
      <c r="F9447" t="s">
        <v>11610</v>
      </c>
      <c r="L9447">
        <v>0</v>
      </c>
      <c r="M9447">
        <v>0</v>
      </c>
      <c r="N9447">
        <v>0</v>
      </c>
    </row>
    <row r="9448" spans="1:15">
      <c r="A9448" t="s">
        <v>36145</v>
      </c>
      <c r="B9448" t="s">
        <v>11637</v>
      </c>
      <c r="C9448" t="s">
        <v>12777</v>
      </c>
      <c r="D9448" t="s">
        <v>36146</v>
      </c>
      <c r="E9448" t="b">
        <v>0</v>
      </c>
      <c r="F9448" t="s">
        <v>11610</v>
      </c>
      <c r="L9448">
        <v>0</v>
      </c>
      <c r="M9448">
        <v>0</v>
      </c>
      <c r="N9448">
        <v>0</v>
      </c>
    </row>
    <row r="9449" spans="1:15">
      <c r="A9449" t="s">
        <v>36147</v>
      </c>
      <c r="B9449" t="s">
        <v>11637</v>
      </c>
      <c r="C9449" t="s">
        <v>36069</v>
      </c>
      <c r="D9449" t="s">
        <v>36148</v>
      </c>
      <c r="E9449" t="b">
        <v>0</v>
      </c>
      <c r="F9449" t="s">
        <v>11610</v>
      </c>
      <c r="L9449">
        <v>0</v>
      </c>
      <c r="M9449">
        <v>0</v>
      </c>
      <c r="N9449">
        <v>0</v>
      </c>
    </row>
    <row r="9450" spans="1:15">
      <c r="A9450" t="s">
        <v>36149</v>
      </c>
      <c r="B9450" t="s">
        <v>11637</v>
      </c>
      <c r="C9450" t="s">
        <v>8918</v>
      </c>
      <c r="D9450" t="s">
        <v>36150</v>
      </c>
      <c r="E9450" t="b">
        <v>0</v>
      </c>
      <c r="F9450" t="s">
        <v>11610</v>
      </c>
      <c r="L9450">
        <v>0</v>
      </c>
      <c r="M9450">
        <v>0</v>
      </c>
      <c r="N9450">
        <v>0</v>
      </c>
    </row>
    <row r="9451" spans="1:15">
      <c r="A9451" t="s">
        <v>36151</v>
      </c>
      <c r="B9451" t="s">
        <v>11637</v>
      </c>
      <c r="C9451" t="s">
        <v>17956</v>
      </c>
      <c r="D9451" t="s">
        <v>36152</v>
      </c>
      <c r="E9451" t="b">
        <v>0</v>
      </c>
      <c r="F9451" t="s">
        <v>11624</v>
      </c>
      <c r="G9451">
        <v>22.245000000000001</v>
      </c>
      <c r="H9451">
        <v>83.799000000000007</v>
      </c>
      <c r="I9451" t="s">
        <v>36153</v>
      </c>
      <c r="L9451">
        <v>0</v>
      </c>
      <c r="M9451">
        <v>0</v>
      </c>
      <c r="N9451">
        <v>0</v>
      </c>
      <c r="O9451" t="s">
        <v>11630</v>
      </c>
    </row>
    <row r="9452" spans="1:15">
      <c r="A9452" t="s">
        <v>36154</v>
      </c>
      <c r="B9452" t="s">
        <v>11637</v>
      </c>
      <c r="C9452" t="s">
        <v>14887</v>
      </c>
      <c r="D9452" t="s">
        <v>36155</v>
      </c>
      <c r="E9452" t="b">
        <v>0</v>
      </c>
      <c r="F9452" t="s">
        <v>11610</v>
      </c>
      <c r="L9452">
        <v>0</v>
      </c>
      <c r="M9452">
        <v>0</v>
      </c>
      <c r="N9452">
        <v>0</v>
      </c>
    </row>
    <row r="9453" spans="1:15">
      <c r="A9453" t="s">
        <v>24643</v>
      </c>
      <c r="B9453" t="s">
        <v>12438</v>
      </c>
      <c r="C9453" t="s">
        <v>28701</v>
      </c>
      <c r="D9453" t="s">
        <v>36156</v>
      </c>
      <c r="E9453" t="b">
        <v>0</v>
      </c>
      <c r="F9453" t="s">
        <v>11624</v>
      </c>
      <c r="G9453">
        <v>22.357099999999999</v>
      </c>
      <c r="H9453">
        <v>84.392200000000003</v>
      </c>
      <c r="I9453" t="s">
        <v>36157</v>
      </c>
      <c r="L9453">
        <v>0</v>
      </c>
      <c r="M9453">
        <v>0</v>
      </c>
      <c r="N9453">
        <v>3</v>
      </c>
      <c r="O9453" t="s">
        <v>12524</v>
      </c>
    </row>
    <row r="9454" spans="1:15">
      <c r="A9454" t="s">
        <v>36158</v>
      </c>
      <c r="B9454" t="s">
        <v>11644</v>
      </c>
      <c r="C9454" t="s">
        <v>36159</v>
      </c>
      <c r="D9454" t="s">
        <v>36160</v>
      </c>
      <c r="E9454" t="b">
        <v>0</v>
      </c>
      <c r="F9454" t="s">
        <v>11624</v>
      </c>
      <c r="G9454">
        <v>25.273800000000001</v>
      </c>
      <c r="H9454">
        <v>94.050299999999993</v>
      </c>
      <c r="I9454" t="s">
        <v>36161</v>
      </c>
      <c r="L9454">
        <v>0</v>
      </c>
      <c r="M9454">
        <v>0</v>
      </c>
      <c r="N9454">
        <v>0</v>
      </c>
      <c r="O9454" t="s">
        <v>11630</v>
      </c>
    </row>
    <row r="9455" spans="1:15">
      <c r="A9455" t="s">
        <v>36162</v>
      </c>
      <c r="B9455" t="s">
        <v>11644</v>
      </c>
      <c r="C9455" t="s">
        <v>16603</v>
      </c>
      <c r="D9455" t="s">
        <v>36163</v>
      </c>
      <c r="E9455" t="b">
        <v>0</v>
      </c>
      <c r="F9455" t="s">
        <v>11610</v>
      </c>
      <c r="L9455">
        <v>0</v>
      </c>
      <c r="M9455">
        <v>0</v>
      </c>
      <c r="N9455">
        <v>0</v>
      </c>
    </row>
    <row r="9456" spans="1:15">
      <c r="A9456" t="s">
        <v>36164</v>
      </c>
      <c r="B9456" t="s">
        <v>11644</v>
      </c>
      <c r="C9456" t="s">
        <v>18256</v>
      </c>
      <c r="D9456" t="s">
        <v>36165</v>
      </c>
      <c r="E9456" t="b">
        <v>0</v>
      </c>
      <c r="F9456" t="s">
        <v>11610</v>
      </c>
      <c r="L9456">
        <v>0</v>
      </c>
      <c r="M9456">
        <v>0</v>
      </c>
      <c r="N9456">
        <v>0</v>
      </c>
    </row>
    <row r="9457" spans="1:15">
      <c r="A9457" t="s">
        <v>36166</v>
      </c>
      <c r="B9457" t="s">
        <v>11644</v>
      </c>
      <c r="C9457" t="s">
        <v>19837</v>
      </c>
      <c r="D9457" t="s">
        <v>36167</v>
      </c>
      <c r="E9457" t="b">
        <v>0</v>
      </c>
      <c r="F9457" t="s">
        <v>11610</v>
      </c>
      <c r="L9457">
        <v>0</v>
      </c>
      <c r="M9457">
        <v>0</v>
      </c>
      <c r="N9457">
        <v>0</v>
      </c>
    </row>
    <row r="9458" spans="1:15">
      <c r="A9458" t="s">
        <v>36168</v>
      </c>
      <c r="B9458" t="s">
        <v>11607</v>
      </c>
      <c r="C9458" t="s">
        <v>3055</v>
      </c>
      <c r="D9458" t="s">
        <v>36169</v>
      </c>
      <c r="E9458" t="b">
        <v>0</v>
      </c>
      <c r="F9458" t="s">
        <v>11610</v>
      </c>
      <c r="L9458">
        <v>0</v>
      </c>
      <c r="M9458">
        <v>0</v>
      </c>
      <c r="N9458">
        <v>0</v>
      </c>
    </row>
    <row r="9459" spans="1:15">
      <c r="A9459" t="s">
        <v>36170</v>
      </c>
      <c r="B9459" t="s">
        <v>12438</v>
      </c>
      <c r="C9459" t="s">
        <v>36171</v>
      </c>
      <c r="D9459" t="s">
        <v>36172</v>
      </c>
      <c r="E9459" t="b">
        <v>0</v>
      </c>
      <c r="F9459" t="s">
        <v>11622</v>
      </c>
      <c r="L9459">
        <v>3</v>
      </c>
      <c r="M9459">
        <v>5</v>
      </c>
      <c r="N9459">
        <v>20</v>
      </c>
    </row>
    <row r="9460" spans="1:15">
      <c r="A9460" t="s">
        <v>18310</v>
      </c>
      <c r="B9460" t="s">
        <v>12438</v>
      </c>
      <c r="C9460" t="s">
        <v>36173</v>
      </c>
      <c r="D9460" t="s">
        <v>36174</v>
      </c>
      <c r="E9460" t="b">
        <v>0</v>
      </c>
      <c r="F9460" t="s">
        <v>11624</v>
      </c>
      <c r="G9460">
        <v>24.977</v>
      </c>
      <c r="H9460">
        <v>91.999799999999993</v>
      </c>
      <c r="I9460" t="s">
        <v>36175</v>
      </c>
      <c r="L9460">
        <v>0</v>
      </c>
      <c r="M9460">
        <v>0</v>
      </c>
      <c r="N9460">
        <v>4</v>
      </c>
      <c r="O9460" t="s">
        <v>15054</v>
      </c>
    </row>
    <row r="9461" spans="1:15">
      <c r="A9461" t="s">
        <v>36176</v>
      </c>
      <c r="B9461" t="s">
        <v>331</v>
      </c>
      <c r="C9461" t="s">
        <v>332</v>
      </c>
      <c r="D9461" t="s">
        <v>36177</v>
      </c>
      <c r="E9461" t="b">
        <v>0</v>
      </c>
      <c r="F9461" t="s">
        <v>11610</v>
      </c>
      <c r="L9461">
        <v>0</v>
      </c>
      <c r="M9461">
        <v>0</v>
      </c>
      <c r="N9461">
        <v>0</v>
      </c>
    </row>
    <row r="9462" spans="1:15">
      <c r="A9462" t="s">
        <v>36178</v>
      </c>
      <c r="B9462" t="s">
        <v>331</v>
      </c>
      <c r="C9462" t="s">
        <v>20126</v>
      </c>
      <c r="D9462" t="s">
        <v>36179</v>
      </c>
      <c r="E9462" t="b">
        <v>0</v>
      </c>
      <c r="F9462" t="s">
        <v>11610</v>
      </c>
      <c r="L9462">
        <v>0</v>
      </c>
      <c r="M9462">
        <v>0</v>
      </c>
      <c r="N9462">
        <v>0</v>
      </c>
    </row>
    <row r="9463" spans="1:15">
      <c r="A9463" t="s">
        <v>36180</v>
      </c>
      <c r="B9463" t="s">
        <v>11644</v>
      </c>
      <c r="C9463" t="s">
        <v>18953</v>
      </c>
      <c r="D9463" t="s">
        <v>36181</v>
      </c>
      <c r="E9463" t="b">
        <v>0</v>
      </c>
      <c r="F9463" t="s">
        <v>11610</v>
      </c>
      <c r="L9463">
        <v>0</v>
      </c>
      <c r="M9463">
        <v>0</v>
      </c>
      <c r="N9463">
        <v>0</v>
      </c>
    </row>
    <row r="9464" spans="1:15">
      <c r="A9464" t="s">
        <v>36171</v>
      </c>
      <c r="B9464" t="s">
        <v>12438</v>
      </c>
      <c r="C9464" t="s">
        <v>12438</v>
      </c>
      <c r="D9464" t="s">
        <v>36182</v>
      </c>
      <c r="E9464" t="b">
        <v>0</v>
      </c>
      <c r="F9464" t="s">
        <v>11622</v>
      </c>
      <c r="L9464">
        <v>17</v>
      </c>
      <c r="M9464">
        <v>27</v>
      </c>
      <c r="N9464">
        <v>38</v>
      </c>
    </row>
    <row r="9465" spans="1:15">
      <c r="A9465" t="s">
        <v>36183</v>
      </c>
      <c r="B9465" t="s">
        <v>12438</v>
      </c>
      <c r="C9465" t="s">
        <v>36170</v>
      </c>
      <c r="D9465" t="s">
        <v>36184</v>
      </c>
      <c r="E9465" t="b">
        <v>0</v>
      </c>
      <c r="F9465" t="s">
        <v>11622</v>
      </c>
      <c r="L9465">
        <v>2</v>
      </c>
      <c r="M9465">
        <v>4</v>
      </c>
      <c r="N9465">
        <v>18</v>
      </c>
    </row>
    <row r="9466" spans="1:15">
      <c r="A9466" t="s">
        <v>36173</v>
      </c>
      <c r="B9466" t="s">
        <v>12438</v>
      </c>
      <c r="C9466" t="s">
        <v>36183</v>
      </c>
      <c r="D9466" t="s">
        <v>36185</v>
      </c>
      <c r="E9466" t="b">
        <v>0</v>
      </c>
      <c r="F9466" t="s">
        <v>11622</v>
      </c>
      <c r="L9466">
        <v>0</v>
      </c>
      <c r="M9466">
        <v>2</v>
      </c>
      <c r="N9466">
        <v>18</v>
      </c>
    </row>
    <row r="9467" spans="1:15">
      <c r="A9467" t="s">
        <v>36186</v>
      </c>
      <c r="B9467" t="s">
        <v>11637</v>
      </c>
      <c r="C9467" t="s">
        <v>13378</v>
      </c>
      <c r="D9467" t="s">
        <v>36187</v>
      </c>
      <c r="E9467" t="b">
        <v>0</v>
      </c>
      <c r="F9467" t="s">
        <v>11610</v>
      </c>
      <c r="L9467">
        <v>0</v>
      </c>
      <c r="M9467">
        <v>0</v>
      </c>
      <c r="N9467">
        <v>0</v>
      </c>
    </row>
    <row r="9468" spans="1:15">
      <c r="A9468" t="s">
        <v>36188</v>
      </c>
      <c r="B9468" t="s">
        <v>11637</v>
      </c>
      <c r="C9468" t="s">
        <v>13063</v>
      </c>
      <c r="D9468" t="s">
        <v>36189</v>
      </c>
      <c r="E9468" t="b">
        <v>0</v>
      </c>
      <c r="F9468" t="s">
        <v>11610</v>
      </c>
      <c r="L9468">
        <v>0</v>
      </c>
      <c r="M9468">
        <v>0</v>
      </c>
      <c r="N9468">
        <v>0</v>
      </c>
    </row>
    <row r="9469" spans="1:15">
      <c r="A9469" t="s">
        <v>36190</v>
      </c>
      <c r="B9469" t="s">
        <v>12260</v>
      </c>
      <c r="C9469" t="s">
        <v>7187</v>
      </c>
      <c r="D9469" t="s">
        <v>36191</v>
      </c>
      <c r="E9469" t="b">
        <v>0</v>
      </c>
      <c r="F9469" t="s">
        <v>11610</v>
      </c>
      <c r="L9469">
        <v>0</v>
      </c>
      <c r="M9469">
        <v>0</v>
      </c>
      <c r="N9469">
        <v>0</v>
      </c>
    </row>
    <row r="9470" spans="1:15">
      <c r="A9470" t="s">
        <v>36192</v>
      </c>
      <c r="B9470" t="s">
        <v>13210</v>
      </c>
      <c r="C9470" t="s">
        <v>35927</v>
      </c>
      <c r="D9470" t="s">
        <v>36193</v>
      </c>
      <c r="E9470" t="b">
        <v>0</v>
      </c>
      <c r="F9470" t="s">
        <v>11610</v>
      </c>
      <c r="L9470">
        <v>0</v>
      </c>
      <c r="M9470">
        <v>0</v>
      </c>
      <c r="N9470">
        <v>0</v>
      </c>
    </row>
    <row r="9471" spans="1:15">
      <c r="A9471" t="s">
        <v>36194</v>
      </c>
      <c r="B9471" t="s">
        <v>12260</v>
      </c>
      <c r="C9471" t="s">
        <v>32450</v>
      </c>
      <c r="D9471" t="s">
        <v>36195</v>
      </c>
      <c r="E9471" t="b">
        <v>0</v>
      </c>
      <c r="F9471" t="s">
        <v>11610</v>
      </c>
      <c r="L9471">
        <v>0</v>
      </c>
      <c r="M9471">
        <v>0</v>
      </c>
      <c r="N9471">
        <v>0</v>
      </c>
    </row>
    <row r="9472" spans="1:15">
      <c r="A9472" t="s">
        <v>36196</v>
      </c>
      <c r="B9472" t="s">
        <v>6742</v>
      </c>
      <c r="C9472" t="s">
        <v>36197</v>
      </c>
      <c r="D9472" t="s">
        <v>36198</v>
      </c>
      <c r="E9472" t="b">
        <v>0</v>
      </c>
      <c r="F9472" t="s">
        <v>11624</v>
      </c>
      <c r="G9472">
        <v>0.54</v>
      </c>
      <c r="H9472">
        <v>34.25</v>
      </c>
      <c r="I9472" t="s">
        <v>36199</v>
      </c>
      <c r="L9472">
        <v>0</v>
      </c>
      <c r="M9472">
        <v>0</v>
      </c>
      <c r="N9472">
        <v>0</v>
      </c>
      <c r="O9472" t="s">
        <v>12057</v>
      </c>
    </row>
    <row r="9473" spans="1:15">
      <c r="A9473" t="s">
        <v>36200</v>
      </c>
      <c r="B9473" t="s">
        <v>6742</v>
      </c>
      <c r="C9473" t="s">
        <v>25097</v>
      </c>
      <c r="D9473" t="s">
        <v>36201</v>
      </c>
      <c r="E9473" t="b">
        <v>0</v>
      </c>
      <c r="F9473" t="s">
        <v>11624</v>
      </c>
      <c r="G9473">
        <v>9.7970400000000009</v>
      </c>
      <c r="H9473">
        <v>-4.2438399999999996</v>
      </c>
      <c r="I9473" t="s">
        <v>36202</v>
      </c>
      <c r="L9473">
        <v>0</v>
      </c>
      <c r="M9473">
        <v>0</v>
      </c>
      <c r="N9473">
        <v>0</v>
      </c>
      <c r="O9473" t="s">
        <v>22064</v>
      </c>
    </row>
    <row r="9474" spans="1:15">
      <c r="A9474" t="s">
        <v>19994</v>
      </c>
      <c r="B9474" t="s">
        <v>367</v>
      </c>
      <c r="C9474" t="s">
        <v>36203</v>
      </c>
      <c r="D9474" t="s">
        <v>36204</v>
      </c>
      <c r="E9474" t="b">
        <v>0</v>
      </c>
      <c r="F9474" t="s">
        <v>11624</v>
      </c>
      <c r="G9474">
        <v>-2.0662600000000002</v>
      </c>
      <c r="H9474">
        <v>146.74600000000001</v>
      </c>
      <c r="I9474" t="s">
        <v>36205</v>
      </c>
      <c r="L9474">
        <v>0</v>
      </c>
      <c r="M9474">
        <v>0</v>
      </c>
      <c r="N9474">
        <v>3</v>
      </c>
      <c r="O9474" t="s">
        <v>11660</v>
      </c>
    </row>
    <row r="9475" spans="1:15">
      <c r="A9475" t="s">
        <v>36206</v>
      </c>
      <c r="B9475" t="s">
        <v>11644</v>
      </c>
      <c r="C9475" t="s">
        <v>36207</v>
      </c>
      <c r="D9475" t="s">
        <v>36208</v>
      </c>
      <c r="E9475" t="b">
        <v>0</v>
      </c>
      <c r="F9475" t="s">
        <v>11610</v>
      </c>
      <c r="L9475">
        <v>0</v>
      </c>
      <c r="M9475">
        <v>0</v>
      </c>
      <c r="N9475">
        <v>0</v>
      </c>
    </row>
    <row r="9476" spans="1:15">
      <c r="A9476" t="s">
        <v>36209</v>
      </c>
      <c r="B9476" t="s">
        <v>11644</v>
      </c>
      <c r="C9476" t="s">
        <v>20311</v>
      </c>
      <c r="D9476" t="s">
        <v>36210</v>
      </c>
      <c r="E9476" t="b">
        <v>0</v>
      </c>
      <c r="F9476" t="s">
        <v>11624</v>
      </c>
      <c r="G9476">
        <v>27.087900000000001</v>
      </c>
      <c r="H9476">
        <v>90.863299999999995</v>
      </c>
      <c r="I9476" t="s">
        <v>36211</v>
      </c>
      <c r="L9476">
        <v>0</v>
      </c>
      <c r="M9476">
        <v>0</v>
      </c>
      <c r="N9476">
        <v>3</v>
      </c>
      <c r="O9476" t="s">
        <v>12020</v>
      </c>
    </row>
    <row r="9477" spans="1:15">
      <c r="A9477" t="s">
        <v>36212</v>
      </c>
      <c r="B9477" t="s">
        <v>5126</v>
      </c>
      <c r="C9477" t="s">
        <v>29205</v>
      </c>
      <c r="D9477" t="s">
        <v>36213</v>
      </c>
      <c r="E9477" t="b">
        <v>0</v>
      </c>
      <c r="F9477" t="s">
        <v>11610</v>
      </c>
      <c r="L9477">
        <v>0</v>
      </c>
      <c r="M9477">
        <v>0</v>
      </c>
      <c r="N9477">
        <v>0</v>
      </c>
    </row>
    <row r="9478" spans="1:15">
      <c r="A9478" t="s">
        <v>36214</v>
      </c>
      <c r="B9478" t="s">
        <v>11637</v>
      </c>
      <c r="C9478" t="s">
        <v>12079</v>
      </c>
      <c r="D9478" t="s">
        <v>36215</v>
      </c>
      <c r="E9478" t="b">
        <v>0</v>
      </c>
      <c r="F9478" t="s">
        <v>11610</v>
      </c>
      <c r="L9478">
        <v>0</v>
      </c>
      <c r="M9478">
        <v>0</v>
      </c>
      <c r="N9478">
        <v>0</v>
      </c>
    </row>
    <row r="9479" spans="1:15">
      <c r="A9479" t="s">
        <v>36216</v>
      </c>
      <c r="B9479" t="s">
        <v>12438</v>
      </c>
      <c r="C9479" t="s">
        <v>36217</v>
      </c>
      <c r="D9479" t="s">
        <v>36218</v>
      </c>
      <c r="E9479" t="b">
        <v>0</v>
      </c>
      <c r="F9479" t="s">
        <v>11622</v>
      </c>
      <c r="L9479">
        <v>5</v>
      </c>
      <c r="M9479">
        <v>13</v>
      </c>
      <c r="N9479">
        <v>11</v>
      </c>
    </row>
    <row r="9480" spans="1:15">
      <c r="A9480" t="s">
        <v>36219</v>
      </c>
      <c r="B9480" t="s">
        <v>11644</v>
      </c>
      <c r="C9480" t="s">
        <v>25559</v>
      </c>
      <c r="D9480" t="s">
        <v>36220</v>
      </c>
      <c r="E9480" t="b">
        <v>0</v>
      </c>
      <c r="F9480" t="s">
        <v>11610</v>
      </c>
      <c r="L9480">
        <v>0</v>
      </c>
      <c r="M9480">
        <v>0</v>
      </c>
      <c r="N9480">
        <v>0</v>
      </c>
    </row>
    <row r="9481" spans="1:15">
      <c r="A9481" t="s">
        <v>36221</v>
      </c>
      <c r="B9481" t="s">
        <v>4236</v>
      </c>
      <c r="C9481" t="s">
        <v>25200</v>
      </c>
      <c r="D9481" t="s">
        <v>36222</v>
      </c>
      <c r="E9481" t="b">
        <v>0</v>
      </c>
      <c r="F9481" t="s">
        <v>11610</v>
      </c>
      <c r="L9481">
        <v>0</v>
      </c>
      <c r="M9481">
        <v>0</v>
      </c>
      <c r="N9481">
        <v>0</v>
      </c>
    </row>
    <row r="9482" spans="1:15">
      <c r="A9482" t="s">
        <v>36223</v>
      </c>
      <c r="B9482" t="s">
        <v>11637</v>
      </c>
      <c r="C9482" t="s">
        <v>33955</v>
      </c>
      <c r="D9482" t="s">
        <v>36224</v>
      </c>
      <c r="E9482" t="b">
        <v>0</v>
      </c>
      <c r="F9482" t="s">
        <v>11624</v>
      </c>
      <c r="G9482">
        <v>30.479900000000001</v>
      </c>
      <c r="H9482">
        <v>70.282799999999995</v>
      </c>
      <c r="I9482" t="s">
        <v>36225</v>
      </c>
      <c r="L9482">
        <v>0</v>
      </c>
      <c r="M9482">
        <v>0</v>
      </c>
      <c r="N9482">
        <v>0</v>
      </c>
      <c r="O9482" t="s">
        <v>12172</v>
      </c>
    </row>
    <row r="9483" spans="1:15">
      <c r="A9483" t="s">
        <v>36226</v>
      </c>
      <c r="B9483" t="s">
        <v>11644</v>
      </c>
      <c r="C9483" t="s">
        <v>13784</v>
      </c>
      <c r="D9483" t="s">
        <v>36227</v>
      </c>
      <c r="E9483" t="b">
        <v>0</v>
      </c>
      <c r="F9483" t="s">
        <v>11624</v>
      </c>
      <c r="G9483">
        <v>25.707799999999999</v>
      </c>
      <c r="H9483">
        <v>94.311400000000006</v>
      </c>
      <c r="I9483" t="s">
        <v>36228</v>
      </c>
      <c r="L9483">
        <v>0</v>
      </c>
      <c r="M9483">
        <v>0</v>
      </c>
      <c r="N9483">
        <v>0</v>
      </c>
      <c r="O9483" t="s">
        <v>11630</v>
      </c>
    </row>
    <row r="9484" spans="1:15">
      <c r="A9484" t="s">
        <v>36229</v>
      </c>
      <c r="B9484" t="s">
        <v>11644</v>
      </c>
      <c r="C9484" t="s">
        <v>22260</v>
      </c>
      <c r="D9484" t="s">
        <v>36230</v>
      </c>
      <c r="E9484" t="b">
        <v>0</v>
      </c>
      <c r="F9484" t="s">
        <v>11622</v>
      </c>
      <c r="L9484">
        <v>1</v>
      </c>
      <c r="M9484">
        <v>3</v>
      </c>
      <c r="N9484">
        <v>0</v>
      </c>
    </row>
    <row r="9485" spans="1:15">
      <c r="A9485" t="s">
        <v>36231</v>
      </c>
      <c r="B9485" t="s">
        <v>11644</v>
      </c>
      <c r="C9485" t="s">
        <v>36229</v>
      </c>
      <c r="D9485" t="s">
        <v>36232</v>
      </c>
      <c r="E9485" t="b">
        <v>0</v>
      </c>
      <c r="F9485" t="s">
        <v>11624</v>
      </c>
      <c r="G9485">
        <v>26.200759999999999</v>
      </c>
      <c r="H9485">
        <v>95.016799000000006</v>
      </c>
      <c r="I9485" t="s">
        <v>36233</v>
      </c>
      <c r="L9485">
        <v>0</v>
      </c>
      <c r="M9485">
        <v>0</v>
      </c>
      <c r="N9485">
        <v>0</v>
      </c>
      <c r="O9485" t="s">
        <v>13598</v>
      </c>
    </row>
    <row r="9486" spans="1:15">
      <c r="A9486" t="s">
        <v>36234</v>
      </c>
      <c r="B9486" t="s">
        <v>11627</v>
      </c>
      <c r="C9486" t="s">
        <v>11627</v>
      </c>
      <c r="D9486" t="s">
        <v>36235</v>
      </c>
      <c r="E9486" t="b">
        <v>1</v>
      </c>
      <c r="F9486" t="s">
        <v>11624</v>
      </c>
      <c r="I9486" t="s">
        <v>36236</v>
      </c>
      <c r="L9486">
        <v>0</v>
      </c>
      <c r="M9486">
        <v>0</v>
      </c>
      <c r="N9486">
        <v>0</v>
      </c>
    </row>
    <row r="9487" spans="1:15">
      <c r="A9487" t="s">
        <v>36237</v>
      </c>
      <c r="B9487" t="s">
        <v>11644</v>
      </c>
      <c r="C9487" t="s">
        <v>34620</v>
      </c>
      <c r="D9487" t="s">
        <v>36238</v>
      </c>
      <c r="E9487" t="b">
        <v>0</v>
      </c>
      <c r="F9487" t="s">
        <v>11610</v>
      </c>
      <c r="L9487">
        <v>0</v>
      </c>
      <c r="M9487">
        <v>0</v>
      </c>
      <c r="N9487">
        <v>0</v>
      </c>
    </row>
    <row r="9488" spans="1:15">
      <c r="A9488" t="s">
        <v>36239</v>
      </c>
      <c r="B9488" t="s">
        <v>12311</v>
      </c>
      <c r="C9488" t="s">
        <v>15242</v>
      </c>
      <c r="D9488" t="s">
        <v>36240</v>
      </c>
      <c r="E9488" t="b">
        <v>0</v>
      </c>
      <c r="F9488" t="s">
        <v>11624</v>
      </c>
      <c r="G9488">
        <v>41.180100000000003</v>
      </c>
      <c r="H9488">
        <v>48.057099999999998</v>
      </c>
      <c r="I9488" t="s">
        <v>36241</v>
      </c>
      <c r="L9488">
        <v>0</v>
      </c>
      <c r="M9488">
        <v>0</v>
      </c>
      <c r="N9488">
        <v>0</v>
      </c>
      <c r="O9488" t="s">
        <v>12049</v>
      </c>
    </row>
    <row r="9489" spans="1:15">
      <c r="A9489" t="s">
        <v>36242</v>
      </c>
      <c r="B9489" t="s">
        <v>11844</v>
      </c>
      <c r="C9489" t="s">
        <v>36243</v>
      </c>
      <c r="D9489" t="s">
        <v>36244</v>
      </c>
      <c r="E9489" t="b">
        <v>0</v>
      </c>
      <c r="F9489" t="s">
        <v>11624</v>
      </c>
      <c r="G9489">
        <v>23.706199999999999</v>
      </c>
      <c r="H9489">
        <v>82.961500000000001</v>
      </c>
      <c r="I9489" t="s">
        <v>36245</v>
      </c>
      <c r="L9489">
        <v>0</v>
      </c>
      <c r="M9489">
        <v>0</v>
      </c>
      <c r="N9489">
        <v>0</v>
      </c>
      <c r="O9489" t="s">
        <v>11630</v>
      </c>
    </row>
    <row r="9490" spans="1:15">
      <c r="A9490" t="s">
        <v>36246</v>
      </c>
      <c r="B9490" t="s">
        <v>6742</v>
      </c>
      <c r="C9490" t="s">
        <v>25103</v>
      </c>
      <c r="D9490" t="s">
        <v>36247</v>
      </c>
      <c r="E9490" t="b">
        <v>0</v>
      </c>
      <c r="F9490" t="s">
        <v>11624</v>
      </c>
      <c r="G9490">
        <v>9.7209900000000005</v>
      </c>
      <c r="H9490">
        <v>-4.0541600000000004</v>
      </c>
      <c r="I9490" t="s">
        <v>36248</v>
      </c>
      <c r="L9490">
        <v>0</v>
      </c>
      <c r="M9490">
        <v>0</v>
      </c>
      <c r="N9490">
        <v>0</v>
      </c>
      <c r="O9490" t="s">
        <v>22064</v>
      </c>
    </row>
    <row r="9491" spans="1:15">
      <c r="A9491" t="s">
        <v>36249</v>
      </c>
      <c r="B9491" t="s">
        <v>12959</v>
      </c>
      <c r="C9491" t="s">
        <v>12960</v>
      </c>
      <c r="D9491" t="s">
        <v>36250</v>
      </c>
      <c r="E9491" t="b">
        <v>0</v>
      </c>
      <c r="F9491" t="s">
        <v>11610</v>
      </c>
      <c r="L9491">
        <v>0</v>
      </c>
      <c r="M9491">
        <v>0</v>
      </c>
      <c r="N9491">
        <v>0</v>
      </c>
    </row>
    <row r="9492" spans="1:15">
      <c r="A9492" t="s">
        <v>36251</v>
      </c>
      <c r="B9492" t="s">
        <v>11627</v>
      </c>
      <c r="C9492" t="s">
        <v>11627</v>
      </c>
      <c r="D9492" t="s">
        <v>36252</v>
      </c>
      <c r="E9492" t="b">
        <v>1</v>
      </c>
      <c r="F9492" t="s">
        <v>11624</v>
      </c>
      <c r="G9492">
        <v>15.641500000000001</v>
      </c>
      <c r="H9492">
        <v>106.60599999999999</v>
      </c>
      <c r="I9492" t="s">
        <v>36253</v>
      </c>
      <c r="L9492">
        <v>0</v>
      </c>
      <c r="M9492">
        <v>0</v>
      </c>
      <c r="N9492">
        <v>0</v>
      </c>
      <c r="O9492" t="s">
        <v>12921</v>
      </c>
    </row>
    <row r="9493" spans="1:15">
      <c r="A9493" t="s">
        <v>36254</v>
      </c>
      <c r="B9493" t="s">
        <v>11644</v>
      </c>
      <c r="C9493" t="s">
        <v>31247</v>
      </c>
      <c r="D9493" t="s">
        <v>36255</v>
      </c>
      <c r="E9493" t="b">
        <v>0</v>
      </c>
      <c r="F9493" t="s">
        <v>11622</v>
      </c>
      <c r="L9493">
        <v>0</v>
      </c>
      <c r="M9493">
        <v>2</v>
      </c>
      <c r="N9493">
        <v>0</v>
      </c>
    </row>
    <row r="9494" spans="1:15">
      <c r="A9494" t="s">
        <v>36256</v>
      </c>
      <c r="B9494" t="s">
        <v>11644</v>
      </c>
      <c r="C9494" t="s">
        <v>36254</v>
      </c>
      <c r="D9494" t="s">
        <v>36257</v>
      </c>
      <c r="E9494" t="b">
        <v>0</v>
      </c>
      <c r="F9494" t="s">
        <v>11624</v>
      </c>
      <c r="G9494">
        <v>23.1</v>
      </c>
      <c r="H9494">
        <v>104.45</v>
      </c>
      <c r="I9494" t="s">
        <v>36258</v>
      </c>
      <c r="L9494">
        <v>0</v>
      </c>
      <c r="M9494">
        <v>0</v>
      </c>
      <c r="N9494">
        <v>0</v>
      </c>
      <c r="O9494" t="s">
        <v>11905</v>
      </c>
    </row>
    <row r="9495" spans="1:15">
      <c r="A9495" t="s">
        <v>4774</v>
      </c>
      <c r="B9495" t="s">
        <v>12438</v>
      </c>
      <c r="C9495" t="s">
        <v>12438</v>
      </c>
      <c r="D9495" t="s">
        <v>36259</v>
      </c>
      <c r="E9495" t="b">
        <v>0</v>
      </c>
      <c r="F9495" t="s">
        <v>11622</v>
      </c>
      <c r="L9495">
        <v>0</v>
      </c>
      <c r="M9495">
        <v>3</v>
      </c>
      <c r="N9495">
        <v>5</v>
      </c>
    </row>
    <row r="9496" spans="1:15">
      <c r="A9496" t="s">
        <v>36260</v>
      </c>
      <c r="B9496" t="s">
        <v>12438</v>
      </c>
      <c r="C9496" t="s">
        <v>12438</v>
      </c>
      <c r="D9496" t="s">
        <v>36261</v>
      </c>
      <c r="E9496" t="b">
        <v>0</v>
      </c>
      <c r="F9496" t="s">
        <v>11622</v>
      </c>
      <c r="L9496">
        <v>4</v>
      </c>
      <c r="M9496">
        <v>9</v>
      </c>
      <c r="N9496">
        <v>8</v>
      </c>
    </row>
    <row r="9497" spans="1:15">
      <c r="A9497" t="s">
        <v>36262</v>
      </c>
      <c r="B9497" t="s">
        <v>12438</v>
      </c>
      <c r="C9497" t="s">
        <v>36260</v>
      </c>
      <c r="D9497" t="s">
        <v>36263</v>
      </c>
      <c r="E9497" t="b">
        <v>0</v>
      </c>
      <c r="F9497" t="s">
        <v>11622</v>
      </c>
      <c r="L9497">
        <v>0</v>
      </c>
      <c r="M9497">
        <v>2</v>
      </c>
      <c r="N9497">
        <v>8</v>
      </c>
    </row>
    <row r="9498" spans="1:15">
      <c r="A9498" t="s">
        <v>30841</v>
      </c>
      <c r="B9498" t="s">
        <v>12438</v>
      </c>
      <c r="C9498" t="s">
        <v>36262</v>
      </c>
      <c r="D9498" t="s">
        <v>36264</v>
      </c>
      <c r="E9498" t="b">
        <v>0</v>
      </c>
      <c r="F9498" t="s">
        <v>11624</v>
      </c>
      <c r="G9498">
        <v>20.246300000000002</v>
      </c>
      <c r="H9498">
        <v>101.67100000000001</v>
      </c>
      <c r="I9498" t="s">
        <v>36265</v>
      </c>
      <c r="L9498">
        <v>0</v>
      </c>
      <c r="M9498">
        <v>0</v>
      </c>
      <c r="N9498">
        <v>8</v>
      </c>
      <c r="O9498" t="s">
        <v>12731</v>
      </c>
    </row>
    <row r="9499" spans="1:15">
      <c r="A9499" t="s">
        <v>36266</v>
      </c>
      <c r="B9499" t="s">
        <v>11794</v>
      </c>
      <c r="C9499" t="s">
        <v>12174</v>
      </c>
      <c r="D9499" t="s">
        <v>36267</v>
      </c>
      <c r="E9499" t="b">
        <v>0</v>
      </c>
      <c r="F9499" t="s">
        <v>11610</v>
      </c>
      <c r="L9499">
        <v>0</v>
      </c>
      <c r="M9499">
        <v>0</v>
      </c>
      <c r="N9499">
        <v>0</v>
      </c>
    </row>
    <row r="9500" spans="1:15">
      <c r="A9500" t="s">
        <v>34607</v>
      </c>
      <c r="B9500" t="s">
        <v>11644</v>
      </c>
      <c r="C9500" t="s">
        <v>11644</v>
      </c>
      <c r="D9500" t="s">
        <v>36268</v>
      </c>
      <c r="E9500" t="b">
        <v>0</v>
      </c>
      <c r="F9500" t="s">
        <v>11622</v>
      </c>
      <c r="L9500">
        <v>5</v>
      </c>
      <c r="M9500">
        <v>7</v>
      </c>
      <c r="N9500">
        <v>20</v>
      </c>
    </row>
    <row r="9501" spans="1:15">
      <c r="A9501" t="s">
        <v>36269</v>
      </c>
      <c r="B9501" t="s">
        <v>12311</v>
      </c>
      <c r="C9501" t="s">
        <v>18231</v>
      </c>
      <c r="D9501" t="s">
        <v>36270</v>
      </c>
      <c r="E9501" t="b">
        <v>0</v>
      </c>
      <c r="F9501" t="s">
        <v>11610</v>
      </c>
      <c r="L9501">
        <v>0</v>
      </c>
      <c r="M9501">
        <v>0</v>
      </c>
      <c r="N9501">
        <v>0</v>
      </c>
    </row>
    <row r="9502" spans="1:15">
      <c r="A9502" t="s">
        <v>4236</v>
      </c>
      <c r="D9502" t="s">
        <v>36271</v>
      </c>
      <c r="E9502" t="b">
        <v>0</v>
      </c>
      <c r="F9502" t="s">
        <v>11622</v>
      </c>
      <c r="L9502">
        <v>11</v>
      </c>
      <c r="M9502">
        <v>14</v>
      </c>
      <c r="N9502">
        <v>34</v>
      </c>
    </row>
    <row r="9503" spans="1:15">
      <c r="A9503" t="s">
        <v>4237</v>
      </c>
      <c r="B9503" t="s">
        <v>4236</v>
      </c>
      <c r="C9503" t="s">
        <v>4236</v>
      </c>
      <c r="D9503" t="s">
        <v>36272</v>
      </c>
      <c r="E9503" t="b">
        <v>0</v>
      </c>
      <c r="F9503" t="s">
        <v>11622</v>
      </c>
      <c r="L9503">
        <v>10</v>
      </c>
      <c r="M9503">
        <v>13</v>
      </c>
      <c r="N9503">
        <v>33</v>
      </c>
    </row>
    <row r="9504" spans="1:15">
      <c r="A9504" t="s">
        <v>6212</v>
      </c>
      <c r="B9504" t="s">
        <v>4236</v>
      </c>
      <c r="C9504" t="s">
        <v>4237</v>
      </c>
      <c r="D9504" t="s">
        <v>36273</v>
      </c>
      <c r="E9504" t="b">
        <v>0</v>
      </c>
      <c r="F9504" t="s">
        <v>11622</v>
      </c>
      <c r="L9504">
        <v>2</v>
      </c>
      <c r="M9504">
        <v>4</v>
      </c>
      <c r="N9504">
        <v>9</v>
      </c>
    </row>
    <row r="9505" spans="1:15">
      <c r="A9505" t="s">
        <v>36274</v>
      </c>
      <c r="B9505" t="s">
        <v>11637</v>
      </c>
      <c r="C9505" t="s">
        <v>7044</v>
      </c>
      <c r="D9505" t="s">
        <v>36275</v>
      </c>
      <c r="E9505" t="b">
        <v>0</v>
      </c>
      <c r="F9505" t="s">
        <v>11610</v>
      </c>
      <c r="L9505">
        <v>0</v>
      </c>
      <c r="M9505">
        <v>0</v>
      </c>
      <c r="N9505">
        <v>0</v>
      </c>
    </row>
    <row r="9506" spans="1:15">
      <c r="A9506" t="s">
        <v>36276</v>
      </c>
      <c r="B9506" t="s">
        <v>11637</v>
      </c>
      <c r="C9506" t="s">
        <v>21852</v>
      </c>
      <c r="D9506" t="s">
        <v>36277</v>
      </c>
      <c r="E9506" t="b">
        <v>0</v>
      </c>
      <c r="F9506" t="s">
        <v>11624</v>
      </c>
      <c r="G9506">
        <v>36.899700000000003</v>
      </c>
      <c r="H9506">
        <v>48.621200000000002</v>
      </c>
      <c r="I9506" t="s">
        <v>36278</v>
      </c>
      <c r="L9506">
        <v>0</v>
      </c>
      <c r="M9506">
        <v>0</v>
      </c>
      <c r="N9506">
        <v>0</v>
      </c>
      <c r="O9506" t="s">
        <v>13225</v>
      </c>
    </row>
    <row r="9507" spans="1:15">
      <c r="A9507" t="s">
        <v>36279</v>
      </c>
      <c r="B9507" t="s">
        <v>11644</v>
      </c>
      <c r="C9507" t="s">
        <v>36280</v>
      </c>
      <c r="D9507" t="s">
        <v>36281</v>
      </c>
      <c r="E9507" t="b">
        <v>0</v>
      </c>
      <c r="F9507" t="s">
        <v>11624</v>
      </c>
      <c r="G9507">
        <v>24.2041</v>
      </c>
      <c r="H9507">
        <v>94.134500000000003</v>
      </c>
      <c r="I9507" t="s">
        <v>36282</v>
      </c>
      <c r="L9507">
        <v>0</v>
      </c>
      <c r="M9507">
        <v>0</v>
      </c>
      <c r="N9507">
        <v>0</v>
      </c>
      <c r="O9507" t="s">
        <v>11630</v>
      </c>
    </row>
    <row r="9508" spans="1:15">
      <c r="A9508" t="s">
        <v>36283</v>
      </c>
      <c r="B9508" t="s">
        <v>11644</v>
      </c>
      <c r="C9508" t="s">
        <v>33421</v>
      </c>
      <c r="D9508" t="s">
        <v>36284</v>
      </c>
      <c r="E9508" t="b">
        <v>0</v>
      </c>
      <c r="F9508" t="s">
        <v>11610</v>
      </c>
      <c r="L9508">
        <v>0</v>
      </c>
      <c r="M9508">
        <v>0</v>
      </c>
      <c r="N9508">
        <v>0</v>
      </c>
    </row>
    <row r="9509" spans="1:15">
      <c r="A9509" t="s">
        <v>36285</v>
      </c>
      <c r="B9509" t="s">
        <v>11644</v>
      </c>
      <c r="C9509" t="s">
        <v>33421</v>
      </c>
      <c r="D9509" t="s">
        <v>36286</v>
      </c>
      <c r="E9509" t="b">
        <v>0</v>
      </c>
      <c r="F9509" t="s">
        <v>11610</v>
      </c>
      <c r="L9509">
        <v>0</v>
      </c>
      <c r="M9509">
        <v>0</v>
      </c>
      <c r="N9509">
        <v>0</v>
      </c>
    </row>
    <row r="9510" spans="1:15">
      <c r="A9510" t="s">
        <v>36287</v>
      </c>
      <c r="B9510" t="s">
        <v>11644</v>
      </c>
      <c r="C9510" t="s">
        <v>36288</v>
      </c>
      <c r="D9510" t="s">
        <v>36289</v>
      </c>
      <c r="E9510" t="b">
        <v>0</v>
      </c>
      <c r="F9510" t="s">
        <v>11610</v>
      </c>
      <c r="L9510">
        <v>0</v>
      </c>
      <c r="M9510">
        <v>0</v>
      </c>
      <c r="N9510">
        <v>0</v>
      </c>
    </row>
    <row r="9511" spans="1:15">
      <c r="A9511" t="s">
        <v>36290</v>
      </c>
      <c r="B9511" t="s">
        <v>6742</v>
      </c>
      <c r="C9511" t="s">
        <v>16789</v>
      </c>
      <c r="D9511" t="s">
        <v>36291</v>
      </c>
      <c r="E9511" t="b">
        <v>0</v>
      </c>
      <c r="F9511" t="s">
        <v>11610</v>
      </c>
      <c r="L9511">
        <v>0</v>
      </c>
      <c r="M9511">
        <v>0</v>
      </c>
      <c r="N9511">
        <v>0</v>
      </c>
    </row>
    <row r="9512" spans="1:15">
      <c r="A9512" t="s">
        <v>36292</v>
      </c>
      <c r="B9512" t="s">
        <v>11607</v>
      </c>
      <c r="C9512" t="s">
        <v>20476</v>
      </c>
      <c r="D9512" t="s">
        <v>36293</v>
      </c>
      <c r="E9512" t="b">
        <v>0</v>
      </c>
      <c r="F9512" t="s">
        <v>11624</v>
      </c>
      <c r="G9512">
        <v>9.3364499999999992</v>
      </c>
      <c r="H9512">
        <v>10.9671</v>
      </c>
      <c r="I9512" t="s">
        <v>36294</v>
      </c>
      <c r="L9512">
        <v>0</v>
      </c>
      <c r="M9512">
        <v>0</v>
      </c>
      <c r="N9512">
        <v>1</v>
      </c>
      <c r="O9512" t="s">
        <v>11693</v>
      </c>
    </row>
    <row r="9513" spans="1:15">
      <c r="A9513" t="s">
        <v>36295</v>
      </c>
      <c r="B9513" t="s">
        <v>11637</v>
      </c>
      <c r="C9513" t="s">
        <v>36296</v>
      </c>
      <c r="D9513" t="s">
        <v>36297</v>
      </c>
      <c r="E9513" t="b">
        <v>0</v>
      </c>
      <c r="F9513" t="s">
        <v>11624</v>
      </c>
      <c r="G9513">
        <v>27.119682000000001</v>
      </c>
      <c r="H9513">
        <v>54.295807000000003</v>
      </c>
      <c r="L9513">
        <v>0</v>
      </c>
      <c r="M9513">
        <v>0</v>
      </c>
      <c r="N9513">
        <v>0</v>
      </c>
      <c r="O9513" t="s">
        <v>13225</v>
      </c>
    </row>
    <row r="9514" spans="1:15">
      <c r="A9514" t="s">
        <v>36298</v>
      </c>
      <c r="B9514" t="s">
        <v>11644</v>
      </c>
      <c r="C9514" t="s">
        <v>25730</v>
      </c>
      <c r="D9514" t="s">
        <v>36299</v>
      </c>
      <c r="E9514" t="b">
        <v>0</v>
      </c>
      <c r="F9514" t="s">
        <v>11610</v>
      </c>
      <c r="L9514">
        <v>0</v>
      </c>
      <c r="M9514">
        <v>0</v>
      </c>
      <c r="N9514">
        <v>0</v>
      </c>
    </row>
    <row r="9515" spans="1:15">
      <c r="A9515" t="s">
        <v>26615</v>
      </c>
      <c r="B9515" t="s">
        <v>11644</v>
      </c>
      <c r="C9515" t="s">
        <v>36300</v>
      </c>
      <c r="D9515" t="s">
        <v>36301</v>
      </c>
      <c r="E9515" t="b">
        <v>0</v>
      </c>
      <c r="F9515" t="s">
        <v>11622</v>
      </c>
      <c r="L9515">
        <v>0</v>
      </c>
      <c r="M9515">
        <v>4</v>
      </c>
      <c r="N9515">
        <v>9</v>
      </c>
    </row>
    <row r="9516" spans="1:15">
      <c r="A9516" t="s">
        <v>36302</v>
      </c>
      <c r="B9516" t="s">
        <v>11644</v>
      </c>
      <c r="C9516" t="s">
        <v>16039</v>
      </c>
      <c r="D9516" t="s">
        <v>36303</v>
      </c>
      <c r="E9516" t="b">
        <v>0</v>
      </c>
      <c r="F9516" t="s">
        <v>11610</v>
      </c>
      <c r="L9516">
        <v>0</v>
      </c>
      <c r="M9516">
        <v>0</v>
      </c>
      <c r="N9516">
        <v>0</v>
      </c>
    </row>
    <row r="9517" spans="1:15">
      <c r="A9517" t="s">
        <v>36304</v>
      </c>
      <c r="B9517" t="s">
        <v>11637</v>
      </c>
      <c r="C9517" t="s">
        <v>17320</v>
      </c>
      <c r="D9517" t="s">
        <v>36305</v>
      </c>
      <c r="E9517" t="b">
        <v>0</v>
      </c>
      <c r="F9517" t="s">
        <v>11610</v>
      </c>
      <c r="L9517">
        <v>0</v>
      </c>
      <c r="M9517">
        <v>0</v>
      </c>
      <c r="N9517">
        <v>0</v>
      </c>
    </row>
    <row r="9518" spans="1:15">
      <c r="A9518" t="s">
        <v>36306</v>
      </c>
      <c r="B9518" t="s">
        <v>11844</v>
      </c>
      <c r="C9518" t="s">
        <v>30125</v>
      </c>
      <c r="D9518" t="s">
        <v>36307</v>
      </c>
      <c r="E9518" t="b">
        <v>0</v>
      </c>
      <c r="F9518" t="s">
        <v>11610</v>
      </c>
      <c r="L9518">
        <v>0</v>
      </c>
      <c r="M9518">
        <v>0</v>
      </c>
      <c r="N9518">
        <v>0</v>
      </c>
    </row>
    <row r="9519" spans="1:15">
      <c r="A9519" t="s">
        <v>36308</v>
      </c>
      <c r="B9519" t="s">
        <v>11644</v>
      </c>
      <c r="C9519" t="s">
        <v>1298</v>
      </c>
      <c r="D9519" t="s">
        <v>36309</v>
      </c>
      <c r="E9519" t="b">
        <v>0</v>
      </c>
      <c r="F9519" t="s">
        <v>11610</v>
      </c>
      <c r="L9519">
        <v>0</v>
      </c>
      <c r="M9519">
        <v>0</v>
      </c>
      <c r="N9519">
        <v>0</v>
      </c>
    </row>
    <row r="9520" spans="1:15">
      <c r="A9520" t="s">
        <v>36310</v>
      </c>
      <c r="B9520" t="s">
        <v>11644</v>
      </c>
      <c r="C9520" t="s">
        <v>33086</v>
      </c>
      <c r="D9520" t="s">
        <v>36311</v>
      </c>
      <c r="E9520" t="b">
        <v>0</v>
      </c>
      <c r="F9520" t="s">
        <v>11610</v>
      </c>
      <c r="L9520">
        <v>0</v>
      </c>
      <c r="M9520">
        <v>0</v>
      </c>
      <c r="N9520">
        <v>0</v>
      </c>
    </row>
    <row r="9521" spans="1:15">
      <c r="A9521" t="s">
        <v>36312</v>
      </c>
      <c r="B9521" t="s">
        <v>11637</v>
      </c>
      <c r="C9521" t="s">
        <v>12824</v>
      </c>
      <c r="D9521" t="s">
        <v>36313</v>
      </c>
      <c r="E9521" t="b">
        <v>0</v>
      </c>
      <c r="F9521" t="s">
        <v>11610</v>
      </c>
      <c r="L9521">
        <v>0</v>
      </c>
      <c r="M9521">
        <v>0</v>
      </c>
      <c r="N9521">
        <v>0</v>
      </c>
    </row>
    <row r="9522" spans="1:15">
      <c r="A9522" t="s">
        <v>36314</v>
      </c>
      <c r="B9522" t="s">
        <v>11637</v>
      </c>
      <c r="C9522" t="s">
        <v>13722</v>
      </c>
      <c r="D9522" t="s">
        <v>36315</v>
      </c>
      <c r="E9522" t="b">
        <v>0</v>
      </c>
      <c r="F9522" t="s">
        <v>11610</v>
      </c>
      <c r="L9522">
        <v>0</v>
      </c>
      <c r="M9522">
        <v>0</v>
      </c>
      <c r="N9522">
        <v>0</v>
      </c>
    </row>
    <row r="9523" spans="1:15">
      <c r="A9523" t="s">
        <v>36316</v>
      </c>
      <c r="B9523" t="s">
        <v>331</v>
      </c>
      <c r="C9523" t="s">
        <v>25913</v>
      </c>
      <c r="D9523" t="s">
        <v>36317</v>
      </c>
      <c r="E9523" t="b">
        <v>0</v>
      </c>
      <c r="F9523" t="s">
        <v>11624</v>
      </c>
      <c r="G9523">
        <v>36.443800000000003</v>
      </c>
      <c r="H9523">
        <v>60.027700000000003</v>
      </c>
      <c r="I9523" t="s">
        <v>36318</v>
      </c>
      <c r="L9523">
        <v>0</v>
      </c>
      <c r="M9523">
        <v>0</v>
      </c>
      <c r="N9523">
        <v>3</v>
      </c>
      <c r="O9523" t="s">
        <v>13225</v>
      </c>
    </row>
    <row r="9524" spans="1:15">
      <c r="A9524" t="s">
        <v>36319</v>
      </c>
      <c r="B9524" t="s">
        <v>12250</v>
      </c>
      <c r="C9524" t="s">
        <v>12251</v>
      </c>
      <c r="D9524" t="s">
        <v>36320</v>
      </c>
      <c r="E9524" t="b">
        <v>0</v>
      </c>
      <c r="F9524" t="s">
        <v>11610</v>
      </c>
      <c r="L9524">
        <v>0</v>
      </c>
      <c r="M9524">
        <v>0</v>
      </c>
      <c r="N9524">
        <v>0</v>
      </c>
    </row>
    <row r="9525" spans="1:15">
      <c r="A9525" t="s">
        <v>36321</v>
      </c>
      <c r="B9525" t="s">
        <v>5126</v>
      </c>
      <c r="C9525" t="s">
        <v>5127</v>
      </c>
      <c r="D9525" t="s">
        <v>36322</v>
      </c>
      <c r="E9525" t="b">
        <v>0</v>
      </c>
      <c r="F9525" t="s">
        <v>11610</v>
      </c>
      <c r="L9525">
        <v>0</v>
      </c>
      <c r="M9525">
        <v>0</v>
      </c>
      <c r="N9525">
        <v>0</v>
      </c>
    </row>
    <row r="9526" spans="1:15">
      <c r="A9526" t="s">
        <v>36323</v>
      </c>
      <c r="B9526" t="s">
        <v>12686</v>
      </c>
      <c r="C9526" t="s">
        <v>13964</v>
      </c>
      <c r="D9526" t="s">
        <v>36324</v>
      </c>
      <c r="E9526" t="b">
        <v>0</v>
      </c>
      <c r="F9526" t="s">
        <v>11610</v>
      </c>
      <c r="L9526">
        <v>0</v>
      </c>
      <c r="M9526">
        <v>0</v>
      </c>
      <c r="N9526">
        <v>0</v>
      </c>
    </row>
    <row r="9527" spans="1:15">
      <c r="A9527" t="s">
        <v>36325</v>
      </c>
      <c r="B9527" t="s">
        <v>11607</v>
      </c>
      <c r="C9527" t="s">
        <v>12197</v>
      </c>
      <c r="D9527" t="s">
        <v>36326</v>
      </c>
      <c r="E9527" t="b">
        <v>0</v>
      </c>
      <c r="F9527" t="s">
        <v>11624</v>
      </c>
      <c r="L9527">
        <v>0</v>
      </c>
      <c r="M9527">
        <v>0</v>
      </c>
      <c r="N9527">
        <v>0</v>
      </c>
      <c r="O9527" t="s">
        <v>13225</v>
      </c>
    </row>
    <row r="9528" spans="1:15">
      <c r="A9528" t="s">
        <v>36327</v>
      </c>
      <c r="B9528" t="s">
        <v>12250</v>
      </c>
      <c r="C9528" t="s">
        <v>13157</v>
      </c>
      <c r="D9528" t="s">
        <v>36328</v>
      </c>
      <c r="E9528" t="b">
        <v>0</v>
      </c>
      <c r="F9528" t="s">
        <v>11610</v>
      </c>
      <c r="L9528">
        <v>0</v>
      </c>
      <c r="M9528">
        <v>0</v>
      </c>
      <c r="N9528">
        <v>0</v>
      </c>
    </row>
    <row r="9529" spans="1:15">
      <c r="A9529" t="s">
        <v>36329</v>
      </c>
      <c r="B9529" t="s">
        <v>11637</v>
      </c>
      <c r="C9529" t="s">
        <v>36330</v>
      </c>
      <c r="D9529" t="s">
        <v>36331</v>
      </c>
      <c r="E9529" t="b">
        <v>0</v>
      </c>
      <c r="F9529" t="s">
        <v>11624</v>
      </c>
      <c r="G9529">
        <v>38.33</v>
      </c>
      <c r="H9529">
        <v>79.040000000000006</v>
      </c>
      <c r="I9529" t="s">
        <v>36332</v>
      </c>
      <c r="L9529">
        <v>0</v>
      </c>
      <c r="M9529">
        <v>0</v>
      </c>
      <c r="N9529">
        <v>0</v>
      </c>
      <c r="O9529" t="s">
        <v>11905</v>
      </c>
    </row>
    <row r="9530" spans="1:15">
      <c r="A9530" t="s">
        <v>36333</v>
      </c>
      <c r="B9530" t="s">
        <v>331</v>
      </c>
      <c r="C9530" t="s">
        <v>5223</v>
      </c>
      <c r="D9530" t="s">
        <v>36334</v>
      </c>
      <c r="E9530" t="b">
        <v>0</v>
      </c>
      <c r="F9530" t="s">
        <v>11610</v>
      </c>
      <c r="L9530">
        <v>0</v>
      </c>
      <c r="M9530">
        <v>0</v>
      </c>
      <c r="N9530">
        <v>0</v>
      </c>
    </row>
    <row r="9531" spans="1:15">
      <c r="A9531" t="s">
        <v>36335</v>
      </c>
      <c r="B9531" t="s">
        <v>12250</v>
      </c>
      <c r="C9531" t="s">
        <v>24159</v>
      </c>
      <c r="D9531" t="s">
        <v>36336</v>
      </c>
      <c r="E9531" t="b">
        <v>0</v>
      </c>
      <c r="F9531" t="s">
        <v>11610</v>
      </c>
      <c r="L9531">
        <v>0</v>
      </c>
      <c r="M9531">
        <v>0</v>
      </c>
      <c r="N9531">
        <v>0</v>
      </c>
    </row>
    <row r="9532" spans="1:15">
      <c r="A9532" t="s">
        <v>36337</v>
      </c>
      <c r="B9532" t="s">
        <v>11644</v>
      </c>
      <c r="C9532" t="s">
        <v>18256</v>
      </c>
      <c r="D9532" t="s">
        <v>36338</v>
      </c>
      <c r="E9532" t="b">
        <v>0</v>
      </c>
      <c r="F9532" t="s">
        <v>11610</v>
      </c>
      <c r="L9532">
        <v>0</v>
      </c>
      <c r="M9532">
        <v>0</v>
      </c>
      <c r="N9532">
        <v>0</v>
      </c>
    </row>
    <row r="9533" spans="1:15">
      <c r="A9533" t="s">
        <v>36339</v>
      </c>
      <c r="B9533" t="s">
        <v>12250</v>
      </c>
      <c r="C9533" t="s">
        <v>13157</v>
      </c>
      <c r="D9533" t="s">
        <v>36340</v>
      </c>
      <c r="E9533" t="b">
        <v>0</v>
      </c>
      <c r="F9533" t="s">
        <v>11610</v>
      </c>
      <c r="L9533">
        <v>0</v>
      </c>
      <c r="M9533">
        <v>0</v>
      </c>
      <c r="N9533">
        <v>0</v>
      </c>
    </row>
    <row r="9534" spans="1:15">
      <c r="A9534" t="s">
        <v>7992</v>
      </c>
      <c r="B9534" t="s">
        <v>11637</v>
      </c>
      <c r="C9534" t="s">
        <v>22743</v>
      </c>
      <c r="D9534" t="s">
        <v>36341</v>
      </c>
      <c r="E9534" t="b">
        <v>0</v>
      </c>
      <c r="F9534" t="s">
        <v>11624</v>
      </c>
      <c r="G9534">
        <v>36</v>
      </c>
      <c r="H9534">
        <v>72</v>
      </c>
      <c r="I9534" t="s">
        <v>8006</v>
      </c>
      <c r="L9534">
        <v>0</v>
      </c>
      <c r="M9534">
        <v>0</v>
      </c>
      <c r="N9534">
        <v>4</v>
      </c>
      <c r="O9534" t="s">
        <v>15870</v>
      </c>
    </row>
    <row r="9535" spans="1:15">
      <c r="A9535" t="s">
        <v>36342</v>
      </c>
      <c r="B9535" t="s">
        <v>12250</v>
      </c>
      <c r="C9535" t="s">
        <v>13157</v>
      </c>
      <c r="D9535" t="s">
        <v>36343</v>
      </c>
      <c r="E9535" t="b">
        <v>0</v>
      </c>
      <c r="F9535" t="s">
        <v>11610</v>
      </c>
      <c r="L9535">
        <v>0</v>
      </c>
      <c r="M9535">
        <v>0</v>
      </c>
      <c r="N9535">
        <v>0</v>
      </c>
    </row>
    <row r="9536" spans="1:15">
      <c r="A9536" t="s">
        <v>36344</v>
      </c>
      <c r="B9536" t="s">
        <v>12438</v>
      </c>
      <c r="C9536" t="s">
        <v>30841</v>
      </c>
      <c r="D9536" t="s">
        <v>36345</v>
      </c>
      <c r="E9536" t="b">
        <v>0</v>
      </c>
      <c r="F9536" t="s">
        <v>11610</v>
      </c>
      <c r="L9536">
        <v>0</v>
      </c>
      <c r="M9536">
        <v>0</v>
      </c>
      <c r="N9536">
        <v>0</v>
      </c>
    </row>
    <row r="9537" spans="1:15">
      <c r="A9537" t="s">
        <v>36346</v>
      </c>
      <c r="B9537" t="s">
        <v>11627</v>
      </c>
      <c r="C9537" t="s">
        <v>11627</v>
      </c>
      <c r="D9537" t="s">
        <v>36347</v>
      </c>
      <c r="E9537" t="b">
        <v>1</v>
      </c>
      <c r="F9537" t="s">
        <v>11624</v>
      </c>
      <c r="G9537">
        <v>17.402000000000001</v>
      </c>
      <c r="H9537">
        <v>106.021</v>
      </c>
      <c r="I9537" t="s">
        <v>36348</v>
      </c>
      <c r="L9537">
        <v>0</v>
      </c>
      <c r="M9537">
        <v>0</v>
      </c>
      <c r="N9537">
        <v>0</v>
      </c>
      <c r="O9537" t="s">
        <v>14464</v>
      </c>
    </row>
    <row r="9538" spans="1:15">
      <c r="A9538" t="s">
        <v>36349</v>
      </c>
      <c r="B9538" t="s">
        <v>11627</v>
      </c>
      <c r="C9538" t="s">
        <v>11627</v>
      </c>
      <c r="D9538" t="s">
        <v>36350</v>
      </c>
      <c r="E9538" t="b">
        <v>1</v>
      </c>
      <c r="F9538" t="s">
        <v>11624</v>
      </c>
      <c r="L9538">
        <v>0</v>
      </c>
      <c r="M9538">
        <v>0</v>
      </c>
      <c r="N9538">
        <v>0</v>
      </c>
      <c r="O9538" t="s">
        <v>21031</v>
      </c>
    </row>
    <row r="9539" spans="1:15">
      <c r="A9539" t="s">
        <v>36351</v>
      </c>
      <c r="B9539" t="s">
        <v>12311</v>
      </c>
      <c r="C9539" t="s">
        <v>13578</v>
      </c>
      <c r="D9539" t="s">
        <v>36352</v>
      </c>
      <c r="E9539" t="b">
        <v>0</v>
      </c>
      <c r="F9539" t="s">
        <v>11610</v>
      </c>
      <c r="L9539">
        <v>0</v>
      </c>
      <c r="M9539">
        <v>0</v>
      </c>
      <c r="N9539">
        <v>0</v>
      </c>
    </row>
    <row r="9540" spans="1:15">
      <c r="A9540" t="s">
        <v>36353</v>
      </c>
      <c r="B9540" t="s">
        <v>12438</v>
      </c>
      <c r="C9540" t="s">
        <v>36262</v>
      </c>
      <c r="D9540" t="s">
        <v>36354</v>
      </c>
      <c r="E9540" t="b">
        <v>0</v>
      </c>
      <c r="F9540" t="s">
        <v>11624</v>
      </c>
      <c r="G9540">
        <v>21.0793</v>
      </c>
      <c r="H9540">
        <v>101.327</v>
      </c>
      <c r="I9540" t="s">
        <v>36355</v>
      </c>
      <c r="L9540">
        <v>0</v>
      </c>
      <c r="M9540">
        <v>0</v>
      </c>
      <c r="N9540">
        <v>0</v>
      </c>
      <c r="O9540" t="s">
        <v>18896</v>
      </c>
    </row>
    <row r="9541" spans="1:15">
      <c r="A9541" t="s">
        <v>36356</v>
      </c>
      <c r="B9541" t="s">
        <v>11637</v>
      </c>
      <c r="C9541" t="s">
        <v>36357</v>
      </c>
      <c r="D9541" t="s">
        <v>36358</v>
      </c>
      <c r="E9541" t="b">
        <v>0</v>
      </c>
      <c r="F9541" t="s">
        <v>11610</v>
      </c>
      <c r="L9541">
        <v>0</v>
      </c>
      <c r="M9541">
        <v>0</v>
      </c>
      <c r="N9541">
        <v>0</v>
      </c>
    </row>
    <row r="9542" spans="1:15">
      <c r="A9542" t="s">
        <v>36359</v>
      </c>
      <c r="B9542" t="s">
        <v>11644</v>
      </c>
      <c r="C9542" t="s">
        <v>36360</v>
      </c>
      <c r="D9542" t="s">
        <v>36361</v>
      </c>
      <c r="E9542" t="b">
        <v>0</v>
      </c>
      <c r="F9542" t="s">
        <v>11610</v>
      </c>
      <c r="L9542">
        <v>0</v>
      </c>
      <c r="M9542">
        <v>0</v>
      </c>
      <c r="N9542">
        <v>0</v>
      </c>
    </row>
    <row r="9543" spans="1:15">
      <c r="A9543" t="s">
        <v>34620</v>
      </c>
      <c r="B9543" t="s">
        <v>11644</v>
      </c>
      <c r="C9543" t="s">
        <v>26615</v>
      </c>
      <c r="D9543" t="s">
        <v>36362</v>
      </c>
      <c r="E9543" t="b">
        <v>0</v>
      </c>
      <c r="F9543" t="s">
        <v>11624</v>
      </c>
      <c r="G9543">
        <v>22.87125</v>
      </c>
      <c r="H9543">
        <v>92.989463333299994</v>
      </c>
      <c r="I9543" t="s">
        <v>36363</v>
      </c>
      <c r="L9543">
        <v>0</v>
      </c>
      <c r="M9543">
        <v>0</v>
      </c>
      <c r="N9543">
        <v>9</v>
      </c>
      <c r="O9543" t="s">
        <v>17541</v>
      </c>
    </row>
    <row r="9544" spans="1:15">
      <c r="A9544" t="s">
        <v>36364</v>
      </c>
      <c r="B9544" t="s">
        <v>11644</v>
      </c>
      <c r="C9544" t="s">
        <v>34620</v>
      </c>
      <c r="D9544" t="s">
        <v>36365</v>
      </c>
      <c r="E9544" t="b">
        <v>0</v>
      </c>
      <c r="F9544" t="s">
        <v>11610</v>
      </c>
      <c r="L9544">
        <v>0</v>
      </c>
      <c r="M9544">
        <v>0</v>
      </c>
      <c r="N9544">
        <v>0</v>
      </c>
    </row>
    <row r="9545" spans="1:15">
      <c r="A9545" t="s">
        <v>36366</v>
      </c>
      <c r="B9545" t="s">
        <v>11627</v>
      </c>
      <c r="C9545" t="s">
        <v>11627</v>
      </c>
      <c r="D9545" t="s">
        <v>36367</v>
      </c>
      <c r="E9545" t="b">
        <v>1</v>
      </c>
      <c r="F9545" t="s">
        <v>11624</v>
      </c>
      <c r="G9545">
        <v>20.522600000000001</v>
      </c>
      <c r="H9545">
        <v>93.365600000000001</v>
      </c>
      <c r="I9545" t="s">
        <v>36368</v>
      </c>
      <c r="L9545">
        <v>0</v>
      </c>
      <c r="M9545">
        <v>0</v>
      </c>
      <c r="N9545">
        <v>0</v>
      </c>
      <c r="O9545" t="s">
        <v>14059</v>
      </c>
    </row>
    <row r="9546" spans="1:15">
      <c r="A9546" t="s">
        <v>36369</v>
      </c>
      <c r="B9546" t="s">
        <v>11637</v>
      </c>
      <c r="C9546" t="s">
        <v>21850</v>
      </c>
      <c r="D9546" t="s">
        <v>36370</v>
      </c>
      <c r="E9546" t="b">
        <v>0</v>
      </c>
      <c r="F9546" t="s">
        <v>11624</v>
      </c>
      <c r="G9546">
        <v>36.696300000000001</v>
      </c>
      <c r="H9546">
        <v>49.374200000000002</v>
      </c>
      <c r="I9546" t="s">
        <v>36371</v>
      </c>
      <c r="L9546">
        <v>0</v>
      </c>
      <c r="M9546">
        <v>0</v>
      </c>
      <c r="N9546">
        <v>0</v>
      </c>
      <c r="O9546" t="s">
        <v>13225</v>
      </c>
    </row>
    <row r="9547" spans="1:15">
      <c r="A9547" t="s">
        <v>36372</v>
      </c>
      <c r="B9547" t="s">
        <v>11637</v>
      </c>
      <c r="C9547" t="s">
        <v>16373</v>
      </c>
      <c r="D9547" t="s">
        <v>36373</v>
      </c>
      <c r="E9547" t="b">
        <v>0</v>
      </c>
      <c r="F9547" t="s">
        <v>11610</v>
      </c>
      <c r="L9547">
        <v>0</v>
      </c>
      <c r="M9547">
        <v>0</v>
      </c>
      <c r="N9547">
        <v>0</v>
      </c>
    </row>
    <row r="9548" spans="1:15">
      <c r="A9548" t="s">
        <v>36374</v>
      </c>
      <c r="B9548" t="s">
        <v>11644</v>
      </c>
      <c r="C9548" t="s">
        <v>34620</v>
      </c>
      <c r="D9548" t="s">
        <v>36375</v>
      </c>
      <c r="E9548" t="b">
        <v>0</v>
      </c>
      <c r="F9548" t="s">
        <v>11610</v>
      </c>
      <c r="L9548">
        <v>0</v>
      </c>
      <c r="M9548">
        <v>0</v>
      </c>
      <c r="N9548">
        <v>0</v>
      </c>
    </row>
    <row r="9549" spans="1:15">
      <c r="A9549" t="s">
        <v>36376</v>
      </c>
      <c r="B9549" t="s">
        <v>5126</v>
      </c>
      <c r="C9549" t="s">
        <v>36377</v>
      </c>
      <c r="D9549" t="s">
        <v>36378</v>
      </c>
      <c r="E9549" t="b">
        <v>0</v>
      </c>
      <c r="F9549" t="s">
        <v>11624</v>
      </c>
      <c r="G9549">
        <v>19.606200000000001</v>
      </c>
      <c r="H9549">
        <v>99.336299999999994</v>
      </c>
      <c r="I9549" t="s">
        <v>36379</v>
      </c>
      <c r="L9549">
        <v>0</v>
      </c>
      <c r="M9549">
        <v>0</v>
      </c>
      <c r="N9549">
        <v>0</v>
      </c>
      <c r="O9549" t="s">
        <v>36380</v>
      </c>
    </row>
    <row r="9550" spans="1:15">
      <c r="A9550" t="s">
        <v>36381</v>
      </c>
      <c r="B9550" t="s">
        <v>12686</v>
      </c>
      <c r="C9550" t="s">
        <v>13964</v>
      </c>
      <c r="D9550" t="s">
        <v>36382</v>
      </c>
      <c r="E9550" t="b">
        <v>0</v>
      </c>
      <c r="F9550" t="s">
        <v>11610</v>
      </c>
      <c r="L9550">
        <v>0</v>
      </c>
      <c r="M9550">
        <v>0</v>
      </c>
      <c r="N9550">
        <v>0</v>
      </c>
    </row>
    <row r="9551" spans="1:15">
      <c r="A9551" t="s">
        <v>36383</v>
      </c>
      <c r="B9551" t="s">
        <v>11637</v>
      </c>
      <c r="C9551" t="s">
        <v>13617</v>
      </c>
      <c r="D9551" t="s">
        <v>36384</v>
      </c>
      <c r="E9551" t="b">
        <v>0</v>
      </c>
      <c r="F9551" t="s">
        <v>11610</v>
      </c>
      <c r="L9551">
        <v>0</v>
      </c>
      <c r="M9551">
        <v>0</v>
      </c>
      <c r="N9551">
        <v>0</v>
      </c>
    </row>
    <row r="9552" spans="1:15">
      <c r="A9552" t="s">
        <v>36385</v>
      </c>
      <c r="B9552" t="s">
        <v>6742</v>
      </c>
      <c r="C9552" t="s">
        <v>4118</v>
      </c>
      <c r="D9552" t="s">
        <v>36386</v>
      </c>
      <c r="E9552" t="b">
        <v>0</v>
      </c>
      <c r="F9552" t="s">
        <v>11610</v>
      </c>
      <c r="L9552">
        <v>0</v>
      </c>
      <c r="M9552">
        <v>0</v>
      </c>
      <c r="N9552">
        <v>0</v>
      </c>
    </row>
    <row r="9553" spans="1:15">
      <c r="A9553" t="s">
        <v>36387</v>
      </c>
      <c r="B9553" t="s">
        <v>4236</v>
      </c>
      <c r="C9553" t="s">
        <v>30416</v>
      </c>
      <c r="D9553" t="s">
        <v>36388</v>
      </c>
      <c r="E9553" t="b">
        <v>0</v>
      </c>
      <c r="F9553" t="s">
        <v>11610</v>
      </c>
      <c r="L9553">
        <v>0</v>
      </c>
      <c r="M9553">
        <v>0</v>
      </c>
      <c r="N9553">
        <v>0</v>
      </c>
    </row>
    <row r="9554" spans="1:15">
      <c r="A9554" t="s">
        <v>32546</v>
      </c>
      <c r="B9554" t="s">
        <v>12311</v>
      </c>
      <c r="C9554" t="s">
        <v>24757</v>
      </c>
      <c r="D9554" t="s">
        <v>36389</v>
      </c>
      <c r="E9554" t="b">
        <v>0</v>
      </c>
      <c r="F9554" t="s">
        <v>11624</v>
      </c>
      <c r="G9554">
        <v>42.274299999999997</v>
      </c>
      <c r="H9554">
        <v>45.997700000000002</v>
      </c>
      <c r="I9554" t="s">
        <v>36390</v>
      </c>
      <c r="L9554">
        <v>0</v>
      </c>
      <c r="M9554">
        <v>0</v>
      </c>
      <c r="N9554">
        <v>2</v>
      </c>
      <c r="O9554" t="s">
        <v>12748</v>
      </c>
    </row>
    <row r="9555" spans="1:15">
      <c r="A9555" t="s">
        <v>36391</v>
      </c>
      <c r="B9555" t="s">
        <v>11637</v>
      </c>
      <c r="C9555" t="s">
        <v>36392</v>
      </c>
      <c r="D9555" t="s">
        <v>36393</v>
      </c>
      <c r="E9555" t="b">
        <v>0</v>
      </c>
      <c r="F9555" t="s">
        <v>11624</v>
      </c>
      <c r="I9555" t="s">
        <v>36394</v>
      </c>
      <c r="L9555">
        <v>0</v>
      </c>
      <c r="M9555">
        <v>0</v>
      </c>
      <c r="N9555">
        <v>0</v>
      </c>
      <c r="O9555" t="s">
        <v>20164</v>
      </c>
    </row>
    <row r="9556" spans="1:15">
      <c r="A9556" t="s">
        <v>36395</v>
      </c>
      <c r="B9556" t="s">
        <v>11644</v>
      </c>
      <c r="C9556" t="s">
        <v>34620</v>
      </c>
      <c r="D9556" t="s">
        <v>36396</v>
      </c>
      <c r="E9556" t="b">
        <v>0</v>
      </c>
      <c r="F9556" t="s">
        <v>11610</v>
      </c>
      <c r="L9556">
        <v>0</v>
      </c>
      <c r="M9556">
        <v>0</v>
      </c>
      <c r="N9556">
        <v>0</v>
      </c>
    </row>
    <row r="9557" spans="1:15">
      <c r="A9557" t="s">
        <v>36397</v>
      </c>
      <c r="B9557" t="s">
        <v>11644</v>
      </c>
      <c r="C9557" t="s">
        <v>14775</v>
      </c>
      <c r="D9557" t="s">
        <v>36398</v>
      </c>
      <c r="E9557" t="b">
        <v>0</v>
      </c>
      <c r="F9557" t="s">
        <v>11610</v>
      </c>
      <c r="L9557">
        <v>0</v>
      </c>
      <c r="M9557">
        <v>0</v>
      </c>
      <c r="N9557">
        <v>0</v>
      </c>
    </row>
    <row r="9558" spans="1:15">
      <c r="A9558" t="s">
        <v>36399</v>
      </c>
      <c r="B9558" t="s">
        <v>12438</v>
      </c>
      <c r="C9558" t="s">
        <v>18310</v>
      </c>
      <c r="D9558" t="s">
        <v>36400</v>
      </c>
      <c r="E9558" t="b">
        <v>0</v>
      </c>
      <c r="F9558" t="s">
        <v>11610</v>
      </c>
      <c r="L9558">
        <v>0</v>
      </c>
      <c r="M9558">
        <v>0</v>
      </c>
      <c r="N9558">
        <v>0</v>
      </c>
    </row>
    <row r="9559" spans="1:15">
      <c r="A9559" t="s">
        <v>36401</v>
      </c>
      <c r="B9559" t="s">
        <v>11615</v>
      </c>
      <c r="C9559" t="s">
        <v>29490</v>
      </c>
      <c r="D9559" t="s">
        <v>36402</v>
      </c>
      <c r="E9559" t="b">
        <v>0</v>
      </c>
      <c r="F9559" t="s">
        <v>11610</v>
      </c>
      <c r="L9559">
        <v>0</v>
      </c>
      <c r="M9559">
        <v>0</v>
      </c>
      <c r="N9559">
        <v>0</v>
      </c>
    </row>
    <row r="9560" spans="1:15">
      <c r="A9560" t="s">
        <v>36403</v>
      </c>
      <c r="B9560" t="s">
        <v>11615</v>
      </c>
      <c r="C9560" t="s">
        <v>11956</v>
      </c>
      <c r="D9560" t="s">
        <v>36404</v>
      </c>
      <c r="E9560" t="b">
        <v>0</v>
      </c>
      <c r="F9560" t="s">
        <v>11610</v>
      </c>
      <c r="L9560">
        <v>0</v>
      </c>
      <c r="M9560">
        <v>0</v>
      </c>
      <c r="N9560">
        <v>0</v>
      </c>
    </row>
    <row r="9561" spans="1:15">
      <c r="A9561" t="s">
        <v>36405</v>
      </c>
      <c r="B9561" t="s">
        <v>367</v>
      </c>
      <c r="C9561" t="s">
        <v>20602</v>
      </c>
      <c r="D9561" t="s">
        <v>36406</v>
      </c>
      <c r="E9561" t="b">
        <v>0</v>
      </c>
      <c r="F9561" t="s">
        <v>11610</v>
      </c>
      <c r="L9561">
        <v>0</v>
      </c>
      <c r="M9561">
        <v>0</v>
      </c>
      <c r="N9561">
        <v>0</v>
      </c>
    </row>
    <row r="9562" spans="1:15">
      <c r="A9562" t="s">
        <v>36407</v>
      </c>
      <c r="B9562" t="s">
        <v>11615</v>
      </c>
      <c r="C9562" t="s">
        <v>36408</v>
      </c>
      <c r="D9562" t="s">
        <v>36409</v>
      </c>
      <c r="E9562" t="b">
        <v>0</v>
      </c>
      <c r="F9562" t="s">
        <v>11610</v>
      </c>
      <c r="L9562">
        <v>0</v>
      </c>
      <c r="M9562">
        <v>0</v>
      </c>
      <c r="N9562">
        <v>0</v>
      </c>
    </row>
    <row r="9563" spans="1:15">
      <c r="A9563" t="s">
        <v>36410</v>
      </c>
      <c r="B9563" t="s">
        <v>13450</v>
      </c>
      <c r="C9563" t="s">
        <v>29089</v>
      </c>
      <c r="D9563" t="s">
        <v>36411</v>
      </c>
      <c r="E9563" t="b">
        <v>0</v>
      </c>
      <c r="F9563" t="s">
        <v>11624</v>
      </c>
      <c r="L9563">
        <v>0</v>
      </c>
      <c r="M9563">
        <v>0</v>
      </c>
      <c r="N9563">
        <v>0</v>
      </c>
      <c r="O9563" t="s">
        <v>11905</v>
      </c>
    </row>
    <row r="9564" spans="1:15">
      <c r="A9564" t="s">
        <v>36412</v>
      </c>
      <c r="B9564" t="s">
        <v>6742</v>
      </c>
      <c r="C9564" t="s">
        <v>19066</v>
      </c>
      <c r="D9564" t="s">
        <v>36413</v>
      </c>
      <c r="E9564" t="b">
        <v>0</v>
      </c>
      <c r="F9564" t="s">
        <v>11610</v>
      </c>
      <c r="L9564">
        <v>0</v>
      </c>
      <c r="M9564">
        <v>0</v>
      </c>
      <c r="N9564">
        <v>0</v>
      </c>
    </row>
    <row r="9565" spans="1:15">
      <c r="A9565" t="s">
        <v>36414</v>
      </c>
      <c r="B9565" t="s">
        <v>6742</v>
      </c>
      <c r="C9565" t="s">
        <v>17425</v>
      </c>
      <c r="D9565" t="s">
        <v>36415</v>
      </c>
      <c r="E9565" t="b">
        <v>0</v>
      </c>
      <c r="F9565" t="s">
        <v>11610</v>
      </c>
      <c r="L9565">
        <v>0</v>
      </c>
      <c r="M9565">
        <v>0</v>
      </c>
      <c r="N9565">
        <v>0</v>
      </c>
    </row>
    <row r="9566" spans="1:15">
      <c r="A9566" t="s">
        <v>36416</v>
      </c>
      <c r="B9566" t="s">
        <v>11729</v>
      </c>
      <c r="C9566" t="s">
        <v>15848</v>
      </c>
      <c r="D9566" t="s">
        <v>36417</v>
      </c>
      <c r="E9566" t="b">
        <v>0</v>
      </c>
      <c r="F9566" t="s">
        <v>11610</v>
      </c>
      <c r="L9566">
        <v>0</v>
      </c>
      <c r="M9566">
        <v>0</v>
      </c>
      <c r="N9566">
        <v>0</v>
      </c>
    </row>
    <row r="9567" spans="1:15">
      <c r="A9567" t="s">
        <v>23817</v>
      </c>
      <c r="B9567" t="s">
        <v>11780</v>
      </c>
      <c r="C9567" t="s">
        <v>36418</v>
      </c>
      <c r="D9567" t="s">
        <v>36419</v>
      </c>
      <c r="E9567" t="b">
        <v>0</v>
      </c>
      <c r="F9567" t="s">
        <v>11624</v>
      </c>
      <c r="G9567">
        <v>11.320539999999999</v>
      </c>
      <c r="H9567">
        <v>20.876740000000002</v>
      </c>
      <c r="I9567" t="s">
        <v>36420</v>
      </c>
      <c r="L9567">
        <v>0</v>
      </c>
      <c r="M9567">
        <v>0</v>
      </c>
      <c r="N9567">
        <v>3</v>
      </c>
      <c r="O9567" t="s">
        <v>13421</v>
      </c>
    </row>
    <row r="9568" spans="1:15">
      <c r="A9568" t="s">
        <v>12548</v>
      </c>
      <c r="D9568" t="s">
        <v>36421</v>
      </c>
      <c r="E9568" t="b">
        <v>0</v>
      </c>
      <c r="F9568" t="s">
        <v>11624</v>
      </c>
      <c r="G9568">
        <v>-7.4527599999999996</v>
      </c>
      <c r="H9568">
        <v>144.29599999999999</v>
      </c>
      <c r="I9568" t="s">
        <v>36422</v>
      </c>
      <c r="L9568">
        <v>0</v>
      </c>
      <c r="M9568">
        <v>0</v>
      </c>
      <c r="N9568">
        <v>2</v>
      </c>
      <c r="O9568" t="s">
        <v>11660</v>
      </c>
    </row>
    <row r="9569" spans="1:15">
      <c r="A9569" t="s">
        <v>36423</v>
      </c>
      <c r="B9569" t="s">
        <v>367</v>
      </c>
      <c r="C9569" t="s">
        <v>14008</v>
      </c>
      <c r="D9569" t="s">
        <v>36424</v>
      </c>
      <c r="E9569" t="b">
        <v>0</v>
      </c>
      <c r="F9569" t="s">
        <v>11610</v>
      </c>
      <c r="L9569">
        <v>0</v>
      </c>
      <c r="M9569">
        <v>0</v>
      </c>
      <c r="N9569">
        <v>0</v>
      </c>
    </row>
    <row r="9570" spans="1:15">
      <c r="A9570" t="s">
        <v>36425</v>
      </c>
      <c r="B9570" t="s">
        <v>15569</v>
      </c>
      <c r="C9570" t="s">
        <v>16268</v>
      </c>
      <c r="D9570" t="s">
        <v>36426</v>
      </c>
      <c r="E9570" t="b">
        <v>0</v>
      </c>
      <c r="F9570" t="s">
        <v>11610</v>
      </c>
      <c r="L9570">
        <v>0</v>
      </c>
      <c r="M9570">
        <v>0</v>
      </c>
      <c r="N9570">
        <v>0</v>
      </c>
    </row>
    <row r="9571" spans="1:15">
      <c r="A9571" t="s">
        <v>9917</v>
      </c>
      <c r="B9571" t="s">
        <v>5911</v>
      </c>
      <c r="C9571" t="s">
        <v>11924</v>
      </c>
      <c r="D9571" t="s">
        <v>36427</v>
      </c>
      <c r="E9571" t="b">
        <v>0</v>
      </c>
      <c r="F9571" t="s">
        <v>11624</v>
      </c>
      <c r="G9571">
        <v>14.527799999999999</v>
      </c>
      <c r="H9571">
        <v>-91.169600000000003</v>
      </c>
      <c r="I9571" t="s">
        <v>9918</v>
      </c>
      <c r="L9571">
        <v>0</v>
      </c>
      <c r="M9571">
        <v>0</v>
      </c>
      <c r="N9571">
        <v>0</v>
      </c>
      <c r="O9571" t="s">
        <v>11927</v>
      </c>
    </row>
    <row r="9572" spans="1:15">
      <c r="A9572" t="s">
        <v>36428</v>
      </c>
      <c r="B9572" t="s">
        <v>11627</v>
      </c>
      <c r="C9572" t="s">
        <v>11627</v>
      </c>
      <c r="D9572" t="s">
        <v>36429</v>
      </c>
      <c r="E9572" t="b">
        <v>1</v>
      </c>
      <c r="F9572" t="s">
        <v>11624</v>
      </c>
      <c r="I9572" t="s">
        <v>36430</v>
      </c>
      <c r="L9572">
        <v>0</v>
      </c>
      <c r="M9572">
        <v>0</v>
      </c>
      <c r="N9572">
        <v>0</v>
      </c>
      <c r="O9572" t="s">
        <v>11927</v>
      </c>
    </row>
    <row r="9573" spans="1:15">
      <c r="A9573" t="s">
        <v>36431</v>
      </c>
      <c r="B9573" t="s">
        <v>11627</v>
      </c>
      <c r="C9573" t="s">
        <v>11627</v>
      </c>
      <c r="D9573" t="s">
        <v>36432</v>
      </c>
      <c r="E9573" t="b">
        <v>1</v>
      </c>
      <c r="F9573" t="s">
        <v>11624</v>
      </c>
      <c r="I9573" t="s">
        <v>36433</v>
      </c>
      <c r="L9573">
        <v>0</v>
      </c>
      <c r="M9573">
        <v>0</v>
      </c>
      <c r="N9573">
        <v>0</v>
      </c>
      <c r="O9573" t="s">
        <v>11927</v>
      </c>
    </row>
    <row r="9574" spans="1:15">
      <c r="A9574" t="s">
        <v>36434</v>
      </c>
      <c r="B9574" t="s">
        <v>11627</v>
      </c>
      <c r="C9574" t="s">
        <v>11627</v>
      </c>
      <c r="D9574" t="s">
        <v>36435</v>
      </c>
      <c r="E9574" t="b">
        <v>1</v>
      </c>
      <c r="F9574" t="s">
        <v>11624</v>
      </c>
      <c r="I9574" t="s">
        <v>36436</v>
      </c>
      <c r="L9574">
        <v>0</v>
      </c>
      <c r="M9574">
        <v>0</v>
      </c>
      <c r="N9574">
        <v>0</v>
      </c>
      <c r="O9574" t="s">
        <v>11927</v>
      </c>
    </row>
    <row r="9575" spans="1:15">
      <c r="A9575" t="s">
        <v>36437</v>
      </c>
      <c r="B9575" t="s">
        <v>11627</v>
      </c>
      <c r="C9575" t="s">
        <v>11627</v>
      </c>
      <c r="D9575" t="s">
        <v>36438</v>
      </c>
      <c r="E9575" t="b">
        <v>1</v>
      </c>
      <c r="F9575" t="s">
        <v>11624</v>
      </c>
      <c r="I9575" t="s">
        <v>36439</v>
      </c>
      <c r="L9575">
        <v>0</v>
      </c>
      <c r="M9575">
        <v>0</v>
      </c>
      <c r="N9575">
        <v>0</v>
      </c>
      <c r="O9575" t="s">
        <v>11927</v>
      </c>
    </row>
    <row r="9576" spans="1:15">
      <c r="A9576" t="s">
        <v>36440</v>
      </c>
      <c r="B9576" t="s">
        <v>11627</v>
      </c>
      <c r="C9576" t="s">
        <v>11627</v>
      </c>
      <c r="D9576" t="s">
        <v>36441</v>
      </c>
      <c r="E9576" t="b">
        <v>1</v>
      </c>
      <c r="F9576" t="s">
        <v>11624</v>
      </c>
      <c r="I9576" t="s">
        <v>36442</v>
      </c>
      <c r="L9576">
        <v>0</v>
      </c>
      <c r="M9576">
        <v>0</v>
      </c>
      <c r="N9576">
        <v>0</v>
      </c>
      <c r="O9576" t="s">
        <v>11927</v>
      </c>
    </row>
    <row r="9577" spans="1:15">
      <c r="A9577" t="s">
        <v>36443</v>
      </c>
      <c r="B9577" t="s">
        <v>12979</v>
      </c>
      <c r="C9577" t="s">
        <v>28055</v>
      </c>
      <c r="D9577" t="s">
        <v>36444</v>
      </c>
      <c r="E9577" t="b">
        <v>0</v>
      </c>
      <c r="F9577" t="s">
        <v>11624</v>
      </c>
      <c r="G9577">
        <v>41.655144999999997</v>
      </c>
      <c r="H9577">
        <v>-89.030339999999995</v>
      </c>
      <c r="I9577" t="s">
        <v>36445</v>
      </c>
      <c r="L9577">
        <v>0</v>
      </c>
      <c r="M9577">
        <v>0</v>
      </c>
      <c r="N9577">
        <v>0</v>
      </c>
      <c r="O9577" t="s">
        <v>12238</v>
      </c>
    </row>
    <row r="9578" spans="1:15">
      <c r="A9578" t="s">
        <v>36446</v>
      </c>
      <c r="B9578" t="s">
        <v>367</v>
      </c>
      <c r="C9578" t="s">
        <v>14279</v>
      </c>
      <c r="D9578" t="s">
        <v>36447</v>
      </c>
      <c r="E9578" t="b">
        <v>0</v>
      </c>
      <c r="F9578" t="s">
        <v>11610</v>
      </c>
      <c r="L9578">
        <v>0</v>
      </c>
      <c r="M9578">
        <v>0</v>
      </c>
      <c r="N9578">
        <v>0</v>
      </c>
    </row>
    <row r="9579" spans="1:15">
      <c r="A9579" t="s">
        <v>36448</v>
      </c>
      <c r="B9579" t="s">
        <v>19339</v>
      </c>
      <c r="C9579" t="s">
        <v>19340</v>
      </c>
      <c r="D9579" t="s">
        <v>36449</v>
      </c>
      <c r="E9579" t="b">
        <v>0</v>
      </c>
      <c r="F9579" t="s">
        <v>11610</v>
      </c>
      <c r="L9579">
        <v>0</v>
      </c>
      <c r="M9579">
        <v>0</v>
      </c>
      <c r="N9579">
        <v>0</v>
      </c>
    </row>
    <row r="9580" spans="1:15">
      <c r="A9580" t="s">
        <v>36450</v>
      </c>
      <c r="B9580" t="s">
        <v>13276</v>
      </c>
      <c r="C9580" t="s">
        <v>16674</v>
      </c>
      <c r="D9580" t="s">
        <v>36451</v>
      </c>
      <c r="E9580" t="b">
        <v>0</v>
      </c>
      <c r="F9580" t="s">
        <v>11610</v>
      </c>
      <c r="L9580">
        <v>0</v>
      </c>
      <c r="M9580">
        <v>0</v>
      </c>
      <c r="N9580">
        <v>0</v>
      </c>
    </row>
    <row r="9581" spans="1:15">
      <c r="A9581" t="s">
        <v>36452</v>
      </c>
      <c r="B9581" t="s">
        <v>6742</v>
      </c>
      <c r="C9581" t="s">
        <v>36453</v>
      </c>
      <c r="D9581" t="s">
        <v>36454</v>
      </c>
      <c r="E9581" t="b">
        <v>0</v>
      </c>
      <c r="F9581" t="s">
        <v>11610</v>
      </c>
      <c r="L9581">
        <v>0</v>
      </c>
      <c r="M9581">
        <v>0</v>
      </c>
      <c r="N9581">
        <v>0</v>
      </c>
    </row>
    <row r="9582" spans="1:15">
      <c r="A9582" t="s">
        <v>36455</v>
      </c>
      <c r="B9582" t="s">
        <v>6742</v>
      </c>
      <c r="C9582" t="s">
        <v>13331</v>
      </c>
      <c r="D9582" t="s">
        <v>36456</v>
      </c>
      <c r="E9582" t="b">
        <v>0</v>
      </c>
      <c r="F9582" t="s">
        <v>11610</v>
      </c>
      <c r="L9582">
        <v>0</v>
      </c>
      <c r="M9582">
        <v>0</v>
      </c>
      <c r="N9582">
        <v>0</v>
      </c>
    </row>
    <row r="9583" spans="1:15">
      <c r="A9583" t="s">
        <v>36457</v>
      </c>
      <c r="B9583" t="s">
        <v>6742</v>
      </c>
      <c r="C9583" t="s">
        <v>36453</v>
      </c>
      <c r="D9583" t="s">
        <v>36458</v>
      </c>
      <c r="E9583" t="b">
        <v>0</v>
      </c>
      <c r="F9583" t="s">
        <v>11610</v>
      </c>
      <c r="L9583">
        <v>0</v>
      </c>
      <c r="M9583">
        <v>0</v>
      </c>
      <c r="N9583">
        <v>0</v>
      </c>
    </row>
    <row r="9584" spans="1:15">
      <c r="A9584" t="s">
        <v>36459</v>
      </c>
      <c r="B9584" t="s">
        <v>15146</v>
      </c>
      <c r="C9584" t="s">
        <v>15150</v>
      </c>
      <c r="D9584" t="s">
        <v>36460</v>
      </c>
      <c r="E9584" t="b">
        <v>0</v>
      </c>
      <c r="F9584" t="s">
        <v>11610</v>
      </c>
      <c r="L9584">
        <v>0</v>
      </c>
      <c r="M9584">
        <v>0</v>
      </c>
      <c r="N9584">
        <v>0</v>
      </c>
    </row>
    <row r="9585" spans="1:15">
      <c r="A9585" t="s">
        <v>36461</v>
      </c>
      <c r="B9585" t="s">
        <v>6742</v>
      </c>
      <c r="C9585" t="s">
        <v>36462</v>
      </c>
      <c r="D9585" t="s">
        <v>36463</v>
      </c>
      <c r="E9585" t="b">
        <v>0</v>
      </c>
      <c r="F9585" t="s">
        <v>11610</v>
      </c>
      <c r="L9585">
        <v>0</v>
      </c>
      <c r="M9585">
        <v>0</v>
      </c>
      <c r="N9585">
        <v>0</v>
      </c>
    </row>
    <row r="9586" spans="1:15">
      <c r="A9586" t="s">
        <v>36464</v>
      </c>
      <c r="B9586" t="s">
        <v>6742</v>
      </c>
      <c r="C9586" t="s">
        <v>19744</v>
      </c>
      <c r="D9586" t="s">
        <v>36465</v>
      </c>
      <c r="E9586" t="b">
        <v>0</v>
      </c>
      <c r="F9586" t="s">
        <v>11610</v>
      </c>
      <c r="L9586">
        <v>0</v>
      </c>
      <c r="M9586">
        <v>0</v>
      </c>
      <c r="N9586">
        <v>0</v>
      </c>
    </row>
    <row r="9587" spans="1:15">
      <c r="A9587" t="s">
        <v>36466</v>
      </c>
      <c r="B9587" t="s">
        <v>11607</v>
      </c>
      <c r="C9587" t="s">
        <v>21995</v>
      </c>
      <c r="D9587" t="s">
        <v>36467</v>
      </c>
      <c r="E9587" t="b">
        <v>0</v>
      </c>
      <c r="F9587" t="s">
        <v>11610</v>
      </c>
      <c r="L9587">
        <v>0</v>
      </c>
      <c r="M9587">
        <v>0</v>
      </c>
      <c r="N9587">
        <v>0</v>
      </c>
    </row>
    <row r="9588" spans="1:15">
      <c r="A9588" t="s">
        <v>36468</v>
      </c>
      <c r="B9588" t="s">
        <v>4342</v>
      </c>
      <c r="C9588" t="s">
        <v>6162</v>
      </c>
      <c r="D9588" t="s">
        <v>36469</v>
      </c>
      <c r="E9588" t="b">
        <v>0</v>
      </c>
      <c r="F9588" t="s">
        <v>11624</v>
      </c>
      <c r="G9588">
        <v>28.31</v>
      </c>
      <c r="H9588">
        <v>129.982</v>
      </c>
      <c r="I9588" t="s">
        <v>36470</v>
      </c>
      <c r="L9588">
        <v>0</v>
      </c>
      <c r="M9588">
        <v>0</v>
      </c>
      <c r="N9588">
        <v>1</v>
      </c>
      <c r="O9588" t="s">
        <v>12539</v>
      </c>
    </row>
    <row r="9589" spans="1:15">
      <c r="A9589" t="s">
        <v>36471</v>
      </c>
      <c r="B9589" t="s">
        <v>13450</v>
      </c>
      <c r="C9589" t="s">
        <v>36472</v>
      </c>
      <c r="D9589" t="s">
        <v>36473</v>
      </c>
      <c r="E9589" t="b">
        <v>0</v>
      </c>
      <c r="F9589" t="s">
        <v>11624</v>
      </c>
      <c r="L9589">
        <v>0</v>
      </c>
      <c r="M9589">
        <v>0</v>
      </c>
      <c r="N9589">
        <v>0</v>
      </c>
      <c r="O9589" t="s">
        <v>22848</v>
      </c>
    </row>
    <row r="9590" spans="1:15">
      <c r="A9590" t="s">
        <v>23416</v>
      </c>
      <c r="B9590" t="s">
        <v>6742</v>
      </c>
      <c r="C9590" t="s">
        <v>36474</v>
      </c>
      <c r="D9590" t="s">
        <v>36475</v>
      </c>
      <c r="E9590" t="b">
        <v>0</v>
      </c>
      <c r="F9590" t="s">
        <v>11622</v>
      </c>
      <c r="L9590">
        <v>14</v>
      </c>
      <c r="M9590">
        <v>21</v>
      </c>
      <c r="N9590">
        <v>19</v>
      </c>
    </row>
    <row r="9591" spans="1:15">
      <c r="A9591" t="s">
        <v>29219</v>
      </c>
      <c r="B9591" t="s">
        <v>6742</v>
      </c>
      <c r="C9591" t="s">
        <v>27122</v>
      </c>
      <c r="D9591" t="s">
        <v>36476</v>
      </c>
      <c r="E9591" t="b">
        <v>0</v>
      </c>
      <c r="F9591" t="s">
        <v>11624</v>
      </c>
      <c r="G9591">
        <v>-0.29004999999999997</v>
      </c>
      <c r="H9591">
        <v>36.719000000000001</v>
      </c>
      <c r="I9591" t="s">
        <v>36477</v>
      </c>
      <c r="L9591">
        <v>0</v>
      </c>
      <c r="M9591">
        <v>0</v>
      </c>
      <c r="N9591">
        <v>5</v>
      </c>
      <c r="O9591" t="s">
        <v>22848</v>
      </c>
    </row>
    <row r="9592" spans="1:15">
      <c r="A9592" t="s">
        <v>27122</v>
      </c>
      <c r="B9592" t="s">
        <v>6742</v>
      </c>
      <c r="C9592" t="s">
        <v>36478</v>
      </c>
      <c r="D9592" t="s">
        <v>36479</v>
      </c>
      <c r="E9592" t="b">
        <v>0</v>
      </c>
      <c r="F9592" t="s">
        <v>11622</v>
      </c>
      <c r="L9592">
        <v>0</v>
      </c>
      <c r="M9592">
        <v>3</v>
      </c>
      <c r="N9592">
        <v>9</v>
      </c>
    </row>
    <row r="9593" spans="1:15">
      <c r="A9593" t="s">
        <v>36480</v>
      </c>
      <c r="B9593" t="s">
        <v>12686</v>
      </c>
      <c r="C9593" t="s">
        <v>319</v>
      </c>
      <c r="D9593" t="s">
        <v>36481</v>
      </c>
      <c r="E9593" t="b">
        <v>0</v>
      </c>
      <c r="F9593" t="s">
        <v>11610</v>
      </c>
      <c r="L9593">
        <v>0</v>
      </c>
      <c r="M9593">
        <v>0</v>
      </c>
      <c r="N9593">
        <v>0</v>
      </c>
    </row>
    <row r="9594" spans="1:15">
      <c r="A9594" t="s">
        <v>31612</v>
      </c>
      <c r="B9594" t="s">
        <v>11607</v>
      </c>
      <c r="C9594" t="s">
        <v>18903</v>
      </c>
      <c r="D9594" t="s">
        <v>36482</v>
      </c>
      <c r="E9594" t="b">
        <v>0</v>
      </c>
      <c r="F9594" t="s">
        <v>11622</v>
      </c>
      <c r="L9594">
        <v>0</v>
      </c>
      <c r="M9594">
        <v>2</v>
      </c>
      <c r="N9594">
        <v>1</v>
      </c>
    </row>
    <row r="9595" spans="1:15">
      <c r="A9595" t="s">
        <v>36483</v>
      </c>
      <c r="B9595" t="s">
        <v>12260</v>
      </c>
      <c r="C9595" t="s">
        <v>36484</v>
      </c>
      <c r="D9595" t="s">
        <v>36485</v>
      </c>
      <c r="E9595" t="b">
        <v>0</v>
      </c>
      <c r="F9595" t="s">
        <v>11624</v>
      </c>
      <c r="G9595">
        <v>68.215800000000002</v>
      </c>
      <c r="H9595">
        <v>35.834800000000001</v>
      </c>
      <c r="I9595" t="s">
        <v>36486</v>
      </c>
      <c r="L9595">
        <v>0</v>
      </c>
      <c r="M9595">
        <v>0</v>
      </c>
      <c r="N9595">
        <v>0</v>
      </c>
      <c r="O9595" t="s">
        <v>12748</v>
      </c>
    </row>
    <row r="9596" spans="1:15">
      <c r="A9596" t="s">
        <v>36487</v>
      </c>
      <c r="B9596" t="s">
        <v>367</v>
      </c>
      <c r="C9596" t="s">
        <v>36488</v>
      </c>
      <c r="D9596" t="s">
        <v>36489</v>
      </c>
      <c r="E9596" t="b">
        <v>0</v>
      </c>
      <c r="F9596" t="s">
        <v>11610</v>
      </c>
      <c r="L9596">
        <v>0</v>
      </c>
      <c r="M9596">
        <v>0</v>
      </c>
      <c r="N9596">
        <v>0</v>
      </c>
    </row>
    <row r="9597" spans="1:15">
      <c r="A9597" t="s">
        <v>36490</v>
      </c>
      <c r="B9597" t="s">
        <v>12686</v>
      </c>
      <c r="C9597" t="s">
        <v>21792</v>
      </c>
      <c r="D9597" t="s">
        <v>36491</v>
      </c>
      <c r="E9597" t="b">
        <v>0</v>
      </c>
      <c r="F9597" t="s">
        <v>11624</v>
      </c>
      <c r="G9597">
        <v>47.585000000000001</v>
      </c>
      <c r="H9597">
        <v>132.47999999999999</v>
      </c>
      <c r="L9597">
        <v>0</v>
      </c>
      <c r="M9597">
        <v>0</v>
      </c>
      <c r="N9597">
        <v>0</v>
      </c>
      <c r="O9597" t="s">
        <v>11905</v>
      </c>
    </row>
    <row r="9598" spans="1:15">
      <c r="A9598" t="s">
        <v>30585</v>
      </c>
      <c r="B9598" t="s">
        <v>11637</v>
      </c>
      <c r="C9598" t="s">
        <v>14027</v>
      </c>
      <c r="D9598" t="s">
        <v>36492</v>
      </c>
      <c r="E9598" t="b">
        <v>0</v>
      </c>
      <c r="F9598" t="s">
        <v>11610</v>
      </c>
      <c r="L9598">
        <v>0</v>
      </c>
      <c r="M9598">
        <v>0</v>
      </c>
      <c r="N9598">
        <v>2</v>
      </c>
    </row>
    <row r="9599" spans="1:15">
      <c r="A9599" t="s">
        <v>36493</v>
      </c>
      <c r="B9599" t="s">
        <v>367</v>
      </c>
      <c r="C9599" t="s">
        <v>17655</v>
      </c>
      <c r="D9599" t="s">
        <v>36494</v>
      </c>
      <c r="E9599" t="b">
        <v>0</v>
      </c>
      <c r="F9599" t="s">
        <v>11610</v>
      </c>
      <c r="L9599">
        <v>0</v>
      </c>
      <c r="M9599">
        <v>0</v>
      </c>
      <c r="N9599">
        <v>0</v>
      </c>
    </row>
    <row r="9600" spans="1:15">
      <c r="A9600" t="s">
        <v>36495</v>
      </c>
      <c r="B9600" t="s">
        <v>367</v>
      </c>
      <c r="C9600" t="s">
        <v>17655</v>
      </c>
      <c r="D9600" t="s">
        <v>36496</v>
      </c>
      <c r="E9600" t="b">
        <v>0</v>
      </c>
      <c r="F9600" t="s">
        <v>11610</v>
      </c>
      <c r="L9600">
        <v>0</v>
      </c>
      <c r="M9600">
        <v>0</v>
      </c>
      <c r="N9600">
        <v>0</v>
      </c>
    </row>
    <row r="9601" spans="1:15">
      <c r="A9601" t="s">
        <v>20018</v>
      </c>
      <c r="B9601" t="s">
        <v>367</v>
      </c>
      <c r="C9601" t="s">
        <v>36497</v>
      </c>
      <c r="D9601" t="s">
        <v>36498</v>
      </c>
      <c r="E9601" t="b">
        <v>0</v>
      </c>
      <c r="F9601" t="s">
        <v>11622</v>
      </c>
      <c r="L9601">
        <v>1</v>
      </c>
      <c r="M9601">
        <v>3</v>
      </c>
      <c r="N9601">
        <v>8</v>
      </c>
    </row>
    <row r="9602" spans="1:15">
      <c r="A9602" t="s">
        <v>36499</v>
      </c>
      <c r="B9602" t="s">
        <v>367</v>
      </c>
      <c r="C9602" t="s">
        <v>36500</v>
      </c>
      <c r="D9602" t="s">
        <v>36501</v>
      </c>
      <c r="E9602" t="b">
        <v>0</v>
      </c>
      <c r="F9602" t="s">
        <v>11624</v>
      </c>
      <c r="G9602">
        <v>-8.7257400000000001</v>
      </c>
      <c r="H9602">
        <v>151.072</v>
      </c>
      <c r="I9602" t="s">
        <v>36502</v>
      </c>
      <c r="L9602">
        <v>0</v>
      </c>
      <c r="M9602">
        <v>0</v>
      </c>
      <c r="N9602">
        <v>3</v>
      </c>
      <c r="O9602" t="s">
        <v>11660</v>
      </c>
    </row>
    <row r="9603" spans="1:15">
      <c r="A9603" t="s">
        <v>36503</v>
      </c>
      <c r="B9603" t="s">
        <v>23233</v>
      </c>
      <c r="C9603" t="s">
        <v>29035</v>
      </c>
      <c r="D9603" t="s">
        <v>36504</v>
      </c>
      <c r="E9603" t="b">
        <v>0</v>
      </c>
      <c r="F9603" t="s">
        <v>11624</v>
      </c>
      <c r="G9603">
        <v>30.5471</v>
      </c>
      <c r="H9603">
        <v>-115.123</v>
      </c>
      <c r="I9603" t="s">
        <v>36505</v>
      </c>
      <c r="L9603">
        <v>0</v>
      </c>
      <c r="M9603">
        <v>0</v>
      </c>
      <c r="N9603">
        <v>0</v>
      </c>
      <c r="O9603" t="s">
        <v>11883</v>
      </c>
    </row>
    <row r="9604" spans="1:15">
      <c r="A9604" t="s">
        <v>22109</v>
      </c>
      <c r="B9604" t="s">
        <v>6742</v>
      </c>
      <c r="C9604" t="s">
        <v>21871</v>
      </c>
      <c r="D9604" t="s">
        <v>36506</v>
      </c>
      <c r="E9604" t="b">
        <v>0</v>
      </c>
      <c r="F9604" t="s">
        <v>11622</v>
      </c>
      <c r="L9604">
        <v>5</v>
      </c>
      <c r="M9604">
        <v>9</v>
      </c>
      <c r="N9604">
        <v>27</v>
      </c>
    </row>
    <row r="9605" spans="1:15">
      <c r="A9605" t="s">
        <v>36497</v>
      </c>
      <c r="B9605" t="s">
        <v>367</v>
      </c>
      <c r="C9605" t="s">
        <v>21563</v>
      </c>
      <c r="D9605" t="s">
        <v>36507</v>
      </c>
      <c r="E9605" t="b">
        <v>0</v>
      </c>
      <c r="F9605" t="s">
        <v>11622</v>
      </c>
      <c r="L9605">
        <v>2</v>
      </c>
      <c r="M9605">
        <v>4</v>
      </c>
      <c r="N9605">
        <v>10</v>
      </c>
    </row>
    <row r="9606" spans="1:15">
      <c r="A9606" t="s">
        <v>36500</v>
      </c>
      <c r="B9606" t="s">
        <v>367</v>
      </c>
      <c r="C9606" t="s">
        <v>20018</v>
      </c>
      <c r="D9606" t="s">
        <v>36508</v>
      </c>
      <c r="E9606" t="b">
        <v>0</v>
      </c>
      <c r="F9606" t="s">
        <v>11622</v>
      </c>
      <c r="L9606">
        <v>0</v>
      </c>
      <c r="M9606">
        <v>2</v>
      </c>
      <c r="N9606">
        <v>8</v>
      </c>
    </row>
    <row r="9607" spans="1:15">
      <c r="A9607" t="s">
        <v>36509</v>
      </c>
      <c r="B9607" t="s">
        <v>11607</v>
      </c>
      <c r="C9607" t="s">
        <v>15354</v>
      </c>
      <c r="D9607" t="s">
        <v>36510</v>
      </c>
      <c r="E9607" t="b">
        <v>0</v>
      </c>
      <c r="F9607" t="s">
        <v>11610</v>
      </c>
      <c r="L9607">
        <v>0</v>
      </c>
      <c r="M9607">
        <v>0</v>
      </c>
      <c r="N9607">
        <v>0</v>
      </c>
    </row>
    <row r="9608" spans="1:15">
      <c r="A9608" t="s">
        <v>26333</v>
      </c>
      <c r="B9608" t="s">
        <v>12532</v>
      </c>
      <c r="C9608" t="s">
        <v>12533</v>
      </c>
      <c r="D9608" t="s">
        <v>36511</v>
      </c>
      <c r="E9608" t="b">
        <v>0</v>
      </c>
      <c r="F9608" t="s">
        <v>11624</v>
      </c>
      <c r="G9608">
        <v>-2.8860700000000001</v>
      </c>
      <c r="H9608">
        <v>141.191</v>
      </c>
      <c r="I9608" t="s">
        <v>36512</v>
      </c>
      <c r="L9608">
        <v>0</v>
      </c>
      <c r="M9608">
        <v>0</v>
      </c>
      <c r="N9608">
        <v>2</v>
      </c>
      <c r="O9608" t="s">
        <v>11660</v>
      </c>
    </row>
    <row r="9609" spans="1:15">
      <c r="A9609" t="s">
        <v>36513</v>
      </c>
      <c r="B9609" t="s">
        <v>367</v>
      </c>
      <c r="C9609" t="s">
        <v>25633</v>
      </c>
      <c r="D9609" t="s">
        <v>36514</v>
      </c>
      <c r="E9609" t="b">
        <v>0</v>
      </c>
      <c r="F9609" t="s">
        <v>11624</v>
      </c>
      <c r="G9609">
        <v>6.6198199999999998</v>
      </c>
      <c r="H9609">
        <v>116.96</v>
      </c>
      <c r="I9609" t="s">
        <v>36515</v>
      </c>
      <c r="L9609">
        <v>0</v>
      </c>
      <c r="M9609">
        <v>0</v>
      </c>
      <c r="N9609">
        <v>4</v>
      </c>
      <c r="O9609" t="s">
        <v>11672</v>
      </c>
    </row>
    <row r="9610" spans="1:15">
      <c r="A9610" t="s">
        <v>36516</v>
      </c>
      <c r="B9610" t="s">
        <v>36517</v>
      </c>
      <c r="C9610" t="s">
        <v>36517</v>
      </c>
      <c r="D9610" t="s">
        <v>36518</v>
      </c>
      <c r="E9610" t="b">
        <v>0</v>
      </c>
      <c r="F9610" t="s">
        <v>11622</v>
      </c>
      <c r="L9610">
        <v>0</v>
      </c>
      <c r="M9610">
        <v>2</v>
      </c>
      <c r="N9610">
        <v>0</v>
      </c>
    </row>
    <row r="9611" spans="1:15">
      <c r="A9611" t="s">
        <v>36519</v>
      </c>
      <c r="B9611" t="s">
        <v>36517</v>
      </c>
      <c r="C9611" t="s">
        <v>36516</v>
      </c>
      <c r="D9611" t="s">
        <v>36520</v>
      </c>
      <c r="E9611" t="b">
        <v>0</v>
      </c>
      <c r="F9611" t="s">
        <v>11624</v>
      </c>
      <c r="G9611">
        <v>-8.0189900000000005</v>
      </c>
      <c r="H9611">
        <v>138.35499999999999</v>
      </c>
      <c r="I9611" t="s">
        <v>36521</v>
      </c>
      <c r="L9611">
        <v>0</v>
      </c>
      <c r="M9611">
        <v>0</v>
      </c>
      <c r="N9611">
        <v>0</v>
      </c>
      <c r="O9611" t="s">
        <v>11768</v>
      </c>
    </row>
    <row r="9612" spans="1:15">
      <c r="A9612" t="s">
        <v>18153</v>
      </c>
      <c r="B9612" t="s">
        <v>6742</v>
      </c>
      <c r="C9612" t="s">
        <v>11995</v>
      </c>
      <c r="D9612" t="s">
        <v>36522</v>
      </c>
      <c r="E9612" t="b">
        <v>0</v>
      </c>
      <c r="F9612" t="s">
        <v>11622</v>
      </c>
      <c r="L9612">
        <v>0</v>
      </c>
      <c r="M9612">
        <v>3</v>
      </c>
      <c r="N9612">
        <v>4</v>
      </c>
    </row>
    <row r="9613" spans="1:15">
      <c r="A9613" t="s">
        <v>36523</v>
      </c>
      <c r="B9613" t="s">
        <v>6742</v>
      </c>
      <c r="C9613" t="s">
        <v>19287</v>
      </c>
      <c r="D9613" t="s">
        <v>36524</v>
      </c>
      <c r="E9613" t="b">
        <v>0</v>
      </c>
      <c r="F9613" t="s">
        <v>11624</v>
      </c>
      <c r="G9613">
        <v>-8.9783500000000007</v>
      </c>
      <c r="H9613">
        <v>14.8893</v>
      </c>
      <c r="I9613" t="s">
        <v>36525</v>
      </c>
      <c r="L9613">
        <v>0</v>
      </c>
      <c r="M9613">
        <v>0</v>
      </c>
      <c r="N9613">
        <v>4</v>
      </c>
      <c r="O9613" t="s">
        <v>31379</v>
      </c>
    </row>
    <row r="9614" spans="1:15">
      <c r="A9614" t="s">
        <v>36526</v>
      </c>
      <c r="B9614" t="s">
        <v>6742</v>
      </c>
      <c r="C9614" t="s">
        <v>36527</v>
      </c>
      <c r="D9614" t="s">
        <v>36528</v>
      </c>
      <c r="E9614" t="b">
        <v>0</v>
      </c>
      <c r="F9614" t="s">
        <v>11624</v>
      </c>
      <c r="G9614">
        <v>-7.2302299999999997</v>
      </c>
      <c r="H9614">
        <v>33.644500000000001</v>
      </c>
      <c r="I9614" t="s">
        <v>36529</v>
      </c>
      <c r="L9614">
        <v>0</v>
      </c>
      <c r="M9614">
        <v>0</v>
      </c>
      <c r="N9614">
        <v>0</v>
      </c>
      <c r="O9614" t="s">
        <v>11635</v>
      </c>
    </row>
    <row r="9615" spans="1:15">
      <c r="A9615" t="s">
        <v>36530</v>
      </c>
      <c r="B9615" t="s">
        <v>11965</v>
      </c>
      <c r="C9615" t="s">
        <v>32441</v>
      </c>
      <c r="D9615" t="s">
        <v>36531</v>
      </c>
      <c r="E9615" t="b">
        <v>0</v>
      </c>
      <c r="F9615" t="s">
        <v>11624</v>
      </c>
      <c r="G9615">
        <v>-25.826594</v>
      </c>
      <c r="H9615">
        <v>-54.625855000000001</v>
      </c>
      <c r="L9615">
        <v>0</v>
      </c>
      <c r="M9615">
        <v>0</v>
      </c>
      <c r="N9615">
        <v>0</v>
      </c>
      <c r="O9615" t="s">
        <v>11916</v>
      </c>
    </row>
    <row r="9616" spans="1:15">
      <c r="A9616" t="s">
        <v>36532</v>
      </c>
      <c r="D9616" t="s">
        <v>36533</v>
      </c>
      <c r="E9616" t="b">
        <v>0</v>
      </c>
      <c r="F9616" t="s">
        <v>11624</v>
      </c>
      <c r="G9616">
        <v>-4.2742000000000004</v>
      </c>
      <c r="H9616">
        <v>140.88399999999999</v>
      </c>
      <c r="I9616" t="s">
        <v>36534</v>
      </c>
      <c r="L9616">
        <v>0</v>
      </c>
      <c r="M9616">
        <v>0</v>
      </c>
      <c r="N9616">
        <v>0</v>
      </c>
      <c r="O9616" t="s">
        <v>11768</v>
      </c>
    </row>
    <row r="9617" spans="1:15">
      <c r="A9617" t="s">
        <v>5417</v>
      </c>
      <c r="B9617" t="s">
        <v>5058</v>
      </c>
      <c r="C9617" t="s">
        <v>18403</v>
      </c>
      <c r="D9617" t="s">
        <v>36535</v>
      </c>
      <c r="E9617" t="b">
        <v>0</v>
      </c>
      <c r="F9617" t="s">
        <v>11624</v>
      </c>
      <c r="G9617">
        <v>22.985600000000002</v>
      </c>
      <c r="H9617">
        <v>105.024</v>
      </c>
      <c r="I9617" t="s">
        <v>5418</v>
      </c>
      <c r="L9617">
        <v>0</v>
      </c>
      <c r="M9617">
        <v>0</v>
      </c>
      <c r="N9617">
        <v>2</v>
      </c>
      <c r="O9617" t="s">
        <v>18933</v>
      </c>
    </row>
    <row r="9618" spans="1:15">
      <c r="A9618" t="s">
        <v>28613</v>
      </c>
      <c r="B9618" t="s">
        <v>6742</v>
      </c>
      <c r="C9618" t="s">
        <v>18153</v>
      </c>
      <c r="D9618" t="s">
        <v>36536</v>
      </c>
      <c r="E9618" t="b">
        <v>0</v>
      </c>
      <c r="F9618" t="s">
        <v>11624</v>
      </c>
      <c r="G9618">
        <v>9.7944200000000006</v>
      </c>
      <c r="H9618">
        <v>15.893599999999999</v>
      </c>
      <c r="I9618" t="s">
        <v>36537</v>
      </c>
      <c r="L9618">
        <v>0</v>
      </c>
      <c r="M9618">
        <v>0</v>
      </c>
      <c r="N9618">
        <v>4</v>
      </c>
      <c r="O9618" t="s">
        <v>13421</v>
      </c>
    </row>
    <row r="9619" spans="1:15">
      <c r="A9619" t="s">
        <v>20560</v>
      </c>
      <c r="B9619" t="s">
        <v>11607</v>
      </c>
      <c r="C9619" t="s">
        <v>28236</v>
      </c>
      <c r="D9619" t="s">
        <v>36538</v>
      </c>
      <c r="E9619" t="b">
        <v>0</v>
      </c>
      <c r="F9619" t="s">
        <v>11624</v>
      </c>
      <c r="G9619">
        <v>9.4207099999999997</v>
      </c>
      <c r="H9619">
        <v>16.942299999999999</v>
      </c>
      <c r="I9619" t="s">
        <v>36539</v>
      </c>
      <c r="L9619">
        <v>0</v>
      </c>
      <c r="M9619">
        <v>0</v>
      </c>
      <c r="N9619">
        <v>3</v>
      </c>
      <c r="O9619" t="s">
        <v>13421</v>
      </c>
    </row>
    <row r="9620" spans="1:15">
      <c r="A9620" t="s">
        <v>36540</v>
      </c>
      <c r="B9620" t="s">
        <v>11607</v>
      </c>
      <c r="C9620" t="s">
        <v>20560</v>
      </c>
      <c r="D9620" t="s">
        <v>36541</v>
      </c>
      <c r="E9620" t="b">
        <v>0</v>
      </c>
      <c r="F9620" t="s">
        <v>11610</v>
      </c>
      <c r="L9620">
        <v>0</v>
      </c>
      <c r="M9620">
        <v>0</v>
      </c>
      <c r="N9620">
        <v>0</v>
      </c>
    </row>
    <row r="9621" spans="1:15">
      <c r="A9621" t="s">
        <v>36542</v>
      </c>
      <c r="B9621" t="s">
        <v>11644</v>
      </c>
      <c r="C9621" t="s">
        <v>28687</v>
      </c>
      <c r="D9621" t="s">
        <v>36543</v>
      </c>
      <c r="E9621" t="b">
        <v>0</v>
      </c>
      <c r="F9621" t="s">
        <v>11610</v>
      </c>
      <c r="L9621">
        <v>0</v>
      </c>
      <c r="M9621">
        <v>0</v>
      </c>
      <c r="N9621">
        <v>0</v>
      </c>
    </row>
    <row r="9622" spans="1:15">
      <c r="A9622" t="s">
        <v>36544</v>
      </c>
      <c r="B9622" t="s">
        <v>6742</v>
      </c>
      <c r="C9622" t="s">
        <v>36545</v>
      </c>
      <c r="D9622" t="s">
        <v>36546</v>
      </c>
      <c r="E9622" t="b">
        <v>0</v>
      </c>
      <c r="F9622" t="s">
        <v>11610</v>
      </c>
      <c r="L9622">
        <v>0</v>
      </c>
      <c r="M9622">
        <v>0</v>
      </c>
      <c r="N9622">
        <v>0</v>
      </c>
    </row>
    <row r="9623" spans="1:15">
      <c r="A9623" t="s">
        <v>36547</v>
      </c>
      <c r="B9623" t="s">
        <v>6742</v>
      </c>
      <c r="C9623" t="s">
        <v>30367</v>
      </c>
      <c r="D9623" t="s">
        <v>36548</v>
      </c>
      <c r="E9623" t="b">
        <v>0</v>
      </c>
      <c r="F9623" t="s">
        <v>11610</v>
      </c>
      <c r="L9623">
        <v>0</v>
      </c>
      <c r="M9623">
        <v>0</v>
      </c>
      <c r="N9623">
        <v>0</v>
      </c>
    </row>
    <row r="9624" spans="1:15">
      <c r="A9624" t="s">
        <v>13941</v>
      </c>
      <c r="B9624" t="s">
        <v>367</v>
      </c>
      <c r="C9624" t="s">
        <v>36549</v>
      </c>
      <c r="D9624" t="s">
        <v>36550</v>
      </c>
      <c r="E9624" t="b">
        <v>0</v>
      </c>
      <c r="F9624" t="s">
        <v>11624</v>
      </c>
      <c r="G9624">
        <v>10.8131</v>
      </c>
      <c r="H9624">
        <v>122.297</v>
      </c>
      <c r="I9624" t="s">
        <v>36551</v>
      </c>
      <c r="L9624">
        <v>0</v>
      </c>
      <c r="M9624">
        <v>0</v>
      </c>
      <c r="N9624">
        <v>7</v>
      </c>
      <c r="O9624" t="s">
        <v>11749</v>
      </c>
    </row>
    <row r="9625" spans="1:15">
      <c r="A9625" t="s">
        <v>36552</v>
      </c>
      <c r="B9625" t="s">
        <v>11615</v>
      </c>
      <c r="C9625" t="s">
        <v>36553</v>
      </c>
      <c r="D9625" t="s">
        <v>36554</v>
      </c>
      <c r="E9625" t="b">
        <v>0</v>
      </c>
      <c r="F9625" t="s">
        <v>11624</v>
      </c>
      <c r="G9625">
        <v>-6.0586200000000003</v>
      </c>
      <c r="H9625">
        <v>147.44200000000001</v>
      </c>
      <c r="I9625" t="s">
        <v>36555</v>
      </c>
      <c r="L9625">
        <v>0</v>
      </c>
      <c r="M9625">
        <v>0</v>
      </c>
      <c r="N9625">
        <v>0</v>
      </c>
      <c r="O9625" t="s">
        <v>11660</v>
      </c>
    </row>
    <row r="9626" spans="1:15">
      <c r="A9626" t="s">
        <v>36556</v>
      </c>
      <c r="B9626" t="s">
        <v>367</v>
      </c>
      <c r="C9626" t="s">
        <v>17563</v>
      </c>
      <c r="D9626" t="s">
        <v>36557</v>
      </c>
      <c r="E9626" t="b">
        <v>0</v>
      </c>
      <c r="F9626" t="s">
        <v>11624</v>
      </c>
      <c r="I9626" t="s">
        <v>36558</v>
      </c>
      <c r="L9626">
        <v>0</v>
      </c>
      <c r="M9626">
        <v>0</v>
      </c>
      <c r="N9626">
        <v>0</v>
      </c>
      <c r="O9626" t="s">
        <v>11749</v>
      </c>
    </row>
    <row r="9627" spans="1:15">
      <c r="A9627" t="s">
        <v>36553</v>
      </c>
      <c r="B9627" t="s">
        <v>11615</v>
      </c>
      <c r="C9627" t="s">
        <v>36559</v>
      </c>
      <c r="D9627" t="s">
        <v>36560</v>
      </c>
      <c r="E9627" t="b">
        <v>0</v>
      </c>
      <c r="F9627" t="s">
        <v>11622</v>
      </c>
      <c r="L9627">
        <v>0</v>
      </c>
      <c r="M9627">
        <v>2</v>
      </c>
      <c r="N9627">
        <v>0</v>
      </c>
    </row>
    <row r="9628" spans="1:15">
      <c r="A9628" t="s">
        <v>20178</v>
      </c>
      <c r="B9628" t="s">
        <v>367</v>
      </c>
      <c r="C9628" t="s">
        <v>34074</v>
      </c>
      <c r="D9628" t="s">
        <v>36561</v>
      </c>
      <c r="E9628" t="b">
        <v>0</v>
      </c>
      <c r="F9628" t="s">
        <v>11622</v>
      </c>
      <c r="L9628">
        <v>1</v>
      </c>
      <c r="M9628">
        <v>3</v>
      </c>
      <c r="N9628">
        <v>0</v>
      </c>
    </row>
    <row r="9629" spans="1:15">
      <c r="A9629" t="s">
        <v>36549</v>
      </c>
      <c r="B9629" t="s">
        <v>367</v>
      </c>
      <c r="C9629" t="s">
        <v>12771</v>
      </c>
      <c r="D9629" t="s">
        <v>36562</v>
      </c>
      <c r="E9629" t="b">
        <v>0</v>
      </c>
      <c r="F9629" t="s">
        <v>11622</v>
      </c>
      <c r="L9629">
        <v>0</v>
      </c>
      <c r="M9629">
        <v>2</v>
      </c>
      <c r="N9629">
        <v>7</v>
      </c>
    </row>
    <row r="9630" spans="1:15">
      <c r="A9630" t="s">
        <v>36563</v>
      </c>
      <c r="B9630" t="s">
        <v>13276</v>
      </c>
      <c r="C9630" t="s">
        <v>15533</v>
      </c>
      <c r="D9630" t="s">
        <v>36564</v>
      </c>
      <c r="E9630" t="b">
        <v>0</v>
      </c>
      <c r="F9630" t="s">
        <v>11610</v>
      </c>
      <c r="L9630">
        <v>0</v>
      </c>
      <c r="M9630">
        <v>0</v>
      </c>
      <c r="N9630">
        <v>0</v>
      </c>
    </row>
    <row r="9631" spans="1:15">
      <c r="A9631" t="s">
        <v>36565</v>
      </c>
      <c r="B9631" t="s">
        <v>21516</v>
      </c>
      <c r="C9631" t="s">
        <v>36566</v>
      </c>
      <c r="D9631" t="s">
        <v>36567</v>
      </c>
      <c r="E9631" t="b">
        <v>0</v>
      </c>
      <c r="F9631" t="s">
        <v>11610</v>
      </c>
      <c r="L9631">
        <v>0</v>
      </c>
      <c r="M9631">
        <v>0</v>
      </c>
      <c r="N9631">
        <v>0</v>
      </c>
    </row>
    <row r="9632" spans="1:15">
      <c r="A9632" t="s">
        <v>36568</v>
      </c>
      <c r="B9632" t="s">
        <v>1342</v>
      </c>
      <c r="C9632" t="s">
        <v>19430</v>
      </c>
      <c r="D9632" t="s">
        <v>36569</v>
      </c>
      <c r="E9632" t="b">
        <v>0</v>
      </c>
      <c r="F9632" t="s">
        <v>11610</v>
      </c>
      <c r="L9632">
        <v>0</v>
      </c>
      <c r="M9632">
        <v>0</v>
      </c>
      <c r="N9632">
        <v>0</v>
      </c>
    </row>
    <row r="9633" spans="1:15">
      <c r="A9633" t="s">
        <v>36570</v>
      </c>
      <c r="B9633" t="s">
        <v>12260</v>
      </c>
      <c r="C9633" t="s">
        <v>10255</v>
      </c>
      <c r="D9633" t="s">
        <v>36571</v>
      </c>
      <c r="E9633" t="b">
        <v>0</v>
      </c>
      <c r="F9633" t="s">
        <v>11610</v>
      </c>
      <c r="L9633">
        <v>0</v>
      </c>
      <c r="M9633">
        <v>0</v>
      </c>
      <c r="N9633">
        <v>0</v>
      </c>
    </row>
    <row r="9634" spans="1:15">
      <c r="A9634" t="s">
        <v>36572</v>
      </c>
      <c r="B9634" t="s">
        <v>6742</v>
      </c>
      <c r="C9634" t="s">
        <v>17922</v>
      </c>
      <c r="D9634" t="s">
        <v>36573</v>
      </c>
      <c r="E9634" t="b">
        <v>0</v>
      </c>
      <c r="F9634" t="s">
        <v>11622</v>
      </c>
      <c r="L9634">
        <v>0</v>
      </c>
      <c r="M9634">
        <v>2</v>
      </c>
      <c r="N9634">
        <v>1</v>
      </c>
    </row>
    <row r="9635" spans="1:15">
      <c r="A9635" t="s">
        <v>36574</v>
      </c>
      <c r="B9635" t="s">
        <v>13014</v>
      </c>
      <c r="C9635" t="s">
        <v>23152</v>
      </c>
      <c r="D9635" t="s">
        <v>36575</v>
      </c>
      <c r="E9635" t="b">
        <v>0</v>
      </c>
      <c r="F9635" t="s">
        <v>11610</v>
      </c>
      <c r="L9635">
        <v>0</v>
      </c>
      <c r="M9635">
        <v>0</v>
      </c>
      <c r="N9635">
        <v>0</v>
      </c>
    </row>
    <row r="9636" spans="1:15">
      <c r="A9636" t="s">
        <v>36576</v>
      </c>
      <c r="B9636" t="s">
        <v>9348</v>
      </c>
      <c r="C9636" t="s">
        <v>24447</v>
      </c>
      <c r="D9636" t="s">
        <v>36577</v>
      </c>
      <c r="E9636" t="b">
        <v>0</v>
      </c>
      <c r="F9636" t="s">
        <v>11610</v>
      </c>
      <c r="L9636">
        <v>0</v>
      </c>
      <c r="M9636">
        <v>0</v>
      </c>
      <c r="N9636">
        <v>0</v>
      </c>
    </row>
    <row r="9637" spans="1:15">
      <c r="A9637" t="s">
        <v>36578</v>
      </c>
      <c r="B9637" t="s">
        <v>367</v>
      </c>
      <c r="C9637" t="s">
        <v>7268</v>
      </c>
      <c r="D9637" t="s">
        <v>36579</v>
      </c>
      <c r="E9637" t="b">
        <v>0</v>
      </c>
      <c r="F9637" t="s">
        <v>11610</v>
      </c>
      <c r="L9637">
        <v>0</v>
      </c>
      <c r="M9637">
        <v>0</v>
      </c>
      <c r="N9637">
        <v>0</v>
      </c>
    </row>
    <row r="9638" spans="1:15">
      <c r="A9638" t="s">
        <v>16774</v>
      </c>
      <c r="B9638" t="s">
        <v>4342</v>
      </c>
      <c r="C9638" t="s">
        <v>22912</v>
      </c>
      <c r="D9638" t="s">
        <v>36580</v>
      </c>
      <c r="E9638" t="b">
        <v>0</v>
      </c>
      <c r="F9638" t="s">
        <v>11610</v>
      </c>
      <c r="L9638">
        <v>0</v>
      </c>
      <c r="M9638">
        <v>0</v>
      </c>
      <c r="N9638">
        <v>19</v>
      </c>
    </row>
    <row r="9639" spans="1:15">
      <c r="A9639" t="s">
        <v>36581</v>
      </c>
      <c r="B9639" t="s">
        <v>11644</v>
      </c>
      <c r="C9639" t="s">
        <v>22747</v>
      </c>
      <c r="D9639" t="s">
        <v>36582</v>
      </c>
      <c r="E9639" t="b">
        <v>0</v>
      </c>
      <c r="F9639" t="s">
        <v>11624</v>
      </c>
      <c r="G9639">
        <v>31.3688</v>
      </c>
      <c r="H9639">
        <v>78.314800000000005</v>
      </c>
      <c r="I9639" t="s">
        <v>36583</v>
      </c>
      <c r="L9639">
        <v>0</v>
      </c>
      <c r="M9639">
        <v>0</v>
      </c>
      <c r="N9639">
        <v>0</v>
      </c>
      <c r="O9639" t="s">
        <v>24774</v>
      </c>
    </row>
    <row r="9640" spans="1:15">
      <c r="A9640" t="s">
        <v>22747</v>
      </c>
      <c r="B9640" t="s">
        <v>11644</v>
      </c>
      <c r="C9640" t="s">
        <v>36584</v>
      </c>
      <c r="D9640" t="s">
        <v>36585</v>
      </c>
      <c r="E9640" t="b">
        <v>0</v>
      </c>
      <c r="F9640" t="s">
        <v>11622</v>
      </c>
      <c r="L9640">
        <v>1</v>
      </c>
      <c r="M9640">
        <v>5</v>
      </c>
      <c r="N9640">
        <v>0</v>
      </c>
    </row>
    <row r="9641" spans="1:15">
      <c r="A9641" t="s">
        <v>36586</v>
      </c>
      <c r="B9641" t="s">
        <v>12438</v>
      </c>
      <c r="C9641" t="s">
        <v>35860</v>
      </c>
      <c r="D9641" t="s">
        <v>36587</v>
      </c>
      <c r="E9641" t="b">
        <v>0</v>
      </c>
      <c r="F9641" t="s">
        <v>11624</v>
      </c>
      <c r="G9641">
        <v>5.7500400000000003</v>
      </c>
      <c r="H9641">
        <v>101.277</v>
      </c>
      <c r="I9641" t="s">
        <v>36588</v>
      </c>
      <c r="L9641">
        <v>0</v>
      </c>
      <c r="M9641">
        <v>0</v>
      </c>
      <c r="N9641">
        <v>0</v>
      </c>
      <c r="O9641" t="s">
        <v>33349</v>
      </c>
    </row>
    <row r="9642" spans="1:15">
      <c r="A9642" t="s">
        <v>36589</v>
      </c>
      <c r="B9642" t="s">
        <v>6742</v>
      </c>
      <c r="C9642" t="s">
        <v>18654</v>
      </c>
      <c r="D9642" t="s">
        <v>36590</v>
      </c>
      <c r="E9642" t="b">
        <v>0</v>
      </c>
      <c r="F9642" t="s">
        <v>11624</v>
      </c>
      <c r="G9642">
        <v>10.352399999999999</v>
      </c>
      <c r="H9642">
        <v>8.1295999999999999</v>
      </c>
      <c r="I9642" t="s">
        <v>36591</v>
      </c>
      <c r="L9642">
        <v>0</v>
      </c>
      <c r="M9642">
        <v>0</v>
      </c>
      <c r="N9642">
        <v>0</v>
      </c>
      <c r="O9642" t="s">
        <v>11693</v>
      </c>
    </row>
    <row r="9643" spans="1:15">
      <c r="A9643" t="s">
        <v>36592</v>
      </c>
      <c r="B9643" t="s">
        <v>6742</v>
      </c>
      <c r="C9643" t="s">
        <v>36453</v>
      </c>
      <c r="D9643" t="s">
        <v>36593</v>
      </c>
      <c r="E9643" t="b">
        <v>0</v>
      </c>
      <c r="F9643" t="s">
        <v>11610</v>
      </c>
      <c r="L9643">
        <v>0</v>
      </c>
      <c r="M9643">
        <v>0</v>
      </c>
      <c r="N9643">
        <v>0</v>
      </c>
    </row>
    <row r="9644" spans="1:15">
      <c r="A9644" t="s">
        <v>36594</v>
      </c>
      <c r="B9644" t="s">
        <v>6742</v>
      </c>
      <c r="C9644" t="s">
        <v>36453</v>
      </c>
      <c r="D9644" t="s">
        <v>36595</v>
      </c>
      <c r="E9644" t="b">
        <v>0</v>
      </c>
      <c r="F9644" t="s">
        <v>11610</v>
      </c>
      <c r="L9644">
        <v>0</v>
      </c>
      <c r="M9644">
        <v>0</v>
      </c>
      <c r="N9644">
        <v>0</v>
      </c>
    </row>
    <row r="9645" spans="1:15">
      <c r="A9645" t="s">
        <v>167</v>
      </c>
      <c r="B9645" t="s">
        <v>6742</v>
      </c>
      <c r="C9645" t="s">
        <v>30460</v>
      </c>
      <c r="D9645" t="s">
        <v>36596</v>
      </c>
      <c r="E9645" t="b">
        <v>0</v>
      </c>
      <c r="F9645" t="s">
        <v>11624</v>
      </c>
      <c r="G9645">
        <v>-1.5677099999999999</v>
      </c>
      <c r="H9645">
        <v>29.644100000000002</v>
      </c>
      <c r="I9645" t="s">
        <v>168</v>
      </c>
      <c r="L9645">
        <v>0</v>
      </c>
      <c r="M9645">
        <v>0</v>
      </c>
      <c r="N9645">
        <v>7</v>
      </c>
      <c r="O9645" t="s">
        <v>36597</v>
      </c>
    </row>
    <row r="9646" spans="1:15">
      <c r="A9646" t="s">
        <v>34573</v>
      </c>
      <c r="B9646" t="s">
        <v>367</v>
      </c>
      <c r="C9646" t="s">
        <v>36598</v>
      </c>
      <c r="D9646" t="s">
        <v>36599</v>
      </c>
      <c r="E9646" t="b">
        <v>0</v>
      </c>
      <c r="F9646" t="s">
        <v>11624</v>
      </c>
      <c r="G9646">
        <v>-4.9901200000000001</v>
      </c>
      <c r="H9646">
        <v>122.95099999999999</v>
      </c>
      <c r="I9646" t="s">
        <v>36600</v>
      </c>
      <c r="L9646">
        <v>0</v>
      </c>
      <c r="M9646">
        <v>0</v>
      </c>
      <c r="N9646">
        <v>2</v>
      </c>
      <c r="O9646" t="s">
        <v>11768</v>
      </c>
    </row>
    <row r="9647" spans="1:15">
      <c r="A9647" t="s">
        <v>36601</v>
      </c>
      <c r="B9647" t="s">
        <v>6742</v>
      </c>
      <c r="C9647" t="s">
        <v>12356</v>
      </c>
      <c r="D9647" t="s">
        <v>36602</v>
      </c>
      <c r="E9647" t="b">
        <v>0</v>
      </c>
      <c r="F9647" t="s">
        <v>11622</v>
      </c>
      <c r="L9647">
        <v>0</v>
      </c>
      <c r="M9647">
        <v>2</v>
      </c>
      <c r="N9647">
        <v>0</v>
      </c>
    </row>
    <row r="9648" spans="1:15">
      <c r="A9648" t="s">
        <v>36603</v>
      </c>
      <c r="B9648" t="s">
        <v>6742</v>
      </c>
      <c r="C9648" t="s">
        <v>36601</v>
      </c>
      <c r="D9648" t="s">
        <v>36604</v>
      </c>
      <c r="E9648" t="b">
        <v>0</v>
      </c>
      <c r="F9648" t="s">
        <v>11624</v>
      </c>
      <c r="G9648">
        <v>5.2049700000000003</v>
      </c>
      <c r="H9648">
        <v>8.3523399999999999</v>
      </c>
      <c r="I9648" t="s">
        <v>36605</v>
      </c>
      <c r="L9648">
        <v>0</v>
      </c>
      <c r="M9648">
        <v>0</v>
      </c>
      <c r="N9648">
        <v>0</v>
      </c>
      <c r="O9648" t="s">
        <v>11693</v>
      </c>
    </row>
    <row r="9649" spans="1:15">
      <c r="A9649" t="s">
        <v>36606</v>
      </c>
      <c r="B9649" t="s">
        <v>11627</v>
      </c>
      <c r="C9649" t="s">
        <v>11627</v>
      </c>
      <c r="D9649" t="s">
        <v>36607</v>
      </c>
      <c r="E9649" t="b">
        <v>1</v>
      </c>
      <c r="F9649" t="s">
        <v>11624</v>
      </c>
      <c r="G9649">
        <v>21.0684</v>
      </c>
      <c r="H9649">
        <v>101.211</v>
      </c>
      <c r="I9649" t="s">
        <v>36608</v>
      </c>
      <c r="L9649">
        <v>0</v>
      </c>
      <c r="M9649">
        <v>0</v>
      </c>
      <c r="N9649">
        <v>0</v>
      </c>
      <c r="O9649" t="s">
        <v>36609</v>
      </c>
    </row>
    <row r="9650" spans="1:15">
      <c r="A9650" t="s">
        <v>5857</v>
      </c>
      <c r="B9650" t="s">
        <v>12460</v>
      </c>
      <c r="C9650" t="s">
        <v>11196</v>
      </c>
      <c r="D9650" t="s">
        <v>36610</v>
      </c>
      <c r="E9650" t="b">
        <v>0</v>
      </c>
      <c r="F9650" t="s">
        <v>11624</v>
      </c>
      <c r="G9650">
        <v>34.907699999999998</v>
      </c>
      <c r="H9650">
        <v>-98.246099999999998</v>
      </c>
      <c r="I9650" t="s">
        <v>5858</v>
      </c>
      <c r="L9650">
        <v>0</v>
      </c>
      <c r="M9650">
        <v>0</v>
      </c>
      <c r="N9650">
        <v>0</v>
      </c>
      <c r="O9650" t="s">
        <v>11944</v>
      </c>
    </row>
    <row r="9651" spans="1:15">
      <c r="A9651" t="s">
        <v>14571</v>
      </c>
      <c r="D9651" t="s">
        <v>36611</v>
      </c>
      <c r="E9651" t="b">
        <v>0</v>
      </c>
      <c r="F9651" t="s">
        <v>11622</v>
      </c>
      <c r="L9651">
        <v>4</v>
      </c>
      <c r="M9651">
        <v>8</v>
      </c>
      <c r="N9651">
        <v>10</v>
      </c>
    </row>
    <row r="9652" spans="1:15">
      <c r="A9652" t="s">
        <v>5873</v>
      </c>
      <c r="B9652" t="s">
        <v>14571</v>
      </c>
      <c r="C9652" t="s">
        <v>14571</v>
      </c>
      <c r="D9652" t="s">
        <v>10382</v>
      </c>
      <c r="E9652" t="b">
        <v>0</v>
      </c>
      <c r="F9652" t="s">
        <v>11624</v>
      </c>
      <c r="G9652">
        <v>34.940300000000001</v>
      </c>
      <c r="H9652">
        <v>-98.904200000000003</v>
      </c>
      <c r="I9652" t="s">
        <v>5874</v>
      </c>
      <c r="L9652">
        <v>0</v>
      </c>
      <c r="M9652">
        <v>0</v>
      </c>
      <c r="N9652">
        <v>0</v>
      </c>
      <c r="O9652" t="s">
        <v>11944</v>
      </c>
    </row>
    <row r="9653" spans="1:15">
      <c r="A9653" t="s">
        <v>26628</v>
      </c>
      <c r="B9653" t="s">
        <v>331</v>
      </c>
      <c r="C9653" t="s">
        <v>21977</v>
      </c>
      <c r="D9653" t="s">
        <v>36612</v>
      </c>
      <c r="E9653" t="b">
        <v>0</v>
      </c>
      <c r="F9653" t="s">
        <v>11622</v>
      </c>
      <c r="L9653">
        <v>6</v>
      </c>
      <c r="M9653">
        <v>14</v>
      </c>
      <c r="N9653">
        <v>47</v>
      </c>
    </row>
    <row r="9654" spans="1:15">
      <c r="A9654" t="s">
        <v>36613</v>
      </c>
      <c r="B9654" t="s">
        <v>25764</v>
      </c>
      <c r="C9654" t="s">
        <v>25764</v>
      </c>
      <c r="D9654" t="s">
        <v>36614</v>
      </c>
      <c r="E9654" t="b">
        <v>0</v>
      </c>
      <c r="F9654" t="s">
        <v>11610</v>
      </c>
      <c r="G9654">
        <v>-7.3929739999999997</v>
      </c>
      <c r="H9654">
        <v>-37.141114000000002</v>
      </c>
      <c r="L9654">
        <v>0</v>
      </c>
      <c r="M9654">
        <v>0</v>
      </c>
      <c r="N9654">
        <v>0</v>
      </c>
      <c r="O9654" t="s">
        <v>11969</v>
      </c>
    </row>
    <row r="9655" spans="1:15">
      <c r="A9655" t="s">
        <v>36615</v>
      </c>
      <c r="B9655" t="s">
        <v>11644</v>
      </c>
      <c r="C9655" t="s">
        <v>16039</v>
      </c>
      <c r="D9655" t="s">
        <v>36616</v>
      </c>
      <c r="E9655" t="b">
        <v>0</v>
      </c>
      <c r="F9655" t="s">
        <v>11610</v>
      </c>
      <c r="L9655">
        <v>0</v>
      </c>
      <c r="M9655">
        <v>0</v>
      </c>
      <c r="N9655">
        <v>0</v>
      </c>
    </row>
    <row r="9656" spans="1:15">
      <c r="A9656" t="s">
        <v>1856</v>
      </c>
      <c r="B9656" t="s">
        <v>11757</v>
      </c>
      <c r="C9656" t="s">
        <v>21913</v>
      </c>
      <c r="D9656" t="s">
        <v>1855</v>
      </c>
      <c r="E9656" t="b">
        <v>0</v>
      </c>
      <c r="F9656" t="s">
        <v>11624</v>
      </c>
      <c r="G9656">
        <v>-0.35774</v>
      </c>
      <c r="H9656">
        <v>35.258532000000002</v>
      </c>
      <c r="I9656" t="s">
        <v>1857</v>
      </c>
      <c r="L9656">
        <v>0</v>
      </c>
      <c r="M9656">
        <v>0</v>
      </c>
      <c r="N9656">
        <v>0</v>
      </c>
      <c r="O9656" t="s">
        <v>22848</v>
      </c>
    </row>
    <row r="9657" spans="1:15">
      <c r="A9657" t="s">
        <v>36617</v>
      </c>
      <c r="B9657" t="s">
        <v>367</v>
      </c>
      <c r="C9657" t="s">
        <v>17801</v>
      </c>
      <c r="D9657" t="s">
        <v>36618</v>
      </c>
      <c r="E9657" t="b">
        <v>0</v>
      </c>
      <c r="F9657" t="s">
        <v>11624</v>
      </c>
      <c r="G9657">
        <v>4.1653500000000001</v>
      </c>
      <c r="H9657">
        <v>114.367</v>
      </c>
      <c r="I9657" t="s">
        <v>36619</v>
      </c>
      <c r="L9657">
        <v>0</v>
      </c>
      <c r="M9657">
        <v>0</v>
      </c>
      <c r="N9657">
        <v>3</v>
      </c>
      <c r="O9657" t="s">
        <v>17804</v>
      </c>
    </row>
    <row r="9658" spans="1:15">
      <c r="A9658" t="s">
        <v>36620</v>
      </c>
      <c r="B9658" t="s">
        <v>11637</v>
      </c>
      <c r="C9658" t="s">
        <v>13063</v>
      </c>
      <c r="D9658" t="s">
        <v>36621</v>
      </c>
      <c r="E9658" t="b">
        <v>0</v>
      </c>
      <c r="F9658" t="s">
        <v>11610</v>
      </c>
      <c r="L9658">
        <v>0</v>
      </c>
      <c r="M9658">
        <v>0</v>
      </c>
      <c r="N9658">
        <v>0</v>
      </c>
    </row>
    <row r="9659" spans="1:15">
      <c r="A9659" t="s">
        <v>36622</v>
      </c>
      <c r="B9659" t="s">
        <v>11839</v>
      </c>
      <c r="C9659" t="s">
        <v>17475</v>
      </c>
      <c r="D9659" t="s">
        <v>36623</v>
      </c>
      <c r="E9659" t="b">
        <v>0</v>
      </c>
      <c r="F9659" t="s">
        <v>11610</v>
      </c>
      <c r="L9659">
        <v>0</v>
      </c>
      <c r="M9659">
        <v>0</v>
      </c>
      <c r="N9659">
        <v>0</v>
      </c>
    </row>
    <row r="9660" spans="1:15">
      <c r="A9660" t="s">
        <v>36624</v>
      </c>
      <c r="B9660" t="s">
        <v>11607</v>
      </c>
      <c r="C9660" t="s">
        <v>28437</v>
      </c>
      <c r="D9660" t="s">
        <v>36625</v>
      </c>
      <c r="E9660" t="b">
        <v>0</v>
      </c>
      <c r="F9660" t="s">
        <v>11610</v>
      </c>
      <c r="L9660">
        <v>0</v>
      </c>
      <c r="M9660">
        <v>0</v>
      </c>
      <c r="N9660">
        <v>0</v>
      </c>
    </row>
    <row r="9661" spans="1:15">
      <c r="A9661" t="s">
        <v>21823</v>
      </c>
      <c r="B9661" t="s">
        <v>11644</v>
      </c>
      <c r="C9661" t="s">
        <v>36094</v>
      </c>
      <c r="D9661" t="s">
        <v>36626</v>
      </c>
      <c r="E9661" t="b">
        <v>0</v>
      </c>
      <c r="F9661" t="s">
        <v>11622</v>
      </c>
      <c r="L9661">
        <v>16</v>
      </c>
      <c r="M9661">
        <v>31</v>
      </c>
      <c r="N9661">
        <v>70</v>
      </c>
    </row>
    <row r="9662" spans="1:15">
      <c r="A9662" t="s">
        <v>36627</v>
      </c>
      <c r="B9662" t="s">
        <v>11607</v>
      </c>
      <c r="C9662" t="s">
        <v>36628</v>
      </c>
      <c r="D9662" t="s">
        <v>36629</v>
      </c>
      <c r="E9662" t="b">
        <v>0</v>
      </c>
      <c r="F9662" t="s">
        <v>11624</v>
      </c>
      <c r="G9662">
        <v>10.1456</v>
      </c>
      <c r="H9662">
        <v>9.7700300000000002</v>
      </c>
      <c r="I9662" t="s">
        <v>36630</v>
      </c>
      <c r="L9662">
        <v>0</v>
      </c>
      <c r="M9662">
        <v>0</v>
      </c>
      <c r="N9662">
        <v>0</v>
      </c>
      <c r="O9662" t="s">
        <v>11693</v>
      </c>
    </row>
    <row r="9663" spans="1:15">
      <c r="A9663" t="s">
        <v>36631</v>
      </c>
      <c r="B9663" t="s">
        <v>11871</v>
      </c>
      <c r="C9663" t="s">
        <v>36632</v>
      </c>
      <c r="D9663" t="s">
        <v>36633</v>
      </c>
      <c r="E9663" t="b">
        <v>0</v>
      </c>
      <c r="F9663" t="s">
        <v>11622</v>
      </c>
      <c r="L9663">
        <v>1</v>
      </c>
      <c r="M9663">
        <v>3</v>
      </c>
      <c r="N9663">
        <v>0</v>
      </c>
    </row>
    <row r="9664" spans="1:15">
      <c r="A9664" t="s">
        <v>36634</v>
      </c>
      <c r="B9664" t="s">
        <v>11871</v>
      </c>
      <c r="C9664" t="s">
        <v>36631</v>
      </c>
      <c r="D9664" t="s">
        <v>36635</v>
      </c>
      <c r="E9664" t="b">
        <v>0</v>
      </c>
      <c r="F9664" t="s">
        <v>11624</v>
      </c>
      <c r="G9664">
        <v>-4.2592699999999999</v>
      </c>
      <c r="H9664">
        <v>144.71100000000001</v>
      </c>
      <c r="I9664" t="s">
        <v>36636</v>
      </c>
      <c r="L9664">
        <v>0</v>
      </c>
      <c r="M9664">
        <v>0</v>
      </c>
      <c r="N9664">
        <v>0</v>
      </c>
      <c r="O9664" t="s">
        <v>11660</v>
      </c>
    </row>
    <row r="9665" spans="1:15">
      <c r="A9665" t="s">
        <v>29237</v>
      </c>
      <c r="B9665" t="s">
        <v>11607</v>
      </c>
      <c r="C9665" t="s">
        <v>28356</v>
      </c>
      <c r="D9665" t="s">
        <v>36637</v>
      </c>
      <c r="E9665" t="b">
        <v>0</v>
      </c>
      <c r="F9665" t="s">
        <v>11622</v>
      </c>
      <c r="L9665">
        <v>2</v>
      </c>
      <c r="M9665">
        <v>4</v>
      </c>
      <c r="N9665">
        <v>2</v>
      </c>
    </row>
    <row r="9666" spans="1:15">
      <c r="A9666" t="s">
        <v>5004</v>
      </c>
      <c r="B9666" t="s">
        <v>331</v>
      </c>
      <c r="C9666" t="s">
        <v>26627</v>
      </c>
      <c r="D9666" t="s">
        <v>36638</v>
      </c>
      <c r="E9666" t="b">
        <v>0</v>
      </c>
      <c r="F9666" t="s">
        <v>11624</v>
      </c>
      <c r="G9666">
        <v>42</v>
      </c>
      <c r="H9666">
        <v>74</v>
      </c>
      <c r="I9666" t="s">
        <v>5005</v>
      </c>
      <c r="L9666">
        <v>0</v>
      </c>
      <c r="M9666">
        <v>0</v>
      </c>
      <c r="N9666">
        <v>2</v>
      </c>
      <c r="O9666" t="s">
        <v>36639</v>
      </c>
    </row>
    <row r="9667" spans="1:15">
      <c r="A9667" t="s">
        <v>36640</v>
      </c>
      <c r="B9667" t="s">
        <v>11637</v>
      </c>
      <c r="C9667" t="s">
        <v>12270</v>
      </c>
      <c r="D9667" t="s">
        <v>36641</v>
      </c>
      <c r="E9667" t="b">
        <v>0</v>
      </c>
      <c r="F9667" t="s">
        <v>11610</v>
      </c>
      <c r="L9667">
        <v>0</v>
      </c>
      <c r="M9667">
        <v>0</v>
      </c>
      <c r="N9667">
        <v>0</v>
      </c>
    </row>
    <row r="9668" spans="1:15">
      <c r="A9668" t="s">
        <v>36642</v>
      </c>
      <c r="B9668" t="s">
        <v>12697</v>
      </c>
      <c r="C9668" t="s">
        <v>31873</v>
      </c>
      <c r="D9668" t="s">
        <v>36643</v>
      </c>
      <c r="E9668" t="b">
        <v>0</v>
      </c>
      <c r="F9668" t="s">
        <v>11624</v>
      </c>
      <c r="G9668">
        <v>4.4112600000000004</v>
      </c>
      <c r="H9668">
        <v>6.9893799999999997</v>
      </c>
      <c r="I9668" t="s">
        <v>36644</v>
      </c>
      <c r="L9668">
        <v>0</v>
      </c>
      <c r="M9668">
        <v>0</v>
      </c>
      <c r="N9668">
        <v>0</v>
      </c>
      <c r="O9668" t="s">
        <v>11693</v>
      </c>
    </row>
    <row r="9669" spans="1:15">
      <c r="A9669" t="s">
        <v>36645</v>
      </c>
      <c r="B9669" t="s">
        <v>367</v>
      </c>
      <c r="C9669" t="s">
        <v>32233</v>
      </c>
      <c r="D9669" t="s">
        <v>36646</v>
      </c>
      <c r="E9669" t="b">
        <v>0</v>
      </c>
      <c r="F9669" t="s">
        <v>11610</v>
      </c>
      <c r="L9669">
        <v>0</v>
      </c>
      <c r="M9669">
        <v>0</v>
      </c>
      <c r="N9669">
        <v>0</v>
      </c>
    </row>
    <row r="9670" spans="1:15">
      <c r="A9670" t="s">
        <v>27625</v>
      </c>
      <c r="B9670" t="s">
        <v>15365</v>
      </c>
      <c r="C9670" t="s">
        <v>27781</v>
      </c>
      <c r="D9670" t="s">
        <v>36647</v>
      </c>
      <c r="E9670" t="b">
        <v>0</v>
      </c>
      <c r="F9670" t="s">
        <v>11624</v>
      </c>
      <c r="G9670">
        <v>-3.1849400000000001</v>
      </c>
      <c r="H9670">
        <v>137.28200000000001</v>
      </c>
      <c r="I9670" t="s">
        <v>36648</v>
      </c>
      <c r="L9670">
        <v>0</v>
      </c>
      <c r="M9670">
        <v>0</v>
      </c>
      <c r="N9670">
        <v>2</v>
      </c>
      <c r="O9670" t="s">
        <v>11768</v>
      </c>
    </row>
    <row r="9671" spans="1:15">
      <c r="A9671" t="s">
        <v>36649</v>
      </c>
      <c r="B9671" t="s">
        <v>19339</v>
      </c>
      <c r="C9671" t="s">
        <v>19340</v>
      </c>
      <c r="D9671" t="s">
        <v>36650</v>
      </c>
      <c r="E9671" t="b">
        <v>0</v>
      </c>
      <c r="F9671" t="s">
        <v>11610</v>
      </c>
      <c r="L9671">
        <v>0</v>
      </c>
      <c r="M9671">
        <v>0</v>
      </c>
      <c r="N9671">
        <v>0</v>
      </c>
    </row>
    <row r="9672" spans="1:15">
      <c r="A9672" t="s">
        <v>36651</v>
      </c>
      <c r="B9672" t="s">
        <v>331</v>
      </c>
      <c r="C9672" t="s">
        <v>12244</v>
      </c>
      <c r="D9672" t="s">
        <v>36652</v>
      </c>
      <c r="E9672" t="b">
        <v>0</v>
      </c>
      <c r="F9672" t="s">
        <v>11610</v>
      </c>
      <c r="L9672">
        <v>0</v>
      </c>
      <c r="M9672">
        <v>0</v>
      </c>
      <c r="N9672">
        <v>0</v>
      </c>
    </row>
    <row r="9673" spans="1:15">
      <c r="A9673" t="s">
        <v>36653</v>
      </c>
      <c r="B9673" t="s">
        <v>11637</v>
      </c>
      <c r="C9673" t="s">
        <v>24847</v>
      </c>
      <c r="D9673" t="s">
        <v>36654</v>
      </c>
      <c r="E9673" t="b">
        <v>0</v>
      </c>
      <c r="F9673" t="s">
        <v>11624</v>
      </c>
      <c r="G9673">
        <v>39.163600000000002</v>
      </c>
      <c r="H9673">
        <v>39.400399999999998</v>
      </c>
      <c r="I9673" t="s">
        <v>36655</v>
      </c>
      <c r="L9673">
        <v>0</v>
      </c>
      <c r="M9673">
        <v>0</v>
      </c>
      <c r="N9673">
        <v>2</v>
      </c>
      <c r="O9673" t="s">
        <v>16254</v>
      </c>
    </row>
    <row r="9674" spans="1:15">
      <c r="A9674" t="s">
        <v>36656</v>
      </c>
      <c r="B9674" t="s">
        <v>12311</v>
      </c>
      <c r="C9674" t="s">
        <v>36657</v>
      </c>
      <c r="D9674" t="s">
        <v>36658</v>
      </c>
      <c r="E9674" t="b">
        <v>0</v>
      </c>
      <c r="F9674" t="s">
        <v>11610</v>
      </c>
      <c r="L9674">
        <v>0</v>
      </c>
      <c r="M9674">
        <v>0</v>
      </c>
      <c r="N9674">
        <v>0</v>
      </c>
    </row>
    <row r="9675" spans="1:15">
      <c r="A9675" t="s">
        <v>22061</v>
      </c>
      <c r="B9675" t="s">
        <v>6742</v>
      </c>
      <c r="C9675" t="s">
        <v>15584</v>
      </c>
      <c r="D9675" t="s">
        <v>36659</v>
      </c>
      <c r="E9675" t="b">
        <v>0</v>
      </c>
      <c r="F9675" t="s">
        <v>11622</v>
      </c>
      <c r="L9675">
        <v>0</v>
      </c>
      <c r="M9675">
        <v>2</v>
      </c>
      <c r="N9675">
        <v>6</v>
      </c>
    </row>
    <row r="9676" spans="1:15">
      <c r="A9676" t="s">
        <v>36628</v>
      </c>
      <c r="B9676" t="s">
        <v>11607</v>
      </c>
      <c r="C9676" t="s">
        <v>19101</v>
      </c>
      <c r="D9676" t="s">
        <v>36660</v>
      </c>
      <c r="E9676" t="b">
        <v>0</v>
      </c>
      <c r="F9676" t="s">
        <v>11622</v>
      </c>
      <c r="L9676">
        <v>0</v>
      </c>
      <c r="M9676">
        <v>2</v>
      </c>
      <c r="N9676">
        <v>0</v>
      </c>
    </row>
    <row r="9677" spans="1:15">
      <c r="A9677" t="s">
        <v>36661</v>
      </c>
      <c r="B9677" t="s">
        <v>6742</v>
      </c>
      <c r="C9677" t="s">
        <v>20105</v>
      </c>
      <c r="D9677" t="s">
        <v>36662</v>
      </c>
      <c r="E9677" t="b">
        <v>0</v>
      </c>
      <c r="F9677" t="s">
        <v>11610</v>
      </c>
      <c r="L9677">
        <v>0</v>
      </c>
      <c r="M9677">
        <v>0</v>
      </c>
      <c r="N9677">
        <v>0</v>
      </c>
    </row>
    <row r="9678" spans="1:15">
      <c r="A9678" t="s">
        <v>36663</v>
      </c>
      <c r="B9678" t="s">
        <v>11607</v>
      </c>
      <c r="C9678" t="s">
        <v>31126</v>
      </c>
      <c r="D9678" t="s">
        <v>36664</v>
      </c>
      <c r="E9678" t="b">
        <v>0</v>
      </c>
      <c r="F9678" t="s">
        <v>11624</v>
      </c>
      <c r="G9678">
        <v>10.48</v>
      </c>
      <c r="H9678">
        <v>13.36</v>
      </c>
      <c r="I9678" t="s">
        <v>36665</v>
      </c>
      <c r="L9678">
        <v>0</v>
      </c>
      <c r="M9678">
        <v>0</v>
      </c>
      <c r="N9678">
        <v>0</v>
      </c>
      <c r="O9678" t="s">
        <v>11693</v>
      </c>
    </row>
    <row r="9679" spans="1:15">
      <c r="A9679" t="s">
        <v>36666</v>
      </c>
      <c r="B9679" t="s">
        <v>11637</v>
      </c>
      <c r="C9679" t="s">
        <v>16777</v>
      </c>
      <c r="D9679" t="s">
        <v>36667</v>
      </c>
      <c r="E9679" t="b">
        <v>0</v>
      </c>
      <c r="F9679" t="s">
        <v>11610</v>
      </c>
      <c r="L9679">
        <v>0</v>
      </c>
      <c r="M9679">
        <v>0</v>
      </c>
      <c r="N9679">
        <v>0</v>
      </c>
    </row>
    <row r="9680" spans="1:15">
      <c r="A9680" t="s">
        <v>36668</v>
      </c>
      <c r="B9680" t="s">
        <v>11844</v>
      </c>
      <c r="C9680" t="s">
        <v>36669</v>
      </c>
      <c r="D9680" t="s">
        <v>36670</v>
      </c>
      <c r="E9680" t="b">
        <v>0</v>
      </c>
      <c r="F9680" t="s">
        <v>11610</v>
      </c>
      <c r="I9680" t="s">
        <v>36671</v>
      </c>
      <c r="L9680">
        <v>0</v>
      </c>
      <c r="M9680">
        <v>0</v>
      </c>
      <c r="N9680">
        <v>0</v>
      </c>
    </row>
    <row r="9681" spans="1:15">
      <c r="A9681" t="s">
        <v>36672</v>
      </c>
      <c r="B9681" t="s">
        <v>6742</v>
      </c>
      <c r="C9681" t="s">
        <v>36673</v>
      </c>
      <c r="D9681" t="s">
        <v>36674</v>
      </c>
      <c r="E9681" t="b">
        <v>0</v>
      </c>
      <c r="F9681" t="s">
        <v>11610</v>
      </c>
      <c r="L9681">
        <v>0</v>
      </c>
      <c r="M9681">
        <v>0</v>
      </c>
      <c r="N9681">
        <v>0</v>
      </c>
    </row>
    <row r="9682" spans="1:15">
      <c r="A9682" t="s">
        <v>36675</v>
      </c>
      <c r="B9682" t="s">
        <v>6742</v>
      </c>
      <c r="C9682" t="s">
        <v>21900</v>
      </c>
      <c r="D9682" t="s">
        <v>36676</v>
      </c>
      <c r="E9682" t="b">
        <v>0</v>
      </c>
      <c r="F9682" t="s">
        <v>11624</v>
      </c>
      <c r="G9682">
        <v>0.15290000000000001</v>
      </c>
      <c r="H9682">
        <v>34.570799999999998</v>
      </c>
      <c r="I9682" t="s">
        <v>36677</v>
      </c>
      <c r="L9682">
        <v>0</v>
      </c>
      <c r="M9682">
        <v>0</v>
      </c>
      <c r="N9682">
        <v>0</v>
      </c>
      <c r="O9682" t="s">
        <v>22848</v>
      </c>
    </row>
    <row r="9683" spans="1:15">
      <c r="A9683" t="s">
        <v>36678</v>
      </c>
      <c r="B9683" t="s">
        <v>11627</v>
      </c>
      <c r="C9683" t="s">
        <v>11627</v>
      </c>
      <c r="D9683" t="s">
        <v>36679</v>
      </c>
      <c r="E9683" t="b">
        <v>1</v>
      </c>
      <c r="F9683" t="s">
        <v>11624</v>
      </c>
      <c r="G9683">
        <v>-8.5411000000000001</v>
      </c>
      <c r="H9683">
        <v>35.6751</v>
      </c>
      <c r="I9683" t="s">
        <v>36680</v>
      </c>
      <c r="L9683">
        <v>0</v>
      </c>
      <c r="M9683">
        <v>0</v>
      </c>
      <c r="N9683">
        <v>0</v>
      </c>
      <c r="O9683" t="s">
        <v>11635</v>
      </c>
    </row>
    <row r="9684" spans="1:15">
      <c r="A9684" t="s">
        <v>36681</v>
      </c>
      <c r="B9684" t="s">
        <v>367</v>
      </c>
      <c r="C9684" t="s">
        <v>36682</v>
      </c>
      <c r="D9684" t="s">
        <v>36683</v>
      </c>
      <c r="E9684" t="b">
        <v>0</v>
      </c>
      <c r="F9684" t="s">
        <v>11622</v>
      </c>
      <c r="L9684">
        <v>0</v>
      </c>
      <c r="M9684">
        <v>2</v>
      </c>
      <c r="N9684">
        <v>0</v>
      </c>
    </row>
    <row r="9685" spans="1:15">
      <c r="A9685" t="s">
        <v>36684</v>
      </c>
      <c r="B9685" t="s">
        <v>367</v>
      </c>
      <c r="C9685" t="s">
        <v>36681</v>
      </c>
      <c r="D9685" t="s">
        <v>36685</v>
      </c>
      <c r="E9685" t="b">
        <v>0</v>
      </c>
      <c r="F9685" t="s">
        <v>11624</v>
      </c>
      <c r="G9685">
        <v>-8.0512200000000007</v>
      </c>
      <c r="H9685">
        <v>127.18</v>
      </c>
      <c r="I9685" t="s">
        <v>36686</v>
      </c>
      <c r="L9685">
        <v>0</v>
      </c>
      <c r="M9685">
        <v>0</v>
      </c>
      <c r="N9685">
        <v>0</v>
      </c>
      <c r="O9685" t="s">
        <v>11768</v>
      </c>
    </row>
    <row r="9686" spans="1:15">
      <c r="A9686" t="s">
        <v>36687</v>
      </c>
      <c r="B9686" t="s">
        <v>13314</v>
      </c>
      <c r="C9686" t="s">
        <v>13313</v>
      </c>
      <c r="D9686" t="s">
        <v>36688</v>
      </c>
      <c r="E9686" t="b">
        <v>0</v>
      </c>
      <c r="F9686" t="s">
        <v>11610</v>
      </c>
      <c r="L9686">
        <v>0</v>
      </c>
      <c r="M9686">
        <v>0</v>
      </c>
      <c r="N9686">
        <v>0</v>
      </c>
    </row>
    <row r="9687" spans="1:15">
      <c r="A9687" t="s">
        <v>36689</v>
      </c>
      <c r="B9687" t="s">
        <v>6742</v>
      </c>
      <c r="C9687" t="s">
        <v>36453</v>
      </c>
      <c r="D9687" t="s">
        <v>36690</v>
      </c>
      <c r="E9687" t="b">
        <v>0</v>
      </c>
      <c r="F9687" t="s">
        <v>11610</v>
      </c>
      <c r="L9687">
        <v>0</v>
      </c>
      <c r="M9687">
        <v>0</v>
      </c>
      <c r="N9687">
        <v>0</v>
      </c>
    </row>
    <row r="9688" spans="1:15">
      <c r="A9688" t="s">
        <v>36691</v>
      </c>
      <c r="B9688" t="s">
        <v>11637</v>
      </c>
      <c r="C9688" t="s">
        <v>16090</v>
      </c>
      <c r="D9688" t="s">
        <v>36692</v>
      </c>
      <c r="E9688" t="b">
        <v>0</v>
      </c>
      <c r="F9688" t="s">
        <v>11610</v>
      </c>
      <c r="L9688">
        <v>0</v>
      </c>
      <c r="M9688">
        <v>0</v>
      </c>
      <c r="N9688">
        <v>0</v>
      </c>
    </row>
    <row r="9689" spans="1:15">
      <c r="A9689" t="s">
        <v>36693</v>
      </c>
      <c r="B9689" t="s">
        <v>6742</v>
      </c>
      <c r="C9689" t="s">
        <v>23978</v>
      </c>
      <c r="D9689" t="s">
        <v>36694</v>
      </c>
      <c r="E9689" t="b">
        <v>0</v>
      </c>
      <c r="F9689" t="s">
        <v>11610</v>
      </c>
      <c r="L9689">
        <v>0</v>
      </c>
      <c r="M9689">
        <v>0</v>
      </c>
      <c r="N9689">
        <v>0</v>
      </c>
    </row>
    <row r="9690" spans="1:15">
      <c r="A9690" t="s">
        <v>36695</v>
      </c>
      <c r="B9690" t="s">
        <v>6742</v>
      </c>
      <c r="C9690" t="s">
        <v>36696</v>
      </c>
      <c r="D9690" t="s">
        <v>36697</v>
      </c>
      <c r="E9690" t="b">
        <v>0</v>
      </c>
      <c r="F9690" t="s">
        <v>11624</v>
      </c>
      <c r="G9690">
        <v>-9.93</v>
      </c>
      <c r="H9690">
        <v>34.482500000000002</v>
      </c>
      <c r="I9690" t="s">
        <v>36698</v>
      </c>
      <c r="L9690">
        <v>0</v>
      </c>
      <c r="M9690">
        <v>0</v>
      </c>
      <c r="N9690">
        <v>0</v>
      </c>
      <c r="O9690" t="s">
        <v>27909</v>
      </c>
    </row>
    <row r="9691" spans="1:15">
      <c r="A9691" t="s">
        <v>36696</v>
      </c>
      <c r="B9691" t="s">
        <v>6742</v>
      </c>
      <c r="C9691" t="s">
        <v>17922</v>
      </c>
      <c r="D9691" t="s">
        <v>36699</v>
      </c>
      <c r="E9691" t="b">
        <v>0</v>
      </c>
      <c r="F9691" t="s">
        <v>11622</v>
      </c>
      <c r="L9691">
        <v>0</v>
      </c>
      <c r="M9691">
        <v>2</v>
      </c>
      <c r="N9691">
        <v>1</v>
      </c>
    </row>
    <row r="9692" spans="1:15">
      <c r="A9692" t="s">
        <v>36700</v>
      </c>
      <c r="B9692" t="s">
        <v>11757</v>
      </c>
      <c r="C9692" t="s">
        <v>216</v>
      </c>
      <c r="D9692" t="s">
        <v>36701</v>
      </c>
      <c r="E9692" t="b">
        <v>0</v>
      </c>
      <c r="F9692" t="s">
        <v>11610</v>
      </c>
      <c r="L9692">
        <v>0</v>
      </c>
      <c r="M9692">
        <v>0</v>
      </c>
      <c r="N9692">
        <v>0</v>
      </c>
    </row>
    <row r="9693" spans="1:15">
      <c r="A9693" t="s">
        <v>36702</v>
      </c>
      <c r="B9693" t="s">
        <v>6742</v>
      </c>
      <c r="C9693" t="s">
        <v>20255</v>
      </c>
      <c r="D9693" t="s">
        <v>36703</v>
      </c>
      <c r="E9693" t="b">
        <v>0</v>
      </c>
      <c r="F9693" t="s">
        <v>11622</v>
      </c>
      <c r="L9693">
        <v>0</v>
      </c>
      <c r="M9693">
        <v>2</v>
      </c>
      <c r="N9693">
        <v>7</v>
      </c>
    </row>
    <row r="9694" spans="1:15">
      <c r="A9694" t="s">
        <v>36704</v>
      </c>
      <c r="B9694" t="s">
        <v>367</v>
      </c>
      <c r="C9694" t="s">
        <v>36705</v>
      </c>
      <c r="D9694" t="s">
        <v>36706</v>
      </c>
      <c r="E9694" t="b">
        <v>0</v>
      </c>
      <c r="F9694" t="s">
        <v>11624</v>
      </c>
      <c r="G9694">
        <v>-3.8390900000000001</v>
      </c>
      <c r="H9694">
        <v>143.96</v>
      </c>
      <c r="I9694" t="s">
        <v>36707</v>
      </c>
      <c r="L9694">
        <v>0</v>
      </c>
      <c r="M9694">
        <v>0</v>
      </c>
      <c r="N9694">
        <v>0</v>
      </c>
      <c r="O9694" t="s">
        <v>11660</v>
      </c>
    </row>
    <row r="9695" spans="1:15">
      <c r="A9695" t="s">
        <v>25061</v>
      </c>
      <c r="B9695" t="s">
        <v>11607</v>
      </c>
      <c r="C9695" t="s">
        <v>28302</v>
      </c>
      <c r="D9695" t="s">
        <v>36708</v>
      </c>
      <c r="E9695" t="b">
        <v>0</v>
      </c>
      <c r="F9695" t="s">
        <v>11624</v>
      </c>
      <c r="G9695">
        <v>8.3356100000000009</v>
      </c>
      <c r="H9695">
        <v>38.476300000000002</v>
      </c>
      <c r="I9695" t="s">
        <v>36709</v>
      </c>
      <c r="L9695">
        <v>0</v>
      </c>
      <c r="M9695">
        <v>0</v>
      </c>
      <c r="N9695">
        <v>2</v>
      </c>
      <c r="O9695" t="s">
        <v>11625</v>
      </c>
    </row>
    <row r="9696" spans="1:15">
      <c r="A9696" t="s">
        <v>36705</v>
      </c>
      <c r="B9696" t="s">
        <v>367</v>
      </c>
      <c r="C9696" t="s">
        <v>16441</v>
      </c>
      <c r="D9696" t="s">
        <v>36710</v>
      </c>
      <c r="E9696" t="b">
        <v>0</v>
      </c>
      <c r="F9696" t="s">
        <v>11622</v>
      </c>
      <c r="L9696">
        <v>0</v>
      </c>
      <c r="M9696">
        <v>2</v>
      </c>
      <c r="N9696">
        <v>0</v>
      </c>
    </row>
    <row r="9697" spans="1:15">
      <c r="A9697" t="s">
        <v>36711</v>
      </c>
      <c r="B9697" t="s">
        <v>12250</v>
      </c>
      <c r="C9697" t="s">
        <v>36712</v>
      </c>
      <c r="D9697" t="s">
        <v>36713</v>
      </c>
      <c r="E9697" t="b">
        <v>0</v>
      </c>
      <c r="F9697" t="s">
        <v>11624</v>
      </c>
      <c r="G9697">
        <v>44.377299999999998</v>
      </c>
      <c r="H9697">
        <v>115.986</v>
      </c>
      <c r="I9697" t="s">
        <v>36714</v>
      </c>
      <c r="L9697">
        <v>0</v>
      </c>
      <c r="M9697">
        <v>0</v>
      </c>
      <c r="N9697">
        <v>0</v>
      </c>
      <c r="O9697" t="s">
        <v>11905</v>
      </c>
    </row>
    <row r="9698" spans="1:15">
      <c r="A9698" t="s">
        <v>34097</v>
      </c>
      <c r="B9698" t="s">
        <v>13276</v>
      </c>
      <c r="C9698" t="s">
        <v>36715</v>
      </c>
      <c r="D9698" t="s">
        <v>36716</v>
      </c>
      <c r="E9698" t="b">
        <v>0</v>
      </c>
      <c r="F9698" t="s">
        <v>11622</v>
      </c>
      <c r="L9698">
        <v>0</v>
      </c>
      <c r="M9698">
        <v>2</v>
      </c>
      <c r="N9698">
        <v>1</v>
      </c>
    </row>
    <row r="9699" spans="1:15">
      <c r="A9699" t="s">
        <v>28135</v>
      </c>
      <c r="B9699" t="s">
        <v>13276</v>
      </c>
      <c r="C9699" t="s">
        <v>34097</v>
      </c>
      <c r="D9699" t="s">
        <v>36717</v>
      </c>
      <c r="E9699" t="b">
        <v>0</v>
      </c>
      <c r="F9699" t="s">
        <v>11624</v>
      </c>
      <c r="G9699">
        <v>13.1798</v>
      </c>
      <c r="H9699">
        <v>-9.4915099999999999</v>
      </c>
      <c r="I9699" t="s">
        <v>36718</v>
      </c>
      <c r="L9699">
        <v>0</v>
      </c>
      <c r="M9699">
        <v>0</v>
      </c>
      <c r="N9699">
        <v>1</v>
      </c>
      <c r="O9699" t="s">
        <v>33094</v>
      </c>
    </row>
    <row r="9700" spans="1:15">
      <c r="A9700" t="s">
        <v>36719</v>
      </c>
      <c r="B9700" t="s">
        <v>367</v>
      </c>
      <c r="C9700" t="s">
        <v>36499</v>
      </c>
      <c r="D9700" t="s">
        <v>36720</v>
      </c>
      <c r="E9700" t="b">
        <v>0</v>
      </c>
      <c r="F9700" t="s">
        <v>11610</v>
      </c>
      <c r="L9700">
        <v>0</v>
      </c>
      <c r="M9700">
        <v>0</v>
      </c>
      <c r="N9700">
        <v>0</v>
      </c>
    </row>
    <row r="9701" spans="1:15">
      <c r="A9701" t="s">
        <v>36721</v>
      </c>
      <c r="B9701" t="s">
        <v>4342</v>
      </c>
      <c r="C9701" t="s">
        <v>31422</v>
      </c>
      <c r="D9701" t="s">
        <v>36722</v>
      </c>
      <c r="E9701" t="b">
        <v>0</v>
      </c>
      <c r="F9701" t="s">
        <v>11610</v>
      </c>
      <c r="L9701">
        <v>0</v>
      </c>
      <c r="M9701">
        <v>0</v>
      </c>
      <c r="N9701">
        <v>0</v>
      </c>
    </row>
    <row r="9702" spans="1:15">
      <c r="A9702" t="s">
        <v>36723</v>
      </c>
      <c r="B9702" t="s">
        <v>22306</v>
      </c>
      <c r="C9702" t="s">
        <v>22307</v>
      </c>
      <c r="D9702" t="s">
        <v>36724</v>
      </c>
      <c r="E9702" t="b">
        <v>0</v>
      </c>
      <c r="F9702" t="s">
        <v>11624</v>
      </c>
      <c r="G9702">
        <v>-16</v>
      </c>
      <c r="H9702">
        <v>-62.75</v>
      </c>
      <c r="L9702">
        <v>0</v>
      </c>
      <c r="M9702">
        <v>0</v>
      </c>
      <c r="N9702">
        <v>0</v>
      </c>
      <c r="O9702" t="s">
        <v>14185</v>
      </c>
    </row>
    <row r="9703" spans="1:15">
      <c r="A9703" t="s">
        <v>22307</v>
      </c>
      <c r="B9703" t="s">
        <v>22306</v>
      </c>
      <c r="C9703" t="s">
        <v>22306</v>
      </c>
      <c r="D9703" t="s">
        <v>36725</v>
      </c>
      <c r="E9703" t="b">
        <v>0</v>
      </c>
      <c r="F9703" t="s">
        <v>11622</v>
      </c>
      <c r="L9703">
        <v>0</v>
      </c>
      <c r="M9703">
        <v>2</v>
      </c>
      <c r="N9703">
        <v>0</v>
      </c>
    </row>
    <row r="9704" spans="1:15">
      <c r="A9704" t="s">
        <v>36726</v>
      </c>
      <c r="B9704" t="s">
        <v>367</v>
      </c>
      <c r="C9704" t="s">
        <v>10989</v>
      </c>
      <c r="D9704" t="s">
        <v>36727</v>
      </c>
      <c r="E9704" t="b">
        <v>0</v>
      </c>
      <c r="F9704" t="s">
        <v>11610</v>
      </c>
      <c r="L9704">
        <v>0</v>
      </c>
      <c r="M9704">
        <v>0</v>
      </c>
      <c r="N9704">
        <v>0</v>
      </c>
    </row>
    <row r="9705" spans="1:15">
      <c r="A9705" t="s">
        <v>36728</v>
      </c>
      <c r="B9705" t="s">
        <v>17854</v>
      </c>
      <c r="C9705" t="s">
        <v>30571</v>
      </c>
      <c r="D9705" t="s">
        <v>36729</v>
      </c>
      <c r="E9705" t="b">
        <v>0</v>
      </c>
      <c r="F9705" t="s">
        <v>11610</v>
      </c>
      <c r="L9705">
        <v>0</v>
      </c>
      <c r="M9705">
        <v>0</v>
      </c>
      <c r="N9705">
        <v>0</v>
      </c>
    </row>
    <row r="9706" spans="1:15">
      <c r="A9706" t="s">
        <v>36730</v>
      </c>
      <c r="B9706" t="s">
        <v>2665</v>
      </c>
      <c r="C9706" t="s">
        <v>2665</v>
      </c>
      <c r="D9706" t="s">
        <v>36731</v>
      </c>
      <c r="E9706" t="b">
        <v>0</v>
      </c>
      <c r="F9706" t="s">
        <v>11624</v>
      </c>
      <c r="G9706">
        <v>-17.575800000000001</v>
      </c>
      <c r="H9706">
        <v>127.392</v>
      </c>
      <c r="I9706" t="s">
        <v>36732</v>
      </c>
      <c r="L9706">
        <v>0</v>
      </c>
      <c r="M9706">
        <v>0</v>
      </c>
      <c r="N9706">
        <v>0</v>
      </c>
      <c r="O9706" t="s">
        <v>12107</v>
      </c>
    </row>
    <row r="9707" spans="1:15">
      <c r="A9707" t="s">
        <v>36733</v>
      </c>
      <c r="B9707" t="s">
        <v>8146</v>
      </c>
      <c r="C9707" t="s">
        <v>36734</v>
      </c>
      <c r="D9707" t="s">
        <v>36735</v>
      </c>
      <c r="E9707" t="b">
        <v>0</v>
      </c>
      <c r="F9707" t="s">
        <v>11624</v>
      </c>
      <c r="G9707">
        <v>31.83</v>
      </c>
      <c r="H9707">
        <v>-96.5</v>
      </c>
      <c r="I9707" t="s">
        <v>36736</v>
      </c>
      <c r="L9707">
        <v>0</v>
      </c>
      <c r="M9707">
        <v>0</v>
      </c>
      <c r="N9707">
        <v>0</v>
      </c>
      <c r="O9707" t="s">
        <v>11944</v>
      </c>
    </row>
    <row r="9708" spans="1:15">
      <c r="A9708" t="s">
        <v>36737</v>
      </c>
      <c r="B9708" t="s">
        <v>6742</v>
      </c>
      <c r="C9708" t="s">
        <v>36738</v>
      </c>
      <c r="D9708" t="s">
        <v>36739</v>
      </c>
      <c r="E9708" t="b">
        <v>0</v>
      </c>
      <c r="F9708" t="s">
        <v>11624</v>
      </c>
      <c r="G9708">
        <v>-4.1565399999999997</v>
      </c>
      <c r="H9708">
        <v>14.5648</v>
      </c>
      <c r="I9708" t="s">
        <v>36740</v>
      </c>
      <c r="L9708">
        <v>0</v>
      </c>
      <c r="M9708">
        <v>0</v>
      </c>
      <c r="N9708">
        <v>0</v>
      </c>
      <c r="O9708" t="s">
        <v>12868</v>
      </c>
    </row>
    <row r="9709" spans="1:15">
      <c r="A9709" t="s">
        <v>26090</v>
      </c>
      <c r="B9709" t="s">
        <v>6742</v>
      </c>
      <c r="C9709" t="s">
        <v>36738</v>
      </c>
      <c r="D9709" t="s">
        <v>36741</v>
      </c>
      <c r="E9709" t="b">
        <v>0</v>
      </c>
      <c r="F9709" t="s">
        <v>11624</v>
      </c>
      <c r="G9709">
        <v>-2.2960099999999999</v>
      </c>
      <c r="H9709">
        <v>17.154800000000002</v>
      </c>
      <c r="I9709" t="s">
        <v>36742</v>
      </c>
      <c r="L9709">
        <v>0</v>
      </c>
      <c r="M9709">
        <v>0</v>
      </c>
      <c r="N9709">
        <v>3</v>
      </c>
      <c r="O9709" t="s">
        <v>14825</v>
      </c>
    </row>
    <row r="9710" spans="1:15">
      <c r="A9710" t="s">
        <v>36743</v>
      </c>
      <c r="B9710" t="s">
        <v>300</v>
      </c>
      <c r="C9710" t="s">
        <v>8583</v>
      </c>
      <c r="D9710" t="s">
        <v>36744</v>
      </c>
      <c r="E9710" t="b">
        <v>0</v>
      </c>
      <c r="F9710" t="s">
        <v>11610</v>
      </c>
      <c r="L9710">
        <v>0</v>
      </c>
      <c r="M9710">
        <v>0</v>
      </c>
      <c r="N9710">
        <v>0</v>
      </c>
    </row>
    <row r="9711" spans="1:15">
      <c r="A9711" t="s">
        <v>36745</v>
      </c>
      <c r="B9711" t="s">
        <v>11637</v>
      </c>
      <c r="C9711" t="s">
        <v>15837</v>
      </c>
      <c r="D9711" t="s">
        <v>36746</v>
      </c>
      <c r="E9711" t="b">
        <v>0</v>
      </c>
      <c r="F9711" t="s">
        <v>11610</v>
      </c>
      <c r="L9711">
        <v>0</v>
      </c>
      <c r="M9711">
        <v>0</v>
      </c>
      <c r="N9711">
        <v>0</v>
      </c>
    </row>
    <row r="9712" spans="1:15">
      <c r="A9712" t="s">
        <v>36747</v>
      </c>
      <c r="B9712" t="s">
        <v>367</v>
      </c>
      <c r="C9712" t="s">
        <v>17635</v>
      </c>
      <c r="D9712" t="s">
        <v>36748</v>
      </c>
      <c r="E9712" t="b">
        <v>0</v>
      </c>
      <c r="F9712" t="s">
        <v>11610</v>
      </c>
      <c r="L9712">
        <v>0</v>
      </c>
      <c r="M9712">
        <v>0</v>
      </c>
      <c r="N9712">
        <v>0</v>
      </c>
    </row>
    <row r="9713" spans="1:15">
      <c r="A9713" t="s">
        <v>36749</v>
      </c>
      <c r="B9713" t="s">
        <v>12311</v>
      </c>
      <c r="C9713" t="s">
        <v>12742</v>
      </c>
      <c r="D9713" t="s">
        <v>36750</v>
      </c>
      <c r="E9713" t="b">
        <v>0</v>
      </c>
      <c r="F9713" t="s">
        <v>11610</v>
      </c>
      <c r="L9713">
        <v>0</v>
      </c>
      <c r="M9713">
        <v>0</v>
      </c>
      <c r="N9713">
        <v>0</v>
      </c>
    </row>
    <row r="9714" spans="1:15">
      <c r="A9714" t="s">
        <v>36751</v>
      </c>
      <c r="B9714" t="s">
        <v>6742</v>
      </c>
      <c r="C9714" t="s">
        <v>23346</v>
      </c>
      <c r="D9714" t="s">
        <v>36752</v>
      </c>
      <c r="E9714" t="b">
        <v>0</v>
      </c>
      <c r="F9714" t="s">
        <v>11610</v>
      </c>
      <c r="L9714">
        <v>0</v>
      </c>
      <c r="M9714">
        <v>0</v>
      </c>
      <c r="N9714">
        <v>0</v>
      </c>
    </row>
    <row r="9715" spans="1:15">
      <c r="A9715" t="s">
        <v>28039</v>
      </c>
      <c r="B9715" t="s">
        <v>6742</v>
      </c>
      <c r="C9715" t="s">
        <v>33940</v>
      </c>
      <c r="D9715" t="s">
        <v>36753</v>
      </c>
      <c r="E9715" t="b">
        <v>0</v>
      </c>
      <c r="F9715" t="s">
        <v>11622</v>
      </c>
      <c r="L9715">
        <v>6</v>
      </c>
      <c r="M9715">
        <v>14</v>
      </c>
      <c r="N9715">
        <v>13</v>
      </c>
    </row>
    <row r="9716" spans="1:15">
      <c r="A9716" t="s">
        <v>14524</v>
      </c>
      <c r="D9716" t="s">
        <v>36754</v>
      </c>
      <c r="E9716" t="b">
        <v>0</v>
      </c>
      <c r="F9716" t="s">
        <v>11622</v>
      </c>
      <c r="L9716">
        <v>1</v>
      </c>
      <c r="M9716">
        <v>6</v>
      </c>
      <c r="N9716">
        <v>16</v>
      </c>
    </row>
    <row r="9717" spans="1:15">
      <c r="A9717" t="s">
        <v>36755</v>
      </c>
      <c r="B9717" t="s">
        <v>367</v>
      </c>
      <c r="C9717" t="s">
        <v>25499</v>
      </c>
      <c r="D9717" t="s">
        <v>36756</v>
      </c>
      <c r="E9717" t="b">
        <v>0</v>
      </c>
      <c r="F9717" t="s">
        <v>11610</v>
      </c>
      <c r="L9717">
        <v>0</v>
      </c>
      <c r="M9717">
        <v>0</v>
      </c>
      <c r="N9717">
        <v>0</v>
      </c>
    </row>
    <row r="9718" spans="1:15">
      <c r="A9718" t="s">
        <v>36757</v>
      </c>
      <c r="B9718" t="s">
        <v>6742</v>
      </c>
      <c r="C9718" t="s">
        <v>30399</v>
      </c>
      <c r="D9718" t="s">
        <v>36758</v>
      </c>
      <c r="E9718" t="b">
        <v>0</v>
      </c>
      <c r="F9718" t="s">
        <v>11610</v>
      </c>
      <c r="L9718">
        <v>0</v>
      </c>
      <c r="M9718">
        <v>0</v>
      </c>
      <c r="N9718">
        <v>0</v>
      </c>
    </row>
    <row r="9719" spans="1:15">
      <c r="A9719" t="s">
        <v>36759</v>
      </c>
      <c r="B9719" t="s">
        <v>11644</v>
      </c>
      <c r="C9719" t="s">
        <v>36760</v>
      </c>
      <c r="D9719" t="s">
        <v>36761</v>
      </c>
      <c r="E9719" t="b">
        <v>0</v>
      </c>
      <c r="F9719" t="s">
        <v>11610</v>
      </c>
      <c r="L9719">
        <v>0</v>
      </c>
      <c r="M9719">
        <v>0</v>
      </c>
      <c r="N9719">
        <v>0</v>
      </c>
    </row>
    <row r="9720" spans="1:15">
      <c r="A9720" t="s">
        <v>36762</v>
      </c>
      <c r="B9720" t="s">
        <v>6742</v>
      </c>
      <c r="C9720" t="s">
        <v>28990</v>
      </c>
      <c r="D9720" t="s">
        <v>36763</v>
      </c>
      <c r="E9720" t="b">
        <v>0</v>
      </c>
      <c r="F9720" t="s">
        <v>11610</v>
      </c>
      <c r="L9720">
        <v>0</v>
      </c>
      <c r="M9720">
        <v>0</v>
      </c>
      <c r="N9720">
        <v>0</v>
      </c>
    </row>
    <row r="9721" spans="1:15">
      <c r="A9721" t="s">
        <v>36764</v>
      </c>
      <c r="B9721" t="s">
        <v>11644</v>
      </c>
      <c r="C9721" t="s">
        <v>20789</v>
      </c>
      <c r="D9721" t="s">
        <v>36765</v>
      </c>
      <c r="E9721" t="b">
        <v>0</v>
      </c>
      <c r="F9721" t="s">
        <v>11610</v>
      </c>
      <c r="L9721">
        <v>0</v>
      </c>
      <c r="M9721">
        <v>0</v>
      </c>
      <c r="N9721">
        <v>0</v>
      </c>
    </row>
    <row r="9722" spans="1:15">
      <c r="A9722" t="s">
        <v>36766</v>
      </c>
      <c r="B9722" t="s">
        <v>13450</v>
      </c>
      <c r="C9722" t="s">
        <v>36767</v>
      </c>
      <c r="D9722" t="s">
        <v>36768</v>
      </c>
      <c r="E9722" t="b">
        <v>0</v>
      </c>
      <c r="F9722" t="s">
        <v>11624</v>
      </c>
      <c r="L9722">
        <v>0</v>
      </c>
      <c r="M9722">
        <v>0</v>
      </c>
      <c r="N9722">
        <v>0</v>
      </c>
      <c r="O9722" t="s">
        <v>12748</v>
      </c>
    </row>
    <row r="9723" spans="1:15">
      <c r="A9723" t="s">
        <v>36769</v>
      </c>
      <c r="B9723" t="s">
        <v>12686</v>
      </c>
      <c r="C9723" t="s">
        <v>36770</v>
      </c>
      <c r="D9723" t="s">
        <v>36771</v>
      </c>
      <c r="E9723" t="b">
        <v>0</v>
      </c>
      <c r="F9723" t="s">
        <v>11610</v>
      </c>
      <c r="L9723">
        <v>0</v>
      </c>
      <c r="M9723">
        <v>0</v>
      </c>
      <c r="N9723">
        <v>0</v>
      </c>
    </row>
    <row r="9724" spans="1:15">
      <c r="A9724" t="s">
        <v>36772</v>
      </c>
      <c r="B9724" t="s">
        <v>11637</v>
      </c>
      <c r="C9724" t="s">
        <v>36773</v>
      </c>
      <c r="D9724" t="s">
        <v>36774</v>
      </c>
      <c r="E9724" t="b">
        <v>0</v>
      </c>
      <c r="F9724" t="s">
        <v>11610</v>
      </c>
      <c r="L9724">
        <v>0</v>
      </c>
      <c r="M9724">
        <v>0</v>
      </c>
      <c r="N9724">
        <v>0</v>
      </c>
    </row>
    <row r="9725" spans="1:15">
      <c r="A9725" t="s">
        <v>36775</v>
      </c>
      <c r="B9725" t="s">
        <v>13276</v>
      </c>
      <c r="C9725" t="s">
        <v>24071</v>
      </c>
      <c r="D9725" t="s">
        <v>36776</v>
      </c>
      <c r="E9725" t="b">
        <v>0</v>
      </c>
      <c r="F9725" t="s">
        <v>11610</v>
      </c>
      <c r="I9725" t="s">
        <v>36777</v>
      </c>
      <c r="L9725">
        <v>0</v>
      </c>
      <c r="M9725">
        <v>0</v>
      </c>
      <c r="N9725">
        <v>0</v>
      </c>
      <c r="O9725" t="s">
        <v>11735</v>
      </c>
    </row>
    <row r="9726" spans="1:15">
      <c r="A9726" t="s">
        <v>36778</v>
      </c>
      <c r="B9726" t="s">
        <v>6742</v>
      </c>
      <c r="C9726" t="s">
        <v>25102</v>
      </c>
      <c r="D9726" t="s">
        <v>36779</v>
      </c>
      <c r="E9726" t="b">
        <v>0</v>
      </c>
      <c r="F9726" t="s">
        <v>11610</v>
      </c>
      <c r="L9726">
        <v>0</v>
      </c>
      <c r="M9726">
        <v>0</v>
      </c>
      <c r="N9726">
        <v>0</v>
      </c>
    </row>
    <row r="9727" spans="1:15">
      <c r="A9727" t="s">
        <v>36780</v>
      </c>
      <c r="D9727" t="s">
        <v>36781</v>
      </c>
      <c r="E9727" t="b">
        <v>0</v>
      </c>
      <c r="F9727" t="s">
        <v>11624</v>
      </c>
      <c r="G9727">
        <v>42.586100000000002</v>
      </c>
      <c r="H9727">
        <v>-121.70399999999999</v>
      </c>
      <c r="I9727" t="s">
        <v>36782</v>
      </c>
      <c r="L9727">
        <v>0</v>
      </c>
      <c r="M9727">
        <v>0</v>
      </c>
      <c r="N9727">
        <v>0</v>
      </c>
      <c r="O9727" t="s">
        <v>11944</v>
      </c>
    </row>
    <row r="9728" spans="1:15">
      <c r="A9728" t="s">
        <v>36783</v>
      </c>
      <c r="B9728" t="s">
        <v>11644</v>
      </c>
      <c r="C9728" t="s">
        <v>30590</v>
      </c>
      <c r="D9728" t="s">
        <v>36784</v>
      </c>
      <c r="E9728" t="b">
        <v>0</v>
      </c>
      <c r="F9728" t="s">
        <v>11610</v>
      </c>
      <c r="L9728">
        <v>0</v>
      </c>
      <c r="M9728">
        <v>0</v>
      </c>
      <c r="N9728">
        <v>0</v>
      </c>
    </row>
    <row r="9729" spans="1:15">
      <c r="A9729" t="s">
        <v>36785</v>
      </c>
      <c r="B9729" t="s">
        <v>13276</v>
      </c>
      <c r="C9729" t="s">
        <v>18318</v>
      </c>
      <c r="D9729" t="s">
        <v>36786</v>
      </c>
      <c r="E9729" t="b">
        <v>0</v>
      </c>
      <c r="F9729" t="s">
        <v>11610</v>
      </c>
      <c r="L9729">
        <v>0</v>
      </c>
      <c r="M9729">
        <v>0</v>
      </c>
      <c r="N9729">
        <v>0</v>
      </c>
    </row>
    <row r="9730" spans="1:15">
      <c r="A9730" t="s">
        <v>36787</v>
      </c>
      <c r="B9730" t="s">
        <v>6742</v>
      </c>
      <c r="C9730" t="s">
        <v>17313</v>
      </c>
      <c r="D9730" t="s">
        <v>36788</v>
      </c>
      <c r="E9730" t="b">
        <v>0</v>
      </c>
      <c r="F9730" t="s">
        <v>11622</v>
      </c>
      <c r="L9730">
        <v>0</v>
      </c>
      <c r="M9730">
        <v>2</v>
      </c>
      <c r="N9730">
        <v>4</v>
      </c>
    </row>
    <row r="9731" spans="1:15">
      <c r="A9731" t="s">
        <v>21492</v>
      </c>
      <c r="B9731" t="s">
        <v>6742</v>
      </c>
      <c r="C9731" t="s">
        <v>36787</v>
      </c>
      <c r="D9731" t="s">
        <v>36789</v>
      </c>
      <c r="E9731" t="b">
        <v>0</v>
      </c>
      <c r="F9731" t="s">
        <v>11624</v>
      </c>
      <c r="G9731">
        <v>6.8723299999999998</v>
      </c>
      <c r="H9731">
        <v>-10.9214</v>
      </c>
      <c r="I9731" t="s">
        <v>36790</v>
      </c>
      <c r="L9731">
        <v>0</v>
      </c>
      <c r="M9731">
        <v>0</v>
      </c>
      <c r="N9731">
        <v>4</v>
      </c>
      <c r="O9731" t="s">
        <v>29482</v>
      </c>
    </row>
    <row r="9732" spans="1:15">
      <c r="A9732" t="s">
        <v>36791</v>
      </c>
      <c r="B9732" t="s">
        <v>22610</v>
      </c>
      <c r="C9732" t="s">
        <v>22619</v>
      </c>
      <c r="D9732" t="s">
        <v>36792</v>
      </c>
      <c r="E9732" t="b">
        <v>0</v>
      </c>
      <c r="F9732" t="s">
        <v>11610</v>
      </c>
      <c r="L9732">
        <v>0</v>
      </c>
      <c r="M9732">
        <v>0</v>
      </c>
      <c r="N9732">
        <v>0</v>
      </c>
    </row>
    <row r="9733" spans="1:15">
      <c r="A9733" t="s">
        <v>36793</v>
      </c>
      <c r="B9733" t="s">
        <v>11729</v>
      </c>
      <c r="C9733" t="s">
        <v>36794</v>
      </c>
      <c r="D9733" t="s">
        <v>36795</v>
      </c>
      <c r="E9733" t="b">
        <v>0</v>
      </c>
      <c r="F9733" t="s">
        <v>11610</v>
      </c>
      <c r="L9733">
        <v>0</v>
      </c>
      <c r="M9733">
        <v>0</v>
      </c>
      <c r="N9733">
        <v>0</v>
      </c>
    </row>
    <row r="9734" spans="1:15">
      <c r="A9734" t="s">
        <v>36796</v>
      </c>
      <c r="B9734" t="s">
        <v>6742</v>
      </c>
      <c r="C9734" t="s">
        <v>16074</v>
      </c>
      <c r="D9734" t="s">
        <v>36797</v>
      </c>
      <c r="E9734" t="b">
        <v>0</v>
      </c>
      <c r="F9734" t="s">
        <v>11610</v>
      </c>
      <c r="L9734">
        <v>0</v>
      </c>
      <c r="M9734">
        <v>0</v>
      </c>
      <c r="N9734">
        <v>0</v>
      </c>
    </row>
    <row r="9735" spans="1:15">
      <c r="A9735" t="s">
        <v>36798</v>
      </c>
      <c r="B9735" t="s">
        <v>6742</v>
      </c>
      <c r="C9735" t="s">
        <v>22382</v>
      </c>
      <c r="D9735" t="s">
        <v>36799</v>
      </c>
      <c r="E9735" t="b">
        <v>0</v>
      </c>
      <c r="F9735" t="s">
        <v>11610</v>
      </c>
      <c r="L9735">
        <v>0</v>
      </c>
      <c r="M9735">
        <v>0</v>
      </c>
      <c r="N9735">
        <v>0</v>
      </c>
    </row>
    <row r="9736" spans="1:15">
      <c r="A9736" t="s">
        <v>36800</v>
      </c>
      <c r="B9736" t="s">
        <v>11637</v>
      </c>
      <c r="C9736" t="s">
        <v>36801</v>
      </c>
      <c r="D9736" t="s">
        <v>36802</v>
      </c>
      <c r="E9736" t="b">
        <v>0</v>
      </c>
      <c r="F9736" t="s">
        <v>11610</v>
      </c>
      <c r="L9736">
        <v>0</v>
      </c>
      <c r="M9736">
        <v>0</v>
      </c>
      <c r="N9736">
        <v>0</v>
      </c>
    </row>
    <row r="9737" spans="1:15">
      <c r="A9737" t="s">
        <v>36803</v>
      </c>
      <c r="B9737" t="s">
        <v>367</v>
      </c>
      <c r="C9737" t="s">
        <v>25633</v>
      </c>
      <c r="D9737" t="s">
        <v>36804</v>
      </c>
      <c r="E9737" t="b">
        <v>0</v>
      </c>
      <c r="F9737" t="s">
        <v>11624</v>
      </c>
      <c r="G9737">
        <v>5.3945299999999996</v>
      </c>
      <c r="H9737">
        <v>115.58199999999999</v>
      </c>
      <c r="I9737" t="s">
        <v>36805</v>
      </c>
      <c r="L9737">
        <v>0</v>
      </c>
      <c r="M9737">
        <v>0</v>
      </c>
      <c r="N9737">
        <v>0</v>
      </c>
      <c r="O9737" t="s">
        <v>11672</v>
      </c>
    </row>
    <row r="9738" spans="1:15">
      <c r="A9738" t="s">
        <v>36806</v>
      </c>
      <c r="B9738" t="s">
        <v>36807</v>
      </c>
      <c r="C9738" t="s">
        <v>36808</v>
      </c>
      <c r="D9738" t="s">
        <v>36809</v>
      </c>
      <c r="E9738" t="b">
        <v>0</v>
      </c>
      <c r="F9738" t="s">
        <v>11610</v>
      </c>
      <c r="L9738">
        <v>0</v>
      </c>
      <c r="M9738">
        <v>0</v>
      </c>
      <c r="N9738">
        <v>0</v>
      </c>
    </row>
    <row r="9739" spans="1:15">
      <c r="A9739" t="s">
        <v>36810</v>
      </c>
      <c r="B9739" t="s">
        <v>14629</v>
      </c>
      <c r="C9739" t="s">
        <v>14629</v>
      </c>
      <c r="D9739" t="s">
        <v>36811</v>
      </c>
      <c r="E9739" t="b">
        <v>0</v>
      </c>
      <c r="F9739" t="s">
        <v>11624</v>
      </c>
      <c r="I9739" t="s">
        <v>36812</v>
      </c>
      <c r="L9739">
        <v>0</v>
      </c>
      <c r="M9739">
        <v>0</v>
      </c>
      <c r="N9739">
        <v>0</v>
      </c>
    </row>
    <row r="9740" spans="1:15">
      <c r="A9740" t="s">
        <v>36813</v>
      </c>
      <c r="B9740" t="s">
        <v>367</v>
      </c>
      <c r="C9740" t="s">
        <v>27319</v>
      </c>
      <c r="D9740" t="s">
        <v>36814</v>
      </c>
      <c r="E9740" t="b">
        <v>0</v>
      </c>
      <c r="F9740" t="s">
        <v>11610</v>
      </c>
      <c r="L9740">
        <v>0</v>
      </c>
      <c r="M9740">
        <v>0</v>
      </c>
      <c r="N9740">
        <v>0</v>
      </c>
    </row>
    <row r="9741" spans="1:15">
      <c r="A9741" t="s">
        <v>36815</v>
      </c>
      <c r="B9741" t="s">
        <v>11637</v>
      </c>
      <c r="C9741" t="s">
        <v>2186</v>
      </c>
      <c r="D9741" t="s">
        <v>36816</v>
      </c>
      <c r="E9741" t="b">
        <v>0</v>
      </c>
      <c r="F9741" t="s">
        <v>11610</v>
      </c>
      <c r="L9741">
        <v>0</v>
      </c>
      <c r="M9741">
        <v>0</v>
      </c>
      <c r="N9741">
        <v>0</v>
      </c>
    </row>
    <row r="9742" spans="1:15">
      <c r="A9742" t="s">
        <v>34054</v>
      </c>
      <c r="B9742" t="s">
        <v>11839</v>
      </c>
      <c r="C9742" t="s">
        <v>36817</v>
      </c>
      <c r="D9742" t="s">
        <v>36818</v>
      </c>
      <c r="E9742" t="b">
        <v>0</v>
      </c>
      <c r="F9742" t="s">
        <v>11622</v>
      </c>
      <c r="L9742">
        <v>0</v>
      </c>
      <c r="M9742">
        <v>2</v>
      </c>
      <c r="N9742">
        <v>4</v>
      </c>
    </row>
    <row r="9743" spans="1:15">
      <c r="A9743" t="s">
        <v>36819</v>
      </c>
      <c r="B9743" t="s">
        <v>21516</v>
      </c>
      <c r="C9743" t="s">
        <v>21515</v>
      </c>
      <c r="D9743" t="s">
        <v>36820</v>
      </c>
      <c r="E9743" t="b">
        <v>0</v>
      </c>
      <c r="F9743" t="s">
        <v>11624</v>
      </c>
      <c r="G9743">
        <v>11.696479999999999</v>
      </c>
      <c r="H9743">
        <v>30.47166</v>
      </c>
      <c r="I9743" t="s">
        <v>36821</v>
      </c>
      <c r="L9743">
        <v>0</v>
      </c>
      <c r="M9743">
        <v>0</v>
      </c>
      <c r="N9743">
        <v>5</v>
      </c>
      <c r="O9743" t="s">
        <v>11910</v>
      </c>
    </row>
    <row r="9744" spans="1:15">
      <c r="A9744" t="s">
        <v>36822</v>
      </c>
      <c r="B9744" t="s">
        <v>12875</v>
      </c>
      <c r="C9744" t="s">
        <v>12876</v>
      </c>
      <c r="D9744" t="s">
        <v>36823</v>
      </c>
      <c r="E9744" t="b">
        <v>0</v>
      </c>
      <c r="F9744" t="s">
        <v>11624</v>
      </c>
      <c r="G9744">
        <v>30.409600000000001</v>
      </c>
      <c r="H9744">
        <v>-92.709000000000003</v>
      </c>
      <c r="I9744" t="s">
        <v>36824</v>
      </c>
      <c r="L9744">
        <v>0</v>
      </c>
      <c r="M9744">
        <v>0</v>
      </c>
      <c r="N9744">
        <v>0</v>
      </c>
      <c r="O9744" t="s">
        <v>11944</v>
      </c>
    </row>
    <row r="9745" spans="1:15">
      <c r="A9745" t="s">
        <v>36825</v>
      </c>
      <c r="B9745" t="s">
        <v>11844</v>
      </c>
      <c r="C9745" t="s">
        <v>8933</v>
      </c>
      <c r="D9745" t="s">
        <v>36826</v>
      </c>
      <c r="E9745" t="b">
        <v>0</v>
      </c>
      <c r="F9745" t="s">
        <v>11610</v>
      </c>
      <c r="L9745">
        <v>0</v>
      </c>
      <c r="M9745">
        <v>0</v>
      </c>
      <c r="N9745">
        <v>0</v>
      </c>
    </row>
    <row r="9746" spans="1:15">
      <c r="A9746" t="s">
        <v>36827</v>
      </c>
      <c r="B9746" t="s">
        <v>367</v>
      </c>
      <c r="C9746" t="s">
        <v>25054</v>
      </c>
      <c r="D9746" t="s">
        <v>36828</v>
      </c>
      <c r="E9746" t="b">
        <v>0</v>
      </c>
      <c r="F9746" t="s">
        <v>11624</v>
      </c>
      <c r="G9746">
        <v>-6.4790099999999997</v>
      </c>
      <c r="H9746">
        <v>134.61000000000001</v>
      </c>
      <c r="I9746" t="s">
        <v>36829</v>
      </c>
      <c r="L9746">
        <v>0</v>
      </c>
      <c r="M9746">
        <v>0</v>
      </c>
      <c r="N9746">
        <v>1</v>
      </c>
      <c r="O9746" t="s">
        <v>11768</v>
      </c>
    </row>
    <row r="9747" spans="1:15">
      <c r="A9747" t="s">
        <v>36830</v>
      </c>
      <c r="B9747" t="s">
        <v>13967</v>
      </c>
      <c r="C9747" t="s">
        <v>13968</v>
      </c>
      <c r="D9747" t="s">
        <v>36831</v>
      </c>
      <c r="E9747" t="b">
        <v>0</v>
      </c>
      <c r="F9747" t="s">
        <v>11610</v>
      </c>
      <c r="L9747">
        <v>0</v>
      </c>
      <c r="M9747">
        <v>0</v>
      </c>
      <c r="N9747">
        <v>0</v>
      </c>
    </row>
    <row r="9748" spans="1:15">
      <c r="A9748" t="s">
        <v>36832</v>
      </c>
      <c r="B9748" t="s">
        <v>367</v>
      </c>
      <c r="C9748" t="s">
        <v>27774</v>
      </c>
      <c r="D9748" t="s">
        <v>36833</v>
      </c>
      <c r="E9748" t="b">
        <v>0</v>
      </c>
      <c r="F9748" t="s">
        <v>11610</v>
      </c>
      <c r="L9748">
        <v>0</v>
      </c>
      <c r="M9748">
        <v>0</v>
      </c>
      <c r="N9748">
        <v>0</v>
      </c>
    </row>
    <row r="9749" spans="1:15">
      <c r="A9749" t="s">
        <v>36834</v>
      </c>
      <c r="B9749" t="s">
        <v>4342</v>
      </c>
      <c r="C9749" t="s">
        <v>16774</v>
      </c>
      <c r="D9749" t="s">
        <v>36835</v>
      </c>
      <c r="E9749" t="b">
        <v>0</v>
      </c>
      <c r="F9749" t="s">
        <v>11610</v>
      </c>
      <c r="L9749">
        <v>0</v>
      </c>
      <c r="M9749">
        <v>0</v>
      </c>
      <c r="N9749">
        <v>0</v>
      </c>
    </row>
    <row r="9750" spans="1:15">
      <c r="A9750" t="s">
        <v>35290</v>
      </c>
      <c r="B9750" t="s">
        <v>6742</v>
      </c>
      <c r="C9750" t="s">
        <v>16016</v>
      </c>
      <c r="D9750" t="s">
        <v>36836</v>
      </c>
      <c r="E9750" t="b">
        <v>0</v>
      </c>
      <c r="F9750" t="s">
        <v>11622</v>
      </c>
      <c r="L9750">
        <v>0</v>
      </c>
      <c r="M9750">
        <v>2</v>
      </c>
      <c r="N9750">
        <v>0</v>
      </c>
    </row>
    <row r="9751" spans="1:15">
      <c r="A9751" t="s">
        <v>36837</v>
      </c>
      <c r="B9751" t="s">
        <v>6742</v>
      </c>
      <c r="C9751" t="s">
        <v>35290</v>
      </c>
      <c r="D9751" t="s">
        <v>36838</v>
      </c>
      <c r="E9751" t="b">
        <v>0</v>
      </c>
      <c r="F9751" t="s">
        <v>11624</v>
      </c>
      <c r="G9751">
        <v>13.526899999999999</v>
      </c>
      <c r="H9751">
        <v>-14.4527</v>
      </c>
      <c r="I9751" t="s">
        <v>36839</v>
      </c>
      <c r="L9751">
        <v>0</v>
      </c>
      <c r="M9751">
        <v>0</v>
      </c>
      <c r="N9751">
        <v>0</v>
      </c>
      <c r="O9751" t="s">
        <v>16009</v>
      </c>
    </row>
    <row r="9752" spans="1:15">
      <c r="A9752" t="s">
        <v>36840</v>
      </c>
      <c r="B9752" t="s">
        <v>367</v>
      </c>
      <c r="C9752" t="s">
        <v>36841</v>
      </c>
      <c r="D9752" t="s">
        <v>36842</v>
      </c>
      <c r="E9752" t="b">
        <v>0</v>
      </c>
      <c r="F9752" t="s">
        <v>11610</v>
      </c>
      <c r="L9752">
        <v>0</v>
      </c>
      <c r="M9752">
        <v>0</v>
      </c>
      <c r="N9752">
        <v>0</v>
      </c>
    </row>
    <row r="9753" spans="1:15">
      <c r="A9753" t="s">
        <v>36843</v>
      </c>
      <c r="B9753" t="s">
        <v>11839</v>
      </c>
      <c r="C9753" t="s">
        <v>11838</v>
      </c>
      <c r="D9753" t="s">
        <v>36844</v>
      </c>
      <c r="E9753" t="b">
        <v>0</v>
      </c>
      <c r="F9753" t="s">
        <v>11610</v>
      </c>
      <c r="L9753">
        <v>0</v>
      </c>
      <c r="M9753">
        <v>0</v>
      </c>
      <c r="N9753">
        <v>0</v>
      </c>
    </row>
    <row r="9754" spans="1:15">
      <c r="A9754" t="s">
        <v>36845</v>
      </c>
      <c r="B9754" t="s">
        <v>11615</v>
      </c>
      <c r="C9754" t="s">
        <v>36846</v>
      </c>
      <c r="D9754" t="s">
        <v>36847</v>
      </c>
      <c r="E9754" t="b">
        <v>0</v>
      </c>
      <c r="F9754" t="s">
        <v>11624</v>
      </c>
      <c r="G9754">
        <v>-4.7961400000000003</v>
      </c>
      <c r="H9754">
        <v>145.28399999999999</v>
      </c>
      <c r="I9754" t="s">
        <v>36848</v>
      </c>
      <c r="L9754">
        <v>0</v>
      </c>
      <c r="M9754">
        <v>0</v>
      </c>
      <c r="N9754">
        <v>0</v>
      </c>
      <c r="O9754" t="s">
        <v>11660</v>
      </c>
    </row>
    <row r="9755" spans="1:15">
      <c r="A9755" t="s">
        <v>36849</v>
      </c>
      <c r="B9755" t="s">
        <v>11615</v>
      </c>
      <c r="C9755" t="s">
        <v>27514</v>
      </c>
      <c r="D9755" t="s">
        <v>36850</v>
      </c>
      <c r="E9755" t="b">
        <v>0</v>
      </c>
      <c r="F9755" t="s">
        <v>11624</v>
      </c>
      <c r="G9755">
        <v>-5.1644600000000001</v>
      </c>
      <c r="H9755">
        <v>144.46</v>
      </c>
      <c r="I9755" t="s">
        <v>36851</v>
      </c>
      <c r="L9755">
        <v>0</v>
      </c>
      <c r="M9755">
        <v>0</v>
      </c>
      <c r="N9755">
        <v>0</v>
      </c>
      <c r="O9755" t="s">
        <v>11660</v>
      </c>
    </row>
    <row r="9756" spans="1:15">
      <c r="A9756" t="s">
        <v>36852</v>
      </c>
      <c r="B9756" t="s">
        <v>11607</v>
      </c>
      <c r="C9756" t="s">
        <v>17383</v>
      </c>
      <c r="D9756" t="s">
        <v>36853</v>
      </c>
      <c r="E9756" t="b">
        <v>0</v>
      </c>
      <c r="F9756" t="s">
        <v>11610</v>
      </c>
      <c r="L9756">
        <v>0</v>
      </c>
      <c r="M9756">
        <v>0</v>
      </c>
      <c r="N9756">
        <v>0</v>
      </c>
    </row>
    <row r="9757" spans="1:15">
      <c r="A9757" t="s">
        <v>36854</v>
      </c>
      <c r="B9757" t="s">
        <v>13014</v>
      </c>
      <c r="C9757" t="s">
        <v>36855</v>
      </c>
      <c r="D9757" t="s">
        <v>36856</v>
      </c>
      <c r="E9757" t="b">
        <v>0</v>
      </c>
      <c r="F9757" t="s">
        <v>11610</v>
      </c>
      <c r="L9757">
        <v>0</v>
      </c>
      <c r="M9757">
        <v>0</v>
      </c>
      <c r="N9757">
        <v>0</v>
      </c>
    </row>
    <row r="9758" spans="1:15">
      <c r="A9758" t="s">
        <v>24607</v>
      </c>
      <c r="B9758" t="s">
        <v>11637</v>
      </c>
      <c r="C9758" t="s">
        <v>22734</v>
      </c>
      <c r="D9758" t="s">
        <v>36857</v>
      </c>
      <c r="E9758" t="b">
        <v>0</v>
      </c>
      <c r="F9758" t="s">
        <v>11624</v>
      </c>
      <c r="G9758">
        <v>26.725100000000001</v>
      </c>
      <c r="H9758">
        <v>84.630099999999999</v>
      </c>
      <c r="I9758" t="s">
        <v>36858</v>
      </c>
      <c r="L9758">
        <v>0</v>
      </c>
      <c r="M9758">
        <v>0</v>
      </c>
      <c r="N9758">
        <v>9</v>
      </c>
      <c r="O9758" t="s">
        <v>12524</v>
      </c>
    </row>
    <row r="9759" spans="1:15">
      <c r="A9759" t="s">
        <v>36859</v>
      </c>
      <c r="B9759" t="s">
        <v>11637</v>
      </c>
      <c r="C9759" t="s">
        <v>36860</v>
      </c>
      <c r="D9759" t="s">
        <v>36861</v>
      </c>
      <c r="E9759" t="b">
        <v>0</v>
      </c>
      <c r="F9759" t="s">
        <v>11610</v>
      </c>
      <c r="L9759">
        <v>0</v>
      </c>
      <c r="M9759">
        <v>0</v>
      </c>
      <c r="N9759">
        <v>0</v>
      </c>
    </row>
    <row r="9760" spans="1:15">
      <c r="A9760" t="s">
        <v>15051</v>
      </c>
      <c r="B9760" t="s">
        <v>11644</v>
      </c>
      <c r="C9760" t="s">
        <v>19080</v>
      </c>
      <c r="D9760" t="s">
        <v>36862</v>
      </c>
      <c r="E9760" t="b">
        <v>0</v>
      </c>
      <c r="F9760" t="s">
        <v>11622</v>
      </c>
      <c r="L9760">
        <v>0</v>
      </c>
      <c r="M9760">
        <v>4</v>
      </c>
      <c r="N9760">
        <v>7</v>
      </c>
    </row>
    <row r="9761" spans="1:15">
      <c r="A9761" t="s">
        <v>16472</v>
      </c>
      <c r="B9761" t="s">
        <v>11644</v>
      </c>
      <c r="C9761" t="s">
        <v>15051</v>
      </c>
      <c r="D9761" t="s">
        <v>36863</v>
      </c>
      <c r="E9761" t="b">
        <v>0</v>
      </c>
      <c r="F9761" t="s">
        <v>11624</v>
      </c>
      <c r="G9761">
        <v>25.796199999999999</v>
      </c>
      <c r="H9761">
        <v>90.256600000000006</v>
      </c>
      <c r="I9761" t="s">
        <v>36864</v>
      </c>
      <c r="L9761">
        <v>0</v>
      </c>
      <c r="M9761">
        <v>0</v>
      </c>
      <c r="N9761">
        <v>5</v>
      </c>
      <c r="O9761" t="s">
        <v>15054</v>
      </c>
    </row>
    <row r="9762" spans="1:15">
      <c r="A9762" t="s">
        <v>36865</v>
      </c>
      <c r="B9762" t="s">
        <v>11637</v>
      </c>
      <c r="C9762" t="s">
        <v>26712</v>
      </c>
      <c r="D9762" t="s">
        <v>36866</v>
      </c>
      <c r="E9762" t="b">
        <v>0</v>
      </c>
      <c r="F9762" t="s">
        <v>11610</v>
      </c>
      <c r="L9762">
        <v>0</v>
      </c>
      <c r="M9762">
        <v>0</v>
      </c>
      <c r="N9762">
        <v>0</v>
      </c>
    </row>
    <row r="9763" spans="1:15">
      <c r="A9763" t="s">
        <v>26712</v>
      </c>
      <c r="B9763" t="s">
        <v>11637</v>
      </c>
      <c r="C9763" t="s">
        <v>19712</v>
      </c>
      <c r="D9763" t="s">
        <v>36867</v>
      </c>
      <c r="E9763" t="b">
        <v>0</v>
      </c>
      <c r="F9763" t="s">
        <v>11624</v>
      </c>
      <c r="G9763">
        <v>27.094495999999999</v>
      </c>
      <c r="H9763">
        <v>85.910081000000005</v>
      </c>
      <c r="I9763" t="s">
        <v>36868</v>
      </c>
      <c r="L9763">
        <v>0</v>
      </c>
      <c r="M9763">
        <v>0</v>
      </c>
      <c r="N9763">
        <v>2</v>
      </c>
      <c r="O9763" t="s">
        <v>15007</v>
      </c>
    </row>
    <row r="9764" spans="1:15">
      <c r="A9764" t="s">
        <v>36869</v>
      </c>
      <c r="B9764" t="s">
        <v>12438</v>
      </c>
      <c r="C9764" t="s">
        <v>14927</v>
      </c>
      <c r="D9764" t="s">
        <v>36870</v>
      </c>
      <c r="E9764" t="b">
        <v>0</v>
      </c>
      <c r="F9764" t="s">
        <v>11624</v>
      </c>
      <c r="G9764">
        <v>23.234000000000002</v>
      </c>
      <c r="H9764">
        <v>87.478999999999999</v>
      </c>
      <c r="I9764" t="s">
        <v>36871</v>
      </c>
      <c r="L9764">
        <v>0</v>
      </c>
      <c r="M9764">
        <v>0</v>
      </c>
      <c r="N9764">
        <v>0</v>
      </c>
      <c r="O9764" t="s">
        <v>15054</v>
      </c>
    </row>
    <row r="9765" spans="1:15">
      <c r="A9765" t="s">
        <v>36872</v>
      </c>
      <c r="B9765" t="s">
        <v>12438</v>
      </c>
      <c r="C9765" t="s">
        <v>36873</v>
      </c>
      <c r="D9765" t="s">
        <v>36874</v>
      </c>
      <c r="E9765" t="b">
        <v>0</v>
      </c>
      <c r="F9765" t="s">
        <v>11624</v>
      </c>
      <c r="G9765">
        <v>23.575700000000001</v>
      </c>
      <c r="H9765">
        <v>83.845399999999998</v>
      </c>
      <c r="I9765" t="s">
        <v>36875</v>
      </c>
      <c r="L9765">
        <v>0</v>
      </c>
      <c r="M9765">
        <v>0</v>
      </c>
      <c r="N9765">
        <v>0</v>
      </c>
      <c r="O9765" t="s">
        <v>11630</v>
      </c>
    </row>
    <row r="9766" spans="1:15">
      <c r="A9766" t="s">
        <v>36876</v>
      </c>
      <c r="B9766" t="s">
        <v>11844</v>
      </c>
      <c r="C9766" t="s">
        <v>36877</v>
      </c>
      <c r="D9766" t="s">
        <v>36878</v>
      </c>
      <c r="E9766" t="b">
        <v>0</v>
      </c>
      <c r="F9766" t="s">
        <v>11624</v>
      </c>
      <c r="G9766">
        <v>12.244300000000001</v>
      </c>
      <c r="H9766">
        <v>75.9161</v>
      </c>
      <c r="I9766" t="s">
        <v>36879</v>
      </c>
      <c r="L9766">
        <v>0</v>
      </c>
      <c r="M9766">
        <v>0</v>
      </c>
      <c r="N9766">
        <v>0</v>
      </c>
      <c r="O9766" t="s">
        <v>11630</v>
      </c>
    </row>
    <row r="9767" spans="1:15">
      <c r="A9767" t="s">
        <v>36873</v>
      </c>
      <c r="B9767" t="s">
        <v>12438</v>
      </c>
      <c r="C9767" t="s">
        <v>14927</v>
      </c>
      <c r="D9767" t="s">
        <v>36880</v>
      </c>
      <c r="E9767" t="b">
        <v>0</v>
      </c>
      <c r="F9767" t="s">
        <v>11622</v>
      </c>
      <c r="L9767">
        <v>0</v>
      </c>
      <c r="M9767">
        <v>2</v>
      </c>
      <c r="N9767">
        <v>1</v>
      </c>
    </row>
    <row r="9768" spans="1:15">
      <c r="A9768" t="s">
        <v>36881</v>
      </c>
      <c r="B9768" t="s">
        <v>367</v>
      </c>
      <c r="C9768" t="s">
        <v>36882</v>
      </c>
      <c r="D9768" t="s">
        <v>36883</v>
      </c>
      <c r="E9768" t="b">
        <v>0</v>
      </c>
      <c r="F9768" t="s">
        <v>11624</v>
      </c>
      <c r="G9768">
        <v>-3.3956599999999999</v>
      </c>
      <c r="H9768">
        <v>120.937</v>
      </c>
      <c r="I9768" t="s">
        <v>36884</v>
      </c>
      <c r="L9768">
        <v>0</v>
      </c>
      <c r="M9768">
        <v>0</v>
      </c>
      <c r="N9768">
        <v>0</v>
      </c>
      <c r="O9768" t="s">
        <v>11768</v>
      </c>
    </row>
    <row r="9769" spans="1:15">
      <c r="A9769" t="s">
        <v>36885</v>
      </c>
      <c r="B9769" t="s">
        <v>6742</v>
      </c>
      <c r="C9769" t="s">
        <v>36886</v>
      </c>
      <c r="D9769" t="s">
        <v>36887</v>
      </c>
      <c r="E9769" t="b">
        <v>0</v>
      </c>
      <c r="F9769" t="s">
        <v>11624</v>
      </c>
      <c r="G9769">
        <v>5.4967100000000002</v>
      </c>
      <c r="H9769">
        <v>-6.3191499999999996</v>
      </c>
      <c r="I9769" t="s">
        <v>36888</v>
      </c>
      <c r="L9769">
        <v>0</v>
      </c>
      <c r="M9769">
        <v>0</v>
      </c>
      <c r="N9769">
        <v>0</v>
      </c>
      <c r="O9769" t="s">
        <v>11735</v>
      </c>
    </row>
    <row r="9770" spans="1:15">
      <c r="A9770" t="s">
        <v>36889</v>
      </c>
      <c r="B9770" t="s">
        <v>367</v>
      </c>
      <c r="C9770" t="s">
        <v>5575</v>
      </c>
      <c r="D9770" t="s">
        <v>36890</v>
      </c>
      <c r="E9770" t="b">
        <v>0</v>
      </c>
      <c r="F9770" t="s">
        <v>11624</v>
      </c>
      <c r="G9770">
        <v>-9.6372999999999998</v>
      </c>
      <c r="H9770">
        <v>119.114</v>
      </c>
      <c r="I9770" t="s">
        <v>36891</v>
      </c>
      <c r="L9770">
        <v>0</v>
      </c>
      <c r="M9770">
        <v>0</v>
      </c>
      <c r="N9770">
        <v>3</v>
      </c>
      <c r="O9770" t="s">
        <v>11768</v>
      </c>
    </row>
    <row r="9771" spans="1:15">
      <c r="A9771" t="s">
        <v>36892</v>
      </c>
      <c r="B9771" t="s">
        <v>367</v>
      </c>
      <c r="C9771" t="s">
        <v>36889</v>
      </c>
      <c r="D9771" t="s">
        <v>36893</v>
      </c>
      <c r="E9771" t="b">
        <v>0</v>
      </c>
      <c r="F9771" t="s">
        <v>11610</v>
      </c>
      <c r="L9771">
        <v>0</v>
      </c>
      <c r="M9771">
        <v>0</v>
      </c>
      <c r="N9771">
        <v>0</v>
      </c>
    </row>
    <row r="9772" spans="1:15">
      <c r="A9772" t="s">
        <v>36894</v>
      </c>
      <c r="B9772" t="s">
        <v>367</v>
      </c>
      <c r="C9772" t="s">
        <v>36889</v>
      </c>
      <c r="D9772" t="s">
        <v>36895</v>
      </c>
      <c r="E9772" t="b">
        <v>0</v>
      </c>
      <c r="F9772" t="s">
        <v>11610</v>
      </c>
      <c r="L9772">
        <v>0</v>
      </c>
      <c r="M9772">
        <v>0</v>
      </c>
      <c r="N9772">
        <v>0</v>
      </c>
    </row>
    <row r="9773" spans="1:15">
      <c r="A9773" t="s">
        <v>36896</v>
      </c>
      <c r="B9773" t="s">
        <v>11780</v>
      </c>
      <c r="C9773" t="s">
        <v>11781</v>
      </c>
      <c r="D9773" t="s">
        <v>36897</v>
      </c>
      <c r="E9773" t="b">
        <v>0</v>
      </c>
      <c r="F9773" t="s">
        <v>11610</v>
      </c>
      <c r="L9773">
        <v>0</v>
      </c>
      <c r="M9773">
        <v>0</v>
      </c>
      <c r="N9773">
        <v>0</v>
      </c>
    </row>
    <row r="9774" spans="1:15">
      <c r="A9774" t="s">
        <v>36898</v>
      </c>
      <c r="B9774" t="s">
        <v>367</v>
      </c>
      <c r="C9774" t="s">
        <v>12044</v>
      </c>
      <c r="D9774" t="s">
        <v>36899</v>
      </c>
      <c r="E9774" t="b">
        <v>0</v>
      </c>
      <c r="F9774" t="s">
        <v>11610</v>
      </c>
      <c r="L9774">
        <v>0</v>
      </c>
      <c r="M9774">
        <v>0</v>
      </c>
      <c r="N9774">
        <v>0</v>
      </c>
    </row>
    <row r="9775" spans="1:15">
      <c r="A9775" t="s">
        <v>36900</v>
      </c>
      <c r="B9775" t="s">
        <v>12438</v>
      </c>
      <c r="C9775" t="s">
        <v>22562</v>
      </c>
      <c r="D9775" t="s">
        <v>36901</v>
      </c>
      <c r="E9775" t="b">
        <v>0</v>
      </c>
      <c r="F9775" t="s">
        <v>11610</v>
      </c>
      <c r="L9775">
        <v>0</v>
      </c>
      <c r="M9775">
        <v>0</v>
      </c>
      <c r="N9775">
        <v>0</v>
      </c>
    </row>
    <row r="9776" spans="1:15">
      <c r="A9776" t="s">
        <v>36902</v>
      </c>
      <c r="B9776" t="s">
        <v>11607</v>
      </c>
      <c r="C9776" t="s">
        <v>36903</v>
      </c>
      <c r="D9776" t="s">
        <v>36904</v>
      </c>
      <c r="E9776" t="b">
        <v>0</v>
      </c>
      <c r="F9776" t="s">
        <v>11624</v>
      </c>
      <c r="G9776">
        <v>9.0112900000000007</v>
      </c>
      <c r="H9776">
        <v>9.4662199999999999</v>
      </c>
      <c r="I9776" t="s">
        <v>36905</v>
      </c>
      <c r="L9776">
        <v>0</v>
      </c>
      <c r="M9776">
        <v>0</v>
      </c>
      <c r="N9776">
        <v>0</v>
      </c>
      <c r="O9776" t="s">
        <v>11693</v>
      </c>
    </row>
    <row r="9777" spans="1:15">
      <c r="A9777" t="s">
        <v>36906</v>
      </c>
      <c r="B9777" t="s">
        <v>11627</v>
      </c>
      <c r="C9777" t="s">
        <v>11627</v>
      </c>
      <c r="D9777" t="s">
        <v>36907</v>
      </c>
      <c r="E9777" t="b">
        <v>1</v>
      </c>
      <c r="F9777" t="s">
        <v>11624</v>
      </c>
      <c r="G9777">
        <v>9.7606800000000007</v>
      </c>
      <c r="H9777">
        <v>12.8757</v>
      </c>
      <c r="I9777" t="s">
        <v>36908</v>
      </c>
      <c r="L9777">
        <v>0</v>
      </c>
      <c r="M9777">
        <v>0</v>
      </c>
      <c r="N9777">
        <v>0</v>
      </c>
      <c r="O9777" t="s">
        <v>11693</v>
      </c>
    </row>
    <row r="9778" spans="1:15">
      <c r="A9778" t="s">
        <v>36909</v>
      </c>
      <c r="B9778" t="s">
        <v>15142</v>
      </c>
      <c r="C9778" t="s">
        <v>36910</v>
      </c>
      <c r="D9778" t="s">
        <v>36911</v>
      </c>
      <c r="E9778" t="b">
        <v>0</v>
      </c>
      <c r="F9778" t="s">
        <v>11624</v>
      </c>
      <c r="G9778">
        <v>-2.414345</v>
      </c>
      <c r="H9778">
        <v>136.81361899999999</v>
      </c>
      <c r="I9778" t="s">
        <v>36912</v>
      </c>
      <c r="L9778">
        <v>0</v>
      </c>
      <c r="M9778">
        <v>0</v>
      </c>
      <c r="N9778">
        <v>0</v>
      </c>
      <c r="O9778" t="s">
        <v>11768</v>
      </c>
    </row>
    <row r="9779" spans="1:15">
      <c r="A9779" t="s">
        <v>36913</v>
      </c>
      <c r="B9779" t="s">
        <v>6742</v>
      </c>
      <c r="C9779" t="s">
        <v>16664</v>
      </c>
      <c r="D9779" t="s">
        <v>36914</v>
      </c>
      <c r="E9779" t="b">
        <v>0</v>
      </c>
      <c r="F9779" t="s">
        <v>11610</v>
      </c>
      <c r="L9779">
        <v>0</v>
      </c>
      <c r="M9779">
        <v>0</v>
      </c>
      <c r="N9779">
        <v>0</v>
      </c>
    </row>
    <row r="9780" spans="1:15">
      <c r="A9780" t="s">
        <v>36915</v>
      </c>
      <c r="B9780" t="s">
        <v>11607</v>
      </c>
      <c r="C9780" t="s">
        <v>36916</v>
      </c>
      <c r="D9780" t="s">
        <v>36917</v>
      </c>
      <c r="E9780" t="b">
        <v>0</v>
      </c>
      <c r="F9780" t="s">
        <v>11610</v>
      </c>
      <c r="L9780">
        <v>0</v>
      </c>
      <c r="M9780">
        <v>0</v>
      </c>
      <c r="N9780">
        <v>0</v>
      </c>
    </row>
    <row r="9781" spans="1:15">
      <c r="A9781" t="s">
        <v>20786</v>
      </c>
      <c r="B9781" t="s">
        <v>11607</v>
      </c>
      <c r="C9781" t="s">
        <v>20918</v>
      </c>
      <c r="D9781" t="s">
        <v>36918</v>
      </c>
      <c r="E9781" t="b">
        <v>0</v>
      </c>
      <c r="F9781" t="s">
        <v>11624</v>
      </c>
      <c r="G9781">
        <v>8.7994699999999995</v>
      </c>
      <c r="H9781">
        <v>9.1527899999999995</v>
      </c>
      <c r="I9781" t="s">
        <v>36919</v>
      </c>
      <c r="L9781">
        <v>0</v>
      </c>
      <c r="M9781">
        <v>0</v>
      </c>
      <c r="N9781">
        <v>7</v>
      </c>
      <c r="O9781" t="s">
        <v>11693</v>
      </c>
    </row>
    <row r="9782" spans="1:15">
      <c r="A9782" t="s">
        <v>20918</v>
      </c>
      <c r="B9782" t="s">
        <v>11607</v>
      </c>
      <c r="C9782" t="s">
        <v>13811</v>
      </c>
      <c r="D9782" t="s">
        <v>36920</v>
      </c>
      <c r="E9782" t="b">
        <v>0</v>
      </c>
      <c r="F9782" t="s">
        <v>11622</v>
      </c>
      <c r="L9782">
        <v>0</v>
      </c>
      <c r="M9782">
        <v>3</v>
      </c>
      <c r="N9782">
        <v>11</v>
      </c>
    </row>
    <row r="9783" spans="1:15">
      <c r="A9783" t="s">
        <v>36921</v>
      </c>
      <c r="B9783" t="s">
        <v>13360</v>
      </c>
      <c r="C9783" t="s">
        <v>13360</v>
      </c>
      <c r="D9783" t="s">
        <v>36922</v>
      </c>
      <c r="E9783" t="b">
        <v>0</v>
      </c>
      <c r="F9783" t="s">
        <v>11624</v>
      </c>
      <c r="I9783" t="s">
        <v>36923</v>
      </c>
      <c r="L9783">
        <v>0</v>
      </c>
      <c r="M9783">
        <v>0</v>
      </c>
      <c r="N9783">
        <v>0</v>
      </c>
      <c r="O9783" t="s">
        <v>33367</v>
      </c>
    </row>
    <row r="9784" spans="1:15">
      <c r="A9784" t="s">
        <v>36924</v>
      </c>
      <c r="B9784" t="s">
        <v>11637</v>
      </c>
      <c r="C9784" t="s">
        <v>12222</v>
      </c>
      <c r="D9784" t="s">
        <v>36925</v>
      </c>
      <c r="E9784" t="b">
        <v>0</v>
      </c>
      <c r="F9784" t="s">
        <v>11610</v>
      </c>
      <c r="L9784">
        <v>0</v>
      </c>
      <c r="M9784">
        <v>0</v>
      </c>
      <c r="N9784">
        <v>0</v>
      </c>
    </row>
    <row r="9785" spans="1:15">
      <c r="A9785" t="s">
        <v>36926</v>
      </c>
      <c r="B9785" t="s">
        <v>11637</v>
      </c>
      <c r="C9785" t="s">
        <v>15097</v>
      </c>
      <c r="D9785" t="s">
        <v>36927</v>
      </c>
      <c r="E9785" t="b">
        <v>0</v>
      </c>
      <c r="F9785" t="s">
        <v>11610</v>
      </c>
      <c r="L9785">
        <v>0</v>
      </c>
      <c r="M9785">
        <v>0</v>
      </c>
      <c r="N9785">
        <v>0</v>
      </c>
    </row>
    <row r="9786" spans="1:15">
      <c r="A9786" t="s">
        <v>36928</v>
      </c>
      <c r="B9786" t="s">
        <v>4342</v>
      </c>
      <c r="C9786" t="s">
        <v>30832</v>
      </c>
      <c r="D9786" t="s">
        <v>36929</v>
      </c>
      <c r="E9786" t="b">
        <v>0</v>
      </c>
      <c r="F9786" t="s">
        <v>11610</v>
      </c>
      <c r="L9786">
        <v>0</v>
      </c>
      <c r="M9786">
        <v>0</v>
      </c>
      <c r="N9786">
        <v>0</v>
      </c>
    </row>
    <row r="9787" spans="1:15">
      <c r="A9787" t="s">
        <v>36930</v>
      </c>
      <c r="B9787" t="s">
        <v>11637</v>
      </c>
      <c r="C9787" t="s">
        <v>19797</v>
      </c>
      <c r="D9787" t="s">
        <v>36931</v>
      </c>
      <c r="E9787" t="b">
        <v>0</v>
      </c>
      <c r="F9787" t="s">
        <v>11610</v>
      </c>
      <c r="L9787">
        <v>0</v>
      </c>
      <c r="M9787">
        <v>0</v>
      </c>
      <c r="N9787">
        <v>0</v>
      </c>
    </row>
    <row r="9788" spans="1:15">
      <c r="A9788" t="s">
        <v>36932</v>
      </c>
      <c r="B9788" t="s">
        <v>11637</v>
      </c>
      <c r="C9788" t="s">
        <v>19889</v>
      </c>
      <c r="D9788" t="s">
        <v>36933</v>
      </c>
      <c r="E9788" t="b">
        <v>0</v>
      </c>
      <c r="F9788" t="s">
        <v>11622</v>
      </c>
      <c r="L9788">
        <v>0</v>
      </c>
      <c r="M9788">
        <v>2</v>
      </c>
      <c r="N9788">
        <v>3</v>
      </c>
    </row>
    <row r="9789" spans="1:15">
      <c r="A9789" t="s">
        <v>33137</v>
      </c>
      <c r="B9789" t="s">
        <v>11637</v>
      </c>
      <c r="C9789" t="s">
        <v>36932</v>
      </c>
      <c r="D9789" t="s">
        <v>36934</v>
      </c>
      <c r="E9789" t="b">
        <v>0</v>
      </c>
      <c r="F9789" t="s">
        <v>11624</v>
      </c>
      <c r="G9789">
        <v>35.174100000000003</v>
      </c>
      <c r="H9789">
        <v>73.320700000000002</v>
      </c>
      <c r="I9789" t="s">
        <v>36935</v>
      </c>
      <c r="L9789">
        <v>0</v>
      </c>
      <c r="M9789">
        <v>0</v>
      </c>
      <c r="N9789">
        <v>3</v>
      </c>
      <c r="O9789" t="s">
        <v>12172</v>
      </c>
    </row>
    <row r="9790" spans="1:15">
      <c r="A9790" t="s">
        <v>36936</v>
      </c>
      <c r="B9790" t="s">
        <v>11644</v>
      </c>
      <c r="C9790" t="s">
        <v>1298</v>
      </c>
      <c r="D9790" t="s">
        <v>36937</v>
      </c>
      <c r="E9790" t="b">
        <v>0</v>
      </c>
      <c r="F9790" t="s">
        <v>11610</v>
      </c>
      <c r="L9790">
        <v>0</v>
      </c>
      <c r="M9790">
        <v>0</v>
      </c>
      <c r="N9790">
        <v>0</v>
      </c>
    </row>
    <row r="9791" spans="1:15">
      <c r="A9791" t="s">
        <v>36938</v>
      </c>
      <c r="B9791" t="s">
        <v>367</v>
      </c>
      <c r="C9791" t="s">
        <v>36939</v>
      </c>
      <c r="D9791" t="s">
        <v>36940</v>
      </c>
      <c r="E9791" t="b">
        <v>0</v>
      </c>
      <c r="F9791" t="s">
        <v>11624</v>
      </c>
      <c r="G9791">
        <v>-1.43973</v>
      </c>
      <c r="H9791">
        <v>111.905</v>
      </c>
      <c r="I9791" t="s">
        <v>36941</v>
      </c>
      <c r="L9791">
        <v>0</v>
      </c>
      <c r="M9791">
        <v>0</v>
      </c>
      <c r="N9791">
        <v>0</v>
      </c>
      <c r="O9791" t="s">
        <v>11768</v>
      </c>
    </row>
    <row r="9792" spans="1:15">
      <c r="A9792" t="s">
        <v>24913</v>
      </c>
      <c r="B9792" t="s">
        <v>11637</v>
      </c>
      <c r="C9792" t="s">
        <v>22744</v>
      </c>
      <c r="D9792" t="s">
        <v>36942</v>
      </c>
      <c r="E9792" t="b">
        <v>0</v>
      </c>
      <c r="F9792" t="s">
        <v>11622</v>
      </c>
      <c r="L9792">
        <v>4</v>
      </c>
      <c r="M9792">
        <v>9</v>
      </c>
      <c r="N9792">
        <v>10</v>
      </c>
    </row>
    <row r="9793" spans="1:15">
      <c r="A9793" t="s">
        <v>36943</v>
      </c>
      <c r="B9793" t="s">
        <v>11637</v>
      </c>
      <c r="C9793" t="s">
        <v>12947</v>
      </c>
      <c r="D9793" t="s">
        <v>36944</v>
      </c>
      <c r="E9793" t="b">
        <v>0</v>
      </c>
      <c r="F9793" t="s">
        <v>11610</v>
      </c>
      <c r="L9793">
        <v>0</v>
      </c>
      <c r="M9793">
        <v>0</v>
      </c>
      <c r="N9793">
        <v>0</v>
      </c>
    </row>
    <row r="9794" spans="1:15">
      <c r="A9794" t="s">
        <v>36945</v>
      </c>
      <c r="B9794" t="s">
        <v>12438</v>
      </c>
      <c r="C9794" t="s">
        <v>36946</v>
      </c>
      <c r="D9794" t="s">
        <v>36947</v>
      </c>
      <c r="E9794" t="b">
        <v>0</v>
      </c>
      <c r="F9794" t="s">
        <v>11622</v>
      </c>
      <c r="L9794">
        <v>0</v>
      </c>
      <c r="M9794">
        <v>2</v>
      </c>
      <c r="N9794">
        <v>12</v>
      </c>
    </row>
    <row r="9795" spans="1:15">
      <c r="A9795" t="s">
        <v>22562</v>
      </c>
      <c r="B9795" t="s">
        <v>12438</v>
      </c>
      <c r="C9795" t="s">
        <v>36945</v>
      </c>
      <c r="D9795" t="s">
        <v>36948</v>
      </c>
      <c r="E9795" t="b">
        <v>0</v>
      </c>
      <c r="F9795" t="s">
        <v>11624</v>
      </c>
      <c r="G9795">
        <v>11.644399999999999</v>
      </c>
      <c r="H9795">
        <v>108.057</v>
      </c>
      <c r="I9795" t="s">
        <v>36949</v>
      </c>
      <c r="L9795">
        <v>0</v>
      </c>
      <c r="M9795">
        <v>0</v>
      </c>
      <c r="N9795">
        <v>12</v>
      </c>
      <c r="O9795" t="s">
        <v>15949</v>
      </c>
    </row>
    <row r="9796" spans="1:15">
      <c r="A9796" t="s">
        <v>36950</v>
      </c>
      <c r="B9796" t="s">
        <v>11627</v>
      </c>
      <c r="C9796" t="s">
        <v>11627</v>
      </c>
      <c r="D9796" t="s">
        <v>36951</v>
      </c>
      <c r="E9796" t="b">
        <v>1</v>
      </c>
      <c r="F9796" t="s">
        <v>11624</v>
      </c>
      <c r="I9796" t="s">
        <v>36952</v>
      </c>
      <c r="L9796">
        <v>0</v>
      </c>
      <c r="M9796">
        <v>0</v>
      </c>
      <c r="N9796">
        <v>0</v>
      </c>
    </row>
    <row r="9797" spans="1:15">
      <c r="A9797" t="s">
        <v>12411</v>
      </c>
      <c r="B9797" t="s">
        <v>6742</v>
      </c>
      <c r="C9797" t="s">
        <v>36953</v>
      </c>
      <c r="D9797" t="s">
        <v>36954</v>
      </c>
      <c r="E9797" t="b">
        <v>0</v>
      </c>
      <c r="F9797" t="s">
        <v>11622</v>
      </c>
      <c r="L9797">
        <v>0</v>
      </c>
      <c r="M9797">
        <v>3</v>
      </c>
      <c r="N9797">
        <v>7</v>
      </c>
    </row>
    <row r="9798" spans="1:15">
      <c r="A9798" t="s">
        <v>36955</v>
      </c>
      <c r="B9798" t="s">
        <v>6742</v>
      </c>
      <c r="C9798" t="s">
        <v>12411</v>
      </c>
      <c r="D9798" t="s">
        <v>36956</v>
      </c>
      <c r="E9798" t="b">
        <v>0</v>
      </c>
      <c r="F9798" t="s">
        <v>11624</v>
      </c>
      <c r="G9798">
        <v>5.9259599999999999</v>
      </c>
      <c r="H9798">
        <v>7.9620199999999999</v>
      </c>
      <c r="I9798" t="s">
        <v>36957</v>
      </c>
      <c r="L9798">
        <v>0</v>
      </c>
      <c r="M9798">
        <v>0</v>
      </c>
      <c r="N9798">
        <v>0</v>
      </c>
      <c r="O9798" t="s">
        <v>11693</v>
      </c>
    </row>
    <row r="9799" spans="1:15">
      <c r="A9799" t="s">
        <v>12218</v>
      </c>
      <c r="D9799" t="s">
        <v>36958</v>
      </c>
      <c r="E9799" t="b">
        <v>0</v>
      </c>
      <c r="F9799" t="s">
        <v>11622</v>
      </c>
      <c r="L9799">
        <v>5</v>
      </c>
      <c r="M9799">
        <v>8</v>
      </c>
      <c r="N9799">
        <v>24</v>
      </c>
    </row>
    <row r="9800" spans="1:15">
      <c r="A9800" t="s">
        <v>18359</v>
      </c>
      <c r="B9800" t="s">
        <v>12218</v>
      </c>
      <c r="C9800" t="s">
        <v>12218</v>
      </c>
      <c r="D9800" t="s">
        <v>36959</v>
      </c>
      <c r="E9800" t="b">
        <v>0</v>
      </c>
      <c r="F9800" t="s">
        <v>11622</v>
      </c>
      <c r="L9800">
        <v>2</v>
      </c>
      <c r="M9800">
        <v>4</v>
      </c>
      <c r="N9800">
        <v>5</v>
      </c>
    </row>
    <row r="9801" spans="1:15">
      <c r="A9801" t="s">
        <v>36960</v>
      </c>
      <c r="B9801" t="s">
        <v>16042</v>
      </c>
      <c r="C9801" t="s">
        <v>36961</v>
      </c>
      <c r="D9801" t="s">
        <v>36962</v>
      </c>
      <c r="E9801" t="b">
        <v>0</v>
      </c>
      <c r="F9801" t="s">
        <v>11610</v>
      </c>
      <c r="L9801">
        <v>0</v>
      </c>
      <c r="M9801">
        <v>0</v>
      </c>
      <c r="N9801">
        <v>0</v>
      </c>
    </row>
    <row r="9802" spans="1:15">
      <c r="A9802" t="s">
        <v>17739</v>
      </c>
      <c r="B9802" t="s">
        <v>11644</v>
      </c>
      <c r="C9802" t="s">
        <v>25531</v>
      </c>
      <c r="D9802" t="s">
        <v>36963</v>
      </c>
      <c r="E9802" t="b">
        <v>0</v>
      </c>
      <c r="F9802" t="s">
        <v>11624</v>
      </c>
      <c r="G9802">
        <v>27.194099999999999</v>
      </c>
      <c r="H9802">
        <v>86.853099999999998</v>
      </c>
      <c r="I9802" t="s">
        <v>36964</v>
      </c>
      <c r="L9802">
        <v>0</v>
      </c>
      <c r="M9802">
        <v>0</v>
      </c>
      <c r="N9802">
        <v>2</v>
      </c>
      <c r="O9802" t="s">
        <v>15007</v>
      </c>
    </row>
    <row r="9803" spans="1:15">
      <c r="A9803" t="s">
        <v>14208</v>
      </c>
      <c r="B9803" t="s">
        <v>11637</v>
      </c>
      <c r="C9803" t="s">
        <v>13661</v>
      </c>
      <c r="D9803" t="s">
        <v>36965</v>
      </c>
      <c r="E9803" t="b">
        <v>0</v>
      </c>
      <c r="F9803" t="s">
        <v>11622</v>
      </c>
      <c r="L9803">
        <v>2</v>
      </c>
      <c r="M9803">
        <v>7</v>
      </c>
      <c r="N9803">
        <v>33</v>
      </c>
    </row>
    <row r="9804" spans="1:15">
      <c r="A9804" t="s">
        <v>36966</v>
      </c>
      <c r="B9804" t="s">
        <v>11644</v>
      </c>
      <c r="C9804" t="s">
        <v>12529</v>
      </c>
      <c r="D9804" t="s">
        <v>36967</v>
      </c>
      <c r="E9804" t="b">
        <v>0</v>
      </c>
      <c r="F9804" t="s">
        <v>11624</v>
      </c>
      <c r="G9804">
        <v>25.285699999999999</v>
      </c>
      <c r="H9804">
        <v>94.214100000000002</v>
      </c>
      <c r="I9804" t="s">
        <v>36968</v>
      </c>
      <c r="L9804">
        <v>0</v>
      </c>
      <c r="M9804">
        <v>0</v>
      </c>
      <c r="N9804">
        <v>0</v>
      </c>
      <c r="O9804" t="s">
        <v>11630</v>
      </c>
    </row>
    <row r="9805" spans="1:15">
      <c r="A9805" t="s">
        <v>29699</v>
      </c>
      <c r="B9805" t="s">
        <v>12218</v>
      </c>
      <c r="C9805" t="s">
        <v>18359</v>
      </c>
      <c r="D9805" t="s">
        <v>36969</v>
      </c>
      <c r="E9805" t="b">
        <v>0</v>
      </c>
      <c r="F9805" t="s">
        <v>11622</v>
      </c>
      <c r="L9805">
        <v>0</v>
      </c>
      <c r="M9805">
        <v>2</v>
      </c>
      <c r="N9805">
        <v>5</v>
      </c>
    </row>
    <row r="9806" spans="1:15">
      <c r="A9806" t="s">
        <v>26298</v>
      </c>
      <c r="B9806" t="s">
        <v>12218</v>
      </c>
      <c r="C9806" t="s">
        <v>29699</v>
      </c>
      <c r="D9806" t="s">
        <v>36970</v>
      </c>
      <c r="E9806" t="b">
        <v>0</v>
      </c>
      <c r="F9806" t="s">
        <v>11624</v>
      </c>
      <c r="G9806">
        <v>-9.3687699999999996</v>
      </c>
      <c r="H9806">
        <v>147.07900000000001</v>
      </c>
      <c r="I9806" t="s">
        <v>36971</v>
      </c>
      <c r="L9806">
        <v>0</v>
      </c>
      <c r="M9806">
        <v>0</v>
      </c>
      <c r="N9806">
        <v>2</v>
      </c>
      <c r="O9806" t="s">
        <v>11660</v>
      </c>
    </row>
    <row r="9807" spans="1:15">
      <c r="A9807" t="s">
        <v>36972</v>
      </c>
      <c r="B9807" t="s">
        <v>13411</v>
      </c>
      <c r="C9807" t="s">
        <v>20358</v>
      </c>
      <c r="D9807" t="s">
        <v>36973</v>
      </c>
      <c r="E9807" t="b">
        <v>0</v>
      </c>
      <c r="F9807" t="s">
        <v>11624</v>
      </c>
      <c r="G9807">
        <v>-4.0341699999999996</v>
      </c>
      <c r="H9807">
        <v>143.62</v>
      </c>
      <c r="I9807" t="s">
        <v>36974</v>
      </c>
      <c r="L9807">
        <v>0</v>
      </c>
      <c r="M9807">
        <v>0</v>
      </c>
      <c r="N9807">
        <v>0</v>
      </c>
      <c r="O9807" t="s">
        <v>11660</v>
      </c>
    </row>
    <row r="9808" spans="1:15">
      <c r="A9808" t="s">
        <v>36975</v>
      </c>
      <c r="B9808" t="s">
        <v>11644</v>
      </c>
      <c r="C9808" t="s">
        <v>20288</v>
      </c>
      <c r="D9808" t="s">
        <v>36976</v>
      </c>
      <c r="E9808" t="b">
        <v>0</v>
      </c>
      <c r="F9808" t="s">
        <v>11610</v>
      </c>
      <c r="L9808">
        <v>0</v>
      </c>
      <c r="M9808">
        <v>0</v>
      </c>
      <c r="N9808">
        <v>0</v>
      </c>
    </row>
    <row r="9809" spans="1:15">
      <c r="A9809" t="s">
        <v>36977</v>
      </c>
      <c r="B9809" t="s">
        <v>5126</v>
      </c>
      <c r="C9809" t="s">
        <v>36978</v>
      </c>
      <c r="D9809" t="s">
        <v>36979</v>
      </c>
      <c r="E9809" t="b">
        <v>0</v>
      </c>
      <c r="F9809" t="s">
        <v>11610</v>
      </c>
      <c r="L9809">
        <v>0</v>
      </c>
      <c r="M9809">
        <v>0</v>
      </c>
      <c r="N9809">
        <v>0</v>
      </c>
    </row>
    <row r="9810" spans="1:15">
      <c r="A9810" t="s">
        <v>36980</v>
      </c>
      <c r="B9810" t="s">
        <v>10597</v>
      </c>
      <c r="C9810" t="s">
        <v>14002</v>
      </c>
      <c r="D9810" t="s">
        <v>36981</v>
      </c>
      <c r="E9810" t="b">
        <v>0</v>
      </c>
      <c r="F9810" t="s">
        <v>11624</v>
      </c>
      <c r="G9810">
        <v>-31.205200000000001</v>
      </c>
      <c r="H9810">
        <v>136.81299999999999</v>
      </c>
      <c r="I9810" t="s">
        <v>36982</v>
      </c>
      <c r="L9810">
        <v>0</v>
      </c>
      <c r="M9810">
        <v>0</v>
      </c>
      <c r="N9810">
        <v>0</v>
      </c>
      <c r="O9810" t="s">
        <v>12107</v>
      </c>
    </row>
    <row r="9811" spans="1:15">
      <c r="A9811" t="s">
        <v>24327</v>
      </c>
      <c r="B9811" t="s">
        <v>11644</v>
      </c>
      <c r="C9811" t="s">
        <v>36983</v>
      </c>
      <c r="D9811" t="s">
        <v>36984</v>
      </c>
      <c r="E9811" t="b">
        <v>0</v>
      </c>
      <c r="F9811" t="s">
        <v>11624</v>
      </c>
      <c r="G9811">
        <v>23.191600000000001</v>
      </c>
      <c r="H9811">
        <v>91.467299999999994</v>
      </c>
      <c r="I9811" t="s">
        <v>36985</v>
      </c>
      <c r="L9811">
        <v>0</v>
      </c>
      <c r="M9811">
        <v>0</v>
      </c>
      <c r="N9811">
        <v>4</v>
      </c>
      <c r="O9811" t="s">
        <v>15054</v>
      </c>
    </row>
    <row r="9812" spans="1:15">
      <c r="A9812" t="s">
        <v>36986</v>
      </c>
      <c r="B9812" t="s">
        <v>11644</v>
      </c>
      <c r="C9812" t="s">
        <v>36987</v>
      </c>
      <c r="D9812" t="s">
        <v>36988</v>
      </c>
      <c r="E9812" t="b">
        <v>0</v>
      </c>
      <c r="F9812" t="s">
        <v>11610</v>
      </c>
      <c r="L9812">
        <v>0</v>
      </c>
      <c r="M9812">
        <v>0</v>
      </c>
      <c r="N9812">
        <v>0</v>
      </c>
    </row>
    <row r="9813" spans="1:15">
      <c r="A9813" t="s">
        <v>36989</v>
      </c>
      <c r="B9813" t="s">
        <v>6742</v>
      </c>
      <c r="C9813" t="s">
        <v>19255</v>
      </c>
      <c r="D9813" t="s">
        <v>36990</v>
      </c>
      <c r="E9813" t="b">
        <v>0</v>
      </c>
      <c r="F9813" t="s">
        <v>11624</v>
      </c>
      <c r="G9813">
        <v>10.6829</v>
      </c>
      <c r="H9813">
        <v>18.412099999999999</v>
      </c>
      <c r="I9813" t="s">
        <v>36991</v>
      </c>
      <c r="L9813">
        <v>0</v>
      </c>
      <c r="M9813">
        <v>0</v>
      </c>
      <c r="N9813">
        <v>0</v>
      </c>
      <c r="O9813" t="s">
        <v>13421</v>
      </c>
    </row>
    <row r="9814" spans="1:15">
      <c r="A9814" t="s">
        <v>36992</v>
      </c>
      <c r="B9814" t="s">
        <v>11615</v>
      </c>
      <c r="C9814" t="s">
        <v>36993</v>
      </c>
      <c r="D9814" t="s">
        <v>36994</v>
      </c>
      <c r="E9814" t="b">
        <v>0</v>
      </c>
      <c r="F9814" t="s">
        <v>11624</v>
      </c>
      <c r="L9814">
        <v>0</v>
      </c>
      <c r="M9814">
        <v>0</v>
      </c>
      <c r="N9814">
        <v>0</v>
      </c>
      <c r="O9814" t="s">
        <v>11768</v>
      </c>
    </row>
    <row r="9815" spans="1:15">
      <c r="A9815" t="s">
        <v>36995</v>
      </c>
      <c r="B9815" t="s">
        <v>13518</v>
      </c>
      <c r="C9815" t="s">
        <v>25322</v>
      </c>
      <c r="D9815" t="s">
        <v>36996</v>
      </c>
      <c r="E9815" t="b">
        <v>0</v>
      </c>
      <c r="F9815" t="s">
        <v>11610</v>
      </c>
      <c r="L9815">
        <v>0</v>
      </c>
      <c r="M9815">
        <v>0</v>
      </c>
      <c r="N9815">
        <v>0</v>
      </c>
    </row>
    <row r="9816" spans="1:15">
      <c r="A9816" t="s">
        <v>36997</v>
      </c>
      <c r="B9816" t="s">
        <v>13518</v>
      </c>
      <c r="C9816" t="s">
        <v>25322</v>
      </c>
      <c r="D9816" t="s">
        <v>36998</v>
      </c>
      <c r="E9816" t="b">
        <v>0</v>
      </c>
      <c r="F9816" t="s">
        <v>11610</v>
      </c>
      <c r="L9816">
        <v>0</v>
      </c>
      <c r="M9816">
        <v>0</v>
      </c>
      <c r="N9816">
        <v>0</v>
      </c>
    </row>
    <row r="9817" spans="1:15">
      <c r="A9817" t="s">
        <v>36999</v>
      </c>
      <c r="B9817" t="s">
        <v>10597</v>
      </c>
      <c r="C9817" t="s">
        <v>37000</v>
      </c>
      <c r="D9817" t="s">
        <v>37001</v>
      </c>
      <c r="E9817" t="b">
        <v>0</v>
      </c>
      <c r="F9817" t="s">
        <v>11624</v>
      </c>
      <c r="G9817">
        <v>-16.181000000000001</v>
      </c>
      <c r="H9817">
        <v>141.608</v>
      </c>
      <c r="I9817" t="s">
        <v>37002</v>
      </c>
      <c r="L9817">
        <v>0</v>
      </c>
      <c r="M9817">
        <v>0</v>
      </c>
      <c r="N9817">
        <v>0</v>
      </c>
      <c r="O9817" t="s">
        <v>12107</v>
      </c>
    </row>
    <row r="9818" spans="1:15">
      <c r="A9818" t="s">
        <v>35351</v>
      </c>
      <c r="B9818" t="s">
        <v>14314</v>
      </c>
      <c r="C9818" t="s">
        <v>14315</v>
      </c>
      <c r="D9818" t="s">
        <v>37003</v>
      </c>
      <c r="E9818" t="b">
        <v>0</v>
      </c>
      <c r="F9818" t="s">
        <v>11624</v>
      </c>
      <c r="G9818">
        <v>-2.1287199999999999</v>
      </c>
      <c r="H9818">
        <v>132.44900000000001</v>
      </c>
      <c r="I9818" t="s">
        <v>37004</v>
      </c>
      <c r="L9818">
        <v>0</v>
      </c>
      <c r="M9818">
        <v>0</v>
      </c>
      <c r="N9818">
        <v>3</v>
      </c>
      <c r="O9818" t="s">
        <v>11768</v>
      </c>
    </row>
    <row r="9819" spans="1:15">
      <c r="A9819" t="s">
        <v>37005</v>
      </c>
      <c r="B9819" t="s">
        <v>6742</v>
      </c>
      <c r="C9819" t="s">
        <v>23005</v>
      </c>
      <c r="D9819" t="s">
        <v>37006</v>
      </c>
      <c r="E9819" t="b">
        <v>0</v>
      </c>
      <c r="F9819" t="s">
        <v>11624</v>
      </c>
      <c r="G9819">
        <v>-16.2681</v>
      </c>
      <c r="H9819">
        <v>35.576700000000002</v>
      </c>
      <c r="I9819" t="s">
        <v>37007</v>
      </c>
      <c r="L9819">
        <v>0</v>
      </c>
      <c r="M9819">
        <v>0</v>
      </c>
      <c r="N9819">
        <v>0</v>
      </c>
      <c r="O9819" t="s">
        <v>37008</v>
      </c>
    </row>
    <row r="9820" spans="1:15">
      <c r="A9820" t="s">
        <v>37009</v>
      </c>
      <c r="B9820" t="s">
        <v>367</v>
      </c>
      <c r="C9820" t="s">
        <v>7268</v>
      </c>
      <c r="D9820" t="s">
        <v>37010</v>
      </c>
      <c r="E9820" t="b">
        <v>0</v>
      </c>
      <c r="F9820" t="s">
        <v>11610</v>
      </c>
      <c r="L9820">
        <v>0</v>
      </c>
      <c r="M9820">
        <v>0</v>
      </c>
      <c r="N9820">
        <v>0</v>
      </c>
    </row>
    <row r="9821" spans="1:15">
      <c r="A9821" t="s">
        <v>37011</v>
      </c>
      <c r="B9821" t="s">
        <v>367</v>
      </c>
      <c r="C9821" t="s">
        <v>21545</v>
      </c>
      <c r="D9821" t="s">
        <v>37012</v>
      </c>
      <c r="E9821" t="b">
        <v>0</v>
      </c>
      <c r="F9821" t="s">
        <v>11624</v>
      </c>
      <c r="G9821">
        <v>-8.1648099999999992</v>
      </c>
      <c r="H9821">
        <v>159.191</v>
      </c>
      <c r="I9821" t="s">
        <v>37013</v>
      </c>
      <c r="L9821">
        <v>0</v>
      </c>
      <c r="M9821">
        <v>0</v>
      </c>
      <c r="N9821">
        <v>0</v>
      </c>
      <c r="O9821" t="s">
        <v>13346</v>
      </c>
    </row>
    <row r="9822" spans="1:15">
      <c r="A9822" t="s">
        <v>37014</v>
      </c>
      <c r="B9822" t="s">
        <v>367</v>
      </c>
      <c r="C9822" t="s">
        <v>17494</v>
      </c>
      <c r="D9822" t="s">
        <v>37015</v>
      </c>
      <c r="E9822" t="b">
        <v>0</v>
      </c>
      <c r="F9822" t="s">
        <v>11610</v>
      </c>
      <c r="L9822">
        <v>0</v>
      </c>
      <c r="M9822">
        <v>0</v>
      </c>
      <c r="N9822">
        <v>0</v>
      </c>
    </row>
    <row r="9823" spans="1:15">
      <c r="A9823" t="s">
        <v>29313</v>
      </c>
      <c r="B9823" t="s">
        <v>11615</v>
      </c>
      <c r="C9823" t="s">
        <v>30121</v>
      </c>
      <c r="D9823" t="s">
        <v>37016</v>
      </c>
      <c r="E9823" t="b">
        <v>0</v>
      </c>
      <c r="F9823" t="s">
        <v>11622</v>
      </c>
      <c r="L9823">
        <v>0</v>
      </c>
      <c r="M9823">
        <v>3</v>
      </c>
      <c r="N9823">
        <v>0</v>
      </c>
    </row>
    <row r="9824" spans="1:15">
      <c r="A9824" t="s">
        <v>37017</v>
      </c>
      <c r="B9824" t="s">
        <v>10597</v>
      </c>
      <c r="C9824" t="s">
        <v>24638</v>
      </c>
      <c r="D9824" t="s">
        <v>37018</v>
      </c>
      <c r="E9824" t="b">
        <v>0</v>
      </c>
      <c r="F9824" t="s">
        <v>11624</v>
      </c>
      <c r="L9824">
        <v>0</v>
      </c>
      <c r="M9824">
        <v>0</v>
      </c>
      <c r="N9824">
        <v>0</v>
      </c>
      <c r="O9824" t="s">
        <v>12107</v>
      </c>
    </row>
    <row r="9825" spans="1:15">
      <c r="A9825" t="s">
        <v>37019</v>
      </c>
      <c r="B9825" t="s">
        <v>11627</v>
      </c>
      <c r="C9825" t="s">
        <v>11627</v>
      </c>
      <c r="D9825" t="s">
        <v>37020</v>
      </c>
      <c r="E9825" t="b">
        <v>1</v>
      </c>
      <c r="F9825" t="s">
        <v>11624</v>
      </c>
      <c r="I9825" t="s">
        <v>37021</v>
      </c>
      <c r="L9825">
        <v>0</v>
      </c>
      <c r="M9825">
        <v>0</v>
      </c>
      <c r="N9825">
        <v>0</v>
      </c>
      <c r="O9825" t="s">
        <v>12107</v>
      </c>
    </row>
    <row r="9826" spans="1:15">
      <c r="A9826" t="s">
        <v>37022</v>
      </c>
      <c r="B9826" t="s">
        <v>11844</v>
      </c>
      <c r="C9826" t="s">
        <v>1332</v>
      </c>
      <c r="D9826" t="s">
        <v>37023</v>
      </c>
      <c r="E9826" t="b">
        <v>0</v>
      </c>
      <c r="F9826" t="s">
        <v>11622</v>
      </c>
      <c r="L9826">
        <v>0</v>
      </c>
      <c r="M9826">
        <v>2</v>
      </c>
      <c r="N9826">
        <v>8</v>
      </c>
    </row>
    <row r="9827" spans="1:15">
      <c r="A9827" t="s">
        <v>37024</v>
      </c>
      <c r="B9827" t="s">
        <v>11637</v>
      </c>
      <c r="C9827" t="s">
        <v>33137</v>
      </c>
      <c r="D9827" t="s">
        <v>37025</v>
      </c>
      <c r="E9827" t="b">
        <v>0</v>
      </c>
      <c r="F9827" t="s">
        <v>11610</v>
      </c>
      <c r="L9827">
        <v>0</v>
      </c>
      <c r="M9827">
        <v>0</v>
      </c>
      <c r="N9827">
        <v>0</v>
      </c>
    </row>
    <row r="9828" spans="1:15">
      <c r="A9828" t="s">
        <v>37026</v>
      </c>
      <c r="B9828" t="s">
        <v>367</v>
      </c>
      <c r="C9828" t="s">
        <v>37027</v>
      </c>
      <c r="D9828" t="s">
        <v>37028</v>
      </c>
      <c r="E9828" t="b">
        <v>0</v>
      </c>
      <c r="F9828" t="s">
        <v>11624</v>
      </c>
      <c r="G9828">
        <v>-5.4883300000000004</v>
      </c>
      <c r="H9828">
        <v>134.59200000000001</v>
      </c>
      <c r="I9828" t="s">
        <v>37029</v>
      </c>
      <c r="L9828">
        <v>0</v>
      </c>
      <c r="M9828">
        <v>0</v>
      </c>
      <c r="N9828">
        <v>0</v>
      </c>
      <c r="O9828" t="s">
        <v>11768</v>
      </c>
    </row>
    <row r="9829" spans="1:15">
      <c r="A9829" t="s">
        <v>37030</v>
      </c>
      <c r="B9829" t="s">
        <v>11839</v>
      </c>
      <c r="C9829" t="s">
        <v>11840</v>
      </c>
      <c r="D9829" t="s">
        <v>37031</v>
      </c>
      <c r="E9829" t="b">
        <v>0</v>
      </c>
      <c r="F9829" t="s">
        <v>11622</v>
      </c>
      <c r="L9829">
        <v>1</v>
      </c>
      <c r="M9829">
        <v>3</v>
      </c>
      <c r="N9829">
        <v>16</v>
      </c>
    </row>
    <row r="9830" spans="1:15">
      <c r="A9830" t="s">
        <v>37032</v>
      </c>
      <c r="B9830" t="s">
        <v>11839</v>
      </c>
      <c r="C9830" t="s">
        <v>37033</v>
      </c>
      <c r="D9830" t="s">
        <v>37034</v>
      </c>
      <c r="E9830" t="b">
        <v>0</v>
      </c>
      <c r="F9830" t="s">
        <v>11610</v>
      </c>
      <c r="L9830">
        <v>0</v>
      </c>
      <c r="M9830">
        <v>0</v>
      </c>
      <c r="N9830">
        <v>0</v>
      </c>
    </row>
    <row r="9831" spans="1:15">
      <c r="A9831" t="s">
        <v>37035</v>
      </c>
      <c r="B9831" t="s">
        <v>11607</v>
      </c>
      <c r="C9831" t="s">
        <v>37036</v>
      </c>
      <c r="D9831" t="s">
        <v>37037</v>
      </c>
      <c r="E9831" t="b">
        <v>0</v>
      </c>
      <c r="F9831" t="s">
        <v>11610</v>
      </c>
      <c r="L9831">
        <v>0</v>
      </c>
      <c r="M9831">
        <v>0</v>
      </c>
      <c r="N9831">
        <v>0</v>
      </c>
    </row>
    <row r="9832" spans="1:15">
      <c r="A9832" t="s">
        <v>37027</v>
      </c>
      <c r="B9832" t="s">
        <v>367</v>
      </c>
      <c r="C9832" t="s">
        <v>37038</v>
      </c>
      <c r="D9832" t="s">
        <v>37039</v>
      </c>
      <c r="E9832" t="b">
        <v>0</v>
      </c>
      <c r="F9832" t="s">
        <v>11622</v>
      </c>
      <c r="L9832">
        <v>0</v>
      </c>
      <c r="M9832">
        <v>2</v>
      </c>
      <c r="N9832">
        <v>0</v>
      </c>
    </row>
    <row r="9833" spans="1:15">
      <c r="A9833" t="s">
        <v>37040</v>
      </c>
      <c r="B9833" t="s">
        <v>6742</v>
      </c>
      <c r="C9833" t="s">
        <v>37041</v>
      </c>
      <c r="D9833" t="s">
        <v>37042</v>
      </c>
      <c r="E9833" t="b">
        <v>0</v>
      </c>
      <c r="F9833" t="s">
        <v>11624</v>
      </c>
      <c r="G9833">
        <v>8.26797</v>
      </c>
      <c r="H9833">
        <v>13.2707</v>
      </c>
      <c r="I9833" t="s">
        <v>37043</v>
      </c>
      <c r="L9833">
        <v>0</v>
      </c>
      <c r="M9833">
        <v>0</v>
      </c>
      <c r="N9833">
        <v>0</v>
      </c>
      <c r="O9833" t="s">
        <v>11703</v>
      </c>
    </row>
    <row r="9834" spans="1:15">
      <c r="A9834" t="s">
        <v>37044</v>
      </c>
      <c r="B9834" t="s">
        <v>12438</v>
      </c>
      <c r="C9834" t="s">
        <v>37045</v>
      </c>
      <c r="D9834" t="s">
        <v>37046</v>
      </c>
      <c r="E9834" t="b">
        <v>0</v>
      </c>
      <c r="F9834" t="s">
        <v>11624</v>
      </c>
      <c r="I9834" t="s">
        <v>37047</v>
      </c>
      <c r="L9834">
        <v>0</v>
      </c>
      <c r="M9834">
        <v>0</v>
      </c>
      <c r="N9834">
        <v>0</v>
      </c>
      <c r="O9834" t="s">
        <v>22740</v>
      </c>
    </row>
    <row r="9835" spans="1:15">
      <c r="A9835" t="s">
        <v>18536</v>
      </c>
      <c r="B9835" t="s">
        <v>6742</v>
      </c>
      <c r="C9835" t="s">
        <v>20795</v>
      </c>
      <c r="D9835" t="s">
        <v>37048</v>
      </c>
      <c r="E9835" t="b">
        <v>0</v>
      </c>
      <c r="F9835" t="s">
        <v>11624</v>
      </c>
      <c r="G9835">
        <v>3.6599400000000002</v>
      </c>
      <c r="H9835">
        <v>12.8574</v>
      </c>
      <c r="I9835" t="s">
        <v>37049</v>
      </c>
      <c r="L9835">
        <v>0</v>
      </c>
      <c r="M9835">
        <v>0</v>
      </c>
      <c r="N9835">
        <v>4</v>
      </c>
      <c r="O9835" t="s">
        <v>11703</v>
      </c>
    </row>
    <row r="9836" spans="1:15">
      <c r="A9836" t="s">
        <v>37050</v>
      </c>
      <c r="B9836" t="s">
        <v>19339</v>
      </c>
      <c r="C9836" t="s">
        <v>19340</v>
      </c>
      <c r="D9836" t="s">
        <v>37051</v>
      </c>
      <c r="E9836" t="b">
        <v>0</v>
      </c>
      <c r="F9836" t="s">
        <v>11610</v>
      </c>
      <c r="L9836">
        <v>0</v>
      </c>
      <c r="M9836">
        <v>0</v>
      </c>
      <c r="N9836">
        <v>0</v>
      </c>
    </row>
    <row r="9837" spans="1:15">
      <c r="A9837" t="s">
        <v>37052</v>
      </c>
      <c r="B9837" t="s">
        <v>11615</v>
      </c>
      <c r="C9837" t="s">
        <v>12938</v>
      </c>
      <c r="D9837" t="s">
        <v>37053</v>
      </c>
      <c r="E9837" t="b">
        <v>0</v>
      </c>
      <c r="F9837" t="s">
        <v>11610</v>
      </c>
      <c r="L9837">
        <v>0</v>
      </c>
      <c r="M9837">
        <v>0</v>
      </c>
      <c r="N9837">
        <v>0</v>
      </c>
    </row>
    <row r="9838" spans="1:15">
      <c r="A9838" t="s">
        <v>16145</v>
      </c>
      <c r="B9838" t="s">
        <v>6742</v>
      </c>
      <c r="C9838" t="s">
        <v>25418</v>
      </c>
      <c r="D9838" t="s">
        <v>37054</v>
      </c>
      <c r="E9838" t="b">
        <v>0</v>
      </c>
      <c r="F9838" t="s">
        <v>11622</v>
      </c>
      <c r="L9838">
        <v>0</v>
      </c>
      <c r="M9838">
        <v>2</v>
      </c>
      <c r="N9838">
        <v>0</v>
      </c>
    </row>
    <row r="9839" spans="1:15">
      <c r="A9839" t="s">
        <v>37055</v>
      </c>
      <c r="B9839" t="s">
        <v>11644</v>
      </c>
      <c r="C9839" t="s">
        <v>37056</v>
      </c>
      <c r="D9839" t="s">
        <v>37057</v>
      </c>
      <c r="E9839" t="b">
        <v>0</v>
      </c>
      <c r="F9839" t="s">
        <v>11610</v>
      </c>
      <c r="L9839">
        <v>0</v>
      </c>
      <c r="M9839">
        <v>0</v>
      </c>
      <c r="N9839">
        <v>0</v>
      </c>
    </row>
    <row r="9840" spans="1:15">
      <c r="A9840" t="s">
        <v>37058</v>
      </c>
      <c r="B9840" t="s">
        <v>11637</v>
      </c>
      <c r="C9840" t="s">
        <v>16887</v>
      </c>
      <c r="D9840" t="s">
        <v>37059</v>
      </c>
      <c r="E9840" t="b">
        <v>0</v>
      </c>
      <c r="F9840" t="s">
        <v>11610</v>
      </c>
      <c r="L9840">
        <v>0</v>
      </c>
      <c r="M9840">
        <v>0</v>
      </c>
      <c r="N9840">
        <v>0</v>
      </c>
    </row>
    <row r="9841" spans="1:15">
      <c r="A9841" t="s">
        <v>37060</v>
      </c>
      <c r="B9841" t="s">
        <v>11637</v>
      </c>
      <c r="C9841" t="s">
        <v>12270</v>
      </c>
      <c r="D9841" t="s">
        <v>37061</v>
      </c>
      <c r="E9841" t="b">
        <v>0</v>
      </c>
      <c r="F9841" t="s">
        <v>11610</v>
      </c>
      <c r="L9841">
        <v>0</v>
      </c>
      <c r="M9841">
        <v>0</v>
      </c>
      <c r="N9841">
        <v>0</v>
      </c>
    </row>
    <row r="9842" spans="1:15">
      <c r="A9842" t="s">
        <v>37062</v>
      </c>
      <c r="B9842" t="s">
        <v>367</v>
      </c>
      <c r="C9842" t="s">
        <v>37063</v>
      </c>
      <c r="D9842" t="s">
        <v>37064</v>
      </c>
      <c r="E9842" t="b">
        <v>0</v>
      </c>
      <c r="F9842" t="s">
        <v>11624</v>
      </c>
      <c r="G9842">
        <v>7.7721200000000001</v>
      </c>
      <c r="H9842">
        <v>122.56699999999999</v>
      </c>
      <c r="I9842" t="s">
        <v>37065</v>
      </c>
      <c r="L9842">
        <v>0</v>
      </c>
      <c r="M9842">
        <v>0</v>
      </c>
      <c r="N9842">
        <v>0</v>
      </c>
      <c r="O9842" t="s">
        <v>11749</v>
      </c>
    </row>
    <row r="9843" spans="1:15">
      <c r="A9843" t="s">
        <v>37066</v>
      </c>
      <c r="B9843" t="s">
        <v>11981</v>
      </c>
      <c r="C9843" t="s">
        <v>16705</v>
      </c>
      <c r="D9843" t="s">
        <v>37067</v>
      </c>
      <c r="E9843" t="b">
        <v>0</v>
      </c>
      <c r="F9843" t="s">
        <v>11610</v>
      </c>
      <c r="G9843">
        <v>22.606041999999999</v>
      </c>
      <c r="H9843">
        <v>88.394223999999994</v>
      </c>
      <c r="I9843" t="s">
        <v>37068</v>
      </c>
      <c r="L9843">
        <v>0</v>
      </c>
      <c r="M9843">
        <v>0</v>
      </c>
      <c r="N9843">
        <v>0</v>
      </c>
      <c r="O9843" t="s">
        <v>11630</v>
      </c>
    </row>
    <row r="9844" spans="1:15">
      <c r="A9844" t="s">
        <v>37069</v>
      </c>
      <c r="B9844" t="s">
        <v>12438</v>
      </c>
      <c r="C9844" t="s">
        <v>23567</v>
      </c>
      <c r="D9844" t="s">
        <v>37070</v>
      </c>
      <c r="E9844" t="b">
        <v>0</v>
      </c>
      <c r="F9844" t="s">
        <v>11610</v>
      </c>
      <c r="L9844">
        <v>0</v>
      </c>
      <c r="M9844">
        <v>0</v>
      </c>
      <c r="N9844">
        <v>0</v>
      </c>
    </row>
    <row r="9845" spans="1:15">
      <c r="A9845" t="s">
        <v>37071</v>
      </c>
      <c r="B9845" t="s">
        <v>37072</v>
      </c>
      <c r="C9845" t="s">
        <v>37072</v>
      </c>
      <c r="D9845" t="s">
        <v>37073</v>
      </c>
      <c r="E9845" t="b">
        <v>0</v>
      </c>
      <c r="F9845" t="s">
        <v>11610</v>
      </c>
      <c r="L9845">
        <v>0</v>
      </c>
      <c r="M9845">
        <v>0</v>
      </c>
      <c r="N9845">
        <v>0</v>
      </c>
    </row>
    <row r="9846" spans="1:15">
      <c r="A9846" t="s">
        <v>37074</v>
      </c>
      <c r="B9846" t="s">
        <v>6742</v>
      </c>
      <c r="C9846" t="s">
        <v>18536</v>
      </c>
      <c r="D9846" t="s">
        <v>37075</v>
      </c>
      <c r="E9846" t="b">
        <v>0</v>
      </c>
      <c r="F9846" t="s">
        <v>11610</v>
      </c>
      <c r="L9846">
        <v>0</v>
      </c>
      <c r="M9846">
        <v>0</v>
      </c>
      <c r="N9846">
        <v>0</v>
      </c>
    </row>
    <row r="9847" spans="1:15">
      <c r="A9847" t="s">
        <v>37076</v>
      </c>
      <c r="B9847" t="s">
        <v>12697</v>
      </c>
      <c r="C9847" t="s">
        <v>14175</v>
      </c>
      <c r="D9847" t="s">
        <v>37077</v>
      </c>
      <c r="E9847" t="b">
        <v>0</v>
      </c>
      <c r="F9847" t="s">
        <v>11610</v>
      </c>
      <c r="L9847">
        <v>0</v>
      </c>
      <c r="M9847">
        <v>0</v>
      </c>
      <c r="N9847">
        <v>0</v>
      </c>
    </row>
    <row r="9848" spans="1:15">
      <c r="A9848" t="s">
        <v>37078</v>
      </c>
      <c r="B9848" t="s">
        <v>6742</v>
      </c>
      <c r="C9848" t="s">
        <v>28613</v>
      </c>
      <c r="D9848" t="s">
        <v>37079</v>
      </c>
      <c r="E9848" t="b">
        <v>0</v>
      </c>
      <c r="F9848" t="s">
        <v>11610</v>
      </c>
      <c r="L9848">
        <v>0</v>
      </c>
      <c r="M9848">
        <v>0</v>
      </c>
      <c r="N9848">
        <v>0</v>
      </c>
    </row>
    <row r="9849" spans="1:15">
      <c r="A9849" t="s">
        <v>37080</v>
      </c>
      <c r="B9849" t="s">
        <v>6742</v>
      </c>
      <c r="C9849" t="s">
        <v>16074</v>
      </c>
      <c r="D9849" t="s">
        <v>37081</v>
      </c>
      <c r="E9849" t="b">
        <v>0</v>
      </c>
      <c r="F9849" t="s">
        <v>11610</v>
      </c>
      <c r="L9849">
        <v>0</v>
      </c>
      <c r="M9849">
        <v>0</v>
      </c>
      <c r="N9849">
        <v>0</v>
      </c>
    </row>
    <row r="9850" spans="1:15">
      <c r="A9850" t="s">
        <v>37082</v>
      </c>
      <c r="B9850" t="s">
        <v>6742</v>
      </c>
      <c r="C9850" t="s">
        <v>30858</v>
      </c>
      <c r="D9850" t="s">
        <v>37083</v>
      </c>
      <c r="E9850" t="b">
        <v>0</v>
      </c>
      <c r="F9850" t="s">
        <v>11610</v>
      </c>
      <c r="L9850">
        <v>0</v>
      </c>
      <c r="M9850">
        <v>0</v>
      </c>
      <c r="N9850">
        <v>0</v>
      </c>
    </row>
    <row r="9851" spans="1:15">
      <c r="A9851" t="s">
        <v>37084</v>
      </c>
      <c r="B9851" t="s">
        <v>367</v>
      </c>
      <c r="C9851" t="s">
        <v>18637</v>
      </c>
      <c r="D9851" t="s">
        <v>37085</v>
      </c>
      <c r="E9851" t="b">
        <v>0</v>
      </c>
      <c r="F9851" t="s">
        <v>11610</v>
      </c>
      <c r="L9851">
        <v>0</v>
      </c>
      <c r="M9851">
        <v>0</v>
      </c>
      <c r="N9851">
        <v>0</v>
      </c>
    </row>
    <row r="9852" spans="1:15">
      <c r="A9852" t="s">
        <v>37086</v>
      </c>
      <c r="B9852" t="s">
        <v>11615</v>
      </c>
      <c r="C9852" t="s">
        <v>14385</v>
      </c>
      <c r="D9852" t="s">
        <v>37087</v>
      </c>
      <c r="E9852" t="b">
        <v>0</v>
      </c>
      <c r="F9852" t="s">
        <v>11624</v>
      </c>
      <c r="G9852">
        <v>-5.5783199999999997</v>
      </c>
      <c r="H9852">
        <v>146.21199999999999</v>
      </c>
      <c r="I9852" t="s">
        <v>37088</v>
      </c>
      <c r="L9852">
        <v>0</v>
      </c>
      <c r="M9852">
        <v>0</v>
      </c>
      <c r="N9852">
        <v>0</v>
      </c>
      <c r="O9852" t="s">
        <v>11660</v>
      </c>
    </row>
    <row r="9853" spans="1:15">
      <c r="A9853" t="s">
        <v>36517</v>
      </c>
      <c r="D9853" t="s">
        <v>37089</v>
      </c>
      <c r="E9853" t="b">
        <v>0</v>
      </c>
      <c r="F9853" t="s">
        <v>11622</v>
      </c>
      <c r="L9853">
        <v>1</v>
      </c>
      <c r="M9853">
        <v>3</v>
      </c>
      <c r="N9853">
        <v>0</v>
      </c>
    </row>
    <row r="9854" spans="1:15">
      <c r="A9854" t="s">
        <v>37072</v>
      </c>
      <c r="D9854" t="s">
        <v>37090</v>
      </c>
      <c r="E9854" t="b">
        <v>0</v>
      </c>
      <c r="F9854" t="s">
        <v>11624</v>
      </c>
      <c r="G9854">
        <v>-5.2104200000000001</v>
      </c>
      <c r="H9854">
        <v>151.583</v>
      </c>
      <c r="I9854" t="s">
        <v>37091</v>
      </c>
      <c r="L9854">
        <v>0</v>
      </c>
      <c r="M9854">
        <v>0</v>
      </c>
      <c r="N9854">
        <v>2</v>
      </c>
      <c r="O9854" t="s">
        <v>11660</v>
      </c>
    </row>
    <row r="9855" spans="1:15">
      <c r="A9855" t="s">
        <v>26680</v>
      </c>
      <c r="B9855" t="s">
        <v>11637</v>
      </c>
      <c r="C9855" t="s">
        <v>37092</v>
      </c>
      <c r="D9855" t="s">
        <v>37093</v>
      </c>
      <c r="E9855" t="b">
        <v>0</v>
      </c>
      <c r="F9855" t="s">
        <v>11624</v>
      </c>
      <c r="G9855">
        <v>50.947000000000003</v>
      </c>
      <c r="H9855">
        <v>6.9269999999999996</v>
      </c>
      <c r="I9855" t="s">
        <v>37094</v>
      </c>
      <c r="L9855">
        <v>0</v>
      </c>
      <c r="M9855">
        <v>0</v>
      </c>
      <c r="N9855">
        <v>2</v>
      </c>
      <c r="O9855" t="s">
        <v>25838</v>
      </c>
    </row>
    <row r="9856" spans="1:15">
      <c r="A9856" t="s">
        <v>37095</v>
      </c>
      <c r="B9856" t="s">
        <v>6742</v>
      </c>
      <c r="C9856" t="s">
        <v>18536</v>
      </c>
      <c r="D9856" t="s">
        <v>37096</v>
      </c>
      <c r="E9856" t="b">
        <v>0</v>
      </c>
      <c r="F9856" t="s">
        <v>11610</v>
      </c>
      <c r="L9856">
        <v>0</v>
      </c>
      <c r="M9856">
        <v>0</v>
      </c>
      <c r="N9856">
        <v>0</v>
      </c>
    </row>
    <row r="9857" spans="1:15">
      <c r="A9857" t="s">
        <v>37097</v>
      </c>
      <c r="B9857" t="s">
        <v>12697</v>
      </c>
      <c r="C9857" t="s">
        <v>14175</v>
      </c>
      <c r="D9857" t="s">
        <v>37098</v>
      </c>
      <c r="E9857" t="b">
        <v>0</v>
      </c>
      <c r="F9857" t="s">
        <v>11610</v>
      </c>
      <c r="L9857">
        <v>0</v>
      </c>
      <c r="M9857">
        <v>0</v>
      </c>
      <c r="N9857">
        <v>0</v>
      </c>
    </row>
    <row r="9858" spans="1:15">
      <c r="A9858" t="s">
        <v>37099</v>
      </c>
      <c r="B9858" t="s">
        <v>367</v>
      </c>
      <c r="C9858" t="s">
        <v>20711</v>
      </c>
      <c r="D9858" t="s">
        <v>37100</v>
      </c>
      <c r="E9858" t="b">
        <v>0</v>
      </c>
      <c r="F9858" t="s">
        <v>11624</v>
      </c>
      <c r="G9858">
        <v>-9.4274199999999997</v>
      </c>
      <c r="H9858">
        <v>150.46199999999999</v>
      </c>
      <c r="I9858" t="s">
        <v>37101</v>
      </c>
      <c r="L9858">
        <v>0</v>
      </c>
      <c r="M9858">
        <v>0</v>
      </c>
      <c r="N9858">
        <v>0</v>
      </c>
      <c r="O9858" t="s">
        <v>11660</v>
      </c>
    </row>
    <row r="9859" spans="1:15">
      <c r="A9859" t="s">
        <v>37102</v>
      </c>
      <c r="B9859" t="s">
        <v>367</v>
      </c>
      <c r="C9859" t="s">
        <v>11666</v>
      </c>
      <c r="D9859" t="s">
        <v>37103</v>
      </c>
      <c r="E9859" t="b">
        <v>0</v>
      </c>
      <c r="F9859" t="s">
        <v>11610</v>
      </c>
      <c r="L9859">
        <v>0</v>
      </c>
      <c r="M9859">
        <v>0</v>
      </c>
      <c r="N9859">
        <v>0</v>
      </c>
    </row>
    <row r="9860" spans="1:15">
      <c r="A9860" t="s">
        <v>37104</v>
      </c>
      <c r="B9860" t="s">
        <v>11627</v>
      </c>
      <c r="C9860" t="s">
        <v>11627</v>
      </c>
      <c r="D9860" t="s">
        <v>37105</v>
      </c>
      <c r="E9860" t="b">
        <v>1</v>
      </c>
      <c r="F9860" t="s">
        <v>11624</v>
      </c>
      <c r="G9860">
        <v>14.361700000000001</v>
      </c>
      <c r="H9860">
        <v>-3.8795000000000002</v>
      </c>
      <c r="I9860" t="s">
        <v>37106</v>
      </c>
      <c r="L9860">
        <v>0</v>
      </c>
      <c r="M9860">
        <v>0</v>
      </c>
      <c r="N9860">
        <v>0</v>
      </c>
      <c r="O9860" t="s">
        <v>13528</v>
      </c>
    </row>
    <row r="9861" spans="1:15">
      <c r="A9861" t="s">
        <v>37107</v>
      </c>
      <c r="B9861" t="s">
        <v>11637</v>
      </c>
      <c r="C9861" t="s">
        <v>17607</v>
      </c>
      <c r="D9861" t="s">
        <v>37108</v>
      </c>
      <c r="E9861" t="b">
        <v>0</v>
      </c>
      <c r="F9861" t="s">
        <v>11610</v>
      </c>
      <c r="L9861">
        <v>0</v>
      </c>
      <c r="M9861">
        <v>0</v>
      </c>
      <c r="N9861">
        <v>0</v>
      </c>
    </row>
    <row r="9862" spans="1:15">
      <c r="A9862" t="s">
        <v>37109</v>
      </c>
      <c r="B9862" t="s">
        <v>12686</v>
      </c>
      <c r="C9862" t="s">
        <v>18105</v>
      </c>
      <c r="D9862" t="s">
        <v>37110</v>
      </c>
      <c r="E9862" t="b">
        <v>0</v>
      </c>
      <c r="F9862" t="s">
        <v>11610</v>
      </c>
      <c r="L9862">
        <v>0</v>
      </c>
      <c r="M9862">
        <v>0</v>
      </c>
      <c r="N9862">
        <v>0</v>
      </c>
    </row>
    <row r="9863" spans="1:15">
      <c r="A9863" t="s">
        <v>22999</v>
      </c>
      <c r="B9863" t="s">
        <v>2064</v>
      </c>
      <c r="C9863" t="s">
        <v>2064</v>
      </c>
      <c r="D9863" t="s">
        <v>37111</v>
      </c>
      <c r="E9863" t="b">
        <v>0</v>
      </c>
      <c r="F9863" t="s">
        <v>11622</v>
      </c>
      <c r="L9863">
        <v>0</v>
      </c>
      <c r="M9863">
        <v>2</v>
      </c>
      <c r="N9863">
        <v>0</v>
      </c>
    </row>
    <row r="9864" spans="1:15">
      <c r="A9864" t="s">
        <v>37112</v>
      </c>
      <c r="B9864" t="s">
        <v>17751</v>
      </c>
      <c r="C9864" t="s">
        <v>17752</v>
      </c>
      <c r="D9864" t="s">
        <v>37113</v>
      </c>
      <c r="E9864" t="b">
        <v>0</v>
      </c>
      <c r="F9864" t="s">
        <v>11610</v>
      </c>
      <c r="L9864">
        <v>0</v>
      </c>
      <c r="M9864">
        <v>0</v>
      </c>
      <c r="N9864">
        <v>0</v>
      </c>
    </row>
    <row r="9865" spans="1:15">
      <c r="A9865" t="s">
        <v>17751</v>
      </c>
      <c r="D9865" t="s">
        <v>37114</v>
      </c>
      <c r="E9865" t="b">
        <v>0</v>
      </c>
      <c r="F9865" t="s">
        <v>11622</v>
      </c>
      <c r="L9865">
        <v>2</v>
      </c>
      <c r="M9865">
        <v>4</v>
      </c>
      <c r="N9865">
        <v>6</v>
      </c>
    </row>
    <row r="9866" spans="1:15">
      <c r="A9866" t="s">
        <v>37115</v>
      </c>
      <c r="B9866" t="s">
        <v>17751</v>
      </c>
      <c r="C9866" t="s">
        <v>17752</v>
      </c>
      <c r="D9866" t="s">
        <v>37116</v>
      </c>
      <c r="E9866" t="b">
        <v>0</v>
      </c>
      <c r="F9866" t="s">
        <v>11610</v>
      </c>
      <c r="L9866">
        <v>0</v>
      </c>
      <c r="M9866">
        <v>0</v>
      </c>
      <c r="N9866">
        <v>0</v>
      </c>
    </row>
    <row r="9867" spans="1:15">
      <c r="A9867" t="s">
        <v>16612</v>
      </c>
      <c r="B9867" t="s">
        <v>6742</v>
      </c>
      <c r="C9867" t="s">
        <v>37117</v>
      </c>
      <c r="D9867" t="s">
        <v>37118</v>
      </c>
      <c r="E9867" t="b">
        <v>0</v>
      </c>
      <c r="F9867" t="s">
        <v>11624</v>
      </c>
      <c r="G9867">
        <v>8.7097599999999993</v>
      </c>
      <c r="H9867">
        <v>12.728199999999999</v>
      </c>
      <c r="I9867" t="s">
        <v>37119</v>
      </c>
      <c r="L9867">
        <v>0</v>
      </c>
      <c r="M9867">
        <v>0</v>
      </c>
      <c r="N9867">
        <v>10</v>
      </c>
      <c r="O9867" t="s">
        <v>11802</v>
      </c>
    </row>
    <row r="9868" spans="1:15">
      <c r="A9868" t="s">
        <v>37120</v>
      </c>
      <c r="B9868" t="s">
        <v>6742</v>
      </c>
      <c r="C9868" t="s">
        <v>16612</v>
      </c>
      <c r="D9868" t="s">
        <v>37121</v>
      </c>
      <c r="E9868" t="b">
        <v>0</v>
      </c>
      <c r="F9868" t="s">
        <v>11610</v>
      </c>
      <c r="L9868">
        <v>0</v>
      </c>
      <c r="M9868">
        <v>0</v>
      </c>
      <c r="N9868">
        <v>0</v>
      </c>
    </row>
    <row r="9869" spans="1:15">
      <c r="A9869" t="s">
        <v>29283</v>
      </c>
      <c r="B9869" t="s">
        <v>6742</v>
      </c>
      <c r="C9869" t="s">
        <v>37122</v>
      </c>
      <c r="D9869" t="s">
        <v>37123</v>
      </c>
      <c r="E9869" t="b">
        <v>0</v>
      </c>
      <c r="F9869" t="s">
        <v>11622</v>
      </c>
      <c r="L9869">
        <v>0</v>
      </c>
      <c r="M9869">
        <v>2</v>
      </c>
      <c r="N9869">
        <v>1</v>
      </c>
    </row>
    <row r="9870" spans="1:15">
      <c r="A9870" t="s">
        <v>37124</v>
      </c>
      <c r="B9870" t="s">
        <v>6742</v>
      </c>
      <c r="C9870" t="s">
        <v>16209</v>
      </c>
      <c r="D9870" t="s">
        <v>37125</v>
      </c>
      <c r="E9870" t="b">
        <v>0</v>
      </c>
      <c r="F9870" t="s">
        <v>11610</v>
      </c>
      <c r="L9870">
        <v>0</v>
      </c>
      <c r="M9870">
        <v>0</v>
      </c>
      <c r="N9870">
        <v>0</v>
      </c>
    </row>
    <row r="9871" spans="1:15">
      <c r="A9871" t="s">
        <v>37126</v>
      </c>
      <c r="B9871" t="s">
        <v>11615</v>
      </c>
      <c r="C9871" t="s">
        <v>19991</v>
      </c>
      <c r="D9871" t="s">
        <v>37127</v>
      </c>
      <c r="E9871" t="b">
        <v>0</v>
      </c>
      <c r="F9871" t="s">
        <v>11610</v>
      </c>
      <c r="L9871">
        <v>0</v>
      </c>
      <c r="M9871">
        <v>0</v>
      </c>
      <c r="N9871">
        <v>0</v>
      </c>
    </row>
    <row r="9872" spans="1:15">
      <c r="A9872" t="s">
        <v>37128</v>
      </c>
      <c r="B9872" t="s">
        <v>6742</v>
      </c>
      <c r="C9872" t="s">
        <v>3500</v>
      </c>
      <c r="D9872" t="s">
        <v>37129</v>
      </c>
      <c r="E9872" t="b">
        <v>0</v>
      </c>
      <c r="F9872" t="s">
        <v>11610</v>
      </c>
      <c r="L9872">
        <v>0</v>
      </c>
      <c r="M9872">
        <v>0</v>
      </c>
      <c r="N9872">
        <v>0</v>
      </c>
    </row>
    <row r="9873" spans="1:15">
      <c r="A9873" t="s">
        <v>37130</v>
      </c>
      <c r="B9873" t="s">
        <v>6742</v>
      </c>
      <c r="C9873" t="s">
        <v>20348</v>
      </c>
      <c r="D9873" t="s">
        <v>37131</v>
      </c>
      <c r="E9873" t="b">
        <v>0</v>
      </c>
      <c r="F9873" t="s">
        <v>11610</v>
      </c>
      <c r="L9873">
        <v>0</v>
      </c>
      <c r="M9873">
        <v>0</v>
      </c>
      <c r="N9873">
        <v>0</v>
      </c>
    </row>
    <row r="9874" spans="1:15">
      <c r="A9874" t="s">
        <v>37132</v>
      </c>
      <c r="B9874" t="s">
        <v>11834</v>
      </c>
      <c r="C9874" t="s">
        <v>14355</v>
      </c>
      <c r="D9874" t="s">
        <v>37133</v>
      </c>
      <c r="E9874" t="b">
        <v>0</v>
      </c>
      <c r="F9874" t="s">
        <v>11622</v>
      </c>
      <c r="L9874">
        <v>2</v>
      </c>
      <c r="M9874">
        <v>5</v>
      </c>
      <c r="N9874">
        <v>16</v>
      </c>
    </row>
    <row r="9875" spans="1:15">
      <c r="A9875" t="s">
        <v>37134</v>
      </c>
      <c r="B9875" t="s">
        <v>11834</v>
      </c>
      <c r="C9875" t="s">
        <v>26914</v>
      </c>
      <c r="D9875" t="s">
        <v>37135</v>
      </c>
      <c r="E9875" t="b">
        <v>0</v>
      </c>
      <c r="F9875" t="s">
        <v>11624</v>
      </c>
      <c r="G9875">
        <v>-3.4846699999999999</v>
      </c>
      <c r="H9875">
        <v>142.69399999999999</v>
      </c>
      <c r="I9875" t="s">
        <v>37136</v>
      </c>
      <c r="L9875">
        <v>0</v>
      </c>
      <c r="M9875">
        <v>0</v>
      </c>
      <c r="N9875">
        <v>12</v>
      </c>
      <c r="O9875" t="s">
        <v>11660</v>
      </c>
    </row>
    <row r="9876" spans="1:15">
      <c r="A9876" t="s">
        <v>19586</v>
      </c>
      <c r="B9876" t="s">
        <v>11615</v>
      </c>
      <c r="C9876" t="s">
        <v>37137</v>
      </c>
      <c r="D9876" t="s">
        <v>37138</v>
      </c>
      <c r="E9876" t="b">
        <v>0</v>
      </c>
      <c r="F9876" t="s">
        <v>11624</v>
      </c>
      <c r="G9876">
        <v>-6.1616299999999997</v>
      </c>
      <c r="H9876">
        <v>147.28</v>
      </c>
      <c r="I9876" t="s">
        <v>37139</v>
      </c>
      <c r="L9876">
        <v>0</v>
      </c>
      <c r="M9876">
        <v>0</v>
      </c>
      <c r="N9876">
        <v>5</v>
      </c>
      <c r="O9876" t="s">
        <v>11660</v>
      </c>
    </row>
    <row r="9877" spans="1:15">
      <c r="A9877" t="s">
        <v>21661</v>
      </c>
      <c r="B9877" t="s">
        <v>11615</v>
      </c>
      <c r="C9877" t="s">
        <v>37140</v>
      </c>
      <c r="D9877" t="s">
        <v>37141</v>
      </c>
      <c r="E9877" t="b">
        <v>0</v>
      </c>
      <c r="F9877" t="s">
        <v>11624</v>
      </c>
      <c r="G9877">
        <v>-5.5454299999999996</v>
      </c>
      <c r="H9877">
        <v>139.90199999999999</v>
      </c>
      <c r="I9877" t="s">
        <v>37142</v>
      </c>
      <c r="L9877">
        <v>0</v>
      </c>
      <c r="M9877">
        <v>0</v>
      </c>
      <c r="N9877">
        <v>2</v>
      </c>
      <c r="O9877" t="s">
        <v>11768</v>
      </c>
    </row>
    <row r="9878" spans="1:15">
      <c r="A9878" t="s">
        <v>26914</v>
      </c>
      <c r="B9878" t="s">
        <v>11834</v>
      </c>
      <c r="C9878" t="s">
        <v>37132</v>
      </c>
      <c r="D9878" t="s">
        <v>37143</v>
      </c>
      <c r="E9878" t="b">
        <v>0</v>
      </c>
      <c r="F9878" t="s">
        <v>11622</v>
      </c>
      <c r="L9878">
        <v>0</v>
      </c>
      <c r="M9878">
        <v>3</v>
      </c>
      <c r="N9878">
        <v>14</v>
      </c>
    </row>
    <row r="9879" spans="1:15">
      <c r="A9879" t="s">
        <v>14355</v>
      </c>
      <c r="B9879" t="s">
        <v>11834</v>
      </c>
      <c r="C9879" t="s">
        <v>11834</v>
      </c>
      <c r="D9879" t="s">
        <v>37144</v>
      </c>
      <c r="E9879" t="b">
        <v>0</v>
      </c>
      <c r="F9879" t="s">
        <v>11622</v>
      </c>
      <c r="L9879">
        <v>6</v>
      </c>
      <c r="M9879">
        <v>10</v>
      </c>
      <c r="N9879">
        <v>34</v>
      </c>
    </row>
    <row r="9880" spans="1:15">
      <c r="A9880" t="s">
        <v>37145</v>
      </c>
      <c r="B9880" t="s">
        <v>6742</v>
      </c>
      <c r="C9880" t="s">
        <v>15603</v>
      </c>
      <c r="D9880" t="s">
        <v>37146</v>
      </c>
      <c r="E9880" t="b">
        <v>0</v>
      </c>
      <c r="F9880" t="s">
        <v>11624</v>
      </c>
      <c r="G9880">
        <v>6.2595999999999998</v>
      </c>
      <c r="H9880">
        <v>10.3348</v>
      </c>
      <c r="I9880" t="s">
        <v>37147</v>
      </c>
      <c r="L9880">
        <v>0</v>
      </c>
      <c r="M9880">
        <v>0</v>
      </c>
      <c r="N9880">
        <v>1</v>
      </c>
      <c r="O9880" t="s">
        <v>11703</v>
      </c>
    </row>
    <row r="9881" spans="1:15">
      <c r="A9881" t="s">
        <v>37148</v>
      </c>
      <c r="B9881" t="s">
        <v>367</v>
      </c>
      <c r="C9881" t="s">
        <v>37149</v>
      </c>
      <c r="D9881" t="s">
        <v>37150</v>
      </c>
      <c r="E9881" t="b">
        <v>0</v>
      </c>
      <c r="F9881" t="s">
        <v>11624</v>
      </c>
      <c r="G9881">
        <v>-3.7921499999999999</v>
      </c>
      <c r="H9881">
        <v>105.107</v>
      </c>
      <c r="I9881" t="s">
        <v>37151</v>
      </c>
      <c r="L9881">
        <v>0</v>
      </c>
      <c r="M9881">
        <v>0</v>
      </c>
      <c r="N9881">
        <v>0</v>
      </c>
      <c r="O9881" t="s">
        <v>11768</v>
      </c>
    </row>
    <row r="9882" spans="1:15">
      <c r="A9882" t="s">
        <v>3443</v>
      </c>
      <c r="B9882" t="s">
        <v>12260</v>
      </c>
      <c r="C9882" t="s">
        <v>37152</v>
      </c>
      <c r="D9882" t="s">
        <v>37153</v>
      </c>
      <c r="E9882" t="b">
        <v>0</v>
      </c>
      <c r="F9882" t="s">
        <v>11622</v>
      </c>
      <c r="I9882" t="s">
        <v>3444</v>
      </c>
      <c r="L9882">
        <v>0</v>
      </c>
      <c r="M9882">
        <v>3</v>
      </c>
      <c r="N9882">
        <v>3</v>
      </c>
      <c r="O9882" t="s">
        <v>12748</v>
      </c>
    </row>
    <row r="9883" spans="1:15">
      <c r="A9883" t="s">
        <v>37154</v>
      </c>
      <c r="B9883" t="s">
        <v>12260</v>
      </c>
      <c r="C9883" t="s">
        <v>3443</v>
      </c>
      <c r="D9883" t="s">
        <v>37155</v>
      </c>
      <c r="E9883" t="b">
        <v>0</v>
      </c>
      <c r="F9883" t="s">
        <v>11624</v>
      </c>
      <c r="G9883">
        <v>64.052700000000002</v>
      </c>
      <c r="H9883">
        <v>54.945999999999998</v>
      </c>
      <c r="I9883" t="s">
        <v>37156</v>
      </c>
      <c r="L9883">
        <v>0</v>
      </c>
      <c r="M9883">
        <v>0</v>
      </c>
      <c r="N9883">
        <v>0</v>
      </c>
      <c r="O9883" t="s">
        <v>12748</v>
      </c>
    </row>
    <row r="9884" spans="1:15">
      <c r="A9884" t="s">
        <v>3459</v>
      </c>
      <c r="B9884" t="s">
        <v>12260</v>
      </c>
      <c r="C9884" t="s">
        <v>3443</v>
      </c>
      <c r="D9884" t="s">
        <v>37157</v>
      </c>
      <c r="E9884" t="b">
        <v>0</v>
      </c>
      <c r="F9884" t="s">
        <v>11624</v>
      </c>
      <c r="G9884">
        <v>59.660200000000003</v>
      </c>
      <c r="H9884">
        <v>54.795900000000003</v>
      </c>
      <c r="I9884" t="s">
        <v>37158</v>
      </c>
      <c r="L9884">
        <v>0</v>
      </c>
      <c r="M9884">
        <v>0</v>
      </c>
      <c r="N9884">
        <v>3</v>
      </c>
      <c r="O9884" t="s">
        <v>12748</v>
      </c>
    </row>
    <row r="9885" spans="1:15">
      <c r="A9885" t="s">
        <v>37056</v>
      </c>
      <c r="B9885" t="s">
        <v>11644</v>
      </c>
      <c r="C9885" t="s">
        <v>12529</v>
      </c>
      <c r="D9885" t="s">
        <v>37159</v>
      </c>
      <c r="E9885" t="b">
        <v>0</v>
      </c>
      <c r="F9885" t="s">
        <v>11624</v>
      </c>
      <c r="G9885">
        <v>24.8688</v>
      </c>
      <c r="H9885">
        <v>94.534000000000006</v>
      </c>
      <c r="I9885" t="s">
        <v>37160</v>
      </c>
      <c r="L9885">
        <v>0</v>
      </c>
      <c r="M9885">
        <v>0</v>
      </c>
      <c r="N9885">
        <v>1</v>
      </c>
      <c r="O9885" t="s">
        <v>11630</v>
      </c>
    </row>
    <row r="9886" spans="1:15">
      <c r="A9886" t="s">
        <v>37161</v>
      </c>
      <c r="B9886" t="s">
        <v>11871</v>
      </c>
      <c r="C9886" t="s">
        <v>32023</v>
      </c>
      <c r="D9886" t="s">
        <v>37162</v>
      </c>
      <c r="E9886" t="b">
        <v>0</v>
      </c>
      <c r="F9886" t="s">
        <v>11624</v>
      </c>
      <c r="G9886">
        <v>-4.6853699999999998</v>
      </c>
      <c r="H9886">
        <v>144.78299999999999</v>
      </c>
      <c r="I9886" t="s">
        <v>37163</v>
      </c>
      <c r="L9886">
        <v>0</v>
      </c>
      <c r="M9886">
        <v>0</v>
      </c>
      <c r="N9886">
        <v>0</v>
      </c>
      <c r="O9886" t="s">
        <v>11660</v>
      </c>
    </row>
    <row r="9887" spans="1:15">
      <c r="A9887" t="s">
        <v>37164</v>
      </c>
      <c r="B9887" t="s">
        <v>11607</v>
      </c>
      <c r="C9887" t="s">
        <v>17050</v>
      </c>
      <c r="D9887" t="s">
        <v>37165</v>
      </c>
      <c r="E9887" t="b">
        <v>0</v>
      </c>
      <c r="F9887" t="s">
        <v>11610</v>
      </c>
      <c r="L9887">
        <v>0</v>
      </c>
      <c r="M9887">
        <v>0</v>
      </c>
      <c r="N9887">
        <v>0</v>
      </c>
    </row>
    <row r="9888" spans="1:15">
      <c r="A9888" t="s">
        <v>37166</v>
      </c>
      <c r="B9888" t="s">
        <v>11637</v>
      </c>
      <c r="C9888" t="s">
        <v>16331</v>
      </c>
      <c r="D9888" t="s">
        <v>37167</v>
      </c>
      <c r="E9888" t="b">
        <v>0</v>
      </c>
      <c r="F9888" t="s">
        <v>11622</v>
      </c>
      <c r="L9888">
        <v>0</v>
      </c>
      <c r="M9888">
        <v>3</v>
      </c>
      <c r="N9888">
        <v>0</v>
      </c>
    </row>
    <row r="9889" spans="1:15">
      <c r="A9889" t="s">
        <v>37168</v>
      </c>
      <c r="B9889" t="s">
        <v>12260</v>
      </c>
      <c r="C9889" t="s">
        <v>3443</v>
      </c>
      <c r="D9889" t="s">
        <v>37169</v>
      </c>
      <c r="E9889" t="b">
        <v>0</v>
      </c>
      <c r="F9889" t="s">
        <v>11624</v>
      </c>
      <c r="G9889">
        <v>60.716999999999999</v>
      </c>
      <c r="H9889">
        <v>55.756</v>
      </c>
      <c r="L9889">
        <v>0</v>
      </c>
      <c r="M9889">
        <v>0</v>
      </c>
      <c r="N9889">
        <v>0</v>
      </c>
      <c r="O9889" t="s">
        <v>12748</v>
      </c>
    </row>
    <row r="9890" spans="1:15">
      <c r="A9890" t="s">
        <v>37170</v>
      </c>
      <c r="B9890" t="s">
        <v>11644</v>
      </c>
      <c r="C9890" t="s">
        <v>19604</v>
      </c>
      <c r="D9890" t="s">
        <v>37171</v>
      </c>
      <c r="E9890" t="b">
        <v>0</v>
      </c>
      <c r="F9890" t="s">
        <v>11610</v>
      </c>
      <c r="L9890">
        <v>0</v>
      </c>
      <c r="M9890">
        <v>0</v>
      </c>
      <c r="N9890">
        <v>0</v>
      </c>
    </row>
    <row r="9891" spans="1:15">
      <c r="A9891" t="s">
        <v>37172</v>
      </c>
      <c r="B9891" t="s">
        <v>6742</v>
      </c>
      <c r="C9891" t="s">
        <v>16664</v>
      </c>
      <c r="D9891" t="s">
        <v>37173</v>
      </c>
      <c r="E9891" t="b">
        <v>0</v>
      </c>
      <c r="F9891" t="s">
        <v>11610</v>
      </c>
      <c r="L9891">
        <v>0</v>
      </c>
      <c r="M9891">
        <v>0</v>
      </c>
      <c r="N9891">
        <v>0</v>
      </c>
    </row>
    <row r="9892" spans="1:15">
      <c r="A9892" t="s">
        <v>37174</v>
      </c>
      <c r="B9892" t="s">
        <v>14005</v>
      </c>
      <c r="C9892" t="s">
        <v>14006</v>
      </c>
      <c r="D9892" t="s">
        <v>37175</v>
      </c>
      <c r="E9892" t="b">
        <v>0</v>
      </c>
      <c r="F9892" t="s">
        <v>11610</v>
      </c>
      <c r="L9892">
        <v>0</v>
      </c>
      <c r="M9892">
        <v>0</v>
      </c>
      <c r="N9892">
        <v>0</v>
      </c>
    </row>
    <row r="9893" spans="1:15">
      <c r="A9893" t="s">
        <v>17752</v>
      </c>
      <c r="B9893" t="s">
        <v>17751</v>
      </c>
      <c r="C9893" t="s">
        <v>37176</v>
      </c>
      <c r="D9893" t="s">
        <v>37177</v>
      </c>
      <c r="E9893" t="b">
        <v>0</v>
      </c>
      <c r="F9893" t="s">
        <v>11624</v>
      </c>
      <c r="G9893">
        <v>8.9416200000000003</v>
      </c>
      <c r="H9893">
        <v>34.093899999999998</v>
      </c>
      <c r="I9893" t="s">
        <v>37178</v>
      </c>
      <c r="L9893">
        <v>0</v>
      </c>
      <c r="M9893">
        <v>0</v>
      </c>
      <c r="N9893">
        <v>4</v>
      </c>
      <c r="O9893" t="s">
        <v>14035</v>
      </c>
    </row>
    <row r="9894" spans="1:15">
      <c r="A9894" t="s">
        <v>37179</v>
      </c>
      <c r="B9894" t="s">
        <v>6742</v>
      </c>
      <c r="C9894" t="s">
        <v>33346</v>
      </c>
      <c r="D9894" t="s">
        <v>37180</v>
      </c>
      <c r="E9894" t="b">
        <v>0</v>
      </c>
      <c r="F9894" t="s">
        <v>11610</v>
      </c>
      <c r="L9894">
        <v>0</v>
      </c>
      <c r="M9894">
        <v>0</v>
      </c>
      <c r="N9894">
        <v>0</v>
      </c>
    </row>
    <row r="9895" spans="1:15">
      <c r="A9895" t="s">
        <v>37181</v>
      </c>
      <c r="B9895" t="s">
        <v>6742</v>
      </c>
      <c r="C9895" t="s">
        <v>18297</v>
      </c>
      <c r="D9895" t="s">
        <v>37182</v>
      </c>
      <c r="E9895" t="b">
        <v>0</v>
      </c>
      <c r="F9895" t="s">
        <v>11624</v>
      </c>
      <c r="G9895">
        <v>-0.76332999999999995</v>
      </c>
      <c r="H9895">
        <v>26.714400000000001</v>
      </c>
      <c r="I9895" t="s">
        <v>37183</v>
      </c>
      <c r="L9895">
        <v>0</v>
      </c>
      <c r="M9895">
        <v>0</v>
      </c>
      <c r="N9895">
        <v>0</v>
      </c>
      <c r="O9895" t="s">
        <v>14825</v>
      </c>
    </row>
    <row r="9896" spans="1:15">
      <c r="A9896" t="s">
        <v>37184</v>
      </c>
      <c r="B9896" t="s">
        <v>367</v>
      </c>
      <c r="C9896" t="s">
        <v>35913</v>
      </c>
      <c r="D9896" t="s">
        <v>37185</v>
      </c>
      <c r="E9896" t="b">
        <v>0</v>
      </c>
      <c r="F9896" t="s">
        <v>11624</v>
      </c>
      <c r="G9896">
        <v>-8.6451799999999999</v>
      </c>
      <c r="H9896">
        <v>119.477</v>
      </c>
      <c r="I9896" t="s">
        <v>37186</v>
      </c>
      <c r="L9896">
        <v>0</v>
      </c>
      <c r="M9896">
        <v>0</v>
      </c>
      <c r="N9896">
        <v>0</v>
      </c>
      <c r="O9896" t="s">
        <v>11768</v>
      </c>
    </row>
    <row r="9897" spans="1:15">
      <c r="A9897" t="s">
        <v>37187</v>
      </c>
      <c r="B9897" t="s">
        <v>7862</v>
      </c>
      <c r="C9897" t="s">
        <v>17625</v>
      </c>
      <c r="D9897" t="s">
        <v>37188</v>
      </c>
      <c r="E9897" t="b">
        <v>0</v>
      </c>
      <c r="F9897" t="s">
        <v>11610</v>
      </c>
      <c r="L9897">
        <v>0</v>
      </c>
      <c r="M9897">
        <v>0</v>
      </c>
      <c r="N9897">
        <v>0</v>
      </c>
    </row>
    <row r="9898" spans="1:15">
      <c r="A9898" t="s">
        <v>37189</v>
      </c>
      <c r="B9898" t="s">
        <v>11615</v>
      </c>
      <c r="C9898" t="s">
        <v>12938</v>
      </c>
      <c r="D9898" t="s">
        <v>37190</v>
      </c>
      <c r="E9898" t="b">
        <v>0</v>
      </c>
      <c r="F9898" t="s">
        <v>11610</v>
      </c>
      <c r="L9898">
        <v>0</v>
      </c>
      <c r="M9898">
        <v>0</v>
      </c>
      <c r="N9898">
        <v>0</v>
      </c>
    </row>
    <row r="9899" spans="1:15">
      <c r="A9899" t="s">
        <v>37191</v>
      </c>
      <c r="B9899" t="s">
        <v>11615</v>
      </c>
      <c r="C9899" t="s">
        <v>12938</v>
      </c>
      <c r="D9899" t="s">
        <v>37192</v>
      </c>
      <c r="E9899" t="b">
        <v>0</v>
      </c>
      <c r="F9899" t="s">
        <v>11610</v>
      </c>
      <c r="L9899">
        <v>0</v>
      </c>
      <c r="M9899">
        <v>0</v>
      </c>
      <c r="N9899">
        <v>0</v>
      </c>
    </row>
    <row r="9900" spans="1:15">
      <c r="A9900" t="s">
        <v>13332</v>
      </c>
      <c r="B9900" t="s">
        <v>6742</v>
      </c>
      <c r="C9900" t="s">
        <v>37193</v>
      </c>
      <c r="D9900" t="s">
        <v>37194</v>
      </c>
      <c r="E9900" t="b">
        <v>0</v>
      </c>
      <c r="F9900" t="s">
        <v>11622</v>
      </c>
      <c r="L9900">
        <v>2</v>
      </c>
      <c r="M9900">
        <v>7</v>
      </c>
      <c r="N9900">
        <v>6</v>
      </c>
    </row>
    <row r="9901" spans="1:15">
      <c r="A9901" t="s">
        <v>37195</v>
      </c>
      <c r="B9901" t="s">
        <v>367</v>
      </c>
      <c r="C9901" t="s">
        <v>37027</v>
      </c>
      <c r="D9901" t="s">
        <v>37196</v>
      </c>
      <c r="E9901" t="b">
        <v>0</v>
      </c>
      <c r="F9901" t="s">
        <v>11624</v>
      </c>
      <c r="G9901">
        <v>-5.6434800000000003</v>
      </c>
      <c r="H9901">
        <v>134.74199999999999</v>
      </c>
      <c r="I9901" t="s">
        <v>37197</v>
      </c>
      <c r="L9901">
        <v>0</v>
      </c>
      <c r="M9901">
        <v>0</v>
      </c>
      <c r="N9901">
        <v>0</v>
      </c>
      <c r="O9901" t="s">
        <v>11768</v>
      </c>
    </row>
    <row r="9902" spans="1:15">
      <c r="A9902" t="s">
        <v>37198</v>
      </c>
      <c r="B9902" t="s">
        <v>13360</v>
      </c>
      <c r="C9902" t="s">
        <v>13360</v>
      </c>
      <c r="D9902" t="s">
        <v>37199</v>
      </c>
      <c r="E9902" t="b">
        <v>0</v>
      </c>
      <c r="F9902" t="s">
        <v>11624</v>
      </c>
      <c r="L9902">
        <v>0</v>
      </c>
      <c r="M9902">
        <v>0</v>
      </c>
      <c r="N9902">
        <v>0</v>
      </c>
      <c r="O9902" t="s">
        <v>11693</v>
      </c>
    </row>
    <row r="9903" spans="1:15">
      <c r="A9903" t="s">
        <v>37200</v>
      </c>
      <c r="B9903" t="s">
        <v>11844</v>
      </c>
      <c r="C9903" t="s">
        <v>2278</v>
      </c>
      <c r="D9903" t="s">
        <v>37201</v>
      </c>
      <c r="E9903" t="b">
        <v>0</v>
      </c>
      <c r="F9903" t="s">
        <v>11610</v>
      </c>
      <c r="L9903">
        <v>0</v>
      </c>
      <c r="M9903">
        <v>0</v>
      </c>
      <c r="N9903">
        <v>0</v>
      </c>
    </row>
    <row r="9904" spans="1:15">
      <c r="A9904" t="s">
        <v>37202</v>
      </c>
      <c r="B9904" t="s">
        <v>11615</v>
      </c>
      <c r="C9904" t="s">
        <v>37203</v>
      </c>
      <c r="D9904" t="s">
        <v>37204</v>
      </c>
      <c r="E9904" t="b">
        <v>0</v>
      </c>
      <c r="F9904" t="s">
        <v>11624</v>
      </c>
      <c r="G9904">
        <v>-5.2545299999999999</v>
      </c>
      <c r="H9904">
        <v>140.21299999999999</v>
      </c>
      <c r="I9904" t="s">
        <v>37205</v>
      </c>
      <c r="L9904">
        <v>0</v>
      </c>
      <c r="M9904">
        <v>0</v>
      </c>
      <c r="N9904">
        <v>0</v>
      </c>
      <c r="O9904" t="s">
        <v>11768</v>
      </c>
    </row>
    <row r="9905" spans="1:15">
      <c r="A9905" t="s">
        <v>37206</v>
      </c>
      <c r="B9905" t="s">
        <v>26147</v>
      </c>
      <c r="C9905" t="s">
        <v>26147</v>
      </c>
      <c r="D9905" t="s">
        <v>37207</v>
      </c>
      <c r="E9905" t="b">
        <v>0</v>
      </c>
      <c r="F9905" t="s">
        <v>11624</v>
      </c>
      <c r="G9905">
        <v>-5.6601100000000004</v>
      </c>
      <c r="H9905">
        <v>142.06899999999999</v>
      </c>
      <c r="I9905" t="s">
        <v>37208</v>
      </c>
      <c r="L9905">
        <v>0</v>
      </c>
      <c r="M9905">
        <v>0</v>
      </c>
      <c r="N9905">
        <v>0</v>
      </c>
      <c r="O9905" t="s">
        <v>11660</v>
      </c>
    </row>
    <row r="9906" spans="1:15">
      <c r="A9906" t="s">
        <v>37209</v>
      </c>
      <c r="B9906" t="s">
        <v>367</v>
      </c>
      <c r="C9906" t="s">
        <v>14733</v>
      </c>
      <c r="D9906" t="s">
        <v>37210</v>
      </c>
      <c r="E9906" t="b">
        <v>0</v>
      </c>
      <c r="F9906" t="s">
        <v>11610</v>
      </c>
      <c r="L9906">
        <v>0</v>
      </c>
      <c r="M9906">
        <v>0</v>
      </c>
      <c r="N9906">
        <v>0</v>
      </c>
    </row>
    <row r="9907" spans="1:15">
      <c r="A9907" t="s">
        <v>37211</v>
      </c>
      <c r="B9907" t="s">
        <v>331</v>
      </c>
      <c r="C9907" t="s">
        <v>37212</v>
      </c>
      <c r="D9907" t="s">
        <v>37213</v>
      </c>
      <c r="E9907" t="b">
        <v>0</v>
      </c>
      <c r="F9907" t="s">
        <v>11610</v>
      </c>
      <c r="L9907">
        <v>0</v>
      </c>
      <c r="M9907">
        <v>0</v>
      </c>
      <c r="N9907">
        <v>0</v>
      </c>
    </row>
    <row r="9908" spans="1:15">
      <c r="A9908" t="s">
        <v>37214</v>
      </c>
      <c r="B9908" t="s">
        <v>11844</v>
      </c>
      <c r="C9908" t="s">
        <v>29513</v>
      </c>
      <c r="D9908" t="s">
        <v>37215</v>
      </c>
      <c r="E9908" t="b">
        <v>0</v>
      </c>
      <c r="F9908" t="s">
        <v>11622</v>
      </c>
      <c r="L9908">
        <v>3</v>
      </c>
      <c r="M9908">
        <v>5</v>
      </c>
      <c r="N9908">
        <v>6</v>
      </c>
    </row>
    <row r="9909" spans="1:15">
      <c r="A9909" t="s">
        <v>37216</v>
      </c>
      <c r="B9909" t="s">
        <v>11844</v>
      </c>
      <c r="C9909" t="s">
        <v>37214</v>
      </c>
      <c r="D9909" t="s">
        <v>37217</v>
      </c>
      <c r="E9909" t="b">
        <v>0</v>
      </c>
      <c r="F9909" t="s">
        <v>11624</v>
      </c>
      <c r="G9909">
        <v>18.26754</v>
      </c>
      <c r="H9909">
        <v>82.934020000000004</v>
      </c>
      <c r="I9909" t="s">
        <v>37218</v>
      </c>
      <c r="L9909">
        <v>0</v>
      </c>
      <c r="M9909">
        <v>0</v>
      </c>
      <c r="N9909">
        <v>2</v>
      </c>
      <c r="O9909" t="s">
        <v>11630</v>
      </c>
    </row>
    <row r="9910" spans="1:15">
      <c r="A9910" t="s">
        <v>37219</v>
      </c>
      <c r="B9910" t="s">
        <v>6742</v>
      </c>
      <c r="C9910" t="s">
        <v>34371</v>
      </c>
      <c r="D9910" t="s">
        <v>37220</v>
      </c>
      <c r="E9910" t="b">
        <v>0</v>
      </c>
      <c r="F9910" t="s">
        <v>11610</v>
      </c>
      <c r="L9910">
        <v>0</v>
      </c>
      <c r="M9910">
        <v>0</v>
      </c>
      <c r="N9910">
        <v>0</v>
      </c>
    </row>
    <row r="9911" spans="1:15">
      <c r="A9911" t="s">
        <v>37221</v>
      </c>
      <c r="B9911" t="s">
        <v>6742</v>
      </c>
      <c r="C9911" t="s">
        <v>32891</v>
      </c>
      <c r="D9911" t="s">
        <v>37222</v>
      </c>
      <c r="E9911" t="b">
        <v>0</v>
      </c>
      <c r="F9911" t="s">
        <v>11610</v>
      </c>
      <c r="L9911">
        <v>0</v>
      </c>
      <c r="M9911">
        <v>0</v>
      </c>
      <c r="N9911">
        <v>0</v>
      </c>
    </row>
    <row r="9912" spans="1:15">
      <c r="A9912" t="s">
        <v>37223</v>
      </c>
      <c r="B9912" t="s">
        <v>6742</v>
      </c>
      <c r="C9912" t="s">
        <v>30858</v>
      </c>
      <c r="D9912" t="s">
        <v>37224</v>
      </c>
      <c r="E9912" t="b">
        <v>0</v>
      </c>
      <c r="F9912" t="s">
        <v>11610</v>
      </c>
      <c r="L9912">
        <v>0</v>
      </c>
      <c r="M9912">
        <v>0</v>
      </c>
      <c r="N9912">
        <v>0</v>
      </c>
    </row>
    <row r="9913" spans="1:15">
      <c r="A9913" t="s">
        <v>37225</v>
      </c>
      <c r="B9913" t="s">
        <v>6742</v>
      </c>
      <c r="C9913" t="s">
        <v>5545</v>
      </c>
      <c r="D9913" t="s">
        <v>37226</v>
      </c>
      <c r="E9913" t="b">
        <v>0</v>
      </c>
      <c r="F9913" t="s">
        <v>11610</v>
      </c>
      <c r="L9913">
        <v>0</v>
      </c>
      <c r="M9913">
        <v>0</v>
      </c>
      <c r="N9913">
        <v>0</v>
      </c>
    </row>
    <row r="9914" spans="1:15">
      <c r="A9914" t="s">
        <v>37227</v>
      </c>
      <c r="B9914" t="s">
        <v>6742</v>
      </c>
      <c r="C9914" t="s">
        <v>16152</v>
      </c>
      <c r="D9914" t="s">
        <v>37228</v>
      </c>
      <c r="E9914" t="b">
        <v>0</v>
      </c>
      <c r="F9914" t="s">
        <v>11610</v>
      </c>
      <c r="L9914">
        <v>0</v>
      </c>
      <c r="M9914">
        <v>0</v>
      </c>
      <c r="N9914">
        <v>0</v>
      </c>
    </row>
    <row r="9915" spans="1:15">
      <c r="A9915" t="s">
        <v>37229</v>
      </c>
      <c r="B9915" t="s">
        <v>367</v>
      </c>
      <c r="C9915" t="s">
        <v>20446</v>
      </c>
      <c r="D9915" t="s">
        <v>37230</v>
      </c>
      <c r="E9915" t="b">
        <v>0</v>
      </c>
      <c r="F9915" t="s">
        <v>11610</v>
      </c>
      <c r="L9915">
        <v>0</v>
      </c>
      <c r="M9915">
        <v>0</v>
      </c>
      <c r="N9915">
        <v>0</v>
      </c>
    </row>
    <row r="9916" spans="1:15">
      <c r="A9916" t="s">
        <v>37231</v>
      </c>
      <c r="D9916" t="s">
        <v>37232</v>
      </c>
      <c r="E9916" t="b">
        <v>0</v>
      </c>
      <c r="F9916" t="s">
        <v>11622</v>
      </c>
      <c r="L9916">
        <v>0</v>
      </c>
      <c r="M9916">
        <v>2</v>
      </c>
      <c r="N9916">
        <v>0</v>
      </c>
    </row>
    <row r="9917" spans="1:15">
      <c r="A9917" t="s">
        <v>37233</v>
      </c>
      <c r="B9917" t="s">
        <v>37231</v>
      </c>
      <c r="C9917" t="s">
        <v>37231</v>
      </c>
      <c r="D9917" t="s">
        <v>37234</v>
      </c>
      <c r="E9917" t="b">
        <v>0</v>
      </c>
      <c r="F9917" t="s">
        <v>11624</v>
      </c>
      <c r="G9917">
        <v>-1.8263499999999999</v>
      </c>
      <c r="H9917">
        <v>132.06</v>
      </c>
      <c r="I9917" t="s">
        <v>37235</v>
      </c>
      <c r="L9917">
        <v>0</v>
      </c>
      <c r="M9917">
        <v>0</v>
      </c>
      <c r="N9917">
        <v>0</v>
      </c>
      <c r="O9917" t="s">
        <v>11768</v>
      </c>
    </row>
    <row r="9918" spans="1:15">
      <c r="A9918" t="s">
        <v>37236</v>
      </c>
      <c r="B9918" t="s">
        <v>11615</v>
      </c>
      <c r="C9918" t="s">
        <v>24863</v>
      </c>
      <c r="D9918" t="s">
        <v>37237</v>
      </c>
      <c r="E9918" t="b">
        <v>0</v>
      </c>
      <c r="F9918" t="s">
        <v>11610</v>
      </c>
      <c r="L9918">
        <v>0</v>
      </c>
      <c r="M9918">
        <v>0</v>
      </c>
      <c r="N9918">
        <v>0</v>
      </c>
    </row>
    <row r="9919" spans="1:15">
      <c r="A9919" t="s">
        <v>37238</v>
      </c>
      <c r="B9919" t="s">
        <v>37239</v>
      </c>
      <c r="C9919" t="s">
        <v>37239</v>
      </c>
      <c r="D9919" t="s">
        <v>37240</v>
      </c>
      <c r="E9919" t="b">
        <v>0</v>
      </c>
      <c r="F9919" t="s">
        <v>11624</v>
      </c>
      <c r="G9919">
        <v>-8.3742400000000004</v>
      </c>
      <c r="H9919">
        <v>138.0675</v>
      </c>
      <c r="I9919" t="s">
        <v>37241</v>
      </c>
      <c r="L9919">
        <v>0</v>
      </c>
      <c r="M9919">
        <v>0</v>
      </c>
      <c r="N9919">
        <v>0</v>
      </c>
      <c r="O9919" t="s">
        <v>11768</v>
      </c>
    </row>
    <row r="9920" spans="1:15">
      <c r="A9920" t="s">
        <v>37242</v>
      </c>
      <c r="B9920" t="s">
        <v>11844</v>
      </c>
      <c r="C9920" t="s">
        <v>9047</v>
      </c>
      <c r="D9920" t="s">
        <v>37243</v>
      </c>
      <c r="E9920" t="b">
        <v>0</v>
      </c>
      <c r="F9920" t="s">
        <v>11610</v>
      </c>
      <c r="L9920">
        <v>0</v>
      </c>
      <c r="M9920">
        <v>0</v>
      </c>
      <c r="N9920">
        <v>0</v>
      </c>
    </row>
    <row r="9921" spans="1:14">
      <c r="A9921" t="s">
        <v>37244</v>
      </c>
      <c r="B9921" t="s">
        <v>11644</v>
      </c>
      <c r="C9921" t="s">
        <v>24313</v>
      </c>
      <c r="D9921" t="s">
        <v>37245</v>
      </c>
      <c r="E9921" t="b">
        <v>0</v>
      </c>
      <c r="F9921" t="s">
        <v>11610</v>
      </c>
      <c r="L9921">
        <v>0</v>
      </c>
      <c r="M9921">
        <v>0</v>
      </c>
      <c r="N9921">
        <v>0</v>
      </c>
    </row>
    <row r="9922" spans="1:14">
      <c r="A9922" t="s">
        <v>37246</v>
      </c>
      <c r="B9922" t="s">
        <v>11644</v>
      </c>
      <c r="C9922" t="s">
        <v>13896</v>
      </c>
      <c r="D9922" t="s">
        <v>37247</v>
      </c>
      <c r="E9922" t="b">
        <v>0</v>
      </c>
      <c r="F9922" t="s">
        <v>11610</v>
      </c>
      <c r="L9922">
        <v>0</v>
      </c>
      <c r="M9922">
        <v>0</v>
      </c>
      <c r="N9922">
        <v>0</v>
      </c>
    </row>
    <row r="9923" spans="1:14">
      <c r="A9923" t="s">
        <v>37248</v>
      </c>
      <c r="B9923" t="s">
        <v>6742</v>
      </c>
      <c r="C9923" t="s">
        <v>24355</v>
      </c>
      <c r="D9923" t="s">
        <v>37249</v>
      </c>
      <c r="E9923" t="b">
        <v>0</v>
      </c>
      <c r="F9923" t="s">
        <v>11610</v>
      </c>
      <c r="L9923">
        <v>0</v>
      </c>
      <c r="M9923">
        <v>0</v>
      </c>
      <c r="N9923">
        <v>0</v>
      </c>
    </row>
    <row r="9924" spans="1:14">
      <c r="A9924" t="s">
        <v>37250</v>
      </c>
      <c r="B9924" t="s">
        <v>6742</v>
      </c>
      <c r="C9924" t="s">
        <v>24355</v>
      </c>
      <c r="D9924" t="s">
        <v>37251</v>
      </c>
      <c r="E9924" t="b">
        <v>0</v>
      </c>
      <c r="F9924" t="s">
        <v>11610</v>
      </c>
      <c r="L9924">
        <v>0</v>
      </c>
      <c r="M9924">
        <v>0</v>
      </c>
      <c r="N9924">
        <v>0</v>
      </c>
    </row>
    <row r="9925" spans="1:14">
      <c r="A9925" t="s">
        <v>37252</v>
      </c>
      <c r="B9925" t="s">
        <v>6742</v>
      </c>
      <c r="C9925" t="s">
        <v>27014</v>
      </c>
      <c r="D9925" t="s">
        <v>37253</v>
      </c>
      <c r="E9925" t="b">
        <v>0</v>
      </c>
      <c r="F9925" t="s">
        <v>11610</v>
      </c>
      <c r="L9925">
        <v>0</v>
      </c>
      <c r="M9925">
        <v>0</v>
      </c>
      <c r="N9925">
        <v>0</v>
      </c>
    </row>
    <row r="9926" spans="1:14">
      <c r="A9926" t="s">
        <v>37254</v>
      </c>
      <c r="B9926" t="s">
        <v>6742</v>
      </c>
      <c r="C9926" t="s">
        <v>16561</v>
      </c>
      <c r="D9926" t="s">
        <v>37255</v>
      </c>
      <c r="E9926" t="b">
        <v>0</v>
      </c>
      <c r="F9926" t="s">
        <v>11610</v>
      </c>
      <c r="L9926">
        <v>0</v>
      </c>
      <c r="M9926">
        <v>0</v>
      </c>
      <c r="N9926">
        <v>0</v>
      </c>
    </row>
    <row r="9927" spans="1:14">
      <c r="A9927" t="s">
        <v>37256</v>
      </c>
      <c r="B9927" t="s">
        <v>6742</v>
      </c>
      <c r="C9927" t="s">
        <v>19704</v>
      </c>
      <c r="D9927" t="s">
        <v>37257</v>
      </c>
      <c r="E9927" t="b">
        <v>0</v>
      </c>
      <c r="F9927" t="s">
        <v>11610</v>
      </c>
      <c r="L9927">
        <v>0</v>
      </c>
      <c r="M9927">
        <v>0</v>
      </c>
      <c r="N9927">
        <v>0</v>
      </c>
    </row>
    <row r="9928" spans="1:14">
      <c r="A9928" t="s">
        <v>37258</v>
      </c>
      <c r="B9928" t="s">
        <v>11729</v>
      </c>
      <c r="C9928" t="s">
        <v>37259</v>
      </c>
      <c r="D9928" t="s">
        <v>37260</v>
      </c>
      <c r="E9928" t="b">
        <v>0</v>
      </c>
      <c r="F9928" t="s">
        <v>11610</v>
      </c>
      <c r="L9928">
        <v>0</v>
      </c>
      <c r="M9928">
        <v>0</v>
      </c>
      <c r="N9928">
        <v>0</v>
      </c>
    </row>
    <row r="9929" spans="1:14">
      <c r="A9929" t="s">
        <v>37261</v>
      </c>
      <c r="B9929" t="s">
        <v>13276</v>
      </c>
      <c r="C9929" t="s">
        <v>24887</v>
      </c>
      <c r="D9929" t="s">
        <v>37262</v>
      </c>
      <c r="E9929" t="b">
        <v>0</v>
      </c>
      <c r="F9929" t="s">
        <v>11610</v>
      </c>
      <c r="L9929">
        <v>0</v>
      </c>
      <c r="M9929">
        <v>0</v>
      </c>
      <c r="N9929">
        <v>0</v>
      </c>
    </row>
    <row r="9930" spans="1:14">
      <c r="A9930" t="s">
        <v>37263</v>
      </c>
      <c r="B9930" t="s">
        <v>11615</v>
      </c>
      <c r="C9930" t="s">
        <v>13254</v>
      </c>
      <c r="D9930" t="s">
        <v>37264</v>
      </c>
      <c r="E9930" t="b">
        <v>0</v>
      </c>
      <c r="F9930" t="s">
        <v>11610</v>
      </c>
      <c r="L9930">
        <v>0</v>
      </c>
      <c r="M9930">
        <v>0</v>
      </c>
      <c r="N9930">
        <v>0</v>
      </c>
    </row>
    <row r="9931" spans="1:14">
      <c r="A9931" t="s">
        <v>37265</v>
      </c>
      <c r="B9931" t="s">
        <v>16042</v>
      </c>
      <c r="C9931" t="s">
        <v>37266</v>
      </c>
      <c r="D9931" t="s">
        <v>37267</v>
      </c>
      <c r="E9931" t="b">
        <v>0</v>
      </c>
      <c r="F9931" t="s">
        <v>11610</v>
      </c>
      <c r="L9931">
        <v>0</v>
      </c>
      <c r="M9931">
        <v>0</v>
      </c>
      <c r="N9931">
        <v>0</v>
      </c>
    </row>
    <row r="9932" spans="1:14">
      <c r="A9932" t="s">
        <v>31718</v>
      </c>
      <c r="B9932" t="s">
        <v>6742</v>
      </c>
      <c r="C9932" t="s">
        <v>21841</v>
      </c>
      <c r="D9932" t="s">
        <v>37268</v>
      </c>
      <c r="E9932" t="b">
        <v>0</v>
      </c>
      <c r="F9932" t="s">
        <v>11622</v>
      </c>
      <c r="L9932">
        <v>17</v>
      </c>
      <c r="M9932">
        <v>25</v>
      </c>
      <c r="N9932">
        <v>23</v>
      </c>
    </row>
    <row r="9933" spans="1:14">
      <c r="A9933" t="s">
        <v>36474</v>
      </c>
      <c r="B9933" t="s">
        <v>6742</v>
      </c>
      <c r="C9933" t="s">
        <v>31718</v>
      </c>
      <c r="D9933" t="s">
        <v>37269</v>
      </c>
      <c r="E9933" t="b">
        <v>0</v>
      </c>
      <c r="F9933" t="s">
        <v>11622</v>
      </c>
      <c r="L9933">
        <v>16</v>
      </c>
      <c r="M9933">
        <v>24</v>
      </c>
      <c r="N9933">
        <v>23</v>
      </c>
    </row>
    <row r="9934" spans="1:14">
      <c r="A9934" t="s">
        <v>37270</v>
      </c>
      <c r="B9934" t="s">
        <v>12438</v>
      </c>
      <c r="C9934" t="s">
        <v>21393</v>
      </c>
      <c r="D9934" t="s">
        <v>37271</v>
      </c>
      <c r="E9934" t="b">
        <v>0</v>
      </c>
      <c r="F9934" t="s">
        <v>11610</v>
      </c>
      <c r="L9934">
        <v>0</v>
      </c>
      <c r="M9934">
        <v>0</v>
      </c>
      <c r="N9934">
        <v>0</v>
      </c>
    </row>
    <row r="9935" spans="1:14">
      <c r="A9935" t="s">
        <v>37272</v>
      </c>
      <c r="B9935" t="s">
        <v>6742</v>
      </c>
      <c r="C9935" t="s">
        <v>16789</v>
      </c>
      <c r="D9935" t="s">
        <v>37273</v>
      </c>
      <c r="E9935" t="b">
        <v>0</v>
      </c>
      <c r="F9935" t="s">
        <v>11610</v>
      </c>
      <c r="L9935">
        <v>0</v>
      </c>
      <c r="M9935">
        <v>0</v>
      </c>
      <c r="N9935">
        <v>0</v>
      </c>
    </row>
    <row r="9936" spans="1:14">
      <c r="A9936" t="s">
        <v>37274</v>
      </c>
      <c r="B9936" t="s">
        <v>6742</v>
      </c>
      <c r="C9936" t="s">
        <v>19345</v>
      </c>
      <c r="D9936" t="s">
        <v>37275</v>
      </c>
      <c r="E9936" t="b">
        <v>0</v>
      </c>
      <c r="F9936" t="s">
        <v>11610</v>
      </c>
      <c r="L9936">
        <v>0</v>
      </c>
      <c r="M9936">
        <v>0</v>
      </c>
      <c r="N9936">
        <v>0</v>
      </c>
    </row>
    <row r="9937" spans="1:15">
      <c r="A9937" t="s">
        <v>37276</v>
      </c>
      <c r="B9937" t="s">
        <v>6742</v>
      </c>
      <c r="C9937" t="s">
        <v>4118</v>
      </c>
      <c r="D9937" t="s">
        <v>37277</v>
      </c>
      <c r="E9937" t="b">
        <v>0</v>
      </c>
      <c r="F9937" t="s">
        <v>11610</v>
      </c>
      <c r="L9937">
        <v>0</v>
      </c>
      <c r="M9937">
        <v>0</v>
      </c>
      <c r="N9937">
        <v>0</v>
      </c>
    </row>
    <row r="9938" spans="1:15">
      <c r="A9938" t="s">
        <v>37278</v>
      </c>
      <c r="B9938" t="s">
        <v>11780</v>
      </c>
      <c r="C9938" t="s">
        <v>4079</v>
      </c>
      <c r="D9938" t="s">
        <v>37279</v>
      </c>
      <c r="E9938" t="b">
        <v>0</v>
      </c>
      <c r="F9938" t="s">
        <v>11610</v>
      </c>
      <c r="L9938">
        <v>0</v>
      </c>
      <c r="M9938">
        <v>0</v>
      </c>
      <c r="N9938">
        <v>0</v>
      </c>
    </row>
    <row r="9939" spans="1:15">
      <c r="A9939" t="s">
        <v>37280</v>
      </c>
      <c r="B9939" t="s">
        <v>367</v>
      </c>
      <c r="C9939" t="s">
        <v>14733</v>
      </c>
      <c r="D9939" t="s">
        <v>37281</v>
      </c>
      <c r="E9939" t="b">
        <v>0</v>
      </c>
      <c r="F9939" t="s">
        <v>11610</v>
      </c>
      <c r="L9939">
        <v>0</v>
      </c>
      <c r="M9939">
        <v>0</v>
      </c>
      <c r="N9939">
        <v>0</v>
      </c>
    </row>
    <row r="9940" spans="1:15">
      <c r="A9940" t="s">
        <v>37282</v>
      </c>
      <c r="B9940" t="s">
        <v>13014</v>
      </c>
      <c r="C9940" t="s">
        <v>22915</v>
      </c>
      <c r="D9940" t="s">
        <v>37283</v>
      </c>
      <c r="E9940" t="b">
        <v>0</v>
      </c>
      <c r="F9940" t="s">
        <v>11610</v>
      </c>
      <c r="L9940">
        <v>0</v>
      </c>
      <c r="M9940">
        <v>0</v>
      </c>
      <c r="N9940">
        <v>0</v>
      </c>
    </row>
    <row r="9941" spans="1:15">
      <c r="A9941" t="s">
        <v>37284</v>
      </c>
      <c r="B9941" t="s">
        <v>367</v>
      </c>
      <c r="C9941" t="s">
        <v>16815</v>
      </c>
      <c r="D9941" t="s">
        <v>37285</v>
      </c>
      <c r="E9941" t="b">
        <v>0</v>
      </c>
      <c r="F9941" t="s">
        <v>11610</v>
      </c>
      <c r="L9941">
        <v>0</v>
      </c>
      <c r="M9941">
        <v>0</v>
      </c>
      <c r="N9941">
        <v>0</v>
      </c>
    </row>
    <row r="9942" spans="1:15">
      <c r="A9942" t="s">
        <v>23141</v>
      </c>
      <c r="B9942" t="s">
        <v>367</v>
      </c>
      <c r="C9942" t="s">
        <v>5048</v>
      </c>
      <c r="D9942" t="s">
        <v>37286</v>
      </c>
      <c r="E9942" t="b">
        <v>0</v>
      </c>
      <c r="F9942" t="s">
        <v>11622</v>
      </c>
      <c r="L9942">
        <v>0</v>
      </c>
      <c r="M9942">
        <v>2</v>
      </c>
      <c r="N9942">
        <v>3</v>
      </c>
    </row>
    <row r="9943" spans="1:15">
      <c r="A9943" t="s">
        <v>37287</v>
      </c>
      <c r="B9943" t="s">
        <v>6742</v>
      </c>
      <c r="C9943" t="s">
        <v>37288</v>
      </c>
      <c r="D9943" t="s">
        <v>37289</v>
      </c>
      <c r="E9943" t="b">
        <v>0</v>
      </c>
      <c r="F9943" t="s">
        <v>11622</v>
      </c>
      <c r="L9943">
        <v>10</v>
      </c>
      <c r="M9943">
        <v>16</v>
      </c>
      <c r="N9943">
        <v>27</v>
      </c>
    </row>
    <row r="9944" spans="1:15">
      <c r="A9944" t="s">
        <v>20361</v>
      </c>
      <c r="B9944" t="s">
        <v>6742</v>
      </c>
      <c r="C9944" t="s">
        <v>37287</v>
      </c>
      <c r="D9944" t="s">
        <v>37290</v>
      </c>
      <c r="E9944" t="b">
        <v>0</v>
      </c>
      <c r="F9944" t="s">
        <v>11622</v>
      </c>
      <c r="L9944">
        <v>0</v>
      </c>
      <c r="M9944">
        <v>3</v>
      </c>
      <c r="N9944">
        <v>3</v>
      </c>
    </row>
    <row r="9945" spans="1:15">
      <c r="A9945" t="s">
        <v>37291</v>
      </c>
      <c r="B9945" t="s">
        <v>11637</v>
      </c>
      <c r="C9945" t="s">
        <v>1273</v>
      </c>
      <c r="D9945" t="s">
        <v>37292</v>
      </c>
      <c r="E9945" t="b">
        <v>0</v>
      </c>
      <c r="F9945" t="s">
        <v>11610</v>
      </c>
      <c r="L9945">
        <v>0</v>
      </c>
      <c r="M9945">
        <v>0</v>
      </c>
      <c r="N9945">
        <v>0</v>
      </c>
    </row>
    <row r="9946" spans="1:15">
      <c r="A9946" t="s">
        <v>12270</v>
      </c>
      <c r="B9946" t="s">
        <v>11637</v>
      </c>
      <c r="C9946" t="s">
        <v>29413</v>
      </c>
      <c r="D9946" t="s">
        <v>37293</v>
      </c>
      <c r="E9946" t="b">
        <v>0</v>
      </c>
      <c r="F9946" t="s">
        <v>11624</v>
      </c>
      <c r="G9946">
        <v>19.241399999999999</v>
      </c>
      <c r="H9946">
        <v>73.916600000000003</v>
      </c>
      <c r="I9946" t="s">
        <v>37294</v>
      </c>
      <c r="L9946">
        <v>0</v>
      </c>
      <c r="M9946">
        <v>0</v>
      </c>
      <c r="N9946">
        <v>11</v>
      </c>
      <c r="O9946" t="s">
        <v>11630</v>
      </c>
    </row>
    <row r="9947" spans="1:15">
      <c r="A9947" t="s">
        <v>37295</v>
      </c>
      <c r="B9947" t="s">
        <v>11627</v>
      </c>
      <c r="C9947" t="s">
        <v>11627</v>
      </c>
      <c r="D9947" t="s">
        <v>37296</v>
      </c>
      <c r="E9947" t="b">
        <v>1</v>
      </c>
      <c r="F9947" t="s">
        <v>11624</v>
      </c>
      <c r="G9947">
        <v>21.636900000000001</v>
      </c>
      <c r="H9947">
        <v>100.27800000000001</v>
      </c>
      <c r="I9947" t="s">
        <v>37297</v>
      </c>
      <c r="L9947">
        <v>0</v>
      </c>
      <c r="M9947">
        <v>0</v>
      </c>
      <c r="N9947">
        <v>0</v>
      </c>
      <c r="O9947" t="s">
        <v>11905</v>
      </c>
    </row>
    <row r="9948" spans="1:15">
      <c r="A9948" t="s">
        <v>37298</v>
      </c>
      <c r="B9948" t="s">
        <v>6742</v>
      </c>
      <c r="C9948" t="s">
        <v>37299</v>
      </c>
      <c r="D9948" t="s">
        <v>37300</v>
      </c>
      <c r="E9948" t="b">
        <v>0</v>
      </c>
      <c r="F9948" t="s">
        <v>11624</v>
      </c>
      <c r="G9948">
        <v>9.8222400000000007</v>
      </c>
      <c r="H9948">
        <v>0.27829999999999999</v>
      </c>
      <c r="I9948" t="s">
        <v>37301</v>
      </c>
      <c r="L9948">
        <v>0</v>
      </c>
      <c r="M9948">
        <v>0</v>
      </c>
      <c r="N9948">
        <v>5</v>
      </c>
      <c r="O9948" t="s">
        <v>12006</v>
      </c>
    </row>
    <row r="9949" spans="1:15">
      <c r="A9949" t="s">
        <v>29413</v>
      </c>
      <c r="B9949" t="s">
        <v>11637</v>
      </c>
      <c r="C9949" t="s">
        <v>32399</v>
      </c>
      <c r="D9949" t="s">
        <v>37302</v>
      </c>
      <c r="E9949" t="b">
        <v>0</v>
      </c>
      <c r="F9949" t="s">
        <v>11622</v>
      </c>
      <c r="I9949" t="s">
        <v>37303</v>
      </c>
      <c r="L9949">
        <v>0</v>
      </c>
      <c r="M9949">
        <v>2</v>
      </c>
      <c r="N9949">
        <v>19</v>
      </c>
      <c r="O9949" t="s">
        <v>11630</v>
      </c>
    </row>
    <row r="9950" spans="1:15">
      <c r="A9950" t="s">
        <v>37299</v>
      </c>
      <c r="B9950" t="s">
        <v>6742</v>
      </c>
      <c r="C9950" t="s">
        <v>29654</v>
      </c>
      <c r="D9950" t="s">
        <v>37304</v>
      </c>
      <c r="E9950" t="b">
        <v>0</v>
      </c>
      <c r="F9950" t="s">
        <v>11622</v>
      </c>
      <c r="L9950">
        <v>0</v>
      </c>
      <c r="M9950">
        <v>2</v>
      </c>
      <c r="N9950">
        <v>7</v>
      </c>
    </row>
    <row r="9951" spans="1:15">
      <c r="A9951" t="s">
        <v>37305</v>
      </c>
      <c r="B9951" t="s">
        <v>6742</v>
      </c>
      <c r="C9951" t="s">
        <v>20241</v>
      </c>
      <c r="D9951" t="s">
        <v>37306</v>
      </c>
      <c r="E9951" t="b">
        <v>0</v>
      </c>
      <c r="F9951" t="s">
        <v>11624</v>
      </c>
      <c r="G9951">
        <v>10.236800000000001</v>
      </c>
      <c r="H9951">
        <v>-1.54376</v>
      </c>
      <c r="I9951" t="s">
        <v>37307</v>
      </c>
      <c r="L9951">
        <v>0</v>
      </c>
      <c r="M9951">
        <v>0</v>
      </c>
      <c r="N9951">
        <v>0</v>
      </c>
      <c r="O9951" t="s">
        <v>11985</v>
      </c>
    </row>
    <row r="9952" spans="1:15">
      <c r="A9952" t="s">
        <v>37308</v>
      </c>
      <c r="B9952" t="s">
        <v>11729</v>
      </c>
      <c r="C9952" t="s">
        <v>36794</v>
      </c>
      <c r="D9952" t="s">
        <v>37309</v>
      </c>
      <c r="E9952" t="b">
        <v>0</v>
      </c>
      <c r="F9952" t="s">
        <v>11610</v>
      </c>
      <c r="L9952">
        <v>0</v>
      </c>
      <c r="M9952">
        <v>0</v>
      </c>
      <c r="N9952">
        <v>0</v>
      </c>
    </row>
    <row r="9953" spans="1:15">
      <c r="A9953" t="s">
        <v>37310</v>
      </c>
      <c r="B9953" t="s">
        <v>37311</v>
      </c>
      <c r="C9953" t="s">
        <v>37311</v>
      </c>
      <c r="D9953" t="s">
        <v>37312</v>
      </c>
      <c r="E9953" t="b">
        <v>0</v>
      </c>
      <c r="F9953" t="s">
        <v>11624</v>
      </c>
      <c r="G9953">
        <v>41.263356000000002</v>
      </c>
      <c r="H9953">
        <v>-123.310776</v>
      </c>
      <c r="L9953">
        <v>0</v>
      </c>
      <c r="M9953">
        <v>0</v>
      </c>
      <c r="N9953">
        <v>0</v>
      </c>
      <c r="O9953" t="s">
        <v>11944</v>
      </c>
    </row>
    <row r="9954" spans="1:15">
      <c r="A9954" t="s">
        <v>37313</v>
      </c>
      <c r="B9954" t="s">
        <v>6742</v>
      </c>
      <c r="C9954" t="s">
        <v>18654</v>
      </c>
      <c r="D9954" t="s">
        <v>37314</v>
      </c>
      <c r="E9954" t="b">
        <v>0</v>
      </c>
      <c r="F9954" t="s">
        <v>11624</v>
      </c>
      <c r="G9954">
        <v>10.436</v>
      </c>
      <c r="H9954">
        <v>8.32193</v>
      </c>
      <c r="I9954" t="s">
        <v>37315</v>
      </c>
      <c r="L9954">
        <v>0</v>
      </c>
      <c r="M9954">
        <v>0</v>
      </c>
      <c r="N9954">
        <v>0</v>
      </c>
      <c r="O9954" t="s">
        <v>11693</v>
      </c>
    </row>
    <row r="9955" spans="1:15">
      <c r="A9955" t="s">
        <v>37316</v>
      </c>
      <c r="B9955" t="s">
        <v>6742</v>
      </c>
      <c r="C9955" t="s">
        <v>36527</v>
      </c>
      <c r="D9955" t="s">
        <v>37317</v>
      </c>
      <c r="E9955" t="b">
        <v>0</v>
      </c>
      <c r="F9955" t="s">
        <v>11624</v>
      </c>
      <c r="G9955">
        <v>-6.5150300000000003</v>
      </c>
      <c r="H9955">
        <v>32.180300000000003</v>
      </c>
      <c r="I9955" t="s">
        <v>37318</v>
      </c>
      <c r="L9955">
        <v>0</v>
      </c>
      <c r="M9955">
        <v>0</v>
      </c>
      <c r="N9955">
        <v>0</v>
      </c>
      <c r="O9955" t="s">
        <v>11635</v>
      </c>
    </row>
    <row r="9956" spans="1:15">
      <c r="A9956" t="s">
        <v>37319</v>
      </c>
      <c r="B9956" t="s">
        <v>6742</v>
      </c>
      <c r="C9956" t="s">
        <v>26108</v>
      </c>
      <c r="D9956" t="s">
        <v>37320</v>
      </c>
      <c r="E9956" t="b">
        <v>0</v>
      </c>
      <c r="F9956" t="s">
        <v>11610</v>
      </c>
      <c r="L9956">
        <v>0</v>
      </c>
      <c r="M9956">
        <v>0</v>
      </c>
      <c r="N9956">
        <v>0</v>
      </c>
    </row>
    <row r="9957" spans="1:15">
      <c r="A9957" t="s">
        <v>37321</v>
      </c>
      <c r="B9957" t="s">
        <v>13276</v>
      </c>
      <c r="C9957" t="s">
        <v>30011</v>
      </c>
      <c r="D9957" t="s">
        <v>37322</v>
      </c>
      <c r="E9957" t="b">
        <v>0</v>
      </c>
      <c r="F9957" t="s">
        <v>11624</v>
      </c>
      <c r="G9957">
        <v>7.8500199999999998</v>
      </c>
      <c r="H9957">
        <v>-8.25793</v>
      </c>
      <c r="I9957" t="s">
        <v>37323</v>
      </c>
      <c r="L9957">
        <v>0</v>
      </c>
      <c r="M9957">
        <v>0</v>
      </c>
      <c r="N9957">
        <v>0</v>
      </c>
      <c r="O9957" t="s">
        <v>37324</v>
      </c>
    </row>
    <row r="9958" spans="1:15">
      <c r="A9958" t="s">
        <v>21513</v>
      </c>
      <c r="B9958" t="s">
        <v>13276</v>
      </c>
      <c r="C9958" t="s">
        <v>37325</v>
      </c>
      <c r="D9958" t="s">
        <v>37326</v>
      </c>
      <c r="E9958" t="b">
        <v>0</v>
      </c>
      <c r="F9958" t="s">
        <v>11624</v>
      </c>
      <c r="G9958">
        <v>8.6703899999999994</v>
      </c>
      <c r="H9958">
        <v>-10.9214</v>
      </c>
      <c r="I9958" t="s">
        <v>37327</v>
      </c>
      <c r="L9958">
        <v>0</v>
      </c>
      <c r="M9958">
        <v>0</v>
      </c>
      <c r="N9958">
        <v>2</v>
      </c>
      <c r="O9958" t="s">
        <v>20263</v>
      </c>
    </row>
    <row r="9959" spans="1:15">
      <c r="A9959" t="s">
        <v>37328</v>
      </c>
      <c r="B9959" t="s">
        <v>367</v>
      </c>
      <c r="C9959" t="s">
        <v>34759</v>
      </c>
      <c r="D9959" t="s">
        <v>37329</v>
      </c>
      <c r="E9959" t="b">
        <v>0</v>
      </c>
      <c r="F9959" t="s">
        <v>11624</v>
      </c>
      <c r="G9959">
        <v>-4.1618399999999998</v>
      </c>
      <c r="H9959">
        <v>152.87</v>
      </c>
      <c r="I9959" t="s">
        <v>37330</v>
      </c>
      <c r="L9959">
        <v>0</v>
      </c>
      <c r="M9959">
        <v>0</v>
      </c>
      <c r="N9959">
        <v>2</v>
      </c>
      <c r="O9959" t="s">
        <v>11660</v>
      </c>
    </row>
    <row r="9960" spans="1:15">
      <c r="A9960" t="s">
        <v>29229</v>
      </c>
      <c r="B9960" t="s">
        <v>11607</v>
      </c>
      <c r="C9960" t="s">
        <v>37331</v>
      </c>
      <c r="D9960" t="s">
        <v>37332</v>
      </c>
      <c r="E9960" t="b">
        <v>0</v>
      </c>
      <c r="F9960" t="s">
        <v>11622</v>
      </c>
      <c r="L9960">
        <v>1</v>
      </c>
      <c r="M9960">
        <v>3</v>
      </c>
      <c r="N9960">
        <v>0</v>
      </c>
    </row>
    <row r="9961" spans="1:15">
      <c r="A9961" t="s">
        <v>37333</v>
      </c>
      <c r="B9961" t="s">
        <v>11607</v>
      </c>
      <c r="C9961" t="s">
        <v>29229</v>
      </c>
      <c r="D9961" t="s">
        <v>37334</v>
      </c>
      <c r="E9961" t="b">
        <v>0</v>
      </c>
      <c r="F9961" t="s">
        <v>11624</v>
      </c>
      <c r="G9961">
        <v>5.3911100000000003</v>
      </c>
      <c r="H9961">
        <v>37.53</v>
      </c>
      <c r="I9961" t="s">
        <v>37335</v>
      </c>
      <c r="L9961">
        <v>0</v>
      </c>
      <c r="M9961">
        <v>0</v>
      </c>
      <c r="N9961">
        <v>0</v>
      </c>
      <c r="O9961" t="s">
        <v>11625</v>
      </c>
    </row>
    <row r="9962" spans="1:15">
      <c r="A9962" t="s">
        <v>37336</v>
      </c>
      <c r="B9962" t="s">
        <v>12438</v>
      </c>
      <c r="C9962" t="s">
        <v>12915</v>
      </c>
      <c r="D9962" t="s">
        <v>37337</v>
      </c>
      <c r="E9962" t="b">
        <v>0</v>
      </c>
      <c r="F9962" t="s">
        <v>11610</v>
      </c>
      <c r="L9962">
        <v>0</v>
      </c>
      <c r="M9962">
        <v>0</v>
      </c>
      <c r="N9962">
        <v>0</v>
      </c>
    </row>
    <row r="9963" spans="1:15">
      <c r="A9963" t="s">
        <v>37338</v>
      </c>
      <c r="B9963" t="s">
        <v>367</v>
      </c>
      <c r="C9963" t="s">
        <v>37339</v>
      </c>
      <c r="D9963" t="s">
        <v>37340</v>
      </c>
      <c r="E9963" t="b">
        <v>0</v>
      </c>
      <c r="F9963" t="s">
        <v>11610</v>
      </c>
      <c r="L9963">
        <v>0</v>
      </c>
      <c r="M9963">
        <v>0</v>
      </c>
      <c r="N9963">
        <v>0</v>
      </c>
    </row>
    <row r="9964" spans="1:15">
      <c r="A9964" t="s">
        <v>37341</v>
      </c>
      <c r="B9964" t="s">
        <v>12241</v>
      </c>
      <c r="C9964" t="s">
        <v>37342</v>
      </c>
      <c r="D9964" t="s">
        <v>37343</v>
      </c>
      <c r="E9964" t="b">
        <v>0</v>
      </c>
      <c r="F9964" t="s">
        <v>11624</v>
      </c>
      <c r="L9964">
        <v>0</v>
      </c>
      <c r="M9964">
        <v>0</v>
      </c>
      <c r="N9964">
        <v>0</v>
      </c>
      <c r="O9964" t="s">
        <v>11969</v>
      </c>
    </row>
    <row r="9965" spans="1:15">
      <c r="A9965" t="s">
        <v>17215</v>
      </c>
      <c r="B9965" t="s">
        <v>6742</v>
      </c>
      <c r="C9965" t="s">
        <v>17207</v>
      </c>
      <c r="D9965" t="s">
        <v>37344</v>
      </c>
      <c r="E9965" t="b">
        <v>0</v>
      </c>
      <c r="F9965" t="s">
        <v>11622</v>
      </c>
      <c r="L9965">
        <v>1</v>
      </c>
      <c r="M9965">
        <v>3</v>
      </c>
      <c r="N9965">
        <v>0</v>
      </c>
    </row>
    <row r="9966" spans="1:15">
      <c r="A9966" t="s">
        <v>37345</v>
      </c>
      <c r="B9966" t="s">
        <v>11644</v>
      </c>
      <c r="C9966" t="s">
        <v>19081</v>
      </c>
      <c r="D9966" t="s">
        <v>37346</v>
      </c>
      <c r="E9966" t="b">
        <v>0</v>
      </c>
      <c r="F9966" t="s">
        <v>11622</v>
      </c>
      <c r="L9966">
        <v>5</v>
      </c>
      <c r="M9966">
        <v>13</v>
      </c>
      <c r="N9966">
        <v>75</v>
      </c>
    </row>
    <row r="9967" spans="1:15">
      <c r="A9967" t="s">
        <v>22260</v>
      </c>
      <c r="B9967" t="s">
        <v>11644</v>
      </c>
      <c r="C9967" t="s">
        <v>37345</v>
      </c>
      <c r="D9967" t="s">
        <v>37347</v>
      </c>
      <c r="E9967" t="b">
        <v>0</v>
      </c>
      <c r="F9967" t="s">
        <v>11622</v>
      </c>
      <c r="L9967">
        <v>2</v>
      </c>
      <c r="M9967">
        <v>7</v>
      </c>
      <c r="N9967">
        <v>37</v>
      </c>
    </row>
    <row r="9968" spans="1:15">
      <c r="A9968" t="s">
        <v>13896</v>
      </c>
      <c r="B9968" t="s">
        <v>11644</v>
      </c>
      <c r="C9968" t="s">
        <v>22260</v>
      </c>
      <c r="D9968" t="s">
        <v>37348</v>
      </c>
      <c r="E9968" t="b">
        <v>0</v>
      </c>
      <c r="F9968" t="s">
        <v>11624</v>
      </c>
      <c r="G9968">
        <v>26.682300000000001</v>
      </c>
      <c r="H9968">
        <v>95.059799999999996</v>
      </c>
      <c r="I9968" t="s">
        <v>37349</v>
      </c>
      <c r="L9968">
        <v>0</v>
      </c>
      <c r="M9968">
        <v>0</v>
      </c>
      <c r="N9968">
        <v>32</v>
      </c>
      <c r="O9968" t="s">
        <v>13598</v>
      </c>
    </row>
    <row r="9969" spans="1:15">
      <c r="A9969" t="s">
        <v>37350</v>
      </c>
      <c r="B9969" t="s">
        <v>11644</v>
      </c>
      <c r="C9969" t="s">
        <v>37345</v>
      </c>
      <c r="D9969" t="s">
        <v>37351</v>
      </c>
      <c r="E9969" t="b">
        <v>0</v>
      </c>
      <c r="F9969" t="s">
        <v>11622</v>
      </c>
      <c r="L9969">
        <v>1</v>
      </c>
      <c r="M9969">
        <v>6</v>
      </c>
      <c r="N9969">
        <v>38</v>
      </c>
    </row>
    <row r="9970" spans="1:15">
      <c r="A9970" t="s">
        <v>37352</v>
      </c>
      <c r="B9970" t="s">
        <v>13276</v>
      </c>
      <c r="C9970" t="s">
        <v>26134</v>
      </c>
      <c r="D9970" t="s">
        <v>37353</v>
      </c>
      <c r="E9970" t="b">
        <v>0</v>
      </c>
      <c r="F9970" t="s">
        <v>11624</v>
      </c>
      <c r="G9970">
        <v>8.0478799999999993</v>
      </c>
      <c r="H9970">
        <v>-8.8997200000000003</v>
      </c>
      <c r="I9970" t="s">
        <v>37354</v>
      </c>
      <c r="L9970">
        <v>0</v>
      </c>
      <c r="M9970">
        <v>0</v>
      </c>
      <c r="N9970">
        <v>0</v>
      </c>
      <c r="O9970" t="s">
        <v>24075</v>
      </c>
    </row>
    <row r="9971" spans="1:15">
      <c r="A9971" t="s">
        <v>37355</v>
      </c>
      <c r="B9971" t="s">
        <v>6742</v>
      </c>
      <c r="C9971" t="s">
        <v>33940</v>
      </c>
      <c r="D9971" t="s">
        <v>37356</v>
      </c>
      <c r="E9971" t="b">
        <v>0</v>
      </c>
      <c r="F9971" t="s">
        <v>11622</v>
      </c>
      <c r="L9971">
        <v>0</v>
      </c>
      <c r="M9971">
        <v>2</v>
      </c>
      <c r="N9971">
        <v>10</v>
      </c>
    </row>
    <row r="9972" spans="1:15">
      <c r="A9972" t="s">
        <v>37357</v>
      </c>
      <c r="B9972" t="s">
        <v>6742</v>
      </c>
      <c r="C9972" t="s">
        <v>37355</v>
      </c>
      <c r="D9972" t="s">
        <v>37358</v>
      </c>
      <c r="E9972" t="b">
        <v>0</v>
      </c>
      <c r="F9972" t="s">
        <v>11624</v>
      </c>
      <c r="G9972">
        <v>0.32395000000000002</v>
      </c>
      <c r="H9972">
        <v>29.869599999999998</v>
      </c>
      <c r="I9972" t="s">
        <v>37359</v>
      </c>
      <c r="L9972">
        <v>0</v>
      </c>
      <c r="M9972">
        <v>0</v>
      </c>
      <c r="N9972">
        <v>2</v>
      </c>
      <c r="O9972" t="s">
        <v>13208</v>
      </c>
    </row>
    <row r="9973" spans="1:15">
      <c r="A9973" t="s">
        <v>37360</v>
      </c>
      <c r="B9973" t="s">
        <v>6742</v>
      </c>
      <c r="C9973" t="s">
        <v>23768</v>
      </c>
      <c r="D9973" t="s">
        <v>37361</v>
      </c>
      <c r="E9973" t="b">
        <v>0</v>
      </c>
      <c r="F9973" t="s">
        <v>11610</v>
      </c>
      <c r="L9973">
        <v>0</v>
      </c>
      <c r="M9973">
        <v>0</v>
      </c>
      <c r="N9973">
        <v>0</v>
      </c>
    </row>
    <row r="9974" spans="1:15">
      <c r="A9974" t="s">
        <v>37362</v>
      </c>
      <c r="B9974" t="s">
        <v>6742</v>
      </c>
      <c r="C9974" t="s">
        <v>473</v>
      </c>
      <c r="D9974" t="s">
        <v>37363</v>
      </c>
      <c r="E9974" t="b">
        <v>0</v>
      </c>
      <c r="F9974" t="s">
        <v>11610</v>
      </c>
      <c r="L9974">
        <v>0</v>
      </c>
      <c r="M9974">
        <v>0</v>
      </c>
      <c r="N9974">
        <v>0</v>
      </c>
    </row>
    <row r="9975" spans="1:15">
      <c r="A9975" t="s">
        <v>20764</v>
      </c>
      <c r="B9975" t="s">
        <v>6742</v>
      </c>
      <c r="C9975" t="s">
        <v>36738</v>
      </c>
      <c r="D9975" t="s">
        <v>37364</v>
      </c>
      <c r="E9975" t="b">
        <v>0</v>
      </c>
      <c r="F9975" t="s">
        <v>11624</v>
      </c>
      <c r="G9975">
        <v>-5.5772199999999996</v>
      </c>
      <c r="H9975">
        <v>14.4771</v>
      </c>
      <c r="I9975" t="s">
        <v>37365</v>
      </c>
      <c r="L9975">
        <v>0</v>
      </c>
      <c r="M9975">
        <v>0</v>
      </c>
      <c r="N9975">
        <v>9</v>
      </c>
      <c r="O9975" t="s">
        <v>37366</v>
      </c>
    </row>
    <row r="9976" spans="1:15">
      <c r="A9976" t="s">
        <v>15741</v>
      </c>
      <c r="B9976" t="s">
        <v>6742</v>
      </c>
      <c r="C9976" t="s">
        <v>37367</v>
      </c>
      <c r="D9976" t="s">
        <v>37368</v>
      </c>
      <c r="E9976" t="b">
        <v>0</v>
      </c>
      <c r="F9976" t="s">
        <v>11624</v>
      </c>
      <c r="G9976">
        <v>3.2593299999999998</v>
      </c>
      <c r="H9976">
        <v>13.54152</v>
      </c>
      <c r="I9976" t="s">
        <v>37369</v>
      </c>
      <c r="L9976">
        <v>0</v>
      </c>
      <c r="M9976">
        <v>0</v>
      </c>
      <c r="N9976">
        <v>2</v>
      </c>
      <c r="O9976" t="s">
        <v>11703</v>
      </c>
    </row>
    <row r="9977" spans="1:15">
      <c r="A9977" t="s">
        <v>37370</v>
      </c>
      <c r="B9977" t="s">
        <v>11757</v>
      </c>
      <c r="C9977" t="s">
        <v>19469</v>
      </c>
      <c r="D9977" t="s">
        <v>37371</v>
      </c>
      <c r="E9977" t="b">
        <v>0</v>
      </c>
      <c r="F9977" t="s">
        <v>11610</v>
      </c>
      <c r="L9977">
        <v>0</v>
      </c>
      <c r="M9977">
        <v>0</v>
      </c>
      <c r="N9977">
        <v>0</v>
      </c>
    </row>
    <row r="9978" spans="1:15">
      <c r="A9978" t="s">
        <v>36738</v>
      </c>
      <c r="B9978" t="s">
        <v>6742</v>
      </c>
      <c r="C9978" t="s">
        <v>26622</v>
      </c>
      <c r="D9978" t="s">
        <v>37372</v>
      </c>
      <c r="E9978" t="b">
        <v>0</v>
      </c>
      <c r="F9978" t="s">
        <v>11622</v>
      </c>
      <c r="L9978">
        <v>0</v>
      </c>
      <c r="M9978">
        <v>3</v>
      </c>
      <c r="N9978">
        <v>12</v>
      </c>
    </row>
    <row r="9979" spans="1:15">
      <c r="A9979" t="s">
        <v>37373</v>
      </c>
      <c r="B9979" t="s">
        <v>13276</v>
      </c>
      <c r="C9979" t="s">
        <v>4247</v>
      </c>
      <c r="D9979" t="s">
        <v>37374</v>
      </c>
      <c r="E9979" t="b">
        <v>0</v>
      </c>
      <c r="F9979" t="s">
        <v>11610</v>
      </c>
      <c r="L9979">
        <v>0</v>
      </c>
      <c r="M9979">
        <v>0</v>
      </c>
      <c r="N9979">
        <v>0</v>
      </c>
    </row>
    <row r="9980" spans="1:15">
      <c r="A9980" t="s">
        <v>35488</v>
      </c>
      <c r="B9980" t="s">
        <v>21516</v>
      </c>
      <c r="C9980" t="s">
        <v>26140</v>
      </c>
      <c r="D9980" t="s">
        <v>37375</v>
      </c>
      <c r="E9980" t="b">
        <v>0</v>
      </c>
      <c r="F9980" t="s">
        <v>11624</v>
      </c>
      <c r="G9980">
        <v>10.732100000000001</v>
      </c>
      <c r="H9980">
        <v>31.539899999999999</v>
      </c>
      <c r="I9980" t="s">
        <v>37376</v>
      </c>
      <c r="L9980">
        <v>0</v>
      </c>
      <c r="M9980">
        <v>0</v>
      </c>
      <c r="N9980">
        <v>2</v>
      </c>
      <c r="O9980" t="s">
        <v>11910</v>
      </c>
    </row>
    <row r="9981" spans="1:15">
      <c r="A9981" t="s">
        <v>37377</v>
      </c>
      <c r="B9981" t="s">
        <v>367</v>
      </c>
      <c r="C9981" t="s">
        <v>37378</v>
      </c>
      <c r="D9981" t="s">
        <v>37379</v>
      </c>
      <c r="E9981" t="b">
        <v>0</v>
      </c>
      <c r="F9981" t="s">
        <v>11610</v>
      </c>
      <c r="L9981">
        <v>0</v>
      </c>
      <c r="M9981">
        <v>0</v>
      </c>
      <c r="N9981">
        <v>0</v>
      </c>
    </row>
    <row r="9982" spans="1:15">
      <c r="A9982" t="s">
        <v>37380</v>
      </c>
      <c r="B9982" t="s">
        <v>16042</v>
      </c>
      <c r="C9982" t="s">
        <v>37381</v>
      </c>
      <c r="D9982" t="s">
        <v>37382</v>
      </c>
      <c r="E9982" t="b">
        <v>0</v>
      </c>
      <c r="F9982" t="s">
        <v>11610</v>
      </c>
      <c r="L9982">
        <v>0</v>
      </c>
      <c r="M9982">
        <v>0</v>
      </c>
      <c r="N9982">
        <v>0</v>
      </c>
    </row>
    <row r="9983" spans="1:15">
      <c r="A9983" t="s">
        <v>37383</v>
      </c>
      <c r="B9983" t="s">
        <v>6742</v>
      </c>
      <c r="C9983" t="s">
        <v>27821</v>
      </c>
      <c r="D9983" t="s">
        <v>37384</v>
      </c>
      <c r="E9983" t="b">
        <v>0</v>
      </c>
      <c r="F9983" t="s">
        <v>11610</v>
      </c>
      <c r="L9983">
        <v>0</v>
      </c>
      <c r="M9983">
        <v>0</v>
      </c>
      <c r="N9983">
        <v>0</v>
      </c>
    </row>
    <row r="9984" spans="1:15">
      <c r="A9984" t="s">
        <v>37385</v>
      </c>
      <c r="B9984" t="s">
        <v>13571</v>
      </c>
      <c r="C9984" t="s">
        <v>26128</v>
      </c>
      <c r="D9984" t="s">
        <v>37386</v>
      </c>
      <c r="E9984" t="b">
        <v>0</v>
      </c>
      <c r="F9984" t="s">
        <v>11624</v>
      </c>
      <c r="G9984">
        <v>5.8054500000000004</v>
      </c>
      <c r="H9984">
        <v>37.867899999999999</v>
      </c>
      <c r="I9984" t="s">
        <v>37387</v>
      </c>
      <c r="L9984">
        <v>0</v>
      </c>
      <c r="M9984">
        <v>0</v>
      </c>
      <c r="N9984">
        <v>0</v>
      </c>
      <c r="O9984" t="s">
        <v>11625</v>
      </c>
    </row>
    <row r="9985" spans="1:15">
      <c r="A9985" t="s">
        <v>37388</v>
      </c>
      <c r="B9985" t="s">
        <v>6742</v>
      </c>
      <c r="C9985" t="s">
        <v>16624</v>
      </c>
      <c r="D9985" t="s">
        <v>37389</v>
      </c>
      <c r="E9985" t="b">
        <v>0</v>
      </c>
      <c r="F9985" t="s">
        <v>11610</v>
      </c>
      <c r="L9985">
        <v>0</v>
      </c>
      <c r="M9985">
        <v>0</v>
      </c>
      <c r="N9985">
        <v>0</v>
      </c>
    </row>
    <row r="9986" spans="1:15">
      <c r="A9986" t="s">
        <v>37390</v>
      </c>
      <c r="B9986" t="s">
        <v>6742</v>
      </c>
      <c r="C9986" t="s">
        <v>4118</v>
      </c>
      <c r="D9986" t="s">
        <v>37391</v>
      </c>
      <c r="E9986" t="b">
        <v>0</v>
      </c>
      <c r="F9986" t="s">
        <v>11610</v>
      </c>
      <c r="L9986">
        <v>0</v>
      </c>
      <c r="M9986">
        <v>0</v>
      </c>
      <c r="N9986">
        <v>0</v>
      </c>
    </row>
    <row r="9987" spans="1:15">
      <c r="A9987" t="s">
        <v>37392</v>
      </c>
      <c r="B9987" t="s">
        <v>11871</v>
      </c>
      <c r="C9987" t="s">
        <v>37393</v>
      </c>
      <c r="D9987" t="s">
        <v>37394</v>
      </c>
      <c r="E9987" t="b">
        <v>0</v>
      </c>
      <c r="F9987" t="s">
        <v>11624</v>
      </c>
      <c r="G9987">
        <v>-3.9825900000000001</v>
      </c>
      <c r="H9987">
        <v>144.46600000000001</v>
      </c>
      <c r="I9987" t="s">
        <v>37395</v>
      </c>
      <c r="L9987">
        <v>0</v>
      </c>
      <c r="M9987">
        <v>0</v>
      </c>
      <c r="N9987">
        <v>0</v>
      </c>
      <c r="O9987" t="s">
        <v>11660</v>
      </c>
    </row>
    <row r="9988" spans="1:15">
      <c r="A9988" t="s">
        <v>37396</v>
      </c>
      <c r="B9988" t="s">
        <v>14524</v>
      </c>
      <c r="C9988" t="s">
        <v>14525</v>
      </c>
      <c r="D9988" t="s">
        <v>37397</v>
      </c>
      <c r="E9988" t="b">
        <v>0</v>
      </c>
      <c r="F9988" t="s">
        <v>11610</v>
      </c>
      <c r="L9988">
        <v>0</v>
      </c>
      <c r="M9988">
        <v>0</v>
      </c>
      <c r="N9988">
        <v>0</v>
      </c>
    </row>
    <row r="9989" spans="1:15">
      <c r="A9989" t="s">
        <v>37398</v>
      </c>
      <c r="B9989" t="s">
        <v>11615</v>
      </c>
      <c r="C9989" t="s">
        <v>37399</v>
      </c>
      <c r="D9989" t="s">
        <v>37400</v>
      </c>
      <c r="E9989" t="b">
        <v>0</v>
      </c>
      <c r="F9989" t="s">
        <v>11624</v>
      </c>
      <c r="G9989">
        <v>-4.9119099999999998</v>
      </c>
      <c r="H9989">
        <v>139.92599999999999</v>
      </c>
      <c r="I9989" t="s">
        <v>37401</v>
      </c>
      <c r="L9989">
        <v>0</v>
      </c>
      <c r="M9989">
        <v>0</v>
      </c>
      <c r="N9989">
        <v>2</v>
      </c>
      <c r="O9989" t="s">
        <v>11768</v>
      </c>
    </row>
    <row r="9990" spans="1:15">
      <c r="A9990" t="s">
        <v>37402</v>
      </c>
      <c r="B9990" t="s">
        <v>11844</v>
      </c>
      <c r="C9990" t="s">
        <v>37403</v>
      </c>
      <c r="D9990" t="s">
        <v>37404</v>
      </c>
      <c r="E9990" t="b">
        <v>0</v>
      </c>
      <c r="F9990" t="s">
        <v>11622</v>
      </c>
      <c r="L9990">
        <v>0</v>
      </c>
      <c r="M9990">
        <v>2</v>
      </c>
      <c r="N9990">
        <v>4</v>
      </c>
    </row>
    <row r="9991" spans="1:15">
      <c r="A9991" t="s">
        <v>37405</v>
      </c>
      <c r="B9991" t="s">
        <v>6742</v>
      </c>
      <c r="C9991" t="s">
        <v>14948</v>
      </c>
      <c r="D9991" t="s">
        <v>37406</v>
      </c>
      <c r="E9991" t="b">
        <v>0</v>
      </c>
      <c r="F9991" t="s">
        <v>11610</v>
      </c>
      <c r="L9991">
        <v>0</v>
      </c>
      <c r="M9991">
        <v>0</v>
      </c>
      <c r="N9991">
        <v>0</v>
      </c>
    </row>
    <row r="9992" spans="1:15">
      <c r="A9992" t="s">
        <v>37407</v>
      </c>
      <c r="B9992" t="s">
        <v>12562</v>
      </c>
      <c r="C9992" t="s">
        <v>37408</v>
      </c>
      <c r="D9992" t="s">
        <v>37409</v>
      </c>
      <c r="E9992" t="b">
        <v>0</v>
      </c>
      <c r="F9992" t="s">
        <v>11624</v>
      </c>
      <c r="G9992">
        <v>29.495699999999999</v>
      </c>
      <c r="H9992">
        <v>-2.4811299999999998</v>
      </c>
      <c r="I9992" t="s">
        <v>37410</v>
      </c>
      <c r="L9992">
        <v>0</v>
      </c>
      <c r="M9992">
        <v>0</v>
      </c>
      <c r="N9992">
        <v>0</v>
      </c>
      <c r="O9992" t="s">
        <v>13029</v>
      </c>
    </row>
    <row r="9993" spans="1:15">
      <c r="A9993" t="s">
        <v>37411</v>
      </c>
      <c r="B9993" t="s">
        <v>4236</v>
      </c>
      <c r="C9993" t="s">
        <v>37412</v>
      </c>
      <c r="D9993" t="s">
        <v>37413</v>
      </c>
      <c r="E9993" t="b">
        <v>0</v>
      </c>
      <c r="F9993" t="s">
        <v>11624</v>
      </c>
      <c r="G9993">
        <v>-30.4207</v>
      </c>
      <c r="H9993">
        <v>19.771100000000001</v>
      </c>
      <c r="I9993" t="s">
        <v>37414</v>
      </c>
      <c r="L9993">
        <v>0</v>
      </c>
      <c r="M9993">
        <v>0</v>
      </c>
      <c r="N9993">
        <v>0</v>
      </c>
      <c r="O9993" t="s">
        <v>21031</v>
      </c>
    </row>
    <row r="9994" spans="1:15">
      <c r="A9994" t="s">
        <v>37415</v>
      </c>
      <c r="B9994" t="s">
        <v>11615</v>
      </c>
      <c r="C9994" t="s">
        <v>28299</v>
      </c>
      <c r="D9994" t="s">
        <v>37416</v>
      </c>
      <c r="E9994" t="b">
        <v>0</v>
      </c>
      <c r="F9994" t="s">
        <v>11624</v>
      </c>
      <c r="G9994">
        <v>-9.07</v>
      </c>
      <c r="H9994">
        <v>149.267</v>
      </c>
      <c r="I9994" t="s">
        <v>37417</v>
      </c>
      <c r="L9994">
        <v>0</v>
      </c>
      <c r="M9994">
        <v>0</v>
      </c>
      <c r="N9994">
        <v>1</v>
      </c>
      <c r="O9994" t="s">
        <v>11660</v>
      </c>
    </row>
    <row r="9995" spans="1:15">
      <c r="A9995" t="s">
        <v>37418</v>
      </c>
      <c r="B9995" t="s">
        <v>11615</v>
      </c>
      <c r="C9995" t="s">
        <v>37415</v>
      </c>
      <c r="D9995" t="s">
        <v>37419</v>
      </c>
      <c r="E9995" t="b">
        <v>0</v>
      </c>
      <c r="F9995" t="s">
        <v>11610</v>
      </c>
      <c r="L9995">
        <v>0</v>
      </c>
      <c r="M9995">
        <v>0</v>
      </c>
      <c r="N9995">
        <v>0</v>
      </c>
    </row>
    <row r="9996" spans="1:15">
      <c r="A9996" t="s">
        <v>37420</v>
      </c>
      <c r="B9996" t="s">
        <v>11615</v>
      </c>
      <c r="C9996" t="s">
        <v>37421</v>
      </c>
      <c r="D9996" t="s">
        <v>37422</v>
      </c>
      <c r="E9996" t="b">
        <v>0</v>
      </c>
      <c r="F9996" t="s">
        <v>11624</v>
      </c>
      <c r="G9996">
        <v>-4.5998000000000001</v>
      </c>
      <c r="H9996">
        <v>145.51400000000001</v>
      </c>
      <c r="I9996" t="s">
        <v>37423</v>
      </c>
      <c r="L9996">
        <v>0</v>
      </c>
      <c r="M9996">
        <v>0</v>
      </c>
      <c r="N9996">
        <v>0</v>
      </c>
      <c r="O9996" t="s">
        <v>11660</v>
      </c>
    </row>
    <row r="9997" spans="1:15">
      <c r="A9997" t="s">
        <v>14613</v>
      </c>
      <c r="B9997" t="s">
        <v>367</v>
      </c>
      <c r="C9997" t="s">
        <v>17862</v>
      </c>
      <c r="D9997" t="s">
        <v>37424</v>
      </c>
      <c r="E9997" t="b">
        <v>0</v>
      </c>
      <c r="F9997" t="s">
        <v>11622</v>
      </c>
      <c r="L9997">
        <v>0</v>
      </c>
      <c r="M9997">
        <v>4</v>
      </c>
      <c r="N9997">
        <v>4</v>
      </c>
    </row>
    <row r="9998" spans="1:15">
      <c r="A9998" t="s">
        <v>37425</v>
      </c>
      <c r="B9998" t="s">
        <v>11615</v>
      </c>
      <c r="C9998" t="s">
        <v>37426</v>
      </c>
      <c r="D9998" t="s">
        <v>37427</v>
      </c>
      <c r="E9998" t="b">
        <v>0</v>
      </c>
      <c r="F9998" t="s">
        <v>11624</v>
      </c>
      <c r="L9998">
        <v>0</v>
      </c>
      <c r="M9998">
        <v>0</v>
      </c>
      <c r="N9998">
        <v>0</v>
      </c>
      <c r="O9998" t="s">
        <v>11660</v>
      </c>
    </row>
    <row r="9999" spans="1:15">
      <c r="A9999" t="s">
        <v>37428</v>
      </c>
      <c r="B9999" t="s">
        <v>367</v>
      </c>
      <c r="C9999" t="s">
        <v>19161</v>
      </c>
      <c r="D9999" t="s">
        <v>37429</v>
      </c>
      <c r="E9999" t="b">
        <v>0</v>
      </c>
      <c r="F9999" t="s">
        <v>11610</v>
      </c>
      <c r="L9999">
        <v>0</v>
      </c>
      <c r="M9999">
        <v>0</v>
      </c>
      <c r="N9999">
        <v>0</v>
      </c>
    </row>
    <row r="10000" spans="1:15">
      <c r="A10000" t="s">
        <v>37430</v>
      </c>
      <c r="B10000" t="s">
        <v>11637</v>
      </c>
      <c r="C10000" t="s">
        <v>20988</v>
      </c>
      <c r="D10000" t="s">
        <v>37431</v>
      </c>
      <c r="E10000" t="b">
        <v>0</v>
      </c>
      <c r="F10000" t="s">
        <v>11610</v>
      </c>
      <c r="L10000">
        <v>0</v>
      </c>
      <c r="M10000">
        <v>0</v>
      </c>
      <c r="N10000">
        <v>0</v>
      </c>
    </row>
    <row r="10001" spans="1:15">
      <c r="A10001" t="s">
        <v>37432</v>
      </c>
      <c r="B10001" t="s">
        <v>11637</v>
      </c>
      <c r="C10001" t="s">
        <v>17607</v>
      </c>
      <c r="D10001" t="s">
        <v>37433</v>
      </c>
      <c r="E10001" t="b">
        <v>0</v>
      </c>
      <c r="F10001" t="s">
        <v>11610</v>
      </c>
      <c r="L10001">
        <v>0</v>
      </c>
      <c r="M10001">
        <v>0</v>
      </c>
      <c r="N10001">
        <v>0</v>
      </c>
    </row>
    <row r="10002" spans="1:15">
      <c r="A10002" t="s">
        <v>26493</v>
      </c>
      <c r="B10002" t="s">
        <v>3164</v>
      </c>
      <c r="C10002" t="s">
        <v>18788</v>
      </c>
      <c r="D10002" t="s">
        <v>37434</v>
      </c>
      <c r="E10002" t="b">
        <v>0</v>
      </c>
      <c r="F10002" t="s">
        <v>11622</v>
      </c>
      <c r="L10002">
        <v>2</v>
      </c>
      <c r="M10002">
        <v>7</v>
      </c>
      <c r="N10002">
        <v>8</v>
      </c>
    </row>
    <row r="10003" spans="1:15">
      <c r="A10003" t="s">
        <v>37435</v>
      </c>
      <c r="B10003" t="s">
        <v>11981</v>
      </c>
      <c r="C10003" t="s">
        <v>33218</v>
      </c>
      <c r="D10003" t="s">
        <v>37436</v>
      </c>
      <c r="E10003" t="b">
        <v>0</v>
      </c>
      <c r="F10003" t="s">
        <v>11624</v>
      </c>
      <c r="G10003">
        <v>37.471800000000002</v>
      </c>
      <c r="H10003">
        <v>127.60899999999999</v>
      </c>
      <c r="I10003" t="s">
        <v>37437</v>
      </c>
      <c r="L10003">
        <v>0</v>
      </c>
      <c r="M10003">
        <v>0</v>
      </c>
      <c r="N10003">
        <v>0</v>
      </c>
      <c r="O10003" t="s">
        <v>33367</v>
      </c>
    </row>
    <row r="10004" spans="1:15">
      <c r="A10004" t="s">
        <v>37438</v>
      </c>
      <c r="B10004" t="s">
        <v>11637</v>
      </c>
      <c r="C10004" t="s">
        <v>34238</v>
      </c>
      <c r="D10004" t="s">
        <v>37439</v>
      </c>
      <c r="E10004" t="b">
        <v>0</v>
      </c>
      <c r="F10004" t="s">
        <v>11624</v>
      </c>
      <c r="G10004">
        <v>37.793999999999997</v>
      </c>
      <c r="H10004">
        <v>44.895000000000003</v>
      </c>
      <c r="I10004" t="s">
        <v>37440</v>
      </c>
      <c r="L10004">
        <v>0</v>
      </c>
      <c r="M10004">
        <v>0</v>
      </c>
      <c r="N10004">
        <v>0</v>
      </c>
      <c r="O10004" t="s">
        <v>13225</v>
      </c>
    </row>
    <row r="10005" spans="1:15">
      <c r="A10005" t="s">
        <v>232</v>
      </c>
      <c r="B10005" t="s">
        <v>22388</v>
      </c>
      <c r="C10005" t="s">
        <v>22388</v>
      </c>
      <c r="D10005" t="s">
        <v>9802</v>
      </c>
      <c r="E10005" t="b">
        <v>0</v>
      </c>
      <c r="F10005" t="s">
        <v>11624</v>
      </c>
      <c r="G10005">
        <v>37.5</v>
      </c>
      <c r="H10005">
        <v>128</v>
      </c>
      <c r="I10005" t="s">
        <v>233</v>
      </c>
      <c r="L10005">
        <v>0</v>
      </c>
      <c r="M10005">
        <v>0</v>
      </c>
      <c r="N10005">
        <v>8</v>
      </c>
      <c r="O10005" t="s">
        <v>37441</v>
      </c>
    </row>
    <row r="10006" spans="1:15">
      <c r="A10006" t="s">
        <v>20047</v>
      </c>
      <c r="B10006" t="s">
        <v>6742</v>
      </c>
      <c r="C10006" t="s">
        <v>3601</v>
      </c>
      <c r="D10006" t="s">
        <v>37442</v>
      </c>
      <c r="E10006" t="b">
        <v>0</v>
      </c>
      <c r="F10006" t="s">
        <v>11610</v>
      </c>
      <c r="L10006">
        <v>0</v>
      </c>
      <c r="M10006">
        <v>0</v>
      </c>
      <c r="N10006">
        <v>7</v>
      </c>
    </row>
    <row r="10007" spans="1:15">
      <c r="A10007" t="s">
        <v>37443</v>
      </c>
      <c r="B10007" t="s">
        <v>11757</v>
      </c>
      <c r="C10007" t="s">
        <v>216</v>
      </c>
      <c r="D10007" t="s">
        <v>37444</v>
      </c>
      <c r="E10007" t="b">
        <v>0</v>
      </c>
      <c r="F10007" t="s">
        <v>11610</v>
      </c>
      <c r="L10007">
        <v>0</v>
      </c>
      <c r="M10007">
        <v>0</v>
      </c>
      <c r="N10007">
        <v>0</v>
      </c>
    </row>
    <row r="10008" spans="1:15">
      <c r="A10008" t="s">
        <v>37445</v>
      </c>
      <c r="B10008" t="s">
        <v>2975</v>
      </c>
      <c r="C10008" t="s">
        <v>23424</v>
      </c>
      <c r="D10008" t="s">
        <v>37446</v>
      </c>
      <c r="E10008" t="b">
        <v>0</v>
      </c>
      <c r="F10008" t="s">
        <v>11624</v>
      </c>
      <c r="G10008">
        <v>0.92315999999999998</v>
      </c>
      <c r="H10008">
        <v>-75.347499999999997</v>
      </c>
      <c r="I10008" t="s">
        <v>37447</v>
      </c>
      <c r="L10008">
        <v>0</v>
      </c>
      <c r="M10008">
        <v>0</v>
      </c>
      <c r="N10008">
        <v>0</v>
      </c>
      <c r="O10008" t="s">
        <v>11898</v>
      </c>
    </row>
    <row r="10009" spans="1:15">
      <c r="A10009" t="s">
        <v>22388</v>
      </c>
      <c r="D10009" t="s">
        <v>37448</v>
      </c>
      <c r="E10009" t="b">
        <v>0</v>
      </c>
      <c r="F10009" t="s">
        <v>11622</v>
      </c>
      <c r="L10009">
        <v>0</v>
      </c>
      <c r="M10009">
        <v>2</v>
      </c>
      <c r="N10009">
        <v>8</v>
      </c>
    </row>
    <row r="10010" spans="1:15">
      <c r="A10010" t="s">
        <v>37449</v>
      </c>
      <c r="B10010" t="s">
        <v>11637</v>
      </c>
      <c r="C10010" t="s">
        <v>24846</v>
      </c>
      <c r="D10010" t="s">
        <v>37450</v>
      </c>
      <c r="E10010" t="b">
        <v>0</v>
      </c>
      <c r="F10010" t="s">
        <v>11610</v>
      </c>
      <c r="L10010">
        <v>0</v>
      </c>
      <c r="M10010">
        <v>0</v>
      </c>
      <c r="N10010">
        <v>0</v>
      </c>
    </row>
    <row r="10011" spans="1:15">
      <c r="A10011" t="s">
        <v>37451</v>
      </c>
      <c r="B10011" t="s">
        <v>6742</v>
      </c>
      <c r="C10011" t="s">
        <v>30048</v>
      </c>
      <c r="D10011" t="s">
        <v>37452</v>
      </c>
      <c r="E10011" t="b">
        <v>0</v>
      </c>
      <c r="F10011" t="s">
        <v>11610</v>
      </c>
      <c r="L10011">
        <v>0</v>
      </c>
      <c r="M10011">
        <v>0</v>
      </c>
      <c r="N10011">
        <v>0</v>
      </c>
    </row>
    <row r="10012" spans="1:15">
      <c r="A10012" t="s">
        <v>37453</v>
      </c>
      <c r="B10012" t="s">
        <v>6742</v>
      </c>
      <c r="C10012" t="s">
        <v>37454</v>
      </c>
      <c r="D10012" t="s">
        <v>37455</v>
      </c>
      <c r="E10012" t="b">
        <v>0</v>
      </c>
      <c r="F10012" t="s">
        <v>11622</v>
      </c>
      <c r="L10012">
        <v>1</v>
      </c>
      <c r="M10012">
        <v>3</v>
      </c>
      <c r="N10012">
        <v>6</v>
      </c>
    </row>
    <row r="10013" spans="1:15">
      <c r="A10013" t="s">
        <v>37456</v>
      </c>
      <c r="B10013" t="s">
        <v>11757</v>
      </c>
      <c r="C10013" t="s">
        <v>37457</v>
      </c>
      <c r="D10013" t="s">
        <v>37458</v>
      </c>
      <c r="E10013" t="b">
        <v>0</v>
      </c>
      <c r="F10013" t="s">
        <v>11610</v>
      </c>
      <c r="L10013">
        <v>0</v>
      </c>
      <c r="M10013">
        <v>0</v>
      </c>
      <c r="N10013">
        <v>0</v>
      </c>
    </row>
    <row r="10014" spans="1:15">
      <c r="A10014" t="s">
        <v>37459</v>
      </c>
      <c r="B10014" t="s">
        <v>367</v>
      </c>
      <c r="C10014" t="s">
        <v>14563</v>
      </c>
      <c r="D10014" t="s">
        <v>37460</v>
      </c>
      <c r="E10014" t="b">
        <v>0</v>
      </c>
      <c r="F10014" t="s">
        <v>11610</v>
      </c>
      <c r="L10014">
        <v>0</v>
      </c>
      <c r="M10014">
        <v>0</v>
      </c>
      <c r="N10014">
        <v>0</v>
      </c>
    </row>
    <row r="10015" spans="1:15">
      <c r="A10015" t="s">
        <v>37461</v>
      </c>
      <c r="B10015" t="s">
        <v>367</v>
      </c>
      <c r="C10015" t="s">
        <v>14563</v>
      </c>
      <c r="D10015" t="s">
        <v>37462</v>
      </c>
      <c r="E10015" t="b">
        <v>0</v>
      </c>
      <c r="F10015" t="s">
        <v>11610</v>
      </c>
      <c r="L10015">
        <v>0</v>
      </c>
      <c r="M10015">
        <v>0</v>
      </c>
      <c r="N10015">
        <v>0</v>
      </c>
    </row>
    <row r="10016" spans="1:15">
      <c r="A10016" t="s">
        <v>37463</v>
      </c>
      <c r="B10016" t="s">
        <v>13518</v>
      </c>
      <c r="C10016" t="s">
        <v>25322</v>
      </c>
      <c r="D10016" t="s">
        <v>37464</v>
      </c>
      <c r="E10016" t="b">
        <v>0</v>
      </c>
      <c r="F10016" t="s">
        <v>11610</v>
      </c>
      <c r="L10016">
        <v>0</v>
      </c>
      <c r="M10016">
        <v>0</v>
      </c>
      <c r="N10016">
        <v>0</v>
      </c>
    </row>
    <row r="10017" spans="1:15">
      <c r="A10017" t="s">
        <v>2251</v>
      </c>
      <c r="B10017" t="s">
        <v>12438</v>
      </c>
      <c r="C10017" t="s">
        <v>36217</v>
      </c>
      <c r="D10017" t="s">
        <v>2250</v>
      </c>
      <c r="E10017" t="b">
        <v>0</v>
      </c>
      <c r="F10017" t="s">
        <v>11624</v>
      </c>
      <c r="G10017">
        <v>21.835799999999999</v>
      </c>
      <c r="H10017">
        <v>77.554100000000005</v>
      </c>
      <c r="I10017" t="s">
        <v>37465</v>
      </c>
      <c r="L10017">
        <v>0</v>
      </c>
      <c r="M10017">
        <v>0</v>
      </c>
      <c r="N10017">
        <v>4</v>
      </c>
      <c r="O10017" t="s">
        <v>11630</v>
      </c>
    </row>
    <row r="10018" spans="1:15">
      <c r="A10018" t="s">
        <v>37466</v>
      </c>
      <c r="B10018" t="s">
        <v>11637</v>
      </c>
      <c r="C10018" t="s">
        <v>23974</v>
      </c>
      <c r="D10018" t="s">
        <v>37467</v>
      </c>
      <c r="E10018" t="b">
        <v>0</v>
      </c>
      <c r="F10018" t="s">
        <v>11624</v>
      </c>
      <c r="G10018">
        <v>19.034800000000001</v>
      </c>
      <c r="H10018">
        <v>73.009900000000002</v>
      </c>
      <c r="I10018" t="s">
        <v>37468</v>
      </c>
      <c r="L10018">
        <v>0</v>
      </c>
      <c r="M10018">
        <v>0</v>
      </c>
      <c r="N10018">
        <v>0</v>
      </c>
      <c r="O10018" t="s">
        <v>11630</v>
      </c>
    </row>
    <row r="10019" spans="1:15">
      <c r="A10019" t="s">
        <v>37469</v>
      </c>
      <c r="B10019" t="s">
        <v>11637</v>
      </c>
      <c r="C10019" t="s">
        <v>7902</v>
      </c>
      <c r="D10019" t="s">
        <v>37470</v>
      </c>
      <c r="E10019" t="b">
        <v>0</v>
      </c>
      <c r="F10019" t="s">
        <v>11624</v>
      </c>
      <c r="G10019">
        <v>29.440999999999999</v>
      </c>
      <c r="H10019">
        <v>53.008000000000003</v>
      </c>
      <c r="I10019" t="s">
        <v>37471</v>
      </c>
      <c r="L10019">
        <v>0</v>
      </c>
      <c r="M10019">
        <v>0</v>
      </c>
      <c r="N10019">
        <v>0</v>
      </c>
      <c r="O10019" t="s">
        <v>13225</v>
      </c>
    </row>
    <row r="10020" spans="1:15">
      <c r="A10020" t="s">
        <v>26055</v>
      </c>
      <c r="B10020" t="s">
        <v>6742</v>
      </c>
      <c r="C10020" t="s">
        <v>20729</v>
      </c>
      <c r="D10020" t="s">
        <v>37472</v>
      </c>
      <c r="E10020" t="b">
        <v>0</v>
      </c>
      <c r="F10020" t="s">
        <v>11624</v>
      </c>
      <c r="G10020">
        <v>14.045999999999999</v>
      </c>
      <c r="H10020">
        <v>-1.96187</v>
      </c>
      <c r="I10020" t="s">
        <v>37473</v>
      </c>
      <c r="L10020">
        <v>0</v>
      </c>
      <c r="M10020">
        <v>0</v>
      </c>
      <c r="N10020">
        <v>2</v>
      </c>
      <c r="O10020" t="s">
        <v>19384</v>
      </c>
    </row>
    <row r="10021" spans="1:15">
      <c r="A10021" t="s">
        <v>14748</v>
      </c>
      <c r="B10021" t="s">
        <v>6742</v>
      </c>
      <c r="C10021" t="s">
        <v>30450</v>
      </c>
      <c r="D10021" t="s">
        <v>37474</v>
      </c>
      <c r="E10021" t="b">
        <v>0</v>
      </c>
      <c r="F10021" t="s">
        <v>11622</v>
      </c>
      <c r="L10021">
        <v>0</v>
      </c>
      <c r="M10021">
        <v>5</v>
      </c>
      <c r="N10021">
        <v>8</v>
      </c>
    </row>
    <row r="10022" spans="1:15">
      <c r="A10022" t="s">
        <v>37475</v>
      </c>
      <c r="B10022" t="s">
        <v>6742</v>
      </c>
      <c r="C10022" t="s">
        <v>17732</v>
      </c>
      <c r="D10022" t="s">
        <v>37476</v>
      </c>
      <c r="E10022" t="b">
        <v>0</v>
      </c>
      <c r="F10022" t="s">
        <v>11610</v>
      </c>
      <c r="L10022">
        <v>0</v>
      </c>
      <c r="M10022">
        <v>0</v>
      </c>
      <c r="N10022">
        <v>0</v>
      </c>
    </row>
    <row r="10023" spans="1:15">
      <c r="A10023" t="s">
        <v>37477</v>
      </c>
      <c r="B10023" t="s">
        <v>6742</v>
      </c>
      <c r="C10023" t="s">
        <v>17732</v>
      </c>
      <c r="D10023" t="s">
        <v>37478</v>
      </c>
      <c r="E10023" t="b">
        <v>0</v>
      </c>
      <c r="F10023" t="s">
        <v>11610</v>
      </c>
      <c r="L10023">
        <v>0</v>
      </c>
      <c r="M10023">
        <v>0</v>
      </c>
      <c r="N10023">
        <v>0</v>
      </c>
    </row>
    <row r="10024" spans="1:15">
      <c r="A10024" t="s">
        <v>37479</v>
      </c>
      <c r="B10024" t="s">
        <v>6742</v>
      </c>
      <c r="C10024" t="s">
        <v>36601</v>
      </c>
      <c r="D10024" t="s">
        <v>37480</v>
      </c>
      <c r="E10024" t="b">
        <v>0</v>
      </c>
      <c r="F10024" t="s">
        <v>11624</v>
      </c>
      <c r="G10024">
        <v>5.1620600000000003</v>
      </c>
      <c r="H10024">
        <v>8.8085900000000006</v>
      </c>
      <c r="I10024" t="s">
        <v>37481</v>
      </c>
      <c r="L10024">
        <v>0</v>
      </c>
      <c r="M10024">
        <v>0</v>
      </c>
      <c r="N10024">
        <v>0</v>
      </c>
      <c r="O10024" t="s">
        <v>11802</v>
      </c>
    </row>
    <row r="10025" spans="1:15">
      <c r="A10025" t="s">
        <v>37482</v>
      </c>
      <c r="B10025" t="s">
        <v>13276</v>
      </c>
      <c r="C10025" t="s">
        <v>24330</v>
      </c>
      <c r="D10025" t="s">
        <v>37483</v>
      </c>
      <c r="E10025" t="b">
        <v>0</v>
      </c>
      <c r="F10025" t="s">
        <v>11610</v>
      </c>
      <c r="L10025">
        <v>0</v>
      </c>
      <c r="M10025">
        <v>0</v>
      </c>
      <c r="N10025">
        <v>0</v>
      </c>
    </row>
    <row r="10026" spans="1:15">
      <c r="A10026" t="s">
        <v>37484</v>
      </c>
      <c r="B10026" t="s">
        <v>13276</v>
      </c>
      <c r="C10026" t="s">
        <v>37485</v>
      </c>
      <c r="D10026" t="s">
        <v>37486</v>
      </c>
      <c r="E10026" t="b">
        <v>0</v>
      </c>
      <c r="F10026" t="s">
        <v>11624</v>
      </c>
      <c r="G10026">
        <v>8.1196599999999997</v>
      </c>
      <c r="H10026">
        <v>-5.7357199999999997</v>
      </c>
      <c r="I10026" t="s">
        <v>37487</v>
      </c>
      <c r="L10026">
        <v>0</v>
      </c>
      <c r="M10026">
        <v>0</v>
      </c>
      <c r="N10026">
        <v>0</v>
      </c>
      <c r="O10026" t="s">
        <v>11735</v>
      </c>
    </row>
    <row r="10027" spans="1:15">
      <c r="A10027" t="s">
        <v>37488</v>
      </c>
      <c r="B10027" t="s">
        <v>13276</v>
      </c>
      <c r="C10027" t="s">
        <v>16919</v>
      </c>
      <c r="D10027" t="s">
        <v>37489</v>
      </c>
      <c r="E10027" t="b">
        <v>0</v>
      </c>
      <c r="F10027" t="s">
        <v>11610</v>
      </c>
      <c r="L10027">
        <v>0</v>
      </c>
      <c r="M10027">
        <v>0</v>
      </c>
      <c r="N10027">
        <v>0</v>
      </c>
    </row>
    <row r="10028" spans="1:15">
      <c r="A10028" t="s">
        <v>37490</v>
      </c>
      <c r="B10028" t="s">
        <v>367</v>
      </c>
      <c r="C10028" t="s">
        <v>37491</v>
      </c>
      <c r="D10028" t="s">
        <v>37492</v>
      </c>
      <c r="E10028" t="b">
        <v>0</v>
      </c>
      <c r="F10028" t="s">
        <v>11624</v>
      </c>
      <c r="G10028">
        <v>-14.2943</v>
      </c>
      <c r="H10028">
        <v>167.46700000000001</v>
      </c>
      <c r="I10028" t="s">
        <v>37493</v>
      </c>
      <c r="L10028">
        <v>0</v>
      </c>
      <c r="M10028">
        <v>0</v>
      </c>
      <c r="N10028">
        <v>2</v>
      </c>
      <c r="O10028" t="s">
        <v>12719</v>
      </c>
    </row>
    <row r="10029" spans="1:15">
      <c r="A10029" t="s">
        <v>37494</v>
      </c>
      <c r="B10029" t="s">
        <v>367</v>
      </c>
      <c r="C10029" t="s">
        <v>19785</v>
      </c>
      <c r="D10029" t="s">
        <v>37495</v>
      </c>
      <c r="E10029" t="b">
        <v>0</v>
      </c>
      <c r="F10029" t="s">
        <v>11624</v>
      </c>
      <c r="G10029">
        <v>-2.0342899999999999</v>
      </c>
      <c r="H10029">
        <v>147.143</v>
      </c>
      <c r="I10029" t="s">
        <v>37496</v>
      </c>
      <c r="L10029">
        <v>0</v>
      </c>
      <c r="M10029">
        <v>0</v>
      </c>
      <c r="N10029">
        <v>0</v>
      </c>
      <c r="O10029" t="s">
        <v>11660</v>
      </c>
    </row>
    <row r="10030" spans="1:15">
      <c r="A10030" t="s">
        <v>37497</v>
      </c>
      <c r="B10030" t="s">
        <v>367</v>
      </c>
      <c r="C10030" t="s">
        <v>18940</v>
      </c>
      <c r="D10030" t="s">
        <v>37498</v>
      </c>
      <c r="E10030" t="b">
        <v>0</v>
      </c>
      <c r="F10030" t="s">
        <v>11624</v>
      </c>
      <c r="G10030">
        <v>6.2052899999999998</v>
      </c>
      <c r="H10030">
        <v>125.00700000000001</v>
      </c>
      <c r="I10030" t="s">
        <v>37499</v>
      </c>
      <c r="L10030">
        <v>0</v>
      </c>
      <c r="M10030">
        <v>0</v>
      </c>
      <c r="N10030">
        <v>0</v>
      </c>
      <c r="O10030" t="s">
        <v>11749</v>
      </c>
    </row>
    <row r="10031" spans="1:15">
      <c r="A10031" t="s">
        <v>37500</v>
      </c>
      <c r="B10031" t="s">
        <v>367</v>
      </c>
      <c r="C10031" t="s">
        <v>15954</v>
      </c>
      <c r="D10031" t="s">
        <v>37501</v>
      </c>
      <c r="E10031" t="b">
        <v>0</v>
      </c>
      <c r="F10031" t="s">
        <v>11624</v>
      </c>
      <c r="G10031">
        <v>-2.6366999999999998</v>
      </c>
      <c r="H10031">
        <v>121.977</v>
      </c>
      <c r="I10031" t="s">
        <v>37502</v>
      </c>
      <c r="L10031">
        <v>0</v>
      </c>
      <c r="M10031">
        <v>0</v>
      </c>
      <c r="N10031">
        <v>0</v>
      </c>
      <c r="O10031" t="s">
        <v>11768</v>
      </c>
    </row>
    <row r="10032" spans="1:15">
      <c r="A10032" t="s">
        <v>37503</v>
      </c>
      <c r="B10032" t="s">
        <v>11615</v>
      </c>
      <c r="C10032" t="s">
        <v>17679</v>
      </c>
      <c r="D10032" t="s">
        <v>37504</v>
      </c>
      <c r="E10032" t="b">
        <v>0</v>
      </c>
      <c r="F10032" t="s">
        <v>11624</v>
      </c>
      <c r="G10032">
        <v>-5.26952</v>
      </c>
      <c r="H10032">
        <v>140.047</v>
      </c>
      <c r="I10032" t="s">
        <v>37505</v>
      </c>
      <c r="L10032">
        <v>0</v>
      </c>
      <c r="M10032">
        <v>0</v>
      </c>
      <c r="N10032">
        <v>0</v>
      </c>
      <c r="O10032" t="s">
        <v>11768</v>
      </c>
    </row>
    <row r="10033" spans="1:15">
      <c r="A10033" t="s">
        <v>36961</v>
      </c>
      <c r="B10033" t="s">
        <v>16042</v>
      </c>
      <c r="C10033" t="s">
        <v>23720</v>
      </c>
      <c r="D10033" t="s">
        <v>37506</v>
      </c>
      <c r="E10033" t="b">
        <v>0</v>
      </c>
      <c r="F10033" t="s">
        <v>11624</v>
      </c>
      <c r="G10033">
        <v>-6.3939899999999996</v>
      </c>
      <c r="H10033">
        <v>155.74199999999999</v>
      </c>
      <c r="I10033" t="s">
        <v>37507</v>
      </c>
      <c r="L10033">
        <v>0</v>
      </c>
      <c r="M10033">
        <v>0</v>
      </c>
      <c r="N10033">
        <v>2</v>
      </c>
      <c r="O10033" t="s">
        <v>11660</v>
      </c>
    </row>
    <row r="10034" spans="1:15">
      <c r="A10034" t="s">
        <v>19786</v>
      </c>
      <c r="B10034" t="s">
        <v>367</v>
      </c>
      <c r="C10034" t="s">
        <v>13758</v>
      </c>
      <c r="D10034" t="s">
        <v>37508</v>
      </c>
      <c r="E10034" t="b">
        <v>0</v>
      </c>
      <c r="F10034" t="s">
        <v>11622</v>
      </c>
      <c r="L10034">
        <v>1</v>
      </c>
      <c r="M10034">
        <v>5</v>
      </c>
      <c r="N10034">
        <v>2</v>
      </c>
    </row>
    <row r="10035" spans="1:15">
      <c r="A10035" t="s">
        <v>37485</v>
      </c>
      <c r="B10035" t="s">
        <v>13276</v>
      </c>
      <c r="C10035" t="s">
        <v>37509</v>
      </c>
      <c r="D10035" t="s">
        <v>37510</v>
      </c>
      <c r="E10035" t="b">
        <v>0</v>
      </c>
      <c r="F10035" t="s">
        <v>11622</v>
      </c>
      <c r="L10035">
        <v>0</v>
      </c>
      <c r="M10035">
        <v>2</v>
      </c>
      <c r="N10035">
        <v>4</v>
      </c>
    </row>
    <row r="10036" spans="1:15">
      <c r="A10036" t="s">
        <v>37511</v>
      </c>
      <c r="B10036" t="s">
        <v>11644</v>
      </c>
      <c r="C10036" t="s">
        <v>37512</v>
      </c>
      <c r="D10036" t="s">
        <v>37513</v>
      </c>
      <c r="E10036" t="b">
        <v>0</v>
      </c>
      <c r="F10036" t="s">
        <v>11624</v>
      </c>
      <c r="G10036">
        <v>27.214804000000001</v>
      </c>
      <c r="H10036">
        <v>92.633010999999996</v>
      </c>
      <c r="I10036" t="s">
        <v>37514</v>
      </c>
      <c r="L10036">
        <v>0</v>
      </c>
      <c r="M10036">
        <v>0</v>
      </c>
      <c r="N10036">
        <v>0</v>
      </c>
      <c r="O10036" t="s">
        <v>11630</v>
      </c>
    </row>
    <row r="10037" spans="1:15">
      <c r="A10037" t="s">
        <v>37512</v>
      </c>
      <c r="B10037" t="s">
        <v>11644</v>
      </c>
      <c r="C10037" t="s">
        <v>37515</v>
      </c>
      <c r="D10037" t="s">
        <v>37516</v>
      </c>
      <c r="E10037" t="b">
        <v>0</v>
      </c>
      <c r="F10037" t="s">
        <v>11622</v>
      </c>
      <c r="L10037">
        <v>0</v>
      </c>
      <c r="M10037">
        <v>2</v>
      </c>
      <c r="N10037">
        <v>0</v>
      </c>
    </row>
    <row r="10038" spans="1:15">
      <c r="A10038" t="s">
        <v>37517</v>
      </c>
      <c r="B10038" t="s">
        <v>367</v>
      </c>
      <c r="C10038" t="s">
        <v>37490</v>
      </c>
      <c r="D10038" t="s">
        <v>37518</v>
      </c>
      <c r="E10038" t="b">
        <v>0</v>
      </c>
      <c r="F10038" t="s">
        <v>11610</v>
      </c>
      <c r="L10038">
        <v>0</v>
      </c>
      <c r="M10038">
        <v>0</v>
      </c>
      <c r="N10038">
        <v>0</v>
      </c>
    </row>
    <row r="10039" spans="1:15">
      <c r="A10039" t="s">
        <v>37519</v>
      </c>
      <c r="B10039" t="s">
        <v>14005</v>
      </c>
      <c r="C10039" t="s">
        <v>16250</v>
      </c>
      <c r="D10039" t="s">
        <v>37520</v>
      </c>
      <c r="E10039" t="b">
        <v>0</v>
      </c>
      <c r="F10039" t="s">
        <v>11610</v>
      </c>
      <c r="L10039">
        <v>0</v>
      </c>
      <c r="M10039">
        <v>0</v>
      </c>
      <c r="N10039">
        <v>0</v>
      </c>
    </row>
    <row r="10040" spans="1:15">
      <c r="A10040" t="s">
        <v>37521</v>
      </c>
      <c r="B10040" t="s">
        <v>14005</v>
      </c>
      <c r="C10040" t="s">
        <v>16250</v>
      </c>
      <c r="D10040" t="s">
        <v>37522</v>
      </c>
      <c r="E10040" t="b">
        <v>0</v>
      </c>
      <c r="F10040" t="s">
        <v>11610</v>
      </c>
      <c r="L10040">
        <v>0</v>
      </c>
      <c r="M10040">
        <v>0</v>
      </c>
      <c r="N10040">
        <v>0</v>
      </c>
    </row>
    <row r="10041" spans="1:15">
      <c r="A10041" t="s">
        <v>37523</v>
      </c>
      <c r="B10041" t="s">
        <v>6742</v>
      </c>
      <c r="C10041" t="s">
        <v>37524</v>
      </c>
      <c r="D10041" t="s">
        <v>37525</v>
      </c>
      <c r="E10041" t="b">
        <v>0</v>
      </c>
      <c r="F10041" t="s">
        <v>11610</v>
      </c>
      <c r="L10041">
        <v>0</v>
      </c>
      <c r="M10041">
        <v>0</v>
      </c>
      <c r="N10041">
        <v>0</v>
      </c>
    </row>
    <row r="10042" spans="1:15">
      <c r="A10042" t="s">
        <v>13709</v>
      </c>
      <c r="B10042" t="s">
        <v>11844</v>
      </c>
      <c r="C10042" t="s">
        <v>37402</v>
      </c>
      <c r="D10042" t="s">
        <v>37526</v>
      </c>
      <c r="E10042" t="b">
        <v>0</v>
      </c>
      <c r="F10042" t="s">
        <v>11624</v>
      </c>
      <c r="G10042">
        <v>12.9163</v>
      </c>
      <c r="H10042">
        <v>75.2</v>
      </c>
      <c r="I10042" t="s">
        <v>37527</v>
      </c>
      <c r="L10042">
        <v>0</v>
      </c>
      <c r="M10042">
        <v>0</v>
      </c>
      <c r="N10042">
        <v>4</v>
      </c>
      <c r="O10042" t="s">
        <v>11630</v>
      </c>
    </row>
    <row r="10043" spans="1:15">
      <c r="A10043" t="s">
        <v>37528</v>
      </c>
      <c r="B10043" t="s">
        <v>11894</v>
      </c>
      <c r="C10043" t="s">
        <v>23655</v>
      </c>
      <c r="D10043" t="s">
        <v>37529</v>
      </c>
      <c r="E10043" t="b">
        <v>0</v>
      </c>
      <c r="F10043" t="s">
        <v>11610</v>
      </c>
      <c r="L10043">
        <v>0</v>
      </c>
      <c r="M10043">
        <v>0</v>
      </c>
      <c r="N10043">
        <v>0</v>
      </c>
    </row>
    <row r="10044" spans="1:15">
      <c r="A10044" t="s">
        <v>23828</v>
      </c>
      <c r="B10044" t="s">
        <v>11615</v>
      </c>
      <c r="C10044" t="s">
        <v>37426</v>
      </c>
      <c r="D10044" t="s">
        <v>37530</v>
      </c>
      <c r="E10044" t="b">
        <v>0</v>
      </c>
      <c r="F10044" t="s">
        <v>11624</v>
      </c>
      <c r="G10044">
        <v>-4.5349700000000004</v>
      </c>
      <c r="H10044">
        <v>139.678</v>
      </c>
      <c r="I10044" t="s">
        <v>37531</v>
      </c>
      <c r="L10044">
        <v>0</v>
      </c>
      <c r="M10044">
        <v>0</v>
      </c>
      <c r="N10044">
        <v>5</v>
      </c>
      <c r="O10044" t="s">
        <v>11768</v>
      </c>
    </row>
    <row r="10045" spans="1:15">
      <c r="A10045" t="s">
        <v>37532</v>
      </c>
      <c r="B10045" t="s">
        <v>11615</v>
      </c>
      <c r="C10045" t="s">
        <v>23828</v>
      </c>
      <c r="D10045" t="s">
        <v>37533</v>
      </c>
      <c r="E10045" t="b">
        <v>0</v>
      </c>
      <c r="F10045" t="s">
        <v>11610</v>
      </c>
      <c r="L10045">
        <v>0</v>
      </c>
      <c r="M10045">
        <v>0</v>
      </c>
      <c r="N10045">
        <v>0</v>
      </c>
    </row>
    <row r="10046" spans="1:15">
      <c r="A10046" t="s">
        <v>37534</v>
      </c>
      <c r="B10046" t="s">
        <v>13244</v>
      </c>
      <c r="C10046" t="s">
        <v>24476</v>
      </c>
      <c r="D10046" t="s">
        <v>37535</v>
      </c>
      <c r="E10046" t="b">
        <v>0</v>
      </c>
      <c r="F10046" t="s">
        <v>11624</v>
      </c>
      <c r="G10046">
        <v>-5.3654999999999999</v>
      </c>
      <c r="H10046">
        <v>-70.509399999999999</v>
      </c>
      <c r="I10046" t="s">
        <v>37536</v>
      </c>
      <c r="L10046">
        <v>0</v>
      </c>
      <c r="M10046">
        <v>0</v>
      </c>
      <c r="N10046">
        <v>0</v>
      </c>
      <c r="O10046" t="s">
        <v>11969</v>
      </c>
    </row>
    <row r="10047" spans="1:15">
      <c r="A10047" t="s">
        <v>37537</v>
      </c>
      <c r="B10047" t="s">
        <v>12438</v>
      </c>
      <c r="C10047" t="s">
        <v>36873</v>
      </c>
      <c r="D10047" t="s">
        <v>37538</v>
      </c>
      <c r="E10047" t="b">
        <v>0</v>
      </c>
      <c r="F10047" t="s">
        <v>11624</v>
      </c>
      <c r="G10047">
        <v>23.4102</v>
      </c>
      <c r="H10047">
        <v>83.8142</v>
      </c>
      <c r="I10047" t="s">
        <v>37539</v>
      </c>
      <c r="L10047">
        <v>0</v>
      </c>
      <c r="M10047">
        <v>0</v>
      </c>
      <c r="N10047">
        <v>1</v>
      </c>
      <c r="O10047" t="s">
        <v>11630</v>
      </c>
    </row>
    <row r="10048" spans="1:15">
      <c r="A10048" t="s">
        <v>2047</v>
      </c>
      <c r="B10048" t="s">
        <v>13210</v>
      </c>
      <c r="C10048" t="s">
        <v>13211</v>
      </c>
      <c r="D10048" t="s">
        <v>37540</v>
      </c>
      <c r="E10048" t="b">
        <v>0</v>
      </c>
      <c r="F10048" t="s">
        <v>11624</v>
      </c>
      <c r="G10048">
        <v>63.8977</v>
      </c>
      <c r="H10048">
        <v>166.69499999999999</v>
      </c>
      <c r="I10048" t="s">
        <v>2048</v>
      </c>
      <c r="L10048">
        <v>0</v>
      </c>
      <c r="M10048">
        <v>0</v>
      </c>
      <c r="N10048">
        <v>5</v>
      </c>
      <c r="O10048" t="s">
        <v>12748</v>
      </c>
    </row>
    <row r="10049" spans="1:15">
      <c r="A10049" t="s">
        <v>13211</v>
      </c>
      <c r="B10049" t="s">
        <v>13210</v>
      </c>
      <c r="C10049" t="s">
        <v>2035</v>
      </c>
      <c r="D10049" t="s">
        <v>37541</v>
      </c>
      <c r="E10049" t="b">
        <v>0</v>
      </c>
      <c r="F10049" t="s">
        <v>11622</v>
      </c>
      <c r="L10049">
        <v>0</v>
      </c>
      <c r="M10049">
        <v>3</v>
      </c>
      <c r="N10049">
        <v>12</v>
      </c>
    </row>
    <row r="10050" spans="1:15">
      <c r="A10050" t="s">
        <v>37542</v>
      </c>
      <c r="B10050" t="s">
        <v>6742</v>
      </c>
      <c r="C10050" t="s">
        <v>581</v>
      </c>
      <c r="D10050" t="s">
        <v>37543</v>
      </c>
      <c r="E10050" t="b">
        <v>0</v>
      </c>
      <c r="F10050" t="s">
        <v>11610</v>
      </c>
      <c r="L10050">
        <v>0</v>
      </c>
      <c r="M10050">
        <v>0</v>
      </c>
      <c r="N10050">
        <v>0</v>
      </c>
    </row>
    <row r="10051" spans="1:15">
      <c r="A10051" t="s">
        <v>29271</v>
      </c>
      <c r="B10051" t="s">
        <v>11615</v>
      </c>
      <c r="C10051" t="s">
        <v>37426</v>
      </c>
      <c r="D10051" t="s">
        <v>37544</v>
      </c>
      <c r="E10051" t="b">
        <v>0</v>
      </c>
      <c r="F10051" t="s">
        <v>11624</v>
      </c>
      <c r="G10051">
        <v>-4.0660299999999996</v>
      </c>
      <c r="H10051">
        <v>139.64500000000001</v>
      </c>
      <c r="I10051" t="s">
        <v>37545</v>
      </c>
      <c r="L10051">
        <v>0</v>
      </c>
      <c r="M10051">
        <v>0</v>
      </c>
      <c r="N10051">
        <v>3</v>
      </c>
      <c r="O10051" t="s">
        <v>11768</v>
      </c>
    </row>
    <row r="10052" spans="1:15">
      <c r="A10052" t="s">
        <v>37546</v>
      </c>
      <c r="B10052" t="s">
        <v>11615</v>
      </c>
      <c r="C10052" t="s">
        <v>29271</v>
      </c>
      <c r="D10052" t="s">
        <v>37547</v>
      </c>
      <c r="E10052" t="b">
        <v>0</v>
      </c>
      <c r="F10052" t="s">
        <v>11610</v>
      </c>
      <c r="L10052">
        <v>0</v>
      </c>
      <c r="M10052">
        <v>0</v>
      </c>
      <c r="N10052">
        <v>0</v>
      </c>
    </row>
    <row r="10053" spans="1:15">
      <c r="A10053" t="s">
        <v>37548</v>
      </c>
      <c r="D10053" t="s">
        <v>37549</v>
      </c>
      <c r="E10053" t="b">
        <v>0</v>
      </c>
      <c r="F10053" t="s">
        <v>11624</v>
      </c>
      <c r="G10053">
        <v>-3.78748</v>
      </c>
      <c r="H10053">
        <v>140.197</v>
      </c>
      <c r="I10053" t="s">
        <v>37550</v>
      </c>
      <c r="L10053">
        <v>0</v>
      </c>
      <c r="M10053">
        <v>0</v>
      </c>
      <c r="N10053">
        <v>0</v>
      </c>
      <c r="O10053" t="s">
        <v>11768</v>
      </c>
    </row>
    <row r="10054" spans="1:15">
      <c r="A10054" t="s">
        <v>37551</v>
      </c>
      <c r="B10054" t="s">
        <v>11627</v>
      </c>
      <c r="C10054" t="s">
        <v>11627</v>
      </c>
      <c r="D10054" t="s">
        <v>37552</v>
      </c>
      <c r="E10054" t="b">
        <v>1</v>
      </c>
      <c r="F10054" t="s">
        <v>11624</v>
      </c>
      <c r="G10054">
        <v>-6.4641400000000004</v>
      </c>
      <c r="H10054">
        <v>145.66</v>
      </c>
      <c r="I10054" t="s">
        <v>37553</v>
      </c>
      <c r="L10054">
        <v>0</v>
      </c>
      <c r="M10054">
        <v>0</v>
      </c>
      <c r="N10054">
        <v>0</v>
      </c>
      <c r="O10054" t="s">
        <v>11660</v>
      </c>
    </row>
    <row r="10055" spans="1:15">
      <c r="A10055" t="s">
        <v>37554</v>
      </c>
      <c r="B10055" t="s">
        <v>11637</v>
      </c>
      <c r="C10055" t="s">
        <v>18327</v>
      </c>
      <c r="D10055" t="s">
        <v>37555</v>
      </c>
      <c r="E10055" t="b">
        <v>0</v>
      </c>
      <c r="F10055" t="s">
        <v>11610</v>
      </c>
      <c r="L10055">
        <v>0</v>
      </c>
      <c r="M10055">
        <v>0</v>
      </c>
      <c r="N10055">
        <v>0</v>
      </c>
    </row>
    <row r="10056" spans="1:15">
      <c r="A10056" t="s">
        <v>37556</v>
      </c>
      <c r="B10056" t="s">
        <v>12311</v>
      </c>
      <c r="C10056" t="s">
        <v>12310</v>
      </c>
      <c r="D10056" t="s">
        <v>37557</v>
      </c>
      <c r="E10056" t="b">
        <v>0</v>
      </c>
      <c r="F10056" t="s">
        <v>11610</v>
      </c>
      <c r="L10056">
        <v>0</v>
      </c>
      <c r="M10056">
        <v>0</v>
      </c>
      <c r="N10056">
        <v>0</v>
      </c>
    </row>
    <row r="10057" spans="1:15">
      <c r="A10057" t="s">
        <v>37558</v>
      </c>
      <c r="B10057" t="s">
        <v>6742</v>
      </c>
      <c r="C10057" t="s">
        <v>11700</v>
      </c>
      <c r="D10057" t="s">
        <v>37559</v>
      </c>
      <c r="E10057" t="b">
        <v>0</v>
      </c>
      <c r="F10057" t="s">
        <v>11624</v>
      </c>
      <c r="G10057">
        <v>6.5816999999999997</v>
      </c>
      <c r="H10057">
        <v>10.298999999999999</v>
      </c>
      <c r="I10057" t="s">
        <v>37560</v>
      </c>
      <c r="L10057">
        <v>0</v>
      </c>
      <c r="M10057">
        <v>0</v>
      </c>
      <c r="N10057">
        <v>0</v>
      </c>
      <c r="O10057" t="s">
        <v>11703</v>
      </c>
    </row>
    <row r="10058" spans="1:15">
      <c r="A10058" t="s">
        <v>37561</v>
      </c>
      <c r="B10058" t="s">
        <v>367</v>
      </c>
      <c r="C10058" t="s">
        <v>37562</v>
      </c>
      <c r="D10058" t="s">
        <v>37563</v>
      </c>
      <c r="E10058" t="b">
        <v>0</v>
      </c>
      <c r="F10058" t="s">
        <v>11610</v>
      </c>
      <c r="L10058">
        <v>0</v>
      </c>
      <c r="M10058">
        <v>0</v>
      </c>
      <c r="N10058">
        <v>0</v>
      </c>
    </row>
    <row r="10059" spans="1:15">
      <c r="A10059" t="s">
        <v>37564</v>
      </c>
      <c r="B10059" t="s">
        <v>6742</v>
      </c>
      <c r="C10059" t="s">
        <v>28613</v>
      </c>
      <c r="D10059" t="s">
        <v>37565</v>
      </c>
      <c r="E10059" t="b">
        <v>0</v>
      </c>
      <c r="F10059" t="s">
        <v>11610</v>
      </c>
      <c r="L10059">
        <v>0</v>
      </c>
      <c r="M10059">
        <v>0</v>
      </c>
      <c r="N10059">
        <v>0</v>
      </c>
    </row>
    <row r="10060" spans="1:15">
      <c r="A10060" t="s">
        <v>37566</v>
      </c>
      <c r="B10060" t="s">
        <v>11615</v>
      </c>
      <c r="C10060" t="s">
        <v>19633</v>
      </c>
      <c r="D10060" t="s">
        <v>37567</v>
      </c>
      <c r="E10060" t="b">
        <v>0</v>
      </c>
      <c r="F10060" t="s">
        <v>11610</v>
      </c>
      <c r="L10060">
        <v>0</v>
      </c>
      <c r="M10060">
        <v>0</v>
      </c>
      <c r="N10060">
        <v>0</v>
      </c>
    </row>
    <row r="10061" spans="1:15">
      <c r="A10061" t="s">
        <v>19634</v>
      </c>
      <c r="B10061" t="s">
        <v>11615</v>
      </c>
      <c r="C10061" t="s">
        <v>36559</v>
      </c>
      <c r="D10061" t="s">
        <v>37568</v>
      </c>
      <c r="E10061" t="b">
        <v>0</v>
      </c>
      <c r="F10061" t="s">
        <v>11622</v>
      </c>
      <c r="L10061">
        <v>0</v>
      </c>
      <c r="M10061">
        <v>2</v>
      </c>
      <c r="N10061">
        <v>4</v>
      </c>
    </row>
    <row r="10062" spans="1:15">
      <c r="A10062" t="s">
        <v>37569</v>
      </c>
      <c r="B10062" t="s">
        <v>11637</v>
      </c>
      <c r="C10062" t="s">
        <v>20403</v>
      </c>
      <c r="D10062" t="s">
        <v>37570</v>
      </c>
      <c r="E10062" t="b">
        <v>0</v>
      </c>
      <c r="F10062" t="s">
        <v>11610</v>
      </c>
      <c r="L10062">
        <v>0</v>
      </c>
      <c r="M10062">
        <v>0</v>
      </c>
      <c r="N10062">
        <v>0</v>
      </c>
    </row>
    <row r="10063" spans="1:15">
      <c r="A10063" t="s">
        <v>37571</v>
      </c>
      <c r="B10063" t="s">
        <v>367</v>
      </c>
      <c r="C10063" t="s">
        <v>21876</v>
      </c>
      <c r="D10063" t="s">
        <v>37572</v>
      </c>
      <c r="E10063" t="b">
        <v>0</v>
      </c>
      <c r="F10063" t="s">
        <v>11624</v>
      </c>
      <c r="G10063">
        <v>5.31</v>
      </c>
      <c r="H10063">
        <v>162.97999999999999</v>
      </c>
      <c r="I10063" t="s">
        <v>37573</v>
      </c>
      <c r="L10063">
        <v>0</v>
      </c>
      <c r="M10063">
        <v>0</v>
      </c>
      <c r="N10063">
        <v>2</v>
      </c>
      <c r="O10063" t="s">
        <v>22994</v>
      </c>
    </row>
    <row r="10064" spans="1:15">
      <c r="A10064" t="s">
        <v>37574</v>
      </c>
      <c r="B10064" t="s">
        <v>6742</v>
      </c>
      <c r="C10064" t="s">
        <v>11720</v>
      </c>
      <c r="D10064" t="s">
        <v>37575</v>
      </c>
      <c r="E10064" t="b">
        <v>0</v>
      </c>
      <c r="F10064" t="s">
        <v>11610</v>
      </c>
      <c r="L10064">
        <v>0</v>
      </c>
      <c r="M10064">
        <v>0</v>
      </c>
      <c r="N10064">
        <v>0</v>
      </c>
    </row>
    <row r="10065" spans="1:15">
      <c r="A10065" t="s">
        <v>37576</v>
      </c>
      <c r="B10065" t="s">
        <v>11637</v>
      </c>
      <c r="C10065" t="s">
        <v>293</v>
      </c>
      <c r="D10065" t="s">
        <v>37577</v>
      </c>
      <c r="E10065" t="b">
        <v>0</v>
      </c>
      <c r="F10065" t="s">
        <v>11610</v>
      </c>
      <c r="L10065">
        <v>0</v>
      </c>
      <c r="M10065">
        <v>0</v>
      </c>
      <c r="N10065">
        <v>0</v>
      </c>
    </row>
    <row r="10066" spans="1:15">
      <c r="A10066" t="s">
        <v>37578</v>
      </c>
      <c r="B10066" t="s">
        <v>11637</v>
      </c>
      <c r="C10066" t="s">
        <v>19820</v>
      </c>
      <c r="D10066" t="s">
        <v>37579</v>
      </c>
      <c r="E10066" t="b">
        <v>0</v>
      </c>
      <c r="F10066" t="s">
        <v>11610</v>
      </c>
      <c r="L10066">
        <v>0</v>
      </c>
      <c r="M10066">
        <v>0</v>
      </c>
      <c r="N10066">
        <v>0</v>
      </c>
    </row>
    <row r="10067" spans="1:15">
      <c r="A10067" t="s">
        <v>8933</v>
      </c>
      <c r="B10067" t="s">
        <v>11844</v>
      </c>
      <c r="C10067" t="s">
        <v>37580</v>
      </c>
      <c r="D10067" t="s">
        <v>37581</v>
      </c>
      <c r="E10067" t="b">
        <v>0</v>
      </c>
      <c r="F10067" t="s">
        <v>11624</v>
      </c>
      <c r="G10067">
        <v>11.4978</v>
      </c>
      <c r="H10067">
        <v>76.938699999999997</v>
      </c>
      <c r="I10067" t="s">
        <v>37582</v>
      </c>
      <c r="L10067">
        <v>0</v>
      </c>
      <c r="M10067">
        <v>0</v>
      </c>
      <c r="N10067">
        <v>1</v>
      </c>
      <c r="O10067" t="s">
        <v>11630</v>
      </c>
    </row>
    <row r="10068" spans="1:15">
      <c r="A10068" t="s">
        <v>37583</v>
      </c>
      <c r="B10068" t="s">
        <v>11637</v>
      </c>
      <c r="C10068" t="s">
        <v>1273</v>
      </c>
      <c r="D10068" t="s">
        <v>37584</v>
      </c>
      <c r="E10068" t="b">
        <v>0</v>
      </c>
      <c r="F10068" t="s">
        <v>11610</v>
      </c>
      <c r="L10068">
        <v>0</v>
      </c>
      <c r="M10068">
        <v>0</v>
      </c>
      <c r="N10068">
        <v>0</v>
      </c>
    </row>
    <row r="10069" spans="1:15">
      <c r="A10069" t="s">
        <v>37585</v>
      </c>
      <c r="B10069" t="s">
        <v>11637</v>
      </c>
      <c r="C10069" t="s">
        <v>24033</v>
      </c>
      <c r="D10069" t="s">
        <v>37586</v>
      </c>
      <c r="E10069" t="b">
        <v>0</v>
      </c>
      <c r="F10069" t="s">
        <v>11610</v>
      </c>
      <c r="L10069">
        <v>0</v>
      </c>
      <c r="M10069">
        <v>0</v>
      </c>
      <c r="N10069">
        <v>0</v>
      </c>
    </row>
    <row r="10070" spans="1:15">
      <c r="A10070" t="s">
        <v>37587</v>
      </c>
      <c r="B10070" t="s">
        <v>6742</v>
      </c>
      <c r="C10070" t="s">
        <v>15474</v>
      </c>
      <c r="D10070" t="s">
        <v>37588</v>
      </c>
      <c r="E10070" t="b">
        <v>0</v>
      </c>
      <c r="F10070" t="s">
        <v>11624</v>
      </c>
      <c r="G10070">
        <v>6.6402700000000001</v>
      </c>
      <c r="H10070">
        <v>1.72346</v>
      </c>
      <c r="I10070" t="s">
        <v>37589</v>
      </c>
      <c r="L10070">
        <v>0</v>
      </c>
      <c r="M10070">
        <v>0</v>
      </c>
      <c r="N10070">
        <v>0</v>
      </c>
      <c r="O10070" t="s">
        <v>12394</v>
      </c>
    </row>
    <row r="10071" spans="1:15">
      <c r="A10071" t="s">
        <v>37590</v>
      </c>
      <c r="B10071" t="s">
        <v>6742</v>
      </c>
      <c r="C10071" t="s">
        <v>134</v>
      </c>
      <c r="D10071" t="s">
        <v>37591</v>
      </c>
      <c r="E10071" t="b">
        <v>0</v>
      </c>
      <c r="F10071" t="s">
        <v>11610</v>
      </c>
      <c r="L10071">
        <v>0</v>
      </c>
      <c r="M10071">
        <v>0</v>
      </c>
      <c r="N10071">
        <v>0</v>
      </c>
    </row>
    <row r="10072" spans="1:15">
      <c r="A10072" t="s">
        <v>8932</v>
      </c>
      <c r="B10072" t="s">
        <v>6742</v>
      </c>
      <c r="C10072" t="s">
        <v>37592</v>
      </c>
      <c r="D10072" t="s">
        <v>37593</v>
      </c>
      <c r="E10072" t="b">
        <v>0</v>
      </c>
      <c r="F10072" t="s">
        <v>11624</v>
      </c>
      <c r="G10072">
        <v>1.016</v>
      </c>
      <c r="H10072">
        <v>13.97</v>
      </c>
      <c r="I10072" t="s">
        <v>8934</v>
      </c>
      <c r="L10072">
        <v>0</v>
      </c>
      <c r="M10072">
        <v>0</v>
      </c>
      <c r="N10072">
        <v>0</v>
      </c>
      <c r="O10072" t="s">
        <v>20784</v>
      </c>
    </row>
    <row r="10073" spans="1:15">
      <c r="A10073" t="s">
        <v>37594</v>
      </c>
      <c r="B10073" t="s">
        <v>367</v>
      </c>
      <c r="C10073" t="s">
        <v>16730</v>
      </c>
      <c r="D10073" t="s">
        <v>37595</v>
      </c>
      <c r="E10073" t="b">
        <v>0</v>
      </c>
      <c r="F10073" t="s">
        <v>11624</v>
      </c>
      <c r="G10073">
        <v>-0.27049000000000001</v>
      </c>
      <c r="H10073">
        <v>116.297</v>
      </c>
      <c r="I10073" t="s">
        <v>37596</v>
      </c>
      <c r="L10073">
        <v>0</v>
      </c>
      <c r="M10073">
        <v>0</v>
      </c>
      <c r="N10073">
        <v>0</v>
      </c>
      <c r="O10073" t="s">
        <v>11768</v>
      </c>
    </row>
    <row r="10074" spans="1:15">
      <c r="A10074" t="s">
        <v>37597</v>
      </c>
      <c r="B10074" t="s">
        <v>367</v>
      </c>
      <c r="C10074" t="s">
        <v>16690</v>
      </c>
      <c r="D10074" t="s">
        <v>37598</v>
      </c>
      <c r="E10074" t="b">
        <v>0</v>
      </c>
      <c r="F10074" t="s">
        <v>11610</v>
      </c>
      <c r="L10074">
        <v>0</v>
      </c>
      <c r="M10074">
        <v>0</v>
      </c>
      <c r="N10074">
        <v>0</v>
      </c>
    </row>
    <row r="10075" spans="1:15">
      <c r="A10075" t="s">
        <v>37599</v>
      </c>
      <c r="B10075" t="s">
        <v>367</v>
      </c>
      <c r="C10075" t="s">
        <v>33063</v>
      </c>
      <c r="D10075" t="s">
        <v>37600</v>
      </c>
      <c r="E10075" t="b">
        <v>0</v>
      </c>
      <c r="F10075" t="s">
        <v>11610</v>
      </c>
      <c r="L10075">
        <v>0</v>
      </c>
      <c r="M10075">
        <v>0</v>
      </c>
      <c r="N10075">
        <v>0</v>
      </c>
    </row>
    <row r="10076" spans="1:15">
      <c r="A10076" t="s">
        <v>37601</v>
      </c>
      <c r="B10076" t="s">
        <v>367</v>
      </c>
      <c r="C10076" t="s">
        <v>37602</v>
      </c>
      <c r="D10076" t="s">
        <v>37603</v>
      </c>
      <c r="E10076" t="b">
        <v>0</v>
      </c>
      <c r="F10076" t="s">
        <v>11624</v>
      </c>
      <c r="G10076">
        <v>6.3769999999999998</v>
      </c>
      <c r="H10076">
        <v>116.946</v>
      </c>
      <c r="I10076" t="s">
        <v>37604</v>
      </c>
      <c r="L10076">
        <v>0</v>
      </c>
      <c r="M10076">
        <v>0</v>
      </c>
      <c r="N10076">
        <v>0</v>
      </c>
      <c r="O10076" t="s">
        <v>11672</v>
      </c>
    </row>
    <row r="10077" spans="1:15">
      <c r="A10077" t="s">
        <v>37605</v>
      </c>
      <c r="B10077" t="s">
        <v>367</v>
      </c>
      <c r="C10077" t="s">
        <v>25633</v>
      </c>
      <c r="D10077" t="s">
        <v>37606</v>
      </c>
      <c r="E10077" t="b">
        <v>0</v>
      </c>
      <c r="F10077" t="s">
        <v>11624</v>
      </c>
      <c r="G10077">
        <v>6.4855400000000003</v>
      </c>
      <c r="H10077">
        <v>116.85299999999999</v>
      </c>
      <c r="I10077" t="s">
        <v>37607</v>
      </c>
      <c r="L10077">
        <v>0</v>
      </c>
      <c r="M10077">
        <v>0</v>
      </c>
      <c r="N10077">
        <v>0</v>
      </c>
      <c r="O10077" t="s">
        <v>11672</v>
      </c>
    </row>
    <row r="10078" spans="1:15">
      <c r="A10078" t="s">
        <v>37608</v>
      </c>
      <c r="B10078" t="s">
        <v>14629</v>
      </c>
      <c r="C10078" t="s">
        <v>14629</v>
      </c>
      <c r="D10078" t="s">
        <v>37609</v>
      </c>
      <c r="E10078" t="b">
        <v>0</v>
      </c>
      <c r="F10078" t="s">
        <v>11624</v>
      </c>
      <c r="I10078" t="s">
        <v>37610</v>
      </c>
      <c r="L10078">
        <v>0</v>
      </c>
      <c r="M10078">
        <v>0</v>
      </c>
      <c r="N10078">
        <v>0</v>
      </c>
      <c r="O10078" t="s">
        <v>11944</v>
      </c>
    </row>
    <row r="10079" spans="1:15">
      <c r="A10079" t="s">
        <v>37592</v>
      </c>
      <c r="B10079" t="s">
        <v>6742</v>
      </c>
      <c r="C10079" t="s">
        <v>29727</v>
      </c>
      <c r="D10079" t="s">
        <v>37611</v>
      </c>
      <c r="E10079" t="b">
        <v>0</v>
      </c>
      <c r="F10079" t="s">
        <v>11622</v>
      </c>
      <c r="L10079">
        <v>0</v>
      </c>
      <c r="M10079">
        <v>2</v>
      </c>
      <c r="N10079">
        <v>0</v>
      </c>
    </row>
    <row r="10080" spans="1:15">
      <c r="A10080" t="s">
        <v>26977</v>
      </c>
      <c r="B10080" t="s">
        <v>6742</v>
      </c>
      <c r="C10080" t="s">
        <v>23005</v>
      </c>
      <c r="D10080" t="s">
        <v>37612</v>
      </c>
      <c r="E10080" t="b">
        <v>0</v>
      </c>
      <c r="F10080" t="s">
        <v>11624</v>
      </c>
      <c r="G10080">
        <v>-16.482299999999999</v>
      </c>
      <c r="H10080">
        <v>39.760199999999998</v>
      </c>
      <c r="I10080" t="s">
        <v>37613</v>
      </c>
      <c r="L10080">
        <v>0</v>
      </c>
      <c r="M10080">
        <v>0</v>
      </c>
      <c r="N10080">
        <v>2</v>
      </c>
      <c r="O10080" t="s">
        <v>17188</v>
      </c>
    </row>
    <row r="10081" spans="1:15">
      <c r="A10081" t="s">
        <v>37614</v>
      </c>
      <c r="B10081" t="s">
        <v>11637</v>
      </c>
      <c r="C10081" t="s">
        <v>13378</v>
      </c>
      <c r="D10081" t="s">
        <v>37615</v>
      </c>
      <c r="E10081" t="b">
        <v>0</v>
      </c>
      <c r="F10081" t="s">
        <v>11610</v>
      </c>
      <c r="L10081">
        <v>0</v>
      </c>
      <c r="M10081">
        <v>0</v>
      </c>
      <c r="N10081">
        <v>0</v>
      </c>
    </row>
    <row r="10082" spans="1:15">
      <c r="A10082" t="s">
        <v>37616</v>
      </c>
      <c r="B10082" t="s">
        <v>6742</v>
      </c>
      <c r="C10082" t="s">
        <v>26742</v>
      </c>
      <c r="D10082" t="s">
        <v>37617</v>
      </c>
      <c r="E10082" t="b">
        <v>0</v>
      </c>
      <c r="F10082" t="s">
        <v>11610</v>
      </c>
      <c r="L10082">
        <v>0</v>
      </c>
      <c r="M10082">
        <v>0</v>
      </c>
      <c r="N10082">
        <v>0</v>
      </c>
    </row>
    <row r="10083" spans="1:15">
      <c r="A10083" t="s">
        <v>37618</v>
      </c>
      <c r="B10083" t="s">
        <v>367</v>
      </c>
      <c r="C10083" t="s">
        <v>13309</v>
      </c>
      <c r="D10083" t="s">
        <v>37619</v>
      </c>
      <c r="E10083" t="b">
        <v>0</v>
      </c>
      <c r="F10083" t="s">
        <v>11610</v>
      </c>
      <c r="L10083">
        <v>0</v>
      </c>
      <c r="M10083">
        <v>0</v>
      </c>
      <c r="N10083">
        <v>0</v>
      </c>
    </row>
    <row r="10084" spans="1:15">
      <c r="A10084" t="s">
        <v>37620</v>
      </c>
      <c r="B10084" t="s">
        <v>11615</v>
      </c>
      <c r="C10084" t="s">
        <v>23820</v>
      </c>
      <c r="D10084" t="s">
        <v>37621</v>
      </c>
      <c r="E10084" t="b">
        <v>0</v>
      </c>
      <c r="F10084" t="s">
        <v>11610</v>
      </c>
      <c r="L10084">
        <v>0</v>
      </c>
      <c r="M10084">
        <v>0</v>
      </c>
      <c r="N10084">
        <v>0</v>
      </c>
    </row>
    <row r="10085" spans="1:15">
      <c r="A10085" t="s">
        <v>37622</v>
      </c>
      <c r="B10085" t="s">
        <v>11607</v>
      </c>
      <c r="C10085" t="s">
        <v>20042</v>
      </c>
      <c r="D10085" t="s">
        <v>37623</v>
      </c>
      <c r="E10085" t="b">
        <v>0</v>
      </c>
      <c r="F10085" t="s">
        <v>11622</v>
      </c>
      <c r="L10085">
        <v>0</v>
      </c>
      <c r="M10085">
        <v>2</v>
      </c>
      <c r="N10085">
        <v>8</v>
      </c>
    </row>
    <row r="10086" spans="1:15">
      <c r="A10086" t="s">
        <v>37624</v>
      </c>
      <c r="B10086" t="s">
        <v>11607</v>
      </c>
      <c r="C10086" t="s">
        <v>20042</v>
      </c>
      <c r="D10086" t="s">
        <v>37625</v>
      </c>
      <c r="E10086" t="b">
        <v>0</v>
      </c>
      <c r="F10086" t="s">
        <v>11622</v>
      </c>
      <c r="L10086">
        <v>2</v>
      </c>
      <c r="M10086">
        <v>5</v>
      </c>
      <c r="N10086">
        <v>14</v>
      </c>
    </row>
    <row r="10087" spans="1:15">
      <c r="A10087" t="s">
        <v>37491</v>
      </c>
      <c r="B10087" t="s">
        <v>367</v>
      </c>
      <c r="C10087" t="s">
        <v>31219</v>
      </c>
      <c r="D10087" t="s">
        <v>37626</v>
      </c>
      <c r="E10087" t="b">
        <v>0</v>
      </c>
      <c r="F10087" t="s">
        <v>11622</v>
      </c>
      <c r="L10087">
        <v>0</v>
      </c>
      <c r="M10087">
        <v>2</v>
      </c>
      <c r="N10087">
        <v>2</v>
      </c>
    </row>
    <row r="10088" spans="1:15">
      <c r="A10088" t="s">
        <v>20042</v>
      </c>
      <c r="B10088" t="s">
        <v>11607</v>
      </c>
      <c r="C10088" t="s">
        <v>18913</v>
      </c>
      <c r="D10088" t="s">
        <v>37627</v>
      </c>
      <c r="E10088" t="b">
        <v>0</v>
      </c>
      <c r="F10088" t="s">
        <v>11622</v>
      </c>
      <c r="L10088">
        <v>5</v>
      </c>
      <c r="M10088">
        <v>10</v>
      </c>
      <c r="N10088">
        <v>32</v>
      </c>
    </row>
    <row r="10089" spans="1:15">
      <c r="A10089" t="s">
        <v>12180</v>
      </c>
      <c r="B10089" t="s">
        <v>11607</v>
      </c>
      <c r="C10089" t="s">
        <v>37624</v>
      </c>
      <c r="D10089" t="s">
        <v>37628</v>
      </c>
      <c r="E10089" t="b">
        <v>0</v>
      </c>
      <c r="F10089" t="s">
        <v>11622</v>
      </c>
      <c r="L10089">
        <v>0</v>
      </c>
      <c r="M10089">
        <v>2</v>
      </c>
      <c r="N10089">
        <v>2</v>
      </c>
    </row>
    <row r="10090" spans="1:15">
      <c r="A10090" t="s">
        <v>37629</v>
      </c>
      <c r="B10090" t="s">
        <v>11607</v>
      </c>
      <c r="C10090" t="s">
        <v>37624</v>
      </c>
      <c r="D10090" t="s">
        <v>37630</v>
      </c>
      <c r="E10090" t="b">
        <v>0</v>
      </c>
      <c r="F10090" t="s">
        <v>11622</v>
      </c>
      <c r="L10090">
        <v>0</v>
      </c>
      <c r="M10090">
        <v>3</v>
      </c>
      <c r="N10090">
        <v>12</v>
      </c>
    </row>
    <row r="10091" spans="1:15">
      <c r="A10091" t="s">
        <v>37631</v>
      </c>
      <c r="B10091" t="s">
        <v>14552</v>
      </c>
      <c r="C10091" t="s">
        <v>14553</v>
      </c>
      <c r="D10091" t="s">
        <v>37632</v>
      </c>
      <c r="E10091" t="b">
        <v>0</v>
      </c>
      <c r="F10091" t="s">
        <v>11624</v>
      </c>
      <c r="G10091">
        <v>55</v>
      </c>
      <c r="H10091">
        <v>94</v>
      </c>
      <c r="I10091" t="s">
        <v>37633</v>
      </c>
      <c r="L10091">
        <v>0</v>
      </c>
      <c r="M10091">
        <v>0</v>
      </c>
      <c r="N10091">
        <v>0</v>
      </c>
      <c r="O10091" t="s">
        <v>12748</v>
      </c>
    </row>
    <row r="10092" spans="1:15">
      <c r="A10092" t="s">
        <v>37634</v>
      </c>
      <c r="B10092" t="s">
        <v>12438</v>
      </c>
      <c r="C10092" t="s">
        <v>21393</v>
      </c>
      <c r="D10092" t="s">
        <v>37635</v>
      </c>
      <c r="E10092" t="b">
        <v>0</v>
      </c>
      <c r="F10092" t="s">
        <v>11610</v>
      </c>
      <c r="L10092">
        <v>0</v>
      </c>
      <c r="M10092">
        <v>0</v>
      </c>
      <c r="N10092">
        <v>0</v>
      </c>
    </row>
    <row r="10093" spans="1:15">
      <c r="A10093" t="s">
        <v>37636</v>
      </c>
      <c r="B10093" t="s">
        <v>13276</v>
      </c>
      <c r="C10093" t="s">
        <v>24330</v>
      </c>
      <c r="D10093" t="s">
        <v>37637</v>
      </c>
      <c r="E10093" t="b">
        <v>0</v>
      </c>
      <c r="F10093" t="s">
        <v>11610</v>
      </c>
      <c r="L10093">
        <v>0</v>
      </c>
      <c r="M10093">
        <v>0</v>
      </c>
      <c r="N10093">
        <v>0</v>
      </c>
    </row>
    <row r="10094" spans="1:15">
      <c r="A10094" t="s">
        <v>37638</v>
      </c>
      <c r="B10094" t="s">
        <v>13014</v>
      </c>
      <c r="C10094" t="s">
        <v>36855</v>
      </c>
      <c r="D10094" t="s">
        <v>37639</v>
      </c>
      <c r="E10094" t="b">
        <v>0</v>
      </c>
      <c r="F10094" t="s">
        <v>11610</v>
      </c>
      <c r="L10094">
        <v>0</v>
      </c>
      <c r="M10094">
        <v>0</v>
      </c>
      <c r="N10094">
        <v>0</v>
      </c>
    </row>
    <row r="10095" spans="1:15">
      <c r="A10095" t="s">
        <v>37640</v>
      </c>
      <c r="B10095" t="s">
        <v>13276</v>
      </c>
      <c r="C10095" t="s">
        <v>13277</v>
      </c>
      <c r="D10095" t="s">
        <v>37641</v>
      </c>
      <c r="E10095" t="b">
        <v>0</v>
      </c>
      <c r="F10095" t="s">
        <v>11610</v>
      </c>
      <c r="L10095">
        <v>0</v>
      </c>
      <c r="M10095">
        <v>0</v>
      </c>
      <c r="N10095">
        <v>0</v>
      </c>
    </row>
    <row r="10096" spans="1:15">
      <c r="A10096" t="s">
        <v>37642</v>
      </c>
      <c r="B10096" t="s">
        <v>6742</v>
      </c>
      <c r="C10096" t="s">
        <v>37643</v>
      </c>
      <c r="D10096" t="s">
        <v>37644</v>
      </c>
      <c r="E10096" t="b">
        <v>0</v>
      </c>
      <c r="F10096" t="s">
        <v>11610</v>
      </c>
      <c r="L10096">
        <v>0</v>
      </c>
      <c r="M10096">
        <v>0</v>
      </c>
      <c r="N10096">
        <v>0</v>
      </c>
    </row>
    <row r="10097" spans="1:15">
      <c r="A10097" t="s">
        <v>37645</v>
      </c>
      <c r="B10097" t="s">
        <v>13276</v>
      </c>
      <c r="C10097" t="s">
        <v>35348</v>
      </c>
      <c r="D10097" t="s">
        <v>37646</v>
      </c>
      <c r="E10097" t="b">
        <v>0</v>
      </c>
      <c r="F10097" t="s">
        <v>11610</v>
      </c>
      <c r="L10097">
        <v>0</v>
      </c>
      <c r="M10097">
        <v>0</v>
      </c>
      <c r="N10097">
        <v>0</v>
      </c>
    </row>
    <row r="10098" spans="1:15">
      <c r="A10098" t="s">
        <v>37647</v>
      </c>
      <c r="B10098" t="s">
        <v>6742</v>
      </c>
      <c r="C10098" t="s">
        <v>26113</v>
      </c>
      <c r="D10098" t="s">
        <v>37648</v>
      </c>
      <c r="E10098" t="b">
        <v>0</v>
      </c>
      <c r="F10098" t="s">
        <v>11624</v>
      </c>
      <c r="G10098">
        <v>7.2737499999999997</v>
      </c>
      <c r="H10098">
        <v>-6.5685000000000002</v>
      </c>
      <c r="I10098" t="s">
        <v>37649</v>
      </c>
      <c r="L10098">
        <v>0</v>
      </c>
      <c r="M10098">
        <v>0</v>
      </c>
      <c r="N10098">
        <v>0</v>
      </c>
      <c r="O10098" t="s">
        <v>11735</v>
      </c>
    </row>
    <row r="10099" spans="1:15">
      <c r="A10099" t="s">
        <v>7430</v>
      </c>
      <c r="B10099" t="s">
        <v>11615</v>
      </c>
      <c r="C10099" t="s">
        <v>24349</v>
      </c>
      <c r="D10099" t="s">
        <v>37650</v>
      </c>
      <c r="E10099" t="b">
        <v>0</v>
      </c>
      <c r="F10099" t="s">
        <v>11624</v>
      </c>
      <c r="G10099">
        <v>-5.6171199999999999</v>
      </c>
      <c r="H10099">
        <v>147.86199999999999</v>
      </c>
      <c r="I10099" t="s">
        <v>37651</v>
      </c>
      <c r="L10099">
        <v>0</v>
      </c>
      <c r="M10099">
        <v>0</v>
      </c>
      <c r="N10099">
        <v>0</v>
      </c>
      <c r="O10099" t="s">
        <v>11660</v>
      </c>
    </row>
    <row r="10100" spans="1:15">
      <c r="A10100" t="s">
        <v>37652</v>
      </c>
      <c r="B10100" t="s">
        <v>367</v>
      </c>
      <c r="C10100" t="s">
        <v>34427</v>
      </c>
      <c r="D10100" t="s">
        <v>37653</v>
      </c>
      <c r="E10100" t="b">
        <v>0</v>
      </c>
      <c r="F10100" t="s">
        <v>11624</v>
      </c>
      <c r="G10100">
        <v>-5.5862299999999996</v>
      </c>
      <c r="H10100">
        <v>149.63</v>
      </c>
      <c r="I10100" t="s">
        <v>37654</v>
      </c>
      <c r="L10100">
        <v>0</v>
      </c>
      <c r="M10100">
        <v>0</v>
      </c>
      <c r="N10100">
        <v>0</v>
      </c>
      <c r="O10100" t="s">
        <v>11660</v>
      </c>
    </row>
    <row r="10101" spans="1:15">
      <c r="A10101" t="s">
        <v>37655</v>
      </c>
      <c r="B10101" t="s">
        <v>11615</v>
      </c>
      <c r="C10101" t="s">
        <v>37656</v>
      </c>
      <c r="D10101" t="s">
        <v>37657</v>
      </c>
      <c r="E10101" t="b">
        <v>0</v>
      </c>
      <c r="F10101" t="s">
        <v>11624</v>
      </c>
      <c r="G10101">
        <v>-4.6303200000000002</v>
      </c>
      <c r="H10101">
        <v>145.41200000000001</v>
      </c>
      <c r="I10101" t="s">
        <v>37658</v>
      </c>
      <c r="L10101">
        <v>0</v>
      </c>
      <c r="M10101">
        <v>0</v>
      </c>
      <c r="N10101">
        <v>0</v>
      </c>
      <c r="O10101" t="s">
        <v>11660</v>
      </c>
    </row>
    <row r="10102" spans="1:15">
      <c r="A10102" t="s">
        <v>37421</v>
      </c>
      <c r="B10102" t="s">
        <v>11615</v>
      </c>
      <c r="C10102" t="s">
        <v>37659</v>
      </c>
      <c r="D10102" t="s">
        <v>37660</v>
      </c>
      <c r="E10102" t="b">
        <v>0</v>
      </c>
      <c r="F10102" t="s">
        <v>11622</v>
      </c>
      <c r="L10102">
        <v>0</v>
      </c>
      <c r="M10102">
        <v>2</v>
      </c>
      <c r="N10102">
        <v>0</v>
      </c>
    </row>
    <row r="10103" spans="1:15">
      <c r="A10103" t="s">
        <v>12071</v>
      </c>
      <c r="B10103" t="s">
        <v>367</v>
      </c>
      <c r="C10103" t="s">
        <v>14692</v>
      </c>
      <c r="D10103" t="s">
        <v>37661</v>
      </c>
      <c r="E10103" t="b">
        <v>0</v>
      </c>
      <c r="F10103" t="s">
        <v>11624</v>
      </c>
      <c r="G10103">
        <v>-4.2195400000000003</v>
      </c>
      <c r="H10103">
        <v>133.46799999999999</v>
      </c>
      <c r="I10103" t="s">
        <v>37662</v>
      </c>
      <c r="L10103">
        <v>0</v>
      </c>
      <c r="M10103">
        <v>0</v>
      </c>
      <c r="N10103">
        <v>4</v>
      </c>
      <c r="O10103" t="s">
        <v>11768</v>
      </c>
    </row>
    <row r="10104" spans="1:15">
      <c r="A10104" t="s">
        <v>37663</v>
      </c>
      <c r="B10104" t="s">
        <v>13276</v>
      </c>
      <c r="C10104" t="s">
        <v>20688</v>
      </c>
      <c r="D10104" t="s">
        <v>37664</v>
      </c>
      <c r="E10104" t="b">
        <v>0</v>
      </c>
      <c r="F10104" t="s">
        <v>11610</v>
      </c>
      <c r="L10104">
        <v>0</v>
      </c>
      <c r="M10104">
        <v>0</v>
      </c>
      <c r="N10104">
        <v>0</v>
      </c>
    </row>
    <row r="10105" spans="1:15">
      <c r="A10105" t="s">
        <v>1318</v>
      </c>
      <c r="B10105" t="s">
        <v>11844</v>
      </c>
      <c r="C10105" t="s">
        <v>24025</v>
      </c>
      <c r="D10105" t="s">
        <v>37665</v>
      </c>
      <c r="E10105" t="b">
        <v>0</v>
      </c>
      <c r="F10105" t="s">
        <v>11624</v>
      </c>
      <c r="G10105">
        <v>17.677199999999999</v>
      </c>
      <c r="H10105">
        <v>81.209599999999995</v>
      </c>
      <c r="I10105" t="s">
        <v>1320</v>
      </c>
      <c r="L10105">
        <v>0</v>
      </c>
      <c r="M10105">
        <v>0</v>
      </c>
      <c r="N10105">
        <v>4</v>
      </c>
      <c r="O10105" t="s">
        <v>11630</v>
      </c>
    </row>
    <row r="10106" spans="1:15">
      <c r="A10106" t="s">
        <v>37666</v>
      </c>
      <c r="B10106" t="s">
        <v>6742</v>
      </c>
      <c r="C10106" t="s">
        <v>16789</v>
      </c>
      <c r="D10106" t="s">
        <v>37667</v>
      </c>
      <c r="E10106" t="b">
        <v>0</v>
      </c>
      <c r="F10106" t="s">
        <v>11610</v>
      </c>
      <c r="L10106">
        <v>0</v>
      </c>
      <c r="M10106">
        <v>0</v>
      </c>
      <c r="N10106">
        <v>0</v>
      </c>
    </row>
    <row r="10107" spans="1:15">
      <c r="A10107" t="s">
        <v>37668</v>
      </c>
      <c r="B10107" t="s">
        <v>13276</v>
      </c>
      <c r="C10107" t="s">
        <v>37485</v>
      </c>
      <c r="D10107" t="s">
        <v>37669</v>
      </c>
      <c r="E10107" t="b">
        <v>0</v>
      </c>
      <c r="F10107" t="s">
        <v>11624</v>
      </c>
      <c r="G10107">
        <v>8.2917699999999996</v>
      </c>
      <c r="H10107">
        <v>-6.2325499999999998</v>
      </c>
      <c r="I10107" t="s">
        <v>37670</v>
      </c>
      <c r="L10107">
        <v>0</v>
      </c>
      <c r="M10107">
        <v>0</v>
      </c>
      <c r="N10107">
        <v>4</v>
      </c>
      <c r="O10107" t="s">
        <v>11735</v>
      </c>
    </row>
    <row r="10108" spans="1:15">
      <c r="A10108" t="s">
        <v>6030</v>
      </c>
      <c r="B10108" t="s">
        <v>6742</v>
      </c>
      <c r="C10108" t="s">
        <v>12865</v>
      </c>
      <c r="D10108" t="s">
        <v>37671</v>
      </c>
      <c r="E10108" t="b">
        <v>0</v>
      </c>
      <c r="F10108" t="s">
        <v>11624</v>
      </c>
      <c r="G10108">
        <v>-0.69688000000000005</v>
      </c>
      <c r="H10108">
        <v>15.7508</v>
      </c>
      <c r="I10108" t="s">
        <v>6031</v>
      </c>
      <c r="L10108">
        <v>0</v>
      </c>
      <c r="M10108">
        <v>0</v>
      </c>
      <c r="N10108">
        <v>0</v>
      </c>
      <c r="O10108" t="s">
        <v>12868</v>
      </c>
    </row>
    <row r="10109" spans="1:15">
      <c r="A10109" t="s">
        <v>37672</v>
      </c>
      <c r="B10109" t="s">
        <v>6742</v>
      </c>
      <c r="C10109" t="s">
        <v>23831</v>
      </c>
      <c r="D10109" t="s">
        <v>37673</v>
      </c>
      <c r="E10109" t="b">
        <v>0</v>
      </c>
      <c r="F10109" t="s">
        <v>11610</v>
      </c>
      <c r="L10109">
        <v>0</v>
      </c>
      <c r="M10109">
        <v>0</v>
      </c>
      <c r="N10109">
        <v>0</v>
      </c>
    </row>
    <row r="10110" spans="1:15">
      <c r="A10110" t="s">
        <v>12865</v>
      </c>
      <c r="B10110" t="s">
        <v>6742</v>
      </c>
      <c r="C10110" t="s">
        <v>21841</v>
      </c>
      <c r="D10110" t="s">
        <v>37674</v>
      </c>
      <c r="E10110" t="b">
        <v>0</v>
      </c>
      <c r="F10110" t="s">
        <v>11622</v>
      </c>
      <c r="L10110">
        <v>1</v>
      </c>
      <c r="M10110">
        <v>6</v>
      </c>
      <c r="N10110">
        <v>1</v>
      </c>
    </row>
    <row r="10111" spans="1:15">
      <c r="A10111" t="s">
        <v>25002</v>
      </c>
      <c r="B10111" t="s">
        <v>12562</v>
      </c>
      <c r="C10111" t="s">
        <v>37675</v>
      </c>
      <c r="D10111" t="s">
        <v>37676</v>
      </c>
      <c r="E10111" t="b">
        <v>0</v>
      </c>
      <c r="F10111" t="s">
        <v>11624</v>
      </c>
      <c r="G10111">
        <v>16.192</v>
      </c>
      <c r="H10111">
        <v>-3.7396199999999999</v>
      </c>
      <c r="I10111" t="s">
        <v>37677</v>
      </c>
      <c r="L10111">
        <v>0</v>
      </c>
      <c r="M10111">
        <v>0</v>
      </c>
      <c r="N10111">
        <v>2</v>
      </c>
      <c r="O10111" t="s">
        <v>37678</v>
      </c>
    </row>
    <row r="10112" spans="1:15">
      <c r="A10112" t="s">
        <v>37679</v>
      </c>
      <c r="B10112" t="s">
        <v>12562</v>
      </c>
      <c r="C10112" t="s">
        <v>25002</v>
      </c>
      <c r="D10112" t="s">
        <v>37680</v>
      </c>
      <c r="E10112" t="b">
        <v>0</v>
      </c>
      <c r="F10112" t="s">
        <v>11610</v>
      </c>
      <c r="L10112">
        <v>0</v>
      </c>
      <c r="M10112">
        <v>0</v>
      </c>
      <c r="N10112">
        <v>0</v>
      </c>
    </row>
    <row r="10113" spans="1:15">
      <c r="A10113" t="s">
        <v>37681</v>
      </c>
      <c r="B10113" t="s">
        <v>12562</v>
      </c>
      <c r="C10113" t="s">
        <v>26144</v>
      </c>
      <c r="D10113" t="s">
        <v>37682</v>
      </c>
      <c r="E10113" t="b">
        <v>0</v>
      </c>
      <c r="F10113" t="s">
        <v>11624</v>
      </c>
      <c r="G10113">
        <v>16.9634</v>
      </c>
      <c r="H10113">
        <v>-0.55186999999999997</v>
      </c>
      <c r="I10113" t="s">
        <v>37683</v>
      </c>
      <c r="L10113">
        <v>0</v>
      </c>
      <c r="M10113">
        <v>0</v>
      </c>
      <c r="N10113">
        <v>0</v>
      </c>
      <c r="O10113" t="s">
        <v>37684</v>
      </c>
    </row>
    <row r="10114" spans="1:15">
      <c r="A10114" t="s">
        <v>37685</v>
      </c>
      <c r="B10114" t="s">
        <v>11607</v>
      </c>
      <c r="C10114" t="s">
        <v>37686</v>
      </c>
      <c r="D10114" t="s">
        <v>37687</v>
      </c>
      <c r="E10114" t="b">
        <v>0</v>
      </c>
      <c r="F10114" t="s">
        <v>11610</v>
      </c>
      <c r="L10114">
        <v>0</v>
      </c>
      <c r="M10114">
        <v>0</v>
      </c>
      <c r="N10114">
        <v>0</v>
      </c>
    </row>
    <row r="10115" spans="1:15">
      <c r="A10115" t="s">
        <v>37688</v>
      </c>
      <c r="B10115" t="s">
        <v>11607</v>
      </c>
      <c r="C10115" t="s">
        <v>37689</v>
      </c>
      <c r="D10115" t="s">
        <v>37690</v>
      </c>
      <c r="E10115" t="b">
        <v>0</v>
      </c>
      <c r="F10115" t="s">
        <v>11624</v>
      </c>
      <c r="G10115">
        <v>36.045099999999998</v>
      </c>
      <c r="H10115">
        <v>44.636499999999998</v>
      </c>
      <c r="I10115" t="s">
        <v>37691</v>
      </c>
      <c r="L10115">
        <v>0</v>
      </c>
      <c r="M10115">
        <v>0</v>
      </c>
      <c r="N10115">
        <v>0</v>
      </c>
      <c r="O10115" t="s">
        <v>12765</v>
      </c>
    </row>
    <row r="10116" spans="1:15">
      <c r="A10116" t="s">
        <v>37692</v>
      </c>
      <c r="B10116" t="s">
        <v>26637</v>
      </c>
      <c r="C10116" t="s">
        <v>37693</v>
      </c>
      <c r="D10116" t="s">
        <v>37694</v>
      </c>
      <c r="E10116" t="b">
        <v>0</v>
      </c>
      <c r="F10116" t="s">
        <v>11610</v>
      </c>
      <c r="L10116">
        <v>0</v>
      </c>
      <c r="M10116">
        <v>0</v>
      </c>
      <c r="N10116">
        <v>0</v>
      </c>
    </row>
    <row r="10117" spans="1:15">
      <c r="A10117" t="s">
        <v>37695</v>
      </c>
      <c r="B10117" t="s">
        <v>12460</v>
      </c>
      <c r="C10117" t="s">
        <v>12461</v>
      </c>
      <c r="D10117" t="s">
        <v>37696</v>
      </c>
      <c r="E10117" t="b">
        <v>0</v>
      </c>
      <c r="F10117" t="s">
        <v>11624</v>
      </c>
      <c r="G10117">
        <v>65.609300000000005</v>
      </c>
      <c r="H10117">
        <v>-154.22900000000001</v>
      </c>
      <c r="I10117" t="s">
        <v>37697</v>
      </c>
      <c r="L10117">
        <v>0</v>
      </c>
      <c r="M10117">
        <v>0</v>
      </c>
      <c r="N10117">
        <v>0</v>
      </c>
      <c r="O10117" t="s">
        <v>11944</v>
      </c>
    </row>
    <row r="10118" spans="1:15">
      <c r="A10118" t="s">
        <v>37698</v>
      </c>
      <c r="B10118" t="s">
        <v>11607</v>
      </c>
      <c r="C10118" t="s">
        <v>21751</v>
      </c>
      <c r="D10118" t="s">
        <v>37699</v>
      </c>
      <c r="E10118" t="b">
        <v>0</v>
      </c>
      <c r="F10118" t="s">
        <v>11610</v>
      </c>
      <c r="L10118">
        <v>0</v>
      </c>
      <c r="M10118">
        <v>0</v>
      </c>
      <c r="N10118">
        <v>0</v>
      </c>
    </row>
    <row r="10119" spans="1:15">
      <c r="A10119" t="s">
        <v>37700</v>
      </c>
      <c r="B10119" t="s">
        <v>12260</v>
      </c>
      <c r="C10119" t="s">
        <v>37701</v>
      </c>
      <c r="D10119" t="s">
        <v>37702</v>
      </c>
      <c r="E10119" t="b">
        <v>0</v>
      </c>
      <c r="F10119" t="s">
        <v>11610</v>
      </c>
      <c r="L10119">
        <v>0</v>
      </c>
      <c r="M10119">
        <v>0</v>
      </c>
      <c r="N10119">
        <v>0</v>
      </c>
    </row>
    <row r="10120" spans="1:15">
      <c r="A10120" t="s">
        <v>37703</v>
      </c>
      <c r="B10120" t="s">
        <v>6742</v>
      </c>
      <c r="C10120" t="s">
        <v>15778</v>
      </c>
      <c r="D10120" t="s">
        <v>37704</v>
      </c>
      <c r="E10120" t="b">
        <v>0</v>
      </c>
      <c r="F10120" t="s">
        <v>11610</v>
      </c>
      <c r="L10120">
        <v>0</v>
      </c>
      <c r="M10120">
        <v>0</v>
      </c>
      <c r="N10120">
        <v>0</v>
      </c>
    </row>
    <row r="10121" spans="1:15">
      <c r="A10121" t="s">
        <v>37705</v>
      </c>
      <c r="B10121" t="s">
        <v>13276</v>
      </c>
      <c r="C10121" t="s">
        <v>4247</v>
      </c>
      <c r="D10121" t="s">
        <v>37706</v>
      </c>
      <c r="E10121" t="b">
        <v>0</v>
      </c>
      <c r="F10121" t="s">
        <v>11610</v>
      </c>
      <c r="L10121">
        <v>0</v>
      </c>
      <c r="M10121">
        <v>0</v>
      </c>
      <c r="N10121">
        <v>0</v>
      </c>
    </row>
    <row r="10122" spans="1:15">
      <c r="A10122" t="s">
        <v>37707</v>
      </c>
      <c r="B10122" t="s">
        <v>6742</v>
      </c>
      <c r="C10122" t="s">
        <v>29430</v>
      </c>
      <c r="D10122" t="s">
        <v>37708</v>
      </c>
      <c r="E10122" t="b">
        <v>0</v>
      </c>
      <c r="F10122" t="s">
        <v>11624</v>
      </c>
      <c r="G10122">
        <v>4.9615400000000003</v>
      </c>
      <c r="H10122">
        <v>20.1584</v>
      </c>
      <c r="I10122" t="s">
        <v>37709</v>
      </c>
      <c r="L10122">
        <v>0</v>
      </c>
      <c r="M10122">
        <v>0</v>
      </c>
      <c r="N10122">
        <v>0</v>
      </c>
      <c r="O10122" t="s">
        <v>16548</v>
      </c>
    </row>
    <row r="10123" spans="1:15">
      <c r="A10123" t="s">
        <v>37710</v>
      </c>
      <c r="B10123" t="s">
        <v>6742</v>
      </c>
      <c r="C10123" t="s">
        <v>28313</v>
      </c>
      <c r="D10123" t="s">
        <v>37711</v>
      </c>
      <c r="E10123" t="b">
        <v>0</v>
      </c>
      <c r="F10123" t="s">
        <v>11610</v>
      </c>
      <c r="L10123">
        <v>0</v>
      </c>
      <c r="M10123">
        <v>0</v>
      </c>
      <c r="N10123">
        <v>0</v>
      </c>
    </row>
    <row r="10124" spans="1:15">
      <c r="A10124" t="s">
        <v>37712</v>
      </c>
      <c r="B10124" t="s">
        <v>6742</v>
      </c>
      <c r="C10124" t="s">
        <v>37713</v>
      </c>
      <c r="D10124" t="s">
        <v>37714</v>
      </c>
      <c r="E10124" t="b">
        <v>0</v>
      </c>
      <c r="F10124" t="s">
        <v>11624</v>
      </c>
      <c r="G10124">
        <v>4.5109300000000001</v>
      </c>
      <c r="H10124">
        <v>20.3108</v>
      </c>
      <c r="I10124" t="s">
        <v>37715</v>
      </c>
      <c r="L10124">
        <v>0</v>
      </c>
      <c r="M10124">
        <v>0</v>
      </c>
      <c r="N10124">
        <v>0</v>
      </c>
      <c r="O10124" t="s">
        <v>13069</v>
      </c>
    </row>
    <row r="10125" spans="1:15">
      <c r="A10125" t="s">
        <v>37713</v>
      </c>
      <c r="B10125" t="s">
        <v>6742</v>
      </c>
      <c r="C10125" t="s">
        <v>37716</v>
      </c>
      <c r="D10125" t="s">
        <v>37717</v>
      </c>
      <c r="E10125" t="b">
        <v>0</v>
      </c>
      <c r="F10125" t="s">
        <v>11622</v>
      </c>
      <c r="L10125">
        <v>0</v>
      </c>
      <c r="M10125">
        <v>2</v>
      </c>
      <c r="N10125">
        <v>0</v>
      </c>
    </row>
    <row r="10126" spans="1:15">
      <c r="A10126" t="s">
        <v>27494</v>
      </c>
      <c r="B10126" t="s">
        <v>6742</v>
      </c>
      <c r="C10126" t="s">
        <v>21805</v>
      </c>
      <c r="D10126" t="s">
        <v>37718</v>
      </c>
      <c r="E10126" t="b">
        <v>0</v>
      </c>
      <c r="F10126" t="s">
        <v>11622</v>
      </c>
      <c r="L10126">
        <v>0</v>
      </c>
      <c r="M10126">
        <v>2</v>
      </c>
      <c r="N10126">
        <v>7</v>
      </c>
    </row>
    <row r="10127" spans="1:15">
      <c r="A10127" t="s">
        <v>14115</v>
      </c>
      <c r="B10127" t="s">
        <v>6742</v>
      </c>
      <c r="C10127" t="s">
        <v>27494</v>
      </c>
      <c r="D10127" t="s">
        <v>37719</v>
      </c>
      <c r="E10127" t="b">
        <v>0</v>
      </c>
      <c r="F10127" t="s">
        <v>11624</v>
      </c>
      <c r="G10127">
        <v>7.5834299999999999</v>
      </c>
      <c r="H10127">
        <v>10.164199999999999</v>
      </c>
      <c r="I10127" t="s">
        <v>37720</v>
      </c>
      <c r="L10127">
        <v>0</v>
      </c>
      <c r="M10127">
        <v>0</v>
      </c>
      <c r="N10127">
        <v>7</v>
      </c>
      <c r="O10127" t="s">
        <v>11693</v>
      </c>
    </row>
    <row r="10128" spans="1:15">
      <c r="A10128" t="s">
        <v>37721</v>
      </c>
      <c r="B10128" t="s">
        <v>13276</v>
      </c>
      <c r="C10128" t="s">
        <v>25775</v>
      </c>
      <c r="D10128" t="s">
        <v>37722</v>
      </c>
      <c r="E10128" t="b">
        <v>0</v>
      </c>
      <c r="F10128" t="s">
        <v>11610</v>
      </c>
      <c r="L10128">
        <v>0</v>
      </c>
      <c r="M10128">
        <v>0</v>
      </c>
      <c r="N10128">
        <v>0</v>
      </c>
    </row>
    <row r="10129" spans="1:15">
      <c r="A10129" t="s">
        <v>37723</v>
      </c>
      <c r="B10129" t="s">
        <v>6742</v>
      </c>
      <c r="C10129" t="s">
        <v>32585</v>
      </c>
      <c r="D10129" t="s">
        <v>37724</v>
      </c>
      <c r="E10129" t="b">
        <v>0</v>
      </c>
      <c r="F10129" t="s">
        <v>11610</v>
      </c>
      <c r="L10129">
        <v>0</v>
      </c>
      <c r="M10129">
        <v>0</v>
      </c>
      <c r="N10129">
        <v>0</v>
      </c>
    </row>
    <row r="10130" spans="1:15">
      <c r="A10130" t="s">
        <v>37725</v>
      </c>
      <c r="B10130" t="s">
        <v>6742</v>
      </c>
      <c r="C10130" t="s">
        <v>1387</v>
      </c>
      <c r="D10130" t="s">
        <v>37726</v>
      </c>
      <c r="E10130" t="b">
        <v>0</v>
      </c>
      <c r="F10130" t="s">
        <v>11610</v>
      </c>
      <c r="L10130">
        <v>0</v>
      </c>
      <c r="M10130">
        <v>0</v>
      </c>
      <c r="N10130">
        <v>0</v>
      </c>
    </row>
    <row r="10131" spans="1:15">
      <c r="A10131" t="s">
        <v>37727</v>
      </c>
      <c r="B10131" t="s">
        <v>6742</v>
      </c>
      <c r="C10131" t="s">
        <v>16276</v>
      </c>
      <c r="D10131" t="s">
        <v>37728</v>
      </c>
      <c r="E10131" t="b">
        <v>0</v>
      </c>
      <c r="F10131" t="s">
        <v>11624</v>
      </c>
      <c r="G10131">
        <v>8.7528600000000001</v>
      </c>
      <c r="H10131">
        <v>11.231</v>
      </c>
      <c r="I10131" t="s">
        <v>37729</v>
      </c>
      <c r="L10131">
        <v>0</v>
      </c>
      <c r="M10131">
        <v>0</v>
      </c>
      <c r="N10131">
        <v>0</v>
      </c>
      <c r="O10131" t="s">
        <v>11693</v>
      </c>
    </row>
    <row r="10132" spans="1:15">
      <c r="A10132" t="s">
        <v>37730</v>
      </c>
      <c r="B10132" t="s">
        <v>11627</v>
      </c>
      <c r="C10132" t="s">
        <v>11627</v>
      </c>
      <c r="D10132" t="s">
        <v>37731</v>
      </c>
      <c r="E10132" t="b">
        <v>1</v>
      </c>
      <c r="F10132" t="s">
        <v>11624</v>
      </c>
      <c r="G10132">
        <v>5.1720300000000003</v>
      </c>
      <c r="H10132">
        <v>21.859400000000001</v>
      </c>
      <c r="I10132" t="s">
        <v>37732</v>
      </c>
      <c r="L10132">
        <v>0</v>
      </c>
      <c r="M10132">
        <v>0</v>
      </c>
      <c r="N10132">
        <v>0</v>
      </c>
      <c r="O10132" t="s">
        <v>16548</v>
      </c>
    </row>
    <row r="10133" spans="1:15">
      <c r="A10133" t="s">
        <v>37733</v>
      </c>
      <c r="B10133" t="s">
        <v>6742</v>
      </c>
      <c r="C10133" t="s">
        <v>33854</v>
      </c>
      <c r="D10133" t="s">
        <v>37734</v>
      </c>
      <c r="E10133" t="b">
        <v>0</v>
      </c>
      <c r="F10133" t="s">
        <v>11610</v>
      </c>
      <c r="L10133">
        <v>0</v>
      </c>
      <c r="M10133">
        <v>0</v>
      </c>
      <c r="N10133">
        <v>0</v>
      </c>
    </row>
    <row r="10134" spans="1:15">
      <c r="A10134" t="s">
        <v>37735</v>
      </c>
      <c r="B10134" t="s">
        <v>6742</v>
      </c>
      <c r="C10134" t="s">
        <v>15375</v>
      </c>
      <c r="D10134" t="s">
        <v>37736</v>
      </c>
      <c r="E10134" t="b">
        <v>0</v>
      </c>
      <c r="F10134" t="s">
        <v>11624</v>
      </c>
      <c r="G10134">
        <v>7.7060500000000003</v>
      </c>
      <c r="H10134">
        <v>10.1129</v>
      </c>
      <c r="I10134" t="s">
        <v>37737</v>
      </c>
      <c r="L10134">
        <v>0</v>
      </c>
      <c r="M10134">
        <v>0</v>
      </c>
      <c r="N10134">
        <v>0</v>
      </c>
      <c r="O10134" t="s">
        <v>11693</v>
      </c>
    </row>
    <row r="10135" spans="1:15">
      <c r="A10135" t="s">
        <v>37738</v>
      </c>
      <c r="B10135" t="s">
        <v>6742</v>
      </c>
      <c r="C10135" t="s">
        <v>18362</v>
      </c>
      <c r="D10135" t="s">
        <v>37739</v>
      </c>
      <c r="E10135" t="b">
        <v>0</v>
      </c>
      <c r="F10135" t="s">
        <v>11610</v>
      </c>
      <c r="L10135">
        <v>0</v>
      </c>
      <c r="M10135">
        <v>0</v>
      </c>
      <c r="N10135">
        <v>0</v>
      </c>
    </row>
    <row r="10136" spans="1:15">
      <c r="A10136" t="s">
        <v>37740</v>
      </c>
      <c r="B10136" t="s">
        <v>13276</v>
      </c>
      <c r="C10136" t="s">
        <v>16746</v>
      </c>
      <c r="D10136" t="s">
        <v>37741</v>
      </c>
      <c r="E10136" t="b">
        <v>0</v>
      </c>
      <c r="F10136" t="s">
        <v>11624</v>
      </c>
      <c r="G10136">
        <v>10.76</v>
      </c>
      <c r="H10136">
        <v>-5.67</v>
      </c>
      <c r="I10136" t="s">
        <v>37742</v>
      </c>
      <c r="L10136">
        <v>0</v>
      </c>
      <c r="M10136">
        <v>0</v>
      </c>
      <c r="N10136">
        <v>0</v>
      </c>
      <c r="O10136" t="s">
        <v>19305</v>
      </c>
    </row>
    <row r="10137" spans="1:15">
      <c r="A10137" t="s">
        <v>37743</v>
      </c>
      <c r="B10137" t="s">
        <v>6742</v>
      </c>
      <c r="C10137" t="s">
        <v>134</v>
      </c>
      <c r="D10137" t="s">
        <v>37744</v>
      </c>
      <c r="E10137" t="b">
        <v>0</v>
      </c>
      <c r="F10137" t="s">
        <v>11610</v>
      </c>
      <c r="L10137">
        <v>0</v>
      </c>
      <c r="M10137">
        <v>0</v>
      </c>
      <c r="N10137">
        <v>0</v>
      </c>
    </row>
    <row r="10138" spans="1:15">
      <c r="A10138" t="s">
        <v>30011</v>
      </c>
      <c r="B10138" t="s">
        <v>13276</v>
      </c>
      <c r="C10138" t="s">
        <v>37745</v>
      </c>
      <c r="D10138" t="s">
        <v>37746</v>
      </c>
      <c r="E10138" t="b">
        <v>0</v>
      </c>
      <c r="F10138" t="s">
        <v>11622</v>
      </c>
      <c r="L10138">
        <v>0</v>
      </c>
      <c r="M10138">
        <v>3</v>
      </c>
      <c r="N10138">
        <v>0</v>
      </c>
    </row>
    <row r="10139" spans="1:15">
      <c r="A10139" t="s">
        <v>37747</v>
      </c>
      <c r="B10139" t="s">
        <v>6742</v>
      </c>
      <c r="C10139" t="s">
        <v>12003</v>
      </c>
      <c r="D10139" t="s">
        <v>37748</v>
      </c>
      <c r="E10139" t="b">
        <v>0</v>
      </c>
      <c r="F10139" t="s">
        <v>11624</v>
      </c>
      <c r="G10139">
        <v>8.05471</v>
      </c>
      <c r="H10139">
        <v>1.21078</v>
      </c>
      <c r="I10139" t="s">
        <v>37749</v>
      </c>
      <c r="L10139">
        <v>0</v>
      </c>
      <c r="M10139">
        <v>0</v>
      </c>
      <c r="N10139">
        <v>0</v>
      </c>
      <c r="O10139" t="s">
        <v>12704</v>
      </c>
    </row>
    <row r="10140" spans="1:15">
      <c r="A10140" t="s">
        <v>37750</v>
      </c>
      <c r="B10140" t="s">
        <v>6742</v>
      </c>
      <c r="C10140" t="s">
        <v>22954</v>
      </c>
      <c r="D10140" t="s">
        <v>37751</v>
      </c>
      <c r="E10140" t="b">
        <v>0</v>
      </c>
      <c r="F10140" t="s">
        <v>11624</v>
      </c>
      <c r="G10140">
        <v>8.0665300000000002</v>
      </c>
      <c r="H10140">
        <v>-0.80295000000000005</v>
      </c>
      <c r="I10140" t="s">
        <v>37752</v>
      </c>
      <c r="L10140">
        <v>0</v>
      </c>
      <c r="M10140">
        <v>0</v>
      </c>
      <c r="N10140">
        <v>0</v>
      </c>
      <c r="O10140" t="s">
        <v>11985</v>
      </c>
    </row>
    <row r="10141" spans="1:15">
      <c r="A10141" t="s">
        <v>37753</v>
      </c>
      <c r="B10141" t="s">
        <v>6742</v>
      </c>
      <c r="C10141" t="s">
        <v>17007</v>
      </c>
      <c r="D10141" t="s">
        <v>37754</v>
      </c>
      <c r="E10141" t="b">
        <v>0</v>
      </c>
      <c r="F10141" t="s">
        <v>11610</v>
      </c>
      <c r="L10141">
        <v>0</v>
      </c>
      <c r="M10141">
        <v>0</v>
      </c>
      <c r="N10141">
        <v>0</v>
      </c>
    </row>
    <row r="10142" spans="1:15">
      <c r="A10142" t="s">
        <v>37755</v>
      </c>
      <c r="B10142" t="s">
        <v>6742</v>
      </c>
      <c r="C10142" t="s">
        <v>25301</v>
      </c>
      <c r="D10142" t="s">
        <v>37756</v>
      </c>
      <c r="E10142" t="b">
        <v>0</v>
      </c>
      <c r="F10142" t="s">
        <v>11610</v>
      </c>
      <c r="L10142">
        <v>0</v>
      </c>
      <c r="M10142">
        <v>0</v>
      </c>
      <c r="N10142">
        <v>0</v>
      </c>
    </row>
    <row r="10143" spans="1:15">
      <c r="A10143" t="s">
        <v>37757</v>
      </c>
      <c r="B10143" t="s">
        <v>6742</v>
      </c>
      <c r="C10143" t="s">
        <v>24355</v>
      </c>
      <c r="D10143" t="s">
        <v>37758</v>
      </c>
      <c r="E10143" t="b">
        <v>0</v>
      </c>
      <c r="F10143" t="s">
        <v>11610</v>
      </c>
      <c r="L10143">
        <v>0</v>
      </c>
      <c r="M10143">
        <v>0</v>
      </c>
      <c r="N10143">
        <v>0</v>
      </c>
    </row>
    <row r="10144" spans="1:15">
      <c r="A10144" t="s">
        <v>37759</v>
      </c>
      <c r="B10144" t="s">
        <v>6742</v>
      </c>
      <c r="C10144" t="s">
        <v>14795</v>
      </c>
      <c r="D10144" t="s">
        <v>37760</v>
      </c>
      <c r="E10144" t="b">
        <v>0</v>
      </c>
      <c r="F10144" t="s">
        <v>11610</v>
      </c>
      <c r="L10144">
        <v>0</v>
      </c>
      <c r="M10144">
        <v>0</v>
      </c>
      <c r="N10144">
        <v>0</v>
      </c>
    </row>
    <row r="10145" spans="1:15">
      <c r="A10145" t="s">
        <v>32059</v>
      </c>
      <c r="B10145" t="s">
        <v>6742</v>
      </c>
      <c r="C10145" t="s">
        <v>15254</v>
      </c>
      <c r="D10145" t="s">
        <v>37761</v>
      </c>
      <c r="E10145" t="b">
        <v>0</v>
      </c>
      <c r="F10145" t="s">
        <v>11622</v>
      </c>
      <c r="L10145">
        <v>0</v>
      </c>
      <c r="M10145">
        <v>3</v>
      </c>
      <c r="N10145">
        <v>6</v>
      </c>
    </row>
    <row r="10146" spans="1:15">
      <c r="A10146" t="s">
        <v>37762</v>
      </c>
      <c r="B10146" t="s">
        <v>6742</v>
      </c>
      <c r="C10146" t="s">
        <v>17979</v>
      </c>
      <c r="D10146" t="s">
        <v>37763</v>
      </c>
      <c r="E10146" t="b">
        <v>0</v>
      </c>
      <c r="F10146" t="s">
        <v>11622</v>
      </c>
      <c r="L10146">
        <v>0</v>
      </c>
      <c r="M10146">
        <v>3</v>
      </c>
      <c r="N10146">
        <v>9</v>
      </c>
    </row>
    <row r="10147" spans="1:15">
      <c r="A10147" t="s">
        <v>37764</v>
      </c>
      <c r="B10147" t="s">
        <v>12260</v>
      </c>
      <c r="C10147" t="s">
        <v>37765</v>
      </c>
      <c r="D10147" t="s">
        <v>37766</v>
      </c>
      <c r="E10147" t="b">
        <v>0</v>
      </c>
      <c r="F10147" t="s">
        <v>11610</v>
      </c>
      <c r="L10147">
        <v>0</v>
      </c>
      <c r="M10147">
        <v>0</v>
      </c>
      <c r="N10147">
        <v>0</v>
      </c>
    </row>
    <row r="10148" spans="1:15">
      <c r="A10148" t="s">
        <v>37767</v>
      </c>
      <c r="B10148" t="s">
        <v>6742</v>
      </c>
      <c r="C10148" t="s">
        <v>22954</v>
      </c>
      <c r="D10148" t="s">
        <v>37768</v>
      </c>
      <c r="E10148" t="b">
        <v>0</v>
      </c>
      <c r="F10148" t="s">
        <v>11624</v>
      </c>
      <c r="G10148">
        <v>7.9347500000000002</v>
      </c>
      <c r="H10148">
        <v>1.925E-2</v>
      </c>
      <c r="I10148" t="s">
        <v>37769</v>
      </c>
      <c r="L10148">
        <v>0</v>
      </c>
      <c r="M10148">
        <v>0</v>
      </c>
      <c r="N10148">
        <v>0</v>
      </c>
      <c r="O10148" t="s">
        <v>11985</v>
      </c>
    </row>
    <row r="10149" spans="1:15">
      <c r="A10149" t="s">
        <v>679</v>
      </c>
      <c r="B10149" t="s">
        <v>11965</v>
      </c>
      <c r="C10149" t="s">
        <v>678</v>
      </c>
      <c r="D10149" t="s">
        <v>37770</v>
      </c>
      <c r="E10149" t="b">
        <v>0</v>
      </c>
      <c r="F10149" t="s">
        <v>11610</v>
      </c>
      <c r="G10149">
        <v>-8.0117200000000004</v>
      </c>
      <c r="H10149">
        <v>-47.577399999999997</v>
      </c>
      <c r="I10149" t="s">
        <v>37771</v>
      </c>
      <c r="L10149">
        <v>0</v>
      </c>
      <c r="M10149">
        <v>0</v>
      </c>
      <c r="N10149">
        <v>0</v>
      </c>
      <c r="O10149" t="s">
        <v>11969</v>
      </c>
    </row>
    <row r="10150" spans="1:15">
      <c r="A10150" t="s">
        <v>37772</v>
      </c>
      <c r="B10150" t="s">
        <v>11637</v>
      </c>
      <c r="C10150" t="s">
        <v>37773</v>
      </c>
      <c r="D10150" t="s">
        <v>37774</v>
      </c>
      <c r="E10150" t="b">
        <v>0</v>
      </c>
      <c r="F10150" t="s">
        <v>11610</v>
      </c>
      <c r="L10150">
        <v>0</v>
      </c>
      <c r="M10150">
        <v>0</v>
      </c>
      <c r="N10150">
        <v>0</v>
      </c>
    </row>
    <row r="10151" spans="1:15">
      <c r="A10151" t="s">
        <v>37775</v>
      </c>
      <c r="B10151" t="s">
        <v>11637</v>
      </c>
      <c r="C10151" t="s">
        <v>37773</v>
      </c>
      <c r="D10151" t="s">
        <v>37776</v>
      </c>
      <c r="E10151" t="b">
        <v>0</v>
      </c>
      <c r="F10151" t="s">
        <v>11610</v>
      </c>
      <c r="L10151">
        <v>0</v>
      </c>
      <c r="M10151">
        <v>0</v>
      </c>
      <c r="N10151">
        <v>0</v>
      </c>
    </row>
    <row r="10152" spans="1:15">
      <c r="A10152" t="s">
        <v>37777</v>
      </c>
      <c r="B10152" t="s">
        <v>12438</v>
      </c>
      <c r="C10152" t="s">
        <v>32486</v>
      </c>
      <c r="D10152" t="s">
        <v>37778</v>
      </c>
      <c r="E10152" t="b">
        <v>0</v>
      </c>
      <c r="F10152" t="s">
        <v>11610</v>
      </c>
      <c r="L10152">
        <v>0</v>
      </c>
      <c r="M10152">
        <v>0</v>
      </c>
      <c r="N10152">
        <v>0</v>
      </c>
    </row>
    <row r="10153" spans="1:15">
      <c r="A10153" t="s">
        <v>37779</v>
      </c>
      <c r="B10153" t="s">
        <v>12438</v>
      </c>
      <c r="C10153" t="s">
        <v>21395</v>
      </c>
      <c r="D10153" t="s">
        <v>37780</v>
      </c>
      <c r="E10153" t="b">
        <v>0</v>
      </c>
      <c r="F10153" t="s">
        <v>11624</v>
      </c>
      <c r="G10153">
        <v>12.810700000000001</v>
      </c>
      <c r="H10153">
        <v>106.539</v>
      </c>
      <c r="I10153" t="s">
        <v>37781</v>
      </c>
      <c r="L10153">
        <v>0</v>
      </c>
      <c r="M10153">
        <v>0</v>
      </c>
      <c r="N10153">
        <v>0</v>
      </c>
      <c r="O10153" t="s">
        <v>20983</v>
      </c>
    </row>
    <row r="10154" spans="1:15">
      <c r="A10154" t="s">
        <v>37782</v>
      </c>
      <c r="B10154" t="s">
        <v>11637</v>
      </c>
      <c r="C10154" t="s">
        <v>26685</v>
      </c>
      <c r="D10154" t="s">
        <v>37783</v>
      </c>
      <c r="E10154" t="b">
        <v>0</v>
      </c>
      <c r="F10154" t="s">
        <v>11610</v>
      </c>
      <c r="L10154">
        <v>0</v>
      </c>
      <c r="M10154">
        <v>0</v>
      </c>
      <c r="N10154">
        <v>0</v>
      </c>
    </row>
    <row r="10155" spans="1:15">
      <c r="A10155" t="s">
        <v>37784</v>
      </c>
      <c r="B10155" t="s">
        <v>12438</v>
      </c>
      <c r="C10155" t="s">
        <v>33095</v>
      </c>
      <c r="D10155" t="s">
        <v>37785</v>
      </c>
      <c r="E10155" t="b">
        <v>0</v>
      </c>
      <c r="F10155" t="s">
        <v>11610</v>
      </c>
      <c r="L10155">
        <v>0</v>
      </c>
      <c r="M10155">
        <v>0</v>
      </c>
      <c r="N10155">
        <v>0</v>
      </c>
    </row>
    <row r="10156" spans="1:15">
      <c r="A10156" t="s">
        <v>37786</v>
      </c>
      <c r="B10156" t="s">
        <v>12438</v>
      </c>
      <c r="C10156" t="s">
        <v>12915</v>
      </c>
      <c r="D10156" t="s">
        <v>37787</v>
      </c>
      <c r="E10156" t="b">
        <v>0</v>
      </c>
      <c r="F10156" t="s">
        <v>11610</v>
      </c>
      <c r="L10156">
        <v>0</v>
      </c>
      <c r="M10156">
        <v>0</v>
      </c>
      <c r="N10156">
        <v>0</v>
      </c>
    </row>
    <row r="10157" spans="1:15">
      <c r="A10157" t="s">
        <v>37788</v>
      </c>
      <c r="B10157" t="s">
        <v>11965</v>
      </c>
      <c r="C10157" t="s">
        <v>12527</v>
      </c>
      <c r="D10157" t="s">
        <v>37789</v>
      </c>
      <c r="E10157" t="b">
        <v>0</v>
      </c>
      <c r="F10157" t="s">
        <v>11624</v>
      </c>
      <c r="G10157">
        <v>-18.998799999999999</v>
      </c>
      <c r="H10157">
        <v>-41.229900000000001</v>
      </c>
      <c r="I10157" t="s">
        <v>37790</v>
      </c>
      <c r="L10157">
        <v>0</v>
      </c>
      <c r="M10157">
        <v>0</v>
      </c>
      <c r="N10157">
        <v>0</v>
      </c>
      <c r="O10157" t="s">
        <v>11969</v>
      </c>
    </row>
    <row r="10158" spans="1:15">
      <c r="A10158" t="s">
        <v>12611</v>
      </c>
      <c r="D10158" t="s">
        <v>37791</v>
      </c>
      <c r="E10158" t="b">
        <v>0</v>
      </c>
      <c r="F10158" t="s">
        <v>11622</v>
      </c>
      <c r="L10158">
        <v>0</v>
      </c>
      <c r="M10158">
        <v>2</v>
      </c>
      <c r="N10158">
        <v>7</v>
      </c>
    </row>
    <row r="10159" spans="1:15">
      <c r="A10159" t="s">
        <v>37792</v>
      </c>
      <c r="B10159" t="s">
        <v>12260</v>
      </c>
      <c r="C10159" t="s">
        <v>25896</v>
      </c>
      <c r="D10159" t="s">
        <v>37793</v>
      </c>
      <c r="E10159" t="b">
        <v>0</v>
      </c>
      <c r="F10159" t="s">
        <v>11610</v>
      </c>
      <c r="L10159">
        <v>0</v>
      </c>
      <c r="M10159">
        <v>0</v>
      </c>
      <c r="N10159">
        <v>0</v>
      </c>
    </row>
    <row r="10160" spans="1:15">
      <c r="A10160" t="s">
        <v>37794</v>
      </c>
      <c r="B10160" t="s">
        <v>11965</v>
      </c>
      <c r="C10160" t="s">
        <v>37795</v>
      </c>
      <c r="D10160" t="s">
        <v>37796</v>
      </c>
      <c r="E10160" t="b">
        <v>0</v>
      </c>
      <c r="F10160" t="s">
        <v>11624</v>
      </c>
      <c r="G10160">
        <v>-4.199179</v>
      </c>
      <c r="H10160">
        <v>-44.829538700000001</v>
      </c>
      <c r="I10160" t="s">
        <v>37797</v>
      </c>
      <c r="L10160">
        <v>0</v>
      </c>
      <c r="M10160">
        <v>0</v>
      </c>
      <c r="N10160">
        <v>0</v>
      </c>
      <c r="O10160" t="s">
        <v>11969</v>
      </c>
    </row>
    <row r="10161" spans="1:15">
      <c r="A10161" t="s">
        <v>37798</v>
      </c>
      <c r="B10161" t="s">
        <v>11965</v>
      </c>
      <c r="C10161" t="s">
        <v>37799</v>
      </c>
      <c r="D10161" t="s">
        <v>37800</v>
      </c>
      <c r="E10161" t="b">
        <v>0</v>
      </c>
      <c r="F10161" t="s">
        <v>11610</v>
      </c>
      <c r="G10161">
        <v>-5.94252</v>
      </c>
      <c r="H10161">
        <v>-46.750399999999999</v>
      </c>
      <c r="I10161" t="s">
        <v>37801</v>
      </c>
      <c r="L10161">
        <v>0</v>
      </c>
      <c r="M10161">
        <v>0</v>
      </c>
      <c r="N10161">
        <v>0</v>
      </c>
      <c r="O10161" t="s">
        <v>11969</v>
      </c>
    </row>
    <row r="10162" spans="1:15">
      <c r="A10162" t="s">
        <v>37802</v>
      </c>
      <c r="B10162" t="s">
        <v>6742</v>
      </c>
      <c r="C10162" t="s">
        <v>19367</v>
      </c>
      <c r="D10162" t="s">
        <v>37803</v>
      </c>
      <c r="E10162" t="b">
        <v>0</v>
      </c>
      <c r="F10162" t="s">
        <v>11610</v>
      </c>
      <c r="G10162">
        <v>7.2411599999999998</v>
      </c>
      <c r="H10162">
        <v>-11.8393</v>
      </c>
      <c r="I10162" t="s">
        <v>37804</v>
      </c>
      <c r="L10162">
        <v>0</v>
      </c>
      <c r="M10162">
        <v>0</v>
      </c>
      <c r="N10162">
        <v>0</v>
      </c>
      <c r="O10162" t="s">
        <v>19371</v>
      </c>
    </row>
    <row r="10163" spans="1:15">
      <c r="A10163" t="s">
        <v>37805</v>
      </c>
      <c r="B10163" t="s">
        <v>11965</v>
      </c>
      <c r="C10163" t="s">
        <v>37799</v>
      </c>
      <c r="D10163" t="s">
        <v>37806</v>
      </c>
      <c r="E10163" t="b">
        <v>0</v>
      </c>
      <c r="F10163" t="s">
        <v>11610</v>
      </c>
      <c r="L10163">
        <v>0</v>
      </c>
      <c r="M10163">
        <v>0</v>
      </c>
      <c r="N10163">
        <v>0</v>
      </c>
    </row>
    <row r="10164" spans="1:15">
      <c r="A10164" t="s">
        <v>37807</v>
      </c>
      <c r="B10164" t="s">
        <v>6742</v>
      </c>
      <c r="C10164" t="s">
        <v>28129</v>
      </c>
      <c r="D10164" t="s">
        <v>37808</v>
      </c>
      <c r="E10164" t="b">
        <v>0</v>
      </c>
      <c r="F10164" t="s">
        <v>11610</v>
      </c>
      <c r="L10164">
        <v>0</v>
      </c>
      <c r="M10164">
        <v>0</v>
      </c>
      <c r="N10164">
        <v>0</v>
      </c>
    </row>
    <row r="10165" spans="1:15">
      <c r="A10165" t="s">
        <v>37809</v>
      </c>
      <c r="B10165" t="s">
        <v>11637</v>
      </c>
      <c r="C10165" t="s">
        <v>25782</v>
      </c>
      <c r="D10165" t="s">
        <v>37810</v>
      </c>
      <c r="E10165" t="b">
        <v>0</v>
      </c>
      <c r="F10165" t="s">
        <v>11624</v>
      </c>
      <c r="G10165">
        <v>-18.135000000000002</v>
      </c>
      <c r="H10165">
        <v>137.66900000000001</v>
      </c>
      <c r="I10165" t="s">
        <v>37811</v>
      </c>
      <c r="L10165">
        <v>0</v>
      </c>
      <c r="M10165">
        <v>0</v>
      </c>
      <c r="N10165">
        <v>0</v>
      </c>
      <c r="O10165" t="s">
        <v>12107</v>
      </c>
    </row>
    <row r="10166" spans="1:15">
      <c r="A10166" t="s">
        <v>37812</v>
      </c>
      <c r="B10166" t="s">
        <v>11637</v>
      </c>
      <c r="C10166" t="s">
        <v>27810</v>
      </c>
      <c r="D10166" t="s">
        <v>37813</v>
      </c>
      <c r="E10166" t="b">
        <v>0</v>
      </c>
      <c r="F10166" t="s">
        <v>11624</v>
      </c>
      <c r="G10166">
        <v>10.8811</v>
      </c>
      <c r="H10166">
        <v>-14.320399999999999</v>
      </c>
      <c r="I10166" t="s">
        <v>37814</v>
      </c>
      <c r="L10166">
        <v>0</v>
      </c>
      <c r="M10166">
        <v>0</v>
      </c>
      <c r="N10166">
        <v>0</v>
      </c>
      <c r="O10166" t="s">
        <v>37815</v>
      </c>
    </row>
    <row r="10167" spans="1:15">
      <c r="A10167" t="s">
        <v>37816</v>
      </c>
      <c r="B10167" t="s">
        <v>16986</v>
      </c>
      <c r="C10167" t="s">
        <v>16986</v>
      </c>
      <c r="D10167" t="s">
        <v>37817</v>
      </c>
      <c r="E10167" t="b">
        <v>0</v>
      </c>
      <c r="F10167" t="s">
        <v>11624</v>
      </c>
      <c r="G10167">
        <v>-2.80084</v>
      </c>
      <c r="H10167">
        <v>141.303</v>
      </c>
      <c r="I10167" t="s">
        <v>37818</v>
      </c>
      <c r="L10167">
        <v>0</v>
      </c>
      <c r="M10167">
        <v>0</v>
      </c>
      <c r="N10167">
        <v>0</v>
      </c>
      <c r="O10167" t="s">
        <v>11660</v>
      </c>
    </row>
    <row r="10168" spans="1:15">
      <c r="A10168" t="s">
        <v>37819</v>
      </c>
      <c r="B10168" t="s">
        <v>11637</v>
      </c>
      <c r="C10168" t="s">
        <v>26685</v>
      </c>
      <c r="D10168" t="s">
        <v>37820</v>
      </c>
      <c r="E10168" t="b">
        <v>0</v>
      </c>
      <c r="F10168" t="s">
        <v>11610</v>
      </c>
      <c r="L10168">
        <v>0</v>
      </c>
      <c r="M10168">
        <v>0</v>
      </c>
      <c r="N10168">
        <v>0</v>
      </c>
    </row>
    <row r="10169" spans="1:15">
      <c r="A10169" t="s">
        <v>37821</v>
      </c>
      <c r="B10169" t="s">
        <v>6742</v>
      </c>
      <c r="C10169" t="s">
        <v>11971</v>
      </c>
      <c r="D10169" t="s">
        <v>37822</v>
      </c>
      <c r="E10169" t="b">
        <v>0</v>
      </c>
      <c r="F10169" t="s">
        <v>11610</v>
      </c>
      <c r="L10169">
        <v>0</v>
      </c>
      <c r="M10169">
        <v>0</v>
      </c>
      <c r="N10169">
        <v>0</v>
      </c>
    </row>
    <row r="10170" spans="1:15">
      <c r="A10170" t="s">
        <v>37823</v>
      </c>
      <c r="B10170" t="s">
        <v>6742</v>
      </c>
      <c r="C10170" t="s">
        <v>21846</v>
      </c>
      <c r="D10170" t="s">
        <v>37824</v>
      </c>
      <c r="E10170" t="b">
        <v>0</v>
      </c>
      <c r="F10170" t="s">
        <v>11624</v>
      </c>
      <c r="G10170">
        <v>5.8616099999999998</v>
      </c>
      <c r="H10170">
        <v>-4.4773899999999998</v>
      </c>
      <c r="I10170" t="s">
        <v>37825</v>
      </c>
      <c r="L10170">
        <v>0</v>
      </c>
      <c r="M10170">
        <v>0</v>
      </c>
      <c r="N10170">
        <v>0</v>
      </c>
      <c r="O10170" t="s">
        <v>11735</v>
      </c>
    </row>
    <row r="10171" spans="1:15">
      <c r="A10171" t="s">
        <v>37826</v>
      </c>
      <c r="B10171" t="s">
        <v>367</v>
      </c>
      <c r="C10171" t="s">
        <v>14866</v>
      </c>
      <c r="D10171" t="s">
        <v>37827</v>
      </c>
      <c r="E10171" t="b">
        <v>0</v>
      </c>
      <c r="F10171" t="s">
        <v>11610</v>
      </c>
      <c r="L10171">
        <v>0</v>
      </c>
      <c r="M10171">
        <v>0</v>
      </c>
      <c r="N10171">
        <v>0</v>
      </c>
    </row>
    <row r="10172" spans="1:15">
      <c r="A10172" t="s">
        <v>27681</v>
      </c>
      <c r="B10172" t="s">
        <v>11868</v>
      </c>
      <c r="C10172" t="s">
        <v>26130</v>
      </c>
      <c r="D10172" t="s">
        <v>37828</v>
      </c>
      <c r="E10172" t="b">
        <v>0</v>
      </c>
      <c r="F10172" t="s">
        <v>11624</v>
      </c>
      <c r="G10172">
        <v>10.513999999999999</v>
      </c>
      <c r="H10172">
        <v>30.003</v>
      </c>
      <c r="I10172" t="s">
        <v>37829</v>
      </c>
      <c r="L10172">
        <v>0</v>
      </c>
      <c r="M10172">
        <v>0</v>
      </c>
      <c r="N10172">
        <v>1</v>
      </c>
      <c r="O10172" t="s">
        <v>11910</v>
      </c>
    </row>
    <row r="10173" spans="1:15">
      <c r="A10173" t="s">
        <v>37830</v>
      </c>
      <c r="B10173" t="s">
        <v>11868</v>
      </c>
      <c r="C10173" t="s">
        <v>11869</v>
      </c>
      <c r="D10173" t="s">
        <v>37831</v>
      </c>
      <c r="E10173" t="b">
        <v>0</v>
      </c>
      <c r="F10173" t="s">
        <v>11610</v>
      </c>
      <c r="L10173">
        <v>0</v>
      </c>
      <c r="M10173">
        <v>0</v>
      </c>
      <c r="N10173">
        <v>0</v>
      </c>
    </row>
    <row r="10174" spans="1:15">
      <c r="A10174" t="s">
        <v>12595</v>
      </c>
      <c r="B10174" t="s">
        <v>6742</v>
      </c>
      <c r="C10174" t="s">
        <v>18018</v>
      </c>
      <c r="D10174" t="s">
        <v>37832</v>
      </c>
      <c r="E10174" t="b">
        <v>0</v>
      </c>
      <c r="F10174" t="s">
        <v>11622</v>
      </c>
      <c r="L10174">
        <v>23</v>
      </c>
      <c r="M10174">
        <v>38</v>
      </c>
      <c r="N10174">
        <v>118</v>
      </c>
    </row>
    <row r="10175" spans="1:15">
      <c r="A10175" t="s">
        <v>37833</v>
      </c>
      <c r="B10175" t="s">
        <v>11627</v>
      </c>
      <c r="C10175" t="s">
        <v>11627</v>
      </c>
      <c r="D10175" t="s">
        <v>37834</v>
      </c>
      <c r="E10175" t="b">
        <v>1</v>
      </c>
      <c r="F10175" t="s">
        <v>11624</v>
      </c>
      <c r="I10175" t="s">
        <v>37835</v>
      </c>
      <c r="L10175">
        <v>0</v>
      </c>
      <c r="M10175">
        <v>0</v>
      </c>
      <c r="N10175">
        <v>0</v>
      </c>
    </row>
    <row r="10176" spans="1:15">
      <c r="A10176" t="s">
        <v>37836</v>
      </c>
      <c r="B10176" t="s">
        <v>12438</v>
      </c>
      <c r="C10176" t="s">
        <v>35498</v>
      </c>
      <c r="D10176" t="s">
        <v>37837</v>
      </c>
      <c r="E10176" t="b">
        <v>0</v>
      </c>
      <c r="F10176" t="s">
        <v>11624</v>
      </c>
      <c r="G10176">
        <v>13.569900000000001</v>
      </c>
      <c r="H10176">
        <v>106.761</v>
      </c>
      <c r="I10176" t="s">
        <v>37838</v>
      </c>
      <c r="L10176">
        <v>0</v>
      </c>
      <c r="M10176">
        <v>0</v>
      </c>
      <c r="N10176">
        <v>0</v>
      </c>
      <c r="O10176" t="s">
        <v>20983</v>
      </c>
    </row>
    <row r="10177" spans="1:15">
      <c r="A10177" t="s">
        <v>37839</v>
      </c>
      <c r="B10177" t="s">
        <v>367</v>
      </c>
      <c r="C10177" t="s">
        <v>12044</v>
      </c>
      <c r="D10177" t="s">
        <v>37840</v>
      </c>
      <c r="E10177" t="b">
        <v>0</v>
      </c>
      <c r="F10177" t="s">
        <v>11610</v>
      </c>
      <c r="L10177">
        <v>0</v>
      </c>
      <c r="M10177">
        <v>0</v>
      </c>
      <c r="N10177">
        <v>0</v>
      </c>
    </row>
    <row r="10178" spans="1:15">
      <c r="A10178" t="s">
        <v>37841</v>
      </c>
      <c r="B10178" t="s">
        <v>331</v>
      </c>
      <c r="C10178" t="s">
        <v>23535</v>
      </c>
      <c r="D10178" t="s">
        <v>37842</v>
      </c>
      <c r="E10178" t="b">
        <v>0</v>
      </c>
      <c r="F10178" t="s">
        <v>11624</v>
      </c>
      <c r="G10178">
        <v>39.841200000000001</v>
      </c>
      <c r="H10178">
        <v>66.380499999999998</v>
      </c>
      <c r="I10178" t="s">
        <v>37843</v>
      </c>
      <c r="L10178">
        <v>0</v>
      </c>
      <c r="M10178">
        <v>0</v>
      </c>
      <c r="N10178">
        <v>0</v>
      </c>
      <c r="O10178" t="s">
        <v>37844</v>
      </c>
    </row>
    <row r="10179" spans="1:15">
      <c r="A10179" t="s">
        <v>13232</v>
      </c>
      <c r="B10179" t="s">
        <v>12311</v>
      </c>
      <c r="C10179" t="s">
        <v>20032</v>
      </c>
      <c r="D10179" t="s">
        <v>37845</v>
      </c>
      <c r="E10179" t="b">
        <v>0</v>
      </c>
      <c r="F10179" t="s">
        <v>11624</v>
      </c>
      <c r="G10179">
        <v>41.181100000000001</v>
      </c>
      <c r="H10179">
        <v>48.184600000000003</v>
      </c>
      <c r="I10179" t="s">
        <v>37846</v>
      </c>
      <c r="L10179">
        <v>0</v>
      </c>
      <c r="M10179">
        <v>0</v>
      </c>
      <c r="N10179">
        <v>5</v>
      </c>
      <c r="O10179" t="s">
        <v>12049</v>
      </c>
    </row>
    <row r="10180" spans="1:15">
      <c r="A10180" t="s">
        <v>37847</v>
      </c>
      <c r="B10180" t="s">
        <v>12311</v>
      </c>
      <c r="C10180" t="s">
        <v>13232</v>
      </c>
      <c r="D10180" t="s">
        <v>37848</v>
      </c>
      <c r="E10180" t="b">
        <v>0</v>
      </c>
      <c r="F10180" t="s">
        <v>11610</v>
      </c>
      <c r="L10180">
        <v>0</v>
      </c>
      <c r="M10180">
        <v>0</v>
      </c>
      <c r="N10180">
        <v>0</v>
      </c>
    </row>
    <row r="10181" spans="1:15">
      <c r="A10181" t="s">
        <v>37849</v>
      </c>
      <c r="B10181" t="s">
        <v>11637</v>
      </c>
      <c r="C10181" t="s">
        <v>14469</v>
      </c>
      <c r="D10181" t="s">
        <v>37850</v>
      </c>
      <c r="E10181" t="b">
        <v>0</v>
      </c>
      <c r="F10181" t="s">
        <v>11610</v>
      </c>
      <c r="L10181">
        <v>0</v>
      </c>
      <c r="M10181">
        <v>0</v>
      </c>
      <c r="N10181">
        <v>0</v>
      </c>
    </row>
    <row r="10182" spans="1:15">
      <c r="A10182" t="s">
        <v>37851</v>
      </c>
      <c r="B10182" t="s">
        <v>4236</v>
      </c>
      <c r="C10182" t="s">
        <v>37852</v>
      </c>
      <c r="D10182" t="s">
        <v>37853</v>
      </c>
      <c r="E10182" t="b">
        <v>0</v>
      </c>
      <c r="F10182" t="s">
        <v>11624</v>
      </c>
      <c r="G10182">
        <v>-22.023700000000002</v>
      </c>
      <c r="H10182">
        <v>26.015799999999999</v>
      </c>
      <c r="I10182" t="s">
        <v>37854</v>
      </c>
      <c r="L10182">
        <v>0</v>
      </c>
      <c r="M10182">
        <v>0</v>
      </c>
      <c r="N10182">
        <v>0</v>
      </c>
      <c r="O10182" t="s">
        <v>13927</v>
      </c>
    </row>
    <row r="10183" spans="1:15">
      <c r="A10183" t="s">
        <v>37855</v>
      </c>
      <c r="B10183" t="s">
        <v>12438</v>
      </c>
      <c r="C10183" t="s">
        <v>18145</v>
      </c>
      <c r="D10183" t="s">
        <v>37856</v>
      </c>
      <c r="E10183" t="b">
        <v>0</v>
      </c>
      <c r="F10183" t="s">
        <v>11610</v>
      </c>
      <c r="L10183">
        <v>0</v>
      </c>
      <c r="M10183">
        <v>0</v>
      </c>
      <c r="N10183">
        <v>0</v>
      </c>
    </row>
    <row r="10184" spans="1:15">
      <c r="A10184" t="s">
        <v>37857</v>
      </c>
      <c r="B10184" t="s">
        <v>12438</v>
      </c>
      <c r="C10184" t="s">
        <v>33095</v>
      </c>
      <c r="D10184" t="s">
        <v>37858</v>
      </c>
      <c r="E10184" t="b">
        <v>0</v>
      </c>
      <c r="F10184" t="s">
        <v>11610</v>
      </c>
      <c r="L10184">
        <v>0</v>
      </c>
      <c r="M10184">
        <v>0</v>
      </c>
      <c r="N10184">
        <v>0</v>
      </c>
    </row>
    <row r="10185" spans="1:15">
      <c r="A10185" t="s">
        <v>37859</v>
      </c>
      <c r="B10185" t="s">
        <v>367</v>
      </c>
      <c r="C10185" t="s">
        <v>16724</v>
      </c>
      <c r="D10185" t="s">
        <v>37860</v>
      </c>
      <c r="E10185" t="b">
        <v>0</v>
      </c>
      <c r="F10185" t="s">
        <v>11610</v>
      </c>
      <c r="L10185">
        <v>0</v>
      </c>
      <c r="M10185">
        <v>0</v>
      </c>
      <c r="N10185">
        <v>0</v>
      </c>
    </row>
    <row r="10186" spans="1:15">
      <c r="A10186" t="s">
        <v>37861</v>
      </c>
      <c r="B10186" t="s">
        <v>367</v>
      </c>
      <c r="C10186" t="s">
        <v>17635</v>
      </c>
      <c r="D10186" t="s">
        <v>37862</v>
      </c>
      <c r="E10186" t="b">
        <v>0</v>
      </c>
      <c r="F10186" t="s">
        <v>11610</v>
      </c>
      <c r="L10186">
        <v>0</v>
      </c>
      <c r="M10186">
        <v>0</v>
      </c>
      <c r="N10186">
        <v>0</v>
      </c>
    </row>
    <row r="10187" spans="1:15">
      <c r="A10187" t="s">
        <v>37863</v>
      </c>
      <c r="B10187" t="s">
        <v>11644</v>
      </c>
      <c r="C10187" t="s">
        <v>37864</v>
      </c>
      <c r="D10187" t="s">
        <v>37865</v>
      </c>
      <c r="E10187" t="b">
        <v>0</v>
      </c>
      <c r="F10187" t="s">
        <v>11624</v>
      </c>
      <c r="G10187">
        <v>26.35</v>
      </c>
      <c r="H10187">
        <v>103.33</v>
      </c>
      <c r="I10187" t="s">
        <v>37866</v>
      </c>
      <c r="L10187">
        <v>0</v>
      </c>
      <c r="M10187">
        <v>0</v>
      </c>
      <c r="N10187">
        <v>0</v>
      </c>
      <c r="O10187" t="s">
        <v>11905</v>
      </c>
    </row>
    <row r="10188" spans="1:15">
      <c r="A10188" t="s">
        <v>37867</v>
      </c>
      <c r="B10188" t="s">
        <v>5126</v>
      </c>
      <c r="C10188" t="s">
        <v>19778</v>
      </c>
      <c r="D10188" t="s">
        <v>37868</v>
      </c>
      <c r="E10188" t="b">
        <v>0</v>
      </c>
      <c r="F10188" t="s">
        <v>11624</v>
      </c>
      <c r="G10188">
        <v>18.076899999999998</v>
      </c>
      <c r="H10188">
        <v>105.31</v>
      </c>
      <c r="I10188" t="s">
        <v>37869</v>
      </c>
      <c r="L10188">
        <v>0</v>
      </c>
      <c r="M10188">
        <v>0</v>
      </c>
      <c r="N10188">
        <v>0</v>
      </c>
      <c r="O10188" t="s">
        <v>12921</v>
      </c>
    </row>
    <row r="10189" spans="1:15">
      <c r="A10189" t="s">
        <v>37870</v>
      </c>
      <c r="B10189" t="s">
        <v>6742</v>
      </c>
      <c r="C10189" t="s">
        <v>37871</v>
      </c>
      <c r="D10189" t="s">
        <v>37872</v>
      </c>
      <c r="E10189" t="b">
        <v>0</v>
      </c>
      <c r="F10189" t="s">
        <v>11624</v>
      </c>
      <c r="G10189">
        <v>-17.717600000000001</v>
      </c>
      <c r="H10189">
        <v>16.579999999999998</v>
      </c>
      <c r="I10189" t="s">
        <v>37873</v>
      </c>
      <c r="L10189">
        <v>0</v>
      </c>
      <c r="M10189">
        <v>0</v>
      </c>
      <c r="N10189">
        <v>0</v>
      </c>
      <c r="O10189" t="s">
        <v>37874</v>
      </c>
    </row>
    <row r="10190" spans="1:15">
      <c r="A10190" t="s">
        <v>7268</v>
      </c>
      <c r="B10190" t="s">
        <v>367</v>
      </c>
      <c r="C10190" t="s">
        <v>30201</v>
      </c>
      <c r="D10190" t="s">
        <v>37875</v>
      </c>
      <c r="E10190" t="b">
        <v>0</v>
      </c>
      <c r="F10190" t="s">
        <v>11624</v>
      </c>
      <c r="G10190">
        <v>-4.3098599999999996</v>
      </c>
      <c r="H10190">
        <v>152.114</v>
      </c>
      <c r="I10190" t="s">
        <v>7269</v>
      </c>
      <c r="L10190">
        <v>0</v>
      </c>
      <c r="M10190">
        <v>0</v>
      </c>
      <c r="N10190">
        <v>14</v>
      </c>
      <c r="O10190" t="s">
        <v>11660</v>
      </c>
    </row>
    <row r="10191" spans="1:15">
      <c r="A10191" t="s">
        <v>37876</v>
      </c>
      <c r="B10191" t="s">
        <v>11644</v>
      </c>
      <c r="C10191" t="s">
        <v>37864</v>
      </c>
      <c r="D10191" t="s">
        <v>37877</v>
      </c>
      <c r="E10191" t="b">
        <v>0</v>
      </c>
      <c r="F10191" t="s">
        <v>11624</v>
      </c>
      <c r="G10191">
        <v>26.45</v>
      </c>
      <c r="H10191">
        <v>103.33</v>
      </c>
      <c r="I10191" t="s">
        <v>37878</v>
      </c>
      <c r="L10191">
        <v>0</v>
      </c>
      <c r="M10191">
        <v>0</v>
      </c>
      <c r="N10191">
        <v>0</v>
      </c>
      <c r="O10191" t="s">
        <v>11905</v>
      </c>
    </row>
    <row r="10192" spans="1:15">
      <c r="A10192" t="s">
        <v>37879</v>
      </c>
      <c r="B10192" t="s">
        <v>11627</v>
      </c>
      <c r="C10192" t="s">
        <v>11627</v>
      </c>
      <c r="D10192" t="s">
        <v>37880</v>
      </c>
      <c r="E10192" t="b">
        <v>1</v>
      </c>
      <c r="F10192" t="s">
        <v>11624</v>
      </c>
      <c r="G10192">
        <v>21.9802</v>
      </c>
      <c r="H10192">
        <v>101.158</v>
      </c>
      <c r="I10192" t="s">
        <v>37881</v>
      </c>
      <c r="L10192">
        <v>0</v>
      </c>
      <c r="M10192">
        <v>0</v>
      </c>
      <c r="N10192">
        <v>0</v>
      </c>
      <c r="O10192" t="s">
        <v>11905</v>
      </c>
    </row>
    <row r="10193" spans="1:15">
      <c r="A10193" t="s">
        <v>37882</v>
      </c>
      <c r="B10193" t="s">
        <v>11644</v>
      </c>
      <c r="C10193" t="s">
        <v>37883</v>
      </c>
      <c r="D10193" t="s">
        <v>37884</v>
      </c>
      <c r="E10193" t="b">
        <v>0</v>
      </c>
      <c r="F10193" t="s">
        <v>11622</v>
      </c>
      <c r="L10193">
        <v>1</v>
      </c>
      <c r="M10193">
        <v>3</v>
      </c>
      <c r="N10193">
        <v>0</v>
      </c>
    </row>
    <row r="10194" spans="1:15">
      <c r="A10194" t="s">
        <v>37864</v>
      </c>
      <c r="B10194" t="s">
        <v>11644</v>
      </c>
      <c r="C10194" t="s">
        <v>37882</v>
      </c>
      <c r="D10194" t="s">
        <v>37885</v>
      </c>
      <c r="E10194" t="b">
        <v>0</v>
      </c>
      <c r="F10194" t="s">
        <v>11622</v>
      </c>
      <c r="L10194">
        <v>0</v>
      </c>
      <c r="M10194">
        <v>2</v>
      </c>
      <c r="N10194">
        <v>0</v>
      </c>
    </row>
    <row r="10195" spans="1:15">
      <c r="A10195" t="s">
        <v>37886</v>
      </c>
      <c r="B10195" t="s">
        <v>331</v>
      </c>
      <c r="C10195" t="s">
        <v>22497</v>
      </c>
      <c r="D10195" t="s">
        <v>37887</v>
      </c>
      <c r="E10195" t="b">
        <v>0</v>
      </c>
      <c r="F10195" t="s">
        <v>11610</v>
      </c>
      <c r="L10195">
        <v>0</v>
      </c>
      <c r="M10195">
        <v>0</v>
      </c>
      <c r="N10195">
        <v>0</v>
      </c>
    </row>
    <row r="10196" spans="1:15">
      <c r="A10196" t="s">
        <v>37888</v>
      </c>
      <c r="B10196" t="s">
        <v>12438</v>
      </c>
      <c r="C10196" t="s">
        <v>22245</v>
      </c>
      <c r="D10196" t="s">
        <v>37889</v>
      </c>
      <c r="E10196" t="b">
        <v>0</v>
      </c>
      <c r="F10196" t="s">
        <v>11610</v>
      </c>
      <c r="L10196">
        <v>0</v>
      </c>
      <c r="M10196">
        <v>0</v>
      </c>
      <c r="N10196">
        <v>0</v>
      </c>
    </row>
    <row r="10197" spans="1:15">
      <c r="A10197" t="s">
        <v>37890</v>
      </c>
      <c r="B10197" t="s">
        <v>12311</v>
      </c>
      <c r="C10197" t="s">
        <v>22701</v>
      </c>
      <c r="D10197" t="s">
        <v>37891</v>
      </c>
      <c r="E10197" t="b">
        <v>0</v>
      </c>
      <c r="F10197" t="s">
        <v>11624</v>
      </c>
      <c r="G10197">
        <v>42.085039999999999</v>
      </c>
      <c r="H10197">
        <v>47.601843000000002</v>
      </c>
      <c r="L10197">
        <v>0</v>
      </c>
      <c r="M10197">
        <v>0</v>
      </c>
      <c r="N10197">
        <v>0</v>
      </c>
    </row>
    <row r="10198" spans="1:15">
      <c r="A10198" t="s">
        <v>37892</v>
      </c>
      <c r="B10198" t="s">
        <v>12311</v>
      </c>
      <c r="C10198" t="s">
        <v>12742</v>
      </c>
      <c r="D10198" t="s">
        <v>37893</v>
      </c>
      <c r="E10198" t="b">
        <v>0</v>
      </c>
      <c r="F10198" t="s">
        <v>11610</v>
      </c>
      <c r="L10198">
        <v>0</v>
      </c>
      <c r="M10198">
        <v>0</v>
      </c>
      <c r="N10198">
        <v>0</v>
      </c>
    </row>
    <row r="10199" spans="1:15">
      <c r="A10199" t="s">
        <v>37894</v>
      </c>
      <c r="B10199" t="s">
        <v>13967</v>
      </c>
      <c r="C10199" t="s">
        <v>37895</v>
      </c>
      <c r="D10199" t="s">
        <v>37896</v>
      </c>
      <c r="E10199" t="b">
        <v>0</v>
      </c>
      <c r="F10199" t="s">
        <v>11610</v>
      </c>
      <c r="L10199">
        <v>0</v>
      </c>
      <c r="M10199">
        <v>0</v>
      </c>
      <c r="N10199">
        <v>0</v>
      </c>
    </row>
    <row r="10200" spans="1:15">
      <c r="A10200" t="s">
        <v>37897</v>
      </c>
      <c r="B10200" t="s">
        <v>13967</v>
      </c>
      <c r="C10200" t="s">
        <v>3352</v>
      </c>
      <c r="D10200" t="s">
        <v>37898</v>
      </c>
      <c r="E10200" t="b">
        <v>0</v>
      </c>
      <c r="F10200" t="s">
        <v>11610</v>
      </c>
      <c r="L10200">
        <v>0</v>
      </c>
      <c r="M10200">
        <v>0</v>
      </c>
      <c r="N10200">
        <v>0</v>
      </c>
    </row>
    <row r="10201" spans="1:15">
      <c r="A10201" t="s">
        <v>37899</v>
      </c>
      <c r="B10201" t="s">
        <v>11615</v>
      </c>
      <c r="C10201" t="s">
        <v>24349</v>
      </c>
      <c r="D10201" t="s">
        <v>37900</v>
      </c>
      <c r="E10201" t="b">
        <v>0</v>
      </c>
      <c r="F10201" t="s">
        <v>11624</v>
      </c>
      <c r="G10201">
        <v>-6.4258600000000001</v>
      </c>
      <c r="H10201">
        <v>147.536</v>
      </c>
      <c r="I10201" t="s">
        <v>37901</v>
      </c>
      <c r="L10201">
        <v>0</v>
      </c>
      <c r="M10201">
        <v>0</v>
      </c>
      <c r="N10201">
        <v>3</v>
      </c>
      <c r="O10201" t="s">
        <v>11660</v>
      </c>
    </row>
    <row r="10202" spans="1:15">
      <c r="A10202" t="s">
        <v>37902</v>
      </c>
      <c r="B10202" t="s">
        <v>11844</v>
      </c>
      <c r="C10202" t="s">
        <v>37216</v>
      </c>
      <c r="D10202" t="s">
        <v>37903</v>
      </c>
      <c r="E10202" t="b">
        <v>0</v>
      </c>
      <c r="F10202" t="s">
        <v>11610</v>
      </c>
      <c r="L10202">
        <v>0</v>
      </c>
      <c r="M10202">
        <v>0</v>
      </c>
      <c r="N10202">
        <v>0</v>
      </c>
    </row>
    <row r="10203" spans="1:15">
      <c r="A10203" t="s">
        <v>37904</v>
      </c>
      <c r="B10203" t="s">
        <v>11607</v>
      </c>
      <c r="C10203" t="s">
        <v>24505</v>
      </c>
      <c r="D10203" t="s">
        <v>37905</v>
      </c>
      <c r="E10203" t="b">
        <v>0</v>
      </c>
      <c r="F10203" t="s">
        <v>11624</v>
      </c>
      <c r="G10203">
        <v>10.6274</v>
      </c>
      <c r="H10203">
        <v>10.2746</v>
      </c>
      <c r="I10203" t="s">
        <v>37906</v>
      </c>
      <c r="L10203">
        <v>0</v>
      </c>
      <c r="M10203">
        <v>0</v>
      </c>
      <c r="N10203">
        <v>0</v>
      </c>
      <c r="O10203" t="s">
        <v>11693</v>
      </c>
    </row>
    <row r="10204" spans="1:15">
      <c r="A10204" t="s">
        <v>24505</v>
      </c>
      <c r="B10204" t="s">
        <v>11607</v>
      </c>
      <c r="C10204" t="s">
        <v>29070</v>
      </c>
      <c r="D10204" t="s">
        <v>37907</v>
      </c>
      <c r="E10204" t="b">
        <v>0</v>
      </c>
      <c r="F10204" t="s">
        <v>11622</v>
      </c>
      <c r="L10204">
        <v>0</v>
      </c>
      <c r="M10204">
        <v>2</v>
      </c>
      <c r="N10204">
        <v>0</v>
      </c>
    </row>
    <row r="10205" spans="1:15">
      <c r="A10205" t="s">
        <v>29422</v>
      </c>
      <c r="B10205" t="s">
        <v>26147</v>
      </c>
      <c r="C10205" t="s">
        <v>26147</v>
      </c>
      <c r="D10205" t="s">
        <v>37908</v>
      </c>
      <c r="E10205" t="b">
        <v>0</v>
      </c>
      <c r="F10205" t="s">
        <v>11622</v>
      </c>
      <c r="L10205">
        <v>0</v>
      </c>
      <c r="M10205">
        <v>3</v>
      </c>
      <c r="N10205">
        <v>3</v>
      </c>
    </row>
    <row r="10206" spans="1:15">
      <c r="A10206" t="s">
        <v>37909</v>
      </c>
      <c r="B10206" t="s">
        <v>26147</v>
      </c>
      <c r="C10206" t="s">
        <v>29422</v>
      </c>
      <c r="D10206" t="s">
        <v>37910</v>
      </c>
      <c r="E10206" t="b">
        <v>0</v>
      </c>
      <c r="F10206" t="s">
        <v>11624</v>
      </c>
      <c r="G10206">
        <v>-5.92584</v>
      </c>
      <c r="H10206">
        <v>142.18299999999999</v>
      </c>
      <c r="I10206" t="s">
        <v>37911</v>
      </c>
      <c r="L10206">
        <v>0</v>
      </c>
      <c r="M10206">
        <v>0</v>
      </c>
      <c r="N10206">
        <v>0</v>
      </c>
      <c r="O10206" t="s">
        <v>11660</v>
      </c>
    </row>
    <row r="10207" spans="1:15">
      <c r="A10207" t="s">
        <v>37912</v>
      </c>
      <c r="B10207" t="s">
        <v>367</v>
      </c>
      <c r="C10207" t="s">
        <v>15251</v>
      </c>
      <c r="D10207" t="s">
        <v>37913</v>
      </c>
      <c r="E10207" t="b">
        <v>0</v>
      </c>
      <c r="F10207" t="s">
        <v>11610</v>
      </c>
      <c r="L10207">
        <v>0</v>
      </c>
      <c r="M10207">
        <v>0</v>
      </c>
      <c r="N10207">
        <v>0</v>
      </c>
    </row>
    <row r="10208" spans="1:15">
      <c r="A10208" t="s">
        <v>37914</v>
      </c>
      <c r="B10208" t="s">
        <v>367</v>
      </c>
      <c r="C10208" t="s">
        <v>28576</v>
      </c>
      <c r="D10208" t="s">
        <v>37915</v>
      </c>
      <c r="E10208" t="b">
        <v>0</v>
      </c>
      <c r="F10208" t="s">
        <v>11610</v>
      </c>
      <c r="L10208">
        <v>0</v>
      </c>
      <c r="M10208">
        <v>0</v>
      </c>
      <c r="N10208">
        <v>0</v>
      </c>
    </row>
    <row r="10209" spans="1:15">
      <c r="A10209" t="s">
        <v>16048</v>
      </c>
      <c r="B10209" t="s">
        <v>367</v>
      </c>
      <c r="C10209" t="s">
        <v>16294</v>
      </c>
      <c r="D10209" t="s">
        <v>37916</v>
      </c>
      <c r="E10209" t="b">
        <v>0</v>
      </c>
      <c r="F10209" t="s">
        <v>11624</v>
      </c>
      <c r="G10209">
        <v>-2.4266100000000002</v>
      </c>
      <c r="H10209">
        <v>102.193</v>
      </c>
      <c r="I10209" t="s">
        <v>37917</v>
      </c>
      <c r="L10209">
        <v>0</v>
      </c>
      <c r="M10209">
        <v>0</v>
      </c>
      <c r="N10209">
        <v>10</v>
      </c>
      <c r="O10209" t="s">
        <v>11768</v>
      </c>
    </row>
    <row r="10210" spans="1:15">
      <c r="A10210" t="s">
        <v>37918</v>
      </c>
      <c r="B10210" t="s">
        <v>367</v>
      </c>
      <c r="C10210" t="s">
        <v>13008</v>
      </c>
      <c r="D10210" t="s">
        <v>37919</v>
      </c>
      <c r="E10210" t="b">
        <v>0</v>
      </c>
      <c r="F10210" t="s">
        <v>11610</v>
      </c>
      <c r="L10210">
        <v>0</v>
      </c>
      <c r="M10210">
        <v>0</v>
      </c>
      <c r="N10210">
        <v>0</v>
      </c>
    </row>
    <row r="10211" spans="1:15">
      <c r="A10211" t="s">
        <v>37920</v>
      </c>
      <c r="B10211" t="s">
        <v>11637</v>
      </c>
      <c r="C10211" t="s">
        <v>34840</v>
      </c>
      <c r="D10211" t="s">
        <v>37921</v>
      </c>
      <c r="E10211" t="b">
        <v>0</v>
      </c>
      <c r="F10211" t="s">
        <v>11610</v>
      </c>
      <c r="L10211">
        <v>0</v>
      </c>
      <c r="M10211">
        <v>0</v>
      </c>
      <c r="N10211">
        <v>0</v>
      </c>
    </row>
    <row r="10212" spans="1:15">
      <c r="A10212" t="s">
        <v>37922</v>
      </c>
      <c r="B10212" t="s">
        <v>331</v>
      </c>
      <c r="C10212" t="s">
        <v>37923</v>
      </c>
      <c r="D10212" t="s">
        <v>37924</v>
      </c>
      <c r="E10212" t="b">
        <v>0</v>
      </c>
      <c r="F10212" t="s">
        <v>11610</v>
      </c>
      <c r="L10212">
        <v>0</v>
      </c>
      <c r="M10212">
        <v>0</v>
      </c>
      <c r="N10212">
        <v>0</v>
      </c>
    </row>
    <row r="10213" spans="1:15">
      <c r="A10213" t="s">
        <v>37925</v>
      </c>
      <c r="B10213" t="s">
        <v>6742</v>
      </c>
      <c r="C10213" t="s">
        <v>37926</v>
      </c>
      <c r="D10213" t="s">
        <v>37927</v>
      </c>
      <c r="E10213" t="b">
        <v>0</v>
      </c>
      <c r="F10213" t="s">
        <v>11610</v>
      </c>
      <c r="L10213">
        <v>0</v>
      </c>
      <c r="M10213">
        <v>0</v>
      </c>
      <c r="N10213">
        <v>0</v>
      </c>
    </row>
    <row r="10214" spans="1:15">
      <c r="A10214" t="s">
        <v>37928</v>
      </c>
      <c r="B10214" t="s">
        <v>11644</v>
      </c>
      <c r="C10214" t="s">
        <v>37929</v>
      </c>
      <c r="D10214" t="s">
        <v>37930</v>
      </c>
      <c r="E10214" t="b">
        <v>0</v>
      </c>
      <c r="F10214" t="s">
        <v>11624</v>
      </c>
      <c r="G10214">
        <v>22.26</v>
      </c>
      <c r="H10214">
        <v>101.25</v>
      </c>
      <c r="I10214" t="s">
        <v>37931</v>
      </c>
      <c r="L10214">
        <v>0</v>
      </c>
      <c r="M10214">
        <v>0</v>
      </c>
      <c r="N10214">
        <v>0</v>
      </c>
      <c r="O10214" t="s">
        <v>19781</v>
      </c>
    </row>
    <row r="10215" spans="1:15">
      <c r="A10215" t="s">
        <v>37932</v>
      </c>
      <c r="B10215" t="s">
        <v>11637</v>
      </c>
      <c r="C10215" t="s">
        <v>293</v>
      </c>
      <c r="D10215" t="s">
        <v>37933</v>
      </c>
      <c r="E10215" t="b">
        <v>0</v>
      </c>
      <c r="F10215" t="s">
        <v>11610</v>
      </c>
      <c r="L10215">
        <v>0</v>
      </c>
      <c r="M10215">
        <v>0</v>
      </c>
      <c r="N10215">
        <v>0</v>
      </c>
    </row>
    <row r="10216" spans="1:15">
      <c r="A10216" t="s">
        <v>37934</v>
      </c>
      <c r="B10216" t="s">
        <v>11637</v>
      </c>
      <c r="C10216" t="s">
        <v>17020</v>
      </c>
      <c r="D10216" t="s">
        <v>37935</v>
      </c>
      <c r="E10216" t="b">
        <v>0</v>
      </c>
      <c r="F10216" t="s">
        <v>11610</v>
      </c>
      <c r="L10216">
        <v>0</v>
      </c>
      <c r="M10216">
        <v>0</v>
      </c>
      <c r="N10216">
        <v>0</v>
      </c>
    </row>
    <row r="10217" spans="1:15">
      <c r="A10217" t="s">
        <v>37936</v>
      </c>
      <c r="B10217" t="s">
        <v>4342</v>
      </c>
      <c r="C10217" t="s">
        <v>4341</v>
      </c>
      <c r="D10217" t="s">
        <v>37937</v>
      </c>
      <c r="E10217" t="b">
        <v>0</v>
      </c>
      <c r="F10217" t="s">
        <v>11610</v>
      </c>
      <c r="L10217">
        <v>0</v>
      </c>
      <c r="M10217">
        <v>0</v>
      </c>
      <c r="N10217">
        <v>0</v>
      </c>
    </row>
    <row r="10218" spans="1:15">
      <c r="A10218" t="s">
        <v>37938</v>
      </c>
      <c r="B10218" t="s">
        <v>11844</v>
      </c>
      <c r="C10218" t="s">
        <v>17849</v>
      </c>
      <c r="D10218" t="s">
        <v>37939</v>
      </c>
      <c r="E10218" t="b">
        <v>0</v>
      </c>
      <c r="F10218" t="s">
        <v>11624</v>
      </c>
      <c r="G10218">
        <v>12.3301</v>
      </c>
      <c r="H10218">
        <v>75.489599999999996</v>
      </c>
      <c r="I10218" t="s">
        <v>37940</v>
      </c>
      <c r="L10218">
        <v>0</v>
      </c>
      <c r="M10218">
        <v>0</v>
      </c>
      <c r="N10218">
        <v>0</v>
      </c>
      <c r="O10218" t="s">
        <v>11630</v>
      </c>
    </row>
    <row r="10219" spans="1:15">
      <c r="A10219" t="s">
        <v>37941</v>
      </c>
      <c r="B10219" t="s">
        <v>11637</v>
      </c>
      <c r="C10219" t="s">
        <v>26514</v>
      </c>
      <c r="D10219" t="s">
        <v>37942</v>
      </c>
      <c r="E10219" t="b">
        <v>0</v>
      </c>
      <c r="F10219" t="s">
        <v>11624</v>
      </c>
      <c r="G10219">
        <v>25.92</v>
      </c>
      <c r="H10219">
        <v>87.33</v>
      </c>
      <c r="I10219" t="s">
        <v>37943</v>
      </c>
      <c r="L10219">
        <v>0</v>
      </c>
      <c r="M10219">
        <v>0</v>
      </c>
      <c r="N10219">
        <v>0</v>
      </c>
      <c r="O10219" t="s">
        <v>11630</v>
      </c>
    </row>
    <row r="10220" spans="1:15">
      <c r="A10220" t="s">
        <v>21011</v>
      </c>
      <c r="B10220" t="s">
        <v>6742</v>
      </c>
      <c r="C10220" t="s">
        <v>28478</v>
      </c>
      <c r="D10220" t="s">
        <v>37944</v>
      </c>
      <c r="E10220" t="b">
        <v>0</v>
      </c>
      <c r="F10220" t="s">
        <v>11624</v>
      </c>
      <c r="G10220">
        <v>11.081899999999999</v>
      </c>
      <c r="H10220">
        <v>9.0772499999999994</v>
      </c>
      <c r="I10220" t="s">
        <v>37945</v>
      </c>
      <c r="L10220">
        <v>0</v>
      </c>
      <c r="M10220">
        <v>0</v>
      </c>
      <c r="N10220">
        <v>2</v>
      </c>
      <c r="O10220" t="s">
        <v>11693</v>
      </c>
    </row>
    <row r="10221" spans="1:15">
      <c r="A10221" t="s">
        <v>37946</v>
      </c>
      <c r="B10221" t="s">
        <v>6742</v>
      </c>
      <c r="C10221" t="s">
        <v>21011</v>
      </c>
      <c r="D10221" t="s">
        <v>37947</v>
      </c>
      <c r="E10221" t="b">
        <v>0</v>
      </c>
      <c r="F10221" t="s">
        <v>11610</v>
      </c>
      <c r="L10221">
        <v>0</v>
      </c>
      <c r="M10221">
        <v>0</v>
      </c>
      <c r="N10221">
        <v>0</v>
      </c>
    </row>
    <row r="10222" spans="1:15">
      <c r="A10222" t="s">
        <v>37948</v>
      </c>
      <c r="B10222" t="s">
        <v>15146</v>
      </c>
      <c r="C10222" t="s">
        <v>28558</v>
      </c>
      <c r="D10222" t="s">
        <v>37949</v>
      </c>
      <c r="E10222" t="b">
        <v>0</v>
      </c>
      <c r="F10222" t="s">
        <v>11610</v>
      </c>
      <c r="L10222">
        <v>0</v>
      </c>
      <c r="M10222">
        <v>0</v>
      </c>
      <c r="N10222">
        <v>0</v>
      </c>
    </row>
    <row r="10223" spans="1:15">
      <c r="A10223" t="s">
        <v>37950</v>
      </c>
      <c r="B10223" t="s">
        <v>11868</v>
      </c>
      <c r="C10223" t="s">
        <v>11869</v>
      </c>
      <c r="D10223" t="s">
        <v>37951</v>
      </c>
      <c r="E10223" t="b">
        <v>0</v>
      </c>
      <c r="F10223" t="s">
        <v>11610</v>
      </c>
      <c r="L10223">
        <v>0</v>
      </c>
      <c r="M10223">
        <v>0</v>
      </c>
      <c r="N10223">
        <v>0</v>
      </c>
    </row>
    <row r="10224" spans="1:15">
      <c r="A10224" t="s">
        <v>37952</v>
      </c>
      <c r="B10224" t="s">
        <v>6742</v>
      </c>
      <c r="C10224" t="s">
        <v>21272</v>
      </c>
      <c r="D10224" t="s">
        <v>37953</v>
      </c>
      <c r="E10224" t="b">
        <v>0</v>
      </c>
      <c r="F10224" t="s">
        <v>11610</v>
      </c>
      <c r="L10224">
        <v>0</v>
      </c>
      <c r="M10224">
        <v>0</v>
      </c>
      <c r="N10224">
        <v>0</v>
      </c>
    </row>
    <row r="10225" spans="1:15">
      <c r="A10225" t="s">
        <v>37954</v>
      </c>
      <c r="B10225" t="s">
        <v>6742</v>
      </c>
      <c r="C10225" t="s">
        <v>37955</v>
      </c>
      <c r="D10225" t="s">
        <v>37956</v>
      </c>
      <c r="E10225" t="b">
        <v>0</v>
      </c>
      <c r="F10225" t="s">
        <v>11624</v>
      </c>
      <c r="G10225">
        <v>8.9197199999999999</v>
      </c>
      <c r="H10225">
        <v>12.12947</v>
      </c>
      <c r="I10225" t="s">
        <v>37957</v>
      </c>
      <c r="L10225">
        <v>0</v>
      </c>
      <c r="M10225">
        <v>0</v>
      </c>
      <c r="N10225">
        <v>0</v>
      </c>
      <c r="O10225" t="s">
        <v>11693</v>
      </c>
    </row>
    <row r="10226" spans="1:15">
      <c r="A10226" t="s">
        <v>37958</v>
      </c>
      <c r="B10226" t="s">
        <v>6742</v>
      </c>
      <c r="C10226" t="s">
        <v>11864</v>
      </c>
      <c r="D10226" t="s">
        <v>37959</v>
      </c>
      <c r="E10226" t="b">
        <v>0</v>
      </c>
      <c r="F10226" t="s">
        <v>11624</v>
      </c>
      <c r="G10226">
        <v>4.7295100000000003</v>
      </c>
      <c r="H10226">
        <v>6.5633299999999997</v>
      </c>
      <c r="I10226" t="s">
        <v>37960</v>
      </c>
      <c r="L10226">
        <v>0</v>
      </c>
      <c r="M10226">
        <v>0</v>
      </c>
      <c r="N10226">
        <v>0</v>
      </c>
      <c r="O10226" t="s">
        <v>11693</v>
      </c>
    </row>
    <row r="10227" spans="1:15">
      <c r="A10227" t="s">
        <v>11864</v>
      </c>
      <c r="B10227" t="s">
        <v>6742</v>
      </c>
      <c r="C10227" t="s">
        <v>11828</v>
      </c>
      <c r="D10227" t="s">
        <v>37961</v>
      </c>
      <c r="E10227" t="b">
        <v>0</v>
      </c>
      <c r="F10227" t="s">
        <v>11622</v>
      </c>
      <c r="L10227">
        <v>1</v>
      </c>
      <c r="M10227">
        <v>7</v>
      </c>
      <c r="N10227">
        <v>3</v>
      </c>
    </row>
    <row r="10228" spans="1:15">
      <c r="A10228" t="s">
        <v>37962</v>
      </c>
      <c r="B10228" t="s">
        <v>7862</v>
      </c>
      <c r="C10228" t="s">
        <v>7863</v>
      </c>
      <c r="D10228" t="s">
        <v>37963</v>
      </c>
      <c r="E10228" t="b">
        <v>0</v>
      </c>
      <c r="F10228" t="s">
        <v>11610</v>
      </c>
      <c r="L10228">
        <v>0</v>
      </c>
      <c r="M10228">
        <v>0</v>
      </c>
      <c r="N10228">
        <v>0</v>
      </c>
    </row>
    <row r="10229" spans="1:15">
      <c r="A10229" t="s">
        <v>37964</v>
      </c>
      <c r="B10229" t="s">
        <v>6742</v>
      </c>
      <c r="C10229" t="s">
        <v>17586</v>
      </c>
      <c r="D10229" t="s">
        <v>37965</v>
      </c>
      <c r="E10229" t="b">
        <v>0</v>
      </c>
      <c r="F10229" t="s">
        <v>11610</v>
      </c>
      <c r="L10229">
        <v>0</v>
      </c>
      <c r="M10229">
        <v>0</v>
      </c>
      <c r="N10229">
        <v>0</v>
      </c>
    </row>
    <row r="10230" spans="1:15">
      <c r="A10230" t="s">
        <v>37966</v>
      </c>
      <c r="B10230" t="s">
        <v>6742</v>
      </c>
      <c r="C10230" t="s">
        <v>25251</v>
      </c>
      <c r="D10230" t="s">
        <v>37967</v>
      </c>
      <c r="E10230" t="b">
        <v>0</v>
      </c>
      <c r="F10230" t="s">
        <v>11610</v>
      </c>
      <c r="L10230">
        <v>0</v>
      </c>
      <c r="M10230">
        <v>0</v>
      </c>
      <c r="N10230">
        <v>0</v>
      </c>
    </row>
    <row r="10231" spans="1:15">
      <c r="A10231" t="s">
        <v>37968</v>
      </c>
      <c r="B10231" t="s">
        <v>11637</v>
      </c>
      <c r="C10231" t="s">
        <v>16120</v>
      </c>
      <c r="D10231" t="s">
        <v>37969</v>
      </c>
      <c r="E10231" t="b">
        <v>0</v>
      </c>
      <c r="F10231" t="s">
        <v>11610</v>
      </c>
      <c r="L10231">
        <v>0</v>
      </c>
      <c r="M10231">
        <v>0</v>
      </c>
      <c r="N10231">
        <v>0</v>
      </c>
    </row>
    <row r="10232" spans="1:15">
      <c r="A10232" t="s">
        <v>30125</v>
      </c>
      <c r="B10232" t="s">
        <v>11844</v>
      </c>
      <c r="C10232" t="s">
        <v>37970</v>
      </c>
      <c r="D10232" t="s">
        <v>37971</v>
      </c>
      <c r="E10232" t="b">
        <v>0</v>
      </c>
      <c r="F10232" t="s">
        <v>11624</v>
      </c>
      <c r="G10232">
        <v>19.2043</v>
      </c>
      <c r="H10232">
        <v>83.585899999999995</v>
      </c>
      <c r="I10232" t="s">
        <v>37972</v>
      </c>
      <c r="L10232">
        <v>0</v>
      </c>
      <c r="M10232">
        <v>0</v>
      </c>
      <c r="N10232">
        <v>2</v>
      </c>
      <c r="O10232" t="s">
        <v>11630</v>
      </c>
    </row>
    <row r="10233" spans="1:15">
      <c r="A10233" t="s">
        <v>17475</v>
      </c>
      <c r="B10233" t="s">
        <v>11839</v>
      </c>
      <c r="C10233" t="s">
        <v>11840</v>
      </c>
      <c r="D10233" t="s">
        <v>37973</v>
      </c>
      <c r="E10233" t="b">
        <v>0</v>
      </c>
      <c r="F10233" t="s">
        <v>11624</v>
      </c>
      <c r="G10233">
        <v>-8.3820399999999999</v>
      </c>
      <c r="H10233">
        <v>124.791</v>
      </c>
      <c r="I10233" t="s">
        <v>37974</v>
      </c>
      <c r="L10233">
        <v>0</v>
      </c>
      <c r="M10233">
        <v>0</v>
      </c>
      <c r="N10233">
        <v>3</v>
      </c>
      <c r="O10233" t="s">
        <v>11768</v>
      </c>
    </row>
    <row r="10234" spans="1:15">
      <c r="A10234" t="s">
        <v>37975</v>
      </c>
      <c r="B10234" t="s">
        <v>11839</v>
      </c>
      <c r="C10234" t="s">
        <v>17475</v>
      </c>
      <c r="D10234" t="s">
        <v>37976</v>
      </c>
      <c r="E10234" t="b">
        <v>0</v>
      </c>
      <c r="F10234" t="s">
        <v>11610</v>
      </c>
      <c r="L10234">
        <v>0</v>
      </c>
      <c r="M10234">
        <v>0</v>
      </c>
      <c r="N10234">
        <v>0</v>
      </c>
    </row>
    <row r="10235" spans="1:15">
      <c r="A10235" t="s">
        <v>37977</v>
      </c>
      <c r="B10235" t="s">
        <v>367</v>
      </c>
      <c r="C10235" t="s">
        <v>25633</v>
      </c>
      <c r="D10235" t="s">
        <v>37978</v>
      </c>
      <c r="E10235" t="b">
        <v>0</v>
      </c>
      <c r="F10235" t="s">
        <v>11624</v>
      </c>
      <c r="G10235">
        <v>5.4717900000000004</v>
      </c>
      <c r="H10235">
        <v>116.108</v>
      </c>
      <c r="I10235" t="s">
        <v>37979</v>
      </c>
      <c r="L10235">
        <v>0</v>
      </c>
      <c r="M10235">
        <v>0</v>
      </c>
      <c r="N10235">
        <v>0</v>
      </c>
      <c r="O10235" t="s">
        <v>11672</v>
      </c>
    </row>
    <row r="10236" spans="1:15">
      <c r="A10236" t="s">
        <v>37970</v>
      </c>
      <c r="B10236" t="s">
        <v>11844</v>
      </c>
      <c r="C10236" t="s">
        <v>37980</v>
      </c>
      <c r="D10236" t="s">
        <v>37981</v>
      </c>
      <c r="E10236" t="b">
        <v>0</v>
      </c>
      <c r="F10236" t="s">
        <v>11622</v>
      </c>
      <c r="L10236">
        <v>0</v>
      </c>
      <c r="M10236">
        <v>2</v>
      </c>
      <c r="N10236">
        <v>2</v>
      </c>
    </row>
    <row r="10237" spans="1:15">
      <c r="A10237" t="s">
        <v>855</v>
      </c>
      <c r="B10237" t="s">
        <v>8310</v>
      </c>
      <c r="C10237" t="s">
        <v>8310</v>
      </c>
      <c r="D10237" t="s">
        <v>37982</v>
      </c>
      <c r="E10237" t="b">
        <v>0</v>
      </c>
      <c r="F10237" t="s">
        <v>11622</v>
      </c>
      <c r="L10237">
        <v>1</v>
      </c>
      <c r="M10237">
        <v>3</v>
      </c>
      <c r="N10237">
        <v>2</v>
      </c>
    </row>
    <row r="10238" spans="1:15">
      <c r="A10238" t="s">
        <v>856</v>
      </c>
      <c r="B10238" t="s">
        <v>8310</v>
      </c>
      <c r="C10238" t="s">
        <v>10929</v>
      </c>
      <c r="D10238" t="s">
        <v>37983</v>
      </c>
      <c r="E10238" t="b">
        <v>0</v>
      </c>
      <c r="F10238" t="s">
        <v>11624</v>
      </c>
      <c r="G10238">
        <v>-12.3035</v>
      </c>
      <c r="H10238">
        <v>-53.226100000000002</v>
      </c>
      <c r="I10238" t="s">
        <v>10930</v>
      </c>
      <c r="L10238">
        <v>0</v>
      </c>
      <c r="M10238">
        <v>0</v>
      </c>
      <c r="N10238">
        <v>0</v>
      </c>
      <c r="O10238" t="s">
        <v>11969</v>
      </c>
    </row>
    <row r="10239" spans="1:15">
      <c r="A10239" t="s">
        <v>37984</v>
      </c>
      <c r="D10239" t="s">
        <v>37985</v>
      </c>
      <c r="E10239" t="b">
        <v>0</v>
      </c>
      <c r="F10239" t="s">
        <v>11624</v>
      </c>
      <c r="G10239">
        <v>11.747299999999999</v>
      </c>
      <c r="H10239">
        <v>22.195599999999999</v>
      </c>
      <c r="I10239" t="s">
        <v>37986</v>
      </c>
      <c r="L10239">
        <v>0</v>
      </c>
      <c r="M10239">
        <v>0</v>
      </c>
      <c r="N10239">
        <v>0</v>
      </c>
      <c r="O10239" t="s">
        <v>13421</v>
      </c>
    </row>
    <row r="10240" spans="1:15">
      <c r="A10240" t="s">
        <v>37987</v>
      </c>
      <c r="B10240" t="s">
        <v>6742</v>
      </c>
      <c r="C10240" t="s">
        <v>16074</v>
      </c>
      <c r="D10240" t="s">
        <v>37988</v>
      </c>
      <c r="E10240" t="b">
        <v>0</v>
      </c>
      <c r="F10240" t="s">
        <v>11610</v>
      </c>
      <c r="L10240">
        <v>0</v>
      </c>
      <c r="M10240">
        <v>0</v>
      </c>
      <c r="N10240">
        <v>0</v>
      </c>
    </row>
    <row r="10241" spans="1:15">
      <c r="A10241" t="s">
        <v>37989</v>
      </c>
      <c r="B10241" t="s">
        <v>11780</v>
      </c>
      <c r="C10241" t="s">
        <v>11781</v>
      </c>
      <c r="D10241" t="s">
        <v>37990</v>
      </c>
      <c r="E10241" t="b">
        <v>0</v>
      </c>
      <c r="F10241" t="s">
        <v>11610</v>
      </c>
      <c r="L10241">
        <v>0</v>
      </c>
      <c r="M10241">
        <v>0</v>
      </c>
      <c r="N10241">
        <v>0</v>
      </c>
    </row>
    <row r="10242" spans="1:15">
      <c r="A10242" t="s">
        <v>37991</v>
      </c>
      <c r="B10242" t="s">
        <v>11844</v>
      </c>
      <c r="C10242" t="s">
        <v>2266</v>
      </c>
      <c r="D10242" t="s">
        <v>37992</v>
      </c>
      <c r="E10242" t="b">
        <v>0</v>
      </c>
      <c r="F10242" t="s">
        <v>11610</v>
      </c>
      <c r="L10242">
        <v>0</v>
      </c>
      <c r="M10242">
        <v>0</v>
      </c>
      <c r="N10242">
        <v>0</v>
      </c>
    </row>
    <row r="10243" spans="1:15">
      <c r="A10243" t="s">
        <v>37993</v>
      </c>
      <c r="B10243" t="s">
        <v>10597</v>
      </c>
      <c r="C10243" t="s">
        <v>37994</v>
      </c>
      <c r="D10243" t="s">
        <v>37995</v>
      </c>
      <c r="E10243" t="b">
        <v>0</v>
      </c>
      <c r="F10243" t="s">
        <v>11624</v>
      </c>
      <c r="G10243">
        <v>-20.332100000000001</v>
      </c>
      <c r="H10243">
        <v>127.666</v>
      </c>
      <c r="I10243" t="s">
        <v>37996</v>
      </c>
      <c r="L10243">
        <v>0</v>
      </c>
      <c r="M10243">
        <v>0</v>
      </c>
      <c r="N10243">
        <v>0</v>
      </c>
      <c r="O10243" t="s">
        <v>12107</v>
      </c>
    </row>
    <row r="10244" spans="1:15">
      <c r="A10244" t="s">
        <v>37997</v>
      </c>
      <c r="B10244" t="s">
        <v>11729</v>
      </c>
      <c r="C10244" t="s">
        <v>18563</v>
      </c>
      <c r="D10244" t="s">
        <v>37998</v>
      </c>
      <c r="E10244" t="b">
        <v>0</v>
      </c>
      <c r="F10244" t="s">
        <v>11610</v>
      </c>
      <c r="L10244">
        <v>0</v>
      </c>
      <c r="M10244">
        <v>0</v>
      </c>
      <c r="N10244">
        <v>0</v>
      </c>
    </row>
    <row r="10245" spans="1:15">
      <c r="A10245" t="s">
        <v>37999</v>
      </c>
      <c r="B10245" t="s">
        <v>6742</v>
      </c>
      <c r="C10245" t="s">
        <v>37453</v>
      </c>
      <c r="D10245" t="s">
        <v>38000</v>
      </c>
      <c r="E10245" t="b">
        <v>0</v>
      </c>
      <c r="F10245" t="s">
        <v>11622</v>
      </c>
      <c r="L10245">
        <v>0</v>
      </c>
      <c r="M10245">
        <v>2</v>
      </c>
      <c r="N10245">
        <v>3</v>
      </c>
    </row>
    <row r="10246" spans="1:15">
      <c r="A10246" t="s">
        <v>32844</v>
      </c>
      <c r="B10246" t="s">
        <v>6742</v>
      </c>
      <c r="C10246" t="s">
        <v>37999</v>
      </c>
      <c r="D10246" t="s">
        <v>38001</v>
      </c>
      <c r="E10246" t="b">
        <v>0</v>
      </c>
      <c r="F10246" t="s">
        <v>11624</v>
      </c>
      <c r="G10246">
        <v>6.7028600000000003</v>
      </c>
      <c r="H10246">
        <v>8.3934300000000004</v>
      </c>
      <c r="I10246" t="s">
        <v>38002</v>
      </c>
      <c r="L10246">
        <v>0</v>
      </c>
      <c r="M10246">
        <v>0</v>
      </c>
      <c r="N10246">
        <v>3</v>
      </c>
      <c r="O10246" t="s">
        <v>11693</v>
      </c>
    </row>
    <row r="10247" spans="1:15">
      <c r="A10247" t="s">
        <v>38003</v>
      </c>
      <c r="B10247" t="s">
        <v>11644</v>
      </c>
      <c r="C10247" t="s">
        <v>11644</v>
      </c>
      <c r="D10247" t="s">
        <v>38004</v>
      </c>
      <c r="E10247" t="b">
        <v>0</v>
      </c>
      <c r="F10247" t="s">
        <v>11622</v>
      </c>
      <c r="L10247">
        <v>39</v>
      </c>
      <c r="M10247">
        <v>84</v>
      </c>
      <c r="N10247">
        <v>140</v>
      </c>
    </row>
    <row r="10248" spans="1:15">
      <c r="A10248" t="s">
        <v>21988</v>
      </c>
      <c r="B10248" t="s">
        <v>11644</v>
      </c>
      <c r="C10248" t="s">
        <v>38003</v>
      </c>
      <c r="D10248" t="s">
        <v>38005</v>
      </c>
      <c r="E10248" t="b">
        <v>0</v>
      </c>
      <c r="F10248" t="s">
        <v>11622</v>
      </c>
      <c r="L10248">
        <v>21</v>
      </c>
      <c r="M10248">
        <v>53</v>
      </c>
      <c r="N10248">
        <v>79</v>
      </c>
    </row>
    <row r="10249" spans="1:15">
      <c r="A10249" t="s">
        <v>38006</v>
      </c>
      <c r="B10249" t="s">
        <v>6742</v>
      </c>
      <c r="C10249" t="s">
        <v>12304</v>
      </c>
      <c r="D10249" t="s">
        <v>38007</v>
      </c>
      <c r="E10249" t="b">
        <v>0</v>
      </c>
      <c r="F10249" t="s">
        <v>11624</v>
      </c>
      <c r="G10249">
        <v>6.4376199999999999</v>
      </c>
      <c r="H10249">
        <v>10.184100000000001</v>
      </c>
      <c r="I10249" t="s">
        <v>38008</v>
      </c>
      <c r="L10249">
        <v>0</v>
      </c>
      <c r="M10249">
        <v>0</v>
      </c>
      <c r="N10249">
        <v>0</v>
      </c>
      <c r="O10249" t="s">
        <v>11703</v>
      </c>
    </row>
    <row r="10250" spans="1:15">
      <c r="A10250" t="s">
        <v>38009</v>
      </c>
      <c r="B10250" t="s">
        <v>12260</v>
      </c>
      <c r="C10250" t="s">
        <v>32450</v>
      </c>
      <c r="D10250" t="s">
        <v>38010</v>
      </c>
      <c r="E10250" t="b">
        <v>0</v>
      </c>
      <c r="F10250" t="s">
        <v>11610</v>
      </c>
      <c r="L10250">
        <v>0</v>
      </c>
      <c r="M10250">
        <v>0</v>
      </c>
      <c r="N10250">
        <v>0</v>
      </c>
    </row>
    <row r="10251" spans="1:15">
      <c r="A10251" t="s">
        <v>38011</v>
      </c>
      <c r="B10251" t="s">
        <v>11627</v>
      </c>
      <c r="C10251" t="s">
        <v>11627</v>
      </c>
      <c r="D10251" t="s">
        <v>38012</v>
      </c>
      <c r="E10251" t="b">
        <v>1</v>
      </c>
      <c r="F10251" t="s">
        <v>11624</v>
      </c>
      <c r="G10251">
        <v>20.5657</v>
      </c>
      <c r="H10251">
        <v>73.571299999999994</v>
      </c>
      <c r="I10251" t="s">
        <v>38013</v>
      </c>
      <c r="L10251">
        <v>0</v>
      </c>
      <c r="M10251">
        <v>0</v>
      </c>
      <c r="N10251">
        <v>0</v>
      </c>
      <c r="O10251" t="s">
        <v>11630</v>
      </c>
    </row>
    <row r="10252" spans="1:15">
      <c r="A10252" t="s">
        <v>38014</v>
      </c>
      <c r="B10252" t="s">
        <v>13276</v>
      </c>
      <c r="C10252" t="s">
        <v>33413</v>
      </c>
      <c r="D10252" t="s">
        <v>38015</v>
      </c>
      <c r="E10252" t="b">
        <v>0</v>
      </c>
      <c r="F10252" t="s">
        <v>11610</v>
      </c>
      <c r="L10252">
        <v>0</v>
      </c>
      <c r="M10252">
        <v>0</v>
      </c>
      <c r="N10252">
        <v>0</v>
      </c>
    </row>
    <row r="10253" spans="1:15">
      <c r="A10253" t="s">
        <v>38016</v>
      </c>
      <c r="B10253" t="s">
        <v>17576</v>
      </c>
      <c r="C10253" t="s">
        <v>38017</v>
      </c>
      <c r="D10253" t="s">
        <v>38018</v>
      </c>
      <c r="E10253" t="b">
        <v>0</v>
      </c>
      <c r="F10253" t="s">
        <v>11610</v>
      </c>
      <c r="L10253">
        <v>0</v>
      </c>
      <c r="M10253">
        <v>0</v>
      </c>
      <c r="N10253">
        <v>0</v>
      </c>
    </row>
    <row r="10254" spans="1:15">
      <c r="A10254" t="s">
        <v>38019</v>
      </c>
      <c r="B10254" t="s">
        <v>10597</v>
      </c>
      <c r="C10254" t="s">
        <v>24983</v>
      </c>
      <c r="D10254" t="s">
        <v>38020</v>
      </c>
      <c r="E10254" t="b">
        <v>0</v>
      </c>
      <c r="F10254" t="s">
        <v>11624</v>
      </c>
      <c r="G10254">
        <v>-16.003599999999999</v>
      </c>
      <c r="H10254">
        <v>145.18799999999999</v>
      </c>
      <c r="I10254" t="s">
        <v>38021</v>
      </c>
      <c r="L10254">
        <v>0</v>
      </c>
      <c r="M10254">
        <v>0</v>
      </c>
      <c r="N10254">
        <v>2</v>
      </c>
      <c r="O10254" t="s">
        <v>12107</v>
      </c>
    </row>
    <row r="10255" spans="1:15">
      <c r="A10255" t="s">
        <v>38022</v>
      </c>
      <c r="B10255" t="s">
        <v>10597</v>
      </c>
      <c r="C10255" t="s">
        <v>38019</v>
      </c>
      <c r="D10255" t="s">
        <v>38023</v>
      </c>
      <c r="E10255" t="b">
        <v>0</v>
      </c>
      <c r="F10255" t="s">
        <v>11610</v>
      </c>
      <c r="L10255">
        <v>0</v>
      </c>
      <c r="M10255">
        <v>0</v>
      </c>
      <c r="N10255">
        <v>0</v>
      </c>
    </row>
    <row r="10256" spans="1:15">
      <c r="A10256" t="s">
        <v>38024</v>
      </c>
      <c r="B10256" t="s">
        <v>10597</v>
      </c>
      <c r="C10256" t="s">
        <v>38019</v>
      </c>
      <c r="D10256" t="s">
        <v>38025</v>
      </c>
      <c r="E10256" t="b">
        <v>0</v>
      </c>
      <c r="F10256" t="s">
        <v>11610</v>
      </c>
      <c r="L10256">
        <v>0</v>
      </c>
      <c r="M10256">
        <v>0</v>
      </c>
      <c r="N10256">
        <v>0</v>
      </c>
    </row>
    <row r="10257" spans="1:15">
      <c r="A10257" t="s">
        <v>38026</v>
      </c>
      <c r="B10257" t="s">
        <v>10597</v>
      </c>
      <c r="C10257" t="s">
        <v>27941</v>
      </c>
      <c r="D10257" t="s">
        <v>38027</v>
      </c>
      <c r="E10257" t="b">
        <v>0</v>
      </c>
      <c r="F10257" t="s">
        <v>11622</v>
      </c>
      <c r="L10257">
        <v>2</v>
      </c>
      <c r="M10257">
        <v>8</v>
      </c>
      <c r="N10257">
        <v>0</v>
      </c>
    </row>
    <row r="10258" spans="1:15">
      <c r="A10258" t="s">
        <v>38028</v>
      </c>
      <c r="B10258" t="s">
        <v>10597</v>
      </c>
      <c r="C10258" t="s">
        <v>38026</v>
      </c>
      <c r="D10258" t="s">
        <v>38029</v>
      </c>
      <c r="E10258" t="b">
        <v>0</v>
      </c>
      <c r="F10258" t="s">
        <v>11622</v>
      </c>
      <c r="L10258">
        <v>1</v>
      </c>
      <c r="M10258">
        <v>6</v>
      </c>
      <c r="N10258">
        <v>0</v>
      </c>
    </row>
    <row r="10259" spans="1:15">
      <c r="A10259" t="s">
        <v>38030</v>
      </c>
      <c r="B10259" t="s">
        <v>11627</v>
      </c>
      <c r="C10259" t="s">
        <v>11627</v>
      </c>
      <c r="D10259" t="s">
        <v>38031</v>
      </c>
      <c r="E10259" t="b">
        <v>1</v>
      </c>
      <c r="F10259" t="s">
        <v>11624</v>
      </c>
      <c r="G10259">
        <v>-14.2866</v>
      </c>
      <c r="H10259">
        <v>141.82400000000001</v>
      </c>
      <c r="I10259" t="s">
        <v>38032</v>
      </c>
      <c r="L10259">
        <v>0</v>
      </c>
      <c r="M10259">
        <v>0</v>
      </c>
      <c r="N10259">
        <v>0</v>
      </c>
      <c r="O10259" t="s">
        <v>12107</v>
      </c>
    </row>
    <row r="10260" spans="1:15">
      <c r="A10260" t="s">
        <v>38033</v>
      </c>
      <c r="B10260" t="s">
        <v>10597</v>
      </c>
      <c r="C10260" t="s">
        <v>38034</v>
      </c>
      <c r="D10260" t="s">
        <v>38035</v>
      </c>
      <c r="E10260" t="b">
        <v>0</v>
      </c>
      <c r="F10260" t="s">
        <v>11624</v>
      </c>
      <c r="G10260">
        <v>-14.0756</v>
      </c>
      <c r="H10260">
        <v>141.72399999999999</v>
      </c>
      <c r="I10260" t="s">
        <v>38036</v>
      </c>
      <c r="L10260">
        <v>0</v>
      </c>
      <c r="M10260">
        <v>0</v>
      </c>
      <c r="N10260">
        <v>0</v>
      </c>
      <c r="O10260" t="s">
        <v>12107</v>
      </c>
    </row>
    <row r="10261" spans="1:15">
      <c r="A10261" t="s">
        <v>38037</v>
      </c>
      <c r="B10261" t="s">
        <v>10597</v>
      </c>
      <c r="C10261" t="s">
        <v>38034</v>
      </c>
      <c r="D10261" t="s">
        <v>38038</v>
      </c>
      <c r="E10261" t="b">
        <v>0</v>
      </c>
      <c r="F10261" t="s">
        <v>11624</v>
      </c>
      <c r="G10261">
        <v>-13.988200000000001</v>
      </c>
      <c r="H10261">
        <v>141.56899999999999</v>
      </c>
      <c r="I10261" t="s">
        <v>38039</v>
      </c>
      <c r="L10261">
        <v>0</v>
      </c>
      <c r="M10261">
        <v>0</v>
      </c>
      <c r="N10261">
        <v>0</v>
      </c>
      <c r="O10261" t="s">
        <v>12107</v>
      </c>
    </row>
    <row r="10262" spans="1:15">
      <c r="A10262" t="s">
        <v>38040</v>
      </c>
      <c r="B10262" t="s">
        <v>10597</v>
      </c>
      <c r="C10262" t="s">
        <v>38034</v>
      </c>
      <c r="D10262" t="s">
        <v>38041</v>
      </c>
      <c r="E10262" t="b">
        <v>0</v>
      </c>
      <c r="F10262" t="s">
        <v>11624</v>
      </c>
      <c r="G10262">
        <v>-14.201000000000001</v>
      </c>
      <c r="H10262">
        <v>141.709</v>
      </c>
      <c r="I10262" t="s">
        <v>38042</v>
      </c>
      <c r="L10262">
        <v>0</v>
      </c>
      <c r="M10262">
        <v>0</v>
      </c>
      <c r="N10262">
        <v>0</v>
      </c>
      <c r="O10262" t="s">
        <v>12107</v>
      </c>
    </row>
    <row r="10263" spans="1:15">
      <c r="A10263" t="s">
        <v>38043</v>
      </c>
      <c r="B10263" t="s">
        <v>10597</v>
      </c>
      <c r="C10263" t="s">
        <v>38034</v>
      </c>
      <c r="D10263" t="s">
        <v>38044</v>
      </c>
      <c r="E10263" t="b">
        <v>0</v>
      </c>
      <c r="F10263" t="s">
        <v>11624</v>
      </c>
      <c r="G10263">
        <v>-14.0959</v>
      </c>
      <c r="H10263">
        <v>141.625</v>
      </c>
      <c r="I10263" t="s">
        <v>38045</v>
      </c>
      <c r="L10263">
        <v>0</v>
      </c>
      <c r="M10263">
        <v>0</v>
      </c>
      <c r="N10263">
        <v>0</v>
      </c>
      <c r="O10263" t="s">
        <v>12107</v>
      </c>
    </row>
    <row r="10264" spans="1:15">
      <c r="A10264" t="s">
        <v>38046</v>
      </c>
      <c r="B10264" t="s">
        <v>12646</v>
      </c>
      <c r="C10264" t="s">
        <v>20664</v>
      </c>
      <c r="D10264" t="s">
        <v>38047</v>
      </c>
      <c r="E10264" t="b">
        <v>0</v>
      </c>
      <c r="F10264" t="s">
        <v>11610</v>
      </c>
      <c r="L10264">
        <v>0</v>
      </c>
      <c r="M10264">
        <v>0</v>
      </c>
      <c r="N10264">
        <v>0</v>
      </c>
    </row>
    <row r="10265" spans="1:15">
      <c r="A10265" t="s">
        <v>38048</v>
      </c>
      <c r="B10265" t="s">
        <v>11757</v>
      </c>
      <c r="C10265" t="s">
        <v>9059</v>
      </c>
      <c r="D10265" t="s">
        <v>38049</v>
      </c>
      <c r="E10265" t="b">
        <v>0</v>
      </c>
      <c r="F10265" t="s">
        <v>11610</v>
      </c>
      <c r="L10265">
        <v>0</v>
      </c>
      <c r="M10265">
        <v>0</v>
      </c>
      <c r="N10265">
        <v>0</v>
      </c>
    </row>
    <row r="10266" spans="1:15">
      <c r="A10266" t="s">
        <v>38050</v>
      </c>
      <c r="B10266" t="s">
        <v>11627</v>
      </c>
      <c r="C10266" t="s">
        <v>11627</v>
      </c>
      <c r="D10266" t="s">
        <v>38051</v>
      </c>
      <c r="E10266" t="b">
        <v>1</v>
      </c>
      <c r="F10266" t="s">
        <v>11624</v>
      </c>
      <c r="L10266">
        <v>0</v>
      </c>
      <c r="M10266">
        <v>0</v>
      </c>
      <c r="N10266">
        <v>0</v>
      </c>
      <c r="O10266" t="s">
        <v>11969</v>
      </c>
    </row>
    <row r="10267" spans="1:15">
      <c r="A10267" t="s">
        <v>38052</v>
      </c>
      <c r="B10267" t="s">
        <v>12254</v>
      </c>
      <c r="C10267" t="s">
        <v>12255</v>
      </c>
      <c r="D10267" t="s">
        <v>38053</v>
      </c>
      <c r="E10267" t="b">
        <v>0</v>
      </c>
      <c r="F10267" t="s">
        <v>11610</v>
      </c>
      <c r="L10267">
        <v>0</v>
      </c>
      <c r="M10267">
        <v>0</v>
      </c>
      <c r="N10267">
        <v>0</v>
      </c>
    </row>
    <row r="10268" spans="1:15">
      <c r="A10268" t="s">
        <v>38054</v>
      </c>
      <c r="B10268" t="s">
        <v>6742</v>
      </c>
      <c r="C10268" t="s">
        <v>38055</v>
      </c>
      <c r="D10268" t="s">
        <v>38056</v>
      </c>
      <c r="E10268" t="b">
        <v>0</v>
      </c>
      <c r="F10268" t="s">
        <v>11610</v>
      </c>
      <c r="L10268">
        <v>0</v>
      </c>
      <c r="M10268">
        <v>0</v>
      </c>
      <c r="N10268">
        <v>0</v>
      </c>
    </row>
    <row r="10269" spans="1:15">
      <c r="A10269" t="s">
        <v>38057</v>
      </c>
      <c r="B10269" t="s">
        <v>11834</v>
      </c>
      <c r="C10269" t="s">
        <v>38058</v>
      </c>
      <c r="D10269" t="s">
        <v>38059</v>
      </c>
      <c r="E10269" t="b">
        <v>0</v>
      </c>
      <c r="F10269" t="s">
        <v>11610</v>
      </c>
      <c r="L10269">
        <v>0</v>
      </c>
      <c r="M10269">
        <v>0</v>
      </c>
      <c r="N10269">
        <v>0</v>
      </c>
    </row>
    <row r="10270" spans="1:15">
      <c r="A10270" t="s">
        <v>38060</v>
      </c>
      <c r="B10270" t="s">
        <v>10597</v>
      </c>
      <c r="C10270" t="s">
        <v>15879</v>
      </c>
      <c r="D10270" t="s">
        <v>38061</v>
      </c>
      <c r="E10270" t="b">
        <v>0</v>
      </c>
      <c r="F10270" t="s">
        <v>11610</v>
      </c>
      <c r="L10270">
        <v>0</v>
      </c>
      <c r="M10270">
        <v>0</v>
      </c>
      <c r="N10270">
        <v>0</v>
      </c>
    </row>
    <row r="10271" spans="1:15">
      <c r="A10271" t="s">
        <v>38062</v>
      </c>
      <c r="B10271" t="s">
        <v>12646</v>
      </c>
      <c r="C10271" t="s">
        <v>20664</v>
      </c>
      <c r="D10271" t="s">
        <v>38063</v>
      </c>
      <c r="E10271" t="b">
        <v>0</v>
      </c>
      <c r="F10271" t="s">
        <v>11610</v>
      </c>
      <c r="L10271">
        <v>0</v>
      </c>
      <c r="M10271">
        <v>0</v>
      </c>
      <c r="N10271">
        <v>0</v>
      </c>
    </row>
    <row r="10272" spans="1:15">
      <c r="A10272" t="s">
        <v>19423</v>
      </c>
      <c r="B10272" t="s">
        <v>6742</v>
      </c>
      <c r="C10272" t="s">
        <v>38064</v>
      </c>
      <c r="D10272" t="s">
        <v>38065</v>
      </c>
      <c r="E10272" t="b">
        <v>0</v>
      </c>
      <c r="F10272" t="s">
        <v>11622</v>
      </c>
      <c r="L10272">
        <v>0</v>
      </c>
      <c r="M10272">
        <v>2</v>
      </c>
      <c r="N10272">
        <v>2</v>
      </c>
    </row>
    <row r="10273" spans="1:15">
      <c r="A10273" t="s">
        <v>38066</v>
      </c>
      <c r="B10273" t="s">
        <v>6742</v>
      </c>
      <c r="C10273" t="s">
        <v>38067</v>
      </c>
      <c r="D10273" t="s">
        <v>38068</v>
      </c>
      <c r="E10273" t="b">
        <v>0</v>
      </c>
      <c r="F10273" t="s">
        <v>11610</v>
      </c>
      <c r="L10273">
        <v>0</v>
      </c>
      <c r="M10273">
        <v>0</v>
      </c>
      <c r="N10273">
        <v>0</v>
      </c>
    </row>
    <row r="10274" spans="1:15">
      <c r="A10274" t="s">
        <v>38069</v>
      </c>
      <c r="B10274" t="s">
        <v>367</v>
      </c>
      <c r="C10274" t="s">
        <v>38070</v>
      </c>
      <c r="D10274" t="s">
        <v>38071</v>
      </c>
      <c r="E10274" t="b">
        <v>0</v>
      </c>
      <c r="F10274" t="s">
        <v>11610</v>
      </c>
      <c r="L10274">
        <v>0</v>
      </c>
      <c r="M10274">
        <v>0</v>
      </c>
      <c r="N10274">
        <v>0</v>
      </c>
    </row>
    <row r="10275" spans="1:15">
      <c r="A10275" t="s">
        <v>14670</v>
      </c>
      <c r="B10275" t="s">
        <v>11839</v>
      </c>
      <c r="C10275" t="s">
        <v>38072</v>
      </c>
      <c r="D10275" t="s">
        <v>38073</v>
      </c>
      <c r="E10275" t="b">
        <v>0</v>
      </c>
      <c r="F10275" t="s">
        <v>11624</v>
      </c>
      <c r="G10275">
        <v>-8.2384000000000004</v>
      </c>
      <c r="H10275">
        <v>125.004</v>
      </c>
      <c r="I10275" t="s">
        <v>38074</v>
      </c>
      <c r="L10275">
        <v>0</v>
      </c>
      <c r="M10275">
        <v>0</v>
      </c>
      <c r="N10275">
        <v>8</v>
      </c>
      <c r="O10275" t="s">
        <v>11768</v>
      </c>
    </row>
    <row r="10276" spans="1:15">
      <c r="A10276" t="s">
        <v>38075</v>
      </c>
      <c r="B10276" t="s">
        <v>11839</v>
      </c>
      <c r="C10276" t="s">
        <v>14670</v>
      </c>
      <c r="D10276" t="s">
        <v>38076</v>
      </c>
      <c r="E10276" t="b">
        <v>0</v>
      </c>
      <c r="F10276" t="s">
        <v>11610</v>
      </c>
      <c r="L10276">
        <v>0</v>
      </c>
      <c r="M10276">
        <v>0</v>
      </c>
      <c r="N10276">
        <v>0</v>
      </c>
    </row>
    <row r="10277" spans="1:15">
      <c r="A10277" t="s">
        <v>38077</v>
      </c>
      <c r="B10277" t="s">
        <v>11839</v>
      </c>
      <c r="C10277" t="s">
        <v>14670</v>
      </c>
      <c r="D10277" t="s">
        <v>38078</v>
      </c>
      <c r="E10277" t="b">
        <v>0</v>
      </c>
      <c r="F10277" t="s">
        <v>11610</v>
      </c>
      <c r="L10277">
        <v>0</v>
      </c>
      <c r="M10277">
        <v>0</v>
      </c>
      <c r="N10277">
        <v>0</v>
      </c>
    </row>
    <row r="10278" spans="1:15">
      <c r="A10278" t="s">
        <v>38064</v>
      </c>
      <c r="B10278" t="s">
        <v>6742</v>
      </c>
      <c r="C10278" t="s">
        <v>21811</v>
      </c>
      <c r="D10278" t="s">
        <v>38079</v>
      </c>
      <c r="E10278" t="b">
        <v>0</v>
      </c>
      <c r="F10278" t="s">
        <v>11622</v>
      </c>
      <c r="L10278">
        <v>2</v>
      </c>
      <c r="M10278">
        <v>4</v>
      </c>
      <c r="N10278">
        <v>2</v>
      </c>
    </row>
    <row r="10279" spans="1:15">
      <c r="A10279" t="s">
        <v>38080</v>
      </c>
      <c r="B10279" t="s">
        <v>367</v>
      </c>
      <c r="C10279" t="s">
        <v>16940</v>
      </c>
      <c r="D10279" t="s">
        <v>38081</v>
      </c>
      <c r="E10279" t="b">
        <v>0</v>
      </c>
      <c r="F10279" t="s">
        <v>11622</v>
      </c>
      <c r="L10279">
        <v>0</v>
      </c>
      <c r="M10279">
        <v>2</v>
      </c>
      <c r="N10279">
        <v>2</v>
      </c>
    </row>
    <row r="10280" spans="1:15">
      <c r="A10280" t="s">
        <v>27704</v>
      </c>
      <c r="B10280" t="s">
        <v>6742</v>
      </c>
      <c r="C10280" t="s">
        <v>38082</v>
      </c>
      <c r="D10280" t="s">
        <v>38083</v>
      </c>
      <c r="E10280" t="b">
        <v>0</v>
      </c>
      <c r="F10280" t="s">
        <v>11622</v>
      </c>
      <c r="L10280">
        <v>0</v>
      </c>
      <c r="M10280">
        <v>2</v>
      </c>
      <c r="N10280">
        <v>7</v>
      </c>
    </row>
    <row r="10281" spans="1:15">
      <c r="A10281" t="s">
        <v>38084</v>
      </c>
      <c r="B10281" t="s">
        <v>3164</v>
      </c>
      <c r="C10281" t="s">
        <v>23732</v>
      </c>
      <c r="D10281" t="s">
        <v>38085</v>
      </c>
      <c r="E10281" t="b">
        <v>0</v>
      </c>
      <c r="F10281" t="s">
        <v>11610</v>
      </c>
      <c r="L10281">
        <v>0</v>
      </c>
      <c r="M10281">
        <v>0</v>
      </c>
      <c r="N10281">
        <v>0</v>
      </c>
    </row>
    <row r="10282" spans="1:15">
      <c r="A10282" t="s">
        <v>38086</v>
      </c>
      <c r="B10282" t="s">
        <v>6742</v>
      </c>
      <c r="C10282" t="s">
        <v>21272</v>
      </c>
      <c r="D10282" t="s">
        <v>38087</v>
      </c>
      <c r="E10282" t="b">
        <v>0</v>
      </c>
      <c r="F10282" t="s">
        <v>11610</v>
      </c>
      <c r="L10282">
        <v>0</v>
      </c>
      <c r="M10282">
        <v>0</v>
      </c>
      <c r="N10282">
        <v>0</v>
      </c>
    </row>
    <row r="10283" spans="1:15">
      <c r="A10283" t="s">
        <v>34681</v>
      </c>
      <c r="B10283" t="s">
        <v>11607</v>
      </c>
      <c r="C10283" t="s">
        <v>38088</v>
      </c>
      <c r="D10283" t="s">
        <v>38089</v>
      </c>
      <c r="E10283" t="b">
        <v>0</v>
      </c>
      <c r="F10283" t="s">
        <v>11624</v>
      </c>
      <c r="G10283">
        <v>9.18</v>
      </c>
      <c r="H10283">
        <v>8.85</v>
      </c>
      <c r="I10283" t="s">
        <v>38090</v>
      </c>
      <c r="L10283">
        <v>0</v>
      </c>
      <c r="M10283">
        <v>0</v>
      </c>
      <c r="N10283">
        <v>3</v>
      </c>
      <c r="O10283" t="s">
        <v>11693</v>
      </c>
    </row>
    <row r="10284" spans="1:15">
      <c r="A10284" t="s">
        <v>38091</v>
      </c>
      <c r="B10284" t="s">
        <v>11729</v>
      </c>
      <c r="C10284" t="s">
        <v>17067</v>
      </c>
      <c r="D10284" t="s">
        <v>38092</v>
      </c>
      <c r="E10284" t="b">
        <v>0</v>
      </c>
      <c r="F10284" t="s">
        <v>11624</v>
      </c>
      <c r="G10284">
        <v>9.9632699999999996</v>
      </c>
      <c r="H10284">
        <v>18.9055</v>
      </c>
      <c r="I10284" t="s">
        <v>38093</v>
      </c>
      <c r="L10284">
        <v>0</v>
      </c>
      <c r="M10284">
        <v>0</v>
      </c>
      <c r="N10284">
        <v>2</v>
      </c>
      <c r="O10284" t="s">
        <v>13421</v>
      </c>
    </row>
    <row r="10285" spans="1:15">
      <c r="A10285" t="s">
        <v>23265</v>
      </c>
      <c r="B10285" t="s">
        <v>10597</v>
      </c>
      <c r="C10285" t="s">
        <v>38094</v>
      </c>
      <c r="D10285" t="s">
        <v>38095</v>
      </c>
      <c r="E10285" t="b">
        <v>0</v>
      </c>
      <c r="F10285" t="s">
        <v>11622</v>
      </c>
      <c r="L10285">
        <v>1</v>
      </c>
      <c r="M10285">
        <v>4</v>
      </c>
      <c r="N10285">
        <v>13</v>
      </c>
    </row>
    <row r="10286" spans="1:15">
      <c r="A10286" t="s">
        <v>32149</v>
      </c>
      <c r="D10286" t="s">
        <v>38096</v>
      </c>
      <c r="E10286" t="b">
        <v>0</v>
      </c>
      <c r="F10286" t="s">
        <v>11622</v>
      </c>
      <c r="L10286">
        <v>1</v>
      </c>
      <c r="M10286">
        <v>3</v>
      </c>
      <c r="N10286">
        <v>0</v>
      </c>
    </row>
    <row r="10287" spans="1:15">
      <c r="A10287" t="s">
        <v>38097</v>
      </c>
      <c r="B10287" t="s">
        <v>367</v>
      </c>
      <c r="C10287" t="s">
        <v>15954</v>
      </c>
      <c r="D10287" t="s">
        <v>38098</v>
      </c>
      <c r="E10287" t="b">
        <v>0</v>
      </c>
      <c r="F10287" t="s">
        <v>11624</v>
      </c>
      <c r="G10287">
        <v>-4.5841099999999999</v>
      </c>
      <c r="H10287">
        <v>123.045</v>
      </c>
      <c r="I10287" t="s">
        <v>38099</v>
      </c>
      <c r="L10287">
        <v>0</v>
      </c>
      <c r="M10287">
        <v>0</v>
      </c>
      <c r="N10287">
        <v>0</v>
      </c>
      <c r="O10287" t="s">
        <v>11768</v>
      </c>
    </row>
    <row r="10288" spans="1:15">
      <c r="A10288" t="s">
        <v>38100</v>
      </c>
      <c r="B10288" t="s">
        <v>13244</v>
      </c>
      <c r="C10288" t="s">
        <v>24476</v>
      </c>
      <c r="D10288" t="s">
        <v>38101</v>
      </c>
      <c r="E10288" t="b">
        <v>0</v>
      </c>
      <c r="F10288" t="s">
        <v>11624</v>
      </c>
      <c r="G10288">
        <v>-6.1771500000000001</v>
      </c>
      <c r="H10288">
        <v>-72.043800000000005</v>
      </c>
      <c r="I10288" t="s">
        <v>38102</v>
      </c>
      <c r="L10288">
        <v>0</v>
      </c>
      <c r="M10288">
        <v>0</v>
      </c>
      <c r="N10288">
        <v>0</v>
      </c>
      <c r="O10288" t="s">
        <v>11969</v>
      </c>
    </row>
    <row r="10289" spans="1:15">
      <c r="A10289" t="s">
        <v>38094</v>
      </c>
      <c r="B10289" t="s">
        <v>10597</v>
      </c>
      <c r="C10289" t="s">
        <v>26480</v>
      </c>
      <c r="D10289" t="s">
        <v>38103</v>
      </c>
      <c r="E10289" t="b">
        <v>0</v>
      </c>
      <c r="F10289" t="s">
        <v>11622</v>
      </c>
      <c r="L10289">
        <v>3</v>
      </c>
      <c r="M10289">
        <v>6</v>
      </c>
      <c r="N10289">
        <v>17</v>
      </c>
    </row>
    <row r="10290" spans="1:15">
      <c r="A10290" t="s">
        <v>2186</v>
      </c>
      <c r="B10290" t="s">
        <v>11637</v>
      </c>
      <c r="C10290" t="s">
        <v>30772</v>
      </c>
      <c r="D10290" t="s">
        <v>38104</v>
      </c>
      <c r="E10290" t="b">
        <v>0</v>
      </c>
      <c r="F10290" t="s">
        <v>11624</v>
      </c>
      <c r="G10290">
        <v>31.8339</v>
      </c>
      <c r="H10290">
        <v>77.377200000000002</v>
      </c>
      <c r="I10290" t="s">
        <v>2188</v>
      </c>
      <c r="L10290">
        <v>0</v>
      </c>
      <c r="M10290">
        <v>0</v>
      </c>
      <c r="N10290">
        <v>2</v>
      </c>
      <c r="O10290" t="s">
        <v>11630</v>
      </c>
    </row>
    <row r="10291" spans="1:15">
      <c r="A10291" t="s">
        <v>38105</v>
      </c>
      <c r="B10291" t="s">
        <v>367</v>
      </c>
      <c r="C10291" t="s">
        <v>38106</v>
      </c>
      <c r="D10291" t="s">
        <v>38107</v>
      </c>
      <c r="E10291" t="b">
        <v>0</v>
      </c>
      <c r="F10291" t="s">
        <v>11624</v>
      </c>
      <c r="G10291">
        <v>23.7562</v>
      </c>
      <c r="H10291">
        <v>120.976</v>
      </c>
      <c r="I10291" t="s">
        <v>38108</v>
      </c>
      <c r="L10291">
        <v>0</v>
      </c>
      <c r="M10291">
        <v>0</v>
      </c>
      <c r="N10291">
        <v>0</v>
      </c>
      <c r="O10291" t="s">
        <v>13484</v>
      </c>
    </row>
    <row r="10292" spans="1:15">
      <c r="A10292" t="s">
        <v>22930</v>
      </c>
      <c r="B10292" t="s">
        <v>11644</v>
      </c>
      <c r="C10292" t="s">
        <v>36112</v>
      </c>
      <c r="D10292" t="s">
        <v>38109</v>
      </c>
      <c r="E10292" t="b">
        <v>0</v>
      </c>
      <c r="F10292" t="s">
        <v>11622</v>
      </c>
      <c r="L10292">
        <v>0</v>
      </c>
      <c r="M10292">
        <v>3</v>
      </c>
      <c r="N10292">
        <v>14</v>
      </c>
    </row>
    <row r="10293" spans="1:15">
      <c r="A10293" t="s">
        <v>22458</v>
      </c>
      <c r="B10293" t="s">
        <v>11644</v>
      </c>
      <c r="C10293" t="s">
        <v>22930</v>
      </c>
      <c r="D10293" t="s">
        <v>38110</v>
      </c>
      <c r="E10293" t="b">
        <v>0</v>
      </c>
      <c r="F10293" t="s">
        <v>11624</v>
      </c>
      <c r="G10293">
        <v>27.160599999999999</v>
      </c>
      <c r="H10293">
        <v>87.571700000000007</v>
      </c>
      <c r="I10293" t="s">
        <v>38111</v>
      </c>
      <c r="L10293">
        <v>0</v>
      </c>
      <c r="M10293">
        <v>0</v>
      </c>
      <c r="N10293">
        <v>8</v>
      </c>
      <c r="O10293" t="s">
        <v>12524</v>
      </c>
    </row>
    <row r="10294" spans="1:15">
      <c r="A10294" t="s">
        <v>38112</v>
      </c>
      <c r="B10294" t="s">
        <v>11644</v>
      </c>
      <c r="C10294" t="s">
        <v>19610</v>
      </c>
      <c r="D10294" t="s">
        <v>38113</v>
      </c>
      <c r="E10294" t="b">
        <v>0</v>
      </c>
      <c r="F10294" t="s">
        <v>11610</v>
      </c>
      <c r="L10294">
        <v>0</v>
      </c>
      <c r="M10294">
        <v>0</v>
      </c>
      <c r="N10294">
        <v>0</v>
      </c>
    </row>
    <row r="10295" spans="1:15">
      <c r="A10295" t="s">
        <v>38114</v>
      </c>
      <c r="B10295" t="s">
        <v>6742</v>
      </c>
      <c r="C10295" t="s">
        <v>33122</v>
      </c>
      <c r="D10295" t="s">
        <v>38115</v>
      </c>
      <c r="E10295" t="b">
        <v>0</v>
      </c>
      <c r="F10295" t="s">
        <v>11624</v>
      </c>
      <c r="G10295">
        <v>9.2081499999999998</v>
      </c>
      <c r="H10295">
        <v>11.04651</v>
      </c>
      <c r="I10295" t="s">
        <v>38116</v>
      </c>
      <c r="L10295">
        <v>0</v>
      </c>
      <c r="M10295">
        <v>0</v>
      </c>
      <c r="N10295">
        <v>0</v>
      </c>
      <c r="O10295" t="s">
        <v>11693</v>
      </c>
    </row>
    <row r="10296" spans="1:15">
      <c r="A10296" t="s">
        <v>38117</v>
      </c>
      <c r="B10296" t="s">
        <v>367</v>
      </c>
      <c r="C10296" t="s">
        <v>32092</v>
      </c>
      <c r="D10296" t="s">
        <v>38118</v>
      </c>
      <c r="E10296" t="b">
        <v>0</v>
      </c>
      <c r="F10296" t="s">
        <v>11610</v>
      </c>
      <c r="L10296">
        <v>0</v>
      </c>
      <c r="M10296">
        <v>0</v>
      </c>
      <c r="N10296">
        <v>0</v>
      </c>
    </row>
    <row r="10297" spans="1:15">
      <c r="A10297" t="s">
        <v>38119</v>
      </c>
      <c r="B10297" t="s">
        <v>367</v>
      </c>
      <c r="C10297" t="s">
        <v>38120</v>
      </c>
      <c r="D10297" t="s">
        <v>38121</v>
      </c>
      <c r="E10297" t="b">
        <v>0</v>
      </c>
      <c r="F10297" t="s">
        <v>11610</v>
      </c>
      <c r="L10297">
        <v>0</v>
      </c>
      <c r="M10297">
        <v>0</v>
      </c>
      <c r="N10297">
        <v>0</v>
      </c>
    </row>
    <row r="10298" spans="1:15">
      <c r="A10298" t="s">
        <v>21364</v>
      </c>
      <c r="B10298" t="s">
        <v>11637</v>
      </c>
      <c r="C10298" t="s">
        <v>21360</v>
      </c>
      <c r="D10298" t="s">
        <v>38122</v>
      </c>
      <c r="E10298" t="b">
        <v>0</v>
      </c>
      <c r="F10298" t="s">
        <v>11624</v>
      </c>
      <c r="G10298">
        <v>29.562200000000001</v>
      </c>
      <c r="H10298">
        <v>80.017099999999999</v>
      </c>
      <c r="I10298" t="s">
        <v>38123</v>
      </c>
      <c r="L10298">
        <v>0</v>
      </c>
      <c r="M10298">
        <v>0</v>
      </c>
      <c r="N10298">
        <v>4</v>
      </c>
      <c r="O10298" t="s">
        <v>12524</v>
      </c>
    </row>
    <row r="10299" spans="1:15">
      <c r="A10299" t="s">
        <v>38124</v>
      </c>
      <c r="B10299" t="s">
        <v>11844</v>
      </c>
      <c r="C10299" t="s">
        <v>38125</v>
      </c>
      <c r="D10299" t="s">
        <v>38126</v>
      </c>
      <c r="E10299" t="b">
        <v>0</v>
      </c>
      <c r="F10299" t="s">
        <v>11624</v>
      </c>
      <c r="G10299">
        <v>24.121700000000001</v>
      </c>
      <c r="H10299">
        <v>87.269900000000007</v>
      </c>
      <c r="I10299" t="s">
        <v>38127</v>
      </c>
      <c r="L10299">
        <v>0</v>
      </c>
      <c r="M10299">
        <v>0</v>
      </c>
      <c r="N10299">
        <v>0</v>
      </c>
      <c r="O10299" t="s">
        <v>11630</v>
      </c>
    </row>
    <row r="10300" spans="1:15">
      <c r="A10300" t="s">
        <v>38128</v>
      </c>
      <c r="B10300" t="s">
        <v>11757</v>
      </c>
      <c r="C10300" t="s">
        <v>38129</v>
      </c>
      <c r="D10300" t="s">
        <v>38130</v>
      </c>
      <c r="E10300" t="b">
        <v>0</v>
      </c>
      <c r="F10300" t="s">
        <v>11624</v>
      </c>
      <c r="G10300">
        <v>1.7474799999999999</v>
      </c>
      <c r="H10300">
        <v>33.211599999999997</v>
      </c>
      <c r="I10300" t="s">
        <v>38131</v>
      </c>
      <c r="L10300">
        <v>0</v>
      </c>
      <c r="M10300">
        <v>0</v>
      </c>
      <c r="N10300">
        <v>0</v>
      </c>
      <c r="O10300" t="s">
        <v>25786</v>
      </c>
    </row>
    <row r="10301" spans="1:15">
      <c r="A10301" t="s">
        <v>38132</v>
      </c>
      <c r="B10301" t="s">
        <v>367</v>
      </c>
      <c r="C10301" t="s">
        <v>38133</v>
      </c>
      <c r="D10301" t="s">
        <v>38134</v>
      </c>
      <c r="E10301" t="b">
        <v>0</v>
      </c>
      <c r="F10301" t="s">
        <v>11624</v>
      </c>
      <c r="G10301">
        <v>-20.403500000000001</v>
      </c>
      <c r="H10301">
        <v>164.19300000000001</v>
      </c>
      <c r="I10301" t="s">
        <v>38135</v>
      </c>
      <c r="L10301">
        <v>0</v>
      </c>
      <c r="M10301">
        <v>0</v>
      </c>
      <c r="N10301">
        <v>2</v>
      </c>
      <c r="O10301" t="s">
        <v>12624</v>
      </c>
    </row>
    <row r="10302" spans="1:15">
      <c r="A10302" t="s">
        <v>38136</v>
      </c>
      <c r="B10302" t="s">
        <v>367</v>
      </c>
      <c r="C10302" t="s">
        <v>16925</v>
      </c>
      <c r="D10302" t="s">
        <v>38137</v>
      </c>
      <c r="E10302" t="b">
        <v>0</v>
      </c>
      <c r="F10302" t="s">
        <v>11610</v>
      </c>
      <c r="L10302">
        <v>0</v>
      </c>
      <c r="M10302">
        <v>0</v>
      </c>
      <c r="N10302">
        <v>0</v>
      </c>
    </row>
    <row r="10303" spans="1:15">
      <c r="A10303" t="s">
        <v>38138</v>
      </c>
      <c r="B10303" t="s">
        <v>367</v>
      </c>
      <c r="C10303" t="s">
        <v>23984</v>
      </c>
      <c r="D10303" t="s">
        <v>38139</v>
      </c>
      <c r="E10303" t="b">
        <v>0</v>
      </c>
      <c r="F10303" t="s">
        <v>11624</v>
      </c>
      <c r="G10303">
        <v>-7.1135000000000002</v>
      </c>
      <c r="H10303">
        <v>146.57</v>
      </c>
      <c r="I10303" t="s">
        <v>38140</v>
      </c>
      <c r="L10303">
        <v>0</v>
      </c>
      <c r="M10303">
        <v>0</v>
      </c>
      <c r="N10303">
        <v>0</v>
      </c>
      <c r="O10303" t="s">
        <v>11660</v>
      </c>
    </row>
    <row r="10304" spans="1:15">
      <c r="A10304" t="s">
        <v>25205</v>
      </c>
      <c r="B10304" t="s">
        <v>11615</v>
      </c>
      <c r="C10304" t="s">
        <v>29488</v>
      </c>
      <c r="D10304" t="s">
        <v>38141</v>
      </c>
      <c r="E10304" t="b">
        <v>0</v>
      </c>
      <c r="F10304" t="s">
        <v>11622</v>
      </c>
      <c r="L10304">
        <v>0</v>
      </c>
      <c r="M10304">
        <v>2</v>
      </c>
      <c r="N10304">
        <v>4</v>
      </c>
    </row>
    <row r="10305" spans="1:15">
      <c r="A10305" t="s">
        <v>7842</v>
      </c>
      <c r="B10305" t="s">
        <v>11615</v>
      </c>
      <c r="C10305" t="s">
        <v>25205</v>
      </c>
      <c r="D10305" t="s">
        <v>38142</v>
      </c>
      <c r="E10305" t="b">
        <v>0</v>
      </c>
      <c r="F10305" t="s">
        <v>11624</v>
      </c>
      <c r="G10305">
        <v>-5.9058599999999997</v>
      </c>
      <c r="H10305">
        <v>144.977</v>
      </c>
      <c r="I10305" t="s">
        <v>38143</v>
      </c>
      <c r="L10305">
        <v>0</v>
      </c>
      <c r="M10305">
        <v>0</v>
      </c>
      <c r="N10305">
        <v>3</v>
      </c>
      <c r="O10305" t="s">
        <v>11660</v>
      </c>
    </row>
    <row r="10306" spans="1:15">
      <c r="A10306" t="s">
        <v>38144</v>
      </c>
      <c r="B10306" t="s">
        <v>4342</v>
      </c>
      <c r="C10306" t="s">
        <v>22538</v>
      </c>
      <c r="D10306" t="s">
        <v>38145</v>
      </c>
      <c r="E10306" t="b">
        <v>0</v>
      </c>
      <c r="F10306" t="s">
        <v>11610</v>
      </c>
      <c r="L10306">
        <v>0</v>
      </c>
      <c r="M10306">
        <v>0</v>
      </c>
      <c r="N10306">
        <v>0</v>
      </c>
    </row>
    <row r="10307" spans="1:15">
      <c r="A10307" t="s">
        <v>38146</v>
      </c>
      <c r="B10307" t="s">
        <v>11894</v>
      </c>
      <c r="C10307" t="s">
        <v>38147</v>
      </c>
      <c r="D10307" t="s">
        <v>38148</v>
      </c>
      <c r="E10307" t="b">
        <v>0</v>
      </c>
      <c r="F10307" t="s">
        <v>11610</v>
      </c>
      <c r="L10307">
        <v>0</v>
      </c>
      <c r="M10307">
        <v>0</v>
      </c>
      <c r="N10307">
        <v>0</v>
      </c>
    </row>
    <row r="10308" spans="1:15">
      <c r="A10308" t="s">
        <v>38149</v>
      </c>
      <c r="B10308" t="s">
        <v>11637</v>
      </c>
      <c r="C10308" t="s">
        <v>26685</v>
      </c>
      <c r="D10308" t="s">
        <v>38150</v>
      </c>
      <c r="E10308" t="b">
        <v>0</v>
      </c>
      <c r="F10308" t="s">
        <v>11610</v>
      </c>
      <c r="L10308">
        <v>0</v>
      </c>
      <c r="M10308">
        <v>0</v>
      </c>
      <c r="N10308">
        <v>0</v>
      </c>
    </row>
    <row r="10309" spans="1:15">
      <c r="A10309" t="s">
        <v>38151</v>
      </c>
      <c r="B10309" t="s">
        <v>6742</v>
      </c>
      <c r="C10309" t="s">
        <v>37955</v>
      </c>
      <c r="D10309" t="s">
        <v>38152</v>
      </c>
      <c r="E10309" t="b">
        <v>0</v>
      </c>
      <c r="F10309" t="s">
        <v>11624</v>
      </c>
      <c r="G10309">
        <v>8.8212200000000003</v>
      </c>
      <c r="H10309">
        <v>12.041550000000001</v>
      </c>
      <c r="I10309" t="s">
        <v>38153</v>
      </c>
      <c r="L10309">
        <v>0</v>
      </c>
      <c r="M10309">
        <v>0</v>
      </c>
      <c r="N10309">
        <v>0</v>
      </c>
      <c r="O10309" t="s">
        <v>11693</v>
      </c>
    </row>
    <row r="10310" spans="1:15">
      <c r="A10310" t="s">
        <v>38154</v>
      </c>
      <c r="B10310" t="s">
        <v>11637</v>
      </c>
      <c r="C10310" t="s">
        <v>18327</v>
      </c>
      <c r="D10310" t="s">
        <v>38155</v>
      </c>
      <c r="E10310" t="b">
        <v>0</v>
      </c>
      <c r="F10310" t="s">
        <v>11610</v>
      </c>
      <c r="L10310">
        <v>0</v>
      </c>
      <c r="M10310">
        <v>0</v>
      </c>
      <c r="N10310">
        <v>0</v>
      </c>
    </row>
    <row r="10311" spans="1:15">
      <c r="A10311" t="s">
        <v>38156</v>
      </c>
      <c r="B10311" t="s">
        <v>11627</v>
      </c>
      <c r="C10311" t="s">
        <v>11627</v>
      </c>
      <c r="D10311" t="s">
        <v>38157</v>
      </c>
      <c r="E10311" t="b">
        <v>1</v>
      </c>
      <c r="F10311" t="s">
        <v>11624</v>
      </c>
      <c r="I10311" t="s">
        <v>38158</v>
      </c>
      <c r="L10311">
        <v>0</v>
      </c>
      <c r="M10311">
        <v>0</v>
      </c>
      <c r="N10311">
        <v>0</v>
      </c>
      <c r="O10311" t="s">
        <v>11630</v>
      </c>
    </row>
    <row r="10312" spans="1:15">
      <c r="A10312" t="s">
        <v>38159</v>
      </c>
      <c r="B10312" t="s">
        <v>10597</v>
      </c>
      <c r="C10312" t="s">
        <v>30114</v>
      </c>
      <c r="D10312" t="s">
        <v>38160</v>
      </c>
      <c r="E10312" t="b">
        <v>0</v>
      </c>
      <c r="F10312" t="s">
        <v>11624</v>
      </c>
      <c r="G10312">
        <v>-29.818899999999999</v>
      </c>
      <c r="H10312">
        <v>152.91300000000001</v>
      </c>
      <c r="I10312" t="s">
        <v>38161</v>
      </c>
      <c r="L10312">
        <v>0</v>
      </c>
      <c r="M10312">
        <v>0</v>
      </c>
      <c r="N10312">
        <v>0</v>
      </c>
      <c r="O10312" t="s">
        <v>12107</v>
      </c>
    </row>
    <row r="10313" spans="1:15">
      <c r="A10313" t="s">
        <v>38162</v>
      </c>
      <c r="B10313" t="s">
        <v>12697</v>
      </c>
      <c r="C10313" t="s">
        <v>14175</v>
      </c>
      <c r="D10313" t="s">
        <v>38163</v>
      </c>
      <c r="E10313" t="b">
        <v>0</v>
      </c>
      <c r="F10313" t="s">
        <v>11610</v>
      </c>
      <c r="L10313">
        <v>0</v>
      </c>
      <c r="M10313">
        <v>0</v>
      </c>
      <c r="N10313">
        <v>0</v>
      </c>
    </row>
    <row r="10314" spans="1:15">
      <c r="A10314" t="s">
        <v>38164</v>
      </c>
      <c r="B10314" t="s">
        <v>6742</v>
      </c>
      <c r="C10314" t="s">
        <v>14115</v>
      </c>
      <c r="D10314" t="s">
        <v>38165</v>
      </c>
      <c r="E10314" t="b">
        <v>0</v>
      </c>
      <c r="F10314" t="s">
        <v>11610</v>
      </c>
      <c r="L10314">
        <v>0</v>
      </c>
      <c r="M10314">
        <v>0</v>
      </c>
      <c r="N10314">
        <v>0</v>
      </c>
    </row>
    <row r="10315" spans="1:15">
      <c r="A10315" t="s">
        <v>38166</v>
      </c>
      <c r="B10315" t="s">
        <v>6742</v>
      </c>
      <c r="C10315" t="s">
        <v>26953</v>
      </c>
      <c r="D10315" t="s">
        <v>38167</v>
      </c>
      <c r="E10315" t="b">
        <v>0</v>
      </c>
      <c r="F10315" t="s">
        <v>11610</v>
      </c>
      <c r="L10315">
        <v>0</v>
      </c>
      <c r="M10315">
        <v>0</v>
      </c>
      <c r="N10315">
        <v>0</v>
      </c>
    </row>
    <row r="10316" spans="1:15">
      <c r="A10316" t="s">
        <v>38168</v>
      </c>
      <c r="B10316" t="s">
        <v>6742</v>
      </c>
      <c r="C10316" t="s">
        <v>20319</v>
      </c>
      <c r="D10316" t="s">
        <v>38169</v>
      </c>
      <c r="E10316" t="b">
        <v>0</v>
      </c>
      <c r="F10316" t="s">
        <v>11610</v>
      </c>
      <c r="L10316">
        <v>0</v>
      </c>
      <c r="M10316">
        <v>0</v>
      </c>
      <c r="N10316">
        <v>0</v>
      </c>
    </row>
    <row r="10317" spans="1:15">
      <c r="A10317" t="s">
        <v>38170</v>
      </c>
      <c r="B10317" t="s">
        <v>6742</v>
      </c>
      <c r="C10317" t="s">
        <v>20639</v>
      </c>
      <c r="D10317" t="s">
        <v>38171</v>
      </c>
      <c r="E10317" t="b">
        <v>0</v>
      </c>
      <c r="F10317" t="s">
        <v>11610</v>
      </c>
      <c r="L10317">
        <v>0</v>
      </c>
      <c r="M10317">
        <v>0</v>
      </c>
      <c r="N10317">
        <v>0</v>
      </c>
    </row>
    <row r="10318" spans="1:15">
      <c r="A10318" t="s">
        <v>38172</v>
      </c>
      <c r="B10318" t="s">
        <v>367</v>
      </c>
      <c r="C10318" t="s">
        <v>26559</v>
      </c>
      <c r="D10318" t="s">
        <v>38173</v>
      </c>
      <c r="E10318" t="b">
        <v>0</v>
      </c>
      <c r="F10318" t="s">
        <v>11624</v>
      </c>
      <c r="G10318">
        <v>-5.3448500000000001</v>
      </c>
      <c r="H10318">
        <v>123.154</v>
      </c>
      <c r="I10318" t="s">
        <v>38174</v>
      </c>
      <c r="L10318">
        <v>0</v>
      </c>
      <c r="M10318">
        <v>0</v>
      </c>
      <c r="N10318">
        <v>0</v>
      </c>
      <c r="O10318" t="s">
        <v>11768</v>
      </c>
    </row>
    <row r="10319" spans="1:15">
      <c r="A10319" t="s">
        <v>38175</v>
      </c>
      <c r="B10319" t="s">
        <v>11607</v>
      </c>
      <c r="C10319" t="s">
        <v>29920</v>
      </c>
      <c r="D10319" t="s">
        <v>38176</v>
      </c>
      <c r="E10319" t="b">
        <v>0</v>
      </c>
      <c r="F10319" t="s">
        <v>11610</v>
      </c>
      <c r="L10319">
        <v>0</v>
      </c>
      <c r="M10319">
        <v>0</v>
      </c>
      <c r="N10319">
        <v>0</v>
      </c>
    </row>
    <row r="10320" spans="1:15">
      <c r="A10320" t="s">
        <v>38177</v>
      </c>
      <c r="B10320" t="s">
        <v>11637</v>
      </c>
      <c r="C10320" t="s">
        <v>38178</v>
      </c>
      <c r="D10320" t="s">
        <v>38179</v>
      </c>
      <c r="E10320" t="b">
        <v>0</v>
      </c>
      <c r="F10320" t="s">
        <v>11624</v>
      </c>
      <c r="G10320">
        <v>27.829699999999999</v>
      </c>
      <c r="H10320">
        <v>84.1357</v>
      </c>
      <c r="I10320" t="s">
        <v>38180</v>
      </c>
      <c r="L10320">
        <v>0</v>
      </c>
      <c r="M10320">
        <v>0</v>
      </c>
      <c r="N10320">
        <v>0</v>
      </c>
      <c r="O10320" t="s">
        <v>15007</v>
      </c>
    </row>
    <row r="10321" spans="1:15">
      <c r="A10321" t="s">
        <v>38181</v>
      </c>
      <c r="B10321" t="s">
        <v>11644</v>
      </c>
      <c r="C10321" t="s">
        <v>34620</v>
      </c>
      <c r="D10321" t="s">
        <v>38182</v>
      </c>
      <c r="E10321" t="b">
        <v>0</v>
      </c>
      <c r="F10321" t="s">
        <v>11610</v>
      </c>
      <c r="L10321">
        <v>0</v>
      </c>
      <c r="M10321">
        <v>0</v>
      </c>
      <c r="N10321">
        <v>0</v>
      </c>
    </row>
    <row r="10322" spans="1:15">
      <c r="A10322" t="s">
        <v>9354</v>
      </c>
      <c r="B10322" t="s">
        <v>23233</v>
      </c>
      <c r="C10322" t="s">
        <v>24762</v>
      </c>
      <c r="D10322" t="s">
        <v>38183</v>
      </c>
      <c r="E10322" t="b">
        <v>0</v>
      </c>
      <c r="F10322" t="s">
        <v>11624</v>
      </c>
      <c r="G10322">
        <v>32.331000000000003</v>
      </c>
      <c r="H10322">
        <v>-116.604</v>
      </c>
      <c r="I10322" t="s">
        <v>9356</v>
      </c>
      <c r="L10322">
        <v>0</v>
      </c>
      <c r="M10322">
        <v>0</v>
      </c>
      <c r="N10322">
        <v>0</v>
      </c>
      <c r="O10322" t="s">
        <v>12238</v>
      </c>
    </row>
    <row r="10323" spans="1:15">
      <c r="A10323" t="s">
        <v>18039</v>
      </c>
      <c r="B10323" t="s">
        <v>11615</v>
      </c>
      <c r="C10323" t="s">
        <v>13250</v>
      </c>
      <c r="D10323" t="s">
        <v>38184</v>
      </c>
      <c r="E10323" t="b">
        <v>0</v>
      </c>
      <c r="F10323" t="s">
        <v>11622</v>
      </c>
      <c r="L10323">
        <v>0</v>
      </c>
      <c r="M10323">
        <v>5</v>
      </c>
      <c r="N10323">
        <v>0</v>
      </c>
    </row>
    <row r="10324" spans="1:15">
      <c r="A10324" t="s">
        <v>20804</v>
      </c>
      <c r="B10324" t="s">
        <v>367</v>
      </c>
      <c r="C10324" t="s">
        <v>27574</v>
      </c>
      <c r="D10324" t="s">
        <v>38185</v>
      </c>
      <c r="E10324" t="b">
        <v>0</v>
      </c>
      <c r="F10324" t="s">
        <v>11622</v>
      </c>
      <c r="L10324">
        <v>1</v>
      </c>
      <c r="M10324">
        <v>3</v>
      </c>
      <c r="N10324">
        <v>6</v>
      </c>
    </row>
    <row r="10325" spans="1:15">
      <c r="A10325" t="s">
        <v>38133</v>
      </c>
      <c r="B10325" t="s">
        <v>367</v>
      </c>
      <c r="C10325" t="s">
        <v>20804</v>
      </c>
      <c r="D10325" t="s">
        <v>38186</v>
      </c>
      <c r="E10325" t="b">
        <v>0</v>
      </c>
      <c r="F10325" t="s">
        <v>11622</v>
      </c>
      <c r="L10325">
        <v>0</v>
      </c>
      <c r="M10325">
        <v>2</v>
      </c>
      <c r="N10325">
        <v>4</v>
      </c>
    </row>
    <row r="10326" spans="1:15">
      <c r="A10326" t="s">
        <v>38187</v>
      </c>
      <c r="B10326" t="s">
        <v>12311</v>
      </c>
      <c r="C10326" t="s">
        <v>14790</v>
      </c>
      <c r="D10326" t="s">
        <v>38188</v>
      </c>
      <c r="E10326" t="b">
        <v>0</v>
      </c>
      <c r="F10326" t="s">
        <v>11610</v>
      </c>
      <c r="L10326">
        <v>0</v>
      </c>
      <c r="M10326">
        <v>0</v>
      </c>
      <c r="N10326">
        <v>0</v>
      </c>
    </row>
    <row r="10327" spans="1:15">
      <c r="A10327" t="s">
        <v>38189</v>
      </c>
      <c r="B10327" t="s">
        <v>11615</v>
      </c>
      <c r="C10327" t="s">
        <v>36553</v>
      </c>
      <c r="D10327" t="s">
        <v>38190</v>
      </c>
      <c r="E10327" t="b">
        <v>0</v>
      </c>
      <c r="F10327" t="s">
        <v>11624</v>
      </c>
      <c r="G10327">
        <v>-6.0312799999999998</v>
      </c>
      <c r="H10327">
        <v>147.411</v>
      </c>
      <c r="I10327" t="s">
        <v>38191</v>
      </c>
      <c r="L10327">
        <v>0</v>
      </c>
      <c r="M10327">
        <v>0</v>
      </c>
      <c r="N10327">
        <v>0</v>
      </c>
      <c r="O10327" t="s">
        <v>11660</v>
      </c>
    </row>
    <row r="10328" spans="1:15">
      <c r="A10328" t="s">
        <v>20126</v>
      </c>
      <c r="B10328" t="s">
        <v>331</v>
      </c>
      <c r="C10328" t="s">
        <v>23535</v>
      </c>
      <c r="D10328" t="s">
        <v>38192</v>
      </c>
      <c r="E10328" t="b">
        <v>0</v>
      </c>
      <c r="F10328" t="s">
        <v>11624</v>
      </c>
      <c r="G10328">
        <v>43</v>
      </c>
      <c r="H10328">
        <v>47</v>
      </c>
      <c r="I10328" t="s">
        <v>38193</v>
      </c>
      <c r="L10328">
        <v>0</v>
      </c>
      <c r="M10328">
        <v>0</v>
      </c>
      <c r="N10328">
        <v>3</v>
      </c>
      <c r="O10328" t="s">
        <v>25901</v>
      </c>
    </row>
    <row r="10329" spans="1:15">
      <c r="A10329" t="s">
        <v>38194</v>
      </c>
      <c r="B10329" t="s">
        <v>11637</v>
      </c>
      <c r="C10329" t="s">
        <v>17249</v>
      </c>
      <c r="D10329" t="s">
        <v>38195</v>
      </c>
      <c r="E10329" t="b">
        <v>0</v>
      </c>
      <c r="F10329" t="s">
        <v>11624</v>
      </c>
      <c r="G10329">
        <v>26.1602</v>
      </c>
      <c r="H10329">
        <v>56.420200000000001</v>
      </c>
      <c r="I10329" t="s">
        <v>38196</v>
      </c>
      <c r="L10329">
        <v>0</v>
      </c>
      <c r="M10329">
        <v>0</v>
      </c>
      <c r="N10329">
        <v>0</v>
      </c>
      <c r="O10329" t="s">
        <v>24663</v>
      </c>
    </row>
    <row r="10330" spans="1:15">
      <c r="A10330" t="s">
        <v>38197</v>
      </c>
      <c r="B10330" t="s">
        <v>13411</v>
      </c>
      <c r="C10330" t="s">
        <v>19145</v>
      </c>
      <c r="D10330" t="s">
        <v>38198</v>
      </c>
      <c r="E10330" t="b">
        <v>0</v>
      </c>
      <c r="F10330" t="s">
        <v>11610</v>
      </c>
      <c r="L10330">
        <v>0</v>
      </c>
      <c r="M10330">
        <v>0</v>
      </c>
      <c r="N10330">
        <v>0</v>
      </c>
    </row>
    <row r="10331" spans="1:15">
      <c r="A10331" t="s">
        <v>23993</v>
      </c>
      <c r="B10331" t="s">
        <v>11637</v>
      </c>
      <c r="C10331" t="s">
        <v>22744</v>
      </c>
      <c r="D10331" t="s">
        <v>38199</v>
      </c>
      <c r="E10331" t="b">
        <v>0</v>
      </c>
      <c r="F10331" t="s">
        <v>11622</v>
      </c>
      <c r="L10331">
        <v>1</v>
      </c>
      <c r="M10331">
        <v>4</v>
      </c>
      <c r="N10331">
        <v>3</v>
      </c>
    </row>
    <row r="10332" spans="1:15">
      <c r="A10332" t="s">
        <v>38200</v>
      </c>
      <c r="B10332" t="s">
        <v>11637</v>
      </c>
      <c r="C10332" t="s">
        <v>13077</v>
      </c>
      <c r="D10332" t="s">
        <v>38201</v>
      </c>
      <c r="E10332" t="b">
        <v>0</v>
      </c>
      <c r="F10332" t="s">
        <v>11610</v>
      </c>
      <c r="L10332">
        <v>0</v>
      </c>
      <c r="M10332">
        <v>0</v>
      </c>
      <c r="N10332">
        <v>0</v>
      </c>
    </row>
    <row r="10333" spans="1:15">
      <c r="A10333" t="s">
        <v>38202</v>
      </c>
      <c r="B10333" t="s">
        <v>6742</v>
      </c>
      <c r="C10333" t="s">
        <v>27852</v>
      </c>
      <c r="D10333" t="s">
        <v>38203</v>
      </c>
      <c r="E10333" t="b">
        <v>0</v>
      </c>
      <c r="F10333" t="s">
        <v>11610</v>
      </c>
      <c r="L10333">
        <v>0</v>
      </c>
      <c r="M10333">
        <v>0</v>
      </c>
      <c r="N10333">
        <v>0</v>
      </c>
    </row>
    <row r="10334" spans="1:15">
      <c r="A10334" t="s">
        <v>38204</v>
      </c>
      <c r="B10334" t="s">
        <v>6742</v>
      </c>
      <c r="C10334" t="s">
        <v>15831</v>
      </c>
      <c r="D10334" t="s">
        <v>38205</v>
      </c>
      <c r="E10334" t="b">
        <v>0</v>
      </c>
      <c r="F10334" t="s">
        <v>11610</v>
      </c>
      <c r="L10334">
        <v>0</v>
      </c>
      <c r="M10334">
        <v>0</v>
      </c>
      <c r="N10334">
        <v>0</v>
      </c>
    </row>
    <row r="10335" spans="1:15">
      <c r="A10335" t="s">
        <v>12514</v>
      </c>
      <c r="D10335" t="s">
        <v>38206</v>
      </c>
      <c r="E10335" t="b">
        <v>0</v>
      </c>
      <c r="F10335" t="s">
        <v>11624</v>
      </c>
      <c r="G10335">
        <v>14.587899999999999</v>
      </c>
      <c r="H10335">
        <v>37.529200000000003</v>
      </c>
      <c r="I10335" t="s">
        <v>38207</v>
      </c>
      <c r="L10335">
        <v>0</v>
      </c>
      <c r="M10335">
        <v>0</v>
      </c>
      <c r="N10335">
        <v>9</v>
      </c>
      <c r="O10335" t="s">
        <v>38208</v>
      </c>
    </row>
    <row r="10336" spans="1:15">
      <c r="A10336" t="s">
        <v>156</v>
      </c>
      <c r="B10336" t="s">
        <v>6455</v>
      </c>
      <c r="C10336" t="s">
        <v>26400</v>
      </c>
      <c r="D10336" t="s">
        <v>155</v>
      </c>
      <c r="E10336" t="b">
        <v>0</v>
      </c>
      <c r="F10336" t="s">
        <v>11622</v>
      </c>
      <c r="L10336">
        <v>0</v>
      </c>
      <c r="M10336">
        <v>2</v>
      </c>
      <c r="N10336">
        <v>2</v>
      </c>
    </row>
    <row r="10337" spans="1:15">
      <c r="A10337" t="s">
        <v>38209</v>
      </c>
      <c r="B10337" t="s">
        <v>11637</v>
      </c>
      <c r="C10337" t="s">
        <v>24033</v>
      </c>
      <c r="D10337" t="s">
        <v>38210</v>
      </c>
      <c r="E10337" t="b">
        <v>0</v>
      </c>
      <c r="F10337" t="s">
        <v>11610</v>
      </c>
      <c r="L10337">
        <v>0</v>
      </c>
      <c r="M10337">
        <v>0</v>
      </c>
      <c r="N10337">
        <v>0</v>
      </c>
    </row>
    <row r="10338" spans="1:15">
      <c r="A10338" t="s">
        <v>38211</v>
      </c>
      <c r="B10338" t="s">
        <v>11637</v>
      </c>
      <c r="C10338" t="s">
        <v>19820</v>
      </c>
      <c r="D10338" t="s">
        <v>38212</v>
      </c>
      <c r="E10338" t="b">
        <v>0</v>
      </c>
      <c r="F10338" t="s">
        <v>11610</v>
      </c>
      <c r="L10338">
        <v>0</v>
      </c>
      <c r="M10338">
        <v>0</v>
      </c>
      <c r="N10338">
        <v>0</v>
      </c>
    </row>
    <row r="10339" spans="1:15">
      <c r="A10339" t="s">
        <v>38213</v>
      </c>
      <c r="B10339" t="s">
        <v>11637</v>
      </c>
      <c r="C10339" t="s">
        <v>19820</v>
      </c>
      <c r="D10339" t="s">
        <v>38214</v>
      </c>
      <c r="E10339" t="b">
        <v>0</v>
      </c>
      <c r="F10339" t="s">
        <v>11610</v>
      </c>
      <c r="L10339">
        <v>0</v>
      </c>
      <c r="M10339">
        <v>0</v>
      </c>
      <c r="N10339">
        <v>0</v>
      </c>
    </row>
    <row r="10340" spans="1:15">
      <c r="A10340" t="s">
        <v>9896</v>
      </c>
      <c r="B10340" t="s">
        <v>9897</v>
      </c>
      <c r="C10340" t="s">
        <v>21784</v>
      </c>
      <c r="D10340" t="s">
        <v>38215</v>
      </c>
      <c r="E10340" t="b">
        <v>0</v>
      </c>
      <c r="F10340" t="s">
        <v>11624</v>
      </c>
      <c r="G10340">
        <v>-11.9133</v>
      </c>
      <c r="H10340">
        <v>133.72300000000001</v>
      </c>
      <c r="I10340" t="s">
        <v>9898</v>
      </c>
      <c r="L10340">
        <v>0</v>
      </c>
      <c r="M10340">
        <v>0</v>
      </c>
      <c r="N10340">
        <v>0</v>
      </c>
      <c r="O10340" t="s">
        <v>12107</v>
      </c>
    </row>
    <row r="10341" spans="1:15">
      <c r="A10341" t="s">
        <v>38216</v>
      </c>
      <c r="B10341" t="s">
        <v>11637</v>
      </c>
      <c r="C10341" t="s">
        <v>13063</v>
      </c>
      <c r="D10341" t="s">
        <v>38217</v>
      </c>
      <c r="E10341" t="b">
        <v>0</v>
      </c>
      <c r="F10341" t="s">
        <v>11610</v>
      </c>
      <c r="L10341">
        <v>0</v>
      </c>
      <c r="M10341">
        <v>0</v>
      </c>
      <c r="N10341">
        <v>0</v>
      </c>
    </row>
    <row r="10342" spans="1:15">
      <c r="A10342" t="s">
        <v>38218</v>
      </c>
      <c r="B10342" t="s">
        <v>12250</v>
      </c>
      <c r="C10342" t="s">
        <v>35136</v>
      </c>
      <c r="D10342" t="s">
        <v>38219</v>
      </c>
      <c r="E10342" t="b">
        <v>0</v>
      </c>
      <c r="F10342" t="s">
        <v>11610</v>
      </c>
      <c r="L10342">
        <v>0</v>
      </c>
      <c r="M10342">
        <v>0</v>
      </c>
      <c r="N10342">
        <v>0</v>
      </c>
    </row>
    <row r="10343" spans="1:15">
      <c r="A10343" t="s">
        <v>38220</v>
      </c>
      <c r="B10343" t="s">
        <v>11844</v>
      </c>
      <c r="C10343" t="s">
        <v>34325</v>
      </c>
      <c r="D10343" t="s">
        <v>38221</v>
      </c>
      <c r="E10343" t="b">
        <v>0</v>
      </c>
      <c r="F10343" t="s">
        <v>11624</v>
      </c>
      <c r="I10343" t="s">
        <v>38222</v>
      </c>
      <c r="L10343">
        <v>0</v>
      </c>
      <c r="M10343">
        <v>0</v>
      </c>
      <c r="N10343">
        <v>0</v>
      </c>
      <c r="O10343" t="s">
        <v>11630</v>
      </c>
    </row>
    <row r="10344" spans="1:15">
      <c r="A10344" t="s">
        <v>38223</v>
      </c>
      <c r="B10344" t="s">
        <v>6742</v>
      </c>
      <c r="C10344" t="s">
        <v>3999</v>
      </c>
      <c r="D10344" t="s">
        <v>38224</v>
      </c>
      <c r="E10344" t="b">
        <v>0</v>
      </c>
      <c r="F10344" t="s">
        <v>11610</v>
      </c>
      <c r="L10344">
        <v>0</v>
      </c>
      <c r="M10344">
        <v>0</v>
      </c>
      <c r="N10344">
        <v>0</v>
      </c>
    </row>
    <row r="10345" spans="1:15">
      <c r="A10345" t="s">
        <v>38225</v>
      </c>
      <c r="B10345" t="s">
        <v>6742</v>
      </c>
      <c r="C10345" t="s">
        <v>38226</v>
      </c>
      <c r="D10345" t="s">
        <v>38227</v>
      </c>
      <c r="E10345" t="b">
        <v>0</v>
      </c>
      <c r="F10345" t="s">
        <v>11624</v>
      </c>
      <c r="G10345">
        <v>-15.733700000000001</v>
      </c>
      <c r="H10345">
        <v>30.2804</v>
      </c>
      <c r="I10345" t="s">
        <v>38228</v>
      </c>
      <c r="L10345">
        <v>0</v>
      </c>
      <c r="M10345">
        <v>0</v>
      </c>
      <c r="N10345">
        <v>0</v>
      </c>
      <c r="O10345" t="s">
        <v>38229</v>
      </c>
    </row>
    <row r="10346" spans="1:15">
      <c r="A10346" t="s">
        <v>38230</v>
      </c>
      <c r="B10346" t="s">
        <v>6742</v>
      </c>
      <c r="C10346" t="s">
        <v>20319</v>
      </c>
      <c r="D10346" t="s">
        <v>38231</v>
      </c>
      <c r="E10346" t="b">
        <v>0</v>
      </c>
      <c r="F10346" t="s">
        <v>11610</v>
      </c>
      <c r="L10346">
        <v>0</v>
      </c>
      <c r="M10346">
        <v>0</v>
      </c>
      <c r="N10346">
        <v>0</v>
      </c>
    </row>
    <row r="10347" spans="1:15">
      <c r="A10347" t="s">
        <v>38232</v>
      </c>
      <c r="B10347" t="s">
        <v>11637</v>
      </c>
      <c r="C10347" t="s">
        <v>19889</v>
      </c>
      <c r="D10347" t="s">
        <v>38233</v>
      </c>
      <c r="E10347" t="b">
        <v>0</v>
      </c>
      <c r="F10347" t="s">
        <v>11624</v>
      </c>
      <c r="I10347" t="s">
        <v>38234</v>
      </c>
      <c r="L10347">
        <v>0</v>
      </c>
      <c r="M10347">
        <v>0</v>
      </c>
      <c r="N10347">
        <v>0</v>
      </c>
      <c r="O10347" t="s">
        <v>12172</v>
      </c>
    </row>
    <row r="10348" spans="1:15">
      <c r="A10348" t="s">
        <v>38235</v>
      </c>
      <c r="B10348" t="s">
        <v>9897</v>
      </c>
      <c r="C10348" t="s">
        <v>10240</v>
      </c>
      <c r="D10348" t="s">
        <v>38236</v>
      </c>
      <c r="E10348" t="b">
        <v>0</v>
      </c>
      <c r="F10348" t="s">
        <v>11610</v>
      </c>
      <c r="L10348">
        <v>0</v>
      </c>
      <c r="M10348">
        <v>0</v>
      </c>
      <c r="N10348">
        <v>0</v>
      </c>
    </row>
    <row r="10349" spans="1:15">
      <c r="A10349" t="s">
        <v>23042</v>
      </c>
      <c r="B10349" t="s">
        <v>6742</v>
      </c>
      <c r="C10349" t="s">
        <v>22804</v>
      </c>
      <c r="D10349" t="s">
        <v>38237</v>
      </c>
      <c r="E10349" t="b">
        <v>0</v>
      </c>
      <c r="F10349" t="s">
        <v>11622</v>
      </c>
      <c r="L10349">
        <v>8</v>
      </c>
      <c r="M10349">
        <v>16</v>
      </c>
      <c r="N10349">
        <v>8</v>
      </c>
    </row>
    <row r="10350" spans="1:15">
      <c r="A10350" t="s">
        <v>38238</v>
      </c>
      <c r="B10350" t="s">
        <v>9897</v>
      </c>
      <c r="C10350" t="s">
        <v>30144</v>
      </c>
      <c r="D10350" t="s">
        <v>38239</v>
      </c>
      <c r="E10350" t="b">
        <v>0</v>
      </c>
      <c r="F10350" t="s">
        <v>11610</v>
      </c>
      <c r="L10350">
        <v>0</v>
      </c>
      <c r="M10350">
        <v>0</v>
      </c>
      <c r="N10350">
        <v>0</v>
      </c>
    </row>
    <row r="10351" spans="1:15">
      <c r="A10351" t="s">
        <v>38240</v>
      </c>
      <c r="B10351" t="s">
        <v>9897</v>
      </c>
      <c r="C10351" t="s">
        <v>30144</v>
      </c>
      <c r="D10351" t="s">
        <v>38241</v>
      </c>
      <c r="E10351" t="b">
        <v>0</v>
      </c>
      <c r="F10351" t="s">
        <v>11610</v>
      </c>
      <c r="L10351">
        <v>0</v>
      </c>
      <c r="M10351">
        <v>0</v>
      </c>
      <c r="N10351">
        <v>0</v>
      </c>
    </row>
    <row r="10352" spans="1:15">
      <c r="A10352" t="s">
        <v>38242</v>
      </c>
      <c r="B10352" t="s">
        <v>11627</v>
      </c>
      <c r="C10352" t="s">
        <v>11627</v>
      </c>
      <c r="D10352" t="s">
        <v>38243</v>
      </c>
      <c r="E10352" t="b">
        <v>1</v>
      </c>
      <c r="F10352" t="s">
        <v>11624</v>
      </c>
      <c r="I10352" t="s">
        <v>38244</v>
      </c>
      <c r="L10352">
        <v>0</v>
      </c>
      <c r="M10352">
        <v>0</v>
      </c>
      <c r="N10352">
        <v>0</v>
      </c>
    </row>
    <row r="10353" spans="1:15">
      <c r="A10353" t="s">
        <v>38245</v>
      </c>
      <c r="B10353" t="s">
        <v>11607</v>
      </c>
      <c r="C10353" t="s">
        <v>15388</v>
      </c>
      <c r="D10353" t="s">
        <v>38246</v>
      </c>
      <c r="E10353" t="b">
        <v>0</v>
      </c>
      <c r="F10353" t="s">
        <v>11610</v>
      </c>
      <c r="L10353">
        <v>0</v>
      </c>
      <c r="M10353">
        <v>0</v>
      </c>
      <c r="N10353">
        <v>0</v>
      </c>
    </row>
    <row r="10354" spans="1:15">
      <c r="A10354" t="s">
        <v>38247</v>
      </c>
      <c r="B10354" t="s">
        <v>10597</v>
      </c>
      <c r="C10354" t="s">
        <v>2618</v>
      </c>
      <c r="D10354" t="s">
        <v>38248</v>
      </c>
      <c r="E10354" t="b">
        <v>0</v>
      </c>
      <c r="F10354" t="s">
        <v>11624</v>
      </c>
      <c r="G10354">
        <v>-24.2182</v>
      </c>
      <c r="H10354">
        <v>143.22200000000001</v>
      </c>
      <c r="I10354" t="s">
        <v>38249</v>
      </c>
      <c r="L10354">
        <v>0</v>
      </c>
      <c r="M10354">
        <v>0</v>
      </c>
      <c r="N10354">
        <v>0</v>
      </c>
      <c r="O10354" t="s">
        <v>12107</v>
      </c>
    </row>
    <row r="10355" spans="1:15">
      <c r="A10355" t="s">
        <v>38250</v>
      </c>
      <c r="D10355" t="s">
        <v>38251</v>
      </c>
      <c r="E10355" t="b">
        <v>0</v>
      </c>
      <c r="F10355" t="s">
        <v>11624</v>
      </c>
      <c r="G10355">
        <v>-12.7</v>
      </c>
      <c r="H10355">
        <v>130.881</v>
      </c>
      <c r="I10355" t="s">
        <v>38252</v>
      </c>
      <c r="L10355">
        <v>0</v>
      </c>
      <c r="M10355">
        <v>0</v>
      </c>
      <c r="N10355">
        <v>0</v>
      </c>
      <c r="O10355" t="s">
        <v>12107</v>
      </c>
    </row>
    <row r="10356" spans="1:15">
      <c r="A10356" t="s">
        <v>2094</v>
      </c>
      <c r="B10356" t="s">
        <v>6742</v>
      </c>
      <c r="C10356" t="s">
        <v>15603</v>
      </c>
      <c r="D10356" t="s">
        <v>38253</v>
      </c>
      <c r="E10356" t="b">
        <v>0</v>
      </c>
      <c r="F10356" t="s">
        <v>11624</v>
      </c>
      <c r="G10356">
        <v>6.5388099999999998</v>
      </c>
      <c r="H10356">
        <v>10.2073</v>
      </c>
      <c r="I10356" t="s">
        <v>38254</v>
      </c>
      <c r="L10356">
        <v>0</v>
      </c>
      <c r="M10356">
        <v>0</v>
      </c>
      <c r="N10356">
        <v>0</v>
      </c>
      <c r="O10356" t="s">
        <v>11703</v>
      </c>
    </row>
    <row r="10357" spans="1:15">
      <c r="A10357" t="s">
        <v>12739</v>
      </c>
      <c r="B10357" t="s">
        <v>12738</v>
      </c>
      <c r="C10357" t="s">
        <v>21927</v>
      </c>
      <c r="D10357" t="s">
        <v>38255</v>
      </c>
      <c r="E10357" t="b">
        <v>0</v>
      </c>
      <c r="F10357" t="s">
        <v>11624</v>
      </c>
      <c r="G10357">
        <v>-21.92</v>
      </c>
      <c r="H10357">
        <v>18</v>
      </c>
      <c r="I10357" t="s">
        <v>38256</v>
      </c>
      <c r="L10357">
        <v>0</v>
      </c>
      <c r="M10357">
        <v>0</v>
      </c>
      <c r="N10357">
        <v>1</v>
      </c>
      <c r="O10357" t="s">
        <v>38257</v>
      </c>
    </row>
    <row r="10358" spans="1:15">
      <c r="A10358" t="s">
        <v>38258</v>
      </c>
      <c r="B10358" t="s">
        <v>11627</v>
      </c>
      <c r="C10358" t="s">
        <v>11627</v>
      </c>
      <c r="D10358" t="s">
        <v>38259</v>
      </c>
      <c r="E10358" t="b">
        <v>1</v>
      </c>
      <c r="F10358" t="s">
        <v>11624</v>
      </c>
      <c r="G10358">
        <v>-17.625530000000001</v>
      </c>
      <c r="H10358">
        <v>141.14410000000001</v>
      </c>
      <c r="I10358" t="s">
        <v>38260</v>
      </c>
      <c r="L10358">
        <v>0</v>
      </c>
      <c r="M10358">
        <v>0</v>
      </c>
      <c r="N10358">
        <v>0</v>
      </c>
      <c r="O10358" t="s">
        <v>12107</v>
      </c>
    </row>
    <row r="10359" spans="1:15">
      <c r="A10359" t="s">
        <v>38261</v>
      </c>
      <c r="B10359" t="s">
        <v>367</v>
      </c>
      <c r="C10359" t="s">
        <v>38262</v>
      </c>
      <c r="D10359" t="s">
        <v>38263</v>
      </c>
      <c r="E10359" t="b">
        <v>0</v>
      </c>
      <c r="F10359" t="s">
        <v>11624</v>
      </c>
      <c r="G10359">
        <v>-8.6636799999999994</v>
      </c>
      <c r="H10359">
        <v>146.874</v>
      </c>
      <c r="I10359" t="s">
        <v>38264</v>
      </c>
      <c r="L10359">
        <v>0</v>
      </c>
      <c r="M10359">
        <v>0</v>
      </c>
      <c r="N10359">
        <v>0</v>
      </c>
      <c r="O10359" t="s">
        <v>11660</v>
      </c>
    </row>
    <row r="10360" spans="1:15">
      <c r="A10360" t="s">
        <v>38265</v>
      </c>
      <c r="B10360" t="s">
        <v>11686</v>
      </c>
      <c r="C10360" t="s">
        <v>8688</v>
      </c>
      <c r="D10360" t="s">
        <v>38266</v>
      </c>
      <c r="E10360" t="b">
        <v>0</v>
      </c>
      <c r="F10360" t="s">
        <v>11610</v>
      </c>
      <c r="L10360">
        <v>0</v>
      </c>
      <c r="M10360">
        <v>0</v>
      </c>
      <c r="N10360">
        <v>0</v>
      </c>
    </row>
    <row r="10361" spans="1:15">
      <c r="A10361" t="s">
        <v>12174</v>
      </c>
      <c r="B10361" t="s">
        <v>11794</v>
      </c>
      <c r="C10361" t="s">
        <v>19004</v>
      </c>
      <c r="D10361" t="s">
        <v>38267</v>
      </c>
      <c r="E10361" t="b">
        <v>0</v>
      </c>
      <c r="F10361" t="s">
        <v>11624</v>
      </c>
      <c r="G10361">
        <v>-6.9750399999999999</v>
      </c>
      <c r="H10361">
        <v>141.36500000000001</v>
      </c>
      <c r="I10361" t="s">
        <v>38268</v>
      </c>
      <c r="L10361">
        <v>0</v>
      </c>
      <c r="M10361">
        <v>0</v>
      </c>
      <c r="N10361">
        <v>6</v>
      </c>
      <c r="O10361" t="s">
        <v>11660</v>
      </c>
    </row>
    <row r="10362" spans="1:15">
      <c r="A10362" t="s">
        <v>38269</v>
      </c>
      <c r="B10362" t="s">
        <v>11794</v>
      </c>
      <c r="C10362" t="s">
        <v>12174</v>
      </c>
      <c r="D10362" t="s">
        <v>38270</v>
      </c>
      <c r="E10362" t="b">
        <v>0</v>
      </c>
      <c r="F10362" t="s">
        <v>11610</v>
      </c>
      <c r="L10362">
        <v>0</v>
      </c>
      <c r="M10362">
        <v>0</v>
      </c>
      <c r="N10362">
        <v>0</v>
      </c>
    </row>
    <row r="10363" spans="1:15">
      <c r="A10363" t="s">
        <v>7959</v>
      </c>
      <c r="B10363" t="s">
        <v>13264</v>
      </c>
      <c r="C10363" t="s">
        <v>13264</v>
      </c>
      <c r="D10363" t="s">
        <v>38271</v>
      </c>
      <c r="E10363" t="b">
        <v>0</v>
      </c>
      <c r="F10363" t="s">
        <v>11624</v>
      </c>
      <c r="G10363">
        <v>-8.0937099999999997</v>
      </c>
      <c r="H10363">
        <v>146.90799999999999</v>
      </c>
      <c r="I10363" t="s">
        <v>7960</v>
      </c>
      <c r="L10363">
        <v>0</v>
      </c>
      <c r="M10363">
        <v>0</v>
      </c>
      <c r="N10363">
        <v>4</v>
      </c>
      <c r="O10363" t="s">
        <v>11660</v>
      </c>
    </row>
    <row r="10364" spans="1:15">
      <c r="A10364" t="s">
        <v>38272</v>
      </c>
      <c r="B10364" t="s">
        <v>4342</v>
      </c>
      <c r="C10364" t="s">
        <v>21680</v>
      </c>
      <c r="D10364" t="s">
        <v>38273</v>
      </c>
      <c r="E10364" t="b">
        <v>0</v>
      </c>
      <c r="F10364" t="s">
        <v>11624</v>
      </c>
      <c r="G10364">
        <v>26.591100000000001</v>
      </c>
      <c r="H10364">
        <v>128.06800000000001</v>
      </c>
      <c r="I10364" t="s">
        <v>38274</v>
      </c>
      <c r="L10364">
        <v>0</v>
      </c>
      <c r="M10364">
        <v>0</v>
      </c>
      <c r="N10364">
        <v>1</v>
      </c>
      <c r="O10364" t="s">
        <v>12539</v>
      </c>
    </row>
    <row r="10365" spans="1:15">
      <c r="A10365" t="s">
        <v>38275</v>
      </c>
      <c r="B10365" t="s">
        <v>28619</v>
      </c>
      <c r="C10365" t="s">
        <v>28618</v>
      </c>
      <c r="D10365" t="s">
        <v>38276</v>
      </c>
      <c r="E10365" t="b">
        <v>0</v>
      </c>
      <c r="F10365" t="s">
        <v>11610</v>
      </c>
      <c r="L10365">
        <v>0</v>
      </c>
      <c r="M10365">
        <v>0</v>
      </c>
      <c r="N10365">
        <v>0</v>
      </c>
    </row>
    <row r="10366" spans="1:15">
      <c r="A10366" t="s">
        <v>38277</v>
      </c>
      <c r="B10366" t="s">
        <v>10597</v>
      </c>
      <c r="C10366" t="s">
        <v>14996</v>
      </c>
      <c r="D10366" t="s">
        <v>38278</v>
      </c>
      <c r="E10366" t="b">
        <v>0</v>
      </c>
      <c r="F10366" t="s">
        <v>11624</v>
      </c>
      <c r="G10366">
        <v>-16.680700000000002</v>
      </c>
      <c r="H10366">
        <v>143.53</v>
      </c>
      <c r="I10366" t="s">
        <v>38279</v>
      </c>
      <c r="L10366">
        <v>0</v>
      </c>
      <c r="M10366">
        <v>0</v>
      </c>
      <c r="N10366">
        <v>3</v>
      </c>
      <c r="O10366" t="s">
        <v>12107</v>
      </c>
    </row>
    <row r="10367" spans="1:15">
      <c r="A10367" t="s">
        <v>38280</v>
      </c>
      <c r="B10367" t="s">
        <v>14005</v>
      </c>
      <c r="C10367" t="s">
        <v>38281</v>
      </c>
      <c r="D10367" t="s">
        <v>38282</v>
      </c>
      <c r="E10367" t="b">
        <v>0</v>
      </c>
      <c r="F10367" t="s">
        <v>11624</v>
      </c>
      <c r="G10367">
        <v>-8.9228900000000007</v>
      </c>
      <c r="H10367">
        <v>141.42400000000001</v>
      </c>
      <c r="I10367" t="s">
        <v>38283</v>
      </c>
      <c r="L10367">
        <v>0</v>
      </c>
      <c r="M10367">
        <v>0</v>
      </c>
      <c r="N10367">
        <v>0</v>
      </c>
      <c r="O10367" t="s">
        <v>11660</v>
      </c>
    </row>
    <row r="10368" spans="1:15">
      <c r="A10368" t="s">
        <v>38284</v>
      </c>
      <c r="B10368" t="s">
        <v>11615</v>
      </c>
      <c r="C10368" t="s">
        <v>34587</v>
      </c>
      <c r="D10368" t="s">
        <v>38285</v>
      </c>
      <c r="E10368" t="b">
        <v>0</v>
      </c>
      <c r="F10368" t="s">
        <v>11610</v>
      </c>
      <c r="L10368">
        <v>0</v>
      </c>
      <c r="M10368">
        <v>0</v>
      </c>
      <c r="N10368">
        <v>0</v>
      </c>
    </row>
    <row r="10369" spans="1:15">
      <c r="A10369" t="s">
        <v>14996</v>
      </c>
      <c r="B10369" t="s">
        <v>10597</v>
      </c>
      <c r="C10369" t="s">
        <v>12967</v>
      </c>
      <c r="D10369" t="s">
        <v>38286</v>
      </c>
      <c r="E10369" t="b">
        <v>0</v>
      </c>
      <c r="F10369" t="s">
        <v>11622</v>
      </c>
      <c r="L10369">
        <v>0</v>
      </c>
      <c r="M10369">
        <v>3</v>
      </c>
      <c r="N10369">
        <v>3</v>
      </c>
    </row>
    <row r="10370" spans="1:15">
      <c r="A10370" t="s">
        <v>38287</v>
      </c>
      <c r="B10370" t="s">
        <v>11644</v>
      </c>
      <c r="C10370" t="s">
        <v>12404</v>
      </c>
      <c r="D10370" t="s">
        <v>38288</v>
      </c>
      <c r="E10370" t="b">
        <v>0</v>
      </c>
      <c r="F10370" t="s">
        <v>11610</v>
      </c>
      <c r="L10370">
        <v>0</v>
      </c>
      <c r="M10370">
        <v>0</v>
      </c>
      <c r="N10370">
        <v>0</v>
      </c>
    </row>
    <row r="10371" spans="1:15">
      <c r="A10371" t="s">
        <v>38289</v>
      </c>
      <c r="B10371" t="s">
        <v>11644</v>
      </c>
      <c r="C10371" t="s">
        <v>22419</v>
      </c>
      <c r="D10371" t="s">
        <v>38290</v>
      </c>
      <c r="E10371" t="b">
        <v>0</v>
      </c>
      <c r="F10371" t="s">
        <v>11610</v>
      </c>
      <c r="G10371">
        <v>25.049710999999999</v>
      </c>
      <c r="H10371">
        <v>102.72274</v>
      </c>
      <c r="L10371">
        <v>0</v>
      </c>
      <c r="M10371">
        <v>0</v>
      </c>
      <c r="N10371">
        <v>0</v>
      </c>
    </row>
    <row r="10372" spans="1:15">
      <c r="A10372" t="s">
        <v>38291</v>
      </c>
      <c r="B10372" t="s">
        <v>11607</v>
      </c>
      <c r="C10372" t="s">
        <v>36292</v>
      </c>
      <c r="D10372" t="s">
        <v>38292</v>
      </c>
      <c r="E10372" t="b">
        <v>0</v>
      </c>
      <c r="F10372" t="s">
        <v>11610</v>
      </c>
      <c r="L10372">
        <v>0</v>
      </c>
      <c r="M10372">
        <v>0</v>
      </c>
      <c r="N10372">
        <v>0</v>
      </c>
    </row>
    <row r="10373" spans="1:15">
      <c r="A10373" t="s">
        <v>38293</v>
      </c>
      <c r="B10373" t="s">
        <v>6742</v>
      </c>
      <c r="C10373" t="s">
        <v>38294</v>
      </c>
      <c r="D10373" t="s">
        <v>38295</v>
      </c>
      <c r="E10373" t="b">
        <v>0</v>
      </c>
      <c r="F10373" t="s">
        <v>11610</v>
      </c>
      <c r="L10373">
        <v>0</v>
      </c>
      <c r="M10373">
        <v>0</v>
      </c>
      <c r="N10373">
        <v>0</v>
      </c>
    </row>
    <row r="10374" spans="1:15">
      <c r="A10374" t="s">
        <v>38296</v>
      </c>
      <c r="B10374" t="s">
        <v>6742</v>
      </c>
      <c r="C10374" t="s">
        <v>17720</v>
      </c>
      <c r="D10374" t="s">
        <v>38297</v>
      </c>
      <c r="E10374" t="b">
        <v>0</v>
      </c>
      <c r="F10374" t="s">
        <v>11624</v>
      </c>
      <c r="G10374">
        <v>-3.6970200000000002</v>
      </c>
      <c r="H10374">
        <v>12.5197</v>
      </c>
      <c r="I10374" t="s">
        <v>38298</v>
      </c>
      <c r="L10374">
        <v>0</v>
      </c>
      <c r="M10374">
        <v>0</v>
      </c>
      <c r="N10374">
        <v>1</v>
      </c>
      <c r="O10374" t="s">
        <v>38299</v>
      </c>
    </row>
    <row r="10375" spans="1:15">
      <c r="A10375" t="s">
        <v>17720</v>
      </c>
      <c r="B10375" t="s">
        <v>6742</v>
      </c>
      <c r="C10375" t="s">
        <v>25291</v>
      </c>
      <c r="D10375" t="s">
        <v>38300</v>
      </c>
      <c r="E10375" t="b">
        <v>0</v>
      </c>
      <c r="F10375" t="s">
        <v>11622</v>
      </c>
      <c r="L10375">
        <v>0</v>
      </c>
      <c r="M10375">
        <v>2</v>
      </c>
      <c r="N10375">
        <v>3</v>
      </c>
    </row>
    <row r="10376" spans="1:15">
      <c r="A10376" t="s">
        <v>38301</v>
      </c>
      <c r="B10376" t="s">
        <v>12311</v>
      </c>
      <c r="C10376" t="s">
        <v>13678</v>
      </c>
      <c r="D10376" t="s">
        <v>38302</v>
      </c>
      <c r="E10376" t="b">
        <v>0</v>
      </c>
      <c r="F10376" t="s">
        <v>11610</v>
      </c>
      <c r="L10376">
        <v>0</v>
      </c>
      <c r="M10376">
        <v>0</v>
      </c>
      <c r="N10376">
        <v>0</v>
      </c>
    </row>
    <row r="10377" spans="1:15">
      <c r="A10377" t="s">
        <v>38303</v>
      </c>
      <c r="D10377" t="s">
        <v>38304</v>
      </c>
      <c r="E10377" t="b">
        <v>0</v>
      </c>
      <c r="F10377" t="s">
        <v>11624</v>
      </c>
      <c r="G10377">
        <v>-23</v>
      </c>
      <c r="H10377">
        <v>-69</v>
      </c>
      <c r="I10377" t="s">
        <v>38305</v>
      </c>
      <c r="L10377">
        <v>0</v>
      </c>
      <c r="M10377">
        <v>0</v>
      </c>
      <c r="N10377">
        <v>0</v>
      </c>
      <c r="O10377" t="s">
        <v>12895</v>
      </c>
    </row>
    <row r="10378" spans="1:15">
      <c r="A10378" t="s">
        <v>38306</v>
      </c>
      <c r="B10378" t="s">
        <v>6742</v>
      </c>
      <c r="C10378" t="s">
        <v>21456</v>
      </c>
      <c r="D10378" t="s">
        <v>38307</v>
      </c>
      <c r="E10378" t="b">
        <v>0</v>
      </c>
      <c r="F10378" t="s">
        <v>11624</v>
      </c>
      <c r="G10378">
        <v>7.9777100000000001</v>
      </c>
      <c r="H10378">
        <v>15.484299999999999</v>
      </c>
      <c r="I10378" t="s">
        <v>38308</v>
      </c>
      <c r="L10378">
        <v>0</v>
      </c>
      <c r="M10378">
        <v>0</v>
      </c>
      <c r="N10378">
        <v>0</v>
      </c>
      <c r="O10378" t="s">
        <v>29226</v>
      </c>
    </row>
    <row r="10379" spans="1:15">
      <c r="A10379" t="s">
        <v>38309</v>
      </c>
      <c r="D10379" t="s">
        <v>38310</v>
      </c>
      <c r="E10379" t="b">
        <v>0</v>
      </c>
      <c r="F10379" t="s">
        <v>11624</v>
      </c>
      <c r="G10379">
        <v>-3.0695199999999998</v>
      </c>
      <c r="H10379">
        <v>151.53700000000001</v>
      </c>
      <c r="I10379" t="s">
        <v>38311</v>
      </c>
      <c r="L10379">
        <v>0</v>
      </c>
      <c r="M10379">
        <v>0</v>
      </c>
      <c r="N10379">
        <v>0</v>
      </c>
      <c r="O10379" t="s">
        <v>11660</v>
      </c>
    </row>
    <row r="10380" spans="1:15">
      <c r="A10380" t="s">
        <v>38312</v>
      </c>
      <c r="B10380" t="s">
        <v>6742</v>
      </c>
      <c r="C10380" t="s">
        <v>24728</v>
      </c>
      <c r="D10380" t="s">
        <v>38313</v>
      </c>
      <c r="E10380" t="b">
        <v>0</v>
      </c>
      <c r="F10380" t="s">
        <v>11624</v>
      </c>
      <c r="G10380">
        <v>8.4843700000000002</v>
      </c>
      <c r="H10380">
        <v>6.35806</v>
      </c>
      <c r="I10380" t="s">
        <v>38314</v>
      </c>
      <c r="L10380">
        <v>0</v>
      </c>
      <c r="M10380">
        <v>0</v>
      </c>
      <c r="N10380">
        <v>0</v>
      </c>
      <c r="O10380" t="s">
        <v>11693</v>
      </c>
    </row>
    <row r="10381" spans="1:15">
      <c r="A10381" t="s">
        <v>12551</v>
      </c>
      <c r="B10381" t="s">
        <v>367</v>
      </c>
      <c r="C10381" t="s">
        <v>13393</v>
      </c>
      <c r="D10381" t="s">
        <v>38315</v>
      </c>
      <c r="E10381" t="b">
        <v>0</v>
      </c>
      <c r="F10381" t="s">
        <v>11624</v>
      </c>
      <c r="G10381">
        <v>-10.252599999999999</v>
      </c>
      <c r="H10381">
        <v>123.63</v>
      </c>
      <c r="I10381" t="s">
        <v>38316</v>
      </c>
      <c r="L10381">
        <v>0</v>
      </c>
      <c r="M10381">
        <v>0</v>
      </c>
      <c r="N10381">
        <v>1</v>
      </c>
      <c r="O10381" t="s">
        <v>11768</v>
      </c>
    </row>
    <row r="10382" spans="1:15">
      <c r="A10382" t="s">
        <v>38317</v>
      </c>
      <c r="B10382" t="s">
        <v>11637</v>
      </c>
      <c r="C10382" t="s">
        <v>12082</v>
      </c>
      <c r="D10382" t="s">
        <v>38318</v>
      </c>
      <c r="E10382" t="b">
        <v>0</v>
      </c>
      <c r="F10382" t="s">
        <v>11624</v>
      </c>
      <c r="G10382">
        <v>16.470800000000001</v>
      </c>
      <c r="H10382">
        <v>79.515299999999996</v>
      </c>
      <c r="I10382" t="s">
        <v>38319</v>
      </c>
      <c r="L10382">
        <v>0</v>
      </c>
      <c r="M10382">
        <v>0</v>
      </c>
      <c r="N10382">
        <v>0</v>
      </c>
      <c r="O10382" t="s">
        <v>11630</v>
      </c>
    </row>
    <row r="10383" spans="1:15">
      <c r="A10383" t="s">
        <v>38320</v>
      </c>
      <c r="B10383" t="s">
        <v>11615</v>
      </c>
      <c r="C10383" t="s">
        <v>34587</v>
      </c>
      <c r="D10383" t="s">
        <v>38321</v>
      </c>
      <c r="E10383" t="b">
        <v>0</v>
      </c>
      <c r="F10383" t="s">
        <v>11610</v>
      </c>
      <c r="L10383">
        <v>0</v>
      </c>
      <c r="M10383">
        <v>0</v>
      </c>
      <c r="N10383">
        <v>0</v>
      </c>
    </row>
    <row r="10384" spans="1:15">
      <c r="A10384" t="s">
        <v>38322</v>
      </c>
      <c r="B10384" t="s">
        <v>11644</v>
      </c>
      <c r="C10384" t="s">
        <v>38323</v>
      </c>
      <c r="D10384" t="s">
        <v>38324</v>
      </c>
      <c r="E10384" t="b">
        <v>0</v>
      </c>
      <c r="F10384" t="s">
        <v>11610</v>
      </c>
      <c r="L10384">
        <v>0</v>
      </c>
      <c r="M10384">
        <v>0</v>
      </c>
      <c r="N10384">
        <v>0</v>
      </c>
    </row>
    <row r="10385" spans="1:15">
      <c r="A10385" t="s">
        <v>891</v>
      </c>
      <c r="B10385" t="s">
        <v>11757</v>
      </c>
      <c r="C10385" t="s">
        <v>27024</v>
      </c>
      <c r="D10385" t="s">
        <v>38325</v>
      </c>
      <c r="E10385" t="b">
        <v>0</v>
      </c>
      <c r="F10385" t="s">
        <v>11624</v>
      </c>
      <c r="G10385">
        <v>1.3319700000000001</v>
      </c>
      <c r="H10385">
        <v>34.5991</v>
      </c>
      <c r="I10385" t="s">
        <v>892</v>
      </c>
      <c r="L10385">
        <v>0</v>
      </c>
      <c r="M10385">
        <v>0</v>
      </c>
      <c r="N10385">
        <v>3</v>
      </c>
      <c r="O10385" t="s">
        <v>12057</v>
      </c>
    </row>
    <row r="10386" spans="1:15">
      <c r="A10386" t="s">
        <v>38326</v>
      </c>
      <c r="B10386" t="s">
        <v>11637</v>
      </c>
      <c r="C10386" t="s">
        <v>14472</v>
      </c>
      <c r="D10386" t="s">
        <v>38327</v>
      </c>
      <c r="E10386" t="b">
        <v>0</v>
      </c>
      <c r="F10386" t="s">
        <v>11610</v>
      </c>
      <c r="L10386">
        <v>0</v>
      </c>
      <c r="M10386">
        <v>0</v>
      </c>
      <c r="N10386">
        <v>0</v>
      </c>
    </row>
    <row r="10387" spans="1:15">
      <c r="A10387" t="s">
        <v>38328</v>
      </c>
      <c r="B10387" t="s">
        <v>6742</v>
      </c>
      <c r="C10387" t="s">
        <v>38329</v>
      </c>
      <c r="D10387" t="s">
        <v>38330</v>
      </c>
      <c r="E10387" t="b">
        <v>0</v>
      </c>
      <c r="F10387" t="s">
        <v>11624</v>
      </c>
      <c r="G10387">
        <v>9.4340100000000007</v>
      </c>
      <c r="H10387">
        <v>1.49505</v>
      </c>
      <c r="I10387" t="s">
        <v>38331</v>
      </c>
      <c r="L10387">
        <v>0</v>
      </c>
      <c r="M10387">
        <v>0</v>
      </c>
      <c r="N10387">
        <v>0</v>
      </c>
      <c r="O10387" t="s">
        <v>12394</v>
      </c>
    </row>
    <row r="10388" spans="1:15">
      <c r="A10388" t="s">
        <v>38332</v>
      </c>
      <c r="B10388" t="s">
        <v>6742</v>
      </c>
      <c r="C10388" t="s">
        <v>18654</v>
      </c>
      <c r="D10388" t="s">
        <v>38333</v>
      </c>
      <c r="E10388" t="b">
        <v>0</v>
      </c>
      <c r="F10388" t="s">
        <v>11624</v>
      </c>
      <c r="G10388">
        <v>10.476599999999999</v>
      </c>
      <c r="H10388">
        <v>7.9350699999999996</v>
      </c>
      <c r="I10388" t="s">
        <v>38334</v>
      </c>
      <c r="L10388">
        <v>0</v>
      </c>
      <c r="M10388">
        <v>0</v>
      </c>
      <c r="N10388">
        <v>0</v>
      </c>
      <c r="O10388" t="s">
        <v>11693</v>
      </c>
    </row>
    <row r="10389" spans="1:15">
      <c r="A10389" t="s">
        <v>17145</v>
      </c>
      <c r="B10389" t="s">
        <v>13276</v>
      </c>
      <c r="C10389" t="s">
        <v>34281</v>
      </c>
      <c r="D10389" t="s">
        <v>38335</v>
      </c>
      <c r="E10389" t="b">
        <v>0</v>
      </c>
      <c r="F10389" t="s">
        <v>11624</v>
      </c>
      <c r="G10389">
        <v>9.4932499999999997</v>
      </c>
      <c r="H10389">
        <v>-10.6122</v>
      </c>
      <c r="I10389" t="s">
        <v>38336</v>
      </c>
      <c r="L10389">
        <v>0</v>
      </c>
      <c r="M10389">
        <v>0</v>
      </c>
      <c r="N10389">
        <v>7</v>
      </c>
      <c r="O10389" t="s">
        <v>20263</v>
      </c>
    </row>
    <row r="10390" spans="1:15">
      <c r="A10390" t="s">
        <v>38337</v>
      </c>
      <c r="B10390" t="s">
        <v>11637</v>
      </c>
      <c r="C10390" t="s">
        <v>16887</v>
      </c>
      <c r="D10390" t="s">
        <v>38338</v>
      </c>
      <c r="E10390" t="b">
        <v>0</v>
      </c>
      <c r="F10390" t="s">
        <v>11610</v>
      </c>
      <c r="L10390">
        <v>0</v>
      </c>
      <c r="M10390">
        <v>0</v>
      </c>
      <c r="N10390">
        <v>0</v>
      </c>
    </row>
    <row r="10391" spans="1:15">
      <c r="A10391" t="s">
        <v>38339</v>
      </c>
      <c r="B10391" t="s">
        <v>11637</v>
      </c>
      <c r="C10391" t="s">
        <v>14472</v>
      </c>
      <c r="D10391" t="s">
        <v>38340</v>
      </c>
      <c r="E10391" t="b">
        <v>0</v>
      </c>
      <c r="F10391" t="s">
        <v>11610</v>
      </c>
      <c r="L10391">
        <v>0</v>
      </c>
      <c r="M10391">
        <v>0</v>
      </c>
      <c r="N10391">
        <v>0</v>
      </c>
    </row>
    <row r="10392" spans="1:15">
      <c r="A10392" t="s">
        <v>161</v>
      </c>
      <c r="B10392" t="s">
        <v>11637</v>
      </c>
      <c r="C10392" t="s">
        <v>38341</v>
      </c>
      <c r="D10392" t="s">
        <v>38342</v>
      </c>
      <c r="E10392" t="b">
        <v>0</v>
      </c>
      <c r="F10392" t="s">
        <v>11622</v>
      </c>
      <c r="I10392" t="s">
        <v>162</v>
      </c>
      <c r="L10392">
        <v>0</v>
      </c>
      <c r="M10392">
        <v>3</v>
      </c>
      <c r="N10392">
        <v>38</v>
      </c>
      <c r="O10392" t="s">
        <v>12765</v>
      </c>
    </row>
    <row r="10393" spans="1:15">
      <c r="A10393" t="s">
        <v>38343</v>
      </c>
      <c r="B10393" t="s">
        <v>11981</v>
      </c>
      <c r="C10393" t="s">
        <v>12200</v>
      </c>
      <c r="D10393" t="s">
        <v>38344</v>
      </c>
      <c r="E10393" t="b">
        <v>0</v>
      </c>
      <c r="F10393" t="s">
        <v>11624</v>
      </c>
      <c r="G10393">
        <v>36.829498999999998</v>
      </c>
      <c r="H10393">
        <v>44.285910000000001</v>
      </c>
      <c r="L10393">
        <v>0</v>
      </c>
      <c r="M10393">
        <v>0</v>
      </c>
      <c r="N10393">
        <v>0</v>
      </c>
      <c r="O10393" t="s">
        <v>12765</v>
      </c>
    </row>
    <row r="10394" spans="1:15">
      <c r="A10394" t="s">
        <v>38345</v>
      </c>
      <c r="B10394" t="s">
        <v>13276</v>
      </c>
      <c r="C10394" t="s">
        <v>33413</v>
      </c>
      <c r="D10394" t="s">
        <v>38346</v>
      </c>
      <c r="E10394" t="b">
        <v>0</v>
      </c>
      <c r="F10394" t="s">
        <v>11610</v>
      </c>
      <c r="L10394">
        <v>0</v>
      </c>
      <c r="M10394">
        <v>0</v>
      </c>
      <c r="N10394">
        <v>0</v>
      </c>
    </row>
    <row r="10395" spans="1:15">
      <c r="A10395" t="s">
        <v>38347</v>
      </c>
      <c r="B10395" t="s">
        <v>10597</v>
      </c>
      <c r="C10395" t="s">
        <v>35923</v>
      </c>
      <c r="D10395" t="s">
        <v>38348</v>
      </c>
      <c r="E10395" t="b">
        <v>0</v>
      </c>
      <c r="F10395" t="s">
        <v>11610</v>
      </c>
      <c r="L10395">
        <v>0</v>
      </c>
      <c r="M10395">
        <v>0</v>
      </c>
      <c r="N10395">
        <v>0</v>
      </c>
    </row>
    <row r="10396" spans="1:15">
      <c r="A10396" t="s">
        <v>38349</v>
      </c>
      <c r="B10396" t="s">
        <v>11607</v>
      </c>
      <c r="C10396" t="s">
        <v>6491</v>
      </c>
      <c r="D10396" t="s">
        <v>38350</v>
      </c>
      <c r="E10396" t="b">
        <v>0</v>
      </c>
      <c r="F10396" t="s">
        <v>11610</v>
      </c>
      <c r="L10396">
        <v>0</v>
      </c>
      <c r="M10396">
        <v>0</v>
      </c>
      <c r="N10396">
        <v>0</v>
      </c>
    </row>
    <row r="10397" spans="1:15">
      <c r="A10397" t="s">
        <v>38351</v>
      </c>
      <c r="B10397" t="s">
        <v>11844</v>
      </c>
      <c r="C10397" t="s">
        <v>13088</v>
      </c>
      <c r="D10397" t="s">
        <v>38352</v>
      </c>
      <c r="E10397" t="b">
        <v>0</v>
      </c>
      <c r="F10397" t="s">
        <v>11624</v>
      </c>
      <c r="G10397">
        <v>11.8226</v>
      </c>
      <c r="H10397">
        <v>75.520300000000006</v>
      </c>
      <c r="I10397" t="s">
        <v>38353</v>
      </c>
      <c r="L10397">
        <v>0</v>
      </c>
      <c r="M10397">
        <v>0</v>
      </c>
      <c r="N10397">
        <v>0</v>
      </c>
      <c r="O10397" t="s">
        <v>11630</v>
      </c>
    </row>
    <row r="10398" spans="1:15">
      <c r="A10398" t="s">
        <v>20105</v>
      </c>
      <c r="B10398" t="s">
        <v>6742</v>
      </c>
      <c r="C10398" t="s">
        <v>30288</v>
      </c>
      <c r="D10398" t="s">
        <v>38354</v>
      </c>
      <c r="E10398" t="b">
        <v>0</v>
      </c>
      <c r="F10398" t="s">
        <v>11624</v>
      </c>
      <c r="G10398">
        <v>-1.5063599999999999</v>
      </c>
      <c r="H10398">
        <v>34.504899999999999</v>
      </c>
      <c r="I10398" t="s">
        <v>38355</v>
      </c>
      <c r="L10398">
        <v>0</v>
      </c>
      <c r="M10398">
        <v>0</v>
      </c>
      <c r="N10398">
        <v>7</v>
      </c>
      <c r="O10398" t="s">
        <v>14933</v>
      </c>
    </row>
    <row r="10399" spans="1:15">
      <c r="A10399" t="s">
        <v>38356</v>
      </c>
      <c r="B10399" t="s">
        <v>367</v>
      </c>
      <c r="C10399" t="s">
        <v>32617</v>
      </c>
      <c r="D10399" t="s">
        <v>38357</v>
      </c>
      <c r="E10399" t="b">
        <v>0</v>
      </c>
      <c r="F10399" t="s">
        <v>11624</v>
      </c>
      <c r="G10399">
        <v>-2.8068300000000002</v>
      </c>
      <c r="H10399">
        <v>134.09800000000001</v>
      </c>
      <c r="I10399" t="s">
        <v>38358</v>
      </c>
      <c r="L10399">
        <v>0</v>
      </c>
      <c r="M10399">
        <v>0</v>
      </c>
      <c r="N10399">
        <v>0</v>
      </c>
      <c r="O10399" t="s">
        <v>11768</v>
      </c>
    </row>
    <row r="10400" spans="1:15">
      <c r="A10400" t="s">
        <v>38359</v>
      </c>
      <c r="B10400" t="s">
        <v>11607</v>
      </c>
      <c r="C10400" t="s">
        <v>20041</v>
      </c>
      <c r="D10400" t="s">
        <v>38360</v>
      </c>
      <c r="E10400" t="b">
        <v>0</v>
      </c>
      <c r="F10400" t="s">
        <v>11610</v>
      </c>
      <c r="L10400">
        <v>0</v>
      </c>
      <c r="M10400">
        <v>0</v>
      </c>
      <c r="N10400">
        <v>0</v>
      </c>
    </row>
    <row r="10401" spans="1:15">
      <c r="A10401" t="s">
        <v>38361</v>
      </c>
      <c r="B10401" t="s">
        <v>11607</v>
      </c>
      <c r="C10401" t="s">
        <v>21765</v>
      </c>
      <c r="D10401" t="s">
        <v>38362</v>
      </c>
      <c r="E10401" t="b">
        <v>0</v>
      </c>
      <c r="F10401" t="s">
        <v>11610</v>
      </c>
      <c r="L10401">
        <v>0</v>
      </c>
      <c r="M10401">
        <v>0</v>
      </c>
      <c r="N10401">
        <v>0</v>
      </c>
    </row>
    <row r="10402" spans="1:15">
      <c r="A10402" t="s">
        <v>31731</v>
      </c>
      <c r="B10402" t="s">
        <v>10597</v>
      </c>
      <c r="C10402" t="s">
        <v>38363</v>
      </c>
      <c r="D10402" t="s">
        <v>38364</v>
      </c>
      <c r="E10402" t="b">
        <v>0</v>
      </c>
      <c r="F10402" t="s">
        <v>11622</v>
      </c>
      <c r="L10402">
        <v>2</v>
      </c>
      <c r="M10402">
        <v>4</v>
      </c>
      <c r="N10402">
        <v>5</v>
      </c>
    </row>
    <row r="10403" spans="1:15">
      <c r="A10403" t="s">
        <v>38365</v>
      </c>
      <c r="B10403" t="s">
        <v>85</v>
      </c>
      <c r="C10403" t="s">
        <v>194</v>
      </c>
      <c r="D10403" t="s">
        <v>38366</v>
      </c>
      <c r="E10403" t="b">
        <v>0</v>
      </c>
      <c r="F10403" t="s">
        <v>11624</v>
      </c>
      <c r="G10403">
        <v>49.401648000000002</v>
      </c>
      <c r="H10403">
        <v>154.72241199999999</v>
      </c>
      <c r="L10403">
        <v>0</v>
      </c>
      <c r="M10403">
        <v>0</v>
      </c>
      <c r="N10403">
        <v>0</v>
      </c>
      <c r="O10403" t="s">
        <v>12539</v>
      </c>
    </row>
    <row r="10404" spans="1:15">
      <c r="A10404" t="s">
        <v>38367</v>
      </c>
      <c r="B10404" t="s">
        <v>4342</v>
      </c>
      <c r="C10404" t="s">
        <v>21979</v>
      </c>
      <c r="D10404" t="s">
        <v>38368</v>
      </c>
      <c r="E10404" t="b">
        <v>0</v>
      </c>
      <c r="F10404" t="s">
        <v>11610</v>
      </c>
      <c r="L10404">
        <v>0</v>
      </c>
      <c r="M10404">
        <v>0</v>
      </c>
      <c r="N10404">
        <v>0</v>
      </c>
    </row>
    <row r="10405" spans="1:15">
      <c r="A10405" t="s">
        <v>38369</v>
      </c>
      <c r="B10405" t="s">
        <v>11637</v>
      </c>
      <c r="C10405" t="s">
        <v>38370</v>
      </c>
      <c r="D10405" t="s">
        <v>38371</v>
      </c>
      <c r="E10405" t="b">
        <v>0</v>
      </c>
      <c r="F10405" t="s">
        <v>11624</v>
      </c>
      <c r="G10405">
        <v>26.9175</v>
      </c>
      <c r="H10405">
        <v>87.320499999999996</v>
      </c>
      <c r="I10405" t="s">
        <v>38372</v>
      </c>
      <c r="L10405">
        <v>0</v>
      </c>
      <c r="M10405">
        <v>0</v>
      </c>
      <c r="N10405">
        <v>0</v>
      </c>
      <c r="O10405" t="s">
        <v>12524</v>
      </c>
    </row>
    <row r="10406" spans="1:15">
      <c r="A10406" t="s">
        <v>38373</v>
      </c>
      <c r="B10406" t="s">
        <v>11729</v>
      </c>
      <c r="C10406" t="s">
        <v>38091</v>
      </c>
      <c r="D10406" t="s">
        <v>38374</v>
      </c>
      <c r="E10406" t="b">
        <v>0</v>
      </c>
      <c r="F10406" t="s">
        <v>11610</v>
      </c>
      <c r="L10406">
        <v>0</v>
      </c>
      <c r="M10406">
        <v>0</v>
      </c>
      <c r="N10406">
        <v>0</v>
      </c>
    </row>
    <row r="10407" spans="1:15">
      <c r="A10407" t="s">
        <v>38375</v>
      </c>
      <c r="B10407" t="s">
        <v>6742</v>
      </c>
      <c r="C10407" t="s">
        <v>23434</v>
      </c>
      <c r="D10407" t="s">
        <v>38376</v>
      </c>
      <c r="E10407" t="b">
        <v>0</v>
      </c>
      <c r="F10407" t="s">
        <v>11624</v>
      </c>
      <c r="L10407">
        <v>0</v>
      </c>
      <c r="M10407">
        <v>0</v>
      </c>
      <c r="N10407">
        <v>0</v>
      </c>
      <c r="O10407" t="s">
        <v>11693</v>
      </c>
    </row>
    <row r="10408" spans="1:15">
      <c r="A10408" t="s">
        <v>38377</v>
      </c>
      <c r="B10408" t="s">
        <v>12686</v>
      </c>
      <c r="C10408" t="s">
        <v>319</v>
      </c>
      <c r="D10408" t="s">
        <v>38378</v>
      </c>
      <c r="E10408" t="b">
        <v>0</v>
      </c>
      <c r="F10408" t="s">
        <v>11610</v>
      </c>
      <c r="L10408">
        <v>0</v>
      </c>
      <c r="M10408">
        <v>0</v>
      </c>
      <c r="N10408">
        <v>0</v>
      </c>
    </row>
    <row r="10409" spans="1:15">
      <c r="A10409" t="s">
        <v>38379</v>
      </c>
      <c r="B10409" t="s">
        <v>4342</v>
      </c>
      <c r="C10409" t="s">
        <v>30832</v>
      </c>
      <c r="D10409" t="s">
        <v>38380</v>
      </c>
      <c r="E10409" t="b">
        <v>0</v>
      </c>
      <c r="F10409" t="s">
        <v>11610</v>
      </c>
      <c r="L10409">
        <v>0</v>
      </c>
      <c r="M10409">
        <v>0</v>
      </c>
      <c r="N10409">
        <v>0</v>
      </c>
    </row>
    <row r="10410" spans="1:15">
      <c r="A10410" t="s">
        <v>38381</v>
      </c>
      <c r="B10410" t="s">
        <v>10597</v>
      </c>
      <c r="C10410" t="s">
        <v>38382</v>
      </c>
      <c r="D10410" t="s">
        <v>38383</v>
      </c>
      <c r="E10410" t="b">
        <v>0</v>
      </c>
      <c r="F10410" t="s">
        <v>11624</v>
      </c>
      <c r="G10410">
        <v>-22.2134</v>
      </c>
      <c r="H10410">
        <v>117.51</v>
      </c>
      <c r="I10410" t="s">
        <v>38384</v>
      </c>
      <c r="L10410">
        <v>0</v>
      </c>
      <c r="M10410">
        <v>0</v>
      </c>
      <c r="N10410">
        <v>0</v>
      </c>
      <c r="O10410" t="s">
        <v>12107</v>
      </c>
    </row>
    <row r="10411" spans="1:15">
      <c r="A10411" t="s">
        <v>38385</v>
      </c>
      <c r="B10411" t="s">
        <v>6742</v>
      </c>
      <c r="C10411" t="s">
        <v>27821</v>
      </c>
      <c r="D10411" t="s">
        <v>38386</v>
      </c>
      <c r="E10411" t="b">
        <v>0</v>
      </c>
      <c r="F10411" t="s">
        <v>11610</v>
      </c>
      <c r="L10411">
        <v>0</v>
      </c>
      <c r="M10411">
        <v>0</v>
      </c>
      <c r="N10411">
        <v>0</v>
      </c>
    </row>
    <row r="10412" spans="1:15">
      <c r="A10412" t="s">
        <v>38387</v>
      </c>
      <c r="B10412" t="s">
        <v>367</v>
      </c>
      <c r="C10412" t="s">
        <v>38388</v>
      </c>
      <c r="D10412" t="s">
        <v>38389</v>
      </c>
      <c r="E10412" t="b">
        <v>0</v>
      </c>
      <c r="F10412" t="s">
        <v>11624</v>
      </c>
      <c r="G10412">
        <v>-5.34077</v>
      </c>
      <c r="H10412">
        <v>131.98599999999999</v>
      </c>
      <c r="I10412" t="s">
        <v>38390</v>
      </c>
      <c r="L10412">
        <v>0</v>
      </c>
      <c r="M10412">
        <v>0</v>
      </c>
      <c r="N10412">
        <v>0</v>
      </c>
      <c r="O10412" t="s">
        <v>11768</v>
      </c>
    </row>
    <row r="10413" spans="1:15">
      <c r="A10413" t="s">
        <v>38391</v>
      </c>
      <c r="B10413" t="s">
        <v>11637</v>
      </c>
      <c r="C10413" t="s">
        <v>13085</v>
      </c>
      <c r="D10413" t="s">
        <v>38392</v>
      </c>
      <c r="E10413" t="b">
        <v>0</v>
      </c>
      <c r="F10413" t="s">
        <v>11610</v>
      </c>
      <c r="L10413">
        <v>0</v>
      </c>
      <c r="M10413">
        <v>0</v>
      </c>
      <c r="N10413">
        <v>0</v>
      </c>
    </row>
    <row r="10414" spans="1:15">
      <c r="A10414" t="s">
        <v>38393</v>
      </c>
      <c r="B10414" t="s">
        <v>11644</v>
      </c>
      <c r="C10414" t="s">
        <v>20311</v>
      </c>
      <c r="D10414" t="s">
        <v>38394</v>
      </c>
      <c r="E10414" t="b">
        <v>0</v>
      </c>
      <c r="F10414" t="s">
        <v>11624</v>
      </c>
      <c r="G10414">
        <v>27.5365</v>
      </c>
      <c r="H10414">
        <v>90.982200000000006</v>
      </c>
      <c r="I10414" t="s">
        <v>38395</v>
      </c>
      <c r="L10414">
        <v>0</v>
      </c>
      <c r="M10414">
        <v>0</v>
      </c>
      <c r="N10414">
        <v>0</v>
      </c>
      <c r="O10414" t="s">
        <v>20317</v>
      </c>
    </row>
    <row r="10415" spans="1:15">
      <c r="A10415" t="s">
        <v>38396</v>
      </c>
      <c r="B10415" t="s">
        <v>3164</v>
      </c>
      <c r="C10415" t="s">
        <v>23732</v>
      </c>
      <c r="D10415" t="s">
        <v>38397</v>
      </c>
      <c r="E10415" t="b">
        <v>0</v>
      </c>
      <c r="F10415" t="s">
        <v>11610</v>
      </c>
      <c r="L10415">
        <v>0</v>
      </c>
      <c r="M10415">
        <v>0</v>
      </c>
      <c r="N10415">
        <v>0</v>
      </c>
    </row>
    <row r="10416" spans="1:15">
      <c r="A10416" t="s">
        <v>38398</v>
      </c>
      <c r="B10416" t="s">
        <v>367</v>
      </c>
      <c r="C10416" t="s">
        <v>27079</v>
      </c>
      <c r="D10416" t="s">
        <v>38399</v>
      </c>
      <c r="E10416" t="b">
        <v>0</v>
      </c>
      <c r="F10416" t="s">
        <v>11624</v>
      </c>
      <c r="G10416">
        <v>-2.01187</v>
      </c>
      <c r="H10416">
        <v>147.036</v>
      </c>
      <c r="I10416" t="s">
        <v>38400</v>
      </c>
      <c r="L10416">
        <v>0</v>
      </c>
      <c r="M10416">
        <v>0</v>
      </c>
      <c r="N10416">
        <v>0</v>
      </c>
      <c r="O10416" t="s">
        <v>11660</v>
      </c>
    </row>
    <row r="10417" spans="1:15">
      <c r="A10417" t="s">
        <v>27325</v>
      </c>
      <c r="B10417" t="s">
        <v>367</v>
      </c>
      <c r="C10417" t="s">
        <v>13758</v>
      </c>
      <c r="D10417" t="s">
        <v>38401</v>
      </c>
      <c r="E10417" t="b">
        <v>0</v>
      </c>
      <c r="F10417" t="s">
        <v>11622</v>
      </c>
      <c r="L10417">
        <v>1</v>
      </c>
      <c r="M10417">
        <v>4</v>
      </c>
      <c r="N10417">
        <v>0</v>
      </c>
    </row>
    <row r="10418" spans="1:15">
      <c r="A10418" t="s">
        <v>27079</v>
      </c>
      <c r="B10418" t="s">
        <v>367</v>
      </c>
      <c r="C10418" t="s">
        <v>27325</v>
      </c>
      <c r="D10418" t="s">
        <v>38402</v>
      </c>
      <c r="E10418" t="b">
        <v>0</v>
      </c>
      <c r="F10418" t="s">
        <v>11622</v>
      </c>
      <c r="L10418">
        <v>0</v>
      </c>
      <c r="M10418">
        <v>2</v>
      </c>
      <c r="N10418">
        <v>0</v>
      </c>
    </row>
    <row r="10419" spans="1:15">
      <c r="A10419" t="s">
        <v>38403</v>
      </c>
      <c r="B10419" t="s">
        <v>11844</v>
      </c>
      <c r="C10419" t="s">
        <v>19823</v>
      </c>
      <c r="D10419" t="s">
        <v>38404</v>
      </c>
      <c r="E10419" t="b">
        <v>0</v>
      </c>
      <c r="F10419" t="s">
        <v>11622</v>
      </c>
      <c r="L10419">
        <v>2</v>
      </c>
      <c r="M10419">
        <v>4</v>
      </c>
      <c r="N10419">
        <v>6</v>
      </c>
    </row>
    <row r="10420" spans="1:15">
      <c r="A10420" t="s">
        <v>38405</v>
      </c>
      <c r="B10420" t="s">
        <v>11844</v>
      </c>
      <c r="C10420" t="s">
        <v>38403</v>
      </c>
      <c r="D10420" t="s">
        <v>38406</v>
      </c>
      <c r="E10420" t="b">
        <v>0</v>
      </c>
      <c r="F10420" t="s">
        <v>11622</v>
      </c>
      <c r="L10420">
        <v>0</v>
      </c>
      <c r="M10420">
        <v>2</v>
      </c>
      <c r="N10420">
        <v>2</v>
      </c>
    </row>
    <row r="10421" spans="1:15">
      <c r="A10421" t="s">
        <v>36669</v>
      </c>
      <c r="B10421" t="s">
        <v>11844</v>
      </c>
      <c r="C10421" t="s">
        <v>38405</v>
      </c>
      <c r="D10421" t="s">
        <v>38407</v>
      </c>
      <c r="E10421" t="b">
        <v>0</v>
      </c>
      <c r="F10421" t="s">
        <v>11624</v>
      </c>
      <c r="G10421">
        <v>24.464400000000001</v>
      </c>
      <c r="H10421">
        <v>86.465699999999998</v>
      </c>
      <c r="I10421" t="s">
        <v>38408</v>
      </c>
      <c r="L10421">
        <v>0</v>
      </c>
      <c r="M10421">
        <v>0</v>
      </c>
      <c r="N10421">
        <v>2</v>
      </c>
      <c r="O10421" t="s">
        <v>14842</v>
      </c>
    </row>
    <row r="10422" spans="1:15">
      <c r="A10422" t="s">
        <v>38409</v>
      </c>
      <c r="B10422" t="s">
        <v>3164</v>
      </c>
      <c r="C10422" t="s">
        <v>23732</v>
      </c>
      <c r="D10422" t="s">
        <v>38410</v>
      </c>
      <c r="E10422" t="b">
        <v>0</v>
      </c>
      <c r="F10422" t="s">
        <v>11610</v>
      </c>
      <c r="L10422">
        <v>0</v>
      </c>
      <c r="M10422">
        <v>0</v>
      </c>
      <c r="N10422">
        <v>0</v>
      </c>
    </row>
    <row r="10423" spans="1:15">
      <c r="A10423" t="s">
        <v>38411</v>
      </c>
      <c r="B10423" t="s">
        <v>11729</v>
      </c>
      <c r="C10423" t="s">
        <v>38412</v>
      </c>
      <c r="D10423" t="s">
        <v>38413</v>
      </c>
      <c r="E10423" t="b">
        <v>0</v>
      </c>
      <c r="F10423" t="s">
        <v>11610</v>
      </c>
      <c r="L10423">
        <v>0</v>
      </c>
      <c r="M10423">
        <v>0</v>
      </c>
      <c r="N10423">
        <v>0</v>
      </c>
    </row>
    <row r="10424" spans="1:15">
      <c r="A10424" t="s">
        <v>38414</v>
      </c>
      <c r="B10424" t="s">
        <v>367</v>
      </c>
      <c r="C10424" t="s">
        <v>26151</v>
      </c>
      <c r="D10424" t="s">
        <v>38415</v>
      </c>
      <c r="E10424" t="b">
        <v>0</v>
      </c>
      <c r="F10424" t="s">
        <v>11624</v>
      </c>
      <c r="G10424">
        <v>-1.8444</v>
      </c>
      <c r="H10424">
        <v>137.018</v>
      </c>
      <c r="I10424" t="s">
        <v>38416</v>
      </c>
      <c r="L10424">
        <v>0</v>
      </c>
      <c r="M10424">
        <v>0</v>
      </c>
      <c r="N10424">
        <v>0</v>
      </c>
      <c r="O10424" t="s">
        <v>11768</v>
      </c>
    </row>
    <row r="10425" spans="1:15">
      <c r="A10425" t="s">
        <v>38417</v>
      </c>
      <c r="B10425" t="s">
        <v>367</v>
      </c>
      <c r="C10425" t="s">
        <v>14377</v>
      </c>
      <c r="D10425" t="s">
        <v>38418</v>
      </c>
      <c r="E10425" t="b">
        <v>0</v>
      </c>
      <c r="F10425" t="s">
        <v>11610</v>
      </c>
      <c r="L10425">
        <v>0</v>
      </c>
      <c r="M10425">
        <v>0</v>
      </c>
      <c r="N10425">
        <v>0</v>
      </c>
    </row>
    <row r="10426" spans="1:15">
      <c r="A10426" t="s">
        <v>38419</v>
      </c>
      <c r="B10426" t="s">
        <v>11686</v>
      </c>
      <c r="C10426" t="s">
        <v>11687</v>
      </c>
      <c r="D10426" t="s">
        <v>38420</v>
      </c>
      <c r="E10426" t="b">
        <v>0</v>
      </c>
      <c r="F10426" t="s">
        <v>11610</v>
      </c>
      <c r="L10426">
        <v>0</v>
      </c>
      <c r="M10426">
        <v>0</v>
      </c>
      <c r="N10426">
        <v>0</v>
      </c>
    </row>
    <row r="10427" spans="1:15">
      <c r="A10427" t="s">
        <v>38421</v>
      </c>
      <c r="B10427" t="s">
        <v>11615</v>
      </c>
      <c r="C10427" t="s">
        <v>37899</v>
      </c>
      <c r="D10427" t="s">
        <v>38422</v>
      </c>
      <c r="E10427" t="b">
        <v>0</v>
      </c>
      <c r="F10427" t="s">
        <v>11610</v>
      </c>
      <c r="L10427">
        <v>0</v>
      </c>
      <c r="M10427">
        <v>0</v>
      </c>
      <c r="N10427">
        <v>0</v>
      </c>
    </row>
    <row r="10428" spans="1:15">
      <c r="A10428" t="s">
        <v>38423</v>
      </c>
      <c r="B10428" t="s">
        <v>11912</v>
      </c>
      <c r="C10428" t="s">
        <v>38424</v>
      </c>
      <c r="D10428" t="s">
        <v>38425</v>
      </c>
      <c r="E10428" t="b">
        <v>0</v>
      </c>
      <c r="F10428" t="s">
        <v>11624</v>
      </c>
      <c r="G10428">
        <v>-3.0956100000000002</v>
      </c>
      <c r="H10428">
        <v>-52.2303</v>
      </c>
      <c r="I10428" t="s">
        <v>38426</v>
      </c>
      <c r="L10428">
        <v>0</v>
      </c>
      <c r="M10428">
        <v>0</v>
      </c>
      <c r="N10428">
        <v>0</v>
      </c>
      <c r="O10428" t="s">
        <v>11969</v>
      </c>
    </row>
    <row r="10429" spans="1:15">
      <c r="A10429" t="s">
        <v>38427</v>
      </c>
      <c r="B10429" t="s">
        <v>14398</v>
      </c>
      <c r="C10429" t="s">
        <v>38428</v>
      </c>
      <c r="D10429" t="s">
        <v>38429</v>
      </c>
      <c r="E10429" t="b">
        <v>0</v>
      </c>
      <c r="F10429" t="s">
        <v>11610</v>
      </c>
      <c r="L10429">
        <v>0</v>
      </c>
      <c r="M10429">
        <v>0</v>
      </c>
      <c r="N10429">
        <v>0</v>
      </c>
    </row>
    <row r="10430" spans="1:15">
      <c r="A10430" t="s">
        <v>38430</v>
      </c>
      <c r="B10430" t="s">
        <v>11644</v>
      </c>
      <c r="C10430" t="s">
        <v>22370</v>
      </c>
      <c r="D10430" t="s">
        <v>38431</v>
      </c>
      <c r="E10430" t="b">
        <v>0</v>
      </c>
      <c r="F10430" t="s">
        <v>11610</v>
      </c>
      <c r="L10430">
        <v>0</v>
      </c>
      <c r="M10430">
        <v>0</v>
      </c>
      <c r="N10430">
        <v>0</v>
      </c>
    </row>
    <row r="10431" spans="1:15">
      <c r="A10431" t="s">
        <v>13875</v>
      </c>
      <c r="B10431" t="s">
        <v>6742</v>
      </c>
      <c r="C10431" t="s">
        <v>34553</v>
      </c>
      <c r="D10431" t="s">
        <v>38432</v>
      </c>
      <c r="E10431" t="b">
        <v>0</v>
      </c>
      <c r="F10431" t="s">
        <v>11624</v>
      </c>
      <c r="G10431">
        <v>10.9703</v>
      </c>
      <c r="H10431">
        <v>-0.38756000000000002</v>
      </c>
      <c r="I10431" t="s">
        <v>38433</v>
      </c>
      <c r="L10431">
        <v>0</v>
      </c>
      <c r="M10431">
        <v>0</v>
      </c>
      <c r="N10431">
        <v>2</v>
      </c>
      <c r="O10431" t="s">
        <v>38434</v>
      </c>
    </row>
    <row r="10432" spans="1:15">
      <c r="A10432" t="s">
        <v>38435</v>
      </c>
      <c r="B10432" t="s">
        <v>367</v>
      </c>
      <c r="C10432" t="s">
        <v>31307</v>
      </c>
      <c r="D10432" t="s">
        <v>38436</v>
      </c>
      <c r="E10432" t="b">
        <v>0</v>
      </c>
      <c r="F10432" t="s">
        <v>11624</v>
      </c>
      <c r="G10432">
        <v>-8.0405599999999993</v>
      </c>
      <c r="H10432">
        <v>157.46299999999999</v>
      </c>
      <c r="I10432" t="s">
        <v>38437</v>
      </c>
      <c r="L10432">
        <v>0</v>
      </c>
      <c r="M10432">
        <v>0</v>
      </c>
      <c r="N10432">
        <v>2</v>
      </c>
      <c r="O10432" t="s">
        <v>13346</v>
      </c>
    </row>
    <row r="10433" spans="1:15">
      <c r="A10433" t="s">
        <v>38438</v>
      </c>
      <c r="B10433" t="s">
        <v>367</v>
      </c>
      <c r="C10433" t="s">
        <v>13280</v>
      </c>
      <c r="D10433" t="s">
        <v>38439</v>
      </c>
      <c r="E10433" t="b">
        <v>0</v>
      </c>
      <c r="F10433" t="s">
        <v>11610</v>
      </c>
      <c r="L10433">
        <v>0</v>
      </c>
      <c r="M10433">
        <v>0</v>
      </c>
      <c r="N10433">
        <v>0</v>
      </c>
    </row>
    <row r="10434" spans="1:15">
      <c r="A10434" t="s">
        <v>38440</v>
      </c>
      <c r="B10434" t="s">
        <v>367</v>
      </c>
      <c r="C10434" t="s">
        <v>38435</v>
      </c>
      <c r="D10434" t="s">
        <v>38441</v>
      </c>
      <c r="E10434" t="b">
        <v>0</v>
      </c>
      <c r="F10434" t="s">
        <v>11610</v>
      </c>
      <c r="L10434">
        <v>0</v>
      </c>
      <c r="M10434">
        <v>0</v>
      </c>
      <c r="N10434">
        <v>0</v>
      </c>
    </row>
    <row r="10435" spans="1:15">
      <c r="A10435" t="s">
        <v>38442</v>
      </c>
      <c r="B10435" t="s">
        <v>6742</v>
      </c>
      <c r="C10435" t="s">
        <v>38443</v>
      </c>
      <c r="D10435" t="s">
        <v>38444</v>
      </c>
      <c r="E10435" t="b">
        <v>0</v>
      </c>
      <c r="F10435" t="s">
        <v>11610</v>
      </c>
      <c r="L10435">
        <v>0</v>
      </c>
      <c r="M10435">
        <v>0</v>
      </c>
      <c r="N10435">
        <v>0</v>
      </c>
    </row>
    <row r="10436" spans="1:15">
      <c r="A10436" t="s">
        <v>38445</v>
      </c>
      <c r="B10436" t="s">
        <v>17751</v>
      </c>
      <c r="C10436" t="s">
        <v>20216</v>
      </c>
      <c r="D10436" t="s">
        <v>38446</v>
      </c>
      <c r="E10436" t="b">
        <v>0</v>
      </c>
      <c r="F10436" t="s">
        <v>11610</v>
      </c>
      <c r="L10436">
        <v>0</v>
      </c>
      <c r="M10436">
        <v>0</v>
      </c>
      <c r="N10436">
        <v>0</v>
      </c>
    </row>
    <row r="10437" spans="1:15">
      <c r="A10437" t="s">
        <v>38447</v>
      </c>
      <c r="B10437" t="s">
        <v>11607</v>
      </c>
      <c r="C10437" t="s">
        <v>38448</v>
      </c>
      <c r="D10437" t="s">
        <v>38449</v>
      </c>
      <c r="E10437" t="b">
        <v>0</v>
      </c>
      <c r="F10437" t="s">
        <v>11624</v>
      </c>
      <c r="G10437">
        <v>9.4073100000000007</v>
      </c>
      <c r="H10437">
        <v>10.9396</v>
      </c>
      <c r="I10437" t="s">
        <v>38450</v>
      </c>
      <c r="L10437">
        <v>0</v>
      </c>
      <c r="M10437">
        <v>0</v>
      </c>
      <c r="N10437">
        <v>0</v>
      </c>
      <c r="O10437" t="s">
        <v>11693</v>
      </c>
    </row>
    <row r="10438" spans="1:15">
      <c r="A10438" t="s">
        <v>38451</v>
      </c>
      <c r="B10438" t="s">
        <v>13014</v>
      </c>
      <c r="C10438" t="s">
        <v>4307</v>
      </c>
      <c r="D10438" t="s">
        <v>38452</v>
      </c>
      <c r="E10438" t="b">
        <v>0</v>
      </c>
      <c r="F10438" t="s">
        <v>11610</v>
      </c>
      <c r="L10438">
        <v>0</v>
      </c>
      <c r="M10438">
        <v>0</v>
      </c>
      <c r="N10438">
        <v>0</v>
      </c>
    </row>
    <row r="10439" spans="1:15">
      <c r="A10439" t="s">
        <v>38453</v>
      </c>
      <c r="B10439" t="s">
        <v>11894</v>
      </c>
      <c r="C10439" t="s">
        <v>38454</v>
      </c>
      <c r="D10439" t="s">
        <v>38455</v>
      </c>
      <c r="E10439" t="b">
        <v>0</v>
      </c>
      <c r="F10439" t="s">
        <v>11624</v>
      </c>
      <c r="G10439">
        <v>-14.9</v>
      </c>
      <c r="H10439">
        <v>-53.15</v>
      </c>
      <c r="L10439">
        <v>0</v>
      </c>
      <c r="M10439">
        <v>0</v>
      </c>
      <c r="N10439">
        <v>0</v>
      </c>
      <c r="O10439" t="s">
        <v>11969</v>
      </c>
    </row>
    <row r="10440" spans="1:15">
      <c r="A10440" t="s">
        <v>38456</v>
      </c>
      <c r="D10440" t="s">
        <v>38457</v>
      </c>
      <c r="E10440" t="b">
        <v>0</v>
      </c>
      <c r="F10440" t="s">
        <v>11624</v>
      </c>
      <c r="G10440">
        <v>29.176600000000001</v>
      </c>
      <c r="H10440">
        <v>80.630899999999997</v>
      </c>
      <c r="I10440" t="s">
        <v>38458</v>
      </c>
      <c r="L10440">
        <v>0</v>
      </c>
      <c r="M10440">
        <v>0</v>
      </c>
      <c r="N10440">
        <v>0</v>
      </c>
      <c r="O10440" t="s">
        <v>15007</v>
      </c>
    </row>
    <row r="10441" spans="1:15">
      <c r="A10441" t="s">
        <v>38459</v>
      </c>
      <c r="B10441" t="s">
        <v>6742</v>
      </c>
      <c r="C10441" t="s">
        <v>15858</v>
      </c>
      <c r="D10441" t="s">
        <v>38460</v>
      </c>
      <c r="E10441" t="b">
        <v>0</v>
      </c>
      <c r="F10441" t="s">
        <v>11610</v>
      </c>
      <c r="L10441">
        <v>0</v>
      </c>
      <c r="M10441">
        <v>0</v>
      </c>
      <c r="N10441">
        <v>0</v>
      </c>
    </row>
    <row r="10442" spans="1:15">
      <c r="A10442" t="s">
        <v>38461</v>
      </c>
      <c r="B10442" t="s">
        <v>6742</v>
      </c>
      <c r="C10442" t="s">
        <v>30658</v>
      </c>
      <c r="D10442" t="s">
        <v>38462</v>
      </c>
      <c r="E10442" t="b">
        <v>0</v>
      </c>
      <c r="F10442" t="s">
        <v>11624</v>
      </c>
      <c r="G10442">
        <v>-3.6145900000000002</v>
      </c>
      <c r="H10442">
        <v>25.292300000000001</v>
      </c>
      <c r="I10442" t="s">
        <v>38463</v>
      </c>
      <c r="L10442">
        <v>0</v>
      </c>
      <c r="M10442">
        <v>0</v>
      </c>
      <c r="N10442">
        <v>0</v>
      </c>
      <c r="O10442" t="s">
        <v>14825</v>
      </c>
    </row>
    <row r="10443" spans="1:15">
      <c r="A10443" t="s">
        <v>38464</v>
      </c>
      <c r="B10443" t="s">
        <v>12133</v>
      </c>
      <c r="C10443" t="s">
        <v>38465</v>
      </c>
      <c r="D10443" t="s">
        <v>38466</v>
      </c>
      <c r="E10443" t="b">
        <v>0</v>
      </c>
      <c r="F10443" t="s">
        <v>11610</v>
      </c>
      <c r="L10443">
        <v>0</v>
      </c>
      <c r="M10443">
        <v>0</v>
      </c>
      <c r="N10443">
        <v>0</v>
      </c>
    </row>
    <row r="10444" spans="1:15">
      <c r="A10444" t="s">
        <v>19712</v>
      </c>
      <c r="B10444" t="s">
        <v>11637</v>
      </c>
      <c r="C10444" t="s">
        <v>38178</v>
      </c>
      <c r="D10444" t="s">
        <v>38467</v>
      </c>
      <c r="E10444" t="b">
        <v>0</v>
      </c>
      <c r="F10444" t="s">
        <v>11622</v>
      </c>
      <c r="L10444">
        <v>0</v>
      </c>
      <c r="M10444">
        <v>4</v>
      </c>
      <c r="N10444">
        <v>4</v>
      </c>
    </row>
    <row r="10445" spans="1:15">
      <c r="A10445" t="s">
        <v>18501</v>
      </c>
      <c r="B10445" t="s">
        <v>11644</v>
      </c>
      <c r="C10445" t="s">
        <v>29124</v>
      </c>
      <c r="D10445" t="s">
        <v>38468</v>
      </c>
      <c r="E10445" t="b">
        <v>0</v>
      </c>
      <c r="F10445" t="s">
        <v>11624</v>
      </c>
      <c r="G10445">
        <v>28.380800000000001</v>
      </c>
      <c r="H10445">
        <v>84.93</v>
      </c>
      <c r="I10445" t="s">
        <v>38469</v>
      </c>
      <c r="L10445">
        <v>0</v>
      </c>
      <c r="M10445">
        <v>0</v>
      </c>
      <c r="N10445">
        <v>3</v>
      </c>
      <c r="O10445" t="s">
        <v>15007</v>
      </c>
    </row>
    <row r="10446" spans="1:15">
      <c r="A10446" t="s">
        <v>38470</v>
      </c>
      <c r="B10446" t="s">
        <v>6742</v>
      </c>
      <c r="C10446" t="s">
        <v>24810</v>
      </c>
      <c r="D10446" t="s">
        <v>38471</v>
      </c>
      <c r="E10446" t="b">
        <v>0</v>
      </c>
      <c r="F10446" t="s">
        <v>11610</v>
      </c>
      <c r="L10446">
        <v>0</v>
      </c>
      <c r="M10446">
        <v>0</v>
      </c>
      <c r="N10446">
        <v>0</v>
      </c>
    </row>
    <row r="10447" spans="1:15">
      <c r="A10447" t="s">
        <v>27852</v>
      </c>
      <c r="B10447" t="s">
        <v>6742</v>
      </c>
      <c r="C10447" t="s">
        <v>21806</v>
      </c>
      <c r="D10447" t="s">
        <v>38472</v>
      </c>
      <c r="E10447" t="b">
        <v>0</v>
      </c>
      <c r="F10447" t="s">
        <v>11624</v>
      </c>
      <c r="G10447">
        <v>7.0747900000000001</v>
      </c>
      <c r="H10447">
        <v>10.0916</v>
      </c>
      <c r="I10447" t="s">
        <v>38473</v>
      </c>
      <c r="L10447">
        <v>0</v>
      </c>
      <c r="M10447">
        <v>0</v>
      </c>
      <c r="N10447">
        <v>5</v>
      </c>
      <c r="O10447" t="s">
        <v>11802</v>
      </c>
    </row>
    <row r="10448" spans="1:15">
      <c r="A10448" t="s">
        <v>38474</v>
      </c>
      <c r="D10448" t="s">
        <v>38475</v>
      </c>
      <c r="E10448" t="b">
        <v>0</v>
      </c>
      <c r="F10448" t="s">
        <v>11624</v>
      </c>
      <c r="G10448">
        <v>48.789200000000001</v>
      </c>
      <c r="H10448">
        <v>-115.065</v>
      </c>
      <c r="I10448" t="s">
        <v>38476</v>
      </c>
      <c r="L10448">
        <v>0</v>
      </c>
      <c r="M10448">
        <v>0</v>
      </c>
      <c r="N10448">
        <v>0</v>
      </c>
      <c r="O10448" t="s">
        <v>14875</v>
      </c>
    </row>
    <row r="10449" spans="1:15">
      <c r="A10449" t="s">
        <v>38477</v>
      </c>
      <c r="B10449" t="s">
        <v>10597</v>
      </c>
      <c r="C10449" t="s">
        <v>37000</v>
      </c>
      <c r="D10449" t="s">
        <v>38478</v>
      </c>
      <c r="E10449" t="b">
        <v>0</v>
      </c>
      <c r="F10449" t="s">
        <v>11622</v>
      </c>
      <c r="L10449">
        <v>1</v>
      </c>
      <c r="M10449">
        <v>3</v>
      </c>
      <c r="N10449">
        <v>0</v>
      </c>
    </row>
    <row r="10450" spans="1:15">
      <c r="A10450" t="s">
        <v>38479</v>
      </c>
      <c r="B10450" t="s">
        <v>10597</v>
      </c>
      <c r="C10450" t="s">
        <v>38477</v>
      </c>
      <c r="D10450" t="s">
        <v>38480</v>
      </c>
      <c r="E10450" t="b">
        <v>0</v>
      </c>
      <c r="F10450" t="s">
        <v>11624</v>
      </c>
      <c r="G10450">
        <v>-17.456600000000002</v>
      </c>
      <c r="H10450">
        <v>140.958</v>
      </c>
      <c r="I10450" t="s">
        <v>38481</v>
      </c>
      <c r="L10450">
        <v>0</v>
      </c>
      <c r="M10450">
        <v>0</v>
      </c>
      <c r="N10450">
        <v>0</v>
      </c>
      <c r="O10450" t="s">
        <v>12107</v>
      </c>
    </row>
    <row r="10451" spans="1:15">
      <c r="A10451" t="s">
        <v>38482</v>
      </c>
      <c r="B10451" t="s">
        <v>11644</v>
      </c>
      <c r="C10451" t="s">
        <v>20791</v>
      </c>
      <c r="D10451" t="s">
        <v>38483</v>
      </c>
      <c r="E10451" t="b">
        <v>0</v>
      </c>
      <c r="F10451" t="s">
        <v>11610</v>
      </c>
      <c r="L10451">
        <v>0</v>
      </c>
      <c r="M10451">
        <v>0</v>
      </c>
      <c r="N10451">
        <v>0</v>
      </c>
    </row>
    <row r="10452" spans="1:15">
      <c r="A10452" t="s">
        <v>38484</v>
      </c>
      <c r="B10452" t="s">
        <v>367</v>
      </c>
      <c r="C10452" t="s">
        <v>38485</v>
      </c>
      <c r="D10452" t="s">
        <v>38486</v>
      </c>
      <c r="E10452" t="b">
        <v>0</v>
      </c>
      <c r="F10452" t="s">
        <v>11610</v>
      </c>
      <c r="L10452">
        <v>0</v>
      </c>
      <c r="M10452">
        <v>0</v>
      </c>
      <c r="N10452">
        <v>0</v>
      </c>
    </row>
    <row r="10453" spans="1:15">
      <c r="A10453" t="s">
        <v>38487</v>
      </c>
      <c r="B10453" t="s">
        <v>11607</v>
      </c>
      <c r="C10453" t="s">
        <v>38488</v>
      </c>
      <c r="D10453" t="s">
        <v>38489</v>
      </c>
      <c r="E10453" t="b">
        <v>0</v>
      </c>
      <c r="F10453" t="s">
        <v>11624</v>
      </c>
      <c r="G10453">
        <v>10.7074</v>
      </c>
      <c r="H10453">
        <v>11.4953</v>
      </c>
      <c r="I10453" t="s">
        <v>38490</v>
      </c>
      <c r="L10453">
        <v>0</v>
      </c>
      <c r="M10453">
        <v>0</v>
      </c>
      <c r="N10453">
        <v>0</v>
      </c>
      <c r="O10453" t="s">
        <v>11693</v>
      </c>
    </row>
    <row r="10454" spans="1:15">
      <c r="A10454" t="s">
        <v>38491</v>
      </c>
      <c r="B10454" t="s">
        <v>6742</v>
      </c>
      <c r="C10454" t="s">
        <v>17497</v>
      </c>
      <c r="D10454" t="s">
        <v>38492</v>
      </c>
      <c r="E10454" t="b">
        <v>0</v>
      </c>
      <c r="F10454" t="s">
        <v>11610</v>
      </c>
      <c r="L10454">
        <v>0</v>
      </c>
      <c r="M10454">
        <v>0</v>
      </c>
      <c r="N10454">
        <v>0</v>
      </c>
    </row>
    <row r="10455" spans="1:15">
      <c r="A10455" t="s">
        <v>38493</v>
      </c>
      <c r="B10455" t="s">
        <v>6742</v>
      </c>
      <c r="C10455" t="s">
        <v>25137</v>
      </c>
      <c r="D10455" t="s">
        <v>38494</v>
      </c>
      <c r="E10455" t="b">
        <v>0</v>
      </c>
      <c r="F10455" t="s">
        <v>11624</v>
      </c>
      <c r="G10455">
        <v>10.1485</v>
      </c>
      <c r="H10455">
        <v>7.9652399999999997</v>
      </c>
      <c r="I10455" t="s">
        <v>38495</v>
      </c>
      <c r="L10455">
        <v>0</v>
      </c>
      <c r="M10455">
        <v>0</v>
      </c>
      <c r="N10455">
        <v>0</v>
      </c>
      <c r="O10455" t="s">
        <v>11693</v>
      </c>
    </row>
    <row r="10456" spans="1:15">
      <c r="A10456" t="s">
        <v>38496</v>
      </c>
      <c r="B10456" t="s">
        <v>6742</v>
      </c>
      <c r="C10456" t="s">
        <v>38497</v>
      </c>
      <c r="D10456" t="s">
        <v>38498</v>
      </c>
      <c r="E10456" t="b">
        <v>0</v>
      </c>
      <c r="F10456" t="s">
        <v>11624</v>
      </c>
      <c r="G10456">
        <v>-7.2378900000000002</v>
      </c>
      <c r="H10456">
        <v>37.862299999999998</v>
      </c>
      <c r="I10456" t="s">
        <v>38499</v>
      </c>
      <c r="L10456">
        <v>0</v>
      </c>
      <c r="M10456">
        <v>0</v>
      </c>
      <c r="N10456">
        <v>0</v>
      </c>
      <c r="O10456" t="s">
        <v>11635</v>
      </c>
    </row>
    <row r="10457" spans="1:15">
      <c r="A10457" t="s">
        <v>38500</v>
      </c>
      <c r="B10457" t="s">
        <v>6742</v>
      </c>
      <c r="C10457" t="s">
        <v>5545</v>
      </c>
      <c r="D10457" t="s">
        <v>38501</v>
      </c>
      <c r="E10457" t="b">
        <v>0</v>
      </c>
      <c r="F10457" t="s">
        <v>11610</v>
      </c>
      <c r="L10457">
        <v>0</v>
      </c>
      <c r="M10457">
        <v>0</v>
      </c>
      <c r="N10457">
        <v>0</v>
      </c>
    </row>
    <row r="10458" spans="1:15">
      <c r="A10458" t="s">
        <v>38502</v>
      </c>
      <c r="B10458" t="s">
        <v>6742</v>
      </c>
      <c r="C10458" t="s">
        <v>19496</v>
      </c>
      <c r="D10458" t="s">
        <v>38503</v>
      </c>
      <c r="E10458" t="b">
        <v>0</v>
      </c>
      <c r="F10458" t="s">
        <v>11610</v>
      </c>
      <c r="L10458">
        <v>0</v>
      </c>
      <c r="M10458">
        <v>0</v>
      </c>
      <c r="N10458">
        <v>0</v>
      </c>
    </row>
    <row r="10459" spans="1:15">
      <c r="A10459" t="s">
        <v>38504</v>
      </c>
      <c r="B10459" t="s">
        <v>26263</v>
      </c>
      <c r="C10459" t="s">
        <v>27976</v>
      </c>
      <c r="D10459" t="s">
        <v>38505</v>
      </c>
      <c r="E10459" t="b">
        <v>0</v>
      </c>
      <c r="F10459" t="s">
        <v>11610</v>
      </c>
      <c r="L10459">
        <v>0</v>
      </c>
      <c r="M10459">
        <v>0</v>
      </c>
      <c r="N10459">
        <v>0</v>
      </c>
    </row>
    <row r="10460" spans="1:15">
      <c r="A10460" t="s">
        <v>38497</v>
      </c>
      <c r="B10460" t="s">
        <v>6742</v>
      </c>
      <c r="C10460" t="s">
        <v>21897</v>
      </c>
      <c r="D10460" t="s">
        <v>38506</v>
      </c>
      <c r="E10460" t="b">
        <v>0</v>
      </c>
      <c r="F10460" t="s">
        <v>11622</v>
      </c>
      <c r="L10460">
        <v>0</v>
      </c>
      <c r="M10460">
        <v>2</v>
      </c>
      <c r="N10460">
        <v>0</v>
      </c>
    </row>
    <row r="10461" spans="1:15">
      <c r="A10461" t="s">
        <v>38507</v>
      </c>
      <c r="B10461" t="s">
        <v>10597</v>
      </c>
      <c r="C10461" t="s">
        <v>34844</v>
      </c>
      <c r="D10461" t="s">
        <v>38508</v>
      </c>
      <c r="E10461" t="b">
        <v>0</v>
      </c>
      <c r="F10461" t="s">
        <v>11624</v>
      </c>
      <c r="G10461">
        <v>-12.4947</v>
      </c>
      <c r="H10461">
        <v>143.16499999999999</v>
      </c>
      <c r="I10461" t="s">
        <v>38509</v>
      </c>
      <c r="L10461">
        <v>0</v>
      </c>
      <c r="M10461">
        <v>0</v>
      </c>
      <c r="N10461">
        <v>0</v>
      </c>
      <c r="O10461" t="s">
        <v>12107</v>
      </c>
    </row>
    <row r="10462" spans="1:15">
      <c r="A10462" t="s">
        <v>38510</v>
      </c>
      <c r="B10462" t="s">
        <v>11607</v>
      </c>
      <c r="C10462" t="s">
        <v>25288</v>
      </c>
      <c r="D10462" t="s">
        <v>38511</v>
      </c>
      <c r="E10462" t="b">
        <v>0</v>
      </c>
      <c r="F10462" t="s">
        <v>11610</v>
      </c>
      <c r="L10462">
        <v>0</v>
      </c>
      <c r="M10462">
        <v>0</v>
      </c>
      <c r="N10462">
        <v>0</v>
      </c>
    </row>
    <row r="10463" spans="1:15">
      <c r="A10463" t="s">
        <v>38512</v>
      </c>
      <c r="B10463" t="s">
        <v>10597</v>
      </c>
      <c r="C10463" t="s">
        <v>38513</v>
      </c>
      <c r="D10463" t="s">
        <v>38514</v>
      </c>
      <c r="E10463" t="b">
        <v>0</v>
      </c>
      <c r="F10463" t="s">
        <v>11624</v>
      </c>
      <c r="I10463" t="s">
        <v>38515</v>
      </c>
      <c r="L10463">
        <v>0</v>
      </c>
      <c r="M10463">
        <v>0</v>
      </c>
      <c r="N10463">
        <v>0</v>
      </c>
      <c r="O10463" t="s">
        <v>12107</v>
      </c>
    </row>
    <row r="10464" spans="1:15">
      <c r="A10464" t="s">
        <v>38516</v>
      </c>
      <c r="B10464" t="s">
        <v>10597</v>
      </c>
      <c r="C10464" t="s">
        <v>38517</v>
      </c>
      <c r="D10464" t="s">
        <v>38518</v>
      </c>
      <c r="E10464" t="b">
        <v>0</v>
      </c>
      <c r="F10464" t="s">
        <v>11624</v>
      </c>
      <c r="G10464">
        <v>-24.751087129999998</v>
      </c>
      <c r="H10464">
        <v>143.5365228</v>
      </c>
      <c r="I10464" t="s">
        <v>38519</v>
      </c>
      <c r="L10464">
        <v>0</v>
      </c>
      <c r="M10464">
        <v>0</v>
      </c>
      <c r="N10464">
        <v>0</v>
      </c>
      <c r="O10464" t="s">
        <v>12107</v>
      </c>
    </row>
    <row r="10465" spans="1:15">
      <c r="A10465" t="s">
        <v>38520</v>
      </c>
      <c r="B10465" t="s">
        <v>331</v>
      </c>
      <c r="C10465" t="s">
        <v>17252</v>
      </c>
      <c r="D10465" t="s">
        <v>38521</v>
      </c>
      <c r="E10465" t="b">
        <v>0</v>
      </c>
      <c r="F10465" t="s">
        <v>11610</v>
      </c>
      <c r="L10465">
        <v>0</v>
      </c>
      <c r="M10465">
        <v>0</v>
      </c>
      <c r="N10465">
        <v>0</v>
      </c>
    </row>
    <row r="10466" spans="1:15">
      <c r="A10466" t="s">
        <v>38522</v>
      </c>
      <c r="B10466" t="s">
        <v>6742</v>
      </c>
      <c r="C10466" t="s">
        <v>23041</v>
      </c>
      <c r="D10466" t="s">
        <v>38523</v>
      </c>
      <c r="E10466" t="b">
        <v>0</v>
      </c>
      <c r="F10466" t="s">
        <v>11624</v>
      </c>
      <c r="I10466" t="s">
        <v>38524</v>
      </c>
      <c r="L10466">
        <v>0</v>
      </c>
      <c r="M10466">
        <v>0</v>
      </c>
      <c r="N10466">
        <v>0</v>
      </c>
      <c r="O10466" t="s">
        <v>19290</v>
      </c>
    </row>
    <row r="10467" spans="1:15">
      <c r="A10467" t="s">
        <v>38525</v>
      </c>
      <c r="B10467" t="s">
        <v>11705</v>
      </c>
      <c r="C10467" t="s">
        <v>12924</v>
      </c>
      <c r="D10467" t="s">
        <v>38526</v>
      </c>
      <c r="E10467" t="b">
        <v>0</v>
      </c>
      <c r="F10467" t="s">
        <v>11610</v>
      </c>
      <c r="L10467">
        <v>0</v>
      </c>
      <c r="M10467">
        <v>0</v>
      </c>
      <c r="N10467">
        <v>0</v>
      </c>
    </row>
    <row r="10468" spans="1:15">
      <c r="A10468" t="s">
        <v>38527</v>
      </c>
      <c r="B10468" t="s">
        <v>11844</v>
      </c>
      <c r="C10468" t="s">
        <v>37970</v>
      </c>
      <c r="D10468" t="s">
        <v>38528</v>
      </c>
      <c r="E10468" t="b">
        <v>0</v>
      </c>
      <c r="F10468" t="s">
        <v>11624</v>
      </c>
      <c r="G10468">
        <v>18.883199999999999</v>
      </c>
      <c r="H10468">
        <v>83.755200000000002</v>
      </c>
      <c r="I10468" t="s">
        <v>38529</v>
      </c>
      <c r="L10468">
        <v>0</v>
      </c>
      <c r="M10468">
        <v>0</v>
      </c>
      <c r="N10468">
        <v>0</v>
      </c>
      <c r="O10468" t="s">
        <v>11630</v>
      </c>
    </row>
    <row r="10469" spans="1:15">
      <c r="A10469" t="s">
        <v>38530</v>
      </c>
      <c r="B10469" t="s">
        <v>6742</v>
      </c>
      <c r="C10469" t="s">
        <v>35223</v>
      </c>
      <c r="D10469" t="s">
        <v>38531</v>
      </c>
      <c r="E10469" t="b">
        <v>0</v>
      </c>
      <c r="F10469" t="s">
        <v>11624</v>
      </c>
      <c r="G10469">
        <v>12.48255</v>
      </c>
      <c r="H10469">
        <v>-16.748349999999999</v>
      </c>
      <c r="I10469" t="s">
        <v>38532</v>
      </c>
      <c r="L10469">
        <v>0</v>
      </c>
      <c r="M10469">
        <v>0</v>
      </c>
      <c r="N10469">
        <v>0</v>
      </c>
      <c r="O10469" t="s">
        <v>16532</v>
      </c>
    </row>
    <row r="10470" spans="1:15">
      <c r="A10470" t="s">
        <v>38533</v>
      </c>
      <c r="B10470" t="s">
        <v>6742</v>
      </c>
      <c r="C10470" t="s">
        <v>12595</v>
      </c>
      <c r="D10470" t="s">
        <v>38534</v>
      </c>
      <c r="E10470" t="b">
        <v>0</v>
      </c>
      <c r="F10470" t="s">
        <v>11624</v>
      </c>
      <c r="G10470">
        <v>7.5488499999999998</v>
      </c>
      <c r="H10470">
        <v>-9.9764999999999997</v>
      </c>
      <c r="I10470" t="s">
        <v>38535</v>
      </c>
      <c r="L10470">
        <v>0</v>
      </c>
      <c r="M10470">
        <v>0</v>
      </c>
      <c r="N10470">
        <v>0</v>
      </c>
      <c r="O10470" t="s">
        <v>17011</v>
      </c>
    </row>
    <row r="10471" spans="1:15">
      <c r="A10471" t="s">
        <v>4669</v>
      </c>
      <c r="B10471" t="s">
        <v>11607</v>
      </c>
      <c r="C10471" t="s">
        <v>13053</v>
      </c>
      <c r="D10471" t="s">
        <v>38536</v>
      </c>
      <c r="E10471" t="b">
        <v>0</v>
      </c>
      <c r="F10471" t="s">
        <v>11610</v>
      </c>
      <c r="L10471">
        <v>0</v>
      </c>
      <c r="M10471">
        <v>0</v>
      </c>
      <c r="N10471">
        <v>0</v>
      </c>
    </row>
    <row r="10472" spans="1:15">
      <c r="A10472" t="s">
        <v>38537</v>
      </c>
      <c r="B10472" t="s">
        <v>11981</v>
      </c>
      <c r="C10472" t="s">
        <v>14250</v>
      </c>
      <c r="D10472" t="s">
        <v>38538</v>
      </c>
      <c r="E10472" t="b">
        <v>0</v>
      </c>
      <c r="F10472" t="s">
        <v>11624</v>
      </c>
      <c r="G10472">
        <v>29.376662</v>
      </c>
      <c r="H10472">
        <v>47.981180000000002</v>
      </c>
      <c r="L10472">
        <v>0</v>
      </c>
      <c r="M10472">
        <v>0</v>
      </c>
      <c r="N10472">
        <v>0</v>
      </c>
      <c r="O10472" t="s">
        <v>38539</v>
      </c>
    </row>
    <row r="10473" spans="1:15">
      <c r="A10473" t="s">
        <v>38540</v>
      </c>
      <c r="B10473" t="s">
        <v>12438</v>
      </c>
      <c r="C10473" t="s">
        <v>22245</v>
      </c>
      <c r="D10473" t="s">
        <v>38541</v>
      </c>
      <c r="E10473" t="b">
        <v>0</v>
      </c>
      <c r="F10473" t="s">
        <v>11610</v>
      </c>
      <c r="L10473">
        <v>0</v>
      </c>
      <c r="M10473">
        <v>0</v>
      </c>
      <c r="N10473">
        <v>0</v>
      </c>
    </row>
    <row r="10474" spans="1:15">
      <c r="A10474" t="s">
        <v>38542</v>
      </c>
      <c r="B10474" t="s">
        <v>12438</v>
      </c>
      <c r="C10474" t="s">
        <v>22245</v>
      </c>
      <c r="D10474" t="s">
        <v>38543</v>
      </c>
      <c r="E10474" t="b">
        <v>0</v>
      </c>
      <c r="F10474" t="s">
        <v>11610</v>
      </c>
      <c r="L10474">
        <v>0</v>
      </c>
      <c r="M10474">
        <v>0</v>
      </c>
      <c r="N10474">
        <v>0</v>
      </c>
    </row>
    <row r="10475" spans="1:15">
      <c r="A10475" t="s">
        <v>38544</v>
      </c>
      <c r="B10475" t="s">
        <v>6742</v>
      </c>
      <c r="C10475" t="s">
        <v>27296</v>
      </c>
      <c r="D10475" t="s">
        <v>38545</v>
      </c>
      <c r="E10475" t="b">
        <v>0</v>
      </c>
      <c r="F10475" t="s">
        <v>11610</v>
      </c>
      <c r="L10475">
        <v>0</v>
      </c>
      <c r="M10475">
        <v>0</v>
      </c>
      <c r="N10475">
        <v>0</v>
      </c>
    </row>
    <row r="10476" spans="1:15">
      <c r="A10476" t="s">
        <v>23682</v>
      </c>
      <c r="B10476" t="s">
        <v>367</v>
      </c>
      <c r="C10476" t="s">
        <v>12771</v>
      </c>
      <c r="D10476" t="s">
        <v>38546</v>
      </c>
      <c r="E10476" t="b">
        <v>0</v>
      </c>
      <c r="F10476" t="s">
        <v>11622</v>
      </c>
      <c r="L10476">
        <v>1</v>
      </c>
      <c r="M10476">
        <v>3</v>
      </c>
      <c r="N10476">
        <v>3</v>
      </c>
    </row>
    <row r="10477" spans="1:15">
      <c r="A10477" t="s">
        <v>38547</v>
      </c>
      <c r="B10477" t="s">
        <v>12438</v>
      </c>
      <c r="C10477" t="s">
        <v>22245</v>
      </c>
      <c r="D10477" t="s">
        <v>38548</v>
      </c>
      <c r="E10477" t="b">
        <v>0</v>
      </c>
      <c r="F10477" t="s">
        <v>11610</v>
      </c>
      <c r="L10477">
        <v>0</v>
      </c>
      <c r="M10477">
        <v>0</v>
      </c>
      <c r="N10477">
        <v>0</v>
      </c>
    </row>
    <row r="10478" spans="1:15">
      <c r="A10478" t="s">
        <v>38549</v>
      </c>
      <c r="B10478" t="s">
        <v>12438</v>
      </c>
      <c r="C10478" t="s">
        <v>22245</v>
      </c>
      <c r="D10478" t="s">
        <v>38550</v>
      </c>
      <c r="E10478" t="b">
        <v>0</v>
      </c>
      <c r="F10478" t="s">
        <v>11610</v>
      </c>
      <c r="L10478">
        <v>0</v>
      </c>
      <c r="M10478">
        <v>0</v>
      </c>
      <c r="N10478">
        <v>0</v>
      </c>
    </row>
    <row r="10479" spans="1:15">
      <c r="A10479" t="s">
        <v>38551</v>
      </c>
      <c r="B10479" t="s">
        <v>12438</v>
      </c>
      <c r="C10479" t="s">
        <v>19917</v>
      </c>
      <c r="D10479" t="s">
        <v>38552</v>
      </c>
      <c r="E10479" t="b">
        <v>0</v>
      </c>
      <c r="F10479" t="s">
        <v>11622</v>
      </c>
      <c r="L10479">
        <v>0</v>
      </c>
      <c r="M10479">
        <v>2</v>
      </c>
      <c r="N10479">
        <v>7</v>
      </c>
    </row>
    <row r="10480" spans="1:15">
      <c r="A10480" t="s">
        <v>38553</v>
      </c>
      <c r="B10480" t="s">
        <v>22306</v>
      </c>
      <c r="C10480" t="s">
        <v>32850</v>
      </c>
      <c r="D10480" t="s">
        <v>38554</v>
      </c>
      <c r="E10480" t="b">
        <v>0</v>
      </c>
      <c r="F10480" t="s">
        <v>11624</v>
      </c>
      <c r="G10480">
        <v>-11.75</v>
      </c>
      <c r="H10480">
        <v>-64</v>
      </c>
      <c r="L10480">
        <v>0</v>
      </c>
      <c r="M10480">
        <v>0</v>
      </c>
      <c r="N10480">
        <v>0</v>
      </c>
      <c r="O10480" t="s">
        <v>11969</v>
      </c>
    </row>
    <row r="10481" spans="1:15">
      <c r="A10481" t="s">
        <v>22245</v>
      </c>
      <c r="B10481" t="s">
        <v>12438</v>
      </c>
      <c r="C10481" t="s">
        <v>38551</v>
      </c>
      <c r="D10481" t="s">
        <v>38555</v>
      </c>
      <c r="E10481" t="b">
        <v>0</v>
      </c>
      <c r="F10481" t="s">
        <v>11624</v>
      </c>
      <c r="G10481">
        <v>14.6698</v>
      </c>
      <c r="H10481">
        <v>104.911</v>
      </c>
      <c r="I10481" t="s">
        <v>38556</v>
      </c>
      <c r="L10481">
        <v>0</v>
      </c>
      <c r="M10481">
        <v>0</v>
      </c>
      <c r="N10481">
        <v>7</v>
      </c>
      <c r="O10481" t="s">
        <v>38557</v>
      </c>
    </row>
    <row r="10482" spans="1:15">
      <c r="A10482" t="s">
        <v>38558</v>
      </c>
      <c r="B10482" t="s">
        <v>12311</v>
      </c>
      <c r="C10482" t="s">
        <v>13726</v>
      </c>
      <c r="D10482" t="s">
        <v>38559</v>
      </c>
      <c r="E10482" t="b">
        <v>0</v>
      </c>
      <c r="F10482" t="s">
        <v>11610</v>
      </c>
      <c r="L10482">
        <v>0</v>
      </c>
      <c r="M10482">
        <v>0</v>
      </c>
      <c r="N10482">
        <v>0</v>
      </c>
    </row>
    <row r="10483" spans="1:15">
      <c r="A10483" t="s">
        <v>38560</v>
      </c>
      <c r="B10483" t="s">
        <v>12260</v>
      </c>
      <c r="C10483" t="s">
        <v>27888</v>
      </c>
      <c r="D10483" t="s">
        <v>38561</v>
      </c>
      <c r="E10483" t="b">
        <v>0</v>
      </c>
      <c r="F10483" t="s">
        <v>11624</v>
      </c>
      <c r="G10483">
        <v>69.377200000000002</v>
      </c>
      <c r="H10483">
        <v>29.543399999999998</v>
      </c>
      <c r="I10483" t="s">
        <v>38562</v>
      </c>
      <c r="L10483">
        <v>0</v>
      </c>
      <c r="M10483">
        <v>0</v>
      </c>
      <c r="N10483">
        <v>0</v>
      </c>
      <c r="O10483" t="s">
        <v>38563</v>
      </c>
    </row>
    <row r="10484" spans="1:15">
      <c r="A10484" t="s">
        <v>30424</v>
      </c>
      <c r="B10484" t="s">
        <v>6742</v>
      </c>
      <c r="C10484" t="s">
        <v>38564</v>
      </c>
      <c r="D10484" t="s">
        <v>38565</v>
      </c>
      <c r="E10484" t="b">
        <v>0</v>
      </c>
      <c r="F10484" t="s">
        <v>11624</v>
      </c>
      <c r="G10484">
        <v>9.4222199999999994</v>
      </c>
      <c r="H10484">
        <v>11.443899999999999</v>
      </c>
      <c r="I10484" t="s">
        <v>38566</v>
      </c>
      <c r="L10484">
        <v>0</v>
      </c>
      <c r="M10484">
        <v>0</v>
      </c>
      <c r="N10484">
        <v>2</v>
      </c>
      <c r="O10484" t="s">
        <v>11693</v>
      </c>
    </row>
    <row r="10485" spans="1:15">
      <c r="A10485" t="s">
        <v>38567</v>
      </c>
      <c r="B10485" t="s">
        <v>6742</v>
      </c>
      <c r="C10485" t="s">
        <v>27905</v>
      </c>
      <c r="D10485" t="s">
        <v>38568</v>
      </c>
      <c r="E10485" t="b">
        <v>0</v>
      </c>
      <c r="F10485" t="s">
        <v>11610</v>
      </c>
      <c r="L10485">
        <v>0</v>
      </c>
      <c r="M10485">
        <v>0</v>
      </c>
      <c r="N10485">
        <v>0</v>
      </c>
    </row>
    <row r="10486" spans="1:15">
      <c r="A10486" t="s">
        <v>38569</v>
      </c>
      <c r="B10486" t="s">
        <v>6742</v>
      </c>
      <c r="C10486" t="s">
        <v>27905</v>
      </c>
      <c r="D10486" t="s">
        <v>38570</v>
      </c>
      <c r="E10486" t="b">
        <v>0</v>
      </c>
      <c r="F10486" t="s">
        <v>11610</v>
      </c>
      <c r="L10486">
        <v>0</v>
      </c>
      <c r="M10486">
        <v>0</v>
      </c>
      <c r="N10486">
        <v>0</v>
      </c>
    </row>
    <row r="10487" spans="1:15">
      <c r="A10487" t="s">
        <v>38571</v>
      </c>
      <c r="B10487" t="s">
        <v>6742</v>
      </c>
      <c r="C10487" t="s">
        <v>16434</v>
      </c>
      <c r="D10487" t="s">
        <v>38572</v>
      </c>
      <c r="E10487" t="b">
        <v>0</v>
      </c>
      <c r="F10487" t="s">
        <v>11624</v>
      </c>
      <c r="G10487">
        <v>4.8827299999999996</v>
      </c>
      <c r="H10487">
        <v>10.3453</v>
      </c>
      <c r="I10487" t="s">
        <v>38573</v>
      </c>
      <c r="L10487">
        <v>0</v>
      </c>
      <c r="M10487">
        <v>0</v>
      </c>
      <c r="N10487">
        <v>2</v>
      </c>
      <c r="O10487" t="s">
        <v>11703</v>
      </c>
    </row>
    <row r="10488" spans="1:15">
      <c r="A10488" t="s">
        <v>38574</v>
      </c>
      <c r="B10488" t="s">
        <v>11607</v>
      </c>
      <c r="C10488" t="s">
        <v>38488</v>
      </c>
      <c r="D10488" t="s">
        <v>38575</v>
      </c>
      <c r="E10488" t="b">
        <v>0</v>
      </c>
      <c r="F10488" t="s">
        <v>11624</v>
      </c>
      <c r="G10488">
        <v>10.414099999999999</v>
      </c>
      <c r="H10488">
        <v>11.0192</v>
      </c>
      <c r="I10488" t="s">
        <v>38576</v>
      </c>
      <c r="L10488">
        <v>0</v>
      </c>
      <c r="M10488">
        <v>0</v>
      </c>
      <c r="N10488">
        <v>0</v>
      </c>
      <c r="O10488" t="s">
        <v>11693</v>
      </c>
    </row>
    <row r="10489" spans="1:15">
      <c r="A10489" t="s">
        <v>38577</v>
      </c>
      <c r="B10489" t="s">
        <v>4236</v>
      </c>
      <c r="C10489" t="s">
        <v>4236</v>
      </c>
      <c r="D10489" t="s">
        <v>38578</v>
      </c>
      <c r="E10489" t="b">
        <v>0</v>
      </c>
      <c r="F10489" t="s">
        <v>11624</v>
      </c>
      <c r="G10489">
        <v>-15.874499999999999</v>
      </c>
      <c r="H10489">
        <v>12.114699999999999</v>
      </c>
      <c r="I10489" t="s">
        <v>38579</v>
      </c>
      <c r="L10489">
        <v>0</v>
      </c>
      <c r="M10489">
        <v>0</v>
      </c>
      <c r="N10489">
        <v>1</v>
      </c>
      <c r="O10489" t="s">
        <v>19290</v>
      </c>
    </row>
    <row r="10490" spans="1:15">
      <c r="A10490" t="s">
        <v>38580</v>
      </c>
      <c r="B10490" t="s">
        <v>11607</v>
      </c>
      <c r="C10490" t="s">
        <v>11632</v>
      </c>
      <c r="D10490" t="s">
        <v>38581</v>
      </c>
      <c r="E10490" t="b">
        <v>0</v>
      </c>
      <c r="F10490" t="s">
        <v>11624</v>
      </c>
      <c r="G10490">
        <v>-4.0074300000000003</v>
      </c>
      <c r="H10490">
        <v>35.1828</v>
      </c>
      <c r="I10490" t="s">
        <v>38582</v>
      </c>
      <c r="L10490">
        <v>0</v>
      </c>
      <c r="M10490">
        <v>0</v>
      </c>
      <c r="N10490">
        <v>0</v>
      </c>
      <c r="O10490" t="s">
        <v>11635</v>
      </c>
    </row>
    <row r="10491" spans="1:15">
      <c r="A10491" t="s">
        <v>38583</v>
      </c>
      <c r="B10491" t="s">
        <v>11607</v>
      </c>
      <c r="C10491" t="s">
        <v>20786</v>
      </c>
      <c r="D10491" t="s">
        <v>38584</v>
      </c>
      <c r="E10491" t="b">
        <v>0</v>
      </c>
      <c r="F10491" t="s">
        <v>11610</v>
      </c>
      <c r="L10491">
        <v>0</v>
      </c>
      <c r="M10491">
        <v>0</v>
      </c>
      <c r="N10491">
        <v>0</v>
      </c>
    </row>
    <row r="10492" spans="1:15">
      <c r="A10492" t="s">
        <v>38585</v>
      </c>
      <c r="B10492" t="s">
        <v>367</v>
      </c>
      <c r="C10492" t="s">
        <v>30064</v>
      </c>
      <c r="D10492" t="s">
        <v>38586</v>
      </c>
      <c r="E10492" t="b">
        <v>0</v>
      </c>
      <c r="F10492" t="s">
        <v>11624</v>
      </c>
      <c r="G10492">
        <v>-8.9374400000000005</v>
      </c>
      <c r="H10492">
        <v>160.965</v>
      </c>
      <c r="I10492" t="s">
        <v>38587</v>
      </c>
      <c r="L10492">
        <v>0</v>
      </c>
      <c r="M10492">
        <v>0</v>
      </c>
      <c r="N10492">
        <v>0</v>
      </c>
      <c r="O10492" t="s">
        <v>13346</v>
      </c>
    </row>
    <row r="10493" spans="1:15">
      <c r="A10493" t="s">
        <v>38588</v>
      </c>
      <c r="B10493" t="s">
        <v>367</v>
      </c>
      <c r="C10493" t="s">
        <v>13008</v>
      </c>
      <c r="D10493" t="s">
        <v>38589</v>
      </c>
      <c r="E10493" t="b">
        <v>0</v>
      </c>
      <c r="F10493" t="s">
        <v>11610</v>
      </c>
      <c r="L10493">
        <v>0</v>
      </c>
      <c r="M10493">
        <v>0</v>
      </c>
      <c r="N10493">
        <v>0</v>
      </c>
    </row>
    <row r="10494" spans="1:15">
      <c r="A10494" t="s">
        <v>38590</v>
      </c>
      <c r="B10494" t="s">
        <v>367</v>
      </c>
      <c r="C10494" t="s">
        <v>13008</v>
      </c>
      <c r="D10494" t="s">
        <v>38591</v>
      </c>
      <c r="E10494" t="b">
        <v>0</v>
      </c>
      <c r="F10494" t="s">
        <v>11610</v>
      </c>
      <c r="L10494">
        <v>0</v>
      </c>
      <c r="M10494">
        <v>0</v>
      </c>
      <c r="N10494">
        <v>0</v>
      </c>
    </row>
    <row r="10495" spans="1:15">
      <c r="A10495" t="s">
        <v>38592</v>
      </c>
      <c r="B10495" t="s">
        <v>6742</v>
      </c>
      <c r="C10495" t="s">
        <v>25251</v>
      </c>
      <c r="D10495" t="s">
        <v>38593</v>
      </c>
      <c r="E10495" t="b">
        <v>0</v>
      </c>
      <c r="F10495" t="s">
        <v>11610</v>
      </c>
      <c r="L10495">
        <v>0</v>
      </c>
      <c r="M10495">
        <v>0</v>
      </c>
      <c r="N10495">
        <v>0</v>
      </c>
    </row>
    <row r="10496" spans="1:15">
      <c r="A10496" t="s">
        <v>38594</v>
      </c>
      <c r="B10496" t="s">
        <v>6742</v>
      </c>
      <c r="C10496" t="s">
        <v>21953</v>
      </c>
      <c r="D10496" t="s">
        <v>38595</v>
      </c>
      <c r="E10496" t="b">
        <v>0</v>
      </c>
      <c r="F10496" t="s">
        <v>11624</v>
      </c>
      <c r="G10496">
        <v>6.6504339999999997</v>
      </c>
      <c r="H10496">
        <v>11.06</v>
      </c>
      <c r="I10496" t="s">
        <v>38596</v>
      </c>
      <c r="L10496">
        <v>0</v>
      </c>
      <c r="M10496">
        <v>0</v>
      </c>
      <c r="N10496">
        <v>4</v>
      </c>
      <c r="O10496" t="s">
        <v>11802</v>
      </c>
    </row>
    <row r="10497" spans="1:15">
      <c r="A10497" t="s">
        <v>38597</v>
      </c>
      <c r="B10497" t="s">
        <v>6742</v>
      </c>
      <c r="C10497" t="s">
        <v>38594</v>
      </c>
      <c r="D10497" t="s">
        <v>38598</v>
      </c>
      <c r="E10497" t="b">
        <v>0</v>
      </c>
      <c r="F10497" t="s">
        <v>11610</v>
      </c>
      <c r="L10497">
        <v>0</v>
      </c>
      <c r="M10497">
        <v>0</v>
      </c>
      <c r="N10497">
        <v>0</v>
      </c>
    </row>
    <row r="10498" spans="1:15">
      <c r="A10498" t="s">
        <v>38599</v>
      </c>
      <c r="B10498" t="s">
        <v>11627</v>
      </c>
      <c r="C10498" t="s">
        <v>11627</v>
      </c>
      <c r="D10498" t="s">
        <v>38600</v>
      </c>
      <c r="E10498" t="b">
        <v>1</v>
      </c>
      <c r="F10498" t="s">
        <v>11624</v>
      </c>
      <c r="G10498">
        <v>6.6652399999999998</v>
      </c>
      <c r="H10498">
        <v>11.108700000000001</v>
      </c>
      <c r="I10498" t="s">
        <v>38601</v>
      </c>
      <c r="L10498">
        <v>0</v>
      </c>
      <c r="M10498">
        <v>0</v>
      </c>
      <c r="N10498">
        <v>0</v>
      </c>
      <c r="O10498" t="s">
        <v>11693</v>
      </c>
    </row>
    <row r="10499" spans="1:15">
      <c r="A10499" t="s">
        <v>38602</v>
      </c>
      <c r="B10499" t="s">
        <v>6742</v>
      </c>
      <c r="C10499" t="s">
        <v>11804</v>
      </c>
      <c r="D10499" t="s">
        <v>38603</v>
      </c>
      <c r="E10499" t="b">
        <v>0</v>
      </c>
      <c r="F10499" t="s">
        <v>11610</v>
      </c>
      <c r="L10499">
        <v>0</v>
      </c>
      <c r="M10499">
        <v>0</v>
      </c>
      <c r="N10499">
        <v>0</v>
      </c>
    </row>
    <row r="10500" spans="1:15">
      <c r="A10500" t="s">
        <v>16130</v>
      </c>
      <c r="B10500" t="s">
        <v>6742</v>
      </c>
      <c r="C10500" t="s">
        <v>34308</v>
      </c>
      <c r="D10500" t="s">
        <v>38604</v>
      </c>
      <c r="E10500" t="b">
        <v>0</v>
      </c>
      <c r="F10500" t="s">
        <v>11624</v>
      </c>
      <c r="G10500">
        <v>4.3439300000000003</v>
      </c>
      <c r="H10500">
        <v>13.644600000000001</v>
      </c>
      <c r="I10500" t="s">
        <v>38605</v>
      </c>
      <c r="L10500">
        <v>0</v>
      </c>
      <c r="M10500">
        <v>0</v>
      </c>
      <c r="N10500">
        <v>4</v>
      </c>
      <c r="O10500" t="s">
        <v>11703</v>
      </c>
    </row>
    <row r="10501" spans="1:15">
      <c r="A10501" t="s">
        <v>38606</v>
      </c>
      <c r="B10501" t="s">
        <v>6742</v>
      </c>
      <c r="C10501" t="s">
        <v>38607</v>
      </c>
      <c r="D10501" t="s">
        <v>38608</v>
      </c>
      <c r="E10501" t="b">
        <v>0</v>
      </c>
      <c r="F10501" t="s">
        <v>11610</v>
      </c>
      <c r="L10501">
        <v>0</v>
      </c>
      <c r="M10501">
        <v>0</v>
      </c>
      <c r="N10501">
        <v>0</v>
      </c>
    </row>
    <row r="10502" spans="1:15">
      <c r="A10502" t="s">
        <v>456</v>
      </c>
      <c r="B10502" t="s">
        <v>17854</v>
      </c>
      <c r="C10502" t="s">
        <v>30572</v>
      </c>
      <c r="D10502" t="s">
        <v>38609</v>
      </c>
      <c r="E10502" t="b">
        <v>0</v>
      </c>
      <c r="F10502" t="s">
        <v>11622</v>
      </c>
      <c r="L10502">
        <v>0</v>
      </c>
      <c r="M10502">
        <v>2</v>
      </c>
      <c r="N10502">
        <v>2</v>
      </c>
    </row>
    <row r="10503" spans="1:15">
      <c r="A10503" t="s">
        <v>306</v>
      </c>
      <c r="B10503" t="s">
        <v>17854</v>
      </c>
      <c r="C10503" t="s">
        <v>456</v>
      </c>
      <c r="D10503" t="s">
        <v>38610</v>
      </c>
      <c r="E10503" t="b">
        <v>0</v>
      </c>
      <c r="F10503" t="s">
        <v>11624</v>
      </c>
      <c r="G10503">
        <v>50.926900000000003</v>
      </c>
      <c r="H10503">
        <v>-127.30800000000001</v>
      </c>
      <c r="I10503" t="s">
        <v>307</v>
      </c>
      <c r="L10503">
        <v>0</v>
      </c>
      <c r="M10503">
        <v>0</v>
      </c>
      <c r="N10503">
        <v>0</v>
      </c>
      <c r="O10503" t="s">
        <v>14875</v>
      </c>
    </row>
    <row r="10504" spans="1:15">
      <c r="A10504" t="s">
        <v>38611</v>
      </c>
      <c r="B10504" t="s">
        <v>6742</v>
      </c>
      <c r="C10504" t="s">
        <v>4058</v>
      </c>
      <c r="D10504" t="s">
        <v>38612</v>
      </c>
      <c r="E10504" t="b">
        <v>0</v>
      </c>
      <c r="F10504" t="s">
        <v>11610</v>
      </c>
      <c r="L10504">
        <v>0</v>
      </c>
      <c r="M10504">
        <v>0</v>
      </c>
      <c r="N10504">
        <v>0</v>
      </c>
    </row>
    <row r="10505" spans="1:15">
      <c r="A10505" t="s">
        <v>38613</v>
      </c>
      <c r="B10505" t="s">
        <v>6742</v>
      </c>
      <c r="C10505" t="s">
        <v>19704</v>
      </c>
      <c r="D10505" t="s">
        <v>38614</v>
      </c>
      <c r="E10505" t="b">
        <v>0</v>
      </c>
      <c r="F10505" t="s">
        <v>11610</v>
      </c>
      <c r="L10505">
        <v>0</v>
      </c>
      <c r="M10505">
        <v>0</v>
      </c>
      <c r="N10505">
        <v>0</v>
      </c>
    </row>
    <row r="10506" spans="1:15">
      <c r="A10506" t="s">
        <v>38615</v>
      </c>
      <c r="B10506" t="s">
        <v>367</v>
      </c>
      <c r="C10506" t="s">
        <v>20735</v>
      </c>
      <c r="D10506" t="s">
        <v>38616</v>
      </c>
      <c r="E10506" t="b">
        <v>0</v>
      </c>
      <c r="F10506" t="s">
        <v>11610</v>
      </c>
      <c r="L10506">
        <v>0</v>
      </c>
      <c r="M10506">
        <v>0</v>
      </c>
      <c r="N10506">
        <v>0</v>
      </c>
    </row>
    <row r="10507" spans="1:15">
      <c r="A10507" t="s">
        <v>28641</v>
      </c>
      <c r="D10507" t="s">
        <v>38617</v>
      </c>
      <c r="E10507" t="b">
        <v>0</v>
      </c>
      <c r="F10507" t="s">
        <v>11622</v>
      </c>
      <c r="L10507">
        <v>1</v>
      </c>
      <c r="M10507">
        <v>3</v>
      </c>
      <c r="N10507">
        <v>6</v>
      </c>
    </row>
    <row r="10508" spans="1:15">
      <c r="A10508" t="s">
        <v>38618</v>
      </c>
      <c r="B10508" t="s">
        <v>17751</v>
      </c>
      <c r="C10508" t="s">
        <v>17751</v>
      </c>
      <c r="D10508" t="s">
        <v>38619</v>
      </c>
      <c r="E10508" t="b">
        <v>0</v>
      </c>
      <c r="F10508" t="s">
        <v>11624</v>
      </c>
      <c r="G10508">
        <v>9.5083599999999997</v>
      </c>
      <c r="H10508">
        <v>34.245699999999999</v>
      </c>
      <c r="I10508" t="s">
        <v>38620</v>
      </c>
      <c r="L10508">
        <v>0</v>
      </c>
      <c r="M10508">
        <v>0</v>
      </c>
      <c r="N10508">
        <v>0</v>
      </c>
      <c r="O10508" t="s">
        <v>11625</v>
      </c>
    </row>
    <row r="10509" spans="1:15">
      <c r="A10509" t="s">
        <v>38621</v>
      </c>
      <c r="B10509" t="s">
        <v>6742</v>
      </c>
      <c r="C10509" t="s">
        <v>38622</v>
      </c>
      <c r="D10509" t="s">
        <v>38623</v>
      </c>
      <c r="E10509" t="b">
        <v>0</v>
      </c>
      <c r="F10509" t="s">
        <v>11624</v>
      </c>
      <c r="G10509">
        <v>-1.53712</v>
      </c>
      <c r="H10509">
        <v>27.4633</v>
      </c>
      <c r="I10509" t="s">
        <v>38624</v>
      </c>
      <c r="L10509">
        <v>0</v>
      </c>
      <c r="M10509">
        <v>0</v>
      </c>
      <c r="N10509">
        <v>0</v>
      </c>
      <c r="O10509" t="s">
        <v>14825</v>
      </c>
    </row>
    <row r="10510" spans="1:15">
      <c r="A10510" t="s">
        <v>38625</v>
      </c>
      <c r="B10510" t="s">
        <v>6742</v>
      </c>
      <c r="C10510" t="s">
        <v>38626</v>
      </c>
      <c r="D10510" t="s">
        <v>38627</v>
      </c>
      <c r="E10510" t="b">
        <v>0</v>
      </c>
      <c r="F10510" t="s">
        <v>11624</v>
      </c>
      <c r="G10510">
        <v>-18.033899999999999</v>
      </c>
      <c r="H10510">
        <v>15.7294</v>
      </c>
      <c r="I10510" t="s">
        <v>38628</v>
      </c>
      <c r="L10510">
        <v>0</v>
      </c>
      <c r="M10510">
        <v>0</v>
      </c>
      <c r="N10510">
        <v>0</v>
      </c>
      <c r="O10510" t="s">
        <v>46</v>
      </c>
    </row>
    <row r="10511" spans="1:15">
      <c r="A10511" t="s">
        <v>38629</v>
      </c>
      <c r="B10511" t="s">
        <v>367</v>
      </c>
      <c r="C10511" t="s">
        <v>38630</v>
      </c>
      <c r="D10511" t="s">
        <v>38631</v>
      </c>
      <c r="E10511" t="b">
        <v>0</v>
      </c>
      <c r="F10511" t="s">
        <v>11624</v>
      </c>
      <c r="G10511">
        <v>-19.595400000000001</v>
      </c>
      <c r="H10511">
        <v>169.44200000000001</v>
      </c>
      <c r="I10511" t="s">
        <v>38632</v>
      </c>
      <c r="L10511">
        <v>0</v>
      </c>
      <c r="M10511">
        <v>0</v>
      </c>
      <c r="N10511">
        <v>0</v>
      </c>
      <c r="O10511" t="s">
        <v>12719</v>
      </c>
    </row>
    <row r="10512" spans="1:15">
      <c r="A10512" t="s">
        <v>38633</v>
      </c>
      <c r="B10512" t="s">
        <v>367</v>
      </c>
      <c r="C10512" t="s">
        <v>38634</v>
      </c>
      <c r="D10512" t="s">
        <v>38635</v>
      </c>
      <c r="E10512" t="b">
        <v>0</v>
      </c>
      <c r="F10512" t="s">
        <v>11610</v>
      </c>
      <c r="L10512">
        <v>0</v>
      </c>
      <c r="M10512">
        <v>0</v>
      </c>
      <c r="N10512">
        <v>0</v>
      </c>
    </row>
    <row r="10513" spans="1:15">
      <c r="A10513" t="s">
        <v>38636</v>
      </c>
      <c r="B10513" t="s">
        <v>11834</v>
      </c>
      <c r="C10513" t="s">
        <v>21800</v>
      </c>
      <c r="D10513" t="s">
        <v>38637</v>
      </c>
      <c r="E10513" t="b">
        <v>0</v>
      </c>
      <c r="F10513" t="s">
        <v>11624</v>
      </c>
      <c r="G10513">
        <v>-3.4491100000000001</v>
      </c>
      <c r="H10513">
        <v>141.88900000000001</v>
      </c>
      <c r="I10513" t="s">
        <v>38638</v>
      </c>
      <c r="L10513">
        <v>0</v>
      </c>
      <c r="M10513">
        <v>0</v>
      </c>
      <c r="N10513">
        <v>0</v>
      </c>
      <c r="O10513" t="s">
        <v>11660</v>
      </c>
    </row>
    <row r="10514" spans="1:15">
      <c r="A10514" t="s">
        <v>38488</v>
      </c>
      <c r="B10514" t="s">
        <v>11607</v>
      </c>
      <c r="C10514" t="s">
        <v>38639</v>
      </c>
      <c r="D10514" t="s">
        <v>38640</v>
      </c>
      <c r="E10514" t="b">
        <v>0</v>
      </c>
      <c r="F10514" t="s">
        <v>11622</v>
      </c>
      <c r="L10514">
        <v>0</v>
      </c>
      <c r="M10514">
        <v>2</v>
      </c>
      <c r="N10514">
        <v>0</v>
      </c>
    </row>
    <row r="10515" spans="1:15">
      <c r="A10515" t="s">
        <v>38626</v>
      </c>
      <c r="B10515" t="s">
        <v>6742</v>
      </c>
      <c r="C10515" t="s">
        <v>37871</v>
      </c>
      <c r="D10515" t="s">
        <v>38641</v>
      </c>
      <c r="E10515" t="b">
        <v>0</v>
      </c>
      <c r="F10515" t="s">
        <v>11622</v>
      </c>
      <c r="L10515">
        <v>0</v>
      </c>
      <c r="M10515">
        <v>2</v>
      </c>
      <c r="N10515">
        <v>2</v>
      </c>
    </row>
    <row r="10516" spans="1:15">
      <c r="A10516" t="s">
        <v>38642</v>
      </c>
      <c r="B10516" t="s">
        <v>6742</v>
      </c>
      <c r="C10516" t="s">
        <v>18709</v>
      </c>
      <c r="D10516" t="s">
        <v>38643</v>
      </c>
      <c r="E10516" t="b">
        <v>0</v>
      </c>
      <c r="F10516" t="s">
        <v>11610</v>
      </c>
      <c r="L10516">
        <v>0</v>
      </c>
      <c r="M10516">
        <v>0</v>
      </c>
      <c r="N10516">
        <v>0</v>
      </c>
    </row>
    <row r="10517" spans="1:15">
      <c r="A10517" t="s">
        <v>38644</v>
      </c>
      <c r="B10517" t="s">
        <v>6742</v>
      </c>
      <c r="C10517" t="s">
        <v>24894</v>
      </c>
      <c r="D10517" t="s">
        <v>38645</v>
      </c>
      <c r="E10517" t="b">
        <v>0</v>
      </c>
      <c r="F10517" t="s">
        <v>11624</v>
      </c>
      <c r="G10517">
        <v>-17.9026</v>
      </c>
      <c r="H10517">
        <v>19.256</v>
      </c>
      <c r="I10517" t="s">
        <v>38646</v>
      </c>
      <c r="L10517">
        <v>0</v>
      </c>
      <c r="M10517">
        <v>0</v>
      </c>
      <c r="N10517">
        <v>1</v>
      </c>
      <c r="O10517" t="s">
        <v>37874</v>
      </c>
    </row>
    <row r="10518" spans="1:15">
      <c r="A10518" t="s">
        <v>38647</v>
      </c>
      <c r="B10518" t="s">
        <v>6742</v>
      </c>
      <c r="C10518" t="s">
        <v>38648</v>
      </c>
      <c r="D10518" t="s">
        <v>38649</v>
      </c>
      <c r="E10518" t="b">
        <v>0</v>
      </c>
      <c r="F10518" t="s">
        <v>11610</v>
      </c>
      <c r="L10518">
        <v>0</v>
      </c>
      <c r="M10518">
        <v>0</v>
      </c>
      <c r="N10518">
        <v>0</v>
      </c>
    </row>
    <row r="10519" spans="1:15">
      <c r="A10519" t="s">
        <v>38650</v>
      </c>
      <c r="B10519" t="s">
        <v>6742</v>
      </c>
      <c r="C10519" t="s">
        <v>38648</v>
      </c>
      <c r="D10519" t="s">
        <v>38651</v>
      </c>
      <c r="E10519" t="b">
        <v>0</v>
      </c>
      <c r="F10519" t="s">
        <v>11610</v>
      </c>
      <c r="L10519">
        <v>0</v>
      </c>
      <c r="M10519">
        <v>0</v>
      </c>
      <c r="N10519">
        <v>0</v>
      </c>
    </row>
    <row r="10520" spans="1:15">
      <c r="A10520" t="s">
        <v>38652</v>
      </c>
      <c r="B10520" t="s">
        <v>6742</v>
      </c>
      <c r="C10520" t="s">
        <v>20361</v>
      </c>
      <c r="D10520" t="s">
        <v>38653</v>
      </c>
      <c r="E10520" t="b">
        <v>0</v>
      </c>
      <c r="F10520" t="s">
        <v>11624</v>
      </c>
      <c r="G10520">
        <v>6.3029299999999999</v>
      </c>
      <c r="H10520">
        <v>11.693099999999999</v>
      </c>
      <c r="I10520" t="s">
        <v>38654</v>
      </c>
      <c r="L10520">
        <v>0</v>
      </c>
      <c r="M10520">
        <v>0</v>
      </c>
      <c r="N10520">
        <v>3</v>
      </c>
      <c r="O10520" t="s">
        <v>11703</v>
      </c>
    </row>
    <row r="10521" spans="1:15">
      <c r="A10521" t="s">
        <v>38655</v>
      </c>
      <c r="B10521" t="s">
        <v>6742</v>
      </c>
      <c r="C10521" t="s">
        <v>19704</v>
      </c>
      <c r="D10521" t="s">
        <v>38656</v>
      </c>
      <c r="E10521" t="b">
        <v>0</v>
      </c>
      <c r="F10521" t="s">
        <v>11610</v>
      </c>
      <c r="L10521">
        <v>0</v>
      </c>
      <c r="M10521">
        <v>0</v>
      </c>
      <c r="N10521">
        <v>0</v>
      </c>
    </row>
    <row r="10522" spans="1:15">
      <c r="A10522" t="s">
        <v>14190</v>
      </c>
      <c r="B10522" t="s">
        <v>11705</v>
      </c>
      <c r="C10522" t="s">
        <v>38657</v>
      </c>
      <c r="D10522" t="s">
        <v>38658</v>
      </c>
      <c r="E10522" t="b">
        <v>0</v>
      </c>
      <c r="F10522" t="s">
        <v>11624</v>
      </c>
      <c r="G10522">
        <v>-3.7426300000000001</v>
      </c>
      <c r="H10522">
        <v>142.71100000000001</v>
      </c>
      <c r="I10522" t="s">
        <v>38659</v>
      </c>
      <c r="L10522">
        <v>0</v>
      </c>
      <c r="M10522">
        <v>0</v>
      </c>
      <c r="N10522">
        <v>4</v>
      </c>
      <c r="O10522" t="s">
        <v>11660</v>
      </c>
    </row>
    <row r="10523" spans="1:15">
      <c r="A10523" t="s">
        <v>13119</v>
      </c>
      <c r="B10523" t="s">
        <v>11607</v>
      </c>
      <c r="C10523" t="s">
        <v>26417</v>
      </c>
      <c r="D10523" t="s">
        <v>38660</v>
      </c>
      <c r="E10523" t="b">
        <v>0</v>
      </c>
      <c r="F10523" t="s">
        <v>11624</v>
      </c>
      <c r="G10523">
        <v>10.1181</v>
      </c>
      <c r="H10523">
        <v>16.512899999999998</v>
      </c>
      <c r="I10523" t="s">
        <v>38661</v>
      </c>
      <c r="L10523">
        <v>0</v>
      </c>
      <c r="M10523">
        <v>0</v>
      </c>
      <c r="N10523">
        <v>8</v>
      </c>
      <c r="O10523" t="s">
        <v>13421</v>
      </c>
    </row>
    <row r="10524" spans="1:15">
      <c r="A10524" t="s">
        <v>38657</v>
      </c>
      <c r="B10524" t="s">
        <v>11705</v>
      </c>
      <c r="C10524" t="s">
        <v>38662</v>
      </c>
      <c r="D10524" t="s">
        <v>38663</v>
      </c>
      <c r="E10524" t="b">
        <v>0</v>
      </c>
      <c r="F10524" t="s">
        <v>11622</v>
      </c>
      <c r="L10524">
        <v>0</v>
      </c>
      <c r="M10524">
        <v>2</v>
      </c>
      <c r="N10524">
        <v>4</v>
      </c>
    </row>
    <row r="10525" spans="1:15">
      <c r="A10525" t="s">
        <v>38664</v>
      </c>
      <c r="B10525" t="s">
        <v>6742</v>
      </c>
      <c r="C10525" t="s">
        <v>38665</v>
      </c>
      <c r="D10525" t="s">
        <v>38666</v>
      </c>
      <c r="E10525" t="b">
        <v>0</v>
      </c>
      <c r="F10525" t="s">
        <v>11622</v>
      </c>
      <c r="L10525">
        <v>0</v>
      </c>
      <c r="M10525">
        <v>2</v>
      </c>
      <c r="N10525">
        <v>4</v>
      </c>
    </row>
    <row r="10526" spans="1:15">
      <c r="A10526" t="s">
        <v>24894</v>
      </c>
      <c r="B10526" t="s">
        <v>6742</v>
      </c>
      <c r="C10526" t="s">
        <v>23042</v>
      </c>
      <c r="D10526" t="s">
        <v>38667</v>
      </c>
      <c r="E10526" t="b">
        <v>0</v>
      </c>
      <c r="F10526" t="s">
        <v>11622</v>
      </c>
      <c r="L10526">
        <v>0</v>
      </c>
      <c r="M10526">
        <v>2</v>
      </c>
      <c r="N10526">
        <v>1</v>
      </c>
    </row>
    <row r="10527" spans="1:15">
      <c r="A10527" t="s">
        <v>38668</v>
      </c>
      <c r="B10527" t="s">
        <v>6742</v>
      </c>
      <c r="C10527" t="s">
        <v>23041</v>
      </c>
      <c r="D10527" t="s">
        <v>38669</v>
      </c>
      <c r="E10527" t="b">
        <v>0</v>
      </c>
      <c r="F10527" t="s">
        <v>11624</v>
      </c>
      <c r="G10527">
        <v>-13.80147</v>
      </c>
      <c r="H10527">
        <v>13.11922</v>
      </c>
      <c r="I10527" t="s">
        <v>38670</v>
      </c>
      <c r="L10527">
        <v>0</v>
      </c>
      <c r="M10527">
        <v>0</v>
      </c>
      <c r="N10527">
        <v>0</v>
      </c>
      <c r="O10527" t="s">
        <v>19290</v>
      </c>
    </row>
    <row r="10528" spans="1:15">
      <c r="A10528" t="s">
        <v>38671</v>
      </c>
      <c r="B10528" t="s">
        <v>367</v>
      </c>
      <c r="C10528" t="s">
        <v>30064</v>
      </c>
      <c r="D10528" t="s">
        <v>38672</v>
      </c>
      <c r="E10528" t="b">
        <v>0</v>
      </c>
      <c r="F10528" t="s">
        <v>11624</v>
      </c>
      <c r="G10528">
        <v>-8.75779</v>
      </c>
      <c r="H10528">
        <v>160.804</v>
      </c>
      <c r="I10528" t="s">
        <v>38673</v>
      </c>
      <c r="L10528">
        <v>0</v>
      </c>
      <c r="M10528">
        <v>0</v>
      </c>
      <c r="N10528">
        <v>0</v>
      </c>
      <c r="O10528" t="s">
        <v>13346</v>
      </c>
    </row>
    <row r="10529" spans="1:15">
      <c r="A10529" t="s">
        <v>38674</v>
      </c>
      <c r="B10529" t="s">
        <v>11607</v>
      </c>
      <c r="C10529" t="s">
        <v>18792</v>
      </c>
      <c r="D10529" t="s">
        <v>38675</v>
      </c>
      <c r="E10529" t="b">
        <v>0</v>
      </c>
      <c r="F10529" t="s">
        <v>11610</v>
      </c>
      <c r="L10529">
        <v>0</v>
      </c>
      <c r="M10529">
        <v>0</v>
      </c>
      <c r="N10529">
        <v>0</v>
      </c>
    </row>
    <row r="10530" spans="1:15">
      <c r="A10530" t="s">
        <v>38676</v>
      </c>
      <c r="B10530" t="s">
        <v>6742</v>
      </c>
      <c r="C10530" t="s">
        <v>30436</v>
      </c>
      <c r="D10530" t="s">
        <v>38677</v>
      </c>
      <c r="E10530" t="b">
        <v>0</v>
      </c>
      <c r="F10530" t="s">
        <v>11624</v>
      </c>
      <c r="G10530">
        <v>2.3935399999999998</v>
      </c>
      <c r="H10530">
        <v>10.081200000000001</v>
      </c>
      <c r="I10530" t="s">
        <v>38678</v>
      </c>
      <c r="L10530">
        <v>0</v>
      </c>
      <c r="M10530">
        <v>0</v>
      </c>
      <c r="N10530">
        <v>3</v>
      </c>
      <c r="O10530" t="s">
        <v>17341</v>
      </c>
    </row>
    <row r="10531" spans="1:15">
      <c r="A10531" t="s">
        <v>38679</v>
      </c>
      <c r="B10531" t="s">
        <v>367</v>
      </c>
      <c r="C10531" t="s">
        <v>38680</v>
      </c>
      <c r="D10531" t="s">
        <v>38681</v>
      </c>
      <c r="E10531" t="b">
        <v>0</v>
      </c>
      <c r="F10531" t="s">
        <v>11610</v>
      </c>
      <c r="L10531">
        <v>0</v>
      </c>
      <c r="M10531">
        <v>0</v>
      </c>
      <c r="N10531">
        <v>0</v>
      </c>
    </row>
    <row r="10532" spans="1:15">
      <c r="A10532" t="s">
        <v>38682</v>
      </c>
      <c r="B10532" t="s">
        <v>11615</v>
      </c>
      <c r="C10532" t="s">
        <v>25442</v>
      </c>
      <c r="D10532" t="s">
        <v>38683</v>
      </c>
      <c r="E10532" t="b">
        <v>0</v>
      </c>
      <c r="F10532" t="s">
        <v>11624</v>
      </c>
      <c r="G10532">
        <v>-5.5379899999999997</v>
      </c>
      <c r="H10532">
        <v>145.62899999999999</v>
      </c>
      <c r="I10532" t="s">
        <v>38684</v>
      </c>
      <c r="L10532">
        <v>0</v>
      </c>
      <c r="M10532">
        <v>0</v>
      </c>
      <c r="N10532">
        <v>0</v>
      </c>
      <c r="O10532" t="s">
        <v>11660</v>
      </c>
    </row>
    <row r="10533" spans="1:15">
      <c r="A10533" t="s">
        <v>35223</v>
      </c>
      <c r="B10533" t="s">
        <v>6742</v>
      </c>
      <c r="C10533" t="s">
        <v>31013</v>
      </c>
      <c r="D10533" t="s">
        <v>38685</v>
      </c>
      <c r="E10533" t="b">
        <v>0</v>
      </c>
      <c r="F10533" t="s">
        <v>11622</v>
      </c>
      <c r="L10533">
        <v>1</v>
      </c>
      <c r="M10533">
        <v>3</v>
      </c>
      <c r="N10533">
        <v>0</v>
      </c>
    </row>
    <row r="10534" spans="1:15">
      <c r="A10534" t="s">
        <v>38686</v>
      </c>
      <c r="B10534" t="s">
        <v>23233</v>
      </c>
      <c r="C10534" t="s">
        <v>23247</v>
      </c>
      <c r="D10534" t="s">
        <v>38687</v>
      </c>
      <c r="E10534" t="b">
        <v>0</v>
      </c>
      <c r="F10534" t="s">
        <v>11624</v>
      </c>
      <c r="G10534">
        <v>30.048999999999999</v>
      </c>
      <c r="H10534">
        <v>-115.386</v>
      </c>
      <c r="L10534">
        <v>0</v>
      </c>
      <c r="M10534">
        <v>0</v>
      </c>
      <c r="N10534">
        <v>0</v>
      </c>
      <c r="O10534" t="s">
        <v>11883</v>
      </c>
    </row>
    <row r="10535" spans="1:15">
      <c r="A10535" t="s">
        <v>28255</v>
      </c>
      <c r="B10535" t="s">
        <v>6742</v>
      </c>
      <c r="C10535" t="s">
        <v>18018</v>
      </c>
      <c r="D10535" t="s">
        <v>38688</v>
      </c>
      <c r="E10535" t="b">
        <v>0</v>
      </c>
      <c r="F10535" t="s">
        <v>11622</v>
      </c>
      <c r="L10535">
        <v>42</v>
      </c>
      <c r="M10535">
        <v>81</v>
      </c>
      <c r="N10535">
        <v>120</v>
      </c>
    </row>
    <row r="10536" spans="1:15">
      <c r="A10536" t="s">
        <v>38689</v>
      </c>
      <c r="B10536" t="s">
        <v>6742</v>
      </c>
      <c r="C10536" t="s">
        <v>50</v>
      </c>
      <c r="D10536" t="s">
        <v>38690</v>
      </c>
      <c r="E10536" t="b">
        <v>0</v>
      </c>
      <c r="F10536" t="s">
        <v>11610</v>
      </c>
      <c r="L10536">
        <v>0</v>
      </c>
      <c r="M10536">
        <v>0</v>
      </c>
      <c r="N10536">
        <v>0</v>
      </c>
    </row>
    <row r="10537" spans="1:15">
      <c r="A10537" t="s">
        <v>38691</v>
      </c>
      <c r="B10537" t="s">
        <v>6742</v>
      </c>
      <c r="C10537" t="s">
        <v>33598</v>
      </c>
      <c r="D10537" t="s">
        <v>38692</v>
      </c>
      <c r="E10537" t="b">
        <v>0</v>
      </c>
      <c r="F10537" t="s">
        <v>11624</v>
      </c>
      <c r="G10537">
        <v>-1.8073699999999999</v>
      </c>
      <c r="H10537">
        <v>33.71</v>
      </c>
      <c r="I10537" t="s">
        <v>38693</v>
      </c>
      <c r="L10537">
        <v>0</v>
      </c>
      <c r="M10537">
        <v>0</v>
      </c>
      <c r="N10537">
        <v>1</v>
      </c>
      <c r="O10537" t="s">
        <v>11635</v>
      </c>
    </row>
    <row r="10538" spans="1:15">
      <c r="A10538" t="s">
        <v>38694</v>
      </c>
      <c r="B10538" t="s">
        <v>13967</v>
      </c>
      <c r="C10538" t="s">
        <v>21519</v>
      </c>
      <c r="D10538" t="s">
        <v>38695</v>
      </c>
      <c r="E10538" t="b">
        <v>0</v>
      </c>
      <c r="F10538" t="s">
        <v>11610</v>
      </c>
      <c r="L10538">
        <v>0</v>
      </c>
      <c r="M10538">
        <v>0</v>
      </c>
      <c r="N10538">
        <v>0</v>
      </c>
    </row>
    <row r="10539" spans="1:15">
      <c r="A10539" t="s">
        <v>38696</v>
      </c>
      <c r="B10539" t="s">
        <v>6742</v>
      </c>
      <c r="C10539" t="s">
        <v>3984</v>
      </c>
      <c r="D10539" t="s">
        <v>38697</v>
      </c>
      <c r="E10539" t="b">
        <v>0</v>
      </c>
      <c r="F10539" t="s">
        <v>11610</v>
      </c>
      <c r="L10539">
        <v>0</v>
      </c>
      <c r="M10539">
        <v>0</v>
      </c>
      <c r="N10539">
        <v>0</v>
      </c>
    </row>
    <row r="10540" spans="1:15">
      <c r="A10540" t="s">
        <v>38698</v>
      </c>
      <c r="D10540" t="s">
        <v>38699</v>
      </c>
      <c r="E10540" t="b">
        <v>0</v>
      </c>
      <c r="F10540" t="s">
        <v>11624</v>
      </c>
      <c r="G10540">
        <v>-11.666700000000001</v>
      </c>
      <c r="H10540">
        <v>-61.183300000000003</v>
      </c>
      <c r="I10540" t="s">
        <v>38700</v>
      </c>
      <c r="L10540">
        <v>0</v>
      </c>
      <c r="M10540">
        <v>0</v>
      </c>
      <c r="N10540">
        <v>0</v>
      </c>
      <c r="O10540" t="s">
        <v>11969</v>
      </c>
    </row>
    <row r="10541" spans="1:15">
      <c r="A10541" t="s">
        <v>38701</v>
      </c>
      <c r="B10541" t="s">
        <v>15569</v>
      </c>
      <c r="C10541" t="s">
        <v>38702</v>
      </c>
      <c r="D10541" t="s">
        <v>38703</v>
      </c>
      <c r="E10541" t="b">
        <v>0</v>
      </c>
      <c r="F10541" t="s">
        <v>11624</v>
      </c>
      <c r="G10541">
        <v>5.4041600000000001</v>
      </c>
      <c r="H10541">
        <v>36.170200000000001</v>
      </c>
      <c r="I10541" t="s">
        <v>38704</v>
      </c>
      <c r="L10541">
        <v>0</v>
      </c>
      <c r="M10541">
        <v>0</v>
      </c>
      <c r="N10541">
        <v>2</v>
      </c>
      <c r="O10541" t="s">
        <v>11625</v>
      </c>
    </row>
    <row r="10542" spans="1:15">
      <c r="A10542" t="s">
        <v>38705</v>
      </c>
      <c r="B10542" t="s">
        <v>6742</v>
      </c>
      <c r="C10542" t="s">
        <v>1745</v>
      </c>
      <c r="D10542" t="s">
        <v>38706</v>
      </c>
      <c r="E10542" t="b">
        <v>0</v>
      </c>
      <c r="F10542" t="s">
        <v>11610</v>
      </c>
      <c r="L10542">
        <v>0</v>
      </c>
      <c r="M10542">
        <v>0</v>
      </c>
      <c r="N10542">
        <v>0</v>
      </c>
    </row>
    <row r="10543" spans="1:15">
      <c r="A10543" t="s">
        <v>38707</v>
      </c>
      <c r="B10543" t="s">
        <v>6742</v>
      </c>
      <c r="C10543" t="s">
        <v>32891</v>
      </c>
      <c r="D10543" t="s">
        <v>38708</v>
      </c>
      <c r="E10543" t="b">
        <v>0</v>
      </c>
      <c r="F10543" t="s">
        <v>11610</v>
      </c>
      <c r="L10543">
        <v>0</v>
      </c>
      <c r="M10543">
        <v>0</v>
      </c>
      <c r="N10543">
        <v>0</v>
      </c>
    </row>
    <row r="10544" spans="1:15">
      <c r="A10544" t="s">
        <v>38709</v>
      </c>
      <c r="B10544" t="s">
        <v>367</v>
      </c>
      <c r="C10544" t="s">
        <v>38710</v>
      </c>
      <c r="D10544" t="s">
        <v>38711</v>
      </c>
      <c r="E10544" t="b">
        <v>0</v>
      </c>
      <c r="F10544" t="s">
        <v>11610</v>
      </c>
      <c r="L10544">
        <v>0</v>
      </c>
      <c r="M10544">
        <v>0</v>
      </c>
      <c r="N10544">
        <v>0</v>
      </c>
    </row>
    <row r="10545" spans="1:15">
      <c r="A10545" t="s">
        <v>38712</v>
      </c>
      <c r="B10545" t="s">
        <v>12557</v>
      </c>
      <c r="C10545" t="s">
        <v>12557</v>
      </c>
      <c r="D10545" t="s">
        <v>38713</v>
      </c>
      <c r="E10545" t="b">
        <v>0</v>
      </c>
      <c r="F10545" t="s">
        <v>11622</v>
      </c>
      <c r="L10545">
        <v>2</v>
      </c>
      <c r="M10545">
        <v>7</v>
      </c>
      <c r="N10545">
        <v>3</v>
      </c>
    </row>
    <row r="10546" spans="1:15">
      <c r="A10546" t="s">
        <v>12557</v>
      </c>
      <c r="D10546" t="s">
        <v>38714</v>
      </c>
      <c r="E10546" t="b">
        <v>0</v>
      </c>
      <c r="F10546" t="s">
        <v>11622</v>
      </c>
      <c r="L10546">
        <v>3</v>
      </c>
      <c r="M10546">
        <v>8</v>
      </c>
      <c r="N10546">
        <v>5</v>
      </c>
    </row>
    <row r="10547" spans="1:15">
      <c r="A10547" t="s">
        <v>38715</v>
      </c>
      <c r="B10547" t="s">
        <v>6742</v>
      </c>
      <c r="C10547" t="s">
        <v>21897</v>
      </c>
      <c r="D10547" t="s">
        <v>38716</v>
      </c>
      <c r="E10547" t="b">
        <v>0</v>
      </c>
      <c r="F10547" t="s">
        <v>11624</v>
      </c>
      <c r="G10547">
        <v>-6.5066600000000001</v>
      </c>
      <c r="H10547">
        <v>38.444899999999997</v>
      </c>
      <c r="I10547" t="s">
        <v>38717</v>
      </c>
      <c r="L10547">
        <v>0</v>
      </c>
      <c r="M10547">
        <v>0</v>
      </c>
      <c r="N10547">
        <v>0</v>
      </c>
      <c r="O10547" t="s">
        <v>11635</v>
      </c>
    </row>
    <row r="10548" spans="1:15">
      <c r="A10548" t="s">
        <v>15882</v>
      </c>
      <c r="B10548" t="s">
        <v>12557</v>
      </c>
      <c r="C10548" t="s">
        <v>38712</v>
      </c>
      <c r="D10548" t="s">
        <v>38718</v>
      </c>
      <c r="E10548" t="b">
        <v>0</v>
      </c>
      <c r="F10548" t="s">
        <v>11622</v>
      </c>
      <c r="L10548">
        <v>0</v>
      </c>
      <c r="M10548">
        <v>5</v>
      </c>
      <c r="N10548">
        <v>3</v>
      </c>
    </row>
    <row r="10549" spans="1:15">
      <c r="A10549" t="s">
        <v>38719</v>
      </c>
      <c r="B10549" t="s">
        <v>12557</v>
      </c>
      <c r="C10549" t="s">
        <v>15882</v>
      </c>
      <c r="D10549" t="s">
        <v>38720</v>
      </c>
      <c r="E10549" t="b">
        <v>0</v>
      </c>
      <c r="F10549" t="s">
        <v>11624</v>
      </c>
      <c r="G10549">
        <v>-2.5645699999999998</v>
      </c>
      <c r="H10549">
        <v>138.43600000000001</v>
      </c>
      <c r="I10549" t="s">
        <v>38721</v>
      </c>
      <c r="L10549">
        <v>0</v>
      </c>
      <c r="M10549">
        <v>0</v>
      </c>
      <c r="N10549">
        <v>0</v>
      </c>
      <c r="O10549" t="s">
        <v>11768</v>
      </c>
    </row>
    <row r="10550" spans="1:15">
      <c r="A10550" t="s">
        <v>38722</v>
      </c>
      <c r="B10550" t="s">
        <v>15365</v>
      </c>
      <c r="C10550" t="s">
        <v>25374</v>
      </c>
      <c r="D10550" t="s">
        <v>38723</v>
      </c>
      <c r="E10550" t="b">
        <v>0</v>
      </c>
      <c r="F10550" t="s">
        <v>11624</v>
      </c>
      <c r="G10550">
        <v>-2.9914499999999999</v>
      </c>
      <c r="H10550">
        <v>138.13499999999999</v>
      </c>
      <c r="I10550" t="s">
        <v>38724</v>
      </c>
      <c r="L10550">
        <v>0</v>
      </c>
      <c r="M10550">
        <v>0</v>
      </c>
      <c r="N10550">
        <v>0</v>
      </c>
      <c r="O10550" t="s">
        <v>11768</v>
      </c>
    </row>
    <row r="10551" spans="1:15">
      <c r="A10551" t="s">
        <v>38725</v>
      </c>
      <c r="B10551" t="s">
        <v>11615</v>
      </c>
      <c r="C10551" t="s">
        <v>20549</v>
      </c>
      <c r="D10551" t="s">
        <v>38726</v>
      </c>
      <c r="E10551" t="b">
        <v>0</v>
      </c>
      <c r="F10551" t="s">
        <v>11624</v>
      </c>
      <c r="G10551">
        <v>-5.0200800000000001</v>
      </c>
      <c r="H10551">
        <v>140.012</v>
      </c>
      <c r="I10551" t="s">
        <v>38727</v>
      </c>
      <c r="L10551">
        <v>0</v>
      </c>
      <c r="M10551">
        <v>0</v>
      </c>
      <c r="N10551">
        <v>0</v>
      </c>
      <c r="O10551" t="s">
        <v>11768</v>
      </c>
    </row>
    <row r="10552" spans="1:15">
      <c r="A10552" t="s">
        <v>37399</v>
      </c>
      <c r="B10552" t="s">
        <v>11615</v>
      </c>
      <c r="C10552" t="s">
        <v>38728</v>
      </c>
      <c r="D10552" t="s">
        <v>38729</v>
      </c>
      <c r="E10552" t="b">
        <v>0</v>
      </c>
      <c r="F10552" t="s">
        <v>11622</v>
      </c>
      <c r="L10552">
        <v>1</v>
      </c>
      <c r="M10552">
        <v>3</v>
      </c>
      <c r="N10552">
        <v>2</v>
      </c>
    </row>
    <row r="10553" spans="1:15">
      <c r="A10553" t="s">
        <v>20549</v>
      </c>
      <c r="B10553" t="s">
        <v>11615</v>
      </c>
      <c r="C10553" t="s">
        <v>37399</v>
      </c>
      <c r="D10553" t="s">
        <v>38730</v>
      </c>
      <c r="E10553" t="b">
        <v>0</v>
      </c>
      <c r="F10553" t="s">
        <v>11622</v>
      </c>
      <c r="L10553">
        <v>0</v>
      </c>
      <c r="M10553">
        <v>2</v>
      </c>
      <c r="N10553">
        <v>0</v>
      </c>
    </row>
    <row r="10554" spans="1:15">
      <c r="A10554" t="s">
        <v>38731</v>
      </c>
      <c r="B10554" t="s">
        <v>6742</v>
      </c>
      <c r="C10554" t="s">
        <v>38732</v>
      </c>
      <c r="D10554" t="s">
        <v>38733</v>
      </c>
      <c r="E10554" t="b">
        <v>0</v>
      </c>
      <c r="F10554" t="s">
        <v>11624</v>
      </c>
      <c r="G10554">
        <v>-5.6044499999999999</v>
      </c>
      <c r="H10554">
        <v>18.575900000000001</v>
      </c>
      <c r="I10554" t="s">
        <v>38734</v>
      </c>
      <c r="L10554">
        <v>0</v>
      </c>
      <c r="M10554">
        <v>0</v>
      </c>
      <c r="N10554">
        <v>0</v>
      </c>
      <c r="O10554" t="s">
        <v>14825</v>
      </c>
    </row>
    <row r="10555" spans="1:15">
      <c r="A10555" t="s">
        <v>38735</v>
      </c>
      <c r="B10555" t="s">
        <v>16947</v>
      </c>
      <c r="C10555" t="s">
        <v>18101</v>
      </c>
      <c r="D10555" t="s">
        <v>38736</v>
      </c>
      <c r="E10555" t="b">
        <v>0</v>
      </c>
      <c r="F10555" t="s">
        <v>11624</v>
      </c>
      <c r="G10555">
        <v>-2.0362200000000001</v>
      </c>
      <c r="H10555">
        <v>138.85300000000001</v>
      </c>
      <c r="I10555" t="s">
        <v>38737</v>
      </c>
      <c r="L10555">
        <v>0</v>
      </c>
      <c r="M10555">
        <v>0</v>
      </c>
      <c r="N10555">
        <v>0</v>
      </c>
      <c r="O10555" t="s">
        <v>11768</v>
      </c>
    </row>
    <row r="10556" spans="1:15">
      <c r="A10556" t="s">
        <v>38738</v>
      </c>
      <c r="B10556" t="s">
        <v>15146</v>
      </c>
      <c r="C10556" t="s">
        <v>15146</v>
      </c>
      <c r="D10556" t="s">
        <v>38739</v>
      </c>
      <c r="E10556" t="b">
        <v>0</v>
      </c>
      <c r="F10556" t="s">
        <v>11622</v>
      </c>
      <c r="L10556">
        <v>0</v>
      </c>
      <c r="M10556">
        <v>5</v>
      </c>
      <c r="N10556">
        <v>6</v>
      </c>
    </row>
    <row r="10557" spans="1:15">
      <c r="A10557" t="s">
        <v>24859</v>
      </c>
      <c r="B10557" t="s">
        <v>6742</v>
      </c>
      <c r="C10557" t="s">
        <v>19335</v>
      </c>
      <c r="D10557" t="s">
        <v>38740</v>
      </c>
      <c r="E10557" t="b">
        <v>0</v>
      </c>
      <c r="F10557" t="s">
        <v>11622</v>
      </c>
      <c r="L10557">
        <v>1</v>
      </c>
      <c r="M10557">
        <v>3</v>
      </c>
      <c r="N10557">
        <v>1</v>
      </c>
    </row>
    <row r="10558" spans="1:15">
      <c r="A10558" t="s">
        <v>38741</v>
      </c>
      <c r="B10558" t="s">
        <v>6742</v>
      </c>
      <c r="C10558" t="s">
        <v>19335</v>
      </c>
      <c r="D10558" t="s">
        <v>38742</v>
      </c>
      <c r="E10558" t="b">
        <v>0</v>
      </c>
      <c r="F10558" t="s">
        <v>11622</v>
      </c>
      <c r="L10558">
        <v>1</v>
      </c>
      <c r="M10558">
        <v>4</v>
      </c>
      <c r="N10558">
        <v>4</v>
      </c>
    </row>
    <row r="10559" spans="1:15">
      <c r="A10559" t="s">
        <v>38743</v>
      </c>
      <c r="B10559" t="s">
        <v>1588</v>
      </c>
      <c r="C10559" t="s">
        <v>28045</v>
      </c>
      <c r="D10559" t="s">
        <v>38744</v>
      </c>
      <c r="E10559" t="b">
        <v>0</v>
      </c>
      <c r="F10559" t="s">
        <v>11624</v>
      </c>
      <c r="G10559">
        <v>-14.2515</v>
      </c>
      <c r="H10559">
        <v>126.562</v>
      </c>
      <c r="I10559" t="s">
        <v>38745</v>
      </c>
      <c r="L10559">
        <v>0</v>
      </c>
      <c r="M10559">
        <v>0</v>
      </c>
      <c r="N10559">
        <v>0</v>
      </c>
      <c r="O10559" t="s">
        <v>12107</v>
      </c>
    </row>
    <row r="10560" spans="1:15">
      <c r="A10560" t="s">
        <v>38746</v>
      </c>
      <c r="B10560" t="s">
        <v>16947</v>
      </c>
      <c r="C10560" t="s">
        <v>18175</v>
      </c>
      <c r="D10560" t="s">
        <v>38747</v>
      </c>
      <c r="E10560" t="b">
        <v>0</v>
      </c>
      <c r="F10560" t="s">
        <v>11624</v>
      </c>
      <c r="I10560" t="s">
        <v>38748</v>
      </c>
      <c r="L10560">
        <v>0</v>
      </c>
      <c r="M10560">
        <v>0</v>
      </c>
      <c r="N10560">
        <v>0</v>
      </c>
      <c r="O10560" t="s">
        <v>11768</v>
      </c>
    </row>
    <row r="10561" spans="1:15">
      <c r="A10561" t="s">
        <v>38749</v>
      </c>
      <c r="B10561" t="s">
        <v>11637</v>
      </c>
      <c r="C10561" t="s">
        <v>38750</v>
      </c>
      <c r="D10561" t="s">
        <v>38751</v>
      </c>
      <c r="E10561" t="b">
        <v>0</v>
      </c>
      <c r="F10561" t="s">
        <v>11624</v>
      </c>
      <c r="G10561">
        <v>5.1322999999999999</v>
      </c>
      <c r="H10561">
        <v>-56.126600000000003</v>
      </c>
      <c r="I10561" t="s">
        <v>38752</v>
      </c>
      <c r="L10561">
        <v>0</v>
      </c>
      <c r="M10561">
        <v>0</v>
      </c>
      <c r="N10561">
        <v>0</v>
      </c>
      <c r="O10561" t="s">
        <v>12857</v>
      </c>
    </row>
    <row r="10562" spans="1:15">
      <c r="A10562" t="s">
        <v>38753</v>
      </c>
      <c r="B10562" t="s">
        <v>12241</v>
      </c>
      <c r="C10562" t="s">
        <v>12241</v>
      </c>
      <c r="D10562" t="s">
        <v>38754</v>
      </c>
      <c r="E10562" t="b">
        <v>0</v>
      </c>
      <c r="F10562" t="s">
        <v>11624</v>
      </c>
      <c r="L10562">
        <v>0</v>
      </c>
      <c r="M10562">
        <v>0</v>
      </c>
      <c r="N10562">
        <v>0</v>
      </c>
      <c r="O10562" t="s">
        <v>19290</v>
      </c>
    </row>
    <row r="10563" spans="1:15">
      <c r="A10563" t="s">
        <v>38755</v>
      </c>
      <c r="B10563" t="s">
        <v>11607</v>
      </c>
      <c r="C10563" t="s">
        <v>15388</v>
      </c>
      <c r="D10563" t="s">
        <v>38756</v>
      </c>
      <c r="E10563" t="b">
        <v>0</v>
      </c>
      <c r="F10563" t="s">
        <v>11610</v>
      </c>
      <c r="L10563">
        <v>0</v>
      </c>
      <c r="M10563">
        <v>0</v>
      </c>
      <c r="N10563">
        <v>0</v>
      </c>
    </row>
    <row r="10564" spans="1:15">
      <c r="A10564" t="s">
        <v>38757</v>
      </c>
      <c r="B10564" t="s">
        <v>11705</v>
      </c>
      <c r="C10564" t="s">
        <v>38662</v>
      </c>
      <c r="D10564" t="s">
        <v>38758</v>
      </c>
      <c r="E10564" t="b">
        <v>0</v>
      </c>
      <c r="F10564" t="s">
        <v>11624</v>
      </c>
      <c r="G10564">
        <v>-4.0872099999999998</v>
      </c>
      <c r="H10564">
        <v>142.66399999999999</v>
      </c>
      <c r="I10564" t="s">
        <v>38759</v>
      </c>
      <c r="L10564">
        <v>0</v>
      </c>
      <c r="M10564">
        <v>0</v>
      </c>
      <c r="N10564">
        <v>0</v>
      </c>
      <c r="O10564" t="s">
        <v>11660</v>
      </c>
    </row>
    <row r="10565" spans="1:15">
      <c r="A10565" t="s">
        <v>26973</v>
      </c>
      <c r="D10565" t="s">
        <v>38760</v>
      </c>
      <c r="E10565" t="b">
        <v>0</v>
      </c>
      <c r="F10565" t="s">
        <v>11622</v>
      </c>
      <c r="L10565">
        <v>0</v>
      </c>
      <c r="M10565">
        <v>2</v>
      </c>
      <c r="N10565">
        <v>2</v>
      </c>
    </row>
    <row r="10566" spans="1:15">
      <c r="A10566" t="s">
        <v>38761</v>
      </c>
      <c r="B10566" t="s">
        <v>13450</v>
      </c>
      <c r="C10566" t="s">
        <v>38762</v>
      </c>
      <c r="D10566" t="s">
        <v>38763</v>
      </c>
      <c r="E10566" t="b">
        <v>0</v>
      </c>
      <c r="F10566" t="s">
        <v>11624</v>
      </c>
      <c r="G10566">
        <v>-4.0722759999999996</v>
      </c>
      <c r="H10566">
        <v>142.84276299999999</v>
      </c>
      <c r="L10566">
        <v>0</v>
      </c>
      <c r="M10566">
        <v>0</v>
      </c>
      <c r="N10566">
        <v>0</v>
      </c>
      <c r="O10566" t="s">
        <v>11660</v>
      </c>
    </row>
    <row r="10567" spans="1:15">
      <c r="A10567" t="s">
        <v>38764</v>
      </c>
      <c r="B10567" t="s">
        <v>11607</v>
      </c>
      <c r="C10567" t="s">
        <v>38765</v>
      </c>
      <c r="D10567" t="s">
        <v>38766</v>
      </c>
      <c r="E10567" t="b">
        <v>0</v>
      </c>
      <c r="F10567" t="s">
        <v>11610</v>
      </c>
      <c r="L10567">
        <v>0</v>
      </c>
      <c r="M10567">
        <v>0</v>
      </c>
      <c r="N10567">
        <v>0</v>
      </c>
    </row>
    <row r="10568" spans="1:15">
      <c r="A10568" t="s">
        <v>38767</v>
      </c>
      <c r="B10568" t="s">
        <v>13411</v>
      </c>
      <c r="C10568" t="s">
        <v>19145</v>
      </c>
      <c r="D10568" t="s">
        <v>38768</v>
      </c>
      <c r="E10568" t="b">
        <v>0</v>
      </c>
      <c r="F10568" t="s">
        <v>11610</v>
      </c>
      <c r="L10568">
        <v>0</v>
      </c>
      <c r="M10568">
        <v>0</v>
      </c>
      <c r="N10568">
        <v>0</v>
      </c>
    </row>
    <row r="10569" spans="1:15">
      <c r="A10569" t="s">
        <v>12738</v>
      </c>
      <c r="D10569" t="s">
        <v>38769</v>
      </c>
      <c r="E10569" t="b">
        <v>0</v>
      </c>
      <c r="F10569" t="s">
        <v>11622</v>
      </c>
      <c r="L10569">
        <v>1</v>
      </c>
      <c r="M10569">
        <v>5</v>
      </c>
      <c r="N10569">
        <v>5</v>
      </c>
    </row>
    <row r="10570" spans="1:15">
      <c r="A10570" t="s">
        <v>38770</v>
      </c>
      <c r="B10570" t="s">
        <v>11627</v>
      </c>
      <c r="C10570" t="s">
        <v>11627</v>
      </c>
      <c r="D10570" t="s">
        <v>38771</v>
      </c>
      <c r="E10570" t="b">
        <v>1</v>
      </c>
      <c r="F10570" t="s">
        <v>11624</v>
      </c>
      <c r="G10570">
        <v>-21.055399999999999</v>
      </c>
      <c r="H10570">
        <v>21.179300000000001</v>
      </c>
      <c r="I10570" t="s">
        <v>38772</v>
      </c>
      <c r="L10570">
        <v>0</v>
      </c>
      <c r="M10570">
        <v>0</v>
      </c>
      <c r="N10570">
        <v>0</v>
      </c>
      <c r="O10570" t="s">
        <v>31019</v>
      </c>
    </row>
    <row r="10571" spans="1:15">
      <c r="A10571" t="s">
        <v>38773</v>
      </c>
      <c r="B10571" t="s">
        <v>15146</v>
      </c>
      <c r="C10571" t="s">
        <v>15147</v>
      </c>
      <c r="D10571" t="s">
        <v>38774</v>
      </c>
      <c r="E10571" t="b">
        <v>0</v>
      </c>
      <c r="F10571" t="s">
        <v>11610</v>
      </c>
      <c r="L10571">
        <v>0</v>
      </c>
      <c r="M10571">
        <v>0</v>
      </c>
      <c r="N10571">
        <v>0</v>
      </c>
    </row>
    <row r="10572" spans="1:15">
      <c r="A10572" t="s">
        <v>13924</v>
      </c>
      <c r="B10572" t="s">
        <v>4236</v>
      </c>
      <c r="C10572" t="s">
        <v>38775</v>
      </c>
      <c r="D10572" t="s">
        <v>38776</v>
      </c>
      <c r="E10572" t="b">
        <v>0</v>
      </c>
      <c r="F10572" t="s">
        <v>11622</v>
      </c>
      <c r="L10572">
        <v>0</v>
      </c>
      <c r="M10572">
        <v>2</v>
      </c>
      <c r="N10572">
        <v>6</v>
      </c>
    </row>
    <row r="10573" spans="1:15">
      <c r="A10573" t="s">
        <v>13929</v>
      </c>
      <c r="B10573" t="s">
        <v>4236</v>
      </c>
      <c r="C10573" t="s">
        <v>13924</v>
      </c>
      <c r="D10573" t="s">
        <v>38777</v>
      </c>
      <c r="E10573" t="b">
        <v>0</v>
      </c>
      <c r="F10573" t="s">
        <v>11624</v>
      </c>
      <c r="G10573">
        <v>-16.590509999999998</v>
      </c>
      <c r="H10573">
        <v>22.599834999999999</v>
      </c>
      <c r="I10573" t="s">
        <v>38778</v>
      </c>
      <c r="L10573">
        <v>0</v>
      </c>
      <c r="M10573">
        <v>0</v>
      </c>
      <c r="N10573">
        <v>6</v>
      </c>
      <c r="O10573" t="s">
        <v>38779</v>
      </c>
    </row>
    <row r="10574" spans="1:15">
      <c r="A10574" t="s">
        <v>38780</v>
      </c>
      <c r="B10574" t="s">
        <v>4236</v>
      </c>
      <c r="C10574" t="s">
        <v>13929</v>
      </c>
      <c r="D10574" t="s">
        <v>38781</v>
      </c>
      <c r="E10574" t="b">
        <v>0</v>
      </c>
      <c r="F10574" t="s">
        <v>11610</v>
      </c>
      <c r="L10574">
        <v>0</v>
      </c>
      <c r="M10574">
        <v>0</v>
      </c>
      <c r="N10574">
        <v>0</v>
      </c>
    </row>
    <row r="10575" spans="1:15">
      <c r="A10575" t="s">
        <v>38782</v>
      </c>
      <c r="B10575" t="s">
        <v>11637</v>
      </c>
      <c r="C10575" t="s">
        <v>16777</v>
      </c>
      <c r="D10575" t="s">
        <v>38783</v>
      </c>
      <c r="E10575" t="b">
        <v>0</v>
      </c>
      <c r="F10575" t="s">
        <v>11610</v>
      </c>
      <c r="L10575">
        <v>0</v>
      </c>
      <c r="M10575">
        <v>0</v>
      </c>
      <c r="N10575">
        <v>0</v>
      </c>
    </row>
    <row r="10576" spans="1:15">
      <c r="A10576" t="s">
        <v>38784</v>
      </c>
      <c r="B10576" t="s">
        <v>6742</v>
      </c>
      <c r="C10576" t="s">
        <v>16391</v>
      </c>
      <c r="D10576" t="s">
        <v>38785</v>
      </c>
      <c r="E10576" t="b">
        <v>0</v>
      </c>
      <c r="F10576" t="s">
        <v>11624</v>
      </c>
      <c r="G10576">
        <v>9.5152400000000004</v>
      </c>
      <c r="H10576">
        <v>11.278499999999999</v>
      </c>
      <c r="I10576" t="s">
        <v>38786</v>
      </c>
      <c r="L10576">
        <v>0</v>
      </c>
      <c r="M10576">
        <v>0</v>
      </c>
      <c r="N10576">
        <v>0</v>
      </c>
      <c r="O10576" t="s">
        <v>11693</v>
      </c>
    </row>
    <row r="10577" spans="1:15">
      <c r="A10577" t="s">
        <v>38787</v>
      </c>
      <c r="B10577" t="s">
        <v>11615</v>
      </c>
      <c r="C10577" t="s">
        <v>27213</v>
      </c>
      <c r="D10577" t="s">
        <v>38788</v>
      </c>
      <c r="E10577" t="b">
        <v>0</v>
      </c>
      <c r="F10577" t="s">
        <v>11624</v>
      </c>
      <c r="G10577">
        <v>-5.5246199999999996</v>
      </c>
      <c r="H10577">
        <v>144.119</v>
      </c>
      <c r="I10577" t="s">
        <v>38789</v>
      </c>
      <c r="L10577">
        <v>0</v>
      </c>
      <c r="M10577">
        <v>0</v>
      </c>
      <c r="N10577">
        <v>0</v>
      </c>
      <c r="O10577" t="s">
        <v>11660</v>
      </c>
    </row>
    <row r="10578" spans="1:15">
      <c r="A10578" t="s">
        <v>38790</v>
      </c>
      <c r="B10578" t="s">
        <v>6742</v>
      </c>
      <c r="C10578" t="s">
        <v>13331</v>
      </c>
      <c r="D10578" t="s">
        <v>38791</v>
      </c>
      <c r="E10578" t="b">
        <v>0</v>
      </c>
      <c r="F10578" t="s">
        <v>11610</v>
      </c>
      <c r="L10578">
        <v>0</v>
      </c>
      <c r="M10578">
        <v>0</v>
      </c>
      <c r="N10578">
        <v>0</v>
      </c>
    </row>
    <row r="10579" spans="1:15">
      <c r="A10579" t="s">
        <v>38792</v>
      </c>
      <c r="B10579" t="s">
        <v>11644</v>
      </c>
      <c r="C10579" t="s">
        <v>17138</v>
      </c>
      <c r="D10579" t="s">
        <v>38793</v>
      </c>
      <c r="E10579" t="b">
        <v>0</v>
      </c>
      <c r="F10579" t="s">
        <v>11610</v>
      </c>
      <c r="L10579">
        <v>0</v>
      </c>
      <c r="M10579">
        <v>0</v>
      </c>
      <c r="N10579">
        <v>0</v>
      </c>
    </row>
    <row r="10580" spans="1:15">
      <c r="A10580" t="s">
        <v>38794</v>
      </c>
      <c r="B10580" t="s">
        <v>13276</v>
      </c>
      <c r="C10580" t="s">
        <v>19193</v>
      </c>
      <c r="D10580" t="s">
        <v>38795</v>
      </c>
      <c r="E10580" t="b">
        <v>0</v>
      </c>
      <c r="F10580" t="s">
        <v>11622</v>
      </c>
      <c r="L10580">
        <v>0</v>
      </c>
      <c r="M10580">
        <v>2</v>
      </c>
      <c r="N10580">
        <v>0</v>
      </c>
    </row>
    <row r="10581" spans="1:15">
      <c r="A10581" t="s">
        <v>38796</v>
      </c>
      <c r="B10581" t="s">
        <v>13276</v>
      </c>
      <c r="C10581" t="s">
        <v>38794</v>
      </c>
      <c r="D10581" t="s">
        <v>38797</v>
      </c>
      <c r="E10581" t="b">
        <v>0</v>
      </c>
      <c r="F10581" t="s">
        <v>11624</v>
      </c>
      <c r="G10581">
        <v>11.5953</v>
      </c>
      <c r="H10581">
        <v>3.5865100000000001</v>
      </c>
      <c r="I10581" t="s">
        <v>38798</v>
      </c>
      <c r="L10581">
        <v>0</v>
      </c>
      <c r="M10581">
        <v>0</v>
      </c>
      <c r="N10581">
        <v>0</v>
      </c>
      <c r="O10581" t="s">
        <v>15587</v>
      </c>
    </row>
    <row r="10582" spans="1:15">
      <c r="A10582" t="s">
        <v>38799</v>
      </c>
      <c r="B10582" t="s">
        <v>18921</v>
      </c>
      <c r="C10582" t="s">
        <v>20405</v>
      </c>
      <c r="D10582" t="s">
        <v>38800</v>
      </c>
      <c r="E10582" t="b">
        <v>0</v>
      </c>
      <c r="F10582" t="s">
        <v>11624</v>
      </c>
      <c r="G10582">
        <v>-4.6696400000000002</v>
      </c>
      <c r="H10582">
        <v>143.85499999999999</v>
      </c>
      <c r="I10582" t="s">
        <v>38801</v>
      </c>
      <c r="L10582">
        <v>0</v>
      </c>
      <c r="M10582">
        <v>0</v>
      </c>
      <c r="N10582">
        <v>0</v>
      </c>
      <c r="O10582" t="s">
        <v>11660</v>
      </c>
    </row>
    <row r="10583" spans="1:15">
      <c r="A10583" t="s">
        <v>38802</v>
      </c>
      <c r="B10583" t="s">
        <v>11644</v>
      </c>
      <c r="C10583" t="s">
        <v>30426</v>
      </c>
      <c r="D10583" t="s">
        <v>38803</v>
      </c>
      <c r="E10583" t="b">
        <v>0</v>
      </c>
      <c r="F10583" t="s">
        <v>11624</v>
      </c>
      <c r="G10583">
        <v>28.292200000000001</v>
      </c>
      <c r="H10583">
        <v>85.425700000000006</v>
      </c>
      <c r="I10583" t="s">
        <v>38804</v>
      </c>
      <c r="L10583">
        <v>0</v>
      </c>
      <c r="M10583">
        <v>0</v>
      </c>
      <c r="N10583">
        <v>0</v>
      </c>
      <c r="O10583" t="s">
        <v>16899</v>
      </c>
    </row>
    <row r="10584" spans="1:15">
      <c r="A10584" t="s">
        <v>30427</v>
      </c>
      <c r="B10584" t="s">
        <v>11644</v>
      </c>
      <c r="C10584" t="s">
        <v>25165</v>
      </c>
      <c r="D10584" t="s">
        <v>38805</v>
      </c>
      <c r="E10584" t="b">
        <v>0</v>
      </c>
      <c r="F10584" t="s">
        <v>11622</v>
      </c>
      <c r="L10584">
        <v>2</v>
      </c>
      <c r="M10584">
        <v>5</v>
      </c>
      <c r="N10584">
        <v>10</v>
      </c>
    </row>
    <row r="10585" spans="1:15">
      <c r="A10585" t="s">
        <v>38806</v>
      </c>
      <c r="B10585" t="s">
        <v>11644</v>
      </c>
      <c r="C10585" t="s">
        <v>24871</v>
      </c>
      <c r="D10585" t="s">
        <v>38807</v>
      </c>
      <c r="E10585" t="b">
        <v>0</v>
      </c>
      <c r="F10585" t="s">
        <v>11610</v>
      </c>
      <c r="L10585">
        <v>0</v>
      </c>
      <c r="M10585">
        <v>0</v>
      </c>
      <c r="N10585">
        <v>0</v>
      </c>
    </row>
    <row r="10586" spans="1:15">
      <c r="A10586" t="s">
        <v>38808</v>
      </c>
      <c r="B10586" t="s">
        <v>11644</v>
      </c>
      <c r="C10586" t="s">
        <v>38809</v>
      </c>
      <c r="D10586" t="s">
        <v>38810</v>
      </c>
      <c r="E10586" t="b">
        <v>0</v>
      </c>
      <c r="F10586" t="s">
        <v>11610</v>
      </c>
      <c r="L10586">
        <v>0</v>
      </c>
      <c r="M10586">
        <v>0</v>
      </c>
      <c r="N10586">
        <v>0</v>
      </c>
    </row>
    <row r="10587" spans="1:15">
      <c r="A10587" t="s">
        <v>38811</v>
      </c>
      <c r="B10587" t="s">
        <v>11644</v>
      </c>
      <c r="C10587" t="s">
        <v>38809</v>
      </c>
      <c r="D10587" t="s">
        <v>38812</v>
      </c>
      <c r="E10587" t="b">
        <v>0</v>
      </c>
      <c r="F10587" t="s">
        <v>11610</v>
      </c>
      <c r="L10587">
        <v>0</v>
      </c>
      <c r="M10587">
        <v>0</v>
      </c>
      <c r="N10587">
        <v>0</v>
      </c>
    </row>
    <row r="10588" spans="1:15">
      <c r="A10588" t="s">
        <v>38813</v>
      </c>
      <c r="B10588" t="s">
        <v>22388</v>
      </c>
      <c r="C10588" t="s">
        <v>232</v>
      </c>
      <c r="D10588" t="s">
        <v>38814</v>
      </c>
      <c r="E10588" t="b">
        <v>0</v>
      </c>
      <c r="F10588" t="s">
        <v>11610</v>
      </c>
      <c r="L10588">
        <v>0</v>
      </c>
      <c r="M10588">
        <v>0</v>
      </c>
      <c r="N10588">
        <v>0</v>
      </c>
    </row>
    <row r="10589" spans="1:15">
      <c r="A10589" t="s">
        <v>38815</v>
      </c>
      <c r="B10589" t="s">
        <v>11644</v>
      </c>
      <c r="C10589" t="s">
        <v>38809</v>
      </c>
      <c r="D10589" t="s">
        <v>38816</v>
      </c>
      <c r="E10589" t="b">
        <v>0</v>
      </c>
      <c r="F10589" t="s">
        <v>11610</v>
      </c>
      <c r="L10589">
        <v>0</v>
      </c>
      <c r="M10589">
        <v>0</v>
      </c>
      <c r="N10589">
        <v>0</v>
      </c>
    </row>
    <row r="10590" spans="1:15">
      <c r="A10590" t="s">
        <v>29307</v>
      </c>
      <c r="B10590" t="s">
        <v>4342</v>
      </c>
      <c r="C10590" t="s">
        <v>16774</v>
      </c>
      <c r="D10590" t="s">
        <v>38817</v>
      </c>
      <c r="E10590" t="b">
        <v>0</v>
      </c>
      <c r="F10590" t="s">
        <v>11610</v>
      </c>
      <c r="L10590">
        <v>0</v>
      </c>
      <c r="M10590">
        <v>0</v>
      </c>
      <c r="N10590">
        <v>3</v>
      </c>
    </row>
    <row r="10591" spans="1:15">
      <c r="A10591" t="s">
        <v>38818</v>
      </c>
      <c r="B10591" t="s">
        <v>11644</v>
      </c>
      <c r="C10591" t="s">
        <v>38809</v>
      </c>
      <c r="D10591" t="s">
        <v>38819</v>
      </c>
      <c r="E10591" t="b">
        <v>0</v>
      </c>
      <c r="F10591" t="s">
        <v>11610</v>
      </c>
      <c r="L10591">
        <v>0</v>
      </c>
      <c r="M10591">
        <v>0</v>
      </c>
      <c r="N10591">
        <v>0</v>
      </c>
    </row>
    <row r="10592" spans="1:15">
      <c r="A10592" t="s">
        <v>38820</v>
      </c>
      <c r="B10592" t="s">
        <v>6742</v>
      </c>
      <c r="C10592" t="s">
        <v>32585</v>
      </c>
      <c r="D10592" t="s">
        <v>38821</v>
      </c>
      <c r="E10592" t="b">
        <v>0</v>
      </c>
      <c r="F10592" t="s">
        <v>11610</v>
      </c>
      <c r="L10592">
        <v>0</v>
      </c>
      <c r="M10592">
        <v>0</v>
      </c>
      <c r="N10592">
        <v>0</v>
      </c>
    </row>
    <row r="10593" spans="1:15">
      <c r="A10593" t="s">
        <v>38822</v>
      </c>
      <c r="B10593" t="s">
        <v>11637</v>
      </c>
      <c r="C10593" t="s">
        <v>12777</v>
      </c>
      <c r="D10593" t="s">
        <v>38823</v>
      </c>
      <c r="E10593" t="b">
        <v>0</v>
      </c>
      <c r="F10593" t="s">
        <v>11610</v>
      </c>
      <c r="L10593">
        <v>0</v>
      </c>
      <c r="M10593">
        <v>0</v>
      </c>
      <c r="N10593">
        <v>0</v>
      </c>
    </row>
    <row r="10594" spans="1:15">
      <c r="A10594" t="s">
        <v>31063</v>
      </c>
      <c r="B10594" t="s">
        <v>4342</v>
      </c>
      <c r="C10594" t="s">
        <v>4314</v>
      </c>
      <c r="D10594" t="s">
        <v>38824</v>
      </c>
      <c r="E10594" t="b">
        <v>0</v>
      </c>
      <c r="F10594" t="s">
        <v>11610</v>
      </c>
      <c r="L10594">
        <v>0</v>
      </c>
      <c r="M10594">
        <v>0</v>
      </c>
      <c r="N10594">
        <v>21</v>
      </c>
    </row>
    <row r="10595" spans="1:15">
      <c r="A10595" t="s">
        <v>38825</v>
      </c>
      <c r="B10595" t="s">
        <v>331</v>
      </c>
      <c r="C10595" t="s">
        <v>5794</v>
      </c>
      <c r="D10595" t="s">
        <v>38826</v>
      </c>
      <c r="E10595" t="b">
        <v>0</v>
      </c>
      <c r="F10595" t="s">
        <v>11610</v>
      </c>
      <c r="L10595">
        <v>0</v>
      </c>
      <c r="M10595">
        <v>0</v>
      </c>
      <c r="N10595">
        <v>0</v>
      </c>
    </row>
    <row r="10596" spans="1:15">
      <c r="A10596" t="s">
        <v>38827</v>
      </c>
      <c r="B10596" t="s">
        <v>331</v>
      </c>
      <c r="C10596" t="s">
        <v>16318</v>
      </c>
      <c r="D10596" t="s">
        <v>38828</v>
      </c>
      <c r="E10596" t="b">
        <v>0</v>
      </c>
      <c r="F10596" t="s">
        <v>11610</v>
      </c>
      <c r="L10596">
        <v>0</v>
      </c>
      <c r="M10596">
        <v>0</v>
      </c>
      <c r="N10596">
        <v>0</v>
      </c>
    </row>
    <row r="10597" spans="1:15">
      <c r="A10597" t="s">
        <v>38829</v>
      </c>
      <c r="B10597" t="s">
        <v>12438</v>
      </c>
      <c r="C10597" t="s">
        <v>27246</v>
      </c>
      <c r="D10597" t="s">
        <v>38830</v>
      </c>
      <c r="E10597" t="b">
        <v>0</v>
      </c>
      <c r="F10597" t="s">
        <v>11610</v>
      </c>
      <c r="L10597">
        <v>0</v>
      </c>
      <c r="M10597">
        <v>0</v>
      </c>
      <c r="N10597">
        <v>0</v>
      </c>
    </row>
    <row r="10598" spans="1:15">
      <c r="A10598" t="s">
        <v>38831</v>
      </c>
      <c r="B10598" t="s">
        <v>38832</v>
      </c>
      <c r="C10598" t="s">
        <v>38832</v>
      </c>
      <c r="D10598" t="s">
        <v>38833</v>
      </c>
      <c r="E10598" t="b">
        <v>0</v>
      </c>
      <c r="F10598" t="s">
        <v>11610</v>
      </c>
      <c r="L10598">
        <v>0</v>
      </c>
      <c r="M10598">
        <v>0</v>
      </c>
      <c r="N10598">
        <v>0</v>
      </c>
    </row>
    <row r="10599" spans="1:15">
      <c r="A10599" t="s">
        <v>38834</v>
      </c>
      <c r="B10599" t="s">
        <v>6742</v>
      </c>
      <c r="C10599" t="s">
        <v>19967</v>
      </c>
      <c r="D10599" t="s">
        <v>38835</v>
      </c>
      <c r="E10599" t="b">
        <v>0</v>
      </c>
      <c r="F10599" t="s">
        <v>11624</v>
      </c>
      <c r="G10599">
        <v>11.6524</v>
      </c>
      <c r="H10599">
        <v>-3.1773500000000001</v>
      </c>
      <c r="I10599" t="s">
        <v>38836</v>
      </c>
      <c r="L10599">
        <v>0</v>
      </c>
      <c r="M10599">
        <v>0</v>
      </c>
      <c r="N10599">
        <v>0</v>
      </c>
      <c r="O10599" t="s">
        <v>19305</v>
      </c>
    </row>
    <row r="10600" spans="1:15">
      <c r="A10600" t="s">
        <v>38832</v>
      </c>
      <c r="D10600" t="s">
        <v>38837</v>
      </c>
      <c r="E10600" t="b">
        <v>0</v>
      </c>
      <c r="F10600" t="s">
        <v>11624</v>
      </c>
      <c r="G10600">
        <v>10.0063</v>
      </c>
      <c r="H10600">
        <v>17.6143</v>
      </c>
      <c r="I10600" t="s">
        <v>38838</v>
      </c>
      <c r="L10600">
        <v>0</v>
      </c>
      <c r="M10600">
        <v>0</v>
      </c>
      <c r="N10600">
        <v>2</v>
      </c>
      <c r="O10600" t="s">
        <v>13421</v>
      </c>
    </row>
    <row r="10601" spans="1:15">
      <c r="A10601" t="s">
        <v>38839</v>
      </c>
      <c r="B10601" t="s">
        <v>6742</v>
      </c>
      <c r="C10601" t="s">
        <v>38840</v>
      </c>
      <c r="D10601" t="s">
        <v>38841</v>
      </c>
      <c r="E10601" t="b">
        <v>0</v>
      </c>
      <c r="F10601" t="s">
        <v>11622</v>
      </c>
      <c r="L10601">
        <v>1</v>
      </c>
      <c r="M10601">
        <v>3</v>
      </c>
      <c r="N10601">
        <v>0</v>
      </c>
    </row>
    <row r="10602" spans="1:15">
      <c r="A10602" t="s">
        <v>38842</v>
      </c>
      <c r="B10602" t="s">
        <v>6742</v>
      </c>
      <c r="C10602" t="s">
        <v>38839</v>
      </c>
      <c r="D10602" t="s">
        <v>38843</v>
      </c>
      <c r="E10602" t="b">
        <v>0</v>
      </c>
      <c r="F10602" t="s">
        <v>11622</v>
      </c>
      <c r="L10602">
        <v>0</v>
      </c>
      <c r="M10602">
        <v>2</v>
      </c>
      <c r="N10602">
        <v>0</v>
      </c>
    </row>
    <row r="10603" spans="1:15">
      <c r="A10603" t="s">
        <v>29115</v>
      </c>
      <c r="B10603" t="s">
        <v>6742</v>
      </c>
      <c r="C10603" t="s">
        <v>25291</v>
      </c>
      <c r="D10603" t="s">
        <v>38844</v>
      </c>
      <c r="E10603" t="b">
        <v>0</v>
      </c>
      <c r="F10603" t="s">
        <v>11624</v>
      </c>
      <c r="G10603">
        <v>-4.25</v>
      </c>
      <c r="H10603">
        <v>14.9</v>
      </c>
      <c r="I10603" t="s">
        <v>38845</v>
      </c>
      <c r="L10603">
        <v>0</v>
      </c>
      <c r="M10603">
        <v>0</v>
      </c>
      <c r="N10603">
        <v>1</v>
      </c>
      <c r="O10603" t="s">
        <v>37366</v>
      </c>
    </row>
    <row r="10604" spans="1:15">
      <c r="A10604" t="s">
        <v>38846</v>
      </c>
      <c r="B10604" t="s">
        <v>11627</v>
      </c>
      <c r="C10604" t="s">
        <v>11627</v>
      </c>
      <c r="D10604" t="s">
        <v>38847</v>
      </c>
      <c r="E10604" t="b">
        <v>1</v>
      </c>
      <c r="F10604" t="s">
        <v>11624</v>
      </c>
      <c r="G10604">
        <v>1.66675</v>
      </c>
      <c r="H10604">
        <v>127.583</v>
      </c>
      <c r="I10604" t="s">
        <v>38848</v>
      </c>
      <c r="L10604">
        <v>0</v>
      </c>
      <c r="M10604">
        <v>0</v>
      </c>
      <c r="N10604">
        <v>0</v>
      </c>
      <c r="O10604" t="s">
        <v>11768</v>
      </c>
    </row>
    <row r="10605" spans="1:15">
      <c r="A10605" t="s">
        <v>32340</v>
      </c>
      <c r="B10605" t="s">
        <v>367</v>
      </c>
      <c r="C10605" t="s">
        <v>38849</v>
      </c>
      <c r="D10605" t="s">
        <v>38850</v>
      </c>
      <c r="E10605" t="b">
        <v>0</v>
      </c>
      <c r="F10605" t="s">
        <v>11610</v>
      </c>
      <c r="L10605">
        <v>0</v>
      </c>
      <c r="M10605">
        <v>0</v>
      </c>
      <c r="N10605">
        <v>3</v>
      </c>
    </row>
    <row r="10606" spans="1:15">
      <c r="A10606" t="s">
        <v>38851</v>
      </c>
      <c r="B10606" t="s">
        <v>367</v>
      </c>
      <c r="C10606" t="s">
        <v>18628</v>
      </c>
      <c r="D10606" t="s">
        <v>38852</v>
      </c>
      <c r="E10606" t="b">
        <v>0</v>
      </c>
      <c r="F10606" t="s">
        <v>11624</v>
      </c>
      <c r="G10606">
        <v>-4.4697100000000001</v>
      </c>
      <c r="H10606">
        <v>152.678</v>
      </c>
      <c r="I10606" t="s">
        <v>38853</v>
      </c>
      <c r="L10606">
        <v>0</v>
      </c>
      <c r="M10606">
        <v>0</v>
      </c>
      <c r="N10606">
        <v>0</v>
      </c>
      <c r="O10606" t="s">
        <v>11660</v>
      </c>
    </row>
    <row r="10607" spans="1:15">
      <c r="A10607" t="s">
        <v>38854</v>
      </c>
      <c r="B10607" t="s">
        <v>367</v>
      </c>
      <c r="C10607" t="s">
        <v>15343</v>
      </c>
      <c r="D10607" t="s">
        <v>38855</v>
      </c>
      <c r="E10607" t="b">
        <v>0</v>
      </c>
      <c r="F10607" t="s">
        <v>11610</v>
      </c>
      <c r="L10607">
        <v>0</v>
      </c>
      <c r="M10607">
        <v>0</v>
      </c>
      <c r="N10607">
        <v>0</v>
      </c>
    </row>
    <row r="10608" spans="1:15">
      <c r="A10608" t="s">
        <v>18628</v>
      </c>
      <c r="B10608" t="s">
        <v>367</v>
      </c>
      <c r="C10608" t="s">
        <v>34759</v>
      </c>
      <c r="D10608" t="s">
        <v>38856</v>
      </c>
      <c r="E10608" t="b">
        <v>0</v>
      </c>
      <c r="F10608" t="s">
        <v>11622</v>
      </c>
      <c r="L10608">
        <v>0</v>
      </c>
      <c r="M10608">
        <v>2</v>
      </c>
      <c r="N10608">
        <v>0</v>
      </c>
    </row>
    <row r="10609" spans="1:15">
      <c r="A10609" t="s">
        <v>38857</v>
      </c>
      <c r="B10609" t="s">
        <v>12128</v>
      </c>
      <c r="C10609" t="s">
        <v>12295</v>
      </c>
      <c r="D10609" t="s">
        <v>38858</v>
      </c>
      <c r="E10609" t="b">
        <v>0</v>
      </c>
      <c r="F10609" t="s">
        <v>11624</v>
      </c>
      <c r="G10609">
        <v>7.8581700000000003</v>
      </c>
      <c r="H10609">
        <v>15.2895</v>
      </c>
      <c r="I10609" t="s">
        <v>38859</v>
      </c>
      <c r="L10609">
        <v>0</v>
      </c>
      <c r="M10609">
        <v>0</v>
      </c>
      <c r="N10609">
        <v>0</v>
      </c>
      <c r="O10609" t="s">
        <v>11703</v>
      </c>
    </row>
    <row r="10610" spans="1:15">
      <c r="A10610" t="s">
        <v>38860</v>
      </c>
      <c r="B10610" t="s">
        <v>6742</v>
      </c>
      <c r="C10610" t="s">
        <v>25495</v>
      </c>
      <c r="D10610" t="s">
        <v>38861</v>
      </c>
      <c r="E10610" t="b">
        <v>0</v>
      </c>
      <c r="F10610" t="s">
        <v>11624</v>
      </c>
      <c r="G10610">
        <v>10.4847</v>
      </c>
      <c r="H10610">
        <v>9.5952699999999993</v>
      </c>
      <c r="I10610" t="s">
        <v>38862</v>
      </c>
      <c r="L10610">
        <v>0</v>
      </c>
      <c r="M10610">
        <v>0</v>
      </c>
      <c r="N10610">
        <v>0</v>
      </c>
      <c r="O10610" t="s">
        <v>11693</v>
      </c>
    </row>
    <row r="10611" spans="1:15">
      <c r="A10611" t="s">
        <v>38863</v>
      </c>
      <c r="B10611" t="s">
        <v>4725</v>
      </c>
      <c r="C10611" t="s">
        <v>17287</v>
      </c>
      <c r="D10611" t="s">
        <v>38864</v>
      </c>
      <c r="E10611" t="b">
        <v>0</v>
      </c>
      <c r="F10611" t="s">
        <v>11610</v>
      </c>
      <c r="L10611">
        <v>0</v>
      </c>
      <c r="M10611">
        <v>0</v>
      </c>
      <c r="N10611">
        <v>0</v>
      </c>
    </row>
    <row r="10612" spans="1:15">
      <c r="A10612" t="s">
        <v>38865</v>
      </c>
      <c r="B10612" t="s">
        <v>11644</v>
      </c>
      <c r="C10612" t="s">
        <v>13931</v>
      </c>
      <c r="D10612" t="s">
        <v>38866</v>
      </c>
      <c r="E10612" t="b">
        <v>0</v>
      </c>
      <c r="F10612" t="s">
        <v>11624</v>
      </c>
      <c r="G10612">
        <v>23.9</v>
      </c>
      <c r="H10612">
        <v>103.4</v>
      </c>
      <c r="I10612" t="s">
        <v>38867</v>
      </c>
      <c r="L10612">
        <v>0</v>
      </c>
      <c r="M10612">
        <v>0</v>
      </c>
      <c r="N10612">
        <v>0</v>
      </c>
      <c r="O10612" t="s">
        <v>11905</v>
      </c>
    </row>
    <row r="10613" spans="1:15">
      <c r="A10613" t="s">
        <v>38868</v>
      </c>
      <c r="B10613" t="s">
        <v>367</v>
      </c>
      <c r="C10613" t="s">
        <v>38869</v>
      </c>
      <c r="D10613" t="s">
        <v>38870</v>
      </c>
      <c r="E10613" t="b">
        <v>0</v>
      </c>
      <c r="F10613" t="s">
        <v>11624</v>
      </c>
      <c r="G10613">
        <v>-16.429099999999998</v>
      </c>
      <c r="H10613">
        <v>167.44200000000001</v>
      </c>
      <c r="I10613" t="s">
        <v>38871</v>
      </c>
      <c r="L10613">
        <v>0</v>
      </c>
      <c r="M10613">
        <v>0</v>
      </c>
      <c r="N10613">
        <v>0</v>
      </c>
      <c r="O10613" t="s">
        <v>12719</v>
      </c>
    </row>
    <row r="10614" spans="1:15">
      <c r="A10614" t="s">
        <v>38872</v>
      </c>
      <c r="B10614" t="s">
        <v>11644</v>
      </c>
      <c r="C10614" t="s">
        <v>33595</v>
      </c>
      <c r="D10614" t="s">
        <v>38873</v>
      </c>
      <c r="E10614" t="b">
        <v>0</v>
      </c>
      <c r="F10614" t="s">
        <v>11610</v>
      </c>
      <c r="L10614">
        <v>0</v>
      </c>
      <c r="M10614">
        <v>0</v>
      </c>
      <c r="N10614">
        <v>0</v>
      </c>
    </row>
    <row r="10615" spans="1:15">
      <c r="A10615" t="s">
        <v>38874</v>
      </c>
      <c r="B10615" t="s">
        <v>13014</v>
      </c>
      <c r="C10615" t="s">
        <v>38875</v>
      </c>
      <c r="D10615" t="s">
        <v>38876</v>
      </c>
      <c r="E10615" t="b">
        <v>0</v>
      </c>
      <c r="F10615" t="s">
        <v>11610</v>
      </c>
      <c r="L10615">
        <v>0</v>
      </c>
      <c r="M10615">
        <v>0</v>
      </c>
      <c r="N10615">
        <v>0</v>
      </c>
    </row>
    <row r="10616" spans="1:15">
      <c r="A10616" t="s">
        <v>38877</v>
      </c>
      <c r="B10616" t="s">
        <v>11637</v>
      </c>
      <c r="C10616" t="s">
        <v>20988</v>
      </c>
      <c r="D10616" t="s">
        <v>38878</v>
      </c>
      <c r="E10616" t="b">
        <v>0</v>
      </c>
      <c r="F10616" t="s">
        <v>11610</v>
      </c>
      <c r="L10616">
        <v>0</v>
      </c>
      <c r="M10616">
        <v>0</v>
      </c>
      <c r="N10616">
        <v>0</v>
      </c>
    </row>
    <row r="10617" spans="1:15">
      <c r="A10617" t="s">
        <v>38879</v>
      </c>
      <c r="B10617" t="s">
        <v>367</v>
      </c>
      <c r="C10617" t="s">
        <v>20626</v>
      </c>
      <c r="D10617" t="s">
        <v>38880</v>
      </c>
      <c r="E10617" t="b">
        <v>0</v>
      </c>
      <c r="F10617" t="s">
        <v>11624</v>
      </c>
      <c r="G10617">
        <v>-6.75</v>
      </c>
      <c r="H10617">
        <v>146.90299999999999</v>
      </c>
      <c r="I10617" t="s">
        <v>38881</v>
      </c>
      <c r="L10617">
        <v>0</v>
      </c>
      <c r="M10617">
        <v>0</v>
      </c>
      <c r="N10617">
        <v>0</v>
      </c>
      <c r="O10617" t="s">
        <v>11660</v>
      </c>
    </row>
    <row r="10618" spans="1:15">
      <c r="A10618" t="s">
        <v>38882</v>
      </c>
      <c r="B10618" t="s">
        <v>367</v>
      </c>
      <c r="C10618" t="s">
        <v>25539</v>
      </c>
      <c r="D10618" t="s">
        <v>38883</v>
      </c>
      <c r="E10618" t="b">
        <v>0</v>
      </c>
      <c r="F10618" t="s">
        <v>11624</v>
      </c>
      <c r="G10618">
        <v>5.5192399999999999</v>
      </c>
      <c r="H10618">
        <v>117.50700000000001</v>
      </c>
      <c r="I10618" t="s">
        <v>38884</v>
      </c>
      <c r="L10618">
        <v>0</v>
      </c>
      <c r="M10618">
        <v>0</v>
      </c>
      <c r="N10618">
        <v>4</v>
      </c>
      <c r="O10618" t="s">
        <v>11672</v>
      </c>
    </row>
    <row r="10619" spans="1:15">
      <c r="A10619" t="s">
        <v>38885</v>
      </c>
      <c r="B10619" t="s">
        <v>367</v>
      </c>
      <c r="C10619" t="s">
        <v>38882</v>
      </c>
      <c r="D10619" t="s">
        <v>38886</v>
      </c>
      <c r="E10619" t="b">
        <v>0</v>
      </c>
      <c r="F10619" t="s">
        <v>11610</v>
      </c>
      <c r="L10619">
        <v>0</v>
      </c>
      <c r="M10619">
        <v>0</v>
      </c>
      <c r="N10619">
        <v>0</v>
      </c>
    </row>
    <row r="10620" spans="1:15">
      <c r="A10620" t="s">
        <v>38887</v>
      </c>
      <c r="B10620" t="s">
        <v>367</v>
      </c>
      <c r="C10620" t="s">
        <v>34420</v>
      </c>
      <c r="D10620" t="s">
        <v>38888</v>
      </c>
      <c r="E10620" t="b">
        <v>0</v>
      </c>
      <c r="F10620" t="s">
        <v>11610</v>
      </c>
      <c r="L10620">
        <v>0</v>
      </c>
      <c r="M10620">
        <v>0</v>
      </c>
      <c r="N10620">
        <v>0</v>
      </c>
    </row>
    <row r="10621" spans="1:15">
      <c r="A10621" t="s">
        <v>38889</v>
      </c>
      <c r="B10621" t="s">
        <v>367</v>
      </c>
      <c r="C10621" t="s">
        <v>4567</v>
      </c>
      <c r="D10621" t="s">
        <v>38890</v>
      </c>
      <c r="E10621" t="b">
        <v>0</v>
      </c>
      <c r="F10621" t="s">
        <v>11610</v>
      </c>
      <c r="L10621">
        <v>0</v>
      </c>
      <c r="M10621">
        <v>0</v>
      </c>
      <c r="N10621">
        <v>0</v>
      </c>
    </row>
    <row r="10622" spans="1:15">
      <c r="A10622" t="s">
        <v>38891</v>
      </c>
      <c r="B10622" t="s">
        <v>367</v>
      </c>
      <c r="C10622" t="s">
        <v>38892</v>
      </c>
      <c r="D10622" t="s">
        <v>38893</v>
      </c>
      <c r="E10622" t="b">
        <v>0</v>
      </c>
      <c r="F10622" t="s">
        <v>11610</v>
      </c>
      <c r="L10622">
        <v>0</v>
      </c>
      <c r="M10622">
        <v>0</v>
      </c>
      <c r="N10622">
        <v>0</v>
      </c>
    </row>
    <row r="10623" spans="1:15">
      <c r="A10623" t="s">
        <v>38894</v>
      </c>
      <c r="B10623" t="s">
        <v>11757</v>
      </c>
      <c r="C10623" t="s">
        <v>883</v>
      </c>
      <c r="D10623" t="s">
        <v>38895</v>
      </c>
      <c r="E10623" t="b">
        <v>0</v>
      </c>
      <c r="F10623" t="s">
        <v>11610</v>
      </c>
      <c r="G10623">
        <v>2.6999420000000001</v>
      </c>
      <c r="H10623">
        <v>33.657947</v>
      </c>
      <c r="I10623" t="s">
        <v>38896</v>
      </c>
      <c r="L10623">
        <v>0</v>
      </c>
      <c r="M10623">
        <v>0</v>
      </c>
      <c r="N10623">
        <v>0</v>
      </c>
    </row>
    <row r="10624" spans="1:15">
      <c r="A10624" t="s">
        <v>9729</v>
      </c>
      <c r="B10624" t="s">
        <v>5911</v>
      </c>
      <c r="C10624" t="s">
        <v>38897</v>
      </c>
      <c r="D10624" t="s">
        <v>38898</v>
      </c>
      <c r="E10624" t="b">
        <v>0</v>
      </c>
      <c r="F10624" t="s">
        <v>11624</v>
      </c>
      <c r="G10624">
        <v>17.02093</v>
      </c>
      <c r="H10624">
        <v>-91.423479999999998</v>
      </c>
      <c r="I10624" t="s">
        <v>9730</v>
      </c>
      <c r="L10624">
        <v>0</v>
      </c>
      <c r="M10624">
        <v>0</v>
      </c>
      <c r="N10624">
        <v>2</v>
      </c>
      <c r="O10624" t="s">
        <v>11883</v>
      </c>
    </row>
    <row r="10625" spans="1:15">
      <c r="A10625" t="s">
        <v>38899</v>
      </c>
      <c r="B10625" t="s">
        <v>5911</v>
      </c>
      <c r="C10625" t="s">
        <v>9729</v>
      </c>
      <c r="D10625" t="s">
        <v>38900</v>
      </c>
      <c r="E10625" t="b">
        <v>0</v>
      </c>
      <c r="F10625" t="s">
        <v>11610</v>
      </c>
      <c r="L10625">
        <v>0</v>
      </c>
      <c r="M10625">
        <v>0</v>
      </c>
      <c r="N10625">
        <v>0</v>
      </c>
    </row>
    <row r="10626" spans="1:15">
      <c r="A10626" t="s">
        <v>38901</v>
      </c>
      <c r="B10626" t="s">
        <v>12438</v>
      </c>
      <c r="C10626" t="s">
        <v>22562</v>
      </c>
      <c r="D10626" t="s">
        <v>38902</v>
      </c>
      <c r="E10626" t="b">
        <v>0</v>
      </c>
      <c r="F10626" t="s">
        <v>11610</v>
      </c>
      <c r="L10626">
        <v>0</v>
      </c>
      <c r="M10626">
        <v>0</v>
      </c>
      <c r="N10626">
        <v>0</v>
      </c>
    </row>
    <row r="10627" spans="1:15">
      <c r="A10627" t="s">
        <v>38903</v>
      </c>
      <c r="B10627" t="s">
        <v>11637</v>
      </c>
      <c r="C10627" t="s">
        <v>10626</v>
      </c>
      <c r="D10627" t="s">
        <v>38904</v>
      </c>
      <c r="E10627" t="b">
        <v>0</v>
      </c>
      <c r="F10627" t="s">
        <v>11610</v>
      </c>
      <c r="L10627">
        <v>0</v>
      </c>
      <c r="M10627">
        <v>0</v>
      </c>
      <c r="N10627">
        <v>0</v>
      </c>
    </row>
    <row r="10628" spans="1:15">
      <c r="A10628" t="s">
        <v>38905</v>
      </c>
      <c r="B10628" t="s">
        <v>5126</v>
      </c>
      <c r="C10628" t="s">
        <v>28999</v>
      </c>
      <c r="D10628" t="s">
        <v>38906</v>
      </c>
      <c r="E10628" t="b">
        <v>0</v>
      </c>
      <c r="F10628" t="s">
        <v>11622</v>
      </c>
      <c r="L10628">
        <v>0</v>
      </c>
      <c r="M10628">
        <v>2</v>
      </c>
      <c r="N10628">
        <v>2</v>
      </c>
    </row>
    <row r="10629" spans="1:15">
      <c r="A10629" t="s">
        <v>38907</v>
      </c>
      <c r="B10629" t="s">
        <v>5126</v>
      </c>
      <c r="C10629" t="s">
        <v>38905</v>
      </c>
      <c r="D10629" t="s">
        <v>38908</v>
      </c>
      <c r="E10629" t="b">
        <v>0</v>
      </c>
      <c r="F10629" t="s">
        <v>11624</v>
      </c>
      <c r="G10629">
        <v>22.854900000000001</v>
      </c>
      <c r="H10629">
        <v>104.776</v>
      </c>
      <c r="I10629" t="s">
        <v>38909</v>
      </c>
      <c r="L10629">
        <v>0</v>
      </c>
      <c r="M10629">
        <v>0</v>
      </c>
      <c r="N10629">
        <v>2</v>
      </c>
      <c r="O10629" t="s">
        <v>19781</v>
      </c>
    </row>
    <row r="10630" spans="1:15">
      <c r="A10630" t="s">
        <v>38910</v>
      </c>
      <c r="B10630" t="s">
        <v>11879</v>
      </c>
      <c r="C10630" t="s">
        <v>26996</v>
      </c>
      <c r="D10630" t="s">
        <v>38911</v>
      </c>
      <c r="E10630" t="b">
        <v>0</v>
      </c>
      <c r="F10630" t="s">
        <v>11624</v>
      </c>
      <c r="G10630">
        <v>16.721499999999999</v>
      </c>
      <c r="H10630">
        <v>-96.931799999999996</v>
      </c>
      <c r="I10630" t="s">
        <v>38912</v>
      </c>
      <c r="L10630">
        <v>0</v>
      </c>
      <c r="M10630">
        <v>0</v>
      </c>
      <c r="N10630">
        <v>0</v>
      </c>
      <c r="O10630" t="s">
        <v>11883</v>
      </c>
    </row>
    <row r="10631" spans="1:15">
      <c r="A10631" t="s">
        <v>38913</v>
      </c>
      <c r="B10631" t="s">
        <v>11879</v>
      </c>
      <c r="C10631" t="s">
        <v>14920</v>
      </c>
      <c r="D10631" t="s">
        <v>38914</v>
      </c>
      <c r="E10631" t="b">
        <v>0</v>
      </c>
      <c r="F10631" t="s">
        <v>11624</v>
      </c>
      <c r="G10631">
        <v>16.577200000000001</v>
      </c>
      <c r="H10631">
        <v>-95.536699999999996</v>
      </c>
      <c r="I10631" t="s">
        <v>38915</v>
      </c>
      <c r="L10631">
        <v>0</v>
      </c>
      <c r="M10631">
        <v>0</v>
      </c>
      <c r="N10631">
        <v>0</v>
      </c>
      <c r="O10631" t="s">
        <v>11883</v>
      </c>
    </row>
    <row r="10632" spans="1:15">
      <c r="A10632" t="s">
        <v>38916</v>
      </c>
      <c r="B10632" t="s">
        <v>11627</v>
      </c>
      <c r="C10632" t="s">
        <v>11627</v>
      </c>
      <c r="D10632" t="s">
        <v>38917</v>
      </c>
      <c r="E10632" t="b">
        <v>1</v>
      </c>
      <c r="F10632" t="s">
        <v>11624</v>
      </c>
      <c r="I10632" t="s">
        <v>38918</v>
      </c>
      <c r="L10632">
        <v>0</v>
      </c>
      <c r="M10632">
        <v>0</v>
      </c>
      <c r="N10632">
        <v>0</v>
      </c>
    </row>
    <row r="10633" spans="1:15">
      <c r="A10633" t="s">
        <v>38919</v>
      </c>
      <c r="B10633" t="s">
        <v>367</v>
      </c>
      <c r="C10633" t="s">
        <v>20803</v>
      </c>
      <c r="D10633" t="s">
        <v>38920</v>
      </c>
      <c r="E10633" t="b">
        <v>0</v>
      </c>
      <c r="F10633" t="s">
        <v>11610</v>
      </c>
      <c r="L10633">
        <v>0</v>
      </c>
      <c r="M10633">
        <v>0</v>
      </c>
      <c r="N10633">
        <v>0</v>
      </c>
    </row>
    <row r="10634" spans="1:15">
      <c r="A10634" t="s">
        <v>38921</v>
      </c>
      <c r="B10634" t="s">
        <v>12979</v>
      </c>
      <c r="C10634" t="s">
        <v>12980</v>
      </c>
      <c r="D10634" t="s">
        <v>38922</v>
      </c>
      <c r="E10634" t="b">
        <v>0</v>
      </c>
      <c r="F10634" t="s">
        <v>11610</v>
      </c>
      <c r="L10634">
        <v>0</v>
      </c>
      <c r="M10634">
        <v>0</v>
      </c>
      <c r="N10634">
        <v>0</v>
      </c>
    </row>
    <row r="10635" spans="1:15">
      <c r="A10635" t="s">
        <v>38923</v>
      </c>
      <c r="B10635" t="s">
        <v>367</v>
      </c>
      <c r="C10635" t="s">
        <v>32686</v>
      </c>
      <c r="D10635" t="s">
        <v>38924</v>
      </c>
      <c r="E10635" t="b">
        <v>0</v>
      </c>
      <c r="F10635" t="s">
        <v>11610</v>
      </c>
      <c r="L10635">
        <v>0</v>
      </c>
      <c r="M10635">
        <v>0</v>
      </c>
      <c r="N10635">
        <v>0</v>
      </c>
    </row>
    <row r="10636" spans="1:15">
      <c r="A10636" t="s">
        <v>22248</v>
      </c>
      <c r="B10636" t="s">
        <v>11644</v>
      </c>
      <c r="C10636" t="s">
        <v>23119</v>
      </c>
      <c r="D10636" t="s">
        <v>38925</v>
      </c>
      <c r="E10636" t="b">
        <v>0</v>
      </c>
      <c r="F10636" t="s">
        <v>11622</v>
      </c>
      <c r="L10636">
        <v>2</v>
      </c>
      <c r="M10636">
        <v>5</v>
      </c>
      <c r="N10636">
        <v>3</v>
      </c>
    </row>
    <row r="10637" spans="1:15">
      <c r="A10637" t="s">
        <v>38926</v>
      </c>
      <c r="B10637" t="s">
        <v>11644</v>
      </c>
      <c r="C10637" t="s">
        <v>35845</v>
      </c>
      <c r="D10637" t="s">
        <v>38927</v>
      </c>
      <c r="E10637" t="b">
        <v>0</v>
      </c>
      <c r="F10637" t="s">
        <v>11624</v>
      </c>
      <c r="G10637">
        <v>33.468000000000004</v>
      </c>
      <c r="H10637">
        <v>80.601299999999995</v>
      </c>
      <c r="I10637" t="s">
        <v>38928</v>
      </c>
      <c r="L10637">
        <v>0</v>
      </c>
      <c r="M10637">
        <v>0</v>
      </c>
      <c r="N10637">
        <v>3</v>
      </c>
      <c r="O10637" t="s">
        <v>24774</v>
      </c>
    </row>
    <row r="10638" spans="1:15">
      <c r="A10638" t="s">
        <v>38929</v>
      </c>
      <c r="B10638" t="s">
        <v>14629</v>
      </c>
      <c r="C10638" t="s">
        <v>14629</v>
      </c>
      <c r="D10638" t="s">
        <v>38930</v>
      </c>
      <c r="E10638" t="b">
        <v>0</v>
      </c>
      <c r="F10638" t="s">
        <v>11624</v>
      </c>
      <c r="L10638">
        <v>0</v>
      </c>
      <c r="M10638">
        <v>0</v>
      </c>
      <c r="N10638">
        <v>0</v>
      </c>
      <c r="O10638" t="s">
        <v>11630</v>
      </c>
    </row>
    <row r="10639" spans="1:15">
      <c r="A10639" t="s">
        <v>13534</v>
      </c>
      <c r="B10639" t="s">
        <v>11637</v>
      </c>
      <c r="C10639" t="s">
        <v>28101</v>
      </c>
      <c r="D10639" t="s">
        <v>38931</v>
      </c>
      <c r="E10639" t="b">
        <v>0</v>
      </c>
      <c r="F10639" t="s">
        <v>11624</v>
      </c>
      <c r="G10639">
        <v>46.60651</v>
      </c>
      <c r="H10639">
        <v>11.89498</v>
      </c>
      <c r="I10639" t="s">
        <v>38932</v>
      </c>
      <c r="L10639">
        <v>0</v>
      </c>
      <c r="M10639">
        <v>0</v>
      </c>
      <c r="N10639">
        <v>9</v>
      </c>
      <c r="O10639" t="s">
        <v>13676</v>
      </c>
    </row>
    <row r="10640" spans="1:15">
      <c r="A10640" t="s">
        <v>9882</v>
      </c>
      <c r="B10640" t="s">
        <v>11637</v>
      </c>
      <c r="C10640" t="s">
        <v>38933</v>
      </c>
      <c r="D10640" t="s">
        <v>38934</v>
      </c>
      <c r="E10640" t="b">
        <v>0</v>
      </c>
      <c r="F10640" t="s">
        <v>11624</v>
      </c>
      <c r="G10640">
        <v>41.204999999999998</v>
      </c>
      <c r="H10640">
        <v>28.6632</v>
      </c>
      <c r="I10640" t="s">
        <v>38935</v>
      </c>
      <c r="L10640">
        <v>0</v>
      </c>
      <c r="M10640">
        <v>0</v>
      </c>
      <c r="N10640">
        <v>3</v>
      </c>
      <c r="O10640" t="s">
        <v>38936</v>
      </c>
    </row>
    <row r="10641" spans="1:15">
      <c r="A10641" t="s">
        <v>38937</v>
      </c>
      <c r="B10641" t="s">
        <v>10597</v>
      </c>
      <c r="C10641" t="s">
        <v>24965</v>
      </c>
      <c r="D10641" t="s">
        <v>38938</v>
      </c>
      <c r="E10641" t="b">
        <v>0</v>
      </c>
      <c r="F10641" t="s">
        <v>11610</v>
      </c>
      <c r="I10641" t="s">
        <v>38939</v>
      </c>
      <c r="L10641">
        <v>0</v>
      </c>
      <c r="M10641">
        <v>0</v>
      </c>
      <c r="N10641">
        <v>0</v>
      </c>
      <c r="O10641" t="s">
        <v>12107</v>
      </c>
    </row>
    <row r="10642" spans="1:15">
      <c r="A10642" t="s">
        <v>26640</v>
      </c>
      <c r="B10642" t="s">
        <v>12260</v>
      </c>
      <c r="C10642" t="s">
        <v>38940</v>
      </c>
      <c r="D10642" t="s">
        <v>38941</v>
      </c>
      <c r="E10642" t="b">
        <v>0</v>
      </c>
      <c r="F10642" t="s">
        <v>11622</v>
      </c>
      <c r="L10642">
        <v>1</v>
      </c>
      <c r="M10642">
        <v>5</v>
      </c>
      <c r="N10642">
        <v>12</v>
      </c>
    </row>
    <row r="10643" spans="1:15">
      <c r="A10643" t="s">
        <v>38942</v>
      </c>
      <c r="B10643" t="s">
        <v>11834</v>
      </c>
      <c r="C10643" t="s">
        <v>11834</v>
      </c>
      <c r="D10643" t="s">
        <v>38943</v>
      </c>
      <c r="E10643" t="b">
        <v>0</v>
      </c>
      <c r="F10643" t="s">
        <v>11624</v>
      </c>
      <c r="G10643">
        <v>-3.69618</v>
      </c>
      <c r="H10643">
        <v>142.23699999999999</v>
      </c>
      <c r="I10643" t="s">
        <v>38944</v>
      </c>
      <c r="L10643">
        <v>0</v>
      </c>
      <c r="M10643">
        <v>0</v>
      </c>
      <c r="N10643">
        <v>0</v>
      </c>
      <c r="O10643" t="s">
        <v>11660</v>
      </c>
    </row>
    <row r="10644" spans="1:15">
      <c r="A10644" t="s">
        <v>38945</v>
      </c>
      <c r="B10644" t="s">
        <v>6742</v>
      </c>
      <c r="C10644" t="s">
        <v>38946</v>
      </c>
      <c r="D10644" t="s">
        <v>38947</v>
      </c>
      <c r="E10644" t="b">
        <v>0</v>
      </c>
      <c r="F10644" t="s">
        <v>11610</v>
      </c>
      <c r="L10644">
        <v>0</v>
      </c>
      <c r="M10644">
        <v>0</v>
      </c>
      <c r="N10644">
        <v>0</v>
      </c>
    </row>
    <row r="10645" spans="1:15">
      <c r="A10645" t="s">
        <v>33330</v>
      </c>
      <c r="D10645" t="s">
        <v>38948</v>
      </c>
      <c r="E10645" t="b">
        <v>0</v>
      </c>
      <c r="F10645" t="s">
        <v>11624</v>
      </c>
      <c r="G10645">
        <v>10.335699999999999</v>
      </c>
      <c r="H10645">
        <v>30.7331</v>
      </c>
      <c r="I10645" t="s">
        <v>38949</v>
      </c>
      <c r="L10645">
        <v>0</v>
      </c>
      <c r="M10645">
        <v>0</v>
      </c>
      <c r="N10645">
        <v>3</v>
      </c>
      <c r="O10645" t="s">
        <v>11910</v>
      </c>
    </row>
    <row r="10646" spans="1:15">
      <c r="A10646" t="s">
        <v>38950</v>
      </c>
      <c r="B10646" t="s">
        <v>11637</v>
      </c>
      <c r="C10646" t="s">
        <v>27643</v>
      </c>
      <c r="D10646" t="s">
        <v>38951</v>
      </c>
      <c r="E10646" t="b">
        <v>0</v>
      </c>
      <c r="F10646" t="s">
        <v>11610</v>
      </c>
      <c r="L10646">
        <v>0</v>
      </c>
      <c r="M10646">
        <v>0</v>
      </c>
      <c r="N10646">
        <v>0</v>
      </c>
    </row>
    <row r="10647" spans="1:15">
      <c r="A10647" t="s">
        <v>38952</v>
      </c>
      <c r="B10647" t="s">
        <v>367</v>
      </c>
      <c r="C10647" t="s">
        <v>30740</v>
      </c>
      <c r="D10647" t="s">
        <v>38953</v>
      </c>
      <c r="E10647" t="b">
        <v>0</v>
      </c>
      <c r="F10647" t="s">
        <v>11610</v>
      </c>
      <c r="L10647">
        <v>0</v>
      </c>
      <c r="M10647">
        <v>0</v>
      </c>
      <c r="N10647">
        <v>0</v>
      </c>
    </row>
    <row r="10648" spans="1:15">
      <c r="A10648" t="s">
        <v>38954</v>
      </c>
      <c r="B10648" t="s">
        <v>11637</v>
      </c>
      <c r="C10648" t="s">
        <v>13077</v>
      </c>
      <c r="D10648" t="s">
        <v>38955</v>
      </c>
      <c r="E10648" t="b">
        <v>0</v>
      </c>
      <c r="F10648" t="s">
        <v>11610</v>
      </c>
      <c r="L10648">
        <v>0</v>
      </c>
      <c r="M10648">
        <v>0</v>
      </c>
      <c r="N10648">
        <v>0</v>
      </c>
    </row>
    <row r="10649" spans="1:15">
      <c r="A10649" t="s">
        <v>38956</v>
      </c>
      <c r="B10649" t="s">
        <v>11644</v>
      </c>
      <c r="C10649" t="s">
        <v>38957</v>
      </c>
      <c r="D10649" t="s">
        <v>38958</v>
      </c>
      <c r="E10649" t="b">
        <v>0</v>
      </c>
      <c r="F10649" t="s">
        <v>11622</v>
      </c>
      <c r="L10649">
        <v>5</v>
      </c>
      <c r="M10649">
        <v>8</v>
      </c>
      <c r="N10649">
        <v>0</v>
      </c>
    </row>
    <row r="10650" spans="1:15">
      <c r="A10650" t="s">
        <v>38959</v>
      </c>
      <c r="B10650" t="s">
        <v>11644</v>
      </c>
      <c r="C10650" t="s">
        <v>38956</v>
      </c>
      <c r="D10650" t="s">
        <v>38960</v>
      </c>
      <c r="E10650" t="b">
        <v>0</v>
      </c>
      <c r="F10650" t="s">
        <v>11624</v>
      </c>
      <c r="G10650">
        <v>22.267399999999999</v>
      </c>
      <c r="H10650">
        <v>103.929</v>
      </c>
      <c r="I10650" t="s">
        <v>38961</v>
      </c>
      <c r="L10650">
        <v>0</v>
      </c>
      <c r="M10650">
        <v>0</v>
      </c>
      <c r="N10650">
        <v>0</v>
      </c>
      <c r="O10650" t="s">
        <v>15949</v>
      </c>
    </row>
    <row r="10651" spans="1:15">
      <c r="A10651" t="s">
        <v>38962</v>
      </c>
      <c r="B10651" t="s">
        <v>367</v>
      </c>
      <c r="C10651" t="s">
        <v>38963</v>
      </c>
      <c r="D10651" t="s">
        <v>38964</v>
      </c>
      <c r="E10651" t="b">
        <v>0</v>
      </c>
      <c r="F10651" t="s">
        <v>11624</v>
      </c>
      <c r="G10651">
        <v>-8.0050899999999992</v>
      </c>
      <c r="H10651">
        <v>158.96100000000001</v>
      </c>
      <c r="I10651" t="s">
        <v>38965</v>
      </c>
      <c r="L10651">
        <v>0</v>
      </c>
      <c r="M10651">
        <v>0</v>
      </c>
      <c r="N10651">
        <v>0</v>
      </c>
      <c r="O10651" t="s">
        <v>13346</v>
      </c>
    </row>
    <row r="10652" spans="1:15">
      <c r="A10652" t="s">
        <v>38966</v>
      </c>
      <c r="B10652" t="s">
        <v>367</v>
      </c>
      <c r="C10652" t="s">
        <v>38680</v>
      </c>
      <c r="D10652" t="s">
        <v>38967</v>
      </c>
      <c r="E10652" t="b">
        <v>0</v>
      </c>
      <c r="F10652" t="s">
        <v>11610</v>
      </c>
      <c r="L10652">
        <v>0</v>
      </c>
      <c r="M10652">
        <v>0</v>
      </c>
      <c r="N10652">
        <v>0</v>
      </c>
    </row>
    <row r="10653" spans="1:15">
      <c r="A10653" t="s">
        <v>38968</v>
      </c>
      <c r="B10653" t="s">
        <v>17030</v>
      </c>
      <c r="C10653" t="s">
        <v>24148</v>
      </c>
      <c r="D10653" t="s">
        <v>38969</v>
      </c>
      <c r="E10653" t="b">
        <v>0</v>
      </c>
      <c r="F10653" t="s">
        <v>11610</v>
      </c>
      <c r="L10653">
        <v>0</v>
      </c>
      <c r="M10653">
        <v>0</v>
      </c>
      <c r="N10653">
        <v>0</v>
      </c>
    </row>
    <row r="10654" spans="1:15">
      <c r="A10654" t="s">
        <v>19764</v>
      </c>
      <c r="B10654" t="s">
        <v>16986</v>
      </c>
      <c r="C10654" t="s">
        <v>38970</v>
      </c>
      <c r="D10654" t="s">
        <v>38971</v>
      </c>
      <c r="E10654" t="b">
        <v>0</v>
      </c>
      <c r="F10654" t="s">
        <v>11622</v>
      </c>
      <c r="L10654">
        <v>0</v>
      </c>
      <c r="M10654">
        <v>3</v>
      </c>
      <c r="N10654">
        <v>6</v>
      </c>
    </row>
    <row r="10655" spans="1:15">
      <c r="A10655" t="s">
        <v>38972</v>
      </c>
      <c r="B10655" t="s">
        <v>28641</v>
      </c>
      <c r="C10655" t="s">
        <v>31694</v>
      </c>
      <c r="D10655" t="s">
        <v>38973</v>
      </c>
      <c r="E10655" t="b">
        <v>0</v>
      </c>
      <c r="F10655" t="s">
        <v>11610</v>
      </c>
      <c r="L10655">
        <v>0</v>
      </c>
      <c r="M10655">
        <v>0</v>
      </c>
      <c r="N10655">
        <v>0</v>
      </c>
    </row>
    <row r="10656" spans="1:15">
      <c r="A10656" t="s">
        <v>38974</v>
      </c>
      <c r="B10656" t="s">
        <v>11879</v>
      </c>
      <c r="C10656" t="s">
        <v>22514</v>
      </c>
      <c r="D10656" t="s">
        <v>38975</v>
      </c>
      <c r="E10656" t="b">
        <v>0</v>
      </c>
      <c r="F10656" t="s">
        <v>11610</v>
      </c>
      <c r="L10656">
        <v>0</v>
      </c>
      <c r="M10656">
        <v>0</v>
      </c>
      <c r="N10656">
        <v>0</v>
      </c>
    </row>
    <row r="10657" spans="1:15">
      <c r="A10657" t="s">
        <v>12191</v>
      </c>
      <c r="B10657" t="s">
        <v>11607</v>
      </c>
      <c r="C10657" t="s">
        <v>37622</v>
      </c>
      <c r="D10657" t="s">
        <v>38976</v>
      </c>
      <c r="E10657" t="b">
        <v>0</v>
      </c>
      <c r="F10657" t="s">
        <v>11624</v>
      </c>
      <c r="G10657">
        <v>11.559200000000001</v>
      </c>
      <c r="H10657">
        <v>14.9884</v>
      </c>
      <c r="I10657" t="s">
        <v>38977</v>
      </c>
      <c r="L10657">
        <v>0</v>
      </c>
      <c r="M10657">
        <v>0</v>
      </c>
      <c r="N10657">
        <v>3</v>
      </c>
      <c r="O10657" t="s">
        <v>20045</v>
      </c>
    </row>
    <row r="10658" spans="1:15">
      <c r="A10658" t="s">
        <v>38978</v>
      </c>
      <c r="B10658" t="s">
        <v>11644</v>
      </c>
      <c r="C10658" t="s">
        <v>36584</v>
      </c>
      <c r="D10658" t="s">
        <v>38979</v>
      </c>
      <c r="E10658" t="b">
        <v>0</v>
      </c>
      <c r="F10658" t="s">
        <v>11622</v>
      </c>
      <c r="L10658">
        <v>0</v>
      </c>
      <c r="M10658">
        <v>2</v>
      </c>
      <c r="N10658">
        <v>3</v>
      </c>
    </row>
    <row r="10659" spans="1:15">
      <c r="A10659" t="s">
        <v>38980</v>
      </c>
      <c r="B10659" t="s">
        <v>5126</v>
      </c>
      <c r="C10659" t="s">
        <v>15903</v>
      </c>
      <c r="D10659" t="s">
        <v>38981</v>
      </c>
      <c r="E10659" t="b">
        <v>0</v>
      </c>
      <c r="F10659" t="s">
        <v>11624</v>
      </c>
      <c r="G10659">
        <v>21.551490000000001</v>
      </c>
      <c r="H10659">
        <v>103.86378999999999</v>
      </c>
      <c r="I10659" t="s">
        <v>38982</v>
      </c>
      <c r="L10659">
        <v>0</v>
      </c>
      <c r="M10659">
        <v>0</v>
      </c>
      <c r="N10659">
        <v>0</v>
      </c>
      <c r="O10659" t="s">
        <v>15949</v>
      </c>
    </row>
    <row r="10660" spans="1:15">
      <c r="A10660" t="s">
        <v>38983</v>
      </c>
      <c r="B10660" t="s">
        <v>367</v>
      </c>
      <c r="C10660" t="s">
        <v>21903</v>
      </c>
      <c r="D10660" t="s">
        <v>38984</v>
      </c>
      <c r="E10660" t="b">
        <v>0</v>
      </c>
      <c r="F10660" t="s">
        <v>11624</v>
      </c>
      <c r="G10660">
        <v>-3.7075499999999999</v>
      </c>
      <c r="H10660">
        <v>128.07300000000001</v>
      </c>
      <c r="I10660" t="s">
        <v>38985</v>
      </c>
      <c r="L10660">
        <v>0</v>
      </c>
      <c r="M10660">
        <v>0</v>
      </c>
      <c r="N10660">
        <v>0</v>
      </c>
      <c r="O10660" t="s">
        <v>11768</v>
      </c>
    </row>
    <row r="10661" spans="1:15">
      <c r="A10661" t="s">
        <v>38986</v>
      </c>
      <c r="B10661" t="s">
        <v>367</v>
      </c>
      <c r="C10661" t="s">
        <v>38987</v>
      </c>
      <c r="D10661" t="s">
        <v>38988</v>
      </c>
      <c r="E10661" t="b">
        <v>0</v>
      </c>
      <c r="F10661" t="s">
        <v>11610</v>
      </c>
      <c r="L10661">
        <v>0</v>
      </c>
      <c r="M10661">
        <v>0</v>
      </c>
      <c r="N10661">
        <v>0</v>
      </c>
    </row>
    <row r="10662" spans="1:15">
      <c r="A10662" t="s">
        <v>38989</v>
      </c>
      <c r="B10662" t="s">
        <v>367</v>
      </c>
      <c r="C10662" t="s">
        <v>34244</v>
      </c>
      <c r="D10662" t="s">
        <v>38990</v>
      </c>
      <c r="E10662" t="b">
        <v>0</v>
      </c>
      <c r="F10662" t="s">
        <v>11624</v>
      </c>
      <c r="G10662">
        <v>2.7273399999999999</v>
      </c>
      <c r="H10662">
        <v>113.947</v>
      </c>
      <c r="I10662" t="s">
        <v>38991</v>
      </c>
      <c r="L10662">
        <v>0</v>
      </c>
      <c r="M10662">
        <v>0</v>
      </c>
      <c r="N10662">
        <v>0</v>
      </c>
      <c r="O10662" t="s">
        <v>11672</v>
      </c>
    </row>
    <row r="10663" spans="1:15">
      <c r="A10663" t="s">
        <v>38992</v>
      </c>
      <c r="B10663" t="s">
        <v>12218</v>
      </c>
      <c r="C10663" t="s">
        <v>29698</v>
      </c>
      <c r="D10663" t="s">
        <v>38993</v>
      </c>
      <c r="E10663" t="b">
        <v>0</v>
      </c>
      <c r="F10663" t="s">
        <v>11610</v>
      </c>
      <c r="L10663">
        <v>0</v>
      </c>
      <c r="M10663">
        <v>0</v>
      </c>
      <c r="N10663">
        <v>0</v>
      </c>
    </row>
    <row r="10664" spans="1:15">
      <c r="A10664" t="s">
        <v>18321</v>
      </c>
      <c r="B10664" t="s">
        <v>11644</v>
      </c>
      <c r="C10664" t="s">
        <v>22025</v>
      </c>
      <c r="D10664" t="s">
        <v>38994</v>
      </c>
      <c r="E10664" t="b">
        <v>0</v>
      </c>
      <c r="F10664" t="s">
        <v>11622</v>
      </c>
      <c r="L10664">
        <v>1</v>
      </c>
      <c r="M10664">
        <v>5</v>
      </c>
      <c r="N10664">
        <v>5</v>
      </c>
    </row>
    <row r="10665" spans="1:15">
      <c r="A10665" t="s">
        <v>31170</v>
      </c>
      <c r="B10665" t="s">
        <v>11637</v>
      </c>
      <c r="C10665" t="s">
        <v>1290</v>
      </c>
      <c r="D10665" t="s">
        <v>38995</v>
      </c>
      <c r="E10665" t="b">
        <v>0</v>
      </c>
      <c r="F10665" t="s">
        <v>11622</v>
      </c>
      <c r="L10665">
        <v>3</v>
      </c>
      <c r="M10665">
        <v>7</v>
      </c>
      <c r="N10665">
        <v>17</v>
      </c>
    </row>
    <row r="10666" spans="1:15">
      <c r="A10666" t="s">
        <v>37929</v>
      </c>
      <c r="B10666" t="s">
        <v>11644</v>
      </c>
      <c r="C10666" t="s">
        <v>30713</v>
      </c>
      <c r="D10666" t="s">
        <v>38996</v>
      </c>
      <c r="E10666" t="b">
        <v>0</v>
      </c>
      <c r="F10666" t="s">
        <v>11622</v>
      </c>
      <c r="L10666">
        <v>0</v>
      </c>
      <c r="M10666">
        <v>3</v>
      </c>
      <c r="N10666">
        <v>4</v>
      </c>
    </row>
    <row r="10667" spans="1:15">
      <c r="A10667" t="s">
        <v>38997</v>
      </c>
      <c r="B10667" t="s">
        <v>11627</v>
      </c>
      <c r="C10667" t="s">
        <v>11627</v>
      </c>
      <c r="D10667" t="s">
        <v>38998</v>
      </c>
      <c r="E10667" t="b">
        <v>1</v>
      </c>
      <c r="F10667" t="s">
        <v>11624</v>
      </c>
      <c r="G10667">
        <v>20.1797</v>
      </c>
      <c r="H10667">
        <v>97.379099999999994</v>
      </c>
      <c r="I10667" t="s">
        <v>38999</v>
      </c>
      <c r="L10667">
        <v>0</v>
      </c>
      <c r="M10667">
        <v>0</v>
      </c>
      <c r="N10667">
        <v>0</v>
      </c>
      <c r="O10667" t="s">
        <v>14059</v>
      </c>
    </row>
    <row r="10668" spans="1:15">
      <c r="A10668" t="s">
        <v>39000</v>
      </c>
      <c r="B10668" t="s">
        <v>11637</v>
      </c>
      <c r="C10668" t="s">
        <v>22627</v>
      </c>
      <c r="D10668" t="s">
        <v>39001</v>
      </c>
      <c r="E10668" t="b">
        <v>0</v>
      </c>
      <c r="F10668" t="s">
        <v>11624</v>
      </c>
      <c r="G10668">
        <v>32.582999999999998</v>
      </c>
      <c r="H10668">
        <v>77</v>
      </c>
      <c r="I10668" t="s">
        <v>39002</v>
      </c>
      <c r="L10668">
        <v>0</v>
      </c>
      <c r="M10668">
        <v>0</v>
      </c>
      <c r="N10668">
        <v>0</v>
      </c>
      <c r="O10668" t="s">
        <v>11630</v>
      </c>
    </row>
    <row r="10669" spans="1:15">
      <c r="A10669" t="s">
        <v>39003</v>
      </c>
      <c r="B10669" t="s">
        <v>11644</v>
      </c>
      <c r="C10669" t="s">
        <v>37929</v>
      </c>
      <c r="D10669" t="s">
        <v>39004</v>
      </c>
      <c r="E10669" t="b">
        <v>0</v>
      </c>
      <c r="F10669" t="s">
        <v>11624</v>
      </c>
      <c r="G10669">
        <v>21.207799999999999</v>
      </c>
      <c r="H10669">
        <v>100.97</v>
      </c>
      <c r="I10669" t="s">
        <v>39005</v>
      </c>
      <c r="L10669">
        <v>0</v>
      </c>
      <c r="M10669">
        <v>0</v>
      </c>
      <c r="N10669">
        <v>0</v>
      </c>
      <c r="O10669" t="s">
        <v>12727</v>
      </c>
    </row>
    <row r="10670" spans="1:15">
      <c r="A10670" t="s">
        <v>39006</v>
      </c>
      <c r="B10670" t="s">
        <v>11644</v>
      </c>
      <c r="C10670" t="s">
        <v>37929</v>
      </c>
      <c r="D10670" t="s">
        <v>39007</v>
      </c>
      <c r="E10670" t="b">
        <v>0</v>
      </c>
      <c r="F10670" t="s">
        <v>11624</v>
      </c>
      <c r="G10670">
        <v>21.270099999999999</v>
      </c>
      <c r="H10670">
        <v>100.214</v>
      </c>
      <c r="I10670" t="s">
        <v>39008</v>
      </c>
      <c r="L10670">
        <v>0</v>
      </c>
      <c r="M10670">
        <v>0</v>
      </c>
      <c r="N10670">
        <v>4</v>
      </c>
      <c r="O10670" t="s">
        <v>12731</v>
      </c>
    </row>
    <row r="10671" spans="1:15">
      <c r="A10671" t="s">
        <v>39009</v>
      </c>
      <c r="B10671" t="s">
        <v>11644</v>
      </c>
      <c r="C10671" t="s">
        <v>39006</v>
      </c>
      <c r="D10671" t="s">
        <v>39010</v>
      </c>
      <c r="E10671" t="b">
        <v>0</v>
      </c>
      <c r="F10671" t="s">
        <v>11610</v>
      </c>
      <c r="L10671">
        <v>0</v>
      </c>
      <c r="M10671">
        <v>0</v>
      </c>
      <c r="N10671">
        <v>0</v>
      </c>
    </row>
    <row r="10672" spans="1:15">
      <c r="A10672" t="s">
        <v>39011</v>
      </c>
      <c r="B10672" t="s">
        <v>11627</v>
      </c>
      <c r="C10672" t="s">
        <v>11627</v>
      </c>
      <c r="D10672" t="s">
        <v>39012</v>
      </c>
      <c r="E10672" t="b">
        <v>1</v>
      </c>
      <c r="F10672" t="s">
        <v>11624</v>
      </c>
      <c r="I10672" t="s">
        <v>39013</v>
      </c>
      <c r="L10672">
        <v>0</v>
      </c>
      <c r="M10672">
        <v>0</v>
      </c>
      <c r="N10672">
        <v>0</v>
      </c>
    </row>
    <row r="10673" spans="1:15">
      <c r="A10673" t="s">
        <v>39014</v>
      </c>
      <c r="B10673" t="s">
        <v>11637</v>
      </c>
      <c r="C10673" t="s">
        <v>11825</v>
      </c>
      <c r="D10673" t="s">
        <v>39015</v>
      </c>
      <c r="E10673" t="b">
        <v>0</v>
      </c>
      <c r="F10673" t="s">
        <v>11610</v>
      </c>
      <c r="L10673">
        <v>0</v>
      </c>
      <c r="M10673">
        <v>0</v>
      </c>
      <c r="N10673">
        <v>0</v>
      </c>
    </row>
    <row r="10674" spans="1:15">
      <c r="A10674" t="s">
        <v>39016</v>
      </c>
      <c r="B10674" t="s">
        <v>13276</v>
      </c>
      <c r="C10674" t="s">
        <v>20688</v>
      </c>
      <c r="D10674" t="s">
        <v>39017</v>
      </c>
      <c r="E10674" t="b">
        <v>0</v>
      </c>
      <c r="F10674" t="s">
        <v>11610</v>
      </c>
      <c r="L10674">
        <v>0</v>
      </c>
      <c r="M10674">
        <v>0</v>
      </c>
      <c r="N10674">
        <v>0</v>
      </c>
    </row>
    <row r="10675" spans="1:15">
      <c r="A10675" t="s">
        <v>39018</v>
      </c>
      <c r="B10675" t="s">
        <v>11615</v>
      </c>
      <c r="C10675" t="s">
        <v>27216</v>
      </c>
      <c r="D10675" t="s">
        <v>39019</v>
      </c>
      <c r="E10675" t="b">
        <v>0</v>
      </c>
      <c r="F10675" t="s">
        <v>11610</v>
      </c>
      <c r="L10675">
        <v>0</v>
      </c>
      <c r="M10675">
        <v>0</v>
      </c>
      <c r="N10675">
        <v>0</v>
      </c>
    </row>
    <row r="10676" spans="1:15">
      <c r="A10676" t="s">
        <v>27647</v>
      </c>
      <c r="B10676" t="s">
        <v>11644</v>
      </c>
      <c r="C10676" t="s">
        <v>21425</v>
      </c>
      <c r="D10676" t="s">
        <v>39020</v>
      </c>
      <c r="E10676" t="b">
        <v>0</v>
      </c>
      <c r="F10676" t="s">
        <v>11622</v>
      </c>
      <c r="L10676">
        <v>1</v>
      </c>
      <c r="M10676">
        <v>4</v>
      </c>
      <c r="N10676">
        <v>3</v>
      </c>
    </row>
    <row r="10677" spans="1:15">
      <c r="A10677" t="s">
        <v>39021</v>
      </c>
      <c r="B10677" t="s">
        <v>6742</v>
      </c>
      <c r="C10677" t="s">
        <v>7100</v>
      </c>
      <c r="D10677" t="s">
        <v>39022</v>
      </c>
      <c r="E10677" t="b">
        <v>0</v>
      </c>
      <c r="F10677" t="s">
        <v>11610</v>
      </c>
      <c r="L10677">
        <v>0</v>
      </c>
      <c r="M10677">
        <v>0</v>
      </c>
      <c r="N10677">
        <v>0</v>
      </c>
    </row>
    <row r="10678" spans="1:15">
      <c r="A10678" t="s">
        <v>39023</v>
      </c>
      <c r="B10678" t="s">
        <v>6742</v>
      </c>
      <c r="C10678" t="s">
        <v>12304</v>
      </c>
      <c r="D10678" t="s">
        <v>39024</v>
      </c>
      <c r="E10678" t="b">
        <v>0</v>
      </c>
      <c r="F10678" t="s">
        <v>11624</v>
      </c>
      <c r="G10678">
        <v>6.2815799999999999</v>
      </c>
      <c r="H10678">
        <v>10.1427</v>
      </c>
      <c r="I10678" t="s">
        <v>39025</v>
      </c>
      <c r="L10678">
        <v>0</v>
      </c>
      <c r="M10678">
        <v>0</v>
      </c>
      <c r="N10678">
        <v>0</v>
      </c>
      <c r="O10678" t="s">
        <v>11703</v>
      </c>
    </row>
    <row r="10679" spans="1:15">
      <c r="A10679" t="s">
        <v>39026</v>
      </c>
      <c r="B10679" t="s">
        <v>11757</v>
      </c>
      <c r="C10679" t="s">
        <v>216</v>
      </c>
      <c r="D10679" t="s">
        <v>39027</v>
      </c>
      <c r="E10679" t="b">
        <v>0</v>
      </c>
      <c r="F10679" t="s">
        <v>11610</v>
      </c>
      <c r="L10679">
        <v>0</v>
      </c>
      <c r="M10679">
        <v>0</v>
      </c>
      <c r="N10679">
        <v>0</v>
      </c>
    </row>
    <row r="10680" spans="1:15">
      <c r="A10680" t="s">
        <v>39028</v>
      </c>
      <c r="B10680" t="s">
        <v>367</v>
      </c>
      <c r="C10680" t="s">
        <v>14733</v>
      </c>
      <c r="D10680" t="s">
        <v>39029</v>
      </c>
      <c r="E10680" t="b">
        <v>0</v>
      </c>
      <c r="F10680" t="s">
        <v>11610</v>
      </c>
      <c r="L10680">
        <v>0</v>
      </c>
      <c r="M10680">
        <v>0</v>
      </c>
      <c r="N10680">
        <v>0</v>
      </c>
    </row>
    <row r="10681" spans="1:15">
      <c r="A10681" t="s">
        <v>39030</v>
      </c>
      <c r="B10681" t="s">
        <v>21516</v>
      </c>
      <c r="C10681" t="s">
        <v>39031</v>
      </c>
      <c r="D10681" t="s">
        <v>39032</v>
      </c>
      <c r="E10681" t="b">
        <v>0</v>
      </c>
      <c r="F10681" t="s">
        <v>11610</v>
      </c>
      <c r="L10681">
        <v>0</v>
      </c>
      <c r="M10681">
        <v>0</v>
      </c>
      <c r="N10681">
        <v>0</v>
      </c>
    </row>
    <row r="10682" spans="1:15">
      <c r="A10682" t="s">
        <v>16944</v>
      </c>
      <c r="B10682" t="s">
        <v>367</v>
      </c>
      <c r="C10682" t="s">
        <v>34385</v>
      </c>
      <c r="D10682" t="s">
        <v>39033</v>
      </c>
      <c r="E10682" t="b">
        <v>0</v>
      </c>
      <c r="F10682" t="s">
        <v>11624</v>
      </c>
      <c r="G10682">
        <v>-6.45512</v>
      </c>
      <c r="H10682">
        <v>120.483</v>
      </c>
      <c r="I10682" t="s">
        <v>39034</v>
      </c>
      <c r="L10682">
        <v>0</v>
      </c>
      <c r="M10682">
        <v>0</v>
      </c>
      <c r="N10682">
        <v>2</v>
      </c>
      <c r="O10682" t="s">
        <v>11768</v>
      </c>
    </row>
    <row r="10683" spans="1:15">
      <c r="A10683" t="s">
        <v>39035</v>
      </c>
      <c r="B10683" t="s">
        <v>11615</v>
      </c>
      <c r="C10683" t="s">
        <v>12938</v>
      </c>
      <c r="D10683" t="s">
        <v>39036</v>
      </c>
      <c r="E10683" t="b">
        <v>0</v>
      </c>
      <c r="F10683" t="s">
        <v>11610</v>
      </c>
      <c r="L10683">
        <v>0</v>
      </c>
      <c r="M10683">
        <v>0</v>
      </c>
      <c r="N10683">
        <v>0</v>
      </c>
    </row>
    <row r="10684" spans="1:15">
      <c r="A10684" t="s">
        <v>39037</v>
      </c>
      <c r="B10684" t="s">
        <v>11644</v>
      </c>
      <c r="C10684" t="s">
        <v>13595</v>
      </c>
      <c r="D10684" t="s">
        <v>39038</v>
      </c>
      <c r="E10684" t="b">
        <v>0</v>
      </c>
      <c r="F10684" t="s">
        <v>11610</v>
      </c>
      <c r="L10684">
        <v>0</v>
      </c>
      <c r="M10684">
        <v>0</v>
      </c>
      <c r="N10684">
        <v>0</v>
      </c>
    </row>
    <row r="10685" spans="1:15">
      <c r="A10685" t="s">
        <v>39039</v>
      </c>
      <c r="B10685" t="s">
        <v>141</v>
      </c>
      <c r="C10685" t="s">
        <v>22078</v>
      </c>
      <c r="D10685" t="s">
        <v>39040</v>
      </c>
      <c r="E10685" t="b">
        <v>0</v>
      </c>
      <c r="F10685" t="s">
        <v>11610</v>
      </c>
      <c r="L10685">
        <v>0</v>
      </c>
      <c r="M10685">
        <v>0</v>
      </c>
      <c r="N10685">
        <v>0</v>
      </c>
    </row>
    <row r="10686" spans="1:15">
      <c r="A10686" t="s">
        <v>39041</v>
      </c>
      <c r="B10686" t="s">
        <v>11644</v>
      </c>
      <c r="C10686" t="s">
        <v>19716</v>
      </c>
      <c r="D10686" t="s">
        <v>39042</v>
      </c>
      <c r="E10686" t="b">
        <v>0</v>
      </c>
      <c r="F10686" t="s">
        <v>11610</v>
      </c>
      <c r="L10686">
        <v>0</v>
      </c>
      <c r="M10686">
        <v>0</v>
      </c>
      <c r="N10686">
        <v>0</v>
      </c>
    </row>
    <row r="10687" spans="1:15">
      <c r="A10687" t="s">
        <v>39043</v>
      </c>
      <c r="B10687" t="s">
        <v>12438</v>
      </c>
      <c r="C10687" t="s">
        <v>16890</v>
      </c>
      <c r="D10687" t="s">
        <v>39044</v>
      </c>
      <c r="E10687" t="b">
        <v>0</v>
      </c>
      <c r="F10687" t="s">
        <v>11610</v>
      </c>
      <c r="L10687">
        <v>0</v>
      </c>
      <c r="M10687">
        <v>0</v>
      </c>
      <c r="N10687">
        <v>0</v>
      </c>
    </row>
    <row r="10688" spans="1:15">
      <c r="A10688" t="s">
        <v>39045</v>
      </c>
      <c r="B10688" t="s">
        <v>6742</v>
      </c>
      <c r="C10688" t="s">
        <v>39046</v>
      </c>
      <c r="D10688" t="s">
        <v>39047</v>
      </c>
      <c r="E10688" t="b">
        <v>0</v>
      </c>
      <c r="F10688" t="s">
        <v>11624</v>
      </c>
      <c r="G10688">
        <v>9.1496499999999994</v>
      </c>
      <c r="H10688">
        <v>11.228</v>
      </c>
      <c r="I10688" t="s">
        <v>39048</v>
      </c>
      <c r="L10688">
        <v>0</v>
      </c>
      <c r="M10688">
        <v>0</v>
      </c>
      <c r="N10688">
        <v>0</v>
      </c>
      <c r="O10688" t="s">
        <v>11693</v>
      </c>
    </row>
    <row r="10689" spans="1:15">
      <c r="A10689" t="s">
        <v>39049</v>
      </c>
      <c r="B10689" t="s">
        <v>11729</v>
      </c>
      <c r="C10689" t="s">
        <v>12334</v>
      </c>
      <c r="D10689" t="s">
        <v>39050</v>
      </c>
      <c r="E10689" t="b">
        <v>0</v>
      </c>
      <c r="F10689" t="s">
        <v>11610</v>
      </c>
      <c r="L10689">
        <v>0</v>
      </c>
      <c r="M10689">
        <v>0</v>
      </c>
      <c r="N10689">
        <v>0</v>
      </c>
    </row>
    <row r="10690" spans="1:15">
      <c r="A10690" t="s">
        <v>17894</v>
      </c>
      <c r="B10690" t="s">
        <v>11729</v>
      </c>
      <c r="C10690" t="s">
        <v>29576</v>
      </c>
      <c r="D10690" t="s">
        <v>39051</v>
      </c>
      <c r="E10690" t="b">
        <v>0</v>
      </c>
      <c r="F10690" t="s">
        <v>11624</v>
      </c>
      <c r="G10690">
        <v>7.7899700000000003</v>
      </c>
      <c r="H10690">
        <v>16.019300000000001</v>
      </c>
      <c r="I10690" t="s">
        <v>39052</v>
      </c>
      <c r="L10690">
        <v>0</v>
      </c>
      <c r="M10690">
        <v>0</v>
      </c>
      <c r="N10690">
        <v>5</v>
      </c>
      <c r="O10690" t="s">
        <v>15847</v>
      </c>
    </row>
    <row r="10691" spans="1:15">
      <c r="A10691" t="s">
        <v>39053</v>
      </c>
      <c r="B10691" t="s">
        <v>367</v>
      </c>
      <c r="C10691" t="s">
        <v>26525</v>
      </c>
      <c r="D10691" t="s">
        <v>39054</v>
      </c>
      <c r="E10691" t="b">
        <v>0</v>
      </c>
      <c r="F10691" t="s">
        <v>11624</v>
      </c>
      <c r="G10691">
        <v>-8.8637200000000007</v>
      </c>
      <c r="H10691">
        <v>125.71599999999999</v>
      </c>
      <c r="I10691" t="s">
        <v>39055</v>
      </c>
      <c r="L10691">
        <v>0</v>
      </c>
      <c r="M10691">
        <v>0</v>
      </c>
      <c r="N10691">
        <v>0</v>
      </c>
      <c r="O10691" t="s">
        <v>27765</v>
      </c>
    </row>
    <row r="10692" spans="1:15">
      <c r="A10692" t="s">
        <v>39056</v>
      </c>
      <c r="B10692" t="s">
        <v>367</v>
      </c>
      <c r="C10692" t="s">
        <v>37328</v>
      </c>
      <c r="D10692" t="s">
        <v>39057</v>
      </c>
      <c r="E10692" t="b">
        <v>0</v>
      </c>
      <c r="F10692" t="s">
        <v>11610</v>
      </c>
      <c r="L10692">
        <v>0</v>
      </c>
      <c r="M10692">
        <v>0</v>
      </c>
      <c r="N10692">
        <v>0</v>
      </c>
    </row>
    <row r="10693" spans="1:15">
      <c r="A10693" t="s">
        <v>15365</v>
      </c>
      <c r="D10693" t="s">
        <v>39058</v>
      </c>
      <c r="E10693" t="b">
        <v>0</v>
      </c>
      <c r="F10693" t="s">
        <v>11622</v>
      </c>
      <c r="L10693">
        <v>10</v>
      </c>
      <c r="M10693">
        <v>20</v>
      </c>
      <c r="N10693">
        <v>10</v>
      </c>
    </row>
    <row r="10694" spans="1:15">
      <c r="A10694" t="s">
        <v>39059</v>
      </c>
      <c r="B10694" t="s">
        <v>9071</v>
      </c>
      <c r="C10694" t="s">
        <v>23291</v>
      </c>
      <c r="D10694" t="s">
        <v>39060</v>
      </c>
      <c r="E10694" t="b">
        <v>0</v>
      </c>
      <c r="F10694" t="s">
        <v>11610</v>
      </c>
      <c r="L10694">
        <v>0</v>
      </c>
      <c r="M10694">
        <v>0</v>
      </c>
      <c r="N10694">
        <v>0</v>
      </c>
    </row>
    <row r="10695" spans="1:15">
      <c r="A10695" t="s">
        <v>39061</v>
      </c>
      <c r="B10695" t="s">
        <v>12979</v>
      </c>
      <c r="C10695" t="s">
        <v>12980</v>
      </c>
      <c r="D10695" t="s">
        <v>39062</v>
      </c>
      <c r="E10695" t="b">
        <v>0</v>
      </c>
      <c r="F10695" t="s">
        <v>11610</v>
      </c>
      <c r="L10695">
        <v>0</v>
      </c>
      <c r="M10695">
        <v>0</v>
      </c>
      <c r="N10695">
        <v>0</v>
      </c>
    </row>
    <row r="10696" spans="1:15">
      <c r="A10696" t="s">
        <v>39063</v>
      </c>
      <c r="B10696" t="s">
        <v>17579</v>
      </c>
      <c r="C10696" t="s">
        <v>23156</v>
      </c>
      <c r="D10696" t="s">
        <v>39064</v>
      </c>
      <c r="E10696" t="b">
        <v>0</v>
      </c>
      <c r="F10696" t="s">
        <v>11624</v>
      </c>
      <c r="G10696">
        <v>39.002099999999999</v>
      </c>
      <c r="H10696">
        <v>-122.621</v>
      </c>
      <c r="I10696" t="s">
        <v>39065</v>
      </c>
      <c r="L10696">
        <v>0</v>
      </c>
      <c r="M10696">
        <v>0</v>
      </c>
      <c r="N10696">
        <v>0</v>
      </c>
      <c r="O10696" t="s">
        <v>11944</v>
      </c>
    </row>
    <row r="10697" spans="1:15">
      <c r="A10697" t="s">
        <v>39066</v>
      </c>
      <c r="B10697" t="s">
        <v>11637</v>
      </c>
      <c r="C10697" t="s">
        <v>13142</v>
      </c>
      <c r="D10697" t="s">
        <v>39067</v>
      </c>
      <c r="E10697" t="b">
        <v>0</v>
      </c>
      <c r="F10697" t="s">
        <v>11610</v>
      </c>
      <c r="L10697">
        <v>0</v>
      </c>
      <c r="M10697">
        <v>0</v>
      </c>
      <c r="N10697">
        <v>0</v>
      </c>
    </row>
    <row r="10698" spans="1:15">
      <c r="A10698" t="s">
        <v>39068</v>
      </c>
      <c r="B10698" t="s">
        <v>11644</v>
      </c>
      <c r="C10698" t="s">
        <v>19893</v>
      </c>
      <c r="D10698" t="s">
        <v>39069</v>
      </c>
      <c r="E10698" t="b">
        <v>0</v>
      </c>
      <c r="F10698" t="s">
        <v>11624</v>
      </c>
      <c r="G10698">
        <v>27.6325</v>
      </c>
      <c r="H10698">
        <v>90.333600000000004</v>
      </c>
      <c r="I10698" t="s">
        <v>39070</v>
      </c>
      <c r="L10698">
        <v>0</v>
      </c>
      <c r="M10698">
        <v>0</v>
      </c>
      <c r="N10698">
        <v>0</v>
      </c>
      <c r="O10698" t="s">
        <v>12020</v>
      </c>
    </row>
    <row r="10699" spans="1:15">
      <c r="A10699" t="s">
        <v>39071</v>
      </c>
      <c r="B10699" t="s">
        <v>11637</v>
      </c>
      <c r="C10699" t="s">
        <v>38341</v>
      </c>
      <c r="D10699" t="s">
        <v>39072</v>
      </c>
      <c r="E10699" t="b">
        <v>0</v>
      </c>
      <c r="F10699" t="s">
        <v>11624</v>
      </c>
      <c r="G10699">
        <v>34.010300000000001</v>
      </c>
      <c r="H10699">
        <v>47.939799999999998</v>
      </c>
      <c r="I10699" t="s">
        <v>39073</v>
      </c>
      <c r="L10699">
        <v>0</v>
      </c>
      <c r="M10699">
        <v>0</v>
      </c>
      <c r="N10699">
        <v>0</v>
      </c>
      <c r="O10699" t="s">
        <v>13225</v>
      </c>
    </row>
    <row r="10700" spans="1:15">
      <c r="A10700" t="s">
        <v>39074</v>
      </c>
      <c r="B10700" t="s">
        <v>11644</v>
      </c>
      <c r="C10700" t="s">
        <v>23834</v>
      </c>
      <c r="D10700" t="s">
        <v>39075</v>
      </c>
      <c r="E10700" t="b">
        <v>0</v>
      </c>
      <c r="F10700" t="s">
        <v>11610</v>
      </c>
      <c r="L10700">
        <v>0</v>
      </c>
      <c r="M10700">
        <v>0</v>
      </c>
      <c r="N10700">
        <v>0</v>
      </c>
    </row>
    <row r="10701" spans="1:15">
      <c r="A10701" t="s">
        <v>38341</v>
      </c>
      <c r="B10701" t="s">
        <v>11637</v>
      </c>
      <c r="C10701" t="s">
        <v>16331</v>
      </c>
      <c r="D10701" t="s">
        <v>39076</v>
      </c>
      <c r="E10701" t="b">
        <v>0</v>
      </c>
      <c r="F10701" t="s">
        <v>11622</v>
      </c>
      <c r="L10701">
        <v>1</v>
      </c>
      <c r="M10701">
        <v>4</v>
      </c>
      <c r="N10701">
        <v>38</v>
      </c>
    </row>
    <row r="10702" spans="1:15">
      <c r="A10702" t="s">
        <v>18406</v>
      </c>
      <c r="B10702" t="s">
        <v>5126</v>
      </c>
      <c r="C10702" t="s">
        <v>23858</v>
      </c>
      <c r="D10702" t="s">
        <v>39077</v>
      </c>
      <c r="E10702" t="b">
        <v>0</v>
      </c>
      <c r="F10702" t="s">
        <v>11622</v>
      </c>
      <c r="L10702">
        <v>1</v>
      </c>
      <c r="M10702">
        <v>4</v>
      </c>
      <c r="N10702">
        <v>0</v>
      </c>
    </row>
    <row r="10703" spans="1:15">
      <c r="A10703" t="s">
        <v>39078</v>
      </c>
      <c r="B10703" t="s">
        <v>5126</v>
      </c>
      <c r="C10703" t="s">
        <v>18406</v>
      </c>
      <c r="D10703" t="s">
        <v>39079</v>
      </c>
      <c r="E10703" t="b">
        <v>0</v>
      </c>
      <c r="F10703" t="s">
        <v>11624</v>
      </c>
      <c r="G10703">
        <v>24.116900000000001</v>
      </c>
      <c r="H10703">
        <v>110.10599999999999</v>
      </c>
      <c r="I10703" t="s">
        <v>39080</v>
      </c>
      <c r="L10703">
        <v>0</v>
      </c>
      <c r="M10703">
        <v>0</v>
      </c>
      <c r="N10703">
        <v>0</v>
      </c>
      <c r="O10703" t="s">
        <v>11905</v>
      </c>
    </row>
    <row r="10704" spans="1:15">
      <c r="A10704" t="s">
        <v>14790</v>
      </c>
      <c r="B10704" t="s">
        <v>12311</v>
      </c>
      <c r="C10704" t="s">
        <v>15242</v>
      </c>
      <c r="D10704" t="s">
        <v>39081</v>
      </c>
      <c r="E10704" t="b">
        <v>0</v>
      </c>
      <c r="F10704" t="s">
        <v>11624</v>
      </c>
      <c r="G10704">
        <v>42.132800000000003</v>
      </c>
      <c r="H10704">
        <v>47.0809</v>
      </c>
      <c r="I10704" t="s">
        <v>39082</v>
      </c>
      <c r="L10704">
        <v>0</v>
      </c>
      <c r="M10704">
        <v>0</v>
      </c>
      <c r="N10704">
        <v>4</v>
      </c>
      <c r="O10704" t="s">
        <v>39083</v>
      </c>
    </row>
    <row r="10705" spans="1:15">
      <c r="A10705" t="s">
        <v>39084</v>
      </c>
      <c r="B10705" t="s">
        <v>6742</v>
      </c>
      <c r="C10705" t="s">
        <v>28232</v>
      </c>
      <c r="D10705" t="s">
        <v>39085</v>
      </c>
      <c r="E10705" t="b">
        <v>0</v>
      </c>
      <c r="F10705" t="s">
        <v>11624</v>
      </c>
      <c r="G10705">
        <v>5.8601200000000002</v>
      </c>
      <c r="H10705">
        <v>-5.4063299999999996</v>
      </c>
      <c r="I10705" t="s">
        <v>39086</v>
      </c>
      <c r="L10705">
        <v>0</v>
      </c>
      <c r="M10705">
        <v>0</v>
      </c>
      <c r="N10705">
        <v>1</v>
      </c>
      <c r="O10705" t="s">
        <v>11735</v>
      </c>
    </row>
    <row r="10706" spans="1:15">
      <c r="A10706" t="s">
        <v>39087</v>
      </c>
      <c r="B10706" t="s">
        <v>367</v>
      </c>
      <c r="C10706" t="s">
        <v>37491</v>
      </c>
      <c r="D10706" t="s">
        <v>39088</v>
      </c>
      <c r="E10706" t="b">
        <v>0</v>
      </c>
      <c r="F10706" t="s">
        <v>11624</v>
      </c>
      <c r="G10706">
        <v>-14.29899</v>
      </c>
      <c r="H10706">
        <v>167.429382</v>
      </c>
      <c r="I10706" t="s">
        <v>39089</v>
      </c>
      <c r="L10706">
        <v>0</v>
      </c>
      <c r="M10706">
        <v>0</v>
      </c>
      <c r="N10706">
        <v>0</v>
      </c>
      <c r="O10706" t="s">
        <v>12719</v>
      </c>
    </row>
    <row r="10707" spans="1:15">
      <c r="A10707" t="s">
        <v>39090</v>
      </c>
      <c r="B10707" t="s">
        <v>367</v>
      </c>
      <c r="C10707" t="s">
        <v>39091</v>
      </c>
      <c r="D10707" t="s">
        <v>39092</v>
      </c>
      <c r="E10707" t="b">
        <v>0</v>
      </c>
      <c r="F10707" t="s">
        <v>11610</v>
      </c>
      <c r="L10707">
        <v>0</v>
      </c>
      <c r="M10707">
        <v>0</v>
      </c>
      <c r="N10707">
        <v>0</v>
      </c>
    </row>
    <row r="10708" spans="1:15">
      <c r="A10708" t="s">
        <v>9103</v>
      </c>
      <c r="B10708" t="s">
        <v>8897</v>
      </c>
      <c r="C10708" t="s">
        <v>23903</v>
      </c>
      <c r="D10708" t="s">
        <v>39093</v>
      </c>
      <c r="E10708" t="b">
        <v>0</v>
      </c>
      <c r="F10708" t="s">
        <v>11624</v>
      </c>
      <c r="G10708">
        <v>46.369900000000001</v>
      </c>
      <c r="H10708">
        <v>-103.95</v>
      </c>
      <c r="I10708" t="s">
        <v>9104</v>
      </c>
      <c r="L10708">
        <v>0</v>
      </c>
      <c r="M10708">
        <v>0</v>
      </c>
      <c r="N10708">
        <v>1</v>
      </c>
      <c r="O10708" t="s">
        <v>14875</v>
      </c>
    </row>
    <row r="10709" spans="1:15">
      <c r="A10709" t="s">
        <v>39094</v>
      </c>
      <c r="B10709" t="s">
        <v>12959</v>
      </c>
      <c r="C10709" t="s">
        <v>39095</v>
      </c>
      <c r="D10709" t="s">
        <v>39096</v>
      </c>
      <c r="E10709" t="b">
        <v>0</v>
      </c>
      <c r="F10709" t="s">
        <v>11624</v>
      </c>
      <c r="G10709">
        <v>-13.2</v>
      </c>
      <c r="H10709">
        <v>-60.5</v>
      </c>
      <c r="I10709" t="s">
        <v>39097</v>
      </c>
      <c r="L10709">
        <v>0</v>
      </c>
      <c r="M10709">
        <v>0</v>
      </c>
      <c r="N10709">
        <v>0</v>
      </c>
      <c r="O10709" t="s">
        <v>11969</v>
      </c>
    </row>
    <row r="10710" spans="1:15">
      <c r="A10710" t="s">
        <v>39098</v>
      </c>
      <c r="B10710" t="s">
        <v>367</v>
      </c>
      <c r="C10710" t="s">
        <v>20543</v>
      </c>
      <c r="D10710" t="s">
        <v>39099</v>
      </c>
      <c r="E10710" t="b">
        <v>0</v>
      </c>
      <c r="F10710" t="s">
        <v>11610</v>
      </c>
      <c r="L10710">
        <v>0</v>
      </c>
      <c r="M10710">
        <v>0</v>
      </c>
      <c r="N10710">
        <v>0</v>
      </c>
    </row>
    <row r="10711" spans="1:15">
      <c r="A10711" t="s">
        <v>39100</v>
      </c>
      <c r="B10711" t="s">
        <v>367</v>
      </c>
      <c r="C10711" t="s">
        <v>35075</v>
      </c>
      <c r="D10711" t="s">
        <v>39101</v>
      </c>
      <c r="E10711" t="b">
        <v>0</v>
      </c>
      <c r="F10711" t="s">
        <v>11624</v>
      </c>
      <c r="G10711">
        <v>-2.8833329999999999</v>
      </c>
      <c r="H10711">
        <v>151.25</v>
      </c>
      <c r="L10711">
        <v>0</v>
      </c>
      <c r="M10711">
        <v>0</v>
      </c>
      <c r="N10711">
        <v>0</v>
      </c>
      <c r="O10711" t="s">
        <v>11660</v>
      </c>
    </row>
    <row r="10712" spans="1:15">
      <c r="A10712" t="s">
        <v>26753</v>
      </c>
      <c r="B10712" t="s">
        <v>6742</v>
      </c>
      <c r="C10712" t="s">
        <v>17902</v>
      </c>
      <c r="D10712" t="s">
        <v>39102</v>
      </c>
      <c r="E10712" t="b">
        <v>0</v>
      </c>
      <c r="F10712" t="s">
        <v>11624</v>
      </c>
      <c r="G10712">
        <v>9.8942899999999998</v>
      </c>
      <c r="H10712">
        <v>12.169</v>
      </c>
      <c r="I10712" t="s">
        <v>39103</v>
      </c>
      <c r="L10712">
        <v>0</v>
      </c>
      <c r="M10712">
        <v>0</v>
      </c>
      <c r="N10712">
        <v>3</v>
      </c>
      <c r="O10712" t="s">
        <v>11693</v>
      </c>
    </row>
    <row r="10713" spans="1:15">
      <c r="A10713" t="s">
        <v>39104</v>
      </c>
      <c r="B10713" t="s">
        <v>6742</v>
      </c>
      <c r="C10713" t="s">
        <v>26753</v>
      </c>
      <c r="D10713" t="s">
        <v>39105</v>
      </c>
      <c r="E10713" t="b">
        <v>0</v>
      </c>
      <c r="F10713" t="s">
        <v>11610</v>
      </c>
      <c r="L10713">
        <v>0</v>
      </c>
      <c r="M10713">
        <v>0</v>
      </c>
      <c r="N10713">
        <v>0</v>
      </c>
    </row>
    <row r="10714" spans="1:15">
      <c r="A10714" t="s">
        <v>39106</v>
      </c>
      <c r="B10714" t="s">
        <v>6742</v>
      </c>
      <c r="C10714" t="s">
        <v>257</v>
      </c>
      <c r="D10714" t="s">
        <v>39107</v>
      </c>
      <c r="E10714" t="b">
        <v>0</v>
      </c>
      <c r="F10714" t="s">
        <v>11610</v>
      </c>
      <c r="L10714">
        <v>0</v>
      </c>
      <c r="M10714">
        <v>0</v>
      </c>
      <c r="N10714">
        <v>0</v>
      </c>
    </row>
    <row r="10715" spans="1:15">
      <c r="A10715" t="s">
        <v>4141</v>
      </c>
      <c r="B10715" t="s">
        <v>6742</v>
      </c>
      <c r="C10715" t="s">
        <v>18807</v>
      </c>
      <c r="D10715" t="s">
        <v>39108</v>
      </c>
      <c r="E10715" t="b">
        <v>0</v>
      </c>
      <c r="F10715" t="s">
        <v>11624</v>
      </c>
      <c r="G10715">
        <v>-12.945</v>
      </c>
      <c r="H10715">
        <v>30.229700000000001</v>
      </c>
      <c r="I10715" t="s">
        <v>4143</v>
      </c>
      <c r="L10715">
        <v>0</v>
      </c>
      <c r="M10715">
        <v>0</v>
      </c>
      <c r="N10715">
        <v>6</v>
      </c>
      <c r="O10715" t="s">
        <v>15167</v>
      </c>
    </row>
    <row r="10716" spans="1:15">
      <c r="A10716" t="s">
        <v>39109</v>
      </c>
      <c r="B10716" t="s">
        <v>6742</v>
      </c>
      <c r="C10716" t="s">
        <v>4141</v>
      </c>
      <c r="D10716" t="s">
        <v>39110</v>
      </c>
      <c r="E10716" t="b">
        <v>0</v>
      </c>
      <c r="F10716" t="s">
        <v>11610</v>
      </c>
      <c r="L10716">
        <v>0</v>
      </c>
      <c r="M10716">
        <v>0</v>
      </c>
      <c r="N10716">
        <v>0</v>
      </c>
    </row>
    <row r="10717" spans="1:15">
      <c r="A10717" t="s">
        <v>39111</v>
      </c>
      <c r="B10717" t="s">
        <v>367</v>
      </c>
      <c r="C10717" t="s">
        <v>16048</v>
      </c>
      <c r="D10717" t="s">
        <v>39112</v>
      </c>
      <c r="E10717" t="b">
        <v>0</v>
      </c>
      <c r="F10717" t="s">
        <v>11610</v>
      </c>
      <c r="L10717">
        <v>0</v>
      </c>
      <c r="M10717">
        <v>0</v>
      </c>
      <c r="N10717">
        <v>0</v>
      </c>
    </row>
    <row r="10718" spans="1:15">
      <c r="A10718" t="s">
        <v>39113</v>
      </c>
      <c r="B10718" t="s">
        <v>367</v>
      </c>
      <c r="C10718" t="s">
        <v>14606</v>
      </c>
      <c r="D10718" t="s">
        <v>39114</v>
      </c>
      <c r="E10718" t="b">
        <v>0</v>
      </c>
      <c r="F10718" t="s">
        <v>11610</v>
      </c>
      <c r="L10718">
        <v>0</v>
      </c>
      <c r="M10718">
        <v>0</v>
      </c>
      <c r="N10718">
        <v>0</v>
      </c>
    </row>
    <row r="10719" spans="1:15">
      <c r="A10719" t="s">
        <v>4142</v>
      </c>
      <c r="B10719" t="s">
        <v>367</v>
      </c>
      <c r="C10719" t="s">
        <v>38262</v>
      </c>
      <c r="D10719" t="s">
        <v>4140</v>
      </c>
      <c r="E10719" t="b">
        <v>0</v>
      </c>
      <c r="F10719" t="s">
        <v>11624</v>
      </c>
      <c r="G10719">
        <v>-8.9319500000000005</v>
      </c>
      <c r="H10719">
        <v>146.749</v>
      </c>
      <c r="I10719" t="s">
        <v>39115</v>
      </c>
      <c r="L10719">
        <v>0</v>
      </c>
      <c r="M10719">
        <v>0</v>
      </c>
      <c r="N10719">
        <v>0</v>
      </c>
      <c r="O10719" t="s">
        <v>11660</v>
      </c>
    </row>
    <row r="10720" spans="1:15">
      <c r="A10720" t="s">
        <v>39116</v>
      </c>
      <c r="B10720" t="s">
        <v>11839</v>
      </c>
      <c r="C10720" t="s">
        <v>39117</v>
      </c>
      <c r="D10720" t="s">
        <v>39118</v>
      </c>
      <c r="E10720" t="b">
        <v>0</v>
      </c>
      <c r="F10720" t="s">
        <v>11610</v>
      </c>
      <c r="L10720">
        <v>0</v>
      </c>
      <c r="M10720">
        <v>0</v>
      </c>
      <c r="N10720">
        <v>0</v>
      </c>
    </row>
    <row r="10721" spans="1:15">
      <c r="A10721" t="s">
        <v>39119</v>
      </c>
      <c r="B10721" t="s">
        <v>11879</v>
      </c>
      <c r="C10721" t="s">
        <v>22664</v>
      </c>
      <c r="D10721" t="s">
        <v>39120</v>
      </c>
      <c r="E10721" t="b">
        <v>0</v>
      </c>
      <c r="F10721" t="s">
        <v>11624</v>
      </c>
      <c r="G10721">
        <v>17.582509999999999</v>
      </c>
      <c r="H10721">
        <v>-96.006450000000001</v>
      </c>
      <c r="I10721" t="s">
        <v>39121</v>
      </c>
      <c r="L10721">
        <v>0</v>
      </c>
      <c r="M10721">
        <v>0</v>
      </c>
      <c r="N10721">
        <v>0</v>
      </c>
      <c r="O10721" t="s">
        <v>11883</v>
      </c>
    </row>
    <row r="10722" spans="1:15">
      <c r="A10722" t="s">
        <v>39122</v>
      </c>
      <c r="B10722" t="s">
        <v>12686</v>
      </c>
      <c r="C10722" t="s">
        <v>2123</v>
      </c>
      <c r="D10722" t="s">
        <v>39123</v>
      </c>
      <c r="E10722" t="b">
        <v>0</v>
      </c>
      <c r="F10722" t="s">
        <v>11610</v>
      </c>
      <c r="L10722">
        <v>0</v>
      </c>
      <c r="M10722">
        <v>0</v>
      </c>
      <c r="N10722">
        <v>0</v>
      </c>
    </row>
    <row r="10723" spans="1:15">
      <c r="A10723" t="s">
        <v>39124</v>
      </c>
      <c r="B10723" t="s">
        <v>6742</v>
      </c>
      <c r="C10723" t="s">
        <v>39125</v>
      </c>
      <c r="D10723" t="s">
        <v>39126</v>
      </c>
      <c r="E10723" t="b">
        <v>0</v>
      </c>
      <c r="F10723" t="s">
        <v>11610</v>
      </c>
      <c r="G10723">
        <v>-1.11711</v>
      </c>
      <c r="H10723">
        <v>23.363399999999999</v>
      </c>
      <c r="I10723" t="s">
        <v>39127</v>
      </c>
      <c r="L10723">
        <v>0</v>
      </c>
      <c r="M10723">
        <v>0</v>
      </c>
      <c r="N10723">
        <v>0</v>
      </c>
      <c r="O10723" t="s">
        <v>14825</v>
      </c>
    </row>
    <row r="10724" spans="1:15">
      <c r="A10724" t="s">
        <v>39128</v>
      </c>
      <c r="B10724" t="s">
        <v>11637</v>
      </c>
      <c r="C10724" t="s">
        <v>28286</v>
      </c>
      <c r="D10724" t="s">
        <v>39129</v>
      </c>
      <c r="E10724" t="b">
        <v>0</v>
      </c>
      <c r="F10724" t="s">
        <v>11610</v>
      </c>
      <c r="L10724">
        <v>0</v>
      </c>
      <c r="M10724">
        <v>0</v>
      </c>
      <c r="N10724">
        <v>0</v>
      </c>
    </row>
    <row r="10725" spans="1:15">
      <c r="A10725" t="s">
        <v>39130</v>
      </c>
      <c r="B10725" t="s">
        <v>367</v>
      </c>
      <c r="C10725" t="s">
        <v>39131</v>
      </c>
      <c r="D10725" t="s">
        <v>39132</v>
      </c>
      <c r="E10725" t="b">
        <v>0</v>
      </c>
      <c r="F10725" t="s">
        <v>11610</v>
      </c>
      <c r="L10725">
        <v>0</v>
      </c>
      <c r="M10725">
        <v>0</v>
      </c>
      <c r="N10725">
        <v>0</v>
      </c>
    </row>
    <row r="10726" spans="1:15">
      <c r="A10726" t="s">
        <v>26934</v>
      </c>
      <c r="B10726" t="s">
        <v>11644</v>
      </c>
      <c r="C10726" t="s">
        <v>37883</v>
      </c>
      <c r="D10726" t="s">
        <v>39133</v>
      </c>
      <c r="E10726" t="b">
        <v>0</v>
      </c>
      <c r="F10726" t="s">
        <v>11622</v>
      </c>
      <c r="L10726">
        <v>4</v>
      </c>
      <c r="M10726">
        <v>8</v>
      </c>
      <c r="N10726">
        <v>0</v>
      </c>
    </row>
    <row r="10727" spans="1:15">
      <c r="A10727" t="s">
        <v>37883</v>
      </c>
      <c r="B10727" t="s">
        <v>11644</v>
      </c>
      <c r="C10727" t="s">
        <v>39134</v>
      </c>
      <c r="D10727" t="s">
        <v>39135</v>
      </c>
      <c r="E10727" t="b">
        <v>0</v>
      </c>
      <c r="F10727" t="s">
        <v>11622</v>
      </c>
      <c r="L10727">
        <v>7</v>
      </c>
      <c r="M10727">
        <v>12</v>
      </c>
      <c r="N10727">
        <v>0</v>
      </c>
    </row>
    <row r="10728" spans="1:15">
      <c r="A10728" t="s">
        <v>23190</v>
      </c>
      <c r="B10728" t="s">
        <v>10597</v>
      </c>
      <c r="C10728" t="s">
        <v>12968</v>
      </c>
      <c r="D10728" t="s">
        <v>39136</v>
      </c>
      <c r="E10728" t="b">
        <v>0</v>
      </c>
      <c r="F10728" t="s">
        <v>11622</v>
      </c>
      <c r="L10728">
        <v>1</v>
      </c>
      <c r="M10728">
        <v>3</v>
      </c>
      <c r="N10728">
        <v>0</v>
      </c>
    </row>
    <row r="10729" spans="1:15">
      <c r="A10729" t="s">
        <v>39137</v>
      </c>
      <c r="B10729" t="s">
        <v>6742</v>
      </c>
      <c r="C10729" t="s">
        <v>19744</v>
      </c>
      <c r="D10729" t="s">
        <v>39138</v>
      </c>
      <c r="E10729" t="b">
        <v>0</v>
      </c>
      <c r="F10729" t="s">
        <v>11610</v>
      </c>
      <c r="L10729">
        <v>0</v>
      </c>
      <c r="M10729">
        <v>0</v>
      </c>
      <c r="N10729">
        <v>0</v>
      </c>
    </row>
    <row r="10730" spans="1:15">
      <c r="A10730" t="s">
        <v>24365</v>
      </c>
      <c r="B10730" t="s">
        <v>6742</v>
      </c>
      <c r="C10730" t="s">
        <v>33895</v>
      </c>
      <c r="D10730" t="s">
        <v>39139</v>
      </c>
      <c r="E10730" t="b">
        <v>0</v>
      </c>
      <c r="F10730" t="s">
        <v>11624</v>
      </c>
      <c r="G10730">
        <v>8.6695399999999996</v>
      </c>
      <c r="H10730">
        <v>0.83329299999999995</v>
      </c>
      <c r="I10730" t="s">
        <v>39140</v>
      </c>
      <c r="L10730">
        <v>0</v>
      </c>
      <c r="M10730">
        <v>0</v>
      </c>
      <c r="N10730">
        <v>3</v>
      </c>
      <c r="O10730" t="s">
        <v>14040</v>
      </c>
    </row>
    <row r="10731" spans="1:15">
      <c r="A10731" t="s">
        <v>39141</v>
      </c>
      <c r="B10731" t="s">
        <v>367</v>
      </c>
      <c r="C10731" t="s">
        <v>14685</v>
      </c>
      <c r="D10731" t="s">
        <v>39142</v>
      </c>
      <c r="E10731" t="b">
        <v>0</v>
      </c>
      <c r="F10731" t="s">
        <v>11610</v>
      </c>
      <c r="L10731">
        <v>0</v>
      </c>
      <c r="M10731">
        <v>0</v>
      </c>
      <c r="N10731">
        <v>0</v>
      </c>
    </row>
    <row r="10732" spans="1:15">
      <c r="A10732" t="s">
        <v>39143</v>
      </c>
      <c r="B10732" t="s">
        <v>367</v>
      </c>
      <c r="C10732" t="s">
        <v>27951</v>
      </c>
      <c r="D10732" t="s">
        <v>39144</v>
      </c>
      <c r="E10732" t="b">
        <v>0</v>
      </c>
      <c r="F10732" t="s">
        <v>11624</v>
      </c>
      <c r="G10732">
        <v>-8.3643900000000002</v>
      </c>
      <c r="H10732">
        <v>122.803</v>
      </c>
      <c r="I10732" t="s">
        <v>39145</v>
      </c>
      <c r="L10732">
        <v>0</v>
      </c>
      <c r="M10732">
        <v>0</v>
      </c>
      <c r="N10732">
        <v>12</v>
      </c>
      <c r="O10732" t="s">
        <v>11768</v>
      </c>
    </row>
    <row r="10733" spans="1:15">
      <c r="A10733" t="s">
        <v>35542</v>
      </c>
      <c r="B10733" t="s">
        <v>367</v>
      </c>
      <c r="C10733" t="s">
        <v>13129</v>
      </c>
      <c r="D10733" t="s">
        <v>39146</v>
      </c>
      <c r="E10733" t="b">
        <v>0</v>
      </c>
      <c r="F10733" t="s">
        <v>11624</v>
      </c>
      <c r="G10733">
        <v>-8.5322499999999994</v>
      </c>
      <c r="H10733">
        <v>123.44199999999999</v>
      </c>
      <c r="I10733" t="s">
        <v>39147</v>
      </c>
      <c r="L10733">
        <v>0</v>
      </c>
      <c r="M10733">
        <v>0</v>
      </c>
      <c r="N10733">
        <v>9</v>
      </c>
      <c r="O10733" t="s">
        <v>11768</v>
      </c>
    </row>
    <row r="10734" spans="1:15">
      <c r="A10734" t="s">
        <v>39148</v>
      </c>
      <c r="B10734" t="s">
        <v>367</v>
      </c>
      <c r="C10734" t="s">
        <v>39149</v>
      </c>
      <c r="D10734" t="s">
        <v>39150</v>
      </c>
      <c r="E10734" t="b">
        <v>0</v>
      </c>
      <c r="F10734" t="s">
        <v>11624</v>
      </c>
      <c r="G10734">
        <v>-8.3937399999999993</v>
      </c>
      <c r="H10734">
        <v>123.586</v>
      </c>
      <c r="I10734" t="s">
        <v>39151</v>
      </c>
      <c r="L10734">
        <v>0</v>
      </c>
      <c r="M10734">
        <v>0</v>
      </c>
      <c r="N10734">
        <v>0</v>
      </c>
      <c r="O10734" t="s">
        <v>11768</v>
      </c>
    </row>
    <row r="10735" spans="1:15">
      <c r="A10735" t="s">
        <v>39152</v>
      </c>
      <c r="B10735" t="s">
        <v>367</v>
      </c>
      <c r="C10735" t="s">
        <v>38882</v>
      </c>
      <c r="D10735" t="s">
        <v>39153</v>
      </c>
      <c r="E10735" t="b">
        <v>0</v>
      </c>
      <c r="F10735" t="s">
        <v>11610</v>
      </c>
      <c r="L10735">
        <v>0</v>
      </c>
      <c r="M10735">
        <v>0</v>
      </c>
      <c r="N10735">
        <v>0</v>
      </c>
    </row>
    <row r="10736" spans="1:15">
      <c r="A10736" t="s">
        <v>39154</v>
      </c>
      <c r="B10736" t="s">
        <v>367</v>
      </c>
      <c r="C10736" t="s">
        <v>39155</v>
      </c>
      <c r="D10736" t="s">
        <v>39156</v>
      </c>
      <c r="E10736" t="b">
        <v>0</v>
      </c>
      <c r="F10736" t="s">
        <v>11610</v>
      </c>
      <c r="L10736">
        <v>0</v>
      </c>
      <c r="M10736">
        <v>0</v>
      </c>
      <c r="N10736">
        <v>0</v>
      </c>
    </row>
    <row r="10737" spans="1:15">
      <c r="A10737" t="s">
        <v>30930</v>
      </c>
      <c r="B10737" t="s">
        <v>11607</v>
      </c>
      <c r="C10737" t="s">
        <v>18913</v>
      </c>
      <c r="D10737" t="s">
        <v>39157</v>
      </c>
      <c r="E10737" t="b">
        <v>0</v>
      </c>
      <c r="F10737" t="s">
        <v>11622</v>
      </c>
      <c r="L10737">
        <v>0</v>
      </c>
      <c r="M10737">
        <v>3</v>
      </c>
      <c r="N10737">
        <v>14</v>
      </c>
    </row>
    <row r="10738" spans="1:15">
      <c r="A10738" t="s">
        <v>21755</v>
      </c>
      <c r="B10738" t="s">
        <v>11607</v>
      </c>
      <c r="C10738" t="s">
        <v>30930</v>
      </c>
      <c r="D10738" t="s">
        <v>39158</v>
      </c>
      <c r="E10738" t="b">
        <v>0</v>
      </c>
      <c r="F10738" t="s">
        <v>11624</v>
      </c>
      <c r="G10738">
        <v>11.0243</v>
      </c>
      <c r="H10738">
        <v>13.7362</v>
      </c>
      <c r="I10738" t="s">
        <v>39159</v>
      </c>
      <c r="L10738">
        <v>0</v>
      </c>
      <c r="M10738">
        <v>0</v>
      </c>
      <c r="N10738">
        <v>11</v>
      </c>
      <c r="O10738" t="s">
        <v>11693</v>
      </c>
    </row>
    <row r="10739" spans="1:15">
      <c r="A10739" t="s">
        <v>39160</v>
      </c>
      <c r="B10739" t="s">
        <v>11627</v>
      </c>
      <c r="C10739" t="s">
        <v>11627</v>
      </c>
      <c r="D10739" t="s">
        <v>39161</v>
      </c>
      <c r="E10739" t="b">
        <v>1</v>
      </c>
      <c r="F10739" t="s">
        <v>11624</v>
      </c>
      <c r="G10739">
        <v>27.623699999999999</v>
      </c>
      <c r="H10739">
        <v>98.469399999999993</v>
      </c>
      <c r="I10739" t="s">
        <v>39162</v>
      </c>
      <c r="L10739">
        <v>0</v>
      </c>
      <c r="M10739">
        <v>0</v>
      </c>
      <c r="N10739">
        <v>0</v>
      </c>
      <c r="O10739" t="s">
        <v>14059</v>
      </c>
    </row>
    <row r="10740" spans="1:15">
      <c r="A10740" t="s">
        <v>39163</v>
      </c>
      <c r="B10740" t="s">
        <v>11627</v>
      </c>
      <c r="C10740" t="s">
        <v>11627</v>
      </c>
      <c r="D10740" t="s">
        <v>39164</v>
      </c>
      <c r="E10740" t="b">
        <v>1</v>
      </c>
      <c r="F10740" t="s">
        <v>11624</v>
      </c>
      <c r="G10740">
        <v>14.3658</v>
      </c>
      <c r="H10740">
        <v>107.336</v>
      </c>
      <c r="I10740" t="s">
        <v>39165</v>
      </c>
      <c r="L10740">
        <v>0</v>
      </c>
      <c r="M10740">
        <v>0</v>
      </c>
      <c r="N10740">
        <v>0</v>
      </c>
      <c r="O10740" t="s">
        <v>20983</v>
      </c>
    </row>
    <row r="10741" spans="1:15">
      <c r="A10741" t="s">
        <v>33979</v>
      </c>
      <c r="B10741" t="s">
        <v>12438</v>
      </c>
      <c r="C10741" t="s">
        <v>31520</v>
      </c>
      <c r="D10741" t="s">
        <v>39166</v>
      </c>
      <c r="E10741" t="b">
        <v>0</v>
      </c>
      <c r="F10741" t="s">
        <v>11622</v>
      </c>
      <c r="L10741">
        <v>0</v>
      </c>
      <c r="M10741">
        <v>2</v>
      </c>
      <c r="N10741">
        <v>0</v>
      </c>
    </row>
    <row r="10742" spans="1:15">
      <c r="A10742" t="s">
        <v>39167</v>
      </c>
      <c r="B10742" t="s">
        <v>367</v>
      </c>
      <c r="C10742" t="s">
        <v>39168</v>
      </c>
      <c r="D10742" t="s">
        <v>39169</v>
      </c>
      <c r="E10742" t="b">
        <v>0</v>
      </c>
      <c r="F10742" t="s">
        <v>11622</v>
      </c>
      <c r="L10742">
        <v>6</v>
      </c>
      <c r="M10742">
        <v>12</v>
      </c>
      <c r="N10742">
        <v>42</v>
      </c>
    </row>
    <row r="10743" spans="1:15">
      <c r="A10743" t="s">
        <v>13129</v>
      </c>
      <c r="B10743" t="s">
        <v>367</v>
      </c>
      <c r="C10743" t="s">
        <v>39167</v>
      </c>
      <c r="D10743" t="s">
        <v>39170</v>
      </c>
      <c r="E10743" t="b">
        <v>0</v>
      </c>
      <c r="F10743" t="s">
        <v>11622</v>
      </c>
      <c r="L10743">
        <v>2</v>
      </c>
      <c r="M10743">
        <v>7</v>
      </c>
      <c r="N10743">
        <v>33</v>
      </c>
    </row>
    <row r="10744" spans="1:15">
      <c r="A10744" t="s">
        <v>39171</v>
      </c>
      <c r="B10744" t="s">
        <v>367</v>
      </c>
      <c r="C10744" t="s">
        <v>39167</v>
      </c>
      <c r="D10744" t="s">
        <v>39172</v>
      </c>
      <c r="E10744" t="b">
        <v>0</v>
      </c>
      <c r="F10744" t="s">
        <v>11622</v>
      </c>
      <c r="L10744">
        <v>1</v>
      </c>
      <c r="M10744">
        <v>3</v>
      </c>
      <c r="N10744">
        <v>9</v>
      </c>
    </row>
    <row r="10745" spans="1:15">
      <c r="A10745" t="s">
        <v>39173</v>
      </c>
      <c r="B10745" t="s">
        <v>11644</v>
      </c>
      <c r="C10745" t="s">
        <v>19716</v>
      </c>
      <c r="D10745" t="s">
        <v>39174</v>
      </c>
      <c r="E10745" t="b">
        <v>0</v>
      </c>
      <c r="F10745" t="s">
        <v>11610</v>
      </c>
      <c r="L10745">
        <v>0</v>
      </c>
      <c r="M10745">
        <v>0</v>
      </c>
      <c r="N10745">
        <v>0</v>
      </c>
    </row>
    <row r="10746" spans="1:15">
      <c r="A10746" t="s">
        <v>39149</v>
      </c>
      <c r="B10746" t="s">
        <v>367</v>
      </c>
      <c r="C10746" t="s">
        <v>39167</v>
      </c>
      <c r="D10746" t="s">
        <v>39175</v>
      </c>
      <c r="E10746" t="b">
        <v>0</v>
      </c>
      <c r="F10746" t="s">
        <v>11622</v>
      </c>
      <c r="L10746">
        <v>0</v>
      </c>
      <c r="M10746">
        <v>2</v>
      </c>
      <c r="N10746">
        <v>0</v>
      </c>
    </row>
    <row r="10747" spans="1:15">
      <c r="A10747" t="s">
        <v>39176</v>
      </c>
      <c r="B10747" t="s">
        <v>367</v>
      </c>
      <c r="C10747" t="s">
        <v>26208</v>
      </c>
      <c r="D10747" t="s">
        <v>39177</v>
      </c>
      <c r="E10747" t="b">
        <v>0</v>
      </c>
      <c r="F10747" t="s">
        <v>11610</v>
      </c>
      <c r="L10747">
        <v>0</v>
      </c>
      <c r="M10747">
        <v>0</v>
      </c>
      <c r="N10747">
        <v>0</v>
      </c>
    </row>
    <row r="10748" spans="1:15">
      <c r="A10748" t="s">
        <v>39178</v>
      </c>
      <c r="B10748" t="s">
        <v>367</v>
      </c>
      <c r="C10748" t="s">
        <v>39179</v>
      </c>
      <c r="D10748" t="s">
        <v>39180</v>
      </c>
      <c r="E10748" t="b">
        <v>0</v>
      </c>
      <c r="F10748" t="s">
        <v>11610</v>
      </c>
      <c r="L10748">
        <v>0</v>
      </c>
      <c r="M10748">
        <v>0</v>
      </c>
      <c r="N10748">
        <v>0</v>
      </c>
    </row>
    <row r="10749" spans="1:15">
      <c r="A10749" t="s">
        <v>39181</v>
      </c>
      <c r="B10749" t="s">
        <v>367</v>
      </c>
      <c r="C10749" t="s">
        <v>39182</v>
      </c>
      <c r="D10749" t="s">
        <v>39183</v>
      </c>
      <c r="E10749" t="b">
        <v>0</v>
      </c>
      <c r="F10749" t="s">
        <v>11610</v>
      </c>
      <c r="L10749">
        <v>0</v>
      </c>
      <c r="M10749">
        <v>0</v>
      </c>
      <c r="N10749">
        <v>0</v>
      </c>
    </row>
    <row r="10750" spans="1:15">
      <c r="A10750" t="s">
        <v>13717</v>
      </c>
      <c r="B10750" t="s">
        <v>11637</v>
      </c>
      <c r="C10750" t="s">
        <v>15874</v>
      </c>
      <c r="D10750" t="s">
        <v>39184</v>
      </c>
      <c r="E10750" t="b">
        <v>0</v>
      </c>
      <c r="F10750" t="s">
        <v>11624</v>
      </c>
      <c r="G10750">
        <v>16.573399999999999</v>
      </c>
      <c r="H10750">
        <v>76.971699999999998</v>
      </c>
      <c r="I10750" t="s">
        <v>39185</v>
      </c>
      <c r="L10750">
        <v>0</v>
      </c>
      <c r="M10750">
        <v>0</v>
      </c>
      <c r="N10750">
        <v>3</v>
      </c>
      <c r="O10750" t="s">
        <v>11630</v>
      </c>
    </row>
    <row r="10751" spans="1:15">
      <c r="A10751" t="s">
        <v>39186</v>
      </c>
      <c r="B10751" t="s">
        <v>6742</v>
      </c>
      <c r="C10751" t="s">
        <v>3610</v>
      </c>
      <c r="D10751" t="s">
        <v>39187</v>
      </c>
      <c r="E10751" t="b">
        <v>0</v>
      </c>
      <c r="F10751" t="s">
        <v>11610</v>
      </c>
      <c r="L10751">
        <v>0</v>
      </c>
      <c r="M10751">
        <v>0</v>
      </c>
      <c r="N10751">
        <v>0</v>
      </c>
    </row>
    <row r="10752" spans="1:15">
      <c r="A10752" t="s">
        <v>39188</v>
      </c>
      <c r="B10752" t="s">
        <v>6742</v>
      </c>
      <c r="C10752" t="s">
        <v>18807</v>
      </c>
      <c r="D10752" t="s">
        <v>39189</v>
      </c>
      <c r="E10752" t="b">
        <v>0</v>
      </c>
      <c r="F10752" t="s">
        <v>11624</v>
      </c>
      <c r="G10752">
        <v>-12.336600000000001</v>
      </c>
      <c r="H10752">
        <v>27.9026</v>
      </c>
      <c r="I10752" t="s">
        <v>39190</v>
      </c>
      <c r="L10752">
        <v>0</v>
      </c>
      <c r="M10752">
        <v>0</v>
      </c>
      <c r="N10752">
        <v>2</v>
      </c>
      <c r="O10752" t="s">
        <v>15167</v>
      </c>
    </row>
    <row r="10753" spans="1:15">
      <c r="A10753" t="s">
        <v>39191</v>
      </c>
      <c r="B10753" t="s">
        <v>6742</v>
      </c>
      <c r="C10753" t="s">
        <v>39192</v>
      </c>
      <c r="D10753" t="s">
        <v>39193</v>
      </c>
      <c r="E10753" t="b">
        <v>0</v>
      </c>
      <c r="F10753" t="s">
        <v>11624</v>
      </c>
      <c r="G10753">
        <v>-9.4937199999999997</v>
      </c>
      <c r="H10753">
        <v>33.158520000000003</v>
      </c>
      <c r="I10753" t="s">
        <v>39194</v>
      </c>
      <c r="L10753">
        <v>0</v>
      </c>
      <c r="M10753">
        <v>0</v>
      </c>
      <c r="N10753">
        <v>0</v>
      </c>
      <c r="O10753" t="s">
        <v>39195</v>
      </c>
    </row>
    <row r="10754" spans="1:15">
      <c r="A10754" t="s">
        <v>39196</v>
      </c>
      <c r="B10754" t="s">
        <v>367</v>
      </c>
      <c r="C10754" t="s">
        <v>39197</v>
      </c>
      <c r="D10754" t="s">
        <v>39198</v>
      </c>
      <c r="E10754" t="b">
        <v>0</v>
      </c>
      <c r="F10754" t="s">
        <v>11624</v>
      </c>
      <c r="G10754">
        <v>-9.7043400000000002</v>
      </c>
      <c r="H10754">
        <v>119.34399999999999</v>
      </c>
      <c r="I10754" t="s">
        <v>39199</v>
      </c>
      <c r="L10754">
        <v>0</v>
      </c>
      <c r="M10754">
        <v>0</v>
      </c>
      <c r="N10754">
        <v>0</v>
      </c>
      <c r="O10754" t="s">
        <v>11768</v>
      </c>
    </row>
    <row r="10755" spans="1:15">
      <c r="A10755" t="s">
        <v>39200</v>
      </c>
      <c r="B10755" t="s">
        <v>367</v>
      </c>
      <c r="C10755" t="s">
        <v>13941</v>
      </c>
      <c r="D10755" t="s">
        <v>39201</v>
      </c>
      <c r="E10755" t="b">
        <v>0</v>
      </c>
      <c r="F10755" t="s">
        <v>11610</v>
      </c>
      <c r="L10755">
        <v>0</v>
      </c>
      <c r="M10755">
        <v>0</v>
      </c>
      <c r="N10755">
        <v>0</v>
      </c>
    </row>
    <row r="10756" spans="1:15">
      <c r="A10756" t="s">
        <v>39202</v>
      </c>
      <c r="B10756" t="s">
        <v>11615</v>
      </c>
      <c r="C10756" t="s">
        <v>12938</v>
      </c>
      <c r="D10756" t="s">
        <v>39203</v>
      </c>
      <c r="E10756" t="b">
        <v>0</v>
      </c>
      <c r="F10756" t="s">
        <v>11610</v>
      </c>
      <c r="L10756">
        <v>0</v>
      </c>
      <c r="M10756">
        <v>0</v>
      </c>
      <c r="N10756">
        <v>0</v>
      </c>
    </row>
    <row r="10757" spans="1:15">
      <c r="A10757" t="s">
        <v>21040</v>
      </c>
      <c r="B10757" t="s">
        <v>141</v>
      </c>
      <c r="C10757" t="s">
        <v>6869</v>
      </c>
      <c r="D10757" t="s">
        <v>39204</v>
      </c>
      <c r="E10757" t="b">
        <v>0</v>
      </c>
      <c r="F10757" t="s">
        <v>11624</v>
      </c>
      <c r="G10757">
        <v>-6.1715</v>
      </c>
      <c r="H10757">
        <v>-79.468000000000004</v>
      </c>
      <c r="I10757" t="s">
        <v>39205</v>
      </c>
      <c r="L10757">
        <v>0</v>
      </c>
      <c r="M10757">
        <v>0</v>
      </c>
      <c r="N10757">
        <v>2</v>
      </c>
      <c r="O10757" t="s">
        <v>11778</v>
      </c>
    </row>
    <row r="10758" spans="1:15">
      <c r="A10758" t="s">
        <v>39206</v>
      </c>
      <c r="B10758" t="s">
        <v>11627</v>
      </c>
      <c r="C10758" t="s">
        <v>11627</v>
      </c>
      <c r="D10758" t="s">
        <v>39207</v>
      </c>
      <c r="E10758" t="b">
        <v>1</v>
      </c>
      <c r="F10758" t="s">
        <v>11624</v>
      </c>
      <c r="G10758">
        <v>27.054300000000001</v>
      </c>
      <c r="H10758">
        <v>87.216800000000006</v>
      </c>
      <c r="I10758" t="s">
        <v>39208</v>
      </c>
      <c r="L10758">
        <v>0</v>
      </c>
      <c r="M10758">
        <v>0</v>
      </c>
      <c r="N10758">
        <v>0</v>
      </c>
      <c r="O10758" t="s">
        <v>15007</v>
      </c>
    </row>
    <row r="10759" spans="1:15">
      <c r="A10759" t="s">
        <v>39209</v>
      </c>
      <c r="B10759" t="s">
        <v>11644</v>
      </c>
      <c r="C10759" t="s">
        <v>19837</v>
      </c>
      <c r="D10759" t="s">
        <v>39210</v>
      </c>
      <c r="E10759" t="b">
        <v>0</v>
      </c>
      <c r="F10759" t="s">
        <v>11610</v>
      </c>
      <c r="L10759">
        <v>0</v>
      </c>
      <c r="M10759">
        <v>0</v>
      </c>
      <c r="N10759">
        <v>0</v>
      </c>
    </row>
    <row r="10760" spans="1:15">
      <c r="A10760" t="s">
        <v>39211</v>
      </c>
      <c r="B10760" t="s">
        <v>12438</v>
      </c>
      <c r="C10760" t="s">
        <v>13840</v>
      </c>
      <c r="D10760" t="s">
        <v>39212</v>
      </c>
      <c r="E10760" t="b">
        <v>0</v>
      </c>
      <c r="F10760" t="s">
        <v>11624</v>
      </c>
      <c r="G10760">
        <v>19.882899999999999</v>
      </c>
      <c r="H10760">
        <v>100.268</v>
      </c>
      <c r="I10760" t="s">
        <v>39213</v>
      </c>
      <c r="L10760">
        <v>0</v>
      </c>
      <c r="M10760">
        <v>0</v>
      </c>
      <c r="N10760">
        <v>2</v>
      </c>
      <c r="O10760" t="s">
        <v>12442</v>
      </c>
    </row>
    <row r="10761" spans="1:15">
      <c r="A10761" t="s">
        <v>30198</v>
      </c>
      <c r="B10761" t="s">
        <v>6742</v>
      </c>
      <c r="C10761" t="s">
        <v>33122</v>
      </c>
      <c r="D10761" t="s">
        <v>39214</v>
      </c>
      <c r="E10761" t="b">
        <v>0</v>
      </c>
      <c r="F10761" t="s">
        <v>11624</v>
      </c>
      <c r="G10761">
        <v>10.722899999999999</v>
      </c>
      <c r="H10761">
        <v>8.7876799999999999</v>
      </c>
      <c r="I10761" t="s">
        <v>39215</v>
      </c>
      <c r="L10761">
        <v>0</v>
      </c>
      <c r="M10761">
        <v>0</v>
      </c>
      <c r="N10761">
        <v>3</v>
      </c>
      <c r="O10761" t="s">
        <v>11693</v>
      </c>
    </row>
    <row r="10762" spans="1:15">
      <c r="A10762" t="s">
        <v>39216</v>
      </c>
      <c r="B10762" t="s">
        <v>367</v>
      </c>
      <c r="C10762" t="s">
        <v>16133</v>
      </c>
      <c r="D10762" t="s">
        <v>39217</v>
      </c>
      <c r="E10762" t="b">
        <v>0</v>
      </c>
      <c r="F10762" t="s">
        <v>11622</v>
      </c>
      <c r="L10762">
        <v>0</v>
      </c>
      <c r="M10762">
        <v>2</v>
      </c>
      <c r="N10762">
        <v>2</v>
      </c>
    </row>
    <row r="10763" spans="1:15">
      <c r="A10763" t="s">
        <v>39218</v>
      </c>
      <c r="B10763" t="s">
        <v>367</v>
      </c>
      <c r="C10763" t="s">
        <v>39216</v>
      </c>
      <c r="D10763" t="s">
        <v>39219</v>
      </c>
      <c r="E10763" t="b">
        <v>0</v>
      </c>
      <c r="F10763" t="s">
        <v>11624</v>
      </c>
      <c r="G10763">
        <v>-16.6098</v>
      </c>
      <c r="H10763">
        <v>168.17099999999999</v>
      </c>
      <c r="I10763" t="s">
        <v>39220</v>
      </c>
      <c r="L10763">
        <v>0</v>
      </c>
      <c r="M10763">
        <v>0</v>
      </c>
      <c r="N10763">
        <v>0</v>
      </c>
      <c r="O10763" t="s">
        <v>12719</v>
      </c>
    </row>
    <row r="10764" spans="1:15">
      <c r="A10764" t="s">
        <v>39221</v>
      </c>
      <c r="B10764" t="s">
        <v>12751</v>
      </c>
      <c r="C10764" t="s">
        <v>27050</v>
      </c>
      <c r="D10764" t="s">
        <v>39222</v>
      </c>
      <c r="E10764" t="b">
        <v>0</v>
      </c>
      <c r="F10764" t="s">
        <v>11610</v>
      </c>
      <c r="L10764">
        <v>0</v>
      </c>
      <c r="M10764">
        <v>0</v>
      </c>
      <c r="N10764">
        <v>0</v>
      </c>
    </row>
    <row r="10765" spans="1:15">
      <c r="A10765" t="s">
        <v>39223</v>
      </c>
      <c r="B10765" t="s">
        <v>11607</v>
      </c>
      <c r="C10765" t="s">
        <v>24162</v>
      </c>
      <c r="D10765" t="s">
        <v>39224</v>
      </c>
      <c r="E10765" t="b">
        <v>0</v>
      </c>
      <c r="F10765" t="s">
        <v>11610</v>
      </c>
      <c r="L10765">
        <v>0</v>
      </c>
      <c r="M10765">
        <v>0</v>
      </c>
      <c r="N10765">
        <v>0</v>
      </c>
    </row>
    <row r="10766" spans="1:15">
      <c r="A10766" t="s">
        <v>30440</v>
      </c>
      <c r="B10766" t="s">
        <v>6742</v>
      </c>
      <c r="C10766" t="s">
        <v>39225</v>
      </c>
      <c r="D10766" t="s">
        <v>39226</v>
      </c>
      <c r="E10766" t="b">
        <v>0</v>
      </c>
      <c r="F10766" t="s">
        <v>11622</v>
      </c>
      <c r="L10766">
        <v>0</v>
      </c>
      <c r="M10766">
        <v>2</v>
      </c>
      <c r="N10766">
        <v>0</v>
      </c>
    </row>
    <row r="10767" spans="1:15">
      <c r="A10767" t="s">
        <v>39227</v>
      </c>
      <c r="B10767" t="s">
        <v>367</v>
      </c>
      <c r="C10767" t="s">
        <v>16054</v>
      </c>
      <c r="D10767" t="s">
        <v>39228</v>
      </c>
      <c r="E10767" t="b">
        <v>0</v>
      </c>
      <c r="F10767" t="s">
        <v>11610</v>
      </c>
      <c r="L10767">
        <v>0</v>
      </c>
      <c r="M10767">
        <v>0</v>
      </c>
      <c r="N10767">
        <v>0</v>
      </c>
    </row>
    <row r="10768" spans="1:15">
      <c r="A10768" t="s">
        <v>39229</v>
      </c>
      <c r="B10768" t="s">
        <v>11644</v>
      </c>
      <c r="C10768" t="s">
        <v>13869</v>
      </c>
      <c r="D10768" t="s">
        <v>39230</v>
      </c>
      <c r="E10768" t="b">
        <v>0</v>
      </c>
      <c r="F10768" t="s">
        <v>11610</v>
      </c>
      <c r="L10768">
        <v>0</v>
      </c>
      <c r="M10768">
        <v>0</v>
      </c>
      <c r="N10768">
        <v>0</v>
      </c>
    </row>
    <row r="10769" spans="1:15">
      <c r="A10769" t="s">
        <v>39231</v>
      </c>
      <c r="B10769" t="s">
        <v>11644</v>
      </c>
      <c r="C10769" t="s">
        <v>25943</v>
      </c>
      <c r="D10769" t="s">
        <v>39232</v>
      </c>
      <c r="E10769" t="b">
        <v>0</v>
      </c>
      <c r="F10769" t="s">
        <v>11610</v>
      </c>
      <c r="L10769">
        <v>0</v>
      </c>
      <c r="M10769">
        <v>0</v>
      </c>
      <c r="N10769">
        <v>0</v>
      </c>
    </row>
    <row r="10770" spans="1:15">
      <c r="A10770" t="s">
        <v>24493</v>
      </c>
      <c r="B10770" t="s">
        <v>6742</v>
      </c>
      <c r="C10770" t="s">
        <v>24899</v>
      </c>
      <c r="D10770" t="s">
        <v>39233</v>
      </c>
      <c r="E10770" t="b">
        <v>0</v>
      </c>
      <c r="F10770" t="s">
        <v>11624</v>
      </c>
      <c r="G10770">
        <v>8.6377199999999998</v>
      </c>
      <c r="H10770">
        <v>12.164400000000001</v>
      </c>
      <c r="I10770" t="s">
        <v>39234</v>
      </c>
      <c r="L10770">
        <v>0</v>
      </c>
      <c r="M10770">
        <v>0</v>
      </c>
      <c r="N10770">
        <v>3</v>
      </c>
      <c r="O10770" t="s">
        <v>11693</v>
      </c>
    </row>
    <row r="10771" spans="1:15">
      <c r="A10771" t="s">
        <v>39235</v>
      </c>
      <c r="B10771" t="s">
        <v>6742</v>
      </c>
      <c r="C10771" t="s">
        <v>24493</v>
      </c>
      <c r="D10771" t="s">
        <v>39236</v>
      </c>
      <c r="E10771" t="b">
        <v>0</v>
      </c>
      <c r="F10771" t="s">
        <v>11610</v>
      </c>
      <c r="L10771">
        <v>0</v>
      </c>
      <c r="M10771">
        <v>0</v>
      </c>
      <c r="N10771">
        <v>0</v>
      </c>
    </row>
    <row r="10772" spans="1:15">
      <c r="A10772" t="s">
        <v>39237</v>
      </c>
      <c r="B10772" t="s">
        <v>11644</v>
      </c>
      <c r="C10772" t="s">
        <v>25939</v>
      </c>
      <c r="D10772" t="s">
        <v>39238</v>
      </c>
      <c r="E10772" t="b">
        <v>0</v>
      </c>
      <c r="F10772" t="s">
        <v>11610</v>
      </c>
      <c r="L10772">
        <v>0</v>
      </c>
      <c r="M10772">
        <v>0</v>
      </c>
      <c r="N10772">
        <v>0</v>
      </c>
    </row>
    <row r="10773" spans="1:15">
      <c r="A10773" t="s">
        <v>39239</v>
      </c>
      <c r="B10773" t="s">
        <v>11644</v>
      </c>
      <c r="C10773" t="s">
        <v>12529</v>
      </c>
      <c r="D10773" t="s">
        <v>39240</v>
      </c>
      <c r="E10773" t="b">
        <v>0</v>
      </c>
      <c r="F10773" t="s">
        <v>11624</v>
      </c>
      <c r="G10773">
        <v>24.1523</v>
      </c>
      <c r="H10773">
        <v>94.270600000000002</v>
      </c>
      <c r="I10773" t="s">
        <v>39241</v>
      </c>
      <c r="L10773">
        <v>0</v>
      </c>
      <c r="M10773">
        <v>0</v>
      </c>
      <c r="N10773">
        <v>0</v>
      </c>
      <c r="O10773" t="s">
        <v>13598</v>
      </c>
    </row>
    <row r="10774" spans="1:15">
      <c r="A10774" t="s">
        <v>18383</v>
      </c>
      <c r="B10774" t="s">
        <v>11839</v>
      </c>
      <c r="C10774" t="s">
        <v>13132</v>
      </c>
      <c r="D10774" t="s">
        <v>39242</v>
      </c>
      <c r="E10774" t="b">
        <v>0</v>
      </c>
      <c r="F10774" t="s">
        <v>11624</v>
      </c>
      <c r="G10774">
        <v>-8.5278700000000001</v>
      </c>
      <c r="H10774">
        <v>124.057</v>
      </c>
      <c r="I10774" t="s">
        <v>39243</v>
      </c>
      <c r="L10774">
        <v>0</v>
      </c>
      <c r="M10774">
        <v>0</v>
      </c>
      <c r="N10774">
        <v>3</v>
      </c>
      <c r="O10774" t="s">
        <v>11768</v>
      </c>
    </row>
    <row r="10775" spans="1:15">
      <c r="A10775" t="s">
        <v>39244</v>
      </c>
      <c r="B10775" t="s">
        <v>11607</v>
      </c>
      <c r="C10775" t="s">
        <v>29223</v>
      </c>
      <c r="D10775" t="s">
        <v>39245</v>
      </c>
      <c r="E10775" t="b">
        <v>0</v>
      </c>
      <c r="F10775" t="s">
        <v>11610</v>
      </c>
      <c r="L10775">
        <v>0</v>
      </c>
      <c r="M10775">
        <v>0</v>
      </c>
      <c r="N10775">
        <v>0</v>
      </c>
    </row>
    <row r="10776" spans="1:15">
      <c r="A10776" t="s">
        <v>39246</v>
      </c>
      <c r="B10776" t="s">
        <v>6742</v>
      </c>
      <c r="C10776" t="s">
        <v>21873</v>
      </c>
      <c r="D10776" t="s">
        <v>39247</v>
      </c>
      <c r="E10776" t="b">
        <v>0</v>
      </c>
      <c r="F10776" t="s">
        <v>11624</v>
      </c>
      <c r="G10776">
        <v>6.3974299999999999</v>
      </c>
      <c r="H10776">
        <v>11.0684</v>
      </c>
      <c r="I10776" t="s">
        <v>39248</v>
      </c>
      <c r="L10776">
        <v>0</v>
      </c>
      <c r="M10776">
        <v>0</v>
      </c>
      <c r="N10776">
        <v>0</v>
      </c>
      <c r="O10776" t="s">
        <v>11802</v>
      </c>
    </row>
    <row r="10777" spans="1:15">
      <c r="A10777" t="s">
        <v>39249</v>
      </c>
      <c r="B10777" t="s">
        <v>6742</v>
      </c>
      <c r="C10777" t="s">
        <v>798</v>
      </c>
      <c r="D10777" t="s">
        <v>39250</v>
      </c>
      <c r="E10777" t="b">
        <v>0</v>
      </c>
      <c r="F10777" t="s">
        <v>11610</v>
      </c>
      <c r="L10777">
        <v>0</v>
      </c>
      <c r="M10777">
        <v>0</v>
      </c>
      <c r="N10777">
        <v>0</v>
      </c>
    </row>
    <row r="10778" spans="1:15">
      <c r="A10778" t="s">
        <v>39251</v>
      </c>
      <c r="B10778" t="s">
        <v>367</v>
      </c>
      <c r="C10778" t="s">
        <v>10853</v>
      </c>
      <c r="D10778" t="s">
        <v>39252</v>
      </c>
      <c r="E10778" t="b">
        <v>0</v>
      </c>
      <c r="F10778" t="s">
        <v>11610</v>
      </c>
      <c r="L10778">
        <v>0</v>
      </c>
      <c r="M10778">
        <v>0</v>
      </c>
      <c r="N10778">
        <v>0</v>
      </c>
    </row>
    <row r="10779" spans="1:15">
      <c r="A10779" t="s">
        <v>31883</v>
      </c>
      <c r="B10779" t="s">
        <v>367</v>
      </c>
      <c r="C10779" t="s">
        <v>18423</v>
      </c>
      <c r="D10779" t="s">
        <v>39253</v>
      </c>
      <c r="E10779" t="b">
        <v>0</v>
      </c>
      <c r="F10779" t="s">
        <v>11624</v>
      </c>
      <c r="G10779">
        <v>-5.8707099999999999</v>
      </c>
      <c r="H10779">
        <v>149.321</v>
      </c>
      <c r="I10779" t="s">
        <v>39254</v>
      </c>
      <c r="L10779">
        <v>0</v>
      </c>
      <c r="M10779">
        <v>0</v>
      </c>
      <c r="N10779">
        <v>5</v>
      </c>
      <c r="O10779" t="s">
        <v>11660</v>
      </c>
    </row>
    <row r="10780" spans="1:15">
      <c r="A10780" t="s">
        <v>39255</v>
      </c>
      <c r="B10780" t="s">
        <v>11644</v>
      </c>
      <c r="C10780" t="s">
        <v>25390</v>
      </c>
      <c r="D10780" t="s">
        <v>39256</v>
      </c>
      <c r="E10780" t="b">
        <v>0</v>
      </c>
      <c r="F10780" t="s">
        <v>11624</v>
      </c>
      <c r="L10780">
        <v>0</v>
      </c>
      <c r="M10780">
        <v>0</v>
      </c>
      <c r="N10780">
        <v>0</v>
      </c>
      <c r="O10780" t="s">
        <v>11905</v>
      </c>
    </row>
    <row r="10781" spans="1:15">
      <c r="A10781" t="s">
        <v>37149</v>
      </c>
      <c r="B10781" t="s">
        <v>367</v>
      </c>
      <c r="C10781" t="s">
        <v>4363</v>
      </c>
      <c r="D10781" t="s">
        <v>39257</v>
      </c>
      <c r="E10781" t="b">
        <v>0</v>
      </c>
      <c r="F10781" t="s">
        <v>11622</v>
      </c>
      <c r="L10781">
        <v>0</v>
      </c>
      <c r="M10781">
        <v>3</v>
      </c>
      <c r="N10781">
        <v>3</v>
      </c>
    </row>
    <row r="10782" spans="1:15">
      <c r="A10782" t="s">
        <v>33063</v>
      </c>
      <c r="B10782" t="s">
        <v>367</v>
      </c>
      <c r="C10782" t="s">
        <v>37149</v>
      </c>
      <c r="D10782" t="s">
        <v>39258</v>
      </c>
      <c r="E10782" t="b">
        <v>0</v>
      </c>
      <c r="F10782" t="s">
        <v>11624</v>
      </c>
      <c r="G10782">
        <v>-4.4395699999999998</v>
      </c>
      <c r="H10782">
        <v>105.39700000000001</v>
      </c>
      <c r="I10782" t="s">
        <v>39259</v>
      </c>
      <c r="L10782">
        <v>0</v>
      </c>
      <c r="M10782">
        <v>0</v>
      </c>
      <c r="N10782">
        <v>3</v>
      </c>
      <c r="O10782" t="s">
        <v>11768</v>
      </c>
    </row>
    <row r="10783" spans="1:15">
      <c r="A10783" t="s">
        <v>39260</v>
      </c>
      <c r="B10783" t="s">
        <v>367</v>
      </c>
      <c r="C10783" t="s">
        <v>37149</v>
      </c>
      <c r="D10783" t="s">
        <v>39261</v>
      </c>
      <c r="E10783" t="b">
        <v>0</v>
      </c>
      <c r="F10783" t="s">
        <v>11624</v>
      </c>
      <c r="G10783">
        <v>-5.7346300000000001</v>
      </c>
      <c r="H10783">
        <v>105.03700000000001</v>
      </c>
      <c r="I10783" t="s">
        <v>39262</v>
      </c>
      <c r="L10783">
        <v>0</v>
      </c>
      <c r="M10783">
        <v>0</v>
      </c>
      <c r="N10783">
        <v>0</v>
      </c>
      <c r="O10783" t="s">
        <v>11768</v>
      </c>
    </row>
    <row r="10784" spans="1:15">
      <c r="A10784" t="s">
        <v>39263</v>
      </c>
      <c r="B10784" t="s">
        <v>11637</v>
      </c>
      <c r="C10784" t="s">
        <v>24208</v>
      </c>
      <c r="D10784" t="s">
        <v>39264</v>
      </c>
      <c r="E10784" t="b">
        <v>0</v>
      </c>
      <c r="F10784" t="s">
        <v>11610</v>
      </c>
      <c r="L10784">
        <v>0</v>
      </c>
      <c r="M10784">
        <v>0</v>
      </c>
      <c r="N10784">
        <v>0</v>
      </c>
    </row>
    <row r="10785" spans="1:15">
      <c r="A10785" t="s">
        <v>39265</v>
      </c>
      <c r="B10785" t="s">
        <v>12686</v>
      </c>
      <c r="C10785" t="s">
        <v>32381</v>
      </c>
      <c r="D10785" t="s">
        <v>39266</v>
      </c>
      <c r="E10785" t="b">
        <v>0</v>
      </c>
      <c r="F10785" t="s">
        <v>11610</v>
      </c>
      <c r="L10785">
        <v>0</v>
      </c>
      <c r="M10785">
        <v>0</v>
      </c>
      <c r="N10785">
        <v>0</v>
      </c>
    </row>
    <row r="10786" spans="1:15">
      <c r="A10786" t="s">
        <v>39267</v>
      </c>
      <c r="B10786" t="s">
        <v>10597</v>
      </c>
      <c r="C10786" t="s">
        <v>23189</v>
      </c>
      <c r="D10786" t="s">
        <v>39268</v>
      </c>
      <c r="E10786" t="b">
        <v>0</v>
      </c>
      <c r="F10786" t="s">
        <v>11624</v>
      </c>
      <c r="G10786">
        <v>-14.558999999999999</v>
      </c>
      <c r="H10786">
        <v>143.977</v>
      </c>
      <c r="I10786" t="s">
        <v>39269</v>
      </c>
      <c r="L10786">
        <v>0</v>
      </c>
      <c r="M10786">
        <v>0</v>
      </c>
      <c r="N10786">
        <v>0</v>
      </c>
      <c r="O10786" t="s">
        <v>12107</v>
      </c>
    </row>
    <row r="10787" spans="1:15">
      <c r="A10787" t="s">
        <v>39270</v>
      </c>
      <c r="B10787" t="s">
        <v>367</v>
      </c>
      <c r="C10787" t="s">
        <v>37339</v>
      </c>
      <c r="D10787" t="s">
        <v>39271</v>
      </c>
      <c r="E10787" t="b">
        <v>0</v>
      </c>
      <c r="F10787" t="s">
        <v>11610</v>
      </c>
      <c r="L10787">
        <v>0</v>
      </c>
      <c r="M10787">
        <v>0</v>
      </c>
      <c r="N10787">
        <v>0</v>
      </c>
    </row>
    <row r="10788" spans="1:15">
      <c r="A10788" t="s">
        <v>39272</v>
      </c>
      <c r="B10788" t="s">
        <v>141</v>
      </c>
      <c r="C10788" t="s">
        <v>22078</v>
      </c>
      <c r="D10788" t="s">
        <v>39273</v>
      </c>
      <c r="E10788" t="b">
        <v>0</v>
      </c>
      <c r="F10788" t="s">
        <v>11610</v>
      </c>
      <c r="L10788">
        <v>0</v>
      </c>
      <c r="M10788">
        <v>0</v>
      </c>
      <c r="N10788">
        <v>0</v>
      </c>
    </row>
    <row r="10789" spans="1:15">
      <c r="A10789" t="s">
        <v>39274</v>
      </c>
      <c r="B10789" t="s">
        <v>11644</v>
      </c>
      <c r="C10789" t="s">
        <v>11902</v>
      </c>
      <c r="D10789" t="s">
        <v>39275</v>
      </c>
      <c r="E10789" t="b">
        <v>0</v>
      </c>
      <c r="F10789" t="s">
        <v>11624</v>
      </c>
      <c r="G10789">
        <v>25.8</v>
      </c>
      <c r="H10789">
        <v>100.15</v>
      </c>
      <c r="I10789" t="s">
        <v>39276</v>
      </c>
      <c r="L10789">
        <v>0</v>
      </c>
      <c r="M10789">
        <v>0</v>
      </c>
      <c r="N10789">
        <v>0</v>
      </c>
      <c r="O10789" t="s">
        <v>11905</v>
      </c>
    </row>
    <row r="10790" spans="1:15">
      <c r="A10790" t="s">
        <v>39277</v>
      </c>
      <c r="B10790" t="s">
        <v>11644</v>
      </c>
      <c r="C10790" t="s">
        <v>20181</v>
      </c>
      <c r="D10790" t="s">
        <v>39278</v>
      </c>
      <c r="E10790" t="b">
        <v>0</v>
      </c>
      <c r="F10790" t="s">
        <v>11610</v>
      </c>
      <c r="L10790">
        <v>0</v>
      </c>
      <c r="M10790">
        <v>0</v>
      </c>
      <c r="N10790">
        <v>0</v>
      </c>
    </row>
    <row r="10791" spans="1:15">
      <c r="A10791" t="s">
        <v>39279</v>
      </c>
      <c r="B10791" t="s">
        <v>367</v>
      </c>
      <c r="C10791" t="s">
        <v>39280</v>
      </c>
      <c r="D10791" t="s">
        <v>39281</v>
      </c>
      <c r="E10791" t="b">
        <v>0</v>
      </c>
      <c r="F10791" t="s">
        <v>11624</v>
      </c>
      <c r="G10791">
        <v>5.3919600000000001</v>
      </c>
      <c r="H10791">
        <v>116.577</v>
      </c>
      <c r="I10791" t="s">
        <v>39282</v>
      </c>
      <c r="L10791">
        <v>0</v>
      </c>
      <c r="M10791">
        <v>0</v>
      </c>
      <c r="N10791">
        <v>2</v>
      </c>
      <c r="O10791" t="s">
        <v>11672</v>
      </c>
    </row>
    <row r="10792" spans="1:15">
      <c r="A10792" t="s">
        <v>39283</v>
      </c>
      <c r="B10792" t="s">
        <v>11637</v>
      </c>
      <c r="C10792" t="s">
        <v>39284</v>
      </c>
      <c r="D10792" t="s">
        <v>39285</v>
      </c>
      <c r="E10792" t="b">
        <v>0</v>
      </c>
      <c r="F10792" t="s">
        <v>11610</v>
      </c>
      <c r="L10792">
        <v>0</v>
      </c>
      <c r="M10792">
        <v>0</v>
      </c>
      <c r="N10792">
        <v>0</v>
      </c>
    </row>
    <row r="10793" spans="1:15">
      <c r="A10793" t="s">
        <v>39286</v>
      </c>
      <c r="B10793" t="s">
        <v>11637</v>
      </c>
      <c r="C10793" t="s">
        <v>14511</v>
      </c>
      <c r="D10793" t="s">
        <v>39287</v>
      </c>
      <c r="E10793" t="b">
        <v>0</v>
      </c>
      <c r="F10793" t="s">
        <v>11610</v>
      </c>
      <c r="L10793">
        <v>0</v>
      </c>
      <c r="M10793">
        <v>0</v>
      </c>
      <c r="N10793">
        <v>0</v>
      </c>
    </row>
    <row r="10794" spans="1:15">
      <c r="A10794" t="s">
        <v>39288</v>
      </c>
      <c r="B10794" t="s">
        <v>10597</v>
      </c>
      <c r="C10794" t="s">
        <v>402</v>
      </c>
      <c r="D10794" t="s">
        <v>39289</v>
      </c>
      <c r="E10794" t="b">
        <v>0</v>
      </c>
      <c r="F10794" t="s">
        <v>11610</v>
      </c>
      <c r="L10794">
        <v>0</v>
      </c>
      <c r="M10794">
        <v>0</v>
      </c>
      <c r="N10794">
        <v>0</v>
      </c>
    </row>
    <row r="10795" spans="1:15">
      <c r="A10795" t="s">
        <v>39290</v>
      </c>
      <c r="B10795" t="s">
        <v>6742</v>
      </c>
      <c r="C10795" t="s">
        <v>15799</v>
      </c>
      <c r="D10795" t="s">
        <v>39291</v>
      </c>
      <c r="E10795" t="b">
        <v>0</v>
      </c>
      <c r="F10795" t="s">
        <v>11624</v>
      </c>
      <c r="G10795">
        <v>10.875299999999999</v>
      </c>
      <c r="H10795">
        <v>-14.089499999999999</v>
      </c>
      <c r="I10795" t="s">
        <v>39292</v>
      </c>
      <c r="L10795">
        <v>0</v>
      </c>
      <c r="M10795">
        <v>0</v>
      </c>
      <c r="N10795">
        <v>1</v>
      </c>
      <c r="O10795" t="s">
        <v>15802</v>
      </c>
    </row>
    <row r="10796" spans="1:15">
      <c r="A10796" t="s">
        <v>39293</v>
      </c>
      <c r="B10796" t="s">
        <v>367</v>
      </c>
      <c r="C10796" t="s">
        <v>39294</v>
      </c>
      <c r="D10796" t="s">
        <v>39295</v>
      </c>
      <c r="E10796" t="b">
        <v>0</v>
      </c>
      <c r="F10796" t="s">
        <v>11610</v>
      </c>
      <c r="L10796">
        <v>0</v>
      </c>
      <c r="M10796">
        <v>0</v>
      </c>
      <c r="N10796">
        <v>0</v>
      </c>
    </row>
    <row r="10797" spans="1:15">
      <c r="A10797" t="s">
        <v>39296</v>
      </c>
      <c r="B10797" t="s">
        <v>367</v>
      </c>
      <c r="C10797" t="s">
        <v>20382</v>
      </c>
      <c r="D10797" t="s">
        <v>39297</v>
      </c>
      <c r="E10797" t="b">
        <v>0</v>
      </c>
      <c r="F10797" t="s">
        <v>11610</v>
      </c>
      <c r="L10797">
        <v>0</v>
      </c>
      <c r="M10797">
        <v>0</v>
      </c>
      <c r="N10797">
        <v>0</v>
      </c>
    </row>
    <row r="10798" spans="1:15">
      <c r="A10798" t="s">
        <v>39298</v>
      </c>
      <c r="B10798" t="s">
        <v>11615</v>
      </c>
      <c r="C10798" t="s">
        <v>14120</v>
      </c>
      <c r="D10798" t="s">
        <v>39299</v>
      </c>
      <c r="E10798" t="b">
        <v>0</v>
      </c>
      <c r="F10798" t="s">
        <v>11610</v>
      </c>
      <c r="L10798">
        <v>0</v>
      </c>
      <c r="M10798">
        <v>0</v>
      </c>
      <c r="N10798">
        <v>0</v>
      </c>
    </row>
    <row r="10799" spans="1:15">
      <c r="A10799" t="s">
        <v>624</v>
      </c>
      <c r="B10799" t="s">
        <v>367</v>
      </c>
      <c r="C10799" t="s">
        <v>4363</v>
      </c>
      <c r="D10799" t="s">
        <v>39300</v>
      </c>
      <c r="E10799" t="b">
        <v>0</v>
      </c>
      <c r="F10799" t="s">
        <v>11622</v>
      </c>
      <c r="L10799">
        <v>7</v>
      </c>
      <c r="M10799">
        <v>14</v>
      </c>
      <c r="N10799">
        <v>29</v>
      </c>
    </row>
    <row r="10800" spans="1:15">
      <c r="A10800" t="s">
        <v>39301</v>
      </c>
      <c r="B10800" t="s">
        <v>11627</v>
      </c>
      <c r="C10800" t="s">
        <v>11627</v>
      </c>
      <c r="D10800" t="s">
        <v>39302</v>
      </c>
      <c r="E10800" t="b">
        <v>1</v>
      </c>
      <c r="F10800" t="s">
        <v>11624</v>
      </c>
      <c r="I10800" t="s">
        <v>39303</v>
      </c>
      <c r="L10800">
        <v>0</v>
      </c>
      <c r="M10800">
        <v>0</v>
      </c>
      <c r="N10800">
        <v>0</v>
      </c>
    </row>
    <row r="10801" spans="1:15">
      <c r="A10801" t="s">
        <v>39304</v>
      </c>
      <c r="B10801" t="s">
        <v>11637</v>
      </c>
      <c r="C10801" t="s">
        <v>29626</v>
      </c>
      <c r="D10801" t="s">
        <v>39305</v>
      </c>
      <c r="E10801" t="b">
        <v>0</v>
      </c>
      <c r="F10801" t="s">
        <v>11610</v>
      </c>
      <c r="L10801">
        <v>0</v>
      </c>
      <c r="M10801">
        <v>0</v>
      </c>
      <c r="N10801">
        <v>0</v>
      </c>
    </row>
    <row r="10802" spans="1:15">
      <c r="A10802" t="s">
        <v>39306</v>
      </c>
      <c r="B10802" t="s">
        <v>11981</v>
      </c>
      <c r="C10802" t="s">
        <v>17826</v>
      </c>
      <c r="D10802" t="s">
        <v>39307</v>
      </c>
      <c r="E10802" t="b">
        <v>0</v>
      </c>
      <c r="F10802" t="s">
        <v>11624</v>
      </c>
      <c r="G10802">
        <v>50.802100000000003</v>
      </c>
      <c r="H10802">
        <v>4.3131199999999996</v>
      </c>
      <c r="I10802" t="s">
        <v>39308</v>
      </c>
      <c r="L10802">
        <v>0</v>
      </c>
      <c r="M10802">
        <v>0</v>
      </c>
      <c r="N10802">
        <v>0</v>
      </c>
      <c r="O10802" t="s">
        <v>39309</v>
      </c>
    </row>
    <row r="10803" spans="1:15">
      <c r="A10803" t="s">
        <v>17275</v>
      </c>
      <c r="B10803" t="s">
        <v>11637</v>
      </c>
      <c r="C10803" t="s">
        <v>39310</v>
      </c>
      <c r="D10803" t="s">
        <v>39311</v>
      </c>
      <c r="E10803" t="b">
        <v>0</v>
      </c>
      <c r="F10803" t="s">
        <v>11610</v>
      </c>
      <c r="L10803">
        <v>0</v>
      </c>
      <c r="M10803">
        <v>0</v>
      </c>
      <c r="N10803">
        <v>4</v>
      </c>
    </row>
    <row r="10804" spans="1:15">
      <c r="A10804" t="s">
        <v>39312</v>
      </c>
      <c r="B10804" t="s">
        <v>11637</v>
      </c>
      <c r="C10804" t="s">
        <v>17275</v>
      </c>
      <c r="D10804" t="s">
        <v>39313</v>
      </c>
      <c r="E10804" t="b">
        <v>0</v>
      </c>
      <c r="F10804" t="s">
        <v>11610</v>
      </c>
      <c r="L10804">
        <v>0</v>
      </c>
      <c r="M10804">
        <v>0</v>
      </c>
      <c r="N10804">
        <v>0</v>
      </c>
    </row>
    <row r="10805" spans="1:15">
      <c r="A10805" t="s">
        <v>39314</v>
      </c>
      <c r="B10805" t="s">
        <v>11644</v>
      </c>
      <c r="C10805" t="s">
        <v>39315</v>
      </c>
      <c r="D10805" t="s">
        <v>39316</v>
      </c>
      <c r="E10805" t="b">
        <v>0</v>
      </c>
      <c r="F10805" t="s">
        <v>11610</v>
      </c>
      <c r="L10805">
        <v>0</v>
      </c>
      <c r="M10805">
        <v>0</v>
      </c>
      <c r="N10805">
        <v>0</v>
      </c>
    </row>
    <row r="10806" spans="1:15">
      <c r="A10806" t="s">
        <v>39317</v>
      </c>
      <c r="B10806" t="s">
        <v>11644</v>
      </c>
      <c r="C10806" t="s">
        <v>12520</v>
      </c>
      <c r="D10806" t="s">
        <v>39318</v>
      </c>
      <c r="E10806" t="b">
        <v>0</v>
      </c>
      <c r="F10806" t="s">
        <v>11610</v>
      </c>
      <c r="L10806">
        <v>0</v>
      </c>
      <c r="M10806">
        <v>0</v>
      </c>
      <c r="N10806">
        <v>0</v>
      </c>
    </row>
    <row r="10807" spans="1:15">
      <c r="A10807" t="s">
        <v>39319</v>
      </c>
      <c r="B10807" t="s">
        <v>11644</v>
      </c>
      <c r="C10807" t="s">
        <v>16039</v>
      </c>
      <c r="D10807" t="s">
        <v>39320</v>
      </c>
      <c r="E10807" t="b">
        <v>0</v>
      </c>
      <c r="F10807" t="s">
        <v>11610</v>
      </c>
      <c r="L10807">
        <v>0</v>
      </c>
      <c r="M10807">
        <v>0</v>
      </c>
      <c r="N10807">
        <v>0</v>
      </c>
    </row>
    <row r="10808" spans="1:15">
      <c r="A10808" t="s">
        <v>39321</v>
      </c>
      <c r="B10808" t="s">
        <v>11644</v>
      </c>
      <c r="C10808" t="s">
        <v>28687</v>
      </c>
      <c r="D10808" t="s">
        <v>39322</v>
      </c>
      <c r="E10808" t="b">
        <v>0</v>
      </c>
      <c r="F10808" t="s">
        <v>11610</v>
      </c>
      <c r="L10808">
        <v>0</v>
      </c>
      <c r="M10808">
        <v>0</v>
      </c>
      <c r="N10808">
        <v>0</v>
      </c>
    </row>
    <row r="10809" spans="1:15">
      <c r="A10809" t="s">
        <v>39323</v>
      </c>
      <c r="B10809" t="s">
        <v>5126</v>
      </c>
      <c r="C10809" t="s">
        <v>27086</v>
      </c>
      <c r="D10809" t="s">
        <v>39324</v>
      </c>
      <c r="E10809" t="b">
        <v>0</v>
      </c>
      <c r="F10809" t="s">
        <v>11624</v>
      </c>
      <c r="G10809">
        <v>23.550257999999999</v>
      </c>
      <c r="H10809">
        <v>106.016896</v>
      </c>
      <c r="I10809" t="s">
        <v>39325</v>
      </c>
      <c r="L10809">
        <v>0</v>
      </c>
      <c r="M10809">
        <v>0</v>
      </c>
      <c r="N10809">
        <v>0</v>
      </c>
      <c r="O10809" t="s">
        <v>11905</v>
      </c>
    </row>
    <row r="10810" spans="1:15">
      <c r="A10810" t="s">
        <v>39326</v>
      </c>
      <c r="B10810" t="s">
        <v>6742</v>
      </c>
      <c r="C10810" t="s">
        <v>39327</v>
      </c>
      <c r="D10810" t="s">
        <v>39328</v>
      </c>
      <c r="E10810" t="b">
        <v>0</v>
      </c>
      <c r="F10810" t="s">
        <v>11610</v>
      </c>
      <c r="L10810">
        <v>0</v>
      </c>
      <c r="M10810">
        <v>0</v>
      </c>
      <c r="N10810">
        <v>0</v>
      </c>
    </row>
    <row r="10811" spans="1:15">
      <c r="A10811" t="s">
        <v>39329</v>
      </c>
      <c r="B10811" t="s">
        <v>6742</v>
      </c>
      <c r="C10811" t="s">
        <v>39330</v>
      </c>
      <c r="D10811" t="s">
        <v>39331</v>
      </c>
      <c r="E10811" t="b">
        <v>0</v>
      </c>
      <c r="F10811" t="s">
        <v>11624</v>
      </c>
      <c r="G10811">
        <v>4.8752300000000002</v>
      </c>
      <c r="H10811">
        <v>20.109000000000002</v>
      </c>
      <c r="I10811" t="s">
        <v>39332</v>
      </c>
      <c r="L10811">
        <v>0</v>
      </c>
      <c r="M10811">
        <v>0</v>
      </c>
      <c r="N10811">
        <v>0</v>
      </c>
      <c r="O10811" t="s">
        <v>13069</v>
      </c>
    </row>
    <row r="10812" spans="1:15">
      <c r="A10812" t="s">
        <v>39333</v>
      </c>
      <c r="B10812" t="s">
        <v>6742</v>
      </c>
      <c r="C10812" t="s">
        <v>24001</v>
      </c>
      <c r="D10812" t="s">
        <v>39334</v>
      </c>
      <c r="E10812" t="b">
        <v>0</v>
      </c>
      <c r="F10812" t="s">
        <v>11610</v>
      </c>
      <c r="L10812">
        <v>0</v>
      </c>
      <c r="M10812">
        <v>0</v>
      </c>
      <c r="N10812">
        <v>0</v>
      </c>
    </row>
    <row r="10813" spans="1:15">
      <c r="A10813" t="s">
        <v>30858</v>
      </c>
      <c r="B10813" t="s">
        <v>6742</v>
      </c>
      <c r="C10813" t="s">
        <v>39335</v>
      </c>
      <c r="D10813" t="s">
        <v>39336</v>
      </c>
      <c r="E10813" t="b">
        <v>0</v>
      </c>
      <c r="F10813" t="s">
        <v>11624</v>
      </c>
      <c r="G10813">
        <v>-4.7141299999999999</v>
      </c>
      <c r="H10813">
        <v>35.951700000000002</v>
      </c>
      <c r="I10813" t="s">
        <v>39337</v>
      </c>
      <c r="L10813">
        <v>0</v>
      </c>
      <c r="M10813">
        <v>0</v>
      </c>
      <c r="N10813">
        <v>4</v>
      </c>
      <c r="O10813" t="s">
        <v>11635</v>
      </c>
    </row>
    <row r="10814" spans="1:15">
      <c r="A10814" t="s">
        <v>39338</v>
      </c>
      <c r="B10814" t="s">
        <v>6742</v>
      </c>
      <c r="C10814" t="s">
        <v>20985</v>
      </c>
      <c r="D10814" t="s">
        <v>39339</v>
      </c>
      <c r="E10814" t="b">
        <v>0</v>
      </c>
      <c r="F10814" t="s">
        <v>11610</v>
      </c>
      <c r="L10814">
        <v>0</v>
      </c>
      <c r="M10814">
        <v>0</v>
      </c>
      <c r="N10814">
        <v>0</v>
      </c>
    </row>
    <row r="10815" spans="1:15">
      <c r="A10815" t="s">
        <v>39340</v>
      </c>
      <c r="B10815" t="s">
        <v>11757</v>
      </c>
      <c r="C10815" t="s">
        <v>25267</v>
      </c>
      <c r="D10815" t="s">
        <v>39341</v>
      </c>
      <c r="E10815" t="b">
        <v>0</v>
      </c>
      <c r="F10815" t="s">
        <v>11624</v>
      </c>
      <c r="G10815">
        <v>4.04948</v>
      </c>
      <c r="H10815">
        <v>33.041200000000003</v>
      </c>
      <c r="I10815" t="s">
        <v>39342</v>
      </c>
      <c r="L10815">
        <v>0</v>
      </c>
      <c r="M10815">
        <v>0</v>
      </c>
      <c r="N10815">
        <v>0</v>
      </c>
      <c r="O10815" t="s">
        <v>11960</v>
      </c>
    </row>
    <row r="10816" spans="1:15">
      <c r="A10816" t="s">
        <v>38129</v>
      </c>
      <c r="B10816" t="s">
        <v>11757</v>
      </c>
      <c r="C10816" t="s">
        <v>11958</v>
      </c>
      <c r="D10816" t="s">
        <v>39343</v>
      </c>
      <c r="E10816" t="b">
        <v>0</v>
      </c>
      <c r="F10816" t="s">
        <v>11622</v>
      </c>
      <c r="L10816">
        <v>0</v>
      </c>
      <c r="M10816">
        <v>2</v>
      </c>
      <c r="N10816">
        <v>0</v>
      </c>
    </row>
    <row r="10817" spans="1:15">
      <c r="A10817" t="s">
        <v>39344</v>
      </c>
      <c r="B10817" t="s">
        <v>11757</v>
      </c>
      <c r="C10817" t="s">
        <v>38129</v>
      </c>
      <c r="D10817" t="s">
        <v>39345</v>
      </c>
      <c r="E10817" t="b">
        <v>0</v>
      </c>
      <c r="F10817" t="s">
        <v>11624</v>
      </c>
      <c r="G10817">
        <v>2.1386699999999998</v>
      </c>
      <c r="H10817">
        <v>33.055300000000003</v>
      </c>
      <c r="I10817" t="s">
        <v>39346</v>
      </c>
      <c r="L10817">
        <v>0</v>
      </c>
      <c r="M10817">
        <v>0</v>
      </c>
      <c r="N10817">
        <v>0</v>
      </c>
      <c r="O10817" t="s">
        <v>25786</v>
      </c>
    </row>
    <row r="10818" spans="1:15">
      <c r="A10818" t="s">
        <v>39347</v>
      </c>
      <c r="B10818" t="s">
        <v>367</v>
      </c>
      <c r="C10818" t="s">
        <v>39348</v>
      </c>
      <c r="D10818" t="s">
        <v>39349</v>
      </c>
      <c r="E10818" t="b">
        <v>0</v>
      </c>
      <c r="F10818" t="s">
        <v>11610</v>
      </c>
      <c r="L10818">
        <v>0</v>
      </c>
      <c r="M10818">
        <v>0</v>
      </c>
      <c r="N10818">
        <v>0</v>
      </c>
    </row>
    <row r="10819" spans="1:15">
      <c r="A10819" t="s">
        <v>39350</v>
      </c>
      <c r="B10819" t="s">
        <v>367</v>
      </c>
      <c r="C10819" t="s">
        <v>16054</v>
      </c>
      <c r="D10819" t="s">
        <v>39351</v>
      </c>
      <c r="E10819" t="b">
        <v>0</v>
      </c>
      <c r="F10819" t="s">
        <v>11610</v>
      </c>
      <c r="L10819">
        <v>0</v>
      </c>
      <c r="M10819">
        <v>0</v>
      </c>
      <c r="N10819">
        <v>0</v>
      </c>
    </row>
    <row r="10820" spans="1:15">
      <c r="A10820" t="s">
        <v>39352</v>
      </c>
      <c r="B10820" t="s">
        <v>11839</v>
      </c>
      <c r="C10820" t="s">
        <v>37033</v>
      </c>
      <c r="D10820" t="s">
        <v>39353</v>
      </c>
      <c r="E10820" t="b">
        <v>0</v>
      </c>
      <c r="F10820" t="s">
        <v>11610</v>
      </c>
      <c r="L10820">
        <v>0</v>
      </c>
      <c r="M10820">
        <v>0</v>
      </c>
      <c r="N10820">
        <v>0</v>
      </c>
    </row>
    <row r="10821" spans="1:15">
      <c r="A10821" t="s">
        <v>39354</v>
      </c>
      <c r="B10821" t="s">
        <v>34173</v>
      </c>
      <c r="C10821" t="s">
        <v>34173</v>
      </c>
      <c r="D10821" t="s">
        <v>39355</v>
      </c>
      <c r="E10821" t="b">
        <v>0</v>
      </c>
      <c r="F10821" t="s">
        <v>11624</v>
      </c>
      <c r="G10821">
        <v>-4.3255699999999999</v>
      </c>
      <c r="H10821">
        <v>143.92500000000001</v>
      </c>
      <c r="I10821" t="s">
        <v>39356</v>
      </c>
      <c r="L10821">
        <v>0</v>
      </c>
      <c r="M10821">
        <v>0</v>
      </c>
      <c r="N10821">
        <v>0</v>
      </c>
      <c r="O10821" t="s">
        <v>11660</v>
      </c>
    </row>
    <row r="10822" spans="1:15">
      <c r="A10822" t="s">
        <v>39357</v>
      </c>
      <c r="B10822" t="s">
        <v>11607</v>
      </c>
      <c r="C10822" t="s">
        <v>16969</v>
      </c>
      <c r="D10822" t="s">
        <v>39358</v>
      </c>
      <c r="E10822" t="b">
        <v>0</v>
      </c>
      <c r="F10822" t="s">
        <v>11610</v>
      </c>
      <c r="L10822">
        <v>0</v>
      </c>
      <c r="M10822">
        <v>0</v>
      </c>
      <c r="N10822">
        <v>0</v>
      </c>
    </row>
    <row r="10823" spans="1:15">
      <c r="A10823" t="s">
        <v>39359</v>
      </c>
      <c r="B10823" t="s">
        <v>11627</v>
      </c>
      <c r="C10823" t="s">
        <v>11627</v>
      </c>
      <c r="D10823" t="s">
        <v>39360</v>
      </c>
      <c r="E10823" t="b">
        <v>1</v>
      </c>
      <c r="F10823" t="s">
        <v>11624</v>
      </c>
      <c r="I10823" t="s">
        <v>39361</v>
      </c>
      <c r="L10823">
        <v>0</v>
      </c>
      <c r="M10823">
        <v>0</v>
      </c>
      <c r="N10823">
        <v>0</v>
      </c>
      <c r="O10823" t="s">
        <v>11905</v>
      </c>
    </row>
    <row r="10824" spans="1:15">
      <c r="A10824" t="s">
        <v>39362</v>
      </c>
      <c r="B10824" t="s">
        <v>11627</v>
      </c>
      <c r="C10824" t="s">
        <v>11627</v>
      </c>
      <c r="D10824" t="s">
        <v>39363</v>
      </c>
      <c r="E10824" t="b">
        <v>1</v>
      </c>
      <c r="F10824" t="s">
        <v>11624</v>
      </c>
      <c r="I10824" t="s">
        <v>39364</v>
      </c>
      <c r="L10824">
        <v>0</v>
      </c>
      <c r="M10824">
        <v>0</v>
      </c>
      <c r="N10824">
        <v>0</v>
      </c>
    </row>
    <row r="10825" spans="1:15">
      <c r="A10825" t="s">
        <v>39365</v>
      </c>
      <c r="B10825" t="s">
        <v>11981</v>
      </c>
      <c r="C10825" t="s">
        <v>12200</v>
      </c>
      <c r="D10825" t="s">
        <v>39366</v>
      </c>
      <c r="E10825" t="b">
        <v>0</v>
      </c>
      <c r="F10825" t="s">
        <v>11624</v>
      </c>
      <c r="G10825">
        <v>-3.6211000000000002</v>
      </c>
      <c r="H10825">
        <v>17.788699999999999</v>
      </c>
      <c r="L10825">
        <v>0</v>
      </c>
      <c r="M10825">
        <v>0</v>
      </c>
      <c r="N10825">
        <v>0</v>
      </c>
      <c r="O10825" t="s">
        <v>14825</v>
      </c>
    </row>
    <row r="10826" spans="1:15">
      <c r="A10826" t="s">
        <v>39367</v>
      </c>
      <c r="B10826" t="s">
        <v>11981</v>
      </c>
      <c r="C10826" t="s">
        <v>11982</v>
      </c>
      <c r="D10826" t="s">
        <v>39368</v>
      </c>
      <c r="E10826" t="b">
        <v>0</v>
      </c>
      <c r="F10826" t="s">
        <v>11624</v>
      </c>
      <c r="G10826">
        <v>8.0658460000000005</v>
      </c>
      <c r="H10826">
        <v>-3.5482179999999999</v>
      </c>
      <c r="L10826">
        <v>0</v>
      </c>
      <c r="M10826">
        <v>0</v>
      </c>
      <c r="N10826">
        <v>0</v>
      </c>
      <c r="O10826" t="s">
        <v>11735</v>
      </c>
    </row>
    <row r="10827" spans="1:15">
      <c r="A10827" t="s">
        <v>19771</v>
      </c>
      <c r="B10827" t="s">
        <v>11637</v>
      </c>
      <c r="C10827" t="s">
        <v>3656</v>
      </c>
      <c r="D10827" t="s">
        <v>39369</v>
      </c>
      <c r="E10827" t="b">
        <v>0</v>
      </c>
      <c r="F10827" t="s">
        <v>11610</v>
      </c>
      <c r="L10827">
        <v>0</v>
      </c>
      <c r="M10827">
        <v>0</v>
      </c>
      <c r="N10827">
        <v>9</v>
      </c>
    </row>
    <row r="10828" spans="1:15">
      <c r="A10828" t="s">
        <v>39370</v>
      </c>
      <c r="B10828" t="s">
        <v>11844</v>
      </c>
      <c r="C10828" t="s">
        <v>25928</v>
      </c>
      <c r="D10828" t="s">
        <v>39371</v>
      </c>
      <c r="E10828" t="b">
        <v>0</v>
      </c>
      <c r="F10828" t="s">
        <v>11610</v>
      </c>
      <c r="L10828">
        <v>0</v>
      </c>
      <c r="M10828">
        <v>0</v>
      </c>
      <c r="N10828">
        <v>0</v>
      </c>
    </row>
    <row r="10829" spans="1:15">
      <c r="A10829" t="s">
        <v>39372</v>
      </c>
      <c r="B10829" t="s">
        <v>6742</v>
      </c>
      <c r="C10829" t="s">
        <v>25251</v>
      </c>
      <c r="D10829" t="s">
        <v>39373</v>
      </c>
      <c r="E10829" t="b">
        <v>0</v>
      </c>
      <c r="F10829" t="s">
        <v>11610</v>
      </c>
      <c r="L10829">
        <v>0</v>
      </c>
      <c r="M10829">
        <v>0</v>
      </c>
      <c r="N10829">
        <v>0</v>
      </c>
    </row>
    <row r="10830" spans="1:15">
      <c r="A10830" t="s">
        <v>39374</v>
      </c>
      <c r="B10830" t="s">
        <v>6742</v>
      </c>
      <c r="C10830" t="s">
        <v>12589</v>
      </c>
      <c r="D10830" t="s">
        <v>39375</v>
      </c>
      <c r="E10830" t="b">
        <v>0</v>
      </c>
      <c r="F10830" t="s">
        <v>11610</v>
      </c>
      <c r="L10830">
        <v>0</v>
      </c>
      <c r="M10830">
        <v>0</v>
      </c>
      <c r="N10830">
        <v>0</v>
      </c>
    </row>
    <row r="10831" spans="1:15">
      <c r="A10831" t="s">
        <v>39376</v>
      </c>
      <c r="B10831" t="s">
        <v>11644</v>
      </c>
      <c r="C10831" t="s">
        <v>19491</v>
      </c>
      <c r="D10831" t="s">
        <v>39377</v>
      </c>
      <c r="E10831" t="b">
        <v>0</v>
      </c>
      <c r="F10831" t="s">
        <v>11610</v>
      </c>
      <c r="L10831">
        <v>0</v>
      </c>
      <c r="M10831">
        <v>0</v>
      </c>
      <c r="N10831">
        <v>0</v>
      </c>
    </row>
    <row r="10832" spans="1:15">
      <c r="A10832" t="s">
        <v>39378</v>
      </c>
      <c r="B10832" t="s">
        <v>11644</v>
      </c>
      <c r="C10832" t="s">
        <v>21429</v>
      </c>
      <c r="D10832" t="s">
        <v>39379</v>
      </c>
      <c r="E10832" t="b">
        <v>0</v>
      </c>
      <c r="F10832" t="s">
        <v>11610</v>
      </c>
      <c r="L10832">
        <v>0</v>
      </c>
      <c r="M10832">
        <v>0</v>
      </c>
      <c r="N10832">
        <v>0</v>
      </c>
    </row>
    <row r="10833" spans="1:15">
      <c r="A10833" t="s">
        <v>39380</v>
      </c>
      <c r="B10833" t="s">
        <v>12438</v>
      </c>
      <c r="C10833" t="s">
        <v>39381</v>
      </c>
      <c r="D10833" t="s">
        <v>39382</v>
      </c>
      <c r="E10833" t="b">
        <v>0</v>
      </c>
      <c r="F10833" t="s">
        <v>11622</v>
      </c>
      <c r="L10833">
        <v>2</v>
      </c>
      <c r="M10833">
        <v>4</v>
      </c>
      <c r="N10833">
        <v>10</v>
      </c>
    </row>
    <row r="10834" spans="1:15">
      <c r="A10834" t="s">
        <v>39383</v>
      </c>
      <c r="B10834" t="s">
        <v>12438</v>
      </c>
      <c r="C10834" t="s">
        <v>5160</v>
      </c>
      <c r="D10834" t="s">
        <v>39384</v>
      </c>
      <c r="E10834" t="b">
        <v>0</v>
      </c>
      <c r="F10834" t="s">
        <v>11610</v>
      </c>
      <c r="L10834">
        <v>0</v>
      </c>
      <c r="M10834">
        <v>0</v>
      </c>
      <c r="N10834">
        <v>0</v>
      </c>
    </row>
    <row r="10835" spans="1:15">
      <c r="A10835" t="s">
        <v>39385</v>
      </c>
      <c r="B10835" t="s">
        <v>12438</v>
      </c>
      <c r="C10835" t="s">
        <v>39380</v>
      </c>
      <c r="D10835" t="s">
        <v>39386</v>
      </c>
      <c r="E10835" t="b">
        <v>0</v>
      </c>
      <c r="F10835" t="s">
        <v>11622</v>
      </c>
      <c r="L10835">
        <v>1</v>
      </c>
      <c r="M10835">
        <v>3</v>
      </c>
      <c r="N10835">
        <v>0</v>
      </c>
    </row>
    <row r="10836" spans="1:15">
      <c r="A10836" t="s">
        <v>39387</v>
      </c>
      <c r="B10836" t="s">
        <v>12438</v>
      </c>
      <c r="C10836" t="s">
        <v>39385</v>
      </c>
      <c r="D10836" t="s">
        <v>39388</v>
      </c>
      <c r="E10836" t="b">
        <v>0</v>
      </c>
      <c r="F10836" t="s">
        <v>11622</v>
      </c>
      <c r="L10836">
        <v>0</v>
      </c>
      <c r="M10836">
        <v>2</v>
      </c>
      <c r="N10836">
        <v>0</v>
      </c>
    </row>
    <row r="10837" spans="1:15">
      <c r="A10837" t="s">
        <v>39389</v>
      </c>
      <c r="B10837" t="s">
        <v>12438</v>
      </c>
      <c r="C10837" t="s">
        <v>39387</v>
      </c>
      <c r="D10837" t="s">
        <v>39390</v>
      </c>
      <c r="E10837" t="b">
        <v>0</v>
      </c>
      <c r="F10837" t="s">
        <v>11624</v>
      </c>
      <c r="G10837">
        <v>4.9093400000000003</v>
      </c>
      <c r="H10837">
        <v>100.986</v>
      </c>
      <c r="I10837" t="s">
        <v>39391</v>
      </c>
      <c r="L10837">
        <v>0</v>
      </c>
      <c r="M10837">
        <v>0</v>
      </c>
      <c r="N10837">
        <v>0</v>
      </c>
      <c r="O10837" t="s">
        <v>11672</v>
      </c>
    </row>
    <row r="10838" spans="1:15">
      <c r="A10838" t="s">
        <v>39392</v>
      </c>
      <c r="B10838" t="s">
        <v>11644</v>
      </c>
      <c r="C10838" t="s">
        <v>21421</v>
      </c>
      <c r="D10838" t="s">
        <v>39393</v>
      </c>
      <c r="E10838" t="b">
        <v>0</v>
      </c>
      <c r="F10838" t="s">
        <v>11610</v>
      </c>
      <c r="G10838">
        <v>26.515855500000001</v>
      </c>
      <c r="H10838">
        <v>99.258109200000007</v>
      </c>
      <c r="L10838">
        <v>0</v>
      </c>
      <c r="M10838">
        <v>0</v>
      </c>
      <c r="N10838">
        <v>0</v>
      </c>
    </row>
    <row r="10839" spans="1:15">
      <c r="A10839" t="s">
        <v>39394</v>
      </c>
      <c r="B10839" t="s">
        <v>367</v>
      </c>
      <c r="C10839" t="s">
        <v>34168</v>
      </c>
      <c r="D10839" t="s">
        <v>39395</v>
      </c>
      <c r="E10839" t="b">
        <v>0</v>
      </c>
      <c r="F10839" t="s">
        <v>11610</v>
      </c>
      <c r="L10839">
        <v>0</v>
      </c>
      <c r="M10839">
        <v>0</v>
      </c>
      <c r="N10839">
        <v>0</v>
      </c>
    </row>
    <row r="10840" spans="1:15">
      <c r="A10840" t="s">
        <v>39396</v>
      </c>
      <c r="B10840" t="s">
        <v>11644</v>
      </c>
      <c r="C10840" t="s">
        <v>39397</v>
      </c>
      <c r="D10840" t="s">
        <v>39398</v>
      </c>
      <c r="E10840" t="b">
        <v>0</v>
      </c>
      <c r="F10840" t="s">
        <v>11610</v>
      </c>
      <c r="G10840">
        <v>36.080514999999998</v>
      </c>
      <c r="H10840">
        <v>103.838425</v>
      </c>
      <c r="L10840">
        <v>0</v>
      </c>
      <c r="M10840">
        <v>0</v>
      </c>
      <c r="N10840">
        <v>0</v>
      </c>
    </row>
    <row r="10841" spans="1:15">
      <c r="A10841" t="s">
        <v>39399</v>
      </c>
      <c r="B10841" t="s">
        <v>5126</v>
      </c>
      <c r="C10841" t="s">
        <v>347</v>
      </c>
      <c r="D10841" t="s">
        <v>39400</v>
      </c>
      <c r="E10841" t="b">
        <v>0</v>
      </c>
      <c r="F10841" t="s">
        <v>11610</v>
      </c>
      <c r="L10841">
        <v>0</v>
      </c>
      <c r="M10841">
        <v>0</v>
      </c>
      <c r="N10841">
        <v>0</v>
      </c>
    </row>
    <row r="10842" spans="1:15">
      <c r="A10842" t="s">
        <v>39401</v>
      </c>
      <c r="B10842" t="s">
        <v>5126</v>
      </c>
      <c r="C10842" t="s">
        <v>347</v>
      </c>
      <c r="D10842" t="s">
        <v>39402</v>
      </c>
      <c r="E10842" t="b">
        <v>0</v>
      </c>
      <c r="F10842" t="s">
        <v>11610</v>
      </c>
      <c r="L10842">
        <v>0</v>
      </c>
      <c r="M10842">
        <v>0</v>
      </c>
      <c r="N10842">
        <v>0</v>
      </c>
    </row>
    <row r="10843" spans="1:15">
      <c r="A10843" t="s">
        <v>39403</v>
      </c>
      <c r="B10843" t="s">
        <v>11644</v>
      </c>
      <c r="C10843" t="s">
        <v>18865</v>
      </c>
      <c r="D10843" t="s">
        <v>39404</v>
      </c>
      <c r="E10843" t="b">
        <v>0</v>
      </c>
      <c r="F10843" t="s">
        <v>11624</v>
      </c>
      <c r="G10843">
        <v>21.95</v>
      </c>
      <c r="H10843">
        <v>100.1</v>
      </c>
      <c r="I10843" t="s">
        <v>39405</v>
      </c>
      <c r="L10843">
        <v>0</v>
      </c>
      <c r="M10843">
        <v>0</v>
      </c>
      <c r="N10843">
        <v>0</v>
      </c>
      <c r="O10843" t="s">
        <v>11905</v>
      </c>
    </row>
    <row r="10844" spans="1:15">
      <c r="A10844" t="s">
        <v>39406</v>
      </c>
      <c r="B10844" t="s">
        <v>367</v>
      </c>
      <c r="C10844" t="s">
        <v>20543</v>
      </c>
      <c r="D10844" t="s">
        <v>39407</v>
      </c>
      <c r="E10844" t="b">
        <v>0</v>
      </c>
      <c r="F10844" t="s">
        <v>11610</v>
      </c>
      <c r="L10844">
        <v>0</v>
      </c>
      <c r="M10844">
        <v>0</v>
      </c>
      <c r="N10844">
        <v>0</v>
      </c>
    </row>
    <row r="10845" spans="1:15">
      <c r="A10845" t="s">
        <v>39408</v>
      </c>
      <c r="B10845" t="s">
        <v>12438</v>
      </c>
      <c r="C10845" t="s">
        <v>4759</v>
      </c>
      <c r="D10845" t="s">
        <v>39409</v>
      </c>
      <c r="E10845" t="b">
        <v>0</v>
      </c>
      <c r="F10845" t="s">
        <v>11610</v>
      </c>
      <c r="L10845">
        <v>0</v>
      </c>
      <c r="M10845">
        <v>0</v>
      </c>
      <c r="N10845">
        <v>0</v>
      </c>
    </row>
    <row r="10846" spans="1:15">
      <c r="A10846" t="s">
        <v>347</v>
      </c>
      <c r="B10846" t="s">
        <v>5126</v>
      </c>
      <c r="C10846" t="s">
        <v>39410</v>
      </c>
      <c r="D10846" t="s">
        <v>39411</v>
      </c>
      <c r="E10846" t="b">
        <v>0</v>
      </c>
      <c r="F10846" t="s">
        <v>11624</v>
      </c>
      <c r="G10846">
        <v>16.072600000000001</v>
      </c>
      <c r="H10846">
        <v>104.568</v>
      </c>
      <c r="I10846" t="s">
        <v>521</v>
      </c>
      <c r="L10846">
        <v>0</v>
      </c>
      <c r="M10846">
        <v>0</v>
      </c>
      <c r="N10846">
        <v>6</v>
      </c>
      <c r="O10846" t="s">
        <v>38557</v>
      </c>
    </row>
    <row r="10847" spans="1:15">
      <c r="A10847" t="s">
        <v>39412</v>
      </c>
      <c r="B10847" t="s">
        <v>11627</v>
      </c>
      <c r="C10847" t="s">
        <v>11627</v>
      </c>
      <c r="D10847" t="s">
        <v>39413</v>
      </c>
      <c r="E10847" t="b">
        <v>1</v>
      </c>
      <c r="F10847" t="s">
        <v>11624</v>
      </c>
      <c r="G10847">
        <v>20.780899999999999</v>
      </c>
      <c r="H10847">
        <v>100.07899999999999</v>
      </c>
      <c r="I10847" t="s">
        <v>39414</v>
      </c>
      <c r="L10847">
        <v>0</v>
      </c>
      <c r="M10847">
        <v>0</v>
      </c>
      <c r="N10847">
        <v>0</v>
      </c>
      <c r="O10847" t="s">
        <v>14059</v>
      </c>
    </row>
    <row r="10848" spans="1:15">
      <c r="A10848" t="s">
        <v>39415</v>
      </c>
      <c r="B10848" t="s">
        <v>11627</v>
      </c>
      <c r="C10848" t="s">
        <v>11627</v>
      </c>
      <c r="D10848" t="s">
        <v>39416</v>
      </c>
      <c r="E10848" t="b">
        <v>1</v>
      </c>
      <c r="F10848" t="s">
        <v>11624</v>
      </c>
      <c r="G10848">
        <v>18.387</v>
      </c>
      <c r="H10848">
        <v>104.518</v>
      </c>
      <c r="I10848" t="s">
        <v>39417</v>
      </c>
      <c r="L10848">
        <v>0</v>
      </c>
      <c r="M10848">
        <v>0</v>
      </c>
      <c r="N10848">
        <v>0</v>
      </c>
      <c r="O10848" t="s">
        <v>12921</v>
      </c>
    </row>
    <row r="10849" spans="1:15">
      <c r="A10849" t="s">
        <v>39410</v>
      </c>
      <c r="B10849" t="s">
        <v>5126</v>
      </c>
      <c r="C10849" t="s">
        <v>39418</v>
      </c>
      <c r="D10849" t="s">
        <v>39419</v>
      </c>
      <c r="E10849" t="b">
        <v>0</v>
      </c>
      <c r="F10849" t="s">
        <v>11622</v>
      </c>
      <c r="L10849">
        <v>1</v>
      </c>
      <c r="M10849">
        <v>5</v>
      </c>
      <c r="N10849">
        <v>12</v>
      </c>
    </row>
    <row r="10850" spans="1:15">
      <c r="A10850" t="s">
        <v>39420</v>
      </c>
      <c r="B10850" t="s">
        <v>11644</v>
      </c>
      <c r="C10850" t="s">
        <v>39421</v>
      </c>
      <c r="D10850" t="s">
        <v>39422</v>
      </c>
      <c r="E10850" t="b">
        <v>0</v>
      </c>
      <c r="F10850" t="s">
        <v>11610</v>
      </c>
      <c r="L10850">
        <v>0</v>
      </c>
      <c r="M10850">
        <v>0</v>
      </c>
      <c r="N10850">
        <v>0</v>
      </c>
    </row>
    <row r="10851" spans="1:15">
      <c r="A10851" t="s">
        <v>39423</v>
      </c>
      <c r="B10851" t="s">
        <v>11615</v>
      </c>
      <c r="C10851" t="s">
        <v>27216</v>
      </c>
      <c r="D10851" t="s">
        <v>39424</v>
      </c>
      <c r="E10851" t="b">
        <v>0</v>
      </c>
      <c r="F10851" t="s">
        <v>11610</v>
      </c>
      <c r="L10851">
        <v>0</v>
      </c>
      <c r="M10851">
        <v>0</v>
      </c>
      <c r="N10851">
        <v>0</v>
      </c>
    </row>
    <row r="10852" spans="1:15">
      <c r="A10852" t="s">
        <v>39425</v>
      </c>
      <c r="B10852" t="s">
        <v>11615</v>
      </c>
      <c r="C10852" t="s">
        <v>27216</v>
      </c>
      <c r="D10852" t="s">
        <v>39426</v>
      </c>
      <c r="E10852" t="b">
        <v>0</v>
      </c>
      <c r="F10852" t="s">
        <v>11610</v>
      </c>
      <c r="L10852">
        <v>0</v>
      </c>
      <c r="M10852">
        <v>0</v>
      </c>
      <c r="N10852">
        <v>0</v>
      </c>
    </row>
    <row r="10853" spans="1:15">
      <c r="A10853" t="s">
        <v>39427</v>
      </c>
      <c r="B10853" t="s">
        <v>11879</v>
      </c>
      <c r="C10853" t="s">
        <v>13326</v>
      </c>
      <c r="D10853" t="s">
        <v>39428</v>
      </c>
      <c r="E10853" t="b">
        <v>0</v>
      </c>
      <c r="F10853" t="s">
        <v>11624</v>
      </c>
      <c r="G10853">
        <v>16.067599999999999</v>
      </c>
      <c r="H10853">
        <v>-96.163600000000002</v>
      </c>
      <c r="I10853" t="s">
        <v>39429</v>
      </c>
      <c r="L10853">
        <v>0</v>
      </c>
      <c r="M10853">
        <v>0</v>
      </c>
      <c r="N10853">
        <v>0</v>
      </c>
      <c r="O10853" t="s">
        <v>11883</v>
      </c>
    </row>
    <row r="10854" spans="1:15">
      <c r="A10854" t="s">
        <v>39430</v>
      </c>
      <c r="B10854" t="s">
        <v>11644</v>
      </c>
      <c r="C10854" t="s">
        <v>17138</v>
      </c>
      <c r="D10854" t="s">
        <v>39431</v>
      </c>
      <c r="E10854" t="b">
        <v>0</v>
      </c>
      <c r="F10854" t="s">
        <v>11610</v>
      </c>
      <c r="L10854">
        <v>0</v>
      </c>
      <c r="M10854">
        <v>0</v>
      </c>
      <c r="N10854">
        <v>0</v>
      </c>
    </row>
    <row r="10855" spans="1:15">
      <c r="A10855" t="s">
        <v>39432</v>
      </c>
      <c r="B10855" t="s">
        <v>367</v>
      </c>
      <c r="C10855" t="s">
        <v>26595</v>
      </c>
      <c r="D10855" t="s">
        <v>39433</v>
      </c>
      <c r="E10855" t="b">
        <v>0</v>
      </c>
      <c r="F10855" t="s">
        <v>11624</v>
      </c>
      <c r="G10855">
        <v>7.5344899999999999</v>
      </c>
      <c r="H10855">
        <v>123.13</v>
      </c>
      <c r="I10855" t="s">
        <v>39434</v>
      </c>
      <c r="L10855">
        <v>0</v>
      </c>
      <c r="M10855">
        <v>0</v>
      </c>
      <c r="N10855">
        <v>0</v>
      </c>
      <c r="O10855" t="s">
        <v>11749</v>
      </c>
    </row>
    <row r="10856" spans="1:15">
      <c r="A10856" t="s">
        <v>39435</v>
      </c>
      <c r="D10856" t="s">
        <v>39436</v>
      </c>
      <c r="E10856" t="b">
        <v>0</v>
      </c>
      <c r="F10856" t="s">
        <v>11624</v>
      </c>
      <c r="G10856">
        <v>-12.411099999999999</v>
      </c>
      <c r="H10856">
        <v>130.922</v>
      </c>
      <c r="I10856" t="s">
        <v>39437</v>
      </c>
      <c r="L10856">
        <v>0</v>
      </c>
      <c r="M10856">
        <v>0</v>
      </c>
      <c r="N10856">
        <v>0</v>
      </c>
      <c r="O10856" t="s">
        <v>12107</v>
      </c>
    </row>
    <row r="10857" spans="1:15">
      <c r="A10857" t="s">
        <v>39438</v>
      </c>
      <c r="B10857" t="s">
        <v>11729</v>
      </c>
      <c r="C10857" t="s">
        <v>17872</v>
      </c>
      <c r="D10857" t="s">
        <v>39439</v>
      </c>
      <c r="E10857" t="b">
        <v>0</v>
      </c>
      <c r="F10857" t="s">
        <v>11610</v>
      </c>
      <c r="L10857">
        <v>0</v>
      </c>
      <c r="M10857">
        <v>0</v>
      </c>
      <c r="N10857">
        <v>0</v>
      </c>
    </row>
    <row r="10858" spans="1:15">
      <c r="A10858" t="s">
        <v>39440</v>
      </c>
      <c r="B10858" t="s">
        <v>367</v>
      </c>
      <c r="C10858" t="s">
        <v>13393</v>
      </c>
      <c r="D10858" t="s">
        <v>39441</v>
      </c>
      <c r="E10858" t="b">
        <v>0</v>
      </c>
      <c r="F10858" t="s">
        <v>11624</v>
      </c>
      <c r="G10858">
        <v>-8.4746000000000006</v>
      </c>
      <c r="H10858">
        <v>122.7619</v>
      </c>
      <c r="I10858" t="s">
        <v>39442</v>
      </c>
      <c r="L10858">
        <v>0</v>
      </c>
      <c r="M10858">
        <v>0</v>
      </c>
      <c r="N10858">
        <v>0</v>
      </c>
      <c r="O10858" t="s">
        <v>11768</v>
      </c>
    </row>
    <row r="10859" spans="1:15">
      <c r="A10859" t="s">
        <v>39443</v>
      </c>
      <c r="B10859" t="s">
        <v>141</v>
      </c>
      <c r="C10859" t="s">
        <v>14216</v>
      </c>
      <c r="D10859" t="s">
        <v>39444</v>
      </c>
      <c r="E10859" t="b">
        <v>0</v>
      </c>
      <c r="F10859" t="s">
        <v>11610</v>
      </c>
      <c r="L10859">
        <v>0</v>
      </c>
      <c r="M10859">
        <v>0</v>
      </c>
      <c r="N10859">
        <v>0</v>
      </c>
    </row>
    <row r="10860" spans="1:15">
      <c r="A10860" t="s">
        <v>37</v>
      </c>
      <c r="B10860" t="s">
        <v>28550</v>
      </c>
      <c r="C10860" t="s">
        <v>28550</v>
      </c>
      <c r="D10860" t="s">
        <v>36</v>
      </c>
      <c r="E10860" t="b">
        <v>0</v>
      </c>
      <c r="F10860" t="s">
        <v>11624</v>
      </c>
      <c r="G10860">
        <v>-16.561520000000002</v>
      </c>
      <c r="H10860">
        <v>139.43430000000001</v>
      </c>
      <c r="I10860" t="s">
        <v>39</v>
      </c>
      <c r="L10860">
        <v>0</v>
      </c>
      <c r="M10860">
        <v>0</v>
      </c>
      <c r="N10860">
        <v>0</v>
      </c>
      <c r="O10860" t="s">
        <v>12107</v>
      </c>
    </row>
    <row r="10861" spans="1:15">
      <c r="A10861" t="s">
        <v>39445</v>
      </c>
      <c r="B10861" t="s">
        <v>6742</v>
      </c>
      <c r="C10861" t="s">
        <v>25726</v>
      </c>
      <c r="D10861" t="s">
        <v>39446</v>
      </c>
      <c r="E10861" t="b">
        <v>0</v>
      </c>
      <c r="F10861" t="s">
        <v>11610</v>
      </c>
      <c r="L10861">
        <v>0</v>
      </c>
      <c r="M10861">
        <v>0</v>
      </c>
      <c r="N10861">
        <v>0</v>
      </c>
    </row>
    <row r="10862" spans="1:15">
      <c r="A10862" t="s">
        <v>39447</v>
      </c>
      <c r="B10862" t="s">
        <v>13967</v>
      </c>
      <c r="C10862" t="s">
        <v>21519</v>
      </c>
      <c r="D10862" t="s">
        <v>39448</v>
      </c>
      <c r="E10862" t="b">
        <v>0</v>
      </c>
      <c r="F10862" t="s">
        <v>11610</v>
      </c>
      <c r="L10862">
        <v>0</v>
      </c>
      <c r="M10862">
        <v>0</v>
      </c>
      <c r="N10862">
        <v>0</v>
      </c>
    </row>
    <row r="10863" spans="1:15">
      <c r="A10863" t="s">
        <v>39449</v>
      </c>
      <c r="B10863" t="s">
        <v>367</v>
      </c>
      <c r="C10863" t="s">
        <v>21960</v>
      </c>
      <c r="D10863" t="s">
        <v>39450</v>
      </c>
      <c r="E10863" t="b">
        <v>0</v>
      </c>
      <c r="F10863" t="s">
        <v>11624</v>
      </c>
      <c r="G10863">
        <v>-16.197099999999999</v>
      </c>
      <c r="H10863">
        <v>167.387</v>
      </c>
      <c r="I10863" t="s">
        <v>39451</v>
      </c>
      <c r="L10863">
        <v>0</v>
      </c>
      <c r="M10863">
        <v>0</v>
      </c>
      <c r="N10863">
        <v>0</v>
      </c>
      <c r="O10863" t="s">
        <v>12719</v>
      </c>
    </row>
    <row r="10864" spans="1:15">
      <c r="A10864" t="s">
        <v>39452</v>
      </c>
      <c r="B10864" t="s">
        <v>11839</v>
      </c>
      <c r="C10864" t="s">
        <v>14670</v>
      </c>
      <c r="D10864" t="s">
        <v>39453</v>
      </c>
      <c r="E10864" t="b">
        <v>0</v>
      </c>
      <c r="F10864" t="s">
        <v>11610</v>
      </c>
      <c r="L10864">
        <v>0</v>
      </c>
      <c r="M10864">
        <v>0</v>
      </c>
      <c r="N10864">
        <v>0</v>
      </c>
    </row>
    <row r="10865" spans="1:15">
      <c r="A10865" t="s">
        <v>39454</v>
      </c>
      <c r="B10865" t="s">
        <v>5058</v>
      </c>
      <c r="C10865" t="s">
        <v>22892</v>
      </c>
      <c r="D10865" t="s">
        <v>39455</v>
      </c>
      <c r="E10865" t="b">
        <v>0</v>
      </c>
      <c r="F10865" t="s">
        <v>11624</v>
      </c>
      <c r="G10865">
        <v>27.868200000000002</v>
      </c>
      <c r="H10865">
        <v>104.06</v>
      </c>
      <c r="I10865" t="s">
        <v>39456</v>
      </c>
      <c r="L10865">
        <v>0</v>
      </c>
      <c r="M10865">
        <v>0</v>
      </c>
      <c r="N10865">
        <v>0</v>
      </c>
      <c r="O10865" t="s">
        <v>11905</v>
      </c>
    </row>
    <row r="10866" spans="1:15">
      <c r="A10866" t="s">
        <v>17320</v>
      </c>
      <c r="B10866" t="s">
        <v>11637</v>
      </c>
      <c r="C10866" t="s">
        <v>17249</v>
      </c>
      <c r="D10866" t="s">
        <v>39457</v>
      </c>
      <c r="E10866" t="b">
        <v>0</v>
      </c>
      <c r="F10866" t="s">
        <v>11624</v>
      </c>
      <c r="G10866">
        <v>27.643599999999999</v>
      </c>
      <c r="H10866">
        <v>54.63449</v>
      </c>
      <c r="I10866" t="s">
        <v>39458</v>
      </c>
      <c r="L10866">
        <v>0</v>
      </c>
      <c r="M10866">
        <v>0</v>
      </c>
      <c r="N10866">
        <v>6</v>
      </c>
      <c r="O10866" t="s">
        <v>13225</v>
      </c>
    </row>
    <row r="10867" spans="1:15">
      <c r="A10867" t="s">
        <v>39459</v>
      </c>
      <c r="B10867" t="s">
        <v>11637</v>
      </c>
      <c r="C10867" t="s">
        <v>7239</v>
      </c>
      <c r="D10867" t="s">
        <v>39460</v>
      </c>
      <c r="E10867" t="b">
        <v>0</v>
      </c>
      <c r="F10867" t="s">
        <v>11610</v>
      </c>
      <c r="L10867">
        <v>0</v>
      </c>
      <c r="M10867">
        <v>0</v>
      </c>
      <c r="N10867">
        <v>0</v>
      </c>
    </row>
    <row r="10868" spans="1:15">
      <c r="A10868" t="s">
        <v>13096</v>
      </c>
      <c r="B10868" t="s">
        <v>367</v>
      </c>
      <c r="C10868" t="s">
        <v>18993</v>
      </c>
      <c r="D10868" t="s">
        <v>39461</v>
      </c>
      <c r="E10868" t="b">
        <v>0</v>
      </c>
      <c r="F10868" t="s">
        <v>11624</v>
      </c>
      <c r="G10868">
        <v>-3.7652199999999998</v>
      </c>
      <c r="H10868">
        <v>127.956</v>
      </c>
      <c r="I10868" t="s">
        <v>39462</v>
      </c>
      <c r="L10868">
        <v>0</v>
      </c>
      <c r="M10868">
        <v>0</v>
      </c>
      <c r="N10868">
        <v>3</v>
      </c>
      <c r="O10868" t="s">
        <v>11768</v>
      </c>
    </row>
    <row r="10869" spans="1:15">
      <c r="A10869" t="s">
        <v>39463</v>
      </c>
      <c r="B10869" t="s">
        <v>367</v>
      </c>
      <c r="C10869" t="s">
        <v>13096</v>
      </c>
      <c r="D10869" t="s">
        <v>39464</v>
      </c>
      <c r="E10869" t="b">
        <v>0</v>
      </c>
      <c r="F10869" t="s">
        <v>11610</v>
      </c>
      <c r="L10869">
        <v>0</v>
      </c>
      <c r="M10869">
        <v>0</v>
      </c>
      <c r="N10869">
        <v>0</v>
      </c>
    </row>
    <row r="10870" spans="1:15">
      <c r="A10870" t="s">
        <v>39465</v>
      </c>
      <c r="B10870" t="s">
        <v>21516</v>
      </c>
      <c r="C10870" t="s">
        <v>26740</v>
      </c>
      <c r="D10870" t="s">
        <v>39466</v>
      </c>
      <c r="E10870" t="b">
        <v>0</v>
      </c>
      <c r="F10870" t="s">
        <v>11624</v>
      </c>
      <c r="G10870">
        <v>11.391500000000001</v>
      </c>
      <c r="H10870">
        <v>30.382400000000001</v>
      </c>
      <c r="I10870" t="s">
        <v>39467</v>
      </c>
      <c r="L10870">
        <v>0</v>
      </c>
      <c r="M10870">
        <v>0</v>
      </c>
      <c r="N10870">
        <v>2</v>
      </c>
      <c r="O10870" t="s">
        <v>11910</v>
      </c>
    </row>
    <row r="10871" spans="1:15">
      <c r="A10871" t="s">
        <v>39468</v>
      </c>
      <c r="B10871" t="s">
        <v>6742</v>
      </c>
      <c r="C10871" t="s">
        <v>29799</v>
      </c>
      <c r="D10871" t="s">
        <v>39469</v>
      </c>
      <c r="E10871" t="b">
        <v>0</v>
      </c>
      <c r="F10871" t="s">
        <v>11624</v>
      </c>
      <c r="G10871">
        <v>5.9367000000000001</v>
      </c>
      <c r="H10871">
        <v>-7.8219999999999998E-2</v>
      </c>
      <c r="I10871" t="s">
        <v>39470</v>
      </c>
      <c r="L10871">
        <v>0</v>
      </c>
      <c r="M10871">
        <v>0</v>
      </c>
      <c r="N10871">
        <v>0</v>
      </c>
      <c r="O10871" t="s">
        <v>11985</v>
      </c>
    </row>
    <row r="10872" spans="1:15">
      <c r="A10872" t="s">
        <v>39471</v>
      </c>
      <c r="B10872" t="s">
        <v>6742</v>
      </c>
      <c r="C10872" t="s">
        <v>39472</v>
      </c>
      <c r="D10872" t="s">
        <v>39473</v>
      </c>
      <c r="E10872" t="b">
        <v>0</v>
      </c>
      <c r="F10872" t="s">
        <v>11624</v>
      </c>
      <c r="G10872">
        <v>10.5756</v>
      </c>
      <c r="H10872">
        <v>4.4351399999999996</v>
      </c>
      <c r="I10872" t="s">
        <v>39474</v>
      </c>
      <c r="L10872">
        <v>0</v>
      </c>
      <c r="M10872">
        <v>0</v>
      </c>
      <c r="N10872">
        <v>0</v>
      </c>
      <c r="O10872" t="s">
        <v>11693</v>
      </c>
    </row>
    <row r="10873" spans="1:15">
      <c r="A10873" t="s">
        <v>39475</v>
      </c>
      <c r="B10873" t="s">
        <v>367</v>
      </c>
      <c r="C10873" t="s">
        <v>26559</v>
      </c>
      <c r="D10873" t="s">
        <v>39476</v>
      </c>
      <c r="E10873" t="b">
        <v>0</v>
      </c>
      <c r="F10873" t="s">
        <v>11624</v>
      </c>
      <c r="G10873">
        <v>-5.2360199999999999</v>
      </c>
      <c r="H10873">
        <v>123.129</v>
      </c>
      <c r="I10873" t="s">
        <v>39477</v>
      </c>
      <c r="L10873">
        <v>0</v>
      </c>
      <c r="M10873">
        <v>0</v>
      </c>
      <c r="N10873">
        <v>0</v>
      </c>
      <c r="O10873" t="s">
        <v>11768</v>
      </c>
    </row>
    <row r="10874" spans="1:15">
      <c r="A10874" t="s">
        <v>39478</v>
      </c>
      <c r="B10874" t="s">
        <v>11637</v>
      </c>
      <c r="C10874" t="s">
        <v>37166</v>
      </c>
      <c r="D10874" t="s">
        <v>39479</v>
      </c>
      <c r="E10874" t="b">
        <v>0</v>
      </c>
      <c r="F10874" t="s">
        <v>11624</v>
      </c>
      <c r="G10874">
        <v>35.401530000000001</v>
      </c>
      <c r="H10874">
        <v>52.99868</v>
      </c>
      <c r="I10874" t="s">
        <v>39480</v>
      </c>
      <c r="L10874">
        <v>0</v>
      </c>
      <c r="M10874">
        <v>0</v>
      </c>
      <c r="N10874">
        <v>0</v>
      </c>
      <c r="O10874" t="s">
        <v>13225</v>
      </c>
    </row>
    <row r="10875" spans="1:15">
      <c r="A10875" t="s">
        <v>39481</v>
      </c>
      <c r="B10875" t="s">
        <v>12148</v>
      </c>
      <c r="C10875" t="s">
        <v>39482</v>
      </c>
      <c r="D10875" t="s">
        <v>39483</v>
      </c>
      <c r="E10875" t="b">
        <v>0</v>
      </c>
      <c r="F10875" t="s">
        <v>11610</v>
      </c>
      <c r="L10875">
        <v>0</v>
      </c>
      <c r="M10875">
        <v>0</v>
      </c>
      <c r="N10875">
        <v>0</v>
      </c>
    </row>
    <row r="10876" spans="1:15">
      <c r="A10876" t="s">
        <v>39484</v>
      </c>
      <c r="B10876" t="s">
        <v>11644</v>
      </c>
      <c r="C10876" t="s">
        <v>22330</v>
      </c>
      <c r="D10876" t="s">
        <v>39485</v>
      </c>
      <c r="E10876" t="b">
        <v>0</v>
      </c>
      <c r="F10876" t="s">
        <v>11624</v>
      </c>
      <c r="G10876">
        <v>26.0992</v>
      </c>
      <c r="H10876">
        <v>98.548100000000005</v>
      </c>
      <c r="I10876" t="s">
        <v>39486</v>
      </c>
      <c r="L10876">
        <v>0</v>
      </c>
      <c r="M10876">
        <v>0</v>
      </c>
      <c r="N10876">
        <v>0</v>
      </c>
      <c r="O10876" t="s">
        <v>11892</v>
      </c>
    </row>
    <row r="10877" spans="1:15">
      <c r="A10877" t="s">
        <v>39487</v>
      </c>
      <c r="B10877" t="s">
        <v>11637</v>
      </c>
      <c r="C10877" t="s">
        <v>33075</v>
      </c>
      <c r="D10877" t="s">
        <v>39488</v>
      </c>
      <c r="E10877" t="b">
        <v>0</v>
      </c>
      <c r="F10877" t="s">
        <v>11624</v>
      </c>
      <c r="G10877">
        <v>25.3293</v>
      </c>
      <c r="H10877">
        <v>66.913700000000006</v>
      </c>
      <c r="I10877" t="s">
        <v>39489</v>
      </c>
      <c r="L10877">
        <v>0</v>
      </c>
      <c r="M10877">
        <v>0</v>
      </c>
      <c r="N10877">
        <v>0</v>
      </c>
      <c r="O10877" t="s">
        <v>12172</v>
      </c>
    </row>
    <row r="10878" spans="1:15">
      <c r="A10878" t="s">
        <v>33075</v>
      </c>
      <c r="B10878" t="s">
        <v>11637</v>
      </c>
      <c r="C10878" t="s">
        <v>33955</v>
      </c>
      <c r="D10878" t="s">
        <v>39490</v>
      </c>
      <c r="E10878" t="b">
        <v>0</v>
      </c>
      <c r="F10878" t="s">
        <v>11622</v>
      </c>
      <c r="L10878">
        <v>0</v>
      </c>
      <c r="M10878">
        <v>2</v>
      </c>
      <c r="N10878">
        <v>0</v>
      </c>
    </row>
    <row r="10879" spans="1:15">
      <c r="A10879" t="s">
        <v>39491</v>
      </c>
      <c r="B10879" t="s">
        <v>11607</v>
      </c>
      <c r="C10879" t="s">
        <v>30070</v>
      </c>
      <c r="D10879" t="s">
        <v>39492</v>
      </c>
      <c r="E10879" t="b">
        <v>0</v>
      </c>
      <c r="F10879" t="s">
        <v>11610</v>
      </c>
      <c r="L10879">
        <v>0</v>
      </c>
      <c r="M10879">
        <v>0</v>
      </c>
      <c r="N10879">
        <v>0</v>
      </c>
    </row>
    <row r="10880" spans="1:15">
      <c r="A10880" t="s">
        <v>39493</v>
      </c>
      <c r="B10880" t="s">
        <v>11644</v>
      </c>
      <c r="C10880" t="s">
        <v>20099</v>
      </c>
      <c r="D10880" t="s">
        <v>39494</v>
      </c>
      <c r="E10880" t="b">
        <v>0</v>
      </c>
      <c r="F10880" t="s">
        <v>11610</v>
      </c>
      <c r="L10880">
        <v>0</v>
      </c>
      <c r="M10880">
        <v>0</v>
      </c>
      <c r="N10880">
        <v>0</v>
      </c>
    </row>
    <row r="10881" spans="1:15">
      <c r="A10881" t="s">
        <v>39495</v>
      </c>
      <c r="B10881" t="s">
        <v>367</v>
      </c>
      <c r="C10881" t="s">
        <v>39496</v>
      </c>
      <c r="D10881" t="s">
        <v>39497</v>
      </c>
      <c r="E10881" t="b">
        <v>0</v>
      </c>
      <c r="F10881" t="s">
        <v>11610</v>
      </c>
      <c r="L10881">
        <v>0</v>
      </c>
      <c r="M10881">
        <v>0</v>
      </c>
      <c r="N10881">
        <v>0</v>
      </c>
    </row>
    <row r="10882" spans="1:15">
      <c r="A10882" t="s">
        <v>34783</v>
      </c>
      <c r="B10882" t="s">
        <v>6742</v>
      </c>
      <c r="C10882" t="s">
        <v>39498</v>
      </c>
      <c r="D10882" t="s">
        <v>39499</v>
      </c>
      <c r="E10882" t="b">
        <v>0</v>
      </c>
      <c r="F10882" t="s">
        <v>11622</v>
      </c>
      <c r="L10882">
        <v>1</v>
      </c>
      <c r="M10882">
        <v>4</v>
      </c>
      <c r="N10882">
        <v>14</v>
      </c>
    </row>
    <row r="10883" spans="1:15">
      <c r="A10883" t="s">
        <v>39500</v>
      </c>
      <c r="B10883" t="s">
        <v>11644</v>
      </c>
      <c r="C10883" t="s">
        <v>39501</v>
      </c>
      <c r="D10883" t="s">
        <v>39502</v>
      </c>
      <c r="E10883" t="b">
        <v>0</v>
      </c>
      <c r="F10883" t="s">
        <v>11610</v>
      </c>
      <c r="L10883">
        <v>0</v>
      </c>
      <c r="M10883">
        <v>0</v>
      </c>
      <c r="N10883">
        <v>0</v>
      </c>
    </row>
    <row r="10884" spans="1:15">
      <c r="A10884" t="s">
        <v>39503</v>
      </c>
      <c r="B10884" t="s">
        <v>11637</v>
      </c>
      <c r="C10884" t="s">
        <v>39504</v>
      </c>
      <c r="D10884" t="s">
        <v>39505</v>
      </c>
      <c r="E10884" t="b">
        <v>0</v>
      </c>
      <c r="F10884" t="s">
        <v>11610</v>
      </c>
      <c r="L10884">
        <v>0</v>
      </c>
      <c r="M10884">
        <v>0</v>
      </c>
      <c r="N10884">
        <v>0</v>
      </c>
    </row>
    <row r="10885" spans="1:15">
      <c r="A10885" t="s">
        <v>22025</v>
      </c>
      <c r="B10885" t="s">
        <v>11644</v>
      </c>
      <c r="C10885" t="s">
        <v>13423</v>
      </c>
      <c r="D10885" t="s">
        <v>39506</v>
      </c>
      <c r="E10885" t="b">
        <v>0</v>
      </c>
      <c r="F10885" t="s">
        <v>11622</v>
      </c>
      <c r="L10885">
        <v>16</v>
      </c>
      <c r="M10885">
        <v>36</v>
      </c>
      <c r="N10885">
        <v>66</v>
      </c>
    </row>
    <row r="10886" spans="1:15">
      <c r="A10886" t="s">
        <v>39507</v>
      </c>
      <c r="B10886" t="s">
        <v>11637</v>
      </c>
      <c r="C10886" t="s">
        <v>13866</v>
      </c>
      <c r="D10886" t="s">
        <v>39508</v>
      </c>
      <c r="E10886" t="b">
        <v>0</v>
      </c>
      <c r="F10886" t="s">
        <v>11622</v>
      </c>
      <c r="L10886">
        <v>23</v>
      </c>
      <c r="M10886">
        <v>36</v>
      </c>
      <c r="N10886">
        <v>99</v>
      </c>
    </row>
    <row r="10887" spans="1:15">
      <c r="A10887" t="s">
        <v>39509</v>
      </c>
      <c r="B10887" t="s">
        <v>11637</v>
      </c>
      <c r="C10887" t="s">
        <v>13136</v>
      </c>
      <c r="D10887" t="s">
        <v>39510</v>
      </c>
      <c r="E10887" t="b">
        <v>0</v>
      </c>
      <c r="F10887" t="s">
        <v>11610</v>
      </c>
      <c r="L10887">
        <v>0</v>
      </c>
      <c r="M10887">
        <v>0</v>
      </c>
      <c r="N10887">
        <v>0</v>
      </c>
    </row>
    <row r="10888" spans="1:15">
      <c r="A10888" t="s">
        <v>39511</v>
      </c>
      <c r="B10888" t="s">
        <v>11637</v>
      </c>
      <c r="C10888" t="s">
        <v>13136</v>
      </c>
      <c r="D10888" t="s">
        <v>39512</v>
      </c>
      <c r="E10888" t="b">
        <v>0</v>
      </c>
      <c r="F10888" t="s">
        <v>11610</v>
      </c>
      <c r="L10888">
        <v>0</v>
      </c>
      <c r="M10888">
        <v>0</v>
      </c>
      <c r="N10888">
        <v>0</v>
      </c>
    </row>
    <row r="10889" spans="1:15">
      <c r="A10889" t="s">
        <v>39504</v>
      </c>
      <c r="B10889" t="s">
        <v>11637</v>
      </c>
      <c r="C10889" t="s">
        <v>32333</v>
      </c>
      <c r="D10889" t="s">
        <v>39513</v>
      </c>
      <c r="E10889" t="b">
        <v>0</v>
      </c>
      <c r="F10889" t="s">
        <v>11624</v>
      </c>
      <c r="G10889">
        <v>41.9026</v>
      </c>
      <c r="H10889">
        <v>12.450200000000001</v>
      </c>
      <c r="I10889" t="s">
        <v>39514</v>
      </c>
      <c r="L10889">
        <v>0</v>
      </c>
      <c r="M10889">
        <v>0</v>
      </c>
      <c r="N10889">
        <v>3</v>
      </c>
      <c r="O10889" t="s">
        <v>39515</v>
      </c>
    </row>
    <row r="10890" spans="1:15">
      <c r="A10890" t="s">
        <v>27677</v>
      </c>
      <c r="B10890" t="s">
        <v>11637</v>
      </c>
      <c r="C10890" t="s">
        <v>32825</v>
      </c>
      <c r="D10890" t="s">
        <v>39516</v>
      </c>
      <c r="E10890" t="b">
        <v>0</v>
      </c>
      <c r="F10890" t="s">
        <v>11622</v>
      </c>
      <c r="L10890">
        <v>47</v>
      </c>
      <c r="M10890">
        <v>83</v>
      </c>
      <c r="N10890">
        <v>254</v>
      </c>
    </row>
    <row r="10891" spans="1:15">
      <c r="A10891" t="s">
        <v>32334</v>
      </c>
      <c r="B10891" t="s">
        <v>11637</v>
      </c>
      <c r="C10891" t="s">
        <v>27677</v>
      </c>
      <c r="D10891" t="s">
        <v>39517</v>
      </c>
      <c r="E10891" t="b">
        <v>0</v>
      </c>
      <c r="F10891" t="s">
        <v>11622</v>
      </c>
      <c r="L10891">
        <v>46</v>
      </c>
      <c r="M10891">
        <v>82</v>
      </c>
      <c r="N10891">
        <v>254</v>
      </c>
    </row>
    <row r="10892" spans="1:15">
      <c r="A10892" t="s">
        <v>39518</v>
      </c>
      <c r="B10892" t="s">
        <v>367</v>
      </c>
      <c r="C10892" t="s">
        <v>39519</v>
      </c>
      <c r="D10892" t="s">
        <v>39520</v>
      </c>
      <c r="E10892" t="b">
        <v>0</v>
      </c>
      <c r="F10892" t="s">
        <v>11610</v>
      </c>
      <c r="L10892">
        <v>0</v>
      </c>
      <c r="M10892">
        <v>0</v>
      </c>
      <c r="N10892">
        <v>0</v>
      </c>
    </row>
    <row r="10893" spans="1:15">
      <c r="A10893" t="s">
        <v>39521</v>
      </c>
      <c r="B10893" t="s">
        <v>367</v>
      </c>
      <c r="C10893" t="s">
        <v>39522</v>
      </c>
      <c r="D10893" t="s">
        <v>39523</v>
      </c>
      <c r="E10893" t="b">
        <v>0</v>
      </c>
      <c r="F10893" t="s">
        <v>11624</v>
      </c>
      <c r="G10893">
        <v>-3.4130199999999999</v>
      </c>
      <c r="H10893">
        <v>128.667</v>
      </c>
      <c r="I10893" t="s">
        <v>39524</v>
      </c>
      <c r="L10893">
        <v>0</v>
      </c>
      <c r="M10893">
        <v>0</v>
      </c>
      <c r="N10893">
        <v>0</v>
      </c>
      <c r="O10893" t="s">
        <v>11768</v>
      </c>
    </row>
    <row r="10894" spans="1:15">
      <c r="A10894" t="s">
        <v>39525</v>
      </c>
      <c r="B10894" t="s">
        <v>12959</v>
      </c>
      <c r="C10894" t="s">
        <v>39095</v>
      </c>
      <c r="D10894" t="s">
        <v>39526</v>
      </c>
      <c r="E10894" t="b">
        <v>0</v>
      </c>
      <c r="F10894" t="s">
        <v>11624</v>
      </c>
      <c r="G10894">
        <v>-12.608791999999999</v>
      </c>
      <c r="H10894">
        <v>-60.422423000000002</v>
      </c>
      <c r="I10894" t="s">
        <v>39527</v>
      </c>
      <c r="L10894">
        <v>0</v>
      </c>
      <c r="M10894">
        <v>0</v>
      </c>
      <c r="N10894">
        <v>0</v>
      </c>
      <c r="O10894" t="s">
        <v>11969</v>
      </c>
    </row>
    <row r="10895" spans="1:15">
      <c r="A10895" t="s">
        <v>39528</v>
      </c>
      <c r="B10895" t="s">
        <v>11981</v>
      </c>
      <c r="C10895" t="s">
        <v>13026</v>
      </c>
      <c r="D10895" t="s">
        <v>39529</v>
      </c>
      <c r="E10895" t="b">
        <v>0</v>
      </c>
      <c r="F10895" t="s">
        <v>11624</v>
      </c>
      <c r="G10895">
        <v>56.933500000000002</v>
      </c>
      <c r="H10895">
        <v>24.493099999999998</v>
      </c>
      <c r="I10895" t="s">
        <v>39530</v>
      </c>
      <c r="L10895">
        <v>0</v>
      </c>
      <c r="M10895">
        <v>0</v>
      </c>
      <c r="N10895">
        <v>0</v>
      </c>
      <c r="O10895" t="s">
        <v>39531</v>
      </c>
    </row>
    <row r="10896" spans="1:15">
      <c r="A10896" t="s">
        <v>1513</v>
      </c>
      <c r="B10896" t="s">
        <v>11637</v>
      </c>
      <c r="C10896" t="s">
        <v>25829</v>
      </c>
      <c r="D10896" t="s">
        <v>39532</v>
      </c>
      <c r="E10896" t="b">
        <v>0</v>
      </c>
      <c r="F10896" t="s">
        <v>11624</v>
      </c>
      <c r="G10896">
        <v>56.826107999999998</v>
      </c>
      <c r="H10896">
        <v>24.309118000000002</v>
      </c>
      <c r="I10896" t="s">
        <v>1514</v>
      </c>
      <c r="L10896">
        <v>0</v>
      </c>
      <c r="M10896">
        <v>0</v>
      </c>
      <c r="N10896">
        <v>3</v>
      </c>
      <c r="O10896" t="s">
        <v>39533</v>
      </c>
    </row>
    <row r="10897" spans="1:15">
      <c r="A10897" t="s">
        <v>39534</v>
      </c>
      <c r="B10897" t="s">
        <v>11637</v>
      </c>
      <c r="C10897" t="s">
        <v>16346</v>
      </c>
      <c r="D10897" t="s">
        <v>39535</v>
      </c>
      <c r="E10897" t="b">
        <v>0</v>
      </c>
      <c r="F10897" t="s">
        <v>11610</v>
      </c>
      <c r="L10897">
        <v>0</v>
      </c>
      <c r="M10897">
        <v>0</v>
      </c>
      <c r="N10897">
        <v>0</v>
      </c>
    </row>
    <row r="10898" spans="1:15">
      <c r="A10898" t="s">
        <v>39536</v>
      </c>
      <c r="B10898" t="s">
        <v>367</v>
      </c>
      <c r="C10898" t="s">
        <v>26165</v>
      </c>
      <c r="D10898" t="s">
        <v>39537</v>
      </c>
      <c r="E10898" t="b">
        <v>0</v>
      </c>
      <c r="F10898" t="s">
        <v>11624</v>
      </c>
      <c r="G10898">
        <v>-18.213100000000001</v>
      </c>
      <c r="H10898">
        <v>-178.785</v>
      </c>
      <c r="I10898" t="s">
        <v>39538</v>
      </c>
      <c r="L10898">
        <v>0</v>
      </c>
      <c r="M10898">
        <v>0</v>
      </c>
      <c r="N10898">
        <v>2</v>
      </c>
      <c r="O10898" t="s">
        <v>27843</v>
      </c>
    </row>
    <row r="10899" spans="1:15">
      <c r="A10899" t="s">
        <v>39539</v>
      </c>
      <c r="B10899" t="s">
        <v>367</v>
      </c>
      <c r="C10899" t="s">
        <v>6861</v>
      </c>
      <c r="D10899" t="s">
        <v>39540</v>
      </c>
      <c r="E10899" t="b">
        <v>0</v>
      </c>
      <c r="F10899" t="s">
        <v>11610</v>
      </c>
      <c r="L10899">
        <v>0</v>
      </c>
      <c r="M10899">
        <v>0</v>
      </c>
      <c r="N10899">
        <v>0</v>
      </c>
    </row>
    <row r="10900" spans="1:15">
      <c r="A10900" t="s">
        <v>39541</v>
      </c>
      <c r="B10900" t="s">
        <v>14798</v>
      </c>
      <c r="C10900" t="s">
        <v>14798</v>
      </c>
      <c r="D10900" t="s">
        <v>39542</v>
      </c>
      <c r="E10900" t="b">
        <v>0</v>
      </c>
      <c r="F10900" t="s">
        <v>11624</v>
      </c>
      <c r="G10900">
        <v>-10.16145</v>
      </c>
      <c r="H10900">
        <v>149.25747000000001</v>
      </c>
      <c r="I10900" t="s">
        <v>39543</v>
      </c>
      <c r="L10900">
        <v>0</v>
      </c>
      <c r="M10900">
        <v>0</v>
      </c>
      <c r="N10900">
        <v>0</v>
      </c>
      <c r="O10900" t="s">
        <v>11660</v>
      </c>
    </row>
    <row r="10901" spans="1:15">
      <c r="A10901" t="s">
        <v>13537</v>
      </c>
      <c r="B10901" t="s">
        <v>367</v>
      </c>
      <c r="C10901" t="s">
        <v>25232</v>
      </c>
      <c r="D10901" t="s">
        <v>39544</v>
      </c>
      <c r="E10901" t="b">
        <v>0</v>
      </c>
      <c r="F10901" t="s">
        <v>11624</v>
      </c>
      <c r="G10901">
        <v>0.50707999999999998</v>
      </c>
      <c r="H10901">
        <v>120.262</v>
      </c>
      <c r="I10901" t="s">
        <v>39545</v>
      </c>
      <c r="L10901">
        <v>0</v>
      </c>
      <c r="M10901">
        <v>0</v>
      </c>
      <c r="N10901">
        <v>1</v>
      </c>
      <c r="O10901" t="s">
        <v>11768</v>
      </c>
    </row>
    <row r="10902" spans="1:15">
      <c r="A10902" t="s">
        <v>39546</v>
      </c>
      <c r="B10902" t="s">
        <v>367</v>
      </c>
      <c r="C10902" t="s">
        <v>39547</v>
      </c>
      <c r="D10902" t="s">
        <v>39548</v>
      </c>
      <c r="E10902" t="b">
        <v>0</v>
      </c>
      <c r="F10902" t="s">
        <v>11610</v>
      </c>
      <c r="L10902">
        <v>0</v>
      </c>
      <c r="M10902">
        <v>0</v>
      </c>
      <c r="N10902">
        <v>0</v>
      </c>
    </row>
    <row r="10903" spans="1:15">
      <c r="A10903" t="s">
        <v>39549</v>
      </c>
      <c r="B10903" t="s">
        <v>11637</v>
      </c>
      <c r="C10903" t="s">
        <v>27744</v>
      </c>
      <c r="D10903" t="s">
        <v>39550</v>
      </c>
      <c r="E10903" t="b">
        <v>0</v>
      </c>
      <c r="F10903" t="s">
        <v>11610</v>
      </c>
      <c r="L10903">
        <v>0</v>
      </c>
      <c r="M10903">
        <v>0</v>
      </c>
      <c r="N10903">
        <v>0</v>
      </c>
    </row>
    <row r="10904" spans="1:15">
      <c r="A10904" t="s">
        <v>39551</v>
      </c>
      <c r="B10904" t="s">
        <v>11637</v>
      </c>
      <c r="C10904" t="s">
        <v>12947</v>
      </c>
      <c r="D10904" t="s">
        <v>39552</v>
      </c>
      <c r="E10904" t="b">
        <v>0</v>
      </c>
      <c r="F10904" t="s">
        <v>11610</v>
      </c>
      <c r="L10904">
        <v>0</v>
      </c>
      <c r="M10904">
        <v>0</v>
      </c>
      <c r="N10904">
        <v>0</v>
      </c>
    </row>
    <row r="10905" spans="1:15">
      <c r="A10905" t="s">
        <v>39553</v>
      </c>
      <c r="B10905" t="s">
        <v>367</v>
      </c>
      <c r="C10905" t="s">
        <v>39547</v>
      </c>
      <c r="D10905" t="s">
        <v>39554</v>
      </c>
      <c r="E10905" t="b">
        <v>0</v>
      </c>
      <c r="F10905" t="s">
        <v>11610</v>
      </c>
      <c r="G10905">
        <v>-9.4296000000000006</v>
      </c>
      <c r="H10905">
        <v>119.19</v>
      </c>
      <c r="I10905" t="s">
        <v>39555</v>
      </c>
      <c r="L10905">
        <v>0</v>
      </c>
      <c r="M10905">
        <v>0</v>
      </c>
      <c r="N10905">
        <v>2</v>
      </c>
      <c r="O10905" t="s">
        <v>11768</v>
      </c>
    </row>
    <row r="10906" spans="1:15">
      <c r="A10906" t="s">
        <v>39556</v>
      </c>
      <c r="B10906" t="s">
        <v>300</v>
      </c>
      <c r="C10906" t="s">
        <v>21267</v>
      </c>
      <c r="D10906" t="s">
        <v>39557</v>
      </c>
      <c r="E10906" t="b">
        <v>0</v>
      </c>
      <c r="F10906" t="s">
        <v>11624</v>
      </c>
      <c r="G10906">
        <v>45.33</v>
      </c>
      <c r="H10906">
        <v>-72.5</v>
      </c>
      <c r="I10906" t="s">
        <v>39558</v>
      </c>
      <c r="L10906">
        <v>0</v>
      </c>
      <c r="M10906">
        <v>0</v>
      </c>
      <c r="N10906">
        <v>0</v>
      </c>
      <c r="O10906" t="s">
        <v>13049</v>
      </c>
    </row>
    <row r="10907" spans="1:15">
      <c r="A10907" t="s">
        <v>39559</v>
      </c>
      <c r="B10907" t="s">
        <v>11644</v>
      </c>
      <c r="C10907" t="s">
        <v>39560</v>
      </c>
      <c r="D10907" t="s">
        <v>39561</v>
      </c>
      <c r="E10907" t="b">
        <v>0</v>
      </c>
      <c r="F10907" t="s">
        <v>11624</v>
      </c>
      <c r="I10907" t="s">
        <v>39562</v>
      </c>
      <c r="L10907">
        <v>0</v>
      </c>
      <c r="M10907">
        <v>0</v>
      </c>
      <c r="N10907">
        <v>0</v>
      </c>
      <c r="O10907" t="s">
        <v>14059</v>
      </c>
    </row>
    <row r="10908" spans="1:15">
      <c r="A10908" t="s">
        <v>39563</v>
      </c>
      <c r="B10908" t="s">
        <v>11757</v>
      </c>
      <c r="C10908" t="s">
        <v>3239</v>
      </c>
      <c r="D10908" t="s">
        <v>39564</v>
      </c>
      <c r="E10908" t="b">
        <v>0</v>
      </c>
      <c r="F10908" t="s">
        <v>11610</v>
      </c>
      <c r="L10908">
        <v>0</v>
      </c>
      <c r="M10908">
        <v>0</v>
      </c>
      <c r="N10908">
        <v>0</v>
      </c>
    </row>
    <row r="10909" spans="1:15">
      <c r="A10909" t="s">
        <v>23861</v>
      </c>
      <c r="B10909" t="s">
        <v>367</v>
      </c>
      <c r="C10909" t="s">
        <v>15748</v>
      </c>
      <c r="D10909" t="s">
        <v>39565</v>
      </c>
      <c r="E10909" t="b">
        <v>0</v>
      </c>
      <c r="F10909" t="s">
        <v>11624</v>
      </c>
      <c r="G10909">
        <v>-8.5101800000000001</v>
      </c>
      <c r="H10909">
        <v>160.87200000000001</v>
      </c>
      <c r="I10909" t="s">
        <v>39566</v>
      </c>
      <c r="L10909">
        <v>0</v>
      </c>
      <c r="M10909">
        <v>0</v>
      </c>
      <c r="N10909">
        <v>3</v>
      </c>
      <c r="O10909" t="s">
        <v>13346</v>
      </c>
    </row>
    <row r="10910" spans="1:15">
      <c r="A10910" t="s">
        <v>39567</v>
      </c>
      <c r="B10910" t="s">
        <v>367</v>
      </c>
      <c r="C10910" t="s">
        <v>39536</v>
      </c>
      <c r="D10910" t="s">
        <v>39568</v>
      </c>
      <c r="E10910" t="b">
        <v>0</v>
      </c>
      <c r="F10910" t="s">
        <v>11610</v>
      </c>
      <c r="L10910">
        <v>0</v>
      </c>
      <c r="M10910">
        <v>0</v>
      </c>
      <c r="N10910">
        <v>0</v>
      </c>
    </row>
    <row r="10911" spans="1:15">
      <c r="A10911" t="s">
        <v>39569</v>
      </c>
      <c r="B10911" t="s">
        <v>367</v>
      </c>
      <c r="C10911" t="s">
        <v>17655</v>
      </c>
      <c r="D10911" t="s">
        <v>39570</v>
      </c>
      <c r="E10911" t="b">
        <v>0</v>
      </c>
      <c r="F10911" t="s">
        <v>11610</v>
      </c>
      <c r="L10911">
        <v>0</v>
      </c>
      <c r="M10911">
        <v>0</v>
      </c>
      <c r="N10911">
        <v>0</v>
      </c>
    </row>
    <row r="10912" spans="1:15">
      <c r="A10912" t="s">
        <v>37339</v>
      </c>
      <c r="B10912" t="s">
        <v>367</v>
      </c>
      <c r="C10912" t="s">
        <v>17129</v>
      </c>
      <c r="D10912" t="s">
        <v>39571</v>
      </c>
      <c r="E10912" t="b">
        <v>0</v>
      </c>
      <c r="F10912" t="s">
        <v>11624</v>
      </c>
      <c r="G10912">
        <v>-3.2190300000000001</v>
      </c>
      <c r="H10912">
        <v>151.72800000000001</v>
      </c>
      <c r="I10912" t="s">
        <v>39572</v>
      </c>
      <c r="L10912">
        <v>0</v>
      </c>
      <c r="M10912">
        <v>0</v>
      </c>
      <c r="N10912">
        <v>4</v>
      </c>
      <c r="O10912" t="s">
        <v>11660</v>
      </c>
    </row>
    <row r="10913" spans="1:15">
      <c r="A10913" t="s">
        <v>39573</v>
      </c>
      <c r="B10913" t="s">
        <v>367</v>
      </c>
      <c r="C10913" t="s">
        <v>37339</v>
      </c>
      <c r="D10913" t="s">
        <v>39574</v>
      </c>
      <c r="E10913" t="b">
        <v>0</v>
      </c>
      <c r="F10913" t="s">
        <v>11610</v>
      </c>
      <c r="L10913">
        <v>0</v>
      </c>
      <c r="M10913">
        <v>0</v>
      </c>
      <c r="N10913">
        <v>0</v>
      </c>
    </row>
    <row r="10914" spans="1:15">
      <c r="A10914" t="s">
        <v>35498</v>
      </c>
      <c r="B10914" t="s">
        <v>12438</v>
      </c>
      <c r="C10914" t="s">
        <v>39575</v>
      </c>
      <c r="D10914" t="s">
        <v>39576</v>
      </c>
      <c r="E10914" t="b">
        <v>0</v>
      </c>
      <c r="F10914" t="s">
        <v>11622</v>
      </c>
      <c r="L10914">
        <v>0</v>
      </c>
      <c r="M10914">
        <v>3</v>
      </c>
      <c r="N10914">
        <v>1</v>
      </c>
    </row>
    <row r="10915" spans="1:15">
      <c r="A10915" t="s">
        <v>39577</v>
      </c>
      <c r="B10915" t="s">
        <v>12438</v>
      </c>
      <c r="C10915" t="s">
        <v>39578</v>
      </c>
      <c r="D10915" t="s">
        <v>39579</v>
      </c>
      <c r="E10915" t="b">
        <v>0</v>
      </c>
      <c r="F10915" t="s">
        <v>11624</v>
      </c>
      <c r="G10915">
        <v>15.272600000000001</v>
      </c>
      <c r="H10915">
        <v>106.322</v>
      </c>
      <c r="I10915" t="s">
        <v>39580</v>
      </c>
      <c r="L10915">
        <v>0</v>
      </c>
      <c r="M10915">
        <v>0</v>
      </c>
      <c r="N10915">
        <v>0</v>
      </c>
      <c r="O10915" t="s">
        <v>12921</v>
      </c>
    </row>
    <row r="10916" spans="1:15">
      <c r="A10916" t="s">
        <v>39581</v>
      </c>
      <c r="B10916" t="s">
        <v>12438</v>
      </c>
      <c r="C10916" t="s">
        <v>35498</v>
      </c>
      <c r="D10916" t="s">
        <v>39582</v>
      </c>
      <c r="E10916" t="b">
        <v>0</v>
      </c>
      <c r="F10916" t="s">
        <v>11624</v>
      </c>
      <c r="G10916">
        <v>14.599399999999999</v>
      </c>
      <c r="H10916">
        <v>107.008</v>
      </c>
      <c r="I10916" t="s">
        <v>39583</v>
      </c>
      <c r="L10916">
        <v>0</v>
      </c>
      <c r="M10916">
        <v>0</v>
      </c>
      <c r="N10916">
        <v>1</v>
      </c>
      <c r="O10916" t="s">
        <v>39584</v>
      </c>
    </row>
    <row r="10917" spans="1:15">
      <c r="A10917" t="s">
        <v>39585</v>
      </c>
      <c r="B10917" t="s">
        <v>367</v>
      </c>
      <c r="C10917" t="s">
        <v>38634</v>
      </c>
      <c r="D10917" t="s">
        <v>39586</v>
      </c>
      <c r="E10917" t="b">
        <v>0</v>
      </c>
      <c r="F10917" t="s">
        <v>11610</v>
      </c>
      <c r="L10917">
        <v>0</v>
      </c>
      <c r="M10917">
        <v>0</v>
      </c>
      <c r="N10917">
        <v>0</v>
      </c>
    </row>
    <row r="10918" spans="1:15">
      <c r="A10918" t="s">
        <v>39587</v>
      </c>
      <c r="D10918" t="s">
        <v>39588</v>
      </c>
      <c r="E10918" t="b">
        <v>0</v>
      </c>
      <c r="F10918" t="s">
        <v>11624</v>
      </c>
      <c r="G10918">
        <v>-9.0556900000000002</v>
      </c>
      <c r="H10918">
        <v>159.119</v>
      </c>
      <c r="I10918" t="s">
        <v>39589</v>
      </c>
      <c r="L10918">
        <v>0</v>
      </c>
      <c r="M10918">
        <v>0</v>
      </c>
      <c r="N10918">
        <v>0</v>
      </c>
      <c r="O10918" t="s">
        <v>13346</v>
      </c>
    </row>
    <row r="10919" spans="1:15">
      <c r="A10919" t="s">
        <v>25903</v>
      </c>
      <c r="B10919" t="s">
        <v>12438</v>
      </c>
      <c r="C10919" t="s">
        <v>39590</v>
      </c>
      <c r="D10919" t="s">
        <v>39591</v>
      </c>
      <c r="E10919" t="b">
        <v>0</v>
      </c>
      <c r="F10919" t="s">
        <v>11622</v>
      </c>
      <c r="L10919">
        <v>0</v>
      </c>
      <c r="M10919">
        <v>2</v>
      </c>
      <c r="N10919">
        <v>2</v>
      </c>
    </row>
    <row r="10920" spans="1:15">
      <c r="A10920" t="s">
        <v>12638</v>
      </c>
      <c r="B10920" t="s">
        <v>367</v>
      </c>
      <c r="C10920" t="s">
        <v>39592</v>
      </c>
      <c r="D10920" t="s">
        <v>39593</v>
      </c>
      <c r="E10920" t="b">
        <v>0</v>
      </c>
      <c r="F10920" t="s">
        <v>11624</v>
      </c>
      <c r="G10920">
        <v>-1.80261</v>
      </c>
      <c r="H10920">
        <v>115.876</v>
      </c>
      <c r="I10920" t="s">
        <v>39594</v>
      </c>
      <c r="L10920">
        <v>0</v>
      </c>
      <c r="M10920">
        <v>0</v>
      </c>
      <c r="N10920">
        <v>16</v>
      </c>
      <c r="O10920" t="s">
        <v>11768</v>
      </c>
    </row>
    <row r="10921" spans="1:15">
      <c r="A10921" t="s">
        <v>39595</v>
      </c>
      <c r="B10921" t="s">
        <v>367</v>
      </c>
      <c r="C10921" t="s">
        <v>12638</v>
      </c>
      <c r="D10921" t="s">
        <v>39596</v>
      </c>
      <c r="E10921" t="b">
        <v>0</v>
      </c>
      <c r="F10921" t="s">
        <v>11610</v>
      </c>
      <c r="L10921">
        <v>0</v>
      </c>
      <c r="M10921">
        <v>0</v>
      </c>
      <c r="N10921">
        <v>0</v>
      </c>
    </row>
    <row r="10922" spans="1:15">
      <c r="A10922" t="s">
        <v>39597</v>
      </c>
      <c r="B10922" t="s">
        <v>367</v>
      </c>
      <c r="C10922" t="s">
        <v>33884</v>
      </c>
      <c r="D10922" t="s">
        <v>39598</v>
      </c>
      <c r="E10922" t="b">
        <v>0</v>
      </c>
      <c r="F10922" t="s">
        <v>11610</v>
      </c>
      <c r="L10922">
        <v>0</v>
      </c>
      <c r="M10922">
        <v>0</v>
      </c>
      <c r="N10922">
        <v>0</v>
      </c>
    </row>
    <row r="10923" spans="1:15">
      <c r="A10923" t="s">
        <v>39599</v>
      </c>
      <c r="B10923" t="s">
        <v>367</v>
      </c>
      <c r="C10923" t="s">
        <v>20543</v>
      </c>
      <c r="D10923" t="s">
        <v>39600</v>
      </c>
      <c r="E10923" t="b">
        <v>0</v>
      </c>
      <c r="F10923" t="s">
        <v>11610</v>
      </c>
      <c r="L10923">
        <v>0</v>
      </c>
      <c r="M10923">
        <v>0</v>
      </c>
      <c r="N10923">
        <v>0</v>
      </c>
    </row>
    <row r="10924" spans="1:15">
      <c r="A10924" t="s">
        <v>39601</v>
      </c>
      <c r="B10924" t="s">
        <v>367</v>
      </c>
      <c r="C10924" t="s">
        <v>20543</v>
      </c>
      <c r="D10924" t="s">
        <v>39602</v>
      </c>
      <c r="E10924" t="b">
        <v>0</v>
      </c>
      <c r="F10924" t="s">
        <v>11610</v>
      </c>
      <c r="L10924">
        <v>0</v>
      </c>
      <c r="M10924">
        <v>0</v>
      </c>
      <c r="N10924">
        <v>0</v>
      </c>
    </row>
    <row r="10925" spans="1:15">
      <c r="A10925" t="s">
        <v>39603</v>
      </c>
      <c r="B10925" t="s">
        <v>12438</v>
      </c>
      <c r="C10925" t="s">
        <v>39604</v>
      </c>
      <c r="D10925" t="s">
        <v>39605</v>
      </c>
      <c r="E10925" t="b">
        <v>0</v>
      </c>
      <c r="F10925" t="s">
        <v>11624</v>
      </c>
      <c r="L10925">
        <v>0</v>
      </c>
      <c r="M10925">
        <v>0</v>
      </c>
      <c r="N10925">
        <v>0</v>
      </c>
      <c r="O10925" t="s">
        <v>12921</v>
      </c>
    </row>
    <row r="10926" spans="1:15">
      <c r="A10926" t="s">
        <v>39606</v>
      </c>
      <c r="B10926" t="s">
        <v>11644</v>
      </c>
      <c r="C10926" t="s">
        <v>23834</v>
      </c>
      <c r="D10926" t="s">
        <v>39607</v>
      </c>
      <c r="E10926" t="b">
        <v>0</v>
      </c>
      <c r="F10926" t="s">
        <v>11610</v>
      </c>
      <c r="L10926">
        <v>0</v>
      </c>
      <c r="M10926">
        <v>0</v>
      </c>
      <c r="N10926">
        <v>0</v>
      </c>
    </row>
    <row r="10927" spans="1:15">
      <c r="A10927" t="s">
        <v>39608</v>
      </c>
      <c r="B10927" t="s">
        <v>11644</v>
      </c>
      <c r="C10927" t="s">
        <v>35637</v>
      </c>
      <c r="D10927" t="s">
        <v>39609</v>
      </c>
      <c r="E10927" t="b">
        <v>0</v>
      </c>
      <c r="F10927" t="s">
        <v>11622</v>
      </c>
      <c r="L10927">
        <v>0</v>
      </c>
      <c r="M10927">
        <v>2</v>
      </c>
      <c r="N10927">
        <v>0</v>
      </c>
    </row>
    <row r="10928" spans="1:15">
      <c r="A10928" t="s">
        <v>13561</v>
      </c>
      <c r="B10928" t="s">
        <v>367</v>
      </c>
      <c r="C10928" t="s">
        <v>16760</v>
      </c>
      <c r="D10928" t="s">
        <v>39610</v>
      </c>
      <c r="E10928" t="b">
        <v>0</v>
      </c>
      <c r="F10928" t="s">
        <v>11624</v>
      </c>
      <c r="G10928">
        <v>-6.1520099999999998</v>
      </c>
      <c r="H10928">
        <v>155.12899999999999</v>
      </c>
      <c r="I10928" t="s">
        <v>39611</v>
      </c>
      <c r="L10928">
        <v>0</v>
      </c>
      <c r="M10928">
        <v>0</v>
      </c>
      <c r="N10928">
        <v>1</v>
      </c>
      <c r="O10928" t="s">
        <v>11660</v>
      </c>
    </row>
    <row r="10929" spans="1:15">
      <c r="A10929" t="s">
        <v>39612</v>
      </c>
      <c r="B10929" t="s">
        <v>11644</v>
      </c>
      <c r="C10929" t="s">
        <v>39608</v>
      </c>
      <c r="D10929" t="s">
        <v>39613</v>
      </c>
      <c r="E10929" t="b">
        <v>0</v>
      </c>
      <c r="F10929" t="s">
        <v>11624</v>
      </c>
      <c r="G10929">
        <v>24.133877999999999</v>
      </c>
      <c r="H10929">
        <v>101.498795</v>
      </c>
      <c r="I10929" t="s">
        <v>39614</v>
      </c>
      <c r="L10929">
        <v>0</v>
      </c>
      <c r="M10929">
        <v>0</v>
      </c>
      <c r="N10929">
        <v>0</v>
      </c>
      <c r="O10929" t="s">
        <v>11905</v>
      </c>
    </row>
    <row r="10930" spans="1:15">
      <c r="A10930" t="s">
        <v>39615</v>
      </c>
      <c r="B10930" t="s">
        <v>12438</v>
      </c>
      <c r="C10930" t="s">
        <v>22562</v>
      </c>
      <c r="D10930" t="s">
        <v>39616</v>
      </c>
      <c r="E10930" t="b">
        <v>0</v>
      </c>
      <c r="F10930" t="s">
        <v>11610</v>
      </c>
      <c r="L10930">
        <v>0</v>
      </c>
      <c r="M10930">
        <v>0</v>
      </c>
      <c r="N10930">
        <v>0</v>
      </c>
    </row>
    <row r="10931" spans="1:15">
      <c r="A10931" t="s">
        <v>39617</v>
      </c>
      <c r="B10931" t="s">
        <v>11644</v>
      </c>
      <c r="C10931" t="s">
        <v>25759</v>
      </c>
      <c r="D10931" t="s">
        <v>39618</v>
      </c>
      <c r="E10931" t="b">
        <v>0</v>
      </c>
      <c r="F10931" t="s">
        <v>11624</v>
      </c>
      <c r="G10931">
        <v>28.049900000000001</v>
      </c>
      <c r="H10931">
        <v>89.717699999999994</v>
      </c>
      <c r="I10931" t="s">
        <v>39619</v>
      </c>
      <c r="L10931">
        <v>0</v>
      </c>
      <c r="M10931">
        <v>0</v>
      </c>
      <c r="N10931">
        <v>0</v>
      </c>
      <c r="O10931" t="s">
        <v>12020</v>
      </c>
    </row>
    <row r="10932" spans="1:15">
      <c r="A10932" t="s">
        <v>39620</v>
      </c>
      <c r="B10932" t="s">
        <v>367</v>
      </c>
      <c r="C10932" t="s">
        <v>4370</v>
      </c>
      <c r="D10932" t="s">
        <v>39621</v>
      </c>
      <c r="E10932" t="b">
        <v>0</v>
      </c>
      <c r="F10932" t="s">
        <v>11610</v>
      </c>
      <c r="L10932">
        <v>0</v>
      </c>
      <c r="M10932">
        <v>0</v>
      </c>
      <c r="N10932">
        <v>0</v>
      </c>
    </row>
    <row r="10933" spans="1:15">
      <c r="A10933" t="s">
        <v>39622</v>
      </c>
      <c r="B10933" t="s">
        <v>11615</v>
      </c>
      <c r="C10933" t="s">
        <v>27216</v>
      </c>
      <c r="D10933" t="s">
        <v>39623</v>
      </c>
      <c r="E10933" t="b">
        <v>0</v>
      </c>
      <c r="F10933" t="s">
        <v>11610</v>
      </c>
      <c r="L10933">
        <v>0</v>
      </c>
      <c r="M10933">
        <v>0</v>
      </c>
      <c r="N10933">
        <v>0</v>
      </c>
    </row>
    <row r="10934" spans="1:15">
      <c r="A10934" t="s">
        <v>39624</v>
      </c>
      <c r="B10934" t="s">
        <v>13821</v>
      </c>
      <c r="C10934" t="s">
        <v>26776</v>
      </c>
      <c r="D10934" t="s">
        <v>39625</v>
      </c>
      <c r="E10934" t="b">
        <v>0</v>
      </c>
      <c r="F10934" t="s">
        <v>11610</v>
      </c>
      <c r="L10934">
        <v>0</v>
      </c>
      <c r="M10934">
        <v>0</v>
      </c>
      <c r="N10934">
        <v>0</v>
      </c>
    </row>
    <row r="10935" spans="1:15">
      <c r="A10935" t="s">
        <v>39626</v>
      </c>
      <c r="B10935" t="s">
        <v>11644</v>
      </c>
      <c r="C10935" t="s">
        <v>39627</v>
      </c>
      <c r="D10935" t="s">
        <v>39628</v>
      </c>
      <c r="E10935" t="b">
        <v>0</v>
      </c>
      <c r="F10935" t="s">
        <v>11624</v>
      </c>
      <c r="G10935">
        <v>27.85</v>
      </c>
      <c r="H10935">
        <v>101.45</v>
      </c>
      <c r="L10935">
        <v>0</v>
      </c>
      <c r="M10935">
        <v>0</v>
      </c>
      <c r="N10935">
        <v>0</v>
      </c>
      <c r="O10935" t="s">
        <v>11905</v>
      </c>
    </row>
    <row r="10936" spans="1:15">
      <c r="A10936" t="s">
        <v>39629</v>
      </c>
      <c r="B10936" t="s">
        <v>11644</v>
      </c>
      <c r="C10936" t="s">
        <v>24289</v>
      </c>
      <c r="D10936" t="s">
        <v>39630</v>
      </c>
      <c r="E10936" t="b">
        <v>0</v>
      </c>
      <c r="F10936" t="s">
        <v>11610</v>
      </c>
      <c r="L10936">
        <v>0</v>
      </c>
      <c r="M10936">
        <v>0</v>
      </c>
      <c r="N10936">
        <v>0</v>
      </c>
    </row>
    <row r="10937" spans="1:15">
      <c r="A10937" t="s">
        <v>39631</v>
      </c>
      <c r="B10937" t="s">
        <v>11637</v>
      </c>
      <c r="C10937" t="s">
        <v>4378</v>
      </c>
      <c r="D10937" t="s">
        <v>39632</v>
      </c>
      <c r="E10937" t="b">
        <v>0</v>
      </c>
      <c r="F10937" t="s">
        <v>11610</v>
      </c>
      <c r="L10937">
        <v>0</v>
      </c>
      <c r="M10937">
        <v>0</v>
      </c>
      <c r="N10937">
        <v>0</v>
      </c>
    </row>
    <row r="10938" spans="1:15">
      <c r="A10938" t="s">
        <v>15018</v>
      </c>
      <c r="B10938" t="s">
        <v>12148</v>
      </c>
      <c r="C10938" t="s">
        <v>39633</v>
      </c>
      <c r="D10938" t="s">
        <v>39634</v>
      </c>
      <c r="E10938" t="b">
        <v>0</v>
      </c>
      <c r="F10938" t="s">
        <v>11624</v>
      </c>
      <c r="G10938">
        <v>41.500399999999999</v>
      </c>
      <c r="H10938">
        <v>41.909599999999998</v>
      </c>
      <c r="I10938" t="s">
        <v>39635</v>
      </c>
      <c r="L10938">
        <v>0</v>
      </c>
      <c r="M10938">
        <v>0</v>
      </c>
      <c r="N10938">
        <v>6</v>
      </c>
      <c r="O10938" t="s">
        <v>39636</v>
      </c>
    </row>
    <row r="10939" spans="1:15">
      <c r="A10939" t="s">
        <v>39637</v>
      </c>
      <c r="B10939" t="s">
        <v>367</v>
      </c>
      <c r="C10939" t="s">
        <v>25571</v>
      </c>
      <c r="D10939" t="s">
        <v>39638</v>
      </c>
      <c r="E10939" t="b">
        <v>0</v>
      </c>
      <c r="F10939" t="s">
        <v>11610</v>
      </c>
      <c r="L10939">
        <v>0</v>
      </c>
      <c r="M10939">
        <v>0</v>
      </c>
      <c r="N10939">
        <v>0</v>
      </c>
    </row>
    <row r="10940" spans="1:15">
      <c r="A10940" t="s">
        <v>39639</v>
      </c>
      <c r="B10940" t="s">
        <v>11607</v>
      </c>
      <c r="C10940" t="s">
        <v>21751</v>
      </c>
      <c r="D10940" t="s">
        <v>39640</v>
      </c>
      <c r="E10940" t="b">
        <v>0</v>
      </c>
      <c r="F10940" t="s">
        <v>11610</v>
      </c>
      <c r="L10940">
        <v>0</v>
      </c>
      <c r="M10940">
        <v>0</v>
      </c>
      <c r="N10940">
        <v>0</v>
      </c>
    </row>
    <row r="10941" spans="1:15">
      <c r="A10941" t="s">
        <v>39641</v>
      </c>
      <c r="B10941" t="s">
        <v>11879</v>
      </c>
      <c r="C10941" t="s">
        <v>22664</v>
      </c>
      <c r="D10941" t="s">
        <v>39642</v>
      </c>
      <c r="E10941" t="b">
        <v>0</v>
      </c>
      <c r="F10941" t="s">
        <v>11624</v>
      </c>
      <c r="G10941">
        <v>17.316199999999998</v>
      </c>
      <c r="H10941">
        <v>-95.926500000000004</v>
      </c>
      <c r="I10941" t="s">
        <v>39643</v>
      </c>
      <c r="L10941">
        <v>0</v>
      </c>
      <c r="M10941">
        <v>0</v>
      </c>
      <c r="N10941">
        <v>0</v>
      </c>
      <c r="O10941" t="s">
        <v>11883</v>
      </c>
    </row>
    <row r="10942" spans="1:15">
      <c r="A10942" t="s">
        <v>39644</v>
      </c>
      <c r="B10942" t="s">
        <v>11839</v>
      </c>
      <c r="C10942" t="s">
        <v>24413</v>
      </c>
      <c r="D10942" t="s">
        <v>39645</v>
      </c>
      <c r="E10942" t="b">
        <v>0</v>
      </c>
      <c r="F10942" t="s">
        <v>11610</v>
      </c>
      <c r="L10942">
        <v>0</v>
      </c>
      <c r="M10942">
        <v>0</v>
      </c>
      <c r="N10942">
        <v>0</v>
      </c>
    </row>
    <row r="10943" spans="1:15">
      <c r="A10943" t="s">
        <v>39182</v>
      </c>
      <c r="B10943" t="s">
        <v>367</v>
      </c>
      <c r="C10943" t="s">
        <v>35542</v>
      </c>
      <c r="D10943" t="s">
        <v>39646</v>
      </c>
      <c r="E10943" t="b">
        <v>0</v>
      </c>
      <c r="F10943" t="s">
        <v>11610</v>
      </c>
      <c r="L10943">
        <v>0</v>
      </c>
      <c r="M10943">
        <v>0</v>
      </c>
      <c r="N10943">
        <v>2</v>
      </c>
    </row>
    <row r="10944" spans="1:15">
      <c r="A10944" t="s">
        <v>39647</v>
      </c>
      <c r="B10944" t="s">
        <v>13276</v>
      </c>
      <c r="C10944" t="s">
        <v>16922</v>
      </c>
      <c r="D10944" t="s">
        <v>39648</v>
      </c>
      <c r="E10944" t="b">
        <v>0</v>
      </c>
      <c r="F10944" t="s">
        <v>11610</v>
      </c>
      <c r="L10944">
        <v>0</v>
      </c>
      <c r="M10944">
        <v>0</v>
      </c>
      <c r="N10944">
        <v>0</v>
      </c>
    </row>
    <row r="10945" spans="1:15">
      <c r="A10945" t="s">
        <v>39649</v>
      </c>
      <c r="B10945" t="s">
        <v>6742</v>
      </c>
      <c r="C10945" t="s">
        <v>4927</v>
      </c>
      <c r="D10945" t="s">
        <v>39650</v>
      </c>
      <c r="E10945" t="b">
        <v>0</v>
      </c>
      <c r="F10945" t="s">
        <v>11610</v>
      </c>
      <c r="L10945">
        <v>0</v>
      </c>
      <c r="M10945">
        <v>0</v>
      </c>
      <c r="N10945">
        <v>0</v>
      </c>
    </row>
    <row r="10946" spans="1:15">
      <c r="A10946" t="s">
        <v>39651</v>
      </c>
      <c r="B10946" t="s">
        <v>6742</v>
      </c>
      <c r="C10946" t="s">
        <v>17425</v>
      </c>
      <c r="D10946" t="s">
        <v>39652</v>
      </c>
      <c r="E10946" t="b">
        <v>0</v>
      </c>
      <c r="F10946" t="s">
        <v>11610</v>
      </c>
      <c r="L10946">
        <v>0</v>
      </c>
      <c r="M10946">
        <v>0</v>
      </c>
      <c r="N10946">
        <v>0</v>
      </c>
    </row>
    <row r="10947" spans="1:15">
      <c r="A10947" t="s">
        <v>39653</v>
      </c>
      <c r="B10947" t="s">
        <v>367</v>
      </c>
      <c r="C10947" t="s">
        <v>35652</v>
      </c>
      <c r="D10947" t="s">
        <v>39654</v>
      </c>
      <c r="E10947" t="b">
        <v>0</v>
      </c>
      <c r="F10947" t="s">
        <v>11610</v>
      </c>
      <c r="L10947">
        <v>0</v>
      </c>
      <c r="M10947">
        <v>0</v>
      </c>
      <c r="N10947">
        <v>0</v>
      </c>
    </row>
    <row r="10948" spans="1:15">
      <c r="A10948" t="s">
        <v>39655</v>
      </c>
      <c r="B10948" t="s">
        <v>6742</v>
      </c>
      <c r="C10948" t="s">
        <v>500</v>
      </c>
      <c r="D10948" t="s">
        <v>39656</v>
      </c>
      <c r="E10948" t="b">
        <v>0</v>
      </c>
      <c r="F10948" t="s">
        <v>11622</v>
      </c>
      <c r="L10948">
        <v>3</v>
      </c>
      <c r="M10948">
        <v>7</v>
      </c>
      <c r="N10948">
        <v>8</v>
      </c>
    </row>
    <row r="10949" spans="1:15">
      <c r="A10949" t="s">
        <v>39657</v>
      </c>
      <c r="B10949" t="s">
        <v>6742</v>
      </c>
      <c r="C10949" t="s">
        <v>28445</v>
      </c>
      <c r="D10949" t="s">
        <v>39658</v>
      </c>
      <c r="E10949" t="b">
        <v>0</v>
      </c>
      <c r="F10949" t="s">
        <v>11624</v>
      </c>
      <c r="L10949">
        <v>0</v>
      </c>
      <c r="M10949">
        <v>0</v>
      </c>
      <c r="N10949">
        <v>0</v>
      </c>
      <c r="O10949" t="s">
        <v>16532</v>
      </c>
    </row>
    <row r="10950" spans="1:15">
      <c r="A10950" t="s">
        <v>35302</v>
      </c>
      <c r="B10950" t="s">
        <v>11637</v>
      </c>
      <c r="C10950" t="s">
        <v>23706</v>
      </c>
      <c r="D10950" t="s">
        <v>39659</v>
      </c>
      <c r="E10950" t="b">
        <v>0</v>
      </c>
      <c r="F10950" t="s">
        <v>11622</v>
      </c>
      <c r="L10950">
        <v>0</v>
      </c>
      <c r="M10950">
        <v>3</v>
      </c>
      <c r="N10950">
        <v>3</v>
      </c>
    </row>
    <row r="10951" spans="1:15">
      <c r="A10951" t="s">
        <v>39660</v>
      </c>
      <c r="D10951" t="s">
        <v>39661</v>
      </c>
      <c r="E10951" t="b">
        <v>0</v>
      </c>
      <c r="F10951" t="s">
        <v>11624</v>
      </c>
      <c r="G10951">
        <v>-15.0092</v>
      </c>
      <c r="H10951">
        <v>-67.881799999999998</v>
      </c>
      <c r="I10951" t="s">
        <v>39662</v>
      </c>
      <c r="L10951">
        <v>0</v>
      </c>
      <c r="M10951">
        <v>0</v>
      </c>
      <c r="N10951">
        <v>0</v>
      </c>
      <c r="O10951" t="s">
        <v>14185</v>
      </c>
    </row>
    <row r="10952" spans="1:15">
      <c r="A10952" t="s">
        <v>39663</v>
      </c>
      <c r="B10952" t="s">
        <v>367</v>
      </c>
      <c r="C10952" t="s">
        <v>12116</v>
      </c>
      <c r="D10952" t="s">
        <v>39664</v>
      </c>
      <c r="E10952" t="b">
        <v>0</v>
      </c>
      <c r="F10952" t="s">
        <v>11610</v>
      </c>
      <c r="L10952">
        <v>0</v>
      </c>
      <c r="M10952">
        <v>0</v>
      </c>
      <c r="N10952">
        <v>0</v>
      </c>
    </row>
    <row r="10953" spans="1:15">
      <c r="A10953" t="s">
        <v>12116</v>
      </c>
      <c r="B10953" t="s">
        <v>367</v>
      </c>
      <c r="C10953" t="s">
        <v>16940</v>
      </c>
      <c r="D10953" t="s">
        <v>39665</v>
      </c>
      <c r="E10953" t="b">
        <v>0</v>
      </c>
      <c r="F10953" t="s">
        <v>11624</v>
      </c>
      <c r="G10953">
        <v>-1.03033</v>
      </c>
      <c r="H10953">
        <v>120.13200000000001</v>
      </c>
      <c r="I10953" t="s">
        <v>39666</v>
      </c>
      <c r="L10953">
        <v>0</v>
      </c>
      <c r="M10953">
        <v>0</v>
      </c>
      <c r="N10953">
        <v>10</v>
      </c>
      <c r="O10953" t="s">
        <v>11768</v>
      </c>
    </row>
    <row r="10954" spans="1:15">
      <c r="A10954" t="s">
        <v>39667</v>
      </c>
      <c r="B10954" t="s">
        <v>11644</v>
      </c>
      <c r="C10954" t="s">
        <v>27713</v>
      </c>
      <c r="D10954" t="s">
        <v>39668</v>
      </c>
      <c r="E10954" t="b">
        <v>0</v>
      </c>
      <c r="F10954" t="s">
        <v>11610</v>
      </c>
      <c r="L10954">
        <v>0</v>
      </c>
      <c r="M10954">
        <v>0</v>
      </c>
      <c r="N10954">
        <v>0</v>
      </c>
    </row>
    <row r="10955" spans="1:15">
      <c r="A10955" t="s">
        <v>39669</v>
      </c>
      <c r="B10955" t="s">
        <v>6742</v>
      </c>
      <c r="C10955" t="s">
        <v>16612</v>
      </c>
      <c r="D10955" t="s">
        <v>39670</v>
      </c>
      <c r="E10955" t="b">
        <v>0</v>
      </c>
      <c r="F10955" t="s">
        <v>11610</v>
      </c>
      <c r="L10955">
        <v>0</v>
      </c>
      <c r="M10955">
        <v>0</v>
      </c>
      <c r="N10955">
        <v>0</v>
      </c>
    </row>
    <row r="10956" spans="1:15">
      <c r="A10956" t="s">
        <v>39671</v>
      </c>
      <c r="B10956" t="s">
        <v>6742</v>
      </c>
      <c r="C10956" t="s">
        <v>16391</v>
      </c>
      <c r="D10956" t="s">
        <v>39672</v>
      </c>
      <c r="E10956" t="b">
        <v>0</v>
      </c>
      <c r="F10956" t="s">
        <v>11624</v>
      </c>
      <c r="G10956">
        <v>9.2914499999999993</v>
      </c>
      <c r="H10956">
        <v>11.163600000000001</v>
      </c>
      <c r="I10956" t="s">
        <v>39673</v>
      </c>
      <c r="L10956">
        <v>0</v>
      </c>
      <c r="M10956">
        <v>0</v>
      </c>
      <c r="N10956">
        <v>0</v>
      </c>
      <c r="O10956" t="s">
        <v>11693</v>
      </c>
    </row>
    <row r="10957" spans="1:15">
      <c r="A10957" t="s">
        <v>39674</v>
      </c>
      <c r="B10957" t="s">
        <v>12438</v>
      </c>
      <c r="C10957" t="s">
        <v>30455</v>
      </c>
      <c r="D10957" t="s">
        <v>39675</v>
      </c>
      <c r="E10957" t="b">
        <v>0</v>
      </c>
      <c r="F10957" t="s">
        <v>11610</v>
      </c>
      <c r="L10957">
        <v>0</v>
      </c>
      <c r="M10957">
        <v>0</v>
      </c>
      <c r="N10957">
        <v>0</v>
      </c>
    </row>
    <row r="10958" spans="1:15">
      <c r="A10958" t="s">
        <v>39676</v>
      </c>
      <c r="B10958" t="s">
        <v>11607</v>
      </c>
      <c r="C10958" t="s">
        <v>30490</v>
      </c>
      <c r="D10958" t="s">
        <v>39677</v>
      </c>
      <c r="E10958" t="b">
        <v>0</v>
      </c>
      <c r="F10958" t="s">
        <v>11610</v>
      </c>
      <c r="L10958">
        <v>0</v>
      </c>
      <c r="M10958">
        <v>0</v>
      </c>
      <c r="N10958">
        <v>0</v>
      </c>
    </row>
    <row r="10959" spans="1:15">
      <c r="A10959" t="s">
        <v>39678</v>
      </c>
      <c r="B10959" t="s">
        <v>6742</v>
      </c>
      <c r="C10959" t="s">
        <v>21452</v>
      </c>
      <c r="D10959" t="s">
        <v>39679</v>
      </c>
      <c r="E10959" t="b">
        <v>0</v>
      </c>
      <c r="F10959" t="s">
        <v>11610</v>
      </c>
      <c r="L10959">
        <v>0</v>
      </c>
      <c r="M10959">
        <v>0</v>
      </c>
      <c r="N10959">
        <v>0</v>
      </c>
    </row>
    <row r="10960" spans="1:15">
      <c r="A10960" t="s">
        <v>20968</v>
      </c>
      <c r="B10960" t="s">
        <v>6742</v>
      </c>
      <c r="C10960" t="s">
        <v>15779</v>
      </c>
      <c r="D10960" t="s">
        <v>39680</v>
      </c>
      <c r="E10960" t="b">
        <v>0</v>
      </c>
      <c r="F10960" t="s">
        <v>11624</v>
      </c>
      <c r="G10960">
        <v>5.0584499999999997</v>
      </c>
      <c r="H10960">
        <v>11.114000000000001</v>
      </c>
      <c r="I10960" t="s">
        <v>39681</v>
      </c>
      <c r="L10960">
        <v>0</v>
      </c>
      <c r="M10960">
        <v>0</v>
      </c>
      <c r="N10960">
        <v>4</v>
      </c>
      <c r="O10960" t="s">
        <v>11703</v>
      </c>
    </row>
    <row r="10961" spans="1:15">
      <c r="A10961" t="s">
        <v>15779</v>
      </c>
      <c r="B10961" t="s">
        <v>6742</v>
      </c>
      <c r="C10961" t="s">
        <v>24832</v>
      </c>
      <c r="D10961" t="s">
        <v>39682</v>
      </c>
      <c r="E10961" t="b">
        <v>0</v>
      </c>
      <c r="F10961" t="s">
        <v>11622</v>
      </c>
      <c r="L10961">
        <v>0</v>
      </c>
      <c r="M10961">
        <v>2</v>
      </c>
      <c r="N10961">
        <v>6</v>
      </c>
    </row>
    <row r="10962" spans="1:15">
      <c r="A10962" t="s">
        <v>13291</v>
      </c>
      <c r="D10962" t="s">
        <v>39683</v>
      </c>
      <c r="E10962" t="b">
        <v>0</v>
      </c>
      <c r="F10962" t="s">
        <v>11622</v>
      </c>
      <c r="L10962">
        <v>2</v>
      </c>
      <c r="M10962">
        <v>6</v>
      </c>
      <c r="N10962">
        <v>3</v>
      </c>
    </row>
    <row r="10963" spans="1:15">
      <c r="A10963" t="s">
        <v>36453</v>
      </c>
      <c r="B10963" t="s">
        <v>6742</v>
      </c>
      <c r="C10963" t="s">
        <v>34902</v>
      </c>
      <c r="D10963" t="s">
        <v>39684</v>
      </c>
      <c r="E10963" t="b">
        <v>0</v>
      </c>
      <c r="F10963" t="s">
        <v>11624</v>
      </c>
      <c r="G10963">
        <v>-3.83196</v>
      </c>
      <c r="H10963">
        <v>27.142399999999999</v>
      </c>
      <c r="I10963" t="s">
        <v>39685</v>
      </c>
      <c r="L10963">
        <v>0</v>
      </c>
      <c r="M10963">
        <v>0</v>
      </c>
      <c r="N10963">
        <v>6</v>
      </c>
      <c r="O10963" t="s">
        <v>14825</v>
      </c>
    </row>
    <row r="10964" spans="1:15">
      <c r="A10964" t="s">
        <v>18583</v>
      </c>
      <c r="B10964" t="s">
        <v>6742</v>
      </c>
      <c r="C10964" t="s">
        <v>39686</v>
      </c>
      <c r="D10964" t="s">
        <v>39687</v>
      </c>
      <c r="E10964" t="b">
        <v>0</v>
      </c>
      <c r="F10964" t="s">
        <v>11624</v>
      </c>
      <c r="G10964">
        <v>-3.3900700000000001</v>
      </c>
      <c r="H10964">
        <v>28.2621</v>
      </c>
      <c r="I10964" t="s">
        <v>39688</v>
      </c>
      <c r="L10964">
        <v>0</v>
      </c>
      <c r="M10964">
        <v>0</v>
      </c>
      <c r="N10964">
        <v>6</v>
      </c>
      <c r="O10964" t="s">
        <v>14825</v>
      </c>
    </row>
    <row r="10965" spans="1:15">
      <c r="A10965" t="s">
        <v>39689</v>
      </c>
      <c r="B10965" t="s">
        <v>367</v>
      </c>
      <c r="C10965" t="s">
        <v>21591</v>
      </c>
      <c r="D10965" t="s">
        <v>39690</v>
      </c>
      <c r="E10965" t="b">
        <v>0</v>
      </c>
      <c r="F10965" t="s">
        <v>11610</v>
      </c>
      <c r="L10965">
        <v>0</v>
      </c>
      <c r="M10965">
        <v>0</v>
      </c>
      <c r="N10965">
        <v>0</v>
      </c>
    </row>
    <row r="10966" spans="1:15">
      <c r="A10966" t="s">
        <v>17889</v>
      </c>
      <c r="B10966" t="s">
        <v>6742</v>
      </c>
      <c r="C10966" t="s">
        <v>39691</v>
      </c>
      <c r="D10966" t="s">
        <v>39692</v>
      </c>
      <c r="E10966" t="b">
        <v>0</v>
      </c>
      <c r="F10966" t="s">
        <v>11622</v>
      </c>
      <c r="L10966">
        <v>4</v>
      </c>
      <c r="M10966">
        <v>7</v>
      </c>
      <c r="N10966">
        <v>15</v>
      </c>
    </row>
    <row r="10967" spans="1:15">
      <c r="A10967" t="s">
        <v>39686</v>
      </c>
      <c r="B10967" t="s">
        <v>6742</v>
      </c>
      <c r="C10967" t="s">
        <v>17889</v>
      </c>
      <c r="D10967" t="s">
        <v>39693</v>
      </c>
      <c r="E10967" t="b">
        <v>0</v>
      </c>
      <c r="F10967" t="s">
        <v>11622</v>
      </c>
      <c r="L10967">
        <v>1</v>
      </c>
      <c r="M10967">
        <v>3</v>
      </c>
      <c r="N10967">
        <v>12</v>
      </c>
    </row>
    <row r="10968" spans="1:15">
      <c r="A10968" t="s">
        <v>39694</v>
      </c>
      <c r="B10968" t="s">
        <v>6742</v>
      </c>
      <c r="C10968" t="s">
        <v>23553</v>
      </c>
      <c r="D10968" t="s">
        <v>39695</v>
      </c>
      <c r="E10968" t="b">
        <v>0</v>
      </c>
      <c r="F10968" t="s">
        <v>11622</v>
      </c>
      <c r="L10968">
        <v>1</v>
      </c>
      <c r="M10968">
        <v>3</v>
      </c>
      <c r="N10968">
        <v>0</v>
      </c>
    </row>
    <row r="10969" spans="1:15">
      <c r="A10969" t="s">
        <v>39696</v>
      </c>
      <c r="B10969" t="s">
        <v>6742</v>
      </c>
      <c r="C10969" t="s">
        <v>39694</v>
      </c>
      <c r="D10969" t="s">
        <v>39697</v>
      </c>
      <c r="E10969" t="b">
        <v>0</v>
      </c>
      <c r="F10969" t="s">
        <v>11624</v>
      </c>
      <c r="G10969">
        <v>6.0264499999999996</v>
      </c>
      <c r="H10969">
        <v>7.9838500000000003</v>
      </c>
      <c r="I10969" t="s">
        <v>39698</v>
      </c>
      <c r="L10969">
        <v>0</v>
      </c>
      <c r="M10969">
        <v>0</v>
      </c>
      <c r="N10969">
        <v>0</v>
      </c>
      <c r="O10969" t="s">
        <v>11693</v>
      </c>
    </row>
    <row r="10970" spans="1:15">
      <c r="A10970" t="s">
        <v>39699</v>
      </c>
      <c r="B10970" t="s">
        <v>6742</v>
      </c>
      <c r="C10970" t="s">
        <v>18515</v>
      </c>
      <c r="D10970" t="s">
        <v>39700</v>
      </c>
      <c r="E10970" t="b">
        <v>0</v>
      </c>
      <c r="F10970" t="s">
        <v>11610</v>
      </c>
      <c r="L10970">
        <v>0</v>
      </c>
      <c r="M10970">
        <v>0</v>
      </c>
      <c r="N10970">
        <v>0</v>
      </c>
    </row>
    <row r="10971" spans="1:15">
      <c r="A10971" t="s">
        <v>39701</v>
      </c>
      <c r="B10971" t="s">
        <v>367</v>
      </c>
      <c r="C10971" t="s">
        <v>17367</v>
      </c>
      <c r="D10971" t="s">
        <v>39702</v>
      </c>
      <c r="E10971" t="b">
        <v>0</v>
      </c>
      <c r="F10971" t="s">
        <v>11624</v>
      </c>
      <c r="G10971">
        <v>-0.35920000000000002</v>
      </c>
      <c r="H10971">
        <v>130.749</v>
      </c>
      <c r="I10971" t="s">
        <v>39703</v>
      </c>
      <c r="L10971">
        <v>0</v>
      </c>
      <c r="M10971">
        <v>0</v>
      </c>
      <c r="N10971">
        <v>0</v>
      </c>
      <c r="O10971" t="s">
        <v>11768</v>
      </c>
    </row>
    <row r="10972" spans="1:15">
      <c r="A10972" t="s">
        <v>39704</v>
      </c>
      <c r="B10972" t="s">
        <v>11607</v>
      </c>
      <c r="C10972" t="s">
        <v>25767</v>
      </c>
      <c r="D10972" t="s">
        <v>39705</v>
      </c>
      <c r="E10972" t="b">
        <v>0</v>
      </c>
      <c r="F10972" t="s">
        <v>11610</v>
      </c>
      <c r="L10972">
        <v>0</v>
      </c>
      <c r="M10972">
        <v>0</v>
      </c>
      <c r="N10972">
        <v>0</v>
      </c>
    </row>
    <row r="10973" spans="1:15">
      <c r="A10973" t="s">
        <v>39706</v>
      </c>
      <c r="B10973" t="s">
        <v>6742</v>
      </c>
      <c r="C10973" t="s">
        <v>39707</v>
      </c>
      <c r="D10973" t="s">
        <v>39708</v>
      </c>
      <c r="E10973" t="b">
        <v>0</v>
      </c>
      <c r="F10973" t="s">
        <v>11624</v>
      </c>
      <c r="G10973">
        <v>14.938700000000001</v>
      </c>
      <c r="H10973">
        <v>-16.881599999999999</v>
      </c>
      <c r="I10973" t="s">
        <v>39709</v>
      </c>
      <c r="L10973">
        <v>0</v>
      </c>
      <c r="M10973">
        <v>0</v>
      </c>
      <c r="N10973">
        <v>0</v>
      </c>
      <c r="O10973" t="s">
        <v>16532</v>
      </c>
    </row>
    <row r="10974" spans="1:15">
      <c r="A10974" t="s">
        <v>39710</v>
      </c>
      <c r="B10974" t="s">
        <v>367</v>
      </c>
      <c r="C10974" t="s">
        <v>31219</v>
      </c>
      <c r="D10974" t="s">
        <v>39711</v>
      </c>
      <c r="E10974" t="b">
        <v>0</v>
      </c>
      <c r="F10974" t="s">
        <v>11624</v>
      </c>
      <c r="G10974">
        <v>-13.504300000000001</v>
      </c>
      <c r="H10974">
        <v>167.33199999999999</v>
      </c>
      <c r="I10974" t="s">
        <v>39712</v>
      </c>
      <c r="L10974">
        <v>0</v>
      </c>
      <c r="M10974">
        <v>0</v>
      </c>
      <c r="N10974">
        <v>0</v>
      </c>
      <c r="O10974" t="s">
        <v>12719</v>
      </c>
    </row>
    <row r="10975" spans="1:15">
      <c r="A10975" t="s">
        <v>39713</v>
      </c>
      <c r="B10975" t="s">
        <v>367</v>
      </c>
      <c r="C10975" t="s">
        <v>31219</v>
      </c>
      <c r="D10975" t="s">
        <v>39714</v>
      </c>
      <c r="E10975" t="b">
        <v>0</v>
      </c>
      <c r="F10975" t="s">
        <v>11624</v>
      </c>
      <c r="G10975">
        <v>-13.542726</v>
      </c>
      <c r="H10975">
        <v>167.34334200000001</v>
      </c>
      <c r="I10975" t="s">
        <v>39715</v>
      </c>
      <c r="L10975">
        <v>0</v>
      </c>
      <c r="M10975">
        <v>0</v>
      </c>
      <c r="N10975">
        <v>0</v>
      </c>
      <c r="O10975" t="s">
        <v>12719</v>
      </c>
    </row>
    <row r="10976" spans="1:15">
      <c r="A10976" t="s">
        <v>39716</v>
      </c>
      <c r="B10976" t="s">
        <v>11644</v>
      </c>
      <c r="C10976" t="s">
        <v>38926</v>
      </c>
      <c r="D10976" t="s">
        <v>39717</v>
      </c>
      <c r="E10976" t="b">
        <v>0</v>
      </c>
      <c r="F10976" t="s">
        <v>11610</v>
      </c>
      <c r="L10976">
        <v>0</v>
      </c>
      <c r="M10976">
        <v>0</v>
      </c>
      <c r="N10976">
        <v>0</v>
      </c>
    </row>
    <row r="10977" spans="1:15">
      <c r="A10977" t="s">
        <v>39718</v>
      </c>
      <c r="B10977" t="s">
        <v>11637</v>
      </c>
      <c r="C10977" t="s">
        <v>26699</v>
      </c>
      <c r="D10977" t="s">
        <v>39719</v>
      </c>
      <c r="E10977" t="b">
        <v>0</v>
      </c>
      <c r="F10977" t="s">
        <v>11610</v>
      </c>
      <c r="L10977">
        <v>0</v>
      </c>
      <c r="M10977">
        <v>0</v>
      </c>
      <c r="N10977">
        <v>0</v>
      </c>
    </row>
    <row r="10978" spans="1:15">
      <c r="A10978" t="s">
        <v>39720</v>
      </c>
      <c r="B10978" t="s">
        <v>367</v>
      </c>
      <c r="C10978" t="s">
        <v>19402</v>
      </c>
      <c r="D10978" t="s">
        <v>39721</v>
      </c>
      <c r="E10978" t="b">
        <v>0</v>
      </c>
      <c r="F10978" t="s">
        <v>11610</v>
      </c>
      <c r="L10978">
        <v>0</v>
      </c>
      <c r="M10978">
        <v>0</v>
      </c>
      <c r="N10978">
        <v>0</v>
      </c>
    </row>
    <row r="10979" spans="1:15">
      <c r="A10979" t="s">
        <v>39722</v>
      </c>
      <c r="B10979" t="s">
        <v>11644</v>
      </c>
      <c r="C10979" t="s">
        <v>36229</v>
      </c>
      <c r="D10979" t="s">
        <v>39723</v>
      </c>
      <c r="E10979" t="b">
        <v>0</v>
      </c>
      <c r="F10979" t="s">
        <v>11622</v>
      </c>
      <c r="L10979">
        <v>0</v>
      </c>
      <c r="M10979">
        <v>2</v>
      </c>
      <c r="N10979">
        <v>0</v>
      </c>
    </row>
    <row r="10980" spans="1:15">
      <c r="A10980" t="s">
        <v>39724</v>
      </c>
      <c r="B10980" t="s">
        <v>11644</v>
      </c>
      <c r="C10980" t="s">
        <v>39722</v>
      </c>
      <c r="D10980" t="s">
        <v>39725</v>
      </c>
      <c r="E10980" t="b">
        <v>0</v>
      </c>
      <c r="F10980" t="s">
        <v>11624</v>
      </c>
      <c r="I10980" t="s">
        <v>39726</v>
      </c>
      <c r="L10980">
        <v>0</v>
      </c>
      <c r="M10980">
        <v>0</v>
      </c>
      <c r="N10980">
        <v>0</v>
      </c>
      <c r="O10980" t="s">
        <v>14059</v>
      </c>
    </row>
    <row r="10981" spans="1:15">
      <c r="A10981" t="s">
        <v>39727</v>
      </c>
      <c r="B10981" t="s">
        <v>367</v>
      </c>
      <c r="C10981" t="s">
        <v>13758</v>
      </c>
      <c r="D10981" t="s">
        <v>39728</v>
      </c>
      <c r="E10981" t="b">
        <v>0</v>
      </c>
      <c r="F10981" t="s">
        <v>11624</v>
      </c>
      <c r="G10981">
        <v>-1.9664999999999999</v>
      </c>
      <c r="H10981">
        <v>147.226</v>
      </c>
      <c r="I10981" t="s">
        <v>39729</v>
      </c>
      <c r="L10981">
        <v>0</v>
      </c>
      <c r="M10981">
        <v>0</v>
      </c>
      <c r="N10981">
        <v>0</v>
      </c>
      <c r="O10981" t="s">
        <v>11660</v>
      </c>
    </row>
    <row r="10982" spans="1:15">
      <c r="A10982" t="s">
        <v>39730</v>
      </c>
      <c r="B10982" t="s">
        <v>12260</v>
      </c>
      <c r="C10982" t="s">
        <v>39731</v>
      </c>
      <c r="D10982" t="s">
        <v>39732</v>
      </c>
      <c r="E10982" t="b">
        <v>0</v>
      </c>
      <c r="F10982" t="s">
        <v>11610</v>
      </c>
      <c r="L10982">
        <v>0</v>
      </c>
      <c r="M10982">
        <v>0</v>
      </c>
      <c r="N10982">
        <v>2</v>
      </c>
    </row>
    <row r="10983" spans="1:15">
      <c r="A10983" t="s">
        <v>39733</v>
      </c>
      <c r="B10983" t="s">
        <v>12260</v>
      </c>
      <c r="C10983" t="s">
        <v>39730</v>
      </c>
      <c r="D10983" t="s">
        <v>39734</v>
      </c>
      <c r="E10983" t="b">
        <v>0</v>
      </c>
      <c r="F10983" t="s">
        <v>11610</v>
      </c>
      <c r="L10983">
        <v>0</v>
      </c>
      <c r="M10983">
        <v>0</v>
      </c>
      <c r="N10983">
        <v>0</v>
      </c>
    </row>
    <row r="10984" spans="1:15">
      <c r="A10984" t="s">
        <v>39735</v>
      </c>
      <c r="B10984" t="s">
        <v>11644</v>
      </c>
      <c r="C10984" t="s">
        <v>30554</v>
      </c>
      <c r="D10984" t="s">
        <v>39736</v>
      </c>
      <c r="E10984" t="b">
        <v>0</v>
      </c>
      <c r="F10984" t="s">
        <v>11610</v>
      </c>
      <c r="L10984">
        <v>0</v>
      </c>
      <c r="M10984">
        <v>0</v>
      </c>
      <c r="N10984">
        <v>0</v>
      </c>
    </row>
    <row r="10985" spans="1:15">
      <c r="A10985" t="s">
        <v>37041</v>
      </c>
      <c r="B10985" t="s">
        <v>6742</v>
      </c>
      <c r="C10985" t="s">
        <v>24791</v>
      </c>
      <c r="D10985" t="s">
        <v>39737</v>
      </c>
      <c r="E10985" t="b">
        <v>0</v>
      </c>
      <c r="F10985" t="s">
        <v>11622</v>
      </c>
      <c r="L10985">
        <v>2</v>
      </c>
      <c r="M10985">
        <v>4</v>
      </c>
      <c r="N10985">
        <v>5</v>
      </c>
    </row>
    <row r="10986" spans="1:15">
      <c r="A10986" t="s">
        <v>39738</v>
      </c>
      <c r="B10986" t="s">
        <v>367</v>
      </c>
      <c r="C10986" t="s">
        <v>39739</v>
      </c>
      <c r="D10986" t="s">
        <v>39740</v>
      </c>
      <c r="E10986" t="b">
        <v>0</v>
      </c>
      <c r="F10986" t="s">
        <v>11610</v>
      </c>
      <c r="L10986">
        <v>0</v>
      </c>
      <c r="M10986">
        <v>0</v>
      </c>
      <c r="N10986">
        <v>0</v>
      </c>
    </row>
    <row r="10987" spans="1:15">
      <c r="A10987" t="s">
        <v>39741</v>
      </c>
      <c r="B10987" t="s">
        <v>6742</v>
      </c>
      <c r="C10987" t="s">
        <v>19504</v>
      </c>
      <c r="D10987" t="s">
        <v>39742</v>
      </c>
      <c r="E10987" t="b">
        <v>0</v>
      </c>
      <c r="F10987" t="s">
        <v>11622</v>
      </c>
      <c r="L10987">
        <v>3</v>
      </c>
      <c r="M10987">
        <v>6</v>
      </c>
      <c r="N10987">
        <v>20</v>
      </c>
    </row>
    <row r="10988" spans="1:15">
      <c r="A10988" t="s">
        <v>39743</v>
      </c>
      <c r="B10988" t="s">
        <v>11637</v>
      </c>
      <c r="C10988" t="s">
        <v>13105</v>
      </c>
      <c r="D10988" t="s">
        <v>39744</v>
      </c>
      <c r="E10988" t="b">
        <v>0</v>
      </c>
      <c r="F10988" t="s">
        <v>11610</v>
      </c>
      <c r="L10988">
        <v>0</v>
      </c>
      <c r="M10988">
        <v>0</v>
      </c>
      <c r="N10988">
        <v>0</v>
      </c>
    </row>
    <row r="10989" spans="1:15">
      <c r="A10989" t="s">
        <v>39745</v>
      </c>
      <c r="B10989" t="s">
        <v>6742</v>
      </c>
      <c r="C10989" t="s">
        <v>26063</v>
      </c>
      <c r="D10989" t="s">
        <v>39746</v>
      </c>
      <c r="E10989" t="b">
        <v>0</v>
      </c>
      <c r="F10989" t="s">
        <v>11610</v>
      </c>
      <c r="L10989">
        <v>0</v>
      </c>
      <c r="M10989">
        <v>0</v>
      </c>
      <c r="N10989">
        <v>0</v>
      </c>
    </row>
    <row r="10990" spans="1:15">
      <c r="A10990" t="s">
        <v>39747</v>
      </c>
      <c r="B10990" t="s">
        <v>367</v>
      </c>
      <c r="C10990" t="s">
        <v>24498</v>
      </c>
      <c r="D10990" t="s">
        <v>39748</v>
      </c>
      <c r="E10990" t="b">
        <v>0</v>
      </c>
      <c r="F10990" t="s">
        <v>11610</v>
      </c>
      <c r="L10990">
        <v>0</v>
      </c>
      <c r="M10990">
        <v>0</v>
      </c>
      <c r="N10990">
        <v>0</v>
      </c>
    </row>
    <row r="10991" spans="1:15">
      <c r="A10991" t="s">
        <v>23937</v>
      </c>
      <c r="B10991" t="s">
        <v>367</v>
      </c>
      <c r="C10991" t="s">
        <v>21868</v>
      </c>
      <c r="D10991" t="s">
        <v>39749</v>
      </c>
      <c r="E10991" t="b">
        <v>0</v>
      </c>
      <c r="F10991" t="s">
        <v>11624</v>
      </c>
      <c r="G10991">
        <v>4.1142599999999998</v>
      </c>
      <c r="H10991">
        <v>114.029</v>
      </c>
      <c r="I10991" t="s">
        <v>39750</v>
      </c>
      <c r="L10991">
        <v>0</v>
      </c>
      <c r="M10991">
        <v>0</v>
      </c>
      <c r="N10991">
        <v>2</v>
      </c>
      <c r="O10991" t="s">
        <v>11672</v>
      </c>
    </row>
    <row r="10992" spans="1:15">
      <c r="A10992" t="s">
        <v>39751</v>
      </c>
      <c r="B10992" t="s">
        <v>6742</v>
      </c>
      <c r="C10992" t="s">
        <v>17259</v>
      </c>
      <c r="D10992" t="s">
        <v>39752</v>
      </c>
      <c r="E10992" t="b">
        <v>0</v>
      </c>
      <c r="F10992" t="s">
        <v>11622</v>
      </c>
      <c r="L10992">
        <v>2</v>
      </c>
      <c r="M10992">
        <v>4</v>
      </c>
      <c r="N10992">
        <v>4</v>
      </c>
    </row>
    <row r="10993" spans="1:15">
      <c r="A10993" t="s">
        <v>39753</v>
      </c>
      <c r="B10993" t="s">
        <v>6742</v>
      </c>
      <c r="C10993" t="s">
        <v>39751</v>
      </c>
      <c r="D10993" t="s">
        <v>39754</v>
      </c>
      <c r="E10993" t="b">
        <v>0</v>
      </c>
      <c r="F10993" t="s">
        <v>11622</v>
      </c>
      <c r="L10993">
        <v>0</v>
      </c>
      <c r="M10993">
        <v>2</v>
      </c>
      <c r="N10993">
        <v>2</v>
      </c>
    </row>
    <row r="10994" spans="1:15">
      <c r="A10994" t="s">
        <v>39755</v>
      </c>
      <c r="B10994" t="s">
        <v>6742</v>
      </c>
      <c r="C10994" t="s">
        <v>39753</v>
      </c>
      <c r="D10994" t="s">
        <v>39756</v>
      </c>
      <c r="E10994" t="b">
        <v>0</v>
      </c>
      <c r="F10994" t="s">
        <v>11624</v>
      </c>
      <c r="G10994">
        <v>7.3454899999999999</v>
      </c>
      <c r="H10994">
        <v>0.50746000000000002</v>
      </c>
      <c r="I10994" t="s">
        <v>39757</v>
      </c>
      <c r="L10994">
        <v>0</v>
      </c>
      <c r="M10994">
        <v>0</v>
      </c>
      <c r="N10994">
        <v>0</v>
      </c>
      <c r="O10994" t="s">
        <v>12006</v>
      </c>
    </row>
    <row r="10995" spans="1:15">
      <c r="A10995" t="s">
        <v>39758</v>
      </c>
      <c r="B10995" t="s">
        <v>6742</v>
      </c>
      <c r="C10995" t="s">
        <v>20593</v>
      </c>
      <c r="D10995" t="s">
        <v>39759</v>
      </c>
      <c r="E10995" t="b">
        <v>0</v>
      </c>
      <c r="F10995" t="s">
        <v>11624</v>
      </c>
      <c r="G10995">
        <v>-4.94672</v>
      </c>
      <c r="H10995">
        <v>20.567399999999999</v>
      </c>
      <c r="I10995" t="s">
        <v>39760</v>
      </c>
      <c r="L10995">
        <v>0</v>
      </c>
      <c r="M10995">
        <v>0</v>
      </c>
      <c r="N10995">
        <v>0</v>
      </c>
      <c r="O10995" t="s">
        <v>14825</v>
      </c>
    </row>
    <row r="10996" spans="1:15">
      <c r="A10996" t="s">
        <v>35348</v>
      </c>
      <c r="B10996" t="s">
        <v>13276</v>
      </c>
      <c r="C10996" t="s">
        <v>34281</v>
      </c>
      <c r="D10996" t="s">
        <v>39761</v>
      </c>
      <c r="E10996" t="b">
        <v>0</v>
      </c>
      <c r="F10996" t="s">
        <v>11624</v>
      </c>
      <c r="G10996">
        <v>8.9804300000000001</v>
      </c>
      <c r="H10996">
        <v>-10.371</v>
      </c>
      <c r="I10996" t="s">
        <v>39762</v>
      </c>
      <c r="L10996">
        <v>0</v>
      </c>
      <c r="M10996">
        <v>0</v>
      </c>
      <c r="N10996">
        <v>4</v>
      </c>
      <c r="O10996" t="s">
        <v>15802</v>
      </c>
    </row>
    <row r="10997" spans="1:15">
      <c r="A10997" t="s">
        <v>39763</v>
      </c>
      <c r="B10997" t="s">
        <v>367</v>
      </c>
      <c r="C10997" t="s">
        <v>39764</v>
      </c>
      <c r="D10997" t="s">
        <v>39765</v>
      </c>
      <c r="E10997" t="b">
        <v>0</v>
      </c>
      <c r="F10997" t="s">
        <v>11624</v>
      </c>
      <c r="G10997">
        <v>-17.604199999999999</v>
      </c>
      <c r="H10997">
        <v>168.202</v>
      </c>
      <c r="I10997" t="s">
        <v>39766</v>
      </c>
      <c r="L10997">
        <v>0</v>
      </c>
      <c r="M10997">
        <v>0</v>
      </c>
      <c r="N10997">
        <v>0</v>
      </c>
      <c r="O10997" t="s">
        <v>12719</v>
      </c>
    </row>
    <row r="10998" spans="1:15">
      <c r="A10998" t="s">
        <v>39767</v>
      </c>
      <c r="B10998" t="s">
        <v>367</v>
      </c>
      <c r="C10998" t="s">
        <v>24088</v>
      </c>
      <c r="D10998" t="s">
        <v>39768</v>
      </c>
      <c r="E10998" t="b">
        <v>0</v>
      </c>
      <c r="F10998" t="s">
        <v>11610</v>
      </c>
      <c r="L10998">
        <v>0</v>
      </c>
      <c r="M10998">
        <v>0</v>
      </c>
      <c r="N10998">
        <v>0</v>
      </c>
    </row>
    <row r="10999" spans="1:15">
      <c r="A10999" t="s">
        <v>39769</v>
      </c>
      <c r="B10999" t="s">
        <v>367</v>
      </c>
      <c r="C10999" t="s">
        <v>15343</v>
      </c>
      <c r="D10999" t="s">
        <v>39770</v>
      </c>
      <c r="E10999" t="b">
        <v>0</v>
      </c>
      <c r="F10999" t="s">
        <v>11610</v>
      </c>
      <c r="L10999">
        <v>0</v>
      </c>
      <c r="M10999">
        <v>0</v>
      </c>
      <c r="N10999">
        <v>0</v>
      </c>
    </row>
    <row r="11000" spans="1:15">
      <c r="A11000" t="s">
        <v>7797</v>
      </c>
      <c r="B11000" t="s">
        <v>367</v>
      </c>
      <c r="C11000" t="s">
        <v>19786</v>
      </c>
      <c r="D11000" t="s">
        <v>39771</v>
      </c>
      <c r="E11000" t="b">
        <v>0</v>
      </c>
      <c r="F11000" t="s">
        <v>11624</v>
      </c>
      <c r="G11000">
        <v>-2.0478299999999998</v>
      </c>
      <c r="H11000">
        <v>147.20699999999999</v>
      </c>
      <c r="I11000" t="s">
        <v>7799</v>
      </c>
      <c r="L11000">
        <v>0</v>
      </c>
      <c r="M11000">
        <v>0</v>
      </c>
      <c r="N11000">
        <v>1</v>
      </c>
      <c r="O11000" t="s">
        <v>11660</v>
      </c>
    </row>
    <row r="11001" spans="1:15">
      <c r="A11001" t="s">
        <v>39772</v>
      </c>
      <c r="B11001" t="s">
        <v>367</v>
      </c>
      <c r="C11001" t="s">
        <v>18575</v>
      </c>
      <c r="D11001" t="s">
        <v>39773</v>
      </c>
      <c r="E11001" t="b">
        <v>0</v>
      </c>
      <c r="F11001" t="s">
        <v>11610</v>
      </c>
      <c r="L11001">
        <v>0</v>
      </c>
      <c r="M11001">
        <v>0</v>
      </c>
      <c r="N11001">
        <v>0</v>
      </c>
    </row>
    <row r="11002" spans="1:15">
      <c r="A11002" t="s">
        <v>39774</v>
      </c>
      <c r="B11002" t="s">
        <v>11607</v>
      </c>
      <c r="C11002" t="s">
        <v>26505</v>
      </c>
      <c r="D11002" t="s">
        <v>39775</v>
      </c>
      <c r="E11002" t="b">
        <v>0</v>
      </c>
      <c r="F11002" t="s">
        <v>11624</v>
      </c>
      <c r="G11002">
        <v>9.1579999999999995</v>
      </c>
      <c r="H11002">
        <v>15.811489999999999</v>
      </c>
      <c r="I11002" t="s">
        <v>39776</v>
      </c>
      <c r="L11002">
        <v>0</v>
      </c>
      <c r="M11002">
        <v>0</v>
      </c>
      <c r="N11002">
        <v>0</v>
      </c>
      <c r="O11002" t="s">
        <v>13421</v>
      </c>
    </row>
    <row r="11003" spans="1:15">
      <c r="A11003" t="s">
        <v>39777</v>
      </c>
      <c r="B11003" t="s">
        <v>367</v>
      </c>
      <c r="C11003" t="s">
        <v>35606</v>
      </c>
      <c r="D11003" t="s">
        <v>39778</v>
      </c>
      <c r="E11003" t="b">
        <v>0</v>
      </c>
      <c r="F11003" t="s">
        <v>11610</v>
      </c>
      <c r="L11003">
        <v>0</v>
      </c>
      <c r="M11003">
        <v>0</v>
      </c>
      <c r="N11003">
        <v>0</v>
      </c>
    </row>
    <row r="11004" spans="1:15">
      <c r="A11004" t="s">
        <v>39779</v>
      </c>
      <c r="B11004" t="s">
        <v>367</v>
      </c>
      <c r="C11004" t="s">
        <v>37571</v>
      </c>
      <c r="D11004" t="s">
        <v>39780</v>
      </c>
      <c r="E11004" t="b">
        <v>0</v>
      </c>
      <c r="F11004" t="s">
        <v>11610</v>
      </c>
      <c r="L11004">
        <v>0</v>
      </c>
      <c r="M11004">
        <v>0</v>
      </c>
      <c r="N11004">
        <v>0</v>
      </c>
    </row>
    <row r="11005" spans="1:15">
      <c r="A11005" t="s">
        <v>39781</v>
      </c>
      <c r="B11005" t="s">
        <v>6742</v>
      </c>
      <c r="C11005" t="s">
        <v>39782</v>
      </c>
      <c r="D11005" t="s">
        <v>39783</v>
      </c>
      <c r="E11005" t="b">
        <v>0</v>
      </c>
      <c r="F11005" t="s">
        <v>11610</v>
      </c>
      <c r="L11005">
        <v>0</v>
      </c>
      <c r="M11005">
        <v>0</v>
      </c>
      <c r="N11005">
        <v>0</v>
      </c>
    </row>
    <row r="11006" spans="1:15">
      <c r="A11006" t="s">
        <v>39784</v>
      </c>
      <c r="B11006" t="s">
        <v>367</v>
      </c>
      <c r="C11006" t="s">
        <v>4260</v>
      </c>
      <c r="D11006" t="s">
        <v>39785</v>
      </c>
      <c r="E11006" t="b">
        <v>0</v>
      </c>
      <c r="F11006" t="s">
        <v>11610</v>
      </c>
      <c r="L11006">
        <v>0</v>
      </c>
      <c r="M11006">
        <v>0</v>
      </c>
      <c r="N11006">
        <v>0</v>
      </c>
    </row>
    <row r="11007" spans="1:15">
      <c r="A11007" t="s">
        <v>39786</v>
      </c>
      <c r="B11007" t="s">
        <v>11627</v>
      </c>
      <c r="C11007" t="s">
        <v>11627</v>
      </c>
      <c r="D11007" t="s">
        <v>39787</v>
      </c>
      <c r="E11007" t="b">
        <v>1</v>
      </c>
      <c r="F11007" t="s">
        <v>11624</v>
      </c>
      <c r="I11007" t="s">
        <v>39788</v>
      </c>
      <c r="L11007">
        <v>0</v>
      </c>
      <c r="M11007">
        <v>0</v>
      </c>
      <c r="N11007">
        <v>0</v>
      </c>
    </row>
    <row r="11008" spans="1:15">
      <c r="A11008" t="s">
        <v>39789</v>
      </c>
      <c r="B11008" t="s">
        <v>6742</v>
      </c>
      <c r="C11008" t="s">
        <v>3970</v>
      </c>
      <c r="D11008" t="s">
        <v>39790</v>
      </c>
      <c r="E11008" t="b">
        <v>0</v>
      </c>
      <c r="F11008" t="s">
        <v>11610</v>
      </c>
      <c r="L11008">
        <v>0</v>
      </c>
      <c r="M11008">
        <v>0</v>
      </c>
      <c r="N11008">
        <v>0</v>
      </c>
    </row>
    <row r="11009" spans="1:15">
      <c r="A11009" t="s">
        <v>39791</v>
      </c>
      <c r="B11009" t="s">
        <v>6742</v>
      </c>
      <c r="C11009" t="s">
        <v>17881</v>
      </c>
      <c r="D11009" t="s">
        <v>39792</v>
      </c>
      <c r="E11009" t="b">
        <v>0</v>
      </c>
      <c r="F11009" t="s">
        <v>11610</v>
      </c>
      <c r="L11009">
        <v>0</v>
      </c>
      <c r="M11009">
        <v>0</v>
      </c>
      <c r="N11009">
        <v>0</v>
      </c>
    </row>
    <row r="11010" spans="1:15">
      <c r="A11010" t="s">
        <v>39793</v>
      </c>
      <c r="B11010" t="s">
        <v>367</v>
      </c>
      <c r="C11010" t="s">
        <v>23269</v>
      </c>
      <c r="D11010" t="s">
        <v>39794</v>
      </c>
      <c r="E11010" t="b">
        <v>0</v>
      </c>
      <c r="F11010" t="s">
        <v>11610</v>
      </c>
      <c r="L11010">
        <v>0</v>
      </c>
      <c r="M11010">
        <v>0</v>
      </c>
      <c r="N11010">
        <v>0</v>
      </c>
    </row>
    <row r="11011" spans="1:15">
      <c r="A11011" t="s">
        <v>39795</v>
      </c>
      <c r="B11011" t="s">
        <v>367</v>
      </c>
      <c r="C11011" t="s">
        <v>23269</v>
      </c>
      <c r="D11011" t="s">
        <v>39796</v>
      </c>
      <c r="E11011" t="b">
        <v>0</v>
      </c>
      <c r="F11011" t="s">
        <v>11610</v>
      </c>
      <c r="L11011">
        <v>0</v>
      </c>
      <c r="M11011">
        <v>0</v>
      </c>
      <c r="N11011">
        <v>0</v>
      </c>
    </row>
    <row r="11012" spans="1:15">
      <c r="A11012" t="s">
        <v>39797</v>
      </c>
      <c r="B11012" t="s">
        <v>11839</v>
      </c>
      <c r="C11012" t="s">
        <v>34534</v>
      </c>
      <c r="D11012" t="s">
        <v>39798</v>
      </c>
      <c r="E11012" t="b">
        <v>0</v>
      </c>
      <c r="F11012" t="s">
        <v>11610</v>
      </c>
      <c r="L11012">
        <v>0</v>
      </c>
      <c r="M11012">
        <v>0</v>
      </c>
      <c r="N11012">
        <v>0</v>
      </c>
    </row>
    <row r="11013" spans="1:15">
      <c r="A11013" t="s">
        <v>39799</v>
      </c>
      <c r="B11013" t="s">
        <v>11615</v>
      </c>
      <c r="C11013" t="s">
        <v>27213</v>
      </c>
      <c r="D11013" t="s">
        <v>39800</v>
      </c>
      <c r="E11013" t="b">
        <v>0</v>
      </c>
      <c r="F11013" t="s">
        <v>11624</v>
      </c>
      <c r="G11013">
        <v>-4.9950400000000004</v>
      </c>
      <c r="H11013">
        <v>143.89099999999999</v>
      </c>
      <c r="I11013" t="s">
        <v>39801</v>
      </c>
      <c r="L11013">
        <v>0</v>
      </c>
      <c r="M11013">
        <v>0</v>
      </c>
      <c r="N11013">
        <v>0</v>
      </c>
      <c r="O11013" t="s">
        <v>11660</v>
      </c>
    </row>
    <row r="11014" spans="1:15">
      <c r="A11014" t="s">
        <v>39802</v>
      </c>
      <c r="B11014" t="s">
        <v>367</v>
      </c>
      <c r="C11014" t="s">
        <v>39803</v>
      </c>
      <c r="D11014" t="s">
        <v>39804</v>
      </c>
      <c r="E11014" t="b">
        <v>0</v>
      </c>
      <c r="F11014" t="s">
        <v>11624</v>
      </c>
      <c r="G11014">
        <v>-13.739697</v>
      </c>
      <c r="H11014">
        <v>167.42067599999999</v>
      </c>
      <c r="I11014" t="s">
        <v>39805</v>
      </c>
      <c r="L11014">
        <v>0</v>
      </c>
      <c r="M11014">
        <v>0</v>
      </c>
      <c r="N11014">
        <v>0</v>
      </c>
      <c r="O11014" t="s">
        <v>12719</v>
      </c>
    </row>
    <row r="11015" spans="1:15">
      <c r="A11015" t="s">
        <v>39806</v>
      </c>
      <c r="B11015" t="s">
        <v>367</v>
      </c>
      <c r="C11015" t="s">
        <v>39807</v>
      </c>
      <c r="D11015" t="s">
        <v>39808</v>
      </c>
      <c r="E11015" t="b">
        <v>0</v>
      </c>
      <c r="F11015" t="s">
        <v>11610</v>
      </c>
      <c r="L11015">
        <v>0</v>
      </c>
      <c r="M11015">
        <v>0</v>
      </c>
      <c r="N11015">
        <v>0</v>
      </c>
    </row>
    <row r="11016" spans="1:15">
      <c r="A11016" t="s">
        <v>39803</v>
      </c>
      <c r="B11016" t="s">
        <v>367</v>
      </c>
      <c r="C11016" t="s">
        <v>31219</v>
      </c>
      <c r="D11016" t="s">
        <v>39809</v>
      </c>
      <c r="E11016" t="b">
        <v>0</v>
      </c>
      <c r="F11016" t="s">
        <v>11622</v>
      </c>
      <c r="L11016">
        <v>0</v>
      </c>
      <c r="M11016">
        <v>2</v>
      </c>
      <c r="N11016">
        <v>3</v>
      </c>
    </row>
    <row r="11017" spans="1:15">
      <c r="A11017" t="s">
        <v>39810</v>
      </c>
      <c r="B11017" t="s">
        <v>6742</v>
      </c>
      <c r="C11017" t="s">
        <v>17167</v>
      </c>
      <c r="D11017" t="s">
        <v>39811</v>
      </c>
      <c r="E11017" t="b">
        <v>0</v>
      </c>
      <c r="F11017" t="s">
        <v>11610</v>
      </c>
      <c r="L11017">
        <v>0</v>
      </c>
      <c r="M11017">
        <v>0</v>
      </c>
      <c r="N11017">
        <v>0</v>
      </c>
    </row>
    <row r="11018" spans="1:15">
      <c r="A11018" t="s">
        <v>39812</v>
      </c>
      <c r="B11018" t="s">
        <v>367</v>
      </c>
      <c r="C11018" t="s">
        <v>36617</v>
      </c>
      <c r="D11018" t="s">
        <v>39813</v>
      </c>
      <c r="E11018" t="b">
        <v>0</v>
      </c>
      <c r="F11018" t="s">
        <v>11610</v>
      </c>
      <c r="L11018">
        <v>0</v>
      </c>
      <c r="M11018">
        <v>0</v>
      </c>
      <c r="N11018">
        <v>0</v>
      </c>
    </row>
    <row r="11019" spans="1:15">
      <c r="A11019" t="s">
        <v>39814</v>
      </c>
      <c r="B11019" t="s">
        <v>11615</v>
      </c>
      <c r="C11019" t="s">
        <v>14385</v>
      </c>
      <c r="D11019" t="s">
        <v>39815</v>
      </c>
      <c r="E11019" t="b">
        <v>0</v>
      </c>
      <c r="F11019" t="s">
        <v>11624</v>
      </c>
      <c r="G11019">
        <v>-5.6140699999999999</v>
      </c>
      <c r="H11019">
        <v>146.441</v>
      </c>
      <c r="I11019" t="s">
        <v>39816</v>
      </c>
      <c r="L11019">
        <v>0</v>
      </c>
      <c r="M11019">
        <v>0</v>
      </c>
      <c r="N11019">
        <v>0</v>
      </c>
      <c r="O11019" t="s">
        <v>11660</v>
      </c>
    </row>
    <row r="11020" spans="1:15">
      <c r="A11020" t="s">
        <v>39817</v>
      </c>
      <c r="B11020" t="s">
        <v>11637</v>
      </c>
      <c r="C11020" t="s">
        <v>39818</v>
      </c>
      <c r="D11020" t="s">
        <v>39819</v>
      </c>
      <c r="E11020" t="b">
        <v>0</v>
      </c>
      <c r="F11020" t="s">
        <v>11610</v>
      </c>
      <c r="L11020">
        <v>0</v>
      </c>
      <c r="M11020">
        <v>0</v>
      </c>
      <c r="N11020">
        <v>0</v>
      </c>
    </row>
    <row r="11021" spans="1:15">
      <c r="A11021" t="s">
        <v>39820</v>
      </c>
      <c r="B11021" t="s">
        <v>13360</v>
      </c>
      <c r="C11021" t="s">
        <v>13360</v>
      </c>
      <c r="D11021" t="s">
        <v>39821</v>
      </c>
      <c r="E11021" t="b">
        <v>0</v>
      </c>
      <c r="F11021" t="s">
        <v>11624</v>
      </c>
      <c r="I11021" t="s">
        <v>39822</v>
      </c>
      <c r="L11021">
        <v>0</v>
      </c>
      <c r="M11021">
        <v>0</v>
      </c>
      <c r="N11021">
        <v>0</v>
      </c>
      <c r="O11021" t="s">
        <v>13664</v>
      </c>
    </row>
    <row r="11022" spans="1:15">
      <c r="A11022" t="s">
        <v>39823</v>
      </c>
      <c r="B11022" t="s">
        <v>6742</v>
      </c>
      <c r="C11022" t="s">
        <v>39824</v>
      </c>
      <c r="D11022" t="s">
        <v>39825</v>
      </c>
      <c r="E11022" t="b">
        <v>0</v>
      </c>
      <c r="F11022" t="s">
        <v>11624</v>
      </c>
      <c r="G11022">
        <v>10.4366</v>
      </c>
      <c r="H11022">
        <v>8.7051300000000005</v>
      </c>
      <c r="I11022" t="s">
        <v>39826</v>
      </c>
      <c r="L11022">
        <v>0</v>
      </c>
      <c r="M11022">
        <v>0</v>
      </c>
      <c r="N11022">
        <v>0</v>
      </c>
      <c r="O11022" t="s">
        <v>11693</v>
      </c>
    </row>
    <row r="11023" spans="1:15">
      <c r="A11023" t="s">
        <v>39827</v>
      </c>
      <c r="B11023" t="s">
        <v>367</v>
      </c>
      <c r="C11023" t="s">
        <v>20084</v>
      </c>
      <c r="D11023" t="s">
        <v>39828</v>
      </c>
      <c r="E11023" t="b">
        <v>0</v>
      </c>
      <c r="F11023" t="s">
        <v>11624</v>
      </c>
      <c r="G11023">
        <v>-2.63313</v>
      </c>
      <c r="H11023">
        <v>120.27</v>
      </c>
      <c r="I11023" t="s">
        <v>39829</v>
      </c>
      <c r="L11023">
        <v>0</v>
      </c>
      <c r="M11023">
        <v>0</v>
      </c>
      <c r="N11023">
        <v>0</v>
      </c>
      <c r="O11023" t="s">
        <v>11768</v>
      </c>
    </row>
    <row r="11024" spans="1:15">
      <c r="A11024" t="s">
        <v>39824</v>
      </c>
      <c r="B11024" t="s">
        <v>6742</v>
      </c>
      <c r="C11024" t="s">
        <v>22807</v>
      </c>
      <c r="D11024" t="s">
        <v>39830</v>
      </c>
      <c r="E11024" t="b">
        <v>0</v>
      </c>
      <c r="F11024" t="s">
        <v>11622</v>
      </c>
      <c r="L11024">
        <v>0</v>
      </c>
      <c r="M11024">
        <v>2</v>
      </c>
      <c r="N11024">
        <v>1</v>
      </c>
    </row>
    <row r="11025" spans="1:15">
      <c r="A11025" t="s">
        <v>39831</v>
      </c>
      <c r="B11025" t="s">
        <v>11644</v>
      </c>
      <c r="C11025" t="s">
        <v>14775</v>
      </c>
      <c r="D11025" t="s">
        <v>39832</v>
      </c>
      <c r="E11025" t="b">
        <v>0</v>
      </c>
      <c r="F11025" t="s">
        <v>11610</v>
      </c>
      <c r="L11025">
        <v>0</v>
      </c>
      <c r="M11025">
        <v>0</v>
      </c>
      <c r="N11025">
        <v>0</v>
      </c>
    </row>
    <row r="11026" spans="1:15">
      <c r="A11026" t="s">
        <v>32208</v>
      </c>
      <c r="B11026" t="s">
        <v>367</v>
      </c>
      <c r="C11026" t="s">
        <v>39833</v>
      </c>
      <c r="D11026" t="s">
        <v>39834</v>
      </c>
      <c r="E11026" t="b">
        <v>0</v>
      </c>
      <c r="F11026" t="s">
        <v>11624</v>
      </c>
      <c r="G11026">
        <v>-19.476299999999998</v>
      </c>
      <c r="H11026">
        <v>169.261</v>
      </c>
      <c r="I11026" t="s">
        <v>39835</v>
      </c>
      <c r="L11026">
        <v>0</v>
      </c>
      <c r="M11026">
        <v>0</v>
      </c>
      <c r="N11026">
        <v>4</v>
      </c>
      <c r="O11026" t="s">
        <v>12719</v>
      </c>
    </row>
    <row r="11027" spans="1:15">
      <c r="A11027" t="s">
        <v>39836</v>
      </c>
      <c r="D11027" t="s">
        <v>39837</v>
      </c>
      <c r="E11027" t="b">
        <v>0</v>
      </c>
      <c r="F11027" t="s">
        <v>11622</v>
      </c>
      <c r="L11027">
        <v>0</v>
      </c>
      <c r="M11027">
        <v>2</v>
      </c>
      <c r="N11027">
        <v>0</v>
      </c>
    </row>
    <row r="11028" spans="1:15">
      <c r="A11028" t="s">
        <v>39838</v>
      </c>
      <c r="B11028" t="s">
        <v>39836</v>
      </c>
      <c r="C11028" t="s">
        <v>39836</v>
      </c>
      <c r="D11028" t="s">
        <v>39839</v>
      </c>
      <c r="E11028" t="b">
        <v>0</v>
      </c>
      <c r="F11028" t="s">
        <v>11624</v>
      </c>
      <c r="G11028">
        <v>13.667338000000001</v>
      </c>
      <c r="H11028">
        <v>-87.498779999999996</v>
      </c>
      <c r="L11028">
        <v>0</v>
      </c>
      <c r="M11028">
        <v>0</v>
      </c>
      <c r="N11028">
        <v>0</v>
      </c>
      <c r="O11028" t="s">
        <v>31399</v>
      </c>
    </row>
    <row r="11029" spans="1:15">
      <c r="A11029" t="s">
        <v>39840</v>
      </c>
      <c r="B11029" t="s">
        <v>39836</v>
      </c>
      <c r="C11029" t="s">
        <v>39836</v>
      </c>
      <c r="D11029" t="s">
        <v>39841</v>
      </c>
      <c r="E11029" t="b">
        <v>0</v>
      </c>
      <c r="F11029" t="s">
        <v>11624</v>
      </c>
      <c r="G11029">
        <v>13.560561999999999</v>
      </c>
      <c r="H11029">
        <v>-88.114013999999997</v>
      </c>
      <c r="L11029">
        <v>0</v>
      </c>
      <c r="M11029">
        <v>0</v>
      </c>
      <c r="N11029">
        <v>0</v>
      </c>
      <c r="O11029" t="s">
        <v>20821</v>
      </c>
    </row>
    <row r="11030" spans="1:15">
      <c r="A11030" t="s">
        <v>39842</v>
      </c>
      <c r="B11030" t="s">
        <v>11627</v>
      </c>
      <c r="C11030" t="s">
        <v>11627</v>
      </c>
      <c r="D11030" t="s">
        <v>39843</v>
      </c>
      <c r="E11030" t="b">
        <v>1</v>
      </c>
      <c r="F11030" t="s">
        <v>11624</v>
      </c>
      <c r="G11030">
        <v>13.9278</v>
      </c>
      <c r="H11030">
        <v>-88.042199999999994</v>
      </c>
      <c r="I11030" t="s">
        <v>39844</v>
      </c>
      <c r="L11030">
        <v>0</v>
      </c>
      <c r="M11030">
        <v>0</v>
      </c>
      <c r="N11030">
        <v>0</v>
      </c>
      <c r="O11030" t="s">
        <v>39845</v>
      </c>
    </row>
    <row r="11031" spans="1:15">
      <c r="A11031" t="s">
        <v>22034</v>
      </c>
      <c r="B11031" t="s">
        <v>11729</v>
      </c>
      <c r="C11031" t="s">
        <v>16270</v>
      </c>
      <c r="D11031" t="s">
        <v>39846</v>
      </c>
      <c r="E11031" t="b">
        <v>0</v>
      </c>
      <c r="F11031" t="s">
        <v>11624</v>
      </c>
      <c r="G11031">
        <v>2.1898</v>
      </c>
      <c r="H11031">
        <v>30.679400000000001</v>
      </c>
      <c r="I11031" t="s">
        <v>39847</v>
      </c>
      <c r="L11031">
        <v>0</v>
      </c>
      <c r="M11031">
        <v>0</v>
      </c>
      <c r="N11031">
        <v>6</v>
      </c>
      <c r="O11031" t="s">
        <v>13208</v>
      </c>
    </row>
    <row r="11032" spans="1:15">
      <c r="A11032" t="s">
        <v>16271</v>
      </c>
      <c r="B11032" t="s">
        <v>11729</v>
      </c>
      <c r="C11032" t="s">
        <v>11729</v>
      </c>
      <c r="D11032" t="s">
        <v>39848</v>
      </c>
      <c r="E11032" t="b">
        <v>0</v>
      </c>
      <c r="F11032" t="s">
        <v>11622</v>
      </c>
      <c r="L11032">
        <v>1</v>
      </c>
      <c r="M11032">
        <v>3</v>
      </c>
      <c r="N11032">
        <v>11</v>
      </c>
    </row>
    <row r="11033" spans="1:15">
      <c r="A11033" t="s">
        <v>39849</v>
      </c>
      <c r="B11033" t="s">
        <v>6742</v>
      </c>
      <c r="C11033" t="s">
        <v>3610</v>
      </c>
      <c r="D11033" t="s">
        <v>39850</v>
      </c>
      <c r="E11033" t="b">
        <v>0</v>
      </c>
      <c r="F11033" t="s">
        <v>11610</v>
      </c>
      <c r="L11033">
        <v>0</v>
      </c>
      <c r="M11033">
        <v>0</v>
      </c>
      <c r="N11033">
        <v>0</v>
      </c>
    </row>
    <row r="11034" spans="1:15">
      <c r="A11034" t="s">
        <v>39851</v>
      </c>
      <c r="B11034" t="s">
        <v>6742</v>
      </c>
      <c r="C11034" t="s">
        <v>39655</v>
      </c>
      <c r="D11034" t="s">
        <v>39852</v>
      </c>
      <c r="E11034" t="b">
        <v>0</v>
      </c>
      <c r="F11034" t="s">
        <v>11624</v>
      </c>
      <c r="G11034">
        <v>-1.9587399999999999</v>
      </c>
      <c r="H11034">
        <v>25.334299999999999</v>
      </c>
      <c r="I11034" t="s">
        <v>39853</v>
      </c>
      <c r="L11034">
        <v>0</v>
      </c>
      <c r="M11034">
        <v>0</v>
      </c>
      <c r="N11034">
        <v>0</v>
      </c>
      <c r="O11034" t="s">
        <v>14825</v>
      </c>
    </row>
    <row r="11035" spans="1:15">
      <c r="A11035" t="s">
        <v>14093</v>
      </c>
      <c r="B11035" t="s">
        <v>367</v>
      </c>
      <c r="C11035" t="s">
        <v>29143</v>
      </c>
      <c r="D11035" t="s">
        <v>39854</v>
      </c>
      <c r="E11035" t="b">
        <v>0</v>
      </c>
      <c r="F11035" t="s">
        <v>11624</v>
      </c>
      <c r="G11035">
        <v>-9.5642499999999995</v>
      </c>
      <c r="H11035">
        <v>160.41999999999999</v>
      </c>
      <c r="I11035" t="s">
        <v>39855</v>
      </c>
      <c r="L11035">
        <v>0</v>
      </c>
      <c r="M11035">
        <v>0</v>
      </c>
      <c r="N11035">
        <v>4</v>
      </c>
      <c r="O11035" t="s">
        <v>13346</v>
      </c>
    </row>
    <row r="11036" spans="1:15">
      <c r="A11036" t="s">
        <v>39856</v>
      </c>
      <c r="B11036" t="s">
        <v>367</v>
      </c>
      <c r="C11036" t="s">
        <v>35745</v>
      </c>
      <c r="D11036" t="s">
        <v>39857</v>
      </c>
      <c r="E11036" t="b">
        <v>0</v>
      </c>
      <c r="F11036" t="s">
        <v>11624</v>
      </c>
      <c r="G11036">
        <v>3.6964100000000002</v>
      </c>
      <c r="H11036">
        <v>115.91</v>
      </c>
      <c r="I11036" t="s">
        <v>39858</v>
      </c>
      <c r="L11036">
        <v>0</v>
      </c>
      <c r="M11036">
        <v>0</v>
      </c>
      <c r="N11036">
        <v>0</v>
      </c>
      <c r="O11036" t="s">
        <v>11768</v>
      </c>
    </row>
    <row r="11037" spans="1:15">
      <c r="A11037" t="s">
        <v>13821</v>
      </c>
      <c r="D11037" t="s">
        <v>39859</v>
      </c>
      <c r="E11037" t="b">
        <v>0</v>
      </c>
      <c r="F11037" t="s">
        <v>11622</v>
      </c>
      <c r="L11037">
        <v>1</v>
      </c>
      <c r="M11037">
        <v>5</v>
      </c>
      <c r="N11037">
        <v>4</v>
      </c>
    </row>
    <row r="11038" spans="1:15">
      <c r="A11038" t="s">
        <v>39860</v>
      </c>
      <c r="B11038" t="s">
        <v>13821</v>
      </c>
      <c r="C11038" t="s">
        <v>13822</v>
      </c>
      <c r="D11038" t="s">
        <v>39861</v>
      </c>
      <c r="E11038" t="b">
        <v>0</v>
      </c>
      <c r="F11038" t="s">
        <v>11624</v>
      </c>
      <c r="G11038">
        <v>-22.655899999999999</v>
      </c>
      <c r="H11038">
        <v>-58.905299999999997</v>
      </c>
      <c r="I11038" t="s">
        <v>39862</v>
      </c>
      <c r="L11038">
        <v>0</v>
      </c>
      <c r="M11038">
        <v>0</v>
      </c>
      <c r="N11038">
        <v>2</v>
      </c>
      <c r="O11038" t="s">
        <v>11916</v>
      </c>
    </row>
    <row r="11039" spans="1:15">
      <c r="A11039" t="s">
        <v>13822</v>
      </c>
      <c r="B11039" t="s">
        <v>13821</v>
      </c>
      <c r="C11039" t="s">
        <v>13821</v>
      </c>
      <c r="D11039" t="s">
        <v>39863</v>
      </c>
      <c r="E11039" t="b">
        <v>0</v>
      </c>
      <c r="F11039" t="s">
        <v>11622</v>
      </c>
      <c r="L11039">
        <v>0</v>
      </c>
      <c r="M11039">
        <v>3</v>
      </c>
      <c r="N11039">
        <v>2</v>
      </c>
    </row>
    <row r="11040" spans="1:15">
      <c r="A11040" t="s">
        <v>13111</v>
      </c>
      <c r="B11040" t="s">
        <v>10597</v>
      </c>
      <c r="C11040" t="s">
        <v>12986</v>
      </c>
      <c r="D11040" t="s">
        <v>39864</v>
      </c>
      <c r="E11040" t="b">
        <v>0</v>
      </c>
      <c r="F11040" t="s">
        <v>11622</v>
      </c>
      <c r="L11040">
        <v>0</v>
      </c>
      <c r="M11040">
        <v>2</v>
      </c>
      <c r="N11040">
        <v>0</v>
      </c>
    </row>
    <row r="11041" spans="1:15">
      <c r="A11041" t="s">
        <v>39865</v>
      </c>
      <c r="B11041" t="s">
        <v>10597</v>
      </c>
      <c r="C11041" t="s">
        <v>13111</v>
      </c>
      <c r="D11041" t="s">
        <v>39866</v>
      </c>
      <c r="E11041" t="b">
        <v>0</v>
      </c>
      <c r="F11041" t="s">
        <v>11624</v>
      </c>
      <c r="G11041">
        <v>-12.771375000000001</v>
      </c>
      <c r="H11041">
        <v>141.96199999999999</v>
      </c>
      <c r="I11041" t="s">
        <v>39867</v>
      </c>
      <c r="L11041">
        <v>0</v>
      </c>
      <c r="M11041">
        <v>0</v>
      </c>
      <c r="N11041">
        <v>0</v>
      </c>
      <c r="O11041" t="s">
        <v>12107</v>
      </c>
    </row>
    <row r="11042" spans="1:15">
      <c r="A11042" t="s">
        <v>21881</v>
      </c>
      <c r="B11042" t="s">
        <v>6742</v>
      </c>
      <c r="C11042" t="s">
        <v>19706</v>
      </c>
      <c r="D11042" t="s">
        <v>39868</v>
      </c>
      <c r="E11042" t="b">
        <v>0</v>
      </c>
      <c r="F11042" t="s">
        <v>11622</v>
      </c>
      <c r="L11042">
        <v>2</v>
      </c>
      <c r="M11042">
        <v>6</v>
      </c>
      <c r="N11042">
        <v>12</v>
      </c>
    </row>
    <row r="11043" spans="1:15">
      <c r="A11043" t="s">
        <v>39869</v>
      </c>
      <c r="B11043" t="s">
        <v>6742</v>
      </c>
      <c r="C11043" t="s">
        <v>32212</v>
      </c>
      <c r="D11043" t="s">
        <v>39870</v>
      </c>
      <c r="E11043" t="b">
        <v>0</v>
      </c>
      <c r="F11043" t="s">
        <v>11624</v>
      </c>
      <c r="G11043">
        <v>-14.719200000000001</v>
      </c>
      <c r="H11043">
        <v>28.258099999999999</v>
      </c>
      <c r="I11043" t="s">
        <v>39871</v>
      </c>
      <c r="L11043">
        <v>0</v>
      </c>
      <c r="M11043">
        <v>0</v>
      </c>
      <c r="N11043">
        <v>2</v>
      </c>
      <c r="O11043" t="s">
        <v>32215</v>
      </c>
    </row>
    <row r="11044" spans="1:15">
      <c r="A11044" t="s">
        <v>39872</v>
      </c>
      <c r="B11044" t="s">
        <v>11637</v>
      </c>
      <c r="C11044" t="s">
        <v>14885</v>
      </c>
      <c r="D11044" t="s">
        <v>39873</v>
      </c>
      <c r="E11044" t="b">
        <v>0</v>
      </c>
      <c r="F11044" t="s">
        <v>11610</v>
      </c>
      <c r="L11044">
        <v>0</v>
      </c>
      <c r="M11044">
        <v>0</v>
      </c>
      <c r="N11044">
        <v>0</v>
      </c>
    </row>
    <row r="11045" spans="1:15">
      <c r="A11045" t="s">
        <v>39874</v>
      </c>
      <c r="B11045" t="s">
        <v>331</v>
      </c>
      <c r="C11045" t="s">
        <v>16164</v>
      </c>
      <c r="D11045" t="s">
        <v>39875</v>
      </c>
      <c r="E11045" t="b">
        <v>0</v>
      </c>
      <c r="F11045" t="s">
        <v>11610</v>
      </c>
      <c r="L11045">
        <v>0</v>
      </c>
      <c r="M11045">
        <v>0</v>
      </c>
      <c r="N11045">
        <v>0</v>
      </c>
    </row>
    <row r="11046" spans="1:15">
      <c r="A11046" t="s">
        <v>39876</v>
      </c>
      <c r="B11046" t="s">
        <v>367</v>
      </c>
      <c r="C11046" t="s">
        <v>39877</v>
      </c>
      <c r="D11046" t="s">
        <v>39878</v>
      </c>
      <c r="E11046" t="b">
        <v>0</v>
      </c>
      <c r="F11046" t="s">
        <v>11624</v>
      </c>
      <c r="G11046">
        <v>-2.3336700000000001</v>
      </c>
      <c r="H11046">
        <v>147.74199999999999</v>
      </c>
      <c r="I11046" t="s">
        <v>39879</v>
      </c>
      <c r="L11046">
        <v>0</v>
      </c>
      <c r="M11046">
        <v>0</v>
      </c>
      <c r="N11046">
        <v>0</v>
      </c>
      <c r="O11046" t="s">
        <v>11660</v>
      </c>
    </row>
    <row r="11047" spans="1:15">
      <c r="A11047" t="s">
        <v>39880</v>
      </c>
      <c r="B11047" t="s">
        <v>6742</v>
      </c>
      <c r="C11047" t="s">
        <v>17167</v>
      </c>
      <c r="D11047" t="s">
        <v>39881</v>
      </c>
      <c r="E11047" t="b">
        <v>0</v>
      </c>
      <c r="F11047" t="s">
        <v>11610</v>
      </c>
      <c r="L11047">
        <v>0</v>
      </c>
      <c r="M11047">
        <v>0</v>
      </c>
      <c r="N11047">
        <v>0</v>
      </c>
    </row>
    <row r="11048" spans="1:15">
      <c r="A11048" t="s">
        <v>39882</v>
      </c>
      <c r="B11048" t="s">
        <v>14005</v>
      </c>
      <c r="C11048" t="s">
        <v>39883</v>
      </c>
      <c r="D11048" t="s">
        <v>39884</v>
      </c>
      <c r="E11048" t="b">
        <v>0</v>
      </c>
      <c r="F11048" t="s">
        <v>11624</v>
      </c>
      <c r="G11048">
        <v>-9.1199999999999992</v>
      </c>
      <c r="H11048">
        <v>142.1</v>
      </c>
      <c r="L11048">
        <v>0</v>
      </c>
      <c r="M11048">
        <v>0</v>
      </c>
      <c r="N11048">
        <v>0</v>
      </c>
      <c r="O11048" t="s">
        <v>11660</v>
      </c>
    </row>
    <row r="11049" spans="1:15">
      <c r="A11049" t="s">
        <v>39885</v>
      </c>
      <c r="B11049" t="s">
        <v>12148</v>
      </c>
      <c r="C11049" t="s">
        <v>39482</v>
      </c>
      <c r="D11049" t="s">
        <v>39886</v>
      </c>
      <c r="E11049" t="b">
        <v>0</v>
      </c>
      <c r="F11049" t="s">
        <v>11610</v>
      </c>
      <c r="L11049">
        <v>0</v>
      </c>
      <c r="M11049">
        <v>0</v>
      </c>
      <c r="N11049">
        <v>0</v>
      </c>
    </row>
    <row r="11050" spans="1:15">
      <c r="A11050" t="s">
        <v>39887</v>
      </c>
      <c r="B11050" t="s">
        <v>6742</v>
      </c>
      <c r="C11050" t="s">
        <v>39888</v>
      </c>
      <c r="D11050" t="s">
        <v>39889</v>
      </c>
      <c r="E11050" t="b">
        <v>0</v>
      </c>
      <c r="F11050" t="s">
        <v>11624</v>
      </c>
      <c r="G11050">
        <v>6.0013100000000001</v>
      </c>
      <c r="H11050">
        <v>8.2895099999999999</v>
      </c>
      <c r="I11050" t="s">
        <v>39890</v>
      </c>
      <c r="L11050">
        <v>0</v>
      </c>
      <c r="M11050">
        <v>0</v>
      </c>
      <c r="N11050">
        <v>0</v>
      </c>
      <c r="O11050" t="s">
        <v>11693</v>
      </c>
    </row>
    <row r="11051" spans="1:15">
      <c r="A11051" t="s">
        <v>39888</v>
      </c>
      <c r="B11051" t="s">
        <v>6742</v>
      </c>
      <c r="C11051" t="s">
        <v>39694</v>
      </c>
      <c r="D11051" t="s">
        <v>39891</v>
      </c>
      <c r="E11051" t="b">
        <v>0</v>
      </c>
      <c r="F11051" t="s">
        <v>11622</v>
      </c>
      <c r="L11051">
        <v>0</v>
      </c>
      <c r="M11051">
        <v>2</v>
      </c>
      <c r="N11051">
        <v>0</v>
      </c>
    </row>
    <row r="11052" spans="1:15">
      <c r="A11052" t="s">
        <v>39892</v>
      </c>
      <c r="B11052" t="s">
        <v>11637</v>
      </c>
      <c r="C11052" t="s">
        <v>14902</v>
      </c>
      <c r="D11052" t="s">
        <v>39893</v>
      </c>
      <c r="E11052" t="b">
        <v>0</v>
      </c>
      <c r="F11052" t="s">
        <v>11610</v>
      </c>
      <c r="L11052">
        <v>0</v>
      </c>
      <c r="M11052">
        <v>0</v>
      </c>
      <c r="N11052">
        <v>0</v>
      </c>
    </row>
    <row r="11053" spans="1:15">
      <c r="A11053" t="s">
        <v>39894</v>
      </c>
      <c r="B11053" t="s">
        <v>11637</v>
      </c>
      <c r="C11053" t="s">
        <v>19866</v>
      </c>
      <c r="D11053" t="s">
        <v>39895</v>
      </c>
      <c r="E11053" t="b">
        <v>0</v>
      </c>
      <c r="F11053" t="s">
        <v>11610</v>
      </c>
      <c r="L11053">
        <v>0</v>
      </c>
      <c r="M11053">
        <v>0</v>
      </c>
      <c r="N11053">
        <v>0</v>
      </c>
    </row>
    <row r="11054" spans="1:15">
      <c r="A11054" t="s">
        <v>39896</v>
      </c>
      <c r="B11054" t="s">
        <v>367</v>
      </c>
      <c r="C11054" t="s">
        <v>39897</v>
      </c>
      <c r="D11054" t="s">
        <v>39898</v>
      </c>
      <c r="E11054" t="b">
        <v>0</v>
      </c>
      <c r="F11054" t="s">
        <v>11610</v>
      </c>
      <c r="L11054">
        <v>0</v>
      </c>
      <c r="M11054">
        <v>0</v>
      </c>
      <c r="N11054">
        <v>0</v>
      </c>
    </row>
    <row r="11055" spans="1:15">
      <c r="A11055" t="s">
        <v>32225</v>
      </c>
      <c r="B11055" t="s">
        <v>11644</v>
      </c>
      <c r="C11055" t="s">
        <v>31157</v>
      </c>
      <c r="D11055" t="s">
        <v>39899</v>
      </c>
      <c r="E11055" t="b">
        <v>0</v>
      </c>
      <c r="F11055" t="s">
        <v>11624</v>
      </c>
      <c r="G11055">
        <v>27.0869</v>
      </c>
      <c r="H11055">
        <v>88.572599999999994</v>
      </c>
      <c r="I11055" t="s">
        <v>39900</v>
      </c>
      <c r="L11055">
        <v>0</v>
      </c>
      <c r="M11055">
        <v>0</v>
      </c>
      <c r="N11055">
        <v>3</v>
      </c>
      <c r="O11055" t="s">
        <v>30261</v>
      </c>
    </row>
    <row r="11056" spans="1:15">
      <c r="A11056" t="s">
        <v>39901</v>
      </c>
      <c r="B11056" t="s">
        <v>39902</v>
      </c>
      <c r="C11056" t="s">
        <v>39902</v>
      </c>
      <c r="D11056" t="s">
        <v>39903</v>
      </c>
      <c r="E11056" t="b">
        <v>0</v>
      </c>
      <c r="F11056" t="s">
        <v>11624</v>
      </c>
      <c r="G11056">
        <v>-4.1059000000000001</v>
      </c>
      <c r="H11056">
        <v>140.464</v>
      </c>
      <c r="I11056" t="s">
        <v>39904</v>
      </c>
      <c r="L11056">
        <v>0</v>
      </c>
      <c r="M11056">
        <v>0</v>
      </c>
      <c r="N11056">
        <v>0</v>
      </c>
      <c r="O11056" t="s">
        <v>11768</v>
      </c>
    </row>
    <row r="11057" spans="1:15">
      <c r="A11057" t="s">
        <v>39902</v>
      </c>
      <c r="D11057" t="s">
        <v>39905</v>
      </c>
      <c r="E11057" t="b">
        <v>0</v>
      </c>
      <c r="F11057" t="s">
        <v>11622</v>
      </c>
      <c r="L11057">
        <v>0</v>
      </c>
      <c r="M11057">
        <v>2</v>
      </c>
      <c r="N11057">
        <v>0</v>
      </c>
    </row>
    <row r="11058" spans="1:15">
      <c r="A11058" t="s">
        <v>39906</v>
      </c>
      <c r="B11058" t="s">
        <v>11637</v>
      </c>
      <c r="C11058" t="s">
        <v>23075</v>
      </c>
      <c r="D11058" t="s">
        <v>39907</v>
      </c>
      <c r="E11058" t="b">
        <v>0</v>
      </c>
      <c r="F11058" t="s">
        <v>11624</v>
      </c>
      <c r="G11058">
        <v>45.98</v>
      </c>
      <c r="H11058">
        <v>8.92</v>
      </c>
      <c r="I11058" t="s">
        <v>39908</v>
      </c>
      <c r="L11058">
        <v>0</v>
      </c>
      <c r="M11058">
        <v>0</v>
      </c>
      <c r="N11058">
        <v>0</v>
      </c>
      <c r="O11058" t="s">
        <v>13676</v>
      </c>
    </row>
    <row r="11059" spans="1:15">
      <c r="A11059" t="s">
        <v>39909</v>
      </c>
      <c r="B11059" t="s">
        <v>367</v>
      </c>
      <c r="C11059" t="s">
        <v>39910</v>
      </c>
      <c r="D11059" t="s">
        <v>39911</v>
      </c>
      <c r="E11059" t="b">
        <v>0</v>
      </c>
      <c r="F11059" t="s">
        <v>11610</v>
      </c>
      <c r="L11059">
        <v>0</v>
      </c>
      <c r="M11059">
        <v>0</v>
      </c>
      <c r="N11059">
        <v>0</v>
      </c>
    </row>
    <row r="11060" spans="1:15">
      <c r="A11060" t="s">
        <v>39912</v>
      </c>
      <c r="B11060" t="s">
        <v>367</v>
      </c>
      <c r="C11060" t="s">
        <v>11666</v>
      </c>
      <c r="D11060" t="s">
        <v>39913</v>
      </c>
      <c r="E11060" t="b">
        <v>0</v>
      </c>
      <c r="F11060" t="s">
        <v>11610</v>
      </c>
      <c r="L11060">
        <v>0</v>
      </c>
      <c r="M11060">
        <v>0</v>
      </c>
      <c r="N11060">
        <v>0</v>
      </c>
    </row>
    <row r="11061" spans="1:15">
      <c r="A11061" t="s">
        <v>39914</v>
      </c>
      <c r="B11061" t="s">
        <v>367</v>
      </c>
      <c r="C11061" t="s">
        <v>366</v>
      </c>
      <c r="D11061" t="s">
        <v>39915</v>
      </c>
      <c r="E11061" t="b">
        <v>0</v>
      </c>
      <c r="F11061" t="s">
        <v>11610</v>
      </c>
      <c r="L11061">
        <v>0</v>
      </c>
      <c r="M11061">
        <v>0</v>
      </c>
      <c r="N11061">
        <v>0</v>
      </c>
    </row>
    <row r="11062" spans="1:15">
      <c r="A11062" t="s">
        <v>22330</v>
      </c>
      <c r="B11062" t="s">
        <v>11644</v>
      </c>
      <c r="C11062" t="s">
        <v>11899</v>
      </c>
      <c r="D11062" t="s">
        <v>39916</v>
      </c>
      <c r="E11062" t="b">
        <v>0</v>
      </c>
      <c r="F11062" t="s">
        <v>11622</v>
      </c>
      <c r="L11062">
        <v>0</v>
      </c>
      <c r="M11062">
        <v>2</v>
      </c>
      <c r="N11062">
        <v>0</v>
      </c>
    </row>
    <row r="11063" spans="1:15">
      <c r="A11063" t="s">
        <v>28505</v>
      </c>
      <c r="B11063" t="s">
        <v>6742</v>
      </c>
      <c r="C11063" t="s">
        <v>39225</v>
      </c>
      <c r="D11063" t="s">
        <v>39917</v>
      </c>
      <c r="E11063" t="b">
        <v>0</v>
      </c>
      <c r="F11063" t="s">
        <v>11624</v>
      </c>
      <c r="G11063">
        <v>10.478899999999999</v>
      </c>
      <c r="H11063">
        <v>8.93337</v>
      </c>
      <c r="I11063" t="s">
        <v>39918</v>
      </c>
      <c r="L11063">
        <v>0</v>
      </c>
      <c r="M11063">
        <v>0</v>
      </c>
      <c r="N11063">
        <v>3</v>
      </c>
      <c r="O11063" t="s">
        <v>11693</v>
      </c>
    </row>
    <row r="11064" spans="1:15">
      <c r="A11064" t="s">
        <v>39919</v>
      </c>
      <c r="B11064" t="s">
        <v>13276</v>
      </c>
      <c r="C11064" t="s">
        <v>16922</v>
      </c>
      <c r="D11064" t="s">
        <v>39920</v>
      </c>
      <c r="E11064" t="b">
        <v>0</v>
      </c>
      <c r="F11064" t="s">
        <v>11610</v>
      </c>
      <c r="L11064">
        <v>0</v>
      </c>
      <c r="M11064">
        <v>0</v>
      </c>
      <c r="N11064">
        <v>0</v>
      </c>
    </row>
    <row r="11065" spans="1:15">
      <c r="A11065" t="s">
        <v>39921</v>
      </c>
      <c r="B11065" t="s">
        <v>11637</v>
      </c>
      <c r="C11065" t="s">
        <v>14885</v>
      </c>
      <c r="D11065" t="s">
        <v>39922</v>
      </c>
      <c r="E11065" t="b">
        <v>0</v>
      </c>
      <c r="F11065" t="s">
        <v>11610</v>
      </c>
      <c r="L11065">
        <v>0</v>
      </c>
      <c r="M11065">
        <v>0</v>
      </c>
      <c r="N11065">
        <v>0</v>
      </c>
    </row>
    <row r="11066" spans="1:15">
      <c r="A11066" t="s">
        <v>39923</v>
      </c>
      <c r="B11066" t="s">
        <v>367</v>
      </c>
      <c r="C11066" t="s">
        <v>16220</v>
      </c>
      <c r="D11066" t="s">
        <v>39924</v>
      </c>
      <c r="E11066" t="b">
        <v>0</v>
      </c>
      <c r="F11066" t="s">
        <v>11610</v>
      </c>
      <c r="L11066">
        <v>0</v>
      </c>
      <c r="M11066">
        <v>0</v>
      </c>
      <c r="N11066">
        <v>0</v>
      </c>
    </row>
    <row r="11067" spans="1:15">
      <c r="A11067" t="s">
        <v>14667</v>
      </c>
      <c r="B11067" t="s">
        <v>11729</v>
      </c>
      <c r="C11067" t="s">
        <v>17941</v>
      </c>
      <c r="D11067" t="s">
        <v>39925</v>
      </c>
      <c r="E11067" t="b">
        <v>0</v>
      </c>
      <c r="F11067" t="s">
        <v>11624</v>
      </c>
      <c r="G11067">
        <v>1.3</v>
      </c>
      <c r="H11067">
        <v>29.3</v>
      </c>
      <c r="I11067" t="s">
        <v>39926</v>
      </c>
      <c r="L11067">
        <v>0</v>
      </c>
      <c r="M11067">
        <v>0</v>
      </c>
      <c r="N11067">
        <v>5</v>
      </c>
      <c r="O11067" t="s">
        <v>14825</v>
      </c>
    </row>
    <row r="11068" spans="1:15">
      <c r="A11068" t="s">
        <v>39927</v>
      </c>
      <c r="B11068" t="s">
        <v>11729</v>
      </c>
      <c r="C11068" t="s">
        <v>14667</v>
      </c>
      <c r="D11068" t="s">
        <v>39928</v>
      </c>
      <c r="E11068" t="b">
        <v>0</v>
      </c>
      <c r="F11068" t="s">
        <v>11610</v>
      </c>
      <c r="L11068">
        <v>0</v>
      </c>
      <c r="M11068">
        <v>0</v>
      </c>
      <c r="N11068">
        <v>0</v>
      </c>
    </row>
    <row r="11069" spans="1:15">
      <c r="A11069" t="s">
        <v>17941</v>
      </c>
      <c r="B11069" t="s">
        <v>11729</v>
      </c>
      <c r="C11069" t="s">
        <v>39929</v>
      </c>
      <c r="D11069" t="s">
        <v>39930</v>
      </c>
      <c r="E11069" t="b">
        <v>0</v>
      </c>
      <c r="F11069" t="s">
        <v>11622</v>
      </c>
      <c r="L11069">
        <v>0</v>
      </c>
      <c r="M11069">
        <v>4</v>
      </c>
      <c r="N11069">
        <v>5</v>
      </c>
    </row>
    <row r="11070" spans="1:15">
      <c r="A11070" t="s">
        <v>29004</v>
      </c>
      <c r="B11070" t="s">
        <v>367</v>
      </c>
      <c r="C11070" t="s">
        <v>12780</v>
      </c>
      <c r="D11070" t="s">
        <v>39931</v>
      </c>
      <c r="E11070" t="b">
        <v>0</v>
      </c>
      <c r="F11070" t="s">
        <v>11624</v>
      </c>
      <c r="G11070">
        <v>-6.1988899999999996</v>
      </c>
      <c r="H11070">
        <v>150.506</v>
      </c>
      <c r="I11070" t="s">
        <v>39932</v>
      </c>
      <c r="L11070">
        <v>0</v>
      </c>
      <c r="M11070">
        <v>0</v>
      </c>
      <c r="N11070">
        <v>2</v>
      </c>
      <c r="O11070" t="s">
        <v>11660</v>
      </c>
    </row>
    <row r="11071" spans="1:15">
      <c r="A11071" t="s">
        <v>39933</v>
      </c>
      <c r="B11071" t="s">
        <v>367</v>
      </c>
      <c r="C11071" t="s">
        <v>29004</v>
      </c>
      <c r="D11071" t="s">
        <v>39934</v>
      </c>
      <c r="E11071" t="b">
        <v>0</v>
      </c>
      <c r="F11071" t="s">
        <v>11610</v>
      </c>
      <c r="L11071">
        <v>0</v>
      </c>
      <c r="M11071">
        <v>0</v>
      </c>
      <c r="N11071">
        <v>0</v>
      </c>
    </row>
    <row r="11072" spans="1:15">
      <c r="A11072" t="s">
        <v>39935</v>
      </c>
      <c r="B11072" t="s">
        <v>11981</v>
      </c>
      <c r="C11072" t="s">
        <v>39936</v>
      </c>
      <c r="D11072" t="s">
        <v>39937</v>
      </c>
      <c r="E11072" t="b">
        <v>0</v>
      </c>
      <c r="F11072" t="s">
        <v>11624</v>
      </c>
      <c r="L11072">
        <v>0</v>
      </c>
      <c r="M11072">
        <v>0</v>
      </c>
      <c r="N11072">
        <v>0</v>
      </c>
      <c r="O11072" t="s">
        <v>39938</v>
      </c>
    </row>
    <row r="11073" spans="1:15">
      <c r="A11073" t="s">
        <v>39939</v>
      </c>
      <c r="B11073" t="s">
        <v>11607</v>
      </c>
      <c r="C11073" t="s">
        <v>29717</v>
      </c>
      <c r="D11073" t="s">
        <v>39940</v>
      </c>
      <c r="E11073" t="b">
        <v>0</v>
      </c>
      <c r="F11073" t="s">
        <v>11610</v>
      </c>
      <c r="L11073">
        <v>0</v>
      </c>
      <c r="M11073">
        <v>0</v>
      </c>
      <c r="N11073">
        <v>0</v>
      </c>
    </row>
    <row r="11074" spans="1:15">
      <c r="A11074" t="s">
        <v>2757</v>
      </c>
      <c r="B11074" t="s">
        <v>11637</v>
      </c>
      <c r="C11074" t="s">
        <v>23067</v>
      </c>
      <c r="D11074" t="s">
        <v>39941</v>
      </c>
      <c r="E11074" t="b">
        <v>0</v>
      </c>
      <c r="F11074" t="s">
        <v>11622</v>
      </c>
      <c r="L11074">
        <v>1</v>
      </c>
      <c r="M11074">
        <v>3</v>
      </c>
      <c r="N11074">
        <v>4</v>
      </c>
    </row>
    <row r="11075" spans="1:15">
      <c r="A11075" t="s">
        <v>39942</v>
      </c>
      <c r="B11075" t="s">
        <v>6742</v>
      </c>
      <c r="C11075" t="s">
        <v>1745</v>
      </c>
      <c r="D11075" t="s">
        <v>39943</v>
      </c>
      <c r="E11075" t="b">
        <v>0</v>
      </c>
      <c r="F11075" t="s">
        <v>11610</v>
      </c>
      <c r="L11075">
        <v>0</v>
      </c>
      <c r="M11075">
        <v>0</v>
      </c>
      <c r="N11075">
        <v>0</v>
      </c>
    </row>
    <row r="11076" spans="1:15">
      <c r="A11076" t="s">
        <v>39944</v>
      </c>
      <c r="B11076" t="s">
        <v>367</v>
      </c>
      <c r="C11076" t="s">
        <v>24951</v>
      </c>
      <c r="D11076" t="s">
        <v>39945</v>
      </c>
      <c r="E11076" t="b">
        <v>0</v>
      </c>
      <c r="F11076" t="s">
        <v>11624</v>
      </c>
      <c r="G11076">
        <v>-16.433900000000001</v>
      </c>
      <c r="H11076">
        <v>167.566</v>
      </c>
      <c r="I11076" t="s">
        <v>39946</v>
      </c>
      <c r="L11076">
        <v>0</v>
      </c>
      <c r="M11076">
        <v>0</v>
      </c>
      <c r="N11076">
        <v>2</v>
      </c>
      <c r="O11076" t="s">
        <v>12719</v>
      </c>
    </row>
    <row r="11077" spans="1:15">
      <c r="A11077" t="s">
        <v>39947</v>
      </c>
      <c r="B11077" t="s">
        <v>367</v>
      </c>
      <c r="C11077" t="s">
        <v>39944</v>
      </c>
      <c r="D11077" t="s">
        <v>39948</v>
      </c>
      <c r="E11077" t="b">
        <v>0</v>
      </c>
      <c r="F11077" t="s">
        <v>11610</v>
      </c>
      <c r="L11077">
        <v>0</v>
      </c>
      <c r="M11077">
        <v>0</v>
      </c>
      <c r="N11077">
        <v>0</v>
      </c>
    </row>
    <row r="11078" spans="1:15">
      <c r="A11078" t="s">
        <v>39949</v>
      </c>
      <c r="B11078" t="s">
        <v>6742</v>
      </c>
      <c r="C11078" t="s">
        <v>20968</v>
      </c>
      <c r="D11078" t="s">
        <v>39950</v>
      </c>
      <c r="E11078" t="b">
        <v>0</v>
      </c>
      <c r="F11078" t="s">
        <v>11610</v>
      </c>
      <c r="L11078">
        <v>0</v>
      </c>
      <c r="M11078">
        <v>0</v>
      </c>
      <c r="N11078">
        <v>0</v>
      </c>
    </row>
    <row r="11079" spans="1:15">
      <c r="A11079" t="s">
        <v>39951</v>
      </c>
      <c r="B11079" t="s">
        <v>6742</v>
      </c>
      <c r="C11079" t="s">
        <v>39952</v>
      </c>
      <c r="D11079" t="s">
        <v>39953</v>
      </c>
      <c r="E11079" t="b">
        <v>0</v>
      </c>
      <c r="F11079" t="s">
        <v>11624</v>
      </c>
      <c r="G11079">
        <v>4.5745699999999996</v>
      </c>
      <c r="H11079">
        <v>11.404999999999999</v>
      </c>
      <c r="I11079" t="s">
        <v>39954</v>
      </c>
      <c r="L11079">
        <v>0</v>
      </c>
      <c r="M11079">
        <v>0</v>
      </c>
      <c r="N11079">
        <v>0</v>
      </c>
      <c r="O11079" t="s">
        <v>11703</v>
      </c>
    </row>
    <row r="11080" spans="1:15">
      <c r="A11080" t="s">
        <v>39955</v>
      </c>
      <c r="B11080" t="s">
        <v>367</v>
      </c>
      <c r="C11080" t="s">
        <v>39956</v>
      </c>
      <c r="D11080" t="s">
        <v>39957</v>
      </c>
      <c r="E11080" t="b">
        <v>0</v>
      </c>
      <c r="F11080" t="s">
        <v>11624</v>
      </c>
      <c r="G11080">
        <v>-8.1980799999999991</v>
      </c>
      <c r="H11080">
        <v>127.67400000000001</v>
      </c>
      <c r="I11080" t="s">
        <v>39958</v>
      </c>
      <c r="L11080">
        <v>0</v>
      </c>
      <c r="M11080">
        <v>0</v>
      </c>
      <c r="N11080">
        <v>0</v>
      </c>
      <c r="O11080" t="s">
        <v>11768</v>
      </c>
    </row>
    <row r="11081" spans="1:15">
      <c r="A11081" t="s">
        <v>39959</v>
      </c>
      <c r="B11081" t="s">
        <v>31523</v>
      </c>
      <c r="C11081" t="s">
        <v>31523</v>
      </c>
      <c r="D11081" t="s">
        <v>39960</v>
      </c>
      <c r="E11081" t="b">
        <v>0</v>
      </c>
      <c r="F11081" t="s">
        <v>11610</v>
      </c>
      <c r="L11081">
        <v>0</v>
      </c>
      <c r="M11081">
        <v>0</v>
      </c>
      <c r="N11081">
        <v>0</v>
      </c>
    </row>
    <row r="11082" spans="1:15">
      <c r="A11082" t="s">
        <v>4605</v>
      </c>
      <c r="B11082" t="s">
        <v>11607</v>
      </c>
      <c r="C11082" t="s">
        <v>1523</v>
      </c>
      <c r="D11082" t="s">
        <v>39961</v>
      </c>
      <c r="E11082" t="b">
        <v>0</v>
      </c>
      <c r="F11082" t="s">
        <v>11622</v>
      </c>
      <c r="L11082">
        <v>0</v>
      </c>
      <c r="M11082">
        <v>3</v>
      </c>
      <c r="N11082">
        <v>13</v>
      </c>
    </row>
    <row r="11083" spans="1:15">
      <c r="A11083" t="s">
        <v>32614</v>
      </c>
      <c r="B11083" t="s">
        <v>11981</v>
      </c>
      <c r="C11083" t="s">
        <v>14250</v>
      </c>
      <c r="D11083" t="s">
        <v>39962</v>
      </c>
      <c r="E11083" t="b">
        <v>0</v>
      </c>
      <c r="F11083" t="s">
        <v>11622</v>
      </c>
      <c r="L11083">
        <v>0</v>
      </c>
      <c r="M11083">
        <v>2</v>
      </c>
      <c r="N11083">
        <v>0</v>
      </c>
    </row>
    <row r="11084" spans="1:15">
      <c r="A11084" t="s">
        <v>39963</v>
      </c>
      <c r="B11084" t="s">
        <v>367</v>
      </c>
      <c r="C11084" t="s">
        <v>19994</v>
      </c>
      <c r="D11084" t="s">
        <v>39964</v>
      </c>
      <c r="E11084" t="b">
        <v>0</v>
      </c>
      <c r="F11084" t="s">
        <v>11610</v>
      </c>
      <c r="L11084">
        <v>0</v>
      </c>
      <c r="M11084">
        <v>0</v>
      </c>
      <c r="N11084">
        <v>0</v>
      </c>
    </row>
    <row r="11085" spans="1:15">
      <c r="A11085" t="s">
        <v>22000</v>
      </c>
      <c r="B11085" t="s">
        <v>367</v>
      </c>
      <c r="C11085" t="s">
        <v>39965</v>
      </c>
      <c r="D11085" t="s">
        <v>39966</v>
      </c>
      <c r="E11085" t="b">
        <v>0</v>
      </c>
      <c r="F11085" t="s">
        <v>11624</v>
      </c>
      <c r="G11085">
        <v>-8.4709400000000006</v>
      </c>
      <c r="H11085">
        <v>123.44</v>
      </c>
      <c r="I11085" t="s">
        <v>39967</v>
      </c>
      <c r="L11085">
        <v>0</v>
      </c>
      <c r="M11085">
        <v>0</v>
      </c>
      <c r="N11085">
        <v>4</v>
      </c>
      <c r="O11085" t="s">
        <v>11768</v>
      </c>
    </row>
    <row r="11086" spans="1:15">
      <c r="A11086" t="s">
        <v>39965</v>
      </c>
      <c r="B11086" t="s">
        <v>367</v>
      </c>
      <c r="C11086" t="s">
        <v>39171</v>
      </c>
      <c r="D11086" t="s">
        <v>39968</v>
      </c>
      <c r="E11086" t="b">
        <v>0</v>
      </c>
      <c r="F11086" t="s">
        <v>11622</v>
      </c>
      <c r="L11086">
        <v>0</v>
      </c>
      <c r="M11086">
        <v>2</v>
      </c>
      <c r="N11086">
        <v>4</v>
      </c>
    </row>
    <row r="11087" spans="1:15">
      <c r="A11087" t="s">
        <v>39969</v>
      </c>
      <c r="B11087" t="s">
        <v>367</v>
      </c>
      <c r="C11087" t="s">
        <v>5574</v>
      </c>
      <c r="D11087" t="s">
        <v>39970</v>
      </c>
      <c r="E11087" t="b">
        <v>0</v>
      </c>
      <c r="F11087" t="s">
        <v>11610</v>
      </c>
      <c r="L11087">
        <v>0</v>
      </c>
      <c r="M11087">
        <v>0</v>
      </c>
      <c r="N11087">
        <v>0</v>
      </c>
    </row>
    <row r="11088" spans="1:15">
      <c r="A11088" t="s">
        <v>39971</v>
      </c>
      <c r="B11088" t="s">
        <v>11607</v>
      </c>
      <c r="C11088" t="s">
        <v>39972</v>
      </c>
      <c r="D11088" t="s">
        <v>39973</v>
      </c>
      <c r="E11088" t="b">
        <v>0</v>
      </c>
      <c r="F11088" t="s">
        <v>11610</v>
      </c>
      <c r="L11088">
        <v>0</v>
      </c>
      <c r="M11088">
        <v>0</v>
      </c>
      <c r="N11088">
        <v>0</v>
      </c>
    </row>
    <row r="11089" spans="1:15">
      <c r="A11089" t="s">
        <v>39974</v>
      </c>
      <c r="B11089" t="s">
        <v>367</v>
      </c>
      <c r="C11089" t="s">
        <v>39216</v>
      </c>
      <c r="D11089" t="s">
        <v>39975</v>
      </c>
      <c r="E11089" t="b">
        <v>0</v>
      </c>
      <c r="F11089" t="s">
        <v>11624</v>
      </c>
      <c r="G11089">
        <v>-16.761199999999999</v>
      </c>
      <c r="H11089">
        <v>168.334</v>
      </c>
      <c r="I11089" t="s">
        <v>39976</v>
      </c>
      <c r="L11089">
        <v>0</v>
      </c>
      <c r="M11089">
        <v>0</v>
      </c>
      <c r="N11089">
        <v>2</v>
      </c>
      <c r="O11089" t="s">
        <v>12719</v>
      </c>
    </row>
    <row r="11090" spans="1:15">
      <c r="A11090" t="s">
        <v>39977</v>
      </c>
      <c r="B11090" t="s">
        <v>367</v>
      </c>
      <c r="C11090" t="s">
        <v>39149</v>
      </c>
      <c r="D11090" t="s">
        <v>39978</v>
      </c>
      <c r="E11090" t="b">
        <v>0</v>
      </c>
      <c r="F11090" t="s">
        <v>11624</v>
      </c>
      <c r="G11090">
        <v>-8.3574099999999998</v>
      </c>
      <c r="H11090">
        <v>123.652</v>
      </c>
      <c r="I11090" t="s">
        <v>39979</v>
      </c>
      <c r="L11090">
        <v>0</v>
      </c>
      <c r="M11090">
        <v>0</v>
      </c>
      <c r="N11090">
        <v>0</v>
      </c>
      <c r="O11090" t="s">
        <v>11768</v>
      </c>
    </row>
    <row r="11091" spans="1:15">
      <c r="A11091" t="s">
        <v>39980</v>
      </c>
      <c r="B11091" t="s">
        <v>367</v>
      </c>
      <c r="C11091" t="s">
        <v>27951</v>
      </c>
      <c r="D11091" t="s">
        <v>39981</v>
      </c>
      <c r="E11091" t="b">
        <v>0</v>
      </c>
      <c r="F11091" t="s">
        <v>11624</v>
      </c>
      <c r="G11091">
        <v>-8.5457300000000007</v>
      </c>
      <c r="H11091">
        <v>122.747</v>
      </c>
      <c r="I11091" t="s">
        <v>39982</v>
      </c>
      <c r="L11091">
        <v>0</v>
      </c>
      <c r="M11091">
        <v>0</v>
      </c>
      <c r="N11091">
        <v>0</v>
      </c>
      <c r="O11091" t="s">
        <v>11768</v>
      </c>
    </row>
    <row r="11092" spans="1:15">
      <c r="A11092" t="s">
        <v>39983</v>
      </c>
      <c r="B11092" t="s">
        <v>367</v>
      </c>
      <c r="C11092" t="s">
        <v>32340</v>
      </c>
      <c r="D11092" t="s">
        <v>39984</v>
      </c>
      <c r="E11092" t="b">
        <v>0</v>
      </c>
      <c r="F11092" t="s">
        <v>11610</v>
      </c>
      <c r="L11092">
        <v>0</v>
      </c>
      <c r="M11092">
        <v>0</v>
      </c>
      <c r="N11092">
        <v>0</v>
      </c>
    </row>
    <row r="11093" spans="1:15">
      <c r="A11093" t="s">
        <v>39985</v>
      </c>
      <c r="B11093" t="s">
        <v>367</v>
      </c>
      <c r="C11093" t="s">
        <v>32340</v>
      </c>
      <c r="D11093" t="s">
        <v>39986</v>
      </c>
      <c r="E11093" t="b">
        <v>0</v>
      </c>
      <c r="F11093" t="s">
        <v>11610</v>
      </c>
      <c r="L11093">
        <v>0</v>
      </c>
      <c r="M11093">
        <v>0</v>
      </c>
      <c r="N11093">
        <v>0</v>
      </c>
    </row>
    <row r="11094" spans="1:15">
      <c r="A11094" t="s">
        <v>39987</v>
      </c>
      <c r="B11094" t="s">
        <v>367</v>
      </c>
      <c r="C11094" t="s">
        <v>22000</v>
      </c>
      <c r="D11094" t="s">
        <v>39988</v>
      </c>
      <c r="E11094" t="b">
        <v>0</v>
      </c>
      <c r="F11094" t="s">
        <v>11610</v>
      </c>
      <c r="L11094">
        <v>0</v>
      </c>
      <c r="M11094">
        <v>0</v>
      </c>
      <c r="N11094">
        <v>0</v>
      </c>
    </row>
    <row r="11095" spans="1:15">
      <c r="A11095" t="s">
        <v>16385</v>
      </c>
      <c r="B11095" t="s">
        <v>367</v>
      </c>
      <c r="C11095" t="s">
        <v>39989</v>
      </c>
      <c r="D11095" t="s">
        <v>39990</v>
      </c>
      <c r="E11095" t="b">
        <v>0</v>
      </c>
      <c r="F11095" t="s">
        <v>11610</v>
      </c>
      <c r="L11095">
        <v>0</v>
      </c>
      <c r="M11095">
        <v>0</v>
      </c>
      <c r="N11095">
        <v>2</v>
      </c>
    </row>
    <row r="11096" spans="1:15">
      <c r="A11096" t="s">
        <v>39991</v>
      </c>
      <c r="B11096" t="s">
        <v>367</v>
      </c>
      <c r="C11096" t="s">
        <v>16385</v>
      </c>
      <c r="D11096" t="s">
        <v>39992</v>
      </c>
      <c r="E11096" t="b">
        <v>0</v>
      </c>
      <c r="F11096" t="s">
        <v>11610</v>
      </c>
      <c r="L11096">
        <v>0</v>
      </c>
      <c r="M11096">
        <v>0</v>
      </c>
      <c r="N11096">
        <v>0</v>
      </c>
    </row>
    <row r="11097" spans="1:15">
      <c r="A11097" t="s">
        <v>39993</v>
      </c>
      <c r="B11097" t="s">
        <v>367</v>
      </c>
      <c r="C11097" t="s">
        <v>16019</v>
      </c>
      <c r="D11097" t="s">
        <v>39994</v>
      </c>
      <c r="E11097" t="b">
        <v>0</v>
      </c>
      <c r="F11097" t="s">
        <v>11610</v>
      </c>
      <c r="L11097">
        <v>0</v>
      </c>
      <c r="M11097">
        <v>0</v>
      </c>
      <c r="N11097">
        <v>2</v>
      </c>
    </row>
    <row r="11098" spans="1:15">
      <c r="A11098" t="s">
        <v>39995</v>
      </c>
      <c r="B11098" t="s">
        <v>367</v>
      </c>
      <c r="C11098" t="s">
        <v>39993</v>
      </c>
      <c r="D11098" t="s">
        <v>39996</v>
      </c>
      <c r="E11098" t="b">
        <v>0</v>
      </c>
      <c r="F11098" t="s">
        <v>11610</v>
      </c>
      <c r="L11098">
        <v>0</v>
      </c>
      <c r="M11098">
        <v>0</v>
      </c>
      <c r="N11098">
        <v>0</v>
      </c>
    </row>
    <row r="11099" spans="1:15">
      <c r="A11099" t="s">
        <v>39997</v>
      </c>
      <c r="B11099" t="s">
        <v>11607</v>
      </c>
      <c r="C11099" t="s">
        <v>19488</v>
      </c>
      <c r="D11099" t="s">
        <v>39998</v>
      </c>
      <c r="E11099" t="b">
        <v>0</v>
      </c>
      <c r="F11099" t="s">
        <v>11610</v>
      </c>
      <c r="L11099">
        <v>0</v>
      </c>
      <c r="M11099">
        <v>0</v>
      </c>
      <c r="N11099">
        <v>0</v>
      </c>
    </row>
    <row r="11100" spans="1:15">
      <c r="A11100" t="s">
        <v>39999</v>
      </c>
      <c r="B11100" t="s">
        <v>6742</v>
      </c>
      <c r="C11100" t="s">
        <v>25189</v>
      </c>
      <c r="D11100" t="s">
        <v>40000</v>
      </c>
      <c r="E11100" t="b">
        <v>0</v>
      </c>
      <c r="F11100" t="s">
        <v>11610</v>
      </c>
      <c r="L11100">
        <v>0</v>
      </c>
      <c r="M11100">
        <v>0</v>
      </c>
      <c r="N11100">
        <v>0</v>
      </c>
    </row>
    <row r="11101" spans="1:15">
      <c r="A11101" t="s">
        <v>40001</v>
      </c>
      <c r="B11101" t="s">
        <v>6742</v>
      </c>
      <c r="C11101" t="s">
        <v>39888</v>
      </c>
      <c r="D11101" t="s">
        <v>40002</v>
      </c>
      <c r="E11101" t="b">
        <v>0</v>
      </c>
      <c r="F11101" t="s">
        <v>11624</v>
      </c>
      <c r="G11101">
        <v>5.9883199999999999</v>
      </c>
      <c r="H11101">
        <v>8.2086100000000002</v>
      </c>
      <c r="I11101" t="s">
        <v>40003</v>
      </c>
      <c r="L11101">
        <v>0</v>
      </c>
      <c r="M11101">
        <v>0</v>
      </c>
      <c r="N11101">
        <v>0</v>
      </c>
      <c r="O11101" t="s">
        <v>11693</v>
      </c>
    </row>
    <row r="11102" spans="1:15">
      <c r="A11102" t="s">
        <v>40004</v>
      </c>
      <c r="B11102" t="s">
        <v>367</v>
      </c>
      <c r="C11102" t="s">
        <v>19130</v>
      </c>
      <c r="D11102" t="s">
        <v>40005</v>
      </c>
      <c r="E11102" t="b">
        <v>0</v>
      </c>
      <c r="F11102" t="s">
        <v>11610</v>
      </c>
      <c r="L11102">
        <v>0</v>
      </c>
      <c r="M11102">
        <v>0</v>
      </c>
      <c r="N11102">
        <v>0</v>
      </c>
    </row>
    <row r="11103" spans="1:15">
      <c r="A11103" t="s">
        <v>12742</v>
      </c>
      <c r="B11103" t="s">
        <v>12311</v>
      </c>
      <c r="C11103" t="s">
        <v>12312</v>
      </c>
      <c r="D11103" t="s">
        <v>40006</v>
      </c>
      <c r="E11103" t="b">
        <v>0</v>
      </c>
      <c r="F11103" t="s">
        <v>11624</v>
      </c>
      <c r="G11103">
        <v>41.515700000000002</v>
      </c>
      <c r="H11103">
        <v>47.895099999999999</v>
      </c>
      <c r="I11103" t="s">
        <v>40007</v>
      </c>
      <c r="L11103">
        <v>0</v>
      </c>
      <c r="M11103">
        <v>0</v>
      </c>
      <c r="N11103">
        <v>8</v>
      </c>
      <c r="O11103" t="s">
        <v>39083</v>
      </c>
    </row>
    <row r="11104" spans="1:15">
      <c r="A11104" t="s">
        <v>14428</v>
      </c>
      <c r="B11104" t="s">
        <v>12311</v>
      </c>
      <c r="C11104" t="s">
        <v>15242</v>
      </c>
      <c r="D11104" t="s">
        <v>40008</v>
      </c>
      <c r="E11104" t="b">
        <v>0</v>
      </c>
      <c r="F11104" t="s">
        <v>11622</v>
      </c>
      <c r="L11104">
        <v>7</v>
      </c>
      <c r="M11104">
        <v>10</v>
      </c>
      <c r="N11104">
        <v>29</v>
      </c>
    </row>
    <row r="11105" spans="1:15">
      <c r="A11105" t="s">
        <v>40009</v>
      </c>
      <c r="B11105" t="s">
        <v>11644</v>
      </c>
      <c r="C11105" t="s">
        <v>31157</v>
      </c>
      <c r="D11105" t="s">
        <v>40010</v>
      </c>
      <c r="E11105" t="b">
        <v>0</v>
      </c>
      <c r="F11105" t="s">
        <v>11624</v>
      </c>
      <c r="G11105">
        <v>26.913499999999999</v>
      </c>
      <c r="H11105">
        <v>89.309899999999999</v>
      </c>
      <c r="I11105" t="s">
        <v>40011</v>
      </c>
      <c r="L11105">
        <v>0</v>
      </c>
      <c r="M11105">
        <v>0</v>
      </c>
      <c r="N11105">
        <v>0</v>
      </c>
      <c r="O11105" t="s">
        <v>12020</v>
      </c>
    </row>
    <row r="11106" spans="1:15">
      <c r="A11106" t="s">
        <v>40012</v>
      </c>
      <c r="B11106" t="s">
        <v>11644</v>
      </c>
      <c r="C11106" t="s">
        <v>24313</v>
      </c>
      <c r="D11106" t="s">
        <v>40013</v>
      </c>
      <c r="E11106" t="b">
        <v>0</v>
      </c>
      <c r="F11106" t="s">
        <v>11610</v>
      </c>
      <c r="L11106">
        <v>0</v>
      </c>
      <c r="M11106">
        <v>0</v>
      </c>
      <c r="N11106">
        <v>0</v>
      </c>
    </row>
    <row r="11107" spans="1:15">
      <c r="A11107" t="s">
        <v>40014</v>
      </c>
      <c r="B11107" t="s">
        <v>11644</v>
      </c>
      <c r="C11107" t="s">
        <v>25165</v>
      </c>
      <c r="D11107" t="s">
        <v>40015</v>
      </c>
      <c r="E11107" t="b">
        <v>0</v>
      </c>
      <c r="F11107" t="s">
        <v>11624</v>
      </c>
      <c r="G11107">
        <v>27.594799999999999</v>
      </c>
      <c r="H11107">
        <v>87.716099999999997</v>
      </c>
      <c r="I11107" t="s">
        <v>40016</v>
      </c>
      <c r="L11107">
        <v>0</v>
      </c>
      <c r="M11107">
        <v>0</v>
      </c>
      <c r="N11107">
        <v>0</v>
      </c>
      <c r="O11107" t="s">
        <v>40017</v>
      </c>
    </row>
    <row r="11108" spans="1:15">
      <c r="A11108" t="s">
        <v>40018</v>
      </c>
      <c r="B11108" t="s">
        <v>11644</v>
      </c>
      <c r="C11108" t="s">
        <v>40019</v>
      </c>
      <c r="D11108" t="s">
        <v>40020</v>
      </c>
      <c r="E11108" t="b">
        <v>0</v>
      </c>
      <c r="F11108" t="s">
        <v>11610</v>
      </c>
      <c r="L11108">
        <v>0</v>
      </c>
      <c r="M11108">
        <v>0</v>
      </c>
      <c r="N11108">
        <v>0</v>
      </c>
    </row>
    <row r="11109" spans="1:15">
      <c r="A11109" t="s">
        <v>40021</v>
      </c>
      <c r="B11109" t="s">
        <v>367</v>
      </c>
      <c r="C11109" t="s">
        <v>36598</v>
      </c>
      <c r="D11109" t="s">
        <v>40022</v>
      </c>
      <c r="E11109" t="b">
        <v>0</v>
      </c>
      <c r="F11109" t="s">
        <v>11624</v>
      </c>
      <c r="G11109">
        <v>-5.3226800000000001</v>
      </c>
      <c r="H11109">
        <v>122.699</v>
      </c>
      <c r="I11109" t="s">
        <v>40023</v>
      </c>
      <c r="L11109">
        <v>0</v>
      </c>
      <c r="M11109">
        <v>0</v>
      </c>
      <c r="N11109">
        <v>0</v>
      </c>
      <c r="O11109" t="s">
        <v>11768</v>
      </c>
    </row>
    <row r="11110" spans="1:15">
      <c r="A11110" t="s">
        <v>40024</v>
      </c>
      <c r="B11110" t="s">
        <v>367</v>
      </c>
      <c r="C11110" t="s">
        <v>40025</v>
      </c>
      <c r="D11110" t="s">
        <v>40026</v>
      </c>
      <c r="E11110" t="b">
        <v>0</v>
      </c>
      <c r="F11110" t="s">
        <v>11610</v>
      </c>
      <c r="L11110">
        <v>0</v>
      </c>
      <c r="M11110">
        <v>0</v>
      </c>
      <c r="N11110">
        <v>0</v>
      </c>
    </row>
    <row r="11111" spans="1:15">
      <c r="A11111" t="s">
        <v>40027</v>
      </c>
      <c r="B11111" t="s">
        <v>367</v>
      </c>
      <c r="C11111" t="s">
        <v>17951</v>
      </c>
      <c r="D11111" t="s">
        <v>40028</v>
      </c>
      <c r="E11111" t="b">
        <v>0</v>
      </c>
      <c r="F11111" t="s">
        <v>11610</v>
      </c>
      <c r="L11111">
        <v>0</v>
      </c>
      <c r="M11111">
        <v>0</v>
      </c>
      <c r="N11111">
        <v>0</v>
      </c>
    </row>
    <row r="11112" spans="1:15">
      <c r="A11112" t="s">
        <v>40029</v>
      </c>
      <c r="B11112" t="s">
        <v>11644</v>
      </c>
      <c r="C11112" t="s">
        <v>40030</v>
      </c>
      <c r="D11112" t="s">
        <v>40031</v>
      </c>
      <c r="E11112" t="b">
        <v>0</v>
      </c>
      <c r="F11112" t="s">
        <v>11624</v>
      </c>
      <c r="G11112">
        <v>25.16</v>
      </c>
      <c r="H11112">
        <v>93.542000000000002</v>
      </c>
      <c r="I11112" t="s">
        <v>40032</v>
      </c>
      <c r="L11112">
        <v>0</v>
      </c>
      <c r="M11112">
        <v>0</v>
      </c>
      <c r="N11112">
        <v>0</v>
      </c>
      <c r="O11112" t="s">
        <v>11630</v>
      </c>
    </row>
    <row r="11113" spans="1:15">
      <c r="A11113" t="s">
        <v>40033</v>
      </c>
      <c r="B11113" t="s">
        <v>5126</v>
      </c>
      <c r="C11113" t="s">
        <v>19778</v>
      </c>
      <c r="D11113" t="s">
        <v>40034</v>
      </c>
      <c r="E11113" t="b">
        <v>0</v>
      </c>
      <c r="F11113" t="s">
        <v>11624</v>
      </c>
      <c r="G11113">
        <v>24.5</v>
      </c>
      <c r="H11113">
        <v>112.05</v>
      </c>
      <c r="I11113" t="s">
        <v>40035</v>
      </c>
      <c r="L11113">
        <v>0</v>
      </c>
      <c r="M11113">
        <v>0</v>
      </c>
      <c r="N11113">
        <v>0</v>
      </c>
      <c r="O11113" t="s">
        <v>11905</v>
      </c>
    </row>
    <row r="11114" spans="1:15">
      <c r="A11114" t="s">
        <v>40036</v>
      </c>
      <c r="B11114" t="s">
        <v>5058</v>
      </c>
      <c r="C11114" t="s">
        <v>40037</v>
      </c>
      <c r="D11114" t="s">
        <v>40038</v>
      </c>
      <c r="E11114" t="b">
        <v>0</v>
      </c>
      <c r="F11114" t="s">
        <v>11610</v>
      </c>
      <c r="L11114">
        <v>0</v>
      </c>
      <c r="M11114">
        <v>0</v>
      </c>
      <c r="N11114">
        <v>0</v>
      </c>
    </row>
    <row r="11115" spans="1:15">
      <c r="A11115" t="s">
        <v>40039</v>
      </c>
      <c r="B11115" t="s">
        <v>367</v>
      </c>
      <c r="C11115" t="s">
        <v>40040</v>
      </c>
      <c r="D11115" t="s">
        <v>40041</v>
      </c>
      <c r="E11115" t="b">
        <v>0</v>
      </c>
      <c r="F11115" t="s">
        <v>11610</v>
      </c>
      <c r="L11115">
        <v>0</v>
      </c>
      <c r="M11115">
        <v>0</v>
      </c>
      <c r="N11115">
        <v>0</v>
      </c>
    </row>
    <row r="11116" spans="1:15">
      <c r="A11116" t="s">
        <v>36841</v>
      </c>
      <c r="B11116" t="s">
        <v>367</v>
      </c>
      <c r="C11116" t="s">
        <v>17974</v>
      </c>
      <c r="D11116" t="s">
        <v>40042</v>
      </c>
      <c r="E11116" t="b">
        <v>0</v>
      </c>
      <c r="F11116" t="s">
        <v>11624</v>
      </c>
      <c r="G11116">
        <v>-3.1183200000000002</v>
      </c>
      <c r="H11116">
        <v>129.899</v>
      </c>
      <c r="I11116" t="s">
        <v>40043</v>
      </c>
      <c r="L11116">
        <v>0</v>
      </c>
      <c r="M11116">
        <v>0</v>
      </c>
      <c r="N11116">
        <v>3</v>
      </c>
      <c r="O11116" t="s">
        <v>11768</v>
      </c>
    </row>
    <row r="11117" spans="1:15">
      <c r="A11117" t="s">
        <v>40044</v>
      </c>
      <c r="B11117" t="s">
        <v>5126</v>
      </c>
      <c r="C11117" t="s">
        <v>34622</v>
      </c>
      <c r="D11117" t="s">
        <v>40045</v>
      </c>
      <c r="E11117" t="b">
        <v>0</v>
      </c>
      <c r="F11117" t="s">
        <v>11624</v>
      </c>
      <c r="L11117">
        <v>0</v>
      </c>
      <c r="M11117">
        <v>0</v>
      </c>
      <c r="N11117">
        <v>0</v>
      </c>
      <c r="O11117" t="s">
        <v>11905</v>
      </c>
    </row>
    <row r="11118" spans="1:15">
      <c r="A11118" t="s">
        <v>40046</v>
      </c>
      <c r="B11118" t="s">
        <v>11644</v>
      </c>
      <c r="C11118" t="s">
        <v>11889</v>
      </c>
      <c r="D11118" t="s">
        <v>40047</v>
      </c>
      <c r="E11118" t="b">
        <v>0</v>
      </c>
      <c r="F11118" t="s">
        <v>11624</v>
      </c>
      <c r="L11118">
        <v>0</v>
      </c>
      <c r="M11118">
        <v>0</v>
      </c>
      <c r="N11118">
        <v>0</v>
      </c>
      <c r="O11118" t="s">
        <v>11905</v>
      </c>
    </row>
    <row r="11119" spans="1:15">
      <c r="A11119" t="s">
        <v>40048</v>
      </c>
      <c r="B11119" t="s">
        <v>11644</v>
      </c>
      <c r="C11119" t="s">
        <v>22290</v>
      </c>
      <c r="D11119" t="s">
        <v>40049</v>
      </c>
      <c r="E11119" t="b">
        <v>0</v>
      </c>
      <c r="F11119" t="s">
        <v>11610</v>
      </c>
      <c r="G11119">
        <v>25.566666999999999</v>
      </c>
      <c r="H11119">
        <v>116.783333</v>
      </c>
      <c r="L11119">
        <v>0</v>
      </c>
      <c r="M11119">
        <v>0</v>
      </c>
      <c r="N11119">
        <v>0</v>
      </c>
    </row>
    <row r="11120" spans="1:15">
      <c r="A11120" t="s">
        <v>40050</v>
      </c>
      <c r="B11120" t="s">
        <v>6742</v>
      </c>
      <c r="C11120" t="s">
        <v>34508</v>
      </c>
      <c r="D11120" t="s">
        <v>40051</v>
      </c>
      <c r="E11120" t="b">
        <v>0</v>
      </c>
      <c r="F11120" t="s">
        <v>11610</v>
      </c>
      <c r="L11120">
        <v>0</v>
      </c>
      <c r="M11120">
        <v>0</v>
      </c>
      <c r="N11120">
        <v>0</v>
      </c>
    </row>
    <row r="11121" spans="1:15">
      <c r="A11121" t="s">
        <v>40052</v>
      </c>
      <c r="B11121" t="s">
        <v>367</v>
      </c>
      <c r="C11121" t="s">
        <v>17115</v>
      </c>
      <c r="D11121" t="s">
        <v>40053</v>
      </c>
      <c r="E11121" t="b">
        <v>0</v>
      </c>
      <c r="F11121" t="s">
        <v>11610</v>
      </c>
      <c r="L11121">
        <v>0</v>
      </c>
      <c r="M11121">
        <v>0</v>
      </c>
      <c r="N11121">
        <v>0</v>
      </c>
    </row>
    <row r="11122" spans="1:15">
      <c r="A11122" t="s">
        <v>40054</v>
      </c>
      <c r="B11122" t="s">
        <v>367</v>
      </c>
      <c r="C11122" t="s">
        <v>366</v>
      </c>
      <c r="D11122" t="s">
        <v>40055</v>
      </c>
      <c r="E11122" t="b">
        <v>0</v>
      </c>
      <c r="F11122" t="s">
        <v>11610</v>
      </c>
      <c r="L11122">
        <v>0</v>
      </c>
      <c r="M11122">
        <v>0</v>
      </c>
      <c r="N11122">
        <v>0</v>
      </c>
    </row>
    <row r="11123" spans="1:15">
      <c r="A11123" t="s">
        <v>40056</v>
      </c>
      <c r="B11123" t="s">
        <v>13450</v>
      </c>
      <c r="C11123" t="s">
        <v>13451</v>
      </c>
      <c r="D11123" t="s">
        <v>40057</v>
      </c>
      <c r="E11123" t="b">
        <v>0</v>
      </c>
      <c r="F11123" t="s">
        <v>11624</v>
      </c>
      <c r="G11123">
        <v>6.423</v>
      </c>
      <c r="H11123">
        <v>-10.5284</v>
      </c>
      <c r="I11123" t="s">
        <v>40058</v>
      </c>
      <c r="L11123">
        <v>0</v>
      </c>
      <c r="M11123">
        <v>0</v>
      </c>
      <c r="N11123">
        <v>0</v>
      </c>
      <c r="O11123" t="s">
        <v>17011</v>
      </c>
    </row>
    <row r="11124" spans="1:15">
      <c r="A11124" t="s">
        <v>40059</v>
      </c>
      <c r="B11124" t="s">
        <v>13276</v>
      </c>
      <c r="C11124" t="s">
        <v>30011</v>
      </c>
      <c r="D11124" t="s">
        <v>40060</v>
      </c>
      <c r="E11124" t="b">
        <v>0</v>
      </c>
      <c r="F11124" t="s">
        <v>11624</v>
      </c>
      <c r="G11124">
        <v>6.9204800000000004</v>
      </c>
      <c r="H11124">
        <v>-9.9612800000000004</v>
      </c>
      <c r="I11124" t="s">
        <v>40061</v>
      </c>
      <c r="L11124">
        <v>0</v>
      </c>
      <c r="M11124">
        <v>0</v>
      </c>
      <c r="N11124">
        <v>0</v>
      </c>
      <c r="O11124" t="s">
        <v>30014</v>
      </c>
    </row>
    <row r="11125" spans="1:15">
      <c r="A11125" t="s">
        <v>40062</v>
      </c>
      <c r="B11125" t="s">
        <v>6742</v>
      </c>
      <c r="C11125" t="s">
        <v>40063</v>
      </c>
      <c r="D11125" t="s">
        <v>40064</v>
      </c>
      <c r="E11125" t="b">
        <v>0</v>
      </c>
      <c r="F11125" t="s">
        <v>11622</v>
      </c>
      <c r="L11125">
        <v>0</v>
      </c>
      <c r="M11125">
        <v>2</v>
      </c>
      <c r="N11125">
        <v>5</v>
      </c>
    </row>
    <row r="11126" spans="1:15">
      <c r="A11126" t="s">
        <v>19496</v>
      </c>
      <c r="B11126" t="s">
        <v>6742</v>
      </c>
      <c r="C11126" t="s">
        <v>19292</v>
      </c>
      <c r="D11126" t="s">
        <v>40065</v>
      </c>
      <c r="E11126" t="b">
        <v>0</v>
      </c>
      <c r="F11126" t="s">
        <v>11624</v>
      </c>
      <c r="G11126">
        <v>1.97729</v>
      </c>
      <c r="H11126">
        <v>18.8886</v>
      </c>
      <c r="I11126" t="s">
        <v>40066</v>
      </c>
      <c r="L11126">
        <v>0</v>
      </c>
      <c r="M11126">
        <v>0</v>
      </c>
      <c r="N11126">
        <v>3</v>
      </c>
      <c r="O11126" t="s">
        <v>14825</v>
      </c>
    </row>
    <row r="11127" spans="1:15">
      <c r="A11127" t="s">
        <v>40067</v>
      </c>
      <c r="B11127" t="s">
        <v>13276</v>
      </c>
      <c r="C11127" t="s">
        <v>20688</v>
      </c>
      <c r="D11127" t="s">
        <v>40068</v>
      </c>
      <c r="E11127" t="b">
        <v>0</v>
      </c>
      <c r="F11127" t="s">
        <v>11610</v>
      </c>
      <c r="L11127">
        <v>0</v>
      </c>
      <c r="M11127">
        <v>0</v>
      </c>
      <c r="N11127">
        <v>0</v>
      </c>
    </row>
    <row r="11128" spans="1:15">
      <c r="A11128" t="s">
        <v>40069</v>
      </c>
      <c r="B11128" t="s">
        <v>11607</v>
      </c>
      <c r="C11128" t="s">
        <v>30491</v>
      </c>
      <c r="D11128" t="s">
        <v>40070</v>
      </c>
      <c r="E11128" t="b">
        <v>0</v>
      </c>
      <c r="F11128" t="s">
        <v>11624</v>
      </c>
      <c r="G11128">
        <v>8.0976099999999995</v>
      </c>
      <c r="H11128">
        <v>38.499699999999997</v>
      </c>
      <c r="I11128" t="s">
        <v>40071</v>
      </c>
      <c r="L11128">
        <v>0</v>
      </c>
      <c r="M11128">
        <v>0</v>
      </c>
      <c r="N11128">
        <v>0</v>
      </c>
      <c r="O11128" t="s">
        <v>11625</v>
      </c>
    </row>
    <row r="11129" spans="1:15">
      <c r="A11129" t="s">
        <v>40063</v>
      </c>
      <c r="B11129" t="s">
        <v>6742</v>
      </c>
      <c r="C11129" t="s">
        <v>19013</v>
      </c>
      <c r="D11129" t="s">
        <v>40072</v>
      </c>
      <c r="E11129" t="b">
        <v>0</v>
      </c>
      <c r="F11129" t="s">
        <v>11622</v>
      </c>
      <c r="L11129">
        <v>2</v>
      </c>
      <c r="M11129">
        <v>6</v>
      </c>
      <c r="N11129">
        <v>8</v>
      </c>
    </row>
    <row r="11130" spans="1:15">
      <c r="A11130" t="s">
        <v>19292</v>
      </c>
      <c r="B11130" t="s">
        <v>6742</v>
      </c>
      <c r="C11130" t="s">
        <v>40063</v>
      </c>
      <c r="D11130" t="s">
        <v>40073</v>
      </c>
      <c r="E11130" t="b">
        <v>0</v>
      </c>
      <c r="F11130" t="s">
        <v>11622</v>
      </c>
      <c r="L11130">
        <v>0</v>
      </c>
      <c r="M11130">
        <v>4</v>
      </c>
      <c r="N11130">
        <v>3</v>
      </c>
    </row>
    <row r="11131" spans="1:15">
      <c r="A11131" t="s">
        <v>40074</v>
      </c>
      <c r="B11131" t="s">
        <v>367</v>
      </c>
      <c r="C11131" t="s">
        <v>12974</v>
      </c>
      <c r="D11131" t="s">
        <v>40075</v>
      </c>
      <c r="E11131" t="b">
        <v>0</v>
      </c>
      <c r="F11131" t="s">
        <v>11610</v>
      </c>
      <c r="G11131">
        <v>13.17</v>
      </c>
      <c r="H11131">
        <v>123.5</v>
      </c>
      <c r="I11131" t="s">
        <v>40076</v>
      </c>
      <c r="L11131">
        <v>0</v>
      </c>
      <c r="M11131">
        <v>0</v>
      </c>
      <c r="N11131">
        <v>0</v>
      </c>
    </row>
    <row r="11132" spans="1:15">
      <c r="A11132" t="s">
        <v>40077</v>
      </c>
      <c r="B11132" t="s">
        <v>11981</v>
      </c>
      <c r="C11132" t="s">
        <v>14250</v>
      </c>
      <c r="D11132" t="s">
        <v>40078</v>
      </c>
      <c r="E11132" t="b">
        <v>0</v>
      </c>
      <c r="F11132" t="s">
        <v>11624</v>
      </c>
      <c r="G11132">
        <v>29.512</v>
      </c>
      <c r="H11132">
        <v>17.573</v>
      </c>
      <c r="I11132" t="s">
        <v>40079</v>
      </c>
      <c r="L11132">
        <v>0</v>
      </c>
      <c r="M11132">
        <v>0</v>
      </c>
      <c r="N11132">
        <v>0</v>
      </c>
      <c r="O11132" t="s">
        <v>15387</v>
      </c>
    </row>
    <row r="11133" spans="1:15">
      <c r="A11133" t="s">
        <v>26452</v>
      </c>
      <c r="B11133" t="s">
        <v>11607</v>
      </c>
      <c r="C11133" t="s">
        <v>13031</v>
      </c>
      <c r="D11133" t="s">
        <v>40080</v>
      </c>
      <c r="E11133" t="b">
        <v>0</v>
      </c>
      <c r="F11133" t="s">
        <v>11624</v>
      </c>
      <c r="G11133">
        <v>22.0032</v>
      </c>
      <c r="H11133">
        <v>15.0014</v>
      </c>
      <c r="I11133" t="s">
        <v>40081</v>
      </c>
      <c r="L11133">
        <v>0</v>
      </c>
      <c r="M11133">
        <v>0</v>
      </c>
      <c r="N11133">
        <v>4</v>
      </c>
      <c r="O11133" t="s">
        <v>40082</v>
      </c>
    </row>
    <row r="11134" spans="1:15">
      <c r="A11134" t="s">
        <v>40083</v>
      </c>
      <c r="B11134" t="s">
        <v>11644</v>
      </c>
      <c r="C11134" t="s">
        <v>39421</v>
      </c>
      <c r="D11134" t="s">
        <v>40084</v>
      </c>
      <c r="E11134" t="b">
        <v>0</v>
      </c>
      <c r="F11134" t="s">
        <v>11610</v>
      </c>
      <c r="L11134">
        <v>0</v>
      </c>
      <c r="M11134">
        <v>0</v>
      </c>
      <c r="N11134">
        <v>0</v>
      </c>
    </row>
    <row r="11135" spans="1:15">
      <c r="A11135" t="s">
        <v>40085</v>
      </c>
      <c r="B11135" t="s">
        <v>6742</v>
      </c>
      <c r="C11135" t="s">
        <v>37298</v>
      </c>
      <c r="D11135" t="s">
        <v>40086</v>
      </c>
      <c r="E11135" t="b">
        <v>0</v>
      </c>
      <c r="F11135" t="s">
        <v>11610</v>
      </c>
      <c r="L11135">
        <v>0</v>
      </c>
      <c r="M11135">
        <v>0</v>
      </c>
      <c r="N11135">
        <v>0</v>
      </c>
    </row>
    <row r="11136" spans="1:15">
      <c r="A11136" t="s">
        <v>40087</v>
      </c>
      <c r="B11136" t="s">
        <v>11637</v>
      </c>
      <c r="C11136" t="s">
        <v>18116</v>
      </c>
      <c r="D11136" t="s">
        <v>40088</v>
      </c>
      <c r="E11136" t="b">
        <v>0</v>
      </c>
      <c r="F11136" t="s">
        <v>11610</v>
      </c>
      <c r="L11136">
        <v>0</v>
      </c>
      <c r="M11136">
        <v>0</v>
      </c>
      <c r="N11136">
        <v>0</v>
      </c>
    </row>
    <row r="11137" spans="1:15">
      <c r="A11137" t="s">
        <v>40089</v>
      </c>
      <c r="B11137" t="s">
        <v>367</v>
      </c>
      <c r="C11137" t="s">
        <v>12974</v>
      </c>
      <c r="D11137" t="s">
        <v>40090</v>
      </c>
      <c r="E11137" t="b">
        <v>0</v>
      </c>
      <c r="F11137" t="s">
        <v>11610</v>
      </c>
      <c r="L11137">
        <v>0</v>
      </c>
      <c r="M11137">
        <v>0</v>
      </c>
      <c r="N11137">
        <v>0</v>
      </c>
    </row>
    <row r="11138" spans="1:15">
      <c r="A11138" t="s">
        <v>40091</v>
      </c>
      <c r="B11138" t="s">
        <v>6742</v>
      </c>
      <c r="C11138" t="s">
        <v>37298</v>
      </c>
      <c r="D11138" t="s">
        <v>40092</v>
      </c>
      <c r="E11138" t="b">
        <v>0</v>
      </c>
      <c r="F11138" t="s">
        <v>11610</v>
      </c>
      <c r="L11138">
        <v>0</v>
      </c>
      <c r="M11138">
        <v>0</v>
      </c>
      <c r="N11138">
        <v>0</v>
      </c>
    </row>
    <row r="11139" spans="1:15">
      <c r="A11139" t="s">
        <v>15103</v>
      </c>
      <c r="B11139" t="s">
        <v>13276</v>
      </c>
      <c r="C11139" t="s">
        <v>33634</v>
      </c>
      <c r="D11139" t="s">
        <v>40093</v>
      </c>
      <c r="E11139" t="b">
        <v>0</v>
      </c>
      <c r="F11139" t="s">
        <v>11624</v>
      </c>
      <c r="G11139">
        <v>7.9429100000000004</v>
      </c>
      <c r="H11139">
        <v>-2.5635300000000001</v>
      </c>
      <c r="I11139" t="s">
        <v>40094</v>
      </c>
      <c r="L11139">
        <v>0</v>
      </c>
      <c r="M11139">
        <v>0</v>
      </c>
      <c r="N11139">
        <v>6</v>
      </c>
      <c r="O11139" t="s">
        <v>11820</v>
      </c>
    </row>
    <row r="11140" spans="1:15">
      <c r="A11140" t="s">
        <v>18028</v>
      </c>
      <c r="B11140" t="s">
        <v>6742</v>
      </c>
      <c r="C11140" t="s">
        <v>40095</v>
      </c>
      <c r="D11140" t="s">
        <v>40096</v>
      </c>
      <c r="E11140" t="b">
        <v>0</v>
      </c>
      <c r="F11140" t="s">
        <v>11624</v>
      </c>
      <c r="G11140">
        <v>2.8616799999999998</v>
      </c>
      <c r="H11140">
        <v>22.493600000000001</v>
      </c>
      <c r="I11140" t="s">
        <v>40097</v>
      </c>
      <c r="L11140">
        <v>0</v>
      </c>
      <c r="M11140">
        <v>0</v>
      </c>
      <c r="N11140">
        <v>4</v>
      </c>
      <c r="O11140" t="s">
        <v>14825</v>
      </c>
    </row>
    <row r="11141" spans="1:15">
      <c r="A11141" t="s">
        <v>40098</v>
      </c>
      <c r="B11141" t="s">
        <v>12204</v>
      </c>
      <c r="C11141" t="s">
        <v>40099</v>
      </c>
      <c r="D11141" t="s">
        <v>40100</v>
      </c>
      <c r="E11141" t="b">
        <v>0</v>
      </c>
      <c r="F11141" t="s">
        <v>11624</v>
      </c>
      <c r="L11141">
        <v>0</v>
      </c>
      <c r="M11141">
        <v>0</v>
      </c>
      <c r="N11141">
        <v>0</v>
      </c>
      <c r="O11141" t="s">
        <v>12107</v>
      </c>
    </row>
    <row r="11142" spans="1:15">
      <c r="A11142" t="s">
        <v>9058</v>
      </c>
      <c r="B11142" t="s">
        <v>11757</v>
      </c>
      <c r="C11142" t="s">
        <v>9059</v>
      </c>
      <c r="D11142" t="s">
        <v>40101</v>
      </c>
      <c r="E11142" t="b">
        <v>0</v>
      </c>
      <c r="F11142" t="s">
        <v>11610</v>
      </c>
      <c r="L11142">
        <v>0</v>
      </c>
      <c r="M11142">
        <v>0</v>
      </c>
      <c r="N11142">
        <v>0</v>
      </c>
    </row>
    <row r="11143" spans="1:15">
      <c r="A11143" t="s">
        <v>40102</v>
      </c>
      <c r="B11143" t="s">
        <v>6742</v>
      </c>
      <c r="C11143" t="s">
        <v>1627</v>
      </c>
      <c r="D11143" t="s">
        <v>40103</v>
      </c>
      <c r="E11143" t="b">
        <v>0</v>
      </c>
      <c r="F11143" t="s">
        <v>11610</v>
      </c>
      <c r="L11143">
        <v>0</v>
      </c>
      <c r="M11143">
        <v>0</v>
      </c>
      <c r="N11143">
        <v>0</v>
      </c>
    </row>
    <row r="11144" spans="1:15">
      <c r="A11144" t="s">
        <v>29049</v>
      </c>
      <c r="B11144" t="s">
        <v>11637</v>
      </c>
      <c r="C11144" t="s">
        <v>27138</v>
      </c>
      <c r="D11144" t="s">
        <v>40104</v>
      </c>
      <c r="E11144" t="b">
        <v>0</v>
      </c>
      <c r="F11144" t="s">
        <v>11624</v>
      </c>
      <c r="G11144">
        <v>44.081600000000002</v>
      </c>
      <c r="H11144">
        <v>7.9052199999999999</v>
      </c>
      <c r="I11144" t="s">
        <v>40105</v>
      </c>
      <c r="L11144">
        <v>0</v>
      </c>
      <c r="M11144">
        <v>0</v>
      </c>
      <c r="N11144">
        <v>2</v>
      </c>
      <c r="O11144" t="s">
        <v>40106</v>
      </c>
    </row>
    <row r="11145" spans="1:15">
      <c r="A11145" t="s">
        <v>40107</v>
      </c>
      <c r="B11145" t="s">
        <v>17030</v>
      </c>
      <c r="C11145" t="s">
        <v>40108</v>
      </c>
      <c r="D11145" t="s">
        <v>40109</v>
      </c>
      <c r="E11145" t="b">
        <v>0</v>
      </c>
      <c r="F11145" t="s">
        <v>11610</v>
      </c>
      <c r="L11145">
        <v>0</v>
      </c>
      <c r="M11145">
        <v>0</v>
      </c>
      <c r="N11145">
        <v>0</v>
      </c>
    </row>
    <row r="11146" spans="1:15">
      <c r="A11146" t="s">
        <v>40110</v>
      </c>
      <c r="B11146" t="s">
        <v>13877</v>
      </c>
      <c r="C11146" t="s">
        <v>24522</v>
      </c>
      <c r="D11146" t="s">
        <v>40111</v>
      </c>
      <c r="E11146" t="b">
        <v>0</v>
      </c>
      <c r="F11146" t="s">
        <v>11610</v>
      </c>
      <c r="L11146">
        <v>0</v>
      </c>
      <c r="M11146">
        <v>0</v>
      </c>
      <c r="N11146">
        <v>0</v>
      </c>
    </row>
    <row r="11147" spans="1:15">
      <c r="A11147" t="s">
        <v>40112</v>
      </c>
      <c r="B11147" t="s">
        <v>367</v>
      </c>
      <c r="C11147" t="s">
        <v>40113</v>
      </c>
      <c r="D11147" t="s">
        <v>40114</v>
      </c>
      <c r="E11147" t="b">
        <v>0</v>
      </c>
      <c r="F11147" t="s">
        <v>11624</v>
      </c>
      <c r="G11147">
        <v>-3.1889500000000002</v>
      </c>
      <c r="H11147">
        <v>152.60599999999999</v>
      </c>
      <c r="I11147" t="s">
        <v>40115</v>
      </c>
      <c r="L11147">
        <v>0</v>
      </c>
      <c r="M11147">
        <v>0</v>
      </c>
      <c r="N11147">
        <v>0</v>
      </c>
      <c r="O11147" t="s">
        <v>11660</v>
      </c>
    </row>
    <row r="11148" spans="1:15">
      <c r="A11148" t="s">
        <v>40116</v>
      </c>
      <c r="B11148" t="s">
        <v>6742</v>
      </c>
      <c r="C11148" t="s">
        <v>32106</v>
      </c>
      <c r="D11148" t="s">
        <v>40117</v>
      </c>
      <c r="E11148" t="b">
        <v>0</v>
      </c>
      <c r="F11148" t="s">
        <v>11624</v>
      </c>
      <c r="G11148">
        <v>8.5219299999999993</v>
      </c>
      <c r="H11148">
        <v>8.35562</v>
      </c>
      <c r="I11148" t="s">
        <v>40118</v>
      </c>
      <c r="L11148">
        <v>0</v>
      </c>
      <c r="M11148">
        <v>0</v>
      </c>
      <c r="N11148">
        <v>0</v>
      </c>
      <c r="O11148" t="s">
        <v>11693</v>
      </c>
    </row>
    <row r="11149" spans="1:15">
      <c r="A11149" t="s">
        <v>40119</v>
      </c>
      <c r="B11149" t="s">
        <v>6742</v>
      </c>
      <c r="C11149" t="s">
        <v>39498</v>
      </c>
      <c r="D11149" t="s">
        <v>40120</v>
      </c>
      <c r="E11149" t="b">
        <v>0</v>
      </c>
      <c r="F11149" t="s">
        <v>11624</v>
      </c>
      <c r="G11149">
        <v>2.1377700000000002</v>
      </c>
      <c r="H11149">
        <v>27.608799999999999</v>
      </c>
      <c r="I11149" t="s">
        <v>40121</v>
      </c>
      <c r="L11149">
        <v>0</v>
      </c>
      <c r="M11149">
        <v>0</v>
      </c>
      <c r="N11149">
        <v>3</v>
      </c>
      <c r="O11149" t="s">
        <v>14825</v>
      </c>
    </row>
    <row r="11150" spans="1:15">
      <c r="A11150" t="s">
        <v>40122</v>
      </c>
      <c r="B11150" t="s">
        <v>6742</v>
      </c>
      <c r="C11150" t="s">
        <v>19190</v>
      </c>
      <c r="D11150" t="s">
        <v>40123</v>
      </c>
      <c r="E11150" t="b">
        <v>0</v>
      </c>
      <c r="F11150" t="s">
        <v>11610</v>
      </c>
      <c r="L11150">
        <v>0</v>
      </c>
      <c r="M11150">
        <v>0</v>
      </c>
      <c r="N11150">
        <v>0</v>
      </c>
    </row>
    <row r="11151" spans="1:15">
      <c r="A11151" t="s">
        <v>40124</v>
      </c>
      <c r="B11151" t="s">
        <v>6742</v>
      </c>
      <c r="C11151" t="s">
        <v>19172</v>
      </c>
      <c r="D11151" t="s">
        <v>40125</v>
      </c>
      <c r="E11151" t="b">
        <v>0</v>
      </c>
      <c r="F11151" t="s">
        <v>11610</v>
      </c>
      <c r="L11151">
        <v>0</v>
      </c>
      <c r="M11151">
        <v>0</v>
      </c>
      <c r="N11151">
        <v>0</v>
      </c>
    </row>
    <row r="11152" spans="1:15">
      <c r="A11152" t="s">
        <v>40126</v>
      </c>
      <c r="B11152" t="s">
        <v>6742</v>
      </c>
      <c r="C11152" t="s">
        <v>19292</v>
      </c>
      <c r="D11152" t="s">
        <v>40127</v>
      </c>
      <c r="E11152" t="b">
        <v>0</v>
      </c>
      <c r="F11152" t="s">
        <v>11624</v>
      </c>
      <c r="G11152">
        <v>1.7510600000000001</v>
      </c>
      <c r="H11152">
        <v>19.022200000000002</v>
      </c>
      <c r="I11152" t="s">
        <v>40128</v>
      </c>
      <c r="L11152">
        <v>0</v>
      </c>
      <c r="M11152">
        <v>0</v>
      </c>
      <c r="N11152">
        <v>0</v>
      </c>
      <c r="O11152" t="s">
        <v>14825</v>
      </c>
    </row>
    <row r="11153" spans="1:15">
      <c r="A11153" t="s">
        <v>40129</v>
      </c>
      <c r="B11153" t="s">
        <v>367</v>
      </c>
      <c r="C11153" t="s">
        <v>40130</v>
      </c>
      <c r="D11153" t="s">
        <v>40131</v>
      </c>
      <c r="E11153" t="b">
        <v>0</v>
      </c>
      <c r="F11153" t="s">
        <v>11624</v>
      </c>
      <c r="G11153">
        <v>-1.6065199999999999</v>
      </c>
      <c r="H11153">
        <v>138.73099999999999</v>
      </c>
      <c r="I11153" t="s">
        <v>40132</v>
      </c>
      <c r="L11153">
        <v>0</v>
      </c>
      <c r="M11153">
        <v>0</v>
      </c>
      <c r="N11153">
        <v>0</v>
      </c>
      <c r="O11153" t="s">
        <v>11768</v>
      </c>
    </row>
    <row r="11154" spans="1:15">
      <c r="A11154" t="s">
        <v>40133</v>
      </c>
      <c r="B11154" t="s">
        <v>12260</v>
      </c>
      <c r="C11154" t="s">
        <v>12261</v>
      </c>
      <c r="D11154" t="s">
        <v>40134</v>
      </c>
      <c r="E11154" t="b">
        <v>0</v>
      </c>
      <c r="F11154" t="s">
        <v>11610</v>
      </c>
      <c r="L11154">
        <v>0</v>
      </c>
      <c r="M11154">
        <v>0</v>
      </c>
      <c r="N11154">
        <v>0</v>
      </c>
    </row>
    <row r="11155" spans="1:15">
      <c r="A11155" t="s">
        <v>40135</v>
      </c>
      <c r="B11155" t="s">
        <v>6742</v>
      </c>
      <c r="C11155" t="s">
        <v>37298</v>
      </c>
      <c r="D11155" t="s">
        <v>40136</v>
      </c>
      <c r="E11155" t="b">
        <v>0</v>
      </c>
      <c r="F11155" t="s">
        <v>11610</v>
      </c>
      <c r="L11155">
        <v>0</v>
      </c>
      <c r="M11155">
        <v>0</v>
      </c>
      <c r="N11155">
        <v>0</v>
      </c>
    </row>
    <row r="11156" spans="1:15">
      <c r="A11156" t="s">
        <v>40137</v>
      </c>
      <c r="B11156" t="s">
        <v>6742</v>
      </c>
      <c r="C11156" t="s">
        <v>40119</v>
      </c>
      <c r="D11156" t="s">
        <v>40138</v>
      </c>
      <c r="E11156" t="b">
        <v>0</v>
      </c>
      <c r="F11156" t="s">
        <v>11610</v>
      </c>
      <c r="L11156">
        <v>0</v>
      </c>
      <c r="M11156">
        <v>0</v>
      </c>
      <c r="N11156">
        <v>0</v>
      </c>
    </row>
    <row r="11157" spans="1:15">
      <c r="A11157" t="s">
        <v>40139</v>
      </c>
      <c r="B11157" t="s">
        <v>6742</v>
      </c>
      <c r="C11157" t="s">
        <v>5536</v>
      </c>
      <c r="D11157" t="s">
        <v>40140</v>
      </c>
      <c r="E11157" t="b">
        <v>0</v>
      </c>
      <c r="F11157" t="s">
        <v>11610</v>
      </c>
      <c r="L11157">
        <v>0</v>
      </c>
      <c r="M11157">
        <v>0</v>
      </c>
      <c r="N11157">
        <v>0</v>
      </c>
    </row>
    <row r="11158" spans="1:15">
      <c r="A11158" t="s">
        <v>19363</v>
      </c>
      <c r="B11158" t="s">
        <v>6742</v>
      </c>
      <c r="C11158" t="s">
        <v>21841</v>
      </c>
      <c r="D11158" t="s">
        <v>40141</v>
      </c>
      <c r="E11158" t="b">
        <v>0</v>
      </c>
      <c r="F11158" t="s">
        <v>11622</v>
      </c>
      <c r="L11158">
        <v>2</v>
      </c>
      <c r="M11158">
        <v>10</v>
      </c>
      <c r="N11158">
        <v>17</v>
      </c>
    </row>
    <row r="11159" spans="1:15">
      <c r="A11159" t="s">
        <v>19350</v>
      </c>
      <c r="B11159" t="s">
        <v>6742</v>
      </c>
      <c r="C11159" t="s">
        <v>19186</v>
      </c>
      <c r="D11159" t="s">
        <v>40142</v>
      </c>
      <c r="E11159" t="b">
        <v>0</v>
      </c>
      <c r="F11159" t="s">
        <v>11622</v>
      </c>
      <c r="L11159">
        <v>0</v>
      </c>
      <c r="M11159">
        <v>2</v>
      </c>
      <c r="N11159">
        <v>3</v>
      </c>
    </row>
    <row r="11160" spans="1:15">
      <c r="A11160" t="s">
        <v>40143</v>
      </c>
      <c r="B11160" t="s">
        <v>6742</v>
      </c>
      <c r="C11160" t="s">
        <v>39751</v>
      </c>
      <c r="D11160" t="s">
        <v>40144</v>
      </c>
      <c r="E11160" t="b">
        <v>0</v>
      </c>
      <c r="F11160" t="s">
        <v>11622</v>
      </c>
      <c r="L11160">
        <v>0</v>
      </c>
      <c r="M11160">
        <v>2</v>
      </c>
      <c r="N11160">
        <v>2</v>
      </c>
    </row>
    <row r="11161" spans="1:15">
      <c r="A11161" t="s">
        <v>40145</v>
      </c>
      <c r="B11161" t="s">
        <v>6742</v>
      </c>
      <c r="C11161" t="s">
        <v>40146</v>
      </c>
      <c r="D11161" t="s">
        <v>40147</v>
      </c>
      <c r="E11161" t="b">
        <v>0</v>
      </c>
      <c r="F11161" t="s">
        <v>11624</v>
      </c>
      <c r="G11161">
        <v>-1.2793099999999999</v>
      </c>
      <c r="H11161">
        <v>16.470199999999998</v>
      </c>
      <c r="I11161" t="s">
        <v>40148</v>
      </c>
      <c r="L11161">
        <v>0</v>
      </c>
      <c r="M11161">
        <v>0</v>
      </c>
      <c r="N11161">
        <v>0</v>
      </c>
      <c r="O11161" t="s">
        <v>16337</v>
      </c>
    </row>
    <row r="11162" spans="1:15">
      <c r="A11162" t="s">
        <v>40149</v>
      </c>
      <c r="B11162" t="s">
        <v>367</v>
      </c>
      <c r="C11162" t="s">
        <v>36203</v>
      </c>
      <c r="D11162" t="s">
        <v>40150</v>
      </c>
      <c r="E11162" t="b">
        <v>0</v>
      </c>
      <c r="F11162" t="s">
        <v>11624</v>
      </c>
      <c r="G11162">
        <v>-2.1615700000000002</v>
      </c>
      <c r="H11162">
        <v>146.69499999999999</v>
      </c>
      <c r="I11162" t="s">
        <v>40151</v>
      </c>
      <c r="L11162">
        <v>0</v>
      </c>
      <c r="M11162">
        <v>0</v>
      </c>
      <c r="N11162">
        <v>0</v>
      </c>
      <c r="O11162" t="s">
        <v>11660</v>
      </c>
    </row>
    <row r="11163" spans="1:15">
      <c r="A11163" t="s">
        <v>40152</v>
      </c>
      <c r="B11163" t="s">
        <v>367</v>
      </c>
      <c r="C11163" t="s">
        <v>12554</v>
      </c>
      <c r="D11163" t="s">
        <v>40153</v>
      </c>
      <c r="E11163" t="b">
        <v>0</v>
      </c>
      <c r="F11163" t="s">
        <v>11610</v>
      </c>
      <c r="L11163">
        <v>0</v>
      </c>
      <c r="M11163">
        <v>0</v>
      </c>
      <c r="N11163">
        <v>0</v>
      </c>
    </row>
    <row r="11164" spans="1:15">
      <c r="A11164" t="s">
        <v>40154</v>
      </c>
      <c r="B11164" t="s">
        <v>6742</v>
      </c>
      <c r="C11164" t="s">
        <v>40146</v>
      </c>
      <c r="D11164" t="s">
        <v>40155</v>
      </c>
      <c r="E11164" t="b">
        <v>0</v>
      </c>
      <c r="F11164" t="s">
        <v>11624</v>
      </c>
      <c r="G11164">
        <v>-0.48981000000000002</v>
      </c>
      <c r="H11164">
        <v>16.596699999999998</v>
      </c>
      <c r="I11164" t="s">
        <v>40156</v>
      </c>
      <c r="L11164">
        <v>0</v>
      </c>
      <c r="M11164">
        <v>0</v>
      </c>
      <c r="N11164">
        <v>0</v>
      </c>
      <c r="O11164" t="s">
        <v>12868</v>
      </c>
    </row>
    <row r="11165" spans="1:15">
      <c r="A11165" t="s">
        <v>40146</v>
      </c>
      <c r="B11165" t="s">
        <v>6742</v>
      </c>
      <c r="C11165" t="s">
        <v>12865</v>
      </c>
      <c r="D11165" t="s">
        <v>40157</v>
      </c>
      <c r="E11165" t="b">
        <v>0</v>
      </c>
      <c r="F11165" t="s">
        <v>11622</v>
      </c>
      <c r="L11165">
        <v>0</v>
      </c>
      <c r="M11165">
        <v>2</v>
      </c>
      <c r="N11165">
        <v>0</v>
      </c>
    </row>
    <row r="11166" spans="1:15">
      <c r="A11166" t="s">
        <v>40158</v>
      </c>
      <c r="B11166" t="s">
        <v>6742</v>
      </c>
      <c r="C11166" t="s">
        <v>12109</v>
      </c>
      <c r="D11166" t="s">
        <v>40159</v>
      </c>
      <c r="E11166" t="b">
        <v>0</v>
      </c>
      <c r="F11166" t="s">
        <v>11610</v>
      </c>
      <c r="L11166">
        <v>0</v>
      </c>
      <c r="M11166">
        <v>0</v>
      </c>
      <c r="N11166">
        <v>0</v>
      </c>
    </row>
    <row r="11167" spans="1:15">
      <c r="A11167" t="s">
        <v>40160</v>
      </c>
      <c r="B11167" t="s">
        <v>40161</v>
      </c>
      <c r="C11167" t="s">
        <v>40161</v>
      </c>
      <c r="D11167" t="s">
        <v>40162</v>
      </c>
      <c r="E11167" t="b">
        <v>0</v>
      </c>
      <c r="F11167" t="s">
        <v>11624</v>
      </c>
      <c r="G11167">
        <v>-4.3547900000000004</v>
      </c>
      <c r="H11167">
        <v>144.99</v>
      </c>
      <c r="I11167" t="s">
        <v>40163</v>
      </c>
      <c r="L11167">
        <v>0</v>
      </c>
      <c r="M11167">
        <v>0</v>
      </c>
      <c r="N11167">
        <v>0</v>
      </c>
      <c r="O11167" t="s">
        <v>11660</v>
      </c>
    </row>
    <row r="11168" spans="1:15">
      <c r="A11168" t="s">
        <v>40164</v>
      </c>
      <c r="B11168" t="s">
        <v>6742</v>
      </c>
      <c r="C11168" t="s">
        <v>32125</v>
      </c>
      <c r="D11168" t="s">
        <v>40165</v>
      </c>
      <c r="E11168" t="b">
        <v>0</v>
      </c>
      <c r="F11168" t="s">
        <v>11610</v>
      </c>
      <c r="L11168">
        <v>0</v>
      </c>
      <c r="M11168">
        <v>0</v>
      </c>
      <c r="N11168">
        <v>0</v>
      </c>
    </row>
    <row r="11169" spans="1:15">
      <c r="A11169" t="s">
        <v>40166</v>
      </c>
      <c r="B11169" t="s">
        <v>6742</v>
      </c>
      <c r="C11169" t="s">
        <v>36453</v>
      </c>
      <c r="D11169" t="s">
        <v>40167</v>
      </c>
      <c r="E11169" t="b">
        <v>0</v>
      </c>
      <c r="F11169" t="s">
        <v>11610</v>
      </c>
      <c r="L11169">
        <v>0</v>
      </c>
      <c r="M11169">
        <v>0</v>
      </c>
      <c r="N11169">
        <v>0</v>
      </c>
    </row>
    <row r="11170" spans="1:15">
      <c r="A11170" t="s">
        <v>40168</v>
      </c>
      <c r="B11170" t="s">
        <v>6742</v>
      </c>
      <c r="C11170" t="s">
        <v>40119</v>
      </c>
      <c r="D11170" t="s">
        <v>40169</v>
      </c>
      <c r="E11170" t="b">
        <v>0</v>
      </c>
      <c r="F11170" t="s">
        <v>11610</v>
      </c>
      <c r="L11170">
        <v>0</v>
      </c>
      <c r="M11170">
        <v>0</v>
      </c>
      <c r="N11170">
        <v>0</v>
      </c>
    </row>
    <row r="11171" spans="1:15">
      <c r="A11171" t="s">
        <v>40170</v>
      </c>
      <c r="B11171" t="s">
        <v>6742</v>
      </c>
      <c r="C11171" t="s">
        <v>40119</v>
      </c>
      <c r="D11171" t="s">
        <v>40171</v>
      </c>
      <c r="E11171" t="b">
        <v>0</v>
      </c>
      <c r="F11171" t="s">
        <v>11610</v>
      </c>
      <c r="L11171">
        <v>0</v>
      </c>
      <c r="M11171">
        <v>0</v>
      </c>
      <c r="N11171">
        <v>0</v>
      </c>
    </row>
    <row r="11172" spans="1:15">
      <c r="A11172" t="s">
        <v>40172</v>
      </c>
      <c r="B11172" t="s">
        <v>11637</v>
      </c>
      <c r="C11172" t="s">
        <v>13473</v>
      </c>
      <c r="D11172" t="s">
        <v>40173</v>
      </c>
      <c r="E11172" t="b">
        <v>0</v>
      </c>
      <c r="F11172" t="s">
        <v>11610</v>
      </c>
      <c r="L11172">
        <v>0</v>
      </c>
      <c r="M11172">
        <v>0</v>
      </c>
      <c r="N11172">
        <v>0</v>
      </c>
    </row>
    <row r="11173" spans="1:15">
      <c r="A11173" t="s">
        <v>40174</v>
      </c>
      <c r="B11173" t="s">
        <v>9071</v>
      </c>
      <c r="C11173" t="s">
        <v>40175</v>
      </c>
      <c r="D11173" t="s">
        <v>40176</v>
      </c>
      <c r="E11173" t="b">
        <v>0</v>
      </c>
      <c r="F11173" t="s">
        <v>11624</v>
      </c>
      <c r="G11173">
        <v>50.727200000000003</v>
      </c>
      <c r="H11173">
        <v>-122.04</v>
      </c>
      <c r="I11173" t="s">
        <v>40177</v>
      </c>
      <c r="L11173">
        <v>0</v>
      </c>
      <c r="M11173">
        <v>0</v>
      </c>
      <c r="N11173">
        <v>0</v>
      </c>
      <c r="O11173" t="s">
        <v>13049</v>
      </c>
    </row>
    <row r="11174" spans="1:15">
      <c r="A11174" t="s">
        <v>40178</v>
      </c>
      <c r="B11174" t="s">
        <v>6742</v>
      </c>
      <c r="C11174" t="s">
        <v>16092</v>
      </c>
      <c r="D11174" t="s">
        <v>40179</v>
      </c>
      <c r="E11174" t="b">
        <v>0</v>
      </c>
      <c r="F11174" t="s">
        <v>11624</v>
      </c>
      <c r="G11174">
        <v>2.2680799999999999</v>
      </c>
      <c r="H11174">
        <v>16.1874</v>
      </c>
      <c r="I11174" t="s">
        <v>40180</v>
      </c>
      <c r="L11174">
        <v>0</v>
      </c>
      <c r="M11174">
        <v>0</v>
      </c>
      <c r="N11174">
        <v>0</v>
      </c>
      <c r="O11174" t="s">
        <v>16548</v>
      </c>
    </row>
    <row r="11175" spans="1:15">
      <c r="A11175" t="s">
        <v>40181</v>
      </c>
      <c r="B11175" t="s">
        <v>6742</v>
      </c>
      <c r="C11175" t="s">
        <v>39188</v>
      </c>
      <c r="D11175" t="s">
        <v>40182</v>
      </c>
      <c r="E11175" t="b">
        <v>0</v>
      </c>
      <c r="F11175" t="s">
        <v>11610</v>
      </c>
      <c r="L11175">
        <v>0</v>
      </c>
      <c r="M11175">
        <v>0</v>
      </c>
      <c r="N11175">
        <v>0</v>
      </c>
    </row>
    <row r="11176" spans="1:15">
      <c r="A11176" t="s">
        <v>40183</v>
      </c>
      <c r="B11176" t="s">
        <v>11839</v>
      </c>
      <c r="C11176" t="s">
        <v>14213</v>
      </c>
      <c r="D11176" t="s">
        <v>40184</v>
      </c>
      <c r="E11176" t="b">
        <v>0</v>
      </c>
      <c r="F11176" t="s">
        <v>11610</v>
      </c>
      <c r="L11176">
        <v>0</v>
      </c>
      <c r="M11176">
        <v>0</v>
      </c>
      <c r="N11176">
        <v>0</v>
      </c>
    </row>
    <row r="11177" spans="1:15">
      <c r="A11177" t="s">
        <v>40185</v>
      </c>
      <c r="B11177" t="s">
        <v>11637</v>
      </c>
      <c r="C11177" t="s">
        <v>40186</v>
      </c>
      <c r="D11177" t="s">
        <v>40187</v>
      </c>
      <c r="E11177" t="b">
        <v>0</v>
      </c>
      <c r="F11177" t="s">
        <v>11610</v>
      </c>
      <c r="L11177">
        <v>0</v>
      </c>
      <c r="M11177">
        <v>0</v>
      </c>
      <c r="N11177">
        <v>0</v>
      </c>
    </row>
    <row r="11178" spans="1:15">
      <c r="A11178" t="s">
        <v>29109</v>
      </c>
      <c r="B11178" t="s">
        <v>11637</v>
      </c>
      <c r="C11178" t="s">
        <v>37092</v>
      </c>
      <c r="D11178" t="s">
        <v>40188</v>
      </c>
      <c r="E11178" t="b">
        <v>0</v>
      </c>
      <c r="F11178" t="s">
        <v>11624</v>
      </c>
      <c r="G11178">
        <v>51.015000000000001</v>
      </c>
      <c r="H11178">
        <v>5.8770499999999997</v>
      </c>
      <c r="I11178" t="s">
        <v>40189</v>
      </c>
      <c r="L11178">
        <v>0</v>
      </c>
      <c r="M11178">
        <v>0</v>
      </c>
      <c r="N11178">
        <v>9</v>
      </c>
      <c r="O11178" t="s">
        <v>40190</v>
      </c>
    </row>
    <row r="11179" spans="1:15">
      <c r="A11179" t="s">
        <v>22333</v>
      </c>
      <c r="B11179" t="s">
        <v>11644</v>
      </c>
      <c r="C11179" t="s">
        <v>21823</v>
      </c>
      <c r="D11179" t="s">
        <v>40191</v>
      </c>
      <c r="E11179" t="b">
        <v>0</v>
      </c>
      <c r="F11179" t="s">
        <v>11624</v>
      </c>
      <c r="G11179">
        <v>27.270299999999999</v>
      </c>
      <c r="H11179">
        <v>87.885900000000007</v>
      </c>
      <c r="I11179" t="s">
        <v>40192</v>
      </c>
      <c r="L11179">
        <v>0</v>
      </c>
      <c r="M11179">
        <v>0</v>
      </c>
      <c r="N11179">
        <v>4</v>
      </c>
      <c r="O11179" t="s">
        <v>12524</v>
      </c>
    </row>
    <row r="11180" spans="1:15">
      <c r="A11180" t="s">
        <v>26043</v>
      </c>
      <c r="B11180" t="s">
        <v>6742</v>
      </c>
      <c r="C11180" t="s">
        <v>6742</v>
      </c>
      <c r="D11180" t="s">
        <v>40193</v>
      </c>
      <c r="E11180" t="b">
        <v>0</v>
      </c>
      <c r="F11180" t="s">
        <v>11622</v>
      </c>
      <c r="L11180">
        <v>0</v>
      </c>
      <c r="M11180">
        <v>2</v>
      </c>
      <c r="N11180">
        <v>4</v>
      </c>
    </row>
    <row r="11181" spans="1:15">
      <c r="A11181" t="s">
        <v>40194</v>
      </c>
      <c r="B11181" t="s">
        <v>6742</v>
      </c>
      <c r="C11181" t="s">
        <v>25754</v>
      </c>
      <c r="D11181" t="s">
        <v>40195</v>
      </c>
      <c r="E11181" t="b">
        <v>0</v>
      </c>
      <c r="F11181" t="s">
        <v>11624</v>
      </c>
      <c r="G11181">
        <v>6.5860799999999999</v>
      </c>
      <c r="H11181">
        <v>10.9802</v>
      </c>
      <c r="I11181" t="s">
        <v>40196</v>
      </c>
      <c r="L11181">
        <v>0</v>
      </c>
      <c r="M11181">
        <v>0</v>
      </c>
      <c r="N11181">
        <v>3</v>
      </c>
      <c r="O11181" t="s">
        <v>11802</v>
      </c>
    </row>
    <row r="11182" spans="1:15">
      <c r="A11182" t="s">
        <v>40197</v>
      </c>
      <c r="B11182" t="s">
        <v>367</v>
      </c>
      <c r="C11182" t="s">
        <v>26226</v>
      </c>
      <c r="D11182" t="s">
        <v>40198</v>
      </c>
      <c r="E11182" t="b">
        <v>0</v>
      </c>
      <c r="F11182" t="s">
        <v>11610</v>
      </c>
      <c r="L11182">
        <v>0</v>
      </c>
      <c r="M11182">
        <v>0</v>
      </c>
      <c r="N11182">
        <v>0</v>
      </c>
    </row>
    <row r="11183" spans="1:15">
      <c r="A11183" t="s">
        <v>40199</v>
      </c>
      <c r="D11183" t="s">
        <v>40200</v>
      </c>
      <c r="E11183" t="b">
        <v>0</v>
      </c>
      <c r="F11183" t="s">
        <v>11622</v>
      </c>
      <c r="L11183">
        <v>0</v>
      </c>
      <c r="M11183">
        <v>2</v>
      </c>
      <c r="N11183">
        <v>0</v>
      </c>
    </row>
    <row r="11184" spans="1:15">
      <c r="A11184" t="s">
        <v>40201</v>
      </c>
      <c r="B11184" t="s">
        <v>11644</v>
      </c>
      <c r="C11184" t="s">
        <v>31253</v>
      </c>
      <c r="D11184" t="s">
        <v>40202</v>
      </c>
      <c r="E11184" t="b">
        <v>0</v>
      </c>
      <c r="F11184" t="s">
        <v>11624</v>
      </c>
      <c r="G11184">
        <v>24.469000000000001</v>
      </c>
      <c r="H11184">
        <v>100.07299999999999</v>
      </c>
      <c r="I11184" t="s">
        <v>40203</v>
      </c>
      <c r="L11184">
        <v>0</v>
      </c>
      <c r="M11184">
        <v>0</v>
      </c>
      <c r="N11184">
        <v>0</v>
      </c>
      <c r="O11184" t="s">
        <v>11905</v>
      </c>
    </row>
    <row r="11185" spans="1:15">
      <c r="A11185" t="s">
        <v>17278</v>
      </c>
      <c r="B11185" t="s">
        <v>11637</v>
      </c>
      <c r="C11185" t="s">
        <v>15204</v>
      </c>
      <c r="D11185" t="s">
        <v>40204</v>
      </c>
      <c r="E11185" t="b">
        <v>0</v>
      </c>
      <c r="F11185" t="s">
        <v>11610</v>
      </c>
      <c r="L11185">
        <v>0</v>
      </c>
      <c r="M11185">
        <v>0</v>
      </c>
      <c r="N11185">
        <v>2</v>
      </c>
    </row>
    <row r="11186" spans="1:15">
      <c r="A11186" t="s">
        <v>40205</v>
      </c>
      <c r="B11186" t="s">
        <v>6742</v>
      </c>
      <c r="C11186" t="s">
        <v>37298</v>
      </c>
      <c r="D11186" t="s">
        <v>40206</v>
      </c>
      <c r="E11186" t="b">
        <v>0</v>
      </c>
      <c r="F11186" t="s">
        <v>11610</v>
      </c>
      <c r="L11186">
        <v>0</v>
      </c>
      <c r="M11186">
        <v>0</v>
      </c>
      <c r="N11186">
        <v>0</v>
      </c>
    </row>
    <row r="11187" spans="1:15">
      <c r="A11187" t="s">
        <v>40207</v>
      </c>
      <c r="B11187" t="s">
        <v>367</v>
      </c>
      <c r="C11187" t="s">
        <v>40208</v>
      </c>
      <c r="D11187" t="s">
        <v>40209</v>
      </c>
      <c r="E11187" t="b">
        <v>0</v>
      </c>
      <c r="F11187" t="s">
        <v>11624</v>
      </c>
      <c r="G11187">
        <v>17.6081</v>
      </c>
      <c r="H11187">
        <v>121.381</v>
      </c>
      <c r="I11187" t="s">
        <v>40210</v>
      </c>
      <c r="L11187">
        <v>0</v>
      </c>
      <c r="M11187">
        <v>0</v>
      </c>
      <c r="N11187">
        <v>0</v>
      </c>
      <c r="O11187" t="s">
        <v>11749</v>
      </c>
    </row>
    <row r="11188" spans="1:15">
      <c r="A11188" t="s">
        <v>40211</v>
      </c>
      <c r="B11188" t="s">
        <v>11637</v>
      </c>
      <c r="C11188" t="s">
        <v>1014</v>
      </c>
      <c r="D11188" t="s">
        <v>40212</v>
      </c>
      <c r="E11188" t="b">
        <v>0</v>
      </c>
      <c r="F11188" t="s">
        <v>11624</v>
      </c>
      <c r="G11188">
        <v>9.957414</v>
      </c>
      <c r="H11188">
        <v>-83.090500000000006</v>
      </c>
      <c r="I11188" t="s">
        <v>40213</v>
      </c>
      <c r="L11188">
        <v>0</v>
      </c>
      <c r="M11188">
        <v>0</v>
      </c>
      <c r="N11188">
        <v>0</v>
      </c>
      <c r="O11188" t="s">
        <v>19659</v>
      </c>
    </row>
    <row r="11189" spans="1:15">
      <c r="A11189" t="s">
        <v>40214</v>
      </c>
      <c r="B11189" t="s">
        <v>11627</v>
      </c>
      <c r="C11189" t="s">
        <v>11627</v>
      </c>
      <c r="D11189" t="s">
        <v>40215</v>
      </c>
      <c r="E11189" t="b">
        <v>1</v>
      </c>
      <c r="F11189" t="s">
        <v>11624</v>
      </c>
      <c r="I11189" t="s">
        <v>40216</v>
      </c>
      <c r="L11189">
        <v>0</v>
      </c>
      <c r="M11189">
        <v>0</v>
      </c>
      <c r="N11189">
        <v>0</v>
      </c>
    </row>
    <row r="11190" spans="1:15">
      <c r="A11190" t="s">
        <v>40217</v>
      </c>
      <c r="B11190" t="s">
        <v>6742</v>
      </c>
      <c r="C11190" t="s">
        <v>20319</v>
      </c>
      <c r="D11190" t="s">
        <v>40218</v>
      </c>
      <c r="E11190" t="b">
        <v>0</v>
      </c>
      <c r="F11190" t="s">
        <v>11610</v>
      </c>
      <c r="L11190">
        <v>0</v>
      </c>
      <c r="M11190">
        <v>0</v>
      </c>
      <c r="N11190">
        <v>0</v>
      </c>
    </row>
    <row r="11191" spans="1:15">
      <c r="A11191" t="s">
        <v>40219</v>
      </c>
      <c r="B11191" t="s">
        <v>6742</v>
      </c>
      <c r="C11191" t="s">
        <v>18876</v>
      </c>
      <c r="D11191" t="s">
        <v>40220</v>
      </c>
      <c r="E11191" t="b">
        <v>0</v>
      </c>
      <c r="F11191" t="s">
        <v>11610</v>
      </c>
      <c r="L11191">
        <v>0</v>
      </c>
      <c r="M11191">
        <v>0</v>
      </c>
      <c r="N11191">
        <v>0</v>
      </c>
    </row>
    <row r="11192" spans="1:15">
      <c r="A11192" t="s">
        <v>40221</v>
      </c>
      <c r="B11192" t="s">
        <v>6742</v>
      </c>
      <c r="C11192" t="s">
        <v>37298</v>
      </c>
      <c r="D11192" t="s">
        <v>40222</v>
      </c>
      <c r="E11192" t="b">
        <v>0</v>
      </c>
      <c r="F11192" t="s">
        <v>11610</v>
      </c>
      <c r="L11192">
        <v>0</v>
      </c>
      <c r="M11192">
        <v>0</v>
      </c>
      <c r="N11192">
        <v>0</v>
      </c>
    </row>
    <row r="11193" spans="1:15">
      <c r="A11193" t="s">
        <v>40223</v>
      </c>
      <c r="B11193" t="s">
        <v>367</v>
      </c>
      <c r="C11193" t="s">
        <v>17231</v>
      </c>
      <c r="D11193" t="s">
        <v>40224</v>
      </c>
      <c r="E11193" t="b">
        <v>0</v>
      </c>
      <c r="F11193" t="s">
        <v>11610</v>
      </c>
      <c r="L11193">
        <v>0</v>
      </c>
      <c r="M11193">
        <v>0</v>
      </c>
      <c r="N11193">
        <v>0</v>
      </c>
    </row>
    <row r="11194" spans="1:15">
      <c r="A11194" t="s">
        <v>40225</v>
      </c>
      <c r="B11194" t="s">
        <v>5126</v>
      </c>
      <c r="C11194" t="s">
        <v>40226</v>
      </c>
      <c r="D11194" t="s">
        <v>40227</v>
      </c>
      <c r="E11194" t="b">
        <v>0</v>
      </c>
      <c r="F11194" t="s">
        <v>11610</v>
      </c>
      <c r="L11194">
        <v>0</v>
      </c>
      <c r="M11194">
        <v>0</v>
      </c>
      <c r="N11194">
        <v>0</v>
      </c>
    </row>
    <row r="11195" spans="1:15">
      <c r="A11195" t="s">
        <v>40228</v>
      </c>
      <c r="B11195" t="s">
        <v>11637</v>
      </c>
      <c r="C11195" t="s">
        <v>26699</v>
      </c>
      <c r="D11195" t="s">
        <v>40229</v>
      </c>
      <c r="E11195" t="b">
        <v>0</v>
      </c>
      <c r="F11195" t="s">
        <v>11610</v>
      </c>
      <c r="L11195">
        <v>0</v>
      </c>
      <c r="M11195">
        <v>0</v>
      </c>
      <c r="N11195">
        <v>0</v>
      </c>
    </row>
    <row r="11196" spans="1:15">
      <c r="A11196" t="s">
        <v>40230</v>
      </c>
      <c r="B11196" t="s">
        <v>6742</v>
      </c>
      <c r="C11196" t="s">
        <v>16545</v>
      </c>
      <c r="D11196" t="s">
        <v>40231</v>
      </c>
      <c r="E11196" t="b">
        <v>0</v>
      </c>
      <c r="F11196" t="s">
        <v>11610</v>
      </c>
      <c r="L11196">
        <v>0</v>
      </c>
      <c r="M11196">
        <v>0</v>
      </c>
      <c r="N11196">
        <v>0</v>
      </c>
    </row>
    <row r="11197" spans="1:15">
      <c r="A11197" t="s">
        <v>40232</v>
      </c>
      <c r="B11197" t="s">
        <v>6742</v>
      </c>
      <c r="C11197" t="s">
        <v>31814</v>
      </c>
      <c r="D11197" t="s">
        <v>40233</v>
      </c>
      <c r="E11197" t="b">
        <v>0</v>
      </c>
      <c r="F11197" t="s">
        <v>11610</v>
      </c>
      <c r="L11197">
        <v>0</v>
      </c>
      <c r="M11197">
        <v>0</v>
      </c>
      <c r="N11197">
        <v>0</v>
      </c>
    </row>
    <row r="11198" spans="1:15">
      <c r="A11198" t="s">
        <v>40234</v>
      </c>
      <c r="B11198" t="s">
        <v>367</v>
      </c>
      <c r="C11198" t="s">
        <v>38080</v>
      </c>
      <c r="D11198" t="s">
        <v>40235</v>
      </c>
      <c r="E11198" t="b">
        <v>0</v>
      </c>
      <c r="F11198" t="s">
        <v>11624</v>
      </c>
      <c r="G11198">
        <v>-1.35748</v>
      </c>
      <c r="H11198">
        <v>120.063</v>
      </c>
      <c r="I11198" t="s">
        <v>40236</v>
      </c>
      <c r="L11198">
        <v>0</v>
      </c>
      <c r="M11198">
        <v>0</v>
      </c>
      <c r="N11198">
        <v>2</v>
      </c>
      <c r="O11198" t="s">
        <v>11768</v>
      </c>
    </row>
    <row r="11199" spans="1:15">
      <c r="A11199" t="s">
        <v>40237</v>
      </c>
      <c r="B11199" t="s">
        <v>367</v>
      </c>
      <c r="C11199" t="s">
        <v>40234</v>
      </c>
      <c r="D11199" t="s">
        <v>40238</v>
      </c>
      <c r="E11199" t="b">
        <v>0</v>
      </c>
      <c r="F11199" t="s">
        <v>11610</v>
      </c>
      <c r="L11199">
        <v>0</v>
      </c>
      <c r="M11199">
        <v>0</v>
      </c>
      <c r="N11199">
        <v>0</v>
      </c>
    </row>
    <row r="11200" spans="1:15">
      <c r="A11200" t="s">
        <v>40239</v>
      </c>
      <c r="B11200" t="s">
        <v>13450</v>
      </c>
      <c r="C11200" t="s">
        <v>40240</v>
      </c>
      <c r="D11200" t="s">
        <v>40241</v>
      </c>
      <c r="E11200" t="b">
        <v>0</v>
      </c>
      <c r="F11200" t="s">
        <v>11624</v>
      </c>
      <c r="G11200">
        <v>33.8613</v>
      </c>
      <c r="H11200">
        <v>10.8531</v>
      </c>
      <c r="I11200" t="s">
        <v>40242</v>
      </c>
      <c r="L11200">
        <v>0</v>
      </c>
      <c r="M11200">
        <v>0</v>
      </c>
      <c r="N11200">
        <v>0</v>
      </c>
      <c r="O11200" t="s">
        <v>40243</v>
      </c>
    </row>
    <row r="11201" spans="1:15">
      <c r="A11201" t="s">
        <v>40244</v>
      </c>
      <c r="B11201" t="s">
        <v>11627</v>
      </c>
      <c r="C11201" t="s">
        <v>11627</v>
      </c>
      <c r="D11201" t="s">
        <v>40245</v>
      </c>
      <c r="E11201" t="b">
        <v>1</v>
      </c>
      <c r="F11201" t="s">
        <v>11624</v>
      </c>
      <c r="L11201">
        <v>0</v>
      </c>
      <c r="M11201">
        <v>0</v>
      </c>
      <c r="N11201">
        <v>0</v>
      </c>
    </row>
    <row r="11202" spans="1:15">
      <c r="A11202" t="s">
        <v>40226</v>
      </c>
      <c r="B11202" t="s">
        <v>5126</v>
      </c>
      <c r="C11202" t="s">
        <v>17743</v>
      </c>
      <c r="D11202" t="s">
        <v>40246</v>
      </c>
      <c r="E11202" t="b">
        <v>0</v>
      </c>
      <c r="F11202" t="s">
        <v>11624</v>
      </c>
      <c r="G11202">
        <v>19.863399999999999</v>
      </c>
      <c r="H11202">
        <v>109.971</v>
      </c>
      <c r="I11202" t="s">
        <v>40247</v>
      </c>
      <c r="L11202">
        <v>0</v>
      </c>
      <c r="M11202">
        <v>0</v>
      </c>
      <c r="N11202">
        <v>2</v>
      </c>
      <c r="O11202" t="s">
        <v>11905</v>
      </c>
    </row>
    <row r="11203" spans="1:15">
      <c r="A11203" t="s">
        <v>40248</v>
      </c>
      <c r="B11203" t="s">
        <v>6742</v>
      </c>
      <c r="C11203" t="s">
        <v>16649</v>
      </c>
      <c r="D11203" t="s">
        <v>40249</v>
      </c>
      <c r="E11203" t="b">
        <v>0</v>
      </c>
      <c r="F11203" t="s">
        <v>11624</v>
      </c>
      <c r="G11203">
        <v>1.40324</v>
      </c>
      <c r="H11203">
        <v>19.782900000000001</v>
      </c>
      <c r="I11203" t="s">
        <v>40250</v>
      </c>
      <c r="L11203">
        <v>0</v>
      </c>
      <c r="M11203">
        <v>0</v>
      </c>
      <c r="N11203">
        <v>0</v>
      </c>
      <c r="O11203" t="s">
        <v>16656</v>
      </c>
    </row>
    <row r="11204" spans="1:15">
      <c r="A11204" t="s">
        <v>40251</v>
      </c>
      <c r="B11204" t="s">
        <v>6742</v>
      </c>
      <c r="C11204" t="s">
        <v>19190</v>
      </c>
      <c r="D11204" t="s">
        <v>40252</v>
      </c>
      <c r="E11204" t="b">
        <v>0</v>
      </c>
      <c r="F11204" t="s">
        <v>11610</v>
      </c>
      <c r="L11204">
        <v>0</v>
      </c>
      <c r="M11204">
        <v>0</v>
      </c>
      <c r="N11204">
        <v>0</v>
      </c>
    </row>
    <row r="11205" spans="1:15">
      <c r="A11205" t="s">
        <v>40253</v>
      </c>
      <c r="B11205" t="s">
        <v>367</v>
      </c>
      <c r="C11205" t="s">
        <v>21960</v>
      </c>
      <c r="D11205" t="s">
        <v>40254</v>
      </c>
      <c r="E11205" t="b">
        <v>0</v>
      </c>
      <c r="F11205" t="s">
        <v>11624</v>
      </c>
      <c r="G11205">
        <v>-16.198599999999999</v>
      </c>
      <c r="H11205">
        <v>167.499</v>
      </c>
      <c r="I11205" t="s">
        <v>40255</v>
      </c>
      <c r="L11205">
        <v>0</v>
      </c>
      <c r="M11205">
        <v>0</v>
      </c>
      <c r="N11205">
        <v>0</v>
      </c>
      <c r="O11205" t="s">
        <v>12719</v>
      </c>
    </row>
    <row r="11206" spans="1:15">
      <c r="A11206" t="s">
        <v>40256</v>
      </c>
      <c r="B11206" t="s">
        <v>367</v>
      </c>
      <c r="C11206" t="s">
        <v>40257</v>
      </c>
      <c r="D11206" t="s">
        <v>40258</v>
      </c>
      <c r="E11206" t="b">
        <v>0</v>
      </c>
      <c r="F11206" t="s">
        <v>11610</v>
      </c>
      <c r="L11206">
        <v>0</v>
      </c>
      <c r="M11206">
        <v>0</v>
      </c>
      <c r="N11206">
        <v>0</v>
      </c>
    </row>
    <row r="11207" spans="1:15">
      <c r="A11207" t="s">
        <v>40259</v>
      </c>
      <c r="B11207" t="s">
        <v>14629</v>
      </c>
      <c r="C11207" t="s">
        <v>14629</v>
      </c>
      <c r="D11207" t="s">
        <v>40260</v>
      </c>
      <c r="E11207" t="b">
        <v>0</v>
      </c>
      <c r="F11207" t="s">
        <v>11624</v>
      </c>
      <c r="I11207" t="s">
        <v>40261</v>
      </c>
      <c r="L11207">
        <v>0</v>
      </c>
      <c r="M11207">
        <v>0</v>
      </c>
      <c r="N11207">
        <v>0</v>
      </c>
      <c r="O11207" t="s">
        <v>11944</v>
      </c>
    </row>
    <row r="11208" spans="1:15">
      <c r="A11208" t="s">
        <v>40262</v>
      </c>
      <c r="B11208" t="s">
        <v>11627</v>
      </c>
      <c r="C11208" t="s">
        <v>11627</v>
      </c>
      <c r="D11208" t="s">
        <v>40263</v>
      </c>
      <c r="E11208" t="b">
        <v>1</v>
      </c>
      <c r="F11208" t="s">
        <v>11624</v>
      </c>
      <c r="G11208">
        <v>26.992000000000001</v>
      </c>
      <c r="H11208">
        <v>87.999200000000002</v>
      </c>
      <c r="I11208" t="s">
        <v>40264</v>
      </c>
      <c r="L11208">
        <v>0</v>
      </c>
      <c r="M11208">
        <v>0</v>
      </c>
      <c r="N11208">
        <v>0</v>
      </c>
      <c r="O11208" t="s">
        <v>15007</v>
      </c>
    </row>
    <row r="11209" spans="1:15">
      <c r="A11209" t="s">
        <v>16649</v>
      </c>
      <c r="B11209" t="s">
        <v>6742</v>
      </c>
      <c r="C11209" t="s">
        <v>16653</v>
      </c>
      <c r="D11209" t="s">
        <v>40265</v>
      </c>
      <c r="E11209" t="b">
        <v>0</v>
      </c>
      <c r="F11209" t="s">
        <v>11622</v>
      </c>
      <c r="L11209">
        <v>0</v>
      </c>
      <c r="M11209">
        <v>2</v>
      </c>
      <c r="N11209">
        <v>0</v>
      </c>
    </row>
    <row r="11210" spans="1:15">
      <c r="A11210" t="s">
        <v>40266</v>
      </c>
      <c r="B11210" t="s">
        <v>11644</v>
      </c>
      <c r="C11210" t="s">
        <v>40267</v>
      </c>
      <c r="D11210" t="s">
        <v>40268</v>
      </c>
      <c r="E11210" t="b">
        <v>0</v>
      </c>
      <c r="F11210" t="s">
        <v>11610</v>
      </c>
      <c r="L11210">
        <v>0</v>
      </c>
      <c r="M11210">
        <v>0</v>
      </c>
      <c r="N11210">
        <v>0</v>
      </c>
    </row>
    <row r="11211" spans="1:15">
      <c r="A11211" t="s">
        <v>40269</v>
      </c>
      <c r="B11211" t="s">
        <v>11627</v>
      </c>
      <c r="C11211" t="s">
        <v>11627</v>
      </c>
      <c r="D11211" t="s">
        <v>40270</v>
      </c>
      <c r="E11211" t="b">
        <v>1</v>
      </c>
      <c r="F11211" t="s">
        <v>11624</v>
      </c>
      <c r="I11211" t="s">
        <v>40271</v>
      </c>
      <c r="L11211">
        <v>0</v>
      </c>
      <c r="M11211">
        <v>0</v>
      </c>
      <c r="N11211">
        <v>0</v>
      </c>
    </row>
    <row r="11212" spans="1:15">
      <c r="A11212" t="s">
        <v>5517</v>
      </c>
      <c r="B11212" t="s">
        <v>367</v>
      </c>
      <c r="C11212" t="s">
        <v>27193</v>
      </c>
      <c r="D11212" t="s">
        <v>40272</v>
      </c>
      <c r="E11212" t="b">
        <v>0</v>
      </c>
      <c r="F11212" t="s">
        <v>11624</v>
      </c>
      <c r="G11212">
        <v>-8.6861499999999996</v>
      </c>
      <c r="H11212">
        <v>121.83199999999999</v>
      </c>
      <c r="I11212" t="s">
        <v>5518</v>
      </c>
      <c r="L11212">
        <v>0</v>
      </c>
      <c r="M11212">
        <v>0</v>
      </c>
      <c r="N11212">
        <v>2</v>
      </c>
      <c r="O11212" t="s">
        <v>11768</v>
      </c>
    </row>
    <row r="11213" spans="1:15">
      <c r="A11213" t="s">
        <v>40273</v>
      </c>
      <c r="B11213" t="s">
        <v>11871</v>
      </c>
      <c r="C11213" t="s">
        <v>40274</v>
      </c>
      <c r="D11213" t="s">
        <v>40275</v>
      </c>
      <c r="E11213" t="b">
        <v>0</v>
      </c>
      <c r="F11213" t="s">
        <v>11610</v>
      </c>
      <c r="L11213">
        <v>0</v>
      </c>
      <c r="M11213">
        <v>0</v>
      </c>
      <c r="N11213">
        <v>0</v>
      </c>
    </row>
    <row r="11214" spans="1:15">
      <c r="A11214" t="s">
        <v>40276</v>
      </c>
      <c r="B11214" t="s">
        <v>6742</v>
      </c>
      <c r="C11214" t="s">
        <v>16842</v>
      </c>
      <c r="D11214" t="s">
        <v>40277</v>
      </c>
      <c r="E11214" t="b">
        <v>0</v>
      </c>
      <c r="F11214" t="s">
        <v>11610</v>
      </c>
      <c r="L11214">
        <v>0</v>
      </c>
      <c r="M11214">
        <v>0</v>
      </c>
      <c r="N11214">
        <v>0</v>
      </c>
    </row>
    <row r="11215" spans="1:15">
      <c r="A11215" t="s">
        <v>40278</v>
      </c>
      <c r="B11215" t="s">
        <v>12460</v>
      </c>
      <c r="C11215" t="s">
        <v>26509</v>
      </c>
      <c r="D11215" t="s">
        <v>40279</v>
      </c>
      <c r="E11215" t="b">
        <v>0</v>
      </c>
      <c r="F11215" t="s">
        <v>11624</v>
      </c>
      <c r="G11215">
        <v>33.274799999999999</v>
      </c>
      <c r="H11215">
        <v>-105.819</v>
      </c>
      <c r="I11215" t="s">
        <v>40280</v>
      </c>
      <c r="L11215">
        <v>0</v>
      </c>
      <c r="M11215">
        <v>0</v>
      </c>
      <c r="N11215">
        <v>0</v>
      </c>
      <c r="O11215" t="s">
        <v>11944</v>
      </c>
    </row>
    <row r="11216" spans="1:15">
      <c r="A11216" t="s">
        <v>40281</v>
      </c>
      <c r="B11216" t="s">
        <v>12438</v>
      </c>
      <c r="C11216" t="s">
        <v>18163</v>
      </c>
      <c r="D11216" t="s">
        <v>40282</v>
      </c>
      <c r="E11216" t="b">
        <v>0</v>
      </c>
      <c r="F11216" t="s">
        <v>11610</v>
      </c>
      <c r="L11216">
        <v>0</v>
      </c>
      <c r="M11216">
        <v>0</v>
      </c>
      <c r="N11216">
        <v>0</v>
      </c>
    </row>
    <row r="11217" spans="1:15">
      <c r="A11217" t="s">
        <v>40283</v>
      </c>
      <c r="B11217" t="s">
        <v>6742</v>
      </c>
      <c r="C11217" t="s">
        <v>20319</v>
      </c>
      <c r="D11217" t="s">
        <v>40284</v>
      </c>
      <c r="E11217" t="b">
        <v>0</v>
      </c>
      <c r="F11217" t="s">
        <v>11610</v>
      </c>
      <c r="L11217">
        <v>0</v>
      </c>
      <c r="M11217">
        <v>0</v>
      </c>
      <c r="N11217">
        <v>0</v>
      </c>
    </row>
    <row r="11218" spans="1:15">
      <c r="A11218" t="s">
        <v>40285</v>
      </c>
      <c r="B11218" t="s">
        <v>11644</v>
      </c>
      <c r="C11218" t="s">
        <v>40286</v>
      </c>
      <c r="D11218" t="s">
        <v>40287</v>
      </c>
      <c r="E11218" t="b">
        <v>0</v>
      </c>
      <c r="F11218" t="s">
        <v>11624</v>
      </c>
      <c r="G11218">
        <v>25.225999999999999</v>
      </c>
      <c r="H11218">
        <v>101.30200000000001</v>
      </c>
      <c r="I11218" t="s">
        <v>40288</v>
      </c>
      <c r="L11218">
        <v>0</v>
      </c>
      <c r="M11218">
        <v>0</v>
      </c>
      <c r="N11218">
        <v>0</v>
      </c>
      <c r="O11218" t="s">
        <v>11905</v>
      </c>
    </row>
    <row r="11219" spans="1:15">
      <c r="A11219" t="s">
        <v>40289</v>
      </c>
      <c r="B11219" t="s">
        <v>11644</v>
      </c>
      <c r="C11219" t="s">
        <v>40290</v>
      </c>
      <c r="D11219" t="s">
        <v>40291</v>
      </c>
      <c r="E11219" t="b">
        <v>0</v>
      </c>
      <c r="F11219" t="s">
        <v>11622</v>
      </c>
      <c r="L11219">
        <v>2</v>
      </c>
      <c r="M11219">
        <v>6</v>
      </c>
      <c r="N11219">
        <v>3</v>
      </c>
    </row>
    <row r="11220" spans="1:15">
      <c r="A11220" t="s">
        <v>40286</v>
      </c>
      <c r="B11220" t="s">
        <v>11644</v>
      </c>
      <c r="C11220" t="s">
        <v>40289</v>
      </c>
      <c r="D11220" t="s">
        <v>40292</v>
      </c>
      <c r="E11220" t="b">
        <v>0</v>
      </c>
      <c r="F11220" t="s">
        <v>11622</v>
      </c>
      <c r="L11220">
        <v>0</v>
      </c>
      <c r="M11220">
        <v>2</v>
      </c>
      <c r="N11220">
        <v>0</v>
      </c>
    </row>
    <row r="11221" spans="1:15">
      <c r="A11221" t="s">
        <v>40293</v>
      </c>
      <c r="B11221" t="s">
        <v>11637</v>
      </c>
      <c r="C11221" t="s">
        <v>25363</v>
      </c>
      <c r="D11221" t="s">
        <v>40294</v>
      </c>
      <c r="E11221" t="b">
        <v>0</v>
      </c>
      <c r="F11221" t="s">
        <v>11610</v>
      </c>
      <c r="L11221">
        <v>0</v>
      </c>
      <c r="M11221">
        <v>0</v>
      </c>
      <c r="N11221">
        <v>0</v>
      </c>
    </row>
    <row r="11222" spans="1:15">
      <c r="A11222" t="s">
        <v>40295</v>
      </c>
      <c r="B11222" t="s">
        <v>6742</v>
      </c>
      <c r="C11222" t="s">
        <v>16901</v>
      </c>
      <c r="D11222" t="s">
        <v>40296</v>
      </c>
      <c r="E11222" t="b">
        <v>0</v>
      </c>
      <c r="F11222" t="s">
        <v>11610</v>
      </c>
      <c r="L11222">
        <v>0</v>
      </c>
      <c r="M11222">
        <v>0</v>
      </c>
      <c r="N11222">
        <v>0</v>
      </c>
    </row>
    <row r="11223" spans="1:15">
      <c r="A11223" t="s">
        <v>40297</v>
      </c>
      <c r="B11223" t="s">
        <v>5126</v>
      </c>
      <c r="C11223" t="s">
        <v>38907</v>
      </c>
      <c r="D11223" t="s">
        <v>40298</v>
      </c>
      <c r="E11223" t="b">
        <v>0</v>
      </c>
      <c r="F11223" t="s">
        <v>11610</v>
      </c>
      <c r="L11223">
        <v>0</v>
      </c>
      <c r="M11223">
        <v>0</v>
      </c>
      <c r="N11223">
        <v>0</v>
      </c>
    </row>
    <row r="11224" spans="1:15">
      <c r="A11224" t="s">
        <v>40299</v>
      </c>
      <c r="B11224" t="s">
        <v>5126</v>
      </c>
      <c r="C11224" t="s">
        <v>38907</v>
      </c>
      <c r="D11224" t="s">
        <v>40300</v>
      </c>
      <c r="E11224" t="b">
        <v>0</v>
      </c>
      <c r="F11224" t="s">
        <v>11610</v>
      </c>
      <c r="L11224">
        <v>0</v>
      </c>
      <c r="M11224">
        <v>0</v>
      </c>
      <c r="N11224">
        <v>0</v>
      </c>
    </row>
    <row r="11225" spans="1:15">
      <c r="A11225" t="s">
        <v>40301</v>
      </c>
      <c r="B11225" t="s">
        <v>367</v>
      </c>
      <c r="C11225" t="s">
        <v>14327</v>
      </c>
      <c r="D11225" t="s">
        <v>40302</v>
      </c>
      <c r="E11225" t="b">
        <v>0</v>
      </c>
      <c r="F11225" t="s">
        <v>11610</v>
      </c>
      <c r="L11225">
        <v>0</v>
      </c>
      <c r="M11225">
        <v>0</v>
      </c>
      <c r="N11225">
        <v>0</v>
      </c>
    </row>
    <row r="11226" spans="1:15">
      <c r="A11226" t="s">
        <v>40303</v>
      </c>
      <c r="B11226" t="s">
        <v>367</v>
      </c>
      <c r="C11226" t="s">
        <v>15941</v>
      </c>
      <c r="D11226" t="s">
        <v>40304</v>
      </c>
      <c r="E11226" t="b">
        <v>0</v>
      </c>
      <c r="F11226" t="s">
        <v>11610</v>
      </c>
      <c r="L11226">
        <v>0</v>
      </c>
      <c r="M11226">
        <v>0</v>
      </c>
      <c r="N11226">
        <v>0</v>
      </c>
    </row>
    <row r="11227" spans="1:15">
      <c r="A11227" t="s">
        <v>35513</v>
      </c>
      <c r="B11227" t="s">
        <v>367</v>
      </c>
      <c r="C11227" t="s">
        <v>31682</v>
      </c>
      <c r="D11227" t="s">
        <v>40305</v>
      </c>
      <c r="E11227" t="b">
        <v>0</v>
      </c>
      <c r="F11227" t="s">
        <v>11624</v>
      </c>
      <c r="G11227">
        <v>-2.8743400000000001</v>
      </c>
      <c r="H11227">
        <v>128.26499999999999</v>
      </c>
      <c r="I11227" t="s">
        <v>40306</v>
      </c>
      <c r="L11227">
        <v>0</v>
      </c>
      <c r="M11227">
        <v>0</v>
      </c>
      <c r="N11227">
        <v>4</v>
      </c>
      <c r="O11227" t="s">
        <v>11768</v>
      </c>
    </row>
    <row r="11228" spans="1:15">
      <c r="A11228" t="s">
        <v>40307</v>
      </c>
      <c r="B11228" t="s">
        <v>367</v>
      </c>
      <c r="C11228" t="s">
        <v>35513</v>
      </c>
      <c r="D11228" t="s">
        <v>40308</v>
      </c>
      <c r="E11228" t="b">
        <v>0</v>
      </c>
      <c r="F11228" t="s">
        <v>11610</v>
      </c>
      <c r="L11228">
        <v>0</v>
      </c>
      <c r="M11228">
        <v>0</v>
      </c>
      <c r="N11228">
        <v>0</v>
      </c>
    </row>
    <row r="11229" spans="1:15">
      <c r="A11229" t="s">
        <v>40309</v>
      </c>
      <c r="B11229" t="s">
        <v>11981</v>
      </c>
      <c r="C11229" t="s">
        <v>40310</v>
      </c>
      <c r="D11229" t="s">
        <v>8611</v>
      </c>
      <c r="E11229" t="b">
        <v>0</v>
      </c>
      <c r="F11229" t="s">
        <v>11610</v>
      </c>
      <c r="L11229">
        <v>0</v>
      </c>
      <c r="M11229">
        <v>0</v>
      </c>
      <c r="N11229">
        <v>0</v>
      </c>
    </row>
    <row r="11230" spans="1:15">
      <c r="A11230" t="s">
        <v>40311</v>
      </c>
      <c r="B11230" t="s">
        <v>367</v>
      </c>
      <c r="C11230" t="s">
        <v>20535</v>
      </c>
      <c r="D11230" t="s">
        <v>40312</v>
      </c>
      <c r="E11230" t="b">
        <v>0</v>
      </c>
      <c r="F11230" t="s">
        <v>11624</v>
      </c>
      <c r="G11230">
        <v>-3.2735799999999999</v>
      </c>
      <c r="H11230">
        <v>126.98099999999999</v>
      </c>
      <c r="I11230" t="s">
        <v>40313</v>
      </c>
      <c r="L11230">
        <v>0</v>
      </c>
      <c r="M11230">
        <v>0</v>
      </c>
      <c r="N11230">
        <v>2</v>
      </c>
      <c r="O11230" t="s">
        <v>11768</v>
      </c>
    </row>
    <row r="11231" spans="1:15">
      <c r="A11231" t="s">
        <v>40314</v>
      </c>
      <c r="B11231" t="s">
        <v>11644</v>
      </c>
      <c r="C11231" t="s">
        <v>22905</v>
      </c>
      <c r="D11231" t="s">
        <v>40315</v>
      </c>
      <c r="E11231" t="b">
        <v>0</v>
      </c>
      <c r="F11231" t="s">
        <v>11624</v>
      </c>
      <c r="G11231">
        <v>27.371821000000001</v>
      </c>
      <c r="H11231">
        <v>92.232986999999994</v>
      </c>
      <c r="I11231" t="s">
        <v>40316</v>
      </c>
      <c r="L11231">
        <v>0</v>
      </c>
      <c r="M11231">
        <v>0</v>
      </c>
      <c r="N11231">
        <v>0</v>
      </c>
      <c r="O11231" t="s">
        <v>11630</v>
      </c>
    </row>
    <row r="11232" spans="1:15">
      <c r="A11232" t="s">
        <v>26444</v>
      </c>
      <c r="B11232" t="s">
        <v>11607</v>
      </c>
      <c r="C11232" t="s">
        <v>37689</v>
      </c>
      <c r="D11232" t="s">
        <v>40317</v>
      </c>
      <c r="E11232" t="b">
        <v>0</v>
      </c>
      <c r="F11232" t="s">
        <v>11624</v>
      </c>
      <c r="G11232">
        <v>44.065280999999999</v>
      </c>
      <c r="H11232">
        <v>36.213298000000002</v>
      </c>
      <c r="I11232" t="s">
        <v>40318</v>
      </c>
      <c r="L11232">
        <v>0</v>
      </c>
      <c r="M11232">
        <v>0</v>
      </c>
      <c r="N11232">
        <v>12</v>
      </c>
      <c r="O11232" t="s">
        <v>13147</v>
      </c>
    </row>
    <row r="11233" spans="1:15">
      <c r="A11233" t="s">
        <v>40319</v>
      </c>
      <c r="B11233" t="s">
        <v>11607</v>
      </c>
      <c r="C11233" t="s">
        <v>40320</v>
      </c>
      <c r="D11233" t="s">
        <v>40321</v>
      </c>
      <c r="E11233" t="b">
        <v>0</v>
      </c>
      <c r="F11233" t="s">
        <v>11624</v>
      </c>
      <c r="G11233">
        <v>38</v>
      </c>
      <c r="H11233">
        <v>47</v>
      </c>
      <c r="I11233" t="s">
        <v>40322</v>
      </c>
      <c r="L11233">
        <v>0</v>
      </c>
      <c r="M11233">
        <v>0</v>
      </c>
      <c r="N11233">
        <v>7</v>
      </c>
      <c r="O11233" t="s">
        <v>40323</v>
      </c>
    </row>
    <row r="11234" spans="1:15">
      <c r="A11234" t="s">
        <v>13237</v>
      </c>
      <c r="B11234" t="s">
        <v>11607</v>
      </c>
      <c r="C11234" t="s">
        <v>17195</v>
      </c>
      <c r="D11234" t="s">
        <v>40324</v>
      </c>
      <c r="E11234" t="b">
        <v>0</v>
      </c>
      <c r="F11234" t="s">
        <v>11624</v>
      </c>
      <c r="G11234">
        <v>31.7745</v>
      </c>
      <c r="H11234">
        <v>35.222499999999997</v>
      </c>
      <c r="I11234" t="s">
        <v>40325</v>
      </c>
      <c r="L11234">
        <v>0</v>
      </c>
      <c r="M11234">
        <v>0</v>
      </c>
      <c r="N11234">
        <v>8</v>
      </c>
      <c r="O11234" t="s">
        <v>13147</v>
      </c>
    </row>
    <row r="11235" spans="1:15">
      <c r="A11235" t="s">
        <v>40290</v>
      </c>
      <c r="B11235" t="s">
        <v>11644</v>
      </c>
      <c r="C11235" t="s">
        <v>35637</v>
      </c>
      <c r="D11235" t="s">
        <v>40326</v>
      </c>
      <c r="E11235" t="b">
        <v>0</v>
      </c>
      <c r="F11235" t="s">
        <v>11622</v>
      </c>
      <c r="L11235">
        <v>14</v>
      </c>
      <c r="M11235">
        <v>24</v>
      </c>
      <c r="N11235">
        <v>9</v>
      </c>
    </row>
    <row r="11236" spans="1:15">
      <c r="A11236" t="s">
        <v>40327</v>
      </c>
      <c r="B11236" t="s">
        <v>6742</v>
      </c>
      <c r="C11236" t="s">
        <v>27852</v>
      </c>
      <c r="D11236" t="s">
        <v>40328</v>
      </c>
      <c r="E11236" t="b">
        <v>0</v>
      </c>
      <c r="F11236" t="s">
        <v>11610</v>
      </c>
      <c r="L11236">
        <v>0</v>
      </c>
      <c r="M11236">
        <v>0</v>
      </c>
      <c r="N11236">
        <v>0</v>
      </c>
    </row>
    <row r="11237" spans="1:15">
      <c r="A11237" t="s">
        <v>40329</v>
      </c>
      <c r="B11237" t="s">
        <v>11644</v>
      </c>
      <c r="C11237" t="s">
        <v>25579</v>
      </c>
      <c r="D11237" t="s">
        <v>40330</v>
      </c>
      <c r="E11237" t="b">
        <v>0</v>
      </c>
      <c r="F11237" t="s">
        <v>11610</v>
      </c>
      <c r="L11237">
        <v>0</v>
      </c>
      <c r="M11237">
        <v>0</v>
      </c>
      <c r="N11237">
        <v>0</v>
      </c>
    </row>
    <row r="11238" spans="1:15">
      <c r="A11238" t="s">
        <v>18950</v>
      </c>
      <c r="B11238" t="s">
        <v>11644</v>
      </c>
      <c r="C11238" t="s">
        <v>39134</v>
      </c>
      <c r="D11238" t="s">
        <v>40331</v>
      </c>
      <c r="E11238" t="b">
        <v>0</v>
      </c>
      <c r="F11238" t="s">
        <v>11624</v>
      </c>
      <c r="G11238">
        <v>22.5488</v>
      </c>
      <c r="H11238">
        <v>94.0184</v>
      </c>
      <c r="I11238" t="s">
        <v>40332</v>
      </c>
      <c r="L11238">
        <v>0</v>
      </c>
      <c r="M11238">
        <v>0</v>
      </c>
      <c r="N11238">
        <v>6</v>
      </c>
      <c r="O11238" t="s">
        <v>40333</v>
      </c>
    </row>
    <row r="11239" spans="1:15">
      <c r="A11239" t="s">
        <v>40334</v>
      </c>
      <c r="B11239" t="s">
        <v>367</v>
      </c>
      <c r="C11239" t="s">
        <v>39807</v>
      </c>
      <c r="D11239" t="s">
        <v>40335</v>
      </c>
      <c r="E11239" t="b">
        <v>0</v>
      </c>
      <c r="F11239" t="s">
        <v>11610</v>
      </c>
      <c r="L11239">
        <v>0</v>
      </c>
      <c r="M11239">
        <v>0</v>
      </c>
      <c r="N11239">
        <v>0</v>
      </c>
    </row>
    <row r="11240" spans="1:15">
      <c r="A11240" t="s">
        <v>39134</v>
      </c>
      <c r="B11240" t="s">
        <v>11644</v>
      </c>
      <c r="C11240" t="s">
        <v>40336</v>
      </c>
      <c r="D11240" t="s">
        <v>40337</v>
      </c>
      <c r="E11240" t="b">
        <v>0</v>
      </c>
      <c r="F11240" t="s">
        <v>11622</v>
      </c>
      <c r="L11240">
        <v>8</v>
      </c>
      <c r="M11240">
        <v>13</v>
      </c>
      <c r="N11240">
        <v>6</v>
      </c>
    </row>
    <row r="11241" spans="1:15">
      <c r="A11241" t="s">
        <v>40338</v>
      </c>
      <c r="B11241" t="s">
        <v>11637</v>
      </c>
      <c r="C11241" t="s">
        <v>186</v>
      </c>
      <c r="D11241" t="s">
        <v>40339</v>
      </c>
      <c r="E11241" t="b">
        <v>0</v>
      </c>
      <c r="F11241" t="s">
        <v>11610</v>
      </c>
      <c r="L11241">
        <v>0</v>
      </c>
      <c r="M11241">
        <v>0</v>
      </c>
      <c r="N11241">
        <v>0</v>
      </c>
    </row>
    <row r="11242" spans="1:15">
      <c r="A11242" t="s">
        <v>40340</v>
      </c>
      <c r="B11242" t="s">
        <v>11644</v>
      </c>
      <c r="C11242" t="s">
        <v>23122</v>
      </c>
      <c r="D11242" t="s">
        <v>40341</v>
      </c>
      <c r="E11242" t="b">
        <v>0</v>
      </c>
      <c r="F11242" t="s">
        <v>11624</v>
      </c>
      <c r="I11242" t="s">
        <v>40342</v>
      </c>
      <c r="L11242">
        <v>0</v>
      </c>
      <c r="M11242">
        <v>0</v>
      </c>
      <c r="N11242">
        <v>0</v>
      </c>
      <c r="O11242" t="s">
        <v>11905</v>
      </c>
    </row>
    <row r="11243" spans="1:15">
      <c r="A11243" t="s">
        <v>40343</v>
      </c>
      <c r="B11243" t="s">
        <v>11981</v>
      </c>
      <c r="C11243" t="s">
        <v>29056</v>
      </c>
      <c r="D11243" t="s">
        <v>40344</v>
      </c>
      <c r="E11243" t="b">
        <v>0</v>
      </c>
      <c r="F11243" t="s">
        <v>11624</v>
      </c>
      <c r="G11243">
        <v>55.248699999999999</v>
      </c>
      <c r="H11243">
        <v>23.881399999999999</v>
      </c>
      <c r="I11243" t="s">
        <v>40345</v>
      </c>
      <c r="L11243">
        <v>0</v>
      </c>
      <c r="M11243">
        <v>0</v>
      </c>
      <c r="N11243">
        <v>0</v>
      </c>
      <c r="O11243" t="s">
        <v>35028</v>
      </c>
    </row>
    <row r="11244" spans="1:15">
      <c r="A11244" t="s">
        <v>1482</v>
      </c>
      <c r="B11244" t="s">
        <v>11637</v>
      </c>
      <c r="C11244" t="s">
        <v>25829</v>
      </c>
      <c r="D11244" t="s">
        <v>40346</v>
      </c>
      <c r="E11244" t="b">
        <v>0</v>
      </c>
      <c r="F11244" t="s">
        <v>11624</v>
      </c>
      <c r="G11244">
        <v>55.142899999999997</v>
      </c>
      <c r="H11244">
        <v>23.960100000000001</v>
      </c>
      <c r="I11244" t="s">
        <v>1483</v>
      </c>
      <c r="L11244">
        <v>0</v>
      </c>
      <c r="M11244">
        <v>0</v>
      </c>
      <c r="N11244">
        <v>9</v>
      </c>
      <c r="O11244" t="s">
        <v>40347</v>
      </c>
    </row>
    <row r="11245" spans="1:15">
      <c r="A11245" t="s">
        <v>40348</v>
      </c>
      <c r="B11245" t="s">
        <v>11637</v>
      </c>
      <c r="C11245" t="s">
        <v>16346</v>
      </c>
      <c r="D11245" t="s">
        <v>40349</v>
      </c>
      <c r="E11245" t="b">
        <v>0</v>
      </c>
      <c r="F11245" t="s">
        <v>11610</v>
      </c>
      <c r="L11245">
        <v>0</v>
      </c>
      <c r="M11245">
        <v>0</v>
      </c>
      <c r="N11245">
        <v>0</v>
      </c>
    </row>
    <row r="11246" spans="1:15">
      <c r="A11246" t="s">
        <v>40350</v>
      </c>
      <c r="B11246" t="s">
        <v>11644</v>
      </c>
      <c r="C11246" t="s">
        <v>17422</v>
      </c>
      <c r="D11246" t="s">
        <v>40351</v>
      </c>
      <c r="E11246" t="b">
        <v>0</v>
      </c>
      <c r="F11246" t="s">
        <v>11610</v>
      </c>
      <c r="L11246">
        <v>0</v>
      </c>
      <c r="M11246">
        <v>0</v>
      </c>
      <c r="N11246">
        <v>0</v>
      </c>
    </row>
    <row r="11247" spans="1:15">
      <c r="A11247" t="s">
        <v>40352</v>
      </c>
      <c r="B11247" t="s">
        <v>11844</v>
      </c>
      <c r="C11247" t="s">
        <v>29434</v>
      </c>
      <c r="D11247" t="s">
        <v>40353</v>
      </c>
      <c r="E11247" t="b">
        <v>0</v>
      </c>
      <c r="F11247" t="s">
        <v>11610</v>
      </c>
      <c r="L11247">
        <v>0</v>
      </c>
      <c r="M11247">
        <v>0</v>
      </c>
      <c r="N11247">
        <v>0</v>
      </c>
    </row>
    <row r="11248" spans="1:15">
      <c r="A11248" t="s">
        <v>40354</v>
      </c>
      <c r="B11248" t="s">
        <v>6742</v>
      </c>
      <c r="C11248" t="s">
        <v>13522</v>
      </c>
      <c r="D11248" t="s">
        <v>40355</v>
      </c>
      <c r="E11248" t="b">
        <v>0</v>
      </c>
      <c r="F11248" t="s">
        <v>11610</v>
      </c>
      <c r="L11248">
        <v>0</v>
      </c>
      <c r="M11248">
        <v>0</v>
      </c>
      <c r="N11248">
        <v>0</v>
      </c>
    </row>
    <row r="11249" spans="1:15">
      <c r="A11249" t="s">
        <v>7782</v>
      </c>
      <c r="B11249" t="s">
        <v>6742</v>
      </c>
      <c r="C11249" t="s">
        <v>19292</v>
      </c>
      <c r="D11249" t="s">
        <v>40356</v>
      </c>
      <c r="E11249" t="b">
        <v>0</v>
      </c>
      <c r="F11249" t="s">
        <v>11624</v>
      </c>
      <c r="G11249">
        <v>2.69</v>
      </c>
      <c r="H11249">
        <v>19.239999999999998</v>
      </c>
      <c r="L11249">
        <v>0</v>
      </c>
      <c r="M11249">
        <v>0</v>
      </c>
      <c r="N11249">
        <v>0</v>
      </c>
      <c r="O11249" t="s">
        <v>14825</v>
      </c>
    </row>
    <row r="11250" spans="1:15">
      <c r="A11250" t="s">
        <v>40357</v>
      </c>
      <c r="B11250" t="s">
        <v>12438</v>
      </c>
      <c r="C11250" t="s">
        <v>23340</v>
      </c>
      <c r="D11250" t="s">
        <v>40358</v>
      </c>
      <c r="E11250" t="b">
        <v>0</v>
      </c>
      <c r="F11250" t="s">
        <v>11610</v>
      </c>
      <c r="L11250">
        <v>0</v>
      </c>
      <c r="M11250">
        <v>0</v>
      </c>
      <c r="N11250">
        <v>0</v>
      </c>
    </row>
    <row r="11251" spans="1:15">
      <c r="A11251" t="s">
        <v>40359</v>
      </c>
      <c r="B11251" t="s">
        <v>11637</v>
      </c>
      <c r="C11251" t="s">
        <v>40360</v>
      </c>
      <c r="D11251" t="s">
        <v>40361</v>
      </c>
      <c r="E11251" t="b">
        <v>0</v>
      </c>
      <c r="F11251" t="s">
        <v>11610</v>
      </c>
      <c r="L11251">
        <v>0</v>
      </c>
      <c r="M11251">
        <v>0</v>
      </c>
      <c r="N11251">
        <v>0</v>
      </c>
    </row>
    <row r="11252" spans="1:15">
      <c r="A11252" t="s">
        <v>40362</v>
      </c>
      <c r="B11252" t="s">
        <v>367</v>
      </c>
      <c r="C11252" t="s">
        <v>21960</v>
      </c>
      <c r="D11252" t="s">
        <v>40363</v>
      </c>
      <c r="E11252" t="b">
        <v>0</v>
      </c>
      <c r="F11252" t="s">
        <v>11624</v>
      </c>
      <c r="G11252">
        <v>-16.133099999999999</v>
      </c>
      <c r="H11252">
        <v>167.41499999999999</v>
      </c>
      <c r="I11252" t="s">
        <v>40364</v>
      </c>
      <c r="L11252">
        <v>0</v>
      </c>
      <c r="M11252">
        <v>0</v>
      </c>
      <c r="N11252">
        <v>0</v>
      </c>
      <c r="O11252" t="s">
        <v>12719</v>
      </c>
    </row>
    <row r="11253" spans="1:15">
      <c r="A11253" t="s">
        <v>40365</v>
      </c>
      <c r="B11253" t="s">
        <v>11644</v>
      </c>
      <c r="C11253" t="s">
        <v>40366</v>
      </c>
      <c r="D11253" t="s">
        <v>40367</v>
      </c>
      <c r="E11253" t="b">
        <v>0</v>
      </c>
      <c r="F11253" t="s">
        <v>11610</v>
      </c>
      <c r="L11253">
        <v>0</v>
      </c>
      <c r="M11253">
        <v>0</v>
      </c>
      <c r="N11253">
        <v>0</v>
      </c>
    </row>
    <row r="11254" spans="1:15">
      <c r="A11254" t="s">
        <v>40368</v>
      </c>
      <c r="B11254" t="s">
        <v>5126</v>
      </c>
      <c r="C11254" t="s">
        <v>19778</v>
      </c>
      <c r="D11254" t="s">
        <v>40369</v>
      </c>
      <c r="E11254" t="b">
        <v>0</v>
      </c>
      <c r="F11254" t="s">
        <v>11624</v>
      </c>
      <c r="G11254">
        <v>24.2</v>
      </c>
      <c r="H11254">
        <v>109.25</v>
      </c>
      <c r="I11254" t="s">
        <v>40370</v>
      </c>
      <c r="L11254">
        <v>0</v>
      </c>
      <c r="M11254">
        <v>0</v>
      </c>
      <c r="N11254">
        <v>0</v>
      </c>
      <c r="O11254" t="s">
        <v>11905</v>
      </c>
    </row>
    <row r="11255" spans="1:15">
      <c r="A11255" t="s">
        <v>40371</v>
      </c>
      <c r="B11255" t="s">
        <v>5126</v>
      </c>
      <c r="C11255" t="s">
        <v>19778</v>
      </c>
      <c r="D11255" t="s">
        <v>40372</v>
      </c>
      <c r="E11255" t="b">
        <v>0</v>
      </c>
      <c r="F11255" t="s">
        <v>11624</v>
      </c>
      <c r="G11255">
        <v>24.1</v>
      </c>
      <c r="H11255">
        <v>109.75</v>
      </c>
      <c r="I11255" t="s">
        <v>40373</v>
      </c>
      <c r="L11255">
        <v>0</v>
      </c>
      <c r="M11255">
        <v>0</v>
      </c>
      <c r="N11255">
        <v>0</v>
      </c>
      <c r="O11255" t="s">
        <v>11905</v>
      </c>
    </row>
    <row r="11256" spans="1:15">
      <c r="A11256" t="s">
        <v>40374</v>
      </c>
      <c r="B11256" t="s">
        <v>6742</v>
      </c>
      <c r="C11256" t="s">
        <v>5536</v>
      </c>
      <c r="D11256" t="s">
        <v>40375</v>
      </c>
      <c r="E11256" t="b">
        <v>0</v>
      </c>
      <c r="F11256" t="s">
        <v>11610</v>
      </c>
      <c r="L11256">
        <v>0</v>
      </c>
      <c r="M11256">
        <v>0</v>
      </c>
      <c r="N11256">
        <v>0</v>
      </c>
    </row>
    <row r="11257" spans="1:15">
      <c r="A11257" t="s">
        <v>40376</v>
      </c>
      <c r="B11257" t="s">
        <v>6742</v>
      </c>
      <c r="C11257" t="s">
        <v>16612</v>
      </c>
      <c r="D11257" t="s">
        <v>40377</v>
      </c>
      <c r="E11257" t="b">
        <v>0</v>
      </c>
      <c r="F11257" t="s">
        <v>11610</v>
      </c>
      <c r="L11257">
        <v>0</v>
      </c>
      <c r="M11257">
        <v>0</v>
      </c>
      <c r="N11257">
        <v>0</v>
      </c>
    </row>
    <row r="11258" spans="1:15">
      <c r="A11258" t="s">
        <v>40378</v>
      </c>
      <c r="B11258" t="s">
        <v>367</v>
      </c>
      <c r="C11258" t="s">
        <v>20392</v>
      </c>
      <c r="D11258" t="s">
        <v>40379</v>
      </c>
      <c r="E11258" t="b">
        <v>0</v>
      </c>
      <c r="F11258" t="s">
        <v>11610</v>
      </c>
      <c r="L11258">
        <v>0</v>
      </c>
      <c r="M11258">
        <v>0</v>
      </c>
      <c r="N11258">
        <v>0</v>
      </c>
    </row>
    <row r="11259" spans="1:15">
      <c r="A11259" t="s">
        <v>40380</v>
      </c>
      <c r="B11259" t="s">
        <v>11644</v>
      </c>
      <c r="C11259" t="s">
        <v>38809</v>
      </c>
      <c r="D11259" t="s">
        <v>40381</v>
      </c>
      <c r="E11259" t="b">
        <v>0</v>
      </c>
      <c r="F11259" t="s">
        <v>11610</v>
      </c>
      <c r="L11259">
        <v>0</v>
      </c>
      <c r="M11259">
        <v>0</v>
      </c>
      <c r="N11259">
        <v>0</v>
      </c>
    </row>
    <row r="11260" spans="1:15">
      <c r="A11260" t="s">
        <v>40382</v>
      </c>
      <c r="B11260" t="s">
        <v>11637</v>
      </c>
      <c r="C11260" t="s">
        <v>13534</v>
      </c>
      <c r="D11260" t="s">
        <v>40383</v>
      </c>
      <c r="E11260" t="b">
        <v>0</v>
      </c>
      <c r="F11260" t="s">
        <v>11610</v>
      </c>
      <c r="L11260">
        <v>0</v>
      </c>
      <c r="M11260">
        <v>0</v>
      </c>
      <c r="N11260">
        <v>0</v>
      </c>
    </row>
    <row r="11261" spans="1:15">
      <c r="A11261" t="s">
        <v>40384</v>
      </c>
      <c r="B11261" t="s">
        <v>367</v>
      </c>
      <c r="C11261" t="s">
        <v>7268</v>
      </c>
      <c r="D11261" t="s">
        <v>40385</v>
      </c>
      <c r="E11261" t="b">
        <v>0</v>
      </c>
      <c r="F11261" t="s">
        <v>11610</v>
      </c>
      <c r="L11261">
        <v>0</v>
      </c>
      <c r="M11261">
        <v>0</v>
      </c>
      <c r="N11261">
        <v>0</v>
      </c>
    </row>
    <row r="11262" spans="1:15">
      <c r="A11262" t="s">
        <v>40386</v>
      </c>
      <c r="B11262" t="s">
        <v>367</v>
      </c>
      <c r="C11262" t="s">
        <v>14574</v>
      </c>
      <c r="D11262" t="s">
        <v>40387</v>
      </c>
      <c r="E11262" t="b">
        <v>0</v>
      </c>
      <c r="F11262" t="s">
        <v>11610</v>
      </c>
      <c r="L11262">
        <v>0</v>
      </c>
      <c r="M11262">
        <v>0</v>
      </c>
      <c r="N11262">
        <v>0</v>
      </c>
    </row>
    <row r="11263" spans="1:15">
      <c r="A11263" t="s">
        <v>10099</v>
      </c>
      <c r="B11263" t="s">
        <v>12260</v>
      </c>
      <c r="C11263" t="s">
        <v>26639</v>
      </c>
      <c r="D11263" t="s">
        <v>40388</v>
      </c>
      <c r="E11263" t="b">
        <v>0</v>
      </c>
      <c r="F11263" t="s">
        <v>11624</v>
      </c>
      <c r="G11263">
        <v>61.656500000000001</v>
      </c>
      <c r="H11263">
        <v>29.072600000000001</v>
      </c>
      <c r="I11263" t="s">
        <v>10101</v>
      </c>
      <c r="L11263">
        <v>0</v>
      </c>
      <c r="M11263">
        <v>0</v>
      </c>
      <c r="N11263">
        <v>0</v>
      </c>
      <c r="O11263" t="s">
        <v>35134</v>
      </c>
    </row>
    <row r="11264" spans="1:15">
      <c r="A11264" t="s">
        <v>25893</v>
      </c>
      <c r="B11264" t="s">
        <v>12260</v>
      </c>
      <c r="C11264" t="s">
        <v>23184</v>
      </c>
      <c r="D11264" t="s">
        <v>40389</v>
      </c>
      <c r="E11264" t="b">
        <v>0</v>
      </c>
      <c r="F11264" t="s">
        <v>11624</v>
      </c>
      <c r="G11264">
        <v>57.566000000000003</v>
      </c>
      <c r="H11264">
        <v>22.026199999999999</v>
      </c>
      <c r="I11264" t="s">
        <v>40390</v>
      </c>
      <c r="L11264">
        <v>0</v>
      </c>
      <c r="M11264">
        <v>0</v>
      </c>
      <c r="N11264">
        <v>2</v>
      </c>
      <c r="O11264" t="s">
        <v>39531</v>
      </c>
    </row>
    <row r="11265" spans="1:15">
      <c r="A11265" t="s">
        <v>40391</v>
      </c>
      <c r="B11265" t="s">
        <v>6742</v>
      </c>
      <c r="C11265" t="s">
        <v>17908</v>
      </c>
      <c r="D11265" t="s">
        <v>40392</v>
      </c>
      <c r="E11265" t="b">
        <v>0</v>
      </c>
      <c r="F11265" t="s">
        <v>11610</v>
      </c>
      <c r="G11265">
        <v>-9.5849100000000007</v>
      </c>
      <c r="H11265">
        <v>35.121160000000003</v>
      </c>
      <c r="L11265">
        <v>0</v>
      </c>
      <c r="M11265">
        <v>0</v>
      </c>
      <c r="N11265">
        <v>0</v>
      </c>
    </row>
    <row r="11266" spans="1:15">
      <c r="A11266" t="s">
        <v>40393</v>
      </c>
      <c r="B11266" t="s">
        <v>11644</v>
      </c>
      <c r="C11266" t="s">
        <v>33539</v>
      </c>
      <c r="D11266" t="s">
        <v>40394</v>
      </c>
      <c r="E11266" t="b">
        <v>0</v>
      </c>
      <c r="F11266" t="s">
        <v>11610</v>
      </c>
      <c r="L11266">
        <v>0</v>
      </c>
      <c r="M11266">
        <v>0</v>
      </c>
      <c r="N11266">
        <v>0</v>
      </c>
    </row>
    <row r="11267" spans="1:15">
      <c r="A11267" t="s">
        <v>40395</v>
      </c>
      <c r="B11267" t="s">
        <v>10597</v>
      </c>
      <c r="C11267" t="s">
        <v>668</v>
      </c>
      <c r="D11267" t="s">
        <v>40396</v>
      </c>
      <c r="E11267" t="b">
        <v>0</v>
      </c>
      <c r="F11267" t="s">
        <v>11610</v>
      </c>
      <c r="L11267">
        <v>0</v>
      </c>
      <c r="M11267">
        <v>0</v>
      </c>
      <c r="N11267">
        <v>0</v>
      </c>
    </row>
    <row r="11268" spans="1:15">
      <c r="A11268" t="s">
        <v>40397</v>
      </c>
      <c r="B11268" t="s">
        <v>10597</v>
      </c>
      <c r="C11268" t="s">
        <v>668</v>
      </c>
      <c r="D11268" t="s">
        <v>40398</v>
      </c>
      <c r="E11268" t="b">
        <v>0</v>
      </c>
      <c r="F11268" t="s">
        <v>11610</v>
      </c>
      <c r="L11268">
        <v>0</v>
      </c>
      <c r="M11268">
        <v>0</v>
      </c>
      <c r="N11268">
        <v>0</v>
      </c>
    </row>
    <row r="11269" spans="1:15">
      <c r="A11269" t="s">
        <v>40399</v>
      </c>
      <c r="B11269" t="s">
        <v>6742</v>
      </c>
      <c r="C11269" t="s">
        <v>32319</v>
      </c>
      <c r="D11269" t="s">
        <v>40400</v>
      </c>
      <c r="E11269" t="b">
        <v>0</v>
      </c>
      <c r="F11269" t="s">
        <v>11610</v>
      </c>
      <c r="L11269">
        <v>0</v>
      </c>
      <c r="M11269">
        <v>0</v>
      </c>
      <c r="N11269">
        <v>0</v>
      </c>
    </row>
    <row r="11270" spans="1:15">
      <c r="A11270" t="s">
        <v>40401</v>
      </c>
      <c r="B11270" t="s">
        <v>11644</v>
      </c>
      <c r="C11270" t="s">
        <v>27363</v>
      </c>
      <c r="D11270" t="s">
        <v>40402</v>
      </c>
      <c r="E11270" t="b">
        <v>0</v>
      </c>
      <c r="F11270" t="s">
        <v>11624</v>
      </c>
      <c r="G11270">
        <v>28.333424999999998</v>
      </c>
      <c r="H11270">
        <v>101.350309</v>
      </c>
      <c r="L11270">
        <v>0</v>
      </c>
      <c r="M11270">
        <v>0</v>
      </c>
      <c r="N11270">
        <v>0</v>
      </c>
      <c r="O11270" t="s">
        <v>11905</v>
      </c>
    </row>
    <row r="11271" spans="1:15">
      <c r="A11271" t="s">
        <v>40403</v>
      </c>
      <c r="B11271" t="s">
        <v>141</v>
      </c>
      <c r="C11271" t="s">
        <v>22078</v>
      </c>
      <c r="D11271" t="s">
        <v>40404</v>
      </c>
      <c r="E11271" t="b">
        <v>0</v>
      </c>
      <c r="F11271" t="s">
        <v>11610</v>
      </c>
      <c r="L11271">
        <v>0</v>
      </c>
      <c r="M11271">
        <v>0</v>
      </c>
      <c r="N11271">
        <v>0</v>
      </c>
    </row>
    <row r="11272" spans="1:15">
      <c r="A11272" t="s">
        <v>40405</v>
      </c>
      <c r="B11272" t="s">
        <v>367</v>
      </c>
      <c r="C11272" t="s">
        <v>32208</v>
      </c>
      <c r="D11272" t="s">
        <v>40406</v>
      </c>
      <c r="E11272" t="b">
        <v>0</v>
      </c>
      <c r="F11272" t="s">
        <v>11610</v>
      </c>
      <c r="L11272">
        <v>0</v>
      </c>
      <c r="M11272">
        <v>0</v>
      </c>
      <c r="N11272">
        <v>0</v>
      </c>
    </row>
    <row r="11273" spans="1:15">
      <c r="A11273" t="s">
        <v>40407</v>
      </c>
      <c r="B11273" t="s">
        <v>11627</v>
      </c>
      <c r="C11273" t="s">
        <v>11627</v>
      </c>
      <c r="D11273" t="s">
        <v>40408</v>
      </c>
      <c r="E11273" t="b">
        <v>1</v>
      </c>
      <c r="F11273" t="s">
        <v>11624</v>
      </c>
      <c r="G11273">
        <v>26.094999999999999</v>
      </c>
      <c r="H11273">
        <v>68.715000000000003</v>
      </c>
      <c r="I11273" t="s">
        <v>40409</v>
      </c>
      <c r="L11273">
        <v>0</v>
      </c>
      <c r="M11273">
        <v>0</v>
      </c>
      <c r="N11273">
        <v>0</v>
      </c>
      <c r="O11273" t="s">
        <v>12172</v>
      </c>
    </row>
    <row r="11274" spans="1:15">
      <c r="A11274" t="s">
        <v>40410</v>
      </c>
      <c r="B11274" t="s">
        <v>6742</v>
      </c>
      <c r="C11274" t="s">
        <v>19350</v>
      </c>
      <c r="D11274" t="s">
        <v>40411</v>
      </c>
      <c r="E11274" t="b">
        <v>0</v>
      </c>
      <c r="F11274" t="s">
        <v>11624</v>
      </c>
      <c r="G11274">
        <v>2.04881</v>
      </c>
      <c r="H11274">
        <v>18.366700000000002</v>
      </c>
      <c r="I11274" t="s">
        <v>40412</v>
      </c>
      <c r="L11274">
        <v>0</v>
      </c>
      <c r="M11274">
        <v>0</v>
      </c>
      <c r="N11274">
        <v>3</v>
      </c>
      <c r="O11274" t="s">
        <v>16337</v>
      </c>
    </row>
    <row r="11275" spans="1:15">
      <c r="A11275" t="s">
        <v>40413</v>
      </c>
      <c r="B11275" t="s">
        <v>6742</v>
      </c>
      <c r="C11275" t="s">
        <v>40414</v>
      </c>
      <c r="D11275" t="s">
        <v>40415</v>
      </c>
      <c r="E11275" t="b">
        <v>0</v>
      </c>
      <c r="F11275" t="s">
        <v>11610</v>
      </c>
      <c r="L11275">
        <v>0</v>
      </c>
      <c r="M11275">
        <v>0</v>
      </c>
      <c r="N11275">
        <v>0</v>
      </c>
    </row>
    <row r="11276" spans="1:15">
      <c r="A11276" t="s">
        <v>40416</v>
      </c>
      <c r="B11276" t="s">
        <v>6742</v>
      </c>
      <c r="C11276" t="s">
        <v>4118</v>
      </c>
      <c r="D11276" t="s">
        <v>40417</v>
      </c>
      <c r="E11276" t="b">
        <v>0</v>
      </c>
      <c r="F11276" t="s">
        <v>11610</v>
      </c>
      <c r="L11276">
        <v>0</v>
      </c>
      <c r="M11276">
        <v>0</v>
      </c>
      <c r="N11276">
        <v>0</v>
      </c>
    </row>
    <row r="11277" spans="1:15">
      <c r="A11277" t="s">
        <v>29527</v>
      </c>
      <c r="B11277" t="s">
        <v>6742</v>
      </c>
      <c r="C11277" t="s">
        <v>25704</v>
      </c>
      <c r="D11277" t="s">
        <v>40418</v>
      </c>
      <c r="E11277" t="b">
        <v>0</v>
      </c>
      <c r="F11277" t="s">
        <v>11624</v>
      </c>
      <c r="G11277">
        <v>9.9612200000000009</v>
      </c>
      <c r="H11277">
        <v>-3.3359999999999999</v>
      </c>
      <c r="I11277" t="s">
        <v>40419</v>
      </c>
      <c r="L11277">
        <v>0</v>
      </c>
      <c r="M11277">
        <v>0</v>
      </c>
      <c r="N11277">
        <v>1</v>
      </c>
      <c r="O11277" t="s">
        <v>19756</v>
      </c>
    </row>
    <row r="11278" spans="1:15">
      <c r="A11278" t="s">
        <v>25704</v>
      </c>
      <c r="B11278" t="s">
        <v>6742</v>
      </c>
      <c r="C11278" t="s">
        <v>15584</v>
      </c>
      <c r="D11278" t="s">
        <v>40420</v>
      </c>
      <c r="E11278" t="b">
        <v>0</v>
      </c>
      <c r="F11278" t="s">
        <v>11622</v>
      </c>
      <c r="L11278">
        <v>0</v>
      </c>
      <c r="M11278">
        <v>2</v>
      </c>
      <c r="N11278">
        <v>2</v>
      </c>
    </row>
    <row r="11279" spans="1:15">
      <c r="A11279" t="s">
        <v>40421</v>
      </c>
      <c r="B11279" t="s">
        <v>6742</v>
      </c>
      <c r="C11279" t="s">
        <v>16842</v>
      </c>
      <c r="D11279" t="s">
        <v>40422</v>
      </c>
      <c r="E11279" t="b">
        <v>0</v>
      </c>
      <c r="F11279" t="s">
        <v>11610</v>
      </c>
      <c r="L11279">
        <v>0</v>
      </c>
      <c r="M11279">
        <v>0</v>
      </c>
      <c r="N11279">
        <v>0</v>
      </c>
    </row>
    <row r="11280" spans="1:15">
      <c r="A11280" t="s">
        <v>40423</v>
      </c>
      <c r="B11280" t="s">
        <v>367</v>
      </c>
      <c r="C11280" t="s">
        <v>21560</v>
      </c>
      <c r="D11280" t="s">
        <v>40424</v>
      </c>
      <c r="E11280" t="b">
        <v>0</v>
      </c>
      <c r="F11280" t="s">
        <v>11610</v>
      </c>
      <c r="L11280">
        <v>0</v>
      </c>
      <c r="M11280">
        <v>0</v>
      </c>
      <c r="N11280">
        <v>0</v>
      </c>
    </row>
    <row r="11281" spans="1:15">
      <c r="A11281" t="s">
        <v>40425</v>
      </c>
      <c r="B11281" t="s">
        <v>367</v>
      </c>
      <c r="C11281" t="s">
        <v>39279</v>
      </c>
      <c r="D11281" t="s">
        <v>40426</v>
      </c>
      <c r="E11281" t="b">
        <v>0</v>
      </c>
      <c r="F11281" t="s">
        <v>11610</v>
      </c>
      <c r="L11281">
        <v>0</v>
      </c>
      <c r="M11281">
        <v>0</v>
      </c>
      <c r="N11281">
        <v>0</v>
      </c>
    </row>
    <row r="11282" spans="1:15">
      <c r="A11282" t="s">
        <v>40427</v>
      </c>
      <c r="B11282" t="s">
        <v>367</v>
      </c>
      <c r="C11282" t="s">
        <v>31425</v>
      </c>
      <c r="D11282" t="s">
        <v>40428</v>
      </c>
      <c r="E11282" t="b">
        <v>0</v>
      </c>
      <c r="F11282" t="s">
        <v>11610</v>
      </c>
      <c r="L11282">
        <v>0</v>
      </c>
      <c r="M11282">
        <v>0</v>
      </c>
      <c r="N11282">
        <v>0</v>
      </c>
    </row>
    <row r="11283" spans="1:15">
      <c r="A11283" t="s">
        <v>40429</v>
      </c>
      <c r="B11283" t="s">
        <v>11637</v>
      </c>
      <c r="C11283" t="s">
        <v>13063</v>
      </c>
      <c r="D11283" t="s">
        <v>40430</v>
      </c>
      <c r="E11283" t="b">
        <v>0</v>
      </c>
      <c r="F11283" t="s">
        <v>11610</v>
      </c>
      <c r="L11283">
        <v>0</v>
      </c>
      <c r="M11283">
        <v>0</v>
      </c>
      <c r="N11283">
        <v>0</v>
      </c>
    </row>
    <row r="11284" spans="1:15">
      <c r="A11284" t="s">
        <v>40431</v>
      </c>
      <c r="B11284" t="s">
        <v>11637</v>
      </c>
      <c r="C11284" t="s">
        <v>18327</v>
      </c>
      <c r="D11284" t="s">
        <v>40432</v>
      </c>
      <c r="E11284" t="b">
        <v>0</v>
      </c>
      <c r="F11284" t="s">
        <v>11610</v>
      </c>
      <c r="L11284">
        <v>0</v>
      </c>
      <c r="M11284">
        <v>0</v>
      </c>
      <c r="N11284">
        <v>0</v>
      </c>
    </row>
    <row r="11285" spans="1:15">
      <c r="A11285" t="s">
        <v>40433</v>
      </c>
      <c r="B11285" t="s">
        <v>11637</v>
      </c>
      <c r="C11285" t="s">
        <v>17956</v>
      </c>
      <c r="D11285" t="s">
        <v>40434</v>
      </c>
      <c r="E11285" t="b">
        <v>0</v>
      </c>
      <c r="F11285" t="s">
        <v>11624</v>
      </c>
      <c r="G11285">
        <v>20.895399999999999</v>
      </c>
      <c r="H11285">
        <v>84.946299999999994</v>
      </c>
      <c r="I11285" t="s">
        <v>40435</v>
      </c>
      <c r="L11285">
        <v>0</v>
      </c>
      <c r="M11285">
        <v>0</v>
      </c>
      <c r="N11285">
        <v>0</v>
      </c>
      <c r="O11285" t="s">
        <v>11630</v>
      </c>
    </row>
    <row r="11286" spans="1:15">
      <c r="A11286" t="s">
        <v>40436</v>
      </c>
      <c r="B11286" t="s">
        <v>11637</v>
      </c>
      <c r="C11286" t="s">
        <v>40437</v>
      </c>
      <c r="D11286" t="s">
        <v>40438</v>
      </c>
      <c r="E11286" t="b">
        <v>0</v>
      </c>
      <c r="F11286" t="s">
        <v>11610</v>
      </c>
      <c r="L11286">
        <v>0</v>
      </c>
      <c r="M11286">
        <v>0</v>
      </c>
      <c r="N11286">
        <v>0</v>
      </c>
    </row>
    <row r="11287" spans="1:15">
      <c r="A11287" t="s">
        <v>40439</v>
      </c>
      <c r="B11287" t="s">
        <v>11637</v>
      </c>
      <c r="C11287" t="s">
        <v>34804</v>
      </c>
      <c r="D11287" t="s">
        <v>40440</v>
      </c>
      <c r="E11287" t="b">
        <v>0</v>
      </c>
      <c r="F11287" t="s">
        <v>11610</v>
      </c>
      <c r="L11287">
        <v>0</v>
      </c>
      <c r="M11287">
        <v>0</v>
      </c>
      <c r="N11287">
        <v>0</v>
      </c>
    </row>
    <row r="11288" spans="1:15">
      <c r="A11288" t="s">
        <v>40441</v>
      </c>
      <c r="B11288" t="s">
        <v>6742</v>
      </c>
      <c r="C11288" t="s">
        <v>27034</v>
      </c>
      <c r="D11288" t="s">
        <v>40442</v>
      </c>
      <c r="E11288" t="b">
        <v>0</v>
      </c>
      <c r="F11288" t="s">
        <v>11610</v>
      </c>
      <c r="L11288">
        <v>0</v>
      </c>
      <c r="M11288">
        <v>0</v>
      </c>
      <c r="N11288">
        <v>0</v>
      </c>
    </row>
    <row r="11289" spans="1:15">
      <c r="A11289" t="s">
        <v>40443</v>
      </c>
      <c r="B11289" t="s">
        <v>6742</v>
      </c>
      <c r="C11289" t="s">
        <v>17259</v>
      </c>
      <c r="D11289" t="s">
        <v>40444</v>
      </c>
      <c r="E11289" t="b">
        <v>0</v>
      </c>
      <c r="F11289" t="s">
        <v>11624</v>
      </c>
      <c r="G11289">
        <v>6.9283799999999998</v>
      </c>
      <c r="H11289">
        <v>0.43068000000000001</v>
      </c>
      <c r="I11289" t="s">
        <v>40445</v>
      </c>
      <c r="L11289">
        <v>0</v>
      </c>
      <c r="M11289">
        <v>0</v>
      </c>
      <c r="N11289">
        <v>0</v>
      </c>
      <c r="O11289" t="s">
        <v>11985</v>
      </c>
    </row>
    <row r="11290" spans="1:15">
      <c r="A11290" t="s">
        <v>40446</v>
      </c>
      <c r="B11290" t="s">
        <v>6742</v>
      </c>
      <c r="C11290" t="s">
        <v>13522</v>
      </c>
      <c r="D11290" t="s">
        <v>40447</v>
      </c>
      <c r="E11290" t="b">
        <v>0</v>
      </c>
      <c r="F11290" t="s">
        <v>11610</v>
      </c>
      <c r="L11290">
        <v>0</v>
      </c>
      <c r="M11290">
        <v>0</v>
      </c>
      <c r="N11290">
        <v>0</v>
      </c>
    </row>
    <row r="11291" spans="1:15">
      <c r="A11291" t="s">
        <v>40448</v>
      </c>
      <c r="B11291" t="s">
        <v>367</v>
      </c>
      <c r="C11291" t="s">
        <v>40449</v>
      </c>
      <c r="D11291" t="s">
        <v>40450</v>
      </c>
      <c r="E11291" t="b">
        <v>0</v>
      </c>
      <c r="F11291" t="s">
        <v>11610</v>
      </c>
      <c r="L11291">
        <v>0</v>
      </c>
      <c r="M11291">
        <v>0</v>
      </c>
      <c r="N11291">
        <v>0</v>
      </c>
    </row>
    <row r="11292" spans="1:15">
      <c r="A11292" t="s">
        <v>40451</v>
      </c>
      <c r="B11292" t="s">
        <v>6742</v>
      </c>
      <c r="C11292" t="s">
        <v>16118</v>
      </c>
      <c r="D11292" t="s">
        <v>40452</v>
      </c>
      <c r="E11292" t="b">
        <v>0</v>
      </c>
      <c r="F11292" t="s">
        <v>11610</v>
      </c>
      <c r="L11292">
        <v>0</v>
      </c>
      <c r="M11292">
        <v>0</v>
      </c>
      <c r="N11292">
        <v>0</v>
      </c>
    </row>
    <row r="11293" spans="1:15">
      <c r="A11293" t="s">
        <v>40453</v>
      </c>
      <c r="B11293" t="s">
        <v>11757</v>
      </c>
      <c r="C11293" t="s">
        <v>37457</v>
      </c>
      <c r="D11293" t="s">
        <v>40454</v>
      </c>
      <c r="E11293" t="b">
        <v>0</v>
      </c>
      <c r="F11293" t="s">
        <v>11610</v>
      </c>
      <c r="L11293">
        <v>0</v>
      </c>
      <c r="M11293">
        <v>0</v>
      </c>
      <c r="N11293">
        <v>0</v>
      </c>
    </row>
    <row r="11294" spans="1:15">
      <c r="A11294" t="s">
        <v>40455</v>
      </c>
      <c r="B11294" t="s">
        <v>6742</v>
      </c>
      <c r="C11294" t="s">
        <v>29734</v>
      </c>
      <c r="D11294" t="s">
        <v>40456</v>
      </c>
      <c r="E11294" t="b">
        <v>0</v>
      </c>
      <c r="F11294" t="s">
        <v>11624</v>
      </c>
      <c r="G11294">
        <v>9.4869999999999996E-2</v>
      </c>
      <c r="H11294">
        <v>34.728999999999999</v>
      </c>
      <c r="I11294" t="s">
        <v>40457</v>
      </c>
      <c r="L11294">
        <v>0</v>
      </c>
      <c r="M11294">
        <v>0</v>
      </c>
      <c r="N11294">
        <v>0</v>
      </c>
      <c r="O11294" t="s">
        <v>14933</v>
      </c>
    </row>
    <row r="11295" spans="1:15">
      <c r="A11295" t="s">
        <v>17076</v>
      </c>
      <c r="B11295" t="s">
        <v>11729</v>
      </c>
      <c r="C11295" t="s">
        <v>14559</v>
      </c>
      <c r="D11295" t="s">
        <v>40458</v>
      </c>
      <c r="E11295" t="b">
        <v>0</v>
      </c>
      <c r="F11295" t="s">
        <v>11624</v>
      </c>
      <c r="G11295">
        <v>3.3260800000000001</v>
      </c>
      <c r="H11295">
        <v>29.886600000000001</v>
      </c>
      <c r="I11295" t="s">
        <v>40459</v>
      </c>
      <c r="L11295">
        <v>0</v>
      </c>
      <c r="M11295">
        <v>0</v>
      </c>
      <c r="N11295">
        <v>6</v>
      </c>
      <c r="O11295" t="s">
        <v>15282</v>
      </c>
    </row>
    <row r="11296" spans="1:15">
      <c r="A11296" t="s">
        <v>40460</v>
      </c>
      <c r="B11296" t="s">
        <v>11757</v>
      </c>
      <c r="C11296" t="s">
        <v>37457</v>
      </c>
      <c r="D11296" t="s">
        <v>40461</v>
      </c>
      <c r="E11296" t="b">
        <v>0</v>
      </c>
      <c r="F11296" t="s">
        <v>11610</v>
      </c>
      <c r="L11296">
        <v>0</v>
      </c>
      <c r="M11296">
        <v>0</v>
      </c>
      <c r="N11296">
        <v>0</v>
      </c>
    </row>
    <row r="11297" spans="1:15">
      <c r="A11297" t="s">
        <v>40108</v>
      </c>
      <c r="B11297" t="s">
        <v>17030</v>
      </c>
      <c r="C11297" t="s">
        <v>26138</v>
      </c>
      <c r="D11297" t="s">
        <v>40462</v>
      </c>
      <c r="E11297" t="b">
        <v>0</v>
      </c>
      <c r="F11297" t="s">
        <v>11624</v>
      </c>
      <c r="G11297">
        <v>11.1739</v>
      </c>
      <c r="H11297">
        <v>29.805299999999999</v>
      </c>
      <c r="I11297" t="s">
        <v>40463</v>
      </c>
      <c r="L11297">
        <v>0</v>
      </c>
      <c r="M11297">
        <v>0</v>
      </c>
      <c r="N11297">
        <v>3</v>
      </c>
      <c r="O11297" t="s">
        <v>11910</v>
      </c>
    </row>
    <row r="11298" spans="1:15">
      <c r="A11298" t="s">
        <v>40464</v>
      </c>
      <c r="B11298" t="s">
        <v>21516</v>
      </c>
      <c r="C11298" t="s">
        <v>26738</v>
      </c>
      <c r="D11298" t="s">
        <v>40465</v>
      </c>
      <c r="E11298" t="b">
        <v>0</v>
      </c>
      <c r="F11298" t="s">
        <v>11624</v>
      </c>
      <c r="G11298">
        <v>10.98053</v>
      </c>
      <c r="H11298">
        <v>31.12359</v>
      </c>
      <c r="I11298" t="s">
        <v>40466</v>
      </c>
      <c r="L11298">
        <v>0</v>
      </c>
      <c r="M11298">
        <v>0</v>
      </c>
      <c r="N11298">
        <v>0</v>
      </c>
      <c r="O11298" t="s">
        <v>11910</v>
      </c>
    </row>
    <row r="11299" spans="1:15">
      <c r="A11299" t="s">
        <v>40467</v>
      </c>
      <c r="B11299" t="s">
        <v>11607</v>
      </c>
      <c r="C11299" t="s">
        <v>12191</v>
      </c>
      <c r="D11299" t="s">
        <v>40468</v>
      </c>
      <c r="E11299" t="b">
        <v>0</v>
      </c>
      <c r="F11299" t="s">
        <v>11610</v>
      </c>
      <c r="L11299">
        <v>0</v>
      </c>
      <c r="M11299">
        <v>0</v>
      </c>
      <c r="N11299">
        <v>0</v>
      </c>
    </row>
    <row r="11300" spans="1:15">
      <c r="A11300" t="s">
        <v>40469</v>
      </c>
      <c r="B11300" t="s">
        <v>11607</v>
      </c>
      <c r="C11300" t="s">
        <v>12191</v>
      </c>
      <c r="D11300" t="s">
        <v>40470</v>
      </c>
      <c r="E11300" t="b">
        <v>0</v>
      </c>
      <c r="F11300" t="s">
        <v>11610</v>
      </c>
      <c r="L11300">
        <v>0</v>
      </c>
      <c r="M11300">
        <v>0</v>
      </c>
      <c r="N11300">
        <v>0</v>
      </c>
    </row>
    <row r="11301" spans="1:15">
      <c r="A11301" t="s">
        <v>40471</v>
      </c>
      <c r="B11301" t="s">
        <v>6742</v>
      </c>
      <c r="C11301" t="s">
        <v>34363</v>
      </c>
      <c r="D11301" t="s">
        <v>40472</v>
      </c>
      <c r="E11301" t="b">
        <v>0</v>
      </c>
      <c r="F11301" t="s">
        <v>11610</v>
      </c>
      <c r="L11301">
        <v>0</v>
      </c>
      <c r="M11301">
        <v>0</v>
      </c>
      <c r="N11301">
        <v>0</v>
      </c>
    </row>
    <row r="11302" spans="1:15">
      <c r="A11302" t="s">
        <v>16994</v>
      </c>
      <c r="B11302" t="s">
        <v>11637</v>
      </c>
      <c r="C11302" t="s">
        <v>7381</v>
      </c>
      <c r="D11302" t="s">
        <v>40473</v>
      </c>
      <c r="E11302" t="b">
        <v>0</v>
      </c>
      <c r="F11302" t="s">
        <v>11624</v>
      </c>
      <c r="G11302">
        <v>40.49</v>
      </c>
      <c r="H11302">
        <v>9.0995699999999999</v>
      </c>
      <c r="I11302" t="s">
        <v>40474</v>
      </c>
      <c r="L11302">
        <v>0</v>
      </c>
      <c r="M11302">
        <v>0</v>
      </c>
      <c r="N11302">
        <v>4</v>
      </c>
      <c r="O11302" t="s">
        <v>13676</v>
      </c>
    </row>
    <row r="11303" spans="1:15">
      <c r="A11303" t="s">
        <v>40475</v>
      </c>
      <c r="B11303" t="s">
        <v>12438</v>
      </c>
      <c r="C11303" t="s">
        <v>22122</v>
      </c>
      <c r="D11303" t="s">
        <v>40476</v>
      </c>
      <c r="E11303" t="b">
        <v>0</v>
      </c>
      <c r="F11303" t="s">
        <v>11610</v>
      </c>
      <c r="L11303">
        <v>0</v>
      </c>
      <c r="M11303">
        <v>0</v>
      </c>
      <c r="N11303">
        <v>0</v>
      </c>
    </row>
    <row r="11304" spans="1:15">
      <c r="A11304" t="s">
        <v>40477</v>
      </c>
      <c r="B11304" t="s">
        <v>12438</v>
      </c>
      <c r="C11304" t="s">
        <v>34501</v>
      </c>
      <c r="D11304" t="s">
        <v>40478</v>
      </c>
      <c r="E11304" t="b">
        <v>0</v>
      </c>
      <c r="F11304" t="s">
        <v>11610</v>
      </c>
      <c r="L11304">
        <v>0</v>
      </c>
      <c r="M11304">
        <v>0</v>
      </c>
      <c r="N11304">
        <v>0</v>
      </c>
    </row>
    <row r="11305" spans="1:15">
      <c r="A11305" t="s">
        <v>40479</v>
      </c>
      <c r="B11305" t="s">
        <v>11637</v>
      </c>
      <c r="C11305" t="s">
        <v>15714</v>
      </c>
      <c r="D11305" t="s">
        <v>40480</v>
      </c>
      <c r="E11305" t="b">
        <v>0</v>
      </c>
      <c r="F11305" t="s">
        <v>11610</v>
      </c>
      <c r="L11305">
        <v>0</v>
      </c>
      <c r="M11305">
        <v>0</v>
      </c>
      <c r="N11305">
        <v>0</v>
      </c>
    </row>
    <row r="11306" spans="1:15">
      <c r="A11306" t="s">
        <v>40481</v>
      </c>
      <c r="B11306" t="s">
        <v>11644</v>
      </c>
      <c r="C11306" t="s">
        <v>40482</v>
      </c>
      <c r="D11306" t="s">
        <v>40483</v>
      </c>
      <c r="E11306" t="b">
        <v>0</v>
      </c>
      <c r="F11306" t="s">
        <v>11622</v>
      </c>
      <c r="L11306">
        <v>1</v>
      </c>
      <c r="M11306">
        <v>3</v>
      </c>
      <c r="N11306">
        <v>4</v>
      </c>
    </row>
    <row r="11307" spans="1:15">
      <c r="A11307" t="s">
        <v>40484</v>
      </c>
      <c r="B11307" t="s">
        <v>11644</v>
      </c>
      <c r="C11307" t="s">
        <v>2166</v>
      </c>
      <c r="D11307" t="s">
        <v>40485</v>
      </c>
      <c r="E11307" t="b">
        <v>0</v>
      </c>
      <c r="F11307" t="s">
        <v>11610</v>
      </c>
      <c r="L11307">
        <v>0</v>
      </c>
      <c r="M11307">
        <v>0</v>
      </c>
      <c r="N11307">
        <v>0</v>
      </c>
    </row>
    <row r="11308" spans="1:15">
      <c r="A11308" t="s">
        <v>40486</v>
      </c>
      <c r="B11308" t="s">
        <v>6742</v>
      </c>
      <c r="C11308" t="s">
        <v>16333</v>
      </c>
      <c r="D11308" t="s">
        <v>40487</v>
      </c>
      <c r="E11308" t="b">
        <v>0</v>
      </c>
      <c r="F11308" t="s">
        <v>11610</v>
      </c>
      <c r="L11308">
        <v>0</v>
      </c>
      <c r="M11308">
        <v>0</v>
      </c>
      <c r="N11308">
        <v>0</v>
      </c>
    </row>
    <row r="11309" spans="1:15">
      <c r="A11309" t="s">
        <v>40488</v>
      </c>
      <c r="B11309" t="s">
        <v>11757</v>
      </c>
      <c r="C11309" t="s">
        <v>216</v>
      </c>
      <c r="D11309" t="s">
        <v>40489</v>
      </c>
      <c r="E11309" t="b">
        <v>0</v>
      </c>
      <c r="F11309" t="s">
        <v>11610</v>
      </c>
      <c r="L11309">
        <v>0</v>
      </c>
      <c r="M11309">
        <v>0</v>
      </c>
      <c r="N11309">
        <v>0</v>
      </c>
    </row>
    <row r="11310" spans="1:15">
      <c r="A11310" t="s">
        <v>40490</v>
      </c>
      <c r="B11310" t="s">
        <v>141</v>
      </c>
      <c r="C11310" t="s">
        <v>21043</v>
      </c>
      <c r="D11310" t="s">
        <v>40491</v>
      </c>
      <c r="E11310" t="b">
        <v>0</v>
      </c>
      <c r="F11310" t="s">
        <v>11624</v>
      </c>
      <c r="G11310">
        <v>-3.6935199999999999</v>
      </c>
      <c r="H11310">
        <v>-79.291510000000002</v>
      </c>
      <c r="I11310" t="s">
        <v>40492</v>
      </c>
      <c r="L11310">
        <v>0</v>
      </c>
      <c r="M11310">
        <v>0</v>
      </c>
      <c r="N11310">
        <v>0</v>
      </c>
      <c r="O11310" t="s">
        <v>14946</v>
      </c>
    </row>
    <row r="11311" spans="1:15">
      <c r="A11311" t="s">
        <v>40493</v>
      </c>
      <c r="B11311" t="s">
        <v>6742</v>
      </c>
      <c r="C11311" t="s">
        <v>40494</v>
      </c>
      <c r="D11311" t="s">
        <v>40495</v>
      </c>
      <c r="E11311" t="b">
        <v>0</v>
      </c>
      <c r="F11311" t="s">
        <v>11624</v>
      </c>
      <c r="G11311">
        <v>5.9148300000000003</v>
      </c>
      <c r="H11311">
        <v>8.0932999999999993</v>
      </c>
      <c r="I11311" t="s">
        <v>40496</v>
      </c>
      <c r="L11311">
        <v>0</v>
      </c>
      <c r="M11311">
        <v>0</v>
      </c>
      <c r="N11311">
        <v>2</v>
      </c>
      <c r="O11311" t="s">
        <v>11693</v>
      </c>
    </row>
    <row r="11312" spans="1:15">
      <c r="A11312" t="s">
        <v>40497</v>
      </c>
      <c r="B11312" t="s">
        <v>6742</v>
      </c>
      <c r="C11312" t="s">
        <v>27014</v>
      </c>
      <c r="D11312" t="s">
        <v>40498</v>
      </c>
      <c r="E11312" t="b">
        <v>0</v>
      </c>
      <c r="F11312" t="s">
        <v>11610</v>
      </c>
      <c r="L11312">
        <v>0</v>
      </c>
      <c r="M11312">
        <v>0</v>
      </c>
      <c r="N11312">
        <v>0</v>
      </c>
    </row>
    <row r="11313" spans="1:15">
      <c r="A11313" t="s">
        <v>40499</v>
      </c>
      <c r="B11313" t="s">
        <v>6742</v>
      </c>
      <c r="C11313" t="s">
        <v>25738</v>
      </c>
      <c r="D11313" t="s">
        <v>40500</v>
      </c>
      <c r="E11313" t="b">
        <v>0</v>
      </c>
      <c r="F11313" t="s">
        <v>11610</v>
      </c>
      <c r="L11313">
        <v>0</v>
      </c>
      <c r="M11313">
        <v>0</v>
      </c>
      <c r="N11313">
        <v>0</v>
      </c>
    </row>
    <row r="11314" spans="1:15">
      <c r="A11314" t="s">
        <v>40501</v>
      </c>
      <c r="B11314" t="s">
        <v>11729</v>
      </c>
      <c r="C11314" t="s">
        <v>1881</v>
      </c>
      <c r="D11314" t="s">
        <v>40502</v>
      </c>
      <c r="E11314" t="b">
        <v>0</v>
      </c>
      <c r="F11314" t="s">
        <v>11610</v>
      </c>
      <c r="L11314">
        <v>0</v>
      </c>
      <c r="M11314">
        <v>0</v>
      </c>
      <c r="N11314">
        <v>0</v>
      </c>
    </row>
    <row r="11315" spans="1:15">
      <c r="A11315" t="s">
        <v>40503</v>
      </c>
      <c r="B11315" t="s">
        <v>11757</v>
      </c>
      <c r="C11315" t="s">
        <v>40504</v>
      </c>
      <c r="D11315" t="s">
        <v>40505</v>
      </c>
      <c r="E11315" t="b">
        <v>0</v>
      </c>
      <c r="F11315" t="s">
        <v>11610</v>
      </c>
      <c r="L11315">
        <v>0</v>
      </c>
      <c r="M11315">
        <v>0</v>
      </c>
      <c r="N11315">
        <v>0</v>
      </c>
    </row>
    <row r="11316" spans="1:15">
      <c r="A11316" t="s">
        <v>40506</v>
      </c>
      <c r="B11316" t="s">
        <v>367</v>
      </c>
      <c r="C11316" t="s">
        <v>14612</v>
      </c>
      <c r="D11316" t="s">
        <v>40507</v>
      </c>
      <c r="E11316" t="b">
        <v>0</v>
      </c>
      <c r="F11316" t="s">
        <v>11610</v>
      </c>
      <c r="L11316">
        <v>0</v>
      </c>
      <c r="M11316">
        <v>0</v>
      </c>
      <c r="N11316">
        <v>0</v>
      </c>
    </row>
    <row r="11317" spans="1:15">
      <c r="A11317" t="s">
        <v>40494</v>
      </c>
      <c r="B11317" t="s">
        <v>6742</v>
      </c>
      <c r="C11317" t="s">
        <v>26074</v>
      </c>
      <c r="D11317" t="s">
        <v>40508</v>
      </c>
      <c r="E11317" t="b">
        <v>0</v>
      </c>
      <c r="F11317" t="s">
        <v>11622</v>
      </c>
      <c r="L11317">
        <v>1</v>
      </c>
      <c r="M11317">
        <v>3</v>
      </c>
      <c r="N11317">
        <v>2</v>
      </c>
    </row>
    <row r="11318" spans="1:15">
      <c r="A11318" t="s">
        <v>40509</v>
      </c>
      <c r="B11318" t="s">
        <v>6742</v>
      </c>
      <c r="C11318" t="s">
        <v>18635</v>
      </c>
      <c r="D11318" t="s">
        <v>40510</v>
      </c>
      <c r="E11318" t="b">
        <v>0</v>
      </c>
      <c r="F11318" t="s">
        <v>11610</v>
      </c>
      <c r="L11318">
        <v>0</v>
      </c>
      <c r="M11318">
        <v>0</v>
      </c>
      <c r="N11318">
        <v>0</v>
      </c>
    </row>
    <row r="11319" spans="1:15">
      <c r="A11319" t="s">
        <v>40511</v>
      </c>
      <c r="B11319" t="s">
        <v>11757</v>
      </c>
      <c r="C11319" t="s">
        <v>25267</v>
      </c>
      <c r="D11319" t="s">
        <v>40512</v>
      </c>
      <c r="E11319" t="b">
        <v>0</v>
      </c>
      <c r="F11319" t="s">
        <v>11624</v>
      </c>
      <c r="G11319">
        <v>4.64724</v>
      </c>
      <c r="H11319">
        <v>32.26247</v>
      </c>
      <c r="I11319" t="s">
        <v>40513</v>
      </c>
      <c r="L11319">
        <v>0</v>
      </c>
      <c r="M11319">
        <v>0</v>
      </c>
      <c r="N11319">
        <v>0</v>
      </c>
      <c r="O11319" t="s">
        <v>11910</v>
      </c>
    </row>
    <row r="11320" spans="1:15">
      <c r="A11320" t="s">
        <v>20688</v>
      </c>
      <c r="B11320" t="s">
        <v>13276</v>
      </c>
      <c r="C11320" t="s">
        <v>40514</v>
      </c>
      <c r="D11320" t="s">
        <v>40515</v>
      </c>
      <c r="E11320" t="b">
        <v>0</v>
      </c>
      <c r="F11320" t="s">
        <v>11624</v>
      </c>
      <c r="G11320">
        <v>9.1183800000000002</v>
      </c>
      <c r="H11320">
        <v>-12.158300000000001</v>
      </c>
      <c r="I11320" t="s">
        <v>40516</v>
      </c>
      <c r="L11320">
        <v>0</v>
      </c>
      <c r="M11320">
        <v>0</v>
      </c>
      <c r="N11320">
        <v>10</v>
      </c>
      <c r="O11320" t="s">
        <v>19371</v>
      </c>
    </row>
    <row r="11321" spans="1:15">
      <c r="A11321" t="s">
        <v>40517</v>
      </c>
      <c r="B11321" t="s">
        <v>6742</v>
      </c>
      <c r="C11321" t="s">
        <v>18635</v>
      </c>
      <c r="D11321" t="s">
        <v>40518</v>
      </c>
      <c r="E11321" t="b">
        <v>0</v>
      </c>
      <c r="F11321" t="s">
        <v>11610</v>
      </c>
      <c r="L11321">
        <v>0</v>
      </c>
      <c r="M11321">
        <v>0</v>
      </c>
      <c r="N11321">
        <v>0</v>
      </c>
    </row>
    <row r="11322" spans="1:15">
      <c r="A11322" t="s">
        <v>40519</v>
      </c>
      <c r="B11322" t="s">
        <v>367</v>
      </c>
      <c r="C11322" t="s">
        <v>40520</v>
      </c>
      <c r="D11322" t="s">
        <v>40521</v>
      </c>
      <c r="E11322" t="b">
        <v>0</v>
      </c>
      <c r="F11322" t="s">
        <v>11610</v>
      </c>
      <c r="L11322">
        <v>0</v>
      </c>
      <c r="M11322">
        <v>0</v>
      </c>
      <c r="N11322">
        <v>0</v>
      </c>
    </row>
    <row r="11323" spans="1:15">
      <c r="A11323" t="s">
        <v>40522</v>
      </c>
      <c r="B11323" t="s">
        <v>367</v>
      </c>
      <c r="C11323" t="s">
        <v>21942</v>
      </c>
      <c r="D11323" t="s">
        <v>40523</v>
      </c>
      <c r="E11323" t="b">
        <v>0</v>
      </c>
      <c r="F11323" t="s">
        <v>11624</v>
      </c>
      <c r="G11323">
        <v>-6.3418799999999997</v>
      </c>
      <c r="H11323">
        <v>134.87899999999999</v>
      </c>
      <c r="I11323" t="s">
        <v>40524</v>
      </c>
      <c r="L11323">
        <v>0</v>
      </c>
      <c r="M11323">
        <v>0</v>
      </c>
      <c r="N11323">
        <v>2</v>
      </c>
      <c r="O11323" t="s">
        <v>11768</v>
      </c>
    </row>
    <row r="11324" spans="1:15">
      <c r="A11324" t="s">
        <v>40525</v>
      </c>
      <c r="B11324" t="s">
        <v>367</v>
      </c>
      <c r="C11324" t="s">
        <v>25535</v>
      </c>
      <c r="D11324" t="s">
        <v>40526</v>
      </c>
      <c r="E11324" t="b">
        <v>0</v>
      </c>
      <c r="F11324" t="s">
        <v>11610</v>
      </c>
      <c r="L11324">
        <v>0</v>
      </c>
      <c r="M11324">
        <v>0</v>
      </c>
      <c r="N11324">
        <v>0</v>
      </c>
    </row>
    <row r="11325" spans="1:15">
      <c r="A11325" t="s">
        <v>40527</v>
      </c>
      <c r="B11325" t="s">
        <v>367</v>
      </c>
      <c r="C11325" t="s">
        <v>18730</v>
      </c>
      <c r="D11325" t="s">
        <v>40528</v>
      </c>
      <c r="E11325" t="b">
        <v>0</v>
      </c>
      <c r="F11325" t="s">
        <v>11624</v>
      </c>
      <c r="G11325">
        <v>0.85543999999999998</v>
      </c>
      <c r="H11325">
        <v>124.117</v>
      </c>
      <c r="I11325" t="s">
        <v>40529</v>
      </c>
      <c r="L11325">
        <v>0</v>
      </c>
      <c r="M11325">
        <v>0</v>
      </c>
      <c r="N11325">
        <v>0</v>
      </c>
      <c r="O11325" t="s">
        <v>11768</v>
      </c>
    </row>
    <row r="11326" spans="1:15">
      <c r="A11326" t="s">
        <v>40530</v>
      </c>
      <c r="B11326" t="s">
        <v>367</v>
      </c>
      <c r="C11326" t="s">
        <v>12638</v>
      </c>
      <c r="D11326" t="s">
        <v>40531</v>
      </c>
      <c r="E11326" t="b">
        <v>0</v>
      </c>
      <c r="F11326" t="s">
        <v>11610</v>
      </c>
      <c r="L11326">
        <v>0</v>
      </c>
      <c r="M11326">
        <v>0</v>
      </c>
      <c r="N11326">
        <v>0</v>
      </c>
    </row>
    <row r="11327" spans="1:15">
      <c r="A11327" t="s">
        <v>40532</v>
      </c>
      <c r="B11327" t="s">
        <v>15505</v>
      </c>
      <c r="C11327" t="s">
        <v>18207</v>
      </c>
      <c r="D11327" t="s">
        <v>40533</v>
      </c>
      <c r="E11327" t="b">
        <v>0</v>
      </c>
      <c r="F11327" t="s">
        <v>11610</v>
      </c>
      <c r="L11327">
        <v>0</v>
      </c>
      <c r="M11327">
        <v>0</v>
      </c>
      <c r="N11327">
        <v>0</v>
      </c>
    </row>
    <row r="11328" spans="1:15">
      <c r="A11328" t="s">
        <v>15561</v>
      </c>
      <c r="B11328" t="s">
        <v>367</v>
      </c>
      <c r="C11328" t="s">
        <v>18576</v>
      </c>
      <c r="D11328" t="s">
        <v>40534</v>
      </c>
      <c r="E11328" t="b">
        <v>0</v>
      </c>
      <c r="F11328" t="s">
        <v>11624</v>
      </c>
      <c r="G11328">
        <v>-10.806900000000001</v>
      </c>
      <c r="H11328">
        <v>123.08499999999999</v>
      </c>
      <c r="I11328" t="s">
        <v>40535</v>
      </c>
      <c r="L11328">
        <v>0</v>
      </c>
      <c r="M11328">
        <v>0</v>
      </c>
      <c r="N11328">
        <v>3</v>
      </c>
      <c r="O11328" t="s">
        <v>11768</v>
      </c>
    </row>
    <row r="11329" spans="1:15">
      <c r="A11329" t="s">
        <v>40536</v>
      </c>
      <c r="B11329" t="s">
        <v>367</v>
      </c>
      <c r="C11329" t="s">
        <v>23967</v>
      </c>
      <c r="D11329" t="s">
        <v>40537</v>
      </c>
      <c r="E11329" t="b">
        <v>0</v>
      </c>
      <c r="F11329" t="s">
        <v>11610</v>
      </c>
      <c r="L11329">
        <v>0</v>
      </c>
      <c r="M11329">
        <v>0</v>
      </c>
      <c r="N11329">
        <v>0</v>
      </c>
    </row>
    <row r="11330" spans="1:15">
      <c r="A11330" t="s">
        <v>40538</v>
      </c>
      <c r="B11330" t="s">
        <v>11644</v>
      </c>
      <c r="C11330" t="s">
        <v>40289</v>
      </c>
      <c r="D11330" t="s">
        <v>40539</v>
      </c>
      <c r="E11330" t="b">
        <v>0</v>
      </c>
      <c r="F11330" t="s">
        <v>11624</v>
      </c>
      <c r="G11330">
        <v>25.500509999999998</v>
      </c>
      <c r="H11330">
        <v>101.30185</v>
      </c>
      <c r="I11330" t="s">
        <v>40540</v>
      </c>
      <c r="L11330">
        <v>0</v>
      </c>
      <c r="M11330">
        <v>0</v>
      </c>
      <c r="N11330">
        <v>3</v>
      </c>
      <c r="O11330" t="s">
        <v>11905</v>
      </c>
    </row>
    <row r="11331" spans="1:15">
      <c r="A11331" t="s">
        <v>40541</v>
      </c>
      <c r="B11331" t="s">
        <v>6742</v>
      </c>
      <c r="C11331" t="s">
        <v>12806</v>
      </c>
      <c r="D11331" t="s">
        <v>40542</v>
      </c>
      <c r="E11331" t="b">
        <v>0</v>
      </c>
      <c r="F11331" t="s">
        <v>11610</v>
      </c>
      <c r="L11331">
        <v>0</v>
      </c>
      <c r="M11331">
        <v>0</v>
      </c>
      <c r="N11331">
        <v>0</v>
      </c>
    </row>
    <row r="11332" spans="1:15">
      <c r="A11332" t="s">
        <v>40543</v>
      </c>
      <c r="B11332" t="s">
        <v>6742</v>
      </c>
      <c r="C11332" t="s">
        <v>23002</v>
      </c>
      <c r="D11332" t="s">
        <v>40544</v>
      </c>
      <c r="E11332" t="b">
        <v>0</v>
      </c>
      <c r="F11332" t="s">
        <v>11624</v>
      </c>
      <c r="G11332">
        <v>-17.023199999999999</v>
      </c>
      <c r="H11332">
        <v>35.945099999999996</v>
      </c>
      <c r="I11332" t="s">
        <v>40545</v>
      </c>
      <c r="L11332">
        <v>0</v>
      </c>
      <c r="M11332">
        <v>0</v>
      </c>
      <c r="N11332">
        <v>0</v>
      </c>
      <c r="O11332" t="s">
        <v>37008</v>
      </c>
    </row>
    <row r="11333" spans="1:15">
      <c r="A11333" t="s">
        <v>40546</v>
      </c>
      <c r="B11333" t="s">
        <v>367</v>
      </c>
      <c r="C11333" t="s">
        <v>26160</v>
      </c>
      <c r="D11333" t="s">
        <v>40547</v>
      </c>
      <c r="E11333" t="b">
        <v>0</v>
      </c>
      <c r="F11333" t="s">
        <v>11610</v>
      </c>
      <c r="L11333">
        <v>0</v>
      </c>
      <c r="M11333">
        <v>0</v>
      </c>
      <c r="N11333">
        <v>0</v>
      </c>
    </row>
    <row r="11334" spans="1:15">
      <c r="A11334" t="s">
        <v>40548</v>
      </c>
      <c r="B11334" t="s">
        <v>367</v>
      </c>
      <c r="C11334" t="s">
        <v>40549</v>
      </c>
      <c r="D11334" t="s">
        <v>40550</v>
      </c>
      <c r="E11334" t="b">
        <v>0</v>
      </c>
      <c r="F11334" t="s">
        <v>11610</v>
      </c>
      <c r="L11334">
        <v>0</v>
      </c>
      <c r="M11334">
        <v>0</v>
      </c>
      <c r="N11334">
        <v>0</v>
      </c>
    </row>
    <row r="11335" spans="1:15">
      <c r="A11335" t="s">
        <v>16178</v>
      </c>
      <c r="B11335" t="s">
        <v>12133</v>
      </c>
      <c r="C11335" t="s">
        <v>28371</v>
      </c>
      <c r="D11335" t="s">
        <v>40551</v>
      </c>
      <c r="E11335" t="b">
        <v>0</v>
      </c>
      <c r="F11335" t="s">
        <v>11624</v>
      </c>
      <c r="G11335">
        <v>1.95461</v>
      </c>
      <c r="H11335">
        <v>127.77200000000001</v>
      </c>
      <c r="I11335" t="s">
        <v>40552</v>
      </c>
      <c r="L11335">
        <v>0</v>
      </c>
      <c r="M11335">
        <v>0</v>
      </c>
      <c r="N11335">
        <v>1</v>
      </c>
      <c r="O11335" t="s">
        <v>11768</v>
      </c>
    </row>
    <row r="11336" spans="1:15">
      <c r="A11336" t="s">
        <v>20515</v>
      </c>
      <c r="B11336" t="s">
        <v>11644</v>
      </c>
      <c r="C11336" t="s">
        <v>20512</v>
      </c>
      <c r="D11336" t="s">
        <v>40553</v>
      </c>
      <c r="E11336" t="b">
        <v>0</v>
      </c>
      <c r="F11336" t="s">
        <v>11622</v>
      </c>
      <c r="L11336">
        <v>80</v>
      </c>
      <c r="M11336">
        <v>127</v>
      </c>
      <c r="N11336">
        <v>80</v>
      </c>
    </row>
    <row r="11337" spans="1:15">
      <c r="A11337" t="s">
        <v>30713</v>
      </c>
      <c r="B11337" t="s">
        <v>11644</v>
      </c>
      <c r="C11337" t="s">
        <v>20515</v>
      </c>
      <c r="D11337" t="s">
        <v>40554</v>
      </c>
      <c r="E11337" t="b">
        <v>0</v>
      </c>
      <c r="F11337" t="s">
        <v>11622</v>
      </c>
      <c r="L11337">
        <v>66</v>
      </c>
      <c r="M11337">
        <v>101</v>
      </c>
      <c r="N11337">
        <v>55</v>
      </c>
    </row>
    <row r="11338" spans="1:15">
      <c r="A11338" t="s">
        <v>40555</v>
      </c>
      <c r="B11338" t="s">
        <v>367</v>
      </c>
      <c r="C11338" t="s">
        <v>14164</v>
      </c>
      <c r="D11338" t="s">
        <v>40556</v>
      </c>
      <c r="E11338" t="b">
        <v>0</v>
      </c>
      <c r="F11338" t="s">
        <v>11610</v>
      </c>
      <c r="L11338">
        <v>0</v>
      </c>
      <c r="M11338">
        <v>0</v>
      </c>
      <c r="N11338">
        <v>0</v>
      </c>
    </row>
    <row r="11339" spans="1:15">
      <c r="A11339" t="s">
        <v>40557</v>
      </c>
      <c r="B11339" t="s">
        <v>6742</v>
      </c>
      <c r="C11339" t="s">
        <v>18635</v>
      </c>
      <c r="D11339" t="s">
        <v>40558</v>
      </c>
      <c r="E11339" t="b">
        <v>0</v>
      </c>
      <c r="F11339" t="s">
        <v>11610</v>
      </c>
      <c r="L11339">
        <v>0</v>
      </c>
      <c r="M11339">
        <v>0</v>
      </c>
      <c r="N11339">
        <v>0</v>
      </c>
    </row>
    <row r="11340" spans="1:15">
      <c r="A11340" t="s">
        <v>40559</v>
      </c>
      <c r="B11340" t="s">
        <v>11729</v>
      </c>
      <c r="C11340" t="s">
        <v>17076</v>
      </c>
      <c r="D11340" t="s">
        <v>40560</v>
      </c>
      <c r="E11340" t="b">
        <v>0</v>
      </c>
      <c r="F11340" t="s">
        <v>11610</v>
      </c>
      <c r="L11340">
        <v>0</v>
      </c>
      <c r="M11340">
        <v>0</v>
      </c>
      <c r="N11340">
        <v>0</v>
      </c>
    </row>
    <row r="11341" spans="1:15">
      <c r="A11341" t="s">
        <v>40561</v>
      </c>
      <c r="B11341" t="s">
        <v>11637</v>
      </c>
      <c r="C11341" t="s">
        <v>25170</v>
      </c>
      <c r="D11341" t="s">
        <v>40562</v>
      </c>
      <c r="E11341" t="b">
        <v>0</v>
      </c>
      <c r="F11341" t="s">
        <v>11624</v>
      </c>
      <c r="G11341">
        <v>41.599418999999997</v>
      </c>
      <c r="H11341">
        <v>44.094985000000001</v>
      </c>
      <c r="I11341" t="s">
        <v>40563</v>
      </c>
      <c r="L11341">
        <v>0</v>
      </c>
      <c r="M11341">
        <v>0</v>
      </c>
      <c r="N11341">
        <v>0</v>
      </c>
      <c r="O11341" t="s">
        <v>40564</v>
      </c>
    </row>
    <row r="11342" spans="1:15">
      <c r="A11342" t="s">
        <v>40565</v>
      </c>
      <c r="B11342" t="s">
        <v>6742</v>
      </c>
      <c r="C11342" t="s">
        <v>40566</v>
      </c>
      <c r="D11342" t="s">
        <v>40567</v>
      </c>
      <c r="E11342" t="b">
        <v>0</v>
      </c>
      <c r="F11342" t="s">
        <v>11624</v>
      </c>
      <c r="G11342">
        <v>9.4017199999999992</v>
      </c>
      <c r="H11342">
        <v>-3.47051</v>
      </c>
      <c r="I11342" t="s">
        <v>40568</v>
      </c>
      <c r="L11342">
        <v>0</v>
      </c>
      <c r="M11342">
        <v>0</v>
      </c>
      <c r="N11342">
        <v>0</v>
      </c>
      <c r="O11342" t="s">
        <v>11735</v>
      </c>
    </row>
    <row r="11343" spans="1:15">
      <c r="A11343" t="s">
        <v>2671</v>
      </c>
      <c r="B11343" t="s">
        <v>13276</v>
      </c>
      <c r="C11343" t="s">
        <v>40569</v>
      </c>
      <c r="D11343" t="s">
        <v>40570</v>
      </c>
      <c r="E11343" t="b">
        <v>0</v>
      </c>
      <c r="F11343" t="s">
        <v>11622</v>
      </c>
      <c r="L11343">
        <v>0</v>
      </c>
      <c r="M11343">
        <v>2</v>
      </c>
      <c r="N11343">
        <v>5</v>
      </c>
    </row>
    <row r="11344" spans="1:15">
      <c r="A11344" t="s">
        <v>20281</v>
      </c>
      <c r="B11344" t="s">
        <v>13276</v>
      </c>
      <c r="C11344" t="s">
        <v>2671</v>
      </c>
      <c r="D11344" t="s">
        <v>40571</v>
      </c>
      <c r="E11344" t="b">
        <v>0</v>
      </c>
      <c r="F11344" t="s">
        <v>11624</v>
      </c>
      <c r="G11344">
        <v>7.9158499999999998</v>
      </c>
      <c r="H11344">
        <v>-9.6990599999999993</v>
      </c>
      <c r="I11344" t="s">
        <v>40572</v>
      </c>
      <c r="L11344">
        <v>0</v>
      </c>
      <c r="M11344">
        <v>0</v>
      </c>
      <c r="N11344">
        <v>5</v>
      </c>
      <c r="O11344" t="s">
        <v>30014</v>
      </c>
    </row>
    <row r="11345" spans="1:15">
      <c r="A11345" t="s">
        <v>40573</v>
      </c>
      <c r="B11345" t="s">
        <v>367</v>
      </c>
      <c r="C11345" t="s">
        <v>26165</v>
      </c>
      <c r="D11345" t="s">
        <v>40574</v>
      </c>
      <c r="E11345" t="b">
        <v>0</v>
      </c>
      <c r="F11345" t="s">
        <v>11624</v>
      </c>
      <c r="G11345">
        <v>-18.0001</v>
      </c>
      <c r="H11345">
        <v>179.30600000000001</v>
      </c>
      <c r="I11345" t="s">
        <v>40575</v>
      </c>
      <c r="L11345">
        <v>0</v>
      </c>
      <c r="M11345">
        <v>0</v>
      </c>
      <c r="N11345">
        <v>0</v>
      </c>
      <c r="O11345" t="s">
        <v>27843</v>
      </c>
    </row>
    <row r="11346" spans="1:15">
      <c r="A11346" t="s">
        <v>40576</v>
      </c>
      <c r="B11346" t="s">
        <v>367</v>
      </c>
      <c r="C11346" t="s">
        <v>15251</v>
      </c>
      <c r="D11346" t="s">
        <v>40577</v>
      </c>
      <c r="E11346" t="b">
        <v>0</v>
      </c>
      <c r="F11346" t="s">
        <v>11610</v>
      </c>
      <c r="L11346">
        <v>0</v>
      </c>
      <c r="M11346">
        <v>0</v>
      </c>
      <c r="N11346">
        <v>0</v>
      </c>
    </row>
    <row r="11347" spans="1:15">
      <c r="A11347" t="s">
        <v>40578</v>
      </c>
      <c r="B11347" t="s">
        <v>11879</v>
      </c>
      <c r="C11347" t="s">
        <v>40579</v>
      </c>
      <c r="D11347" t="s">
        <v>40580</v>
      </c>
      <c r="E11347" t="b">
        <v>0</v>
      </c>
      <c r="F11347" t="s">
        <v>11610</v>
      </c>
      <c r="L11347">
        <v>0</v>
      </c>
      <c r="M11347">
        <v>0</v>
      </c>
      <c r="N11347">
        <v>0</v>
      </c>
    </row>
    <row r="11348" spans="1:15">
      <c r="A11348" t="s">
        <v>40581</v>
      </c>
      <c r="B11348" t="s">
        <v>11729</v>
      </c>
      <c r="C11348" t="s">
        <v>40582</v>
      </c>
      <c r="D11348" t="s">
        <v>40583</v>
      </c>
      <c r="E11348" t="b">
        <v>0</v>
      </c>
      <c r="F11348" t="s">
        <v>11624</v>
      </c>
      <c r="G11348">
        <v>0.26795999999999998</v>
      </c>
      <c r="H11348">
        <v>27.341999999999999</v>
      </c>
      <c r="I11348" t="s">
        <v>40584</v>
      </c>
      <c r="L11348">
        <v>0</v>
      </c>
      <c r="M11348">
        <v>0</v>
      </c>
      <c r="N11348">
        <v>0</v>
      </c>
      <c r="O11348" t="s">
        <v>14825</v>
      </c>
    </row>
    <row r="11349" spans="1:15">
      <c r="A11349" t="s">
        <v>13136</v>
      </c>
      <c r="B11349" t="s">
        <v>11637</v>
      </c>
      <c r="C11349" t="s">
        <v>40585</v>
      </c>
      <c r="D11349" t="s">
        <v>40586</v>
      </c>
      <c r="E11349" t="b">
        <v>0</v>
      </c>
      <c r="F11349" t="s">
        <v>11624</v>
      </c>
      <c r="G11349">
        <v>45.881700000000002</v>
      </c>
      <c r="H11349">
        <v>9.3950899999999997</v>
      </c>
      <c r="I11349" t="s">
        <v>40587</v>
      </c>
      <c r="L11349">
        <v>0</v>
      </c>
      <c r="M11349">
        <v>0</v>
      </c>
      <c r="N11349">
        <v>12</v>
      </c>
      <c r="O11349" t="s">
        <v>40588</v>
      </c>
    </row>
    <row r="11350" spans="1:15">
      <c r="A11350" t="s">
        <v>40589</v>
      </c>
      <c r="B11350" t="s">
        <v>6742</v>
      </c>
      <c r="C11350" t="s">
        <v>7100</v>
      </c>
      <c r="D11350" t="s">
        <v>40590</v>
      </c>
      <c r="E11350" t="b">
        <v>0</v>
      </c>
      <c r="F11350" t="s">
        <v>11610</v>
      </c>
      <c r="L11350">
        <v>0</v>
      </c>
      <c r="M11350">
        <v>0</v>
      </c>
      <c r="N11350">
        <v>0</v>
      </c>
    </row>
    <row r="11351" spans="1:15">
      <c r="A11351" t="s">
        <v>40591</v>
      </c>
      <c r="B11351" t="s">
        <v>6742</v>
      </c>
      <c r="C11351" t="s">
        <v>35754</v>
      </c>
      <c r="D11351" t="s">
        <v>40592</v>
      </c>
      <c r="E11351" t="b">
        <v>0</v>
      </c>
      <c r="F11351" t="s">
        <v>11624</v>
      </c>
      <c r="G11351">
        <v>0.88266999999999995</v>
      </c>
      <c r="H11351">
        <v>24.686199999999999</v>
      </c>
      <c r="I11351" t="s">
        <v>40593</v>
      </c>
      <c r="L11351">
        <v>0</v>
      </c>
      <c r="M11351">
        <v>0</v>
      </c>
      <c r="N11351">
        <v>0</v>
      </c>
      <c r="O11351" t="s">
        <v>14825</v>
      </c>
    </row>
    <row r="11352" spans="1:15">
      <c r="A11352" t="s">
        <v>40594</v>
      </c>
      <c r="B11352" t="s">
        <v>6742</v>
      </c>
      <c r="C11352" t="s">
        <v>5536</v>
      </c>
      <c r="D11352" t="s">
        <v>40595</v>
      </c>
      <c r="E11352" t="b">
        <v>0</v>
      </c>
      <c r="F11352" t="s">
        <v>11610</v>
      </c>
      <c r="L11352">
        <v>0</v>
      </c>
      <c r="M11352">
        <v>0</v>
      </c>
      <c r="N11352">
        <v>0</v>
      </c>
    </row>
    <row r="11353" spans="1:15">
      <c r="A11353" t="s">
        <v>40596</v>
      </c>
      <c r="B11353" t="s">
        <v>367</v>
      </c>
      <c r="C11353" t="s">
        <v>26160</v>
      </c>
      <c r="D11353" t="s">
        <v>40597</v>
      </c>
      <c r="E11353" t="b">
        <v>0</v>
      </c>
      <c r="F11353" t="s">
        <v>11610</v>
      </c>
      <c r="L11353">
        <v>0</v>
      </c>
      <c r="M11353">
        <v>0</v>
      </c>
      <c r="N11353">
        <v>0</v>
      </c>
    </row>
    <row r="11354" spans="1:15">
      <c r="A11354" t="s">
        <v>37773</v>
      </c>
      <c r="B11354" t="s">
        <v>11637</v>
      </c>
      <c r="C11354" t="s">
        <v>11723</v>
      </c>
      <c r="D11354" t="s">
        <v>40598</v>
      </c>
      <c r="E11354" t="b">
        <v>0</v>
      </c>
      <c r="F11354" t="s">
        <v>11610</v>
      </c>
      <c r="L11354">
        <v>0</v>
      </c>
      <c r="M11354">
        <v>0</v>
      </c>
      <c r="N11354">
        <v>2</v>
      </c>
    </row>
    <row r="11355" spans="1:15">
      <c r="A11355" t="s">
        <v>40599</v>
      </c>
      <c r="B11355" t="s">
        <v>367</v>
      </c>
      <c r="C11355" t="s">
        <v>40600</v>
      </c>
      <c r="D11355" t="s">
        <v>40601</v>
      </c>
      <c r="E11355" t="b">
        <v>0</v>
      </c>
      <c r="F11355" t="s">
        <v>11610</v>
      </c>
      <c r="L11355">
        <v>0</v>
      </c>
      <c r="M11355">
        <v>0</v>
      </c>
      <c r="N11355">
        <v>0</v>
      </c>
    </row>
    <row r="11356" spans="1:15">
      <c r="A11356" t="s">
        <v>40602</v>
      </c>
      <c r="B11356" t="s">
        <v>367</v>
      </c>
      <c r="C11356" t="s">
        <v>16925</v>
      </c>
      <c r="D11356" t="s">
        <v>40603</v>
      </c>
      <c r="E11356" t="b">
        <v>0</v>
      </c>
      <c r="F11356" t="s">
        <v>11610</v>
      </c>
      <c r="L11356">
        <v>0</v>
      </c>
      <c r="M11356">
        <v>0</v>
      </c>
      <c r="N11356">
        <v>0</v>
      </c>
    </row>
    <row r="11357" spans="1:15">
      <c r="A11357" t="s">
        <v>40604</v>
      </c>
      <c r="B11357" t="s">
        <v>6742</v>
      </c>
      <c r="C11357" t="s">
        <v>17881</v>
      </c>
      <c r="D11357" t="s">
        <v>40605</v>
      </c>
      <c r="E11357" t="b">
        <v>0</v>
      </c>
      <c r="F11357" t="s">
        <v>11610</v>
      </c>
      <c r="L11357">
        <v>0</v>
      </c>
      <c r="M11357">
        <v>0</v>
      </c>
      <c r="N11357">
        <v>0</v>
      </c>
    </row>
    <row r="11358" spans="1:15">
      <c r="A11358" t="s">
        <v>40606</v>
      </c>
      <c r="B11358" t="s">
        <v>367</v>
      </c>
      <c r="C11358" t="s">
        <v>31883</v>
      </c>
      <c r="D11358" t="s">
        <v>40607</v>
      </c>
      <c r="E11358" t="b">
        <v>0</v>
      </c>
      <c r="F11358" t="s">
        <v>11610</v>
      </c>
      <c r="L11358">
        <v>0</v>
      </c>
      <c r="M11358">
        <v>0</v>
      </c>
      <c r="N11358">
        <v>0</v>
      </c>
    </row>
    <row r="11359" spans="1:15">
      <c r="A11359" t="s">
        <v>40608</v>
      </c>
      <c r="B11359" t="s">
        <v>6742</v>
      </c>
      <c r="C11359" t="s">
        <v>40609</v>
      </c>
      <c r="D11359" t="s">
        <v>40610</v>
      </c>
      <c r="E11359" t="b">
        <v>0</v>
      </c>
      <c r="F11359" t="s">
        <v>11622</v>
      </c>
      <c r="L11359">
        <v>0</v>
      </c>
      <c r="M11359">
        <v>2</v>
      </c>
      <c r="N11359">
        <v>15</v>
      </c>
    </row>
    <row r="11360" spans="1:15">
      <c r="A11360" t="s">
        <v>40611</v>
      </c>
      <c r="B11360" t="s">
        <v>6742</v>
      </c>
      <c r="C11360" t="s">
        <v>40612</v>
      </c>
      <c r="D11360" t="s">
        <v>40613</v>
      </c>
      <c r="E11360" t="b">
        <v>0</v>
      </c>
      <c r="F11360" t="s">
        <v>11624</v>
      </c>
      <c r="G11360">
        <v>-16.0381</v>
      </c>
      <c r="H11360">
        <v>37.243699999999997</v>
      </c>
      <c r="I11360" t="s">
        <v>40614</v>
      </c>
      <c r="L11360">
        <v>0</v>
      </c>
      <c r="M11360">
        <v>0</v>
      </c>
      <c r="N11360">
        <v>0</v>
      </c>
      <c r="O11360" t="s">
        <v>37008</v>
      </c>
    </row>
    <row r="11361" spans="1:15">
      <c r="A11361" t="s">
        <v>40612</v>
      </c>
      <c r="B11361" t="s">
        <v>6742</v>
      </c>
      <c r="C11361" t="s">
        <v>40615</v>
      </c>
      <c r="D11361" t="s">
        <v>40616</v>
      </c>
      <c r="E11361" t="b">
        <v>0</v>
      </c>
      <c r="F11361" t="s">
        <v>11622</v>
      </c>
      <c r="L11361">
        <v>0</v>
      </c>
      <c r="M11361">
        <v>2</v>
      </c>
      <c r="N11361">
        <v>0</v>
      </c>
    </row>
    <row r="11362" spans="1:15">
      <c r="A11362" t="s">
        <v>40617</v>
      </c>
      <c r="B11362" t="s">
        <v>11757</v>
      </c>
      <c r="C11362" t="s">
        <v>37457</v>
      </c>
      <c r="D11362" t="s">
        <v>40618</v>
      </c>
      <c r="E11362" t="b">
        <v>0</v>
      </c>
      <c r="F11362" t="s">
        <v>11610</v>
      </c>
      <c r="L11362">
        <v>0</v>
      </c>
      <c r="M11362">
        <v>0</v>
      </c>
      <c r="N11362">
        <v>0</v>
      </c>
    </row>
    <row r="11363" spans="1:15">
      <c r="A11363" t="s">
        <v>40619</v>
      </c>
      <c r="B11363" t="s">
        <v>11839</v>
      </c>
      <c r="C11363" t="s">
        <v>39117</v>
      </c>
      <c r="D11363" t="s">
        <v>40620</v>
      </c>
      <c r="E11363" t="b">
        <v>0</v>
      </c>
      <c r="F11363" t="s">
        <v>11610</v>
      </c>
      <c r="L11363">
        <v>0</v>
      </c>
      <c r="M11363">
        <v>0</v>
      </c>
      <c r="N11363">
        <v>0</v>
      </c>
    </row>
    <row r="11364" spans="1:15">
      <c r="A11364" t="s">
        <v>40621</v>
      </c>
      <c r="B11364" t="s">
        <v>367</v>
      </c>
      <c r="C11364" t="s">
        <v>366</v>
      </c>
      <c r="D11364" t="s">
        <v>40622</v>
      </c>
      <c r="E11364" t="b">
        <v>0</v>
      </c>
      <c r="F11364" t="s">
        <v>11610</v>
      </c>
      <c r="L11364">
        <v>0</v>
      </c>
      <c r="M11364">
        <v>0</v>
      </c>
      <c r="N11364">
        <v>0</v>
      </c>
    </row>
    <row r="11365" spans="1:15">
      <c r="A11365" t="s">
        <v>40623</v>
      </c>
      <c r="B11365" t="s">
        <v>367</v>
      </c>
      <c r="C11365" t="s">
        <v>16683</v>
      </c>
      <c r="D11365" t="s">
        <v>40624</v>
      </c>
      <c r="E11365" t="b">
        <v>0</v>
      </c>
      <c r="F11365" t="s">
        <v>11624</v>
      </c>
      <c r="G11365">
        <v>-2.5860000000000001E-2</v>
      </c>
      <c r="H11365">
        <v>103.548</v>
      </c>
      <c r="I11365" t="s">
        <v>40625</v>
      </c>
      <c r="L11365">
        <v>0</v>
      </c>
      <c r="M11365">
        <v>0</v>
      </c>
      <c r="N11365">
        <v>0</v>
      </c>
      <c r="O11365" t="s">
        <v>11768</v>
      </c>
    </row>
    <row r="11366" spans="1:15">
      <c r="A11366" t="s">
        <v>40626</v>
      </c>
      <c r="B11366" t="s">
        <v>6742</v>
      </c>
      <c r="C11366" t="s">
        <v>18635</v>
      </c>
      <c r="D11366" t="s">
        <v>40627</v>
      </c>
      <c r="E11366" t="b">
        <v>0</v>
      </c>
      <c r="F11366" t="s">
        <v>11610</v>
      </c>
      <c r="L11366">
        <v>0</v>
      </c>
      <c r="M11366">
        <v>0</v>
      </c>
      <c r="N11366">
        <v>0</v>
      </c>
    </row>
    <row r="11367" spans="1:15">
      <c r="A11367" t="s">
        <v>40628</v>
      </c>
      <c r="B11367" t="s">
        <v>11644</v>
      </c>
      <c r="C11367" t="s">
        <v>40629</v>
      </c>
      <c r="D11367" t="s">
        <v>40630</v>
      </c>
      <c r="E11367" t="b">
        <v>0</v>
      </c>
      <c r="F11367" t="s">
        <v>11610</v>
      </c>
      <c r="L11367">
        <v>0</v>
      </c>
      <c r="M11367">
        <v>0</v>
      </c>
      <c r="N11367">
        <v>0</v>
      </c>
    </row>
    <row r="11368" spans="1:15">
      <c r="A11368" t="s">
        <v>40631</v>
      </c>
      <c r="B11368" t="s">
        <v>11644</v>
      </c>
      <c r="C11368" t="s">
        <v>11888</v>
      </c>
      <c r="D11368" t="s">
        <v>40632</v>
      </c>
      <c r="E11368" t="b">
        <v>0</v>
      </c>
      <c r="F11368" t="s">
        <v>11610</v>
      </c>
      <c r="L11368">
        <v>0</v>
      </c>
      <c r="M11368">
        <v>0</v>
      </c>
      <c r="N11368">
        <v>0</v>
      </c>
    </row>
    <row r="11369" spans="1:15">
      <c r="A11369" t="s">
        <v>40633</v>
      </c>
      <c r="B11369" t="s">
        <v>11644</v>
      </c>
      <c r="C11369" t="s">
        <v>32543</v>
      </c>
      <c r="D11369" t="s">
        <v>40634</v>
      </c>
      <c r="E11369" t="b">
        <v>0</v>
      </c>
      <c r="F11369" t="s">
        <v>11610</v>
      </c>
      <c r="L11369">
        <v>0</v>
      </c>
      <c r="M11369">
        <v>0</v>
      </c>
      <c r="N11369">
        <v>0</v>
      </c>
    </row>
    <row r="11370" spans="1:15">
      <c r="A11370" t="s">
        <v>40635</v>
      </c>
      <c r="B11370" t="s">
        <v>11644</v>
      </c>
      <c r="C11370" t="s">
        <v>40636</v>
      </c>
      <c r="D11370" t="s">
        <v>40637</v>
      </c>
      <c r="E11370" t="b">
        <v>0</v>
      </c>
      <c r="F11370" t="s">
        <v>11624</v>
      </c>
      <c r="I11370" t="s">
        <v>40638</v>
      </c>
      <c r="L11370">
        <v>0</v>
      </c>
      <c r="M11370">
        <v>0</v>
      </c>
      <c r="N11370">
        <v>0</v>
      </c>
      <c r="O11370" t="s">
        <v>14059</v>
      </c>
    </row>
    <row r="11371" spans="1:15">
      <c r="A11371" t="s">
        <v>40639</v>
      </c>
      <c r="B11371" t="s">
        <v>11644</v>
      </c>
      <c r="C11371" t="s">
        <v>14097</v>
      </c>
      <c r="D11371" t="s">
        <v>40640</v>
      </c>
      <c r="E11371" t="b">
        <v>0</v>
      </c>
      <c r="F11371" t="s">
        <v>11610</v>
      </c>
      <c r="L11371">
        <v>0</v>
      </c>
      <c r="M11371">
        <v>0</v>
      </c>
      <c r="N11371">
        <v>0</v>
      </c>
    </row>
    <row r="11372" spans="1:15">
      <c r="A11372" t="s">
        <v>40641</v>
      </c>
      <c r="B11372" t="s">
        <v>11644</v>
      </c>
      <c r="C11372" t="s">
        <v>16853</v>
      </c>
      <c r="D11372" t="s">
        <v>40642</v>
      </c>
      <c r="E11372" t="b">
        <v>0</v>
      </c>
      <c r="F11372" t="s">
        <v>11610</v>
      </c>
      <c r="L11372">
        <v>0</v>
      </c>
      <c r="M11372">
        <v>0</v>
      </c>
      <c r="N11372">
        <v>0</v>
      </c>
    </row>
    <row r="11373" spans="1:15">
      <c r="A11373" t="s">
        <v>40643</v>
      </c>
      <c r="B11373" t="s">
        <v>11644</v>
      </c>
      <c r="C11373" t="s">
        <v>13896</v>
      </c>
      <c r="D11373" t="s">
        <v>40644</v>
      </c>
      <c r="E11373" t="b">
        <v>0</v>
      </c>
      <c r="F11373" t="s">
        <v>11610</v>
      </c>
      <c r="L11373">
        <v>0</v>
      </c>
      <c r="M11373">
        <v>0</v>
      </c>
      <c r="N11373">
        <v>0</v>
      </c>
    </row>
    <row r="11374" spans="1:15">
      <c r="A11374" t="s">
        <v>40645</v>
      </c>
      <c r="B11374" t="s">
        <v>11644</v>
      </c>
      <c r="C11374" t="s">
        <v>13896</v>
      </c>
      <c r="D11374" t="s">
        <v>40646</v>
      </c>
      <c r="E11374" t="b">
        <v>0</v>
      </c>
      <c r="F11374" t="s">
        <v>11610</v>
      </c>
      <c r="L11374">
        <v>0</v>
      </c>
      <c r="M11374">
        <v>0</v>
      </c>
      <c r="N11374">
        <v>0</v>
      </c>
    </row>
    <row r="11375" spans="1:15">
      <c r="A11375" t="s">
        <v>40647</v>
      </c>
      <c r="B11375" t="s">
        <v>11644</v>
      </c>
      <c r="C11375" t="s">
        <v>13896</v>
      </c>
      <c r="D11375" t="s">
        <v>40648</v>
      </c>
      <c r="E11375" t="b">
        <v>0</v>
      </c>
      <c r="F11375" t="s">
        <v>11610</v>
      </c>
      <c r="L11375">
        <v>0</v>
      </c>
      <c r="M11375">
        <v>0</v>
      </c>
      <c r="N11375">
        <v>0</v>
      </c>
    </row>
    <row r="11376" spans="1:15">
      <c r="A11376" t="s">
        <v>40649</v>
      </c>
      <c r="B11376" t="s">
        <v>11644</v>
      </c>
      <c r="C11376" t="s">
        <v>13896</v>
      </c>
      <c r="D11376" t="s">
        <v>40650</v>
      </c>
      <c r="E11376" t="b">
        <v>0</v>
      </c>
      <c r="F11376" t="s">
        <v>11610</v>
      </c>
      <c r="L11376">
        <v>0</v>
      </c>
      <c r="M11376">
        <v>0</v>
      </c>
      <c r="N11376">
        <v>0</v>
      </c>
    </row>
    <row r="11377" spans="1:15">
      <c r="A11377" t="s">
        <v>40651</v>
      </c>
      <c r="B11377" t="s">
        <v>11644</v>
      </c>
      <c r="C11377" t="s">
        <v>28687</v>
      </c>
      <c r="D11377" t="s">
        <v>40652</v>
      </c>
      <c r="E11377" t="b">
        <v>0</v>
      </c>
      <c r="F11377" t="s">
        <v>11610</v>
      </c>
      <c r="L11377">
        <v>0</v>
      </c>
      <c r="M11377">
        <v>0</v>
      </c>
      <c r="N11377">
        <v>0</v>
      </c>
    </row>
    <row r="11378" spans="1:15">
      <c r="A11378" t="s">
        <v>40653</v>
      </c>
      <c r="B11378" t="s">
        <v>11644</v>
      </c>
      <c r="C11378" t="s">
        <v>28687</v>
      </c>
      <c r="D11378" t="s">
        <v>40654</v>
      </c>
      <c r="E11378" t="b">
        <v>0</v>
      </c>
      <c r="F11378" t="s">
        <v>11610</v>
      </c>
      <c r="L11378">
        <v>0</v>
      </c>
      <c r="M11378">
        <v>0</v>
      </c>
      <c r="N11378">
        <v>0</v>
      </c>
    </row>
    <row r="11379" spans="1:15">
      <c r="A11379" t="s">
        <v>40655</v>
      </c>
      <c r="B11379" t="s">
        <v>11644</v>
      </c>
      <c r="C11379" t="s">
        <v>12404</v>
      </c>
      <c r="D11379" t="s">
        <v>40656</v>
      </c>
      <c r="E11379" t="b">
        <v>0</v>
      </c>
      <c r="F11379" t="s">
        <v>11610</v>
      </c>
      <c r="L11379">
        <v>0</v>
      </c>
      <c r="M11379">
        <v>0</v>
      </c>
      <c r="N11379">
        <v>0</v>
      </c>
    </row>
    <row r="11380" spans="1:15">
      <c r="A11380" t="s">
        <v>40657</v>
      </c>
      <c r="B11380" t="s">
        <v>11644</v>
      </c>
      <c r="C11380" t="s">
        <v>22960</v>
      </c>
      <c r="D11380" t="s">
        <v>40658</v>
      </c>
      <c r="E11380" t="b">
        <v>0</v>
      </c>
      <c r="F11380" t="s">
        <v>11610</v>
      </c>
      <c r="G11380">
        <v>28.562968099999999</v>
      </c>
      <c r="H11380">
        <v>118.32064250000001</v>
      </c>
      <c r="L11380">
        <v>0</v>
      </c>
      <c r="M11380">
        <v>0</v>
      </c>
      <c r="N11380">
        <v>0</v>
      </c>
    </row>
    <row r="11381" spans="1:15">
      <c r="A11381" t="s">
        <v>40659</v>
      </c>
      <c r="B11381" t="s">
        <v>6742</v>
      </c>
      <c r="C11381" t="s">
        <v>24791</v>
      </c>
      <c r="D11381" t="s">
        <v>40660</v>
      </c>
      <c r="E11381" t="b">
        <v>0</v>
      </c>
      <c r="F11381" t="s">
        <v>11624</v>
      </c>
      <c r="G11381">
        <v>8.3331300000000006</v>
      </c>
      <c r="H11381">
        <v>13.056800000000001</v>
      </c>
      <c r="I11381" t="s">
        <v>40661</v>
      </c>
      <c r="L11381">
        <v>0</v>
      </c>
      <c r="M11381">
        <v>0</v>
      </c>
      <c r="N11381">
        <v>0</v>
      </c>
      <c r="O11381" t="s">
        <v>11703</v>
      </c>
    </row>
    <row r="11382" spans="1:15">
      <c r="A11382" t="s">
        <v>40662</v>
      </c>
      <c r="B11382" t="s">
        <v>6742</v>
      </c>
      <c r="C11382" t="s">
        <v>19086</v>
      </c>
      <c r="D11382" t="s">
        <v>40663</v>
      </c>
      <c r="E11382" t="b">
        <v>0</v>
      </c>
      <c r="F11382" t="s">
        <v>11610</v>
      </c>
      <c r="L11382">
        <v>0</v>
      </c>
      <c r="M11382">
        <v>0</v>
      </c>
      <c r="N11382">
        <v>0</v>
      </c>
    </row>
    <row r="11383" spans="1:15">
      <c r="A11383" t="s">
        <v>40664</v>
      </c>
      <c r="B11383" t="s">
        <v>6742</v>
      </c>
      <c r="C11383" t="s">
        <v>17900</v>
      </c>
      <c r="D11383" t="s">
        <v>40665</v>
      </c>
      <c r="E11383" t="b">
        <v>0</v>
      </c>
      <c r="F11383" t="s">
        <v>11624</v>
      </c>
      <c r="G11383">
        <v>9.7578700000000005</v>
      </c>
      <c r="H11383">
        <v>11.8378</v>
      </c>
      <c r="I11383" t="s">
        <v>40666</v>
      </c>
      <c r="L11383">
        <v>0</v>
      </c>
      <c r="M11383">
        <v>0</v>
      </c>
      <c r="N11383">
        <v>5</v>
      </c>
      <c r="O11383" t="s">
        <v>11693</v>
      </c>
    </row>
    <row r="11384" spans="1:15">
      <c r="A11384" t="s">
        <v>40667</v>
      </c>
      <c r="B11384" t="s">
        <v>6742</v>
      </c>
      <c r="C11384" t="s">
        <v>38067</v>
      </c>
      <c r="D11384" t="s">
        <v>40668</v>
      </c>
      <c r="E11384" t="b">
        <v>0</v>
      </c>
      <c r="F11384" t="s">
        <v>11610</v>
      </c>
      <c r="L11384">
        <v>0</v>
      </c>
      <c r="M11384">
        <v>0</v>
      </c>
      <c r="N11384">
        <v>0</v>
      </c>
    </row>
    <row r="11385" spans="1:15">
      <c r="A11385" t="s">
        <v>40669</v>
      </c>
      <c r="B11385" t="s">
        <v>6742</v>
      </c>
      <c r="C11385" t="s">
        <v>31814</v>
      </c>
      <c r="D11385" t="s">
        <v>40670</v>
      </c>
      <c r="E11385" t="b">
        <v>0</v>
      </c>
      <c r="F11385" t="s">
        <v>11610</v>
      </c>
      <c r="L11385">
        <v>0</v>
      </c>
      <c r="M11385">
        <v>0</v>
      </c>
      <c r="N11385">
        <v>0</v>
      </c>
    </row>
    <row r="11386" spans="1:15">
      <c r="A11386" t="s">
        <v>40671</v>
      </c>
      <c r="B11386" t="s">
        <v>6742</v>
      </c>
      <c r="C11386" t="s">
        <v>5545</v>
      </c>
      <c r="D11386" t="s">
        <v>40672</v>
      </c>
      <c r="E11386" t="b">
        <v>0</v>
      </c>
      <c r="F11386" t="s">
        <v>11610</v>
      </c>
      <c r="L11386">
        <v>0</v>
      </c>
      <c r="M11386">
        <v>0</v>
      </c>
      <c r="N11386">
        <v>0</v>
      </c>
    </row>
    <row r="11387" spans="1:15">
      <c r="A11387" t="s">
        <v>40673</v>
      </c>
      <c r="B11387" t="s">
        <v>6742</v>
      </c>
      <c r="C11387" t="s">
        <v>5545</v>
      </c>
      <c r="D11387" t="s">
        <v>40674</v>
      </c>
      <c r="E11387" t="b">
        <v>0</v>
      </c>
      <c r="F11387" t="s">
        <v>11610</v>
      </c>
      <c r="L11387">
        <v>0</v>
      </c>
      <c r="M11387">
        <v>0</v>
      </c>
      <c r="N11387">
        <v>0</v>
      </c>
    </row>
    <row r="11388" spans="1:15">
      <c r="A11388" t="s">
        <v>40675</v>
      </c>
      <c r="B11388" t="s">
        <v>6742</v>
      </c>
      <c r="C11388" t="s">
        <v>18635</v>
      </c>
      <c r="D11388" t="s">
        <v>40676</v>
      </c>
      <c r="E11388" t="b">
        <v>0</v>
      </c>
      <c r="F11388" t="s">
        <v>11610</v>
      </c>
      <c r="L11388">
        <v>0</v>
      </c>
      <c r="M11388">
        <v>0</v>
      </c>
      <c r="N11388">
        <v>0</v>
      </c>
    </row>
    <row r="11389" spans="1:15">
      <c r="A11389" t="s">
        <v>40677</v>
      </c>
      <c r="B11389" t="s">
        <v>367</v>
      </c>
      <c r="C11389" t="s">
        <v>40678</v>
      </c>
      <c r="D11389" t="s">
        <v>40679</v>
      </c>
      <c r="E11389" t="b">
        <v>0</v>
      </c>
      <c r="F11389" t="s">
        <v>11624</v>
      </c>
      <c r="G11389">
        <v>-9.75258</v>
      </c>
      <c r="H11389">
        <v>160.66300000000001</v>
      </c>
      <c r="I11389" t="s">
        <v>40680</v>
      </c>
      <c r="L11389">
        <v>0</v>
      </c>
      <c r="M11389">
        <v>0</v>
      </c>
      <c r="N11389">
        <v>0</v>
      </c>
      <c r="O11389" t="s">
        <v>13346</v>
      </c>
    </row>
    <row r="11390" spans="1:15">
      <c r="A11390" t="s">
        <v>40681</v>
      </c>
      <c r="B11390" t="s">
        <v>367</v>
      </c>
      <c r="C11390" t="s">
        <v>26160</v>
      </c>
      <c r="D11390" t="s">
        <v>40682</v>
      </c>
      <c r="E11390" t="b">
        <v>0</v>
      </c>
      <c r="F11390" t="s">
        <v>11610</v>
      </c>
      <c r="L11390">
        <v>0</v>
      </c>
      <c r="M11390">
        <v>0</v>
      </c>
      <c r="N11390">
        <v>0</v>
      </c>
    </row>
    <row r="11391" spans="1:15">
      <c r="A11391" t="s">
        <v>40683</v>
      </c>
      <c r="B11391" t="s">
        <v>367</v>
      </c>
      <c r="C11391" t="s">
        <v>15941</v>
      </c>
      <c r="D11391" t="s">
        <v>40684</v>
      </c>
      <c r="E11391" t="b">
        <v>0</v>
      </c>
      <c r="F11391" t="s">
        <v>11610</v>
      </c>
      <c r="L11391">
        <v>0</v>
      </c>
      <c r="M11391">
        <v>0</v>
      </c>
      <c r="N11391">
        <v>0</v>
      </c>
    </row>
    <row r="11392" spans="1:15">
      <c r="A11392" t="s">
        <v>40685</v>
      </c>
      <c r="B11392" t="s">
        <v>367</v>
      </c>
      <c r="C11392" t="s">
        <v>15941</v>
      </c>
      <c r="D11392" t="s">
        <v>40686</v>
      </c>
      <c r="E11392" t="b">
        <v>0</v>
      </c>
      <c r="F11392" t="s">
        <v>11610</v>
      </c>
      <c r="L11392">
        <v>0</v>
      </c>
      <c r="M11392">
        <v>0</v>
      </c>
      <c r="N11392">
        <v>0</v>
      </c>
    </row>
    <row r="11393" spans="1:15">
      <c r="A11393" t="s">
        <v>40687</v>
      </c>
      <c r="B11393" t="s">
        <v>367</v>
      </c>
      <c r="C11393" t="s">
        <v>15941</v>
      </c>
      <c r="D11393" t="s">
        <v>40688</v>
      </c>
      <c r="E11393" t="b">
        <v>0</v>
      </c>
      <c r="F11393" t="s">
        <v>11610</v>
      </c>
      <c r="L11393">
        <v>0</v>
      </c>
      <c r="M11393">
        <v>0</v>
      </c>
      <c r="N11393">
        <v>0</v>
      </c>
    </row>
    <row r="11394" spans="1:15">
      <c r="A11394" t="s">
        <v>40689</v>
      </c>
      <c r="B11394" t="s">
        <v>367</v>
      </c>
      <c r="C11394" t="s">
        <v>15941</v>
      </c>
      <c r="D11394" t="s">
        <v>40690</v>
      </c>
      <c r="E11394" t="b">
        <v>0</v>
      </c>
      <c r="F11394" t="s">
        <v>11610</v>
      </c>
      <c r="L11394">
        <v>0</v>
      </c>
      <c r="M11394">
        <v>0</v>
      </c>
      <c r="N11394">
        <v>0</v>
      </c>
    </row>
    <row r="11395" spans="1:15">
      <c r="A11395" t="s">
        <v>40691</v>
      </c>
      <c r="B11395" t="s">
        <v>367</v>
      </c>
      <c r="C11395" t="s">
        <v>34317</v>
      </c>
      <c r="D11395" t="s">
        <v>40692</v>
      </c>
      <c r="E11395" t="b">
        <v>0</v>
      </c>
      <c r="F11395" t="s">
        <v>11610</v>
      </c>
      <c r="L11395">
        <v>0</v>
      </c>
      <c r="M11395">
        <v>0</v>
      </c>
      <c r="N11395">
        <v>0</v>
      </c>
    </row>
    <row r="11396" spans="1:15">
      <c r="A11396" t="s">
        <v>40693</v>
      </c>
      <c r="B11396" t="s">
        <v>367</v>
      </c>
      <c r="C11396" t="s">
        <v>40694</v>
      </c>
      <c r="D11396" t="s">
        <v>40695</v>
      </c>
      <c r="E11396" t="b">
        <v>0</v>
      </c>
      <c r="F11396" t="s">
        <v>11610</v>
      </c>
      <c r="L11396">
        <v>0</v>
      </c>
      <c r="M11396">
        <v>0</v>
      </c>
      <c r="N11396">
        <v>0</v>
      </c>
    </row>
    <row r="11397" spans="1:15">
      <c r="A11397" t="s">
        <v>40696</v>
      </c>
      <c r="B11397" t="s">
        <v>367</v>
      </c>
      <c r="C11397" t="s">
        <v>40694</v>
      </c>
      <c r="D11397" t="s">
        <v>40697</v>
      </c>
      <c r="E11397" t="b">
        <v>0</v>
      </c>
      <c r="F11397" t="s">
        <v>11610</v>
      </c>
      <c r="L11397">
        <v>0</v>
      </c>
      <c r="M11397">
        <v>0</v>
      </c>
      <c r="N11397">
        <v>0</v>
      </c>
    </row>
    <row r="11398" spans="1:15">
      <c r="A11398" t="s">
        <v>40698</v>
      </c>
      <c r="B11398" t="s">
        <v>367</v>
      </c>
      <c r="C11398" t="s">
        <v>17951</v>
      </c>
      <c r="D11398" t="s">
        <v>40699</v>
      </c>
      <c r="E11398" t="b">
        <v>0</v>
      </c>
      <c r="F11398" t="s">
        <v>11610</v>
      </c>
      <c r="L11398">
        <v>0</v>
      </c>
      <c r="M11398">
        <v>0</v>
      </c>
      <c r="N11398">
        <v>0</v>
      </c>
    </row>
    <row r="11399" spans="1:15">
      <c r="A11399" t="s">
        <v>40700</v>
      </c>
      <c r="B11399" t="s">
        <v>367</v>
      </c>
      <c r="C11399" t="s">
        <v>17951</v>
      </c>
      <c r="D11399" t="s">
        <v>40701</v>
      </c>
      <c r="E11399" t="b">
        <v>0</v>
      </c>
      <c r="F11399" t="s">
        <v>11610</v>
      </c>
      <c r="L11399">
        <v>0</v>
      </c>
      <c r="M11399">
        <v>0</v>
      </c>
      <c r="N11399">
        <v>0</v>
      </c>
    </row>
    <row r="11400" spans="1:15">
      <c r="A11400" t="s">
        <v>40702</v>
      </c>
      <c r="B11400" t="s">
        <v>367</v>
      </c>
      <c r="C11400" t="s">
        <v>40703</v>
      </c>
      <c r="D11400" t="s">
        <v>40704</v>
      </c>
      <c r="E11400" t="b">
        <v>0</v>
      </c>
      <c r="F11400" t="s">
        <v>11624</v>
      </c>
      <c r="G11400">
        <v>3.8522599999999998</v>
      </c>
      <c r="H11400">
        <v>114.82</v>
      </c>
      <c r="I11400" t="s">
        <v>40705</v>
      </c>
      <c r="L11400">
        <v>0</v>
      </c>
      <c r="M11400">
        <v>0</v>
      </c>
      <c r="N11400">
        <v>3</v>
      </c>
      <c r="O11400" t="s">
        <v>11672</v>
      </c>
    </row>
    <row r="11401" spans="1:15">
      <c r="A11401" t="s">
        <v>40706</v>
      </c>
      <c r="B11401" t="s">
        <v>367</v>
      </c>
      <c r="C11401" t="s">
        <v>40702</v>
      </c>
      <c r="D11401" t="s">
        <v>40707</v>
      </c>
      <c r="E11401" t="b">
        <v>0</v>
      </c>
      <c r="F11401" t="s">
        <v>11610</v>
      </c>
      <c r="L11401">
        <v>0</v>
      </c>
      <c r="M11401">
        <v>0</v>
      </c>
      <c r="N11401">
        <v>0</v>
      </c>
    </row>
    <row r="11402" spans="1:15">
      <c r="A11402" t="s">
        <v>40708</v>
      </c>
      <c r="B11402" t="s">
        <v>367</v>
      </c>
      <c r="C11402" t="s">
        <v>39807</v>
      </c>
      <c r="D11402" t="s">
        <v>40709</v>
      </c>
      <c r="E11402" t="b">
        <v>0</v>
      </c>
      <c r="F11402" t="s">
        <v>11610</v>
      </c>
      <c r="L11402">
        <v>0</v>
      </c>
      <c r="M11402">
        <v>0</v>
      </c>
      <c r="N11402">
        <v>0</v>
      </c>
    </row>
    <row r="11403" spans="1:15">
      <c r="A11403" t="s">
        <v>40710</v>
      </c>
      <c r="B11403" t="s">
        <v>367</v>
      </c>
      <c r="C11403" t="s">
        <v>39807</v>
      </c>
      <c r="D11403" t="s">
        <v>40711</v>
      </c>
      <c r="E11403" t="b">
        <v>0</v>
      </c>
      <c r="F11403" t="s">
        <v>11610</v>
      </c>
      <c r="L11403">
        <v>0</v>
      </c>
      <c r="M11403">
        <v>0</v>
      </c>
      <c r="N11403">
        <v>0</v>
      </c>
    </row>
    <row r="11404" spans="1:15">
      <c r="A11404" t="s">
        <v>40712</v>
      </c>
      <c r="B11404" t="s">
        <v>367</v>
      </c>
      <c r="C11404" t="s">
        <v>39807</v>
      </c>
      <c r="D11404" t="s">
        <v>40713</v>
      </c>
      <c r="E11404" t="b">
        <v>0</v>
      </c>
      <c r="F11404" t="s">
        <v>11610</v>
      </c>
      <c r="L11404">
        <v>0</v>
      </c>
      <c r="M11404">
        <v>0</v>
      </c>
      <c r="N11404">
        <v>0</v>
      </c>
    </row>
    <row r="11405" spans="1:15">
      <c r="A11405" t="s">
        <v>40714</v>
      </c>
      <c r="B11405" t="s">
        <v>367</v>
      </c>
      <c r="C11405" t="s">
        <v>39807</v>
      </c>
      <c r="D11405" t="s">
        <v>40715</v>
      </c>
      <c r="E11405" t="b">
        <v>0</v>
      </c>
      <c r="F11405" t="s">
        <v>11610</v>
      </c>
      <c r="L11405">
        <v>0</v>
      </c>
      <c r="M11405">
        <v>0</v>
      </c>
      <c r="N11405">
        <v>0</v>
      </c>
    </row>
    <row r="11406" spans="1:15">
      <c r="A11406" t="s">
        <v>40716</v>
      </c>
      <c r="B11406" t="s">
        <v>367</v>
      </c>
      <c r="C11406" t="s">
        <v>16936</v>
      </c>
      <c r="D11406" t="s">
        <v>40717</v>
      </c>
      <c r="E11406" t="b">
        <v>0</v>
      </c>
      <c r="F11406" t="s">
        <v>11610</v>
      </c>
      <c r="L11406">
        <v>0</v>
      </c>
      <c r="M11406">
        <v>0</v>
      </c>
      <c r="N11406">
        <v>0</v>
      </c>
    </row>
    <row r="11407" spans="1:15">
      <c r="A11407" t="s">
        <v>40718</v>
      </c>
      <c r="B11407" t="s">
        <v>367</v>
      </c>
      <c r="C11407" t="s">
        <v>16936</v>
      </c>
      <c r="D11407" t="s">
        <v>40719</v>
      </c>
      <c r="E11407" t="b">
        <v>0</v>
      </c>
      <c r="F11407" t="s">
        <v>11610</v>
      </c>
      <c r="L11407">
        <v>0</v>
      </c>
      <c r="M11407">
        <v>0</v>
      </c>
      <c r="N11407">
        <v>0</v>
      </c>
    </row>
    <row r="11408" spans="1:15">
      <c r="A11408" t="s">
        <v>40720</v>
      </c>
      <c r="B11408" t="s">
        <v>367</v>
      </c>
      <c r="C11408" t="s">
        <v>17798</v>
      </c>
      <c r="D11408" t="s">
        <v>40721</v>
      </c>
      <c r="E11408" t="b">
        <v>0</v>
      </c>
      <c r="F11408" t="s">
        <v>11610</v>
      </c>
      <c r="L11408">
        <v>0</v>
      </c>
      <c r="M11408">
        <v>0</v>
      </c>
      <c r="N11408">
        <v>0</v>
      </c>
    </row>
    <row r="11409" spans="1:15">
      <c r="A11409" t="s">
        <v>40722</v>
      </c>
      <c r="B11409" t="s">
        <v>367</v>
      </c>
      <c r="C11409" t="s">
        <v>36617</v>
      </c>
      <c r="D11409" t="s">
        <v>40723</v>
      </c>
      <c r="E11409" t="b">
        <v>0</v>
      </c>
      <c r="F11409" t="s">
        <v>11610</v>
      </c>
      <c r="L11409">
        <v>0</v>
      </c>
      <c r="M11409">
        <v>0</v>
      </c>
      <c r="N11409">
        <v>0</v>
      </c>
    </row>
    <row r="11410" spans="1:15">
      <c r="A11410" t="s">
        <v>40724</v>
      </c>
      <c r="B11410" t="s">
        <v>367</v>
      </c>
      <c r="C11410" t="s">
        <v>36617</v>
      </c>
      <c r="D11410" t="s">
        <v>40725</v>
      </c>
      <c r="E11410" t="b">
        <v>0</v>
      </c>
      <c r="F11410" t="s">
        <v>11610</v>
      </c>
      <c r="L11410">
        <v>0</v>
      </c>
      <c r="M11410">
        <v>0</v>
      </c>
      <c r="N11410">
        <v>0</v>
      </c>
    </row>
    <row r="11411" spans="1:15">
      <c r="A11411" t="s">
        <v>40726</v>
      </c>
      <c r="B11411" t="s">
        <v>11644</v>
      </c>
      <c r="C11411" t="s">
        <v>20887</v>
      </c>
      <c r="D11411" t="s">
        <v>40727</v>
      </c>
      <c r="E11411" t="b">
        <v>0</v>
      </c>
      <c r="F11411" t="s">
        <v>11624</v>
      </c>
      <c r="G11411">
        <v>26.4</v>
      </c>
      <c r="H11411">
        <v>105.233333</v>
      </c>
      <c r="L11411">
        <v>0</v>
      </c>
      <c r="M11411">
        <v>0</v>
      </c>
      <c r="N11411">
        <v>0</v>
      </c>
      <c r="O11411" t="s">
        <v>11905</v>
      </c>
    </row>
    <row r="11412" spans="1:15">
      <c r="A11412" t="s">
        <v>40728</v>
      </c>
      <c r="B11412" t="s">
        <v>367</v>
      </c>
      <c r="C11412" t="s">
        <v>40729</v>
      </c>
      <c r="D11412" t="s">
        <v>40730</v>
      </c>
      <c r="E11412" t="b">
        <v>0</v>
      </c>
      <c r="F11412" t="s">
        <v>11624</v>
      </c>
      <c r="G11412">
        <v>-2.0612400000000002</v>
      </c>
      <c r="H11412">
        <v>147.35</v>
      </c>
      <c r="I11412" t="s">
        <v>40731</v>
      </c>
      <c r="L11412">
        <v>0</v>
      </c>
      <c r="M11412">
        <v>0</v>
      </c>
      <c r="N11412">
        <v>0</v>
      </c>
      <c r="O11412" t="s">
        <v>11660</v>
      </c>
    </row>
    <row r="11413" spans="1:15">
      <c r="A11413" t="s">
        <v>40732</v>
      </c>
      <c r="B11413" t="s">
        <v>367</v>
      </c>
      <c r="C11413" t="s">
        <v>30602</v>
      </c>
      <c r="D11413" t="s">
        <v>40733</v>
      </c>
      <c r="E11413" t="b">
        <v>0</v>
      </c>
      <c r="F11413" t="s">
        <v>11610</v>
      </c>
      <c r="L11413">
        <v>0</v>
      </c>
      <c r="M11413">
        <v>0</v>
      </c>
      <c r="N11413">
        <v>0</v>
      </c>
    </row>
    <row r="11414" spans="1:15">
      <c r="A11414" t="s">
        <v>40734</v>
      </c>
      <c r="B11414" t="s">
        <v>367</v>
      </c>
      <c r="C11414" t="s">
        <v>13402</v>
      </c>
      <c r="D11414" t="s">
        <v>40735</v>
      </c>
      <c r="E11414" t="b">
        <v>0</v>
      </c>
      <c r="F11414" t="s">
        <v>11624</v>
      </c>
      <c r="G11414">
        <v>-16.2286</v>
      </c>
      <c r="H11414">
        <v>168.01599999999999</v>
      </c>
      <c r="I11414" t="s">
        <v>40736</v>
      </c>
      <c r="L11414">
        <v>0</v>
      </c>
      <c r="M11414">
        <v>0</v>
      </c>
      <c r="N11414">
        <v>0</v>
      </c>
      <c r="O11414" t="s">
        <v>12719</v>
      </c>
    </row>
    <row r="11415" spans="1:15">
      <c r="A11415" t="s">
        <v>40737</v>
      </c>
      <c r="B11415" t="s">
        <v>6742</v>
      </c>
      <c r="C11415" t="s">
        <v>40738</v>
      </c>
      <c r="D11415" t="s">
        <v>40739</v>
      </c>
      <c r="E11415" t="b">
        <v>0</v>
      </c>
      <c r="F11415" t="s">
        <v>11610</v>
      </c>
      <c r="G11415">
        <v>-4.6144400000000001</v>
      </c>
      <c r="H11415">
        <v>16.725899999999999</v>
      </c>
      <c r="I11415" t="s">
        <v>40740</v>
      </c>
      <c r="L11415">
        <v>0</v>
      </c>
      <c r="M11415">
        <v>0</v>
      </c>
      <c r="N11415">
        <v>0</v>
      </c>
      <c r="O11415" t="s">
        <v>14825</v>
      </c>
    </row>
    <row r="11416" spans="1:15">
      <c r="A11416" t="s">
        <v>40741</v>
      </c>
      <c r="B11416" t="s">
        <v>13276</v>
      </c>
      <c r="C11416" t="s">
        <v>18988</v>
      </c>
      <c r="D11416" t="s">
        <v>40742</v>
      </c>
      <c r="E11416" t="b">
        <v>0</v>
      </c>
      <c r="F11416" t="s">
        <v>11610</v>
      </c>
      <c r="L11416">
        <v>0</v>
      </c>
      <c r="M11416">
        <v>0</v>
      </c>
      <c r="N11416">
        <v>0</v>
      </c>
    </row>
    <row r="11417" spans="1:15">
      <c r="A11417" t="s">
        <v>40743</v>
      </c>
      <c r="B11417" t="s">
        <v>6742</v>
      </c>
      <c r="C11417" t="s">
        <v>23768</v>
      </c>
      <c r="D11417" t="s">
        <v>40744</v>
      </c>
      <c r="E11417" t="b">
        <v>0</v>
      </c>
      <c r="F11417" t="s">
        <v>11610</v>
      </c>
      <c r="L11417">
        <v>0</v>
      </c>
      <c r="M11417">
        <v>0</v>
      </c>
      <c r="N11417">
        <v>0</v>
      </c>
    </row>
    <row r="11418" spans="1:15">
      <c r="A11418" t="s">
        <v>40745</v>
      </c>
      <c r="B11418" t="s">
        <v>6742</v>
      </c>
      <c r="C11418" t="s">
        <v>23768</v>
      </c>
      <c r="D11418" t="s">
        <v>40746</v>
      </c>
      <c r="E11418" t="b">
        <v>0</v>
      </c>
      <c r="F11418" t="s">
        <v>11610</v>
      </c>
      <c r="L11418">
        <v>0</v>
      </c>
      <c r="M11418">
        <v>0</v>
      </c>
      <c r="N11418">
        <v>0</v>
      </c>
    </row>
    <row r="11419" spans="1:15">
      <c r="A11419" t="s">
        <v>40747</v>
      </c>
      <c r="B11419" t="s">
        <v>367</v>
      </c>
      <c r="C11419" t="s">
        <v>12989</v>
      </c>
      <c r="D11419" t="s">
        <v>40748</v>
      </c>
      <c r="E11419" t="b">
        <v>0</v>
      </c>
      <c r="F11419" t="s">
        <v>11610</v>
      </c>
      <c r="L11419">
        <v>0</v>
      </c>
      <c r="M11419">
        <v>0</v>
      </c>
      <c r="N11419">
        <v>0</v>
      </c>
    </row>
    <row r="11420" spans="1:15">
      <c r="A11420" t="s">
        <v>40749</v>
      </c>
      <c r="B11420" t="s">
        <v>6742</v>
      </c>
      <c r="C11420" t="s">
        <v>20434</v>
      </c>
      <c r="D11420" t="s">
        <v>40750</v>
      </c>
      <c r="E11420" t="b">
        <v>0</v>
      </c>
      <c r="F11420" t="s">
        <v>11624</v>
      </c>
      <c r="G11420">
        <v>9.4065999999999992</v>
      </c>
      <c r="H11420">
        <v>11.0511</v>
      </c>
      <c r="I11420" t="s">
        <v>40751</v>
      </c>
      <c r="L11420">
        <v>0</v>
      </c>
      <c r="M11420">
        <v>0</v>
      </c>
      <c r="N11420">
        <v>0</v>
      </c>
      <c r="O11420" t="s">
        <v>11693</v>
      </c>
    </row>
    <row r="11421" spans="1:15">
      <c r="A11421" t="s">
        <v>40752</v>
      </c>
      <c r="B11421" t="s">
        <v>6742</v>
      </c>
      <c r="C11421" t="s">
        <v>23578</v>
      </c>
      <c r="D11421" t="s">
        <v>40753</v>
      </c>
      <c r="E11421" t="b">
        <v>0</v>
      </c>
      <c r="F11421" t="s">
        <v>11624</v>
      </c>
      <c r="G11421">
        <v>10.3756</v>
      </c>
      <c r="H11421">
        <v>4.6739600000000001</v>
      </c>
      <c r="I11421" t="s">
        <v>40754</v>
      </c>
      <c r="L11421">
        <v>0</v>
      </c>
      <c r="M11421">
        <v>0</v>
      </c>
      <c r="N11421">
        <v>0</v>
      </c>
      <c r="O11421" t="s">
        <v>11693</v>
      </c>
    </row>
    <row r="11422" spans="1:15">
      <c r="A11422" t="s">
        <v>40755</v>
      </c>
      <c r="B11422" t="s">
        <v>11757</v>
      </c>
      <c r="C11422" t="s">
        <v>25267</v>
      </c>
      <c r="D11422" t="s">
        <v>40756</v>
      </c>
      <c r="E11422" t="b">
        <v>0</v>
      </c>
      <c r="F11422" t="s">
        <v>11624</v>
      </c>
      <c r="G11422">
        <v>4.6985999999999999</v>
      </c>
      <c r="H11422">
        <v>32.753399999999999</v>
      </c>
      <c r="I11422" t="s">
        <v>40757</v>
      </c>
      <c r="L11422">
        <v>0</v>
      </c>
      <c r="M11422">
        <v>0</v>
      </c>
      <c r="N11422">
        <v>0</v>
      </c>
      <c r="O11422" t="s">
        <v>11910</v>
      </c>
    </row>
    <row r="11423" spans="1:15">
      <c r="A11423" t="s">
        <v>40758</v>
      </c>
      <c r="B11423" t="s">
        <v>11627</v>
      </c>
      <c r="C11423" t="s">
        <v>11627</v>
      </c>
      <c r="D11423" t="s">
        <v>40759</v>
      </c>
      <c r="E11423" t="b">
        <v>1</v>
      </c>
      <c r="F11423" t="s">
        <v>11624</v>
      </c>
      <c r="G11423">
        <v>25.083300000000001</v>
      </c>
      <c r="H11423">
        <v>97.083299999999994</v>
      </c>
      <c r="I11423" t="s">
        <v>40760</v>
      </c>
      <c r="L11423">
        <v>0</v>
      </c>
      <c r="M11423">
        <v>0</v>
      </c>
      <c r="N11423">
        <v>0</v>
      </c>
      <c r="O11423" t="s">
        <v>14059</v>
      </c>
    </row>
    <row r="11424" spans="1:15">
      <c r="A11424" t="s">
        <v>40761</v>
      </c>
      <c r="B11424" t="s">
        <v>331</v>
      </c>
      <c r="C11424" t="s">
        <v>5223</v>
      </c>
      <c r="D11424" t="s">
        <v>40762</v>
      </c>
      <c r="E11424" t="b">
        <v>0</v>
      </c>
      <c r="F11424" t="s">
        <v>11610</v>
      </c>
      <c r="L11424">
        <v>0</v>
      </c>
      <c r="M11424">
        <v>0</v>
      </c>
      <c r="N11424">
        <v>0</v>
      </c>
    </row>
    <row r="11425" spans="1:15">
      <c r="A11425" t="s">
        <v>40763</v>
      </c>
      <c r="B11425" t="s">
        <v>367</v>
      </c>
      <c r="C11425" t="s">
        <v>21942</v>
      </c>
      <c r="D11425" t="s">
        <v>40764</v>
      </c>
      <c r="E11425" t="b">
        <v>0</v>
      </c>
      <c r="F11425" t="s">
        <v>11624</v>
      </c>
      <c r="G11425">
        <v>-6.3033799999999998</v>
      </c>
      <c r="H11425">
        <v>134.41</v>
      </c>
      <c r="I11425" t="s">
        <v>40765</v>
      </c>
      <c r="L11425">
        <v>0</v>
      </c>
      <c r="M11425">
        <v>0</v>
      </c>
      <c r="N11425">
        <v>0</v>
      </c>
      <c r="O11425" t="s">
        <v>11768</v>
      </c>
    </row>
    <row r="11426" spans="1:15">
      <c r="A11426" t="s">
        <v>40766</v>
      </c>
      <c r="B11426" t="s">
        <v>11637</v>
      </c>
      <c r="C11426" t="s">
        <v>38933</v>
      </c>
      <c r="D11426" t="s">
        <v>40767</v>
      </c>
      <c r="E11426" t="b">
        <v>0</v>
      </c>
      <c r="F11426" t="s">
        <v>11624</v>
      </c>
      <c r="G11426">
        <v>-4.7456300000000002</v>
      </c>
      <c r="H11426">
        <v>-73.650700000000001</v>
      </c>
      <c r="I11426" t="s">
        <v>40768</v>
      </c>
      <c r="L11426">
        <v>0</v>
      </c>
      <c r="M11426">
        <v>0</v>
      </c>
      <c r="N11426">
        <v>0</v>
      </c>
      <c r="O11426" t="s">
        <v>11778</v>
      </c>
    </row>
    <row r="11427" spans="1:15">
      <c r="A11427" t="s">
        <v>40769</v>
      </c>
      <c r="B11427" t="s">
        <v>367</v>
      </c>
      <c r="C11427" t="s">
        <v>14101</v>
      </c>
      <c r="D11427" t="s">
        <v>40770</v>
      </c>
      <c r="E11427" t="b">
        <v>0</v>
      </c>
      <c r="F11427" t="s">
        <v>11624</v>
      </c>
      <c r="G11427">
        <v>-15.334763000000001</v>
      </c>
      <c r="H11427">
        <v>167.166325</v>
      </c>
      <c r="I11427" t="s">
        <v>40771</v>
      </c>
      <c r="L11427">
        <v>0</v>
      </c>
      <c r="M11427">
        <v>0</v>
      </c>
      <c r="N11427">
        <v>0</v>
      </c>
      <c r="O11427" t="s">
        <v>12719</v>
      </c>
    </row>
    <row r="11428" spans="1:15">
      <c r="A11428" t="s">
        <v>40772</v>
      </c>
      <c r="B11428" t="s">
        <v>11894</v>
      </c>
      <c r="C11428" t="s">
        <v>33304</v>
      </c>
      <c r="D11428" t="s">
        <v>40773</v>
      </c>
      <c r="E11428" t="b">
        <v>0</v>
      </c>
      <c r="F11428" t="s">
        <v>11610</v>
      </c>
      <c r="L11428">
        <v>0</v>
      </c>
      <c r="M11428">
        <v>0</v>
      </c>
      <c r="N11428">
        <v>0</v>
      </c>
    </row>
    <row r="11429" spans="1:15">
      <c r="A11429" t="s">
        <v>33808</v>
      </c>
      <c r="B11429" t="s">
        <v>11729</v>
      </c>
      <c r="C11429" t="s">
        <v>17832</v>
      </c>
      <c r="D11429" t="s">
        <v>40774</v>
      </c>
      <c r="E11429" t="b">
        <v>0</v>
      </c>
      <c r="F11429" t="s">
        <v>11622</v>
      </c>
      <c r="L11429">
        <v>0</v>
      </c>
      <c r="M11429">
        <v>2</v>
      </c>
      <c r="N11429">
        <v>5</v>
      </c>
    </row>
    <row r="11430" spans="1:15">
      <c r="A11430" t="s">
        <v>40775</v>
      </c>
      <c r="B11430" t="s">
        <v>11637</v>
      </c>
      <c r="C11430" t="s">
        <v>19771</v>
      </c>
      <c r="D11430" t="s">
        <v>40776</v>
      </c>
      <c r="E11430" t="b">
        <v>0</v>
      </c>
      <c r="F11430" t="s">
        <v>11610</v>
      </c>
      <c r="L11430">
        <v>0</v>
      </c>
      <c r="M11430">
        <v>0</v>
      </c>
      <c r="N11430">
        <v>0</v>
      </c>
    </row>
    <row r="11431" spans="1:15">
      <c r="A11431" t="s">
        <v>40777</v>
      </c>
      <c r="B11431" t="s">
        <v>11637</v>
      </c>
      <c r="C11431" t="s">
        <v>40778</v>
      </c>
      <c r="D11431" t="s">
        <v>40779</v>
      </c>
      <c r="E11431" t="b">
        <v>0</v>
      </c>
      <c r="F11431" t="s">
        <v>11610</v>
      </c>
      <c r="L11431">
        <v>0</v>
      </c>
      <c r="M11431">
        <v>0</v>
      </c>
      <c r="N11431">
        <v>0</v>
      </c>
    </row>
    <row r="11432" spans="1:15">
      <c r="A11432" t="s">
        <v>40780</v>
      </c>
      <c r="B11432" t="s">
        <v>11757</v>
      </c>
      <c r="C11432" t="s">
        <v>37457</v>
      </c>
      <c r="D11432" t="s">
        <v>40781</v>
      </c>
      <c r="E11432" t="b">
        <v>0</v>
      </c>
      <c r="F11432" t="s">
        <v>11610</v>
      </c>
      <c r="L11432">
        <v>0</v>
      </c>
      <c r="M11432">
        <v>0</v>
      </c>
      <c r="N11432">
        <v>0</v>
      </c>
    </row>
    <row r="11433" spans="1:15">
      <c r="A11433" t="s">
        <v>40782</v>
      </c>
      <c r="B11433" t="s">
        <v>367</v>
      </c>
      <c r="C11433" t="s">
        <v>7411</v>
      </c>
      <c r="D11433" t="s">
        <v>40783</v>
      </c>
      <c r="E11433" t="b">
        <v>0</v>
      </c>
      <c r="F11433" t="s">
        <v>11610</v>
      </c>
      <c r="L11433">
        <v>0</v>
      </c>
      <c r="M11433">
        <v>0</v>
      </c>
      <c r="N11433">
        <v>0</v>
      </c>
    </row>
    <row r="11434" spans="1:15">
      <c r="A11434" t="s">
        <v>40784</v>
      </c>
      <c r="B11434" t="s">
        <v>367</v>
      </c>
      <c r="C11434" t="s">
        <v>24401</v>
      </c>
      <c r="D11434" t="s">
        <v>40785</v>
      </c>
      <c r="E11434" t="b">
        <v>0</v>
      </c>
      <c r="F11434" t="s">
        <v>11610</v>
      </c>
      <c r="L11434">
        <v>0</v>
      </c>
      <c r="M11434">
        <v>0</v>
      </c>
      <c r="N11434">
        <v>0</v>
      </c>
    </row>
    <row r="11435" spans="1:15">
      <c r="A11435" t="s">
        <v>40786</v>
      </c>
      <c r="B11435" t="s">
        <v>367</v>
      </c>
      <c r="C11435" t="s">
        <v>40787</v>
      </c>
      <c r="D11435" t="s">
        <v>40788</v>
      </c>
      <c r="E11435" t="b">
        <v>0</v>
      </c>
      <c r="F11435" t="s">
        <v>11610</v>
      </c>
      <c r="L11435">
        <v>0</v>
      </c>
      <c r="M11435">
        <v>0</v>
      </c>
      <c r="N11435">
        <v>0</v>
      </c>
    </row>
    <row r="11436" spans="1:15">
      <c r="A11436" t="s">
        <v>40789</v>
      </c>
      <c r="B11436" t="s">
        <v>6742</v>
      </c>
      <c r="C11436" t="s">
        <v>18635</v>
      </c>
      <c r="D11436" t="s">
        <v>40790</v>
      </c>
      <c r="E11436" t="b">
        <v>0</v>
      </c>
      <c r="F11436" t="s">
        <v>11610</v>
      </c>
      <c r="L11436">
        <v>0</v>
      </c>
      <c r="M11436">
        <v>0</v>
      </c>
      <c r="N11436">
        <v>0</v>
      </c>
    </row>
    <row r="11437" spans="1:15">
      <c r="A11437" t="s">
        <v>40791</v>
      </c>
      <c r="B11437" t="s">
        <v>367</v>
      </c>
      <c r="C11437" t="s">
        <v>40792</v>
      </c>
      <c r="D11437" t="s">
        <v>40793</v>
      </c>
      <c r="E11437" t="b">
        <v>0</v>
      </c>
      <c r="F11437" t="s">
        <v>11624</v>
      </c>
      <c r="G11437">
        <v>-5.9539999999999997</v>
      </c>
      <c r="H11437">
        <v>150.911</v>
      </c>
      <c r="I11437" t="s">
        <v>40794</v>
      </c>
      <c r="L11437">
        <v>0</v>
      </c>
      <c r="M11437">
        <v>0</v>
      </c>
      <c r="N11437">
        <v>0</v>
      </c>
      <c r="O11437" t="s">
        <v>11660</v>
      </c>
    </row>
    <row r="11438" spans="1:15">
      <c r="A11438" t="s">
        <v>38809</v>
      </c>
      <c r="B11438" t="s">
        <v>11644</v>
      </c>
      <c r="C11438" t="s">
        <v>14090</v>
      </c>
      <c r="D11438" t="s">
        <v>40795</v>
      </c>
      <c r="E11438" t="b">
        <v>0</v>
      </c>
      <c r="F11438" t="s">
        <v>11624</v>
      </c>
      <c r="G11438">
        <v>26.013960000000001</v>
      </c>
      <c r="H11438">
        <v>94.043549999999996</v>
      </c>
      <c r="I11438" t="s">
        <v>40796</v>
      </c>
      <c r="L11438">
        <v>0</v>
      </c>
      <c r="M11438">
        <v>0</v>
      </c>
      <c r="N11438">
        <v>7</v>
      </c>
      <c r="O11438" t="s">
        <v>11630</v>
      </c>
    </row>
    <row r="11439" spans="1:15">
      <c r="A11439" t="s">
        <v>40797</v>
      </c>
      <c r="B11439" t="s">
        <v>11637</v>
      </c>
      <c r="C11439" t="s">
        <v>40798</v>
      </c>
      <c r="D11439" t="s">
        <v>40799</v>
      </c>
      <c r="E11439" t="b">
        <v>0</v>
      </c>
      <c r="F11439" t="s">
        <v>11610</v>
      </c>
      <c r="L11439">
        <v>0</v>
      </c>
      <c r="M11439">
        <v>0</v>
      </c>
      <c r="N11439">
        <v>0</v>
      </c>
    </row>
    <row r="11440" spans="1:15">
      <c r="A11440" t="s">
        <v>40800</v>
      </c>
      <c r="B11440" t="s">
        <v>15569</v>
      </c>
      <c r="C11440" t="s">
        <v>19332</v>
      </c>
      <c r="D11440" t="s">
        <v>40801</v>
      </c>
      <c r="E11440" t="b">
        <v>0</v>
      </c>
      <c r="F11440" t="s">
        <v>11610</v>
      </c>
      <c r="L11440">
        <v>0</v>
      </c>
      <c r="M11440">
        <v>0</v>
      </c>
      <c r="N11440">
        <v>0</v>
      </c>
    </row>
    <row r="11441" spans="1:15">
      <c r="A11441" t="s">
        <v>40802</v>
      </c>
      <c r="B11441" t="s">
        <v>367</v>
      </c>
      <c r="C11441" t="s">
        <v>21535</v>
      </c>
      <c r="D11441" t="s">
        <v>40803</v>
      </c>
      <c r="E11441" t="b">
        <v>0</v>
      </c>
      <c r="F11441" t="s">
        <v>11610</v>
      </c>
      <c r="L11441">
        <v>0</v>
      </c>
      <c r="M11441">
        <v>0</v>
      </c>
      <c r="N11441">
        <v>0</v>
      </c>
    </row>
    <row r="11442" spans="1:15">
      <c r="A11442" t="s">
        <v>40804</v>
      </c>
      <c r="B11442" t="s">
        <v>367</v>
      </c>
      <c r="C11442" t="s">
        <v>31218</v>
      </c>
      <c r="D11442" t="s">
        <v>40805</v>
      </c>
      <c r="E11442" t="b">
        <v>0</v>
      </c>
      <c r="F11442" t="s">
        <v>11624</v>
      </c>
      <c r="G11442">
        <v>-13.334872000000001</v>
      </c>
      <c r="H11442">
        <v>166.63433800000001</v>
      </c>
      <c r="I11442" t="s">
        <v>40806</v>
      </c>
      <c r="L11442">
        <v>0</v>
      </c>
      <c r="M11442">
        <v>0</v>
      </c>
      <c r="N11442">
        <v>0</v>
      </c>
      <c r="O11442" t="s">
        <v>12719</v>
      </c>
    </row>
    <row r="11443" spans="1:15">
      <c r="A11443" t="s">
        <v>40807</v>
      </c>
      <c r="B11443" t="s">
        <v>11757</v>
      </c>
      <c r="C11443" t="s">
        <v>40808</v>
      </c>
      <c r="D11443" t="s">
        <v>40809</v>
      </c>
      <c r="E11443" t="b">
        <v>0</v>
      </c>
      <c r="F11443" t="s">
        <v>11622</v>
      </c>
      <c r="L11443">
        <v>3</v>
      </c>
      <c r="M11443">
        <v>8</v>
      </c>
      <c r="N11443">
        <v>21</v>
      </c>
    </row>
    <row r="11444" spans="1:15">
      <c r="A11444" t="s">
        <v>25267</v>
      </c>
      <c r="B11444" t="s">
        <v>11757</v>
      </c>
      <c r="C11444" t="s">
        <v>40807</v>
      </c>
      <c r="D11444" t="s">
        <v>40810</v>
      </c>
      <c r="E11444" t="b">
        <v>0</v>
      </c>
      <c r="F11444" t="s">
        <v>11622</v>
      </c>
      <c r="L11444">
        <v>0</v>
      </c>
      <c r="M11444">
        <v>5</v>
      </c>
      <c r="N11444">
        <v>6</v>
      </c>
    </row>
    <row r="11445" spans="1:15">
      <c r="A11445" t="s">
        <v>40811</v>
      </c>
      <c r="B11445" t="s">
        <v>367</v>
      </c>
      <c r="C11445" t="s">
        <v>18815</v>
      </c>
      <c r="D11445" t="s">
        <v>40812</v>
      </c>
      <c r="E11445" t="b">
        <v>0</v>
      </c>
      <c r="F11445" t="s">
        <v>11624</v>
      </c>
      <c r="G11445">
        <v>6.1373199999999999</v>
      </c>
      <c r="H11445">
        <v>116.232</v>
      </c>
      <c r="I11445" t="s">
        <v>40813</v>
      </c>
      <c r="L11445">
        <v>0</v>
      </c>
      <c r="M11445">
        <v>0</v>
      </c>
      <c r="N11445">
        <v>0</v>
      </c>
      <c r="O11445" t="s">
        <v>11672</v>
      </c>
    </row>
    <row r="11446" spans="1:15">
      <c r="A11446" t="s">
        <v>40814</v>
      </c>
      <c r="B11446" t="s">
        <v>11644</v>
      </c>
      <c r="C11446" t="s">
        <v>40815</v>
      </c>
      <c r="D11446" t="s">
        <v>40816</v>
      </c>
      <c r="E11446" t="b">
        <v>0</v>
      </c>
      <c r="F11446" t="s">
        <v>11610</v>
      </c>
      <c r="G11446">
        <v>27.733332999999998</v>
      </c>
      <c r="H11446">
        <v>111.9281883</v>
      </c>
      <c r="L11446">
        <v>0</v>
      </c>
      <c r="M11446">
        <v>0</v>
      </c>
      <c r="N11446">
        <v>0</v>
      </c>
    </row>
    <row r="11447" spans="1:15">
      <c r="A11447" t="s">
        <v>40817</v>
      </c>
      <c r="B11447" t="s">
        <v>367</v>
      </c>
      <c r="C11447" t="s">
        <v>32929</v>
      </c>
      <c r="D11447" t="s">
        <v>40818</v>
      </c>
      <c r="E11447" t="b">
        <v>0</v>
      </c>
      <c r="F11447" t="s">
        <v>11610</v>
      </c>
      <c r="L11447">
        <v>0</v>
      </c>
      <c r="M11447">
        <v>0</v>
      </c>
      <c r="N11447">
        <v>0</v>
      </c>
    </row>
    <row r="11448" spans="1:15">
      <c r="A11448" t="s">
        <v>40819</v>
      </c>
      <c r="B11448" t="s">
        <v>11637</v>
      </c>
      <c r="C11448" t="s">
        <v>23067</v>
      </c>
      <c r="D11448" t="s">
        <v>40820</v>
      </c>
      <c r="E11448" t="b">
        <v>0</v>
      </c>
      <c r="F11448" t="s">
        <v>11624</v>
      </c>
      <c r="G11448">
        <v>30.0412</v>
      </c>
      <c r="H11448">
        <v>-90.747500000000002</v>
      </c>
      <c r="I11448" t="s">
        <v>40821</v>
      </c>
      <c r="L11448">
        <v>0</v>
      </c>
      <c r="M11448">
        <v>0</v>
      </c>
      <c r="N11448">
        <v>0</v>
      </c>
      <c r="O11448" t="s">
        <v>11944</v>
      </c>
    </row>
    <row r="11449" spans="1:15">
      <c r="A11449" t="s">
        <v>40822</v>
      </c>
      <c r="B11449" t="s">
        <v>11637</v>
      </c>
      <c r="C11449" t="s">
        <v>239</v>
      </c>
      <c r="D11449" t="s">
        <v>40823</v>
      </c>
      <c r="E11449" t="b">
        <v>0</v>
      </c>
      <c r="F11449" t="s">
        <v>11610</v>
      </c>
      <c r="L11449">
        <v>0</v>
      </c>
      <c r="M11449">
        <v>0</v>
      </c>
      <c r="N11449">
        <v>0</v>
      </c>
    </row>
    <row r="11450" spans="1:15">
      <c r="A11450" t="s">
        <v>40824</v>
      </c>
      <c r="B11450" t="s">
        <v>367</v>
      </c>
      <c r="C11450" t="s">
        <v>31682</v>
      </c>
      <c r="D11450" t="s">
        <v>40825</v>
      </c>
      <c r="E11450" t="b">
        <v>0</v>
      </c>
      <c r="F11450" t="s">
        <v>11624</v>
      </c>
      <c r="G11450">
        <v>-2.8778000000000001</v>
      </c>
      <c r="H11450">
        <v>128.91200000000001</v>
      </c>
      <c r="I11450" t="s">
        <v>40826</v>
      </c>
      <c r="L11450">
        <v>0</v>
      </c>
      <c r="M11450">
        <v>0</v>
      </c>
      <c r="N11450">
        <v>0</v>
      </c>
      <c r="O11450" t="s">
        <v>11768</v>
      </c>
    </row>
    <row r="11451" spans="1:15">
      <c r="A11451" t="s">
        <v>40827</v>
      </c>
      <c r="B11451" t="s">
        <v>6742</v>
      </c>
      <c r="C11451" t="s">
        <v>24810</v>
      </c>
      <c r="D11451" t="s">
        <v>40828</v>
      </c>
      <c r="E11451" t="b">
        <v>0</v>
      </c>
      <c r="F11451" t="s">
        <v>11610</v>
      </c>
      <c r="L11451">
        <v>0</v>
      </c>
      <c r="M11451">
        <v>0</v>
      </c>
      <c r="N11451">
        <v>0</v>
      </c>
    </row>
    <row r="11452" spans="1:15">
      <c r="A11452" t="s">
        <v>40829</v>
      </c>
      <c r="B11452" t="s">
        <v>12979</v>
      </c>
      <c r="C11452" t="s">
        <v>40830</v>
      </c>
      <c r="D11452" t="s">
        <v>40831</v>
      </c>
      <c r="E11452" t="b">
        <v>0</v>
      </c>
      <c r="F11452" t="s">
        <v>11624</v>
      </c>
      <c r="I11452" t="s">
        <v>40832</v>
      </c>
      <c r="L11452">
        <v>0</v>
      </c>
      <c r="M11452">
        <v>0</v>
      </c>
      <c r="N11452">
        <v>0</v>
      </c>
      <c r="O11452" t="s">
        <v>11944</v>
      </c>
    </row>
    <row r="11453" spans="1:15">
      <c r="A11453" t="s">
        <v>16367</v>
      </c>
      <c r="B11453" t="s">
        <v>367</v>
      </c>
      <c r="C11453" t="s">
        <v>39877</v>
      </c>
      <c r="D11453" t="s">
        <v>40833</v>
      </c>
      <c r="E11453" t="b">
        <v>0</v>
      </c>
      <c r="F11453" t="s">
        <v>11622</v>
      </c>
      <c r="L11453">
        <v>0</v>
      </c>
      <c r="M11453">
        <v>2</v>
      </c>
      <c r="N11453">
        <v>3</v>
      </c>
    </row>
    <row r="11454" spans="1:15">
      <c r="A11454" t="s">
        <v>40834</v>
      </c>
      <c r="B11454" t="s">
        <v>11644</v>
      </c>
      <c r="C11454" t="s">
        <v>20181</v>
      </c>
      <c r="D11454" t="s">
        <v>40835</v>
      </c>
      <c r="E11454" t="b">
        <v>0</v>
      </c>
      <c r="F11454" t="s">
        <v>11610</v>
      </c>
      <c r="L11454">
        <v>0</v>
      </c>
      <c r="M11454">
        <v>0</v>
      </c>
      <c r="N11454">
        <v>0</v>
      </c>
    </row>
    <row r="11455" spans="1:15">
      <c r="A11455" t="s">
        <v>40836</v>
      </c>
      <c r="B11455" t="s">
        <v>11757</v>
      </c>
      <c r="C11455" t="s">
        <v>945</v>
      </c>
      <c r="D11455" t="s">
        <v>40837</v>
      </c>
      <c r="E11455" t="b">
        <v>0</v>
      </c>
      <c r="F11455" t="s">
        <v>11610</v>
      </c>
      <c r="L11455">
        <v>0</v>
      </c>
      <c r="M11455">
        <v>0</v>
      </c>
      <c r="N11455">
        <v>0</v>
      </c>
    </row>
    <row r="11456" spans="1:15">
      <c r="A11456" t="s">
        <v>40838</v>
      </c>
      <c r="B11456" t="s">
        <v>367</v>
      </c>
      <c r="C11456" t="s">
        <v>16367</v>
      </c>
      <c r="D11456" t="s">
        <v>40839</v>
      </c>
      <c r="E11456" t="b">
        <v>0</v>
      </c>
      <c r="F11456" t="s">
        <v>11624</v>
      </c>
      <c r="G11456">
        <v>-2.38659</v>
      </c>
      <c r="H11456">
        <v>147.346</v>
      </c>
      <c r="I11456" t="s">
        <v>40840</v>
      </c>
      <c r="L11456">
        <v>0</v>
      </c>
      <c r="M11456">
        <v>0</v>
      </c>
      <c r="N11456">
        <v>1</v>
      </c>
      <c r="O11456" t="s">
        <v>11660</v>
      </c>
    </row>
    <row r="11457" spans="1:15">
      <c r="A11457" t="s">
        <v>40841</v>
      </c>
      <c r="B11457" t="s">
        <v>11637</v>
      </c>
      <c r="C11457" t="s">
        <v>21368</v>
      </c>
      <c r="D11457" t="s">
        <v>40842</v>
      </c>
      <c r="E11457" t="b">
        <v>0</v>
      </c>
      <c r="F11457" t="s">
        <v>11610</v>
      </c>
      <c r="L11457">
        <v>0</v>
      </c>
      <c r="M11457">
        <v>0</v>
      </c>
      <c r="N11457">
        <v>0</v>
      </c>
    </row>
    <row r="11458" spans="1:15">
      <c r="A11458" t="s">
        <v>39578</v>
      </c>
      <c r="B11458" t="s">
        <v>12438</v>
      </c>
      <c r="C11458" t="s">
        <v>39575</v>
      </c>
      <c r="D11458" t="s">
        <v>40843</v>
      </c>
      <c r="E11458" t="b">
        <v>0</v>
      </c>
      <c r="F11458" t="s">
        <v>11622</v>
      </c>
      <c r="L11458">
        <v>0</v>
      </c>
      <c r="M11458">
        <v>2</v>
      </c>
      <c r="N11458">
        <v>0</v>
      </c>
    </row>
    <row r="11459" spans="1:15">
      <c r="A11459" t="s">
        <v>40844</v>
      </c>
      <c r="B11459" t="s">
        <v>11607</v>
      </c>
      <c r="C11459" t="s">
        <v>24344</v>
      </c>
      <c r="D11459" t="s">
        <v>40845</v>
      </c>
      <c r="E11459" t="b">
        <v>0</v>
      </c>
      <c r="F11459" t="s">
        <v>11610</v>
      </c>
      <c r="L11459">
        <v>0</v>
      </c>
      <c r="M11459">
        <v>0</v>
      </c>
      <c r="N11459">
        <v>0</v>
      </c>
    </row>
    <row r="11460" spans="1:15">
      <c r="A11460" t="s">
        <v>13142</v>
      </c>
      <c r="B11460" t="s">
        <v>11637</v>
      </c>
      <c r="C11460" t="s">
        <v>10515</v>
      </c>
      <c r="D11460" t="s">
        <v>40846</v>
      </c>
      <c r="E11460" t="b">
        <v>0</v>
      </c>
      <c r="F11460" t="s">
        <v>11610</v>
      </c>
      <c r="L11460">
        <v>0</v>
      </c>
      <c r="M11460">
        <v>0</v>
      </c>
      <c r="N11460">
        <v>5</v>
      </c>
    </row>
    <row r="11461" spans="1:15">
      <c r="A11461" t="s">
        <v>16893</v>
      </c>
      <c r="B11461" t="s">
        <v>11644</v>
      </c>
      <c r="C11461" t="s">
        <v>25165</v>
      </c>
      <c r="D11461" t="s">
        <v>40847</v>
      </c>
      <c r="E11461" t="b">
        <v>0</v>
      </c>
      <c r="F11461" t="s">
        <v>11624</v>
      </c>
      <c r="G11461">
        <v>29.032399999999999</v>
      </c>
      <c r="H11461">
        <v>83.895899999999997</v>
      </c>
      <c r="I11461" t="s">
        <v>40848</v>
      </c>
      <c r="L11461">
        <v>0</v>
      </c>
      <c r="M11461">
        <v>0</v>
      </c>
      <c r="N11461">
        <v>2</v>
      </c>
      <c r="O11461" t="s">
        <v>15007</v>
      </c>
    </row>
    <row r="11462" spans="1:15">
      <c r="A11462" t="s">
        <v>15837</v>
      </c>
      <c r="B11462" t="s">
        <v>11637</v>
      </c>
      <c r="C11462" t="s">
        <v>40849</v>
      </c>
      <c r="D11462" t="s">
        <v>40850</v>
      </c>
      <c r="E11462" t="b">
        <v>0</v>
      </c>
      <c r="F11462" t="s">
        <v>11610</v>
      </c>
      <c r="L11462">
        <v>0</v>
      </c>
      <c r="M11462">
        <v>0</v>
      </c>
      <c r="N11462">
        <v>3</v>
      </c>
    </row>
    <row r="11463" spans="1:15">
      <c r="A11463" t="s">
        <v>40851</v>
      </c>
      <c r="B11463" t="s">
        <v>11637</v>
      </c>
      <c r="C11463" t="s">
        <v>10074</v>
      </c>
      <c r="D11463" t="s">
        <v>40852</v>
      </c>
      <c r="E11463" t="b">
        <v>0</v>
      </c>
      <c r="F11463" t="s">
        <v>11610</v>
      </c>
      <c r="L11463">
        <v>0</v>
      </c>
      <c r="M11463">
        <v>0</v>
      </c>
      <c r="N11463">
        <v>0</v>
      </c>
    </row>
    <row r="11464" spans="1:15">
      <c r="A11464" t="s">
        <v>40853</v>
      </c>
      <c r="B11464" t="s">
        <v>11637</v>
      </c>
      <c r="C11464" t="s">
        <v>40854</v>
      </c>
      <c r="D11464" t="s">
        <v>40855</v>
      </c>
      <c r="E11464" t="b">
        <v>0</v>
      </c>
      <c r="F11464" t="s">
        <v>11624</v>
      </c>
      <c r="G11464">
        <v>51.662100000000002</v>
      </c>
      <c r="H11464">
        <v>13.9407</v>
      </c>
      <c r="I11464" t="s">
        <v>40856</v>
      </c>
      <c r="L11464">
        <v>0</v>
      </c>
      <c r="M11464">
        <v>0</v>
      </c>
      <c r="N11464">
        <v>0</v>
      </c>
      <c r="O11464" t="s">
        <v>25838</v>
      </c>
    </row>
    <row r="11465" spans="1:15">
      <c r="A11465" t="s">
        <v>40857</v>
      </c>
      <c r="B11465" t="s">
        <v>11637</v>
      </c>
      <c r="C11465" t="s">
        <v>40858</v>
      </c>
      <c r="D11465" t="s">
        <v>40859</v>
      </c>
      <c r="E11465" t="b">
        <v>0</v>
      </c>
      <c r="F11465" t="s">
        <v>11610</v>
      </c>
      <c r="L11465">
        <v>0</v>
      </c>
      <c r="M11465">
        <v>0</v>
      </c>
      <c r="N11465">
        <v>0</v>
      </c>
    </row>
    <row r="11466" spans="1:15">
      <c r="A11466" t="s">
        <v>40860</v>
      </c>
      <c r="B11466" t="s">
        <v>11637</v>
      </c>
      <c r="C11466" t="s">
        <v>19834</v>
      </c>
      <c r="D11466" t="s">
        <v>40861</v>
      </c>
      <c r="E11466" t="b">
        <v>0</v>
      </c>
      <c r="F11466" t="s">
        <v>11610</v>
      </c>
      <c r="L11466">
        <v>0</v>
      </c>
      <c r="M11466">
        <v>0</v>
      </c>
      <c r="N11466">
        <v>0</v>
      </c>
    </row>
    <row r="11467" spans="1:15">
      <c r="A11467" t="s">
        <v>28948</v>
      </c>
      <c r="B11467" t="s">
        <v>11637</v>
      </c>
      <c r="C11467" t="s">
        <v>40862</v>
      </c>
      <c r="D11467" t="s">
        <v>40863</v>
      </c>
      <c r="E11467" t="b">
        <v>0</v>
      </c>
      <c r="F11467" t="s">
        <v>11624</v>
      </c>
      <c r="G11467">
        <v>50.696300000000001</v>
      </c>
      <c r="H11467">
        <v>15.966699999999999</v>
      </c>
      <c r="I11467" t="s">
        <v>40864</v>
      </c>
      <c r="L11467">
        <v>0</v>
      </c>
      <c r="M11467">
        <v>0</v>
      </c>
      <c r="N11467">
        <v>7</v>
      </c>
      <c r="O11467" t="s">
        <v>40865</v>
      </c>
    </row>
    <row r="11468" spans="1:15">
      <c r="A11468" t="s">
        <v>40866</v>
      </c>
      <c r="B11468" t="s">
        <v>11637</v>
      </c>
      <c r="C11468" t="s">
        <v>40867</v>
      </c>
      <c r="D11468" t="s">
        <v>40868</v>
      </c>
      <c r="E11468" t="b">
        <v>0</v>
      </c>
      <c r="F11468" t="s">
        <v>11610</v>
      </c>
      <c r="L11468">
        <v>0</v>
      </c>
      <c r="M11468">
        <v>0</v>
      </c>
      <c r="N11468">
        <v>0</v>
      </c>
    </row>
    <row r="11469" spans="1:15">
      <c r="A11469" t="s">
        <v>40869</v>
      </c>
      <c r="B11469" t="s">
        <v>11637</v>
      </c>
      <c r="C11469" t="s">
        <v>21358</v>
      </c>
      <c r="D11469" t="s">
        <v>40870</v>
      </c>
      <c r="E11469" t="b">
        <v>0</v>
      </c>
      <c r="F11469" t="s">
        <v>11610</v>
      </c>
      <c r="L11469">
        <v>0</v>
      </c>
      <c r="M11469">
        <v>0</v>
      </c>
      <c r="N11469">
        <v>0</v>
      </c>
    </row>
    <row r="11470" spans="1:15">
      <c r="A11470" t="s">
        <v>40871</v>
      </c>
      <c r="B11470" t="s">
        <v>11637</v>
      </c>
      <c r="C11470" t="s">
        <v>23307</v>
      </c>
      <c r="D11470" t="s">
        <v>40872</v>
      </c>
      <c r="E11470" t="b">
        <v>0</v>
      </c>
      <c r="F11470" t="s">
        <v>11610</v>
      </c>
      <c r="L11470">
        <v>0</v>
      </c>
      <c r="M11470">
        <v>0</v>
      </c>
      <c r="N11470">
        <v>0</v>
      </c>
    </row>
    <row r="11471" spans="1:15">
      <c r="A11471" t="s">
        <v>40873</v>
      </c>
      <c r="B11471" t="s">
        <v>12260</v>
      </c>
      <c r="C11471" t="s">
        <v>32450</v>
      </c>
      <c r="D11471" t="s">
        <v>40874</v>
      </c>
      <c r="E11471" t="b">
        <v>0</v>
      </c>
      <c r="F11471" t="s">
        <v>11610</v>
      </c>
      <c r="L11471">
        <v>0</v>
      </c>
      <c r="M11471">
        <v>0</v>
      </c>
      <c r="N11471">
        <v>0</v>
      </c>
    </row>
    <row r="11472" spans="1:15">
      <c r="A11472" t="s">
        <v>40875</v>
      </c>
      <c r="B11472" t="s">
        <v>12438</v>
      </c>
      <c r="C11472" t="s">
        <v>39211</v>
      </c>
      <c r="D11472" t="s">
        <v>40876</v>
      </c>
      <c r="E11472" t="b">
        <v>0</v>
      </c>
      <c r="F11472" t="s">
        <v>11610</v>
      </c>
      <c r="L11472">
        <v>0</v>
      </c>
      <c r="M11472">
        <v>0</v>
      </c>
      <c r="N11472">
        <v>0</v>
      </c>
    </row>
    <row r="11473" spans="1:15">
      <c r="A11473" t="s">
        <v>40877</v>
      </c>
      <c r="B11473" t="s">
        <v>12438</v>
      </c>
      <c r="C11473" t="s">
        <v>19419</v>
      </c>
      <c r="D11473" t="s">
        <v>40878</v>
      </c>
      <c r="E11473" t="b">
        <v>0</v>
      </c>
      <c r="F11473" t="s">
        <v>11610</v>
      </c>
      <c r="L11473">
        <v>0</v>
      </c>
      <c r="M11473">
        <v>0</v>
      </c>
      <c r="N11473">
        <v>0</v>
      </c>
    </row>
    <row r="11474" spans="1:15">
      <c r="A11474" t="s">
        <v>30736</v>
      </c>
      <c r="B11474" t="s">
        <v>12438</v>
      </c>
      <c r="C11474" t="s">
        <v>40879</v>
      </c>
      <c r="D11474" t="s">
        <v>40880</v>
      </c>
      <c r="E11474" t="b">
        <v>0</v>
      </c>
      <c r="F11474" t="s">
        <v>11624</v>
      </c>
      <c r="G11474">
        <v>15.908300000000001</v>
      </c>
      <c r="H11474">
        <v>106.873</v>
      </c>
      <c r="I11474" t="s">
        <v>40881</v>
      </c>
      <c r="L11474">
        <v>0</v>
      </c>
      <c r="M11474">
        <v>0</v>
      </c>
      <c r="N11474">
        <v>2</v>
      </c>
      <c r="O11474" t="s">
        <v>12921</v>
      </c>
    </row>
    <row r="11475" spans="1:15">
      <c r="A11475" t="s">
        <v>22497</v>
      </c>
      <c r="B11475" t="s">
        <v>331</v>
      </c>
      <c r="C11475" t="s">
        <v>22940</v>
      </c>
      <c r="D11475" t="s">
        <v>40882</v>
      </c>
      <c r="E11475" t="b">
        <v>0</v>
      </c>
      <c r="F11475" t="s">
        <v>11610</v>
      </c>
      <c r="L11475">
        <v>0</v>
      </c>
      <c r="M11475">
        <v>0</v>
      </c>
      <c r="N11475">
        <v>5</v>
      </c>
    </row>
    <row r="11476" spans="1:15">
      <c r="A11476" t="s">
        <v>40883</v>
      </c>
      <c r="B11476" t="s">
        <v>12148</v>
      </c>
      <c r="C11476" t="s">
        <v>39482</v>
      </c>
      <c r="D11476" t="s">
        <v>40884</v>
      </c>
      <c r="E11476" t="b">
        <v>0</v>
      </c>
      <c r="F11476" t="s">
        <v>11610</v>
      </c>
      <c r="L11476">
        <v>0</v>
      </c>
      <c r="M11476">
        <v>0</v>
      </c>
      <c r="N11476">
        <v>0</v>
      </c>
    </row>
    <row r="11477" spans="1:15">
      <c r="A11477" t="s">
        <v>40885</v>
      </c>
      <c r="B11477" t="s">
        <v>11644</v>
      </c>
      <c r="C11477" t="s">
        <v>29779</v>
      </c>
      <c r="D11477" t="s">
        <v>40886</v>
      </c>
      <c r="E11477" t="b">
        <v>0</v>
      </c>
      <c r="F11477" t="s">
        <v>11610</v>
      </c>
      <c r="L11477">
        <v>0</v>
      </c>
      <c r="M11477">
        <v>0</v>
      </c>
      <c r="N11477">
        <v>0</v>
      </c>
    </row>
    <row r="11478" spans="1:15">
      <c r="A11478" t="s">
        <v>40887</v>
      </c>
      <c r="B11478" t="s">
        <v>11644</v>
      </c>
      <c r="C11478" t="s">
        <v>36209</v>
      </c>
      <c r="D11478" t="s">
        <v>40888</v>
      </c>
      <c r="E11478" t="b">
        <v>0</v>
      </c>
      <c r="F11478" t="s">
        <v>11610</v>
      </c>
      <c r="L11478">
        <v>0</v>
      </c>
      <c r="M11478">
        <v>0</v>
      </c>
      <c r="N11478">
        <v>0</v>
      </c>
    </row>
    <row r="11479" spans="1:15">
      <c r="A11479" t="s">
        <v>40889</v>
      </c>
      <c r="B11479" t="s">
        <v>11644</v>
      </c>
      <c r="C11479" t="s">
        <v>40890</v>
      </c>
      <c r="D11479" t="s">
        <v>40891</v>
      </c>
      <c r="E11479" t="b">
        <v>0</v>
      </c>
      <c r="F11479" t="s">
        <v>11610</v>
      </c>
      <c r="L11479">
        <v>0</v>
      </c>
      <c r="M11479">
        <v>0</v>
      </c>
      <c r="N11479">
        <v>0</v>
      </c>
    </row>
    <row r="11480" spans="1:15">
      <c r="A11480" t="s">
        <v>40892</v>
      </c>
      <c r="B11480" t="s">
        <v>10597</v>
      </c>
      <c r="C11480" t="s">
        <v>26480</v>
      </c>
      <c r="D11480" t="s">
        <v>40893</v>
      </c>
      <c r="E11480" t="b">
        <v>0</v>
      </c>
      <c r="F11480" t="s">
        <v>11622</v>
      </c>
      <c r="L11480">
        <v>1</v>
      </c>
      <c r="M11480">
        <v>5</v>
      </c>
      <c r="N11480">
        <v>10</v>
      </c>
    </row>
    <row r="11481" spans="1:15">
      <c r="A11481" t="s">
        <v>40894</v>
      </c>
      <c r="B11481" t="s">
        <v>10597</v>
      </c>
      <c r="C11481" t="s">
        <v>40892</v>
      </c>
      <c r="D11481" t="s">
        <v>40895</v>
      </c>
      <c r="E11481" t="b">
        <v>0</v>
      </c>
      <c r="F11481" t="s">
        <v>11624</v>
      </c>
      <c r="L11481">
        <v>0</v>
      </c>
      <c r="M11481">
        <v>0</v>
      </c>
      <c r="N11481">
        <v>0</v>
      </c>
      <c r="O11481" t="s">
        <v>12107</v>
      </c>
    </row>
    <row r="11482" spans="1:15">
      <c r="A11482" t="s">
        <v>23775</v>
      </c>
      <c r="B11482" t="s">
        <v>10597</v>
      </c>
      <c r="C11482" t="s">
        <v>40896</v>
      </c>
      <c r="D11482" t="s">
        <v>40897</v>
      </c>
      <c r="E11482" t="b">
        <v>0</v>
      </c>
      <c r="F11482" t="s">
        <v>11624</v>
      </c>
      <c r="G11482">
        <v>-33.947087400000001</v>
      </c>
      <c r="H11482">
        <v>141.58542109999999</v>
      </c>
      <c r="L11482">
        <v>0</v>
      </c>
      <c r="M11482">
        <v>0</v>
      </c>
      <c r="N11482">
        <v>2</v>
      </c>
      <c r="O11482" t="s">
        <v>12107</v>
      </c>
    </row>
    <row r="11483" spans="1:15">
      <c r="A11483" t="s">
        <v>40898</v>
      </c>
      <c r="B11483" t="s">
        <v>6742</v>
      </c>
      <c r="C11483" t="s">
        <v>12028</v>
      </c>
      <c r="D11483" t="s">
        <v>40899</v>
      </c>
      <c r="E11483" t="b">
        <v>0</v>
      </c>
      <c r="F11483" t="s">
        <v>11610</v>
      </c>
      <c r="L11483">
        <v>0</v>
      </c>
      <c r="M11483">
        <v>0</v>
      </c>
      <c r="N11483">
        <v>0</v>
      </c>
    </row>
    <row r="11484" spans="1:15">
      <c r="A11484" t="s">
        <v>40900</v>
      </c>
      <c r="B11484" t="s">
        <v>6742</v>
      </c>
      <c r="C11484" t="s">
        <v>16149</v>
      </c>
      <c r="D11484" t="s">
        <v>40901</v>
      </c>
      <c r="E11484" t="b">
        <v>0</v>
      </c>
      <c r="F11484" t="s">
        <v>11610</v>
      </c>
      <c r="L11484">
        <v>0</v>
      </c>
      <c r="M11484">
        <v>0</v>
      </c>
      <c r="N11484">
        <v>0</v>
      </c>
    </row>
    <row r="11485" spans="1:15">
      <c r="A11485" t="s">
        <v>40902</v>
      </c>
      <c r="B11485" t="s">
        <v>13276</v>
      </c>
      <c r="C11485" t="s">
        <v>18988</v>
      </c>
      <c r="D11485" t="s">
        <v>40903</v>
      </c>
      <c r="E11485" t="b">
        <v>0</v>
      </c>
      <c r="F11485" t="s">
        <v>11610</v>
      </c>
      <c r="L11485">
        <v>0</v>
      </c>
      <c r="M11485">
        <v>0</v>
      </c>
      <c r="N11485">
        <v>0</v>
      </c>
    </row>
    <row r="11486" spans="1:15">
      <c r="A11486" t="s">
        <v>15150</v>
      </c>
      <c r="B11486" t="s">
        <v>15146</v>
      </c>
      <c r="C11486" t="s">
        <v>31528</v>
      </c>
      <c r="D11486" t="s">
        <v>40904</v>
      </c>
      <c r="E11486" t="b">
        <v>0</v>
      </c>
      <c r="F11486" t="s">
        <v>11624</v>
      </c>
      <c r="G11486">
        <v>-25.54522</v>
      </c>
      <c r="H11486">
        <v>20.588826999999998</v>
      </c>
      <c r="L11486">
        <v>0</v>
      </c>
      <c r="M11486">
        <v>0</v>
      </c>
      <c r="N11486">
        <v>3</v>
      </c>
      <c r="O11486" t="s">
        <v>21031</v>
      </c>
    </row>
    <row r="11487" spans="1:15">
      <c r="A11487" t="s">
        <v>40905</v>
      </c>
      <c r="B11487" t="s">
        <v>14005</v>
      </c>
      <c r="C11487" t="s">
        <v>40906</v>
      </c>
      <c r="D11487" t="s">
        <v>40907</v>
      </c>
      <c r="E11487" t="b">
        <v>0</v>
      </c>
      <c r="F11487" t="s">
        <v>11610</v>
      </c>
      <c r="L11487">
        <v>0</v>
      </c>
      <c r="M11487">
        <v>0</v>
      </c>
      <c r="N11487">
        <v>0</v>
      </c>
    </row>
    <row r="11488" spans="1:15">
      <c r="A11488" t="s">
        <v>40908</v>
      </c>
      <c r="B11488" t="s">
        <v>367</v>
      </c>
      <c r="C11488" t="s">
        <v>19355</v>
      </c>
      <c r="D11488" t="s">
        <v>40909</v>
      </c>
      <c r="E11488" t="b">
        <v>0</v>
      </c>
      <c r="F11488" t="s">
        <v>11622</v>
      </c>
      <c r="L11488">
        <v>1</v>
      </c>
      <c r="M11488">
        <v>3</v>
      </c>
      <c r="N11488">
        <v>0</v>
      </c>
    </row>
    <row r="11489" spans="1:15">
      <c r="A11489" t="s">
        <v>40910</v>
      </c>
      <c r="B11489" t="s">
        <v>367</v>
      </c>
      <c r="C11489" t="s">
        <v>40911</v>
      </c>
      <c r="D11489" t="s">
        <v>40912</v>
      </c>
      <c r="E11489" t="b">
        <v>0</v>
      </c>
      <c r="F11489" t="s">
        <v>11610</v>
      </c>
      <c r="L11489">
        <v>0</v>
      </c>
      <c r="M11489">
        <v>0</v>
      </c>
      <c r="N11489">
        <v>0</v>
      </c>
    </row>
    <row r="11490" spans="1:15">
      <c r="A11490" t="s">
        <v>20626</v>
      </c>
      <c r="B11490" t="s">
        <v>367</v>
      </c>
      <c r="C11490" t="s">
        <v>8719</v>
      </c>
      <c r="D11490" t="s">
        <v>40913</v>
      </c>
      <c r="E11490" t="b">
        <v>0</v>
      </c>
      <c r="F11490" t="s">
        <v>11622</v>
      </c>
      <c r="L11490">
        <v>1</v>
      </c>
      <c r="M11490">
        <v>7</v>
      </c>
      <c r="N11490">
        <v>0</v>
      </c>
    </row>
    <row r="11491" spans="1:15">
      <c r="A11491" t="s">
        <v>40914</v>
      </c>
      <c r="B11491" t="s">
        <v>367</v>
      </c>
      <c r="C11491" t="s">
        <v>40915</v>
      </c>
      <c r="D11491" t="s">
        <v>40916</v>
      </c>
      <c r="E11491" t="b">
        <v>0</v>
      </c>
      <c r="F11491" t="s">
        <v>11624</v>
      </c>
      <c r="G11491">
        <v>17.344100000000001</v>
      </c>
      <c r="H11491">
        <v>121.31100000000001</v>
      </c>
      <c r="I11491" t="s">
        <v>40917</v>
      </c>
      <c r="L11491">
        <v>0</v>
      </c>
      <c r="M11491">
        <v>0</v>
      </c>
      <c r="N11491">
        <v>3</v>
      </c>
      <c r="O11491" t="s">
        <v>11749</v>
      </c>
    </row>
    <row r="11492" spans="1:15">
      <c r="A11492" t="s">
        <v>40918</v>
      </c>
      <c r="B11492" t="s">
        <v>367</v>
      </c>
      <c r="C11492" t="s">
        <v>17632</v>
      </c>
      <c r="D11492" t="s">
        <v>40919</v>
      </c>
      <c r="E11492" t="b">
        <v>0</v>
      </c>
      <c r="F11492" t="s">
        <v>11610</v>
      </c>
      <c r="L11492">
        <v>0</v>
      </c>
      <c r="M11492">
        <v>0</v>
      </c>
      <c r="N11492">
        <v>0</v>
      </c>
    </row>
    <row r="11493" spans="1:15">
      <c r="A11493" t="s">
        <v>40920</v>
      </c>
      <c r="B11493" t="s">
        <v>11705</v>
      </c>
      <c r="C11493" t="s">
        <v>21635</v>
      </c>
      <c r="D11493" t="s">
        <v>40921</v>
      </c>
      <c r="E11493" t="b">
        <v>0</v>
      </c>
      <c r="F11493" t="s">
        <v>11610</v>
      </c>
      <c r="L11493">
        <v>0</v>
      </c>
      <c r="M11493">
        <v>0</v>
      </c>
      <c r="N11493">
        <v>0</v>
      </c>
    </row>
    <row r="11494" spans="1:15">
      <c r="A11494" t="s">
        <v>40922</v>
      </c>
      <c r="B11494" t="s">
        <v>11615</v>
      </c>
      <c r="C11494" t="s">
        <v>29694</v>
      </c>
      <c r="D11494" t="s">
        <v>40923</v>
      </c>
      <c r="E11494" t="b">
        <v>0</v>
      </c>
      <c r="F11494" t="s">
        <v>11624</v>
      </c>
      <c r="G11494">
        <v>-4.2568400000000004</v>
      </c>
      <c r="H11494">
        <v>138.99199999999999</v>
      </c>
      <c r="I11494" t="s">
        <v>40924</v>
      </c>
      <c r="L11494">
        <v>0</v>
      </c>
      <c r="M11494">
        <v>0</v>
      </c>
      <c r="N11494">
        <v>5</v>
      </c>
      <c r="O11494" t="s">
        <v>11768</v>
      </c>
    </row>
    <row r="11495" spans="1:15">
      <c r="A11495" t="s">
        <v>40925</v>
      </c>
      <c r="B11495" t="s">
        <v>11615</v>
      </c>
      <c r="C11495" t="s">
        <v>40922</v>
      </c>
      <c r="D11495" t="s">
        <v>40926</v>
      </c>
      <c r="E11495" t="b">
        <v>0</v>
      </c>
      <c r="F11495" t="s">
        <v>11610</v>
      </c>
      <c r="L11495">
        <v>0</v>
      </c>
      <c r="M11495">
        <v>0</v>
      </c>
      <c r="N11495">
        <v>0</v>
      </c>
    </row>
    <row r="11496" spans="1:15">
      <c r="A11496" t="s">
        <v>40927</v>
      </c>
      <c r="B11496" t="s">
        <v>11615</v>
      </c>
      <c r="C11496" t="s">
        <v>40922</v>
      </c>
      <c r="D11496" t="s">
        <v>40928</v>
      </c>
      <c r="E11496" t="b">
        <v>0</v>
      </c>
      <c r="F11496" t="s">
        <v>11610</v>
      </c>
      <c r="L11496">
        <v>0</v>
      </c>
      <c r="M11496">
        <v>0</v>
      </c>
      <c r="N11496">
        <v>0</v>
      </c>
    </row>
    <row r="11497" spans="1:15">
      <c r="A11497" t="s">
        <v>40929</v>
      </c>
      <c r="B11497" t="s">
        <v>11615</v>
      </c>
      <c r="C11497" t="s">
        <v>40922</v>
      </c>
      <c r="D11497" t="s">
        <v>40930</v>
      </c>
      <c r="E11497" t="b">
        <v>0</v>
      </c>
      <c r="F11497" t="s">
        <v>11610</v>
      </c>
      <c r="L11497">
        <v>0</v>
      </c>
      <c r="M11497">
        <v>0</v>
      </c>
      <c r="N11497">
        <v>0</v>
      </c>
    </row>
    <row r="11498" spans="1:15">
      <c r="A11498" t="s">
        <v>40931</v>
      </c>
      <c r="B11498" t="s">
        <v>11615</v>
      </c>
      <c r="C11498" t="s">
        <v>40932</v>
      </c>
      <c r="D11498" t="s">
        <v>40933</v>
      </c>
      <c r="E11498" t="b">
        <v>0</v>
      </c>
      <c r="F11498" t="s">
        <v>11610</v>
      </c>
      <c r="L11498">
        <v>0</v>
      </c>
      <c r="M11498">
        <v>0</v>
      </c>
      <c r="N11498">
        <v>0</v>
      </c>
    </row>
    <row r="11499" spans="1:15">
      <c r="A11499" t="s">
        <v>40934</v>
      </c>
      <c r="B11499" t="s">
        <v>11615</v>
      </c>
      <c r="C11499" t="s">
        <v>40935</v>
      </c>
      <c r="D11499" t="s">
        <v>40936</v>
      </c>
      <c r="E11499" t="b">
        <v>0</v>
      </c>
      <c r="F11499" t="s">
        <v>11610</v>
      </c>
      <c r="L11499">
        <v>0</v>
      </c>
      <c r="M11499">
        <v>0</v>
      </c>
      <c r="N11499">
        <v>0</v>
      </c>
    </row>
    <row r="11500" spans="1:15">
      <c r="A11500" t="s">
        <v>40937</v>
      </c>
      <c r="B11500" t="s">
        <v>14524</v>
      </c>
      <c r="C11500" t="s">
        <v>16455</v>
      </c>
      <c r="D11500" t="s">
        <v>40938</v>
      </c>
      <c r="E11500" t="b">
        <v>0</v>
      </c>
      <c r="F11500" t="s">
        <v>11610</v>
      </c>
      <c r="L11500">
        <v>0</v>
      </c>
      <c r="M11500">
        <v>0</v>
      </c>
      <c r="N11500">
        <v>0</v>
      </c>
    </row>
    <row r="11501" spans="1:15">
      <c r="A11501" t="s">
        <v>13880</v>
      </c>
      <c r="B11501" t="s">
        <v>11871</v>
      </c>
      <c r="C11501" t="s">
        <v>11871</v>
      </c>
      <c r="D11501" t="s">
        <v>40939</v>
      </c>
      <c r="E11501" t="b">
        <v>0</v>
      </c>
      <c r="F11501" t="s">
        <v>11622</v>
      </c>
      <c r="L11501">
        <v>2</v>
      </c>
      <c r="M11501">
        <v>6</v>
      </c>
      <c r="N11501">
        <v>0</v>
      </c>
    </row>
    <row r="11502" spans="1:15">
      <c r="A11502" t="s">
        <v>40940</v>
      </c>
      <c r="B11502" t="s">
        <v>12460</v>
      </c>
      <c r="C11502" t="s">
        <v>12461</v>
      </c>
      <c r="D11502" t="s">
        <v>40941</v>
      </c>
      <c r="E11502" t="b">
        <v>0</v>
      </c>
      <c r="F11502" t="s">
        <v>11624</v>
      </c>
      <c r="G11502">
        <v>64.883399999999995</v>
      </c>
      <c r="H11502">
        <v>-149.45099999999999</v>
      </c>
      <c r="I11502" t="s">
        <v>40942</v>
      </c>
      <c r="L11502">
        <v>0</v>
      </c>
      <c r="M11502">
        <v>0</v>
      </c>
      <c r="N11502">
        <v>0</v>
      </c>
      <c r="O11502" t="s">
        <v>11944</v>
      </c>
    </row>
    <row r="11503" spans="1:15">
      <c r="A11503" t="s">
        <v>40943</v>
      </c>
      <c r="B11503" t="s">
        <v>9071</v>
      </c>
      <c r="C11503" t="s">
        <v>40944</v>
      </c>
      <c r="D11503" t="s">
        <v>40945</v>
      </c>
      <c r="E11503" t="b">
        <v>0</v>
      </c>
      <c r="F11503" t="s">
        <v>11610</v>
      </c>
      <c r="L11503">
        <v>0</v>
      </c>
      <c r="M11503">
        <v>0</v>
      </c>
      <c r="N11503">
        <v>0</v>
      </c>
    </row>
    <row r="11504" spans="1:15">
      <c r="A11504" t="s">
        <v>40946</v>
      </c>
      <c r="B11504" t="s">
        <v>9071</v>
      </c>
      <c r="C11504" t="s">
        <v>23165</v>
      </c>
      <c r="D11504" t="s">
        <v>40947</v>
      </c>
      <c r="E11504" t="b">
        <v>0</v>
      </c>
      <c r="F11504" t="s">
        <v>11624</v>
      </c>
      <c r="G11504">
        <v>46.773600000000002</v>
      </c>
      <c r="H11504">
        <v>-124.004</v>
      </c>
      <c r="I11504" t="s">
        <v>40948</v>
      </c>
      <c r="L11504">
        <v>0</v>
      </c>
      <c r="M11504">
        <v>0</v>
      </c>
      <c r="N11504">
        <v>0</v>
      </c>
      <c r="O11504" t="s">
        <v>11944</v>
      </c>
    </row>
    <row r="11505" spans="1:15">
      <c r="A11505" t="s">
        <v>40949</v>
      </c>
      <c r="B11505" t="s">
        <v>11607</v>
      </c>
      <c r="C11505" t="s">
        <v>39972</v>
      </c>
      <c r="D11505" t="s">
        <v>40950</v>
      </c>
      <c r="E11505" t="b">
        <v>0</v>
      </c>
      <c r="F11505" t="s">
        <v>11610</v>
      </c>
      <c r="L11505">
        <v>0</v>
      </c>
      <c r="M11505">
        <v>0</v>
      </c>
      <c r="N11505">
        <v>0</v>
      </c>
    </row>
    <row r="11506" spans="1:15">
      <c r="A11506" t="s">
        <v>40951</v>
      </c>
      <c r="B11506" t="s">
        <v>10597</v>
      </c>
      <c r="C11506" t="s">
        <v>14324</v>
      </c>
      <c r="D11506" t="s">
        <v>40952</v>
      </c>
      <c r="E11506" t="b">
        <v>0</v>
      </c>
      <c r="F11506" t="s">
        <v>11624</v>
      </c>
      <c r="G11506">
        <v>-26.3</v>
      </c>
      <c r="H11506">
        <v>135.4</v>
      </c>
      <c r="I11506" t="s">
        <v>40953</v>
      </c>
      <c r="L11506">
        <v>0</v>
      </c>
      <c r="M11506">
        <v>0</v>
      </c>
      <c r="N11506">
        <v>0</v>
      </c>
      <c r="O11506" t="s">
        <v>12107</v>
      </c>
    </row>
    <row r="11507" spans="1:15">
      <c r="A11507" t="s">
        <v>11871</v>
      </c>
      <c r="D11507" t="s">
        <v>40954</v>
      </c>
      <c r="E11507" t="b">
        <v>0</v>
      </c>
      <c r="F11507" t="s">
        <v>11622</v>
      </c>
      <c r="L11507">
        <v>18</v>
      </c>
      <c r="M11507">
        <v>30</v>
      </c>
      <c r="N11507">
        <v>10</v>
      </c>
    </row>
    <row r="11508" spans="1:15">
      <c r="A11508" t="s">
        <v>22611</v>
      </c>
      <c r="B11508" t="s">
        <v>22610</v>
      </c>
      <c r="C11508" t="s">
        <v>22610</v>
      </c>
      <c r="D11508" t="s">
        <v>40955</v>
      </c>
      <c r="E11508" t="b">
        <v>0</v>
      </c>
      <c r="F11508" t="s">
        <v>11622</v>
      </c>
      <c r="L11508">
        <v>0</v>
      </c>
      <c r="M11508">
        <v>2</v>
      </c>
      <c r="N11508">
        <v>2</v>
      </c>
    </row>
    <row r="11509" spans="1:15">
      <c r="A11509" t="s">
        <v>36632</v>
      </c>
      <c r="B11509" t="s">
        <v>11871</v>
      </c>
      <c r="C11509" t="s">
        <v>12344</v>
      </c>
      <c r="D11509" t="s">
        <v>40956</v>
      </c>
      <c r="E11509" t="b">
        <v>0</v>
      </c>
      <c r="F11509" t="s">
        <v>11622</v>
      </c>
      <c r="L11509">
        <v>5</v>
      </c>
      <c r="M11509">
        <v>8</v>
      </c>
      <c r="N11509">
        <v>5</v>
      </c>
    </row>
    <row r="11510" spans="1:15">
      <c r="A11510" t="s">
        <v>13891</v>
      </c>
      <c r="B11510" t="s">
        <v>11637</v>
      </c>
      <c r="C11510" t="s">
        <v>19849</v>
      </c>
      <c r="D11510" t="s">
        <v>40957</v>
      </c>
      <c r="E11510" t="b">
        <v>0</v>
      </c>
      <c r="F11510" t="s">
        <v>11622</v>
      </c>
      <c r="L11510">
        <v>1</v>
      </c>
      <c r="M11510">
        <v>4</v>
      </c>
      <c r="N11510">
        <v>0</v>
      </c>
    </row>
    <row r="11511" spans="1:15">
      <c r="A11511" t="s">
        <v>40958</v>
      </c>
      <c r="B11511" t="s">
        <v>11627</v>
      </c>
      <c r="C11511" t="s">
        <v>11627</v>
      </c>
      <c r="D11511" t="s">
        <v>40959</v>
      </c>
      <c r="E11511" t="b">
        <v>1</v>
      </c>
      <c r="F11511" t="s">
        <v>11624</v>
      </c>
      <c r="I11511" t="s">
        <v>40960</v>
      </c>
      <c r="L11511">
        <v>0</v>
      </c>
      <c r="M11511">
        <v>0</v>
      </c>
      <c r="N11511">
        <v>0</v>
      </c>
    </row>
    <row r="11512" spans="1:15">
      <c r="A11512" t="s">
        <v>40961</v>
      </c>
      <c r="B11512" t="s">
        <v>12260</v>
      </c>
      <c r="C11512" t="s">
        <v>35454</v>
      </c>
      <c r="D11512" t="s">
        <v>40962</v>
      </c>
      <c r="E11512" t="b">
        <v>0</v>
      </c>
      <c r="F11512" t="s">
        <v>11610</v>
      </c>
      <c r="L11512">
        <v>0</v>
      </c>
      <c r="M11512">
        <v>0</v>
      </c>
      <c r="N11512">
        <v>0</v>
      </c>
    </row>
    <row r="11513" spans="1:15">
      <c r="A11513" t="s">
        <v>16587</v>
      </c>
      <c r="B11513" t="s">
        <v>10597</v>
      </c>
      <c r="C11513" t="s">
        <v>23187</v>
      </c>
      <c r="D11513" t="s">
        <v>40963</v>
      </c>
      <c r="E11513" t="b">
        <v>0</v>
      </c>
      <c r="F11513" t="s">
        <v>11624</v>
      </c>
      <c r="G11513">
        <v>-28.937028999999999</v>
      </c>
      <c r="H11513">
        <v>153.48612</v>
      </c>
      <c r="L11513">
        <v>0</v>
      </c>
      <c r="M11513">
        <v>0</v>
      </c>
      <c r="N11513">
        <v>3</v>
      </c>
      <c r="O11513" t="s">
        <v>12107</v>
      </c>
    </row>
    <row r="11514" spans="1:15">
      <c r="A11514" t="s">
        <v>40964</v>
      </c>
      <c r="B11514" t="s">
        <v>11637</v>
      </c>
      <c r="C11514" t="s">
        <v>9685</v>
      </c>
      <c r="D11514" t="s">
        <v>40965</v>
      </c>
      <c r="E11514" t="b">
        <v>0</v>
      </c>
      <c r="F11514" t="s">
        <v>11610</v>
      </c>
      <c r="L11514">
        <v>0</v>
      </c>
      <c r="M11514">
        <v>0</v>
      </c>
      <c r="N11514">
        <v>0</v>
      </c>
    </row>
    <row r="11515" spans="1:15">
      <c r="A11515" t="s">
        <v>35881</v>
      </c>
      <c r="B11515" t="s">
        <v>11637</v>
      </c>
      <c r="C11515" t="s">
        <v>18108</v>
      </c>
      <c r="D11515" t="s">
        <v>40966</v>
      </c>
      <c r="E11515" t="b">
        <v>0</v>
      </c>
      <c r="F11515" t="s">
        <v>11610</v>
      </c>
      <c r="L11515">
        <v>0</v>
      </c>
      <c r="M11515">
        <v>0</v>
      </c>
      <c r="N11515">
        <v>2</v>
      </c>
    </row>
    <row r="11516" spans="1:15">
      <c r="A11516" t="s">
        <v>31005</v>
      </c>
      <c r="B11516" t="s">
        <v>11637</v>
      </c>
      <c r="C11516" t="s">
        <v>13988</v>
      </c>
      <c r="D11516" t="s">
        <v>40967</v>
      </c>
      <c r="E11516" t="b">
        <v>0</v>
      </c>
      <c r="F11516" t="s">
        <v>11610</v>
      </c>
      <c r="L11516">
        <v>0</v>
      </c>
      <c r="M11516">
        <v>0</v>
      </c>
      <c r="N11516">
        <v>4</v>
      </c>
    </row>
    <row r="11517" spans="1:15">
      <c r="A11517" t="s">
        <v>10307</v>
      </c>
      <c r="B11517" t="s">
        <v>11637</v>
      </c>
      <c r="C11517" t="s">
        <v>40968</v>
      </c>
      <c r="D11517" t="s">
        <v>40969</v>
      </c>
      <c r="E11517" t="b">
        <v>0</v>
      </c>
      <c r="F11517" t="s">
        <v>11622</v>
      </c>
      <c r="L11517">
        <v>3</v>
      </c>
      <c r="M11517">
        <v>6</v>
      </c>
      <c r="N11517">
        <v>40</v>
      </c>
    </row>
    <row r="11518" spans="1:15">
      <c r="A11518" t="s">
        <v>23508</v>
      </c>
      <c r="B11518" t="s">
        <v>21317</v>
      </c>
      <c r="C11518" t="s">
        <v>40970</v>
      </c>
      <c r="D11518" t="s">
        <v>40971</v>
      </c>
      <c r="E11518" t="b">
        <v>0</v>
      </c>
      <c r="F11518" t="s">
        <v>11622</v>
      </c>
      <c r="L11518">
        <v>0</v>
      </c>
      <c r="M11518">
        <v>2</v>
      </c>
      <c r="N11518">
        <v>1</v>
      </c>
    </row>
    <row r="11519" spans="1:15">
      <c r="A11519" t="s">
        <v>40972</v>
      </c>
      <c r="B11519" t="s">
        <v>367</v>
      </c>
      <c r="C11519" t="s">
        <v>4780</v>
      </c>
      <c r="D11519" t="s">
        <v>40973</v>
      </c>
      <c r="E11519" t="b">
        <v>0</v>
      </c>
      <c r="F11519" t="s">
        <v>11610</v>
      </c>
      <c r="L11519">
        <v>0</v>
      </c>
      <c r="M11519">
        <v>0</v>
      </c>
      <c r="N11519">
        <v>0</v>
      </c>
    </row>
    <row r="11520" spans="1:15">
      <c r="A11520" t="s">
        <v>32962</v>
      </c>
      <c r="B11520" t="s">
        <v>11615</v>
      </c>
      <c r="C11520" t="s">
        <v>38728</v>
      </c>
      <c r="D11520" t="s">
        <v>40974</v>
      </c>
      <c r="E11520" t="b">
        <v>0</v>
      </c>
      <c r="F11520" t="s">
        <v>11622</v>
      </c>
      <c r="L11520">
        <v>0</v>
      </c>
      <c r="M11520">
        <v>5</v>
      </c>
      <c r="N11520">
        <v>5</v>
      </c>
    </row>
    <row r="11521" spans="1:15">
      <c r="A11521" t="s">
        <v>40975</v>
      </c>
      <c r="B11521" t="s">
        <v>31079</v>
      </c>
      <c r="C11521" t="s">
        <v>31079</v>
      </c>
      <c r="D11521" t="s">
        <v>40976</v>
      </c>
      <c r="E11521" t="b">
        <v>0</v>
      </c>
      <c r="F11521" t="s">
        <v>11624</v>
      </c>
      <c r="G11521">
        <v>15.9497</v>
      </c>
      <c r="H11521">
        <v>-95.687600000000003</v>
      </c>
      <c r="I11521" t="s">
        <v>40977</v>
      </c>
      <c r="L11521">
        <v>0</v>
      </c>
      <c r="M11521">
        <v>0</v>
      </c>
      <c r="N11521">
        <v>0</v>
      </c>
      <c r="O11521" t="s">
        <v>11883</v>
      </c>
    </row>
    <row r="11522" spans="1:15">
      <c r="A11522" t="s">
        <v>23192</v>
      </c>
      <c r="B11522" t="s">
        <v>15027</v>
      </c>
      <c r="C11522" t="s">
        <v>40978</v>
      </c>
      <c r="D11522" t="s">
        <v>40979</v>
      </c>
      <c r="E11522" t="b">
        <v>0</v>
      </c>
      <c r="F11522" t="s">
        <v>11622</v>
      </c>
      <c r="L11522">
        <v>0</v>
      </c>
      <c r="M11522">
        <v>3</v>
      </c>
      <c r="N11522">
        <v>2</v>
      </c>
    </row>
    <row r="11523" spans="1:15">
      <c r="A11523" t="s">
        <v>40980</v>
      </c>
      <c r="B11523" t="s">
        <v>12751</v>
      </c>
      <c r="C11523" t="s">
        <v>31103</v>
      </c>
      <c r="D11523" t="s">
        <v>40981</v>
      </c>
      <c r="E11523" t="b">
        <v>0</v>
      </c>
      <c r="F11523" t="s">
        <v>11610</v>
      </c>
      <c r="L11523">
        <v>0</v>
      </c>
      <c r="M11523">
        <v>0</v>
      </c>
      <c r="N11523">
        <v>0</v>
      </c>
    </row>
    <row r="11524" spans="1:15">
      <c r="A11524" t="s">
        <v>40982</v>
      </c>
      <c r="B11524" t="s">
        <v>12751</v>
      </c>
      <c r="C11524" t="s">
        <v>6663</v>
      </c>
      <c r="D11524" t="s">
        <v>40983</v>
      </c>
      <c r="E11524" t="b">
        <v>0</v>
      </c>
      <c r="F11524" t="s">
        <v>11624</v>
      </c>
      <c r="G11524">
        <v>27.462299999999999</v>
      </c>
      <c r="H11524">
        <v>-107.854</v>
      </c>
      <c r="I11524" t="s">
        <v>40984</v>
      </c>
      <c r="L11524">
        <v>0</v>
      </c>
      <c r="M11524">
        <v>0</v>
      </c>
      <c r="N11524">
        <v>0</v>
      </c>
      <c r="O11524" t="s">
        <v>11883</v>
      </c>
    </row>
    <row r="11525" spans="1:15">
      <c r="A11525" t="s">
        <v>40985</v>
      </c>
      <c r="B11525" t="s">
        <v>11607</v>
      </c>
      <c r="C11525" t="s">
        <v>23844</v>
      </c>
      <c r="D11525" t="s">
        <v>40986</v>
      </c>
      <c r="E11525" t="b">
        <v>0</v>
      </c>
      <c r="F11525" t="s">
        <v>11622</v>
      </c>
      <c r="L11525">
        <v>18</v>
      </c>
      <c r="M11525">
        <v>26</v>
      </c>
      <c r="N11525">
        <v>54</v>
      </c>
    </row>
    <row r="11526" spans="1:15">
      <c r="A11526" t="s">
        <v>40987</v>
      </c>
      <c r="B11526" t="s">
        <v>15027</v>
      </c>
      <c r="C11526" t="s">
        <v>40988</v>
      </c>
      <c r="D11526" t="s">
        <v>40989</v>
      </c>
      <c r="E11526" t="b">
        <v>0</v>
      </c>
      <c r="F11526" t="s">
        <v>11622</v>
      </c>
      <c r="L11526">
        <v>3</v>
      </c>
      <c r="M11526">
        <v>6</v>
      </c>
      <c r="N11526">
        <v>11</v>
      </c>
    </row>
    <row r="11527" spans="1:15">
      <c r="A11527" t="s">
        <v>40978</v>
      </c>
      <c r="B11527" t="s">
        <v>15027</v>
      </c>
      <c r="C11527" t="s">
        <v>40987</v>
      </c>
      <c r="D11527" t="s">
        <v>40990</v>
      </c>
      <c r="E11527" t="b">
        <v>0</v>
      </c>
      <c r="F11527" t="s">
        <v>11622</v>
      </c>
      <c r="L11527">
        <v>2</v>
      </c>
      <c r="M11527">
        <v>5</v>
      </c>
      <c r="N11527">
        <v>11</v>
      </c>
    </row>
    <row r="11528" spans="1:15">
      <c r="A11528" t="s">
        <v>40991</v>
      </c>
      <c r="B11528" t="s">
        <v>367</v>
      </c>
      <c r="C11528" t="s">
        <v>31117</v>
      </c>
      <c r="D11528" t="s">
        <v>40992</v>
      </c>
      <c r="E11528" t="b">
        <v>0</v>
      </c>
      <c r="F11528" t="s">
        <v>11622</v>
      </c>
      <c r="L11528">
        <v>3</v>
      </c>
      <c r="M11528">
        <v>5</v>
      </c>
      <c r="N11528">
        <v>21</v>
      </c>
    </row>
    <row r="11529" spans="1:15">
      <c r="A11529" t="s">
        <v>40970</v>
      </c>
      <c r="B11529" t="s">
        <v>21317</v>
      </c>
      <c r="C11529" t="s">
        <v>21316</v>
      </c>
      <c r="D11529" t="s">
        <v>40993</v>
      </c>
      <c r="E11529" t="b">
        <v>0</v>
      </c>
      <c r="F11529" t="s">
        <v>11622</v>
      </c>
      <c r="L11529">
        <v>1</v>
      </c>
      <c r="M11529">
        <v>3</v>
      </c>
      <c r="N11529">
        <v>1</v>
      </c>
    </row>
    <row r="11530" spans="1:15">
      <c r="A11530" t="s">
        <v>40994</v>
      </c>
      <c r="B11530" t="s">
        <v>11637</v>
      </c>
      <c r="C11530" t="s">
        <v>4379</v>
      </c>
      <c r="D11530" t="s">
        <v>40995</v>
      </c>
      <c r="E11530" t="b">
        <v>0</v>
      </c>
      <c r="F11530" t="s">
        <v>11610</v>
      </c>
      <c r="L11530">
        <v>0</v>
      </c>
      <c r="M11530">
        <v>0</v>
      </c>
      <c r="N11530">
        <v>0</v>
      </c>
    </row>
    <row r="11531" spans="1:15">
      <c r="A11531" t="s">
        <v>40996</v>
      </c>
      <c r="B11531" t="s">
        <v>11757</v>
      </c>
      <c r="C11531" t="s">
        <v>37457</v>
      </c>
      <c r="D11531" t="s">
        <v>40997</v>
      </c>
      <c r="E11531" t="b">
        <v>0</v>
      </c>
      <c r="F11531" t="s">
        <v>11610</v>
      </c>
      <c r="L11531">
        <v>0</v>
      </c>
      <c r="M11531">
        <v>0</v>
      </c>
      <c r="N11531">
        <v>0</v>
      </c>
    </row>
    <row r="11532" spans="1:15">
      <c r="A11532" t="s">
        <v>40998</v>
      </c>
      <c r="B11532" t="s">
        <v>367</v>
      </c>
      <c r="C11532" t="s">
        <v>20543</v>
      </c>
      <c r="D11532" t="s">
        <v>40999</v>
      </c>
      <c r="E11532" t="b">
        <v>0</v>
      </c>
      <c r="F11532" t="s">
        <v>11610</v>
      </c>
      <c r="L11532">
        <v>0</v>
      </c>
      <c r="M11532">
        <v>0</v>
      </c>
      <c r="N11532">
        <v>0</v>
      </c>
    </row>
    <row r="11533" spans="1:15">
      <c r="A11533" t="s">
        <v>21054</v>
      </c>
      <c r="B11533" t="s">
        <v>11879</v>
      </c>
      <c r="C11533" t="s">
        <v>41000</v>
      </c>
      <c r="D11533" t="s">
        <v>41001</v>
      </c>
      <c r="E11533" t="b">
        <v>0</v>
      </c>
      <c r="F11533" t="s">
        <v>11624</v>
      </c>
      <c r="G11533">
        <v>15.844200000000001</v>
      </c>
      <c r="H11533">
        <v>-96.699700000000007</v>
      </c>
      <c r="I11533" t="s">
        <v>41002</v>
      </c>
      <c r="L11533">
        <v>0</v>
      </c>
      <c r="M11533">
        <v>0</v>
      </c>
      <c r="N11533">
        <v>2</v>
      </c>
      <c r="O11533" t="s">
        <v>11883</v>
      </c>
    </row>
    <row r="11534" spans="1:15">
      <c r="A11534" t="s">
        <v>24402</v>
      </c>
      <c r="B11534" t="s">
        <v>367</v>
      </c>
      <c r="C11534" t="s">
        <v>384</v>
      </c>
      <c r="D11534" t="s">
        <v>41003</v>
      </c>
      <c r="E11534" t="b">
        <v>0</v>
      </c>
      <c r="F11534" t="s">
        <v>11622</v>
      </c>
      <c r="L11534">
        <v>0</v>
      </c>
      <c r="M11534">
        <v>3</v>
      </c>
      <c r="N11534">
        <v>2</v>
      </c>
    </row>
    <row r="11535" spans="1:15">
      <c r="A11535" t="s">
        <v>2515</v>
      </c>
      <c r="B11535" t="s">
        <v>6742</v>
      </c>
      <c r="C11535" t="s">
        <v>41004</v>
      </c>
      <c r="D11535" t="s">
        <v>2514</v>
      </c>
      <c r="E11535" t="b">
        <v>0</v>
      </c>
      <c r="F11535" t="s">
        <v>11624</v>
      </c>
      <c r="G11535">
        <v>-17.705200000000001</v>
      </c>
      <c r="H11535">
        <v>24.739799999999999</v>
      </c>
      <c r="I11535" t="s">
        <v>2516</v>
      </c>
      <c r="L11535">
        <v>0</v>
      </c>
      <c r="M11535">
        <v>0</v>
      </c>
      <c r="N11535">
        <v>0</v>
      </c>
      <c r="O11535" t="s">
        <v>41005</v>
      </c>
    </row>
    <row r="11536" spans="1:15">
      <c r="A11536" t="s">
        <v>41006</v>
      </c>
      <c r="B11536" t="s">
        <v>6742</v>
      </c>
      <c r="C11536" t="s">
        <v>24946</v>
      </c>
      <c r="D11536" t="s">
        <v>41007</v>
      </c>
      <c r="E11536" t="b">
        <v>0</v>
      </c>
      <c r="F11536" t="s">
        <v>11610</v>
      </c>
      <c r="L11536">
        <v>0</v>
      </c>
      <c r="M11536">
        <v>0</v>
      </c>
      <c r="N11536">
        <v>0</v>
      </c>
    </row>
    <row r="11537" spans="1:15">
      <c r="A11537" t="s">
        <v>13026</v>
      </c>
      <c r="B11537" t="s">
        <v>11981</v>
      </c>
      <c r="C11537" t="s">
        <v>12200</v>
      </c>
      <c r="D11537" t="s">
        <v>41008</v>
      </c>
      <c r="E11537" t="b">
        <v>0</v>
      </c>
      <c r="F11537" t="s">
        <v>11622</v>
      </c>
      <c r="L11537">
        <v>16</v>
      </c>
      <c r="M11537">
        <v>58</v>
      </c>
      <c r="N11537">
        <v>10</v>
      </c>
    </row>
    <row r="11538" spans="1:15">
      <c r="A11538" t="s">
        <v>4760</v>
      </c>
      <c r="B11538" t="s">
        <v>11627</v>
      </c>
      <c r="C11538" t="s">
        <v>11627</v>
      </c>
      <c r="D11538" t="s">
        <v>41009</v>
      </c>
      <c r="E11538" t="b">
        <v>1</v>
      </c>
      <c r="F11538" t="s">
        <v>11624</v>
      </c>
      <c r="G11538">
        <v>19.119800000000001</v>
      </c>
      <c r="H11538">
        <v>101.217</v>
      </c>
      <c r="I11538" t="s">
        <v>41010</v>
      </c>
      <c r="L11538">
        <v>0</v>
      </c>
      <c r="M11538">
        <v>0</v>
      </c>
      <c r="N11538">
        <v>0</v>
      </c>
      <c r="O11538" t="s">
        <v>12442</v>
      </c>
    </row>
    <row r="11539" spans="1:15">
      <c r="A11539" t="s">
        <v>41011</v>
      </c>
      <c r="B11539" t="s">
        <v>11757</v>
      </c>
      <c r="C11539" t="s">
        <v>6594</v>
      </c>
      <c r="D11539" t="s">
        <v>41012</v>
      </c>
      <c r="E11539" t="b">
        <v>0</v>
      </c>
      <c r="F11539" t="s">
        <v>11610</v>
      </c>
      <c r="L11539">
        <v>0</v>
      </c>
      <c r="M11539">
        <v>0</v>
      </c>
      <c r="N11539">
        <v>0</v>
      </c>
    </row>
    <row r="11540" spans="1:15">
      <c r="A11540" t="s">
        <v>41013</v>
      </c>
      <c r="B11540" t="s">
        <v>11757</v>
      </c>
      <c r="C11540" t="s">
        <v>3239</v>
      </c>
      <c r="D11540" t="s">
        <v>41014</v>
      </c>
      <c r="E11540" t="b">
        <v>0</v>
      </c>
      <c r="F11540" t="s">
        <v>11610</v>
      </c>
      <c r="L11540">
        <v>0</v>
      </c>
      <c r="M11540">
        <v>0</v>
      </c>
      <c r="N11540">
        <v>0</v>
      </c>
    </row>
    <row r="11541" spans="1:15">
      <c r="A11541" t="s">
        <v>41015</v>
      </c>
      <c r="B11541" t="s">
        <v>6742</v>
      </c>
      <c r="C11541" t="s">
        <v>23346</v>
      </c>
      <c r="D11541" t="s">
        <v>41016</v>
      </c>
      <c r="E11541" t="b">
        <v>0</v>
      </c>
      <c r="F11541" t="s">
        <v>11610</v>
      </c>
      <c r="L11541">
        <v>0</v>
      </c>
      <c r="M11541">
        <v>0</v>
      </c>
      <c r="N11541">
        <v>0</v>
      </c>
    </row>
    <row r="11542" spans="1:15">
      <c r="A11542" t="s">
        <v>41017</v>
      </c>
      <c r="B11542" t="s">
        <v>12438</v>
      </c>
      <c r="C11542" t="s">
        <v>30841</v>
      </c>
      <c r="D11542" t="s">
        <v>41018</v>
      </c>
      <c r="E11542" t="b">
        <v>0</v>
      </c>
      <c r="F11542" t="s">
        <v>11610</v>
      </c>
      <c r="L11542">
        <v>0</v>
      </c>
      <c r="M11542">
        <v>0</v>
      </c>
      <c r="N11542">
        <v>0</v>
      </c>
    </row>
    <row r="11543" spans="1:15">
      <c r="A11543" t="s">
        <v>41019</v>
      </c>
      <c r="B11543" t="s">
        <v>5126</v>
      </c>
      <c r="C11543" t="s">
        <v>347</v>
      </c>
      <c r="D11543" t="s">
        <v>41020</v>
      </c>
      <c r="E11543" t="b">
        <v>0</v>
      </c>
      <c r="F11543" t="s">
        <v>11610</v>
      </c>
      <c r="L11543">
        <v>0</v>
      </c>
      <c r="M11543">
        <v>0</v>
      </c>
      <c r="N11543">
        <v>0</v>
      </c>
    </row>
    <row r="11544" spans="1:15">
      <c r="A11544" t="s">
        <v>41021</v>
      </c>
      <c r="B11544" t="s">
        <v>6742</v>
      </c>
      <c r="C11544" t="s">
        <v>41022</v>
      </c>
      <c r="D11544" t="s">
        <v>41023</v>
      </c>
      <c r="E11544" t="b">
        <v>0</v>
      </c>
      <c r="F11544" t="s">
        <v>11610</v>
      </c>
      <c r="L11544">
        <v>0</v>
      </c>
      <c r="M11544">
        <v>0</v>
      </c>
      <c r="N11544">
        <v>0</v>
      </c>
    </row>
    <row r="11545" spans="1:15">
      <c r="A11545" t="s">
        <v>41024</v>
      </c>
      <c r="B11545" t="s">
        <v>6742</v>
      </c>
      <c r="C11545" t="s">
        <v>4141</v>
      </c>
      <c r="D11545" t="s">
        <v>41025</v>
      </c>
      <c r="E11545" t="b">
        <v>0</v>
      </c>
      <c r="F11545" t="s">
        <v>11610</v>
      </c>
      <c r="L11545">
        <v>0</v>
      </c>
      <c r="M11545">
        <v>0</v>
      </c>
      <c r="N11545">
        <v>0</v>
      </c>
    </row>
    <row r="11546" spans="1:15">
      <c r="A11546" t="s">
        <v>41026</v>
      </c>
      <c r="B11546" t="s">
        <v>367</v>
      </c>
      <c r="C11546" t="s">
        <v>41027</v>
      </c>
      <c r="D11546" t="s">
        <v>41028</v>
      </c>
      <c r="E11546" t="b">
        <v>0</v>
      </c>
      <c r="F11546" t="s">
        <v>11610</v>
      </c>
      <c r="L11546">
        <v>0</v>
      </c>
      <c r="M11546">
        <v>0</v>
      </c>
      <c r="N11546">
        <v>0</v>
      </c>
    </row>
    <row r="11547" spans="1:15">
      <c r="A11547" t="s">
        <v>36682</v>
      </c>
      <c r="B11547" t="s">
        <v>367</v>
      </c>
      <c r="C11547" t="s">
        <v>26523</v>
      </c>
      <c r="D11547" t="s">
        <v>41029</v>
      </c>
      <c r="E11547" t="b">
        <v>0</v>
      </c>
      <c r="F11547" t="s">
        <v>11622</v>
      </c>
      <c r="L11547">
        <v>2</v>
      </c>
      <c r="M11547">
        <v>4</v>
      </c>
      <c r="N11547">
        <v>6</v>
      </c>
    </row>
    <row r="11548" spans="1:15">
      <c r="A11548" t="s">
        <v>39956</v>
      </c>
      <c r="B11548" t="s">
        <v>367</v>
      </c>
      <c r="C11548" t="s">
        <v>36682</v>
      </c>
      <c r="D11548" t="s">
        <v>41030</v>
      </c>
      <c r="E11548" t="b">
        <v>0</v>
      </c>
      <c r="F11548" t="s">
        <v>11622</v>
      </c>
      <c r="L11548">
        <v>0</v>
      </c>
      <c r="M11548">
        <v>2</v>
      </c>
      <c r="N11548">
        <v>6</v>
      </c>
    </row>
    <row r="11549" spans="1:15">
      <c r="A11549" t="s">
        <v>41031</v>
      </c>
      <c r="B11549" t="s">
        <v>367</v>
      </c>
      <c r="C11549" t="s">
        <v>39956</v>
      </c>
      <c r="D11549" t="s">
        <v>41032</v>
      </c>
      <c r="E11549" t="b">
        <v>0</v>
      </c>
      <c r="F11549" t="s">
        <v>11624</v>
      </c>
      <c r="G11549">
        <v>-8.1837800000000005</v>
      </c>
      <c r="H11549">
        <v>127.944</v>
      </c>
      <c r="I11549" t="s">
        <v>41033</v>
      </c>
      <c r="L11549">
        <v>0</v>
      </c>
      <c r="M11549">
        <v>0</v>
      </c>
      <c r="N11549">
        <v>6</v>
      </c>
      <c r="O11549" t="s">
        <v>11768</v>
      </c>
    </row>
    <row r="11550" spans="1:15">
      <c r="A11550" t="s">
        <v>41034</v>
      </c>
      <c r="B11550" t="s">
        <v>367</v>
      </c>
      <c r="C11550" t="s">
        <v>39091</v>
      </c>
      <c r="D11550" t="s">
        <v>41035</v>
      </c>
      <c r="E11550" t="b">
        <v>0</v>
      </c>
      <c r="F11550" t="s">
        <v>11610</v>
      </c>
      <c r="L11550">
        <v>0</v>
      </c>
      <c r="M11550">
        <v>0</v>
      </c>
      <c r="N11550">
        <v>0</v>
      </c>
    </row>
    <row r="11551" spans="1:15">
      <c r="A11551" t="s">
        <v>8324</v>
      </c>
      <c r="B11551" t="s">
        <v>6742</v>
      </c>
      <c r="C11551" t="s">
        <v>16642</v>
      </c>
      <c r="D11551" t="s">
        <v>41036</v>
      </c>
      <c r="E11551" t="b">
        <v>0</v>
      </c>
      <c r="F11551" t="s">
        <v>11624</v>
      </c>
      <c r="G11551">
        <v>-5.7271700000000001</v>
      </c>
      <c r="H11551">
        <v>22.4422</v>
      </c>
      <c r="I11551" t="s">
        <v>41037</v>
      </c>
      <c r="L11551">
        <v>0</v>
      </c>
      <c r="M11551">
        <v>0</v>
      </c>
      <c r="N11551">
        <v>2</v>
      </c>
      <c r="O11551" t="s">
        <v>31379</v>
      </c>
    </row>
    <row r="11552" spans="1:15">
      <c r="A11552" t="s">
        <v>8323</v>
      </c>
      <c r="B11552" t="s">
        <v>6742</v>
      </c>
      <c r="C11552" t="s">
        <v>34920</v>
      </c>
      <c r="D11552" t="s">
        <v>41038</v>
      </c>
      <c r="E11552" t="b">
        <v>0</v>
      </c>
      <c r="F11552" t="s">
        <v>11624</v>
      </c>
      <c r="G11552">
        <v>-8.2815999999999992</v>
      </c>
      <c r="H11552">
        <v>25.8918</v>
      </c>
      <c r="I11552" t="s">
        <v>8325</v>
      </c>
      <c r="L11552">
        <v>0</v>
      </c>
      <c r="M11552">
        <v>0</v>
      </c>
      <c r="N11552">
        <v>0</v>
      </c>
      <c r="O11552" t="s">
        <v>14825</v>
      </c>
    </row>
    <row r="11553" spans="1:15">
      <c r="A11553" t="s">
        <v>41039</v>
      </c>
      <c r="B11553" t="s">
        <v>367</v>
      </c>
      <c r="C11553" t="s">
        <v>17378</v>
      </c>
      <c r="D11553" t="s">
        <v>41040</v>
      </c>
      <c r="E11553" t="b">
        <v>0</v>
      </c>
      <c r="F11553" t="s">
        <v>11610</v>
      </c>
      <c r="L11553">
        <v>0</v>
      </c>
      <c r="M11553">
        <v>0</v>
      </c>
      <c r="N11553">
        <v>0</v>
      </c>
    </row>
    <row r="11554" spans="1:15">
      <c r="A11554" t="s">
        <v>41041</v>
      </c>
      <c r="B11554" t="s">
        <v>367</v>
      </c>
      <c r="C11554" t="s">
        <v>17635</v>
      </c>
      <c r="D11554" t="s">
        <v>8322</v>
      </c>
      <c r="E11554" t="b">
        <v>0</v>
      </c>
      <c r="F11554" t="s">
        <v>11610</v>
      </c>
      <c r="L11554">
        <v>0</v>
      </c>
      <c r="M11554">
        <v>0</v>
      </c>
      <c r="N11554">
        <v>0</v>
      </c>
    </row>
    <row r="11555" spans="1:15">
      <c r="A11555" t="s">
        <v>41042</v>
      </c>
      <c r="B11555" t="s">
        <v>6742</v>
      </c>
      <c r="C11555" t="s">
        <v>21841</v>
      </c>
      <c r="D11555" t="s">
        <v>41043</v>
      </c>
      <c r="E11555" t="b">
        <v>0</v>
      </c>
      <c r="F11555" t="s">
        <v>11622</v>
      </c>
      <c r="L11555">
        <v>5</v>
      </c>
      <c r="M11555">
        <v>12</v>
      </c>
      <c r="N11555">
        <v>17</v>
      </c>
    </row>
    <row r="11556" spans="1:15">
      <c r="A11556" t="s">
        <v>34923</v>
      </c>
      <c r="B11556" t="s">
        <v>6742</v>
      </c>
      <c r="C11556" t="s">
        <v>41042</v>
      </c>
      <c r="D11556" t="s">
        <v>41044</v>
      </c>
      <c r="E11556" t="b">
        <v>0</v>
      </c>
      <c r="F11556" t="s">
        <v>11622</v>
      </c>
      <c r="L11556">
        <v>3</v>
      </c>
      <c r="M11556">
        <v>7</v>
      </c>
      <c r="N11556">
        <v>8</v>
      </c>
    </row>
    <row r="11557" spans="1:15">
      <c r="A11557" t="s">
        <v>16699</v>
      </c>
      <c r="B11557" t="s">
        <v>6742</v>
      </c>
      <c r="C11557" t="s">
        <v>34923</v>
      </c>
      <c r="D11557" t="s">
        <v>41045</v>
      </c>
      <c r="E11557" t="b">
        <v>0</v>
      </c>
      <c r="F11557" t="s">
        <v>11622</v>
      </c>
      <c r="L11557">
        <v>1</v>
      </c>
      <c r="M11557">
        <v>4</v>
      </c>
      <c r="N11557">
        <v>8</v>
      </c>
    </row>
    <row r="11558" spans="1:15">
      <c r="A11558" t="s">
        <v>41046</v>
      </c>
      <c r="B11558" t="s">
        <v>6742</v>
      </c>
      <c r="C11558" t="s">
        <v>41047</v>
      </c>
      <c r="D11558" t="s">
        <v>41048</v>
      </c>
      <c r="E11558" t="b">
        <v>0</v>
      </c>
      <c r="F11558" t="s">
        <v>11624</v>
      </c>
      <c r="G11558">
        <v>5.4601100000000002</v>
      </c>
      <c r="H11558">
        <v>8.2920400000000001</v>
      </c>
      <c r="I11558" t="s">
        <v>41049</v>
      </c>
      <c r="L11558">
        <v>0</v>
      </c>
      <c r="M11558">
        <v>0</v>
      </c>
      <c r="N11558">
        <v>0</v>
      </c>
      <c r="O11558" t="s">
        <v>11693</v>
      </c>
    </row>
    <row r="11559" spans="1:15">
      <c r="A11559" t="s">
        <v>41047</v>
      </c>
      <c r="B11559" t="s">
        <v>6742</v>
      </c>
      <c r="C11559" t="s">
        <v>40494</v>
      </c>
      <c r="D11559" t="s">
        <v>41050</v>
      </c>
      <c r="E11559" t="b">
        <v>0</v>
      </c>
      <c r="F11559" t="s">
        <v>11622</v>
      </c>
      <c r="L11559">
        <v>0</v>
      </c>
      <c r="M11559">
        <v>2</v>
      </c>
      <c r="N11559">
        <v>0</v>
      </c>
    </row>
    <row r="11560" spans="1:15">
      <c r="A11560" t="s">
        <v>41051</v>
      </c>
      <c r="B11560" t="s">
        <v>367</v>
      </c>
      <c r="C11560" t="s">
        <v>41052</v>
      </c>
      <c r="D11560" t="s">
        <v>41053</v>
      </c>
      <c r="E11560" t="b">
        <v>0</v>
      </c>
      <c r="F11560" t="s">
        <v>11624</v>
      </c>
      <c r="G11560">
        <v>0.63988999999999996</v>
      </c>
      <c r="H11560">
        <v>99.745490000000004</v>
      </c>
      <c r="I11560" t="s">
        <v>41054</v>
      </c>
      <c r="L11560">
        <v>0</v>
      </c>
      <c r="M11560">
        <v>0</v>
      </c>
      <c r="N11560">
        <v>0</v>
      </c>
      <c r="O11560" t="s">
        <v>11768</v>
      </c>
    </row>
    <row r="11561" spans="1:15">
      <c r="A11561" t="s">
        <v>41055</v>
      </c>
      <c r="B11561" t="s">
        <v>367</v>
      </c>
      <c r="C11561" t="s">
        <v>6861</v>
      </c>
      <c r="D11561" t="s">
        <v>41056</v>
      </c>
      <c r="E11561" t="b">
        <v>0</v>
      </c>
      <c r="F11561" t="s">
        <v>11610</v>
      </c>
      <c r="L11561">
        <v>0</v>
      </c>
      <c r="M11561">
        <v>0</v>
      </c>
      <c r="N11561">
        <v>0</v>
      </c>
    </row>
    <row r="11562" spans="1:15">
      <c r="A11562" t="s">
        <v>11788</v>
      </c>
      <c r="B11562" t="s">
        <v>367</v>
      </c>
      <c r="C11562" t="s">
        <v>21886</v>
      </c>
      <c r="D11562" t="s">
        <v>41057</v>
      </c>
      <c r="E11562" t="b">
        <v>0</v>
      </c>
      <c r="F11562" t="s">
        <v>11624</v>
      </c>
      <c r="G11562">
        <v>17.387899999999998</v>
      </c>
      <c r="H11562">
        <v>121.0365</v>
      </c>
      <c r="I11562" t="s">
        <v>41058</v>
      </c>
      <c r="L11562">
        <v>0</v>
      </c>
      <c r="M11562">
        <v>0</v>
      </c>
      <c r="N11562">
        <v>5</v>
      </c>
      <c r="O11562" t="s">
        <v>11749</v>
      </c>
    </row>
    <row r="11563" spans="1:15">
      <c r="A11563" t="s">
        <v>41059</v>
      </c>
      <c r="B11563" t="s">
        <v>367</v>
      </c>
      <c r="C11563" t="s">
        <v>11788</v>
      </c>
      <c r="D11563" t="s">
        <v>41060</v>
      </c>
      <c r="E11563" t="b">
        <v>0</v>
      </c>
      <c r="F11563" t="s">
        <v>11610</v>
      </c>
      <c r="L11563">
        <v>0</v>
      </c>
      <c r="M11563">
        <v>0</v>
      </c>
      <c r="N11563">
        <v>0</v>
      </c>
    </row>
    <row r="11564" spans="1:15">
      <c r="A11564" t="s">
        <v>41061</v>
      </c>
      <c r="B11564" t="s">
        <v>11637</v>
      </c>
      <c r="C11564" t="s">
        <v>18116</v>
      </c>
      <c r="D11564" t="s">
        <v>41062</v>
      </c>
      <c r="E11564" t="b">
        <v>0</v>
      </c>
      <c r="F11564" t="s">
        <v>11610</v>
      </c>
      <c r="L11564">
        <v>0</v>
      </c>
      <c r="M11564">
        <v>0</v>
      </c>
      <c r="N11564">
        <v>0</v>
      </c>
    </row>
    <row r="11565" spans="1:15">
      <c r="A11565" t="s">
        <v>41063</v>
      </c>
      <c r="B11565" t="s">
        <v>6742</v>
      </c>
      <c r="C11565" t="s">
        <v>41064</v>
      </c>
      <c r="D11565" t="s">
        <v>41065</v>
      </c>
      <c r="E11565" t="b">
        <v>0</v>
      </c>
      <c r="F11565" t="s">
        <v>11624</v>
      </c>
      <c r="G11565">
        <v>-14.0648</v>
      </c>
      <c r="H11565">
        <v>22.2437</v>
      </c>
      <c r="I11565" t="s">
        <v>41066</v>
      </c>
      <c r="L11565">
        <v>0</v>
      </c>
      <c r="M11565">
        <v>0</v>
      </c>
      <c r="N11565">
        <v>0</v>
      </c>
      <c r="O11565" t="s">
        <v>41067</v>
      </c>
    </row>
    <row r="11566" spans="1:15">
      <c r="A11566" t="s">
        <v>41068</v>
      </c>
      <c r="B11566" t="s">
        <v>11637</v>
      </c>
      <c r="C11566" t="s">
        <v>2757</v>
      </c>
      <c r="D11566" t="s">
        <v>41069</v>
      </c>
      <c r="E11566" t="b">
        <v>0</v>
      </c>
      <c r="F11566" t="s">
        <v>11622</v>
      </c>
      <c r="L11566">
        <v>0</v>
      </c>
      <c r="M11566">
        <v>2</v>
      </c>
      <c r="N11566">
        <v>2</v>
      </c>
    </row>
    <row r="11567" spans="1:15">
      <c r="A11567" t="s">
        <v>41070</v>
      </c>
      <c r="B11567" t="s">
        <v>6742</v>
      </c>
      <c r="C11567" t="s">
        <v>41071</v>
      </c>
      <c r="D11567" t="s">
        <v>41072</v>
      </c>
      <c r="E11567" t="b">
        <v>0</v>
      </c>
      <c r="F11567" t="s">
        <v>11624</v>
      </c>
      <c r="G11567">
        <v>22.9514</v>
      </c>
      <c r="H11567">
        <v>-82.441000000000003</v>
      </c>
      <c r="I11567" t="s">
        <v>41073</v>
      </c>
      <c r="L11567">
        <v>0</v>
      </c>
      <c r="M11567">
        <v>0</v>
      </c>
      <c r="N11567">
        <v>0</v>
      </c>
      <c r="O11567" t="s">
        <v>23576</v>
      </c>
    </row>
    <row r="11568" spans="1:15">
      <c r="A11568" t="s">
        <v>41071</v>
      </c>
      <c r="B11568" t="s">
        <v>6742</v>
      </c>
      <c r="C11568" t="s">
        <v>41074</v>
      </c>
      <c r="D11568" t="s">
        <v>41075</v>
      </c>
      <c r="E11568" t="b">
        <v>0</v>
      </c>
      <c r="F11568" t="s">
        <v>11622</v>
      </c>
      <c r="L11568">
        <v>0</v>
      </c>
      <c r="M11568">
        <v>2</v>
      </c>
      <c r="N11568">
        <v>20</v>
      </c>
    </row>
    <row r="11569" spans="1:15">
      <c r="A11569" t="s">
        <v>41076</v>
      </c>
      <c r="B11569" t="s">
        <v>12260</v>
      </c>
      <c r="C11569" t="s">
        <v>26639</v>
      </c>
      <c r="D11569" t="s">
        <v>41077</v>
      </c>
      <c r="E11569" t="b">
        <v>0</v>
      </c>
      <c r="F11569" t="s">
        <v>11624</v>
      </c>
      <c r="G11569">
        <v>61.853000000000002</v>
      </c>
      <c r="H11569">
        <v>33.7346</v>
      </c>
      <c r="I11569" t="s">
        <v>41078</v>
      </c>
      <c r="L11569">
        <v>0</v>
      </c>
      <c r="M11569">
        <v>0</v>
      </c>
      <c r="N11569">
        <v>0</v>
      </c>
      <c r="O11569" t="s">
        <v>12748</v>
      </c>
    </row>
    <row r="11570" spans="1:15">
      <c r="A11570" t="s">
        <v>41079</v>
      </c>
      <c r="B11570" t="s">
        <v>6742</v>
      </c>
      <c r="C11570" t="s">
        <v>473</v>
      </c>
      <c r="D11570" t="s">
        <v>41080</v>
      </c>
      <c r="E11570" t="b">
        <v>0</v>
      </c>
      <c r="F11570" t="s">
        <v>11610</v>
      </c>
      <c r="L11570">
        <v>0</v>
      </c>
      <c r="M11570">
        <v>0</v>
      </c>
      <c r="N11570">
        <v>0</v>
      </c>
    </row>
    <row r="11571" spans="1:15">
      <c r="A11571" t="s">
        <v>41081</v>
      </c>
      <c r="B11571" t="s">
        <v>5126</v>
      </c>
      <c r="C11571" t="s">
        <v>12453</v>
      </c>
      <c r="D11571" t="s">
        <v>41082</v>
      </c>
      <c r="E11571" t="b">
        <v>0</v>
      </c>
      <c r="F11571" t="s">
        <v>11622</v>
      </c>
      <c r="L11571">
        <v>0</v>
      </c>
      <c r="M11571">
        <v>2</v>
      </c>
      <c r="N11571">
        <v>0</v>
      </c>
    </row>
    <row r="11572" spans="1:15">
      <c r="A11572" t="s">
        <v>41083</v>
      </c>
      <c r="B11572" t="s">
        <v>6742</v>
      </c>
      <c r="C11572" t="s">
        <v>18180</v>
      </c>
      <c r="D11572" t="s">
        <v>41084</v>
      </c>
      <c r="E11572" t="b">
        <v>0</v>
      </c>
      <c r="F11572" t="s">
        <v>11624</v>
      </c>
      <c r="G11572">
        <v>7.2555500000000004</v>
      </c>
      <c r="H11572">
        <v>10.9499</v>
      </c>
      <c r="I11572" t="s">
        <v>41085</v>
      </c>
      <c r="L11572">
        <v>0</v>
      </c>
      <c r="M11572">
        <v>0</v>
      </c>
      <c r="N11572">
        <v>0</v>
      </c>
      <c r="O11572" t="s">
        <v>11693</v>
      </c>
    </row>
    <row r="11573" spans="1:15">
      <c r="A11573" t="s">
        <v>41086</v>
      </c>
      <c r="B11573" t="s">
        <v>367</v>
      </c>
      <c r="C11573" t="s">
        <v>40702</v>
      </c>
      <c r="D11573" t="s">
        <v>41087</v>
      </c>
      <c r="E11573" t="b">
        <v>0</v>
      </c>
      <c r="F11573" t="s">
        <v>11610</v>
      </c>
      <c r="L11573">
        <v>0</v>
      </c>
      <c r="M11573">
        <v>0</v>
      </c>
      <c r="N11573">
        <v>0</v>
      </c>
    </row>
    <row r="11574" spans="1:15">
      <c r="A11574" t="s">
        <v>11730</v>
      </c>
      <c r="B11574" t="s">
        <v>11729</v>
      </c>
      <c r="C11574" t="s">
        <v>14559</v>
      </c>
      <c r="D11574" t="s">
        <v>41088</v>
      </c>
      <c r="E11574" t="b">
        <v>0</v>
      </c>
      <c r="F11574" t="s">
        <v>11624</v>
      </c>
      <c r="G11574">
        <v>3.0224500000000001</v>
      </c>
      <c r="H11574">
        <v>30.8642</v>
      </c>
      <c r="I11574" t="s">
        <v>41089</v>
      </c>
      <c r="L11574">
        <v>0</v>
      </c>
      <c r="M11574">
        <v>0</v>
      </c>
      <c r="N11574">
        <v>9</v>
      </c>
      <c r="O11574" t="s">
        <v>13208</v>
      </c>
    </row>
    <row r="11575" spans="1:15">
      <c r="A11575" t="s">
        <v>41090</v>
      </c>
      <c r="B11575" t="s">
        <v>6742</v>
      </c>
      <c r="C11575" t="s">
        <v>41091</v>
      </c>
      <c r="D11575" t="s">
        <v>41092</v>
      </c>
      <c r="E11575" t="b">
        <v>0</v>
      </c>
      <c r="F11575" t="s">
        <v>11610</v>
      </c>
      <c r="L11575">
        <v>0</v>
      </c>
      <c r="M11575">
        <v>0</v>
      </c>
      <c r="N11575">
        <v>0</v>
      </c>
    </row>
    <row r="11576" spans="1:15">
      <c r="A11576" t="s">
        <v>41093</v>
      </c>
      <c r="B11576" t="s">
        <v>6742</v>
      </c>
      <c r="C11576" t="s">
        <v>21898</v>
      </c>
      <c r="D11576" t="s">
        <v>41094</v>
      </c>
      <c r="E11576" t="b">
        <v>0</v>
      </c>
      <c r="F11576" t="s">
        <v>11624</v>
      </c>
      <c r="G11576">
        <v>-6.8682800000000004</v>
      </c>
      <c r="H11576">
        <v>37.555700000000002</v>
      </c>
      <c r="I11576" t="s">
        <v>41095</v>
      </c>
      <c r="L11576">
        <v>0</v>
      </c>
      <c r="M11576">
        <v>0</v>
      </c>
      <c r="N11576">
        <v>0</v>
      </c>
      <c r="O11576" t="s">
        <v>11635</v>
      </c>
    </row>
    <row r="11577" spans="1:15">
      <c r="A11577" t="s">
        <v>41096</v>
      </c>
      <c r="B11577" t="s">
        <v>367</v>
      </c>
      <c r="C11577" t="s">
        <v>25465</v>
      </c>
      <c r="D11577" t="s">
        <v>41097</v>
      </c>
      <c r="E11577" t="b">
        <v>0</v>
      </c>
      <c r="F11577" t="s">
        <v>11610</v>
      </c>
      <c r="L11577">
        <v>0</v>
      </c>
      <c r="M11577">
        <v>0</v>
      </c>
      <c r="N11577">
        <v>0</v>
      </c>
    </row>
    <row r="11578" spans="1:15">
      <c r="A11578" t="s">
        <v>41098</v>
      </c>
      <c r="B11578" t="s">
        <v>11644</v>
      </c>
      <c r="C11578" t="s">
        <v>23045</v>
      </c>
      <c r="D11578" t="s">
        <v>41099</v>
      </c>
      <c r="E11578" t="b">
        <v>0</v>
      </c>
      <c r="F11578" t="s">
        <v>11610</v>
      </c>
      <c r="L11578">
        <v>0</v>
      </c>
      <c r="M11578">
        <v>0</v>
      </c>
      <c r="N11578">
        <v>0</v>
      </c>
    </row>
    <row r="11579" spans="1:15">
      <c r="A11579" t="s">
        <v>17468</v>
      </c>
      <c r="B11579" t="s">
        <v>367</v>
      </c>
      <c r="C11579" t="s">
        <v>41100</v>
      </c>
      <c r="D11579" t="s">
        <v>41101</v>
      </c>
      <c r="E11579" t="b">
        <v>0</v>
      </c>
      <c r="F11579" t="s">
        <v>11624</v>
      </c>
      <c r="G11579">
        <v>-3.1318700000000002</v>
      </c>
      <c r="H11579">
        <v>127.96599999999999</v>
      </c>
      <c r="I11579" t="s">
        <v>41102</v>
      </c>
      <c r="L11579">
        <v>0</v>
      </c>
      <c r="M11579">
        <v>0</v>
      </c>
      <c r="N11579">
        <v>3</v>
      </c>
      <c r="O11579" t="s">
        <v>11768</v>
      </c>
    </row>
    <row r="11580" spans="1:15">
      <c r="A11580" t="s">
        <v>41103</v>
      </c>
      <c r="B11580" t="s">
        <v>11627</v>
      </c>
      <c r="C11580" t="s">
        <v>11627</v>
      </c>
      <c r="D11580" t="s">
        <v>41104</v>
      </c>
      <c r="E11580" t="b">
        <v>1</v>
      </c>
      <c r="F11580" t="s">
        <v>11624</v>
      </c>
      <c r="G11580">
        <v>21.363499999999998</v>
      </c>
      <c r="H11580">
        <v>99.661900000000003</v>
      </c>
      <c r="I11580" t="s">
        <v>41105</v>
      </c>
      <c r="L11580">
        <v>0</v>
      </c>
      <c r="M11580">
        <v>0</v>
      </c>
      <c r="N11580">
        <v>0</v>
      </c>
      <c r="O11580" t="s">
        <v>14059</v>
      </c>
    </row>
    <row r="11581" spans="1:15">
      <c r="A11581" t="s">
        <v>41106</v>
      </c>
      <c r="B11581" t="s">
        <v>6742</v>
      </c>
      <c r="C11581" t="s">
        <v>41107</v>
      </c>
      <c r="D11581" t="s">
        <v>41108</v>
      </c>
      <c r="E11581" t="b">
        <v>0</v>
      </c>
      <c r="F11581" t="s">
        <v>11624</v>
      </c>
      <c r="G11581">
        <v>-11.222099999999999</v>
      </c>
      <c r="H11581">
        <v>17.538499999999999</v>
      </c>
      <c r="I11581" t="s">
        <v>41109</v>
      </c>
      <c r="L11581">
        <v>0</v>
      </c>
      <c r="M11581">
        <v>0</v>
      </c>
      <c r="N11581">
        <v>0</v>
      </c>
      <c r="O11581" t="s">
        <v>19290</v>
      </c>
    </row>
    <row r="11582" spans="1:15">
      <c r="A11582" t="s">
        <v>33697</v>
      </c>
      <c r="B11582" t="s">
        <v>12751</v>
      </c>
      <c r="C11582" t="s">
        <v>20868</v>
      </c>
      <c r="D11582" t="s">
        <v>41110</v>
      </c>
      <c r="E11582" t="b">
        <v>0</v>
      </c>
      <c r="F11582" t="s">
        <v>11624</v>
      </c>
      <c r="G11582">
        <v>33.318399999999997</v>
      </c>
      <c r="H11582">
        <v>-116.93899999999999</v>
      </c>
      <c r="I11582" t="s">
        <v>41111</v>
      </c>
      <c r="L11582">
        <v>0</v>
      </c>
      <c r="M11582">
        <v>0</v>
      </c>
      <c r="N11582">
        <v>2</v>
      </c>
      <c r="O11582" t="s">
        <v>11944</v>
      </c>
    </row>
    <row r="11583" spans="1:15">
      <c r="A11583" t="s">
        <v>41112</v>
      </c>
      <c r="B11583" t="s">
        <v>12751</v>
      </c>
      <c r="C11583" t="s">
        <v>33697</v>
      </c>
      <c r="D11583" t="s">
        <v>41113</v>
      </c>
      <c r="E11583" t="b">
        <v>0</v>
      </c>
      <c r="F11583" t="s">
        <v>11610</v>
      </c>
      <c r="L11583">
        <v>0</v>
      </c>
      <c r="M11583">
        <v>0</v>
      </c>
      <c r="N11583">
        <v>0</v>
      </c>
    </row>
    <row r="11584" spans="1:15">
      <c r="A11584" t="s">
        <v>41114</v>
      </c>
      <c r="B11584" t="s">
        <v>13276</v>
      </c>
      <c r="C11584" t="s">
        <v>16569</v>
      </c>
      <c r="D11584" t="s">
        <v>41115</v>
      </c>
      <c r="E11584" t="b">
        <v>0</v>
      </c>
      <c r="F11584" t="s">
        <v>11610</v>
      </c>
      <c r="L11584">
        <v>0</v>
      </c>
      <c r="M11584">
        <v>0</v>
      </c>
      <c r="N11584">
        <v>0</v>
      </c>
    </row>
    <row r="11585" spans="1:15">
      <c r="A11585" t="s">
        <v>41116</v>
      </c>
      <c r="B11585" t="s">
        <v>6742</v>
      </c>
      <c r="C11585" t="s">
        <v>41117</v>
      </c>
      <c r="D11585" t="s">
        <v>41118</v>
      </c>
      <c r="E11585" t="b">
        <v>0</v>
      </c>
      <c r="F11585" t="s">
        <v>11610</v>
      </c>
      <c r="L11585">
        <v>0</v>
      </c>
      <c r="M11585">
        <v>0</v>
      </c>
      <c r="N11585">
        <v>0</v>
      </c>
    </row>
    <row r="11586" spans="1:15">
      <c r="A11586" t="s">
        <v>41119</v>
      </c>
      <c r="B11586" t="s">
        <v>6742</v>
      </c>
      <c r="C11586" t="s">
        <v>33895</v>
      </c>
      <c r="D11586" t="s">
        <v>41120</v>
      </c>
      <c r="E11586" t="b">
        <v>0</v>
      </c>
      <c r="F11586" t="s">
        <v>11624</v>
      </c>
      <c r="G11586">
        <v>9.5194899999999993</v>
      </c>
      <c r="H11586">
        <v>1.66954</v>
      </c>
      <c r="I11586" t="s">
        <v>41121</v>
      </c>
      <c r="L11586">
        <v>0</v>
      </c>
      <c r="M11586">
        <v>0</v>
      </c>
      <c r="N11586">
        <v>0</v>
      </c>
      <c r="O11586" t="s">
        <v>12394</v>
      </c>
    </row>
    <row r="11587" spans="1:15">
      <c r="A11587" t="s">
        <v>41122</v>
      </c>
      <c r="B11587" t="s">
        <v>11644</v>
      </c>
      <c r="C11587" t="s">
        <v>41123</v>
      </c>
      <c r="D11587" t="s">
        <v>41124</v>
      </c>
      <c r="E11587" t="b">
        <v>0</v>
      </c>
      <c r="F11587" t="s">
        <v>11610</v>
      </c>
      <c r="L11587">
        <v>0</v>
      </c>
      <c r="M11587">
        <v>0</v>
      </c>
      <c r="N11587">
        <v>0</v>
      </c>
    </row>
    <row r="11588" spans="1:15">
      <c r="A11588" t="s">
        <v>41125</v>
      </c>
      <c r="D11588" t="s">
        <v>41126</v>
      </c>
      <c r="E11588" t="b">
        <v>0</v>
      </c>
      <c r="F11588" t="s">
        <v>11624</v>
      </c>
      <c r="G11588">
        <v>-25.221838999999999</v>
      </c>
      <c r="H11588">
        <v>-61.887818000000003</v>
      </c>
      <c r="I11588" t="s">
        <v>41127</v>
      </c>
      <c r="L11588">
        <v>0</v>
      </c>
      <c r="M11588">
        <v>0</v>
      </c>
      <c r="N11588">
        <v>0</v>
      </c>
      <c r="O11588" t="s">
        <v>11774</v>
      </c>
    </row>
    <row r="11589" spans="1:15">
      <c r="A11589" t="s">
        <v>41128</v>
      </c>
      <c r="B11589" t="s">
        <v>12260</v>
      </c>
      <c r="C11589" t="s">
        <v>21802</v>
      </c>
      <c r="D11589" t="s">
        <v>41129</v>
      </c>
      <c r="E11589" t="b">
        <v>0</v>
      </c>
      <c r="F11589" t="s">
        <v>11624</v>
      </c>
      <c r="G11589">
        <v>67.275899999999993</v>
      </c>
      <c r="H11589">
        <v>17.805700000000002</v>
      </c>
      <c r="I11589" t="s">
        <v>41130</v>
      </c>
      <c r="L11589">
        <v>0</v>
      </c>
      <c r="M11589">
        <v>0</v>
      </c>
      <c r="N11589">
        <v>0</v>
      </c>
      <c r="O11589" t="s">
        <v>41131</v>
      </c>
    </row>
    <row r="11590" spans="1:15">
      <c r="A11590" t="s">
        <v>41132</v>
      </c>
      <c r="B11590" t="s">
        <v>6742</v>
      </c>
      <c r="C11590" t="s">
        <v>4187</v>
      </c>
      <c r="D11590" t="s">
        <v>41133</v>
      </c>
      <c r="E11590" t="b">
        <v>0</v>
      </c>
      <c r="F11590" t="s">
        <v>11610</v>
      </c>
      <c r="L11590">
        <v>0</v>
      </c>
      <c r="M11590">
        <v>0</v>
      </c>
      <c r="N11590">
        <v>0</v>
      </c>
    </row>
    <row r="11591" spans="1:15">
      <c r="A11591" t="s">
        <v>41134</v>
      </c>
      <c r="B11591" t="s">
        <v>11637</v>
      </c>
      <c r="C11591" t="s">
        <v>16887</v>
      </c>
      <c r="D11591" t="s">
        <v>41135</v>
      </c>
      <c r="E11591" t="b">
        <v>0</v>
      </c>
      <c r="F11591" t="s">
        <v>11610</v>
      </c>
      <c r="L11591">
        <v>0</v>
      </c>
      <c r="M11591">
        <v>0</v>
      </c>
      <c r="N11591">
        <v>0</v>
      </c>
    </row>
    <row r="11592" spans="1:15">
      <c r="A11592" t="s">
        <v>41136</v>
      </c>
      <c r="B11592" t="s">
        <v>11757</v>
      </c>
      <c r="C11592" t="s">
        <v>12119</v>
      </c>
      <c r="D11592" t="s">
        <v>41137</v>
      </c>
      <c r="E11592" t="b">
        <v>0</v>
      </c>
      <c r="F11592" t="s">
        <v>11610</v>
      </c>
      <c r="L11592">
        <v>0</v>
      </c>
      <c r="M11592">
        <v>0</v>
      </c>
      <c r="N11592">
        <v>0</v>
      </c>
    </row>
    <row r="11593" spans="1:15">
      <c r="A11593" t="s">
        <v>41138</v>
      </c>
      <c r="B11593" t="s">
        <v>367</v>
      </c>
      <c r="C11593" t="s">
        <v>35606</v>
      </c>
      <c r="D11593" t="s">
        <v>41139</v>
      </c>
      <c r="E11593" t="b">
        <v>0</v>
      </c>
      <c r="F11593" t="s">
        <v>11610</v>
      </c>
      <c r="L11593">
        <v>0</v>
      </c>
      <c r="M11593">
        <v>0</v>
      </c>
      <c r="N11593">
        <v>0</v>
      </c>
    </row>
    <row r="11594" spans="1:15">
      <c r="A11594" t="s">
        <v>41140</v>
      </c>
      <c r="B11594" t="s">
        <v>12241</v>
      </c>
      <c r="C11594" t="s">
        <v>12241</v>
      </c>
      <c r="D11594" t="s">
        <v>41141</v>
      </c>
      <c r="E11594" t="b">
        <v>0</v>
      </c>
      <c r="F11594" t="s">
        <v>11624</v>
      </c>
      <c r="G11594">
        <v>35.617100000000001</v>
      </c>
      <c r="H11594">
        <v>-78.453100000000006</v>
      </c>
      <c r="I11594" t="s">
        <v>41142</v>
      </c>
      <c r="L11594">
        <v>0</v>
      </c>
      <c r="M11594">
        <v>0</v>
      </c>
      <c r="N11594">
        <v>0</v>
      </c>
      <c r="O11594" t="s">
        <v>11944</v>
      </c>
    </row>
    <row r="11595" spans="1:15">
      <c r="A11595" t="s">
        <v>41143</v>
      </c>
      <c r="B11595" t="s">
        <v>6742</v>
      </c>
      <c r="C11595" t="s">
        <v>32211</v>
      </c>
      <c r="D11595" t="s">
        <v>41144</v>
      </c>
      <c r="E11595" t="b">
        <v>0</v>
      </c>
      <c r="F11595" t="s">
        <v>11610</v>
      </c>
      <c r="L11595">
        <v>0</v>
      </c>
      <c r="M11595">
        <v>0</v>
      </c>
      <c r="N11595">
        <v>0</v>
      </c>
    </row>
    <row r="11596" spans="1:15">
      <c r="A11596" t="s">
        <v>41145</v>
      </c>
      <c r="B11596" t="s">
        <v>6742</v>
      </c>
      <c r="C11596" t="s">
        <v>20781</v>
      </c>
      <c r="D11596" t="s">
        <v>41146</v>
      </c>
      <c r="E11596" t="b">
        <v>0</v>
      </c>
      <c r="F11596" t="s">
        <v>11624</v>
      </c>
      <c r="G11596">
        <v>-3.3791699999999998</v>
      </c>
      <c r="H11596">
        <v>11.124000000000001</v>
      </c>
      <c r="I11596" t="s">
        <v>41147</v>
      </c>
      <c r="L11596">
        <v>0</v>
      </c>
      <c r="M11596">
        <v>0</v>
      </c>
      <c r="N11596">
        <v>0</v>
      </c>
      <c r="O11596" t="s">
        <v>20784</v>
      </c>
    </row>
    <row r="11597" spans="1:15">
      <c r="A11597" t="s">
        <v>41148</v>
      </c>
      <c r="B11597" t="s">
        <v>11627</v>
      </c>
      <c r="C11597" t="s">
        <v>11627</v>
      </c>
      <c r="D11597" t="s">
        <v>41149</v>
      </c>
      <c r="E11597" t="b">
        <v>1</v>
      </c>
      <c r="F11597" t="s">
        <v>11624</v>
      </c>
      <c r="G11597">
        <v>27.231999999999999</v>
      </c>
      <c r="H11597">
        <v>87.314599999999999</v>
      </c>
      <c r="I11597" t="s">
        <v>41150</v>
      </c>
      <c r="L11597">
        <v>0</v>
      </c>
      <c r="M11597">
        <v>0</v>
      </c>
      <c r="N11597">
        <v>0</v>
      </c>
      <c r="O11597" t="s">
        <v>15007</v>
      </c>
    </row>
    <row r="11598" spans="1:15">
      <c r="A11598" t="s">
        <v>41151</v>
      </c>
      <c r="B11598" t="s">
        <v>6742</v>
      </c>
      <c r="C11598" t="s">
        <v>16825</v>
      </c>
      <c r="D11598" t="s">
        <v>41152</v>
      </c>
      <c r="E11598" t="b">
        <v>0</v>
      </c>
      <c r="F11598" t="s">
        <v>11622</v>
      </c>
      <c r="L11598">
        <v>6</v>
      </c>
      <c r="M11598">
        <v>8</v>
      </c>
      <c r="N11598">
        <v>0</v>
      </c>
    </row>
    <row r="11599" spans="1:15">
      <c r="A11599" t="s">
        <v>20781</v>
      </c>
      <c r="B11599" t="s">
        <v>6742</v>
      </c>
      <c r="C11599" t="s">
        <v>41151</v>
      </c>
      <c r="D11599" t="s">
        <v>41153</v>
      </c>
      <c r="E11599" t="b">
        <v>0</v>
      </c>
      <c r="F11599" t="s">
        <v>11622</v>
      </c>
      <c r="L11599">
        <v>0</v>
      </c>
      <c r="M11599">
        <v>2</v>
      </c>
      <c r="N11599">
        <v>0</v>
      </c>
    </row>
    <row r="11600" spans="1:15">
      <c r="A11600" t="s">
        <v>41154</v>
      </c>
      <c r="B11600" t="s">
        <v>9071</v>
      </c>
      <c r="C11600" t="s">
        <v>41155</v>
      </c>
      <c r="D11600" t="s">
        <v>41156</v>
      </c>
      <c r="E11600" t="b">
        <v>0</v>
      </c>
      <c r="F11600" t="s">
        <v>11610</v>
      </c>
      <c r="L11600">
        <v>0</v>
      </c>
      <c r="M11600">
        <v>0</v>
      </c>
      <c r="N11600">
        <v>0</v>
      </c>
    </row>
    <row r="11601" spans="1:15">
      <c r="A11601" t="s">
        <v>41157</v>
      </c>
      <c r="B11601" t="s">
        <v>3165</v>
      </c>
      <c r="C11601" t="s">
        <v>41158</v>
      </c>
      <c r="D11601" t="s">
        <v>41159</v>
      </c>
      <c r="E11601" t="b">
        <v>0</v>
      </c>
      <c r="F11601" t="s">
        <v>11624</v>
      </c>
      <c r="G11601">
        <v>10.8308</v>
      </c>
      <c r="H11601">
        <v>30.253</v>
      </c>
      <c r="I11601" t="s">
        <v>41160</v>
      </c>
      <c r="L11601">
        <v>0</v>
      </c>
      <c r="M11601">
        <v>0</v>
      </c>
      <c r="N11601">
        <v>0</v>
      </c>
      <c r="O11601" t="s">
        <v>11910</v>
      </c>
    </row>
    <row r="11602" spans="1:15">
      <c r="A11602" t="s">
        <v>41158</v>
      </c>
      <c r="B11602" t="s">
        <v>3165</v>
      </c>
      <c r="C11602" t="s">
        <v>3165</v>
      </c>
      <c r="D11602" t="s">
        <v>41161</v>
      </c>
      <c r="E11602" t="b">
        <v>0</v>
      </c>
      <c r="F11602" t="s">
        <v>11622</v>
      </c>
      <c r="L11602">
        <v>0</v>
      </c>
      <c r="M11602">
        <v>2</v>
      </c>
      <c r="N11602">
        <v>0</v>
      </c>
    </row>
    <row r="11603" spans="1:15">
      <c r="A11603" t="s">
        <v>41162</v>
      </c>
      <c r="B11603" t="s">
        <v>11644</v>
      </c>
      <c r="C11603" t="s">
        <v>25759</v>
      </c>
      <c r="D11603" t="s">
        <v>41163</v>
      </c>
      <c r="E11603" t="b">
        <v>0</v>
      </c>
      <c r="F11603" t="s">
        <v>11624</v>
      </c>
      <c r="G11603">
        <v>28.128799999999998</v>
      </c>
      <c r="H11603">
        <v>90.125699999999995</v>
      </c>
      <c r="I11603" t="s">
        <v>41164</v>
      </c>
      <c r="L11603">
        <v>0</v>
      </c>
      <c r="M11603">
        <v>0</v>
      </c>
      <c r="N11603">
        <v>0</v>
      </c>
      <c r="O11603" t="s">
        <v>12020</v>
      </c>
    </row>
    <row r="11604" spans="1:15">
      <c r="A11604" t="s">
        <v>41165</v>
      </c>
      <c r="B11604" t="s">
        <v>6742</v>
      </c>
      <c r="C11604" t="s">
        <v>18712</v>
      </c>
      <c r="D11604" t="s">
        <v>41166</v>
      </c>
      <c r="E11604" t="b">
        <v>0</v>
      </c>
      <c r="F11604" t="s">
        <v>11624</v>
      </c>
      <c r="G11604">
        <v>-5.0869299999999997</v>
      </c>
      <c r="H11604">
        <v>23.5426</v>
      </c>
      <c r="I11604" t="s">
        <v>41167</v>
      </c>
      <c r="L11604">
        <v>0</v>
      </c>
      <c r="M11604">
        <v>0</v>
      </c>
      <c r="N11604">
        <v>0</v>
      </c>
      <c r="O11604" t="s">
        <v>14825</v>
      </c>
    </row>
    <row r="11605" spans="1:15">
      <c r="A11605" t="s">
        <v>41168</v>
      </c>
      <c r="B11605" t="s">
        <v>367</v>
      </c>
      <c r="C11605" t="s">
        <v>34317</v>
      </c>
      <c r="D11605" t="s">
        <v>41169</v>
      </c>
      <c r="E11605" t="b">
        <v>0</v>
      </c>
      <c r="F11605" t="s">
        <v>11610</v>
      </c>
      <c r="L11605">
        <v>0</v>
      </c>
      <c r="M11605">
        <v>0</v>
      </c>
      <c r="N11605">
        <v>0</v>
      </c>
    </row>
    <row r="11606" spans="1:15">
      <c r="A11606" t="s">
        <v>41170</v>
      </c>
      <c r="B11606" t="s">
        <v>367</v>
      </c>
      <c r="C11606" t="s">
        <v>11666</v>
      </c>
      <c r="D11606" t="s">
        <v>41171</v>
      </c>
      <c r="E11606" t="b">
        <v>0</v>
      </c>
      <c r="F11606" t="s">
        <v>11610</v>
      </c>
      <c r="L11606">
        <v>0</v>
      </c>
      <c r="M11606">
        <v>0</v>
      </c>
      <c r="N11606">
        <v>0</v>
      </c>
    </row>
    <row r="11607" spans="1:15">
      <c r="A11607" t="s">
        <v>41172</v>
      </c>
      <c r="B11607" t="s">
        <v>6742</v>
      </c>
      <c r="C11607" t="s">
        <v>19172</v>
      </c>
      <c r="D11607" t="s">
        <v>41173</v>
      </c>
      <c r="E11607" t="b">
        <v>0</v>
      </c>
      <c r="F11607" t="s">
        <v>11610</v>
      </c>
      <c r="L11607">
        <v>0</v>
      </c>
      <c r="M11607">
        <v>0</v>
      </c>
      <c r="N11607">
        <v>0</v>
      </c>
    </row>
    <row r="11608" spans="1:15">
      <c r="A11608" t="s">
        <v>41174</v>
      </c>
      <c r="B11608" t="s">
        <v>6742</v>
      </c>
      <c r="C11608" t="s">
        <v>32211</v>
      </c>
      <c r="D11608" t="s">
        <v>41175</v>
      </c>
      <c r="E11608" t="b">
        <v>0</v>
      </c>
      <c r="F11608" t="s">
        <v>11610</v>
      </c>
      <c r="L11608">
        <v>0</v>
      </c>
      <c r="M11608">
        <v>0</v>
      </c>
      <c r="N11608">
        <v>0</v>
      </c>
    </row>
    <row r="11609" spans="1:15">
      <c r="A11609" t="s">
        <v>581</v>
      </c>
      <c r="B11609" t="s">
        <v>6742</v>
      </c>
      <c r="C11609" t="s">
        <v>41176</v>
      </c>
      <c r="D11609" t="s">
        <v>580</v>
      </c>
      <c r="E11609" t="b">
        <v>0</v>
      </c>
      <c r="F11609" t="s">
        <v>11624</v>
      </c>
      <c r="G11609">
        <v>-11.1793</v>
      </c>
      <c r="H11609">
        <v>23.866199999999999</v>
      </c>
      <c r="I11609" t="s">
        <v>582</v>
      </c>
      <c r="L11609">
        <v>0</v>
      </c>
      <c r="M11609">
        <v>0</v>
      </c>
      <c r="N11609">
        <v>7</v>
      </c>
      <c r="O11609" t="s">
        <v>41177</v>
      </c>
    </row>
    <row r="11610" spans="1:15">
      <c r="A11610" t="s">
        <v>41178</v>
      </c>
      <c r="B11610" t="s">
        <v>6742</v>
      </c>
      <c r="C11610" t="s">
        <v>581</v>
      </c>
      <c r="D11610" t="s">
        <v>41179</v>
      </c>
      <c r="E11610" t="b">
        <v>0</v>
      </c>
      <c r="F11610" t="s">
        <v>11610</v>
      </c>
      <c r="L11610">
        <v>0</v>
      </c>
      <c r="M11610">
        <v>0</v>
      </c>
      <c r="N11610">
        <v>0</v>
      </c>
    </row>
    <row r="11611" spans="1:15">
      <c r="A11611" t="s">
        <v>41180</v>
      </c>
      <c r="B11611" t="s">
        <v>6742</v>
      </c>
      <c r="C11611" t="s">
        <v>581</v>
      </c>
      <c r="D11611" t="s">
        <v>41181</v>
      </c>
      <c r="E11611" t="b">
        <v>0</v>
      </c>
      <c r="F11611" t="s">
        <v>11610</v>
      </c>
      <c r="L11611">
        <v>0</v>
      </c>
      <c r="M11611">
        <v>0</v>
      </c>
      <c r="N11611">
        <v>0</v>
      </c>
    </row>
    <row r="11612" spans="1:15">
      <c r="A11612" t="s">
        <v>41182</v>
      </c>
      <c r="B11612" t="s">
        <v>6742</v>
      </c>
      <c r="C11612" t="s">
        <v>581</v>
      </c>
      <c r="D11612" t="s">
        <v>41183</v>
      </c>
      <c r="E11612" t="b">
        <v>0</v>
      </c>
      <c r="F11612" t="s">
        <v>11610</v>
      </c>
      <c r="L11612">
        <v>0</v>
      </c>
      <c r="M11612">
        <v>0</v>
      </c>
      <c r="N11612">
        <v>0</v>
      </c>
    </row>
    <row r="11613" spans="1:15">
      <c r="A11613" t="s">
        <v>11666</v>
      </c>
      <c r="B11613" t="s">
        <v>367</v>
      </c>
      <c r="C11613" t="s">
        <v>35743</v>
      </c>
      <c r="D11613" t="s">
        <v>41184</v>
      </c>
      <c r="E11613" t="b">
        <v>0</v>
      </c>
      <c r="F11613" t="s">
        <v>11624</v>
      </c>
      <c r="G11613">
        <v>4.2506399999999998</v>
      </c>
      <c r="H11613">
        <v>115.5</v>
      </c>
      <c r="I11613" t="s">
        <v>41185</v>
      </c>
      <c r="L11613">
        <v>0</v>
      </c>
      <c r="M11613">
        <v>0</v>
      </c>
      <c r="N11613">
        <v>11</v>
      </c>
      <c r="O11613" t="s">
        <v>31881</v>
      </c>
    </row>
    <row r="11614" spans="1:15">
      <c r="A11614" t="s">
        <v>41186</v>
      </c>
      <c r="B11614" t="s">
        <v>367</v>
      </c>
      <c r="C11614" t="s">
        <v>11666</v>
      </c>
      <c r="D11614" t="s">
        <v>41187</v>
      </c>
      <c r="E11614" t="b">
        <v>0</v>
      </c>
      <c r="F11614" t="s">
        <v>11610</v>
      </c>
      <c r="L11614">
        <v>0</v>
      </c>
      <c r="M11614">
        <v>0</v>
      </c>
      <c r="N11614">
        <v>0</v>
      </c>
    </row>
    <row r="11615" spans="1:15">
      <c r="A11615" t="s">
        <v>41188</v>
      </c>
      <c r="B11615" t="s">
        <v>367</v>
      </c>
      <c r="C11615" t="s">
        <v>11666</v>
      </c>
      <c r="D11615" t="s">
        <v>41189</v>
      </c>
      <c r="E11615" t="b">
        <v>0</v>
      </c>
      <c r="F11615" t="s">
        <v>11610</v>
      </c>
      <c r="L11615">
        <v>0</v>
      </c>
      <c r="M11615">
        <v>0</v>
      </c>
      <c r="N11615">
        <v>0</v>
      </c>
    </row>
    <row r="11616" spans="1:15">
      <c r="A11616" t="s">
        <v>19504</v>
      </c>
      <c r="B11616" t="s">
        <v>6742</v>
      </c>
      <c r="C11616" t="s">
        <v>15558</v>
      </c>
      <c r="D11616" t="s">
        <v>41190</v>
      </c>
      <c r="E11616" t="b">
        <v>0</v>
      </c>
      <c r="F11616" t="s">
        <v>11622</v>
      </c>
      <c r="L11616">
        <v>4</v>
      </c>
      <c r="M11616">
        <v>7</v>
      </c>
      <c r="N11616">
        <v>20</v>
      </c>
    </row>
    <row r="11617" spans="1:15">
      <c r="A11617" t="s">
        <v>41176</v>
      </c>
      <c r="B11617" t="s">
        <v>6742</v>
      </c>
      <c r="C11617" t="s">
        <v>41191</v>
      </c>
      <c r="D11617" t="s">
        <v>41192</v>
      </c>
      <c r="E11617" t="b">
        <v>0</v>
      </c>
      <c r="F11617" t="s">
        <v>11622</v>
      </c>
      <c r="L11617">
        <v>1</v>
      </c>
      <c r="M11617">
        <v>3</v>
      </c>
      <c r="N11617">
        <v>11</v>
      </c>
    </row>
    <row r="11618" spans="1:15">
      <c r="A11618" t="s">
        <v>41193</v>
      </c>
      <c r="B11618" t="s">
        <v>11644</v>
      </c>
      <c r="C11618" t="s">
        <v>28687</v>
      </c>
      <c r="D11618" t="s">
        <v>41194</v>
      </c>
      <c r="E11618" t="b">
        <v>0</v>
      </c>
      <c r="F11618" t="s">
        <v>11610</v>
      </c>
      <c r="L11618">
        <v>0</v>
      </c>
      <c r="M11618">
        <v>0</v>
      </c>
      <c r="N11618">
        <v>0</v>
      </c>
    </row>
    <row r="11619" spans="1:15">
      <c r="A11619" t="s">
        <v>41195</v>
      </c>
      <c r="B11619" t="s">
        <v>11644</v>
      </c>
      <c r="C11619" t="s">
        <v>28687</v>
      </c>
      <c r="D11619" t="s">
        <v>41196</v>
      </c>
      <c r="E11619" t="b">
        <v>0</v>
      </c>
      <c r="F11619" t="s">
        <v>11610</v>
      </c>
      <c r="L11619">
        <v>0</v>
      </c>
      <c r="M11619">
        <v>0</v>
      </c>
      <c r="N11619">
        <v>0</v>
      </c>
    </row>
    <row r="11620" spans="1:15">
      <c r="A11620" t="s">
        <v>41197</v>
      </c>
      <c r="B11620" t="s">
        <v>367</v>
      </c>
      <c r="C11620" t="s">
        <v>29132</v>
      </c>
      <c r="D11620" t="s">
        <v>41198</v>
      </c>
      <c r="E11620" t="b">
        <v>0</v>
      </c>
      <c r="F11620" t="s">
        <v>11624</v>
      </c>
      <c r="G11620">
        <v>-8.17469</v>
      </c>
      <c r="H11620">
        <v>156.57300000000001</v>
      </c>
      <c r="I11620" t="s">
        <v>41199</v>
      </c>
      <c r="L11620">
        <v>0</v>
      </c>
      <c r="M11620">
        <v>0</v>
      </c>
      <c r="N11620">
        <v>0</v>
      </c>
      <c r="O11620" t="s">
        <v>13346</v>
      </c>
    </row>
    <row r="11621" spans="1:15">
      <c r="A11621" t="s">
        <v>41200</v>
      </c>
      <c r="B11621" t="s">
        <v>11607</v>
      </c>
      <c r="C11621" t="s">
        <v>25288</v>
      </c>
      <c r="D11621" t="s">
        <v>41201</v>
      </c>
      <c r="E11621" t="b">
        <v>0</v>
      </c>
      <c r="F11621" t="s">
        <v>11610</v>
      </c>
      <c r="L11621">
        <v>0</v>
      </c>
      <c r="M11621">
        <v>0</v>
      </c>
      <c r="N11621">
        <v>0</v>
      </c>
    </row>
    <row r="11622" spans="1:15">
      <c r="A11622" t="s">
        <v>41202</v>
      </c>
      <c r="B11622" t="s">
        <v>11637</v>
      </c>
      <c r="C11622" t="s">
        <v>19284</v>
      </c>
      <c r="D11622" t="s">
        <v>41203</v>
      </c>
      <c r="E11622" t="b">
        <v>0</v>
      </c>
      <c r="F11622" t="s">
        <v>11610</v>
      </c>
      <c r="L11622">
        <v>0</v>
      </c>
      <c r="M11622">
        <v>0</v>
      </c>
      <c r="N11622">
        <v>0</v>
      </c>
    </row>
    <row r="11623" spans="1:15">
      <c r="A11623" t="s">
        <v>41204</v>
      </c>
      <c r="B11623" t="s">
        <v>6742</v>
      </c>
      <c r="C11623" t="s">
        <v>41205</v>
      </c>
      <c r="D11623" t="s">
        <v>41206</v>
      </c>
      <c r="E11623" t="b">
        <v>0</v>
      </c>
      <c r="F11623" t="s">
        <v>11610</v>
      </c>
      <c r="L11623">
        <v>0</v>
      </c>
      <c r="M11623">
        <v>0</v>
      </c>
      <c r="N11623">
        <v>0</v>
      </c>
    </row>
    <row r="11624" spans="1:15">
      <c r="A11624" t="s">
        <v>41207</v>
      </c>
      <c r="B11624" t="s">
        <v>11615</v>
      </c>
      <c r="C11624" t="s">
        <v>13254</v>
      </c>
      <c r="D11624" t="s">
        <v>41208</v>
      </c>
      <c r="E11624" t="b">
        <v>0</v>
      </c>
      <c r="F11624" t="s">
        <v>11610</v>
      </c>
      <c r="L11624">
        <v>0</v>
      </c>
      <c r="M11624">
        <v>0</v>
      </c>
      <c r="N11624">
        <v>0</v>
      </c>
    </row>
    <row r="11625" spans="1:15">
      <c r="A11625" t="s">
        <v>20531</v>
      </c>
      <c r="B11625" t="s">
        <v>11757</v>
      </c>
      <c r="C11625" t="s">
        <v>24874</v>
      </c>
      <c r="D11625" t="s">
        <v>41209</v>
      </c>
      <c r="E11625" t="b">
        <v>0</v>
      </c>
      <c r="F11625" t="s">
        <v>11622</v>
      </c>
      <c r="L11625">
        <v>6</v>
      </c>
      <c r="M11625">
        <v>15</v>
      </c>
      <c r="N11625">
        <v>19</v>
      </c>
    </row>
    <row r="11626" spans="1:15">
      <c r="A11626" t="s">
        <v>41210</v>
      </c>
      <c r="B11626" t="s">
        <v>11644</v>
      </c>
      <c r="C11626" t="s">
        <v>18520</v>
      </c>
      <c r="D11626" t="s">
        <v>41211</v>
      </c>
      <c r="E11626" t="b">
        <v>0</v>
      </c>
      <c r="F11626" t="s">
        <v>11610</v>
      </c>
      <c r="L11626">
        <v>0</v>
      </c>
      <c r="M11626">
        <v>0</v>
      </c>
      <c r="N11626">
        <v>0</v>
      </c>
    </row>
    <row r="11627" spans="1:15">
      <c r="A11627" t="s">
        <v>41212</v>
      </c>
      <c r="B11627" t="s">
        <v>11644</v>
      </c>
      <c r="C11627" t="s">
        <v>13869</v>
      </c>
      <c r="D11627" t="s">
        <v>41213</v>
      </c>
      <c r="E11627" t="b">
        <v>0</v>
      </c>
      <c r="F11627" t="s">
        <v>11610</v>
      </c>
      <c r="L11627">
        <v>0</v>
      </c>
      <c r="M11627">
        <v>0</v>
      </c>
      <c r="N11627">
        <v>0</v>
      </c>
    </row>
    <row r="11628" spans="1:15">
      <c r="A11628" t="s">
        <v>41214</v>
      </c>
      <c r="B11628" t="s">
        <v>6742</v>
      </c>
      <c r="C11628" t="s">
        <v>41215</v>
      </c>
      <c r="D11628" t="s">
        <v>41216</v>
      </c>
      <c r="E11628" t="b">
        <v>0</v>
      </c>
      <c r="F11628" t="s">
        <v>11624</v>
      </c>
      <c r="G11628">
        <v>5.9071999999999996</v>
      </c>
      <c r="H11628">
        <v>9.9125899999999998</v>
      </c>
      <c r="I11628" t="s">
        <v>41217</v>
      </c>
      <c r="L11628">
        <v>0</v>
      </c>
      <c r="M11628">
        <v>0</v>
      </c>
      <c r="N11628">
        <v>0</v>
      </c>
      <c r="O11628" t="s">
        <v>11703</v>
      </c>
    </row>
    <row r="11629" spans="1:15">
      <c r="A11629" t="s">
        <v>41218</v>
      </c>
      <c r="B11629" t="s">
        <v>5058</v>
      </c>
      <c r="C11629" t="s">
        <v>40037</v>
      </c>
      <c r="D11629" t="s">
        <v>41219</v>
      </c>
      <c r="E11629" t="b">
        <v>0</v>
      </c>
      <c r="F11629" t="s">
        <v>11610</v>
      </c>
      <c r="L11629">
        <v>0</v>
      </c>
      <c r="M11629">
        <v>0</v>
      </c>
      <c r="N11629">
        <v>0</v>
      </c>
    </row>
    <row r="11630" spans="1:15">
      <c r="A11630" t="s">
        <v>5990</v>
      </c>
      <c r="B11630" t="s">
        <v>11757</v>
      </c>
      <c r="C11630" t="s">
        <v>12052</v>
      </c>
      <c r="D11630" t="s">
        <v>41220</v>
      </c>
      <c r="E11630" t="b">
        <v>0</v>
      </c>
      <c r="F11630" t="s">
        <v>11624</v>
      </c>
      <c r="G11630">
        <v>-0.93296000000000001</v>
      </c>
      <c r="H11630">
        <v>34.489600000000003</v>
      </c>
      <c r="I11630" t="s">
        <v>7079</v>
      </c>
      <c r="L11630">
        <v>0</v>
      </c>
      <c r="M11630">
        <v>0</v>
      </c>
      <c r="N11630">
        <v>0</v>
      </c>
      <c r="O11630" t="s">
        <v>14933</v>
      </c>
    </row>
    <row r="11631" spans="1:15">
      <c r="A11631" t="s">
        <v>41221</v>
      </c>
      <c r="B11631" t="s">
        <v>11644</v>
      </c>
      <c r="C11631" t="s">
        <v>13869</v>
      </c>
      <c r="D11631" t="s">
        <v>41222</v>
      </c>
      <c r="E11631" t="b">
        <v>0</v>
      </c>
      <c r="F11631" t="s">
        <v>11610</v>
      </c>
      <c r="L11631">
        <v>0</v>
      </c>
      <c r="M11631">
        <v>0</v>
      </c>
      <c r="N11631">
        <v>0</v>
      </c>
    </row>
    <row r="11632" spans="1:15">
      <c r="A11632" t="s">
        <v>41223</v>
      </c>
      <c r="B11632" t="s">
        <v>5058</v>
      </c>
      <c r="C11632" t="s">
        <v>22892</v>
      </c>
      <c r="D11632" t="s">
        <v>41224</v>
      </c>
      <c r="E11632" t="b">
        <v>0</v>
      </c>
      <c r="F11632" t="s">
        <v>11624</v>
      </c>
      <c r="G11632">
        <v>26.818300000000001</v>
      </c>
      <c r="H11632">
        <v>107.158</v>
      </c>
      <c r="I11632" t="s">
        <v>41225</v>
      </c>
      <c r="L11632">
        <v>0</v>
      </c>
      <c r="M11632">
        <v>0</v>
      </c>
      <c r="N11632">
        <v>0</v>
      </c>
      <c r="O11632" t="s">
        <v>11905</v>
      </c>
    </row>
    <row r="11633" spans="1:15">
      <c r="A11633" t="s">
        <v>40815</v>
      </c>
      <c r="B11633" t="s">
        <v>11644</v>
      </c>
      <c r="C11633" t="s">
        <v>22268</v>
      </c>
      <c r="D11633" t="s">
        <v>41226</v>
      </c>
      <c r="E11633" t="b">
        <v>0</v>
      </c>
      <c r="F11633" t="s">
        <v>11610</v>
      </c>
      <c r="L11633">
        <v>0</v>
      </c>
      <c r="M11633">
        <v>0</v>
      </c>
      <c r="N11633">
        <v>3</v>
      </c>
    </row>
    <row r="11634" spans="1:15">
      <c r="A11634" t="s">
        <v>41227</v>
      </c>
      <c r="B11634" t="s">
        <v>11644</v>
      </c>
      <c r="C11634" t="s">
        <v>41228</v>
      </c>
      <c r="D11634" t="s">
        <v>41229</v>
      </c>
      <c r="E11634" t="b">
        <v>0</v>
      </c>
      <c r="F11634" t="s">
        <v>11610</v>
      </c>
      <c r="L11634">
        <v>0</v>
      </c>
      <c r="M11634">
        <v>0</v>
      </c>
      <c r="N11634">
        <v>0</v>
      </c>
    </row>
    <row r="11635" spans="1:15">
      <c r="A11635" t="s">
        <v>41230</v>
      </c>
      <c r="B11635" t="s">
        <v>367</v>
      </c>
      <c r="C11635" t="s">
        <v>14222</v>
      </c>
      <c r="D11635" t="s">
        <v>41231</v>
      </c>
      <c r="E11635" t="b">
        <v>0</v>
      </c>
      <c r="F11635" t="s">
        <v>11610</v>
      </c>
      <c r="L11635">
        <v>0</v>
      </c>
      <c r="M11635">
        <v>0</v>
      </c>
      <c r="N11635">
        <v>0</v>
      </c>
    </row>
    <row r="11636" spans="1:15">
      <c r="A11636" t="s">
        <v>41232</v>
      </c>
      <c r="B11636" t="s">
        <v>11644</v>
      </c>
      <c r="C11636" t="s">
        <v>41233</v>
      </c>
      <c r="D11636" t="s">
        <v>41234</v>
      </c>
      <c r="E11636" t="b">
        <v>0</v>
      </c>
      <c r="F11636" t="s">
        <v>11624</v>
      </c>
      <c r="G11636">
        <v>27.285</v>
      </c>
      <c r="H11636">
        <v>105.664</v>
      </c>
      <c r="L11636">
        <v>0</v>
      </c>
      <c r="M11636">
        <v>0</v>
      </c>
      <c r="N11636">
        <v>0</v>
      </c>
      <c r="O11636" t="s">
        <v>11905</v>
      </c>
    </row>
    <row r="11637" spans="1:15">
      <c r="A11637" t="s">
        <v>16121</v>
      </c>
      <c r="B11637" t="s">
        <v>11637</v>
      </c>
      <c r="C11637" t="s">
        <v>24575</v>
      </c>
      <c r="D11637" t="s">
        <v>41235</v>
      </c>
      <c r="E11637" t="b">
        <v>0</v>
      </c>
      <c r="F11637" t="s">
        <v>11622</v>
      </c>
      <c r="L11637">
        <v>0</v>
      </c>
      <c r="M11637">
        <v>3</v>
      </c>
      <c r="N11637">
        <v>16</v>
      </c>
    </row>
    <row r="11638" spans="1:15">
      <c r="A11638" t="s">
        <v>41236</v>
      </c>
      <c r="B11638" t="s">
        <v>11607</v>
      </c>
      <c r="C11638" t="s">
        <v>41237</v>
      </c>
      <c r="D11638" t="s">
        <v>41238</v>
      </c>
      <c r="E11638" t="b">
        <v>0</v>
      </c>
      <c r="F11638" t="s">
        <v>11624</v>
      </c>
      <c r="G11638">
        <v>10.058999999999999</v>
      </c>
      <c r="H11638">
        <v>9.5974500000000003</v>
      </c>
      <c r="I11638" t="s">
        <v>41239</v>
      </c>
      <c r="L11638">
        <v>0</v>
      </c>
      <c r="M11638">
        <v>0</v>
      </c>
      <c r="N11638">
        <v>0</v>
      </c>
      <c r="O11638" t="s">
        <v>11693</v>
      </c>
    </row>
    <row r="11639" spans="1:15">
      <c r="A11639" t="s">
        <v>24575</v>
      </c>
      <c r="B11639" t="s">
        <v>11637</v>
      </c>
      <c r="C11639" t="s">
        <v>17249</v>
      </c>
      <c r="D11639" t="s">
        <v>41240</v>
      </c>
      <c r="E11639" t="b">
        <v>0</v>
      </c>
      <c r="F11639" t="s">
        <v>11622</v>
      </c>
      <c r="L11639">
        <v>1</v>
      </c>
      <c r="M11639">
        <v>4</v>
      </c>
      <c r="N11639">
        <v>16</v>
      </c>
    </row>
    <row r="11640" spans="1:15">
      <c r="A11640" t="s">
        <v>41241</v>
      </c>
      <c r="B11640" t="s">
        <v>11637</v>
      </c>
      <c r="C11640" t="s">
        <v>23037</v>
      </c>
      <c r="D11640" t="s">
        <v>41242</v>
      </c>
      <c r="E11640" t="b">
        <v>0</v>
      </c>
      <c r="F11640" t="s">
        <v>11610</v>
      </c>
      <c r="L11640">
        <v>0</v>
      </c>
      <c r="M11640">
        <v>0</v>
      </c>
      <c r="N11640">
        <v>0</v>
      </c>
    </row>
    <row r="11641" spans="1:15">
      <c r="A11641" t="s">
        <v>41243</v>
      </c>
      <c r="B11641" t="s">
        <v>6742</v>
      </c>
      <c r="C11641" t="s">
        <v>18583</v>
      </c>
      <c r="D11641" t="s">
        <v>41244</v>
      </c>
      <c r="E11641" t="b">
        <v>0</v>
      </c>
      <c r="F11641" t="s">
        <v>11610</v>
      </c>
      <c r="L11641">
        <v>0</v>
      </c>
      <c r="M11641">
        <v>0</v>
      </c>
      <c r="N11641">
        <v>0</v>
      </c>
    </row>
    <row r="11642" spans="1:15">
      <c r="A11642" t="s">
        <v>20319</v>
      </c>
      <c r="B11642" t="s">
        <v>6742</v>
      </c>
      <c r="C11642" t="s">
        <v>41245</v>
      </c>
      <c r="D11642" t="s">
        <v>41246</v>
      </c>
      <c r="E11642" t="b">
        <v>0</v>
      </c>
      <c r="F11642" t="s">
        <v>11624</v>
      </c>
      <c r="G11642">
        <v>0.16988</v>
      </c>
      <c r="H11642">
        <v>18.399100000000001</v>
      </c>
      <c r="I11642" t="s">
        <v>41247</v>
      </c>
      <c r="L11642">
        <v>0</v>
      </c>
      <c r="M11642">
        <v>0</v>
      </c>
      <c r="N11642">
        <v>14</v>
      </c>
      <c r="O11642" t="s">
        <v>14825</v>
      </c>
    </row>
    <row r="11643" spans="1:15">
      <c r="A11643" t="s">
        <v>41248</v>
      </c>
      <c r="B11643" t="s">
        <v>6742</v>
      </c>
      <c r="C11643" t="s">
        <v>20319</v>
      </c>
      <c r="D11643" t="s">
        <v>41249</v>
      </c>
      <c r="E11643" t="b">
        <v>0</v>
      </c>
      <c r="F11643" t="s">
        <v>11610</v>
      </c>
      <c r="L11643">
        <v>0</v>
      </c>
      <c r="M11643">
        <v>0</v>
      </c>
      <c r="N11643">
        <v>0</v>
      </c>
    </row>
    <row r="11644" spans="1:15">
      <c r="A11644" t="s">
        <v>41250</v>
      </c>
      <c r="B11644" t="s">
        <v>11644</v>
      </c>
      <c r="C11644" t="s">
        <v>18950</v>
      </c>
      <c r="D11644" t="s">
        <v>41251</v>
      </c>
      <c r="E11644" t="b">
        <v>0</v>
      </c>
      <c r="F11644" t="s">
        <v>11610</v>
      </c>
      <c r="L11644">
        <v>0</v>
      </c>
      <c r="M11644">
        <v>0</v>
      </c>
      <c r="N11644">
        <v>0</v>
      </c>
    </row>
    <row r="11645" spans="1:15">
      <c r="A11645" t="s">
        <v>27713</v>
      </c>
      <c r="B11645" t="s">
        <v>11644</v>
      </c>
      <c r="C11645" t="s">
        <v>31260</v>
      </c>
      <c r="D11645" t="s">
        <v>41252</v>
      </c>
      <c r="E11645" t="b">
        <v>0</v>
      </c>
      <c r="F11645" t="s">
        <v>11624</v>
      </c>
      <c r="G11645">
        <v>22.613800000000001</v>
      </c>
      <c r="H11645">
        <v>92.624700000000004</v>
      </c>
      <c r="I11645" t="s">
        <v>41253</v>
      </c>
      <c r="L11645">
        <v>0</v>
      </c>
      <c r="M11645">
        <v>0</v>
      </c>
      <c r="N11645">
        <v>6</v>
      </c>
      <c r="O11645" t="s">
        <v>17541</v>
      </c>
    </row>
    <row r="11646" spans="1:15">
      <c r="A11646" t="s">
        <v>41254</v>
      </c>
      <c r="B11646" t="s">
        <v>6742</v>
      </c>
      <c r="C11646" t="s">
        <v>41117</v>
      </c>
      <c r="D11646" t="s">
        <v>41255</v>
      </c>
      <c r="E11646" t="b">
        <v>0</v>
      </c>
      <c r="F11646" t="s">
        <v>11610</v>
      </c>
      <c r="L11646">
        <v>0</v>
      </c>
      <c r="M11646">
        <v>0</v>
      </c>
      <c r="N11646">
        <v>0</v>
      </c>
    </row>
    <row r="11647" spans="1:15">
      <c r="A11647" t="s">
        <v>41256</v>
      </c>
      <c r="B11647" t="s">
        <v>9071</v>
      </c>
      <c r="C11647" t="s">
        <v>21688</v>
      </c>
      <c r="D11647" t="s">
        <v>41257</v>
      </c>
      <c r="E11647" t="b">
        <v>0</v>
      </c>
      <c r="F11647" t="s">
        <v>11622</v>
      </c>
      <c r="L11647">
        <v>0</v>
      </c>
      <c r="M11647">
        <v>2</v>
      </c>
      <c r="N11647">
        <v>8</v>
      </c>
    </row>
    <row r="11648" spans="1:15">
      <c r="A11648" t="s">
        <v>41258</v>
      </c>
      <c r="B11648" t="s">
        <v>9071</v>
      </c>
      <c r="C11648" t="s">
        <v>41256</v>
      </c>
      <c r="D11648" t="s">
        <v>41259</v>
      </c>
      <c r="E11648" t="b">
        <v>0</v>
      </c>
      <c r="F11648" t="s">
        <v>11624</v>
      </c>
      <c r="G11648">
        <v>48.42</v>
      </c>
      <c r="H11648">
        <v>-122.529</v>
      </c>
      <c r="I11648" t="s">
        <v>41260</v>
      </c>
      <c r="L11648">
        <v>0</v>
      </c>
      <c r="M11648">
        <v>0</v>
      </c>
      <c r="N11648">
        <v>2</v>
      </c>
      <c r="O11648" t="s">
        <v>11944</v>
      </c>
    </row>
    <row r="11649" spans="1:15">
      <c r="A11649" t="s">
        <v>41261</v>
      </c>
      <c r="B11649" t="s">
        <v>11607</v>
      </c>
      <c r="C11649" t="s">
        <v>24079</v>
      </c>
      <c r="D11649" t="s">
        <v>41262</v>
      </c>
      <c r="E11649" t="b">
        <v>0</v>
      </c>
      <c r="F11649" t="s">
        <v>11610</v>
      </c>
      <c r="L11649">
        <v>0</v>
      </c>
      <c r="M11649">
        <v>0</v>
      </c>
      <c r="N11649">
        <v>0</v>
      </c>
    </row>
    <row r="11650" spans="1:15">
      <c r="A11650" t="s">
        <v>41263</v>
      </c>
      <c r="B11650" t="s">
        <v>6742</v>
      </c>
      <c r="C11650" t="s">
        <v>37524</v>
      </c>
      <c r="D11650" t="s">
        <v>41264</v>
      </c>
      <c r="E11650" t="b">
        <v>0</v>
      </c>
      <c r="F11650" t="s">
        <v>11610</v>
      </c>
      <c r="L11650">
        <v>0</v>
      </c>
      <c r="M11650">
        <v>0</v>
      </c>
      <c r="N11650">
        <v>0</v>
      </c>
    </row>
    <row r="11651" spans="1:15">
      <c r="A11651" t="s">
        <v>41265</v>
      </c>
      <c r="B11651" t="s">
        <v>11637</v>
      </c>
      <c r="C11651" t="s">
        <v>11637</v>
      </c>
      <c r="D11651" t="s">
        <v>41266</v>
      </c>
      <c r="E11651" t="b">
        <v>0</v>
      </c>
      <c r="F11651" t="s">
        <v>11624</v>
      </c>
      <c r="G11651">
        <v>39.943975000000002</v>
      </c>
      <c r="H11651">
        <v>-8.105283</v>
      </c>
      <c r="I11651" t="s">
        <v>41267</v>
      </c>
      <c r="L11651">
        <v>0</v>
      </c>
      <c r="M11651">
        <v>0</v>
      </c>
      <c r="N11651">
        <v>0</v>
      </c>
      <c r="O11651" t="s">
        <v>13707</v>
      </c>
    </row>
    <row r="11652" spans="1:15">
      <c r="A11652" t="s">
        <v>34430</v>
      </c>
      <c r="B11652" t="s">
        <v>367</v>
      </c>
      <c r="C11652" t="s">
        <v>34427</v>
      </c>
      <c r="D11652" t="s">
        <v>41268</v>
      </c>
      <c r="E11652" t="b">
        <v>0</v>
      </c>
      <c r="F11652" t="s">
        <v>11624</v>
      </c>
      <c r="G11652">
        <v>-5.5503299999999998</v>
      </c>
      <c r="H11652">
        <v>149.148</v>
      </c>
      <c r="I11652" t="s">
        <v>41269</v>
      </c>
      <c r="L11652">
        <v>0</v>
      </c>
      <c r="M11652">
        <v>0</v>
      </c>
      <c r="N11652">
        <v>1</v>
      </c>
      <c r="O11652" t="s">
        <v>11660</v>
      </c>
    </row>
    <row r="11653" spans="1:15">
      <c r="A11653" t="s">
        <v>41270</v>
      </c>
      <c r="B11653" t="s">
        <v>11637</v>
      </c>
      <c r="C11653" t="s">
        <v>19849</v>
      </c>
      <c r="D11653" t="s">
        <v>41271</v>
      </c>
      <c r="E11653" t="b">
        <v>0</v>
      </c>
      <c r="F11653" t="s">
        <v>11622</v>
      </c>
      <c r="L11653">
        <v>0</v>
      </c>
      <c r="M11653">
        <v>3</v>
      </c>
      <c r="N11653">
        <v>2</v>
      </c>
    </row>
    <row r="11654" spans="1:15">
      <c r="A11654" t="s">
        <v>41272</v>
      </c>
      <c r="B11654" t="s">
        <v>6742</v>
      </c>
      <c r="C11654" t="s">
        <v>16664</v>
      </c>
      <c r="D11654" t="s">
        <v>41273</v>
      </c>
      <c r="E11654" t="b">
        <v>0</v>
      </c>
      <c r="F11654" t="s">
        <v>11610</v>
      </c>
      <c r="L11654">
        <v>0</v>
      </c>
      <c r="M11654">
        <v>0</v>
      </c>
      <c r="N11654">
        <v>0</v>
      </c>
    </row>
    <row r="11655" spans="1:15">
      <c r="A11655" t="s">
        <v>41274</v>
      </c>
      <c r="B11655" t="s">
        <v>367</v>
      </c>
      <c r="C11655" t="s">
        <v>16228</v>
      </c>
      <c r="D11655" t="s">
        <v>41275</v>
      </c>
      <c r="E11655" t="b">
        <v>0</v>
      </c>
      <c r="F11655" t="s">
        <v>11610</v>
      </c>
      <c r="L11655">
        <v>0</v>
      </c>
      <c r="M11655">
        <v>0</v>
      </c>
      <c r="N11655">
        <v>0</v>
      </c>
    </row>
    <row r="11656" spans="1:15">
      <c r="A11656" t="s">
        <v>41276</v>
      </c>
      <c r="B11656" t="s">
        <v>10597</v>
      </c>
      <c r="C11656" t="s">
        <v>41277</v>
      </c>
      <c r="D11656" t="s">
        <v>41278</v>
      </c>
      <c r="E11656" t="b">
        <v>0</v>
      </c>
      <c r="F11656" t="s">
        <v>11610</v>
      </c>
      <c r="L11656">
        <v>0</v>
      </c>
      <c r="M11656">
        <v>0</v>
      </c>
      <c r="N11656">
        <v>0</v>
      </c>
    </row>
    <row r="11657" spans="1:15">
      <c r="A11657" t="s">
        <v>41279</v>
      </c>
      <c r="B11657" t="s">
        <v>11644</v>
      </c>
      <c r="C11657" t="s">
        <v>39421</v>
      </c>
      <c r="D11657" t="s">
        <v>41280</v>
      </c>
      <c r="E11657" t="b">
        <v>0</v>
      </c>
      <c r="F11657" t="s">
        <v>11610</v>
      </c>
      <c r="L11657">
        <v>0</v>
      </c>
      <c r="M11657">
        <v>0</v>
      </c>
      <c r="N11657">
        <v>0</v>
      </c>
    </row>
    <row r="11658" spans="1:15">
      <c r="A11658" t="s">
        <v>41281</v>
      </c>
      <c r="B11658" t="s">
        <v>6742</v>
      </c>
      <c r="C11658" t="s">
        <v>25102</v>
      </c>
      <c r="D11658" t="s">
        <v>41282</v>
      </c>
      <c r="E11658" t="b">
        <v>0</v>
      </c>
      <c r="F11658" t="s">
        <v>11610</v>
      </c>
      <c r="L11658">
        <v>0</v>
      </c>
      <c r="M11658">
        <v>0</v>
      </c>
      <c r="N11658">
        <v>0</v>
      </c>
    </row>
    <row r="11659" spans="1:15">
      <c r="A11659" t="s">
        <v>37259</v>
      </c>
      <c r="B11659" t="s">
        <v>11729</v>
      </c>
      <c r="C11659" t="s">
        <v>41283</v>
      </c>
      <c r="D11659" t="s">
        <v>41284</v>
      </c>
      <c r="E11659" t="b">
        <v>0</v>
      </c>
      <c r="F11659" t="s">
        <v>11624</v>
      </c>
      <c r="G11659">
        <v>8.52074</v>
      </c>
      <c r="H11659">
        <v>19.007100000000001</v>
      </c>
      <c r="I11659" t="s">
        <v>41285</v>
      </c>
      <c r="L11659">
        <v>0</v>
      </c>
      <c r="M11659">
        <v>0</v>
      </c>
      <c r="N11659">
        <v>4</v>
      </c>
      <c r="O11659" t="s">
        <v>15847</v>
      </c>
    </row>
    <row r="11660" spans="1:15">
      <c r="A11660" t="s">
        <v>41286</v>
      </c>
      <c r="B11660" t="s">
        <v>331</v>
      </c>
      <c r="C11660" t="s">
        <v>28387</v>
      </c>
      <c r="D11660" t="s">
        <v>41287</v>
      </c>
      <c r="E11660" t="b">
        <v>0</v>
      </c>
      <c r="F11660" t="s">
        <v>11610</v>
      </c>
      <c r="L11660">
        <v>0</v>
      </c>
      <c r="M11660">
        <v>0</v>
      </c>
      <c r="N11660">
        <v>0</v>
      </c>
    </row>
    <row r="11661" spans="1:15">
      <c r="A11661" t="s">
        <v>41288</v>
      </c>
      <c r="B11661" t="s">
        <v>12260</v>
      </c>
      <c r="C11661" t="s">
        <v>39730</v>
      </c>
      <c r="D11661" t="s">
        <v>41289</v>
      </c>
      <c r="E11661" t="b">
        <v>0</v>
      </c>
      <c r="F11661" t="s">
        <v>11610</v>
      </c>
      <c r="L11661">
        <v>0</v>
      </c>
      <c r="M11661">
        <v>0</v>
      </c>
      <c r="N11661">
        <v>0</v>
      </c>
    </row>
    <row r="11662" spans="1:15">
      <c r="A11662" t="s">
        <v>41290</v>
      </c>
      <c r="B11662" t="s">
        <v>6742</v>
      </c>
      <c r="C11662" t="s">
        <v>17881</v>
      </c>
      <c r="D11662" t="s">
        <v>41291</v>
      </c>
      <c r="E11662" t="b">
        <v>0</v>
      </c>
      <c r="F11662" t="s">
        <v>11610</v>
      </c>
      <c r="L11662">
        <v>0</v>
      </c>
      <c r="M11662">
        <v>0</v>
      </c>
      <c r="N11662">
        <v>0</v>
      </c>
    </row>
    <row r="11663" spans="1:15">
      <c r="A11663" t="s">
        <v>41292</v>
      </c>
      <c r="B11663" t="s">
        <v>5126</v>
      </c>
      <c r="C11663" t="s">
        <v>41081</v>
      </c>
      <c r="D11663" t="s">
        <v>41293</v>
      </c>
      <c r="E11663" t="b">
        <v>0</v>
      </c>
      <c r="F11663" t="s">
        <v>11624</v>
      </c>
      <c r="G11663">
        <v>21.0321</v>
      </c>
      <c r="H11663">
        <v>101.282</v>
      </c>
      <c r="I11663" t="s">
        <v>41294</v>
      </c>
      <c r="L11663">
        <v>0</v>
      </c>
      <c r="M11663">
        <v>0</v>
      </c>
      <c r="N11663">
        <v>0</v>
      </c>
      <c r="O11663" t="s">
        <v>12731</v>
      </c>
    </row>
    <row r="11664" spans="1:15">
      <c r="A11664" t="s">
        <v>41295</v>
      </c>
      <c r="B11664" t="s">
        <v>11729</v>
      </c>
      <c r="C11664" t="s">
        <v>11730</v>
      </c>
      <c r="D11664" t="s">
        <v>41296</v>
      </c>
      <c r="E11664" t="b">
        <v>0</v>
      </c>
      <c r="F11664" t="s">
        <v>11610</v>
      </c>
      <c r="L11664">
        <v>0</v>
      </c>
      <c r="M11664">
        <v>0</v>
      </c>
      <c r="N11664">
        <v>0</v>
      </c>
    </row>
    <row r="11665" spans="1:15">
      <c r="A11665" t="s">
        <v>41297</v>
      </c>
      <c r="B11665" t="s">
        <v>6742</v>
      </c>
      <c r="C11665" t="s">
        <v>22802</v>
      </c>
      <c r="D11665" t="s">
        <v>41298</v>
      </c>
      <c r="E11665" t="b">
        <v>0</v>
      </c>
      <c r="F11665" t="s">
        <v>11624</v>
      </c>
      <c r="G11665">
        <v>-13.5382</v>
      </c>
      <c r="H11665">
        <v>22.292400000000001</v>
      </c>
      <c r="I11665" t="s">
        <v>41299</v>
      </c>
      <c r="L11665">
        <v>0</v>
      </c>
      <c r="M11665">
        <v>0</v>
      </c>
      <c r="N11665">
        <v>0</v>
      </c>
      <c r="O11665" t="s">
        <v>41300</v>
      </c>
    </row>
    <row r="11666" spans="1:15">
      <c r="A11666" t="s">
        <v>21127</v>
      </c>
      <c r="B11666" t="s">
        <v>11637</v>
      </c>
      <c r="C11666" t="s">
        <v>13637</v>
      </c>
      <c r="D11666" t="s">
        <v>41301</v>
      </c>
      <c r="E11666" t="b">
        <v>0</v>
      </c>
      <c r="F11666" t="s">
        <v>11622</v>
      </c>
      <c r="L11666">
        <v>3</v>
      </c>
      <c r="M11666">
        <v>6</v>
      </c>
      <c r="N11666">
        <v>0</v>
      </c>
    </row>
    <row r="11667" spans="1:15">
      <c r="A11667" t="s">
        <v>23617</v>
      </c>
      <c r="B11667" t="s">
        <v>11637</v>
      </c>
      <c r="C11667" t="s">
        <v>21127</v>
      </c>
      <c r="D11667" t="s">
        <v>41302</v>
      </c>
      <c r="E11667" t="b">
        <v>0</v>
      </c>
      <c r="F11667" t="s">
        <v>11622</v>
      </c>
      <c r="L11667">
        <v>0</v>
      </c>
      <c r="M11667">
        <v>2</v>
      </c>
      <c r="N11667">
        <v>0</v>
      </c>
    </row>
    <row r="11668" spans="1:15">
      <c r="A11668" t="s">
        <v>41303</v>
      </c>
      <c r="B11668" t="s">
        <v>6742</v>
      </c>
      <c r="C11668" t="s">
        <v>473</v>
      </c>
      <c r="D11668" t="s">
        <v>41304</v>
      </c>
      <c r="E11668" t="b">
        <v>0</v>
      </c>
      <c r="F11668" t="s">
        <v>11610</v>
      </c>
      <c r="L11668">
        <v>0</v>
      </c>
      <c r="M11668">
        <v>0</v>
      </c>
      <c r="N11668">
        <v>0</v>
      </c>
    </row>
    <row r="11669" spans="1:15">
      <c r="A11669" t="s">
        <v>41305</v>
      </c>
      <c r="B11669" t="s">
        <v>11637</v>
      </c>
      <c r="C11669" t="s">
        <v>33955</v>
      </c>
      <c r="D11669" t="s">
        <v>41306</v>
      </c>
      <c r="E11669" t="b">
        <v>0</v>
      </c>
      <c r="F11669" t="s">
        <v>11624</v>
      </c>
      <c r="G11669">
        <v>23.632200000000001</v>
      </c>
      <c r="H11669">
        <v>58.491599999999998</v>
      </c>
      <c r="I11669" t="s">
        <v>41307</v>
      </c>
      <c r="L11669">
        <v>0</v>
      </c>
      <c r="M11669">
        <v>0</v>
      </c>
      <c r="N11669">
        <v>0</v>
      </c>
      <c r="O11669" t="s">
        <v>24663</v>
      </c>
    </row>
    <row r="11670" spans="1:15">
      <c r="A11670" t="s">
        <v>41308</v>
      </c>
      <c r="B11670" t="s">
        <v>11607</v>
      </c>
      <c r="C11670" t="s">
        <v>31611</v>
      </c>
      <c r="D11670" t="s">
        <v>41309</v>
      </c>
      <c r="E11670" t="b">
        <v>0</v>
      </c>
      <c r="F11670" t="s">
        <v>11610</v>
      </c>
      <c r="L11670">
        <v>0</v>
      </c>
      <c r="M11670">
        <v>0</v>
      </c>
      <c r="N11670">
        <v>0</v>
      </c>
    </row>
    <row r="11671" spans="1:15">
      <c r="A11671" t="s">
        <v>41310</v>
      </c>
      <c r="B11671" t="s">
        <v>11757</v>
      </c>
      <c r="C11671" t="s">
        <v>14032</v>
      </c>
      <c r="D11671" t="s">
        <v>41311</v>
      </c>
      <c r="E11671" t="b">
        <v>0</v>
      </c>
      <c r="F11671" t="s">
        <v>11624</v>
      </c>
      <c r="G11671">
        <v>7.3508899999999997</v>
      </c>
      <c r="H11671">
        <v>28.137799999999999</v>
      </c>
      <c r="I11671" t="s">
        <v>41312</v>
      </c>
      <c r="L11671">
        <v>0</v>
      </c>
      <c r="M11671">
        <v>0</v>
      </c>
      <c r="N11671">
        <v>0</v>
      </c>
      <c r="O11671" t="s">
        <v>11910</v>
      </c>
    </row>
    <row r="11672" spans="1:15">
      <c r="A11672" t="s">
        <v>41313</v>
      </c>
      <c r="B11672" t="s">
        <v>367</v>
      </c>
      <c r="C11672" t="s">
        <v>17148</v>
      </c>
      <c r="D11672" t="s">
        <v>41314</v>
      </c>
      <c r="E11672" t="b">
        <v>0</v>
      </c>
      <c r="F11672" t="s">
        <v>11610</v>
      </c>
      <c r="L11672">
        <v>0</v>
      </c>
      <c r="M11672">
        <v>0</v>
      </c>
      <c r="N11672">
        <v>0</v>
      </c>
    </row>
    <row r="11673" spans="1:15">
      <c r="A11673" t="s">
        <v>26683</v>
      </c>
      <c r="B11673" t="s">
        <v>11637</v>
      </c>
      <c r="C11673" t="s">
        <v>41315</v>
      </c>
      <c r="D11673" t="s">
        <v>41316</v>
      </c>
      <c r="E11673" t="b">
        <v>0</v>
      </c>
      <c r="F11673" t="s">
        <v>11624</v>
      </c>
      <c r="G11673">
        <v>49.683900000000001</v>
      </c>
      <c r="H11673">
        <v>6.1493099999999998</v>
      </c>
      <c r="I11673" t="s">
        <v>41317</v>
      </c>
      <c r="L11673">
        <v>0</v>
      </c>
      <c r="M11673">
        <v>0</v>
      </c>
      <c r="N11673">
        <v>14</v>
      </c>
      <c r="O11673" t="s">
        <v>41318</v>
      </c>
    </row>
    <row r="11674" spans="1:15">
      <c r="A11674" t="s">
        <v>41319</v>
      </c>
      <c r="B11674" t="s">
        <v>11637</v>
      </c>
      <c r="C11674" t="s">
        <v>40778</v>
      </c>
      <c r="D11674" t="s">
        <v>41320</v>
      </c>
      <c r="E11674" t="b">
        <v>0</v>
      </c>
      <c r="F11674" t="s">
        <v>11610</v>
      </c>
      <c r="L11674">
        <v>0</v>
      </c>
      <c r="M11674">
        <v>0</v>
      </c>
      <c r="N11674">
        <v>0</v>
      </c>
    </row>
    <row r="11675" spans="1:15">
      <c r="A11675" t="s">
        <v>40778</v>
      </c>
      <c r="B11675" t="s">
        <v>11637</v>
      </c>
      <c r="C11675" t="s">
        <v>41321</v>
      </c>
      <c r="D11675" t="s">
        <v>41322</v>
      </c>
      <c r="E11675" t="b">
        <v>0</v>
      </c>
      <c r="F11675" t="s">
        <v>11610</v>
      </c>
      <c r="L11675">
        <v>0</v>
      </c>
      <c r="M11675">
        <v>0</v>
      </c>
      <c r="N11675">
        <v>4</v>
      </c>
    </row>
    <row r="11676" spans="1:15">
      <c r="A11676" t="s">
        <v>41323</v>
      </c>
      <c r="B11676" t="s">
        <v>11644</v>
      </c>
      <c r="C11676" t="s">
        <v>11889</v>
      </c>
      <c r="D11676" t="s">
        <v>41324</v>
      </c>
      <c r="E11676" t="b">
        <v>0</v>
      </c>
      <c r="F11676" t="s">
        <v>11624</v>
      </c>
      <c r="L11676">
        <v>0</v>
      </c>
      <c r="M11676">
        <v>0</v>
      </c>
      <c r="N11676">
        <v>0</v>
      </c>
      <c r="O11676" t="s">
        <v>11905</v>
      </c>
    </row>
    <row r="11677" spans="1:15">
      <c r="A11677" t="s">
        <v>41325</v>
      </c>
      <c r="B11677" t="s">
        <v>11644</v>
      </c>
      <c r="C11677" t="s">
        <v>16856</v>
      </c>
      <c r="D11677" t="s">
        <v>41326</v>
      </c>
      <c r="E11677" t="b">
        <v>0</v>
      </c>
      <c r="F11677" t="s">
        <v>11610</v>
      </c>
      <c r="L11677">
        <v>0</v>
      </c>
      <c r="M11677">
        <v>0</v>
      </c>
      <c r="N11677">
        <v>0</v>
      </c>
    </row>
    <row r="11678" spans="1:15">
      <c r="A11678" t="s">
        <v>38648</v>
      </c>
      <c r="B11678" t="s">
        <v>6742</v>
      </c>
      <c r="C11678" t="s">
        <v>26551</v>
      </c>
      <c r="D11678" t="s">
        <v>41327</v>
      </c>
      <c r="E11678" t="b">
        <v>0</v>
      </c>
      <c r="F11678" t="s">
        <v>11624</v>
      </c>
      <c r="G11678">
        <v>-15.01</v>
      </c>
      <c r="H11678">
        <v>22.67</v>
      </c>
      <c r="I11678" t="s">
        <v>41328</v>
      </c>
      <c r="L11678">
        <v>0</v>
      </c>
      <c r="M11678">
        <v>0</v>
      </c>
      <c r="N11678">
        <v>5</v>
      </c>
      <c r="O11678" t="s">
        <v>41067</v>
      </c>
    </row>
    <row r="11679" spans="1:15">
      <c r="A11679" t="s">
        <v>41329</v>
      </c>
      <c r="B11679" t="s">
        <v>21668</v>
      </c>
      <c r="C11679" t="s">
        <v>41330</v>
      </c>
      <c r="D11679" t="s">
        <v>41331</v>
      </c>
      <c r="E11679" t="b">
        <v>0</v>
      </c>
      <c r="F11679" t="s">
        <v>11610</v>
      </c>
      <c r="L11679">
        <v>0</v>
      </c>
      <c r="M11679">
        <v>0</v>
      </c>
      <c r="N11679">
        <v>0</v>
      </c>
    </row>
    <row r="11680" spans="1:15">
      <c r="A11680" t="s">
        <v>1066</v>
      </c>
      <c r="B11680" t="s">
        <v>6742</v>
      </c>
      <c r="C11680" t="s">
        <v>29734</v>
      </c>
      <c r="D11680" t="s">
        <v>41332</v>
      </c>
      <c r="E11680" t="b">
        <v>0</v>
      </c>
      <c r="F11680" t="s">
        <v>11622</v>
      </c>
      <c r="L11680">
        <v>5</v>
      </c>
      <c r="M11680">
        <v>15</v>
      </c>
      <c r="N11680">
        <v>10</v>
      </c>
    </row>
    <row r="11681" spans="1:15">
      <c r="A11681" t="s">
        <v>41333</v>
      </c>
      <c r="B11681" t="s">
        <v>6742</v>
      </c>
      <c r="C11681" t="s">
        <v>18712</v>
      </c>
      <c r="D11681" t="s">
        <v>41334</v>
      </c>
      <c r="E11681" t="b">
        <v>0</v>
      </c>
      <c r="F11681" t="s">
        <v>11624</v>
      </c>
      <c r="G11681">
        <v>-7.1638799999999998</v>
      </c>
      <c r="H11681">
        <v>22.1097</v>
      </c>
      <c r="I11681" t="s">
        <v>41335</v>
      </c>
      <c r="L11681">
        <v>0</v>
      </c>
      <c r="M11681">
        <v>0</v>
      </c>
      <c r="N11681">
        <v>0</v>
      </c>
      <c r="O11681" t="s">
        <v>31379</v>
      </c>
    </row>
    <row r="11682" spans="1:15">
      <c r="A11682" t="s">
        <v>41336</v>
      </c>
      <c r="B11682" t="s">
        <v>6742</v>
      </c>
      <c r="C11682" t="s">
        <v>17908</v>
      </c>
      <c r="D11682" t="s">
        <v>41337</v>
      </c>
      <c r="E11682" t="b">
        <v>0</v>
      </c>
      <c r="F11682" t="s">
        <v>11610</v>
      </c>
      <c r="G11682">
        <v>-9.3404000000000007</v>
      </c>
      <c r="H11682">
        <v>35.276350000000001</v>
      </c>
      <c r="L11682">
        <v>0</v>
      </c>
      <c r="M11682">
        <v>0</v>
      </c>
      <c r="N11682">
        <v>0</v>
      </c>
    </row>
    <row r="11683" spans="1:15">
      <c r="A11683" t="s">
        <v>41338</v>
      </c>
      <c r="B11683" t="s">
        <v>6742</v>
      </c>
      <c r="C11683" t="s">
        <v>19335</v>
      </c>
      <c r="D11683" t="s">
        <v>41339</v>
      </c>
      <c r="E11683" t="b">
        <v>0</v>
      </c>
      <c r="F11683" t="s">
        <v>11624</v>
      </c>
      <c r="G11683">
        <v>-4.3847500000000004</v>
      </c>
      <c r="H11683">
        <v>20.631399999999999</v>
      </c>
      <c r="L11683">
        <v>0</v>
      </c>
      <c r="M11683">
        <v>0</v>
      </c>
      <c r="N11683">
        <v>0</v>
      </c>
      <c r="O11683" t="s">
        <v>14825</v>
      </c>
    </row>
    <row r="11684" spans="1:15">
      <c r="A11684" t="s">
        <v>41340</v>
      </c>
      <c r="B11684" t="s">
        <v>12260</v>
      </c>
      <c r="C11684" t="s">
        <v>12264</v>
      </c>
      <c r="D11684" t="s">
        <v>41341</v>
      </c>
      <c r="E11684" t="b">
        <v>0</v>
      </c>
      <c r="F11684" t="s">
        <v>11610</v>
      </c>
      <c r="L11684">
        <v>0</v>
      </c>
      <c r="M11684">
        <v>0</v>
      </c>
      <c r="N11684">
        <v>0</v>
      </c>
    </row>
    <row r="11685" spans="1:15">
      <c r="A11685" t="s">
        <v>41342</v>
      </c>
      <c r="B11685" t="s">
        <v>11637</v>
      </c>
      <c r="C11685" t="s">
        <v>41343</v>
      </c>
      <c r="D11685" t="s">
        <v>41344</v>
      </c>
      <c r="E11685" t="b">
        <v>0</v>
      </c>
      <c r="F11685" t="s">
        <v>11624</v>
      </c>
      <c r="G11685">
        <v>36.517000000000003</v>
      </c>
      <c r="H11685">
        <v>29.763999999999999</v>
      </c>
      <c r="I11685" t="s">
        <v>41345</v>
      </c>
      <c r="L11685">
        <v>0</v>
      </c>
      <c r="M11685">
        <v>0</v>
      </c>
      <c r="N11685">
        <v>0</v>
      </c>
      <c r="O11685" t="s">
        <v>16254</v>
      </c>
    </row>
    <row r="11686" spans="1:15">
      <c r="A11686" t="s">
        <v>41343</v>
      </c>
      <c r="B11686" t="s">
        <v>11637</v>
      </c>
      <c r="C11686" t="s">
        <v>21127</v>
      </c>
      <c r="D11686" t="s">
        <v>41346</v>
      </c>
      <c r="E11686" t="b">
        <v>0</v>
      </c>
      <c r="F11686" t="s">
        <v>11622</v>
      </c>
      <c r="L11686">
        <v>0</v>
      </c>
      <c r="M11686">
        <v>2</v>
      </c>
      <c r="N11686">
        <v>0</v>
      </c>
    </row>
    <row r="11687" spans="1:15">
      <c r="A11687" t="s">
        <v>41347</v>
      </c>
      <c r="B11687" t="s">
        <v>11607</v>
      </c>
      <c r="C11687" t="s">
        <v>12735</v>
      </c>
      <c r="D11687" t="s">
        <v>41348</v>
      </c>
      <c r="E11687" t="b">
        <v>0</v>
      </c>
      <c r="F11687" t="s">
        <v>11610</v>
      </c>
      <c r="L11687">
        <v>0</v>
      </c>
      <c r="M11687">
        <v>0</v>
      </c>
      <c r="N11687">
        <v>0</v>
      </c>
    </row>
    <row r="11688" spans="1:15">
      <c r="A11688" t="s">
        <v>41349</v>
      </c>
      <c r="B11688" t="s">
        <v>11637</v>
      </c>
      <c r="C11688" t="s">
        <v>41350</v>
      </c>
      <c r="D11688" t="s">
        <v>41351</v>
      </c>
      <c r="E11688" t="b">
        <v>0</v>
      </c>
      <c r="F11688" t="s">
        <v>11624</v>
      </c>
      <c r="G11688">
        <v>40.286999999999999</v>
      </c>
      <c r="H11688">
        <v>28.599</v>
      </c>
      <c r="I11688" t="s">
        <v>41352</v>
      </c>
      <c r="L11688">
        <v>0</v>
      </c>
      <c r="M11688">
        <v>0</v>
      </c>
      <c r="N11688">
        <v>0</v>
      </c>
      <c r="O11688" t="s">
        <v>16254</v>
      </c>
    </row>
    <row r="11689" spans="1:15">
      <c r="A11689" t="s">
        <v>21465</v>
      </c>
      <c r="B11689" t="s">
        <v>6742</v>
      </c>
      <c r="C11689" t="s">
        <v>34364</v>
      </c>
      <c r="D11689" t="s">
        <v>41353</v>
      </c>
      <c r="E11689" t="b">
        <v>0</v>
      </c>
      <c r="F11689" t="s">
        <v>11624</v>
      </c>
      <c r="G11689">
        <v>12.4305</v>
      </c>
      <c r="H11689">
        <v>-2.5922900000000002</v>
      </c>
      <c r="I11689" t="s">
        <v>41354</v>
      </c>
      <c r="L11689">
        <v>0</v>
      </c>
      <c r="M11689">
        <v>0</v>
      </c>
      <c r="N11689">
        <v>4</v>
      </c>
      <c r="O11689" t="s">
        <v>19305</v>
      </c>
    </row>
    <row r="11690" spans="1:15">
      <c r="A11690" t="s">
        <v>41355</v>
      </c>
      <c r="B11690" t="s">
        <v>12438</v>
      </c>
      <c r="C11690" t="s">
        <v>24066</v>
      </c>
      <c r="D11690" t="s">
        <v>41356</v>
      </c>
      <c r="E11690" t="b">
        <v>0</v>
      </c>
      <c r="F11690" t="s">
        <v>11610</v>
      </c>
      <c r="L11690">
        <v>0</v>
      </c>
      <c r="M11690">
        <v>0</v>
      </c>
      <c r="N11690">
        <v>0</v>
      </c>
    </row>
    <row r="11691" spans="1:15">
      <c r="A11691" t="s">
        <v>41357</v>
      </c>
      <c r="B11691" t="s">
        <v>12438</v>
      </c>
      <c r="C11691" t="s">
        <v>36183</v>
      </c>
      <c r="D11691" t="s">
        <v>41358</v>
      </c>
      <c r="E11691" t="b">
        <v>0</v>
      </c>
      <c r="F11691" t="s">
        <v>11622</v>
      </c>
      <c r="L11691">
        <v>0</v>
      </c>
      <c r="M11691">
        <v>2</v>
      </c>
      <c r="N11691">
        <v>0</v>
      </c>
    </row>
    <row r="11692" spans="1:15">
      <c r="A11692" t="s">
        <v>41359</v>
      </c>
      <c r="B11692" t="s">
        <v>12438</v>
      </c>
      <c r="C11692" t="s">
        <v>41357</v>
      </c>
      <c r="D11692" t="s">
        <v>41360</v>
      </c>
      <c r="E11692" t="b">
        <v>0</v>
      </c>
      <c r="F11692" t="s">
        <v>11624</v>
      </c>
      <c r="G11692">
        <v>25.35</v>
      </c>
      <c r="H11692">
        <v>91.05</v>
      </c>
      <c r="I11692" t="s">
        <v>41361</v>
      </c>
      <c r="L11692">
        <v>0</v>
      </c>
      <c r="M11692">
        <v>0</v>
      </c>
      <c r="N11692">
        <v>0</v>
      </c>
      <c r="O11692" t="s">
        <v>11630</v>
      </c>
    </row>
    <row r="11693" spans="1:15">
      <c r="A11693" t="s">
        <v>41362</v>
      </c>
      <c r="B11693" t="s">
        <v>11981</v>
      </c>
      <c r="C11693" t="s">
        <v>12200</v>
      </c>
      <c r="D11693" t="s">
        <v>41363</v>
      </c>
      <c r="E11693" t="b">
        <v>0</v>
      </c>
      <c r="F11693" t="s">
        <v>11624</v>
      </c>
      <c r="G11693">
        <v>48.5642</v>
      </c>
      <c r="H11693">
        <v>2.3681100000000002</v>
      </c>
      <c r="I11693" t="s">
        <v>41364</v>
      </c>
      <c r="L11693">
        <v>0</v>
      </c>
      <c r="M11693">
        <v>0</v>
      </c>
      <c r="N11693">
        <v>0</v>
      </c>
      <c r="O11693" t="s">
        <v>19870</v>
      </c>
    </row>
    <row r="11694" spans="1:15">
      <c r="A11694" t="s">
        <v>41365</v>
      </c>
      <c r="B11694" t="s">
        <v>11637</v>
      </c>
      <c r="C11694" t="s">
        <v>21288</v>
      </c>
      <c r="D11694" t="s">
        <v>41366</v>
      </c>
      <c r="E11694" t="b">
        <v>0</v>
      </c>
      <c r="F11694" t="s">
        <v>11610</v>
      </c>
      <c r="L11694">
        <v>0</v>
      </c>
      <c r="M11694">
        <v>0</v>
      </c>
      <c r="N11694">
        <v>0</v>
      </c>
    </row>
    <row r="11695" spans="1:15">
      <c r="A11695" t="s">
        <v>41367</v>
      </c>
      <c r="B11695" t="s">
        <v>5126</v>
      </c>
      <c r="C11695" t="s">
        <v>22531</v>
      </c>
      <c r="D11695" t="s">
        <v>41368</v>
      </c>
      <c r="E11695" t="b">
        <v>0</v>
      </c>
      <c r="F11695" t="s">
        <v>11610</v>
      </c>
      <c r="L11695">
        <v>0</v>
      </c>
      <c r="M11695">
        <v>0</v>
      </c>
      <c r="N11695">
        <v>0</v>
      </c>
    </row>
    <row r="11696" spans="1:15">
      <c r="A11696" t="s">
        <v>41369</v>
      </c>
      <c r="B11696" t="s">
        <v>12438</v>
      </c>
      <c r="C11696" t="s">
        <v>30841</v>
      </c>
      <c r="D11696" t="s">
        <v>41370</v>
      </c>
      <c r="E11696" t="b">
        <v>0</v>
      </c>
      <c r="F11696" t="s">
        <v>11610</v>
      </c>
      <c r="L11696">
        <v>0</v>
      </c>
      <c r="M11696">
        <v>0</v>
      </c>
      <c r="N11696">
        <v>0</v>
      </c>
    </row>
    <row r="11697" spans="1:15">
      <c r="A11697" t="s">
        <v>41371</v>
      </c>
      <c r="B11697" t="s">
        <v>12438</v>
      </c>
      <c r="C11697" t="s">
        <v>36945</v>
      </c>
      <c r="D11697" t="s">
        <v>41372</v>
      </c>
      <c r="E11697" t="b">
        <v>0</v>
      </c>
      <c r="F11697" t="s">
        <v>11624</v>
      </c>
      <c r="G11697">
        <v>11.5205</v>
      </c>
      <c r="H11697">
        <v>107.339</v>
      </c>
      <c r="I11697" t="s">
        <v>41373</v>
      </c>
      <c r="L11697">
        <v>0</v>
      </c>
      <c r="M11697">
        <v>0</v>
      </c>
      <c r="N11697">
        <v>0</v>
      </c>
      <c r="O11697" t="s">
        <v>15949</v>
      </c>
    </row>
    <row r="11698" spans="1:15">
      <c r="A11698" t="s">
        <v>41374</v>
      </c>
      <c r="B11698" t="s">
        <v>367</v>
      </c>
      <c r="C11698" t="s">
        <v>39807</v>
      </c>
      <c r="D11698" t="s">
        <v>41375</v>
      </c>
      <c r="E11698" t="b">
        <v>0</v>
      </c>
      <c r="F11698" t="s">
        <v>11610</v>
      </c>
      <c r="L11698">
        <v>0</v>
      </c>
      <c r="M11698">
        <v>0</v>
      </c>
      <c r="N11698">
        <v>0</v>
      </c>
    </row>
    <row r="11699" spans="1:15">
      <c r="A11699" t="s">
        <v>41376</v>
      </c>
      <c r="B11699" t="s">
        <v>11607</v>
      </c>
      <c r="C11699" t="s">
        <v>20476</v>
      </c>
      <c r="D11699" t="s">
        <v>41377</v>
      </c>
      <c r="E11699" t="b">
        <v>0</v>
      </c>
      <c r="F11699" t="s">
        <v>11624</v>
      </c>
      <c r="G11699">
        <v>11.5007</v>
      </c>
      <c r="H11699">
        <v>11.903499999999999</v>
      </c>
      <c r="I11699" t="s">
        <v>41378</v>
      </c>
      <c r="L11699">
        <v>0</v>
      </c>
      <c r="M11699">
        <v>0</v>
      </c>
      <c r="N11699">
        <v>0</v>
      </c>
      <c r="O11699" t="s">
        <v>11693</v>
      </c>
    </row>
    <row r="11700" spans="1:15">
      <c r="A11700" t="s">
        <v>25621</v>
      </c>
      <c r="B11700" t="s">
        <v>367</v>
      </c>
      <c r="C11700" t="s">
        <v>41379</v>
      </c>
      <c r="D11700" t="s">
        <v>41380</v>
      </c>
      <c r="E11700" t="b">
        <v>0</v>
      </c>
      <c r="F11700" t="s">
        <v>11624</v>
      </c>
      <c r="G11700">
        <v>-2.1238999999999999</v>
      </c>
      <c r="H11700">
        <v>115.092</v>
      </c>
      <c r="I11700" t="s">
        <v>41381</v>
      </c>
      <c r="L11700">
        <v>0</v>
      </c>
      <c r="M11700">
        <v>0</v>
      </c>
      <c r="N11700">
        <v>3</v>
      </c>
      <c r="O11700" t="s">
        <v>11768</v>
      </c>
    </row>
    <row r="11701" spans="1:15">
      <c r="A11701" t="s">
        <v>41382</v>
      </c>
      <c r="B11701" t="s">
        <v>11644</v>
      </c>
      <c r="C11701" t="s">
        <v>41383</v>
      </c>
      <c r="D11701" t="s">
        <v>41384</v>
      </c>
      <c r="E11701" t="b">
        <v>0</v>
      </c>
      <c r="F11701" t="s">
        <v>11624</v>
      </c>
      <c r="G11701">
        <v>23.555104</v>
      </c>
      <c r="H11701">
        <v>105.70090999999999</v>
      </c>
      <c r="L11701">
        <v>0</v>
      </c>
      <c r="M11701">
        <v>0</v>
      </c>
      <c r="N11701">
        <v>0</v>
      </c>
      <c r="O11701" t="s">
        <v>11905</v>
      </c>
    </row>
    <row r="11702" spans="1:15">
      <c r="A11702" t="s">
        <v>41379</v>
      </c>
      <c r="B11702" t="s">
        <v>367</v>
      </c>
      <c r="C11702" t="s">
        <v>25613</v>
      </c>
      <c r="D11702" t="s">
        <v>41385</v>
      </c>
      <c r="E11702" t="b">
        <v>0</v>
      </c>
      <c r="F11702" t="s">
        <v>11622</v>
      </c>
      <c r="L11702">
        <v>0</v>
      </c>
      <c r="M11702">
        <v>2</v>
      </c>
      <c r="N11702">
        <v>3</v>
      </c>
    </row>
    <row r="11703" spans="1:15">
      <c r="A11703" t="s">
        <v>26047</v>
      </c>
      <c r="B11703" t="s">
        <v>6742</v>
      </c>
      <c r="C11703" t="s">
        <v>346</v>
      </c>
      <c r="D11703" t="s">
        <v>41386</v>
      </c>
      <c r="E11703" t="b">
        <v>0</v>
      </c>
      <c r="F11703" t="s">
        <v>11624</v>
      </c>
      <c r="G11703">
        <v>11.132400000000001</v>
      </c>
      <c r="H11703">
        <v>-3.6476299999999999</v>
      </c>
      <c r="I11703" t="s">
        <v>41387</v>
      </c>
      <c r="L11703">
        <v>0</v>
      </c>
      <c r="M11703">
        <v>0</v>
      </c>
      <c r="N11703">
        <v>2</v>
      </c>
      <c r="O11703" t="s">
        <v>41388</v>
      </c>
    </row>
    <row r="11704" spans="1:15">
      <c r="A11704" t="s">
        <v>12208</v>
      </c>
      <c r="B11704" t="s">
        <v>11607</v>
      </c>
      <c r="C11704" t="s">
        <v>16031</v>
      </c>
      <c r="D11704" t="s">
        <v>41389</v>
      </c>
      <c r="E11704" t="b">
        <v>0</v>
      </c>
      <c r="F11704" t="s">
        <v>11624</v>
      </c>
      <c r="G11704">
        <v>3.22288</v>
      </c>
      <c r="H11704">
        <v>43.618200000000002</v>
      </c>
      <c r="I11704" t="s">
        <v>41390</v>
      </c>
      <c r="L11704">
        <v>0</v>
      </c>
      <c r="M11704">
        <v>0</v>
      </c>
      <c r="N11704">
        <v>1</v>
      </c>
      <c r="O11704" t="s">
        <v>19577</v>
      </c>
    </row>
    <row r="11705" spans="1:15">
      <c r="A11705" t="s">
        <v>16842</v>
      </c>
      <c r="B11705" t="s">
        <v>6742</v>
      </c>
      <c r="C11705" t="s">
        <v>40062</v>
      </c>
      <c r="D11705" t="s">
        <v>41391</v>
      </c>
      <c r="E11705" t="b">
        <v>0</v>
      </c>
      <c r="F11705" t="s">
        <v>11624</v>
      </c>
      <c r="G11705">
        <v>2.1194199999999999</v>
      </c>
      <c r="H11705">
        <v>20.875900000000001</v>
      </c>
      <c r="I11705" t="s">
        <v>41392</v>
      </c>
      <c r="L11705">
        <v>0</v>
      </c>
      <c r="M11705">
        <v>0</v>
      </c>
      <c r="N11705">
        <v>5</v>
      </c>
      <c r="O11705" t="s">
        <v>14825</v>
      </c>
    </row>
    <row r="11706" spans="1:15">
      <c r="A11706" t="s">
        <v>41393</v>
      </c>
      <c r="B11706" t="s">
        <v>6742</v>
      </c>
      <c r="C11706" t="s">
        <v>21495</v>
      </c>
      <c r="D11706" t="s">
        <v>41394</v>
      </c>
      <c r="E11706" t="b">
        <v>0</v>
      </c>
      <c r="F11706" t="s">
        <v>11610</v>
      </c>
      <c r="L11706">
        <v>0</v>
      </c>
      <c r="M11706">
        <v>0</v>
      </c>
      <c r="N11706">
        <v>0</v>
      </c>
    </row>
    <row r="11707" spans="1:15">
      <c r="A11707" t="s">
        <v>33771</v>
      </c>
      <c r="B11707" t="s">
        <v>11757</v>
      </c>
      <c r="C11707" t="s">
        <v>20531</v>
      </c>
      <c r="D11707" t="s">
        <v>41395</v>
      </c>
      <c r="E11707" t="b">
        <v>0</v>
      </c>
      <c r="F11707" t="s">
        <v>11622</v>
      </c>
      <c r="L11707">
        <v>0</v>
      </c>
      <c r="M11707">
        <v>2</v>
      </c>
      <c r="N11707">
        <v>0</v>
      </c>
    </row>
    <row r="11708" spans="1:15">
      <c r="A11708" t="s">
        <v>41396</v>
      </c>
      <c r="B11708" t="s">
        <v>11757</v>
      </c>
      <c r="C11708" t="s">
        <v>33771</v>
      </c>
      <c r="D11708" t="s">
        <v>41397</v>
      </c>
      <c r="E11708" t="b">
        <v>0</v>
      </c>
      <c r="F11708" t="s">
        <v>11624</v>
      </c>
      <c r="G11708">
        <v>9.8145500000000006</v>
      </c>
      <c r="H11708">
        <v>33.540399999999998</v>
      </c>
      <c r="I11708" t="s">
        <v>41398</v>
      </c>
      <c r="L11708">
        <v>0</v>
      </c>
      <c r="M11708">
        <v>0</v>
      </c>
      <c r="N11708">
        <v>0</v>
      </c>
      <c r="O11708" t="s">
        <v>11910</v>
      </c>
    </row>
    <row r="11709" spans="1:15">
      <c r="A11709" t="s">
        <v>11780</v>
      </c>
      <c r="D11709" t="s">
        <v>41399</v>
      </c>
      <c r="E11709" t="b">
        <v>0</v>
      </c>
      <c r="F11709" t="s">
        <v>11622</v>
      </c>
      <c r="L11709">
        <v>5</v>
      </c>
      <c r="M11709">
        <v>10</v>
      </c>
      <c r="N11709">
        <v>25</v>
      </c>
    </row>
    <row r="11710" spans="1:15">
      <c r="A11710" t="s">
        <v>41400</v>
      </c>
      <c r="B11710" t="s">
        <v>11780</v>
      </c>
      <c r="C11710" t="s">
        <v>11780</v>
      </c>
      <c r="D11710" t="s">
        <v>41401</v>
      </c>
      <c r="E11710" t="b">
        <v>0</v>
      </c>
      <c r="F11710" t="s">
        <v>11622</v>
      </c>
      <c r="L11710">
        <v>4</v>
      </c>
      <c r="M11710">
        <v>9</v>
      </c>
      <c r="N11710">
        <v>25</v>
      </c>
    </row>
    <row r="11711" spans="1:15">
      <c r="A11711" t="s">
        <v>41402</v>
      </c>
      <c r="B11711" t="s">
        <v>11780</v>
      </c>
      <c r="C11711" t="s">
        <v>41400</v>
      </c>
      <c r="D11711" t="s">
        <v>41403</v>
      </c>
      <c r="E11711" t="b">
        <v>0</v>
      </c>
      <c r="F11711" t="s">
        <v>11622</v>
      </c>
      <c r="L11711">
        <v>2</v>
      </c>
      <c r="M11711">
        <v>7</v>
      </c>
      <c r="N11711">
        <v>22</v>
      </c>
    </row>
    <row r="11712" spans="1:15">
      <c r="A11712" t="s">
        <v>11781</v>
      </c>
      <c r="B11712" t="s">
        <v>11780</v>
      </c>
      <c r="C11712" t="s">
        <v>35072</v>
      </c>
      <c r="D11712" t="s">
        <v>41404</v>
      </c>
      <c r="E11712" t="b">
        <v>0</v>
      </c>
      <c r="F11712" t="s">
        <v>11624</v>
      </c>
      <c r="G11712">
        <v>12.89147</v>
      </c>
      <c r="H11712">
        <v>20.8889</v>
      </c>
      <c r="I11712" t="s">
        <v>41405</v>
      </c>
      <c r="L11712">
        <v>0</v>
      </c>
      <c r="M11712">
        <v>0</v>
      </c>
      <c r="N11712">
        <v>11</v>
      </c>
      <c r="O11712" t="s">
        <v>13421</v>
      </c>
    </row>
    <row r="11713" spans="1:15">
      <c r="A11713" t="s">
        <v>41406</v>
      </c>
      <c r="B11713" t="s">
        <v>367</v>
      </c>
      <c r="C11713" t="s">
        <v>20248</v>
      </c>
      <c r="D11713" t="s">
        <v>41407</v>
      </c>
      <c r="E11713" t="b">
        <v>0</v>
      </c>
      <c r="F11713" t="s">
        <v>11624</v>
      </c>
      <c r="G11713">
        <v>0.59011000000000002</v>
      </c>
      <c r="H11713">
        <v>128.41800000000001</v>
      </c>
      <c r="I11713" t="s">
        <v>41408</v>
      </c>
      <c r="L11713">
        <v>0</v>
      </c>
      <c r="M11713">
        <v>0</v>
      </c>
      <c r="N11713">
        <v>0</v>
      </c>
      <c r="O11713" t="s">
        <v>11768</v>
      </c>
    </row>
    <row r="11714" spans="1:15">
      <c r="A11714" t="s">
        <v>41409</v>
      </c>
      <c r="B11714" t="s">
        <v>367</v>
      </c>
      <c r="C11714" t="s">
        <v>16485</v>
      </c>
      <c r="D11714" t="s">
        <v>41410</v>
      </c>
      <c r="E11714" t="b">
        <v>0</v>
      </c>
      <c r="F11714" t="s">
        <v>11624</v>
      </c>
      <c r="G11714">
        <v>17.668299999999999</v>
      </c>
      <c r="H11714">
        <v>121.07299999999999</v>
      </c>
      <c r="I11714" t="s">
        <v>41411</v>
      </c>
      <c r="L11714">
        <v>0</v>
      </c>
      <c r="M11714">
        <v>0</v>
      </c>
      <c r="N11714">
        <v>0</v>
      </c>
      <c r="O11714" t="s">
        <v>11749</v>
      </c>
    </row>
    <row r="11715" spans="1:15">
      <c r="A11715" t="s">
        <v>41412</v>
      </c>
      <c r="B11715" t="s">
        <v>13244</v>
      </c>
      <c r="C11715" t="s">
        <v>41413</v>
      </c>
      <c r="D11715" t="s">
        <v>41414</v>
      </c>
      <c r="E11715" t="b">
        <v>0</v>
      </c>
      <c r="F11715" t="s">
        <v>11624</v>
      </c>
      <c r="G11715">
        <v>-11.543809</v>
      </c>
      <c r="H11715">
        <v>-68.277741000000006</v>
      </c>
      <c r="L11715">
        <v>0</v>
      </c>
      <c r="M11715">
        <v>0</v>
      </c>
      <c r="N11715">
        <v>0</v>
      </c>
      <c r="O11715" t="s">
        <v>11778</v>
      </c>
    </row>
    <row r="11716" spans="1:15">
      <c r="A11716" t="s">
        <v>41415</v>
      </c>
      <c r="B11716" t="s">
        <v>6742</v>
      </c>
      <c r="C11716" t="s">
        <v>38676</v>
      </c>
      <c r="D11716" t="s">
        <v>41416</v>
      </c>
      <c r="E11716" t="b">
        <v>0</v>
      </c>
      <c r="F11716" t="s">
        <v>11610</v>
      </c>
      <c r="L11716">
        <v>0</v>
      </c>
      <c r="M11716">
        <v>0</v>
      </c>
      <c r="N11716">
        <v>0</v>
      </c>
    </row>
    <row r="11717" spans="1:15">
      <c r="A11717" t="s">
        <v>41417</v>
      </c>
      <c r="B11717" t="s">
        <v>11607</v>
      </c>
      <c r="C11717" t="s">
        <v>18766</v>
      </c>
      <c r="D11717" t="s">
        <v>41418</v>
      </c>
      <c r="E11717" t="b">
        <v>0</v>
      </c>
      <c r="F11717" t="s">
        <v>11624</v>
      </c>
      <c r="G11717">
        <v>11.698</v>
      </c>
      <c r="H11717">
        <v>18.6282</v>
      </c>
      <c r="I11717" t="s">
        <v>41419</v>
      </c>
      <c r="L11717">
        <v>0</v>
      </c>
      <c r="M11717">
        <v>0</v>
      </c>
      <c r="N11717">
        <v>0</v>
      </c>
      <c r="O11717" t="s">
        <v>13421</v>
      </c>
    </row>
    <row r="11718" spans="1:15">
      <c r="A11718" t="s">
        <v>41420</v>
      </c>
      <c r="B11718" t="s">
        <v>367</v>
      </c>
      <c r="C11718" t="s">
        <v>19444</v>
      </c>
      <c r="D11718" t="s">
        <v>41421</v>
      </c>
      <c r="E11718" t="b">
        <v>0</v>
      </c>
      <c r="F11718" t="s">
        <v>11610</v>
      </c>
      <c r="L11718">
        <v>0</v>
      </c>
      <c r="M11718">
        <v>0</v>
      </c>
      <c r="N11718">
        <v>0</v>
      </c>
    </row>
    <row r="11719" spans="1:15">
      <c r="A11719" t="s">
        <v>41422</v>
      </c>
      <c r="B11719" t="s">
        <v>6742</v>
      </c>
      <c r="C11719" t="s">
        <v>25738</v>
      </c>
      <c r="D11719" t="s">
        <v>41423</v>
      </c>
      <c r="E11719" t="b">
        <v>0</v>
      </c>
      <c r="F11719" t="s">
        <v>11610</v>
      </c>
      <c r="L11719">
        <v>0</v>
      </c>
      <c r="M11719">
        <v>0</v>
      </c>
      <c r="N11719">
        <v>0</v>
      </c>
    </row>
    <row r="11720" spans="1:15">
      <c r="A11720" t="s">
        <v>30121</v>
      </c>
      <c r="B11720" t="s">
        <v>11615</v>
      </c>
      <c r="C11720" t="s">
        <v>13250</v>
      </c>
      <c r="D11720" t="s">
        <v>41424</v>
      </c>
      <c r="E11720" t="b">
        <v>0</v>
      </c>
      <c r="F11720" t="s">
        <v>11622</v>
      </c>
      <c r="L11720">
        <v>10</v>
      </c>
      <c r="M11720">
        <v>29</v>
      </c>
      <c r="N11720">
        <v>7</v>
      </c>
    </row>
    <row r="11721" spans="1:15">
      <c r="A11721" t="s">
        <v>41425</v>
      </c>
      <c r="B11721" t="s">
        <v>978</v>
      </c>
      <c r="C11721" t="s">
        <v>978</v>
      </c>
      <c r="D11721" t="s">
        <v>41426</v>
      </c>
      <c r="E11721" t="b">
        <v>0</v>
      </c>
      <c r="F11721" t="s">
        <v>11624</v>
      </c>
      <c r="G11721">
        <v>6.3458199999999998</v>
      </c>
      <c r="H11721">
        <v>-71.267099999999999</v>
      </c>
      <c r="I11721" t="s">
        <v>41427</v>
      </c>
      <c r="L11721">
        <v>0</v>
      </c>
      <c r="M11721">
        <v>0</v>
      </c>
      <c r="N11721">
        <v>0</v>
      </c>
      <c r="O11721" t="s">
        <v>11898</v>
      </c>
    </row>
    <row r="11722" spans="1:15">
      <c r="A11722" t="s">
        <v>10921</v>
      </c>
      <c r="B11722" t="s">
        <v>389</v>
      </c>
      <c r="C11722" t="s">
        <v>41428</v>
      </c>
      <c r="D11722" t="s">
        <v>41429</v>
      </c>
      <c r="E11722" t="b">
        <v>0</v>
      </c>
      <c r="F11722" t="s">
        <v>11624</v>
      </c>
      <c r="G11722">
        <v>-25.011900000000001</v>
      </c>
      <c r="H11722">
        <v>-57.369399999999999</v>
      </c>
      <c r="I11722" t="s">
        <v>10922</v>
      </c>
      <c r="L11722">
        <v>0</v>
      </c>
      <c r="M11722">
        <v>0</v>
      </c>
      <c r="N11722">
        <v>0</v>
      </c>
      <c r="O11722" t="s">
        <v>11916</v>
      </c>
    </row>
    <row r="11723" spans="1:15">
      <c r="A11723" t="s">
        <v>41430</v>
      </c>
      <c r="B11723" t="s">
        <v>2975</v>
      </c>
      <c r="C11723" t="s">
        <v>41431</v>
      </c>
      <c r="D11723" t="s">
        <v>41432</v>
      </c>
      <c r="E11723" t="b">
        <v>0</v>
      </c>
      <c r="F11723" t="s">
        <v>11624</v>
      </c>
      <c r="G11723">
        <v>0.49998999999999999</v>
      </c>
      <c r="H11723">
        <v>-75.833299999999994</v>
      </c>
      <c r="I11723" t="s">
        <v>41433</v>
      </c>
      <c r="L11723">
        <v>0</v>
      </c>
      <c r="M11723">
        <v>0</v>
      </c>
      <c r="N11723">
        <v>0</v>
      </c>
      <c r="O11723" t="s">
        <v>11898</v>
      </c>
    </row>
    <row r="11724" spans="1:15">
      <c r="A11724" t="s">
        <v>41434</v>
      </c>
      <c r="B11724" t="s">
        <v>11637</v>
      </c>
      <c r="C11724" t="s">
        <v>41270</v>
      </c>
      <c r="D11724" t="s">
        <v>41435</v>
      </c>
      <c r="E11724" t="b">
        <v>0</v>
      </c>
      <c r="F11724" t="s">
        <v>11624</v>
      </c>
      <c r="G11724">
        <v>22.418099999999999</v>
      </c>
      <c r="H11724">
        <v>114.12</v>
      </c>
      <c r="I11724" t="s">
        <v>41436</v>
      </c>
      <c r="L11724">
        <v>0</v>
      </c>
      <c r="M11724">
        <v>0</v>
      </c>
      <c r="N11724">
        <v>0</v>
      </c>
      <c r="O11724" t="s">
        <v>11905</v>
      </c>
    </row>
    <row r="11725" spans="1:15">
      <c r="A11725" t="s">
        <v>41437</v>
      </c>
      <c r="B11725" t="s">
        <v>11637</v>
      </c>
      <c r="C11725" t="s">
        <v>41438</v>
      </c>
      <c r="D11725" t="s">
        <v>41439</v>
      </c>
      <c r="E11725" t="b">
        <v>0</v>
      </c>
      <c r="F11725" t="s">
        <v>11610</v>
      </c>
      <c r="L11725">
        <v>0</v>
      </c>
      <c r="M11725">
        <v>0</v>
      </c>
      <c r="N11725">
        <v>0</v>
      </c>
    </row>
    <row r="11726" spans="1:15">
      <c r="A11726" t="s">
        <v>41440</v>
      </c>
      <c r="B11726" t="s">
        <v>13450</v>
      </c>
      <c r="C11726" t="s">
        <v>41441</v>
      </c>
      <c r="D11726" t="s">
        <v>41442</v>
      </c>
      <c r="E11726" t="b">
        <v>0</v>
      </c>
      <c r="F11726" t="s">
        <v>11624</v>
      </c>
      <c r="L11726">
        <v>0</v>
      </c>
      <c r="M11726">
        <v>0</v>
      </c>
      <c r="N11726">
        <v>0</v>
      </c>
      <c r="O11726" t="s">
        <v>11905</v>
      </c>
    </row>
    <row r="11727" spans="1:15">
      <c r="A11727" t="s">
        <v>9200</v>
      </c>
      <c r="B11727" t="s">
        <v>11637</v>
      </c>
      <c r="C11727" t="s">
        <v>20229</v>
      </c>
      <c r="D11727" t="s">
        <v>41443</v>
      </c>
      <c r="E11727" t="b">
        <v>0</v>
      </c>
      <c r="F11727" t="s">
        <v>11624</v>
      </c>
      <c r="G11727">
        <v>41.595700000000001</v>
      </c>
      <c r="H11727">
        <v>21.793199999999999</v>
      </c>
      <c r="I11727" t="s">
        <v>41444</v>
      </c>
      <c r="L11727">
        <v>0</v>
      </c>
      <c r="M11727">
        <v>0</v>
      </c>
      <c r="N11727">
        <v>17</v>
      </c>
      <c r="O11727" t="s">
        <v>14604</v>
      </c>
    </row>
    <row r="11728" spans="1:15">
      <c r="A11728" t="s">
        <v>41445</v>
      </c>
      <c r="B11728" t="s">
        <v>11637</v>
      </c>
      <c r="C11728" t="s">
        <v>27303</v>
      </c>
      <c r="D11728" t="s">
        <v>41446</v>
      </c>
      <c r="E11728" t="b">
        <v>0</v>
      </c>
      <c r="F11728" t="s">
        <v>11610</v>
      </c>
      <c r="L11728">
        <v>0</v>
      </c>
      <c r="M11728">
        <v>0</v>
      </c>
      <c r="N11728">
        <v>0</v>
      </c>
    </row>
    <row r="11729" spans="1:15">
      <c r="A11729" t="s">
        <v>20229</v>
      </c>
      <c r="B11729" t="s">
        <v>11637</v>
      </c>
      <c r="C11729" t="s">
        <v>22968</v>
      </c>
      <c r="D11729" t="s">
        <v>41447</v>
      </c>
      <c r="E11729" t="b">
        <v>0</v>
      </c>
      <c r="F11729" t="s">
        <v>11622</v>
      </c>
      <c r="L11729">
        <v>0</v>
      </c>
      <c r="M11729">
        <v>2</v>
      </c>
      <c r="N11729">
        <v>39</v>
      </c>
    </row>
    <row r="11730" spans="1:15">
      <c r="A11730" t="s">
        <v>41448</v>
      </c>
      <c r="B11730" t="s">
        <v>11637</v>
      </c>
      <c r="C11730" t="s">
        <v>21368</v>
      </c>
      <c r="D11730" t="s">
        <v>41449</v>
      </c>
      <c r="E11730" t="b">
        <v>0</v>
      </c>
      <c r="F11730" t="s">
        <v>11610</v>
      </c>
      <c r="L11730">
        <v>0</v>
      </c>
      <c r="M11730">
        <v>0</v>
      </c>
      <c r="N11730">
        <v>0</v>
      </c>
    </row>
    <row r="11731" spans="1:15">
      <c r="A11731" t="s">
        <v>41450</v>
      </c>
      <c r="B11731" t="s">
        <v>11637</v>
      </c>
      <c r="C11731" t="s">
        <v>7239</v>
      </c>
      <c r="D11731" t="s">
        <v>41451</v>
      </c>
      <c r="E11731" t="b">
        <v>0</v>
      </c>
      <c r="F11731" t="s">
        <v>11610</v>
      </c>
      <c r="L11731">
        <v>0</v>
      </c>
      <c r="M11731">
        <v>0</v>
      </c>
      <c r="N11731">
        <v>0</v>
      </c>
    </row>
    <row r="11732" spans="1:15">
      <c r="A11732" t="s">
        <v>41452</v>
      </c>
      <c r="B11732" t="s">
        <v>6742</v>
      </c>
      <c r="C11732" t="s">
        <v>41453</v>
      </c>
      <c r="D11732" t="s">
        <v>41454</v>
      </c>
      <c r="E11732" t="b">
        <v>0</v>
      </c>
      <c r="F11732" t="s">
        <v>11624</v>
      </c>
      <c r="G11732">
        <v>-9.3710100000000001</v>
      </c>
      <c r="H11732">
        <v>39.4268</v>
      </c>
      <c r="I11732" t="s">
        <v>41455</v>
      </c>
      <c r="L11732">
        <v>0</v>
      </c>
      <c r="M11732">
        <v>0</v>
      </c>
      <c r="N11732">
        <v>0</v>
      </c>
      <c r="O11732" t="s">
        <v>11635</v>
      </c>
    </row>
    <row r="11733" spans="1:15">
      <c r="A11733" t="s">
        <v>19672</v>
      </c>
      <c r="B11733" t="s">
        <v>6742</v>
      </c>
      <c r="C11733" t="s">
        <v>41456</v>
      </c>
      <c r="D11733" t="s">
        <v>41457</v>
      </c>
      <c r="E11733" t="b">
        <v>0</v>
      </c>
      <c r="F11733" t="s">
        <v>11624</v>
      </c>
      <c r="G11733">
        <v>-3.2938499999999999</v>
      </c>
      <c r="H11733">
        <v>37.070300000000003</v>
      </c>
      <c r="I11733" t="s">
        <v>41458</v>
      </c>
      <c r="L11733">
        <v>0</v>
      </c>
      <c r="M11733">
        <v>0</v>
      </c>
      <c r="N11733">
        <v>5</v>
      </c>
      <c r="O11733" t="s">
        <v>11635</v>
      </c>
    </row>
    <row r="11734" spans="1:15">
      <c r="A11734" t="s">
        <v>41459</v>
      </c>
      <c r="B11734" t="s">
        <v>11894</v>
      </c>
      <c r="C11734" t="s">
        <v>41460</v>
      </c>
      <c r="D11734" t="s">
        <v>41461</v>
      </c>
      <c r="E11734" t="b">
        <v>0</v>
      </c>
      <c r="F11734" t="s">
        <v>11624</v>
      </c>
      <c r="G11734">
        <v>-12.129099999999999</v>
      </c>
      <c r="H11734">
        <v>-72.5017</v>
      </c>
      <c r="I11734" t="s">
        <v>41462</v>
      </c>
      <c r="L11734">
        <v>0</v>
      </c>
      <c r="M11734">
        <v>0</v>
      </c>
      <c r="N11734">
        <v>0</v>
      </c>
      <c r="O11734" t="s">
        <v>11778</v>
      </c>
    </row>
    <row r="11735" spans="1:15">
      <c r="A11735" t="s">
        <v>41463</v>
      </c>
      <c r="B11735" t="s">
        <v>11894</v>
      </c>
      <c r="C11735" t="s">
        <v>41464</v>
      </c>
      <c r="D11735" t="s">
        <v>41465</v>
      </c>
      <c r="E11735" t="b">
        <v>0</v>
      </c>
      <c r="F11735" t="s">
        <v>11624</v>
      </c>
      <c r="G11735">
        <v>-10.480399999999999</v>
      </c>
      <c r="H11735">
        <v>-69.768299999999996</v>
      </c>
      <c r="I11735" t="s">
        <v>41466</v>
      </c>
      <c r="L11735">
        <v>0</v>
      </c>
      <c r="M11735">
        <v>0</v>
      </c>
      <c r="N11735">
        <v>0</v>
      </c>
      <c r="O11735" t="s">
        <v>22685</v>
      </c>
    </row>
    <row r="11736" spans="1:15">
      <c r="A11736" t="s">
        <v>41467</v>
      </c>
      <c r="B11736" t="s">
        <v>6742</v>
      </c>
      <c r="C11736" t="s">
        <v>41468</v>
      </c>
      <c r="D11736" t="s">
        <v>41469</v>
      </c>
      <c r="E11736" t="b">
        <v>0</v>
      </c>
      <c r="F11736" t="s">
        <v>11622</v>
      </c>
      <c r="L11736">
        <v>0</v>
      </c>
      <c r="M11736">
        <v>2</v>
      </c>
      <c r="N11736">
        <v>0</v>
      </c>
    </row>
    <row r="11737" spans="1:15">
      <c r="A11737" t="s">
        <v>41470</v>
      </c>
      <c r="B11737" t="s">
        <v>11637</v>
      </c>
      <c r="C11737" t="s">
        <v>18267</v>
      </c>
      <c r="D11737" t="s">
        <v>41471</v>
      </c>
      <c r="E11737" t="b">
        <v>0</v>
      </c>
      <c r="F11737" t="s">
        <v>11610</v>
      </c>
      <c r="L11737">
        <v>0</v>
      </c>
      <c r="M11737">
        <v>0</v>
      </c>
      <c r="N11737">
        <v>0</v>
      </c>
    </row>
    <row r="11738" spans="1:15">
      <c r="A11738" t="s">
        <v>25700</v>
      </c>
      <c r="B11738" t="s">
        <v>10597</v>
      </c>
      <c r="C11738" t="s">
        <v>10597</v>
      </c>
      <c r="D11738" t="s">
        <v>41472</v>
      </c>
      <c r="E11738" t="b">
        <v>0</v>
      </c>
      <c r="F11738" t="s">
        <v>11622</v>
      </c>
      <c r="L11738">
        <v>0</v>
      </c>
      <c r="M11738">
        <v>2</v>
      </c>
      <c r="N11738">
        <v>0</v>
      </c>
    </row>
    <row r="11739" spans="1:15">
      <c r="A11739" t="s">
        <v>41473</v>
      </c>
      <c r="B11739" t="s">
        <v>33623</v>
      </c>
      <c r="C11739" t="s">
        <v>41474</v>
      </c>
      <c r="D11739" t="s">
        <v>41475</v>
      </c>
      <c r="E11739" t="b">
        <v>0</v>
      </c>
      <c r="F11739" t="s">
        <v>11622</v>
      </c>
      <c r="L11739">
        <v>0</v>
      </c>
      <c r="M11739">
        <v>2</v>
      </c>
      <c r="N11739">
        <v>0</v>
      </c>
    </row>
    <row r="11740" spans="1:15">
      <c r="A11740" t="s">
        <v>41476</v>
      </c>
      <c r="B11740" t="s">
        <v>33623</v>
      </c>
      <c r="C11740" t="s">
        <v>41473</v>
      </c>
      <c r="D11740" t="s">
        <v>41477</v>
      </c>
      <c r="E11740" t="b">
        <v>0</v>
      </c>
      <c r="F11740" t="s">
        <v>11624</v>
      </c>
      <c r="G11740">
        <v>4.5621</v>
      </c>
      <c r="H11740">
        <v>-66.581299999999999</v>
      </c>
      <c r="I11740" t="s">
        <v>41478</v>
      </c>
      <c r="L11740">
        <v>0</v>
      </c>
      <c r="M11740">
        <v>0</v>
      </c>
      <c r="N11740">
        <v>0</v>
      </c>
      <c r="O11740" t="s">
        <v>16711</v>
      </c>
    </row>
    <row r="11741" spans="1:15">
      <c r="A11741" t="s">
        <v>14602</v>
      </c>
      <c r="B11741" t="s">
        <v>11637</v>
      </c>
      <c r="C11741" t="s">
        <v>21203</v>
      </c>
      <c r="D11741" t="s">
        <v>41479</v>
      </c>
      <c r="E11741" t="b">
        <v>0</v>
      </c>
      <c r="F11741" t="s">
        <v>11622</v>
      </c>
      <c r="L11741">
        <v>0</v>
      </c>
      <c r="M11741">
        <v>4</v>
      </c>
      <c r="N11741">
        <v>11</v>
      </c>
    </row>
    <row r="11742" spans="1:15">
      <c r="A11742" t="s">
        <v>41480</v>
      </c>
      <c r="B11742" t="s">
        <v>4342</v>
      </c>
      <c r="C11742" t="s">
        <v>41481</v>
      </c>
      <c r="D11742" t="s">
        <v>41482</v>
      </c>
      <c r="E11742" t="b">
        <v>0</v>
      </c>
      <c r="F11742" t="s">
        <v>11622</v>
      </c>
      <c r="L11742">
        <v>0</v>
      </c>
      <c r="M11742">
        <v>2</v>
      </c>
      <c r="N11742">
        <v>9</v>
      </c>
    </row>
    <row r="11743" spans="1:15">
      <c r="A11743" t="s">
        <v>37515</v>
      </c>
      <c r="B11743" t="s">
        <v>11644</v>
      </c>
      <c r="C11743" t="s">
        <v>11644</v>
      </c>
      <c r="D11743" t="s">
        <v>41483</v>
      </c>
      <c r="E11743" t="b">
        <v>0</v>
      </c>
      <c r="F11743" t="s">
        <v>11622</v>
      </c>
      <c r="L11743">
        <v>8</v>
      </c>
      <c r="M11743">
        <v>12</v>
      </c>
      <c r="N11743">
        <v>16</v>
      </c>
    </row>
    <row r="11744" spans="1:15">
      <c r="A11744" t="s">
        <v>12082</v>
      </c>
      <c r="B11744" t="s">
        <v>11637</v>
      </c>
      <c r="C11744" t="s">
        <v>28710</v>
      </c>
      <c r="D11744" t="s">
        <v>41484</v>
      </c>
      <c r="E11744" t="b">
        <v>0</v>
      </c>
      <c r="F11744" t="s">
        <v>11622</v>
      </c>
      <c r="L11744">
        <v>0</v>
      </c>
      <c r="M11744">
        <v>6</v>
      </c>
      <c r="N11744">
        <v>7</v>
      </c>
    </row>
    <row r="11745" spans="1:15">
      <c r="A11745" t="s">
        <v>41485</v>
      </c>
      <c r="B11745" t="s">
        <v>11637</v>
      </c>
      <c r="C11745" t="s">
        <v>31119</v>
      </c>
      <c r="D11745" t="s">
        <v>41486</v>
      </c>
      <c r="E11745" t="b">
        <v>0</v>
      </c>
      <c r="F11745" t="s">
        <v>11622</v>
      </c>
      <c r="L11745">
        <v>6</v>
      </c>
      <c r="M11745">
        <v>12</v>
      </c>
      <c r="N11745">
        <v>34</v>
      </c>
    </row>
    <row r="11746" spans="1:15">
      <c r="A11746" t="s">
        <v>6460</v>
      </c>
      <c r="B11746" t="s">
        <v>11637</v>
      </c>
      <c r="C11746" t="s">
        <v>41487</v>
      </c>
      <c r="D11746" t="s">
        <v>41488</v>
      </c>
      <c r="E11746" t="b">
        <v>0</v>
      </c>
      <c r="F11746" t="s">
        <v>11622</v>
      </c>
      <c r="L11746">
        <v>21</v>
      </c>
      <c r="M11746">
        <v>34</v>
      </c>
      <c r="N11746">
        <v>82</v>
      </c>
    </row>
    <row r="11747" spans="1:15">
      <c r="A11747" t="s">
        <v>19849</v>
      </c>
      <c r="B11747" t="s">
        <v>11637</v>
      </c>
      <c r="C11747" t="s">
        <v>27644</v>
      </c>
      <c r="D11747" t="s">
        <v>41489</v>
      </c>
      <c r="E11747" t="b">
        <v>0</v>
      </c>
      <c r="F11747" t="s">
        <v>11622</v>
      </c>
      <c r="L11747">
        <v>7</v>
      </c>
      <c r="M11747">
        <v>15</v>
      </c>
      <c r="N11747">
        <v>14</v>
      </c>
    </row>
    <row r="11748" spans="1:15">
      <c r="A11748" t="s">
        <v>23068</v>
      </c>
      <c r="B11748" t="s">
        <v>11637</v>
      </c>
      <c r="C11748" t="s">
        <v>20903</v>
      </c>
      <c r="D11748" t="s">
        <v>41490</v>
      </c>
      <c r="E11748" t="b">
        <v>0</v>
      </c>
      <c r="F11748" t="s">
        <v>11622</v>
      </c>
      <c r="L11748">
        <v>6</v>
      </c>
      <c r="M11748">
        <v>14</v>
      </c>
      <c r="N11748">
        <v>26</v>
      </c>
    </row>
    <row r="11749" spans="1:15">
      <c r="A11749" t="s">
        <v>21161</v>
      </c>
      <c r="B11749" t="s">
        <v>367</v>
      </c>
      <c r="C11749" t="s">
        <v>41491</v>
      </c>
      <c r="D11749" t="s">
        <v>41492</v>
      </c>
      <c r="E11749" t="b">
        <v>0</v>
      </c>
      <c r="F11749" t="s">
        <v>11622</v>
      </c>
      <c r="L11749">
        <v>1</v>
      </c>
      <c r="M11749">
        <v>4</v>
      </c>
      <c r="N11749">
        <v>0</v>
      </c>
    </row>
    <row r="11750" spans="1:15">
      <c r="A11750" t="s">
        <v>20887</v>
      </c>
      <c r="B11750" t="s">
        <v>11644</v>
      </c>
      <c r="C11750" t="s">
        <v>11644</v>
      </c>
      <c r="D11750" t="s">
        <v>41493</v>
      </c>
      <c r="E11750" t="b">
        <v>0</v>
      </c>
      <c r="F11750" t="s">
        <v>11622</v>
      </c>
      <c r="L11750">
        <v>3</v>
      </c>
      <c r="M11750">
        <v>5</v>
      </c>
      <c r="N11750">
        <v>15</v>
      </c>
    </row>
    <row r="11751" spans="1:15">
      <c r="A11751" t="s">
        <v>41494</v>
      </c>
      <c r="B11751" t="s">
        <v>11965</v>
      </c>
      <c r="C11751" t="s">
        <v>21098</v>
      </c>
      <c r="D11751" t="s">
        <v>41495</v>
      </c>
      <c r="E11751" t="b">
        <v>0</v>
      </c>
      <c r="F11751" t="s">
        <v>11624</v>
      </c>
      <c r="G11751">
        <v>-17.904785</v>
      </c>
      <c r="H11751">
        <v>-39.809418000000001</v>
      </c>
      <c r="L11751">
        <v>0</v>
      </c>
      <c r="M11751">
        <v>0</v>
      </c>
      <c r="N11751">
        <v>0</v>
      </c>
      <c r="O11751" t="s">
        <v>11969</v>
      </c>
    </row>
    <row r="11752" spans="1:15">
      <c r="A11752" t="s">
        <v>41496</v>
      </c>
      <c r="B11752" t="s">
        <v>8310</v>
      </c>
      <c r="C11752" t="s">
        <v>34961</v>
      </c>
      <c r="D11752" t="s">
        <v>41497</v>
      </c>
      <c r="E11752" t="b">
        <v>0</v>
      </c>
      <c r="F11752" t="s">
        <v>11624</v>
      </c>
      <c r="G11752">
        <v>4.3186099999999996</v>
      </c>
      <c r="H11752">
        <v>-60.2209</v>
      </c>
      <c r="I11752" t="s">
        <v>41498</v>
      </c>
      <c r="L11752">
        <v>0</v>
      </c>
      <c r="M11752">
        <v>0</v>
      </c>
      <c r="N11752">
        <v>0</v>
      </c>
      <c r="O11752" t="s">
        <v>12706</v>
      </c>
    </row>
    <row r="11753" spans="1:15">
      <c r="A11753" t="s">
        <v>41499</v>
      </c>
      <c r="B11753" t="s">
        <v>2975</v>
      </c>
      <c r="C11753" t="s">
        <v>16965</v>
      </c>
      <c r="D11753" t="s">
        <v>41500</v>
      </c>
      <c r="E11753" t="b">
        <v>0</v>
      </c>
      <c r="F11753" t="s">
        <v>11624</v>
      </c>
      <c r="G11753">
        <v>-0.14459</v>
      </c>
      <c r="H11753">
        <v>-70.0749</v>
      </c>
      <c r="I11753" t="s">
        <v>41501</v>
      </c>
      <c r="L11753">
        <v>0</v>
      </c>
      <c r="M11753">
        <v>0</v>
      </c>
      <c r="N11753">
        <v>0</v>
      </c>
      <c r="O11753" t="s">
        <v>21122</v>
      </c>
    </row>
    <row r="11754" spans="1:15">
      <c r="A11754" t="s">
        <v>41502</v>
      </c>
      <c r="B11754" t="s">
        <v>20840</v>
      </c>
      <c r="C11754" t="s">
        <v>20839</v>
      </c>
      <c r="D11754" t="s">
        <v>41503</v>
      </c>
      <c r="E11754" t="b">
        <v>0</v>
      </c>
      <c r="F11754" t="s">
        <v>11610</v>
      </c>
      <c r="L11754">
        <v>0</v>
      </c>
      <c r="M11754">
        <v>0</v>
      </c>
      <c r="N11754">
        <v>0</v>
      </c>
    </row>
    <row r="11755" spans="1:15">
      <c r="A11755" t="s">
        <v>41504</v>
      </c>
      <c r="B11755" t="s">
        <v>11637</v>
      </c>
      <c r="C11755" t="s">
        <v>16373</v>
      </c>
      <c r="D11755" t="s">
        <v>41505</v>
      </c>
      <c r="E11755" t="b">
        <v>0</v>
      </c>
      <c r="F11755" t="s">
        <v>11610</v>
      </c>
      <c r="L11755">
        <v>0</v>
      </c>
      <c r="M11755">
        <v>0</v>
      </c>
      <c r="N11755">
        <v>0</v>
      </c>
    </row>
    <row r="11756" spans="1:15">
      <c r="A11756" t="s">
        <v>41506</v>
      </c>
      <c r="B11756" t="s">
        <v>11981</v>
      </c>
      <c r="C11756" t="s">
        <v>10582</v>
      </c>
      <c r="D11756" t="s">
        <v>41507</v>
      </c>
      <c r="E11756" t="b">
        <v>0</v>
      </c>
      <c r="F11756" t="s">
        <v>11624</v>
      </c>
      <c r="G11756">
        <v>-19.04</v>
      </c>
      <c r="H11756">
        <v>46.87</v>
      </c>
      <c r="I11756" t="s">
        <v>41508</v>
      </c>
      <c r="L11756">
        <v>0</v>
      </c>
      <c r="M11756">
        <v>0</v>
      </c>
      <c r="N11756">
        <v>0</v>
      </c>
      <c r="O11756" t="s">
        <v>14012</v>
      </c>
    </row>
    <row r="11757" spans="1:15">
      <c r="A11757" t="s">
        <v>41509</v>
      </c>
      <c r="B11757" t="s">
        <v>11637</v>
      </c>
      <c r="C11757" t="s">
        <v>18824</v>
      </c>
      <c r="D11757" t="s">
        <v>41510</v>
      </c>
      <c r="E11757" t="b">
        <v>0</v>
      </c>
      <c r="F11757" t="s">
        <v>11610</v>
      </c>
      <c r="L11757">
        <v>0</v>
      </c>
      <c r="M11757">
        <v>0</v>
      </c>
      <c r="N11757">
        <v>0</v>
      </c>
    </row>
    <row r="11758" spans="1:15">
      <c r="A11758" t="s">
        <v>41511</v>
      </c>
      <c r="B11758" t="s">
        <v>10597</v>
      </c>
      <c r="C11758" t="s">
        <v>30184</v>
      </c>
      <c r="D11758" t="s">
        <v>41512</v>
      </c>
      <c r="E11758" t="b">
        <v>0</v>
      </c>
      <c r="F11758" t="s">
        <v>11610</v>
      </c>
      <c r="L11758">
        <v>0</v>
      </c>
      <c r="M11758">
        <v>0</v>
      </c>
      <c r="N11758">
        <v>0</v>
      </c>
    </row>
    <row r="11759" spans="1:15">
      <c r="A11759" t="s">
        <v>12870</v>
      </c>
      <c r="B11759" t="s">
        <v>6742</v>
      </c>
      <c r="C11759" t="s">
        <v>15522</v>
      </c>
      <c r="D11759" t="s">
        <v>41513</v>
      </c>
      <c r="E11759" t="b">
        <v>0</v>
      </c>
      <c r="F11759" t="s">
        <v>11624</v>
      </c>
      <c r="G11759">
        <v>9.0229400000000002</v>
      </c>
      <c r="H11759">
        <v>8.3411899999999992</v>
      </c>
      <c r="I11759" t="s">
        <v>41514</v>
      </c>
      <c r="L11759">
        <v>0</v>
      </c>
      <c r="M11759">
        <v>0</v>
      </c>
      <c r="N11759">
        <v>10</v>
      </c>
      <c r="O11759" t="s">
        <v>11693</v>
      </c>
    </row>
    <row r="11760" spans="1:15">
      <c r="A11760" t="s">
        <v>41515</v>
      </c>
      <c r="B11760" t="s">
        <v>6742</v>
      </c>
      <c r="C11760" t="s">
        <v>17486</v>
      </c>
      <c r="D11760" t="s">
        <v>41516</v>
      </c>
      <c r="E11760" t="b">
        <v>0</v>
      </c>
      <c r="F11760" t="s">
        <v>11610</v>
      </c>
      <c r="L11760">
        <v>0</v>
      </c>
      <c r="M11760">
        <v>0</v>
      </c>
      <c r="N11760">
        <v>0</v>
      </c>
    </row>
    <row r="11761" spans="1:15">
      <c r="A11761" t="s">
        <v>17129</v>
      </c>
      <c r="B11761" t="s">
        <v>367</v>
      </c>
      <c r="C11761" t="s">
        <v>41517</v>
      </c>
      <c r="D11761" t="s">
        <v>41518</v>
      </c>
      <c r="E11761" t="b">
        <v>0</v>
      </c>
      <c r="F11761" t="s">
        <v>11622</v>
      </c>
      <c r="L11761">
        <v>0</v>
      </c>
      <c r="M11761">
        <v>3</v>
      </c>
      <c r="N11761">
        <v>11</v>
      </c>
    </row>
    <row r="11762" spans="1:15">
      <c r="A11762" t="s">
        <v>24088</v>
      </c>
      <c r="B11762" t="s">
        <v>367</v>
      </c>
      <c r="C11762" t="s">
        <v>17129</v>
      </c>
      <c r="D11762" t="s">
        <v>41519</v>
      </c>
      <c r="E11762" t="b">
        <v>0</v>
      </c>
      <c r="F11762" t="s">
        <v>11624</v>
      </c>
      <c r="G11762">
        <v>-3.3434200000000001</v>
      </c>
      <c r="H11762">
        <v>151.96700000000001</v>
      </c>
      <c r="I11762" t="s">
        <v>41520</v>
      </c>
      <c r="L11762">
        <v>0</v>
      </c>
      <c r="M11762">
        <v>0</v>
      </c>
      <c r="N11762">
        <v>5</v>
      </c>
      <c r="O11762" t="s">
        <v>11660</v>
      </c>
    </row>
    <row r="11763" spans="1:15">
      <c r="A11763" t="s">
        <v>41521</v>
      </c>
      <c r="B11763" t="s">
        <v>11839</v>
      </c>
      <c r="C11763" t="s">
        <v>24413</v>
      </c>
      <c r="D11763" t="s">
        <v>41522</v>
      </c>
      <c r="E11763" t="b">
        <v>0</v>
      </c>
      <c r="F11763" t="s">
        <v>11610</v>
      </c>
      <c r="L11763">
        <v>0</v>
      </c>
      <c r="M11763">
        <v>0</v>
      </c>
      <c r="N11763">
        <v>0</v>
      </c>
    </row>
    <row r="11764" spans="1:15">
      <c r="A11764" t="s">
        <v>41523</v>
      </c>
      <c r="B11764" t="s">
        <v>11607</v>
      </c>
      <c r="C11764" t="s">
        <v>41524</v>
      </c>
      <c r="D11764" t="s">
        <v>41525</v>
      </c>
      <c r="E11764" t="b">
        <v>0</v>
      </c>
      <c r="F11764" t="s">
        <v>11624</v>
      </c>
      <c r="G11764">
        <v>10.880599999999999</v>
      </c>
      <c r="H11764">
        <v>14.1142</v>
      </c>
      <c r="I11764" t="s">
        <v>41526</v>
      </c>
      <c r="L11764">
        <v>0</v>
      </c>
      <c r="M11764">
        <v>0</v>
      </c>
      <c r="N11764">
        <v>0</v>
      </c>
      <c r="O11764" t="s">
        <v>11703</v>
      </c>
    </row>
    <row r="11765" spans="1:15">
      <c r="A11765" t="s">
        <v>41527</v>
      </c>
      <c r="B11765" t="s">
        <v>11607</v>
      </c>
      <c r="C11765" t="s">
        <v>27794</v>
      </c>
      <c r="D11765" t="s">
        <v>41528</v>
      </c>
      <c r="E11765" t="b">
        <v>0</v>
      </c>
      <c r="F11765" t="s">
        <v>11610</v>
      </c>
      <c r="L11765">
        <v>0</v>
      </c>
      <c r="M11765">
        <v>0</v>
      </c>
      <c r="N11765">
        <v>0</v>
      </c>
    </row>
    <row r="11766" spans="1:15">
      <c r="A11766" t="s">
        <v>23551</v>
      </c>
      <c r="B11766" t="s">
        <v>11615</v>
      </c>
      <c r="C11766" t="s">
        <v>11615</v>
      </c>
      <c r="D11766" t="s">
        <v>41529</v>
      </c>
      <c r="E11766" t="b">
        <v>0</v>
      </c>
      <c r="F11766" t="s">
        <v>11622</v>
      </c>
      <c r="L11766">
        <v>47</v>
      </c>
      <c r="M11766">
        <v>106</v>
      </c>
      <c r="N11766">
        <v>18</v>
      </c>
    </row>
    <row r="11767" spans="1:15">
      <c r="A11767" t="s">
        <v>41530</v>
      </c>
      <c r="B11767" t="s">
        <v>11627</v>
      </c>
      <c r="C11767" t="s">
        <v>11627</v>
      </c>
      <c r="D11767" t="s">
        <v>41531</v>
      </c>
      <c r="E11767" t="b">
        <v>1</v>
      </c>
      <c r="F11767" t="s">
        <v>11624</v>
      </c>
      <c r="I11767" t="s">
        <v>41532</v>
      </c>
      <c r="L11767">
        <v>0</v>
      </c>
      <c r="M11767">
        <v>0</v>
      </c>
      <c r="N11767">
        <v>0</v>
      </c>
    </row>
    <row r="11768" spans="1:15">
      <c r="A11768" t="s">
        <v>41533</v>
      </c>
      <c r="B11768" t="s">
        <v>11637</v>
      </c>
      <c r="C11768" t="s">
        <v>552</v>
      </c>
      <c r="D11768" t="s">
        <v>41534</v>
      </c>
      <c r="E11768" t="b">
        <v>0</v>
      </c>
      <c r="F11768" t="s">
        <v>11610</v>
      </c>
      <c r="L11768">
        <v>0</v>
      </c>
      <c r="M11768">
        <v>0</v>
      </c>
      <c r="N11768">
        <v>0</v>
      </c>
    </row>
    <row r="11769" spans="1:15">
      <c r="A11769" t="s">
        <v>41535</v>
      </c>
      <c r="B11769" t="s">
        <v>6742</v>
      </c>
      <c r="C11769" t="s">
        <v>41536</v>
      </c>
      <c r="D11769" t="s">
        <v>41537</v>
      </c>
      <c r="E11769" t="b">
        <v>0</v>
      </c>
      <c r="F11769" t="s">
        <v>11624</v>
      </c>
      <c r="G11769">
        <v>3.6935099999999998</v>
      </c>
      <c r="H11769">
        <v>26.9939</v>
      </c>
      <c r="I11769" t="s">
        <v>41538</v>
      </c>
      <c r="L11769">
        <v>0</v>
      </c>
      <c r="M11769">
        <v>0</v>
      </c>
      <c r="N11769">
        <v>0</v>
      </c>
      <c r="O11769" t="s">
        <v>14825</v>
      </c>
    </row>
    <row r="11770" spans="1:15">
      <c r="A11770" t="s">
        <v>35510</v>
      </c>
      <c r="B11770" t="s">
        <v>367</v>
      </c>
      <c r="C11770" t="s">
        <v>13371</v>
      </c>
      <c r="D11770" t="s">
        <v>41539</v>
      </c>
      <c r="E11770" t="b">
        <v>0</v>
      </c>
      <c r="F11770" t="s">
        <v>11624</v>
      </c>
      <c r="G11770">
        <v>-1.05325</v>
      </c>
      <c r="H11770">
        <v>130.833</v>
      </c>
      <c r="I11770" t="s">
        <v>41540</v>
      </c>
      <c r="L11770">
        <v>0</v>
      </c>
      <c r="M11770">
        <v>0</v>
      </c>
      <c r="N11770">
        <v>1</v>
      </c>
      <c r="O11770" t="s">
        <v>11768</v>
      </c>
    </row>
    <row r="11771" spans="1:15">
      <c r="A11771" t="s">
        <v>41541</v>
      </c>
      <c r="B11771" t="s">
        <v>141</v>
      </c>
      <c r="C11771" t="s">
        <v>14216</v>
      </c>
      <c r="D11771" t="s">
        <v>41542</v>
      </c>
      <c r="E11771" t="b">
        <v>0</v>
      </c>
      <c r="F11771" t="s">
        <v>11610</v>
      </c>
      <c r="L11771">
        <v>0</v>
      </c>
      <c r="M11771">
        <v>0</v>
      </c>
      <c r="N11771">
        <v>0</v>
      </c>
    </row>
    <row r="11772" spans="1:15">
      <c r="A11772" t="s">
        <v>41543</v>
      </c>
      <c r="B11772" t="s">
        <v>11637</v>
      </c>
      <c r="C11772" t="s">
        <v>187</v>
      </c>
      <c r="D11772" t="s">
        <v>41544</v>
      </c>
      <c r="E11772" t="b">
        <v>0</v>
      </c>
      <c r="F11772" t="s">
        <v>11610</v>
      </c>
      <c r="L11772">
        <v>0</v>
      </c>
      <c r="M11772">
        <v>0</v>
      </c>
      <c r="N11772">
        <v>0</v>
      </c>
    </row>
    <row r="11773" spans="1:15">
      <c r="A11773" t="s">
        <v>41545</v>
      </c>
      <c r="B11773" t="s">
        <v>11644</v>
      </c>
      <c r="C11773" t="s">
        <v>16324</v>
      </c>
      <c r="D11773" t="s">
        <v>41546</v>
      </c>
      <c r="E11773" t="b">
        <v>0</v>
      </c>
      <c r="F11773" t="s">
        <v>11610</v>
      </c>
      <c r="L11773">
        <v>0</v>
      </c>
      <c r="M11773">
        <v>0</v>
      </c>
      <c r="N11773">
        <v>0</v>
      </c>
    </row>
    <row r="11774" spans="1:15">
      <c r="A11774" t="s">
        <v>41547</v>
      </c>
      <c r="B11774" t="s">
        <v>10597</v>
      </c>
      <c r="C11774" t="s">
        <v>24965</v>
      </c>
      <c r="D11774" t="s">
        <v>41548</v>
      </c>
      <c r="E11774" t="b">
        <v>0</v>
      </c>
      <c r="F11774" t="s">
        <v>11610</v>
      </c>
      <c r="G11774">
        <v>-34.5</v>
      </c>
      <c r="H11774">
        <v>143.5</v>
      </c>
      <c r="I11774" t="s">
        <v>41549</v>
      </c>
      <c r="L11774">
        <v>0</v>
      </c>
      <c r="M11774">
        <v>0</v>
      </c>
      <c r="N11774">
        <v>0</v>
      </c>
      <c r="O11774" t="s">
        <v>12107</v>
      </c>
    </row>
    <row r="11775" spans="1:15">
      <c r="A11775" t="s">
        <v>41550</v>
      </c>
      <c r="B11775" t="s">
        <v>6742</v>
      </c>
      <c r="C11775" t="s">
        <v>6022</v>
      </c>
      <c r="D11775" t="s">
        <v>41551</v>
      </c>
      <c r="E11775" t="b">
        <v>0</v>
      </c>
      <c r="F11775" t="s">
        <v>11610</v>
      </c>
      <c r="L11775">
        <v>0</v>
      </c>
      <c r="M11775">
        <v>0</v>
      </c>
      <c r="N11775">
        <v>0</v>
      </c>
    </row>
    <row r="11776" spans="1:15">
      <c r="A11776" t="s">
        <v>41552</v>
      </c>
      <c r="B11776" t="s">
        <v>6742</v>
      </c>
      <c r="C11776" t="s">
        <v>6022</v>
      </c>
      <c r="D11776" t="s">
        <v>41553</v>
      </c>
      <c r="E11776" t="b">
        <v>0</v>
      </c>
      <c r="F11776" t="s">
        <v>11610</v>
      </c>
      <c r="L11776">
        <v>0</v>
      </c>
      <c r="M11776">
        <v>0</v>
      </c>
      <c r="N11776">
        <v>0</v>
      </c>
    </row>
    <row r="11777" spans="1:15">
      <c r="A11777" t="s">
        <v>1881</v>
      </c>
      <c r="B11777" t="s">
        <v>11729</v>
      </c>
      <c r="C11777" t="s">
        <v>41554</v>
      </c>
      <c r="D11777" t="s">
        <v>1880</v>
      </c>
      <c r="E11777" t="b">
        <v>0</v>
      </c>
      <c r="F11777" t="s">
        <v>11624</v>
      </c>
      <c r="G11777">
        <v>3.6249899999999999</v>
      </c>
      <c r="H11777">
        <v>31.847100000000001</v>
      </c>
      <c r="I11777" t="s">
        <v>1882</v>
      </c>
      <c r="L11777">
        <v>0</v>
      </c>
      <c r="M11777">
        <v>0</v>
      </c>
      <c r="N11777">
        <v>5</v>
      </c>
      <c r="O11777" t="s">
        <v>11960</v>
      </c>
    </row>
    <row r="11778" spans="1:15">
      <c r="A11778" t="s">
        <v>41555</v>
      </c>
      <c r="B11778" t="s">
        <v>11615</v>
      </c>
      <c r="C11778" t="s">
        <v>29316</v>
      </c>
      <c r="D11778" t="s">
        <v>41556</v>
      </c>
      <c r="E11778" t="b">
        <v>0</v>
      </c>
      <c r="F11778" t="s">
        <v>11624</v>
      </c>
      <c r="G11778">
        <v>-5.6301699999999997</v>
      </c>
      <c r="H11778">
        <v>146.40700000000001</v>
      </c>
      <c r="I11778" t="s">
        <v>41557</v>
      </c>
      <c r="L11778">
        <v>0</v>
      </c>
      <c r="M11778">
        <v>0</v>
      </c>
      <c r="N11778">
        <v>0</v>
      </c>
      <c r="O11778" t="s">
        <v>11660</v>
      </c>
    </row>
    <row r="11779" spans="1:15">
      <c r="A11779" t="s">
        <v>33151</v>
      </c>
      <c r="B11779" t="s">
        <v>14398</v>
      </c>
      <c r="C11779" t="s">
        <v>14398</v>
      </c>
      <c r="D11779" t="s">
        <v>41558</v>
      </c>
      <c r="E11779" t="b">
        <v>0</v>
      </c>
      <c r="F11779" t="s">
        <v>11622</v>
      </c>
      <c r="L11779">
        <v>1</v>
      </c>
      <c r="M11779">
        <v>3</v>
      </c>
      <c r="N11779">
        <v>9</v>
      </c>
    </row>
    <row r="11780" spans="1:15">
      <c r="A11780" t="s">
        <v>23605</v>
      </c>
      <c r="B11780" t="s">
        <v>14398</v>
      </c>
      <c r="C11780" t="s">
        <v>33151</v>
      </c>
      <c r="D11780" t="s">
        <v>41559</v>
      </c>
      <c r="E11780" t="b">
        <v>0</v>
      </c>
      <c r="F11780" t="s">
        <v>11622</v>
      </c>
      <c r="L11780">
        <v>0</v>
      </c>
      <c r="M11780">
        <v>2</v>
      </c>
      <c r="N11780">
        <v>6</v>
      </c>
    </row>
    <row r="11781" spans="1:15">
      <c r="A11781" t="s">
        <v>41560</v>
      </c>
      <c r="B11781" t="s">
        <v>367</v>
      </c>
      <c r="C11781" t="s">
        <v>15834</v>
      </c>
      <c r="D11781" t="s">
        <v>41561</v>
      </c>
      <c r="E11781" t="b">
        <v>0</v>
      </c>
      <c r="F11781" t="s">
        <v>11610</v>
      </c>
      <c r="L11781">
        <v>0</v>
      </c>
      <c r="M11781">
        <v>0</v>
      </c>
      <c r="N11781">
        <v>0</v>
      </c>
    </row>
    <row r="11782" spans="1:15">
      <c r="A11782" t="s">
        <v>41562</v>
      </c>
      <c r="B11782" t="s">
        <v>11844</v>
      </c>
      <c r="C11782" t="s">
        <v>41563</v>
      </c>
      <c r="D11782" t="s">
        <v>41564</v>
      </c>
      <c r="E11782" t="b">
        <v>0</v>
      </c>
      <c r="F11782" t="s">
        <v>11610</v>
      </c>
      <c r="L11782">
        <v>0</v>
      </c>
      <c r="M11782">
        <v>0</v>
      </c>
      <c r="N11782">
        <v>0</v>
      </c>
    </row>
    <row r="11783" spans="1:15">
      <c r="A11783" t="s">
        <v>41565</v>
      </c>
      <c r="B11783" t="s">
        <v>26017</v>
      </c>
      <c r="C11783" t="s">
        <v>26017</v>
      </c>
      <c r="D11783" t="s">
        <v>41566</v>
      </c>
      <c r="E11783" t="b">
        <v>0</v>
      </c>
      <c r="F11783" t="s">
        <v>11624</v>
      </c>
      <c r="G11783">
        <v>-13.947900000000001</v>
      </c>
      <c r="H11783">
        <v>130.6</v>
      </c>
      <c r="I11783" t="s">
        <v>41567</v>
      </c>
      <c r="L11783">
        <v>0</v>
      </c>
      <c r="M11783">
        <v>0</v>
      </c>
      <c r="N11783">
        <v>0</v>
      </c>
      <c r="O11783" t="s">
        <v>12107</v>
      </c>
    </row>
    <row r="11784" spans="1:15">
      <c r="A11784" t="s">
        <v>41568</v>
      </c>
      <c r="B11784" t="s">
        <v>11615</v>
      </c>
      <c r="C11784" t="s">
        <v>17042</v>
      </c>
      <c r="D11784" t="s">
        <v>41569</v>
      </c>
      <c r="E11784" t="b">
        <v>0</v>
      </c>
      <c r="F11784" t="s">
        <v>11610</v>
      </c>
      <c r="L11784">
        <v>0</v>
      </c>
      <c r="M11784">
        <v>0</v>
      </c>
      <c r="N11784">
        <v>0</v>
      </c>
    </row>
    <row r="11785" spans="1:15">
      <c r="A11785" t="s">
        <v>41570</v>
      </c>
      <c r="B11785" t="s">
        <v>11844</v>
      </c>
      <c r="C11785" t="s">
        <v>9047</v>
      </c>
      <c r="D11785" t="s">
        <v>41571</v>
      </c>
      <c r="E11785" t="b">
        <v>0</v>
      </c>
      <c r="F11785" t="s">
        <v>11610</v>
      </c>
      <c r="L11785">
        <v>0</v>
      </c>
      <c r="M11785">
        <v>0</v>
      </c>
      <c r="N11785">
        <v>0</v>
      </c>
    </row>
    <row r="11786" spans="1:15">
      <c r="A11786" t="s">
        <v>14408</v>
      </c>
      <c r="B11786" t="s">
        <v>13244</v>
      </c>
      <c r="C11786" t="s">
        <v>19277</v>
      </c>
      <c r="D11786" t="s">
        <v>41572</v>
      </c>
      <c r="E11786" t="b">
        <v>0</v>
      </c>
      <c r="F11786" t="s">
        <v>11622</v>
      </c>
      <c r="L11786">
        <v>0</v>
      </c>
      <c r="M11786">
        <v>2</v>
      </c>
      <c r="N11786">
        <v>0</v>
      </c>
    </row>
    <row r="11787" spans="1:15">
      <c r="A11787" t="s">
        <v>41573</v>
      </c>
      <c r="B11787" t="s">
        <v>11894</v>
      </c>
      <c r="C11787" t="s">
        <v>41574</v>
      </c>
      <c r="D11787" t="s">
        <v>41575</v>
      </c>
      <c r="E11787" t="b">
        <v>0</v>
      </c>
      <c r="F11787" t="s">
        <v>11610</v>
      </c>
      <c r="L11787">
        <v>0</v>
      </c>
      <c r="M11787">
        <v>0</v>
      </c>
      <c r="N11787">
        <v>0</v>
      </c>
    </row>
    <row r="11788" spans="1:15">
      <c r="A11788" t="s">
        <v>41576</v>
      </c>
      <c r="B11788" t="s">
        <v>11729</v>
      </c>
      <c r="C11788" t="s">
        <v>18890</v>
      </c>
      <c r="D11788" t="s">
        <v>41577</v>
      </c>
      <c r="E11788" t="b">
        <v>0</v>
      </c>
      <c r="F11788" t="s">
        <v>11610</v>
      </c>
      <c r="L11788">
        <v>0</v>
      </c>
      <c r="M11788">
        <v>0</v>
      </c>
      <c r="N11788">
        <v>0</v>
      </c>
    </row>
    <row r="11789" spans="1:15">
      <c r="A11789" t="s">
        <v>34792</v>
      </c>
      <c r="B11789" t="s">
        <v>367</v>
      </c>
      <c r="C11789" t="s">
        <v>41578</v>
      </c>
      <c r="D11789" t="s">
        <v>41579</v>
      </c>
      <c r="E11789" t="b">
        <v>0</v>
      </c>
      <c r="F11789" t="s">
        <v>11622</v>
      </c>
      <c r="L11789">
        <v>0</v>
      </c>
      <c r="M11789">
        <v>2</v>
      </c>
      <c r="N11789">
        <v>6</v>
      </c>
    </row>
    <row r="11790" spans="1:15">
      <c r="A11790" t="s">
        <v>41580</v>
      </c>
      <c r="B11790" t="s">
        <v>367</v>
      </c>
      <c r="C11790" t="s">
        <v>40915</v>
      </c>
      <c r="D11790" t="s">
        <v>41581</v>
      </c>
      <c r="E11790" t="b">
        <v>0</v>
      </c>
      <c r="F11790" t="s">
        <v>11624</v>
      </c>
      <c r="G11790">
        <v>17.179400000000001</v>
      </c>
      <c r="H11790">
        <v>121.236</v>
      </c>
      <c r="I11790" t="s">
        <v>41582</v>
      </c>
      <c r="L11790">
        <v>0</v>
      </c>
      <c r="M11790">
        <v>0</v>
      </c>
      <c r="N11790">
        <v>0</v>
      </c>
      <c r="O11790" t="s">
        <v>11749</v>
      </c>
    </row>
    <row r="11791" spans="1:15">
      <c r="A11791" t="s">
        <v>41583</v>
      </c>
      <c r="B11791" t="s">
        <v>10597</v>
      </c>
      <c r="C11791" t="s">
        <v>30150</v>
      </c>
      <c r="D11791" t="s">
        <v>41584</v>
      </c>
      <c r="E11791" t="b">
        <v>0</v>
      </c>
      <c r="F11791" t="s">
        <v>11610</v>
      </c>
      <c r="L11791">
        <v>0</v>
      </c>
      <c r="M11791">
        <v>0</v>
      </c>
      <c r="N11791">
        <v>0</v>
      </c>
    </row>
    <row r="11792" spans="1:15">
      <c r="A11792" t="s">
        <v>41585</v>
      </c>
      <c r="B11792" t="s">
        <v>367</v>
      </c>
      <c r="C11792" t="s">
        <v>18482</v>
      </c>
      <c r="D11792" t="s">
        <v>41586</v>
      </c>
      <c r="E11792" t="b">
        <v>0</v>
      </c>
      <c r="F11792" t="s">
        <v>11624</v>
      </c>
      <c r="G11792">
        <v>-15.991400000000001</v>
      </c>
      <c r="H11792">
        <v>167.28800000000001</v>
      </c>
      <c r="I11792" t="s">
        <v>41587</v>
      </c>
      <c r="L11792">
        <v>0</v>
      </c>
      <c r="M11792">
        <v>0</v>
      </c>
      <c r="N11792">
        <v>1</v>
      </c>
      <c r="O11792" t="s">
        <v>12719</v>
      </c>
    </row>
    <row r="11793" spans="1:15">
      <c r="A11793" t="s">
        <v>41588</v>
      </c>
      <c r="B11793" t="s">
        <v>11615</v>
      </c>
      <c r="C11793" t="s">
        <v>27216</v>
      </c>
      <c r="D11793" t="s">
        <v>41589</v>
      </c>
      <c r="E11793" t="b">
        <v>0</v>
      </c>
      <c r="F11793" t="s">
        <v>11610</v>
      </c>
      <c r="L11793">
        <v>0</v>
      </c>
      <c r="M11793">
        <v>0</v>
      </c>
      <c r="N11793">
        <v>0</v>
      </c>
    </row>
    <row r="11794" spans="1:15">
      <c r="A11794" t="s">
        <v>41590</v>
      </c>
      <c r="B11794" t="s">
        <v>367</v>
      </c>
      <c r="C11794" t="s">
        <v>41591</v>
      </c>
      <c r="D11794" t="s">
        <v>41592</v>
      </c>
      <c r="E11794" t="b">
        <v>0</v>
      </c>
      <c r="F11794" t="s">
        <v>11624</v>
      </c>
      <c r="G11794">
        <v>17.2453</v>
      </c>
      <c r="H11794">
        <v>120.718</v>
      </c>
      <c r="I11794" t="s">
        <v>41593</v>
      </c>
      <c r="L11794">
        <v>0</v>
      </c>
      <c r="M11794">
        <v>0</v>
      </c>
      <c r="N11794">
        <v>0</v>
      </c>
      <c r="O11794" t="s">
        <v>11749</v>
      </c>
    </row>
    <row r="11795" spans="1:15">
      <c r="A11795" t="s">
        <v>41591</v>
      </c>
      <c r="B11795" t="s">
        <v>367</v>
      </c>
      <c r="C11795" t="s">
        <v>34852</v>
      </c>
      <c r="D11795" t="s">
        <v>41594</v>
      </c>
      <c r="E11795" t="b">
        <v>0</v>
      </c>
      <c r="F11795" t="s">
        <v>11622</v>
      </c>
      <c r="L11795">
        <v>0</v>
      </c>
      <c r="M11795">
        <v>2</v>
      </c>
      <c r="N11795">
        <v>0</v>
      </c>
    </row>
    <row r="11796" spans="1:15">
      <c r="A11796" t="s">
        <v>41595</v>
      </c>
      <c r="B11796" t="s">
        <v>11644</v>
      </c>
      <c r="C11796" t="s">
        <v>41596</v>
      </c>
      <c r="D11796" t="s">
        <v>41597</v>
      </c>
      <c r="E11796" t="b">
        <v>0</v>
      </c>
      <c r="F11796" t="s">
        <v>11610</v>
      </c>
      <c r="L11796">
        <v>0</v>
      </c>
      <c r="M11796">
        <v>0</v>
      </c>
      <c r="N11796">
        <v>0</v>
      </c>
    </row>
    <row r="11797" spans="1:15">
      <c r="A11797" t="s">
        <v>41598</v>
      </c>
      <c r="B11797" t="s">
        <v>11644</v>
      </c>
      <c r="C11797" t="s">
        <v>33539</v>
      </c>
      <c r="D11797" t="s">
        <v>41599</v>
      </c>
      <c r="E11797" t="b">
        <v>0</v>
      </c>
      <c r="F11797" t="s">
        <v>11610</v>
      </c>
      <c r="L11797">
        <v>0</v>
      </c>
      <c r="M11797">
        <v>0</v>
      </c>
      <c r="N11797">
        <v>0</v>
      </c>
    </row>
    <row r="11798" spans="1:15">
      <c r="A11798" t="s">
        <v>41600</v>
      </c>
      <c r="B11798" t="s">
        <v>11644</v>
      </c>
      <c r="C11798" t="s">
        <v>41596</v>
      </c>
      <c r="D11798" t="s">
        <v>41601</v>
      </c>
      <c r="E11798" t="b">
        <v>0</v>
      </c>
      <c r="F11798" t="s">
        <v>11610</v>
      </c>
      <c r="L11798">
        <v>0</v>
      </c>
      <c r="M11798">
        <v>0</v>
      </c>
      <c r="N11798">
        <v>0</v>
      </c>
    </row>
    <row r="11799" spans="1:15">
      <c r="A11799" t="s">
        <v>15756</v>
      </c>
      <c r="B11799" t="s">
        <v>367</v>
      </c>
      <c r="C11799" t="s">
        <v>13357</v>
      </c>
      <c r="D11799" t="s">
        <v>41602</v>
      </c>
      <c r="E11799" t="b">
        <v>0</v>
      </c>
      <c r="F11799" t="s">
        <v>11622</v>
      </c>
      <c r="L11799">
        <v>0</v>
      </c>
      <c r="M11799">
        <v>3</v>
      </c>
      <c r="N11799">
        <v>6</v>
      </c>
    </row>
    <row r="11800" spans="1:15">
      <c r="A11800" t="s">
        <v>21752</v>
      </c>
      <c r="B11800" t="s">
        <v>11607</v>
      </c>
      <c r="C11800" t="s">
        <v>23672</v>
      </c>
      <c r="D11800" t="s">
        <v>41603</v>
      </c>
      <c r="E11800" t="b">
        <v>0</v>
      </c>
      <c r="F11800" t="s">
        <v>11624</v>
      </c>
      <c r="G11800">
        <v>10.943</v>
      </c>
      <c r="H11800">
        <v>13.818099999999999</v>
      </c>
      <c r="I11800" t="s">
        <v>41604</v>
      </c>
      <c r="L11800">
        <v>0</v>
      </c>
      <c r="M11800">
        <v>0</v>
      </c>
      <c r="N11800">
        <v>13</v>
      </c>
      <c r="O11800" t="s">
        <v>11802</v>
      </c>
    </row>
    <row r="11801" spans="1:15">
      <c r="A11801" t="s">
        <v>41605</v>
      </c>
      <c r="B11801" t="s">
        <v>367</v>
      </c>
      <c r="C11801" t="s">
        <v>41606</v>
      </c>
      <c r="D11801" t="s">
        <v>41607</v>
      </c>
      <c r="E11801" t="b">
        <v>0</v>
      </c>
      <c r="F11801" t="s">
        <v>11624</v>
      </c>
      <c r="G11801">
        <v>-15.4316</v>
      </c>
      <c r="H11801">
        <v>167.24100000000001</v>
      </c>
      <c r="I11801" t="s">
        <v>41608</v>
      </c>
      <c r="L11801">
        <v>0</v>
      </c>
      <c r="M11801">
        <v>0</v>
      </c>
      <c r="N11801">
        <v>0</v>
      </c>
      <c r="O11801" t="s">
        <v>12719</v>
      </c>
    </row>
    <row r="11802" spans="1:15">
      <c r="A11802" t="s">
        <v>41606</v>
      </c>
      <c r="B11802" t="s">
        <v>367</v>
      </c>
      <c r="C11802" t="s">
        <v>14101</v>
      </c>
      <c r="D11802" t="s">
        <v>41609</v>
      </c>
      <c r="E11802" t="b">
        <v>0</v>
      </c>
      <c r="F11802" t="s">
        <v>11622</v>
      </c>
      <c r="L11802">
        <v>0</v>
      </c>
      <c r="M11802">
        <v>2</v>
      </c>
      <c r="N11802">
        <v>0</v>
      </c>
    </row>
    <row r="11803" spans="1:15">
      <c r="A11803" t="s">
        <v>41610</v>
      </c>
      <c r="B11803" t="s">
        <v>15505</v>
      </c>
      <c r="C11803" t="s">
        <v>18207</v>
      </c>
      <c r="D11803" t="s">
        <v>41611</v>
      </c>
      <c r="E11803" t="b">
        <v>0</v>
      </c>
      <c r="F11803" t="s">
        <v>11610</v>
      </c>
      <c r="L11803">
        <v>0</v>
      </c>
      <c r="M11803">
        <v>0</v>
      </c>
      <c r="N11803">
        <v>0</v>
      </c>
    </row>
    <row r="11804" spans="1:15">
      <c r="A11804" t="s">
        <v>21372</v>
      </c>
      <c r="B11804" t="s">
        <v>11637</v>
      </c>
      <c r="C11804" t="s">
        <v>26514</v>
      </c>
      <c r="D11804" t="s">
        <v>41612</v>
      </c>
      <c r="E11804" t="b">
        <v>0</v>
      </c>
      <c r="F11804" t="s">
        <v>11624</v>
      </c>
      <c r="G11804">
        <v>25.0915</v>
      </c>
      <c r="H11804">
        <v>85.333500000000001</v>
      </c>
      <c r="I11804" t="s">
        <v>41613</v>
      </c>
      <c r="L11804">
        <v>0</v>
      </c>
      <c r="M11804">
        <v>0</v>
      </c>
      <c r="N11804">
        <v>3</v>
      </c>
      <c r="O11804" t="s">
        <v>11630</v>
      </c>
    </row>
    <row r="11805" spans="1:15">
      <c r="A11805" t="s">
        <v>25965</v>
      </c>
      <c r="B11805" t="s">
        <v>11644</v>
      </c>
      <c r="C11805" t="s">
        <v>22427</v>
      </c>
      <c r="D11805" t="s">
        <v>41614</v>
      </c>
      <c r="E11805" t="b">
        <v>0</v>
      </c>
      <c r="F11805" t="s">
        <v>11622</v>
      </c>
      <c r="L11805">
        <v>0</v>
      </c>
      <c r="M11805">
        <v>2</v>
      </c>
      <c r="N11805">
        <v>0</v>
      </c>
    </row>
    <row r="11806" spans="1:15">
      <c r="A11806" t="s">
        <v>41615</v>
      </c>
      <c r="B11806" t="s">
        <v>367</v>
      </c>
      <c r="C11806" t="s">
        <v>41616</v>
      </c>
      <c r="D11806" t="s">
        <v>41617</v>
      </c>
      <c r="E11806" t="b">
        <v>0</v>
      </c>
      <c r="F11806" t="s">
        <v>11610</v>
      </c>
      <c r="L11806">
        <v>0</v>
      </c>
      <c r="M11806">
        <v>0</v>
      </c>
      <c r="N11806">
        <v>0</v>
      </c>
    </row>
    <row r="11807" spans="1:15">
      <c r="A11807" t="s">
        <v>41618</v>
      </c>
      <c r="B11807" t="s">
        <v>367</v>
      </c>
      <c r="C11807" t="s">
        <v>41619</v>
      </c>
      <c r="D11807" t="s">
        <v>41620</v>
      </c>
      <c r="E11807" t="b">
        <v>0</v>
      </c>
      <c r="F11807" t="s">
        <v>11624</v>
      </c>
      <c r="G11807">
        <v>15.195399999999999</v>
      </c>
      <c r="H11807">
        <v>120.459</v>
      </c>
      <c r="I11807" t="s">
        <v>41621</v>
      </c>
      <c r="L11807">
        <v>0</v>
      </c>
      <c r="M11807">
        <v>0</v>
      </c>
      <c r="N11807">
        <v>0</v>
      </c>
      <c r="O11807" t="s">
        <v>11749</v>
      </c>
    </row>
    <row r="11808" spans="1:15">
      <c r="A11808" t="s">
        <v>41622</v>
      </c>
      <c r="B11808" t="s">
        <v>367</v>
      </c>
      <c r="C11808" t="s">
        <v>35240</v>
      </c>
      <c r="D11808" t="s">
        <v>41623</v>
      </c>
      <c r="E11808" t="b">
        <v>0</v>
      </c>
      <c r="F11808" t="s">
        <v>11624</v>
      </c>
      <c r="G11808">
        <v>9.4919600000000006</v>
      </c>
      <c r="H11808">
        <v>122.76900000000001</v>
      </c>
      <c r="I11808" t="s">
        <v>41624</v>
      </c>
      <c r="L11808">
        <v>0</v>
      </c>
      <c r="M11808">
        <v>0</v>
      </c>
      <c r="N11808">
        <v>0</v>
      </c>
      <c r="O11808" t="s">
        <v>11749</v>
      </c>
    </row>
    <row r="11809" spans="1:15">
      <c r="A11809" t="s">
        <v>41625</v>
      </c>
      <c r="B11809" t="s">
        <v>367</v>
      </c>
      <c r="C11809" t="s">
        <v>4567</v>
      </c>
      <c r="D11809" t="s">
        <v>41626</v>
      </c>
      <c r="E11809" t="b">
        <v>0</v>
      </c>
      <c r="F11809" t="s">
        <v>11610</v>
      </c>
      <c r="L11809">
        <v>0</v>
      </c>
      <c r="M11809">
        <v>0</v>
      </c>
      <c r="N11809">
        <v>0</v>
      </c>
    </row>
    <row r="11810" spans="1:15">
      <c r="A11810" t="s">
        <v>41627</v>
      </c>
      <c r="B11810" t="s">
        <v>11607</v>
      </c>
      <c r="C11810" t="s">
        <v>24344</v>
      </c>
      <c r="D11810" t="s">
        <v>41628</v>
      </c>
      <c r="E11810" t="b">
        <v>0</v>
      </c>
      <c r="F11810" t="s">
        <v>11610</v>
      </c>
      <c r="L11810">
        <v>0</v>
      </c>
      <c r="M11810">
        <v>0</v>
      </c>
      <c r="N11810">
        <v>0</v>
      </c>
    </row>
    <row r="11811" spans="1:15">
      <c r="A11811" t="s">
        <v>41619</v>
      </c>
      <c r="B11811" t="s">
        <v>367</v>
      </c>
      <c r="C11811" t="s">
        <v>11740</v>
      </c>
      <c r="D11811" t="s">
        <v>41629</v>
      </c>
      <c r="E11811" t="b">
        <v>0</v>
      </c>
      <c r="F11811" t="s">
        <v>11622</v>
      </c>
      <c r="L11811">
        <v>0</v>
      </c>
      <c r="M11811">
        <v>2</v>
      </c>
      <c r="N11811">
        <v>0</v>
      </c>
    </row>
    <row r="11812" spans="1:15">
      <c r="A11812" t="s">
        <v>41630</v>
      </c>
      <c r="B11812" t="s">
        <v>12204</v>
      </c>
      <c r="C11812" t="s">
        <v>12205</v>
      </c>
      <c r="D11812" t="s">
        <v>41631</v>
      </c>
      <c r="E11812" t="b">
        <v>0</v>
      </c>
      <c r="F11812" t="s">
        <v>11624</v>
      </c>
      <c r="L11812">
        <v>0</v>
      </c>
      <c r="M11812">
        <v>0</v>
      </c>
      <c r="N11812">
        <v>0</v>
      </c>
      <c r="O11812" t="s">
        <v>12131</v>
      </c>
    </row>
    <row r="11813" spans="1:15">
      <c r="A11813" t="s">
        <v>41632</v>
      </c>
      <c r="B11813" t="s">
        <v>11637</v>
      </c>
      <c r="C11813" t="s">
        <v>20004</v>
      </c>
      <c r="D11813" t="s">
        <v>41633</v>
      </c>
      <c r="E11813" t="b">
        <v>0</v>
      </c>
      <c r="F11813" t="s">
        <v>11610</v>
      </c>
      <c r="L11813">
        <v>0</v>
      </c>
      <c r="M11813">
        <v>0</v>
      </c>
      <c r="N11813">
        <v>0</v>
      </c>
    </row>
    <row r="11814" spans="1:15">
      <c r="A11814" t="s">
        <v>41634</v>
      </c>
      <c r="B11814" t="s">
        <v>13276</v>
      </c>
      <c r="C11814" t="s">
        <v>20688</v>
      </c>
      <c r="D11814" t="s">
        <v>41635</v>
      </c>
      <c r="E11814" t="b">
        <v>0</v>
      </c>
      <c r="F11814" t="s">
        <v>11610</v>
      </c>
      <c r="L11814">
        <v>0</v>
      </c>
      <c r="M11814">
        <v>0</v>
      </c>
      <c r="N11814">
        <v>0</v>
      </c>
    </row>
    <row r="11815" spans="1:15">
      <c r="A11815" t="s">
        <v>41636</v>
      </c>
      <c r="B11815" t="s">
        <v>11879</v>
      </c>
      <c r="C11815" t="s">
        <v>14974</v>
      </c>
      <c r="D11815" t="s">
        <v>41637</v>
      </c>
      <c r="E11815" t="b">
        <v>0</v>
      </c>
      <c r="F11815" t="s">
        <v>11624</v>
      </c>
      <c r="G11815">
        <v>17.2837</v>
      </c>
      <c r="H11815">
        <v>-97.541300000000007</v>
      </c>
      <c r="I11815" t="s">
        <v>41638</v>
      </c>
      <c r="L11815">
        <v>0</v>
      </c>
      <c r="M11815">
        <v>0</v>
      </c>
      <c r="N11815">
        <v>5</v>
      </c>
      <c r="O11815" t="s">
        <v>11883</v>
      </c>
    </row>
    <row r="11816" spans="1:15">
      <c r="A11816" t="s">
        <v>41639</v>
      </c>
      <c r="B11816" t="s">
        <v>6455</v>
      </c>
      <c r="C11816" t="s">
        <v>23408</v>
      </c>
      <c r="D11816" t="s">
        <v>41640</v>
      </c>
      <c r="E11816" t="b">
        <v>0</v>
      </c>
      <c r="F11816" t="s">
        <v>11622</v>
      </c>
      <c r="L11816">
        <v>7</v>
      </c>
      <c r="M11816">
        <v>12</v>
      </c>
      <c r="N11816">
        <v>0</v>
      </c>
    </row>
    <row r="11817" spans="1:15">
      <c r="A11817" t="s">
        <v>41641</v>
      </c>
      <c r="B11817" t="s">
        <v>6742</v>
      </c>
      <c r="C11817" t="s">
        <v>41642</v>
      </c>
      <c r="D11817" t="s">
        <v>41643</v>
      </c>
      <c r="E11817" t="b">
        <v>0</v>
      </c>
      <c r="F11817" t="s">
        <v>11624</v>
      </c>
      <c r="G11817">
        <v>9.2888000000000002</v>
      </c>
      <c r="H11817">
        <v>11.023199999999999</v>
      </c>
      <c r="I11817" t="s">
        <v>41644</v>
      </c>
      <c r="L11817">
        <v>0</v>
      </c>
      <c r="M11817">
        <v>0</v>
      </c>
      <c r="N11817">
        <v>0</v>
      </c>
      <c r="O11817" t="s">
        <v>11693</v>
      </c>
    </row>
    <row r="11818" spans="1:15">
      <c r="A11818" t="s">
        <v>41645</v>
      </c>
      <c r="B11818" t="s">
        <v>367</v>
      </c>
      <c r="C11818" t="s">
        <v>41619</v>
      </c>
      <c r="D11818" t="s">
        <v>41646</v>
      </c>
      <c r="E11818" t="b">
        <v>0</v>
      </c>
      <c r="F11818" t="s">
        <v>11624</v>
      </c>
      <c r="G11818">
        <v>14.9617</v>
      </c>
      <c r="H11818">
        <v>120.182</v>
      </c>
      <c r="I11818" t="s">
        <v>41647</v>
      </c>
      <c r="L11818">
        <v>0</v>
      </c>
      <c r="M11818">
        <v>0</v>
      </c>
      <c r="N11818">
        <v>0</v>
      </c>
      <c r="O11818" t="s">
        <v>11749</v>
      </c>
    </row>
    <row r="11819" spans="1:15">
      <c r="A11819" t="s">
        <v>41648</v>
      </c>
      <c r="B11819" t="s">
        <v>11894</v>
      </c>
      <c r="C11819" t="s">
        <v>17511</v>
      </c>
      <c r="D11819" t="s">
        <v>41649</v>
      </c>
      <c r="E11819" t="b">
        <v>0</v>
      </c>
      <c r="F11819" t="s">
        <v>11624</v>
      </c>
      <c r="L11819">
        <v>0</v>
      </c>
      <c r="M11819">
        <v>0</v>
      </c>
      <c r="N11819">
        <v>0</v>
      </c>
      <c r="O11819" t="s">
        <v>14185</v>
      </c>
    </row>
    <row r="11820" spans="1:15">
      <c r="A11820" t="s">
        <v>41650</v>
      </c>
      <c r="B11820" t="s">
        <v>11615</v>
      </c>
      <c r="C11820" t="s">
        <v>12571</v>
      </c>
      <c r="D11820" t="s">
        <v>41651</v>
      </c>
      <c r="E11820" t="b">
        <v>0</v>
      </c>
      <c r="F11820" t="s">
        <v>11624</v>
      </c>
      <c r="I11820" t="s">
        <v>41652</v>
      </c>
      <c r="L11820">
        <v>0</v>
      </c>
      <c r="M11820">
        <v>0</v>
      </c>
      <c r="N11820">
        <v>0</v>
      </c>
      <c r="O11820" t="s">
        <v>11660</v>
      </c>
    </row>
    <row r="11821" spans="1:15">
      <c r="A11821" t="s">
        <v>41653</v>
      </c>
      <c r="B11821" t="s">
        <v>6742</v>
      </c>
      <c r="C11821" t="s">
        <v>36572</v>
      </c>
      <c r="D11821" t="s">
        <v>41654</v>
      </c>
      <c r="E11821" t="b">
        <v>0</v>
      </c>
      <c r="F11821" t="s">
        <v>11624</v>
      </c>
      <c r="G11821">
        <v>-9.2349800000000002</v>
      </c>
      <c r="H11821">
        <v>33.982599999999998</v>
      </c>
      <c r="I11821" t="s">
        <v>41655</v>
      </c>
      <c r="L11821">
        <v>0</v>
      </c>
      <c r="M11821">
        <v>0</v>
      </c>
      <c r="N11821">
        <v>0</v>
      </c>
      <c r="O11821" t="s">
        <v>11635</v>
      </c>
    </row>
    <row r="11822" spans="1:15">
      <c r="A11822" t="s">
        <v>18658</v>
      </c>
      <c r="B11822" t="s">
        <v>367</v>
      </c>
      <c r="C11822" t="s">
        <v>41656</v>
      </c>
      <c r="D11822" t="s">
        <v>41657</v>
      </c>
      <c r="E11822" t="b">
        <v>0</v>
      </c>
      <c r="F11822" t="s">
        <v>11622</v>
      </c>
      <c r="L11822">
        <v>0</v>
      </c>
      <c r="M11822">
        <v>3</v>
      </c>
      <c r="N11822">
        <v>0</v>
      </c>
    </row>
    <row r="11823" spans="1:15">
      <c r="A11823" t="s">
        <v>41658</v>
      </c>
      <c r="B11823" t="s">
        <v>367</v>
      </c>
      <c r="C11823" t="s">
        <v>18658</v>
      </c>
      <c r="D11823" t="s">
        <v>41659</v>
      </c>
      <c r="E11823" t="b">
        <v>0</v>
      </c>
      <c r="F11823" t="s">
        <v>11624</v>
      </c>
      <c r="G11823">
        <v>-10.232100000000001</v>
      </c>
      <c r="H11823">
        <v>149.26</v>
      </c>
      <c r="I11823" t="s">
        <v>41660</v>
      </c>
      <c r="L11823">
        <v>0</v>
      </c>
      <c r="M11823">
        <v>0</v>
      </c>
      <c r="N11823">
        <v>0</v>
      </c>
      <c r="O11823" t="s">
        <v>11660</v>
      </c>
    </row>
    <row r="11824" spans="1:15">
      <c r="A11824" t="s">
        <v>41661</v>
      </c>
      <c r="B11824" t="s">
        <v>11615</v>
      </c>
      <c r="C11824" t="s">
        <v>35396</v>
      </c>
      <c r="D11824" t="s">
        <v>41662</v>
      </c>
      <c r="E11824" t="b">
        <v>0</v>
      </c>
      <c r="F11824" t="s">
        <v>11610</v>
      </c>
      <c r="L11824">
        <v>0</v>
      </c>
      <c r="M11824">
        <v>0</v>
      </c>
      <c r="N11824">
        <v>0</v>
      </c>
    </row>
    <row r="11825" spans="1:15">
      <c r="A11825" t="s">
        <v>41663</v>
      </c>
      <c r="B11825" t="s">
        <v>11607</v>
      </c>
      <c r="C11825" t="s">
        <v>41664</v>
      </c>
      <c r="D11825" t="s">
        <v>41665</v>
      </c>
      <c r="E11825" t="b">
        <v>0</v>
      </c>
      <c r="F11825" t="s">
        <v>11610</v>
      </c>
      <c r="L11825">
        <v>0</v>
      </c>
      <c r="M11825">
        <v>0</v>
      </c>
      <c r="N11825">
        <v>0</v>
      </c>
    </row>
    <row r="11826" spans="1:15">
      <c r="A11826" t="s">
        <v>41666</v>
      </c>
      <c r="B11826" t="s">
        <v>367</v>
      </c>
      <c r="C11826" t="s">
        <v>14279</v>
      </c>
      <c r="D11826" t="s">
        <v>41667</v>
      </c>
      <c r="E11826" t="b">
        <v>0</v>
      </c>
      <c r="F11826" t="s">
        <v>11610</v>
      </c>
      <c r="L11826">
        <v>0</v>
      </c>
      <c r="M11826">
        <v>0</v>
      </c>
      <c r="N11826">
        <v>0</v>
      </c>
    </row>
    <row r="11827" spans="1:15">
      <c r="A11827" t="s">
        <v>41668</v>
      </c>
      <c r="B11827" t="s">
        <v>11637</v>
      </c>
      <c r="C11827" t="s">
        <v>1273</v>
      </c>
      <c r="D11827" t="s">
        <v>41669</v>
      </c>
      <c r="E11827" t="b">
        <v>0</v>
      </c>
      <c r="F11827" t="s">
        <v>11610</v>
      </c>
      <c r="L11827">
        <v>0</v>
      </c>
      <c r="M11827">
        <v>0</v>
      </c>
      <c r="N11827">
        <v>0</v>
      </c>
    </row>
    <row r="11828" spans="1:15">
      <c r="A11828" t="s">
        <v>4370</v>
      </c>
      <c r="B11828" t="s">
        <v>367</v>
      </c>
      <c r="C11828" t="s">
        <v>24015</v>
      </c>
      <c r="D11828" t="s">
        <v>5383</v>
      </c>
      <c r="E11828" t="b">
        <v>0</v>
      </c>
      <c r="F11828" t="s">
        <v>11624</v>
      </c>
      <c r="G11828">
        <v>6.9452999999999996</v>
      </c>
      <c r="H11828">
        <v>124.509</v>
      </c>
      <c r="I11828" t="s">
        <v>4371</v>
      </c>
      <c r="L11828">
        <v>0</v>
      </c>
      <c r="M11828">
        <v>0</v>
      </c>
      <c r="N11828">
        <v>5</v>
      </c>
      <c r="O11828" t="s">
        <v>11749</v>
      </c>
    </row>
    <row r="11829" spans="1:15">
      <c r="A11829" t="s">
        <v>41670</v>
      </c>
      <c r="B11829" t="s">
        <v>11637</v>
      </c>
      <c r="C11829" t="s">
        <v>14273</v>
      </c>
      <c r="D11829" t="s">
        <v>41671</v>
      </c>
      <c r="E11829" t="b">
        <v>0</v>
      </c>
      <c r="F11829" t="s">
        <v>11610</v>
      </c>
      <c r="L11829">
        <v>0</v>
      </c>
      <c r="M11829">
        <v>0</v>
      </c>
      <c r="N11829">
        <v>0</v>
      </c>
    </row>
    <row r="11830" spans="1:15">
      <c r="A11830" t="s">
        <v>41672</v>
      </c>
      <c r="B11830" t="s">
        <v>11637</v>
      </c>
      <c r="C11830" t="s">
        <v>13722</v>
      </c>
      <c r="D11830" t="s">
        <v>41673</v>
      </c>
      <c r="E11830" t="b">
        <v>0</v>
      </c>
      <c r="F11830" t="s">
        <v>11610</v>
      </c>
      <c r="L11830">
        <v>0</v>
      </c>
      <c r="M11830">
        <v>0</v>
      </c>
      <c r="N11830">
        <v>0</v>
      </c>
    </row>
    <row r="11831" spans="1:15">
      <c r="A11831" t="s">
        <v>40849</v>
      </c>
      <c r="B11831" t="s">
        <v>11637</v>
      </c>
      <c r="C11831" t="s">
        <v>30772</v>
      </c>
      <c r="D11831" t="s">
        <v>41674</v>
      </c>
      <c r="E11831" t="b">
        <v>0</v>
      </c>
      <c r="F11831" t="s">
        <v>11624</v>
      </c>
      <c r="G11831">
        <v>31.008800000000001</v>
      </c>
      <c r="H11831">
        <v>77.531700000000001</v>
      </c>
      <c r="I11831" t="s">
        <v>41675</v>
      </c>
      <c r="L11831">
        <v>0</v>
      </c>
      <c r="M11831">
        <v>0</v>
      </c>
      <c r="N11831">
        <v>10</v>
      </c>
      <c r="O11831" t="s">
        <v>11630</v>
      </c>
    </row>
    <row r="11832" spans="1:15">
      <c r="A11832" t="s">
        <v>41676</v>
      </c>
      <c r="B11832" t="s">
        <v>11637</v>
      </c>
      <c r="C11832" t="s">
        <v>13717</v>
      </c>
      <c r="D11832" t="s">
        <v>41677</v>
      </c>
      <c r="E11832" t="b">
        <v>0</v>
      </c>
      <c r="F11832" t="s">
        <v>11610</v>
      </c>
      <c r="L11832">
        <v>0</v>
      </c>
      <c r="M11832">
        <v>0</v>
      </c>
      <c r="N11832">
        <v>0</v>
      </c>
    </row>
    <row r="11833" spans="1:15">
      <c r="A11833" t="s">
        <v>41678</v>
      </c>
      <c r="B11833" t="s">
        <v>11637</v>
      </c>
      <c r="C11833" t="s">
        <v>19820</v>
      </c>
      <c r="D11833" t="s">
        <v>41679</v>
      </c>
      <c r="E11833" t="b">
        <v>0</v>
      </c>
      <c r="F11833" t="s">
        <v>11610</v>
      </c>
      <c r="L11833">
        <v>0</v>
      </c>
      <c r="M11833">
        <v>0</v>
      </c>
      <c r="N11833">
        <v>0</v>
      </c>
    </row>
    <row r="11834" spans="1:15">
      <c r="A11834" t="s">
        <v>41680</v>
      </c>
      <c r="B11834" t="s">
        <v>11637</v>
      </c>
      <c r="C11834" t="s">
        <v>12270</v>
      </c>
      <c r="D11834" t="s">
        <v>41681</v>
      </c>
      <c r="E11834" t="b">
        <v>0</v>
      </c>
      <c r="F11834" t="s">
        <v>11610</v>
      </c>
      <c r="L11834">
        <v>0</v>
      </c>
      <c r="M11834">
        <v>0</v>
      </c>
      <c r="N11834">
        <v>0</v>
      </c>
    </row>
    <row r="11835" spans="1:15">
      <c r="A11835" t="s">
        <v>41682</v>
      </c>
      <c r="B11835" t="s">
        <v>12438</v>
      </c>
      <c r="C11835" t="s">
        <v>37045</v>
      </c>
      <c r="D11835" t="s">
        <v>41683</v>
      </c>
      <c r="E11835" t="b">
        <v>0</v>
      </c>
      <c r="F11835" t="s">
        <v>11624</v>
      </c>
      <c r="G11835">
        <v>22.169799999999999</v>
      </c>
      <c r="H11835">
        <v>86.744500000000002</v>
      </c>
      <c r="I11835" t="s">
        <v>41684</v>
      </c>
      <c r="L11835">
        <v>0</v>
      </c>
      <c r="M11835">
        <v>0</v>
      </c>
      <c r="N11835">
        <v>0</v>
      </c>
      <c r="O11835" t="s">
        <v>11630</v>
      </c>
    </row>
    <row r="11836" spans="1:15">
      <c r="A11836" t="s">
        <v>41685</v>
      </c>
      <c r="B11836" t="s">
        <v>12438</v>
      </c>
      <c r="C11836" t="s">
        <v>34501</v>
      </c>
      <c r="D11836" t="s">
        <v>41686</v>
      </c>
      <c r="E11836" t="b">
        <v>0</v>
      </c>
      <c r="F11836" t="s">
        <v>11610</v>
      </c>
      <c r="L11836">
        <v>0</v>
      </c>
      <c r="M11836">
        <v>0</v>
      </c>
      <c r="N11836">
        <v>0</v>
      </c>
    </row>
    <row r="11837" spans="1:15">
      <c r="A11837" t="s">
        <v>41687</v>
      </c>
      <c r="B11837" t="s">
        <v>11644</v>
      </c>
      <c r="C11837" t="s">
        <v>22458</v>
      </c>
      <c r="D11837" t="s">
        <v>41688</v>
      </c>
      <c r="E11837" t="b">
        <v>0</v>
      </c>
      <c r="F11837" t="s">
        <v>11610</v>
      </c>
      <c r="L11837">
        <v>0</v>
      </c>
      <c r="M11837">
        <v>0</v>
      </c>
      <c r="N11837">
        <v>0</v>
      </c>
    </row>
    <row r="11838" spans="1:15">
      <c r="A11838" t="s">
        <v>41689</v>
      </c>
      <c r="B11838" t="s">
        <v>3164</v>
      </c>
      <c r="C11838" t="s">
        <v>27924</v>
      </c>
      <c r="D11838" t="s">
        <v>41690</v>
      </c>
      <c r="E11838" t="b">
        <v>0</v>
      </c>
      <c r="F11838" t="s">
        <v>11610</v>
      </c>
      <c r="L11838">
        <v>0</v>
      </c>
      <c r="M11838">
        <v>0</v>
      </c>
      <c r="N11838">
        <v>0</v>
      </c>
    </row>
    <row r="11839" spans="1:15">
      <c r="A11839" t="s">
        <v>41691</v>
      </c>
      <c r="B11839" t="s">
        <v>6742</v>
      </c>
      <c r="C11839" t="s">
        <v>41692</v>
      </c>
      <c r="D11839" t="s">
        <v>41693</v>
      </c>
      <c r="E11839" t="b">
        <v>0</v>
      </c>
      <c r="F11839" t="s">
        <v>11610</v>
      </c>
      <c r="L11839">
        <v>0</v>
      </c>
      <c r="M11839">
        <v>0</v>
      </c>
      <c r="N11839">
        <v>0</v>
      </c>
    </row>
    <row r="11840" spans="1:15">
      <c r="A11840" t="s">
        <v>41694</v>
      </c>
      <c r="B11840" t="s">
        <v>6742</v>
      </c>
      <c r="C11840" t="s">
        <v>15793</v>
      </c>
      <c r="D11840" t="s">
        <v>41695</v>
      </c>
      <c r="E11840" t="b">
        <v>0</v>
      </c>
      <c r="F11840" t="s">
        <v>11610</v>
      </c>
      <c r="L11840">
        <v>0</v>
      </c>
      <c r="M11840">
        <v>0</v>
      </c>
      <c r="N11840">
        <v>0</v>
      </c>
    </row>
    <row r="11841" spans="1:15">
      <c r="A11841" t="s">
        <v>41696</v>
      </c>
      <c r="B11841" t="s">
        <v>367</v>
      </c>
      <c r="C11841" t="s">
        <v>17798</v>
      </c>
      <c r="D11841" t="s">
        <v>41697</v>
      </c>
      <c r="E11841" t="b">
        <v>0</v>
      </c>
      <c r="F11841" t="s">
        <v>11610</v>
      </c>
      <c r="L11841">
        <v>0</v>
      </c>
      <c r="M11841">
        <v>0</v>
      </c>
      <c r="N11841">
        <v>0</v>
      </c>
    </row>
    <row r="11842" spans="1:15">
      <c r="A11842" t="s">
        <v>41698</v>
      </c>
      <c r="B11842" t="s">
        <v>11607</v>
      </c>
      <c r="C11842" t="s">
        <v>41699</v>
      </c>
      <c r="D11842" t="s">
        <v>41700</v>
      </c>
      <c r="E11842" t="b">
        <v>0</v>
      </c>
      <c r="F11842" t="s">
        <v>11610</v>
      </c>
      <c r="L11842">
        <v>0</v>
      </c>
      <c r="M11842">
        <v>0</v>
      </c>
      <c r="N11842">
        <v>0</v>
      </c>
    </row>
    <row r="11843" spans="1:15">
      <c r="A11843" t="s">
        <v>41701</v>
      </c>
      <c r="B11843" t="s">
        <v>11637</v>
      </c>
      <c r="C11843" t="s">
        <v>32399</v>
      </c>
      <c r="D11843" t="s">
        <v>41702</v>
      </c>
      <c r="E11843" t="b">
        <v>0</v>
      </c>
      <c r="F11843" t="s">
        <v>11624</v>
      </c>
      <c r="G11843">
        <v>19.18</v>
      </c>
      <c r="H11843">
        <v>74.709999999999994</v>
      </c>
      <c r="I11843" t="s">
        <v>41703</v>
      </c>
      <c r="L11843">
        <v>0</v>
      </c>
      <c r="M11843">
        <v>0</v>
      </c>
      <c r="N11843">
        <v>0</v>
      </c>
      <c r="O11843" t="s">
        <v>11630</v>
      </c>
    </row>
    <row r="11844" spans="1:15">
      <c r="A11844" t="s">
        <v>36094</v>
      </c>
      <c r="B11844" t="s">
        <v>11644</v>
      </c>
      <c r="C11844" t="s">
        <v>31157</v>
      </c>
      <c r="D11844" t="s">
        <v>41704</v>
      </c>
      <c r="E11844" t="b">
        <v>0</v>
      </c>
      <c r="F11844" t="s">
        <v>11622</v>
      </c>
      <c r="L11844">
        <v>25</v>
      </c>
      <c r="M11844">
        <v>44</v>
      </c>
      <c r="N11844">
        <v>91</v>
      </c>
    </row>
    <row r="11845" spans="1:15">
      <c r="A11845" t="s">
        <v>41705</v>
      </c>
      <c r="B11845" t="s">
        <v>11627</v>
      </c>
      <c r="C11845" t="s">
        <v>11627</v>
      </c>
      <c r="D11845" t="s">
        <v>41706</v>
      </c>
      <c r="E11845" t="b">
        <v>1</v>
      </c>
      <c r="F11845" t="s">
        <v>11624</v>
      </c>
      <c r="I11845" t="s">
        <v>41707</v>
      </c>
      <c r="L11845">
        <v>0</v>
      </c>
      <c r="M11845">
        <v>0</v>
      </c>
      <c r="N11845">
        <v>0</v>
      </c>
    </row>
    <row r="11846" spans="1:15">
      <c r="A11846" t="s">
        <v>1744</v>
      </c>
      <c r="B11846" t="s">
        <v>367</v>
      </c>
      <c r="C11846" t="s">
        <v>41708</v>
      </c>
      <c r="D11846" t="s">
        <v>41709</v>
      </c>
      <c r="E11846" t="b">
        <v>0</v>
      </c>
      <c r="F11846" t="s">
        <v>11624</v>
      </c>
      <c r="G11846">
        <v>-24.2</v>
      </c>
      <c r="H11846">
        <v>44.5</v>
      </c>
      <c r="L11846">
        <v>0</v>
      </c>
      <c r="M11846">
        <v>0</v>
      </c>
      <c r="N11846">
        <v>0</v>
      </c>
      <c r="O11846" t="s">
        <v>14012</v>
      </c>
    </row>
    <row r="11847" spans="1:15">
      <c r="A11847" t="s">
        <v>41710</v>
      </c>
      <c r="B11847" t="s">
        <v>11627</v>
      </c>
      <c r="C11847" t="s">
        <v>11627</v>
      </c>
      <c r="D11847" t="s">
        <v>41711</v>
      </c>
      <c r="E11847" t="b">
        <v>1</v>
      </c>
      <c r="F11847" t="s">
        <v>11624</v>
      </c>
      <c r="G11847">
        <v>21.655799999999999</v>
      </c>
      <c r="H11847">
        <v>100.017</v>
      </c>
      <c r="I11847" t="s">
        <v>41712</v>
      </c>
      <c r="L11847">
        <v>0</v>
      </c>
      <c r="M11847">
        <v>0</v>
      </c>
      <c r="N11847">
        <v>0</v>
      </c>
      <c r="O11847" t="s">
        <v>11905</v>
      </c>
    </row>
    <row r="11848" spans="1:15">
      <c r="A11848" t="s">
        <v>41713</v>
      </c>
      <c r="B11848" t="s">
        <v>12979</v>
      </c>
      <c r="C11848" t="s">
        <v>23311</v>
      </c>
      <c r="D11848" t="s">
        <v>41714</v>
      </c>
      <c r="E11848" t="b">
        <v>0</v>
      </c>
      <c r="F11848" t="s">
        <v>11624</v>
      </c>
      <c r="G11848">
        <v>43.902999999999999</v>
      </c>
      <c r="H11848">
        <v>-74.266000000000005</v>
      </c>
      <c r="I11848" t="s">
        <v>41715</v>
      </c>
      <c r="L11848">
        <v>0</v>
      </c>
      <c r="M11848">
        <v>0</v>
      </c>
      <c r="N11848">
        <v>0</v>
      </c>
      <c r="O11848" t="s">
        <v>11944</v>
      </c>
    </row>
    <row r="11849" spans="1:15">
      <c r="A11849" t="s">
        <v>41716</v>
      </c>
      <c r="B11849" t="s">
        <v>11794</v>
      </c>
      <c r="C11849" t="s">
        <v>31501</v>
      </c>
      <c r="D11849" t="s">
        <v>41717</v>
      </c>
      <c r="E11849" t="b">
        <v>0</v>
      </c>
      <c r="F11849" t="s">
        <v>11624</v>
      </c>
      <c r="L11849">
        <v>0</v>
      </c>
      <c r="M11849">
        <v>0</v>
      </c>
      <c r="N11849">
        <v>0</v>
      </c>
      <c r="O11849" t="s">
        <v>11660</v>
      </c>
    </row>
    <row r="11850" spans="1:15">
      <c r="A11850" t="s">
        <v>41718</v>
      </c>
      <c r="B11850" t="s">
        <v>11637</v>
      </c>
      <c r="C11850" t="s">
        <v>24607</v>
      </c>
      <c r="D11850" t="s">
        <v>41719</v>
      </c>
      <c r="E11850" t="b">
        <v>0</v>
      </c>
      <c r="F11850" t="s">
        <v>11610</v>
      </c>
      <c r="L11850">
        <v>0</v>
      </c>
      <c r="M11850">
        <v>0</v>
      </c>
      <c r="N11850">
        <v>0</v>
      </c>
    </row>
    <row r="11851" spans="1:15">
      <c r="A11851" t="s">
        <v>41720</v>
      </c>
      <c r="B11851" t="s">
        <v>6742</v>
      </c>
      <c r="C11851" t="s">
        <v>37592</v>
      </c>
      <c r="D11851" t="s">
        <v>41721</v>
      </c>
      <c r="E11851" t="b">
        <v>0</v>
      </c>
      <c r="F11851" t="s">
        <v>11624</v>
      </c>
      <c r="G11851">
        <v>0.64356000000000002</v>
      </c>
      <c r="H11851">
        <v>14.0472</v>
      </c>
      <c r="I11851" t="s">
        <v>41722</v>
      </c>
      <c r="L11851">
        <v>0</v>
      </c>
      <c r="M11851">
        <v>0</v>
      </c>
      <c r="N11851">
        <v>0</v>
      </c>
      <c r="O11851" t="s">
        <v>20784</v>
      </c>
    </row>
    <row r="11852" spans="1:15">
      <c r="A11852" t="s">
        <v>16919</v>
      </c>
      <c r="B11852" t="s">
        <v>13276</v>
      </c>
      <c r="C11852" t="s">
        <v>37509</v>
      </c>
      <c r="D11852" t="s">
        <v>41723</v>
      </c>
      <c r="E11852" t="b">
        <v>0</v>
      </c>
      <c r="F11852" t="s">
        <v>11624</v>
      </c>
      <c r="G11852">
        <v>8.3547999999999991</v>
      </c>
      <c r="H11852">
        <v>-7.5710899999999999</v>
      </c>
      <c r="I11852" t="s">
        <v>41724</v>
      </c>
      <c r="L11852">
        <v>0</v>
      </c>
      <c r="M11852">
        <v>0</v>
      </c>
      <c r="N11852">
        <v>5</v>
      </c>
      <c r="O11852" t="s">
        <v>37324</v>
      </c>
    </row>
    <row r="11853" spans="1:15">
      <c r="A11853" t="s">
        <v>41725</v>
      </c>
      <c r="B11853" t="s">
        <v>13276</v>
      </c>
      <c r="C11853" t="s">
        <v>16919</v>
      </c>
      <c r="D11853" t="s">
        <v>41726</v>
      </c>
      <c r="E11853" t="b">
        <v>0</v>
      </c>
      <c r="F11853" t="s">
        <v>11610</v>
      </c>
      <c r="L11853">
        <v>0</v>
      </c>
      <c r="M11853">
        <v>0</v>
      </c>
      <c r="N11853">
        <v>0</v>
      </c>
    </row>
    <row r="11854" spans="1:15">
      <c r="A11854" t="s">
        <v>41727</v>
      </c>
      <c r="B11854" t="s">
        <v>367</v>
      </c>
      <c r="C11854" t="s">
        <v>14698</v>
      </c>
      <c r="D11854" t="s">
        <v>41728</v>
      </c>
      <c r="E11854" t="b">
        <v>0</v>
      </c>
      <c r="F11854" t="s">
        <v>11610</v>
      </c>
      <c r="L11854">
        <v>0</v>
      </c>
      <c r="M11854">
        <v>0</v>
      </c>
      <c r="N11854">
        <v>0</v>
      </c>
    </row>
    <row r="11855" spans="1:15">
      <c r="A11855" t="s">
        <v>41729</v>
      </c>
      <c r="B11855" t="s">
        <v>11757</v>
      </c>
      <c r="C11855" t="s">
        <v>11848</v>
      </c>
      <c r="D11855" t="s">
        <v>41730</v>
      </c>
      <c r="E11855" t="b">
        <v>0</v>
      </c>
      <c r="F11855" t="s">
        <v>11610</v>
      </c>
      <c r="L11855">
        <v>0</v>
      </c>
      <c r="M11855">
        <v>0</v>
      </c>
      <c r="N11855">
        <v>0</v>
      </c>
    </row>
    <row r="11856" spans="1:15">
      <c r="A11856" t="s">
        <v>41731</v>
      </c>
      <c r="B11856" t="s">
        <v>367</v>
      </c>
      <c r="C11856" t="s">
        <v>31839</v>
      </c>
      <c r="D11856" t="s">
        <v>41732</v>
      </c>
      <c r="E11856" t="b">
        <v>0</v>
      </c>
      <c r="F11856" t="s">
        <v>11624</v>
      </c>
      <c r="G11856">
        <v>-9.4713200000000004</v>
      </c>
      <c r="H11856">
        <v>150.76</v>
      </c>
      <c r="I11856" t="s">
        <v>41733</v>
      </c>
      <c r="L11856">
        <v>0</v>
      </c>
      <c r="M11856">
        <v>0</v>
      </c>
      <c r="N11856">
        <v>0</v>
      </c>
      <c r="O11856" t="s">
        <v>11660</v>
      </c>
    </row>
    <row r="11857" spans="1:15">
      <c r="A11857" t="s">
        <v>41734</v>
      </c>
      <c r="B11857" t="s">
        <v>367</v>
      </c>
      <c r="C11857" t="s">
        <v>20725</v>
      </c>
      <c r="D11857" t="s">
        <v>41735</v>
      </c>
      <c r="E11857" t="b">
        <v>0</v>
      </c>
      <c r="F11857" t="s">
        <v>11610</v>
      </c>
      <c r="L11857">
        <v>0</v>
      </c>
      <c r="M11857">
        <v>0</v>
      </c>
      <c r="N11857">
        <v>0</v>
      </c>
    </row>
    <row r="11858" spans="1:15">
      <c r="A11858" t="s">
        <v>41736</v>
      </c>
      <c r="B11858" t="s">
        <v>11615</v>
      </c>
      <c r="C11858" t="s">
        <v>35468</v>
      </c>
      <c r="D11858" t="s">
        <v>41737</v>
      </c>
      <c r="E11858" t="b">
        <v>0</v>
      </c>
      <c r="F11858" t="s">
        <v>11624</v>
      </c>
      <c r="G11858">
        <v>-4.5506599999999997</v>
      </c>
      <c r="H11858">
        <v>145.239</v>
      </c>
      <c r="I11858" t="s">
        <v>41738</v>
      </c>
      <c r="L11858">
        <v>0</v>
      </c>
      <c r="M11858">
        <v>0</v>
      </c>
      <c r="N11858">
        <v>0</v>
      </c>
      <c r="O11858" t="s">
        <v>11660</v>
      </c>
    </row>
    <row r="11859" spans="1:15">
      <c r="A11859" t="s">
        <v>41739</v>
      </c>
      <c r="B11859" t="s">
        <v>11615</v>
      </c>
      <c r="C11859" t="s">
        <v>35468</v>
      </c>
      <c r="D11859" t="s">
        <v>41740</v>
      </c>
      <c r="E11859" t="b">
        <v>0</v>
      </c>
      <c r="F11859" t="s">
        <v>11624</v>
      </c>
      <c r="G11859">
        <v>-4.5021199999999997</v>
      </c>
      <c r="H11859">
        <v>145.096</v>
      </c>
      <c r="I11859" t="s">
        <v>41741</v>
      </c>
      <c r="L11859">
        <v>0</v>
      </c>
      <c r="M11859">
        <v>0</v>
      </c>
      <c r="N11859">
        <v>2</v>
      </c>
      <c r="O11859" t="s">
        <v>11660</v>
      </c>
    </row>
    <row r="11860" spans="1:15">
      <c r="A11860" t="s">
        <v>35252</v>
      </c>
      <c r="D11860" t="s">
        <v>41742</v>
      </c>
      <c r="E11860" t="b">
        <v>0</v>
      </c>
      <c r="F11860" t="s">
        <v>11624</v>
      </c>
      <c r="G11860">
        <v>-1.3678999999999999</v>
      </c>
      <c r="H11860">
        <v>132.59100000000001</v>
      </c>
      <c r="I11860" t="s">
        <v>41743</v>
      </c>
      <c r="L11860">
        <v>0</v>
      </c>
      <c r="M11860">
        <v>0</v>
      </c>
      <c r="N11860">
        <v>6</v>
      </c>
      <c r="O11860" t="s">
        <v>11768</v>
      </c>
    </row>
    <row r="11861" spans="1:15">
      <c r="A11861" t="s">
        <v>41744</v>
      </c>
      <c r="B11861" t="s">
        <v>13967</v>
      </c>
      <c r="C11861" t="s">
        <v>21519</v>
      </c>
      <c r="D11861" t="s">
        <v>41745</v>
      </c>
      <c r="E11861" t="b">
        <v>0</v>
      </c>
      <c r="F11861" t="s">
        <v>11610</v>
      </c>
      <c r="L11861">
        <v>0</v>
      </c>
      <c r="M11861">
        <v>0</v>
      </c>
      <c r="N11861">
        <v>0</v>
      </c>
    </row>
    <row r="11862" spans="1:15">
      <c r="A11862" t="s">
        <v>41746</v>
      </c>
      <c r="D11862" t="s">
        <v>41747</v>
      </c>
      <c r="E11862" t="b">
        <v>0</v>
      </c>
      <c r="F11862" t="s">
        <v>11622</v>
      </c>
      <c r="L11862">
        <v>0</v>
      </c>
      <c r="M11862">
        <v>4</v>
      </c>
      <c r="N11862">
        <v>0</v>
      </c>
    </row>
    <row r="11863" spans="1:15">
      <c r="A11863" t="s">
        <v>41748</v>
      </c>
      <c r="B11863" t="s">
        <v>11607</v>
      </c>
      <c r="C11863" t="s">
        <v>24344</v>
      </c>
      <c r="D11863" t="s">
        <v>41749</v>
      </c>
      <c r="E11863" t="b">
        <v>0</v>
      </c>
      <c r="F11863" t="s">
        <v>11610</v>
      </c>
      <c r="L11863">
        <v>0</v>
      </c>
      <c r="M11863">
        <v>0</v>
      </c>
      <c r="N11863">
        <v>0</v>
      </c>
    </row>
    <row r="11864" spans="1:15">
      <c r="A11864" t="s">
        <v>41750</v>
      </c>
      <c r="B11864" t="s">
        <v>367</v>
      </c>
      <c r="C11864" t="s">
        <v>18460</v>
      </c>
      <c r="D11864" t="s">
        <v>41751</v>
      </c>
      <c r="E11864" t="b">
        <v>0</v>
      </c>
      <c r="F11864" t="s">
        <v>11624</v>
      </c>
      <c r="G11864">
        <v>-16.738800000000001</v>
      </c>
      <c r="H11864">
        <v>168.21100000000001</v>
      </c>
      <c r="I11864" t="s">
        <v>41752</v>
      </c>
      <c r="L11864">
        <v>0</v>
      </c>
      <c r="M11864">
        <v>0</v>
      </c>
      <c r="N11864">
        <v>0</v>
      </c>
      <c r="O11864" t="s">
        <v>12719</v>
      </c>
    </row>
    <row r="11865" spans="1:15">
      <c r="A11865" t="s">
        <v>14799</v>
      </c>
      <c r="B11865" t="s">
        <v>14798</v>
      </c>
      <c r="C11865" t="s">
        <v>14798</v>
      </c>
      <c r="D11865" t="s">
        <v>41753</v>
      </c>
      <c r="E11865" t="b">
        <v>0</v>
      </c>
      <c r="F11865" t="s">
        <v>11624</v>
      </c>
      <c r="G11865">
        <v>-10.3657</v>
      </c>
      <c r="H11865">
        <v>149.52099999999999</v>
      </c>
      <c r="I11865" t="s">
        <v>41754</v>
      </c>
      <c r="L11865">
        <v>0</v>
      </c>
      <c r="M11865">
        <v>0</v>
      </c>
      <c r="N11865">
        <v>9</v>
      </c>
      <c r="O11865" t="s">
        <v>11660</v>
      </c>
    </row>
    <row r="11866" spans="1:15">
      <c r="A11866" t="s">
        <v>14798</v>
      </c>
      <c r="D11866" t="s">
        <v>41755</v>
      </c>
      <c r="E11866" t="b">
        <v>0</v>
      </c>
      <c r="F11866" t="s">
        <v>11622</v>
      </c>
      <c r="L11866">
        <v>2</v>
      </c>
      <c r="M11866">
        <v>8</v>
      </c>
      <c r="N11866">
        <v>9</v>
      </c>
    </row>
    <row r="11867" spans="1:15">
      <c r="A11867" t="s">
        <v>41756</v>
      </c>
      <c r="B11867" t="s">
        <v>35252</v>
      </c>
      <c r="C11867" t="s">
        <v>35252</v>
      </c>
      <c r="D11867" t="s">
        <v>41757</v>
      </c>
      <c r="E11867" t="b">
        <v>0</v>
      </c>
      <c r="F11867" t="s">
        <v>11610</v>
      </c>
      <c r="L11867">
        <v>0</v>
      </c>
      <c r="M11867">
        <v>0</v>
      </c>
      <c r="N11867">
        <v>0</v>
      </c>
    </row>
    <row r="11868" spans="1:15">
      <c r="A11868" t="s">
        <v>13988</v>
      </c>
      <c r="B11868" t="s">
        <v>11637</v>
      </c>
      <c r="C11868" t="s">
        <v>29403</v>
      </c>
      <c r="D11868" t="s">
        <v>41758</v>
      </c>
      <c r="E11868" t="b">
        <v>0</v>
      </c>
      <c r="F11868" t="s">
        <v>11624</v>
      </c>
      <c r="G11868">
        <v>50.005000000000003</v>
      </c>
      <c r="H11868">
        <v>8.6210000000000004</v>
      </c>
      <c r="I11868" t="s">
        <v>41759</v>
      </c>
      <c r="L11868">
        <v>0</v>
      </c>
      <c r="M11868">
        <v>0</v>
      </c>
      <c r="N11868">
        <v>12</v>
      </c>
      <c r="O11868" t="s">
        <v>25838</v>
      </c>
    </row>
    <row r="11869" spans="1:15">
      <c r="A11869" t="s">
        <v>23908</v>
      </c>
      <c r="B11869" t="s">
        <v>11644</v>
      </c>
      <c r="C11869" t="s">
        <v>25801</v>
      </c>
      <c r="D11869" t="s">
        <v>41760</v>
      </c>
      <c r="E11869" t="b">
        <v>0</v>
      </c>
      <c r="F11869" t="s">
        <v>11622</v>
      </c>
      <c r="L11869">
        <v>4</v>
      </c>
      <c r="M11869">
        <v>7</v>
      </c>
      <c r="N11869">
        <v>10</v>
      </c>
    </row>
    <row r="11870" spans="1:15">
      <c r="A11870" t="s">
        <v>41761</v>
      </c>
      <c r="B11870" t="s">
        <v>11644</v>
      </c>
      <c r="C11870" t="s">
        <v>11888</v>
      </c>
      <c r="D11870" t="s">
        <v>41762</v>
      </c>
      <c r="E11870" t="b">
        <v>0</v>
      </c>
      <c r="F11870" t="s">
        <v>11610</v>
      </c>
      <c r="L11870">
        <v>0</v>
      </c>
      <c r="M11870">
        <v>0</v>
      </c>
      <c r="N11870">
        <v>0</v>
      </c>
    </row>
    <row r="11871" spans="1:15">
      <c r="A11871" t="s">
        <v>41763</v>
      </c>
      <c r="B11871" t="s">
        <v>13210</v>
      </c>
      <c r="C11871" t="s">
        <v>35927</v>
      </c>
      <c r="D11871" t="s">
        <v>41764</v>
      </c>
      <c r="E11871" t="b">
        <v>0</v>
      </c>
      <c r="F11871" t="s">
        <v>11610</v>
      </c>
      <c r="L11871">
        <v>0</v>
      </c>
      <c r="M11871">
        <v>0</v>
      </c>
      <c r="N11871">
        <v>0</v>
      </c>
    </row>
    <row r="11872" spans="1:15">
      <c r="A11872" t="s">
        <v>41765</v>
      </c>
      <c r="B11872" t="s">
        <v>6742</v>
      </c>
      <c r="C11872" t="s">
        <v>23005</v>
      </c>
      <c r="D11872" t="s">
        <v>41766</v>
      </c>
      <c r="E11872" t="b">
        <v>0</v>
      </c>
      <c r="F11872" t="s">
        <v>11624</v>
      </c>
      <c r="G11872">
        <v>-18.314299999999999</v>
      </c>
      <c r="H11872">
        <v>36.594099999999997</v>
      </c>
      <c r="I11872" t="s">
        <v>41767</v>
      </c>
      <c r="L11872">
        <v>0</v>
      </c>
      <c r="M11872">
        <v>0</v>
      </c>
      <c r="N11872">
        <v>0</v>
      </c>
      <c r="O11872" t="s">
        <v>17188</v>
      </c>
    </row>
    <row r="11873" spans="1:15">
      <c r="A11873" t="s">
        <v>41768</v>
      </c>
      <c r="B11873" t="s">
        <v>11729</v>
      </c>
      <c r="C11873" t="s">
        <v>17894</v>
      </c>
      <c r="D11873" t="s">
        <v>41769</v>
      </c>
      <c r="E11873" t="b">
        <v>0</v>
      </c>
      <c r="F11873" t="s">
        <v>11610</v>
      </c>
      <c r="L11873">
        <v>0</v>
      </c>
      <c r="M11873">
        <v>0</v>
      </c>
      <c r="N11873">
        <v>0</v>
      </c>
    </row>
    <row r="11874" spans="1:15">
      <c r="A11874" t="s">
        <v>39910</v>
      </c>
      <c r="B11874" t="s">
        <v>367</v>
      </c>
      <c r="C11874" t="s">
        <v>31116</v>
      </c>
      <c r="D11874" t="s">
        <v>41770</v>
      </c>
      <c r="E11874" t="b">
        <v>0</v>
      </c>
      <c r="F11874" t="s">
        <v>11624</v>
      </c>
      <c r="G11874">
        <v>3.5444300000000002</v>
      </c>
      <c r="H11874">
        <v>114.039</v>
      </c>
      <c r="I11874" t="s">
        <v>41771</v>
      </c>
      <c r="L11874">
        <v>0</v>
      </c>
      <c r="M11874">
        <v>0</v>
      </c>
      <c r="N11874">
        <v>4</v>
      </c>
      <c r="O11874" t="s">
        <v>16728</v>
      </c>
    </row>
    <row r="11875" spans="1:15">
      <c r="A11875" t="s">
        <v>41772</v>
      </c>
      <c r="B11875" t="s">
        <v>16042</v>
      </c>
      <c r="C11875" t="s">
        <v>37381</v>
      </c>
      <c r="D11875" t="s">
        <v>41773</v>
      </c>
      <c r="E11875" t="b">
        <v>0</v>
      </c>
      <c r="F11875" t="s">
        <v>11610</v>
      </c>
      <c r="L11875">
        <v>0</v>
      </c>
      <c r="M11875">
        <v>0</v>
      </c>
      <c r="N11875">
        <v>0</v>
      </c>
    </row>
    <row r="11876" spans="1:15">
      <c r="A11876" t="s">
        <v>22363</v>
      </c>
      <c r="B11876" t="s">
        <v>20873</v>
      </c>
      <c r="C11876" t="s">
        <v>20873</v>
      </c>
      <c r="D11876" t="s">
        <v>41774</v>
      </c>
      <c r="E11876" t="b">
        <v>0</v>
      </c>
      <c r="F11876" t="s">
        <v>11622</v>
      </c>
      <c r="L11876">
        <v>0</v>
      </c>
      <c r="M11876">
        <v>2</v>
      </c>
      <c r="N11876">
        <v>2</v>
      </c>
    </row>
    <row r="11877" spans="1:15">
      <c r="A11877" t="s">
        <v>21178</v>
      </c>
      <c r="B11877" t="s">
        <v>13244</v>
      </c>
      <c r="C11877" t="s">
        <v>41775</v>
      </c>
      <c r="D11877" t="s">
        <v>41776</v>
      </c>
      <c r="E11877" t="b">
        <v>0</v>
      </c>
      <c r="F11877" t="s">
        <v>11622</v>
      </c>
      <c r="L11877">
        <v>10</v>
      </c>
      <c r="M11877">
        <v>30</v>
      </c>
      <c r="N11877">
        <v>21</v>
      </c>
    </row>
    <row r="11878" spans="1:15">
      <c r="A11878" t="s">
        <v>12758</v>
      </c>
      <c r="B11878" t="s">
        <v>12260</v>
      </c>
      <c r="C11878" t="s">
        <v>25888</v>
      </c>
      <c r="D11878" t="s">
        <v>41777</v>
      </c>
      <c r="E11878" t="b">
        <v>0</v>
      </c>
      <c r="F11878" t="s">
        <v>11622</v>
      </c>
      <c r="L11878">
        <v>0</v>
      </c>
      <c r="M11878">
        <v>4</v>
      </c>
      <c r="N11878">
        <v>2</v>
      </c>
    </row>
    <row r="11879" spans="1:15">
      <c r="A11879" t="s">
        <v>30356</v>
      </c>
      <c r="B11879" t="s">
        <v>6742</v>
      </c>
      <c r="C11879" t="s">
        <v>25479</v>
      </c>
      <c r="D11879" t="s">
        <v>41778</v>
      </c>
      <c r="E11879" t="b">
        <v>0</v>
      </c>
      <c r="F11879" t="s">
        <v>11622</v>
      </c>
      <c r="L11879">
        <v>0</v>
      </c>
      <c r="M11879">
        <v>2</v>
      </c>
      <c r="N11879">
        <v>10</v>
      </c>
    </row>
    <row r="11880" spans="1:15">
      <c r="A11880" t="s">
        <v>28376</v>
      </c>
      <c r="B11880" t="s">
        <v>12133</v>
      </c>
      <c r="C11880" t="s">
        <v>41779</v>
      </c>
      <c r="D11880" t="s">
        <v>41780</v>
      </c>
      <c r="E11880" t="b">
        <v>0</v>
      </c>
      <c r="F11880" t="s">
        <v>11622</v>
      </c>
      <c r="L11880">
        <v>4</v>
      </c>
      <c r="M11880">
        <v>8</v>
      </c>
      <c r="N11880">
        <v>17</v>
      </c>
    </row>
    <row r="11881" spans="1:15">
      <c r="A11881" t="s">
        <v>41781</v>
      </c>
      <c r="B11881" t="s">
        <v>11607</v>
      </c>
      <c r="C11881" t="s">
        <v>41782</v>
      </c>
      <c r="D11881" t="s">
        <v>41783</v>
      </c>
      <c r="E11881" t="b">
        <v>0</v>
      </c>
      <c r="F11881" t="s">
        <v>11622</v>
      </c>
      <c r="L11881">
        <v>13</v>
      </c>
      <c r="M11881">
        <v>21</v>
      </c>
      <c r="N11881">
        <v>35</v>
      </c>
    </row>
    <row r="11882" spans="1:15">
      <c r="A11882" t="s">
        <v>41784</v>
      </c>
      <c r="B11882" t="s">
        <v>367</v>
      </c>
      <c r="C11882" t="s">
        <v>14008</v>
      </c>
      <c r="D11882" t="s">
        <v>41785</v>
      </c>
      <c r="E11882" t="b">
        <v>0</v>
      </c>
      <c r="F11882" t="s">
        <v>11610</v>
      </c>
      <c r="L11882">
        <v>0</v>
      </c>
      <c r="M11882">
        <v>0</v>
      </c>
      <c r="N11882">
        <v>0</v>
      </c>
    </row>
    <row r="11883" spans="1:15">
      <c r="A11883" t="s">
        <v>30640</v>
      </c>
      <c r="B11883" t="s">
        <v>11637</v>
      </c>
      <c r="C11883" t="s">
        <v>32510</v>
      </c>
      <c r="D11883" t="s">
        <v>41786</v>
      </c>
      <c r="E11883" t="b">
        <v>0</v>
      </c>
      <c r="F11883" t="s">
        <v>11610</v>
      </c>
      <c r="L11883">
        <v>0</v>
      </c>
      <c r="M11883">
        <v>0</v>
      </c>
      <c r="N11883">
        <v>7</v>
      </c>
    </row>
    <row r="11884" spans="1:15">
      <c r="A11884" t="s">
        <v>41787</v>
      </c>
      <c r="B11884" t="s">
        <v>367</v>
      </c>
      <c r="C11884" t="s">
        <v>384</v>
      </c>
      <c r="D11884" t="s">
        <v>41788</v>
      </c>
      <c r="E11884" t="b">
        <v>0</v>
      </c>
      <c r="F11884" t="s">
        <v>11622</v>
      </c>
      <c r="L11884">
        <v>18</v>
      </c>
      <c r="M11884">
        <v>30</v>
      </c>
      <c r="N11884">
        <v>18</v>
      </c>
    </row>
    <row r="11885" spans="1:15">
      <c r="A11885" t="s">
        <v>41789</v>
      </c>
      <c r="B11885" t="s">
        <v>11894</v>
      </c>
      <c r="C11885" t="s">
        <v>16708</v>
      </c>
      <c r="D11885" t="s">
        <v>41790</v>
      </c>
      <c r="E11885" t="b">
        <v>0</v>
      </c>
      <c r="F11885" t="s">
        <v>11624</v>
      </c>
      <c r="G11885">
        <v>4.8</v>
      </c>
      <c r="H11885">
        <v>-67.5</v>
      </c>
      <c r="L11885">
        <v>0</v>
      </c>
      <c r="M11885">
        <v>0</v>
      </c>
      <c r="N11885">
        <v>0</v>
      </c>
      <c r="O11885" t="s">
        <v>16711</v>
      </c>
    </row>
    <row r="11886" spans="1:15">
      <c r="A11886" t="s">
        <v>16708</v>
      </c>
      <c r="B11886" t="s">
        <v>11894</v>
      </c>
      <c r="C11886" t="s">
        <v>13165</v>
      </c>
      <c r="D11886" t="s">
        <v>41791</v>
      </c>
      <c r="E11886" t="b">
        <v>0</v>
      </c>
      <c r="F11886" t="s">
        <v>11622</v>
      </c>
      <c r="L11886">
        <v>0</v>
      </c>
      <c r="M11886">
        <v>2</v>
      </c>
      <c r="N11886">
        <v>2</v>
      </c>
    </row>
    <row r="11887" spans="1:15">
      <c r="A11887" t="s">
        <v>41792</v>
      </c>
      <c r="D11887" t="s">
        <v>41793</v>
      </c>
      <c r="E11887" t="b">
        <v>0</v>
      </c>
      <c r="F11887" t="s">
        <v>11622</v>
      </c>
      <c r="L11887">
        <v>0</v>
      </c>
      <c r="M11887">
        <v>3</v>
      </c>
      <c r="N11887">
        <v>1</v>
      </c>
    </row>
    <row r="11888" spans="1:15">
      <c r="A11888" t="s">
        <v>37562</v>
      </c>
      <c r="B11888" t="s">
        <v>367</v>
      </c>
      <c r="C11888" t="s">
        <v>41794</v>
      </c>
      <c r="D11888" t="s">
        <v>41795</v>
      </c>
      <c r="E11888" t="b">
        <v>0</v>
      </c>
      <c r="F11888" t="s">
        <v>11624</v>
      </c>
      <c r="G11888">
        <v>-9.2285299999999992</v>
      </c>
      <c r="H11888">
        <v>148.73099999999999</v>
      </c>
      <c r="I11888" t="s">
        <v>41796</v>
      </c>
      <c r="L11888">
        <v>0</v>
      </c>
      <c r="M11888">
        <v>0</v>
      </c>
      <c r="N11888">
        <v>2</v>
      </c>
      <c r="O11888" t="s">
        <v>11660</v>
      </c>
    </row>
    <row r="11889" spans="1:15">
      <c r="A11889" t="s">
        <v>41797</v>
      </c>
      <c r="B11889" t="s">
        <v>35252</v>
      </c>
      <c r="C11889" t="s">
        <v>35252</v>
      </c>
      <c r="D11889" t="s">
        <v>41798</v>
      </c>
      <c r="E11889" t="b">
        <v>0</v>
      </c>
      <c r="F11889" t="s">
        <v>11610</v>
      </c>
      <c r="L11889">
        <v>0</v>
      </c>
      <c r="M11889">
        <v>0</v>
      </c>
      <c r="N11889">
        <v>0</v>
      </c>
    </row>
    <row r="11890" spans="1:15">
      <c r="A11890" t="s">
        <v>41799</v>
      </c>
      <c r="B11890" t="s">
        <v>35252</v>
      </c>
      <c r="C11890" t="s">
        <v>35252</v>
      </c>
      <c r="D11890" t="s">
        <v>41800</v>
      </c>
      <c r="E11890" t="b">
        <v>0</v>
      </c>
      <c r="F11890" t="s">
        <v>11610</v>
      </c>
      <c r="L11890">
        <v>0</v>
      </c>
      <c r="M11890">
        <v>0</v>
      </c>
      <c r="N11890">
        <v>0</v>
      </c>
    </row>
    <row r="11891" spans="1:15">
      <c r="A11891" t="s">
        <v>16777</v>
      </c>
      <c r="B11891" t="s">
        <v>11637</v>
      </c>
      <c r="C11891" t="s">
        <v>13836</v>
      </c>
      <c r="D11891" t="s">
        <v>41801</v>
      </c>
      <c r="E11891" t="b">
        <v>0</v>
      </c>
      <c r="F11891" t="s">
        <v>11624</v>
      </c>
      <c r="G11891">
        <v>26.381699999999999</v>
      </c>
      <c r="H11891">
        <v>86.221100000000007</v>
      </c>
      <c r="I11891" t="s">
        <v>41802</v>
      </c>
      <c r="L11891">
        <v>0</v>
      </c>
      <c r="M11891">
        <v>0</v>
      </c>
      <c r="N11891">
        <v>17</v>
      </c>
      <c r="O11891" t="s">
        <v>12524</v>
      </c>
    </row>
    <row r="11892" spans="1:15">
      <c r="A11892" t="s">
        <v>41803</v>
      </c>
      <c r="B11892" t="s">
        <v>11644</v>
      </c>
      <c r="C11892" t="s">
        <v>41804</v>
      </c>
      <c r="D11892" t="s">
        <v>41805</v>
      </c>
      <c r="E11892" t="b">
        <v>0</v>
      </c>
      <c r="F11892" t="s">
        <v>11610</v>
      </c>
      <c r="L11892">
        <v>0</v>
      </c>
      <c r="M11892">
        <v>0</v>
      </c>
      <c r="N11892">
        <v>0</v>
      </c>
    </row>
    <row r="11893" spans="1:15">
      <c r="A11893" t="s">
        <v>41806</v>
      </c>
      <c r="B11893" t="s">
        <v>35252</v>
      </c>
      <c r="C11893" t="s">
        <v>35252</v>
      </c>
      <c r="D11893" t="s">
        <v>41807</v>
      </c>
      <c r="E11893" t="b">
        <v>0</v>
      </c>
      <c r="F11893" t="s">
        <v>11610</v>
      </c>
      <c r="L11893">
        <v>0</v>
      </c>
      <c r="M11893">
        <v>0</v>
      </c>
      <c r="N11893">
        <v>0</v>
      </c>
    </row>
    <row r="11894" spans="1:15">
      <c r="A11894" t="s">
        <v>41808</v>
      </c>
      <c r="B11894" t="s">
        <v>8310</v>
      </c>
      <c r="C11894" t="s">
        <v>570</v>
      </c>
      <c r="D11894" t="s">
        <v>41809</v>
      </c>
      <c r="E11894" t="b">
        <v>0</v>
      </c>
      <c r="F11894" t="s">
        <v>11610</v>
      </c>
      <c r="L11894">
        <v>0</v>
      </c>
      <c r="M11894">
        <v>0</v>
      </c>
      <c r="N11894">
        <v>0</v>
      </c>
    </row>
    <row r="11895" spans="1:15">
      <c r="A11895" t="s">
        <v>26515</v>
      </c>
      <c r="B11895" t="s">
        <v>11637</v>
      </c>
      <c r="C11895" t="s">
        <v>18493</v>
      </c>
      <c r="D11895" t="s">
        <v>41810</v>
      </c>
      <c r="E11895" t="b">
        <v>0</v>
      </c>
      <c r="F11895" t="s">
        <v>11622</v>
      </c>
      <c r="L11895">
        <v>2</v>
      </c>
      <c r="M11895">
        <v>5</v>
      </c>
      <c r="N11895">
        <v>20</v>
      </c>
    </row>
    <row r="11896" spans="1:15">
      <c r="A11896" t="s">
        <v>13836</v>
      </c>
      <c r="B11896" t="s">
        <v>11637</v>
      </c>
      <c r="C11896" t="s">
        <v>26515</v>
      </c>
      <c r="D11896" t="s">
        <v>41811</v>
      </c>
      <c r="E11896" t="b">
        <v>0</v>
      </c>
      <c r="F11896" t="s">
        <v>11622</v>
      </c>
      <c r="L11896">
        <v>0</v>
      </c>
      <c r="M11896">
        <v>2</v>
      </c>
      <c r="N11896">
        <v>17</v>
      </c>
    </row>
    <row r="11897" spans="1:15">
      <c r="A11897" t="s">
        <v>41812</v>
      </c>
      <c r="B11897" t="s">
        <v>367</v>
      </c>
      <c r="C11897" t="s">
        <v>26582</v>
      </c>
      <c r="D11897" t="s">
        <v>41813</v>
      </c>
      <c r="E11897" t="b">
        <v>0</v>
      </c>
      <c r="F11897" t="s">
        <v>11624</v>
      </c>
      <c r="G11897">
        <v>-10.328200000000001</v>
      </c>
      <c r="H11897">
        <v>150.33000000000001</v>
      </c>
      <c r="I11897" t="s">
        <v>41814</v>
      </c>
      <c r="L11897">
        <v>0</v>
      </c>
      <c r="M11897">
        <v>0</v>
      </c>
      <c r="N11897">
        <v>0</v>
      </c>
      <c r="O11897" t="s">
        <v>11660</v>
      </c>
    </row>
    <row r="11898" spans="1:15">
      <c r="A11898" t="s">
        <v>41815</v>
      </c>
      <c r="B11898" t="s">
        <v>367</v>
      </c>
      <c r="C11898" t="s">
        <v>25594</v>
      </c>
      <c r="D11898" t="s">
        <v>41816</v>
      </c>
      <c r="E11898" t="b">
        <v>0</v>
      </c>
      <c r="F11898" t="s">
        <v>11624</v>
      </c>
      <c r="G11898">
        <v>-3.5944400000000001</v>
      </c>
      <c r="H11898">
        <v>119.97799999999999</v>
      </c>
      <c r="I11898" t="s">
        <v>41817</v>
      </c>
      <c r="L11898">
        <v>0</v>
      </c>
      <c r="M11898">
        <v>0</v>
      </c>
      <c r="N11898">
        <v>0</v>
      </c>
      <c r="O11898" t="s">
        <v>11768</v>
      </c>
    </row>
    <row r="11899" spans="1:15">
      <c r="A11899" t="s">
        <v>28337</v>
      </c>
      <c r="B11899" t="s">
        <v>23796</v>
      </c>
      <c r="C11899" t="s">
        <v>23796</v>
      </c>
      <c r="D11899" t="s">
        <v>41818</v>
      </c>
      <c r="E11899" t="b">
        <v>0</v>
      </c>
      <c r="F11899" t="s">
        <v>11624</v>
      </c>
      <c r="G11899">
        <v>-9.6983599999999992</v>
      </c>
      <c r="H11899">
        <v>149.274</v>
      </c>
      <c r="I11899" t="s">
        <v>41819</v>
      </c>
      <c r="L11899">
        <v>0</v>
      </c>
      <c r="M11899">
        <v>0</v>
      </c>
      <c r="N11899">
        <v>5</v>
      </c>
      <c r="O11899" t="s">
        <v>11660</v>
      </c>
    </row>
    <row r="11900" spans="1:15">
      <c r="A11900" t="s">
        <v>41820</v>
      </c>
      <c r="B11900" t="s">
        <v>23796</v>
      </c>
      <c r="C11900" t="s">
        <v>28337</v>
      </c>
      <c r="D11900" t="s">
        <v>41821</v>
      </c>
      <c r="E11900" t="b">
        <v>0</v>
      </c>
      <c r="F11900" t="s">
        <v>11610</v>
      </c>
      <c r="L11900">
        <v>0</v>
      </c>
      <c r="M11900">
        <v>0</v>
      </c>
      <c r="N11900">
        <v>0</v>
      </c>
    </row>
    <row r="11901" spans="1:15">
      <c r="A11901" t="s">
        <v>41822</v>
      </c>
      <c r="B11901" t="s">
        <v>35252</v>
      </c>
      <c r="C11901" t="s">
        <v>35252</v>
      </c>
      <c r="D11901" t="s">
        <v>41823</v>
      </c>
      <c r="E11901" t="b">
        <v>0</v>
      </c>
      <c r="F11901" t="s">
        <v>11610</v>
      </c>
      <c r="L11901">
        <v>0</v>
      </c>
      <c r="M11901">
        <v>0</v>
      </c>
      <c r="N11901">
        <v>0</v>
      </c>
    </row>
    <row r="11902" spans="1:15">
      <c r="A11902" t="s">
        <v>41824</v>
      </c>
      <c r="B11902" t="s">
        <v>4342</v>
      </c>
      <c r="C11902" t="s">
        <v>16774</v>
      </c>
      <c r="D11902" t="s">
        <v>41825</v>
      </c>
      <c r="E11902" t="b">
        <v>0</v>
      </c>
      <c r="F11902" t="s">
        <v>11610</v>
      </c>
      <c r="L11902">
        <v>0</v>
      </c>
      <c r="M11902">
        <v>0</v>
      </c>
      <c r="N11902">
        <v>0</v>
      </c>
    </row>
    <row r="11903" spans="1:15">
      <c r="A11903" t="s">
        <v>41826</v>
      </c>
      <c r="B11903" t="s">
        <v>15569</v>
      </c>
      <c r="C11903" t="s">
        <v>15569</v>
      </c>
      <c r="D11903" t="s">
        <v>41827</v>
      </c>
      <c r="E11903" t="b">
        <v>0</v>
      </c>
      <c r="F11903" t="s">
        <v>11624</v>
      </c>
      <c r="G11903">
        <v>7.6843000000000004</v>
      </c>
      <c r="H11903">
        <v>35.022799999999997</v>
      </c>
      <c r="I11903" t="s">
        <v>41828</v>
      </c>
      <c r="L11903">
        <v>0</v>
      </c>
      <c r="M11903">
        <v>0</v>
      </c>
      <c r="N11903">
        <v>0</v>
      </c>
      <c r="O11903" t="s">
        <v>11625</v>
      </c>
    </row>
    <row r="11904" spans="1:15">
      <c r="A11904" t="s">
        <v>41829</v>
      </c>
      <c r="B11904" t="s">
        <v>367</v>
      </c>
      <c r="C11904" t="s">
        <v>16236</v>
      </c>
      <c r="D11904" t="s">
        <v>41830</v>
      </c>
      <c r="E11904" t="b">
        <v>0</v>
      </c>
      <c r="F11904" t="s">
        <v>11610</v>
      </c>
      <c r="L11904">
        <v>0</v>
      </c>
      <c r="M11904">
        <v>0</v>
      </c>
      <c r="N11904">
        <v>0</v>
      </c>
    </row>
    <row r="11905" spans="1:15">
      <c r="A11905" t="s">
        <v>31794</v>
      </c>
      <c r="B11905" t="s">
        <v>11607</v>
      </c>
      <c r="C11905" t="s">
        <v>33531</v>
      </c>
      <c r="D11905" t="s">
        <v>41831</v>
      </c>
      <c r="E11905" t="b">
        <v>0</v>
      </c>
      <c r="F11905" t="s">
        <v>11624</v>
      </c>
      <c r="G11905">
        <v>11.1433</v>
      </c>
      <c r="H11905">
        <v>15.044</v>
      </c>
      <c r="I11905" t="s">
        <v>41832</v>
      </c>
      <c r="L11905">
        <v>0</v>
      </c>
      <c r="M11905">
        <v>0</v>
      </c>
      <c r="N11905">
        <v>3</v>
      </c>
      <c r="O11905" t="s">
        <v>29226</v>
      </c>
    </row>
    <row r="11906" spans="1:15">
      <c r="A11906" t="s">
        <v>41833</v>
      </c>
      <c r="B11906" t="s">
        <v>12438</v>
      </c>
      <c r="C11906" t="s">
        <v>14927</v>
      </c>
      <c r="D11906" t="s">
        <v>41834</v>
      </c>
      <c r="E11906" t="b">
        <v>0</v>
      </c>
      <c r="F11906" t="s">
        <v>11624</v>
      </c>
      <c r="G11906">
        <v>22.879200000000001</v>
      </c>
      <c r="H11906">
        <v>83.613799999999998</v>
      </c>
      <c r="I11906" t="s">
        <v>41835</v>
      </c>
      <c r="L11906">
        <v>0</v>
      </c>
      <c r="M11906">
        <v>0</v>
      </c>
      <c r="N11906">
        <v>0</v>
      </c>
      <c r="O11906" t="s">
        <v>11630</v>
      </c>
    </row>
    <row r="11907" spans="1:15">
      <c r="A11907" t="s">
        <v>41836</v>
      </c>
      <c r="B11907" t="s">
        <v>11637</v>
      </c>
      <c r="C11907" t="s">
        <v>15714</v>
      </c>
      <c r="D11907" t="s">
        <v>41837</v>
      </c>
      <c r="E11907" t="b">
        <v>0</v>
      </c>
      <c r="F11907" t="s">
        <v>11610</v>
      </c>
      <c r="L11907">
        <v>0</v>
      </c>
      <c r="M11907">
        <v>0</v>
      </c>
      <c r="N11907">
        <v>0</v>
      </c>
    </row>
    <row r="11908" spans="1:15">
      <c r="A11908" t="s">
        <v>41838</v>
      </c>
      <c r="B11908" t="s">
        <v>11637</v>
      </c>
      <c r="C11908" t="s">
        <v>8925</v>
      </c>
      <c r="D11908" t="s">
        <v>41839</v>
      </c>
      <c r="E11908" t="b">
        <v>0</v>
      </c>
      <c r="F11908" t="s">
        <v>11610</v>
      </c>
      <c r="L11908">
        <v>0</v>
      </c>
      <c r="M11908">
        <v>0</v>
      </c>
      <c r="N11908">
        <v>0</v>
      </c>
    </row>
    <row r="11909" spans="1:15">
      <c r="A11909" t="s">
        <v>41840</v>
      </c>
      <c r="B11909" t="s">
        <v>11637</v>
      </c>
      <c r="C11909" t="s">
        <v>20184</v>
      </c>
      <c r="D11909" t="s">
        <v>41841</v>
      </c>
      <c r="E11909" t="b">
        <v>0</v>
      </c>
      <c r="F11909" t="s">
        <v>11624</v>
      </c>
      <c r="G11909">
        <v>29.4559</v>
      </c>
      <c r="H11909">
        <v>80.378799999999998</v>
      </c>
      <c r="I11909" t="s">
        <v>41842</v>
      </c>
      <c r="L11909">
        <v>0</v>
      </c>
      <c r="M11909">
        <v>0</v>
      </c>
      <c r="N11909">
        <v>0</v>
      </c>
      <c r="O11909" t="s">
        <v>12524</v>
      </c>
    </row>
    <row r="11910" spans="1:15">
      <c r="A11910" t="s">
        <v>41843</v>
      </c>
      <c r="B11910" t="s">
        <v>12438</v>
      </c>
      <c r="C11910" t="s">
        <v>37537</v>
      </c>
      <c r="D11910" t="s">
        <v>41844</v>
      </c>
      <c r="E11910" t="b">
        <v>0</v>
      </c>
      <c r="F11910" t="s">
        <v>11610</v>
      </c>
      <c r="L11910">
        <v>0</v>
      </c>
      <c r="M11910">
        <v>0</v>
      </c>
      <c r="N11910">
        <v>0</v>
      </c>
    </row>
    <row r="11911" spans="1:15">
      <c r="A11911" t="s">
        <v>41845</v>
      </c>
      <c r="B11911" t="s">
        <v>11729</v>
      </c>
      <c r="C11911" t="s">
        <v>5883</v>
      </c>
      <c r="D11911" t="s">
        <v>41846</v>
      </c>
      <c r="E11911" t="b">
        <v>0</v>
      </c>
      <c r="F11911" t="s">
        <v>11610</v>
      </c>
      <c r="L11911">
        <v>0</v>
      </c>
      <c r="M11911">
        <v>0</v>
      </c>
      <c r="N11911">
        <v>0</v>
      </c>
    </row>
    <row r="11912" spans="1:15">
      <c r="A11912" t="s">
        <v>41847</v>
      </c>
      <c r="B11912" t="s">
        <v>13210</v>
      </c>
      <c r="C11912" t="s">
        <v>35927</v>
      </c>
      <c r="D11912" t="s">
        <v>41848</v>
      </c>
      <c r="E11912" t="b">
        <v>0</v>
      </c>
      <c r="F11912" t="s">
        <v>11610</v>
      </c>
      <c r="L11912">
        <v>0</v>
      </c>
      <c r="M11912">
        <v>0</v>
      </c>
      <c r="N11912">
        <v>0</v>
      </c>
    </row>
    <row r="11913" spans="1:15">
      <c r="A11913" t="s">
        <v>41849</v>
      </c>
      <c r="B11913" t="s">
        <v>367</v>
      </c>
      <c r="C11913" t="s">
        <v>20602</v>
      </c>
      <c r="D11913" t="s">
        <v>41850</v>
      </c>
      <c r="E11913" t="b">
        <v>0</v>
      </c>
      <c r="F11913" t="s">
        <v>11610</v>
      </c>
      <c r="L11913">
        <v>0</v>
      </c>
      <c r="M11913">
        <v>0</v>
      </c>
      <c r="N11913">
        <v>0</v>
      </c>
    </row>
    <row r="11914" spans="1:15">
      <c r="A11914" t="s">
        <v>12483</v>
      </c>
      <c r="B11914" t="s">
        <v>5126</v>
      </c>
      <c r="C11914" t="s">
        <v>41851</v>
      </c>
      <c r="D11914" t="s">
        <v>41852</v>
      </c>
      <c r="E11914" t="b">
        <v>0</v>
      </c>
      <c r="F11914" t="s">
        <v>11622</v>
      </c>
      <c r="L11914">
        <v>0</v>
      </c>
      <c r="M11914">
        <v>2</v>
      </c>
      <c r="N11914">
        <v>7</v>
      </c>
    </row>
    <row r="11915" spans="1:15">
      <c r="A11915" t="s">
        <v>41853</v>
      </c>
      <c r="B11915" t="s">
        <v>6742</v>
      </c>
      <c r="C11915" t="s">
        <v>5975</v>
      </c>
      <c r="D11915" t="s">
        <v>41854</v>
      </c>
      <c r="E11915" t="b">
        <v>0</v>
      </c>
      <c r="F11915" t="s">
        <v>11610</v>
      </c>
      <c r="L11915">
        <v>0</v>
      </c>
      <c r="M11915">
        <v>0</v>
      </c>
      <c r="N11915">
        <v>0</v>
      </c>
    </row>
    <row r="11916" spans="1:15">
      <c r="A11916" t="s">
        <v>41855</v>
      </c>
      <c r="B11916" t="s">
        <v>6742</v>
      </c>
      <c r="C11916" t="s">
        <v>4066</v>
      </c>
      <c r="D11916" t="s">
        <v>41856</v>
      </c>
      <c r="E11916" t="b">
        <v>0</v>
      </c>
      <c r="F11916" t="s">
        <v>11610</v>
      </c>
      <c r="L11916">
        <v>0</v>
      </c>
      <c r="M11916">
        <v>0</v>
      </c>
      <c r="N11916">
        <v>0</v>
      </c>
    </row>
    <row r="11917" spans="1:15">
      <c r="A11917" t="s">
        <v>17648</v>
      </c>
      <c r="B11917" t="s">
        <v>6742</v>
      </c>
      <c r="C11917" t="s">
        <v>20795</v>
      </c>
      <c r="D11917" t="s">
        <v>41857</v>
      </c>
      <c r="E11917" t="b">
        <v>0</v>
      </c>
      <c r="F11917" t="s">
        <v>11624</v>
      </c>
      <c r="G11917">
        <v>4.1547099999999997</v>
      </c>
      <c r="H11917">
        <v>13.078900000000001</v>
      </c>
      <c r="I11917" t="s">
        <v>41858</v>
      </c>
      <c r="L11917">
        <v>0</v>
      </c>
      <c r="M11917">
        <v>0</v>
      </c>
      <c r="N11917">
        <v>3</v>
      </c>
      <c r="O11917" t="s">
        <v>11703</v>
      </c>
    </row>
    <row r="11918" spans="1:15">
      <c r="A11918" t="s">
        <v>41859</v>
      </c>
      <c r="B11918" t="s">
        <v>367</v>
      </c>
      <c r="C11918" t="s">
        <v>15607</v>
      </c>
      <c r="D11918" t="s">
        <v>41860</v>
      </c>
      <c r="E11918" t="b">
        <v>0</v>
      </c>
      <c r="F11918" t="s">
        <v>11624</v>
      </c>
      <c r="G11918">
        <v>-5.1610800000000001</v>
      </c>
      <c r="H11918">
        <v>119.408</v>
      </c>
      <c r="I11918" t="s">
        <v>41861</v>
      </c>
      <c r="L11918">
        <v>0</v>
      </c>
      <c r="M11918">
        <v>0</v>
      </c>
      <c r="N11918">
        <v>0</v>
      </c>
      <c r="O11918" t="s">
        <v>11768</v>
      </c>
    </row>
    <row r="11919" spans="1:15">
      <c r="A11919" t="s">
        <v>41862</v>
      </c>
      <c r="B11919" t="s">
        <v>367</v>
      </c>
      <c r="C11919" t="s">
        <v>11612</v>
      </c>
      <c r="D11919" t="s">
        <v>41863</v>
      </c>
      <c r="E11919" t="b">
        <v>0</v>
      </c>
      <c r="F11919" t="s">
        <v>11610</v>
      </c>
      <c r="L11919">
        <v>0</v>
      </c>
      <c r="M11919">
        <v>0</v>
      </c>
      <c r="N11919">
        <v>0</v>
      </c>
    </row>
    <row r="11920" spans="1:15">
      <c r="A11920" t="s">
        <v>41864</v>
      </c>
      <c r="B11920" t="s">
        <v>367</v>
      </c>
      <c r="C11920" t="s">
        <v>41865</v>
      </c>
      <c r="D11920" t="s">
        <v>41866</v>
      </c>
      <c r="E11920" t="b">
        <v>0</v>
      </c>
      <c r="F11920" t="s">
        <v>11610</v>
      </c>
      <c r="L11920">
        <v>0</v>
      </c>
      <c r="M11920">
        <v>0</v>
      </c>
      <c r="N11920">
        <v>0</v>
      </c>
    </row>
    <row r="11921" spans="1:15">
      <c r="A11921" t="s">
        <v>41867</v>
      </c>
      <c r="B11921" t="s">
        <v>367</v>
      </c>
      <c r="C11921" t="s">
        <v>13239</v>
      </c>
      <c r="D11921" t="s">
        <v>41868</v>
      </c>
      <c r="E11921" t="b">
        <v>0</v>
      </c>
      <c r="F11921" t="s">
        <v>11610</v>
      </c>
      <c r="L11921">
        <v>0</v>
      </c>
      <c r="M11921">
        <v>0</v>
      </c>
      <c r="N11921">
        <v>0</v>
      </c>
    </row>
    <row r="11922" spans="1:15">
      <c r="A11922" t="s">
        <v>41869</v>
      </c>
      <c r="B11922" t="s">
        <v>367</v>
      </c>
      <c r="C11922" t="s">
        <v>23934</v>
      </c>
      <c r="D11922" t="s">
        <v>41870</v>
      </c>
      <c r="E11922" t="b">
        <v>0</v>
      </c>
      <c r="F11922" t="s">
        <v>11610</v>
      </c>
      <c r="L11922">
        <v>0</v>
      </c>
      <c r="M11922">
        <v>0</v>
      </c>
      <c r="N11922">
        <v>0</v>
      </c>
    </row>
    <row r="11923" spans="1:15">
      <c r="A11923" t="s">
        <v>5048</v>
      </c>
      <c r="B11923" t="s">
        <v>367</v>
      </c>
      <c r="C11923" t="s">
        <v>20084</v>
      </c>
      <c r="D11923" t="s">
        <v>41871</v>
      </c>
      <c r="E11923" t="b">
        <v>0</v>
      </c>
      <c r="F11923" t="s">
        <v>11622</v>
      </c>
      <c r="L11923">
        <v>2</v>
      </c>
      <c r="M11923">
        <v>5</v>
      </c>
      <c r="N11923">
        <v>6</v>
      </c>
    </row>
    <row r="11924" spans="1:15">
      <c r="A11924" t="s">
        <v>5401</v>
      </c>
      <c r="B11924" t="s">
        <v>367</v>
      </c>
      <c r="C11924" t="s">
        <v>18010</v>
      </c>
      <c r="D11924" t="s">
        <v>41872</v>
      </c>
      <c r="E11924" t="b">
        <v>0</v>
      </c>
      <c r="F11924" t="s">
        <v>11624</v>
      </c>
      <c r="G11924">
        <v>-5.6555099999999996</v>
      </c>
      <c r="H11924">
        <v>119.83799999999999</v>
      </c>
      <c r="I11924" t="s">
        <v>5402</v>
      </c>
      <c r="L11924">
        <v>0</v>
      </c>
      <c r="M11924">
        <v>0</v>
      </c>
      <c r="N11924">
        <v>3</v>
      </c>
      <c r="O11924" t="s">
        <v>11768</v>
      </c>
    </row>
    <row r="11925" spans="1:15">
      <c r="A11925" t="s">
        <v>41873</v>
      </c>
      <c r="B11925" t="s">
        <v>367</v>
      </c>
      <c r="C11925" t="s">
        <v>41874</v>
      </c>
      <c r="D11925" t="s">
        <v>41875</v>
      </c>
      <c r="E11925" t="b">
        <v>0</v>
      </c>
      <c r="F11925" t="s">
        <v>11610</v>
      </c>
      <c r="L11925">
        <v>0</v>
      </c>
      <c r="M11925">
        <v>0</v>
      </c>
      <c r="N11925">
        <v>0</v>
      </c>
    </row>
    <row r="11926" spans="1:15">
      <c r="A11926" t="s">
        <v>41876</v>
      </c>
      <c r="B11926" t="s">
        <v>367</v>
      </c>
      <c r="C11926" t="s">
        <v>39155</v>
      </c>
      <c r="D11926" t="s">
        <v>41877</v>
      </c>
      <c r="E11926" t="b">
        <v>0</v>
      </c>
      <c r="F11926" t="s">
        <v>11610</v>
      </c>
      <c r="L11926">
        <v>0</v>
      </c>
      <c r="M11926">
        <v>0</v>
      </c>
      <c r="N11926">
        <v>0</v>
      </c>
    </row>
    <row r="11927" spans="1:15">
      <c r="A11927" t="s">
        <v>29327</v>
      </c>
      <c r="B11927" t="s">
        <v>11794</v>
      </c>
      <c r="C11927" t="s">
        <v>16961</v>
      </c>
      <c r="D11927" t="s">
        <v>41878</v>
      </c>
      <c r="E11927" t="b">
        <v>0</v>
      </c>
      <c r="F11927" t="s">
        <v>11624</v>
      </c>
      <c r="G11927">
        <v>-8.3731200000000001</v>
      </c>
      <c r="H11927">
        <v>142.70599999999999</v>
      </c>
      <c r="I11927" t="s">
        <v>41879</v>
      </c>
      <c r="L11927">
        <v>0</v>
      </c>
      <c r="M11927">
        <v>0</v>
      </c>
      <c r="N11927">
        <v>1</v>
      </c>
      <c r="O11927" t="s">
        <v>11660</v>
      </c>
    </row>
    <row r="11928" spans="1:15">
      <c r="A11928" t="s">
        <v>41880</v>
      </c>
      <c r="B11928" t="s">
        <v>11839</v>
      </c>
      <c r="C11928" t="s">
        <v>26303</v>
      </c>
      <c r="D11928" t="s">
        <v>41881</v>
      </c>
      <c r="E11928" t="b">
        <v>0</v>
      </c>
      <c r="F11928" t="s">
        <v>11624</v>
      </c>
      <c r="G11928">
        <v>-8.6584299999999992</v>
      </c>
      <c r="H11928">
        <v>126.50700000000001</v>
      </c>
      <c r="I11928" t="s">
        <v>41882</v>
      </c>
      <c r="L11928">
        <v>0</v>
      </c>
      <c r="M11928">
        <v>0</v>
      </c>
      <c r="N11928">
        <v>2</v>
      </c>
      <c r="O11928" t="s">
        <v>27765</v>
      </c>
    </row>
    <row r="11929" spans="1:15">
      <c r="A11929" t="s">
        <v>41883</v>
      </c>
      <c r="B11929" t="s">
        <v>11839</v>
      </c>
      <c r="C11929" t="s">
        <v>41880</v>
      </c>
      <c r="D11929" t="s">
        <v>41884</v>
      </c>
      <c r="E11929" t="b">
        <v>0</v>
      </c>
      <c r="F11929" t="s">
        <v>11610</v>
      </c>
      <c r="L11929">
        <v>0</v>
      </c>
      <c r="M11929">
        <v>0</v>
      </c>
      <c r="N11929">
        <v>0</v>
      </c>
    </row>
    <row r="11930" spans="1:15">
      <c r="A11930" t="s">
        <v>41885</v>
      </c>
      <c r="B11930" t="s">
        <v>17854</v>
      </c>
      <c r="C11930" t="s">
        <v>41886</v>
      </c>
      <c r="D11930" t="s">
        <v>41887</v>
      </c>
      <c r="E11930" t="b">
        <v>0</v>
      </c>
      <c r="F11930" t="s">
        <v>11624</v>
      </c>
      <c r="G11930">
        <v>48.325800000000001</v>
      </c>
      <c r="H11930">
        <v>-124.616</v>
      </c>
      <c r="I11930" t="s">
        <v>41888</v>
      </c>
      <c r="L11930">
        <v>0</v>
      </c>
      <c r="M11930">
        <v>0</v>
      </c>
      <c r="N11930">
        <v>0</v>
      </c>
      <c r="O11930" t="s">
        <v>11944</v>
      </c>
    </row>
    <row r="11931" spans="1:15">
      <c r="A11931" t="s">
        <v>41889</v>
      </c>
      <c r="B11931" t="s">
        <v>11607</v>
      </c>
      <c r="C11931" t="s">
        <v>19078</v>
      </c>
      <c r="D11931" t="s">
        <v>41890</v>
      </c>
      <c r="E11931" t="b">
        <v>0</v>
      </c>
      <c r="F11931" t="s">
        <v>11610</v>
      </c>
      <c r="L11931">
        <v>0</v>
      </c>
      <c r="M11931">
        <v>0</v>
      </c>
      <c r="N11931">
        <v>0</v>
      </c>
    </row>
    <row r="11932" spans="1:15">
      <c r="A11932" t="s">
        <v>41891</v>
      </c>
      <c r="B11932" t="s">
        <v>6742</v>
      </c>
      <c r="C11932" t="s">
        <v>15558</v>
      </c>
      <c r="D11932" t="s">
        <v>41892</v>
      </c>
      <c r="E11932" t="b">
        <v>0</v>
      </c>
      <c r="F11932" t="s">
        <v>11622</v>
      </c>
      <c r="L11932">
        <v>8</v>
      </c>
      <c r="M11932">
        <v>18</v>
      </c>
      <c r="N11932">
        <v>42</v>
      </c>
    </row>
    <row r="11933" spans="1:15">
      <c r="A11933" t="s">
        <v>20795</v>
      </c>
      <c r="B11933" t="s">
        <v>6742</v>
      </c>
      <c r="C11933" t="s">
        <v>17779</v>
      </c>
      <c r="D11933" t="s">
        <v>41893</v>
      </c>
      <c r="E11933" t="b">
        <v>0</v>
      </c>
      <c r="F11933" t="s">
        <v>11622</v>
      </c>
      <c r="L11933">
        <v>0</v>
      </c>
      <c r="M11933">
        <v>4</v>
      </c>
      <c r="N11933">
        <v>11</v>
      </c>
    </row>
    <row r="11934" spans="1:15">
      <c r="A11934" t="s">
        <v>41894</v>
      </c>
      <c r="B11934" t="s">
        <v>6742</v>
      </c>
      <c r="C11934" t="s">
        <v>17908</v>
      </c>
      <c r="D11934" t="s">
        <v>41895</v>
      </c>
      <c r="E11934" t="b">
        <v>0</v>
      </c>
      <c r="F11934" t="s">
        <v>11610</v>
      </c>
      <c r="G11934">
        <v>-9.5239600000000006</v>
      </c>
      <c r="H11934">
        <v>34.796379999999999</v>
      </c>
      <c r="L11934">
        <v>0</v>
      </c>
      <c r="M11934">
        <v>0</v>
      </c>
      <c r="N11934">
        <v>0</v>
      </c>
    </row>
    <row r="11935" spans="1:15">
      <c r="A11935" t="s">
        <v>22531</v>
      </c>
      <c r="B11935" t="s">
        <v>5126</v>
      </c>
      <c r="C11935" t="s">
        <v>12483</v>
      </c>
      <c r="D11935" t="s">
        <v>41896</v>
      </c>
      <c r="E11935" t="b">
        <v>0</v>
      </c>
      <c r="F11935" t="s">
        <v>11624</v>
      </c>
      <c r="G11935">
        <v>25.5946</v>
      </c>
      <c r="H11935">
        <v>107.726</v>
      </c>
      <c r="I11935" t="s">
        <v>41897</v>
      </c>
      <c r="L11935">
        <v>0</v>
      </c>
      <c r="M11935">
        <v>0</v>
      </c>
      <c r="N11935">
        <v>5</v>
      </c>
      <c r="O11935" t="s">
        <v>11905</v>
      </c>
    </row>
    <row r="11936" spans="1:15">
      <c r="A11936" t="s">
        <v>41898</v>
      </c>
      <c r="B11936" t="s">
        <v>6742</v>
      </c>
      <c r="C11936" t="s">
        <v>23810</v>
      </c>
      <c r="D11936" t="s">
        <v>41899</v>
      </c>
      <c r="E11936" t="b">
        <v>0</v>
      </c>
      <c r="F11936" t="s">
        <v>11610</v>
      </c>
      <c r="L11936">
        <v>0</v>
      </c>
      <c r="M11936">
        <v>0</v>
      </c>
      <c r="N11936">
        <v>0</v>
      </c>
    </row>
    <row r="11937" spans="1:15">
      <c r="A11937" t="s">
        <v>41900</v>
      </c>
      <c r="B11937" t="s">
        <v>6742</v>
      </c>
      <c r="C11937" t="s">
        <v>8425</v>
      </c>
      <c r="D11937" t="s">
        <v>41901</v>
      </c>
      <c r="E11937" t="b">
        <v>0</v>
      </c>
      <c r="F11937" t="s">
        <v>11610</v>
      </c>
      <c r="L11937">
        <v>0</v>
      </c>
      <c r="M11937">
        <v>0</v>
      </c>
      <c r="N11937">
        <v>0</v>
      </c>
    </row>
    <row r="11938" spans="1:15">
      <c r="A11938" t="s">
        <v>41902</v>
      </c>
      <c r="B11938" t="s">
        <v>11729</v>
      </c>
      <c r="C11938" t="s">
        <v>41903</v>
      </c>
      <c r="D11938" t="s">
        <v>41904</v>
      </c>
      <c r="E11938" t="b">
        <v>0</v>
      </c>
      <c r="F11938" t="s">
        <v>11610</v>
      </c>
      <c r="L11938">
        <v>0</v>
      </c>
      <c r="M11938">
        <v>0</v>
      </c>
      <c r="N11938">
        <v>0</v>
      </c>
    </row>
    <row r="11939" spans="1:15">
      <c r="A11939" t="s">
        <v>41905</v>
      </c>
      <c r="B11939" t="s">
        <v>367</v>
      </c>
      <c r="C11939" t="s">
        <v>41906</v>
      </c>
      <c r="D11939" t="s">
        <v>41907</v>
      </c>
      <c r="E11939" t="b">
        <v>0</v>
      </c>
      <c r="F11939" t="s">
        <v>11610</v>
      </c>
      <c r="I11939" t="s">
        <v>41908</v>
      </c>
      <c r="L11939">
        <v>0</v>
      </c>
      <c r="M11939">
        <v>0</v>
      </c>
      <c r="N11939">
        <v>0</v>
      </c>
    </row>
    <row r="11940" spans="1:15">
      <c r="A11940" t="s">
        <v>41909</v>
      </c>
      <c r="B11940" t="s">
        <v>6742</v>
      </c>
      <c r="C11940" t="s">
        <v>40615</v>
      </c>
      <c r="D11940" t="s">
        <v>41910</v>
      </c>
      <c r="E11940" t="b">
        <v>0</v>
      </c>
      <c r="F11940" t="s">
        <v>11624</v>
      </c>
      <c r="G11940">
        <v>-14.250999999999999</v>
      </c>
      <c r="H11940">
        <v>36.524900000000002</v>
      </c>
      <c r="I11940" t="s">
        <v>41911</v>
      </c>
      <c r="L11940">
        <v>0</v>
      </c>
      <c r="M11940">
        <v>0</v>
      </c>
      <c r="N11940">
        <v>0</v>
      </c>
      <c r="O11940" t="s">
        <v>37008</v>
      </c>
    </row>
    <row r="11941" spans="1:15">
      <c r="A11941" t="s">
        <v>41912</v>
      </c>
      <c r="B11941" t="s">
        <v>6742</v>
      </c>
      <c r="C11941" t="s">
        <v>40615</v>
      </c>
      <c r="D11941" t="s">
        <v>41913</v>
      </c>
      <c r="E11941" t="b">
        <v>0</v>
      </c>
      <c r="F11941" t="s">
        <v>11624</v>
      </c>
      <c r="G11941">
        <v>-11.955299999999999</v>
      </c>
      <c r="H11941">
        <v>38.687399999999997</v>
      </c>
      <c r="I11941" t="s">
        <v>41914</v>
      </c>
      <c r="L11941">
        <v>0</v>
      </c>
      <c r="M11941">
        <v>0</v>
      </c>
      <c r="N11941">
        <v>1</v>
      </c>
      <c r="O11941" t="s">
        <v>41915</v>
      </c>
    </row>
    <row r="11942" spans="1:15">
      <c r="A11942" t="s">
        <v>41916</v>
      </c>
      <c r="B11942" t="s">
        <v>6742</v>
      </c>
      <c r="C11942" t="s">
        <v>40615</v>
      </c>
      <c r="D11942" t="s">
        <v>41917</v>
      </c>
      <c r="E11942" t="b">
        <v>0</v>
      </c>
      <c r="F11942" t="s">
        <v>11624</v>
      </c>
      <c r="G11942">
        <v>-16.939399999999999</v>
      </c>
      <c r="H11942">
        <v>39.1203</v>
      </c>
      <c r="I11942" t="s">
        <v>41918</v>
      </c>
      <c r="L11942">
        <v>0</v>
      </c>
      <c r="M11942">
        <v>0</v>
      </c>
      <c r="N11942">
        <v>3</v>
      </c>
      <c r="O11942" t="s">
        <v>17188</v>
      </c>
    </row>
    <row r="11943" spans="1:15">
      <c r="A11943" t="s">
        <v>41919</v>
      </c>
      <c r="B11943" t="s">
        <v>6742</v>
      </c>
      <c r="C11943" t="s">
        <v>41916</v>
      </c>
      <c r="D11943" t="s">
        <v>41920</v>
      </c>
      <c r="E11943" t="b">
        <v>0</v>
      </c>
      <c r="F11943" t="s">
        <v>11610</v>
      </c>
      <c r="L11943">
        <v>0</v>
      </c>
      <c r="M11943">
        <v>0</v>
      </c>
      <c r="N11943">
        <v>0</v>
      </c>
    </row>
    <row r="11944" spans="1:15">
      <c r="A11944" t="s">
        <v>21479</v>
      </c>
      <c r="B11944" t="s">
        <v>6742</v>
      </c>
      <c r="C11944" t="s">
        <v>40615</v>
      </c>
      <c r="D11944" t="s">
        <v>41921</v>
      </c>
      <c r="E11944" t="b">
        <v>0</v>
      </c>
      <c r="F11944" t="s">
        <v>11624</v>
      </c>
      <c r="G11944">
        <v>-14.850899999999999</v>
      </c>
      <c r="H11944">
        <v>38.805199999999999</v>
      </c>
      <c r="I11944" t="s">
        <v>41922</v>
      </c>
      <c r="L11944">
        <v>0</v>
      </c>
      <c r="M11944">
        <v>0</v>
      </c>
      <c r="N11944">
        <v>6</v>
      </c>
      <c r="O11944" t="s">
        <v>17188</v>
      </c>
    </row>
    <row r="11945" spans="1:15">
      <c r="A11945" t="s">
        <v>41923</v>
      </c>
      <c r="B11945" t="s">
        <v>6742</v>
      </c>
      <c r="C11945" t="s">
        <v>40615</v>
      </c>
      <c r="D11945" t="s">
        <v>41924</v>
      </c>
      <c r="E11945" t="b">
        <v>0</v>
      </c>
      <c r="F11945" t="s">
        <v>11624</v>
      </c>
      <c r="G11945">
        <v>-17.294</v>
      </c>
      <c r="H11945">
        <v>38.093000000000004</v>
      </c>
      <c r="I11945" t="s">
        <v>41925</v>
      </c>
      <c r="L11945">
        <v>0</v>
      </c>
      <c r="M11945">
        <v>0</v>
      </c>
      <c r="N11945">
        <v>0</v>
      </c>
      <c r="O11945" t="s">
        <v>17188</v>
      </c>
    </row>
    <row r="11946" spans="1:15">
      <c r="A11946" t="s">
        <v>41926</v>
      </c>
      <c r="B11946" t="s">
        <v>6742</v>
      </c>
      <c r="C11946" t="s">
        <v>40615</v>
      </c>
      <c r="D11946" t="s">
        <v>41927</v>
      </c>
      <c r="E11946" t="b">
        <v>0</v>
      </c>
      <c r="F11946" t="s">
        <v>11624</v>
      </c>
      <c r="G11946">
        <v>-13.644299999999999</v>
      </c>
      <c r="H11946">
        <v>39.532299999999999</v>
      </c>
      <c r="I11946" t="s">
        <v>41928</v>
      </c>
      <c r="L11946">
        <v>0</v>
      </c>
      <c r="M11946">
        <v>0</v>
      </c>
      <c r="N11946">
        <v>2</v>
      </c>
      <c r="O11946" t="s">
        <v>17188</v>
      </c>
    </row>
    <row r="11947" spans="1:15">
      <c r="A11947" t="s">
        <v>41929</v>
      </c>
      <c r="B11947" t="s">
        <v>367</v>
      </c>
      <c r="C11947" t="s">
        <v>25631</v>
      </c>
      <c r="D11947" t="s">
        <v>41930</v>
      </c>
      <c r="E11947" t="b">
        <v>0</v>
      </c>
      <c r="F11947" t="s">
        <v>11610</v>
      </c>
      <c r="L11947">
        <v>0</v>
      </c>
      <c r="M11947">
        <v>0</v>
      </c>
      <c r="N11947">
        <v>0</v>
      </c>
    </row>
    <row r="11948" spans="1:15">
      <c r="A11948" t="s">
        <v>41931</v>
      </c>
      <c r="B11948" t="s">
        <v>5126</v>
      </c>
      <c r="C11948" t="s">
        <v>22531</v>
      </c>
      <c r="D11948" t="s">
        <v>41932</v>
      </c>
      <c r="E11948" t="b">
        <v>0</v>
      </c>
      <c r="F11948" t="s">
        <v>11610</v>
      </c>
      <c r="L11948">
        <v>0</v>
      </c>
      <c r="M11948">
        <v>0</v>
      </c>
      <c r="N11948">
        <v>0</v>
      </c>
    </row>
    <row r="11949" spans="1:15">
      <c r="A11949" t="s">
        <v>41933</v>
      </c>
      <c r="B11949" t="s">
        <v>11839</v>
      </c>
      <c r="C11949" t="s">
        <v>41880</v>
      </c>
      <c r="D11949" t="s">
        <v>41934</v>
      </c>
      <c r="E11949" t="b">
        <v>0</v>
      </c>
      <c r="F11949" t="s">
        <v>11610</v>
      </c>
      <c r="I11949" t="s">
        <v>41935</v>
      </c>
      <c r="L11949">
        <v>0</v>
      </c>
      <c r="M11949">
        <v>0</v>
      </c>
      <c r="N11949">
        <v>0</v>
      </c>
    </row>
    <row r="11950" spans="1:15">
      <c r="A11950" t="s">
        <v>41936</v>
      </c>
      <c r="B11950" t="s">
        <v>20211</v>
      </c>
      <c r="C11950" t="s">
        <v>20211</v>
      </c>
      <c r="D11950" t="s">
        <v>41937</v>
      </c>
      <c r="E11950" t="b">
        <v>0</v>
      </c>
      <c r="F11950" t="s">
        <v>11624</v>
      </c>
      <c r="G11950">
        <v>-7.7442399999999996</v>
      </c>
      <c r="H11950">
        <v>139.273</v>
      </c>
      <c r="I11950" t="s">
        <v>41938</v>
      </c>
      <c r="L11950">
        <v>0</v>
      </c>
      <c r="M11950">
        <v>0</v>
      </c>
      <c r="N11950">
        <v>0</v>
      </c>
      <c r="O11950" t="s">
        <v>11768</v>
      </c>
    </row>
    <row r="11951" spans="1:15">
      <c r="A11951" t="s">
        <v>41939</v>
      </c>
      <c r="B11951" t="s">
        <v>6742</v>
      </c>
      <c r="C11951" t="s">
        <v>41642</v>
      </c>
      <c r="D11951" t="s">
        <v>41940</v>
      </c>
      <c r="E11951" t="b">
        <v>0</v>
      </c>
      <c r="F11951" t="s">
        <v>11624</v>
      </c>
      <c r="G11951">
        <v>9.3729899999999997</v>
      </c>
      <c r="H11951">
        <v>11.133699999999999</v>
      </c>
      <c r="I11951" t="s">
        <v>41941</v>
      </c>
      <c r="L11951">
        <v>0</v>
      </c>
      <c r="M11951">
        <v>0</v>
      </c>
      <c r="N11951">
        <v>2</v>
      </c>
      <c r="O11951" t="s">
        <v>11693</v>
      </c>
    </row>
    <row r="11952" spans="1:15">
      <c r="A11952" t="s">
        <v>7444</v>
      </c>
      <c r="B11952" t="s">
        <v>16014</v>
      </c>
      <c r="C11952" t="s">
        <v>41942</v>
      </c>
      <c r="D11952" t="s">
        <v>41943</v>
      </c>
      <c r="E11952" t="b">
        <v>0</v>
      </c>
      <c r="F11952" t="s">
        <v>11624</v>
      </c>
      <c r="G11952">
        <v>-4.87995</v>
      </c>
      <c r="H11952">
        <v>151.709</v>
      </c>
      <c r="I11952" t="s">
        <v>7445</v>
      </c>
      <c r="L11952">
        <v>0</v>
      </c>
      <c r="M11952">
        <v>0</v>
      </c>
      <c r="N11952">
        <v>0</v>
      </c>
      <c r="O11952" t="s">
        <v>11660</v>
      </c>
    </row>
    <row r="11953" spans="1:15">
      <c r="A11953" t="s">
        <v>41944</v>
      </c>
      <c r="B11953" t="s">
        <v>6742</v>
      </c>
      <c r="C11953" t="s">
        <v>41945</v>
      </c>
      <c r="D11953" t="s">
        <v>41946</v>
      </c>
      <c r="E11953" t="b">
        <v>0</v>
      </c>
      <c r="F11953" t="s">
        <v>11624</v>
      </c>
      <c r="G11953">
        <v>-10.990600000000001</v>
      </c>
      <c r="H11953">
        <v>39.513300000000001</v>
      </c>
      <c r="I11953" t="s">
        <v>41947</v>
      </c>
      <c r="L11953">
        <v>0</v>
      </c>
      <c r="M11953">
        <v>0</v>
      </c>
      <c r="N11953">
        <v>6</v>
      </c>
      <c r="O11953" t="s">
        <v>41915</v>
      </c>
    </row>
    <row r="11954" spans="1:15">
      <c r="A11954" t="s">
        <v>41948</v>
      </c>
      <c r="B11954" t="s">
        <v>6742</v>
      </c>
      <c r="C11954" t="s">
        <v>15793</v>
      </c>
      <c r="D11954" t="s">
        <v>41949</v>
      </c>
      <c r="E11954" t="b">
        <v>0</v>
      </c>
      <c r="F11954" t="s">
        <v>11610</v>
      </c>
      <c r="L11954">
        <v>0</v>
      </c>
      <c r="M11954">
        <v>0</v>
      </c>
      <c r="N11954">
        <v>0</v>
      </c>
    </row>
    <row r="11955" spans="1:15">
      <c r="A11955" t="s">
        <v>41950</v>
      </c>
      <c r="B11955" t="s">
        <v>6742</v>
      </c>
      <c r="C11955" t="s">
        <v>32319</v>
      </c>
      <c r="D11955" t="s">
        <v>41951</v>
      </c>
      <c r="E11955" t="b">
        <v>0</v>
      </c>
      <c r="F11955" t="s">
        <v>11610</v>
      </c>
      <c r="L11955">
        <v>0</v>
      </c>
      <c r="M11955">
        <v>0</v>
      </c>
      <c r="N11955">
        <v>0</v>
      </c>
    </row>
    <row r="11956" spans="1:15">
      <c r="A11956" t="s">
        <v>41945</v>
      </c>
      <c r="B11956" t="s">
        <v>6742</v>
      </c>
      <c r="C11956" t="s">
        <v>41952</v>
      </c>
      <c r="D11956" t="s">
        <v>41953</v>
      </c>
      <c r="E11956" t="b">
        <v>0</v>
      </c>
      <c r="F11956" t="s">
        <v>11622</v>
      </c>
      <c r="L11956">
        <v>0</v>
      </c>
      <c r="M11956">
        <v>2</v>
      </c>
      <c r="N11956">
        <v>8</v>
      </c>
    </row>
    <row r="11957" spans="1:15">
      <c r="A11957" t="s">
        <v>41954</v>
      </c>
      <c r="B11957" t="s">
        <v>11644</v>
      </c>
      <c r="C11957" t="s">
        <v>19837</v>
      </c>
      <c r="D11957" t="s">
        <v>41955</v>
      </c>
      <c r="E11957" t="b">
        <v>0</v>
      </c>
      <c r="F11957" t="s">
        <v>11610</v>
      </c>
      <c r="L11957">
        <v>0</v>
      </c>
      <c r="M11957">
        <v>0</v>
      </c>
      <c r="N11957">
        <v>0</v>
      </c>
    </row>
    <row r="11958" spans="1:15">
      <c r="A11958" t="s">
        <v>41956</v>
      </c>
      <c r="B11958" t="s">
        <v>11637</v>
      </c>
      <c r="C11958" t="s">
        <v>16881</v>
      </c>
      <c r="D11958" t="s">
        <v>41957</v>
      </c>
      <c r="E11958" t="b">
        <v>0</v>
      </c>
      <c r="F11958" t="s">
        <v>11610</v>
      </c>
      <c r="L11958">
        <v>0</v>
      </c>
      <c r="M11958">
        <v>0</v>
      </c>
      <c r="N11958">
        <v>0</v>
      </c>
    </row>
    <row r="11959" spans="1:15">
      <c r="A11959" t="s">
        <v>41958</v>
      </c>
      <c r="B11959" t="s">
        <v>11637</v>
      </c>
      <c r="C11959" t="s">
        <v>16777</v>
      </c>
      <c r="D11959" t="s">
        <v>41959</v>
      </c>
      <c r="E11959" t="b">
        <v>0</v>
      </c>
      <c r="F11959" t="s">
        <v>11610</v>
      </c>
      <c r="L11959">
        <v>0</v>
      </c>
      <c r="M11959">
        <v>0</v>
      </c>
      <c r="N11959">
        <v>0</v>
      </c>
    </row>
    <row r="11960" spans="1:15">
      <c r="A11960" t="s">
        <v>41642</v>
      </c>
      <c r="B11960" t="s">
        <v>6742</v>
      </c>
      <c r="C11960" t="s">
        <v>16392</v>
      </c>
      <c r="D11960" t="s">
        <v>41960</v>
      </c>
      <c r="E11960" t="b">
        <v>0</v>
      </c>
      <c r="F11960" t="s">
        <v>11622</v>
      </c>
      <c r="L11960">
        <v>0</v>
      </c>
      <c r="M11960">
        <v>2</v>
      </c>
      <c r="N11960">
        <v>2</v>
      </c>
    </row>
    <row r="11961" spans="1:15">
      <c r="A11961" t="s">
        <v>2964</v>
      </c>
      <c r="D11961" t="s">
        <v>41961</v>
      </c>
      <c r="E11961" t="b">
        <v>0</v>
      </c>
      <c r="F11961" t="s">
        <v>11624</v>
      </c>
      <c r="G11961">
        <v>3.9692310000000002</v>
      </c>
      <c r="H11961">
        <v>-64.235892000000007</v>
      </c>
      <c r="I11961" t="s">
        <v>41962</v>
      </c>
      <c r="L11961">
        <v>0</v>
      </c>
      <c r="M11961">
        <v>0</v>
      </c>
      <c r="N11961">
        <v>0</v>
      </c>
      <c r="O11961" t="s">
        <v>11969</v>
      </c>
    </row>
    <row r="11962" spans="1:15">
      <c r="A11962" t="s">
        <v>23005</v>
      </c>
      <c r="B11962" t="s">
        <v>6742</v>
      </c>
      <c r="C11962" t="s">
        <v>41963</v>
      </c>
      <c r="D11962" t="s">
        <v>41964</v>
      </c>
      <c r="E11962" t="b">
        <v>0</v>
      </c>
      <c r="F11962" t="s">
        <v>11622</v>
      </c>
      <c r="L11962">
        <v>3</v>
      </c>
      <c r="M11962">
        <v>17</v>
      </c>
      <c r="N11962">
        <v>18</v>
      </c>
    </row>
    <row r="11963" spans="1:15">
      <c r="A11963" t="s">
        <v>40636</v>
      </c>
      <c r="B11963" t="s">
        <v>11644</v>
      </c>
      <c r="C11963" t="s">
        <v>41965</v>
      </c>
      <c r="D11963" t="s">
        <v>41966</v>
      </c>
      <c r="E11963" t="b">
        <v>0</v>
      </c>
      <c r="F11963" t="s">
        <v>11622</v>
      </c>
      <c r="L11963">
        <v>0</v>
      </c>
      <c r="M11963">
        <v>2</v>
      </c>
      <c r="N11963">
        <v>0</v>
      </c>
    </row>
    <row r="11964" spans="1:15">
      <c r="A11964" t="s">
        <v>41967</v>
      </c>
      <c r="B11964" t="s">
        <v>11644</v>
      </c>
      <c r="C11964" t="s">
        <v>40636</v>
      </c>
      <c r="D11964" t="s">
        <v>41968</v>
      </c>
      <c r="E11964" t="b">
        <v>0</v>
      </c>
      <c r="F11964" t="s">
        <v>11624</v>
      </c>
      <c r="G11964">
        <v>26.6</v>
      </c>
      <c r="H11964">
        <v>94.95</v>
      </c>
      <c r="I11964" t="s">
        <v>41969</v>
      </c>
      <c r="L11964">
        <v>0</v>
      </c>
      <c r="M11964">
        <v>0</v>
      </c>
      <c r="N11964">
        <v>0</v>
      </c>
      <c r="O11964" t="s">
        <v>11630</v>
      </c>
    </row>
    <row r="11965" spans="1:15">
      <c r="A11965" t="s">
        <v>41970</v>
      </c>
      <c r="B11965" t="s">
        <v>6742</v>
      </c>
      <c r="C11965" t="s">
        <v>16333</v>
      </c>
      <c r="D11965" t="s">
        <v>41971</v>
      </c>
      <c r="E11965" t="b">
        <v>0</v>
      </c>
      <c r="F11965" t="s">
        <v>11610</v>
      </c>
      <c r="L11965">
        <v>0</v>
      </c>
      <c r="M11965">
        <v>0</v>
      </c>
      <c r="N11965">
        <v>0</v>
      </c>
    </row>
    <row r="11966" spans="1:15">
      <c r="A11966" t="s">
        <v>41972</v>
      </c>
      <c r="B11966" t="s">
        <v>11729</v>
      </c>
      <c r="C11966" t="s">
        <v>13730</v>
      </c>
      <c r="D11966" t="s">
        <v>41973</v>
      </c>
      <c r="E11966" t="b">
        <v>0</v>
      </c>
      <c r="F11966" t="s">
        <v>11610</v>
      </c>
      <c r="L11966">
        <v>0</v>
      </c>
      <c r="M11966">
        <v>0</v>
      </c>
      <c r="N11966">
        <v>0</v>
      </c>
    </row>
    <row r="11967" spans="1:15">
      <c r="A11967" t="s">
        <v>41974</v>
      </c>
      <c r="B11967" t="s">
        <v>367</v>
      </c>
      <c r="C11967" t="s">
        <v>20389</v>
      </c>
      <c r="D11967" t="s">
        <v>41975</v>
      </c>
      <c r="E11967" t="b">
        <v>0</v>
      </c>
      <c r="F11967" t="s">
        <v>11610</v>
      </c>
      <c r="L11967">
        <v>0</v>
      </c>
      <c r="M11967">
        <v>0</v>
      </c>
      <c r="N11967">
        <v>0</v>
      </c>
    </row>
    <row r="11968" spans="1:15">
      <c r="A11968" t="s">
        <v>41976</v>
      </c>
      <c r="B11968" t="s">
        <v>367</v>
      </c>
      <c r="C11968" t="s">
        <v>26523</v>
      </c>
      <c r="D11968" t="s">
        <v>41977</v>
      </c>
      <c r="E11968" t="b">
        <v>0</v>
      </c>
      <c r="F11968" t="s">
        <v>11624</v>
      </c>
      <c r="G11968">
        <v>-8.4037199999999999</v>
      </c>
      <c r="H11968">
        <v>127.239</v>
      </c>
      <c r="I11968" t="s">
        <v>41978</v>
      </c>
      <c r="L11968">
        <v>0</v>
      </c>
      <c r="M11968">
        <v>0</v>
      </c>
      <c r="N11968">
        <v>0</v>
      </c>
      <c r="O11968" t="s">
        <v>27765</v>
      </c>
    </row>
    <row r="11969" spans="1:15">
      <c r="A11969" t="s">
        <v>41979</v>
      </c>
      <c r="B11969" t="s">
        <v>11912</v>
      </c>
      <c r="C11969" t="s">
        <v>41980</v>
      </c>
      <c r="D11969" t="s">
        <v>41981</v>
      </c>
      <c r="E11969" t="b">
        <v>0</v>
      </c>
      <c r="F11969" t="s">
        <v>11624</v>
      </c>
      <c r="G11969">
        <v>-11.870100000000001</v>
      </c>
      <c r="H11969">
        <v>-64.320099999999996</v>
      </c>
      <c r="I11969" t="s">
        <v>41982</v>
      </c>
      <c r="L11969">
        <v>0</v>
      </c>
      <c r="M11969">
        <v>0</v>
      </c>
      <c r="N11969">
        <v>0</v>
      </c>
      <c r="O11969" t="s">
        <v>11969</v>
      </c>
    </row>
    <row r="11970" spans="1:15">
      <c r="A11970" t="s">
        <v>40615</v>
      </c>
      <c r="B11970" t="s">
        <v>6742</v>
      </c>
      <c r="C11970" t="s">
        <v>23005</v>
      </c>
      <c r="D11970" t="s">
        <v>41983</v>
      </c>
      <c r="E11970" t="b">
        <v>0</v>
      </c>
      <c r="F11970" t="s">
        <v>11622</v>
      </c>
      <c r="L11970">
        <v>1</v>
      </c>
      <c r="M11970">
        <v>8</v>
      </c>
      <c r="N11970">
        <v>12</v>
      </c>
    </row>
    <row r="11971" spans="1:15">
      <c r="A11971" t="s">
        <v>23136</v>
      </c>
      <c r="B11971" t="s">
        <v>6742</v>
      </c>
      <c r="C11971" t="s">
        <v>41945</v>
      </c>
      <c r="D11971" t="s">
        <v>41984</v>
      </c>
      <c r="E11971" t="b">
        <v>0</v>
      </c>
      <c r="F11971" t="s">
        <v>11624</v>
      </c>
      <c r="G11971">
        <v>-10.4673</v>
      </c>
      <c r="H11971">
        <v>40.0274</v>
      </c>
      <c r="I11971" t="s">
        <v>41985</v>
      </c>
      <c r="L11971">
        <v>0</v>
      </c>
      <c r="M11971">
        <v>0</v>
      </c>
      <c r="N11971">
        <v>2</v>
      </c>
      <c r="O11971" t="s">
        <v>41915</v>
      </c>
    </row>
    <row r="11972" spans="1:15">
      <c r="A11972" t="s">
        <v>41986</v>
      </c>
      <c r="B11972" t="s">
        <v>11644</v>
      </c>
      <c r="C11972" t="s">
        <v>39722</v>
      </c>
      <c r="D11972" t="s">
        <v>41987</v>
      </c>
      <c r="E11972" t="b">
        <v>0</v>
      </c>
      <c r="F11972" t="s">
        <v>11624</v>
      </c>
      <c r="I11972" t="s">
        <v>41988</v>
      </c>
      <c r="L11972">
        <v>0</v>
      </c>
      <c r="M11972">
        <v>0</v>
      </c>
      <c r="N11972">
        <v>0</v>
      </c>
      <c r="O11972" t="s">
        <v>14059</v>
      </c>
    </row>
    <row r="11973" spans="1:15">
      <c r="A11973" t="s">
        <v>41989</v>
      </c>
      <c r="B11973" t="s">
        <v>6742</v>
      </c>
      <c r="C11973" t="s">
        <v>40612</v>
      </c>
      <c r="D11973" t="s">
        <v>41990</v>
      </c>
      <c r="E11973" t="b">
        <v>0</v>
      </c>
      <c r="F11973" t="s">
        <v>11624</v>
      </c>
      <c r="G11973">
        <v>-15.56729</v>
      </c>
      <c r="H11973">
        <v>35.43347</v>
      </c>
      <c r="I11973" t="s">
        <v>41991</v>
      </c>
      <c r="L11973">
        <v>0</v>
      </c>
      <c r="M11973">
        <v>0</v>
      </c>
      <c r="N11973">
        <v>0</v>
      </c>
      <c r="O11973" t="s">
        <v>37008</v>
      </c>
    </row>
    <row r="11974" spans="1:15">
      <c r="A11974" t="s">
        <v>41992</v>
      </c>
      <c r="B11974" t="s">
        <v>11780</v>
      </c>
      <c r="C11974" t="s">
        <v>11781</v>
      </c>
      <c r="D11974" t="s">
        <v>41993</v>
      </c>
      <c r="E11974" t="b">
        <v>0</v>
      </c>
      <c r="F11974" t="s">
        <v>11610</v>
      </c>
      <c r="L11974">
        <v>0</v>
      </c>
      <c r="M11974">
        <v>0</v>
      </c>
      <c r="N11974">
        <v>0</v>
      </c>
    </row>
    <row r="11975" spans="1:15">
      <c r="A11975" t="s">
        <v>41994</v>
      </c>
      <c r="B11975" t="s">
        <v>11981</v>
      </c>
      <c r="C11975" t="s">
        <v>32408</v>
      </c>
      <c r="D11975" t="s">
        <v>41995</v>
      </c>
      <c r="E11975" t="b">
        <v>0</v>
      </c>
      <c r="F11975" t="s">
        <v>11624</v>
      </c>
      <c r="G11975">
        <v>2.9460000000000002</v>
      </c>
      <c r="H11975">
        <v>101.366</v>
      </c>
      <c r="I11975" t="s">
        <v>41996</v>
      </c>
      <c r="L11975">
        <v>0</v>
      </c>
      <c r="M11975">
        <v>0</v>
      </c>
      <c r="N11975">
        <v>0</v>
      </c>
      <c r="O11975" t="s">
        <v>11672</v>
      </c>
    </row>
    <row r="11976" spans="1:15">
      <c r="A11976" t="s">
        <v>41997</v>
      </c>
      <c r="B11976" t="s">
        <v>11627</v>
      </c>
      <c r="C11976" t="s">
        <v>11627</v>
      </c>
      <c r="D11976" t="s">
        <v>41998</v>
      </c>
      <c r="E11976" t="b">
        <v>1</v>
      </c>
      <c r="F11976" t="s">
        <v>11624</v>
      </c>
      <c r="G11976">
        <v>33.072600000000001</v>
      </c>
      <c r="H11976">
        <v>69.071899999999999</v>
      </c>
      <c r="I11976" t="s">
        <v>41999</v>
      </c>
      <c r="L11976">
        <v>0</v>
      </c>
      <c r="M11976">
        <v>0</v>
      </c>
      <c r="N11976">
        <v>0</v>
      </c>
      <c r="O11976" t="s">
        <v>12131</v>
      </c>
    </row>
    <row r="11977" spans="1:15">
      <c r="A11977" t="s">
        <v>42000</v>
      </c>
      <c r="B11977" t="s">
        <v>11965</v>
      </c>
      <c r="C11977" t="s">
        <v>42001</v>
      </c>
      <c r="D11977" t="s">
        <v>42002</v>
      </c>
      <c r="E11977" t="b">
        <v>0</v>
      </c>
      <c r="F11977" t="s">
        <v>11624</v>
      </c>
      <c r="G11977">
        <v>-16.833987</v>
      </c>
      <c r="H11977">
        <v>-42.282716000000001</v>
      </c>
      <c r="L11977">
        <v>0</v>
      </c>
      <c r="M11977">
        <v>0</v>
      </c>
      <c r="N11977">
        <v>0</v>
      </c>
      <c r="O11977" t="s">
        <v>11969</v>
      </c>
    </row>
    <row r="11978" spans="1:15">
      <c r="A11978" t="s">
        <v>42003</v>
      </c>
      <c r="B11978" t="s">
        <v>11637</v>
      </c>
      <c r="C11978" t="s">
        <v>12777</v>
      </c>
      <c r="D11978" t="s">
        <v>42004</v>
      </c>
      <c r="E11978" t="b">
        <v>0</v>
      </c>
      <c r="F11978" t="s">
        <v>11610</v>
      </c>
      <c r="L11978">
        <v>0</v>
      </c>
      <c r="M11978">
        <v>0</v>
      </c>
      <c r="N11978">
        <v>0</v>
      </c>
    </row>
    <row r="11979" spans="1:15">
      <c r="A11979" t="s">
        <v>42005</v>
      </c>
      <c r="B11979" t="s">
        <v>12438</v>
      </c>
      <c r="C11979" t="s">
        <v>18145</v>
      </c>
      <c r="D11979" t="s">
        <v>42006</v>
      </c>
      <c r="E11979" t="b">
        <v>0</v>
      </c>
      <c r="F11979" t="s">
        <v>11610</v>
      </c>
      <c r="L11979">
        <v>0</v>
      </c>
      <c r="M11979">
        <v>0</v>
      </c>
      <c r="N11979">
        <v>0</v>
      </c>
    </row>
    <row r="11980" spans="1:15">
      <c r="A11980" t="s">
        <v>42007</v>
      </c>
      <c r="B11980" t="s">
        <v>12438</v>
      </c>
      <c r="C11980" t="s">
        <v>30765</v>
      </c>
      <c r="D11980" t="s">
        <v>42008</v>
      </c>
      <c r="E11980" t="b">
        <v>0</v>
      </c>
      <c r="F11980" t="s">
        <v>11610</v>
      </c>
      <c r="L11980">
        <v>0</v>
      </c>
      <c r="M11980">
        <v>0</v>
      </c>
      <c r="N11980">
        <v>0</v>
      </c>
    </row>
    <row r="11981" spans="1:15">
      <c r="A11981" t="s">
        <v>42009</v>
      </c>
      <c r="B11981" t="s">
        <v>11844</v>
      </c>
      <c r="C11981" t="s">
        <v>42010</v>
      </c>
      <c r="D11981" t="s">
        <v>42011</v>
      </c>
      <c r="E11981" t="b">
        <v>0</v>
      </c>
      <c r="F11981" t="s">
        <v>11624</v>
      </c>
      <c r="I11981" t="s">
        <v>42012</v>
      </c>
      <c r="L11981">
        <v>0</v>
      </c>
      <c r="M11981">
        <v>0</v>
      </c>
      <c r="N11981">
        <v>0</v>
      </c>
      <c r="O11981" t="s">
        <v>11630</v>
      </c>
    </row>
    <row r="11982" spans="1:15">
      <c r="A11982" t="s">
        <v>42013</v>
      </c>
      <c r="B11982" t="s">
        <v>11844</v>
      </c>
      <c r="C11982" t="s">
        <v>27310</v>
      </c>
      <c r="D11982" t="s">
        <v>42014</v>
      </c>
      <c r="E11982" t="b">
        <v>0</v>
      </c>
      <c r="F11982" t="s">
        <v>11624</v>
      </c>
      <c r="I11982" t="s">
        <v>42015</v>
      </c>
      <c r="L11982">
        <v>0</v>
      </c>
      <c r="M11982">
        <v>0</v>
      </c>
      <c r="N11982">
        <v>0</v>
      </c>
      <c r="O11982" t="s">
        <v>11630</v>
      </c>
    </row>
    <row r="11983" spans="1:15">
      <c r="A11983" t="s">
        <v>42016</v>
      </c>
      <c r="B11983" t="s">
        <v>11844</v>
      </c>
      <c r="C11983" t="s">
        <v>13088</v>
      </c>
      <c r="D11983" t="s">
        <v>42017</v>
      </c>
      <c r="E11983" t="b">
        <v>0</v>
      </c>
      <c r="F11983" t="s">
        <v>11624</v>
      </c>
      <c r="G11983">
        <v>8.4506300000000003</v>
      </c>
      <c r="H11983">
        <v>77.093000000000004</v>
      </c>
      <c r="I11983" t="s">
        <v>42018</v>
      </c>
      <c r="L11983">
        <v>0</v>
      </c>
      <c r="M11983">
        <v>0</v>
      </c>
      <c r="N11983">
        <v>1</v>
      </c>
      <c r="O11983" t="s">
        <v>11630</v>
      </c>
    </row>
    <row r="11984" spans="1:15">
      <c r="A11984" t="s">
        <v>42019</v>
      </c>
      <c r="B11984" t="s">
        <v>11844</v>
      </c>
      <c r="C11984" t="s">
        <v>42016</v>
      </c>
      <c r="D11984" t="s">
        <v>42020</v>
      </c>
      <c r="E11984" t="b">
        <v>0</v>
      </c>
      <c r="F11984" t="s">
        <v>11610</v>
      </c>
      <c r="L11984">
        <v>0</v>
      </c>
      <c r="M11984">
        <v>0</v>
      </c>
      <c r="N11984">
        <v>0</v>
      </c>
    </row>
    <row r="11985" spans="1:15">
      <c r="A11985" t="s">
        <v>42021</v>
      </c>
      <c r="B11985" t="s">
        <v>11844</v>
      </c>
      <c r="C11985" t="s">
        <v>42022</v>
      </c>
      <c r="D11985" t="s">
        <v>42023</v>
      </c>
      <c r="E11985" t="b">
        <v>0</v>
      </c>
      <c r="F11985" t="s">
        <v>11610</v>
      </c>
      <c r="L11985">
        <v>0</v>
      </c>
      <c r="M11985">
        <v>0</v>
      </c>
      <c r="N11985">
        <v>0</v>
      </c>
    </row>
    <row r="11986" spans="1:15">
      <c r="A11986" t="s">
        <v>42024</v>
      </c>
      <c r="B11986" t="s">
        <v>11844</v>
      </c>
      <c r="C11986" t="s">
        <v>13088</v>
      </c>
      <c r="D11986" t="s">
        <v>42025</v>
      </c>
      <c r="E11986" t="b">
        <v>0</v>
      </c>
      <c r="F11986" t="s">
        <v>11624</v>
      </c>
      <c r="G11986">
        <v>8.8551699999999993</v>
      </c>
      <c r="H11986">
        <v>77.203800000000001</v>
      </c>
      <c r="I11986" t="s">
        <v>42026</v>
      </c>
      <c r="L11986">
        <v>0</v>
      </c>
      <c r="M11986">
        <v>0</v>
      </c>
      <c r="N11986">
        <v>2</v>
      </c>
      <c r="O11986" t="s">
        <v>11630</v>
      </c>
    </row>
    <row r="11987" spans="1:15">
      <c r="A11987" t="s">
        <v>1264</v>
      </c>
      <c r="B11987" t="s">
        <v>11844</v>
      </c>
      <c r="C11987" t="s">
        <v>13088</v>
      </c>
      <c r="D11987" t="s">
        <v>42027</v>
      </c>
      <c r="E11987" t="b">
        <v>0</v>
      </c>
      <c r="F11987" t="s">
        <v>11624</v>
      </c>
      <c r="G11987">
        <v>9.5920799999999993</v>
      </c>
      <c r="H11987">
        <v>76.765100000000004</v>
      </c>
      <c r="I11987" t="s">
        <v>1265</v>
      </c>
      <c r="L11987">
        <v>0</v>
      </c>
      <c r="M11987">
        <v>0</v>
      </c>
      <c r="N11987">
        <v>13</v>
      </c>
      <c r="O11987" t="s">
        <v>11630</v>
      </c>
    </row>
    <row r="11988" spans="1:15">
      <c r="A11988" t="s">
        <v>42028</v>
      </c>
      <c r="B11988" t="s">
        <v>11844</v>
      </c>
      <c r="C11988" t="s">
        <v>1264</v>
      </c>
      <c r="D11988" t="s">
        <v>42029</v>
      </c>
      <c r="E11988" t="b">
        <v>0</v>
      </c>
      <c r="F11988" t="s">
        <v>11610</v>
      </c>
      <c r="L11988">
        <v>0</v>
      </c>
      <c r="M11988">
        <v>0</v>
      </c>
      <c r="N11988">
        <v>0</v>
      </c>
    </row>
    <row r="11989" spans="1:15">
      <c r="A11989" t="s">
        <v>42030</v>
      </c>
      <c r="B11989" t="s">
        <v>11844</v>
      </c>
      <c r="C11989" t="s">
        <v>13088</v>
      </c>
      <c r="D11989" t="s">
        <v>42031</v>
      </c>
      <c r="E11989" t="b">
        <v>0</v>
      </c>
      <c r="F11989" t="s">
        <v>11624</v>
      </c>
      <c r="G11989">
        <v>10.4468</v>
      </c>
      <c r="H11989">
        <v>76.558599999999998</v>
      </c>
      <c r="I11989" t="s">
        <v>42032</v>
      </c>
      <c r="L11989">
        <v>0</v>
      </c>
      <c r="M11989">
        <v>0</v>
      </c>
      <c r="N11989">
        <v>0</v>
      </c>
      <c r="O11989" t="s">
        <v>11630</v>
      </c>
    </row>
    <row r="11990" spans="1:15">
      <c r="A11990" t="s">
        <v>42033</v>
      </c>
      <c r="B11990" t="s">
        <v>11844</v>
      </c>
      <c r="C11990" t="s">
        <v>9047</v>
      </c>
      <c r="D11990" t="s">
        <v>42034</v>
      </c>
      <c r="E11990" t="b">
        <v>0</v>
      </c>
      <c r="F11990" t="s">
        <v>11610</v>
      </c>
      <c r="L11990">
        <v>0</v>
      </c>
      <c r="M11990">
        <v>0</v>
      </c>
      <c r="N11990">
        <v>0</v>
      </c>
    </row>
    <row r="11991" spans="1:15">
      <c r="A11991" t="s">
        <v>42035</v>
      </c>
      <c r="B11991" t="s">
        <v>11844</v>
      </c>
      <c r="C11991" t="s">
        <v>42010</v>
      </c>
      <c r="D11991" t="s">
        <v>42036</v>
      </c>
      <c r="E11991" t="b">
        <v>0</v>
      </c>
      <c r="F11991" t="s">
        <v>11624</v>
      </c>
      <c r="G11991">
        <v>8.5922499999999999</v>
      </c>
      <c r="H11991">
        <v>77.272000000000006</v>
      </c>
      <c r="I11991" t="s">
        <v>42037</v>
      </c>
      <c r="L11991">
        <v>0</v>
      </c>
      <c r="M11991">
        <v>0</v>
      </c>
      <c r="N11991">
        <v>0</v>
      </c>
      <c r="O11991" t="s">
        <v>11630</v>
      </c>
    </row>
    <row r="11992" spans="1:15">
      <c r="A11992" t="s">
        <v>42038</v>
      </c>
      <c r="B11992" t="s">
        <v>11844</v>
      </c>
      <c r="C11992" t="s">
        <v>1318</v>
      </c>
      <c r="D11992" t="s">
        <v>42039</v>
      </c>
      <c r="E11992" t="b">
        <v>0</v>
      </c>
      <c r="F11992" t="s">
        <v>11610</v>
      </c>
      <c r="L11992">
        <v>0</v>
      </c>
      <c r="M11992">
        <v>0</v>
      </c>
      <c r="N11992">
        <v>0</v>
      </c>
    </row>
    <row r="11993" spans="1:15">
      <c r="A11993" t="s">
        <v>42040</v>
      </c>
      <c r="B11993" t="s">
        <v>6742</v>
      </c>
      <c r="C11993" t="s">
        <v>16789</v>
      </c>
      <c r="D11993" t="s">
        <v>42041</v>
      </c>
      <c r="E11993" t="b">
        <v>0</v>
      </c>
      <c r="F11993" t="s">
        <v>11610</v>
      </c>
      <c r="L11993">
        <v>0</v>
      </c>
      <c r="M11993">
        <v>0</v>
      </c>
      <c r="N11993">
        <v>0</v>
      </c>
    </row>
    <row r="11994" spans="1:15">
      <c r="A11994" t="s">
        <v>42042</v>
      </c>
      <c r="B11994" t="s">
        <v>12241</v>
      </c>
      <c r="C11994" t="s">
        <v>15040</v>
      </c>
      <c r="D11994" t="s">
        <v>42043</v>
      </c>
      <c r="E11994" t="b">
        <v>0</v>
      </c>
      <c r="F11994" t="s">
        <v>11624</v>
      </c>
      <c r="G11994">
        <v>10.5776</v>
      </c>
      <c r="H11994">
        <v>8.0983800000000006</v>
      </c>
      <c r="I11994" t="s">
        <v>42044</v>
      </c>
      <c r="L11994">
        <v>0</v>
      </c>
      <c r="M11994">
        <v>0</v>
      </c>
      <c r="N11994">
        <v>0</v>
      </c>
      <c r="O11994" t="s">
        <v>11693</v>
      </c>
    </row>
    <row r="11995" spans="1:15">
      <c r="A11995" t="s">
        <v>42045</v>
      </c>
      <c r="B11995" t="s">
        <v>6742</v>
      </c>
      <c r="C11995" t="s">
        <v>15793</v>
      </c>
      <c r="D11995" t="s">
        <v>42046</v>
      </c>
      <c r="E11995" t="b">
        <v>0</v>
      </c>
      <c r="F11995" t="s">
        <v>11610</v>
      </c>
      <c r="L11995">
        <v>0</v>
      </c>
      <c r="M11995">
        <v>0</v>
      </c>
      <c r="N11995">
        <v>0</v>
      </c>
    </row>
    <row r="11996" spans="1:15">
      <c r="A11996" t="s">
        <v>42047</v>
      </c>
      <c r="B11996" t="s">
        <v>6742</v>
      </c>
      <c r="C11996" t="s">
        <v>22753</v>
      </c>
      <c r="D11996" t="s">
        <v>42048</v>
      </c>
      <c r="E11996" t="b">
        <v>0</v>
      </c>
      <c r="F11996" t="s">
        <v>11610</v>
      </c>
      <c r="L11996">
        <v>0</v>
      </c>
      <c r="M11996">
        <v>0</v>
      </c>
      <c r="N11996">
        <v>0</v>
      </c>
    </row>
    <row r="11997" spans="1:15">
      <c r="A11997" t="s">
        <v>42049</v>
      </c>
      <c r="B11997" t="s">
        <v>6742</v>
      </c>
      <c r="C11997" t="s">
        <v>30367</v>
      </c>
      <c r="D11997" t="s">
        <v>42050</v>
      </c>
      <c r="E11997" t="b">
        <v>0</v>
      </c>
      <c r="F11997" t="s">
        <v>11610</v>
      </c>
      <c r="L11997">
        <v>0</v>
      </c>
      <c r="M11997">
        <v>0</v>
      </c>
      <c r="N11997">
        <v>0</v>
      </c>
    </row>
    <row r="11998" spans="1:15">
      <c r="A11998" t="s">
        <v>42051</v>
      </c>
      <c r="B11998" t="s">
        <v>6742</v>
      </c>
      <c r="C11998" t="s">
        <v>17185</v>
      </c>
      <c r="D11998" t="s">
        <v>42052</v>
      </c>
      <c r="E11998" t="b">
        <v>0</v>
      </c>
      <c r="F11998" t="s">
        <v>11624</v>
      </c>
      <c r="G11998">
        <v>-16.618300000000001</v>
      </c>
      <c r="H11998">
        <v>34.991</v>
      </c>
      <c r="I11998" t="s">
        <v>42053</v>
      </c>
      <c r="L11998">
        <v>0</v>
      </c>
      <c r="M11998">
        <v>0</v>
      </c>
      <c r="N11998">
        <v>0</v>
      </c>
      <c r="O11998" t="s">
        <v>37008</v>
      </c>
    </row>
    <row r="11999" spans="1:15">
      <c r="A11999" t="s">
        <v>5293</v>
      </c>
      <c r="B11999" t="s">
        <v>367</v>
      </c>
      <c r="C11999" t="s">
        <v>33119</v>
      </c>
      <c r="D11999" t="s">
        <v>42054</v>
      </c>
      <c r="E11999" t="b">
        <v>0</v>
      </c>
      <c r="F11999" t="s">
        <v>11624</v>
      </c>
      <c r="G11999">
        <v>1.85856</v>
      </c>
      <c r="H11999">
        <v>103</v>
      </c>
      <c r="I11999" t="s">
        <v>5295</v>
      </c>
      <c r="L11999">
        <v>0</v>
      </c>
      <c r="M11999">
        <v>0</v>
      </c>
      <c r="N11999">
        <v>0</v>
      </c>
      <c r="O11999" t="s">
        <v>42055</v>
      </c>
    </row>
    <row r="12000" spans="1:15">
      <c r="A12000" t="s">
        <v>14685</v>
      </c>
      <c r="B12000" t="s">
        <v>367</v>
      </c>
      <c r="C12000" t="s">
        <v>35836</v>
      </c>
      <c r="D12000" t="s">
        <v>42056</v>
      </c>
      <c r="E12000" t="b">
        <v>0</v>
      </c>
      <c r="F12000" t="s">
        <v>11624</v>
      </c>
      <c r="G12000">
        <v>-2.7838400000000001</v>
      </c>
      <c r="H12000">
        <v>111.136</v>
      </c>
      <c r="I12000" t="s">
        <v>42057</v>
      </c>
      <c r="L12000">
        <v>0</v>
      </c>
      <c r="M12000">
        <v>0</v>
      </c>
      <c r="N12000">
        <v>12</v>
      </c>
      <c r="O12000" t="s">
        <v>11768</v>
      </c>
    </row>
    <row r="12001" spans="1:15">
      <c r="A12001" t="s">
        <v>42058</v>
      </c>
      <c r="B12001" t="s">
        <v>367</v>
      </c>
      <c r="C12001" t="s">
        <v>42059</v>
      </c>
      <c r="D12001" t="s">
        <v>42060</v>
      </c>
      <c r="E12001" t="b">
        <v>0</v>
      </c>
      <c r="F12001" t="s">
        <v>11624</v>
      </c>
      <c r="G12001">
        <v>1.48099</v>
      </c>
      <c r="H12001">
        <v>124.843</v>
      </c>
      <c r="I12001" t="s">
        <v>42061</v>
      </c>
      <c r="L12001">
        <v>0</v>
      </c>
      <c r="M12001">
        <v>0</v>
      </c>
      <c r="N12001">
        <v>0</v>
      </c>
      <c r="O12001" t="s">
        <v>11768</v>
      </c>
    </row>
    <row r="12002" spans="1:15">
      <c r="A12002" t="s">
        <v>42062</v>
      </c>
      <c r="B12002" t="s">
        <v>367</v>
      </c>
      <c r="C12002" t="s">
        <v>15607</v>
      </c>
      <c r="D12002" t="s">
        <v>42063</v>
      </c>
      <c r="E12002" t="b">
        <v>0</v>
      </c>
      <c r="F12002" t="s">
        <v>11624</v>
      </c>
      <c r="G12002">
        <v>2.2026500000000002</v>
      </c>
      <c r="H12002">
        <v>102.240488</v>
      </c>
      <c r="I12002" t="s">
        <v>42064</v>
      </c>
      <c r="L12002">
        <v>0</v>
      </c>
      <c r="M12002">
        <v>0</v>
      </c>
      <c r="N12002">
        <v>0</v>
      </c>
      <c r="O12002" t="s">
        <v>11672</v>
      </c>
    </row>
    <row r="12003" spans="1:15">
      <c r="A12003" t="s">
        <v>42065</v>
      </c>
      <c r="B12003" t="s">
        <v>367</v>
      </c>
      <c r="C12003" t="s">
        <v>37378</v>
      </c>
      <c r="D12003" t="s">
        <v>42066</v>
      </c>
      <c r="E12003" t="b">
        <v>0</v>
      </c>
      <c r="F12003" t="s">
        <v>11610</v>
      </c>
      <c r="L12003">
        <v>0</v>
      </c>
      <c r="M12003">
        <v>0</v>
      </c>
      <c r="N12003">
        <v>0</v>
      </c>
    </row>
    <row r="12004" spans="1:15">
      <c r="A12004" t="s">
        <v>42067</v>
      </c>
      <c r="B12004" t="s">
        <v>367</v>
      </c>
      <c r="C12004" t="s">
        <v>29143</v>
      </c>
      <c r="D12004" t="s">
        <v>42068</v>
      </c>
      <c r="E12004" t="b">
        <v>0</v>
      </c>
      <c r="F12004" t="s">
        <v>11624</v>
      </c>
      <c r="G12004">
        <v>-9.6138300000000001</v>
      </c>
      <c r="H12004">
        <v>160.11799999999999</v>
      </c>
      <c r="I12004" t="s">
        <v>42069</v>
      </c>
      <c r="L12004">
        <v>0</v>
      </c>
      <c r="M12004">
        <v>0</v>
      </c>
      <c r="N12004">
        <v>0</v>
      </c>
      <c r="O12004" t="s">
        <v>13346</v>
      </c>
    </row>
    <row r="12005" spans="1:15">
      <c r="A12005" t="s">
        <v>40678</v>
      </c>
      <c r="B12005" t="s">
        <v>367</v>
      </c>
      <c r="C12005" t="s">
        <v>29802</v>
      </c>
      <c r="D12005" t="s">
        <v>42070</v>
      </c>
      <c r="E12005" t="b">
        <v>0</v>
      </c>
      <c r="F12005" t="s">
        <v>11622</v>
      </c>
      <c r="L12005">
        <v>6</v>
      </c>
      <c r="M12005">
        <v>19</v>
      </c>
      <c r="N12005">
        <v>18</v>
      </c>
    </row>
    <row r="12006" spans="1:15">
      <c r="A12006" t="s">
        <v>42071</v>
      </c>
      <c r="B12006" t="s">
        <v>367</v>
      </c>
      <c r="C12006" t="s">
        <v>14613</v>
      </c>
      <c r="D12006" t="s">
        <v>42072</v>
      </c>
      <c r="E12006" t="b">
        <v>0</v>
      </c>
      <c r="F12006" t="s">
        <v>11624</v>
      </c>
      <c r="G12006">
        <v>-5.9401000000000002</v>
      </c>
      <c r="H12006">
        <v>147.05799999999999</v>
      </c>
      <c r="I12006" t="s">
        <v>42073</v>
      </c>
      <c r="L12006">
        <v>0</v>
      </c>
      <c r="M12006">
        <v>0</v>
      </c>
      <c r="N12006">
        <v>2</v>
      </c>
      <c r="O12006" t="s">
        <v>11660</v>
      </c>
    </row>
    <row r="12007" spans="1:15">
      <c r="A12007" t="s">
        <v>42074</v>
      </c>
      <c r="B12007" t="s">
        <v>367</v>
      </c>
      <c r="C12007" t="s">
        <v>42075</v>
      </c>
      <c r="D12007" t="s">
        <v>42076</v>
      </c>
      <c r="E12007" t="b">
        <v>0</v>
      </c>
      <c r="F12007" t="s">
        <v>11610</v>
      </c>
      <c r="L12007">
        <v>0</v>
      </c>
      <c r="M12007">
        <v>0</v>
      </c>
      <c r="N12007">
        <v>0</v>
      </c>
    </row>
    <row r="12008" spans="1:15">
      <c r="A12008" t="s">
        <v>42077</v>
      </c>
      <c r="B12008" t="s">
        <v>367</v>
      </c>
      <c r="C12008" t="s">
        <v>42078</v>
      </c>
      <c r="D12008" t="s">
        <v>42079</v>
      </c>
      <c r="E12008" t="b">
        <v>0</v>
      </c>
      <c r="F12008" t="s">
        <v>11624</v>
      </c>
      <c r="G12008">
        <v>-5.7749499999999996</v>
      </c>
      <c r="H12008">
        <v>146.642</v>
      </c>
      <c r="I12008" t="s">
        <v>42080</v>
      </c>
      <c r="L12008">
        <v>0</v>
      </c>
      <c r="M12008">
        <v>0</v>
      </c>
      <c r="N12008">
        <v>0</v>
      </c>
      <c r="O12008" t="s">
        <v>11660</v>
      </c>
    </row>
    <row r="12009" spans="1:15">
      <c r="A12009" t="s">
        <v>42081</v>
      </c>
      <c r="B12009" t="s">
        <v>367</v>
      </c>
      <c r="C12009" t="s">
        <v>12770</v>
      </c>
      <c r="D12009" t="s">
        <v>42082</v>
      </c>
      <c r="E12009" t="b">
        <v>0</v>
      </c>
      <c r="F12009" t="s">
        <v>11624</v>
      </c>
      <c r="G12009">
        <v>11.856400000000001</v>
      </c>
      <c r="H12009">
        <v>121.919</v>
      </c>
      <c r="I12009" t="s">
        <v>42083</v>
      </c>
      <c r="L12009">
        <v>0</v>
      </c>
      <c r="M12009">
        <v>0</v>
      </c>
      <c r="N12009">
        <v>0</v>
      </c>
      <c r="O12009" t="s">
        <v>11749</v>
      </c>
    </row>
    <row r="12010" spans="1:15">
      <c r="A12010" t="s">
        <v>42084</v>
      </c>
      <c r="B12010" t="s">
        <v>367</v>
      </c>
      <c r="C12010" t="s">
        <v>15008</v>
      </c>
      <c r="D12010" t="s">
        <v>42085</v>
      </c>
      <c r="E12010" t="b">
        <v>0</v>
      </c>
      <c r="F12010" t="s">
        <v>11610</v>
      </c>
      <c r="L12010">
        <v>0</v>
      </c>
      <c r="M12010">
        <v>0</v>
      </c>
      <c r="N12010">
        <v>0</v>
      </c>
    </row>
    <row r="12011" spans="1:15">
      <c r="A12011" t="s">
        <v>42086</v>
      </c>
      <c r="B12011" t="s">
        <v>367</v>
      </c>
      <c r="C12011" t="s">
        <v>14457</v>
      </c>
      <c r="D12011" t="s">
        <v>42087</v>
      </c>
      <c r="E12011" t="b">
        <v>0</v>
      </c>
      <c r="F12011" t="s">
        <v>11610</v>
      </c>
      <c r="L12011">
        <v>0</v>
      </c>
      <c r="M12011">
        <v>0</v>
      </c>
      <c r="N12011">
        <v>0</v>
      </c>
    </row>
    <row r="12012" spans="1:15">
      <c r="A12012" t="s">
        <v>42088</v>
      </c>
      <c r="B12012" t="s">
        <v>11615</v>
      </c>
      <c r="C12012" t="s">
        <v>35468</v>
      </c>
      <c r="D12012" t="s">
        <v>42089</v>
      </c>
      <c r="E12012" t="b">
        <v>0</v>
      </c>
      <c r="F12012" t="s">
        <v>11624</v>
      </c>
      <c r="G12012">
        <v>-4.3588899999999997</v>
      </c>
      <c r="H12012">
        <v>145.04</v>
      </c>
      <c r="I12012" t="s">
        <v>42090</v>
      </c>
      <c r="L12012">
        <v>0</v>
      </c>
      <c r="M12012">
        <v>0</v>
      </c>
      <c r="N12012">
        <v>0</v>
      </c>
      <c r="O12012" t="s">
        <v>11660</v>
      </c>
    </row>
    <row r="12013" spans="1:15">
      <c r="A12013" t="s">
        <v>42091</v>
      </c>
      <c r="B12013" t="s">
        <v>11615</v>
      </c>
      <c r="C12013" t="s">
        <v>24842</v>
      </c>
      <c r="D12013" t="s">
        <v>42092</v>
      </c>
      <c r="E12013" t="b">
        <v>0</v>
      </c>
      <c r="F12013" t="s">
        <v>11624</v>
      </c>
      <c r="G12013">
        <v>-4.7668499999999998</v>
      </c>
      <c r="H12013">
        <v>145.62100000000001</v>
      </c>
      <c r="I12013" t="s">
        <v>42093</v>
      </c>
      <c r="L12013">
        <v>0</v>
      </c>
      <c r="M12013">
        <v>0</v>
      </c>
      <c r="N12013">
        <v>0</v>
      </c>
      <c r="O12013" t="s">
        <v>11660</v>
      </c>
    </row>
    <row r="12014" spans="1:15">
      <c r="A12014" t="s">
        <v>42094</v>
      </c>
      <c r="B12014" t="s">
        <v>6455</v>
      </c>
      <c r="C12014" t="s">
        <v>26406</v>
      </c>
      <c r="D12014" t="s">
        <v>42095</v>
      </c>
      <c r="E12014" t="b">
        <v>0</v>
      </c>
      <c r="F12014" t="s">
        <v>11624</v>
      </c>
      <c r="G12014">
        <v>10.928599999999999</v>
      </c>
      <c r="H12014">
        <v>-73.405600000000007</v>
      </c>
      <c r="I12014" t="s">
        <v>42096</v>
      </c>
      <c r="L12014">
        <v>0</v>
      </c>
      <c r="M12014">
        <v>0</v>
      </c>
      <c r="N12014">
        <v>0</v>
      </c>
      <c r="O12014" t="s">
        <v>11898</v>
      </c>
    </row>
    <row r="12015" spans="1:15">
      <c r="A12015" t="s">
        <v>42097</v>
      </c>
      <c r="B12015" t="s">
        <v>11607</v>
      </c>
      <c r="C12015" t="s">
        <v>17383</v>
      </c>
      <c r="D12015" t="s">
        <v>42098</v>
      </c>
      <c r="E12015" t="b">
        <v>0</v>
      </c>
      <c r="F12015" t="s">
        <v>11610</v>
      </c>
      <c r="L12015">
        <v>0</v>
      </c>
      <c r="M12015">
        <v>0</v>
      </c>
      <c r="N12015">
        <v>0</v>
      </c>
    </row>
    <row r="12016" spans="1:15">
      <c r="A12016" t="s">
        <v>42099</v>
      </c>
      <c r="B12016" t="s">
        <v>11607</v>
      </c>
      <c r="C12016" t="s">
        <v>25019</v>
      </c>
      <c r="D12016" t="s">
        <v>42100</v>
      </c>
      <c r="E12016" t="b">
        <v>0</v>
      </c>
      <c r="F12016" t="s">
        <v>11610</v>
      </c>
      <c r="L12016">
        <v>0</v>
      </c>
      <c r="M12016">
        <v>0</v>
      </c>
      <c r="N12016">
        <v>0</v>
      </c>
    </row>
    <row r="12017" spans="1:15">
      <c r="A12017" t="s">
        <v>42101</v>
      </c>
      <c r="B12017" t="s">
        <v>11637</v>
      </c>
      <c r="C12017" t="s">
        <v>41270</v>
      </c>
      <c r="D12017" t="s">
        <v>42102</v>
      </c>
      <c r="E12017" t="b">
        <v>0</v>
      </c>
      <c r="F12017" t="s">
        <v>11624</v>
      </c>
      <c r="G12017">
        <v>2.1880869999999999</v>
      </c>
      <c r="H12017">
        <v>102.26205899999999</v>
      </c>
      <c r="I12017" t="s">
        <v>42103</v>
      </c>
      <c r="L12017">
        <v>0</v>
      </c>
      <c r="M12017">
        <v>0</v>
      </c>
      <c r="N12017">
        <v>0</v>
      </c>
      <c r="O12017" t="s">
        <v>11672</v>
      </c>
    </row>
    <row r="12018" spans="1:15">
      <c r="A12018" t="s">
        <v>42104</v>
      </c>
      <c r="B12018" t="s">
        <v>367</v>
      </c>
      <c r="C12018" t="s">
        <v>12025</v>
      </c>
      <c r="D12018" t="s">
        <v>42105</v>
      </c>
      <c r="E12018" t="b">
        <v>0</v>
      </c>
      <c r="F12018" t="s">
        <v>11624</v>
      </c>
      <c r="L12018">
        <v>0</v>
      </c>
      <c r="M12018">
        <v>0</v>
      </c>
      <c r="N12018">
        <v>0</v>
      </c>
      <c r="O12018" t="s">
        <v>11749</v>
      </c>
    </row>
    <row r="12019" spans="1:15">
      <c r="A12019" t="s">
        <v>41578</v>
      </c>
      <c r="B12019" t="s">
        <v>367</v>
      </c>
      <c r="C12019" t="s">
        <v>4363</v>
      </c>
      <c r="D12019" t="s">
        <v>42106</v>
      </c>
      <c r="E12019" t="b">
        <v>0</v>
      </c>
      <c r="F12019" t="s">
        <v>11622</v>
      </c>
      <c r="L12019">
        <v>36</v>
      </c>
      <c r="M12019">
        <v>78</v>
      </c>
      <c r="N12019">
        <v>115</v>
      </c>
    </row>
    <row r="12020" spans="1:15">
      <c r="A12020" t="s">
        <v>2077</v>
      </c>
      <c r="B12020" t="s">
        <v>367</v>
      </c>
      <c r="C12020" t="s">
        <v>25613</v>
      </c>
      <c r="D12020" t="s">
        <v>42107</v>
      </c>
      <c r="E12020" t="b">
        <v>0</v>
      </c>
      <c r="F12020" t="s">
        <v>11622</v>
      </c>
      <c r="L12020">
        <v>9</v>
      </c>
      <c r="M12020">
        <v>13</v>
      </c>
      <c r="N12020">
        <v>11</v>
      </c>
    </row>
    <row r="12021" spans="1:15">
      <c r="A12021" t="s">
        <v>5294</v>
      </c>
      <c r="B12021" t="s">
        <v>367</v>
      </c>
      <c r="C12021" t="s">
        <v>16291</v>
      </c>
      <c r="D12021" t="s">
        <v>42108</v>
      </c>
      <c r="E12021" t="b">
        <v>0</v>
      </c>
      <c r="F12021" t="s">
        <v>11622</v>
      </c>
      <c r="L12021">
        <v>21</v>
      </c>
      <c r="M12021">
        <v>59</v>
      </c>
      <c r="N12021">
        <v>71</v>
      </c>
    </row>
    <row r="12022" spans="1:15">
      <c r="A12022" t="s">
        <v>26564</v>
      </c>
      <c r="B12022" t="s">
        <v>367</v>
      </c>
      <c r="C12022" t="s">
        <v>13403</v>
      </c>
      <c r="D12022" t="s">
        <v>42109</v>
      </c>
      <c r="E12022" t="b">
        <v>0</v>
      </c>
      <c r="F12022" t="s">
        <v>11622</v>
      </c>
      <c r="L12022">
        <v>18</v>
      </c>
      <c r="M12022">
        <v>34</v>
      </c>
      <c r="N12022">
        <v>12</v>
      </c>
    </row>
    <row r="12023" spans="1:15">
      <c r="A12023" t="s">
        <v>42110</v>
      </c>
      <c r="B12023" t="s">
        <v>367</v>
      </c>
      <c r="C12023" t="s">
        <v>40678</v>
      </c>
      <c r="D12023" t="s">
        <v>42111</v>
      </c>
      <c r="E12023" t="b">
        <v>0</v>
      </c>
      <c r="F12023" t="s">
        <v>11622</v>
      </c>
      <c r="L12023">
        <v>5</v>
      </c>
      <c r="M12023">
        <v>18</v>
      </c>
      <c r="N12023">
        <v>18</v>
      </c>
    </row>
    <row r="12024" spans="1:15">
      <c r="A12024" t="s">
        <v>13088</v>
      </c>
      <c r="B12024" t="s">
        <v>11844</v>
      </c>
      <c r="C12024" t="s">
        <v>42112</v>
      </c>
      <c r="D12024" t="s">
        <v>42113</v>
      </c>
      <c r="E12024" t="b">
        <v>0</v>
      </c>
      <c r="F12024" t="s">
        <v>11622</v>
      </c>
      <c r="L12024">
        <v>2</v>
      </c>
      <c r="M12024">
        <v>19</v>
      </c>
      <c r="N12024">
        <v>19</v>
      </c>
    </row>
    <row r="12025" spans="1:15">
      <c r="A12025" t="s">
        <v>42114</v>
      </c>
      <c r="B12025" t="s">
        <v>367</v>
      </c>
      <c r="C12025" t="s">
        <v>42110</v>
      </c>
      <c r="D12025" t="s">
        <v>42115</v>
      </c>
      <c r="E12025" t="b">
        <v>0</v>
      </c>
      <c r="F12025" t="s">
        <v>11622</v>
      </c>
      <c r="L12025">
        <v>3</v>
      </c>
      <c r="M12025">
        <v>12</v>
      </c>
      <c r="N12025">
        <v>5</v>
      </c>
    </row>
    <row r="12026" spans="1:15">
      <c r="A12026" t="s">
        <v>42116</v>
      </c>
      <c r="B12026" t="s">
        <v>11637</v>
      </c>
      <c r="C12026" t="s">
        <v>32402</v>
      </c>
      <c r="D12026" t="s">
        <v>42117</v>
      </c>
      <c r="E12026" t="b">
        <v>0</v>
      </c>
      <c r="F12026" t="s">
        <v>11624</v>
      </c>
      <c r="G12026">
        <v>8.5867000000000004</v>
      </c>
      <c r="H12026">
        <v>81.211884999999995</v>
      </c>
      <c r="L12026">
        <v>0</v>
      </c>
      <c r="M12026">
        <v>0</v>
      </c>
      <c r="N12026">
        <v>0</v>
      </c>
      <c r="O12026" t="s">
        <v>42118</v>
      </c>
    </row>
    <row r="12027" spans="1:15">
      <c r="A12027" t="s">
        <v>4363</v>
      </c>
      <c r="B12027" t="s">
        <v>367</v>
      </c>
      <c r="C12027" t="s">
        <v>367</v>
      </c>
      <c r="D12027" t="s">
        <v>42119</v>
      </c>
      <c r="E12027" t="b">
        <v>0</v>
      </c>
      <c r="F12027" t="s">
        <v>11622</v>
      </c>
      <c r="L12027">
        <v>709</v>
      </c>
      <c r="M12027">
        <v>1255</v>
      </c>
      <c r="N12027">
        <v>1817</v>
      </c>
    </row>
    <row r="12028" spans="1:15">
      <c r="A12028" t="s">
        <v>42120</v>
      </c>
      <c r="B12028" t="s">
        <v>11627</v>
      </c>
      <c r="C12028" t="s">
        <v>11627</v>
      </c>
      <c r="D12028" t="s">
        <v>42121</v>
      </c>
      <c r="E12028" t="b">
        <v>1</v>
      </c>
      <c r="F12028" t="s">
        <v>11624</v>
      </c>
      <c r="I12028" t="s">
        <v>42122</v>
      </c>
      <c r="L12028">
        <v>0</v>
      </c>
      <c r="M12028">
        <v>0</v>
      </c>
      <c r="N12028">
        <v>0</v>
      </c>
    </row>
    <row r="12029" spans="1:15">
      <c r="A12029" t="s">
        <v>19907</v>
      </c>
      <c r="B12029" t="s">
        <v>13450</v>
      </c>
      <c r="C12029" t="s">
        <v>13450</v>
      </c>
      <c r="D12029" t="s">
        <v>42123</v>
      </c>
      <c r="E12029" t="b">
        <v>0</v>
      </c>
      <c r="F12029" t="s">
        <v>11622</v>
      </c>
      <c r="L12029">
        <v>0</v>
      </c>
      <c r="M12029">
        <v>1</v>
      </c>
      <c r="N12029">
        <v>0</v>
      </c>
    </row>
    <row r="12030" spans="1:15">
      <c r="A12030" t="s">
        <v>32408</v>
      </c>
      <c r="B12030" t="s">
        <v>11981</v>
      </c>
      <c r="C12030" t="s">
        <v>13456</v>
      </c>
      <c r="D12030" t="s">
        <v>42124</v>
      </c>
      <c r="E12030" t="b">
        <v>0</v>
      </c>
      <c r="F12030" t="s">
        <v>11622</v>
      </c>
      <c r="L12030">
        <v>1</v>
      </c>
      <c r="M12030">
        <v>3</v>
      </c>
      <c r="N12030">
        <v>0</v>
      </c>
    </row>
    <row r="12031" spans="1:15">
      <c r="A12031" t="s">
        <v>42125</v>
      </c>
      <c r="B12031" t="s">
        <v>14629</v>
      </c>
      <c r="C12031" t="s">
        <v>14629</v>
      </c>
      <c r="D12031" t="s">
        <v>42126</v>
      </c>
      <c r="E12031" t="b">
        <v>0</v>
      </c>
      <c r="F12031" t="s">
        <v>11624</v>
      </c>
      <c r="I12031" t="s">
        <v>42127</v>
      </c>
      <c r="L12031">
        <v>0</v>
      </c>
      <c r="M12031">
        <v>0</v>
      </c>
      <c r="N12031">
        <v>0</v>
      </c>
      <c r="O12031" t="s">
        <v>42128</v>
      </c>
    </row>
    <row r="12032" spans="1:15">
      <c r="A12032" t="s">
        <v>27310</v>
      </c>
      <c r="B12032" t="s">
        <v>11844</v>
      </c>
      <c r="C12032" t="s">
        <v>42010</v>
      </c>
      <c r="D12032" t="s">
        <v>42129</v>
      </c>
      <c r="E12032" t="b">
        <v>0</v>
      </c>
      <c r="F12032" t="s">
        <v>11622</v>
      </c>
      <c r="L12032">
        <v>0</v>
      </c>
      <c r="M12032">
        <v>2</v>
      </c>
      <c r="N12032">
        <v>0</v>
      </c>
    </row>
    <row r="12033" spans="1:15">
      <c r="A12033" t="s">
        <v>18779</v>
      </c>
      <c r="B12033" t="s">
        <v>6742</v>
      </c>
      <c r="C12033" t="s">
        <v>18775</v>
      </c>
      <c r="D12033" t="s">
        <v>42130</v>
      </c>
      <c r="E12033" t="b">
        <v>0</v>
      </c>
      <c r="F12033" t="s">
        <v>11624</v>
      </c>
      <c r="G12033">
        <v>9.7846499999999992</v>
      </c>
      <c r="H12033">
        <v>-2.9062299999999999</v>
      </c>
      <c r="I12033" t="s">
        <v>42131</v>
      </c>
      <c r="L12033">
        <v>0</v>
      </c>
      <c r="M12033">
        <v>0</v>
      </c>
      <c r="N12033">
        <v>2</v>
      </c>
      <c r="O12033" t="s">
        <v>19756</v>
      </c>
    </row>
    <row r="12034" spans="1:15">
      <c r="A12034" t="s">
        <v>42132</v>
      </c>
      <c r="B12034" t="s">
        <v>11637</v>
      </c>
      <c r="C12034" t="s">
        <v>17607</v>
      </c>
      <c r="D12034" t="s">
        <v>42133</v>
      </c>
      <c r="E12034" t="b">
        <v>0</v>
      </c>
      <c r="F12034" t="s">
        <v>11610</v>
      </c>
      <c r="L12034">
        <v>0</v>
      </c>
      <c r="M12034">
        <v>0</v>
      </c>
      <c r="N12034">
        <v>0</v>
      </c>
    </row>
    <row r="12035" spans="1:15">
      <c r="A12035" t="s">
        <v>42134</v>
      </c>
      <c r="B12035" t="s">
        <v>11637</v>
      </c>
      <c r="C12035" t="s">
        <v>17607</v>
      </c>
      <c r="D12035" t="s">
        <v>42135</v>
      </c>
      <c r="E12035" t="b">
        <v>0</v>
      </c>
      <c r="F12035" t="s">
        <v>11610</v>
      </c>
      <c r="L12035">
        <v>0</v>
      </c>
      <c r="M12035">
        <v>0</v>
      </c>
      <c r="N12035">
        <v>0</v>
      </c>
    </row>
    <row r="12036" spans="1:15">
      <c r="A12036" t="s">
        <v>30765</v>
      </c>
      <c r="B12036" t="s">
        <v>12438</v>
      </c>
      <c r="C12036" t="s">
        <v>14461</v>
      </c>
      <c r="D12036" t="s">
        <v>42136</v>
      </c>
      <c r="E12036" t="b">
        <v>0</v>
      </c>
      <c r="F12036" t="s">
        <v>11624</v>
      </c>
      <c r="G12036">
        <v>17.913525</v>
      </c>
      <c r="H12036">
        <v>105.52746</v>
      </c>
      <c r="I12036" t="s">
        <v>42137</v>
      </c>
      <c r="L12036">
        <v>0</v>
      </c>
      <c r="M12036">
        <v>0</v>
      </c>
      <c r="N12036">
        <v>6</v>
      </c>
      <c r="O12036" t="s">
        <v>14464</v>
      </c>
    </row>
    <row r="12037" spans="1:15">
      <c r="A12037" t="s">
        <v>42138</v>
      </c>
      <c r="B12037" t="s">
        <v>11729</v>
      </c>
      <c r="C12037" t="s">
        <v>41903</v>
      </c>
      <c r="D12037" t="s">
        <v>42139</v>
      </c>
      <c r="E12037" t="b">
        <v>0</v>
      </c>
      <c r="F12037" t="s">
        <v>11610</v>
      </c>
      <c r="L12037">
        <v>0</v>
      </c>
      <c r="M12037">
        <v>0</v>
      </c>
      <c r="N12037">
        <v>0</v>
      </c>
    </row>
    <row r="12038" spans="1:15">
      <c r="A12038" t="s">
        <v>42140</v>
      </c>
      <c r="B12038" t="s">
        <v>13571</v>
      </c>
      <c r="C12038" t="s">
        <v>17271</v>
      </c>
      <c r="D12038" t="s">
        <v>42141</v>
      </c>
      <c r="E12038" t="b">
        <v>0</v>
      </c>
      <c r="F12038" t="s">
        <v>11624</v>
      </c>
      <c r="G12038">
        <v>5.9197499999999996</v>
      </c>
      <c r="H12038">
        <v>36.989199999999997</v>
      </c>
      <c r="I12038" t="s">
        <v>42142</v>
      </c>
      <c r="L12038">
        <v>0</v>
      </c>
      <c r="M12038">
        <v>0</v>
      </c>
      <c r="N12038">
        <v>0</v>
      </c>
      <c r="O12038" t="s">
        <v>11625</v>
      </c>
    </row>
    <row r="12039" spans="1:15">
      <c r="A12039" t="s">
        <v>42143</v>
      </c>
      <c r="B12039" t="s">
        <v>367</v>
      </c>
      <c r="C12039" t="s">
        <v>37571</v>
      </c>
      <c r="D12039" t="s">
        <v>42144</v>
      </c>
      <c r="E12039" t="b">
        <v>0</v>
      </c>
      <c r="F12039" t="s">
        <v>11610</v>
      </c>
      <c r="L12039">
        <v>0</v>
      </c>
      <c r="M12039">
        <v>0</v>
      </c>
      <c r="N12039">
        <v>0</v>
      </c>
    </row>
    <row r="12040" spans="1:15">
      <c r="A12040" t="s">
        <v>36488</v>
      </c>
      <c r="B12040" t="s">
        <v>367</v>
      </c>
      <c r="C12040" t="s">
        <v>17862</v>
      </c>
      <c r="D12040" t="s">
        <v>42145</v>
      </c>
      <c r="E12040" t="b">
        <v>0</v>
      </c>
      <c r="F12040" t="s">
        <v>11624</v>
      </c>
      <c r="G12040">
        <v>-5.6161300000000001</v>
      </c>
      <c r="H12040">
        <v>148.44499999999999</v>
      </c>
      <c r="I12040" t="s">
        <v>42146</v>
      </c>
      <c r="L12040">
        <v>0</v>
      </c>
      <c r="M12040">
        <v>0</v>
      </c>
      <c r="N12040">
        <v>2</v>
      </c>
      <c r="O12040" t="s">
        <v>11660</v>
      </c>
    </row>
    <row r="12041" spans="1:15">
      <c r="A12041" t="s">
        <v>42147</v>
      </c>
      <c r="B12041" t="s">
        <v>367</v>
      </c>
      <c r="C12041" t="s">
        <v>36488</v>
      </c>
      <c r="D12041" t="s">
        <v>42148</v>
      </c>
      <c r="E12041" t="b">
        <v>0</v>
      </c>
      <c r="F12041" t="s">
        <v>11610</v>
      </c>
      <c r="L12041">
        <v>0</v>
      </c>
      <c r="M12041">
        <v>0</v>
      </c>
      <c r="N12041">
        <v>0</v>
      </c>
    </row>
    <row r="12042" spans="1:15">
      <c r="A12042" t="s">
        <v>42149</v>
      </c>
      <c r="B12042" t="s">
        <v>11615</v>
      </c>
      <c r="C12042" t="s">
        <v>13958</v>
      </c>
      <c r="D12042" t="s">
        <v>42150</v>
      </c>
      <c r="E12042" t="b">
        <v>0</v>
      </c>
      <c r="F12042" t="s">
        <v>11624</v>
      </c>
      <c r="G12042">
        <v>-5.4997499999999997</v>
      </c>
      <c r="H12042">
        <v>145.75700000000001</v>
      </c>
      <c r="I12042" t="s">
        <v>42151</v>
      </c>
      <c r="L12042">
        <v>0</v>
      </c>
      <c r="M12042">
        <v>0</v>
      </c>
      <c r="N12042">
        <v>0</v>
      </c>
      <c r="O12042" t="s">
        <v>11660</v>
      </c>
    </row>
    <row r="12043" spans="1:15">
      <c r="A12043" t="s">
        <v>42152</v>
      </c>
      <c r="B12043" t="s">
        <v>12979</v>
      </c>
      <c r="C12043" t="s">
        <v>21166</v>
      </c>
      <c r="D12043" t="s">
        <v>42153</v>
      </c>
      <c r="E12043" t="b">
        <v>0</v>
      </c>
      <c r="F12043" t="s">
        <v>11624</v>
      </c>
      <c r="G12043">
        <v>45.494475000000001</v>
      </c>
      <c r="H12043">
        <v>-67.408050000000003</v>
      </c>
      <c r="I12043" t="s">
        <v>42154</v>
      </c>
      <c r="L12043">
        <v>0</v>
      </c>
      <c r="M12043">
        <v>0</v>
      </c>
      <c r="N12043">
        <v>2</v>
      </c>
      <c r="O12043" t="s">
        <v>14875</v>
      </c>
    </row>
    <row r="12044" spans="1:15">
      <c r="A12044" t="s">
        <v>42155</v>
      </c>
      <c r="B12044" t="s">
        <v>12979</v>
      </c>
      <c r="C12044" t="s">
        <v>42152</v>
      </c>
      <c r="D12044" t="s">
        <v>42156</v>
      </c>
      <c r="E12044" t="b">
        <v>0</v>
      </c>
      <c r="F12044" t="s">
        <v>11610</v>
      </c>
      <c r="L12044">
        <v>0</v>
      </c>
      <c r="M12044">
        <v>0</v>
      </c>
      <c r="N12044">
        <v>0</v>
      </c>
    </row>
    <row r="12045" spans="1:15">
      <c r="A12045" t="s">
        <v>42157</v>
      </c>
      <c r="B12045" t="s">
        <v>6455</v>
      </c>
      <c r="C12045" t="s">
        <v>31625</v>
      </c>
      <c r="D12045" t="s">
        <v>42158</v>
      </c>
      <c r="E12045" t="b">
        <v>0</v>
      </c>
      <c r="F12045" t="s">
        <v>11624</v>
      </c>
      <c r="G12045">
        <v>10.7485</v>
      </c>
      <c r="H12045">
        <v>-84.731800000000007</v>
      </c>
      <c r="I12045" t="s">
        <v>42159</v>
      </c>
      <c r="L12045">
        <v>0</v>
      </c>
      <c r="M12045">
        <v>0</v>
      </c>
      <c r="N12045">
        <v>0</v>
      </c>
      <c r="O12045" t="s">
        <v>19659</v>
      </c>
    </row>
    <row r="12046" spans="1:15">
      <c r="A12046" t="s">
        <v>42160</v>
      </c>
      <c r="B12046" t="s">
        <v>367</v>
      </c>
      <c r="C12046" t="s">
        <v>42161</v>
      </c>
      <c r="D12046" t="s">
        <v>42162</v>
      </c>
      <c r="E12046" t="b">
        <v>0</v>
      </c>
      <c r="F12046" t="s">
        <v>11624</v>
      </c>
      <c r="G12046">
        <v>-16.549900000000001</v>
      </c>
      <c r="H12046">
        <v>167.50899999999999</v>
      </c>
      <c r="I12046" t="s">
        <v>42163</v>
      </c>
      <c r="L12046">
        <v>0</v>
      </c>
      <c r="M12046">
        <v>0</v>
      </c>
      <c r="N12046">
        <v>1</v>
      </c>
      <c r="O12046" t="s">
        <v>12719</v>
      </c>
    </row>
    <row r="12047" spans="1:15">
      <c r="A12047" t="s">
        <v>42164</v>
      </c>
      <c r="B12047" t="s">
        <v>10597</v>
      </c>
      <c r="C12047" t="s">
        <v>15722</v>
      </c>
      <c r="D12047" t="s">
        <v>42165</v>
      </c>
      <c r="E12047" t="b">
        <v>0</v>
      </c>
      <c r="F12047" t="s">
        <v>11624</v>
      </c>
      <c r="G12047">
        <v>-26.210999999999999</v>
      </c>
      <c r="H12047">
        <v>114.245</v>
      </c>
      <c r="I12047" t="s">
        <v>42166</v>
      </c>
      <c r="L12047">
        <v>0</v>
      </c>
      <c r="M12047">
        <v>0</v>
      </c>
      <c r="N12047">
        <v>0</v>
      </c>
      <c r="O12047" t="s">
        <v>12107</v>
      </c>
    </row>
    <row r="12048" spans="1:15">
      <c r="A12048" t="s">
        <v>25360</v>
      </c>
      <c r="B12048" t="s">
        <v>11607</v>
      </c>
      <c r="C12048" t="s">
        <v>37629</v>
      </c>
      <c r="D12048" t="s">
        <v>42167</v>
      </c>
      <c r="E12048" t="b">
        <v>0</v>
      </c>
      <c r="F12048" t="s">
        <v>11624</v>
      </c>
      <c r="G12048">
        <v>12.5342</v>
      </c>
      <c r="H12048">
        <v>14.8475</v>
      </c>
      <c r="I12048" t="s">
        <v>42168</v>
      </c>
      <c r="L12048">
        <v>0</v>
      </c>
      <c r="M12048">
        <v>0</v>
      </c>
      <c r="N12048">
        <v>6</v>
      </c>
      <c r="O12048" t="s">
        <v>29226</v>
      </c>
    </row>
    <row r="12049" spans="1:15">
      <c r="A12049" t="s">
        <v>42169</v>
      </c>
      <c r="B12049" t="s">
        <v>11607</v>
      </c>
      <c r="C12049" t="s">
        <v>42170</v>
      </c>
      <c r="D12049" t="s">
        <v>42171</v>
      </c>
      <c r="E12049" t="b">
        <v>0</v>
      </c>
      <c r="F12049" t="s">
        <v>11624</v>
      </c>
      <c r="G12049">
        <v>11.77</v>
      </c>
      <c r="H12049">
        <v>13.61</v>
      </c>
      <c r="L12049">
        <v>0</v>
      </c>
      <c r="M12049">
        <v>0</v>
      </c>
      <c r="N12049">
        <v>0</v>
      </c>
      <c r="O12049" t="s">
        <v>11693</v>
      </c>
    </row>
    <row r="12050" spans="1:15">
      <c r="A12050" t="s">
        <v>42172</v>
      </c>
      <c r="B12050" t="s">
        <v>11637</v>
      </c>
      <c r="C12050" t="s">
        <v>11825</v>
      </c>
      <c r="D12050" t="s">
        <v>42173</v>
      </c>
      <c r="E12050" t="b">
        <v>0</v>
      </c>
      <c r="F12050" t="s">
        <v>11610</v>
      </c>
      <c r="L12050">
        <v>0</v>
      </c>
      <c r="M12050">
        <v>0</v>
      </c>
      <c r="N12050">
        <v>0</v>
      </c>
    </row>
    <row r="12051" spans="1:15">
      <c r="A12051" t="s">
        <v>42174</v>
      </c>
      <c r="B12051" t="s">
        <v>11637</v>
      </c>
      <c r="C12051" t="s">
        <v>16884</v>
      </c>
      <c r="D12051" t="s">
        <v>42175</v>
      </c>
      <c r="E12051" t="b">
        <v>0</v>
      </c>
      <c r="F12051" t="s">
        <v>11610</v>
      </c>
      <c r="L12051">
        <v>0</v>
      </c>
      <c r="M12051">
        <v>0</v>
      </c>
      <c r="N12051">
        <v>0</v>
      </c>
    </row>
    <row r="12052" spans="1:15">
      <c r="A12052" t="s">
        <v>42176</v>
      </c>
      <c r="B12052" t="s">
        <v>13360</v>
      </c>
      <c r="C12052" t="s">
        <v>13360</v>
      </c>
      <c r="D12052" t="s">
        <v>42177</v>
      </c>
      <c r="E12052" t="b">
        <v>0</v>
      </c>
      <c r="F12052" t="s">
        <v>11624</v>
      </c>
      <c r="L12052">
        <v>0</v>
      </c>
      <c r="M12052">
        <v>0</v>
      </c>
      <c r="N12052">
        <v>0</v>
      </c>
      <c r="O12052" t="s">
        <v>11898</v>
      </c>
    </row>
    <row r="12053" spans="1:15">
      <c r="A12053" t="s">
        <v>42178</v>
      </c>
      <c r="B12053" t="s">
        <v>11637</v>
      </c>
      <c r="C12053" t="s">
        <v>12509</v>
      </c>
      <c r="D12053" t="s">
        <v>42179</v>
      </c>
      <c r="E12053" t="b">
        <v>0</v>
      </c>
      <c r="F12053" t="s">
        <v>11610</v>
      </c>
      <c r="L12053">
        <v>0</v>
      </c>
      <c r="M12053">
        <v>0</v>
      </c>
      <c r="N12053">
        <v>0</v>
      </c>
    </row>
    <row r="12054" spans="1:15">
      <c r="A12054" t="s">
        <v>42180</v>
      </c>
      <c r="B12054" t="s">
        <v>12438</v>
      </c>
      <c r="C12054" t="s">
        <v>30765</v>
      </c>
      <c r="D12054" t="s">
        <v>42181</v>
      </c>
      <c r="E12054" t="b">
        <v>0</v>
      </c>
      <c r="F12054" t="s">
        <v>11610</v>
      </c>
      <c r="L12054">
        <v>0</v>
      </c>
      <c r="M12054">
        <v>0</v>
      </c>
      <c r="N12054">
        <v>0</v>
      </c>
    </row>
    <row r="12055" spans="1:15">
      <c r="A12055" t="s">
        <v>42182</v>
      </c>
      <c r="B12055" t="s">
        <v>6742</v>
      </c>
      <c r="C12055" t="s">
        <v>42183</v>
      </c>
      <c r="D12055" t="s">
        <v>42184</v>
      </c>
      <c r="E12055" t="b">
        <v>0</v>
      </c>
      <c r="F12055" t="s">
        <v>11624</v>
      </c>
      <c r="G12055">
        <v>-9.1661900000000003</v>
      </c>
      <c r="H12055">
        <v>33.338999999999999</v>
      </c>
      <c r="I12055" t="s">
        <v>42185</v>
      </c>
      <c r="L12055">
        <v>0</v>
      </c>
      <c r="M12055">
        <v>0</v>
      </c>
      <c r="N12055">
        <v>0</v>
      </c>
      <c r="O12055" t="s">
        <v>11635</v>
      </c>
    </row>
    <row r="12056" spans="1:15">
      <c r="A12056" t="s">
        <v>42186</v>
      </c>
      <c r="B12056" t="s">
        <v>6742</v>
      </c>
      <c r="C12056" t="s">
        <v>25415</v>
      </c>
      <c r="D12056" t="s">
        <v>42187</v>
      </c>
      <c r="E12056" t="b">
        <v>0</v>
      </c>
      <c r="F12056" t="s">
        <v>11624</v>
      </c>
      <c r="G12056">
        <v>3.6769599999999998</v>
      </c>
      <c r="H12056">
        <v>9.6718600000000006</v>
      </c>
      <c r="I12056" t="s">
        <v>42188</v>
      </c>
      <c r="L12056">
        <v>0</v>
      </c>
      <c r="M12056">
        <v>0</v>
      </c>
      <c r="N12056">
        <v>0</v>
      </c>
      <c r="O12056" t="s">
        <v>11703</v>
      </c>
    </row>
    <row r="12057" spans="1:15">
      <c r="A12057" t="s">
        <v>42189</v>
      </c>
      <c r="B12057" t="s">
        <v>367</v>
      </c>
      <c r="C12057" t="s">
        <v>16484</v>
      </c>
      <c r="D12057" t="s">
        <v>42190</v>
      </c>
      <c r="E12057" t="b">
        <v>0</v>
      </c>
      <c r="F12057" t="s">
        <v>11610</v>
      </c>
      <c r="L12057">
        <v>0</v>
      </c>
      <c r="M12057">
        <v>0</v>
      </c>
      <c r="N12057">
        <v>0</v>
      </c>
    </row>
    <row r="12058" spans="1:15">
      <c r="A12058" t="s">
        <v>42191</v>
      </c>
      <c r="B12058" t="s">
        <v>367</v>
      </c>
      <c r="C12058" t="s">
        <v>13191</v>
      </c>
      <c r="D12058" t="s">
        <v>42192</v>
      </c>
      <c r="E12058" t="b">
        <v>0</v>
      </c>
      <c r="F12058" t="s">
        <v>11610</v>
      </c>
      <c r="L12058">
        <v>0</v>
      </c>
      <c r="M12058">
        <v>0</v>
      </c>
      <c r="N12058">
        <v>0</v>
      </c>
    </row>
    <row r="12059" spans="1:15">
      <c r="A12059" t="s">
        <v>42193</v>
      </c>
      <c r="B12059" t="s">
        <v>367</v>
      </c>
      <c r="C12059" t="s">
        <v>25594</v>
      </c>
      <c r="D12059" t="s">
        <v>42194</v>
      </c>
      <c r="E12059" t="b">
        <v>0</v>
      </c>
      <c r="F12059" t="s">
        <v>11624</v>
      </c>
      <c r="G12059">
        <v>-3.6996000000000002</v>
      </c>
      <c r="H12059">
        <v>119.76</v>
      </c>
      <c r="I12059" t="s">
        <v>42195</v>
      </c>
      <c r="L12059">
        <v>0</v>
      </c>
      <c r="M12059">
        <v>0</v>
      </c>
      <c r="N12059">
        <v>0</v>
      </c>
      <c r="O12059" t="s">
        <v>11768</v>
      </c>
    </row>
    <row r="12060" spans="1:15">
      <c r="A12060" t="s">
        <v>42196</v>
      </c>
      <c r="B12060" t="s">
        <v>16014</v>
      </c>
      <c r="C12060" t="s">
        <v>16014</v>
      </c>
      <c r="D12060" t="s">
        <v>2636</v>
      </c>
      <c r="E12060" t="b">
        <v>0</v>
      </c>
      <c r="F12060" t="s">
        <v>11624</v>
      </c>
      <c r="G12060">
        <v>-4.7182599999999999</v>
      </c>
      <c r="H12060">
        <v>152.214</v>
      </c>
      <c r="I12060" t="s">
        <v>42197</v>
      </c>
      <c r="L12060">
        <v>0</v>
      </c>
      <c r="M12060">
        <v>0</v>
      </c>
      <c r="N12060">
        <v>0</v>
      </c>
      <c r="O12060" t="s">
        <v>11660</v>
      </c>
    </row>
    <row r="12061" spans="1:15">
      <c r="A12061" t="s">
        <v>31657</v>
      </c>
      <c r="B12061" t="s">
        <v>11879</v>
      </c>
      <c r="C12061" t="s">
        <v>11880</v>
      </c>
      <c r="D12061" t="s">
        <v>42198</v>
      </c>
      <c r="E12061" t="b">
        <v>0</v>
      </c>
      <c r="F12061" t="s">
        <v>11624</v>
      </c>
      <c r="G12061">
        <v>17.212199999999999</v>
      </c>
      <c r="H12061">
        <v>-98.632199999999997</v>
      </c>
      <c r="I12061" t="s">
        <v>42199</v>
      </c>
      <c r="L12061">
        <v>0</v>
      </c>
      <c r="M12061">
        <v>0</v>
      </c>
      <c r="N12061">
        <v>3</v>
      </c>
      <c r="O12061" t="s">
        <v>11883</v>
      </c>
    </row>
    <row r="12062" spans="1:15">
      <c r="A12062" t="s">
        <v>42200</v>
      </c>
      <c r="B12062" t="s">
        <v>11879</v>
      </c>
      <c r="C12062" t="s">
        <v>31657</v>
      </c>
      <c r="D12062" t="s">
        <v>42201</v>
      </c>
      <c r="E12062" t="b">
        <v>0</v>
      </c>
      <c r="F12062" t="s">
        <v>11610</v>
      </c>
      <c r="L12062">
        <v>0</v>
      </c>
      <c r="M12062">
        <v>0</v>
      </c>
      <c r="N12062">
        <v>0</v>
      </c>
    </row>
    <row r="12063" spans="1:15">
      <c r="A12063" t="s">
        <v>42202</v>
      </c>
      <c r="B12063" t="s">
        <v>11627</v>
      </c>
      <c r="C12063" t="s">
        <v>11627</v>
      </c>
      <c r="D12063" t="s">
        <v>42203</v>
      </c>
      <c r="E12063" t="b">
        <v>1</v>
      </c>
      <c r="F12063" t="s">
        <v>11624</v>
      </c>
      <c r="G12063">
        <v>-7.9309500000000002</v>
      </c>
      <c r="H12063">
        <v>15.742100000000001</v>
      </c>
      <c r="I12063" t="s">
        <v>42204</v>
      </c>
      <c r="L12063">
        <v>0</v>
      </c>
      <c r="M12063">
        <v>0</v>
      </c>
      <c r="N12063">
        <v>0</v>
      </c>
      <c r="O12063" t="s">
        <v>19290</v>
      </c>
    </row>
    <row r="12064" spans="1:15">
      <c r="A12064" t="s">
        <v>42205</v>
      </c>
      <c r="B12064" t="s">
        <v>11627</v>
      </c>
      <c r="C12064" t="s">
        <v>11627</v>
      </c>
      <c r="D12064" t="s">
        <v>42206</v>
      </c>
      <c r="E12064" t="b">
        <v>1</v>
      </c>
      <c r="F12064" t="s">
        <v>11624</v>
      </c>
      <c r="I12064" t="s">
        <v>42207</v>
      </c>
      <c r="L12064">
        <v>0</v>
      </c>
      <c r="M12064">
        <v>0</v>
      </c>
      <c r="N12064">
        <v>0</v>
      </c>
      <c r="O12064" t="s">
        <v>11660</v>
      </c>
    </row>
    <row r="12065" spans="1:15">
      <c r="A12065" t="s">
        <v>36855</v>
      </c>
      <c r="B12065" t="s">
        <v>13014</v>
      </c>
      <c r="C12065" t="s">
        <v>661</v>
      </c>
      <c r="D12065" t="s">
        <v>42208</v>
      </c>
      <c r="E12065" t="b">
        <v>0</v>
      </c>
      <c r="F12065" t="s">
        <v>11610</v>
      </c>
      <c r="L12065">
        <v>0</v>
      </c>
      <c r="M12065">
        <v>0</v>
      </c>
      <c r="N12065">
        <v>2</v>
      </c>
    </row>
    <row r="12066" spans="1:15">
      <c r="A12066" t="s">
        <v>42209</v>
      </c>
      <c r="B12066" t="s">
        <v>12438</v>
      </c>
      <c r="C12066" t="s">
        <v>42210</v>
      </c>
      <c r="D12066" t="s">
        <v>42211</v>
      </c>
      <c r="E12066" t="b">
        <v>0</v>
      </c>
      <c r="F12066" t="s">
        <v>11624</v>
      </c>
      <c r="G12066">
        <v>19.273</v>
      </c>
      <c r="H12066">
        <v>101.20399999999999</v>
      </c>
      <c r="I12066" t="s">
        <v>42212</v>
      </c>
      <c r="L12066">
        <v>0</v>
      </c>
      <c r="M12066">
        <v>0</v>
      </c>
      <c r="N12066">
        <v>0</v>
      </c>
      <c r="O12066" t="s">
        <v>12442</v>
      </c>
    </row>
    <row r="12067" spans="1:15">
      <c r="A12067" t="s">
        <v>42213</v>
      </c>
      <c r="B12067" t="s">
        <v>367</v>
      </c>
      <c r="C12067" t="s">
        <v>16687</v>
      </c>
      <c r="D12067" t="s">
        <v>42214</v>
      </c>
      <c r="E12067" t="b">
        <v>0</v>
      </c>
      <c r="F12067" t="s">
        <v>11610</v>
      </c>
      <c r="L12067">
        <v>0</v>
      </c>
      <c r="M12067">
        <v>0</v>
      </c>
      <c r="N12067">
        <v>0</v>
      </c>
    </row>
    <row r="12068" spans="1:15">
      <c r="A12068" t="s">
        <v>42215</v>
      </c>
      <c r="B12068" t="s">
        <v>11637</v>
      </c>
      <c r="C12068" t="s">
        <v>16273</v>
      </c>
      <c r="D12068" t="s">
        <v>42216</v>
      </c>
      <c r="E12068" t="b">
        <v>0</v>
      </c>
      <c r="F12068" t="s">
        <v>11610</v>
      </c>
      <c r="L12068">
        <v>0</v>
      </c>
      <c r="M12068">
        <v>0</v>
      </c>
      <c r="N12068">
        <v>0</v>
      </c>
    </row>
    <row r="12069" spans="1:15">
      <c r="A12069" t="s">
        <v>42217</v>
      </c>
      <c r="B12069" t="s">
        <v>10597</v>
      </c>
      <c r="C12069" t="s">
        <v>30220</v>
      </c>
      <c r="D12069" t="s">
        <v>42218</v>
      </c>
      <c r="E12069" t="b">
        <v>0</v>
      </c>
      <c r="F12069" t="s">
        <v>11610</v>
      </c>
      <c r="L12069">
        <v>0</v>
      </c>
      <c r="M12069">
        <v>0</v>
      </c>
      <c r="N12069">
        <v>0</v>
      </c>
    </row>
    <row r="12070" spans="1:15">
      <c r="A12070" t="s">
        <v>14971</v>
      </c>
      <c r="B12070" t="s">
        <v>367</v>
      </c>
      <c r="C12070" t="s">
        <v>14101</v>
      </c>
      <c r="D12070" t="s">
        <v>42219</v>
      </c>
      <c r="E12070" t="b">
        <v>0</v>
      </c>
      <c r="F12070" t="s">
        <v>11624</v>
      </c>
      <c r="G12070">
        <v>-15.6835</v>
      </c>
      <c r="H12070">
        <v>167.16</v>
      </c>
      <c r="I12070" t="s">
        <v>42220</v>
      </c>
      <c r="L12070">
        <v>0</v>
      </c>
      <c r="M12070">
        <v>0</v>
      </c>
      <c r="N12070">
        <v>2</v>
      </c>
      <c r="O12070" t="s">
        <v>12719</v>
      </c>
    </row>
    <row r="12071" spans="1:15">
      <c r="A12071" t="s">
        <v>42221</v>
      </c>
      <c r="B12071" t="s">
        <v>367</v>
      </c>
      <c r="C12071" t="s">
        <v>24088</v>
      </c>
      <c r="D12071" t="s">
        <v>42222</v>
      </c>
      <c r="E12071" t="b">
        <v>0</v>
      </c>
      <c r="F12071" t="s">
        <v>11610</v>
      </c>
      <c r="L12071">
        <v>0</v>
      </c>
      <c r="M12071">
        <v>0</v>
      </c>
      <c r="N12071">
        <v>0</v>
      </c>
    </row>
    <row r="12072" spans="1:15">
      <c r="A12072" t="s">
        <v>42223</v>
      </c>
      <c r="B12072" t="s">
        <v>367</v>
      </c>
      <c r="C12072" t="s">
        <v>14609</v>
      </c>
      <c r="D12072" t="s">
        <v>42224</v>
      </c>
      <c r="E12072" t="b">
        <v>0</v>
      </c>
      <c r="F12072" t="s">
        <v>11624</v>
      </c>
      <c r="G12072">
        <v>-3.1169500000000001</v>
      </c>
      <c r="H12072">
        <v>142.244</v>
      </c>
      <c r="I12072" t="s">
        <v>42225</v>
      </c>
      <c r="L12072">
        <v>0</v>
      </c>
      <c r="M12072">
        <v>0</v>
      </c>
      <c r="N12072">
        <v>0</v>
      </c>
      <c r="O12072" t="s">
        <v>11660</v>
      </c>
    </row>
    <row r="12073" spans="1:15">
      <c r="A12073" t="s">
        <v>42226</v>
      </c>
      <c r="B12073" t="s">
        <v>367</v>
      </c>
      <c r="C12073" t="s">
        <v>32558</v>
      </c>
      <c r="D12073" t="s">
        <v>42227</v>
      </c>
      <c r="E12073" t="b">
        <v>0</v>
      </c>
      <c r="F12073" t="s">
        <v>11610</v>
      </c>
      <c r="L12073">
        <v>0</v>
      </c>
      <c r="M12073">
        <v>0</v>
      </c>
      <c r="N12073">
        <v>0</v>
      </c>
    </row>
    <row r="12074" spans="1:15">
      <c r="A12074" t="s">
        <v>42228</v>
      </c>
      <c r="B12074" t="s">
        <v>11637</v>
      </c>
      <c r="C12074" t="s">
        <v>17956</v>
      </c>
      <c r="D12074" t="s">
        <v>42229</v>
      </c>
      <c r="E12074" t="b">
        <v>0</v>
      </c>
      <c r="F12074" t="s">
        <v>11624</v>
      </c>
      <c r="G12074">
        <v>24.087</v>
      </c>
      <c r="H12074">
        <v>87.350700000000003</v>
      </c>
      <c r="I12074" t="s">
        <v>42230</v>
      </c>
      <c r="L12074">
        <v>0</v>
      </c>
      <c r="M12074">
        <v>0</v>
      </c>
      <c r="N12074">
        <v>0</v>
      </c>
      <c r="O12074" t="s">
        <v>11630</v>
      </c>
    </row>
    <row r="12075" spans="1:15">
      <c r="A12075" t="s">
        <v>42231</v>
      </c>
      <c r="B12075" t="s">
        <v>11981</v>
      </c>
      <c r="C12075" t="s">
        <v>12200</v>
      </c>
      <c r="D12075" t="s">
        <v>42232</v>
      </c>
      <c r="E12075" t="b">
        <v>0</v>
      </c>
      <c r="F12075" t="s">
        <v>11624</v>
      </c>
      <c r="G12075">
        <v>35.906999999999996</v>
      </c>
      <c r="H12075">
        <v>14.4824</v>
      </c>
      <c r="I12075" t="s">
        <v>42233</v>
      </c>
      <c r="L12075">
        <v>0</v>
      </c>
      <c r="M12075">
        <v>0</v>
      </c>
      <c r="N12075">
        <v>0</v>
      </c>
      <c r="O12075" t="s">
        <v>42234</v>
      </c>
    </row>
    <row r="12076" spans="1:15">
      <c r="A12076" t="s">
        <v>42235</v>
      </c>
      <c r="B12076" t="s">
        <v>11637</v>
      </c>
      <c r="C12076" t="s">
        <v>180</v>
      </c>
      <c r="D12076" t="s">
        <v>42236</v>
      </c>
      <c r="E12076" t="b">
        <v>0</v>
      </c>
      <c r="F12076" t="s">
        <v>11610</v>
      </c>
      <c r="L12076">
        <v>0</v>
      </c>
      <c r="M12076">
        <v>0</v>
      </c>
      <c r="N12076">
        <v>0</v>
      </c>
    </row>
    <row r="12077" spans="1:15">
      <c r="A12077" t="s">
        <v>38125</v>
      </c>
      <c r="B12077" t="s">
        <v>11844</v>
      </c>
      <c r="C12077" t="s">
        <v>38403</v>
      </c>
      <c r="D12077" t="s">
        <v>42237</v>
      </c>
      <c r="E12077" t="b">
        <v>0</v>
      </c>
      <c r="F12077" t="s">
        <v>11622</v>
      </c>
      <c r="L12077">
        <v>0</v>
      </c>
      <c r="M12077">
        <v>2</v>
      </c>
      <c r="N12077">
        <v>4</v>
      </c>
    </row>
    <row r="12078" spans="1:15">
      <c r="A12078" t="s">
        <v>29685</v>
      </c>
      <c r="B12078" t="s">
        <v>11607</v>
      </c>
      <c r="C12078" t="s">
        <v>13031</v>
      </c>
      <c r="D12078" t="s">
        <v>42238</v>
      </c>
      <c r="E12078" t="b">
        <v>0</v>
      </c>
      <c r="F12078" t="s">
        <v>11624</v>
      </c>
      <c r="G12078">
        <v>35.888399999999997</v>
      </c>
      <c r="H12078">
        <v>14.450799999999999</v>
      </c>
      <c r="I12078" t="s">
        <v>42239</v>
      </c>
      <c r="L12078">
        <v>0</v>
      </c>
      <c r="M12078">
        <v>0</v>
      </c>
      <c r="N12078">
        <v>7</v>
      </c>
      <c r="O12078" t="s">
        <v>42234</v>
      </c>
    </row>
    <row r="12079" spans="1:15">
      <c r="A12079" t="s">
        <v>42240</v>
      </c>
      <c r="B12079" t="s">
        <v>11757</v>
      </c>
      <c r="C12079" t="s">
        <v>3239</v>
      </c>
      <c r="D12079" t="s">
        <v>42241</v>
      </c>
      <c r="E12079" t="b">
        <v>0</v>
      </c>
      <c r="F12079" t="s">
        <v>11610</v>
      </c>
      <c r="L12079">
        <v>0</v>
      </c>
      <c r="M12079">
        <v>0</v>
      </c>
      <c r="N12079">
        <v>0</v>
      </c>
    </row>
    <row r="12080" spans="1:15">
      <c r="A12080" t="s">
        <v>42242</v>
      </c>
      <c r="B12080" t="s">
        <v>367</v>
      </c>
      <c r="C12080" t="s">
        <v>42243</v>
      </c>
      <c r="D12080" t="s">
        <v>42244</v>
      </c>
      <c r="E12080" t="b">
        <v>0</v>
      </c>
      <c r="F12080" t="s">
        <v>11624</v>
      </c>
      <c r="G12080">
        <v>-15.981299999999999</v>
      </c>
      <c r="H12080">
        <v>167.208</v>
      </c>
      <c r="I12080" t="s">
        <v>42245</v>
      </c>
      <c r="L12080">
        <v>0</v>
      </c>
      <c r="M12080">
        <v>0</v>
      </c>
      <c r="N12080">
        <v>0</v>
      </c>
      <c r="O12080" t="s">
        <v>12719</v>
      </c>
    </row>
    <row r="12081" spans="1:15">
      <c r="A12081" t="s">
        <v>42246</v>
      </c>
      <c r="B12081" t="s">
        <v>367</v>
      </c>
      <c r="C12081" t="s">
        <v>16236</v>
      </c>
      <c r="D12081" t="s">
        <v>42247</v>
      </c>
      <c r="E12081" t="b">
        <v>0</v>
      </c>
      <c r="F12081" t="s">
        <v>11610</v>
      </c>
      <c r="L12081">
        <v>0</v>
      </c>
      <c r="M12081">
        <v>0</v>
      </c>
      <c r="N12081">
        <v>0</v>
      </c>
    </row>
    <row r="12082" spans="1:15">
      <c r="A12082" t="s">
        <v>42248</v>
      </c>
      <c r="B12082" t="s">
        <v>11607</v>
      </c>
      <c r="C12082" t="s">
        <v>16127</v>
      </c>
      <c r="D12082" t="s">
        <v>42249</v>
      </c>
      <c r="E12082" t="b">
        <v>0</v>
      </c>
      <c r="F12082" t="s">
        <v>11610</v>
      </c>
      <c r="L12082">
        <v>0</v>
      </c>
      <c r="M12082">
        <v>0</v>
      </c>
      <c r="N12082">
        <v>0</v>
      </c>
    </row>
    <row r="12083" spans="1:15">
      <c r="A12083" t="s">
        <v>42250</v>
      </c>
      <c r="B12083" t="s">
        <v>6742</v>
      </c>
      <c r="C12083" t="s">
        <v>27906</v>
      </c>
      <c r="D12083" t="s">
        <v>42251</v>
      </c>
      <c r="E12083" t="b">
        <v>0</v>
      </c>
      <c r="F12083" t="s">
        <v>11622</v>
      </c>
      <c r="L12083">
        <v>0</v>
      </c>
      <c r="M12083">
        <v>4</v>
      </c>
      <c r="N12083">
        <v>5</v>
      </c>
    </row>
    <row r="12084" spans="1:15">
      <c r="A12084" t="s">
        <v>20773</v>
      </c>
      <c r="B12084" t="s">
        <v>6742</v>
      </c>
      <c r="C12084" t="s">
        <v>42252</v>
      </c>
      <c r="D12084" t="s">
        <v>42253</v>
      </c>
      <c r="E12084" t="b">
        <v>0</v>
      </c>
      <c r="F12084" t="s">
        <v>11622</v>
      </c>
      <c r="L12084">
        <v>3</v>
      </c>
      <c r="M12084">
        <v>7</v>
      </c>
      <c r="N12084">
        <v>21</v>
      </c>
    </row>
    <row r="12085" spans="1:15">
      <c r="A12085" t="s">
        <v>42254</v>
      </c>
      <c r="B12085" t="s">
        <v>11637</v>
      </c>
      <c r="C12085" t="s">
        <v>40186</v>
      </c>
      <c r="D12085" t="s">
        <v>42255</v>
      </c>
      <c r="E12085" t="b">
        <v>0</v>
      </c>
      <c r="F12085" t="s">
        <v>11610</v>
      </c>
      <c r="L12085">
        <v>0</v>
      </c>
      <c r="M12085">
        <v>0</v>
      </c>
      <c r="N12085">
        <v>0</v>
      </c>
    </row>
    <row r="12086" spans="1:15">
      <c r="A12086" t="s">
        <v>15671</v>
      </c>
      <c r="B12086" t="s">
        <v>11637</v>
      </c>
      <c r="C12086" t="s">
        <v>1274</v>
      </c>
      <c r="D12086" t="s">
        <v>42256</v>
      </c>
      <c r="E12086" t="b">
        <v>0</v>
      </c>
      <c r="F12086" t="s">
        <v>11624</v>
      </c>
      <c r="G12086">
        <v>23.488</v>
      </c>
      <c r="H12086">
        <v>75.561999999999998</v>
      </c>
      <c r="I12086" t="s">
        <v>42257</v>
      </c>
      <c r="L12086">
        <v>0</v>
      </c>
      <c r="M12086">
        <v>0</v>
      </c>
      <c r="N12086">
        <v>15</v>
      </c>
      <c r="O12086" t="s">
        <v>11630</v>
      </c>
    </row>
    <row r="12087" spans="1:15">
      <c r="A12087" t="s">
        <v>42258</v>
      </c>
      <c r="B12087" t="s">
        <v>11637</v>
      </c>
      <c r="C12087" t="s">
        <v>15671</v>
      </c>
      <c r="D12087" t="s">
        <v>42259</v>
      </c>
      <c r="E12087" t="b">
        <v>0</v>
      </c>
      <c r="F12087" t="s">
        <v>11610</v>
      </c>
      <c r="L12087">
        <v>0</v>
      </c>
      <c r="M12087">
        <v>0</v>
      </c>
      <c r="N12087">
        <v>0</v>
      </c>
    </row>
    <row r="12088" spans="1:15">
      <c r="A12088" t="s">
        <v>42260</v>
      </c>
      <c r="B12088" t="s">
        <v>11637</v>
      </c>
      <c r="C12088" t="s">
        <v>8925</v>
      </c>
      <c r="D12088" t="s">
        <v>42261</v>
      </c>
      <c r="E12088" t="b">
        <v>0</v>
      </c>
      <c r="F12088" t="s">
        <v>11610</v>
      </c>
      <c r="L12088">
        <v>0</v>
      </c>
      <c r="M12088">
        <v>0</v>
      </c>
      <c r="N12088">
        <v>0</v>
      </c>
    </row>
    <row r="12089" spans="1:15">
      <c r="A12089" t="s">
        <v>42262</v>
      </c>
      <c r="B12089" t="s">
        <v>10597</v>
      </c>
      <c r="C12089" t="s">
        <v>42263</v>
      </c>
      <c r="D12089" t="s">
        <v>42264</v>
      </c>
      <c r="E12089" t="b">
        <v>0</v>
      </c>
      <c r="F12089" t="s">
        <v>11610</v>
      </c>
      <c r="G12089">
        <v>-29.43</v>
      </c>
      <c r="H12089">
        <v>142</v>
      </c>
      <c r="I12089" t="s">
        <v>42265</v>
      </c>
      <c r="L12089">
        <v>0</v>
      </c>
      <c r="M12089">
        <v>0</v>
      </c>
      <c r="N12089">
        <v>0</v>
      </c>
      <c r="O12089" t="s">
        <v>12107</v>
      </c>
    </row>
    <row r="12090" spans="1:15">
      <c r="A12090" t="s">
        <v>42266</v>
      </c>
      <c r="B12090" t="s">
        <v>11637</v>
      </c>
      <c r="C12090" t="s">
        <v>19797</v>
      </c>
      <c r="D12090" t="s">
        <v>42267</v>
      </c>
      <c r="E12090" t="b">
        <v>0</v>
      </c>
      <c r="F12090" t="s">
        <v>11610</v>
      </c>
      <c r="L12090">
        <v>0</v>
      </c>
      <c r="M12090">
        <v>0</v>
      </c>
      <c r="N12090">
        <v>0</v>
      </c>
    </row>
    <row r="12091" spans="1:15">
      <c r="A12091" t="s">
        <v>42268</v>
      </c>
      <c r="B12091" t="s">
        <v>11637</v>
      </c>
      <c r="C12091" t="s">
        <v>21352</v>
      </c>
      <c r="D12091" t="s">
        <v>42269</v>
      </c>
      <c r="E12091" t="b">
        <v>0</v>
      </c>
      <c r="F12091" t="s">
        <v>11610</v>
      </c>
      <c r="L12091">
        <v>0</v>
      </c>
      <c r="M12091">
        <v>0</v>
      </c>
      <c r="N12091">
        <v>0</v>
      </c>
    </row>
    <row r="12092" spans="1:15">
      <c r="A12092" t="s">
        <v>16074</v>
      </c>
      <c r="B12092" t="s">
        <v>6742</v>
      </c>
      <c r="C12092" t="s">
        <v>42270</v>
      </c>
      <c r="D12092" t="s">
        <v>42271</v>
      </c>
      <c r="E12092" t="b">
        <v>0</v>
      </c>
      <c r="F12092" t="s">
        <v>11624</v>
      </c>
      <c r="G12092">
        <v>12.4871</v>
      </c>
      <c r="H12092">
        <v>-5.2824499999999999</v>
      </c>
      <c r="I12092" t="s">
        <v>42272</v>
      </c>
      <c r="L12092">
        <v>0</v>
      </c>
      <c r="M12092">
        <v>0</v>
      </c>
      <c r="N12092">
        <v>9</v>
      </c>
      <c r="O12092" t="s">
        <v>19384</v>
      </c>
    </row>
    <row r="12093" spans="1:15">
      <c r="A12093" t="s">
        <v>42273</v>
      </c>
      <c r="B12093" t="s">
        <v>6742</v>
      </c>
      <c r="C12093" t="s">
        <v>33122</v>
      </c>
      <c r="D12093" t="s">
        <v>42274</v>
      </c>
      <c r="E12093" t="b">
        <v>0</v>
      </c>
      <c r="F12093" t="s">
        <v>11624</v>
      </c>
      <c r="G12093">
        <v>8.8062000000000005</v>
      </c>
      <c r="H12093">
        <v>8.7860099999999992</v>
      </c>
      <c r="I12093" t="s">
        <v>42275</v>
      </c>
      <c r="L12093">
        <v>0</v>
      </c>
      <c r="M12093">
        <v>0</v>
      </c>
      <c r="N12093">
        <v>0</v>
      </c>
      <c r="O12093" t="s">
        <v>11693</v>
      </c>
    </row>
    <row r="12094" spans="1:15">
      <c r="A12094" t="s">
        <v>42276</v>
      </c>
      <c r="B12094" t="s">
        <v>367</v>
      </c>
      <c r="C12094" t="s">
        <v>12753</v>
      </c>
      <c r="D12094" t="s">
        <v>42277</v>
      </c>
      <c r="E12094" t="b">
        <v>0</v>
      </c>
      <c r="F12094" t="s">
        <v>11610</v>
      </c>
      <c r="L12094">
        <v>0</v>
      </c>
      <c r="M12094">
        <v>0</v>
      </c>
      <c r="N12094">
        <v>0</v>
      </c>
    </row>
    <row r="12095" spans="1:15">
      <c r="A12095" t="s">
        <v>42278</v>
      </c>
      <c r="B12095" t="s">
        <v>367</v>
      </c>
      <c r="C12095" t="s">
        <v>31138</v>
      </c>
      <c r="D12095" t="s">
        <v>42279</v>
      </c>
      <c r="E12095" t="b">
        <v>0</v>
      </c>
      <c r="F12095" t="s">
        <v>11610</v>
      </c>
      <c r="L12095">
        <v>0</v>
      </c>
      <c r="M12095">
        <v>0</v>
      </c>
      <c r="N12095">
        <v>0</v>
      </c>
    </row>
    <row r="12096" spans="1:15">
      <c r="A12096" t="s">
        <v>42280</v>
      </c>
      <c r="B12096" t="s">
        <v>367</v>
      </c>
      <c r="C12096" t="s">
        <v>12888</v>
      </c>
      <c r="D12096" t="s">
        <v>42281</v>
      </c>
      <c r="E12096" t="b">
        <v>0</v>
      </c>
      <c r="F12096" t="s">
        <v>11624</v>
      </c>
      <c r="G12096">
        <v>9.4474400000000003</v>
      </c>
      <c r="H12096">
        <v>125.548</v>
      </c>
      <c r="I12096" t="s">
        <v>42282</v>
      </c>
      <c r="L12096">
        <v>0</v>
      </c>
      <c r="M12096">
        <v>0</v>
      </c>
      <c r="N12096">
        <v>0</v>
      </c>
      <c r="O12096" t="s">
        <v>11749</v>
      </c>
    </row>
    <row r="12097" spans="1:15">
      <c r="A12097" t="s">
        <v>21624</v>
      </c>
      <c r="B12097" t="s">
        <v>367</v>
      </c>
      <c r="C12097" t="s">
        <v>34484</v>
      </c>
      <c r="D12097" t="s">
        <v>42283</v>
      </c>
      <c r="E12097" t="b">
        <v>0</v>
      </c>
      <c r="F12097" t="s">
        <v>11624</v>
      </c>
      <c r="G12097">
        <v>-3.0811000000000002</v>
      </c>
      <c r="H12097">
        <v>119.48399999999999</v>
      </c>
      <c r="I12097" t="s">
        <v>42284</v>
      </c>
      <c r="L12097">
        <v>0</v>
      </c>
      <c r="M12097">
        <v>0</v>
      </c>
      <c r="N12097">
        <v>3</v>
      </c>
      <c r="O12097" t="s">
        <v>11768</v>
      </c>
    </row>
    <row r="12098" spans="1:15">
      <c r="A12098" t="s">
        <v>42285</v>
      </c>
      <c r="B12098" t="s">
        <v>11615</v>
      </c>
      <c r="C12098" t="s">
        <v>27894</v>
      </c>
      <c r="D12098" t="s">
        <v>42286</v>
      </c>
      <c r="E12098" t="b">
        <v>0</v>
      </c>
      <c r="F12098" t="s">
        <v>11624</v>
      </c>
      <c r="G12098">
        <v>-6.3555799999999998</v>
      </c>
      <c r="H12098">
        <v>146.57599999999999</v>
      </c>
      <c r="I12098" t="s">
        <v>42287</v>
      </c>
      <c r="L12098">
        <v>0</v>
      </c>
      <c r="M12098">
        <v>0</v>
      </c>
      <c r="N12098">
        <v>0</v>
      </c>
      <c r="O12098" t="s">
        <v>11660</v>
      </c>
    </row>
    <row r="12099" spans="1:15">
      <c r="A12099" t="s">
        <v>42288</v>
      </c>
      <c r="B12099" t="s">
        <v>12959</v>
      </c>
      <c r="C12099" t="s">
        <v>42289</v>
      </c>
      <c r="D12099" t="s">
        <v>42290</v>
      </c>
      <c r="E12099" t="b">
        <v>0</v>
      </c>
      <c r="F12099" t="s">
        <v>11624</v>
      </c>
      <c r="G12099">
        <v>-12.986439000000001</v>
      </c>
      <c r="H12099">
        <v>-60.101072000000002</v>
      </c>
      <c r="I12099" t="s">
        <v>42291</v>
      </c>
      <c r="L12099">
        <v>0</v>
      </c>
      <c r="M12099">
        <v>0</v>
      </c>
      <c r="N12099">
        <v>0</v>
      </c>
      <c r="O12099" t="s">
        <v>11969</v>
      </c>
    </row>
    <row r="12100" spans="1:15">
      <c r="A12100" t="s">
        <v>42292</v>
      </c>
      <c r="B12100" t="s">
        <v>10597</v>
      </c>
      <c r="C12100" t="s">
        <v>15730</v>
      </c>
      <c r="D12100" t="s">
        <v>42293</v>
      </c>
      <c r="E12100" t="b">
        <v>0</v>
      </c>
      <c r="F12100" t="s">
        <v>11610</v>
      </c>
      <c r="L12100">
        <v>0</v>
      </c>
      <c r="M12100">
        <v>0</v>
      </c>
      <c r="N12100">
        <v>0</v>
      </c>
    </row>
    <row r="12101" spans="1:15">
      <c r="A12101" t="s">
        <v>42294</v>
      </c>
      <c r="B12101" t="s">
        <v>6742</v>
      </c>
      <c r="C12101" t="s">
        <v>19556</v>
      </c>
      <c r="D12101" t="s">
        <v>42295</v>
      </c>
      <c r="E12101" t="b">
        <v>0</v>
      </c>
      <c r="F12101" t="s">
        <v>11610</v>
      </c>
      <c r="L12101">
        <v>0</v>
      </c>
      <c r="M12101">
        <v>0</v>
      </c>
      <c r="N12101">
        <v>0</v>
      </c>
    </row>
    <row r="12102" spans="1:15">
      <c r="A12102" t="s">
        <v>42296</v>
      </c>
      <c r="B12102" t="s">
        <v>6742</v>
      </c>
      <c r="C12102" t="s">
        <v>42297</v>
      </c>
      <c r="D12102" t="s">
        <v>42298</v>
      </c>
      <c r="E12102" t="b">
        <v>0</v>
      </c>
      <c r="F12102" t="s">
        <v>11624</v>
      </c>
      <c r="G12102">
        <v>9.6120999999999999</v>
      </c>
      <c r="H12102">
        <v>14.001300000000001</v>
      </c>
      <c r="I12102" t="s">
        <v>42299</v>
      </c>
      <c r="L12102">
        <v>0</v>
      </c>
      <c r="M12102">
        <v>0</v>
      </c>
      <c r="N12102">
        <v>0</v>
      </c>
      <c r="O12102" t="s">
        <v>29226</v>
      </c>
    </row>
    <row r="12103" spans="1:15">
      <c r="A12103" t="s">
        <v>42300</v>
      </c>
      <c r="B12103" t="s">
        <v>6742</v>
      </c>
      <c r="C12103" t="s">
        <v>18709</v>
      </c>
      <c r="D12103" t="s">
        <v>42301</v>
      </c>
      <c r="E12103" t="b">
        <v>0</v>
      </c>
      <c r="F12103" t="s">
        <v>11610</v>
      </c>
      <c r="L12103">
        <v>0</v>
      </c>
      <c r="M12103">
        <v>0</v>
      </c>
      <c r="N12103">
        <v>0</v>
      </c>
    </row>
    <row r="12104" spans="1:15">
      <c r="A12104" t="s">
        <v>42302</v>
      </c>
      <c r="B12104" t="s">
        <v>6742</v>
      </c>
      <c r="C12104" t="s">
        <v>42250</v>
      </c>
      <c r="D12104" t="s">
        <v>42303</v>
      </c>
      <c r="E12104" t="b">
        <v>0</v>
      </c>
      <c r="F12104" t="s">
        <v>11624</v>
      </c>
      <c r="G12104">
        <v>-8.8681699999999992</v>
      </c>
      <c r="H12104">
        <v>31.226900000000001</v>
      </c>
      <c r="I12104" t="s">
        <v>42304</v>
      </c>
      <c r="L12104">
        <v>0</v>
      </c>
      <c r="M12104">
        <v>0</v>
      </c>
      <c r="N12104">
        <v>2</v>
      </c>
      <c r="O12104" t="s">
        <v>42305</v>
      </c>
    </row>
    <row r="12105" spans="1:15">
      <c r="A12105" t="s">
        <v>42306</v>
      </c>
      <c r="B12105" t="s">
        <v>6742</v>
      </c>
      <c r="C12105" t="s">
        <v>42302</v>
      </c>
      <c r="D12105" t="s">
        <v>42307</v>
      </c>
      <c r="E12105" t="b">
        <v>0</v>
      </c>
      <c r="F12105" t="s">
        <v>11610</v>
      </c>
      <c r="L12105">
        <v>0</v>
      </c>
      <c r="M12105">
        <v>0</v>
      </c>
      <c r="N12105">
        <v>0</v>
      </c>
    </row>
    <row r="12106" spans="1:15">
      <c r="A12106" t="s">
        <v>42308</v>
      </c>
      <c r="B12106" t="s">
        <v>6742</v>
      </c>
      <c r="C12106" t="s">
        <v>39782</v>
      </c>
      <c r="D12106" t="s">
        <v>42309</v>
      </c>
      <c r="E12106" t="b">
        <v>0</v>
      </c>
      <c r="F12106" t="s">
        <v>11610</v>
      </c>
      <c r="L12106">
        <v>0</v>
      </c>
      <c r="M12106">
        <v>0</v>
      </c>
      <c r="N12106">
        <v>0</v>
      </c>
    </row>
    <row r="12107" spans="1:15">
      <c r="A12107" t="s">
        <v>42310</v>
      </c>
      <c r="B12107" t="s">
        <v>6742</v>
      </c>
      <c r="C12107" t="s">
        <v>15545</v>
      </c>
      <c r="D12107" t="s">
        <v>42311</v>
      </c>
      <c r="E12107" t="b">
        <v>0</v>
      </c>
      <c r="F12107" t="s">
        <v>11610</v>
      </c>
      <c r="L12107">
        <v>0</v>
      </c>
      <c r="M12107">
        <v>0</v>
      </c>
      <c r="N12107">
        <v>0</v>
      </c>
    </row>
    <row r="12108" spans="1:15">
      <c r="A12108" t="s">
        <v>42312</v>
      </c>
      <c r="B12108" t="s">
        <v>11757</v>
      </c>
      <c r="C12108" t="s">
        <v>1166</v>
      </c>
      <c r="D12108" t="s">
        <v>42313</v>
      </c>
      <c r="E12108" t="b">
        <v>0</v>
      </c>
      <c r="F12108" t="s">
        <v>11610</v>
      </c>
      <c r="L12108">
        <v>0</v>
      </c>
      <c r="M12108">
        <v>0</v>
      </c>
      <c r="N12108">
        <v>0</v>
      </c>
    </row>
    <row r="12109" spans="1:15">
      <c r="A12109" t="s">
        <v>42314</v>
      </c>
      <c r="B12109" t="s">
        <v>367</v>
      </c>
      <c r="C12109" t="s">
        <v>20672</v>
      </c>
      <c r="D12109" t="s">
        <v>42315</v>
      </c>
      <c r="E12109" t="b">
        <v>0</v>
      </c>
      <c r="F12109" t="s">
        <v>11610</v>
      </c>
      <c r="L12109">
        <v>0</v>
      </c>
      <c r="M12109">
        <v>0</v>
      </c>
      <c r="N12109">
        <v>0</v>
      </c>
    </row>
    <row r="12110" spans="1:15">
      <c r="A12110" t="s">
        <v>42316</v>
      </c>
      <c r="B12110" t="s">
        <v>367</v>
      </c>
      <c r="C12110" t="s">
        <v>5576</v>
      </c>
      <c r="D12110" t="s">
        <v>42317</v>
      </c>
      <c r="E12110" t="b">
        <v>0</v>
      </c>
      <c r="F12110" t="s">
        <v>11624</v>
      </c>
      <c r="G12110">
        <v>-9.4230199999999993</v>
      </c>
      <c r="H12110">
        <v>119.55</v>
      </c>
      <c r="I12110" t="s">
        <v>42318</v>
      </c>
      <c r="L12110">
        <v>0</v>
      </c>
      <c r="M12110">
        <v>0</v>
      </c>
      <c r="N12110">
        <v>0</v>
      </c>
      <c r="O12110" t="s">
        <v>11768</v>
      </c>
    </row>
    <row r="12111" spans="1:15">
      <c r="A12111" t="s">
        <v>23967</v>
      </c>
      <c r="B12111" t="s">
        <v>367</v>
      </c>
      <c r="C12111" t="s">
        <v>26526</v>
      </c>
      <c r="D12111" t="s">
        <v>42319</v>
      </c>
      <c r="E12111" t="b">
        <v>0</v>
      </c>
      <c r="F12111" t="s">
        <v>11624</v>
      </c>
      <c r="G12111">
        <v>-9.1955200000000001</v>
      </c>
      <c r="H12111">
        <v>125.47499999999999</v>
      </c>
      <c r="I12111" t="s">
        <v>42320</v>
      </c>
      <c r="L12111">
        <v>0</v>
      </c>
      <c r="M12111">
        <v>0</v>
      </c>
      <c r="N12111">
        <v>4</v>
      </c>
      <c r="O12111" t="s">
        <v>27765</v>
      </c>
    </row>
    <row r="12112" spans="1:15">
      <c r="A12112" t="s">
        <v>42321</v>
      </c>
      <c r="B12112" t="s">
        <v>367</v>
      </c>
      <c r="C12112" t="s">
        <v>23967</v>
      </c>
      <c r="D12112" t="s">
        <v>42322</v>
      </c>
      <c r="E12112" t="b">
        <v>0</v>
      </c>
      <c r="F12112" t="s">
        <v>11610</v>
      </c>
      <c r="L12112">
        <v>0</v>
      </c>
      <c r="M12112">
        <v>0</v>
      </c>
      <c r="N12112">
        <v>0</v>
      </c>
    </row>
    <row r="12113" spans="1:15">
      <c r="A12113" t="s">
        <v>42323</v>
      </c>
      <c r="B12113" t="s">
        <v>367</v>
      </c>
      <c r="C12113" t="s">
        <v>14290</v>
      </c>
      <c r="D12113" t="s">
        <v>42324</v>
      </c>
      <c r="E12113" t="b">
        <v>0</v>
      </c>
      <c r="F12113" t="s">
        <v>11610</v>
      </c>
      <c r="L12113">
        <v>0</v>
      </c>
      <c r="M12113">
        <v>0</v>
      </c>
      <c r="N12113">
        <v>0</v>
      </c>
    </row>
    <row r="12114" spans="1:15">
      <c r="A12114" t="s">
        <v>42325</v>
      </c>
      <c r="B12114" t="s">
        <v>6742</v>
      </c>
      <c r="C12114" t="s">
        <v>23899</v>
      </c>
      <c r="D12114" t="s">
        <v>42326</v>
      </c>
      <c r="E12114" t="b">
        <v>0</v>
      </c>
      <c r="F12114" t="s">
        <v>11622</v>
      </c>
      <c r="L12114">
        <v>12</v>
      </c>
      <c r="M12114">
        <v>18</v>
      </c>
      <c r="N12114">
        <v>27</v>
      </c>
    </row>
    <row r="12115" spans="1:15">
      <c r="A12115" t="s">
        <v>42327</v>
      </c>
      <c r="B12115" t="s">
        <v>6742</v>
      </c>
      <c r="C12115" t="s">
        <v>37287</v>
      </c>
      <c r="D12115" t="s">
        <v>42328</v>
      </c>
      <c r="E12115" t="b">
        <v>0</v>
      </c>
      <c r="F12115" t="s">
        <v>11622</v>
      </c>
      <c r="L12115">
        <v>8</v>
      </c>
      <c r="M12115">
        <v>13</v>
      </c>
      <c r="N12115">
        <v>24</v>
      </c>
    </row>
    <row r="12116" spans="1:15">
      <c r="A12116" t="s">
        <v>42329</v>
      </c>
      <c r="B12116" t="s">
        <v>6742</v>
      </c>
      <c r="C12116" t="s">
        <v>42327</v>
      </c>
      <c r="D12116" t="s">
        <v>42330</v>
      </c>
      <c r="E12116" t="b">
        <v>0</v>
      </c>
      <c r="F12116" t="s">
        <v>11622</v>
      </c>
      <c r="L12116">
        <v>5</v>
      </c>
      <c r="M12116">
        <v>9</v>
      </c>
      <c r="N12116">
        <v>15</v>
      </c>
    </row>
    <row r="12117" spans="1:15">
      <c r="A12117" t="s">
        <v>26657</v>
      </c>
      <c r="B12117" t="s">
        <v>6742</v>
      </c>
      <c r="C12117" t="s">
        <v>42329</v>
      </c>
      <c r="D12117" t="s">
        <v>42331</v>
      </c>
      <c r="E12117" t="b">
        <v>0</v>
      </c>
      <c r="F12117" t="s">
        <v>11622</v>
      </c>
      <c r="L12117">
        <v>2</v>
      </c>
      <c r="M12117">
        <v>6</v>
      </c>
      <c r="N12117">
        <v>15</v>
      </c>
    </row>
    <row r="12118" spans="1:15">
      <c r="A12118" t="s">
        <v>42332</v>
      </c>
      <c r="B12118" t="s">
        <v>11627</v>
      </c>
      <c r="C12118" t="s">
        <v>11627</v>
      </c>
      <c r="D12118" t="s">
        <v>42333</v>
      </c>
      <c r="E12118" t="b">
        <v>1</v>
      </c>
      <c r="F12118" t="s">
        <v>11624</v>
      </c>
      <c r="I12118" t="s">
        <v>42334</v>
      </c>
      <c r="L12118">
        <v>0</v>
      </c>
      <c r="M12118">
        <v>0</v>
      </c>
      <c r="N12118">
        <v>0</v>
      </c>
      <c r="O12118" t="s">
        <v>11927</v>
      </c>
    </row>
    <row r="12119" spans="1:15">
      <c r="A12119" t="s">
        <v>42335</v>
      </c>
      <c r="B12119" t="s">
        <v>5911</v>
      </c>
      <c r="C12119" t="s">
        <v>29714</v>
      </c>
      <c r="D12119" t="s">
        <v>42336</v>
      </c>
      <c r="E12119" t="b">
        <v>0</v>
      </c>
      <c r="F12119" t="s">
        <v>11622</v>
      </c>
      <c r="L12119">
        <v>0</v>
      </c>
      <c r="M12119">
        <v>2</v>
      </c>
      <c r="N12119">
        <v>0</v>
      </c>
    </row>
    <row r="12120" spans="1:15">
      <c r="A12120" t="s">
        <v>35839</v>
      </c>
      <c r="B12120" t="s">
        <v>6742</v>
      </c>
      <c r="C12120" t="s">
        <v>11700</v>
      </c>
      <c r="D12120" t="s">
        <v>42337</v>
      </c>
      <c r="E12120" t="b">
        <v>0</v>
      </c>
      <c r="F12120" t="s">
        <v>11622</v>
      </c>
      <c r="L12120">
        <v>1</v>
      </c>
      <c r="M12120">
        <v>3</v>
      </c>
      <c r="N12120">
        <v>7</v>
      </c>
    </row>
    <row r="12121" spans="1:15">
      <c r="A12121" t="s">
        <v>8487</v>
      </c>
      <c r="B12121" t="s">
        <v>5911</v>
      </c>
      <c r="C12121" t="s">
        <v>42335</v>
      </c>
      <c r="D12121" t="s">
        <v>42338</v>
      </c>
      <c r="E12121" t="b">
        <v>0</v>
      </c>
      <c r="F12121" t="s">
        <v>11624</v>
      </c>
      <c r="G12121">
        <v>14.8034</v>
      </c>
      <c r="H12121">
        <v>-91.723100000000002</v>
      </c>
      <c r="I12121" t="s">
        <v>8488</v>
      </c>
      <c r="L12121">
        <v>0</v>
      </c>
      <c r="M12121">
        <v>0</v>
      </c>
      <c r="N12121">
        <v>0</v>
      </c>
      <c r="O12121" t="s">
        <v>22509</v>
      </c>
    </row>
    <row r="12122" spans="1:15">
      <c r="A12122" t="s">
        <v>42339</v>
      </c>
      <c r="B12122" t="s">
        <v>6742</v>
      </c>
      <c r="C12122" t="s">
        <v>19556</v>
      </c>
      <c r="D12122" t="s">
        <v>42340</v>
      </c>
      <c r="E12122" t="b">
        <v>0</v>
      </c>
      <c r="F12122" t="s">
        <v>11610</v>
      </c>
      <c r="L12122">
        <v>0</v>
      </c>
      <c r="M12122">
        <v>0</v>
      </c>
      <c r="N12122">
        <v>0</v>
      </c>
    </row>
    <row r="12123" spans="1:15">
      <c r="A12123" t="s">
        <v>42341</v>
      </c>
      <c r="B12123" t="s">
        <v>10597</v>
      </c>
      <c r="C12123" t="s">
        <v>15392</v>
      </c>
      <c r="D12123" t="s">
        <v>42342</v>
      </c>
      <c r="E12123" t="b">
        <v>0</v>
      </c>
      <c r="F12123" t="s">
        <v>11610</v>
      </c>
      <c r="L12123">
        <v>0</v>
      </c>
      <c r="M12123">
        <v>0</v>
      </c>
      <c r="N12123">
        <v>0</v>
      </c>
    </row>
    <row r="12124" spans="1:15">
      <c r="A12124" t="s">
        <v>19360</v>
      </c>
      <c r="B12124" t="s">
        <v>14398</v>
      </c>
      <c r="C12124" t="s">
        <v>24501</v>
      </c>
      <c r="D12124" t="s">
        <v>42343</v>
      </c>
      <c r="E12124" t="b">
        <v>0</v>
      </c>
      <c r="F12124" t="s">
        <v>11610</v>
      </c>
      <c r="L12124">
        <v>0</v>
      </c>
      <c r="M12124">
        <v>0</v>
      </c>
      <c r="N12124">
        <v>2</v>
      </c>
    </row>
    <row r="12125" spans="1:15">
      <c r="A12125" t="s">
        <v>26060</v>
      </c>
      <c r="B12125" t="s">
        <v>6742</v>
      </c>
      <c r="C12125" t="s">
        <v>23806</v>
      </c>
      <c r="D12125" t="s">
        <v>42344</v>
      </c>
      <c r="E12125" t="b">
        <v>0</v>
      </c>
      <c r="F12125" t="s">
        <v>11624</v>
      </c>
      <c r="G12125">
        <v>10.388400000000001</v>
      </c>
      <c r="H12125">
        <v>-0.74675000000000002</v>
      </c>
      <c r="I12125" t="s">
        <v>42345</v>
      </c>
      <c r="L12125">
        <v>0</v>
      </c>
      <c r="M12125">
        <v>0</v>
      </c>
      <c r="N12125">
        <v>2</v>
      </c>
      <c r="O12125" t="s">
        <v>12006</v>
      </c>
    </row>
    <row r="12126" spans="1:15">
      <c r="A12126" t="s">
        <v>42346</v>
      </c>
      <c r="B12126" t="s">
        <v>6742</v>
      </c>
      <c r="C12126" t="s">
        <v>16333</v>
      </c>
      <c r="D12126" t="s">
        <v>42347</v>
      </c>
      <c r="E12126" t="b">
        <v>0</v>
      </c>
      <c r="F12126" t="s">
        <v>11610</v>
      </c>
      <c r="L12126">
        <v>0</v>
      </c>
      <c r="M12126">
        <v>0</v>
      </c>
      <c r="N12126">
        <v>0</v>
      </c>
    </row>
    <row r="12127" spans="1:15">
      <c r="A12127" t="s">
        <v>23806</v>
      </c>
      <c r="B12127" t="s">
        <v>6742</v>
      </c>
      <c r="C12127" t="s">
        <v>34553</v>
      </c>
      <c r="D12127" t="s">
        <v>42348</v>
      </c>
      <c r="E12127" t="b">
        <v>0</v>
      </c>
      <c r="F12127" t="s">
        <v>11622</v>
      </c>
      <c r="L12127">
        <v>0</v>
      </c>
      <c r="M12127">
        <v>2</v>
      </c>
      <c r="N12127">
        <v>3</v>
      </c>
    </row>
    <row r="12128" spans="1:15">
      <c r="A12128" t="s">
        <v>42349</v>
      </c>
      <c r="B12128" t="s">
        <v>11627</v>
      </c>
      <c r="C12128" t="s">
        <v>11627</v>
      </c>
      <c r="D12128" t="s">
        <v>42350</v>
      </c>
      <c r="E12128" t="b">
        <v>1</v>
      </c>
      <c r="F12128" t="s">
        <v>11624</v>
      </c>
      <c r="I12128" t="s">
        <v>42351</v>
      </c>
      <c r="L12128">
        <v>0</v>
      </c>
      <c r="M12128">
        <v>0</v>
      </c>
      <c r="N12128">
        <v>0</v>
      </c>
      <c r="O12128" t="s">
        <v>11927</v>
      </c>
    </row>
    <row r="12129" spans="1:15">
      <c r="A12129" t="s">
        <v>42352</v>
      </c>
      <c r="B12129" t="s">
        <v>11627</v>
      </c>
      <c r="C12129" t="s">
        <v>11627</v>
      </c>
      <c r="D12129" t="s">
        <v>42353</v>
      </c>
      <c r="E12129" t="b">
        <v>1</v>
      </c>
      <c r="F12129" t="s">
        <v>11624</v>
      </c>
      <c r="I12129" t="s">
        <v>42354</v>
      </c>
      <c r="L12129">
        <v>0</v>
      </c>
      <c r="M12129">
        <v>0</v>
      </c>
      <c r="N12129">
        <v>0</v>
      </c>
      <c r="O12129" t="s">
        <v>11927</v>
      </c>
    </row>
    <row r="12130" spans="1:15">
      <c r="A12130" t="s">
        <v>42355</v>
      </c>
      <c r="B12130" t="s">
        <v>11627</v>
      </c>
      <c r="C12130" t="s">
        <v>11627</v>
      </c>
      <c r="D12130" t="s">
        <v>42356</v>
      </c>
      <c r="E12130" t="b">
        <v>1</v>
      </c>
      <c r="F12130" t="s">
        <v>11624</v>
      </c>
      <c r="I12130" t="s">
        <v>42357</v>
      </c>
      <c r="L12130">
        <v>0</v>
      </c>
      <c r="M12130">
        <v>0</v>
      </c>
      <c r="N12130">
        <v>0</v>
      </c>
      <c r="O12130" t="s">
        <v>22509</v>
      </c>
    </row>
    <row r="12131" spans="1:15">
      <c r="A12131" t="s">
        <v>42358</v>
      </c>
      <c r="B12131" t="s">
        <v>10597</v>
      </c>
      <c r="C12131" t="s">
        <v>25713</v>
      </c>
      <c r="D12131" t="s">
        <v>42359</v>
      </c>
      <c r="E12131" t="b">
        <v>0</v>
      </c>
      <c r="F12131" t="s">
        <v>11610</v>
      </c>
      <c r="L12131">
        <v>0</v>
      </c>
      <c r="M12131">
        <v>0</v>
      </c>
      <c r="N12131">
        <v>0</v>
      </c>
    </row>
    <row r="12132" spans="1:15">
      <c r="A12132" t="s">
        <v>42360</v>
      </c>
      <c r="B12132" t="s">
        <v>367</v>
      </c>
      <c r="C12132" t="s">
        <v>42361</v>
      </c>
      <c r="D12132" t="s">
        <v>42362</v>
      </c>
      <c r="E12132" t="b">
        <v>0</v>
      </c>
      <c r="F12132" t="s">
        <v>11624</v>
      </c>
      <c r="G12132">
        <v>-5.8477600000000001</v>
      </c>
      <c r="H12132">
        <v>151.03299999999999</v>
      </c>
      <c r="I12132" t="s">
        <v>42363</v>
      </c>
      <c r="L12132">
        <v>0</v>
      </c>
      <c r="M12132">
        <v>0</v>
      </c>
      <c r="N12132">
        <v>2</v>
      </c>
      <c r="O12132" t="s">
        <v>11660</v>
      </c>
    </row>
    <row r="12133" spans="1:15">
      <c r="A12133" t="s">
        <v>42364</v>
      </c>
      <c r="B12133" t="s">
        <v>367</v>
      </c>
      <c r="C12133" t="s">
        <v>42365</v>
      </c>
      <c r="D12133" t="s">
        <v>42366</v>
      </c>
      <c r="E12133" t="b">
        <v>0</v>
      </c>
      <c r="F12133" t="s">
        <v>11624</v>
      </c>
      <c r="G12133">
        <v>-2.5076200000000002</v>
      </c>
      <c r="H12133">
        <v>119.08199999999999</v>
      </c>
      <c r="I12133" t="s">
        <v>42367</v>
      </c>
      <c r="L12133">
        <v>0</v>
      </c>
      <c r="M12133">
        <v>0</v>
      </c>
      <c r="N12133">
        <v>4</v>
      </c>
      <c r="O12133" t="s">
        <v>11768</v>
      </c>
    </row>
    <row r="12134" spans="1:15">
      <c r="A12134" t="s">
        <v>42361</v>
      </c>
      <c r="B12134" t="s">
        <v>367</v>
      </c>
      <c r="C12134" t="s">
        <v>40792</v>
      </c>
      <c r="D12134" t="s">
        <v>42368</v>
      </c>
      <c r="E12134" t="b">
        <v>0</v>
      </c>
      <c r="F12134" t="s">
        <v>11622</v>
      </c>
      <c r="L12134">
        <v>0</v>
      </c>
      <c r="M12134">
        <v>2</v>
      </c>
      <c r="N12134">
        <v>5</v>
      </c>
    </row>
    <row r="12135" spans="1:15">
      <c r="A12135" t="s">
        <v>42369</v>
      </c>
      <c r="B12135" t="s">
        <v>23299</v>
      </c>
      <c r="C12135" t="s">
        <v>23299</v>
      </c>
      <c r="D12135" t="s">
        <v>42370</v>
      </c>
      <c r="E12135" t="b">
        <v>0</v>
      </c>
      <c r="F12135" t="s">
        <v>11610</v>
      </c>
      <c r="L12135">
        <v>0</v>
      </c>
      <c r="M12135">
        <v>0</v>
      </c>
      <c r="N12135">
        <v>0</v>
      </c>
    </row>
    <row r="12136" spans="1:15">
      <c r="A12136" t="s">
        <v>5552</v>
      </c>
      <c r="B12136" t="s">
        <v>11729</v>
      </c>
      <c r="C12136" t="s">
        <v>39929</v>
      </c>
      <c r="D12136" t="s">
        <v>42371</v>
      </c>
      <c r="E12136" t="b">
        <v>0</v>
      </c>
      <c r="F12136" t="s">
        <v>11624</v>
      </c>
      <c r="G12136">
        <v>2.68167</v>
      </c>
      <c r="H12136">
        <v>28.9862</v>
      </c>
      <c r="I12136" t="s">
        <v>5553</v>
      </c>
      <c r="L12136">
        <v>0</v>
      </c>
      <c r="M12136">
        <v>0</v>
      </c>
      <c r="N12136">
        <v>2</v>
      </c>
      <c r="O12136" t="s">
        <v>14825</v>
      </c>
    </row>
    <row r="12137" spans="1:15">
      <c r="A12137" t="s">
        <v>42372</v>
      </c>
      <c r="B12137" t="s">
        <v>12241</v>
      </c>
      <c r="C12137" t="s">
        <v>32932</v>
      </c>
      <c r="D12137" t="s">
        <v>42373</v>
      </c>
      <c r="E12137" t="b">
        <v>0</v>
      </c>
      <c r="F12137" t="s">
        <v>11624</v>
      </c>
      <c r="G12137">
        <v>-11.361000000000001</v>
      </c>
      <c r="H12137">
        <v>132.352</v>
      </c>
      <c r="I12137" t="s">
        <v>42374</v>
      </c>
      <c r="L12137">
        <v>0</v>
      </c>
      <c r="M12137">
        <v>0</v>
      </c>
      <c r="N12137">
        <v>0</v>
      </c>
      <c r="O12137" t="s">
        <v>12107</v>
      </c>
    </row>
    <row r="12138" spans="1:15">
      <c r="A12138" t="s">
        <v>42375</v>
      </c>
      <c r="B12138" t="s">
        <v>11644</v>
      </c>
      <c r="C12138" t="s">
        <v>30256</v>
      </c>
      <c r="D12138" t="s">
        <v>42376</v>
      </c>
      <c r="E12138" t="b">
        <v>0</v>
      </c>
      <c r="F12138" t="s">
        <v>11622</v>
      </c>
      <c r="L12138">
        <v>0</v>
      </c>
      <c r="M12138">
        <v>2</v>
      </c>
      <c r="N12138">
        <v>3</v>
      </c>
    </row>
    <row r="12139" spans="1:15">
      <c r="A12139" t="s">
        <v>42377</v>
      </c>
      <c r="B12139" t="s">
        <v>11644</v>
      </c>
      <c r="C12139" t="s">
        <v>42375</v>
      </c>
      <c r="D12139" t="s">
        <v>42378</v>
      </c>
      <c r="E12139" t="b">
        <v>0</v>
      </c>
      <c r="F12139" t="s">
        <v>11624</v>
      </c>
      <c r="G12139">
        <v>28.6416</v>
      </c>
      <c r="H12139">
        <v>84.051500000000004</v>
      </c>
      <c r="I12139" t="s">
        <v>42379</v>
      </c>
      <c r="L12139">
        <v>0</v>
      </c>
      <c r="M12139">
        <v>0</v>
      </c>
      <c r="N12139">
        <v>1</v>
      </c>
      <c r="O12139" t="s">
        <v>15007</v>
      </c>
    </row>
    <row r="12140" spans="1:15">
      <c r="A12140" t="s">
        <v>42380</v>
      </c>
      <c r="B12140" t="s">
        <v>6742</v>
      </c>
      <c r="C12140" t="s">
        <v>24355</v>
      </c>
      <c r="D12140" t="s">
        <v>42381</v>
      </c>
      <c r="E12140" t="b">
        <v>0</v>
      </c>
      <c r="F12140" t="s">
        <v>11610</v>
      </c>
      <c r="L12140">
        <v>0</v>
      </c>
      <c r="M12140">
        <v>0</v>
      </c>
      <c r="N12140">
        <v>0</v>
      </c>
    </row>
    <row r="12141" spans="1:15">
      <c r="A12141" t="s">
        <v>42382</v>
      </c>
      <c r="B12141" t="s">
        <v>6742</v>
      </c>
      <c r="C12141" t="s">
        <v>16664</v>
      </c>
      <c r="D12141" t="s">
        <v>42383</v>
      </c>
      <c r="E12141" t="b">
        <v>0</v>
      </c>
      <c r="F12141" t="s">
        <v>11610</v>
      </c>
      <c r="L12141">
        <v>0</v>
      </c>
      <c r="M12141">
        <v>0</v>
      </c>
      <c r="N12141">
        <v>0</v>
      </c>
    </row>
    <row r="12142" spans="1:15">
      <c r="A12142" t="s">
        <v>42384</v>
      </c>
      <c r="B12142" t="s">
        <v>11729</v>
      </c>
      <c r="C12142" t="s">
        <v>18052</v>
      </c>
      <c r="D12142" t="s">
        <v>42385</v>
      </c>
      <c r="E12142" t="b">
        <v>0</v>
      </c>
      <c r="F12142" t="s">
        <v>11610</v>
      </c>
      <c r="L12142">
        <v>0</v>
      </c>
      <c r="M12142">
        <v>0</v>
      </c>
      <c r="N12142">
        <v>0</v>
      </c>
    </row>
    <row r="12143" spans="1:15">
      <c r="A12143" t="s">
        <v>42386</v>
      </c>
      <c r="B12143" t="s">
        <v>11757</v>
      </c>
      <c r="C12143" t="s">
        <v>19042</v>
      </c>
      <c r="D12143" t="s">
        <v>42387</v>
      </c>
      <c r="E12143" t="b">
        <v>0</v>
      </c>
      <c r="F12143" t="s">
        <v>11610</v>
      </c>
      <c r="L12143">
        <v>0</v>
      </c>
      <c r="M12143">
        <v>0</v>
      </c>
      <c r="N12143">
        <v>0</v>
      </c>
    </row>
    <row r="12144" spans="1:15">
      <c r="A12144" t="s">
        <v>42388</v>
      </c>
      <c r="B12144" t="s">
        <v>367</v>
      </c>
      <c r="C12144" t="s">
        <v>13338</v>
      </c>
      <c r="D12144" t="s">
        <v>42389</v>
      </c>
      <c r="E12144" t="b">
        <v>0</v>
      </c>
      <c r="F12144" t="s">
        <v>11610</v>
      </c>
      <c r="L12144">
        <v>0</v>
      </c>
      <c r="M12144">
        <v>0</v>
      </c>
      <c r="N12144">
        <v>0</v>
      </c>
    </row>
    <row r="12145" spans="1:15">
      <c r="A12145" t="s">
        <v>16441</v>
      </c>
      <c r="B12145" t="s">
        <v>367</v>
      </c>
      <c r="C12145" t="s">
        <v>34198</v>
      </c>
      <c r="D12145" t="s">
        <v>42390</v>
      </c>
      <c r="E12145" t="b">
        <v>0</v>
      </c>
      <c r="F12145" t="s">
        <v>11622</v>
      </c>
      <c r="L12145">
        <v>3</v>
      </c>
      <c r="M12145">
        <v>6</v>
      </c>
      <c r="N12145">
        <v>1</v>
      </c>
    </row>
    <row r="12146" spans="1:15">
      <c r="A12146" t="s">
        <v>42391</v>
      </c>
      <c r="B12146" t="s">
        <v>367</v>
      </c>
      <c r="C12146" t="s">
        <v>42392</v>
      </c>
      <c r="D12146" t="s">
        <v>42393</v>
      </c>
      <c r="E12146" t="b">
        <v>0</v>
      </c>
      <c r="F12146" t="s">
        <v>11624</v>
      </c>
      <c r="G12146">
        <v>-4.0792099999999998</v>
      </c>
      <c r="H12146">
        <v>145.03299999999999</v>
      </c>
      <c r="I12146" t="s">
        <v>42394</v>
      </c>
      <c r="L12146">
        <v>0</v>
      </c>
      <c r="M12146">
        <v>0</v>
      </c>
      <c r="N12146">
        <v>1</v>
      </c>
      <c r="O12146" t="s">
        <v>11660</v>
      </c>
    </row>
    <row r="12147" spans="1:15">
      <c r="A12147" t="s">
        <v>42395</v>
      </c>
      <c r="B12147" t="s">
        <v>367</v>
      </c>
      <c r="C12147" t="s">
        <v>42396</v>
      </c>
      <c r="D12147" t="s">
        <v>42397</v>
      </c>
      <c r="E12147" t="b">
        <v>0</v>
      </c>
      <c r="F12147" t="s">
        <v>11610</v>
      </c>
      <c r="L12147">
        <v>0</v>
      </c>
      <c r="M12147">
        <v>0</v>
      </c>
      <c r="N12147">
        <v>0</v>
      </c>
    </row>
    <row r="12148" spans="1:15">
      <c r="A12148" t="s">
        <v>42398</v>
      </c>
      <c r="B12148" t="s">
        <v>13411</v>
      </c>
      <c r="C12148" t="s">
        <v>42399</v>
      </c>
      <c r="D12148" t="s">
        <v>42400</v>
      </c>
      <c r="E12148" t="b">
        <v>0</v>
      </c>
      <c r="F12148" t="s">
        <v>11624</v>
      </c>
      <c r="G12148">
        <v>-4.1908200000000004</v>
      </c>
      <c r="H12148">
        <v>142.86199999999999</v>
      </c>
      <c r="I12148" t="s">
        <v>42401</v>
      </c>
      <c r="L12148">
        <v>0</v>
      </c>
      <c r="M12148">
        <v>0</v>
      </c>
      <c r="N12148">
        <v>0</v>
      </c>
      <c r="O12148" t="s">
        <v>11660</v>
      </c>
    </row>
    <row r="12149" spans="1:15">
      <c r="A12149" t="s">
        <v>42402</v>
      </c>
      <c r="B12149" t="s">
        <v>11894</v>
      </c>
      <c r="C12149" t="s">
        <v>15965</v>
      </c>
      <c r="D12149" t="s">
        <v>42403</v>
      </c>
      <c r="E12149" t="b">
        <v>0</v>
      </c>
      <c r="F12149" t="s">
        <v>11624</v>
      </c>
      <c r="G12149">
        <v>-3.1992029999999998</v>
      </c>
      <c r="H12149">
        <v>-60.107117000000002</v>
      </c>
      <c r="L12149">
        <v>0</v>
      </c>
      <c r="M12149">
        <v>0</v>
      </c>
      <c r="N12149">
        <v>0</v>
      </c>
      <c r="O12149" t="s">
        <v>11969</v>
      </c>
    </row>
    <row r="12150" spans="1:15">
      <c r="A12150" t="s">
        <v>42059</v>
      </c>
      <c r="B12150" t="s">
        <v>367</v>
      </c>
      <c r="C12150" t="s">
        <v>13393</v>
      </c>
      <c r="D12150" t="s">
        <v>42404</v>
      </c>
      <c r="E12150" t="b">
        <v>0</v>
      </c>
      <c r="F12150" t="s">
        <v>11622</v>
      </c>
      <c r="L12150">
        <v>0</v>
      </c>
      <c r="M12150">
        <v>2</v>
      </c>
      <c r="N12150">
        <v>0</v>
      </c>
    </row>
    <row r="12151" spans="1:15">
      <c r="A12151" t="s">
        <v>42392</v>
      </c>
      <c r="B12151" t="s">
        <v>367</v>
      </c>
      <c r="C12151" t="s">
        <v>16440</v>
      </c>
      <c r="D12151" t="s">
        <v>42405</v>
      </c>
      <c r="E12151" t="b">
        <v>0</v>
      </c>
      <c r="F12151" t="s">
        <v>11622</v>
      </c>
      <c r="L12151">
        <v>0</v>
      </c>
      <c r="M12151">
        <v>2</v>
      </c>
      <c r="N12151">
        <v>1</v>
      </c>
    </row>
    <row r="12152" spans="1:15">
      <c r="A12152" t="s">
        <v>38762</v>
      </c>
      <c r="B12152" t="s">
        <v>13450</v>
      </c>
      <c r="C12152" t="s">
        <v>13450</v>
      </c>
      <c r="D12152" t="s">
        <v>42406</v>
      </c>
      <c r="E12152" t="b">
        <v>0</v>
      </c>
      <c r="F12152" t="s">
        <v>11622</v>
      </c>
      <c r="L12152">
        <v>0</v>
      </c>
      <c r="M12152">
        <v>1</v>
      </c>
      <c r="N12152">
        <v>0</v>
      </c>
    </row>
    <row r="12153" spans="1:15">
      <c r="A12153" t="s">
        <v>42399</v>
      </c>
      <c r="B12153" t="s">
        <v>13411</v>
      </c>
      <c r="C12153" t="s">
        <v>13412</v>
      </c>
      <c r="D12153" t="s">
        <v>42407</v>
      </c>
      <c r="E12153" t="b">
        <v>0</v>
      </c>
      <c r="F12153" t="s">
        <v>11622</v>
      </c>
      <c r="L12153">
        <v>0</v>
      </c>
      <c r="M12153">
        <v>2</v>
      </c>
      <c r="N12153">
        <v>0</v>
      </c>
    </row>
    <row r="12154" spans="1:15">
      <c r="A12154" t="s">
        <v>42408</v>
      </c>
      <c r="B12154" t="s">
        <v>6742</v>
      </c>
      <c r="C12154" t="s">
        <v>32734</v>
      </c>
      <c r="D12154" t="s">
        <v>42409</v>
      </c>
      <c r="E12154" t="b">
        <v>0</v>
      </c>
      <c r="F12154" t="s">
        <v>11610</v>
      </c>
      <c r="L12154">
        <v>0</v>
      </c>
      <c r="M12154">
        <v>0</v>
      </c>
      <c r="N12154">
        <v>0</v>
      </c>
    </row>
    <row r="12155" spans="1:15">
      <c r="A12155" t="s">
        <v>33801</v>
      </c>
      <c r="B12155" t="s">
        <v>12686</v>
      </c>
      <c r="C12155" t="s">
        <v>12686</v>
      </c>
      <c r="D12155" t="s">
        <v>42410</v>
      </c>
      <c r="E12155" t="b">
        <v>0</v>
      </c>
      <c r="F12155" t="s">
        <v>11622</v>
      </c>
      <c r="L12155">
        <v>1</v>
      </c>
      <c r="M12155">
        <v>3</v>
      </c>
      <c r="N12155">
        <v>4</v>
      </c>
    </row>
    <row r="12156" spans="1:15">
      <c r="A12156" t="s">
        <v>42411</v>
      </c>
      <c r="B12156" t="s">
        <v>12686</v>
      </c>
      <c r="C12156" t="s">
        <v>33801</v>
      </c>
      <c r="D12156" t="s">
        <v>42412</v>
      </c>
      <c r="E12156" t="b">
        <v>0</v>
      </c>
      <c r="F12156" t="s">
        <v>11622</v>
      </c>
      <c r="L12156">
        <v>0</v>
      </c>
      <c r="M12156">
        <v>2</v>
      </c>
      <c r="N12156">
        <v>4</v>
      </c>
    </row>
    <row r="12157" spans="1:15">
      <c r="A12157" t="s">
        <v>2123</v>
      </c>
      <c r="B12157" t="s">
        <v>12686</v>
      </c>
      <c r="C12157" t="s">
        <v>42411</v>
      </c>
      <c r="D12157" t="s">
        <v>2122</v>
      </c>
      <c r="E12157" t="b">
        <v>0</v>
      </c>
      <c r="F12157" t="s">
        <v>11624</v>
      </c>
      <c r="G12157">
        <v>47.312199999999997</v>
      </c>
      <c r="H12157">
        <v>126.557</v>
      </c>
      <c r="I12157" t="s">
        <v>2124</v>
      </c>
      <c r="L12157">
        <v>0</v>
      </c>
      <c r="M12157">
        <v>0</v>
      </c>
      <c r="N12157">
        <v>4</v>
      </c>
      <c r="O12157" t="s">
        <v>36061</v>
      </c>
    </row>
    <row r="12158" spans="1:15">
      <c r="A12158" t="s">
        <v>42413</v>
      </c>
      <c r="B12158" t="s">
        <v>11637</v>
      </c>
      <c r="C12158" t="s">
        <v>31159</v>
      </c>
      <c r="D12158" t="s">
        <v>42414</v>
      </c>
      <c r="E12158" t="b">
        <v>0</v>
      </c>
      <c r="F12158" t="s">
        <v>11624</v>
      </c>
      <c r="G12158">
        <v>31.5425</v>
      </c>
      <c r="H12158">
        <v>77.041899999999998</v>
      </c>
      <c r="I12158" t="s">
        <v>42415</v>
      </c>
      <c r="L12158">
        <v>0</v>
      </c>
      <c r="M12158">
        <v>0</v>
      </c>
      <c r="N12158">
        <v>0</v>
      </c>
      <c r="O12158" t="s">
        <v>11630</v>
      </c>
    </row>
    <row r="12159" spans="1:15">
      <c r="A12159" t="s">
        <v>42416</v>
      </c>
      <c r="B12159" t="s">
        <v>11844</v>
      </c>
      <c r="C12159" t="s">
        <v>9047</v>
      </c>
      <c r="D12159" t="s">
        <v>42417</v>
      </c>
      <c r="E12159" t="b">
        <v>0</v>
      </c>
      <c r="F12159" t="s">
        <v>11610</v>
      </c>
      <c r="L12159">
        <v>0</v>
      </c>
      <c r="M12159">
        <v>0</v>
      </c>
      <c r="N12159">
        <v>0</v>
      </c>
    </row>
    <row r="12160" spans="1:15">
      <c r="A12160" t="s">
        <v>37980</v>
      </c>
      <c r="B12160" t="s">
        <v>11844</v>
      </c>
      <c r="C12160" t="s">
        <v>37214</v>
      </c>
      <c r="D12160" t="s">
        <v>42418</v>
      </c>
      <c r="E12160" t="b">
        <v>0</v>
      </c>
      <c r="F12160" t="s">
        <v>11622</v>
      </c>
      <c r="L12160">
        <v>2</v>
      </c>
      <c r="M12160">
        <v>4</v>
      </c>
      <c r="N12160">
        <v>4</v>
      </c>
    </row>
    <row r="12161" spans="1:15">
      <c r="A12161" t="s">
        <v>42419</v>
      </c>
      <c r="B12161" t="s">
        <v>11844</v>
      </c>
      <c r="C12161" t="s">
        <v>37980</v>
      </c>
      <c r="D12161" t="s">
        <v>42420</v>
      </c>
      <c r="E12161" t="b">
        <v>0</v>
      </c>
      <c r="F12161" t="s">
        <v>11622</v>
      </c>
      <c r="L12161">
        <v>0</v>
      </c>
      <c r="M12161">
        <v>2</v>
      </c>
      <c r="N12161">
        <v>2</v>
      </c>
    </row>
    <row r="12162" spans="1:15">
      <c r="A12162" t="s">
        <v>42421</v>
      </c>
      <c r="B12162" t="s">
        <v>11844</v>
      </c>
      <c r="C12162" t="s">
        <v>42419</v>
      </c>
      <c r="D12162" t="s">
        <v>42422</v>
      </c>
      <c r="E12162" t="b">
        <v>0</v>
      </c>
      <c r="F12162" t="s">
        <v>11624</v>
      </c>
      <c r="G12162">
        <v>20.0962</v>
      </c>
      <c r="H12162">
        <v>83.674899999999994</v>
      </c>
      <c r="I12162" t="s">
        <v>42423</v>
      </c>
      <c r="L12162">
        <v>0</v>
      </c>
      <c r="M12162">
        <v>0</v>
      </c>
      <c r="N12162">
        <v>0</v>
      </c>
      <c r="O12162" t="s">
        <v>11630</v>
      </c>
    </row>
    <row r="12163" spans="1:15">
      <c r="A12163" t="s">
        <v>42424</v>
      </c>
      <c r="B12163" t="s">
        <v>11844</v>
      </c>
      <c r="C12163" t="s">
        <v>13540</v>
      </c>
      <c r="D12163" t="s">
        <v>42425</v>
      </c>
      <c r="E12163" t="b">
        <v>0</v>
      </c>
      <c r="F12163" t="s">
        <v>11610</v>
      </c>
      <c r="L12163">
        <v>0</v>
      </c>
      <c r="M12163">
        <v>0</v>
      </c>
      <c r="N12163">
        <v>0</v>
      </c>
    </row>
    <row r="12164" spans="1:15">
      <c r="A12164" t="s">
        <v>6112</v>
      </c>
      <c r="B12164" t="s">
        <v>11644</v>
      </c>
      <c r="C12164" t="s">
        <v>24102</v>
      </c>
      <c r="D12164" t="s">
        <v>42426</v>
      </c>
      <c r="E12164" t="b">
        <v>0</v>
      </c>
      <c r="F12164" t="s">
        <v>11624</v>
      </c>
      <c r="G12164">
        <v>40.020899999999997</v>
      </c>
      <c r="H12164">
        <v>116.22799999999999</v>
      </c>
      <c r="I12164" t="s">
        <v>6113</v>
      </c>
      <c r="L12164">
        <v>0</v>
      </c>
      <c r="M12164">
        <v>0</v>
      </c>
      <c r="N12164">
        <v>31</v>
      </c>
      <c r="O12164" t="s">
        <v>42427</v>
      </c>
    </row>
    <row r="12165" spans="1:15">
      <c r="A12165" t="s">
        <v>42428</v>
      </c>
      <c r="B12165" t="s">
        <v>13434</v>
      </c>
      <c r="C12165" t="s">
        <v>13433</v>
      </c>
      <c r="D12165" t="s">
        <v>42429</v>
      </c>
      <c r="E12165" t="b">
        <v>0</v>
      </c>
      <c r="F12165" t="s">
        <v>11624</v>
      </c>
      <c r="G12165">
        <v>-13.648099999999999</v>
      </c>
      <c r="H12165">
        <v>129.88499999999999</v>
      </c>
      <c r="I12165" t="s">
        <v>42430</v>
      </c>
      <c r="L12165">
        <v>0</v>
      </c>
      <c r="M12165">
        <v>0</v>
      </c>
      <c r="N12165">
        <v>0</v>
      </c>
      <c r="O12165" t="s">
        <v>12107</v>
      </c>
    </row>
    <row r="12166" spans="1:15">
      <c r="A12166" t="s">
        <v>42431</v>
      </c>
      <c r="B12166" t="s">
        <v>10597</v>
      </c>
      <c r="C12166" t="s">
        <v>2618</v>
      </c>
      <c r="D12166" t="s">
        <v>42432</v>
      </c>
      <c r="E12166" t="b">
        <v>0</v>
      </c>
      <c r="F12166" t="s">
        <v>11624</v>
      </c>
      <c r="G12166">
        <v>-26.573</v>
      </c>
      <c r="H12166">
        <v>148.97800000000001</v>
      </c>
      <c r="I12166" t="s">
        <v>42433</v>
      </c>
      <c r="L12166">
        <v>0</v>
      </c>
      <c r="M12166">
        <v>0</v>
      </c>
      <c r="N12166">
        <v>0</v>
      </c>
      <c r="O12166" t="s">
        <v>12107</v>
      </c>
    </row>
    <row r="12167" spans="1:15">
      <c r="A12167" t="s">
        <v>42434</v>
      </c>
      <c r="B12167" t="s">
        <v>10597</v>
      </c>
      <c r="C12167" t="s">
        <v>23752</v>
      </c>
      <c r="D12167" t="s">
        <v>42435</v>
      </c>
      <c r="E12167" t="b">
        <v>0</v>
      </c>
      <c r="F12167" t="s">
        <v>11610</v>
      </c>
      <c r="L12167">
        <v>0</v>
      </c>
      <c r="M12167">
        <v>0</v>
      </c>
      <c r="N12167">
        <v>0</v>
      </c>
    </row>
    <row r="12168" spans="1:15">
      <c r="A12168" t="s">
        <v>19172</v>
      </c>
      <c r="B12168" t="s">
        <v>6742</v>
      </c>
      <c r="C12168" t="s">
        <v>23647</v>
      </c>
      <c r="D12168" t="s">
        <v>42436</v>
      </c>
      <c r="E12168" t="b">
        <v>0</v>
      </c>
      <c r="F12168" t="s">
        <v>11624</v>
      </c>
      <c r="G12168">
        <v>12.829000000000001</v>
      </c>
      <c r="H12168">
        <v>-15.9217</v>
      </c>
      <c r="I12168" t="s">
        <v>42437</v>
      </c>
      <c r="L12168">
        <v>0</v>
      </c>
      <c r="M12168">
        <v>0</v>
      </c>
      <c r="N12168">
        <v>8</v>
      </c>
      <c r="O12168" t="s">
        <v>16013</v>
      </c>
    </row>
    <row r="12169" spans="1:15">
      <c r="A12169" t="s">
        <v>42438</v>
      </c>
      <c r="B12169" t="s">
        <v>6742</v>
      </c>
      <c r="C12169" t="s">
        <v>19345</v>
      </c>
      <c r="D12169" t="s">
        <v>42439</v>
      </c>
      <c r="E12169" t="b">
        <v>0</v>
      </c>
      <c r="F12169" t="s">
        <v>11610</v>
      </c>
      <c r="L12169">
        <v>0</v>
      </c>
      <c r="M12169">
        <v>0</v>
      </c>
      <c r="N12169">
        <v>0</v>
      </c>
    </row>
    <row r="12170" spans="1:15">
      <c r="A12170" t="s">
        <v>42440</v>
      </c>
      <c r="B12170" t="s">
        <v>6742</v>
      </c>
      <c r="C12170" t="s">
        <v>3970</v>
      </c>
      <c r="D12170" t="s">
        <v>42441</v>
      </c>
      <c r="E12170" t="b">
        <v>0</v>
      </c>
      <c r="F12170" t="s">
        <v>11610</v>
      </c>
      <c r="L12170">
        <v>0</v>
      </c>
      <c r="M12170">
        <v>0</v>
      </c>
      <c r="N12170">
        <v>0</v>
      </c>
    </row>
    <row r="12171" spans="1:15">
      <c r="A12171" t="s">
        <v>42442</v>
      </c>
      <c r="B12171" t="s">
        <v>6742</v>
      </c>
      <c r="C12171" t="s">
        <v>31245</v>
      </c>
      <c r="D12171" t="s">
        <v>42443</v>
      </c>
      <c r="E12171" t="b">
        <v>0</v>
      </c>
      <c r="F12171" t="s">
        <v>11610</v>
      </c>
      <c r="L12171">
        <v>0</v>
      </c>
      <c r="M12171">
        <v>0</v>
      </c>
      <c r="N12171">
        <v>0</v>
      </c>
    </row>
    <row r="12172" spans="1:15">
      <c r="A12172" t="s">
        <v>42444</v>
      </c>
      <c r="B12172" t="s">
        <v>6742</v>
      </c>
      <c r="C12172" t="s">
        <v>42445</v>
      </c>
      <c r="D12172" t="s">
        <v>42446</v>
      </c>
      <c r="E12172" t="b">
        <v>0</v>
      </c>
      <c r="F12172" t="s">
        <v>11624</v>
      </c>
      <c r="G12172">
        <v>-10.399100000000001</v>
      </c>
      <c r="H12172">
        <v>34.742400000000004</v>
      </c>
      <c r="I12172" t="s">
        <v>42447</v>
      </c>
      <c r="L12172">
        <v>0</v>
      </c>
      <c r="M12172">
        <v>0</v>
      </c>
      <c r="N12172">
        <v>1</v>
      </c>
      <c r="O12172" t="s">
        <v>27909</v>
      </c>
    </row>
    <row r="12173" spans="1:15">
      <c r="A12173" t="s">
        <v>42448</v>
      </c>
      <c r="B12173" t="s">
        <v>11757</v>
      </c>
      <c r="C12173" t="s">
        <v>17078</v>
      </c>
      <c r="D12173" t="s">
        <v>42449</v>
      </c>
      <c r="E12173" t="b">
        <v>0</v>
      </c>
      <c r="F12173" t="s">
        <v>11624</v>
      </c>
      <c r="G12173">
        <v>5.8365600000000004</v>
      </c>
      <c r="H12173">
        <v>31.232700000000001</v>
      </c>
      <c r="I12173" t="s">
        <v>42450</v>
      </c>
      <c r="L12173">
        <v>0</v>
      </c>
      <c r="M12173">
        <v>0</v>
      </c>
      <c r="N12173">
        <v>0</v>
      </c>
      <c r="O12173" t="s">
        <v>11910</v>
      </c>
    </row>
    <row r="12174" spans="1:15">
      <c r="A12174" t="s">
        <v>24710</v>
      </c>
      <c r="B12174" t="s">
        <v>12254</v>
      </c>
      <c r="C12174" t="s">
        <v>12255</v>
      </c>
      <c r="D12174" t="s">
        <v>42451</v>
      </c>
      <c r="E12174" t="b">
        <v>0</v>
      </c>
      <c r="F12174" t="s">
        <v>11610</v>
      </c>
      <c r="L12174">
        <v>0</v>
      </c>
      <c r="M12174">
        <v>0</v>
      </c>
      <c r="N12174">
        <v>3</v>
      </c>
    </row>
    <row r="12175" spans="1:15">
      <c r="A12175" t="s">
        <v>42452</v>
      </c>
      <c r="B12175" t="s">
        <v>12254</v>
      </c>
      <c r="C12175" t="s">
        <v>24710</v>
      </c>
      <c r="D12175" t="s">
        <v>42453</v>
      </c>
      <c r="E12175" t="b">
        <v>0</v>
      </c>
      <c r="F12175" t="s">
        <v>11610</v>
      </c>
      <c r="L12175">
        <v>0</v>
      </c>
      <c r="M12175">
        <v>0</v>
      </c>
      <c r="N12175">
        <v>0</v>
      </c>
    </row>
    <row r="12176" spans="1:15">
      <c r="A12176" t="s">
        <v>42454</v>
      </c>
      <c r="B12176" t="s">
        <v>11780</v>
      </c>
      <c r="C12176" t="s">
        <v>11781</v>
      </c>
      <c r="D12176" t="s">
        <v>42455</v>
      </c>
      <c r="E12176" t="b">
        <v>0</v>
      </c>
      <c r="F12176" t="s">
        <v>11610</v>
      </c>
      <c r="L12176">
        <v>0</v>
      </c>
      <c r="M12176">
        <v>0</v>
      </c>
      <c r="N12176">
        <v>0</v>
      </c>
    </row>
    <row r="12177" spans="1:15">
      <c r="A12177" t="s">
        <v>42456</v>
      </c>
      <c r="B12177" t="s">
        <v>11780</v>
      </c>
      <c r="C12177" t="s">
        <v>11781</v>
      </c>
      <c r="D12177" t="s">
        <v>42457</v>
      </c>
      <c r="E12177" t="b">
        <v>0</v>
      </c>
      <c r="F12177" t="s">
        <v>11610</v>
      </c>
      <c r="L12177">
        <v>0</v>
      </c>
      <c r="M12177">
        <v>0</v>
      </c>
      <c r="N12177">
        <v>0</v>
      </c>
    </row>
    <row r="12178" spans="1:15">
      <c r="A12178" t="s">
        <v>21510</v>
      </c>
      <c r="B12178" t="s">
        <v>13276</v>
      </c>
      <c r="C12178" t="s">
        <v>42458</v>
      </c>
      <c r="D12178" t="s">
        <v>42459</v>
      </c>
      <c r="E12178" t="b">
        <v>0</v>
      </c>
      <c r="F12178" t="s">
        <v>11622</v>
      </c>
      <c r="L12178">
        <v>25</v>
      </c>
      <c r="M12178">
        <v>40</v>
      </c>
      <c r="N12178">
        <v>88</v>
      </c>
    </row>
    <row r="12179" spans="1:15">
      <c r="A12179" t="s">
        <v>33632</v>
      </c>
      <c r="B12179" t="s">
        <v>13276</v>
      </c>
      <c r="C12179" t="s">
        <v>21509</v>
      </c>
      <c r="D12179" t="s">
        <v>42460</v>
      </c>
      <c r="E12179" t="b">
        <v>0</v>
      </c>
      <c r="F12179" t="s">
        <v>11622</v>
      </c>
      <c r="L12179">
        <v>15</v>
      </c>
      <c r="M12179">
        <v>29</v>
      </c>
      <c r="N12179">
        <v>60</v>
      </c>
    </row>
    <row r="12180" spans="1:15">
      <c r="A12180" t="s">
        <v>42461</v>
      </c>
      <c r="B12180" t="s">
        <v>13276</v>
      </c>
      <c r="C12180" t="s">
        <v>33632</v>
      </c>
      <c r="D12180" t="s">
        <v>42462</v>
      </c>
      <c r="E12180" t="b">
        <v>0</v>
      </c>
      <c r="F12180" t="s">
        <v>11622</v>
      </c>
      <c r="L12180">
        <v>11</v>
      </c>
      <c r="M12180">
        <v>25</v>
      </c>
      <c r="N12180">
        <v>54</v>
      </c>
    </row>
    <row r="12181" spans="1:15">
      <c r="A12181" t="s">
        <v>42463</v>
      </c>
      <c r="B12181" t="s">
        <v>13276</v>
      </c>
      <c r="C12181" t="s">
        <v>42461</v>
      </c>
      <c r="D12181" t="s">
        <v>42464</v>
      </c>
      <c r="E12181" t="b">
        <v>0</v>
      </c>
      <c r="F12181" t="s">
        <v>11622</v>
      </c>
      <c r="L12181">
        <v>9</v>
      </c>
      <c r="M12181">
        <v>23</v>
      </c>
      <c r="N12181">
        <v>52</v>
      </c>
    </row>
    <row r="12182" spans="1:15">
      <c r="A12182" t="s">
        <v>26132</v>
      </c>
      <c r="B12182" t="s">
        <v>13276</v>
      </c>
      <c r="C12182" t="s">
        <v>42463</v>
      </c>
      <c r="D12182" t="s">
        <v>42465</v>
      </c>
      <c r="E12182" t="b">
        <v>0</v>
      </c>
      <c r="F12182" t="s">
        <v>11622</v>
      </c>
      <c r="L12182">
        <v>7</v>
      </c>
      <c r="M12182">
        <v>19</v>
      </c>
      <c r="N12182">
        <v>41</v>
      </c>
    </row>
    <row r="12183" spans="1:15">
      <c r="A12183" t="s">
        <v>42466</v>
      </c>
      <c r="B12183" t="s">
        <v>13276</v>
      </c>
      <c r="C12183" t="s">
        <v>36715</v>
      </c>
      <c r="D12183" t="s">
        <v>42467</v>
      </c>
      <c r="E12183" t="b">
        <v>0</v>
      </c>
      <c r="F12183" t="s">
        <v>11624</v>
      </c>
      <c r="G12183">
        <v>12.816523333299999</v>
      </c>
      <c r="H12183">
        <v>-15.6539466667</v>
      </c>
      <c r="I12183" t="s">
        <v>42468</v>
      </c>
      <c r="L12183">
        <v>0</v>
      </c>
      <c r="M12183">
        <v>0</v>
      </c>
      <c r="N12183">
        <v>0</v>
      </c>
      <c r="O12183" t="s">
        <v>42469</v>
      </c>
    </row>
    <row r="12184" spans="1:15">
      <c r="A12184" t="s">
        <v>42470</v>
      </c>
      <c r="B12184" t="s">
        <v>13276</v>
      </c>
      <c r="C12184" t="s">
        <v>20578</v>
      </c>
      <c r="D12184" t="s">
        <v>42471</v>
      </c>
      <c r="E12184" t="b">
        <v>0</v>
      </c>
      <c r="F12184" t="s">
        <v>11622</v>
      </c>
      <c r="L12184">
        <v>0</v>
      </c>
      <c r="M12184">
        <v>3</v>
      </c>
      <c r="N12184">
        <v>5</v>
      </c>
    </row>
    <row r="12185" spans="1:15">
      <c r="A12185" t="s">
        <v>42472</v>
      </c>
      <c r="B12185" t="s">
        <v>13967</v>
      </c>
      <c r="C12185" t="s">
        <v>34761</v>
      </c>
      <c r="D12185" t="s">
        <v>42473</v>
      </c>
      <c r="E12185" t="b">
        <v>0</v>
      </c>
      <c r="F12185" t="s">
        <v>11610</v>
      </c>
      <c r="L12185">
        <v>0</v>
      </c>
      <c r="M12185">
        <v>0</v>
      </c>
      <c r="N12185">
        <v>0</v>
      </c>
    </row>
    <row r="12186" spans="1:15">
      <c r="A12186" t="s">
        <v>42474</v>
      </c>
      <c r="B12186" t="s">
        <v>367</v>
      </c>
      <c r="C12186" t="s">
        <v>14563</v>
      </c>
      <c r="D12186" t="s">
        <v>42475</v>
      </c>
      <c r="E12186" t="b">
        <v>0</v>
      </c>
      <c r="F12186" t="s">
        <v>11610</v>
      </c>
      <c r="L12186">
        <v>0</v>
      </c>
      <c r="M12186">
        <v>0</v>
      </c>
      <c r="N12186">
        <v>0</v>
      </c>
    </row>
    <row r="12187" spans="1:15">
      <c r="A12187" t="s">
        <v>42476</v>
      </c>
      <c r="B12187" t="s">
        <v>367</v>
      </c>
      <c r="C12187" t="s">
        <v>40113</v>
      </c>
      <c r="D12187" t="s">
        <v>42477</v>
      </c>
      <c r="E12187" t="b">
        <v>0</v>
      </c>
      <c r="F12187" t="s">
        <v>11624</v>
      </c>
      <c r="G12187">
        <v>-2.7827999999999999</v>
      </c>
      <c r="H12187">
        <v>151.95599999999999</v>
      </c>
      <c r="I12187" t="s">
        <v>42478</v>
      </c>
      <c r="L12187">
        <v>0</v>
      </c>
      <c r="M12187">
        <v>0</v>
      </c>
      <c r="N12187">
        <v>3</v>
      </c>
      <c r="O12187" t="s">
        <v>11660</v>
      </c>
    </row>
    <row r="12188" spans="1:15">
      <c r="A12188" t="s">
        <v>16236</v>
      </c>
      <c r="B12188" t="s">
        <v>367</v>
      </c>
      <c r="C12188" t="s">
        <v>42365</v>
      </c>
      <c r="D12188" t="s">
        <v>42479</v>
      </c>
      <c r="E12188" t="b">
        <v>0</v>
      </c>
      <c r="F12188" t="s">
        <v>11624</v>
      </c>
      <c r="G12188">
        <v>-3.3471700000000002</v>
      </c>
      <c r="H12188">
        <v>119.068</v>
      </c>
      <c r="I12188" t="s">
        <v>42480</v>
      </c>
      <c r="L12188">
        <v>0</v>
      </c>
      <c r="M12188">
        <v>0</v>
      </c>
      <c r="N12188">
        <v>5</v>
      </c>
      <c r="O12188" t="s">
        <v>11768</v>
      </c>
    </row>
    <row r="12189" spans="1:15">
      <c r="A12189" t="s">
        <v>42481</v>
      </c>
      <c r="B12189" t="s">
        <v>16947</v>
      </c>
      <c r="C12189" t="s">
        <v>18101</v>
      </c>
      <c r="D12189" t="s">
        <v>42482</v>
      </c>
      <c r="E12189" t="b">
        <v>0</v>
      </c>
      <c r="F12189" t="s">
        <v>11624</v>
      </c>
      <c r="G12189">
        <v>-2.2947899999999999</v>
      </c>
      <c r="H12189">
        <v>138.751</v>
      </c>
      <c r="I12189" t="s">
        <v>42483</v>
      </c>
      <c r="L12189">
        <v>0</v>
      </c>
      <c r="M12189">
        <v>0</v>
      </c>
      <c r="N12189">
        <v>0</v>
      </c>
      <c r="O12189" t="s">
        <v>11768</v>
      </c>
    </row>
    <row r="12190" spans="1:15">
      <c r="A12190" t="s">
        <v>42484</v>
      </c>
      <c r="B12190" t="s">
        <v>11615</v>
      </c>
      <c r="C12190" t="s">
        <v>36993</v>
      </c>
      <c r="D12190" t="s">
        <v>42485</v>
      </c>
      <c r="E12190" t="b">
        <v>0</v>
      </c>
      <c r="F12190" t="s">
        <v>11624</v>
      </c>
      <c r="G12190">
        <v>-5.6935700000000002</v>
      </c>
      <c r="H12190">
        <v>140.624</v>
      </c>
      <c r="I12190" t="s">
        <v>42486</v>
      </c>
      <c r="L12190">
        <v>0</v>
      </c>
      <c r="M12190">
        <v>0</v>
      </c>
      <c r="N12190">
        <v>0</v>
      </c>
      <c r="O12190" t="s">
        <v>11768</v>
      </c>
    </row>
    <row r="12191" spans="1:15">
      <c r="A12191" t="s">
        <v>42487</v>
      </c>
      <c r="B12191" t="s">
        <v>11615</v>
      </c>
      <c r="C12191" t="s">
        <v>36993</v>
      </c>
      <c r="D12191" t="s">
        <v>42488</v>
      </c>
      <c r="E12191" t="b">
        <v>0</v>
      </c>
      <c r="F12191" t="s">
        <v>11624</v>
      </c>
      <c r="G12191">
        <v>-6.3725500000000004</v>
      </c>
      <c r="H12191">
        <v>140.45099999999999</v>
      </c>
      <c r="I12191" t="s">
        <v>42489</v>
      </c>
      <c r="L12191">
        <v>0</v>
      </c>
      <c r="M12191">
        <v>0</v>
      </c>
      <c r="N12191">
        <v>0</v>
      </c>
      <c r="O12191" t="s">
        <v>24525</v>
      </c>
    </row>
    <row r="12192" spans="1:15">
      <c r="A12192" t="s">
        <v>42490</v>
      </c>
      <c r="B12192" t="s">
        <v>8897</v>
      </c>
      <c r="C12192" t="s">
        <v>23404</v>
      </c>
      <c r="D12192" t="s">
        <v>42491</v>
      </c>
      <c r="E12192" t="b">
        <v>0</v>
      </c>
      <c r="F12192" t="s">
        <v>11624</v>
      </c>
      <c r="G12192">
        <v>47.6631</v>
      </c>
      <c r="H12192">
        <v>-102.376</v>
      </c>
      <c r="I12192" t="s">
        <v>42492</v>
      </c>
      <c r="L12192">
        <v>0</v>
      </c>
      <c r="M12192">
        <v>0</v>
      </c>
      <c r="N12192">
        <v>0</v>
      </c>
      <c r="O12192" t="s">
        <v>11944</v>
      </c>
    </row>
    <row r="12193" spans="1:15">
      <c r="A12193" t="s">
        <v>42493</v>
      </c>
      <c r="B12193" t="s">
        <v>12959</v>
      </c>
      <c r="C12193" t="s">
        <v>12960</v>
      </c>
      <c r="D12193" t="s">
        <v>42494</v>
      </c>
      <c r="E12193" t="b">
        <v>0</v>
      </c>
      <c r="F12193" t="s">
        <v>11610</v>
      </c>
      <c r="L12193">
        <v>0</v>
      </c>
      <c r="M12193">
        <v>0</v>
      </c>
      <c r="N12193">
        <v>0</v>
      </c>
    </row>
    <row r="12194" spans="1:15">
      <c r="A12194" t="s">
        <v>42495</v>
      </c>
      <c r="B12194" t="s">
        <v>11894</v>
      </c>
      <c r="C12194" t="s">
        <v>42496</v>
      </c>
      <c r="D12194" t="s">
        <v>42497</v>
      </c>
      <c r="E12194" t="b">
        <v>0</v>
      </c>
      <c r="F12194" t="s">
        <v>11624</v>
      </c>
      <c r="G12194">
        <v>1.06636</v>
      </c>
      <c r="H12194">
        <v>-66.723100000000002</v>
      </c>
      <c r="I12194" t="s">
        <v>42498</v>
      </c>
      <c r="L12194">
        <v>0</v>
      </c>
      <c r="M12194">
        <v>0</v>
      </c>
      <c r="N12194">
        <v>0</v>
      </c>
      <c r="O12194" t="s">
        <v>16716</v>
      </c>
    </row>
    <row r="12195" spans="1:15">
      <c r="A12195" t="s">
        <v>23115</v>
      </c>
      <c r="B12195" t="s">
        <v>11607</v>
      </c>
      <c r="C12195" t="s">
        <v>21769</v>
      </c>
      <c r="D12195" t="s">
        <v>42499</v>
      </c>
      <c r="E12195" t="b">
        <v>0</v>
      </c>
      <c r="F12195" t="s">
        <v>11622</v>
      </c>
      <c r="L12195">
        <v>0</v>
      </c>
      <c r="M12195">
        <v>2</v>
      </c>
      <c r="N12195">
        <v>3</v>
      </c>
    </row>
    <row r="12196" spans="1:15">
      <c r="A12196" t="s">
        <v>13276</v>
      </c>
      <c r="D12196" t="s">
        <v>42500</v>
      </c>
      <c r="E12196" t="b">
        <v>0</v>
      </c>
      <c r="F12196" t="s">
        <v>11622</v>
      </c>
      <c r="L12196">
        <v>56</v>
      </c>
      <c r="M12196">
        <v>75</v>
      </c>
      <c r="N12196">
        <v>172</v>
      </c>
    </row>
    <row r="12197" spans="1:15">
      <c r="A12197" t="s">
        <v>33826</v>
      </c>
      <c r="B12197" t="s">
        <v>11834</v>
      </c>
      <c r="C12197" t="s">
        <v>20336</v>
      </c>
      <c r="D12197" t="s">
        <v>42501</v>
      </c>
      <c r="E12197" t="b">
        <v>0</v>
      </c>
      <c r="F12197" t="s">
        <v>11622</v>
      </c>
      <c r="L12197">
        <v>0</v>
      </c>
      <c r="M12197">
        <v>2</v>
      </c>
      <c r="N12197">
        <v>0</v>
      </c>
    </row>
    <row r="12198" spans="1:15">
      <c r="A12198" t="s">
        <v>24102</v>
      </c>
      <c r="B12198" t="s">
        <v>11644</v>
      </c>
      <c r="C12198" t="s">
        <v>33561</v>
      </c>
      <c r="D12198" t="s">
        <v>42502</v>
      </c>
      <c r="E12198" t="b">
        <v>0</v>
      </c>
      <c r="F12198" t="s">
        <v>11622</v>
      </c>
      <c r="L12198">
        <v>1</v>
      </c>
      <c r="M12198">
        <v>7</v>
      </c>
      <c r="N12198">
        <v>34</v>
      </c>
    </row>
    <row r="12199" spans="1:15">
      <c r="A12199" t="s">
        <v>24587</v>
      </c>
      <c r="B12199" t="s">
        <v>11607</v>
      </c>
      <c r="C12199" t="s">
        <v>20462</v>
      </c>
      <c r="D12199" t="s">
        <v>42503</v>
      </c>
      <c r="E12199" t="b">
        <v>0</v>
      </c>
      <c r="F12199" t="s">
        <v>11622</v>
      </c>
      <c r="L12199">
        <v>4</v>
      </c>
      <c r="M12199">
        <v>9</v>
      </c>
      <c r="N12199">
        <v>16</v>
      </c>
    </row>
    <row r="12200" spans="1:15">
      <c r="A12200" t="s">
        <v>36993</v>
      </c>
      <c r="B12200" t="s">
        <v>11615</v>
      </c>
      <c r="C12200" t="s">
        <v>25551</v>
      </c>
      <c r="D12200" t="s">
        <v>42504</v>
      </c>
      <c r="E12200" t="b">
        <v>0</v>
      </c>
      <c r="F12200" t="s">
        <v>11622</v>
      </c>
      <c r="L12200">
        <v>0</v>
      </c>
      <c r="M12200">
        <v>3</v>
      </c>
      <c r="N12200">
        <v>0</v>
      </c>
    </row>
    <row r="12201" spans="1:15">
      <c r="A12201" t="s">
        <v>42505</v>
      </c>
      <c r="B12201" t="s">
        <v>6742</v>
      </c>
      <c r="C12201" t="s">
        <v>42506</v>
      </c>
      <c r="D12201" t="s">
        <v>42507</v>
      </c>
      <c r="E12201" t="b">
        <v>0</v>
      </c>
      <c r="F12201" t="s">
        <v>11622</v>
      </c>
      <c r="L12201">
        <v>0</v>
      </c>
      <c r="M12201">
        <v>3</v>
      </c>
      <c r="N12201">
        <v>8</v>
      </c>
    </row>
    <row r="12202" spans="1:15">
      <c r="A12202" t="s">
        <v>42445</v>
      </c>
      <c r="B12202" t="s">
        <v>6742</v>
      </c>
      <c r="C12202" t="s">
        <v>17922</v>
      </c>
      <c r="D12202" t="s">
        <v>42508</v>
      </c>
      <c r="E12202" t="b">
        <v>0</v>
      </c>
      <c r="F12202" t="s">
        <v>11622</v>
      </c>
      <c r="L12202">
        <v>0</v>
      </c>
      <c r="M12202">
        <v>2</v>
      </c>
      <c r="N12202">
        <v>1</v>
      </c>
    </row>
    <row r="12203" spans="1:15">
      <c r="A12203" t="s">
        <v>42509</v>
      </c>
      <c r="B12203" t="s">
        <v>11644</v>
      </c>
      <c r="C12203" t="s">
        <v>5110</v>
      </c>
      <c r="D12203" t="s">
        <v>42510</v>
      </c>
      <c r="E12203" t="b">
        <v>0</v>
      </c>
      <c r="F12203" t="s">
        <v>11610</v>
      </c>
      <c r="L12203">
        <v>0</v>
      </c>
      <c r="M12203">
        <v>0</v>
      </c>
      <c r="N12203">
        <v>0</v>
      </c>
    </row>
    <row r="12204" spans="1:15">
      <c r="A12204" t="s">
        <v>42511</v>
      </c>
      <c r="B12204" t="s">
        <v>6742</v>
      </c>
      <c r="C12204" t="s">
        <v>16200</v>
      </c>
      <c r="D12204" t="s">
        <v>42512</v>
      </c>
      <c r="E12204" t="b">
        <v>0</v>
      </c>
      <c r="F12204" t="s">
        <v>11610</v>
      </c>
      <c r="L12204">
        <v>0</v>
      </c>
      <c r="M12204">
        <v>0</v>
      </c>
      <c r="N12204">
        <v>0</v>
      </c>
    </row>
    <row r="12205" spans="1:15">
      <c r="A12205" t="s">
        <v>42513</v>
      </c>
      <c r="B12205" t="s">
        <v>11637</v>
      </c>
      <c r="C12205" t="s">
        <v>27643</v>
      </c>
      <c r="D12205" t="s">
        <v>42514</v>
      </c>
      <c r="E12205" t="b">
        <v>0</v>
      </c>
      <c r="F12205" t="s">
        <v>11610</v>
      </c>
      <c r="L12205">
        <v>0</v>
      </c>
      <c r="M12205">
        <v>0</v>
      </c>
      <c r="N12205">
        <v>0</v>
      </c>
    </row>
    <row r="12206" spans="1:15">
      <c r="A12206" t="s">
        <v>42515</v>
      </c>
      <c r="B12206" t="s">
        <v>6742</v>
      </c>
      <c r="C12206" t="s">
        <v>15636</v>
      </c>
      <c r="D12206" t="s">
        <v>42516</v>
      </c>
      <c r="E12206" t="b">
        <v>0</v>
      </c>
      <c r="F12206" t="s">
        <v>11610</v>
      </c>
      <c r="L12206">
        <v>0</v>
      </c>
      <c r="M12206">
        <v>0</v>
      </c>
      <c r="N12206">
        <v>0</v>
      </c>
    </row>
    <row r="12207" spans="1:15">
      <c r="A12207" t="s">
        <v>42517</v>
      </c>
      <c r="B12207" t="s">
        <v>367</v>
      </c>
      <c r="C12207" t="s">
        <v>30853</v>
      </c>
      <c r="D12207" t="s">
        <v>42518</v>
      </c>
      <c r="E12207" t="b">
        <v>0</v>
      </c>
      <c r="F12207" t="s">
        <v>11610</v>
      </c>
      <c r="L12207">
        <v>0</v>
      </c>
      <c r="M12207">
        <v>0</v>
      </c>
      <c r="N12207">
        <v>0</v>
      </c>
    </row>
    <row r="12208" spans="1:15">
      <c r="A12208" t="s">
        <v>42519</v>
      </c>
      <c r="B12208" t="s">
        <v>11839</v>
      </c>
      <c r="C12208" t="s">
        <v>37033</v>
      </c>
      <c r="D12208" t="s">
        <v>42520</v>
      </c>
      <c r="E12208" t="b">
        <v>0</v>
      </c>
      <c r="F12208" t="s">
        <v>11610</v>
      </c>
      <c r="L12208">
        <v>0</v>
      </c>
      <c r="M12208">
        <v>0</v>
      </c>
      <c r="N12208">
        <v>0</v>
      </c>
    </row>
    <row r="12209" spans="1:15">
      <c r="A12209" t="s">
        <v>42521</v>
      </c>
      <c r="B12209" t="s">
        <v>12532</v>
      </c>
      <c r="C12209" t="s">
        <v>15214</v>
      </c>
      <c r="D12209" t="s">
        <v>42522</v>
      </c>
      <c r="E12209" t="b">
        <v>0</v>
      </c>
      <c r="F12209" t="s">
        <v>11624</v>
      </c>
      <c r="G12209">
        <v>-2.9914499999999999</v>
      </c>
      <c r="H12209">
        <v>141.02000000000001</v>
      </c>
      <c r="I12209" t="s">
        <v>42523</v>
      </c>
      <c r="L12209">
        <v>0</v>
      </c>
      <c r="M12209">
        <v>0</v>
      </c>
      <c r="N12209">
        <v>0</v>
      </c>
      <c r="O12209" t="s">
        <v>24525</v>
      </c>
    </row>
    <row r="12210" spans="1:15">
      <c r="A12210" t="s">
        <v>26134</v>
      </c>
      <c r="B12210" t="s">
        <v>13276</v>
      </c>
      <c r="C12210" t="s">
        <v>16407</v>
      </c>
      <c r="D12210" t="s">
        <v>42524</v>
      </c>
      <c r="E12210" t="b">
        <v>0</v>
      </c>
      <c r="F12210" t="s">
        <v>11622</v>
      </c>
      <c r="L12210">
        <v>0</v>
      </c>
      <c r="M12210">
        <v>4</v>
      </c>
      <c r="N12210">
        <v>4</v>
      </c>
    </row>
    <row r="12211" spans="1:15">
      <c r="A12211" t="s">
        <v>17307</v>
      </c>
      <c r="B12211" t="s">
        <v>6742</v>
      </c>
      <c r="C12211" t="s">
        <v>15760</v>
      </c>
      <c r="D12211" t="s">
        <v>42525</v>
      </c>
      <c r="E12211" t="b">
        <v>0</v>
      </c>
      <c r="F12211" t="s">
        <v>11622</v>
      </c>
      <c r="L12211">
        <v>1</v>
      </c>
      <c r="M12211">
        <v>4</v>
      </c>
      <c r="N12211">
        <v>18</v>
      </c>
    </row>
    <row r="12212" spans="1:15">
      <c r="A12212" t="s">
        <v>42526</v>
      </c>
      <c r="B12212" t="s">
        <v>13360</v>
      </c>
      <c r="C12212" t="s">
        <v>13360</v>
      </c>
      <c r="D12212" t="s">
        <v>42527</v>
      </c>
      <c r="E12212" t="b">
        <v>0</v>
      </c>
      <c r="F12212" t="s">
        <v>11624</v>
      </c>
      <c r="L12212">
        <v>0</v>
      </c>
      <c r="M12212">
        <v>0</v>
      </c>
      <c r="N12212">
        <v>0</v>
      </c>
      <c r="O12212" t="s">
        <v>11625</v>
      </c>
    </row>
    <row r="12213" spans="1:15">
      <c r="A12213" t="s">
        <v>42528</v>
      </c>
      <c r="B12213" t="s">
        <v>11637</v>
      </c>
      <c r="C12213" t="s">
        <v>17020</v>
      </c>
      <c r="D12213" t="s">
        <v>42529</v>
      </c>
      <c r="E12213" t="b">
        <v>0</v>
      </c>
      <c r="F12213" t="s">
        <v>11610</v>
      </c>
      <c r="L12213">
        <v>0</v>
      </c>
      <c r="M12213">
        <v>0</v>
      </c>
      <c r="N12213">
        <v>0</v>
      </c>
    </row>
    <row r="12214" spans="1:15">
      <c r="A12214" t="s">
        <v>19323</v>
      </c>
      <c r="B12214" t="s">
        <v>12438</v>
      </c>
      <c r="C12214" t="s">
        <v>12438</v>
      </c>
      <c r="D12214" t="s">
        <v>42530</v>
      </c>
      <c r="E12214" t="b">
        <v>0</v>
      </c>
      <c r="F12214" t="s">
        <v>11622</v>
      </c>
      <c r="L12214">
        <v>1</v>
      </c>
      <c r="M12214">
        <v>3</v>
      </c>
      <c r="N12214">
        <v>0</v>
      </c>
    </row>
    <row r="12215" spans="1:15">
      <c r="A12215" t="s">
        <v>42531</v>
      </c>
      <c r="B12215" t="s">
        <v>12438</v>
      </c>
      <c r="C12215" t="s">
        <v>19323</v>
      </c>
      <c r="D12215" t="s">
        <v>42532</v>
      </c>
      <c r="E12215" t="b">
        <v>0</v>
      </c>
      <c r="F12215" t="s">
        <v>11624</v>
      </c>
      <c r="G12215">
        <v>21.430499999999999</v>
      </c>
      <c r="H12215">
        <v>102.133</v>
      </c>
      <c r="I12215" t="s">
        <v>42533</v>
      </c>
      <c r="L12215">
        <v>0</v>
      </c>
      <c r="M12215">
        <v>0</v>
      </c>
      <c r="N12215">
        <v>0</v>
      </c>
      <c r="O12215" t="s">
        <v>42534</v>
      </c>
    </row>
    <row r="12216" spans="1:15">
      <c r="A12216" t="s">
        <v>42535</v>
      </c>
      <c r="B12216" t="s">
        <v>12438</v>
      </c>
      <c r="C12216" t="s">
        <v>19920</v>
      </c>
      <c r="D12216" t="s">
        <v>42536</v>
      </c>
      <c r="E12216" t="b">
        <v>0</v>
      </c>
      <c r="F12216" t="s">
        <v>11610</v>
      </c>
      <c r="L12216">
        <v>0</v>
      </c>
      <c r="M12216">
        <v>0</v>
      </c>
      <c r="N12216">
        <v>0</v>
      </c>
    </row>
    <row r="12217" spans="1:15">
      <c r="A12217" t="s">
        <v>42537</v>
      </c>
      <c r="B12217" t="s">
        <v>12963</v>
      </c>
      <c r="C12217" t="s">
        <v>12963</v>
      </c>
      <c r="D12217" t="s">
        <v>42538</v>
      </c>
      <c r="E12217" t="b">
        <v>0</v>
      </c>
      <c r="F12217" t="s">
        <v>11624</v>
      </c>
      <c r="G12217">
        <v>-14.7982</v>
      </c>
      <c r="H12217">
        <v>133.803</v>
      </c>
      <c r="I12217" t="s">
        <v>42539</v>
      </c>
      <c r="L12217">
        <v>0</v>
      </c>
      <c r="M12217">
        <v>0</v>
      </c>
      <c r="N12217">
        <v>0</v>
      </c>
      <c r="O12217" t="s">
        <v>12107</v>
      </c>
    </row>
    <row r="12218" spans="1:15">
      <c r="A12218" t="s">
        <v>42540</v>
      </c>
      <c r="B12218" t="s">
        <v>27354</v>
      </c>
      <c r="C12218" t="s">
        <v>27354</v>
      </c>
      <c r="D12218" t="s">
        <v>42541</v>
      </c>
      <c r="E12218" t="b">
        <v>0</v>
      </c>
      <c r="F12218" t="s">
        <v>11624</v>
      </c>
      <c r="G12218">
        <v>-12.239100000000001</v>
      </c>
      <c r="H12218">
        <v>132.97300000000001</v>
      </c>
      <c r="I12218" t="s">
        <v>42542</v>
      </c>
      <c r="L12218">
        <v>0</v>
      </c>
      <c r="M12218">
        <v>0</v>
      </c>
      <c r="N12218">
        <v>0</v>
      </c>
      <c r="O12218" t="s">
        <v>12107</v>
      </c>
    </row>
    <row r="12219" spans="1:15">
      <c r="A12219" t="s">
        <v>42543</v>
      </c>
      <c r="B12219" t="s">
        <v>10597</v>
      </c>
      <c r="C12219" t="s">
        <v>35055</v>
      </c>
      <c r="D12219" t="s">
        <v>42544</v>
      </c>
      <c r="E12219" t="b">
        <v>0</v>
      </c>
      <c r="F12219" t="s">
        <v>11624</v>
      </c>
      <c r="G12219">
        <v>-18.659700000000001</v>
      </c>
      <c r="H12219">
        <v>123.76900000000001</v>
      </c>
      <c r="I12219" t="s">
        <v>42545</v>
      </c>
      <c r="L12219">
        <v>0</v>
      </c>
      <c r="M12219">
        <v>0</v>
      </c>
      <c r="N12219">
        <v>0</v>
      </c>
      <c r="O12219" t="s">
        <v>12107</v>
      </c>
    </row>
    <row r="12220" spans="1:15">
      <c r="A12220" t="s">
        <v>42546</v>
      </c>
      <c r="B12220" t="s">
        <v>10597</v>
      </c>
      <c r="C12220" t="s">
        <v>30103</v>
      </c>
      <c r="D12220" t="s">
        <v>42547</v>
      </c>
      <c r="E12220" t="b">
        <v>0</v>
      </c>
      <c r="F12220" t="s">
        <v>11610</v>
      </c>
      <c r="L12220">
        <v>0</v>
      </c>
      <c r="M12220">
        <v>0</v>
      </c>
      <c r="N12220">
        <v>0</v>
      </c>
    </row>
    <row r="12221" spans="1:15">
      <c r="A12221" t="s">
        <v>42548</v>
      </c>
      <c r="B12221" t="s">
        <v>10597</v>
      </c>
      <c r="C12221" t="s">
        <v>30184</v>
      </c>
      <c r="D12221" t="s">
        <v>42549</v>
      </c>
      <c r="E12221" t="b">
        <v>0</v>
      </c>
      <c r="F12221" t="s">
        <v>11610</v>
      </c>
      <c r="L12221">
        <v>0</v>
      </c>
      <c r="M12221">
        <v>0</v>
      </c>
      <c r="N12221">
        <v>0</v>
      </c>
    </row>
    <row r="12222" spans="1:15">
      <c r="A12222" t="s">
        <v>42550</v>
      </c>
      <c r="B12222" t="s">
        <v>6742</v>
      </c>
      <c r="C12222" t="s">
        <v>25251</v>
      </c>
      <c r="D12222" t="s">
        <v>42551</v>
      </c>
      <c r="E12222" t="b">
        <v>0</v>
      </c>
      <c r="F12222" t="s">
        <v>11610</v>
      </c>
      <c r="L12222">
        <v>0</v>
      </c>
      <c r="M12222">
        <v>0</v>
      </c>
      <c r="N12222">
        <v>0</v>
      </c>
    </row>
    <row r="12223" spans="1:15">
      <c r="A12223" t="s">
        <v>42552</v>
      </c>
      <c r="B12223" t="s">
        <v>6742</v>
      </c>
      <c r="C12223" t="s">
        <v>27813</v>
      </c>
      <c r="D12223" t="s">
        <v>42553</v>
      </c>
      <c r="E12223" t="b">
        <v>0</v>
      </c>
      <c r="F12223" t="s">
        <v>11624</v>
      </c>
      <c r="G12223">
        <v>8.3802299999999992</v>
      </c>
      <c r="H12223">
        <v>25.9024</v>
      </c>
      <c r="I12223" t="s">
        <v>42554</v>
      </c>
      <c r="L12223">
        <v>0</v>
      </c>
      <c r="M12223">
        <v>0</v>
      </c>
      <c r="N12223">
        <v>0</v>
      </c>
      <c r="O12223" t="s">
        <v>11910</v>
      </c>
    </row>
    <row r="12224" spans="1:15">
      <c r="A12224" t="s">
        <v>42555</v>
      </c>
      <c r="B12224" t="s">
        <v>6742</v>
      </c>
      <c r="C12224" t="s">
        <v>19086</v>
      </c>
      <c r="D12224" t="s">
        <v>42556</v>
      </c>
      <c r="E12224" t="b">
        <v>0</v>
      </c>
      <c r="F12224" t="s">
        <v>11610</v>
      </c>
      <c r="L12224">
        <v>0</v>
      </c>
      <c r="M12224">
        <v>0</v>
      </c>
      <c r="N12224">
        <v>0</v>
      </c>
    </row>
    <row r="12225" spans="1:15">
      <c r="A12225" t="s">
        <v>42557</v>
      </c>
      <c r="B12225" t="s">
        <v>6742</v>
      </c>
      <c r="C12225" t="s">
        <v>34100</v>
      </c>
      <c r="D12225" t="s">
        <v>42558</v>
      </c>
      <c r="E12225" t="b">
        <v>0</v>
      </c>
      <c r="F12225" t="s">
        <v>11610</v>
      </c>
      <c r="L12225">
        <v>0</v>
      </c>
      <c r="M12225">
        <v>0</v>
      </c>
      <c r="N12225">
        <v>0</v>
      </c>
    </row>
    <row r="12226" spans="1:15">
      <c r="A12226" t="s">
        <v>42559</v>
      </c>
      <c r="B12226" t="s">
        <v>6742</v>
      </c>
      <c r="C12226" t="s">
        <v>4066</v>
      </c>
      <c r="D12226" t="s">
        <v>42560</v>
      </c>
      <c r="E12226" t="b">
        <v>0</v>
      </c>
      <c r="F12226" t="s">
        <v>11610</v>
      </c>
      <c r="L12226">
        <v>0</v>
      </c>
      <c r="M12226">
        <v>0</v>
      </c>
      <c r="N12226">
        <v>0</v>
      </c>
    </row>
    <row r="12227" spans="1:15">
      <c r="A12227" t="s">
        <v>42561</v>
      </c>
      <c r="B12227" t="s">
        <v>6742</v>
      </c>
      <c r="C12227" t="s">
        <v>3999</v>
      </c>
      <c r="D12227" t="s">
        <v>42562</v>
      </c>
      <c r="E12227" t="b">
        <v>0</v>
      </c>
      <c r="F12227" t="s">
        <v>11610</v>
      </c>
      <c r="L12227">
        <v>0</v>
      </c>
      <c r="M12227">
        <v>0</v>
      </c>
      <c r="N12227">
        <v>0</v>
      </c>
    </row>
    <row r="12228" spans="1:15">
      <c r="A12228" t="s">
        <v>42563</v>
      </c>
      <c r="B12228" t="s">
        <v>6742</v>
      </c>
      <c r="C12228" t="s">
        <v>12956</v>
      </c>
      <c r="D12228" t="s">
        <v>42564</v>
      </c>
      <c r="E12228" t="b">
        <v>0</v>
      </c>
      <c r="F12228" t="s">
        <v>11610</v>
      </c>
      <c r="L12228">
        <v>0</v>
      </c>
      <c r="M12228">
        <v>0</v>
      </c>
      <c r="N12228">
        <v>0</v>
      </c>
    </row>
    <row r="12229" spans="1:15">
      <c r="A12229" t="s">
        <v>40582</v>
      </c>
      <c r="B12229" t="s">
        <v>11729</v>
      </c>
      <c r="C12229" t="s">
        <v>11729</v>
      </c>
      <c r="D12229" t="s">
        <v>42565</v>
      </c>
      <c r="E12229" t="b">
        <v>0</v>
      </c>
      <c r="F12229" t="s">
        <v>11622</v>
      </c>
      <c r="L12229">
        <v>1</v>
      </c>
      <c r="M12229">
        <v>3</v>
      </c>
      <c r="N12229">
        <v>5</v>
      </c>
    </row>
    <row r="12230" spans="1:15">
      <c r="A12230" t="s">
        <v>41903</v>
      </c>
      <c r="B12230" t="s">
        <v>11729</v>
      </c>
      <c r="C12230" t="s">
        <v>14822</v>
      </c>
      <c r="D12230" t="s">
        <v>42566</v>
      </c>
      <c r="E12230" t="b">
        <v>0</v>
      </c>
      <c r="F12230" t="s">
        <v>11624</v>
      </c>
      <c r="G12230">
        <v>2.5510999999999999</v>
      </c>
      <c r="H12230">
        <v>27.071200000000001</v>
      </c>
      <c r="I12230" t="s">
        <v>42567</v>
      </c>
      <c r="L12230">
        <v>0</v>
      </c>
      <c r="M12230">
        <v>0</v>
      </c>
      <c r="N12230">
        <v>5</v>
      </c>
      <c r="O12230" t="s">
        <v>14825</v>
      </c>
    </row>
    <row r="12231" spans="1:15">
      <c r="A12231" t="s">
        <v>13730</v>
      </c>
      <c r="B12231" t="s">
        <v>11729</v>
      </c>
      <c r="C12231" t="s">
        <v>39929</v>
      </c>
      <c r="D12231" t="s">
        <v>42568</v>
      </c>
      <c r="E12231" t="b">
        <v>0</v>
      </c>
      <c r="F12231" t="s">
        <v>11624</v>
      </c>
      <c r="G12231">
        <v>2.7477900000000002</v>
      </c>
      <c r="H12231">
        <v>29.735800000000001</v>
      </c>
      <c r="I12231" t="s">
        <v>42569</v>
      </c>
      <c r="L12231">
        <v>0</v>
      </c>
      <c r="M12231">
        <v>0</v>
      </c>
      <c r="N12231">
        <v>3</v>
      </c>
      <c r="O12231" t="s">
        <v>14825</v>
      </c>
    </row>
    <row r="12232" spans="1:15">
      <c r="A12232" t="s">
        <v>42570</v>
      </c>
      <c r="B12232" t="s">
        <v>11729</v>
      </c>
      <c r="C12232" t="s">
        <v>17894</v>
      </c>
      <c r="D12232" t="s">
        <v>42571</v>
      </c>
      <c r="E12232" t="b">
        <v>0</v>
      </c>
      <c r="F12232" t="s">
        <v>11610</v>
      </c>
      <c r="L12232">
        <v>0</v>
      </c>
      <c r="M12232">
        <v>0</v>
      </c>
      <c r="N12232">
        <v>0</v>
      </c>
    </row>
    <row r="12233" spans="1:15">
      <c r="A12233" t="s">
        <v>42572</v>
      </c>
      <c r="B12233" t="s">
        <v>11729</v>
      </c>
      <c r="C12233" t="s">
        <v>17693</v>
      </c>
      <c r="D12233" t="s">
        <v>42573</v>
      </c>
      <c r="E12233" t="b">
        <v>0</v>
      </c>
      <c r="F12233" t="s">
        <v>11624</v>
      </c>
      <c r="G12233">
        <v>8.7588399999999993</v>
      </c>
      <c r="H12233">
        <v>16.908200000000001</v>
      </c>
      <c r="I12233" t="s">
        <v>42574</v>
      </c>
      <c r="L12233">
        <v>0</v>
      </c>
      <c r="M12233">
        <v>0</v>
      </c>
      <c r="N12233">
        <v>0</v>
      </c>
      <c r="O12233" t="s">
        <v>13421</v>
      </c>
    </row>
    <row r="12234" spans="1:15">
      <c r="A12234" t="s">
        <v>23794</v>
      </c>
      <c r="B12234" t="s">
        <v>13967</v>
      </c>
      <c r="C12234" t="s">
        <v>18617</v>
      </c>
      <c r="D12234" t="s">
        <v>42575</v>
      </c>
      <c r="E12234" t="b">
        <v>0</v>
      </c>
      <c r="F12234" t="s">
        <v>11624</v>
      </c>
      <c r="G12234">
        <v>13.557</v>
      </c>
      <c r="H12234">
        <v>10.701000000000001</v>
      </c>
      <c r="I12234" t="s">
        <v>42576</v>
      </c>
      <c r="L12234">
        <v>0</v>
      </c>
      <c r="M12234">
        <v>0</v>
      </c>
      <c r="N12234">
        <v>2</v>
      </c>
      <c r="O12234" t="s">
        <v>42577</v>
      </c>
    </row>
    <row r="12235" spans="1:15">
      <c r="A12235" t="s">
        <v>42578</v>
      </c>
      <c r="B12235" t="s">
        <v>13967</v>
      </c>
      <c r="C12235" t="s">
        <v>23794</v>
      </c>
      <c r="D12235" t="s">
        <v>42579</v>
      </c>
      <c r="E12235" t="b">
        <v>0</v>
      </c>
      <c r="F12235" t="s">
        <v>11610</v>
      </c>
      <c r="L12235">
        <v>0</v>
      </c>
      <c r="M12235">
        <v>0</v>
      </c>
      <c r="N12235">
        <v>0</v>
      </c>
    </row>
    <row r="12236" spans="1:15">
      <c r="A12236" t="s">
        <v>1955</v>
      </c>
      <c r="B12236" t="s">
        <v>367</v>
      </c>
      <c r="C12236" t="s">
        <v>21542</v>
      </c>
      <c r="D12236" t="s">
        <v>1954</v>
      </c>
      <c r="E12236" t="b">
        <v>0</v>
      </c>
      <c r="F12236" t="s">
        <v>11624</v>
      </c>
      <c r="G12236">
        <v>-23.109500000000001</v>
      </c>
      <c r="H12236">
        <v>-134.97</v>
      </c>
      <c r="I12236" t="s">
        <v>1956</v>
      </c>
      <c r="L12236">
        <v>0</v>
      </c>
      <c r="M12236">
        <v>0</v>
      </c>
      <c r="N12236">
        <v>0</v>
      </c>
      <c r="O12236" t="s">
        <v>15193</v>
      </c>
    </row>
    <row r="12237" spans="1:15">
      <c r="A12237" t="s">
        <v>42580</v>
      </c>
      <c r="B12237" t="s">
        <v>367</v>
      </c>
      <c r="C12237" t="s">
        <v>1970</v>
      </c>
      <c r="D12237" t="s">
        <v>42581</v>
      </c>
      <c r="E12237" t="b">
        <v>0</v>
      </c>
      <c r="F12237" t="s">
        <v>11610</v>
      </c>
      <c r="L12237">
        <v>0</v>
      </c>
      <c r="M12237">
        <v>0</v>
      </c>
      <c r="N12237">
        <v>0</v>
      </c>
    </row>
    <row r="12238" spans="1:15">
      <c r="A12238" t="s">
        <v>42582</v>
      </c>
      <c r="B12238" t="s">
        <v>367</v>
      </c>
      <c r="C12238" t="s">
        <v>17658</v>
      </c>
      <c r="D12238" t="s">
        <v>42583</v>
      </c>
      <c r="E12238" t="b">
        <v>0</v>
      </c>
      <c r="F12238" t="s">
        <v>11624</v>
      </c>
      <c r="G12238">
        <v>-5.8975200000000001</v>
      </c>
      <c r="H12238">
        <v>150.68</v>
      </c>
      <c r="I12238" t="s">
        <v>42584</v>
      </c>
      <c r="L12238">
        <v>0</v>
      </c>
      <c r="M12238">
        <v>0</v>
      </c>
      <c r="N12238">
        <v>2</v>
      </c>
      <c r="O12238" t="s">
        <v>11660</v>
      </c>
    </row>
    <row r="12239" spans="1:15">
      <c r="A12239" t="s">
        <v>38680</v>
      </c>
      <c r="B12239" t="s">
        <v>367</v>
      </c>
      <c r="C12239" t="s">
        <v>19970</v>
      </c>
      <c r="D12239" t="s">
        <v>42585</v>
      </c>
      <c r="E12239" t="b">
        <v>0</v>
      </c>
      <c r="F12239" t="s">
        <v>11624</v>
      </c>
      <c r="G12239">
        <v>-6.9989100000000004</v>
      </c>
      <c r="H12239">
        <v>146.685</v>
      </c>
      <c r="I12239" t="s">
        <v>42586</v>
      </c>
      <c r="L12239">
        <v>0</v>
      </c>
      <c r="M12239">
        <v>0</v>
      </c>
      <c r="N12239">
        <v>2</v>
      </c>
      <c r="O12239" t="s">
        <v>11660</v>
      </c>
    </row>
    <row r="12240" spans="1:15">
      <c r="A12240" t="s">
        <v>5503</v>
      </c>
      <c r="B12240" t="s">
        <v>367</v>
      </c>
      <c r="C12240" t="s">
        <v>42587</v>
      </c>
      <c r="D12240" t="s">
        <v>5502</v>
      </c>
      <c r="E12240" t="b">
        <v>0</v>
      </c>
      <c r="F12240" t="s">
        <v>11624</v>
      </c>
      <c r="G12240">
        <v>-8.55748</v>
      </c>
      <c r="H12240">
        <v>120.32899999999999</v>
      </c>
      <c r="I12240" t="s">
        <v>5505</v>
      </c>
      <c r="L12240">
        <v>0</v>
      </c>
      <c r="M12240">
        <v>0</v>
      </c>
      <c r="N12240">
        <v>4</v>
      </c>
      <c r="O12240" t="s">
        <v>11768</v>
      </c>
    </row>
    <row r="12241" spans="1:15">
      <c r="A12241" t="s">
        <v>42588</v>
      </c>
      <c r="B12241" t="s">
        <v>367</v>
      </c>
      <c r="C12241" t="s">
        <v>5574</v>
      </c>
      <c r="D12241" t="s">
        <v>42589</v>
      </c>
      <c r="E12241" t="b">
        <v>0</v>
      </c>
      <c r="F12241" t="s">
        <v>11610</v>
      </c>
      <c r="L12241">
        <v>0</v>
      </c>
      <c r="M12241">
        <v>0</v>
      </c>
      <c r="N12241">
        <v>0</v>
      </c>
    </row>
    <row r="12242" spans="1:15">
      <c r="A12242" t="s">
        <v>42590</v>
      </c>
      <c r="B12242" t="s">
        <v>367</v>
      </c>
      <c r="C12242" t="s">
        <v>42396</v>
      </c>
      <c r="D12242" t="s">
        <v>42591</v>
      </c>
      <c r="E12242" t="b">
        <v>0</v>
      </c>
      <c r="F12242" t="s">
        <v>11610</v>
      </c>
      <c r="L12242">
        <v>0</v>
      </c>
      <c r="M12242">
        <v>0</v>
      </c>
      <c r="N12242">
        <v>0</v>
      </c>
    </row>
    <row r="12243" spans="1:15">
      <c r="A12243" t="s">
        <v>42592</v>
      </c>
      <c r="B12243" t="s">
        <v>367</v>
      </c>
      <c r="C12243" t="s">
        <v>42593</v>
      </c>
      <c r="D12243" t="s">
        <v>42594</v>
      </c>
      <c r="E12243" t="b">
        <v>0</v>
      </c>
      <c r="F12243" t="s">
        <v>11624</v>
      </c>
      <c r="G12243">
        <v>-1.87941</v>
      </c>
      <c r="H12243">
        <v>125.822</v>
      </c>
      <c r="I12243" t="s">
        <v>42595</v>
      </c>
      <c r="L12243">
        <v>0</v>
      </c>
      <c r="M12243">
        <v>0</v>
      </c>
      <c r="N12243">
        <v>0</v>
      </c>
      <c r="O12243" t="s">
        <v>11768</v>
      </c>
    </row>
    <row r="12244" spans="1:15">
      <c r="A12244" t="s">
        <v>42596</v>
      </c>
      <c r="B12244" t="s">
        <v>367</v>
      </c>
      <c r="C12244" t="s">
        <v>42597</v>
      </c>
      <c r="D12244" t="s">
        <v>42598</v>
      </c>
      <c r="E12244" t="b">
        <v>0</v>
      </c>
      <c r="F12244" t="s">
        <v>11610</v>
      </c>
      <c r="L12244">
        <v>0</v>
      </c>
      <c r="M12244">
        <v>0</v>
      </c>
      <c r="N12244">
        <v>0</v>
      </c>
    </row>
    <row r="12245" spans="1:15">
      <c r="A12245" t="s">
        <v>42599</v>
      </c>
      <c r="B12245" t="s">
        <v>367</v>
      </c>
      <c r="C12245" t="s">
        <v>38882</v>
      </c>
      <c r="D12245" t="s">
        <v>42600</v>
      </c>
      <c r="E12245" t="b">
        <v>0</v>
      </c>
      <c r="F12245" t="s">
        <v>11610</v>
      </c>
      <c r="L12245">
        <v>0</v>
      </c>
      <c r="M12245">
        <v>0</v>
      </c>
      <c r="N12245">
        <v>0</v>
      </c>
    </row>
    <row r="12246" spans="1:15">
      <c r="A12246" t="s">
        <v>42601</v>
      </c>
      <c r="B12246" t="s">
        <v>367</v>
      </c>
      <c r="C12246" t="s">
        <v>19444</v>
      </c>
      <c r="D12246" t="s">
        <v>42602</v>
      </c>
      <c r="E12246" t="b">
        <v>0</v>
      </c>
      <c r="F12246" t="s">
        <v>11610</v>
      </c>
      <c r="L12246">
        <v>0</v>
      </c>
      <c r="M12246">
        <v>0</v>
      </c>
      <c r="N12246">
        <v>0</v>
      </c>
    </row>
    <row r="12247" spans="1:15">
      <c r="A12247" t="s">
        <v>42603</v>
      </c>
      <c r="B12247" t="s">
        <v>11607</v>
      </c>
      <c r="C12247" t="s">
        <v>36628</v>
      </c>
      <c r="D12247" t="s">
        <v>42604</v>
      </c>
      <c r="E12247" t="b">
        <v>0</v>
      </c>
      <c r="F12247" t="s">
        <v>11624</v>
      </c>
      <c r="G12247">
        <v>10.0839</v>
      </c>
      <c r="H12247">
        <v>9.7610299999999999</v>
      </c>
      <c r="I12247" t="s">
        <v>42605</v>
      </c>
      <c r="L12247">
        <v>0</v>
      </c>
      <c r="M12247">
        <v>0</v>
      </c>
      <c r="N12247">
        <v>0</v>
      </c>
      <c r="O12247" t="s">
        <v>11693</v>
      </c>
    </row>
    <row r="12248" spans="1:15">
      <c r="A12248" t="s">
        <v>42606</v>
      </c>
      <c r="B12248" t="s">
        <v>11607</v>
      </c>
      <c r="C12248" t="s">
        <v>38088</v>
      </c>
      <c r="D12248" t="s">
        <v>42607</v>
      </c>
      <c r="E12248" t="b">
        <v>0</v>
      </c>
      <c r="F12248" t="s">
        <v>11624</v>
      </c>
      <c r="G12248">
        <v>9.0680119999999995</v>
      </c>
      <c r="H12248">
        <v>8.7360799999999994</v>
      </c>
      <c r="L12248">
        <v>0</v>
      </c>
      <c r="M12248">
        <v>0</v>
      </c>
      <c r="N12248">
        <v>0</v>
      </c>
      <c r="O12248" t="s">
        <v>11693</v>
      </c>
    </row>
    <row r="12249" spans="1:15">
      <c r="A12249" t="s">
        <v>42608</v>
      </c>
      <c r="B12249" t="s">
        <v>11607</v>
      </c>
      <c r="C12249" t="s">
        <v>13139</v>
      </c>
      <c r="D12249" t="s">
        <v>42609</v>
      </c>
      <c r="E12249" t="b">
        <v>0</v>
      </c>
      <c r="F12249" t="s">
        <v>11610</v>
      </c>
      <c r="L12249">
        <v>0</v>
      </c>
      <c r="M12249">
        <v>0</v>
      </c>
      <c r="N12249">
        <v>0</v>
      </c>
    </row>
    <row r="12250" spans="1:15">
      <c r="A12250" t="s">
        <v>42610</v>
      </c>
      <c r="B12250" t="s">
        <v>13360</v>
      </c>
      <c r="C12250" t="s">
        <v>13360</v>
      </c>
      <c r="D12250" t="s">
        <v>42611</v>
      </c>
      <c r="E12250" t="b">
        <v>0</v>
      </c>
      <c r="F12250" t="s">
        <v>11624</v>
      </c>
      <c r="L12250">
        <v>0</v>
      </c>
      <c r="M12250">
        <v>0</v>
      </c>
      <c r="N12250">
        <v>0</v>
      </c>
      <c r="O12250" t="s">
        <v>11735</v>
      </c>
    </row>
    <row r="12251" spans="1:15">
      <c r="A12251" t="s">
        <v>12963</v>
      </c>
      <c r="D12251" t="s">
        <v>42612</v>
      </c>
      <c r="E12251" t="b">
        <v>0</v>
      </c>
      <c r="F12251" t="s">
        <v>11622</v>
      </c>
      <c r="L12251">
        <v>1</v>
      </c>
      <c r="M12251">
        <v>4</v>
      </c>
      <c r="N12251">
        <v>0</v>
      </c>
    </row>
    <row r="12252" spans="1:15">
      <c r="A12252" t="s">
        <v>14822</v>
      </c>
      <c r="B12252" t="s">
        <v>11729</v>
      </c>
      <c r="C12252" t="s">
        <v>40582</v>
      </c>
      <c r="D12252" t="s">
        <v>42613</v>
      </c>
      <c r="E12252" t="b">
        <v>0</v>
      </c>
      <c r="F12252" t="s">
        <v>11622</v>
      </c>
      <c r="L12252">
        <v>0</v>
      </c>
      <c r="M12252">
        <v>2</v>
      </c>
      <c r="N12252">
        <v>5</v>
      </c>
    </row>
    <row r="12253" spans="1:15">
      <c r="A12253" t="s">
        <v>39929</v>
      </c>
      <c r="B12253" t="s">
        <v>11729</v>
      </c>
      <c r="C12253" t="s">
        <v>42614</v>
      </c>
      <c r="D12253" t="s">
        <v>42615</v>
      </c>
      <c r="E12253" t="b">
        <v>0</v>
      </c>
      <c r="F12253" t="s">
        <v>11622</v>
      </c>
      <c r="L12253">
        <v>1</v>
      </c>
      <c r="M12253">
        <v>6</v>
      </c>
      <c r="N12253">
        <v>10</v>
      </c>
    </row>
    <row r="12254" spans="1:15">
      <c r="A12254" t="s">
        <v>22482</v>
      </c>
      <c r="B12254" t="s">
        <v>11879</v>
      </c>
      <c r="C12254" t="s">
        <v>42616</v>
      </c>
      <c r="D12254" t="s">
        <v>42617</v>
      </c>
      <c r="E12254" t="b">
        <v>0</v>
      </c>
      <c r="F12254" t="s">
        <v>11622</v>
      </c>
      <c r="L12254">
        <v>0</v>
      </c>
      <c r="M12254">
        <v>2</v>
      </c>
      <c r="N12254">
        <v>6</v>
      </c>
    </row>
    <row r="12255" spans="1:15">
      <c r="A12255" t="s">
        <v>42618</v>
      </c>
      <c r="B12255" t="s">
        <v>11644</v>
      </c>
      <c r="C12255" t="s">
        <v>41383</v>
      </c>
      <c r="D12255" t="s">
        <v>42619</v>
      </c>
      <c r="E12255" t="b">
        <v>0</v>
      </c>
      <c r="F12255" t="s">
        <v>11624</v>
      </c>
      <c r="G12255">
        <v>23.742269</v>
      </c>
      <c r="H12255">
        <v>105.431392</v>
      </c>
      <c r="L12255">
        <v>0</v>
      </c>
      <c r="M12255">
        <v>0</v>
      </c>
      <c r="N12255">
        <v>0</v>
      </c>
      <c r="O12255" t="s">
        <v>11905</v>
      </c>
    </row>
    <row r="12256" spans="1:15">
      <c r="A12256" t="s">
        <v>35913</v>
      </c>
      <c r="B12256" t="s">
        <v>367</v>
      </c>
      <c r="C12256" t="s">
        <v>27949</v>
      </c>
      <c r="D12256" t="s">
        <v>42620</v>
      </c>
      <c r="E12256" t="b">
        <v>0</v>
      </c>
      <c r="F12256" t="s">
        <v>11622</v>
      </c>
      <c r="L12256">
        <v>2</v>
      </c>
      <c r="M12256">
        <v>7</v>
      </c>
      <c r="N12256">
        <v>7</v>
      </c>
    </row>
    <row r="12257" spans="1:15">
      <c r="A12257" t="s">
        <v>42621</v>
      </c>
      <c r="B12257" t="s">
        <v>367</v>
      </c>
      <c r="C12257" t="s">
        <v>21542</v>
      </c>
      <c r="D12257" t="s">
        <v>42622</v>
      </c>
      <c r="E12257" t="b">
        <v>0</v>
      </c>
      <c r="F12257" t="s">
        <v>11622</v>
      </c>
      <c r="L12257">
        <v>0</v>
      </c>
      <c r="M12257">
        <v>2</v>
      </c>
      <c r="N12257">
        <v>6</v>
      </c>
    </row>
    <row r="12258" spans="1:15">
      <c r="A12258" t="s">
        <v>42623</v>
      </c>
      <c r="B12258" t="s">
        <v>12241</v>
      </c>
      <c r="C12258" t="s">
        <v>12241</v>
      </c>
      <c r="D12258" t="s">
        <v>42624</v>
      </c>
      <c r="E12258" t="b">
        <v>0</v>
      </c>
      <c r="F12258" t="s">
        <v>11622</v>
      </c>
      <c r="L12258">
        <v>0</v>
      </c>
      <c r="M12258">
        <v>1</v>
      </c>
      <c r="N12258">
        <v>0</v>
      </c>
    </row>
    <row r="12259" spans="1:15">
      <c r="A12259" t="s">
        <v>42587</v>
      </c>
      <c r="B12259" t="s">
        <v>367</v>
      </c>
      <c r="C12259" t="s">
        <v>35913</v>
      </c>
      <c r="D12259" t="s">
        <v>42625</v>
      </c>
      <c r="E12259" t="b">
        <v>0</v>
      </c>
      <c r="F12259" t="s">
        <v>11622</v>
      </c>
      <c r="L12259">
        <v>0</v>
      </c>
      <c r="M12259">
        <v>2</v>
      </c>
      <c r="N12259">
        <v>4</v>
      </c>
    </row>
    <row r="12260" spans="1:15">
      <c r="A12260" t="s">
        <v>42626</v>
      </c>
      <c r="B12260" t="s">
        <v>25799</v>
      </c>
      <c r="C12260" t="s">
        <v>25799</v>
      </c>
      <c r="D12260" t="s">
        <v>42627</v>
      </c>
      <c r="E12260" t="b">
        <v>0</v>
      </c>
      <c r="F12260" t="s">
        <v>11624</v>
      </c>
      <c r="G12260">
        <v>-1.4961100000000001</v>
      </c>
      <c r="H12260">
        <v>133.94999999999999</v>
      </c>
      <c r="I12260" t="s">
        <v>42628</v>
      </c>
      <c r="L12260">
        <v>0</v>
      </c>
      <c r="M12260">
        <v>0</v>
      </c>
      <c r="N12260">
        <v>0</v>
      </c>
      <c r="O12260" t="s">
        <v>11768</v>
      </c>
    </row>
    <row r="12261" spans="1:15">
      <c r="A12261" t="s">
        <v>42629</v>
      </c>
      <c r="B12261" t="s">
        <v>367</v>
      </c>
      <c r="C12261" t="s">
        <v>17378</v>
      </c>
      <c r="D12261" t="s">
        <v>42630</v>
      </c>
      <c r="E12261" t="b">
        <v>0</v>
      </c>
      <c r="F12261" t="s">
        <v>11610</v>
      </c>
      <c r="L12261">
        <v>0</v>
      </c>
      <c r="M12261">
        <v>0</v>
      </c>
      <c r="N12261">
        <v>0</v>
      </c>
    </row>
    <row r="12262" spans="1:15">
      <c r="A12262" t="s">
        <v>42631</v>
      </c>
      <c r="B12262" t="s">
        <v>12438</v>
      </c>
      <c r="C12262" t="s">
        <v>22447</v>
      </c>
      <c r="D12262" t="s">
        <v>42632</v>
      </c>
      <c r="E12262" t="b">
        <v>0</v>
      </c>
      <c r="F12262" t="s">
        <v>11622</v>
      </c>
      <c r="L12262">
        <v>3</v>
      </c>
      <c r="M12262">
        <v>8</v>
      </c>
      <c r="N12262">
        <v>14</v>
      </c>
    </row>
    <row r="12263" spans="1:15">
      <c r="A12263" t="s">
        <v>35860</v>
      </c>
      <c r="B12263" t="s">
        <v>12438</v>
      </c>
      <c r="C12263" t="s">
        <v>42631</v>
      </c>
      <c r="D12263" t="s">
        <v>42633</v>
      </c>
      <c r="E12263" t="b">
        <v>0</v>
      </c>
      <c r="F12263" t="s">
        <v>11622</v>
      </c>
      <c r="L12263">
        <v>0</v>
      </c>
      <c r="M12263">
        <v>3</v>
      </c>
      <c r="N12263">
        <v>10</v>
      </c>
    </row>
    <row r="12264" spans="1:15">
      <c r="A12264" t="s">
        <v>2166</v>
      </c>
      <c r="B12264" t="s">
        <v>11644</v>
      </c>
      <c r="C12264" t="s">
        <v>13813</v>
      </c>
      <c r="D12264" t="s">
        <v>42634</v>
      </c>
      <c r="E12264" t="b">
        <v>0</v>
      </c>
      <c r="F12264" t="s">
        <v>11624</v>
      </c>
      <c r="G12264">
        <v>24.440899999999999</v>
      </c>
      <c r="H12264">
        <v>93.342600000000004</v>
      </c>
      <c r="I12264" t="s">
        <v>2167</v>
      </c>
      <c r="L12264">
        <v>0</v>
      </c>
      <c r="M12264">
        <v>0</v>
      </c>
      <c r="N12264">
        <v>3</v>
      </c>
      <c r="O12264" t="s">
        <v>17541</v>
      </c>
    </row>
    <row r="12265" spans="1:15">
      <c r="A12265" t="s">
        <v>20424</v>
      </c>
      <c r="D12265" t="s">
        <v>42635</v>
      </c>
      <c r="E12265" t="b">
        <v>0</v>
      </c>
      <c r="F12265" t="s">
        <v>11622</v>
      </c>
      <c r="L12265">
        <v>2</v>
      </c>
      <c r="M12265">
        <v>4</v>
      </c>
      <c r="N12265">
        <v>3</v>
      </c>
    </row>
    <row r="12266" spans="1:15">
      <c r="A12266" t="s">
        <v>42636</v>
      </c>
      <c r="B12266" t="s">
        <v>6742</v>
      </c>
      <c r="C12266" t="s">
        <v>26797</v>
      </c>
      <c r="D12266" t="s">
        <v>42637</v>
      </c>
      <c r="E12266" t="b">
        <v>0</v>
      </c>
      <c r="F12266" t="s">
        <v>11624</v>
      </c>
      <c r="G12266">
        <v>8.83338</v>
      </c>
      <c r="H12266">
        <v>1.69523</v>
      </c>
      <c r="I12266" t="s">
        <v>42638</v>
      </c>
      <c r="L12266">
        <v>0</v>
      </c>
      <c r="M12266">
        <v>0</v>
      </c>
      <c r="N12266">
        <v>0</v>
      </c>
      <c r="O12266" t="s">
        <v>12394</v>
      </c>
    </row>
    <row r="12267" spans="1:15">
      <c r="A12267" t="s">
        <v>42639</v>
      </c>
      <c r="B12267" t="s">
        <v>367</v>
      </c>
      <c r="C12267" t="s">
        <v>41100</v>
      </c>
      <c r="D12267" t="s">
        <v>42640</v>
      </c>
      <c r="E12267" t="b">
        <v>0</v>
      </c>
      <c r="F12267" t="s">
        <v>11624</v>
      </c>
      <c r="G12267">
        <v>-3.30342</v>
      </c>
      <c r="H12267">
        <v>127.565</v>
      </c>
      <c r="I12267" t="s">
        <v>42641</v>
      </c>
      <c r="L12267">
        <v>0</v>
      </c>
      <c r="M12267">
        <v>0</v>
      </c>
      <c r="N12267">
        <v>0</v>
      </c>
      <c r="O12267" t="s">
        <v>11768</v>
      </c>
    </row>
    <row r="12268" spans="1:15">
      <c r="A12268" t="s">
        <v>42642</v>
      </c>
      <c r="B12268" t="s">
        <v>23796</v>
      </c>
      <c r="C12268" t="s">
        <v>28337</v>
      </c>
      <c r="D12268" t="s">
        <v>42643</v>
      </c>
      <c r="E12268" t="b">
        <v>0</v>
      </c>
      <c r="F12268" t="s">
        <v>11610</v>
      </c>
      <c r="L12268">
        <v>0</v>
      </c>
      <c r="M12268">
        <v>0</v>
      </c>
      <c r="N12268">
        <v>0</v>
      </c>
    </row>
    <row r="12269" spans="1:15">
      <c r="A12269" t="s">
        <v>37509</v>
      </c>
      <c r="B12269" t="s">
        <v>13276</v>
      </c>
      <c r="C12269" t="s">
        <v>16407</v>
      </c>
      <c r="D12269" t="s">
        <v>42644</v>
      </c>
      <c r="E12269" t="b">
        <v>0</v>
      </c>
      <c r="F12269" t="s">
        <v>11622</v>
      </c>
      <c r="L12269">
        <v>1</v>
      </c>
      <c r="M12269">
        <v>5</v>
      </c>
      <c r="N12269">
        <v>19</v>
      </c>
    </row>
    <row r="12270" spans="1:15">
      <c r="A12270" t="s">
        <v>21124</v>
      </c>
      <c r="B12270" t="s">
        <v>11637</v>
      </c>
      <c r="C12270" t="s">
        <v>4958</v>
      </c>
      <c r="D12270" t="s">
        <v>42645</v>
      </c>
      <c r="E12270" t="b">
        <v>0</v>
      </c>
      <c r="F12270" t="s">
        <v>11610</v>
      </c>
      <c r="L12270">
        <v>0</v>
      </c>
      <c r="M12270">
        <v>0</v>
      </c>
      <c r="N12270">
        <v>2</v>
      </c>
    </row>
    <row r="12271" spans="1:15">
      <c r="A12271" t="s">
        <v>42646</v>
      </c>
      <c r="B12271" t="s">
        <v>11637</v>
      </c>
      <c r="C12271" t="s">
        <v>21124</v>
      </c>
      <c r="D12271" t="s">
        <v>42647</v>
      </c>
      <c r="E12271" t="b">
        <v>0</v>
      </c>
      <c r="F12271" t="s">
        <v>11610</v>
      </c>
      <c r="L12271">
        <v>0</v>
      </c>
      <c r="M12271">
        <v>0</v>
      </c>
      <c r="N12271">
        <v>0</v>
      </c>
    </row>
    <row r="12272" spans="1:15">
      <c r="A12272" t="s">
        <v>42648</v>
      </c>
      <c r="B12272" t="s">
        <v>11981</v>
      </c>
      <c r="C12272" t="s">
        <v>42649</v>
      </c>
      <c r="D12272" t="s">
        <v>42650</v>
      </c>
      <c r="E12272" t="b">
        <v>0</v>
      </c>
      <c r="F12272" t="s">
        <v>11610</v>
      </c>
      <c r="L12272">
        <v>0</v>
      </c>
      <c r="M12272">
        <v>0</v>
      </c>
      <c r="N12272">
        <v>0</v>
      </c>
    </row>
    <row r="12273" spans="1:15">
      <c r="A12273" t="s">
        <v>42651</v>
      </c>
      <c r="B12273" t="s">
        <v>12438</v>
      </c>
      <c r="C12273" t="s">
        <v>14923</v>
      </c>
      <c r="D12273" t="s">
        <v>42652</v>
      </c>
      <c r="E12273" t="b">
        <v>0</v>
      </c>
      <c r="F12273" t="s">
        <v>11610</v>
      </c>
      <c r="L12273">
        <v>0</v>
      </c>
      <c r="M12273">
        <v>0</v>
      </c>
      <c r="N12273">
        <v>0</v>
      </c>
    </row>
    <row r="12274" spans="1:15">
      <c r="A12274" t="s">
        <v>42653</v>
      </c>
      <c r="B12274" t="s">
        <v>12438</v>
      </c>
      <c r="C12274" t="s">
        <v>34501</v>
      </c>
      <c r="D12274" t="s">
        <v>42654</v>
      </c>
      <c r="E12274" t="b">
        <v>0</v>
      </c>
      <c r="F12274" t="s">
        <v>11610</v>
      </c>
      <c r="L12274">
        <v>0</v>
      </c>
      <c r="M12274">
        <v>0</v>
      </c>
      <c r="N12274">
        <v>0</v>
      </c>
    </row>
    <row r="12275" spans="1:15">
      <c r="A12275" t="s">
        <v>23648</v>
      </c>
      <c r="B12275" t="s">
        <v>6742</v>
      </c>
      <c r="C12275" t="s">
        <v>33643</v>
      </c>
      <c r="D12275" t="s">
        <v>42655</v>
      </c>
      <c r="E12275" t="b">
        <v>0</v>
      </c>
      <c r="F12275" t="s">
        <v>11622</v>
      </c>
      <c r="L12275">
        <v>1</v>
      </c>
      <c r="M12275">
        <v>3</v>
      </c>
      <c r="N12275">
        <v>10</v>
      </c>
    </row>
    <row r="12276" spans="1:15">
      <c r="A12276" t="s">
        <v>20429</v>
      </c>
      <c r="B12276" t="s">
        <v>6742</v>
      </c>
      <c r="C12276" t="s">
        <v>23648</v>
      </c>
      <c r="D12276" t="s">
        <v>42656</v>
      </c>
      <c r="E12276" t="b">
        <v>0</v>
      </c>
      <c r="F12276" t="s">
        <v>11624</v>
      </c>
      <c r="G12276">
        <v>12.261506666700001</v>
      </c>
      <c r="H12276">
        <v>-15.74389</v>
      </c>
      <c r="I12276" t="s">
        <v>42657</v>
      </c>
      <c r="L12276">
        <v>0</v>
      </c>
      <c r="M12276">
        <v>0</v>
      </c>
      <c r="N12276">
        <v>2</v>
      </c>
      <c r="O12276" t="s">
        <v>16009</v>
      </c>
    </row>
    <row r="12277" spans="1:15">
      <c r="A12277" t="s">
        <v>42658</v>
      </c>
      <c r="B12277" t="s">
        <v>6742</v>
      </c>
      <c r="C12277" t="s">
        <v>16561</v>
      </c>
      <c r="D12277" t="s">
        <v>42659</v>
      </c>
      <c r="E12277" t="b">
        <v>0</v>
      </c>
      <c r="F12277" t="s">
        <v>11610</v>
      </c>
      <c r="L12277">
        <v>0</v>
      </c>
      <c r="M12277">
        <v>0</v>
      </c>
      <c r="N12277">
        <v>0</v>
      </c>
    </row>
    <row r="12278" spans="1:15">
      <c r="A12278" t="s">
        <v>42660</v>
      </c>
      <c r="B12278" t="s">
        <v>6742</v>
      </c>
      <c r="C12278" t="s">
        <v>12956</v>
      </c>
      <c r="D12278" t="s">
        <v>42661</v>
      </c>
      <c r="E12278" t="b">
        <v>0</v>
      </c>
      <c r="F12278" t="s">
        <v>11610</v>
      </c>
      <c r="L12278">
        <v>0</v>
      </c>
      <c r="M12278">
        <v>0</v>
      </c>
      <c r="N12278">
        <v>0</v>
      </c>
    </row>
    <row r="12279" spans="1:15">
      <c r="A12279" t="s">
        <v>42662</v>
      </c>
      <c r="B12279" t="s">
        <v>13276</v>
      </c>
      <c r="C12279" t="s">
        <v>17145</v>
      </c>
      <c r="D12279" t="s">
        <v>42663</v>
      </c>
      <c r="E12279" t="b">
        <v>0</v>
      </c>
      <c r="F12279" t="s">
        <v>11610</v>
      </c>
      <c r="L12279">
        <v>0</v>
      </c>
      <c r="M12279">
        <v>0</v>
      </c>
      <c r="N12279">
        <v>0</v>
      </c>
    </row>
    <row r="12280" spans="1:15">
      <c r="A12280" t="s">
        <v>42664</v>
      </c>
      <c r="B12280" t="s">
        <v>367</v>
      </c>
      <c r="C12280" t="s">
        <v>16171</v>
      </c>
      <c r="D12280" t="s">
        <v>42665</v>
      </c>
      <c r="E12280" t="b">
        <v>0</v>
      </c>
      <c r="F12280" t="s">
        <v>11610</v>
      </c>
      <c r="L12280">
        <v>0</v>
      </c>
      <c r="M12280">
        <v>0</v>
      </c>
      <c r="N12280">
        <v>0</v>
      </c>
    </row>
    <row r="12281" spans="1:15">
      <c r="A12281" t="s">
        <v>42666</v>
      </c>
      <c r="B12281" t="s">
        <v>11637</v>
      </c>
      <c r="C12281" t="s">
        <v>17396</v>
      </c>
      <c r="D12281" t="s">
        <v>42667</v>
      </c>
      <c r="E12281" t="b">
        <v>0</v>
      </c>
      <c r="F12281" t="s">
        <v>11624</v>
      </c>
      <c r="I12281" t="s">
        <v>42668</v>
      </c>
      <c r="L12281">
        <v>0</v>
      </c>
      <c r="M12281">
        <v>0</v>
      </c>
      <c r="N12281">
        <v>0</v>
      </c>
      <c r="O12281" t="s">
        <v>12172</v>
      </c>
    </row>
    <row r="12282" spans="1:15">
      <c r="A12282" t="s">
        <v>42669</v>
      </c>
      <c r="B12282" t="s">
        <v>12438</v>
      </c>
      <c r="C12282" t="s">
        <v>31782</v>
      </c>
      <c r="D12282" t="s">
        <v>42670</v>
      </c>
      <c r="E12282" t="b">
        <v>0</v>
      </c>
      <c r="F12282" t="s">
        <v>11624</v>
      </c>
      <c r="G12282">
        <v>22.074300000000001</v>
      </c>
      <c r="H12282">
        <v>100.842</v>
      </c>
      <c r="I12282" t="s">
        <v>42671</v>
      </c>
      <c r="L12282">
        <v>0</v>
      </c>
      <c r="M12282">
        <v>0</v>
      </c>
      <c r="N12282">
        <v>0</v>
      </c>
      <c r="O12282" t="s">
        <v>11905</v>
      </c>
    </row>
    <row r="12283" spans="1:15">
      <c r="A12283" t="s">
        <v>42672</v>
      </c>
      <c r="B12283" t="s">
        <v>11844</v>
      </c>
      <c r="C12283" t="s">
        <v>22400</v>
      </c>
      <c r="D12283" t="s">
        <v>42673</v>
      </c>
      <c r="E12283" t="b">
        <v>0</v>
      </c>
      <c r="F12283" t="s">
        <v>11624</v>
      </c>
      <c r="G12283">
        <v>18.2775</v>
      </c>
      <c r="H12283">
        <v>83.190799999999996</v>
      </c>
      <c r="I12283" t="s">
        <v>42674</v>
      </c>
      <c r="L12283">
        <v>0</v>
      </c>
      <c r="M12283">
        <v>0</v>
      </c>
      <c r="N12283">
        <v>0</v>
      </c>
      <c r="O12283" t="s">
        <v>11630</v>
      </c>
    </row>
    <row r="12284" spans="1:15">
      <c r="A12284" t="s">
        <v>42675</v>
      </c>
      <c r="B12284" t="s">
        <v>11844</v>
      </c>
      <c r="C12284" t="s">
        <v>42676</v>
      </c>
      <c r="D12284" t="s">
        <v>42677</v>
      </c>
      <c r="E12284" t="b">
        <v>0</v>
      </c>
      <c r="F12284" t="s">
        <v>11624</v>
      </c>
      <c r="G12284">
        <v>9.85</v>
      </c>
      <c r="H12284">
        <v>76.97</v>
      </c>
      <c r="I12284" t="s">
        <v>42678</v>
      </c>
      <c r="L12284">
        <v>0</v>
      </c>
      <c r="M12284">
        <v>0</v>
      </c>
      <c r="N12284">
        <v>0</v>
      </c>
      <c r="O12284" t="s">
        <v>11630</v>
      </c>
    </row>
    <row r="12285" spans="1:15">
      <c r="A12285" t="s">
        <v>42679</v>
      </c>
      <c r="B12285" t="s">
        <v>6742</v>
      </c>
      <c r="C12285" t="s">
        <v>29519</v>
      </c>
      <c r="D12285" t="s">
        <v>42680</v>
      </c>
      <c r="E12285" t="b">
        <v>0</v>
      </c>
      <c r="F12285" t="s">
        <v>11610</v>
      </c>
      <c r="L12285">
        <v>0</v>
      </c>
      <c r="M12285">
        <v>0</v>
      </c>
      <c r="N12285">
        <v>0</v>
      </c>
    </row>
    <row r="12286" spans="1:15">
      <c r="A12286" t="s">
        <v>42681</v>
      </c>
      <c r="B12286" t="s">
        <v>13276</v>
      </c>
      <c r="C12286" t="s">
        <v>30247</v>
      </c>
      <c r="D12286" t="s">
        <v>42682</v>
      </c>
      <c r="E12286" t="b">
        <v>0</v>
      </c>
      <c r="F12286" t="s">
        <v>11624</v>
      </c>
      <c r="G12286">
        <v>7.0461600000000004</v>
      </c>
      <c r="H12286">
        <v>-8.8640500000000007</v>
      </c>
      <c r="I12286" t="s">
        <v>42683</v>
      </c>
      <c r="L12286">
        <v>0</v>
      </c>
      <c r="M12286">
        <v>0</v>
      </c>
      <c r="N12286">
        <v>0</v>
      </c>
      <c r="O12286" t="s">
        <v>24075</v>
      </c>
    </row>
    <row r="12287" spans="1:15">
      <c r="A12287" t="s">
        <v>42684</v>
      </c>
      <c r="B12287" t="s">
        <v>11637</v>
      </c>
      <c r="C12287" t="s">
        <v>28286</v>
      </c>
      <c r="D12287" t="s">
        <v>42685</v>
      </c>
      <c r="E12287" t="b">
        <v>0</v>
      </c>
      <c r="F12287" t="s">
        <v>11610</v>
      </c>
      <c r="L12287">
        <v>0</v>
      </c>
      <c r="M12287">
        <v>0</v>
      </c>
      <c r="N12287">
        <v>0</v>
      </c>
    </row>
    <row r="12288" spans="1:15">
      <c r="A12288" t="s">
        <v>42686</v>
      </c>
      <c r="B12288" t="s">
        <v>367</v>
      </c>
      <c r="C12288" t="s">
        <v>21942</v>
      </c>
      <c r="D12288" t="s">
        <v>42687</v>
      </c>
      <c r="E12288" t="b">
        <v>0</v>
      </c>
      <c r="F12288" t="s">
        <v>11624</v>
      </c>
      <c r="G12288">
        <v>-5.94468</v>
      </c>
      <c r="H12288">
        <v>134.32900000000001</v>
      </c>
      <c r="I12288" t="s">
        <v>42688</v>
      </c>
      <c r="L12288">
        <v>0</v>
      </c>
      <c r="M12288">
        <v>0</v>
      </c>
      <c r="N12288">
        <v>0</v>
      </c>
      <c r="O12288" t="s">
        <v>11768</v>
      </c>
    </row>
    <row r="12289" spans="1:15">
      <c r="A12289" t="s">
        <v>5373</v>
      </c>
      <c r="B12289" t="s">
        <v>367</v>
      </c>
      <c r="C12289" t="s">
        <v>21816</v>
      </c>
      <c r="D12289" t="s">
        <v>5371</v>
      </c>
      <c r="E12289" t="b">
        <v>0</v>
      </c>
      <c r="F12289" t="s">
        <v>11622</v>
      </c>
      <c r="L12289">
        <v>12</v>
      </c>
      <c r="M12289">
        <v>15</v>
      </c>
      <c r="N12289">
        <v>19</v>
      </c>
    </row>
    <row r="12290" spans="1:15">
      <c r="A12290" t="s">
        <v>42689</v>
      </c>
      <c r="B12290" t="s">
        <v>11637</v>
      </c>
      <c r="C12290" t="s">
        <v>10209</v>
      </c>
      <c r="D12290" t="s">
        <v>42690</v>
      </c>
      <c r="E12290" t="b">
        <v>0</v>
      </c>
      <c r="F12290" t="s">
        <v>11610</v>
      </c>
      <c r="L12290">
        <v>0</v>
      </c>
      <c r="M12290">
        <v>0</v>
      </c>
      <c r="N12290">
        <v>0</v>
      </c>
    </row>
    <row r="12291" spans="1:15">
      <c r="A12291" t="s">
        <v>42691</v>
      </c>
      <c r="B12291" t="s">
        <v>12260</v>
      </c>
      <c r="C12291" t="s">
        <v>21972</v>
      </c>
      <c r="D12291" t="s">
        <v>42692</v>
      </c>
      <c r="E12291" t="b">
        <v>0</v>
      </c>
      <c r="F12291" t="s">
        <v>11624</v>
      </c>
      <c r="G12291">
        <v>64.411799999999999</v>
      </c>
      <c r="H12291">
        <v>61.344000000000001</v>
      </c>
      <c r="I12291" t="s">
        <v>42693</v>
      </c>
      <c r="L12291">
        <v>0</v>
      </c>
      <c r="M12291">
        <v>0</v>
      </c>
      <c r="N12291">
        <v>4</v>
      </c>
      <c r="O12291" t="s">
        <v>12748</v>
      </c>
    </row>
    <row r="12292" spans="1:15">
      <c r="A12292" t="s">
        <v>42694</v>
      </c>
      <c r="B12292" t="s">
        <v>6742</v>
      </c>
      <c r="C12292" t="s">
        <v>6742</v>
      </c>
      <c r="D12292" t="s">
        <v>42695</v>
      </c>
      <c r="E12292" t="b">
        <v>0</v>
      </c>
      <c r="F12292" t="s">
        <v>11624</v>
      </c>
      <c r="G12292">
        <v>12.8218</v>
      </c>
      <c r="H12292">
        <v>-15.920199999999999</v>
      </c>
      <c r="I12292" t="s">
        <v>42696</v>
      </c>
      <c r="L12292">
        <v>0</v>
      </c>
      <c r="M12292">
        <v>0</v>
      </c>
      <c r="N12292">
        <v>0</v>
      </c>
      <c r="O12292" t="s">
        <v>42697</v>
      </c>
    </row>
    <row r="12293" spans="1:15">
      <c r="A12293" t="s">
        <v>42698</v>
      </c>
      <c r="B12293" t="s">
        <v>12067</v>
      </c>
      <c r="C12293" t="s">
        <v>12067</v>
      </c>
      <c r="D12293" t="s">
        <v>42699</v>
      </c>
      <c r="E12293" t="b">
        <v>0</v>
      </c>
      <c r="F12293" t="s">
        <v>11624</v>
      </c>
      <c r="G12293">
        <v>-0.91505400000000003</v>
      </c>
      <c r="H12293">
        <v>134.01111599999999</v>
      </c>
      <c r="L12293">
        <v>0</v>
      </c>
      <c r="M12293">
        <v>0</v>
      </c>
      <c r="N12293">
        <v>0</v>
      </c>
      <c r="O12293" t="s">
        <v>11768</v>
      </c>
    </row>
    <row r="12294" spans="1:15">
      <c r="A12294" t="s">
        <v>24253</v>
      </c>
      <c r="B12294" t="s">
        <v>367</v>
      </c>
      <c r="C12294" t="s">
        <v>12888</v>
      </c>
      <c r="D12294" t="s">
        <v>42700</v>
      </c>
      <c r="E12294" t="b">
        <v>0</v>
      </c>
      <c r="F12294" t="s">
        <v>11622</v>
      </c>
      <c r="L12294">
        <v>3</v>
      </c>
      <c r="M12294">
        <v>7</v>
      </c>
      <c r="N12294">
        <v>6</v>
      </c>
    </row>
    <row r="12295" spans="1:15">
      <c r="A12295" t="s">
        <v>42701</v>
      </c>
      <c r="B12295" t="s">
        <v>367</v>
      </c>
      <c r="C12295" t="s">
        <v>26222</v>
      </c>
      <c r="D12295" t="s">
        <v>42702</v>
      </c>
      <c r="E12295" t="b">
        <v>0</v>
      </c>
      <c r="F12295" t="s">
        <v>11624</v>
      </c>
      <c r="G12295">
        <v>6.7922099999999999</v>
      </c>
      <c r="H12295">
        <v>126.181</v>
      </c>
      <c r="I12295" t="s">
        <v>42703</v>
      </c>
      <c r="L12295">
        <v>0</v>
      </c>
      <c r="M12295">
        <v>0</v>
      </c>
      <c r="N12295">
        <v>0</v>
      </c>
      <c r="O12295" t="s">
        <v>11749</v>
      </c>
    </row>
    <row r="12296" spans="1:15">
      <c r="A12296" t="s">
        <v>42704</v>
      </c>
      <c r="B12296" t="s">
        <v>42705</v>
      </c>
      <c r="C12296" t="s">
        <v>42705</v>
      </c>
      <c r="D12296" t="s">
        <v>42706</v>
      </c>
      <c r="E12296" t="b">
        <v>0</v>
      </c>
      <c r="F12296" t="s">
        <v>11610</v>
      </c>
      <c r="L12296">
        <v>0</v>
      </c>
      <c r="M12296">
        <v>0</v>
      </c>
      <c r="N12296">
        <v>0</v>
      </c>
    </row>
    <row r="12297" spans="1:15">
      <c r="A12297" t="s">
        <v>42707</v>
      </c>
      <c r="B12297" t="s">
        <v>11607</v>
      </c>
      <c r="C12297" t="s">
        <v>18193</v>
      </c>
      <c r="D12297" t="s">
        <v>42708</v>
      </c>
      <c r="E12297" t="b">
        <v>0</v>
      </c>
      <c r="F12297" t="s">
        <v>11610</v>
      </c>
      <c r="L12297">
        <v>0</v>
      </c>
      <c r="M12297">
        <v>0</v>
      </c>
      <c r="N12297">
        <v>0</v>
      </c>
    </row>
    <row r="12298" spans="1:15">
      <c r="A12298" t="s">
        <v>42709</v>
      </c>
      <c r="B12298" t="s">
        <v>12260</v>
      </c>
      <c r="C12298" t="s">
        <v>12260</v>
      </c>
      <c r="D12298" t="s">
        <v>42710</v>
      </c>
      <c r="E12298" t="b">
        <v>0</v>
      </c>
      <c r="F12298" t="s">
        <v>11622</v>
      </c>
      <c r="L12298">
        <v>1</v>
      </c>
      <c r="M12298">
        <v>3</v>
      </c>
      <c r="N12298">
        <v>4</v>
      </c>
    </row>
    <row r="12299" spans="1:15">
      <c r="A12299" t="s">
        <v>42711</v>
      </c>
      <c r="B12299" t="s">
        <v>11637</v>
      </c>
      <c r="C12299" t="s">
        <v>13136</v>
      </c>
      <c r="D12299" t="s">
        <v>42712</v>
      </c>
      <c r="E12299" t="b">
        <v>0</v>
      </c>
      <c r="F12299" t="s">
        <v>11610</v>
      </c>
      <c r="L12299">
        <v>0</v>
      </c>
      <c r="M12299">
        <v>0</v>
      </c>
      <c r="N12299">
        <v>0</v>
      </c>
    </row>
    <row r="12300" spans="1:15">
      <c r="A12300" t="s">
        <v>42713</v>
      </c>
      <c r="B12300" t="s">
        <v>11644</v>
      </c>
      <c r="C12300" t="s">
        <v>41383</v>
      </c>
      <c r="D12300" t="s">
        <v>42714</v>
      </c>
      <c r="E12300" t="b">
        <v>0</v>
      </c>
      <c r="F12300" t="s">
        <v>11624</v>
      </c>
      <c r="G12300">
        <v>23.1829</v>
      </c>
      <c r="H12300">
        <v>105.405</v>
      </c>
      <c r="I12300" t="s">
        <v>42715</v>
      </c>
      <c r="L12300">
        <v>0</v>
      </c>
      <c r="M12300">
        <v>0</v>
      </c>
      <c r="N12300">
        <v>0</v>
      </c>
      <c r="O12300" t="s">
        <v>15949</v>
      </c>
    </row>
    <row r="12301" spans="1:15">
      <c r="A12301" t="s">
        <v>25030</v>
      </c>
      <c r="B12301" t="s">
        <v>10597</v>
      </c>
      <c r="C12301" t="s">
        <v>34911</v>
      </c>
      <c r="D12301" t="s">
        <v>42716</v>
      </c>
      <c r="E12301" t="b">
        <v>0</v>
      </c>
      <c r="F12301" t="s">
        <v>11622</v>
      </c>
      <c r="L12301">
        <v>2</v>
      </c>
      <c r="M12301">
        <v>4</v>
      </c>
      <c r="N12301">
        <v>0</v>
      </c>
    </row>
    <row r="12302" spans="1:15">
      <c r="A12302" t="s">
        <v>42717</v>
      </c>
      <c r="B12302" t="s">
        <v>6742</v>
      </c>
      <c r="C12302" t="s">
        <v>16343</v>
      </c>
      <c r="D12302" t="s">
        <v>42718</v>
      </c>
      <c r="E12302" t="b">
        <v>0</v>
      </c>
      <c r="F12302" t="s">
        <v>11624</v>
      </c>
      <c r="G12302">
        <v>6.0213000000000001</v>
      </c>
      <c r="H12302">
        <v>9.5948899999999995</v>
      </c>
      <c r="I12302" t="s">
        <v>42719</v>
      </c>
      <c r="L12302">
        <v>0</v>
      </c>
      <c r="M12302">
        <v>0</v>
      </c>
      <c r="N12302">
        <v>0</v>
      </c>
      <c r="O12302" t="s">
        <v>11703</v>
      </c>
    </row>
    <row r="12303" spans="1:15">
      <c r="A12303" t="s">
        <v>42720</v>
      </c>
      <c r="B12303" t="s">
        <v>367</v>
      </c>
      <c r="C12303" t="s">
        <v>17705</v>
      </c>
      <c r="D12303" t="s">
        <v>42721</v>
      </c>
      <c r="E12303" t="b">
        <v>0</v>
      </c>
      <c r="F12303" t="s">
        <v>11610</v>
      </c>
      <c r="L12303">
        <v>0</v>
      </c>
      <c r="M12303">
        <v>0</v>
      </c>
      <c r="N12303">
        <v>0</v>
      </c>
    </row>
    <row r="12304" spans="1:15">
      <c r="A12304" t="s">
        <v>42722</v>
      </c>
      <c r="B12304" t="s">
        <v>367</v>
      </c>
      <c r="C12304" t="s">
        <v>12638</v>
      </c>
      <c r="D12304" t="s">
        <v>42723</v>
      </c>
      <c r="E12304" t="b">
        <v>0</v>
      </c>
      <c r="F12304" t="s">
        <v>11610</v>
      </c>
      <c r="L12304">
        <v>0</v>
      </c>
      <c r="M12304">
        <v>0</v>
      </c>
      <c r="N12304">
        <v>0</v>
      </c>
    </row>
    <row r="12305" spans="1:15">
      <c r="A12305" t="s">
        <v>42724</v>
      </c>
      <c r="B12305" t="s">
        <v>367</v>
      </c>
      <c r="C12305" t="s">
        <v>15573</v>
      </c>
      <c r="D12305" t="s">
        <v>42725</v>
      </c>
      <c r="E12305" t="b">
        <v>0</v>
      </c>
      <c r="F12305" t="s">
        <v>11610</v>
      </c>
      <c r="L12305">
        <v>0</v>
      </c>
      <c r="M12305">
        <v>0</v>
      </c>
      <c r="N12305">
        <v>0</v>
      </c>
    </row>
    <row r="12306" spans="1:15">
      <c r="A12306" t="s">
        <v>42726</v>
      </c>
      <c r="B12306" t="s">
        <v>367</v>
      </c>
      <c r="C12306" t="s">
        <v>4567</v>
      </c>
      <c r="D12306" t="s">
        <v>42727</v>
      </c>
      <c r="E12306" t="b">
        <v>0</v>
      </c>
      <c r="F12306" t="s">
        <v>11610</v>
      </c>
      <c r="L12306">
        <v>0</v>
      </c>
      <c r="M12306">
        <v>0</v>
      </c>
      <c r="N12306">
        <v>0</v>
      </c>
    </row>
    <row r="12307" spans="1:15">
      <c r="A12307" t="s">
        <v>42728</v>
      </c>
      <c r="B12307" t="s">
        <v>11644</v>
      </c>
      <c r="C12307" t="s">
        <v>19852</v>
      </c>
      <c r="D12307" t="s">
        <v>42729</v>
      </c>
      <c r="E12307" t="b">
        <v>0</v>
      </c>
      <c r="F12307" t="s">
        <v>11624</v>
      </c>
      <c r="G12307">
        <v>19.164999999999999</v>
      </c>
      <c r="H12307">
        <v>96.953100000000006</v>
      </c>
      <c r="I12307" t="s">
        <v>42730</v>
      </c>
      <c r="L12307">
        <v>0</v>
      </c>
      <c r="M12307">
        <v>0</v>
      </c>
      <c r="N12307">
        <v>0</v>
      </c>
      <c r="O12307" t="s">
        <v>14059</v>
      </c>
    </row>
    <row r="12308" spans="1:15">
      <c r="A12308" t="s">
        <v>30853</v>
      </c>
      <c r="B12308" t="s">
        <v>367</v>
      </c>
      <c r="C12308" t="s">
        <v>31593</v>
      </c>
      <c r="D12308" t="s">
        <v>42731</v>
      </c>
      <c r="E12308" t="b">
        <v>0</v>
      </c>
      <c r="F12308" t="s">
        <v>11624</v>
      </c>
      <c r="G12308">
        <v>-3.1109</v>
      </c>
      <c r="H12308">
        <v>129.429</v>
      </c>
      <c r="I12308" t="s">
        <v>42732</v>
      </c>
      <c r="L12308">
        <v>0</v>
      </c>
      <c r="M12308">
        <v>0</v>
      </c>
      <c r="N12308">
        <v>4</v>
      </c>
      <c r="O12308" t="s">
        <v>11768</v>
      </c>
    </row>
    <row r="12309" spans="1:15">
      <c r="A12309" t="s">
        <v>42733</v>
      </c>
      <c r="B12309" t="s">
        <v>367</v>
      </c>
      <c r="C12309" t="s">
        <v>23967</v>
      </c>
      <c r="D12309" t="s">
        <v>42734</v>
      </c>
      <c r="E12309" t="b">
        <v>0</v>
      </c>
      <c r="F12309" t="s">
        <v>11610</v>
      </c>
      <c r="L12309">
        <v>0</v>
      </c>
      <c r="M12309">
        <v>0</v>
      </c>
      <c r="N12309">
        <v>0</v>
      </c>
    </row>
    <row r="12310" spans="1:15">
      <c r="A12310" t="s">
        <v>13518</v>
      </c>
      <c r="D12310" t="s">
        <v>42735</v>
      </c>
      <c r="E12310" t="b">
        <v>0</v>
      </c>
      <c r="F12310" t="s">
        <v>11622</v>
      </c>
      <c r="L12310">
        <v>0</v>
      </c>
      <c r="M12310">
        <v>2</v>
      </c>
      <c r="N12310">
        <v>10</v>
      </c>
    </row>
    <row r="12311" spans="1:15">
      <c r="A12311" t="s">
        <v>7798</v>
      </c>
      <c r="B12311" t="s">
        <v>367</v>
      </c>
      <c r="C12311" t="s">
        <v>26188</v>
      </c>
      <c r="D12311" t="s">
        <v>7805</v>
      </c>
      <c r="E12311" t="b">
        <v>0</v>
      </c>
      <c r="F12311" t="s">
        <v>11622</v>
      </c>
      <c r="L12311">
        <v>9</v>
      </c>
      <c r="M12311">
        <v>23</v>
      </c>
      <c r="N12311">
        <v>13</v>
      </c>
    </row>
    <row r="12312" spans="1:15">
      <c r="A12312" t="s">
        <v>31593</v>
      </c>
      <c r="B12312" t="s">
        <v>367</v>
      </c>
      <c r="C12312" t="s">
        <v>42736</v>
      </c>
      <c r="D12312" t="s">
        <v>42737</v>
      </c>
      <c r="E12312" t="b">
        <v>0</v>
      </c>
      <c r="F12312" t="s">
        <v>11622</v>
      </c>
      <c r="L12312">
        <v>0</v>
      </c>
      <c r="M12312">
        <v>2</v>
      </c>
      <c r="N12312">
        <v>4</v>
      </c>
    </row>
    <row r="12313" spans="1:15">
      <c r="A12313" t="s">
        <v>42738</v>
      </c>
      <c r="B12313" t="s">
        <v>34173</v>
      </c>
      <c r="C12313" t="s">
        <v>42739</v>
      </c>
      <c r="D12313" t="s">
        <v>42740</v>
      </c>
      <c r="E12313" t="b">
        <v>0</v>
      </c>
      <c r="F12313" t="s">
        <v>11610</v>
      </c>
      <c r="L12313">
        <v>0</v>
      </c>
      <c r="M12313">
        <v>0</v>
      </c>
      <c r="N12313">
        <v>0</v>
      </c>
    </row>
    <row r="12314" spans="1:15">
      <c r="A12314" t="s">
        <v>42741</v>
      </c>
      <c r="B12314" t="s">
        <v>11637</v>
      </c>
      <c r="C12314" t="s">
        <v>26528</v>
      </c>
      <c r="D12314" t="s">
        <v>42742</v>
      </c>
      <c r="E12314" t="b">
        <v>0</v>
      </c>
      <c r="F12314" t="s">
        <v>11624</v>
      </c>
      <c r="G12314">
        <v>54.260399999999997</v>
      </c>
      <c r="H12314">
        <v>-4.4543699999999999</v>
      </c>
      <c r="I12314" t="s">
        <v>42743</v>
      </c>
      <c r="L12314">
        <v>0</v>
      </c>
      <c r="M12314">
        <v>0</v>
      </c>
      <c r="N12314">
        <v>0</v>
      </c>
      <c r="O12314" t="s">
        <v>19884</v>
      </c>
    </row>
    <row r="12315" spans="1:15">
      <c r="A12315" t="s">
        <v>42744</v>
      </c>
      <c r="B12315" t="s">
        <v>10597</v>
      </c>
      <c r="C12315" t="s">
        <v>35274</v>
      </c>
      <c r="D12315" t="s">
        <v>42745</v>
      </c>
      <c r="E12315" t="b">
        <v>0</v>
      </c>
      <c r="F12315" t="s">
        <v>11610</v>
      </c>
      <c r="L12315">
        <v>0</v>
      </c>
      <c r="M12315">
        <v>0</v>
      </c>
      <c r="N12315">
        <v>0</v>
      </c>
    </row>
    <row r="12316" spans="1:15">
      <c r="A12316" t="s">
        <v>42746</v>
      </c>
      <c r="B12316" t="s">
        <v>10597</v>
      </c>
      <c r="C12316" t="s">
        <v>16360</v>
      </c>
      <c r="D12316" t="s">
        <v>42747</v>
      </c>
      <c r="E12316" t="b">
        <v>0</v>
      </c>
      <c r="F12316" t="s">
        <v>11610</v>
      </c>
      <c r="L12316">
        <v>0</v>
      </c>
      <c r="M12316">
        <v>0</v>
      </c>
      <c r="N12316">
        <v>0</v>
      </c>
    </row>
    <row r="12317" spans="1:15">
      <c r="A12317" t="s">
        <v>19032</v>
      </c>
      <c r="B12317" t="s">
        <v>6742</v>
      </c>
      <c r="C12317" t="s">
        <v>21945</v>
      </c>
      <c r="D12317" t="s">
        <v>42748</v>
      </c>
      <c r="E12317" t="b">
        <v>0</v>
      </c>
      <c r="F12317" t="s">
        <v>11624</v>
      </c>
      <c r="G12317">
        <v>-18.192699999999999</v>
      </c>
      <c r="H12317">
        <v>32.805199999999999</v>
      </c>
      <c r="I12317" t="s">
        <v>42749</v>
      </c>
      <c r="L12317">
        <v>0</v>
      </c>
      <c r="M12317">
        <v>0</v>
      </c>
      <c r="N12317">
        <v>12</v>
      </c>
      <c r="O12317" t="s">
        <v>42750</v>
      </c>
    </row>
    <row r="12318" spans="1:15">
      <c r="A12318" t="s">
        <v>42751</v>
      </c>
      <c r="B12318" t="s">
        <v>6742</v>
      </c>
      <c r="C12318" t="s">
        <v>23005</v>
      </c>
      <c r="D12318" t="s">
        <v>42752</v>
      </c>
      <c r="E12318" t="b">
        <v>0</v>
      </c>
      <c r="F12318" t="s">
        <v>11624</v>
      </c>
      <c r="G12318">
        <v>-16.496300000000002</v>
      </c>
      <c r="H12318">
        <v>36.8459</v>
      </c>
      <c r="I12318" t="s">
        <v>42753</v>
      </c>
      <c r="L12318">
        <v>0</v>
      </c>
      <c r="M12318">
        <v>0</v>
      </c>
      <c r="N12318">
        <v>0</v>
      </c>
      <c r="O12318" t="s">
        <v>17188</v>
      </c>
    </row>
    <row r="12319" spans="1:15">
      <c r="A12319" t="s">
        <v>42754</v>
      </c>
      <c r="B12319" t="s">
        <v>6742</v>
      </c>
      <c r="C12319" t="s">
        <v>17643</v>
      </c>
      <c r="D12319" t="s">
        <v>42755</v>
      </c>
      <c r="E12319" t="b">
        <v>0</v>
      </c>
      <c r="F12319" t="s">
        <v>11610</v>
      </c>
      <c r="L12319">
        <v>0</v>
      </c>
      <c r="M12319">
        <v>0</v>
      </c>
      <c r="N12319">
        <v>0</v>
      </c>
    </row>
    <row r="12320" spans="1:15">
      <c r="A12320" t="s">
        <v>42756</v>
      </c>
      <c r="B12320" t="s">
        <v>13276</v>
      </c>
      <c r="C12320" t="s">
        <v>26134</v>
      </c>
      <c r="D12320" t="s">
        <v>42757</v>
      </c>
      <c r="E12320" t="b">
        <v>0</v>
      </c>
      <c r="F12320" t="s">
        <v>11624</v>
      </c>
      <c r="G12320">
        <v>8.5618599999999994</v>
      </c>
      <c r="H12320">
        <v>-9.4425699999999999</v>
      </c>
      <c r="I12320" t="s">
        <v>42758</v>
      </c>
      <c r="L12320">
        <v>0</v>
      </c>
      <c r="M12320">
        <v>0</v>
      </c>
      <c r="N12320">
        <v>0</v>
      </c>
      <c r="O12320" t="s">
        <v>30014</v>
      </c>
    </row>
    <row r="12321" spans="1:15">
      <c r="A12321" t="s">
        <v>42759</v>
      </c>
      <c r="B12321" t="s">
        <v>6742</v>
      </c>
      <c r="C12321" t="s">
        <v>28813</v>
      </c>
      <c r="D12321" t="s">
        <v>42760</v>
      </c>
      <c r="E12321" t="b">
        <v>0</v>
      </c>
      <c r="F12321" t="s">
        <v>11622</v>
      </c>
      <c r="L12321">
        <v>2</v>
      </c>
      <c r="M12321">
        <v>4</v>
      </c>
      <c r="N12321">
        <v>0</v>
      </c>
    </row>
    <row r="12322" spans="1:15">
      <c r="A12322" t="s">
        <v>42761</v>
      </c>
      <c r="B12322" t="s">
        <v>6742</v>
      </c>
      <c r="C12322" t="s">
        <v>42759</v>
      </c>
      <c r="D12322" t="s">
        <v>42762</v>
      </c>
      <c r="E12322" t="b">
        <v>0</v>
      </c>
      <c r="F12322" t="s">
        <v>11622</v>
      </c>
      <c r="L12322">
        <v>1</v>
      </c>
      <c r="M12322">
        <v>3</v>
      </c>
      <c r="N12322">
        <v>0</v>
      </c>
    </row>
    <row r="12323" spans="1:15">
      <c r="A12323" t="s">
        <v>42763</v>
      </c>
      <c r="B12323" t="s">
        <v>6742</v>
      </c>
      <c r="C12323" t="s">
        <v>42761</v>
      </c>
      <c r="D12323" t="s">
        <v>42764</v>
      </c>
      <c r="E12323" t="b">
        <v>0</v>
      </c>
      <c r="F12323" t="s">
        <v>11624</v>
      </c>
      <c r="G12323">
        <v>6.5121799999999999</v>
      </c>
      <c r="H12323">
        <v>18.793500000000002</v>
      </c>
      <c r="I12323" t="s">
        <v>42765</v>
      </c>
      <c r="L12323">
        <v>0</v>
      </c>
      <c r="M12323">
        <v>0</v>
      </c>
      <c r="N12323">
        <v>0</v>
      </c>
      <c r="O12323" t="s">
        <v>16548</v>
      </c>
    </row>
    <row r="12324" spans="1:15">
      <c r="A12324" t="s">
        <v>42766</v>
      </c>
      <c r="B12324" t="s">
        <v>11644</v>
      </c>
      <c r="C12324" t="s">
        <v>42767</v>
      </c>
      <c r="D12324" t="s">
        <v>42768</v>
      </c>
      <c r="E12324" t="b">
        <v>0</v>
      </c>
      <c r="F12324" t="s">
        <v>11624</v>
      </c>
      <c r="G12324">
        <v>25.383600000000001</v>
      </c>
      <c r="H12324">
        <v>94.003500000000003</v>
      </c>
      <c r="I12324" t="s">
        <v>42769</v>
      </c>
      <c r="L12324">
        <v>0</v>
      </c>
      <c r="M12324">
        <v>0</v>
      </c>
      <c r="N12324">
        <v>1</v>
      </c>
      <c r="O12324" t="s">
        <v>11630</v>
      </c>
    </row>
    <row r="12325" spans="1:15">
      <c r="A12325" t="s">
        <v>41851</v>
      </c>
      <c r="B12325" t="s">
        <v>5126</v>
      </c>
      <c r="C12325" t="s">
        <v>42770</v>
      </c>
      <c r="D12325" t="s">
        <v>42771</v>
      </c>
      <c r="E12325" t="b">
        <v>0</v>
      </c>
      <c r="F12325" t="s">
        <v>11622</v>
      </c>
      <c r="L12325">
        <v>2</v>
      </c>
      <c r="M12325">
        <v>5</v>
      </c>
      <c r="N12325">
        <v>10</v>
      </c>
    </row>
    <row r="12326" spans="1:15">
      <c r="A12326" t="s">
        <v>22094</v>
      </c>
      <c r="B12326" t="s">
        <v>5126</v>
      </c>
      <c r="C12326" t="s">
        <v>41851</v>
      </c>
      <c r="D12326" t="s">
        <v>42772</v>
      </c>
      <c r="E12326" t="b">
        <v>0</v>
      </c>
      <c r="F12326" t="s">
        <v>11622</v>
      </c>
      <c r="L12326">
        <v>0</v>
      </c>
      <c r="M12326">
        <v>2</v>
      </c>
      <c r="N12326">
        <v>0</v>
      </c>
    </row>
    <row r="12327" spans="1:15">
      <c r="A12327" t="s">
        <v>42773</v>
      </c>
      <c r="B12327" t="s">
        <v>5126</v>
      </c>
      <c r="C12327" t="s">
        <v>22094</v>
      </c>
      <c r="D12327" t="s">
        <v>42774</v>
      </c>
      <c r="E12327" t="b">
        <v>0</v>
      </c>
      <c r="F12327" t="s">
        <v>11624</v>
      </c>
      <c r="G12327">
        <v>25.0169</v>
      </c>
      <c r="H12327">
        <v>108.024</v>
      </c>
      <c r="I12327" t="s">
        <v>42775</v>
      </c>
      <c r="L12327">
        <v>0</v>
      </c>
      <c r="M12327">
        <v>0</v>
      </c>
      <c r="N12327">
        <v>0</v>
      </c>
      <c r="O12327" t="s">
        <v>11905</v>
      </c>
    </row>
    <row r="12328" spans="1:15">
      <c r="A12328" t="s">
        <v>16388</v>
      </c>
      <c r="D12328" t="s">
        <v>42776</v>
      </c>
      <c r="E12328" t="b">
        <v>0</v>
      </c>
      <c r="F12328" t="s">
        <v>11622</v>
      </c>
      <c r="L12328">
        <v>2</v>
      </c>
      <c r="M12328">
        <v>4</v>
      </c>
      <c r="N12328">
        <v>2</v>
      </c>
    </row>
    <row r="12329" spans="1:15">
      <c r="A12329" t="s">
        <v>42777</v>
      </c>
      <c r="B12329" t="s">
        <v>6742</v>
      </c>
      <c r="C12329" t="s">
        <v>19345</v>
      </c>
      <c r="D12329" t="s">
        <v>42778</v>
      </c>
      <c r="E12329" t="b">
        <v>0</v>
      </c>
      <c r="F12329" t="s">
        <v>11610</v>
      </c>
      <c r="L12329">
        <v>0</v>
      </c>
      <c r="M12329">
        <v>0</v>
      </c>
      <c r="N12329">
        <v>0</v>
      </c>
    </row>
    <row r="12330" spans="1:15">
      <c r="A12330" t="s">
        <v>42779</v>
      </c>
      <c r="B12330" t="s">
        <v>13967</v>
      </c>
      <c r="C12330" t="s">
        <v>21519</v>
      </c>
      <c r="D12330" t="s">
        <v>42780</v>
      </c>
      <c r="E12330" t="b">
        <v>0</v>
      </c>
      <c r="F12330" t="s">
        <v>11610</v>
      </c>
      <c r="L12330">
        <v>0</v>
      </c>
      <c r="M12330">
        <v>0</v>
      </c>
      <c r="N12330">
        <v>0</v>
      </c>
    </row>
    <row r="12331" spans="1:15">
      <c r="A12331" t="s">
        <v>7985</v>
      </c>
      <c r="B12331" t="s">
        <v>367</v>
      </c>
      <c r="C12331" t="s">
        <v>14606</v>
      </c>
      <c r="D12331" t="s">
        <v>42781</v>
      </c>
      <c r="E12331" t="b">
        <v>0</v>
      </c>
      <c r="F12331" t="s">
        <v>11610</v>
      </c>
      <c r="L12331">
        <v>0</v>
      </c>
      <c r="M12331">
        <v>0</v>
      </c>
      <c r="N12331">
        <v>0</v>
      </c>
    </row>
    <row r="12332" spans="1:15">
      <c r="A12332" t="s">
        <v>42782</v>
      </c>
      <c r="B12332" t="s">
        <v>6742</v>
      </c>
      <c r="C12332" t="s">
        <v>42783</v>
      </c>
      <c r="D12332" t="s">
        <v>42784</v>
      </c>
      <c r="E12332" t="b">
        <v>0</v>
      </c>
      <c r="F12332" t="s">
        <v>11624</v>
      </c>
      <c r="G12332">
        <v>-12.830306</v>
      </c>
      <c r="H12332">
        <v>45.154941999999998</v>
      </c>
      <c r="I12332" t="s">
        <v>42785</v>
      </c>
      <c r="L12332">
        <v>0</v>
      </c>
      <c r="M12332">
        <v>0</v>
      </c>
      <c r="N12332">
        <v>2</v>
      </c>
      <c r="O12332" t="s">
        <v>20606</v>
      </c>
    </row>
    <row r="12333" spans="1:15">
      <c r="A12333" t="s">
        <v>42786</v>
      </c>
      <c r="B12333" t="s">
        <v>6742</v>
      </c>
      <c r="C12333" t="s">
        <v>42782</v>
      </c>
      <c r="D12333" t="s">
        <v>42787</v>
      </c>
      <c r="E12333" t="b">
        <v>0</v>
      </c>
      <c r="F12333" t="s">
        <v>11610</v>
      </c>
      <c r="L12333">
        <v>0</v>
      </c>
      <c r="M12333">
        <v>0</v>
      </c>
      <c r="N12333">
        <v>0</v>
      </c>
    </row>
    <row r="12334" spans="1:15">
      <c r="A12334" t="s">
        <v>1592</v>
      </c>
      <c r="B12334" t="s">
        <v>367</v>
      </c>
      <c r="C12334" t="s">
        <v>21542</v>
      </c>
      <c r="D12334" t="s">
        <v>1979</v>
      </c>
      <c r="E12334" t="b">
        <v>0</v>
      </c>
      <c r="F12334" t="s">
        <v>11624</v>
      </c>
      <c r="G12334">
        <v>-38.2881</v>
      </c>
      <c r="H12334">
        <v>176.541</v>
      </c>
      <c r="I12334" t="s">
        <v>1593</v>
      </c>
      <c r="L12334">
        <v>0</v>
      </c>
      <c r="M12334">
        <v>0</v>
      </c>
      <c r="N12334">
        <v>7</v>
      </c>
      <c r="O12334" t="s">
        <v>42788</v>
      </c>
    </row>
    <row r="12335" spans="1:15">
      <c r="A12335" t="s">
        <v>42789</v>
      </c>
      <c r="B12335" t="s">
        <v>6742</v>
      </c>
      <c r="C12335" t="s">
        <v>14829</v>
      </c>
      <c r="D12335" t="s">
        <v>42790</v>
      </c>
      <c r="E12335" t="b">
        <v>0</v>
      </c>
      <c r="F12335" t="s">
        <v>11610</v>
      </c>
      <c r="L12335">
        <v>0</v>
      </c>
      <c r="M12335">
        <v>0</v>
      </c>
      <c r="N12335">
        <v>0</v>
      </c>
    </row>
    <row r="12336" spans="1:15">
      <c r="A12336" t="s">
        <v>42791</v>
      </c>
      <c r="B12336" t="s">
        <v>11615</v>
      </c>
      <c r="C12336" t="s">
        <v>20738</v>
      </c>
      <c r="D12336" t="s">
        <v>42792</v>
      </c>
      <c r="E12336" t="b">
        <v>0</v>
      </c>
      <c r="F12336" t="s">
        <v>11624</v>
      </c>
      <c r="G12336">
        <v>-5.7386900000000001</v>
      </c>
      <c r="H12336">
        <v>146.364</v>
      </c>
      <c r="I12336" t="s">
        <v>42793</v>
      </c>
      <c r="L12336">
        <v>0</v>
      </c>
      <c r="M12336">
        <v>0</v>
      </c>
      <c r="N12336">
        <v>1</v>
      </c>
      <c r="O12336" t="s">
        <v>11660</v>
      </c>
    </row>
    <row r="12337" spans="1:15">
      <c r="A12337" t="s">
        <v>28116</v>
      </c>
      <c r="B12337" t="s">
        <v>11615</v>
      </c>
      <c r="C12337" t="s">
        <v>35397</v>
      </c>
      <c r="D12337" t="s">
        <v>42794</v>
      </c>
      <c r="E12337" t="b">
        <v>0</v>
      </c>
      <c r="F12337" t="s">
        <v>11624</v>
      </c>
      <c r="G12337">
        <v>-6.5931800000000003</v>
      </c>
      <c r="H12337">
        <v>147.68199999999999</v>
      </c>
      <c r="I12337" t="s">
        <v>42795</v>
      </c>
      <c r="L12337">
        <v>0</v>
      </c>
      <c r="M12337">
        <v>0</v>
      </c>
      <c r="N12337">
        <v>4</v>
      </c>
      <c r="O12337" t="s">
        <v>11660</v>
      </c>
    </row>
    <row r="12338" spans="1:15">
      <c r="A12338" t="s">
        <v>42796</v>
      </c>
      <c r="B12338" t="s">
        <v>23796</v>
      </c>
      <c r="C12338" t="s">
        <v>23796</v>
      </c>
      <c r="D12338" t="s">
        <v>42797</v>
      </c>
      <c r="E12338" t="b">
        <v>0</v>
      </c>
      <c r="F12338" t="s">
        <v>11624</v>
      </c>
      <c r="G12338">
        <v>-9.7780299999999993</v>
      </c>
      <c r="H12338">
        <v>149.495</v>
      </c>
      <c r="I12338" t="s">
        <v>42798</v>
      </c>
      <c r="L12338">
        <v>0</v>
      </c>
      <c r="M12338">
        <v>0</v>
      </c>
      <c r="N12338">
        <v>0</v>
      </c>
      <c r="O12338" t="s">
        <v>11660</v>
      </c>
    </row>
    <row r="12339" spans="1:15">
      <c r="A12339" t="s">
        <v>42799</v>
      </c>
      <c r="B12339" t="s">
        <v>367</v>
      </c>
      <c r="C12339" t="s">
        <v>14563</v>
      </c>
      <c r="D12339" t="s">
        <v>42800</v>
      </c>
      <c r="E12339" t="b">
        <v>0</v>
      </c>
      <c r="F12339" t="s">
        <v>11610</v>
      </c>
      <c r="L12339">
        <v>0</v>
      </c>
      <c r="M12339">
        <v>0</v>
      </c>
      <c r="N12339">
        <v>0</v>
      </c>
    </row>
    <row r="12340" spans="1:15">
      <c r="A12340" t="s">
        <v>42801</v>
      </c>
      <c r="B12340" t="s">
        <v>367</v>
      </c>
      <c r="C12340" t="s">
        <v>21906</v>
      </c>
      <c r="D12340" t="s">
        <v>42802</v>
      </c>
      <c r="E12340" t="b">
        <v>0</v>
      </c>
      <c r="F12340" t="s">
        <v>11624</v>
      </c>
      <c r="G12340">
        <v>0.90888899999999995</v>
      </c>
      <c r="H12340">
        <v>134.304722</v>
      </c>
      <c r="I12340" t="s">
        <v>42803</v>
      </c>
      <c r="L12340">
        <v>0</v>
      </c>
      <c r="M12340">
        <v>0</v>
      </c>
      <c r="N12340">
        <v>0</v>
      </c>
      <c r="O12340" t="s">
        <v>11768</v>
      </c>
    </row>
    <row r="12341" spans="1:15">
      <c r="A12341" t="s">
        <v>42804</v>
      </c>
      <c r="B12341" t="s">
        <v>11615</v>
      </c>
      <c r="C12341" t="s">
        <v>26941</v>
      </c>
      <c r="D12341" t="s">
        <v>42805</v>
      </c>
      <c r="E12341" t="b">
        <v>0</v>
      </c>
      <c r="F12341" t="s">
        <v>11610</v>
      </c>
      <c r="L12341">
        <v>0</v>
      </c>
      <c r="M12341">
        <v>0</v>
      </c>
      <c r="N12341">
        <v>0</v>
      </c>
    </row>
    <row r="12342" spans="1:15">
      <c r="A12342" t="s">
        <v>42806</v>
      </c>
      <c r="B12342" t="s">
        <v>11894</v>
      </c>
      <c r="C12342" t="s">
        <v>15062</v>
      </c>
      <c r="D12342" t="s">
        <v>42807</v>
      </c>
      <c r="E12342" t="b">
        <v>0</v>
      </c>
      <c r="F12342" t="s">
        <v>11624</v>
      </c>
      <c r="G12342">
        <v>1.9145000000000001</v>
      </c>
      <c r="H12342">
        <v>-59.615499999999997</v>
      </c>
      <c r="I12342" t="s">
        <v>42808</v>
      </c>
      <c r="L12342">
        <v>0</v>
      </c>
      <c r="M12342">
        <v>0</v>
      </c>
      <c r="N12342">
        <v>0</v>
      </c>
      <c r="O12342" t="s">
        <v>15065</v>
      </c>
    </row>
    <row r="12343" spans="1:15">
      <c r="A12343" t="s">
        <v>20672</v>
      </c>
      <c r="B12343" t="s">
        <v>367</v>
      </c>
      <c r="C12343" t="s">
        <v>19970</v>
      </c>
      <c r="D12343" t="s">
        <v>42809</v>
      </c>
      <c r="E12343" t="b">
        <v>0</v>
      </c>
      <c r="F12343" t="s">
        <v>11624</v>
      </c>
      <c r="G12343">
        <v>-6.8667199999999999</v>
      </c>
      <c r="H12343">
        <v>146.774</v>
      </c>
      <c r="I12343" t="s">
        <v>42810</v>
      </c>
      <c r="L12343">
        <v>0</v>
      </c>
      <c r="M12343">
        <v>0</v>
      </c>
      <c r="N12343">
        <v>7</v>
      </c>
      <c r="O12343" t="s">
        <v>11660</v>
      </c>
    </row>
    <row r="12344" spans="1:15">
      <c r="A12344" t="s">
        <v>42811</v>
      </c>
      <c r="B12344" t="s">
        <v>367</v>
      </c>
      <c r="C12344" t="s">
        <v>20672</v>
      </c>
      <c r="D12344" t="s">
        <v>42812</v>
      </c>
      <c r="E12344" t="b">
        <v>0</v>
      </c>
      <c r="F12344" t="s">
        <v>11610</v>
      </c>
      <c r="L12344">
        <v>0</v>
      </c>
      <c r="M12344">
        <v>0</v>
      </c>
      <c r="N12344">
        <v>0</v>
      </c>
    </row>
    <row r="12345" spans="1:15">
      <c r="A12345" t="s">
        <v>23159</v>
      </c>
      <c r="B12345" t="s">
        <v>8310</v>
      </c>
      <c r="C12345" t="s">
        <v>42813</v>
      </c>
      <c r="D12345" t="s">
        <v>42814</v>
      </c>
      <c r="E12345" t="b">
        <v>0</v>
      </c>
      <c r="F12345" t="s">
        <v>11622</v>
      </c>
      <c r="L12345">
        <v>3</v>
      </c>
      <c r="M12345">
        <v>9</v>
      </c>
      <c r="N12345">
        <v>2</v>
      </c>
    </row>
    <row r="12346" spans="1:15">
      <c r="A12346" t="s">
        <v>42815</v>
      </c>
      <c r="B12346" t="s">
        <v>8310</v>
      </c>
      <c r="C12346" t="s">
        <v>23159</v>
      </c>
      <c r="D12346" t="s">
        <v>42816</v>
      </c>
      <c r="E12346" t="b">
        <v>0</v>
      </c>
      <c r="F12346" t="s">
        <v>11622</v>
      </c>
      <c r="L12346">
        <v>0</v>
      </c>
      <c r="M12346">
        <v>3</v>
      </c>
      <c r="N12346">
        <v>2</v>
      </c>
    </row>
    <row r="12347" spans="1:15">
      <c r="A12347" t="s">
        <v>42817</v>
      </c>
      <c r="B12347" t="s">
        <v>8310</v>
      </c>
      <c r="C12347" t="s">
        <v>42815</v>
      </c>
      <c r="D12347" t="s">
        <v>42818</v>
      </c>
      <c r="E12347" t="b">
        <v>0</v>
      </c>
      <c r="F12347" t="s">
        <v>11624</v>
      </c>
      <c r="G12347">
        <v>5.9695200000000002</v>
      </c>
      <c r="H12347">
        <v>-67.258099999999999</v>
      </c>
      <c r="I12347" t="s">
        <v>42819</v>
      </c>
      <c r="L12347">
        <v>0</v>
      </c>
      <c r="M12347">
        <v>0</v>
      </c>
      <c r="N12347">
        <v>0</v>
      </c>
      <c r="O12347" t="s">
        <v>17099</v>
      </c>
    </row>
    <row r="12348" spans="1:15">
      <c r="A12348" t="s">
        <v>12321</v>
      </c>
      <c r="B12348" t="s">
        <v>11615</v>
      </c>
      <c r="C12348" t="s">
        <v>14909</v>
      </c>
      <c r="D12348" t="s">
        <v>42820</v>
      </c>
      <c r="E12348" t="b">
        <v>0</v>
      </c>
      <c r="F12348" t="s">
        <v>11622</v>
      </c>
      <c r="L12348">
        <v>0</v>
      </c>
      <c r="M12348">
        <v>2</v>
      </c>
      <c r="N12348">
        <v>0</v>
      </c>
    </row>
    <row r="12349" spans="1:15">
      <c r="A12349" t="s">
        <v>42821</v>
      </c>
      <c r="B12349" t="s">
        <v>13411</v>
      </c>
      <c r="C12349" t="s">
        <v>13414</v>
      </c>
      <c r="D12349" t="s">
        <v>42822</v>
      </c>
      <c r="E12349" t="b">
        <v>0</v>
      </c>
      <c r="F12349" t="s">
        <v>11610</v>
      </c>
      <c r="L12349">
        <v>0</v>
      </c>
      <c r="M12349">
        <v>0</v>
      </c>
      <c r="N12349">
        <v>0</v>
      </c>
    </row>
    <row r="12350" spans="1:15">
      <c r="A12350" t="s">
        <v>42823</v>
      </c>
      <c r="B12350" t="s">
        <v>367</v>
      </c>
      <c r="C12350" t="s">
        <v>19617</v>
      </c>
      <c r="D12350" t="s">
        <v>42824</v>
      </c>
      <c r="E12350" t="b">
        <v>0</v>
      </c>
      <c r="F12350" t="s">
        <v>11624</v>
      </c>
      <c r="G12350">
        <v>6.0906099999999999</v>
      </c>
      <c r="H12350">
        <v>118.75</v>
      </c>
      <c r="I12350" t="s">
        <v>42825</v>
      </c>
      <c r="L12350">
        <v>0</v>
      </c>
      <c r="M12350">
        <v>0</v>
      </c>
      <c r="N12350">
        <v>0</v>
      </c>
      <c r="O12350" t="s">
        <v>16232</v>
      </c>
    </row>
    <row r="12351" spans="1:15">
      <c r="A12351" t="s">
        <v>1236</v>
      </c>
      <c r="B12351" t="s">
        <v>14372</v>
      </c>
      <c r="C12351" t="s">
        <v>14372</v>
      </c>
      <c r="D12351" t="s">
        <v>42826</v>
      </c>
      <c r="E12351" t="b">
        <v>0</v>
      </c>
      <c r="F12351" t="s">
        <v>11624</v>
      </c>
      <c r="G12351">
        <v>-38.739199999999997</v>
      </c>
      <c r="H12351">
        <v>-71.277000000000001</v>
      </c>
      <c r="I12351" t="s">
        <v>1238</v>
      </c>
      <c r="L12351">
        <v>0</v>
      </c>
      <c r="M12351">
        <v>0</v>
      </c>
      <c r="N12351">
        <v>3</v>
      </c>
      <c r="O12351" t="s">
        <v>31639</v>
      </c>
    </row>
    <row r="12352" spans="1:15">
      <c r="A12352" t="s">
        <v>570</v>
      </c>
      <c r="B12352" t="s">
        <v>8310</v>
      </c>
      <c r="C12352" t="s">
        <v>42827</v>
      </c>
      <c r="D12352" t="s">
        <v>42828</v>
      </c>
      <c r="E12352" t="b">
        <v>0</v>
      </c>
      <c r="F12352" t="s">
        <v>11624</v>
      </c>
      <c r="G12352">
        <v>4.7070499999999997</v>
      </c>
      <c r="H12352">
        <v>-64.387699999999995</v>
      </c>
      <c r="I12352" t="s">
        <v>571</v>
      </c>
      <c r="L12352">
        <v>0</v>
      </c>
      <c r="M12352">
        <v>0</v>
      </c>
      <c r="N12352">
        <v>2</v>
      </c>
      <c r="O12352" t="s">
        <v>14690</v>
      </c>
    </row>
    <row r="12353" spans="1:15">
      <c r="A12353" t="s">
        <v>42827</v>
      </c>
      <c r="B12353" t="s">
        <v>8310</v>
      </c>
      <c r="C12353" t="s">
        <v>3311</v>
      </c>
      <c r="D12353" t="s">
        <v>42829</v>
      </c>
      <c r="E12353" t="b">
        <v>0</v>
      </c>
      <c r="F12353" t="s">
        <v>11622</v>
      </c>
      <c r="L12353">
        <v>0</v>
      </c>
      <c r="M12353">
        <v>2</v>
      </c>
      <c r="N12353">
        <v>2</v>
      </c>
    </row>
    <row r="12354" spans="1:15">
      <c r="A12354" t="s">
        <v>42830</v>
      </c>
      <c r="D12354" t="s">
        <v>42831</v>
      </c>
      <c r="E12354" t="b">
        <v>0</v>
      </c>
      <c r="F12354" t="s">
        <v>11624</v>
      </c>
      <c r="G12354">
        <v>24.339089000000001</v>
      </c>
      <c r="H12354">
        <v>-98.576661000000001</v>
      </c>
      <c r="L12354">
        <v>0</v>
      </c>
      <c r="M12354">
        <v>0</v>
      </c>
      <c r="N12354">
        <v>0</v>
      </c>
      <c r="O12354" t="s">
        <v>11883</v>
      </c>
    </row>
    <row r="12355" spans="1:15">
      <c r="A12355" t="s">
        <v>42832</v>
      </c>
      <c r="B12355" t="s">
        <v>11637</v>
      </c>
      <c r="C12355" t="s">
        <v>2995</v>
      </c>
      <c r="D12355" t="s">
        <v>42833</v>
      </c>
      <c r="E12355" t="b">
        <v>0</v>
      </c>
      <c r="F12355" t="s">
        <v>11610</v>
      </c>
      <c r="L12355">
        <v>0</v>
      </c>
      <c r="M12355">
        <v>0</v>
      </c>
      <c r="N12355">
        <v>0</v>
      </c>
    </row>
    <row r="12356" spans="1:15">
      <c r="A12356" t="s">
        <v>24804</v>
      </c>
      <c r="B12356" t="s">
        <v>11637</v>
      </c>
      <c r="C12356" t="s">
        <v>21852</v>
      </c>
      <c r="D12356" t="s">
        <v>42834</v>
      </c>
      <c r="E12356" t="b">
        <v>0</v>
      </c>
      <c r="F12356" t="s">
        <v>11624</v>
      </c>
      <c r="G12356">
        <v>36.825899999999997</v>
      </c>
      <c r="H12356">
        <v>49.966500000000003</v>
      </c>
      <c r="I12356" t="s">
        <v>42835</v>
      </c>
      <c r="L12356">
        <v>0</v>
      </c>
      <c r="M12356">
        <v>0</v>
      </c>
      <c r="N12356">
        <v>1</v>
      </c>
      <c r="O12356" t="s">
        <v>13225</v>
      </c>
    </row>
    <row r="12357" spans="1:15">
      <c r="A12357" t="s">
        <v>42836</v>
      </c>
      <c r="B12357" t="s">
        <v>11637</v>
      </c>
      <c r="C12357" t="s">
        <v>12824</v>
      </c>
      <c r="D12357" t="s">
        <v>42837</v>
      </c>
      <c r="E12357" t="b">
        <v>0</v>
      </c>
      <c r="F12357" t="s">
        <v>11610</v>
      </c>
      <c r="L12357">
        <v>0</v>
      </c>
      <c r="M12357">
        <v>0</v>
      </c>
      <c r="N12357">
        <v>0</v>
      </c>
    </row>
    <row r="12358" spans="1:15">
      <c r="A12358" t="s">
        <v>42838</v>
      </c>
      <c r="B12358" t="s">
        <v>11637</v>
      </c>
      <c r="C12358" t="s">
        <v>16887</v>
      </c>
      <c r="D12358" t="s">
        <v>42839</v>
      </c>
      <c r="E12358" t="b">
        <v>0</v>
      </c>
      <c r="F12358" t="s">
        <v>11610</v>
      </c>
      <c r="L12358">
        <v>0</v>
      </c>
      <c r="M12358">
        <v>0</v>
      </c>
      <c r="N12358">
        <v>0</v>
      </c>
    </row>
    <row r="12359" spans="1:15">
      <c r="A12359" t="s">
        <v>42840</v>
      </c>
      <c r="B12359" t="s">
        <v>11637</v>
      </c>
      <c r="C12359" t="s">
        <v>18327</v>
      </c>
      <c r="D12359" t="s">
        <v>42841</v>
      </c>
      <c r="E12359" t="b">
        <v>0</v>
      </c>
      <c r="F12359" t="s">
        <v>11610</v>
      </c>
      <c r="L12359">
        <v>0</v>
      </c>
      <c r="M12359">
        <v>0</v>
      </c>
      <c r="N12359">
        <v>0</v>
      </c>
    </row>
    <row r="12360" spans="1:15">
      <c r="A12360" t="s">
        <v>293</v>
      </c>
      <c r="B12360" t="s">
        <v>11637</v>
      </c>
      <c r="C12360" t="s">
        <v>13719</v>
      </c>
      <c r="D12360" t="s">
        <v>292</v>
      </c>
      <c r="E12360" t="b">
        <v>0</v>
      </c>
      <c r="F12360" t="s">
        <v>11624</v>
      </c>
      <c r="G12360">
        <v>17.9344</v>
      </c>
      <c r="H12360">
        <v>76.666499999999999</v>
      </c>
      <c r="I12360" t="s">
        <v>295</v>
      </c>
      <c r="L12360">
        <v>0</v>
      </c>
      <c r="M12360">
        <v>0</v>
      </c>
      <c r="N12360">
        <v>5</v>
      </c>
      <c r="O12360" t="s">
        <v>11630</v>
      </c>
    </row>
    <row r="12361" spans="1:15">
      <c r="A12361" t="s">
        <v>42842</v>
      </c>
      <c r="B12361" t="s">
        <v>11644</v>
      </c>
      <c r="C12361" t="s">
        <v>42843</v>
      </c>
      <c r="D12361" t="s">
        <v>42844</v>
      </c>
      <c r="E12361" t="b">
        <v>0</v>
      </c>
      <c r="F12361" t="s">
        <v>11624</v>
      </c>
      <c r="G12361">
        <v>25.437799999999999</v>
      </c>
      <c r="H12361">
        <v>94.220500000000001</v>
      </c>
      <c r="I12361" t="s">
        <v>42845</v>
      </c>
      <c r="L12361">
        <v>0</v>
      </c>
      <c r="M12361">
        <v>0</v>
      </c>
      <c r="N12361">
        <v>4</v>
      </c>
      <c r="O12361" t="s">
        <v>11630</v>
      </c>
    </row>
    <row r="12362" spans="1:15">
      <c r="A12362" t="s">
        <v>42846</v>
      </c>
      <c r="B12362" t="s">
        <v>11644</v>
      </c>
      <c r="C12362" t="s">
        <v>42842</v>
      </c>
      <c r="D12362" t="s">
        <v>42847</v>
      </c>
      <c r="E12362" t="b">
        <v>0</v>
      </c>
      <c r="F12362" t="s">
        <v>11610</v>
      </c>
      <c r="L12362">
        <v>0</v>
      </c>
      <c r="M12362">
        <v>0</v>
      </c>
      <c r="N12362">
        <v>0</v>
      </c>
    </row>
    <row r="12363" spans="1:15">
      <c r="A12363" t="s">
        <v>42848</v>
      </c>
      <c r="B12363" t="s">
        <v>11644</v>
      </c>
      <c r="C12363" t="s">
        <v>21426</v>
      </c>
      <c r="D12363" t="s">
        <v>42849</v>
      </c>
      <c r="E12363" t="b">
        <v>0</v>
      </c>
      <c r="F12363" t="s">
        <v>11622</v>
      </c>
      <c r="L12363">
        <v>1</v>
      </c>
      <c r="M12363">
        <v>6</v>
      </c>
      <c r="N12363">
        <v>4</v>
      </c>
    </row>
    <row r="12364" spans="1:15">
      <c r="A12364" t="s">
        <v>31242</v>
      </c>
      <c r="B12364" t="s">
        <v>11644</v>
      </c>
      <c r="C12364" t="s">
        <v>39560</v>
      </c>
      <c r="D12364" t="s">
        <v>42850</v>
      </c>
      <c r="E12364" t="b">
        <v>0</v>
      </c>
      <c r="F12364" t="s">
        <v>11624</v>
      </c>
      <c r="G12364">
        <v>22.113800000000001</v>
      </c>
      <c r="H12364">
        <v>93.038700000000006</v>
      </c>
      <c r="I12364" t="s">
        <v>42851</v>
      </c>
      <c r="L12364">
        <v>0</v>
      </c>
      <c r="M12364">
        <v>0</v>
      </c>
      <c r="N12364">
        <v>2</v>
      </c>
      <c r="O12364" t="s">
        <v>13598</v>
      </c>
    </row>
    <row r="12365" spans="1:15">
      <c r="A12365" t="s">
        <v>42852</v>
      </c>
      <c r="B12365" t="s">
        <v>12963</v>
      </c>
      <c r="C12365" t="s">
        <v>12964</v>
      </c>
      <c r="D12365" t="s">
        <v>42853</v>
      </c>
      <c r="E12365" t="b">
        <v>0</v>
      </c>
      <c r="F12365" t="s">
        <v>11624</v>
      </c>
      <c r="G12365">
        <v>-14.7927</v>
      </c>
      <c r="H12365">
        <v>134.86500000000001</v>
      </c>
      <c r="I12365" t="s">
        <v>42854</v>
      </c>
      <c r="L12365">
        <v>0</v>
      </c>
      <c r="M12365">
        <v>0</v>
      </c>
      <c r="N12365">
        <v>0</v>
      </c>
      <c r="O12365" t="s">
        <v>12107</v>
      </c>
    </row>
    <row r="12366" spans="1:15">
      <c r="A12366" t="s">
        <v>42855</v>
      </c>
      <c r="B12366" t="s">
        <v>13434</v>
      </c>
      <c r="C12366" t="s">
        <v>13435</v>
      </c>
      <c r="D12366" t="s">
        <v>42856</v>
      </c>
      <c r="E12366" t="b">
        <v>0</v>
      </c>
      <c r="F12366" t="s">
        <v>11624</v>
      </c>
      <c r="G12366">
        <v>-13.6754</v>
      </c>
      <c r="H12366">
        <v>130.12</v>
      </c>
      <c r="I12366" t="s">
        <v>42857</v>
      </c>
      <c r="L12366">
        <v>0</v>
      </c>
      <c r="M12366">
        <v>0</v>
      </c>
      <c r="N12366">
        <v>0</v>
      </c>
      <c r="O12366" t="s">
        <v>12107</v>
      </c>
    </row>
    <row r="12367" spans="1:15">
      <c r="A12367" t="s">
        <v>42858</v>
      </c>
      <c r="B12367" t="s">
        <v>6742</v>
      </c>
      <c r="C12367" t="s">
        <v>15806</v>
      </c>
      <c r="D12367" t="s">
        <v>42859</v>
      </c>
      <c r="E12367" t="b">
        <v>0</v>
      </c>
      <c r="F12367" t="s">
        <v>11610</v>
      </c>
      <c r="L12367">
        <v>0</v>
      </c>
      <c r="M12367">
        <v>0</v>
      </c>
      <c r="N12367">
        <v>0</v>
      </c>
    </row>
    <row r="12368" spans="1:15">
      <c r="A12368" t="s">
        <v>42860</v>
      </c>
      <c r="B12368" t="s">
        <v>6742</v>
      </c>
      <c r="C12368" t="s">
        <v>41944</v>
      </c>
      <c r="D12368" t="s">
        <v>42861</v>
      </c>
      <c r="E12368" t="b">
        <v>0</v>
      </c>
      <c r="F12368" t="s">
        <v>11610</v>
      </c>
      <c r="L12368">
        <v>0</v>
      </c>
      <c r="M12368">
        <v>0</v>
      </c>
      <c r="N12368">
        <v>0</v>
      </c>
    </row>
    <row r="12369" spans="1:15">
      <c r="A12369" t="s">
        <v>42862</v>
      </c>
      <c r="B12369" t="s">
        <v>6742</v>
      </c>
      <c r="C12369" t="s">
        <v>21482</v>
      </c>
      <c r="D12369" t="s">
        <v>42863</v>
      </c>
      <c r="E12369" t="b">
        <v>0</v>
      </c>
      <c r="F12369" t="s">
        <v>11610</v>
      </c>
      <c r="L12369">
        <v>0</v>
      </c>
      <c r="M12369">
        <v>0</v>
      </c>
      <c r="N12369">
        <v>0</v>
      </c>
    </row>
    <row r="12370" spans="1:15">
      <c r="A12370" t="s">
        <v>42864</v>
      </c>
      <c r="B12370" t="s">
        <v>6742</v>
      </c>
      <c r="C12370" t="s">
        <v>39782</v>
      </c>
      <c r="D12370" t="s">
        <v>42865</v>
      </c>
      <c r="E12370" t="b">
        <v>0</v>
      </c>
      <c r="F12370" t="s">
        <v>11610</v>
      </c>
      <c r="L12370">
        <v>0</v>
      </c>
      <c r="M12370">
        <v>0</v>
      </c>
      <c r="N12370">
        <v>0</v>
      </c>
    </row>
    <row r="12371" spans="1:15">
      <c r="A12371" t="s">
        <v>42866</v>
      </c>
      <c r="B12371" t="s">
        <v>6742</v>
      </c>
      <c r="C12371" t="s">
        <v>21900</v>
      </c>
      <c r="D12371" t="s">
        <v>42867</v>
      </c>
      <c r="E12371" t="b">
        <v>0</v>
      </c>
      <c r="F12371" t="s">
        <v>11624</v>
      </c>
      <c r="G12371">
        <v>0.19</v>
      </c>
      <c r="H12371">
        <v>34.49</v>
      </c>
      <c r="I12371" t="s">
        <v>42868</v>
      </c>
      <c r="L12371">
        <v>0</v>
      </c>
      <c r="M12371">
        <v>0</v>
      </c>
      <c r="N12371">
        <v>0</v>
      </c>
      <c r="O12371" t="s">
        <v>22848</v>
      </c>
    </row>
    <row r="12372" spans="1:15">
      <c r="A12372" t="s">
        <v>42869</v>
      </c>
      <c r="B12372" t="s">
        <v>6742</v>
      </c>
      <c r="C12372" t="s">
        <v>36197</v>
      </c>
      <c r="D12372" t="s">
        <v>42870</v>
      </c>
      <c r="E12372" t="b">
        <v>0</v>
      </c>
      <c r="F12372" t="s">
        <v>11624</v>
      </c>
      <c r="G12372">
        <v>0.34</v>
      </c>
      <c r="H12372">
        <v>34.22</v>
      </c>
      <c r="I12372" t="s">
        <v>42871</v>
      </c>
      <c r="L12372">
        <v>0</v>
      </c>
      <c r="M12372">
        <v>0</v>
      </c>
      <c r="N12372">
        <v>0</v>
      </c>
      <c r="O12372" t="s">
        <v>22848</v>
      </c>
    </row>
    <row r="12373" spans="1:15">
      <c r="A12373" t="s">
        <v>42872</v>
      </c>
      <c r="B12373" t="s">
        <v>11729</v>
      </c>
      <c r="C12373" t="s">
        <v>11730</v>
      </c>
      <c r="D12373" t="s">
        <v>42873</v>
      </c>
      <c r="E12373" t="b">
        <v>0</v>
      </c>
      <c r="F12373" t="s">
        <v>11610</v>
      </c>
      <c r="L12373">
        <v>0</v>
      </c>
      <c r="M12373">
        <v>0</v>
      </c>
      <c r="N12373">
        <v>0</v>
      </c>
    </row>
    <row r="12374" spans="1:15">
      <c r="A12374" t="s">
        <v>42874</v>
      </c>
      <c r="B12374" t="s">
        <v>11729</v>
      </c>
      <c r="C12374" t="s">
        <v>38412</v>
      </c>
      <c r="D12374" t="s">
        <v>42875</v>
      </c>
      <c r="E12374" t="b">
        <v>0</v>
      </c>
      <c r="F12374" t="s">
        <v>11610</v>
      </c>
      <c r="L12374">
        <v>0</v>
      </c>
      <c r="M12374">
        <v>0</v>
      </c>
      <c r="N12374">
        <v>0</v>
      </c>
    </row>
    <row r="12375" spans="1:15">
      <c r="A12375" t="s">
        <v>11811</v>
      </c>
      <c r="B12375" t="s">
        <v>11810</v>
      </c>
      <c r="C12375" t="s">
        <v>11810</v>
      </c>
      <c r="D12375" t="s">
        <v>42876</v>
      </c>
      <c r="E12375" t="b">
        <v>0</v>
      </c>
      <c r="F12375" t="s">
        <v>11624</v>
      </c>
      <c r="G12375">
        <v>14.087</v>
      </c>
      <c r="H12375">
        <v>21.640799999999999</v>
      </c>
      <c r="I12375" t="s">
        <v>42877</v>
      </c>
      <c r="L12375">
        <v>0</v>
      </c>
      <c r="M12375">
        <v>0</v>
      </c>
      <c r="N12375">
        <v>2</v>
      </c>
      <c r="O12375" t="s">
        <v>13421</v>
      </c>
    </row>
    <row r="12376" spans="1:15">
      <c r="A12376" t="s">
        <v>42878</v>
      </c>
      <c r="B12376" t="s">
        <v>367</v>
      </c>
      <c r="C12376" t="s">
        <v>13339</v>
      </c>
      <c r="D12376" t="s">
        <v>42879</v>
      </c>
      <c r="E12376" t="b">
        <v>0</v>
      </c>
      <c r="F12376" t="s">
        <v>11624</v>
      </c>
      <c r="G12376">
        <v>-1.6673800000000001</v>
      </c>
      <c r="H12376">
        <v>135.797</v>
      </c>
      <c r="I12376" t="s">
        <v>42880</v>
      </c>
      <c r="L12376">
        <v>0</v>
      </c>
      <c r="M12376">
        <v>0</v>
      </c>
      <c r="N12376">
        <v>1</v>
      </c>
      <c r="O12376" t="s">
        <v>11768</v>
      </c>
    </row>
    <row r="12377" spans="1:15">
      <c r="A12377" t="s">
        <v>42881</v>
      </c>
      <c r="B12377" t="s">
        <v>367</v>
      </c>
      <c r="C12377" t="s">
        <v>14440</v>
      </c>
      <c r="D12377" t="s">
        <v>42882</v>
      </c>
      <c r="E12377" t="b">
        <v>0</v>
      </c>
      <c r="F12377" t="s">
        <v>11610</v>
      </c>
      <c r="L12377">
        <v>0</v>
      </c>
      <c r="M12377">
        <v>0</v>
      </c>
      <c r="N12377">
        <v>0</v>
      </c>
    </row>
    <row r="12378" spans="1:15">
      <c r="A12378" t="s">
        <v>42883</v>
      </c>
      <c r="B12378" t="s">
        <v>367</v>
      </c>
      <c r="C12378" t="s">
        <v>18482</v>
      </c>
      <c r="D12378" t="s">
        <v>42884</v>
      </c>
      <c r="E12378" t="b">
        <v>0</v>
      </c>
      <c r="F12378" t="s">
        <v>11624</v>
      </c>
      <c r="G12378">
        <v>-16.069500000000001</v>
      </c>
      <c r="H12378">
        <v>167.33</v>
      </c>
      <c r="I12378" t="s">
        <v>42885</v>
      </c>
      <c r="L12378">
        <v>0</v>
      </c>
      <c r="M12378">
        <v>0</v>
      </c>
      <c r="N12378">
        <v>0</v>
      </c>
      <c r="O12378" t="s">
        <v>12719</v>
      </c>
    </row>
    <row r="12379" spans="1:15">
      <c r="A12379" t="s">
        <v>42886</v>
      </c>
      <c r="B12379" t="s">
        <v>367</v>
      </c>
      <c r="C12379" t="s">
        <v>27701</v>
      </c>
      <c r="D12379" t="s">
        <v>42887</v>
      </c>
      <c r="E12379" t="b">
        <v>0</v>
      </c>
      <c r="F12379" t="s">
        <v>11610</v>
      </c>
      <c r="L12379">
        <v>0</v>
      </c>
      <c r="M12379">
        <v>0</v>
      </c>
      <c r="N12379">
        <v>0</v>
      </c>
    </row>
    <row r="12380" spans="1:15">
      <c r="A12380" t="s">
        <v>42888</v>
      </c>
      <c r="B12380" t="s">
        <v>367</v>
      </c>
      <c r="C12380" t="s">
        <v>42582</v>
      </c>
      <c r="D12380" t="s">
        <v>42889</v>
      </c>
      <c r="E12380" t="b">
        <v>0</v>
      </c>
      <c r="F12380" t="s">
        <v>11610</v>
      </c>
      <c r="L12380">
        <v>0</v>
      </c>
      <c r="M12380">
        <v>0</v>
      </c>
      <c r="N12380">
        <v>0</v>
      </c>
    </row>
    <row r="12381" spans="1:15">
      <c r="A12381" t="s">
        <v>42890</v>
      </c>
      <c r="B12381" t="s">
        <v>367</v>
      </c>
      <c r="C12381" t="s">
        <v>24045</v>
      </c>
      <c r="D12381" t="s">
        <v>42891</v>
      </c>
      <c r="E12381" t="b">
        <v>0</v>
      </c>
      <c r="F12381" t="s">
        <v>11610</v>
      </c>
      <c r="L12381">
        <v>0</v>
      </c>
      <c r="M12381">
        <v>0</v>
      </c>
      <c r="N12381">
        <v>0</v>
      </c>
    </row>
    <row r="12382" spans="1:15">
      <c r="A12382" t="s">
        <v>42892</v>
      </c>
      <c r="B12382" t="s">
        <v>367</v>
      </c>
      <c r="C12382" t="s">
        <v>24015</v>
      </c>
      <c r="D12382" t="s">
        <v>42893</v>
      </c>
      <c r="E12382" t="b">
        <v>0</v>
      </c>
      <c r="F12382" t="s">
        <v>11624</v>
      </c>
      <c r="G12382">
        <v>7.7941399999999996</v>
      </c>
      <c r="H12382">
        <v>124.175</v>
      </c>
      <c r="I12382" t="s">
        <v>42894</v>
      </c>
      <c r="L12382">
        <v>0</v>
      </c>
      <c r="M12382">
        <v>0</v>
      </c>
      <c r="N12382">
        <v>0</v>
      </c>
      <c r="O12382" t="s">
        <v>11749</v>
      </c>
    </row>
    <row r="12383" spans="1:15">
      <c r="A12383" t="s">
        <v>42895</v>
      </c>
      <c r="B12383" t="s">
        <v>11615</v>
      </c>
      <c r="C12383" t="s">
        <v>19759</v>
      </c>
      <c r="D12383" t="s">
        <v>42896</v>
      </c>
      <c r="E12383" t="b">
        <v>0</v>
      </c>
      <c r="F12383" t="s">
        <v>11610</v>
      </c>
      <c r="L12383">
        <v>0</v>
      </c>
      <c r="M12383">
        <v>0</v>
      </c>
      <c r="N12383">
        <v>0</v>
      </c>
    </row>
    <row r="12384" spans="1:15">
      <c r="A12384" t="s">
        <v>42897</v>
      </c>
      <c r="B12384" t="s">
        <v>11615</v>
      </c>
      <c r="C12384" t="s">
        <v>27216</v>
      </c>
      <c r="D12384" t="s">
        <v>42898</v>
      </c>
      <c r="E12384" t="b">
        <v>0</v>
      </c>
      <c r="F12384" t="s">
        <v>11610</v>
      </c>
      <c r="L12384">
        <v>0</v>
      </c>
      <c r="M12384">
        <v>0</v>
      </c>
      <c r="N12384">
        <v>0</v>
      </c>
    </row>
    <row r="12385" spans="1:15">
      <c r="A12385" t="s">
        <v>42899</v>
      </c>
      <c r="B12385" t="s">
        <v>11627</v>
      </c>
      <c r="C12385" t="s">
        <v>11627</v>
      </c>
      <c r="D12385" t="s">
        <v>42900</v>
      </c>
      <c r="E12385" t="b">
        <v>1</v>
      </c>
      <c r="F12385" t="s">
        <v>11624</v>
      </c>
      <c r="G12385">
        <v>-4.2390800000000004</v>
      </c>
      <c r="H12385">
        <v>143.73500000000001</v>
      </c>
      <c r="I12385" t="s">
        <v>42901</v>
      </c>
      <c r="L12385">
        <v>0</v>
      </c>
      <c r="M12385">
        <v>0</v>
      </c>
      <c r="N12385">
        <v>0</v>
      </c>
      <c r="O12385" t="s">
        <v>11660</v>
      </c>
    </row>
    <row r="12386" spans="1:15">
      <c r="A12386" t="s">
        <v>42902</v>
      </c>
      <c r="B12386" t="s">
        <v>11894</v>
      </c>
      <c r="C12386" t="s">
        <v>26395</v>
      </c>
      <c r="D12386" t="s">
        <v>42903</v>
      </c>
      <c r="E12386" t="b">
        <v>0</v>
      </c>
      <c r="F12386" t="s">
        <v>11624</v>
      </c>
      <c r="G12386">
        <v>3.9</v>
      </c>
      <c r="H12386">
        <v>-51.8</v>
      </c>
      <c r="L12386">
        <v>0</v>
      </c>
      <c r="M12386">
        <v>0</v>
      </c>
      <c r="N12386">
        <v>0</v>
      </c>
      <c r="O12386" t="s">
        <v>11969</v>
      </c>
    </row>
    <row r="12387" spans="1:15">
      <c r="A12387" t="s">
        <v>42904</v>
      </c>
      <c r="B12387" t="s">
        <v>11894</v>
      </c>
      <c r="C12387" t="s">
        <v>14270</v>
      </c>
      <c r="D12387" t="s">
        <v>42905</v>
      </c>
      <c r="E12387" t="b">
        <v>0</v>
      </c>
      <c r="F12387" t="s">
        <v>11624</v>
      </c>
      <c r="G12387">
        <v>-3</v>
      </c>
      <c r="H12387">
        <v>-67.512817999999996</v>
      </c>
      <c r="L12387">
        <v>0</v>
      </c>
      <c r="M12387">
        <v>0</v>
      </c>
      <c r="N12387">
        <v>0</v>
      </c>
      <c r="O12387" t="s">
        <v>11969</v>
      </c>
    </row>
    <row r="12388" spans="1:15">
      <c r="A12388" t="s">
        <v>42906</v>
      </c>
      <c r="B12388" t="s">
        <v>11607</v>
      </c>
      <c r="C12388" t="s">
        <v>25360</v>
      </c>
      <c r="D12388" t="s">
        <v>42907</v>
      </c>
      <c r="E12388" t="b">
        <v>0</v>
      </c>
      <c r="F12388" t="s">
        <v>11610</v>
      </c>
      <c r="L12388">
        <v>0</v>
      </c>
      <c r="M12388">
        <v>0</v>
      </c>
      <c r="N12388">
        <v>0</v>
      </c>
    </row>
    <row r="12389" spans="1:15">
      <c r="A12389" t="s">
        <v>12964</v>
      </c>
      <c r="B12389" t="s">
        <v>12963</v>
      </c>
      <c r="C12389" t="s">
        <v>12963</v>
      </c>
      <c r="D12389" t="s">
        <v>42908</v>
      </c>
      <c r="E12389" t="b">
        <v>0</v>
      </c>
      <c r="F12389" t="s">
        <v>11622</v>
      </c>
      <c r="L12389">
        <v>0</v>
      </c>
      <c r="M12389">
        <v>3</v>
      </c>
      <c r="N12389">
        <v>0</v>
      </c>
    </row>
    <row r="12390" spans="1:15">
      <c r="A12390" t="s">
        <v>13719</v>
      </c>
      <c r="B12390" t="s">
        <v>11637</v>
      </c>
      <c r="C12390" t="s">
        <v>32399</v>
      </c>
      <c r="D12390" t="s">
        <v>42909</v>
      </c>
      <c r="E12390" t="b">
        <v>0</v>
      </c>
      <c r="F12390" t="s">
        <v>11622</v>
      </c>
      <c r="L12390">
        <v>1</v>
      </c>
      <c r="M12390">
        <v>9</v>
      </c>
      <c r="N12390">
        <v>24</v>
      </c>
    </row>
    <row r="12391" spans="1:15">
      <c r="A12391" t="s">
        <v>42910</v>
      </c>
      <c r="B12391" t="s">
        <v>13360</v>
      </c>
      <c r="C12391" t="s">
        <v>13360</v>
      </c>
      <c r="D12391" t="s">
        <v>42911</v>
      </c>
      <c r="E12391" t="b">
        <v>0</v>
      </c>
      <c r="F12391" t="s">
        <v>11624</v>
      </c>
      <c r="G12391">
        <v>-10.825887</v>
      </c>
      <c r="H12391">
        <v>162.1901</v>
      </c>
      <c r="L12391">
        <v>0</v>
      </c>
      <c r="M12391">
        <v>0</v>
      </c>
      <c r="N12391">
        <v>0</v>
      </c>
      <c r="O12391" t="s">
        <v>13346</v>
      </c>
    </row>
    <row r="12392" spans="1:15">
      <c r="A12392" t="s">
        <v>42912</v>
      </c>
      <c r="B12392" t="s">
        <v>11981</v>
      </c>
      <c r="C12392" t="s">
        <v>11982</v>
      </c>
      <c r="D12392" t="s">
        <v>42913</v>
      </c>
      <c r="E12392" t="b">
        <v>0</v>
      </c>
      <c r="F12392" t="s">
        <v>11624</v>
      </c>
      <c r="G12392">
        <v>-0.96291199999999999</v>
      </c>
      <c r="H12392">
        <v>-49.641655999999998</v>
      </c>
      <c r="L12392">
        <v>0</v>
      </c>
      <c r="M12392">
        <v>0</v>
      </c>
      <c r="N12392">
        <v>0</v>
      </c>
      <c r="O12392" t="s">
        <v>11969</v>
      </c>
    </row>
    <row r="12393" spans="1:15">
      <c r="A12393" t="s">
        <v>42914</v>
      </c>
      <c r="B12393" t="s">
        <v>11637</v>
      </c>
      <c r="C12393" t="s">
        <v>30585</v>
      </c>
      <c r="D12393" t="s">
        <v>42915</v>
      </c>
      <c r="E12393" t="b">
        <v>0</v>
      </c>
      <c r="F12393" t="s">
        <v>11610</v>
      </c>
      <c r="L12393">
        <v>0</v>
      </c>
      <c r="M12393">
        <v>0</v>
      </c>
      <c r="N12393">
        <v>0</v>
      </c>
    </row>
    <row r="12394" spans="1:15">
      <c r="A12394" t="s">
        <v>42916</v>
      </c>
      <c r="B12394" t="s">
        <v>11607</v>
      </c>
      <c r="C12394" t="s">
        <v>30653</v>
      </c>
      <c r="D12394" t="s">
        <v>42917</v>
      </c>
      <c r="E12394" t="b">
        <v>0</v>
      </c>
      <c r="F12394" t="s">
        <v>11624</v>
      </c>
      <c r="G12394">
        <v>9.5066400000000009</v>
      </c>
      <c r="H12394">
        <v>15.8444</v>
      </c>
      <c r="I12394" t="s">
        <v>42918</v>
      </c>
      <c r="L12394">
        <v>0</v>
      </c>
      <c r="M12394">
        <v>0</v>
      </c>
      <c r="N12394">
        <v>1</v>
      </c>
      <c r="O12394" t="s">
        <v>13421</v>
      </c>
    </row>
    <row r="12395" spans="1:15">
      <c r="A12395" t="s">
        <v>42919</v>
      </c>
      <c r="B12395" t="s">
        <v>11607</v>
      </c>
      <c r="C12395" t="s">
        <v>13913</v>
      </c>
      <c r="D12395" t="s">
        <v>42920</v>
      </c>
      <c r="E12395" t="b">
        <v>0</v>
      </c>
      <c r="F12395" t="s">
        <v>11610</v>
      </c>
      <c r="L12395">
        <v>0</v>
      </c>
      <c r="M12395">
        <v>0</v>
      </c>
      <c r="N12395">
        <v>0</v>
      </c>
    </row>
    <row r="12396" spans="1:15">
      <c r="A12396" t="s">
        <v>30653</v>
      </c>
      <c r="B12396" t="s">
        <v>11607</v>
      </c>
      <c r="C12396" t="s">
        <v>42921</v>
      </c>
      <c r="D12396" t="s">
        <v>42922</v>
      </c>
      <c r="E12396" t="b">
        <v>0</v>
      </c>
      <c r="F12396" t="s">
        <v>11622</v>
      </c>
      <c r="L12396">
        <v>0</v>
      </c>
      <c r="M12396">
        <v>3</v>
      </c>
      <c r="N12396">
        <v>6</v>
      </c>
    </row>
    <row r="12397" spans="1:15">
      <c r="A12397" t="s">
        <v>42923</v>
      </c>
      <c r="B12397" t="s">
        <v>11644</v>
      </c>
      <c r="C12397" t="s">
        <v>42924</v>
      </c>
      <c r="D12397" t="s">
        <v>42925</v>
      </c>
      <c r="E12397" t="b">
        <v>0</v>
      </c>
      <c r="F12397" t="s">
        <v>11610</v>
      </c>
      <c r="L12397">
        <v>0</v>
      </c>
      <c r="M12397">
        <v>0</v>
      </c>
      <c r="N12397">
        <v>0</v>
      </c>
    </row>
    <row r="12398" spans="1:15">
      <c r="A12398" t="s">
        <v>42926</v>
      </c>
      <c r="B12398" t="s">
        <v>12514</v>
      </c>
      <c r="C12398" t="s">
        <v>12514</v>
      </c>
      <c r="D12398" t="s">
        <v>42927</v>
      </c>
      <c r="E12398" t="b">
        <v>0</v>
      </c>
      <c r="F12398" t="s">
        <v>11610</v>
      </c>
      <c r="L12398">
        <v>0</v>
      </c>
      <c r="M12398">
        <v>0</v>
      </c>
      <c r="N12398">
        <v>0</v>
      </c>
    </row>
    <row r="12399" spans="1:15">
      <c r="A12399" t="s">
        <v>42928</v>
      </c>
      <c r="B12399" t="s">
        <v>11981</v>
      </c>
      <c r="C12399" t="s">
        <v>11982</v>
      </c>
      <c r="D12399" t="s">
        <v>42929</v>
      </c>
      <c r="E12399" t="b">
        <v>0</v>
      </c>
      <c r="F12399" t="s">
        <v>11624</v>
      </c>
      <c r="G12399">
        <v>37.316667000000002</v>
      </c>
      <c r="H12399">
        <v>40.737777999999999</v>
      </c>
      <c r="L12399">
        <v>0</v>
      </c>
      <c r="M12399">
        <v>0</v>
      </c>
      <c r="N12399">
        <v>0</v>
      </c>
      <c r="O12399" t="s">
        <v>16254</v>
      </c>
    </row>
    <row r="12400" spans="1:15">
      <c r="A12400" t="s">
        <v>42930</v>
      </c>
      <c r="B12400" t="s">
        <v>13434</v>
      </c>
      <c r="C12400" t="s">
        <v>42931</v>
      </c>
      <c r="D12400" t="s">
        <v>42932</v>
      </c>
      <c r="E12400" t="b">
        <v>0</v>
      </c>
      <c r="F12400" t="s">
        <v>11610</v>
      </c>
      <c r="L12400">
        <v>0</v>
      </c>
      <c r="M12400">
        <v>0</v>
      </c>
      <c r="N12400">
        <v>0</v>
      </c>
    </row>
    <row r="12401" spans="1:15">
      <c r="A12401" t="s">
        <v>42933</v>
      </c>
      <c r="B12401" t="s">
        <v>12562</v>
      </c>
      <c r="C12401" t="s">
        <v>25005</v>
      </c>
      <c r="D12401" t="s">
        <v>42934</v>
      </c>
      <c r="E12401" t="b">
        <v>0</v>
      </c>
      <c r="F12401" t="s">
        <v>11610</v>
      </c>
      <c r="L12401">
        <v>0</v>
      </c>
      <c r="M12401">
        <v>0</v>
      </c>
      <c r="N12401">
        <v>0</v>
      </c>
    </row>
    <row r="12402" spans="1:15">
      <c r="A12402" t="s">
        <v>42935</v>
      </c>
      <c r="B12402" t="s">
        <v>11637</v>
      </c>
      <c r="C12402" t="s">
        <v>13534</v>
      </c>
      <c r="D12402" t="s">
        <v>42936</v>
      </c>
      <c r="E12402" t="b">
        <v>0</v>
      </c>
      <c r="F12402" t="s">
        <v>11610</v>
      </c>
      <c r="L12402">
        <v>0</v>
      </c>
      <c r="M12402">
        <v>0</v>
      </c>
      <c r="N12402">
        <v>0</v>
      </c>
    </row>
    <row r="12403" spans="1:15">
      <c r="A12403" t="s">
        <v>42937</v>
      </c>
      <c r="B12403" t="s">
        <v>11844</v>
      </c>
      <c r="C12403" t="s">
        <v>41563</v>
      </c>
      <c r="D12403" t="s">
        <v>42938</v>
      </c>
      <c r="E12403" t="b">
        <v>0</v>
      </c>
      <c r="F12403" t="s">
        <v>11610</v>
      </c>
      <c r="L12403">
        <v>0</v>
      </c>
      <c r="M12403">
        <v>0</v>
      </c>
      <c r="N12403">
        <v>0</v>
      </c>
    </row>
    <row r="12404" spans="1:15">
      <c r="A12404" t="s">
        <v>42939</v>
      </c>
      <c r="B12404" t="s">
        <v>6742</v>
      </c>
      <c r="C12404" t="s">
        <v>23002</v>
      </c>
      <c r="D12404" t="s">
        <v>42940</v>
      </c>
      <c r="E12404" t="b">
        <v>0</v>
      </c>
      <c r="F12404" t="s">
        <v>11624</v>
      </c>
      <c r="G12404">
        <v>-16.212900000000001</v>
      </c>
      <c r="H12404">
        <v>35.7425</v>
      </c>
      <c r="I12404" t="s">
        <v>42941</v>
      </c>
      <c r="L12404">
        <v>0</v>
      </c>
      <c r="M12404">
        <v>0</v>
      </c>
      <c r="N12404">
        <v>0</v>
      </c>
      <c r="O12404" t="s">
        <v>37008</v>
      </c>
    </row>
    <row r="12405" spans="1:15">
      <c r="A12405" t="s">
        <v>42942</v>
      </c>
      <c r="B12405" t="s">
        <v>16947</v>
      </c>
      <c r="C12405" t="s">
        <v>18101</v>
      </c>
      <c r="D12405" t="s">
        <v>42943</v>
      </c>
      <c r="E12405" t="b">
        <v>0</v>
      </c>
      <c r="F12405" t="s">
        <v>11624</v>
      </c>
      <c r="G12405">
        <v>-2.31915</v>
      </c>
      <c r="H12405">
        <v>139.673</v>
      </c>
      <c r="I12405" t="s">
        <v>42944</v>
      </c>
      <c r="L12405">
        <v>0</v>
      </c>
      <c r="M12405">
        <v>0</v>
      </c>
      <c r="N12405">
        <v>0</v>
      </c>
      <c r="O12405" t="s">
        <v>11768</v>
      </c>
    </row>
    <row r="12406" spans="1:15">
      <c r="A12406" t="s">
        <v>42945</v>
      </c>
      <c r="B12406" t="s">
        <v>11780</v>
      </c>
      <c r="C12406" t="s">
        <v>35072</v>
      </c>
      <c r="D12406" t="s">
        <v>42946</v>
      </c>
      <c r="E12406" t="b">
        <v>0</v>
      </c>
      <c r="F12406" t="s">
        <v>11624</v>
      </c>
      <c r="G12406">
        <v>13.1568</v>
      </c>
      <c r="H12406">
        <v>20.7882</v>
      </c>
      <c r="I12406" t="s">
        <v>42947</v>
      </c>
      <c r="L12406">
        <v>0</v>
      </c>
      <c r="M12406">
        <v>0</v>
      </c>
      <c r="N12406">
        <v>0</v>
      </c>
      <c r="O12406" t="s">
        <v>13421</v>
      </c>
    </row>
    <row r="12407" spans="1:15">
      <c r="A12407" t="s">
        <v>42948</v>
      </c>
      <c r="B12407" t="s">
        <v>42949</v>
      </c>
      <c r="C12407" t="s">
        <v>42949</v>
      </c>
      <c r="D12407" t="s">
        <v>42950</v>
      </c>
      <c r="E12407" t="b">
        <v>0</v>
      </c>
      <c r="F12407" t="s">
        <v>11624</v>
      </c>
      <c r="G12407">
        <v>-11.1823</v>
      </c>
      <c r="H12407">
        <v>132.58699999999999</v>
      </c>
      <c r="I12407" t="s">
        <v>42951</v>
      </c>
      <c r="L12407">
        <v>0</v>
      </c>
      <c r="M12407">
        <v>0</v>
      </c>
      <c r="N12407">
        <v>0</v>
      </c>
      <c r="O12407" t="s">
        <v>12107</v>
      </c>
    </row>
    <row r="12408" spans="1:15">
      <c r="A12408" t="s">
        <v>30175</v>
      </c>
      <c r="B12408" t="s">
        <v>10597</v>
      </c>
      <c r="C12408" t="s">
        <v>2618</v>
      </c>
      <c r="D12408" t="s">
        <v>42952</v>
      </c>
      <c r="E12408" t="b">
        <v>0</v>
      </c>
      <c r="F12408" t="s">
        <v>11622</v>
      </c>
      <c r="L12408">
        <v>0</v>
      </c>
      <c r="M12408">
        <v>2</v>
      </c>
      <c r="N12408">
        <v>0</v>
      </c>
    </row>
    <row r="12409" spans="1:15">
      <c r="A12409" t="s">
        <v>42953</v>
      </c>
      <c r="B12409" t="s">
        <v>10597</v>
      </c>
      <c r="C12409" t="s">
        <v>30175</v>
      </c>
      <c r="D12409" t="s">
        <v>42954</v>
      </c>
      <c r="E12409" t="b">
        <v>0</v>
      </c>
      <c r="F12409" t="s">
        <v>11624</v>
      </c>
      <c r="G12409">
        <v>-26.789000000000001</v>
      </c>
      <c r="H12409">
        <v>144.892</v>
      </c>
      <c r="I12409" t="s">
        <v>42955</v>
      </c>
      <c r="L12409">
        <v>0</v>
      </c>
      <c r="M12409">
        <v>0</v>
      </c>
      <c r="N12409">
        <v>0</v>
      </c>
      <c r="O12409" t="s">
        <v>12107</v>
      </c>
    </row>
    <row r="12410" spans="1:15">
      <c r="A12410" t="s">
        <v>42956</v>
      </c>
      <c r="B12410" t="s">
        <v>141</v>
      </c>
      <c r="C12410" t="s">
        <v>23337</v>
      </c>
      <c r="D12410" t="s">
        <v>42957</v>
      </c>
      <c r="E12410" t="b">
        <v>0</v>
      </c>
      <c r="F12410" t="s">
        <v>11624</v>
      </c>
      <c r="G12410">
        <v>-9.8446300000000004</v>
      </c>
      <c r="H12410">
        <v>-76.498099999999994</v>
      </c>
      <c r="I12410" t="s">
        <v>42958</v>
      </c>
      <c r="L12410">
        <v>0</v>
      </c>
      <c r="M12410">
        <v>0</v>
      </c>
      <c r="N12410">
        <v>0</v>
      </c>
      <c r="O12410" t="s">
        <v>11778</v>
      </c>
    </row>
    <row r="12411" spans="1:15">
      <c r="A12411" t="s">
        <v>30070</v>
      </c>
      <c r="B12411" t="s">
        <v>11607</v>
      </c>
      <c r="C12411" t="s">
        <v>18903</v>
      </c>
      <c r="D12411" t="s">
        <v>42959</v>
      </c>
      <c r="E12411" t="b">
        <v>0</v>
      </c>
      <c r="F12411" t="s">
        <v>11624</v>
      </c>
      <c r="G12411">
        <v>10.93854</v>
      </c>
      <c r="H12411">
        <v>13.052099999999999</v>
      </c>
      <c r="I12411" t="s">
        <v>42960</v>
      </c>
      <c r="L12411">
        <v>0</v>
      </c>
      <c r="M12411">
        <v>0</v>
      </c>
      <c r="N12411">
        <v>4</v>
      </c>
      <c r="O12411" t="s">
        <v>11693</v>
      </c>
    </row>
    <row r="12412" spans="1:15">
      <c r="A12412" t="s">
        <v>42961</v>
      </c>
      <c r="B12412" t="s">
        <v>11607</v>
      </c>
      <c r="C12412" t="s">
        <v>31612</v>
      </c>
      <c r="D12412" t="s">
        <v>42962</v>
      </c>
      <c r="E12412" t="b">
        <v>0</v>
      </c>
      <c r="F12412" t="s">
        <v>11624</v>
      </c>
      <c r="G12412">
        <v>10.538539999999999</v>
      </c>
      <c r="H12412">
        <v>12.99521</v>
      </c>
      <c r="I12412" t="s">
        <v>42963</v>
      </c>
      <c r="L12412">
        <v>0</v>
      </c>
      <c r="M12412">
        <v>0</v>
      </c>
      <c r="N12412">
        <v>0</v>
      </c>
      <c r="O12412" t="s">
        <v>11693</v>
      </c>
    </row>
    <row r="12413" spans="1:15">
      <c r="A12413" t="s">
        <v>20462</v>
      </c>
      <c r="B12413" t="s">
        <v>11607</v>
      </c>
      <c r="C12413" t="s">
        <v>18913</v>
      </c>
      <c r="D12413" t="s">
        <v>42964</v>
      </c>
      <c r="E12413" t="b">
        <v>0</v>
      </c>
      <c r="F12413" t="s">
        <v>11622</v>
      </c>
      <c r="L12413">
        <v>13</v>
      </c>
      <c r="M12413">
        <v>25</v>
      </c>
      <c r="N12413">
        <v>37</v>
      </c>
    </row>
    <row r="12414" spans="1:15">
      <c r="A12414" t="s">
        <v>42965</v>
      </c>
      <c r="B12414" t="s">
        <v>11637</v>
      </c>
      <c r="C12414" t="s">
        <v>19820</v>
      </c>
      <c r="D12414" t="s">
        <v>42966</v>
      </c>
      <c r="E12414" t="b">
        <v>0</v>
      </c>
      <c r="F12414" t="s">
        <v>11610</v>
      </c>
      <c r="L12414">
        <v>0</v>
      </c>
      <c r="M12414">
        <v>0</v>
      </c>
      <c r="N12414">
        <v>0</v>
      </c>
    </row>
    <row r="12415" spans="1:15">
      <c r="A12415" t="s">
        <v>3473</v>
      </c>
      <c r="B12415" t="s">
        <v>12260</v>
      </c>
      <c r="C12415" t="s">
        <v>12260</v>
      </c>
      <c r="D12415" t="s">
        <v>3472</v>
      </c>
      <c r="E12415" t="b">
        <v>0</v>
      </c>
      <c r="F12415" t="s">
        <v>11622</v>
      </c>
      <c r="I12415" t="s">
        <v>3474</v>
      </c>
      <c r="L12415">
        <v>0</v>
      </c>
      <c r="M12415">
        <v>2</v>
      </c>
      <c r="N12415">
        <v>3</v>
      </c>
      <c r="O12415" t="s">
        <v>12748</v>
      </c>
    </row>
    <row r="12416" spans="1:15">
      <c r="A12416" t="s">
        <v>42967</v>
      </c>
      <c r="B12416" t="s">
        <v>11981</v>
      </c>
      <c r="C12416" t="s">
        <v>16847</v>
      </c>
      <c r="D12416" t="s">
        <v>42968</v>
      </c>
      <c r="E12416" t="b">
        <v>0</v>
      </c>
      <c r="F12416" t="s">
        <v>11624</v>
      </c>
      <c r="G12416">
        <v>45.042700000000004</v>
      </c>
      <c r="H12416">
        <v>-63.881</v>
      </c>
      <c r="I12416" t="s">
        <v>42969</v>
      </c>
      <c r="L12416">
        <v>0</v>
      </c>
      <c r="M12416">
        <v>0</v>
      </c>
      <c r="N12416">
        <v>0</v>
      </c>
      <c r="O12416" t="s">
        <v>13049</v>
      </c>
    </row>
    <row r="12417" spans="1:15">
      <c r="A12417" t="s">
        <v>42970</v>
      </c>
      <c r="B12417" t="s">
        <v>11637</v>
      </c>
      <c r="C12417" t="s">
        <v>4958</v>
      </c>
      <c r="D12417" t="s">
        <v>42971</v>
      </c>
      <c r="E12417" t="b">
        <v>0</v>
      </c>
      <c r="F12417" t="s">
        <v>11610</v>
      </c>
      <c r="L12417">
        <v>0</v>
      </c>
      <c r="M12417">
        <v>0</v>
      </c>
      <c r="N12417">
        <v>0</v>
      </c>
    </row>
    <row r="12418" spans="1:15">
      <c r="A12418" t="s">
        <v>42972</v>
      </c>
      <c r="B12418" t="s">
        <v>11637</v>
      </c>
      <c r="C12418" t="s">
        <v>24239</v>
      </c>
      <c r="D12418" t="s">
        <v>42973</v>
      </c>
      <c r="E12418" t="b">
        <v>0</v>
      </c>
      <c r="F12418" t="s">
        <v>11610</v>
      </c>
      <c r="L12418">
        <v>0</v>
      </c>
      <c r="M12418">
        <v>0</v>
      </c>
      <c r="N12418">
        <v>0</v>
      </c>
    </row>
    <row r="12419" spans="1:15">
      <c r="A12419" t="s">
        <v>42974</v>
      </c>
      <c r="B12419" t="s">
        <v>331</v>
      </c>
      <c r="C12419" t="s">
        <v>20233</v>
      </c>
      <c r="D12419" t="s">
        <v>42975</v>
      </c>
      <c r="E12419" t="b">
        <v>0</v>
      </c>
      <c r="F12419" t="s">
        <v>11610</v>
      </c>
      <c r="L12419">
        <v>0</v>
      </c>
      <c r="M12419">
        <v>0</v>
      </c>
      <c r="N12419">
        <v>0</v>
      </c>
    </row>
    <row r="12420" spans="1:15">
      <c r="A12420" t="s">
        <v>11845</v>
      </c>
      <c r="B12420" t="s">
        <v>11844</v>
      </c>
      <c r="C12420" t="s">
        <v>29038</v>
      </c>
      <c r="D12420" t="s">
        <v>42976</v>
      </c>
      <c r="E12420" t="b">
        <v>0</v>
      </c>
      <c r="F12420" t="s">
        <v>11624</v>
      </c>
      <c r="G12420">
        <v>19.787500000000001</v>
      </c>
      <c r="H12420">
        <v>79.914400000000001</v>
      </c>
      <c r="I12420" t="s">
        <v>42977</v>
      </c>
      <c r="L12420">
        <v>0</v>
      </c>
      <c r="M12420">
        <v>0</v>
      </c>
      <c r="N12420">
        <v>4</v>
      </c>
      <c r="O12420" t="s">
        <v>11630</v>
      </c>
    </row>
    <row r="12421" spans="1:15">
      <c r="A12421" t="s">
        <v>36280</v>
      </c>
      <c r="B12421" t="s">
        <v>11644</v>
      </c>
      <c r="C12421" t="s">
        <v>42978</v>
      </c>
      <c r="D12421" t="s">
        <v>42979</v>
      </c>
      <c r="E12421" t="b">
        <v>0</v>
      </c>
      <c r="F12421" t="s">
        <v>11622</v>
      </c>
      <c r="L12421">
        <v>0</v>
      </c>
      <c r="M12421">
        <v>2</v>
      </c>
      <c r="N12421">
        <v>0</v>
      </c>
    </row>
    <row r="12422" spans="1:15">
      <c r="A12422" t="s">
        <v>42980</v>
      </c>
      <c r="B12422" t="s">
        <v>11644</v>
      </c>
      <c r="C12422" t="s">
        <v>36280</v>
      </c>
      <c r="D12422" t="s">
        <v>42981</v>
      </c>
      <c r="E12422" t="b">
        <v>0</v>
      </c>
      <c r="F12422" t="s">
        <v>11624</v>
      </c>
      <c r="G12422">
        <v>24.285399999999999</v>
      </c>
      <c r="H12422">
        <v>94.072299999999998</v>
      </c>
      <c r="I12422" t="s">
        <v>42982</v>
      </c>
      <c r="L12422">
        <v>0</v>
      </c>
      <c r="M12422">
        <v>0</v>
      </c>
      <c r="N12422">
        <v>0</v>
      </c>
      <c r="O12422" t="s">
        <v>11630</v>
      </c>
    </row>
    <row r="12423" spans="1:15">
      <c r="A12423" t="s">
        <v>42983</v>
      </c>
      <c r="B12423" t="s">
        <v>13434</v>
      </c>
      <c r="C12423" t="s">
        <v>19879</v>
      </c>
      <c r="D12423" t="s">
        <v>42984</v>
      </c>
      <c r="E12423" t="b">
        <v>0</v>
      </c>
      <c r="F12423" t="s">
        <v>11624</v>
      </c>
      <c r="G12423">
        <v>-14.178800000000001</v>
      </c>
      <c r="H12423">
        <v>130.56100000000001</v>
      </c>
      <c r="I12423" t="s">
        <v>42985</v>
      </c>
      <c r="L12423">
        <v>0</v>
      </c>
      <c r="M12423">
        <v>0</v>
      </c>
      <c r="N12423">
        <v>0</v>
      </c>
      <c r="O12423" t="s">
        <v>12107</v>
      </c>
    </row>
    <row r="12424" spans="1:15">
      <c r="A12424" t="s">
        <v>42986</v>
      </c>
      <c r="B12424" t="s">
        <v>13434</v>
      </c>
      <c r="C12424" t="s">
        <v>19879</v>
      </c>
      <c r="D12424" t="s">
        <v>42987</v>
      </c>
      <c r="E12424" t="b">
        <v>0</v>
      </c>
      <c r="F12424" t="s">
        <v>11622</v>
      </c>
      <c r="L12424">
        <v>0</v>
      </c>
      <c r="M12424">
        <v>2</v>
      </c>
      <c r="N12424">
        <v>0</v>
      </c>
    </row>
    <row r="12425" spans="1:15">
      <c r="A12425" t="s">
        <v>42988</v>
      </c>
      <c r="B12425" t="s">
        <v>13434</v>
      </c>
      <c r="C12425" t="s">
        <v>42986</v>
      </c>
      <c r="D12425" t="s">
        <v>42989</v>
      </c>
      <c r="E12425" t="b">
        <v>0</v>
      </c>
      <c r="F12425" t="s">
        <v>11624</v>
      </c>
      <c r="G12425">
        <v>-14.3819</v>
      </c>
      <c r="H12425">
        <v>130.25</v>
      </c>
      <c r="I12425" t="s">
        <v>42990</v>
      </c>
      <c r="L12425">
        <v>0</v>
      </c>
      <c r="M12425">
        <v>0</v>
      </c>
      <c r="N12425">
        <v>0</v>
      </c>
      <c r="O12425" t="s">
        <v>12107</v>
      </c>
    </row>
    <row r="12426" spans="1:15">
      <c r="A12426" t="s">
        <v>42991</v>
      </c>
      <c r="B12426" t="s">
        <v>13434</v>
      </c>
      <c r="C12426" t="s">
        <v>19879</v>
      </c>
      <c r="D12426" t="s">
        <v>42992</v>
      </c>
      <c r="E12426" t="b">
        <v>0</v>
      </c>
      <c r="F12426" t="s">
        <v>11622</v>
      </c>
      <c r="L12426">
        <v>0</v>
      </c>
      <c r="M12426">
        <v>5</v>
      </c>
      <c r="N12426">
        <v>4</v>
      </c>
    </row>
    <row r="12427" spans="1:15">
      <c r="A12427" t="s">
        <v>42993</v>
      </c>
      <c r="B12427" t="s">
        <v>13434</v>
      </c>
      <c r="C12427" t="s">
        <v>42991</v>
      </c>
      <c r="D12427" t="s">
        <v>42994</v>
      </c>
      <c r="E12427" t="b">
        <v>0</v>
      </c>
      <c r="F12427" t="s">
        <v>11624</v>
      </c>
      <c r="G12427">
        <v>-13.875400000000001</v>
      </c>
      <c r="H12427">
        <v>129.84399999999999</v>
      </c>
      <c r="I12427" t="s">
        <v>42995</v>
      </c>
      <c r="L12427">
        <v>0</v>
      </c>
      <c r="M12427">
        <v>0</v>
      </c>
      <c r="N12427">
        <v>0</v>
      </c>
      <c r="O12427" t="s">
        <v>12107</v>
      </c>
    </row>
    <row r="12428" spans="1:15">
      <c r="A12428" t="s">
        <v>42996</v>
      </c>
      <c r="B12428" t="s">
        <v>13434</v>
      </c>
      <c r="C12428" t="s">
        <v>42991</v>
      </c>
      <c r="D12428" t="s">
        <v>42997</v>
      </c>
      <c r="E12428" t="b">
        <v>0</v>
      </c>
      <c r="F12428" t="s">
        <v>11624</v>
      </c>
      <c r="G12428">
        <v>-14.0542</v>
      </c>
      <c r="H12428">
        <v>130.07900000000001</v>
      </c>
      <c r="I12428" t="s">
        <v>42998</v>
      </c>
      <c r="L12428">
        <v>0</v>
      </c>
      <c r="M12428">
        <v>0</v>
      </c>
      <c r="N12428">
        <v>0</v>
      </c>
      <c r="O12428" t="s">
        <v>12107</v>
      </c>
    </row>
    <row r="12429" spans="1:15">
      <c r="A12429" t="s">
        <v>42999</v>
      </c>
      <c r="B12429" t="s">
        <v>13434</v>
      </c>
      <c r="C12429" t="s">
        <v>42991</v>
      </c>
      <c r="D12429" t="s">
        <v>43000</v>
      </c>
      <c r="E12429" t="b">
        <v>0</v>
      </c>
      <c r="F12429" t="s">
        <v>11624</v>
      </c>
      <c r="G12429">
        <v>-13.768700000000001</v>
      </c>
      <c r="H12429">
        <v>129.876</v>
      </c>
      <c r="I12429" t="s">
        <v>43001</v>
      </c>
      <c r="L12429">
        <v>0</v>
      </c>
      <c r="M12429">
        <v>0</v>
      </c>
      <c r="N12429">
        <v>0</v>
      </c>
      <c r="O12429" t="s">
        <v>12107</v>
      </c>
    </row>
    <row r="12430" spans="1:15">
      <c r="A12430" t="s">
        <v>42931</v>
      </c>
      <c r="B12430" t="s">
        <v>13434</v>
      </c>
      <c r="C12430" t="s">
        <v>42991</v>
      </c>
      <c r="D12430" t="s">
        <v>43002</v>
      </c>
      <c r="E12430" t="b">
        <v>0</v>
      </c>
      <c r="F12430" t="s">
        <v>11624</v>
      </c>
      <c r="G12430">
        <v>-13.8818</v>
      </c>
      <c r="H12430">
        <v>130.23699999999999</v>
      </c>
      <c r="I12430" t="s">
        <v>43003</v>
      </c>
      <c r="L12430">
        <v>0</v>
      </c>
      <c r="M12430">
        <v>0</v>
      </c>
      <c r="N12430">
        <v>4</v>
      </c>
      <c r="O12430" t="s">
        <v>12107</v>
      </c>
    </row>
    <row r="12431" spans="1:15">
      <c r="A12431" t="s">
        <v>43004</v>
      </c>
      <c r="B12431" t="s">
        <v>367</v>
      </c>
      <c r="C12431" t="s">
        <v>15756</v>
      </c>
      <c r="D12431" t="s">
        <v>43005</v>
      </c>
      <c r="E12431" t="b">
        <v>0</v>
      </c>
      <c r="F12431" t="s">
        <v>11624</v>
      </c>
      <c r="G12431">
        <v>-14.970046999999999</v>
      </c>
      <c r="H12431">
        <v>168.057941</v>
      </c>
      <c r="I12431" t="s">
        <v>43006</v>
      </c>
      <c r="L12431">
        <v>0</v>
      </c>
      <c r="M12431">
        <v>0</v>
      </c>
      <c r="N12431">
        <v>0</v>
      </c>
      <c r="O12431" t="s">
        <v>12719</v>
      </c>
    </row>
    <row r="12432" spans="1:15">
      <c r="A12432" t="s">
        <v>43007</v>
      </c>
      <c r="B12432" t="s">
        <v>367</v>
      </c>
      <c r="C12432" t="s">
        <v>22390</v>
      </c>
      <c r="D12432" t="s">
        <v>43008</v>
      </c>
      <c r="E12432" t="b">
        <v>0</v>
      </c>
      <c r="F12432" t="s">
        <v>11610</v>
      </c>
      <c r="L12432">
        <v>0</v>
      </c>
      <c r="M12432">
        <v>0</v>
      </c>
      <c r="N12432">
        <v>0</v>
      </c>
    </row>
    <row r="12433" spans="1:15">
      <c r="A12433" t="s">
        <v>43009</v>
      </c>
      <c r="B12433" t="s">
        <v>367</v>
      </c>
      <c r="C12433" t="s">
        <v>18572</v>
      </c>
      <c r="D12433" t="s">
        <v>43010</v>
      </c>
      <c r="E12433" t="b">
        <v>0</v>
      </c>
      <c r="F12433" t="s">
        <v>11624</v>
      </c>
      <c r="G12433">
        <v>-5.3490000000000002</v>
      </c>
      <c r="H12433">
        <v>145.59</v>
      </c>
      <c r="I12433" t="s">
        <v>43011</v>
      </c>
      <c r="L12433">
        <v>0</v>
      </c>
      <c r="M12433">
        <v>0</v>
      </c>
      <c r="N12433">
        <v>3</v>
      </c>
      <c r="O12433" t="s">
        <v>11660</v>
      </c>
    </row>
    <row r="12434" spans="1:15">
      <c r="A12434" t="s">
        <v>43012</v>
      </c>
      <c r="B12434" t="s">
        <v>367</v>
      </c>
      <c r="C12434" t="s">
        <v>43013</v>
      </c>
      <c r="D12434" t="s">
        <v>43014</v>
      </c>
      <c r="E12434" t="b">
        <v>0</v>
      </c>
      <c r="F12434" t="s">
        <v>11624</v>
      </c>
      <c r="G12434">
        <v>-5.9739899999999997</v>
      </c>
      <c r="H12434">
        <v>145.828</v>
      </c>
      <c r="I12434" t="s">
        <v>43015</v>
      </c>
      <c r="L12434">
        <v>0</v>
      </c>
      <c r="M12434">
        <v>0</v>
      </c>
      <c r="N12434">
        <v>0</v>
      </c>
      <c r="O12434" t="s">
        <v>11660</v>
      </c>
    </row>
    <row r="12435" spans="1:15">
      <c r="A12435" t="s">
        <v>43016</v>
      </c>
      <c r="B12435" t="s">
        <v>367</v>
      </c>
      <c r="C12435" t="s">
        <v>17464</v>
      </c>
      <c r="D12435" t="s">
        <v>43017</v>
      </c>
      <c r="E12435" t="b">
        <v>0</v>
      </c>
      <c r="F12435" t="s">
        <v>11624</v>
      </c>
      <c r="G12435">
        <v>-6.15097</v>
      </c>
      <c r="H12435">
        <v>134.88106999999999</v>
      </c>
      <c r="I12435" t="s">
        <v>43018</v>
      </c>
      <c r="L12435">
        <v>0</v>
      </c>
      <c r="M12435">
        <v>0</v>
      </c>
      <c r="N12435">
        <v>0</v>
      </c>
      <c r="O12435" t="s">
        <v>11768</v>
      </c>
    </row>
    <row r="12436" spans="1:15">
      <c r="A12436" t="s">
        <v>43019</v>
      </c>
      <c r="B12436" t="s">
        <v>367</v>
      </c>
      <c r="C12436" t="s">
        <v>17378</v>
      </c>
      <c r="D12436" t="s">
        <v>43020</v>
      </c>
      <c r="E12436" t="b">
        <v>0</v>
      </c>
      <c r="F12436" t="s">
        <v>11610</v>
      </c>
      <c r="L12436">
        <v>0</v>
      </c>
      <c r="M12436">
        <v>0</v>
      </c>
      <c r="N12436">
        <v>0</v>
      </c>
    </row>
    <row r="12437" spans="1:15">
      <c r="A12437" t="s">
        <v>43021</v>
      </c>
      <c r="B12437" t="s">
        <v>11705</v>
      </c>
      <c r="C12437" t="s">
        <v>18838</v>
      </c>
      <c r="D12437" t="s">
        <v>43022</v>
      </c>
      <c r="E12437" t="b">
        <v>0</v>
      </c>
      <c r="F12437" t="s">
        <v>11624</v>
      </c>
      <c r="G12437">
        <v>-4.4643600000000001</v>
      </c>
      <c r="H12437">
        <v>142.96299999999999</v>
      </c>
      <c r="I12437" t="s">
        <v>43023</v>
      </c>
      <c r="L12437">
        <v>0</v>
      </c>
      <c r="M12437">
        <v>0</v>
      </c>
      <c r="N12437">
        <v>0</v>
      </c>
      <c r="O12437" t="s">
        <v>11660</v>
      </c>
    </row>
    <row r="12438" spans="1:15">
      <c r="A12438" t="s">
        <v>20336</v>
      </c>
      <c r="B12438" t="s">
        <v>11834</v>
      </c>
      <c r="C12438" t="s">
        <v>11834</v>
      </c>
      <c r="D12438" t="s">
        <v>43024</v>
      </c>
      <c r="E12438" t="b">
        <v>0</v>
      </c>
      <c r="F12438" t="s">
        <v>11622</v>
      </c>
      <c r="L12438">
        <v>2</v>
      </c>
      <c r="M12438">
        <v>7</v>
      </c>
      <c r="N12438">
        <v>5</v>
      </c>
    </row>
    <row r="12439" spans="1:15">
      <c r="A12439" t="s">
        <v>43025</v>
      </c>
      <c r="B12439" t="s">
        <v>15142</v>
      </c>
      <c r="C12439" t="s">
        <v>16952</v>
      </c>
      <c r="D12439" t="s">
        <v>43026</v>
      </c>
      <c r="E12439" t="b">
        <v>0</v>
      </c>
      <c r="F12439" t="s">
        <v>11610</v>
      </c>
      <c r="L12439">
        <v>0</v>
      </c>
      <c r="M12439">
        <v>0</v>
      </c>
      <c r="N12439">
        <v>0</v>
      </c>
    </row>
    <row r="12440" spans="1:15">
      <c r="A12440" t="s">
        <v>7854</v>
      </c>
      <c r="B12440" t="s">
        <v>11615</v>
      </c>
      <c r="C12440" t="s">
        <v>33520</v>
      </c>
      <c r="D12440" t="s">
        <v>7853</v>
      </c>
      <c r="E12440" t="b">
        <v>0</v>
      </c>
      <c r="F12440" t="s">
        <v>11624</v>
      </c>
      <c r="G12440">
        <v>-5.44015</v>
      </c>
      <c r="H12440">
        <v>144.642</v>
      </c>
      <c r="I12440" t="s">
        <v>7855</v>
      </c>
      <c r="L12440">
        <v>0</v>
      </c>
      <c r="M12440">
        <v>0</v>
      </c>
      <c r="N12440">
        <v>6</v>
      </c>
      <c r="O12440" t="s">
        <v>11660</v>
      </c>
    </row>
    <row r="12441" spans="1:15">
      <c r="A12441" t="s">
        <v>43027</v>
      </c>
      <c r="B12441" t="s">
        <v>11615</v>
      </c>
      <c r="C12441" t="s">
        <v>29490</v>
      </c>
      <c r="D12441" t="s">
        <v>43028</v>
      </c>
      <c r="E12441" t="b">
        <v>0</v>
      </c>
      <c r="F12441" t="s">
        <v>11610</v>
      </c>
      <c r="L12441">
        <v>0</v>
      </c>
      <c r="M12441">
        <v>0</v>
      </c>
      <c r="N12441">
        <v>0</v>
      </c>
    </row>
    <row r="12442" spans="1:15">
      <c r="A12442" t="s">
        <v>19005</v>
      </c>
      <c r="B12442" t="s">
        <v>11794</v>
      </c>
      <c r="C12442" t="s">
        <v>11794</v>
      </c>
      <c r="D12442" t="s">
        <v>43029</v>
      </c>
      <c r="E12442" t="b">
        <v>0</v>
      </c>
      <c r="F12442" t="s">
        <v>11622</v>
      </c>
      <c r="L12442">
        <v>3</v>
      </c>
      <c r="M12442">
        <v>6</v>
      </c>
      <c r="N12442">
        <v>17</v>
      </c>
    </row>
    <row r="12443" spans="1:15">
      <c r="A12443" t="s">
        <v>13519</v>
      </c>
      <c r="B12443" t="s">
        <v>13518</v>
      </c>
      <c r="C12443" t="s">
        <v>13518</v>
      </c>
      <c r="D12443" t="s">
        <v>43030</v>
      </c>
      <c r="E12443" t="b">
        <v>0</v>
      </c>
      <c r="F12443" t="s">
        <v>11624</v>
      </c>
      <c r="G12443">
        <v>-9.9298199999999994</v>
      </c>
      <c r="H12443">
        <v>148.303</v>
      </c>
      <c r="I12443" t="s">
        <v>43031</v>
      </c>
      <c r="L12443">
        <v>0</v>
      </c>
      <c r="M12443">
        <v>0</v>
      </c>
      <c r="N12443">
        <v>7</v>
      </c>
      <c r="O12443" t="s">
        <v>11660</v>
      </c>
    </row>
    <row r="12444" spans="1:15">
      <c r="A12444" t="s">
        <v>43032</v>
      </c>
      <c r="B12444" t="s">
        <v>13518</v>
      </c>
      <c r="C12444" t="s">
        <v>13519</v>
      </c>
      <c r="D12444" t="s">
        <v>43033</v>
      </c>
      <c r="E12444" t="b">
        <v>0</v>
      </c>
      <c r="F12444" t="s">
        <v>11610</v>
      </c>
      <c r="L12444">
        <v>0</v>
      </c>
      <c r="M12444">
        <v>0</v>
      </c>
      <c r="N12444">
        <v>0</v>
      </c>
    </row>
    <row r="12445" spans="1:15">
      <c r="A12445" t="s">
        <v>43034</v>
      </c>
      <c r="B12445" t="s">
        <v>23233</v>
      </c>
      <c r="C12445" t="s">
        <v>43035</v>
      </c>
      <c r="D12445" t="s">
        <v>43036</v>
      </c>
      <c r="E12445" t="b">
        <v>0</v>
      </c>
      <c r="F12445" t="s">
        <v>11624</v>
      </c>
      <c r="G12445">
        <v>33.512300000000003</v>
      </c>
      <c r="H12445">
        <v>-111.749</v>
      </c>
      <c r="I12445" t="s">
        <v>43037</v>
      </c>
      <c r="L12445">
        <v>0</v>
      </c>
      <c r="M12445">
        <v>0</v>
      </c>
      <c r="N12445">
        <v>0</v>
      </c>
      <c r="O12445" t="s">
        <v>11944</v>
      </c>
    </row>
    <row r="12446" spans="1:15">
      <c r="A12446" t="s">
        <v>43038</v>
      </c>
      <c r="B12446" t="s">
        <v>17579</v>
      </c>
      <c r="C12446" t="s">
        <v>19039</v>
      </c>
      <c r="D12446" t="s">
        <v>43039</v>
      </c>
      <c r="E12446" t="b">
        <v>0</v>
      </c>
      <c r="F12446" t="s">
        <v>11610</v>
      </c>
      <c r="L12446">
        <v>0</v>
      </c>
      <c r="M12446">
        <v>0</v>
      </c>
      <c r="N12446">
        <v>0</v>
      </c>
    </row>
    <row r="12447" spans="1:15">
      <c r="A12447" t="s">
        <v>14676</v>
      </c>
      <c r="B12447" t="s">
        <v>11912</v>
      </c>
      <c r="C12447" t="s">
        <v>43040</v>
      </c>
      <c r="D12447" t="s">
        <v>43041</v>
      </c>
      <c r="E12447" t="b">
        <v>0</v>
      </c>
      <c r="F12447" t="s">
        <v>11624</v>
      </c>
      <c r="G12447">
        <v>-11.583299999999999</v>
      </c>
      <c r="H12447">
        <v>-53.966700000000003</v>
      </c>
      <c r="I12447" t="s">
        <v>43042</v>
      </c>
      <c r="L12447">
        <v>0</v>
      </c>
      <c r="M12447">
        <v>0</v>
      </c>
      <c r="N12447">
        <v>1</v>
      </c>
      <c r="O12447" t="s">
        <v>11969</v>
      </c>
    </row>
    <row r="12448" spans="1:15">
      <c r="A12448" t="s">
        <v>43043</v>
      </c>
      <c r="B12448" t="s">
        <v>13244</v>
      </c>
      <c r="C12448" t="s">
        <v>22280</v>
      </c>
      <c r="D12448" t="s">
        <v>43044</v>
      </c>
      <c r="E12448" t="b">
        <v>0</v>
      </c>
      <c r="F12448" t="s">
        <v>11610</v>
      </c>
      <c r="L12448">
        <v>0</v>
      </c>
      <c r="M12448">
        <v>0</v>
      </c>
      <c r="N12448">
        <v>0</v>
      </c>
    </row>
    <row r="12449" spans="1:15">
      <c r="A12449" t="s">
        <v>43045</v>
      </c>
      <c r="B12449" t="s">
        <v>11637</v>
      </c>
      <c r="C12449" t="s">
        <v>2756</v>
      </c>
      <c r="D12449" t="s">
        <v>43046</v>
      </c>
      <c r="E12449" t="b">
        <v>0</v>
      </c>
      <c r="F12449" t="s">
        <v>11610</v>
      </c>
      <c r="L12449">
        <v>0</v>
      </c>
      <c r="M12449">
        <v>0</v>
      </c>
      <c r="N12449">
        <v>0</v>
      </c>
    </row>
    <row r="12450" spans="1:15">
      <c r="A12450" t="s">
        <v>26495</v>
      </c>
      <c r="B12450" t="s">
        <v>10597</v>
      </c>
      <c r="C12450" t="s">
        <v>30308</v>
      </c>
      <c r="D12450" t="s">
        <v>43047</v>
      </c>
      <c r="E12450" t="b">
        <v>0</v>
      </c>
      <c r="F12450" t="s">
        <v>11622</v>
      </c>
      <c r="L12450">
        <v>5</v>
      </c>
      <c r="M12450">
        <v>15</v>
      </c>
      <c r="N12450">
        <v>0</v>
      </c>
    </row>
    <row r="12451" spans="1:15">
      <c r="A12451" t="s">
        <v>43048</v>
      </c>
      <c r="B12451" t="s">
        <v>13450</v>
      </c>
      <c r="C12451" t="s">
        <v>43049</v>
      </c>
      <c r="D12451" t="s">
        <v>43050</v>
      </c>
      <c r="E12451" t="b">
        <v>0</v>
      </c>
      <c r="F12451" t="s">
        <v>11624</v>
      </c>
      <c r="G12451">
        <v>-16.593828999999999</v>
      </c>
      <c r="H12451">
        <v>-148.42672999999999</v>
      </c>
      <c r="L12451">
        <v>0</v>
      </c>
      <c r="M12451">
        <v>0</v>
      </c>
      <c r="N12451">
        <v>0</v>
      </c>
      <c r="O12451" t="s">
        <v>15193</v>
      </c>
    </row>
    <row r="12452" spans="1:15">
      <c r="A12452" t="s">
        <v>43051</v>
      </c>
      <c r="B12452" t="s">
        <v>6742</v>
      </c>
      <c r="C12452" t="s">
        <v>25385</v>
      </c>
      <c r="D12452" t="s">
        <v>43052</v>
      </c>
      <c r="E12452" t="b">
        <v>0</v>
      </c>
      <c r="F12452" t="s">
        <v>11610</v>
      </c>
      <c r="L12452">
        <v>0</v>
      </c>
      <c r="M12452">
        <v>0</v>
      </c>
      <c r="N12452">
        <v>0</v>
      </c>
    </row>
    <row r="12453" spans="1:15">
      <c r="A12453" t="s">
        <v>27198</v>
      </c>
      <c r="B12453" t="s">
        <v>11757</v>
      </c>
      <c r="C12453" t="s">
        <v>43053</v>
      </c>
      <c r="D12453" t="s">
        <v>43054</v>
      </c>
      <c r="E12453" t="b">
        <v>0</v>
      </c>
      <c r="F12453" t="s">
        <v>11624</v>
      </c>
      <c r="G12453">
        <v>1.15018</v>
      </c>
      <c r="H12453">
        <v>35.586599999999997</v>
      </c>
      <c r="I12453" t="s">
        <v>43055</v>
      </c>
      <c r="L12453">
        <v>0</v>
      </c>
      <c r="M12453">
        <v>0</v>
      </c>
      <c r="N12453">
        <v>2</v>
      </c>
      <c r="O12453" t="s">
        <v>22848</v>
      </c>
    </row>
    <row r="12454" spans="1:15">
      <c r="A12454" t="s">
        <v>28698</v>
      </c>
      <c r="B12454" t="s">
        <v>13276</v>
      </c>
      <c r="C12454" t="s">
        <v>16407</v>
      </c>
      <c r="D12454" t="s">
        <v>43056</v>
      </c>
      <c r="E12454" t="b">
        <v>0</v>
      </c>
      <c r="F12454" t="s">
        <v>11624</v>
      </c>
      <c r="G12454">
        <v>12.7178</v>
      </c>
      <c r="H12454">
        <v>-3.5835499999999998</v>
      </c>
      <c r="I12454" t="s">
        <v>43057</v>
      </c>
      <c r="L12454">
        <v>0</v>
      </c>
      <c r="M12454">
        <v>0</v>
      </c>
      <c r="N12454">
        <v>3</v>
      </c>
      <c r="O12454" t="s">
        <v>19384</v>
      </c>
    </row>
    <row r="12455" spans="1:15">
      <c r="A12455" t="s">
        <v>8719</v>
      </c>
      <c r="B12455" t="s">
        <v>367</v>
      </c>
      <c r="C12455" t="s">
        <v>31742</v>
      </c>
      <c r="D12455" t="s">
        <v>43058</v>
      </c>
      <c r="E12455" t="b">
        <v>0</v>
      </c>
      <c r="F12455" t="s">
        <v>11622</v>
      </c>
      <c r="L12455">
        <v>5</v>
      </c>
      <c r="M12455">
        <v>15</v>
      </c>
      <c r="N12455">
        <v>2</v>
      </c>
    </row>
    <row r="12456" spans="1:15">
      <c r="A12456" t="s">
        <v>43059</v>
      </c>
      <c r="B12456" t="s">
        <v>11644</v>
      </c>
      <c r="C12456" t="s">
        <v>14284</v>
      </c>
      <c r="D12456" t="s">
        <v>43060</v>
      </c>
      <c r="E12456" t="b">
        <v>0</v>
      </c>
      <c r="F12456" t="s">
        <v>11624</v>
      </c>
      <c r="G12456">
        <v>22.759948000000001</v>
      </c>
      <c r="H12456">
        <v>92.210747999999995</v>
      </c>
      <c r="I12456" t="s">
        <v>43061</v>
      </c>
      <c r="L12456">
        <v>0</v>
      </c>
      <c r="M12456">
        <v>0</v>
      </c>
      <c r="N12456">
        <v>0</v>
      </c>
      <c r="O12456" t="s">
        <v>15054</v>
      </c>
    </row>
    <row r="12457" spans="1:15">
      <c r="A12457" t="s">
        <v>21784</v>
      </c>
      <c r="B12457" t="s">
        <v>9897</v>
      </c>
      <c r="C12457" t="s">
        <v>9897</v>
      </c>
      <c r="D12457" t="s">
        <v>43062</v>
      </c>
      <c r="E12457" t="b">
        <v>0</v>
      </c>
      <c r="F12457" t="s">
        <v>11622</v>
      </c>
      <c r="L12457">
        <v>1</v>
      </c>
      <c r="M12457">
        <v>3</v>
      </c>
      <c r="N12457">
        <v>8</v>
      </c>
    </row>
    <row r="12458" spans="1:15">
      <c r="A12458" t="s">
        <v>43063</v>
      </c>
      <c r="B12458" t="s">
        <v>6742</v>
      </c>
      <c r="C12458" t="s">
        <v>11986</v>
      </c>
      <c r="D12458" t="s">
        <v>43064</v>
      </c>
      <c r="E12458" t="b">
        <v>0</v>
      </c>
      <c r="F12458" t="s">
        <v>11610</v>
      </c>
      <c r="L12458">
        <v>0</v>
      </c>
      <c r="M12458">
        <v>0</v>
      </c>
      <c r="N12458">
        <v>0</v>
      </c>
    </row>
    <row r="12459" spans="1:15">
      <c r="A12459" t="s">
        <v>43065</v>
      </c>
      <c r="B12459" t="s">
        <v>367</v>
      </c>
      <c r="C12459" t="s">
        <v>43066</v>
      </c>
      <c r="D12459" t="s">
        <v>43067</v>
      </c>
      <c r="E12459" t="b">
        <v>0</v>
      </c>
      <c r="F12459" t="s">
        <v>11624</v>
      </c>
      <c r="G12459">
        <v>-8.3794299999999993</v>
      </c>
      <c r="H12459">
        <v>157.74700000000001</v>
      </c>
      <c r="I12459" t="s">
        <v>43068</v>
      </c>
      <c r="L12459">
        <v>0</v>
      </c>
      <c r="M12459">
        <v>0</v>
      </c>
      <c r="N12459">
        <v>0</v>
      </c>
      <c r="O12459" t="s">
        <v>13346</v>
      </c>
    </row>
    <row r="12460" spans="1:15">
      <c r="A12460" t="s">
        <v>43069</v>
      </c>
      <c r="B12460" t="s">
        <v>367</v>
      </c>
      <c r="C12460" t="s">
        <v>5401</v>
      </c>
      <c r="D12460" t="s">
        <v>43070</v>
      </c>
      <c r="E12460" t="b">
        <v>0</v>
      </c>
      <c r="F12460" t="s">
        <v>11610</v>
      </c>
      <c r="L12460">
        <v>0</v>
      </c>
      <c r="M12460">
        <v>0</v>
      </c>
      <c r="N12460">
        <v>0</v>
      </c>
    </row>
    <row r="12461" spans="1:15">
      <c r="A12461" t="s">
        <v>16258</v>
      </c>
      <c r="B12461" t="s">
        <v>11607</v>
      </c>
      <c r="C12461" t="s">
        <v>18913</v>
      </c>
      <c r="D12461" t="s">
        <v>43071</v>
      </c>
      <c r="E12461" t="b">
        <v>0</v>
      </c>
      <c r="F12461" t="s">
        <v>11622</v>
      </c>
      <c r="L12461">
        <v>0</v>
      </c>
      <c r="M12461">
        <v>3</v>
      </c>
      <c r="N12461">
        <v>4</v>
      </c>
    </row>
    <row r="12462" spans="1:15">
      <c r="A12462" t="s">
        <v>43066</v>
      </c>
      <c r="B12462" t="s">
        <v>367</v>
      </c>
      <c r="C12462" t="s">
        <v>26578</v>
      </c>
      <c r="D12462" t="s">
        <v>43072</v>
      </c>
      <c r="E12462" t="b">
        <v>0</v>
      </c>
      <c r="F12462" t="s">
        <v>11622</v>
      </c>
      <c r="L12462">
        <v>0</v>
      </c>
      <c r="M12462">
        <v>2</v>
      </c>
      <c r="N12462">
        <v>2</v>
      </c>
    </row>
    <row r="12463" spans="1:15">
      <c r="A12463" t="s">
        <v>43073</v>
      </c>
      <c r="B12463" t="s">
        <v>11644</v>
      </c>
      <c r="C12463" t="s">
        <v>149</v>
      </c>
      <c r="D12463" t="s">
        <v>43074</v>
      </c>
      <c r="E12463" t="b">
        <v>0</v>
      </c>
      <c r="F12463" t="s">
        <v>11610</v>
      </c>
      <c r="L12463">
        <v>0</v>
      </c>
      <c r="M12463">
        <v>0</v>
      </c>
      <c r="N12463">
        <v>0</v>
      </c>
    </row>
    <row r="12464" spans="1:15">
      <c r="A12464" t="s">
        <v>2796</v>
      </c>
      <c r="B12464" t="s">
        <v>367</v>
      </c>
      <c r="C12464" t="s">
        <v>21542</v>
      </c>
      <c r="D12464" t="s">
        <v>43075</v>
      </c>
      <c r="E12464" t="b">
        <v>0</v>
      </c>
      <c r="F12464" t="s">
        <v>11622</v>
      </c>
      <c r="L12464">
        <v>0</v>
      </c>
      <c r="M12464">
        <v>2</v>
      </c>
      <c r="N12464">
        <v>7</v>
      </c>
    </row>
    <row r="12465" spans="1:15">
      <c r="A12465" t="s">
        <v>43076</v>
      </c>
      <c r="B12465" t="s">
        <v>13434</v>
      </c>
      <c r="C12465" t="s">
        <v>42931</v>
      </c>
      <c r="D12465" t="s">
        <v>43077</v>
      </c>
      <c r="E12465" t="b">
        <v>0</v>
      </c>
      <c r="F12465" t="s">
        <v>11610</v>
      </c>
      <c r="L12465">
        <v>0</v>
      </c>
      <c r="M12465">
        <v>0</v>
      </c>
      <c r="N12465">
        <v>0</v>
      </c>
    </row>
    <row r="12466" spans="1:15">
      <c r="A12466" t="s">
        <v>43078</v>
      </c>
      <c r="B12466" t="s">
        <v>13434</v>
      </c>
      <c r="C12466" t="s">
        <v>42931</v>
      </c>
      <c r="D12466" t="s">
        <v>43079</v>
      </c>
      <c r="E12466" t="b">
        <v>0</v>
      </c>
      <c r="F12466" t="s">
        <v>11610</v>
      </c>
      <c r="L12466">
        <v>0</v>
      </c>
      <c r="M12466">
        <v>0</v>
      </c>
      <c r="N12466">
        <v>0</v>
      </c>
    </row>
    <row r="12467" spans="1:15">
      <c r="A12467" t="s">
        <v>43080</v>
      </c>
      <c r="B12467" t="s">
        <v>13434</v>
      </c>
      <c r="C12467" t="s">
        <v>42991</v>
      </c>
      <c r="D12467" t="s">
        <v>43081</v>
      </c>
      <c r="E12467" t="b">
        <v>0</v>
      </c>
      <c r="F12467" t="s">
        <v>11624</v>
      </c>
      <c r="G12467">
        <v>-12.28</v>
      </c>
      <c r="H12467">
        <v>130.5</v>
      </c>
      <c r="I12467" t="s">
        <v>43082</v>
      </c>
      <c r="L12467">
        <v>0</v>
      </c>
      <c r="M12467">
        <v>0</v>
      </c>
      <c r="N12467">
        <v>0</v>
      </c>
      <c r="O12467" t="s">
        <v>12107</v>
      </c>
    </row>
    <row r="12468" spans="1:15">
      <c r="A12468" t="s">
        <v>42949</v>
      </c>
      <c r="D12468" t="s">
        <v>43083</v>
      </c>
      <c r="E12468" t="b">
        <v>0</v>
      </c>
      <c r="F12468" t="s">
        <v>11622</v>
      </c>
      <c r="L12468">
        <v>0</v>
      </c>
      <c r="M12468">
        <v>2</v>
      </c>
      <c r="N12468">
        <v>0</v>
      </c>
    </row>
    <row r="12469" spans="1:15">
      <c r="A12469" t="s">
        <v>43084</v>
      </c>
      <c r="B12469" t="s">
        <v>10597</v>
      </c>
      <c r="C12469" t="s">
        <v>668</v>
      </c>
      <c r="D12469" t="s">
        <v>43085</v>
      </c>
      <c r="E12469" t="b">
        <v>0</v>
      </c>
      <c r="F12469" t="s">
        <v>11610</v>
      </c>
      <c r="L12469">
        <v>0</v>
      </c>
      <c r="M12469">
        <v>0</v>
      </c>
      <c r="N12469">
        <v>0</v>
      </c>
    </row>
    <row r="12470" spans="1:15">
      <c r="A12470" t="s">
        <v>43086</v>
      </c>
      <c r="B12470" t="s">
        <v>10597</v>
      </c>
      <c r="C12470" t="s">
        <v>668</v>
      </c>
      <c r="D12470" t="s">
        <v>43087</v>
      </c>
      <c r="E12470" t="b">
        <v>0</v>
      </c>
      <c r="F12470" t="s">
        <v>11610</v>
      </c>
      <c r="L12470">
        <v>0</v>
      </c>
      <c r="M12470">
        <v>0</v>
      </c>
      <c r="N12470">
        <v>0</v>
      </c>
    </row>
    <row r="12471" spans="1:15">
      <c r="A12471" t="s">
        <v>43088</v>
      </c>
      <c r="B12471" t="s">
        <v>6742</v>
      </c>
      <c r="C12471" t="s">
        <v>14829</v>
      </c>
      <c r="D12471" t="s">
        <v>43089</v>
      </c>
      <c r="E12471" t="b">
        <v>0</v>
      </c>
      <c r="F12471" t="s">
        <v>11610</v>
      </c>
      <c r="L12471">
        <v>0</v>
      </c>
      <c r="M12471">
        <v>0</v>
      </c>
      <c r="N12471">
        <v>0</v>
      </c>
    </row>
    <row r="12472" spans="1:15">
      <c r="A12472" t="s">
        <v>43090</v>
      </c>
      <c r="B12472" t="s">
        <v>11607</v>
      </c>
      <c r="C12472" t="s">
        <v>27826</v>
      </c>
      <c r="D12472" t="s">
        <v>43091</v>
      </c>
      <c r="E12472" t="b">
        <v>0</v>
      </c>
      <c r="F12472" t="s">
        <v>11610</v>
      </c>
      <c r="L12472">
        <v>0</v>
      </c>
      <c r="M12472">
        <v>0</v>
      </c>
      <c r="N12472">
        <v>0</v>
      </c>
    </row>
    <row r="12473" spans="1:15">
      <c r="A12473" t="s">
        <v>35055</v>
      </c>
      <c r="B12473" t="s">
        <v>10597</v>
      </c>
      <c r="C12473" t="s">
        <v>24550</v>
      </c>
      <c r="D12473" t="s">
        <v>43092</v>
      </c>
      <c r="E12473" t="b">
        <v>0</v>
      </c>
      <c r="F12473" t="s">
        <v>11622</v>
      </c>
      <c r="L12473">
        <v>0</v>
      </c>
      <c r="M12473">
        <v>3</v>
      </c>
      <c r="N12473">
        <v>5</v>
      </c>
    </row>
    <row r="12474" spans="1:15">
      <c r="A12474" t="s">
        <v>43093</v>
      </c>
      <c r="B12474" t="s">
        <v>11637</v>
      </c>
      <c r="C12474" t="s">
        <v>30993</v>
      </c>
      <c r="D12474" t="s">
        <v>43094</v>
      </c>
      <c r="E12474" t="b">
        <v>0</v>
      </c>
      <c r="F12474" t="s">
        <v>11610</v>
      </c>
      <c r="L12474">
        <v>0</v>
      </c>
      <c r="M12474">
        <v>0</v>
      </c>
      <c r="N12474">
        <v>0</v>
      </c>
    </row>
    <row r="12475" spans="1:15">
      <c r="A12475" t="s">
        <v>43095</v>
      </c>
      <c r="B12475" t="s">
        <v>11981</v>
      </c>
      <c r="C12475" t="s">
        <v>28088</v>
      </c>
      <c r="D12475" t="s">
        <v>43096</v>
      </c>
      <c r="E12475" t="b">
        <v>0</v>
      </c>
      <c r="F12475" t="s">
        <v>11610</v>
      </c>
      <c r="G12475">
        <v>43.292301000000002</v>
      </c>
      <c r="H12475">
        <v>5.3701869999999996</v>
      </c>
      <c r="L12475">
        <v>0</v>
      </c>
      <c r="M12475">
        <v>0</v>
      </c>
      <c r="N12475">
        <v>0</v>
      </c>
    </row>
    <row r="12476" spans="1:15">
      <c r="A12476" t="s">
        <v>43097</v>
      </c>
      <c r="B12476" t="s">
        <v>11637</v>
      </c>
      <c r="C12476" t="s">
        <v>18489</v>
      </c>
      <c r="D12476" t="s">
        <v>43098</v>
      </c>
      <c r="E12476" t="b">
        <v>0</v>
      </c>
      <c r="F12476" t="s">
        <v>11610</v>
      </c>
      <c r="L12476">
        <v>0</v>
      </c>
      <c r="M12476">
        <v>0</v>
      </c>
      <c r="N12476">
        <v>0</v>
      </c>
    </row>
    <row r="12477" spans="1:15">
      <c r="A12477" t="s">
        <v>43099</v>
      </c>
      <c r="B12477" t="s">
        <v>11637</v>
      </c>
      <c r="C12477" t="s">
        <v>12166</v>
      </c>
      <c r="D12477" t="s">
        <v>43100</v>
      </c>
      <c r="E12477" t="b">
        <v>0</v>
      </c>
      <c r="F12477" t="s">
        <v>11610</v>
      </c>
      <c r="L12477">
        <v>0</v>
      </c>
      <c r="M12477">
        <v>0</v>
      </c>
      <c r="N12477">
        <v>0</v>
      </c>
    </row>
    <row r="12478" spans="1:15">
      <c r="A12478" t="s">
        <v>43101</v>
      </c>
      <c r="B12478" t="s">
        <v>367</v>
      </c>
      <c r="C12478" t="s">
        <v>43102</v>
      </c>
      <c r="D12478" t="s">
        <v>43103</v>
      </c>
      <c r="E12478" t="b">
        <v>0</v>
      </c>
      <c r="F12478" t="s">
        <v>11624</v>
      </c>
      <c r="G12478">
        <v>8.7200000000000006</v>
      </c>
      <c r="H12478">
        <v>167.73</v>
      </c>
      <c r="I12478" t="s">
        <v>43104</v>
      </c>
      <c r="L12478">
        <v>0</v>
      </c>
      <c r="M12478">
        <v>0</v>
      </c>
      <c r="N12478">
        <v>2</v>
      </c>
      <c r="O12478" t="s">
        <v>43105</v>
      </c>
    </row>
    <row r="12479" spans="1:15">
      <c r="A12479" t="s">
        <v>43106</v>
      </c>
      <c r="B12479" t="s">
        <v>11981</v>
      </c>
      <c r="C12479" t="s">
        <v>11982</v>
      </c>
      <c r="D12479" t="s">
        <v>43107</v>
      </c>
      <c r="E12479" t="b">
        <v>0</v>
      </c>
      <c r="F12479" t="s">
        <v>11624</v>
      </c>
      <c r="G12479">
        <v>41.414541999999997</v>
      </c>
      <c r="H12479">
        <v>-70.625275000000002</v>
      </c>
      <c r="I12479" t="s">
        <v>43108</v>
      </c>
      <c r="L12479">
        <v>0</v>
      </c>
      <c r="M12479">
        <v>0</v>
      </c>
      <c r="N12479">
        <v>0</v>
      </c>
      <c r="O12479" t="s">
        <v>11944</v>
      </c>
    </row>
    <row r="12480" spans="1:15">
      <c r="A12480" t="s">
        <v>43109</v>
      </c>
      <c r="B12480" t="s">
        <v>12438</v>
      </c>
      <c r="C12480" t="s">
        <v>16890</v>
      </c>
      <c r="D12480" t="s">
        <v>43110</v>
      </c>
      <c r="E12480" t="b">
        <v>0</v>
      </c>
      <c r="F12480" t="s">
        <v>11610</v>
      </c>
      <c r="L12480">
        <v>0</v>
      </c>
      <c r="M12480">
        <v>0</v>
      </c>
      <c r="N12480">
        <v>0</v>
      </c>
    </row>
    <row r="12481" spans="1:15">
      <c r="A12481" t="s">
        <v>43111</v>
      </c>
      <c r="B12481" t="s">
        <v>13434</v>
      </c>
      <c r="C12481" t="s">
        <v>42986</v>
      </c>
      <c r="D12481" t="s">
        <v>43112</v>
      </c>
      <c r="E12481" t="b">
        <v>0</v>
      </c>
      <c r="F12481" t="s">
        <v>11624</v>
      </c>
      <c r="G12481">
        <v>-14.005800000000001</v>
      </c>
      <c r="H12481">
        <v>129.83699999999999</v>
      </c>
      <c r="I12481" t="s">
        <v>43113</v>
      </c>
      <c r="L12481">
        <v>0</v>
      </c>
      <c r="M12481">
        <v>0</v>
      </c>
      <c r="N12481">
        <v>0</v>
      </c>
      <c r="O12481" t="s">
        <v>12107</v>
      </c>
    </row>
    <row r="12482" spans="1:15">
      <c r="A12482" t="s">
        <v>43114</v>
      </c>
      <c r="B12482" t="s">
        <v>10597</v>
      </c>
      <c r="C12482" t="s">
        <v>21819</v>
      </c>
      <c r="D12482" t="s">
        <v>43115</v>
      </c>
      <c r="E12482" t="b">
        <v>0</v>
      </c>
      <c r="F12482" t="s">
        <v>11624</v>
      </c>
      <c r="G12482">
        <v>-20.929400000000001</v>
      </c>
      <c r="H12482">
        <v>116.607</v>
      </c>
      <c r="I12482" t="s">
        <v>43116</v>
      </c>
      <c r="L12482">
        <v>0</v>
      </c>
      <c r="M12482">
        <v>0</v>
      </c>
      <c r="N12482">
        <v>0</v>
      </c>
      <c r="O12482" t="s">
        <v>12107</v>
      </c>
    </row>
    <row r="12483" spans="1:15">
      <c r="A12483" t="s">
        <v>35274</v>
      </c>
      <c r="B12483" t="s">
        <v>10597</v>
      </c>
      <c r="C12483" t="s">
        <v>43117</v>
      </c>
      <c r="D12483" t="s">
        <v>43118</v>
      </c>
      <c r="E12483" t="b">
        <v>0</v>
      </c>
      <c r="F12483" t="s">
        <v>11624</v>
      </c>
      <c r="G12483">
        <v>-24.319400000000002</v>
      </c>
      <c r="H12483">
        <v>121.95399999999999</v>
      </c>
      <c r="I12483" t="s">
        <v>43119</v>
      </c>
      <c r="L12483">
        <v>0</v>
      </c>
      <c r="M12483">
        <v>0</v>
      </c>
      <c r="N12483">
        <v>5</v>
      </c>
      <c r="O12483" t="s">
        <v>12107</v>
      </c>
    </row>
    <row r="12484" spans="1:15">
      <c r="A12484" t="s">
        <v>43120</v>
      </c>
      <c r="B12484" t="s">
        <v>10597</v>
      </c>
      <c r="C12484" t="s">
        <v>10030</v>
      </c>
      <c r="D12484" t="s">
        <v>43121</v>
      </c>
      <c r="E12484" t="b">
        <v>0</v>
      </c>
      <c r="F12484" t="s">
        <v>11622</v>
      </c>
      <c r="L12484">
        <v>1</v>
      </c>
      <c r="M12484">
        <v>3</v>
      </c>
      <c r="N12484">
        <v>5</v>
      </c>
    </row>
    <row r="12485" spans="1:15">
      <c r="A12485" t="s">
        <v>23834</v>
      </c>
      <c r="B12485" t="s">
        <v>11644</v>
      </c>
      <c r="C12485" t="s">
        <v>43122</v>
      </c>
      <c r="D12485" t="s">
        <v>43123</v>
      </c>
      <c r="E12485" t="b">
        <v>0</v>
      </c>
      <c r="F12485" t="s">
        <v>11624</v>
      </c>
      <c r="G12485">
        <v>24.942534999999999</v>
      </c>
      <c r="H12485">
        <v>99.833799999999997</v>
      </c>
      <c r="I12485" t="s">
        <v>43124</v>
      </c>
      <c r="L12485">
        <v>0</v>
      </c>
      <c r="M12485">
        <v>0</v>
      </c>
      <c r="N12485">
        <v>7</v>
      </c>
      <c r="O12485" t="s">
        <v>11892</v>
      </c>
    </row>
    <row r="12486" spans="1:15">
      <c r="A12486" t="s">
        <v>43125</v>
      </c>
      <c r="B12486" t="s">
        <v>11615</v>
      </c>
      <c r="C12486" t="s">
        <v>37398</v>
      </c>
      <c r="D12486" t="s">
        <v>43126</v>
      </c>
      <c r="E12486" t="b">
        <v>0</v>
      </c>
      <c r="F12486" t="s">
        <v>11610</v>
      </c>
      <c r="L12486">
        <v>0</v>
      </c>
      <c r="M12486">
        <v>0</v>
      </c>
      <c r="N12486">
        <v>0</v>
      </c>
    </row>
    <row r="12487" spans="1:15">
      <c r="A12487" t="s">
        <v>43127</v>
      </c>
      <c r="B12487" t="s">
        <v>13244</v>
      </c>
      <c r="C12487" t="s">
        <v>19277</v>
      </c>
      <c r="D12487" t="s">
        <v>43128</v>
      </c>
      <c r="E12487" t="b">
        <v>0</v>
      </c>
      <c r="F12487" t="s">
        <v>11622</v>
      </c>
      <c r="L12487">
        <v>0</v>
      </c>
      <c r="M12487">
        <v>2</v>
      </c>
      <c r="N12487">
        <v>4</v>
      </c>
    </row>
    <row r="12488" spans="1:15">
      <c r="A12488" t="s">
        <v>43129</v>
      </c>
      <c r="B12488" t="s">
        <v>13244</v>
      </c>
      <c r="C12488" t="s">
        <v>43127</v>
      </c>
      <c r="D12488" t="s">
        <v>43130</v>
      </c>
      <c r="E12488" t="b">
        <v>0</v>
      </c>
      <c r="F12488" t="s">
        <v>11624</v>
      </c>
      <c r="G12488">
        <v>-6.60703</v>
      </c>
      <c r="H12488">
        <v>-72.402699999999996</v>
      </c>
      <c r="I12488" t="s">
        <v>43131</v>
      </c>
      <c r="L12488">
        <v>0</v>
      </c>
      <c r="M12488">
        <v>0</v>
      </c>
      <c r="N12488">
        <v>0</v>
      </c>
      <c r="O12488" t="s">
        <v>11969</v>
      </c>
    </row>
    <row r="12489" spans="1:15">
      <c r="A12489" t="s">
        <v>43132</v>
      </c>
      <c r="B12489" t="s">
        <v>34173</v>
      </c>
      <c r="C12489" t="s">
        <v>42739</v>
      </c>
      <c r="D12489" t="s">
        <v>43133</v>
      </c>
      <c r="E12489" t="b">
        <v>0</v>
      </c>
      <c r="F12489" t="s">
        <v>11610</v>
      </c>
      <c r="L12489">
        <v>0</v>
      </c>
      <c r="M12489">
        <v>0</v>
      </c>
      <c r="N12489">
        <v>0</v>
      </c>
    </row>
    <row r="12490" spans="1:15">
      <c r="A12490" t="s">
        <v>43134</v>
      </c>
      <c r="B12490" t="s">
        <v>11637</v>
      </c>
      <c r="C12490" t="s">
        <v>18293</v>
      </c>
      <c r="D12490" t="s">
        <v>43135</v>
      </c>
      <c r="E12490" t="b">
        <v>0</v>
      </c>
      <c r="F12490" t="s">
        <v>11624</v>
      </c>
      <c r="G12490">
        <v>28.324200000000001</v>
      </c>
      <c r="H12490">
        <v>71.567099999999996</v>
      </c>
      <c r="I12490" t="s">
        <v>43136</v>
      </c>
      <c r="L12490">
        <v>0</v>
      </c>
      <c r="M12490">
        <v>0</v>
      </c>
      <c r="N12490">
        <v>5</v>
      </c>
      <c r="O12490" t="s">
        <v>15870</v>
      </c>
    </row>
    <row r="12491" spans="1:15">
      <c r="A12491" t="s">
        <v>43137</v>
      </c>
      <c r="B12491" t="s">
        <v>11637</v>
      </c>
      <c r="C12491" t="s">
        <v>43134</v>
      </c>
      <c r="D12491" t="s">
        <v>43138</v>
      </c>
      <c r="E12491" t="b">
        <v>0</v>
      </c>
      <c r="F12491" t="s">
        <v>11610</v>
      </c>
      <c r="L12491">
        <v>0</v>
      </c>
      <c r="M12491">
        <v>0</v>
      </c>
      <c r="N12491">
        <v>0</v>
      </c>
    </row>
    <row r="12492" spans="1:15">
      <c r="A12492" t="s">
        <v>43139</v>
      </c>
      <c r="B12492" t="s">
        <v>11637</v>
      </c>
      <c r="C12492" t="s">
        <v>43134</v>
      </c>
      <c r="D12492" t="s">
        <v>43140</v>
      </c>
      <c r="E12492" t="b">
        <v>0</v>
      </c>
      <c r="F12492" t="s">
        <v>11610</v>
      </c>
      <c r="L12492">
        <v>0</v>
      </c>
      <c r="M12492">
        <v>0</v>
      </c>
      <c r="N12492">
        <v>0</v>
      </c>
    </row>
    <row r="12493" spans="1:15">
      <c r="A12493" t="s">
        <v>43141</v>
      </c>
      <c r="B12493" t="s">
        <v>11637</v>
      </c>
      <c r="C12493" t="s">
        <v>43134</v>
      </c>
      <c r="D12493" t="s">
        <v>43142</v>
      </c>
      <c r="E12493" t="b">
        <v>0</v>
      </c>
      <c r="F12493" t="s">
        <v>11610</v>
      </c>
      <c r="L12493">
        <v>0</v>
      </c>
      <c r="M12493">
        <v>0</v>
      </c>
      <c r="N12493">
        <v>0</v>
      </c>
    </row>
    <row r="12494" spans="1:15">
      <c r="A12494" t="s">
        <v>17121</v>
      </c>
      <c r="B12494" t="s">
        <v>11637</v>
      </c>
      <c r="C12494" t="s">
        <v>29438</v>
      </c>
      <c r="D12494" t="s">
        <v>43143</v>
      </c>
      <c r="E12494" t="b">
        <v>0</v>
      </c>
      <c r="F12494" t="s">
        <v>11624</v>
      </c>
      <c r="G12494">
        <v>27.001999999999999</v>
      </c>
      <c r="H12494">
        <v>75.065600000000003</v>
      </c>
      <c r="I12494" t="s">
        <v>43144</v>
      </c>
      <c r="L12494">
        <v>0</v>
      </c>
      <c r="M12494">
        <v>0</v>
      </c>
      <c r="N12494">
        <v>1</v>
      </c>
      <c r="O12494" t="s">
        <v>43145</v>
      </c>
    </row>
    <row r="12495" spans="1:15">
      <c r="A12495" t="s">
        <v>43146</v>
      </c>
      <c r="B12495" t="s">
        <v>11607</v>
      </c>
      <c r="C12495" t="s">
        <v>11608</v>
      </c>
      <c r="D12495" t="s">
        <v>43147</v>
      </c>
      <c r="E12495" t="b">
        <v>0</v>
      </c>
      <c r="F12495" t="s">
        <v>11610</v>
      </c>
      <c r="L12495">
        <v>0</v>
      </c>
      <c r="M12495">
        <v>0</v>
      </c>
      <c r="N12495">
        <v>0</v>
      </c>
    </row>
    <row r="12496" spans="1:15">
      <c r="A12496" t="s">
        <v>43148</v>
      </c>
      <c r="B12496" t="s">
        <v>11607</v>
      </c>
      <c r="C12496" t="s">
        <v>11608</v>
      </c>
      <c r="D12496" t="s">
        <v>43149</v>
      </c>
      <c r="E12496" t="b">
        <v>0</v>
      </c>
      <c r="F12496" t="s">
        <v>11610</v>
      </c>
      <c r="L12496">
        <v>0</v>
      </c>
      <c r="M12496">
        <v>0</v>
      </c>
      <c r="N12496">
        <v>0</v>
      </c>
    </row>
    <row r="12497" spans="1:15">
      <c r="A12497" t="s">
        <v>43150</v>
      </c>
      <c r="B12497" t="s">
        <v>11637</v>
      </c>
      <c r="C12497" t="s">
        <v>12777</v>
      </c>
      <c r="D12497" t="s">
        <v>43151</v>
      </c>
      <c r="E12497" t="b">
        <v>0</v>
      </c>
      <c r="F12497" t="s">
        <v>11610</v>
      </c>
      <c r="L12497">
        <v>0</v>
      </c>
      <c r="M12497">
        <v>0</v>
      </c>
      <c r="N12497">
        <v>0</v>
      </c>
    </row>
    <row r="12498" spans="1:15">
      <c r="A12498" t="s">
        <v>43152</v>
      </c>
      <c r="B12498" t="s">
        <v>6742</v>
      </c>
      <c r="C12498" t="s">
        <v>34566</v>
      </c>
      <c r="D12498" t="s">
        <v>43153</v>
      </c>
      <c r="E12498" t="b">
        <v>0</v>
      </c>
      <c r="F12498" t="s">
        <v>11610</v>
      </c>
      <c r="L12498">
        <v>0</v>
      </c>
      <c r="M12498">
        <v>0</v>
      </c>
      <c r="N12498">
        <v>0</v>
      </c>
    </row>
    <row r="12499" spans="1:15">
      <c r="A12499" t="s">
        <v>43154</v>
      </c>
      <c r="B12499" t="s">
        <v>6742</v>
      </c>
      <c r="C12499" t="s">
        <v>19672</v>
      </c>
      <c r="D12499" t="s">
        <v>43155</v>
      </c>
      <c r="E12499" t="b">
        <v>0</v>
      </c>
      <c r="F12499" t="s">
        <v>11610</v>
      </c>
      <c r="L12499">
        <v>0</v>
      </c>
      <c r="M12499">
        <v>0</v>
      </c>
      <c r="N12499">
        <v>0</v>
      </c>
    </row>
    <row r="12500" spans="1:15">
      <c r="A12500" t="s">
        <v>41091</v>
      </c>
      <c r="B12500" t="s">
        <v>6742</v>
      </c>
      <c r="C12500" t="s">
        <v>20190</v>
      </c>
      <c r="D12500" t="s">
        <v>43156</v>
      </c>
      <c r="E12500" t="b">
        <v>0</v>
      </c>
      <c r="F12500" t="s">
        <v>11624</v>
      </c>
      <c r="G12500">
        <v>1.0590599999999999</v>
      </c>
      <c r="H12500">
        <v>34.282899999999998</v>
      </c>
      <c r="I12500" t="s">
        <v>43157</v>
      </c>
      <c r="L12500">
        <v>0</v>
      </c>
      <c r="M12500">
        <v>0</v>
      </c>
      <c r="N12500">
        <v>5</v>
      </c>
      <c r="O12500" t="s">
        <v>12057</v>
      </c>
    </row>
    <row r="12501" spans="1:15">
      <c r="A12501" t="s">
        <v>216</v>
      </c>
      <c r="B12501" t="s">
        <v>11757</v>
      </c>
      <c r="C12501" t="s">
        <v>43158</v>
      </c>
      <c r="D12501" t="s">
        <v>43159</v>
      </c>
      <c r="E12501" t="b">
        <v>0</v>
      </c>
      <c r="F12501" t="s">
        <v>11624</v>
      </c>
      <c r="G12501">
        <v>-3.1419000000000001</v>
      </c>
      <c r="H12501">
        <v>36.457299999999996</v>
      </c>
      <c r="I12501" t="s">
        <v>217</v>
      </c>
      <c r="L12501">
        <v>0</v>
      </c>
      <c r="M12501">
        <v>0</v>
      </c>
      <c r="N12501">
        <v>14</v>
      </c>
      <c r="O12501" t="s">
        <v>14933</v>
      </c>
    </row>
    <row r="12502" spans="1:15">
      <c r="A12502" t="s">
        <v>43160</v>
      </c>
      <c r="B12502" t="s">
        <v>11780</v>
      </c>
      <c r="C12502" t="s">
        <v>41402</v>
      </c>
      <c r="D12502" t="s">
        <v>43161</v>
      </c>
      <c r="E12502" t="b">
        <v>0</v>
      </c>
      <c r="F12502" t="s">
        <v>11622</v>
      </c>
      <c r="L12502">
        <v>0</v>
      </c>
      <c r="M12502">
        <v>3</v>
      </c>
      <c r="N12502">
        <v>5</v>
      </c>
    </row>
    <row r="12503" spans="1:15">
      <c r="A12503" t="s">
        <v>43162</v>
      </c>
      <c r="B12503" t="s">
        <v>3165</v>
      </c>
      <c r="C12503" t="s">
        <v>12432</v>
      </c>
      <c r="D12503" t="s">
        <v>43163</v>
      </c>
      <c r="E12503" t="b">
        <v>0</v>
      </c>
      <c r="F12503" t="s">
        <v>11610</v>
      </c>
      <c r="L12503">
        <v>0</v>
      </c>
      <c r="M12503">
        <v>0</v>
      </c>
      <c r="N12503">
        <v>0</v>
      </c>
    </row>
    <row r="12504" spans="1:15">
      <c r="A12504" t="s">
        <v>43164</v>
      </c>
      <c r="B12504" t="s">
        <v>3165</v>
      </c>
      <c r="C12504" t="s">
        <v>12432</v>
      </c>
      <c r="D12504" t="s">
        <v>43165</v>
      </c>
      <c r="E12504" t="b">
        <v>0</v>
      </c>
      <c r="F12504" t="s">
        <v>11610</v>
      </c>
      <c r="L12504">
        <v>0</v>
      </c>
      <c r="M12504">
        <v>0</v>
      </c>
      <c r="N12504">
        <v>0</v>
      </c>
    </row>
    <row r="12505" spans="1:15">
      <c r="A12505" t="s">
        <v>43166</v>
      </c>
      <c r="B12505" t="s">
        <v>367</v>
      </c>
      <c r="C12505" t="s">
        <v>7268</v>
      </c>
      <c r="D12505" t="s">
        <v>43167</v>
      </c>
      <c r="E12505" t="b">
        <v>0</v>
      </c>
      <c r="F12505" t="s">
        <v>11610</v>
      </c>
      <c r="L12505">
        <v>0</v>
      </c>
      <c r="M12505">
        <v>0</v>
      </c>
      <c r="N12505">
        <v>0</v>
      </c>
    </row>
    <row r="12506" spans="1:15">
      <c r="A12506" t="s">
        <v>43168</v>
      </c>
      <c r="B12506" t="s">
        <v>367</v>
      </c>
      <c r="C12506" t="s">
        <v>20534</v>
      </c>
      <c r="D12506" t="s">
        <v>43169</v>
      </c>
      <c r="E12506" t="b">
        <v>0</v>
      </c>
      <c r="F12506" t="s">
        <v>11610</v>
      </c>
      <c r="L12506">
        <v>0</v>
      </c>
      <c r="M12506">
        <v>0</v>
      </c>
      <c r="N12506">
        <v>0</v>
      </c>
    </row>
    <row r="12507" spans="1:15">
      <c r="A12507" t="s">
        <v>43170</v>
      </c>
      <c r="B12507" t="s">
        <v>367</v>
      </c>
      <c r="C12507" t="s">
        <v>14698</v>
      </c>
      <c r="D12507" t="s">
        <v>43171</v>
      </c>
      <c r="E12507" t="b">
        <v>0</v>
      </c>
      <c r="F12507" t="s">
        <v>11610</v>
      </c>
      <c r="L12507">
        <v>0</v>
      </c>
      <c r="M12507">
        <v>0</v>
      </c>
      <c r="N12507">
        <v>0</v>
      </c>
    </row>
    <row r="12508" spans="1:15">
      <c r="A12508" t="s">
        <v>43172</v>
      </c>
      <c r="B12508" t="s">
        <v>367</v>
      </c>
      <c r="C12508" t="s">
        <v>43173</v>
      </c>
      <c r="D12508" t="s">
        <v>43174</v>
      </c>
      <c r="E12508" t="b">
        <v>0</v>
      </c>
      <c r="F12508" t="s">
        <v>11624</v>
      </c>
      <c r="G12508">
        <v>17.450099999999999</v>
      </c>
      <c r="H12508">
        <v>120.82899999999999</v>
      </c>
      <c r="I12508" t="s">
        <v>43175</v>
      </c>
      <c r="L12508">
        <v>0</v>
      </c>
      <c r="M12508">
        <v>0</v>
      </c>
      <c r="N12508">
        <v>2</v>
      </c>
      <c r="O12508" t="s">
        <v>11749</v>
      </c>
    </row>
    <row r="12509" spans="1:15">
      <c r="A12509" t="s">
        <v>43176</v>
      </c>
      <c r="B12509" t="s">
        <v>367</v>
      </c>
      <c r="C12509" t="s">
        <v>43172</v>
      </c>
      <c r="D12509" t="s">
        <v>43177</v>
      </c>
      <c r="E12509" t="b">
        <v>0</v>
      </c>
      <c r="F12509" t="s">
        <v>11610</v>
      </c>
      <c r="L12509">
        <v>0</v>
      </c>
      <c r="M12509">
        <v>0</v>
      </c>
      <c r="N12509">
        <v>0</v>
      </c>
    </row>
    <row r="12510" spans="1:15">
      <c r="A12510" t="s">
        <v>43178</v>
      </c>
      <c r="B12510" t="s">
        <v>367</v>
      </c>
      <c r="C12510" t="s">
        <v>43172</v>
      </c>
      <c r="D12510" t="s">
        <v>43179</v>
      </c>
      <c r="E12510" t="b">
        <v>0</v>
      </c>
      <c r="F12510" t="s">
        <v>11610</v>
      </c>
      <c r="L12510">
        <v>0</v>
      </c>
      <c r="M12510">
        <v>0</v>
      </c>
      <c r="N12510">
        <v>0</v>
      </c>
    </row>
    <row r="12511" spans="1:15">
      <c r="A12511" t="s">
        <v>43180</v>
      </c>
      <c r="B12511" t="s">
        <v>11834</v>
      </c>
      <c r="C12511" t="s">
        <v>20335</v>
      </c>
      <c r="D12511" t="s">
        <v>43181</v>
      </c>
      <c r="E12511" t="b">
        <v>0</v>
      </c>
      <c r="F12511" t="s">
        <v>11610</v>
      </c>
      <c r="L12511">
        <v>0</v>
      </c>
      <c r="M12511">
        <v>0</v>
      </c>
      <c r="N12511">
        <v>0</v>
      </c>
    </row>
    <row r="12512" spans="1:15">
      <c r="A12512" t="s">
        <v>43182</v>
      </c>
      <c r="B12512" t="s">
        <v>23482</v>
      </c>
      <c r="C12512" t="s">
        <v>23482</v>
      </c>
      <c r="D12512" t="s">
        <v>43183</v>
      </c>
      <c r="E12512" t="b">
        <v>0</v>
      </c>
      <c r="F12512" t="s">
        <v>11624</v>
      </c>
      <c r="G12512">
        <v>-17</v>
      </c>
      <c r="H12512">
        <v>-41.5</v>
      </c>
      <c r="L12512">
        <v>0</v>
      </c>
      <c r="M12512">
        <v>0</v>
      </c>
      <c r="N12512">
        <v>0</v>
      </c>
      <c r="O12512" t="s">
        <v>11969</v>
      </c>
    </row>
    <row r="12513" spans="1:15">
      <c r="A12513" t="s">
        <v>43184</v>
      </c>
      <c r="B12513" t="s">
        <v>12496</v>
      </c>
      <c r="C12513" t="s">
        <v>12496</v>
      </c>
      <c r="D12513" t="s">
        <v>43185</v>
      </c>
      <c r="E12513" t="b">
        <v>0</v>
      </c>
      <c r="F12513" t="s">
        <v>11610</v>
      </c>
      <c r="L12513">
        <v>0</v>
      </c>
      <c r="M12513">
        <v>0</v>
      </c>
      <c r="N12513">
        <v>0</v>
      </c>
    </row>
    <row r="12514" spans="1:15">
      <c r="A12514" t="s">
        <v>16499</v>
      </c>
      <c r="B12514" t="s">
        <v>11607</v>
      </c>
      <c r="C12514" t="s">
        <v>29366</v>
      </c>
      <c r="D12514" t="s">
        <v>43186</v>
      </c>
      <c r="E12514" t="b">
        <v>0</v>
      </c>
      <c r="F12514" t="s">
        <v>11624</v>
      </c>
      <c r="G12514">
        <v>10.060600000000001</v>
      </c>
      <c r="H12514">
        <v>15.4748</v>
      </c>
      <c r="I12514" t="s">
        <v>43187</v>
      </c>
      <c r="L12514">
        <v>0</v>
      </c>
      <c r="M12514">
        <v>0</v>
      </c>
      <c r="N12514">
        <v>12</v>
      </c>
      <c r="O12514" t="s">
        <v>29226</v>
      </c>
    </row>
    <row r="12515" spans="1:15">
      <c r="A12515" t="s">
        <v>43188</v>
      </c>
      <c r="B12515" t="s">
        <v>11607</v>
      </c>
      <c r="C12515" t="s">
        <v>18916</v>
      </c>
      <c r="D12515" t="s">
        <v>43189</v>
      </c>
      <c r="E12515" t="b">
        <v>0</v>
      </c>
      <c r="F12515" t="s">
        <v>11622</v>
      </c>
      <c r="L12515">
        <v>4</v>
      </c>
      <c r="M12515">
        <v>10</v>
      </c>
      <c r="N12515">
        <v>23</v>
      </c>
    </row>
    <row r="12516" spans="1:15">
      <c r="A12516" t="s">
        <v>29366</v>
      </c>
      <c r="B12516" t="s">
        <v>11607</v>
      </c>
      <c r="C12516" t="s">
        <v>42921</v>
      </c>
      <c r="D12516" t="s">
        <v>43190</v>
      </c>
      <c r="E12516" t="b">
        <v>0</v>
      </c>
      <c r="F12516" t="s">
        <v>11622</v>
      </c>
      <c r="L12516">
        <v>0</v>
      </c>
      <c r="M12516">
        <v>3</v>
      </c>
      <c r="N12516">
        <v>12</v>
      </c>
    </row>
    <row r="12517" spans="1:15">
      <c r="A12517" t="s">
        <v>43173</v>
      </c>
      <c r="B12517" t="s">
        <v>367</v>
      </c>
      <c r="C12517" t="s">
        <v>21887</v>
      </c>
      <c r="D12517" t="s">
        <v>43191</v>
      </c>
      <c r="E12517" t="b">
        <v>0</v>
      </c>
      <c r="F12517" t="s">
        <v>11622</v>
      </c>
      <c r="L12517">
        <v>0</v>
      </c>
      <c r="M12517">
        <v>2</v>
      </c>
      <c r="N12517">
        <v>2</v>
      </c>
    </row>
    <row r="12518" spans="1:15">
      <c r="A12518" t="s">
        <v>43192</v>
      </c>
      <c r="B12518" t="s">
        <v>367</v>
      </c>
      <c r="C12518" t="s">
        <v>43193</v>
      </c>
      <c r="D12518" t="s">
        <v>43194</v>
      </c>
      <c r="E12518" t="b">
        <v>0</v>
      </c>
      <c r="F12518" t="s">
        <v>11624</v>
      </c>
      <c r="G12518">
        <v>12.8438</v>
      </c>
      <c r="H12518">
        <v>124.002</v>
      </c>
      <c r="I12518" t="s">
        <v>43195</v>
      </c>
      <c r="L12518">
        <v>0</v>
      </c>
      <c r="M12518">
        <v>0</v>
      </c>
      <c r="N12518">
        <v>0</v>
      </c>
      <c r="O12518" t="s">
        <v>11749</v>
      </c>
    </row>
    <row r="12519" spans="1:15">
      <c r="A12519" t="s">
        <v>43196</v>
      </c>
      <c r="B12519" t="s">
        <v>367</v>
      </c>
      <c r="C12519" t="s">
        <v>43193</v>
      </c>
      <c r="D12519" t="s">
        <v>43197</v>
      </c>
      <c r="E12519" t="b">
        <v>0</v>
      </c>
      <c r="F12519" t="s">
        <v>11624</v>
      </c>
      <c r="G12519">
        <v>12.21453</v>
      </c>
      <c r="H12519">
        <v>123.63579</v>
      </c>
      <c r="I12519" t="s">
        <v>43198</v>
      </c>
      <c r="L12519">
        <v>0</v>
      </c>
      <c r="M12519">
        <v>0</v>
      </c>
      <c r="N12519">
        <v>0</v>
      </c>
      <c r="O12519" t="s">
        <v>11749</v>
      </c>
    </row>
    <row r="12520" spans="1:15">
      <c r="A12520" t="s">
        <v>43193</v>
      </c>
      <c r="B12520" t="s">
        <v>367</v>
      </c>
      <c r="C12520" t="s">
        <v>16818</v>
      </c>
      <c r="D12520" t="s">
        <v>43199</v>
      </c>
      <c r="E12520" t="b">
        <v>0</v>
      </c>
      <c r="F12520" t="s">
        <v>11622</v>
      </c>
      <c r="L12520">
        <v>0</v>
      </c>
      <c r="M12520">
        <v>2</v>
      </c>
      <c r="N12520">
        <v>0</v>
      </c>
    </row>
    <row r="12521" spans="1:15">
      <c r="A12521" t="s">
        <v>43200</v>
      </c>
      <c r="B12521" t="s">
        <v>6742</v>
      </c>
      <c r="C12521" t="s">
        <v>4118</v>
      </c>
      <c r="D12521" t="s">
        <v>43201</v>
      </c>
      <c r="E12521" t="b">
        <v>0</v>
      </c>
      <c r="F12521" t="s">
        <v>11610</v>
      </c>
      <c r="L12521">
        <v>0</v>
      </c>
      <c r="M12521">
        <v>0</v>
      </c>
      <c r="N12521">
        <v>0</v>
      </c>
    </row>
    <row r="12522" spans="1:15">
      <c r="A12522" t="s">
        <v>21566</v>
      </c>
      <c r="B12522" t="s">
        <v>367</v>
      </c>
      <c r="C12522" t="s">
        <v>43202</v>
      </c>
      <c r="D12522" t="s">
        <v>43203</v>
      </c>
      <c r="E12522" t="b">
        <v>0</v>
      </c>
      <c r="F12522" t="s">
        <v>11622</v>
      </c>
      <c r="L12522">
        <v>0</v>
      </c>
      <c r="M12522">
        <v>5</v>
      </c>
      <c r="N12522">
        <v>0</v>
      </c>
    </row>
    <row r="12523" spans="1:15">
      <c r="A12523" t="s">
        <v>25594</v>
      </c>
      <c r="B12523" t="s">
        <v>367</v>
      </c>
      <c r="C12523" t="s">
        <v>42365</v>
      </c>
      <c r="D12523" t="s">
        <v>43204</v>
      </c>
      <c r="E12523" t="b">
        <v>0</v>
      </c>
      <c r="F12523" t="s">
        <v>11622</v>
      </c>
      <c r="L12523">
        <v>0</v>
      </c>
      <c r="M12523">
        <v>4</v>
      </c>
      <c r="N12523">
        <v>5</v>
      </c>
    </row>
    <row r="12524" spans="1:15">
      <c r="A12524" t="s">
        <v>43205</v>
      </c>
      <c r="B12524" t="s">
        <v>6742</v>
      </c>
      <c r="C12524" t="s">
        <v>31948</v>
      </c>
      <c r="D12524" t="s">
        <v>43206</v>
      </c>
      <c r="E12524" t="b">
        <v>0</v>
      </c>
      <c r="F12524" t="s">
        <v>11610</v>
      </c>
      <c r="L12524">
        <v>0</v>
      </c>
      <c r="M12524">
        <v>0</v>
      </c>
      <c r="N12524">
        <v>0</v>
      </c>
    </row>
    <row r="12525" spans="1:15">
      <c r="A12525" t="s">
        <v>43207</v>
      </c>
      <c r="B12525" t="s">
        <v>11607</v>
      </c>
      <c r="C12525" t="s">
        <v>28437</v>
      </c>
      <c r="D12525" t="s">
        <v>43208</v>
      </c>
      <c r="E12525" t="b">
        <v>0</v>
      </c>
      <c r="F12525" t="s">
        <v>11610</v>
      </c>
      <c r="L12525">
        <v>0</v>
      </c>
      <c r="M12525">
        <v>0</v>
      </c>
      <c r="N12525">
        <v>0</v>
      </c>
    </row>
    <row r="12526" spans="1:15">
      <c r="A12526" t="s">
        <v>21313</v>
      </c>
      <c r="B12526" t="s">
        <v>5058</v>
      </c>
      <c r="C12526" t="s">
        <v>22892</v>
      </c>
      <c r="D12526" t="s">
        <v>43209</v>
      </c>
      <c r="E12526" t="b">
        <v>0</v>
      </c>
      <c r="F12526" t="s">
        <v>11622</v>
      </c>
      <c r="L12526">
        <v>0</v>
      </c>
      <c r="M12526">
        <v>4</v>
      </c>
      <c r="N12526">
        <v>0</v>
      </c>
    </row>
    <row r="12527" spans="1:15">
      <c r="A12527" t="s">
        <v>43210</v>
      </c>
      <c r="B12527" t="s">
        <v>11637</v>
      </c>
      <c r="C12527" t="s">
        <v>14273</v>
      </c>
      <c r="D12527" t="s">
        <v>43211</v>
      </c>
      <c r="E12527" t="b">
        <v>0</v>
      </c>
      <c r="F12527" t="s">
        <v>11610</v>
      </c>
      <c r="L12527">
        <v>0</v>
      </c>
      <c r="M12527">
        <v>0</v>
      </c>
      <c r="N12527">
        <v>0</v>
      </c>
    </row>
    <row r="12528" spans="1:15">
      <c r="A12528" t="s">
        <v>43212</v>
      </c>
      <c r="B12528" t="s">
        <v>6742</v>
      </c>
      <c r="C12528" t="s">
        <v>41117</v>
      </c>
      <c r="D12528" t="s">
        <v>43213</v>
      </c>
      <c r="E12528" t="b">
        <v>0</v>
      </c>
      <c r="F12528" t="s">
        <v>11610</v>
      </c>
      <c r="L12528">
        <v>0</v>
      </c>
      <c r="M12528">
        <v>0</v>
      </c>
      <c r="N12528">
        <v>0</v>
      </c>
    </row>
    <row r="12529" spans="1:15">
      <c r="A12529" t="s">
        <v>43214</v>
      </c>
      <c r="B12529" t="s">
        <v>6742</v>
      </c>
      <c r="C12529" t="s">
        <v>35848</v>
      </c>
      <c r="D12529" t="s">
        <v>43215</v>
      </c>
      <c r="E12529" t="b">
        <v>0</v>
      </c>
      <c r="F12529" t="s">
        <v>11610</v>
      </c>
      <c r="L12529">
        <v>0</v>
      </c>
      <c r="M12529">
        <v>0</v>
      </c>
      <c r="N12529">
        <v>0</v>
      </c>
    </row>
    <row r="12530" spans="1:15">
      <c r="A12530" t="s">
        <v>43216</v>
      </c>
      <c r="B12530" t="s">
        <v>6742</v>
      </c>
      <c r="C12530" t="s">
        <v>43217</v>
      </c>
      <c r="D12530" t="s">
        <v>43218</v>
      </c>
      <c r="E12530" t="b">
        <v>0</v>
      </c>
      <c r="F12530" t="s">
        <v>11624</v>
      </c>
      <c r="G12530">
        <v>-16.7256</v>
      </c>
      <c r="H12530">
        <v>22.598299999999998</v>
      </c>
      <c r="I12530" t="s">
        <v>43219</v>
      </c>
      <c r="L12530">
        <v>0</v>
      </c>
      <c r="M12530">
        <v>0</v>
      </c>
      <c r="N12530">
        <v>3</v>
      </c>
      <c r="O12530" t="s">
        <v>41067</v>
      </c>
    </row>
    <row r="12531" spans="1:15">
      <c r="A12531" t="s">
        <v>43220</v>
      </c>
      <c r="B12531" t="s">
        <v>6742</v>
      </c>
      <c r="C12531" t="s">
        <v>43216</v>
      </c>
      <c r="D12531" t="s">
        <v>43221</v>
      </c>
      <c r="E12531" t="b">
        <v>0</v>
      </c>
      <c r="F12531" t="s">
        <v>11610</v>
      </c>
      <c r="L12531">
        <v>0</v>
      </c>
      <c r="M12531">
        <v>0</v>
      </c>
      <c r="N12531">
        <v>0</v>
      </c>
    </row>
    <row r="12532" spans="1:15">
      <c r="A12532" t="s">
        <v>43222</v>
      </c>
      <c r="B12532" t="s">
        <v>6742</v>
      </c>
      <c r="C12532" t="s">
        <v>20199</v>
      </c>
      <c r="D12532" t="s">
        <v>43223</v>
      </c>
      <c r="E12532" t="b">
        <v>0</v>
      </c>
      <c r="F12532" t="s">
        <v>11624</v>
      </c>
      <c r="G12532">
        <v>6.9171899999999997</v>
      </c>
      <c r="H12532">
        <v>10.277799999999999</v>
      </c>
      <c r="I12532" t="s">
        <v>43224</v>
      </c>
      <c r="L12532">
        <v>0</v>
      </c>
      <c r="M12532">
        <v>0</v>
      </c>
      <c r="N12532">
        <v>0</v>
      </c>
      <c r="O12532" t="s">
        <v>11693</v>
      </c>
    </row>
    <row r="12533" spans="1:15">
      <c r="A12533" t="s">
        <v>43225</v>
      </c>
      <c r="B12533" t="s">
        <v>11894</v>
      </c>
      <c r="C12533" t="s">
        <v>43226</v>
      </c>
      <c r="D12533" t="s">
        <v>43227</v>
      </c>
      <c r="E12533" t="b">
        <v>0</v>
      </c>
      <c r="F12533" t="s">
        <v>11624</v>
      </c>
      <c r="G12533">
        <v>-11.474500000000001</v>
      </c>
      <c r="H12533">
        <v>-70.795299999999997</v>
      </c>
      <c r="I12533" t="s">
        <v>43228</v>
      </c>
      <c r="L12533">
        <v>0</v>
      </c>
      <c r="M12533">
        <v>0</v>
      </c>
      <c r="N12533">
        <v>0</v>
      </c>
      <c r="O12533" t="s">
        <v>11778</v>
      </c>
    </row>
    <row r="12534" spans="1:15">
      <c r="A12534" t="s">
        <v>43217</v>
      </c>
      <c r="B12534" t="s">
        <v>6742</v>
      </c>
      <c r="C12534" t="s">
        <v>43229</v>
      </c>
      <c r="D12534" t="s">
        <v>43230</v>
      </c>
      <c r="E12534" t="b">
        <v>0</v>
      </c>
      <c r="F12534" t="s">
        <v>11622</v>
      </c>
      <c r="L12534">
        <v>0</v>
      </c>
      <c r="M12534">
        <v>2</v>
      </c>
      <c r="N12534">
        <v>3</v>
      </c>
    </row>
    <row r="12535" spans="1:15">
      <c r="A12535" t="s">
        <v>43231</v>
      </c>
      <c r="B12535" t="s">
        <v>11981</v>
      </c>
      <c r="C12535" t="s">
        <v>42649</v>
      </c>
      <c r="D12535" t="s">
        <v>43232</v>
      </c>
      <c r="E12535" t="b">
        <v>0</v>
      </c>
      <c r="F12535" t="s">
        <v>11610</v>
      </c>
      <c r="L12535">
        <v>0</v>
      </c>
      <c r="M12535">
        <v>0</v>
      </c>
      <c r="N12535">
        <v>0</v>
      </c>
    </row>
    <row r="12536" spans="1:15">
      <c r="A12536" t="s">
        <v>43233</v>
      </c>
      <c r="B12536" t="s">
        <v>11607</v>
      </c>
      <c r="C12536" t="s">
        <v>29032</v>
      </c>
      <c r="D12536" t="s">
        <v>43234</v>
      </c>
      <c r="E12536" t="b">
        <v>0</v>
      </c>
      <c r="F12536" t="s">
        <v>11610</v>
      </c>
      <c r="L12536">
        <v>0</v>
      </c>
      <c r="M12536">
        <v>0</v>
      </c>
      <c r="N12536">
        <v>0</v>
      </c>
    </row>
    <row r="12537" spans="1:15">
      <c r="A12537" t="s">
        <v>43235</v>
      </c>
      <c r="B12537" t="s">
        <v>6742</v>
      </c>
      <c r="C12537" t="s">
        <v>16789</v>
      </c>
      <c r="D12537" t="s">
        <v>43236</v>
      </c>
      <c r="E12537" t="b">
        <v>0</v>
      </c>
      <c r="F12537" t="s">
        <v>11610</v>
      </c>
      <c r="L12537">
        <v>0</v>
      </c>
      <c r="M12537">
        <v>0</v>
      </c>
      <c r="N12537">
        <v>0</v>
      </c>
    </row>
    <row r="12538" spans="1:15">
      <c r="A12538" t="s">
        <v>43237</v>
      </c>
      <c r="B12538" t="s">
        <v>367</v>
      </c>
      <c r="C12538" t="s">
        <v>21555</v>
      </c>
      <c r="D12538" t="s">
        <v>43238</v>
      </c>
      <c r="E12538" t="b">
        <v>0</v>
      </c>
      <c r="F12538" t="s">
        <v>11610</v>
      </c>
      <c r="L12538">
        <v>0</v>
      </c>
      <c r="M12538">
        <v>0</v>
      </c>
      <c r="N12538">
        <v>0</v>
      </c>
    </row>
    <row r="12539" spans="1:15">
      <c r="A12539" t="s">
        <v>43239</v>
      </c>
      <c r="B12539" t="s">
        <v>367</v>
      </c>
      <c r="C12539" t="s">
        <v>14049</v>
      </c>
      <c r="D12539" t="s">
        <v>43240</v>
      </c>
      <c r="E12539" t="b">
        <v>0</v>
      </c>
      <c r="F12539" t="s">
        <v>11624</v>
      </c>
      <c r="G12539">
        <v>-2.0071699999999999</v>
      </c>
      <c r="H12539">
        <v>139.04</v>
      </c>
      <c r="I12539" t="s">
        <v>43241</v>
      </c>
      <c r="L12539">
        <v>0</v>
      </c>
      <c r="M12539">
        <v>0</v>
      </c>
      <c r="N12539">
        <v>0</v>
      </c>
      <c r="O12539" t="s">
        <v>11768</v>
      </c>
    </row>
    <row r="12540" spans="1:15">
      <c r="A12540" t="s">
        <v>43242</v>
      </c>
      <c r="B12540" t="s">
        <v>367</v>
      </c>
      <c r="C12540" t="s">
        <v>19023</v>
      </c>
      <c r="D12540" t="s">
        <v>43243</v>
      </c>
      <c r="E12540" t="b">
        <v>0</v>
      </c>
      <c r="F12540" t="s">
        <v>11624</v>
      </c>
      <c r="G12540">
        <v>-3.2954699999999999</v>
      </c>
      <c r="H12540">
        <v>130.601</v>
      </c>
      <c r="I12540" t="s">
        <v>43244</v>
      </c>
      <c r="L12540">
        <v>0</v>
      </c>
      <c r="M12540">
        <v>0</v>
      </c>
      <c r="N12540">
        <v>0</v>
      </c>
      <c r="O12540" t="s">
        <v>11768</v>
      </c>
    </row>
    <row r="12541" spans="1:15">
      <c r="A12541" t="s">
        <v>43245</v>
      </c>
      <c r="B12541" t="s">
        <v>367</v>
      </c>
      <c r="C12541" t="s">
        <v>31860</v>
      </c>
      <c r="D12541" t="s">
        <v>43246</v>
      </c>
      <c r="E12541" t="b">
        <v>0</v>
      </c>
      <c r="F12541" t="s">
        <v>11610</v>
      </c>
      <c r="L12541">
        <v>0</v>
      </c>
      <c r="M12541">
        <v>0</v>
      </c>
      <c r="N12541">
        <v>0</v>
      </c>
    </row>
    <row r="12542" spans="1:15">
      <c r="A12542" t="s">
        <v>2145</v>
      </c>
      <c r="B12542" t="s">
        <v>367</v>
      </c>
      <c r="C12542" t="s">
        <v>43247</v>
      </c>
      <c r="D12542" t="s">
        <v>43248</v>
      </c>
      <c r="E12542" t="b">
        <v>0</v>
      </c>
      <c r="F12542" t="s">
        <v>11624</v>
      </c>
      <c r="G12542">
        <v>-22.558199999999999</v>
      </c>
      <c r="H12542">
        <v>43.815600000000003</v>
      </c>
      <c r="I12542" t="s">
        <v>2146</v>
      </c>
      <c r="L12542">
        <v>0</v>
      </c>
      <c r="M12542">
        <v>0</v>
      </c>
      <c r="N12542">
        <v>2</v>
      </c>
      <c r="O12542" t="s">
        <v>14012</v>
      </c>
    </row>
    <row r="12543" spans="1:15">
      <c r="A12543" t="s">
        <v>43249</v>
      </c>
      <c r="B12543" t="s">
        <v>367</v>
      </c>
      <c r="C12543" t="s">
        <v>23017</v>
      </c>
      <c r="D12543" t="s">
        <v>43250</v>
      </c>
      <c r="E12543" t="b">
        <v>0</v>
      </c>
      <c r="F12543" t="s">
        <v>11610</v>
      </c>
      <c r="L12543">
        <v>0</v>
      </c>
      <c r="M12543">
        <v>0</v>
      </c>
      <c r="N12543">
        <v>0</v>
      </c>
    </row>
    <row r="12544" spans="1:15">
      <c r="A12544" t="s">
        <v>43251</v>
      </c>
      <c r="B12544" t="s">
        <v>11686</v>
      </c>
      <c r="C12544" t="s">
        <v>8688</v>
      </c>
      <c r="D12544" t="s">
        <v>43252</v>
      </c>
      <c r="E12544" t="b">
        <v>0</v>
      </c>
      <c r="F12544" t="s">
        <v>11610</v>
      </c>
      <c r="L12544">
        <v>0</v>
      </c>
      <c r="M12544">
        <v>0</v>
      </c>
      <c r="N12544">
        <v>0</v>
      </c>
    </row>
    <row r="12545" spans="1:15">
      <c r="A12545" t="s">
        <v>43253</v>
      </c>
      <c r="B12545" t="s">
        <v>978</v>
      </c>
      <c r="C12545" t="s">
        <v>13318</v>
      </c>
      <c r="D12545" t="s">
        <v>43254</v>
      </c>
      <c r="E12545" t="b">
        <v>0</v>
      </c>
      <c r="F12545" t="s">
        <v>11610</v>
      </c>
      <c r="L12545">
        <v>0</v>
      </c>
      <c r="M12545">
        <v>0</v>
      </c>
      <c r="N12545">
        <v>0</v>
      </c>
    </row>
    <row r="12546" spans="1:15">
      <c r="A12546" t="s">
        <v>43255</v>
      </c>
      <c r="B12546" t="s">
        <v>978</v>
      </c>
      <c r="C12546" t="s">
        <v>13318</v>
      </c>
      <c r="D12546" t="s">
        <v>43256</v>
      </c>
      <c r="E12546" t="b">
        <v>0</v>
      </c>
      <c r="F12546" t="s">
        <v>11610</v>
      </c>
      <c r="L12546">
        <v>0</v>
      </c>
      <c r="M12546">
        <v>0</v>
      </c>
      <c r="N12546">
        <v>0</v>
      </c>
    </row>
    <row r="12547" spans="1:15">
      <c r="A12547" t="s">
        <v>43257</v>
      </c>
      <c r="B12547" t="s">
        <v>367</v>
      </c>
      <c r="C12547" t="s">
        <v>2145</v>
      </c>
      <c r="D12547" t="s">
        <v>43258</v>
      </c>
      <c r="E12547" t="b">
        <v>0</v>
      </c>
      <c r="F12547" t="s">
        <v>11610</v>
      </c>
      <c r="L12547">
        <v>0</v>
      </c>
      <c r="M12547">
        <v>0</v>
      </c>
      <c r="N12547">
        <v>0</v>
      </c>
    </row>
    <row r="12548" spans="1:15">
      <c r="A12548" t="s">
        <v>43259</v>
      </c>
      <c r="B12548" t="s">
        <v>11627</v>
      </c>
      <c r="C12548" t="s">
        <v>11627</v>
      </c>
      <c r="D12548" t="s">
        <v>43260</v>
      </c>
      <c r="E12548" t="b">
        <v>1</v>
      </c>
      <c r="F12548" t="s">
        <v>11624</v>
      </c>
      <c r="G12548">
        <v>-22.234000000000002</v>
      </c>
      <c r="H12548">
        <v>-61.901000000000003</v>
      </c>
      <c r="I12548" t="s">
        <v>43261</v>
      </c>
      <c r="L12548">
        <v>0</v>
      </c>
      <c r="M12548">
        <v>0</v>
      </c>
      <c r="N12548">
        <v>0</v>
      </c>
      <c r="O12548" t="s">
        <v>11916</v>
      </c>
    </row>
    <row r="12549" spans="1:15">
      <c r="A12549" t="s">
        <v>43262</v>
      </c>
      <c r="B12549" t="s">
        <v>367</v>
      </c>
      <c r="C12549" t="s">
        <v>20767</v>
      </c>
      <c r="D12549" t="s">
        <v>43263</v>
      </c>
      <c r="E12549" t="b">
        <v>0</v>
      </c>
      <c r="F12549" t="s">
        <v>11624</v>
      </c>
      <c r="G12549">
        <v>-16.507300000000001</v>
      </c>
      <c r="H12549">
        <v>167.81800000000001</v>
      </c>
      <c r="I12549" t="s">
        <v>43264</v>
      </c>
      <c r="L12549">
        <v>0</v>
      </c>
      <c r="M12549">
        <v>0</v>
      </c>
      <c r="N12549">
        <v>0</v>
      </c>
      <c r="O12549" t="s">
        <v>12719</v>
      </c>
    </row>
    <row r="12550" spans="1:15">
      <c r="A12550" t="s">
        <v>43265</v>
      </c>
      <c r="B12550" t="s">
        <v>11607</v>
      </c>
      <c r="C12550" t="s">
        <v>12180</v>
      </c>
      <c r="D12550" t="s">
        <v>43266</v>
      </c>
      <c r="E12550" t="b">
        <v>0</v>
      </c>
      <c r="F12550" t="s">
        <v>11624</v>
      </c>
      <c r="G12550">
        <v>12.191800000000001</v>
      </c>
      <c r="H12550">
        <v>14.8873</v>
      </c>
      <c r="I12550" t="s">
        <v>43267</v>
      </c>
      <c r="L12550">
        <v>0</v>
      </c>
      <c r="M12550">
        <v>0</v>
      </c>
      <c r="N12550">
        <v>2</v>
      </c>
      <c r="O12550" t="s">
        <v>29226</v>
      </c>
    </row>
    <row r="12551" spans="1:15">
      <c r="A12551" t="s">
        <v>43268</v>
      </c>
      <c r="B12551" t="s">
        <v>11607</v>
      </c>
      <c r="C12551" t="s">
        <v>34248</v>
      </c>
      <c r="D12551" t="s">
        <v>43269</v>
      </c>
      <c r="E12551" t="b">
        <v>0</v>
      </c>
      <c r="F12551" t="s">
        <v>11624</v>
      </c>
      <c r="G12551">
        <v>13.076000000000001</v>
      </c>
      <c r="H12551">
        <v>19.276900000000001</v>
      </c>
      <c r="I12551" t="s">
        <v>43270</v>
      </c>
      <c r="L12551">
        <v>0</v>
      </c>
      <c r="M12551">
        <v>0</v>
      </c>
      <c r="N12551">
        <v>0</v>
      </c>
      <c r="O12551" t="s">
        <v>13421</v>
      </c>
    </row>
    <row r="12552" spans="1:15">
      <c r="A12552" t="s">
        <v>43271</v>
      </c>
      <c r="B12552" t="s">
        <v>11637</v>
      </c>
      <c r="C12552" t="s">
        <v>43272</v>
      </c>
      <c r="D12552" t="s">
        <v>43273</v>
      </c>
      <c r="E12552" t="b">
        <v>0</v>
      </c>
      <c r="F12552" t="s">
        <v>11610</v>
      </c>
      <c r="L12552">
        <v>0</v>
      </c>
      <c r="M12552">
        <v>0</v>
      </c>
      <c r="N12552">
        <v>0</v>
      </c>
    </row>
    <row r="12553" spans="1:15">
      <c r="A12553" t="s">
        <v>43274</v>
      </c>
      <c r="B12553" t="s">
        <v>6742</v>
      </c>
      <c r="C12553" t="s">
        <v>4066</v>
      </c>
      <c r="D12553" t="s">
        <v>43275</v>
      </c>
      <c r="E12553" t="b">
        <v>0</v>
      </c>
      <c r="F12553" t="s">
        <v>11610</v>
      </c>
      <c r="L12553">
        <v>0</v>
      </c>
      <c r="M12553">
        <v>0</v>
      </c>
      <c r="N12553">
        <v>0</v>
      </c>
    </row>
    <row r="12554" spans="1:15">
      <c r="A12554" t="s">
        <v>43276</v>
      </c>
      <c r="B12554" t="s">
        <v>11780</v>
      </c>
      <c r="C12554" t="s">
        <v>43160</v>
      </c>
      <c r="D12554" t="s">
        <v>43277</v>
      </c>
      <c r="E12554" t="b">
        <v>0</v>
      </c>
      <c r="F12554" t="s">
        <v>11624</v>
      </c>
      <c r="G12554">
        <v>13.515700000000001</v>
      </c>
      <c r="H12554">
        <v>19.7348</v>
      </c>
      <c r="I12554" t="s">
        <v>43278</v>
      </c>
      <c r="L12554">
        <v>0</v>
      </c>
      <c r="M12554">
        <v>0</v>
      </c>
      <c r="N12554">
        <v>0</v>
      </c>
      <c r="O12554" t="s">
        <v>13421</v>
      </c>
    </row>
    <row r="12555" spans="1:15">
      <c r="A12555" t="s">
        <v>43279</v>
      </c>
      <c r="D12555" t="s">
        <v>43280</v>
      </c>
      <c r="E12555" t="b">
        <v>0</v>
      </c>
      <c r="F12555" t="s">
        <v>11624</v>
      </c>
      <c r="G12555">
        <v>-1.7467900000000001</v>
      </c>
      <c r="H12555">
        <v>138.29400000000001</v>
      </c>
      <c r="I12555" t="s">
        <v>43281</v>
      </c>
      <c r="L12555">
        <v>0</v>
      </c>
      <c r="M12555">
        <v>0</v>
      </c>
      <c r="N12555">
        <v>0</v>
      </c>
      <c r="O12555" t="s">
        <v>11768</v>
      </c>
    </row>
    <row r="12556" spans="1:15">
      <c r="A12556" t="s">
        <v>43282</v>
      </c>
      <c r="B12556" t="s">
        <v>11607</v>
      </c>
      <c r="C12556" t="s">
        <v>24839</v>
      </c>
      <c r="D12556" t="s">
        <v>43283</v>
      </c>
      <c r="E12556" t="b">
        <v>0</v>
      </c>
      <c r="F12556" t="s">
        <v>11610</v>
      </c>
      <c r="L12556">
        <v>0</v>
      </c>
      <c r="M12556">
        <v>0</v>
      </c>
      <c r="N12556">
        <v>0</v>
      </c>
    </row>
    <row r="12557" spans="1:15">
      <c r="A12557" t="s">
        <v>43284</v>
      </c>
      <c r="B12557" t="s">
        <v>11607</v>
      </c>
      <c r="C12557" t="s">
        <v>29032</v>
      </c>
      <c r="D12557" t="s">
        <v>43285</v>
      </c>
      <c r="E12557" t="b">
        <v>0</v>
      </c>
      <c r="F12557" t="s">
        <v>11610</v>
      </c>
      <c r="L12557">
        <v>0</v>
      </c>
      <c r="M12557">
        <v>0</v>
      </c>
      <c r="N12557">
        <v>0</v>
      </c>
    </row>
    <row r="12558" spans="1:15">
      <c r="A12558" t="s">
        <v>43286</v>
      </c>
      <c r="B12558" t="s">
        <v>13244</v>
      </c>
      <c r="C12558" t="s">
        <v>22280</v>
      </c>
      <c r="D12558" t="s">
        <v>43287</v>
      </c>
      <c r="E12558" t="b">
        <v>0</v>
      </c>
      <c r="F12558" t="s">
        <v>11610</v>
      </c>
      <c r="L12558">
        <v>0</v>
      </c>
      <c r="M12558">
        <v>0</v>
      </c>
      <c r="N12558">
        <v>0</v>
      </c>
    </row>
    <row r="12559" spans="1:15">
      <c r="A12559" t="s">
        <v>43288</v>
      </c>
      <c r="B12559" t="s">
        <v>11981</v>
      </c>
      <c r="C12559" t="s">
        <v>42649</v>
      </c>
      <c r="D12559" t="s">
        <v>43289</v>
      </c>
      <c r="E12559" t="b">
        <v>0</v>
      </c>
      <c r="F12559" t="s">
        <v>11610</v>
      </c>
      <c r="L12559">
        <v>0</v>
      </c>
      <c r="M12559">
        <v>0</v>
      </c>
      <c r="N12559">
        <v>0</v>
      </c>
    </row>
    <row r="12560" spans="1:15">
      <c r="A12560" t="s">
        <v>43290</v>
      </c>
      <c r="B12560" t="s">
        <v>367</v>
      </c>
      <c r="C12560" t="s">
        <v>20389</v>
      </c>
      <c r="D12560" t="s">
        <v>43291</v>
      </c>
      <c r="E12560" t="b">
        <v>0</v>
      </c>
      <c r="F12560" t="s">
        <v>11610</v>
      </c>
      <c r="L12560">
        <v>0</v>
      </c>
      <c r="M12560">
        <v>0</v>
      </c>
      <c r="N12560">
        <v>0</v>
      </c>
    </row>
    <row r="12561" spans="1:15">
      <c r="A12561" t="s">
        <v>43292</v>
      </c>
      <c r="D12561" t="s">
        <v>43293</v>
      </c>
      <c r="E12561" t="b">
        <v>0</v>
      </c>
      <c r="F12561" t="s">
        <v>11624</v>
      </c>
      <c r="G12561">
        <v>-4.8509510999999996</v>
      </c>
      <c r="H12561">
        <v>-58.988616999999998</v>
      </c>
      <c r="L12561">
        <v>0</v>
      </c>
      <c r="M12561">
        <v>0</v>
      </c>
      <c r="N12561">
        <v>0</v>
      </c>
      <c r="O12561" t="s">
        <v>11969</v>
      </c>
    </row>
    <row r="12562" spans="1:15">
      <c r="A12562" t="s">
        <v>43294</v>
      </c>
      <c r="B12562" t="s">
        <v>12438</v>
      </c>
      <c r="C12562" t="s">
        <v>43295</v>
      </c>
      <c r="D12562" t="s">
        <v>43296</v>
      </c>
      <c r="E12562" t="b">
        <v>0</v>
      </c>
      <c r="F12562" t="s">
        <v>11610</v>
      </c>
      <c r="L12562">
        <v>0</v>
      </c>
      <c r="M12562">
        <v>0</v>
      </c>
      <c r="N12562">
        <v>0</v>
      </c>
    </row>
    <row r="12563" spans="1:15">
      <c r="A12563" t="s">
        <v>43297</v>
      </c>
      <c r="B12563" t="s">
        <v>11757</v>
      </c>
      <c r="C12563" t="s">
        <v>216</v>
      </c>
      <c r="D12563" t="s">
        <v>43298</v>
      </c>
      <c r="E12563" t="b">
        <v>0</v>
      </c>
      <c r="F12563" t="s">
        <v>11610</v>
      </c>
      <c r="L12563">
        <v>0</v>
      </c>
      <c r="M12563">
        <v>0</v>
      </c>
      <c r="N12563">
        <v>0</v>
      </c>
    </row>
    <row r="12564" spans="1:15">
      <c r="A12564" t="s">
        <v>43299</v>
      </c>
      <c r="B12564" t="s">
        <v>367</v>
      </c>
      <c r="C12564" t="s">
        <v>17655</v>
      </c>
      <c r="D12564" t="s">
        <v>43300</v>
      </c>
      <c r="E12564" t="b">
        <v>0</v>
      </c>
      <c r="F12564" t="s">
        <v>11610</v>
      </c>
      <c r="L12564">
        <v>0</v>
      </c>
      <c r="M12564">
        <v>0</v>
      </c>
      <c r="N12564">
        <v>0</v>
      </c>
    </row>
    <row r="12565" spans="1:15">
      <c r="A12565" t="s">
        <v>43301</v>
      </c>
      <c r="B12565" t="s">
        <v>367</v>
      </c>
      <c r="C12565" t="s">
        <v>5449</v>
      </c>
      <c r="D12565" t="s">
        <v>43302</v>
      </c>
      <c r="E12565" t="b">
        <v>0</v>
      </c>
      <c r="F12565" t="s">
        <v>11610</v>
      </c>
      <c r="L12565">
        <v>0</v>
      </c>
      <c r="M12565">
        <v>0</v>
      </c>
      <c r="N12565">
        <v>0</v>
      </c>
    </row>
    <row r="12566" spans="1:15">
      <c r="A12566" t="s">
        <v>43303</v>
      </c>
      <c r="B12566" t="s">
        <v>367</v>
      </c>
      <c r="C12566" t="s">
        <v>16411</v>
      </c>
      <c r="D12566" t="s">
        <v>43304</v>
      </c>
      <c r="E12566" t="b">
        <v>0</v>
      </c>
      <c r="F12566" t="s">
        <v>11610</v>
      </c>
      <c r="L12566">
        <v>0</v>
      </c>
      <c r="M12566">
        <v>0</v>
      </c>
      <c r="N12566">
        <v>0</v>
      </c>
    </row>
    <row r="12567" spans="1:15">
      <c r="A12567" t="s">
        <v>20818</v>
      </c>
      <c r="B12567" t="s">
        <v>17576</v>
      </c>
      <c r="C12567" t="s">
        <v>43305</v>
      </c>
      <c r="D12567" t="s">
        <v>43306</v>
      </c>
      <c r="E12567" t="b">
        <v>0</v>
      </c>
      <c r="F12567" t="s">
        <v>11622</v>
      </c>
      <c r="L12567">
        <v>0</v>
      </c>
      <c r="M12567">
        <v>2</v>
      </c>
      <c r="N12567">
        <v>0</v>
      </c>
    </row>
    <row r="12568" spans="1:15">
      <c r="A12568" t="s">
        <v>43307</v>
      </c>
      <c r="B12568" t="s">
        <v>17576</v>
      </c>
      <c r="C12568" t="s">
        <v>20818</v>
      </c>
      <c r="D12568" t="s">
        <v>43308</v>
      </c>
      <c r="E12568" t="b">
        <v>0</v>
      </c>
      <c r="F12568" t="s">
        <v>11624</v>
      </c>
      <c r="G12568">
        <v>13.033300000000001</v>
      </c>
      <c r="H12568">
        <v>-86</v>
      </c>
      <c r="I12568" t="s">
        <v>43309</v>
      </c>
      <c r="L12568">
        <v>0</v>
      </c>
      <c r="M12568">
        <v>0</v>
      </c>
      <c r="N12568">
        <v>0</v>
      </c>
      <c r="O12568" t="s">
        <v>43310</v>
      </c>
    </row>
    <row r="12569" spans="1:15">
      <c r="A12569" t="s">
        <v>389</v>
      </c>
      <c r="D12569" t="s">
        <v>43311</v>
      </c>
      <c r="E12569" t="b">
        <v>0</v>
      </c>
      <c r="F12569" t="s">
        <v>11622</v>
      </c>
      <c r="L12569">
        <v>4</v>
      </c>
      <c r="M12569">
        <v>7</v>
      </c>
      <c r="N12569">
        <v>3</v>
      </c>
    </row>
    <row r="12570" spans="1:15">
      <c r="A12570" t="s">
        <v>41428</v>
      </c>
      <c r="B12570" t="s">
        <v>389</v>
      </c>
      <c r="C12570" t="s">
        <v>389</v>
      </c>
      <c r="D12570" t="s">
        <v>43312</v>
      </c>
      <c r="E12570" t="b">
        <v>0</v>
      </c>
      <c r="F12570" t="s">
        <v>11622</v>
      </c>
      <c r="L12570">
        <v>0</v>
      </c>
      <c r="M12570">
        <v>2</v>
      </c>
      <c r="N12570">
        <v>2</v>
      </c>
    </row>
    <row r="12571" spans="1:15">
      <c r="A12571" t="s">
        <v>22865</v>
      </c>
      <c r="B12571" t="s">
        <v>389</v>
      </c>
      <c r="C12571" t="s">
        <v>389</v>
      </c>
      <c r="D12571" t="s">
        <v>43313</v>
      </c>
      <c r="E12571" t="b">
        <v>0</v>
      </c>
      <c r="F12571" t="s">
        <v>11622</v>
      </c>
      <c r="L12571">
        <v>2</v>
      </c>
      <c r="M12571">
        <v>5</v>
      </c>
      <c r="N12571">
        <v>1</v>
      </c>
    </row>
    <row r="12572" spans="1:15">
      <c r="A12572" t="s">
        <v>43314</v>
      </c>
      <c r="B12572" t="s">
        <v>11607</v>
      </c>
      <c r="C12572" t="s">
        <v>43315</v>
      </c>
      <c r="D12572" t="s">
        <v>43316</v>
      </c>
      <c r="E12572" t="b">
        <v>0</v>
      </c>
      <c r="F12572" t="s">
        <v>11624</v>
      </c>
      <c r="G12572">
        <v>10.9284</v>
      </c>
      <c r="H12572">
        <v>14.0474</v>
      </c>
      <c r="I12572" t="s">
        <v>43317</v>
      </c>
      <c r="L12572">
        <v>0</v>
      </c>
      <c r="M12572">
        <v>0</v>
      </c>
      <c r="N12572">
        <v>0</v>
      </c>
      <c r="O12572" t="s">
        <v>11703</v>
      </c>
    </row>
    <row r="12573" spans="1:15">
      <c r="A12573" t="s">
        <v>43318</v>
      </c>
      <c r="B12573" t="s">
        <v>11637</v>
      </c>
      <c r="C12573" t="s">
        <v>479</v>
      </c>
      <c r="D12573" t="s">
        <v>43319</v>
      </c>
      <c r="E12573" t="b">
        <v>0</v>
      </c>
      <c r="F12573" t="s">
        <v>11610</v>
      </c>
      <c r="L12573">
        <v>0</v>
      </c>
      <c r="M12573">
        <v>0</v>
      </c>
      <c r="N12573">
        <v>0</v>
      </c>
    </row>
    <row r="12574" spans="1:15">
      <c r="A12574" t="s">
        <v>23672</v>
      </c>
      <c r="B12574" t="s">
        <v>11607</v>
      </c>
      <c r="C12574" t="s">
        <v>18906</v>
      </c>
      <c r="D12574" t="s">
        <v>43320</v>
      </c>
      <c r="E12574" t="b">
        <v>0</v>
      </c>
      <c r="F12574" t="s">
        <v>11622</v>
      </c>
      <c r="L12574">
        <v>0</v>
      </c>
      <c r="M12574">
        <v>3</v>
      </c>
      <c r="N12574">
        <v>17</v>
      </c>
    </row>
    <row r="12575" spans="1:15">
      <c r="A12575" t="s">
        <v>14291</v>
      </c>
      <c r="B12575" t="s">
        <v>367</v>
      </c>
      <c r="C12575" t="s">
        <v>23893</v>
      </c>
      <c r="D12575" t="s">
        <v>43321</v>
      </c>
      <c r="E12575" t="b">
        <v>0</v>
      </c>
      <c r="F12575" t="s">
        <v>11622</v>
      </c>
      <c r="L12575">
        <v>0</v>
      </c>
      <c r="M12575">
        <v>3</v>
      </c>
      <c r="N12575">
        <v>13</v>
      </c>
    </row>
    <row r="12576" spans="1:15">
      <c r="A12576" t="s">
        <v>43322</v>
      </c>
      <c r="B12576" t="s">
        <v>367</v>
      </c>
      <c r="C12576" t="s">
        <v>43323</v>
      </c>
      <c r="D12576" t="s">
        <v>43324</v>
      </c>
      <c r="E12576" t="b">
        <v>0</v>
      </c>
      <c r="F12576" t="s">
        <v>11624</v>
      </c>
      <c r="G12576">
        <v>-1.8801000000000001</v>
      </c>
      <c r="H12576">
        <v>130.07499999999999</v>
      </c>
      <c r="I12576" t="s">
        <v>43325</v>
      </c>
      <c r="L12576">
        <v>0</v>
      </c>
      <c r="M12576">
        <v>0</v>
      </c>
      <c r="N12576">
        <v>0</v>
      </c>
      <c r="O12576" t="s">
        <v>11768</v>
      </c>
    </row>
    <row r="12577" spans="1:15">
      <c r="A12577" t="s">
        <v>43326</v>
      </c>
      <c r="B12577" t="s">
        <v>11644</v>
      </c>
      <c r="C12577" t="s">
        <v>126</v>
      </c>
      <c r="D12577" t="s">
        <v>43327</v>
      </c>
      <c r="E12577" t="b">
        <v>0</v>
      </c>
      <c r="F12577" t="s">
        <v>11610</v>
      </c>
      <c r="L12577">
        <v>0</v>
      </c>
      <c r="M12577">
        <v>0</v>
      </c>
      <c r="N12577">
        <v>0</v>
      </c>
    </row>
    <row r="12578" spans="1:15">
      <c r="A12578" t="s">
        <v>43328</v>
      </c>
      <c r="B12578" t="s">
        <v>367</v>
      </c>
      <c r="C12578" t="s">
        <v>15110</v>
      </c>
      <c r="D12578" t="s">
        <v>43329</v>
      </c>
      <c r="E12578" t="b">
        <v>0</v>
      </c>
      <c r="F12578" t="s">
        <v>11610</v>
      </c>
      <c r="L12578">
        <v>0</v>
      </c>
      <c r="M12578">
        <v>0</v>
      </c>
      <c r="N12578">
        <v>0</v>
      </c>
    </row>
    <row r="12579" spans="1:15">
      <c r="A12579" t="s">
        <v>43330</v>
      </c>
      <c r="B12579" t="s">
        <v>6742</v>
      </c>
      <c r="C12579" t="s">
        <v>18374</v>
      </c>
      <c r="D12579" t="s">
        <v>43331</v>
      </c>
      <c r="E12579" t="b">
        <v>0</v>
      </c>
      <c r="F12579" t="s">
        <v>11610</v>
      </c>
      <c r="L12579">
        <v>0</v>
      </c>
      <c r="M12579">
        <v>0</v>
      </c>
      <c r="N12579">
        <v>0</v>
      </c>
    </row>
    <row r="12580" spans="1:15">
      <c r="A12580" t="s">
        <v>43332</v>
      </c>
      <c r="B12580" t="s">
        <v>6742</v>
      </c>
      <c r="C12580" t="s">
        <v>26953</v>
      </c>
      <c r="D12580" t="s">
        <v>43333</v>
      </c>
      <c r="E12580" t="b">
        <v>0</v>
      </c>
      <c r="F12580" t="s">
        <v>11610</v>
      </c>
      <c r="L12580">
        <v>0</v>
      </c>
      <c r="M12580">
        <v>0</v>
      </c>
      <c r="N12580">
        <v>0</v>
      </c>
    </row>
    <row r="12581" spans="1:15">
      <c r="A12581" t="s">
        <v>43334</v>
      </c>
      <c r="B12581" t="s">
        <v>6742</v>
      </c>
      <c r="C12581" t="s">
        <v>43335</v>
      </c>
      <c r="D12581" t="s">
        <v>43336</v>
      </c>
      <c r="E12581" t="b">
        <v>0</v>
      </c>
      <c r="F12581" t="s">
        <v>11624</v>
      </c>
      <c r="G12581">
        <v>-11.554</v>
      </c>
      <c r="H12581">
        <v>35.005600000000001</v>
      </c>
      <c r="I12581" t="s">
        <v>43337</v>
      </c>
      <c r="L12581">
        <v>0</v>
      </c>
      <c r="M12581">
        <v>0</v>
      </c>
      <c r="N12581">
        <v>0</v>
      </c>
      <c r="O12581" t="s">
        <v>11635</v>
      </c>
    </row>
    <row r="12582" spans="1:15">
      <c r="A12582" t="s">
        <v>43338</v>
      </c>
      <c r="B12582" t="s">
        <v>367</v>
      </c>
      <c r="C12582" t="s">
        <v>39974</v>
      </c>
      <c r="D12582" t="s">
        <v>43339</v>
      </c>
      <c r="E12582" t="b">
        <v>0</v>
      </c>
      <c r="F12582" t="s">
        <v>11610</v>
      </c>
      <c r="L12582">
        <v>0</v>
      </c>
      <c r="M12582">
        <v>0</v>
      </c>
      <c r="N12582">
        <v>0</v>
      </c>
    </row>
    <row r="12583" spans="1:15">
      <c r="A12583" t="s">
        <v>43340</v>
      </c>
      <c r="B12583" t="s">
        <v>11615</v>
      </c>
      <c r="C12583" t="s">
        <v>43341</v>
      </c>
      <c r="D12583" t="s">
        <v>43342</v>
      </c>
      <c r="E12583" t="b">
        <v>0</v>
      </c>
      <c r="F12583" t="s">
        <v>11624</v>
      </c>
      <c r="G12583">
        <v>-5.1385699999999996</v>
      </c>
      <c r="H12583">
        <v>145.61699999999999</v>
      </c>
      <c r="I12583" t="s">
        <v>43343</v>
      </c>
      <c r="L12583">
        <v>0</v>
      </c>
      <c r="M12583">
        <v>0</v>
      </c>
      <c r="N12583">
        <v>0</v>
      </c>
      <c r="O12583" t="s">
        <v>11660</v>
      </c>
    </row>
    <row r="12584" spans="1:15">
      <c r="A12584" t="s">
        <v>43335</v>
      </c>
      <c r="B12584" t="s">
        <v>6742</v>
      </c>
      <c r="C12584" t="s">
        <v>43344</v>
      </c>
      <c r="D12584" t="s">
        <v>43345</v>
      </c>
      <c r="E12584" t="b">
        <v>0</v>
      </c>
      <c r="F12584" t="s">
        <v>11622</v>
      </c>
      <c r="L12584">
        <v>1</v>
      </c>
      <c r="M12584">
        <v>4</v>
      </c>
      <c r="N12584">
        <v>0</v>
      </c>
    </row>
    <row r="12585" spans="1:15">
      <c r="A12585" t="s">
        <v>43346</v>
      </c>
      <c r="B12585" t="s">
        <v>11981</v>
      </c>
      <c r="C12585" t="s">
        <v>42649</v>
      </c>
      <c r="D12585" t="s">
        <v>43347</v>
      </c>
      <c r="E12585" t="b">
        <v>0</v>
      </c>
      <c r="F12585" t="s">
        <v>11610</v>
      </c>
      <c r="L12585">
        <v>0</v>
      </c>
      <c r="M12585">
        <v>0</v>
      </c>
      <c r="N12585">
        <v>0</v>
      </c>
    </row>
    <row r="12586" spans="1:15">
      <c r="A12586" t="s">
        <v>43348</v>
      </c>
      <c r="B12586" t="s">
        <v>6742</v>
      </c>
      <c r="C12586" t="s">
        <v>29219</v>
      </c>
      <c r="D12586" t="s">
        <v>43349</v>
      </c>
      <c r="E12586" t="b">
        <v>0</v>
      </c>
      <c r="F12586" t="s">
        <v>11610</v>
      </c>
      <c r="L12586">
        <v>0</v>
      </c>
      <c r="M12586">
        <v>0</v>
      </c>
      <c r="N12586">
        <v>0</v>
      </c>
    </row>
    <row r="12587" spans="1:15">
      <c r="A12587" t="s">
        <v>38070</v>
      </c>
      <c r="B12587" t="s">
        <v>367</v>
      </c>
      <c r="C12587" t="s">
        <v>14964</v>
      </c>
      <c r="D12587" t="s">
        <v>43350</v>
      </c>
      <c r="E12587" t="b">
        <v>0</v>
      </c>
      <c r="F12587" t="s">
        <v>11624</v>
      </c>
      <c r="G12587">
        <v>7.7212399999999999</v>
      </c>
      <c r="H12587">
        <v>125.16</v>
      </c>
      <c r="I12587" t="s">
        <v>43351</v>
      </c>
      <c r="L12587">
        <v>0</v>
      </c>
      <c r="M12587">
        <v>0</v>
      </c>
      <c r="N12587">
        <v>4</v>
      </c>
      <c r="O12587" t="s">
        <v>11749</v>
      </c>
    </row>
    <row r="12588" spans="1:15">
      <c r="A12588" t="s">
        <v>43352</v>
      </c>
      <c r="B12588" t="s">
        <v>367</v>
      </c>
      <c r="C12588" t="s">
        <v>38070</v>
      </c>
      <c r="D12588" t="s">
        <v>43353</v>
      </c>
      <c r="E12588" t="b">
        <v>0</v>
      </c>
      <c r="F12588" t="s">
        <v>11610</v>
      </c>
      <c r="L12588">
        <v>0</v>
      </c>
      <c r="M12588">
        <v>0</v>
      </c>
      <c r="N12588">
        <v>0</v>
      </c>
    </row>
    <row r="12589" spans="1:15">
      <c r="A12589" t="s">
        <v>43354</v>
      </c>
      <c r="B12589" t="s">
        <v>11615</v>
      </c>
      <c r="C12589" t="s">
        <v>5649</v>
      </c>
      <c r="D12589" t="s">
        <v>43355</v>
      </c>
      <c r="E12589" t="b">
        <v>0</v>
      </c>
      <c r="F12589" t="s">
        <v>11610</v>
      </c>
      <c r="L12589">
        <v>0</v>
      </c>
      <c r="M12589">
        <v>0</v>
      </c>
      <c r="N12589">
        <v>0</v>
      </c>
    </row>
    <row r="12590" spans="1:15">
      <c r="A12590" t="s">
        <v>43356</v>
      </c>
      <c r="B12590" t="s">
        <v>8310</v>
      </c>
      <c r="C12590" t="s">
        <v>10929</v>
      </c>
      <c r="D12590" t="s">
        <v>43357</v>
      </c>
      <c r="E12590" t="b">
        <v>0</v>
      </c>
      <c r="F12590" t="s">
        <v>11624</v>
      </c>
      <c r="G12590">
        <v>-12.0456</v>
      </c>
      <c r="H12590">
        <v>-53.3994</v>
      </c>
      <c r="I12590" t="s">
        <v>43358</v>
      </c>
      <c r="L12590">
        <v>0</v>
      </c>
      <c r="M12590">
        <v>0</v>
      </c>
      <c r="N12590">
        <v>2</v>
      </c>
      <c r="O12590" t="s">
        <v>11969</v>
      </c>
    </row>
    <row r="12591" spans="1:15">
      <c r="A12591" t="s">
        <v>43359</v>
      </c>
      <c r="B12591" t="s">
        <v>13244</v>
      </c>
      <c r="C12591" t="s">
        <v>43360</v>
      </c>
      <c r="D12591" t="s">
        <v>43361</v>
      </c>
      <c r="E12591" t="b">
        <v>0</v>
      </c>
      <c r="F12591" t="s">
        <v>11622</v>
      </c>
      <c r="L12591">
        <v>0</v>
      </c>
      <c r="M12591">
        <v>3</v>
      </c>
      <c r="N12591">
        <v>0</v>
      </c>
    </row>
    <row r="12592" spans="1:15">
      <c r="A12592" t="s">
        <v>43362</v>
      </c>
      <c r="B12592" t="s">
        <v>13244</v>
      </c>
      <c r="C12592" t="s">
        <v>43359</v>
      </c>
      <c r="D12592" t="s">
        <v>43363</v>
      </c>
      <c r="E12592" t="b">
        <v>0</v>
      </c>
      <c r="F12592" t="s">
        <v>11624</v>
      </c>
      <c r="G12592">
        <v>-4.3552999999999997</v>
      </c>
      <c r="H12592">
        <v>-70.207899999999995</v>
      </c>
      <c r="I12592" t="s">
        <v>43364</v>
      </c>
      <c r="L12592">
        <v>0</v>
      </c>
      <c r="M12592">
        <v>0</v>
      </c>
      <c r="N12592">
        <v>0</v>
      </c>
      <c r="O12592" t="s">
        <v>11969</v>
      </c>
    </row>
    <row r="12593" spans="1:15">
      <c r="A12593" t="s">
        <v>43365</v>
      </c>
      <c r="B12593" t="s">
        <v>367</v>
      </c>
      <c r="C12593" t="s">
        <v>43366</v>
      </c>
      <c r="D12593" t="s">
        <v>43367</v>
      </c>
      <c r="E12593" t="b">
        <v>0</v>
      </c>
      <c r="F12593" t="s">
        <v>11610</v>
      </c>
      <c r="L12593">
        <v>0</v>
      </c>
      <c r="M12593">
        <v>0</v>
      </c>
      <c r="N12593">
        <v>0</v>
      </c>
    </row>
    <row r="12594" spans="1:15">
      <c r="A12594" t="s">
        <v>43368</v>
      </c>
      <c r="B12594" t="s">
        <v>6742</v>
      </c>
      <c r="C12594" t="s">
        <v>4118</v>
      </c>
      <c r="D12594" t="s">
        <v>43369</v>
      </c>
      <c r="E12594" t="b">
        <v>0</v>
      </c>
      <c r="F12594" t="s">
        <v>11610</v>
      </c>
      <c r="L12594">
        <v>0</v>
      </c>
      <c r="M12594">
        <v>0</v>
      </c>
      <c r="N12594">
        <v>0</v>
      </c>
    </row>
    <row r="12595" spans="1:15">
      <c r="A12595" t="s">
        <v>15106</v>
      </c>
      <c r="B12595" t="s">
        <v>11879</v>
      </c>
      <c r="C12595" t="s">
        <v>22511</v>
      </c>
      <c r="D12595" t="s">
        <v>43370</v>
      </c>
      <c r="E12595" t="b">
        <v>0</v>
      </c>
      <c r="F12595" t="s">
        <v>11622</v>
      </c>
      <c r="L12595">
        <v>0</v>
      </c>
      <c r="M12595">
        <v>2</v>
      </c>
      <c r="N12595">
        <v>0</v>
      </c>
    </row>
    <row r="12596" spans="1:15">
      <c r="A12596" t="s">
        <v>35021</v>
      </c>
      <c r="B12596" t="s">
        <v>12260</v>
      </c>
      <c r="C12596" t="s">
        <v>3374</v>
      </c>
      <c r="D12596" t="s">
        <v>43371</v>
      </c>
      <c r="E12596" t="b">
        <v>0</v>
      </c>
      <c r="F12596" t="s">
        <v>11624</v>
      </c>
      <c r="G12596">
        <v>53.434899999999999</v>
      </c>
      <c r="H12596">
        <v>102.85599999999999</v>
      </c>
      <c r="I12596" t="s">
        <v>43372</v>
      </c>
      <c r="L12596">
        <v>0</v>
      </c>
      <c r="M12596">
        <v>0</v>
      </c>
      <c r="N12596">
        <v>3</v>
      </c>
      <c r="O12596" t="s">
        <v>12748</v>
      </c>
    </row>
    <row r="12597" spans="1:15">
      <c r="A12597" t="s">
        <v>43373</v>
      </c>
      <c r="B12597" t="s">
        <v>6742</v>
      </c>
      <c r="C12597" t="s">
        <v>13575</v>
      </c>
      <c r="D12597" t="s">
        <v>43374</v>
      </c>
      <c r="E12597" t="b">
        <v>0</v>
      </c>
      <c r="F12597" t="s">
        <v>11610</v>
      </c>
      <c r="L12597">
        <v>0</v>
      </c>
      <c r="M12597">
        <v>0</v>
      </c>
      <c r="N12597">
        <v>0</v>
      </c>
    </row>
    <row r="12598" spans="1:15">
      <c r="A12598" t="s">
        <v>19439</v>
      </c>
      <c r="B12598" t="s">
        <v>367</v>
      </c>
      <c r="C12598" t="s">
        <v>17852</v>
      </c>
      <c r="D12598" t="s">
        <v>43375</v>
      </c>
      <c r="E12598" t="b">
        <v>0</v>
      </c>
      <c r="F12598" t="s">
        <v>11624</v>
      </c>
      <c r="G12598">
        <v>-5.9163899999999998</v>
      </c>
      <c r="H12598">
        <v>146.85900000000001</v>
      </c>
      <c r="I12598" t="s">
        <v>43376</v>
      </c>
      <c r="L12598">
        <v>0</v>
      </c>
      <c r="M12598">
        <v>0</v>
      </c>
      <c r="N12598">
        <v>2</v>
      </c>
      <c r="O12598" t="s">
        <v>11660</v>
      </c>
    </row>
    <row r="12599" spans="1:15">
      <c r="A12599" t="s">
        <v>43377</v>
      </c>
      <c r="D12599" t="s">
        <v>43378</v>
      </c>
      <c r="E12599" t="b">
        <v>0</v>
      </c>
      <c r="F12599" t="s">
        <v>11624</v>
      </c>
      <c r="G12599">
        <v>-9.1726089999999996</v>
      </c>
      <c r="H12599">
        <v>-60.628867</v>
      </c>
      <c r="I12599" t="s">
        <v>43379</v>
      </c>
      <c r="L12599">
        <v>0</v>
      </c>
      <c r="M12599">
        <v>0</v>
      </c>
      <c r="N12599">
        <v>0</v>
      </c>
      <c r="O12599" t="s">
        <v>11969</v>
      </c>
    </row>
    <row r="12600" spans="1:15">
      <c r="A12600" t="s">
        <v>43380</v>
      </c>
      <c r="B12600" t="s">
        <v>367</v>
      </c>
      <c r="C12600" t="s">
        <v>31201</v>
      </c>
      <c r="D12600" t="s">
        <v>43381</v>
      </c>
      <c r="E12600" t="b">
        <v>0</v>
      </c>
      <c r="F12600" t="s">
        <v>11610</v>
      </c>
      <c r="L12600">
        <v>0</v>
      </c>
      <c r="M12600">
        <v>0</v>
      </c>
      <c r="N12600">
        <v>0</v>
      </c>
    </row>
    <row r="12601" spans="1:15">
      <c r="A12601" t="s">
        <v>24476</v>
      </c>
      <c r="B12601" t="s">
        <v>13244</v>
      </c>
      <c r="C12601" t="s">
        <v>43360</v>
      </c>
      <c r="D12601" t="s">
        <v>43382</v>
      </c>
      <c r="E12601" t="b">
        <v>0</v>
      </c>
      <c r="F12601" t="s">
        <v>11622</v>
      </c>
      <c r="L12601">
        <v>0</v>
      </c>
      <c r="M12601">
        <v>4</v>
      </c>
      <c r="N12601">
        <v>0</v>
      </c>
    </row>
    <row r="12602" spans="1:15">
      <c r="A12602" t="s">
        <v>43383</v>
      </c>
      <c r="B12602" t="s">
        <v>13244</v>
      </c>
      <c r="C12602" t="s">
        <v>24476</v>
      </c>
      <c r="D12602" t="s">
        <v>43384</v>
      </c>
      <c r="E12602" t="b">
        <v>0</v>
      </c>
      <c r="F12602" t="s">
        <v>11624</v>
      </c>
      <c r="G12602">
        <v>-5.7391399999999999</v>
      </c>
      <c r="H12602">
        <v>-72.628100000000003</v>
      </c>
      <c r="I12602" t="s">
        <v>43385</v>
      </c>
      <c r="L12602">
        <v>0</v>
      </c>
      <c r="M12602">
        <v>0</v>
      </c>
      <c r="N12602">
        <v>0</v>
      </c>
      <c r="O12602" t="s">
        <v>13248</v>
      </c>
    </row>
    <row r="12603" spans="1:15">
      <c r="A12603" t="s">
        <v>41460</v>
      </c>
      <c r="B12603" t="s">
        <v>11894</v>
      </c>
      <c r="C12603" t="s">
        <v>14739</v>
      </c>
      <c r="D12603" t="s">
        <v>43386</v>
      </c>
      <c r="E12603" t="b">
        <v>0</v>
      </c>
      <c r="F12603" t="s">
        <v>11622</v>
      </c>
      <c r="L12603">
        <v>0</v>
      </c>
      <c r="M12603">
        <v>2</v>
      </c>
      <c r="N12603">
        <v>0</v>
      </c>
    </row>
    <row r="12604" spans="1:15">
      <c r="A12604" t="s">
        <v>43387</v>
      </c>
      <c r="B12604" t="s">
        <v>12460</v>
      </c>
      <c r="C12604" t="s">
        <v>20944</v>
      </c>
      <c r="D12604" t="s">
        <v>43388</v>
      </c>
      <c r="E12604" t="b">
        <v>0</v>
      </c>
      <c r="F12604" t="s">
        <v>11624</v>
      </c>
      <c r="G12604">
        <v>40.432099999999998</v>
      </c>
      <c r="H12604">
        <v>-122.863</v>
      </c>
      <c r="I12604" t="s">
        <v>43389</v>
      </c>
      <c r="L12604">
        <v>0</v>
      </c>
      <c r="M12604">
        <v>0</v>
      </c>
      <c r="N12604">
        <v>0</v>
      </c>
      <c r="O12604" t="s">
        <v>11944</v>
      </c>
    </row>
    <row r="12605" spans="1:15">
      <c r="A12605" t="s">
        <v>43390</v>
      </c>
      <c r="B12605" t="s">
        <v>11644</v>
      </c>
      <c r="C12605" t="s">
        <v>23714</v>
      </c>
      <c r="D12605" t="s">
        <v>43391</v>
      </c>
      <c r="E12605" t="b">
        <v>0</v>
      </c>
      <c r="F12605" t="s">
        <v>11610</v>
      </c>
      <c r="L12605">
        <v>0</v>
      </c>
      <c r="M12605">
        <v>0</v>
      </c>
      <c r="N12605">
        <v>0</v>
      </c>
    </row>
    <row r="12606" spans="1:15">
      <c r="A12606" t="s">
        <v>43392</v>
      </c>
      <c r="B12606" t="s">
        <v>6742</v>
      </c>
      <c r="C12606" t="s">
        <v>42444</v>
      </c>
      <c r="D12606" t="s">
        <v>43393</v>
      </c>
      <c r="E12606" t="b">
        <v>0</v>
      </c>
      <c r="F12606" t="s">
        <v>11610</v>
      </c>
      <c r="L12606">
        <v>0</v>
      </c>
      <c r="M12606">
        <v>0</v>
      </c>
      <c r="N12606">
        <v>0</v>
      </c>
    </row>
    <row r="12607" spans="1:15">
      <c r="A12607" t="s">
        <v>37926</v>
      </c>
      <c r="B12607" t="s">
        <v>6742</v>
      </c>
      <c r="C12607" t="s">
        <v>43394</v>
      </c>
      <c r="D12607" t="s">
        <v>43395</v>
      </c>
      <c r="E12607" t="b">
        <v>0</v>
      </c>
      <c r="F12607" t="s">
        <v>11624</v>
      </c>
      <c r="G12607">
        <v>-8.5373400000000004</v>
      </c>
      <c r="H12607">
        <v>39.040900000000001</v>
      </c>
      <c r="I12607" t="s">
        <v>43396</v>
      </c>
      <c r="L12607">
        <v>0</v>
      </c>
      <c r="M12607">
        <v>0</v>
      </c>
      <c r="N12607">
        <v>1</v>
      </c>
      <c r="O12607" t="s">
        <v>11635</v>
      </c>
    </row>
    <row r="12608" spans="1:15">
      <c r="A12608" t="s">
        <v>43397</v>
      </c>
      <c r="B12608" t="s">
        <v>367</v>
      </c>
      <c r="C12608" t="s">
        <v>7268</v>
      </c>
      <c r="D12608" t="s">
        <v>43398</v>
      </c>
      <c r="E12608" t="b">
        <v>0</v>
      </c>
      <c r="F12608" t="s">
        <v>11610</v>
      </c>
      <c r="L12608">
        <v>0</v>
      </c>
      <c r="M12608">
        <v>0</v>
      </c>
      <c r="N12608">
        <v>0</v>
      </c>
    </row>
    <row r="12609" spans="1:15">
      <c r="A12609" t="s">
        <v>43399</v>
      </c>
      <c r="B12609" t="s">
        <v>367</v>
      </c>
      <c r="C12609" t="s">
        <v>18572</v>
      </c>
      <c r="D12609" t="s">
        <v>43400</v>
      </c>
      <c r="E12609" t="b">
        <v>0</v>
      </c>
      <c r="F12609" t="s">
        <v>11624</v>
      </c>
      <c r="G12609">
        <v>-4.9077999999999999</v>
      </c>
      <c r="H12609">
        <v>145.779</v>
      </c>
      <c r="I12609" t="s">
        <v>43401</v>
      </c>
      <c r="L12609">
        <v>0</v>
      </c>
      <c r="M12609">
        <v>0</v>
      </c>
      <c r="N12609">
        <v>0</v>
      </c>
      <c r="O12609" t="s">
        <v>11660</v>
      </c>
    </row>
    <row r="12610" spans="1:15">
      <c r="A12610" t="s">
        <v>43402</v>
      </c>
      <c r="B12610" t="s">
        <v>367</v>
      </c>
      <c r="C12610" t="s">
        <v>24183</v>
      </c>
      <c r="D12610" t="s">
        <v>43403</v>
      </c>
      <c r="E12610" t="b">
        <v>0</v>
      </c>
      <c r="F12610" t="s">
        <v>11610</v>
      </c>
      <c r="L12610">
        <v>0</v>
      </c>
      <c r="M12610">
        <v>0</v>
      </c>
      <c r="N12610">
        <v>0</v>
      </c>
    </row>
    <row r="12611" spans="1:15">
      <c r="A12611" t="s">
        <v>43394</v>
      </c>
      <c r="B12611" t="s">
        <v>6742</v>
      </c>
      <c r="C12611" t="s">
        <v>43344</v>
      </c>
      <c r="D12611" t="s">
        <v>43404</v>
      </c>
      <c r="E12611" t="b">
        <v>0</v>
      </c>
      <c r="F12611" t="s">
        <v>11622</v>
      </c>
      <c r="L12611">
        <v>0</v>
      </c>
      <c r="M12611">
        <v>2</v>
      </c>
      <c r="N12611">
        <v>1</v>
      </c>
    </row>
    <row r="12612" spans="1:15">
      <c r="A12612" t="s">
        <v>43405</v>
      </c>
      <c r="B12612" t="s">
        <v>367</v>
      </c>
      <c r="C12612" t="s">
        <v>32558</v>
      </c>
      <c r="D12612" t="s">
        <v>43406</v>
      </c>
      <c r="E12612" t="b">
        <v>0</v>
      </c>
      <c r="F12612" t="s">
        <v>11610</v>
      </c>
      <c r="L12612">
        <v>0</v>
      </c>
      <c r="M12612">
        <v>0</v>
      </c>
      <c r="N12612">
        <v>0</v>
      </c>
    </row>
    <row r="12613" spans="1:15">
      <c r="A12613" t="s">
        <v>43407</v>
      </c>
      <c r="B12613" t="s">
        <v>11644</v>
      </c>
      <c r="C12613" t="s">
        <v>12404</v>
      </c>
      <c r="D12613" t="s">
        <v>43408</v>
      </c>
      <c r="E12613" t="b">
        <v>0</v>
      </c>
      <c r="F12613" t="s">
        <v>11610</v>
      </c>
      <c r="L12613">
        <v>0</v>
      </c>
      <c r="M12613">
        <v>0</v>
      </c>
      <c r="N12613">
        <v>0</v>
      </c>
    </row>
    <row r="12614" spans="1:15">
      <c r="A12614" t="s">
        <v>43409</v>
      </c>
      <c r="B12614" t="s">
        <v>13276</v>
      </c>
      <c r="C12614" t="s">
        <v>42470</v>
      </c>
      <c r="D12614" t="s">
        <v>43410</v>
      </c>
      <c r="E12614" t="b">
        <v>0</v>
      </c>
      <c r="F12614" t="s">
        <v>11624</v>
      </c>
      <c r="G12614">
        <v>13.1027</v>
      </c>
      <c r="H12614">
        <v>-3.2512799999999999</v>
      </c>
      <c r="I12614" t="s">
        <v>43411</v>
      </c>
      <c r="L12614">
        <v>0</v>
      </c>
      <c r="M12614">
        <v>0</v>
      </c>
      <c r="N12614">
        <v>0</v>
      </c>
      <c r="O12614" t="s">
        <v>19384</v>
      </c>
    </row>
    <row r="12615" spans="1:15">
      <c r="A12615" t="s">
        <v>43412</v>
      </c>
      <c r="B12615" t="s">
        <v>11644</v>
      </c>
      <c r="C12615" t="s">
        <v>43413</v>
      </c>
      <c r="D12615" t="s">
        <v>43414</v>
      </c>
      <c r="E12615" t="b">
        <v>0</v>
      </c>
      <c r="F12615" t="s">
        <v>11610</v>
      </c>
      <c r="L12615">
        <v>0</v>
      </c>
      <c r="M12615">
        <v>0</v>
      </c>
      <c r="N12615">
        <v>0</v>
      </c>
    </row>
    <row r="12616" spans="1:15">
      <c r="A12616" t="s">
        <v>43415</v>
      </c>
      <c r="B12616" t="s">
        <v>367</v>
      </c>
      <c r="C12616" t="s">
        <v>1970</v>
      </c>
      <c r="D12616" t="s">
        <v>43416</v>
      </c>
      <c r="E12616" t="b">
        <v>0</v>
      </c>
      <c r="F12616" t="s">
        <v>11610</v>
      </c>
      <c r="L12616">
        <v>0</v>
      </c>
      <c r="M12616">
        <v>0</v>
      </c>
      <c r="N12616">
        <v>0</v>
      </c>
    </row>
    <row r="12617" spans="1:15">
      <c r="A12617" t="s">
        <v>43417</v>
      </c>
      <c r="B12617" t="s">
        <v>367</v>
      </c>
      <c r="C12617" t="s">
        <v>12554</v>
      </c>
      <c r="D12617" t="s">
        <v>43418</v>
      </c>
      <c r="E12617" t="b">
        <v>0</v>
      </c>
      <c r="F12617" t="s">
        <v>11610</v>
      </c>
      <c r="L12617">
        <v>0</v>
      </c>
      <c r="M12617">
        <v>0</v>
      </c>
      <c r="N12617">
        <v>0</v>
      </c>
    </row>
    <row r="12618" spans="1:15">
      <c r="A12618" t="s">
        <v>43419</v>
      </c>
      <c r="B12618" t="s">
        <v>13302</v>
      </c>
      <c r="C12618" t="s">
        <v>13302</v>
      </c>
      <c r="D12618" t="s">
        <v>43420</v>
      </c>
      <c r="E12618" t="b">
        <v>0</v>
      </c>
      <c r="F12618" t="s">
        <v>11624</v>
      </c>
      <c r="G12618">
        <v>-11.8393</v>
      </c>
      <c r="H12618">
        <v>133.185</v>
      </c>
      <c r="I12618" t="s">
        <v>43421</v>
      </c>
      <c r="L12618">
        <v>0</v>
      </c>
      <c r="M12618">
        <v>0</v>
      </c>
      <c r="N12618">
        <v>0</v>
      </c>
      <c r="O12618" t="s">
        <v>12107</v>
      </c>
    </row>
    <row r="12619" spans="1:15">
      <c r="A12619" t="s">
        <v>43422</v>
      </c>
      <c r="B12619" t="s">
        <v>11637</v>
      </c>
      <c r="C12619" t="s">
        <v>187</v>
      </c>
      <c r="D12619" t="s">
        <v>43423</v>
      </c>
      <c r="E12619" t="b">
        <v>0</v>
      </c>
      <c r="F12619" t="s">
        <v>11610</v>
      </c>
      <c r="L12619">
        <v>0</v>
      </c>
      <c r="M12619">
        <v>0</v>
      </c>
      <c r="N12619">
        <v>0</v>
      </c>
    </row>
    <row r="12620" spans="1:15">
      <c r="A12620" t="s">
        <v>43424</v>
      </c>
      <c r="B12620" t="s">
        <v>11981</v>
      </c>
      <c r="C12620" t="s">
        <v>12200</v>
      </c>
      <c r="D12620" t="s">
        <v>43425</v>
      </c>
      <c r="E12620" t="b">
        <v>0</v>
      </c>
      <c r="F12620" t="s">
        <v>11624</v>
      </c>
      <c r="G12620">
        <v>-20.166667</v>
      </c>
      <c r="H12620">
        <v>57.516666999999998</v>
      </c>
      <c r="I12620" t="s">
        <v>43426</v>
      </c>
      <c r="L12620">
        <v>0</v>
      </c>
      <c r="M12620">
        <v>0</v>
      </c>
      <c r="N12620">
        <v>0</v>
      </c>
      <c r="O12620" t="s">
        <v>43427</v>
      </c>
    </row>
    <row r="12621" spans="1:15">
      <c r="A12621" t="s">
        <v>43428</v>
      </c>
      <c r="B12621" t="s">
        <v>11705</v>
      </c>
      <c r="C12621" t="s">
        <v>19783</v>
      </c>
      <c r="D12621" t="s">
        <v>43429</v>
      </c>
      <c r="E12621" t="b">
        <v>0</v>
      </c>
      <c r="F12621" t="s">
        <v>11610</v>
      </c>
      <c r="L12621">
        <v>0</v>
      </c>
      <c r="M12621">
        <v>0</v>
      </c>
      <c r="N12621">
        <v>0</v>
      </c>
    </row>
    <row r="12622" spans="1:15">
      <c r="A12622" t="s">
        <v>43430</v>
      </c>
      <c r="B12622" t="s">
        <v>367</v>
      </c>
      <c r="C12622" t="s">
        <v>7411</v>
      </c>
      <c r="D12622" t="s">
        <v>43431</v>
      </c>
      <c r="E12622" t="b">
        <v>0</v>
      </c>
      <c r="F12622" t="s">
        <v>11610</v>
      </c>
      <c r="L12622">
        <v>0</v>
      </c>
      <c r="M12622">
        <v>0</v>
      </c>
      <c r="N12622">
        <v>0</v>
      </c>
    </row>
    <row r="12623" spans="1:15">
      <c r="A12623" t="s">
        <v>43432</v>
      </c>
      <c r="B12623" t="s">
        <v>11615</v>
      </c>
      <c r="C12623" t="s">
        <v>18039</v>
      </c>
      <c r="D12623" t="s">
        <v>43433</v>
      </c>
      <c r="E12623" t="b">
        <v>0</v>
      </c>
      <c r="F12623" t="s">
        <v>11624</v>
      </c>
      <c r="G12623">
        <v>-4.5241600000000002</v>
      </c>
      <c r="H12623">
        <v>145.39400000000001</v>
      </c>
      <c r="I12623" t="s">
        <v>43434</v>
      </c>
      <c r="L12623">
        <v>0</v>
      </c>
      <c r="M12623">
        <v>0</v>
      </c>
      <c r="N12623">
        <v>0</v>
      </c>
      <c r="O12623" t="s">
        <v>11660</v>
      </c>
    </row>
    <row r="12624" spans="1:15">
      <c r="A12624" t="s">
        <v>43435</v>
      </c>
      <c r="B12624" t="s">
        <v>6742</v>
      </c>
      <c r="C12624" t="s">
        <v>41944</v>
      </c>
      <c r="D12624" t="s">
        <v>43436</v>
      </c>
      <c r="E12624" t="b">
        <v>0</v>
      </c>
      <c r="F12624" t="s">
        <v>11610</v>
      </c>
      <c r="L12624">
        <v>0</v>
      </c>
      <c r="M12624">
        <v>0</v>
      </c>
      <c r="N12624">
        <v>0</v>
      </c>
    </row>
    <row r="12625" spans="1:15">
      <c r="A12625" t="s">
        <v>43437</v>
      </c>
      <c r="B12625" t="s">
        <v>11607</v>
      </c>
      <c r="C12625" t="s">
        <v>41664</v>
      </c>
      <c r="D12625" t="s">
        <v>43438</v>
      </c>
      <c r="E12625" t="b">
        <v>0</v>
      </c>
      <c r="F12625" t="s">
        <v>11610</v>
      </c>
      <c r="L12625">
        <v>0</v>
      </c>
      <c r="M12625">
        <v>0</v>
      </c>
      <c r="N12625">
        <v>0</v>
      </c>
    </row>
    <row r="12626" spans="1:15">
      <c r="A12626" t="s">
        <v>43439</v>
      </c>
      <c r="B12626" t="s">
        <v>12241</v>
      </c>
      <c r="C12626" t="s">
        <v>12241</v>
      </c>
      <c r="D12626" t="s">
        <v>43440</v>
      </c>
      <c r="E12626" t="b">
        <v>0</v>
      </c>
      <c r="F12626" t="s">
        <v>11624</v>
      </c>
      <c r="G12626">
        <v>10.8527</v>
      </c>
      <c r="H12626">
        <v>9.7240699999999993</v>
      </c>
      <c r="I12626" t="s">
        <v>43441</v>
      </c>
      <c r="L12626">
        <v>0</v>
      </c>
      <c r="M12626">
        <v>0</v>
      </c>
      <c r="N12626">
        <v>0</v>
      </c>
      <c r="O12626" t="s">
        <v>11693</v>
      </c>
    </row>
    <row r="12627" spans="1:15">
      <c r="A12627" t="s">
        <v>43442</v>
      </c>
      <c r="B12627" t="s">
        <v>12438</v>
      </c>
      <c r="C12627" t="s">
        <v>2251</v>
      </c>
      <c r="D12627" t="s">
        <v>43443</v>
      </c>
      <c r="E12627" t="b">
        <v>0</v>
      </c>
      <c r="F12627" t="s">
        <v>11610</v>
      </c>
      <c r="L12627">
        <v>0</v>
      </c>
      <c r="M12627">
        <v>0</v>
      </c>
      <c r="N12627">
        <v>0</v>
      </c>
    </row>
    <row r="12628" spans="1:15">
      <c r="A12628" t="s">
        <v>43444</v>
      </c>
      <c r="B12628" t="s">
        <v>367</v>
      </c>
      <c r="C12628" t="s">
        <v>20543</v>
      </c>
      <c r="D12628" t="s">
        <v>43445</v>
      </c>
      <c r="E12628" t="b">
        <v>0</v>
      </c>
      <c r="F12628" t="s">
        <v>11610</v>
      </c>
      <c r="L12628">
        <v>0</v>
      </c>
      <c r="M12628">
        <v>0</v>
      </c>
      <c r="N12628">
        <v>0</v>
      </c>
    </row>
    <row r="12629" spans="1:15">
      <c r="A12629" t="s">
        <v>43446</v>
      </c>
      <c r="B12629" t="s">
        <v>11615</v>
      </c>
      <c r="C12629" t="s">
        <v>43447</v>
      </c>
      <c r="D12629" t="s">
        <v>43448</v>
      </c>
      <c r="E12629" t="b">
        <v>0</v>
      </c>
      <c r="F12629" t="s">
        <v>11610</v>
      </c>
      <c r="L12629">
        <v>0</v>
      </c>
      <c r="M12629">
        <v>0</v>
      </c>
      <c r="N12629">
        <v>0</v>
      </c>
    </row>
    <row r="12630" spans="1:15">
      <c r="A12630" t="s">
        <v>43449</v>
      </c>
      <c r="B12630" t="s">
        <v>11615</v>
      </c>
      <c r="C12630" t="s">
        <v>37656</v>
      </c>
      <c r="D12630" t="s">
        <v>43450</v>
      </c>
      <c r="E12630" t="b">
        <v>0</v>
      </c>
      <c r="F12630" t="s">
        <v>11624</v>
      </c>
      <c r="G12630">
        <v>-4.6181700000000001</v>
      </c>
      <c r="H12630">
        <v>145.28299999999999</v>
      </c>
      <c r="I12630" t="s">
        <v>43451</v>
      </c>
      <c r="L12630">
        <v>0</v>
      </c>
      <c r="M12630">
        <v>0</v>
      </c>
      <c r="N12630">
        <v>0</v>
      </c>
      <c r="O12630" t="s">
        <v>11660</v>
      </c>
    </row>
    <row r="12631" spans="1:15">
      <c r="A12631" t="s">
        <v>43452</v>
      </c>
      <c r="B12631" t="s">
        <v>11615</v>
      </c>
      <c r="C12631" t="s">
        <v>15886</v>
      </c>
      <c r="D12631" t="s">
        <v>43453</v>
      </c>
      <c r="E12631" t="b">
        <v>0</v>
      </c>
      <c r="F12631" t="s">
        <v>11624</v>
      </c>
      <c r="G12631">
        <v>-5.2218999999999998</v>
      </c>
      <c r="H12631">
        <v>145.589</v>
      </c>
      <c r="I12631" t="s">
        <v>43454</v>
      </c>
      <c r="L12631">
        <v>0</v>
      </c>
      <c r="M12631">
        <v>0</v>
      </c>
      <c r="N12631">
        <v>0</v>
      </c>
      <c r="O12631" t="s">
        <v>11660</v>
      </c>
    </row>
    <row r="12632" spans="1:15">
      <c r="A12632" t="s">
        <v>43455</v>
      </c>
      <c r="B12632" t="s">
        <v>11894</v>
      </c>
      <c r="C12632" t="s">
        <v>15062</v>
      </c>
      <c r="D12632" t="s">
        <v>43456</v>
      </c>
      <c r="E12632" t="b">
        <v>0</v>
      </c>
      <c r="F12632" t="s">
        <v>11624</v>
      </c>
      <c r="G12632">
        <v>3.11</v>
      </c>
      <c r="H12632">
        <v>-66.238404000000003</v>
      </c>
      <c r="L12632">
        <v>0</v>
      </c>
      <c r="M12632">
        <v>0</v>
      </c>
      <c r="N12632">
        <v>0</v>
      </c>
      <c r="O12632" t="s">
        <v>16711</v>
      </c>
    </row>
    <row r="12633" spans="1:15">
      <c r="A12633" t="s">
        <v>43457</v>
      </c>
      <c r="B12633" t="s">
        <v>11607</v>
      </c>
      <c r="C12633" t="s">
        <v>26486</v>
      </c>
      <c r="D12633" t="s">
        <v>43458</v>
      </c>
      <c r="E12633" t="b">
        <v>0</v>
      </c>
      <c r="F12633" t="s">
        <v>11624</v>
      </c>
      <c r="G12633">
        <v>11.7461</v>
      </c>
      <c r="H12633">
        <v>18.299900000000001</v>
      </c>
      <c r="I12633" t="s">
        <v>43459</v>
      </c>
      <c r="L12633">
        <v>0</v>
      </c>
      <c r="M12633">
        <v>0</v>
      </c>
      <c r="N12633">
        <v>0</v>
      </c>
      <c r="O12633" t="s">
        <v>13421</v>
      </c>
    </row>
    <row r="12634" spans="1:15">
      <c r="A12634" t="s">
        <v>43460</v>
      </c>
      <c r="B12634" t="s">
        <v>11627</v>
      </c>
      <c r="C12634" t="s">
        <v>11627</v>
      </c>
      <c r="D12634" t="s">
        <v>43461</v>
      </c>
      <c r="E12634" t="b">
        <v>1</v>
      </c>
      <c r="F12634" t="s">
        <v>11624</v>
      </c>
      <c r="G12634">
        <v>1.9881500000000001</v>
      </c>
      <c r="H12634">
        <v>-58.504600000000003</v>
      </c>
      <c r="I12634" t="s">
        <v>43462</v>
      </c>
      <c r="L12634">
        <v>0</v>
      </c>
      <c r="M12634">
        <v>0</v>
      </c>
      <c r="N12634">
        <v>0</v>
      </c>
      <c r="O12634" t="s">
        <v>18078</v>
      </c>
    </row>
    <row r="12635" spans="1:15">
      <c r="A12635" t="s">
        <v>28489</v>
      </c>
      <c r="B12635" t="s">
        <v>11637</v>
      </c>
      <c r="C12635" t="s">
        <v>1274</v>
      </c>
      <c r="D12635" t="s">
        <v>43463</v>
      </c>
      <c r="E12635" t="b">
        <v>0</v>
      </c>
      <c r="F12635" t="s">
        <v>11624</v>
      </c>
      <c r="G12635">
        <v>21.572399999999998</v>
      </c>
      <c r="H12635">
        <v>73.995599999999996</v>
      </c>
      <c r="I12635" t="s">
        <v>43464</v>
      </c>
      <c r="L12635">
        <v>0</v>
      </c>
      <c r="M12635">
        <v>0</v>
      </c>
      <c r="N12635">
        <v>3</v>
      </c>
      <c r="O12635" t="s">
        <v>11630</v>
      </c>
    </row>
    <row r="12636" spans="1:15">
      <c r="A12636" t="s">
        <v>43465</v>
      </c>
      <c r="D12636" t="s">
        <v>43466</v>
      </c>
      <c r="E12636" t="b">
        <v>0</v>
      </c>
      <c r="F12636" t="s">
        <v>11624</v>
      </c>
      <c r="G12636">
        <v>-2.36944</v>
      </c>
      <c r="H12636">
        <v>139.75200000000001</v>
      </c>
      <c r="I12636" t="s">
        <v>43467</v>
      </c>
      <c r="L12636">
        <v>0</v>
      </c>
      <c r="M12636">
        <v>0</v>
      </c>
      <c r="N12636">
        <v>0</v>
      </c>
      <c r="O12636" t="s">
        <v>11768</v>
      </c>
    </row>
    <row r="12637" spans="1:15">
      <c r="A12637" t="s">
        <v>409</v>
      </c>
      <c r="B12637" t="s">
        <v>11912</v>
      </c>
      <c r="C12637" t="s">
        <v>11912</v>
      </c>
      <c r="D12637" t="s">
        <v>43468</v>
      </c>
      <c r="E12637" t="b">
        <v>0</v>
      </c>
      <c r="F12637" t="s">
        <v>11622</v>
      </c>
      <c r="L12637">
        <v>28</v>
      </c>
      <c r="M12637">
        <v>50</v>
      </c>
      <c r="N12637">
        <v>41</v>
      </c>
    </row>
    <row r="12638" spans="1:15">
      <c r="A12638" t="s">
        <v>43469</v>
      </c>
      <c r="B12638" t="s">
        <v>11644</v>
      </c>
      <c r="C12638" t="s">
        <v>28687</v>
      </c>
      <c r="D12638" t="s">
        <v>43470</v>
      </c>
      <c r="E12638" t="b">
        <v>0</v>
      </c>
      <c r="F12638" t="s">
        <v>11610</v>
      </c>
      <c r="L12638">
        <v>0</v>
      </c>
      <c r="M12638">
        <v>0</v>
      </c>
      <c r="N12638">
        <v>0</v>
      </c>
    </row>
    <row r="12639" spans="1:15">
      <c r="A12639" t="s">
        <v>42001</v>
      </c>
      <c r="B12639" t="s">
        <v>11965</v>
      </c>
      <c r="C12639" t="s">
        <v>11965</v>
      </c>
      <c r="D12639" t="s">
        <v>43471</v>
      </c>
      <c r="E12639" t="b">
        <v>0</v>
      </c>
      <c r="F12639" t="s">
        <v>11622</v>
      </c>
      <c r="L12639">
        <v>2</v>
      </c>
      <c r="M12639">
        <v>6</v>
      </c>
      <c r="N12639">
        <v>0</v>
      </c>
    </row>
    <row r="12640" spans="1:15">
      <c r="A12640" t="s">
        <v>43472</v>
      </c>
      <c r="B12640" t="s">
        <v>11965</v>
      </c>
      <c r="C12640" t="s">
        <v>21098</v>
      </c>
      <c r="D12640" t="s">
        <v>43473</v>
      </c>
      <c r="E12640" t="b">
        <v>0</v>
      </c>
      <c r="F12640" t="s">
        <v>11624</v>
      </c>
      <c r="G12640">
        <v>-16.940200000000001</v>
      </c>
      <c r="H12640">
        <v>-40.789099999999998</v>
      </c>
      <c r="I12640" t="s">
        <v>43474</v>
      </c>
      <c r="L12640">
        <v>0</v>
      </c>
      <c r="M12640">
        <v>0</v>
      </c>
      <c r="N12640">
        <v>0</v>
      </c>
      <c r="O12640" t="s">
        <v>11969</v>
      </c>
    </row>
    <row r="12641" spans="1:15">
      <c r="A12641" t="s">
        <v>43475</v>
      </c>
      <c r="B12641" t="s">
        <v>11981</v>
      </c>
      <c r="C12641" t="s">
        <v>11982</v>
      </c>
      <c r="D12641" t="s">
        <v>43476</v>
      </c>
      <c r="E12641" t="b">
        <v>0</v>
      </c>
      <c r="F12641" t="s">
        <v>11624</v>
      </c>
      <c r="G12641">
        <v>-16.863682000000001</v>
      </c>
      <c r="H12641">
        <v>-40.594223999999997</v>
      </c>
      <c r="L12641">
        <v>0</v>
      </c>
      <c r="M12641">
        <v>0</v>
      </c>
      <c r="N12641">
        <v>0</v>
      </c>
      <c r="O12641" t="s">
        <v>11969</v>
      </c>
    </row>
    <row r="12642" spans="1:15">
      <c r="A12642" t="s">
        <v>43477</v>
      </c>
      <c r="B12642" t="s">
        <v>6742</v>
      </c>
      <c r="C12642" t="s">
        <v>15474</v>
      </c>
      <c r="D12642" t="s">
        <v>43478</v>
      </c>
      <c r="E12642" t="b">
        <v>0</v>
      </c>
      <c r="F12642" t="s">
        <v>11624</v>
      </c>
      <c r="G12642">
        <v>7.5729199999999999</v>
      </c>
      <c r="H12642">
        <v>1.7818099999999999</v>
      </c>
      <c r="I12642" t="s">
        <v>43479</v>
      </c>
      <c r="L12642">
        <v>0</v>
      </c>
      <c r="M12642">
        <v>0</v>
      </c>
      <c r="N12642">
        <v>0</v>
      </c>
      <c r="O12642" t="s">
        <v>12394</v>
      </c>
    </row>
    <row r="12643" spans="1:15">
      <c r="A12643" t="s">
        <v>43480</v>
      </c>
      <c r="B12643" t="s">
        <v>11637</v>
      </c>
      <c r="C12643" t="s">
        <v>14839</v>
      </c>
      <c r="D12643" t="s">
        <v>43481</v>
      </c>
      <c r="E12643" t="b">
        <v>0</v>
      </c>
      <c r="F12643" t="s">
        <v>11610</v>
      </c>
      <c r="L12643">
        <v>0</v>
      </c>
      <c r="M12643">
        <v>0</v>
      </c>
      <c r="N12643">
        <v>0</v>
      </c>
    </row>
    <row r="12644" spans="1:15">
      <c r="A12644" t="s">
        <v>43482</v>
      </c>
      <c r="B12644" t="s">
        <v>11644</v>
      </c>
      <c r="C12644" t="s">
        <v>36288</v>
      </c>
      <c r="D12644" t="s">
        <v>43483</v>
      </c>
      <c r="E12644" t="b">
        <v>0</v>
      </c>
      <c r="F12644" t="s">
        <v>11610</v>
      </c>
      <c r="L12644">
        <v>0</v>
      </c>
      <c r="M12644">
        <v>0</v>
      </c>
      <c r="N12644">
        <v>0</v>
      </c>
    </row>
    <row r="12645" spans="1:15">
      <c r="A12645" t="s">
        <v>43484</v>
      </c>
      <c r="B12645" t="s">
        <v>10597</v>
      </c>
      <c r="C12645" t="s">
        <v>12968</v>
      </c>
      <c r="D12645" t="s">
        <v>43485</v>
      </c>
      <c r="E12645" t="b">
        <v>0</v>
      </c>
      <c r="F12645" t="s">
        <v>11622</v>
      </c>
      <c r="L12645">
        <v>1</v>
      </c>
      <c r="M12645">
        <v>3</v>
      </c>
      <c r="N12645">
        <v>3</v>
      </c>
    </row>
    <row r="12646" spans="1:15">
      <c r="A12646" t="s">
        <v>43486</v>
      </c>
      <c r="B12646" t="s">
        <v>10597</v>
      </c>
      <c r="C12646" t="s">
        <v>43484</v>
      </c>
      <c r="D12646" t="s">
        <v>43487</v>
      </c>
      <c r="E12646" t="b">
        <v>0</v>
      </c>
      <c r="F12646" t="s">
        <v>11624</v>
      </c>
      <c r="G12646">
        <v>-18.114699999999999</v>
      </c>
      <c r="H12646">
        <v>140.33699999999999</v>
      </c>
      <c r="I12646" t="s">
        <v>43488</v>
      </c>
      <c r="L12646">
        <v>0</v>
      </c>
      <c r="M12646">
        <v>0</v>
      </c>
      <c r="N12646">
        <v>0</v>
      </c>
      <c r="O12646" t="s">
        <v>12107</v>
      </c>
    </row>
    <row r="12647" spans="1:15">
      <c r="A12647" t="s">
        <v>16674</v>
      </c>
      <c r="B12647" t="s">
        <v>13276</v>
      </c>
      <c r="C12647" t="s">
        <v>42470</v>
      </c>
      <c r="D12647" t="s">
        <v>43489</v>
      </c>
      <c r="E12647" t="b">
        <v>0</v>
      </c>
      <c r="F12647" t="s">
        <v>11624</v>
      </c>
      <c r="G12647">
        <v>13.181100000000001</v>
      </c>
      <c r="H12647">
        <v>-2.7273200000000002</v>
      </c>
      <c r="I12647" t="s">
        <v>43490</v>
      </c>
      <c r="L12647">
        <v>0</v>
      </c>
      <c r="M12647">
        <v>0</v>
      </c>
      <c r="N12647">
        <v>4</v>
      </c>
      <c r="O12647" t="s">
        <v>19305</v>
      </c>
    </row>
    <row r="12648" spans="1:15">
      <c r="A12648" t="s">
        <v>16754</v>
      </c>
      <c r="B12648" t="s">
        <v>367</v>
      </c>
      <c r="C12648" t="s">
        <v>17367</v>
      </c>
      <c r="D12648" t="s">
        <v>43491</v>
      </c>
      <c r="E12648" t="b">
        <v>0</v>
      </c>
      <c r="F12648" t="s">
        <v>11624</v>
      </c>
      <c r="G12648">
        <v>-1.22329</v>
      </c>
      <c r="H12648">
        <v>130.90899999999999</v>
      </c>
      <c r="I12648" t="s">
        <v>43492</v>
      </c>
      <c r="L12648">
        <v>0</v>
      </c>
      <c r="M12648">
        <v>0</v>
      </c>
      <c r="N12648">
        <v>3</v>
      </c>
      <c r="O12648" t="s">
        <v>11768</v>
      </c>
    </row>
    <row r="12649" spans="1:15">
      <c r="A12649" t="s">
        <v>43493</v>
      </c>
      <c r="B12649" t="s">
        <v>978</v>
      </c>
      <c r="C12649" t="s">
        <v>13318</v>
      </c>
      <c r="D12649" t="s">
        <v>43494</v>
      </c>
      <c r="E12649" t="b">
        <v>0</v>
      </c>
      <c r="F12649" t="s">
        <v>11610</v>
      </c>
      <c r="L12649">
        <v>0</v>
      </c>
      <c r="M12649">
        <v>0</v>
      </c>
      <c r="N12649">
        <v>0</v>
      </c>
    </row>
    <row r="12650" spans="1:15">
      <c r="A12650" t="s">
        <v>43495</v>
      </c>
      <c r="B12650" t="s">
        <v>17576</v>
      </c>
      <c r="C12650" t="s">
        <v>43496</v>
      </c>
      <c r="D12650" t="s">
        <v>43497</v>
      </c>
      <c r="E12650" t="b">
        <v>0</v>
      </c>
      <c r="F12650" t="s">
        <v>11624</v>
      </c>
      <c r="G12650">
        <v>14.1259</v>
      </c>
      <c r="H12650">
        <v>-84.343900000000005</v>
      </c>
      <c r="I12650" t="s">
        <v>43498</v>
      </c>
      <c r="L12650">
        <v>0</v>
      </c>
      <c r="M12650">
        <v>0</v>
      </c>
      <c r="N12650">
        <v>2</v>
      </c>
      <c r="O12650" t="s">
        <v>43310</v>
      </c>
    </row>
    <row r="12651" spans="1:15">
      <c r="A12651" t="s">
        <v>43499</v>
      </c>
      <c r="B12651" t="s">
        <v>11627</v>
      </c>
      <c r="C12651" t="s">
        <v>11627</v>
      </c>
      <c r="D12651" t="s">
        <v>43500</v>
      </c>
      <c r="E12651" t="b">
        <v>1</v>
      </c>
      <c r="F12651" t="s">
        <v>11624</v>
      </c>
      <c r="I12651" t="s">
        <v>43501</v>
      </c>
      <c r="L12651">
        <v>0</v>
      </c>
      <c r="M12651">
        <v>0</v>
      </c>
      <c r="N12651">
        <v>0</v>
      </c>
      <c r="O12651" t="s">
        <v>11883</v>
      </c>
    </row>
    <row r="12652" spans="1:15">
      <c r="A12652" t="s">
        <v>5911</v>
      </c>
      <c r="D12652" t="s">
        <v>43502</v>
      </c>
      <c r="E12652" t="b">
        <v>0</v>
      </c>
      <c r="F12652" t="s">
        <v>11622</v>
      </c>
      <c r="L12652">
        <v>24</v>
      </c>
      <c r="M12652">
        <v>33</v>
      </c>
      <c r="N12652">
        <v>9</v>
      </c>
    </row>
    <row r="12653" spans="1:15">
      <c r="A12653" t="s">
        <v>43323</v>
      </c>
      <c r="B12653" t="s">
        <v>367</v>
      </c>
      <c r="C12653" t="s">
        <v>13371</v>
      </c>
      <c r="D12653" t="s">
        <v>43503</v>
      </c>
      <c r="E12653" t="b">
        <v>0</v>
      </c>
      <c r="F12653" t="s">
        <v>11622</v>
      </c>
      <c r="L12653">
        <v>1</v>
      </c>
      <c r="M12653">
        <v>6</v>
      </c>
      <c r="N12653">
        <v>3</v>
      </c>
    </row>
    <row r="12654" spans="1:15">
      <c r="A12654" t="s">
        <v>43504</v>
      </c>
      <c r="B12654" t="s">
        <v>6742</v>
      </c>
      <c r="C12654" t="s">
        <v>43505</v>
      </c>
      <c r="D12654" t="s">
        <v>43506</v>
      </c>
      <c r="E12654" t="b">
        <v>0</v>
      </c>
      <c r="F12654" t="s">
        <v>11624</v>
      </c>
      <c r="G12654">
        <v>-1.1003799999999999</v>
      </c>
      <c r="H12654">
        <v>17.822469999999999</v>
      </c>
      <c r="I12654" t="s">
        <v>43507</v>
      </c>
      <c r="L12654">
        <v>0</v>
      </c>
      <c r="M12654">
        <v>0</v>
      </c>
      <c r="N12654">
        <v>0</v>
      </c>
      <c r="O12654" t="s">
        <v>14825</v>
      </c>
    </row>
    <row r="12655" spans="1:15">
      <c r="A12655" t="s">
        <v>43508</v>
      </c>
      <c r="B12655" t="s">
        <v>10597</v>
      </c>
      <c r="C12655" t="s">
        <v>43509</v>
      </c>
      <c r="D12655" t="s">
        <v>43510</v>
      </c>
      <c r="E12655" t="b">
        <v>0</v>
      </c>
      <c r="F12655" t="s">
        <v>11610</v>
      </c>
      <c r="G12655">
        <v>-20</v>
      </c>
      <c r="H12655">
        <v>140.63</v>
      </c>
      <c r="I12655" t="s">
        <v>43511</v>
      </c>
      <c r="L12655">
        <v>0</v>
      </c>
      <c r="M12655">
        <v>0</v>
      </c>
      <c r="N12655">
        <v>0</v>
      </c>
      <c r="O12655" t="s">
        <v>12107</v>
      </c>
    </row>
    <row r="12656" spans="1:15">
      <c r="A12656" t="s">
        <v>43512</v>
      </c>
      <c r="B12656" t="s">
        <v>10597</v>
      </c>
      <c r="C12656" t="s">
        <v>43509</v>
      </c>
      <c r="D12656" t="s">
        <v>43513</v>
      </c>
      <c r="E12656" t="b">
        <v>0</v>
      </c>
      <c r="F12656" t="s">
        <v>11610</v>
      </c>
      <c r="G12656">
        <v>-19.25</v>
      </c>
      <c r="H12656">
        <v>140.61000000000001</v>
      </c>
      <c r="I12656" t="s">
        <v>43514</v>
      </c>
      <c r="L12656">
        <v>0</v>
      </c>
      <c r="M12656">
        <v>0</v>
      </c>
      <c r="N12656">
        <v>0</v>
      </c>
      <c r="O12656" t="s">
        <v>12107</v>
      </c>
    </row>
    <row r="12657" spans="1:15">
      <c r="A12657" t="s">
        <v>43515</v>
      </c>
      <c r="B12657" t="s">
        <v>10597</v>
      </c>
      <c r="C12657" t="s">
        <v>43509</v>
      </c>
      <c r="D12657" t="s">
        <v>43516</v>
      </c>
      <c r="E12657" t="b">
        <v>0</v>
      </c>
      <c r="F12657" t="s">
        <v>11610</v>
      </c>
      <c r="G12657">
        <v>-18.559999999999999</v>
      </c>
      <c r="H12657">
        <v>141.46</v>
      </c>
      <c r="I12657" t="s">
        <v>43517</v>
      </c>
      <c r="L12657">
        <v>0</v>
      </c>
      <c r="M12657">
        <v>0</v>
      </c>
      <c r="N12657">
        <v>0</v>
      </c>
      <c r="O12657" t="s">
        <v>12107</v>
      </c>
    </row>
    <row r="12658" spans="1:15">
      <c r="A12658" t="s">
        <v>43509</v>
      </c>
      <c r="B12658" t="s">
        <v>10597</v>
      </c>
      <c r="C12658" t="s">
        <v>43518</v>
      </c>
      <c r="D12658" t="s">
        <v>43519</v>
      </c>
      <c r="E12658" t="b">
        <v>0</v>
      </c>
      <c r="F12658" t="s">
        <v>11624</v>
      </c>
      <c r="G12658">
        <v>-20.435199999999998</v>
      </c>
      <c r="H12658">
        <v>140.48099999999999</v>
      </c>
      <c r="I12658" t="s">
        <v>43520</v>
      </c>
      <c r="L12658">
        <v>0</v>
      </c>
      <c r="M12658">
        <v>0</v>
      </c>
      <c r="N12658">
        <v>3</v>
      </c>
      <c r="O12658" t="s">
        <v>12107</v>
      </c>
    </row>
    <row r="12659" spans="1:15">
      <c r="A12659" t="s">
        <v>16625</v>
      </c>
      <c r="B12659" t="s">
        <v>6742</v>
      </c>
      <c r="C12659" t="s">
        <v>26052</v>
      </c>
      <c r="D12659" t="s">
        <v>43521</v>
      </c>
      <c r="E12659" t="b">
        <v>0</v>
      </c>
      <c r="F12659" t="s">
        <v>11622</v>
      </c>
      <c r="L12659">
        <v>0</v>
      </c>
      <c r="M12659">
        <v>2</v>
      </c>
      <c r="N12659">
        <v>4</v>
      </c>
    </row>
    <row r="12660" spans="1:15">
      <c r="A12660" t="s">
        <v>6022</v>
      </c>
      <c r="B12660" t="s">
        <v>6742</v>
      </c>
      <c r="C12660" t="s">
        <v>16625</v>
      </c>
      <c r="D12660" t="s">
        <v>6021</v>
      </c>
      <c r="E12660" t="b">
        <v>0</v>
      </c>
      <c r="F12660" t="s">
        <v>11624</v>
      </c>
      <c r="G12660">
        <v>2.79827</v>
      </c>
      <c r="H12660">
        <v>27.828199999999999</v>
      </c>
      <c r="I12660" t="s">
        <v>6023</v>
      </c>
      <c r="L12660">
        <v>0</v>
      </c>
      <c r="M12660">
        <v>0</v>
      </c>
      <c r="N12660">
        <v>2</v>
      </c>
      <c r="O12660" t="s">
        <v>14825</v>
      </c>
    </row>
    <row r="12661" spans="1:15">
      <c r="A12661" t="s">
        <v>43522</v>
      </c>
      <c r="B12661" t="s">
        <v>367</v>
      </c>
      <c r="C12661" t="s">
        <v>17374</v>
      </c>
      <c r="D12661" t="s">
        <v>43523</v>
      </c>
      <c r="E12661" t="b">
        <v>0</v>
      </c>
      <c r="F12661" t="s">
        <v>11624</v>
      </c>
      <c r="G12661">
        <v>16.9984</v>
      </c>
      <c r="H12661">
        <v>121.29</v>
      </c>
      <c r="I12661" t="s">
        <v>43524</v>
      </c>
      <c r="L12661">
        <v>0</v>
      </c>
      <c r="M12661">
        <v>0</v>
      </c>
      <c r="N12661">
        <v>0</v>
      </c>
      <c r="O12661" t="s">
        <v>11749</v>
      </c>
    </row>
    <row r="12662" spans="1:15">
      <c r="A12662" t="s">
        <v>43525</v>
      </c>
      <c r="B12662" t="s">
        <v>11705</v>
      </c>
      <c r="C12662" t="s">
        <v>43526</v>
      </c>
      <c r="D12662" t="s">
        <v>43527</v>
      </c>
      <c r="E12662" t="b">
        <v>0</v>
      </c>
      <c r="F12662" t="s">
        <v>11610</v>
      </c>
      <c r="L12662">
        <v>0</v>
      </c>
      <c r="M12662">
        <v>0</v>
      </c>
      <c r="N12662">
        <v>0</v>
      </c>
    </row>
    <row r="12663" spans="1:15">
      <c r="A12663" t="s">
        <v>7511</v>
      </c>
      <c r="B12663" t="s">
        <v>12751</v>
      </c>
      <c r="C12663" t="s">
        <v>20864</v>
      </c>
      <c r="D12663" t="s">
        <v>7510</v>
      </c>
      <c r="E12663" t="b">
        <v>0</v>
      </c>
      <c r="F12663" t="s">
        <v>11624</v>
      </c>
      <c r="G12663">
        <v>26.452200000000001</v>
      </c>
      <c r="H12663">
        <v>-108.98099999999999</v>
      </c>
      <c r="I12663" t="s">
        <v>43528</v>
      </c>
      <c r="L12663">
        <v>0</v>
      </c>
      <c r="M12663">
        <v>0</v>
      </c>
      <c r="N12663">
        <v>0</v>
      </c>
      <c r="O12663" t="s">
        <v>11883</v>
      </c>
    </row>
    <row r="12664" spans="1:15">
      <c r="A12664" t="s">
        <v>43529</v>
      </c>
      <c r="B12664" t="s">
        <v>8310</v>
      </c>
      <c r="C12664" t="s">
        <v>570</v>
      </c>
      <c r="D12664" t="s">
        <v>43530</v>
      </c>
      <c r="E12664" t="b">
        <v>0</v>
      </c>
      <c r="F12664" t="s">
        <v>11610</v>
      </c>
      <c r="L12664">
        <v>0</v>
      </c>
      <c r="M12664">
        <v>0</v>
      </c>
      <c r="N12664">
        <v>0</v>
      </c>
    </row>
    <row r="12665" spans="1:15">
      <c r="A12665" t="s">
        <v>43531</v>
      </c>
      <c r="B12665" t="s">
        <v>12241</v>
      </c>
      <c r="C12665" t="s">
        <v>37342</v>
      </c>
      <c r="D12665" t="s">
        <v>43532</v>
      </c>
      <c r="E12665" t="b">
        <v>0</v>
      </c>
      <c r="F12665" t="s">
        <v>11624</v>
      </c>
      <c r="L12665">
        <v>0</v>
      </c>
      <c r="M12665">
        <v>0</v>
      </c>
      <c r="N12665">
        <v>0</v>
      </c>
      <c r="O12665" t="s">
        <v>11969</v>
      </c>
    </row>
    <row r="12666" spans="1:15">
      <c r="A12666" t="s">
        <v>43360</v>
      </c>
      <c r="B12666" t="s">
        <v>13244</v>
      </c>
      <c r="C12666" t="s">
        <v>43533</v>
      </c>
      <c r="D12666" t="s">
        <v>43534</v>
      </c>
      <c r="E12666" t="b">
        <v>0</v>
      </c>
      <c r="F12666" t="s">
        <v>11622</v>
      </c>
      <c r="L12666">
        <v>2</v>
      </c>
      <c r="M12666">
        <v>7</v>
      </c>
      <c r="N12666">
        <v>0</v>
      </c>
    </row>
    <row r="12667" spans="1:15">
      <c r="A12667" t="s">
        <v>43535</v>
      </c>
      <c r="B12667" t="s">
        <v>13244</v>
      </c>
      <c r="C12667" t="s">
        <v>43359</v>
      </c>
      <c r="D12667" t="s">
        <v>43536</v>
      </c>
      <c r="E12667" t="b">
        <v>0</v>
      </c>
      <c r="F12667" t="s">
        <v>11624</v>
      </c>
      <c r="G12667">
        <v>-4.9798629999999999</v>
      </c>
      <c r="H12667">
        <v>-70.038757000000004</v>
      </c>
      <c r="L12667">
        <v>0</v>
      </c>
      <c r="M12667">
        <v>0</v>
      </c>
      <c r="N12667">
        <v>0</v>
      </c>
      <c r="O12667" t="s">
        <v>11969</v>
      </c>
    </row>
    <row r="12668" spans="1:15">
      <c r="A12668" t="s">
        <v>43537</v>
      </c>
      <c r="B12668" t="s">
        <v>13244</v>
      </c>
      <c r="C12668" t="s">
        <v>43359</v>
      </c>
      <c r="D12668" t="s">
        <v>43538</v>
      </c>
      <c r="E12668" t="b">
        <v>0</v>
      </c>
      <c r="F12668" t="s">
        <v>11624</v>
      </c>
      <c r="G12668">
        <v>-4.3228580000000001</v>
      </c>
      <c r="H12668">
        <v>-70.280456999999998</v>
      </c>
      <c r="L12668">
        <v>0</v>
      </c>
      <c r="M12668">
        <v>0</v>
      </c>
      <c r="N12668">
        <v>0</v>
      </c>
      <c r="O12668" t="s">
        <v>11969</v>
      </c>
    </row>
    <row r="12669" spans="1:15">
      <c r="A12669" t="s">
        <v>43539</v>
      </c>
      <c r="B12669" t="s">
        <v>13244</v>
      </c>
      <c r="C12669" t="s">
        <v>43533</v>
      </c>
      <c r="D12669" t="s">
        <v>43540</v>
      </c>
      <c r="E12669" t="b">
        <v>0</v>
      </c>
      <c r="F12669" t="s">
        <v>11624</v>
      </c>
      <c r="G12669">
        <v>-4.2899919999999998</v>
      </c>
      <c r="H12669">
        <v>-69.873963000000003</v>
      </c>
      <c r="L12669">
        <v>0</v>
      </c>
      <c r="M12669">
        <v>0</v>
      </c>
      <c r="N12669">
        <v>0</v>
      </c>
      <c r="O12669" t="s">
        <v>11969</v>
      </c>
    </row>
    <row r="12670" spans="1:15">
      <c r="A12670" t="s">
        <v>43533</v>
      </c>
      <c r="B12670" t="s">
        <v>13244</v>
      </c>
      <c r="C12670" t="s">
        <v>41775</v>
      </c>
      <c r="D12670" t="s">
        <v>43541</v>
      </c>
      <c r="E12670" t="b">
        <v>0</v>
      </c>
      <c r="F12670" t="s">
        <v>11622</v>
      </c>
      <c r="L12670">
        <v>3</v>
      </c>
      <c r="M12670">
        <v>8</v>
      </c>
      <c r="N12670">
        <v>0</v>
      </c>
    </row>
    <row r="12671" spans="1:15">
      <c r="A12671" t="s">
        <v>43542</v>
      </c>
      <c r="B12671" t="s">
        <v>11705</v>
      </c>
      <c r="C12671" t="s">
        <v>43543</v>
      </c>
      <c r="D12671" t="s">
        <v>43544</v>
      </c>
      <c r="E12671" t="b">
        <v>0</v>
      </c>
      <c r="F12671" t="s">
        <v>11622</v>
      </c>
      <c r="L12671">
        <v>1</v>
      </c>
      <c r="M12671">
        <v>4</v>
      </c>
      <c r="N12671">
        <v>2</v>
      </c>
    </row>
    <row r="12672" spans="1:15">
      <c r="A12672" t="s">
        <v>43545</v>
      </c>
      <c r="B12672" t="s">
        <v>367</v>
      </c>
      <c r="C12672" t="s">
        <v>9614</v>
      </c>
      <c r="D12672" t="s">
        <v>43546</v>
      </c>
      <c r="E12672" t="b">
        <v>0</v>
      </c>
      <c r="F12672" t="s">
        <v>11610</v>
      </c>
      <c r="L12672">
        <v>0</v>
      </c>
      <c r="M12672">
        <v>0</v>
      </c>
      <c r="N12672">
        <v>0</v>
      </c>
    </row>
    <row r="12673" spans="1:15">
      <c r="A12673" t="s">
        <v>43547</v>
      </c>
      <c r="B12673" t="s">
        <v>16115</v>
      </c>
      <c r="C12673" t="s">
        <v>16115</v>
      </c>
      <c r="D12673" t="s">
        <v>43548</v>
      </c>
      <c r="E12673" t="b">
        <v>0</v>
      </c>
      <c r="F12673" t="s">
        <v>11610</v>
      </c>
      <c r="L12673">
        <v>0</v>
      </c>
      <c r="M12673">
        <v>0</v>
      </c>
      <c r="N12673">
        <v>0</v>
      </c>
    </row>
    <row r="12674" spans="1:15">
      <c r="A12674" t="s">
        <v>43549</v>
      </c>
      <c r="B12674" t="s">
        <v>12438</v>
      </c>
      <c r="C12674" t="s">
        <v>22982</v>
      </c>
      <c r="D12674" t="s">
        <v>43550</v>
      </c>
      <c r="E12674" t="b">
        <v>0</v>
      </c>
      <c r="F12674" t="s">
        <v>11610</v>
      </c>
      <c r="L12674">
        <v>0</v>
      </c>
      <c r="M12674">
        <v>0</v>
      </c>
      <c r="N12674">
        <v>0</v>
      </c>
    </row>
    <row r="12675" spans="1:15">
      <c r="A12675" t="s">
        <v>29583</v>
      </c>
      <c r="B12675" t="s">
        <v>11637</v>
      </c>
      <c r="C12675" t="s">
        <v>43551</v>
      </c>
      <c r="D12675" t="s">
        <v>43552</v>
      </c>
      <c r="E12675" t="b">
        <v>0</v>
      </c>
      <c r="F12675" t="s">
        <v>11624</v>
      </c>
      <c r="G12675">
        <v>36.241</v>
      </c>
      <c r="H12675">
        <v>52.300899999999999</v>
      </c>
      <c r="I12675" t="s">
        <v>43553</v>
      </c>
      <c r="L12675">
        <v>0</v>
      </c>
      <c r="M12675">
        <v>0</v>
      </c>
      <c r="N12675">
        <v>2</v>
      </c>
      <c r="O12675" t="s">
        <v>13225</v>
      </c>
    </row>
    <row r="12676" spans="1:15">
      <c r="A12676" t="s">
        <v>43554</v>
      </c>
      <c r="B12676" t="s">
        <v>15027</v>
      </c>
      <c r="C12676" t="s">
        <v>23192</v>
      </c>
      <c r="D12676" t="s">
        <v>43555</v>
      </c>
      <c r="E12676" t="b">
        <v>0</v>
      </c>
      <c r="F12676" t="s">
        <v>11624</v>
      </c>
      <c r="G12676">
        <v>17.015599999999999</v>
      </c>
      <c r="H12676">
        <v>-95.283299999999997</v>
      </c>
      <c r="I12676" t="s">
        <v>43556</v>
      </c>
      <c r="L12676">
        <v>0</v>
      </c>
      <c r="M12676">
        <v>0</v>
      </c>
      <c r="N12676">
        <v>0</v>
      </c>
      <c r="O12676" t="s">
        <v>11883</v>
      </c>
    </row>
    <row r="12677" spans="1:15">
      <c r="A12677" t="s">
        <v>21735</v>
      </c>
      <c r="B12677" t="s">
        <v>11879</v>
      </c>
      <c r="C12677" t="s">
        <v>43557</v>
      </c>
      <c r="D12677" t="s">
        <v>43558</v>
      </c>
      <c r="E12677" t="b">
        <v>0</v>
      </c>
      <c r="F12677" t="s">
        <v>11622</v>
      </c>
      <c r="L12677">
        <v>0</v>
      </c>
      <c r="M12677">
        <v>2</v>
      </c>
      <c r="N12677">
        <v>3</v>
      </c>
    </row>
    <row r="12678" spans="1:15">
      <c r="A12678" t="s">
        <v>43559</v>
      </c>
      <c r="B12678" t="s">
        <v>11879</v>
      </c>
      <c r="C12678" t="s">
        <v>14920</v>
      </c>
      <c r="D12678" t="s">
        <v>43560</v>
      </c>
      <c r="E12678" t="b">
        <v>0</v>
      </c>
      <c r="F12678" t="s">
        <v>11624</v>
      </c>
      <c r="G12678">
        <v>17.154699999999998</v>
      </c>
      <c r="H12678">
        <v>-96.879099999999994</v>
      </c>
      <c r="I12678" t="s">
        <v>43561</v>
      </c>
      <c r="L12678">
        <v>0</v>
      </c>
      <c r="M12678">
        <v>0</v>
      </c>
      <c r="N12678">
        <v>0</v>
      </c>
      <c r="O12678" t="s">
        <v>11883</v>
      </c>
    </row>
    <row r="12679" spans="1:15">
      <c r="A12679" t="s">
        <v>43562</v>
      </c>
      <c r="B12679" t="s">
        <v>11879</v>
      </c>
      <c r="C12679" t="s">
        <v>22777</v>
      </c>
      <c r="D12679" t="s">
        <v>43563</v>
      </c>
      <c r="E12679" t="b">
        <v>0</v>
      </c>
      <c r="F12679" t="s">
        <v>11622</v>
      </c>
      <c r="L12679">
        <v>4</v>
      </c>
      <c r="M12679">
        <v>8</v>
      </c>
      <c r="N12679">
        <v>11</v>
      </c>
    </row>
    <row r="12680" spans="1:15">
      <c r="A12680" t="s">
        <v>40579</v>
      </c>
      <c r="B12680" t="s">
        <v>11879</v>
      </c>
      <c r="C12680" t="s">
        <v>31596</v>
      </c>
      <c r="D12680" t="s">
        <v>43564</v>
      </c>
      <c r="E12680" t="b">
        <v>0</v>
      </c>
      <c r="F12680" t="s">
        <v>11624</v>
      </c>
      <c r="G12680">
        <v>18.082899999999999</v>
      </c>
      <c r="H12680">
        <v>-96.888900000000007</v>
      </c>
      <c r="I12680" t="s">
        <v>43565</v>
      </c>
      <c r="L12680">
        <v>0</v>
      </c>
      <c r="M12680">
        <v>0</v>
      </c>
      <c r="N12680">
        <v>2</v>
      </c>
      <c r="O12680" t="s">
        <v>11883</v>
      </c>
    </row>
    <row r="12681" spans="1:15">
      <c r="A12681" t="s">
        <v>43566</v>
      </c>
      <c r="B12681" t="s">
        <v>11607</v>
      </c>
      <c r="C12681" t="s">
        <v>28437</v>
      </c>
      <c r="D12681" t="s">
        <v>43567</v>
      </c>
      <c r="E12681" t="b">
        <v>0</v>
      </c>
      <c r="F12681" t="s">
        <v>11610</v>
      </c>
      <c r="L12681">
        <v>0</v>
      </c>
      <c r="M12681">
        <v>0</v>
      </c>
      <c r="N12681">
        <v>0</v>
      </c>
    </row>
    <row r="12682" spans="1:15">
      <c r="A12682" t="s">
        <v>37036</v>
      </c>
      <c r="B12682" t="s">
        <v>11607</v>
      </c>
      <c r="C12682" t="s">
        <v>23741</v>
      </c>
      <c r="D12682" t="s">
        <v>43568</v>
      </c>
      <c r="E12682" t="b">
        <v>0</v>
      </c>
      <c r="F12682" t="s">
        <v>11624</v>
      </c>
      <c r="G12682">
        <v>10.175000000000001</v>
      </c>
      <c r="H12682">
        <v>13.6873</v>
      </c>
      <c r="I12682" t="s">
        <v>43569</v>
      </c>
      <c r="L12682">
        <v>0</v>
      </c>
      <c r="M12682">
        <v>0</v>
      </c>
      <c r="N12682">
        <v>2</v>
      </c>
      <c r="O12682" t="s">
        <v>11703</v>
      </c>
    </row>
    <row r="12683" spans="1:15">
      <c r="A12683" t="s">
        <v>43551</v>
      </c>
      <c r="B12683" t="s">
        <v>11637</v>
      </c>
      <c r="C12683" t="s">
        <v>21194</v>
      </c>
      <c r="D12683" t="s">
        <v>43570</v>
      </c>
      <c r="E12683" t="b">
        <v>0</v>
      </c>
      <c r="F12683" t="s">
        <v>11622</v>
      </c>
      <c r="L12683">
        <v>0</v>
      </c>
      <c r="M12683">
        <v>2</v>
      </c>
      <c r="N12683">
        <v>2</v>
      </c>
    </row>
    <row r="12684" spans="1:15">
      <c r="A12684" t="s">
        <v>43571</v>
      </c>
      <c r="B12684" t="s">
        <v>11644</v>
      </c>
      <c r="C12684" t="s">
        <v>41383</v>
      </c>
      <c r="D12684" t="s">
        <v>43572</v>
      </c>
      <c r="E12684" t="b">
        <v>0</v>
      </c>
      <c r="F12684" t="s">
        <v>11624</v>
      </c>
      <c r="G12684">
        <v>23.546095000000001</v>
      </c>
      <c r="H12684">
        <v>105.51630400000001</v>
      </c>
      <c r="L12684">
        <v>0</v>
      </c>
      <c r="M12684">
        <v>0</v>
      </c>
      <c r="N12684">
        <v>0</v>
      </c>
      <c r="O12684" t="s">
        <v>11905</v>
      </c>
    </row>
    <row r="12685" spans="1:15">
      <c r="A12685" t="s">
        <v>43573</v>
      </c>
      <c r="B12685" t="s">
        <v>11879</v>
      </c>
      <c r="C12685" t="s">
        <v>43562</v>
      </c>
      <c r="D12685" t="s">
        <v>43574</v>
      </c>
      <c r="E12685" t="b">
        <v>0</v>
      </c>
      <c r="F12685" t="s">
        <v>11622</v>
      </c>
      <c r="L12685">
        <v>0</v>
      </c>
      <c r="M12685">
        <v>2</v>
      </c>
      <c r="N12685">
        <v>7</v>
      </c>
    </row>
    <row r="12686" spans="1:15">
      <c r="A12686" t="s">
        <v>21929</v>
      </c>
      <c r="B12686" t="s">
        <v>11879</v>
      </c>
      <c r="C12686" t="s">
        <v>43562</v>
      </c>
      <c r="D12686" t="s">
        <v>43575</v>
      </c>
      <c r="E12686" t="b">
        <v>0</v>
      </c>
      <c r="F12686" t="s">
        <v>11622</v>
      </c>
      <c r="L12686">
        <v>1</v>
      </c>
      <c r="M12686">
        <v>4</v>
      </c>
      <c r="N12686">
        <v>0</v>
      </c>
    </row>
    <row r="12687" spans="1:15">
      <c r="A12687" t="s">
        <v>31596</v>
      </c>
      <c r="B12687" t="s">
        <v>11879</v>
      </c>
      <c r="C12687" t="s">
        <v>43562</v>
      </c>
      <c r="D12687" t="s">
        <v>43576</v>
      </c>
      <c r="E12687" t="b">
        <v>0</v>
      </c>
      <c r="F12687" t="s">
        <v>11622</v>
      </c>
      <c r="L12687">
        <v>0</v>
      </c>
      <c r="M12687">
        <v>2</v>
      </c>
      <c r="N12687">
        <v>4</v>
      </c>
    </row>
    <row r="12688" spans="1:15">
      <c r="A12688" t="s">
        <v>43577</v>
      </c>
      <c r="B12688" t="s">
        <v>11637</v>
      </c>
      <c r="C12688" t="s">
        <v>16887</v>
      </c>
      <c r="D12688" t="s">
        <v>43578</v>
      </c>
      <c r="E12688" t="b">
        <v>0</v>
      </c>
      <c r="F12688" t="s">
        <v>11610</v>
      </c>
      <c r="L12688">
        <v>0</v>
      </c>
      <c r="M12688">
        <v>0</v>
      </c>
      <c r="N12688">
        <v>0</v>
      </c>
    </row>
    <row r="12689" spans="1:15">
      <c r="A12689" t="s">
        <v>43579</v>
      </c>
      <c r="B12689" t="s">
        <v>6742</v>
      </c>
      <c r="C12689" t="s">
        <v>43580</v>
      </c>
      <c r="D12689" t="s">
        <v>43581</v>
      </c>
      <c r="E12689" t="b">
        <v>0</v>
      </c>
      <c r="F12689" t="s">
        <v>11624</v>
      </c>
      <c r="G12689">
        <v>1.0688500000000001</v>
      </c>
      <c r="H12689">
        <v>25.143000000000001</v>
      </c>
      <c r="I12689" t="s">
        <v>43582</v>
      </c>
      <c r="L12689">
        <v>0</v>
      </c>
      <c r="M12689">
        <v>0</v>
      </c>
      <c r="N12689">
        <v>0</v>
      </c>
      <c r="O12689" t="s">
        <v>14825</v>
      </c>
    </row>
    <row r="12690" spans="1:15">
      <c r="A12690" t="s">
        <v>43583</v>
      </c>
      <c r="B12690" t="s">
        <v>367</v>
      </c>
      <c r="C12690" t="s">
        <v>43584</v>
      </c>
      <c r="D12690" t="s">
        <v>43585</v>
      </c>
      <c r="E12690" t="b">
        <v>0</v>
      </c>
      <c r="F12690" t="s">
        <v>11610</v>
      </c>
      <c r="L12690">
        <v>0</v>
      </c>
      <c r="M12690">
        <v>0</v>
      </c>
      <c r="N12690">
        <v>0</v>
      </c>
    </row>
    <row r="12691" spans="1:15">
      <c r="A12691" t="s">
        <v>43586</v>
      </c>
      <c r="B12691" t="s">
        <v>11607</v>
      </c>
      <c r="C12691" t="s">
        <v>25288</v>
      </c>
      <c r="D12691" t="s">
        <v>43587</v>
      </c>
      <c r="E12691" t="b">
        <v>0</v>
      </c>
      <c r="F12691" t="s">
        <v>11610</v>
      </c>
      <c r="L12691">
        <v>0</v>
      </c>
      <c r="M12691">
        <v>0</v>
      </c>
      <c r="N12691">
        <v>0</v>
      </c>
    </row>
    <row r="12692" spans="1:15">
      <c r="A12692" t="s">
        <v>43588</v>
      </c>
      <c r="B12692" t="s">
        <v>10597</v>
      </c>
      <c r="C12692" t="s">
        <v>27868</v>
      </c>
      <c r="D12692" t="s">
        <v>43589</v>
      </c>
      <c r="E12692" t="b">
        <v>0</v>
      </c>
      <c r="F12692" t="s">
        <v>11624</v>
      </c>
      <c r="G12692">
        <v>-20.1389</v>
      </c>
      <c r="H12692">
        <v>143.43799999999999</v>
      </c>
      <c r="I12692" t="s">
        <v>43590</v>
      </c>
      <c r="L12692">
        <v>0</v>
      </c>
      <c r="M12692">
        <v>0</v>
      </c>
      <c r="N12692">
        <v>0</v>
      </c>
      <c r="O12692" t="s">
        <v>12107</v>
      </c>
    </row>
    <row r="12693" spans="1:15">
      <c r="A12693" t="s">
        <v>43591</v>
      </c>
      <c r="B12693" t="s">
        <v>6742</v>
      </c>
      <c r="C12693" t="s">
        <v>26095</v>
      </c>
      <c r="D12693" t="s">
        <v>43592</v>
      </c>
      <c r="E12693" t="b">
        <v>0</v>
      </c>
      <c r="F12693" t="s">
        <v>11610</v>
      </c>
      <c r="L12693">
        <v>0</v>
      </c>
      <c r="M12693">
        <v>0</v>
      </c>
      <c r="N12693">
        <v>0</v>
      </c>
    </row>
    <row r="12694" spans="1:15">
      <c r="A12694" t="s">
        <v>18712</v>
      </c>
      <c r="B12694" t="s">
        <v>6742</v>
      </c>
      <c r="C12694" t="s">
        <v>41042</v>
      </c>
      <c r="D12694" t="s">
        <v>43593</v>
      </c>
      <c r="E12694" t="b">
        <v>0</v>
      </c>
      <c r="F12694" t="s">
        <v>11622</v>
      </c>
      <c r="L12694">
        <v>0</v>
      </c>
      <c r="M12694">
        <v>4</v>
      </c>
      <c r="N12694">
        <v>3</v>
      </c>
    </row>
    <row r="12695" spans="1:15">
      <c r="A12695" t="s">
        <v>43594</v>
      </c>
      <c r="B12695" t="s">
        <v>6742</v>
      </c>
      <c r="C12695" t="s">
        <v>16664</v>
      </c>
      <c r="D12695" t="s">
        <v>43595</v>
      </c>
      <c r="E12695" t="b">
        <v>0</v>
      </c>
      <c r="F12695" t="s">
        <v>11610</v>
      </c>
      <c r="L12695">
        <v>0</v>
      </c>
      <c r="M12695">
        <v>0</v>
      </c>
      <c r="N12695">
        <v>0</v>
      </c>
    </row>
    <row r="12696" spans="1:15">
      <c r="A12696" t="s">
        <v>41536</v>
      </c>
      <c r="B12696" t="s">
        <v>6742</v>
      </c>
      <c r="C12696" t="s">
        <v>43596</v>
      </c>
      <c r="D12696" t="s">
        <v>43597</v>
      </c>
      <c r="E12696" t="b">
        <v>0</v>
      </c>
      <c r="F12696" t="s">
        <v>11622</v>
      </c>
      <c r="L12696">
        <v>2</v>
      </c>
      <c r="M12696">
        <v>4</v>
      </c>
      <c r="N12696">
        <v>0</v>
      </c>
    </row>
    <row r="12697" spans="1:15">
      <c r="A12697" t="s">
        <v>43598</v>
      </c>
      <c r="B12697" t="s">
        <v>6742</v>
      </c>
      <c r="C12697" t="s">
        <v>7100</v>
      </c>
      <c r="D12697" t="s">
        <v>43599</v>
      </c>
      <c r="E12697" t="b">
        <v>0</v>
      </c>
      <c r="F12697" t="s">
        <v>11610</v>
      </c>
      <c r="L12697">
        <v>0</v>
      </c>
      <c r="M12697">
        <v>0</v>
      </c>
      <c r="N12697">
        <v>0</v>
      </c>
    </row>
    <row r="12698" spans="1:15">
      <c r="A12698" t="s">
        <v>43600</v>
      </c>
      <c r="B12698" t="s">
        <v>6742</v>
      </c>
      <c r="C12698" t="s">
        <v>12211</v>
      </c>
      <c r="D12698" t="s">
        <v>43601</v>
      </c>
      <c r="E12698" t="b">
        <v>0</v>
      </c>
      <c r="F12698" t="s">
        <v>11610</v>
      </c>
      <c r="L12698">
        <v>0</v>
      </c>
      <c r="M12698">
        <v>0</v>
      </c>
      <c r="N12698">
        <v>0</v>
      </c>
    </row>
    <row r="12699" spans="1:15">
      <c r="A12699" t="s">
        <v>43602</v>
      </c>
      <c r="B12699" t="s">
        <v>11757</v>
      </c>
      <c r="C12699" t="s">
        <v>891</v>
      </c>
      <c r="D12699" t="s">
        <v>43603</v>
      </c>
      <c r="E12699" t="b">
        <v>0</v>
      </c>
      <c r="F12699" t="s">
        <v>11610</v>
      </c>
      <c r="L12699">
        <v>0</v>
      </c>
      <c r="M12699">
        <v>0</v>
      </c>
      <c r="N12699">
        <v>0</v>
      </c>
    </row>
    <row r="12700" spans="1:15">
      <c r="A12700" t="s">
        <v>43604</v>
      </c>
      <c r="B12700" t="s">
        <v>6742</v>
      </c>
      <c r="C12700" t="s">
        <v>36523</v>
      </c>
      <c r="D12700" t="s">
        <v>43605</v>
      </c>
      <c r="E12700" t="b">
        <v>0</v>
      </c>
      <c r="F12700" t="s">
        <v>11610</v>
      </c>
      <c r="L12700">
        <v>0</v>
      </c>
      <c r="M12700">
        <v>0</v>
      </c>
      <c r="N12700">
        <v>0</v>
      </c>
    </row>
    <row r="12701" spans="1:15">
      <c r="A12701" t="s">
        <v>43606</v>
      </c>
      <c r="B12701" t="s">
        <v>6742</v>
      </c>
      <c r="C12701" t="s">
        <v>43607</v>
      </c>
      <c r="D12701" t="s">
        <v>43608</v>
      </c>
      <c r="E12701" t="b">
        <v>0</v>
      </c>
      <c r="F12701" t="s">
        <v>11610</v>
      </c>
      <c r="L12701">
        <v>0</v>
      </c>
      <c r="M12701">
        <v>0</v>
      </c>
      <c r="N12701">
        <v>0</v>
      </c>
    </row>
    <row r="12702" spans="1:15">
      <c r="A12702" t="s">
        <v>43609</v>
      </c>
      <c r="B12702" t="s">
        <v>6742</v>
      </c>
      <c r="C12702" t="s">
        <v>37871</v>
      </c>
      <c r="D12702" t="s">
        <v>43610</v>
      </c>
      <c r="E12702" t="b">
        <v>0</v>
      </c>
      <c r="F12702" t="s">
        <v>11624</v>
      </c>
      <c r="G12702">
        <v>-19.593</v>
      </c>
      <c r="H12702">
        <v>16.617000000000001</v>
      </c>
      <c r="I12702" t="s">
        <v>43611</v>
      </c>
      <c r="L12702">
        <v>0</v>
      </c>
      <c r="M12702">
        <v>0</v>
      </c>
      <c r="N12702">
        <v>0</v>
      </c>
      <c r="O12702" t="s">
        <v>46</v>
      </c>
    </row>
    <row r="12703" spans="1:15">
      <c r="A12703" t="s">
        <v>43612</v>
      </c>
      <c r="B12703" t="s">
        <v>6742</v>
      </c>
      <c r="C12703" t="s">
        <v>20440</v>
      </c>
      <c r="D12703" t="s">
        <v>43613</v>
      </c>
      <c r="E12703" t="b">
        <v>0</v>
      </c>
      <c r="F12703" t="s">
        <v>11610</v>
      </c>
      <c r="L12703">
        <v>0</v>
      </c>
      <c r="M12703">
        <v>0</v>
      </c>
      <c r="N12703">
        <v>0</v>
      </c>
    </row>
    <row r="12704" spans="1:15">
      <c r="A12704" t="s">
        <v>43614</v>
      </c>
      <c r="B12704" t="s">
        <v>6742</v>
      </c>
      <c r="C12704" t="s">
        <v>43615</v>
      </c>
      <c r="D12704" t="s">
        <v>43616</v>
      </c>
      <c r="E12704" t="b">
        <v>0</v>
      </c>
      <c r="F12704" t="s">
        <v>11624</v>
      </c>
      <c r="G12704">
        <v>-5.1188799999999999</v>
      </c>
      <c r="H12704">
        <v>18.041</v>
      </c>
      <c r="I12704" t="s">
        <v>43617</v>
      </c>
      <c r="L12704">
        <v>0</v>
      </c>
      <c r="M12704">
        <v>0</v>
      </c>
      <c r="N12704">
        <v>0</v>
      </c>
      <c r="O12704" t="s">
        <v>14825</v>
      </c>
    </row>
    <row r="12705" spans="1:15">
      <c r="A12705" t="s">
        <v>43618</v>
      </c>
      <c r="B12705" t="s">
        <v>6742</v>
      </c>
      <c r="C12705" t="s">
        <v>16664</v>
      </c>
      <c r="D12705" t="s">
        <v>43619</v>
      </c>
      <c r="E12705" t="b">
        <v>0</v>
      </c>
      <c r="F12705" t="s">
        <v>11610</v>
      </c>
      <c r="L12705">
        <v>0</v>
      </c>
      <c r="M12705">
        <v>0</v>
      </c>
      <c r="N12705">
        <v>0</v>
      </c>
    </row>
    <row r="12706" spans="1:15">
      <c r="A12706" t="s">
        <v>31380</v>
      </c>
      <c r="B12706" t="s">
        <v>6742</v>
      </c>
      <c r="C12706" t="s">
        <v>43620</v>
      </c>
      <c r="D12706" t="s">
        <v>43621</v>
      </c>
      <c r="E12706" t="b">
        <v>0</v>
      </c>
      <c r="F12706" t="s">
        <v>11622</v>
      </c>
      <c r="L12706">
        <v>3</v>
      </c>
      <c r="M12706">
        <v>6</v>
      </c>
      <c r="N12706">
        <v>4</v>
      </c>
    </row>
    <row r="12707" spans="1:15">
      <c r="A12707" t="s">
        <v>43615</v>
      </c>
      <c r="B12707" t="s">
        <v>6742</v>
      </c>
      <c r="C12707" t="s">
        <v>31380</v>
      </c>
      <c r="D12707" t="s">
        <v>43622</v>
      </c>
      <c r="E12707" t="b">
        <v>0</v>
      </c>
      <c r="F12707" t="s">
        <v>11622</v>
      </c>
      <c r="L12707">
        <v>0</v>
      </c>
      <c r="M12707">
        <v>2</v>
      </c>
      <c r="N12707">
        <v>0</v>
      </c>
    </row>
    <row r="12708" spans="1:15">
      <c r="A12708" t="s">
        <v>43623</v>
      </c>
      <c r="B12708" t="s">
        <v>6742</v>
      </c>
      <c r="C12708" t="s">
        <v>30974</v>
      </c>
      <c r="D12708" t="s">
        <v>43624</v>
      </c>
      <c r="E12708" t="b">
        <v>0</v>
      </c>
      <c r="F12708" t="s">
        <v>11610</v>
      </c>
      <c r="L12708">
        <v>0</v>
      </c>
      <c r="M12708">
        <v>0</v>
      </c>
      <c r="N12708">
        <v>0</v>
      </c>
    </row>
    <row r="12709" spans="1:15">
      <c r="A12709" t="s">
        <v>43625</v>
      </c>
      <c r="B12709" t="s">
        <v>6742</v>
      </c>
      <c r="C12709" t="s">
        <v>27059</v>
      </c>
      <c r="D12709" t="s">
        <v>43626</v>
      </c>
      <c r="E12709" t="b">
        <v>0</v>
      </c>
      <c r="F12709" t="s">
        <v>11610</v>
      </c>
      <c r="L12709">
        <v>0</v>
      </c>
      <c r="M12709">
        <v>0</v>
      </c>
      <c r="N12709">
        <v>0</v>
      </c>
    </row>
    <row r="12710" spans="1:15">
      <c r="A12710" t="s">
        <v>43627</v>
      </c>
      <c r="B12710" t="s">
        <v>6742</v>
      </c>
      <c r="C12710" t="s">
        <v>36523</v>
      </c>
      <c r="D12710" t="s">
        <v>43628</v>
      </c>
      <c r="E12710" t="b">
        <v>0</v>
      </c>
      <c r="F12710" t="s">
        <v>11610</v>
      </c>
      <c r="L12710">
        <v>0</v>
      </c>
      <c r="M12710">
        <v>0</v>
      </c>
      <c r="N12710">
        <v>0</v>
      </c>
    </row>
    <row r="12711" spans="1:15">
      <c r="A12711" t="s">
        <v>16435</v>
      </c>
      <c r="B12711" t="s">
        <v>6742</v>
      </c>
      <c r="C12711" t="s">
        <v>43629</v>
      </c>
      <c r="D12711" t="s">
        <v>43630</v>
      </c>
      <c r="E12711" t="b">
        <v>0</v>
      </c>
      <c r="F12711" t="s">
        <v>11622</v>
      </c>
      <c r="L12711">
        <v>10</v>
      </c>
      <c r="M12711">
        <v>35</v>
      </c>
      <c r="N12711">
        <v>79</v>
      </c>
    </row>
    <row r="12712" spans="1:15">
      <c r="A12712" t="s">
        <v>43631</v>
      </c>
      <c r="B12712" t="s">
        <v>6742</v>
      </c>
      <c r="C12712" t="s">
        <v>500</v>
      </c>
      <c r="D12712" t="s">
        <v>43632</v>
      </c>
      <c r="E12712" t="b">
        <v>0</v>
      </c>
      <c r="F12712" t="s">
        <v>11622</v>
      </c>
      <c r="L12712">
        <v>8</v>
      </c>
      <c r="M12712">
        <v>14</v>
      </c>
      <c r="N12712">
        <v>19</v>
      </c>
    </row>
    <row r="12713" spans="1:15">
      <c r="A12713" t="s">
        <v>16417</v>
      </c>
      <c r="B12713" t="s">
        <v>6742</v>
      </c>
      <c r="C12713" t="s">
        <v>43633</v>
      </c>
      <c r="D12713" t="s">
        <v>43634</v>
      </c>
      <c r="E12713" t="b">
        <v>0</v>
      </c>
      <c r="F12713" t="s">
        <v>11622</v>
      </c>
      <c r="L12713">
        <v>2</v>
      </c>
      <c r="M12713">
        <v>8</v>
      </c>
      <c r="N12713">
        <v>3</v>
      </c>
    </row>
    <row r="12714" spans="1:15">
      <c r="A12714" t="s">
        <v>43635</v>
      </c>
      <c r="B12714" t="s">
        <v>6742</v>
      </c>
      <c r="C12714" t="s">
        <v>24479</v>
      </c>
      <c r="D12714" t="s">
        <v>43636</v>
      </c>
      <c r="E12714" t="b">
        <v>0</v>
      </c>
      <c r="F12714" t="s">
        <v>11624</v>
      </c>
      <c r="G12714">
        <v>4.6996700000000002</v>
      </c>
      <c r="H12714">
        <v>22.064509999999999</v>
      </c>
      <c r="I12714" t="s">
        <v>43637</v>
      </c>
      <c r="L12714">
        <v>0</v>
      </c>
      <c r="M12714">
        <v>0</v>
      </c>
      <c r="N12714">
        <v>0</v>
      </c>
      <c r="O12714" t="s">
        <v>16548</v>
      </c>
    </row>
    <row r="12715" spans="1:15">
      <c r="A12715" t="s">
        <v>28789</v>
      </c>
      <c r="B12715" t="s">
        <v>6742</v>
      </c>
      <c r="C12715" t="s">
        <v>16533</v>
      </c>
      <c r="D12715" t="s">
        <v>43638</v>
      </c>
      <c r="E12715" t="b">
        <v>0</v>
      </c>
      <c r="F12715" t="s">
        <v>11624</v>
      </c>
      <c r="G12715">
        <v>3.9800300000000002</v>
      </c>
      <c r="H12715">
        <v>19.445499999999999</v>
      </c>
      <c r="I12715" t="s">
        <v>43639</v>
      </c>
      <c r="L12715">
        <v>0</v>
      </c>
      <c r="M12715">
        <v>0</v>
      </c>
      <c r="N12715">
        <v>2</v>
      </c>
      <c r="O12715" t="s">
        <v>16656</v>
      </c>
    </row>
    <row r="12716" spans="1:15">
      <c r="A12716" t="s">
        <v>43640</v>
      </c>
      <c r="B12716" t="s">
        <v>6742</v>
      </c>
      <c r="C12716" t="s">
        <v>38732</v>
      </c>
      <c r="D12716" t="s">
        <v>43641</v>
      </c>
      <c r="E12716" t="b">
        <v>0</v>
      </c>
      <c r="F12716" t="s">
        <v>11624</v>
      </c>
      <c r="G12716">
        <v>-9.1559200000000001</v>
      </c>
      <c r="H12716">
        <v>17.4086</v>
      </c>
      <c r="I12716" t="s">
        <v>43642</v>
      </c>
      <c r="L12716">
        <v>0</v>
      </c>
      <c r="M12716">
        <v>0</v>
      </c>
      <c r="N12716">
        <v>2</v>
      </c>
      <c r="O12716" t="s">
        <v>19290</v>
      </c>
    </row>
    <row r="12717" spans="1:15">
      <c r="A12717" t="s">
        <v>43643</v>
      </c>
      <c r="B12717" t="s">
        <v>6742</v>
      </c>
      <c r="C12717" t="s">
        <v>4216</v>
      </c>
      <c r="D12717" t="s">
        <v>43644</v>
      </c>
      <c r="E12717" t="b">
        <v>0</v>
      </c>
      <c r="F12717" t="s">
        <v>11610</v>
      </c>
      <c r="L12717">
        <v>0</v>
      </c>
      <c r="M12717">
        <v>0</v>
      </c>
      <c r="N12717">
        <v>0</v>
      </c>
    </row>
    <row r="12718" spans="1:15">
      <c r="A12718" t="s">
        <v>43645</v>
      </c>
      <c r="B12718" t="s">
        <v>6742</v>
      </c>
      <c r="C12718" t="s">
        <v>12064</v>
      </c>
      <c r="D12718" t="s">
        <v>43646</v>
      </c>
      <c r="E12718" t="b">
        <v>0</v>
      </c>
      <c r="F12718" t="s">
        <v>11610</v>
      </c>
      <c r="L12718">
        <v>0</v>
      </c>
      <c r="M12718">
        <v>0</v>
      </c>
      <c r="N12718">
        <v>0</v>
      </c>
    </row>
    <row r="12719" spans="1:15">
      <c r="A12719" t="s">
        <v>43647</v>
      </c>
      <c r="B12719" t="s">
        <v>6742</v>
      </c>
      <c r="C12719" t="s">
        <v>43648</v>
      </c>
      <c r="D12719" t="s">
        <v>43649</v>
      </c>
      <c r="E12719" t="b">
        <v>0</v>
      </c>
      <c r="F12719" t="s">
        <v>11624</v>
      </c>
      <c r="G12719">
        <v>-2.28729</v>
      </c>
      <c r="H12719">
        <v>13.595599999999999</v>
      </c>
      <c r="I12719" t="s">
        <v>43650</v>
      </c>
      <c r="L12719">
        <v>0</v>
      </c>
      <c r="M12719">
        <v>0</v>
      </c>
      <c r="N12719">
        <v>0</v>
      </c>
      <c r="O12719" t="s">
        <v>20784</v>
      </c>
    </row>
    <row r="12720" spans="1:15">
      <c r="A12720" t="s">
        <v>43651</v>
      </c>
      <c r="B12720" t="s">
        <v>367</v>
      </c>
      <c r="C12720" t="s">
        <v>43652</v>
      </c>
      <c r="D12720" t="s">
        <v>43653</v>
      </c>
      <c r="E12720" t="b">
        <v>0</v>
      </c>
      <c r="F12720" t="s">
        <v>11610</v>
      </c>
      <c r="L12720">
        <v>0</v>
      </c>
      <c r="M12720">
        <v>0</v>
      </c>
      <c r="N12720">
        <v>0</v>
      </c>
    </row>
    <row r="12721" spans="1:15">
      <c r="A12721" t="s">
        <v>43654</v>
      </c>
      <c r="B12721" t="s">
        <v>367</v>
      </c>
      <c r="C12721" t="s">
        <v>32558</v>
      </c>
      <c r="D12721" t="s">
        <v>43655</v>
      </c>
      <c r="E12721" t="b">
        <v>0</v>
      </c>
      <c r="F12721" t="s">
        <v>11610</v>
      </c>
      <c r="L12721">
        <v>0</v>
      </c>
      <c r="M12721">
        <v>0</v>
      </c>
      <c r="N12721">
        <v>0</v>
      </c>
    </row>
    <row r="12722" spans="1:15">
      <c r="A12722" t="s">
        <v>43656</v>
      </c>
      <c r="B12722" t="s">
        <v>10597</v>
      </c>
      <c r="C12722" t="s">
        <v>23190</v>
      </c>
      <c r="D12722" t="s">
        <v>43657</v>
      </c>
      <c r="E12722" t="b">
        <v>0</v>
      </c>
      <c r="F12722" t="s">
        <v>11624</v>
      </c>
      <c r="G12722">
        <v>-14.529</v>
      </c>
      <c r="H12722">
        <v>143.78899999999999</v>
      </c>
      <c r="I12722" t="s">
        <v>43658</v>
      </c>
      <c r="L12722">
        <v>0</v>
      </c>
      <c r="M12722">
        <v>0</v>
      </c>
      <c r="N12722">
        <v>0</v>
      </c>
      <c r="O12722" t="s">
        <v>12107</v>
      </c>
    </row>
    <row r="12723" spans="1:15">
      <c r="A12723" t="s">
        <v>43659</v>
      </c>
      <c r="B12723" t="s">
        <v>10597</v>
      </c>
      <c r="C12723" t="s">
        <v>12968</v>
      </c>
      <c r="D12723" t="s">
        <v>43660</v>
      </c>
      <c r="E12723" t="b">
        <v>0</v>
      </c>
      <c r="F12723" t="s">
        <v>11624</v>
      </c>
      <c r="G12723">
        <v>-19.29</v>
      </c>
      <c r="H12723">
        <v>142.47590400000001</v>
      </c>
      <c r="I12723" t="s">
        <v>43661</v>
      </c>
      <c r="L12723">
        <v>0</v>
      </c>
      <c r="M12723">
        <v>0</v>
      </c>
      <c r="N12723">
        <v>2</v>
      </c>
      <c r="O12723" t="s">
        <v>12107</v>
      </c>
    </row>
    <row r="12724" spans="1:15">
      <c r="A12724" t="s">
        <v>43662</v>
      </c>
      <c r="B12724" t="s">
        <v>6742</v>
      </c>
      <c r="C12724" t="s">
        <v>30198</v>
      </c>
      <c r="D12724" t="s">
        <v>43663</v>
      </c>
      <c r="E12724" t="b">
        <v>0</v>
      </c>
      <c r="F12724" t="s">
        <v>11610</v>
      </c>
      <c r="L12724">
        <v>0</v>
      </c>
      <c r="M12724">
        <v>0</v>
      </c>
      <c r="N12724">
        <v>0</v>
      </c>
    </row>
    <row r="12725" spans="1:15">
      <c r="A12725" t="s">
        <v>43664</v>
      </c>
      <c r="B12725" t="s">
        <v>11607</v>
      </c>
      <c r="C12725" t="s">
        <v>43665</v>
      </c>
      <c r="D12725" t="s">
        <v>43666</v>
      </c>
      <c r="E12725" t="b">
        <v>0</v>
      </c>
      <c r="F12725" t="s">
        <v>11624</v>
      </c>
      <c r="G12725">
        <v>10.958500000000001</v>
      </c>
      <c r="H12725">
        <v>15.536300000000001</v>
      </c>
      <c r="I12725" t="s">
        <v>43667</v>
      </c>
      <c r="L12725">
        <v>0</v>
      </c>
      <c r="M12725">
        <v>0</v>
      </c>
      <c r="N12725">
        <v>0</v>
      </c>
      <c r="O12725" t="s">
        <v>13421</v>
      </c>
    </row>
    <row r="12726" spans="1:15">
      <c r="A12726" t="s">
        <v>43668</v>
      </c>
      <c r="B12726" t="s">
        <v>10597</v>
      </c>
      <c r="C12726" t="s">
        <v>43659</v>
      </c>
      <c r="D12726" t="s">
        <v>43669</v>
      </c>
      <c r="E12726" t="b">
        <v>0</v>
      </c>
      <c r="F12726" t="s">
        <v>11610</v>
      </c>
      <c r="L12726">
        <v>0</v>
      </c>
      <c r="M12726">
        <v>0</v>
      </c>
      <c r="N12726">
        <v>0</v>
      </c>
    </row>
    <row r="12727" spans="1:15">
      <c r="A12727" t="s">
        <v>43670</v>
      </c>
      <c r="B12727" t="s">
        <v>6742</v>
      </c>
      <c r="C12727" t="s">
        <v>17167</v>
      </c>
      <c r="D12727" t="s">
        <v>43671</v>
      </c>
      <c r="E12727" t="b">
        <v>0</v>
      </c>
      <c r="F12727" t="s">
        <v>11610</v>
      </c>
      <c r="L12727">
        <v>0</v>
      </c>
      <c r="M12727">
        <v>0</v>
      </c>
      <c r="N12727">
        <v>0</v>
      </c>
    </row>
    <row r="12728" spans="1:15">
      <c r="A12728" t="s">
        <v>43672</v>
      </c>
      <c r="B12728" t="s">
        <v>6742</v>
      </c>
      <c r="C12728" t="s">
        <v>26756</v>
      </c>
      <c r="D12728" t="s">
        <v>43673</v>
      </c>
      <c r="E12728" t="b">
        <v>0</v>
      </c>
      <c r="F12728" t="s">
        <v>11624</v>
      </c>
      <c r="G12728">
        <v>5.3442100000000003</v>
      </c>
      <c r="H12728">
        <v>-3.7042099999999998</v>
      </c>
      <c r="I12728" t="s">
        <v>43674</v>
      </c>
      <c r="L12728">
        <v>0</v>
      </c>
      <c r="M12728">
        <v>0</v>
      </c>
      <c r="N12728">
        <v>0</v>
      </c>
      <c r="O12728" t="s">
        <v>11735</v>
      </c>
    </row>
    <row r="12729" spans="1:15">
      <c r="A12729" t="s">
        <v>19244</v>
      </c>
      <c r="B12729" t="s">
        <v>6742</v>
      </c>
      <c r="C12729" t="s">
        <v>20731</v>
      </c>
      <c r="D12729" t="s">
        <v>43675</v>
      </c>
      <c r="E12729" t="b">
        <v>0</v>
      </c>
      <c r="F12729" t="s">
        <v>11624</v>
      </c>
      <c r="G12729">
        <v>3.94184</v>
      </c>
      <c r="H12729">
        <v>17.7529</v>
      </c>
      <c r="I12729" t="s">
        <v>43676</v>
      </c>
      <c r="L12729">
        <v>0</v>
      </c>
      <c r="M12729">
        <v>0</v>
      </c>
      <c r="N12729">
        <v>4</v>
      </c>
      <c r="O12729" t="s">
        <v>16548</v>
      </c>
    </row>
    <row r="12730" spans="1:15">
      <c r="A12730" t="s">
        <v>43677</v>
      </c>
      <c r="B12730" t="s">
        <v>6742</v>
      </c>
      <c r="C12730" t="s">
        <v>19244</v>
      </c>
      <c r="D12730" t="s">
        <v>43678</v>
      </c>
      <c r="E12730" t="b">
        <v>0</v>
      </c>
      <c r="F12730" t="s">
        <v>11610</v>
      </c>
      <c r="L12730">
        <v>0</v>
      </c>
      <c r="M12730">
        <v>0</v>
      </c>
      <c r="N12730">
        <v>0</v>
      </c>
    </row>
    <row r="12731" spans="1:15">
      <c r="A12731" t="s">
        <v>43679</v>
      </c>
      <c r="B12731" t="s">
        <v>6742</v>
      </c>
      <c r="C12731" t="s">
        <v>16664</v>
      </c>
      <c r="D12731" t="s">
        <v>43680</v>
      </c>
      <c r="E12731" t="b">
        <v>0</v>
      </c>
      <c r="F12731" t="s">
        <v>11610</v>
      </c>
      <c r="L12731">
        <v>0</v>
      </c>
      <c r="M12731">
        <v>0</v>
      </c>
      <c r="N12731">
        <v>0</v>
      </c>
    </row>
    <row r="12732" spans="1:15">
      <c r="A12732" t="s">
        <v>43681</v>
      </c>
      <c r="B12732" t="s">
        <v>6742</v>
      </c>
      <c r="C12732" t="s">
        <v>15686</v>
      </c>
      <c r="D12732" t="s">
        <v>43682</v>
      </c>
      <c r="E12732" t="b">
        <v>0</v>
      </c>
      <c r="F12732" t="s">
        <v>11610</v>
      </c>
      <c r="L12732">
        <v>0</v>
      </c>
      <c r="M12732">
        <v>0</v>
      </c>
      <c r="N12732">
        <v>0</v>
      </c>
    </row>
    <row r="12733" spans="1:15">
      <c r="A12733" t="s">
        <v>17623</v>
      </c>
      <c r="B12733" t="s">
        <v>11729</v>
      </c>
      <c r="C12733" t="s">
        <v>23813</v>
      </c>
      <c r="D12733" t="s">
        <v>43683</v>
      </c>
      <c r="E12733" t="b">
        <v>0</v>
      </c>
      <c r="F12733" t="s">
        <v>11624</v>
      </c>
      <c r="G12733">
        <v>8.2306600000000003</v>
      </c>
      <c r="H12733">
        <v>15.732799999999999</v>
      </c>
      <c r="I12733" t="s">
        <v>43684</v>
      </c>
      <c r="L12733">
        <v>0</v>
      </c>
      <c r="M12733">
        <v>0</v>
      </c>
      <c r="N12733">
        <v>6</v>
      </c>
      <c r="O12733" t="s">
        <v>43685</v>
      </c>
    </row>
    <row r="12734" spans="1:15">
      <c r="A12734" t="s">
        <v>43686</v>
      </c>
      <c r="B12734" t="s">
        <v>6742</v>
      </c>
      <c r="C12734" t="s">
        <v>27059</v>
      </c>
      <c r="D12734" t="s">
        <v>43687</v>
      </c>
      <c r="E12734" t="b">
        <v>0</v>
      </c>
      <c r="F12734" t="s">
        <v>11610</v>
      </c>
      <c r="L12734">
        <v>0</v>
      </c>
      <c r="M12734">
        <v>0</v>
      </c>
      <c r="N12734">
        <v>0</v>
      </c>
    </row>
    <row r="12735" spans="1:15">
      <c r="A12735" t="s">
        <v>43688</v>
      </c>
      <c r="B12735" t="s">
        <v>6742</v>
      </c>
      <c r="C12735" t="s">
        <v>3970</v>
      </c>
      <c r="D12735" t="s">
        <v>43689</v>
      </c>
      <c r="E12735" t="b">
        <v>0</v>
      </c>
      <c r="F12735" t="s">
        <v>11610</v>
      </c>
      <c r="L12735">
        <v>0</v>
      </c>
      <c r="M12735">
        <v>0</v>
      </c>
      <c r="N12735">
        <v>0</v>
      </c>
    </row>
    <row r="12736" spans="1:15">
      <c r="A12736" t="s">
        <v>43690</v>
      </c>
      <c r="B12736" t="s">
        <v>11607</v>
      </c>
      <c r="C12736" t="s">
        <v>18908</v>
      </c>
      <c r="D12736" t="s">
        <v>43691</v>
      </c>
      <c r="E12736" t="b">
        <v>0</v>
      </c>
      <c r="F12736" t="s">
        <v>11624</v>
      </c>
      <c r="G12736">
        <v>10.465999999999999</v>
      </c>
      <c r="H12736">
        <v>13.9322</v>
      </c>
      <c r="I12736" t="s">
        <v>43692</v>
      </c>
      <c r="L12736">
        <v>0</v>
      </c>
      <c r="M12736">
        <v>0</v>
      </c>
      <c r="N12736">
        <v>0</v>
      </c>
      <c r="O12736" t="s">
        <v>11703</v>
      </c>
    </row>
    <row r="12737" spans="1:15">
      <c r="A12737" t="s">
        <v>43693</v>
      </c>
      <c r="B12737" t="s">
        <v>6742</v>
      </c>
      <c r="C12737" t="s">
        <v>27121</v>
      </c>
      <c r="D12737" t="s">
        <v>43694</v>
      </c>
      <c r="E12737" t="b">
        <v>0</v>
      </c>
      <c r="F12737" t="s">
        <v>11610</v>
      </c>
      <c r="L12737">
        <v>0</v>
      </c>
      <c r="M12737">
        <v>0</v>
      </c>
      <c r="N12737">
        <v>0</v>
      </c>
    </row>
    <row r="12738" spans="1:15">
      <c r="A12738" t="s">
        <v>31993</v>
      </c>
      <c r="B12738" t="s">
        <v>6742</v>
      </c>
      <c r="C12738" t="s">
        <v>26964</v>
      </c>
      <c r="D12738" t="s">
        <v>43695</v>
      </c>
      <c r="E12738" t="b">
        <v>0</v>
      </c>
      <c r="F12738" t="s">
        <v>11624</v>
      </c>
      <c r="G12738">
        <v>6.5706699999999998</v>
      </c>
      <c r="H12738">
        <v>8.8299800000000008</v>
      </c>
      <c r="I12738" t="s">
        <v>43696</v>
      </c>
      <c r="L12738">
        <v>0</v>
      </c>
      <c r="M12738">
        <v>0</v>
      </c>
      <c r="N12738">
        <v>3</v>
      </c>
      <c r="O12738" t="s">
        <v>11693</v>
      </c>
    </row>
    <row r="12739" spans="1:15">
      <c r="A12739" t="s">
        <v>43697</v>
      </c>
      <c r="B12739" t="s">
        <v>6742</v>
      </c>
      <c r="C12739" t="s">
        <v>25754</v>
      </c>
      <c r="D12739" t="s">
        <v>43698</v>
      </c>
      <c r="E12739" t="b">
        <v>0</v>
      </c>
      <c r="F12739" t="s">
        <v>11624</v>
      </c>
      <c r="G12739">
        <v>6.2583799999999998</v>
      </c>
      <c r="H12739">
        <v>11.0906</v>
      </c>
      <c r="I12739" t="s">
        <v>43699</v>
      </c>
      <c r="L12739">
        <v>0</v>
      </c>
      <c r="M12739">
        <v>0</v>
      </c>
      <c r="N12739">
        <v>0</v>
      </c>
      <c r="O12739" t="s">
        <v>11703</v>
      </c>
    </row>
    <row r="12740" spans="1:15">
      <c r="A12740" t="s">
        <v>43700</v>
      </c>
      <c r="B12740" t="s">
        <v>6742</v>
      </c>
      <c r="C12740" t="s">
        <v>27059</v>
      </c>
      <c r="D12740" t="s">
        <v>43701</v>
      </c>
      <c r="E12740" t="b">
        <v>0</v>
      </c>
      <c r="F12740" t="s">
        <v>11610</v>
      </c>
      <c r="L12740">
        <v>0</v>
      </c>
      <c r="M12740">
        <v>0</v>
      </c>
      <c r="N12740">
        <v>0</v>
      </c>
    </row>
    <row r="12741" spans="1:15">
      <c r="A12741" t="s">
        <v>43702</v>
      </c>
      <c r="B12741" t="s">
        <v>6742</v>
      </c>
      <c r="C12741" t="s">
        <v>24924</v>
      </c>
      <c r="D12741" t="s">
        <v>43703</v>
      </c>
      <c r="E12741" t="b">
        <v>0</v>
      </c>
      <c r="F12741" t="s">
        <v>11624</v>
      </c>
      <c r="G12741">
        <v>10.453200000000001</v>
      </c>
      <c r="H12741">
        <v>0.95645000000000002</v>
      </c>
      <c r="I12741" t="s">
        <v>43704</v>
      </c>
      <c r="L12741">
        <v>0</v>
      </c>
      <c r="M12741">
        <v>0</v>
      </c>
      <c r="N12741">
        <v>0</v>
      </c>
      <c r="O12741" t="s">
        <v>12394</v>
      </c>
    </row>
    <row r="12742" spans="1:15">
      <c r="A12742" t="s">
        <v>23553</v>
      </c>
      <c r="B12742" t="s">
        <v>6742</v>
      </c>
      <c r="C12742" t="s">
        <v>26074</v>
      </c>
      <c r="D12742" t="s">
        <v>43705</v>
      </c>
      <c r="E12742" t="b">
        <v>0</v>
      </c>
      <c r="F12742" t="s">
        <v>11622</v>
      </c>
      <c r="L12742">
        <v>2</v>
      </c>
      <c r="M12742">
        <v>4</v>
      </c>
      <c r="N12742">
        <v>8</v>
      </c>
    </row>
    <row r="12743" spans="1:15">
      <c r="A12743" t="s">
        <v>43706</v>
      </c>
      <c r="B12743" t="s">
        <v>6742</v>
      </c>
      <c r="C12743" t="s">
        <v>35060</v>
      </c>
      <c r="D12743" t="s">
        <v>43707</v>
      </c>
      <c r="E12743" t="b">
        <v>0</v>
      </c>
      <c r="F12743" t="s">
        <v>11610</v>
      </c>
      <c r="L12743">
        <v>0</v>
      </c>
      <c r="M12743">
        <v>0</v>
      </c>
      <c r="N12743">
        <v>0</v>
      </c>
    </row>
    <row r="12744" spans="1:15">
      <c r="A12744" t="s">
        <v>43708</v>
      </c>
      <c r="B12744" t="s">
        <v>6742</v>
      </c>
      <c r="C12744" t="s">
        <v>7100</v>
      </c>
      <c r="D12744" t="s">
        <v>43709</v>
      </c>
      <c r="E12744" t="b">
        <v>0</v>
      </c>
      <c r="F12744" t="s">
        <v>11610</v>
      </c>
      <c r="L12744">
        <v>0</v>
      </c>
      <c r="M12744">
        <v>0</v>
      </c>
      <c r="N12744">
        <v>0</v>
      </c>
    </row>
    <row r="12745" spans="1:15">
      <c r="A12745" t="s">
        <v>43710</v>
      </c>
      <c r="B12745" t="s">
        <v>6742</v>
      </c>
      <c r="C12745" t="s">
        <v>43711</v>
      </c>
      <c r="D12745" t="s">
        <v>43712</v>
      </c>
      <c r="E12745" t="b">
        <v>0</v>
      </c>
      <c r="F12745" t="s">
        <v>11624</v>
      </c>
      <c r="G12745">
        <v>-0.47744500000000001</v>
      </c>
      <c r="H12745">
        <v>14.287699999999999</v>
      </c>
      <c r="I12745" t="s">
        <v>43713</v>
      </c>
      <c r="L12745">
        <v>0</v>
      </c>
      <c r="M12745">
        <v>0</v>
      </c>
      <c r="N12745">
        <v>1</v>
      </c>
      <c r="O12745" t="s">
        <v>20784</v>
      </c>
    </row>
    <row r="12746" spans="1:15">
      <c r="A12746" t="s">
        <v>43714</v>
      </c>
      <c r="B12746" t="s">
        <v>6742</v>
      </c>
      <c r="C12746" t="s">
        <v>20348</v>
      </c>
      <c r="D12746" t="s">
        <v>43715</v>
      </c>
      <c r="E12746" t="b">
        <v>0</v>
      </c>
      <c r="F12746" t="s">
        <v>11610</v>
      </c>
      <c r="L12746">
        <v>0</v>
      </c>
      <c r="M12746">
        <v>0</v>
      </c>
      <c r="N12746">
        <v>0</v>
      </c>
    </row>
    <row r="12747" spans="1:15">
      <c r="A12747" t="s">
        <v>43716</v>
      </c>
      <c r="B12747" t="s">
        <v>11607</v>
      </c>
      <c r="C12747" t="s">
        <v>25529</v>
      </c>
      <c r="D12747" t="s">
        <v>43717</v>
      </c>
      <c r="E12747" t="b">
        <v>0</v>
      </c>
      <c r="F12747" t="s">
        <v>11610</v>
      </c>
      <c r="L12747">
        <v>0</v>
      </c>
      <c r="M12747">
        <v>0</v>
      </c>
      <c r="N12747">
        <v>0</v>
      </c>
    </row>
    <row r="12748" spans="1:15">
      <c r="A12748" t="s">
        <v>43718</v>
      </c>
      <c r="B12748" t="s">
        <v>6742</v>
      </c>
      <c r="C12748" t="s">
        <v>43719</v>
      </c>
      <c r="D12748" t="s">
        <v>43720</v>
      </c>
      <c r="E12748" t="b">
        <v>0</v>
      </c>
      <c r="F12748" t="s">
        <v>11622</v>
      </c>
      <c r="L12748">
        <v>3</v>
      </c>
      <c r="M12748">
        <v>7</v>
      </c>
      <c r="N12748">
        <v>9</v>
      </c>
    </row>
    <row r="12749" spans="1:15">
      <c r="A12749" t="s">
        <v>43721</v>
      </c>
      <c r="B12749" t="s">
        <v>6742</v>
      </c>
      <c r="C12749" t="s">
        <v>35766</v>
      </c>
      <c r="D12749" t="s">
        <v>43722</v>
      </c>
      <c r="E12749" t="b">
        <v>0</v>
      </c>
      <c r="F12749" t="s">
        <v>11624</v>
      </c>
      <c r="G12749">
        <v>1.6207</v>
      </c>
      <c r="H12749">
        <v>22.838899999999999</v>
      </c>
      <c r="I12749" t="s">
        <v>43723</v>
      </c>
      <c r="L12749">
        <v>0</v>
      </c>
      <c r="M12749">
        <v>0</v>
      </c>
      <c r="N12749">
        <v>0</v>
      </c>
      <c r="O12749" t="s">
        <v>14825</v>
      </c>
    </row>
    <row r="12750" spans="1:15">
      <c r="A12750" t="s">
        <v>42183</v>
      </c>
      <c r="B12750" t="s">
        <v>6742</v>
      </c>
      <c r="C12750" t="s">
        <v>43724</v>
      </c>
      <c r="D12750" t="s">
        <v>43725</v>
      </c>
      <c r="E12750" t="b">
        <v>0</v>
      </c>
      <c r="F12750" t="s">
        <v>11622</v>
      </c>
      <c r="L12750">
        <v>0</v>
      </c>
      <c r="M12750">
        <v>2</v>
      </c>
      <c r="N12750">
        <v>4</v>
      </c>
    </row>
    <row r="12751" spans="1:15">
      <c r="A12751" t="s">
        <v>43726</v>
      </c>
      <c r="B12751" t="s">
        <v>6742</v>
      </c>
      <c r="C12751" t="s">
        <v>16664</v>
      </c>
      <c r="D12751" t="s">
        <v>43727</v>
      </c>
      <c r="E12751" t="b">
        <v>0</v>
      </c>
      <c r="F12751" t="s">
        <v>11610</v>
      </c>
      <c r="L12751">
        <v>0</v>
      </c>
      <c r="M12751">
        <v>0</v>
      </c>
      <c r="N12751">
        <v>0</v>
      </c>
    </row>
    <row r="12752" spans="1:15">
      <c r="A12752" t="s">
        <v>43728</v>
      </c>
      <c r="B12752" t="s">
        <v>6742</v>
      </c>
      <c r="C12752" t="s">
        <v>15734</v>
      </c>
      <c r="D12752" t="s">
        <v>43729</v>
      </c>
      <c r="E12752" t="b">
        <v>0</v>
      </c>
      <c r="F12752" t="s">
        <v>11610</v>
      </c>
      <c r="L12752">
        <v>0</v>
      </c>
      <c r="M12752">
        <v>0</v>
      </c>
      <c r="N12752">
        <v>0</v>
      </c>
    </row>
    <row r="12753" spans="1:15">
      <c r="A12753" t="s">
        <v>43730</v>
      </c>
      <c r="B12753" t="s">
        <v>6742</v>
      </c>
      <c r="C12753" t="s">
        <v>16541</v>
      </c>
      <c r="D12753" t="s">
        <v>43731</v>
      </c>
      <c r="E12753" t="b">
        <v>0</v>
      </c>
      <c r="F12753" t="s">
        <v>11610</v>
      </c>
      <c r="L12753">
        <v>0</v>
      </c>
      <c r="M12753">
        <v>0</v>
      </c>
      <c r="N12753">
        <v>0</v>
      </c>
    </row>
    <row r="12754" spans="1:15">
      <c r="A12754" t="s">
        <v>43732</v>
      </c>
      <c r="B12754" t="s">
        <v>6742</v>
      </c>
      <c r="C12754" t="s">
        <v>19661</v>
      </c>
      <c r="D12754" t="s">
        <v>43733</v>
      </c>
      <c r="E12754" t="b">
        <v>0</v>
      </c>
      <c r="F12754" t="s">
        <v>11610</v>
      </c>
      <c r="L12754">
        <v>0</v>
      </c>
      <c r="M12754">
        <v>0</v>
      </c>
      <c r="N12754">
        <v>0</v>
      </c>
    </row>
    <row r="12755" spans="1:15">
      <c r="A12755" t="s">
        <v>43734</v>
      </c>
      <c r="B12755" t="s">
        <v>6742</v>
      </c>
      <c r="C12755" t="s">
        <v>16842</v>
      </c>
      <c r="D12755" t="s">
        <v>43735</v>
      </c>
      <c r="E12755" t="b">
        <v>0</v>
      </c>
      <c r="F12755" t="s">
        <v>11610</v>
      </c>
      <c r="L12755">
        <v>0</v>
      </c>
      <c r="M12755">
        <v>0</v>
      </c>
      <c r="N12755">
        <v>0</v>
      </c>
    </row>
    <row r="12756" spans="1:15">
      <c r="A12756" t="s">
        <v>43736</v>
      </c>
      <c r="B12756" t="s">
        <v>6742</v>
      </c>
      <c r="C12756" t="s">
        <v>3984</v>
      </c>
      <c r="D12756" t="s">
        <v>43737</v>
      </c>
      <c r="E12756" t="b">
        <v>0</v>
      </c>
      <c r="F12756" t="s">
        <v>11610</v>
      </c>
      <c r="L12756">
        <v>0</v>
      </c>
      <c r="M12756">
        <v>0</v>
      </c>
      <c r="N12756">
        <v>0</v>
      </c>
    </row>
    <row r="12757" spans="1:15">
      <c r="A12757" t="s">
        <v>43738</v>
      </c>
      <c r="B12757" t="s">
        <v>10597</v>
      </c>
      <c r="C12757" t="s">
        <v>12986</v>
      </c>
      <c r="D12757" t="s">
        <v>43739</v>
      </c>
      <c r="E12757" t="b">
        <v>0</v>
      </c>
      <c r="F12757" t="s">
        <v>11624</v>
      </c>
      <c r="G12757">
        <v>-12.896205009999999</v>
      </c>
      <c r="H12757">
        <v>142.27109970000001</v>
      </c>
      <c r="L12757">
        <v>0</v>
      </c>
      <c r="M12757">
        <v>0</v>
      </c>
      <c r="N12757">
        <v>0</v>
      </c>
      <c r="O12757" t="s">
        <v>12107</v>
      </c>
    </row>
    <row r="12758" spans="1:15">
      <c r="A12758" t="s">
        <v>43740</v>
      </c>
      <c r="B12758" t="s">
        <v>6742</v>
      </c>
      <c r="C12758" t="s">
        <v>37145</v>
      </c>
      <c r="D12758" t="s">
        <v>43741</v>
      </c>
      <c r="E12758" t="b">
        <v>0</v>
      </c>
      <c r="F12758" t="s">
        <v>11610</v>
      </c>
      <c r="L12758">
        <v>0</v>
      </c>
      <c r="M12758">
        <v>0</v>
      </c>
      <c r="N12758">
        <v>0</v>
      </c>
    </row>
    <row r="12759" spans="1:15">
      <c r="A12759" t="s">
        <v>43742</v>
      </c>
      <c r="B12759" t="s">
        <v>14005</v>
      </c>
      <c r="C12759" t="s">
        <v>18960</v>
      </c>
      <c r="D12759" t="s">
        <v>43743</v>
      </c>
      <c r="E12759" t="b">
        <v>0</v>
      </c>
      <c r="F12759" t="s">
        <v>11610</v>
      </c>
      <c r="L12759">
        <v>0</v>
      </c>
      <c r="M12759">
        <v>0</v>
      </c>
      <c r="N12759">
        <v>0</v>
      </c>
    </row>
    <row r="12760" spans="1:15">
      <c r="A12760" t="s">
        <v>43744</v>
      </c>
      <c r="B12760" t="s">
        <v>6742</v>
      </c>
      <c r="C12760" t="s">
        <v>15831</v>
      </c>
      <c r="D12760" t="s">
        <v>43745</v>
      </c>
      <c r="E12760" t="b">
        <v>0</v>
      </c>
      <c r="F12760" t="s">
        <v>11610</v>
      </c>
      <c r="L12760">
        <v>0</v>
      </c>
      <c r="M12760">
        <v>0</v>
      </c>
      <c r="N12760">
        <v>0</v>
      </c>
    </row>
    <row r="12761" spans="1:15">
      <c r="A12761" t="s">
        <v>17036</v>
      </c>
      <c r="B12761" t="s">
        <v>6742</v>
      </c>
      <c r="C12761" t="s">
        <v>17307</v>
      </c>
      <c r="D12761" t="s">
        <v>43746</v>
      </c>
      <c r="E12761" t="b">
        <v>0</v>
      </c>
      <c r="F12761" t="s">
        <v>11624</v>
      </c>
      <c r="G12761">
        <v>5.1398099999999998</v>
      </c>
      <c r="H12761">
        <v>9.9276599999999995</v>
      </c>
      <c r="I12761" t="s">
        <v>43747</v>
      </c>
      <c r="L12761">
        <v>0</v>
      </c>
      <c r="M12761">
        <v>0</v>
      </c>
      <c r="N12761">
        <v>4</v>
      </c>
      <c r="O12761" t="s">
        <v>11703</v>
      </c>
    </row>
    <row r="12762" spans="1:15">
      <c r="A12762" t="s">
        <v>19089</v>
      </c>
      <c r="B12762" t="s">
        <v>6742</v>
      </c>
      <c r="C12762" t="s">
        <v>28814</v>
      </c>
      <c r="D12762" t="s">
        <v>43748</v>
      </c>
      <c r="E12762" t="b">
        <v>0</v>
      </c>
      <c r="F12762" t="s">
        <v>11622</v>
      </c>
      <c r="L12762">
        <v>0</v>
      </c>
      <c r="M12762">
        <v>2</v>
      </c>
      <c r="N12762">
        <v>0</v>
      </c>
    </row>
    <row r="12763" spans="1:15">
      <c r="A12763" t="s">
        <v>43749</v>
      </c>
      <c r="B12763" t="s">
        <v>6742</v>
      </c>
      <c r="C12763" t="s">
        <v>43750</v>
      </c>
      <c r="D12763" t="s">
        <v>43751</v>
      </c>
      <c r="E12763" t="b">
        <v>0</v>
      </c>
      <c r="F12763" t="s">
        <v>11624</v>
      </c>
      <c r="G12763">
        <v>1.11602</v>
      </c>
      <c r="H12763">
        <v>28.018000000000001</v>
      </c>
      <c r="I12763" t="s">
        <v>43752</v>
      </c>
      <c r="L12763">
        <v>0</v>
      </c>
      <c r="M12763">
        <v>0</v>
      </c>
      <c r="N12763">
        <v>0</v>
      </c>
      <c r="O12763" t="s">
        <v>14825</v>
      </c>
    </row>
    <row r="12764" spans="1:15">
      <c r="A12764" t="s">
        <v>16639</v>
      </c>
      <c r="B12764" t="s">
        <v>6742</v>
      </c>
      <c r="C12764" t="s">
        <v>17899</v>
      </c>
      <c r="D12764" t="s">
        <v>43753</v>
      </c>
      <c r="E12764" t="b">
        <v>0</v>
      </c>
      <c r="F12764" t="s">
        <v>11624</v>
      </c>
      <c r="G12764">
        <v>9.8695400000000006</v>
      </c>
      <c r="H12764">
        <v>12.545</v>
      </c>
      <c r="I12764" t="s">
        <v>43754</v>
      </c>
      <c r="L12764">
        <v>0</v>
      </c>
      <c r="M12764">
        <v>0</v>
      </c>
      <c r="N12764">
        <v>3</v>
      </c>
      <c r="O12764" t="s">
        <v>11693</v>
      </c>
    </row>
    <row r="12765" spans="1:15">
      <c r="A12765" t="s">
        <v>43755</v>
      </c>
      <c r="B12765" t="s">
        <v>367</v>
      </c>
      <c r="C12765" t="s">
        <v>18637</v>
      </c>
      <c r="D12765" t="s">
        <v>43756</v>
      </c>
      <c r="E12765" t="b">
        <v>0</v>
      </c>
      <c r="F12765" t="s">
        <v>11610</v>
      </c>
      <c r="L12765">
        <v>0</v>
      </c>
      <c r="M12765">
        <v>0</v>
      </c>
      <c r="N12765">
        <v>0</v>
      </c>
    </row>
    <row r="12766" spans="1:15">
      <c r="A12766" t="s">
        <v>43757</v>
      </c>
      <c r="B12766" t="s">
        <v>6742</v>
      </c>
      <c r="C12766" t="s">
        <v>20764</v>
      </c>
      <c r="D12766" t="s">
        <v>43758</v>
      </c>
      <c r="E12766" t="b">
        <v>0</v>
      </c>
      <c r="F12766" t="s">
        <v>11610</v>
      </c>
      <c r="L12766">
        <v>0</v>
      </c>
      <c r="M12766">
        <v>0</v>
      </c>
      <c r="N12766">
        <v>0</v>
      </c>
    </row>
    <row r="12767" spans="1:15">
      <c r="A12767" t="s">
        <v>43759</v>
      </c>
      <c r="B12767" t="s">
        <v>6742</v>
      </c>
      <c r="C12767" t="s">
        <v>12865</v>
      </c>
      <c r="D12767" t="s">
        <v>43760</v>
      </c>
      <c r="E12767" t="b">
        <v>0</v>
      </c>
      <c r="F12767" t="s">
        <v>11624</v>
      </c>
      <c r="G12767">
        <v>0.43541000000000002</v>
      </c>
      <c r="H12767">
        <v>14.7935</v>
      </c>
      <c r="I12767" t="s">
        <v>43761</v>
      </c>
      <c r="L12767">
        <v>0</v>
      </c>
      <c r="M12767">
        <v>0</v>
      </c>
      <c r="N12767">
        <v>1</v>
      </c>
      <c r="O12767" t="s">
        <v>12868</v>
      </c>
    </row>
    <row r="12768" spans="1:15">
      <c r="A12768" t="s">
        <v>43762</v>
      </c>
      <c r="B12768" t="s">
        <v>27929</v>
      </c>
      <c r="C12768" t="s">
        <v>27930</v>
      </c>
      <c r="D12768" t="s">
        <v>43763</v>
      </c>
      <c r="E12768" t="b">
        <v>0</v>
      </c>
      <c r="F12768" t="s">
        <v>11610</v>
      </c>
      <c r="L12768">
        <v>0</v>
      </c>
      <c r="M12768">
        <v>0</v>
      </c>
      <c r="N12768">
        <v>0</v>
      </c>
    </row>
    <row r="12769" spans="1:15">
      <c r="A12769" t="s">
        <v>19737</v>
      </c>
      <c r="B12769" t="s">
        <v>6742</v>
      </c>
      <c r="C12769" t="s">
        <v>35769</v>
      </c>
      <c r="D12769" t="s">
        <v>43764</v>
      </c>
      <c r="E12769" t="b">
        <v>0</v>
      </c>
      <c r="F12769" t="s">
        <v>11624</v>
      </c>
      <c r="G12769">
        <v>-0.57181000000000004</v>
      </c>
      <c r="H12769">
        <v>24.0443</v>
      </c>
      <c r="I12769" t="s">
        <v>43765</v>
      </c>
      <c r="L12769">
        <v>0</v>
      </c>
      <c r="M12769">
        <v>0</v>
      </c>
      <c r="N12769">
        <v>8</v>
      </c>
      <c r="O12769" t="s">
        <v>14825</v>
      </c>
    </row>
    <row r="12770" spans="1:15">
      <c r="A12770" t="s">
        <v>43766</v>
      </c>
      <c r="B12770" t="s">
        <v>6742</v>
      </c>
      <c r="C12770" t="s">
        <v>20440</v>
      </c>
      <c r="D12770" t="s">
        <v>43767</v>
      </c>
      <c r="E12770" t="b">
        <v>0</v>
      </c>
      <c r="F12770" t="s">
        <v>11610</v>
      </c>
      <c r="L12770">
        <v>0</v>
      </c>
      <c r="M12770">
        <v>0</v>
      </c>
      <c r="N12770">
        <v>0</v>
      </c>
    </row>
    <row r="12771" spans="1:15">
      <c r="A12771" t="s">
        <v>43768</v>
      </c>
      <c r="B12771" t="s">
        <v>6742</v>
      </c>
      <c r="C12771" t="s">
        <v>18635</v>
      </c>
      <c r="D12771" t="s">
        <v>43769</v>
      </c>
      <c r="E12771" t="b">
        <v>0</v>
      </c>
      <c r="F12771" t="s">
        <v>11610</v>
      </c>
      <c r="L12771">
        <v>0</v>
      </c>
      <c r="M12771">
        <v>0</v>
      </c>
      <c r="N12771">
        <v>0</v>
      </c>
    </row>
    <row r="12772" spans="1:15">
      <c r="A12772" t="s">
        <v>43770</v>
      </c>
      <c r="B12772" t="s">
        <v>6742</v>
      </c>
      <c r="C12772" t="s">
        <v>18050</v>
      </c>
      <c r="D12772" t="s">
        <v>43771</v>
      </c>
      <c r="E12772" t="b">
        <v>0</v>
      </c>
      <c r="F12772" t="s">
        <v>11610</v>
      </c>
      <c r="L12772">
        <v>0</v>
      </c>
      <c r="M12772">
        <v>0</v>
      </c>
      <c r="N12772">
        <v>0</v>
      </c>
    </row>
    <row r="12773" spans="1:15">
      <c r="A12773" t="s">
        <v>43772</v>
      </c>
      <c r="B12773" t="s">
        <v>6742</v>
      </c>
      <c r="C12773" t="s">
        <v>33244</v>
      </c>
      <c r="D12773" t="s">
        <v>43773</v>
      </c>
      <c r="E12773" t="b">
        <v>0</v>
      </c>
      <c r="F12773" t="s">
        <v>11624</v>
      </c>
      <c r="G12773">
        <v>5.7516999999999996</v>
      </c>
      <c r="H12773">
        <v>13.6471</v>
      </c>
      <c r="I12773" t="s">
        <v>43774</v>
      </c>
      <c r="L12773">
        <v>0</v>
      </c>
      <c r="M12773">
        <v>0</v>
      </c>
      <c r="N12773">
        <v>0</v>
      </c>
      <c r="O12773" t="s">
        <v>11703</v>
      </c>
    </row>
    <row r="12774" spans="1:15">
      <c r="A12774" t="s">
        <v>43775</v>
      </c>
      <c r="B12774" t="s">
        <v>6742</v>
      </c>
      <c r="C12774" t="s">
        <v>43776</v>
      </c>
      <c r="D12774" t="s">
        <v>43777</v>
      </c>
      <c r="E12774" t="b">
        <v>0</v>
      </c>
      <c r="F12774" t="s">
        <v>11624</v>
      </c>
      <c r="G12774">
        <v>6.8254299999999999</v>
      </c>
      <c r="H12774">
        <v>11.131600000000001</v>
      </c>
      <c r="I12774" t="s">
        <v>43778</v>
      </c>
      <c r="L12774">
        <v>0</v>
      </c>
      <c r="M12774">
        <v>0</v>
      </c>
      <c r="N12774">
        <v>0</v>
      </c>
      <c r="O12774" t="s">
        <v>11802</v>
      </c>
    </row>
    <row r="12775" spans="1:15">
      <c r="A12775" t="s">
        <v>43776</v>
      </c>
      <c r="B12775" t="s">
        <v>6742</v>
      </c>
      <c r="C12775" t="s">
        <v>42329</v>
      </c>
      <c r="D12775" t="s">
        <v>43779</v>
      </c>
      <c r="E12775" t="b">
        <v>0</v>
      </c>
      <c r="F12775" t="s">
        <v>11622</v>
      </c>
      <c r="L12775">
        <v>1</v>
      </c>
      <c r="M12775">
        <v>3</v>
      </c>
      <c r="N12775">
        <v>0</v>
      </c>
    </row>
    <row r="12776" spans="1:15">
      <c r="A12776" t="s">
        <v>43780</v>
      </c>
      <c r="B12776" t="s">
        <v>6742</v>
      </c>
      <c r="C12776" t="s">
        <v>12865</v>
      </c>
      <c r="D12776" t="s">
        <v>43781</v>
      </c>
      <c r="E12776" t="b">
        <v>0</v>
      </c>
      <c r="F12776" t="s">
        <v>11624</v>
      </c>
      <c r="G12776">
        <v>-1.2301899999999999</v>
      </c>
      <c r="H12776">
        <v>15.5322</v>
      </c>
      <c r="I12776" t="s">
        <v>43782</v>
      </c>
      <c r="L12776">
        <v>0</v>
      </c>
      <c r="M12776">
        <v>0</v>
      </c>
      <c r="N12776">
        <v>0</v>
      </c>
      <c r="O12776" t="s">
        <v>12868</v>
      </c>
    </row>
    <row r="12777" spans="1:15">
      <c r="A12777" t="s">
        <v>43783</v>
      </c>
      <c r="B12777" t="s">
        <v>11729</v>
      </c>
      <c r="C12777" t="s">
        <v>18794</v>
      </c>
      <c r="D12777" t="s">
        <v>43784</v>
      </c>
      <c r="E12777" t="b">
        <v>0</v>
      </c>
      <c r="F12777" t="s">
        <v>11610</v>
      </c>
      <c r="L12777">
        <v>0</v>
      </c>
      <c r="M12777">
        <v>0</v>
      </c>
      <c r="N12777">
        <v>0</v>
      </c>
    </row>
    <row r="12778" spans="1:15">
      <c r="A12778" t="s">
        <v>43785</v>
      </c>
      <c r="B12778" t="s">
        <v>6742</v>
      </c>
      <c r="C12778" t="s">
        <v>28886</v>
      </c>
      <c r="D12778" t="s">
        <v>43786</v>
      </c>
      <c r="E12778" t="b">
        <v>0</v>
      </c>
      <c r="F12778" t="s">
        <v>11610</v>
      </c>
      <c r="L12778">
        <v>0</v>
      </c>
      <c r="M12778">
        <v>0</v>
      </c>
      <c r="N12778">
        <v>0</v>
      </c>
    </row>
    <row r="12779" spans="1:15">
      <c r="A12779" t="s">
        <v>43787</v>
      </c>
      <c r="B12779" t="s">
        <v>11981</v>
      </c>
      <c r="C12779" t="s">
        <v>11982</v>
      </c>
      <c r="D12779" t="s">
        <v>43788</v>
      </c>
      <c r="E12779" t="b">
        <v>0</v>
      </c>
      <c r="F12779" t="s">
        <v>11624</v>
      </c>
      <c r="G12779">
        <v>14.420648999999999</v>
      </c>
      <c r="H12779">
        <v>-16.970044999999999</v>
      </c>
      <c r="L12779">
        <v>0</v>
      </c>
      <c r="M12779">
        <v>0</v>
      </c>
      <c r="N12779">
        <v>0</v>
      </c>
      <c r="O12779" t="s">
        <v>16532</v>
      </c>
    </row>
    <row r="12780" spans="1:15">
      <c r="A12780" t="s">
        <v>43789</v>
      </c>
      <c r="B12780" t="s">
        <v>6742</v>
      </c>
      <c r="C12780" t="s">
        <v>41117</v>
      </c>
      <c r="D12780" t="s">
        <v>43790</v>
      </c>
      <c r="E12780" t="b">
        <v>0</v>
      </c>
      <c r="F12780" t="s">
        <v>11610</v>
      </c>
      <c r="L12780">
        <v>0</v>
      </c>
      <c r="M12780">
        <v>0</v>
      </c>
      <c r="N12780">
        <v>0</v>
      </c>
    </row>
    <row r="12781" spans="1:15">
      <c r="A12781" t="s">
        <v>43791</v>
      </c>
      <c r="B12781" t="s">
        <v>6742</v>
      </c>
      <c r="C12781" t="s">
        <v>26551</v>
      </c>
      <c r="D12781" t="s">
        <v>43792</v>
      </c>
      <c r="E12781" t="b">
        <v>0</v>
      </c>
      <c r="F12781" t="s">
        <v>11624</v>
      </c>
      <c r="G12781">
        <v>-14.2941</v>
      </c>
      <c r="H12781">
        <v>23.9819</v>
      </c>
      <c r="I12781" t="s">
        <v>43793</v>
      </c>
      <c r="L12781">
        <v>0</v>
      </c>
      <c r="M12781">
        <v>0</v>
      </c>
      <c r="N12781">
        <v>0</v>
      </c>
      <c r="O12781" t="s">
        <v>32215</v>
      </c>
    </row>
    <row r="12782" spans="1:15">
      <c r="A12782" t="s">
        <v>43794</v>
      </c>
      <c r="B12782" t="s">
        <v>11615</v>
      </c>
      <c r="C12782" t="s">
        <v>43795</v>
      </c>
      <c r="D12782" t="s">
        <v>43796</v>
      </c>
      <c r="E12782" t="b">
        <v>0</v>
      </c>
      <c r="F12782" t="s">
        <v>11610</v>
      </c>
      <c r="L12782">
        <v>0</v>
      </c>
      <c r="M12782">
        <v>0</v>
      </c>
      <c r="N12782">
        <v>0</v>
      </c>
    </row>
    <row r="12783" spans="1:15">
      <c r="A12783" t="s">
        <v>43797</v>
      </c>
      <c r="B12783" t="s">
        <v>6742</v>
      </c>
      <c r="C12783" t="s">
        <v>21892</v>
      </c>
      <c r="D12783" t="s">
        <v>43798</v>
      </c>
      <c r="E12783" t="b">
        <v>0</v>
      </c>
      <c r="F12783" t="s">
        <v>11622</v>
      </c>
      <c r="L12783">
        <v>0</v>
      </c>
      <c r="M12783">
        <v>2</v>
      </c>
      <c r="N12783">
        <v>1</v>
      </c>
    </row>
    <row r="12784" spans="1:15">
      <c r="A12784" t="s">
        <v>43724</v>
      </c>
      <c r="B12784" t="s">
        <v>6742</v>
      </c>
      <c r="C12784" t="s">
        <v>23456</v>
      </c>
      <c r="D12784" t="s">
        <v>43799</v>
      </c>
      <c r="E12784" t="b">
        <v>0</v>
      </c>
      <c r="F12784" t="s">
        <v>11622</v>
      </c>
      <c r="L12784">
        <v>8</v>
      </c>
      <c r="M12784">
        <v>14</v>
      </c>
      <c r="N12784">
        <v>18</v>
      </c>
    </row>
    <row r="12785" spans="1:15">
      <c r="A12785" t="s">
        <v>43800</v>
      </c>
      <c r="B12785" t="s">
        <v>6742</v>
      </c>
      <c r="C12785" t="s">
        <v>11992</v>
      </c>
      <c r="D12785" t="s">
        <v>43801</v>
      </c>
      <c r="E12785" t="b">
        <v>0</v>
      </c>
      <c r="F12785" t="s">
        <v>11624</v>
      </c>
      <c r="G12785">
        <v>8.2092899999999993</v>
      </c>
      <c r="H12785">
        <v>-5.7294400000000003</v>
      </c>
      <c r="I12785" t="s">
        <v>43802</v>
      </c>
      <c r="L12785">
        <v>0</v>
      </c>
      <c r="M12785">
        <v>0</v>
      </c>
      <c r="N12785">
        <v>0</v>
      </c>
      <c r="O12785" t="s">
        <v>11735</v>
      </c>
    </row>
    <row r="12786" spans="1:15">
      <c r="A12786" t="s">
        <v>43803</v>
      </c>
      <c r="B12786" t="s">
        <v>6742</v>
      </c>
      <c r="C12786" t="s">
        <v>16536</v>
      </c>
      <c r="D12786" t="s">
        <v>43804</v>
      </c>
      <c r="E12786" t="b">
        <v>0</v>
      </c>
      <c r="F12786" t="s">
        <v>11610</v>
      </c>
      <c r="L12786">
        <v>0</v>
      </c>
      <c r="M12786">
        <v>0</v>
      </c>
      <c r="N12786">
        <v>0</v>
      </c>
    </row>
    <row r="12787" spans="1:15">
      <c r="A12787" t="s">
        <v>43805</v>
      </c>
      <c r="B12787" t="s">
        <v>6742</v>
      </c>
      <c r="C12787" t="s">
        <v>12956</v>
      </c>
      <c r="D12787" t="s">
        <v>43806</v>
      </c>
      <c r="E12787" t="b">
        <v>0</v>
      </c>
      <c r="F12787" t="s">
        <v>11610</v>
      </c>
      <c r="L12787">
        <v>0</v>
      </c>
      <c r="M12787">
        <v>0</v>
      </c>
      <c r="N12787">
        <v>0</v>
      </c>
    </row>
    <row r="12788" spans="1:15">
      <c r="A12788" t="s">
        <v>22137</v>
      </c>
      <c r="B12788" t="s">
        <v>12204</v>
      </c>
      <c r="C12788" t="s">
        <v>16827</v>
      </c>
      <c r="D12788" t="s">
        <v>43807</v>
      </c>
      <c r="E12788" t="b">
        <v>0</v>
      </c>
      <c r="F12788" t="s">
        <v>11624</v>
      </c>
      <c r="G12788">
        <v>-4.7286299999999999</v>
      </c>
      <c r="H12788">
        <v>38.351900000000001</v>
      </c>
      <c r="I12788" t="s">
        <v>43808</v>
      </c>
      <c r="L12788">
        <v>0</v>
      </c>
      <c r="M12788">
        <v>0</v>
      </c>
      <c r="N12788">
        <v>2</v>
      </c>
      <c r="O12788" t="s">
        <v>11635</v>
      </c>
    </row>
    <row r="12789" spans="1:15">
      <c r="A12789" t="s">
        <v>43809</v>
      </c>
      <c r="B12789" t="s">
        <v>6742</v>
      </c>
      <c r="C12789" t="s">
        <v>39335</v>
      </c>
      <c r="D12789" t="s">
        <v>43810</v>
      </c>
      <c r="E12789" t="b">
        <v>0</v>
      </c>
      <c r="F12789" t="s">
        <v>11624</v>
      </c>
      <c r="G12789">
        <v>-3.7576299999999998</v>
      </c>
      <c r="H12789">
        <v>35.813299999999998</v>
      </c>
      <c r="I12789" t="s">
        <v>43811</v>
      </c>
      <c r="L12789">
        <v>0</v>
      </c>
      <c r="M12789">
        <v>0</v>
      </c>
      <c r="N12789">
        <v>0</v>
      </c>
      <c r="O12789" t="s">
        <v>11635</v>
      </c>
    </row>
    <row r="12790" spans="1:15">
      <c r="A12790" t="s">
        <v>39335</v>
      </c>
      <c r="B12790" t="s">
        <v>6742</v>
      </c>
      <c r="C12790" t="s">
        <v>19707</v>
      </c>
      <c r="D12790" t="s">
        <v>43812</v>
      </c>
      <c r="E12790" t="b">
        <v>0</v>
      </c>
      <c r="F12790" t="s">
        <v>11622</v>
      </c>
      <c r="L12790">
        <v>0</v>
      </c>
      <c r="M12790">
        <v>2</v>
      </c>
      <c r="N12790">
        <v>4</v>
      </c>
    </row>
    <row r="12791" spans="1:15">
      <c r="A12791" t="s">
        <v>4033</v>
      </c>
      <c r="B12791" t="s">
        <v>6742</v>
      </c>
      <c r="C12791" t="s">
        <v>43217</v>
      </c>
      <c r="D12791" t="s">
        <v>43813</v>
      </c>
      <c r="E12791" t="b">
        <v>0</v>
      </c>
      <c r="F12791" t="s">
        <v>11624</v>
      </c>
      <c r="G12791">
        <v>-17.682700000000001</v>
      </c>
      <c r="H12791">
        <v>22.502600000000001</v>
      </c>
      <c r="I12791" t="s">
        <v>4034</v>
      </c>
      <c r="L12791">
        <v>0</v>
      </c>
      <c r="M12791">
        <v>0</v>
      </c>
      <c r="N12791">
        <v>0</v>
      </c>
      <c r="O12791" t="s">
        <v>38779</v>
      </c>
    </row>
    <row r="12792" spans="1:15">
      <c r="A12792" t="s">
        <v>43814</v>
      </c>
      <c r="B12792" t="s">
        <v>367</v>
      </c>
      <c r="C12792" t="s">
        <v>39553</v>
      </c>
      <c r="D12792" t="s">
        <v>43815</v>
      </c>
      <c r="E12792" t="b">
        <v>0</v>
      </c>
      <c r="F12792" t="s">
        <v>11610</v>
      </c>
      <c r="L12792">
        <v>0</v>
      </c>
      <c r="M12792">
        <v>0</v>
      </c>
      <c r="N12792">
        <v>0</v>
      </c>
    </row>
    <row r="12793" spans="1:15">
      <c r="A12793" t="s">
        <v>43816</v>
      </c>
      <c r="B12793" t="s">
        <v>11607</v>
      </c>
      <c r="C12793" t="s">
        <v>31768</v>
      </c>
      <c r="D12793" t="s">
        <v>43817</v>
      </c>
      <c r="E12793" t="b">
        <v>0</v>
      </c>
      <c r="F12793" t="s">
        <v>11624</v>
      </c>
      <c r="G12793">
        <v>10.7788</v>
      </c>
      <c r="H12793">
        <v>14.1677</v>
      </c>
      <c r="I12793" t="s">
        <v>43818</v>
      </c>
      <c r="L12793">
        <v>0</v>
      </c>
      <c r="M12793">
        <v>0</v>
      </c>
      <c r="N12793">
        <v>0</v>
      </c>
      <c r="O12793" t="s">
        <v>11703</v>
      </c>
    </row>
    <row r="12794" spans="1:15">
      <c r="A12794" t="s">
        <v>43819</v>
      </c>
      <c r="B12794" t="s">
        <v>6742</v>
      </c>
      <c r="C12794" t="s">
        <v>23621</v>
      </c>
      <c r="D12794" t="s">
        <v>43820</v>
      </c>
      <c r="E12794" t="b">
        <v>0</v>
      </c>
      <c r="F12794" t="s">
        <v>11624</v>
      </c>
      <c r="G12794">
        <v>6.5355749999999997</v>
      </c>
      <c r="H12794">
        <v>10.415141</v>
      </c>
      <c r="L12794">
        <v>0</v>
      </c>
      <c r="M12794">
        <v>0</v>
      </c>
      <c r="N12794">
        <v>0</v>
      </c>
      <c r="O12794" t="s">
        <v>11703</v>
      </c>
    </row>
    <row r="12795" spans="1:15">
      <c r="A12795" t="s">
        <v>43821</v>
      </c>
      <c r="B12795" t="s">
        <v>6742</v>
      </c>
      <c r="C12795" t="s">
        <v>15816</v>
      </c>
      <c r="D12795" t="s">
        <v>43822</v>
      </c>
      <c r="E12795" t="b">
        <v>0</v>
      </c>
      <c r="F12795" t="s">
        <v>11624</v>
      </c>
      <c r="G12795">
        <v>10.8553</v>
      </c>
      <c r="H12795">
        <v>-14.7372</v>
      </c>
      <c r="I12795" t="s">
        <v>43823</v>
      </c>
      <c r="L12795">
        <v>0</v>
      </c>
      <c r="M12795">
        <v>0</v>
      </c>
      <c r="N12795">
        <v>0</v>
      </c>
      <c r="O12795" t="s">
        <v>15802</v>
      </c>
    </row>
    <row r="12796" spans="1:15">
      <c r="A12796" t="s">
        <v>43824</v>
      </c>
      <c r="B12796" t="s">
        <v>6742</v>
      </c>
      <c r="C12796" t="s">
        <v>43825</v>
      </c>
      <c r="D12796" t="s">
        <v>43826</v>
      </c>
      <c r="E12796" t="b">
        <v>0</v>
      </c>
      <c r="F12796" t="s">
        <v>11610</v>
      </c>
      <c r="L12796">
        <v>0</v>
      </c>
      <c r="M12796">
        <v>0</v>
      </c>
      <c r="N12796">
        <v>0</v>
      </c>
    </row>
    <row r="12797" spans="1:15">
      <c r="A12797" t="s">
        <v>20751</v>
      </c>
      <c r="B12797" t="s">
        <v>6742</v>
      </c>
      <c r="C12797" t="s">
        <v>18586</v>
      </c>
      <c r="D12797" t="s">
        <v>43827</v>
      </c>
      <c r="E12797" t="b">
        <v>0</v>
      </c>
      <c r="F12797" t="s">
        <v>11624</v>
      </c>
      <c r="G12797">
        <v>9.6076899999999998</v>
      </c>
      <c r="H12797">
        <v>12.2439</v>
      </c>
      <c r="I12797" t="s">
        <v>43828</v>
      </c>
      <c r="L12797">
        <v>0</v>
      </c>
      <c r="M12797">
        <v>0</v>
      </c>
      <c r="N12797">
        <v>2</v>
      </c>
      <c r="O12797" t="s">
        <v>11693</v>
      </c>
    </row>
    <row r="12798" spans="1:15">
      <c r="A12798" t="s">
        <v>43829</v>
      </c>
      <c r="B12798" t="s">
        <v>6742</v>
      </c>
      <c r="C12798" t="s">
        <v>20751</v>
      </c>
      <c r="D12798" t="s">
        <v>43830</v>
      </c>
      <c r="E12798" t="b">
        <v>0</v>
      </c>
      <c r="F12798" t="s">
        <v>11610</v>
      </c>
      <c r="L12798">
        <v>0</v>
      </c>
      <c r="M12798">
        <v>0</v>
      </c>
      <c r="N12798">
        <v>0</v>
      </c>
    </row>
    <row r="12799" spans="1:15">
      <c r="A12799" t="s">
        <v>43831</v>
      </c>
      <c r="B12799" t="s">
        <v>6742</v>
      </c>
      <c r="C12799" t="s">
        <v>15668</v>
      </c>
      <c r="D12799" t="s">
        <v>43832</v>
      </c>
      <c r="E12799" t="b">
        <v>0</v>
      </c>
      <c r="F12799" t="s">
        <v>11624</v>
      </c>
      <c r="G12799">
        <v>4.5063500000000003</v>
      </c>
      <c r="H12799">
        <v>10.9924</v>
      </c>
      <c r="I12799" t="s">
        <v>43833</v>
      </c>
      <c r="L12799">
        <v>0</v>
      </c>
      <c r="M12799">
        <v>0</v>
      </c>
      <c r="N12799">
        <v>0</v>
      </c>
      <c r="O12799" t="s">
        <v>11703</v>
      </c>
    </row>
    <row r="12800" spans="1:15">
      <c r="A12800" t="s">
        <v>28714</v>
      </c>
      <c r="B12800" t="s">
        <v>367</v>
      </c>
      <c r="C12800" t="s">
        <v>17862</v>
      </c>
      <c r="D12800" t="s">
        <v>43834</v>
      </c>
      <c r="E12800" t="b">
        <v>0</v>
      </c>
      <c r="F12800" t="s">
        <v>11624</v>
      </c>
      <c r="G12800">
        <v>-5.6696499999999999</v>
      </c>
      <c r="H12800">
        <v>148.041</v>
      </c>
      <c r="I12800" t="s">
        <v>43835</v>
      </c>
      <c r="L12800">
        <v>0</v>
      </c>
      <c r="M12800">
        <v>0</v>
      </c>
      <c r="N12800">
        <v>4</v>
      </c>
      <c r="O12800" t="s">
        <v>11660</v>
      </c>
    </row>
    <row r="12801" spans="1:15">
      <c r="A12801" t="s">
        <v>28886</v>
      </c>
      <c r="B12801" t="s">
        <v>6742</v>
      </c>
      <c r="C12801" t="s">
        <v>21457</v>
      </c>
      <c r="D12801" t="s">
        <v>43836</v>
      </c>
      <c r="E12801" t="b">
        <v>0</v>
      </c>
      <c r="F12801" t="s">
        <v>11624</v>
      </c>
      <c r="G12801">
        <v>7.5789</v>
      </c>
      <c r="H12801">
        <v>14.2722</v>
      </c>
      <c r="I12801" t="s">
        <v>43837</v>
      </c>
      <c r="L12801">
        <v>0</v>
      </c>
      <c r="M12801">
        <v>0</v>
      </c>
      <c r="N12801">
        <v>2</v>
      </c>
      <c r="O12801" t="s">
        <v>28845</v>
      </c>
    </row>
    <row r="12802" spans="1:15">
      <c r="A12802" t="s">
        <v>43838</v>
      </c>
      <c r="B12802" t="s">
        <v>6742</v>
      </c>
      <c r="C12802" t="s">
        <v>38648</v>
      </c>
      <c r="D12802" t="s">
        <v>43839</v>
      </c>
      <c r="E12802" t="b">
        <v>0</v>
      </c>
      <c r="F12802" t="s">
        <v>11610</v>
      </c>
      <c r="L12802">
        <v>0</v>
      </c>
      <c r="M12802">
        <v>0</v>
      </c>
      <c r="N12802">
        <v>0</v>
      </c>
    </row>
    <row r="12803" spans="1:15">
      <c r="A12803" t="s">
        <v>21457</v>
      </c>
      <c r="B12803" t="s">
        <v>6742</v>
      </c>
      <c r="C12803" t="s">
        <v>21002</v>
      </c>
      <c r="D12803" t="s">
        <v>43840</v>
      </c>
      <c r="E12803" t="b">
        <v>0</v>
      </c>
      <c r="F12803" t="s">
        <v>11622</v>
      </c>
      <c r="L12803">
        <v>8</v>
      </c>
      <c r="M12803">
        <v>15</v>
      </c>
      <c r="N12803">
        <v>22</v>
      </c>
    </row>
    <row r="12804" spans="1:15">
      <c r="A12804" t="s">
        <v>19287</v>
      </c>
      <c r="B12804" t="s">
        <v>6742</v>
      </c>
      <c r="C12804" t="s">
        <v>43620</v>
      </c>
      <c r="D12804" t="s">
        <v>43841</v>
      </c>
      <c r="E12804" t="b">
        <v>0</v>
      </c>
      <c r="F12804" t="s">
        <v>11622</v>
      </c>
      <c r="L12804">
        <v>0</v>
      </c>
      <c r="M12804">
        <v>5</v>
      </c>
      <c r="N12804">
        <v>4</v>
      </c>
    </row>
    <row r="12805" spans="1:15">
      <c r="A12805" t="s">
        <v>43842</v>
      </c>
      <c r="B12805" t="s">
        <v>6742</v>
      </c>
      <c r="C12805" t="s">
        <v>43344</v>
      </c>
      <c r="D12805" t="s">
        <v>43843</v>
      </c>
      <c r="E12805" t="b">
        <v>0</v>
      </c>
      <c r="F12805" t="s">
        <v>11624</v>
      </c>
      <c r="G12805">
        <v>-8.1966099999999997</v>
      </c>
      <c r="H12805">
        <v>36.536200000000001</v>
      </c>
      <c r="I12805" t="s">
        <v>43844</v>
      </c>
      <c r="L12805">
        <v>0</v>
      </c>
      <c r="M12805">
        <v>0</v>
      </c>
      <c r="N12805">
        <v>0</v>
      </c>
      <c r="O12805" t="s">
        <v>11635</v>
      </c>
    </row>
    <row r="12806" spans="1:15">
      <c r="A12806" t="s">
        <v>43845</v>
      </c>
      <c r="B12806" t="s">
        <v>6742</v>
      </c>
      <c r="C12806" t="s">
        <v>41107</v>
      </c>
      <c r="D12806" t="s">
        <v>43846</v>
      </c>
      <c r="E12806" t="b">
        <v>0</v>
      </c>
      <c r="F12806" t="s">
        <v>11624</v>
      </c>
      <c r="G12806">
        <v>-14.603</v>
      </c>
      <c r="H12806">
        <v>21.976800000000001</v>
      </c>
      <c r="I12806" t="s">
        <v>43847</v>
      </c>
      <c r="L12806">
        <v>0</v>
      </c>
      <c r="M12806">
        <v>0</v>
      </c>
      <c r="N12806">
        <v>0</v>
      </c>
      <c r="O12806" t="s">
        <v>41300</v>
      </c>
    </row>
    <row r="12807" spans="1:15">
      <c r="A12807" t="s">
        <v>43848</v>
      </c>
      <c r="B12807" t="s">
        <v>11607</v>
      </c>
      <c r="C12807" t="s">
        <v>12615</v>
      </c>
      <c r="D12807" t="s">
        <v>43849</v>
      </c>
      <c r="E12807" t="b">
        <v>0</v>
      </c>
      <c r="F12807" t="s">
        <v>11624</v>
      </c>
      <c r="G12807">
        <v>10.9276</v>
      </c>
      <c r="H12807">
        <v>9.8136500000000009</v>
      </c>
      <c r="I12807" t="s">
        <v>43850</v>
      </c>
      <c r="L12807">
        <v>0</v>
      </c>
      <c r="M12807">
        <v>0</v>
      </c>
      <c r="N12807">
        <v>0</v>
      </c>
      <c r="O12807" t="s">
        <v>11693</v>
      </c>
    </row>
    <row r="12808" spans="1:15">
      <c r="A12808" t="s">
        <v>43851</v>
      </c>
      <c r="B12808" t="s">
        <v>6742</v>
      </c>
      <c r="C12808" t="s">
        <v>12956</v>
      </c>
      <c r="D12808" t="s">
        <v>43852</v>
      </c>
      <c r="E12808" t="b">
        <v>0</v>
      </c>
      <c r="F12808" t="s">
        <v>11610</v>
      </c>
      <c r="L12808">
        <v>0</v>
      </c>
      <c r="M12808">
        <v>0</v>
      </c>
      <c r="N12808">
        <v>0</v>
      </c>
    </row>
    <row r="12809" spans="1:15">
      <c r="A12809" t="s">
        <v>43853</v>
      </c>
      <c r="B12809" t="s">
        <v>6742</v>
      </c>
      <c r="C12809" t="s">
        <v>11700</v>
      </c>
      <c r="D12809" t="s">
        <v>43854</v>
      </c>
      <c r="E12809" t="b">
        <v>0</v>
      </c>
      <c r="F12809" t="s">
        <v>11624</v>
      </c>
      <c r="G12809">
        <v>6.5379199999999997</v>
      </c>
      <c r="H12809">
        <v>10.255599999999999</v>
      </c>
      <c r="I12809" t="s">
        <v>43855</v>
      </c>
      <c r="L12809">
        <v>0</v>
      </c>
      <c r="M12809">
        <v>0</v>
      </c>
      <c r="N12809">
        <v>0</v>
      </c>
      <c r="O12809" t="s">
        <v>11703</v>
      </c>
    </row>
    <row r="12810" spans="1:15">
      <c r="A12810" t="s">
        <v>43856</v>
      </c>
      <c r="B12810" t="s">
        <v>6742</v>
      </c>
      <c r="C12810" t="s">
        <v>17648</v>
      </c>
      <c r="D12810" t="s">
        <v>43857</v>
      </c>
      <c r="E12810" t="b">
        <v>0</v>
      </c>
      <c r="F12810" t="s">
        <v>11610</v>
      </c>
      <c r="L12810">
        <v>0</v>
      </c>
      <c r="M12810">
        <v>0</v>
      </c>
      <c r="N12810">
        <v>0</v>
      </c>
    </row>
    <row r="12811" spans="1:15">
      <c r="A12811" t="s">
        <v>43858</v>
      </c>
      <c r="B12811" t="s">
        <v>6742</v>
      </c>
      <c r="C12811" t="s">
        <v>41107</v>
      </c>
      <c r="D12811" t="s">
        <v>43859</v>
      </c>
      <c r="E12811" t="b">
        <v>0</v>
      </c>
      <c r="F12811" t="s">
        <v>11624</v>
      </c>
      <c r="G12811">
        <v>-13.326700000000001</v>
      </c>
      <c r="H12811">
        <v>18.224299999999999</v>
      </c>
      <c r="I12811" t="s">
        <v>43860</v>
      </c>
      <c r="L12811">
        <v>0</v>
      </c>
      <c r="M12811">
        <v>0</v>
      </c>
      <c r="N12811">
        <v>0</v>
      </c>
      <c r="O12811" t="s">
        <v>19290</v>
      </c>
    </row>
    <row r="12812" spans="1:15">
      <c r="A12812" t="s">
        <v>41107</v>
      </c>
      <c r="B12812" t="s">
        <v>6742</v>
      </c>
      <c r="C12812" t="s">
        <v>41064</v>
      </c>
      <c r="D12812" t="s">
        <v>43861</v>
      </c>
      <c r="E12812" t="b">
        <v>0</v>
      </c>
      <c r="F12812" t="s">
        <v>11622</v>
      </c>
      <c r="L12812">
        <v>0</v>
      </c>
      <c r="M12812">
        <v>3</v>
      </c>
      <c r="N12812">
        <v>0</v>
      </c>
    </row>
    <row r="12813" spans="1:15">
      <c r="A12813" t="s">
        <v>43862</v>
      </c>
      <c r="B12813" t="s">
        <v>6742</v>
      </c>
      <c r="C12813" t="s">
        <v>30265</v>
      </c>
      <c r="D12813" t="s">
        <v>43863</v>
      </c>
      <c r="E12813" t="b">
        <v>0</v>
      </c>
      <c r="F12813" t="s">
        <v>11610</v>
      </c>
      <c r="L12813">
        <v>0</v>
      </c>
      <c r="M12813">
        <v>0</v>
      </c>
      <c r="N12813">
        <v>0</v>
      </c>
    </row>
    <row r="12814" spans="1:15">
      <c r="A12814" t="s">
        <v>43864</v>
      </c>
      <c r="B12814" t="s">
        <v>6742</v>
      </c>
      <c r="C12814" t="s">
        <v>38571</v>
      </c>
      <c r="D12814" t="s">
        <v>43865</v>
      </c>
      <c r="E12814" t="b">
        <v>0</v>
      </c>
      <c r="F12814" t="s">
        <v>11610</v>
      </c>
      <c r="L12814">
        <v>0</v>
      </c>
      <c r="M12814">
        <v>0</v>
      </c>
      <c r="N12814">
        <v>0</v>
      </c>
    </row>
    <row r="12815" spans="1:15">
      <c r="A12815" t="s">
        <v>17439</v>
      </c>
      <c r="B12815" t="s">
        <v>11912</v>
      </c>
      <c r="C12815" t="s">
        <v>43866</v>
      </c>
      <c r="D12815" t="s">
        <v>43867</v>
      </c>
      <c r="E12815" t="b">
        <v>0</v>
      </c>
      <c r="F12815" t="s">
        <v>11624</v>
      </c>
      <c r="G12815">
        <v>-26.018799999999999</v>
      </c>
      <c r="H12815">
        <v>-52.710999999999999</v>
      </c>
      <c r="I12815" t="s">
        <v>43868</v>
      </c>
      <c r="L12815">
        <v>0</v>
      </c>
      <c r="M12815">
        <v>0</v>
      </c>
      <c r="N12815">
        <v>2</v>
      </c>
      <c r="O12815" t="s">
        <v>43869</v>
      </c>
    </row>
    <row r="12816" spans="1:15">
      <c r="A12816" t="s">
        <v>43870</v>
      </c>
      <c r="B12816" t="s">
        <v>6742</v>
      </c>
      <c r="C12816" t="s">
        <v>38648</v>
      </c>
      <c r="D12816" t="s">
        <v>43871</v>
      </c>
      <c r="E12816" t="b">
        <v>0</v>
      </c>
      <c r="F12816" t="s">
        <v>11610</v>
      </c>
      <c r="L12816">
        <v>0</v>
      </c>
      <c r="M12816">
        <v>0</v>
      </c>
      <c r="N12816">
        <v>0</v>
      </c>
    </row>
    <row r="12817" spans="1:15">
      <c r="A12817" t="s">
        <v>43872</v>
      </c>
      <c r="B12817" t="s">
        <v>11644</v>
      </c>
      <c r="C12817" t="s">
        <v>32483</v>
      </c>
      <c r="D12817" t="s">
        <v>43873</v>
      </c>
      <c r="E12817" t="b">
        <v>0</v>
      </c>
      <c r="F12817" t="s">
        <v>11610</v>
      </c>
      <c r="L12817">
        <v>0</v>
      </c>
      <c r="M12817">
        <v>0</v>
      </c>
      <c r="N12817">
        <v>0</v>
      </c>
    </row>
    <row r="12818" spans="1:15">
      <c r="A12818" t="s">
        <v>43874</v>
      </c>
      <c r="B12818" t="s">
        <v>367</v>
      </c>
      <c r="C12818" t="s">
        <v>43875</v>
      </c>
      <c r="D12818" t="s">
        <v>43876</v>
      </c>
      <c r="E12818" t="b">
        <v>0</v>
      </c>
      <c r="F12818" t="s">
        <v>11610</v>
      </c>
      <c r="G12818">
        <v>-21.4939</v>
      </c>
      <c r="H12818">
        <v>165.77099999999999</v>
      </c>
      <c r="I12818" t="s">
        <v>43877</v>
      </c>
      <c r="L12818">
        <v>0</v>
      </c>
      <c r="M12818">
        <v>0</v>
      </c>
      <c r="N12818">
        <v>0</v>
      </c>
      <c r="O12818" t="s">
        <v>12624</v>
      </c>
    </row>
    <row r="12819" spans="1:15">
      <c r="A12819" t="s">
        <v>43878</v>
      </c>
      <c r="B12819" t="s">
        <v>13691</v>
      </c>
      <c r="C12819" t="s">
        <v>43879</v>
      </c>
      <c r="D12819" t="s">
        <v>43880</v>
      </c>
      <c r="E12819" t="b">
        <v>0</v>
      </c>
      <c r="F12819" t="s">
        <v>11624</v>
      </c>
      <c r="L12819">
        <v>0</v>
      </c>
      <c r="M12819">
        <v>0</v>
      </c>
      <c r="N12819">
        <v>0</v>
      </c>
      <c r="O12819" t="s">
        <v>11660</v>
      </c>
    </row>
    <row r="12820" spans="1:15">
      <c r="A12820" t="s">
        <v>43881</v>
      </c>
      <c r="B12820" t="s">
        <v>11912</v>
      </c>
      <c r="C12820" t="s">
        <v>29817</v>
      </c>
      <c r="D12820" t="s">
        <v>43882</v>
      </c>
      <c r="E12820" t="b">
        <v>0</v>
      </c>
      <c r="F12820" t="s">
        <v>11610</v>
      </c>
      <c r="L12820">
        <v>0</v>
      </c>
      <c r="M12820">
        <v>0</v>
      </c>
      <c r="N12820">
        <v>0</v>
      </c>
    </row>
    <row r="12821" spans="1:15">
      <c r="A12821" t="s">
        <v>43883</v>
      </c>
      <c r="B12821" t="s">
        <v>25799</v>
      </c>
      <c r="C12821" t="s">
        <v>25799</v>
      </c>
      <c r="D12821" t="s">
        <v>43884</v>
      </c>
      <c r="E12821" t="b">
        <v>0</v>
      </c>
      <c r="F12821" t="s">
        <v>11622</v>
      </c>
      <c r="L12821">
        <v>0</v>
      </c>
      <c r="M12821">
        <v>2</v>
      </c>
      <c r="N12821">
        <v>0</v>
      </c>
    </row>
    <row r="12822" spans="1:15">
      <c r="A12822" t="s">
        <v>43885</v>
      </c>
      <c r="B12822" t="s">
        <v>11644</v>
      </c>
      <c r="C12822" t="s">
        <v>19059</v>
      </c>
      <c r="D12822" t="s">
        <v>43886</v>
      </c>
      <c r="E12822" t="b">
        <v>0</v>
      </c>
      <c r="F12822" t="s">
        <v>11610</v>
      </c>
      <c r="L12822">
        <v>0</v>
      </c>
      <c r="M12822">
        <v>0</v>
      </c>
      <c r="N12822">
        <v>0</v>
      </c>
    </row>
    <row r="12823" spans="1:15">
      <c r="A12823" t="s">
        <v>43887</v>
      </c>
      <c r="B12823" t="s">
        <v>11607</v>
      </c>
      <c r="C12823" t="s">
        <v>43888</v>
      </c>
      <c r="D12823" t="s">
        <v>43889</v>
      </c>
      <c r="E12823" t="b">
        <v>0</v>
      </c>
      <c r="F12823" t="s">
        <v>11610</v>
      </c>
      <c r="L12823">
        <v>0</v>
      </c>
      <c r="M12823">
        <v>0</v>
      </c>
      <c r="N12823">
        <v>0</v>
      </c>
    </row>
    <row r="12824" spans="1:15">
      <c r="A12824" t="s">
        <v>43890</v>
      </c>
      <c r="B12824" t="s">
        <v>11637</v>
      </c>
      <c r="C12824" t="s">
        <v>19834</v>
      </c>
      <c r="D12824" t="s">
        <v>43891</v>
      </c>
      <c r="E12824" t="b">
        <v>0</v>
      </c>
      <c r="F12824" t="s">
        <v>11610</v>
      </c>
      <c r="L12824">
        <v>0</v>
      </c>
      <c r="M12824">
        <v>0</v>
      </c>
      <c r="N12824">
        <v>3</v>
      </c>
    </row>
    <row r="12825" spans="1:15">
      <c r="A12825" t="s">
        <v>43892</v>
      </c>
      <c r="B12825" t="s">
        <v>11637</v>
      </c>
      <c r="C12825" t="s">
        <v>43890</v>
      </c>
      <c r="D12825" t="s">
        <v>43893</v>
      </c>
      <c r="E12825" t="b">
        <v>0</v>
      </c>
      <c r="F12825" t="s">
        <v>11610</v>
      </c>
      <c r="L12825">
        <v>0</v>
      </c>
      <c r="M12825">
        <v>0</v>
      </c>
      <c r="N12825">
        <v>0</v>
      </c>
    </row>
    <row r="12826" spans="1:15">
      <c r="A12826" t="s">
        <v>43894</v>
      </c>
      <c r="B12826" t="s">
        <v>367</v>
      </c>
      <c r="C12826" t="s">
        <v>16441</v>
      </c>
      <c r="D12826" t="s">
        <v>43895</v>
      </c>
      <c r="E12826" t="b">
        <v>0</v>
      </c>
      <c r="F12826" t="s">
        <v>11624</v>
      </c>
      <c r="G12826">
        <v>-4.49918</v>
      </c>
      <c r="H12826">
        <v>145.42500000000001</v>
      </c>
      <c r="I12826" t="s">
        <v>43896</v>
      </c>
      <c r="L12826">
        <v>0</v>
      </c>
      <c r="M12826">
        <v>0</v>
      </c>
      <c r="N12826">
        <v>0</v>
      </c>
      <c r="O12826" t="s">
        <v>11660</v>
      </c>
    </row>
    <row r="12827" spans="1:15">
      <c r="A12827" t="s">
        <v>43897</v>
      </c>
      <c r="B12827" t="s">
        <v>12128</v>
      </c>
      <c r="C12827" t="s">
        <v>12295</v>
      </c>
      <c r="D12827" t="s">
        <v>43898</v>
      </c>
      <c r="E12827" t="b">
        <v>0</v>
      </c>
      <c r="F12827" t="s">
        <v>11624</v>
      </c>
      <c r="L12827">
        <v>0</v>
      </c>
      <c r="M12827">
        <v>0</v>
      </c>
      <c r="N12827">
        <v>0</v>
      </c>
      <c r="O12827" t="s">
        <v>11693</v>
      </c>
    </row>
    <row r="12828" spans="1:15">
      <c r="A12828" t="s">
        <v>43899</v>
      </c>
      <c r="B12828" t="s">
        <v>12204</v>
      </c>
      <c r="C12828" t="s">
        <v>43900</v>
      </c>
      <c r="D12828" t="s">
        <v>43901</v>
      </c>
      <c r="E12828" t="b">
        <v>0</v>
      </c>
      <c r="F12828" t="s">
        <v>11624</v>
      </c>
      <c r="G12828">
        <v>-1.04518</v>
      </c>
      <c r="H12828">
        <v>-78.539199999999994</v>
      </c>
      <c r="I12828" t="s">
        <v>43902</v>
      </c>
      <c r="L12828">
        <v>0</v>
      </c>
      <c r="M12828">
        <v>0</v>
      </c>
      <c r="N12828">
        <v>0</v>
      </c>
      <c r="O12828" t="s">
        <v>14946</v>
      </c>
    </row>
    <row r="12829" spans="1:15">
      <c r="A12829" t="s">
        <v>43903</v>
      </c>
      <c r="B12829" t="s">
        <v>11627</v>
      </c>
      <c r="C12829" t="s">
        <v>11627</v>
      </c>
      <c r="D12829" t="s">
        <v>43904</v>
      </c>
      <c r="E12829" t="b">
        <v>1</v>
      </c>
      <c r="F12829" t="s">
        <v>11624</v>
      </c>
      <c r="G12829">
        <v>-8.5275800000000004</v>
      </c>
      <c r="H12829">
        <v>37.8782</v>
      </c>
      <c r="I12829" t="s">
        <v>43905</v>
      </c>
      <c r="L12829">
        <v>0</v>
      </c>
      <c r="M12829">
        <v>0</v>
      </c>
      <c r="N12829">
        <v>0</v>
      </c>
      <c r="O12829" t="s">
        <v>11635</v>
      </c>
    </row>
    <row r="12830" spans="1:15">
      <c r="A12830" t="s">
        <v>43906</v>
      </c>
      <c r="B12830" t="s">
        <v>11637</v>
      </c>
      <c r="C12830" t="s">
        <v>39504</v>
      </c>
      <c r="D12830" t="s">
        <v>43907</v>
      </c>
      <c r="E12830" t="b">
        <v>0</v>
      </c>
      <c r="F12830" t="s">
        <v>11610</v>
      </c>
      <c r="L12830">
        <v>0</v>
      </c>
      <c r="M12830">
        <v>0</v>
      </c>
      <c r="N12830">
        <v>0</v>
      </c>
    </row>
    <row r="12831" spans="1:15">
      <c r="A12831" t="s">
        <v>43908</v>
      </c>
      <c r="B12831" t="s">
        <v>12204</v>
      </c>
      <c r="C12831" t="s">
        <v>43909</v>
      </c>
      <c r="D12831" t="s">
        <v>43910</v>
      </c>
      <c r="E12831" t="b">
        <v>0</v>
      </c>
      <c r="F12831" t="s">
        <v>11624</v>
      </c>
      <c r="G12831">
        <v>54.6601</v>
      </c>
      <c r="H12831">
        <v>167.78200000000001</v>
      </c>
      <c r="I12831" t="s">
        <v>43911</v>
      </c>
      <c r="L12831">
        <v>0</v>
      </c>
      <c r="M12831">
        <v>0</v>
      </c>
      <c r="N12831">
        <v>0</v>
      </c>
      <c r="O12831" t="s">
        <v>12748</v>
      </c>
    </row>
    <row r="12832" spans="1:15">
      <c r="A12832" t="s">
        <v>43912</v>
      </c>
      <c r="B12832" t="s">
        <v>6742</v>
      </c>
      <c r="C12832" t="s">
        <v>41912</v>
      </c>
      <c r="D12832" t="s">
        <v>43913</v>
      </c>
      <c r="E12832" t="b">
        <v>0</v>
      </c>
      <c r="F12832" t="s">
        <v>11610</v>
      </c>
      <c r="L12832">
        <v>0</v>
      </c>
      <c r="M12832">
        <v>0</v>
      </c>
      <c r="N12832">
        <v>0</v>
      </c>
    </row>
    <row r="12833" spans="1:15">
      <c r="A12833" t="s">
        <v>43914</v>
      </c>
      <c r="B12833" t="s">
        <v>11729</v>
      </c>
      <c r="C12833" t="s">
        <v>18563</v>
      </c>
      <c r="D12833" t="s">
        <v>43915</v>
      </c>
      <c r="E12833" t="b">
        <v>0</v>
      </c>
      <c r="F12833" t="s">
        <v>11610</v>
      </c>
      <c r="L12833">
        <v>0</v>
      </c>
      <c r="M12833">
        <v>0</v>
      </c>
      <c r="N12833">
        <v>0</v>
      </c>
    </row>
    <row r="12834" spans="1:15">
      <c r="A12834" t="s">
        <v>17444</v>
      </c>
      <c r="B12834" t="s">
        <v>6742</v>
      </c>
      <c r="C12834" t="s">
        <v>16434</v>
      </c>
      <c r="D12834" t="s">
        <v>43916</v>
      </c>
      <c r="E12834" t="b">
        <v>0</v>
      </c>
      <c r="F12834" t="s">
        <v>11624</v>
      </c>
      <c r="G12834">
        <v>5.1090099999999996</v>
      </c>
      <c r="H12834">
        <v>10.611800000000001</v>
      </c>
      <c r="I12834" t="s">
        <v>43917</v>
      </c>
      <c r="L12834">
        <v>0</v>
      </c>
      <c r="M12834">
        <v>0</v>
      </c>
      <c r="N12834">
        <v>1</v>
      </c>
      <c r="O12834" t="s">
        <v>11703</v>
      </c>
    </row>
    <row r="12835" spans="1:15">
      <c r="A12835" t="s">
        <v>43918</v>
      </c>
      <c r="B12835" t="s">
        <v>11615</v>
      </c>
      <c r="C12835" t="s">
        <v>26941</v>
      </c>
      <c r="D12835" t="s">
        <v>43919</v>
      </c>
      <c r="E12835" t="b">
        <v>0</v>
      </c>
      <c r="F12835" t="s">
        <v>11610</v>
      </c>
      <c r="L12835">
        <v>0</v>
      </c>
      <c r="M12835">
        <v>0</v>
      </c>
      <c r="N12835">
        <v>0</v>
      </c>
    </row>
    <row r="12836" spans="1:15">
      <c r="A12836" t="s">
        <v>43920</v>
      </c>
      <c r="B12836" t="s">
        <v>6742</v>
      </c>
      <c r="C12836" t="s">
        <v>25251</v>
      </c>
      <c r="D12836" t="s">
        <v>43921</v>
      </c>
      <c r="E12836" t="b">
        <v>0</v>
      </c>
      <c r="F12836" t="s">
        <v>11610</v>
      </c>
      <c r="L12836">
        <v>0</v>
      </c>
      <c r="M12836">
        <v>0</v>
      </c>
      <c r="N12836">
        <v>0</v>
      </c>
    </row>
    <row r="12837" spans="1:15">
      <c r="A12837" t="s">
        <v>19050</v>
      </c>
      <c r="B12837" t="s">
        <v>15569</v>
      </c>
      <c r="C12837" t="s">
        <v>43922</v>
      </c>
      <c r="D12837" t="s">
        <v>43923</v>
      </c>
      <c r="E12837" t="b">
        <v>0</v>
      </c>
      <c r="F12837" t="s">
        <v>11624</v>
      </c>
      <c r="G12837">
        <v>6.6320699999999997</v>
      </c>
      <c r="H12837">
        <v>35.625500000000002</v>
      </c>
      <c r="I12837" t="s">
        <v>43924</v>
      </c>
      <c r="L12837">
        <v>0</v>
      </c>
      <c r="M12837">
        <v>0</v>
      </c>
      <c r="N12837">
        <v>2</v>
      </c>
      <c r="O12837" t="s">
        <v>11625</v>
      </c>
    </row>
    <row r="12838" spans="1:15">
      <c r="A12838" t="s">
        <v>43925</v>
      </c>
      <c r="B12838" t="s">
        <v>11607</v>
      </c>
      <c r="C12838" t="s">
        <v>23672</v>
      </c>
      <c r="D12838" t="s">
        <v>43926</v>
      </c>
      <c r="E12838" t="b">
        <v>0</v>
      </c>
      <c r="F12838" t="s">
        <v>11624</v>
      </c>
      <c r="G12838">
        <v>10.677</v>
      </c>
      <c r="H12838">
        <v>13.8201</v>
      </c>
      <c r="I12838" t="s">
        <v>43927</v>
      </c>
      <c r="L12838">
        <v>0</v>
      </c>
      <c r="M12838">
        <v>0</v>
      </c>
      <c r="N12838">
        <v>4</v>
      </c>
      <c r="O12838" t="s">
        <v>11703</v>
      </c>
    </row>
    <row r="12839" spans="1:15">
      <c r="A12839" t="s">
        <v>43928</v>
      </c>
      <c r="B12839" t="s">
        <v>11637</v>
      </c>
      <c r="C12839" t="s">
        <v>12151</v>
      </c>
      <c r="D12839" t="s">
        <v>43929</v>
      </c>
      <c r="E12839" t="b">
        <v>0</v>
      </c>
      <c r="F12839" t="s">
        <v>11610</v>
      </c>
      <c r="L12839">
        <v>0</v>
      </c>
      <c r="M12839">
        <v>0</v>
      </c>
      <c r="N12839">
        <v>0</v>
      </c>
    </row>
    <row r="12840" spans="1:15">
      <c r="A12840" t="s">
        <v>43930</v>
      </c>
      <c r="B12840" t="s">
        <v>12438</v>
      </c>
      <c r="C12840" t="s">
        <v>41357</v>
      </c>
      <c r="D12840" t="s">
        <v>43931</v>
      </c>
      <c r="E12840" t="b">
        <v>0</v>
      </c>
      <c r="F12840" t="s">
        <v>11624</v>
      </c>
      <c r="G12840">
        <v>25.129200000000001</v>
      </c>
      <c r="H12840">
        <v>91.613200000000006</v>
      </c>
      <c r="I12840" t="s">
        <v>43932</v>
      </c>
      <c r="L12840">
        <v>0</v>
      </c>
      <c r="M12840">
        <v>0</v>
      </c>
      <c r="N12840">
        <v>0</v>
      </c>
      <c r="O12840" t="s">
        <v>15054</v>
      </c>
    </row>
    <row r="12841" spans="1:15">
      <c r="A12841" t="s">
        <v>43933</v>
      </c>
      <c r="B12841" t="s">
        <v>12311</v>
      </c>
      <c r="C12841" t="s">
        <v>24151</v>
      </c>
      <c r="D12841" t="s">
        <v>43934</v>
      </c>
      <c r="E12841" t="b">
        <v>0</v>
      </c>
      <c r="F12841" t="s">
        <v>11610</v>
      </c>
      <c r="L12841">
        <v>0</v>
      </c>
      <c r="M12841">
        <v>0</v>
      </c>
      <c r="N12841">
        <v>0</v>
      </c>
    </row>
    <row r="12842" spans="1:15">
      <c r="A12842" t="s">
        <v>43935</v>
      </c>
      <c r="B12842" t="s">
        <v>11637</v>
      </c>
      <c r="C12842" t="s">
        <v>12386</v>
      </c>
      <c r="D12842" t="s">
        <v>43936</v>
      </c>
      <c r="E12842" t="b">
        <v>0</v>
      </c>
      <c r="F12842" t="s">
        <v>11610</v>
      </c>
      <c r="L12842">
        <v>0</v>
      </c>
      <c r="M12842">
        <v>0</v>
      </c>
      <c r="N12842">
        <v>0</v>
      </c>
    </row>
    <row r="12843" spans="1:15">
      <c r="A12843" t="s">
        <v>43937</v>
      </c>
      <c r="B12843" t="s">
        <v>367</v>
      </c>
      <c r="C12843" t="s">
        <v>43938</v>
      </c>
      <c r="D12843" t="s">
        <v>43939</v>
      </c>
      <c r="E12843" t="b">
        <v>0</v>
      </c>
      <c r="F12843" t="s">
        <v>11610</v>
      </c>
      <c r="L12843">
        <v>0</v>
      </c>
      <c r="M12843">
        <v>0</v>
      </c>
      <c r="N12843">
        <v>0</v>
      </c>
    </row>
    <row r="12844" spans="1:15">
      <c r="A12844" t="s">
        <v>43940</v>
      </c>
      <c r="B12844" t="s">
        <v>11615</v>
      </c>
      <c r="C12844" t="s">
        <v>13807</v>
      </c>
      <c r="D12844" t="s">
        <v>43941</v>
      </c>
      <c r="E12844" t="b">
        <v>0</v>
      </c>
      <c r="F12844" t="s">
        <v>11610</v>
      </c>
      <c r="L12844">
        <v>0</v>
      </c>
      <c r="M12844">
        <v>0</v>
      </c>
      <c r="N12844">
        <v>0</v>
      </c>
    </row>
    <row r="12845" spans="1:15">
      <c r="A12845" t="s">
        <v>43942</v>
      </c>
      <c r="B12845" t="s">
        <v>11637</v>
      </c>
      <c r="C12845" t="s">
        <v>14602</v>
      </c>
      <c r="D12845" t="s">
        <v>43943</v>
      </c>
      <c r="E12845" t="b">
        <v>0</v>
      </c>
      <c r="F12845" t="s">
        <v>11624</v>
      </c>
      <c r="G12845">
        <v>41.117400000000004</v>
      </c>
      <c r="H12845">
        <v>22.3782</v>
      </c>
      <c r="I12845" t="s">
        <v>43944</v>
      </c>
      <c r="L12845">
        <v>0</v>
      </c>
      <c r="M12845">
        <v>0</v>
      </c>
      <c r="N12845">
        <v>0</v>
      </c>
      <c r="O12845" t="s">
        <v>43945</v>
      </c>
    </row>
    <row r="12846" spans="1:15">
      <c r="A12846" t="s">
        <v>43946</v>
      </c>
      <c r="B12846" t="s">
        <v>11637</v>
      </c>
      <c r="C12846" t="s">
        <v>12098</v>
      </c>
      <c r="D12846" t="s">
        <v>43947</v>
      </c>
      <c r="E12846" t="b">
        <v>0</v>
      </c>
      <c r="F12846" t="s">
        <v>11610</v>
      </c>
      <c r="L12846">
        <v>0</v>
      </c>
      <c r="M12846">
        <v>0</v>
      </c>
      <c r="N12846">
        <v>0</v>
      </c>
    </row>
    <row r="12847" spans="1:15">
      <c r="A12847" t="s">
        <v>43948</v>
      </c>
      <c r="B12847" t="s">
        <v>367</v>
      </c>
      <c r="C12847" t="s">
        <v>16411</v>
      </c>
      <c r="D12847" t="s">
        <v>43949</v>
      </c>
      <c r="E12847" t="b">
        <v>0</v>
      </c>
      <c r="F12847" t="s">
        <v>11610</v>
      </c>
      <c r="L12847">
        <v>0</v>
      </c>
      <c r="M12847">
        <v>0</v>
      </c>
      <c r="N12847">
        <v>0</v>
      </c>
    </row>
    <row r="12848" spans="1:15">
      <c r="A12848" t="s">
        <v>43950</v>
      </c>
      <c r="B12848" t="s">
        <v>13360</v>
      </c>
      <c r="C12848" t="s">
        <v>13360</v>
      </c>
      <c r="D12848" t="s">
        <v>43951</v>
      </c>
      <c r="E12848" t="b">
        <v>0</v>
      </c>
      <c r="F12848" t="s">
        <v>11624</v>
      </c>
      <c r="L12848">
        <v>0</v>
      </c>
      <c r="M12848">
        <v>0</v>
      </c>
      <c r="N12848">
        <v>0</v>
      </c>
      <c r="O12848" t="s">
        <v>11944</v>
      </c>
    </row>
    <row r="12849" spans="1:15">
      <c r="A12849" t="s">
        <v>43952</v>
      </c>
      <c r="B12849" t="s">
        <v>11705</v>
      </c>
      <c r="C12849" t="s">
        <v>43953</v>
      </c>
      <c r="D12849" t="s">
        <v>43954</v>
      </c>
      <c r="E12849" t="b">
        <v>0</v>
      </c>
      <c r="F12849" t="s">
        <v>11624</v>
      </c>
      <c r="G12849">
        <v>-3.7092700000000001</v>
      </c>
      <c r="H12849">
        <v>142.49799999999999</v>
      </c>
      <c r="I12849" t="s">
        <v>43955</v>
      </c>
      <c r="L12849">
        <v>0</v>
      </c>
      <c r="M12849">
        <v>0</v>
      </c>
      <c r="N12849">
        <v>0</v>
      </c>
      <c r="O12849" t="s">
        <v>11660</v>
      </c>
    </row>
    <row r="12850" spans="1:15">
      <c r="A12850" t="s">
        <v>43953</v>
      </c>
      <c r="B12850" t="s">
        <v>11705</v>
      </c>
      <c r="C12850" t="s">
        <v>43543</v>
      </c>
      <c r="D12850" t="s">
        <v>43956</v>
      </c>
      <c r="E12850" t="b">
        <v>0</v>
      </c>
      <c r="F12850" t="s">
        <v>11622</v>
      </c>
      <c r="L12850">
        <v>0</v>
      </c>
      <c r="M12850">
        <v>2</v>
      </c>
      <c r="N12850">
        <v>0</v>
      </c>
    </row>
    <row r="12851" spans="1:15">
      <c r="A12851" t="s">
        <v>43957</v>
      </c>
      <c r="B12851" t="s">
        <v>11981</v>
      </c>
      <c r="C12851" t="s">
        <v>11982</v>
      </c>
      <c r="D12851" t="s">
        <v>43958</v>
      </c>
      <c r="E12851" t="b">
        <v>0</v>
      </c>
      <c r="F12851" t="s">
        <v>11624</v>
      </c>
      <c r="G12851">
        <v>-3.6986189999999999</v>
      </c>
      <c r="H12851">
        <v>142.50155899999999</v>
      </c>
      <c r="L12851">
        <v>0</v>
      </c>
      <c r="M12851">
        <v>0</v>
      </c>
      <c r="N12851">
        <v>0</v>
      </c>
      <c r="O12851" t="s">
        <v>11660</v>
      </c>
    </row>
    <row r="12852" spans="1:15">
      <c r="A12852" t="s">
        <v>43959</v>
      </c>
      <c r="B12852" t="s">
        <v>11894</v>
      </c>
      <c r="C12852" t="s">
        <v>43960</v>
      </c>
      <c r="D12852" t="s">
        <v>43961</v>
      </c>
      <c r="E12852" t="b">
        <v>0</v>
      </c>
      <c r="F12852" t="s">
        <v>11624</v>
      </c>
      <c r="G12852">
        <v>-12.5364</v>
      </c>
      <c r="H12852">
        <v>-53.521000000000001</v>
      </c>
      <c r="I12852" t="s">
        <v>43962</v>
      </c>
      <c r="L12852">
        <v>0</v>
      </c>
      <c r="M12852">
        <v>0</v>
      </c>
      <c r="N12852">
        <v>0</v>
      </c>
      <c r="O12852" t="s">
        <v>11969</v>
      </c>
    </row>
    <row r="12853" spans="1:15">
      <c r="A12853" t="s">
        <v>26438</v>
      </c>
      <c r="B12853" t="s">
        <v>11607</v>
      </c>
      <c r="C12853" t="s">
        <v>17416</v>
      </c>
      <c r="D12853" t="s">
        <v>43963</v>
      </c>
      <c r="E12853" t="b">
        <v>0</v>
      </c>
      <c r="F12853" t="s">
        <v>11624</v>
      </c>
      <c r="G12853">
        <v>21.4268</v>
      </c>
      <c r="H12853">
        <v>51.151200000000003</v>
      </c>
      <c r="I12853" t="s">
        <v>43964</v>
      </c>
      <c r="L12853">
        <v>0</v>
      </c>
      <c r="M12853">
        <v>0</v>
      </c>
      <c r="N12853">
        <v>3</v>
      </c>
      <c r="O12853" t="s">
        <v>43965</v>
      </c>
    </row>
    <row r="12854" spans="1:15">
      <c r="A12854" t="s">
        <v>43966</v>
      </c>
      <c r="B12854" t="s">
        <v>11637</v>
      </c>
      <c r="C12854" t="s">
        <v>14469</v>
      </c>
      <c r="D12854" t="s">
        <v>43967</v>
      </c>
      <c r="E12854" t="b">
        <v>0</v>
      </c>
      <c r="F12854" t="s">
        <v>11610</v>
      </c>
      <c r="L12854">
        <v>0</v>
      </c>
      <c r="M12854">
        <v>0</v>
      </c>
      <c r="N12854">
        <v>0</v>
      </c>
    </row>
    <row r="12855" spans="1:15">
      <c r="A12855" t="s">
        <v>43968</v>
      </c>
      <c r="B12855" t="s">
        <v>11839</v>
      </c>
      <c r="C12855" t="s">
        <v>33908</v>
      </c>
      <c r="D12855" t="s">
        <v>43969</v>
      </c>
      <c r="E12855" t="b">
        <v>0</v>
      </c>
      <c r="F12855" t="s">
        <v>11610</v>
      </c>
      <c r="L12855">
        <v>0</v>
      </c>
      <c r="M12855">
        <v>0</v>
      </c>
      <c r="N12855">
        <v>0</v>
      </c>
    </row>
    <row r="12856" spans="1:15">
      <c r="A12856" t="s">
        <v>43970</v>
      </c>
      <c r="B12856" t="s">
        <v>5126</v>
      </c>
      <c r="C12856" t="s">
        <v>17928</v>
      </c>
      <c r="D12856" t="s">
        <v>43971</v>
      </c>
      <c r="E12856" t="b">
        <v>0</v>
      </c>
      <c r="F12856" t="s">
        <v>11610</v>
      </c>
      <c r="L12856">
        <v>0</v>
      </c>
      <c r="M12856">
        <v>0</v>
      </c>
      <c r="N12856">
        <v>0</v>
      </c>
    </row>
    <row r="12857" spans="1:15">
      <c r="A12857" t="s">
        <v>43972</v>
      </c>
      <c r="B12857" t="s">
        <v>12697</v>
      </c>
      <c r="C12857" t="s">
        <v>14175</v>
      </c>
      <c r="D12857" t="s">
        <v>43973</v>
      </c>
      <c r="E12857" t="b">
        <v>0</v>
      </c>
      <c r="F12857" t="s">
        <v>11610</v>
      </c>
      <c r="L12857">
        <v>0</v>
      </c>
      <c r="M12857">
        <v>0</v>
      </c>
      <c r="N12857">
        <v>0</v>
      </c>
    </row>
    <row r="12858" spans="1:15">
      <c r="A12858" t="s">
        <v>43974</v>
      </c>
      <c r="B12858" t="s">
        <v>11637</v>
      </c>
      <c r="C12858" t="s">
        <v>13916</v>
      </c>
      <c r="D12858" t="s">
        <v>43975</v>
      </c>
      <c r="E12858" t="b">
        <v>0</v>
      </c>
      <c r="F12858" t="s">
        <v>11610</v>
      </c>
      <c r="L12858">
        <v>0</v>
      </c>
      <c r="M12858">
        <v>0</v>
      </c>
      <c r="N12858">
        <v>3</v>
      </c>
    </row>
    <row r="12859" spans="1:15">
      <c r="A12859" t="s">
        <v>43976</v>
      </c>
      <c r="B12859" t="s">
        <v>11644</v>
      </c>
      <c r="C12859" t="s">
        <v>2166</v>
      </c>
      <c r="D12859" t="s">
        <v>2165</v>
      </c>
      <c r="E12859" t="b">
        <v>0</v>
      </c>
      <c r="F12859" t="s">
        <v>11610</v>
      </c>
      <c r="L12859">
        <v>0</v>
      </c>
      <c r="M12859">
        <v>0</v>
      </c>
      <c r="N12859">
        <v>0</v>
      </c>
    </row>
    <row r="12860" spans="1:15">
      <c r="A12860" t="s">
        <v>43977</v>
      </c>
      <c r="B12860" t="s">
        <v>11705</v>
      </c>
      <c r="C12860" t="s">
        <v>28222</v>
      </c>
      <c r="D12860" t="s">
        <v>43978</v>
      </c>
      <c r="E12860" t="b">
        <v>0</v>
      </c>
      <c r="F12860" t="s">
        <v>11610</v>
      </c>
      <c r="L12860">
        <v>0</v>
      </c>
      <c r="M12860">
        <v>0</v>
      </c>
      <c r="N12860">
        <v>0</v>
      </c>
    </row>
    <row r="12861" spans="1:15">
      <c r="A12861" t="s">
        <v>43979</v>
      </c>
      <c r="B12861" t="s">
        <v>11729</v>
      </c>
      <c r="C12861" t="s">
        <v>41903</v>
      </c>
      <c r="D12861" t="s">
        <v>43980</v>
      </c>
      <c r="E12861" t="b">
        <v>0</v>
      </c>
      <c r="F12861" t="s">
        <v>11610</v>
      </c>
      <c r="L12861">
        <v>0</v>
      </c>
      <c r="M12861">
        <v>0</v>
      </c>
      <c r="N12861">
        <v>0</v>
      </c>
    </row>
    <row r="12862" spans="1:15">
      <c r="A12862" t="s">
        <v>7972</v>
      </c>
      <c r="B12862" t="s">
        <v>367</v>
      </c>
      <c r="C12862" t="s">
        <v>38262</v>
      </c>
      <c r="D12862" t="s">
        <v>7971</v>
      </c>
      <c r="E12862" t="b">
        <v>0</v>
      </c>
      <c r="F12862" t="s">
        <v>11624</v>
      </c>
      <c r="G12862">
        <v>-8.2385300000000008</v>
      </c>
      <c r="H12862">
        <v>146.58600000000001</v>
      </c>
      <c r="I12862" t="s">
        <v>7973</v>
      </c>
      <c r="L12862">
        <v>0</v>
      </c>
      <c r="M12862">
        <v>0</v>
      </c>
      <c r="N12862">
        <v>4</v>
      </c>
      <c r="O12862" t="s">
        <v>11660</v>
      </c>
    </row>
    <row r="12863" spans="1:15">
      <c r="A12863" t="s">
        <v>32343</v>
      </c>
      <c r="B12863" t="s">
        <v>13450</v>
      </c>
      <c r="C12863" t="s">
        <v>13450</v>
      </c>
      <c r="D12863" t="s">
        <v>43981</v>
      </c>
      <c r="E12863" t="b">
        <v>0</v>
      </c>
      <c r="F12863" t="s">
        <v>11622</v>
      </c>
      <c r="L12863">
        <v>0</v>
      </c>
      <c r="M12863">
        <v>2</v>
      </c>
      <c r="N12863">
        <v>0</v>
      </c>
    </row>
    <row r="12864" spans="1:15">
      <c r="A12864" t="s">
        <v>26272</v>
      </c>
      <c r="B12864" t="s">
        <v>11615</v>
      </c>
      <c r="C12864" t="s">
        <v>11615</v>
      </c>
      <c r="D12864" t="s">
        <v>43982</v>
      </c>
      <c r="E12864" t="b">
        <v>0</v>
      </c>
      <c r="F12864" t="s">
        <v>11622</v>
      </c>
      <c r="L12864">
        <v>2</v>
      </c>
      <c r="M12864">
        <v>8</v>
      </c>
      <c r="N12864">
        <v>12</v>
      </c>
    </row>
    <row r="12865" spans="1:15">
      <c r="A12865" t="s">
        <v>43983</v>
      </c>
      <c r="B12865" t="s">
        <v>18921</v>
      </c>
      <c r="C12865" t="s">
        <v>18921</v>
      </c>
      <c r="D12865" t="s">
        <v>43984</v>
      </c>
      <c r="E12865" t="b">
        <v>0</v>
      </c>
      <c r="F12865" t="s">
        <v>11624</v>
      </c>
      <c r="G12865">
        <v>-4.4701700000000004</v>
      </c>
      <c r="H12865">
        <v>143.75</v>
      </c>
      <c r="I12865" t="s">
        <v>43985</v>
      </c>
      <c r="L12865">
        <v>0</v>
      </c>
      <c r="M12865">
        <v>0</v>
      </c>
      <c r="N12865">
        <v>0</v>
      </c>
      <c r="O12865" t="s">
        <v>11660</v>
      </c>
    </row>
    <row r="12866" spans="1:15">
      <c r="A12866" t="s">
        <v>43986</v>
      </c>
      <c r="B12866" t="s">
        <v>367</v>
      </c>
      <c r="C12866" t="s">
        <v>14733</v>
      </c>
      <c r="D12866" t="s">
        <v>43987</v>
      </c>
      <c r="E12866" t="b">
        <v>0</v>
      </c>
      <c r="F12866" t="s">
        <v>11610</v>
      </c>
      <c r="L12866">
        <v>0</v>
      </c>
      <c r="M12866">
        <v>0</v>
      </c>
      <c r="N12866">
        <v>0</v>
      </c>
    </row>
    <row r="12867" spans="1:15">
      <c r="A12867" t="s">
        <v>43988</v>
      </c>
      <c r="B12867" t="s">
        <v>29767</v>
      </c>
      <c r="C12867" t="s">
        <v>43989</v>
      </c>
      <c r="D12867" t="s">
        <v>43990</v>
      </c>
      <c r="E12867" t="b">
        <v>0</v>
      </c>
      <c r="F12867" t="s">
        <v>11624</v>
      </c>
      <c r="G12867">
        <v>-2.52264</v>
      </c>
      <c r="H12867">
        <v>140.32599999999999</v>
      </c>
      <c r="I12867" t="s">
        <v>43991</v>
      </c>
      <c r="L12867">
        <v>0</v>
      </c>
      <c r="M12867">
        <v>0</v>
      </c>
      <c r="N12867">
        <v>0</v>
      </c>
      <c r="O12867" t="s">
        <v>11768</v>
      </c>
    </row>
    <row r="12868" spans="1:15">
      <c r="A12868" t="s">
        <v>43992</v>
      </c>
      <c r="B12868" t="s">
        <v>6742</v>
      </c>
      <c r="C12868" t="s">
        <v>27171</v>
      </c>
      <c r="D12868" t="s">
        <v>43993</v>
      </c>
      <c r="E12868" t="b">
        <v>0</v>
      </c>
      <c r="F12868" t="s">
        <v>11610</v>
      </c>
      <c r="L12868">
        <v>0</v>
      </c>
      <c r="M12868">
        <v>0</v>
      </c>
      <c r="N12868">
        <v>0</v>
      </c>
    </row>
    <row r="12869" spans="1:15">
      <c r="A12869" t="s">
        <v>21620</v>
      </c>
      <c r="B12869" t="s">
        <v>367</v>
      </c>
      <c r="C12869" t="s">
        <v>34252</v>
      </c>
      <c r="D12869" t="s">
        <v>43994</v>
      </c>
      <c r="E12869" t="b">
        <v>0</v>
      </c>
      <c r="F12869" t="s">
        <v>11622</v>
      </c>
      <c r="L12869">
        <v>1</v>
      </c>
      <c r="M12869">
        <v>4</v>
      </c>
      <c r="N12869">
        <v>14</v>
      </c>
    </row>
    <row r="12870" spans="1:15">
      <c r="A12870" t="s">
        <v>20256</v>
      </c>
      <c r="B12870" t="s">
        <v>6742</v>
      </c>
      <c r="C12870" t="s">
        <v>6742</v>
      </c>
      <c r="D12870" t="s">
        <v>43995</v>
      </c>
      <c r="E12870" t="b">
        <v>0</v>
      </c>
      <c r="F12870" t="s">
        <v>11622</v>
      </c>
      <c r="L12870">
        <v>5</v>
      </c>
      <c r="M12870">
        <v>10</v>
      </c>
      <c r="N12870">
        <v>28</v>
      </c>
    </row>
    <row r="12871" spans="1:15">
      <c r="A12871" t="s">
        <v>43996</v>
      </c>
      <c r="B12871" t="s">
        <v>11844</v>
      </c>
      <c r="C12871" t="s">
        <v>43997</v>
      </c>
      <c r="D12871" t="s">
        <v>43998</v>
      </c>
      <c r="E12871" t="b">
        <v>0</v>
      </c>
      <c r="F12871" t="s">
        <v>11610</v>
      </c>
      <c r="L12871">
        <v>0</v>
      </c>
      <c r="M12871">
        <v>0</v>
      </c>
      <c r="N12871">
        <v>0</v>
      </c>
    </row>
    <row r="12872" spans="1:15">
      <c r="A12872" t="s">
        <v>43999</v>
      </c>
      <c r="B12872" t="s">
        <v>6742</v>
      </c>
      <c r="C12872" t="s">
        <v>1745</v>
      </c>
      <c r="D12872" t="s">
        <v>44000</v>
      </c>
      <c r="E12872" t="b">
        <v>0</v>
      </c>
      <c r="F12872" t="s">
        <v>11610</v>
      </c>
      <c r="L12872">
        <v>0</v>
      </c>
      <c r="M12872">
        <v>0</v>
      </c>
      <c r="N12872">
        <v>0</v>
      </c>
    </row>
    <row r="12873" spans="1:15">
      <c r="A12873" t="s">
        <v>44001</v>
      </c>
      <c r="B12873" t="s">
        <v>11729</v>
      </c>
      <c r="C12873" t="s">
        <v>30051</v>
      </c>
      <c r="D12873" t="s">
        <v>44002</v>
      </c>
      <c r="E12873" t="b">
        <v>0</v>
      </c>
      <c r="F12873" t="s">
        <v>11610</v>
      </c>
      <c r="L12873">
        <v>0</v>
      </c>
      <c r="M12873">
        <v>0</v>
      </c>
      <c r="N12873">
        <v>0</v>
      </c>
    </row>
    <row r="12874" spans="1:15">
      <c r="A12874" t="s">
        <v>27855</v>
      </c>
      <c r="B12874" t="s">
        <v>367</v>
      </c>
      <c r="C12874" t="s">
        <v>28174</v>
      </c>
      <c r="D12874" t="s">
        <v>44003</v>
      </c>
      <c r="E12874" t="b">
        <v>0</v>
      </c>
      <c r="F12874" t="s">
        <v>11624</v>
      </c>
      <c r="G12874">
        <v>-17.684100000000001</v>
      </c>
      <c r="H12874">
        <v>168.27500000000001</v>
      </c>
      <c r="I12874" t="s">
        <v>44004</v>
      </c>
      <c r="L12874">
        <v>0</v>
      </c>
      <c r="M12874">
        <v>0</v>
      </c>
      <c r="N12874">
        <v>2</v>
      </c>
      <c r="O12874" t="s">
        <v>12719</v>
      </c>
    </row>
    <row r="12875" spans="1:15">
      <c r="A12875" t="s">
        <v>44005</v>
      </c>
      <c r="B12875" t="s">
        <v>367</v>
      </c>
      <c r="C12875" t="s">
        <v>27855</v>
      </c>
      <c r="D12875" t="s">
        <v>44006</v>
      </c>
      <c r="E12875" t="b">
        <v>0</v>
      </c>
      <c r="F12875" t="s">
        <v>11610</v>
      </c>
      <c r="L12875">
        <v>0</v>
      </c>
      <c r="M12875">
        <v>0</v>
      </c>
      <c r="N12875">
        <v>0</v>
      </c>
    </row>
    <row r="12876" spans="1:15">
      <c r="A12876" t="s">
        <v>28174</v>
      </c>
      <c r="B12876" t="s">
        <v>367</v>
      </c>
      <c r="C12876" t="s">
        <v>27090</v>
      </c>
      <c r="D12876" t="s">
        <v>44007</v>
      </c>
      <c r="E12876" t="b">
        <v>0</v>
      </c>
      <c r="F12876" t="s">
        <v>11622</v>
      </c>
      <c r="L12876">
        <v>0</v>
      </c>
      <c r="M12876">
        <v>2</v>
      </c>
      <c r="N12876">
        <v>4</v>
      </c>
    </row>
    <row r="12877" spans="1:15">
      <c r="A12877" t="s">
        <v>44008</v>
      </c>
      <c r="B12877" t="s">
        <v>331</v>
      </c>
      <c r="C12877" t="s">
        <v>44009</v>
      </c>
      <c r="D12877" t="s">
        <v>44010</v>
      </c>
      <c r="E12877" t="b">
        <v>0</v>
      </c>
      <c r="F12877" t="s">
        <v>11610</v>
      </c>
      <c r="L12877">
        <v>0</v>
      </c>
      <c r="M12877">
        <v>0</v>
      </c>
      <c r="N12877">
        <v>0</v>
      </c>
    </row>
    <row r="12878" spans="1:15">
      <c r="A12878" t="s">
        <v>44011</v>
      </c>
      <c r="B12878" t="s">
        <v>367</v>
      </c>
      <c r="C12878" t="s">
        <v>14735</v>
      </c>
      <c r="D12878" t="s">
        <v>44012</v>
      </c>
      <c r="E12878" t="b">
        <v>0</v>
      </c>
      <c r="F12878" t="s">
        <v>11610</v>
      </c>
      <c r="L12878">
        <v>0</v>
      </c>
      <c r="M12878">
        <v>0</v>
      </c>
      <c r="N12878">
        <v>0</v>
      </c>
    </row>
    <row r="12879" spans="1:15">
      <c r="A12879" t="s">
        <v>44013</v>
      </c>
      <c r="B12879" t="s">
        <v>367</v>
      </c>
      <c r="C12879" t="s">
        <v>40787</v>
      </c>
      <c r="D12879" t="s">
        <v>44014</v>
      </c>
      <c r="E12879" t="b">
        <v>0</v>
      </c>
      <c r="F12879" t="s">
        <v>11610</v>
      </c>
      <c r="L12879">
        <v>0</v>
      </c>
      <c r="M12879">
        <v>0</v>
      </c>
      <c r="N12879">
        <v>0</v>
      </c>
    </row>
    <row r="12880" spans="1:15">
      <c r="A12880" t="s">
        <v>44015</v>
      </c>
      <c r="B12880" t="s">
        <v>12311</v>
      </c>
      <c r="C12880" t="s">
        <v>22377</v>
      </c>
      <c r="D12880" t="s">
        <v>44016</v>
      </c>
      <c r="E12880" t="b">
        <v>0</v>
      </c>
      <c r="F12880" t="s">
        <v>11610</v>
      </c>
      <c r="L12880">
        <v>0</v>
      </c>
      <c r="M12880">
        <v>0</v>
      </c>
      <c r="N12880">
        <v>0</v>
      </c>
    </row>
    <row r="12881" spans="1:15">
      <c r="A12881" t="s">
        <v>44017</v>
      </c>
      <c r="B12881" t="s">
        <v>367</v>
      </c>
      <c r="C12881" t="s">
        <v>42360</v>
      </c>
      <c r="D12881" t="s">
        <v>44018</v>
      </c>
      <c r="E12881" t="b">
        <v>0</v>
      </c>
      <c r="F12881" t="s">
        <v>11610</v>
      </c>
      <c r="L12881">
        <v>0</v>
      </c>
      <c r="M12881">
        <v>0</v>
      </c>
      <c r="N12881">
        <v>0</v>
      </c>
    </row>
    <row r="12882" spans="1:15">
      <c r="A12882" t="s">
        <v>44019</v>
      </c>
      <c r="B12882" t="s">
        <v>6742</v>
      </c>
      <c r="C12882" t="s">
        <v>17036</v>
      </c>
      <c r="D12882" t="s">
        <v>44020</v>
      </c>
      <c r="E12882" t="b">
        <v>0</v>
      </c>
      <c r="F12882" t="s">
        <v>11610</v>
      </c>
      <c r="L12882">
        <v>0</v>
      </c>
      <c r="M12882">
        <v>0</v>
      </c>
      <c r="N12882">
        <v>0</v>
      </c>
    </row>
    <row r="12883" spans="1:15">
      <c r="A12883" t="s">
        <v>44021</v>
      </c>
      <c r="B12883" t="s">
        <v>13571</v>
      </c>
      <c r="C12883" t="s">
        <v>21507</v>
      </c>
      <c r="D12883" t="s">
        <v>44022</v>
      </c>
      <c r="E12883" t="b">
        <v>0</v>
      </c>
      <c r="F12883" t="s">
        <v>11624</v>
      </c>
      <c r="G12883">
        <v>6.5391599999999999</v>
      </c>
      <c r="H12883">
        <v>36.811</v>
      </c>
      <c r="I12883" t="s">
        <v>44023</v>
      </c>
      <c r="L12883">
        <v>0</v>
      </c>
      <c r="M12883">
        <v>0</v>
      </c>
      <c r="N12883">
        <v>0</v>
      </c>
      <c r="O12883" t="s">
        <v>11625</v>
      </c>
    </row>
    <row r="12884" spans="1:15">
      <c r="A12884" t="s">
        <v>44024</v>
      </c>
      <c r="B12884" t="s">
        <v>367</v>
      </c>
      <c r="C12884" t="s">
        <v>5574</v>
      </c>
      <c r="D12884" t="s">
        <v>44025</v>
      </c>
      <c r="E12884" t="b">
        <v>0</v>
      </c>
      <c r="F12884" t="s">
        <v>11610</v>
      </c>
      <c r="L12884">
        <v>0</v>
      </c>
      <c r="M12884">
        <v>0</v>
      </c>
      <c r="N12884">
        <v>0</v>
      </c>
    </row>
    <row r="12885" spans="1:15">
      <c r="A12885" t="s">
        <v>376</v>
      </c>
      <c r="B12885" t="s">
        <v>11615</v>
      </c>
      <c r="C12885" t="s">
        <v>19760</v>
      </c>
      <c r="D12885" t="s">
        <v>375</v>
      </c>
      <c r="E12885" t="b">
        <v>0</v>
      </c>
      <c r="F12885" t="s">
        <v>11624</v>
      </c>
      <c r="G12885">
        <v>-5.6264399999999997</v>
      </c>
      <c r="H12885">
        <v>144.34</v>
      </c>
      <c r="I12885" t="s">
        <v>377</v>
      </c>
      <c r="L12885">
        <v>0</v>
      </c>
      <c r="M12885">
        <v>0</v>
      </c>
      <c r="N12885">
        <v>1</v>
      </c>
      <c r="O12885" t="s">
        <v>11660</v>
      </c>
    </row>
    <row r="12886" spans="1:15">
      <c r="A12886" t="s">
        <v>19760</v>
      </c>
      <c r="B12886" t="s">
        <v>11615</v>
      </c>
      <c r="C12886" t="s">
        <v>15115</v>
      </c>
      <c r="D12886" t="s">
        <v>44026</v>
      </c>
      <c r="E12886" t="b">
        <v>0</v>
      </c>
      <c r="F12886" t="s">
        <v>11622</v>
      </c>
      <c r="L12886">
        <v>0</v>
      </c>
      <c r="M12886">
        <v>2</v>
      </c>
      <c r="N12886">
        <v>3</v>
      </c>
    </row>
    <row r="12887" spans="1:15">
      <c r="A12887" t="s">
        <v>44027</v>
      </c>
      <c r="B12887" t="s">
        <v>367</v>
      </c>
      <c r="C12887" t="s">
        <v>14164</v>
      </c>
      <c r="D12887" t="s">
        <v>44028</v>
      </c>
      <c r="E12887" t="b">
        <v>0</v>
      </c>
      <c r="F12887" t="s">
        <v>11610</v>
      </c>
      <c r="L12887">
        <v>0</v>
      </c>
      <c r="M12887">
        <v>0</v>
      </c>
      <c r="N12887">
        <v>0</v>
      </c>
    </row>
    <row r="12888" spans="1:15">
      <c r="A12888" t="s">
        <v>44029</v>
      </c>
      <c r="B12888" t="s">
        <v>11729</v>
      </c>
      <c r="C12888" t="s">
        <v>15248</v>
      </c>
      <c r="D12888" t="s">
        <v>44030</v>
      </c>
      <c r="E12888" t="b">
        <v>0</v>
      </c>
      <c r="F12888" t="s">
        <v>11610</v>
      </c>
      <c r="L12888">
        <v>0</v>
      </c>
      <c r="M12888">
        <v>0</v>
      </c>
      <c r="N12888">
        <v>0</v>
      </c>
    </row>
    <row r="12889" spans="1:15">
      <c r="A12889" t="s">
        <v>42614</v>
      </c>
      <c r="B12889" t="s">
        <v>11729</v>
      </c>
      <c r="C12889" t="s">
        <v>11729</v>
      </c>
      <c r="D12889" t="s">
        <v>44031</v>
      </c>
      <c r="E12889" t="b">
        <v>0</v>
      </c>
      <c r="F12889" t="s">
        <v>11622</v>
      </c>
      <c r="L12889">
        <v>3</v>
      </c>
      <c r="M12889">
        <v>8</v>
      </c>
      <c r="N12889">
        <v>15</v>
      </c>
    </row>
    <row r="12890" spans="1:15">
      <c r="A12890" t="s">
        <v>44032</v>
      </c>
      <c r="B12890" t="s">
        <v>11637</v>
      </c>
      <c r="C12890" t="s">
        <v>33955</v>
      </c>
      <c r="D12890" t="s">
        <v>44033</v>
      </c>
      <c r="E12890" t="b">
        <v>0</v>
      </c>
      <c r="F12890" t="s">
        <v>11624</v>
      </c>
      <c r="G12890">
        <v>24.853000000000002</v>
      </c>
      <c r="H12890">
        <v>67.007000000000005</v>
      </c>
      <c r="I12890" t="s">
        <v>44034</v>
      </c>
      <c r="L12890">
        <v>0</v>
      </c>
      <c r="M12890">
        <v>0</v>
      </c>
      <c r="N12890">
        <v>0</v>
      </c>
      <c r="O12890" t="s">
        <v>12172</v>
      </c>
    </row>
    <row r="12891" spans="1:15">
      <c r="A12891" t="s">
        <v>44035</v>
      </c>
      <c r="B12891" t="s">
        <v>17101</v>
      </c>
      <c r="C12891" t="s">
        <v>29565</v>
      </c>
      <c r="D12891" t="s">
        <v>44036</v>
      </c>
      <c r="E12891" t="b">
        <v>0</v>
      </c>
      <c r="F12891" t="s">
        <v>11610</v>
      </c>
      <c r="L12891">
        <v>0</v>
      </c>
      <c r="M12891">
        <v>0</v>
      </c>
      <c r="N12891">
        <v>0</v>
      </c>
    </row>
    <row r="12892" spans="1:15">
      <c r="A12892" t="s">
        <v>44037</v>
      </c>
      <c r="B12892" t="s">
        <v>6742</v>
      </c>
      <c r="C12892" t="s">
        <v>15375</v>
      </c>
      <c r="D12892" t="s">
        <v>44038</v>
      </c>
      <c r="E12892" t="b">
        <v>0</v>
      </c>
      <c r="F12892" t="s">
        <v>11624</v>
      </c>
      <c r="G12892">
        <v>6.0003399999999996</v>
      </c>
      <c r="H12892">
        <v>10.230700000000001</v>
      </c>
      <c r="I12892" t="s">
        <v>44039</v>
      </c>
      <c r="L12892">
        <v>0</v>
      </c>
      <c r="M12892">
        <v>0</v>
      </c>
      <c r="N12892">
        <v>2</v>
      </c>
      <c r="O12892" t="s">
        <v>11703</v>
      </c>
    </row>
    <row r="12893" spans="1:15">
      <c r="A12893" t="s">
        <v>44040</v>
      </c>
      <c r="B12893" t="s">
        <v>6742</v>
      </c>
      <c r="C12893" t="s">
        <v>44037</v>
      </c>
      <c r="D12893" t="s">
        <v>44041</v>
      </c>
      <c r="E12893" t="b">
        <v>0</v>
      </c>
      <c r="F12893" t="s">
        <v>11610</v>
      </c>
      <c r="L12893">
        <v>0</v>
      </c>
      <c r="M12893">
        <v>0</v>
      </c>
      <c r="N12893">
        <v>0</v>
      </c>
    </row>
    <row r="12894" spans="1:15">
      <c r="A12894" t="s">
        <v>40569</v>
      </c>
      <c r="B12894" t="s">
        <v>13276</v>
      </c>
      <c r="C12894" t="s">
        <v>37745</v>
      </c>
      <c r="D12894" t="s">
        <v>44042</v>
      </c>
      <c r="E12894" t="b">
        <v>0</v>
      </c>
      <c r="F12894" t="s">
        <v>11622</v>
      </c>
      <c r="L12894">
        <v>4</v>
      </c>
      <c r="M12894">
        <v>6</v>
      </c>
      <c r="N12894">
        <v>25</v>
      </c>
    </row>
    <row r="12895" spans="1:15">
      <c r="A12895" t="s">
        <v>16567</v>
      </c>
      <c r="B12895" t="s">
        <v>13276</v>
      </c>
      <c r="C12895" t="s">
        <v>40569</v>
      </c>
      <c r="D12895" t="s">
        <v>44043</v>
      </c>
      <c r="E12895" t="b">
        <v>0</v>
      </c>
      <c r="F12895" t="s">
        <v>11622</v>
      </c>
      <c r="L12895">
        <v>2</v>
      </c>
      <c r="M12895">
        <v>4</v>
      </c>
      <c r="N12895">
        <v>20</v>
      </c>
    </row>
    <row r="12896" spans="1:15">
      <c r="A12896" t="s">
        <v>40514</v>
      </c>
      <c r="B12896" t="s">
        <v>13276</v>
      </c>
      <c r="C12896" t="s">
        <v>16567</v>
      </c>
      <c r="D12896" t="s">
        <v>44044</v>
      </c>
      <c r="E12896" t="b">
        <v>0</v>
      </c>
      <c r="F12896" t="s">
        <v>11622</v>
      </c>
      <c r="L12896">
        <v>0</v>
      </c>
      <c r="M12896">
        <v>2</v>
      </c>
      <c r="N12896">
        <v>14</v>
      </c>
    </row>
    <row r="12897" spans="1:15">
      <c r="A12897" t="s">
        <v>4247</v>
      </c>
      <c r="B12897" t="s">
        <v>13276</v>
      </c>
      <c r="C12897" t="s">
        <v>40514</v>
      </c>
      <c r="D12897" t="s">
        <v>44045</v>
      </c>
      <c r="E12897" t="b">
        <v>0</v>
      </c>
      <c r="F12897" t="s">
        <v>11624</v>
      </c>
      <c r="G12897">
        <v>7.9093499999999999</v>
      </c>
      <c r="H12897">
        <v>-10.992599999999999</v>
      </c>
      <c r="I12897" t="s">
        <v>4249</v>
      </c>
      <c r="L12897">
        <v>0</v>
      </c>
      <c r="M12897">
        <v>0</v>
      </c>
      <c r="N12897">
        <v>4</v>
      </c>
      <c r="O12897" t="s">
        <v>16572</v>
      </c>
    </row>
    <row r="12898" spans="1:15">
      <c r="A12898" t="s">
        <v>44046</v>
      </c>
      <c r="B12898" t="s">
        <v>367</v>
      </c>
      <c r="C12898" t="s">
        <v>15907</v>
      </c>
      <c r="D12898" t="s">
        <v>44047</v>
      </c>
      <c r="E12898" t="b">
        <v>0</v>
      </c>
      <c r="F12898" t="s">
        <v>11624</v>
      </c>
      <c r="G12898">
        <v>0.98794000000000004</v>
      </c>
      <c r="H12898">
        <v>113.286</v>
      </c>
      <c r="I12898" t="s">
        <v>44048</v>
      </c>
      <c r="L12898">
        <v>0</v>
      </c>
      <c r="M12898">
        <v>0</v>
      </c>
      <c r="N12898">
        <v>0</v>
      </c>
      <c r="O12898" t="s">
        <v>11768</v>
      </c>
    </row>
    <row r="12899" spans="1:15">
      <c r="A12899" t="s">
        <v>44049</v>
      </c>
      <c r="B12899" t="s">
        <v>11705</v>
      </c>
      <c r="C12899" t="s">
        <v>38657</v>
      </c>
      <c r="D12899" t="s">
        <v>44050</v>
      </c>
      <c r="E12899" t="b">
        <v>0</v>
      </c>
      <c r="F12899" t="s">
        <v>11624</v>
      </c>
      <c r="G12899">
        <v>-3.6723300000000001</v>
      </c>
      <c r="H12899">
        <v>142.68299999999999</v>
      </c>
      <c r="I12899" t="s">
        <v>44051</v>
      </c>
      <c r="L12899">
        <v>0</v>
      </c>
      <c r="M12899">
        <v>0</v>
      </c>
      <c r="N12899">
        <v>0</v>
      </c>
      <c r="O12899" t="s">
        <v>11660</v>
      </c>
    </row>
    <row r="12900" spans="1:15">
      <c r="A12900" t="s">
        <v>44052</v>
      </c>
      <c r="B12900" t="s">
        <v>6742</v>
      </c>
      <c r="C12900" t="s">
        <v>44053</v>
      </c>
      <c r="D12900" t="s">
        <v>44054</v>
      </c>
      <c r="E12900" t="b">
        <v>0</v>
      </c>
      <c r="F12900" t="s">
        <v>11610</v>
      </c>
      <c r="L12900">
        <v>0</v>
      </c>
      <c r="M12900">
        <v>0</v>
      </c>
      <c r="N12900">
        <v>0</v>
      </c>
    </row>
    <row r="12901" spans="1:15">
      <c r="A12901" t="s">
        <v>44055</v>
      </c>
      <c r="B12901" t="s">
        <v>331</v>
      </c>
      <c r="C12901" t="s">
        <v>33498</v>
      </c>
      <c r="D12901" t="s">
        <v>44056</v>
      </c>
      <c r="E12901" t="b">
        <v>0</v>
      </c>
      <c r="F12901" t="s">
        <v>11610</v>
      </c>
      <c r="L12901">
        <v>0</v>
      </c>
      <c r="M12901">
        <v>0</v>
      </c>
      <c r="N12901">
        <v>0</v>
      </c>
    </row>
    <row r="12902" spans="1:15">
      <c r="A12902" t="s">
        <v>44057</v>
      </c>
      <c r="B12902" t="s">
        <v>11627</v>
      </c>
      <c r="C12902" t="s">
        <v>11627</v>
      </c>
      <c r="D12902" t="s">
        <v>44058</v>
      </c>
      <c r="E12902" t="b">
        <v>1</v>
      </c>
      <c r="F12902" t="s">
        <v>11624</v>
      </c>
      <c r="G12902">
        <v>4.5932000000000004</v>
      </c>
      <c r="H12902">
        <v>11.3947</v>
      </c>
      <c r="I12902" t="s">
        <v>44059</v>
      </c>
      <c r="L12902">
        <v>0</v>
      </c>
      <c r="M12902">
        <v>0</v>
      </c>
      <c r="N12902">
        <v>0</v>
      </c>
      <c r="O12902" t="s">
        <v>11703</v>
      </c>
    </row>
    <row r="12903" spans="1:15">
      <c r="A12903" t="s">
        <v>15823</v>
      </c>
      <c r="B12903" t="s">
        <v>6742</v>
      </c>
      <c r="C12903" t="s">
        <v>16434</v>
      </c>
      <c r="D12903" t="s">
        <v>44060</v>
      </c>
      <c r="E12903" t="b">
        <v>0</v>
      </c>
      <c r="F12903" t="s">
        <v>11624</v>
      </c>
      <c r="G12903">
        <v>5.7139899999999999</v>
      </c>
      <c r="H12903">
        <v>10.3377</v>
      </c>
      <c r="I12903" t="s">
        <v>44061</v>
      </c>
      <c r="L12903">
        <v>0</v>
      </c>
      <c r="M12903">
        <v>0</v>
      </c>
      <c r="N12903">
        <v>2</v>
      </c>
      <c r="O12903" t="s">
        <v>11703</v>
      </c>
    </row>
    <row r="12904" spans="1:15">
      <c r="A12904" t="s">
        <v>44062</v>
      </c>
      <c r="B12904" t="s">
        <v>6742</v>
      </c>
      <c r="C12904" t="s">
        <v>44063</v>
      </c>
      <c r="D12904" t="s">
        <v>44064</v>
      </c>
      <c r="E12904" t="b">
        <v>0</v>
      </c>
      <c r="F12904" t="s">
        <v>11610</v>
      </c>
      <c r="L12904">
        <v>0</v>
      </c>
      <c r="M12904">
        <v>0</v>
      </c>
      <c r="N12904">
        <v>0</v>
      </c>
    </row>
    <row r="12905" spans="1:15">
      <c r="A12905" t="s">
        <v>40792</v>
      </c>
      <c r="B12905" t="s">
        <v>367</v>
      </c>
      <c r="C12905" t="s">
        <v>17862</v>
      </c>
      <c r="D12905" t="s">
        <v>44065</v>
      </c>
      <c r="E12905" t="b">
        <v>0</v>
      </c>
      <c r="F12905" t="s">
        <v>11622</v>
      </c>
      <c r="L12905">
        <v>1</v>
      </c>
      <c r="M12905">
        <v>3</v>
      </c>
      <c r="N12905">
        <v>5</v>
      </c>
    </row>
    <row r="12906" spans="1:15">
      <c r="A12906" t="s">
        <v>20600</v>
      </c>
      <c r="B12906" t="s">
        <v>367</v>
      </c>
      <c r="C12906" t="s">
        <v>42361</v>
      </c>
      <c r="D12906" t="s">
        <v>44066</v>
      </c>
      <c r="E12906" t="b">
        <v>0</v>
      </c>
      <c r="F12906" t="s">
        <v>11624</v>
      </c>
      <c r="G12906">
        <v>-5.4703600000000003</v>
      </c>
      <c r="H12906">
        <v>151.37299999999999</v>
      </c>
      <c r="I12906" t="s">
        <v>44067</v>
      </c>
      <c r="L12906">
        <v>0</v>
      </c>
      <c r="M12906">
        <v>0</v>
      </c>
      <c r="N12906">
        <v>3</v>
      </c>
      <c r="O12906" t="s">
        <v>11660</v>
      </c>
    </row>
    <row r="12907" spans="1:15">
      <c r="A12907" t="s">
        <v>44068</v>
      </c>
      <c r="B12907" t="s">
        <v>367</v>
      </c>
      <c r="C12907" t="s">
        <v>16173</v>
      </c>
      <c r="D12907" t="s">
        <v>44069</v>
      </c>
      <c r="E12907" t="b">
        <v>0</v>
      </c>
      <c r="F12907" t="s">
        <v>11610</v>
      </c>
      <c r="L12907">
        <v>0</v>
      </c>
      <c r="M12907">
        <v>0</v>
      </c>
      <c r="N12907">
        <v>0</v>
      </c>
    </row>
    <row r="12908" spans="1:15">
      <c r="A12908" t="s">
        <v>44070</v>
      </c>
      <c r="B12908" t="s">
        <v>367</v>
      </c>
      <c r="C12908" t="s">
        <v>33063</v>
      </c>
      <c r="D12908" t="s">
        <v>44071</v>
      </c>
      <c r="E12908" t="b">
        <v>0</v>
      </c>
      <c r="F12908" t="s">
        <v>11610</v>
      </c>
      <c r="L12908">
        <v>0</v>
      </c>
      <c r="M12908">
        <v>0</v>
      </c>
      <c r="N12908">
        <v>0</v>
      </c>
    </row>
    <row r="12909" spans="1:15">
      <c r="A12909" t="s">
        <v>44072</v>
      </c>
      <c r="B12909" t="s">
        <v>367</v>
      </c>
      <c r="C12909" t="s">
        <v>17635</v>
      </c>
      <c r="D12909" t="s">
        <v>44073</v>
      </c>
      <c r="E12909" t="b">
        <v>0</v>
      </c>
      <c r="F12909" t="s">
        <v>11610</v>
      </c>
      <c r="L12909">
        <v>0</v>
      </c>
      <c r="M12909">
        <v>0</v>
      </c>
      <c r="N12909">
        <v>0</v>
      </c>
    </row>
    <row r="12910" spans="1:15">
      <c r="A12910" t="s">
        <v>44074</v>
      </c>
      <c r="B12910" t="s">
        <v>13877</v>
      </c>
      <c r="C12910" t="s">
        <v>24522</v>
      </c>
      <c r="D12910" t="s">
        <v>44075</v>
      </c>
      <c r="E12910" t="b">
        <v>0</v>
      </c>
      <c r="F12910" t="s">
        <v>11610</v>
      </c>
      <c r="L12910">
        <v>0</v>
      </c>
      <c r="M12910">
        <v>0</v>
      </c>
      <c r="N12910">
        <v>0</v>
      </c>
    </row>
    <row r="12911" spans="1:15">
      <c r="A12911" t="s">
        <v>44076</v>
      </c>
      <c r="B12911" t="s">
        <v>17101</v>
      </c>
      <c r="C12911" t="s">
        <v>29565</v>
      </c>
      <c r="D12911" t="s">
        <v>44077</v>
      </c>
      <c r="E12911" t="b">
        <v>0</v>
      </c>
      <c r="F12911" t="s">
        <v>11610</v>
      </c>
      <c r="L12911">
        <v>0</v>
      </c>
      <c r="M12911">
        <v>0</v>
      </c>
      <c r="N12911">
        <v>0</v>
      </c>
    </row>
    <row r="12912" spans="1:15">
      <c r="A12912" t="s">
        <v>44078</v>
      </c>
      <c r="B12912" t="s">
        <v>23482</v>
      </c>
      <c r="C12912" t="s">
        <v>23483</v>
      </c>
      <c r="D12912" t="s">
        <v>44079</v>
      </c>
      <c r="E12912" t="b">
        <v>0</v>
      </c>
      <c r="F12912" t="s">
        <v>11624</v>
      </c>
      <c r="G12912">
        <v>-15.881484499999999</v>
      </c>
      <c r="H12912">
        <v>-39.053242900000001</v>
      </c>
      <c r="L12912">
        <v>0</v>
      </c>
      <c r="M12912">
        <v>0</v>
      </c>
      <c r="N12912">
        <v>0</v>
      </c>
      <c r="O12912" t="s">
        <v>11969</v>
      </c>
    </row>
    <row r="12913" spans="1:15">
      <c r="A12913" t="s">
        <v>44080</v>
      </c>
      <c r="B12913" t="s">
        <v>6742</v>
      </c>
      <c r="C12913" t="s">
        <v>15056</v>
      </c>
      <c r="D12913" t="s">
        <v>44081</v>
      </c>
      <c r="E12913" t="b">
        <v>0</v>
      </c>
      <c r="F12913" t="s">
        <v>11624</v>
      </c>
      <c r="G12913">
        <v>5.9463900000000001</v>
      </c>
      <c r="H12913">
        <v>9.6916100000000007</v>
      </c>
      <c r="I12913" t="s">
        <v>44082</v>
      </c>
      <c r="L12913">
        <v>0</v>
      </c>
      <c r="M12913">
        <v>0</v>
      </c>
      <c r="N12913">
        <v>0</v>
      </c>
      <c r="O12913" t="s">
        <v>11703</v>
      </c>
    </row>
    <row r="12914" spans="1:15">
      <c r="A12914" t="s">
        <v>15056</v>
      </c>
      <c r="B12914" t="s">
        <v>6742</v>
      </c>
      <c r="C12914" t="s">
        <v>16343</v>
      </c>
      <c r="D12914" t="s">
        <v>44083</v>
      </c>
      <c r="E12914" t="b">
        <v>0</v>
      </c>
      <c r="F12914" t="s">
        <v>11622</v>
      </c>
      <c r="L12914">
        <v>0</v>
      </c>
      <c r="M12914">
        <v>2</v>
      </c>
      <c r="N12914">
        <v>0</v>
      </c>
    </row>
    <row r="12915" spans="1:15">
      <c r="A12915" t="s">
        <v>44084</v>
      </c>
      <c r="B12915" t="s">
        <v>367</v>
      </c>
      <c r="C12915" t="s">
        <v>38485</v>
      </c>
      <c r="D12915" t="s">
        <v>44085</v>
      </c>
      <c r="E12915" t="b">
        <v>0</v>
      </c>
      <c r="F12915" t="s">
        <v>11610</v>
      </c>
      <c r="L12915">
        <v>0</v>
      </c>
      <c r="M12915">
        <v>0</v>
      </c>
      <c r="N12915">
        <v>0</v>
      </c>
    </row>
    <row r="12916" spans="1:15">
      <c r="A12916" t="s">
        <v>44086</v>
      </c>
      <c r="B12916" t="s">
        <v>12979</v>
      </c>
      <c r="C12916" t="s">
        <v>13050</v>
      </c>
      <c r="D12916" t="s">
        <v>44087</v>
      </c>
      <c r="E12916" t="b">
        <v>0</v>
      </c>
      <c r="F12916" t="s">
        <v>11624</v>
      </c>
      <c r="G12916">
        <v>44.979399999999998</v>
      </c>
      <c r="H12916">
        <v>-88.639499999999998</v>
      </c>
      <c r="I12916" t="s">
        <v>44088</v>
      </c>
      <c r="L12916">
        <v>0</v>
      </c>
      <c r="M12916">
        <v>0</v>
      </c>
      <c r="N12916">
        <v>0</v>
      </c>
      <c r="O12916" t="s">
        <v>11944</v>
      </c>
    </row>
    <row r="12917" spans="1:15">
      <c r="A12917" t="s">
        <v>44089</v>
      </c>
      <c r="B12917" t="s">
        <v>11637</v>
      </c>
      <c r="C12917" t="s">
        <v>16273</v>
      </c>
      <c r="D12917" t="s">
        <v>44090</v>
      </c>
      <c r="E12917" t="b">
        <v>0</v>
      </c>
      <c r="F12917" t="s">
        <v>11610</v>
      </c>
      <c r="L12917">
        <v>0</v>
      </c>
      <c r="M12917">
        <v>0</v>
      </c>
      <c r="N12917">
        <v>0</v>
      </c>
    </row>
    <row r="12918" spans="1:15">
      <c r="A12918" t="s">
        <v>17409</v>
      </c>
      <c r="B12918" t="s">
        <v>12438</v>
      </c>
      <c r="C12918" t="s">
        <v>42631</v>
      </c>
      <c r="D12918" t="s">
        <v>44091</v>
      </c>
      <c r="E12918" t="b">
        <v>0</v>
      </c>
      <c r="F12918" t="s">
        <v>11622</v>
      </c>
      <c r="L12918">
        <v>1</v>
      </c>
      <c r="M12918">
        <v>5</v>
      </c>
      <c r="N12918">
        <v>4</v>
      </c>
    </row>
    <row r="12919" spans="1:15">
      <c r="A12919" t="s">
        <v>44092</v>
      </c>
      <c r="B12919" t="s">
        <v>367</v>
      </c>
      <c r="C12919" t="s">
        <v>14685</v>
      </c>
      <c r="D12919" t="s">
        <v>44093</v>
      </c>
      <c r="E12919" t="b">
        <v>0</v>
      </c>
      <c r="F12919" t="s">
        <v>11610</v>
      </c>
      <c r="L12919">
        <v>0</v>
      </c>
      <c r="M12919">
        <v>0</v>
      </c>
      <c r="N12919">
        <v>0</v>
      </c>
    </row>
    <row r="12920" spans="1:15">
      <c r="A12920" t="s">
        <v>44094</v>
      </c>
      <c r="B12920" t="s">
        <v>367</v>
      </c>
      <c r="C12920" t="s">
        <v>44095</v>
      </c>
      <c r="D12920" t="s">
        <v>44096</v>
      </c>
      <c r="E12920" t="b">
        <v>0</v>
      </c>
      <c r="F12920" t="s">
        <v>11622</v>
      </c>
      <c r="L12920">
        <v>1</v>
      </c>
      <c r="M12920">
        <v>3</v>
      </c>
      <c r="N12920">
        <v>13</v>
      </c>
    </row>
    <row r="12921" spans="1:15">
      <c r="A12921" t="s">
        <v>5322</v>
      </c>
      <c r="B12921" t="s">
        <v>367</v>
      </c>
      <c r="C12921" t="s">
        <v>44094</v>
      </c>
      <c r="D12921" t="s">
        <v>5321</v>
      </c>
      <c r="E12921" t="b">
        <v>0</v>
      </c>
      <c r="F12921" t="s">
        <v>11624</v>
      </c>
      <c r="G12921">
        <v>-1.41092</v>
      </c>
      <c r="H12921">
        <v>98.940100000000001</v>
      </c>
      <c r="I12921" t="s">
        <v>5323</v>
      </c>
      <c r="L12921">
        <v>0</v>
      </c>
      <c r="M12921">
        <v>0</v>
      </c>
      <c r="N12921">
        <v>9</v>
      </c>
      <c r="O12921" t="s">
        <v>11768</v>
      </c>
    </row>
    <row r="12922" spans="1:15">
      <c r="A12922" t="s">
        <v>44097</v>
      </c>
      <c r="B12922" t="s">
        <v>367</v>
      </c>
      <c r="C12922" t="s">
        <v>20144</v>
      </c>
      <c r="D12922" t="s">
        <v>44098</v>
      </c>
      <c r="E12922" t="b">
        <v>0</v>
      </c>
      <c r="F12922" t="s">
        <v>11610</v>
      </c>
      <c r="L12922">
        <v>0</v>
      </c>
      <c r="M12922">
        <v>0</v>
      </c>
      <c r="N12922">
        <v>0</v>
      </c>
    </row>
    <row r="12923" spans="1:15">
      <c r="A12923" t="s">
        <v>44099</v>
      </c>
      <c r="B12923" t="s">
        <v>367</v>
      </c>
      <c r="C12923" t="s">
        <v>18177</v>
      </c>
      <c r="D12923" t="s">
        <v>44100</v>
      </c>
      <c r="E12923" t="b">
        <v>0</v>
      </c>
      <c r="F12923" t="s">
        <v>11624</v>
      </c>
      <c r="L12923">
        <v>0</v>
      </c>
      <c r="M12923">
        <v>0</v>
      </c>
      <c r="N12923">
        <v>0</v>
      </c>
      <c r="O12923" t="s">
        <v>11672</v>
      </c>
    </row>
    <row r="12924" spans="1:15">
      <c r="A12924" t="s">
        <v>44101</v>
      </c>
      <c r="B12924" t="s">
        <v>367</v>
      </c>
      <c r="C12924" t="s">
        <v>44102</v>
      </c>
      <c r="D12924" t="s">
        <v>44103</v>
      </c>
      <c r="E12924" t="b">
        <v>0</v>
      </c>
      <c r="F12924" t="s">
        <v>11610</v>
      </c>
      <c r="L12924">
        <v>0</v>
      </c>
      <c r="M12924">
        <v>0</v>
      </c>
      <c r="N12924">
        <v>0</v>
      </c>
    </row>
    <row r="12925" spans="1:15">
      <c r="A12925" t="s">
        <v>44104</v>
      </c>
      <c r="B12925" t="s">
        <v>6742</v>
      </c>
      <c r="C12925" t="s">
        <v>30511</v>
      </c>
      <c r="D12925" t="s">
        <v>44105</v>
      </c>
      <c r="E12925" t="b">
        <v>0</v>
      </c>
      <c r="F12925" t="s">
        <v>11610</v>
      </c>
      <c r="L12925">
        <v>0</v>
      </c>
      <c r="M12925">
        <v>0</v>
      </c>
      <c r="N12925">
        <v>0</v>
      </c>
    </row>
    <row r="12926" spans="1:15">
      <c r="A12926" t="s">
        <v>44106</v>
      </c>
      <c r="B12926" t="s">
        <v>12487</v>
      </c>
      <c r="C12926" t="s">
        <v>30679</v>
      </c>
      <c r="D12926" t="s">
        <v>44107</v>
      </c>
      <c r="E12926" t="b">
        <v>0</v>
      </c>
      <c r="F12926" t="s">
        <v>11624</v>
      </c>
      <c r="G12926">
        <v>-7.1742499999999998</v>
      </c>
      <c r="H12926">
        <v>146.071</v>
      </c>
      <c r="I12926" t="s">
        <v>44108</v>
      </c>
      <c r="L12926">
        <v>0</v>
      </c>
      <c r="M12926">
        <v>0</v>
      </c>
      <c r="N12926">
        <v>0</v>
      </c>
      <c r="O12926" t="s">
        <v>11660</v>
      </c>
    </row>
    <row r="12927" spans="1:15">
      <c r="A12927" t="s">
        <v>44109</v>
      </c>
      <c r="B12927" t="s">
        <v>6742</v>
      </c>
      <c r="C12927" t="s">
        <v>15831</v>
      </c>
      <c r="D12927" t="s">
        <v>44110</v>
      </c>
      <c r="E12927" t="b">
        <v>0</v>
      </c>
      <c r="F12927" t="s">
        <v>11610</v>
      </c>
      <c r="L12927">
        <v>0</v>
      </c>
      <c r="M12927">
        <v>0</v>
      </c>
      <c r="N12927">
        <v>0</v>
      </c>
    </row>
    <row r="12928" spans="1:15">
      <c r="A12928" t="s">
        <v>44111</v>
      </c>
      <c r="B12928" t="s">
        <v>367</v>
      </c>
      <c r="C12928" t="s">
        <v>18370</v>
      </c>
      <c r="D12928" t="s">
        <v>44112</v>
      </c>
      <c r="E12928" t="b">
        <v>0</v>
      </c>
      <c r="F12928" t="s">
        <v>11624</v>
      </c>
      <c r="G12928">
        <v>-2.0782799999999999</v>
      </c>
      <c r="H12928">
        <v>134.37799999999999</v>
      </c>
      <c r="I12928" t="s">
        <v>44113</v>
      </c>
      <c r="L12928">
        <v>0</v>
      </c>
      <c r="M12928">
        <v>0</v>
      </c>
      <c r="N12928">
        <v>0</v>
      </c>
      <c r="O12928" t="s">
        <v>11768</v>
      </c>
    </row>
    <row r="12929" spans="1:15">
      <c r="A12929" t="s">
        <v>11880</v>
      </c>
      <c r="B12929" t="s">
        <v>11879</v>
      </c>
      <c r="C12929" t="s">
        <v>44114</v>
      </c>
      <c r="D12929" t="s">
        <v>44115</v>
      </c>
      <c r="E12929" t="b">
        <v>0</v>
      </c>
      <c r="F12929" t="s">
        <v>11622</v>
      </c>
      <c r="L12929">
        <v>0</v>
      </c>
      <c r="M12929">
        <v>4</v>
      </c>
      <c r="N12929">
        <v>6</v>
      </c>
    </row>
    <row r="12930" spans="1:15">
      <c r="A12930" t="s">
        <v>40549</v>
      </c>
      <c r="B12930" t="s">
        <v>367</v>
      </c>
      <c r="C12930" t="s">
        <v>44116</v>
      </c>
      <c r="D12930" t="s">
        <v>44117</v>
      </c>
      <c r="E12930" t="b">
        <v>0</v>
      </c>
      <c r="F12930" t="s">
        <v>11624</v>
      </c>
      <c r="G12930">
        <v>-4.9746800000000002</v>
      </c>
      <c r="H12930">
        <v>151.52799999999999</v>
      </c>
      <c r="I12930" t="s">
        <v>44118</v>
      </c>
      <c r="L12930">
        <v>0</v>
      </c>
      <c r="M12930">
        <v>0</v>
      </c>
      <c r="N12930">
        <v>1</v>
      </c>
      <c r="O12930" t="s">
        <v>11660</v>
      </c>
    </row>
    <row r="12931" spans="1:15">
      <c r="A12931" t="s">
        <v>41487</v>
      </c>
      <c r="B12931" t="s">
        <v>11637</v>
      </c>
      <c r="C12931" t="s">
        <v>39507</v>
      </c>
      <c r="D12931" t="s">
        <v>44119</v>
      </c>
      <c r="E12931" t="b">
        <v>0</v>
      </c>
      <c r="F12931" t="s">
        <v>11622</v>
      </c>
      <c r="L12931">
        <v>22</v>
      </c>
      <c r="M12931">
        <v>35</v>
      </c>
      <c r="N12931">
        <v>82</v>
      </c>
    </row>
    <row r="12932" spans="1:15">
      <c r="A12932" t="s">
        <v>44120</v>
      </c>
      <c r="B12932" t="s">
        <v>11637</v>
      </c>
      <c r="C12932" t="s">
        <v>13871</v>
      </c>
      <c r="D12932" t="s">
        <v>44121</v>
      </c>
      <c r="E12932" t="b">
        <v>0</v>
      </c>
      <c r="F12932" t="s">
        <v>11610</v>
      </c>
      <c r="L12932">
        <v>0</v>
      </c>
      <c r="M12932">
        <v>0</v>
      </c>
      <c r="N12932">
        <v>0</v>
      </c>
    </row>
    <row r="12933" spans="1:15">
      <c r="A12933" t="s">
        <v>44122</v>
      </c>
      <c r="B12933" t="s">
        <v>367</v>
      </c>
      <c r="C12933" t="s">
        <v>39182</v>
      </c>
      <c r="D12933" t="s">
        <v>44123</v>
      </c>
      <c r="E12933" t="b">
        <v>0</v>
      </c>
      <c r="F12933" t="s">
        <v>11610</v>
      </c>
      <c r="L12933">
        <v>0</v>
      </c>
      <c r="M12933">
        <v>0</v>
      </c>
      <c r="N12933">
        <v>0</v>
      </c>
    </row>
    <row r="12934" spans="1:15">
      <c r="A12934" t="s">
        <v>44124</v>
      </c>
      <c r="B12934" t="s">
        <v>11729</v>
      </c>
      <c r="C12934" t="s">
        <v>30051</v>
      </c>
      <c r="D12934" t="s">
        <v>44125</v>
      </c>
      <c r="E12934" t="b">
        <v>0</v>
      </c>
      <c r="F12934" t="s">
        <v>11610</v>
      </c>
      <c r="L12934">
        <v>0</v>
      </c>
      <c r="M12934">
        <v>0</v>
      </c>
      <c r="N12934">
        <v>0</v>
      </c>
    </row>
    <row r="12935" spans="1:15">
      <c r="A12935" t="s">
        <v>44126</v>
      </c>
      <c r="B12935" t="s">
        <v>367</v>
      </c>
      <c r="C12935" t="s">
        <v>44127</v>
      </c>
      <c r="D12935" t="s">
        <v>44128</v>
      </c>
      <c r="E12935" t="b">
        <v>0</v>
      </c>
      <c r="F12935" t="s">
        <v>11624</v>
      </c>
      <c r="G12935">
        <v>-15.283899999999999</v>
      </c>
      <c r="H12935">
        <v>166.905</v>
      </c>
      <c r="I12935" t="s">
        <v>44129</v>
      </c>
      <c r="L12935">
        <v>0</v>
      </c>
      <c r="M12935">
        <v>0</v>
      </c>
      <c r="N12935">
        <v>1</v>
      </c>
      <c r="O12935" t="s">
        <v>12719</v>
      </c>
    </row>
    <row r="12936" spans="1:15">
      <c r="A12936" t="s">
        <v>25458</v>
      </c>
      <c r="B12936" t="s">
        <v>11607</v>
      </c>
      <c r="C12936" t="s">
        <v>25461</v>
      </c>
      <c r="D12936" t="s">
        <v>44130</v>
      </c>
      <c r="E12936" t="b">
        <v>0</v>
      </c>
      <c r="F12936" t="s">
        <v>11624</v>
      </c>
      <c r="G12936">
        <v>10.745799999999999</v>
      </c>
      <c r="H12936">
        <v>14.09</v>
      </c>
      <c r="I12936" t="s">
        <v>44131</v>
      </c>
      <c r="L12936">
        <v>0</v>
      </c>
      <c r="M12936">
        <v>0</v>
      </c>
      <c r="N12936">
        <v>1</v>
      </c>
      <c r="O12936" t="s">
        <v>11703</v>
      </c>
    </row>
    <row r="12937" spans="1:15">
      <c r="A12937" t="s">
        <v>44132</v>
      </c>
      <c r="B12937" t="s">
        <v>11644</v>
      </c>
      <c r="C12937" t="s">
        <v>24271</v>
      </c>
      <c r="D12937" t="s">
        <v>44133</v>
      </c>
      <c r="E12937" t="b">
        <v>0</v>
      </c>
      <c r="F12937" t="s">
        <v>11610</v>
      </c>
      <c r="L12937">
        <v>0</v>
      </c>
      <c r="M12937">
        <v>0</v>
      </c>
      <c r="N12937">
        <v>0</v>
      </c>
    </row>
    <row r="12938" spans="1:15">
      <c r="A12938" t="s">
        <v>44134</v>
      </c>
      <c r="B12938" t="s">
        <v>11637</v>
      </c>
      <c r="C12938" t="s">
        <v>14419</v>
      </c>
      <c r="D12938" t="s">
        <v>44135</v>
      </c>
      <c r="E12938" t="b">
        <v>0</v>
      </c>
      <c r="F12938" t="s">
        <v>11610</v>
      </c>
      <c r="L12938">
        <v>0</v>
      </c>
      <c r="M12938">
        <v>0</v>
      </c>
      <c r="N12938">
        <v>0</v>
      </c>
    </row>
    <row r="12939" spans="1:15">
      <c r="A12939" t="s">
        <v>2138</v>
      </c>
      <c r="B12939" t="s">
        <v>367</v>
      </c>
      <c r="C12939" t="s">
        <v>18209</v>
      </c>
      <c r="D12939" t="s">
        <v>2137</v>
      </c>
      <c r="E12939" t="b">
        <v>0</v>
      </c>
      <c r="F12939" t="s">
        <v>11610</v>
      </c>
      <c r="L12939">
        <v>0</v>
      </c>
      <c r="M12939">
        <v>0</v>
      </c>
      <c r="N12939">
        <v>0</v>
      </c>
    </row>
    <row r="12940" spans="1:15">
      <c r="A12940" t="s">
        <v>2916</v>
      </c>
      <c r="B12940" t="s">
        <v>11686</v>
      </c>
      <c r="C12940" t="s">
        <v>11686</v>
      </c>
      <c r="D12940" t="s">
        <v>44136</v>
      </c>
      <c r="E12940" t="b">
        <v>0</v>
      </c>
      <c r="F12940" t="s">
        <v>11624</v>
      </c>
      <c r="G12940">
        <v>-9.5957500000000007</v>
      </c>
      <c r="H12940">
        <v>143.773</v>
      </c>
      <c r="I12940" t="s">
        <v>2917</v>
      </c>
      <c r="L12940">
        <v>0</v>
      </c>
      <c r="M12940">
        <v>0</v>
      </c>
      <c r="N12940">
        <v>4</v>
      </c>
      <c r="O12940" t="s">
        <v>11660</v>
      </c>
    </row>
    <row r="12941" spans="1:15">
      <c r="A12941" t="s">
        <v>25461</v>
      </c>
      <c r="B12941" t="s">
        <v>11607</v>
      </c>
      <c r="C12941" t="s">
        <v>44137</v>
      </c>
      <c r="D12941" t="s">
        <v>44138</v>
      </c>
      <c r="E12941" t="b">
        <v>0</v>
      </c>
      <c r="F12941" t="s">
        <v>11622</v>
      </c>
      <c r="L12941">
        <v>0</v>
      </c>
      <c r="M12941">
        <v>3</v>
      </c>
      <c r="N12941">
        <v>5</v>
      </c>
    </row>
    <row r="12942" spans="1:15">
      <c r="A12942" t="s">
        <v>43366</v>
      </c>
      <c r="B12942" t="s">
        <v>367</v>
      </c>
      <c r="C12942" t="s">
        <v>31219</v>
      </c>
      <c r="D12942" t="s">
        <v>44139</v>
      </c>
      <c r="E12942" t="b">
        <v>0</v>
      </c>
      <c r="F12942" t="s">
        <v>11624</v>
      </c>
      <c r="G12942">
        <v>-14.450678999999999</v>
      </c>
      <c r="H12942">
        <v>168.053527</v>
      </c>
      <c r="I12942" t="s">
        <v>44140</v>
      </c>
      <c r="L12942">
        <v>0</v>
      </c>
      <c r="M12942">
        <v>0</v>
      </c>
      <c r="N12942">
        <v>3</v>
      </c>
      <c r="O12942" t="s">
        <v>12719</v>
      </c>
    </row>
    <row r="12943" spans="1:15">
      <c r="A12943" t="s">
        <v>44141</v>
      </c>
      <c r="D12943" t="s">
        <v>44142</v>
      </c>
      <c r="E12943" t="b">
        <v>0</v>
      </c>
      <c r="F12943" t="s">
        <v>11624</v>
      </c>
      <c r="G12943">
        <v>16.933299999999999</v>
      </c>
      <c r="H12943">
        <v>33.7333</v>
      </c>
      <c r="I12943" t="s">
        <v>44143</v>
      </c>
      <c r="L12943">
        <v>0</v>
      </c>
      <c r="M12943">
        <v>0</v>
      </c>
      <c r="N12943">
        <v>0</v>
      </c>
      <c r="O12943" t="s">
        <v>11910</v>
      </c>
    </row>
    <row r="12944" spans="1:15">
      <c r="A12944" t="s">
        <v>44144</v>
      </c>
      <c r="B12944" t="s">
        <v>13571</v>
      </c>
      <c r="C12944" t="s">
        <v>17924</v>
      </c>
      <c r="D12944" t="s">
        <v>44145</v>
      </c>
      <c r="E12944" t="b">
        <v>0</v>
      </c>
      <c r="F12944" t="s">
        <v>11610</v>
      </c>
      <c r="L12944">
        <v>0</v>
      </c>
      <c r="M12944">
        <v>0</v>
      </c>
      <c r="N12944">
        <v>0</v>
      </c>
    </row>
    <row r="12945" spans="1:15">
      <c r="A12945" t="s">
        <v>44146</v>
      </c>
      <c r="B12945" t="s">
        <v>41792</v>
      </c>
      <c r="C12945" t="s">
        <v>41792</v>
      </c>
      <c r="D12945" t="s">
        <v>44147</v>
      </c>
      <c r="E12945" t="b">
        <v>0</v>
      </c>
      <c r="F12945" t="s">
        <v>11624</v>
      </c>
      <c r="G12945">
        <v>-3.3828</v>
      </c>
      <c r="H12945">
        <v>134.73099999999999</v>
      </c>
      <c r="I12945" t="s">
        <v>44148</v>
      </c>
      <c r="L12945">
        <v>0</v>
      </c>
      <c r="M12945">
        <v>0</v>
      </c>
      <c r="N12945">
        <v>0</v>
      </c>
      <c r="O12945" t="s">
        <v>11768</v>
      </c>
    </row>
    <row r="12946" spans="1:15">
      <c r="A12946" t="s">
        <v>32046</v>
      </c>
      <c r="B12946" t="s">
        <v>6742</v>
      </c>
      <c r="C12946" t="s">
        <v>22937</v>
      </c>
      <c r="D12946" t="s">
        <v>44149</v>
      </c>
      <c r="E12946" t="b">
        <v>0</v>
      </c>
      <c r="F12946" t="s">
        <v>11624</v>
      </c>
      <c r="G12946">
        <v>0.26484000000000002</v>
      </c>
      <c r="H12946">
        <v>37.739600000000003</v>
      </c>
      <c r="I12946" t="s">
        <v>44150</v>
      </c>
      <c r="L12946">
        <v>0</v>
      </c>
      <c r="M12946">
        <v>0</v>
      </c>
      <c r="N12946">
        <v>6</v>
      </c>
      <c r="O12946" t="s">
        <v>22848</v>
      </c>
    </row>
    <row r="12947" spans="1:15">
      <c r="A12947" t="s">
        <v>44151</v>
      </c>
      <c r="B12947" t="s">
        <v>11637</v>
      </c>
      <c r="C12947" t="s">
        <v>15874</v>
      </c>
      <c r="D12947" t="s">
        <v>44152</v>
      </c>
      <c r="E12947" t="b">
        <v>0</v>
      </c>
      <c r="F12947" t="s">
        <v>11624</v>
      </c>
      <c r="G12947">
        <v>26.771000000000001</v>
      </c>
      <c r="H12947">
        <v>74.094999999999999</v>
      </c>
      <c r="I12947" t="s">
        <v>44153</v>
      </c>
      <c r="L12947">
        <v>0</v>
      </c>
      <c r="M12947">
        <v>0</v>
      </c>
      <c r="N12947">
        <v>0</v>
      </c>
      <c r="O12947" t="s">
        <v>11630</v>
      </c>
    </row>
    <row r="12948" spans="1:15">
      <c r="A12948" t="s">
        <v>17450</v>
      </c>
      <c r="B12948" t="s">
        <v>6742</v>
      </c>
      <c r="C12948" t="s">
        <v>21844</v>
      </c>
      <c r="D12948" t="s">
        <v>44154</v>
      </c>
      <c r="E12948" t="b">
        <v>0</v>
      </c>
      <c r="F12948" t="s">
        <v>11624</v>
      </c>
      <c r="G12948">
        <v>6.3267899999999999</v>
      </c>
      <c r="H12948">
        <v>9.8722999999999992</v>
      </c>
      <c r="I12948" t="s">
        <v>44155</v>
      </c>
      <c r="L12948">
        <v>0</v>
      </c>
      <c r="M12948">
        <v>0</v>
      </c>
      <c r="N12948">
        <v>1</v>
      </c>
      <c r="O12948" t="s">
        <v>11802</v>
      </c>
    </row>
    <row r="12949" spans="1:15">
      <c r="A12949" t="s">
        <v>44156</v>
      </c>
      <c r="B12949" t="s">
        <v>367</v>
      </c>
      <c r="C12949" t="s">
        <v>40025</v>
      </c>
      <c r="D12949" t="s">
        <v>44157</v>
      </c>
      <c r="E12949" t="b">
        <v>0</v>
      </c>
      <c r="F12949" t="s">
        <v>11610</v>
      </c>
      <c r="L12949">
        <v>0</v>
      </c>
      <c r="M12949">
        <v>0</v>
      </c>
      <c r="N12949">
        <v>0</v>
      </c>
    </row>
    <row r="12950" spans="1:15">
      <c r="A12950" t="s">
        <v>44158</v>
      </c>
      <c r="B12950" t="s">
        <v>12218</v>
      </c>
      <c r="C12950" t="s">
        <v>12219</v>
      </c>
      <c r="D12950" t="s">
        <v>44159</v>
      </c>
      <c r="E12950" t="b">
        <v>0</v>
      </c>
      <c r="F12950" t="s">
        <v>11610</v>
      </c>
      <c r="L12950">
        <v>0</v>
      </c>
      <c r="M12950">
        <v>0</v>
      </c>
      <c r="N12950">
        <v>0</v>
      </c>
    </row>
    <row r="12951" spans="1:15">
      <c r="A12951" t="s">
        <v>44160</v>
      </c>
      <c r="B12951" t="s">
        <v>12460</v>
      </c>
      <c r="C12951" t="s">
        <v>44161</v>
      </c>
      <c r="D12951" t="s">
        <v>44162</v>
      </c>
      <c r="E12951" t="b">
        <v>0</v>
      </c>
      <c r="F12951" t="s">
        <v>11624</v>
      </c>
      <c r="G12951">
        <v>33.129100000000001</v>
      </c>
      <c r="H12951">
        <v>-105.566</v>
      </c>
      <c r="I12951" t="s">
        <v>44163</v>
      </c>
      <c r="L12951">
        <v>0</v>
      </c>
      <c r="M12951">
        <v>0</v>
      </c>
      <c r="N12951">
        <v>0</v>
      </c>
      <c r="O12951" t="s">
        <v>11944</v>
      </c>
    </row>
    <row r="12952" spans="1:15">
      <c r="A12952" t="s">
        <v>44164</v>
      </c>
      <c r="B12952" t="s">
        <v>6742</v>
      </c>
      <c r="C12952" t="s">
        <v>27034</v>
      </c>
      <c r="D12952" t="s">
        <v>44165</v>
      </c>
      <c r="E12952" t="b">
        <v>0</v>
      </c>
      <c r="F12952" t="s">
        <v>11610</v>
      </c>
      <c r="L12952">
        <v>0</v>
      </c>
      <c r="M12952">
        <v>0</v>
      </c>
      <c r="N12952">
        <v>0</v>
      </c>
    </row>
    <row r="12953" spans="1:15">
      <c r="A12953" t="s">
        <v>26286</v>
      </c>
      <c r="B12953" t="s">
        <v>11615</v>
      </c>
      <c r="C12953" t="s">
        <v>44166</v>
      </c>
      <c r="D12953" t="s">
        <v>44167</v>
      </c>
      <c r="E12953" t="b">
        <v>0</v>
      </c>
      <c r="F12953" t="s">
        <v>11624</v>
      </c>
      <c r="G12953">
        <v>-6.5607199999999999</v>
      </c>
      <c r="H12953">
        <v>147.137</v>
      </c>
      <c r="I12953" t="s">
        <v>44168</v>
      </c>
      <c r="L12953">
        <v>0</v>
      </c>
      <c r="M12953">
        <v>0</v>
      </c>
      <c r="N12953">
        <v>3</v>
      </c>
      <c r="O12953" t="s">
        <v>11660</v>
      </c>
    </row>
    <row r="12954" spans="1:15">
      <c r="A12954" t="s">
        <v>44169</v>
      </c>
      <c r="B12954" t="s">
        <v>11615</v>
      </c>
      <c r="C12954" t="s">
        <v>31162</v>
      </c>
      <c r="D12954" t="s">
        <v>44170</v>
      </c>
      <c r="E12954" t="b">
        <v>0</v>
      </c>
      <c r="F12954" t="s">
        <v>11610</v>
      </c>
      <c r="L12954">
        <v>0</v>
      </c>
      <c r="M12954">
        <v>0</v>
      </c>
      <c r="N12954">
        <v>0</v>
      </c>
    </row>
    <row r="12955" spans="1:15">
      <c r="A12955" t="s">
        <v>44171</v>
      </c>
      <c r="B12955" t="s">
        <v>6742</v>
      </c>
      <c r="C12955" t="s">
        <v>25102</v>
      </c>
      <c r="D12955" t="s">
        <v>44172</v>
      </c>
      <c r="E12955" t="b">
        <v>0</v>
      </c>
      <c r="F12955" t="s">
        <v>11610</v>
      </c>
      <c r="L12955">
        <v>0</v>
      </c>
      <c r="M12955">
        <v>0</v>
      </c>
      <c r="N12955">
        <v>0</v>
      </c>
    </row>
    <row r="12956" spans="1:15">
      <c r="A12956" t="s">
        <v>44173</v>
      </c>
      <c r="B12956" t="s">
        <v>367</v>
      </c>
      <c r="C12956" t="s">
        <v>24088</v>
      </c>
      <c r="D12956" t="s">
        <v>44174</v>
      </c>
      <c r="E12956" t="b">
        <v>0</v>
      </c>
      <c r="F12956" t="s">
        <v>11610</v>
      </c>
      <c r="L12956">
        <v>0</v>
      </c>
      <c r="M12956">
        <v>0</v>
      </c>
      <c r="N12956">
        <v>0</v>
      </c>
    </row>
    <row r="12957" spans="1:15">
      <c r="A12957" t="s">
        <v>44175</v>
      </c>
      <c r="B12957" t="s">
        <v>367</v>
      </c>
      <c r="C12957" t="s">
        <v>16927</v>
      </c>
      <c r="D12957" t="s">
        <v>44176</v>
      </c>
      <c r="E12957" t="b">
        <v>0</v>
      </c>
      <c r="F12957" t="s">
        <v>11610</v>
      </c>
      <c r="L12957">
        <v>0</v>
      </c>
      <c r="M12957">
        <v>0</v>
      </c>
      <c r="N12957">
        <v>0</v>
      </c>
    </row>
    <row r="12958" spans="1:15">
      <c r="A12958" t="s">
        <v>44177</v>
      </c>
      <c r="B12958" t="s">
        <v>12148</v>
      </c>
      <c r="C12958" t="s">
        <v>61</v>
      </c>
      <c r="D12958" t="s">
        <v>44178</v>
      </c>
      <c r="E12958" t="b">
        <v>0</v>
      </c>
      <c r="F12958" t="s">
        <v>11610</v>
      </c>
      <c r="L12958">
        <v>0</v>
      </c>
      <c r="M12958">
        <v>0</v>
      </c>
      <c r="N12958">
        <v>0</v>
      </c>
    </row>
    <row r="12959" spans="1:15">
      <c r="A12959" t="s">
        <v>44179</v>
      </c>
      <c r="B12959" t="s">
        <v>12979</v>
      </c>
      <c r="C12959" t="s">
        <v>28055</v>
      </c>
      <c r="D12959" t="s">
        <v>44180</v>
      </c>
      <c r="E12959" t="b">
        <v>0</v>
      </c>
      <c r="F12959" t="s">
        <v>11624</v>
      </c>
      <c r="G12959">
        <v>40</v>
      </c>
      <c r="H12959">
        <v>-94</v>
      </c>
      <c r="I12959" t="s">
        <v>44181</v>
      </c>
      <c r="L12959">
        <v>0</v>
      </c>
      <c r="M12959">
        <v>0</v>
      </c>
      <c r="N12959">
        <v>2</v>
      </c>
      <c r="O12959" t="s">
        <v>11944</v>
      </c>
    </row>
    <row r="12960" spans="1:15">
      <c r="A12960" t="s">
        <v>44182</v>
      </c>
      <c r="B12960" t="s">
        <v>12979</v>
      </c>
      <c r="C12960" t="s">
        <v>44179</v>
      </c>
      <c r="D12960" t="s">
        <v>44183</v>
      </c>
      <c r="E12960" t="b">
        <v>0</v>
      </c>
      <c r="F12960" t="s">
        <v>11610</v>
      </c>
      <c r="L12960">
        <v>0</v>
      </c>
      <c r="M12960">
        <v>0</v>
      </c>
      <c r="N12960">
        <v>0</v>
      </c>
    </row>
    <row r="12961" spans="1:15">
      <c r="A12961" t="s">
        <v>18124</v>
      </c>
      <c r="B12961" t="s">
        <v>11607</v>
      </c>
      <c r="C12961" t="s">
        <v>31010</v>
      </c>
      <c r="D12961" t="s">
        <v>44184</v>
      </c>
      <c r="E12961" t="b">
        <v>0</v>
      </c>
      <c r="F12961" t="s">
        <v>11624</v>
      </c>
      <c r="G12961">
        <v>9.2888800000000007</v>
      </c>
      <c r="H12961">
        <v>15.7018</v>
      </c>
      <c r="I12961" t="s">
        <v>44185</v>
      </c>
      <c r="L12961">
        <v>0</v>
      </c>
      <c r="M12961">
        <v>0</v>
      </c>
      <c r="N12961">
        <v>2</v>
      </c>
      <c r="O12961" t="s">
        <v>13421</v>
      </c>
    </row>
    <row r="12962" spans="1:15">
      <c r="A12962" t="s">
        <v>44186</v>
      </c>
      <c r="B12962" t="s">
        <v>11607</v>
      </c>
      <c r="C12962" t="s">
        <v>32494</v>
      </c>
      <c r="D12962" t="s">
        <v>44187</v>
      </c>
      <c r="E12962" t="b">
        <v>0</v>
      </c>
      <c r="F12962" t="s">
        <v>11624</v>
      </c>
      <c r="G12962">
        <v>7.5382499999999997</v>
      </c>
      <c r="H12962">
        <v>37.574199999999998</v>
      </c>
      <c r="I12962" t="s">
        <v>44188</v>
      </c>
      <c r="L12962">
        <v>0</v>
      </c>
      <c r="M12962">
        <v>0</v>
      </c>
      <c r="N12962">
        <v>0</v>
      </c>
      <c r="O12962" t="s">
        <v>11625</v>
      </c>
    </row>
    <row r="12963" spans="1:15">
      <c r="A12963" t="s">
        <v>13635</v>
      </c>
      <c r="B12963" t="s">
        <v>11607</v>
      </c>
      <c r="C12963" t="s">
        <v>12197</v>
      </c>
      <c r="D12963" t="s">
        <v>44189</v>
      </c>
      <c r="E12963" t="b">
        <v>0</v>
      </c>
      <c r="F12963" t="s">
        <v>11624</v>
      </c>
      <c r="G12963">
        <v>33.817799999999998</v>
      </c>
      <c r="H12963">
        <v>43.109499999999997</v>
      </c>
      <c r="I12963" t="s">
        <v>44190</v>
      </c>
      <c r="L12963">
        <v>0</v>
      </c>
      <c r="M12963">
        <v>0</v>
      </c>
      <c r="N12963">
        <v>3</v>
      </c>
      <c r="O12963" t="s">
        <v>44191</v>
      </c>
    </row>
    <row r="12964" spans="1:15">
      <c r="A12964" t="s">
        <v>16298</v>
      </c>
      <c r="B12964" t="s">
        <v>367</v>
      </c>
      <c r="C12964" t="s">
        <v>44192</v>
      </c>
      <c r="D12964" t="s">
        <v>44193</v>
      </c>
      <c r="E12964" t="b">
        <v>0</v>
      </c>
      <c r="F12964" t="s">
        <v>11622</v>
      </c>
      <c r="L12964">
        <v>39</v>
      </c>
      <c r="M12964">
        <v>69</v>
      </c>
      <c r="N12964">
        <v>104</v>
      </c>
    </row>
    <row r="12965" spans="1:15">
      <c r="A12965" t="s">
        <v>44194</v>
      </c>
      <c r="B12965" t="s">
        <v>367</v>
      </c>
      <c r="C12965" t="s">
        <v>14626</v>
      </c>
      <c r="D12965" t="s">
        <v>44195</v>
      </c>
      <c r="E12965" t="b">
        <v>0</v>
      </c>
      <c r="F12965" t="s">
        <v>11622</v>
      </c>
      <c r="L12965">
        <v>23</v>
      </c>
      <c r="M12965">
        <v>32</v>
      </c>
      <c r="N12965">
        <v>47</v>
      </c>
    </row>
    <row r="12966" spans="1:15">
      <c r="A12966" t="s">
        <v>44196</v>
      </c>
      <c r="B12966" t="s">
        <v>11607</v>
      </c>
      <c r="C12966" t="s">
        <v>32497</v>
      </c>
      <c r="D12966" t="s">
        <v>44197</v>
      </c>
      <c r="E12966" t="b">
        <v>0</v>
      </c>
      <c r="F12966" t="s">
        <v>11624</v>
      </c>
      <c r="G12966">
        <v>8.1061700000000005</v>
      </c>
      <c r="H12966">
        <v>38.3386</v>
      </c>
      <c r="I12966" t="s">
        <v>44198</v>
      </c>
      <c r="L12966">
        <v>0</v>
      </c>
      <c r="M12966">
        <v>0</v>
      </c>
      <c r="N12966">
        <v>0</v>
      </c>
      <c r="O12966" t="s">
        <v>11625</v>
      </c>
    </row>
    <row r="12967" spans="1:15">
      <c r="A12967" t="s">
        <v>44199</v>
      </c>
      <c r="B12967" t="s">
        <v>11637</v>
      </c>
      <c r="C12967" t="s">
        <v>11637</v>
      </c>
      <c r="D12967" t="s">
        <v>44200</v>
      </c>
      <c r="E12967" t="b">
        <v>0</v>
      </c>
      <c r="F12967" t="s">
        <v>11624</v>
      </c>
      <c r="G12967">
        <v>40.538333999999999</v>
      </c>
      <c r="H12967">
        <v>17.860344000000001</v>
      </c>
      <c r="I12967" t="s">
        <v>44201</v>
      </c>
      <c r="L12967">
        <v>0</v>
      </c>
      <c r="M12967">
        <v>0</v>
      </c>
      <c r="N12967">
        <v>0</v>
      </c>
      <c r="O12967" t="s">
        <v>13676</v>
      </c>
    </row>
    <row r="12968" spans="1:15">
      <c r="A12968" t="s">
        <v>44202</v>
      </c>
      <c r="B12968" t="s">
        <v>11637</v>
      </c>
      <c r="C12968" t="s">
        <v>5695</v>
      </c>
      <c r="D12968" t="s">
        <v>44203</v>
      </c>
      <c r="E12968" t="b">
        <v>0</v>
      </c>
      <c r="F12968" t="s">
        <v>11610</v>
      </c>
      <c r="L12968">
        <v>0</v>
      </c>
      <c r="M12968">
        <v>0</v>
      </c>
      <c r="N12968">
        <v>0</v>
      </c>
    </row>
    <row r="12969" spans="1:15">
      <c r="A12969" t="s">
        <v>44204</v>
      </c>
      <c r="B12969" t="s">
        <v>367</v>
      </c>
      <c r="C12969" t="s">
        <v>27774</v>
      </c>
      <c r="D12969" t="s">
        <v>44205</v>
      </c>
      <c r="E12969" t="b">
        <v>0</v>
      </c>
      <c r="F12969" t="s">
        <v>11610</v>
      </c>
      <c r="L12969">
        <v>0</v>
      </c>
      <c r="M12969">
        <v>0</v>
      </c>
      <c r="N12969">
        <v>0</v>
      </c>
    </row>
    <row r="12970" spans="1:15">
      <c r="A12970" t="s">
        <v>44053</v>
      </c>
      <c r="B12970" t="s">
        <v>6742</v>
      </c>
      <c r="C12970" t="s">
        <v>44206</v>
      </c>
      <c r="D12970" t="s">
        <v>44207</v>
      </c>
      <c r="E12970" t="b">
        <v>0</v>
      </c>
      <c r="F12970" t="s">
        <v>11624</v>
      </c>
      <c r="G12970">
        <v>5.8894200000000003</v>
      </c>
      <c r="H12970">
        <v>9.8741599999999998</v>
      </c>
      <c r="I12970" t="s">
        <v>44208</v>
      </c>
      <c r="L12970">
        <v>0</v>
      </c>
      <c r="M12970">
        <v>0</v>
      </c>
      <c r="N12970">
        <v>2</v>
      </c>
      <c r="O12970" t="s">
        <v>11703</v>
      </c>
    </row>
    <row r="12971" spans="1:15">
      <c r="A12971" t="s">
        <v>44209</v>
      </c>
      <c r="B12971" t="s">
        <v>11607</v>
      </c>
      <c r="C12971" t="s">
        <v>17998</v>
      </c>
      <c r="D12971" t="s">
        <v>44210</v>
      </c>
      <c r="E12971" t="b">
        <v>0</v>
      </c>
      <c r="F12971" t="s">
        <v>11610</v>
      </c>
      <c r="L12971">
        <v>0</v>
      </c>
      <c r="M12971">
        <v>0</v>
      </c>
      <c r="N12971">
        <v>0</v>
      </c>
    </row>
    <row r="12972" spans="1:15">
      <c r="A12972" t="s">
        <v>44211</v>
      </c>
      <c r="B12972" t="s">
        <v>12254</v>
      </c>
      <c r="C12972" t="s">
        <v>24710</v>
      </c>
      <c r="D12972" t="s">
        <v>44212</v>
      </c>
      <c r="E12972" t="b">
        <v>0</v>
      </c>
      <c r="F12972" t="s">
        <v>11610</v>
      </c>
      <c r="L12972">
        <v>0</v>
      </c>
      <c r="M12972">
        <v>0</v>
      </c>
      <c r="N12972">
        <v>0</v>
      </c>
    </row>
    <row r="12973" spans="1:15">
      <c r="A12973" t="s">
        <v>44213</v>
      </c>
      <c r="B12973" t="s">
        <v>11844</v>
      </c>
      <c r="C12973" t="s">
        <v>14803</v>
      </c>
      <c r="D12973" t="s">
        <v>44214</v>
      </c>
      <c r="E12973" t="b">
        <v>0</v>
      </c>
      <c r="F12973" t="s">
        <v>11610</v>
      </c>
      <c r="L12973">
        <v>0</v>
      </c>
      <c r="M12973">
        <v>0</v>
      </c>
      <c r="N12973">
        <v>0</v>
      </c>
    </row>
    <row r="12974" spans="1:15">
      <c r="A12974" t="s">
        <v>44215</v>
      </c>
      <c r="B12974" t="s">
        <v>11879</v>
      </c>
      <c r="C12974" t="s">
        <v>12899</v>
      </c>
      <c r="D12974" t="s">
        <v>44216</v>
      </c>
      <c r="E12974" t="b">
        <v>0</v>
      </c>
      <c r="F12974" t="s">
        <v>11624</v>
      </c>
      <c r="G12974">
        <v>17.047999999999998</v>
      </c>
      <c r="H12974">
        <v>-98.351399999999998</v>
      </c>
      <c r="I12974" t="s">
        <v>44217</v>
      </c>
      <c r="L12974">
        <v>0</v>
      </c>
      <c r="M12974">
        <v>0</v>
      </c>
      <c r="N12974">
        <v>0</v>
      </c>
      <c r="O12974" t="s">
        <v>11883</v>
      </c>
    </row>
    <row r="12975" spans="1:15">
      <c r="A12975" t="s">
        <v>44218</v>
      </c>
      <c r="B12975" t="s">
        <v>367</v>
      </c>
      <c r="C12975" t="s">
        <v>44219</v>
      </c>
      <c r="D12975" t="s">
        <v>44220</v>
      </c>
      <c r="E12975" t="b">
        <v>0</v>
      </c>
      <c r="F12975" t="s">
        <v>11610</v>
      </c>
      <c r="L12975">
        <v>0</v>
      </c>
      <c r="M12975">
        <v>0</v>
      </c>
      <c r="N12975">
        <v>0</v>
      </c>
    </row>
    <row r="12976" spans="1:15">
      <c r="A12976" t="s">
        <v>44221</v>
      </c>
      <c r="B12976" t="s">
        <v>11615</v>
      </c>
      <c r="C12976" t="s">
        <v>44222</v>
      </c>
      <c r="D12976" t="s">
        <v>44223</v>
      </c>
      <c r="E12976" t="b">
        <v>0</v>
      </c>
      <c r="F12976" t="s">
        <v>11610</v>
      </c>
      <c r="L12976">
        <v>0</v>
      </c>
      <c r="M12976">
        <v>0</v>
      </c>
      <c r="N12976">
        <v>0</v>
      </c>
    </row>
    <row r="12977" spans="1:15">
      <c r="A12977" t="s">
        <v>44224</v>
      </c>
      <c r="B12977" t="s">
        <v>367</v>
      </c>
      <c r="C12977" t="s">
        <v>44219</v>
      </c>
      <c r="D12977" t="s">
        <v>44225</v>
      </c>
      <c r="E12977" t="b">
        <v>0</v>
      </c>
      <c r="F12977" t="s">
        <v>11610</v>
      </c>
      <c r="L12977">
        <v>0</v>
      </c>
      <c r="M12977">
        <v>0</v>
      </c>
      <c r="N12977">
        <v>0</v>
      </c>
    </row>
    <row r="12978" spans="1:15">
      <c r="A12978" t="s">
        <v>44226</v>
      </c>
      <c r="B12978" t="s">
        <v>367</v>
      </c>
      <c r="C12978" t="s">
        <v>16925</v>
      </c>
      <c r="D12978" t="s">
        <v>44227</v>
      </c>
      <c r="E12978" t="b">
        <v>0</v>
      </c>
      <c r="F12978" t="s">
        <v>11610</v>
      </c>
      <c r="L12978">
        <v>0</v>
      </c>
      <c r="M12978">
        <v>0</v>
      </c>
      <c r="N12978">
        <v>0</v>
      </c>
    </row>
    <row r="12979" spans="1:15">
      <c r="A12979" t="s">
        <v>44228</v>
      </c>
      <c r="B12979" t="s">
        <v>11637</v>
      </c>
      <c r="C12979" t="s">
        <v>30819</v>
      </c>
      <c r="D12979" t="s">
        <v>44229</v>
      </c>
      <c r="E12979" t="b">
        <v>0</v>
      </c>
      <c r="F12979" t="s">
        <v>11610</v>
      </c>
      <c r="L12979">
        <v>0</v>
      </c>
      <c r="M12979">
        <v>0</v>
      </c>
      <c r="N12979">
        <v>0</v>
      </c>
    </row>
    <row r="12980" spans="1:15">
      <c r="A12980" t="s">
        <v>29549</v>
      </c>
      <c r="B12980" t="s">
        <v>11637</v>
      </c>
      <c r="C12980" t="s">
        <v>28272</v>
      </c>
      <c r="D12980" t="s">
        <v>44230</v>
      </c>
      <c r="E12980" t="b">
        <v>0</v>
      </c>
      <c r="F12980" t="s">
        <v>11624</v>
      </c>
      <c r="G12980">
        <v>24.57</v>
      </c>
      <c r="H12980">
        <v>73.680000000000007</v>
      </c>
      <c r="I12980" t="s">
        <v>44231</v>
      </c>
      <c r="L12980">
        <v>0</v>
      </c>
      <c r="M12980">
        <v>0</v>
      </c>
      <c r="N12980">
        <v>3</v>
      </c>
      <c r="O12980" t="s">
        <v>11630</v>
      </c>
    </row>
    <row r="12981" spans="1:15">
      <c r="A12981" t="s">
        <v>44232</v>
      </c>
      <c r="B12981" t="s">
        <v>11637</v>
      </c>
      <c r="C12981" t="s">
        <v>29438</v>
      </c>
      <c r="D12981" t="s">
        <v>44233</v>
      </c>
      <c r="E12981" t="b">
        <v>0</v>
      </c>
      <c r="F12981" t="s">
        <v>11624</v>
      </c>
      <c r="G12981">
        <v>27.736000000000001</v>
      </c>
      <c r="H12981">
        <v>76.947000000000003</v>
      </c>
      <c r="I12981" t="s">
        <v>44234</v>
      </c>
      <c r="L12981">
        <v>0</v>
      </c>
      <c r="M12981">
        <v>0</v>
      </c>
      <c r="N12981">
        <v>0</v>
      </c>
      <c r="O12981" t="s">
        <v>11630</v>
      </c>
    </row>
    <row r="12982" spans="1:15">
      <c r="A12982" t="s">
        <v>44235</v>
      </c>
      <c r="B12982" t="s">
        <v>11637</v>
      </c>
      <c r="C12982" t="s">
        <v>15828</v>
      </c>
      <c r="D12982" t="s">
        <v>44236</v>
      </c>
      <c r="E12982" t="b">
        <v>0</v>
      </c>
      <c r="F12982" t="s">
        <v>11610</v>
      </c>
      <c r="L12982">
        <v>0</v>
      </c>
      <c r="M12982">
        <v>0</v>
      </c>
      <c r="N12982">
        <v>0</v>
      </c>
    </row>
    <row r="12983" spans="1:15">
      <c r="A12983" t="s">
        <v>25976</v>
      </c>
      <c r="B12983" t="s">
        <v>11644</v>
      </c>
      <c r="C12983" t="s">
        <v>40482</v>
      </c>
      <c r="D12983" t="s">
        <v>44237</v>
      </c>
      <c r="E12983" t="b">
        <v>0</v>
      </c>
      <c r="F12983" t="s">
        <v>11622</v>
      </c>
      <c r="L12983">
        <v>0</v>
      </c>
      <c r="M12983">
        <v>2</v>
      </c>
      <c r="N12983">
        <v>5</v>
      </c>
    </row>
    <row r="12984" spans="1:15">
      <c r="A12984" t="s">
        <v>28272</v>
      </c>
      <c r="B12984" t="s">
        <v>11637</v>
      </c>
      <c r="C12984" t="s">
        <v>15874</v>
      </c>
      <c r="D12984" t="s">
        <v>44238</v>
      </c>
      <c r="E12984" t="b">
        <v>0</v>
      </c>
      <c r="F12984" t="s">
        <v>11622</v>
      </c>
      <c r="L12984">
        <v>0</v>
      </c>
      <c r="M12984">
        <v>2</v>
      </c>
      <c r="N12984">
        <v>3</v>
      </c>
    </row>
    <row r="12985" spans="1:15">
      <c r="A12985" t="s">
        <v>29438</v>
      </c>
      <c r="B12985" t="s">
        <v>11637</v>
      </c>
      <c r="C12985" t="s">
        <v>15874</v>
      </c>
      <c r="D12985" t="s">
        <v>44239</v>
      </c>
      <c r="E12985" t="b">
        <v>0</v>
      </c>
      <c r="F12985" t="s">
        <v>11622</v>
      </c>
      <c r="L12985">
        <v>0</v>
      </c>
      <c r="M12985">
        <v>4</v>
      </c>
      <c r="N12985">
        <v>8</v>
      </c>
    </row>
    <row r="12986" spans="1:15">
      <c r="A12986" t="s">
        <v>44240</v>
      </c>
      <c r="B12986" t="s">
        <v>11981</v>
      </c>
      <c r="C12986" t="s">
        <v>44241</v>
      </c>
      <c r="D12986" t="s">
        <v>44242</v>
      </c>
      <c r="E12986" t="b">
        <v>0</v>
      </c>
      <c r="F12986" t="s">
        <v>11624</v>
      </c>
      <c r="G12986">
        <v>19.75</v>
      </c>
      <c r="H12986">
        <v>-98.5</v>
      </c>
      <c r="I12986" t="s">
        <v>44243</v>
      </c>
      <c r="L12986">
        <v>0</v>
      </c>
      <c r="M12986">
        <v>0</v>
      </c>
      <c r="N12986">
        <v>0</v>
      </c>
      <c r="O12986" t="s">
        <v>11883</v>
      </c>
    </row>
    <row r="12987" spans="1:15">
      <c r="A12987" t="s">
        <v>44244</v>
      </c>
      <c r="B12987" t="s">
        <v>25799</v>
      </c>
      <c r="C12987" t="s">
        <v>43883</v>
      </c>
      <c r="D12987" t="s">
        <v>44245</v>
      </c>
      <c r="E12987" t="b">
        <v>0</v>
      </c>
      <c r="F12987" t="s">
        <v>11624</v>
      </c>
      <c r="G12987">
        <v>-1.1801600000000001</v>
      </c>
      <c r="H12987">
        <v>133.61799999999999</v>
      </c>
      <c r="I12987" t="s">
        <v>44246</v>
      </c>
      <c r="L12987">
        <v>0</v>
      </c>
      <c r="M12987">
        <v>0</v>
      </c>
      <c r="N12987">
        <v>0</v>
      </c>
      <c r="O12987" t="s">
        <v>11768</v>
      </c>
    </row>
    <row r="12988" spans="1:15">
      <c r="A12988" t="s">
        <v>22906</v>
      </c>
      <c r="B12988" t="s">
        <v>11644</v>
      </c>
      <c r="C12988" t="s">
        <v>20101</v>
      </c>
      <c r="D12988" t="s">
        <v>44247</v>
      </c>
      <c r="E12988" t="b">
        <v>0</v>
      </c>
      <c r="F12988" t="s">
        <v>11622</v>
      </c>
      <c r="L12988">
        <v>2</v>
      </c>
      <c r="M12988">
        <v>4</v>
      </c>
      <c r="N12988">
        <v>6</v>
      </c>
    </row>
    <row r="12989" spans="1:15">
      <c r="A12989" t="s">
        <v>44248</v>
      </c>
      <c r="B12989" t="s">
        <v>11607</v>
      </c>
      <c r="C12989" t="s">
        <v>25157</v>
      </c>
      <c r="D12989" t="s">
        <v>44249</v>
      </c>
      <c r="E12989" t="b">
        <v>0</v>
      </c>
      <c r="F12989" t="s">
        <v>11610</v>
      </c>
      <c r="L12989">
        <v>0</v>
      </c>
      <c r="M12989">
        <v>0</v>
      </c>
      <c r="N12989">
        <v>0</v>
      </c>
    </row>
    <row r="12990" spans="1:15">
      <c r="A12990" t="s">
        <v>44250</v>
      </c>
      <c r="B12990" t="s">
        <v>11879</v>
      </c>
      <c r="C12990" t="s">
        <v>23505</v>
      </c>
      <c r="D12990" t="s">
        <v>44251</v>
      </c>
      <c r="E12990" t="b">
        <v>0</v>
      </c>
      <c r="F12990" t="s">
        <v>11624</v>
      </c>
      <c r="G12990">
        <v>18.144200000000001</v>
      </c>
      <c r="H12990">
        <v>-97.587900000000005</v>
      </c>
      <c r="I12990" t="s">
        <v>44252</v>
      </c>
      <c r="L12990">
        <v>0</v>
      </c>
      <c r="M12990">
        <v>0</v>
      </c>
      <c r="N12990">
        <v>0</v>
      </c>
      <c r="O12990" t="s">
        <v>11883</v>
      </c>
    </row>
    <row r="12991" spans="1:15">
      <c r="A12991" t="s">
        <v>8431</v>
      </c>
      <c r="B12991" t="s">
        <v>11879</v>
      </c>
      <c r="C12991" t="s">
        <v>44253</v>
      </c>
      <c r="D12991" t="s">
        <v>44254</v>
      </c>
      <c r="E12991" t="b">
        <v>0</v>
      </c>
      <c r="F12991" t="s">
        <v>11624</v>
      </c>
      <c r="G12991">
        <v>20.227399999999999</v>
      </c>
      <c r="H12991">
        <v>-99.556399999999996</v>
      </c>
      <c r="I12991" t="s">
        <v>8432</v>
      </c>
      <c r="L12991">
        <v>0</v>
      </c>
      <c r="M12991">
        <v>0</v>
      </c>
      <c r="N12991">
        <v>0</v>
      </c>
      <c r="O12991" t="s">
        <v>12238</v>
      </c>
    </row>
    <row r="12992" spans="1:15">
      <c r="A12992" t="s">
        <v>44255</v>
      </c>
      <c r="B12992" t="s">
        <v>6742</v>
      </c>
      <c r="C12992" t="s">
        <v>38607</v>
      </c>
      <c r="D12992" t="s">
        <v>44256</v>
      </c>
      <c r="E12992" t="b">
        <v>0</v>
      </c>
      <c r="F12992" t="s">
        <v>11610</v>
      </c>
      <c r="L12992">
        <v>0</v>
      </c>
      <c r="M12992">
        <v>0</v>
      </c>
      <c r="N12992">
        <v>0</v>
      </c>
    </row>
    <row r="12993" spans="1:15">
      <c r="A12993" t="s">
        <v>44257</v>
      </c>
      <c r="B12993" t="s">
        <v>6742</v>
      </c>
      <c r="C12993" t="s">
        <v>1906</v>
      </c>
      <c r="D12993" t="s">
        <v>44258</v>
      </c>
      <c r="E12993" t="b">
        <v>0</v>
      </c>
      <c r="F12993" t="s">
        <v>11610</v>
      </c>
      <c r="L12993">
        <v>0</v>
      </c>
      <c r="M12993">
        <v>0</v>
      </c>
      <c r="N12993">
        <v>0</v>
      </c>
    </row>
    <row r="12994" spans="1:15">
      <c r="A12994" t="s">
        <v>44259</v>
      </c>
      <c r="B12994" t="s">
        <v>6742</v>
      </c>
      <c r="C12994" t="s">
        <v>38741</v>
      </c>
      <c r="D12994" t="s">
        <v>44260</v>
      </c>
      <c r="E12994" t="b">
        <v>0</v>
      </c>
      <c r="F12994" t="s">
        <v>11624</v>
      </c>
      <c r="G12994">
        <v>-4.2657299999999996</v>
      </c>
      <c r="H12994">
        <v>16.2559</v>
      </c>
      <c r="I12994" t="s">
        <v>44261</v>
      </c>
      <c r="L12994">
        <v>0</v>
      </c>
      <c r="M12994">
        <v>0</v>
      </c>
      <c r="N12994">
        <v>2</v>
      </c>
      <c r="O12994" t="s">
        <v>14825</v>
      </c>
    </row>
    <row r="12995" spans="1:15">
      <c r="A12995" t="s">
        <v>16664</v>
      </c>
      <c r="B12995" t="s">
        <v>6742</v>
      </c>
      <c r="C12995" t="s">
        <v>21951</v>
      </c>
      <c r="D12995" t="s">
        <v>44262</v>
      </c>
      <c r="E12995" t="b">
        <v>0</v>
      </c>
      <c r="F12995" t="s">
        <v>11624</v>
      </c>
      <c r="G12995">
        <v>6.6</v>
      </c>
      <c r="H12995">
        <v>10.936386000000001</v>
      </c>
      <c r="I12995" t="s">
        <v>44263</v>
      </c>
      <c r="L12995">
        <v>0</v>
      </c>
      <c r="M12995">
        <v>0</v>
      </c>
      <c r="N12995">
        <v>10</v>
      </c>
      <c r="O12995" t="s">
        <v>11802</v>
      </c>
    </row>
    <row r="12996" spans="1:15">
      <c r="A12996" t="s">
        <v>21953</v>
      </c>
      <c r="B12996" t="s">
        <v>6742</v>
      </c>
      <c r="C12996" t="s">
        <v>25754</v>
      </c>
      <c r="D12996" t="s">
        <v>44264</v>
      </c>
      <c r="E12996" t="b">
        <v>0</v>
      </c>
      <c r="F12996" t="s">
        <v>11622</v>
      </c>
      <c r="L12996">
        <v>1</v>
      </c>
      <c r="M12996">
        <v>3</v>
      </c>
      <c r="N12996">
        <v>14</v>
      </c>
    </row>
    <row r="12997" spans="1:15">
      <c r="A12997" t="s">
        <v>44265</v>
      </c>
      <c r="B12997" t="s">
        <v>6742</v>
      </c>
      <c r="C12997" t="s">
        <v>13575</v>
      </c>
      <c r="D12997" t="s">
        <v>44266</v>
      </c>
      <c r="E12997" t="b">
        <v>0</v>
      </c>
      <c r="F12997" t="s">
        <v>11610</v>
      </c>
      <c r="L12997">
        <v>0</v>
      </c>
      <c r="M12997">
        <v>0</v>
      </c>
      <c r="N12997">
        <v>0</v>
      </c>
    </row>
    <row r="12998" spans="1:15">
      <c r="A12998" t="s">
        <v>44267</v>
      </c>
      <c r="B12998" t="s">
        <v>6742</v>
      </c>
      <c r="C12998" t="s">
        <v>27588</v>
      </c>
      <c r="D12998" t="s">
        <v>44268</v>
      </c>
      <c r="E12998" t="b">
        <v>0</v>
      </c>
      <c r="F12998" t="s">
        <v>11610</v>
      </c>
      <c r="I12998" t="s">
        <v>44269</v>
      </c>
      <c r="L12998">
        <v>0</v>
      </c>
      <c r="M12998">
        <v>0</v>
      </c>
      <c r="N12998">
        <v>0</v>
      </c>
    </row>
    <row r="12999" spans="1:15">
      <c r="A12999" t="s">
        <v>44270</v>
      </c>
      <c r="B12999" t="s">
        <v>11637</v>
      </c>
      <c r="C12999" t="s">
        <v>12824</v>
      </c>
      <c r="D12999" t="s">
        <v>44271</v>
      </c>
      <c r="E12999" t="b">
        <v>0</v>
      </c>
      <c r="F12999" t="s">
        <v>11610</v>
      </c>
      <c r="L12999">
        <v>0</v>
      </c>
      <c r="M12999">
        <v>0</v>
      </c>
      <c r="N12999">
        <v>0</v>
      </c>
    </row>
    <row r="13000" spans="1:15">
      <c r="A13000" t="s">
        <v>44272</v>
      </c>
      <c r="B13000" t="s">
        <v>6742</v>
      </c>
      <c r="C13000" t="s">
        <v>25512</v>
      </c>
      <c r="D13000" t="s">
        <v>44273</v>
      </c>
      <c r="E13000" t="b">
        <v>0</v>
      </c>
      <c r="F13000" t="s">
        <v>11610</v>
      </c>
      <c r="L13000">
        <v>0</v>
      </c>
      <c r="M13000">
        <v>0</v>
      </c>
      <c r="N13000">
        <v>0</v>
      </c>
    </row>
    <row r="13001" spans="1:15">
      <c r="A13001" t="s">
        <v>44274</v>
      </c>
      <c r="B13001" t="s">
        <v>367</v>
      </c>
      <c r="C13001" t="s">
        <v>20725</v>
      </c>
      <c r="D13001" t="s">
        <v>44275</v>
      </c>
      <c r="E13001" t="b">
        <v>0</v>
      </c>
      <c r="F13001" t="s">
        <v>11610</v>
      </c>
      <c r="L13001">
        <v>0</v>
      </c>
      <c r="M13001">
        <v>0</v>
      </c>
      <c r="N13001">
        <v>0</v>
      </c>
    </row>
    <row r="13002" spans="1:15">
      <c r="A13002" t="s">
        <v>44276</v>
      </c>
      <c r="B13002" t="s">
        <v>367</v>
      </c>
      <c r="C13002" t="s">
        <v>13941</v>
      </c>
      <c r="D13002" t="s">
        <v>44277</v>
      </c>
      <c r="E13002" t="b">
        <v>0</v>
      </c>
      <c r="F13002" t="s">
        <v>11610</v>
      </c>
      <c r="L13002">
        <v>0</v>
      </c>
      <c r="M13002">
        <v>0</v>
      </c>
      <c r="N13002">
        <v>0</v>
      </c>
    </row>
    <row r="13003" spans="1:15">
      <c r="A13003" t="s">
        <v>44278</v>
      </c>
      <c r="B13003" t="s">
        <v>11879</v>
      </c>
      <c r="C13003" t="s">
        <v>41000</v>
      </c>
      <c r="D13003" t="s">
        <v>44279</v>
      </c>
      <c r="E13003" t="b">
        <v>0</v>
      </c>
      <c r="F13003" t="s">
        <v>11624</v>
      </c>
      <c r="G13003">
        <v>16.2197</v>
      </c>
      <c r="H13003">
        <v>-96.664699999999996</v>
      </c>
      <c r="I13003" t="s">
        <v>44280</v>
      </c>
      <c r="L13003">
        <v>0</v>
      </c>
      <c r="M13003">
        <v>0</v>
      </c>
      <c r="N13003">
        <v>0</v>
      </c>
      <c r="O13003" t="s">
        <v>11883</v>
      </c>
    </row>
    <row r="13004" spans="1:15">
      <c r="A13004" t="s">
        <v>41000</v>
      </c>
      <c r="B13004" t="s">
        <v>11879</v>
      </c>
      <c r="C13004" t="s">
        <v>13326</v>
      </c>
      <c r="D13004" t="s">
        <v>44281</v>
      </c>
      <c r="E13004" t="b">
        <v>0</v>
      </c>
      <c r="F13004" t="s">
        <v>11622</v>
      </c>
      <c r="L13004">
        <v>0</v>
      </c>
      <c r="M13004">
        <v>5</v>
      </c>
      <c r="N13004">
        <v>4</v>
      </c>
    </row>
    <row r="13005" spans="1:15">
      <c r="A13005" t="s">
        <v>44282</v>
      </c>
      <c r="B13005" t="s">
        <v>13276</v>
      </c>
      <c r="C13005" t="s">
        <v>35820</v>
      </c>
      <c r="D13005" t="s">
        <v>44283</v>
      </c>
      <c r="E13005" t="b">
        <v>0</v>
      </c>
      <c r="F13005" t="s">
        <v>11610</v>
      </c>
      <c r="L13005">
        <v>0</v>
      </c>
      <c r="M13005">
        <v>0</v>
      </c>
      <c r="N13005">
        <v>0</v>
      </c>
    </row>
    <row r="13006" spans="1:15">
      <c r="A13006" t="s">
        <v>44284</v>
      </c>
      <c r="B13006" t="s">
        <v>12979</v>
      </c>
      <c r="C13006" t="s">
        <v>26587</v>
      </c>
      <c r="D13006" t="s">
        <v>44285</v>
      </c>
      <c r="E13006" t="b">
        <v>0</v>
      </c>
      <c r="F13006" t="s">
        <v>11624</v>
      </c>
      <c r="G13006">
        <v>40</v>
      </c>
      <c r="H13006">
        <v>-90</v>
      </c>
      <c r="I13006" t="s">
        <v>44286</v>
      </c>
      <c r="L13006">
        <v>0</v>
      </c>
      <c r="M13006">
        <v>0</v>
      </c>
      <c r="N13006">
        <v>2</v>
      </c>
      <c r="O13006" t="s">
        <v>11944</v>
      </c>
    </row>
    <row r="13007" spans="1:15">
      <c r="A13007" t="s">
        <v>44287</v>
      </c>
      <c r="B13007" t="s">
        <v>11644</v>
      </c>
      <c r="C13007" t="s">
        <v>32543</v>
      </c>
      <c r="D13007" t="s">
        <v>44288</v>
      </c>
      <c r="E13007" t="b">
        <v>0</v>
      </c>
      <c r="F13007" t="s">
        <v>11610</v>
      </c>
      <c r="L13007">
        <v>0</v>
      </c>
      <c r="M13007">
        <v>0</v>
      </c>
      <c r="N13007">
        <v>0</v>
      </c>
    </row>
    <row r="13008" spans="1:15">
      <c r="A13008" t="s">
        <v>44289</v>
      </c>
      <c r="B13008" t="s">
        <v>11615</v>
      </c>
      <c r="C13008" t="s">
        <v>35468</v>
      </c>
      <c r="D13008" t="s">
        <v>44290</v>
      </c>
      <c r="E13008" t="b">
        <v>0</v>
      </c>
      <c r="F13008" t="s">
        <v>11624</v>
      </c>
      <c r="G13008">
        <v>-4.4211600000000004</v>
      </c>
      <c r="H13008">
        <v>145.27600000000001</v>
      </c>
      <c r="I13008" t="s">
        <v>44291</v>
      </c>
      <c r="L13008">
        <v>0</v>
      </c>
      <c r="M13008">
        <v>0</v>
      </c>
      <c r="N13008">
        <v>0</v>
      </c>
      <c r="O13008" t="s">
        <v>11660</v>
      </c>
    </row>
    <row r="13009" spans="1:15">
      <c r="A13009" t="s">
        <v>44292</v>
      </c>
      <c r="B13009" t="s">
        <v>11615</v>
      </c>
      <c r="C13009" t="s">
        <v>18644</v>
      </c>
      <c r="D13009" t="s">
        <v>44293</v>
      </c>
      <c r="E13009" t="b">
        <v>0</v>
      </c>
      <c r="F13009" t="s">
        <v>11622</v>
      </c>
      <c r="L13009">
        <v>0</v>
      </c>
      <c r="M13009">
        <v>2</v>
      </c>
      <c r="N13009">
        <v>3</v>
      </c>
    </row>
    <row r="13010" spans="1:15">
      <c r="A13010" t="s">
        <v>44294</v>
      </c>
      <c r="B13010" t="s">
        <v>11615</v>
      </c>
      <c r="C13010" t="s">
        <v>44292</v>
      </c>
      <c r="D13010" t="s">
        <v>44295</v>
      </c>
      <c r="E13010" t="b">
        <v>0</v>
      </c>
      <c r="F13010" t="s">
        <v>11624</v>
      </c>
      <c r="G13010">
        <v>-4.7088099999999997</v>
      </c>
      <c r="H13010">
        <v>141.523</v>
      </c>
      <c r="I13010" t="s">
        <v>44296</v>
      </c>
      <c r="L13010">
        <v>0</v>
      </c>
      <c r="M13010">
        <v>0</v>
      </c>
      <c r="N13010">
        <v>3</v>
      </c>
      <c r="O13010" t="s">
        <v>11660</v>
      </c>
    </row>
    <row r="13011" spans="1:15">
      <c r="A13011" t="s">
        <v>44297</v>
      </c>
      <c r="B13011" t="s">
        <v>11615</v>
      </c>
      <c r="C13011" t="s">
        <v>44294</v>
      </c>
      <c r="D13011" t="s">
        <v>44298</v>
      </c>
      <c r="E13011" t="b">
        <v>0</v>
      </c>
      <c r="F13011" t="s">
        <v>11610</v>
      </c>
      <c r="L13011">
        <v>0</v>
      </c>
      <c r="M13011">
        <v>0</v>
      </c>
      <c r="N13011">
        <v>0</v>
      </c>
    </row>
    <row r="13012" spans="1:15">
      <c r="A13012" t="s">
        <v>44299</v>
      </c>
      <c r="B13012" t="s">
        <v>12204</v>
      </c>
      <c r="C13012" t="s">
        <v>12204</v>
      </c>
      <c r="D13012" t="s">
        <v>44300</v>
      </c>
      <c r="E13012" t="b">
        <v>0</v>
      </c>
      <c r="F13012" t="s">
        <v>11622</v>
      </c>
      <c r="L13012">
        <v>0</v>
      </c>
      <c r="M13012">
        <v>1</v>
      </c>
      <c r="N13012">
        <v>0</v>
      </c>
    </row>
    <row r="13013" spans="1:15">
      <c r="A13013" t="s">
        <v>44301</v>
      </c>
      <c r="B13013" t="s">
        <v>12241</v>
      </c>
      <c r="C13013" t="s">
        <v>12241</v>
      </c>
      <c r="D13013" t="s">
        <v>44302</v>
      </c>
      <c r="E13013" t="b">
        <v>0</v>
      </c>
      <c r="F13013" t="s">
        <v>11624</v>
      </c>
      <c r="G13013">
        <v>-12.5</v>
      </c>
      <c r="H13013">
        <v>-53.42</v>
      </c>
      <c r="I13013" t="s">
        <v>44303</v>
      </c>
      <c r="L13013">
        <v>0</v>
      </c>
      <c r="M13013">
        <v>0</v>
      </c>
      <c r="N13013">
        <v>0</v>
      </c>
      <c r="O13013" t="s">
        <v>11969</v>
      </c>
    </row>
    <row r="13014" spans="1:15">
      <c r="A13014" t="s">
        <v>44304</v>
      </c>
      <c r="B13014" t="s">
        <v>6742</v>
      </c>
      <c r="C13014" t="s">
        <v>17262</v>
      </c>
      <c r="D13014" t="s">
        <v>44305</v>
      </c>
      <c r="E13014" t="b">
        <v>0</v>
      </c>
      <c r="F13014" t="s">
        <v>11610</v>
      </c>
      <c r="L13014">
        <v>0</v>
      </c>
      <c r="M13014">
        <v>0</v>
      </c>
      <c r="N13014">
        <v>0</v>
      </c>
    </row>
    <row r="13015" spans="1:15">
      <c r="A13015" t="s">
        <v>44306</v>
      </c>
      <c r="B13015" t="s">
        <v>13737</v>
      </c>
      <c r="C13015" t="s">
        <v>44307</v>
      </c>
      <c r="D13015" t="s">
        <v>44308</v>
      </c>
      <c r="E13015" t="b">
        <v>0</v>
      </c>
      <c r="F13015" t="s">
        <v>11610</v>
      </c>
      <c r="L13015">
        <v>0</v>
      </c>
      <c r="M13015">
        <v>0</v>
      </c>
      <c r="N13015">
        <v>0</v>
      </c>
    </row>
    <row r="13016" spans="1:15">
      <c r="A13016" t="s">
        <v>44309</v>
      </c>
      <c r="B13016" t="s">
        <v>12204</v>
      </c>
      <c r="C13016" t="s">
        <v>28092</v>
      </c>
      <c r="D13016" t="s">
        <v>44310</v>
      </c>
      <c r="E13016" t="b">
        <v>0</v>
      </c>
      <c r="F13016" t="s">
        <v>11624</v>
      </c>
      <c r="G13016">
        <v>49.168100000000003</v>
      </c>
      <c r="H13016">
        <v>-99.911900000000003</v>
      </c>
      <c r="I13016" t="s">
        <v>44311</v>
      </c>
      <c r="L13016">
        <v>0</v>
      </c>
      <c r="M13016">
        <v>0</v>
      </c>
      <c r="N13016">
        <v>0</v>
      </c>
      <c r="O13016" t="s">
        <v>14875</v>
      </c>
    </row>
    <row r="13017" spans="1:15">
      <c r="A13017" t="s">
        <v>44312</v>
      </c>
      <c r="B13017" t="s">
        <v>12751</v>
      </c>
      <c r="C13017" t="s">
        <v>25591</v>
      </c>
      <c r="D13017" t="s">
        <v>44313</v>
      </c>
      <c r="E13017" t="b">
        <v>0</v>
      </c>
      <c r="F13017" t="s">
        <v>11624</v>
      </c>
      <c r="G13017">
        <v>18.341200000000001</v>
      </c>
      <c r="H13017">
        <v>-103.361</v>
      </c>
      <c r="I13017" t="s">
        <v>44314</v>
      </c>
      <c r="L13017">
        <v>0</v>
      </c>
      <c r="M13017">
        <v>0</v>
      </c>
      <c r="N13017">
        <v>0</v>
      </c>
      <c r="O13017" t="s">
        <v>11883</v>
      </c>
    </row>
    <row r="13018" spans="1:15">
      <c r="A13018" t="s">
        <v>44315</v>
      </c>
      <c r="B13018" t="s">
        <v>11879</v>
      </c>
      <c r="C13018" t="s">
        <v>21735</v>
      </c>
      <c r="D13018" t="s">
        <v>44316</v>
      </c>
      <c r="E13018" t="b">
        <v>0</v>
      </c>
      <c r="F13018" t="s">
        <v>11624</v>
      </c>
      <c r="G13018">
        <v>19.7239</v>
      </c>
      <c r="H13018">
        <v>-100.29300000000001</v>
      </c>
      <c r="I13018" t="s">
        <v>44317</v>
      </c>
      <c r="L13018">
        <v>0</v>
      </c>
      <c r="M13018">
        <v>0</v>
      </c>
      <c r="N13018">
        <v>0</v>
      </c>
      <c r="O13018" t="s">
        <v>11883</v>
      </c>
    </row>
    <row r="13019" spans="1:15">
      <c r="A13019" t="s">
        <v>10879</v>
      </c>
      <c r="B13019" t="s">
        <v>367</v>
      </c>
      <c r="C13019" t="s">
        <v>12101</v>
      </c>
      <c r="D13019" t="s">
        <v>44318</v>
      </c>
      <c r="E13019" t="b">
        <v>0</v>
      </c>
      <c r="F13019" t="s">
        <v>11622</v>
      </c>
      <c r="L13019">
        <v>16</v>
      </c>
      <c r="M13019">
        <v>21</v>
      </c>
      <c r="N13019">
        <v>21</v>
      </c>
    </row>
    <row r="13020" spans="1:15">
      <c r="A13020" t="s">
        <v>21876</v>
      </c>
      <c r="B13020" t="s">
        <v>367</v>
      </c>
      <c r="C13020" t="s">
        <v>10879</v>
      </c>
      <c r="D13020" t="s">
        <v>44319</v>
      </c>
      <c r="E13020" t="b">
        <v>0</v>
      </c>
      <c r="F13020" t="s">
        <v>11622</v>
      </c>
      <c r="L13020">
        <v>15</v>
      </c>
      <c r="M13020">
        <v>20</v>
      </c>
      <c r="N13020">
        <v>21</v>
      </c>
    </row>
    <row r="13021" spans="1:15">
      <c r="A13021" t="s">
        <v>44320</v>
      </c>
      <c r="B13021" t="s">
        <v>11637</v>
      </c>
      <c r="C13021" t="s">
        <v>27954</v>
      </c>
      <c r="D13021" t="s">
        <v>44321</v>
      </c>
      <c r="E13021" t="b">
        <v>0</v>
      </c>
      <c r="F13021" t="s">
        <v>11610</v>
      </c>
      <c r="L13021">
        <v>0</v>
      </c>
      <c r="M13021">
        <v>0</v>
      </c>
      <c r="N13021">
        <v>0</v>
      </c>
    </row>
    <row r="13022" spans="1:15">
      <c r="A13022" t="s">
        <v>44322</v>
      </c>
      <c r="B13022" t="s">
        <v>11637</v>
      </c>
      <c r="C13022" t="s">
        <v>3656</v>
      </c>
      <c r="D13022" t="s">
        <v>44323</v>
      </c>
      <c r="E13022" t="b">
        <v>0</v>
      </c>
      <c r="F13022" t="s">
        <v>11610</v>
      </c>
      <c r="I13022" t="s">
        <v>44324</v>
      </c>
      <c r="L13022">
        <v>0</v>
      </c>
      <c r="M13022">
        <v>0</v>
      </c>
      <c r="N13022">
        <v>0</v>
      </c>
    </row>
    <row r="13023" spans="1:15">
      <c r="A13023" t="s">
        <v>44325</v>
      </c>
      <c r="B13023" t="s">
        <v>11637</v>
      </c>
      <c r="C13023" t="s">
        <v>41487</v>
      </c>
      <c r="D13023" t="s">
        <v>44326</v>
      </c>
      <c r="E13023" t="b">
        <v>0</v>
      </c>
      <c r="F13023" t="s">
        <v>11624</v>
      </c>
      <c r="I13023" t="s">
        <v>44327</v>
      </c>
      <c r="L13023">
        <v>0</v>
      </c>
      <c r="M13023">
        <v>0</v>
      </c>
      <c r="N13023">
        <v>0</v>
      </c>
      <c r="O13023" t="s">
        <v>19884</v>
      </c>
    </row>
    <row r="13024" spans="1:15">
      <c r="A13024" t="s">
        <v>44328</v>
      </c>
      <c r="B13024" t="s">
        <v>11637</v>
      </c>
      <c r="C13024" t="s">
        <v>40968</v>
      </c>
      <c r="D13024" t="s">
        <v>44329</v>
      </c>
      <c r="E13024" t="b">
        <v>0</v>
      </c>
      <c r="F13024" t="s">
        <v>11624</v>
      </c>
      <c r="I13024" t="s">
        <v>44330</v>
      </c>
      <c r="L13024">
        <v>0</v>
      </c>
      <c r="M13024">
        <v>0</v>
      </c>
      <c r="N13024">
        <v>0</v>
      </c>
      <c r="O13024" t="s">
        <v>25838</v>
      </c>
    </row>
    <row r="13025" spans="1:15">
      <c r="A13025" t="s">
        <v>41315</v>
      </c>
      <c r="B13025" t="s">
        <v>11637</v>
      </c>
      <c r="C13025" t="s">
        <v>31114</v>
      </c>
      <c r="D13025" t="s">
        <v>44331</v>
      </c>
      <c r="E13025" t="b">
        <v>0</v>
      </c>
      <c r="F13025" t="s">
        <v>11622</v>
      </c>
      <c r="L13025">
        <v>1</v>
      </c>
      <c r="M13025">
        <v>3</v>
      </c>
      <c r="N13025">
        <v>25</v>
      </c>
    </row>
    <row r="13026" spans="1:15">
      <c r="A13026" t="s">
        <v>44332</v>
      </c>
      <c r="B13026" t="s">
        <v>11637</v>
      </c>
      <c r="C13026" t="s">
        <v>44333</v>
      </c>
      <c r="D13026" t="s">
        <v>44334</v>
      </c>
      <c r="E13026" t="b">
        <v>0</v>
      </c>
      <c r="F13026" t="s">
        <v>11624</v>
      </c>
      <c r="I13026" t="s">
        <v>44335</v>
      </c>
      <c r="L13026">
        <v>0</v>
      </c>
      <c r="M13026">
        <v>0</v>
      </c>
      <c r="N13026">
        <v>0</v>
      </c>
      <c r="O13026" t="s">
        <v>25638</v>
      </c>
    </row>
    <row r="13027" spans="1:15">
      <c r="A13027" t="s">
        <v>44336</v>
      </c>
      <c r="B13027" t="s">
        <v>12260</v>
      </c>
      <c r="C13027" t="s">
        <v>1503</v>
      </c>
      <c r="D13027" t="s">
        <v>44337</v>
      </c>
      <c r="E13027" t="b">
        <v>0</v>
      </c>
      <c r="F13027" t="s">
        <v>11610</v>
      </c>
      <c r="L13027">
        <v>0</v>
      </c>
      <c r="M13027">
        <v>0</v>
      </c>
      <c r="N13027">
        <v>0</v>
      </c>
    </row>
    <row r="13028" spans="1:15">
      <c r="A13028" t="s">
        <v>44338</v>
      </c>
      <c r="B13028" t="s">
        <v>12650</v>
      </c>
      <c r="C13028" t="s">
        <v>44339</v>
      </c>
      <c r="D13028" t="s">
        <v>44340</v>
      </c>
      <c r="E13028" t="b">
        <v>0</v>
      </c>
      <c r="F13028" t="s">
        <v>11622</v>
      </c>
      <c r="L13028">
        <v>1</v>
      </c>
      <c r="M13028">
        <v>3</v>
      </c>
      <c r="N13028">
        <v>0</v>
      </c>
    </row>
    <row r="13029" spans="1:15">
      <c r="A13029" t="s">
        <v>44009</v>
      </c>
      <c r="B13029" t="s">
        <v>331</v>
      </c>
      <c r="C13029" t="s">
        <v>22940</v>
      </c>
      <c r="D13029" t="s">
        <v>44341</v>
      </c>
      <c r="E13029" t="b">
        <v>0</v>
      </c>
      <c r="F13029" t="s">
        <v>11610</v>
      </c>
      <c r="L13029">
        <v>0</v>
      </c>
      <c r="M13029">
        <v>0</v>
      </c>
      <c r="N13029">
        <v>2</v>
      </c>
    </row>
    <row r="13030" spans="1:15">
      <c r="A13030" t="s">
        <v>44342</v>
      </c>
      <c r="B13030" t="s">
        <v>331</v>
      </c>
      <c r="C13030" t="s">
        <v>14894</v>
      </c>
      <c r="D13030" t="s">
        <v>44343</v>
      </c>
      <c r="E13030" t="b">
        <v>0</v>
      </c>
      <c r="F13030" t="s">
        <v>11610</v>
      </c>
      <c r="L13030">
        <v>0</v>
      </c>
      <c r="M13030">
        <v>0</v>
      </c>
      <c r="N13030">
        <v>0</v>
      </c>
    </row>
    <row r="13031" spans="1:15">
      <c r="A13031" t="s">
        <v>44344</v>
      </c>
      <c r="B13031" t="s">
        <v>11644</v>
      </c>
      <c r="C13031" t="s">
        <v>36209</v>
      </c>
      <c r="D13031" t="s">
        <v>44345</v>
      </c>
      <c r="E13031" t="b">
        <v>0</v>
      </c>
      <c r="F13031" t="s">
        <v>11610</v>
      </c>
      <c r="L13031">
        <v>0</v>
      </c>
      <c r="M13031">
        <v>0</v>
      </c>
      <c r="N13031">
        <v>0</v>
      </c>
    </row>
    <row r="13032" spans="1:15">
      <c r="A13032" t="s">
        <v>44346</v>
      </c>
      <c r="B13032" t="s">
        <v>367</v>
      </c>
      <c r="C13032" t="s">
        <v>44347</v>
      </c>
      <c r="D13032" t="s">
        <v>44348</v>
      </c>
      <c r="E13032" t="b">
        <v>0</v>
      </c>
      <c r="F13032" t="s">
        <v>11624</v>
      </c>
      <c r="G13032">
        <v>-6.8140400000000003</v>
      </c>
      <c r="H13032">
        <v>146.321</v>
      </c>
      <c r="I13032" t="s">
        <v>44349</v>
      </c>
      <c r="L13032">
        <v>0</v>
      </c>
      <c r="M13032">
        <v>0</v>
      </c>
      <c r="N13032">
        <v>0</v>
      </c>
      <c r="O13032" t="s">
        <v>11660</v>
      </c>
    </row>
    <row r="13033" spans="1:15">
      <c r="A13033" t="s">
        <v>27787</v>
      </c>
      <c r="B13033" t="s">
        <v>11607</v>
      </c>
      <c r="C13033" t="s">
        <v>19120</v>
      </c>
      <c r="D13033" t="s">
        <v>44350</v>
      </c>
      <c r="E13033" t="b">
        <v>0</v>
      </c>
      <c r="F13033" t="s">
        <v>11610</v>
      </c>
      <c r="L13033">
        <v>0</v>
      </c>
      <c r="M13033">
        <v>0</v>
      </c>
      <c r="N13033">
        <v>2</v>
      </c>
    </row>
    <row r="13034" spans="1:15">
      <c r="A13034" t="s">
        <v>44351</v>
      </c>
      <c r="B13034" t="s">
        <v>11607</v>
      </c>
      <c r="C13034" t="s">
        <v>44352</v>
      </c>
      <c r="D13034" t="s">
        <v>44353</v>
      </c>
      <c r="E13034" t="b">
        <v>0</v>
      </c>
      <c r="F13034" t="s">
        <v>11610</v>
      </c>
      <c r="L13034">
        <v>0</v>
      </c>
      <c r="M13034">
        <v>0</v>
      </c>
      <c r="N13034">
        <v>0</v>
      </c>
    </row>
    <row r="13035" spans="1:15">
      <c r="A13035" t="s">
        <v>44354</v>
      </c>
      <c r="B13035" t="s">
        <v>11637</v>
      </c>
      <c r="C13035" t="s">
        <v>44355</v>
      </c>
      <c r="D13035" t="s">
        <v>44356</v>
      </c>
      <c r="E13035" t="b">
        <v>0</v>
      </c>
      <c r="F13035" t="s">
        <v>11624</v>
      </c>
      <c r="I13035" t="s">
        <v>44357</v>
      </c>
      <c r="L13035">
        <v>0</v>
      </c>
      <c r="M13035">
        <v>0</v>
      </c>
      <c r="N13035">
        <v>0</v>
      </c>
      <c r="O13035" t="s">
        <v>25838</v>
      </c>
    </row>
    <row r="13036" spans="1:15">
      <c r="A13036" t="s">
        <v>23315</v>
      </c>
      <c r="B13036" t="s">
        <v>11644</v>
      </c>
      <c r="C13036" t="s">
        <v>28526</v>
      </c>
      <c r="D13036" t="s">
        <v>44358</v>
      </c>
      <c r="E13036" t="b">
        <v>0</v>
      </c>
      <c r="F13036" t="s">
        <v>11624</v>
      </c>
      <c r="G13036">
        <v>34.270000000000003</v>
      </c>
      <c r="H13036">
        <v>108.9</v>
      </c>
      <c r="I13036" t="s">
        <v>44359</v>
      </c>
      <c r="L13036">
        <v>0</v>
      </c>
      <c r="M13036">
        <v>0</v>
      </c>
      <c r="N13036">
        <v>2</v>
      </c>
      <c r="O13036" t="s">
        <v>11905</v>
      </c>
    </row>
    <row r="13037" spans="1:15">
      <c r="A13037" t="s">
        <v>40968</v>
      </c>
      <c r="B13037" t="s">
        <v>11637</v>
      </c>
      <c r="C13037" t="s">
        <v>13171</v>
      </c>
      <c r="D13037" t="s">
        <v>44360</v>
      </c>
      <c r="E13037" t="b">
        <v>0</v>
      </c>
      <c r="F13037" t="s">
        <v>11622</v>
      </c>
      <c r="L13037">
        <v>4</v>
      </c>
      <c r="M13037">
        <v>7</v>
      </c>
      <c r="N13037">
        <v>40</v>
      </c>
    </row>
    <row r="13038" spans="1:15">
      <c r="A13038" t="s">
        <v>21532</v>
      </c>
      <c r="B13038" t="s">
        <v>367</v>
      </c>
      <c r="C13038" t="s">
        <v>18177</v>
      </c>
      <c r="D13038" t="s">
        <v>44361</v>
      </c>
      <c r="E13038" t="b">
        <v>0</v>
      </c>
      <c r="F13038" t="s">
        <v>11622</v>
      </c>
      <c r="L13038">
        <v>0</v>
      </c>
      <c r="M13038">
        <v>4</v>
      </c>
      <c r="N13038">
        <v>2</v>
      </c>
    </row>
    <row r="13039" spans="1:15">
      <c r="A13039" t="s">
        <v>44333</v>
      </c>
      <c r="B13039" t="s">
        <v>11637</v>
      </c>
      <c r="C13039" t="s">
        <v>41485</v>
      </c>
      <c r="D13039" t="s">
        <v>44362</v>
      </c>
      <c r="E13039" t="b">
        <v>0</v>
      </c>
      <c r="F13039" t="s">
        <v>11622</v>
      </c>
      <c r="L13039">
        <v>5</v>
      </c>
      <c r="M13039">
        <v>11</v>
      </c>
      <c r="N13039">
        <v>32</v>
      </c>
    </row>
    <row r="13040" spans="1:15">
      <c r="A13040" t="s">
        <v>39498</v>
      </c>
      <c r="B13040" t="s">
        <v>6742</v>
      </c>
      <c r="C13040" t="s">
        <v>37193</v>
      </c>
      <c r="D13040" t="s">
        <v>44363</v>
      </c>
      <c r="E13040" t="b">
        <v>0</v>
      </c>
      <c r="F13040" t="s">
        <v>11622</v>
      </c>
      <c r="L13040">
        <v>2</v>
      </c>
      <c r="M13040">
        <v>5</v>
      </c>
      <c r="N13040">
        <v>17</v>
      </c>
    </row>
    <row r="13041" spans="1:15">
      <c r="A13041" t="s">
        <v>44355</v>
      </c>
      <c r="B13041" t="s">
        <v>11637</v>
      </c>
      <c r="C13041" t="s">
        <v>31112</v>
      </c>
      <c r="D13041" t="s">
        <v>44364</v>
      </c>
      <c r="E13041" t="b">
        <v>0</v>
      </c>
      <c r="F13041" t="s">
        <v>11622</v>
      </c>
      <c r="L13041">
        <v>8</v>
      </c>
      <c r="M13041">
        <v>12</v>
      </c>
      <c r="N13041">
        <v>45</v>
      </c>
    </row>
    <row r="13042" spans="1:15">
      <c r="A13042" t="s">
        <v>44365</v>
      </c>
      <c r="B13042" t="s">
        <v>11637</v>
      </c>
      <c r="C13042" t="s">
        <v>18306</v>
      </c>
      <c r="D13042" t="s">
        <v>44366</v>
      </c>
      <c r="E13042" t="b">
        <v>0</v>
      </c>
      <c r="F13042" t="s">
        <v>11624</v>
      </c>
      <c r="G13042">
        <v>26.61</v>
      </c>
      <c r="H13042">
        <v>78.97</v>
      </c>
      <c r="L13042">
        <v>0</v>
      </c>
      <c r="M13042">
        <v>0</v>
      </c>
      <c r="N13042">
        <v>0</v>
      </c>
      <c r="O13042" t="s">
        <v>11630</v>
      </c>
    </row>
    <row r="13043" spans="1:15">
      <c r="A13043" t="s">
        <v>44367</v>
      </c>
      <c r="B13043" t="s">
        <v>12250</v>
      </c>
      <c r="C13043" t="s">
        <v>12250</v>
      </c>
      <c r="D13043" t="s">
        <v>44368</v>
      </c>
      <c r="E13043" t="b">
        <v>0</v>
      </c>
      <c r="F13043" t="s">
        <v>11624</v>
      </c>
      <c r="I13043" t="s">
        <v>44369</v>
      </c>
      <c r="L13043">
        <v>0</v>
      </c>
      <c r="M13043">
        <v>0</v>
      </c>
      <c r="N13043">
        <v>0</v>
      </c>
      <c r="O13043" t="s">
        <v>44370</v>
      </c>
    </row>
    <row r="13044" spans="1:15">
      <c r="A13044" t="s">
        <v>44371</v>
      </c>
      <c r="B13044" t="s">
        <v>11637</v>
      </c>
      <c r="C13044" t="s">
        <v>44372</v>
      </c>
      <c r="D13044" t="s">
        <v>44373</v>
      </c>
      <c r="E13044" t="b">
        <v>0</v>
      </c>
      <c r="F13044" t="s">
        <v>11622</v>
      </c>
      <c r="L13044">
        <v>8</v>
      </c>
      <c r="M13044">
        <v>20</v>
      </c>
      <c r="N13044">
        <v>66</v>
      </c>
    </row>
    <row r="13045" spans="1:15">
      <c r="A13045" t="s">
        <v>44374</v>
      </c>
      <c r="B13045" t="s">
        <v>12260</v>
      </c>
      <c r="C13045" t="s">
        <v>18093</v>
      </c>
      <c r="D13045" t="s">
        <v>44375</v>
      </c>
      <c r="E13045" t="b">
        <v>0</v>
      </c>
      <c r="F13045" t="s">
        <v>11610</v>
      </c>
      <c r="L13045">
        <v>0</v>
      </c>
      <c r="M13045">
        <v>0</v>
      </c>
      <c r="N13045">
        <v>0</v>
      </c>
    </row>
    <row r="13046" spans="1:15">
      <c r="A13046" t="s">
        <v>28526</v>
      </c>
      <c r="B13046" t="s">
        <v>11644</v>
      </c>
      <c r="C13046" t="s">
        <v>23122</v>
      </c>
      <c r="D13046" t="s">
        <v>44376</v>
      </c>
      <c r="E13046" t="b">
        <v>0</v>
      </c>
      <c r="F13046" t="s">
        <v>11622</v>
      </c>
      <c r="L13046">
        <v>6</v>
      </c>
      <c r="M13046">
        <v>18</v>
      </c>
      <c r="N13046">
        <v>160</v>
      </c>
    </row>
    <row r="13047" spans="1:15">
      <c r="A13047" t="s">
        <v>44339</v>
      </c>
      <c r="B13047" t="s">
        <v>12650</v>
      </c>
      <c r="C13047" t="s">
        <v>12650</v>
      </c>
      <c r="D13047" t="s">
        <v>44377</v>
      </c>
      <c r="E13047" t="b">
        <v>0</v>
      </c>
      <c r="F13047" t="s">
        <v>11622</v>
      </c>
      <c r="L13047">
        <v>3</v>
      </c>
      <c r="M13047">
        <v>5</v>
      </c>
      <c r="N13047">
        <v>0</v>
      </c>
    </row>
    <row r="13048" spans="1:15">
      <c r="A13048" t="s">
        <v>17192</v>
      </c>
      <c r="B13048" t="s">
        <v>10597</v>
      </c>
      <c r="C13048" t="s">
        <v>23343</v>
      </c>
      <c r="D13048" t="s">
        <v>44378</v>
      </c>
      <c r="E13048" t="b">
        <v>0</v>
      </c>
      <c r="F13048" t="s">
        <v>11624</v>
      </c>
      <c r="G13048">
        <v>-29.042736999999999</v>
      </c>
      <c r="H13048">
        <v>152.780249</v>
      </c>
      <c r="I13048" t="s">
        <v>44379</v>
      </c>
      <c r="L13048">
        <v>0</v>
      </c>
      <c r="M13048">
        <v>0</v>
      </c>
      <c r="N13048">
        <v>4</v>
      </c>
      <c r="O13048" t="s">
        <v>12107</v>
      </c>
    </row>
    <row r="13049" spans="1:15">
      <c r="A13049" t="s">
        <v>13099</v>
      </c>
      <c r="B13049" t="s">
        <v>12686</v>
      </c>
      <c r="C13049" t="s">
        <v>14581</v>
      </c>
      <c r="D13049" t="s">
        <v>44380</v>
      </c>
      <c r="E13049" t="b">
        <v>0</v>
      </c>
      <c r="F13049" t="s">
        <v>11610</v>
      </c>
      <c r="L13049">
        <v>0</v>
      </c>
      <c r="M13049">
        <v>0</v>
      </c>
      <c r="N13049">
        <v>3</v>
      </c>
    </row>
    <row r="13050" spans="1:15">
      <c r="A13050" t="s">
        <v>44381</v>
      </c>
      <c r="B13050" t="s">
        <v>11637</v>
      </c>
      <c r="C13050" t="s">
        <v>19866</v>
      </c>
      <c r="D13050" t="s">
        <v>44382</v>
      </c>
      <c r="E13050" t="b">
        <v>0</v>
      </c>
      <c r="F13050" t="s">
        <v>11610</v>
      </c>
      <c r="L13050">
        <v>0</v>
      </c>
      <c r="M13050">
        <v>0</v>
      </c>
      <c r="N13050">
        <v>0</v>
      </c>
    </row>
    <row r="13051" spans="1:15">
      <c r="A13051" t="s">
        <v>44383</v>
      </c>
      <c r="B13051" t="s">
        <v>11637</v>
      </c>
      <c r="C13051" t="s">
        <v>14436</v>
      </c>
      <c r="D13051" t="s">
        <v>44384</v>
      </c>
      <c r="E13051" t="b">
        <v>0</v>
      </c>
      <c r="F13051" t="s">
        <v>11610</v>
      </c>
      <c r="I13051" t="s">
        <v>44385</v>
      </c>
      <c r="L13051">
        <v>0</v>
      </c>
      <c r="M13051">
        <v>0</v>
      </c>
      <c r="N13051">
        <v>0</v>
      </c>
    </row>
    <row r="13052" spans="1:15">
      <c r="A13052" t="s">
        <v>44386</v>
      </c>
      <c r="B13052" t="s">
        <v>11637</v>
      </c>
      <c r="C13052" t="s">
        <v>26727</v>
      </c>
      <c r="D13052" t="s">
        <v>44387</v>
      </c>
      <c r="E13052" t="b">
        <v>0</v>
      </c>
      <c r="F13052" t="s">
        <v>11610</v>
      </c>
      <c r="L13052">
        <v>0</v>
      </c>
      <c r="M13052">
        <v>0</v>
      </c>
      <c r="N13052">
        <v>0</v>
      </c>
    </row>
    <row r="13053" spans="1:15">
      <c r="A13053" t="s">
        <v>44388</v>
      </c>
      <c r="B13053" t="s">
        <v>11637</v>
      </c>
      <c r="C13053" t="s">
        <v>4958</v>
      </c>
      <c r="D13053" t="s">
        <v>44389</v>
      </c>
      <c r="E13053" t="b">
        <v>0</v>
      </c>
      <c r="F13053" t="s">
        <v>11610</v>
      </c>
      <c r="L13053">
        <v>0</v>
      </c>
      <c r="M13053">
        <v>0</v>
      </c>
      <c r="N13053">
        <v>0</v>
      </c>
    </row>
    <row r="13054" spans="1:15">
      <c r="A13054" t="s">
        <v>44390</v>
      </c>
      <c r="B13054" t="s">
        <v>11637</v>
      </c>
      <c r="C13054" t="s">
        <v>44391</v>
      </c>
      <c r="D13054" t="s">
        <v>44392</v>
      </c>
      <c r="E13054" t="b">
        <v>0</v>
      </c>
      <c r="F13054" t="s">
        <v>11610</v>
      </c>
      <c r="L13054">
        <v>0</v>
      </c>
      <c r="M13054">
        <v>0</v>
      </c>
      <c r="N13054">
        <v>0</v>
      </c>
    </row>
    <row r="13055" spans="1:15">
      <c r="A13055" t="s">
        <v>40437</v>
      </c>
      <c r="B13055" t="s">
        <v>11637</v>
      </c>
      <c r="C13055" t="s">
        <v>25849</v>
      </c>
      <c r="D13055" t="s">
        <v>44393</v>
      </c>
      <c r="E13055" t="b">
        <v>0</v>
      </c>
      <c r="F13055" t="s">
        <v>11610</v>
      </c>
      <c r="L13055">
        <v>0</v>
      </c>
      <c r="M13055">
        <v>0</v>
      </c>
      <c r="N13055">
        <v>3</v>
      </c>
    </row>
    <row r="13056" spans="1:15">
      <c r="A13056" t="s">
        <v>5592</v>
      </c>
      <c r="B13056" t="s">
        <v>11615</v>
      </c>
      <c r="C13056" t="s">
        <v>29694</v>
      </c>
      <c r="D13056" t="s">
        <v>44394</v>
      </c>
      <c r="E13056" t="b">
        <v>0</v>
      </c>
      <c r="F13056" t="s">
        <v>11624</v>
      </c>
      <c r="G13056">
        <v>-4.0632200000000003</v>
      </c>
      <c r="H13056">
        <v>138.94499999999999</v>
      </c>
      <c r="I13056" t="s">
        <v>5594</v>
      </c>
      <c r="L13056">
        <v>0</v>
      </c>
      <c r="M13056">
        <v>0</v>
      </c>
      <c r="N13056">
        <v>0</v>
      </c>
      <c r="O13056" t="s">
        <v>11768</v>
      </c>
    </row>
    <row r="13057" spans="1:15">
      <c r="A13057" t="s">
        <v>44395</v>
      </c>
      <c r="B13057" t="s">
        <v>367</v>
      </c>
      <c r="C13057" t="s">
        <v>34207</v>
      </c>
      <c r="D13057" t="s">
        <v>44396</v>
      </c>
      <c r="E13057" t="b">
        <v>0</v>
      </c>
      <c r="F13057" t="s">
        <v>11610</v>
      </c>
      <c r="L13057">
        <v>0</v>
      </c>
      <c r="M13057">
        <v>0</v>
      </c>
      <c r="N13057">
        <v>0</v>
      </c>
    </row>
    <row r="13058" spans="1:15">
      <c r="A13058" t="s">
        <v>44397</v>
      </c>
      <c r="B13058" t="s">
        <v>11607</v>
      </c>
      <c r="C13058" t="s">
        <v>13919</v>
      </c>
      <c r="D13058" t="s">
        <v>44398</v>
      </c>
      <c r="E13058" t="b">
        <v>0</v>
      </c>
      <c r="F13058" t="s">
        <v>11610</v>
      </c>
      <c r="L13058">
        <v>0</v>
      </c>
      <c r="M13058">
        <v>0</v>
      </c>
      <c r="N13058">
        <v>0</v>
      </c>
    </row>
    <row r="13059" spans="1:15">
      <c r="A13059" t="s">
        <v>33793</v>
      </c>
      <c r="B13059" t="s">
        <v>15027</v>
      </c>
      <c r="C13059" t="s">
        <v>40978</v>
      </c>
      <c r="D13059" t="s">
        <v>44399</v>
      </c>
      <c r="E13059" t="b">
        <v>0</v>
      </c>
      <c r="F13059" t="s">
        <v>11622</v>
      </c>
      <c r="L13059">
        <v>0</v>
      </c>
      <c r="M13059">
        <v>2</v>
      </c>
      <c r="N13059">
        <v>9</v>
      </c>
    </row>
    <row r="13060" spans="1:15">
      <c r="A13060" t="s">
        <v>44400</v>
      </c>
      <c r="B13060" t="s">
        <v>11981</v>
      </c>
      <c r="C13060" t="s">
        <v>42649</v>
      </c>
      <c r="D13060" t="s">
        <v>44401</v>
      </c>
      <c r="E13060" t="b">
        <v>0</v>
      </c>
      <c r="F13060" t="s">
        <v>11610</v>
      </c>
      <c r="L13060">
        <v>0</v>
      </c>
      <c r="M13060">
        <v>0</v>
      </c>
      <c r="N13060">
        <v>0</v>
      </c>
    </row>
    <row r="13061" spans="1:15">
      <c r="A13061" t="s">
        <v>23051</v>
      </c>
      <c r="B13061" t="s">
        <v>11637</v>
      </c>
      <c r="C13061" t="s">
        <v>27954</v>
      </c>
      <c r="D13061" t="s">
        <v>44402</v>
      </c>
      <c r="E13061" t="b">
        <v>0</v>
      </c>
      <c r="F13061" t="s">
        <v>11610</v>
      </c>
      <c r="L13061">
        <v>0</v>
      </c>
      <c r="M13061">
        <v>0</v>
      </c>
      <c r="N13061">
        <v>2</v>
      </c>
    </row>
    <row r="13062" spans="1:15">
      <c r="A13062" t="s">
        <v>44403</v>
      </c>
      <c r="B13062" t="s">
        <v>367</v>
      </c>
      <c r="C13062" t="s">
        <v>40911</v>
      </c>
      <c r="D13062" t="s">
        <v>44404</v>
      </c>
      <c r="E13062" t="b">
        <v>0</v>
      </c>
      <c r="F13062" t="s">
        <v>11610</v>
      </c>
      <c r="L13062">
        <v>0</v>
      </c>
      <c r="M13062">
        <v>0</v>
      </c>
      <c r="N13062">
        <v>0</v>
      </c>
    </row>
    <row r="13063" spans="1:15">
      <c r="A13063" t="s">
        <v>44405</v>
      </c>
      <c r="B13063" t="s">
        <v>11637</v>
      </c>
      <c r="C13063" t="s">
        <v>30619</v>
      </c>
      <c r="D13063" t="s">
        <v>44406</v>
      </c>
      <c r="E13063" t="b">
        <v>0</v>
      </c>
      <c r="F13063" t="s">
        <v>11610</v>
      </c>
      <c r="L13063">
        <v>0</v>
      </c>
      <c r="M13063">
        <v>0</v>
      </c>
      <c r="N13063">
        <v>0</v>
      </c>
    </row>
    <row r="13064" spans="1:15">
      <c r="A13064" t="s">
        <v>43122</v>
      </c>
      <c r="B13064" t="s">
        <v>11644</v>
      </c>
      <c r="C13064" t="s">
        <v>31092</v>
      </c>
      <c r="D13064" t="s">
        <v>44407</v>
      </c>
      <c r="E13064" t="b">
        <v>0</v>
      </c>
      <c r="F13064" t="s">
        <v>11622</v>
      </c>
      <c r="L13064">
        <v>0</v>
      </c>
      <c r="M13064">
        <v>2</v>
      </c>
      <c r="N13064">
        <v>7</v>
      </c>
    </row>
    <row r="13065" spans="1:15">
      <c r="A13065" t="s">
        <v>44408</v>
      </c>
      <c r="B13065" t="s">
        <v>11637</v>
      </c>
      <c r="C13065" t="s">
        <v>31005</v>
      </c>
      <c r="D13065" t="s">
        <v>44409</v>
      </c>
      <c r="E13065" t="b">
        <v>0</v>
      </c>
      <c r="F13065" t="s">
        <v>11610</v>
      </c>
      <c r="L13065">
        <v>0</v>
      </c>
      <c r="M13065">
        <v>0</v>
      </c>
      <c r="N13065">
        <v>0</v>
      </c>
    </row>
    <row r="13066" spans="1:15">
      <c r="A13066" t="s">
        <v>44410</v>
      </c>
      <c r="B13066" t="s">
        <v>11637</v>
      </c>
      <c r="C13066" t="s">
        <v>44411</v>
      </c>
      <c r="D13066" t="s">
        <v>44412</v>
      </c>
      <c r="E13066" t="b">
        <v>0</v>
      </c>
      <c r="F13066" t="s">
        <v>11610</v>
      </c>
      <c r="L13066">
        <v>0</v>
      </c>
      <c r="M13066">
        <v>0</v>
      </c>
      <c r="N13066">
        <v>0</v>
      </c>
    </row>
    <row r="13067" spans="1:15">
      <c r="A13067" t="s">
        <v>33845</v>
      </c>
      <c r="B13067" t="s">
        <v>3164</v>
      </c>
      <c r="C13067" t="s">
        <v>21786</v>
      </c>
      <c r="D13067" t="s">
        <v>44413</v>
      </c>
      <c r="E13067" t="b">
        <v>0</v>
      </c>
      <c r="F13067" t="s">
        <v>11624</v>
      </c>
      <c r="G13067">
        <v>14.789</v>
      </c>
      <c r="H13067">
        <v>27.223600000000001</v>
      </c>
      <c r="I13067" t="s">
        <v>44414</v>
      </c>
      <c r="L13067">
        <v>0</v>
      </c>
      <c r="M13067">
        <v>0</v>
      </c>
      <c r="N13067">
        <v>3</v>
      </c>
      <c r="O13067" t="s">
        <v>11910</v>
      </c>
    </row>
    <row r="13068" spans="1:15">
      <c r="A13068" t="s">
        <v>29430</v>
      </c>
      <c r="B13068" t="s">
        <v>6742</v>
      </c>
      <c r="C13068" t="s">
        <v>16537</v>
      </c>
      <c r="D13068" t="s">
        <v>44415</v>
      </c>
      <c r="E13068" t="b">
        <v>0</v>
      </c>
      <c r="F13068" t="s">
        <v>11622</v>
      </c>
      <c r="L13068">
        <v>0</v>
      </c>
      <c r="M13068">
        <v>5</v>
      </c>
      <c r="N13068">
        <v>9</v>
      </c>
    </row>
    <row r="13069" spans="1:15">
      <c r="A13069" t="s">
        <v>19458</v>
      </c>
      <c r="B13069" t="s">
        <v>6742</v>
      </c>
      <c r="C13069" t="s">
        <v>29430</v>
      </c>
      <c r="D13069" t="s">
        <v>44416</v>
      </c>
      <c r="E13069" t="b">
        <v>0</v>
      </c>
      <c r="F13069" t="s">
        <v>11624</v>
      </c>
      <c r="G13069">
        <v>5.8789300000000004</v>
      </c>
      <c r="H13069">
        <v>22.4666</v>
      </c>
      <c r="I13069" t="s">
        <v>44417</v>
      </c>
      <c r="L13069">
        <v>0</v>
      </c>
      <c r="M13069">
        <v>0</v>
      </c>
      <c r="N13069">
        <v>4</v>
      </c>
      <c r="O13069" t="s">
        <v>16544</v>
      </c>
    </row>
    <row r="13070" spans="1:15">
      <c r="A13070" t="s">
        <v>44418</v>
      </c>
      <c r="B13070" t="s">
        <v>11637</v>
      </c>
      <c r="C13070" t="s">
        <v>26702</v>
      </c>
      <c r="D13070" t="s">
        <v>44419</v>
      </c>
      <c r="E13070" t="b">
        <v>0</v>
      </c>
      <c r="F13070" t="s">
        <v>11610</v>
      </c>
      <c r="L13070">
        <v>0</v>
      </c>
      <c r="M13070">
        <v>0</v>
      </c>
      <c r="N13070">
        <v>0</v>
      </c>
    </row>
    <row r="13071" spans="1:15">
      <c r="A13071" t="s">
        <v>26724</v>
      </c>
      <c r="B13071" t="s">
        <v>11637</v>
      </c>
      <c r="C13071" t="s">
        <v>32505</v>
      </c>
      <c r="D13071" t="s">
        <v>44420</v>
      </c>
      <c r="E13071" t="b">
        <v>0</v>
      </c>
      <c r="F13071" t="s">
        <v>11610</v>
      </c>
      <c r="L13071">
        <v>0</v>
      </c>
      <c r="M13071">
        <v>0</v>
      </c>
      <c r="N13071">
        <v>4</v>
      </c>
    </row>
    <row r="13072" spans="1:15">
      <c r="A13072" t="s">
        <v>31487</v>
      </c>
      <c r="B13072" t="s">
        <v>367</v>
      </c>
      <c r="C13072" t="s">
        <v>27577</v>
      </c>
      <c r="D13072" t="s">
        <v>44421</v>
      </c>
      <c r="E13072" t="b">
        <v>0</v>
      </c>
      <c r="F13072" t="s">
        <v>11622</v>
      </c>
      <c r="L13072">
        <v>1</v>
      </c>
      <c r="M13072">
        <v>9</v>
      </c>
      <c r="N13072">
        <v>2</v>
      </c>
    </row>
    <row r="13073" spans="1:15">
      <c r="A13073" t="s">
        <v>44422</v>
      </c>
      <c r="B13073" t="s">
        <v>11637</v>
      </c>
      <c r="C13073" t="s">
        <v>44423</v>
      </c>
      <c r="D13073" t="s">
        <v>44424</v>
      </c>
      <c r="E13073" t="b">
        <v>0</v>
      </c>
      <c r="F13073" t="s">
        <v>11610</v>
      </c>
      <c r="L13073">
        <v>0</v>
      </c>
      <c r="M13073">
        <v>0</v>
      </c>
      <c r="N13073">
        <v>0</v>
      </c>
    </row>
    <row r="13074" spans="1:15">
      <c r="A13074" t="s">
        <v>44425</v>
      </c>
      <c r="B13074" t="s">
        <v>11615</v>
      </c>
      <c r="C13074" t="s">
        <v>34587</v>
      </c>
      <c r="D13074" t="s">
        <v>44426</v>
      </c>
      <c r="E13074" t="b">
        <v>0</v>
      </c>
      <c r="F13074" t="s">
        <v>11610</v>
      </c>
      <c r="L13074">
        <v>0</v>
      </c>
      <c r="M13074">
        <v>0</v>
      </c>
      <c r="N13074">
        <v>0</v>
      </c>
    </row>
    <row r="13075" spans="1:15">
      <c r="A13075" t="s">
        <v>44427</v>
      </c>
      <c r="B13075" t="s">
        <v>11607</v>
      </c>
      <c r="C13075" t="s">
        <v>13919</v>
      </c>
      <c r="D13075" t="s">
        <v>44428</v>
      </c>
      <c r="E13075" t="b">
        <v>0</v>
      </c>
      <c r="F13075" t="s">
        <v>11610</v>
      </c>
      <c r="L13075">
        <v>0</v>
      </c>
      <c r="M13075">
        <v>0</v>
      </c>
      <c r="N13075">
        <v>0</v>
      </c>
    </row>
    <row r="13076" spans="1:15">
      <c r="A13076" t="s">
        <v>32016</v>
      </c>
      <c r="B13076" t="s">
        <v>4342</v>
      </c>
      <c r="C13076" t="s">
        <v>16774</v>
      </c>
      <c r="D13076" t="s">
        <v>44429</v>
      </c>
      <c r="E13076" t="b">
        <v>0</v>
      </c>
      <c r="F13076" t="s">
        <v>11610</v>
      </c>
      <c r="L13076">
        <v>0</v>
      </c>
      <c r="M13076">
        <v>0</v>
      </c>
      <c r="N13076">
        <v>3</v>
      </c>
    </row>
    <row r="13077" spans="1:15">
      <c r="A13077" t="s">
        <v>18397</v>
      </c>
      <c r="B13077" t="s">
        <v>5058</v>
      </c>
      <c r="C13077" t="s">
        <v>5058</v>
      </c>
      <c r="D13077" t="s">
        <v>44430</v>
      </c>
      <c r="E13077" t="b">
        <v>0</v>
      </c>
      <c r="F13077" t="s">
        <v>11622</v>
      </c>
      <c r="L13077">
        <v>1</v>
      </c>
      <c r="M13077">
        <v>5</v>
      </c>
      <c r="N13077">
        <v>14</v>
      </c>
    </row>
    <row r="13078" spans="1:15">
      <c r="A13078" t="s">
        <v>18403</v>
      </c>
      <c r="B13078" t="s">
        <v>5058</v>
      </c>
      <c r="C13078" t="s">
        <v>18397</v>
      </c>
      <c r="D13078" t="s">
        <v>44431</v>
      </c>
      <c r="E13078" t="b">
        <v>0</v>
      </c>
      <c r="F13078" t="s">
        <v>11622</v>
      </c>
      <c r="L13078">
        <v>0</v>
      </c>
      <c r="M13078">
        <v>3</v>
      </c>
      <c r="N13078">
        <v>12</v>
      </c>
    </row>
    <row r="13079" spans="1:15">
      <c r="A13079" t="s">
        <v>44432</v>
      </c>
      <c r="B13079" t="s">
        <v>6742</v>
      </c>
      <c r="C13079" t="s">
        <v>17306</v>
      </c>
      <c r="D13079" t="s">
        <v>44433</v>
      </c>
      <c r="E13079" t="b">
        <v>0</v>
      </c>
      <c r="F13079" t="s">
        <v>11610</v>
      </c>
      <c r="L13079">
        <v>0</v>
      </c>
      <c r="M13079">
        <v>0</v>
      </c>
      <c r="N13079">
        <v>0</v>
      </c>
    </row>
    <row r="13080" spans="1:15">
      <c r="A13080" t="s">
        <v>21651</v>
      </c>
      <c r="B13080" t="s">
        <v>11615</v>
      </c>
      <c r="C13080" t="s">
        <v>44434</v>
      </c>
      <c r="D13080" t="s">
        <v>44435</v>
      </c>
      <c r="E13080" t="b">
        <v>0</v>
      </c>
      <c r="F13080" t="s">
        <v>11624</v>
      </c>
      <c r="G13080">
        <v>-6.3323700000000001</v>
      </c>
      <c r="H13080">
        <v>147.71299999999999</v>
      </c>
      <c r="I13080" t="s">
        <v>44436</v>
      </c>
      <c r="L13080">
        <v>0</v>
      </c>
      <c r="M13080">
        <v>0</v>
      </c>
      <c r="N13080">
        <v>3</v>
      </c>
      <c r="O13080" t="s">
        <v>11660</v>
      </c>
    </row>
    <row r="13081" spans="1:15">
      <c r="A13081" t="s">
        <v>23988</v>
      </c>
      <c r="B13081" t="s">
        <v>11607</v>
      </c>
      <c r="C13081" t="s">
        <v>18436</v>
      </c>
      <c r="D13081" t="s">
        <v>44437</v>
      </c>
      <c r="E13081" t="b">
        <v>0</v>
      </c>
      <c r="F13081" t="s">
        <v>11624</v>
      </c>
      <c r="G13081">
        <v>12.236700000000001</v>
      </c>
      <c r="H13081">
        <v>18.961400000000001</v>
      </c>
      <c r="I13081" t="s">
        <v>44438</v>
      </c>
      <c r="L13081">
        <v>0</v>
      </c>
      <c r="M13081">
        <v>0</v>
      </c>
      <c r="N13081">
        <v>4</v>
      </c>
      <c r="O13081" t="s">
        <v>13421</v>
      </c>
    </row>
    <row r="13082" spans="1:15">
      <c r="A13082" t="s">
        <v>44439</v>
      </c>
      <c r="B13082" t="s">
        <v>23599</v>
      </c>
      <c r="C13082" t="s">
        <v>44440</v>
      </c>
      <c r="D13082" t="s">
        <v>44441</v>
      </c>
      <c r="E13082" t="b">
        <v>0</v>
      </c>
      <c r="F13082" t="s">
        <v>11610</v>
      </c>
      <c r="L13082">
        <v>0</v>
      </c>
      <c r="M13082">
        <v>0</v>
      </c>
      <c r="N13082">
        <v>0</v>
      </c>
    </row>
    <row r="13083" spans="1:15">
      <c r="A13083" t="s">
        <v>44442</v>
      </c>
      <c r="B13083" t="s">
        <v>11810</v>
      </c>
      <c r="C13083" t="s">
        <v>44443</v>
      </c>
      <c r="D13083" t="s">
        <v>44444</v>
      </c>
      <c r="E13083" t="b">
        <v>0</v>
      </c>
      <c r="F13083" t="s">
        <v>11624</v>
      </c>
      <c r="G13083">
        <v>14.16</v>
      </c>
      <c r="H13083">
        <v>22.69</v>
      </c>
      <c r="L13083">
        <v>0</v>
      </c>
      <c r="M13083">
        <v>0</v>
      </c>
      <c r="N13083">
        <v>0</v>
      </c>
      <c r="O13083" t="s">
        <v>11910</v>
      </c>
    </row>
    <row r="13084" spans="1:15">
      <c r="A13084" t="s">
        <v>44445</v>
      </c>
      <c r="B13084" t="s">
        <v>11637</v>
      </c>
      <c r="C13084" t="s">
        <v>14511</v>
      </c>
      <c r="D13084" t="s">
        <v>44446</v>
      </c>
      <c r="E13084" t="b">
        <v>0</v>
      </c>
      <c r="F13084" t="s">
        <v>11610</v>
      </c>
      <c r="L13084">
        <v>0</v>
      </c>
      <c r="M13084">
        <v>0</v>
      </c>
      <c r="N13084">
        <v>0</v>
      </c>
    </row>
    <row r="13085" spans="1:15">
      <c r="A13085" t="s">
        <v>44447</v>
      </c>
      <c r="B13085" t="s">
        <v>10597</v>
      </c>
      <c r="C13085" t="s">
        <v>44448</v>
      </c>
      <c r="D13085" t="s">
        <v>44449</v>
      </c>
      <c r="E13085" t="b">
        <v>0</v>
      </c>
      <c r="F13085" t="s">
        <v>11610</v>
      </c>
      <c r="L13085">
        <v>0</v>
      </c>
      <c r="M13085">
        <v>0</v>
      </c>
      <c r="N13085">
        <v>0</v>
      </c>
    </row>
    <row r="13086" spans="1:15">
      <c r="A13086" t="s">
        <v>44450</v>
      </c>
      <c r="B13086" t="s">
        <v>6742</v>
      </c>
      <c r="C13086" t="s">
        <v>23325</v>
      </c>
      <c r="D13086" t="s">
        <v>44451</v>
      </c>
      <c r="E13086" t="b">
        <v>0</v>
      </c>
      <c r="F13086" t="s">
        <v>11622</v>
      </c>
      <c r="L13086">
        <v>2</v>
      </c>
      <c r="M13086">
        <v>5</v>
      </c>
      <c r="N13086">
        <v>7</v>
      </c>
    </row>
    <row r="13087" spans="1:15">
      <c r="A13087" t="s">
        <v>16696</v>
      </c>
      <c r="B13087" t="s">
        <v>11644</v>
      </c>
      <c r="C13087" t="s">
        <v>11644</v>
      </c>
      <c r="D13087" t="s">
        <v>44452</v>
      </c>
      <c r="E13087" t="b">
        <v>0</v>
      </c>
      <c r="F13087" t="s">
        <v>11622</v>
      </c>
      <c r="L13087">
        <v>0</v>
      </c>
      <c r="M13087">
        <v>2</v>
      </c>
      <c r="N13087">
        <v>0</v>
      </c>
    </row>
    <row r="13088" spans="1:15">
      <c r="A13088" t="s">
        <v>23325</v>
      </c>
      <c r="B13088" t="s">
        <v>6742</v>
      </c>
      <c r="C13088" t="s">
        <v>23178</v>
      </c>
      <c r="D13088" t="s">
        <v>44453</v>
      </c>
      <c r="E13088" t="b">
        <v>0</v>
      </c>
      <c r="F13088" t="s">
        <v>11622</v>
      </c>
      <c r="L13088">
        <v>5</v>
      </c>
      <c r="M13088">
        <v>10</v>
      </c>
      <c r="N13088">
        <v>15</v>
      </c>
    </row>
    <row r="13089" spans="1:15">
      <c r="A13089" t="s">
        <v>44454</v>
      </c>
      <c r="B13089" t="s">
        <v>11644</v>
      </c>
      <c r="C13089" t="s">
        <v>29006</v>
      </c>
      <c r="D13089" t="s">
        <v>44455</v>
      </c>
      <c r="E13089" t="b">
        <v>0</v>
      </c>
      <c r="F13089" t="s">
        <v>11624</v>
      </c>
      <c r="G13089">
        <v>28.473199999999999</v>
      </c>
      <c r="H13089">
        <v>97.044399999999996</v>
      </c>
      <c r="I13089" t="s">
        <v>44456</v>
      </c>
      <c r="L13089">
        <v>0</v>
      </c>
      <c r="M13089">
        <v>0</v>
      </c>
      <c r="N13089">
        <v>0</v>
      </c>
      <c r="O13089" t="s">
        <v>11630</v>
      </c>
    </row>
    <row r="13090" spans="1:15">
      <c r="A13090" t="s">
        <v>44457</v>
      </c>
      <c r="B13090" t="s">
        <v>6742</v>
      </c>
      <c r="C13090" t="s">
        <v>16074</v>
      </c>
      <c r="D13090" t="s">
        <v>44458</v>
      </c>
      <c r="E13090" t="b">
        <v>0</v>
      </c>
      <c r="F13090" t="s">
        <v>11610</v>
      </c>
      <c r="L13090">
        <v>0</v>
      </c>
      <c r="M13090">
        <v>0</v>
      </c>
      <c r="N13090">
        <v>0</v>
      </c>
    </row>
    <row r="13091" spans="1:15">
      <c r="A13091" t="s">
        <v>8594</v>
      </c>
      <c r="B13091" t="s">
        <v>12875</v>
      </c>
      <c r="C13091" t="s">
        <v>12875</v>
      </c>
      <c r="D13091" t="s">
        <v>44459</v>
      </c>
      <c r="E13091" t="b">
        <v>0</v>
      </c>
      <c r="F13091" t="s">
        <v>11624</v>
      </c>
      <c r="G13091">
        <v>26.081420000000001</v>
      </c>
      <c r="H13091">
        <v>-80.908469999999994</v>
      </c>
      <c r="I13091" t="s">
        <v>8596</v>
      </c>
      <c r="L13091">
        <v>0</v>
      </c>
      <c r="M13091">
        <v>0</v>
      </c>
      <c r="N13091">
        <v>2</v>
      </c>
      <c r="O13091" t="s">
        <v>11944</v>
      </c>
    </row>
    <row r="13092" spans="1:15">
      <c r="A13092" t="s">
        <v>14642</v>
      </c>
      <c r="B13092" t="s">
        <v>11871</v>
      </c>
      <c r="C13092" t="s">
        <v>36631</v>
      </c>
      <c r="D13092" t="s">
        <v>44460</v>
      </c>
      <c r="E13092" t="b">
        <v>0</v>
      </c>
      <c r="F13092" t="s">
        <v>11622</v>
      </c>
      <c r="L13092">
        <v>0</v>
      </c>
      <c r="M13092">
        <v>2</v>
      </c>
      <c r="N13092">
        <v>0</v>
      </c>
    </row>
    <row r="13093" spans="1:15">
      <c r="A13093" t="s">
        <v>26322</v>
      </c>
      <c r="B13093" t="s">
        <v>4342</v>
      </c>
      <c r="C13093" t="s">
        <v>29231</v>
      </c>
      <c r="D13093" t="s">
        <v>44461</v>
      </c>
      <c r="E13093" t="b">
        <v>0</v>
      </c>
      <c r="F13093" t="s">
        <v>11610</v>
      </c>
      <c r="L13093">
        <v>0</v>
      </c>
      <c r="M13093">
        <v>0</v>
      </c>
      <c r="N13093">
        <v>2</v>
      </c>
    </row>
    <row r="13094" spans="1:15">
      <c r="A13094" t="s">
        <v>44462</v>
      </c>
      <c r="B13094" t="s">
        <v>6742</v>
      </c>
      <c r="C13094" t="s">
        <v>19363</v>
      </c>
      <c r="D13094" t="s">
        <v>44463</v>
      </c>
      <c r="E13094" t="b">
        <v>0</v>
      </c>
      <c r="F13094" t="s">
        <v>11624</v>
      </c>
      <c r="L13094">
        <v>0</v>
      </c>
      <c r="M13094">
        <v>0</v>
      </c>
      <c r="N13094">
        <v>0</v>
      </c>
      <c r="O13094" t="s">
        <v>12868</v>
      </c>
    </row>
    <row r="13095" spans="1:15">
      <c r="A13095" t="s">
        <v>44464</v>
      </c>
      <c r="B13095" t="s">
        <v>6742</v>
      </c>
      <c r="C13095" t="s">
        <v>16641</v>
      </c>
      <c r="D13095" t="s">
        <v>44465</v>
      </c>
      <c r="E13095" t="b">
        <v>0</v>
      </c>
      <c r="F13095" t="s">
        <v>11610</v>
      </c>
      <c r="L13095">
        <v>0</v>
      </c>
      <c r="M13095">
        <v>0</v>
      </c>
      <c r="N13095">
        <v>0</v>
      </c>
    </row>
    <row r="13096" spans="1:15">
      <c r="A13096" t="s">
        <v>44466</v>
      </c>
      <c r="B13096" t="s">
        <v>11607</v>
      </c>
      <c r="C13096" t="s">
        <v>25460</v>
      </c>
      <c r="D13096" t="s">
        <v>44467</v>
      </c>
      <c r="E13096" t="b">
        <v>0</v>
      </c>
      <c r="F13096" t="s">
        <v>11610</v>
      </c>
      <c r="L13096">
        <v>0</v>
      </c>
      <c r="M13096">
        <v>0</v>
      </c>
      <c r="N13096">
        <v>0</v>
      </c>
    </row>
    <row r="13097" spans="1:15">
      <c r="A13097" t="s">
        <v>44468</v>
      </c>
      <c r="B13097" t="s">
        <v>12311</v>
      </c>
      <c r="C13097" t="s">
        <v>36657</v>
      </c>
      <c r="D13097" t="s">
        <v>44469</v>
      </c>
      <c r="E13097" t="b">
        <v>0</v>
      </c>
      <c r="F13097" t="s">
        <v>11610</v>
      </c>
      <c r="L13097">
        <v>0</v>
      </c>
      <c r="M13097">
        <v>0</v>
      </c>
      <c r="N13097">
        <v>0</v>
      </c>
    </row>
    <row r="13098" spans="1:15">
      <c r="A13098" t="s">
        <v>614</v>
      </c>
      <c r="B13098" t="s">
        <v>12979</v>
      </c>
      <c r="C13098" t="s">
        <v>21166</v>
      </c>
      <c r="D13098" t="s">
        <v>613</v>
      </c>
      <c r="E13098" t="b">
        <v>0</v>
      </c>
      <c r="F13098" t="s">
        <v>11624</v>
      </c>
      <c r="G13098">
        <v>45.994100000000003</v>
      </c>
      <c r="H13098">
        <v>-65.576599999999999</v>
      </c>
      <c r="I13098" t="s">
        <v>617</v>
      </c>
      <c r="L13098">
        <v>0</v>
      </c>
      <c r="M13098">
        <v>0</v>
      </c>
      <c r="N13098">
        <v>2</v>
      </c>
      <c r="O13098" t="s">
        <v>14875</v>
      </c>
    </row>
    <row r="13099" spans="1:15">
      <c r="A13099" t="s">
        <v>44470</v>
      </c>
      <c r="B13099" t="s">
        <v>11644</v>
      </c>
      <c r="C13099" t="s">
        <v>20789</v>
      </c>
      <c r="D13099" t="s">
        <v>44471</v>
      </c>
      <c r="E13099" t="b">
        <v>0</v>
      </c>
      <c r="F13099" t="s">
        <v>11610</v>
      </c>
      <c r="L13099">
        <v>0</v>
      </c>
      <c r="M13099">
        <v>0</v>
      </c>
      <c r="N13099">
        <v>0</v>
      </c>
    </row>
    <row r="13100" spans="1:15">
      <c r="A13100" t="s">
        <v>44472</v>
      </c>
      <c r="B13100" t="s">
        <v>11637</v>
      </c>
      <c r="C13100" t="s">
        <v>13136</v>
      </c>
      <c r="D13100" t="s">
        <v>44473</v>
      </c>
      <c r="E13100" t="b">
        <v>0</v>
      </c>
      <c r="F13100" t="s">
        <v>11610</v>
      </c>
      <c r="L13100">
        <v>0</v>
      </c>
      <c r="M13100">
        <v>0</v>
      </c>
      <c r="N13100">
        <v>0</v>
      </c>
    </row>
    <row r="13101" spans="1:15">
      <c r="A13101" t="s">
        <v>44474</v>
      </c>
      <c r="B13101" t="s">
        <v>11644</v>
      </c>
      <c r="C13101" t="s">
        <v>37512</v>
      </c>
      <c r="D13101" t="s">
        <v>44475</v>
      </c>
      <c r="E13101" t="b">
        <v>0</v>
      </c>
      <c r="F13101" t="s">
        <v>11624</v>
      </c>
      <c r="G13101">
        <v>28.553990800000001</v>
      </c>
      <c r="H13101">
        <v>95.186126999999999</v>
      </c>
      <c r="L13101">
        <v>0</v>
      </c>
      <c r="M13101">
        <v>0</v>
      </c>
      <c r="N13101">
        <v>0</v>
      </c>
      <c r="O13101" t="s">
        <v>11630</v>
      </c>
    </row>
    <row r="13102" spans="1:15">
      <c r="A13102" t="s">
        <v>44476</v>
      </c>
      <c r="B13102" t="s">
        <v>10597</v>
      </c>
      <c r="C13102" t="s">
        <v>16360</v>
      </c>
      <c r="D13102" t="s">
        <v>44477</v>
      </c>
      <c r="E13102" t="b">
        <v>0</v>
      </c>
      <c r="F13102" t="s">
        <v>11610</v>
      </c>
      <c r="L13102">
        <v>0</v>
      </c>
      <c r="M13102">
        <v>0</v>
      </c>
      <c r="N13102">
        <v>0</v>
      </c>
    </row>
    <row r="13103" spans="1:15">
      <c r="A13103" t="s">
        <v>44478</v>
      </c>
      <c r="B13103" t="s">
        <v>11644</v>
      </c>
      <c r="C13103" t="s">
        <v>31253</v>
      </c>
      <c r="D13103" t="s">
        <v>44479</v>
      </c>
      <c r="E13103" t="b">
        <v>0</v>
      </c>
      <c r="F13103" t="s">
        <v>11624</v>
      </c>
      <c r="G13103">
        <v>24.114999999999998</v>
      </c>
      <c r="H13103">
        <v>100.611</v>
      </c>
      <c r="I13103" t="s">
        <v>44480</v>
      </c>
      <c r="L13103">
        <v>0</v>
      </c>
      <c r="M13103">
        <v>0</v>
      </c>
      <c r="N13103">
        <v>0</v>
      </c>
      <c r="O13103" t="s">
        <v>11905</v>
      </c>
    </row>
    <row r="13104" spans="1:15">
      <c r="A13104" t="s">
        <v>44481</v>
      </c>
      <c r="B13104" t="s">
        <v>11644</v>
      </c>
      <c r="C13104" t="s">
        <v>17422</v>
      </c>
      <c r="D13104" t="s">
        <v>44482</v>
      </c>
      <c r="E13104" t="b">
        <v>0</v>
      </c>
      <c r="F13104" t="s">
        <v>11610</v>
      </c>
      <c r="L13104">
        <v>0</v>
      </c>
      <c r="M13104">
        <v>0</v>
      </c>
      <c r="N13104">
        <v>0</v>
      </c>
    </row>
    <row r="13105" spans="1:15">
      <c r="A13105" t="s">
        <v>44483</v>
      </c>
      <c r="B13105" t="s">
        <v>13102</v>
      </c>
      <c r="C13105" t="s">
        <v>13102</v>
      </c>
      <c r="D13105" t="s">
        <v>44484</v>
      </c>
      <c r="E13105" t="b">
        <v>0</v>
      </c>
      <c r="F13105" t="s">
        <v>11624</v>
      </c>
      <c r="G13105">
        <v>-31.79729</v>
      </c>
      <c r="H13105">
        <v>-67.569580999999999</v>
      </c>
      <c r="L13105">
        <v>0</v>
      </c>
      <c r="M13105">
        <v>0</v>
      </c>
      <c r="N13105">
        <v>0</v>
      </c>
      <c r="O13105" t="s">
        <v>11774</v>
      </c>
    </row>
    <row r="13106" spans="1:15">
      <c r="A13106" t="s">
        <v>44485</v>
      </c>
      <c r="B13106" t="s">
        <v>12438</v>
      </c>
      <c r="C13106" t="s">
        <v>23340</v>
      </c>
      <c r="D13106" t="s">
        <v>44486</v>
      </c>
      <c r="E13106" t="b">
        <v>0</v>
      </c>
      <c r="F13106" t="s">
        <v>11610</v>
      </c>
      <c r="L13106">
        <v>0</v>
      </c>
      <c r="M13106">
        <v>0</v>
      </c>
      <c r="N13106">
        <v>0</v>
      </c>
    </row>
    <row r="13107" spans="1:15">
      <c r="A13107" t="s">
        <v>44487</v>
      </c>
      <c r="B13107" t="s">
        <v>11607</v>
      </c>
      <c r="C13107" t="s">
        <v>19552</v>
      </c>
      <c r="D13107" t="s">
        <v>44488</v>
      </c>
      <c r="E13107" t="b">
        <v>0</v>
      </c>
      <c r="F13107" t="s">
        <v>11624</v>
      </c>
      <c r="G13107">
        <v>10.2347</v>
      </c>
      <c r="H13107">
        <v>17.412600000000001</v>
      </c>
      <c r="I13107" t="s">
        <v>44489</v>
      </c>
      <c r="L13107">
        <v>0</v>
      </c>
      <c r="M13107">
        <v>0</v>
      </c>
      <c r="N13107">
        <v>0</v>
      </c>
      <c r="O13107" t="s">
        <v>13421</v>
      </c>
    </row>
    <row r="13108" spans="1:15">
      <c r="A13108" t="s">
        <v>44490</v>
      </c>
      <c r="B13108" t="s">
        <v>23370</v>
      </c>
      <c r="C13108" t="s">
        <v>23370</v>
      </c>
      <c r="D13108" t="s">
        <v>44491</v>
      </c>
      <c r="E13108" t="b">
        <v>0</v>
      </c>
      <c r="F13108" t="s">
        <v>11624</v>
      </c>
      <c r="G13108">
        <v>43.3215</v>
      </c>
      <c r="H13108">
        <v>-124.258</v>
      </c>
      <c r="I13108" t="s">
        <v>44492</v>
      </c>
      <c r="L13108">
        <v>0</v>
      </c>
      <c r="M13108">
        <v>0</v>
      </c>
      <c r="N13108">
        <v>0</v>
      </c>
      <c r="O13108" t="s">
        <v>11944</v>
      </c>
    </row>
    <row r="13109" spans="1:15">
      <c r="A13109" t="s">
        <v>44493</v>
      </c>
      <c r="B13109" t="s">
        <v>11637</v>
      </c>
      <c r="C13109" t="s">
        <v>41343</v>
      </c>
      <c r="D13109" t="s">
        <v>44494</v>
      </c>
      <c r="E13109" t="b">
        <v>0</v>
      </c>
      <c r="F13109" t="s">
        <v>11624</v>
      </c>
      <c r="I13109" t="s">
        <v>44495</v>
      </c>
      <c r="L13109">
        <v>0</v>
      </c>
      <c r="M13109">
        <v>0</v>
      </c>
      <c r="N13109">
        <v>0</v>
      </c>
      <c r="O13109" t="s">
        <v>16254</v>
      </c>
    </row>
    <row r="13110" spans="1:15">
      <c r="A13110" t="s">
        <v>44496</v>
      </c>
      <c r="B13110" t="s">
        <v>11644</v>
      </c>
      <c r="C13110" t="s">
        <v>1298</v>
      </c>
      <c r="D13110" t="s">
        <v>44497</v>
      </c>
      <c r="E13110" t="b">
        <v>0</v>
      </c>
      <c r="F13110" t="s">
        <v>11610</v>
      </c>
      <c r="L13110">
        <v>0</v>
      </c>
      <c r="M13110">
        <v>0</v>
      </c>
      <c r="N13110">
        <v>0</v>
      </c>
    </row>
    <row r="13111" spans="1:15">
      <c r="A13111" t="s">
        <v>44498</v>
      </c>
      <c r="D13111" t="s">
        <v>44499</v>
      </c>
      <c r="E13111" t="b">
        <v>0</v>
      </c>
      <c r="F13111" t="s">
        <v>11624</v>
      </c>
      <c r="G13111">
        <v>13.827507000000001</v>
      </c>
      <c r="H13111">
        <v>21.113240000000001</v>
      </c>
      <c r="L13111">
        <v>0</v>
      </c>
      <c r="M13111">
        <v>0</v>
      </c>
      <c r="N13111">
        <v>0</v>
      </c>
      <c r="O13111" t="s">
        <v>13421</v>
      </c>
    </row>
    <row r="13112" spans="1:15">
      <c r="A13112" t="s">
        <v>44500</v>
      </c>
      <c r="B13112" t="s">
        <v>11780</v>
      </c>
      <c r="C13112" t="s">
        <v>11780</v>
      </c>
      <c r="D13112" t="s">
        <v>44501</v>
      </c>
      <c r="E13112" t="b">
        <v>0</v>
      </c>
      <c r="F13112" t="s">
        <v>11624</v>
      </c>
      <c r="G13112">
        <v>14.302046000000001</v>
      </c>
      <c r="H13112">
        <v>20.724105999999999</v>
      </c>
      <c r="L13112">
        <v>0</v>
      </c>
      <c r="M13112">
        <v>0</v>
      </c>
      <c r="N13112">
        <v>0</v>
      </c>
      <c r="O13112" t="s">
        <v>13421</v>
      </c>
    </row>
    <row r="13113" spans="1:15">
      <c r="A13113" t="s">
        <v>44502</v>
      </c>
      <c r="B13113" t="s">
        <v>11607</v>
      </c>
      <c r="C13113" t="s">
        <v>44503</v>
      </c>
      <c r="D13113" t="s">
        <v>44504</v>
      </c>
      <c r="E13113" t="b">
        <v>0</v>
      </c>
      <c r="F13113" t="s">
        <v>11610</v>
      </c>
      <c r="L13113">
        <v>0</v>
      </c>
      <c r="M13113">
        <v>0</v>
      </c>
      <c r="N13113">
        <v>0</v>
      </c>
    </row>
    <row r="13114" spans="1:15">
      <c r="A13114" t="s">
        <v>44505</v>
      </c>
      <c r="B13114" t="s">
        <v>11627</v>
      </c>
      <c r="C13114" t="s">
        <v>11627</v>
      </c>
      <c r="D13114" t="s">
        <v>44506</v>
      </c>
      <c r="E13114" t="b">
        <v>1</v>
      </c>
      <c r="F13114" t="s">
        <v>11624</v>
      </c>
      <c r="I13114" t="s">
        <v>44507</v>
      </c>
      <c r="L13114">
        <v>0</v>
      </c>
      <c r="M13114">
        <v>0</v>
      </c>
      <c r="N13114">
        <v>0</v>
      </c>
    </row>
    <row r="13115" spans="1:15">
      <c r="A13115" t="s">
        <v>44508</v>
      </c>
      <c r="B13115" t="s">
        <v>11627</v>
      </c>
      <c r="C13115" t="s">
        <v>11627</v>
      </c>
      <c r="D13115" t="s">
        <v>44509</v>
      </c>
      <c r="E13115" t="b">
        <v>1</v>
      </c>
      <c r="F13115" t="s">
        <v>11624</v>
      </c>
      <c r="G13115">
        <v>23.7425</v>
      </c>
      <c r="H13115">
        <v>74.597700000000003</v>
      </c>
      <c r="I13115" t="s">
        <v>44510</v>
      </c>
      <c r="L13115">
        <v>0</v>
      </c>
      <c r="M13115">
        <v>0</v>
      </c>
      <c r="N13115">
        <v>0</v>
      </c>
      <c r="O13115" t="s">
        <v>11630</v>
      </c>
    </row>
    <row r="13116" spans="1:15">
      <c r="A13116" t="s">
        <v>5309</v>
      </c>
      <c r="B13116" t="s">
        <v>367</v>
      </c>
      <c r="C13116" t="s">
        <v>41052</v>
      </c>
      <c r="D13116" t="s">
        <v>5308</v>
      </c>
      <c r="E13116" t="b">
        <v>0</v>
      </c>
      <c r="F13116" t="s">
        <v>11624</v>
      </c>
      <c r="G13116">
        <v>-0.89600000000000002</v>
      </c>
      <c r="H13116">
        <v>100.44</v>
      </c>
      <c r="I13116" t="s">
        <v>5310</v>
      </c>
      <c r="L13116">
        <v>0</v>
      </c>
      <c r="M13116">
        <v>0</v>
      </c>
      <c r="N13116">
        <v>11</v>
      </c>
      <c r="O13116" t="s">
        <v>11768</v>
      </c>
    </row>
    <row r="13117" spans="1:15">
      <c r="A13117" t="s">
        <v>44511</v>
      </c>
      <c r="B13117" t="s">
        <v>367</v>
      </c>
      <c r="C13117" t="s">
        <v>26582</v>
      </c>
      <c r="D13117" t="s">
        <v>44512</v>
      </c>
      <c r="E13117" t="b">
        <v>0</v>
      </c>
      <c r="F13117" t="s">
        <v>11624</v>
      </c>
      <c r="G13117">
        <v>-9.5992200000000008</v>
      </c>
      <c r="H13117">
        <v>150.501</v>
      </c>
      <c r="I13117" t="s">
        <v>44513</v>
      </c>
      <c r="L13117">
        <v>0</v>
      </c>
      <c r="M13117">
        <v>0</v>
      </c>
      <c r="N13117">
        <v>0</v>
      </c>
      <c r="O13117" t="s">
        <v>11660</v>
      </c>
    </row>
    <row r="13118" spans="1:15">
      <c r="A13118" t="s">
        <v>44514</v>
      </c>
      <c r="B13118" t="s">
        <v>367</v>
      </c>
      <c r="C13118" t="s">
        <v>29099</v>
      </c>
      <c r="D13118" t="s">
        <v>44515</v>
      </c>
      <c r="E13118" t="b">
        <v>0</v>
      </c>
      <c r="F13118" t="s">
        <v>11610</v>
      </c>
      <c r="L13118">
        <v>0</v>
      </c>
      <c r="M13118">
        <v>0</v>
      </c>
      <c r="N13118">
        <v>0</v>
      </c>
    </row>
    <row r="13119" spans="1:15">
      <c r="A13119" t="s">
        <v>44516</v>
      </c>
      <c r="B13119" t="s">
        <v>367</v>
      </c>
      <c r="C13119" t="s">
        <v>40914</v>
      </c>
      <c r="D13119" t="s">
        <v>44517</v>
      </c>
      <c r="E13119" t="b">
        <v>0</v>
      </c>
      <c r="F13119" t="s">
        <v>11610</v>
      </c>
      <c r="L13119">
        <v>0</v>
      </c>
      <c r="M13119">
        <v>0</v>
      </c>
      <c r="N13119">
        <v>0</v>
      </c>
    </row>
    <row r="13120" spans="1:15">
      <c r="A13120" t="s">
        <v>44518</v>
      </c>
      <c r="B13120" t="s">
        <v>367</v>
      </c>
      <c r="C13120" t="s">
        <v>4363</v>
      </c>
      <c r="D13120" t="s">
        <v>44519</v>
      </c>
      <c r="E13120" t="b">
        <v>0</v>
      </c>
      <c r="F13120" t="s">
        <v>11622</v>
      </c>
      <c r="L13120">
        <v>2</v>
      </c>
      <c r="M13120">
        <v>5</v>
      </c>
      <c r="N13120">
        <v>13</v>
      </c>
    </row>
    <row r="13121" spans="1:15">
      <c r="A13121" t="s">
        <v>44520</v>
      </c>
      <c r="B13121" t="s">
        <v>11615</v>
      </c>
      <c r="C13121" t="s">
        <v>42791</v>
      </c>
      <c r="D13121" t="s">
        <v>44521</v>
      </c>
      <c r="E13121" t="b">
        <v>0</v>
      </c>
      <c r="F13121" t="s">
        <v>11610</v>
      </c>
      <c r="L13121">
        <v>0</v>
      </c>
      <c r="M13121">
        <v>0</v>
      </c>
      <c r="N13121">
        <v>0</v>
      </c>
    </row>
    <row r="13122" spans="1:15">
      <c r="A13122" t="s">
        <v>44522</v>
      </c>
      <c r="B13122" t="s">
        <v>11794</v>
      </c>
      <c r="C13122" t="s">
        <v>31501</v>
      </c>
      <c r="D13122" t="s">
        <v>44523</v>
      </c>
      <c r="E13122" t="b">
        <v>0</v>
      </c>
      <c r="F13122" t="s">
        <v>11624</v>
      </c>
      <c r="G13122">
        <v>-7.6171699999999998</v>
      </c>
      <c r="H13122">
        <v>144.011</v>
      </c>
      <c r="I13122" t="s">
        <v>44524</v>
      </c>
      <c r="L13122">
        <v>0</v>
      </c>
      <c r="M13122">
        <v>0</v>
      </c>
      <c r="N13122">
        <v>0</v>
      </c>
      <c r="O13122" t="s">
        <v>11660</v>
      </c>
    </row>
    <row r="13123" spans="1:15">
      <c r="A13123" t="s">
        <v>18150</v>
      </c>
      <c r="B13123" t="s">
        <v>11607</v>
      </c>
      <c r="C13123" t="s">
        <v>18908</v>
      </c>
      <c r="D13123" t="s">
        <v>44525</v>
      </c>
      <c r="E13123" t="b">
        <v>0</v>
      </c>
      <c r="F13123" t="s">
        <v>11624</v>
      </c>
      <c r="G13123">
        <v>10.38053</v>
      </c>
      <c r="H13123">
        <v>13.840540000000001</v>
      </c>
      <c r="I13123" t="s">
        <v>44526</v>
      </c>
      <c r="L13123">
        <v>0</v>
      </c>
      <c r="M13123">
        <v>0</v>
      </c>
      <c r="N13123">
        <v>3</v>
      </c>
      <c r="O13123" t="s">
        <v>11703</v>
      </c>
    </row>
    <row r="13124" spans="1:15">
      <c r="A13124" t="s">
        <v>44527</v>
      </c>
      <c r="B13124" t="s">
        <v>11607</v>
      </c>
      <c r="C13124" t="s">
        <v>30502</v>
      </c>
      <c r="D13124" t="s">
        <v>44528</v>
      </c>
      <c r="E13124" t="b">
        <v>0</v>
      </c>
      <c r="F13124" t="s">
        <v>11624</v>
      </c>
      <c r="I13124" t="s">
        <v>44529</v>
      </c>
      <c r="L13124">
        <v>0</v>
      </c>
      <c r="M13124">
        <v>0</v>
      </c>
      <c r="N13124">
        <v>0</v>
      </c>
      <c r="O13124" t="s">
        <v>30505</v>
      </c>
    </row>
    <row r="13125" spans="1:15">
      <c r="A13125" t="s">
        <v>41052</v>
      </c>
      <c r="B13125" t="s">
        <v>367</v>
      </c>
      <c r="C13125" t="s">
        <v>18177</v>
      </c>
      <c r="D13125" t="s">
        <v>44530</v>
      </c>
      <c r="E13125" t="b">
        <v>0</v>
      </c>
      <c r="F13125" t="s">
        <v>11622</v>
      </c>
      <c r="L13125">
        <v>0</v>
      </c>
      <c r="M13125">
        <v>4</v>
      </c>
      <c r="N13125">
        <v>11</v>
      </c>
    </row>
    <row r="13126" spans="1:15">
      <c r="A13126" t="s">
        <v>22852</v>
      </c>
      <c r="B13126" t="s">
        <v>11644</v>
      </c>
      <c r="C13126" t="s">
        <v>44531</v>
      </c>
      <c r="D13126" t="s">
        <v>44532</v>
      </c>
      <c r="E13126" t="b">
        <v>0</v>
      </c>
      <c r="F13126" t="s">
        <v>11610</v>
      </c>
      <c r="L13126">
        <v>0</v>
      </c>
      <c r="M13126">
        <v>0</v>
      </c>
      <c r="N13126">
        <v>5</v>
      </c>
    </row>
    <row r="13127" spans="1:15">
      <c r="A13127" t="s">
        <v>44533</v>
      </c>
      <c r="B13127" t="s">
        <v>11644</v>
      </c>
      <c r="C13127" t="s">
        <v>14775</v>
      </c>
      <c r="D13127" t="s">
        <v>44534</v>
      </c>
      <c r="E13127" t="b">
        <v>0</v>
      </c>
      <c r="F13127" t="s">
        <v>11610</v>
      </c>
      <c r="L13127">
        <v>0</v>
      </c>
      <c r="M13127">
        <v>0</v>
      </c>
      <c r="N13127">
        <v>0</v>
      </c>
    </row>
    <row r="13128" spans="1:15">
      <c r="A13128" t="s">
        <v>44531</v>
      </c>
      <c r="B13128" t="s">
        <v>11644</v>
      </c>
      <c r="C13128" t="s">
        <v>32471</v>
      </c>
      <c r="D13128" t="s">
        <v>44535</v>
      </c>
      <c r="E13128" t="b">
        <v>0</v>
      </c>
      <c r="F13128" t="s">
        <v>11624</v>
      </c>
      <c r="G13128">
        <v>27.05</v>
      </c>
      <c r="H13128">
        <v>118.32</v>
      </c>
      <c r="I13128" t="s">
        <v>44536</v>
      </c>
      <c r="L13128">
        <v>0</v>
      </c>
      <c r="M13128">
        <v>0</v>
      </c>
      <c r="N13128">
        <v>10</v>
      </c>
      <c r="O13128" t="s">
        <v>11905</v>
      </c>
    </row>
    <row r="13129" spans="1:15">
      <c r="A13129" t="s">
        <v>28183</v>
      </c>
      <c r="B13129" t="s">
        <v>11644</v>
      </c>
      <c r="C13129" t="s">
        <v>23181</v>
      </c>
      <c r="D13129" t="s">
        <v>44537</v>
      </c>
      <c r="E13129" t="b">
        <v>0</v>
      </c>
      <c r="F13129" t="s">
        <v>11624</v>
      </c>
      <c r="G13129">
        <v>26</v>
      </c>
      <c r="H13129">
        <v>119.5</v>
      </c>
      <c r="I13129" t="s">
        <v>44538</v>
      </c>
      <c r="L13129">
        <v>0</v>
      </c>
      <c r="M13129">
        <v>0</v>
      </c>
      <c r="N13129">
        <v>2</v>
      </c>
      <c r="O13129" t="s">
        <v>11905</v>
      </c>
    </row>
    <row r="13130" spans="1:15">
      <c r="A13130" t="s">
        <v>44539</v>
      </c>
      <c r="B13130" t="s">
        <v>6742</v>
      </c>
      <c r="C13130" t="s">
        <v>44540</v>
      </c>
      <c r="D13130" t="s">
        <v>44541</v>
      </c>
      <c r="E13130" t="b">
        <v>0</v>
      </c>
      <c r="F13130" t="s">
        <v>11610</v>
      </c>
      <c r="L13130">
        <v>0</v>
      </c>
      <c r="M13130">
        <v>0</v>
      </c>
      <c r="N13130">
        <v>0</v>
      </c>
    </row>
    <row r="13131" spans="1:15">
      <c r="A13131" t="s">
        <v>44542</v>
      </c>
      <c r="B13131" t="s">
        <v>367</v>
      </c>
      <c r="C13131" t="s">
        <v>14896</v>
      </c>
      <c r="D13131" t="s">
        <v>44543</v>
      </c>
      <c r="E13131" t="b">
        <v>0</v>
      </c>
      <c r="F13131" t="s">
        <v>11624</v>
      </c>
      <c r="G13131">
        <v>-5.5461299999999998</v>
      </c>
      <c r="H13131">
        <v>146.13800000000001</v>
      </c>
      <c r="I13131" t="s">
        <v>44544</v>
      </c>
      <c r="L13131">
        <v>0</v>
      </c>
      <c r="M13131">
        <v>0</v>
      </c>
      <c r="N13131">
        <v>0</v>
      </c>
      <c r="O13131" t="s">
        <v>11660</v>
      </c>
    </row>
    <row r="13132" spans="1:15">
      <c r="A13132" t="s">
        <v>44545</v>
      </c>
      <c r="B13132" t="s">
        <v>367</v>
      </c>
      <c r="C13132" t="s">
        <v>44546</v>
      </c>
      <c r="D13132" t="s">
        <v>44547</v>
      </c>
      <c r="E13132" t="b">
        <v>0</v>
      </c>
      <c r="F13132" t="s">
        <v>11610</v>
      </c>
      <c r="L13132">
        <v>0</v>
      </c>
      <c r="M13132">
        <v>0</v>
      </c>
      <c r="N13132">
        <v>0</v>
      </c>
    </row>
    <row r="13133" spans="1:15">
      <c r="A13133" t="s">
        <v>44548</v>
      </c>
      <c r="B13133" t="s">
        <v>367</v>
      </c>
      <c r="C13133" t="s">
        <v>19130</v>
      </c>
      <c r="D13133" t="s">
        <v>44549</v>
      </c>
      <c r="E13133" t="b">
        <v>0</v>
      </c>
      <c r="F13133" t="s">
        <v>11610</v>
      </c>
      <c r="L13133">
        <v>0</v>
      </c>
      <c r="M13133">
        <v>0</v>
      </c>
      <c r="N13133">
        <v>0</v>
      </c>
    </row>
    <row r="13134" spans="1:15">
      <c r="A13134" t="s">
        <v>13958</v>
      </c>
      <c r="B13134" t="s">
        <v>11615</v>
      </c>
      <c r="C13134" t="s">
        <v>27544</v>
      </c>
      <c r="D13134" t="s">
        <v>44550</v>
      </c>
      <c r="E13134" t="b">
        <v>0</v>
      </c>
      <c r="F13134" t="s">
        <v>11622</v>
      </c>
      <c r="L13134">
        <v>0</v>
      </c>
      <c r="M13134">
        <v>4</v>
      </c>
      <c r="N13134">
        <v>0</v>
      </c>
    </row>
    <row r="13135" spans="1:15">
      <c r="A13135" t="s">
        <v>44551</v>
      </c>
      <c r="B13135" t="s">
        <v>11607</v>
      </c>
      <c r="C13135" t="s">
        <v>13119</v>
      </c>
      <c r="D13135" t="s">
        <v>44552</v>
      </c>
      <c r="E13135" t="b">
        <v>0</v>
      </c>
      <c r="F13135" t="s">
        <v>11610</v>
      </c>
      <c r="L13135">
        <v>0</v>
      </c>
      <c r="M13135">
        <v>0</v>
      </c>
      <c r="N13135">
        <v>0</v>
      </c>
    </row>
    <row r="13136" spans="1:15">
      <c r="A13136" t="s">
        <v>44553</v>
      </c>
      <c r="B13136" t="s">
        <v>11637</v>
      </c>
      <c r="C13136" t="s">
        <v>27644</v>
      </c>
      <c r="D13136" t="s">
        <v>44554</v>
      </c>
      <c r="E13136" t="b">
        <v>0</v>
      </c>
      <c r="F13136" t="s">
        <v>11624</v>
      </c>
      <c r="G13136">
        <v>39.514400000000002</v>
      </c>
      <c r="H13136">
        <v>-8.6886600000000005</v>
      </c>
      <c r="I13136" t="s">
        <v>44555</v>
      </c>
      <c r="L13136">
        <v>0</v>
      </c>
      <c r="M13136">
        <v>0</v>
      </c>
      <c r="N13136">
        <v>0</v>
      </c>
      <c r="O13136" t="s">
        <v>44556</v>
      </c>
    </row>
    <row r="13137" spans="1:15">
      <c r="A13137" t="s">
        <v>44557</v>
      </c>
      <c r="B13137" t="s">
        <v>11607</v>
      </c>
      <c r="C13137" t="s">
        <v>29022</v>
      </c>
      <c r="D13137" t="s">
        <v>44558</v>
      </c>
      <c r="E13137" t="b">
        <v>0</v>
      </c>
      <c r="F13137" t="s">
        <v>11610</v>
      </c>
      <c r="L13137">
        <v>0</v>
      </c>
      <c r="M13137">
        <v>0</v>
      </c>
      <c r="N13137">
        <v>0</v>
      </c>
    </row>
    <row r="13138" spans="1:15">
      <c r="A13138" t="s">
        <v>44559</v>
      </c>
      <c r="B13138" t="s">
        <v>12148</v>
      </c>
      <c r="C13138" t="s">
        <v>39633</v>
      </c>
      <c r="D13138" t="s">
        <v>44560</v>
      </c>
      <c r="E13138" t="b">
        <v>0</v>
      </c>
      <c r="F13138" t="s">
        <v>11624</v>
      </c>
      <c r="G13138">
        <v>42.512900000000002</v>
      </c>
      <c r="H13138">
        <v>41.871899999999997</v>
      </c>
      <c r="I13138" t="s">
        <v>44561</v>
      </c>
      <c r="L13138">
        <v>0</v>
      </c>
      <c r="M13138">
        <v>0</v>
      </c>
      <c r="N13138">
        <v>0</v>
      </c>
      <c r="O13138" t="s">
        <v>17456</v>
      </c>
    </row>
    <row r="13139" spans="1:15">
      <c r="A13139" t="s">
        <v>44562</v>
      </c>
      <c r="B13139" t="s">
        <v>10597</v>
      </c>
      <c r="C13139" t="s">
        <v>15730</v>
      </c>
      <c r="D13139" t="s">
        <v>44563</v>
      </c>
      <c r="E13139" t="b">
        <v>0</v>
      </c>
      <c r="F13139" t="s">
        <v>11610</v>
      </c>
      <c r="L13139">
        <v>0</v>
      </c>
      <c r="M13139">
        <v>0</v>
      </c>
      <c r="N13139">
        <v>0</v>
      </c>
    </row>
    <row r="13140" spans="1:15">
      <c r="A13140" t="s">
        <v>44564</v>
      </c>
      <c r="B13140" t="s">
        <v>6742</v>
      </c>
      <c r="C13140" t="s">
        <v>25727</v>
      </c>
      <c r="D13140" t="s">
        <v>44565</v>
      </c>
      <c r="E13140" t="b">
        <v>0</v>
      </c>
      <c r="F13140" t="s">
        <v>11624</v>
      </c>
      <c r="G13140">
        <v>9.2594200000000004</v>
      </c>
      <c r="H13140">
        <v>11.295</v>
      </c>
      <c r="I13140" t="s">
        <v>44566</v>
      </c>
      <c r="L13140">
        <v>0</v>
      </c>
      <c r="M13140">
        <v>0</v>
      </c>
      <c r="N13140">
        <v>0</v>
      </c>
      <c r="O13140" t="s">
        <v>11693</v>
      </c>
    </row>
    <row r="13141" spans="1:15">
      <c r="A13141" t="s">
        <v>44567</v>
      </c>
      <c r="B13141" t="s">
        <v>11644</v>
      </c>
      <c r="C13141" t="s">
        <v>22290</v>
      </c>
      <c r="D13141" t="s">
        <v>44568</v>
      </c>
      <c r="E13141" t="b">
        <v>0</v>
      </c>
      <c r="F13141" t="s">
        <v>11610</v>
      </c>
      <c r="L13141">
        <v>0</v>
      </c>
      <c r="M13141">
        <v>0</v>
      </c>
      <c r="N13141">
        <v>0</v>
      </c>
    </row>
    <row r="13142" spans="1:15">
      <c r="A13142" t="s">
        <v>44569</v>
      </c>
      <c r="B13142" t="s">
        <v>367</v>
      </c>
      <c r="C13142" t="s">
        <v>38849</v>
      </c>
      <c r="D13142" t="s">
        <v>44570</v>
      </c>
      <c r="E13142" t="b">
        <v>0</v>
      </c>
      <c r="F13142" t="s">
        <v>11610</v>
      </c>
      <c r="L13142">
        <v>0</v>
      </c>
      <c r="M13142">
        <v>0</v>
      </c>
      <c r="N13142">
        <v>0</v>
      </c>
    </row>
    <row r="13143" spans="1:15">
      <c r="A13143" t="s">
        <v>44571</v>
      </c>
      <c r="B13143" t="s">
        <v>12250</v>
      </c>
      <c r="C13143" t="s">
        <v>13157</v>
      </c>
      <c r="D13143" t="s">
        <v>44572</v>
      </c>
      <c r="E13143" t="b">
        <v>0</v>
      </c>
      <c r="F13143" t="s">
        <v>11610</v>
      </c>
      <c r="L13143">
        <v>0</v>
      </c>
      <c r="M13143">
        <v>0</v>
      </c>
      <c r="N13143">
        <v>0</v>
      </c>
    </row>
    <row r="13144" spans="1:15">
      <c r="A13144" t="s">
        <v>44573</v>
      </c>
      <c r="B13144" t="s">
        <v>12250</v>
      </c>
      <c r="C13144" t="s">
        <v>31786</v>
      </c>
      <c r="D13144" t="s">
        <v>44574</v>
      </c>
      <c r="E13144" t="b">
        <v>0</v>
      </c>
      <c r="F13144" t="s">
        <v>11610</v>
      </c>
      <c r="L13144">
        <v>0</v>
      </c>
      <c r="M13144">
        <v>0</v>
      </c>
      <c r="N13144">
        <v>0</v>
      </c>
    </row>
    <row r="13145" spans="1:15">
      <c r="A13145" t="s">
        <v>44575</v>
      </c>
      <c r="B13145" t="s">
        <v>11644</v>
      </c>
      <c r="C13145" t="s">
        <v>44576</v>
      </c>
      <c r="D13145" t="s">
        <v>44577</v>
      </c>
      <c r="E13145" t="b">
        <v>0</v>
      </c>
      <c r="F13145" t="s">
        <v>11610</v>
      </c>
      <c r="L13145">
        <v>0</v>
      </c>
      <c r="M13145">
        <v>0</v>
      </c>
      <c r="N13145">
        <v>0</v>
      </c>
    </row>
    <row r="13146" spans="1:15">
      <c r="A13146" t="s">
        <v>44578</v>
      </c>
      <c r="B13146" t="s">
        <v>367</v>
      </c>
      <c r="C13146" t="s">
        <v>30201</v>
      </c>
      <c r="D13146" t="s">
        <v>44579</v>
      </c>
      <c r="E13146" t="b">
        <v>0</v>
      </c>
      <c r="F13146" t="s">
        <v>11624</v>
      </c>
      <c r="G13146">
        <v>-4.3180300000000003</v>
      </c>
      <c r="H13146">
        <v>152.005</v>
      </c>
      <c r="I13146" t="s">
        <v>44580</v>
      </c>
      <c r="L13146">
        <v>0</v>
      </c>
      <c r="M13146">
        <v>0</v>
      </c>
      <c r="N13146">
        <v>0</v>
      </c>
      <c r="O13146" t="s">
        <v>11660</v>
      </c>
    </row>
    <row r="13147" spans="1:15">
      <c r="A13147" t="s">
        <v>44581</v>
      </c>
      <c r="B13147" t="s">
        <v>367</v>
      </c>
      <c r="C13147" t="s">
        <v>14513</v>
      </c>
      <c r="D13147" t="s">
        <v>44582</v>
      </c>
      <c r="E13147" t="b">
        <v>0</v>
      </c>
      <c r="F13147" t="s">
        <v>11610</v>
      </c>
      <c r="L13147">
        <v>0</v>
      </c>
      <c r="M13147">
        <v>0</v>
      </c>
      <c r="N13147">
        <v>0</v>
      </c>
    </row>
    <row r="13148" spans="1:15">
      <c r="A13148" t="s">
        <v>44583</v>
      </c>
      <c r="B13148" t="s">
        <v>11834</v>
      </c>
      <c r="C13148" t="s">
        <v>11834</v>
      </c>
      <c r="D13148" t="s">
        <v>44584</v>
      </c>
      <c r="E13148" t="b">
        <v>0</v>
      </c>
      <c r="F13148" t="s">
        <v>11624</v>
      </c>
      <c r="G13148">
        <v>-3.5940799999999999</v>
      </c>
      <c r="H13148">
        <v>142.33000000000001</v>
      </c>
      <c r="I13148" t="s">
        <v>44585</v>
      </c>
      <c r="L13148">
        <v>0</v>
      </c>
      <c r="M13148">
        <v>0</v>
      </c>
      <c r="N13148">
        <v>0</v>
      </c>
      <c r="O13148" t="s">
        <v>11660</v>
      </c>
    </row>
    <row r="13149" spans="1:15">
      <c r="A13149" t="s">
        <v>44586</v>
      </c>
      <c r="B13149" t="s">
        <v>12979</v>
      </c>
      <c r="C13149" t="s">
        <v>13045</v>
      </c>
      <c r="D13149" t="s">
        <v>44587</v>
      </c>
      <c r="E13149" t="b">
        <v>0</v>
      </c>
      <c r="F13149" t="s">
        <v>11610</v>
      </c>
      <c r="L13149">
        <v>0</v>
      </c>
      <c r="M13149">
        <v>0</v>
      </c>
      <c r="N13149">
        <v>0</v>
      </c>
    </row>
    <row r="13150" spans="1:15">
      <c r="A13150" t="s">
        <v>44588</v>
      </c>
      <c r="B13150" t="s">
        <v>13737</v>
      </c>
      <c r="C13150" t="s">
        <v>44589</v>
      </c>
      <c r="D13150" t="s">
        <v>44590</v>
      </c>
      <c r="E13150" t="b">
        <v>0</v>
      </c>
      <c r="F13150" t="s">
        <v>11622</v>
      </c>
      <c r="L13150">
        <v>0</v>
      </c>
      <c r="M13150">
        <v>2</v>
      </c>
      <c r="N13150">
        <v>1</v>
      </c>
    </row>
    <row r="13151" spans="1:15">
      <c r="A13151" t="s">
        <v>44591</v>
      </c>
      <c r="B13151" t="s">
        <v>13737</v>
      </c>
      <c r="C13151" t="s">
        <v>44588</v>
      </c>
      <c r="D13151" t="s">
        <v>44592</v>
      </c>
      <c r="E13151" t="b">
        <v>0</v>
      </c>
      <c r="F13151" t="s">
        <v>11624</v>
      </c>
      <c r="G13151">
        <v>-1.54535</v>
      </c>
      <c r="H13151">
        <v>-73.110699999999994</v>
      </c>
      <c r="I13151" t="s">
        <v>44593</v>
      </c>
      <c r="L13151">
        <v>0</v>
      </c>
      <c r="M13151">
        <v>0</v>
      </c>
      <c r="N13151">
        <v>0</v>
      </c>
      <c r="O13151" t="s">
        <v>11898</v>
      </c>
    </row>
    <row r="13152" spans="1:15">
      <c r="A13152" t="s">
        <v>30201</v>
      </c>
      <c r="B13152" t="s">
        <v>367</v>
      </c>
      <c r="C13152" t="s">
        <v>44594</v>
      </c>
      <c r="D13152" t="s">
        <v>44595</v>
      </c>
      <c r="E13152" t="b">
        <v>0</v>
      </c>
      <c r="F13152" t="s">
        <v>11622</v>
      </c>
      <c r="L13152">
        <v>0</v>
      </c>
      <c r="M13152">
        <v>3</v>
      </c>
      <c r="N13152">
        <v>14</v>
      </c>
    </row>
    <row r="13153" spans="1:15">
      <c r="A13153" t="s">
        <v>44596</v>
      </c>
      <c r="B13153" t="s">
        <v>13450</v>
      </c>
      <c r="C13153" t="s">
        <v>13450</v>
      </c>
      <c r="D13153" t="s">
        <v>44597</v>
      </c>
      <c r="E13153" t="b">
        <v>0</v>
      </c>
      <c r="F13153" t="s">
        <v>11622</v>
      </c>
      <c r="L13153">
        <v>0</v>
      </c>
      <c r="M13153">
        <v>1</v>
      </c>
      <c r="N13153">
        <v>0</v>
      </c>
    </row>
    <row r="13154" spans="1:15">
      <c r="A13154" t="s">
        <v>44598</v>
      </c>
      <c r="B13154" t="s">
        <v>11607</v>
      </c>
      <c r="C13154" t="s">
        <v>22053</v>
      </c>
      <c r="D13154" t="s">
        <v>44599</v>
      </c>
      <c r="E13154" t="b">
        <v>0</v>
      </c>
      <c r="F13154" t="s">
        <v>11610</v>
      </c>
      <c r="L13154">
        <v>0</v>
      </c>
      <c r="M13154">
        <v>0</v>
      </c>
      <c r="N13154">
        <v>0</v>
      </c>
    </row>
    <row r="13155" spans="1:15">
      <c r="A13155" t="s">
        <v>44600</v>
      </c>
      <c r="B13155" t="s">
        <v>12218</v>
      </c>
      <c r="C13155" t="s">
        <v>12219</v>
      </c>
      <c r="D13155" t="s">
        <v>44601</v>
      </c>
      <c r="E13155" t="b">
        <v>0</v>
      </c>
      <c r="F13155" t="s">
        <v>11610</v>
      </c>
      <c r="L13155">
        <v>0</v>
      </c>
      <c r="M13155">
        <v>0</v>
      </c>
      <c r="N13155">
        <v>0</v>
      </c>
    </row>
    <row r="13156" spans="1:15">
      <c r="A13156" t="s">
        <v>44602</v>
      </c>
      <c r="B13156" t="s">
        <v>10597</v>
      </c>
      <c r="C13156" t="s">
        <v>44603</v>
      </c>
      <c r="D13156" t="s">
        <v>44604</v>
      </c>
      <c r="E13156" t="b">
        <v>0</v>
      </c>
      <c r="F13156" t="s">
        <v>11610</v>
      </c>
      <c r="L13156">
        <v>0</v>
      </c>
      <c r="M13156">
        <v>0</v>
      </c>
      <c r="N13156">
        <v>0</v>
      </c>
      <c r="O13156" t="s">
        <v>12107</v>
      </c>
    </row>
    <row r="13157" spans="1:15">
      <c r="A13157" t="s">
        <v>44605</v>
      </c>
      <c r="D13157" t="s">
        <v>44606</v>
      </c>
      <c r="E13157" t="b">
        <v>0</v>
      </c>
      <c r="F13157" t="s">
        <v>11624</v>
      </c>
      <c r="G13157">
        <v>-17.736653</v>
      </c>
      <c r="H13157">
        <v>139.54193100000001</v>
      </c>
      <c r="I13157" t="s">
        <v>44607</v>
      </c>
      <c r="L13157">
        <v>0</v>
      </c>
      <c r="M13157">
        <v>0</v>
      </c>
      <c r="N13157">
        <v>0</v>
      </c>
      <c r="O13157" t="s">
        <v>12107</v>
      </c>
    </row>
    <row r="13158" spans="1:15">
      <c r="A13158" t="s">
        <v>22300</v>
      </c>
      <c r="B13158" t="s">
        <v>11644</v>
      </c>
      <c r="C13158" t="s">
        <v>23181</v>
      </c>
      <c r="D13158" t="s">
        <v>44608</v>
      </c>
      <c r="E13158" t="b">
        <v>0</v>
      </c>
      <c r="F13158" t="s">
        <v>11624</v>
      </c>
      <c r="G13158">
        <v>24.5</v>
      </c>
      <c r="H13158">
        <v>118.17</v>
      </c>
      <c r="I13158" t="s">
        <v>44609</v>
      </c>
      <c r="L13158">
        <v>0</v>
      </c>
      <c r="M13158">
        <v>0</v>
      </c>
      <c r="N13158">
        <v>20</v>
      </c>
      <c r="O13158" t="s">
        <v>30601</v>
      </c>
    </row>
    <row r="13159" spans="1:15">
      <c r="A13159" t="s">
        <v>23182</v>
      </c>
      <c r="B13159" t="s">
        <v>11644</v>
      </c>
      <c r="C13159" t="s">
        <v>23123</v>
      </c>
      <c r="D13159" t="s">
        <v>44610</v>
      </c>
      <c r="E13159" t="b">
        <v>0</v>
      </c>
      <c r="F13159" t="s">
        <v>11622</v>
      </c>
      <c r="L13159">
        <v>2</v>
      </c>
      <c r="M13159">
        <v>5</v>
      </c>
      <c r="N13159">
        <v>36</v>
      </c>
    </row>
    <row r="13160" spans="1:15">
      <c r="A13160" t="s">
        <v>44611</v>
      </c>
      <c r="B13160" t="s">
        <v>6742</v>
      </c>
      <c r="C13160" t="s">
        <v>32636</v>
      </c>
      <c r="D13160" t="s">
        <v>44612</v>
      </c>
      <c r="E13160" t="b">
        <v>0</v>
      </c>
      <c r="F13160" t="s">
        <v>11610</v>
      </c>
      <c r="L13160">
        <v>0</v>
      </c>
      <c r="M13160">
        <v>0</v>
      </c>
      <c r="N13160">
        <v>0</v>
      </c>
    </row>
    <row r="13161" spans="1:15">
      <c r="A13161" t="s">
        <v>44613</v>
      </c>
      <c r="B13161" t="s">
        <v>12979</v>
      </c>
      <c r="C13161" t="s">
        <v>21707</v>
      </c>
      <c r="D13161" t="s">
        <v>44614</v>
      </c>
      <c r="E13161" t="b">
        <v>0</v>
      </c>
      <c r="F13161" t="s">
        <v>11610</v>
      </c>
      <c r="L13161">
        <v>0</v>
      </c>
      <c r="M13161">
        <v>0</v>
      </c>
      <c r="N13161">
        <v>0</v>
      </c>
    </row>
    <row r="13162" spans="1:15">
      <c r="A13162" t="s">
        <v>44615</v>
      </c>
      <c r="B13162" t="s">
        <v>13360</v>
      </c>
      <c r="C13162" t="s">
        <v>13360</v>
      </c>
      <c r="D13162" t="s">
        <v>44616</v>
      </c>
      <c r="E13162" t="b">
        <v>0</v>
      </c>
      <c r="F13162" t="s">
        <v>11624</v>
      </c>
      <c r="I13162" t="s">
        <v>44617</v>
      </c>
      <c r="L13162">
        <v>0</v>
      </c>
      <c r="M13162">
        <v>0</v>
      </c>
      <c r="N13162">
        <v>0</v>
      </c>
      <c r="O13162" t="s">
        <v>13664</v>
      </c>
    </row>
    <row r="13163" spans="1:15">
      <c r="A13163" t="s">
        <v>44618</v>
      </c>
      <c r="B13163" t="s">
        <v>367</v>
      </c>
      <c r="C13163" t="s">
        <v>37602</v>
      </c>
      <c r="D13163" t="s">
        <v>44619</v>
      </c>
      <c r="E13163" t="b">
        <v>0</v>
      </c>
      <c r="F13163" t="s">
        <v>11624</v>
      </c>
      <c r="G13163">
        <v>5.4334800000000003</v>
      </c>
      <c r="H13163">
        <v>116.759</v>
      </c>
      <c r="I13163" t="s">
        <v>44620</v>
      </c>
      <c r="L13163">
        <v>0</v>
      </c>
      <c r="M13163">
        <v>0</v>
      </c>
      <c r="N13163">
        <v>0</v>
      </c>
      <c r="O13163" t="s">
        <v>11672</v>
      </c>
    </row>
    <row r="13164" spans="1:15">
      <c r="A13164" t="s">
        <v>44621</v>
      </c>
      <c r="B13164" t="s">
        <v>4342</v>
      </c>
      <c r="C13164" t="s">
        <v>29231</v>
      </c>
      <c r="D13164" t="s">
        <v>44622</v>
      </c>
      <c r="E13164" t="b">
        <v>0</v>
      </c>
      <c r="F13164" t="s">
        <v>11610</v>
      </c>
      <c r="L13164">
        <v>0</v>
      </c>
      <c r="M13164">
        <v>0</v>
      </c>
      <c r="N13164">
        <v>0</v>
      </c>
    </row>
    <row r="13165" spans="1:15">
      <c r="A13165" t="s">
        <v>44623</v>
      </c>
      <c r="B13165" t="s">
        <v>12438</v>
      </c>
      <c r="C13165" t="s">
        <v>17409</v>
      </c>
      <c r="D13165" t="s">
        <v>44624</v>
      </c>
      <c r="E13165" t="b">
        <v>0</v>
      </c>
      <c r="F13165" t="s">
        <v>11624</v>
      </c>
      <c r="G13165">
        <v>5.0110799999999998</v>
      </c>
      <c r="H13165">
        <v>102.047</v>
      </c>
      <c r="I13165" t="s">
        <v>44625</v>
      </c>
      <c r="L13165">
        <v>0</v>
      </c>
      <c r="M13165">
        <v>0</v>
      </c>
      <c r="N13165">
        <v>0</v>
      </c>
      <c r="O13165" t="s">
        <v>11672</v>
      </c>
    </row>
    <row r="13166" spans="1:15">
      <c r="A13166" t="s">
        <v>44626</v>
      </c>
      <c r="B13166" t="s">
        <v>12438</v>
      </c>
      <c r="C13166" t="s">
        <v>17400</v>
      </c>
      <c r="D13166" t="s">
        <v>44627</v>
      </c>
      <c r="E13166" t="b">
        <v>0</v>
      </c>
      <c r="F13166" t="s">
        <v>11624</v>
      </c>
      <c r="G13166">
        <v>4.5937599999999996</v>
      </c>
      <c r="H13166">
        <v>101.986</v>
      </c>
      <c r="I13166" t="s">
        <v>44628</v>
      </c>
      <c r="L13166">
        <v>0</v>
      </c>
      <c r="M13166">
        <v>0</v>
      </c>
      <c r="N13166">
        <v>0</v>
      </c>
      <c r="O13166" t="s">
        <v>11672</v>
      </c>
    </row>
    <row r="13167" spans="1:15">
      <c r="A13167" t="s">
        <v>44629</v>
      </c>
      <c r="B13167" t="s">
        <v>6742</v>
      </c>
      <c r="C13167" t="s">
        <v>4154</v>
      </c>
      <c r="D13167" t="s">
        <v>44630</v>
      </c>
      <c r="E13167" t="b">
        <v>0</v>
      </c>
      <c r="F13167" t="s">
        <v>11610</v>
      </c>
      <c r="L13167">
        <v>0</v>
      </c>
      <c r="M13167">
        <v>0</v>
      </c>
      <c r="N13167">
        <v>0</v>
      </c>
    </row>
    <row r="13168" spans="1:15">
      <c r="A13168" t="s">
        <v>44631</v>
      </c>
      <c r="B13168" t="s">
        <v>11644</v>
      </c>
      <c r="C13168" t="s">
        <v>44632</v>
      </c>
      <c r="D13168" t="s">
        <v>44633</v>
      </c>
      <c r="E13168" t="b">
        <v>0</v>
      </c>
      <c r="F13168" t="s">
        <v>11610</v>
      </c>
      <c r="L13168">
        <v>0</v>
      </c>
      <c r="M13168">
        <v>0</v>
      </c>
      <c r="N13168">
        <v>0</v>
      </c>
    </row>
    <row r="13169" spans="1:15">
      <c r="A13169" t="s">
        <v>44634</v>
      </c>
      <c r="B13169" t="s">
        <v>11644</v>
      </c>
      <c r="C13169" t="s">
        <v>44632</v>
      </c>
      <c r="D13169" t="s">
        <v>44635</v>
      </c>
      <c r="E13169" t="b">
        <v>0</v>
      </c>
      <c r="F13169" t="s">
        <v>11610</v>
      </c>
      <c r="L13169">
        <v>0</v>
      </c>
      <c r="M13169">
        <v>0</v>
      </c>
      <c r="N13169">
        <v>0</v>
      </c>
    </row>
    <row r="13170" spans="1:15">
      <c r="A13170" t="s">
        <v>44636</v>
      </c>
      <c r="B13170" t="s">
        <v>11644</v>
      </c>
      <c r="C13170" t="s">
        <v>32471</v>
      </c>
      <c r="D13170" t="s">
        <v>44637</v>
      </c>
      <c r="E13170" t="b">
        <v>0</v>
      </c>
      <c r="F13170" t="s">
        <v>11624</v>
      </c>
      <c r="G13170">
        <v>26.0686</v>
      </c>
      <c r="H13170">
        <v>117.376</v>
      </c>
      <c r="I13170" t="s">
        <v>44638</v>
      </c>
      <c r="L13170">
        <v>0</v>
      </c>
      <c r="M13170">
        <v>0</v>
      </c>
      <c r="N13170">
        <v>0</v>
      </c>
      <c r="O13170" t="s">
        <v>11905</v>
      </c>
    </row>
    <row r="13171" spans="1:15">
      <c r="A13171" t="s">
        <v>44639</v>
      </c>
      <c r="B13171" t="s">
        <v>5126</v>
      </c>
      <c r="C13171" t="s">
        <v>24324</v>
      </c>
      <c r="D13171" t="s">
        <v>44640</v>
      </c>
      <c r="E13171" t="b">
        <v>0</v>
      </c>
      <c r="F13171" t="s">
        <v>11624</v>
      </c>
      <c r="G13171">
        <v>23.33</v>
      </c>
      <c r="H13171">
        <v>105.5</v>
      </c>
      <c r="I13171" t="s">
        <v>44641</v>
      </c>
      <c r="L13171">
        <v>0</v>
      </c>
      <c r="M13171">
        <v>0</v>
      </c>
      <c r="N13171">
        <v>0</v>
      </c>
      <c r="O13171" t="s">
        <v>11905</v>
      </c>
    </row>
    <row r="13172" spans="1:15">
      <c r="A13172" t="s">
        <v>44642</v>
      </c>
      <c r="B13172" t="s">
        <v>367</v>
      </c>
      <c r="C13172" t="s">
        <v>14563</v>
      </c>
      <c r="D13172" t="s">
        <v>44643</v>
      </c>
      <c r="E13172" t="b">
        <v>0</v>
      </c>
      <c r="F13172" t="s">
        <v>11610</v>
      </c>
      <c r="L13172">
        <v>0</v>
      </c>
      <c r="M13172">
        <v>0</v>
      </c>
      <c r="N13172">
        <v>0</v>
      </c>
    </row>
    <row r="13173" spans="1:15">
      <c r="A13173" t="s">
        <v>44644</v>
      </c>
      <c r="B13173" t="s">
        <v>11644</v>
      </c>
      <c r="C13173" t="s">
        <v>40286</v>
      </c>
      <c r="D13173" t="s">
        <v>44645</v>
      </c>
      <c r="E13173" t="b">
        <v>0</v>
      </c>
      <c r="F13173" t="s">
        <v>11624</v>
      </c>
      <c r="G13173">
        <v>25.3</v>
      </c>
      <c r="H13173">
        <v>102.301</v>
      </c>
      <c r="I13173" t="s">
        <v>44646</v>
      </c>
      <c r="L13173">
        <v>0</v>
      </c>
      <c r="M13173">
        <v>0</v>
      </c>
      <c r="N13173">
        <v>0</v>
      </c>
      <c r="O13173" t="s">
        <v>11905</v>
      </c>
    </row>
    <row r="13174" spans="1:15">
      <c r="A13174" t="s">
        <v>44647</v>
      </c>
      <c r="B13174" t="s">
        <v>11637</v>
      </c>
      <c r="C13174" t="s">
        <v>14899</v>
      </c>
      <c r="D13174" t="s">
        <v>44648</v>
      </c>
      <c r="E13174" t="b">
        <v>0</v>
      </c>
      <c r="F13174" t="s">
        <v>11624</v>
      </c>
      <c r="G13174">
        <v>41.537500000000001</v>
      </c>
      <c r="H13174">
        <v>-6.3837099999999998</v>
      </c>
      <c r="I13174" t="s">
        <v>44649</v>
      </c>
      <c r="L13174">
        <v>0</v>
      </c>
      <c r="M13174">
        <v>0</v>
      </c>
      <c r="N13174">
        <v>0</v>
      </c>
      <c r="O13174" t="s">
        <v>14905</v>
      </c>
    </row>
    <row r="13175" spans="1:15">
      <c r="A13175" t="s">
        <v>44650</v>
      </c>
      <c r="B13175" t="s">
        <v>11637</v>
      </c>
      <c r="C13175" t="s">
        <v>16090</v>
      </c>
      <c r="D13175" t="s">
        <v>44651</v>
      </c>
      <c r="E13175" t="b">
        <v>0</v>
      </c>
      <c r="F13175" t="s">
        <v>11610</v>
      </c>
      <c r="L13175">
        <v>0</v>
      </c>
      <c r="M13175">
        <v>0</v>
      </c>
      <c r="N13175">
        <v>0</v>
      </c>
    </row>
    <row r="13176" spans="1:15">
      <c r="A13176" t="s">
        <v>44652</v>
      </c>
      <c r="B13176" t="s">
        <v>5911</v>
      </c>
      <c r="C13176" t="s">
        <v>20055</v>
      </c>
      <c r="D13176" t="s">
        <v>44653</v>
      </c>
      <c r="E13176" t="b">
        <v>0</v>
      </c>
      <c r="F13176" t="s">
        <v>11610</v>
      </c>
      <c r="L13176">
        <v>0</v>
      </c>
      <c r="M13176">
        <v>0</v>
      </c>
      <c r="N13176">
        <v>0</v>
      </c>
    </row>
    <row r="13177" spans="1:15">
      <c r="A13177" t="s">
        <v>44654</v>
      </c>
      <c r="B13177" t="s">
        <v>19568</v>
      </c>
      <c r="C13177" t="s">
        <v>19570</v>
      </c>
      <c r="D13177" t="s">
        <v>44655</v>
      </c>
      <c r="E13177" t="b">
        <v>0</v>
      </c>
      <c r="F13177" t="s">
        <v>11610</v>
      </c>
      <c r="L13177">
        <v>0</v>
      </c>
      <c r="M13177">
        <v>0</v>
      </c>
      <c r="N13177">
        <v>0</v>
      </c>
    </row>
    <row r="13178" spans="1:15">
      <c r="A13178" t="s">
        <v>44656</v>
      </c>
      <c r="B13178" t="s">
        <v>12438</v>
      </c>
      <c r="C13178" t="s">
        <v>24643</v>
      </c>
      <c r="D13178" t="s">
        <v>44657</v>
      </c>
      <c r="E13178" t="b">
        <v>0</v>
      </c>
      <c r="F13178" t="s">
        <v>11610</v>
      </c>
      <c r="L13178">
        <v>0</v>
      </c>
      <c r="M13178">
        <v>0</v>
      </c>
      <c r="N13178">
        <v>0</v>
      </c>
    </row>
    <row r="13179" spans="1:15">
      <c r="A13179" t="s">
        <v>44658</v>
      </c>
      <c r="B13179" t="s">
        <v>11607</v>
      </c>
      <c r="C13179" t="s">
        <v>26419</v>
      </c>
      <c r="D13179" t="s">
        <v>44659</v>
      </c>
      <c r="E13179" t="b">
        <v>0</v>
      </c>
      <c r="F13179" t="s">
        <v>11624</v>
      </c>
      <c r="G13179">
        <v>9.6913199999999993</v>
      </c>
      <c r="H13179">
        <v>16.993200000000002</v>
      </c>
      <c r="I13179" t="s">
        <v>44660</v>
      </c>
      <c r="L13179">
        <v>0</v>
      </c>
      <c r="M13179">
        <v>0</v>
      </c>
      <c r="N13179">
        <v>0</v>
      </c>
      <c r="O13179" t="s">
        <v>13421</v>
      </c>
    </row>
    <row r="13180" spans="1:15">
      <c r="A13180" t="s">
        <v>44661</v>
      </c>
      <c r="B13180" t="s">
        <v>11627</v>
      </c>
      <c r="C13180" t="s">
        <v>11627</v>
      </c>
      <c r="D13180" t="s">
        <v>44662</v>
      </c>
      <c r="E13180" t="b">
        <v>1</v>
      </c>
      <c r="F13180" t="s">
        <v>11624</v>
      </c>
      <c r="G13180">
        <v>23.43055</v>
      </c>
      <c r="H13180">
        <v>81.335989999999995</v>
      </c>
      <c r="I13180" t="s">
        <v>44663</v>
      </c>
      <c r="L13180">
        <v>0</v>
      </c>
      <c r="M13180">
        <v>0</v>
      </c>
      <c r="N13180">
        <v>0</v>
      </c>
      <c r="O13180" t="s">
        <v>11630</v>
      </c>
    </row>
    <row r="13181" spans="1:15">
      <c r="A13181" t="s">
        <v>44664</v>
      </c>
      <c r="B13181" t="s">
        <v>2665</v>
      </c>
      <c r="C13181" t="s">
        <v>2665</v>
      </c>
      <c r="D13181" t="s">
        <v>44665</v>
      </c>
      <c r="E13181" t="b">
        <v>0</v>
      </c>
      <c r="F13181" t="s">
        <v>11624</v>
      </c>
      <c r="G13181">
        <v>-16.3596</v>
      </c>
      <c r="H13181">
        <v>128.88900000000001</v>
      </c>
      <c r="I13181" t="s">
        <v>44666</v>
      </c>
      <c r="L13181">
        <v>0</v>
      </c>
      <c r="M13181">
        <v>0</v>
      </c>
      <c r="N13181">
        <v>0</v>
      </c>
      <c r="O13181" t="s">
        <v>12107</v>
      </c>
    </row>
    <row r="13182" spans="1:15">
      <c r="A13182" t="s">
        <v>6582</v>
      </c>
      <c r="B13182" t="s">
        <v>11868</v>
      </c>
      <c r="C13182" t="s">
        <v>23981</v>
      </c>
      <c r="D13182" t="s">
        <v>44667</v>
      </c>
      <c r="E13182" t="b">
        <v>0</v>
      </c>
      <c r="F13182" t="s">
        <v>11610</v>
      </c>
      <c r="L13182">
        <v>0</v>
      </c>
      <c r="M13182">
        <v>0</v>
      </c>
      <c r="N13182">
        <v>0</v>
      </c>
    </row>
    <row r="13183" spans="1:15">
      <c r="A13183" t="s">
        <v>44668</v>
      </c>
      <c r="B13183" t="s">
        <v>12067</v>
      </c>
      <c r="C13183" t="s">
        <v>12068</v>
      </c>
      <c r="D13183" t="s">
        <v>44669</v>
      </c>
      <c r="E13183" t="b">
        <v>0</v>
      </c>
      <c r="F13183" t="s">
        <v>11610</v>
      </c>
      <c r="L13183">
        <v>0</v>
      </c>
      <c r="M13183">
        <v>0</v>
      </c>
      <c r="N13183">
        <v>0</v>
      </c>
    </row>
    <row r="13184" spans="1:15">
      <c r="A13184" t="s">
        <v>44670</v>
      </c>
      <c r="B13184" t="s">
        <v>367</v>
      </c>
      <c r="C13184" t="s">
        <v>44671</v>
      </c>
      <c r="D13184" t="s">
        <v>44672</v>
      </c>
      <c r="E13184" t="b">
        <v>0</v>
      </c>
      <c r="F13184" t="s">
        <v>11610</v>
      </c>
      <c r="L13184">
        <v>0</v>
      </c>
      <c r="M13184">
        <v>0</v>
      </c>
      <c r="N13184">
        <v>0</v>
      </c>
    </row>
    <row r="13185" spans="1:15">
      <c r="A13185" t="s">
        <v>44673</v>
      </c>
      <c r="B13185" t="s">
        <v>2975</v>
      </c>
      <c r="C13185" t="s">
        <v>14348</v>
      </c>
      <c r="D13185" t="s">
        <v>44674</v>
      </c>
      <c r="E13185" t="b">
        <v>0</v>
      </c>
      <c r="F13185" t="s">
        <v>11624</v>
      </c>
      <c r="G13185">
        <v>0.58896000000000004</v>
      </c>
      <c r="H13185">
        <v>-69.743200000000002</v>
      </c>
      <c r="I13185" t="s">
        <v>44675</v>
      </c>
      <c r="L13185">
        <v>0</v>
      </c>
      <c r="M13185">
        <v>0</v>
      </c>
      <c r="N13185">
        <v>0</v>
      </c>
      <c r="O13185" t="s">
        <v>11969</v>
      </c>
    </row>
    <row r="13186" spans="1:15">
      <c r="A13186" t="s">
        <v>44676</v>
      </c>
      <c r="B13186" t="s">
        <v>11644</v>
      </c>
      <c r="C13186" t="s">
        <v>44632</v>
      </c>
      <c r="D13186" t="s">
        <v>44677</v>
      </c>
      <c r="E13186" t="b">
        <v>0</v>
      </c>
      <c r="F13186" t="s">
        <v>11610</v>
      </c>
      <c r="L13186">
        <v>0</v>
      </c>
      <c r="M13186">
        <v>0</v>
      </c>
      <c r="N13186">
        <v>0</v>
      </c>
    </row>
    <row r="13187" spans="1:15">
      <c r="A13187" t="s">
        <v>44678</v>
      </c>
      <c r="B13187" t="s">
        <v>11834</v>
      </c>
      <c r="C13187" t="s">
        <v>37134</v>
      </c>
      <c r="D13187" t="s">
        <v>44679</v>
      </c>
      <c r="E13187" t="b">
        <v>0</v>
      </c>
      <c r="F13187" t="s">
        <v>11610</v>
      </c>
      <c r="L13187">
        <v>0</v>
      </c>
      <c r="M13187">
        <v>0</v>
      </c>
      <c r="N13187">
        <v>0</v>
      </c>
    </row>
    <row r="13188" spans="1:15">
      <c r="A13188" t="s">
        <v>44680</v>
      </c>
      <c r="B13188" t="s">
        <v>11615</v>
      </c>
      <c r="C13188" t="s">
        <v>32705</v>
      </c>
      <c r="D13188" t="s">
        <v>44681</v>
      </c>
      <c r="E13188" t="b">
        <v>0</v>
      </c>
      <c r="F13188" t="s">
        <v>11610</v>
      </c>
      <c r="L13188">
        <v>0</v>
      </c>
      <c r="M13188">
        <v>0</v>
      </c>
      <c r="N13188">
        <v>0</v>
      </c>
    </row>
    <row r="13189" spans="1:15">
      <c r="A13189" t="s">
        <v>44682</v>
      </c>
      <c r="B13189" t="s">
        <v>11644</v>
      </c>
      <c r="C13189" t="s">
        <v>22634</v>
      </c>
      <c r="D13189" t="s">
        <v>44683</v>
      </c>
      <c r="E13189" t="b">
        <v>0</v>
      </c>
      <c r="F13189" t="s">
        <v>11610</v>
      </c>
      <c r="L13189">
        <v>0</v>
      </c>
      <c r="M13189">
        <v>0</v>
      </c>
      <c r="N13189">
        <v>0</v>
      </c>
    </row>
    <row r="13190" spans="1:15">
      <c r="A13190" t="s">
        <v>18680</v>
      </c>
      <c r="D13190" t="s">
        <v>44684</v>
      </c>
      <c r="E13190" t="b">
        <v>0</v>
      </c>
      <c r="F13190" t="s">
        <v>11622</v>
      </c>
      <c r="L13190">
        <v>2</v>
      </c>
      <c r="M13190">
        <v>5</v>
      </c>
      <c r="N13190">
        <v>6</v>
      </c>
    </row>
    <row r="13191" spans="1:15">
      <c r="A13191" t="s">
        <v>34352</v>
      </c>
      <c r="B13191" t="s">
        <v>10597</v>
      </c>
      <c r="C13191" t="s">
        <v>35278</v>
      </c>
      <c r="D13191" t="s">
        <v>44685</v>
      </c>
      <c r="E13191" t="b">
        <v>0</v>
      </c>
      <c r="F13191" t="s">
        <v>11622</v>
      </c>
      <c r="L13191">
        <v>0</v>
      </c>
      <c r="M13191">
        <v>3</v>
      </c>
      <c r="N13191">
        <v>0</v>
      </c>
    </row>
    <row r="13192" spans="1:15">
      <c r="A13192" t="s">
        <v>44686</v>
      </c>
      <c r="B13192" t="s">
        <v>11637</v>
      </c>
      <c r="C13192" t="s">
        <v>44687</v>
      </c>
      <c r="D13192" t="s">
        <v>44688</v>
      </c>
      <c r="E13192" t="b">
        <v>0</v>
      </c>
      <c r="F13192" t="s">
        <v>11624</v>
      </c>
      <c r="G13192">
        <v>33.558199999999999</v>
      </c>
      <c r="H13192">
        <v>74.371300000000005</v>
      </c>
      <c r="I13192" t="s">
        <v>44689</v>
      </c>
      <c r="L13192">
        <v>0</v>
      </c>
      <c r="M13192">
        <v>0</v>
      </c>
      <c r="N13192">
        <v>0</v>
      </c>
      <c r="O13192" t="s">
        <v>44690</v>
      </c>
    </row>
    <row r="13193" spans="1:15">
      <c r="A13193" t="s">
        <v>44691</v>
      </c>
      <c r="B13193" t="s">
        <v>11637</v>
      </c>
      <c r="C13193" t="s">
        <v>8026</v>
      </c>
      <c r="D13193" t="s">
        <v>44692</v>
      </c>
      <c r="E13193" t="b">
        <v>0</v>
      </c>
      <c r="F13193" t="s">
        <v>11610</v>
      </c>
      <c r="L13193">
        <v>0</v>
      </c>
      <c r="M13193">
        <v>0</v>
      </c>
      <c r="N13193">
        <v>0</v>
      </c>
    </row>
    <row r="13194" spans="1:15">
      <c r="A13194" t="s">
        <v>44693</v>
      </c>
      <c r="B13194" t="s">
        <v>11607</v>
      </c>
      <c r="C13194" t="s">
        <v>20786</v>
      </c>
      <c r="D13194" t="s">
        <v>44694</v>
      </c>
      <c r="E13194" t="b">
        <v>0</v>
      </c>
      <c r="F13194" t="s">
        <v>11610</v>
      </c>
      <c r="L13194">
        <v>0</v>
      </c>
      <c r="M13194">
        <v>0</v>
      </c>
      <c r="N13194">
        <v>0</v>
      </c>
    </row>
    <row r="13195" spans="1:15">
      <c r="A13195" t="s">
        <v>44695</v>
      </c>
      <c r="B13195" t="s">
        <v>23599</v>
      </c>
      <c r="C13195" t="s">
        <v>44440</v>
      </c>
      <c r="D13195" t="s">
        <v>44696</v>
      </c>
      <c r="E13195" t="b">
        <v>0</v>
      </c>
      <c r="F13195" t="s">
        <v>11610</v>
      </c>
      <c r="L13195">
        <v>0</v>
      </c>
      <c r="M13195">
        <v>0</v>
      </c>
      <c r="N13195">
        <v>0</v>
      </c>
    </row>
    <row r="13196" spans="1:15">
      <c r="A13196" t="s">
        <v>44697</v>
      </c>
      <c r="B13196" t="s">
        <v>11637</v>
      </c>
      <c r="C13196" t="s">
        <v>15309</v>
      </c>
      <c r="D13196" t="s">
        <v>44698</v>
      </c>
      <c r="E13196" t="b">
        <v>0</v>
      </c>
      <c r="F13196" t="s">
        <v>11610</v>
      </c>
      <c r="L13196">
        <v>0</v>
      </c>
      <c r="M13196">
        <v>0</v>
      </c>
      <c r="N13196">
        <v>0</v>
      </c>
    </row>
    <row r="13197" spans="1:15">
      <c r="A13197" t="s">
        <v>24771</v>
      </c>
      <c r="B13197" t="s">
        <v>11644</v>
      </c>
      <c r="C13197" t="s">
        <v>11644</v>
      </c>
      <c r="D13197" t="s">
        <v>44699</v>
      </c>
      <c r="E13197" t="b">
        <v>0</v>
      </c>
      <c r="F13197" t="s">
        <v>11622</v>
      </c>
      <c r="L13197">
        <v>0</v>
      </c>
      <c r="M13197">
        <v>2</v>
      </c>
      <c r="N13197">
        <v>0</v>
      </c>
    </row>
    <row r="13198" spans="1:15">
      <c r="A13198" t="s">
        <v>44700</v>
      </c>
      <c r="B13198" t="s">
        <v>6742</v>
      </c>
      <c r="C13198" t="s">
        <v>38648</v>
      </c>
      <c r="D13198" t="s">
        <v>44701</v>
      </c>
      <c r="E13198" t="b">
        <v>0</v>
      </c>
      <c r="F13198" t="s">
        <v>11610</v>
      </c>
      <c r="L13198">
        <v>0</v>
      </c>
      <c r="M13198">
        <v>0</v>
      </c>
      <c r="N13198">
        <v>0</v>
      </c>
    </row>
    <row r="13199" spans="1:15">
      <c r="A13199" t="s">
        <v>25143</v>
      </c>
      <c r="B13199" t="s">
        <v>11607</v>
      </c>
      <c r="C13199" t="s">
        <v>20918</v>
      </c>
      <c r="D13199" t="s">
        <v>44702</v>
      </c>
      <c r="E13199" t="b">
        <v>0</v>
      </c>
      <c r="F13199" t="s">
        <v>11624</v>
      </c>
      <c r="G13199">
        <v>9.2047699999999999</v>
      </c>
      <c r="H13199">
        <v>9.3375199999999996</v>
      </c>
      <c r="I13199" t="s">
        <v>44703</v>
      </c>
      <c r="L13199">
        <v>0</v>
      </c>
      <c r="M13199">
        <v>0</v>
      </c>
      <c r="N13199">
        <v>1</v>
      </c>
      <c r="O13199" t="s">
        <v>11693</v>
      </c>
    </row>
    <row r="13200" spans="1:15">
      <c r="A13200" t="s">
        <v>44632</v>
      </c>
      <c r="B13200" t="s">
        <v>11644</v>
      </c>
      <c r="C13200" t="s">
        <v>19605</v>
      </c>
      <c r="D13200" t="s">
        <v>44704</v>
      </c>
      <c r="E13200" t="b">
        <v>0</v>
      </c>
      <c r="F13200" t="s">
        <v>11624</v>
      </c>
      <c r="G13200">
        <v>27.417999999999999</v>
      </c>
      <c r="H13200">
        <v>94.69</v>
      </c>
      <c r="I13200" t="s">
        <v>44705</v>
      </c>
      <c r="L13200">
        <v>0</v>
      </c>
      <c r="M13200">
        <v>0</v>
      </c>
      <c r="N13200">
        <v>4</v>
      </c>
      <c r="O13200" t="s">
        <v>11630</v>
      </c>
    </row>
    <row r="13201" spans="1:15">
      <c r="A13201" t="s">
        <v>44706</v>
      </c>
      <c r="B13201" t="s">
        <v>367</v>
      </c>
      <c r="C13201" t="s">
        <v>36497</v>
      </c>
      <c r="D13201" t="s">
        <v>44707</v>
      </c>
      <c r="E13201" t="b">
        <v>0</v>
      </c>
      <c r="F13201" t="s">
        <v>11624</v>
      </c>
      <c r="G13201">
        <v>-10.6821</v>
      </c>
      <c r="H13201">
        <v>152.696</v>
      </c>
      <c r="I13201" t="s">
        <v>44708</v>
      </c>
      <c r="L13201">
        <v>0</v>
      </c>
      <c r="M13201">
        <v>0</v>
      </c>
      <c r="N13201">
        <v>2</v>
      </c>
      <c r="O13201" t="s">
        <v>11660</v>
      </c>
    </row>
    <row r="13202" spans="1:15">
      <c r="A13202" t="s">
        <v>44709</v>
      </c>
      <c r="B13202" t="s">
        <v>367</v>
      </c>
      <c r="C13202" t="s">
        <v>31479</v>
      </c>
      <c r="D13202" t="s">
        <v>44710</v>
      </c>
      <c r="E13202" t="b">
        <v>0</v>
      </c>
      <c r="F13202" t="s">
        <v>11610</v>
      </c>
      <c r="L13202">
        <v>0</v>
      </c>
      <c r="M13202">
        <v>0</v>
      </c>
      <c r="N13202">
        <v>0</v>
      </c>
    </row>
    <row r="13203" spans="1:15">
      <c r="A13203" t="s">
        <v>6422</v>
      </c>
      <c r="B13203" t="s">
        <v>17576</v>
      </c>
      <c r="C13203" t="s">
        <v>17576</v>
      </c>
      <c r="D13203" t="s">
        <v>44711</v>
      </c>
      <c r="E13203" t="b">
        <v>0</v>
      </c>
      <c r="F13203" t="s">
        <v>11624</v>
      </c>
      <c r="G13203">
        <v>15.1576</v>
      </c>
      <c r="H13203">
        <v>-84.294200000000004</v>
      </c>
      <c r="I13203" t="s">
        <v>6423</v>
      </c>
      <c r="L13203">
        <v>0</v>
      </c>
      <c r="M13203">
        <v>0</v>
      </c>
      <c r="N13203">
        <v>5</v>
      </c>
      <c r="O13203" t="s">
        <v>44712</v>
      </c>
    </row>
    <row r="13204" spans="1:15">
      <c r="A13204" t="s">
        <v>44713</v>
      </c>
      <c r="B13204" t="s">
        <v>11981</v>
      </c>
      <c r="C13204" t="s">
        <v>19997</v>
      </c>
      <c r="D13204" t="s">
        <v>44714</v>
      </c>
      <c r="E13204" t="b">
        <v>0</v>
      </c>
      <c r="F13204" t="s">
        <v>11610</v>
      </c>
      <c r="L13204">
        <v>0</v>
      </c>
      <c r="M13204">
        <v>0</v>
      </c>
      <c r="N13204">
        <v>0</v>
      </c>
    </row>
    <row r="13205" spans="1:15">
      <c r="A13205" t="s">
        <v>17843</v>
      </c>
      <c r="B13205" t="s">
        <v>11637</v>
      </c>
      <c r="C13205" t="s">
        <v>33160</v>
      </c>
      <c r="D13205" t="s">
        <v>44715</v>
      </c>
      <c r="E13205" t="b">
        <v>0</v>
      </c>
      <c r="F13205" t="s">
        <v>11622</v>
      </c>
      <c r="L13205">
        <v>1</v>
      </c>
      <c r="M13205">
        <v>3</v>
      </c>
      <c r="N13205">
        <v>0</v>
      </c>
    </row>
    <row r="13206" spans="1:15">
      <c r="A13206" t="s">
        <v>44716</v>
      </c>
      <c r="B13206" t="s">
        <v>12311</v>
      </c>
      <c r="C13206" t="s">
        <v>36657</v>
      </c>
      <c r="D13206" t="s">
        <v>44717</v>
      </c>
      <c r="E13206" t="b">
        <v>0</v>
      </c>
      <c r="F13206" t="s">
        <v>11610</v>
      </c>
      <c r="L13206">
        <v>0</v>
      </c>
      <c r="M13206">
        <v>0</v>
      </c>
      <c r="N13206">
        <v>0</v>
      </c>
    </row>
    <row r="13207" spans="1:15">
      <c r="A13207" t="s">
        <v>44718</v>
      </c>
      <c r="B13207" t="s">
        <v>11615</v>
      </c>
      <c r="C13207" t="s">
        <v>12608</v>
      </c>
      <c r="D13207" t="s">
        <v>44719</v>
      </c>
      <c r="E13207" t="b">
        <v>0</v>
      </c>
      <c r="F13207" t="s">
        <v>11610</v>
      </c>
      <c r="L13207">
        <v>0</v>
      </c>
      <c r="M13207">
        <v>0</v>
      </c>
      <c r="N13207">
        <v>0</v>
      </c>
    </row>
    <row r="13208" spans="1:15">
      <c r="A13208" t="s">
        <v>44720</v>
      </c>
      <c r="B13208" t="s">
        <v>8897</v>
      </c>
      <c r="C13208" t="s">
        <v>32563</v>
      </c>
      <c r="D13208" t="s">
        <v>44721</v>
      </c>
      <c r="E13208" t="b">
        <v>0</v>
      </c>
      <c r="F13208" t="s">
        <v>11610</v>
      </c>
      <c r="L13208">
        <v>0</v>
      </c>
      <c r="M13208">
        <v>0</v>
      </c>
      <c r="N13208">
        <v>0</v>
      </c>
    </row>
    <row r="13209" spans="1:15">
      <c r="A13209" t="s">
        <v>23557</v>
      </c>
      <c r="B13209" t="s">
        <v>8897</v>
      </c>
      <c r="C13209" t="s">
        <v>23404</v>
      </c>
      <c r="D13209" t="s">
        <v>44722</v>
      </c>
      <c r="E13209" t="b">
        <v>0</v>
      </c>
      <c r="F13209" t="s">
        <v>11622</v>
      </c>
      <c r="L13209">
        <v>0</v>
      </c>
      <c r="M13209">
        <v>2</v>
      </c>
      <c r="N13209">
        <v>0</v>
      </c>
    </row>
    <row r="13210" spans="1:15">
      <c r="A13210" t="s">
        <v>23901</v>
      </c>
      <c r="B13210" t="s">
        <v>8897</v>
      </c>
      <c r="C13210" t="s">
        <v>23404</v>
      </c>
      <c r="D13210" t="s">
        <v>44723</v>
      </c>
      <c r="E13210" t="b">
        <v>0</v>
      </c>
      <c r="F13210" t="s">
        <v>11622</v>
      </c>
      <c r="L13210">
        <v>5</v>
      </c>
      <c r="M13210">
        <v>10</v>
      </c>
      <c r="N13210">
        <v>12</v>
      </c>
    </row>
    <row r="13211" spans="1:15">
      <c r="A13211" t="s">
        <v>17576</v>
      </c>
      <c r="D13211" t="s">
        <v>44724</v>
      </c>
      <c r="E13211" t="b">
        <v>0</v>
      </c>
      <c r="F13211" t="s">
        <v>11622</v>
      </c>
      <c r="L13211">
        <v>3</v>
      </c>
      <c r="M13211">
        <v>5</v>
      </c>
      <c r="N13211">
        <v>9</v>
      </c>
    </row>
    <row r="13212" spans="1:15">
      <c r="A13212" t="s">
        <v>35265</v>
      </c>
      <c r="B13212" t="s">
        <v>10597</v>
      </c>
      <c r="C13212" t="s">
        <v>21446</v>
      </c>
      <c r="D13212" t="s">
        <v>44725</v>
      </c>
      <c r="E13212" t="b">
        <v>0</v>
      </c>
      <c r="F13212" t="s">
        <v>11622</v>
      </c>
      <c r="L13212">
        <v>0</v>
      </c>
      <c r="M13212">
        <v>2</v>
      </c>
      <c r="N13212">
        <v>0</v>
      </c>
    </row>
    <row r="13213" spans="1:15">
      <c r="A13213" t="s">
        <v>44726</v>
      </c>
      <c r="B13213" t="s">
        <v>10597</v>
      </c>
      <c r="C13213" t="s">
        <v>35265</v>
      </c>
      <c r="D13213" t="s">
        <v>44727</v>
      </c>
      <c r="E13213" t="b">
        <v>0</v>
      </c>
      <c r="F13213" t="s">
        <v>11624</v>
      </c>
      <c r="G13213">
        <v>-25.13606725</v>
      </c>
      <c r="H13213">
        <v>139.59844699999999</v>
      </c>
      <c r="L13213">
        <v>0</v>
      </c>
      <c r="M13213">
        <v>0</v>
      </c>
      <c r="N13213">
        <v>0</v>
      </c>
      <c r="O13213" t="s">
        <v>12107</v>
      </c>
    </row>
    <row r="13214" spans="1:15">
      <c r="A13214" t="s">
        <v>44728</v>
      </c>
      <c r="B13214" t="s">
        <v>11644</v>
      </c>
      <c r="C13214" t="s">
        <v>28687</v>
      </c>
      <c r="D13214" t="s">
        <v>44729</v>
      </c>
      <c r="E13214" t="b">
        <v>0</v>
      </c>
      <c r="F13214" t="s">
        <v>11610</v>
      </c>
      <c r="L13214">
        <v>0</v>
      </c>
      <c r="M13214">
        <v>0</v>
      </c>
      <c r="N13214">
        <v>0</v>
      </c>
    </row>
    <row r="13215" spans="1:15">
      <c r="A13215" t="s">
        <v>44730</v>
      </c>
      <c r="B13215" t="s">
        <v>367</v>
      </c>
      <c r="C13215" t="s">
        <v>1970</v>
      </c>
      <c r="D13215" t="s">
        <v>44731</v>
      </c>
      <c r="E13215" t="b">
        <v>0</v>
      </c>
      <c r="F13215" t="s">
        <v>11610</v>
      </c>
      <c r="L13215">
        <v>0</v>
      </c>
      <c r="M13215">
        <v>0</v>
      </c>
      <c r="N13215">
        <v>0</v>
      </c>
    </row>
    <row r="13216" spans="1:15">
      <c r="A13216" t="s">
        <v>44732</v>
      </c>
      <c r="B13216" t="s">
        <v>11879</v>
      </c>
      <c r="C13216" t="s">
        <v>24942</v>
      </c>
      <c r="D13216" t="s">
        <v>44733</v>
      </c>
      <c r="E13216" t="b">
        <v>0</v>
      </c>
      <c r="F13216" t="s">
        <v>11624</v>
      </c>
      <c r="G13216">
        <v>17.16</v>
      </c>
      <c r="H13216">
        <v>-97.175700000000006</v>
      </c>
      <c r="I13216" t="s">
        <v>44734</v>
      </c>
      <c r="L13216">
        <v>0</v>
      </c>
      <c r="M13216">
        <v>0</v>
      </c>
      <c r="N13216">
        <v>0</v>
      </c>
      <c r="O13216" t="s">
        <v>11883</v>
      </c>
    </row>
    <row r="13217" spans="1:15">
      <c r="A13217" t="s">
        <v>44735</v>
      </c>
      <c r="B13217" t="s">
        <v>11879</v>
      </c>
      <c r="C13217" t="s">
        <v>14920</v>
      </c>
      <c r="D13217" t="s">
        <v>44736</v>
      </c>
      <c r="E13217" t="b">
        <v>0</v>
      </c>
      <c r="F13217" t="s">
        <v>11624</v>
      </c>
      <c r="G13217">
        <v>16.868490000000001</v>
      </c>
      <c r="H13217">
        <v>-96.294340000000005</v>
      </c>
      <c r="I13217" t="s">
        <v>44737</v>
      </c>
      <c r="L13217">
        <v>0</v>
      </c>
      <c r="M13217">
        <v>0</v>
      </c>
      <c r="N13217">
        <v>1</v>
      </c>
      <c r="O13217" t="s">
        <v>11883</v>
      </c>
    </row>
    <row r="13218" spans="1:15">
      <c r="A13218" t="s">
        <v>44738</v>
      </c>
      <c r="B13218" t="s">
        <v>11729</v>
      </c>
      <c r="C13218" t="s">
        <v>28880</v>
      </c>
      <c r="D13218" t="s">
        <v>44739</v>
      </c>
      <c r="E13218" t="b">
        <v>0</v>
      </c>
      <c r="F13218" t="s">
        <v>11624</v>
      </c>
      <c r="G13218">
        <v>7.4561599999999997</v>
      </c>
      <c r="H13218">
        <v>29.0002</v>
      </c>
      <c r="I13218" t="s">
        <v>44740</v>
      </c>
      <c r="L13218">
        <v>0</v>
      </c>
      <c r="M13218">
        <v>0</v>
      </c>
      <c r="N13218">
        <v>0</v>
      </c>
      <c r="O13218" t="s">
        <v>11910</v>
      </c>
    </row>
    <row r="13219" spans="1:15">
      <c r="A13219" t="s">
        <v>44741</v>
      </c>
      <c r="B13219" t="s">
        <v>11637</v>
      </c>
      <c r="C13219" t="s">
        <v>28948</v>
      </c>
      <c r="D13219" t="s">
        <v>44742</v>
      </c>
      <c r="E13219" t="b">
        <v>0</v>
      </c>
      <c r="F13219" t="s">
        <v>11610</v>
      </c>
      <c r="L13219">
        <v>0</v>
      </c>
      <c r="M13219">
        <v>0</v>
      </c>
      <c r="N13219">
        <v>0</v>
      </c>
    </row>
    <row r="13220" spans="1:15">
      <c r="A13220" t="s">
        <v>44743</v>
      </c>
      <c r="B13220" t="s">
        <v>11637</v>
      </c>
      <c r="C13220" t="s">
        <v>19833</v>
      </c>
      <c r="D13220" t="s">
        <v>44744</v>
      </c>
      <c r="E13220" t="b">
        <v>0</v>
      </c>
      <c r="F13220" t="s">
        <v>11610</v>
      </c>
      <c r="L13220">
        <v>0</v>
      </c>
      <c r="M13220">
        <v>0</v>
      </c>
      <c r="N13220">
        <v>0</v>
      </c>
    </row>
    <row r="13221" spans="1:15">
      <c r="A13221" t="s">
        <v>44745</v>
      </c>
      <c r="B13221" t="s">
        <v>6742</v>
      </c>
      <c r="C13221" t="s">
        <v>44746</v>
      </c>
      <c r="D13221" t="s">
        <v>44747</v>
      </c>
      <c r="E13221" t="b">
        <v>0</v>
      </c>
      <c r="F13221" t="s">
        <v>11624</v>
      </c>
      <c r="G13221">
        <v>-1.5703100000000001</v>
      </c>
      <c r="H13221">
        <v>25.103999999999999</v>
      </c>
      <c r="I13221" t="s">
        <v>44748</v>
      </c>
      <c r="L13221">
        <v>0</v>
      </c>
      <c r="M13221">
        <v>0</v>
      </c>
      <c r="N13221">
        <v>0</v>
      </c>
      <c r="O13221" t="s">
        <v>14825</v>
      </c>
    </row>
    <row r="13222" spans="1:15">
      <c r="A13222" t="s">
        <v>39691</v>
      </c>
      <c r="B13222" t="s">
        <v>6742</v>
      </c>
      <c r="C13222" t="s">
        <v>44749</v>
      </c>
      <c r="D13222" t="s">
        <v>44750</v>
      </c>
      <c r="E13222" t="b">
        <v>0</v>
      </c>
      <c r="F13222" t="s">
        <v>11622</v>
      </c>
      <c r="L13222">
        <v>6</v>
      </c>
      <c r="M13222">
        <v>9</v>
      </c>
      <c r="N13222">
        <v>15</v>
      </c>
    </row>
    <row r="13223" spans="1:15">
      <c r="A13223" t="s">
        <v>44746</v>
      </c>
      <c r="B13223" t="s">
        <v>6742</v>
      </c>
      <c r="C13223" t="s">
        <v>39691</v>
      </c>
      <c r="D13223" t="s">
        <v>44751</v>
      </c>
      <c r="E13223" t="b">
        <v>0</v>
      </c>
      <c r="F13223" t="s">
        <v>11622</v>
      </c>
      <c r="L13223">
        <v>0</v>
      </c>
      <c r="M13223">
        <v>2</v>
      </c>
      <c r="N13223">
        <v>0</v>
      </c>
    </row>
    <row r="13224" spans="1:15">
      <c r="A13224" t="s">
        <v>44752</v>
      </c>
      <c r="B13224" t="s">
        <v>6742</v>
      </c>
      <c r="C13224" t="s">
        <v>32046</v>
      </c>
      <c r="D13224" t="s">
        <v>44753</v>
      </c>
      <c r="E13224" t="b">
        <v>0</v>
      </c>
      <c r="F13224" t="s">
        <v>11610</v>
      </c>
      <c r="L13224">
        <v>0</v>
      </c>
      <c r="M13224">
        <v>0</v>
      </c>
      <c r="N13224">
        <v>0</v>
      </c>
    </row>
    <row r="13225" spans="1:15">
      <c r="A13225" t="s">
        <v>44754</v>
      </c>
      <c r="B13225" t="s">
        <v>367</v>
      </c>
      <c r="C13225" t="s">
        <v>12491</v>
      </c>
      <c r="D13225" t="s">
        <v>44755</v>
      </c>
      <c r="E13225" t="b">
        <v>0</v>
      </c>
      <c r="F13225" t="s">
        <v>11624</v>
      </c>
      <c r="G13225">
        <v>-5.8803700000000001</v>
      </c>
      <c r="H13225">
        <v>149.55699999999999</v>
      </c>
      <c r="I13225" t="s">
        <v>44756</v>
      </c>
      <c r="L13225">
        <v>0</v>
      </c>
      <c r="M13225">
        <v>0</v>
      </c>
      <c r="N13225">
        <v>0</v>
      </c>
      <c r="O13225" t="s">
        <v>11660</v>
      </c>
    </row>
    <row r="13226" spans="1:15">
      <c r="A13226" t="s">
        <v>44757</v>
      </c>
      <c r="B13226" t="s">
        <v>1588</v>
      </c>
      <c r="C13226" t="s">
        <v>28045</v>
      </c>
      <c r="D13226" t="s">
        <v>44758</v>
      </c>
      <c r="E13226" t="b">
        <v>0</v>
      </c>
      <c r="F13226" t="s">
        <v>11624</v>
      </c>
      <c r="G13226">
        <v>-14.3484</v>
      </c>
      <c r="H13226">
        <v>126.92100000000001</v>
      </c>
      <c r="I13226" t="s">
        <v>44759</v>
      </c>
      <c r="L13226">
        <v>0</v>
      </c>
      <c r="M13226">
        <v>0</v>
      </c>
      <c r="N13226">
        <v>0</v>
      </c>
      <c r="O13226" t="s">
        <v>12107</v>
      </c>
    </row>
    <row r="13227" spans="1:15">
      <c r="A13227" t="s">
        <v>17579</v>
      </c>
      <c r="D13227" t="s">
        <v>44760</v>
      </c>
      <c r="E13227" t="b">
        <v>0</v>
      </c>
      <c r="F13227" t="s">
        <v>11622</v>
      </c>
      <c r="L13227">
        <v>6</v>
      </c>
      <c r="M13227">
        <v>11</v>
      </c>
      <c r="N13227">
        <v>13</v>
      </c>
    </row>
    <row r="13228" spans="1:15">
      <c r="A13228" t="s">
        <v>26363</v>
      </c>
      <c r="B13228" t="s">
        <v>17579</v>
      </c>
      <c r="C13228" t="s">
        <v>17579</v>
      </c>
      <c r="D13228" t="s">
        <v>44761</v>
      </c>
      <c r="E13228" t="b">
        <v>0</v>
      </c>
      <c r="F13228" t="s">
        <v>11622</v>
      </c>
      <c r="L13228">
        <v>3</v>
      </c>
      <c r="M13228">
        <v>7</v>
      </c>
      <c r="N13228">
        <v>5</v>
      </c>
    </row>
    <row r="13229" spans="1:15">
      <c r="A13229" t="s">
        <v>44762</v>
      </c>
      <c r="B13229" t="s">
        <v>15027</v>
      </c>
      <c r="C13229" t="s">
        <v>15028</v>
      </c>
      <c r="D13229" t="s">
        <v>44763</v>
      </c>
      <c r="E13229" t="b">
        <v>0</v>
      </c>
      <c r="F13229" t="s">
        <v>11610</v>
      </c>
      <c r="L13229">
        <v>0</v>
      </c>
      <c r="M13229">
        <v>0</v>
      </c>
      <c r="N13229">
        <v>0</v>
      </c>
    </row>
    <row r="13230" spans="1:15">
      <c r="A13230" t="s">
        <v>15027</v>
      </c>
      <c r="D13230" t="s">
        <v>44764</v>
      </c>
      <c r="E13230" t="b">
        <v>0</v>
      </c>
      <c r="F13230" t="s">
        <v>11622</v>
      </c>
      <c r="L13230">
        <v>9</v>
      </c>
      <c r="M13230">
        <v>19</v>
      </c>
      <c r="N13230">
        <v>15</v>
      </c>
    </row>
    <row r="13231" spans="1:15">
      <c r="A13231" t="s">
        <v>44765</v>
      </c>
      <c r="B13231" t="s">
        <v>15027</v>
      </c>
      <c r="C13231" t="s">
        <v>15027</v>
      </c>
      <c r="D13231" t="s">
        <v>44766</v>
      </c>
      <c r="E13231" t="b">
        <v>0</v>
      </c>
      <c r="F13231" t="s">
        <v>11622</v>
      </c>
      <c r="L13231">
        <v>5</v>
      </c>
      <c r="M13231">
        <v>11</v>
      </c>
      <c r="N13231">
        <v>11</v>
      </c>
    </row>
    <row r="13232" spans="1:15">
      <c r="A13232" t="s">
        <v>12204</v>
      </c>
      <c r="D13232" t="s">
        <v>44767</v>
      </c>
      <c r="E13232" t="b">
        <v>0</v>
      </c>
      <c r="F13232" t="s">
        <v>11622</v>
      </c>
      <c r="L13232">
        <v>14</v>
      </c>
      <c r="M13232">
        <v>17</v>
      </c>
      <c r="N13232">
        <v>2</v>
      </c>
    </row>
    <row r="13233" spans="1:15">
      <c r="A13233" t="s">
        <v>44768</v>
      </c>
      <c r="B13233" t="s">
        <v>12650</v>
      </c>
      <c r="C13233" t="s">
        <v>12663</v>
      </c>
      <c r="D13233" t="s">
        <v>44769</v>
      </c>
      <c r="E13233" t="b">
        <v>0</v>
      </c>
      <c r="F13233" t="s">
        <v>11610</v>
      </c>
      <c r="G13233">
        <v>11.67</v>
      </c>
      <c r="H13233">
        <v>92.74</v>
      </c>
      <c r="I13233" t="s">
        <v>44770</v>
      </c>
      <c r="L13233">
        <v>0</v>
      </c>
      <c r="M13233">
        <v>0</v>
      </c>
      <c r="N13233">
        <v>0</v>
      </c>
      <c r="O13233" t="s">
        <v>11630</v>
      </c>
    </row>
    <row r="13234" spans="1:15">
      <c r="A13234" t="s">
        <v>44771</v>
      </c>
      <c r="B13234" t="s">
        <v>13276</v>
      </c>
      <c r="C13234" t="s">
        <v>34281</v>
      </c>
      <c r="D13234" t="s">
        <v>44772</v>
      </c>
      <c r="E13234" t="b">
        <v>0</v>
      </c>
      <c r="F13234" t="s">
        <v>11624</v>
      </c>
      <c r="G13234">
        <v>10.6822</v>
      </c>
      <c r="H13234">
        <v>-14.385</v>
      </c>
      <c r="I13234" t="s">
        <v>44773</v>
      </c>
      <c r="L13234">
        <v>0</v>
      </c>
      <c r="M13234">
        <v>0</v>
      </c>
      <c r="N13234">
        <v>0</v>
      </c>
      <c r="O13234" t="s">
        <v>15802</v>
      </c>
    </row>
    <row r="13235" spans="1:15">
      <c r="A13235" t="s">
        <v>44774</v>
      </c>
      <c r="B13235" t="s">
        <v>15027</v>
      </c>
      <c r="C13235" t="s">
        <v>15028</v>
      </c>
      <c r="D13235" t="s">
        <v>44775</v>
      </c>
      <c r="E13235" t="b">
        <v>0</v>
      </c>
      <c r="F13235" t="s">
        <v>11610</v>
      </c>
      <c r="L13235">
        <v>0</v>
      </c>
      <c r="M13235">
        <v>0</v>
      </c>
      <c r="N13235">
        <v>0</v>
      </c>
    </row>
    <row r="13236" spans="1:15">
      <c r="A13236" t="s">
        <v>44776</v>
      </c>
      <c r="B13236" t="s">
        <v>11879</v>
      </c>
      <c r="C13236" t="s">
        <v>13580</v>
      </c>
      <c r="D13236" t="s">
        <v>44777</v>
      </c>
      <c r="E13236" t="b">
        <v>0</v>
      </c>
      <c r="F13236" t="s">
        <v>11622</v>
      </c>
      <c r="L13236">
        <v>16</v>
      </c>
      <c r="M13236">
        <v>57</v>
      </c>
      <c r="N13236">
        <v>34</v>
      </c>
    </row>
    <row r="13237" spans="1:15">
      <c r="A13237" t="s">
        <v>23596</v>
      </c>
      <c r="B13237" t="s">
        <v>11879</v>
      </c>
      <c r="C13237" t="s">
        <v>44776</v>
      </c>
      <c r="D13237" t="s">
        <v>44778</v>
      </c>
      <c r="E13237" t="b">
        <v>0</v>
      </c>
      <c r="F13237" t="s">
        <v>11622</v>
      </c>
      <c r="L13237">
        <v>14</v>
      </c>
      <c r="M13237">
        <v>54</v>
      </c>
      <c r="N13237">
        <v>33</v>
      </c>
    </row>
    <row r="13238" spans="1:15">
      <c r="A13238" t="s">
        <v>44779</v>
      </c>
      <c r="B13238" t="s">
        <v>11879</v>
      </c>
      <c r="C13238" t="s">
        <v>8183</v>
      </c>
      <c r="D13238" t="s">
        <v>44780</v>
      </c>
      <c r="E13238" t="b">
        <v>0</v>
      </c>
      <c r="F13238" t="s">
        <v>11624</v>
      </c>
      <c r="G13238">
        <v>17.331700000000001</v>
      </c>
      <c r="H13238">
        <v>-97.879099999999994</v>
      </c>
      <c r="I13238" t="s">
        <v>44781</v>
      </c>
      <c r="L13238">
        <v>0</v>
      </c>
      <c r="M13238">
        <v>0</v>
      </c>
      <c r="N13238">
        <v>0</v>
      </c>
      <c r="O13238" t="s">
        <v>12238</v>
      </c>
    </row>
    <row r="13239" spans="1:15">
      <c r="A13239" t="s">
        <v>44782</v>
      </c>
      <c r="B13239" t="s">
        <v>11879</v>
      </c>
      <c r="C13239" t="s">
        <v>44783</v>
      </c>
      <c r="D13239" t="s">
        <v>44784</v>
      </c>
      <c r="E13239" t="b">
        <v>0</v>
      </c>
      <c r="F13239" t="s">
        <v>11624</v>
      </c>
      <c r="G13239">
        <v>16.1724</v>
      </c>
      <c r="H13239">
        <v>-96.237200000000001</v>
      </c>
      <c r="I13239" t="s">
        <v>44785</v>
      </c>
      <c r="L13239">
        <v>0</v>
      </c>
      <c r="M13239">
        <v>0</v>
      </c>
      <c r="N13239">
        <v>0</v>
      </c>
      <c r="O13239" t="s">
        <v>11883</v>
      </c>
    </row>
    <row r="13240" spans="1:15">
      <c r="A13240" t="s">
        <v>8183</v>
      </c>
      <c r="B13240" t="s">
        <v>11879</v>
      </c>
      <c r="C13240" t="s">
        <v>23596</v>
      </c>
      <c r="D13240" t="s">
        <v>8181</v>
      </c>
      <c r="E13240" t="b">
        <v>0</v>
      </c>
      <c r="F13240" t="s">
        <v>11622</v>
      </c>
      <c r="L13240">
        <v>12</v>
      </c>
      <c r="M13240">
        <v>52</v>
      </c>
      <c r="N13240">
        <v>32</v>
      </c>
    </row>
    <row r="13241" spans="1:15">
      <c r="A13241" t="s">
        <v>44783</v>
      </c>
      <c r="B13241" t="s">
        <v>11879</v>
      </c>
      <c r="C13241" t="s">
        <v>13326</v>
      </c>
      <c r="D13241" t="s">
        <v>44786</v>
      </c>
      <c r="E13241" t="b">
        <v>0</v>
      </c>
      <c r="F13241" t="s">
        <v>11622</v>
      </c>
      <c r="L13241">
        <v>0</v>
      </c>
      <c r="M13241">
        <v>2</v>
      </c>
      <c r="N13241">
        <v>2</v>
      </c>
    </row>
    <row r="13242" spans="1:15">
      <c r="A13242" t="s">
        <v>44787</v>
      </c>
      <c r="B13242" t="s">
        <v>12487</v>
      </c>
      <c r="C13242" t="s">
        <v>13970</v>
      </c>
      <c r="D13242" t="s">
        <v>44788</v>
      </c>
      <c r="E13242" t="b">
        <v>0</v>
      </c>
      <c r="F13242" t="s">
        <v>11610</v>
      </c>
      <c r="L13242">
        <v>0</v>
      </c>
      <c r="M13242">
        <v>0</v>
      </c>
      <c r="N13242">
        <v>0</v>
      </c>
    </row>
    <row r="13243" spans="1:15">
      <c r="A13243" t="s">
        <v>44789</v>
      </c>
      <c r="B13243" t="s">
        <v>4342</v>
      </c>
      <c r="C13243" t="s">
        <v>31422</v>
      </c>
      <c r="D13243" t="s">
        <v>44790</v>
      </c>
      <c r="E13243" t="b">
        <v>0</v>
      </c>
      <c r="F13243" t="s">
        <v>11610</v>
      </c>
      <c r="L13243">
        <v>0</v>
      </c>
      <c r="M13243">
        <v>0</v>
      </c>
      <c r="N13243">
        <v>0</v>
      </c>
    </row>
    <row r="13244" spans="1:15">
      <c r="A13244" t="s">
        <v>21980</v>
      </c>
      <c r="B13244" t="s">
        <v>4342</v>
      </c>
      <c r="C13244" t="s">
        <v>41481</v>
      </c>
      <c r="D13244" t="s">
        <v>44791</v>
      </c>
      <c r="E13244" t="b">
        <v>0</v>
      </c>
      <c r="F13244" t="s">
        <v>11624</v>
      </c>
      <c r="G13244">
        <v>24.756399999999999</v>
      </c>
      <c r="H13244">
        <v>125.363</v>
      </c>
      <c r="I13244" t="s">
        <v>44792</v>
      </c>
      <c r="L13244">
        <v>0</v>
      </c>
      <c r="M13244">
        <v>0</v>
      </c>
      <c r="N13244">
        <v>8</v>
      </c>
      <c r="O13244" t="s">
        <v>12539</v>
      </c>
    </row>
    <row r="13245" spans="1:15">
      <c r="A13245" t="s">
        <v>44793</v>
      </c>
      <c r="B13245" t="s">
        <v>4342</v>
      </c>
      <c r="C13245" t="s">
        <v>21979</v>
      </c>
      <c r="D13245" t="s">
        <v>44794</v>
      </c>
      <c r="E13245" t="b">
        <v>0</v>
      </c>
      <c r="F13245" t="s">
        <v>11610</v>
      </c>
      <c r="L13245">
        <v>0</v>
      </c>
      <c r="M13245">
        <v>0</v>
      </c>
      <c r="N13245">
        <v>0</v>
      </c>
    </row>
    <row r="13246" spans="1:15">
      <c r="A13246" t="s">
        <v>24470</v>
      </c>
      <c r="B13246" t="s">
        <v>11607</v>
      </c>
      <c r="C13246" t="s">
        <v>35192</v>
      </c>
      <c r="D13246" t="s">
        <v>44795</v>
      </c>
      <c r="E13246" t="b">
        <v>0</v>
      </c>
      <c r="F13246" t="s">
        <v>11624</v>
      </c>
      <c r="G13246">
        <v>10.923400000000001</v>
      </c>
      <c r="H13246">
        <v>9.7150499999999997</v>
      </c>
      <c r="I13246" t="s">
        <v>44796</v>
      </c>
      <c r="L13246">
        <v>0</v>
      </c>
      <c r="M13246">
        <v>0</v>
      </c>
      <c r="N13246">
        <v>5</v>
      </c>
      <c r="O13246" t="s">
        <v>11693</v>
      </c>
    </row>
    <row r="13247" spans="1:15">
      <c r="A13247" t="s">
        <v>20405</v>
      </c>
      <c r="B13247" t="s">
        <v>18921</v>
      </c>
      <c r="C13247" t="s">
        <v>18921</v>
      </c>
      <c r="D13247" t="s">
        <v>44797</v>
      </c>
      <c r="E13247" t="b">
        <v>0</v>
      </c>
      <c r="F13247" t="s">
        <v>11622</v>
      </c>
      <c r="L13247">
        <v>1</v>
      </c>
      <c r="M13247">
        <v>3</v>
      </c>
      <c r="N13247">
        <v>0</v>
      </c>
    </row>
    <row r="13248" spans="1:15">
      <c r="A13248" t="s">
        <v>44798</v>
      </c>
      <c r="B13248" t="s">
        <v>11981</v>
      </c>
      <c r="C13248" t="s">
        <v>11982</v>
      </c>
      <c r="D13248" t="s">
        <v>44799</v>
      </c>
      <c r="E13248" t="b">
        <v>0</v>
      </c>
      <c r="F13248" t="s">
        <v>11624</v>
      </c>
      <c r="G13248">
        <v>34.178195000000002</v>
      </c>
      <c r="H13248">
        <v>133.074929</v>
      </c>
      <c r="L13248">
        <v>0</v>
      </c>
      <c r="M13248">
        <v>0</v>
      </c>
      <c r="N13248">
        <v>0</v>
      </c>
      <c r="O13248" t="s">
        <v>12539</v>
      </c>
    </row>
    <row r="13249" spans="1:15">
      <c r="A13249" t="s">
        <v>44800</v>
      </c>
      <c r="B13249" t="s">
        <v>11615</v>
      </c>
      <c r="C13249" t="s">
        <v>19759</v>
      </c>
      <c r="D13249" t="s">
        <v>44801</v>
      </c>
      <c r="E13249" t="b">
        <v>0</v>
      </c>
      <c r="F13249" t="s">
        <v>11610</v>
      </c>
      <c r="L13249">
        <v>0</v>
      </c>
      <c r="M13249">
        <v>0</v>
      </c>
      <c r="N13249">
        <v>0</v>
      </c>
    </row>
    <row r="13250" spans="1:15">
      <c r="A13250" t="s">
        <v>44802</v>
      </c>
      <c r="B13250" t="s">
        <v>6742</v>
      </c>
      <c r="C13250" t="s">
        <v>44803</v>
      </c>
      <c r="D13250" t="s">
        <v>44804</v>
      </c>
      <c r="E13250" t="b">
        <v>0</v>
      </c>
      <c r="F13250" t="s">
        <v>11624</v>
      </c>
      <c r="G13250">
        <v>9.9436599999999995</v>
      </c>
      <c r="H13250">
        <v>1.3330200000000001</v>
      </c>
      <c r="I13250" t="s">
        <v>44805</v>
      </c>
      <c r="L13250">
        <v>0</v>
      </c>
      <c r="M13250">
        <v>0</v>
      </c>
      <c r="N13250">
        <v>0</v>
      </c>
      <c r="O13250" t="s">
        <v>12394</v>
      </c>
    </row>
    <row r="13251" spans="1:15">
      <c r="A13251" t="s">
        <v>44806</v>
      </c>
      <c r="B13251" t="s">
        <v>11729</v>
      </c>
      <c r="C13251" t="s">
        <v>12334</v>
      </c>
      <c r="D13251" t="s">
        <v>44807</v>
      </c>
      <c r="E13251" t="b">
        <v>0</v>
      </c>
      <c r="F13251" t="s">
        <v>11610</v>
      </c>
      <c r="L13251">
        <v>0</v>
      </c>
      <c r="M13251">
        <v>0</v>
      </c>
      <c r="N13251">
        <v>0</v>
      </c>
    </row>
    <row r="13252" spans="1:15">
      <c r="A13252" t="s">
        <v>44808</v>
      </c>
      <c r="B13252" t="s">
        <v>11637</v>
      </c>
      <c r="C13252" t="s">
        <v>12509</v>
      </c>
      <c r="D13252" t="s">
        <v>44809</v>
      </c>
      <c r="E13252" t="b">
        <v>0</v>
      </c>
      <c r="F13252" t="s">
        <v>11610</v>
      </c>
      <c r="L13252">
        <v>0</v>
      </c>
      <c r="M13252">
        <v>0</v>
      </c>
      <c r="N13252">
        <v>0</v>
      </c>
    </row>
    <row r="13253" spans="1:15">
      <c r="A13253" t="s">
        <v>31260</v>
      </c>
      <c r="B13253" t="s">
        <v>11644</v>
      </c>
      <c r="C13253" t="s">
        <v>21425</v>
      </c>
      <c r="D13253" t="s">
        <v>44810</v>
      </c>
      <c r="E13253" t="b">
        <v>0</v>
      </c>
      <c r="F13253" t="s">
        <v>11622</v>
      </c>
      <c r="L13253">
        <v>1</v>
      </c>
      <c r="M13253">
        <v>5</v>
      </c>
      <c r="N13253">
        <v>10</v>
      </c>
    </row>
    <row r="13254" spans="1:15">
      <c r="A13254" t="s">
        <v>44811</v>
      </c>
      <c r="B13254" t="s">
        <v>11644</v>
      </c>
      <c r="C13254" t="s">
        <v>27713</v>
      </c>
      <c r="D13254" t="s">
        <v>44812</v>
      </c>
      <c r="E13254" t="b">
        <v>0</v>
      </c>
      <c r="F13254" t="s">
        <v>11610</v>
      </c>
      <c r="L13254">
        <v>0</v>
      </c>
      <c r="M13254">
        <v>0</v>
      </c>
      <c r="N13254">
        <v>0</v>
      </c>
    </row>
    <row r="13255" spans="1:15">
      <c r="A13255" t="s">
        <v>44813</v>
      </c>
      <c r="B13255" t="s">
        <v>6742</v>
      </c>
      <c r="C13255" t="s">
        <v>18583</v>
      </c>
      <c r="D13255" t="s">
        <v>44814</v>
      </c>
      <c r="E13255" t="b">
        <v>0</v>
      </c>
      <c r="F13255" t="s">
        <v>11610</v>
      </c>
      <c r="L13255">
        <v>0</v>
      </c>
      <c r="M13255">
        <v>0</v>
      </c>
      <c r="N13255">
        <v>0</v>
      </c>
    </row>
    <row r="13256" spans="1:15">
      <c r="A13256" t="s">
        <v>44815</v>
      </c>
      <c r="B13256" t="s">
        <v>11644</v>
      </c>
      <c r="C13256" t="s">
        <v>14549</v>
      </c>
      <c r="D13256" t="s">
        <v>44816</v>
      </c>
      <c r="E13256" t="b">
        <v>0</v>
      </c>
      <c r="F13256" t="s">
        <v>11610</v>
      </c>
      <c r="L13256">
        <v>0</v>
      </c>
      <c r="M13256">
        <v>0</v>
      </c>
      <c r="N13256">
        <v>0</v>
      </c>
    </row>
    <row r="13257" spans="1:15">
      <c r="A13257" t="s">
        <v>44817</v>
      </c>
      <c r="B13257" t="s">
        <v>6742</v>
      </c>
      <c r="C13257" t="s">
        <v>35848</v>
      </c>
      <c r="D13257" t="s">
        <v>44818</v>
      </c>
      <c r="E13257" t="b">
        <v>0</v>
      </c>
      <c r="F13257" t="s">
        <v>11610</v>
      </c>
      <c r="L13257">
        <v>0</v>
      </c>
      <c r="M13257">
        <v>0</v>
      </c>
      <c r="N13257">
        <v>0</v>
      </c>
    </row>
    <row r="13258" spans="1:15">
      <c r="A13258" t="s">
        <v>44819</v>
      </c>
      <c r="B13258" t="s">
        <v>6742</v>
      </c>
      <c r="C13258" t="s">
        <v>38946</v>
      </c>
      <c r="D13258" t="s">
        <v>44820</v>
      </c>
      <c r="E13258" t="b">
        <v>0</v>
      </c>
      <c r="F13258" t="s">
        <v>11610</v>
      </c>
      <c r="L13258">
        <v>0</v>
      </c>
      <c r="M13258">
        <v>0</v>
      </c>
      <c r="N13258">
        <v>0</v>
      </c>
    </row>
    <row r="13259" spans="1:15">
      <c r="A13259" t="s">
        <v>44821</v>
      </c>
      <c r="B13259" t="s">
        <v>12438</v>
      </c>
      <c r="C13259" t="s">
        <v>36260</v>
      </c>
      <c r="D13259" t="s">
        <v>44822</v>
      </c>
      <c r="E13259" t="b">
        <v>0</v>
      </c>
      <c r="F13259" t="s">
        <v>11624</v>
      </c>
      <c r="G13259">
        <v>18.5533</v>
      </c>
      <c r="H13259">
        <v>101.163</v>
      </c>
      <c r="I13259" t="s">
        <v>44823</v>
      </c>
      <c r="L13259">
        <v>0</v>
      </c>
      <c r="M13259">
        <v>0</v>
      </c>
      <c r="N13259">
        <v>0</v>
      </c>
      <c r="O13259" t="s">
        <v>12442</v>
      </c>
    </row>
    <row r="13260" spans="1:15">
      <c r="A13260" t="s">
        <v>44824</v>
      </c>
      <c r="B13260" t="s">
        <v>11607</v>
      </c>
      <c r="C13260" t="s">
        <v>44825</v>
      </c>
      <c r="D13260" t="s">
        <v>44826</v>
      </c>
      <c r="E13260" t="b">
        <v>0</v>
      </c>
      <c r="F13260" t="s">
        <v>11624</v>
      </c>
      <c r="G13260">
        <v>37.031100000000002</v>
      </c>
      <c r="H13260">
        <v>41.2209</v>
      </c>
      <c r="I13260" t="s">
        <v>44827</v>
      </c>
      <c r="L13260">
        <v>0</v>
      </c>
      <c r="M13260">
        <v>0</v>
      </c>
      <c r="N13260">
        <v>0</v>
      </c>
      <c r="O13260" t="s">
        <v>13514</v>
      </c>
    </row>
    <row r="13261" spans="1:15">
      <c r="A13261" t="s">
        <v>44828</v>
      </c>
      <c r="B13261" t="s">
        <v>6742</v>
      </c>
      <c r="C13261" t="s">
        <v>37524</v>
      </c>
      <c r="D13261" t="s">
        <v>44829</v>
      </c>
      <c r="E13261" t="b">
        <v>0</v>
      </c>
      <c r="F13261" t="s">
        <v>11610</v>
      </c>
      <c r="L13261">
        <v>0</v>
      </c>
      <c r="M13261">
        <v>0</v>
      </c>
      <c r="N13261">
        <v>0</v>
      </c>
    </row>
    <row r="13262" spans="1:15">
      <c r="A13262" t="s">
        <v>44830</v>
      </c>
      <c r="B13262" t="s">
        <v>29767</v>
      </c>
      <c r="C13262" t="s">
        <v>29771</v>
      </c>
      <c r="D13262" t="s">
        <v>44831</v>
      </c>
      <c r="E13262" t="b">
        <v>0</v>
      </c>
      <c r="F13262" t="s">
        <v>11624</v>
      </c>
      <c r="G13262">
        <v>-2.5731600000000001</v>
      </c>
      <c r="H13262">
        <v>140.26400000000001</v>
      </c>
      <c r="I13262" t="s">
        <v>44832</v>
      </c>
      <c r="L13262">
        <v>0</v>
      </c>
      <c r="M13262">
        <v>0</v>
      </c>
      <c r="N13262">
        <v>0</v>
      </c>
      <c r="O13262" t="s">
        <v>11768</v>
      </c>
    </row>
    <row r="13263" spans="1:15">
      <c r="A13263" t="s">
        <v>29771</v>
      </c>
      <c r="B13263" t="s">
        <v>29767</v>
      </c>
      <c r="C13263" t="s">
        <v>43989</v>
      </c>
      <c r="D13263" t="s">
        <v>44833</v>
      </c>
      <c r="E13263" t="b">
        <v>0</v>
      </c>
      <c r="F13263" t="s">
        <v>11622</v>
      </c>
      <c r="L13263">
        <v>1</v>
      </c>
      <c r="M13263">
        <v>3</v>
      </c>
      <c r="N13263">
        <v>0</v>
      </c>
    </row>
    <row r="13264" spans="1:15">
      <c r="A13264" t="s">
        <v>44834</v>
      </c>
      <c r="B13264" t="s">
        <v>6742</v>
      </c>
      <c r="C13264" t="s">
        <v>35222</v>
      </c>
      <c r="D13264" t="s">
        <v>44835</v>
      </c>
      <c r="E13264" t="b">
        <v>0</v>
      </c>
      <c r="F13264" t="s">
        <v>11624</v>
      </c>
      <c r="G13264">
        <v>12.831799999999999</v>
      </c>
      <c r="H13264">
        <v>-16.5383</v>
      </c>
      <c r="I13264" t="s">
        <v>44836</v>
      </c>
      <c r="L13264">
        <v>0</v>
      </c>
      <c r="M13264">
        <v>0</v>
      </c>
      <c r="N13264">
        <v>0</v>
      </c>
      <c r="O13264" t="s">
        <v>16532</v>
      </c>
    </row>
    <row r="13265" spans="1:15">
      <c r="A13265" t="s">
        <v>44837</v>
      </c>
      <c r="B13265" t="s">
        <v>6742</v>
      </c>
      <c r="C13265" t="s">
        <v>27037</v>
      </c>
      <c r="D13265" t="s">
        <v>44838</v>
      </c>
      <c r="E13265" t="b">
        <v>0</v>
      </c>
      <c r="F13265" t="s">
        <v>11624</v>
      </c>
      <c r="G13265">
        <v>4.5218800000000003</v>
      </c>
      <c r="H13265">
        <v>11.059900000000001</v>
      </c>
      <c r="I13265" t="s">
        <v>44839</v>
      </c>
      <c r="L13265">
        <v>0</v>
      </c>
      <c r="M13265">
        <v>0</v>
      </c>
      <c r="N13265">
        <v>0</v>
      </c>
      <c r="O13265" t="s">
        <v>11703</v>
      </c>
    </row>
    <row r="13266" spans="1:15">
      <c r="A13266" t="s">
        <v>44840</v>
      </c>
      <c r="B13266" t="s">
        <v>6742</v>
      </c>
      <c r="C13266" t="s">
        <v>20260</v>
      </c>
      <c r="D13266" t="s">
        <v>44841</v>
      </c>
      <c r="E13266" t="b">
        <v>0</v>
      </c>
      <c r="F13266" t="s">
        <v>11610</v>
      </c>
      <c r="L13266">
        <v>0</v>
      </c>
      <c r="M13266">
        <v>0</v>
      </c>
      <c r="N13266">
        <v>0</v>
      </c>
    </row>
    <row r="13267" spans="1:15">
      <c r="A13267" t="s">
        <v>22072</v>
      </c>
      <c r="B13267" t="s">
        <v>6742</v>
      </c>
      <c r="C13267" t="s">
        <v>15603</v>
      </c>
      <c r="D13267" t="s">
        <v>44842</v>
      </c>
      <c r="E13267" t="b">
        <v>0</v>
      </c>
      <c r="F13267" t="s">
        <v>11624</v>
      </c>
      <c r="G13267">
        <v>6.4321299999999999</v>
      </c>
      <c r="H13267">
        <v>10.254099999999999</v>
      </c>
      <c r="I13267" t="s">
        <v>44843</v>
      </c>
      <c r="L13267">
        <v>0</v>
      </c>
      <c r="M13267">
        <v>0</v>
      </c>
      <c r="N13267">
        <v>3</v>
      </c>
      <c r="O13267" t="s">
        <v>11703</v>
      </c>
    </row>
    <row r="13268" spans="1:15">
      <c r="A13268" t="s">
        <v>28669</v>
      </c>
      <c r="B13268" t="s">
        <v>11644</v>
      </c>
      <c r="C13268" t="s">
        <v>24314</v>
      </c>
      <c r="D13268" t="s">
        <v>44844</v>
      </c>
      <c r="E13268" t="b">
        <v>0</v>
      </c>
      <c r="F13268" t="s">
        <v>11610</v>
      </c>
      <c r="L13268">
        <v>0</v>
      </c>
      <c r="M13268">
        <v>0</v>
      </c>
      <c r="N13268">
        <v>5</v>
      </c>
    </row>
    <row r="13269" spans="1:15">
      <c r="A13269" t="s">
        <v>22881</v>
      </c>
      <c r="B13269" t="s">
        <v>12438</v>
      </c>
      <c r="C13269" t="s">
        <v>36946</v>
      </c>
      <c r="D13269" t="s">
        <v>44845</v>
      </c>
      <c r="E13269" t="b">
        <v>0</v>
      </c>
      <c r="F13269" t="s">
        <v>11622</v>
      </c>
      <c r="L13269">
        <v>3</v>
      </c>
      <c r="M13269">
        <v>7</v>
      </c>
      <c r="N13269">
        <v>23</v>
      </c>
    </row>
    <row r="13270" spans="1:15">
      <c r="A13270" t="s">
        <v>25910</v>
      </c>
      <c r="B13270" t="s">
        <v>12438</v>
      </c>
      <c r="C13270" t="s">
        <v>22881</v>
      </c>
      <c r="D13270" t="s">
        <v>44846</v>
      </c>
      <c r="E13270" t="b">
        <v>0</v>
      </c>
      <c r="F13270" t="s">
        <v>11622</v>
      </c>
      <c r="L13270">
        <v>1</v>
      </c>
      <c r="M13270">
        <v>4</v>
      </c>
      <c r="N13270">
        <v>12</v>
      </c>
    </row>
    <row r="13271" spans="1:15">
      <c r="A13271" t="s">
        <v>44847</v>
      </c>
      <c r="B13271" t="s">
        <v>12438</v>
      </c>
      <c r="C13271" t="s">
        <v>22559</v>
      </c>
      <c r="D13271" t="s">
        <v>44848</v>
      </c>
      <c r="E13271" t="b">
        <v>0</v>
      </c>
      <c r="F13271" t="s">
        <v>11610</v>
      </c>
      <c r="L13271">
        <v>0</v>
      </c>
      <c r="M13271">
        <v>0</v>
      </c>
      <c r="N13271">
        <v>0</v>
      </c>
    </row>
    <row r="13272" spans="1:15">
      <c r="A13272" t="s">
        <v>44849</v>
      </c>
      <c r="B13272" t="s">
        <v>12438</v>
      </c>
      <c r="C13272" t="s">
        <v>22559</v>
      </c>
      <c r="D13272" t="s">
        <v>44850</v>
      </c>
      <c r="E13272" t="b">
        <v>0</v>
      </c>
      <c r="F13272" t="s">
        <v>11610</v>
      </c>
      <c r="L13272">
        <v>0</v>
      </c>
      <c r="M13272">
        <v>0</v>
      </c>
      <c r="N13272">
        <v>0</v>
      </c>
    </row>
    <row r="13273" spans="1:15">
      <c r="A13273" t="s">
        <v>44851</v>
      </c>
      <c r="B13273" t="s">
        <v>12438</v>
      </c>
      <c r="C13273" t="s">
        <v>22559</v>
      </c>
      <c r="D13273" t="s">
        <v>44852</v>
      </c>
      <c r="E13273" t="b">
        <v>0</v>
      </c>
      <c r="F13273" t="s">
        <v>11610</v>
      </c>
      <c r="L13273">
        <v>0</v>
      </c>
      <c r="M13273">
        <v>0</v>
      </c>
      <c r="N13273">
        <v>0</v>
      </c>
    </row>
    <row r="13274" spans="1:15">
      <c r="A13274" t="s">
        <v>44853</v>
      </c>
      <c r="B13274" t="s">
        <v>367</v>
      </c>
      <c r="C13274" t="s">
        <v>39091</v>
      </c>
      <c r="D13274" t="s">
        <v>44854</v>
      </c>
      <c r="E13274" t="b">
        <v>0</v>
      </c>
      <c r="F13274" t="s">
        <v>11610</v>
      </c>
      <c r="L13274">
        <v>0</v>
      </c>
      <c r="M13274">
        <v>0</v>
      </c>
      <c r="N13274">
        <v>0</v>
      </c>
    </row>
    <row r="13275" spans="1:15">
      <c r="A13275" t="s">
        <v>44855</v>
      </c>
      <c r="B13275" t="s">
        <v>11627</v>
      </c>
      <c r="C13275" t="s">
        <v>11627</v>
      </c>
      <c r="D13275" t="s">
        <v>44856</v>
      </c>
      <c r="E13275" t="b">
        <v>1</v>
      </c>
      <c r="F13275" t="s">
        <v>11624</v>
      </c>
      <c r="I13275" t="s">
        <v>44857</v>
      </c>
      <c r="L13275">
        <v>0</v>
      </c>
      <c r="M13275">
        <v>0</v>
      </c>
      <c r="N13275">
        <v>0</v>
      </c>
      <c r="O13275" t="s">
        <v>13488</v>
      </c>
    </row>
    <row r="13276" spans="1:15">
      <c r="A13276" t="s">
        <v>18650</v>
      </c>
      <c r="B13276" t="s">
        <v>6742</v>
      </c>
      <c r="C13276" t="s">
        <v>29649</v>
      </c>
      <c r="D13276" t="s">
        <v>44858</v>
      </c>
      <c r="E13276" t="b">
        <v>0</v>
      </c>
      <c r="F13276" t="s">
        <v>11622</v>
      </c>
      <c r="L13276">
        <v>0</v>
      </c>
      <c r="M13276">
        <v>2</v>
      </c>
      <c r="N13276">
        <v>1</v>
      </c>
    </row>
    <row r="13277" spans="1:15">
      <c r="A13277" t="s">
        <v>44859</v>
      </c>
      <c r="B13277" t="s">
        <v>6742</v>
      </c>
      <c r="C13277" t="s">
        <v>18650</v>
      </c>
      <c r="D13277" t="s">
        <v>44860</v>
      </c>
      <c r="E13277" t="b">
        <v>0</v>
      </c>
      <c r="F13277" t="s">
        <v>11624</v>
      </c>
      <c r="G13277">
        <v>10.9496</v>
      </c>
      <c r="H13277">
        <v>0.15956500000000001</v>
      </c>
      <c r="I13277" t="s">
        <v>44861</v>
      </c>
      <c r="L13277">
        <v>0</v>
      </c>
      <c r="M13277">
        <v>0</v>
      </c>
      <c r="N13277">
        <v>1</v>
      </c>
      <c r="O13277" t="s">
        <v>38434</v>
      </c>
    </row>
    <row r="13278" spans="1:15">
      <c r="A13278" t="s">
        <v>44862</v>
      </c>
      <c r="B13278" t="s">
        <v>13450</v>
      </c>
      <c r="C13278" t="s">
        <v>22783</v>
      </c>
      <c r="D13278" t="s">
        <v>44863</v>
      </c>
      <c r="E13278" t="b">
        <v>0</v>
      </c>
      <c r="F13278" t="s">
        <v>11624</v>
      </c>
      <c r="G13278">
        <v>30.47</v>
      </c>
      <c r="H13278">
        <v>-91.75</v>
      </c>
      <c r="I13278" t="s">
        <v>44864</v>
      </c>
      <c r="L13278">
        <v>0</v>
      </c>
      <c r="M13278">
        <v>0</v>
      </c>
      <c r="N13278">
        <v>0</v>
      </c>
      <c r="O13278" t="s">
        <v>11944</v>
      </c>
    </row>
    <row r="13279" spans="1:15">
      <c r="A13279" t="s">
        <v>44865</v>
      </c>
      <c r="B13279" t="s">
        <v>11607</v>
      </c>
      <c r="C13279" t="s">
        <v>13119</v>
      </c>
      <c r="D13279" t="s">
        <v>44866</v>
      </c>
      <c r="E13279" t="b">
        <v>0</v>
      </c>
      <c r="F13279" t="s">
        <v>11610</v>
      </c>
      <c r="L13279">
        <v>0</v>
      </c>
      <c r="M13279">
        <v>0</v>
      </c>
      <c r="N13279">
        <v>0</v>
      </c>
    </row>
    <row r="13280" spans="1:15">
      <c r="A13280" t="s">
        <v>44867</v>
      </c>
      <c r="B13280" t="s">
        <v>6742</v>
      </c>
      <c r="C13280" t="s">
        <v>12594</v>
      </c>
      <c r="D13280" t="s">
        <v>44868</v>
      </c>
      <c r="E13280" t="b">
        <v>0</v>
      </c>
      <c r="F13280" t="s">
        <v>11624</v>
      </c>
      <c r="G13280">
        <v>5.2684699999999998</v>
      </c>
      <c r="H13280">
        <v>-4.4730299999999996</v>
      </c>
      <c r="I13280" t="s">
        <v>44869</v>
      </c>
      <c r="L13280">
        <v>0</v>
      </c>
      <c r="M13280">
        <v>0</v>
      </c>
      <c r="N13280">
        <v>0</v>
      </c>
      <c r="O13280" t="s">
        <v>11735</v>
      </c>
    </row>
    <row r="13281" spans="1:15">
      <c r="A13281" t="s">
        <v>44870</v>
      </c>
      <c r="B13281" t="s">
        <v>11644</v>
      </c>
      <c r="C13281" t="s">
        <v>44871</v>
      </c>
      <c r="D13281" t="s">
        <v>44872</v>
      </c>
      <c r="E13281" t="b">
        <v>0</v>
      </c>
      <c r="F13281" t="s">
        <v>11624</v>
      </c>
      <c r="I13281" t="s">
        <v>44873</v>
      </c>
      <c r="L13281">
        <v>0</v>
      </c>
      <c r="M13281">
        <v>0</v>
      </c>
      <c r="N13281">
        <v>0</v>
      </c>
      <c r="O13281" t="s">
        <v>14059</v>
      </c>
    </row>
    <row r="13282" spans="1:15">
      <c r="A13282" t="s">
        <v>27835</v>
      </c>
      <c r="B13282" t="s">
        <v>11637</v>
      </c>
      <c r="C13282" t="s">
        <v>23038</v>
      </c>
      <c r="D13282" t="s">
        <v>44874</v>
      </c>
      <c r="E13282" t="b">
        <v>0</v>
      </c>
      <c r="F13282" t="s">
        <v>11624</v>
      </c>
      <c r="G13282">
        <v>46.491599999999998</v>
      </c>
      <c r="H13282">
        <v>10.8087</v>
      </c>
      <c r="I13282" t="s">
        <v>44875</v>
      </c>
      <c r="L13282">
        <v>0</v>
      </c>
      <c r="M13282">
        <v>0</v>
      </c>
      <c r="N13282">
        <v>3</v>
      </c>
      <c r="O13282" t="s">
        <v>13676</v>
      </c>
    </row>
    <row r="13283" spans="1:15">
      <c r="A13283" t="s">
        <v>1864</v>
      </c>
      <c r="B13283" t="s">
        <v>6742</v>
      </c>
      <c r="C13283" t="s">
        <v>21895</v>
      </c>
      <c r="D13283" t="s">
        <v>44876</v>
      </c>
      <c r="E13283" t="b">
        <v>0</v>
      </c>
      <c r="F13283" t="s">
        <v>11624</v>
      </c>
      <c r="G13283">
        <v>-3.3374299999999999</v>
      </c>
      <c r="H13283">
        <v>37.335700000000003</v>
      </c>
      <c r="I13283" t="s">
        <v>1866</v>
      </c>
      <c r="L13283">
        <v>0</v>
      </c>
      <c r="M13283">
        <v>0</v>
      </c>
      <c r="N13283">
        <v>1</v>
      </c>
      <c r="O13283" t="s">
        <v>11635</v>
      </c>
    </row>
    <row r="13284" spans="1:15">
      <c r="A13284" t="s">
        <v>44877</v>
      </c>
      <c r="B13284" t="s">
        <v>5911</v>
      </c>
      <c r="C13284" t="s">
        <v>34848</v>
      </c>
      <c r="D13284" t="s">
        <v>44878</v>
      </c>
      <c r="E13284" t="b">
        <v>0</v>
      </c>
      <c r="F13284" t="s">
        <v>11624</v>
      </c>
      <c r="G13284">
        <v>15.453799999999999</v>
      </c>
      <c r="H13284">
        <v>-92.173400000000001</v>
      </c>
      <c r="I13284" t="s">
        <v>44879</v>
      </c>
      <c r="L13284">
        <v>0</v>
      </c>
      <c r="M13284">
        <v>0</v>
      </c>
      <c r="N13284">
        <v>2</v>
      </c>
      <c r="O13284" t="s">
        <v>22509</v>
      </c>
    </row>
    <row r="13285" spans="1:15">
      <c r="A13285" t="s">
        <v>44880</v>
      </c>
      <c r="B13285" t="s">
        <v>978</v>
      </c>
      <c r="C13285" t="s">
        <v>13318</v>
      </c>
      <c r="D13285" t="s">
        <v>44881</v>
      </c>
      <c r="E13285" t="b">
        <v>0</v>
      </c>
      <c r="F13285" t="s">
        <v>11610</v>
      </c>
      <c r="L13285">
        <v>0</v>
      </c>
      <c r="M13285">
        <v>0</v>
      </c>
      <c r="N13285">
        <v>0</v>
      </c>
    </row>
    <row r="13286" spans="1:15">
      <c r="A13286" t="s">
        <v>44882</v>
      </c>
      <c r="D13286" t="s">
        <v>44883</v>
      </c>
      <c r="E13286" t="b">
        <v>0</v>
      </c>
      <c r="F13286" t="s">
        <v>11624</v>
      </c>
      <c r="G13286">
        <v>-8.0166699999999995</v>
      </c>
      <c r="H13286">
        <v>-79</v>
      </c>
      <c r="I13286" t="s">
        <v>44884</v>
      </c>
      <c r="L13286">
        <v>0</v>
      </c>
      <c r="M13286">
        <v>0</v>
      </c>
      <c r="N13286">
        <v>0</v>
      </c>
      <c r="O13286" t="s">
        <v>11778</v>
      </c>
    </row>
    <row r="13287" spans="1:15">
      <c r="A13287" t="s">
        <v>44885</v>
      </c>
      <c r="B13287" t="s">
        <v>11637</v>
      </c>
      <c r="C13287" t="s">
        <v>13105</v>
      </c>
      <c r="D13287" t="s">
        <v>44886</v>
      </c>
      <c r="E13287" t="b">
        <v>0</v>
      </c>
      <c r="F13287" t="s">
        <v>11610</v>
      </c>
      <c r="L13287">
        <v>0</v>
      </c>
      <c r="M13287">
        <v>0</v>
      </c>
      <c r="N13287">
        <v>0</v>
      </c>
    </row>
    <row r="13288" spans="1:15">
      <c r="A13288" t="s">
        <v>44887</v>
      </c>
      <c r="B13288" t="s">
        <v>11770</v>
      </c>
      <c r="C13288" t="s">
        <v>44888</v>
      </c>
      <c r="D13288" t="s">
        <v>44889</v>
      </c>
      <c r="E13288" t="b">
        <v>0</v>
      </c>
      <c r="F13288" t="s">
        <v>11624</v>
      </c>
      <c r="G13288">
        <v>-28.097000000000001</v>
      </c>
      <c r="H13288">
        <v>-60.414499999999997</v>
      </c>
      <c r="I13288" t="s">
        <v>44890</v>
      </c>
      <c r="L13288">
        <v>0</v>
      </c>
      <c r="M13288">
        <v>0</v>
      </c>
      <c r="N13288">
        <v>0</v>
      </c>
      <c r="O13288" t="s">
        <v>11774</v>
      </c>
    </row>
    <row r="13289" spans="1:15">
      <c r="A13289" t="s">
        <v>44891</v>
      </c>
      <c r="B13289" t="s">
        <v>11729</v>
      </c>
      <c r="C13289" t="s">
        <v>28880</v>
      </c>
      <c r="D13289" t="s">
        <v>44892</v>
      </c>
      <c r="E13289" t="b">
        <v>0</v>
      </c>
      <c r="F13289" t="s">
        <v>11624</v>
      </c>
      <c r="G13289">
        <v>6.1463000000000001</v>
      </c>
      <c r="H13289">
        <v>29.735499999999998</v>
      </c>
      <c r="I13289" t="s">
        <v>44893</v>
      </c>
      <c r="L13289">
        <v>0</v>
      </c>
      <c r="M13289">
        <v>0</v>
      </c>
      <c r="N13289">
        <v>0</v>
      </c>
      <c r="O13289" t="s">
        <v>11910</v>
      </c>
    </row>
    <row r="13290" spans="1:15">
      <c r="A13290" t="s">
        <v>44894</v>
      </c>
      <c r="B13290" t="s">
        <v>367</v>
      </c>
      <c r="C13290" t="s">
        <v>35602</v>
      </c>
      <c r="D13290" t="s">
        <v>44895</v>
      </c>
      <c r="E13290" t="b">
        <v>0</v>
      </c>
      <c r="F13290" t="s">
        <v>11622</v>
      </c>
      <c r="L13290">
        <v>0</v>
      </c>
      <c r="M13290">
        <v>2</v>
      </c>
      <c r="N13290">
        <v>8</v>
      </c>
    </row>
    <row r="13291" spans="1:15">
      <c r="A13291" t="s">
        <v>17951</v>
      </c>
      <c r="B13291" t="s">
        <v>367</v>
      </c>
      <c r="C13291" t="s">
        <v>44894</v>
      </c>
      <c r="D13291" t="s">
        <v>44896</v>
      </c>
      <c r="E13291" t="b">
        <v>0</v>
      </c>
      <c r="F13291" t="s">
        <v>11624</v>
      </c>
      <c r="G13291">
        <v>0.80793000000000004</v>
      </c>
      <c r="H13291">
        <v>116.57299999999999</v>
      </c>
      <c r="I13291" t="s">
        <v>44897</v>
      </c>
      <c r="L13291">
        <v>0</v>
      </c>
      <c r="M13291">
        <v>0</v>
      </c>
      <c r="N13291">
        <v>6</v>
      </c>
      <c r="O13291" t="s">
        <v>11768</v>
      </c>
    </row>
    <row r="13292" spans="1:15">
      <c r="A13292" t="s">
        <v>44898</v>
      </c>
      <c r="B13292" t="s">
        <v>11607</v>
      </c>
      <c r="C13292" t="s">
        <v>44899</v>
      </c>
      <c r="D13292" t="s">
        <v>44900</v>
      </c>
      <c r="E13292" t="b">
        <v>0</v>
      </c>
      <c r="F13292" t="s">
        <v>11610</v>
      </c>
      <c r="L13292">
        <v>0</v>
      </c>
      <c r="M13292">
        <v>0</v>
      </c>
      <c r="N13292">
        <v>0</v>
      </c>
    </row>
    <row r="13293" spans="1:15">
      <c r="A13293" t="s">
        <v>4958</v>
      </c>
      <c r="B13293" t="s">
        <v>11637</v>
      </c>
      <c r="C13293" t="s">
        <v>44901</v>
      </c>
      <c r="D13293" t="s">
        <v>44902</v>
      </c>
      <c r="E13293" t="b">
        <v>0</v>
      </c>
      <c r="F13293" t="s">
        <v>11624</v>
      </c>
      <c r="G13293">
        <v>42.322400000000002</v>
      </c>
      <c r="H13293">
        <v>24.869900000000001</v>
      </c>
      <c r="I13293" t="s">
        <v>4959</v>
      </c>
      <c r="L13293">
        <v>0</v>
      </c>
      <c r="M13293">
        <v>0</v>
      </c>
      <c r="N13293">
        <v>28</v>
      </c>
      <c r="O13293" t="s">
        <v>44903</v>
      </c>
    </row>
    <row r="13294" spans="1:15">
      <c r="A13294" t="s">
        <v>44904</v>
      </c>
      <c r="B13294" t="s">
        <v>6742</v>
      </c>
      <c r="C13294" t="s">
        <v>16658</v>
      </c>
      <c r="D13294" t="s">
        <v>44905</v>
      </c>
      <c r="E13294" t="b">
        <v>0</v>
      </c>
      <c r="F13294" t="s">
        <v>11610</v>
      </c>
      <c r="L13294">
        <v>0</v>
      </c>
      <c r="M13294">
        <v>0</v>
      </c>
      <c r="N13294">
        <v>0</v>
      </c>
    </row>
    <row r="13295" spans="1:15">
      <c r="A13295" t="s">
        <v>44906</v>
      </c>
      <c r="B13295" t="s">
        <v>12254</v>
      </c>
      <c r="C13295" t="s">
        <v>12255</v>
      </c>
      <c r="D13295" t="s">
        <v>44907</v>
      </c>
      <c r="E13295" t="b">
        <v>0</v>
      </c>
      <c r="F13295" t="s">
        <v>11610</v>
      </c>
      <c r="L13295">
        <v>0</v>
      </c>
      <c r="M13295">
        <v>0</v>
      </c>
      <c r="N13295">
        <v>0</v>
      </c>
    </row>
    <row r="13296" spans="1:15">
      <c r="A13296" t="s">
        <v>21135</v>
      </c>
      <c r="B13296" t="s">
        <v>367</v>
      </c>
      <c r="C13296" t="s">
        <v>33297</v>
      </c>
      <c r="D13296" t="s">
        <v>44908</v>
      </c>
      <c r="E13296" t="b">
        <v>0</v>
      </c>
      <c r="F13296" t="s">
        <v>11622</v>
      </c>
      <c r="L13296">
        <v>0</v>
      </c>
      <c r="M13296">
        <v>5</v>
      </c>
      <c r="N13296">
        <v>24</v>
      </c>
    </row>
    <row r="13297" spans="1:15">
      <c r="A13297" t="s">
        <v>26590</v>
      </c>
      <c r="B13297" t="s">
        <v>11607</v>
      </c>
      <c r="C13297" t="s">
        <v>21795</v>
      </c>
      <c r="D13297" t="s">
        <v>44909</v>
      </c>
      <c r="E13297" t="b">
        <v>0</v>
      </c>
      <c r="F13297" t="s">
        <v>11622</v>
      </c>
      <c r="L13297">
        <v>3</v>
      </c>
      <c r="M13297">
        <v>6</v>
      </c>
      <c r="N13297">
        <v>13</v>
      </c>
    </row>
    <row r="13298" spans="1:15">
      <c r="A13298" t="s">
        <v>29399</v>
      </c>
      <c r="B13298" t="s">
        <v>11637</v>
      </c>
      <c r="C13298" t="s">
        <v>44333</v>
      </c>
      <c r="D13298" t="s">
        <v>44910</v>
      </c>
      <c r="E13298" t="b">
        <v>0</v>
      </c>
      <c r="F13298" t="s">
        <v>11622</v>
      </c>
      <c r="L13298">
        <v>4</v>
      </c>
      <c r="M13298">
        <v>10</v>
      </c>
      <c r="N13298">
        <v>32</v>
      </c>
    </row>
    <row r="13299" spans="1:15">
      <c r="A13299" t="s">
        <v>13005</v>
      </c>
      <c r="B13299" t="s">
        <v>11637</v>
      </c>
      <c r="C13299" t="s">
        <v>44355</v>
      </c>
      <c r="D13299" t="s">
        <v>44911</v>
      </c>
      <c r="E13299" t="b">
        <v>0</v>
      </c>
      <c r="F13299" t="s">
        <v>11622</v>
      </c>
      <c r="L13299">
        <v>7</v>
      </c>
      <c r="M13299">
        <v>11</v>
      </c>
      <c r="N13299">
        <v>45</v>
      </c>
    </row>
    <row r="13300" spans="1:15">
      <c r="A13300" t="s">
        <v>17249</v>
      </c>
      <c r="B13300" t="s">
        <v>11637</v>
      </c>
      <c r="C13300" t="s">
        <v>44371</v>
      </c>
      <c r="D13300" t="s">
        <v>44912</v>
      </c>
      <c r="E13300" t="b">
        <v>0</v>
      </c>
      <c r="F13300" t="s">
        <v>11622</v>
      </c>
      <c r="L13300">
        <v>7</v>
      </c>
      <c r="M13300">
        <v>19</v>
      </c>
      <c r="N13300">
        <v>66</v>
      </c>
    </row>
    <row r="13301" spans="1:15">
      <c r="A13301" t="s">
        <v>4402</v>
      </c>
      <c r="B13301" t="s">
        <v>331</v>
      </c>
      <c r="C13301" t="s">
        <v>15529</v>
      </c>
      <c r="D13301" t="s">
        <v>44913</v>
      </c>
      <c r="E13301" t="b">
        <v>0</v>
      </c>
      <c r="F13301" t="s">
        <v>11622</v>
      </c>
      <c r="L13301">
        <v>0</v>
      </c>
      <c r="M13301">
        <v>2</v>
      </c>
      <c r="N13301">
        <v>38</v>
      </c>
    </row>
    <row r="13302" spans="1:15">
      <c r="A13302" t="s">
        <v>44914</v>
      </c>
      <c r="B13302" t="s">
        <v>11637</v>
      </c>
      <c r="C13302" t="s">
        <v>23439</v>
      </c>
      <c r="D13302" t="s">
        <v>44915</v>
      </c>
      <c r="E13302" t="b">
        <v>0</v>
      </c>
      <c r="F13302" t="s">
        <v>11610</v>
      </c>
      <c r="L13302">
        <v>0</v>
      </c>
      <c r="M13302">
        <v>0</v>
      </c>
      <c r="N13302">
        <v>0</v>
      </c>
    </row>
    <row r="13303" spans="1:15">
      <c r="A13303" t="s">
        <v>31175</v>
      </c>
      <c r="B13303" t="s">
        <v>11637</v>
      </c>
      <c r="C13303" t="s">
        <v>28099</v>
      </c>
      <c r="D13303" t="s">
        <v>44916</v>
      </c>
      <c r="E13303" t="b">
        <v>0</v>
      </c>
      <c r="F13303" t="s">
        <v>11622</v>
      </c>
      <c r="L13303">
        <v>1</v>
      </c>
      <c r="M13303">
        <v>4</v>
      </c>
      <c r="N13303">
        <v>5</v>
      </c>
    </row>
    <row r="13304" spans="1:15">
      <c r="A13304" t="s">
        <v>26529</v>
      </c>
      <c r="B13304" t="s">
        <v>11637</v>
      </c>
      <c r="C13304" t="s">
        <v>29465</v>
      </c>
      <c r="D13304" t="s">
        <v>44917</v>
      </c>
      <c r="E13304" t="b">
        <v>0</v>
      </c>
      <c r="F13304" t="s">
        <v>11622</v>
      </c>
      <c r="L13304">
        <v>1</v>
      </c>
      <c r="M13304">
        <v>3</v>
      </c>
      <c r="N13304">
        <v>5</v>
      </c>
    </row>
    <row r="13305" spans="1:15">
      <c r="A13305" t="s">
        <v>44918</v>
      </c>
      <c r="B13305" t="s">
        <v>11729</v>
      </c>
      <c r="C13305" t="s">
        <v>33807</v>
      </c>
      <c r="D13305" t="s">
        <v>44919</v>
      </c>
      <c r="E13305" t="b">
        <v>0</v>
      </c>
      <c r="F13305" t="s">
        <v>11610</v>
      </c>
      <c r="L13305">
        <v>0</v>
      </c>
      <c r="M13305">
        <v>0</v>
      </c>
      <c r="N13305">
        <v>0</v>
      </c>
    </row>
    <row r="13306" spans="1:15">
      <c r="A13306" t="s">
        <v>44920</v>
      </c>
      <c r="B13306" t="s">
        <v>12133</v>
      </c>
      <c r="C13306" t="s">
        <v>34932</v>
      </c>
      <c r="D13306" t="s">
        <v>44921</v>
      </c>
      <c r="E13306" t="b">
        <v>0</v>
      </c>
      <c r="F13306" t="s">
        <v>11624</v>
      </c>
      <c r="G13306">
        <v>1.4019900000000001</v>
      </c>
      <c r="H13306">
        <v>127.752</v>
      </c>
      <c r="I13306" t="s">
        <v>44922</v>
      </c>
      <c r="L13306">
        <v>0</v>
      </c>
      <c r="M13306">
        <v>0</v>
      </c>
      <c r="N13306">
        <v>2</v>
      </c>
      <c r="O13306" t="s">
        <v>11768</v>
      </c>
    </row>
    <row r="13307" spans="1:15">
      <c r="A13307" t="s">
        <v>44923</v>
      </c>
      <c r="B13307" t="s">
        <v>11607</v>
      </c>
      <c r="C13307" t="s">
        <v>33533</v>
      </c>
      <c r="D13307" t="s">
        <v>44924</v>
      </c>
      <c r="E13307" t="b">
        <v>0</v>
      </c>
      <c r="F13307" t="s">
        <v>11610</v>
      </c>
      <c r="L13307">
        <v>0</v>
      </c>
      <c r="M13307">
        <v>0</v>
      </c>
      <c r="N13307">
        <v>0</v>
      </c>
    </row>
    <row r="13308" spans="1:15">
      <c r="A13308" t="s">
        <v>44925</v>
      </c>
      <c r="B13308" t="s">
        <v>11615</v>
      </c>
      <c r="C13308" t="s">
        <v>18039</v>
      </c>
      <c r="D13308" t="s">
        <v>44926</v>
      </c>
      <c r="E13308" t="b">
        <v>0</v>
      </c>
      <c r="F13308" t="s">
        <v>11624</v>
      </c>
      <c r="G13308">
        <v>-4.6224600000000002</v>
      </c>
      <c r="H13308">
        <v>145.458</v>
      </c>
      <c r="I13308" t="s">
        <v>44927</v>
      </c>
      <c r="L13308">
        <v>0</v>
      </c>
      <c r="M13308">
        <v>0</v>
      </c>
      <c r="N13308">
        <v>0</v>
      </c>
      <c r="O13308" t="s">
        <v>11660</v>
      </c>
    </row>
    <row r="13309" spans="1:15">
      <c r="A13309" t="s">
        <v>44928</v>
      </c>
      <c r="B13309" t="s">
        <v>11637</v>
      </c>
      <c r="C13309" t="s">
        <v>16329</v>
      </c>
      <c r="D13309" t="s">
        <v>44929</v>
      </c>
      <c r="E13309" t="b">
        <v>0</v>
      </c>
      <c r="F13309" t="s">
        <v>11610</v>
      </c>
      <c r="L13309">
        <v>0</v>
      </c>
      <c r="M13309">
        <v>0</v>
      </c>
      <c r="N13309">
        <v>0</v>
      </c>
    </row>
    <row r="13310" spans="1:15">
      <c r="A13310" t="s">
        <v>44930</v>
      </c>
      <c r="B13310" t="s">
        <v>367</v>
      </c>
      <c r="C13310" t="s">
        <v>14563</v>
      </c>
      <c r="D13310" t="s">
        <v>44931</v>
      </c>
      <c r="E13310" t="b">
        <v>0</v>
      </c>
      <c r="F13310" t="s">
        <v>11610</v>
      </c>
      <c r="L13310">
        <v>0</v>
      </c>
      <c r="M13310">
        <v>0</v>
      </c>
      <c r="N13310">
        <v>0</v>
      </c>
    </row>
    <row r="13311" spans="1:15">
      <c r="A13311" t="s">
        <v>24839</v>
      </c>
      <c r="B13311" t="s">
        <v>11607</v>
      </c>
      <c r="C13311" t="s">
        <v>44932</v>
      </c>
      <c r="D13311" t="s">
        <v>44933</v>
      </c>
      <c r="E13311" t="b">
        <v>0</v>
      </c>
      <c r="F13311" t="s">
        <v>11624</v>
      </c>
      <c r="G13311">
        <v>10.567</v>
      </c>
      <c r="H13311">
        <v>14.0314</v>
      </c>
      <c r="I13311" t="s">
        <v>44934</v>
      </c>
      <c r="L13311">
        <v>0</v>
      </c>
      <c r="M13311">
        <v>0</v>
      </c>
      <c r="N13311">
        <v>6</v>
      </c>
      <c r="O13311" t="s">
        <v>11703</v>
      </c>
    </row>
    <row r="13312" spans="1:15">
      <c r="A13312" t="s">
        <v>44137</v>
      </c>
      <c r="B13312" t="s">
        <v>11607</v>
      </c>
      <c r="C13312" t="s">
        <v>20462</v>
      </c>
      <c r="D13312" t="s">
        <v>44935</v>
      </c>
      <c r="E13312" t="b">
        <v>0</v>
      </c>
      <c r="F13312" t="s">
        <v>11622</v>
      </c>
      <c r="L13312">
        <v>3</v>
      </c>
      <c r="M13312">
        <v>9</v>
      </c>
      <c r="N13312">
        <v>13</v>
      </c>
    </row>
    <row r="13313" spans="1:15">
      <c r="A13313" t="s">
        <v>44932</v>
      </c>
      <c r="B13313" t="s">
        <v>11607</v>
      </c>
      <c r="C13313" t="s">
        <v>44137</v>
      </c>
      <c r="D13313" t="s">
        <v>44936</v>
      </c>
      <c r="E13313" t="b">
        <v>0</v>
      </c>
      <c r="F13313" t="s">
        <v>11622</v>
      </c>
      <c r="L13313">
        <v>0</v>
      </c>
      <c r="M13313">
        <v>2</v>
      </c>
      <c r="N13313">
        <v>8</v>
      </c>
    </row>
    <row r="13314" spans="1:15">
      <c r="A13314" t="s">
        <v>44937</v>
      </c>
      <c r="B13314" t="s">
        <v>11981</v>
      </c>
      <c r="C13314" t="s">
        <v>11982</v>
      </c>
      <c r="D13314" t="s">
        <v>44938</v>
      </c>
      <c r="E13314" t="b">
        <v>0</v>
      </c>
      <c r="F13314" t="s">
        <v>11624</v>
      </c>
      <c r="G13314">
        <v>11</v>
      </c>
      <c r="H13314">
        <v>14.5</v>
      </c>
      <c r="L13314">
        <v>0</v>
      </c>
      <c r="M13314">
        <v>0</v>
      </c>
      <c r="N13314">
        <v>0</v>
      </c>
      <c r="O13314" t="s">
        <v>11703</v>
      </c>
    </row>
    <row r="13315" spans="1:15">
      <c r="A13315" t="s">
        <v>44939</v>
      </c>
      <c r="B13315" t="s">
        <v>6742</v>
      </c>
      <c r="C13315" t="s">
        <v>14829</v>
      </c>
      <c r="D13315" t="s">
        <v>44940</v>
      </c>
      <c r="E13315" t="b">
        <v>0</v>
      </c>
      <c r="F13315" t="s">
        <v>11610</v>
      </c>
      <c r="L13315">
        <v>0</v>
      </c>
      <c r="M13315">
        <v>0</v>
      </c>
      <c r="N13315">
        <v>0</v>
      </c>
    </row>
    <row r="13316" spans="1:15">
      <c r="A13316" t="s">
        <v>44941</v>
      </c>
      <c r="B13316" t="s">
        <v>6742</v>
      </c>
      <c r="C13316" t="s">
        <v>14832</v>
      </c>
      <c r="D13316" t="s">
        <v>44942</v>
      </c>
      <c r="E13316" t="b">
        <v>0</v>
      </c>
      <c r="F13316" t="s">
        <v>11610</v>
      </c>
      <c r="L13316">
        <v>0</v>
      </c>
      <c r="M13316">
        <v>0</v>
      </c>
      <c r="N13316">
        <v>0</v>
      </c>
    </row>
    <row r="13317" spans="1:15">
      <c r="A13317" t="s">
        <v>44943</v>
      </c>
      <c r="B13317" t="s">
        <v>26637</v>
      </c>
      <c r="C13317" t="s">
        <v>26636</v>
      </c>
      <c r="D13317" t="s">
        <v>44944</v>
      </c>
      <c r="E13317" t="b">
        <v>0</v>
      </c>
      <c r="F13317" t="s">
        <v>11610</v>
      </c>
      <c r="L13317">
        <v>0</v>
      </c>
      <c r="M13317">
        <v>0</v>
      </c>
      <c r="N13317">
        <v>0</v>
      </c>
    </row>
    <row r="13318" spans="1:15">
      <c r="A13318" t="s">
        <v>44945</v>
      </c>
      <c r="B13318" t="s">
        <v>4342</v>
      </c>
      <c r="C13318" t="s">
        <v>12598</v>
      </c>
      <c r="D13318" t="s">
        <v>44946</v>
      </c>
      <c r="E13318" t="b">
        <v>0</v>
      </c>
      <c r="F13318" t="s">
        <v>11610</v>
      </c>
      <c r="L13318">
        <v>0</v>
      </c>
      <c r="M13318">
        <v>0</v>
      </c>
      <c r="N13318">
        <v>0</v>
      </c>
    </row>
    <row r="13319" spans="1:15">
      <c r="A13319" t="s">
        <v>35136</v>
      </c>
      <c r="B13319" t="s">
        <v>12250</v>
      </c>
      <c r="C13319" t="s">
        <v>12250</v>
      </c>
      <c r="D13319" t="s">
        <v>44947</v>
      </c>
      <c r="E13319" t="b">
        <v>0</v>
      </c>
      <c r="F13319" t="s">
        <v>11624</v>
      </c>
      <c r="G13319">
        <v>34.250399999999999</v>
      </c>
      <c r="H13319">
        <v>62.280200000000001</v>
      </c>
      <c r="I13319" t="s">
        <v>44948</v>
      </c>
      <c r="L13319">
        <v>0</v>
      </c>
      <c r="M13319">
        <v>0</v>
      </c>
      <c r="N13319">
        <v>2</v>
      </c>
      <c r="O13319" t="s">
        <v>12131</v>
      </c>
    </row>
    <row r="13320" spans="1:15">
      <c r="A13320" t="s">
        <v>44949</v>
      </c>
      <c r="B13320" t="s">
        <v>6742</v>
      </c>
      <c r="C13320" t="s">
        <v>44053</v>
      </c>
      <c r="D13320" t="s">
        <v>44950</v>
      </c>
      <c r="E13320" t="b">
        <v>0</v>
      </c>
      <c r="F13320" t="s">
        <v>11610</v>
      </c>
      <c r="L13320">
        <v>0</v>
      </c>
      <c r="M13320">
        <v>0</v>
      </c>
      <c r="N13320">
        <v>0</v>
      </c>
    </row>
    <row r="13321" spans="1:15">
      <c r="A13321" t="s">
        <v>44951</v>
      </c>
      <c r="B13321" t="s">
        <v>331</v>
      </c>
      <c r="C13321" t="s">
        <v>37923</v>
      </c>
      <c r="D13321" t="s">
        <v>44952</v>
      </c>
      <c r="E13321" t="b">
        <v>0</v>
      </c>
      <c r="F13321" t="s">
        <v>11610</v>
      </c>
      <c r="L13321">
        <v>0</v>
      </c>
      <c r="M13321">
        <v>0</v>
      </c>
      <c r="N13321">
        <v>0</v>
      </c>
    </row>
    <row r="13322" spans="1:15">
      <c r="A13322" t="s">
        <v>36916</v>
      </c>
      <c r="B13322" t="s">
        <v>11607</v>
      </c>
      <c r="C13322" t="s">
        <v>18763</v>
      </c>
      <c r="D13322" t="s">
        <v>44953</v>
      </c>
      <c r="E13322" t="b">
        <v>0</v>
      </c>
      <c r="F13322" t="s">
        <v>11624</v>
      </c>
      <c r="G13322">
        <v>11.5199</v>
      </c>
      <c r="H13322">
        <v>18.6082</v>
      </c>
      <c r="I13322" t="s">
        <v>44954</v>
      </c>
      <c r="L13322">
        <v>0</v>
      </c>
      <c r="M13322">
        <v>0</v>
      </c>
      <c r="N13322">
        <v>4</v>
      </c>
      <c r="O13322" t="s">
        <v>13421</v>
      </c>
    </row>
    <row r="13323" spans="1:15">
      <c r="A13323" t="s">
        <v>44955</v>
      </c>
      <c r="B13323" t="s">
        <v>11607</v>
      </c>
      <c r="C13323" t="s">
        <v>36916</v>
      </c>
      <c r="D13323" t="s">
        <v>44956</v>
      </c>
      <c r="E13323" t="b">
        <v>0</v>
      </c>
      <c r="F13323" t="s">
        <v>11610</v>
      </c>
      <c r="L13323">
        <v>0</v>
      </c>
      <c r="M13323">
        <v>0</v>
      </c>
      <c r="N13323">
        <v>0</v>
      </c>
    </row>
    <row r="13324" spans="1:15">
      <c r="A13324" t="s">
        <v>44957</v>
      </c>
      <c r="B13324" t="s">
        <v>11607</v>
      </c>
      <c r="C13324" t="s">
        <v>36916</v>
      </c>
      <c r="D13324" t="s">
        <v>44958</v>
      </c>
      <c r="E13324" t="b">
        <v>0</v>
      </c>
      <c r="F13324" t="s">
        <v>11610</v>
      </c>
      <c r="L13324">
        <v>0</v>
      </c>
      <c r="M13324">
        <v>0</v>
      </c>
      <c r="N13324">
        <v>0</v>
      </c>
    </row>
    <row r="13325" spans="1:15">
      <c r="A13325" t="s">
        <v>44959</v>
      </c>
      <c r="B13325" t="s">
        <v>11607</v>
      </c>
      <c r="C13325" t="s">
        <v>36916</v>
      </c>
      <c r="D13325" t="s">
        <v>44960</v>
      </c>
      <c r="E13325" t="b">
        <v>0</v>
      </c>
      <c r="F13325" t="s">
        <v>11610</v>
      </c>
      <c r="L13325">
        <v>0</v>
      </c>
      <c r="M13325">
        <v>0</v>
      </c>
      <c r="N13325">
        <v>0</v>
      </c>
    </row>
    <row r="13326" spans="1:15">
      <c r="A13326" t="s">
        <v>11340</v>
      </c>
      <c r="B13326" t="s">
        <v>23233</v>
      </c>
      <c r="C13326" t="s">
        <v>43035</v>
      </c>
      <c r="D13326" t="s">
        <v>44961</v>
      </c>
      <c r="E13326" t="b">
        <v>0</v>
      </c>
      <c r="F13326" t="s">
        <v>11624</v>
      </c>
      <c r="G13326">
        <v>34.886600000000001</v>
      </c>
      <c r="H13326">
        <v>-114.599</v>
      </c>
      <c r="I13326" t="s">
        <v>11341</v>
      </c>
      <c r="L13326">
        <v>0</v>
      </c>
      <c r="M13326">
        <v>0</v>
      </c>
      <c r="N13326">
        <v>0</v>
      </c>
      <c r="O13326" t="s">
        <v>11944</v>
      </c>
    </row>
    <row r="13327" spans="1:15">
      <c r="A13327" t="s">
        <v>44962</v>
      </c>
      <c r="B13327" t="s">
        <v>300</v>
      </c>
      <c r="C13327" t="s">
        <v>21267</v>
      </c>
      <c r="D13327" t="s">
        <v>44963</v>
      </c>
      <c r="E13327" t="b">
        <v>0</v>
      </c>
      <c r="F13327" t="s">
        <v>11622</v>
      </c>
      <c r="L13327">
        <v>0</v>
      </c>
      <c r="M13327">
        <v>2</v>
      </c>
      <c r="N13327">
        <v>0</v>
      </c>
    </row>
    <row r="13328" spans="1:15">
      <c r="A13328" t="s">
        <v>44964</v>
      </c>
      <c r="B13328" t="s">
        <v>300</v>
      </c>
      <c r="C13328" t="s">
        <v>44962</v>
      </c>
      <c r="D13328" t="s">
        <v>44965</v>
      </c>
      <c r="E13328" t="b">
        <v>0</v>
      </c>
      <c r="F13328" t="s">
        <v>11624</v>
      </c>
      <c r="G13328">
        <v>43.72</v>
      </c>
      <c r="H13328">
        <v>-74.668360000000007</v>
      </c>
      <c r="I13328" t="s">
        <v>44966</v>
      </c>
      <c r="L13328">
        <v>0</v>
      </c>
      <c r="M13328">
        <v>0</v>
      </c>
      <c r="N13328">
        <v>0</v>
      </c>
      <c r="O13328" t="s">
        <v>14875</v>
      </c>
    </row>
    <row r="13329" spans="1:15">
      <c r="A13329" t="s">
        <v>44967</v>
      </c>
      <c r="B13329" t="s">
        <v>12979</v>
      </c>
      <c r="C13329" t="s">
        <v>40830</v>
      </c>
      <c r="D13329" t="s">
        <v>44968</v>
      </c>
      <c r="E13329" t="b">
        <v>0</v>
      </c>
      <c r="F13329" t="s">
        <v>11624</v>
      </c>
      <c r="G13329">
        <v>41.8581</v>
      </c>
      <c r="H13329">
        <v>-72.170100000000005</v>
      </c>
      <c r="I13329" t="s">
        <v>44969</v>
      </c>
      <c r="L13329">
        <v>0</v>
      </c>
      <c r="M13329">
        <v>0</v>
      </c>
      <c r="N13329">
        <v>4</v>
      </c>
      <c r="O13329" t="s">
        <v>11944</v>
      </c>
    </row>
    <row r="13330" spans="1:15">
      <c r="A13330" t="s">
        <v>44970</v>
      </c>
      <c r="B13330" t="s">
        <v>11637</v>
      </c>
      <c r="C13330" t="s">
        <v>12222</v>
      </c>
      <c r="D13330" t="s">
        <v>44971</v>
      </c>
      <c r="E13330" t="b">
        <v>0</v>
      </c>
      <c r="F13330" t="s">
        <v>11610</v>
      </c>
      <c r="L13330">
        <v>0</v>
      </c>
      <c r="M13330">
        <v>0</v>
      </c>
      <c r="N13330">
        <v>0</v>
      </c>
    </row>
    <row r="13331" spans="1:15">
      <c r="A13331" t="s">
        <v>44972</v>
      </c>
      <c r="B13331" t="s">
        <v>11637</v>
      </c>
      <c r="C13331" t="s">
        <v>15719</v>
      </c>
      <c r="D13331" t="s">
        <v>44973</v>
      </c>
      <c r="E13331" t="b">
        <v>0</v>
      </c>
      <c r="F13331" t="s">
        <v>11610</v>
      </c>
      <c r="L13331">
        <v>0</v>
      </c>
      <c r="M13331">
        <v>0</v>
      </c>
      <c r="N13331">
        <v>0</v>
      </c>
    </row>
    <row r="13332" spans="1:15">
      <c r="A13332" t="s">
        <v>44974</v>
      </c>
      <c r="B13332" t="s">
        <v>11644</v>
      </c>
      <c r="C13332" t="s">
        <v>13896</v>
      </c>
      <c r="D13332" t="s">
        <v>44975</v>
      </c>
      <c r="E13332" t="b">
        <v>0</v>
      </c>
      <c r="F13332" t="s">
        <v>11610</v>
      </c>
      <c r="L13332">
        <v>0</v>
      </c>
      <c r="M13332">
        <v>0</v>
      </c>
      <c r="N13332">
        <v>0</v>
      </c>
    </row>
    <row r="13333" spans="1:15">
      <c r="A13333" t="s">
        <v>44976</v>
      </c>
      <c r="B13333" t="s">
        <v>27929</v>
      </c>
      <c r="C13333" t="s">
        <v>44977</v>
      </c>
      <c r="D13333" t="s">
        <v>44978</v>
      </c>
      <c r="E13333" t="b">
        <v>0</v>
      </c>
      <c r="F13333" t="s">
        <v>11610</v>
      </c>
      <c r="L13333">
        <v>0</v>
      </c>
      <c r="M13333">
        <v>0</v>
      </c>
      <c r="N13333">
        <v>0</v>
      </c>
    </row>
    <row r="13334" spans="1:15">
      <c r="A13334" t="s">
        <v>44979</v>
      </c>
      <c r="B13334" t="s">
        <v>6742</v>
      </c>
      <c r="C13334" t="s">
        <v>16334</v>
      </c>
      <c r="D13334" t="s">
        <v>44980</v>
      </c>
      <c r="E13334" t="b">
        <v>0</v>
      </c>
      <c r="F13334" t="s">
        <v>11624</v>
      </c>
      <c r="G13334">
        <v>-1.7241299999999999</v>
      </c>
      <c r="H13334">
        <v>16.4556</v>
      </c>
      <c r="I13334" t="s">
        <v>44981</v>
      </c>
      <c r="L13334">
        <v>0</v>
      </c>
      <c r="M13334">
        <v>0</v>
      </c>
      <c r="N13334">
        <v>0</v>
      </c>
      <c r="O13334" t="s">
        <v>16337</v>
      </c>
    </row>
    <row r="13335" spans="1:15">
      <c r="A13335" t="s">
        <v>44977</v>
      </c>
      <c r="B13335" t="s">
        <v>27929</v>
      </c>
      <c r="C13335" t="s">
        <v>44982</v>
      </c>
      <c r="D13335" t="s">
        <v>44983</v>
      </c>
      <c r="E13335" t="b">
        <v>0</v>
      </c>
      <c r="F13335" t="s">
        <v>11624</v>
      </c>
      <c r="G13335">
        <v>-0.96531999999999996</v>
      </c>
      <c r="H13335">
        <v>131.52000000000001</v>
      </c>
      <c r="I13335" t="s">
        <v>44984</v>
      </c>
      <c r="L13335">
        <v>0</v>
      </c>
      <c r="M13335">
        <v>0</v>
      </c>
      <c r="N13335">
        <v>2</v>
      </c>
      <c r="O13335" t="s">
        <v>11768</v>
      </c>
    </row>
    <row r="13336" spans="1:15">
      <c r="A13336" t="s">
        <v>44985</v>
      </c>
      <c r="B13336" t="s">
        <v>12438</v>
      </c>
      <c r="C13336" t="s">
        <v>14105</v>
      </c>
      <c r="D13336" t="s">
        <v>44986</v>
      </c>
      <c r="E13336" t="b">
        <v>0</v>
      </c>
      <c r="F13336" t="s">
        <v>11610</v>
      </c>
      <c r="L13336">
        <v>0</v>
      </c>
      <c r="M13336">
        <v>0</v>
      </c>
      <c r="N13336">
        <v>0</v>
      </c>
    </row>
    <row r="13337" spans="1:15">
      <c r="A13337" t="s">
        <v>44987</v>
      </c>
      <c r="B13337" t="s">
        <v>12067</v>
      </c>
      <c r="C13337" t="s">
        <v>12068</v>
      </c>
      <c r="D13337" t="s">
        <v>44988</v>
      </c>
      <c r="E13337" t="b">
        <v>0</v>
      </c>
      <c r="F13337" t="s">
        <v>11610</v>
      </c>
      <c r="L13337">
        <v>0</v>
      </c>
      <c r="M13337">
        <v>0</v>
      </c>
      <c r="N13337">
        <v>0</v>
      </c>
    </row>
    <row r="13338" spans="1:15">
      <c r="A13338" t="s">
        <v>44989</v>
      </c>
      <c r="B13338" t="s">
        <v>13769</v>
      </c>
      <c r="C13338" t="s">
        <v>13770</v>
      </c>
      <c r="D13338" t="s">
        <v>44990</v>
      </c>
      <c r="E13338" t="b">
        <v>0</v>
      </c>
      <c r="F13338" t="s">
        <v>11624</v>
      </c>
      <c r="G13338">
        <v>-9.6023200000000006</v>
      </c>
      <c r="H13338">
        <v>148.31200000000001</v>
      </c>
      <c r="I13338" t="s">
        <v>44991</v>
      </c>
      <c r="L13338">
        <v>0</v>
      </c>
      <c r="M13338">
        <v>0</v>
      </c>
      <c r="N13338">
        <v>0</v>
      </c>
      <c r="O13338" t="s">
        <v>11660</v>
      </c>
    </row>
    <row r="13339" spans="1:15">
      <c r="A13339" t="s">
        <v>44992</v>
      </c>
      <c r="B13339" t="s">
        <v>6742</v>
      </c>
      <c r="C13339" t="s">
        <v>17280</v>
      </c>
      <c r="D13339" t="s">
        <v>44993</v>
      </c>
      <c r="E13339" t="b">
        <v>0</v>
      </c>
      <c r="F13339" t="s">
        <v>11624</v>
      </c>
      <c r="G13339">
        <v>1.2061500000000001</v>
      </c>
      <c r="H13339">
        <v>23.503499999999999</v>
      </c>
      <c r="I13339" t="s">
        <v>44994</v>
      </c>
      <c r="L13339">
        <v>0</v>
      </c>
      <c r="M13339">
        <v>0</v>
      </c>
      <c r="N13339">
        <v>0</v>
      </c>
      <c r="O13339" t="s">
        <v>14825</v>
      </c>
    </row>
    <row r="13340" spans="1:15">
      <c r="A13340" t="s">
        <v>44995</v>
      </c>
      <c r="B13340" t="s">
        <v>11627</v>
      </c>
      <c r="C13340" t="s">
        <v>11627</v>
      </c>
      <c r="D13340" t="s">
        <v>44996</v>
      </c>
      <c r="E13340" t="b">
        <v>1</v>
      </c>
      <c r="F13340" t="s">
        <v>11624</v>
      </c>
      <c r="I13340" t="s">
        <v>44997</v>
      </c>
      <c r="L13340">
        <v>0</v>
      </c>
      <c r="M13340">
        <v>0</v>
      </c>
      <c r="N13340">
        <v>0</v>
      </c>
    </row>
    <row r="13341" spans="1:15">
      <c r="A13341" t="s">
        <v>44998</v>
      </c>
      <c r="B13341" t="s">
        <v>27929</v>
      </c>
      <c r="C13341" t="s">
        <v>44977</v>
      </c>
      <c r="D13341" t="s">
        <v>44999</v>
      </c>
      <c r="E13341" t="b">
        <v>0</v>
      </c>
      <c r="F13341" t="s">
        <v>11610</v>
      </c>
      <c r="L13341">
        <v>0</v>
      </c>
      <c r="M13341">
        <v>0</v>
      </c>
      <c r="N13341">
        <v>0</v>
      </c>
    </row>
    <row r="13342" spans="1:15">
      <c r="A13342" t="s">
        <v>45000</v>
      </c>
      <c r="B13342" t="s">
        <v>11757</v>
      </c>
      <c r="C13342" t="s">
        <v>216</v>
      </c>
      <c r="D13342" t="s">
        <v>45001</v>
      </c>
      <c r="E13342" t="b">
        <v>0</v>
      </c>
      <c r="F13342" t="s">
        <v>11610</v>
      </c>
      <c r="L13342">
        <v>0</v>
      </c>
      <c r="M13342">
        <v>0</v>
      </c>
      <c r="N13342">
        <v>0</v>
      </c>
    </row>
    <row r="13343" spans="1:15">
      <c r="A13343" t="s">
        <v>45002</v>
      </c>
      <c r="B13343" t="s">
        <v>11644</v>
      </c>
      <c r="C13343" t="s">
        <v>38957</v>
      </c>
      <c r="D13343" t="s">
        <v>45003</v>
      </c>
      <c r="E13343" t="b">
        <v>0</v>
      </c>
      <c r="F13343" t="s">
        <v>11624</v>
      </c>
      <c r="G13343">
        <v>23.2</v>
      </c>
      <c r="H13343">
        <v>104.15</v>
      </c>
      <c r="I13343" t="s">
        <v>45004</v>
      </c>
      <c r="L13343">
        <v>0</v>
      </c>
      <c r="M13343">
        <v>0</v>
      </c>
      <c r="N13343">
        <v>0</v>
      </c>
      <c r="O13343" t="s">
        <v>11905</v>
      </c>
    </row>
    <row r="13344" spans="1:15">
      <c r="A13344" t="s">
        <v>45005</v>
      </c>
      <c r="B13344" t="s">
        <v>367</v>
      </c>
      <c r="C13344" t="s">
        <v>40729</v>
      </c>
      <c r="D13344" t="s">
        <v>45006</v>
      </c>
      <c r="E13344" t="b">
        <v>0</v>
      </c>
      <c r="F13344" t="s">
        <v>11624</v>
      </c>
      <c r="G13344">
        <v>-2.0160200000000001</v>
      </c>
      <c r="H13344">
        <v>147.423</v>
      </c>
      <c r="I13344" t="s">
        <v>45007</v>
      </c>
      <c r="L13344">
        <v>0</v>
      </c>
      <c r="M13344">
        <v>0</v>
      </c>
      <c r="N13344">
        <v>0</v>
      </c>
      <c r="O13344" t="s">
        <v>11660</v>
      </c>
    </row>
    <row r="13345" spans="1:15">
      <c r="A13345" t="s">
        <v>45008</v>
      </c>
      <c r="B13345" t="s">
        <v>367</v>
      </c>
      <c r="C13345" t="s">
        <v>4363</v>
      </c>
      <c r="D13345" t="s">
        <v>45009</v>
      </c>
      <c r="E13345" t="b">
        <v>0</v>
      </c>
      <c r="F13345" t="s">
        <v>11622</v>
      </c>
      <c r="L13345">
        <v>0</v>
      </c>
      <c r="M13345">
        <v>2</v>
      </c>
      <c r="N13345">
        <v>3</v>
      </c>
    </row>
    <row r="13346" spans="1:15">
      <c r="A13346" t="s">
        <v>25571</v>
      </c>
      <c r="B13346" t="s">
        <v>367</v>
      </c>
      <c r="C13346" t="s">
        <v>45008</v>
      </c>
      <c r="D13346" t="s">
        <v>45010</v>
      </c>
      <c r="E13346" t="b">
        <v>0</v>
      </c>
      <c r="F13346" t="s">
        <v>11624</v>
      </c>
      <c r="G13346">
        <v>10.147399999999999</v>
      </c>
      <c r="H13346">
        <v>98.676500000000004</v>
      </c>
      <c r="I13346" t="s">
        <v>45011</v>
      </c>
      <c r="L13346">
        <v>0</v>
      </c>
      <c r="M13346">
        <v>0</v>
      </c>
      <c r="N13346">
        <v>3</v>
      </c>
      <c r="O13346" t="s">
        <v>20757</v>
      </c>
    </row>
    <row r="13347" spans="1:15">
      <c r="A13347" t="s">
        <v>45012</v>
      </c>
      <c r="B13347" t="s">
        <v>367</v>
      </c>
      <c r="C13347" t="s">
        <v>45013</v>
      </c>
      <c r="D13347" t="s">
        <v>45014</v>
      </c>
      <c r="E13347" t="b">
        <v>0</v>
      </c>
      <c r="F13347" t="s">
        <v>11624</v>
      </c>
      <c r="G13347">
        <v>6.6565099999999999</v>
      </c>
      <c r="H13347">
        <v>159.77600000000001</v>
      </c>
      <c r="I13347" t="s">
        <v>45015</v>
      </c>
      <c r="L13347">
        <v>0</v>
      </c>
      <c r="M13347">
        <v>0</v>
      </c>
      <c r="N13347">
        <v>0</v>
      </c>
      <c r="O13347" t="s">
        <v>22994</v>
      </c>
    </row>
    <row r="13348" spans="1:15">
      <c r="A13348" t="s">
        <v>45016</v>
      </c>
      <c r="B13348" t="s">
        <v>11607</v>
      </c>
      <c r="C13348" t="s">
        <v>25157</v>
      </c>
      <c r="D13348" t="s">
        <v>45017</v>
      </c>
      <c r="E13348" t="b">
        <v>0</v>
      </c>
      <c r="F13348" t="s">
        <v>11610</v>
      </c>
      <c r="L13348">
        <v>0</v>
      </c>
      <c r="M13348">
        <v>0</v>
      </c>
      <c r="N13348">
        <v>0</v>
      </c>
    </row>
    <row r="13349" spans="1:15">
      <c r="A13349" t="s">
        <v>19461</v>
      </c>
      <c r="B13349" t="s">
        <v>6742</v>
      </c>
      <c r="C13349" t="s">
        <v>19363</v>
      </c>
      <c r="D13349" t="s">
        <v>45018</v>
      </c>
      <c r="E13349" t="b">
        <v>0</v>
      </c>
      <c r="F13349" t="s">
        <v>11622</v>
      </c>
      <c r="L13349">
        <v>0</v>
      </c>
      <c r="M13349">
        <v>2</v>
      </c>
      <c r="N13349">
        <v>2</v>
      </c>
    </row>
    <row r="13350" spans="1:15">
      <c r="A13350" t="s">
        <v>45019</v>
      </c>
      <c r="B13350" t="s">
        <v>11637</v>
      </c>
      <c r="C13350" t="s">
        <v>19566</v>
      </c>
      <c r="D13350" t="s">
        <v>45020</v>
      </c>
      <c r="E13350" t="b">
        <v>0</v>
      </c>
      <c r="F13350" t="s">
        <v>11610</v>
      </c>
      <c r="L13350">
        <v>0</v>
      </c>
      <c r="M13350">
        <v>0</v>
      </c>
      <c r="N13350">
        <v>0</v>
      </c>
    </row>
    <row r="13351" spans="1:15">
      <c r="A13351" t="s">
        <v>45021</v>
      </c>
      <c r="B13351" t="s">
        <v>12438</v>
      </c>
      <c r="C13351" t="s">
        <v>31782</v>
      </c>
      <c r="D13351" t="s">
        <v>45022</v>
      </c>
      <c r="E13351" t="b">
        <v>0</v>
      </c>
      <c r="F13351" t="s">
        <v>11624</v>
      </c>
      <c r="G13351">
        <v>18.9117</v>
      </c>
      <c r="H13351">
        <v>99.582099999999997</v>
      </c>
      <c r="I13351" t="s">
        <v>45023</v>
      </c>
      <c r="L13351">
        <v>0</v>
      </c>
      <c r="M13351">
        <v>0</v>
      </c>
      <c r="N13351">
        <v>0</v>
      </c>
      <c r="O13351" t="s">
        <v>16739</v>
      </c>
    </row>
    <row r="13352" spans="1:15">
      <c r="A13352" t="s">
        <v>45024</v>
      </c>
      <c r="B13352" t="s">
        <v>367</v>
      </c>
      <c r="C13352" t="s">
        <v>45008</v>
      </c>
      <c r="D13352" t="s">
        <v>45025</v>
      </c>
      <c r="E13352" t="b">
        <v>0</v>
      </c>
      <c r="F13352" t="s">
        <v>11624</v>
      </c>
      <c r="G13352">
        <v>8.1676099999999998</v>
      </c>
      <c r="H13352">
        <v>98.317599999999999</v>
      </c>
      <c r="I13352" t="s">
        <v>45026</v>
      </c>
      <c r="L13352">
        <v>0</v>
      </c>
      <c r="M13352">
        <v>0</v>
      </c>
      <c r="N13352">
        <v>0</v>
      </c>
      <c r="O13352" t="s">
        <v>16739</v>
      </c>
    </row>
    <row r="13353" spans="1:15">
      <c r="A13353" t="s">
        <v>45027</v>
      </c>
      <c r="B13353" t="s">
        <v>6742</v>
      </c>
      <c r="C13353" t="s">
        <v>26535</v>
      </c>
      <c r="D13353" t="s">
        <v>45028</v>
      </c>
      <c r="E13353" t="b">
        <v>0</v>
      </c>
      <c r="F13353" t="s">
        <v>11624</v>
      </c>
      <c r="G13353">
        <v>11.043799999999999</v>
      </c>
      <c r="H13353">
        <v>3.0599799999999999</v>
      </c>
      <c r="I13353" t="s">
        <v>45029</v>
      </c>
      <c r="L13353">
        <v>0</v>
      </c>
      <c r="M13353">
        <v>0</v>
      </c>
      <c r="N13353">
        <v>0</v>
      </c>
      <c r="O13353" t="s">
        <v>15477</v>
      </c>
    </row>
    <row r="13354" spans="1:15">
      <c r="A13354" t="s">
        <v>40729</v>
      </c>
      <c r="B13354" t="s">
        <v>367</v>
      </c>
      <c r="C13354" t="s">
        <v>7798</v>
      </c>
      <c r="D13354" t="s">
        <v>45030</v>
      </c>
      <c r="E13354" t="b">
        <v>0</v>
      </c>
      <c r="F13354" t="s">
        <v>11622</v>
      </c>
      <c r="L13354">
        <v>0</v>
      </c>
      <c r="M13354">
        <v>2</v>
      </c>
      <c r="N13354">
        <v>0</v>
      </c>
    </row>
    <row r="13355" spans="1:15">
      <c r="A13355" t="s">
        <v>45031</v>
      </c>
      <c r="B13355" t="s">
        <v>11607</v>
      </c>
      <c r="C13355" t="s">
        <v>24839</v>
      </c>
      <c r="D13355" t="s">
        <v>45032</v>
      </c>
      <c r="E13355" t="b">
        <v>0</v>
      </c>
      <c r="F13355" t="s">
        <v>11610</v>
      </c>
      <c r="L13355">
        <v>0</v>
      </c>
      <c r="M13355">
        <v>0</v>
      </c>
      <c r="N13355">
        <v>0</v>
      </c>
    </row>
    <row r="13356" spans="1:15">
      <c r="A13356" t="s">
        <v>45033</v>
      </c>
      <c r="B13356" t="s">
        <v>11607</v>
      </c>
      <c r="C13356" t="s">
        <v>21751</v>
      </c>
      <c r="D13356" t="s">
        <v>45034</v>
      </c>
      <c r="E13356" t="b">
        <v>0</v>
      </c>
      <c r="F13356" t="s">
        <v>11610</v>
      </c>
      <c r="L13356">
        <v>0</v>
      </c>
      <c r="M13356">
        <v>0</v>
      </c>
      <c r="N13356">
        <v>0</v>
      </c>
    </row>
    <row r="13357" spans="1:15">
      <c r="A13357" t="s">
        <v>45035</v>
      </c>
      <c r="B13357" t="s">
        <v>11607</v>
      </c>
      <c r="C13357" t="s">
        <v>21751</v>
      </c>
      <c r="D13357" t="s">
        <v>45036</v>
      </c>
      <c r="E13357" t="b">
        <v>0</v>
      </c>
      <c r="F13357" t="s">
        <v>11610</v>
      </c>
      <c r="L13357">
        <v>0</v>
      </c>
      <c r="M13357">
        <v>0</v>
      </c>
      <c r="N13357">
        <v>0</v>
      </c>
    </row>
    <row r="13358" spans="1:15">
      <c r="A13358" t="s">
        <v>45037</v>
      </c>
      <c r="B13358" t="s">
        <v>6742</v>
      </c>
      <c r="C13358" t="s">
        <v>44746</v>
      </c>
      <c r="D13358" t="s">
        <v>45038</v>
      </c>
      <c r="E13358" t="b">
        <v>0</v>
      </c>
      <c r="F13358" t="s">
        <v>11624</v>
      </c>
      <c r="L13358">
        <v>0</v>
      </c>
      <c r="M13358">
        <v>0</v>
      </c>
      <c r="N13358">
        <v>0</v>
      </c>
      <c r="O13358" t="s">
        <v>14825</v>
      </c>
    </row>
    <row r="13359" spans="1:15">
      <c r="A13359" t="s">
        <v>45039</v>
      </c>
      <c r="B13359" t="s">
        <v>6742</v>
      </c>
      <c r="C13359" t="s">
        <v>37762</v>
      </c>
      <c r="D13359" t="s">
        <v>45040</v>
      </c>
      <c r="E13359" t="b">
        <v>0</v>
      </c>
      <c r="F13359" t="s">
        <v>11624</v>
      </c>
      <c r="G13359">
        <v>4.2417800000000003</v>
      </c>
      <c r="H13359">
        <v>9.2388700000000004</v>
      </c>
      <c r="I13359" t="s">
        <v>45041</v>
      </c>
      <c r="L13359">
        <v>0</v>
      </c>
      <c r="M13359">
        <v>0</v>
      </c>
      <c r="N13359">
        <v>0</v>
      </c>
      <c r="O13359" t="s">
        <v>11703</v>
      </c>
    </row>
    <row r="13360" spans="1:15">
      <c r="A13360" t="s">
        <v>1449</v>
      </c>
      <c r="B13360" t="s">
        <v>12260</v>
      </c>
      <c r="C13360" t="s">
        <v>1451</v>
      </c>
      <c r="D13360" t="s">
        <v>45042</v>
      </c>
      <c r="E13360" t="b">
        <v>0</v>
      </c>
      <c r="F13360" t="s">
        <v>11624</v>
      </c>
      <c r="G13360">
        <v>54.185499999999998</v>
      </c>
      <c r="H13360">
        <v>42.672800000000002</v>
      </c>
      <c r="I13360" t="s">
        <v>1452</v>
      </c>
      <c r="L13360">
        <v>0</v>
      </c>
      <c r="M13360">
        <v>0</v>
      </c>
      <c r="N13360">
        <v>0</v>
      </c>
      <c r="O13360" t="s">
        <v>12748</v>
      </c>
    </row>
    <row r="13361" spans="1:15">
      <c r="A13361" t="s">
        <v>45043</v>
      </c>
      <c r="B13361" t="s">
        <v>12241</v>
      </c>
      <c r="C13361" t="s">
        <v>12241</v>
      </c>
      <c r="D13361" t="s">
        <v>45044</v>
      </c>
      <c r="E13361" t="b">
        <v>0</v>
      </c>
      <c r="F13361" t="s">
        <v>11624</v>
      </c>
      <c r="G13361">
        <v>-3.0979999999999999</v>
      </c>
      <c r="H13361">
        <v>128.654</v>
      </c>
      <c r="I13361" t="s">
        <v>45045</v>
      </c>
      <c r="L13361">
        <v>0</v>
      </c>
      <c r="M13361">
        <v>0</v>
      </c>
      <c r="N13361">
        <v>0</v>
      </c>
      <c r="O13361" t="s">
        <v>11768</v>
      </c>
    </row>
    <row r="13362" spans="1:15">
      <c r="A13362" t="s">
        <v>45046</v>
      </c>
      <c r="D13362" t="s">
        <v>45047</v>
      </c>
      <c r="E13362" t="b">
        <v>0</v>
      </c>
      <c r="F13362" t="s">
        <v>11624</v>
      </c>
      <c r="G13362">
        <v>44.555999999999997</v>
      </c>
      <c r="H13362">
        <v>-122.857</v>
      </c>
      <c r="I13362" t="s">
        <v>45048</v>
      </c>
      <c r="L13362">
        <v>0</v>
      </c>
      <c r="M13362">
        <v>0</v>
      </c>
      <c r="N13362">
        <v>0</v>
      </c>
      <c r="O13362" t="s">
        <v>11944</v>
      </c>
    </row>
    <row r="13363" spans="1:15">
      <c r="A13363" t="s">
        <v>45049</v>
      </c>
      <c r="B13363" t="s">
        <v>367</v>
      </c>
      <c r="C13363" t="s">
        <v>45050</v>
      </c>
      <c r="D13363" t="s">
        <v>45051</v>
      </c>
      <c r="E13363" t="b">
        <v>0</v>
      </c>
      <c r="F13363" t="s">
        <v>11624</v>
      </c>
      <c r="G13363">
        <v>7.9566629999999998</v>
      </c>
      <c r="H13363">
        <v>117.030502</v>
      </c>
      <c r="I13363" t="s">
        <v>45052</v>
      </c>
      <c r="L13363">
        <v>0</v>
      </c>
      <c r="M13363">
        <v>0</v>
      </c>
      <c r="N13363">
        <v>0</v>
      </c>
      <c r="O13363" t="s">
        <v>16232</v>
      </c>
    </row>
    <row r="13364" spans="1:15">
      <c r="A13364" t="s">
        <v>45050</v>
      </c>
      <c r="B13364" t="s">
        <v>367</v>
      </c>
      <c r="C13364" t="s">
        <v>45053</v>
      </c>
      <c r="D13364" t="s">
        <v>45054</v>
      </c>
      <c r="E13364" t="b">
        <v>0</v>
      </c>
      <c r="F13364" t="s">
        <v>11622</v>
      </c>
      <c r="L13364">
        <v>2</v>
      </c>
      <c r="M13364">
        <v>4</v>
      </c>
      <c r="N13364">
        <v>1</v>
      </c>
    </row>
    <row r="13365" spans="1:15">
      <c r="A13365" t="s">
        <v>45055</v>
      </c>
      <c r="B13365" t="s">
        <v>11981</v>
      </c>
      <c r="C13365" t="s">
        <v>29056</v>
      </c>
      <c r="D13365" t="s">
        <v>45056</v>
      </c>
      <c r="E13365" t="b">
        <v>0</v>
      </c>
      <c r="F13365" t="s">
        <v>11624</v>
      </c>
      <c r="G13365">
        <v>47.106999999999999</v>
      </c>
      <c r="H13365">
        <v>28.693999999999999</v>
      </c>
      <c r="I13365" t="s">
        <v>45057</v>
      </c>
      <c r="L13365">
        <v>0</v>
      </c>
      <c r="M13365">
        <v>0</v>
      </c>
      <c r="N13365">
        <v>0</v>
      </c>
      <c r="O13365" t="s">
        <v>29624</v>
      </c>
    </row>
    <row r="13366" spans="1:15">
      <c r="A13366" t="s">
        <v>45058</v>
      </c>
      <c r="B13366" t="s">
        <v>11637</v>
      </c>
      <c r="C13366" t="s">
        <v>2995</v>
      </c>
      <c r="D13366" t="s">
        <v>45059</v>
      </c>
      <c r="E13366" t="b">
        <v>0</v>
      </c>
      <c r="F13366" t="s">
        <v>11610</v>
      </c>
      <c r="I13366" t="s">
        <v>45060</v>
      </c>
      <c r="L13366">
        <v>0</v>
      </c>
      <c r="M13366">
        <v>0</v>
      </c>
      <c r="N13366">
        <v>0</v>
      </c>
    </row>
    <row r="13367" spans="1:15">
      <c r="A13367" t="s">
        <v>45061</v>
      </c>
      <c r="B13367" t="s">
        <v>6742</v>
      </c>
      <c r="C13367" t="s">
        <v>45062</v>
      </c>
      <c r="D13367" t="s">
        <v>45063</v>
      </c>
      <c r="E13367" t="b">
        <v>0</v>
      </c>
      <c r="F13367" t="s">
        <v>11624</v>
      </c>
      <c r="G13367">
        <v>1.3717999999999999</v>
      </c>
      <c r="H13367">
        <v>9.6128900000000002</v>
      </c>
      <c r="I13367" t="s">
        <v>45064</v>
      </c>
      <c r="L13367">
        <v>0</v>
      </c>
      <c r="M13367">
        <v>0</v>
      </c>
      <c r="N13367">
        <v>0</v>
      </c>
      <c r="O13367" t="s">
        <v>19979</v>
      </c>
    </row>
    <row r="13368" spans="1:15">
      <c r="A13368" t="s">
        <v>45065</v>
      </c>
      <c r="B13368" t="s">
        <v>11615</v>
      </c>
      <c r="C13368" t="s">
        <v>14711</v>
      </c>
      <c r="D13368" t="s">
        <v>45066</v>
      </c>
      <c r="E13368" t="b">
        <v>0</v>
      </c>
      <c r="F13368" t="s">
        <v>11624</v>
      </c>
      <c r="L13368">
        <v>0</v>
      </c>
      <c r="M13368">
        <v>0</v>
      </c>
      <c r="N13368">
        <v>0</v>
      </c>
      <c r="O13368" t="s">
        <v>11660</v>
      </c>
    </row>
    <row r="13369" spans="1:15">
      <c r="A13369" t="s">
        <v>14711</v>
      </c>
      <c r="B13369" t="s">
        <v>11615</v>
      </c>
      <c r="C13369" t="s">
        <v>24384</v>
      </c>
      <c r="D13369" t="s">
        <v>45067</v>
      </c>
      <c r="E13369" t="b">
        <v>0</v>
      </c>
      <c r="F13369" t="s">
        <v>11622</v>
      </c>
      <c r="L13369">
        <v>0</v>
      </c>
      <c r="M13369">
        <v>2</v>
      </c>
      <c r="N13369">
        <v>0</v>
      </c>
    </row>
    <row r="13370" spans="1:15">
      <c r="A13370" t="s">
        <v>45068</v>
      </c>
      <c r="B13370" t="s">
        <v>11637</v>
      </c>
      <c r="C13370" t="s">
        <v>45069</v>
      </c>
      <c r="D13370" t="s">
        <v>45070</v>
      </c>
      <c r="E13370" t="b">
        <v>0</v>
      </c>
      <c r="F13370" t="s">
        <v>11610</v>
      </c>
      <c r="L13370">
        <v>0</v>
      </c>
      <c r="M13370">
        <v>0</v>
      </c>
      <c r="N13370">
        <v>0</v>
      </c>
    </row>
    <row r="13371" spans="1:15">
      <c r="A13371" t="s">
        <v>45071</v>
      </c>
      <c r="B13371" t="s">
        <v>6742</v>
      </c>
      <c r="C13371" t="s">
        <v>25738</v>
      </c>
      <c r="D13371" t="s">
        <v>45072</v>
      </c>
      <c r="E13371" t="b">
        <v>0</v>
      </c>
      <c r="F13371" t="s">
        <v>11610</v>
      </c>
      <c r="L13371">
        <v>0</v>
      </c>
      <c r="M13371">
        <v>0</v>
      </c>
      <c r="N13371">
        <v>0</v>
      </c>
    </row>
    <row r="13372" spans="1:15">
      <c r="A13372" t="s">
        <v>45073</v>
      </c>
      <c r="B13372" t="s">
        <v>367</v>
      </c>
      <c r="C13372" t="s">
        <v>37378</v>
      </c>
      <c r="D13372" t="s">
        <v>45074</v>
      </c>
      <c r="E13372" t="b">
        <v>0</v>
      </c>
      <c r="F13372" t="s">
        <v>11610</v>
      </c>
      <c r="L13372">
        <v>0</v>
      </c>
      <c r="M13372">
        <v>0</v>
      </c>
      <c r="N13372">
        <v>0</v>
      </c>
    </row>
    <row r="13373" spans="1:15">
      <c r="A13373" t="s">
        <v>12475</v>
      </c>
      <c r="B13373" t="s">
        <v>367</v>
      </c>
      <c r="C13373" t="s">
        <v>20711</v>
      </c>
      <c r="D13373" t="s">
        <v>45075</v>
      </c>
      <c r="E13373" t="b">
        <v>0</v>
      </c>
      <c r="F13373" t="s">
        <v>11624</v>
      </c>
      <c r="G13373">
        <v>-9.5745699999999996</v>
      </c>
      <c r="H13373">
        <v>150.614</v>
      </c>
      <c r="I13373" t="s">
        <v>45076</v>
      </c>
      <c r="L13373">
        <v>0</v>
      </c>
      <c r="M13373">
        <v>0</v>
      </c>
      <c r="N13373">
        <v>3</v>
      </c>
      <c r="O13373" t="s">
        <v>11660</v>
      </c>
    </row>
    <row r="13374" spans="1:15">
      <c r="A13374" t="s">
        <v>45077</v>
      </c>
      <c r="B13374" t="s">
        <v>12438</v>
      </c>
      <c r="C13374" t="s">
        <v>14105</v>
      </c>
      <c r="D13374" t="s">
        <v>45078</v>
      </c>
      <c r="E13374" t="b">
        <v>0</v>
      </c>
      <c r="F13374" t="s">
        <v>11610</v>
      </c>
      <c r="L13374">
        <v>0</v>
      </c>
      <c r="M13374">
        <v>0</v>
      </c>
      <c r="N13374">
        <v>0</v>
      </c>
    </row>
    <row r="13375" spans="1:15">
      <c r="A13375" t="s">
        <v>45079</v>
      </c>
      <c r="B13375" t="s">
        <v>367</v>
      </c>
      <c r="C13375" t="s">
        <v>13280</v>
      </c>
      <c r="D13375" t="s">
        <v>45080</v>
      </c>
      <c r="E13375" t="b">
        <v>0</v>
      </c>
      <c r="F13375" t="s">
        <v>11610</v>
      </c>
      <c r="L13375">
        <v>0</v>
      </c>
      <c r="M13375">
        <v>0</v>
      </c>
      <c r="N13375">
        <v>0</v>
      </c>
    </row>
    <row r="13376" spans="1:15">
      <c r="A13376" t="s">
        <v>21638</v>
      </c>
      <c r="B13376" t="s">
        <v>11834</v>
      </c>
      <c r="C13376" t="s">
        <v>21799</v>
      </c>
      <c r="D13376" t="s">
        <v>45081</v>
      </c>
      <c r="E13376" t="b">
        <v>0</v>
      </c>
      <c r="F13376" t="s">
        <v>11624</v>
      </c>
      <c r="G13376">
        <v>-3.3812700000000002</v>
      </c>
      <c r="H13376">
        <v>141.80600000000001</v>
      </c>
      <c r="I13376" t="s">
        <v>45082</v>
      </c>
      <c r="L13376">
        <v>0</v>
      </c>
      <c r="M13376">
        <v>0</v>
      </c>
      <c r="N13376">
        <v>3</v>
      </c>
      <c r="O13376" t="s">
        <v>11660</v>
      </c>
    </row>
    <row r="13377" spans="1:15">
      <c r="A13377" t="s">
        <v>45083</v>
      </c>
      <c r="B13377" t="s">
        <v>12646</v>
      </c>
      <c r="C13377" t="s">
        <v>12647</v>
      </c>
      <c r="D13377" t="s">
        <v>45084</v>
      </c>
      <c r="E13377" t="b">
        <v>0</v>
      </c>
      <c r="F13377" t="s">
        <v>11624</v>
      </c>
      <c r="G13377">
        <v>10.792999999999999</v>
      </c>
      <c r="H13377">
        <v>33.567700000000002</v>
      </c>
      <c r="I13377" t="s">
        <v>45085</v>
      </c>
      <c r="L13377">
        <v>0</v>
      </c>
      <c r="M13377">
        <v>0</v>
      </c>
      <c r="N13377">
        <v>0</v>
      </c>
      <c r="O13377" t="s">
        <v>11910</v>
      </c>
    </row>
    <row r="13378" spans="1:15">
      <c r="A13378" t="s">
        <v>45086</v>
      </c>
      <c r="B13378" t="s">
        <v>11729</v>
      </c>
      <c r="C13378" t="s">
        <v>30051</v>
      </c>
      <c r="D13378" t="s">
        <v>45087</v>
      </c>
      <c r="E13378" t="b">
        <v>0</v>
      </c>
      <c r="F13378" t="s">
        <v>11610</v>
      </c>
      <c r="L13378">
        <v>0</v>
      </c>
      <c r="M13378">
        <v>0</v>
      </c>
      <c r="N13378">
        <v>0</v>
      </c>
    </row>
    <row r="13379" spans="1:15">
      <c r="A13379" t="s">
        <v>45088</v>
      </c>
      <c r="B13379" t="s">
        <v>11729</v>
      </c>
      <c r="C13379" t="s">
        <v>45089</v>
      </c>
      <c r="D13379" t="s">
        <v>45090</v>
      </c>
      <c r="E13379" t="b">
        <v>0</v>
      </c>
      <c r="F13379" t="s">
        <v>11610</v>
      </c>
      <c r="L13379">
        <v>0</v>
      </c>
      <c r="M13379">
        <v>0</v>
      </c>
      <c r="N13379">
        <v>0</v>
      </c>
    </row>
    <row r="13380" spans="1:15">
      <c r="A13380" t="s">
        <v>45091</v>
      </c>
      <c r="B13380" t="s">
        <v>367</v>
      </c>
      <c r="C13380" t="s">
        <v>11612</v>
      </c>
      <c r="D13380" t="s">
        <v>45092</v>
      </c>
      <c r="E13380" t="b">
        <v>0</v>
      </c>
      <c r="F13380" t="s">
        <v>11610</v>
      </c>
      <c r="L13380">
        <v>0</v>
      </c>
      <c r="M13380">
        <v>0</v>
      </c>
      <c r="N13380">
        <v>0</v>
      </c>
    </row>
    <row r="13381" spans="1:15">
      <c r="A13381" t="s">
        <v>45093</v>
      </c>
      <c r="B13381" t="s">
        <v>367</v>
      </c>
      <c r="C13381" t="s">
        <v>28012</v>
      </c>
      <c r="D13381" t="s">
        <v>45094</v>
      </c>
      <c r="E13381" t="b">
        <v>0</v>
      </c>
      <c r="F13381" t="s">
        <v>11610</v>
      </c>
      <c r="L13381">
        <v>0</v>
      </c>
      <c r="M13381">
        <v>0</v>
      </c>
      <c r="N13381">
        <v>0</v>
      </c>
    </row>
    <row r="13382" spans="1:15">
      <c r="A13382" t="s">
        <v>45095</v>
      </c>
      <c r="D13382" t="s">
        <v>45096</v>
      </c>
      <c r="E13382" t="b">
        <v>0</v>
      </c>
      <c r="F13382" t="s">
        <v>11624</v>
      </c>
      <c r="G13382">
        <v>-3.4194599999999999</v>
      </c>
      <c r="H13382">
        <v>140.55699999999999</v>
      </c>
      <c r="I13382" t="s">
        <v>45097</v>
      </c>
      <c r="L13382">
        <v>0</v>
      </c>
      <c r="M13382">
        <v>0</v>
      </c>
      <c r="N13382">
        <v>0</v>
      </c>
      <c r="O13382" t="s">
        <v>11768</v>
      </c>
    </row>
    <row r="13383" spans="1:15">
      <c r="A13383" t="s">
        <v>45098</v>
      </c>
      <c r="B13383" t="s">
        <v>11607</v>
      </c>
      <c r="C13383" t="s">
        <v>41524</v>
      </c>
      <c r="D13383" t="s">
        <v>45099</v>
      </c>
      <c r="E13383" t="b">
        <v>0</v>
      </c>
      <c r="F13383" t="s">
        <v>11624</v>
      </c>
      <c r="G13383">
        <v>10.7933</v>
      </c>
      <c r="H13383">
        <v>14.2521</v>
      </c>
      <c r="I13383" t="s">
        <v>45100</v>
      </c>
      <c r="L13383">
        <v>0</v>
      </c>
      <c r="M13383">
        <v>0</v>
      </c>
      <c r="N13383">
        <v>0</v>
      </c>
      <c r="O13383" t="s">
        <v>11703</v>
      </c>
    </row>
    <row r="13384" spans="1:15">
      <c r="A13384" t="s">
        <v>45101</v>
      </c>
      <c r="B13384" t="s">
        <v>11637</v>
      </c>
      <c r="C13384" t="s">
        <v>25363</v>
      </c>
      <c r="D13384" t="s">
        <v>45102</v>
      </c>
      <c r="E13384" t="b">
        <v>0</v>
      </c>
      <c r="F13384" t="s">
        <v>11610</v>
      </c>
      <c r="L13384">
        <v>0</v>
      </c>
      <c r="M13384">
        <v>0</v>
      </c>
      <c r="N13384">
        <v>0</v>
      </c>
    </row>
    <row r="13385" spans="1:15">
      <c r="A13385" t="s">
        <v>45103</v>
      </c>
      <c r="B13385" t="s">
        <v>11644</v>
      </c>
      <c r="C13385" t="s">
        <v>19491</v>
      </c>
      <c r="D13385" t="s">
        <v>45104</v>
      </c>
      <c r="E13385" t="b">
        <v>0</v>
      </c>
      <c r="F13385" t="s">
        <v>11610</v>
      </c>
      <c r="L13385">
        <v>0</v>
      </c>
      <c r="M13385">
        <v>0</v>
      </c>
      <c r="N13385">
        <v>0</v>
      </c>
    </row>
    <row r="13386" spans="1:15">
      <c r="A13386" t="s">
        <v>45105</v>
      </c>
      <c r="B13386" t="s">
        <v>6742</v>
      </c>
      <c r="C13386" t="s">
        <v>25738</v>
      </c>
      <c r="D13386" t="s">
        <v>45106</v>
      </c>
      <c r="E13386" t="b">
        <v>0</v>
      </c>
      <c r="F13386" t="s">
        <v>11610</v>
      </c>
      <c r="L13386">
        <v>0</v>
      </c>
      <c r="M13386">
        <v>0</v>
      </c>
      <c r="N13386">
        <v>0</v>
      </c>
    </row>
    <row r="13387" spans="1:15">
      <c r="A13387" t="s">
        <v>45107</v>
      </c>
      <c r="B13387" t="s">
        <v>14372</v>
      </c>
      <c r="C13387" t="s">
        <v>1236</v>
      </c>
      <c r="D13387" t="s">
        <v>45108</v>
      </c>
      <c r="E13387" t="b">
        <v>0</v>
      </c>
      <c r="F13387" t="s">
        <v>11610</v>
      </c>
      <c r="L13387">
        <v>0</v>
      </c>
      <c r="M13387">
        <v>0</v>
      </c>
      <c r="N13387">
        <v>0</v>
      </c>
    </row>
    <row r="13388" spans="1:15">
      <c r="A13388" t="s">
        <v>45109</v>
      </c>
      <c r="B13388" t="s">
        <v>367</v>
      </c>
      <c r="C13388" t="s">
        <v>38080</v>
      </c>
      <c r="D13388" t="s">
        <v>45110</v>
      </c>
      <c r="E13388" t="b">
        <v>0</v>
      </c>
      <c r="F13388" t="s">
        <v>11624</v>
      </c>
      <c r="G13388">
        <v>-1.4313</v>
      </c>
      <c r="H13388">
        <v>120.009</v>
      </c>
      <c r="I13388" t="s">
        <v>45111</v>
      </c>
      <c r="L13388">
        <v>0</v>
      </c>
      <c r="M13388">
        <v>0</v>
      </c>
      <c r="N13388">
        <v>0</v>
      </c>
      <c r="O13388" t="s">
        <v>11768</v>
      </c>
    </row>
    <row r="13389" spans="1:15">
      <c r="A13389" t="s">
        <v>45112</v>
      </c>
      <c r="B13389" t="s">
        <v>11615</v>
      </c>
      <c r="C13389" t="s">
        <v>44434</v>
      </c>
      <c r="D13389" t="s">
        <v>45113</v>
      </c>
      <c r="E13389" t="b">
        <v>0</v>
      </c>
      <c r="F13389" t="s">
        <v>11624</v>
      </c>
      <c r="G13389">
        <v>-6.3409000000000004</v>
      </c>
      <c r="H13389">
        <v>147.79</v>
      </c>
      <c r="I13389" t="s">
        <v>45114</v>
      </c>
      <c r="L13389">
        <v>0</v>
      </c>
      <c r="M13389">
        <v>0</v>
      </c>
      <c r="N13389">
        <v>0</v>
      </c>
      <c r="O13389" t="s">
        <v>11660</v>
      </c>
    </row>
    <row r="13390" spans="1:15">
      <c r="A13390" t="s">
        <v>44434</v>
      </c>
      <c r="B13390" t="s">
        <v>11615</v>
      </c>
      <c r="C13390" t="s">
        <v>24349</v>
      </c>
      <c r="D13390" t="s">
        <v>45115</v>
      </c>
      <c r="E13390" t="b">
        <v>0</v>
      </c>
      <c r="F13390" t="s">
        <v>11622</v>
      </c>
      <c r="L13390">
        <v>0</v>
      </c>
      <c r="M13390">
        <v>2</v>
      </c>
      <c r="N13390">
        <v>3</v>
      </c>
    </row>
    <row r="13391" spans="1:15">
      <c r="A13391" t="s">
        <v>45116</v>
      </c>
      <c r="B13391" t="s">
        <v>12686</v>
      </c>
      <c r="C13391" t="s">
        <v>13099</v>
      </c>
      <c r="D13391" t="s">
        <v>45117</v>
      </c>
      <c r="E13391" t="b">
        <v>0</v>
      </c>
      <c r="F13391" t="s">
        <v>11610</v>
      </c>
      <c r="L13391">
        <v>0</v>
      </c>
      <c r="M13391">
        <v>0</v>
      </c>
      <c r="N13391">
        <v>0</v>
      </c>
    </row>
    <row r="13392" spans="1:15">
      <c r="A13392" t="s">
        <v>45118</v>
      </c>
      <c r="B13392" t="s">
        <v>6742</v>
      </c>
      <c r="C13392" t="s">
        <v>7100</v>
      </c>
      <c r="D13392" t="s">
        <v>45119</v>
      </c>
      <c r="E13392" t="b">
        <v>0</v>
      </c>
      <c r="F13392" t="s">
        <v>11610</v>
      </c>
      <c r="L13392">
        <v>0</v>
      </c>
      <c r="M13392">
        <v>0</v>
      </c>
      <c r="N13392">
        <v>0</v>
      </c>
    </row>
    <row r="13393" spans="1:15">
      <c r="A13393" t="s">
        <v>45120</v>
      </c>
      <c r="B13393" t="s">
        <v>1342</v>
      </c>
      <c r="C13393" t="s">
        <v>13525</v>
      </c>
      <c r="D13393" t="s">
        <v>45121</v>
      </c>
      <c r="E13393" t="b">
        <v>0</v>
      </c>
      <c r="F13393" t="s">
        <v>11624</v>
      </c>
      <c r="G13393">
        <v>14.376155000000001</v>
      </c>
      <c r="H13393">
        <v>-3.6647989999999999</v>
      </c>
      <c r="I13393" t="s">
        <v>45122</v>
      </c>
      <c r="L13393">
        <v>0</v>
      </c>
      <c r="M13393">
        <v>0</v>
      </c>
      <c r="N13393">
        <v>0</v>
      </c>
      <c r="O13393" t="s">
        <v>13528</v>
      </c>
    </row>
    <row r="13394" spans="1:15">
      <c r="A13394" t="s">
        <v>37239</v>
      </c>
      <c r="D13394" t="s">
        <v>45123</v>
      </c>
      <c r="E13394" t="b">
        <v>0</v>
      </c>
      <c r="F13394" t="s">
        <v>11622</v>
      </c>
      <c r="L13394">
        <v>0</v>
      </c>
      <c r="M13394">
        <v>2</v>
      </c>
      <c r="N13394">
        <v>0</v>
      </c>
    </row>
    <row r="13395" spans="1:15">
      <c r="A13395" t="s">
        <v>23347</v>
      </c>
      <c r="B13395" t="s">
        <v>6742</v>
      </c>
      <c r="C13395" t="s">
        <v>22604</v>
      </c>
      <c r="D13395" t="s">
        <v>45124</v>
      </c>
      <c r="E13395" t="b">
        <v>0</v>
      </c>
      <c r="F13395" t="s">
        <v>11622</v>
      </c>
      <c r="L13395">
        <v>0</v>
      </c>
      <c r="M13395">
        <v>3</v>
      </c>
      <c r="N13395">
        <v>17</v>
      </c>
    </row>
    <row r="13396" spans="1:15">
      <c r="A13396" t="s">
        <v>45125</v>
      </c>
      <c r="B13396" t="s">
        <v>6742</v>
      </c>
      <c r="C13396" t="s">
        <v>45126</v>
      </c>
      <c r="D13396" t="s">
        <v>45127</v>
      </c>
      <c r="E13396" t="b">
        <v>0</v>
      </c>
      <c r="F13396" t="s">
        <v>11610</v>
      </c>
      <c r="L13396">
        <v>0</v>
      </c>
      <c r="M13396">
        <v>0</v>
      </c>
      <c r="N13396">
        <v>0</v>
      </c>
    </row>
    <row r="13397" spans="1:15">
      <c r="A13397" t="s">
        <v>45128</v>
      </c>
      <c r="B13397" t="s">
        <v>45129</v>
      </c>
      <c r="C13397" t="s">
        <v>45129</v>
      </c>
      <c r="D13397" t="s">
        <v>45130</v>
      </c>
      <c r="E13397" t="b">
        <v>0</v>
      </c>
      <c r="F13397" t="s">
        <v>11624</v>
      </c>
      <c r="G13397">
        <v>-4.8120000000000003</v>
      </c>
      <c r="H13397">
        <v>139.821</v>
      </c>
      <c r="I13397" t="s">
        <v>45131</v>
      </c>
      <c r="L13397">
        <v>0</v>
      </c>
      <c r="M13397">
        <v>0</v>
      </c>
      <c r="N13397">
        <v>0</v>
      </c>
      <c r="O13397" t="s">
        <v>11768</v>
      </c>
    </row>
    <row r="13398" spans="1:15">
      <c r="A13398" t="s">
        <v>45126</v>
      </c>
      <c r="B13398" t="s">
        <v>6742</v>
      </c>
      <c r="C13398" t="s">
        <v>37117</v>
      </c>
      <c r="D13398" t="s">
        <v>45132</v>
      </c>
      <c r="E13398" t="b">
        <v>0</v>
      </c>
      <c r="F13398" t="s">
        <v>11624</v>
      </c>
      <c r="G13398">
        <v>8.8658000000000001</v>
      </c>
      <c r="H13398">
        <v>12.747299999999999</v>
      </c>
      <c r="I13398" t="s">
        <v>45133</v>
      </c>
      <c r="L13398">
        <v>0</v>
      </c>
      <c r="M13398">
        <v>0</v>
      </c>
      <c r="N13398">
        <v>2</v>
      </c>
      <c r="O13398" t="s">
        <v>11802</v>
      </c>
    </row>
    <row r="13399" spans="1:15">
      <c r="A13399" t="s">
        <v>45134</v>
      </c>
      <c r="B13399" t="s">
        <v>6742</v>
      </c>
      <c r="C13399" t="s">
        <v>43629</v>
      </c>
      <c r="D13399" t="s">
        <v>45135</v>
      </c>
      <c r="E13399" t="b">
        <v>0</v>
      </c>
      <c r="F13399" t="s">
        <v>11622</v>
      </c>
      <c r="L13399">
        <v>3</v>
      </c>
      <c r="M13399">
        <v>7</v>
      </c>
      <c r="N13399">
        <v>19</v>
      </c>
    </row>
    <row r="13400" spans="1:15">
      <c r="A13400" t="s">
        <v>45136</v>
      </c>
      <c r="B13400" t="s">
        <v>45129</v>
      </c>
      <c r="C13400" t="s">
        <v>45129</v>
      </c>
      <c r="D13400" t="s">
        <v>45137</v>
      </c>
      <c r="E13400" t="b">
        <v>0</v>
      </c>
      <c r="F13400" t="s">
        <v>11624</v>
      </c>
      <c r="G13400">
        <v>-5.0443100000000003</v>
      </c>
      <c r="H13400">
        <v>139.26</v>
      </c>
      <c r="I13400" t="s">
        <v>45138</v>
      </c>
      <c r="L13400">
        <v>0</v>
      </c>
      <c r="M13400">
        <v>0</v>
      </c>
      <c r="N13400">
        <v>0</v>
      </c>
      <c r="O13400" t="s">
        <v>11768</v>
      </c>
    </row>
    <row r="13401" spans="1:15">
      <c r="A13401" t="s">
        <v>45139</v>
      </c>
      <c r="B13401" t="s">
        <v>6742</v>
      </c>
      <c r="C13401" t="s">
        <v>45140</v>
      </c>
      <c r="D13401" t="s">
        <v>45141</v>
      </c>
      <c r="E13401" t="b">
        <v>0</v>
      </c>
      <c r="F13401" t="s">
        <v>11610</v>
      </c>
      <c r="L13401">
        <v>0</v>
      </c>
      <c r="M13401">
        <v>0</v>
      </c>
      <c r="N13401">
        <v>0</v>
      </c>
    </row>
    <row r="13402" spans="1:15">
      <c r="A13402" t="s">
        <v>13854</v>
      </c>
      <c r="B13402" t="s">
        <v>11981</v>
      </c>
      <c r="C13402" t="s">
        <v>15182</v>
      </c>
      <c r="D13402" t="s">
        <v>45142</v>
      </c>
      <c r="E13402" t="b">
        <v>0</v>
      </c>
      <c r="F13402" t="s">
        <v>11624</v>
      </c>
      <c r="G13402">
        <v>41.9026</v>
      </c>
      <c r="H13402">
        <v>12.452</v>
      </c>
      <c r="I13402" t="s">
        <v>45143</v>
      </c>
      <c r="L13402">
        <v>0</v>
      </c>
      <c r="M13402">
        <v>0</v>
      </c>
      <c r="N13402">
        <v>5</v>
      </c>
      <c r="O13402" t="s">
        <v>39515</v>
      </c>
    </row>
    <row r="13403" spans="1:15">
      <c r="A13403" t="s">
        <v>45144</v>
      </c>
      <c r="B13403" t="s">
        <v>6742</v>
      </c>
      <c r="C13403" t="s">
        <v>30858</v>
      </c>
      <c r="D13403" t="s">
        <v>45145</v>
      </c>
      <c r="E13403" t="b">
        <v>0</v>
      </c>
      <c r="F13403" t="s">
        <v>11610</v>
      </c>
      <c r="L13403">
        <v>0</v>
      </c>
      <c r="M13403">
        <v>0</v>
      </c>
      <c r="N13403">
        <v>0</v>
      </c>
    </row>
    <row r="13404" spans="1:15">
      <c r="A13404" t="s">
        <v>45146</v>
      </c>
      <c r="B13404" t="s">
        <v>11729</v>
      </c>
      <c r="C13404" t="s">
        <v>18052</v>
      </c>
      <c r="D13404" t="s">
        <v>45147</v>
      </c>
      <c r="E13404" t="b">
        <v>0</v>
      </c>
      <c r="F13404" t="s">
        <v>11610</v>
      </c>
      <c r="L13404">
        <v>0</v>
      </c>
      <c r="M13404">
        <v>0</v>
      </c>
      <c r="N13404">
        <v>0</v>
      </c>
    </row>
    <row r="13405" spans="1:15">
      <c r="A13405" t="s">
        <v>45148</v>
      </c>
      <c r="B13405" t="s">
        <v>367</v>
      </c>
      <c r="C13405" t="s">
        <v>36203</v>
      </c>
      <c r="D13405" t="s">
        <v>45149</v>
      </c>
      <c r="E13405" t="b">
        <v>0</v>
      </c>
      <c r="F13405" t="s">
        <v>11624</v>
      </c>
      <c r="G13405">
        <v>-2.0135900000000002</v>
      </c>
      <c r="H13405">
        <v>146.93100000000001</v>
      </c>
      <c r="I13405" t="s">
        <v>45150</v>
      </c>
      <c r="L13405">
        <v>0</v>
      </c>
      <c r="M13405">
        <v>0</v>
      </c>
      <c r="N13405">
        <v>0</v>
      </c>
      <c r="O13405" t="s">
        <v>11660</v>
      </c>
    </row>
    <row r="13406" spans="1:15">
      <c r="A13406" t="s">
        <v>28735</v>
      </c>
      <c r="B13406" t="s">
        <v>11912</v>
      </c>
      <c r="C13406" t="s">
        <v>11912</v>
      </c>
      <c r="D13406" t="s">
        <v>45151</v>
      </c>
      <c r="E13406" t="b">
        <v>0</v>
      </c>
      <c r="F13406" t="s">
        <v>11622</v>
      </c>
      <c r="L13406">
        <v>2</v>
      </c>
      <c r="M13406">
        <v>5</v>
      </c>
      <c r="N13406">
        <v>3</v>
      </c>
    </row>
    <row r="13407" spans="1:15">
      <c r="A13407" t="s">
        <v>45152</v>
      </c>
      <c r="B13407" t="s">
        <v>11644</v>
      </c>
      <c r="C13407" t="s">
        <v>41383</v>
      </c>
      <c r="D13407" t="s">
        <v>45153</v>
      </c>
      <c r="E13407" t="b">
        <v>0</v>
      </c>
      <c r="F13407" t="s">
        <v>11624</v>
      </c>
      <c r="G13407">
        <v>23.446095</v>
      </c>
      <c r="H13407">
        <v>105.416304</v>
      </c>
      <c r="L13407">
        <v>0</v>
      </c>
      <c r="M13407">
        <v>0</v>
      </c>
      <c r="N13407">
        <v>0</v>
      </c>
      <c r="O13407" t="s">
        <v>11905</v>
      </c>
    </row>
    <row r="13408" spans="1:15">
      <c r="A13408" t="s">
        <v>41383</v>
      </c>
      <c r="B13408" t="s">
        <v>11644</v>
      </c>
      <c r="C13408" t="s">
        <v>35409</v>
      </c>
      <c r="D13408" t="s">
        <v>45154</v>
      </c>
      <c r="E13408" t="b">
        <v>0</v>
      </c>
      <c r="F13408" t="s">
        <v>11622</v>
      </c>
      <c r="L13408">
        <v>0</v>
      </c>
      <c r="M13408">
        <v>6</v>
      </c>
      <c r="N13408">
        <v>0</v>
      </c>
    </row>
    <row r="13409" spans="1:15">
      <c r="A13409" t="s">
        <v>35409</v>
      </c>
      <c r="B13409" t="s">
        <v>11644</v>
      </c>
      <c r="C13409" t="s">
        <v>20515</v>
      </c>
      <c r="D13409" t="s">
        <v>45155</v>
      </c>
      <c r="E13409" t="b">
        <v>0</v>
      </c>
      <c r="F13409" t="s">
        <v>11622</v>
      </c>
      <c r="L13409">
        <v>1</v>
      </c>
      <c r="M13409">
        <v>7</v>
      </c>
      <c r="N13409">
        <v>0</v>
      </c>
    </row>
    <row r="13410" spans="1:15">
      <c r="A13410" t="s">
        <v>45156</v>
      </c>
      <c r="B13410" t="s">
        <v>11637</v>
      </c>
      <c r="C13410" t="s">
        <v>29049</v>
      </c>
      <c r="D13410" t="s">
        <v>45157</v>
      </c>
      <c r="E13410" t="b">
        <v>0</v>
      </c>
      <c r="F13410" t="s">
        <v>11610</v>
      </c>
      <c r="L13410">
        <v>0</v>
      </c>
      <c r="M13410">
        <v>0</v>
      </c>
      <c r="N13410">
        <v>0</v>
      </c>
    </row>
    <row r="13411" spans="1:15">
      <c r="A13411" t="s">
        <v>45158</v>
      </c>
      <c r="B13411" t="s">
        <v>11981</v>
      </c>
      <c r="C13411" t="s">
        <v>29056</v>
      </c>
      <c r="D13411" t="s">
        <v>45159</v>
      </c>
      <c r="E13411" t="b">
        <v>0</v>
      </c>
      <c r="F13411" t="s">
        <v>11624</v>
      </c>
      <c r="G13411">
        <v>48.685200000000002</v>
      </c>
      <c r="H13411">
        <v>107.52800000000001</v>
      </c>
      <c r="I13411" t="s">
        <v>45160</v>
      </c>
      <c r="L13411">
        <v>0</v>
      </c>
      <c r="M13411">
        <v>0</v>
      </c>
      <c r="N13411">
        <v>0</v>
      </c>
      <c r="O13411" t="s">
        <v>44370</v>
      </c>
    </row>
    <row r="13412" spans="1:15">
      <c r="A13412" t="s">
        <v>12250</v>
      </c>
      <c r="D13412" t="s">
        <v>45161</v>
      </c>
      <c r="E13412" t="b">
        <v>0</v>
      </c>
      <c r="F13412" t="s">
        <v>11622</v>
      </c>
      <c r="L13412">
        <v>10</v>
      </c>
      <c r="M13412">
        <v>17</v>
      </c>
      <c r="N13412">
        <v>58</v>
      </c>
    </row>
    <row r="13413" spans="1:15">
      <c r="A13413" t="s">
        <v>12251</v>
      </c>
      <c r="B13413" t="s">
        <v>12250</v>
      </c>
      <c r="C13413" t="s">
        <v>2130</v>
      </c>
      <c r="D13413" t="s">
        <v>45162</v>
      </c>
      <c r="E13413" t="b">
        <v>0</v>
      </c>
      <c r="F13413" t="s">
        <v>11624</v>
      </c>
      <c r="G13413">
        <v>48.768599999999999</v>
      </c>
      <c r="H13413">
        <v>109.005</v>
      </c>
      <c r="I13413" t="s">
        <v>45163</v>
      </c>
      <c r="L13413">
        <v>0</v>
      </c>
      <c r="M13413">
        <v>0</v>
      </c>
      <c r="N13413">
        <v>2</v>
      </c>
      <c r="O13413" t="s">
        <v>22632</v>
      </c>
    </row>
    <row r="13414" spans="1:15">
      <c r="A13414" t="s">
        <v>30625</v>
      </c>
      <c r="B13414" t="s">
        <v>12250</v>
      </c>
      <c r="C13414" t="s">
        <v>20490</v>
      </c>
      <c r="D13414" t="s">
        <v>45164</v>
      </c>
      <c r="E13414" t="b">
        <v>0</v>
      </c>
      <c r="F13414" t="s">
        <v>11622</v>
      </c>
      <c r="I13414" t="s">
        <v>45165</v>
      </c>
      <c r="L13414">
        <v>0</v>
      </c>
      <c r="M13414">
        <v>2</v>
      </c>
      <c r="N13414">
        <v>14</v>
      </c>
      <c r="O13414" t="s">
        <v>44370</v>
      </c>
    </row>
    <row r="13415" spans="1:15">
      <c r="A13415" t="s">
        <v>45166</v>
      </c>
      <c r="B13415" t="s">
        <v>11644</v>
      </c>
      <c r="C13415" t="s">
        <v>14097</v>
      </c>
      <c r="D13415" t="s">
        <v>45167</v>
      </c>
      <c r="E13415" t="b">
        <v>0</v>
      </c>
      <c r="F13415" t="s">
        <v>11610</v>
      </c>
      <c r="L13415">
        <v>0</v>
      </c>
      <c r="M13415">
        <v>0</v>
      </c>
      <c r="N13415">
        <v>0</v>
      </c>
    </row>
    <row r="13416" spans="1:15">
      <c r="A13416" t="s">
        <v>45168</v>
      </c>
      <c r="B13416" t="s">
        <v>5058</v>
      </c>
      <c r="C13416" t="s">
        <v>31279</v>
      </c>
      <c r="D13416" t="s">
        <v>45169</v>
      </c>
      <c r="E13416" t="b">
        <v>0</v>
      </c>
      <c r="F13416" t="s">
        <v>11610</v>
      </c>
      <c r="L13416">
        <v>0</v>
      </c>
      <c r="M13416">
        <v>0</v>
      </c>
      <c r="N13416">
        <v>0</v>
      </c>
    </row>
    <row r="13417" spans="1:15">
      <c r="A13417" t="s">
        <v>45170</v>
      </c>
      <c r="B13417" t="s">
        <v>6742</v>
      </c>
      <c r="C13417" t="s">
        <v>45140</v>
      </c>
      <c r="D13417" t="s">
        <v>45171</v>
      </c>
      <c r="E13417" t="b">
        <v>0</v>
      </c>
      <c r="F13417" t="s">
        <v>11610</v>
      </c>
      <c r="L13417">
        <v>0</v>
      </c>
      <c r="M13417">
        <v>0</v>
      </c>
      <c r="N13417">
        <v>0</v>
      </c>
    </row>
    <row r="13418" spans="1:15">
      <c r="A13418" t="s">
        <v>45172</v>
      </c>
      <c r="B13418" t="s">
        <v>6742</v>
      </c>
      <c r="C13418" t="s">
        <v>20319</v>
      </c>
      <c r="D13418" t="s">
        <v>45173</v>
      </c>
      <c r="E13418" t="b">
        <v>0</v>
      </c>
      <c r="F13418" t="s">
        <v>11610</v>
      </c>
      <c r="L13418">
        <v>0</v>
      </c>
      <c r="M13418">
        <v>0</v>
      </c>
      <c r="N13418">
        <v>0</v>
      </c>
    </row>
    <row r="13419" spans="1:15">
      <c r="A13419" t="s">
        <v>45174</v>
      </c>
      <c r="B13419" t="s">
        <v>6742</v>
      </c>
      <c r="C13419" t="s">
        <v>20319</v>
      </c>
      <c r="D13419" t="s">
        <v>45175</v>
      </c>
      <c r="E13419" t="b">
        <v>0</v>
      </c>
      <c r="F13419" t="s">
        <v>11610</v>
      </c>
      <c r="L13419">
        <v>0</v>
      </c>
      <c r="M13419">
        <v>0</v>
      </c>
      <c r="N13419">
        <v>0</v>
      </c>
    </row>
    <row r="13420" spans="1:15">
      <c r="A13420" t="s">
        <v>5545</v>
      </c>
      <c r="B13420" t="s">
        <v>6742</v>
      </c>
      <c r="C13420" t="s">
        <v>40608</v>
      </c>
      <c r="D13420" t="s">
        <v>45176</v>
      </c>
      <c r="E13420" t="b">
        <v>0</v>
      </c>
      <c r="F13420" t="s">
        <v>11624</v>
      </c>
      <c r="G13420">
        <v>-1.5422800000000001</v>
      </c>
      <c r="H13420">
        <v>20.425899999999999</v>
      </c>
      <c r="I13420" t="s">
        <v>45177</v>
      </c>
      <c r="L13420">
        <v>0</v>
      </c>
      <c r="M13420">
        <v>0</v>
      </c>
      <c r="N13420">
        <v>13</v>
      </c>
      <c r="O13420" t="s">
        <v>14825</v>
      </c>
    </row>
    <row r="13421" spans="1:15">
      <c r="A13421" t="s">
        <v>45178</v>
      </c>
      <c r="B13421" t="s">
        <v>13276</v>
      </c>
      <c r="C13421" t="s">
        <v>17145</v>
      </c>
      <c r="D13421" t="s">
        <v>45179</v>
      </c>
      <c r="E13421" t="b">
        <v>0</v>
      </c>
      <c r="F13421" t="s">
        <v>11610</v>
      </c>
      <c r="L13421">
        <v>0</v>
      </c>
      <c r="M13421">
        <v>0</v>
      </c>
      <c r="N13421">
        <v>0</v>
      </c>
    </row>
    <row r="13422" spans="1:15">
      <c r="A13422" t="s">
        <v>45180</v>
      </c>
      <c r="B13422" t="s">
        <v>17030</v>
      </c>
      <c r="C13422" t="s">
        <v>24190</v>
      </c>
      <c r="D13422" t="s">
        <v>45181</v>
      </c>
      <c r="E13422" t="b">
        <v>0</v>
      </c>
      <c r="F13422" t="s">
        <v>11610</v>
      </c>
      <c r="L13422">
        <v>0</v>
      </c>
      <c r="M13422">
        <v>0</v>
      </c>
      <c r="N13422">
        <v>0</v>
      </c>
    </row>
    <row r="13423" spans="1:15">
      <c r="A13423" t="s">
        <v>25535</v>
      </c>
      <c r="B13423" t="s">
        <v>367</v>
      </c>
      <c r="C13423" t="s">
        <v>45182</v>
      </c>
      <c r="D13423" t="s">
        <v>45183</v>
      </c>
      <c r="E13423" t="b">
        <v>0</v>
      </c>
      <c r="F13423" t="s">
        <v>11624</v>
      </c>
      <c r="G13423">
        <v>0.64615999999999996</v>
      </c>
      <c r="H13423">
        <v>124.114</v>
      </c>
      <c r="I13423" t="s">
        <v>45184</v>
      </c>
      <c r="L13423">
        <v>0</v>
      </c>
      <c r="M13423">
        <v>0</v>
      </c>
      <c r="N13423">
        <v>3</v>
      </c>
      <c r="O13423" t="s">
        <v>11768</v>
      </c>
    </row>
    <row r="13424" spans="1:15">
      <c r="A13424" t="s">
        <v>34173</v>
      </c>
      <c r="D13424" t="s">
        <v>45185</v>
      </c>
      <c r="E13424" t="b">
        <v>0</v>
      </c>
      <c r="F13424" t="s">
        <v>11622</v>
      </c>
      <c r="L13424">
        <v>0</v>
      </c>
      <c r="M13424">
        <v>3</v>
      </c>
      <c r="N13424">
        <v>4</v>
      </c>
    </row>
    <row r="13425" spans="1:15">
      <c r="A13425" t="s">
        <v>34174</v>
      </c>
      <c r="B13425" t="s">
        <v>34173</v>
      </c>
      <c r="C13425" t="s">
        <v>34173</v>
      </c>
      <c r="D13425" t="s">
        <v>45186</v>
      </c>
      <c r="E13425" t="b">
        <v>0</v>
      </c>
      <c r="F13425" t="s">
        <v>11624</v>
      </c>
      <c r="G13425">
        <v>-4.3003799999999996</v>
      </c>
      <c r="H13425">
        <v>143.965</v>
      </c>
      <c r="I13425" t="s">
        <v>45187</v>
      </c>
      <c r="L13425">
        <v>0</v>
      </c>
      <c r="M13425">
        <v>0</v>
      </c>
      <c r="N13425">
        <v>2</v>
      </c>
      <c r="O13425" t="s">
        <v>11660</v>
      </c>
    </row>
    <row r="13426" spans="1:15">
      <c r="A13426" t="s">
        <v>45188</v>
      </c>
      <c r="B13426" t="s">
        <v>6742</v>
      </c>
      <c r="C13426" t="s">
        <v>45189</v>
      </c>
      <c r="D13426" t="s">
        <v>45190</v>
      </c>
      <c r="E13426" t="b">
        <v>0</v>
      </c>
      <c r="F13426" t="s">
        <v>11624</v>
      </c>
      <c r="G13426">
        <v>2.8098299999999998</v>
      </c>
      <c r="H13426">
        <v>29.563700000000001</v>
      </c>
      <c r="L13426">
        <v>0</v>
      </c>
      <c r="M13426">
        <v>0</v>
      </c>
      <c r="N13426">
        <v>0</v>
      </c>
      <c r="O13426" t="s">
        <v>14825</v>
      </c>
    </row>
    <row r="13427" spans="1:15">
      <c r="A13427" t="s">
        <v>45182</v>
      </c>
      <c r="B13427" t="s">
        <v>367</v>
      </c>
      <c r="C13427" t="s">
        <v>29595</v>
      </c>
      <c r="D13427" t="s">
        <v>45191</v>
      </c>
      <c r="E13427" t="b">
        <v>0</v>
      </c>
      <c r="F13427" t="s">
        <v>11622</v>
      </c>
      <c r="L13427">
        <v>0</v>
      </c>
      <c r="M13427">
        <v>2</v>
      </c>
      <c r="N13427">
        <v>3</v>
      </c>
    </row>
    <row r="13428" spans="1:15">
      <c r="A13428" t="s">
        <v>45192</v>
      </c>
      <c r="B13428" t="s">
        <v>34173</v>
      </c>
      <c r="C13428" t="s">
        <v>34174</v>
      </c>
      <c r="D13428" t="s">
        <v>45193</v>
      </c>
      <c r="E13428" t="b">
        <v>0</v>
      </c>
      <c r="F13428" t="s">
        <v>11610</v>
      </c>
      <c r="L13428">
        <v>0</v>
      </c>
      <c r="M13428">
        <v>0</v>
      </c>
      <c r="N13428">
        <v>0</v>
      </c>
    </row>
    <row r="13429" spans="1:15">
      <c r="A13429" t="s">
        <v>24903</v>
      </c>
      <c r="B13429" t="s">
        <v>11879</v>
      </c>
      <c r="C13429" t="s">
        <v>22482</v>
      </c>
      <c r="D13429" t="s">
        <v>45194</v>
      </c>
      <c r="E13429" t="b">
        <v>0</v>
      </c>
      <c r="F13429" t="s">
        <v>11624</v>
      </c>
      <c r="G13429">
        <v>13.5343</v>
      </c>
      <c r="H13429">
        <v>-85.174599999999998</v>
      </c>
      <c r="I13429" t="s">
        <v>45195</v>
      </c>
      <c r="L13429">
        <v>0</v>
      </c>
      <c r="M13429">
        <v>0</v>
      </c>
      <c r="N13429">
        <v>6</v>
      </c>
      <c r="O13429" t="s">
        <v>43310</v>
      </c>
    </row>
    <row r="13430" spans="1:15">
      <c r="A13430" t="s">
        <v>45196</v>
      </c>
      <c r="B13430" t="s">
        <v>12438</v>
      </c>
      <c r="C13430" t="s">
        <v>12438</v>
      </c>
      <c r="D13430" t="s">
        <v>45197</v>
      </c>
      <c r="E13430" t="b">
        <v>0</v>
      </c>
      <c r="F13430" t="s">
        <v>11622</v>
      </c>
      <c r="L13430">
        <v>0</v>
      </c>
      <c r="M13430">
        <v>3</v>
      </c>
      <c r="N13430">
        <v>3</v>
      </c>
    </row>
    <row r="13431" spans="1:15">
      <c r="A13431" t="s">
        <v>45198</v>
      </c>
      <c r="B13431" t="s">
        <v>6742</v>
      </c>
      <c r="C13431" t="s">
        <v>19496</v>
      </c>
      <c r="D13431" t="s">
        <v>45199</v>
      </c>
      <c r="E13431" t="b">
        <v>0</v>
      </c>
      <c r="F13431" t="s">
        <v>11610</v>
      </c>
      <c r="L13431">
        <v>0</v>
      </c>
      <c r="M13431">
        <v>0</v>
      </c>
      <c r="N13431">
        <v>0</v>
      </c>
    </row>
    <row r="13432" spans="1:15">
      <c r="A13432" t="s">
        <v>45200</v>
      </c>
      <c r="B13432" t="s">
        <v>367</v>
      </c>
      <c r="C13432" t="s">
        <v>45201</v>
      </c>
      <c r="D13432" t="s">
        <v>45202</v>
      </c>
      <c r="E13432" t="b">
        <v>0</v>
      </c>
      <c r="F13432" t="s">
        <v>11610</v>
      </c>
      <c r="L13432">
        <v>0</v>
      </c>
      <c r="M13432">
        <v>0</v>
      </c>
      <c r="N13432">
        <v>0</v>
      </c>
    </row>
    <row r="13433" spans="1:15">
      <c r="A13433" t="s">
        <v>15362</v>
      </c>
      <c r="B13433" t="s">
        <v>11615</v>
      </c>
      <c r="C13433" t="s">
        <v>15225</v>
      </c>
      <c r="D13433" t="s">
        <v>45203</v>
      </c>
      <c r="E13433" t="b">
        <v>0</v>
      </c>
      <c r="F13433" t="s">
        <v>11624</v>
      </c>
      <c r="G13433">
        <v>-3.7296200000000002</v>
      </c>
      <c r="H13433">
        <v>136.886</v>
      </c>
      <c r="I13433" t="s">
        <v>45204</v>
      </c>
      <c r="L13433">
        <v>0</v>
      </c>
      <c r="M13433">
        <v>0</v>
      </c>
      <c r="N13433">
        <v>1</v>
      </c>
      <c r="O13433" t="s">
        <v>11768</v>
      </c>
    </row>
    <row r="13434" spans="1:15">
      <c r="A13434" t="s">
        <v>45205</v>
      </c>
      <c r="B13434" t="s">
        <v>12438</v>
      </c>
      <c r="C13434" t="s">
        <v>23636</v>
      </c>
      <c r="D13434" t="s">
        <v>45206</v>
      </c>
      <c r="E13434" t="b">
        <v>0</v>
      </c>
      <c r="F13434" t="s">
        <v>11610</v>
      </c>
      <c r="L13434">
        <v>0</v>
      </c>
      <c r="M13434">
        <v>0</v>
      </c>
      <c r="N13434">
        <v>0</v>
      </c>
    </row>
    <row r="13435" spans="1:15">
      <c r="A13435" t="s">
        <v>43295</v>
      </c>
      <c r="B13435" t="s">
        <v>12438</v>
      </c>
      <c r="C13435" t="s">
        <v>45196</v>
      </c>
      <c r="D13435" t="s">
        <v>45207</v>
      </c>
      <c r="E13435" t="b">
        <v>0</v>
      </c>
      <c r="F13435" t="s">
        <v>11624</v>
      </c>
      <c r="G13435">
        <v>15.49394</v>
      </c>
      <c r="H13435">
        <v>98.122465000000005</v>
      </c>
      <c r="I13435" t="s">
        <v>45208</v>
      </c>
      <c r="L13435">
        <v>0</v>
      </c>
      <c r="M13435">
        <v>0</v>
      </c>
      <c r="N13435">
        <v>3</v>
      </c>
      <c r="O13435" t="s">
        <v>20757</v>
      </c>
    </row>
    <row r="13436" spans="1:15">
      <c r="A13436" t="s">
        <v>45209</v>
      </c>
      <c r="B13436" t="s">
        <v>11644</v>
      </c>
      <c r="C13436" t="s">
        <v>13896</v>
      </c>
      <c r="D13436" t="s">
        <v>45210</v>
      </c>
      <c r="E13436" t="b">
        <v>0</v>
      </c>
      <c r="F13436" t="s">
        <v>11610</v>
      </c>
      <c r="L13436">
        <v>0</v>
      </c>
      <c r="M13436">
        <v>0</v>
      </c>
      <c r="N13436">
        <v>0</v>
      </c>
    </row>
    <row r="13437" spans="1:15">
      <c r="A13437" t="s">
        <v>45211</v>
      </c>
      <c r="B13437" t="s">
        <v>12438</v>
      </c>
      <c r="C13437" t="s">
        <v>15946</v>
      </c>
      <c r="D13437" t="s">
        <v>45212</v>
      </c>
      <c r="E13437" t="b">
        <v>0</v>
      </c>
      <c r="F13437" t="s">
        <v>11624</v>
      </c>
      <c r="G13437">
        <v>14.594799999999999</v>
      </c>
      <c r="H13437">
        <v>108.348</v>
      </c>
      <c r="I13437" t="s">
        <v>45213</v>
      </c>
      <c r="L13437">
        <v>0</v>
      </c>
      <c r="M13437">
        <v>0</v>
      </c>
      <c r="N13437">
        <v>0</v>
      </c>
      <c r="O13437" t="s">
        <v>15949</v>
      </c>
    </row>
    <row r="13438" spans="1:15">
      <c r="A13438" t="s">
        <v>45214</v>
      </c>
      <c r="B13438" t="s">
        <v>6742</v>
      </c>
      <c r="C13438" t="s">
        <v>45215</v>
      </c>
      <c r="D13438" t="s">
        <v>45216</v>
      </c>
      <c r="E13438" t="b">
        <v>0</v>
      </c>
      <c r="F13438" t="s">
        <v>11624</v>
      </c>
      <c r="G13438">
        <v>8.7837200000000006</v>
      </c>
      <c r="H13438">
        <v>14.2254</v>
      </c>
      <c r="I13438" t="s">
        <v>45217</v>
      </c>
      <c r="L13438">
        <v>0</v>
      </c>
      <c r="M13438">
        <v>0</v>
      </c>
      <c r="N13438">
        <v>0</v>
      </c>
      <c r="O13438" t="s">
        <v>11703</v>
      </c>
    </row>
    <row r="13439" spans="1:15">
      <c r="A13439" t="s">
        <v>18598</v>
      </c>
      <c r="B13439" t="s">
        <v>6742</v>
      </c>
      <c r="C13439" t="s">
        <v>29430</v>
      </c>
      <c r="D13439" t="s">
        <v>45218</v>
      </c>
      <c r="E13439" t="b">
        <v>0</v>
      </c>
      <c r="F13439" t="s">
        <v>11624</v>
      </c>
      <c r="G13439">
        <v>4.5791500000000003</v>
      </c>
      <c r="H13439">
        <v>19.8264</v>
      </c>
      <c r="I13439" t="s">
        <v>45219</v>
      </c>
      <c r="L13439">
        <v>0</v>
      </c>
      <c r="M13439">
        <v>0</v>
      </c>
      <c r="N13439">
        <v>5</v>
      </c>
      <c r="O13439" t="s">
        <v>13069</v>
      </c>
    </row>
    <row r="13440" spans="1:15">
      <c r="A13440" t="s">
        <v>45220</v>
      </c>
      <c r="B13440" t="s">
        <v>367</v>
      </c>
      <c r="C13440" t="s">
        <v>14563</v>
      </c>
      <c r="D13440" t="s">
        <v>45221</v>
      </c>
      <c r="E13440" t="b">
        <v>0</v>
      </c>
      <c r="F13440" t="s">
        <v>11610</v>
      </c>
      <c r="L13440">
        <v>0</v>
      </c>
      <c r="M13440">
        <v>0</v>
      </c>
      <c r="N13440">
        <v>0</v>
      </c>
    </row>
    <row r="13441" spans="1:15">
      <c r="A13441" t="s">
        <v>13219</v>
      </c>
      <c r="B13441" t="s">
        <v>367</v>
      </c>
      <c r="C13441" t="s">
        <v>45222</v>
      </c>
      <c r="D13441" t="s">
        <v>45223</v>
      </c>
      <c r="E13441" t="b">
        <v>0</v>
      </c>
      <c r="F13441" t="s">
        <v>11624</v>
      </c>
      <c r="G13441">
        <v>-7.0510200000000003</v>
      </c>
      <c r="H13441">
        <v>155.76</v>
      </c>
      <c r="I13441" t="s">
        <v>45224</v>
      </c>
      <c r="L13441">
        <v>0</v>
      </c>
      <c r="M13441">
        <v>0</v>
      </c>
      <c r="N13441">
        <v>3</v>
      </c>
      <c r="O13441" t="s">
        <v>13346</v>
      </c>
    </row>
    <row r="13442" spans="1:15">
      <c r="A13442" t="s">
        <v>45225</v>
      </c>
      <c r="B13442" t="s">
        <v>367</v>
      </c>
      <c r="C13442" t="s">
        <v>13219</v>
      </c>
      <c r="D13442" t="s">
        <v>45226</v>
      </c>
      <c r="E13442" t="b">
        <v>0</v>
      </c>
      <c r="F13442" t="s">
        <v>11610</v>
      </c>
      <c r="L13442">
        <v>0</v>
      </c>
      <c r="M13442">
        <v>0</v>
      </c>
      <c r="N13442">
        <v>0</v>
      </c>
    </row>
    <row r="13443" spans="1:15">
      <c r="A13443" t="s">
        <v>45227</v>
      </c>
      <c r="B13443" t="s">
        <v>12751</v>
      </c>
      <c r="C13443" t="s">
        <v>45228</v>
      </c>
      <c r="D13443" t="s">
        <v>45229</v>
      </c>
      <c r="E13443" t="b">
        <v>0</v>
      </c>
      <c r="F13443" t="s">
        <v>11624</v>
      </c>
      <c r="G13443">
        <v>37.1935</v>
      </c>
      <c r="H13443">
        <v>-119.34699999999999</v>
      </c>
      <c r="I13443" t="s">
        <v>45230</v>
      </c>
      <c r="L13443">
        <v>0</v>
      </c>
      <c r="M13443">
        <v>0</v>
      </c>
      <c r="N13443">
        <v>0</v>
      </c>
      <c r="O13443" t="s">
        <v>11944</v>
      </c>
    </row>
    <row r="13444" spans="1:15">
      <c r="A13444" t="s">
        <v>45231</v>
      </c>
      <c r="B13444" t="s">
        <v>11607</v>
      </c>
      <c r="C13444" t="s">
        <v>42916</v>
      </c>
      <c r="D13444" t="s">
        <v>45232</v>
      </c>
      <c r="E13444" t="b">
        <v>0</v>
      </c>
      <c r="F13444" t="s">
        <v>11610</v>
      </c>
      <c r="L13444">
        <v>0</v>
      </c>
      <c r="M13444">
        <v>0</v>
      </c>
      <c r="N13444">
        <v>0</v>
      </c>
    </row>
    <row r="13445" spans="1:15">
      <c r="A13445" t="s">
        <v>45222</v>
      </c>
      <c r="B13445" t="s">
        <v>367</v>
      </c>
      <c r="C13445" t="s">
        <v>22794</v>
      </c>
      <c r="D13445" t="s">
        <v>45233</v>
      </c>
      <c r="E13445" t="b">
        <v>0</v>
      </c>
      <c r="F13445" t="s">
        <v>11622</v>
      </c>
      <c r="L13445">
        <v>0</v>
      </c>
      <c r="M13445">
        <v>3</v>
      </c>
      <c r="N13445">
        <v>3</v>
      </c>
    </row>
    <row r="13446" spans="1:15">
      <c r="A13446" t="s">
        <v>45234</v>
      </c>
      <c r="B13446" t="s">
        <v>13360</v>
      </c>
      <c r="C13446" t="s">
        <v>13360</v>
      </c>
      <c r="D13446" t="s">
        <v>45235</v>
      </c>
      <c r="E13446" t="b">
        <v>0</v>
      </c>
      <c r="F13446" t="s">
        <v>11624</v>
      </c>
      <c r="L13446">
        <v>0</v>
      </c>
      <c r="M13446">
        <v>0</v>
      </c>
      <c r="N13446">
        <v>0</v>
      </c>
      <c r="O13446" t="s">
        <v>11883</v>
      </c>
    </row>
    <row r="13447" spans="1:15">
      <c r="A13447" t="s">
        <v>45236</v>
      </c>
      <c r="B13447" t="s">
        <v>11644</v>
      </c>
      <c r="C13447" t="s">
        <v>45237</v>
      </c>
      <c r="D13447" t="s">
        <v>45238</v>
      </c>
      <c r="E13447" t="b">
        <v>0</v>
      </c>
      <c r="F13447" t="s">
        <v>11624</v>
      </c>
      <c r="G13447">
        <v>24.5322</v>
      </c>
      <c r="H13447">
        <v>94.216399999999993</v>
      </c>
      <c r="I13447" t="s">
        <v>45239</v>
      </c>
      <c r="L13447">
        <v>0</v>
      </c>
      <c r="M13447">
        <v>0</v>
      </c>
      <c r="N13447">
        <v>0</v>
      </c>
      <c r="O13447" t="s">
        <v>11630</v>
      </c>
    </row>
    <row r="13448" spans="1:15">
      <c r="A13448" t="s">
        <v>26348</v>
      </c>
      <c r="B13448" t="s">
        <v>12979</v>
      </c>
      <c r="C13448" t="s">
        <v>15012</v>
      </c>
      <c r="D13448" t="s">
        <v>45240</v>
      </c>
      <c r="E13448" t="b">
        <v>0</v>
      </c>
      <c r="F13448" t="s">
        <v>11624</v>
      </c>
      <c r="G13448">
        <v>49.0533</v>
      </c>
      <c r="H13448">
        <v>-68.7376</v>
      </c>
      <c r="I13448" t="s">
        <v>45241</v>
      </c>
      <c r="L13448">
        <v>0</v>
      </c>
      <c r="M13448">
        <v>0</v>
      </c>
      <c r="N13448">
        <v>2</v>
      </c>
      <c r="O13448" t="s">
        <v>13049</v>
      </c>
    </row>
    <row r="13449" spans="1:15">
      <c r="A13449" t="s">
        <v>45242</v>
      </c>
      <c r="B13449" t="s">
        <v>12979</v>
      </c>
      <c r="C13449" t="s">
        <v>44967</v>
      </c>
      <c r="D13449" t="s">
        <v>45243</v>
      </c>
      <c r="E13449" t="b">
        <v>0</v>
      </c>
      <c r="F13449" t="s">
        <v>11610</v>
      </c>
      <c r="L13449">
        <v>0</v>
      </c>
      <c r="M13449">
        <v>0</v>
      </c>
      <c r="N13449">
        <v>0</v>
      </c>
    </row>
    <row r="13450" spans="1:15">
      <c r="A13450" t="s">
        <v>45244</v>
      </c>
      <c r="B13450" t="s">
        <v>17579</v>
      </c>
      <c r="C13450" t="s">
        <v>45245</v>
      </c>
      <c r="D13450" t="s">
        <v>45246</v>
      </c>
      <c r="E13450" t="b">
        <v>0</v>
      </c>
      <c r="F13450" t="s">
        <v>11610</v>
      </c>
      <c r="L13450">
        <v>0</v>
      </c>
      <c r="M13450">
        <v>0</v>
      </c>
      <c r="N13450">
        <v>0</v>
      </c>
    </row>
    <row r="13451" spans="1:15">
      <c r="A13451" t="s">
        <v>45247</v>
      </c>
      <c r="B13451" t="s">
        <v>11879</v>
      </c>
      <c r="C13451" t="s">
        <v>45248</v>
      </c>
      <c r="D13451" t="s">
        <v>45249</v>
      </c>
      <c r="E13451" t="b">
        <v>0</v>
      </c>
      <c r="F13451" t="s">
        <v>11610</v>
      </c>
      <c r="L13451">
        <v>0</v>
      </c>
      <c r="M13451">
        <v>0</v>
      </c>
      <c r="N13451">
        <v>0</v>
      </c>
    </row>
    <row r="13452" spans="1:15">
      <c r="A13452" t="s">
        <v>16355</v>
      </c>
      <c r="B13452" t="s">
        <v>11607</v>
      </c>
      <c r="C13452" t="s">
        <v>13810</v>
      </c>
      <c r="D13452" t="s">
        <v>45250</v>
      </c>
      <c r="E13452" t="b">
        <v>0</v>
      </c>
      <c r="F13452" t="s">
        <v>11624</v>
      </c>
      <c r="G13452">
        <v>9.0177800000000001</v>
      </c>
      <c r="H13452">
        <v>9.6501400000000004</v>
      </c>
      <c r="I13452" t="s">
        <v>45251</v>
      </c>
      <c r="L13452">
        <v>0</v>
      </c>
      <c r="M13452">
        <v>0</v>
      </c>
      <c r="N13452">
        <v>2</v>
      </c>
      <c r="O13452" t="s">
        <v>11693</v>
      </c>
    </row>
    <row r="13453" spans="1:15">
      <c r="A13453" t="s">
        <v>2983</v>
      </c>
      <c r="B13453" t="s">
        <v>11637</v>
      </c>
      <c r="C13453" t="s">
        <v>19683</v>
      </c>
      <c r="D13453" t="s">
        <v>45252</v>
      </c>
      <c r="E13453" t="b">
        <v>0</v>
      </c>
      <c r="F13453" t="s">
        <v>11610</v>
      </c>
      <c r="I13453" t="s">
        <v>45253</v>
      </c>
      <c r="L13453">
        <v>0</v>
      </c>
      <c r="M13453">
        <v>0</v>
      </c>
      <c r="N13453">
        <v>0</v>
      </c>
      <c r="O13453" t="s">
        <v>45254</v>
      </c>
    </row>
    <row r="13454" spans="1:15">
      <c r="A13454" t="s">
        <v>40161</v>
      </c>
      <c r="D13454" t="s">
        <v>45255</v>
      </c>
      <c r="E13454" t="b">
        <v>0</v>
      </c>
      <c r="F13454" t="s">
        <v>11622</v>
      </c>
      <c r="L13454">
        <v>0</v>
      </c>
      <c r="M13454">
        <v>2</v>
      </c>
      <c r="N13454">
        <v>0</v>
      </c>
    </row>
    <row r="13455" spans="1:15">
      <c r="A13455" t="s">
        <v>45256</v>
      </c>
      <c r="B13455" t="s">
        <v>6742</v>
      </c>
      <c r="C13455" t="s">
        <v>37716</v>
      </c>
      <c r="D13455" t="s">
        <v>45257</v>
      </c>
      <c r="E13455" t="b">
        <v>0</v>
      </c>
      <c r="F13455" t="s">
        <v>11624</v>
      </c>
      <c r="G13455">
        <v>3.19008</v>
      </c>
      <c r="H13455">
        <v>18.512899999999998</v>
      </c>
      <c r="I13455" t="s">
        <v>45258</v>
      </c>
      <c r="L13455">
        <v>0</v>
      </c>
      <c r="M13455">
        <v>0</v>
      </c>
      <c r="N13455">
        <v>0</v>
      </c>
      <c r="O13455" t="s">
        <v>16656</v>
      </c>
    </row>
    <row r="13456" spans="1:15">
      <c r="A13456" t="s">
        <v>45259</v>
      </c>
      <c r="B13456" t="s">
        <v>6742</v>
      </c>
      <c r="C13456" t="s">
        <v>19661</v>
      </c>
      <c r="D13456" t="s">
        <v>45260</v>
      </c>
      <c r="E13456" t="b">
        <v>0</v>
      </c>
      <c r="F13456" t="s">
        <v>11610</v>
      </c>
      <c r="L13456">
        <v>0</v>
      </c>
      <c r="M13456">
        <v>0</v>
      </c>
      <c r="N13456">
        <v>0</v>
      </c>
    </row>
    <row r="13457" spans="1:15">
      <c r="A13457" t="s">
        <v>45261</v>
      </c>
      <c r="B13457" t="s">
        <v>141</v>
      </c>
      <c r="C13457" t="s">
        <v>31555</v>
      </c>
      <c r="D13457" t="s">
        <v>45262</v>
      </c>
      <c r="E13457" t="b">
        <v>0</v>
      </c>
      <c r="F13457" t="s">
        <v>11610</v>
      </c>
      <c r="L13457">
        <v>0</v>
      </c>
      <c r="M13457">
        <v>0</v>
      </c>
      <c r="N13457">
        <v>0</v>
      </c>
    </row>
    <row r="13458" spans="1:15">
      <c r="A13458" t="s">
        <v>37716</v>
      </c>
      <c r="B13458" t="s">
        <v>6742</v>
      </c>
      <c r="C13458" t="s">
        <v>20720</v>
      </c>
      <c r="D13458" t="s">
        <v>45263</v>
      </c>
      <c r="E13458" t="b">
        <v>0</v>
      </c>
      <c r="F13458" t="s">
        <v>11622</v>
      </c>
      <c r="L13458">
        <v>1</v>
      </c>
      <c r="M13458">
        <v>3</v>
      </c>
      <c r="N13458">
        <v>0</v>
      </c>
    </row>
    <row r="13459" spans="1:15">
      <c r="A13459" t="s">
        <v>45264</v>
      </c>
      <c r="B13459" t="s">
        <v>6742</v>
      </c>
      <c r="C13459" t="s">
        <v>14829</v>
      </c>
      <c r="D13459" t="s">
        <v>45265</v>
      </c>
      <c r="E13459" t="b">
        <v>0</v>
      </c>
      <c r="F13459" t="s">
        <v>11610</v>
      </c>
      <c r="L13459">
        <v>0</v>
      </c>
      <c r="M13459">
        <v>0</v>
      </c>
      <c r="N13459">
        <v>0</v>
      </c>
    </row>
    <row r="13460" spans="1:15">
      <c r="A13460" t="s">
        <v>45266</v>
      </c>
      <c r="B13460" t="s">
        <v>11607</v>
      </c>
      <c r="C13460" t="s">
        <v>28240</v>
      </c>
      <c r="D13460" t="s">
        <v>45267</v>
      </c>
      <c r="E13460" t="b">
        <v>0</v>
      </c>
      <c r="F13460" t="s">
        <v>11610</v>
      </c>
      <c r="L13460">
        <v>0</v>
      </c>
      <c r="M13460">
        <v>0</v>
      </c>
      <c r="N13460">
        <v>0</v>
      </c>
    </row>
    <row r="13461" spans="1:15">
      <c r="A13461" t="s">
        <v>45268</v>
      </c>
      <c r="B13461" t="s">
        <v>6742</v>
      </c>
      <c r="C13461" t="s">
        <v>16391</v>
      </c>
      <c r="D13461" t="s">
        <v>45269</v>
      </c>
      <c r="E13461" t="b">
        <v>0</v>
      </c>
      <c r="F13461" t="s">
        <v>11624</v>
      </c>
      <c r="G13461">
        <v>9.4408100000000008</v>
      </c>
      <c r="H13461">
        <v>11.204000000000001</v>
      </c>
      <c r="I13461" t="s">
        <v>45270</v>
      </c>
      <c r="L13461">
        <v>0</v>
      </c>
      <c r="M13461">
        <v>0</v>
      </c>
      <c r="N13461">
        <v>0</v>
      </c>
      <c r="O13461" t="s">
        <v>11693</v>
      </c>
    </row>
    <row r="13462" spans="1:15">
      <c r="A13462" t="s">
        <v>45271</v>
      </c>
      <c r="B13462" t="s">
        <v>11637</v>
      </c>
      <c r="C13462" t="s">
        <v>30640</v>
      </c>
      <c r="D13462" t="s">
        <v>45272</v>
      </c>
      <c r="E13462" t="b">
        <v>0</v>
      </c>
      <c r="F13462" t="s">
        <v>11610</v>
      </c>
      <c r="L13462">
        <v>0</v>
      </c>
      <c r="M13462">
        <v>0</v>
      </c>
      <c r="N13462">
        <v>2</v>
      </c>
    </row>
    <row r="13463" spans="1:15">
      <c r="A13463" t="s">
        <v>45273</v>
      </c>
      <c r="B13463" t="s">
        <v>367</v>
      </c>
      <c r="C13463" t="s">
        <v>45274</v>
      </c>
      <c r="D13463" t="s">
        <v>45275</v>
      </c>
      <c r="E13463" t="b">
        <v>0</v>
      </c>
      <c r="F13463" t="s">
        <v>11610</v>
      </c>
      <c r="L13463">
        <v>0</v>
      </c>
      <c r="M13463">
        <v>0</v>
      </c>
      <c r="N13463">
        <v>0</v>
      </c>
    </row>
    <row r="13464" spans="1:15">
      <c r="A13464" t="s">
        <v>45276</v>
      </c>
      <c r="B13464" t="s">
        <v>12979</v>
      </c>
      <c r="C13464" t="s">
        <v>6048</v>
      </c>
      <c r="D13464" t="s">
        <v>45277</v>
      </c>
      <c r="E13464" t="b">
        <v>0</v>
      </c>
      <c r="F13464" t="s">
        <v>11624</v>
      </c>
      <c r="G13464">
        <v>51.068600000000004</v>
      </c>
      <c r="H13464">
        <v>-80.691199999999995</v>
      </c>
      <c r="I13464" t="s">
        <v>45278</v>
      </c>
      <c r="L13464">
        <v>0</v>
      </c>
      <c r="M13464">
        <v>0</v>
      </c>
      <c r="N13464">
        <v>0</v>
      </c>
      <c r="O13464" t="s">
        <v>13049</v>
      </c>
    </row>
    <row r="13465" spans="1:15">
      <c r="A13465" t="s">
        <v>32904</v>
      </c>
      <c r="B13465" t="s">
        <v>5911</v>
      </c>
      <c r="C13465" t="s">
        <v>7055</v>
      </c>
      <c r="D13465" t="s">
        <v>45279</v>
      </c>
      <c r="E13465" t="b">
        <v>0</v>
      </c>
      <c r="F13465" t="s">
        <v>11622</v>
      </c>
      <c r="L13465">
        <v>0</v>
      </c>
      <c r="M13465">
        <v>2</v>
      </c>
      <c r="N13465">
        <v>0</v>
      </c>
    </row>
    <row r="13466" spans="1:15">
      <c r="A13466" t="s">
        <v>45280</v>
      </c>
      <c r="B13466" t="s">
        <v>5911</v>
      </c>
      <c r="C13466" t="s">
        <v>32904</v>
      </c>
      <c r="D13466" t="s">
        <v>45281</v>
      </c>
      <c r="E13466" t="b">
        <v>0</v>
      </c>
      <c r="F13466" t="s">
        <v>11624</v>
      </c>
      <c r="G13466">
        <v>16.353300000000001</v>
      </c>
      <c r="H13466">
        <v>-89.067300000000003</v>
      </c>
      <c r="I13466" t="s">
        <v>45282</v>
      </c>
      <c r="L13466">
        <v>0</v>
      </c>
      <c r="M13466">
        <v>0</v>
      </c>
      <c r="N13466">
        <v>0</v>
      </c>
      <c r="O13466" t="s">
        <v>45283</v>
      </c>
    </row>
    <row r="13467" spans="1:15">
      <c r="A13467" t="s">
        <v>45284</v>
      </c>
      <c r="B13467" t="s">
        <v>11844</v>
      </c>
      <c r="C13467" t="s">
        <v>1264</v>
      </c>
      <c r="D13467" t="s">
        <v>45285</v>
      </c>
      <c r="E13467" t="b">
        <v>0</v>
      </c>
      <c r="F13467" t="s">
        <v>11610</v>
      </c>
      <c r="L13467">
        <v>0</v>
      </c>
      <c r="M13467">
        <v>0</v>
      </c>
      <c r="N13467">
        <v>0</v>
      </c>
    </row>
    <row r="13468" spans="1:15">
      <c r="A13468" t="s">
        <v>45286</v>
      </c>
      <c r="B13468" t="s">
        <v>331</v>
      </c>
      <c r="C13468" t="s">
        <v>12244</v>
      </c>
      <c r="D13468" t="s">
        <v>45287</v>
      </c>
      <c r="E13468" t="b">
        <v>0</v>
      </c>
      <c r="F13468" t="s">
        <v>11610</v>
      </c>
      <c r="L13468">
        <v>0</v>
      </c>
      <c r="M13468">
        <v>0</v>
      </c>
      <c r="N13468">
        <v>0</v>
      </c>
    </row>
    <row r="13469" spans="1:15">
      <c r="A13469" t="s">
        <v>45288</v>
      </c>
      <c r="B13469" t="s">
        <v>27929</v>
      </c>
      <c r="C13469" t="s">
        <v>34329</v>
      </c>
      <c r="D13469" t="s">
        <v>45289</v>
      </c>
      <c r="E13469" t="b">
        <v>0</v>
      </c>
      <c r="F13469" t="s">
        <v>11624</v>
      </c>
      <c r="G13469">
        <v>-1.0408299999999999</v>
      </c>
      <c r="H13469">
        <v>131.965</v>
      </c>
      <c r="I13469" t="s">
        <v>45290</v>
      </c>
      <c r="L13469">
        <v>0</v>
      </c>
      <c r="M13469">
        <v>0</v>
      </c>
      <c r="N13469">
        <v>0</v>
      </c>
      <c r="O13469" t="s">
        <v>11768</v>
      </c>
    </row>
    <row r="13470" spans="1:15">
      <c r="A13470" t="s">
        <v>45291</v>
      </c>
      <c r="B13470" t="s">
        <v>11637</v>
      </c>
      <c r="C13470" t="s">
        <v>19125</v>
      </c>
      <c r="D13470" t="s">
        <v>45292</v>
      </c>
      <c r="E13470" t="b">
        <v>0</v>
      </c>
      <c r="F13470" t="s">
        <v>11610</v>
      </c>
      <c r="L13470">
        <v>0</v>
      </c>
      <c r="M13470">
        <v>0</v>
      </c>
      <c r="N13470">
        <v>0</v>
      </c>
    </row>
    <row r="13471" spans="1:15">
      <c r="A13471" t="s">
        <v>45293</v>
      </c>
      <c r="B13471" t="s">
        <v>11637</v>
      </c>
      <c r="C13471" t="s">
        <v>24607</v>
      </c>
      <c r="D13471" t="s">
        <v>45294</v>
      </c>
      <c r="E13471" t="b">
        <v>0</v>
      </c>
      <c r="F13471" t="s">
        <v>11610</v>
      </c>
      <c r="L13471">
        <v>0</v>
      </c>
      <c r="M13471">
        <v>0</v>
      </c>
      <c r="N13471">
        <v>0</v>
      </c>
    </row>
    <row r="13472" spans="1:15">
      <c r="A13472" t="s">
        <v>45295</v>
      </c>
      <c r="B13472" t="s">
        <v>11637</v>
      </c>
      <c r="C13472" t="s">
        <v>24607</v>
      </c>
      <c r="D13472" t="s">
        <v>45296</v>
      </c>
      <c r="E13472" t="b">
        <v>0</v>
      </c>
      <c r="F13472" t="s">
        <v>11610</v>
      </c>
      <c r="L13472">
        <v>0</v>
      </c>
      <c r="M13472">
        <v>0</v>
      </c>
      <c r="N13472">
        <v>0</v>
      </c>
    </row>
    <row r="13473" spans="1:15">
      <c r="A13473" t="s">
        <v>45297</v>
      </c>
      <c r="B13473" t="s">
        <v>14798</v>
      </c>
      <c r="C13473" t="s">
        <v>14798</v>
      </c>
      <c r="D13473" t="s">
        <v>45298</v>
      </c>
      <c r="E13473" t="b">
        <v>0</v>
      </c>
      <c r="F13473" t="s">
        <v>11624</v>
      </c>
      <c r="G13473">
        <v>-10.132099999999999</v>
      </c>
      <c r="H13473">
        <v>148.67099999999999</v>
      </c>
      <c r="I13473" t="s">
        <v>45299</v>
      </c>
      <c r="L13473">
        <v>0</v>
      </c>
      <c r="M13473">
        <v>0</v>
      </c>
      <c r="N13473">
        <v>0</v>
      </c>
      <c r="O13473" t="s">
        <v>11660</v>
      </c>
    </row>
    <row r="13474" spans="1:15">
      <c r="A13474" t="s">
        <v>19415</v>
      </c>
      <c r="B13474" t="s">
        <v>11637</v>
      </c>
      <c r="C13474" t="s">
        <v>27021</v>
      </c>
      <c r="D13474" t="s">
        <v>45300</v>
      </c>
      <c r="E13474" t="b">
        <v>0</v>
      </c>
      <c r="F13474" t="s">
        <v>11610</v>
      </c>
      <c r="L13474">
        <v>0</v>
      </c>
      <c r="M13474">
        <v>0</v>
      </c>
      <c r="N13474">
        <v>8</v>
      </c>
    </row>
    <row r="13475" spans="1:15">
      <c r="A13475" t="s">
        <v>45301</v>
      </c>
      <c r="B13475" t="s">
        <v>11729</v>
      </c>
      <c r="C13475" t="s">
        <v>17593</v>
      </c>
      <c r="D13475" t="s">
        <v>45302</v>
      </c>
      <c r="E13475" t="b">
        <v>0</v>
      </c>
      <c r="F13475" t="s">
        <v>11610</v>
      </c>
      <c r="L13475">
        <v>0</v>
      </c>
      <c r="M13475">
        <v>0</v>
      </c>
      <c r="N13475">
        <v>0</v>
      </c>
    </row>
    <row r="13476" spans="1:15">
      <c r="A13476" t="s">
        <v>45303</v>
      </c>
      <c r="D13476" t="s">
        <v>45304</v>
      </c>
      <c r="E13476" t="b">
        <v>0</v>
      </c>
      <c r="F13476" t="s">
        <v>11624</v>
      </c>
      <c r="G13476">
        <v>-2.8574700000000002</v>
      </c>
      <c r="H13476">
        <v>132.845</v>
      </c>
      <c r="I13476" t="s">
        <v>45305</v>
      </c>
      <c r="L13476">
        <v>0</v>
      </c>
      <c r="M13476">
        <v>0</v>
      </c>
      <c r="N13476">
        <v>0</v>
      </c>
      <c r="O13476" t="s">
        <v>11768</v>
      </c>
    </row>
    <row r="13477" spans="1:15">
      <c r="A13477" t="s">
        <v>1451</v>
      </c>
      <c r="B13477" t="s">
        <v>12260</v>
      </c>
      <c r="C13477" t="s">
        <v>12260</v>
      </c>
      <c r="D13477" t="s">
        <v>45306</v>
      </c>
      <c r="E13477" t="b">
        <v>0</v>
      </c>
      <c r="F13477" t="s">
        <v>11622</v>
      </c>
      <c r="L13477">
        <v>0</v>
      </c>
      <c r="M13477">
        <v>2</v>
      </c>
      <c r="N13477">
        <v>0</v>
      </c>
    </row>
    <row r="13478" spans="1:15">
      <c r="A13478" t="s">
        <v>45307</v>
      </c>
      <c r="B13478" t="s">
        <v>45308</v>
      </c>
      <c r="C13478" t="s">
        <v>45309</v>
      </c>
      <c r="D13478" t="s">
        <v>45310</v>
      </c>
      <c r="E13478" t="b">
        <v>0</v>
      </c>
      <c r="F13478" t="s">
        <v>11610</v>
      </c>
      <c r="L13478">
        <v>0</v>
      </c>
      <c r="M13478">
        <v>0</v>
      </c>
      <c r="N13478">
        <v>0</v>
      </c>
    </row>
    <row r="13479" spans="1:15">
      <c r="A13479" t="s">
        <v>14005</v>
      </c>
      <c r="D13479" t="s">
        <v>45311</v>
      </c>
      <c r="E13479" t="b">
        <v>0</v>
      </c>
      <c r="F13479" t="s">
        <v>11622</v>
      </c>
      <c r="L13479">
        <v>9</v>
      </c>
      <c r="M13479">
        <v>19</v>
      </c>
      <c r="N13479">
        <v>22</v>
      </c>
    </row>
    <row r="13480" spans="1:15">
      <c r="A13480" t="s">
        <v>45312</v>
      </c>
      <c r="B13480" t="s">
        <v>14005</v>
      </c>
      <c r="C13480" t="s">
        <v>14005</v>
      </c>
      <c r="D13480" t="s">
        <v>45313</v>
      </c>
      <c r="E13480" t="b">
        <v>0</v>
      </c>
      <c r="F13480" t="s">
        <v>11622</v>
      </c>
      <c r="L13480">
        <v>5</v>
      </c>
      <c r="M13480">
        <v>15</v>
      </c>
      <c r="N13480">
        <v>16</v>
      </c>
    </row>
    <row r="13481" spans="1:15">
      <c r="A13481" t="s">
        <v>45314</v>
      </c>
      <c r="B13481" t="s">
        <v>367</v>
      </c>
      <c r="C13481" t="s">
        <v>31138</v>
      </c>
      <c r="D13481" t="s">
        <v>45315</v>
      </c>
      <c r="E13481" t="b">
        <v>0</v>
      </c>
      <c r="F13481" t="s">
        <v>11610</v>
      </c>
      <c r="L13481">
        <v>0</v>
      </c>
      <c r="M13481">
        <v>0</v>
      </c>
      <c r="N13481">
        <v>0</v>
      </c>
    </row>
    <row r="13482" spans="1:15">
      <c r="A13482" t="s">
        <v>45316</v>
      </c>
      <c r="B13482" t="s">
        <v>11615</v>
      </c>
      <c r="C13482" t="s">
        <v>13604</v>
      </c>
      <c r="D13482" t="s">
        <v>45317</v>
      </c>
      <c r="E13482" t="b">
        <v>0</v>
      </c>
      <c r="F13482" t="s">
        <v>11624</v>
      </c>
      <c r="G13482">
        <v>-4.5749700000000004</v>
      </c>
      <c r="H13482">
        <v>144.988</v>
      </c>
      <c r="I13482" t="s">
        <v>45318</v>
      </c>
      <c r="L13482">
        <v>0</v>
      </c>
      <c r="M13482">
        <v>0</v>
      </c>
      <c r="N13482">
        <v>0</v>
      </c>
      <c r="O13482" t="s">
        <v>11660</v>
      </c>
    </row>
    <row r="13483" spans="1:15">
      <c r="A13483" t="s">
        <v>45319</v>
      </c>
      <c r="B13483" t="s">
        <v>12751</v>
      </c>
      <c r="C13483" t="s">
        <v>21695</v>
      </c>
      <c r="D13483" t="s">
        <v>45320</v>
      </c>
      <c r="E13483" t="b">
        <v>0</v>
      </c>
      <c r="F13483" t="s">
        <v>11624</v>
      </c>
      <c r="G13483">
        <v>18.9161</v>
      </c>
      <c r="H13483">
        <v>-99.132199999999997</v>
      </c>
      <c r="I13483" t="s">
        <v>45321</v>
      </c>
      <c r="L13483">
        <v>0</v>
      </c>
      <c r="M13483">
        <v>0</v>
      </c>
      <c r="N13483">
        <v>0</v>
      </c>
      <c r="O13483" t="s">
        <v>11883</v>
      </c>
    </row>
    <row r="13484" spans="1:15">
      <c r="A13484" t="s">
        <v>45322</v>
      </c>
      <c r="B13484" t="s">
        <v>12241</v>
      </c>
      <c r="C13484" t="s">
        <v>45323</v>
      </c>
      <c r="D13484" t="s">
        <v>45324</v>
      </c>
      <c r="E13484" t="b">
        <v>0</v>
      </c>
      <c r="F13484" t="s">
        <v>11624</v>
      </c>
      <c r="G13484">
        <v>-8.6682199999999998</v>
      </c>
      <c r="H13484">
        <v>-61.385800000000003</v>
      </c>
      <c r="I13484" t="s">
        <v>45325</v>
      </c>
      <c r="L13484">
        <v>0</v>
      </c>
      <c r="M13484">
        <v>0</v>
      </c>
      <c r="N13484">
        <v>0</v>
      </c>
      <c r="O13484" t="s">
        <v>11969</v>
      </c>
    </row>
    <row r="13485" spans="1:15">
      <c r="A13485" t="s">
        <v>45326</v>
      </c>
      <c r="B13485" t="s">
        <v>22306</v>
      </c>
      <c r="C13485" t="s">
        <v>22306</v>
      </c>
      <c r="D13485" t="s">
        <v>45327</v>
      </c>
      <c r="E13485" t="b">
        <v>0</v>
      </c>
      <c r="F13485" t="s">
        <v>11622</v>
      </c>
      <c r="L13485">
        <v>6</v>
      </c>
      <c r="M13485">
        <v>8</v>
      </c>
      <c r="N13485">
        <v>1</v>
      </c>
    </row>
    <row r="13486" spans="1:15">
      <c r="A13486" t="s">
        <v>45328</v>
      </c>
      <c r="B13486" t="s">
        <v>22306</v>
      </c>
      <c r="C13486" t="s">
        <v>45326</v>
      </c>
      <c r="D13486" t="s">
        <v>45329</v>
      </c>
      <c r="E13486" t="b">
        <v>0</v>
      </c>
      <c r="F13486" t="s">
        <v>11622</v>
      </c>
      <c r="L13486">
        <v>1</v>
      </c>
      <c r="M13486">
        <v>3</v>
      </c>
      <c r="N13486">
        <v>1</v>
      </c>
    </row>
    <row r="13487" spans="1:15">
      <c r="A13487" t="s">
        <v>45330</v>
      </c>
      <c r="B13487" t="s">
        <v>12686</v>
      </c>
      <c r="C13487" t="s">
        <v>6182</v>
      </c>
      <c r="D13487" t="s">
        <v>45331</v>
      </c>
      <c r="E13487" t="b">
        <v>0</v>
      </c>
      <c r="F13487" t="s">
        <v>11610</v>
      </c>
      <c r="L13487">
        <v>0</v>
      </c>
      <c r="M13487">
        <v>0</v>
      </c>
      <c r="N13487">
        <v>0</v>
      </c>
    </row>
    <row r="13488" spans="1:15">
      <c r="A13488" t="s">
        <v>45332</v>
      </c>
      <c r="B13488" t="s">
        <v>6742</v>
      </c>
      <c r="C13488" t="s">
        <v>11720</v>
      </c>
      <c r="D13488" t="s">
        <v>45333</v>
      </c>
      <c r="E13488" t="b">
        <v>0</v>
      </c>
      <c r="F13488" t="s">
        <v>11610</v>
      </c>
      <c r="L13488">
        <v>0</v>
      </c>
      <c r="M13488">
        <v>0</v>
      </c>
      <c r="N13488">
        <v>0</v>
      </c>
    </row>
    <row r="13489" spans="1:15">
      <c r="A13489" t="s">
        <v>45334</v>
      </c>
      <c r="B13489" t="s">
        <v>367</v>
      </c>
      <c r="C13489" t="s">
        <v>1592</v>
      </c>
      <c r="D13489" t="s">
        <v>45335</v>
      </c>
      <c r="E13489" t="b">
        <v>0</v>
      </c>
      <c r="F13489" t="s">
        <v>11610</v>
      </c>
      <c r="L13489">
        <v>0</v>
      </c>
      <c r="M13489">
        <v>0</v>
      </c>
      <c r="N13489">
        <v>0</v>
      </c>
    </row>
    <row r="13490" spans="1:15">
      <c r="A13490" t="s">
        <v>35244</v>
      </c>
      <c r="B13490" t="s">
        <v>367</v>
      </c>
      <c r="C13490" t="s">
        <v>15954</v>
      </c>
      <c r="D13490" t="s">
        <v>45336</v>
      </c>
      <c r="E13490" t="b">
        <v>0</v>
      </c>
      <c r="F13490" t="s">
        <v>11624</v>
      </c>
      <c r="G13490">
        <v>-2.5601600000000002</v>
      </c>
      <c r="H13490">
        <v>121.37</v>
      </c>
      <c r="I13490" t="s">
        <v>45337</v>
      </c>
      <c r="L13490">
        <v>0</v>
      </c>
      <c r="M13490">
        <v>0</v>
      </c>
      <c r="N13490">
        <v>5</v>
      </c>
      <c r="O13490" t="s">
        <v>11768</v>
      </c>
    </row>
    <row r="13491" spans="1:15">
      <c r="A13491" t="s">
        <v>12504</v>
      </c>
      <c r="B13491" t="s">
        <v>367</v>
      </c>
      <c r="C13491" t="s">
        <v>32521</v>
      </c>
      <c r="D13491" t="s">
        <v>45338</v>
      </c>
      <c r="E13491" t="b">
        <v>0</v>
      </c>
      <c r="F13491" t="s">
        <v>11624</v>
      </c>
      <c r="G13491">
        <v>-2.2555000000000001</v>
      </c>
      <c r="H13491">
        <v>121.035</v>
      </c>
      <c r="I13491" t="s">
        <v>45339</v>
      </c>
      <c r="L13491">
        <v>0</v>
      </c>
      <c r="M13491">
        <v>0</v>
      </c>
      <c r="N13491">
        <v>1</v>
      </c>
      <c r="O13491" t="s">
        <v>11768</v>
      </c>
    </row>
    <row r="13492" spans="1:15">
      <c r="A13492" t="s">
        <v>45340</v>
      </c>
      <c r="B13492" t="s">
        <v>13769</v>
      </c>
      <c r="C13492" t="s">
        <v>13768</v>
      </c>
      <c r="D13492" t="s">
        <v>45341</v>
      </c>
      <c r="E13492" t="b">
        <v>0</v>
      </c>
      <c r="F13492" t="s">
        <v>11610</v>
      </c>
      <c r="L13492">
        <v>0</v>
      </c>
      <c r="M13492">
        <v>0</v>
      </c>
      <c r="N13492">
        <v>0</v>
      </c>
    </row>
    <row r="13493" spans="1:15">
      <c r="A13493" t="s">
        <v>45342</v>
      </c>
      <c r="B13493" t="s">
        <v>14524</v>
      </c>
      <c r="C13493" t="s">
        <v>35943</v>
      </c>
      <c r="D13493" t="s">
        <v>45343</v>
      </c>
      <c r="E13493" t="b">
        <v>0</v>
      </c>
      <c r="F13493" t="s">
        <v>11624</v>
      </c>
      <c r="G13493">
        <v>-7.6296099999999996</v>
      </c>
      <c r="H13493">
        <v>143.88</v>
      </c>
      <c r="I13493" t="s">
        <v>45344</v>
      </c>
      <c r="L13493">
        <v>0</v>
      </c>
      <c r="M13493">
        <v>0</v>
      </c>
      <c r="N13493">
        <v>0</v>
      </c>
      <c r="O13493" t="s">
        <v>11660</v>
      </c>
    </row>
    <row r="13494" spans="1:15">
      <c r="A13494" t="s">
        <v>45345</v>
      </c>
      <c r="B13494" t="s">
        <v>4342</v>
      </c>
      <c r="C13494" t="s">
        <v>1360</v>
      </c>
      <c r="D13494" t="s">
        <v>45346</v>
      </c>
      <c r="E13494" t="b">
        <v>0</v>
      </c>
      <c r="F13494" t="s">
        <v>11610</v>
      </c>
      <c r="L13494">
        <v>0</v>
      </c>
      <c r="M13494">
        <v>0</v>
      </c>
      <c r="N13494">
        <v>0</v>
      </c>
    </row>
    <row r="13495" spans="1:15">
      <c r="A13495" t="s">
        <v>45347</v>
      </c>
      <c r="B13495" t="s">
        <v>11894</v>
      </c>
      <c r="C13495" t="s">
        <v>22215</v>
      </c>
      <c r="D13495" t="s">
        <v>45348</v>
      </c>
      <c r="E13495" t="b">
        <v>0</v>
      </c>
      <c r="F13495" t="s">
        <v>11624</v>
      </c>
      <c r="G13495">
        <v>-5.6345729999999996</v>
      </c>
      <c r="H13495">
        <v>-73.126830999999996</v>
      </c>
      <c r="L13495">
        <v>0</v>
      </c>
      <c r="M13495">
        <v>0</v>
      </c>
      <c r="N13495">
        <v>0</v>
      </c>
      <c r="O13495" t="s">
        <v>11778</v>
      </c>
    </row>
    <row r="13496" spans="1:15">
      <c r="A13496" t="s">
        <v>45349</v>
      </c>
      <c r="B13496" t="s">
        <v>11607</v>
      </c>
      <c r="C13496" t="s">
        <v>25157</v>
      </c>
      <c r="D13496" t="s">
        <v>45350</v>
      </c>
      <c r="E13496" t="b">
        <v>0</v>
      </c>
      <c r="F13496" t="s">
        <v>11610</v>
      </c>
      <c r="L13496">
        <v>0</v>
      </c>
      <c r="M13496">
        <v>0</v>
      </c>
      <c r="N13496">
        <v>0</v>
      </c>
    </row>
    <row r="13497" spans="1:15">
      <c r="A13497" t="s">
        <v>45351</v>
      </c>
      <c r="B13497" t="s">
        <v>11637</v>
      </c>
      <c r="C13497" t="s">
        <v>32761</v>
      </c>
      <c r="D13497" t="s">
        <v>45352</v>
      </c>
      <c r="E13497" t="b">
        <v>0</v>
      </c>
      <c r="F13497" t="s">
        <v>11624</v>
      </c>
      <c r="G13497">
        <v>-20.261299999999999</v>
      </c>
      <c r="H13497">
        <v>57.551699999999997</v>
      </c>
      <c r="I13497" t="s">
        <v>45353</v>
      </c>
      <c r="L13497">
        <v>0</v>
      </c>
      <c r="M13497">
        <v>0</v>
      </c>
      <c r="N13497">
        <v>0</v>
      </c>
      <c r="O13497" t="s">
        <v>43427</v>
      </c>
    </row>
    <row r="13498" spans="1:15">
      <c r="A13498" t="s">
        <v>45354</v>
      </c>
      <c r="B13498" t="s">
        <v>367</v>
      </c>
      <c r="C13498" t="s">
        <v>19355</v>
      </c>
      <c r="D13498" t="s">
        <v>45355</v>
      </c>
      <c r="E13498" t="b">
        <v>0</v>
      </c>
      <c r="F13498" t="s">
        <v>11624</v>
      </c>
      <c r="G13498">
        <v>-2.8705500000000002</v>
      </c>
      <c r="H13498">
        <v>135.94999999999999</v>
      </c>
      <c r="I13498" t="s">
        <v>45356</v>
      </c>
      <c r="L13498">
        <v>0</v>
      </c>
      <c r="M13498">
        <v>0</v>
      </c>
      <c r="N13498">
        <v>0</v>
      </c>
      <c r="O13498" t="s">
        <v>11768</v>
      </c>
    </row>
    <row r="13499" spans="1:15">
      <c r="A13499" t="s">
        <v>45357</v>
      </c>
      <c r="B13499" t="s">
        <v>11981</v>
      </c>
      <c r="C13499" t="s">
        <v>13456</v>
      </c>
      <c r="D13499" t="s">
        <v>45358</v>
      </c>
      <c r="E13499" t="b">
        <v>0</v>
      </c>
      <c r="F13499" t="s">
        <v>11624</v>
      </c>
      <c r="G13499">
        <v>32.139000000000003</v>
      </c>
      <c r="H13499">
        <v>-7.6960699999999997</v>
      </c>
      <c r="I13499" t="s">
        <v>45359</v>
      </c>
      <c r="L13499">
        <v>0</v>
      </c>
      <c r="M13499">
        <v>0</v>
      </c>
      <c r="N13499">
        <v>0</v>
      </c>
      <c r="O13499" t="s">
        <v>29185</v>
      </c>
    </row>
    <row r="13500" spans="1:15">
      <c r="A13500" t="s">
        <v>45360</v>
      </c>
      <c r="B13500" t="s">
        <v>6742</v>
      </c>
      <c r="C13500" t="s">
        <v>11737</v>
      </c>
      <c r="D13500" t="s">
        <v>45361</v>
      </c>
      <c r="E13500" t="b">
        <v>0</v>
      </c>
      <c r="F13500" t="s">
        <v>11610</v>
      </c>
      <c r="L13500">
        <v>0</v>
      </c>
      <c r="M13500">
        <v>0</v>
      </c>
      <c r="N13500">
        <v>0</v>
      </c>
    </row>
    <row r="13501" spans="1:15">
      <c r="A13501" t="s">
        <v>17593</v>
      </c>
      <c r="B13501" t="s">
        <v>11729</v>
      </c>
      <c r="C13501" t="s">
        <v>17601</v>
      </c>
      <c r="D13501" t="s">
        <v>45362</v>
      </c>
      <c r="E13501" t="b">
        <v>0</v>
      </c>
      <c r="F13501" t="s">
        <v>11624</v>
      </c>
      <c r="G13501">
        <v>12.14611</v>
      </c>
      <c r="H13501">
        <v>17.646529999999998</v>
      </c>
      <c r="I13501" t="s">
        <v>45363</v>
      </c>
      <c r="L13501">
        <v>0</v>
      </c>
      <c r="M13501">
        <v>0</v>
      </c>
      <c r="N13501">
        <v>3</v>
      </c>
      <c r="O13501" t="s">
        <v>13421</v>
      </c>
    </row>
    <row r="13502" spans="1:15">
      <c r="A13502" t="s">
        <v>16101</v>
      </c>
      <c r="B13502" t="s">
        <v>11729</v>
      </c>
      <c r="C13502" t="s">
        <v>19465</v>
      </c>
      <c r="D13502" t="s">
        <v>45364</v>
      </c>
      <c r="E13502" t="b">
        <v>0</v>
      </c>
      <c r="F13502" t="s">
        <v>11622</v>
      </c>
      <c r="L13502">
        <v>3</v>
      </c>
      <c r="M13502">
        <v>7</v>
      </c>
      <c r="N13502">
        <v>11</v>
      </c>
    </row>
    <row r="13503" spans="1:15">
      <c r="A13503" t="s">
        <v>18890</v>
      </c>
      <c r="B13503" t="s">
        <v>11729</v>
      </c>
      <c r="C13503" t="s">
        <v>28880</v>
      </c>
      <c r="D13503" t="s">
        <v>45365</v>
      </c>
      <c r="E13503" t="b">
        <v>0</v>
      </c>
      <c r="F13503" t="s">
        <v>11624</v>
      </c>
      <c r="G13503">
        <v>5.5103</v>
      </c>
      <c r="H13503">
        <v>30.0229</v>
      </c>
      <c r="I13503" t="s">
        <v>45366</v>
      </c>
      <c r="L13503">
        <v>0</v>
      </c>
      <c r="M13503">
        <v>0</v>
      </c>
      <c r="N13503">
        <v>3</v>
      </c>
      <c r="O13503" t="s">
        <v>11910</v>
      </c>
    </row>
    <row r="13504" spans="1:15">
      <c r="A13504" t="s">
        <v>39031</v>
      </c>
      <c r="B13504" t="s">
        <v>21516</v>
      </c>
      <c r="C13504" t="s">
        <v>45367</v>
      </c>
      <c r="D13504" t="s">
        <v>45368</v>
      </c>
      <c r="E13504" t="b">
        <v>0</v>
      </c>
      <c r="F13504" t="s">
        <v>11624</v>
      </c>
      <c r="G13504">
        <v>10.9194</v>
      </c>
      <c r="H13504">
        <v>30.213799999999999</v>
      </c>
      <c r="I13504" t="s">
        <v>45369</v>
      </c>
      <c r="L13504">
        <v>0</v>
      </c>
      <c r="M13504">
        <v>0</v>
      </c>
      <c r="N13504">
        <v>7</v>
      </c>
      <c r="O13504" t="s">
        <v>11910</v>
      </c>
    </row>
    <row r="13505" spans="1:15">
      <c r="A13505" t="s">
        <v>45370</v>
      </c>
      <c r="B13505" t="s">
        <v>367</v>
      </c>
      <c r="C13505" t="s">
        <v>21883</v>
      </c>
      <c r="D13505" t="s">
        <v>45371</v>
      </c>
      <c r="E13505" t="b">
        <v>0</v>
      </c>
      <c r="F13505" t="s">
        <v>11624</v>
      </c>
      <c r="G13505">
        <v>-15.3498</v>
      </c>
      <c r="H13505">
        <v>166.89099999999999</v>
      </c>
      <c r="I13505" t="s">
        <v>45372</v>
      </c>
      <c r="L13505">
        <v>0</v>
      </c>
      <c r="M13505">
        <v>0</v>
      </c>
      <c r="N13505">
        <v>0</v>
      </c>
      <c r="O13505" t="s">
        <v>12719</v>
      </c>
    </row>
    <row r="13506" spans="1:15">
      <c r="A13506" t="s">
        <v>33881</v>
      </c>
      <c r="B13506" t="s">
        <v>367</v>
      </c>
      <c r="C13506" t="s">
        <v>26243</v>
      </c>
      <c r="D13506" t="s">
        <v>45373</v>
      </c>
      <c r="E13506" t="b">
        <v>0</v>
      </c>
      <c r="F13506" t="s">
        <v>11624</v>
      </c>
      <c r="G13506">
        <v>-4.6236100000000002</v>
      </c>
      <c r="H13506">
        <v>121.824</v>
      </c>
      <c r="I13506" t="s">
        <v>45374</v>
      </c>
      <c r="L13506">
        <v>0</v>
      </c>
      <c r="M13506">
        <v>0</v>
      </c>
      <c r="N13506">
        <v>4</v>
      </c>
      <c r="O13506" t="s">
        <v>11768</v>
      </c>
    </row>
    <row r="13507" spans="1:15">
      <c r="A13507" t="s">
        <v>45375</v>
      </c>
      <c r="D13507" t="s">
        <v>45376</v>
      </c>
      <c r="E13507" t="b">
        <v>0</v>
      </c>
      <c r="F13507" t="s">
        <v>11624</v>
      </c>
      <c r="G13507">
        <v>-8.5692000000000004</v>
      </c>
      <c r="H13507">
        <v>140.68799999999999</v>
      </c>
      <c r="I13507" t="s">
        <v>45377</v>
      </c>
      <c r="L13507">
        <v>0</v>
      </c>
      <c r="M13507">
        <v>0</v>
      </c>
      <c r="N13507">
        <v>0</v>
      </c>
      <c r="O13507" t="s">
        <v>11768</v>
      </c>
    </row>
    <row r="13508" spans="1:15">
      <c r="A13508" t="s">
        <v>45378</v>
      </c>
      <c r="B13508" t="s">
        <v>12133</v>
      </c>
      <c r="C13508" t="s">
        <v>28370</v>
      </c>
      <c r="D13508" t="s">
        <v>45379</v>
      </c>
      <c r="E13508" t="b">
        <v>0</v>
      </c>
      <c r="F13508" t="s">
        <v>11610</v>
      </c>
      <c r="L13508">
        <v>0</v>
      </c>
      <c r="M13508">
        <v>0</v>
      </c>
      <c r="N13508">
        <v>0</v>
      </c>
    </row>
    <row r="13509" spans="1:15">
      <c r="A13509" t="s">
        <v>45380</v>
      </c>
      <c r="B13509" t="s">
        <v>4342</v>
      </c>
      <c r="C13509" t="s">
        <v>45381</v>
      </c>
      <c r="D13509" t="s">
        <v>45382</v>
      </c>
      <c r="E13509" t="b">
        <v>0</v>
      </c>
      <c r="F13509" t="s">
        <v>11610</v>
      </c>
      <c r="L13509">
        <v>0</v>
      </c>
      <c r="M13509">
        <v>0</v>
      </c>
      <c r="N13509">
        <v>0</v>
      </c>
    </row>
    <row r="13510" spans="1:15">
      <c r="A13510" t="s">
        <v>27826</v>
      </c>
      <c r="B13510" t="s">
        <v>11607</v>
      </c>
      <c r="C13510" t="s">
        <v>13704</v>
      </c>
      <c r="D13510" t="s">
        <v>45383</v>
      </c>
      <c r="E13510" t="b">
        <v>0</v>
      </c>
      <c r="F13510" t="s">
        <v>11624</v>
      </c>
      <c r="G13510">
        <v>32.5</v>
      </c>
      <c r="H13510">
        <v>-7.5</v>
      </c>
      <c r="I13510" t="s">
        <v>45384</v>
      </c>
      <c r="L13510">
        <v>0</v>
      </c>
      <c r="M13510">
        <v>0</v>
      </c>
      <c r="N13510">
        <v>7</v>
      </c>
      <c r="O13510" t="s">
        <v>45385</v>
      </c>
    </row>
    <row r="13511" spans="1:15">
      <c r="A13511" t="s">
        <v>17832</v>
      </c>
      <c r="B13511" t="s">
        <v>11729</v>
      </c>
      <c r="C13511" t="s">
        <v>16101</v>
      </c>
      <c r="D13511" t="s">
        <v>45386</v>
      </c>
      <c r="E13511" t="b">
        <v>0</v>
      </c>
      <c r="F13511" t="s">
        <v>11622</v>
      </c>
      <c r="L13511">
        <v>2</v>
      </c>
      <c r="M13511">
        <v>6</v>
      </c>
      <c r="N13511">
        <v>11</v>
      </c>
    </row>
    <row r="13512" spans="1:15">
      <c r="A13512" t="s">
        <v>13704</v>
      </c>
      <c r="B13512" t="s">
        <v>11607</v>
      </c>
      <c r="C13512" t="s">
        <v>13031</v>
      </c>
      <c r="D13512" t="s">
        <v>45387</v>
      </c>
      <c r="E13512" t="b">
        <v>0</v>
      </c>
      <c r="F13512" t="s">
        <v>11622</v>
      </c>
      <c r="L13512">
        <v>0</v>
      </c>
      <c r="M13512">
        <v>2</v>
      </c>
      <c r="N13512">
        <v>7</v>
      </c>
    </row>
    <row r="13513" spans="1:15">
      <c r="A13513" t="s">
        <v>17602</v>
      </c>
      <c r="B13513" t="s">
        <v>11729</v>
      </c>
      <c r="C13513" t="s">
        <v>15849</v>
      </c>
      <c r="D13513" t="s">
        <v>45388</v>
      </c>
      <c r="E13513" t="b">
        <v>0</v>
      </c>
      <c r="F13513" t="s">
        <v>11622</v>
      </c>
      <c r="L13513">
        <v>2</v>
      </c>
      <c r="M13513">
        <v>5</v>
      </c>
      <c r="N13513">
        <v>10</v>
      </c>
    </row>
    <row r="13514" spans="1:15">
      <c r="A13514" t="s">
        <v>45389</v>
      </c>
      <c r="B13514" t="s">
        <v>11644</v>
      </c>
      <c r="C13514" t="s">
        <v>19491</v>
      </c>
      <c r="D13514" t="s">
        <v>45390</v>
      </c>
      <c r="E13514" t="b">
        <v>0</v>
      </c>
      <c r="F13514" t="s">
        <v>11610</v>
      </c>
      <c r="L13514">
        <v>0</v>
      </c>
      <c r="M13514">
        <v>0</v>
      </c>
      <c r="N13514">
        <v>0</v>
      </c>
    </row>
    <row r="13515" spans="1:15">
      <c r="A13515" t="s">
        <v>40911</v>
      </c>
      <c r="B13515" t="s">
        <v>367</v>
      </c>
      <c r="C13515" t="s">
        <v>22992</v>
      </c>
      <c r="D13515" t="s">
        <v>45391</v>
      </c>
      <c r="E13515" t="b">
        <v>0</v>
      </c>
      <c r="F13515" t="s">
        <v>11624</v>
      </c>
      <c r="G13515">
        <v>5.5073499999999997</v>
      </c>
      <c r="H13515">
        <v>153.710778</v>
      </c>
      <c r="I13515" t="s">
        <v>45392</v>
      </c>
      <c r="L13515">
        <v>0</v>
      </c>
      <c r="M13515">
        <v>0</v>
      </c>
      <c r="N13515">
        <v>3</v>
      </c>
      <c r="O13515" t="s">
        <v>22994</v>
      </c>
    </row>
    <row r="13516" spans="1:15">
      <c r="A13516" t="s">
        <v>22992</v>
      </c>
      <c r="B13516" t="s">
        <v>367</v>
      </c>
      <c r="C13516" t="s">
        <v>26585</v>
      </c>
      <c r="D13516" t="s">
        <v>45393</v>
      </c>
      <c r="E13516" t="b">
        <v>0</v>
      </c>
      <c r="F13516" t="s">
        <v>11622</v>
      </c>
      <c r="L13516">
        <v>0</v>
      </c>
      <c r="M13516">
        <v>2</v>
      </c>
      <c r="N13516">
        <v>5</v>
      </c>
    </row>
    <row r="13517" spans="1:15">
      <c r="A13517" t="s">
        <v>45394</v>
      </c>
      <c r="B13517" t="s">
        <v>6742</v>
      </c>
      <c r="C13517" t="s">
        <v>16536</v>
      </c>
      <c r="D13517" t="s">
        <v>45395</v>
      </c>
      <c r="E13517" t="b">
        <v>0</v>
      </c>
      <c r="F13517" t="s">
        <v>11610</v>
      </c>
      <c r="L13517">
        <v>0</v>
      </c>
      <c r="M13517">
        <v>0</v>
      </c>
      <c r="N13517">
        <v>0</v>
      </c>
    </row>
    <row r="13518" spans="1:15">
      <c r="A13518" t="s">
        <v>21500</v>
      </c>
      <c r="B13518" t="s">
        <v>11729</v>
      </c>
      <c r="C13518" t="s">
        <v>11729</v>
      </c>
      <c r="D13518" t="s">
        <v>45396</v>
      </c>
      <c r="E13518" t="b">
        <v>0</v>
      </c>
      <c r="F13518" t="s">
        <v>11622</v>
      </c>
      <c r="L13518">
        <v>3</v>
      </c>
      <c r="M13518">
        <v>10</v>
      </c>
      <c r="N13518">
        <v>38</v>
      </c>
    </row>
    <row r="13519" spans="1:15">
      <c r="A13519" t="s">
        <v>12334</v>
      </c>
      <c r="B13519" t="s">
        <v>11729</v>
      </c>
      <c r="C13519" t="s">
        <v>21500</v>
      </c>
      <c r="D13519" t="s">
        <v>45397</v>
      </c>
      <c r="E13519" t="b">
        <v>0</v>
      </c>
      <c r="F13519" t="s">
        <v>11624</v>
      </c>
      <c r="G13519">
        <v>5.1231999999999998</v>
      </c>
      <c r="H13519">
        <v>30.328700000000001</v>
      </c>
      <c r="I13519" t="s">
        <v>45398</v>
      </c>
      <c r="L13519">
        <v>0</v>
      </c>
      <c r="M13519">
        <v>0</v>
      </c>
      <c r="N13519">
        <v>7</v>
      </c>
      <c r="O13519" t="s">
        <v>11910</v>
      </c>
    </row>
    <row r="13520" spans="1:15">
      <c r="A13520" t="s">
        <v>45399</v>
      </c>
      <c r="B13520" t="s">
        <v>11729</v>
      </c>
      <c r="C13520" t="s">
        <v>12334</v>
      </c>
      <c r="D13520" t="s">
        <v>45400</v>
      </c>
      <c r="E13520" t="b">
        <v>0</v>
      </c>
      <c r="F13520" t="s">
        <v>11610</v>
      </c>
      <c r="L13520">
        <v>0</v>
      </c>
      <c r="M13520">
        <v>0</v>
      </c>
      <c r="N13520">
        <v>0</v>
      </c>
    </row>
    <row r="13521" spans="1:15">
      <c r="A13521" t="s">
        <v>45401</v>
      </c>
      <c r="B13521" t="s">
        <v>11644</v>
      </c>
      <c r="C13521" t="s">
        <v>28687</v>
      </c>
      <c r="D13521" t="s">
        <v>45402</v>
      </c>
      <c r="E13521" t="b">
        <v>0</v>
      </c>
      <c r="F13521" t="s">
        <v>11610</v>
      </c>
      <c r="L13521">
        <v>0</v>
      </c>
      <c r="M13521">
        <v>0</v>
      </c>
      <c r="N13521">
        <v>0</v>
      </c>
    </row>
    <row r="13522" spans="1:15">
      <c r="A13522" t="s">
        <v>45403</v>
      </c>
      <c r="D13522" t="s">
        <v>45404</v>
      </c>
      <c r="E13522" t="b">
        <v>0</v>
      </c>
      <c r="F13522" t="s">
        <v>11624</v>
      </c>
      <c r="G13522">
        <v>-14.64448</v>
      </c>
      <c r="H13522">
        <v>-67.837559999999996</v>
      </c>
      <c r="I13522" t="s">
        <v>45405</v>
      </c>
      <c r="L13522">
        <v>0</v>
      </c>
      <c r="M13522">
        <v>0</v>
      </c>
      <c r="N13522">
        <v>0</v>
      </c>
      <c r="O13522" t="s">
        <v>14185</v>
      </c>
    </row>
    <row r="13523" spans="1:15">
      <c r="A13523" t="s">
        <v>45406</v>
      </c>
      <c r="B13523" t="s">
        <v>6742</v>
      </c>
      <c r="C13523" t="s">
        <v>16286</v>
      </c>
      <c r="D13523" t="s">
        <v>45407</v>
      </c>
      <c r="E13523" t="b">
        <v>0</v>
      </c>
      <c r="F13523" t="s">
        <v>11610</v>
      </c>
      <c r="L13523">
        <v>0</v>
      </c>
      <c r="M13523">
        <v>0</v>
      </c>
      <c r="N13523">
        <v>0</v>
      </c>
    </row>
    <row r="13524" spans="1:15">
      <c r="A13524" t="s">
        <v>25314</v>
      </c>
      <c r="B13524" t="s">
        <v>11757</v>
      </c>
      <c r="C13524" t="s">
        <v>45408</v>
      </c>
      <c r="D13524" t="s">
        <v>45409</v>
      </c>
      <c r="E13524" t="b">
        <v>0</v>
      </c>
      <c r="F13524" t="s">
        <v>11624</v>
      </c>
      <c r="G13524">
        <v>-5.4347099999999999</v>
      </c>
      <c r="H13524">
        <v>37.186900000000001</v>
      </c>
      <c r="I13524" t="s">
        <v>45410</v>
      </c>
      <c r="L13524">
        <v>0</v>
      </c>
      <c r="M13524">
        <v>0</v>
      </c>
      <c r="N13524">
        <v>1</v>
      </c>
      <c r="O13524" t="s">
        <v>11635</v>
      </c>
    </row>
    <row r="13525" spans="1:15">
      <c r="A13525" t="s">
        <v>45411</v>
      </c>
      <c r="B13525" t="s">
        <v>11615</v>
      </c>
      <c r="C13525" t="s">
        <v>45412</v>
      </c>
      <c r="D13525" t="s">
        <v>45413</v>
      </c>
      <c r="E13525" t="b">
        <v>0</v>
      </c>
      <c r="F13525" t="s">
        <v>11624</v>
      </c>
      <c r="G13525">
        <v>-4.9522599999999999</v>
      </c>
      <c r="H13525">
        <v>145.60499999999999</v>
      </c>
      <c r="I13525" t="s">
        <v>45414</v>
      </c>
      <c r="L13525">
        <v>0</v>
      </c>
      <c r="M13525">
        <v>0</v>
      </c>
      <c r="N13525">
        <v>0</v>
      </c>
      <c r="O13525" t="s">
        <v>11660</v>
      </c>
    </row>
    <row r="13526" spans="1:15">
      <c r="A13526" t="s">
        <v>45415</v>
      </c>
      <c r="B13526" t="s">
        <v>25799</v>
      </c>
      <c r="C13526" t="s">
        <v>43883</v>
      </c>
      <c r="D13526" t="s">
        <v>45416</v>
      </c>
      <c r="E13526" t="b">
        <v>0</v>
      </c>
      <c r="F13526" t="s">
        <v>11624</v>
      </c>
      <c r="G13526">
        <v>-1.62201</v>
      </c>
      <c r="H13526">
        <v>133.14500000000001</v>
      </c>
      <c r="I13526" t="s">
        <v>45417</v>
      </c>
      <c r="L13526">
        <v>0</v>
      </c>
      <c r="M13526">
        <v>0</v>
      </c>
      <c r="N13526">
        <v>0</v>
      </c>
      <c r="O13526" t="s">
        <v>11768</v>
      </c>
    </row>
    <row r="13527" spans="1:15">
      <c r="A13527" t="s">
        <v>45418</v>
      </c>
      <c r="B13527" t="s">
        <v>6742</v>
      </c>
      <c r="C13527" t="s">
        <v>34892</v>
      </c>
      <c r="D13527" t="s">
        <v>45419</v>
      </c>
      <c r="E13527" t="b">
        <v>0</v>
      </c>
      <c r="F13527" t="s">
        <v>11624</v>
      </c>
      <c r="G13527">
        <v>10.452400000000001</v>
      </c>
      <c r="H13527">
        <v>-1.1727799999999999</v>
      </c>
      <c r="I13527" t="s">
        <v>45420</v>
      </c>
      <c r="L13527">
        <v>0</v>
      </c>
      <c r="M13527">
        <v>0</v>
      </c>
      <c r="N13527">
        <v>7</v>
      </c>
      <c r="O13527" t="s">
        <v>45421</v>
      </c>
    </row>
    <row r="13528" spans="1:15">
      <c r="A13528" t="s">
        <v>28059</v>
      </c>
      <c r="B13528" t="s">
        <v>6742</v>
      </c>
      <c r="C13528" t="s">
        <v>45422</v>
      </c>
      <c r="D13528" t="s">
        <v>45423</v>
      </c>
      <c r="E13528" t="b">
        <v>0</v>
      </c>
      <c r="F13528" t="s">
        <v>11622</v>
      </c>
      <c r="L13528">
        <v>2</v>
      </c>
      <c r="M13528">
        <v>4</v>
      </c>
      <c r="N13528">
        <v>14</v>
      </c>
    </row>
    <row r="13529" spans="1:15">
      <c r="A13529" t="s">
        <v>34892</v>
      </c>
      <c r="B13529" t="s">
        <v>6742</v>
      </c>
      <c r="C13529" t="s">
        <v>28059</v>
      </c>
      <c r="D13529" t="s">
        <v>45424</v>
      </c>
      <c r="E13529" t="b">
        <v>0</v>
      </c>
      <c r="F13529" t="s">
        <v>11622</v>
      </c>
      <c r="L13529">
        <v>0</v>
      </c>
      <c r="M13529">
        <v>2</v>
      </c>
      <c r="N13529">
        <v>7</v>
      </c>
    </row>
    <row r="13530" spans="1:15">
      <c r="A13530" t="s">
        <v>45425</v>
      </c>
      <c r="B13530" t="s">
        <v>367</v>
      </c>
      <c r="C13530" t="s">
        <v>31219</v>
      </c>
      <c r="D13530" t="s">
        <v>45426</v>
      </c>
      <c r="E13530" t="b">
        <v>0</v>
      </c>
      <c r="F13530" t="s">
        <v>11624</v>
      </c>
      <c r="G13530">
        <v>-13.835361000000001</v>
      </c>
      <c r="H13530">
        <v>167.690924</v>
      </c>
      <c r="I13530" t="s">
        <v>45427</v>
      </c>
      <c r="L13530">
        <v>0</v>
      </c>
      <c r="M13530">
        <v>0</v>
      </c>
      <c r="N13530">
        <v>0</v>
      </c>
      <c r="O13530" t="s">
        <v>12719</v>
      </c>
    </row>
    <row r="13531" spans="1:15">
      <c r="A13531" t="s">
        <v>45428</v>
      </c>
      <c r="B13531" t="s">
        <v>6742</v>
      </c>
      <c r="C13531" t="s">
        <v>37643</v>
      </c>
      <c r="D13531" t="s">
        <v>45429</v>
      </c>
      <c r="E13531" t="b">
        <v>0</v>
      </c>
      <c r="F13531" t="s">
        <v>11610</v>
      </c>
      <c r="L13531">
        <v>0</v>
      </c>
      <c r="M13531">
        <v>0</v>
      </c>
      <c r="N13531">
        <v>0</v>
      </c>
    </row>
    <row r="13532" spans="1:15">
      <c r="A13532" t="s">
        <v>45430</v>
      </c>
      <c r="B13532" t="s">
        <v>11637</v>
      </c>
      <c r="C13532" t="s">
        <v>24846</v>
      </c>
      <c r="D13532" t="s">
        <v>45431</v>
      </c>
      <c r="E13532" t="b">
        <v>0</v>
      </c>
      <c r="F13532" t="s">
        <v>11610</v>
      </c>
      <c r="L13532">
        <v>0</v>
      </c>
      <c r="M13532">
        <v>0</v>
      </c>
      <c r="N13532">
        <v>0</v>
      </c>
    </row>
    <row r="13533" spans="1:15">
      <c r="A13533" t="s">
        <v>45432</v>
      </c>
      <c r="B13533" t="s">
        <v>367</v>
      </c>
      <c r="C13533" t="s">
        <v>31219</v>
      </c>
      <c r="D13533" t="s">
        <v>45433</v>
      </c>
      <c r="E13533" t="b">
        <v>0</v>
      </c>
      <c r="F13533" t="s">
        <v>11624</v>
      </c>
      <c r="G13533">
        <v>-13.655015000000001</v>
      </c>
      <c r="H13533">
        <v>167.706277</v>
      </c>
      <c r="I13533" t="s">
        <v>45434</v>
      </c>
      <c r="L13533">
        <v>0</v>
      </c>
      <c r="M13533">
        <v>0</v>
      </c>
      <c r="N13533">
        <v>1</v>
      </c>
      <c r="O13533" t="s">
        <v>12719</v>
      </c>
    </row>
    <row r="13534" spans="1:15">
      <c r="A13534" t="s">
        <v>45435</v>
      </c>
      <c r="B13534" t="s">
        <v>11729</v>
      </c>
      <c r="C13534" t="s">
        <v>30051</v>
      </c>
      <c r="D13534" t="s">
        <v>45436</v>
      </c>
      <c r="E13534" t="b">
        <v>0</v>
      </c>
      <c r="F13534" t="s">
        <v>11610</v>
      </c>
      <c r="L13534">
        <v>0</v>
      </c>
      <c r="M13534">
        <v>0</v>
      </c>
      <c r="N13534">
        <v>0</v>
      </c>
    </row>
    <row r="13535" spans="1:15">
      <c r="A13535" t="s">
        <v>45437</v>
      </c>
      <c r="B13535" t="s">
        <v>5911</v>
      </c>
      <c r="C13535" t="s">
        <v>44877</v>
      </c>
      <c r="D13535" t="s">
        <v>45438</v>
      </c>
      <c r="E13535" t="b">
        <v>0</v>
      </c>
      <c r="F13535" t="s">
        <v>11610</v>
      </c>
      <c r="L13535">
        <v>0</v>
      </c>
      <c r="M13535">
        <v>0</v>
      </c>
      <c r="N13535">
        <v>0</v>
      </c>
    </row>
    <row r="13536" spans="1:15">
      <c r="A13536" t="s">
        <v>26179</v>
      </c>
      <c r="B13536" t="s">
        <v>367</v>
      </c>
      <c r="C13536" t="s">
        <v>11657</v>
      </c>
      <c r="D13536" t="s">
        <v>45439</v>
      </c>
      <c r="E13536" t="b">
        <v>0</v>
      </c>
      <c r="F13536" t="s">
        <v>11624</v>
      </c>
      <c r="G13536">
        <v>-9.6749200000000002</v>
      </c>
      <c r="H13536">
        <v>147.42400000000001</v>
      </c>
      <c r="I13536" t="s">
        <v>45440</v>
      </c>
      <c r="L13536">
        <v>0</v>
      </c>
      <c r="M13536">
        <v>0</v>
      </c>
      <c r="N13536">
        <v>2</v>
      </c>
      <c r="O13536" t="s">
        <v>11660</v>
      </c>
    </row>
    <row r="13537" spans="1:15">
      <c r="A13537" t="s">
        <v>31190</v>
      </c>
      <c r="B13537" t="s">
        <v>13450</v>
      </c>
      <c r="C13537" t="s">
        <v>13450</v>
      </c>
      <c r="D13537" t="s">
        <v>45441</v>
      </c>
      <c r="E13537" t="b">
        <v>0</v>
      </c>
      <c r="F13537" t="s">
        <v>11622</v>
      </c>
      <c r="L13537">
        <v>0</v>
      </c>
      <c r="M13537">
        <v>3</v>
      </c>
      <c r="N13537">
        <v>2</v>
      </c>
    </row>
    <row r="13538" spans="1:15">
      <c r="A13538" t="s">
        <v>45442</v>
      </c>
      <c r="B13538" t="s">
        <v>11729</v>
      </c>
      <c r="C13538" t="s">
        <v>17623</v>
      </c>
      <c r="D13538" t="s">
        <v>45443</v>
      </c>
      <c r="E13538" t="b">
        <v>0</v>
      </c>
      <c r="F13538" t="s">
        <v>11610</v>
      </c>
      <c r="L13538">
        <v>0</v>
      </c>
      <c r="M13538">
        <v>0</v>
      </c>
      <c r="N13538">
        <v>0</v>
      </c>
    </row>
    <row r="13539" spans="1:15">
      <c r="A13539" t="s">
        <v>45444</v>
      </c>
      <c r="B13539" t="s">
        <v>367</v>
      </c>
      <c r="C13539" t="s">
        <v>18423</v>
      </c>
      <c r="D13539" t="s">
        <v>45445</v>
      </c>
      <c r="E13539" t="b">
        <v>0</v>
      </c>
      <c r="F13539" t="s">
        <v>11624</v>
      </c>
      <c r="G13539">
        <v>-5.7115499999999999</v>
      </c>
      <c r="H13539">
        <v>149.15799999999999</v>
      </c>
      <c r="I13539" t="s">
        <v>45446</v>
      </c>
      <c r="L13539">
        <v>0</v>
      </c>
      <c r="M13539">
        <v>0</v>
      </c>
      <c r="N13539">
        <v>2</v>
      </c>
      <c r="O13539" t="s">
        <v>11660</v>
      </c>
    </row>
    <row r="13540" spans="1:15">
      <c r="A13540" t="s">
        <v>45447</v>
      </c>
      <c r="B13540" t="s">
        <v>367</v>
      </c>
      <c r="C13540" t="s">
        <v>45444</v>
      </c>
      <c r="D13540" t="s">
        <v>45448</v>
      </c>
      <c r="E13540" t="b">
        <v>0</v>
      </c>
      <c r="F13540" t="s">
        <v>11610</v>
      </c>
      <c r="L13540">
        <v>0</v>
      </c>
      <c r="M13540">
        <v>0</v>
      </c>
      <c r="N13540">
        <v>0</v>
      </c>
    </row>
    <row r="13541" spans="1:15">
      <c r="A13541" t="s">
        <v>43013</v>
      </c>
      <c r="B13541" t="s">
        <v>367</v>
      </c>
      <c r="C13541" t="s">
        <v>12141</v>
      </c>
      <c r="D13541" t="s">
        <v>45449</v>
      </c>
      <c r="E13541" t="b">
        <v>0</v>
      </c>
      <c r="F13541" t="s">
        <v>11622</v>
      </c>
      <c r="L13541">
        <v>0</v>
      </c>
      <c r="M13541">
        <v>4</v>
      </c>
      <c r="N13541">
        <v>0</v>
      </c>
    </row>
    <row r="13542" spans="1:15">
      <c r="A13542" t="s">
        <v>45450</v>
      </c>
      <c r="B13542" t="s">
        <v>12218</v>
      </c>
      <c r="C13542" t="s">
        <v>18356</v>
      </c>
      <c r="D13542" t="s">
        <v>45451</v>
      </c>
      <c r="E13542" t="b">
        <v>0</v>
      </c>
      <c r="F13542" t="s">
        <v>11624</v>
      </c>
      <c r="G13542">
        <v>-9.0697299999999998</v>
      </c>
      <c r="H13542">
        <v>147.38399999999999</v>
      </c>
      <c r="I13542" t="s">
        <v>45452</v>
      </c>
      <c r="L13542">
        <v>0</v>
      </c>
      <c r="M13542">
        <v>0</v>
      </c>
      <c r="N13542">
        <v>0</v>
      </c>
      <c r="O13542" t="s">
        <v>11660</v>
      </c>
    </row>
    <row r="13543" spans="1:15">
      <c r="A13543" t="s">
        <v>18644</v>
      </c>
      <c r="B13543" t="s">
        <v>11615</v>
      </c>
      <c r="C13543" t="s">
        <v>38728</v>
      </c>
      <c r="D13543" t="s">
        <v>45453</v>
      </c>
      <c r="E13543" t="b">
        <v>0</v>
      </c>
      <c r="F13543" t="s">
        <v>11622</v>
      </c>
      <c r="L13543">
        <v>1</v>
      </c>
      <c r="M13543">
        <v>8</v>
      </c>
      <c r="N13543">
        <v>12</v>
      </c>
    </row>
    <row r="13544" spans="1:15">
      <c r="A13544" t="s">
        <v>29246</v>
      </c>
      <c r="B13544" t="s">
        <v>6742</v>
      </c>
      <c r="C13544" t="s">
        <v>45454</v>
      </c>
      <c r="D13544" t="s">
        <v>45455</v>
      </c>
      <c r="E13544" t="b">
        <v>0</v>
      </c>
      <c r="F13544" t="s">
        <v>11622</v>
      </c>
      <c r="L13544">
        <v>2</v>
      </c>
      <c r="M13544">
        <v>4</v>
      </c>
      <c r="N13544">
        <v>0</v>
      </c>
    </row>
    <row r="13545" spans="1:15">
      <c r="A13545" t="s">
        <v>45456</v>
      </c>
      <c r="B13545" t="s">
        <v>11981</v>
      </c>
      <c r="C13545" t="s">
        <v>11982</v>
      </c>
      <c r="D13545" t="s">
        <v>45457</v>
      </c>
      <c r="E13545" t="b">
        <v>0</v>
      </c>
      <c r="F13545" t="s">
        <v>11624</v>
      </c>
      <c r="L13545">
        <v>0</v>
      </c>
      <c r="M13545">
        <v>0</v>
      </c>
      <c r="N13545">
        <v>0</v>
      </c>
      <c r="O13545" t="s">
        <v>11660</v>
      </c>
    </row>
    <row r="13546" spans="1:15">
      <c r="A13546" t="s">
        <v>45458</v>
      </c>
      <c r="B13546" t="s">
        <v>17101</v>
      </c>
      <c r="C13546" t="s">
        <v>17102</v>
      </c>
      <c r="D13546" t="s">
        <v>45459</v>
      </c>
      <c r="E13546" t="b">
        <v>0</v>
      </c>
      <c r="F13546" t="s">
        <v>11624</v>
      </c>
      <c r="I13546" t="s">
        <v>45460</v>
      </c>
      <c r="L13546">
        <v>0</v>
      </c>
      <c r="M13546">
        <v>0</v>
      </c>
      <c r="N13546">
        <v>0</v>
      </c>
      <c r="O13546" t="s">
        <v>11660</v>
      </c>
    </row>
    <row r="13547" spans="1:15">
      <c r="A13547" t="s">
        <v>45461</v>
      </c>
      <c r="B13547" t="s">
        <v>13967</v>
      </c>
      <c r="C13547" t="s">
        <v>21519</v>
      </c>
      <c r="D13547" t="s">
        <v>45462</v>
      </c>
      <c r="E13547" t="b">
        <v>0</v>
      </c>
      <c r="F13547" t="s">
        <v>11610</v>
      </c>
      <c r="L13547">
        <v>0</v>
      </c>
      <c r="M13547">
        <v>0</v>
      </c>
      <c r="N13547">
        <v>0</v>
      </c>
    </row>
    <row r="13548" spans="1:15">
      <c r="A13548" t="s">
        <v>45463</v>
      </c>
      <c r="B13548" t="s">
        <v>11615</v>
      </c>
      <c r="C13548" t="s">
        <v>23820</v>
      </c>
      <c r="D13548" t="s">
        <v>45464</v>
      </c>
      <c r="E13548" t="b">
        <v>0</v>
      </c>
      <c r="F13548" t="s">
        <v>11610</v>
      </c>
      <c r="G13548">
        <v>-6.3579999999999997</v>
      </c>
      <c r="H13548">
        <v>145.41999999999999</v>
      </c>
      <c r="L13548">
        <v>0</v>
      </c>
      <c r="M13548">
        <v>0</v>
      </c>
      <c r="N13548">
        <v>0</v>
      </c>
    </row>
    <row r="13549" spans="1:15">
      <c r="A13549" t="s">
        <v>45465</v>
      </c>
      <c r="D13549" t="s">
        <v>45466</v>
      </c>
      <c r="E13549" t="b">
        <v>0</v>
      </c>
      <c r="F13549" t="s">
        <v>11624</v>
      </c>
      <c r="G13549">
        <v>-13.811500000000001</v>
      </c>
      <c r="H13549">
        <v>-65.634799999999998</v>
      </c>
      <c r="I13549" t="s">
        <v>45467</v>
      </c>
      <c r="L13549">
        <v>0</v>
      </c>
      <c r="M13549">
        <v>0</v>
      </c>
      <c r="N13549">
        <v>0</v>
      </c>
      <c r="O13549" t="s">
        <v>14185</v>
      </c>
    </row>
    <row r="13550" spans="1:15">
      <c r="A13550" t="s">
        <v>45468</v>
      </c>
      <c r="B13550" t="s">
        <v>13967</v>
      </c>
      <c r="C13550" t="s">
        <v>21519</v>
      </c>
      <c r="D13550" t="s">
        <v>45469</v>
      </c>
      <c r="E13550" t="b">
        <v>0</v>
      </c>
      <c r="F13550" t="s">
        <v>11610</v>
      </c>
      <c r="L13550">
        <v>0</v>
      </c>
      <c r="M13550">
        <v>0</v>
      </c>
      <c r="N13550">
        <v>0</v>
      </c>
    </row>
    <row r="13551" spans="1:15">
      <c r="A13551" t="s">
        <v>45470</v>
      </c>
      <c r="B13551" t="s">
        <v>12148</v>
      </c>
      <c r="C13551" t="s">
        <v>61</v>
      </c>
      <c r="D13551" t="s">
        <v>45471</v>
      </c>
      <c r="E13551" t="b">
        <v>0</v>
      </c>
      <c r="F13551" t="s">
        <v>11610</v>
      </c>
      <c r="L13551">
        <v>0</v>
      </c>
      <c r="M13551">
        <v>0</v>
      </c>
      <c r="N13551">
        <v>0</v>
      </c>
    </row>
    <row r="13552" spans="1:15">
      <c r="A13552" t="s">
        <v>32053</v>
      </c>
      <c r="B13552" t="s">
        <v>11894</v>
      </c>
      <c r="C13552" t="s">
        <v>45472</v>
      </c>
      <c r="D13552" t="s">
        <v>45473</v>
      </c>
      <c r="E13552" t="b">
        <v>0</v>
      </c>
      <c r="F13552" t="s">
        <v>11622</v>
      </c>
      <c r="L13552">
        <v>0</v>
      </c>
      <c r="M13552">
        <v>2</v>
      </c>
      <c r="N13552">
        <v>2</v>
      </c>
    </row>
    <row r="13553" spans="1:15">
      <c r="A13553" t="s">
        <v>45472</v>
      </c>
      <c r="B13553" t="s">
        <v>11894</v>
      </c>
      <c r="C13553" t="s">
        <v>17511</v>
      </c>
      <c r="D13553" t="s">
        <v>45474</v>
      </c>
      <c r="E13553" t="b">
        <v>0</v>
      </c>
      <c r="F13553" t="s">
        <v>11622</v>
      </c>
      <c r="L13553">
        <v>1</v>
      </c>
      <c r="M13553">
        <v>3</v>
      </c>
      <c r="N13553">
        <v>2</v>
      </c>
    </row>
    <row r="13554" spans="1:15">
      <c r="A13554" t="s">
        <v>45475</v>
      </c>
      <c r="B13554" t="s">
        <v>367</v>
      </c>
      <c r="C13554" t="s">
        <v>43173</v>
      </c>
      <c r="D13554" t="s">
        <v>45476</v>
      </c>
      <c r="E13554" t="b">
        <v>0</v>
      </c>
      <c r="F13554" t="s">
        <v>11624</v>
      </c>
      <c r="G13554">
        <v>17.423200000000001</v>
      </c>
      <c r="H13554">
        <v>120.702</v>
      </c>
      <c r="I13554" t="s">
        <v>45477</v>
      </c>
      <c r="L13554">
        <v>0</v>
      </c>
      <c r="M13554">
        <v>0</v>
      </c>
      <c r="N13554">
        <v>0</v>
      </c>
      <c r="O13554" t="s">
        <v>11749</v>
      </c>
    </row>
    <row r="13555" spans="1:15">
      <c r="A13555" t="s">
        <v>45478</v>
      </c>
      <c r="B13555" t="s">
        <v>11644</v>
      </c>
      <c r="C13555" t="s">
        <v>45237</v>
      </c>
      <c r="D13555" t="s">
        <v>45479</v>
      </c>
      <c r="E13555" t="b">
        <v>0</v>
      </c>
      <c r="F13555" t="s">
        <v>11624</v>
      </c>
      <c r="G13555">
        <v>24.479299999999999</v>
      </c>
      <c r="H13555">
        <v>94.342100000000002</v>
      </c>
      <c r="I13555" t="s">
        <v>45480</v>
      </c>
      <c r="L13555">
        <v>0</v>
      </c>
      <c r="M13555">
        <v>0</v>
      </c>
      <c r="N13555">
        <v>0</v>
      </c>
      <c r="O13555" t="s">
        <v>11630</v>
      </c>
    </row>
    <row r="13556" spans="1:15">
      <c r="A13556" t="s">
        <v>45481</v>
      </c>
      <c r="B13556" t="s">
        <v>11729</v>
      </c>
      <c r="C13556" t="s">
        <v>1881</v>
      </c>
      <c r="D13556" t="s">
        <v>45482</v>
      </c>
      <c r="E13556" t="b">
        <v>0</v>
      </c>
      <c r="F13556" t="s">
        <v>11610</v>
      </c>
      <c r="L13556">
        <v>0</v>
      </c>
      <c r="M13556">
        <v>0</v>
      </c>
      <c r="N13556">
        <v>0</v>
      </c>
    </row>
    <row r="13557" spans="1:15">
      <c r="A13557" t="s">
        <v>45237</v>
      </c>
      <c r="B13557" t="s">
        <v>11644</v>
      </c>
      <c r="C13557" t="s">
        <v>12529</v>
      </c>
      <c r="D13557" t="s">
        <v>45483</v>
      </c>
      <c r="E13557" t="b">
        <v>0</v>
      </c>
      <c r="F13557" t="s">
        <v>11622</v>
      </c>
      <c r="L13557">
        <v>0</v>
      </c>
      <c r="M13557">
        <v>2</v>
      </c>
      <c r="N13557">
        <v>0</v>
      </c>
    </row>
    <row r="13558" spans="1:15">
      <c r="A13558" t="s">
        <v>45484</v>
      </c>
      <c r="B13558" t="s">
        <v>11981</v>
      </c>
      <c r="C13558" t="s">
        <v>12200</v>
      </c>
      <c r="D13558" t="s">
        <v>45485</v>
      </c>
      <c r="E13558" t="b">
        <v>0</v>
      </c>
      <c r="F13558" t="s">
        <v>11624</v>
      </c>
      <c r="G13558">
        <v>-19.811</v>
      </c>
      <c r="H13558">
        <v>34.613</v>
      </c>
      <c r="I13558" t="s">
        <v>45486</v>
      </c>
      <c r="L13558">
        <v>0</v>
      </c>
      <c r="M13558">
        <v>0</v>
      </c>
      <c r="N13558">
        <v>0</v>
      </c>
      <c r="O13558" t="s">
        <v>17188</v>
      </c>
    </row>
    <row r="13559" spans="1:15">
      <c r="A13559" t="s">
        <v>45487</v>
      </c>
      <c r="B13559" t="s">
        <v>11637</v>
      </c>
      <c r="C13559" t="s">
        <v>14263</v>
      </c>
      <c r="D13559" t="s">
        <v>45488</v>
      </c>
      <c r="E13559" t="b">
        <v>0</v>
      </c>
      <c r="F13559" t="s">
        <v>11624</v>
      </c>
      <c r="G13559">
        <v>37.876300000000001</v>
      </c>
      <c r="H13559">
        <v>-1.7972399999999999</v>
      </c>
      <c r="I13559" t="s">
        <v>45489</v>
      </c>
      <c r="L13559">
        <v>0</v>
      </c>
      <c r="M13559">
        <v>0</v>
      </c>
      <c r="N13559">
        <v>0</v>
      </c>
      <c r="O13559" t="s">
        <v>13707</v>
      </c>
    </row>
    <row r="13560" spans="1:15">
      <c r="A13560" t="s">
        <v>45490</v>
      </c>
      <c r="B13560" t="s">
        <v>11607</v>
      </c>
      <c r="C13560" t="s">
        <v>22415</v>
      </c>
      <c r="D13560" t="s">
        <v>45491</v>
      </c>
      <c r="E13560" t="b">
        <v>0</v>
      </c>
      <c r="F13560" t="s">
        <v>11622</v>
      </c>
      <c r="L13560">
        <v>1</v>
      </c>
      <c r="M13560">
        <v>5</v>
      </c>
      <c r="N13560">
        <v>8</v>
      </c>
    </row>
    <row r="13561" spans="1:15">
      <c r="A13561" t="s">
        <v>45492</v>
      </c>
      <c r="B13561" t="s">
        <v>11644</v>
      </c>
      <c r="C13561" t="s">
        <v>1298</v>
      </c>
      <c r="D13561" t="s">
        <v>45493</v>
      </c>
      <c r="E13561" t="b">
        <v>0</v>
      </c>
      <c r="F13561" t="s">
        <v>11610</v>
      </c>
      <c r="L13561">
        <v>0</v>
      </c>
      <c r="M13561">
        <v>0</v>
      </c>
      <c r="N13561">
        <v>0</v>
      </c>
    </row>
    <row r="13562" spans="1:15">
      <c r="A13562" t="s">
        <v>19078</v>
      </c>
      <c r="B13562" t="s">
        <v>11607</v>
      </c>
      <c r="C13562" t="s">
        <v>37629</v>
      </c>
      <c r="D13562" t="s">
        <v>45494</v>
      </c>
      <c r="E13562" t="b">
        <v>0</v>
      </c>
      <c r="F13562" t="s">
        <v>11624</v>
      </c>
      <c r="G13562">
        <v>12.460900000000001</v>
      </c>
      <c r="H13562">
        <v>14.583299999999999</v>
      </c>
      <c r="I13562" t="s">
        <v>45495</v>
      </c>
      <c r="L13562">
        <v>0</v>
      </c>
      <c r="M13562">
        <v>0</v>
      </c>
      <c r="N13562">
        <v>6</v>
      </c>
      <c r="O13562" t="s">
        <v>20045</v>
      </c>
    </row>
    <row r="13563" spans="1:15">
      <c r="A13563" t="s">
        <v>45496</v>
      </c>
      <c r="B13563" t="s">
        <v>6742</v>
      </c>
      <c r="C13563" t="s">
        <v>18598</v>
      </c>
      <c r="D13563" t="s">
        <v>45497</v>
      </c>
      <c r="E13563" t="b">
        <v>0</v>
      </c>
      <c r="F13563" t="s">
        <v>11610</v>
      </c>
      <c r="L13563">
        <v>0</v>
      </c>
      <c r="M13563">
        <v>0</v>
      </c>
      <c r="N13563">
        <v>0</v>
      </c>
    </row>
    <row r="13564" spans="1:15">
      <c r="A13564" t="s">
        <v>41277</v>
      </c>
      <c r="B13564" t="s">
        <v>10597</v>
      </c>
      <c r="C13564" t="s">
        <v>12986</v>
      </c>
      <c r="D13564" t="s">
        <v>45498</v>
      </c>
      <c r="E13564" t="b">
        <v>0</v>
      </c>
      <c r="F13564" t="s">
        <v>11624</v>
      </c>
      <c r="G13564">
        <v>-12.16733589</v>
      </c>
      <c r="H13564">
        <v>142.48532839999999</v>
      </c>
      <c r="L13564">
        <v>0</v>
      </c>
      <c r="M13564">
        <v>0</v>
      </c>
      <c r="N13564">
        <v>2</v>
      </c>
      <c r="O13564" t="s">
        <v>12107</v>
      </c>
    </row>
    <row r="13565" spans="1:15">
      <c r="A13565" t="s">
        <v>45499</v>
      </c>
      <c r="B13565" t="s">
        <v>10597</v>
      </c>
      <c r="C13565" t="s">
        <v>41277</v>
      </c>
      <c r="D13565" t="s">
        <v>45500</v>
      </c>
      <c r="E13565" t="b">
        <v>0</v>
      </c>
      <c r="F13565" t="s">
        <v>11610</v>
      </c>
      <c r="I13565" t="s">
        <v>45501</v>
      </c>
      <c r="L13565">
        <v>0</v>
      </c>
      <c r="M13565">
        <v>0</v>
      </c>
      <c r="N13565">
        <v>0</v>
      </c>
      <c r="O13565" t="s">
        <v>12107</v>
      </c>
    </row>
    <row r="13566" spans="1:15">
      <c r="A13566" t="s">
        <v>45502</v>
      </c>
      <c r="B13566" t="s">
        <v>6742</v>
      </c>
      <c r="C13566" t="s">
        <v>5545</v>
      </c>
      <c r="D13566" t="s">
        <v>45503</v>
      </c>
      <c r="E13566" t="b">
        <v>0</v>
      </c>
      <c r="F13566" t="s">
        <v>11610</v>
      </c>
      <c r="L13566">
        <v>0</v>
      </c>
      <c r="M13566">
        <v>0</v>
      </c>
      <c r="N13566">
        <v>0</v>
      </c>
    </row>
    <row r="13567" spans="1:15">
      <c r="A13567" t="s">
        <v>45504</v>
      </c>
      <c r="B13567" t="s">
        <v>6742</v>
      </c>
      <c r="C13567" t="s">
        <v>19012</v>
      </c>
      <c r="D13567" t="s">
        <v>45505</v>
      </c>
      <c r="E13567" t="b">
        <v>0</v>
      </c>
      <c r="F13567" t="s">
        <v>11624</v>
      </c>
      <c r="L13567">
        <v>0</v>
      </c>
      <c r="M13567">
        <v>0</v>
      </c>
      <c r="N13567">
        <v>0</v>
      </c>
      <c r="O13567" t="s">
        <v>14825</v>
      </c>
    </row>
    <row r="13568" spans="1:15">
      <c r="A13568" t="s">
        <v>45506</v>
      </c>
      <c r="B13568" t="s">
        <v>10597</v>
      </c>
      <c r="C13568" t="s">
        <v>12694</v>
      </c>
      <c r="D13568" t="s">
        <v>45507</v>
      </c>
      <c r="E13568" t="b">
        <v>0</v>
      </c>
      <c r="F13568" t="s">
        <v>11610</v>
      </c>
      <c r="L13568">
        <v>0</v>
      </c>
      <c r="M13568">
        <v>0</v>
      </c>
      <c r="N13568">
        <v>0</v>
      </c>
    </row>
    <row r="13569" spans="1:15">
      <c r="A13569" t="s">
        <v>18442</v>
      </c>
      <c r="B13569" t="s">
        <v>6742</v>
      </c>
      <c r="C13569" t="s">
        <v>45508</v>
      </c>
      <c r="D13569" t="s">
        <v>45509</v>
      </c>
      <c r="E13569" t="b">
        <v>0</v>
      </c>
      <c r="F13569" t="s">
        <v>11624</v>
      </c>
      <c r="G13569">
        <v>3.4577599999999999</v>
      </c>
      <c r="H13569">
        <v>15.5246</v>
      </c>
      <c r="I13569" t="s">
        <v>45510</v>
      </c>
      <c r="L13569">
        <v>0</v>
      </c>
      <c r="M13569">
        <v>0</v>
      </c>
      <c r="N13569">
        <v>3</v>
      </c>
      <c r="O13569" t="s">
        <v>34313</v>
      </c>
    </row>
    <row r="13570" spans="1:15">
      <c r="A13570" t="s">
        <v>45508</v>
      </c>
      <c r="B13570" t="s">
        <v>6742</v>
      </c>
      <c r="C13570" t="s">
        <v>17775</v>
      </c>
      <c r="D13570" t="s">
        <v>45511</v>
      </c>
      <c r="E13570" t="b">
        <v>0</v>
      </c>
      <c r="F13570" t="s">
        <v>11622</v>
      </c>
      <c r="L13570">
        <v>0</v>
      </c>
      <c r="M13570">
        <v>2</v>
      </c>
      <c r="N13570">
        <v>7</v>
      </c>
    </row>
    <row r="13571" spans="1:15">
      <c r="A13571" t="s">
        <v>45512</v>
      </c>
      <c r="B13571" t="s">
        <v>11644</v>
      </c>
      <c r="C13571" t="s">
        <v>18532</v>
      </c>
      <c r="D13571" t="s">
        <v>45513</v>
      </c>
      <c r="E13571" t="b">
        <v>0</v>
      </c>
      <c r="F13571" t="s">
        <v>11624</v>
      </c>
      <c r="G13571">
        <v>18.171700000000001</v>
      </c>
      <c r="H13571">
        <v>100.21</v>
      </c>
      <c r="I13571" t="s">
        <v>45514</v>
      </c>
      <c r="L13571">
        <v>0</v>
      </c>
      <c r="M13571">
        <v>0</v>
      </c>
      <c r="N13571">
        <v>0</v>
      </c>
      <c r="O13571" t="s">
        <v>16739</v>
      </c>
    </row>
    <row r="13572" spans="1:15">
      <c r="A13572" t="s">
        <v>45515</v>
      </c>
      <c r="B13572" t="s">
        <v>6742</v>
      </c>
      <c r="C13572" t="s">
        <v>19287</v>
      </c>
      <c r="D13572" t="s">
        <v>45516</v>
      </c>
      <c r="E13572" t="b">
        <v>0</v>
      </c>
      <c r="F13572" t="s">
        <v>11624</v>
      </c>
      <c r="G13572">
        <v>-10.76</v>
      </c>
      <c r="H13572">
        <v>13.72</v>
      </c>
      <c r="L13572">
        <v>0</v>
      </c>
      <c r="M13572">
        <v>0</v>
      </c>
      <c r="N13572">
        <v>0</v>
      </c>
    </row>
    <row r="13573" spans="1:15">
      <c r="A13573" t="s">
        <v>45517</v>
      </c>
      <c r="B13573" t="s">
        <v>6742</v>
      </c>
      <c r="C13573" t="s">
        <v>15831</v>
      </c>
      <c r="D13573" t="s">
        <v>45518</v>
      </c>
      <c r="E13573" t="b">
        <v>0</v>
      </c>
      <c r="F13573" t="s">
        <v>11610</v>
      </c>
      <c r="L13573">
        <v>0</v>
      </c>
      <c r="M13573">
        <v>0</v>
      </c>
      <c r="N13573">
        <v>0</v>
      </c>
    </row>
    <row r="13574" spans="1:15">
      <c r="A13574" t="s">
        <v>45519</v>
      </c>
      <c r="B13574" t="s">
        <v>6742</v>
      </c>
      <c r="C13574" t="s">
        <v>1906</v>
      </c>
      <c r="D13574" t="s">
        <v>45520</v>
      </c>
      <c r="E13574" t="b">
        <v>0</v>
      </c>
      <c r="F13574" t="s">
        <v>11610</v>
      </c>
      <c r="L13574">
        <v>0</v>
      </c>
      <c r="M13574">
        <v>0</v>
      </c>
      <c r="N13574">
        <v>0</v>
      </c>
    </row>
    <row r="13575" spans="1:15">
      <c r="A13575" t="s">
        <v>1923</v>
      </c>
      <c r="B13575" t="s">
        <v>6742</v>
      </c>
      <c r="C13575" t="s">
        <v>1906</v>
      </c>
      <c r="D13575" t="s">
        <v>45521</v>
      </c>
      <c r="E13575" t="b">
        <v>0</v>
      </c>
      <c r="F13575" t="s">
        <v>11610</v>
      </c>
      <c r="L13575">
        <v>0</v>
      </c>
      <c r="M13575">
        <v>0</v>
      </c>
      <c r="N13575">
        <v>0</v>
      </c>
    </row>
    <row r="13576" spans="1:15">
      <c r="A13576" t="s">
        <v>45522</v>
      </c>
      <c r="B13576" t="s">
        <v>6742</v>
      </c>
      <c r="C13576" t="s">
        <v>32328</v>
      </c>
      <c r="D13576" t="s">
        <v>45523</v>
      </c>
      <c r="E13576" t="b">
        <v>0</v>
      </c>
      <c r="F13576" t="s">
        <v>11610</v>
      </c>
      <c r="L13576">
        <v>0</v>
      </c>
      <c r="M13576">
        <v>0</v>
      </c>
      <c r="N13576">
        <v>0</v>
      </c>
    </row>
    <row r="13577" spans="1:15">
      <c r="A13577" t="s">
        <v>15831</v>
      </c>
      <c r="B13577" t="s">
        <v>6742</v>
      </c>
      <c r="C13577" t="s">
        <v>17775</v>
      </c>
      <c r="D13577" t="s">
        <v>45524</v>
      </c>
      <c r="E13577" t="b">
        <v>0</v>
      </c>
      <c r="F13577" t="s">
        <v>11624</v>
      </c>
      <c r="G13577">
        <v>3.1401500000000002</v>
      </c>
      <c r="H13577">
        <v>14.866</v>
      </c>
      <c r="I13577" t="s">
        <v>45525</v>
      </c>
      <c r="L13577">
        <v>0</v>
      </c>
      <c r="M13577">
        <v>0</v>
      </c>
      <c r="N13577">
        <v>5</v>
      </c>
      <c r="O13577" t="s">
        <v>16633</v>
      </c>
    </row>
    <row r="13578" spans="1:15">
      <c r="A13578" t="s">
        <v>45526</v>
      </c>
      <c r="B13578" t="s">
        <v>6742</v>
      </c>
      <c r="C13578" t="s">
        <v>12641</v>
      </c>
      <c r="D13578" t="s">
        <v>45527</v>
      </c>
      <c r="E13578" t="b">
        <v>0</v>
      </c>
      <c r="F13578" t="s">
        <v>11610</v>
      </c>
      <c r="L13578">
        <v>0</v>
      </c>
      <c r="M13578">
        <v>0</v>
      </c>
      <c r="N13578">
        <v>0</v>
      </c>
    </row>
    <row r="13579" spans="1:15">
      <c r="A13579" t="s">
        <v>45528</v>
      </c>
      <c r="B13579" t="s">
        <v>6742</v>
      </c>
      <c r="C13579" t="s">
        <v>16118</v>
      </c>
      <c r="D13579" t="s">
        <v>45529</v>
      </c>
      <c r="E13579" t="b">
        <v>0</v>
      </c>
      <c r="F13579" t="s">
        <v>11610</v>
      </c>
      <c r="L13579">
        <v>0</v>
      </c>
      <c r="M13579">
        <v>0</v>
      </c>
      <c r="N13579">
        <v>0</v>
      </c>
    </row>
    <row r="13580" spans="1:15">
      <c r="A13580" t="s">
        <v>45530</v>
      </c>
      <c r="B13580" t="s">
        <v>6742</v>
      </c>
      <c r="C13580" t="s">
        <v>43335</v>
      </c>
      <c r="D13580" t="s">
        <v>45531</v>
      </c>
      <c r="E13580" t="b">
        <v>0</v>
      </c>
      <c r="F13580" t="s">
        <v>11624</v>
      </c>
      <c r="G13580">
        <v>-11.13767</v>
      </c>
      <c r="H13580">
        <v>34.712690000000002</v>
      </c>
      <c r="I13580" t="s">
        <v>45532</v>
      </c>
      <c r="L13580">
        <v>0</v>
      </c>
      <c r="M13580">
        <v>0</v>
      </c>
      <c r="N13580">
        <v>0</v>
      </c>
      <c r="O13580" t="s">
        <v>27909</v>
      </c>
    </row>
    <row r="13581" spans="1:15">
      <c r="A13581" t="s">
        <v>45533</v>
      </c>
      <c r="B13581" t="s">
        <v>367</v>
      </c>
      <c r="C13581" t="s">
        <v>19730</v>
      </c>
      <c r="D13581" t="s">
        <v>45534</v>
      </c>
      <c r="E13581" t="b">
        <v>0</v>
      </c>
      <c r="F13581" t="s">
        <v>11624</v>
      </c>
      <c r="G13581">
        <v>-15.8988</v>
      </c>
      <c r="H13581">
        <v>167.232</v>
      </c>
      <c r="I13581" t="s">
        <v>45535</v>
      </c>
      <c r="L13581">
        <v>0</v>
      </c>
      <c r="M13581">
        <v>0</v>
      </c>
      <c r="N13581">
        <v>0</v>
      </c>
      <c r="O13581" t="s">
        <v>12719</v>
      </c>
    </row>
    <row r="13582" spans="1:15">
      <c r="A13582" t="s">
        <v>45536</v>
      </c>
      <c r="B13582" t="s">
        <v>6742</v>
      </c>
      <c r="C13582" t="s">
        <v>11992</v>
      </c>
      <c r="D13582" t="s">
        <v>45537</v>
      </c>
      <c r="E13582" t="b">
        <v>0</v>
      </c>
      <c r="F13582" t="s">
        <v>11624</v>
      </c>
      <c r="G13582">
        <v>8.8670000000000009</v>
      </c>
      <c r="H13582">
        <v>-1.25</v>
      </c>
      <c r="L13582">
        <v>0</v>
      </c>
      <c r="M13582">
        <v>0</v>
      </c>
      <c r="N13582">
        <v>0</v>
      </c>
      <c r="O13582" t="s">
        <v>11985</v>
      </c>
    </row>
    <row r="13583" spans="1:15">
      <c r="A13583" t="s">
        <v>45538</v>
      </c>
      <c r="B13583" t="s">
        <v>6742</v>
      </c>
      <c r="C13583" t="s">
        <v>38741</v>
      </c>
      <c r="D13583" t="s">
        <v>45539</v>
      </c>
      <c r="E13583" t="b">
        <v>0</v>
      </c>
      <c r="F13583" t="s">
        <v>11624</v>
      </c>
      <c r="G13583">
        <v>-5.2113399999999999</v>
      </c>
      <c r="H13583">
        <v>19.4269</v>
      </c>
      <c r="I13583" t="s">
        <v>45540</v>
      </c>
      <c r="L13583">
        <v>0</v>
      </c>
      <c r="M13583">
        <v>0</v>
      </c>
      <c r="N13583">
        <v>2</v>
      </c>
      <c r="O13583" t="s">
        <v>14825</v>
      </c>
    </row>
    <row r="13584" spans="1:15">
      <c r="A13584" t="s">
        <v>12629</v>
      </c>
      <c r="D13584" t="s">
        <v>45541</v>
      </c>
      <c r="E13584" t="b">
        <v>0</v>
      </c>
      <c r="F13584" t="s">
        <v>11624</v>
      </c>
      <c r="G13584">
        <v>-0.74890000000000001</v>
      </c>
      <c r="H13584">
        <v>133.166</v>
      </c>
      <c r="I13584" t="s">
        <v>45542</v>
      </c>
      <c r="L13584">
        <v>0</v>
      </c>
      <c r="M13584">
        <v>0</v>
      </c>
      <c r="N13584">
        <v>2</v>
      </c>
      <c r="O13584" t="s">
        <v>11768</v>
      </c>
    </row>
    <row r="13585" spans="1:15">
      <c r="A13585" t="s">
        <v>45543</v>
      </c>
      <c r="B13585" t="s">
        <v>11607</v>
      </c>
      <c r="C13585" t="s">
        <v>17710</v>
      </c>
      <c r="D13585" t="s">
        <v>45544</v>
      </c>
      <c r="E13585" t="b">
        <v>0</v>
      </c>
      <c r="F13585" t="s">
        <v>11610</v>
      </c>
      <c r="L13585">
        <v>0</v>
      </c>
      <c r="M13585">
        <v>0</v>
      </c>
      <c r="N13585">
        <v>0</v>
      </c>
    </row>
    <row r="13586" spans="1:15">
      <c r="A13586" t="s">
        <v>45545</v>
      </c>
      <c r="B13586" t="s">
        <v>6742</v>
      </c>
      <c r="C13586" t="s">
        <v>45546</v>
      </c>
      <c r="D13586" t="s">
        <v>45547</v>
      </c>
      <c r="E13586" t="b">
        <v>0</v>
      </c>
      <c r="F13586" t="s">
        <v>11610</v>
      </c>
      <c r="L13586">
        <v>0</v>
      </c>
      <c r="M13586">
        <v>0</v>
      </c>
      <c r="N13586">
        <v>0</v>
      </c>
    </row>
    <row r="13587" spans="1:15">
      <c r="A13587" t="s">
        <v>45548</v>
      </c>
      <c r="B13587" t="s">
        <v>6742</v>
      </c>
      <c r="C13587" t="s">
        <v>45538</v>
      </c>
      <c r="D13587" t="s">
        <v>45549</v>
      </c>
      <c r="E13587" t="b">
        <v>0</v>
      </c>
      <c r="F13587" t="s">
        <v>11610</v>
      </c>
      <c r="L13587">
        <v>0</v>
      </c>
      <c r="M13587">
        <v>0</v>
      </c>
      <c r="N13587">
        <v>0</v>
      </c>
    </row>
    <row r="13588" spans="1:15">
      <c r="A13588" t="s">
        <v>45550</v>
      </c>
      <c r="B13588" t="s">
        <v>6742</v>
      </c>
      <c r="C13588" t="s">
        <v>18442</v>
      </c>
      <c r="D13588" t="s">
        <v>45551</v>
      </c>
      <c r="E13588" t="b">
        <v>0</v>
      </c>
      <c r="F13588" t="s">
        <v>11610</v>
      </c>
      <c r="L13588">
        <v>0</v>
      </c>
      <c r="M13588">
        <v>0</v>
      </c>
      <c r="N13588">
        <v>0</v>
      </c>
    </row>
    <row r="13589" spans="1:15">
      <c r="A13589" t="s">
        <v>45552</v>
      </c>
      <c r="B13589" t="s">
        <v>331</v>
      </c>
      <c r="C13589" t="s">
        <v>37212</v>
      </c>
      <c r="D13589" t="s">
        <v>45553</v>
      </c>
      <c r="E13589" t="b">
        <v>0</v>
      </c>
      <c r="F13589" t="s">
        <v>11610</v>
      </c>
      <c r="L13589">
        <v>0</v>
      </c>
      <c r="M13589">
        <v>0</v>
      </c>
      <c r="N13589">
        <v>0</v>
      </c>
    </row>
    <row r="13590" spans="1:15">
      <c r="A13590" t="s">
        <v>45554</v>
      </c>
      <c r="B13590" t="s">
        <v>367</v>
      </c>
      <c r="C13590" t="s">
        <v>38485</v>
      </c>
      <c r="D13590" t="s">
        <v>45555</v>
      </c>
      <c r="E13590" t="b">
        <v>0</v>
      </c>
      <c r="F13590" t="s">
        <v>11610</v>
      </c>
      <c r="L13590">
        <v>0</v>
      </c>
      <c r="M13590">
        <v>0</v>
      </c>
      <c r="N13590">
        <v>0</v>
      </c>
    </row>
    <row r="13591" spans="1:15">
      <c r="A13591" t="s">
        <v>45556</v>
      </c>
      <c r="B13591" t="s">
        <v>6742</v>
      </c>
      <c r="C13591" t="s">
        <v>13575</v>
      </c>
      <c r="D13591" t="s">
        <v>45557</v>
      </c>
      <c r="E13591" t="b">
        <v>0</v>
      </c>
      <c r="F13591" t="s">
        <v>11610</v>
      </c>
      <c r="L13591">
        <v>0</v>
      </c>
      <c r="M13591">
        <v>0</v>
      </c>
      <c r="N13591">
        <v>0</v>
      </c>
    </row>
    <row r="13592" spans="1:15">
      <c r="A13592" t="s">
        <v>45558</v>
      </c>
      <c r="B13592" t="s">
        <v>11644</v>
      </c>
      <c r="C13592" t="s">
        <v>26615</v>
      </c>
      <c r="D13592" t="s">
        <v>45559</v>
      </c>
      <c r="E13592" t="b">
        <v>0</v>
      </c>
      <c r="F13592" t="s">
        <v>11624</v>
      </c>
      <c r="G13592">
        <v>19.71</v>
      </c>
      <c r="H13592">
        <v>93.995000000000005</v>
      </c>
      <c r="I13592" t="s">
        <v>45560</v>
      </c>
      <c r="L13592">
        <v>0</v>
      </c>
      <c r="M13592">
        <v>0</v>
      </c>
      <c r="N13592">
        <v>0</v>
      </c>
      <c r="O13592" t="s">
        <v>14059</v>
      </c>
    </row>
    <row r="13593" spans="1:15">
      <c r="A13593" t="s">
        <v>45561</v>
      </c>
      <c r="B13593" t="s">
        <v>12438</v>
      </c>
      <c r="C13593" t="s">
        <v>22166</v>
      </c>
      <c r="D13593" t="s">
        <v>45562</v>
      </c>
      <c r="E13593" t="b">
        <v>0</v>
      </c>
      <c r="F13593" t="s">
        <v>11610</v>
      </c>
      <c r="L13593">
        <v>0</v>
      </c>
      <c r="M13593">
        <v>0</v>
      </c>
      <c r="N13593">
        <v>0</v>
      </c>
    </row>
    <row r="13594" spans="1:15">
      <c r="A13594" t="s">
        <v>14056</v>
      </c>
      <c r="B13594" t="s">
        <v>11644</v>
      </c>
      <c r="C13594" t="s">
        <v>11644</v>
      </c>
      <c r="D13594" t="s">
        <v>45563</v>
      </c>
      <c r="E13594" t="b">
        <v>0</v>
      </c>
      <c r="F13594" t="s">
        <v>11622</v>
      </c>
      <c r="L13594">
        <v>0</v>
      </c>
      <c r="M13594">
        <v>2</v>
      </c>
      <c r="N13594">
        <v>0</v>
      </c>
    </row>
    <row r="13595" spans="1:15">
      <c r="A13595" t="s">
        <v>45564</v>
      </c>
      <c r="B13595" t="s">
        <v>11644</v>
      </c>
      <c r="C13595" t="s">
        <v>14056</v>
      </c>
      <c r="D13595" t="s">
        <v>45565</v>
      </c>
      <c r="E13595" t="b">
        <v>0</v>
      </c>
      <c r="F13595" t="s">
        <v>11624</v>
      </c>
      <c r="G13595">
        <v>24.154</v>
      </c>
      <c r="H13595">
        <v>90.631699999999995</v>
      </c>
      <c r="I13595" t="s">
        <v>45566</v>
      </c>
      <c r="L13595">
        <v>0</v>
      </c>
      <c r="M13595">
        <v>0</v>
      </c>
      <c r="N13595">
        <v>0</v>
      </c>
      <c r="O13595" t="s">
        <v>17541</v>
      </c>
    </row>
    <row r="13596" spans="1:15">
      <c r="A13596" t="s">
        <v>28757</v>
      </c>
      <c r="B13596" t="s">
        <v>11607</v>
      </c>
      <c r="C13596" t="s">
        <v>37622</v>
      </c>
      <c r="D13596" t="s">
        <v>45567</v>
      </c>
      <c r="E13596" t="b">
        <v>0</v>
      </c>
      <c r="F13596" t="s">
        <v>11624</v>
      </c>
      <c r="G13596">
        <v>11.9765</v>
      </c>
      <c r="H13596">
        <v>15.0373</v>
      </c>
      <c r="I13596" t="s">
        <v>45568</v>
      </c>
      <c r="L13596">
        <v>0</v>
      </c>
      <c r="M13596">
        <v>0</v>
      </c>
      <c r="N13596">
        <v>5</v>
      </c>
      <c r="O13596" t="s">
        <v>29226</v>
      </c>
    </row>
    <row r="13597" spans="1:15">
      <c r="A13597" t="s">
        <v>45569</v>
      </c>
      <c r="B13597" t="s">
        <v>6742</v>
      </c>
      <c r="C13597" t="s">
        <v>32844</v>
      </c>
      <c r="D13597" t="s">
        <v>45570</v>
      </c>
      <c r="E13597" t="b">
        <v>0</v>
      </c>
      <c r="F13597" t="s">
        <v>11610</v>
      </c>
      <c r="L13597">
        <v>0</v>
      </c>
      <c r="M13597">
        <v>0</v>
      </c>
      <c r="N13597">
        <v>0</v>
      </c>
    </row>
    <row r="13598" spans="1:15">
      <c r="A13598" t="s">
        <v>45571</v>
      </c>
      <c r="B13598" t="s">
        <v>367</v>
      </c>
      <c r="C13598" t="s">
        <v>32351</v>
      </c>
      <c r="D13598" t="s">
        <v>45572</v>
      </c>
      <c r="E13598" t="b">
        <v>0</v>
      </c>
      <c r="F13598" t="s">
        <v>11624</v>
      </c>
      <c r="G13598">
        <v>13.4566</v>
      </c>
      <c r="H13598">
        <v>123.46299999999999</v>
      </c>
      <c r="I13598" t="s">
        <v>45573</v>
      </c>
      <c r="L13598">
        <v>0</v>
      </c>
      <c r="M13598">
        <v>0</v>
      </c>
      <c r="N13598">
        <v>0</v>
      </c>
      <c r="O13598" t="s">
        <v>11749</v>
      </c>
    </row>
    <row r="13599" spans="1:15">
      <c r="A13599" t="s">
        <v>45574</v>
      </c>
      <c r="B13599" t="s">
        <v>367</v>
      </c>
      <c r="C13599" t="s">
        <v>32351</v>
      </c>
      <c r="D13599" t="s">
        <v>45575</v>
      </c>
      <c r="E13599" t="b">
        <v>0</v>
      </c>
      <c r="F13599" t="s">
        <v>11624</v>
      </c>
      <c r="G13599">
        <v>13.4588</v>
      </c>
      <c r="H13599">
        <v>123.55200000000001</v>
      </c>
      <c r="I13599" t="s">
        <v>45576</v>
      </c>
      <c r="L13599">
        <v>0</v>
      </c>
      <c r="M13599">
        <v>0</v>
      </c>
      <c r="N13599">
        <v>0</v>
      </c>
      <c r="O13599" t="s">
        <v>11749</v>
      </c>
    </row>
    <row r="13600" spans="1:15">
      <c r="A13600" t="s">
        <v>45577</v>
      </c>
      <c r="B13600" t="s">
        <v>12148</v>
      </c>
      <c r="C13600" t="s">
        <v>61</v>
      </c>
      <c r="D13600" t="s">
        <v>45578</v>
      </c>
      <c r="E13600" t="b">
        <v>0</v>
      </c>
      <c r="F13600" t="s">
        <v>11610</v>
      </c>
      <c r="L13600">
        <v>0</v>
      </c>
      <c r="M13600">
        <v>0</v>
      </c>
      <c r="N13600">
        <v>0</v>
      </c>
    </row>
    <row r="13601" spans="1:15">
      <c r="A13601" t="s">
        <v>45579</v>
      </c>
      <c r="B13601" t="s">
        <v>12438</v>
      </c>
      <c r="C13601" t="s">
        <v>14105</v>
      </c>
      <c r="D13601" t="s">
        <v>45580</v>
      </c>
      <c r="E13601" t="b">
        <v>0</v>
      </c>
      <c r="F13601" t="s">
        <v>11610</v>
      </c>
      <c r="L13601">
        <v>0</v>
      </c>
      <c r="M13601">
        <v>0</v>
      </c>
      <c r="N13601">
        <v>0</v>
      </c>
    </row>
    <row r="13602" spans="1:15">
      <c r="A13602" t="s">
        <v>45581</v>
      </c>
      <c r="B13602" t="s">
        <v>367</v>
      </c>
      <c r="C13602" t="s">
        <v>31878</v>
      </c>
      <c r="D13602" t="s">
        <v>45582</v>
      </c>
      <c r="E13602" t="b">
        <v>0</v>
      </c>
      <c r="F13602" t="s">
        <v>11624</v>
      </c>
      <c r="G13602">
        <v>0.31083</v>
      </c>
      <c r="H13602">
        <v>111.077</v>
      </c>
      <c r="I13602" t="s">
        <v>45583</v>
      </c>
      <c r="L13602">
        <v>0</v>
      </c>
      <c r="M13602">
        <v>0</v>
      </c>
      <c r="N13602">
        <v>0</v>
      </c>
      <c r="O13602" t="s">
        <v>11768</v>
      </c>
    </row>
    <row r="13603" spans="1:15">
      <c r="A13603" t="s">
        <v>45584</v>
      </c>
      <c r="B13603" t="s">
        <v>11644</v>
      </c>
      <c r="C13603" t="s">
        <v>41383</v>
      </c>
      <c r="D13603" t="s">
        <v>45585</v>
      </c>
      <c r="E13603" t="b">
        <v>0</v>
      </c>
      <c r="F13603" t="s">
        <v>11624</v>
      </c>
      <c r="G13603">
        <v>23.631962000000001</v>
      </c>
      <c r="H13603">
        <v>105.18228499999999</v>
      </c>
      <c r="L13603">
        <v>0</v>
      </c>
      <c r="M13603">
        <v>0</v>
      </c>
      <c r="N13603">
        <v>0</v>
      </c>
      <c r="O13603" t="s">
        <v>11905</v>
      </c>
    </row>
    <row r="13604" spans="1:15">
      <c r="A13604" t="s">
        <v>45586</v>
      </c>
      <c r="B13604" t="s">
        <v>12218</v>
      </c>
      <c r="C13604" t="s">
        <v>12219</v>
      </c>
      <c r="D13604" t="s">
        <v>45587</v>
      </c>
      <c r="E13604" t="b">
        <v>0</v>
      </c>
      <c r="F13604" t="s">
        <v>11610</v>
      </c>
      <c r="L13604">
        <v>0</v>
      </c>
      <c r="M13604">
        <v>0</v>
      </c>
      <c r="N13604">
        <v>0</v>
      </c>
    </row>
    <row r="13605" spans="1:15">
      <c r="A13605" t="s">
        <v>45588</v>
      </c>
      <c r="B13605" t="s">
        <v>11794</v>
      </c>
      <c r="C13605" t="s">
        <v>31501</v>
      </c>
      <c r="D13605" t="s">
        <v>45589</v>
      </c>
      <c r="E13605" t="b">
        <v>0</v>
      </c>
      <c r="F13605" t="s">
        <v>11624</v>
      </c>
      <c r="G13605">
        <v>-7.5500999999999996</v>
      </c>
      <c r="H13605">
        <v>142.99799999999999</v>
      </c>
      <c r="I13605" t="s">
        <v>45590</v>
      </c>
      <c r="L13605">
        <v>0</v>
      </c>
      <c r="M13605">
        <v>0</v>
      </c>
      <c r="N13605">
        <v>0</v>
      </c>
      <c r="O13605" t="s">
        <v>11660</v>
      </c>
    </row>
    <row r="13606" spans="1:15">
      <c r="A13606" t="s">
        <v>45591</v>
      </c>
      <c r="B13606" t="s">
        <v>26263</v>
      </c>
      <c r="C13606" t="s">
        <v>27976</v>
      </c>
      <c r="D13606" t="s">
        <v>45592</v>
      </c>
      <c r="E13606" t="b">
        <v>0</v>
      </c>
      <c r="F13606" t="s">
        <v>11610</v>
      </c>
      <c r="L13606">
        <v>0</v>
      </c>
      <c r="M13606">
        <v>0</v>
      </c>
      <c r="N13606">
        <v>0</v>
      </c>
    </row>
    <row r="13607" spans="1:15">
      <c r="A13607" t="s">
        <v>45593</v>
      </c>
      <c r="B13607" t="s">
        <v>11607</v>
      </c>
      <c r="C13607" t="s">
        <v>34248</v>
      </c>
      <c r="D13607" t="s">
        <v>45594</v>
      </c>
      <c r="E13607" t="b">
        <v>0</v>
      </c>
      <c r="F13607" t="s">
        <v>11624</v>
      </c>
      <c r="G13607">
        <v>12.689299999999999</v>
      </c>
      <c r="H13607">
        <v>19.590199999999999</v>
      </c>
      <c r="I13607" t="s">
        <v>45595</v>
      </c>
      <c r="L13607">
        <v>0</v>
      </c>
      <c r="M13607">
        <v>0</v>
      </c>
      <c r="N13607">
        <v>0</v>
      </c>
      <c r="O13607" t="s">
        <v>13421</v>
      </c>
    </row>
    <row r="13608" spans="1:15">
      <c r="A13608" t="s">
        <v>34248</v>
      </c>
      <c r="B13608" t="s">
        <v>11607</v>
      </c>
      <c r="C13608" t="s">
        <v>24048</v>
      </c>
      <c r="D13608" t="s">
        <v>45596</v>
      </c>
      <c r="E13608" t="b">
        <v>0</v>
      </c>
      <c r="F13608" t="s">
        <v>11622</v>
      </c>
      <c r="L13608">
        <v>0</v>
      </c>
      <c r="M13608">
        <v>4</v>
      </c>
      <c r="N13608">
        <v>0</v>
      </c>
    </row>
    <row r="13609" spans="1:15">
      <c r="A13609" t="s">
        <v>45597</v>
      </c>
      <c r="B13609" t="s">
        <v>9071</v>
      </c>
      <c r="C13609" t="s">
        <v>25673</v>
      </c>
      <c r="D13609" t="s">
        <v>45598</v>
      </c>
      <c r="E13609" t="b">
        <v>0</v>
      </c>
      <c r="F13609" t="s">
        <v>11610</v>
      </c>
      <c r="L13609">
        <v>0</v>
      </c>
      <c r="M13609">
        <v>0</v>
      </c>
      <c r="N13609">
        <v>0</v>
      </c>
    </row>
    <row r="13610" spans="1:15">
      <c r="A13610" t="s">
        <v>45599</v>
      </c>
      <c r="B13610" t="s">
        <v>23599</v>
      </c>
      <c r="C13610" t="s">
        <v>44440</v>
      </c>
      <c r="D13610" t="s">
        <v>45600</v>
      </c>
      <c r="E13610" t="b">
        <v>0</v>
      </c>
      <c r="F13610" t="s">
        <v>11610</v>
      </c>
      <c r="L13610">
        <v>0</v>
      </c>
      <c r="M13610">
        <v>0</v>
      </c>
      <c r="N13610">
        <v>0</v>
      </c>
    </row>
    <row r="13611" spans="1:15">
      <c r="A13611" t="s">
        <v>45601</v>
      </c>
      <c r="B13611" t="s">
        <v>11644</v>
      </c>
      <c r="C13611" t="s">
        <v>12724</v>
      </c>
      <c r="D13611" t="s">
        <v>45602</v>
      </c>
      <c r="E13611" t="b">
        <v>0</v>
      </c>
      <c r="F13611" t="s">
        <v>11624</v>
      </c>
      <c r="G13611">
        <v>21.95</v>
      </c>
      <c r="H13611">
        <v>100.6</v>
      </c>
      <c r="I13611" t="s">
        <v>45603</v>
      </c>
      <c r="L13611">
        <v>0</v>
      </c>
      <c r="M13611">
        <v>0</v>
      </c>
      <c r="N13611">
        <v>0</v>
      </c>
      <c r="O13611" t="s">
        <v>11905</v>
      </c>
    </row>
    <row r="13612" spans="1:15">
      <c r="A13612" t="s">
        <v>45604</v>
      </c>
      <c r="B13612" t="s">
        <v>10597</v>
      </c>
      <c r="C13612" t="s">
        <v>30221</v>
      </c>
      <c r="D13612" t="s">
        <v>45605</v>
      </c>
      <c r="E13612" t="b">
        <v>0</v>
      </c>
      <c r="F13612" t="s">
        <v>11624</v>
      </c>
      <c r="G13612">
        <v>-16.769400000000001</v>
      </c>
      <c r="H13612">
        <v>132.32900000000001</v>
      </c>
      <c r="I13612" t="s">
        <v>45606</v>
      </c>
      <c r="L13612">
        <v>0</v>
      </c>
      <c r="M13612">
        <v>0</v>
      </c>
      <c r="N13612">
        <v>0</v>
      </c>
      <c r="O13612" t="s">
        <v>12107</v>
      </c>
    </row>
    <row r="13613" spans="1:15">
      <c r="A13613" t="s">
        <v>45607</v>
      </c>
      <c r="B13613" t="s">
        <v>11844</v>
      </c>
      <c r="C13613" t="s">
        <v>1119</v>
      </c>
      <c r="D13613" t="s">
        <v>45608</v>
      </c>
      <c r="E13613" t="b">
        <v>0</v>
      </c>
      <c r="F13613" t="s">
        <v>11624</v>
      </c>
      <c r="G13613">
        <v>18.276</v>
      </c>
      <c r="H13613">
        <v>83.378</v>
      </c>
      <c r="I13613" t="s">
        <v>45609</v>
      </c>
      <c r="L13613">
        <v>0</v>
      </c>
      <c r="M13613">
        <v>0</v>
      </c>
      <c r="N13613">
        <v>0</v>
      </c>
      <c r="O13613" t="s">
        <v>11630</v>
      </c>
    </row>
    <row r="13614" spans="1:15">
      <c r="A13614" t="s">
        <v>45610</v>
      </c>
      <c r="B13614" t="s">
        <v>11644</v>
      </c>
      <c r="C13614" t="s">
        <v>33595</v>
      </c>
      <c r="D13614" t="s">
        <v>45611</v>
      </c>
      <c r="E13614" t="b">
        <v>0</v>
      </c>
      <c r="F13614" t="s">
        <v>11610</v>
      </c>
      <c r="L13614">
        <v>0</v>
      </c>
      <c r="M13614">
        <v>0</v>
      </c>
      <c r="N13614">
        <v>0</v>
      </c>
    </row>
    <row r="13615" spans="1:15">
      <c r="A13615" t="s">
        <v>45612</v>
      </c>
      <c r="B13615" t="s">
        <v>11844</v>
      </c>
      <c r="C13615" t="s">
        <v>15086</v>
      </c>
      <c r="D13615" t="s">
        <v>45613</v>
      </c>
      <c r="E13615" t="b">
        <v>0</v>
      </c>
      <c r="F13615" t="s">
        <v>11624</v>
      </c>
      <c r="I13615" t="s">
        <v>45614</v>
      </c>
      <c r="L13615">
        <v>0</v>
      </c>
      <c r="M13615">
        <v>0</v>
      </c>
      <c r="N13615">
        <v>0</v>
      </c>
      <c r="O13615" t="s">
        <v>11630</v>
      </c>
    </row>
    <row r="13616" spans="1:15">
      <c r="A13616" t="s">
        <v>45615</v>
      </c>
      <c r="B13616" t="s">
        <v>11844</v>
      </c>
      <c r="C13616" t="s">
        <v>13709</v>
      </c>
      <c r="D13616" t="s">
        <v>45616</v>
      </c>
      <c r="E13616" t="b">
        <v>0</v>
      </c>
      <c r="F13616" t="s">
        <v>11610</v>
      </c>
      <c r="L13616">
        <v>0</v>
      </c>
      <c r="M13616">
        <v>0</v>
      </c>
      <c r="N13616">
        <v>0</v>
      </c>
    </row>
    <row r="13617" spans="1:15">
      <c r="A13617" t="s">
        <v>45617</v>
      </c>
      <c r="B13617" t="s">
        <v>11844</v>
      </c>
      <c r="C13617" t="s">
        <v>37402</v>
      </c>
      <c r="D13617" t="s">
        <v>45618</v>
      </c>
      <c r="E13617" t="b">
        <v>0</v>
      </c>
      <c r="F13617" t="s">
        <v>11624</v>
      </c>
      <c r="G13617">
        <v>12.622400000000001</v>
      </c>
      <c r="H13617">
        <v>75.106099999999998</v>
      </c>
      <c r="I13617" t="s">
        <v>45619</v>
      </c>
      <c r="L13617">
        <v>0</v>
      </c>
      <c r="M13617">
        <v>0</v>
      </c>
      <c r="N13617">
        <v>0</v>
      </c>
      <c r="O13617" t="s">
        <v>11630</v>
      </c>
    </row>
    <row r="13618" spans="1:15">
      <c r="A13618" t="s">
        <v>45620</v>
      </c>
      <c r="B13618" t="s">
        <v>367</v>
      </c>
      <c r="C13618" t="s">
        <v>16297</v>
      </c>
      <c r="D13618" t="s">
        <v>45621</v>
      </c>
      <c r="E13618" t="b">
        <v>0</v>
      </c>
      <c r="F13618" t="s">
        <v>11624</v>
      </c>
      <c r="G13618">
        <v>-4.6975100000000003</v>
      </c>
      <c r="H13618">
        <v>149.489</v>
      </c>
      <c r="I13618" t="s">
        <v>45622</v>
      </c>
      <c r="L13618">
        <v>0</v>
      </c>
      <c r="M13618">
        <v>0</v>
      </c>
      <c r="N13618">
        <v>0</v>
      </c>
      <c r="O13618" t="s">
        <v>11660</v>
      </c>
    </row>
    <row r="13619" spans="1:15">
      <c r="A13619" t="s">
        <v>15086</v>
      </c>
      <c r="B13619" t="s">
        <v>11844</v>
      </c>
      <c r="C13619" t="s">
        <v>32668</v>
      </c>
      <c r="D13619" t="s">
        <v>45623</v>
      </c>
      <c r="E13619" t="b">
        <v>0</v>
      </c>
      <c r="F13619" t="s">
        <v>11622</v>
      </c>
      <c r="L13619">
        <v>0</v>
      </c>
      <c r="M13619">
        <v>2</v>
      </c>
      <c r="N13619">
        <v>0</v>
      </c>
    </row>
    <row r="13620" spans="1:15">
      <c r="A13620" t="s">
        <v>45624</v>
      </c>
      <c r="B13620" t="s">
        <v>13360</v>
      </c>
      <c r="C13620" t="s">
        <v>13360</v>
      </c>
      <c r="D13620" t="s">
        <v>45625</v>
      </c>
      <c r="E13620" t="b">
        <v>0</v>
      </c>
      <c r="F13620" t="s">
        <v>11624</v>
      </c>
      <c r="L13620">
        <v>0</v>
      </c>
      <c r="M13620">
        <v>0</v>
      </c>
      <c r="N13620">
        <v>0</v>
      </c>
      <c r="O13620" t="s">
        <v>11898</v>
      </c>
    </row>
    <row r="13621" spans="1:15">
      <c r="A13621" t="s">
        <v>45626</v>
      </c>
      <c r="B13621" t="s">
        <v>11644</v>
      </c>
      <c r="C13621" t="s">
        <v>27322</v>
      </c>
      <c r="D13621" t="s">
        <v>45627</v>
      </c>
      <c r="E13621" t="b">
        <v>0</v>
      </c>
      <c r="F13621" t="s">
        <v>11610</v>
      </c>
      <c r="L13621">
        <v>0</v>
      </c>
      <c r="M13621">
        <v>0</v>
      </c>
      <c r="N13621">
        <v>0</v>
      </c>
    </row>
    <row r="13622" spans="1:15">
      <c r="A13622" t="s">
        <v>16306</v>
      </c>
      <c r="B13622" t="s">
        <v>11834</v>
      </c>
      <c r="C13622" t="s">
        <v>20176</v>
      </c>
      <c r="D13622" t="s">
        <v>45628</v>
      </c>
      <c r="E13622" t="b">
        <v>0</v>
      </c>
      <c r="F13622" t="s">
        <v>11624</v>
      </c>
      <c r="G13622">
        <v>-3.5793200000000001</v>
      </c>
      <c r="H13622">
        <v>142.95500000000001</v>
      </c>
      <c r="I13622" t="s">
        <v>45629</v>
      </c>
      <c r="L13622">
        <v>0</v>
      </c>
      <c r="M13622">
        <v>0</v>
      </c>
      <c r="N13622">
        <v>5</v>
      </c>
      <c r="O13622" t="s">
        <v>11660</v>
      </c>
    </row>
    <row r="13623" spans="1:15">
      <c r="A13623" t="s">
        <v>20176</v>
      </c>
      <c r="B13623" t="s">
        <v>11834</v>
      </c>
      <c r="C13623" t="s">
        <v>14354</v>
      </c>
      <c r="D13623" t="s">
        <v>45630</v>
      </c>
      <c r="E13623" t="b">
        <v>0</v>
      </c>
      <c r="F13623" t="s">
        <v>11622</v>
      </c>
      <c r="L13623">
        <v>1</v>
      </c>
      <c r="M13623">
        <v>3</v>
      </c>
      <c r="N13623">
        <v>7</v>
      </c>
    </row>
    <row r="13624" spans="1:15">
      <c r="A13624" t="s">
        <v>45631</v>
      </c>
      <c r="B13624" t="s">
        <v>11757</v>
      </c>
      <c r="C13624" t="s">
        <v>11848</v>
      </c>
      <c r="D13624" t="s">
        <v>45632</v>
      </c>
      <c r="E13624" t="b">
        <v>0</v>
      </c>
      <c r="F13624" t="s">
        <v>11610</v>
      </c>
      <c r="L13624">
        <v>0</v>
      </c>
      <c r="M13624">
        <v>0</v>
      </c>
      <c r="N13624">
        <v>0</v>
      </c>
    </row>
    <row r="13625" spans="1:15">
      <c r="A13625" t="s">
        <v>45633</v>
      </c>
      <c r="B13625" t="s">
        <v>11644</v>
      </c>
      <c r="C13625" t="s">
        <v>35043</v>
      </c>
      <c r="D13625" t="s">
        <v>45634</v>
      </c>
      <c r="E13625" t="b">
        <v>0</v>
      </c>
      <c r="F13625" t="s">
        <v>11610</v>
      </c>
      <c r="L13625">
        <v>0</v>
      </c>
      <c r="M13625">
        <v>0</v>
      </c>
      <c r="N13625">
        <v>0</v>
      </c>
    </row>
    <row r="13626" spans="1:15">
      <c r="A13626" t="s">
        <v>45635</v>
      </c>
      <c r="B13626" t="s">
        <v>6742</v>
      </c>
      <c r="C13626" t="s">
        <v>23978</v>
      </c>
      <c r="D13626" t="s">
        <v>45636</v>
      </c>
      <c r="E13626" t="b">
        <v>0</v>
      </c>
      <c r="F13626" t="s">
        <v>11610</v>
      </c>
      <c r="L13626">
        <v>0</v>
      </c>
      <c r="M13626">
        <v>0</v>
      </c>
      <c r="N13626">
        <v>0</v>
      </c>
    </row>
    <row r="13627" spans="1:15">
      <c r="A13627" t="s">
        <v>45637</v>
      </c>
      <c r="B13627" t="s">
        <v>11637</v>
      </c>
      <c r="C13627" t="s">
        <v>30619</v>
      </c>
      <c r="D13627" t="s">
        <v>45638</v>
      </c>
      <c r="E13627" t="b">
        <v>0</v>
      </c>
      <c r="F13627" t="s">
        <v>11610</v>
      </c>
      <c r="L13627">
        <v>0</v>
      </c>
      <c r="M13627">
        <v>0</v>
      </c>
      <c r="N13627">
        <v>0</v>
      </c>
    </row>
    <row r="13628" spans="1:15">
      <c r="A13628" t="s">
        <v>45639</v>
      </c>
      <c r="B13628" t="s">
        <v>11757</v>
      </c>
      <c r="C13628" t="s">
        <v>11848</v>
      </c>
      <c r="D13628" t="s">
        <v>45640</v>
      </c>
      <c r="E13628" t="b">
        <v>0</v>
      </c>
      <c r="F13628" t="s">
        <v>11610</v>
      </c>
      <c r="L13628">
        <v>0</v>
      </c>
      <c r="M13628">
        <v>0</v>
      </c>
      <c r="N13628">
        <v>0</v>
      </c>
    </row>
    <row r="13629" spans="1:15">
      <c r="A13629" t="s">
        <v>17063</v>
      </c>
      <c r="B13629" t="s">
        <v>11615</v>
      </c>
      <c r="C13629" t="s">
        <v>13250</v>
      </c>
      <c r="D13629" t="s">
        <v>45641</v>
      </c>
      <c r="E13629" t="b">
        <v>0</v>
      </c>
      <c r="F13629" t="s">
        <v>11622</v>
      </c>
      <c r="L13629">
        <v>1</v>
      </c>
      <c r="M13629">
        <v>5</v>
      </c>
      <c r="N13629">
        <v>2</v>
      </c>
    </row>
    <row r="13630" spans="1:15">
      <c r="A13630" t="s">
        <v>45642</v>
      </c>
      <c r="B13630" t="s">
        <v>12311</v>
      </c>
      <c r="C13630" t="s">
        <v>14229</v>
      </c>
      <c r="D13630" t="s">
        <v>45643</v>
      </c>
      <c r="E13630" t="b">
        <v>0</v>
      </c>
      <c r="F13630" t="s">
        <v>11610</v>
      </c>
      <c r="L13630">
        <v>0</v>
      </c>
      <c r="M13630">
        <v>0</v>
      </c>
      <c r="N13630">
        <v>0</v>
      </c>
    </row>
    <row r="13631" spans="1:15">
      <c r="A13631" t="s">
        <v>35043</v>
      </c>
      <c r="B13631" t="s">
        <v>11644</v>
      </c>
      <c r="C13631" t="s">
        <v>25165</v>
      </c>
      <c r="D13631" t="s">
        <v>45644</v>
      </c>
      <c r="E13631" t="b">
        <v>0</v>
      </c>
      <c r="F13631" t="s">
        <v>11624</v>
      </c>
      <c r="G13631">
        <v>30.898299999999999</v>
      </c>
      <c r="H13631">
        <v>79.466399999999993</v>
      </c>
      <c r="I13631" t="s">
        <v>45645</v>
      </c>
      <c r="L13631">
        <v>0</v>
      </c>
      <c r="M13631">
        <v>0</v>
      </c>
      <c r="N13631">
        <v>2</v>
      </c>
      <c r="O13631" t="s">
        <v>40017</v>
      </c>
    </row>
    <row r="13632" spans="1:15">
      <c r="A13632" t="s">
        <v>45646</v>
      </c>
      <c r="B13632" t="s">
        <v>15569</v>
      </c>
      <c r="C13632" t="s">
        <v>38701</v>
      </c>
      <c r="D13632" t="s">
        <v>45647</v>
      </c>
      <c r="E13632" t="b">
        <v>0</v>
      </c>
      <c r="F13632" t="s">
        <v>11610</v>
      </c>
      <c r="L13632">
        <v>0</v>
      </c>
      <c r="M13632">
        <v>0</v>
      </c>
      <c r="N13632">
        <v>0</v>
      </c>
    </row>
    <row r="13633" spans="1:15">
      <c r="A13633" t="s">
        <v>45648</v>
      </c>
      <c r="B13633" t="s">
        <v>12218</v>
      </c>
      <c r="C13633" t="s">
        <v>18758</v>
      </c>
      <c r="D13633" t="s">
        <v>45649</v>
      </c>
      <c r="E13633" t="b">
        <v>0</v>
      </c>
      <c r="F13633" t="s">
        <v>11610</v>
      </c>
      <c r="L13633">
        <v>0</v>
      </c>
      <c r="M13633">
        <v>0</v>
      </c>
      <c r="N13633">
        <v>0</v>
      </c>
    </row>
    <row r="13634" spans="1:15">
      <c r="A13634" t="s">
        <v>45650</v>
      </c>
      <c r="B13634" t="s">
        <v>11607</v>
      </c>
      <c r="C13634" t="s">
        <v>43925</v>
      </c>
      <c r="D13634" t="s">
        <v>45651</v>
      </c>
      <c r="E13634" t="b">
        <v>0</v>
      </c>
      <c r="F13634" t="s">
        <v>11610</v>
      </c>
      <c r="L13634">
        <v>0</v>
      </c>
      <c r="M13634">
        <v>0</v>
      </c>
      <c r="N13634">
        <v>0</v>
      </c>
    </row>
    <row r="13635" spans="1:15">
      <c r="A13635" t="s">
        <v>45652</v>
      </c>
      <c r="B13635" t="s">
        <v>11607</v>
      </c>
      <c r="C13635" t="s">
        <v>33533</v>
      </c>
      <c r="D13635" t="s">
        <v>45653</v>
      </c>
      <c r="E13635" t="b">
        <v>0</v>
      </c>
      <c r="F13635" t="s">
        <v>11610</v>
      </c>
      <c r="L13635">
        <v>0</v>
      </c>
      <c r="M13635">
        <v>0</v>
      </c>
      <c r="N13635">
        <v>0</v>
      </c>
    </row>
    <row r="13636" spans="1:15">
      <c r="A13636" t="s">
        <v>45654</v>
      </c>
      <c r="B13636" t="s">
        <v>19568</v>
      </c>
      <c r="C13636" t="s">
        <v>19568</v>
      </c>
      <c r="D13636" t="s">
        <v>45655</v>
      </c>
      <c r="E13636" t="b">
        <v>0</v>
      </c>
      <c r="F13636" t="s">
        <v>11624</v>
      </c>
      <c r="G13636">
        <v>-0.86519999999999997</v>
      </c>
      <c r="H13636">
        <v>-72.424899999999994</v>
      </c>
      <c r="I13636" t="s">
        <v>45656</v>
      </c>
      <c r="L13636">
        <v>0</v>
      </c>
      <c r="M13636">
        <v>0</v>
      </c>
      <c r="N13636">
        <v>0</v>
      </c>
      <c r="O13636" t="s">
        <v>11898</v>
      </c>
    </row>
    <row r="13637" spans="1:15">
      <c r="A13637" t="s">
        <v>24419</v>
      </c>
      <c r="B13637" t="s">
        <v>12311</v>
      </c>
      <c r="C13637" t="s">
        <v>23588</v>
      </c>
      <c r="D13637" t="s">
        <v>45657</v>
      </c>
      <c r="E13637" t="b">
        <v>0</v>
      </c>
      <c r="F13637" t="s">
        <v>11610</v>
      </c>
      <c r="L13637">
        <v>0</v>
      </c>
      <c r="M13637">
        <v>0</v>
      </c>
      <c r="N13637">
        <v>2</v>
      </c>
    </row>
    <row r="13638" spans="1:15">
      <c r="A13638" t="s">
        <v>38957</v>
      </c>
      <c r="B13638" t="s">
        <v>11644</v>
      </c>
      <c r="C13638" t="s">
        <v>31089</v>
      </c>
      <c r="D13638" t="s">
        <v>45658</v>
      </c>
      <c r="E13638" t="b">
        <v>0</v>
      </c>
      <c r="F13638" t="s">
        <v>11622</v>
      </c>
      <c r="L13638">
        <v>6</v>
      </c>
      <c r="M13638">
        <v>9</v>
      </c>
      <c r="N13638">
        <v>0</v>
      </c>
    </row>
    <row r="13639" spans="1:15">
      <c r="A13639" t="s">
        <v>45659</v>
      </c>
      <c r="B13639" t="s">
        <v>11627</v>
      </c>
      <c r="C13639" t="s">
        <v>11627</v>
      </c>
      <c r="D13639" t="s">
        <v>45660</v>
      </c>
      <c r="E13639" t="b">
        <v>1</v>
      </c>
      <c r="F13639" t="s">
        <v>11624</v>
      </c>
      <c r="I13639" t="s">
        <v>45661</v>
      </c>
      <c r="L13639">
        <v>0</v>
      </c>
      <c r="M13639">
        <v>0</v>
      </c>
      <c r="N13639">
        <v>0</v>
      </c>
    </row>
    <row r="13640" spans="1:15">
      <c r="A13640" t="s">
        <v>45662</v>
      </c>
      <c r="B13640" t="s">
        <v>367</v>
      </c>
      <c r="C13640" t="s">
        <v>16303</v>
      </c>
      <c r="D13640" t="s">
        <v>45663</v>
      </c>
      <c r="E13640" t="b">
        <v>0</v>
      </c>
      <c r="F13640" t="s">
        <v>11610</v>
      </c>
      <c r="L13640">
        <v>0</v>
      </c>
      <c r="M13640">
        <v>0</v>
      </c>
      <c r="N13640">
        <v>0</v>
      </c>
    </row>
    <row r="13641" spans="1:15">
      <c r="A13641" t="s">
        <v>45664</v>
      </c>
      <c r="B13641" t="s">
        <v>11844</v>
      </c>
      <c r="C13641" t="s">
        <v>22400</v>
      </c>
      <c r="D13641" t="s">
        <v>45665</v>
      </c>
      <c r="E13641" t="b">
        <v>0</v>
      </c>
      <c r="F13641" t="s">
        <v>11624</v>
      </c>
      <c r="G13641">
        <v>17.4467</v>
      </c>
      <c r="H13641">
        <v>81.566299999999998</v>
      </c>
      <c r="I13641" t="s">
        <v>45666</v>
      </c>
      <c r="L13641">
        <v>0</v>
      </c>
      <c r="M13641">
        <v>0</v>
      </c>
      <c r="N13641">
        <v>0</v>
      </c>
      <c r="O13641" t="s">
        <v>11630</v>
      </c>
    </row>
    <row r="13642" spans="1:15">
      <c r="A13642" t="s">
        <v>45667</v>
      </c>
      <c r="B13642" t="s">
        <v>11644</v>
      </c>
      <c r="C13642" t="s">
        <v>45668</v>
      </c>
      <c r="D13642" t="s">
        <v>45669</v>
      </c>
      <c r="E13642" t="b">
        <v>0</v>
      </c>
      <c r="F13642" t="s">
        <v>11624</v>
      </c>
      <c r="L13642">
        <v>0</v>
      </c>
      <c r="M13642">
        <v>0</v>
      </c>
      <c r="N13642">
        <v>0</v>
      </c>
      <c r="O13642" t="s">
        <v>11630</v>
      </c>
    </row>
    <row r="13643" spans="1:15">
      <c r="A13643" t="s">
        <v>45670</v>
      </c>
      <c r="B13643" t="s">
        <v>11627</v>
      </c>
      <c r="C13643" t="s">
        <v>11627</v>
      </c>
      <c r="D13643" t="s">
        <v>45671</v>
      </c>
      <c r="E13643" t="b">
        <v>1</v>
      </c>
      <c r="F13643" t="s">
        <v>11624</v>
      </c>
      <c r="I13643" t="s">
        <v>45672</v>
      </c>
      <c r="L13643">
        <v>0</v>
      </c>
      <c r="M13643">
        <v>0</v>
      </c>
      <c r="N13643">
        <v>0</v>
      </c>
    </row>
    <row r="13644" spans="1:15">
      <c r="A13644" t="s">
        <v>45673</v>
      </c>
      <c r="B13644" t="s">
        <v>11637</v>
      </c>
      <c r="C13644" t="s">
        <v>4401</v>
      </c>
      <c r="D13644" t="s">
        <v>45674</v>
      </c>
      <c r="E13644" t="b">
        <v>0</v>
      </c>
      <c r="F13644" t="s">
        <v>11610</v>
      </c>
      <c r="L13644">
        <v>0</v>
      </c>
      <c r="M13644">
        <v>0</v>
      </c>
      <c r="N13644">
        <v>0</v>
      </c>
    </row>
    <row r="13645" spans="1:15">
      <c r="A13645" t="s">
        <v>45675</v>
      </c>
      <c r="B13645" t="s">
        <v>6742</v>
      </c>
      <c r="C13645" t="s">
        <v>17881</v>
      </c>
      <c r="D13645" t="s">
        <v>45676</v>
      </c>
      <c r="E13645" t="b">
        <v>0</v>
      </c>
      <c r="F13645" t="s">
        <v>11610</v>
      </c>
      <c r="L13645">
        <v>0</v>
      </c>
      <c r="M13645">
        <v>0</v>
      </c>
      <c r="N13645">
        <v>0</v>
      </c>
    </row>
    <row r="13646" spans="1:15">
      <c r="A13646" t="s">
        <v>25157</v>
      </c>
      <c r="B13646" t="s">
        <v>11607</v>
      </c>
      <c r="C13646" t="s">
        <v>17051</v>
      </c>
      <c r="D13646" t="s">
        <v>45677</v>
      </c>
      <c r="E13646" t="b">
        <v>0</v>
      </c>
      <c r="F13646" t="s">
        <v>11624</v>
      </c>
      <c r="G13646">
        <v>11.8644</v>
      </c>
      <c r="H13646">
        <v>18.182200000000002</v>
      </c>
      <c r="I13646" t="s">
        <v>45678</v>
      </c>
      <c r="L13646">
        <v>0</v>
      </c>
      <c r="M13646">
        <v>0</v>
      </c>
      <c r="N13646">
        <v>6</v>
      </c>
      <c r="O13646" t="s">
        <v>13421</v>
      </c>
    </row>
    <row r="13647" spans="1:15">
      <c r="A13647" t="s">
        <v>34623</v>
      </c>
      <c r="B13647" t="s">
        <v>5126</v>
      </c>
      <c r="C13647" t="s">
        <v>34653</v>
      </c>
      <c r="D13647" t="s">
        <v>45679</v>
      </c>
      <c r="E13647" t="b">
        <v>0</v>
      </c>
      <c r="F13647" t="s">
        <v>11622</v>
      </c>
      <c r="L13647">
        <v>2</v>
      </c>
      <c r="M13647">
        <v>6</v>
      </c>
      <c r="N13647">
        <v>0</v>
      </c>
    </row>
    <row r="13648" spans="1:15">
      <c r="A13648" t="s">
        <v>45680</v>
      </c>
      <c r="B13648" t="s">
        <v>5126</v>
      </c>
      <c r="C13648" t="s">
        <v>34623</v>
      </c>
      <c r="D13648" t="s">
        <v>45681</v>
      </c>
      <c r="E13648" t="b">
        <v>0</v>
      </c>
      <c r="F13648" t="s">
        <v>11624</v>
      </c>
      <c r="G13648">
        <v>24.815100000000001</v>
      </c>
      <c r="H13648">
        <v>108.928</v>
      </c>
      <c r="I13648" t="s">
        <v>45682</v>
      </c>
      <c r="L13648">
        <v>0</v>
      </c>
      <c r="M13648">
        <v>0</v>
      </c>
      <c r="N13648">
        <v>0</v>
      </c>
      <c r="O13648" t="s">
        <v>11905</v>
      </c>
    </row>
    <row r="13649" spans="1:15">
      <c r="A13649" t="s">
        <v>31834</v>
      </c>
      <c r="B13649" t="s">
        <v>28641</v>
      </c>
      <c r="C13649" t="s">
        <v>28641</v>
      </c>
      <c r="D13649" t="s">
        <v>45683</v>
      </c>
      <c r="E13649" t="b">
        <v>0</v>
      </c>
      <c r="F13649" t="s">
        <v>11624</v>
      </c>
      <c r="G13649">
        <v>-9.6833299999999998</v>
      </c>
      <c r="H13649">
        <v>147.44999999999999</v>
      </c>
      <c r="I13649" t="s">
        <v>45684</v>
      </c>
      <c r="L13649">
        <v>0</v>
      </c>
      <c r="M13649">
        <v>0</v>
      </c>
      <c r="N13649">
        <v>2</v>
      </c>
      <c r="O13649" t="s">
        <v>11660</v>
      </c>
    </row>
    <row r="13650" spans="1:15">
      <c r="A13650" t="s">
        <v>45685</v>
      </c>
      <c r="B13650" t="s">
        <v>367</v>
      </c>
      <c r="C13650" t="s">
        <v>39179</v>
      </c>
      <c r="D13650" t="s">
        <v>45686</v>
      </c>
      <c r="E13650" t="b">
        <v>0</v>
      </c>
      <c r="F13650" t="s">
        <v>11610</v>
      </c>
      <c r="L13650">
        <v>0</v>
      </c>
      <c r="M13650">
        <v>0</v>
      </c>
      <c r="N13650">
        <v>0</v>
      </c>
    </row>
    <row r="13651" spans="1:15">
      <c r="A13651" t="s">
        <v>45687</v>
      </c>
      <c r="B13651" t="s">
        <v>6742</v>
      </c>
      <c r="C13651" t="s">
        <v>167</v>
      </c>
      <c r="D13651" t="s">
        <v>45688</v>
      </c>
      <c r="E13651" t="b">
        <v>0</v>
      </c>
      <c r="F13651" t="s">
        <v>11610</v>
      </c>
      <c r="L13651">
        <v>0</v>
      </c>
      <c r="M13651">
        <v>0</v>
      </c>
      <c r="N13651">
        <v>0</v>
      </c>
    </row>
    <row r="13652" spans="1:15">
      <c r="A13652" t="s">
        <v>45689</v>
      </c>
      <c r="B13652" t="s">
        <v>11644</v>
      </c>
      <c r="C13652" t="s">
        <v>24732</v>
      </c>
      <c r="D13652" t="s">
        <v>45690</v>
      </c>
      <c r="E13652" t="b">
        <v>0</v>
      </c>
      <c r="F13652" t="s">
        <v>11610</v>
      </c>
      <c r="L13652">
        <v>0</v>
      </c>
      <c r="M13652">
        <v>0</v>
      </c>
      <c r="N13652">
        <v>0</v>
      </c>
    </row>
    <row r="13653" spans="1:15">
      <c r="A13653" t="s">
        <v>45691</v>
      </c>
      <c r="B13653" t="s">
        <v>45692</v>
      </c>
      <c r="C13653" t="s">
        <v>45692</v>
      </c>
      <c r="D13653" t="s">
        <v>45693</v>
      </c>
      <c r="E13653" t="b">
        <v>0</v>
      </c>
      <c r="F13653" t="s">
        <v>11624</v>
      </c>
      <c r="G13653">
        <v>-13.2973</v>
      </c>
      <c r="H13653">
        <v>130.61500000000001</v>
      </c>
      <c r="I13653" t="s">
        <v>45694</v>
      </c>
      <c r="L13653">
        <v>0</v>
      </c>
      <c r="M13653">
        <v>0</v>
      </c>
      <c r="N13653">
        <v>0</v>
      </c>
      <c r="O13653" t="s">
        <v>12107</v>
      </c>
    </row>
    <row r="13654" spans="1:15">
      <c r="A13654" t="s">
        <v>45695</v>
      </c>
      <c r="B13654" t="s">
        <v>11844</v>
      </c>
      <c r="C13654" t="s">
        <v>13088</v>
      </c>
      <c r="D13654" t="s">
        <v>45696</v>
      </c>
      <c r="E13654" t="b">
        <v>0</v>
      </c>
      <c r="F13654" t="s">
        <v>11624</v>
      </c>
      <c r="G13654">
        <v>11.29</v>
      </c>
      <c r="H13654">
        <v>76.7</v>
      </c>
      <c r="I13654" t="s">
        <v>45697</v>
      </c>
      <c r="L13654">
        <v>0</v>
      </c>
      <c r="M13654">
        <v>0</v>
      </c>
      <c r="N13654">
        <v>0</v>
      </c>
      <c r="O13654" t="s">
        <v>11630</v>
      </c>
    </row>
    <row r="13655" spans="1:15">
      <c r="A13655" t="s">
        <v>14085</v>
      </c>
      <c r="B13655" t="s">
        <v>367</v>
      </c>
      <c r="C13655" t="s">
        <v>45698</v>
      </c>
      <c r="D13655" t="s">
        <v>45699</v>
      </c>
      <c r="E13655" t="b">
        <v>0</v>
      </c>
      <c r="F13655" t="s">
        <v>11622</v>
      </c>
      <c r="L13655">
        <v>0</v>
      </c>
      <c r="M13655">
        <v>3</v>
      </c>
      <c r="N13655">
        <v>4</v>
      </c>
    </row>
    <row r="13656" spans="1:15">
      <c r="A13656" t="s">
        <v>45700</v>
      </c>
      <c r="B13656" t="s">
        <v>6742</v>
      </c>
      <c r="C13656" t="s">
        <v>32319</v>
      </c>
      <c r="D13656" t="s">
        <v>45701</v>
      </c>
      <c r="E13656" t="b">
        <v>0</v>
      </c>
      <c r="F13656" t="s">
        <v>11610</v>
      </c>
      <c r="L13656">
        <v>0</v>
      </c>
      <c r="M13656">
        <v>0</v>
      </c>
      <c r="N13656">
        <v>0</v>
      </c>
    </row>
    <row r="13657" spans="1:15">
      <c r="A13657" t="s">
        <v>45702</v>
      </c>
      <c r="B13657" t="s">
        <v>11644</v>
      </c>
      <c r="C13657" t="s">
        <v>13595</v>
      </c>
      <c r="D13657" t="s">
        <v>45703</v>
      </c>
      <c r="E13657" t="b">
        <v>0</v>
      </c>
      <c r="F13657" t="s">
        <v>11610</v>
      </c>
      <c r="L13657">
        <v>0</v>
      </c>
      <c r="M13657">
        <v>0</v>
      </c>
      <c r="N13657">
        <v>0</v>
      </c>
    </row>
    <row r="13658" spans="1:15">
      <c r="A13658" t="s">
        <v>45704</v>
      </c>
      <c r="B13658" t="s">
        <v>11637</v>
      </c>
      <c r="C13658" t="s">
        <v>15898</v>
      </c>
      <c r="D13658" t="s">
        <v>45705</v>
      </c>
      <c r="E13658" t="b">
        <v>0</v>
      </c>
      <c r="F13658" t="s">
        <v>11610</v>
      </c>
      <c r="L13658">
        <v>0</v>
      </c>
      <c r="M13658">
        <v>0</v>
      </c>
      <c r="N13658">
        <v>0</v>
      </c>
    </row>
    <row r="13659" spans="1:15">
      <c r="A13659" t="s">
        <v>45706</v>
      </c>
      <c r="B13659" t="s">
        <v>11644</v>
      </c>
      <c r="C13659" t="s">
        <v>13896</v>
      </c>
      <c r="D13659" t="s">
        <v>45707</v>
      </c>
      <c r="E13659" t="b">
        <v>0</v>
      </c>
      <c r="F13659" t="s">
        <v>11610</v>
      </c>
      <c r="L13659">
        <v>0</v>
      </c>
      <c r="M13659">
        <v>0</v>
      </c>
      <c r="N13659">
        <v>0</v>
      </c>
    </row>
    <row r="13660" spans="1:15">
      <c r="A13660" t="s">
        <v>45708</v>
      </c>
      <c r="B13660" t="s">
        <v>10597</v>
      </c>
      <c r="C13660" t="s">
        <v>24983</v>
      </c>
      <c r="D13660" t="s">
        <v>45709</v>
      </c>
      <c r="E13660" t="b">
        <v>0</v>
      </c>
      <c r="F13660" t="s">
        <v>11624</v>
      </c>
      <c r="G13660">
        <v>-17.060099999999998</v>
      </c>
      <c r="H13660">
        <v>145.32900000000001</v>
      </c>
      <c r="I13660" t="s">
        <v>45710</v>
      </c>
      <c r="L13660">
        <v>0</v>
      </c>
      <c r="M13660">
        <v>0</v>
      </c>
      <c r="N13660">
        <v>0</v>
      </c>
      <c r="O13660" t="s">
        <v>12107</v>
      </c>
    </row>
    <row r="13661" spans="1:15">
      <c r="A13661" t="s">
        <v>45711</v>
      </c>
      <c r="B13661" t="s">
        <v>11607</v>
      </c>
      <c r="C13661" t="s">
        <v>15662</v>
      </c>
      <c r="D13661" t="s">
        <v>45712</v>
      </c>
      <c r="E13661" t="b">
        <v>0</v>
      </c>
      <c r="F13661" t="s">
        <v>11610</v>
      </c>
      <c r="L13661">
        <v>0</v>
      </c>
      <c r="M13661">
        <v>0</v>
      </c>
      <c r="N13661">
        <v>0</v>
      </c>
    </row>
    <row r="13662" spans="1:15">
      <c r="A13662" t="s">
        <v>23984</v>
      </c>
      <c r="B13662" t="s">
        <v>367</v>
      </c>
      <c r="C13662" t="s">
        <v>19970</v>
      </c>
      <c r="D13662" t="s">
        <v>45713</v>
      </c>
      <c r="E13662" t="b">
        <v>0</v>
      </c>
      <c r="F13662" t="s">
        <v>11622</v>
      </c>
      <c r="L13662">
        <v>0</v>
      </c>
      <c r="M13662">
        <v>5</v>
      </c>
      <c r="N13662">
        <v>3</v>
      </c>
    </row>
    <row r="13663" spans="1:15">
      <c r="A13663" t="s">
        <v>45714</v>
      </c>
      <c r="B13663" t="s">
        <v>11615</v>
      </c>
      <c r="C13663" t="s">
        <v>45715</v>
      </c>
      <c r="D13663" t="s">
        <v>45716</v>
      </c>
      <c r="E13663" t="b">
        <v>0</v>
      </c>
      <c r="F13663" t="s">
        <v>11624</v>
      </c>
      <c r="G13663">
        <v>-4.8346200000000001</v>
      </c>
      <c r="H13663">
        <v>145.059</v>
      </c>
      <c r="I13663" t="s">
        <v>45717</v>
      </c>
      <c r="L13663">
        <v>0</v>
      </c>
      <c r="M13663">
        <v>0</v>
      </c>
      <c r="N13663">
        <v>0</v>
      </c>
      <c r="O13663" t="s">
        <v>11660</v>
      </c>
    </row>
    <row r="13664" spans="1:15">
      <c r="A13664" t="s">
        <v>45718</v>
      </c>
      <c r="B13664" t="s">
        <v>6742</v>
      </c>
      <c r="C13664" t="s">
        <v>34566</v>
      </c>
      <c r="D13664" t="s">
        <v>45719</v>
      </c>
      <c r="E13664" t="b">
        <v>0</v>
      </c>
      <c r="F13664" t="s">
        <v>11610</v>
      </c>
      <c r="L13664">
        <v>0</v>
      </c>
      <c r="M13664">
        <v>0</v>
      </c>
      <c r="N13664">
        <v>0</v>
      </c>
    </row>
    <row r="13665" spans="1:15">
      <c r="A13665" t="s">
        <v>37955</v>
      </c>
      <c r="B13665" t="s">
        <v>6742</v>
      </c>
      <c r="C13665" t="s">
        <v>45720</v>
      </c>
      <c r="D13665" t="s">
        <v>45721</v>
      </c>
      <c r="E13665" t="b">
        <v>0</v>
      </c>
      <c r="F13665" t="s">
        <v>11622</v>
      </c>
      <c r="L13665">
        <v>5</v>
      </c>
      <c r="M13665">
        <v>11</v>
      </c>
      <c r="N13665">
        <v>26</v>
      </c>
    </row>
    <row r="13666" spans="1:15">
      <c r="A13666" t="s">
        <v>45722</v>
      </c>
      <c r="B13666" t="s">
        <v>6742</v>
      </c>
      <c r="C13666" t="s">
        <v>37955</v>
      </c>
      <c r="D13666" t="s">
        <v>45723</v>
      </c>
      <c r="E13666" t="b">
        <v>0</v>
      </c>
      <c r="F13666" t="s">
        <v>11622</v>
      </c>
      <c r="L13666">
        <v>0</v>
      </c>
      <c r="M13666">
        <v>3</v>
      </c>
      <c r="N13666">
        <v>23</v>
      </c>
    </row>
    <row r="13667" spans="1:15">
      <c r="A13667" t="s">
        <v>45724</v>
      </c>
      <c r="B13667" t="s">
        <v>11637</v>
      </c>
      <c r="C13667" t="s">
        <v>25865</v>
      </c>
      <c r="D13667" t="s">
        <v>45725</v>
      </c>
      <c r="E13667" t="b">
        <v>0</v>
      </c>
      <c r="F13667" t="s">
        <v>11610</v>
      </c>
      <c r="L13667">
        <v>0</v>
      </c>
      <c r="M13667">
        <v>0</v>
      </c>
      <c r="N13667">
        <v>0</v>
      </c>
    </row>
    <row r="13668" spans="1:15">
      <c r="A13668" t="s">
        <v>45726</v>
      </c>
      <c r="B13668" t="s">
        <v>11627</v>
      </c>
      <c r="C13668" t="s">
        <v>11627</v>
      </c>
      <c r="D13668" t="s">
        <v>45727</v>
      </c>
      <c r="E13668" t="b">
        <v>1</v>
      </c>
      <c r="F13668" t="s">
        <v>11624</v>
      </c>
      <c r="L13668">
        <v>0</v>
      </c>
      <c r="M13668">
        <v>0</v>
      </c>
      <c r="N13668">
        <v>0</v>
      </c>
    </row>
    <row r="13669" spans="1:15">
      <c r="A13669" t="s">
        <v>45728</v>
      </c>
      <c r="B13669" t="s">
        <v>367</v>
      </c>
      <c r="C13669" t="s">
        <v>20380</v>
      </c>
      <c r="D13669" t="s">
        <v>45729</v>
      </c>
      <c r="E13669" t="b">
        <v>0</v>
      </c>
      <c r="F13669" t="s">
        <v>11622</v>
      </c>
      <c r="L13669">
        <v>8</v>
      </c>
      <c r="M13669">
        <v>12</v>
      </c>
      <c r="N13669">
        <v>46</v>
      </c>
    </row>
    <row r="13670" spans="1:15">
      <c r="A13670" t="s">
        <v>30067</v>
      </c>
      <c r="B13670" t="s">
        <v>367</v>
      </c>
      <c r="C13670" t="s">
        <v>36598</v>
      </c>
      <c r="D13670" t="s">
        <v>45730</v>
      </c>
      <c r="E13670" t="b">
        <v>0</v>
      </c>
      <c r="F13670" t="s">
        <v>11624</v>
      </c>
      <c r="G13670">
        <v>-5.4041899999999998</v>
      </c>
      <c r="H13670">
        <v>122.541</v>
      </c>
      <c r="I13670" t="s">
        <v>45731</v>
      </c>
      <c r="L13670">
        <v>0</v>
      </c>
      <c r="M13670">
        <v>0</v>
      </c>
      <c r="N13670">
        <v>23</v>
      </c>
      <c r="O13670" t="s">
        <v>11768</v>
      </c>
    </row>
    <row r="13671" spans="1:15">
      <c r="A13671" t="s">
        <v>45732</v>
      </c>
      <c r="B13671" t="s">
        <v>11644</v>
      </c>
      <c r="C13671" t="s">
        <v>23712</v>
      </c>
      <c r="D13671" t="s">
        <v>45733</v>
      </c>
      <c r="E13671" t="b">
        <v>0</v>
      </c>
      <c r="F13671" t="s">
        <v>11624</v>
      </c>
      <c r="G13671">
        <v>20.289000000000001</v>
      </c>
      <c r="H13671">
        <v>94.392899999999997</v>
      </c>
      <c r="I13671" t="s">
        <v>45734</v>
      </c>
      <c r="L13671">
        <v>0</v>
      </c>
      <c r="M13671">
        <v>0</v>
      </c>
      <c r="N13671">
        <v>1</v>
      </c>
      <c r="O13671" t="s">
        <v>14059</v>
      </c>
    </row>
    <row r="13672" spans="1:15">
      <c r="A13672" t="s">
        <v>45735</v>
      </c>
      <c r="B13672" t="s">
        <v>12438</v>
      </c>
      <c r="C13672" t="s">
        <v>31394</v>
      </c>
      <c r="D13672" t="s">
        <v>45736</v>
      </c>
      <c r="E13672" t="b">
        <v>0</v>
      </c>
      <c r="F13672" t="s">
        <v>11624</v>
      </c>
      <c r="G13672">
        <v>25.039100000000001</v>
      </c>
      <c r="H13672">
        <v>87.179199999999994</v>
      </c>
      <c r="I13672" t="s">
        <v>45737</v>
      </c>
      <c r="L13672">
        <v>0</v>
      </c>
      <c r="M13672">
        <v>0</v>
      </c>
      <c r="N13672">
        <v>0</v>
      </c>
      <c r="O13672" t="s">
        <v>17957</v>
      </c>
    </row>
    <row r="13673" spans="1:15">
      <c r="A13673" t="s">
        <v>45738</v>
      </c>
      <c r="B13673" t="s">
        <v>11627</v>
      </c>
      <c r="C13673" t="s">
        <v>11627</v>
      </c>
      <c r="D13673" t="s">
        <v>45739</v>
      </c>
      <c r="E13673" t="b">
        <v>1</v>
      </c>
      <c r="F13673" t="s">
        <v>11624</v>
      </c>
      <c r="G13673">
        <v>25.039100000000001</v>
      </c>
      <c r="H13673">
        <v>87.179199999999994</v>
      </c>
      <c r="I13673" t="s">
        <v>45740</v>
      </c>
      <c r="L13673">
        <v>0</v>
      </c>
      <c r="M13673">
        <v>0</v>
      </c>
      <c r="N13673">
        <v>0</v>
      </c>
      <c r="O13673" t="s">
        <v>11630</v>
      </c>
    </row>
    <row r="13674" spans="1:15">
      <c r="A13674" t="s">
        <v>45741</v>
      </c>
      <c r="B13674" t="s">
        <v>12438</v>
      </c>
      <c r="C13674" t="s">
        <v>1331</v>
      </c>
      <c r="D13674" t="s">
        <v>45742</v>
      </c>
      <c r="E13674" t="b">
        <v>0</v>
      </c>
      <c r="F13674" t="s">
        <v>11610</v>
      </c>
      <c r="L13674">
        <v>0</v>
      </c>
      <c r="M13674">
        <v>0</v>
      </c>
      <c r="N13674">
        <v>0</v>
      </c>
    </row>
    <row r="13675" spans="1:15">
      <c r="A13675" t="s">
        <v>45743</v>
      </c>
      <c r="B13675" t="s">
        <v>12438</v>
      </c>
      <c r="C13675" t="s">
        <v>1331</v>
      </c>
      <c r="D13675" t="s">
        <v>45744</v>
      </c>
      <c r="E13675" t="b">
        <v>0</v>
      </c>
      <c r="F13675" t="s">
        <v>11610</v>
      </c>
      <c r="L13675">
        <v>0</v>
      </c>
      <c r="M13675">
        <v>0</v>
      </c>
      <c r="N13675">
        <v>0</v>
      </c>
    </row>
    <row r="13676" spans="1:15">
      <c r="A13676" t="s">
        <v>45215</v>
      </c>
      <c r="B13676" t="s">
        <v>6742</v>
      </c>
      <c r="C13676" t="s">
        <v>42297</v>
      </c>
      <c r="D13676" t="s">
        <v>45745</v>
      </c>
      <c r="E13676" t="b">
        <v>0</v>
      </c>
      <c r="F13676" t="s">
        <v>11622</v>
      </c>
      <c r="L13676">
        <v>0</v>
      </c>
      <c r="M13676">
        <v>3</v>
      </c>
      <c r="N13676">
        <v>4</v>
      </c>
    </row>
    <row r="13677" spans="1:15">
      <c r="A13677" t="s">
        <v>28990</v>
      </c>
      <c r="B13677" t="s">
        <v>6742</v>
      </c>
      <c r="C13677" t="s">
        <v>45215</v>
      </c>
      <c r="D13677" t="s">
        <v>45746</v>
      </c>
      <c r="E13677" t="b">
        <v>0</v>
      </c>
      <c r="F13677" t="s">
        <v>11624</v>
      </c>
      <c r="G13677">
        <v>9.8319500000000009</v>
      </c>
      <c r="H13677">
        <v>14.475099999999999</v>
      </c>
      <c r="I13677" t="s">
        <v>45747</v>
      </c>
      <c r="L13677">
        <v>0</v>
      </c>
      <c r="M13677">
        <v>0</v>
      </c>
      <c r="N13677">
        <v>4</v>
      </c>
      <c r="O13677" t="s">
        <v>29226</v>
      </c>
    </row>
    <row r="13678" spans="1:15">
      <c r="A13678" t="s">
        <v>45748</v>
      </c>
      <c r="B13678" t="s">
        <v>6742</v>
      </c>
      <c r="C13678" t="s">
        <v>26052</v>
      </c>
      <c r="D13678" t="s">
        <v>45749</v>
      </c>
      <c r="E13678" t="b">
        <v>0</v>
      </c>
      <c r="F13678" t="s">
        <v>11624</v>
      </c>
      <c r="G13678">
        <v>4.2275499999999999</v>
      </c>
      <c r="H13678">
        <v>29.996700000000001</v>
      </c>
      <c r="I13678" t="s">
        <v>45750</v>
      </c>
      <c r="L13678">
        <v>0</v>
      </c>
      <c r="M13678">
        <v>0</v>
      </c>
      <c r="N13678">
        <v>1</v>
      </c>
      <c r="O13678" t="s">
        <v>15282</v>
      </c>
    </row>
    <row r="13679" spans="1:15">
      <c r="A13679" t="s">
        <v>16450</v>
      </c>
      <c r="B13679" t="s">
        <v>6742</v>
      </c>
      <c r="C13679" t="s">
        <v>45751</v>
      </c>
      <c r="D13679" t="s">
        <v>45752</v>
      </c>
      <c r="E13679" t="b">
        <v>0</v>
      </c>
      <c r="F13679" t="s">
        <v>11624</v>
      </c>
      <c r="G13679">
        <v>5.6807299999999996</v>
      </c>
      <c r="H13679">
        <v>9.9153300000000009</v>
      </c>
      <c r="I13679" t="s">
        <v>45753</v>
      </c>
      <c r="L13679">
        <v>0</v>
      </c>
      <c r="M13679">
        <v>0</v>
      </c>
      <c r="N13679">
        <v>8</v>
      </c>
      <c r="O13679" t="s">
        <v>11703</v>
      </c>
    </row>
    <row r="13680" spans="1:15">
      <c r="A13680" t="s">
        <v>45754</v>
      </c>
      <c r="B13680" t="s">
        <v>6742</v>
      </c>
      <c r="C13680" t="s">
        <v>11700</v>
      </c>
      <c r="D13680" t="s">
        <v>45755</v>
      </c>
      <c r="E13680" t="b">
        <v>0</v>
      </c>
      <c r="F13680" t="s">
        <v>11624</v>
      </c>
      <c r="G13680">
        <v>6.5996899999999998</v>
      </c>
      <c r="H13680">
        <v>10.2704</v>
      </c>
      <c r="I13680" t="s">
        <v>45756</v>
      </c>
      <c r="L13680">
        <v>0</v>
      </c>
      <c r="M13680">
        <v>0</v>
      </c>
      <c r="N13680">
        <v>0</v>
      </c>
      <c r="O13680" t="s">
        <v>11703</v>
      </c>
    </row>
    <row r="13681" spans="1:15">
      <c r="A13681" t="s">
        <v>38424</v>
      </c>
      <c r="B13681" t="s">
        <v>11912</v>
      </c>
      <c r="C13681" t="s">
        <v>11912</v>
      </c>
      <c r="D13681" t="s">
        <v>45757</v>
      </c>
      <c r="E13681" t="b">
        <v>0</v>
      </c>
      <c r="F13681" t="s">
        <v>11622</v>
      </c>
      <c r="L13681">
        <v>0</v>
      </c>
      <c r="M13681">
        <v>2</v>
      </c>
      <c r="N13681">
        <v>0</v>
      </c>
    </row>
    <row r="13682" spans="1:15">
      <c r="A13682" t="s">
        <v>45758</v>
      </c>
      <c r="B13682" t="s">
        <v>11912</v>
      </c>
      <c r="C13682" t="s">
        <v>38424</v>
      </c>
      <c r="D13682" t="s">
        <v>45759</v>
      </c>
      <c r="E13682" t="b">
        <v>0</v>
      </c>
      <c r="F13682" t="s">
        <v>11624</v>
      </c>
      <c r="G13682">
        <v>-8.4109499999999997</v>
      </c>
      <c r="H13682">
        <v>-57.691000000000003</v>
      </c>
      <c r="I13682" t="s">
        <v>45760</v>
      </c>
      <c r="L13682">
        <v>0</v>
      </c>
      <c r="M13682">
        <v>0</v>
      </c>
      <c r="N13682">
        <v>0</v>
      </c>
      <c r="O13682" t="s">
        <v>11969</v>
      </c>
    </row>
    <row r="13683" spans="1:15">
      <c r="A13683" t="s">
        <v>45761</v>
      </c>
      <c r="B13683" t="s">
        <v>11607</v>
      </c>
      <c r="C13683" t="s">
        <v>25468</v>
      </c>
      <c r="D13683" t="s">
        <v>45762</v>
      </c>
      <c r="E13683" t="b">
        <v>0</v>
      </c>
      <c r="F13683" t="s">
        <v>11624</v>
      </c>
      <c r="G13683">
        <v>9.15151</v>
      </c>
      <c r="H13683">
        <v>8.7687500000000007</v>
      </c>
      <c r="I13683" t="s">
        <v>45763</v>
      </c>
      <c r="L13683">
        <v>0</v>
      </c>
      <c r="M13683">
        <v>0</v>
      </c>
      <c r="N13683">
        <v>0</v>
      </c>
      <c r="O13683" t="s">
        <v>11693</v>
      </c>
    </row>
    <row r="13684" spans="1:15">
      <c r="A13684" t="s">
        <v>45764</v>
      </c>
      <c r="B13684" t="s">
        <v>12438</v>
      </c>
      <c r="C13684" t="s">
        <v>12438</v>
      </c>
      <c r="D13684" t="s">
        <v>45765</v>
      </c>
      <c r="E13684" t="b">
        <v>0</v>
      </c>
      <c r="F13684" t="s">
        <v>11622</v>
      </c>
      <c r="L13684">
        <v>11</v>
      </c>
      <c r="M13684">
        <v>22</v>
      </c>
      <c r="N13684">
        <v>24</v>
      </c>
    </row>
    <row r="13685" spans="1:15">
      <c r="A13685" t="s">
        <v>14927</v>
      </c>
      <c r="B13685" t="s">
        <v>12438</v>
      </c>
      <c r="C13685" t="s">
        <v>36216</v>
      </c>
      <c r="D13685" t="s">
        <v>45766</v>
      </c>
      <c r="E13685" t="b">
        <v>0</v>
      </c>
      <c r="F13685" t="s">
        <v>11622</v>
      </c>
      <c r="L13685">
        <v>3</v>
      </c>
      <c r="M13685">
        <v>10</v>
      </c>
      <c r="N13685">
        <v>5</v>
      </c>
    </row>
    <row r="13686" spans="1:15">
      <c r="A13686" t="s">
        <v>25468</v>
      </c>
      <c r="B13686" t="s">
        <v>11607</v>
      </c>
      <c r="C13686" t="s">
        <v>38088</v>
      </c>
      <c r="D13686" t="s">
        <v>45767</v>
      </c>
      <c r="E13686" t="b">
        <v>0</v>
      </c>
      <c r="F13686" t="s">
        <v>11622</v>
      </c>
      <c r="L13686">
        <v>0</v>
      </c>
      <c r="M13686">
        <v>2</v>
      </c>
      <c r="N13686">
        <v>0</v>
      </c>
    </row>
    <row r="13687" spans="1:15">
      <c r="A13687" t="s">
        <v>45751</v>
      </c>
      <c r="B13687" t="s">
        <v>6742</v>
      </c>
      <c r="C13687" t="s">
        <v>45134</v>
      </c>
      <c r="D13687" t="s">
        <v>45768</v>
      </c>
      <c r="E13687" t="b">
        <v>0</v>
      </c>
      <c r="F13687" t="s">
        <v>11622</v>
      </c>
      <c r="L13687">
        <v>0</v>
      </c>
      <c r="M13687">
        <v>2</v>
      </c>
      <c r="N13687">
        <v>8</v>
      </c>
    </row>
    <row r="13688" spans="1:15">
      <c r="A13688" t="s">
        <v>45769</v>
      </c>
      <c r="B13688" t="s">
        <v>11627</v>
      </c>
      <c r="C13688" t="s">
        <v>11627</v>
      </c>
      <c r="D13688" t="s">
        <v>45770</v>
      </c>
      <c r="E13688" t="b">
        <v>1</v>
      </c>
      <c r="F13688" t="s">
        <v>11624</v>
      </c>
      <c r="I13688" t="s">
        <v>45771</v>
      </c>
      <c r="L13688">
        <v>0</v>
      </c>
      <c r="M13688">
        <v>0</v>
      </c>
      <c r="N13688">
        <v>0</v>
      </c>
    </row>
    <row r="13689" spans="1:15">
      <c r="A13689" t="s">
        <v>45772</v>
      </c>
      <c r="B13689" t="s">
        <v>11644</v>
      </c>
      <c r="C13689" t="s">
        <v>18953</v>
      </c>
      <c r="D13689" t="s">
        <v>45773</v>
      </c>
      <c r="E13689" t="b">
        <v>0</v>
      </c>
      <c r="F13689" t="s">
        <v>11610</v>
      </c>
      <c r="L13689">
        <v>0</v>
      </c>
      <c r="M13689">
        <v>0</v>
      </c>
      <c r="N13689">
        <v>0</v>
      </c>
    </row>
    <row r="13690" spans="1:15">
      <c r="A13690" t="s">
        <v>45774</v>
      </c>
      <c r="B13690" t="s">
        <v>11644</v>
      </c>
      <c r="C13690" t="s">
        <v>28687</v>
      </c>
      <c r="D13690" t="s">
        <v>45775</v>
      </c>
      <c r="E13690" t="b">
        <v>0</v>
      </c>
      <c r="F13690" t="s">
        <v>11610</v>
      </c>
      <c r="L13690">
        <v>0</v>
      </c>
      <c r="M13690">
        <v>0</v>
      </c>
      <c r="N13690">
        <v>0</v>
      </c>
    </row>
    <row r="13691" spans="1:15">
      <c r="A13691" t="s">
        <v>45776</v>
      </c>
      <c r="B13691" t="s">
        <v>6742</v>
      </c>
      <c r="C13691" t="s">
        <v>19047</v>
      </c>
      <c r="D13691" t="s">
        <v>45777</v>
      </c>
      <c r="E13691" t="b">
        <v>0</v>
      </c>
      <c r="F13691" t="s">
        <v>11610</v>
      </c>
      <c r="L13691">
        <v>0</v>
      </c>
      <c r="M13691">
        <v>0</v>
      </c>
      <c r="N13691">
        <v>0</v>
      </c>
    </row>
    <row r="13692" spans="1:15">
      <c r="A13692" t="s">
        <v>16280</v>
      </c>
      <c r="B13692" t="s">
        <v>6742</v>
      </c>
      <c r="C13692" t="s">
        <v>15596</v>
      </c>
      <c r="D13692" t="s">
        <v>45778</v>
      </c>
      <c r="E13692" t="b">
        <v>0</v>
      </c>
      <c r="F13692" t="s">
        <v>11624</v>
      </c>
      <c r="G13692">
        <v>5.8975200000000001</v>
      </c>
      <c r="H13692">
        <v>10.029400000000001</v>
      </c>
      <c r="I13692" t="s">
        <v>45779</v>
      </c>
      <c r="L13692">
        <v>0</v>
      </c>
      <c r="M13692">
        <v>0</v>
      </c>
      <c r="N13692">
        <v>3</v>
      </c>
      <c r="O13692" t="s">
        <v>11703</v>
      </c>
    </row>
    <row r="13693" spans="1:15">
      <c r="A13693" t="s">
        <v>45780</v>
      </c>
      <c r="B13693" t="s">
        <v>6742</v>
      </c>
      <c r="C13693" t="s">
        <v>45781</v>
      </c>
      <c r="D13693" t="s">
        <v>45782</v>
      </c>
      <c r="E13693" t="b">
        <v>0</v>
      </c>
      <c r="F13693" t="s">
        <v>11610</v>
      </c>
      <c r="L13693">
        <v>0</v>
      </c>
      <c r="M13693">
        <v>0</v>
      </c>
      <c r="N13693">
        <v>0</v>
      </c>
    </row>
    <row r="13694" spans="1:15">
      <c r="A13694" t="s">
        <v>45783</v>
      </c>
      <c r="B13694" t="s">
        <v>11729</v>
      </c>
      <c r="C13694" t="s">
        <v>18794</v>
      </c>
      <c r="D13694" t="s">
        <v>45784</v>
      </c>
      <c r="E13694" t="b">
        <v>0</v>
      </c>
      <c r="F13694" t="s">
        <v>11610</v>
      </c>
      <c r="L13694">
        <v>0</v>
      </c>
      <c r="M13694">
        <v>0</v>
      </c>
      <c r="N13694">
        <v>0</v>
      </c>
    </row>
    <row r="13695" spans="1:15">
      <c r="A13695" t="s">
        <v>45785</v>
      </c>
      <c r="B13695" t="s">
        <v>367</v>
      </c>
      <c r="C13695" t="s">
        <v>21940</v>
      </c>
      <c r="D13695" t="s">
        <v>45786</v>
      </c>
      <c r="E13695" t="b">
        <v>0</v>
      </c>
      <c r="F13695" t="s">
        <v>11624</v>
      </c>
      <c r="G13695">
        <v>-1.6677299999999999</v>
      </c>
      <c r="H13695">
        <v>135.91800000000001</v>
      </c>
      <c r="I13695" t="s">
        <v>45787</v>
      </c>
      <c r="L13695">
        <v>0</v>
      </c>
      <c r="M13695">
        <v>0</v>
      </c>
      <c r="N13695">
        <v>0</v>
      </c>
      <c r="O13695" t="s">
        <v>11768</v>
      </c>
    </row>
    <row r="13696" spans="1:15">
      <c r="A13696" t="s">
        <v>45788</v>
      </c>
      <c r="B13696" t="s">
        <v>367</v>
      </c>
      <c r="C13696" t="s">
        <v>45789</v>
      </c>
      <c r="D13696" t="s">
        <v>45790</v>
      </c>
      <c r="E13696" t="b">
        <v>0</v>
      </c>
      <c r="F13696" t="s">
        <v>11610</v>
      </c>
      <c r="L13696">
        <v>0</v>
      </c>
      <c r="M13696">
        <v>0</v>
      </c>
      <c r="N13696">
        <v>0</v>
      </c>
    </row>
    <row r="13697" spans="1:15">
      <c r="A13697" t="s">
        <v>45791</v>
      </c>
      <c r="B13697" t="s">
        <v>367</v>
      </c>
      <c r="C13697" t="s">
        <v>45789</v>
      </c>
      <c r="D13697" t="s">
        <v>45792</v>
      </c>
      <c r="E13697" t="b">
        <v>0</v>
      </c>
      <c r="F13697" t="s">
        <v>11610</v>
      </c>
      <c r="L13697">
        <v>0</v>
      </c>
      <c r="M13697">
        <v>0</v>
      </c>
      <c r="N13697">
        <v>0</v>
      </c>
    </row>
    <row r="13698" spans="1:15">
      <c r="A13698" t="s">
        <v>45793</v>
      </c>
      <c r="B13698" t="s">
        <v>11615</v>
      </c>
      <c r="C13698" t="s">
        <v>19001</v>
      </c>
      <c r="D13698" t="s">
        <v>45794</v>
      </c>
      <c r="E13698" t="b">
        <v>0</v>
      </c>
      <c r="F13698" t="s">
        <v>11624</v>
      </c>
      <c r="G13698">
        <v>-6.4620800000000003</v>
      </c>
      <c r="H13698">
        <v>146.74700000000001</v>
      </c>
      <c r="I13698" t="s">
        <v>45795</v>
      </c>
      <c r="L13698">
        <v>0</v>
      </c>
      <c r="M13698">
        <v>0</v>
      </c>
      <c r="N13698">
        <v>0</v>
      </c>
      <c r="O13698" t="s">
        <v>11660</v>
      </c>
    </row>
    <row r="13699" spans="1:15">
      <c r="A13699" t="s">
        <v>15596</v>
      </c>
      <c r="B13699" t="s">
        <v>6742</v>
      </c>
      <c r="C13699" t="s">
        <v>16417</v>
      </c>
      <c r="D13699" t="s">
        <v>45796</v>
      </c>
      <c r="E13699" t="b">
        <v>0</v>
      </c>
      <c r="F13699" t="s">
        <v>11622</v>
      </c>
      <c r="L13699">
        <v>0</v>
      </c>
      <c r="M13699">
        <v>2</v>
      </c>
      <c r="N13699">
        <v>3</v>
      </c>
    </row>
    <row r="13700" spans="1:15">
      <c r="A13700" t="s">
        <v>45797</v>
      </c>
      <c r="B13700" t="s">
        <v>12311</v>
      </c>
      <c r="C13700" t="s">
        <v>13726</v>
      </c>
      <c r="D13700" t="s">
        <v>45798</v>
      </c>
      <c r="E13700" t="b">
        <v>0</v>
      </c>
      <c r="F13700" t="s">
        <v>11610</v>
      </c>
      <c r="L13700">
        <v>0</v>
      </c>
      <c r="M13700">
        <v>0</v>
      </c>
      <c r="N13700">
        <v>0</v>
      </c>
    </row>
    <row r="13701" spans="1:15">
      <c r="A13701" t="s">
        <v>20611</v>
      </c>
      <c r="B13701" t="s">
        <v>367</v>
      </c>
      <c r="C13701" t="s">
        <v>20648</v>
      </c>
      <c r="D13701" t="s">
        <v>45799</v>
      </c>
      <c r="E13701" t="b">
        <v>0</v>
      </c>
      <c r="F13701" t="s">
        <v>11622</v>
      </c>
      <c r="L13701">
        <v>2</v>
      </c>
      <c r="M13701">
        <v>6</v>
      </c>
      <c r="N13701">
        <v>30</v>
      </c>
    </row>
    <row r="13702" spans="1:15">
      <c r="A13702" t="s">
        <v>45800</v>
      </c>
      <c r="B13702" t="s">
        <v>11615</v>
      </c>
      <c r="C13702" t="s">
        <v>29313</v>
      </c>
      <c r="D13702" t="s">
        <v>45801</v>
      </c>
      <c r="E13702" t="b">
        <v>0</v>
      </c>
      <c r="F13702" t="s">
        <v>11624</v>
      </c>
      <c r="G13702">
        <v>-5.24329</v>
      </c>
      <c r="H13702">
        <v>145.548</v>
      </c>
      <c r="I13702" t="s">
        <v>45802</v>
      </c>
      <c r="L13702">
        <v>0</v>
      </c>
      <c r="M13702">
        <v>0</v>
      </c>
      <c r="N13702">
        <v>0</v>
      </c>
      <c r="O13702" t="s">
        <v>11660</v>
      </c>
    </row>
    <row r="13703" spans="1:15">
      <c r="A13703" t="s">
        <v>45803</v>
      </c>
      <c r="D13703" t="s">
        <v>45804</v>
      </c>
      <c r="E13703" t="b">
        <v>0</v>
      </c>
      <c r="F13703" t="s">
        <v>11624</v>
      </c>
      <c r="G13703">
        <v>-5.7441795999999998</v>
      </c>
      <c r="H13703">
        <v>-76.426711999999995</v>
      </c>
      <c r="I13703" t="s">
        <v>45805</v>
      </c>
      <c r="L13703">
        <v>0</v>
      </c>
      <c r="M13703">
        <v>0</v>
      </c>
      <c r="N13703">
        <v>0</v>
      </c>
      <c r="O13703" t="s">
        <v>11778</v>
      </c>
    </row>
    <row r="13704" spans="1:15">
      <c r="A13704" t="s">
        <v>34169</v>
      </c>
      <c r="B13704" t="s">
        <v>367</v>
      </c>
      <c r="C13704" t="s">
        <v>20611</v>
      </c>
      <c r="D13704" t="s">
        <v>45806</v>
      </c>
      <c r="E13704" t="b">
        <v>0</v>
      </c>
      <c r="F13704" t="s">
        <v>11622</v>
      </c>
      <c r="L13704">
        <v>1</v>
      </c>
      <c r="M13704">
        <v>5</v>
      </c>
      <c r="N13704">
        <v>30</v>
      </c>
    </row>
    <row r="13705" spans="1:15">
      <c r="A13705" t="s">
        <v>21352</v>
      </c>
      <c r="B13705" t="s">
        <v>11637</v>
      </c>
      <c r="C13705" t="s">
        <v>45807</v>
      </c>
      <c r="D13705" t="s">
        <v>45808</v>
      </c>
      <c r="E13705" t="b">
        <v>0</v>
      </c>
      <c r="F13705" t="s">
        <v>11624</v>
      </c>
      <c r="G13705">
        <v>35.932099999999998</v>
      </c>
      <c r="H13705">
        <v>70.940399999999997</v>
      </c>
      <c r="I13705" t="s">
        <v>45809</v>
      </c>
      <c r="L13705">
        <v>0</v>
      </c>
      <c r="M13705">
        <v>0</v>
      </c>
      <c r="N13705">
        <v>4</v>
      </c>
      <c r="O13705" t="s">
        <v>12131</v>
      </c>
    </row>
    <row r="13706" spans="1:15">
      <c r="A13706" t="s">
        <v>45810</v>
      </c>
      <c r="B13706" t="s">
        <v>13411</v>
      </c>
      <c r="C13706" t="s">
        <v>19145</v>
      </c>
      <c r="D13706" t="s">
        <v>45811</v>
      </c>
      <c r="E13706" t="b">
        <v>0</v>
      </c>
      <c r="F13706" t="s">
        <v>11610</v>
      </c>
      <c r="L13706">
        <v>0</v>
      </c>
      <c r="M13706">
        <v>0</v>
      </c>
      <c r="N13706">
        <v>0</v>
      </c>
    </row>
    <row r="13707" spans="1:15">
      <c r="A13707" t="s">
        <v>17710</v>
      </c>
      <c r="B13707" t="s">
        <v>11607</v>
      </c>
      <c r="C13707" t="s">
        <v>45812</v>
      </c>
      <c r="D13707" t="s">
        <v>45813</v>
      </c>
      <c r="E13707" t="b">
        <v>0</v>
      </c>
      <c r="F13707" t="s">
        <v>11610</v>
      </c>
      <c r="L13707">
        <v>0</v>
      </c>
      <c r="M13707">
        <v>0</v>
      </c>
      <c r="N13707">
        <v>4</v>
      </c>
    </row>
    <row r="13708" spans="1:15">
      <c r="A13708" t="s">
        <v>45814</v>
      </c>
      <c r="B13708" t="s">
        <v>11607</v>
      </c>
      <c r="C13708" t="s">
        <v>45812</v>
      </c>
      <c r="D13708" t="s">
        <v>45815</v>
      </c>
      <c r="E13708" t="b">
        <v>0</v>
      </c>
      <c r="F13708" t="s">
        <v>11610</v>
      </c>
      <c r="L13708">
        <v>0</v>
      </c>
      <c r="M13708">
        <v>0</v>
      </c>
      <c r="N13708">
        <v>0</v>
      </c>
    </row>
    <row r="13709" spans="1:15">
      <c r="A13709" t="s">
        <v>45816</v>
      </c>
      <c r="B13709" t="s">
        <v>32600</v>
      </c>
      <c r="C13709" t="s">
        <v>32600</v>
      </c>
      <c r="D13709" t="s">
        <v>45817</v>
      </c>
      <c r="E13709" t="b">
        <v>0</v>
      </c>
      <c r="F13709" t="s">
        <v>11610</v>
      </c>
      <c r="L13709">
        <v>0</v>
      </c>
      <c r="M13709">
        <v>0</v>
      </c>
      <c r="N13709">
        <v>0</v>
      </c>
    </row>
    <row r="13710" spans="1:15">
      <c r="A13710" t="s">
        <v>45818</v>
      </c>
      <c r="B13710" t="s">
        <v>11637</v>
      </c>
      <c r="C13710" t="s">
        <v>4833</v>
      </c>
      <c r="D13710" t="s">
        <v>45819</v>
      </c>
      <c r="E13710" t="b">
        <v>0</v>
      </c>
      <c r="F13710" t="s">
        <v>11610</v>
      </c>
      <c r="L13710">
        <v>0</v>
      </c>
      <c r="M13710">
        <v>0</v>
      </c>
      <c r="N13710">
        <v>0</v>
      </c>
    </row>
    <row r="13711" spans="1:15">
      <c r="A13711" t="s">
        <v>45820</v>
      </c>
      <c r="B13711" t="s">
        <v>12979</v>
      </c>
      <c r="C13711" t="s">
        <v>23310</v>
      </c>
      <c r="D13711" t="s">
        <v>45821</v>
      </c>
      <c r="E13711" t="b">
        <v>0</v>
      </c>
      <c r="F13711" t="s">
        <v>11624</v>
      </c>
      <c r="G13711">
        <v>42.596800000000002</v>
      </c>
      <c r="H13711">
        <v>-81.916600000000003</v>
      </c>
      <c r="I13711" t="s">
        <v>45822</v>
      </c>
      <c r="L13711">
        <v>0</v>
      </c>
      <c r="M13711">
        <v>0</v>
      </c>
      <c r="N13711">
        <v>0</v>
      </c>
      <c r="O13711" t="s">
        <v>13049</v>
      </c>
    </row>
    <row r="13712" spans="1:15">
      <c r="A13712" t="s">
        <v>45823</v>
      </c>
      <c r="B13712" t="s">
        <v>11637</v>
      </c>
      <c r="C13712" t="s">
        <v>11936</v>
      </c>
      <c r="D13712" t="s">
        <v>45824</v>
      </c>
      <c r="E13712" t="b">
        <v>0</v>
      </c>
      <c r="F13712" t="s">
        <v>11610</v>
      </c>
      <c r="L13712">
        <v>0</v>
      </c>
      <c r="M13712">
        <v>0</v>
      </c>
      <c r="N13712">
        <v>0</v>
      </c>
    </row>
    <row r="13713" spans="1:15">
      <c r="A13713" t="s">
        <v>45825</v>
      </c>
      <c r="B13713" t="s">
        <v>11637</v>
      </c>
      <c r="C13713" t="s">
        <v>2995</v>
      </c>
      <c r="D13713" t="s">
        <v>45826</v>
      </c>
      <c r="E13713" t="b">
        <v>0</v>
      </c>
      <c r="F13713" t="s">
        <v>11610</v>
      </c>
      <c r="L13713">
        <v>0</v>
      </c>
      <c r="M13713">
        <v>0</v>
      </c>
      <c r="N13713">
        <v>0</v>
      </c>
    </row>
    <row r="13714" spans="1:15">
      <c r="A13714" t="s">
        <v>45827</v>
      </c>
      <c r="B13714" t="s">
        <v>1588</v>
      </c>
      <c r="C13714" t="s">
        <v>2656</v>
      </c>
      <c r="D13714" t="s">
        <v>45828</v>
      </c>
      <c r="E13714" t="b">
        <v>0</v>
      </c>
      <c r="F13714" t="s">
        <v>11610</v>
      </c>
      <c r="G13714">
        <v>-14.700834</v>
      </c>
      <c r="H13714">
        <v>126.75438699999999</v>
      </c>
      <c r="L13714">
        <v>0</v>
      </c>
      <c r="M13714">
        <v>0</v>
      </c>
      <c r="N13714">
        <v>0</v>
      </c>
    </row>
    <row r="13715" spans="1:15">
      <c r="A13715" t="s">
        <v>45829</v>
      </c>
      <c r="B13715" t="s">
        <v>10597</v>
      </c>
      <c r="C13715" t="s">
        <v>30184</v>
      </c>
      <c r="D13715" t="s">
        <v>45830</v>
      </c>
      <c r="E13715" t="b">
        <v>0</v>
      </c>
      <c r="F13715" t="s">
        <v>11610</v>
      </c>
      <c r="L13715">
        <v>0</v>
      </c>
      <c r="M13715">
        <v>0</v>
      </c>
      <c r="N13715">
        <v>0</v>
      </c>
    </row>
    <row r="13716" spans="1:15">
      <c r="A13716" t="s">
        <v>45831</v>
      </c>
      <c r="B13716" t="s">
        <v>11607</v>
      </c>
      <c r="C13716" t="s">
        <v>45832</v>
      </c>
      <c r="D13716" t="s">
        <v>45833</v>
      </c>
      <c r="E13716" t="b">
        <v>0</v>
      </c>
      <c r="F13716" t="s">
        <v>11610</v>
      </c>
      <c r="L13716">
        <v>0</v>
      </c>
      <c r="M13716">
        <v>0</v>
      </c>
      <c r="N13716">
        <v>0</v>
      </c>
    </row>
    <row r="13717" spans="1:15">
      <c r="A13717" t="s">
        <v>19224</v>
      </c>
      <c r="B13717" t="s">
        <v>12438</v>
      </c>
      <c r="C13717" t="s">
        <v>45834</v>
      </c>
      <c r="D13717" t="s">
        <v>45835</v>
      </c>
      <c r="E13717" t="b">
        <v>0</v>
      </c>
      <c r="F13717" t="s">
        <v>11622</v>
      </c>
      <c r="L13717">
        <v>0</v>
      </c>
      <c r="M13717">
        <v>3</v>
      </c>
      <c r="N13717">
        <v>7</v>
      </c>
    </row>
    <row r="13718" spans="1:15">
      <c r="A13718" t="s">
        <v>14105</v>
      </c>
      <c r="B13718" t="s">
        <v>12438</v>
      </c>
      <c r="C13718" t="s">
        <v>19224</v>
      </c>
      <c r="D13718" t="s">
        <v>45836</v>
      </c>
      <c r="E13718" t="b">
        <v>0</v>
      </c>
      <c r="F13718" t="s">
        <v>11624</v>
      </c>
      <c r="G13718">
        <v>20.737400000000001</v>
      </c>
      <c r="H13718">
        <v>105.18600000000001</v>
      </c>
      <c r="I13718" t="s">
        <v>45837</v>
      </c>
      <c r="L13718">
        <v>0</v>
      </c>
      <c r="M13718">
        <v>0</v>
      </c>
      <c r="N13718">
        <v>7</v>
      </c>
      <c r="O13718" t="s">
        <v>15949</v>
      </c>
    </row>
    <row r="13719" spans="1:15">
      <c r="A13719" t="s">
        <v>45838</v>
      </c>
      <c r="B13719" t="s">
        <v>11607</v>
      </c>
      <c r="C13719" t="s">
        <v>45839</v>
      </c>
      <c r="D13719" t="s">
        <v>45840</v>
      </c>
      <c r="E13719" t="b">
        <v>0</v>
      </c>
      <c r="F13719" t="s">
        <v>11610</v>
      </c>
      <c r="L13719">
        <v>0</v>
      </c>
      <c r="M13719">
        <v>0</v>
      </c>
      <c r="N13719">
        <v>0</v>
      </c>
    </row>
    <row r="13720" spans="1:15">
      <c r="A13720" t="s">
        <v>45841</v>
      </c>
      <c r="B13720" t="s">
        <v>9897</v>
      </c>
      <c r="C13720" t="s">
        <v>10240</v>
      </c>
      <c r="D13720" t="s">
        <v>45842</v>
      </c>
      <c r="E13720" t="b">
        <v>0</v>
      </c>
      <c r="F13720" t="s">
        <v>11610</v>
      </c>
      <c r="L13720">
        <v>0</v>
      </c>
      <c r="M13720">
        <v>0</v>
      </c>
      <c r="N13720">
        <v>0</v>
      </c>
    </row>
    <row r="13721" spans="1:15">
      <c r="A13721" t="s">
        <v>45843</v>
      </c>
      <c r="B13721" t="s">
        <v>11810</v>
      </c>
      <c r="C13721" t="s">
        <v>14856</v>
      </c>
      <c r="D13721" t="s">
        <v>45844</v>
      </c>
      <c r="E13721" t="b">
        <v>0</v>
      </c>
      <c r="F13721" t="s">
        <v>11610</v>
      </c>
      <c r="L13721">
        <v>0</v>
      </c>
      <c r="M13721">
        <v>0</v>
      </c>
      <c r="N13721">
        <v>0</v>
      </c>
    </row>
    <row r="13722" spans="1:15">
      <c r="A13722" t="s">
        <v>45845</v>
      </c>
      <c r="B13722" t="s">
        <v>11615</v>
      </c>
      <c r="C13722" t="s">
        <v>24384</v>
      </c>
      <c r="D13722" t="s">
        <v>45846</v>
      </c>
      <c r="E13722" t="b">
        <v>0</v>
      </c>
      <c r="F13722" t="s">
        <v>11624</v>
      </c>
      <c r="G13722">
        <v>-5.7441599999999999</v>
      </c>
      <c r="H13722">
        <v>146.54</v>
      </c>
      <c r="I13722" t="s">
        <v>45847</v>
      </c>
      <c r="L13722">
        <v>0</v>
      </c>
      <c r="M13722">
        <v>0</v>
      </c>
      <c r="N13722">
        <v>0</v>
      </c>
      <c r="O13722" t="s">
        <v>11660</v>
      </c>
    </row>
    <row r="13723" spans="1:15">
      <c r="A13723" t="s">
        <v>45848</v>
      </c>
      <c r="B13723" t="s">
        <v>8310</v>
      </c>
      <c r="C13723" t="s">
        <v>287</v>
      </c>
      <c r="D13723" t="s">
        <v>45849</v>
      </c>
      <c r="E13723" t="b">
        <v>0</v>
      </c>
      <c r="F13723" t="s">
        <v>11610</v>
      </c>
      <c r="L13723">
        <v>0</v>
      </c>
      <c r="M13723">
        <v>0</v>
      </c>
      <c r="N13723">
        <v>0</v>
      </c>
    </row>
    <row r="13724" spans="1:15">
      <c r="A13724" t="s">
        <v>45850</v>
      </c>
      <c r="B13724" t="s">
        <v>45851</v>
      </c>
      <c r="C13724" t="s">
        <v>45851</v>
      </c>
      <c r="D13724" t="s">
        <v>45852</v>
      </c>
      <c r="E13724" t="b">
        <v>0</v>
      </c>
      <c r="F13724" t="s">
        <v>11610</v>
      </c>
      <c r="L13724">
        <v>0</v>
      </c>
      <c r="M13724">
        <v>0</v>
      </c>
      <c r="N13724">
        <v>0</v>
      </c>
    </row>
    <row r="13725" spans="1:15">
      <c r="A13725" t="s">
        <v>45853</v>
      </c>
      <c r="B13725" t="s">
        <v>11607</v>
      </c>
      <c r="C13725" t="s">
        <v>28437</v>
      </c>
      <c r="D13725" t="s">
        <v>45854</v>
      </c>
      <c r="E13725" t="b">
        <v>0</v>
      </c>
      <c r="F13725" t="s">
        <v>11610</v>
      </c>
      <c r="L13725">
        <v>0</v>
      </c>
      <c r="M13725">
        <v>0</v>
      </c>
      <c r="N13725">
        <v>0</v>
      </c>
    </row>
    <row r="13726" spans="1:15">
      <c r="A13726" t="s">
        <v>45855</v>
      </c>
      <c r="B13726" t="s">
        <v>11637</v>
      </c>
      <c r="C13726" t="s">
        <v>239</v>
      </c>
      <c r="D13726" t="s">
        <v>45856</v>
      </c>
      <c r="E13726" t="b">
        <v>0</v>
      </c>
      <c r="F13726" t="s">
        <v>11610</v>
      </c>
      <c r="L13726">
        <v>0</v>
      </c>
      <c r="M13726">
        <v>0</v>
      </c>
      <c r="N13726">
        <v>0</v>
      </c>
    </row>
    <row r="13727" spans="1:15">
      <c r="A13727" t="s">
        <v>45857</v>
      </c>
      <c r="D13727" t="s">
        <v>45858</v>
      </c>
      <c r="E13727" t="b">
        <v>0</v>
      </c>
      <c r="F13727" t="s">
        <v>11624</v>
      </c>
      <c r="G13727">
        <v>-13.636709</v>
      </c>
      <c r="H13727">
        <v>-62.202090900000002</v>
      </c>
      <c r="L13727">
        <v>0</v>
      </c>
      <c r="M13727">
        <v>0</v>
      </c>
      <c r="N13727">
        <v>0</v>
      </c>
      <c r="O13727" t="s">
        <v>14185</v>
      </c>
    </row>
    <row r="13728" spans="1:15">
      <c r="A13728" t="s">
        <v>45859</v>
      </c>
      <c r="B13728" t="s">
        <v>12311</v>
      </c>
      <c r="C13728" t="s">
        <v>14229</v>
      </c>
      <c r="D13728" t="s">
        <v>45860</v>
      </c>
      <c r="E13728" t="b">
        <v>0</v>
      </c>
      <c r="F13728" t="s">
        <v>11610</v>
      </c>
      <c r="L13728">
        <v>0</v>
      </c>
      <c r="M13728">
        <v>0</v>
      </c>
      <c r="N13728">
        <v>0</v>
      </c>
    </row>
    <row r="13729" spans="1:15">
      <c r="A13729" t="s">
        <v>45861</v>
      </c>
      <c r="B13729" t="s">
        <v>11637</v>
      </c>
      <c r="C13729" t="s">
        <v>12098</v>
      </c>
      <c r="D13729" t="s">
        <v>45862</v>
      </c>
      <c r="E13729" t="b">
        <v>0</v>
      </c>
      <c r="F13729" t="s">
        <v>11610</v>
      </c>
      <c r="L13729">
        <v>0</v>
      </c>
      <c r="M13729">
        <v>0</v>
      </c>
      <c r="N13729">
        <v>0</v>
      </c>
    </row>
    <row r="13730" spans="1:15">
      <c r="A13730" t="s">
        <v>31569</v>
      </c>
      <c r="B13730" t="s">
        <v>367</v>
      </c>
      <c r="C13730" t="s">
        <v>35597</v>
      </c>
      <c r="D13730" t="s">
        <v>45863</v>
      </c>
      <c r="E13730" t="b">
        <v>0</v>
      </c>
      <c r="F13730" t="s">
        <v>11624</v>
      </c>
      <c r="G13730">
        <v>3.7519</v>
      </c>
      <c r="H13730">
        <v>114.434</v>
      </c>
      <c r="I13730" t="s">
        <v>45864</v>
      </c>
      <c r="L13730">
        <v>0</v>
      </c>
      <c r="M13730">
        <v>0</v>
      </c>
      <c r="N13730">
        <v>5</v>
      </c>
      <c r="O13730" t="s">
        <v>11672</v>
      </c>
    </row>
    <row r="13731" spans="1:15">
      <c r="A13731" t="s">
        <v>45865</v>
      </c>
      <c r="B13731" t="s">
        <v>11871</v>
      </c>
      <c r="C13731" t="s">
        <v>37393</v>
      </c>
      <c r="D13731" t="s">
        <v>45866</v>
      </c>
      <c r="E13731" t="b">
        <v>0</v>
      </c>
      <c r="F13731" t="s">
        <v>11624</v>
      </c>
      <c r="G13731">
        <v>-3.8695900000000001</v>
      </c>
      <c r="H13731">
        <v>144.166</v>
      </c>
      <c r="I13731" t="s">
        <v>45867</v>
      </c>
      <c r="L13731">
        <v>0</v>
      </c>
      <c r="M13731">
        <v>0</v>
      </c>
      <c r="N13731">
        <v>0</v>
      </c>
      <c r="O13731" t="s">
        <v>11660</v>
      </c>
    </row>
    <row r="13732" spans="1:15">
      <c r="A13732" t="s">
        <v>45868</v>
      </c>
      <c r="B13732" t="s">
        <v>367</v>
      </c>
      <c r="C13732" t="s">
        <v>21161</v>
      </c>
      <c r="D13732" t="s">
        <v>45869</v>
      </c>
      <c r="E13732" t="b">
        <v>0</v>
      </c>
      <c r="F13732" t="s">
        <v>11622</v>
      </c>
      <c r="L13732">
        <v>0</v>
      </c>
      <c r="M13732">
        <v>2</v>
      </c>
      <c r="N13732">
        <v>0</v>
      </c>
    </row>
    <row r="13733" spans="1:15">
      <c r="A13733" t="s">
        <v>25929</v>
      </c>
      <c r="B13733" t="s">
        <v>11844</v>
      </c>
      <c r="C13733" t="s">
        <v>29037</v>
      </c>
      <c r="D13733" t="s">
        <v>45870</v>
      </c>
      <c r="E13733" t="b">
        <v>0</v>
      </c>
      <c r="F13733" t="s">
        <v>11622</v>
      </c>
      <c r="L13733">
        <v>0</v>
      </c>
      <c r="M13733">
        <v>3</v>
      </c>
      <c r="N13733">
        <v>5</v>
      </c>
    </row>
    <row r="13734" spans="1:15">
      <c r="A13734" t="s">
        <v>45871</v>
      </c>
      <c r="B13734" t="s">
        <v>39902</v>
      </c>
      <c r="C13734" t="s">
        <v>39902</v>
      </c>
      <c r="D13734" t="s">
        <v>45872</v>
      </c>
      <c r="E13734" t="b">
        <v>0</v>
      </c>
      <c r="F13734" t="s">
        <v>11624</v>
      </c>
      <c r="G13734">
        <v>-4.0754799999999998</v>
      </c>
      <c r="H13734">
        <v>140.91300000000001</v>
      </c>
      <c r="I13734" t="s">
        <v>45873</v>
      </c>
      <c r="L13734">
        <v>0</v>
      </c>
      <c r="M13734">
        <v>0</v>
      </c>
      <c r="N13734">
        <v>0</v>
      </c>
      <c r="O13734" t="s">
        <v>11768</v>
      </c>
    </row>
    <row r="13735" spans="1:15">
      <c r="A13735" t="s">
        <v>19332</v>
      </c>
      <c r="B13735" t="s">
        <v>15569</v>
      </c>
      <c r="C13735" t="s">
        <v>24745</v>
      </c>
      <c r="D13735" t="s">
        <v>45874</v>
      </c>
      <c r="E13735" t="b">
        <v>0</v>
      </c>
      <c r="F13735" t="s">
        <v>11624</v>
      </c>
      <c r="G13735">
        <v>6.6975600000000002</v>
      </c>
      <c r="H13735">
        <v>33.988</v>
      </c>
      <c r="I13735" t="s">
        <v>45875</v>
      </c>
      <c r="L13735">
        <v>0</v>
      </c>
      <c r="M13735">
        <v>0</v>
      </c>
      <c r="N13735">
        <v>3</v>
      </c>
      <c r="O13735" t="s">
        <v>14035</v>
      </c>
    </row>
    <row r="13736" spans="1:15">
      <c r="A13736" t="s">
        <v>45876</v>
      </c>
      <c r="B13736" t="s">
        <v>4342</v>
      </c>
      <c r="C13736" t="s">
        <v>29307</v>
      </c>
      <c r="D13736" t="s">
        <v>45877</v>
      </c>
      <c r="E13736" t="b">
        <v>0</v>
      </c>
      <c r="F13736" t="s">
        <v>11610</v>
      </c>
      <c r="L13736">
        <v>0</v>
      </c>
      <c r="M13736">
        <v>0</v>
      </c>
      <c r="N13736">
        <v>0</v>
      </c>
    </row>
    <row r="13737" spans="1:15">
      <c r="A13737" t="s">
        <v>45878</v>
      </c>
      <c r="B13737" t="s">
        <v>367</v>
      </c>
      <c r="C13737" t="s">
        <v>14613</v>
      </c>
      <c r="D13737" t="s">
        <v>45879</v>
      </c>
      <c r="E13737" t="b">
        <v>0</v>
      </c>
      <c r="F13737" t="s">
        <v>11624</v>
      </c>
      <c r="I13737" t="s">
        <v>45880</v>
      </c>
      <c r="L13737">
        <v>0</v>
      </c>
      <c r="M13737">
        <v>0</v>
      </c>
      <c r="N13737">
        <v>0</v>
      </c>
      <c r="O13737" t="s">
        <v>11660</v>
      </c>
    </row>
    <row r="13738" spans="1:15">
      <c r="A13738" t="s">
        <v>45881</v>
      </c>
      <c r="B13738" t="s">
        <v>10597</v>
      </c>
      <c r="C13738" t="s">
        <v>16360</v>
      </c>
      <c r="D13738" t="s">
        <v>45882</v>
      </c>
      <c r="E13738" t="b">
        <v>0</v>
      </c>
      <c r="F13738" t="s">
        <v>11610</v>
      </c>
      <c r="L13738">
        <v>0</v>
      </c>
      <c r="M13738">
        <v>0</v>
      </c>
      <c r="N13738">
        <v>0</v>
      </c>
    </row>
    <row r="13739" spans="1:15">
      <c r="A13739" t="s">
        <v>45883</v>
      </c>
      <c r="B13739" t="s">
        <v>45884</v>
      </c>
      <c r="C13739" t="s">
        <v>45884</v>
      </c>
      <c r="D13739" t="s">
        <v>45885</v>
      </c>
      <c r="E13739" t="b">
        <v>0</v>
      </c>
      <c r="F13739" t="s">
        <v>11624</v>
      </c>
      <c r="G13739">
        <v>-14.748519999999999</v>
      </c>
      <c r="H13739">
        <v>129.70151999999999</v>
      </c>
      <c r="I13739" t="s">
        <v>45886</v>
      </c>
      <c r="L13739">
        <v>0</v>
      </c>
      <c r="M13739">
        <v>0</v>
      </c>
      <c r="N13739">
        <v>3</v>
      </c>
      <c r="O13739" t="s">
        <v>12107</v>
      </c>
    </row>
    <row r="13740" spans="1:15">
      <c r="A13740" t="s">
        <v>45887</v>
      </c>
      <c r="B13740" t="s">
        <v>45884</v>
      </c>
      <c r="C13740" t="s">
        <v>45883</v>
      </c>
      <c r="D13740" t="s">
        <v>45888</v>
      </c>
      <c r="E13740" t="b">
        <v>0</v>
      </c>
      <c r="F13740" t="s">
        <v>11610</v>
      </c>
      <c r="L13740">
        <v>0</v>
      </c>
      <c r="M13740">
        <v>0</v>
      </c>
      <c r="N13740">
        <v>0</v>
      </c>
    </row>
    <row r="13741" spans="1:15">
      <c r="A13741" t="s">
        <v>45889</v>
      </c>
      <c r="B13741" t="s">
        <v>45884</v>
      </c>
      <c r="C13741" t="s">
        <v>45883</v>
      </c>
      <c r="D13741" t="s">
        <v>45890</v>
      </c>
      <c r="E13741" t="b">
        <v>0</v>
      </c>
      <c r="F13741" t="s">
        <v>11610</v>
      </c>
      <c r="L13741">
        <v>0</v>
      </c>
      <c r="M13741">
        <v>0</v>
      </c>
      <c r="N13741">
        <v>0</v>
      </c>
    </row>
    <row r="13742" spans="1:15">
      <c r="A13742" t="s">
        <v>45891</v>
      </c>
      <c r="B13742" t="s">
        <v>45884</v>
      </c>
      <c r="C13742" t="s">
        <v>45883</v>
      </c>
      <c r="D13742" t="s">
        <v>45892</v>
      </c>
      <c r="E13742" t="b">
        <v>0</v>
      </c>
      <c r="F13742" t="s">
        <v>11610</v>
      </c>
      <c r="L13742">
        <v>0</v>
      </c>
      <c r="M13742">
        <v>0</v>
      </c>
      <c r="N13742">
        <v>0</v>
      </c>
    </row>
    <row r="13743" spans="1:15">
      <c r="A13743" t="s">
        <v>45893</v>
      </c>
      <c r="B13743" t="s">
        <v>11780</v>
      </c>
      <c r="C13743" t="s">
        <v>23817</v>
      </c>
      <c r="D13743" t="s">
        <v>45894</v>
      </c>
      <c r="E13743" t="b">
        <v>0</v>
      </c>
      <c r="F13743" t="s">
        <v>11610</v>
      </c>
      <c r="L13743">
        <v>0</v>
      </c>
      <c r="M13743">
        <v>0</v>
      </c>
      <c r="N13743">
        <v>0</v>
      </c>
    </row>
    <row r="13744" spans="1:15">
      <c r="A13744" t="s">
        <v>45895</v>
      </c>
      <c r="B13744" t="s">
        <v>15569</v>
      </c>
      <c r="C13744" t="s">
        <v>45896</v>
      </c>
      <c r="D13744" t="s">
        <v>45897</v>
      </c>
      <c r="E13744" t="b">
        <v>0</v>
      </c>
      <c r="F13744" t="s">
        <v>11624</v>
      </c>
      <c r="G13744">
        <v>5.69801</v>
      </c>
      <c r="H13744">
        <v>36.097099999999998</v>
      </c>
      <c r="I13744" t="s">
        <v>45898</v>
      </c>
      <c r="L13744">
        <v>0</v>
      </c>
      <c r="M13744">
        <v>0</v>
      </c>
      <c r="N13744">
        <v>0</v>
      </c>
      <c r="O13744" t="s">
        <v>11625</v>
      </c>
    </row>
    <row r="13745" spans="1:15">
      <c r="A13745" t="s">
        <v>17154</v>
      </c>
      <c r="B13745" t="s">
        <v>10597</v>
      </c>
      <c r="C13745" t="s">
        <v>16584</v>
      </c>
      <c r="D13745" t="s">
        <v>45899</v>
      </c>
      <c r="E13745" t="b">
        <v>0</v>
      </c>
      <c r="F13745" t="s">
        <v>11622</v>
      </c>
      <c r="L13745">
        <v>0</v>
      </c>
      <c r="M13745">
        <v>2</v>
      </c>
      <c r="N13745">
        <v>0</v>
      </c>
    </row>
    <row r="13746" spans="1:15">
      <c r="A13746" t="s">
        <v>45900</v>
      </c>
      <c r="B13746" t="s">
        <v>10597</v>
      </c>
      <c r="C13746" t="s">
        <v>17154</v>
      </c>
      <c r="D13746" t="s">
        <v>45901</v>
      </c>
      <c r="E13746" t="b">
        <v>0</v>
      </c>
      <c r="F13746" t="s">
        <v>11624</v>
      </c>
      <c r="G13746">
        <v>-28.9618</v>
      </c>
      <c r="H13746">
        <v>146.54599999999999</v>
      </c>
      <c r="I13746" t="s">
        <v>45902</v>
      </c>
      <c r="L13746">
        <v>0</v>
      </c>
      <c r="M13746">
        <v>0</v>
      </c>
      <c r="N13746">
        <v>0</v>
      </c>
      <c r="O13746" t="s">
        <v>12107</v>
      </c>
    </row>
    <row r="13747" spans="1:15">
      <c r="A13747" t="s">
        <v>45903</v>
      </c>
      <c r="B13747" t="s">
        <v>6742</v>
      </c>
      <c r="C13747" t="s">
        <v>24001</v>
      </c>
      <c r="D13747" t="s">
        <v>45904</v>
      </c>
      <c r="E13747" t="b">
        <v>0</v>
      </c>
      <c r="F13747" t="s">
        <v>11610</v>
      </c>
      <c r="L13747">
        <v>0</v>
      </c>
      <c r="M13747">
        <v>0</v>
      </c>
      <c r="N13747">
        <v>0</v>
      </c>
    </row>
    <row r="13748" spans="1:15">
      <c r="A13748" t="s">
        <v>45905</v>
      </c>
      <c r="B13748" t="s">
        <v>11729</v>
      </c>
      <c r="C13748" t="s">
        <v>17872</v>
      </c>
      <c r="D13748" t="s">
        <v>45906</v>
      </c>
      <c r="E13748" t="b">
        <v>0</v>
      </c>
      <c r="F13748" t="s">
        <v>11610</v>
      </c>
      <c r="L13748">
        <v>0</v>
      </c>
      <c r="M13748">
        <v>0</v>
      </c>
      <c r="N13748">
        <v>0</v>
      </c>
    </row>
    <row r="13749" spans="1:15">
      <c r="A13749" t="s">
        <v>45907</v>
      </c>
      <c r="B13749" t="s">
        <v>367</v>
      </c>
      <c r="C13749" t="s">
        <v>45908</v>
      </c>
      <c r="D13749" t="s">
        <v>45909</v>
      </c>
      <c r="E13749" t="b">
        <v>0</v>
      </c>
      <c r="F13749" t="s">
        <v>11610</v>
      </c>
      <c r="L13749">
        <v>0</v>
      </c>
      <c r="M13749">
        <v>0</v>
      </c>
      <c r="N13749">
        <v>0</v>
      </c>
    </row>
    <row r="13750" spans="1:15">
      <c r="A13750" t="s">
        <v>45910</v>
      </c>
      <c r="B13750" t="s">
        <v>367</v>
      </c>
      <c r="C13750" t="s">
        <v>17632</v>
      </c>
      <c r="D13750" t="s">
        <v>45911</v>
      </c>
      <c r="E13750" t="b">
        <v>0</v>
      </c>
      <c r="F13750" t="s">
        <v>11610</v>
      </c>
      <c r="L13750">
        <v>0</v>
      </c>
      <c r="M13750">
        <v>0</v>
      </c>
      <c r="N13750">
        <v>0</v>
      </c>
    </row>
    <row r="13751" spans="1:15">
      <c r="A13751" t="s">
        <v>45912</v>
      </c>
      <c r="B13751" t="s">
        <v>11615</v>
      </c>
      <c r="C13751" t="s">
        <v>45412</v>
      </c>
      <c r="D13751" t="s">
        <v>45913</v>
      </c>
      <c r="E13751" t="b">
        <v>0</v>
      </c>
      <c r="F13751" t="s">
        <v>11624</v>
      </c>
      <c r="G13751">
        <v>-5.0244999999999997</v>
      </c>
      <c r="H13751">
        <v>145.60599999999999</v>
      </c>
      <c r="I13751" t="s">
        <v>45914</v>
      </c>
      <c r="L13751">
        <v>0</v>
      </c>
      <c r="M13751">
        <v>0</v>
      </c>
      <c r="N13751">
        <v>0</v>
      </c>
      <c r="O13751" t="s">
        <v>11660</v>
      </c>
    </row>
    <row r="13752" spans="1:15">
      <c r="A13752" t="s">
        <v>44307</v>
      </c>
      <c r="B13752" t="s">
        <v>13737</v>
      </c>
      <c r="C13752" t="s">
        <v>44588</v>
      </c>
      <c r="D13752" t="s">
        <v>45915</v>
      </c>
      <c r="E13752" t="b">
        <v>0</v>
      </c>
      <c r="F13752" t="s">
        <v>11624</v>
      </c>
      <c r="G13752">
        <v>-1.13669</v>
      </c>
      <c r="H13752">
        <v>-73.833100000000002</v>
      </c>
      <c r="I13752" t="s">
        <v>45916</v>
      </c>
      <c r="L13752">
        <v>0</v>
      </c>
      <c r="M13752">
        <v>0</v>
      </c>
      <c r="N13752">
        <v>1</v>
      </c>
      <c r="O13752" t="s">
        <v>45917</v>
      </c>
    </row>
    <row r="13753" spans="1:15">
      <c r="A13753" t="s">
        <v>11674</v>
      </c>
      <c r="B13753" t="s">
        <v>367</v>
      </c>
      <c r="C13753" t="s">
        <v>29739</v>
      </c>
      <c r="D13753" t="s">
        <v>45918</v>
      </c>
      <c r="E13753" t="b">
        <v>0</v>
      </c>
      <c r="F13753" t="s">
        <v>11622</v>
      </c>
      <c r="L13753">
        <v>6</v>
      </c>
      <c r="M13753">
        <v>14</v>
      </c>
      <c r="N13753">
        <v>40</v>
      </c>
    </row>
    <row r="13754" spans="1:15">
      <c r="A13754" t="s">
        <v>45919</v>
      </c>
      <c r="B13754" t="s">
        <v>11637</v>
      </c>
      <c r="C13754" t="s">
        <v>187</v>
      </c>
      <c r="D13754" t="s">
        <v>45920</v>
      </c>
      <c r="E13754" t="b">
        <v>0</v>
      </c>
      <c r="F13754" t="s">
        <v>11610</v>
      </c>
      <c r="L13754">
        <v>0</v>
      </c>
      <c r="M13754">
        <v>0</v>
      </c>
      <c r="N13754">
        <v>0</v>
      </c>
    </row>
    <row r="13755" spans="1:15">
      <c r="A13755" t="s">
        <v>45921</v>
      </c>
      <c r="B13755" t="s">
        <v>11637</v>
      </c>
      <c r="C13755" t="s">
        <v>16777</v>
      </c>
      <c r="D13755" t="s">
        <v>45922</v>
      </c>
      <c r="E13755" t="b">
        <v>0</v>
      </c>
      <c r="F13755" t="s">
        <v>11610</v>
      </c>
      <c r="L13755">
        <v>0</v>
      </c>
      <c r="M13755">
        <v>0</v>
      </c>
      <c r="N13755">
        <v>0</v>
      </c>
    </row>
    <row r="13756" spans="1:15">
      <c r="A13756" t="s">
        <v>16780</v>
      </c>
      <c r="B13756" t="s">
        <v>11637</v>
      </c>
      <c r="C13756" t="s">
        <v>20184</v>
      </c>
      <c r="D13756" t="s">
        <v>45923</v>
      </c>
      <c r="E13756" t="b">
        <v>0</v>
      </c>
      <c r="F13756" t="s">
        <v>11624</v>
      </c>
      <c r="G13756">
        <v>26.732900000000001</v>
      </c>
      <c r="H13756">
        <v>87.5304</v>
      </c>
      <c r="I13756" t="s">
        <v>45924</v>
      </c>
      <c r="L13756">
        <v>0</v>
      </c>
      <c r="M13756">
        <v>0</v>
      </c>
      <c r="N13756">
        <v>1</v>
      </c>
      <c r="O13756" t="s">
        <v>15007</v>
      </c>
    </row>
    <row r="13757" spans="1:15">
      <c r="A13757" t="s">
        <v>45925</v>
      </c>
      <c r="B13757" t="s">
        <v>13276</v>
      </c>
      <c r="C13757" t="s">
        <v>27915</v>
      </c>
      <c r="D13757" t="s">
        <v>45926</v>
      </c>
      <c r="E13757" t="b">
        <v>0</v>
      </c>
      <c r="F13757" t="s">
        <v>11610</v>
      </c>
      <c r="L13757">
        <v>0</v>
      </c>
      <c r="M13757">
        <v>0</v>
      </c>
      <c r="N13757">
        <v>0</v>
      </c>
    </row>
    <row r="13758" spans="1:15">
      <c r="A13758" t="s">
        <v>45927</v>
      </c>
      <c r="B13758" t="s">
        <v>11615</v>
      </c>
      <c r="C13758" t="s">
        <v>18039</v>
      </c>
      <c r="D13758" t="s">
        <v>45928</v>
      </c>
      <c r="E13758" t="b">
        <v>0</v>
      </c>
      <c r="F13758" t="s">
        <v>11624</v>
      </c>
      <c r="G13758">
        <v>-4.7025800000000002</v>
      </c>
      <c r="H13758">
        <v>145.41300000000001</v>
      </c>
      <c r="I13758" t="s">
        <v>45929</v>
      </c>
      <c r="L13758">
        <v>0</v>
      </c>
      <c r="M13758">
        <v>0</v>
      </c>
      <c r="N13758">
        <v>0</v>
      </c>
      <c r="O13758" t="s">
        <v>11660</v>
      </c>
    </row>
    <row r="13759" spans="1:15">
      <c r="A13759" t="s">
        <v>45930</v>
      </c>
      <c r="B13759" t="s">
        <v>11615</v>
      </c>
      <c r="C13759" t="s">
        <v>12571</v>
      </c>
      <c r="D13759" t="s">
        <v>45931</v>
      </c>
      <c r="E13759" t="b">
        <v>0</v>
      </c>
      <c r="F13759" t="s">
        <v>11624</v>
      </c>
      <c r="G13759">
        <v>-5.3740699999999997</v>
      </c>
      <c r="H13759">
        <v>145.197</v>
      </c>
      <c r="I13759" t="s">
        <v>45932</v>
      </c>
      <c r="L13759">
        <v>0</v>
      </c>
      <c r="M13759">
        <v>0</v>
      </c>
      <c r="N13759">
        <v>0</v>
      </c>
      <c r="O13759" t="s">
        <v>11660</v>
      </c>
    </row>
    <row r="13760" spans="1:15">
      <c r="A13760" t="s">
        <v>45933</v>
      </c>
      <c r="B13760" t="s">
        <v>367</v>
      </c>
      <c r="C13760" t="s">
        <v>31883</v>
      </c>
      <c r="D13760" t="s">
        <v>45934</v>
      </c>
      <c r="E13760" t="b">
        <v>0</v>
      </c>
      <c r="F13760" t="s">
        <v>11610</v>
      </c>
      <c r="L13760">
        <v>0</v>
      </c>
      <c r="M13760">
        <v>0</v>
      </c>
      <c r="N13760">
        <v>0</v>
      </c>
    </row>
    <row r="13761" spans="1:15">
      <c r="A13761" t="s">
        <v>19488</v>
      </c>
      <c r="B13761" t="s">
        <v>11607</v>
      </c>
      <c r="C13761" t="s">
        <v>30653</v>
      </c>
      <c r="D13761" t="s">
        <v>45935</v>
      </c>
      <c r="E13761" t="b">
        <v>0</v>
      </c>
      <c r="F13761" t="s">
        <v>11624</v>
      </c>
      <c r="G13761">
        <v>9.8161199999999997</v>
      </c>
      <c r="H13761">
        <v>15.4115</v>
      </c>
      <c r="I13761" t="s">
        <v>45936</v>
      </c>
      <c r="L13761">
        <v>0</v>
      </c>
      <c r="M13761">
        <v>0</v>
      </c>
      <c r="N13761">
        <v>5</v>
      </c>
      <c r="O13761" t="s">
        <v>29226</v>
      </c>
    </row>
    <row r="13762" spans="1:15">
      <c r="A13762" t="s">
        <v>45937</v>
      </c>
      <c r="B13762" t="s">
        <v>11607</v>
      </c>
      <c r="C13762" t="s">
        <v>37036</v>
      </c>
      <c r="D13762" t="s">
        <v>45938</v>
      </c>
      <c r="E13762" t="b">
        <v>0</v>
      </c>
      <c r="F13762" t="s">
        <v>11610</v>
      </c>
      <c r="L13762">
        <v>0</v>
      </c>
      <c r="M13762">
        <v>0</v>
      </c>
      <c r="N13762">
        <v>0</v>
      </c>
    </row>
    <row r="13763" spans="1:15">
      <c r="A13763" t="s">
        <v>45812</v>
      </c>
      <c r="B13763" t="s">
        <v>11607</v>
      </c>
      <c r="C13763" t="s">
        <v>43665</v>
      </c>
      <c r="D13763" t="s">
        <v>45939</v>
      </c>
      <c r="E13763" t="b">
        <v>0</v>
      </c>
      <c r="F13763" t="s">
        <v>11624</v>
      </c>
      <c r="G13763">
        <v>10.8439</v>
      </c>
      <c r="H13763">
        <v>15.1065</v>
      </c>
      <c r="I13763" t="s">
        <v>45940</v>
      </c>
      <c r="L13763">
        <v>0</v>
      </c>
      <c r="M13763">
        <v>0</v>
      </c>
      <c r="N13763">
        <v>6</v>
      </c>
      <c r="O13763" t="s">
        <v>29226</v>
      </c>
    </row>
    <row r="13764" spans="1:15">
      <c r="A13764" t="s">
        <v>43665</v>
      </c>
      <c r="B13764" t="s">
        <v>11607</v>
      </c>
      <c r="C13764" t="s">
        <v>18912</v>
      </c>
      <c r="D13764" t="s">
        <v>45941</v>
      </c>
      <c r="E13764" t="b">
        <v>0</v>
      </c>
      <c r="F13764" t="s">
        <v>11622</v>
      </c>
      <c r="L13764">
        <v>0</v>
      </c>
      <c r="M13764">
        <v>2</v>
      </c>
      <c r="N13764">
        <v>6</v>
      </c>
    </row>
    <row r="13765" spans="1:15">
      <c r="A13765" t="s">
        <v>45942</v>
      </c>
      <c r="B13765" t="s">
        <v>6742</v>
      </c>
      <c r="C13765" t="s">
        <v>45943</v>
      </c>
      <c r="D13765" t="s">
        <v>45944</v>
      </c>
      <c r="E13765" t="b">
        <v>0</v>
      </c>
      <c r="F13765" t="s">
        <v>11610</v>
      </c>
      <c r="G13765">
        <v>6.8900000000000003E-3</v>
      </c>
      <c r="H13765">
        <v>42.662599999999998</v>
      </c>
      <c r="I13765" t="s">
        <v>45945</v>
      </c>
      <c r="L13765">
        <v>0</v>
      </c>
      <c r="M13765">
        <v>0</v>
      </c>
      <c r="N13765">
        <v>0</v>
      </c>
      <c r="O13765" t="s">
        <v>19538</v>
      </c>
    </row>
    <row r="13766" spans="1:15">
      <c r="A13766" t="s">
        <v>45946</v>
      </c>
      <c r="B13766" t="s">
        <v>11607</v>
      </c>
      <c r="C13766" t="s">
        <v>20917</v>
      </c>
      <c r="D13766" t="s">
        <v>45947</v>
      </c>
      <c r="E13766" t="b">
        <v>0</v>
      </c>
      <c r="F13766" t="s">
        <v>11610</v>
      </c>
      <c r="L13766">
        <v>0</v>
      </c>
      <c r="M13766">
        <v>0</v>
      </c>
      <c r="N13766">
        <v>0</v>
      </c>
    </row>
    <row r="13767" spans="1:15">
      <c r="A13767" t="s">
        <v>45948</v>
      </c>
      <c r="B13767" t="s">
        <v>11637</v>
      </c>
      <c r="C13767" t="s">
        <v>14027</v>
      </c>
      <c r="D13767" t="s">
        <v>45949</v>
      </c>
      <c r="E13767" t="b">
        <v>0</v>
      </c>
      <c r="F13767" t="s">
        <v>11610</v>
      </c>
      <c r="L13767">
        <v>0</v>
      </c>
      <c r="M13767">
        <v>0</v>
      </c>
      <c r="N13767">
        <v>4</v>
      </c>
    </row>
    <row r="13768" spans="1:15">
      <c r="A13768" t="s">
        <v>45950</v>
      </c>
      <c r="B13768" t="s">
        <v>367</v>
      </c>
      <c r="C13768" t="s">
        <v>16294</v>
      </c>
      <c r="D13768" t="s">
        <v>45951</v>
      </c>
      <c r="E13768" t="b">
        <v>0</v>
      </c>
      <c r="F13768" t="s">
        <v>11624</v>
      </c>
      <c r="G13768">
        <v>-2.93987</v>
      </c>
      <c r="H13768">
        <v>103.94499999999999</v>
      </c>
      <c r="I13768" t="s">
        <v>45952</v>
      </c>
      <c r="L13768">
        <v>0</v>
      </c>
      <c r="M13768">
        <v>0</v>
      </c>
      <c r="N13768">
        <v>1</v>
      </c>
      <c r="O13768" t="s">
        <v>11768</v>
      </c>
    </row>
    <row r="13769" spans="1:15">
      <c r="A13769" t="s">
        <v>45953</v>
      </c>
      <c r="B13769" t="s">
        <v>367</v>
      </c>
      <c r="C13769" t="s">
        <v>35652</v>
      </c>
      <c r="D13769" t="s">
        <v>45954</v>
      </c>
      <c r="E13769" t="b">
        <v>0</v>
      </c>
      <c r="F13769" t="s">
        <v>11610</v>
      </c>
      <c r="L13769">
        <v>0</v>
      </c>
      <c r="M13769">
        <v>0</v>
      </c>
      <c r="N13769">
        <v>0</v>
      </c>
    </row>
    <row r="13770" spans="1:15">
      <c r="A13770" t="s">
        <v>12875</v>
      </c>
      <c r="D13770" t="s">
        <v>45955</v>
      </c>
      <c r="E13770" t="b">
        <v>0</v>
      </c>
      <c r="F13770" t="s">
        <v>11622</v>
      </c>
      <c r="L13770">
        <v>2</v>
      </c>
      <c r="M13770">
        <v>7</v>
      </c>
      <c r="N13770">
        <v>4</v>
      </c>
    </row>
    <row r="13771" spans="1:15">
      <c r="A13771" t="s">
        <v>45956</v>
      </c>
      <c r="B13771" t="s">
        <v>11607</v>
      </c>
      <c r="C13771" t="s">
        <v>18912</v>
      </c>
      <c r="D13771" t="s">
        <v>45957</v>
      </c>
      <c r="E13771" t="b">
        <v>0</v>
      </c>
      <c r="F13771" t="s">
        <v>11624</v>
      </c>
      <c r="G13771">
        <v>11.569699999999999</v>
      </c>
      <c r="H13771">
        <v>15.411300000000001</v>
      </c>
      <c r="I13771" t="s">
        <v>45958</v>
      </c>
      <c r="L13771">
        <v>0</v>
      </c>
      <c r="M13771">
        <v>0</v>
      </c>
      <c r="N13771">
        <v>0</v>
      </c>
      <c r="O13771" t="s">
        <v>13421</v>
      </c>
    </row>
    <row r="13772" spans="1:15">
      <c r="A13772" t="s">
        <v>11825</v>
      </c>
      <c r="B13772" t="s">
        <v>11637</v>
      </c>
      <c r="C13772" t="s">
        <v>21238</v>
      </c>
      <c r="D13772" t="s">
        <v>45959</v>
      </c>
      <c r="E13772" t="b">
        <v>0</v>
      </c>
      <c r="F13772" t="s">
        <v>11624</v>
      </c>
      <c r="G13772">
        <v>41.425061999999997</v>
      </c>
      <c r="H13772">
        <v>46.645589000000001</v>
      </c>
      <c r="I13772" t="s">
        <v>45960</v>
      </c>
      <c r="L13772">
        <v>0</v>
      </c>
      <c r="M13772">
        <v>0</v>
      </c>
      <c r="N13772">
        <v>12</v>
      </c>
      <c r="O13772" t="s">
        <v>36067</v>
      </c>
    </row>
    <row r="13773" spans="1:15">
      <c r="A13773" t="s">
        <v>45961</v>
      </c>
      <c r="B13773" t="s">
        <v>367</v>
      </c>
      <c r="C13773" t="s">
        <v>14502</v>
      </c>
      <c r="D13773" t="s">
        <v>45962</v>
      </c>
      <c r="E13773" t="b">
        <v>0</v>
      </c>
      <c r="F13773" t="s">
        <v>11624</v>
      </c>
      <c r="G13773">
        <v>-6.53817</v>
      </c>
      <c r="H13773">
        <v>146.93</v>
      </c>
      <c r="I13773" t="s">
        <v>45963</v>
      </c>
      <c r="L13773">
        <v>0</v>
      </c>
      <c r="M13773">
        <v>0</v>
      </c>
      <c r="N13773">
        <v>0</v>
      </c>
      <c r="O13773" t="s">
        <v>11660</v>
      </c>
    </row>
    <row r="13774" spans="1:15">
      <c r="A13774" t="s">
        <v>45964</v>
      </c>
      <c r="B13774" t="s">
        <v>9071</v>
      </c>
      <c r="C13774" t="s">
        <v>22568</v>
      </c>
      <c r="D13774" t="s">
        <v>45965</v>
      </c>
      <c r="E13774" t="b">
        <v>0</v>
      </c>
      <c r="F13774" t="s">
        <v>11610</v>
      </c>
      <c r="L13774">
        <v>0</v>
      </c>
      <c r="M13774">
        <v>0</v>
      </c>
      <c r="N13774">
        <v>0</v>
      </c>
    </row>
    <row r="13775" spans="1:15">
      <c r="A13775" t="s">
        <v>45966</v>
      </c>
      <c r="B13775" t="s">
        <v>11637</v>
      </c>
      <c r="C13775" t="s">
        <v>45948</v>
      </c>
      <c r="D13775" t="s">
        <v>45967</v>
      </c>
      <c r="E13775" t="b">
        <v>0</v>
      </c>
      <c r="F13775" t="s">
        <v>11610</v>
      </c>
      <c r="L13775">
        <v>0</v>
      </c>
      <c r="M13775">
        <v>0</v>
      </c>
      <c r="N13775">
        <v>0</v>
      </c>
    </row>
    <row r="13776" spans="1:15">
      <c r="A13776" t="s">
        <v>45968</v>
      </c>
      <c r="B13776" t="s">
        <v>11637</v>
      </c>
      <c r="C13776" t="s">
        <v>3565</v>
      </c>
      <c r="D13776" t="s">
        <v>45969</v>
      </c>
      <c r="E13776" t="b">
        <v>0</v>
      </c>
      <c r="F13776" t="s">
        <v>11610</v>
      </c>
      <c r="L13776">
        <v>0</v>
      </c>
      <c r="M13776">
        <v>0</v>
      </c>
      <c r="N13776">
        <v>0</v>
      </c>
    </row>
    <row r="13777" spans="1:15">
      <c r="A13777" t="s">
        <v>27143</v>
      </c>
      <c r="B13777" t="s">
        <v>367</v>
      </c>
      <c r="C13777" t="s">
        <v>45970</v>
      </c>
      <c r="D13777" t="s">
        <v>45971</v>
      </c>
      <c r="E13777" t="b">
        <v>0</v>
      </c>
      <c r="F13777" t="s">
        <v>11624</v>
      </c>
      <c r="G13777">
        <v>-1.4410499999999999</v>
      </c>
      <c r="H13777">
        <v>149.624</v>
      </c>
      <c r="I13777" t="s">
        <v>45972</v>
      </c>
      <c r="L13777">
        <v>0</v>
      </c>
      <c r="M13777">
        <v>0</v>
      </c>
      <c r="N13777">
        <v>5</v>
      </c>
      <c r="O13777" t="s">
        <v>11660</v>
      </c>
    </row>
    <row r="13778" spans="1:15">
      <c r="A13778" t="s">
        <v>26192</v>
      </c>
      <c r="B13778" t="s">
        <v>367</v>
      </c>
      <c r="C13778" t="s">
        <v>27143</v>
      </c>
      <c r="D13778" t="s">
        <v>45973</v>
      </c>
      <c r="E13778" t="b">
        <v>0</v>
      </c>
      <c r="F13778" t="s">
        <v>11610</v>
      </c>
      <c r="L13778">
        <v>0</v>
      </c>
      <c r="M13778">
        <v>0</v>
      </c>
      <c r="N13778">
        <v>3</v>
      </c>
    </row>
    <row r="13779" spans="1:15">
      <c r="A13779" t="s">
        <v>45974</v>
      </c>
      <c r="B13779" t="s">
        <v>11607</v>
      </c>
      <c r="C13779" t="s">
        <v>25357</v>
      </c>
      <c r="D13779" t="s">
        <v>45975</v>
      </c>
      <c r="E13779" t="b">
        <v>0</v>
      </c>
      <c r="F13779" t="s">
        <v>11610</v>
      </c>
      <c r="L13779">
        <v>0</v>
      </c>
      <c r="M13779">
        <v>0</v>
      </c>
      <c r="N13779">
        <v>0</v>
      </c>
    </row>
    <row r="13780" spans="1:15">
      <c r="A13780" t="s">
        <v>45976</v>
      </c>
      <c r="B13780" t="s">
        <v>6742</v>
      </c>
      <c r="C13780" t="s">
        <v>34112</v>
      </c>
      <c r="D13780" t="s">
        <v>45977</v>
      </c>
      <c r="E13780" t="b">
        <v>0</v>
      </c>
      <c r="F13780" t="s">
        <v>11610</v>
      </c>
      <c r="L13780">
        <v>0</v>
      </c>
      <c r="M13780">
        <v>0</v>
      </c>
      <c r="N13780">
        <v>0</v>
      </c>
    </row>
    <row r="13781" spans="1:15">
      <c r="A13781" t="s">
        <v>25926</v>
      </c>
      <c r="B13781" t="s">
        <v>11844</v>
      </c>
      <c r="C13781" t="s">
        <v>42676</v>
      </c>
      <c r="D13781" t="s">
        <v>45978</v>
      </c>
      <c r="E13781" t="b">
        <v>0</v>
      </c>
      <c r="F13781" t="s">
        <v>11624</v>
      </c>
      <c r="G13781">
        <v>10.352399999999999</v>
      </c>
      <c r="H13781">
        <v>76.732799999999997</v>
      </c>
      <c r="I13781" t="s">
        <v>45979</v>
      </c>
      <c r="L13781">
        <v>0</v>
      </c>
      <c r="M13781">
        <v>0</v>
      </c>
      <c r="N13781">
        <v>2</v>
      </c>
      <c r="O13781" t="s">
        <v>11630</v>
      </c>
    </row>
    <row r="13782" spans="1:15">
      <c r="A13782" t="s">
        <v>45980</v>
      </c>
      <c r="B13782" t="s">
        <v>6742</v>
      </c>
      <c r="C13782" t="s">
        <v>45981</v>
      </c>
      <c r="D13782" t="s">
        <v>45982</v>
      </c>
      <c r="E13782" t="b">
        <v>0</v>
      </c>
      <c r="F13782" t="s">
        <v>11610</v>
      </c>
      <c r="L13782">
        <v>0</v>
      </c>
      <c r="M13782">
        <v>0</v>
      </c>
      <c r="N13782">
        <v>0</v>
      </c>
    </row>
    <row r="13783" spans="1:15">
      <c r="A13783" t="s">
        <v>42676</v>
      </c>
      <c r="B13783" t="s">
        <v>11844</v>
      </c>
      <c r="C13783" t="s">
        <v>42010</v>
      </c>
      <c r="D13783" t="s">
        <v>45983</v>
      </c>
      <c r="E13783" t="b">
        <v>0</v>
      </c>
      <c r="F13783" t="s">
        <v>11622</v>
      </c>
      <c r="L13783">
        <v>0</v>
      </c>
      <c r="M13783">
        <v>2</v>
      </c>
      <c r="N13783">
        <v>2</v>
      </c>
    </row>
    <row r="13784" spans="1:15">
      <c r="A13784" t="s">
        <v>45984</v>
      </c>
      <c r="B13784" t="s">
        <v>11607</v>
      </c>
      <c r="C13784" t="s">
        <v>24344</v>
      </c>
      <c r="D13784" t="s">
        <v>45985</v>
      </c>
      <c r="E13784" t="b">
        <v>0</v>
      </c>
      <c r="F13784" t="s">
        <v>11610</v>
      </c>
      <c r="L13784">
        <v>0</v>
      </c>
      <c r="M13784">
        <v>0</v>
      </c>
      <c r="N13784">
        <v>0</v>
      </c>
    </row>
    <row r="13785" spans="1:15">
      <c r="A13785" t="s">
        <v>45986</v>
      </c>
      <c r="B13785" t="s">
        <v>17579</v>
      </c>
      <c r="C13785" t="s">
        <v>45245</v>
      </c>
      <c r="D13785" t="s">
        <v>45987</v>
      </c>
      <c r="E13785" t="b">
        <v>0</v>
      </c>
      <c r="F13785" t="s">
        <v>11610</v>
      </c>
      <c r="L13785">
        <v>0</v>
      </c>
      <c r="M13785">
        <v>0</v>
      </c>
      <c r="N13785">
        <v>0</v>
      </c>
    </row>
    <row r="13786" spans="1:15">
      <c r="A13786" t="s">
        <v>42075</v>
      </c>
      <c r="B13786" t="s">
        <v>367</v>
      </c>
      <c r="C13786" t="s">
        <v>29352</v>
      </c>
      <c r="D13786" t="s">
        <v>45988</v>
      </c>
      <c r="E13786" t="b">
        <v>0</v>
      </c>
      <c r="F13786" t="s">
        <v>11624</v>
      </c>
      <c r="G13786">
        <v>-5.7940500000000004</v>
      </c>
      <c r="H13786">
        <v>148.01400000000001</v>
      </c>
      <c r="I13786" t="s">
        <v>45989</v>
      </c>
      <c r="L13786">
        <v>0</v>
      </c>
      <c r="M13786">
        <v>0</v>
      </c>
      <c r="N13786">
        <v>2</v>
      </c>
      <c r="O13786" t="s">
        <v>11660</v>
      </c>
    </row>
    <row r="13787" spans="1:15">
      <c r="A13787" t="s">
        <v>45990</v>
      </c>
      <c r="B13787" t="s">
        <v>11607</v>
      </c>
      <c r="C13787" t="s">
        <v>45991</v>
      </c>
      <c r="D13787" t="s">
        <v>45992</v>
      </c>
      <c r="E13787" t="b">
        <v>0</v>
      </c>
      <c r="F13787" t="s">
        <v>11610</v>
      </c>
      <c r="L13787">
        <v>0</v>
      </c>
      <c r="M13787">
        <v>0</v>
      </c>
      <c r="N13787">
        <v>0</v>
      </c>
    </row>
    <row r="13788" spans="1:15">
      <c r="A13788" t="s">
        <v>45993</v>
      </c>
      <c r="B13788" t="s">
        <v>11607</v>
      </c>
      <c r="C13788" t="s">
        <v>44503</v>
      </c>
      <c r="D13788" t="s">
        <v>45994</v>
      </c>
      <c r="E13788" t="b">
        <v>0</v>
      </c>
      <c r="F13788" t="s">
        <v>11610</v>
      </c>
      <c r="L13788">
        <v>0</v>
      </c>
      <c r="M13788">
        <v>0</v>
      </c>
      <c r="N13788">
        <v>0</v>
      </c>
    </row>
    <row r="13789" spans="1:15">
      <c r="A13789" t="s">
        <v>45995</v>
      </c>
      <c r="B13789" t="s">
        <v>11644</v>
      </c>
      <c r="C13789" t="s">
        <v>12404</v>
      </c>
      <c r="D13789" t="s">
        <v>45996</v>
      </c>
      <c r="E13789" t="b">
        <v>0</v>
      </c>
      <c r="F13789" t="s">
        <v>11610</v>
      </c>
      <c r="L13789">
        <v>0</v>
      </c>
      <c r="M13789">
        <v>0</v>
      </c>
      <c r="N13789">
        <v>0</v>
      </c>
    </row>
    <row r="13790" spans="1:15">
      <c r="A13790" t="s">
        <v>25962</v>
      </c>
      <c r="B13790" t="s">
        <v>11644</v>
      </c>
      <c r="C13790" t="s">
        <v>45997</v>
      </c>
      <c r="D13790" t="s">
        <v>45998</v>
      </c>
      <c r="E13790" t="b">
        <v>0</v>
      </c>
      <c r="F13790" t="s">
        <v>11624</v>
      </c>
      <c r="G13790">
        <v>29.822600000000001</v>
      </c>
      <c r="H13790">
        <v>102.205</v>
      </c>
      <c r="I13790" t="s">
        <v>45999</v>
      </c>
      <c r="L13790">
        <v>0</v>
      </c>
      <c r="M13790">
        <v>0</v>
      </c>
      <c r="N13790">
        <v>2</v>
      </c>
      <c r="O13790" t="s">
        <v>11905</v>
      </c>
    </row>
    <row r="13791" spans="1:15">
      <c r="A13791" t="s">
        <v>46000</v>
      </c>
      <c r="B13791" t="s">
        <v>11607</v>
      </c>
      <c r="C13791" t="s">
        <v>41524</v>
      </c>
      <c r="D13791" t="s">
        <v>46001</v>
      </c>
      <c r="E13791" t="b">
        <v>0</v>
      </c>
      <c r="F13791" t="s">
        <v>11624</v>
      </c>
      <c r="G13791">
        <v>10.860469999999999</v>
      </c>
      <c r="H13791">
        <v>14.21246</v>
      </c>
      <c r="I13791" t="s">
        <v>46002</v>
      </c>
      <c r="L13791">
        <v>0</v>
      </c>
      <c r="M13791">
        <v>0</v>
      </c>
      <c r="N13791">
        <v>0</v>
      </c>
      <c r="O13791" t="s">
        <v>11703</v>
      </c>
    </row>
    <row r="13792" spans="1:15">
      <c r="A13792" t="s">
        <v>32929</v>
      </c>
      <c r="B13792" t="s">
        <v>367</v>
      </c>
      <c r="C13792" t="s">
        <v>36500</v>
      </c>
      <c r="D13792" t="s">
        <v>46003</v>
      </c>
      <c r="E13792" t="b">
        <v>0</v>
      </c>
      <c r="F13792" t="s">
        <v>11624</v>
      </c>
      <c r="G13792">
        <v>-9.1950000000000003</v>
      </c>
      <c r="H13792">
        <v>152.73099999999999</v>
      </c>
      <c r="I13792" t="s">
        <v>46004</v>
      </c>
      <c r="L13792">
        <v>0</v>
      </c>
      <c r="M13792">
        <v>0</v>
      </c>
      <c r="N13792">
        <v>5</v>
      </c>
      <c r="O13792" t="s">
        <v>11660</v>
      </c>
    </row>
    <row r="13793" spans="1:15">
      <c r="A13793" t="s">
        <v>46005</v>
      </c>
      <c r="B13793" t="s">
        <v>11644</v>
      </c>
      <c r="C13793" t="s">
        <v>19164</v>
      </c>
      <c r="D13793" t="s">
        <v>46006</v>
      </c>
      <c r="E13793" t="b">
        <v>0</v>
      </c>
      <c r="F13793" t="s">
        <v>11624</v>
      </c>
      <c r="G13793">
        <v>23.085999999999999</v>
      </c>
      <c r="H13793">
        <v>103.464</v>
      </c>
      <c r="I13793" t="s">
        <v>46007</v>
      </c>
      <c r="L13793">
        <v>0</v>
      </c>
      <c r="M13793">
        <v>0</v>
      </c>
      <c r="N13793">
        <v>0</v>
      </c>
      <c r="O13793" t="s">
        <v>11905</v>
      </c>
    </row>
    <row r="13794" spans="1:15">
      <c r="A13794" t="s">
        <v>46008</v>
      </c>
      <c r="B13794" t="s">
        <v>13360</v>
      </c>
      <c r="C13794" t="s">
        <v>13360</v>
      </c>
      <c r="D13794" t="s">
        <v>46009</v>
      </c>
      <c r="E13794" t="b">
        <v>0</v>
      </c>
      <c r="F13794" t="s">
        <v>11624</v>
      </c>
      <c r="L13794">
        <v>0</v>
      </c>
      <c r="M13794">
        <v>0</v>
      </c>
      <c r="N13794">
        <v>0</v>
      </c>
      <c r="O13794" t="s">
        <v>11898</v>
      </c>
    </row>
    <row r="13795" spans="1:15">
      <c r="A13795" t="s">
        <v>46010</v>
      </c>
      <c r="B13795" t="s">
        <v>11607</v>
      </c>
      <c r="C13795" t="s">
        <v>17710</v>
      </c>
      <c r="D13795" t="s">
        <v>46011</v>
      </c>
      <c r="E13795" t="b">
        <v>0</v>
      </c>
      <c r="F13795" t="s">
        <v>11610</v>
      </c>
      <c r="L13795">
        <v>0</v>
      </c>
      <c r="M13795">
        <v>0</v>
      </c>
      <c r="N13795">
        <v>0</v>
      </c>
    </row>
    <row r="13796" spans="1:15">
      <c r="A13796" t="s">
        <v>46012</v>
      </c>
      <c r="B13796" t="s">
        <v>6742</v>
      </c>
      <c r="C13796" t="s">
        <v>8425</v>
      </c>
      <c r="D13796" t="s">
        <v>46013</v>
      </c>
      <c r="E13796" t="b">
        <v>0</v>
      </c>
      <c r="F13796" t="s">
        <v>11610</v>
      </c>
      <c r="L13796">
        <v>0</v>
      </c>
      <c r="M13796">
        <v>0</v>
      </c>
      <c r="N13796">
        <v>0</v>
      </c>
    </row>
    <row r="13797" spans="1:15">
      <c r="A13797" t="s">
        <v>46014</v>
      </c>
      <c r="B13797" t="s">
        <v>6742</v>
      </c>
      <c r="C13797" t="s">
        <v>46015</v>
      </c>
      <c r="D13797" t="s">
        <v>46016</v>
      </c>
      <c r="E13797" t="b">
        <v>0</v>
      </c>
      <c r="F13797" t="s">
        <v>11624</v>
      </c>
      <c r="G13797">
        <v>6.7572400000000004</v>
      </c>
      <c r="H13797">
        <v>11.1843</v>
      </c>
      <c r="I13797" t="s">
        <v>46017</v>
      </c>
      <c r="L13797">
        <v>0</v>
      </c>
      <c r="M13797">
        <v>0</v>
      </c>
      <c r="N13797">
        <v>0</v>
      </c>
      <c r="O13797" t="s">
        <v>11693</v>
      </c>
    </row>
    <row r="13798" spans="1:15">
      <c r="A13798" t="s">
        <v>46015</v>
      </c>
      <c r="B13798" t="s">
        <v>6742</v>
      </c>
      <c r="C13798" t="s">
        <v>43776</v>
      </c>
      <c r="D13798" t="s">
        <v>46018</v>
      </c>
      <c r="E13798" t="b">
        <v>0</v>
      </c>
      <c r="F13798" t="s">
        <v>11622</v>
      </c>
      <c r="L13798">
        <v>0</v>
      </c>
      <c r="M13798">
        <v>2</v>
      </c>
      <c r="N13798">
        <v>0</v>
      </c>
    </row>
    <row r="13799" spans="1:15">
      <c r="A13799" t="s">
        <v>46019</v>
      </c>
      <c r="B13799" t="s">
        <v>6742</v>
      </c>
      <c r="C13799" t="s">
        <v>15734</v>
      </c>
      <c r="D13799" t="s">
        <v>46020</v>
      </c>
      <c r="E13799" t="b">
        <v>0</v>
      </c>
      <c r="F13799" t="s">
        <v>11610</v>
      </c>
      <c r="L13799">
        <v>0</v>
      </c>
      <c r="M13799">
        <v>0</v>
      </c>
      <c r="N13799">
        <v>0</v>
      </c>
    </row>
    <row r="13800" spans="1:15">
      <c r="A13800" t="s">
        <v>46021</v>
      </c>
      <c r="B13800" t="s">
        <v>6742</v>
      </c>
      <c r="C13800" t="s">
        <v>13575</v>
      </c>
      <c r="D13800" t="s">
        <v>46022</v>
      </c>
      <c r="E13800" t="b">
        <v>0</v>
      </c>
      <c r="F13800" t="s">
        <v>11610</v>
      </c>
      <c r="L13800">
        <v>0</v>
      </c>
      <c r="M13800">
        <v>0</v>
      </c>
      <c r="N13800">
        <v>0</v>
      </c>
    </row>
    <row r="13801" spans="1:15">
      <c r="A13801" t="s">
        <v>46023</v>
      </c>
      <c r="B13801" t="s">
        <v>6742</v>
      </c>
      <c r="C13801" t="s">
        <v>18223</v>
      </c>
      <c r="D13801" t="s">
        <v>46024</v>
      </c>
      <c r="E13801" t="b">
        <v>0</v>
      </c>
      <c r="F13801" t="s">
        <v>11610</v>
      </c>
      <c r="L13801">
        <v>0</v>
      </c>
      <c r="M13801">
        <v>0</v>
      </c>
      <c r="N13801">
        <v>0</v>
      </c>
    </row>
    <row r="13802" spans="1:15">
      <c r="A13802" t="s">
        <v>46025</v>
      </c>
      <c r="B13802" t="s">
        <v>6742</v>
      </c>
      <c r="C13802" t="s">
        <v>15734</v>
      </c>
      <c r="D13802" t="s">
        <v>46026</v>
      </c>
      <c r="E13802" t="b">
        <v>0</v>
      </c>
      <c r="F13802" t="s">
        <v>11610</v>
      </c>
      <c r="L13802">
        <v>0</v>
      </c>
      <c r="M13802">
        <v>0</v>
      </c>
      <c r="N13802">
        <v>0</v>
      </c>
    </row>
    <row r="13803" spans="1:15">
      <c r="A13803" t="s">
        <v>46027</v>
      </c>
      <c r="B13803" t="s">
        <v>6742</v>
      </c>
      <c r="C13803" t="s">
        <v>18223</v>
      </c>
      <c r="D13803" t="s">
        <v>46028</v>
      </c>
      <c r="E13803" t="b">
        <v>0</v>
      </c>
      <c r="F13803" t="s">
        <v>11610</v>
      </c>
      <c r="L13803">
        <v>0</v>
      </c>
      <c r="M13803">
        <v>0</v>
      </c>
      <c r="N13803">
        <v>0</v>
      </c>
    </row>
    <row r="13804" spans="1:15">
      <c r="A13804" t="s">
        <v>46029</v>
      </c>
      <c r="B13804" t="s">
        <v>11729</v>
      </c>
      <c r="C13804" t="s">
        <v>17941</v>
      </c>
      <c r="D13804" t="s">
        <v>46030</v>
      </c>
      <c r="E13804" t="b">
        <v>0</v>
      </c>
      <c r="F13804" t="s">
        <v>11624</v>
      </c>
      <c r="G13804">
        <v>0.73980000000000001</v>
      </c>
      <c r="H13804">
        <v>29.665600000000001</v>
      </c>
      <c r="I13804" t="s">
        <v>46031</v>
      </c>
      <c r="L13804">
        <v>0</v>
      </c>
      <c r="M13804">
        <v>0</v>
      </c>
      <c r="N13804">
        <v>0</v>
      </c>
      <c r="O13804" t="s">
        <v>13208</v>
      </c>
    </row>
    <row r="13805" spans="1:15">
      <c r="A13805" t="s">
        <v>46032</v>
      </c>
      <c r="B13805" t="s">
        <v>6742</v>
      </c>
      <c r="C13805" t="s">
        <v>38676</v>
      </c>
      <c r="D13805" t="s">
        <v>46033</v>
      </c>
      <c r="E13805" t="b">
        <v>0</v>
      </c>
      <c r="F13805" t="s">
        <v>11610</v>
      </c>
      <c r="L13805">
        <v>0</v>
      </c>
      <c r="M13805">
        <v>0</v>
      </c>
      <c r="N13805">
        <v>0</v>
      </c>
    </row>
    <row r="13806" spans="1:15">
      <c r="A13806" t="s">
        <v>30436</v>
      </c>
      <c r="B13806" t="s">
        <v>6742</v>
      </c>
      <c r="C13806" t="s">
        <v>41891</v>
      </c>
      <c r="D13806" t="s">
        <v>46034</v>
      </c>
      <c r="E13806" t="b">
        <v>0</v>
      </c>
      <c r="F13806" t="s">
        <v>11622</v>
      </c>
      <c r="L13806">
        <v>0</v>
      </c>
      <c r="M13806">
        <v>3</v>
      </c>
      <c r="N13806">
        <v>3</v>
      </c>
    </row>
    <row r="13807" spans="1:15">
      <c r="A13807" t="s">
        <v>45839</v>
      </c>
      <c r="B13807" t="s">
        <v>11607</v>
      </c>
      <c r="C13807" t="s">
        <v>13811</v>
      </c>
      <c r="D13807" t="s">
        <v>46035</v>
      </c>
      <c r="E13807" t="b">
        <v>0</v>
      </c>
      <c r="F13807" t="s">
        <v>11624</v>
      </c>
      <c r="G13807">
        <v>9.4720499999999994</v>
      </c>
      <c r="H13807">
        <v>8.9652200000000004</v>
      </c>
      <c r="I13807" t="s">
        <v>46036</v>
      </c>
      <c r="L13807">
        <v>0</v>
      </c>
      <c r="M13807">
        <v>0</v>
      </c>
      <c r="N13807">
        <v>3</v>
      </c>
      <c r="O13807" t="s">
        <v>11693</v>
      </c>
    </row>
    <row r="13808" spans="1:15">
      <c r="A13808" t="s">
        <v>46037</v>
      </c>
      <c r="B13808" t="s">
        <v>6742</v>
      </c>
      <c r="C13808" t="s">
        <v>23324</v>
      </c>
      <c r="D13808" t="s">
        <v>46038</v>
      </c>
      <c r="E13808" t="b">
        <v>0</v>
      </c>
      <c r="F13808" t="s">
        <v>11624</v>
      </c>
      <c r="G13808">
        <v>-12.3164</v>
      </c>
      <c r="H13808">
        <v>43.741</v>
      </c>
      <c r="I13808" t="s">
        <v>46039</v>
      </c>
      <c r="L13808">
        <v>0</v>
      </c>
      <c r="M13808">
        <v>0</v>
      </c>
      <c r="N13808">
        <v>0</v>
      </c>
      <c r="O13808" t="s">
        <v>46040</v>
      </c>
    </row>
    <row r="13809" spans="1:15">
      <c r="A13809" t="s">
        <v>46041</v>
      </c>
      <c r="B13809" t="s">
        <v>367</v>
      </c>
      <c r="C13809" t="s">
        <v>24265</v>
      </c>
      <c r="D13809" t="s">
        <v>46042</v>
      </c>
      <c r="E13809" t="b">
        <v>0</v>
      </c>
      <c r="F13809" t="s">
        <v>11610</v>
      </c>
      <c r="L13809">
        <v>0</v>
      </c>
      <c r="M13809">
        <v>0</v>
      </c>
      <c r="N13809">
        <v>0</v>
      </c>
    </row>
    <row r="13810" spans="1:15">
      <c r="A13810" t="s">
        <v>46043</v>
      </c>
      <c r="B13810" t="s">
        <v>6742</v>
      </c>
      <c r="C13810" t="s">
        <v>38055</v>
      </c>
      <c r="D13810" t="s">
        <v>46044</v>
      </c>
      <c r="E13810" t="b">
        <v>0</v>
      </c>
      <c r="F13810" t="s">
        <v>11610</v>
      </c>
      <c r="L13810">
        <v>0</v>
      </c>
      <c r="M13810">
        <v>0</v>
      </c>
      <c r="N13810">
        <v>0</v>
      </c>
    </row>
    <row r="13811" spans="1:15">
      <c r="A13811" t="s">
        <v>46045</v>
      </c>
      <c r="B13811" t="s">
        <v>6742</v>
      </c>
      <c r="C13811" t="s">
        <v>12787</v>
      </c>
      <c r="D13811" t="s">
        <v>46046</v>
      </c>
      <c r="E13811" t="b">
        <v>0</v>
      </c>
      <c r="F13811" t="s">
        <v>11610</v>
      </c>
      <c r="L13811">
        <v>0</v>
      </c>
      <c r="M13811">
        <v>0</v>
      </c>
      <c r="N13811">
        <v>0</v>
      </c>
    </row>
    <row r="13812" spans="1:15">
      <c r="A13812" t="s">
        <v>46047</v>
      </c>
      <c r="B13812" t="s">
        <v>6742</v>
      </c>
      <c r="C13812" t="s">
        <v>12787</v>
      </c>
      <c r="D13812" t="s">
        <v>46048</v>
      </c>
      <c r="E13812" t="b">
        <v>0</v>
      </c>
      <c r="F13812" t="s">
        <v>11610</v>
      </c>
      <c r="L13812">
        <v>0</v>
      </c>
      <c r="M13812">
        <v>0</v>
      </c>
      <c r="N13812">
        <v>0</v>
      </c>
    </row>
    <row r="13813" spans="1:15">
      <c r="A13813" t="s">
        <v>36673</v>
      </c>
      <c r="B13813" t="s">
        <v>6742</v>
      </c>
      <c r="C13813" t="s">
        <v>32288</v>
      </c>
      <c r="D13813" t="s">
        <v>46049</v>
      </c>
      <c r="E13813" t="b">
        <v>0</v>
      </c>
      <c r="F13813" t="s">
        <v>11624</v>
      </c>
      <c r="G13813">
        <v>-12.582100000000001</v>
      </c>
      <c r="H13813">
        <v>40.460099999999997</v>
      </c>
      <c r="I13813" t="s">
        <v>46050</v>
      </c>
      <c r="L13813">
        <v>0</v>
      </c>
      <c r="M13813">
        <v>0</v>
      </c>
      <c r="N13813">
        <v>4</v>
      </c>
      <c r="O13813" t="s">
        <v>17188</v>
      </c>
    </row>
    <row r="13814" spans="1:15">
      <c r="A13814" t="s">
        <v>46051</v>
      </c>
      <c r="B13814" t="s">
        <v>6742</v>
      </c>
      <c r="C13814" t="s">
        <v>20440</v>
      </c>
      <c r="D13814" t="s">
        <v>46052</v>
      </c>
      <c r="E13814" t="b">
        <v>0</v>
      </c>
      <c r="F13814" t="s">
        <v>11610</v>
      </c>
      <c r="L13814">
        <v>0</v>
      </c>
      <c r="M13814">
        <v>0</v>
      </c>
      <c r="N13814">
        <v>0</v>
      </c>
    </row>
    <row r="13815" spans="1:15">
      <c r="A13815" t="s">
        <v>46053</v>
      </c>
      <c r="B13815" t="s">
        <v>6742</v>
      </c>
      <c r="C13815" t="s">
        <v>1780</v>
      </c>
      <c r="D13815" t="s">
        <v>46054</v>
      </c>
      <c r="E13815" t="b">
        <v>0</v>
      </c>
      <c r="F13815" t="s">
        <v>11610</v>
      </c>
      <c r="L13815">
        <v>0</v>
      </c>
      <c r="M13815">
        <v>0</v>
      </c>
      <c r="N13815">
        <v>0</v>
      </c>
    </row>
    <row r="13816" spans="1:15">
      <c r="A13816" t="s">
        <v>46055</v>
      </c>
      <c r="B13816" t="s">
        <v>13276</v>
      </c>
      <c r="C13816" t="s">
        <v>46056</v>
      </c>
      <c r="D13816" t="s">
        <v>46057</v>
      </c>
      <c r="E13816" t="b">
        <v>0</v>
      </c>
      <c r="F13816" t="s">
        <v>11624</v>
      </c>
      <c r="G13816">
        <v>7.8753299999999999</v>
      </c>
      <c r="H13816">
        <v>-5.9457700000000004</v>
      </c>
      <c r="I13816" t="s">
        <v>46058</v>
      </c>
      <c r="L13816">
        <v>0</v>
      </c>
      <c r="M13816">
        <v>0</v>
      </c>
      <c r="N13816">
        <v>0</v>
      </c>
      <c r="O13816" t="s">
        <v>11735</v>
      </c>
    </row>
    <row r="13817" spans="1:15">
      <c r="A13817" t="s">
        <v>46059</v>
      </c>
      <c r="B13817" t="s">
        <v>367</v>
      </c>
      <c r="C13817" t="s">
        <v>20332</v>
      </c>
      <c r="D13817" t="s">
        <v>46060</v>
      </c>
      <c r="E13817" t="b">
        <v>0</v>
      </c>
      <c r="F13817" t="s">
        <v>11624</v>
      </c>
      <c r="G13817">
        <v>-10.027100000000001</v>
      </c>
      <c r="H13817">
        <v>151.066</v>
      </c>
      <c r="I13817" t="s">
        <v>46061</v>
      </c>
      <c r="L13817">
        <v>0</v>
      </c>
      <c r="M13817">
        <v>0</v>
      </c>
      <c r="N13817">
        <v>0</v>
      </c>
      <c r="O13817" t="s">
        <v>11660</v>
      </c>
    </row>
    <row r="13818" spans="1:15">
      <c r="A13818" t="s">
        <v>46062</v>
      </c>
      <c r="B13818" t="s">
        <v>6742</v>
      </c>
      <c r="C13818" t="s">
        <v>32319</v>
      </c>
      <c r="D13818" t="s">
        <v>46063</v>
      </c>
      <c r="E13818" t="b">
        <v>0</v>
      </c>
      <c r="F13818" t="s">
        <v>11610</v>
      </c>
      <c r="L13818">
        <v>0</v>
      </c>
      <c r="M13818">
        <v>0</v>
      </c>
      <c r="N13818">
        <v>0</v>
      </c>
    </row>
    <row r="13819" spans="1:15">
      <c r="A13819" t="s">
        <v>46064</v>
      </c>
      <c r="B13819" t="s">
        <v>6742</v>
      </c>
      <c r="C13819" t="s">
        <v>46065</v>
      </c>
      <c r="D13819" t="s">
        <v>46066</v>
      </c>
      <c r="E13819" t="b">
        <v>0</v>
      </c>
      <c r="F13819" t="s">
        <v>11624</v>
      </c>
      <c r="G13819">
        <v>-11.330399999999999</v>
      </c>
      <c r="H13819">
        <v>34.895899999999997</v>
      </c>
      <c r="I13819" t="s">
        <v>46067</v>
      </c>
      <c r="L13819">
        <v>0</v>
      </c>
      <c r="M13819">
        <v>0</v>
      </c>
      <c r="N13819">
        <v>0</v>
      </c>
      <c r="O13819" t="s">
        <v>27909</v>
      </c>
    </row>
    <row r="13820" spans="1:15">
      <c r="A13820" t="s">
        <v>46068</v>
      </c>
      <c r="B13820" t="s">
        <v>6742</v>
      </c>
      <c r="C13820" t="s">
        <v>46069</v>
      </c>
      <c r="D13820" t="s">
        <v>46070</v>
      </c>
      <c r="E13820" t="b">
        <v>0</v>
      </c>
      <c r="F13820" t="s">
        <v>11624</v>
      </c>
      <c r="G13820">
        <v>-9.7563899999999997</v>
      </c>
      <c r="H13820">
        <v>38.876199999999997</v>
      </c>
      <c r="I13820" t="s">
        <v>46071</v>
      </c>
      <c r="L13820">
        <v>0</v>
      </c>
      <c r="M13820">
        <v>0</v>
      </c>
      <c r="N13820">
        <v>0</v>
      </c>
      <c r="O13820" t="s">
        <v>11635</v>
      </c>
    </row>
    <row r="13821" spans="1:15">
      <c r="A13821" t="s">
        <v>46072</v>
      </c>
      <c r="B13821" t="s">
        <v>6742</v>
      </c>
      <c r="C13821" t="s">
        <v>46073</v>
      </c>
      <c r="D13821" t="s">
        <v>46074</v>
      </c>
      <c r="E13821" t="b">
        <v>0</v>
      </c>
      <c r="F13821" t="s">
        <v>11610</v>
      </c>
      <c r="L13821">
        <v>0</v>
      </c>
      <c r="M13821">
        <v>0</v>
      </c>
      <c r="N13821">
        <v>0</v>
      </c>
    </row>
    <row r="13822" spans="1:15">
      <c r="A13822" t="s">
        <v>46075</v>
      </c>
      <c r="B13822" t="s">
        <v>367</v>
      </c>
      <c r="C13822" t="s">
        <v>43366</v>
      </c>
      <c r="D13822" t="s">
        <v>46076</v>
      </c>
      <c r="E13822" t="b">
        <v>0</v>
      </c>
      <c r="F13822" t="s">
        <v>11610</v>
      </c>
      <c r="L13822">
        <v>0</v>
      </c>
      <c r="M13822">
        <v>0</v>
      </c>
      <c r="N13822">
        <v>0</v>
      </c>
    </row>
    <row r="13823" spans="1:15">
      <c r="A13823" t="s">
        <v>46077</v>
      </c>
      <c r="B13823" t="s">
        <v>6742</v>
      </c>
      <c r="C13823" t="s">
        <v>46078</v>
      </c>
      <c r="D13823" t="s">
        <v>46079</v>
      </c>
      <c r="E13823" t="b">
        <v>0</v>
      </c>
      <c r="F13823" t="s">
        <v>11624</v>
      </c>
      <c r="L13823">
        <v>0</v>
      </c>
      <c r="M13823">
        <v>0</v>
      </c>
      <c r="N13823">
        <v>0</v>
      </c>
      <c r="O13823" t="s">
        <v>16915</v>
      </c>
    </row>
    <row r="13824" spans="1:15">
      <c r="A13824" t="s">
        <v>46080</v>
      </c>
      <c r="B13824" t="s">
        <v>6742</v>
      </c>
      <c r="C13824" t="s">
        <v>39782</v>
      </c>
      <c r="D13824" t="s">
        <v>46081</v>
      </c>
      <c r="E13824" t="b">
        <v>0</v>
      </c>
      <c r="F13824" t="s">
        <v>11610</v>
      </c>
      <c r="L13824">
        <v>0</v>
      </c>
      <c r="M13824">
        <v>0</v>
      </c>
      <c r="N13824">
        <v>0</v>
      </c>
    </row>
    <row r="13825" spans="1:15">
      <c r="A13825" t="s">
        <v>20372</v>
      </c>
      <c r="B13825" t="s">
        <v>6742</v>
      </c>
      <c r="C13825" t="s">
        <v>43724</v>
      </c>
      <c r="D13825" t="s">
        <v>46082</v>
      </c>
      <c r="E13825" t="b">
        <v>0</v>
      </c>
      <c r="F13825" t="s">
        <v>11622</v>
      </c>
      <c r="L13825">
        <v>2</v>
      </c>
      <c r="M13825">
        <v>7</v>
      </c>
      <c r="N13825">
        <v>13</v>
      </c>
    </row>
    <row r="13826" spans="1:15">
      <c r="A13826" t="s">
        <v>46083</v>
      </c>
      <c r="B13826" t="s">
        <v>6742</v>
      </c>
      <c r="C13826" t="s">
        <v>31686</v>
      </c>
      <c r="D13826" t="s">
        <v>46084</v>
      </c>
      <c r="E13826" t="b">
        <v>0</v>
      </c>
      <c r="F13826" t="s">
        <v>11610</v>
      </c>
      <c r="L13826">
        <v>0</v>
      </c>
      <c r="M13826">
        <v>0</v>
      </c>
      <c r="N13826">
        <v>0</v>
      </c>
    </row>
    <row r="13827" spans="1:15">
      <c r="A13827" t="s">
        <v>45981</v>
      </c>
      <c r="B13827" t="s">
        <v>6742</v>
      </c>
      <c r="C13827" t="s">
        <v>27122</v>
      </c>
      <c r="D13827" t="s">
        <v>46085</v>
      </c>
      <c r="E13827" t="b">
        <v>0</v>
      </c>
      <c r="F13827" t="s">
        <v>11624</v>
      </c>
      <c r="G13827">
        <v>-0.11967999999999999</v>
      </c>
      <c r="H13827">
        <v>37.593899999999998</v>
      </c>
      <c r="I13827" t="s">
        <v>46086</v>
      </c>
      <c r="L13827">
        <v>0</v>
      </c>
      <c r="M13827">
        <v>0</v>
      </c>
      <c r="N13827">
        <v>2</v>
      </c>
      <c r="O13827" t="s">
        <v>22848</v>
      </c>
    </row>
    <row r="13828" spans="1:15">
      <c r="A13828" t="s">
        <v>46087</v>
      </c>
      <c r="B13828" t="s">
        <v>6742</v>
      </c>
      <c r="C13828" t="s">
        <v>45981</v>
      </c>
      <c r="D13828" t="s">
        <v>46088</v>
      </c>
      <c r="E13828" t="b">
        <v>0</v>
      </c>
      <c r="F13828" t="s">
        <v>11610</v>
      </c>
      <c r="L13828">
        <v>0</v>
      </c>
      <c r="M13828">
        <v>0</v>
      </c>
      <c r="N13828">
        <v>0</v>
      </c>
    </row>
    <row r="13829" spans="1:15">
      <c r="A13829" t="s">
        <v>46089</v>
      </c>
      <c r="B13829" t="s">
        <v>6742</v>
      </c>
      <c r="C13829" t="s">
        <v>13575</v>
      </c>
      <c r="D13829" t="s">
        <v>46090</v>
      </c>
      <c r="E13829" t="b">
        <v>0</v>
      </c>
      <c r="F13829" t="s">
        <v>11610</v>
      </c>
      <c r="L13829">
        <v>0</v>
      </c>
      <c r="M13829">
        <v>0</v>
      </c>
      <c r="N13829">
        <v>0</v>
      </c>
    </row>
    <row r="13830" spans="1:15">
      <c r="A13830" t="s">
        <v>46091</v>
      </c>
      <c r="B13830" t="s">
        <v>11637</v>
      </c>
      <c r="C13830" t="s">
        <v>13661</v>
      </c>
      <c r="D13830" t="s">
        <v>46092</v>
      </c>
      <c r="E13830" t="b">
        <v>0</v>
      </c>
      <c r="F13830" t="s">
        <v>11624</v>
      </c>
      <c r="I13830" t="s">
        <v>46093</v>
      </c>
      <c r="L13830">
        <v>0</v>
      </c>
      <c r="M13830">
        <v>0</v>
      </c>
      <c r="N13830">
        <v>0</v>
      </c>
      <c r="O13830" t="s">
        <v>13664</v>
      </c>
    </row>
    <row r="13831" spans="1:15">
      <c r="A13831" t="s">
        <v>12641</v>
      </c>
      <c r="B13831" t="s">
        <v>6742</v>
      </c>
      <c r="C13831" t="s">
        <v>15557</v>
      </c>
      <c r="D13831" t="s">
        <v>46094</v>
      </c>
      <c r="E13831" t="b">
        <v>0</v>
      </c>
      <c r="F13831" t="s">
        <v>11624</v>
      </c>
      <c r="G13831">
        <v>-1.4874099999999999</v>
      </c>
      <c r="H13831">
        <v>9.5024700000000006</v>
      </c>
      <c r="I13831" t="s">
        <v>46095</v>
      </c>
      <c r="L13831">
        <v>0</v>
      </c>
      <c r="M13831">
        <v>0</v>
      </c>
      <c r="N13831">
        <v>6</v>
      </c>
      <c r="O13831" t="s">
        <v>16915</v>
      </c>
    </row>
    <row r="13832" spans="1:15">
      <c r="A13832" t="s">
        <v>46096</v>
      </c>
      <c r="B13832" t="s">
        <v>11644</v>
      </c>
      <c r="C13832" t="s">
        <v>28687</v>
      </c>
      <c r="D13832" t="s">
        <v>46097</v>
      </c>
      <c r="E13832" t="b">
        <v>0</v>
      </c>
      <c r="F13832" t="s">
        <v>11610</v>
      </c>
      <c r="L13832">
        <v>0</v>
      </c>
      <c r="M13832">
        <v>0</v>
      </c>
      <c r="N13832">
        <v>0</v>
      </c>
    </row>
    <row r="13833" spans="1:15">
      <c r="A13833" t="s">
        <v>46098</v>
      </c>
      <c r="B13833" t="s">
        <v>12438</v>
      </c>
      <c r="C13833" t="s">
        <v>16890</v>
      </c>
      <c r="D13833" t="s">
        <v>46099</v>
      </c>
      <c r="E13833" t="b">
        <v>0</v>
      </c>
      <c r="F13833" t="s">
        <v>11610</v>
      </c>
      <c r="L13833">
        <v>0</v>
      </c>
      <c r="M13833">
        <v>0</v>
      </c>
      <c r="N13833">
        <v>0</v>
      </c>
    </row>
    <row r="13834" spans="1:15">
      <c r="A13834" t="s">
        <v>46100</v>
      </c>
      <c r="B13834" t="s">
        <v>11637</v>
      </c>
      <c r="C13834" t="s">
        <v>46101</v>
      </c>
      <c r="D13834" t="s">
        <v>46102</v>
      </c>
      <c r="E13834" t="b">
        <v>0</v>
      </c>
      <c r="F13834" t="s">
        <v>11610</v>
      </c>
      <c r="I13834" t="s">
        <v>46103</v>
      </c>
      <c r="L13834">
        <v>0</v>
      </c>
      <c r="M13834">
        <v>0</v>
      </c>
      <c r="N13834">
        <v>0</v>
      </c>
    </row>
    <row r="13835" spans="1:15">
      <c r="A13835" t="s">
        <v>46104</v>
      </c>
      <c r="B13835" t="s">
        <v>11644</v>
      </c>
      <c r="C13835" t="s">
        <v>40030</v>
      </c>
      <c r="D13835" t="s">
        <v>46105</v>
      </c>
      <c r="E13835" t="b">
        <v>0</v>
      </c>
      <c r="F13835" t="s">
        <v>11624</v>
      </c>
      <c r="G13835">
        <v>25.477900000000002</v>
      </c>
      <c r="H13835">
        <v>93.71</v>
      </c>
      <c r="I13835" t="s">
        <v>46106</v>
      </c>
      <c r="L13835">
        <v>0</v>
      </c>
      <c r="M13835">
        <v>0</v>
      </c>
      <c r="N13835">
        <v>0</v>
      </c>
      <c r="O13835" t="s">
        <v>11630</v>
      </c>
    </row>
    <row r="13836" spans="1:15">
      <c r="A13836" t="s">
        <v>46107</v>
      </c>
      <c r="B13836" t="s">
        <v>11644</v>
      </c>
      <c r="C13836" t="s">
        <v>39006</v>
      </c>
      <c r="D13836" t="s">
        <v>46108</v>
      </c>
      <c r="E13836" t="b">
        <v>0</v>
      </c>
      <c r="F13836" t="s">
        <v>11610</v>
      </c>
      <c r="L13836">
        <v>0</v>
      </c>
      <c r="M13836">
        <v>0</v>
      </c>
      <c r="N13836">
        <v>0</v>
      </c>
    </row>
    <row r="13837" spans="1:15">
      <c r="A13837" t="s">
        <v>16606</v>
      </c>
      <c r="B13837" t="s">
        <v>11644</v>
      </c>
      <c r="C13837" t="s">
        <v>16701</v>
      </c>
      <c r="D13837" t="s">
        <v>3114</v>
      </c>
      <c r="E13837" t="b">
        <v>0</v>
      </c>
      <c r="F13837" t="s">
        <v>11624</v>
      </c>
      <c r="G13837">
        <v>28.431524</v>
      </c>
      <c r="H13837">
        <v>93.248908</v>
      </c>
      <c r="I13837" t="s">
        <v>46109</v>
      </c>
      <c r="L13837">
        <v>0</v>
      </c>
      <c r="M13837">
        <v>0</v>
      </c>
      <c r="N13837">
        <v>1</v>
      </c>
      <c r="O13837" t="s">
        <v>11630</v>
      </c>
    </row>
    <row r="13838" spans="1:15">
      <c r="A13838" t="s">
        <v>46110</v>
      </c>
      <c r="B13838" t="s">
        <v>11729</v>
      </c>
      <c r="C13838" t="s">
        <v>16669</v>
      </c>
      <c r="D13838" t="s">
        <v>46111</v>
      </c>
      <c r="E13838" t="b">
        <v>0</v>
      </c>
      <c r="F13838" t="s">
        <v>11610</v>
      </c>
      <c r="L13838">
        <v>0</v>
      </c>
      <c r="M13838">
        <v>0</v>
      </c>
      <c r="N13838">
        <v>0</v>
      </c>
    </row>
    <row r="13839" spans="1:15">
      <c r="A13839" t="s">
        <v>46112</v>
      </c>
      <c r="B13839" t="s">
        <v>11644</v>
      </c>
      <c r="C13839" t="s">
        <v>46113</v>
      </c>
      <c r="D13839" t="s">
        <v>46114</v>
      </c>
      <c r="E13839" t="b">
        <v>0</v>
      </c>
      <c r="F13839" t="s">
        <v>11624</v>
      </c>
      <c r="G13839">
        <v>27.692599999999999</v>
      </c>
      <c r="H13839">
        <v>87.340900000000005</v>
      </c>
      <c r="I13839" t="s">
        <v>46115</v>
      </c>
      <c r="L13839">
        <v>0</v>
      </c>
      <c r="M13839">
        <v>0</v>
      </c>
      <c r="N13839">
        <v>0</v>
      </c>
      <c r="O13839" t="s">
        <v>15007</v>
      </c>
    </row>
    <row r="13840" spans="1:15">
      <c r="A13840" t="s">
        <v>46116</v>
      </c>
      <c r="B13840" t="s">
        <v>6742</v>
      </c>
      <c r="C13840" t="s">
        <v>16634</v>
      </c>
      <c r="D13840" t="s">
        <v>46117</v>
      </c>
      <c r="E13840" t="b">
        <v>0</v>
      </c>
      <c r="F13840" t="s">
        <v>11610</v>
      </c>
      <c r="L13840">
        <v>0</v>
      </c>
      <c r="M13840">
        <v>0</v>
      </c>
      <c r="N13840">
        <v>0</v>
      </c>
    </row>
    <row r="13841" spans="1:15">
      <c r="A13841" t="s">
        <v>46118</v>
      </c>
      <c r="B13841" t="s">
        <v>6742</v>
      </c>
      <c r="C13841" t="s">
        <v>25448</v>
      </c>
      <c r="D13841" t="s">
        <v>46119</v>
      </c>
      <c r="E13841" t="b">
        <v>0</v>
      </c>
      <c r="F13841" t="s">
        <v>11610</v>
      </c>
      <c r="L13841">
        <v>0</v>
      </c>
      <c r="M13841">
        <v>0</v>
      </c>
      <c r="N13841">
        <v>0</v>
      </c>
    </row>
    <row r="13842" spans="1:15">
      <c r="A13842" t="s">
        <v>37266</v>
      </c>
      <c r="B13842" t="s">
        <v>16042</v>
      </c>
      <c r="C13842" t="s">
        <v>23720</v>
      </c>
      <c r="D13842" t="s">
        <v>46120</v>
      </c>
      <c r="E13842" t="b">
        <v>0</v>
      </c>
      <c r="F13842" t="s">
        <v>11624</v>
      </c>
      <c r="G13842">
        <v>-6.4602199999999996</v>
      </c>
      <c r="H13842">
        <v>155.63200000000001</v>
      </c>
      <c r="I13842" t="s">
        <v>46121</v>
      </c>
      <c r="L13842">
        <v>0</v>
      </c>
      <c r="M13842">
        <v>0</v>
      </c>
      <c r="N13842">
        <v>4</v>
      </c>
      <c r="O13842" t="s">
        <v>11660</v>
      </c>
    </row>
    <row r="13843" spans="1:15">
      <c r="A13843" t="s">
        <v>46122</v>
      </c>
      <c r="B13843" t="s">
        <v>6742</v>
      </c>
      <c r="C13843" t="s">
        <v>19753</v>
      </c>
      <c r="D13843" t="s">
        <v>46123</v>
      </c>
      <c r="E13843" t="b">
        <v>0</v>
      </c>
      <c r="F13843" t="s">
        <v>11610</v>
      </c>
      <c r="L13843">
        <v>0</v>
      </c>
      <c r="M13843">
        <v>0</v>
      </c>
      <c r="N13843">
        <v>0</v>
      </c>
    </row>
    <row r="13844" spans="1:15">
      <c r="A13844" t="s">
        <v>18563</v>
      </c>
      <c r="B13844" t="s">
        <v>11729</v>
      </c>
      <c r="C13844" t="s">
        <v>18053</v>
      </c>
      <c r="D13844" t="s">
        <v>46124</v>
      </c>
      <c r="E13844" t="b">
        <v>0</v>
      </c>
      <c r="F13844" t="s">
        <v>11624</v>
      </c>
      <c r="G13844">
        <v>12.786799999999999</v>
      </c>
      <c r="H13844">
        <v>18.0777</v>
      </c>
      <c r="I13844" t="s">
        <v>46125</v>
      </c>
      <c r="L13844">
        <v>0</v>
      </c>
      <c r="M13844">
        <v>0</v>
      </c>
      <c r="N13844">
        <v>3</v>
      </c>
      <c r="O13844" t="s">
        <v>13421</v>
      </c>
    </row>
    <row r="13845" spans="1:15">
      <c r="A13845" t="s">
        <v>46126</v>
      </c>
      <c r="B13845" t="s">
        <v>367</v>
      </c>
      <c r="C13845" t="s">
        <v>27319</v>
      </c>
      <c r="D13845" t="s">
        <v>46127</v>
      </c>
      <c r="E13845" t="b">
        <v>0</v>
      </c>
      <c r="F13845" t="s">
        <v>11610</v>
      </c>
      <c r="L13845">
        <v>0</v>
      </c>
      <c r="M13845">
        <v>0</v>
      </c>
      <c r="N13845">
        <v>0</v>
      </c>
    </row>
    <row r="13846" spans="1:15">
      <c r="A13846" t="s">
        <v>46128</v>
      </c>
      <c r="B13846" t="s">
        <v>367</v>
      </c>
      <c r="C13846" t="s">
        <v>13408</v>
      </c>
      <c r="D13846" t="s">
        <v>46129</v>
      </c>
      <c r="E13846" t="b">
        <v>0</v>
      </c>
      <c r="F13846" t="s">
        <v>11610</v>
      </c>
      <c r="L13846">
        <v>0</v>
      </c>
      <c r="M13846">
        <v>0</v>
      </c>
      <c r="N13846">
        <v>0</v>
      </c>
    </row>
    <row r="13847" spans="1:15">
      <c r="A13847" t="s">
        <v>46130</v>
      </c>
      <c r="B13847" t="s">
        <v>11615</v>
      </c>
      <c r="C13847" t="s">
        <v>44166</v>
      </c>
      <c r="D13847" t="s">
        <v>46131</v>
      </c>
      <c r="E13847" t="b">
        <v>0</v>
      </c>
      <c r="F13847" t="s">
        <v>11624</v>
      </c>
      <c r="G13847">
        <v>-6.4270899999999997</v>
      </c>
      <c r="H13847">
        <v>146.96600000000001</v>
      </c>
      <c r="I13847" t="s">
        <v>46132</v>
      </c>
      <c r="L13847">
        <v>0</v>
      </c>
      <c r="M13847">
        <v>0</v>
      </c>
      <c r="N13847">
        <v>0</v>
      </c>
      <c r="O13847" t="s">
        <v>11660</v>
      </c>
    </row>
    <row r="13848" spans="1:15">
      <c r="A13848" t="s">
        <v>44166</v>
      </c>
      <c r="B13848" t="s">
        <v>11615</v>
      </c>
      <c r="C13848" t="s">
        <v>36559</v>
      </c>
      <c r="D13848" t="s">
        <v>46133</v>
      </c>
      <c r="E13848" t="b">
        <v>0</v>
      </c>
      <c r="F13848" t="s">
        <v>11622</v>
      </c>
      <c r="L13848">
        <v>0</v>
      </c>
      <c r="M13848">
        <v>2</v>
      </c>
      <c r="N13848">
        <v>3</v>
      </c>
    </row>
    <row r="13849" spans="1:15">
      <c r="A13849" t="s">
        <v>18053</v>
      </c>
      <c r="B13849" t="s">
        <v>11729</v>
      </c>
      <c r="C13849" t="s">
        <v>17602</v>
      </c>
      <c r="D13849" t="s">
        <v>46134</v>
      </c>
      <c r="E13849" t="b">
        <v>0</v>
      </c>
      <c r="F13849" t="s">
        <v>11622</v>
      </c>
      <c r="L13849">
        <v>0</v>
      </c>
      <c r="M13849">
        <v>2</v>
      </c>
      <c r="N13849">
        <v>7</v>
      </c>
    </row>
    <row r="13850" spans="1:15">
      <c r="A13850" t="s">
        <v>32617</v>
      </c>
      <c r="B13850" t="s">
        <v>367</v>
      </c>
      <c r="C13850" t="s">
        <v>46135</v>
      </c>
      <c r="D13850" t="s">
        <v>46136</v>
      </c>
      <c r="E13850" t="b">
        <v>0</v>
      </c>
      <c r="F13850" t="s">
        <v>11622</v>
      </c>
      <c r="L13850">
        <v>0</v>
      </c>
      <c r="M13850">
        <v>2</v>
      </c>
      <c r="N13850">
        <v>0</v>
      </c>
    </row>
    <row r="13851" spans="1:15">
      <c r="A13851" t="s">
        <v>46137</v>
      </c>
      <c r="B13851" t="s">
        <v>11834</v>
      </c>
      <c r="C13851" t="s">
        <v>11834</v>
      </c>
      <c r="D13851" t="s">
        <v>46138</v>
      </c>
      <c r="E13851" t="b">
        <v>0</v>
      </c>
      <c r="F13851" t="s">
        <v>11624</v>
      </c>
      <c r="G13851">
        <v>-3.5282800000000001</v>
      </c>
      <c r="H13851">
        <v>142.32900000000001</v>
      </c>
      <c r="I13851" t="s">
        <v>46139</v>
      </c>
      <c r="L13851">
        <v>0</v>
      </c>
      <c r="M13851">
        <v>0</v>
      </c>
      <c r="N13851">
        <v>0</v>
      </c>
      <c r="O13851" t="s">
        <v>11660</v>
      </c>
    </row>
    <row r="13852" spans="1:15">
      <c r="A13852" t="s">
        <v>46140</v>
      </c>
      <c r="B13852" t="s">
        <v>6742</v>
      </c>
      <c r="C13852" t="s">
        <v>27724</v>
      </c>
      <c r="D13852" t="s">
        <v>46141</v>
      </c>
      <c r="E13852" t="b">
        <v>0</v>
      </c>
      <c r="F13852" t="s">
        <v>11624</v>
      </c>
      <c r="G13852">
        <v>10.857778</v>
      </c>
      <c r="H13852">
        <v>-0.67111100000000001</v>
      </c>
      <c r="L13852">
        <v>0</v>
      </c>
      <c r="M13852">
        <v>0</v>
      </c>
      <c r="N13852">
        <v>0</v>
      </c>
      <c r="O13852" t="s">
        <v>11985</v>
      </c>
    </row>
    <row r="13853" spans="1:15">
      <c r="A13853" t="s">
        <v>46142</v>
      </c>
      <c r="B13853" t="s">
        <v>11637</v>
      </c>
      <c r="C13853" t="s">
        <v>16887</v>
      </c>
      <c r="D13853" t="s">
        <v>46143</v>
      </c>
      <c r="E13853" t="b">
        <v>0</v>
      </c>
      <c r="F13853" t="s">
        <v>11610</v>
      </c>
      <c r="L13853">
        <v>0</v>
      </c>
      <c r="M13853">
        <v>0</v>
      </c>
      <c r="N13853">
        <v>0</v>
      </c>
    </row>
    <row r="13854" spans="1:15">
      <c r="A13854" t="s">
        <v>16603</v>
      </c>
      <c r="B13854" t="s">
        <v>11644</v>
      </c>
      <c r="C13854" t="s">
        <v>22930</v>
      </c>
      <c r="D13854" t="s">
        <v>46144</v>
      </c>
      <c r="E13854" t="b">
        <v>0</v>
      </c>
      <c r="F13854" t="s">
        <v>11624</v>
      </c>
      <c r="G13854">
        <v>27.420200000000001</v>
      </c>
      <c r="H13854">
        <v>86.700100000000006</v>
      </c>
      <c r="I13854" t="s">
        <v>46145</v>
      </c>
      <c r="L13854">
        <v>0</v>
      </c>
      <c r="M13854">
        <v>0</v>
      </c>
      <c r="N13854">
        <v>6</v>
      </c>
      <c r="O13854" t="s">
        <v>15007</v>
      </c>
    </row>
    <row r="13855" spans="1:15">
      <c r="A13855" t="s">
        <v>24281</v>
      </c>
      <c r="D13855" t="s">
        <v>46146</v>
      </c>
      <c r="E13855" t="b">
        <v>0</v>
      </c>
      <c r="F13855" t="s">
        <v>11622</v>
      </c>
      <c r="L13855">
        <v>2</v>
      </c>
      <c r="M13855">
        <v>4</v>
      </c>
      <c r="N13855">
        <v>3</v>
      </c>
    </row>
    <row r="13856" spans="1:15">
      <c r="A13856" t="s">
        <v>46147</v>
      </c>
      <c r="B13856" t="s">
        <v>24281</v>
      </c>
      <c r="C13856" t="s">
        <v>24281</v>
      </c>
      <c r="D13856" t="s">
        <v>46148</v>
      </c>
      <c r="E13856" t="b">
        <v>0</v>
      </c>
      <c r="F13856" t="s">
        <v>11624</v>
      </c>
      <c r="G13856">
        <v>-1.2444900000000001</v>
      </c>
      <c r="H13856">
        <v>-66.306799999999996</v>
      </c>
      <c r="I13856" t="s">
        <v>46149</v>
      </c>
      <c r="L13856">
        <v>0</v>
      </c>
      <c r="M13856">
        <v>0</v>
      </c>
      <c r="N13856">
        <v>0</v>
      </c>
      <c r="O13856" t="s">
        <v>11969</v>
      </c>
    </row>
    <row r="13857" spans="1:15">
      <c r="A13857" t="s">
        <v>46150</v>
      </c>
      <c r="B13857" t="s">
        <v>1342</v>
      </c>
      <c r="C13857" t="s">
        <v>19430</v>
      </c>
      <c r="D13857" t="s">
        <v>46151</v>
      </c>
      <c r="E13857" t="b">
        <v>0</v>
      </c>
      <c r="F13857" t="s">
        <v>11610</v>
      </c>
      <c r="L13857">
        <v>0</v>
      </c>
      <c r="M13857">
        <v>0</v>
      </c>
      <c r="N13857">
        <v>0</v>
      </c>
    </row>
    <row r="13858" spans="1:15">
      <c r="A13858" t="s">
        <v>46152</v>
      </c>
      <c r="B13858" t="s">
        <v>12260</v>
      </c>
      <c r="C13858" t="s">
        <v>12264</v>
      </c>
      <c r="D13858" t="s">
        <v>46153</v>
      </c>
      <c r="E13858" t="b">
        <v>0</v>
      </c>
      <c r="F13858" t="s">
        <v>11610</v>
      </c>
      <c r="L13858">
        <v>0</v>
      </c>
      <c r="M13858">
        <v>0</v>
      </c>
      <c r="N13858">
        <v>0</v>
      </c>
    </row>
    <row r="13859" spans="1:15">
      <c r="A13859" t="s">
        <v>46154</v>
      </c>
      <c r="B13859" t="s">
        <v>331</v>
      </c>
      <c r="C13859" t="s">
        <v>12244</v>
      </c>
      <c r="D13859" t="s">
        <v>46155</v>
      </c>
      <c r="E13859" t="b">
        <v>0</v>
      </c>
      <c r="F13859" t="s">
        <v>11610</v>
      </c>
      <c r="L13859">
        <v>0</v>
      </c>
      <c r="M13859">
        <v>0</v>
      </c>
      <c r="N13859">
        <v>0</v>
      </c>
    </row>
    <row r="13860" spans="1:15">
      <c r="A13860" t="s">
        <v>46156</v>
      </c>
      <c r="B13860" t="s">
        <v>6742</v>
      </c>
      <c r="C13860" t="s">
        <v>21272</v>
      </c>
      <c r="D13860" t="s">
        <v>46157</v>
      </c>
      <c r="E13860" t="b">
        <v>0</v>
      </c>
      <c r="F13860" t="s">
        <v>11610</v>
      </c>
      <c r="L13860">
        <v>0</v>
      </c>
      <c r="M13860">
        <v>0</v>
      </c>
      <c r="N13860">
        <v>0</v>
      </c>
    </row>
    <row r="13861" spans="1:15">
      <c r="A13861" t="s">
        <v>46158</v>
      </c>
      <c r="B13861" t="s">
        <v>6742</v>
      </c>
      <c r="C13861" t="s">
        <v>16074</v>
      </c>
      <c r="D13861" t="s">
        <v>46159</v>
      </c>
      <c r="E13861" t="b">
        <v>0</v>
      </c>
      <c r="F13861" t="s">
        <v>11610</v>
      </c>
      <c r="L13861">
        <v>0</v>
      </c>
      <c r="M13861">
        <v>0</v>
      </c>
      <c r="N13861">
        <v>0</v>
      </c>
    </row>
    <row r="13862" spans="1:15">
      <c r="A13862" t="s">
        <v>27719</v>
      </c>
      <c r="B13862" t="s">
        <v>6742</v>
      </c>
      <c r="C13862" t="s">
        <v>25015</v>
      </c>
      <c r="D13862" t="s">
        <v>46160</v>
      </c>
      <c r="E13862" t="b">
        <v>0</v>
      </c>
      <c r="F13862" t="s">
        <v>11624</v>
      </c>
      <c r="G13862">
        <v>8.0052199999999996</v>
      </c>
      <c r="H13862">
        <v>-2.5100099999999999</v>
      </c>
      <c r="I13862" t="s">
        <v>46161</v>
      </c>
      <c r="L13862">
        <v>0</v>
      </c>
      <c r="M13862">
        <v>0</v>
      </c>
      <c r="N13862">
        <v>2</v>
      </c>
      <c r="O13862" t="s">
        <v>11820</v>
      </c>
    </row>
    <row r="13863" spans="1:15">
      <c r="A13863" t="s">
        <v>46162</v>
      </c>
      <c r="B13863" t="s">
        <v>13276</v>
      </c>
      <c r="C13863" t="s">
        <v>19075</v>
      </c>
      <c r="D13863" t="s">
        <v>46163</v>
      </c>
      <c r="E13863" t="b">
        <v>0</v>
      </c>
      <c r="F13863" t="s">
        <v>11610</v>
      </c>
      <c r="L13863">
        <v>0</v>
      </c>
      <c r="M13863">
        <v>0</v>
      </c>
      <c r="N13863">
        <v>0</v>
      </c>
    </row>
    <row r="13864" spans="1:15">
      <c r="A13864" t="s">
        <v>46164</v>
      </c>
      <c r="B13864" t="s">
        <v>367</v>
      </c>
      <c r="C13864" t="s">
        <v>14502</v>
      </c>
      <c r="D13864" t="s">
        <v>46165</v>
      </c>
      <c r="E13864" t="b">
        <v>0</v>
      </c>
      <c r="F13864" t="s">
        <v>11624</v>
      </c>
      <c r="G13864">
        <v>-6.4330600000000002</v>
      </c>
      <c r="H13864">
        <v>146.815</v>
      </c>
      <c r="I13864" t="s">
        <v>46166</v>
      </c>
      <c r="L13864">
        <v>0</v>
      </c>
      <c r="M13864">
        <v>0</v>
      </c>
      <c r="N13864">
        <v>0</v>
      </c>
      <c r="O13864" t="s">
        <v>11660</v>
      </c>
    </row>
    <row r="13865" spans="1:15">
      <c r="A13865" t="s">
        <v>46167</v>
      </c>
      <c r="B13865" t="s">
        <v>21672</v>
      </c>
      <c r="C13865" t="s">
        <v>46168</v>
      </c>
      <c r="D13865" t="s">
        <v>46169</v>
      </c>
      <c r="E13865" t="b">
        <v>0</v>
      </c>
      <c r="F13865" t="s">
        <v>11624</v>
      </c>
      <c r="G13865">
        <v>-2.65036</v>
      </c>
      <c r="H13865">
        <v>140.727</v>
      </c>
      <c r="I13865" t="s">
        <v>46170</v>
      </c>
      <c r="L13865">
        <v>0</v>
      </c>
      <c r="M13865">
        <v>0</v>
      </c>
      <c r="N13865">
        <v>0</v>
      </c>
      <c r="O13865" t="s">
        <v>11768</v>
      </c>
    </row>
    <row r="13866" spans="1:15">
      <c r="A13866" t="s">
        <v>33325</v>
      </c>
      <c r="B13866" t="s">
        <v>11607</v>
      </c>
      <c r="C13866" t="s">
        <v>515</v>
      </c>
      <c r="D13866" t="s">
        <v>46171</v>
      </c>
      <c r="E13866" t="b">
        <v>0</v>
      </c>
      <c r="F13866" t="s">
        <v>11624</v>
      </c>
      <c r="G13866">
        <v>33.439799999999998</v>
      </c>
      <c r="H13866">
        <v>9.8332899999999999</v>
      </c>
      <c r="I13866" t="s">
        <v>46172</v>
      </c>
      <c r="L13866">
        <v>0</v>
      </c>
      <c r="M13866">
        <v>0</v>
      </c>
      <c r="N13866">
        <v>5</v>
      </c>
      <c r="O13866" t="s">
        <v>46173</v>
      </c>
    </row>
    <row r="13867" spans="1:15">
      <c r="A13867" t="s">
        <v>46174</v>
      </c>
      <c r="B13867" t="s">
        <v>11637</v>
      </c>
      <c r="C13867" t="s">
        <v>14836</v>
      </c>
      <c r="D13867" t="s">
        <v>46175</v>
      </c>
      <c r="E13867" t="b">
        <v>0</v>
      </c>
      <c r="F13867" t="s">
        <v>11624</v>
      </c>
      <c r="G13867">
        <v>25.250800000000002</v>
      </c>
      <c r="H13867">
        <v>93.443799999999996</v>
      </c>
      <c r="I13867" t="s">
        <v>46176</v>
      </c>
      <c r="L13867">
        <v>0</v>
      </c>
      <c r="M13867">
        <v>0</v>
      </c>
      <c r="N13867">
        <v>0</v>
      </c>
      <c r="O13867" t="s">
        <v>11630</v>
      </c>
    </row>
    <row r="13868" spans="1:15">
      <c r="A13868" t="s">
        <v>46177</v>
      </c>
      <c r="B13868" t="s">
        <v>11844</v>
      </c>
      <c r="C13868" t="s">
        <v>1264</v>
      </c>
      <c r="D13868" t="s">
        <v>46178</v>
      </c>
      <c r="E13868" t="b">
        <v>0</v>
      </c>
      <c r="F13868" t="s">
        <v>11610</v>
      </c>
      <c r="L13868">
        <v>0</v>
      </c>
      <c r="M13868">
        <v>0</v>
      </c>
      <c r="N13868">
        <v>0</v>
      </c>
    </row>
    <row r="13869" spans="1:15">
      <c r="A13869" t="s">
        <v>42767</v>
      </c>
      <c r="B13869" t="s">
        <v>11644</v>
      </c>
      <c r="C13869" t="s">
        <v>13784</v>
      </c>
      <c r="D13869" t="s">
        <v>46179</v>
      </c>
      <c r="E13869" t="b">
        <v>0</v>
      </c>
      <c r="F13869" t="s">
        <v>11622</v>
      </c>
      <c r="L13869">
        <v>0</v>
      </c>
      <c r="M13869">
        <v>2</v>
      </c>
      <c r="N13869">
        <v>1</v>
      </c>
    </row>
    <row r="13870" spans="1:15">
      <c r="A13870" t="s">
        <v>46180</v>
      </c>
      <c r="B13870" t="s">
        <v>7926</v>
      </c>
      <c r="C13870" t="s">
        <v>7926</v>
      </c>
      <c r="D13870" t="s">
        <v>46181</v>
      </c>
      <c r="E13870" t="b">
        <v>0</v>
      </c>
      <c r="F13870" t="s">
        <v>11610</v>
      </c>
      <c r="L13870">
        <v>0</v>
      </c>
      <c r="M13870">
        <v>0</v>
      </c>
      <c r="N13870">
        <v>0</v>
      </c>
    </row>
    <row r="13871" spans="1:15">
      <c r="A13871" t="s">
        <v>46182</v>
      </c>
      <c r="B13871" t="s">
        <v>12241</v>
      </c>
      <c r="C13871" t="s">
        <v>12273</v>
      </c>
      <c r="D13871" t="s">
        <v>46183</v>
      </c>
      <c r="E13871" t="b">
        <v>0</v>
      </c>
      <c r="F13871" t="s">
        <v>11624</v>
      </c>
      <c r="G13871">
        <v>25.539899999999999</v>
      </c>
      <c r="H13871">
        <v>75.851900000000001</v>
      </c>
      <c r="I13871" t="s">
        <v>46184</v>
      </c>
      <c r="L13871">
        <v>0</v>
      </c>
      <c r="M13871">
        <v>0</v>
      </c>
      <c r="N13871">
        <v>0</v>
      </c>
      <c r="O13871" t="s">
        <v>11630</v>
      </c>
    </row>
    <row r="13872" spans="1:15">
      <c r="A13872" t="s">
        <v>46185</v>
      </c>
      <c r="B13872" t="s">
        <v>6742</v>
      </c>
      <c r="C13872" t="s">
        <v>16200</v>
      </c>
      <c r="D13872" t="s">
        <v>46186</v>
      </c>
      <c r="E13872" t="b">
        <v>0</v>
      </c>
      <c r="F13872" t="s">
        <v>11610</v>
      </c>
      <c r="L13872">
        <v>0</v>
      </c>
      <c r="M13872">
        <v>0</v>
      </c>
      <c r="N13872">
        <v>0</v>
      </c>
    </row>
    <row r="13873" spans="1:15">
      <c r="A13873" t="s">
        <v>46187</v>
      </c>
      <c r="B13873" t="s">
        <v>367</v>
      </c>
      <c r="C13873" t="s">
        <v>21591</v>
      </c>
      <c r="D13873" t="s">
        <v>46188</v>
      </c>
      <c r="E13873" t="b">
        <v>0</v>
      </c>
      <c r="F13873" t="s">
        <v>11610</v>
      </c>
      <c r="L13873">
        <v>0</v>
      </c>
      <c r="M13873">
        <v>0</v>
      </c>
      <c r="N13873">
        <v>0</v>
      </c>
    </row>
    <row r="13874" spans="1:15">
      <c r="A13874" t="s">
        <v>46189</v>
      </c>
      <c r="B13874" t="s">
        <v>11615</v>
      </c>
      <c r="C13874" t="s">
        <v>28116</v>
      </c>
      <c r="D13874" t="s">
        <v>46190</v>
      </c>
      <c r="E13874" t="b">
        <v>0</v>
      </c>
      <c r="F13874" t="s">
        <v>11610</v>
      </c>
      <c r="L13874">
        <v>0</v>
      </c>
      <c r="M13874">
        <v>0</v>
      </c>
      <c r="N13874">
        <v>0</v>
      </c>
    </row>
    <row r="13875" spans="1:15">
      <c r="A13875" t="s">
        <v>46191</v>
      </c>
      <c r="B13875" t="s">
        <v>11615</v>
      </c>
      <c r="C13875" t="s">
        <v>7842</v>
      </c>
      <c r="D13875" t="s">
        <v>46192</v>
      </c>
      <c r="E13875" t="b">
        <v>0</v>
      </c>
      <c r="F13875" t="s">
        <v>11610</v>
      </c>
      <c r="L13875">
        <v>0</v>
      </c>
      <c r="M13875">
        <v>0</v>
      </c>
      <c r="N13875">
        <v>0</v>
      </c>
    </row>
    <row r="13876" spans="1:15">
      <c r="A13876" t="s">
        <v>31187</v>
      </c>
      <c r="B13876" t="s">
        <v>4342</v>
      </c>
      <c r="C13876" t="s">
        <v>22538</v>
      </c>
      <c r="D13876" t="s">
        <v>46193</v>
      </c>
      <c r="E13876" t="b">
        <v>0</v>
      </c>
      <c r="F13876" t="s">
        <v>11610</v>
      </c>
      <c r="L13876">
        <v>0</v>
      </c>
      <c r="M13876">
        <v>0</v>
      </c>
      <c r="N13876">
        <v>2</v>
      </c>
    </row>
    <row r="13877" spans="1:15">
      <c r="A13877" t="s">
        <v>46194</v>
      </c>
      <c r="B13877" t="s">
        <v>4342</v>
      </c>
      <c r="C13877" t="s">
        <v>26772</v>
      </c>
      <c r="D13877" t="s">
        <v>46195</v>
      </c>
      <c r="E13877" t="b">
        <v>0</v>
      </c>
      <c r="F13877" t="s">
        <v>11610</v>
      </c>
      <c r="L13877">
        <v>0</v>
      </c>
      <c r="M13877">
        <v>0</v>
      </c>
      <c r="N13877">
        <v>0</v>
      </c>
    </row>
    <row r="13878" spans="1:15">
      <c r="A13878" t="s">
        <v>27259</v>
      </c>
      <c r="B13878" t="s">
        <v>4342</v>
      </c>
      <c r="C13878" t="s">
        <v>26773</v>
      </c>
      <c r="D13878" t="s">
        <v>46196</v>
      </c>
      <c r="E13878" t="b">
        <v>0</v>
      </c>
      <c r="F13878" t="s">
        <v>11610</v>
      </c>
      <c r="L13878">
        <v>0</v>
      </c>
      <c r="M13878">
        <v>0</v>
      </c>
      <c r="N13878">
        <v>10</v>
      </c>
    </row>
    <row r="13879" spans="1:15">
      <c r="A13879" t="s">
        <v>22979</v>
      </c>
      <c r="B13879" t="s">
        <v>4342</v>
      </c>
      <c r="C13879" t="s">
        <v>27259</v>
      </c>
      <c r="D13879" t="s">
        <v>46197</v>
      </c>
      <c r="E13879" t="b">
        <v>0</v>
      </c>
      <c r="F13879" t="s">
        <v>11610</v>
      </c>
      <c r="L13879">
        <v>0</v>
      </c>
      <c r="M13879">
        <v>0</v>
      </c>
      <c r="N13879">
        <v>5</v>
      </c>
    </row>
    <row r="13880" spans="1:15">
      <c r="A13880" t="s">
        <v>13813</v>
      </c>
      <c r="B13880" t="s">
        <v>11644</v>
      </c>
      <c r="C13880" t="s">
        <v>38003</v>
      </c>
      <c r="D13880" t="s">
        <v>46198</v>
      </c>
      <c r="E13880" t="b">
        <v>0</v>
      </c>
      <c r="F13880" t="s">
        <v>11622</v>
      </c>
      <c r="L13880">
        <v>16</v>
      </c>
      <c r="M13880">
        <v>31</v>
      </c>
      <c r="N13880">
        <v>61</v>
      </c>
    </row>
    <row r="13881" spans="1:15">
      <c r="A13881" t="s">
        <v>46199</v>
      </c>
      <c r="B13881" t="s">
        <v>13276</v>
      </c>
      <c r="C13881" t="s">
        <v>20688</v>
      </c>
      <c r="D13881" t="s">
        <v>46200</v>
      </c>
      <c r="E13881" t="b">
        <v>0</v>
      </c>
      <c r="F13881" t="s">
        <v>11610</v>
      </c>
      <c r="L13881">
        <v>0</v>
      </c>
      <c r="M13881">
        <v>0</v>
      </c>
      <c r="N13881">
        <v>0</v>
      </c>
    </row>
    <row r="13882" spans="1:15">
      <c r="A13882" t="s">
        <v>46201</v>
      </c>
      <c r="B13882" t="s">
        <v>11607</v>
      </c>
      <c r="C13882" t="s">
        <v>26438</v>
      </c>
      <c r="D13882" t="s">
        <v>46202</v>
      </c>
      <c r="E13882" t="b">
        <v>0</v>
      </c>
      <c r="F13882" t="s">
        <v>11610</v>
      </c>
      <c r="L13882">
        <v>0</v>
      </c>
      <c r="M13882">
        <v>0</v>
      </c>
      <c r="N13882">
        <v>0</v>
      </c>
    </row>
    <row r="13883" spans="1:15">
      <c r="A13883" t="s">
        <v>22043</v>
      </c>
      <c r="B13883" t="s">
        <v>367</v>
      </c>
      <c r="C13883" t="s">
        <v>35903</v>
      </c>
      <c r="D13883" t="s">
        <v>5516</v>
      </c>
      <c r="E13883" t="b">
        <v>0</v>
      </c>
      <c r="F13883" t="s">
        <v>11624</v>
      </c>
      <c r="G13883">
        <v>-8.7051300000000005</v>
      </c>
      <c r="H13883">
        <v>121.31</v>
      </c>
      <c r="I13883" t="s">
        <v>46203</v>
      </c>
      <c r="L13883">
        <v>0</v>
      </c>
      <c r="M13883">
        <v>0</v>
      </c>
      <c r="N13883">
        <v>3</v>
      </c>
      <c r="O13883" t="s">
        <v>11768</v>
      </c>
    </row>
    <row r="13884" spans="1:15">
      <c r="A13884" t="s">
        <v>35903</v>
      </c>
      <c r="B13884" t="s">
        <v>367</v>
      </c>
      <c r="C13884" t="s">
        <v>27189</v>
      </c>
      <c r="D13884" t="s">
        <v>46204</v>
      </c>
      <c r="E13884" t="b">
        <v>0</v>
      </c>
      <c r="F13884" t="s">
        <v>11622</v>
      </c>
      <c r="L13884">
        <v>0</v>
      </c>
      <c r="M13884">
        <v>2</v>
      </c>
      <c r="N13884">
        <v>3</v>
      </c>
    </row>
    <row r="13885" spans="1:15">
      <c r="A13885" t="s">
        <v>46205</v>
      </c>
      <c r="B13885" t="s">
        <v>11637</v>
      </c>
      <c r="C13885" t="s">
        <v>25176</v>
      </c>
      <c r="D13885" t="s">
        <v>46206</v>
      </c>
      <c r="E13885" t="b">
        <v>0</v>
      </c>
      <c r="F13885" t="s">
        <v>11610</v>
      </c>
      <c r="L13885">
        <v>0</v>
      </c>
      <c r="M13885">
        <v>0</v>
      </c>
      <c r="N13885">
        <v>0</v>
      </c>
    </row>
    <row r="13886" spans="1:15">
      <c r="A13886" t="s">
        <v>46207</v>
      </c>
      <c r="B13886" t="s">
        <v>11607</v>
      </c>
      <c r="C13886" t="s">
        <v>41699</v>
      </c>
      <c r="D13886" t="s">
        <v>46208</v>
      </c>
      <c r="E13886" t="b">
        <v>0</v>
      </c>
      <c r="F13886" t="s">
        <v>11610</v>
      </c>
      <c r="L13886">
        <v>0</v>
      </c>
      <c r="M13886">
        <v>0</v>
      </c>
      <c r="N13886">
        <v>0</v>
      </c>
    </row>
    <row r="13887" spans="1:15">
      <c r="A13887" t="s">
        <v>46209</v>
      </c>
      <c r="B13887" t="s">
        <v>11834</v>
      </c>
      <c r="C13887" t="s">
        <v>16306</v>
      </c>
      <c r="D13887" t="s">
        <v>46210</v>
      </c>
      <c r="E13887" t="b">
        <v>0</v>
      </c>
      <c r="F13887" t="s">
        <v>11610</v>
      </c>
      <c r="L13887">
        <v>0</v>
      </c>
      <c r="M13887">
        <v>0</v>
      </c>
      <c r="N13887">
        <v>0</v>
      </c>
    </row>
    <row r="13888" spans="1:15">
      <c r="A13888" t="s">
        <v>46211</v>
      </c>
      <c r="B13888" t="s">
        <v>4342</v>
      </c>
      <c r="C13888" t="s">
        <v>22758</v>
      </c>
      <c r="D13888" t="s">
        <v>46212</v>
      </c>
      <c r="E13888" t="b">
        <v>0</v>
      </c>
      <c r="F13888" t="s">
        <v>11610</v>
      </c>
      <c r="L13888">
        <v>0</v>
      </c>
      <c r="M13888">
        <v>0</v>
      </c>
      <c r="N13888">
        <v>0</v>
      </c>
    </row>
    <row r="13889" spans="1:15">
      <c r="A13889" t="s">
        <v>46213</v>
      </c>
      <c r="B13889" t="s">
        <v>4342</v>
      </c>
      <c r="C13889" t="s">
        <v>38272</v>
      </c>
      <c r="D13889" t="s">
        <v>46214</v>
      </c>
      <c r="E13889" t="b">
        <v>0</v>
      </c>
      <c r="F13889" t="s">
        <v>11610</v>
      </c>
      <c r="L13889">
        <v>0</v>
      </c>
      <c r="M13889">
        <v>0</v>
      </c>
      <c r="N13889">
        <v>0</v>
      </c>
    </row>
    <row r="13890" spans="1:15">
      <c r="A13890" t="s">
        <v>46215</v>
      </c>
      <c r="B13890" t="s">
        <v>11637</v>
      </c>
      <c r="C13890" t="s">
        <v>15714</v>
      </c>
      <c r="D13890" t="s">
        <v>46216</v>
      </c>
      <c r="E13890" t="b">
        <v>0</v>
      </c>
      <c r="F13890" t="s">
        <v>11610</v>
      </c>
      <c r="L13890">
        <v>0</v>
      </c>
      <c r="M13890">
        <v>0</v>
      </c>
      <c r="N13890">
        <v>0</v>
      </c>
    </row>
    <row r="13891" spans="1:15">
      <c r="A13891" t="s">
        <v>46217</v>
      </c>
      <c r="B13891" t="s">
        <v>11637</v>
      </c>
      <c r="C13891" t="s">
        <v>13063</v>
      </c>
      <c r="D13891" t="s">
        <v>46218</v>
      </c>
      <c r="E13891" t="b">
        <v>0</v>
      </c>
      <c r="F13891" t="s">
        <v>11610</v>
      </c>
      <c r="L13891">
        <v>0</v>
      </c>
      <c r="M13891">
        <v>0</v>
      </c>
      <c r="N13891">
        <v>0</v>
      </c>
    </row>
    <row r="13892" spans="1:15">
      <c r="A13892" t="s">
        <v>46219</v>
      </c>
      <c r="B13892" t="s">
        <v>11637</v>
      </c>
      <c r="C13892" t="s">
        <v>293</v>
      </c>
      <c r="D13892" t="s">
        <v>46220</v>
      </c>
      <c r="E13892" t="b">
        <v>0</v>
      </c>
      <c r="F13892" t="s">
        <v>11610</v>
      </c>
      <c r="L13892">
        <v>0</v>
      </c>
      <c r="M13892">
        <v>0</v>
      </c>
      <c r="N13892">
        <v>0</v>
      </c>
    </row>
    <row r="13893" spans="1:15">
      <c r="A13893" t="s">
        <v>46221</v>
      </c>
      <c r="B13893" t="s">
        <v>11844</v>
      </c>
      <c r="C13893" t="s">
        <v>13540</v>
      </c>
      <c r="D13893" t="s">
        <v>46222</v>
      </c>
      <c r="E13893" t="b">
        <v>0</v>
      </c>
      <c r="F13893" t="s">
        <v>11610</v>
      </c>
      <c r="L13893">
        <v>0</v>
      </c>
      <c r="M13893">
        <v>0</v>
      </c>
      <c r="N13893">
        <v>0</v>
      </c>
    </row>
    <row r="13894" spans="1:15">
      <c r="A13894" t="s">
        <v>46223</v>
      </c>
      <c r="B13894" t="s">
        <v>11879</v>
      </c>
      <c r="C13894" t="s">
        <v>24903</v>
      </c>
      <c r="D13894" t="s">
        <v>46224</v>
      </c>
      <c r="E13894" t="b">
        <v>0</v>
      </c>
      <c r="F13894" t="s">
        <v>11610</v>
      </c>
      <c r="L13894">
        <v>0</v>
      </c>
      <c r="M13894">
        <v>0</v>
      </c>
      <c r="N13894">
        <v>0</v>
      </c>
    </row>
    <row r="13895" spans="1:15">
      <c r="A13895" t="s">
        <v>46225</v>
      </c>
      <c r="B13895" t="s">
        <v>6742</v>
      </c>
      <c r="C13895" t="s">
        <v>33244</v>
      </c>
      <c r="D13895" t="s">
        <v>46226</v>
      </c>
      <c r="E13895" t="b">
        <v>0</v>
      </c>
      <c r="F13895" t="s">
        <v>11624</v>
      </c>
      <c r="G13895">
        <v>8.7162000000000006</v>
      </c>
      <c r="H13895">
        <v>13.426399999999999</v>
      </c>
      <c r="I13895" t="s">
        <v>46227</v>
      </c>
      <c r="L13895">
        <v>0</v>
      </c>
      <c r="M13895">
        <v>0</v>
      </c>
      <c r="N13895">
        <v>0</v>
      </c>
      <c r="O13895" t="s">
        <v>11703</v>
      </c>
    </row>
    <row r="13896" spans="1:15">
      <c r="A13896" t="s">
        <v>46228</v>
      </c>
      <c r="B13896" t="s">
        <v>11637</v>
      </c>
      <c r="C13896" t="s">
        <v>13722</v>
      </c>
      <c r="D13896" t="s">
        <v>46229</v>
      </c>
      <c r="E13896" t="b">
        <v>0</v>
      </c>
      <c r="F13896" t="s">
        <v>11610</v>
      </c>
      <c r="L13896">
        <v>0</v>
      </c>
      <c r="M13896">
        <v>0</v>
      </c>
      <c r="N13896">
        <v>0</v>
      </c>
    </row>
    <row r="13897" spans="1:15">
      <c r="A13897" t="s">
        <v>46230</v>
      </c>
      <c r="B13897" t="s">
        <v>11637</v>
      </c>
      <c r="C13897" t="s">
        <v>1273</v>
      </c>
      <c r="D13897" t="s">
        <v>46231</v>
      </c>
      <c r="E13897" t="b">
        <v>0</v>
      </c>
      <c r="F13897" t="s">
        <v>11610</v>
      </c>
      <c r="L13897">
        <v>0</v>
      </c>
      <c r="M13897">
        <v>0</v>
      </c>
      <c r="N13897">
        <v>0</v>
      </c>
    </row>
    <row r="13898" spans="1:15">
      <c r="A13898" t="s">
        <v>46232</v>
      </c>
      <c r="B13898" t="s">
        <v>11637</v>
      </c>
      <c r="C13898" t="s">
        <v>46233</v>
      </c>
      <c r="D13898" t="s">
        <v>46234</v>
      </c>
      <c r="E13898" t="b">
        <v>0</v>
      </c>
      <c r="F13898" t="s">
        <v>11624</v>
      </c>
      <c r="G13898">
        <v>21.43</v>
      </c>
      <c r="H13898">
        <v>74.826999999999998</v>
      </c>
      <c r="I13898" t="s">
        <v>46235</v>
      </c>
      <c r="L13898">
        <v>0</v>
      </c>
      <c r="M13898">
        <v>0</v>
      </c>
      <c r="N13898">
        <v>0</v>
      </c>
      <c r="O13898" t="s">
        <v>11630</v>
      </c>
    </row>
    <row r="13899" spans="1:15">
      <c r="A13899" t="s">
        <v>46236</v>
      </c>
      <c r="B13899" t="s">
        <v>11637</v>
      </c>
      <c r="C13899" t="s">
        <v>18286</v>
      </c>
      <c r="D13899" t="s">
        <v>46237</v>
      </c>
      <c r="E13899" t="b">
        <v>0</v>
      </c>
      <c r="F13899" t="s">
        <v>11624</v>
      </c>
      <c r="G13899">
        <v>20.411799999999999</v>
      </c>
      <c r="H13899">
        <v>81.977469999999997</v>
      </c>
      <c r="I13899" t="s">
        <v>46238</v>
      </c>
      <c r="L13899">
        <v>0</v>
      </c>
      <c r="M13899">
        <v>0</v>
      </c>
      <c r="N13899">
        <v>0</v>
      </c>
      <c r="O13899" t="s">
        <v>11630</v>
      </c>
    </row>
    <row r="13900" spans="1:15">
      <c r="A13900" t="s">
        <v>46239</v>
      </c>
      <c r="B13900" t="s">
        <v>6742</v>
      </c>
      <c r="C13900" t="s">
        <v>41916</v>
      </c>
      <c r="D13900" t="s">
        <v>46240</v>
      </c>
      <c r="E13900" t="b">
        <v>0</v>
      </c>
      <c r="F13900" t="s">
        <v>11610</v>
      </c>
      <c r="L13900">
        <v>0</v>
      </c>
      <c r="M13900">
        <v>0</v>
      </c>
      <c r="N13900">
        <v>0</v>
      </c>
    </row>
    <row r="13901" spans="1:15">
      <c r="A13901" t="s">
        <v>46241</v>
      </c>
      <c r="B13901" t="s">
        <v>4342</v>
      </c>
      <c r="C13901" t="s">
        <v>4341</v>
      </c>
      <c r="D13901" t="s">
        <v>46242</v>
      </c>
      <c r="E13901" t="b">
        <v>0</v>
      </c>
      <c r="F13901" t="s">
        <v>11610</v>
      </c>
      <c r="L13901">
        <v>0</v>
      </c>
      <c r="M13901">
        <v>0</v>
      </c>
      <c r="N13901">
        <v>0</v>
      </c>
    </row>
    <row r="13902" spans="1:15">
      <c r="A13902" t="s">
        <v>46243</v>
      </c>
      <c r="B13902" t="s">
        <v>367</v>
      </c>
      <c r="C13902" t="s">
        <v>17951</v>
      </c>
      <c r="D13902" t="s">
        <v>46244</v>
      </c>
      <c r="E13902" t="b">
        <v>0</v>
      </c>
      <c r="F13902" t="s">
        <v>11610</v>
      </c>
      <c r="L13902">
        <v>0</v>
      </c>
      <c r="M13902">
        <v>0</v>
      </c>
      <c r="N13902">
        <v>0</v>
      </c>
    </row>
    <row r="13903" spans="1:15">
      <c r="A13903" t="s">
        <v>46245</v>
      </c>
      <c r="B13903" t="s">
        <v>367</v>
      </c>
      <c r="C13903" t="s">
        <v>35244</v>
      </c>
      <c r="D13903" t="s">
        <v>46246</v>
      </c>
      <c r="E13903" t="b">
        <v>0</v>
      </c>
      <c r="F13903" t="s">
        <v>11610</v>
      </c>
      <c r="L13903">
        <v>0</v>
      </c>
      <c r="M13903">
        <v>0</v>
      </c>
      <c r="N13903">
        <v>0</v>
      </c>
    </row>
    <row r="13904" spans="1:15">
      <c r="A13904" t="s">
        <v>46247</v>
      </c>
      <c r="B13904" t="s">
        <v>8310</v>
      </c>
      <c r="C13904" t="s">
        <v>43356</v>
      </c>
      <c r="D13904" t="s">
        <v>46248</v>
      </c>
      <c r="E13904" t="b">
        <v>0</v>
      </c>
      <c r="F13904" t="s">
        <v>11610</v>
      </c>
      <c r="L13904">
        <v>0</v>
      </c>
      <c r="M13904">
        <v>0</v>
      </c>
      <c r="N13904">
        <v>0</v>
      </c>
    </row>
    <row r="13905" spans="1:15">
      <c r="A13905" t="s">
        <v>46249</v>
      </c>
      <c r="B13905" t="s">
        <v>9897</v>
      </c>
      <c r="C13905" t="s">
        <v>10240</v>
      </c>
      <c r="D13905" t="s">
        <v>46250</v>
      </c>
      <c r="E13905" t="b">
        <v>0</v>
      </c>
      <c r="F13905" t="s">
        <v>11610</v>
      </c>
      <c r="L13905">
        <v>0</v>
      </c>
      <c r="M13905">
        <v>0</v>
      </c>
      <c r="N13905">
        <v>0</v>
      </c>
    </row>
    <row r="13906" spans="1:15">
      <c r="A13906" t="s">
        <v>46251</v>
      </c>
      <c r="B13906" t="s">
        <v>11644</v>
      </c>
      <c r="C13906" t="s">
        <v>27366</v>
      </c>
      <c r="D13906" t="s">
        <v>46252</v>
      </c>
      <c r="E13906" t="b">
        <v>0</v>
      </c>
      <c r="F13906" t="s">
        <v>11622</v>
      </c>
      <c r="L13906">
        <v>1</v>
      </c>
      <c r="M13906">
        <v>5</v>
      </c>
      <c r="N13906">
        <v>5</v>
      </c>
    </row>
    <row r="13907" spans="1:15">
      <c r="A13907" t="s">
        <v>46253</v>
      </c>
      <c r="B13907" t="s">
        <v>26973</v>
      </c>
      <c r="C13907" t="s">
        <v>26973</v>
      </c>
      <c r="D13907" t="s">
        <v>46254</v>
      </c>
      <c r="E13907" t="b">
        <v>0</v>
      </c>
      <c r="F13907" t="s">
        <v>11624</v>
      </c>
      <c r="G13907">
        <v>-3.73034</v>
      </c>
      <c r="H13907">
        <v>141.273</v>
      </c>
      <c r="I13907" t="s">
        <v>46255</v>
      </c>
      <c r="L13907">
        <v>0</v>
      </c>
      <c r="M13907">
        <v>0</v>
      </c>
      <c r="N13907">
        <v>0</v>
      </c>
      <c r="O13907" t="s">
        <v>11660</v>
      </c>
    </row>
    <row r="13908" spans="1:15">
      <c r="A13908" t="s">
        <v>46256</v>
      </c>
      <c r="B13908" t="s">
        <v>13877</v>
      </c>
      <c r="C13908" t="s">
        <v>77</v>
      </c>
      <c r="D13908" t="s">
        <v>46257</v>
      </c>
      <c r="E13908" t="b">
        <v>0</v>
      </c>
      <c r="F13908" t="s">
        <v>11610</v>
      </c>
      <c r="L13908">
        <v>0</v>
      </c>
      <c r="M13908">
        <v>0</v>
      </c>
      <c r="N13908">
        <v>0</v>
      </c>
    </row>
    <row r="13909" spans="1:15">
      <c r="A13909" t="s">
        <v>46258</v>
      </c>
      <c r="B13909" t="s">
        <v>11637</v>
      </c>
      <c r="C13909" t="s">
        <v>1273</v>
      </c>
      <c r="D13909" t="s">
        <v>46259</v>
      </c>
      <c r="E13909" t="b">
        <v>0</v>
      </c>
      <c r="F13909" t="s">
        <v>11610</v>
      </c>
      <c r="L13909">
        <v>0</v>
      </c>
      <c r="M13909">
        <v>0</v>
      </c>
      <c r="N13909">
        <v>0</v>
      </c>
    </row>
    <row r="13910" spans="1:15">
      <c r="A13910" t="s">
        <v>46260</v>
      </c>
      <c r="B13910" t="s">
        <v>11844</v>
      </c>
      <c r="C13910" t="s">
        <v>14803</v>
      </c>
      <c r="D13910" t="s">
        <v>46261</v>
      </c>
      <c r="E13910" t="b">
        <v>0</v>
      </c>
      <c r="F13910" t="s">
        <v>11610</v>
      </c>
      <c r="L13910">
        <v>0</v>
      </c>
      <c r="M13910">
        <v>0</v>
      </c>
      <c r="N13910">
        <v>0</v>
      </c>
    </row>
    <row r="13911" spans="1:15">
      <c r="A13911" t="s">
        <v>46262</v>
      </c>
      <c r="B13911" t="s">
        <v>11644</v>
      </c>
      <c r="C13911" t="s">
        <v>16034</v>
      </c>
      <c r="D13911" t="s">
        <v>46263</v>
      </c>
      <c r="E13911" t="b">
        <v>0</v>
      </c>
      <c r="F13911" t="s">
        <v>11610</v>
      </c>
      <c r="L13911">
        <v>0</v>
      </c>
      <c r="M13911">
        <v>0</v>
      </c>
      <c r="N13911">
        <v>0</v>
      </c>
    </row>
    <row r="13912" spans="1:15">
      <c r="A13912" t="s">
        <v>46264</v>
      </c>
      <c r="B13912" t="s">
        <v>11637</v>
      </c>
      <c r="C13912" t="s">
        <v>31327</v>
      </c>
      <c r="D13912" t="s">
        <v>46265</v>
      </c>
      <c r="E13912" t="b">
        <v>0</v>
      </c>
      <c r="F13912" t="s">
        <v>11610</v>
      </c>
      <c r="L13912">
        <v>0</v>
      </c>
      <c r="M13912">
        <v>0</v>
      </c>
      <c r="N13912">
        <v>0</v>
      </c>
    </row>
    <row r="13913" spans="1:15">
      <c r="A13913" t="s">
        <v>46266</v>
      </c>
      <c r="B13913" t="s">
        <v>6742</v>
      </c>
      <c r="C13913" t="s">
        <v>15091</v>
      </c>
      <c r="D13913" t="s">
        <v>46267</v>
      </c>
      <c r="E13913" t="b">
        <v>0</v>
      </c>
      <c r="F13913" t="s">
        <v>11610</v>
      </c>
      <c r="L13913">
        <v>0</v>
      </c>
      <c r="M13913">
        <v>0</v>
      </c>
      <c r="N13913">
        <v>0</v>
      </c>
    </row>
    <row r="13914" spans="1:15">
      <c r="A13914" t="s">
        <v>46268</v>
      </c>
      <c r="B13914" t="s">
        <v>11637</v>
      </c>
      <c r="C13914" t="s">
        <v>30819</v>
      </c>
      <c r="D13914" t="s">
        <v>46269</v>
      </c>
      <c r="E13914" t="b">
        <v>0</v>
      </c>
      <c r="F13914" t="s">
        <v>11610</v>
      </c>
      <c r="L13914">
        <v>0</v>
      </c>
      <c r="M13914">
        <v>0</v>
      </c>
      <c r="N13914">
        <v>0</v>
      </c>
    </row>
    <row r="13915" spans="1:15">
      <c r="A13915" t="s">
        <v>39627</v>
      </c>
      <c r="B13915" t="s">
        <v>11644</v>
      </c>
      <c r="C13915" t="s">
        <v>46251</v>
      </c>
      <c r="D13915" t="s">
        <v>46270</v>
      </c>
      <c r="E13915" t="b">
        <v>0</v>
      </c>
      <c r="F13915" t="s">
        <v>11622</v>
      </c>
      <c r="L13915">
        <v>0</v>
      </c>
      <c r="M13915">
        <v>3</v>
      </c>
      <c r="N13915">
        <v>3</v>
      </c>
    </row>
    <row r="13916" spans="1:15">
      <c r="A13916" t="s">
        <v>46271</v>
      </c>
      <c r="B13916" t="s">
        <v>10597</v>
      </c>
      <c r="C13916" t="s">
        <v>35054</v>
      </c>
      <c r="D13916" t="s">
        <v>46272</v>
      </c>
      <c r="E13916" t="b">
        <v>0</v>
      </c>
      <c r="F13916" t="s">
        <v>11610</v>
      </c>
      <c r="L13916">
        <v>0</v>
      </c>
      <c r="M13916">
        <v>0</v>
      </c>
      <c r="N13916">
        <v>0</v>
      </c>
    </row>
    <row r="13917" spans="1:15">
      <c r="A13917" t="s">
        <v>46273</v>
      </c>
      <c r="B13917" t="s">
        <v>5911</v>
      </c>
      <c r="C13917" t="s">
        <v>9729</v>
      </c>
      <c r="D13917" t="s">
        <v>46274</v>
      </c>
      <c r="E13917" t="b">
        <v>0</v>
      </c>
      <c r="F13917" t="s">
        <v>11610</v>
      </c>
      <c r="L13917">
        <v>0</v>
      </c>
      <c r="M13917">
        <v>0</v>
      </c>
      <c r="N13917">
        <v>0</v>
      </c>
    </row>
    <row r="13918" spans="1:15">
      <c r="A13918" t="s">
        <v>21772</v>
      </c>
      <c r="B13918" t="s">
        <v>11607</v>
      </c>
      <c r="C13918" t="s">
        <v>4675</v>
      </c>
      <c r="D13918" t="s">
        <v>46275</v>
      </c>
      <c r="E13918" t="b">
        <v>0</v>
      </c>
      <c r="F13918" t="s">
        <v>11624</v>
      </c>
      <c r="G13918">
        <v>30.3371</v>
      </c>
      <c r="H13918">
        <v>42.177300000000002</v>
      </c>
      <c r="I13918" t="s">
        <v>46276</v>
      </c>
      <c r="L13918">
        <v>0</v>
      </c>
      <c r="M13918">
        <v>0</v>
      </c>
      <c r="N13918">
        <v>9</v>
      </c>
      <c r="O13918" t="s">
        <v>46277</v>
      </c>
    </row>
    <row r="13919" spans="1:15">
      <c r="A13919" t="s">
        <v>46278</v>
      </c>
      <c r="B13919" t="s">
        <v>11637</v>
      </c>
      <c r="C13919" t="s">
        <v>12947</v>
      </c>
      <c r="D13919" t="s">
        <v>46279</v>
      </c>
      <c r="E13919" t="b">
        <v>0</v>
      </c>
      <c r="F13919" t="s">
        <v>11610</v>
      </c>
      <c r="L13919">
        <v>0</v>
      </c>
      <c r="M13919">
        <v>0</v>
      </c>
      <c r="N13919">
        <v>0</v>
      </c>
    </row>
    <row r="13920" spans="1:15">
      <c r="A13920" t="s">
        <v>46280</v>
      </c>
      <c r="B13920" t="s">
        <v>11607</v>
      </c>
      <c r="C13920" t="s">
        <v>13108</v>
      </c>
      <c r="D13920" t="s">
        <v>46281</v>
      </c>
      <c r="E13920" t="b">
        <v>0</v>
      </c>
      <c r="F13920" t="s">
        <v>11610</v>
      </c>
      <c r="L13920">
        <v>0</v>
      </c>
      <c r="M13920">
        <v>0</v>
      </c>
      <c r="N13920">
        <v>0</v>
      </c>
    </row>
    <row r="13921" spans="1:15">
      <c r="A13921" t="s">
        <v>46282</v>
      </c>
      <c r="B13921" t="s">
        <v>5126</v>
      </c>
      <c r="C13921" t="s">
        <v>36100</v>
      </c>
      <c r="D13921" t="s">
        <v>46283</v>
      </c>
      <c r="E13921" t="b">
        <v>0</v>
      </c>
      <c r="F13921" t="s">
        <v>11610</v>
      </c>
      <c r="L13921">
        <v>0</v>
      </c>
      <c r="M13921">
        <v>0</v>
      </c>
      <c r="N13921">
        <v>0</v>
      </c>
    </row>
    <row r="13922" spans="1:15">
      <c r="A13922" t="s">
        <v>46284</v>
      </c>
      <c r="B13922" t="s">
        <v>20424</v>
      </c>
      <c r="C13922" t="s">
        <v>20472</v>
      </c>
      <c r="D13922" t="s">
        <v>46285</v>
      </c>
      <c r="E13922" t="b">
        <v>0</v>
      </c>
      <c r="F13922" t="s">
        <v>11624</v>
      </c>
      <c r="G13922">
        <v>-12.07653</v>
      </c>
      <c r="H13922">
        <v>134.32729</v>
      </c>
      <c r="I13922" t="s">
        <v>46286</v>
      </c>
      <c r="L13922">
        <v>0</v>
      </c>
      <c r="M13922">
        <v>0</v>
      </c>
      <c r="N13922">
        <v>0</v>
      </c>
      <c r="O13922" t="s">
        <v>12107</v>
      </c>
    </row>
    <row r="13923" spans="1:15">
      <c r="A13923" t="s">
        <v>46287</v>
      </c>
      <c r="B13923" t="s">
        <v>12611</v>
      </c>
      <c r="C13923" t="s">
        <v>25273</v>
      </c>
      <c r="D13923" t="s">
        <v>46288</v>
      </c>
      <c r="E13923" t="b">
        <v>0</v>
      </c>
      <c r="F13923" t="s">
        <v>11610</v>
      </c>
      <c r="L13923">
        <v>0</v>
      </c>
      <c r="M13923">
        <v>0</v>
      </c>
      <c r="N13923">
        <v>0</v>
      </c>
    </row>
    <row r="13924" spans="1:15">
      <c r="A13924" t="s">
        <v>7411</v>
      </c>
      <c r="B13924" t="s">
        <v>367</v>
      </c>
      <c r="C13924" t="s">
        <v>44116</v>
      </c>
      <c r="D13924" t="s">
        <v>46289</v>
      </c>
      <c r="E13924" t="b">
        <v>0</v>
      </c>
      <c r="F13924" t="s">
        <v>11624</v>
      </c>
      <c r="G13924">
        <v>-5.59931</v>
      </c>
      <c r="H13924">
        <v>150.88800000000001</v>
      </c>
      <c r="I13924" t="s">
        <v>7412</v>
      </c>
      <c r="L13924">
        <v>0</v>
      </c>
      <c r="M13924">
        <v>0</v>
      </c>
      <c r="N13924">
        <v>5</v>
      </c>
      <c r="O13924" t="s">
        <v>11660</v>
      </c>
    </row>
    <row r="13925" spans="1:15">
      <c r="A13925" t="s">
        <v>46290</v>
      </c>
      <c r="B13925" t="s">
        <v>367</v>
      </c>
      <c r="C13925" t="s">
        <v>13199</v>
      </c>
      <c r="D13925" t="s">
        <v>46291</v>
      </c>
      <c r="E13925" t="b">
        <v>0</v>
      </c>
      <c r="F13925" t="s">
        <v>11624</v>
      </c>
      <c r="G13925">
        <v>-2.8554300000000001</v>
      </c>
      <c r="H13925">
        <v>128.51599999999999</v>
      </c>
      <c r="I13925" t="s">
        <v>46292</v>
      </c>
      <c r="L13925">
        <v>0</v>
      </c>
      <c r="M13925">
        <v>0</v>
      </c>
      <c r="N13925">
        <v>0</v>
      </c>
      <c r="O13925" t="s">
        <v>11768</v>
      </c>
    </row>
    <row r="13926" spans="1:15">
      <c r="A13926" t="s">
        <v>46293</v>
      </c>
      <c r="B13926" t="s">
        <v>11615</v>
      </c>
      <c r="C13926" t="s">
        <v>19001</v>
      </c>
      <c r="D13926" t="s">
        <v>46294</v>
      </c>
      <c r="E13926" t="b">
        <v>0</v>
      </c>
      <c r="F13926" t="s">
        <v>11624</v>
      </c>
      <c r="G13926">
        <v>-6.4142400000000004</v>
      </c>
      <c r="H13926">
        <v>146.78200000000001</v>
      </c>
      <c r="I13926" t="s">
        <v>46295</v>
      </c>
      <c r="L13926">
        <v>0</v>
      </c>
      <c r="M13926">
        <v>0</v>
      </c>
      <c r="N13926">
        <v>2</v>
      </c>
      <c r="O13926" t="s">
        <v>11660</v>
      </c>
    </row>
    <row r="13927" spans="1:15">
      <c r="A13927" t="s">
        <v>46296</v>
      </c>
      <c r="B13927" t="s">
        <v>11615</v>
      </c>
      <c r="C13927" t="s">
        <v>46297</v>
      </c>
      <c r="D13927" t="s">
        <v>46298</v>
      </c>
      <c r="E13927" t="b">
        <v>0</v>
      </c>
      <c r="F13927" t="s">
        <v>11624</v>
      </c>
      <c r="G13927">
        <v>-5.1937699999999998</v>
      </c>
      <c r="H13927">
        <v>140.512</v>
      </c>
      <c r="I13927" t="s">
        <v>46299</v>
      </c>
      <c r="L13927">
        <v>0</v>
      </c>
      <c r="M13927">
        <v>0</v>
      </c>
      <c r="N13927">
        <v>0</v>
      </c>
      <c r="O13927" t="s">
        <v>11768</v>
      </c>
    </row>
    <row r="13928" spans="1:15">
      <c r="A13928" t="s">
        <v>44116</v>
      </c>
      <c r="B13928" t="s">
        <v>367</v>
      </c>
      <c r="C13928" t="s">
        <v>19236</v>
      </c>
      <c r="D13928" t="s">
        <v>46300</v>
      </c>
      <c r="E13928" t="b">
        <v>0</v>
      </c>
      <c r="F13928" t="s">
        <v>11622</v>
      </c>
      <c r="L13928">
        <v>0</v>
      </c>
      <c r="M13928">
        <v>2</v>
      </c>
      <c r="N13928">
        <v>6</v>
      </c>
    </row>
    <row r="13929" spans="1:15">
      <c r="A13929" t="s">
        <v>46301</v>
      </c>
      <c r="B13929" t="s">
        <v>11644</v>
      </c>
      <c r="C13929" t="s">
        <v>13427</v>
      </c>
      <c r="D13929" t="s">
        <v>46302</v>
      </c>
      <c r="E13929" t="b">
        <v>0</v>
      </c>
      <c r="F13929" t="s">
        <v>11610</v>
      </c>
      <c r="L13929">
        <v>0</v>
      </c>
      <c r="M13929">
        <v>0</v>
      </c>
      <c r="N13929">
        <v>0</v>
      </c>
    </row>
    <row r="13930" spans="1:15">
      <c r="A13930" t="s">
        <v>46303</v>
      </c>
      <c r="B13930" t="s">
        <v>11615</v>
      </c>
      <c r="C13930" t="s">
        <v>43341</v>
      </c>
      <c r="D13930" t="s">
        <v>46304</v>
      </c>
      <c r="E13930" t="b">
        <v>0</v>
      </c>
      <c r="F13930" t="s">
        <v>11624</v>
      </c>
      <c r="G13930">
        <v>-5.0908699999999998</v>
      </c>
      <c r="H13930">
        <v>145.655</v>
      </c>
      <c r="I13930" t="s">
        <v>46305</v>
      </c>
      <c r="L13930">
        <v>0</v>
      </c>
      <c r="M13930">
        <v>0</v>
      </c>
      <c r="N13930">
        <v>0</v>
      </c>
      <c r="O13930" t="s">
        <v>11660</v>
      </c>
    </row>
    <row r="13931" spans="1:15">
      <c r="A13931" t="s">
        <v>46306</v>
      </c>
      <c r="B13931" t="s">
        <v>331</v>
      </c>
      <c r="C13931" t="s">
        <v>35040</v>
      </c>
      <c r="D13931" t="s">
        <v>46307</v>
      </c>
      <c r="E13931" t="b">
        <v>0</v>
      </c>
      <c r="F13931" t="s">
        <v>11610</v>
      </c>
      <c r="L13931">
        <v>0</v>
      </c>
      <c r="M13931">
        <v>0</v>
      </c>
      <c r="N13931">
        <v>0</v>
      </c>
    </row>
    <row r="13932" spans="1:15">
      <c r="A13932" t="s">
        <v>12311</v>
      </c>
      <c r="D13932" t="s">
        <v>46308</v>
      </c>
      <c r="E13932" t="b">
        <v>0</v>
      </c>
      <c r="F13932" t="s">
        <v>11622</v>
      </c>
      <c r="L13932">
        <v>20</v>
      </c>
      <c r="M13932">
        <v>34</v>
      </c>
      <c r="N13932">
        <v>93</v>
      </c>
    </row>
    <row r="13933" spans="1:15">
      <c r="A13933" t="s">
        <v>17453</v>
      </c>
      <c r="B13933" t="s">
        <v>12311</v>
      </c>
      <c r="C13933" t="s">
        <v>12311</v>
      </c>
      <c r="D13933" t="s">
        <v>46309</v>
      </c>
      <c r="E13933" t="b">
        <v>0</v>
      </c>
      <c r="F13933" t="s">
        <v>11622</v>
      </c>
      <c r="L13933">
        <v>1</v>
      </c>
      <c r="M13933">
        <v>3</v>
      </c>
      <c r="N13933">
        <v>3</v>
      </c>
    </row>
    <row r="13934" spans="1:15">
      <c r="A13934" t="s">
        <v>46310</v>
      </c>
      <c r="B13934" t="s">
        <v>6742</v>
      </c>
      <c r="C13934" t="s">
        <v>20199</v>
      </c>
      <c r="D13934" t="s">
        <v>46311</v>
      </c>
      <c r="E13934" t="b">
        <v>0</v>
      </c>
      <c r="F13934" t="s">
        <v>11624</v>
      </c>
      <c r="G13934">
        <v>6.62784</v>
      </c>
      <c r="H13934">
        <v>10.2378</v>
      </c>
      <c r="I13934" t="s">
        <v>46312</v>
      </c>
      <c r="L13934">
        <v>0</v>
      </c>
      <c r="M13934">
        <v>0</v>
      </c>
      <c r="N13934">
        <v>0</v>
      </c>
      <c r="O13934" t="s">
        <v>11703</v>
      </c>
    </row>
    <row r="13935" spans="1:15">
      <c r="A13935" t="s">
        <v>35803</v>
      </c>
      <c r="B13935" t="s">
        <v>6742</v>
      </c>
      <c r="C13935" t="s">
        <v>17651</v>
      </c>
      <c r="D13935" t="s">
        <v>46313</v>
      </c>
      <c r="E13935" t="b">
        <v>0</v>
      </c>
      <c r="F13935" t="s">
        <v>11622</v>
      </c>
      <c r="L13935">
        <v>1</v>
      </c>
      <c r="M13935">
        <v>4</v>
      </c>
      <c r="N13935">
        <v>0</v>
      </c>
    </row>
    <row r="13936" spans="1:15">
      <c r="A13936" t="s">
        <v>20199</v>
      </c>
      <c r="B13936" t="s">
        <v>6742</v>
      </c>
      <c r="C13936" t="s">
        <v>35803</v>
      </c>
      <c r="D13936" t="s">
        <v>46314</v>
      </c>
      <c r="E13936" t="b">
        <v>0</v>
      </c>
      <c r="F13936" t="s">
        <v>11622</v>
      </c>
      <c r="L13936">
        <v>0</v>
      </c>
      <c r="M13936">
        <v>3</v>
      </c>
      <c r="N13936">
        <v>0</v>
      </c>
    </row>
    <row r="13937" spans="1:15">
      <c r="A13937" t="s">
        <v>46315</v>
      </c>
      <c r="B13937" t="s">
        <v>8897</v>
      </c>
      <c r="C13937" t="s">
        <v>5891</v>
      </c>
      <c r="D13937" t="s">
        <v>46316</v>
      </c>
      <c r="E13937" t="b">
        <v>0</v>
      </c>
      <c r="F13937" t="s">
        <v>11610</v>
      </c>
      <c r="L13937">
        <v>0</v>
      </c>
      <c r="M13937">
        <v>0</v>
      </c>
      <c r="N13937">
        <v>0</v>
      </c>
    </row>
    <row r="13938" spans="1:15">
      <c r="A13938" t="s">
        <v>46317</v>
      </c>
      <c r="B13938" t="s">
        <v>13291</v>
      </c>
      <c r="C13938" t="s">
        <v>13292</v>
      </c>
      <c r="D13938" t="s">
        <v>46318</v>
      </c>
      <c r="E13938" t="b">
        <v>0</v>
      </c>
      <c r="F13938" t="s">
        <v>11624</v>
      </c>
      <c r="G13938">
        <v>-4.2741199999999999</v>
      </c>
      <c r="H13938">
        <v>141.601</v>
      </c>
      <c r="I13938" t="s">
        <v>46319</v>
      </c>
      <c r="L13938">
        <v>0</v>
      </c>
      <c r="M13938">
        <v>0</v>
      </c>
      <c r="N13938">
        <v>0</v>
      </c>
      <c r="O13938" t="s">
        <v>11660</v>
      </c>
    </row>
    <row r="13939" spans="1:15">
      <c r="A13939" t="s">
        <v>46320</v>
      </c>
      <c r="B13939" t="s">
        <v>11615</v>
      </c>
      <c r="C13939" t="s">
        <v>37426</v>
      </c>
      <c r="D13939" t="s">
        <v>46321</v>
      </c>
      <c r="E13939" t="b">
        <v>0</v>
      </c>
      <c r="F13939" t="s">
        <v>11624</v>
      </c>
      <c r="G13939">
        <v>-4.2606799999999998</v>
      </c>
      <c r="H13939">
        <v>139.88300000000001</v>
      </c>
      <c r="I13939" t="s">
        <v>46322</v>
      </c>
      <c r="L13939">
        <v>0</v>
      </c>
      <c r="M13939">
        <v>0</v>
      </c>
      <c r="N13939">
        <v>0</v>
      </c>
      <c r="O13939" t="s">
        <v>11768</v>
      </c>
    </row>
    <row r="13940" spans="1:15">
      <c r="A13940" t="s">
        <v>46323</v>
      </c>
      <c r="B13940" t="s">
        <v>367</v>
      </c>
      <c r="C13940" t="s">
        <v>17432</v>
      </c>
      <c r="D13940" t="s">
        <v>46324</v>
      </c>
      <c r="E13940" t="b">
        <v>0</v>
      </c>
      <c r="F13940" t="s">
        <v>11610</v>
      </c>
      <c r="L13940">
        <v>0</v>
      </c>
      <c r="M13940">
        <v>0</v>
      </c>
      <c r="N13940">
        <v>0</v>
      </c>
    </row>
    <row r="13941" spans="1:15">
      <c r="A13941" t="s">
        <v>46325</v>
      </c>
      <c r="B13941" t="s">
        <v>11607</v>
      </c>
      <c r="C13941" t="s">
        <v>18435</v>
      </c>
      <c r="D13941" t="s">
        <v>46326</v>
      </c>
      <c r="E13941" t="b">
        <v>0</v>
      </c>
      <c r="F13941" t="s">
        <v>11610</v>
      </c>
      <c r="L13941">
        <v>0</v>
      </c>
      <c r="M13941">
        <v>0</v>
      </c>
      <c r="N13941">
        <v>0</v>
      </c>
    </row>
    <row r="13942" spans="1:15">
      <c r="A13942" t="s">
        <v>46327</v>
      </c>
      <c r="B13942" t="s">
        <v>11644</v>
      </c>
      <c r="C13942" t="s">
        <v>1298</v>
      </c>
      <c r="D13942" t="s">
        <v>46328</v>
      </c>
      <c r="E13942" t="b">
        <v>0</v>
      </c>
      <c r="F13942" t="s">
        <v>11610</v>
      </c>
      <c r="L13942">
        <v>0</v>
      </c>
      <c r="M13942">
        <v>0</v>
      </c>
      <c r="N13942">
        <v>0</v>
      </c>
    </row>
    <row r="13943" spans="1:15">
      <c r="A13943" t="s">
        <v>5633</v>
      </c>
      <c r="B13943" t="s">
        <v>367</v>
      </c>
      <c r="C13943" t="s">
        <v>35075</v>
      </c>
      <c r="D13943" t="s">
        <v>46329</v>
      </c>
      <c r="E13943" t="b">
        <v>0</v>
      </c>
      <c r="F13943" t="s">
        <v>11624</v>
      </c>
      <c r="G13943">
        <v>-2.9441099999999998</v>
      </c>
      <c r="H13943">
        <v>151.33199999999999</v>
      </c>
      <c r="I13943" t="s">
        <v>5634</v>
      </c>
      <c r="L13943">
        <v>0</v>
      </c>
      <c r="M13943">
        <v>0</v>
      </c>
      <c r="N13943">
        <v>0</v>
      </c>
      <c r="O13943" t="s">
        <v>11660</v>
      </c>
    </row>
    <row r="13944" spans="1:15">
      <c r="A13944" t="s">
        <v>46330</v>
      </c>
      <c r="B13944" t="s">
        <v>367</v>
      </c>
      <c r="C13944" t="s">
        <v>19786</v>
      </c>
      <c r="D13944" t="s">
        <v>46331</v>
      </c>
      <c r="E13944" t="b">
        <v>0</v>
      </c>
      <c r="F13944" t="s">
        <v>11624</v>
      </c>
      <c r="G13944">
        <v>-2.1427299999999998</v>
      </c>
      <c r="H13944">
        <v>147.202</v>
      </c>
      <c r="I13944" t="s">
        <v>46332</v>
      </c>
      <c r="L13944">
        <v>0</v>
      </c>
      <c r="M13944">
        <v>0</v>
      </c>
      <c r="N13944">
        <v>1</v>
      </c>
      <c r="O13944" t="s">
        <v>11660</v>
      </c>
    </row>
    <row r="13945" spans="1:15">
      <c r="A13945" t="s">
        <v>43652</v>
      </c>
      <c r="B13945" t="s">
        <v>367</v>
      </c>
      <c r="C13945" t="s">
        <v>46333</v>
      </c>
      <c r="D13945" t="s">
        <v>46334</v>
      </c>
      <c r="E13945" t="b">
        <v>0</v>
      </c>
      <c r="F13945" t="s">
        <v>11624</v>
      </c>
      <c r="G13945">
        <v>-10.8</v>
      </c>
      <c r="H13945">
        <v>165.8</v>
      </c>
      <c r="I13945" t="s">
        <v>46335</v>
      </c>
      <c r="L13945">
        <v>0</v>
      </c>
      <c r="M13945">
        <v>0</v>
      </c>
      <c r="N13945">
        <v>4</v>
      </c>
      <c r="O13945" t="s">
        <v>13346</v>
      </c>
    </row>
    <row r="13946" spans="1:15">
      <c r="A13946" t="s">
        <v>46336</v>
      </c>
      <c r="B13946" t="s">
        <v>11644</v>
      </c>
      <c r="C13946" t="s">
        <v>11902</v>
      </c>
      <c r="D13946" t="s">
        <v>46337</v>
      </c>
      <c r="E13946" t="b">
        <v>0</v>
      </c>
      <c r="F13946" t="s">
        <v>11624</v>
      </c>
      <c r="G13946">
        <v>25.97</v>
      </c>
      <c r="H13946">
        <v>102.598</v>
      </c>
      <c r="I13946" t="s">
        <v>46338</v>
      </c>
      <c r="L13946">
        <v>0</v>
      </c>
      <c r="M13946">
        <v>0</v>
      </c>
      <c r="N13946">
        <v>0</v>
      </c>
      <c r="O13946" t="s">
        <v>11905</v>
      </c>
    </row>
    <row r="13947" spans="1:15">
      <c r="A13947" t="s">
        <v>46339</v>
      </c>
      <c r="B13947" t="s">
        <v>6742</v>
      </c>
      <c r="C13947" t="s">
        <v>15816</v>
      </c>
      <c r="D13947" t="s">
        <v>46340</v>
      </c>
      <c r="E13947" t="b">
        <v>0</v>
      </c>
      <c r="F13947" t="s">
        <v>11624</v>
      </c>
      <c r="G13947">
        <v>11.0397</v>
      </c>
      <c r="H13947">
        <v>-14.8188</v>
      </c>
      <c r="I13947" t="s">
        <v>46341</v>
      </c>
      <c r="L13947">
        <v>0</v>
      </c>
      <c r="M13947">
        <v>0</v>
      </c>
      <c r="N13947">
        <v>0</v>
      </c>
      <c r="O13947" t="s">
        <v>46342</v>
      </c>
    </row>
    <row r="13948" spans="1:15">
      <c r="A13948" t="s">
        <v>15816</v>
      </c>
      <c r="B13948" t="s">
        <v>6742</v>
      </c>
      <c r="C13948" t="s">
        <v>21059</v>
      </c>
      <c r="D13948" t="s">
        <v>46343</v>
      </c>
      <c r="E13948" t="b">
        <v>0</v>
      </c>
      <c r="F13948" t="s">
        <v>11622</v>
      </c>
      <c r="L13948">
        <v>0</v>
      </c>
      <c r="M13948">
        <v>3</v>
      </c>
      <c r="N13948">
        <v>0</v>
      </c>
    </row>
    <row r="13949" spans="1:15">
      <c r="A13949" t="s">
        <v>46344</v>
      </c>
      <c r="B13949" t="s">
        <v>6742</v>
      </c>
      <c r="C13949" t="s">
        <v>14795</v>
      </c>
      <c r="D13949" t="s">
        <v>46345</v>
      </c>
      <c r="E13949" t="b">
        <v>0</v>
      </c>
      <c r="F13949" t="s">
        <v>11610</v>
      </c>
      <c r="L13949">
        <v>0</v>
      </c>
      <c r="M13949">
        <v>0</v>
      </c>
      <c r="N13949">
        <v>0</v>
      </c>
    </row>
    <row r="13950" spans="1:15">
      <c r="A13950" t="s">
        <v>21525</v>
      </c>
      <c r="B13950" t="s">
        <v>4236</v>
      </c>
      <c r="C13950" t="s">
        <v>30563</v>
      </c>
      <c r="D13950" t="s">
        <v>46346</v>
      </c>
      <c r="E13950" t="b">
        <v>0</v>
      </c>
      <c r="F13950" t="s">
        <v>11624</v>
      </c>
      <c r="G13950">
        <v>-25.0747</v>
      </c>
      <c r="H13950">
        <v>17.976700000000001</v>
      </c>
      <c r="I13950" t="s">
        <v>46347</v>
      </c>
      <c r="L13950">
        <v>0</v>
      </c>
      <c r="M13950">
        <v>0</v>
      </c>
      <c r="N13950">
        <v>6</v>
      </c>
      <c r="O13950" t="s">
        <v>30566</v>
      </c>
    </row>
    <row r="13951" spans="1:15">
      <c r="A13951" t="s">
        <v>46348</v>
      </c>
      <c r="B13951" t="s">
        <v>4236</v>
      </c>
      <c r="C13951" t="s">
        <v>21525</v>
      </c>
      <c r="D13951" t="s">
        <v>46349</v>
      </c>
      <c r="E13951" t="b">
        <v>0</v>
      </c>
      <c r="F13951" t="s">
        <v>11610</v>
      </c>
      <c r="L13951">
        <v>0</v>
      </c>
      <c r="M13951">
        <v>0</v>
      </c>
      <c r="N13951">
        <v>0</v>
      </c>
    </row>
    <row r="13952" spans="1:15">
      <c r="A13952" t="s">
        <v>46350</v>
      </c>
      <c r="B13952" t="s">
        <v>14005</v>
      </c>
      <c r="C13952" t="s">
        <v>25400</v>
      </c>
      <c r="D13952" t="s">
        <v>46351</v>
      </c>
      <c r="E13952" t="b">
        <v>0</v>
      </c>
      <c r="F13952" t="s">
        <v>11624</v>
      </c>
      <c r="G13952">
        <v>-8.6640300000000003</v>
      </c>
      <c r="H13952">
        <v>141.70599999999999</v>
      </c>
      <c r="I13952" t="s">
        <v>46352</v>
      </c>
      <c r="L13952">
        <v>0</v>
      </c>
      <c r="M13952">
        <v>0</v>
      </c>
      <c r="N13952">
        <v>0</v>
      </c>
      <c r="O13952" t="s">
        <v>11660</v>
      </c>
    </row>
    <row r="13953" spans="1:15">
      <c r="A13953" t="s">
        <v>46353</v>
      </c>
      <c r="B13953" t="s">
        <v>14005</v>
      </c>
      <c r="C13953" t="s">
        <v>46354</v>
      </c>
      <c r="D13953" t="s">
        <v>46355</v>
      </c>
      <c r="E13953" t="b">
        <v>0</v>
      </c>
      <c r="F13953" t="s">
        <v>11624</v>
      </c>
      <c r="G13953">
        <v>-8.827</v>
      </c>
      <c r="H13953">
        <v>141.64099999999999</v>
      </c>
      <c r="I13953" t="s">
        <v>46356</v>
      </c>
      <c r="L13953">
        <v>0</v>
      </c>
      <c r="M13953">
        <v>0</v>
      </c>
      <c r="N13953">
        <v>0</v>
      </c>
      <c r="O13953" t="s">
        <v>11660</v>
      </c>
    </row>
    <row r="13954" spans="1:15">
      <c r="A13954" t="s">
        <v>20389</v>
      </c>
      <c r="B13954" t="s">
        <v>367</v>
      </c>
      <c r="C13954" t="s">
        <v>13403</v>
      </c>
      <c r="D13954" t="s">
        <v>46357</v>
      </c>
      <c r="E13954" t="b">
        <v>0</v>
      </c>
      <c r="F13954" t="s">
        <v>11624</v>
      </c>
      <c r="G13954">
        <v>-16.8979</v>
      </c>
      <c r="H13954">
        <v>168.56899999999999</v>
      </c>
      <c r="I13954" t="s">
        <v>46358</v>
      </c>
      <c r="L13954">
        <v>0</v>
      </c>
      <c r="M13954">
        <v>0</v>
      </c>
      <c r="N13954">
        <v>5</v>
      </c>
      <c r="O13954" t="s">
        <v>12719</v>
      </c>
    </row>
    <row r="13955" spans="1:15">
      <c r="A13955" t="s">
        <v>46359</v>
      </c>
      <c r="B13955" t="s">
        <v>367</v>
      </c>
      <c r="C13955" t="s">
        <v>12071</v>
      </c>
      <c r="D13955" t="s">
        <v>46360</v>
      </c>
      <c r="E13955" t="b">
        <v>0</v>
      </c>
      <c r="F13955" t="s">
        <v>11610</v>
      </c>
      <c r="L13955">
        <v>0</v>
      </c>
      <c r="M13955">
        <v>0</v>
      </c>
      <c r="N13955">
        <v>0</v>
      </c>
    </row>
    <row r="13956" spans="1:15">
      <c r="A13956" t="s">
        <v>25400</v>
      </c>
      <c r="B13956" t="s">
        <v>14005</v>
      </c>
      <c r="C13956" t="s">
        <v>46354</v>
      </c>
      <c r="D13956" t="s">
        <v>46361</v>
      </c>
      <c r="E13956" t="b">
        <v>0</v>
      </c>
      <c r="F13956" t="s">
        <v>11622</v>
      </c>
      <c r="L13956">
        <v>0</v>
      </c>
      <c r="M13956">
        <v>2</v>
      </c>
      <c r="N13956">
        <v>0</v>
      </c>
    </row>
    <row r="13957" spans="1:15">
      <c r="A13957" t="s">
        <v>46362</v>
      </c>
      <c r="B13957" t="s">
        <v>11844</v>
      </c>
      <c r="C13957" t="s">
        <v>1264</v>
      </c>
      <c r="D13957" t="s">
        <v>46363</v>
      </c>
      <c r="E13957" t="b">
        <v>0</v>
      </c>
      <c r="F13957" t="s">
        <v>11610</v>
      </c>
      <c r="L13957">
        <v>0</v>
      </c>
      <c r="M13957">
        <v>0</v>
      </c>
      <c r="N13957">
        <v>0</v>
      </c>
    </row>
    <row r="13958" spans="1:15">
      <c r="A13958" t="s">
        <v>46364</v>
      </c>
      <c r="B13958" t="s">
        <v>11644</v>
      </c>
      <c r="C13958" t="s">
        <v>15930</v>
      </c>
      <c r="D13958" t="s">
        <v>46365</v>
      </c>
      <c r="E13958" t="b">
        <v>0</v>
      </c>
      <c r="F13958" t="s">
        <v>11610</v>
      </c>
      <c r="L13958">
        <v>0</v>
      </c>
      <c r="M13958">
        <v>0</v>
      </c>
      <c r="N13958">
        <v>0</v>
      </c>
    </row>
    <row r="13959" spans="1:15">
      <c r="A13959" t="s">
        <v>46366</v>
      </c>
      <c r="B13959" t="s">
        <v>6742</v>
      </c>
      <c r="C13959" t="s">
        <v>34367</v>
      </c>
      <c r="D13959" t="s">
        <v>46367</v>
      </c>
      <c r="E13959" t="b">
        <v>0</v>
      </c>
      <c r="F13959" t="s">
        <v>11624</v>
      </c>
      <c r="G13959">
        <v>-19.0899</v>
      </c>
      <c r="H13959">
        <v>26.039400000000001</v>
      </c>
      <c r="I13959" t="s">
        <v>46368</v>
      </c>
      <c r="L13959">
        <v>0</v>
      </c>
      <c r="M13959">
        <v>0</v>
      </c>
      <c r="N13959">
        <v>0</v>
      </c>
      <c r="O13959" t="s">
        <v>41005</v>
      </c>
    </row>
    <row r="13960" spans="1:15">
      <c r="A13960" t="s">
        <v>46354</v>
      </c>
      <c r="B13960" t="s">
        <v>14005</v>
      </c>
      <c r="C13960" t="s">
        <v>45312</v>
      </c>
      <c r="D13960" t="s">
        <v>46369</v>
      </c>
      <c r="E13960" t="b">
        <v>0</v>
      </c>
      <c r="F13960" t="s">
        <v>11622</v>
      </c>
      <c r="L13960">
        <v>2</v>
      </c>
      <c r="M13960">
        <v>8</v>
      </c>
      <c r="N13960">
        <v>2</v>
      </c>
    </row>
    <row r="13961" spans="1:15">
      <c r="A13961" t="s">
        <v>46370</v>
      </c>
      <c r="B13961" t="s">
        <v>14005</v>
      </c>
      <c r="C13961" t="s">
        <v>46354</v>
      </c>
      <c r="D13961" t="s">
        <v>46371</v>
      </c>
      <c r="E13961" t="b">
        <v>0</v>
      </c>
      <c r="F13961" t="s">
        <v>11624</v>
      </c>
      <c r="G13961">
        <v>-8.7450100000000006</v>
      </c>
      <c r="H13961">
        <v>141.93100000000001</v>
      </c>
      <c r="I13961" t="s">
        <v>46372</v>
      </c>
      <c r="L13961">
        <v>0</v>
      </c>
      <c r="M13961">
        <v>0</v>
      </c>
      <c r="N13961">
        <v>2</v>
      </c>
      <c r="O13961" t="s">
        <v>11660</v>
      </c>
    </row>
    <row r="13962" spans="1:15">
      <c r="A13962" t="s">
        <v>46373</v>
      </c>
      <c r="B13962" t="s">
        <v>11794</v>
      </c>
      <c r="C13962" t="s">
        <v>16864</v>
      </c>
      <c r="D13962" t="s">
        <v>46374</v>
      </c>
      <c r="E13962" t="b">
        <v>0</v>
      </c>
      <c r="F13962" t="s">
        <v>11610</v>
      </c>
      <c r="L13962">
        <v>0</v>
      </c>
      <c r="M13962">
        <v>0</v>
      </c>
      <c r="N13962">
        <v>0</v>
      </c>
    </row>
    <row r="13963" spans="1:15">
      <c r="A13963" t="s">
        <v>46375</v>
      </c>
      <c r="B13963" t="s">
        <v>4342</v>
      </c>
      <c r="C13963" t="s">
        <v>1360</v>
      </c>
      <c r="D13963" t="s">
        <v>46376</v>
      </c>
      <c r="E13963" t="b">
        <v>0</v>
      </c>
      <c r="F13963" t="s">
        <v>11610</v>
      </c>
      <c r="L13963">
        <v>0</v>
      </c>
      <c r="M13963">
        <v>0</v>
      </c>
      <c r="N13963">
        <v>0</v>
      </c>
    </row>
    <row r="13964" spans="1:15">
      <c r="A13964" t="s">
        <v>46377</v>
      </c>
      <c r="B13964" t="s">
        <v>14571</v>
      </c>
      <c r="C13964" t="s">
        <v>46378</v>
      </c>
      <c r="D13964" t="s">
        <v>46379</v>
      </c>
      <c r="E13964" t="b">
        <v>0</v>
      </c>
      <c r="F13964" t="s">
        <v>11610</v>
      </c>
      <c r="L13964">
        <v>0</v>
      </c>
      <c r="M13964">
        <v>0</v>
      </c>
      <c r="N13964">
        <v>0</v>
      </c>
    </row>
    <row r="13965" spans="1:15">
      <c r="A13965" t="s">
        <v>12959</v>
      </c>
      <c r="D13965" t="s">
        <v>46380</v>
      </c>
      <c r="E13965" t="b">
        <v>0</v>
      </c>
      <c r="F13965" t="s">
        <v>11622</v>
      </c>
      <c r="L13965">
        <v>3</v>
      </c>
      <c r="M13965">
        <v>6</v>
      </c>
      <c r="N13965">
        <v>12</v>
      </c>
    </row>
    <row r="13966" spans="1:15">
      <c r="A13966" t="s">
        <v>46381</v>
      </c>
      <c r="B13966" t="s">
        <v>12959</v>
      </c>
      <c r="C13966" t="s">
        <v>12959</v>
      </c>
      <c r="D13966" t="s">
        <v>46382</v>
      </c>
      <c r="E13966" t="b">
        <v>0</v>
      </c>
      <c r="F13966" t="s">
        <v>11622</v>
      </c>
      <c r="L13966">
        <v>2</v>
      </c>
      <c r="M13966">
        <v>5</v>
      </c>
      <c r="N13966">
        <v>12</v>
      </c>
    </row>
    <row r="13967" spans="1:15">
      <c r="A13967" t="s">
        <v>12941</v>
      </c>
      <c r="B13967" t="s">
        <v>12241</v>
      </c>
      <c r="C13967" t="s">
        <v>12241</v>
      </c>
      <c r="D13967" t="s">
        <v>46383</v>
      </c>
      <c r="E13967" t="b">
        <v>0</v>
      </c>
      <c r="F13967" t="s">
        <v>11622</v>
      </c>
      <c r="L13967">
        <v>0</v>
      </c>
      <c r="M13967">
        <v>4</v>
      </c>
      <c r="N13967">
        <v>0</v>
      </c>
    </row>
    <row r="13968" spans="1:15">
      <c r="A13968" t="s">
        <v>46384</v>
      </c>
      <c r="B13968" t="s">
        <v>13360</v>
      </c>
      <c r="C13968" t="s">
        <v>13360</v>
      </c>
      <c r="D13968" t="s">
        <v>46385</v>
      </c>
      <c r="E13968" t="b">
        <v>0</v>
      </c>
      <c r="F13968" t="s">
        <v>11624</v>
      </c>
      <c r="G13968">
        <v>22.418900000000001</v>
      </c>
      <c r="H13968">
        <v>106.435</v>
      </c>
      <c r="I13968" t="s">
        <v>46386</v>
      </c>
      <c r="L13968">
        <v>0</v>
      </c>
      <c r="M13968">
        <v>0</v>
      </c>
      <c r="N13968">
        <v>0</v>
      </c>
      <c r="O13968" t="s">
        <v>15949</v>
      </c>
    </row>
    <row r="13969" spans="1:15">
      <c r="A13969" t="s">
        <v>46387</v>
      </c>
      <c r="B13969" t="s">
        <v>11981</v>
      </c>
      <c r="C13969" t="s">
        <v>39936</v>
      </c>
      <c r="D13969" t="s">
        <v>46388</v>
      </c>
      <c r="E13969" t="b">
        <v>0</v>
      </c>
      <c r="F13969" t="s">
        <v>11624</v>
      </c>
      <c r="G13969">
        <v>-22.6</v>
      </c>
      <c r="H13969">
        <v>17.047999999999998</v>
      </c>
      <c r="I13969" t="s">
        <v>46389</v>
      </c>
      <c r="L13969">
        <v>0</v>
      </c>
      <c r="M13969">
        <v>0</v>
      </c>
      <c r="N13969">
        <v>0</v>
      </c>
      <c r="O13969" t="s">
        <v>46</v>
      </c>
    </row>
    <row r="13970" spans="1:15">
      <c r="A13970" t="s">
        <v>46390</v>
      </c>
      <c r="B13970" t="s">
        <v>4236</v>
      </c>
      <c r="C13970" t="s">
        <v>21525</v>
      </c>
      <c r="D13970" t="s">
        <v>46391</v>
      </c>
      <c r="E13970" t="b">
        <v>0</v>
      </c>
      <c r="F13970" t="s">
        <v>11610</v>
      </c>
      <c r="L13970">
        <v>0</v>
      </c>
      <c r="M13970">
        <v>0</v>
      </c>
      <c r="N13970">
        <v>0</v>
      </c>
    </row>
    <row r="13971" spans="1:15">
      <c r="A13971" t="s">
        <v>46392</v>
      </c>
      <c r="B13971" t="s">
        <v>11705</v>
      </c>
      <c r="C13971" t="s">
        <v>12767</v>
      </c>
      <c r="D13971" t="s">
        <v>46393</v>
      </c>
      <c r="E13971" t="b">
        <v>0</v>
      </c>
      <c r="F13971" t="s">
        <v>11624</v>
      </c>
      <c r="G13971">
        <v>-3.8553799999999998</v>
      </c>
      <c r="H13971">
        <v>141.78800000000001</v>
      </c>
      <c r="I13971" t="s">
        <v>46394</v>
      </c>
      <c r="L13971">
        <v>0</v>
      </c>
      <c r="M13971">
        <v>0</v>
      </c>
      <c r="N13971">
        <v>0</v>
      </c>
      <c r="O13971" t="s">
        <v>11660</v>
      </c>
    </row>
    <row r="13972" spans="1:15">
      <c r="A13972" t="s">
        <v>46395</v>
      </c>
      <c r="B13972" t="s">
        <v>12218</v>
      </c>
      <c r="C13972" t="s">
        <v>12219</v>
      </c>
      <c r="D13972" t="s">
        <v>46396</v>
      </c>
      <c r="E13972" t="b">
        <v>0</v>
      </c>
      <c r="F13972" t="s">
        <v>11610</v>
      </c>
      <c r="L13972">
        <v>0</v>
      </c>
      <c r="M13972">
        <v>0</v>
      </c>
      <c r="N13972">
        <v>0</v>
      </c>
    </row>
    <row r="13973" spans="1:15">
      <c r="A13973" t="s">
        <v>46397</v>
      </c>
      <c r="B13973" t="s">
        <v>12218</v>
      </c>
      <c r="C13973" t="s">
        <v>16958</v>
      </c>
      <c r="D13973" t="s">
        <v>46398</v>
      </c>
      <c r="E13973" t="b">
        <v>0</v>
      </c>
      <c r="F13973" t="s">
        <v>11624</v>
      </c>
      <c r="G13973">
        <v>-9.1808899999999998</v>
      </c>
      <c r="H13973">
        <v>148.166</v>
      </c>
      <c r="I13973" t="s">
        <v>46399</v>
      </c>
      <c r="L13973">
        <v>0</v>
      </c>
      <c r="M13973">
        <v>0</v>
      </c>
      <c r="N13973">
        <v>0</v>
      </c>
      <c r="O13973" t="s">
        <v>11660</v>
      </c>
    </row>
    <row r="13974" spans="1:15">
      <c r="A13974" t="s">
        <v>46400</v>
      </c>
      <c r="B13974" t="s">
        <v>11644</v>
      </c>
      <c r="C13974" t="s">
        <v>22458</v>
      </c>
      <c r="D13974" t="s">
        <v>46401</v>
      </c>
      <c r="E13974" t="b">
        <v>0</v>
      </c>
      <c r="F13974" t="s">
        <v>11610</v>
      </c>
      <c r="L13974">
        <v>0</v>
      </c>
      <c r="M13974">
        <v>0</v>
      </c>
      <c r="N13974">
        <v>0</v>
      </c>
    </row>
    <row r="13975" spans="1:15">
      <c r="A13975" t="s">
        <v>46402</v>
      </c>
      <c r="D13975" t="s">
        <v>46403</v>
      </c>
      <c r="E13975" t="b">
        <v>0</v>
      </c>
      <c r="F13975" t="s">
        <v>11622</v>
      </c>
      <c r="L13975">
        <v>0</v>
      </c>
      <c r="M13975">
        <v>2</v>
      </c>
      <c r="N13975">
        <v>0</v>
      </c>
    </row>
    <row r="13976" spans="1:15">
      <c r="A13976" t="s">
        <v>46404</v>
      </c>
      <c r="B13976" t="s">
        <v>46402</v>
      </c>
      <c r="C13976" t="s">
        <v>46402</v>
      </c>
      <c r="D13976" t="s">
        <v>46405</v>
      </c>
      <c r="E13976" t="b">
        <v>0</v>
      </c>
      <c r="F13976" t="s">
        <v>11624</v>
      </c>
      <c r="G13976">
        <v>-3.58</v>
      </c>
      <c r="H13976">
        <v>140.66</v>
      </c>
      <c r="I13976" t="s">
        <v>46406</v>
      </c>
      <c r="L13976">
        <v>0</v>
      </c>
      <c r="M13976">
        <v>0</v>
      </c>
      <c r="N13976">
        <v>0</v>
      </c>
      <c r="O13976" t="s">
        <v>11768</v>
      </c>
    </row>
    <row r="13977" spans="1:15">
      <c r="A13977" t="s">
        <v>46407</v>
      </c>
      <c r="B13977" t="s">
        <v>11644</v>
      </c>
      <c r="C13977" t="s">
        <v>41233</v>
      </c>
      <c r="D13977" t="s">
        <v>46408</v>
      </c>
      <c r="E13977" t="b">
        <v>0</v>
      </c>
      <c r="F13977" t="s">
        <v>11624</v>
      </c>
      <c r="L13977">
        <v>0</v>
      </c>
      <c r="M13977">
        <v>0</v>
      </c>
      <c r="N13977">
        <v>0</v>
      </c>
      <c r="O13977" t="s">
        <v>15949</v>
      </c>
    </row>
    <row r="13978" spans="1:15">
      <c r="A13978" t="s">
        <v>46409</v>
      </c>
      <c r="B13978" t="s">
        <v>14005</v>
      </c>
      <c r="C13978" t="s">
        <v>46370</v>
      </c>
      <c r="D13978" t="s">
        <v>46410</v>
      </c>
      <c r="E13978" t="b">
        <v>0</v>
      </c>
      <c r="F13978" t="s">
        <v>11610</v>
      </c>
      <c r="L13978">
        <v>0</v>
      </c>
      <c r="M13978">
        <v>0</v>
      </c>
      <c r="N13978">
        <v>0</v>
      </c>
    </row>
    <row r="13979" spans="1:15">
      <c r="A13979" t="s">
        <v>46411</v>
      </c>
      <c r="B13979" t="s">
        <v>27756</v>
      </c>
      <c r="C13979" t="s">
        <v>27756</v>
      </c>
      <c r="D13979" t="s">
        <v>46412</v>
      </c>
      <c r="E13979" t="b">
        <v>0</v>
      </c>
      <c r="F13979" t="s">
        <v>11610</v>
      </c>
      <c r="L13979">
        <v>0</v>
      </c>
      <c r="M13979">
        <v>0</v>
      </c>
      <c r="N13979">
        <v>0</v>
      </c>
    </row>
    <row r="13980" spans="1:15">
      <c r="A13980" t="s">
        <v>46413</v>
      </c>
      <c r="B13980" t="s">
        <v>14005</v>
      </c>
      <c r="C13980" t="s">
        <v>39883</v>
      </c>
      <c r="D13980" t="s">
        <v>46414</v>
      </c>
      <c r="E13980" t="b">
        <v>0</v>
      </c>
      <c r="F13980" t="s">
        <v>11624</v>
      </c>
      <c r="G13980">
        <v>-9.1241599999999998</v>
      </c>
      <c r="H13980">
        <v>141.82400000000001</v>
      </c>
      <c r="I13980" t="s">
        <v>46415</v>
      </c>
      <c r="L13980">
        <v>0</v>
      </c>
      <c r="M13980">
        <v>0</v>
      </c>
      <c r="N13980">
        <v>0</v>
      </c>
      <c r="O13980" t="s">
        <v>11660</v>
      </c>
    </row>
    <row r="13981" spans="1:15">
      <c r="A13981" t="s">
        <v>46416</v>
      </c>
      <c r="B13981" t="s">
        <v>367</v>
      </c>
      <c r="C13981" t="s">
        <v>21161</v>
      </c>
      <c r="D13981" t="s">
        <v>46417</v>
      </c>
      <c r="E13981" t="b">
        <v>0</v>
      </c>
      <c r="F13981" t="s">
        <v>11624</v>
      </c>
      <c r="G13981">
        <v>8.5846269999999993</v>
      </c>
      <c r="H13981">
        <v>149.685202</v>
      </c>
      <c r="I13981" t="s">
        <v>46418</v>
      </c>
      <c r="L13981">
        <v>0</v>
      </c>
      <c r="M13981">
        <v>0</v>
      </c>
      <c r="N13981">
        <v>0</v>
      </c>
      <c r="O13981" t="s">
        <v>22994</v>
      </c>
    </row>
    <row r="13982" spans="1:15">
      <c r="A13982" t="s">
        <v>17432</v>
      </c>
      <c r="B13982" t="s">
        <v>367</v>
      </c>
      <c r="C13982" t="s">
        <v>46419</v>
      </c>
      <c r="D13982" t="s">
        <v>46420</v>
      </c>
      <c r="E13982" t="b">
        <v>0</v>
      </c>
      <c r="F13982" t="s">
        <v>11624</v>
      </c>
      <c r="G13982">
        <v>-18.530799999999999</v>
      </c>
      <c r="H13982">
        <v>177.637</v>
      </c>
      <c r="I13982" t="s">
        <v>46421</v>
      </c>
      <c r="L13982">
        <v>0</v>
      </c>
      <c r="M13982">
        <v>0</v>
      </c>
      <c r="N13982">
        <v>3</v>
      </c>
      <c r="O13982" t="s">
        <v>27843</v>
      </c>
    </row>
    <row r="13983" spans="1:15">
      <c r="A13983" t="s">
        <v>39883</v>
      </c>
      <c r="B13983" t="s">
        <v>14005</v>
      </c>
      <c r="C13983" t="s">
        <v>46354</v>
      </c>
      <c r="D13983" t="s">
        <v>46422</v>
      </c>
      <c r="E13983" t="b">
        <v>0</v>
      </c>
      <c r="F13983" t="s">
        <v>11622</v>
      </c>
      <c r="L13983">
        <v>0</v>
      </c>
      <c r="M13983">
        <v>2</v>
      </c>
      <c r="N13983">
        <v>0</v>
      </c>
    </row>
    <row r="13984" spans="1:15">
      <c r="A13984" t="s">
        <v>46423</v>
      </c>
      <c r="B13984" t="s">
        <v>6742</v>
      </c>
      <c r="C13984" t="s">
        <v>41916</v>
      </c>
      <c r="D13984" t="s">
        <v>46424</v>
      </c>
      <c r="E13984" t="b">
        <v>0</v>
      </c>
      <c r="F13984" t="s">
        <v>11610</v>
      </c>
      <c r="L13984">
        <v>0</v>
      </c>
      <c r="M13984">
        <v>0</v>
      </c>
      <c r="N13984">
        <v>0</v>
      </c>
    </row>
    <row r="13985" spans="1:15">
      <c r="A13985" t="s">
        <v>46425</v>
      </c>
      <c r="B13985" t="s">
        <v>11644</v>
      </c>
      <c r="C13985" t="s">
        <v>18428</v>
      </c>
      <c r="D13985" t="s">
        <v>46426</v>
      </c>
      <c r="E13985" t="b">
        <v>0</v>
      </c>
      <c r="F13985" t="s">
        <v>11610</v>
      </c>
      <c r="L13985">
        <v>0</v>
      </c>
      <c r="M13985">
        <v>0</v>
      </c>
      <c r="N13985">
        <v>0</v>
      </c>
    </row>
    <row r="13986" spans="1:15">
      <c r="A13986" t="s">
        <v>46427</v>
      </c>
      <c r="B13986" t="s">
        <v>11644</v>
      </c>
      <c r="C13986" t="s">
        <v>40019</v>
      </c>
      <c r="D13986" t="s">
        <v>46428</v>
      </c>
      <c r="E13986" t="b">
        <v>0</v>
      </c>
      <c r="F13986" t="s">
        <v>11610</v>
      </c>
      <c r="L13986">
        <v>0</v>
      </c>
      <c r="M13986">
        <v>0</v>
      </c>
      <c r="N13986">
        <v>0</v>
      </c>
    </row>
    <row r="13987" spans="1:15">
      <c r="A13987" t="s">
        <v>25959</v>
      </c>
      <c r="B13987" t="s">
        <v>11644</v>
      </c>
      <c r="C13987" t="s">
        <v>46251</v>
      </c>
      <c r="D13987" t="s">
        <v>46429</v>
      </c>
      <c r="E13987" t="b">
        <v>0</v>
      </c>
      <c r="F13987" t="s">
        <v>11624</v>
      </c>
      <c r="G13987">
        <v>28.590900000000001</v>
      </c>
      <c r="H13987">
        <v>101.898</v>
      </c>
      <c r="I13987" t="s">
        <v>46430</v>
      </c>
      <c r="L13987">
        <v>0</v>
      </c>
      <c r="M13987">
        <v>0</v>
      </c>
      <c r="N13987">
        <v>2</v>
      </c>
      <c r="O13987" t="s">
        <v>11905</v>
      </c>
    </row>
    <row r="13988" spans="1:15">
      <c r="A13988" t="s">
        <v>46431</v>
      </c>
      <c r="B13988" t="s">
        <v>12686</v>
      </c>
      <c r="C13988" t="s">
        <v>36770</v>
      </c>
      <c r="D13988" t="s">
        <v>46432</v>
      </c>
      <c r="E13988" t="b">
        <v>0</v>
      </c>
      <c r="F13988" t="s">
        <v>11610</v>
      </c>
      <c r="L13988">
        <v>0</v>
      </c>
      <c r="M13988">
        <v>0</v>
      </c>
      <c r="N13988">
        <v>0</v>
      </c>
    </row>
    <row r="13989" spans="1:15">
      <c r="A13989" t="s">
        <v>46433</v>
      </c>
      <c r="B13989" t="s">
        <v>367</v>
      </c>
      <c r="C13989" t="s">
        <v>46434</v>
      </c>
      <c r="D13989" t="s">
        <v>46435</v>
      </c>
      <c r="E13989" t="b">
        <v>0</v>
      </c>
      <c r="F13989" t="s">
        <v>11610</v>
      </c>
      <c r="L13989">
        <v>0</v>
      </c>
      <c r="M13989">
        <v>0</v>
      </c>
      <c r="N13989">
        <v>0</v>
      </c>
    </row>
    <row r="13990" spans="1:15">
      <c r="A13990" t="s">
        <v>319</v>
      </c>
      <c r="B13990" t="s">
        <v>12686</v>
      </c>
      <c r="C13990" t="s">
        <v>46436</v>
      </c>
      <c r="D13990" t="s">
        <v>6855</v>
      </c>
      <c r="E13990" t="b">
        <v>0</v>
      </c>
      <c r="F13990" t="s">
        <v>11624</v>
      </c>
      <c r="G13990">
        <v>48.4343</v>
      </c>
      <c r="H13990">
        <v>134.797</v>
      </c>
      <c r="I13990" t="s">
        <v>320</v>
      </c>
      <c r="L13990">
        <v>0</v>
      </c>
      <c r="M13990">
        <v>0</v>
      </c>
      <c r="N13990">
        <v>8</v>
      </c>
      <c r="O13990" t="s">
        <v>36061</v>
      </c>
    </row>
    <row r="13991" spans="1:15">
      <c r="A13991" t="s">
        <v>46437</v>
      </c>
      <c r="B13991" t="s">
        <v>367</v>
      </c>
      <c r="C13991" t="s">
        <v>19439</v>
      </c>
      <c r="D13991" t="s">
        <v>46438</v>
      </c>
      <c r="E13991" t="b">
        <v>0</v>
      </c>
      <c r="F13991" t="s">
        <v>11610</v>
      </c>
      <c r="L13991">
        <v>0</v>
      </c>
      <c r="M13991">
        <v>0</v>
      </c>
      <c r="N13991">
        <v>0</v>
      </c>
    </row>
    <row r="13992" spans="1:15">
      <c r="A13992" t="s">
        <v>46439</v>
      </c>
      <c r="B13992" t="s">
        <v>367</v>
      </c>
      <c r="C13992" t="s">
        <v>15619</v>
      </c>
      <c r="D13992" t="s">
        <v>46440</v>
      </c>
      <c r="E13992" t="b">
        <v>0</v>
      </c>
      <c r="F13992" t="s">
        <v>11610</v>
      </c>
      <c r="L13992">
        <v>0</v>
      </c>
      <c r="M13992">
        <v>0</v>
      </c>
      <c r="N13992">
        <v>0</v>
      </c>
    </row>
    <row r="13993" spans="1:15">
      <c r="A13993" t="s">
        <v>46441</v>
      </c>
      <c r="B13993" t="s">
        <v>9071</v>
      </c>
      <c r="C13993" t="s">
        <v>22568</v>
      </c>
      <c r="D13993" t="s">
        <v>46442</v>
      </c>
      <c r="E13993" t="b">
        <v>0</v>
      </c>
      <c r="F13993" t="s">
        <v>11610</v>
      </c>
      <c r="L13993">
        <v>0</v>
      </c>
      <c r="M13993">
        <v>0</v>
      </c>
      <c r="N13993">
        <v>0</v>
      </c>
    </row>
    <row r="13994" spans="1:15">
      <c r="A13994" t="s">
        <v>46443</v>
      </c>
      <c r="B13994" t="s">
        <v>11981</v>
      </c>
      <c r="C13994" t="s">
        <v>11982</v>
      </c>
      <c r="D13994" t="s">
        <v>46444</v>
      </c>
      <c r="E13994" t="b">
        <v>0</v>
      </c>
      <c r="F13994" t="s">
        <v>11624</v>
      </c>
      <c r="G13994">
        <v>5.2456339999999999</v>
      </c>
      <c r="H13994">
        <v>-0.94995300000000005</v>
      </c>
      <c r="L13994">
        <v>0</v>
      </c>
      <c r="M13994">
        <v>0</v>
      </c>
      <c r="N13994">
        <v>0</v>
      </c>
      <c r="O13994" t="s">
        <v>11985</v>
      </c>
    </row>
    <row r="13995" spans="1:15">
      <c r="A13995" t="s">
        <v>46445</v>
      </c>
      <c r="B13995" t="s">
        <v>12438</v>
      </c>
      <c r="C13995" t="s">
        <v>21008</v>
      </c>
      <c r="D13995" t="s">
        <v>46446</v>
      </c>
      <c r="E13995" t="b">
        <v>0</v>
      </c>
      <c r="F13995" t="s">
        <v>11610</v>
      </c>
      <c r="L13995">
        <v>0</v>
      </c>
      <c r="M13995">
        <v>0</v>
      </c>
      <c r="N13995">
        <v>0</v>
      </c>
    </row>
    <row r="13996" spans="1:15">
      <c r="A13996" t="s">
        <v>46447</v>
      </c>
      <c r="B13996" t="s">
        <v>11607</v>
      </c>
      <c r="C13996" t="s">
        <v>26505</v>
      </c>
      <c r="D13996" t="s">
        <v>46448</v>
      </c>
      <c r="E13996" t="b">
        <v>0</v>
      </c>
      <c r="F13996" t="s">
        <v>11624</v>
      </c>
      <c r="G13996">
        <v>9.3197500000000009</v>
      </c>
      <c r="H13996">
        <v>16.1282</v>
      </c>
      <c r="I13996" t="s">
        <v>46449</v>
      </c>
      <c r="L13996">
        <v>0</v>
      </c>
      <c r="M13996">
        <v>0</v>
      </c>
      <c r="N13996">
        <v>0</v>
      </c>
      <c r="O13996" t="s">
        <v>13421</v>
      </c>
    </row>
    <row r="13997" spans="1:15">
      <c r="A13997" t="s">
        <v>46450</v>
      </c>
      <c r="B13997" t="s">
        <v>11644</v>
      </c>
      <c r="C13997" t="s">
        <v>14078</v>
      </c>
      <c r="D13997" t="s">
        <v>46451</v>
      </c>
      <c r="E13997" t="b">
        <v>0</v>
      </c>
      <c r="F13997" t="s">
        <v>11610</v>
      </c>
      <c r="G13997">
        <v>28.706609</v>
      </c>
      <c r="H13997">
        <v>115.857468</v>
      </c>
      <c r="L13997">
        <v>0</v>
      </c>
      <c r="M13997">
        <v>0</v>
      </c>
      <c r="N13997">
        <v>0</v>
      </c>
    </row>
    <row r="13998" spans="1:15">
      <c r="A13998" t="s">
        <v>46452</v>
      </c>
      <c r="B13998" t="s">
        <v>11627</v>
      </c>
      <c r="C13998" t="s">
        <v>11627</v>
      </c>
      <c r="D13998" t="s">
        <v>46453</v>
      </c>
      <c r="E13998" t="b">
        <v>1</v>
      </c>
      <c r="F13998" t="s">
        <v>11624</v>
      </c>
      <c r="L13998">
        <v>0</v>
      </c>
      <c r="M13998">
        <v>0</v>
      </c>
      <c r="N13998">
        <v>0</v>
      </c>
    </row>
    <row r="13999" spans="1:15">
      <c r="A13999" t="s">
        <v>26953</v>
      </c>
      <c r="B13999" t="s">
        <v>6742</v>
      </c>
      <c r="C13999" t="s">
        <v>37355</v>
      </c>
      <c r="D13999" t="s">
        <v>46454</v>
      </c>
      <c r="E13999" t="b">
        <v>0</v>
      </c>
      <c r="F13999" t="s">
        <v>11624</v>
      </c>
      <c r="G13999">
        <v>-0.24904000000000001</v>
      </c>
      <c r="H13999">
        <v>29.0243</v>
      </c>
      <c r="I13999" t="s">
        <v>46455</v>
      </c>
      <c r="L13999">
        <v>0</v>
      </c>
      <c r="M13999">
        <v>0</v>
      </c>
      <c r="N13999">
        <v>8</v>
      </c>
      <c r="O13999" t="s">
        <v>13208</v>
      </c>
    </row>
    <row r="14000" spans="1:15">
      <c r="A14000" t="s">
        <v>1003</v>
      </c>
      <c r="B14000" t="s">
        <v>11757</v>
      </c>
      <c r="C14000" t="s">
        <v>35727</v>
      </c>
      <c r="D14000" t="s">
        <v>1001</v>
      </c>
      <c r="E14000" t="b">
        <v>0</v>
      </c>
      <c r="F14000" t="s">
        <v>11624</v>
      </c>
      <c r="G14000">
        <v>0.79373700000000003</v>
      </c>
      <c r="H14000">
        <v>35.408478000000002</v>
      </c>
      <c r="I14000" t="s">
        <v>46456</v>
      </c>
      <c r="L14000">
        <v>0</v>
      </c>
      <c r="M14000">
        <v>0</v>
      </c>
      <c r="N14000">
        <v>0</v>
      </c>
      <c r="O14000" t="s">
        <v>22848</v>
      </c>
    </row>
    <row r="14001" spans="1:15">
      <c r="A14001" t="s">
        <v>46457</v>
      </c>
      <c r="B14001" t="s">
        <v>6742</v>
      </c>
      <c r="C14001" t="s">
        <v>42270</v>
      </c>
      <c r="D14001" t="s">
        <v>46458</v>
      </c>
      <c r="E14001" t="b">
        <v>0</v>
      </c>
      <c r="F14001" t="s">
        <v>11624</v>
      </c>
      <c r="G14001">
        <v>11.754799999999999</v>
      </c>
      <c r="H14001">
        <v>-4.9214799999999999</v>
      </c>
      <c r="I14001" t="s">
        <v>46459</v>
      </c>
      <c r="L14001">
        <v>0</v>
      </c>
      <c r="M14001">
        <v>0</v>
      </c>
      <c r="N14001">
        <v>0</v>
      </c>
      <c r="O14001" t="s">
        <v>19384</v>
      </c>
    </row>
    <row r="14002" spans="1:15">
      <c r="A14002" t="s">
        <v>46460</v>
      </c>
      <c r="B14002" t="s">
        <v>11615</v>
      </c>
      <c r="C14002" t="s">
        <v>34644</v>
      </c>
      <c r="D14002" t="s">
        <v>46461</v>
      </c>
      <c r="E14002" t="b">
        <v>0</v>
      </c>
      <c r="F14002" t="s">
        <v>11610</v>
      </c>
      <c r="L14002">
        <v>0</v>
      </c>
      <c r="M14002">
        <v>0</v>
      </c>
      <c r="N14002">
        <v>0</v>
      </c>
    </row>
    <row r="14003" spans="1:15">
      <c r="A14003" t="s">
        <v>46462</v>
      </c>
      <c r="B14003" t="s">
        <v>11637</v>
      </c>
      <c r="C14003" t="s">
        <v>29691</v>
      </c>
      <c r="D14003" t="s">
        <v>46463</v>
      </c>
      <c r="E14003" t="b">
        <v>0</v>
      </c>
      <c r="F14003" t="s">
        <v>11610</v>
      </c>
      <c r="L14003">
        <v>0</v>
      </c>
      <c r="M14003">
        <v>0</v>
      </c>
      <c r="N14003">
        <v>0</v>
      </c>
    </row>
    <row r="14004" spans="1:15">
      <c r="A14004" t="s">
        <v>46464</v>
      </c>
      <c r="B14004" t="s">
        <v>11637</v>
      </c>
      <c r="C14004" t="s">
        <v>12947</v>
      </c>
      <c r="D14004" t="s">
        <v>46465</v>
      </c>
      <c r="E14004" t="b">
        <v>0</v>
      </c>
      <c r="F14004" t="s">
        <v>11610</v>
      </c>
      <c r="L14004">
        <v>0</v>
      </c>
      <c r="M14004">
        <v>0</v>
      </c>
      <c r="N14004">
        <v>0</v>
      </c>
    </row>
    <row r="14005" spans="1:15">
      <c r="A14005" t="s">
        <v>46466</v>
      </c>
      <c r="B14005" t="s">
        <v>10597</v>
      </c>
      <c r="C14005" t="s">
        <v>35054</v>
      </c>
      <c r="D14005" t="s">
        <v>46467</v>
      </c>
      <c r="E14005" t="b">
        <v>0</v>
      </c>
      <c r="F14005" t="s">
        <v>11610</v>
      </c>
      <c r="L14005">
        <v>0</v>
      </c>
      <c r="M14005">
        <v>0</v>
      </c>
      <c r="N14005">
        <v>0</v>
      </c>
    </row>
    <row r="14006" spans="1:15">
      <c r="A14006" t="s">
        <v>46468</v>
      </c>
      <c r="B14006" t="s">
        <v>45884</v>
      </c>
      <c r="C14006" t="s">
        <v>45884</v>
      </c>
      <c r="D14006" t="s">
        <v>46469</v>
      </c>
      <c r="E14006" t="b">
        <v>0</v>
      </c>
      <c r="F14006" t="s">
        <v>11624</v>
      </c>
      <c r="G14006">
        <v>-14.268000000000001</v>
      </c>
      <c r="H14006">
        <v>131.23699999999999</v>
      </c>
      <c r="I14006" t="s">
        <v>46470</v>
      </c>
      <c r="L14006">
        <v>0</v>
      </c>
      <c r="M14006">
        <v>0</v>
      </c>
      <c r="N14006">
        <v>4</v>
      </c>
      <c r="O14006" t="s">
        <v>12107</v>
      </c>
    </row>
    <row r="14007" spans="1:15">
      <c r="A14007" t="s">
        <v>46471</v>
      </c>
      <c r="B14007" t="s">
        <v>1342</v>
      </c>
      <c r="C14007" t="s">
        <v>16750</v>
      </c>
      <c r="D14007" t="s">
        <v>46472</v>
      </c>
      <c r="E14007" t="b">
        <v>0</v>
      </c>
      <c r="F14007" t="s">
        <v>11624</v>
      </c>
      <c r="G14007">
        <v>14.49</v>
      </c>
      <c r="H14007">
        <v>-3.02</v>
      </c>
      <c r="I14007" t="s">
        <v>46473</v>
      </c>
      <c r="L14007">
        <v>0</v>
      </c>
      <c r="M14007">
        <v>0</v>
      </c>
      <c r="N14007">
        <v>0</v>
      </c>
      <c r="O14007" t="s">
        <v>13528</v>
      </c>
    </row>
    <row r="14008" spans="1:15">
      <c r="A14008" t="s">
        <v>46474</v>
      </c>
      <c r="B14008" t="s">
        <v>367</v>
      </c>
      <c r="C14008" t="s">
        <v>15466</v>
      </c>
      <c r="D14008" t="s">
        <v>46475</v>
      </c>
      <c r="E14008" t="b">
        <v>0</v>
      </c>
      <c r="F14008" t="s">
        <v>11624</v>
      </c>
      <c r="G14008">
        <v>-10.7441</v>
      </c>
      <c r="H14008">
        <v>165.887</v>
      </c>
      <c r="I14008" t="s">
        <v>46476</v>
      </c>
      <c r="L14008">
        <v>0</v>
      </c>
      <c r="M14008">
        <v>0</v>
      </c>
      <c r="N14008">
        <v>0</v>
      </c>
      <c r="O14008" t="s">
        <v>13346</v>
      </c>
    </row>
    <row r="14009" spans="1:15">
      <c r="A14009" t="s">
        <v>16750</v>
      </c>
      <c r="B14009" t="s">
        <v>1342</v>
      </c>
      <c r="C14009" t="s">
        <v>1342</v>
      </c>
      <c r="D14009" t="s">
        <v>46477</v>
      </c>
      <c r="E14009" t="b">
        <v>0</v>
      </c>
      <c r="F14009" t="s">
        <v>11622</v>
      </c>
      <c r="L14009">
        <v>0</v>
      </c>
      <c r="M14009">
        <v>3</v>
      </c>
      <c r="N14009">
        <v>0</v>
      </c>
    </row>
    <row r="14010" spans="1:15">
      <c r="A14010" t="s">
        <v>46478</v>
      </c>
      <c r="B14010" t="s">
        <v>11644</v>
      </c>
      <c r="C14010" t="s">
        <v>40538</v>
      </c>
      <c r="D14010" t="s">
        <v>46479</v>
      </c>
      <c r="E14010" t="b">
        <v>0</v>
      </c>
      <c r="F14010" t="s">
        <v>11610</v>
      </c>
      <c r="L14010">
        <v>0</v>
      </c>
      <c r="M14010">
        <v>0</v>
      </c>
      <c r="N14010">
        <v>0</v>
      </c>
    </row>
    <row r="14011" spans="1:15">
      <c r="A14011" t="s">
        <v>46480</v>
      </c>
      <c r="B14011" t="s">
        <v>11644</v>
      </c>
      <c r="C14011" t="s">
        <v>30952</v>
      </c>
      <c r="D14011" t="s">
        <v>46481</v>
      </c>
      <c r="E14011" t="b">
        <v>0</v>
      </c>
      <c r="F14011" t="s">
        <v>11610</v>
      </c>
      <c r="G14011">
        <v>32.098960699999999</v>
      </c>
      <c r="H14011">
        <v>118.4575646</v>
      </c>
      <c r="L14011">
        <v>0</v>
      </c>
      <c r="M14011">
        <v>0</v>
      </c>
      <c r="N14011">
        <v>0</v>
      </c>
    </row>
    <row r="14012" spans="1:15">
      <c r="A14012" t="s">
        <v>46482</v>
      </c>
      <c r="B14012" t="s">
        <v>6742</v>
      </c>
      <c r="C14012" t="s">
        <v>19532</v>
      </c>
      <c r="D14012" t="s">
        <v>46483</v>
      </c>
      <c r="E14012" t="b">
        <v>0</v>
      </c>
      <c r="F14012" t="s">
        <v>11610</v>
      </c>
      <c r="L14012">
        <v>0</v>
      </c>
      <c r="M14012">
        <v>0</v>
      </c>
      <c r="N14012">
        <v>0</v>
      </c>
    </row>
    <row r="14013" spans="1:15">
      <c r="A14013" t="s">
        <v>46484</v>
      </c>
      <c r="B14013" t="s">
        <v>6742</v>
      </c>
      <c r="C14013" t="s">
        <v>19532</v>
      </c>
      <c r="D14013" t="s">
        <v>46485</v>
      </c>
      <c r="E14013" t="b">
        <v>0</v>
      </c>
      <c r="F14013" t="s">
        <v>11610</v>
      </c>
      <c r="L14013">
        <v>0</v>
      </c>
      <c r="M14013">
        <v>0</v>
      </c>
      <c r="N14013">
        <v>0</v>
      </c>
    </row>
    <row r="14014" spans="1:15">
      <c r="A14014" t="s">
        <v>46486</v>
      </c>
      <c r="B14014" t="s">
        <v>11615</v>
      </c>
      <c r="C14014" t="s">
        <v>20739</v>
      </c>
      <c r="D14014" t="s">
        <v>46487</v>
      </c>
      <c r="E14014" t="b">
        <v>0</v>
      </c>
      <c r="F14014" t="s">
        <v>11624</v>
      </c>
      <c r="G14014">
        <v>-5.8080400000000001</v>
      </c>
      <c r="H14014">
        <v>146.464</v>
      </c>
      <c r="I14014" t="s">
        <v>46488</v>
      </c>
      <c r="L14014">
        <v>0</v>
      </c>
      <c r="M14014">
        <v>0</v>
      </c>
      <c r="N14014">
        <v>0</v>
      </c>
      <c r="O14014" t="s">
        <v>11660</v>
      </c>
    </row>
    <row r="14015" spans="1:15">
      <c r="A14015" t="s">
        <v>46489</v>
      </c>
      <c r="B14015" t="s">
        <v>11644</v>
      </c>
      <c r="C14015" t="s">
        <v>40629</v>
      </c>
      <c r="D14015" t="s">
        <v>46490</v>
      </c>
      <c r="E14015" t="b">
        <v>0</v>
      </c>
      <c r="F14015" t="s">
        <v>11610</v>
      </c>
      <c r="L14015">
        <v>0</v>
      </c>
      <c r="M14015">
        <v>0</v>
      </c>
      <c r="N14015">
        <v>0</v>
      </c>
    </row>
    <row r="14016" spans="1:15">
      <c r="A14016" t="s">
        <v>46491</v>
      </c>
      <c r="B14016" t="s">
        <v>5126</v>
      </c>
      <c r="C14016" t="s">
        <v>16522</v>
      </c>
      <c r="D14016" t="s">
        <v>46492</v>
      </c>
      <c r="E14016" t="b">
        <v>0</v>
      </c>
      <c r="F14016" t="s">
        <v>11610</v>
      </c>
      <c r="L14016">
        <v>0</v>
      </c>
      <c r="M14016">
        <v>0</v>
      </c>
      <c r="N14016">
        <v>0</v>
      </c>
    </row>
    <row r="14017" spans="1:15">
      <c r="A14017" t="s">
        <v>46493</v>
      </c>
      <c r="B14017" t="s">
        <v>11644</v>
      </c>
      <c r="C14017" t="s">
        <v>46494</v>
      </c>
      <c r="D14017" t="s">
        <v>46495</v>
      </c>
      <c r="E14017" t="b">
        <v>0</v>
      </c>
      <c r="F14017" t="s">
        <v>11610</v>
      </c>
      <c r="G14017">
        <v>22.848716</v>
      </c>
      <c r="H14017">
        <v>108.366165</v>
      </c>
      <c r="L14017">
        <v>0</v>
      </c>
      <c r="M14017">
        <v>0</v>
      </c>
      <c r="N14017">
        <v>0</v>
      </c>
    </row>
    <row r="14018" spans="1:15">
      <c r="A14018" t="s">
        <v>46496</v>
      </c>
      <c r="B14018" t="s">
        <v>11644</v>
      </c>
      <c r="C14018" t="s">
        <v>46494</v>
      </c>
      <c r="D14018" t="s">
        <v>46497</v>
      </c>
      <c r="E14018" t="b">
        <v>0</v>
      </c>
      <c r="F14018" t="s">
        <v>11610</v>
      </c>
      <c r="L14018">
        <v>0</v>
      </c>
      <c r="M14018">
        <v>0</v>
      </c>
      <c r="N14018">
        <v>0</v>
      </c>
    </row>
    <row r="14019" spans="1:15">
      <c r="A14019" t="s">
        <v>46498</v>
      </c>
      <c r="B14019" t="s">
        <v>23217</v>
      </c>
      <c r="C14019" t="s">
        <v>33285</v>
      </c>
      <c r="D14019" t="s">
        <v>46499</v>
      </c>
      <c r="E14019" t="b">
        <v>0</v>
      </c>
      <c r="F14019" t="s">
        <v>11610</v>
      </c>
      <c r="L14019">
        <v>0</v>
      </c>
      <c r="M14019">
        <v>0</v>
      </c>
      <c r="N14019">
        <v>0</v>
      </c>
    </row>
    <row r="14020" spans="1:15">
      <c r="A14020" t="s">
        <v>46500</v>
      </c>
      <c r="B14020" t="s">
        <v>4342</v>
      </c>
      <c r="C14020" t="s">
        <v>22979</v>
      </c>
      <c r="D14020" t="s">
        <v>46501</v>
      </c>
      <c r="E14020" t="b">
        <v>0</v>
      </c>
      <c r="F14020" t="s">
        <v>11610</v>
      </c>
      <c r="L14020">
        <v>0</v>
      </c>
      <c r="M14020">
        <v>0</v>
      </c>
      <c r="N14020">
        <v>0</v>
      </c>
    </row>
    <row r="14021" spans="1:15">
      <c r="A14021" t="s">
        <v>46502</v>
      </c>
      <c r="B14021" t="s">
        <v>12979</v>
      </c>
      <c r="C14021" t="s">
        <v>21166</v>
      </c>
      <c r="D14021" t="s">
        <v>46503</v>
      </c>
      <c r="E14021" t="b">
        <v>0</v>
      </c>
      <c r="F14021" t="s">
        <v>11622</v>
      </c>
      <c r="L14021">
        <v>0</v>
      </c>
      <c r="M14021">
        <v>2</v>
      </c>
      <c r="N14021">
        <v>0</v>
      </c>
    </row>
    <row r="14022" spans="1:15">
      <c r="A14022" t="s">
        <v>46504</v>
      </c>
      <c r="B14022" t="s">
        <v>12979</v>
      </c>
      <c r="C14022" t="s">
        <v>46502</v>
      </c>
      <c r="D14022" t="s">
        <v>46505</v>
      </c>
      <c r="E14022" t="b">
        <v>0</v>
      </c>
      <c r="F14022" t="s">
        <v>11624</v>
      </c>
      <c r="G14022">
        <v>39.677810000000001</v>
      </c>
      <c r="H14022">
        <v>-74.98648</v>
      </c>
      <c r="I14022" t="s">
        <v>46506</v>
      </c>
      <c r="L14022">
        <v>0</v>
      </c>
      <c r="M14022">
        <v>0</v>
      </c>
      <c r="N14022">
        <v>0</v>
      </c>
      <c r="O14022" t="s">
        <v>11944</v>
      </c>
    </row>
    <row r="14023" spans="1:15">
      <c r="A14023" t="s">
        <v>46507</v>
      </c>
      <c r="B14023" t="s">
        <v>11894</v>
      </c>
      <c r="C14023" t="s">
        <v>41460</v>
      </c>
      <c r="D14023" t="s">
        <v>46508</v>
      </c>
      <c r="E14023" t="b">
        <v>0</v>
      </c>
      <c r="F14023" t="s">
        <v>11624</v>
      </c>
      <c r="G14023">
        <v>-12.101800000000001</v>
      </c>
      <c r="H14023">
        <v>-72.350700000000003</v>
      </c>
      <c r="I14023" t="s">
        <v>46509</v>
      </c>
      <c r="L14023">
        <v>0</v>
      </c>
      <c r="M14023">
        <v>0</v>
      </c>
      <c r="N14023">
        <v>0</v>
      </c>
      <c r="O14023" t="s">
        <v>11778</v>
      </c>
    </row>
    <row r="14024" spans="1:15">
      <c r="A14024" t="s">
        <v>46510</v>
      </c>
      <c r="B14024" t="s">
        <v>6742</v>
      </c>
      <c r="C14024" t="s">
        <v>23805</v>
      </c>
      <c r="D14024" t="s">
        <v>46511</v>
      </c>
      <c r="E14024" t="b">
        <v>0</v>
      </c>
      <c r="F14024" t="s">
        <v>11610</v>
      </c>
      <c r="L14024">
        <v>0</v>
      </c>
      <c r="M14024">
        <v>0</v>
      </c>
      <c r="N14024">
        <v>0</v>
      </c>
    </row>
    <row r="14025" spans="1:15">
      <c r="A14025" t="s">
        <v>46512</v>
      </c>
      <c r="B14025" t="s">
        <v>13691</v>
      </c>
      <c r="C14025" t="s">
        <v>13691</v>
      </c>
      <c r="D14025" t="s">
        <v>46513</v>
      </c>
      <c r="E14025" t="b">
        <v>0</v>
      </c>
      <c r="F14025" t="s">
        <v>11624</v>
      </c>
      <c r="G14025">
        <v>-4.7173100000000003</v>
      </c>
      <c r="H14025">
        <v>143.93700000000001</v>
      </c>
      <c r="I14025" t="s">
        <v>46514</v>
      </c>
      <c r="L14025">
        <v>0</v>
      </c>
      <c r="M14025">
        <v>0</v>
      </c>
      <c r="N14025">
        <v>0</v>
      </c>
      <c r="O14025" t="s">
        <v>11660</v>
      </c>
    </row>
    <row r="14026" spans="1:15">
      <c r="A14026" t="s">
        <v>46515</v>
      </c>
      <c r="B14026" t="s">
        <v>367</v>
      </c>
      <c r="C14026" t="s">
        <v>4451</v>
      </c>
      <c r="D14026" t="s">
        <v>46516</v>
      </c>
      <c r="E14026" t="b">
        <v>0</v>
      </c>
      <c r="F14026" t="s">
        <v>11610</v>
      </c>
      <c r="L14026">
        <v>0</v>
      </c>
      <c r="M14026">
        <v>0</v>
      </c>
      <c r="N14026">
        <v>0</v>
      </c>
    </row>
    <row r="14027" spans="1:15">
      <c r="A14027" t="s">
        <v>46517</v>
      </c>
      <c r="B14027" t="s">
        <v>5058</v>
      </c>
      <c r="C14027" t="s">
        <v>20323</v>
      </c>
      <c r="D14027" t="s">
        <v>46518</v>
      </c>
      <c r="E14027" t="b">
        <v>0</v>
      </c>
      <c r="F14027" t="s">
        <v>11610</v>
      </c>
      <c r="L14027">
        <v>0</v>
      </c>
      <c r="M14027">
        <v>0</v>
      </c>
      <c r="N14027">
        <v>0</v>
      </c>
    </row>
    <row r="14028" spans="1:15">
      <c r="A14028" t="s">
        <v>46519</v>
      </c>
      <c r="B14028" t="s">
        <v>13360</v>
      </c>
      <c r="C14028" t="s">
        <v>13360</v>
      </c>
      <c r="D14028" t="s">
        <v>46520</v>
      </c>
      <c r="E14028" t="b">
        <v>0</v>
      </c>
      <c r="F14028" t="s">
        <v>11624</v>
      </c>
      <c r="L14028">
        <v>0</v>
      </c>
      <c r="M14028">
        <v>0</v>
      </c>
      <c r="N14028">
        <v>0</v>
      </c>
      <c r="O14028" t="s">
        <v>11883</v>
      </c>
    </row>
    <row r="14029" spans="1:15">
      <c r="A14029" t="s">
        <v>46521</v>
      </c>
      <c r="B14029" t="s">
        <v>13276</v>
      </c>
      <c r="C14029" t="s">
        <v>19545</v>
      </c>
      <c r="D14029" t="s">
        <v>46522</v>
      </c>
      <c r="E14029" t="b">
        <v>0</v>
      </c>
      <c r="F14029" t="s">
        <v>11610</v>
      </c>
      <c r="L14029">
        <v>0</v>
      </c>
      <c r="M14029">
        <v>0</v>
      </c>
      <c r="N14029">
        <v>0</v>
      </c>
    </row>
    <row r="14030" spans="1:15">
      <c r="A14030" t="s">
        <v>46523</v>
      </c>
      <c r="B14030" t="s">
        <v>367</v>
      </c>
      <c r="C14030" t="s">
        <v>45274</v>
      </c>
      <c r="D14030" t="s">
        <v>46524</v>
      </c>
      <c r="E14030" t="b">
        <v>0</v>
      </c>
      <c r="F14030" t="s">
        <v>11610</v>
      </c>
      <c r="L14030">
        <v>0</v>
      </c>
      <c r="M14030">
        <v>0</v>
      </c>
      <c r="N14030">
        <v>0</v>
      </c>
    </row>
    <row r="14031" spans="1:15">
      <c r="A14031" t="s">
        <v>46525</v>
      </c>
      <c r="B14031" t="s">
        <v>22306</v>
      </c>
      <c r="C14031" t="s">
        <v>46526</v>
      </c>
      <c r="D14031" t="s">
        <v>46527</v>
      </c>
      <c r="E14031" t="b">
        <v>0</v>
      </c>
      <c r="F14031" t="s">
        <v>11624</v>
      </c>
      <c r="G14031">
        <v>-15.3</v>
      </c>
      <c r="H14031">
        <v>-63.1</v>
      </c>
      <c r="L14031">
        <v>0</v>
      </c>
      <c r="M14031">
        <v>0</v>
      </c>
      <c r="N14031">
        <v>0</v>
      </c>
      <c r="O14031" t="s">
        <v>14185</v>
      </c>
    </row>
    <row r="14032" spans="1:15">
      <c r="A14032" t="s">
        <v>5182</v>
      </c>
      <c r="B14032" t="s">
        <v>11637</v>
      </c>
      <c r="C14032" t="s">
        <v>45069</v>
      </c>
      <c r="D14032" t="s">
        <v>46528</v>
      </c>
      <c r="E14032" t="b">
        <v>0</v>
      </c>
      <c r="F14032" t="s">
        <v>11610</v>
      </c>
      <c r="L14032">
        <v>0</v>
      </c>
      <c r="M14032">
        <v>0</v>
      </c>
      <c r="N14032">
        <v>0</v>
      </c>
    </row>
    <row r="14033" spans="1:15">
      <c r="A14033" t="s">
        <v>46529</v>
      </c>
      <c r="B14033" t="s">
        <v>141</v>
      </c>
      <c r="C14033" t="s">
        <v>26785</v>
      </c>
      <c r="D14033" t="s">
        <v>46530</v>
      </c>
      <c r="E14033" t="b">
        <v>0</v>
      </c>
      <c r="F14033" t="s">
        <v>11624</v>
      </c>
      <c r="G14033">
        <v>-7.2525000000000006E-2</v>
      </c>
      <c r="H14033">
        <v>-76.388900000000007</v>
      </c>
      <c r="I14033" t="s">
        <v>46531</v>
      </c>
      <c r="L14033">
        <v>0</v>
      </c>
      <c r="M14033">
        <v>0</v>
      </c>
      <c r="N14033">
        <v>1</v>
      </c>
      <c r="O14033" t="s">
        <v>46532</v>
      </c>
    </row>
    <row r="14034" spans="1:15">
      <c r="A14034" t="s">
        <v>46533</v>
      </c>
      <c r="B14034" t="s">
        <v>367</v>
      </c>
      <c r="C14034" t="s">
        <v>27701</v>
      </c>
      <c r="D14034" t="s">
        <v>46534</v>
      </c>
      <c r="E14034" t="b">
        <v>0</v>
      </c>
      <c r="F14034" t="s">
        <v>11610</v>
      </c>
      <c r="L14034">
        <v>0</v>
      </c>
      <c r="M14034">
        <v>0</v>
      </c>
      <c r="N14034">
        <v>0</v>
      </c>
    </row>
    <row r="14035" spans="1:15">
      <c r="A14035" t="s">
        <v>46535</v>
      </c>
      <c r="B14035" t="s">
        <v>367</v>
      </c>
      <c r="C14035" t="s">
        <v>15693</v>
      </c>
      <c r="D14035" t="s">
        <v>46536</v>
      </c>
      <c r="E14035" t="b">
        <v>0</v>
      </c>
      <c r="F14035" t="s">
        <v>11624</v>
      </c>
      <c r="G14035">
        <v>-1.4370700000000001</v>
      </c>
      <c r="H14035">
        <v>120.33799999999999</v>
      </c>
      <c r="I14035" t="s">
        <v>46537</v>
      </c>
      <c r="L14035">
        <v>0</v>
      </c>
      <c r="M14035">
        <v>0</v>
      </c>
      <c r="N14035">
        <v>0</v>
      </c>
      <c r="O14035" t="s">
        <v>11768</v>
      </c>
    </row>
    <row r="14036" spans="1:15">
      <c r="A14036" t="s">
        <v>27366</v>
      </c>
      <c r="B14036" t="s">
        <v>11644</v>
      </c>
      <c r="C14036" t="s">
        <v>20512</v>
      </c>
      <c r="D14036" t="s">
        <v>46538</v>
      </c>
      <c r="E14036" t="b">
        <v>0</v>
      </c>
      <c r="F14036" t="s">
        <v>11622</v>
      </c>
      <c r="L14036">
        <v>13</v>
      </c>
      <c r="M14036">
        <v>28</v>
      </c>
      <c r="N14036">
        <v>66</v>
      </c>
    </row>
    <row r="14037" spans="1:15">
      <c r="A14037" t="s">
        <v>46539</v>
      </c>
      <c r="B14037" t="s">
        <v>6742</v>
      </c>
      <c r="C14037" t="s">
        <v>3500</v>
      </c>
      <c r="D14037" t="s">
        <v>46540</v>
      </c>
      <c r="E14037" t="b">
        <v>0</v>
      </c>
      <c r="F14037" t="s">
        <v>11610</v>
      </c>
      <c r="L14037">
        <v>0</v>
      </c>
      <c r="M14037">
        <v>0</v>
      </c>
      <c r="N14037">
        <v>0</v>
      </c>
    </row>
    <row r="14038" spans="1:15">
      <c r="A14038" t="s">
        <v>26637</v>
      </c>
      <c r="D14038" t="s">
        <v>46541</v>
      </c>
      <c r="E14038" t="b">
        <v>0</v>
      </c>
      <c r="F14038" t="s">
        <v>11624</v>
      </c>
      <c r="G14038">
        <v>15.325100000000001</v>
      </c>
      <c r="H14038">
        <v>37.499000000000002</v>
      </c>
      <c r="I14038" t="s">
        <v>46542</v>
      </c>
      <c r="L14038">
        <v>0</v>
      </c>
      <c r="M14038">
        <v>0</v>
      </c>
      <c r="N14038">
        <v>6</v>
      </c>
      <c r="O14038" t="s">
        <v>18611</v>
      </c>
    </row>
    <row r="14039" spans="1:15">
      <c r="A14039" t="s">
        <v>46543</v>
      </c>
      <c r="B14039" t="s">
        <v>367</v>
      </c>
      <c r="C14039" t="s">
        <v>13374</v>
      </c>
      <c r="D14039" t="s">
        <v>46544</v>
      </c>
      <c r="E14039" t="b">
        <v>0</v>
      </c>
      <c r="F14039" t="s">
        <v>11624</v>
      </c>
      <c r="G14039">
        <v>-15.5259</v>
      </c>
      <c r="H14039">
        <v>167.047</v>
      </c>
      <c r="I14039" t="s">
        <v>46545</v>
      </c>
      <c r="L14039">
        <v>0</v>
      </c>
      <c r="M14039">
        <v>0</v>
      </c>
      <c r="N14039">
        <v>0</v>
      </c>
      <c r="O14039" t="s">
        <v>12719</v>
      </c>
    </row>
    <row r="14040" spans="1:15">
      <c r="A14040" t="s">
        <v>46546</v>
      </c>
      <c r="B14040" t="s">
        <v>11615</v>
      </c>
      <c r="C14040" t="s">
        <v>34751</v>
      </c>
      <c r="D14040" t="s">
        <v>46547</v>
      </c>
      <c r="E14040" t="b">
        <v>0</v>
      </c>
      <c r="F14040" t="s">
        <v>11624</v>
      </c>
      <c r="G14040">
        <v>-5.5590999999999999</v>
      </c>
      <c r="H14040">
        <v>144.75399999999999</v>
      </c>
      <c r="I14040" t="s">
        <v>46548</v>
      </c>
      <c r="L14040">
        <v>0</v>
      </c>
      <c r="M14040">
        <v>0</v>
      </c>
      <c r="N14040">
        <v>0</v>
      </c>
      <c r="O14040" t="s">
        <v>11660</v>
      </c>
    </row>
    <row r="14041" spans="1:15">
      <c r="A14041" t="s">
        <v>46549</v>
      </c>
      <c r="B14041" t="s">
        <v>11627</v>
      </c>
      <c r="C14041" t="s">
        <v>11627</v>
      </c>
      <c r="D14041" t="s">
        <v>46550</v>
      </c>
      <c r="E14041" t="b">
        <v>1</v>
      </c>
      <c r="F14041" t="s">
        <v>11624</v>
      </c>
      <c r="G14041">
        <v>-3.43594</v>
      </c>
      <c r="H14041">
        <v>139.876</v>
      </c>
      <c r="I14041" t="s">
        <v>46551</v>
      </c>
      <c r="L14041">
        <v>0</v>
      </c>
      <c r="M14041">
        <v>0</v>
      </c>
      <c r="N14041">
        <v>0</v>
      </c>
      <c r="O14041" t="s">
        <v>11768</v>
      </c>
    </row>
    <row r="14042" spans="1:15">
      <c r="A14042" t="s">
        <v>46552</v>
      </c>
      <c r="B14042" t="s">
        <v>15569</v>
      </c>
      <c r="C14042" t="s">
        <v>24747</v>
      </c>
      <c r="D14042" t="s">
        <v>46553</v>
      </c>
      <c r="E14042" t="b">
        <v>0</v>
      </c>
      <c r="F14042" t="s">
        <v>11624</v>
      </c>
      <c r="G14042">
        <v>4.8033099999999997</v>
      </c>
      <c r="H14042">
        <v>33.331200000000003</v>
      </c>
      <c r="I14042" t="s">
        <v>46554</v>
      </c>
      <c r="L14042">
        <v>0</v>
      </c>
      <c r="M14042">
        <v>0</v>
      </c>
      <c r="N14042">
        <v>0</v>
      </c>
      <c r="O14042" t="s">
        <v>11910</v>
      </c>
    </row>
    <row r="14043" spans="1:15">
      <c r="A14043" t="s">
        <v>46555</v>
      </c>
      <c r="B14043" t="s">
        <v>10597</v>
      </c>
      <c r="C14043" t="s">
        <v>24965</v>
      </c>
      <c r="D14043" t="s">
        <v>46556</v>
      </c>
      <c r="E14043" t="b">
        <v>0</v>
      </c>
      <c r="F14043" t="s">
        <v>11610</v>
      </c>
      <c r="I14043" t="s">
        <v>46557</v>
      </c>
      <c r="L14043">
        <v>0</v>
      </c>
      <c r="M14043">
        <v>0</v>
      </c>
      <c r="N14043">
        <v>0</v>
      </c>
      <c r="O14043" t="s">
        <v>12107</v>
      </c>
    </row>
    <row r="14044" spans="1:15">
      <c r="A14044" t="s">
        <v>13589</v>
      </c>
      <c r="B14044" t="s">
        <v>4236</v>
      </c>
      <c r="C14044" t="s">
        <v>38775</v>
      </c>
      <c r="D14044" t="s">
        <v>46558</v>
      </c>
      <c r="E14044" t="b">
        <v>0</v>
      </c>
      <c r="F14044" t="s">
        <v>11622</v>
      </c>
      <c r="L14044">
        <v>1</v>
      </c>
      <c r="M14044">
        <v>3</v>
      </c>
      <c r="N14044">
        <v>8</v>
      </c>
    </row>
    <row r="14045" spans="1:15">
      <c r="A14045" t="s">
        <v>4228</v>
      </c>
      <c r="B14045" t="s">
        <v>4236</v>
      </c>
      <c r="C14045" t="s">
        <v>13589</v>
      </c>
      <c r="D14045" t="s">
        <v>46559</v>
      </c>
      <c r="E14045" t="b">
        <v>0</v>
      </c>
      <c r="F14045" t="s">
        <v>11624</v>
      </c>
      <c r="G14045">
        <v>-22.093900000000001</v>
      </c>
      <c r="H14045">
        <v>20.745799999999999</v>
      </c>
      <c r="I14045" t="s">
        <v>4229</v>
      </c>
      <c r="L14045">
        <v>0</v>
      </c>
      <c r="M14045">
        <v>0</v>
      </c>
      <c r="N14045">
        <v>3</v>
      </c>
      <c r="O14045" t="s">
        <v>31019</v>
      </c>
    </row>
    <row r="14046" spans="1:15">
      <c r="A14046" t="s">
        <v>46560</v>
      </c>
      <c r="B14046" t="s">
        <v>367</v>
      </c>
      <c r="C14046" t="s">
        <v>15755</v>
      </c>
      <c r="D14046" t="s">
        <v>46561</v>
      </c>
      <c r="E14046" t="b">
        <v>0</v>
      </c>
      <c r="F14046" t="s">
        <v>11610</v>
      </c>
      <c r="L14046">
        <v>0</v>
      </c>
      <c r="M14046">
        <v>0</v>
      </c>
      <c r="N14046">
        <v>0</v>
      </c>
    </row>
    <row r="14047" spans="1:15">
      <c r="A14047" t="s">
        <v>44671</v>
      </c>
      <c r="B14047" t="s">
        <v>367</v>
      </c>
      <c r="C14047" t="s">
        <v>21868</v>
      </c>
      <c r="D14047" t="s">
        <v>46562</v>
      </c>
      <c r="E14047" t="b">
        <v>0</v>
      </c>
      <c r="F14047" t="s">
        <v>11624</v>
      </c>
      <c r="G14047">
        <v>4.4211499999999999</v>
      </c>
      <c r="H14047">
        <v>114.011</v>
      </c>
      <c r="I14047" t="s">
        <v>46563</v>
      </c>
      <c r="L14047">
        <v>0</v>
      </c>
      <c r="M14047">
        <v>0</v>
      </c>
      <c r="N14047">
        <v>2</v>
      </c>
      <c r="O14047" t="s">
        <v>11672</v>
      </c>
    </row>
    <row r="14048" spans="1:15">
      <c r="A14048" t="s">
        <v>46564</v>
      </c>
      <c r="B14048" t="s">
        <v>11644</v>
      </c>
      <c r="C14048" t="s">
        <v>42375</v>
      </c>
      <c r="D14048" t="s">
        <v>46565</v>
      </c>
      <c r="E14048" t="b">
        <v>0</v>
      </c>
      <c r="F14048" t="s">
        <v>11624</v>
      </c>
      <c r="G14048">
        <v>28.767140000000001</v>
      </c>
      <c r="H14048">
        <v>84.228520000000003</v>
      </c>
      <c r="I14048" t="s">
        <v>46566</v>
      </c>
      <c r="L14048">
        <v>0</v>
      </c>
      <c r="M14048">
        <v>0</v>
      </c>
      <c r="N14048">
        <v>2</v>
      </c>
      <c r="O14048" t="s">
        <v>15007</v>
      </c>
    </row>
    <row r="14049" spans="1:15">
      <c r="A14049" t="s">
        <v>46567</v>
      </c>
      <c r="B14049" t="s">
        <v>11644</v>
      </c>
      <c r="C14049" t="s">
        <v>46564</v>
      </c>
      <c r="D14049" t="s">
        <v>46568</v>
      </c>
      <c r="E14049" t="b">
        <v>0</v>
      </c>
      <c r="F14049" t="s">
        <v>11610</v>
      </c>
      <c r="L14049">
        <v>0</v>
      </c>
      <c r="M14049">
        <v>0</v>
      </c>
      <c r="N14049">
        <v>0</v>
      </c>
    </row>
    <row r="14050" spans="1:15">
      <c r="A14050" t="s">
        <v>46569</v>
      </c>
      <c r="B14050" t="s">
        <v>10597</v>
      </c>
      <c r="C14050" t="s">
        <v>40896</v>
      </c>
      <c r="D14050" t="s">
        <v>46570</v>
      </c>
      <c r="E14050" t="b">
        <v>0</v>
      </c>
      <c r="F14050" t="s">
        <v>11624</v>
      </c>
      <c r="G14050">
        <v>-36.2301</v>
      </c>
      <c r="H14050">
        <v>140.15799999999999</v>
      </c>
      <c r="I14050" t="s">
        <v>46571</v>
      </c>
      <c r="L14050">
        <v>0</v>
      </c>
      <c r="M14050">
        <v>0</v>
      </c>
      <c r="N14050">
        <v>2</v>
      </c>
      <c r="O14050" t="s">
        <v>12107</v>
      </c>
    </row>
    <row r="14051" spans="1:15">
      <c r="A14051" t="s">
        <v>46572</v>
      </c>
      <c r="B14051" t="s">
        <v>11729</v>
      </c>
      <c r="C14051" t="s">
        <v>5883</v>
      </c>
      <c r="D14051" t="s">
        <v>46573</v>
      </c>
      <c r="E14051" t="b">
        <v>0</v>
      </c>
      <c r="F14051" t="s">
        <v>11610</v>
      </c>
      <c r="L14051">
        <v>0</v>
      </c>
      <c r="M14051">
        <v>0</v>
      </c>
      <c r="N14051">
        <v>0</v>
      </c>
    </row>
    <row r="14052" spans="1:15">
      <c r="A14052" t="s">
        <v>3165</v>
      </c>
      <c r="D14052" t="s">
        <v>46574</v>
      </c>
      <c r="E14052" t="b">
        <v>0</v>
      </c>
      <c r="F14052" t="s">
        <v>11622</v>
      </c>
      <c r="L14052">
        <v>5</v>
      </c>
      <c r="M14052">
        <v>8</v>
      </c>
      <c r="N14052">
        <v>6</v>
      </c>
    </row>
    <row r="14053" spans="1:15">
      <c r="A14053" t="s">
        <v>46575</v>
      </c>
      <c r="B14053" t="s">
        <v>12979</v>
      </c>
      <c r="C14053" t="s">
        <v>44967</v>
      </c>
      <c r="D14053" t="s">
        <v>46576</v>
      </c>
      <c r="E14053" t="b">
        <v>0</v>
      </c>
      <c r="F14053" t="s">
        <v>11610</v>
      </c>
      <c r="I14053" t="s">
        <v>46577</v>
      </c>
      <c r="L14053">
        <v>0</v>
      </c>
      <c r="M14053">
        <v>0</v>
      </c>
      <c r="N14053">
        <v>0</v>
      </c>
    </row>
    <row r="14054" spans="1:15">
      <c r="A14054" t="s">
        <v>500</v>
      </c>
      <c r="B14054" t="s">
        <v>6742</v>
      </c>
      <c r="C14054" t="s">
        <v>11700</v>
      </c>
      <c r="D14054" t="s">
        <v>46578</v>
      </c>
      <c r="E14054" t="b">
        <v>0</v>
      </c>
      <c r="F14054" t="s">
        <v>11622</v>
      </c>
      <c r="L14054">
        <v>344</v>
      </c>
      <c r="M14054">
        <v>556</v>
      </c>
      <c r="N14054">
        <v>927</v>
      </c>
    </row>
    <row r="14055" spans="1:15">
      <c r="A14055" t="s">
        <v>43629</v>
      </c>
      <c r="B14055" t="s">
        <v>6742</v>
      </c>
      <c r="C14055" t="s">
        <v>13363</v>
      </c>
      <c r="D14055" t="s">
        <v>46579</v>
      </c>
      <c r="E14055" t="b">
        <v>0</v>
      </c>
      <c r="F14055" t="s">
        <v>11622</v>
      </c>
      <c r="L14055">
        <v>23</v>
      </c>
      <c r="M14055">
        <v>67</v>
      </c>
      <c r="N14055">
        <v>102</v>
      </c>
    </row>
    <row r="14056" spans="1:15">
      <c r="A14056" t="s">
        <v>14432</v>
      </c>
      <c r="B14056" t="s">
        <v>11637</v>
      </c>
      <c r="C14056" t="s">
        <v>26618</v>
      </c>
      <c r="D14056" t="s">
        <v>46580</v>
      </c>
      <c r="E14056" t="b">
        <v>0</v>
      </c>
      <c r="F14056" t="s">
        <v>11622</v>
      </c>
      <c r="L14056">
        <v>0</v>
      </c>
      <c r="M14056">
        <v>2</v>
      </c>
      <c r="N14056">
        <v>0</v>
      </c>
    </row>
    <row r="14057" spans="1:15">
      <c r="A14057" t="s">
        <v>12093</v>
      </c>
      <c r="B14057" t="s">
        <v>10597</v>
      </c>
      <c r="C14057" t="s">
        <v>35475</v>
      </c>
      <c r="D14057" t="s">
        <v>46581</v>
      </c>
      <c r="E14057" t="b">
        <v>0</v>
      </c>
      <c r="F14057" t="s">
        <v>11624</v>
      </c>
      <c r="G14057">
        <v>-34.69</v>
      </c>
      <c r="H14057">
        <v>137.535</v>
      </c>
      <c r="I14057" t="s">
        <v>46582</v>
      </c>
      <c r="L14057">
        <v>0</v>
      </c>
      <c r="M14057">
        <v>0</v>
      </c>
      <c r="N14057">
        <v>2</v>
      </c>
      <c r="O14057" t="s">
        <v>12107</v>
      </c>
    </row>
    <row r="14058" spans="1:15">
      <c r="A14058" t="s">
        <v>46583</v>
      </c>
      <c r="B14058" t="s">
        <v>12260</v>
      </c>
      <c r="C14058" t="s">
        <v>21982</v>
      </c>
      <c r="D14058" t="s">
        <v>46584</v>
      </c>
      <c r="E14058" t="b">
        <v>0</v>
      </c>
      <c r="F14058" t="s">
        <v>11610</v>
      </c>
      <c r="L14058">
        <v>0</v>
      </c>
      <c r="M14058">
        <v>0</v>
      </c>
      <c r="N14058">
        <v>0</v>
      </c>
    </row>
    <row r="14059" spans="1:15">
      <c r="A14059" t="s">
        <v>46585</v>
      </c>
      <c r="B14059" t="s">
        <v>367</v>
      </c>
      <c r="C14059" t="s">
        <v>4363</v>
      </c>
      <c r="D14059" t="s">
        <v>46586</v>
      </c>
      <c r="E14059" t="b">
        <v>0</v>
      </c>
      <c r="F14059" t="s">
        <v>11624</v>
      </c>
      <c r="I14059" t="s">
        <v>46587</v>
      </c>
      <c r="L14059">
        <v>0</v>
      </c>
      <c r="M14059">
        <v>0</v>
      </c>
      <c r="N14059">
        <v>0</v>
      </c>
      <c r="O14059" t="s">
        <v>11768</v>
      </c>
    </row>
    <row r="14060" spans="1:15">
      <c r="A14060" t="s">
        <v>46588</v>
      </c>
      <c r="B14060" t="s">
        <v>367</v>
      </c>
      <c r="C14060" t="s">
        <v>24951</v>
      </c>
      <c r="D14060" t="s">
        <v>46589</v>
      </c>
      <c r="E14060" t="b">
        <v>0</v>
      </c>
      <c r="F14060" t="s">
        <v>11624</v>
      </c>
      <c r="G14060">
        <v>-16.349699999999999</v>
      </c>
      <c r="H14060">
        <v>167.41399999999999</v>
      </c>
      <c r="I14060" t="s">
        <v>46590</v>
      </c>
      <c r="L14060">
        <v>0</v>
      </c>
      <c r="M14060">
        <v>0</v>
      </c>
      <c r="N14060">
        <v>0</v>
      </c>
      <c r="O14060" t="s">
        <v>12719</v>
      </c>
    </row>
    <row r="14061" spans="1:15">
      <c r="A14061" t="s">
        <v>46591</v>
      </c>
      <c r="B14061" t="s">
        <v>367</v>
      </c>
      <c r="C14061" t="s">
        <v>15755</v>
      </c>
      <c r="D14061" t="s">
        <v>46592</v>
      </c>
      <c r="E14061" t="b">
        <v>0</v>
      </c>
      <c r="F14061" t="s">
        <v>11610</v>
      </c>
      <c r="L14061">
        <v>0</v>
      </c>
      <c r="M14061">
        <v>0</v>
      </c>
      <c r="N14061">
        <v>0</v>
      </c>
    </row>
    <row r="14062" spans="1:15">
      <c r="A14062" t="s">
        <v>46593</v>
      </c>
      <c r="B14062" t="s">
        <v>367</v>
      </c>
      <c r="C14062" t="s">
        <v>44706</v>
      </c>
      <c r="D14062" t="s">
        <v>46594</v>
      </c>
      <c r="E14062" t="b">
        <v>0</v>
      </c>
      <c r="F14062" t="s">
        <v>11610</v>
      </c>
      <c r="L14062">
        <v>0</v>
      </c>
      <c r="M14062">
        <v>0</v>
      </c>
      <c r="N14062">
        <v>0</v>
      </c>
    </row>
    <row r="14063" spans="1:15">
      <c r="A14063" t="s">
        <v>23720</v>
      </c>
      <c r="B14063" t="s">
        <v>16042</v>
      </c>
      <c r="C14063" t="s">
        <v>16042</v>
      </c>
      <c r="D14063" t="s">
        <v>46595</v>
      </c>
      <c r="E14063" t="b">
        <v>0</v>
      </c>
      <c r="F14063" t="s">
        <v>11622</v>
      </c>
      <c r="L14063">
        <v>0</v>
      </c>
      <c r="M14063">
        <v>6</v>
      </c>
      <c r="N14063">
        <v>8</v>
      </c>
    </row>
    <row r="14064" spans="1:15">
      <c r="A14064" t="s">
        <v>26345</v>
      </c>
      <c r="B14064" t="s">
        <v>12979</v>
      </c>
      <c r="C14064" t="s">
        <v>15012</v>
      </c>
      <c r="D14064" t="s">
        <v>46596</v>
      </c>
      <c r="E14064" t="b">
        <v>0</v>
      </c>
      <c r="F14064" t="s">
        <v>11624</v>
      </c>
      <c r="G14064">
        <v>55.931600000000003</v>
      </c>
      <c r="H14064">
        <v>-61.131799999999998</v>
      </c>
      <c r="I14064" t="s">
        <v>46597</v>
      </c>
      <c r="L14064">
        <v>0</v>
      </c>
      <c r="M14064">
        <v>0</v>
      </c>
      <c r="N14064">
        <v>2</v>
      </c>
      <c r="O14064" t="s">
        <v>13049</v>
      </c>
    </row>
    <row r="14065" spans="1:15">
      <c r="A14065" t="s">
        <v>46598</v>
      </c>
      <c r="B14065" t="s">
        <v>11844</v>
      </c>
      <c r="C14065" t="s">
        <v>1264</v>
      </c>
      <c r="D14065" t="s">
        <v>46599</v>
      </c>
      <c r="E14065" t="b">
        <v>0</v>
      </c>
      <c r="F14065" t="s">
        <v>11610</v>
      </c>
      <c r="L14065">
        <v>0</v>
      </c>
      <c r="M14065">
        <v>0</v>
      </c>
      <c r="N14065">
        <v>0</v>
      </c>
    </row>
    <row r="14066" spans="1:15">
      <c r="A14066" t="s">
        <v>46600</v>
      </c>
      <c r="B14066" t="s">
        <v>11637</v>
      </c>
      <c r="C14066" t="s">
        <v>14195</v>
      </c>
      <c r="D14066" t="s">
        <v>46601</v>
      </c>
      <c r="E14066" t="b">
        <v>0</v>
      </c>
      <c r="F14066" t="s">
        <v>11610</v>
      </c>
      <c r="L14066">
        <v>0</v>
      </c>
      <c r="M14066">
        <v>0</v>
      </c>
      <c r="N14066">
        <v>0</v>
      </c>
    </row>
    <row r="14067" spans="1:15">
      <c r="A14067" t="s">
        <v>46602</v>
      </c>
      <c r="B14067" t="s">
        <v>11644</v>
      </c>
      <c r="C14067" t="s">
        <v>15414</v>
      </c>
      <c r="D14067" t="s">
        <v>46603</v>
      </c>
      <c r="E14067" t="b">
        <v>0</v>
      </c>
      <c r="F14067" t="s">
        <v>11622</v>
      </c>
      <c r="L14067">
        <v>4</v>
      </c>
      <c r="M14067">
        <v>9</v>
      </c>
      <c r="N14067">
        <v>14</v>
      </c>
    </row>
    <row r="14068" spans="1:15">
      <c r="A14068" t="s">
        <v>29059</v>
      </c>
      <c r="B14068" t="s">
        <v>11644</v>
      </c>
      <c r="C14068" t="s">
        <v>46604</v>
      </c>
      <c r="D14068" t="s">
        <v>46605</v>
      </c>
      <c r="E14068" t="b">
        <v>0</v>
      </c>
      <c r="F14068" t="s">
        <v>11622</v>
      </c>
      <c r="L14068">
        <v>1</v>
      </c>
      <c r="M14068">
        <v>6</v>
      </c>
      <c r="N14068">
        <v>3</v>
      </c>
    </row>
    <row r="14069" spans="1:15">
      <c r="A14069" t="s">
        <v>46606</v>
      </c>
      <c r="B14069" t="s">
        <v>367</v>
      </c>
      <c r="C14069" t="s">
        <v>46607</v>
      </c>
      <c r="D14069" t="s">
        <v>46608</v>
      </c>
      <c r="E14069" t="b">
        <v>0</v>
      </c>
      <c r="F14069" t="s">
        <v>11624</v>
      </c>
      <c r="G14069">
        <v>-16.458172999999999</v>
      </c>
      <c r="H14069">
        <v>167.63956300000001</v>
      </c>
      <c r="L14069">
        <v>0</v>
      </c>
      <c r="M14069">
        <v>0</v>
      </c>
      <c r="N14069">
        <v>0</v>
      </c>
      <c r="O14069" t="s">
        <v>11768</v>
      </c>
    </row>
    <row r="14070" spans="1:15">
      <c r="A14070" t="s">
        <v>46607</v>
      </c>
      <c r="B14070" t="s">
        <v>367</v>
      </c>
      <c r="C14070" t="s">
        <v>20767</v>
      </c>
      <c r="D14070" t="s">
        <v>46609</v>
      </c>
      <c r="E14070" t="b">
        <v>0</v>
      </c>
      <c r="F14070" t="s">
        <v>11622</v>
      </c>
      <c r="L14070">
        <v>0</v>
      </c>
      <c r="M14070">
        <v>2</v>
      </c>
      <c r="N14070">
        <v>0</v>
      </c>
    </row>
    <row r="14071" spans="1:15">
      <c r="A14071" t="s">
        <v>46610</v>
      </c>
      <c r="B14071" t="s">
        <v>11627</v>
      </c>
      <c r="C14071" t="s">
        <v>11627</v>
      </c>
      <c r="D14071" t="s">
        <v>46611</v>
      </c>
      <c r="E14071" t="b">
        <v>1</v>
      </c>
      <c r="F14071" t="s">
        <v>11624</v>
      </c>
      <c r="G14071">
        <v>4.1666499999999997</v>
      </c>
      <c r="H14071">
        <v>-75.033299999999997</v>
      </c>
      <c r="I14071" t="s">
        <v>46612</v>
      </c>
      <c r="L14071">
        <v>0</v>
      </c>
      <c r="M14071">
        <v>0</v>
      </c>
      <c r="N14071">
        <v>0</v>
      </c>
      <c r="O14071" t="s">
        <v>11898</v>
      </c>
    </row>
    <row r="14072" spans="1:15">
      <c r="A14072" t="s">
        <v>46613</v>
      </c>
      <c r="B14072" t="s">
        <v>11637</v>
      </c>
      <c r="C14072" t="s">
        <v>35319</v>
      </c>
      <c r="D14072" t="s">
        <v>46614</v>
      </c>
      <c r="E14072" t="b">
        <v>0</v>
      </c>
      <c r="F14072" t="s">
        <v>11624</v>
      </c>
      <c r="G14072">
        <v>33.459299999999999</v>
      </c>
      <c r="H14072">
        <v>51.953800000000001</v>
      </c>
      <c r="I14072" t="s">
        <v>46615</v>
      </c>
      <c r="L14072">
        <v>0</v>
      </c>
      <c r="M14072">
        <v>0</v>
      </c>
      <c r="N14072">
        <v>0</v>
      </c>
      <c r="O14072" t="s">
        <v>13225</v>
      </c>
    </row>
    <row r="14073" spans="1:15">
      <c r="A14073" t="s">
        <v>46616</v>
      </c>
      <c r="B14073" t="s">
        <v>11637</v>
      </c>
      <c r="C14073" t="s">
        <v>19820</v>
      </c>
      <c r="D14073" t="s">
        <v>46617</v>
      </c>
      <c r="E14073" t="b">
        <v>0</v>
      </c>
      <c r="F14073" t="s">
        <v>11610</v>
      </c>
      <c r="L14073">
        <v>0</v>
      </c>
      <c r="M14073">
        <v>0</v>
      </c>
      <c r="N14073">
        <v>0</v>
      </c>
    </row>
    <row r="14074" spans="1:15">
      <c r="A14074" t="s">
        <v>46618</v>
      </c>
      <c r="B14074" t="s">
        <v>367</v>
      </c>
      <c r="C14074" t="s">
        <v>4580</v>
      </c>
      <c r="D14074" t="s">
        <v>46619</v>
      </c>
      <c r="E14074" t="b">
        <v>0</v>
      </c>
      <c r="F14074" t="s">
        <v>11610</v>
      </c>
      <c r="G14074">
        <v>23.938600000000001</v>
      </c>
      <c r="H14074">
        <v>121.59</v>
      </c>
      <c r="I14074" t="s">
        <v>46620</v>
      </c>
      <c r="L14074">
        <v>0</v>
      </c>
      <c r="M14074">
        <v>0</v>
      </c>
      <c r="N14074">
        <v>0</v>
      </c>
      <c r="O14074" t="s">
        <v>13484</v>
      </c>
    </row>
    <row r="14075" spans="1:15">
      <c r="A14075" t="s">
        <v>46621</v>
      </c>
      <c r="B14075" t="s">
        <v>6742</v>
      </c>
      <c r="C14075" t="s">
        <v>44859</v>
      </c>
      <c r="D14075" t="s">
        <v>46622</v>
      </c>
      <c r="E14075" t="b">
        <v>0</v>
      </c>
      <c r="F14075" t="s">
        <v>11610</v>
      </c>
      <c r="L14075">
        <v>0</v>
      </c>
      <c r="M14075">
        <v>0</v>
      </c>
      <c r="N14075">
        <v>0</v>
      </c>
    </row>
    <row r="14076" spans="1:15">
      <c r="A14076" t="s">
        <v>46623</v>
      </c>
      <c r="D14076" t="s">
        <v>46624</v>
      </c>
      <c r="E14076" t="b">
        <v>0</v>
      </c>
      <c r="F14076" t="s">
        <v>11624</v>
      </c>
      <c r="G14076">
        <v>31.75</v>
      </c>
      <c r="H14076">
        <v>-91.33</v>
      </c>
      <c r="I14076" t="s">
        <v>46625</v>
      </c>
      <c r="L14076">
        <v>0</v>
      </c>
      <c r="M14076">
        <v>0</v>
      </c>
      <c r="N14076">
        <v>0</v>
      </c>
      <c r="O14076" t="s">
        <v>11944</v>
      </c>
    </row>
    <row r="14077" spans="1:15">
      <c r="A14077" t="s">
        <v>38294</v>
      </c>
      <c r="B14077" t="s">
        <v>6742</v>
      </c>
      <c r="C14077" t="s">
        <v>24927</v>
      </c>
      <c r="D14077" t="s">
        <v>46626</v>
      </c>
      <c r="E14077" t="b">
        <v>0</v>
      </c>
      <c r="F14077" t="s">
        <v>11624</v>
      </c>
      <c r="G14077">
        <v>10.5191</v>
      </c>
      <c r="H14077">
        <v>1.21879</v>
      </c>
      <c r="I14077" t="s">
        <v>46627</v>
      </c>
      <c r="L14077">
        <v>0</v>
      </c>
      <c r="M14077">
        <v>0</v>
      </c>
      <c r="N14077">
        <v>4</v>
      </c>
      <c r="O14077" t="s">
        <v>15477</v>
      </c>
    </row>
    <row r="14078" spans="1:15">
      <c r="A14078" t="s">
        <v>46628</v>
      </c>
      <c r="B14078" t="s">
        <v>6742</v>
      </c>
      <c r="C14078" t="s">
        <v>23005</v>
      </c>
      <c r="D14078" t="s">
        <v>46629</v>
      </c>
      <c r="E14078" t="b">
        <v>0</v>
      </c>
      <c r="F14078" t="s">
        <v>11624</v>
      </c>
      <c r="G14078">
        <v>-16.097300000000001</v>
      </c>
      <c r="H14078">
        <v>39.906199999999998</v>
      </c>
      <c r="I14078" t="s">
        <v>46630</v>
      </c>
      <c r="L14078">
        <v>0</v>
      </c>
      <c r="M14078">
        <v>0</v>
      </c>
      <c r="N14078">
        <v>0</v>
      </c>
      <c r="O14078" t="s">
        <v>17188</v>
      </c>
    </row>
    <row r="14079" spans="1:15">
      <c r="A14079" t="s">
        <v>29292</v>
      </c>
      <c r="B14079" t="s">
        <v>6742</v>
      </c>
      <c r="C14079" t="s">
        <v>46631</v>
      </c>
      <c r="D14079" t="s">
        <v>46632</v>
      </c>
      <c r="E14079" t="b">
        <v>0</v>
      </c>
      <c r="F14079" t="s">
        <v>11624</v>
      </c>
      <c r="G14079">
        <v>10.717599999999999</v>
      </c>
      <c r="H14079">
        <v>-5.1951700000000001</v>
      </c>
      <c r="I14079" t="s">
        <v>46633</v>
      </c>
      <c r="L14079">
        <v>0</v>
      </c>
      <c r="M14079">
        <v>0</v>
      </c>
      <c r="N14079">
        <v>2</v>
      </c>
      <c r="O14079" t="s">
        <v>19305</v>
      </c>
    </row>
    <row r="14080" spans="1:15">
      <c r="A14080" t="s">
        <v>46634</v>
      </c>
      <c r="B14080" t="s">
        <v>367</v>
      </c>
      <c r="C14080" t="s">
        <v>38869</v>
      </c>
      <c r="D14080" t="s">
        <v>46635</v>
      </c>
      <c r="E14080" t="b">
        <v>0</v>
      </c>
      <c r="F14080" t="s">
        <v>11624</v>
      </c>
      <c r="G14080">
        <v>-16.468709</v>
      </c>
      <c r="H14080">
        <v>167.49605399999999</v>
      </c>
      <c r="L14080">
        <v>0</v>
      </c>
      <c r="M14080">
        <v>0</v>
      </c>
      <c r="N14080">
        <v>0</v>
      </c>
      <c r="O14080" t="s">
        <v>12719</v>
      </c>
    </row>
    <row r="14081" spans="1:15">
      <c r="A14081" t="s">
        <v>17259</v>
      </c>
      <c r="B14081" t="s">
        <v>6742</v>
      </c>
      <c r="C14081" t="s">
        <v>28255</v>
      </c>
      <c r="D14081" t="s">
        <v>46636</v>
      </c>
      <c r="E14081" t="b">
        <v>0</v>
      </c>
      <c r="F14081" t="s">
        <v>11622</v>
      </c>
      <c r="L14081">
        <v>4</v>
      </c>
      <c r="M14081">
        <v>8</v>
      </c>
      <c r="N14081">
        <v>13</v>
      </c>
    </row>
    <row r="14082" spans="1:15">
      <c r="A14082" t="s">
        <v>46637</v>
      </c>
      <c r="B14082" t="s">
        <v>11653</v>
      </c>
      <c r="C14082" t="s">
        <v>11654</v>
      </c>
      <c r="D14082" t="s">
        <v>46638</v>
      </c>
      <c r="E14082" t="b">
        <v>0</v>
      </c>
      <c r="F14082" t="s">
        <v>11610</v>
      </c>
      <c r="L14082">
        <v>0</v>
      </c>
      <c r="M14082">
        <v>0</v>
      </c>
      <c r="N14082">
        <v>0</v>
      </c>
    </row>
    <row r="14083" spans="1:15">
      <c r="A14083" t="s">
        <v>32558</v>
      </c>
      <c r="B14083" t="s">
        <v>367</v>
      </c>
      <c r="C14083" t="s">
        <v>46333</v>
      </c>
      <c r="D14083" t="s">
        <v>46639</v>
      </c>
      <c r="E14083" t="b">
        <v>0</v>
      </c>
      <c r="F14083" t="s">
        <v>11624</v>
      </c>
      <c r="G14083">
        <v>-10.677099999999999</v>
      </c>
      <c r="H14083">
        <v>165.83500000000001</v>
      </c>
      <c r="I14083" t="s">
        <v>46640</v>
      </c>
      <c r="L14083">
        <v>0</v>
      </c>
      <c r="M14083">
        <v>0</v>
      </c>
      <c r="N14083">
        <v>10</v>
      </c>
      <c r="O14083" t="s">
        <v>13346</v>
      </c>
    </row>
    <row r="14084" spans="1:15">
      <c r="A14084" t="s">
        <v>46641</v>
      </c>
      <c r="B14084" t="s">
        <v>367</v>
      </c>
      <c r="C14084" t="s">
        <v>46642</v>
      </c>
      <c r="D14084" t="s">
        <v>46643</v>
      </c>
      <c r="E14084" t="b">
        <v>0</v>
      </c>
      <c r="F14084" t="s">
        <v>11610</v>
      </c>
      <c r="L14084">
        <v>0</v>
      </c>
      <c r="M14084">
        <v>0</v>
      </c>
      <c r="N14084">
        <v>0</v>
      </c>
    </row>
    <row r="14085" spans="1:15">
      <c r="A14085" t="s">
        <v>46644</v>
      </c>
      <c r="B14085" t="s">
        <v>13360</v>
      </c>
      <c r="C14085" t="s">
        <v>13360</v>
      </c>
      <c r="D14085" t="s">
        <v>46645</v>
      </c>
      <c r="E14085" t="b">
        <v>0</v>
      </c>
      <c r="F14085" t="s">
        <v>11624</v>
      </c>
      <c r="G14085">
        <v>-10.1856656</v>
      </c>
      <c r="H14085">
        <v>-36.849340900000001</v>
      </c>
      <c r="L14085">
        <v>0</v>
      </c>
      <c r="M14085">
        <v>0</v>
      </c>
      <c r="N14085">
        <v>0</v>
      </c>
      <c r="O14085" t="s">
        <v>11969</v>
      </c>
    </row>
    <row r="14086" spans="1:15">
      <c r="A14086" t="s">
        <v>46646</v>
      </c>
      <c r="B14086" t="s">
        <v>11627</v>
      </c>
      <c r="C14086" t="s">
        <v>11627</v>
      </c>
      <c r="D14086" t="s">
        <v>46647</v>
      </c>
      <c r="E14086" t="b">
        <v>1</v>
      </c>
      <c r="F14086" t="s">
        <v>11624</v>
      </c>
      <c r="G14086">
        <v>-10.677099999999999</v>
      </c>
      <c r="H14086">
        <v>165.83500000000001</v>
      </c>
      <c r="I14086" t="s">
        <v>46648</v>
      </c>
      <c r="L14086">
        <v>0</v>
      </c>
      <c r="M14086">
        <v>0</v>
      </c>
      <c r="N14086">
        <v>0</v>
      </c>
      <c r="O14086" t="s">
        <v>13346</v>
      </c>
    </row>
    <row r="14087" spans="1:15">
      <c r="A14087" t="s">
        <v>46333</v>
      </c>
      <c r="B14087" t="s">
        <v>367</v>
      </c>
      <c r="C14087" t="s">
        <v>15466</v>
      </c>
      <c r="D14087" t="s">
        <v>46649</v>
      </c>
      <c r="E14087" t="b">
        <v>0</v>
      </c>
      <c r="F14087" t="s">
        <v>11622</v>
      </c>
      <c r="L14087">
        <v>0</v>
      </c>
      <c r="M14087">
        <v>2</v>
      </c>
      <c r="N14087">
        <v>14</v>
      </c>
    </row>
    <row r="14088" spans="1:15">
      <c r="A14088" t="s">
        <v>46650</v>
      </c>
      <c r="B14088" t="s">
        <v>367</v>
      </c>
      <c r="C14088" t="s">
        <v>34208</v>
      </c>
      <c r="D14088" t="s">
        <v>46651</v>
      </c>
      <c r="E14088" t="b">
        <v>0</v>
      </c>
      <c r="F14088" t="s">
        <v>11624</v>
      </c>
      <c r="G14088">
        <v>-8.7073300000000007</v>
      </c>
      <c r="H14088">
        <v>126.741</v>
      </c>
      <c r="I14088" t="s">
        <v>46652</v>
      </c>
      <c r="L14088">
        <v>0</v>
      </c>
      <c r="M14088">
        <v>0</v>
      </c>
      <c r="N14088">
        <v>2</v>
      </c>
      <c r="O14088" t="s">
        <v>27765</v>
      </c>
    </row>
    <row r="14089" spans="1:15">
      <c r="A14089" t="s">
        <v>46653</v>
      </c>
      <c r="B14089" t="s">
        <v>13014</v>
      </c>
      <c r="C14089" t="s">
        <v>21683</v>
      </c>
      <c r="D14089" t="s">
        <v>46654</v>
      </c>
      <c r="E14089" t="b">
        <v>0</v>
      </c>
      <c r="F14089" t="s">
        <v>11624</v>
      </c>
      <c r="G14089">
        <v>65.5184</v>
      </c>
      <c r="H14089">
        <v>-171.755</v>
      </c>
      <c r="I14089" t="s">
        <v>46655</v>
      </c>
      <c r="L14089">
        <v>0</v>
      </c>
      <c r="M14089">
        <v>0</v>
      </c>
      <c r="N14089">
        <v>0</v>
      </c>
      <c r="O14089" t="s">
        <v>12748</v>
      </c>
    </row>
    <row r="14090" spans="1:15">
      <c r="A14090" t="s">
        <v>46656</v>
      </c>
      <c r="B14090" t="s">
        <v>367</v>
      </c>
      <c r="C14090" t="s">
        <v>46650</v>
      </c>
      <c r="D14090" t="s">
        <v>46657</v>
      </c>
      <c r="E14090" t="b">
        <v>0</v>
      </c>
      <c r="F14090" t="s">
        <v>11610</v>
      </c>
      <c r="L14090">
        <v>0</v>
      </c>
      <c r="M14090">
        <v>0</v>
      </c>
      <c r="N14090">
        <v>0</v>
      </c>
    </row>
    <row r="14091" spans="1:15">
      <c r="A14091" t="s">
        <v>46658</v>
      </c>
      <c r="B14091" t="s">
        <v>367</v>
      </c>
      <c r="C14091" t="s">
        <v>39877</v>
      </c>
      <c r="D14091" t="s">
        <v>46659</v>
      </c>
      <c r="E14091" t="b">
        <v>0</v>
      </c>
      <c r="F14091" t="s">
        <v>11624</v>
      </c>
      <c r="G14091">
        <v>-2.2121300000000002</v>
      </c>
      <c r="H14091">
        <v>148.20099999999999</v>
      </c>
      <c r="I14091" t="s">
        <v>46660</v>
      </c>
      <c r="L14091">
        <v>0</v>
      </c>
      <c r="M14091">
        <v>0</v>
      </c>
      <c r="N14091">
        <v>0</v>
      </c>
      <c r="O14091" t="s">
        <v>11660</v>
      </c>
    </row>
    <row r="14092" spans="1:15">
      <c r="A14092" t="s">
        <v>46661</v>
      </c>
      <c r="B14092" t="s">
        <v>10597</v>
      </c>
      <c r="C14092" t="s">
        <v>46662</v>
      </c>
      <c r="D14092" t="s">
        <v>46663</v>
      </c>
      <c r="E14092" t="b">
        <v>0</v>
      </c>
      <c r="F14092" t="s">
        <v>11624</v>
      </c>
      <c r="G14092">
        <v>-33.796610780000002</v>
      </c>
      <c r="H14092">
        <v>135.828014</v>
      </c>
      <c r="I14092" t="s">
        <v>46664</v>
      </c>
      <c r="L14092">
        <v>0</v>
      </c>
      <c r="M14092">
        <v>0</v>
      </c>
      <c r="N14092">
        <v>0</v>
      </c>
      <c r="O14092" t="s">
        <v>12107</v>
      </c>
    </row>
    <row r="14093" spans="1:15">
      <c r="A14093" t="s">
        <v>46665</v>
      </c>
      <c r="B14093" t="s">
        <v>367</v>
      </c>
      <c r="C14093" t="s">
        <v>10879</v>
      </c>
      <c r="D14093" t="s">
        <v>46666</v>
      </c>
      <c r="E14093" t="b">
        <v>0</v>
      </c>
      <c r="F14093" t="s">
        <v>11624</v>
      </c>
      <c r="G14093">
        <v>-0.52956999999999999</v>
      </c>
      <c r="H14093">
        <v>166.922</v>
      </c>
      <c r="I14093" t="s">
        <v>46667</v>
      </c>
      <c r="L14093">
        <v>0</v>
      </c>
      <c r="M14093">
        <v>0</v>
      </c>
      <c r="N14093">
        <v>0</v>
      </c>
      <c r="O14093" t="s">
        <v>46668</v>
      </c>
    </row>
    <row r="14094" spans="1:15">
      <c r="A14094" t="s">
        <v>46669</v>
      </c>
      <c r="B14094" t="s">
        <v>367</v>
      </c>
      <c r="C14094" t="s">
        <v>30536</v>
      </c>
      <c r="D14094" t="s">
        <v>46670</v>
      </c>
      <c r="E14094" t="b">
        <v>0</v>
      </c>
      <c r="F14094" t="s">
        <v>11610</v>
      </c>
      <c r="L14094">
        <v>0</v>
      </c>
      <c r="M14094">
        <v>0</v>
      </c>
      <c r="N14094">
        <v>0</v>
      </c>
    </row>
    <row r="14095" spans="1:15">
      <c r="A14095" t="s">
        <v>46671</v>
      </c>
      <c r="B14095" t="s">
        <v>11637</v>
      </c>
      <c r="C14095" t="s">
        <v>14511</v>
      </c>
      <c r="D14095" t="s">
        <v>46672</v>
      </c>
      <c r="E14095" t="b">
        <v>0</v>
      </c>
      <c r="F14095" t="s">
        <v>11610</v>
      </c>
      <c r="L14095">
        <v>0</v>
      </c>
      <c r="M14095">
        <v>0</v>
      </c>
      <c r="N14095">
        <v>0</v>
      </c>
    </row>
    <row r="14096" spans="1:15">
      <c r="A14096" t="s">
        <v>46673</v>
      </c>
      <c r="B14096" t="s">
        <v>11637</v>
      </c>
      <c r="C14096" t="s">
        <v>239</v>
      </c>
      <c r="D14096" t="s">
        <v>46674</v>
      </c>
      <c r="E14096" t="b">
        <v>0</v>
      </c>
      <c r="F14096" t="s">
        <v>11610</v>
      </c>
      <c r="L14096">
        <v>0</v>
      </c>
      <c r="M14096">
        <v>0</v>
      </c>
      <c r="N14096">
        <v>0</v>
      </c>
    </row>
    <row r="14097" spans="1:15">
      <c r="A14097" t="s">
        <v>534</v>
      </c>
      <c r="B14097" t="s">
        <v>12460</v>
      </c>
      <c r="C14097" t="s">
        <v>44161</v>
      </c>
      <c r="D14097" t="s">
        <v>533</v>
      </c>
      <c r="E14097" t="b">
        <v>0</v>
      </c>
      <c r="F14097" t="s">
        <v>11624</v>
      </c>
      <c r="G14097">
        <v>36.210599999999999</v>
      </c>
      <c r="H14097">
        <v>-110.08199999999999</v>
      </c>
      <c r="I14097" t="s">
        <v>535</v>
      </c>
      <c r="L14097">
        <v>0</v>
      </c>
      <c r="M14097">
        <v>0</v>
      </c>
      <c r="N14097">
        <v>0</v>
      </c>
      <c r="O14097" t="s">
        <v>11944</v>
      </c>
    </row>
    <row r="14098" spans="1:15">
      <c r="A14098" t="s">
        <v>46675</v>
      </c>
      <c r="B14098" t="s">
        <v>367</v>
      </c>
      <c r="C14098" t="s">
        <v>44127</v>
      </c>
      <c r="D14098" t="s">
        <v>46676</v>
      </c>
      <c r="E14098" t="b">
        <v>0</v>
      </c>
      <c r="F14098" t="s">
        <v>11624</v>
      </c>
      <c r="G14098">
        <v>-15.3169</v>
      </c>
      <c r="H14098">
        <v>166.798</v>
      </c>
      <c r="I14098" t="s">
        <v>46677</v>
      </c>
      <c r="L14098">
        <v>0</v>
      </c>
      <c r="M14098">
        <v>0</v>
      </c>
      <c r="N14098">
        <v>0</v>
      </c>
      <c r="O14098" t="s">
        <v>12719</v>
      </c>
    </row>
    <row r="14099" spans="1:15">
      <c r="A14099" t="s">
        <v>46678</v>
      </c>
      <c r="B14099" t="s">
        <v>367</v>
      </c>
      <c r="C14099" t="s">
        <v>24951</v>
      </c>
      <c r="D14099" t="s">
        <v>46679</v>
      </c>
      <c r="E14099" t="b">
        <v>0</v>
      </c>
      <c r="F14099" t="s">
        <v>11624</v>
      </c>
      <c r="G14099">
        <v>-16.502946999999999</v>
      </c>
      <c r="H14099">
        <v>167.554419</v>
      </c>
      <c r="L14099">
        <v>0</v>
      </c>
      <c r="M14099">
        <v>0</v>
      </c>
      <c r="N14099">
        <v>0</v>
      </c>
      <c r="O14099" t="s">
        <v>11768</v>
      </c>
    </row>
    <row r="14100" spans="1:15">
      <c r="A14100" t="s">
        <v>46680</v>
      </c>
      <c r="B14100" t="s">
        <v>13244</v>
      </c>
      <c r="C14100" t="s">
        <v>32702</v>
      </c>
      <c r="D14100" t="s">
        <v>46681</v>
      </c>
      <c r="E14100" t="b">
        <v>0</v>
      </c>
      <c r="F14100" t="s">
        <v>11624</v>
      </c>
      <c r="G14100">
        <v>-7.68</v>
      </c>
      <c r="H14100">
        <v>-72</v>
      </c>
      <c r="L14100">
        <v>0</v>
      </c>
      <c r="M14100">
        <v>0</v>
      </c>
      <c r="N14100">
        <v>0</v>
      </c>
      <c r="O14100" t="s">
        <v>11969</v>
      </c>
    </row>
    <row r="14101" spans="1:15">
      <c r="A14101" t="s">
        <v>46682</v>
      </c>
      <c r="B14101" t="s">
        <v>11637</v>
      </c>
      <c r="C14101" t="s">
        <v>16887</v>
      </c>
      <c r="D14101" t="s">
        <v>46683</v>
      </c>
      <c r="E14101" t="b">
        <v>0</v>
      </c>
      <c r="F14101" t="s">
        <v>11610</v>
      </c>
      <c r="L14101">
        <v>0</v>
      </c>
      <c r="M14101">
        <v>0</v>
      </c>
      <c r="N14101">
        <v>0</v>
      </c>
    </row>
    <row r="14102" spans="1:15">
      <c r="A14102" t="s">
        <v>46684</v>
      </c>
      <c r="B14102" t="s">
        <v>13769</v>
      </c>
      <c r="C14102" t="s">
        <v>17092</v>
      </c>
      <c r="D14102" t="s">
        <v>46685</v>
      </c>
      <c r="E14102" t="b">
        <v>0</v>
      </c>
      <c r="F14102" t="s">
        <v>11624</v>
      </c>
      <c r="G14102">
        <v>-9.3793500000000005</v>
      </c>
      <c r="H14102">
        <v>148.23699999999999</v>
      </c>
      <c r="I14102" t="s">
        <v>46686</v>
      </c>
      <c r="L14102">
        <v>0</v>
      </c>
      <c r="M14102">
        <v>0</v>
      </c>
      <c r="N14102">
        <v>0</v>
      </c>
      <c r="O14102" t="s">
        <v>11660</v>
      </c>
    </row>
    <row r="14103" spans="1:15">
      <c r="A14103" t="s">
        <v>46687</v>
      </c>
      <c r="B14103" t="s">
        <v>12979</v>
      </c>
      <c r="C14103" t="s">
        <v>14341</v>
      </c>
      <c r="D14103" t="s">
        <v>46688</v>
      </c>
      <c r="E14103" t="b">
        <v>0</v>
      </c>
      <c r="F14103" t="s">
        <v>11624</v>
      </c>
      <c r="G14103">
        <v>41.316000000000003</v>
      </c>
      <c r="H14103">
        <v>-104.45</v>
      </c>
      <c r="I14103" t="s">
        <v>46689</v>
      </c>
      <c r="L14103">
        <v>0</v>
      </c>
      <c r="M14103">
        <v>0</v>
      </c>
      <c r="N14103">
        <v>0</v>
      </c>
      <c r="O14103" t="s">
        <v>11944</v>
      </c>
    </row>
    <row r="14104" spans="1:15">
      <c r="A14104" t="s">
        <v>46690</v>
      </c>
      <c r="B14104" t="s">
        <v>6742</v>
      </c>
      <c r="C14104" t="s">
        <v>46691</v>
      </c>
      <c r="D14104" t="s">
        <v>46692</v>
      </c>
      <c r="E14104" t="b">
        <v>0</v>
      </c>
      <c r="F14104" t="s">
        <v>11624</v>
      </c>
      <c r="G14104">
        <v>7.1703700000000001</v>
      </c>
      <c r="H14104">
        <v>0.58552999999999999</v>
      </c>
      <c r="I14104" t="s">
        <v>46693</v>
      </c>
      <c r="L14104">
        <v>0</v>
      </c>
      <c r="M14104">
        <v>0</v>
      </c>
      <c r="N14104">
        <v>0</v>
      </c>
      <c r="O14104" t="s">
        <v>12006</v>
      </c>
    </row>
    <row r="14105" spans="1:15">
      <c r="A14105" t="s">
        <v>46694</v>
      </c>
      <c r="B14105" t="s">
        <v>10597</v>
      </c>
      <c r="C14105" t="s">
        <v>35054</v>
      </c>
      <c r="D14105" t="s">
        <v>46695</v>
      </c>
      <c r="E14105" t="b">
        <v>0</v>
      </c>
      <c r="F14105" t="s">
        <v>11610</v>
      </c>
      <c r="L14105">
        <v>0</v>
      </c>
      <c r="M14105">
        <v>0</v>
      </c>
      <c r="N14105">
        <v>0</v>
      </c>
    </row>
    <row r="14106" spans="1:15">
      <c r="A14106" t="s">
        <v>46696</v>
      </c>
      <c r="B14106" t="s">
        <v>6742</v>
      </c>
      <c r="C14106" t="s">
        <v>29246</v>
      </c>
      <c r="D14106" t="s">
        <v>46697</v>
      </c>
      <c r="E14106" t="b">
        <v>0</v>
      </c>
      <c r="F14106" t="s">
        <v>11624</v>
      </c>
      <c r="G14106">
        <v>8.4511599999999998</v>
      </c>
      <c r="H14106">
        <v>4.947E-2</v>
      </c>
      <c r="I14106" t="s">
        <v>46698</v>
      </c>
      <c r="L14106">
        <v>0</v>
      </c>
      <c r="M14106">
        <v>0</v>
      </c>
      <c r="N14106">
        <v>0</v>
      </c>
      <c r="O14106" t="s">
        <v>11985</v>
      </c>
    </row>
    <row r="14107" spans="1:15">
      <c r="A14107" t="s">
        <v>46699</v>
      </c>
      <c r="B14107" t="s">
        <v>367</v>
      </c>
      <c r="C14107" t="s">
        <v>32929</v>
      </c>
      <c r="D14107" t="s">
        <v>46700</v>
      </c>
      <c r="E14107" t="b">
        <v>0</v>
      </c>
      <c r="F14107" t="s">
        <v>11610</v>
      </c>
      <c r="L14107">
        <v>0</v>
      </c>
      <c r="M14107">
        <v>0</v>
      </c>
      <c r="N14107">
        <v>0</v>
      </c>
    </row>
    <row r="14108" spans="1:15">
      <c r="A14108" t="s">
        <v>39421</v>
      </c>
      <c r="B14108" t="s">
        <v>11644</v>
      </c>
      <c r="C14108" t="s">
        <v>39627</v>
      </c>
      <c r="D14108" t="s">
        <v>46701</v>
      </c>
      <c r="E14108" t="b">
        <v>0</v>
      </c>
      <c r="F14108" t="s">
        <v>11624</v>
      </c>
      <c r="G14108">
        <v>27.5</v>
      </c>
      <c r="H14108">
        <v>100</v>
      </c>
      <c r="I14108" t="s">
        <v>46702</v>
      </c>
      <c r="L14108">
        <v>0</v>
      </c>
      <c r="M14108">
        <v>0</v>
      </c>
      <c r="N14108">
        <v>3</v>
      </c>
      <c r="O14108" t="s">
        <v>11905</v>
      </c>
    </row>
    <row r="14109" spans="1:15">
      <c r="A14109" t="s">
        <v>46703</v>
      </c>
      <c r="B14109" t="s">
        <v>11627</v>
      </c>
      <c r="C14109" t="s">
        <v>11627</v>
      </c>
      <c r="D14109" t="s">
        <v>46704</v>
      </c>
      <c r="E14109" t="b">
        <v>1</v>
      </c>
      <c r="F14109" t="s">
        <v>11624</v>
      </c>
      <c r="G14109">
        <v>27.459879999999998</v>
      </c>
      <c r="H14109">
        <v>100.18172</v>
      </c>
      <c r="I14109" t="s">
        <v>46705</v>
      </c>
      <c r="L14109">
        <v>0</v>
      </c>
      <c r="M14109">
        <v>0</v>
      </c>
      <c r="N14109">
        <v>0</v>
      </c>
      <c r="O14109" t="s">
        <v>11905</v>
      </c>
    </row>
    <row r="14110" spans="1:15">
      <c r="A14110" t="s">
        <v>46706</v>
      </c>
      <c r="B14110" t="s">
        <v>5126</v>
      </c>
      <c r="C14110" t="s">
        <v>34622</v>
      </c>
      <c r="D14110" t="s">
        <v>46707</v>
      </c>
      <c r="E14110" t="b">
        <v>0</v>
      </c>
      <c r="F14110" t="s">
        <v>11624</v>
      </c>
      <c r="L14110">
        <v>0</v>
      </c>
      <c r="M14110">
        <v>0</v>
      </c>
      <c r="N14110">
        <v>0</v>
      </c>
      <c r="O14110" t="s">
        <v>11905</v>
      </c>
    </row>
    <row r="14111" spans="1:15">
      <c r="A14111" t="s">
        <v>46708</v>
      </c>
      <c r="B14111" t="s">
        <v>11844</v>
      </c>
      <c r="C14111" t="s">
        <v>1264</v>
      </c>
      <c r="D14111" t="s">
        <v>46709</v>
      </c>
      <c r="E14111" t="b">
        <v>0</v>
      </c>
      <c r="F14111" t="s">
        <v>11610</v>
      </c>
      <c r="L14111">
        <v>0</v>
      </c>
      <c r="M14111">
        <v>0</v>
      </c>
      <c r="N14111">
        <v>0</v>
      </c>
    </row>
    <row r="14112" spans="1:15">
      <c r="A14112" t="s">
        <v>13617</v>
      </c>
      <c r="B14112" t="s">
        <v>11637</v>
      </c>
      <c r="C14112" t="s">
        <v>46710</v>
      </c>
      <c r="D14112" t="s">
        <v>46711</v>
      </c>
      <c r="E14112" t="b">
        <v>0</v>
      </c>
      <c r="F14112" t="s">
        <v>11624</v>
      </c>
      <c r="G14112">
        <v>34.221200000000003</v>
      </c>
      <c r="H14112">
        <v>53.521000000000001</v>
      </c>
      <c r="I14112" t="s">
        <v>46712</v>
      </c>
      <c r="L14112">
        <v>0</v>
      </c>
      <c r="M14112">
        <v>0</v>
      </c>
      <c r="N14112">
        <v>3</v>
      </c>
      <c r="O14112" t="s">
        <v>13225</v>
      </c>
    </row>
    <row r="14113" spans="1:15">
      <c r="A14113" t="s">
        <v>46713</v>
      </c>
      <c r="B14113" t="s">
        <v>20265</v>
      </c>
      <c r="C14113" t="s">
        <v>20265</v>
      </c>
      <c r="D14113" t="s">
        <v>46714</v>
      </c>
      <c r="E14113" t="b">
        <v>0</v>
      </c>
      <c r="F14113" t="s">
        <v>11624</v>
      </c>
      <c r="G14113">
        <v>6.8820199999999998</v>
      </c>
      <c r="H14113">
        <v>36.381300000000003</v>
      </c>
      <c r="I14113" t="s">
        <v>46715</v>
      </c>
      <c r="L14113">
        <v>0</v>
      </c>
      <c r="M14113">
        <v>0</v>
      </c>
      <c r="N14113">
        <v>0</v>
      </c>
      <c r="O14113" t="s">
        <v>11625</v>
      </c>
    </row>
    <row r="14114" spans="1:15">
      <c r="A14114" t="s">
        <v>46716</v>
      </c>
      <c r="B14114" t="s">
        <v>4342</v>
      </c>
      <c r="C14114" t="s">
        <v>46717</v>
      </c>
      <c r="D14114" t="s">
        <v>46718</v>
      </c>
      <c r="E14114" t="b">
        <v>0</v>
      </c>
      <c r="F14114" t="s">
        <v>11610</v>
      </c>
      <c r="L14114">
        <v>0</v>
      </c>
      <c r="M14114">
        <v>0</v>
      </c>
      <c r="N14114">
        <v>0</v>
      </c>
    </row>
    <row r="14115" spans="1:15">
      <c r="A14115" t="s">
        <v>46719</v>
      </c>
      <c r="B14115" t="s">
        <v>6742</v>
      </c>
      <c r="C14115" t="s">
        <v>18876</v>
      </c>
      <c r="D14115" t="s">
        <v>46720</v>
      </c>
      <c r="E14115" t="b">
        <v>0</v>
      </c>
      <c r="F14115" t="s">
        <v>11610</v>
      </c>
      <c r="L14115">
        <v>0</v>
      </c>
      <c r="M14115">
        <v>0</v>
      </c>
      <c r="N14115">
        <v>0</v>
      </c>
    </row>
    <row r="14116" spans="1:15">
      <c r="A14116" t="s">
        <v>45781</v>
      </c>
      <c r="B14116" t="s">
        <v>6742</v>
      </c>
      <c r="C14116" t="s">
        <v>23624</v>
      </c>
      <c r="D14116" t="s">
        <v>46721</v>
      </c>
      <c r="E14116" t="b">
        <v>0</v>
      </c>
      <c r="F14116" t="s">
        <v>11624</v>
      </c>
      <c r="G14116">
        <v>6.5069600000000003</v>
      </c>
      <c r="H14116">
        <v>10.5312</v>
      </c>
      <c r="I14116" t="s">
        <v>46722</v>
      </c>
      <c r="L14116">
        <v>0</v>
      </c>
      <c r="M14116">
        <v>0</v>
      </c>
      <c r="N14116">
        <v>2</v>
      </c>
      <c r="O14116" t="s">
        <v>11703</v>
      </c>
    </row>
    <row r="14117" spans="1:15">
      <c r="A14117" t="s">
        <v>23624</v>
      </c>
      <c r="B14117" t="s">
        <v>6742</v>
      </c>
      <c r="C14117" t="s">
        <v>46723</v>
      </c>
      <c r="D14117" t="s">
        <v>46724</v>
      </c>
      <c r="E14117" t="b">
        <v>0</v>
      </c>
      <c r="F14117" t="s">
        <v>11622</v>
      </c>
      <c r="L14117">
        <v>1</v>
      </c>
      <c r="M14117">
        <v>3</v>
      </c>
      <c r="N14117">
        <v>2</v>
      </c>
    </row>
    <row r="14118" spans="1:15">
      <c r="A14118" t="s">
        <v>46725</v>
      </c>
      <c r="B14118" t="s">
        <v>6742</v>
      </c>
      <c r="C14118" t="s">
        <v>18898</v>
      </c>
      <c r="D14118" t="s">
        <v>46726</v>
      </c>
      <c r="E14118" t="b">
        <v>0</v>
      </c>
      <c r="F14118" t="s">
        <v>11610</v>
      </c>
      <c r="L14118">
        <v>0</v>
      </c>
      <c r="M14118">
        <v>0</v>
      </c>
      <c r="N14118">
        <v>0</v>
      </c>
    </row>
    <row r="14119" spans="1:15">
      <c r="A14119" t="s">
        <v>46727</v>
      </c>
      <c r="B14119" t="s">
        <v>6742</v>
      </c>
      <c r="C14119" t="s">
        <v>25682</v>
      </c>
      <c r="D14119" t="s">
        <v>46728</v>
      </c>
      <c r="E14119" t="b">
        <v>0</v>
      </c>
      <c r="F14119" t="s">
        <v>11624</v>
      </c>
      <c r="G14119">
        <v>7.6302000000000003</v>
      </c>
      <c r="H14119">
        <v>-1.30881</v>
      </c>
      <c r="I14119" t="s">
        <v>46729</v>
      </c>
      <c r="L14119">
        <v>0</v>
      </c>
      <c r="M14119">
        <v>0</v>
      </c>
      <c r="N14119">
        <v>0</v>
      </c>
      <c r="O14119" t="s">
        <v>11985</v>
      </c>
    </row>
    <row r="14120" spans="1:15">
      <c r="A14120" t="s">
        <v>25682</v>
      </c>
      <c r="B14120" t="s">
        <v>6742</v>
      </c>
      <c r="C14120" t="s">
        <v>22954</v>
      </c>
      <c r="D14120" t="s">
        <v>46730</v>
      </c>
      <c r="E14120" t="b">
        <v>0</v>
      </c>
      <c r="F14120" t="s">
        <v>11622</v>
      </c>
      <c r="L14120">
        <v>0</v>
      </c>
      <c r="M14120">
        <v>2</v>
      </c>
      <c r="N14120">
        <v>3</v>
      </c>
    </row>
    <row r="14121" spans="1:15">
      <c r="A14121" t="s">
        <v>46731</v>
      </c>
      <c r="B14121" t="s">
        <v>13276</v>
      </c>
      <c r="C14121" t="s">
        <v>19158</v>
      </c>
      <c r="D14121" t="s">
        <v>46732</v>
      </c>
      <c r="E14121" t="b">
        <v>0</v>
      </c>
      <c r="F14121" t="s">
        <v>11610</v>
      </c>
      <c r="L14121">
        <v>0</v>
      </c>
      <c r="M14121">
        <v>0</v>
      </c>
      <c r="N14121">
        <v>0</v>
      </c>
    </row>
    <row r="14122" spans="1:15">
      <c r="A14122" t="s">
        <v>46733</v>
      </c>
      <c r="B14122" t="s">
        <v>6742</v>
      </c>
      <c r="C14122" t="s">
        <v>23955</v>
      </c>
      <c r="D14122" t="s">
        <v>46734</v>
      </c>
      <c r="E14122" t="b">
        <v>0</v>
      </c>
      <c r="F14122" t="s">
        <v>11624</v>
      </c>
      <c r="G14122">
        <v>8.0903899999999993</v>
      </c>
      <c r="H14122">
        <v>14.2888</v>
      </c>
      <c r="I14122" t="s">
        <v>46735</v>
      </c>
      <c r="L14122">
        <v>0</v>
      </c>
      <c r="M14122">
        <v>0</v>
      </c>
      <c r="N14122">
        <v>0</v>
      </c>
      <c r="O14122" t="s">
        <v>11703</v>
      </c>
    </row>
    <row r="14123" spans="1:15">
      <c r="A14123" t="s">
        <v>46736</v>
      </c>
      <c r="B14123" t="s">
        <v>6742</v>
      </c>
      <c r="C14123" t="s">
        <v>43750</v>
      </c>
      <c r="D14123" t="s">
        <v>46737</v>
      </c>
      <c r="E14123" t="b">
        <v>0</v>
      </c>
      <c r="F14123" t="s">
        <v>11624</v>
      </c>
      <c r="G14123">
        <v>1.5334099999999999</v>
      </c>
      <c r="H14123">
        <v>27.9693</v>
      </c>
      <c r="I14123" t="s">
        <v>46738</v>
      </c>
      <c r="L14123">
        <v>0</v>
      </c>
      <c r="M14123">
        <v>0</v>
      </c>
      <c r="N14123">
        <v>0</v>
      </c>
      <c r="O14123" t="s">
        <v>14825</v>
      </c>
    </row>
    <row r="14124" spans="1:15">
      <c r="A14124" t="s">
        <v>18898</v>
      </c>
      <c r="B14124" t="s">
        <v>6742</v>
      </c>
      <c r="C14124" t="s">
        <v>38594</v>
      </c>
      <c r="D14124" t="s">
        <v>46739</v>
      </c>
      <c r="E14124" t="b">
        <v>0</v>
      </c>
      <c r="F14124" t="s">
        <v>11610</v>
      </c>
      <c r="G14124">
        <v>6.7</v>
      </c>
      <c r="H14124">
        <v>11.03</v>
      </c>
      <c r="I14124" t="s">
        <v>46740</v>
      </c>
      <c r="L14124">
        <v>0</v>
      </c>
      <c r="M14124">
        <v>0</v>
      </c>
      <c r="N14124">
        <v>2</v>
      </c>
      <c r="O14124" t="s">
        <v>11802</v>
      </c>
    </row>
    <row r="14125" spans="1:15">
      <c r="A14125" t="s">
        <v>43750</v>
      </c>
      <c r="B14125" t="s">
        <v>6742</v>
      </c>
      <c r="C14125" t="s">
        <v>17869</v>
      </c>
      <c r="D14125" t="s">
        <v>46741</v>
      </c>
      <c r="E14125" t="b">
        <v>0</v>
      </c>
      <c r="F14125" t="s">
        <v>11622</v>
      </c>
      <c r="L14125">
        <v>0</v>
      </c>
      <c r="M14125">
        <v>2</v>
      </c>
      <c r="N14125">
        <v>0</v>
      </c>
    </row>
    <row r="14126" spans="1:15">
      <c r="A14126" t="s">
        <v>46742</v>
      </c>
      <c r="B14126" t="s">
        <v>6742</v>
      </c>
      <c r="C14126" t="s">
        <v>46743</v>
      </c>
      <c r="D14126" t="s">
        <v>46744</v>
      </c>
      <c r="E14126" t="b">
        <v>0</v>
      </c>
      <c r="F14126" t="s">
        <v>11624</v>
      </c>
      <c r="G14126">
        <v>-9.8894800000000007</v>
      </c>
      <c r="H14126">
        <v>33.611800000000002</v>
      </c>
      <c r="I14126" t="s">
        <v>46745</v>
      </c>
      <c r="L14126">
        <v>0</v>
      </c>
      <c r="M14126">
        <v>0</v>
      </c>
      <c r="N14126">
        <v>1</v>
      </c>
      <c r="O14126" t="s">
        <v>27909</v>
      </c>
    </row>
    <row r="14127" spans="1:15">
      <c r="A14127" t="s">
        <v>46746</v>
      </c>
      <c r="B14127" t="s">
        <v>6742</v>
      </c>
      <c r="C14127" t="s">
        <v>29310</v>
      </c>
      <c r="D14127" t="s">
        <v>46747</v>
      </c>
      <c r="E14127" t="b">
        <v>0</v>
      </c>
      <c r="F14127" t="s">
        <v>11610</v>
      </c>
      <c r="L14127">
        <v>0</v>
      </c>
      <c r="M14127">
        <v>0</v>
      </c>
      <c r="N14127">
        <v>0</v>
      </c>
    </row>
    <row r="14128" spans="1:15">
      <c r="A14128" t="s">
        <v>46748</v>
      </c>
      <c r="B14128" t="s">
        <v>6742</v>
      </c>
      <c r="C14128" t="s">
        <v>46749</v>
      </c>
      <c r="D14128" t="s">
        <v>46750</v>
      </c>
      <c r="E14128" t="b">
        <v>0</v>
      </c>
      <c r="F14128" t="s">
        <v>11624</v>
      </c>
      <c r="G14128">
        <v>-8.4048499999999997</v>
      </c>
      <c r="H14128">
        <v>36.027099999999997</v>
      </c>
      <c r="I14128" t="s">
        <v>46751</v>
      </c>
      <c r="L14128">
        <v>0</v>
      </c>
      <c r="M14128">
        <v>0</v>
      </c>
      <c r="N14128">
        <v>0</v>
      </c>
      <c r="O14128" t="s">
        <v>11635</v>
      </c>
    </row>
    <row r="14129" spans="1:15">
      <c r="A14129" t="s">
        <v>46752</v>
      </c>
      <c r="B14129" t="s">
        <v>11607</v>
      </c>
      <c r="C14129" t="s">
        <v>26419</v>
      </c>
      <c r="D14129" t="s">
        <v>46753</v>
      </c>
      <c r="E14129" t="b">
        <v>0</v>
      </c>
      <c r="F14129" t="s">
        <v>11624</v>
      </c>
      <c r="G14129">
        <v>9.7936899999999998</v>
      </c>
      <c r="H14129">
        <v>17.326000000000001</v>
      </c>
      <c r="I14129" t="s">
        <v>46754</v>
      </c>
      <c r="L14129">
        <v>0</v>
      </c>
      <c r="M14129">
        <v>0</v>
      </c>
      <c r="N14129">
        <v>2</v>
      </c>
      <c r="O14129" t="s">
        <v>13421</v>
      </c>
    </row>
    <row r="14130" spans="1:15">
      <c r="A14130" t="s">
        <v>46755</v>
      </c>
      <c r="B14130" t="s">
        <v>11607</v>
      </c>
      <c r="C14130" t="s">
        <v>46752</v>
      </c>
      <c r="D14130" t="s">
        <v>46756</v>
      </c>
      <c r="E14130" t="b">
        <v>0</v>
      </c>
      <c r="F14130" t="s">
        <v>11610</v>
      </c>
      <c r="L14130">
        <v>0</v>
      </c>
      <c r="M14130">
        <v>0</v>
      </c>
      <c r="N14130">
        <v>0</v>
      </c>
    </row>
    <row r="14131" spans="1:15">
      <c r="A14131" t="s">
        <v>46757</v>
      </c>
      <c r="B14131" t="s">
        <v>11607</v>
      </c>
      <c r="C14131" t="s">
        <v>46752</v>
      </c>
      <c r="D14131" t="s">
        <v>46758</v>
      </c>
      <c r="E14131" t="b">
        <v>0</v>
      </c>
      <c r="F14131" t="s">
        <v>11610</v>
      </c>
      <c r="L14131">
        <v>0</v>
      </c>
      <c r="M14131">
        <v>0</v>
      </c>
      <c r="N14131">
        <v>0</v>
      </c>
    </row>
    <row r="14132" spans="1:15">
      <c r="A14132" t="s">
        <v>46759</v>
      </c>
      <c r="B14132" t="s">
        <v>6742</v>
      </c>
      <c r="C14132" t="s">
        <v>46760</v>
      </c>
      <c r="D14132" t="s">
        <v>46761</v>
      </c>
      <c r="E14132" t="b">
        <v>0</v>
      </c>
      <c r="F14132" t="s">
        <v>11624</v>
      </c>
      <c r="G14132">
        <v>-0.82</v>
      </c>
      <c r="H14132">
        <v>12.77</v>
      </c>
      <c r="I14132" t="s">
        <v>46762</v>
      </c>
      <c r="L14132">
        <v>0</v>
      </c>
      <c r="M14132">
        <v>0</v>
      </c>
      <c r="N14132">
        <v>0</v>
      </c>
      <c r="O14132" t="s">
        <v>16915</v>
      </c>
    </row>
    <row r="14133" spans="1:15">
      <c r="A14133" t="s">
        <v>17447</v>
      </c>
      <c r="B14133" t="s">
        <v>6742</v>
      </c>
      <c r="C14133" t="s">
        <v>16434</v>
      </c>
      <c r="D14133" t="s">
        <v>46763</v>
      </c>
      <c r="E14133" t="b">
        <v>0</v>
      </c>
      <c r="F14133" t="s">
        <v>11624</v>
      </c>
      <c r="G14133">
        <v>5.1471499999999999</v>
      </c>
      <c r="H14133">
        <v>10.3942</v>
      </c>
      <c r="I14133" t="s">
        <v>46764</v>
      </c>
      <c r="L14133">
        <v>0</v>
      </c>
      <c r="M14133">
        <v>0</v>
      </c>
      <c r="N14133">
        <v>2</v>
      </c>
      <c r="O14133" t="s">
        <v>11703</v>
      </c>
    </row>
    <row r="14134" spans="1:15">
      <c r="A14134" t="s">
        <v>46765</v>
      </c>
      <c r="B14134" t="s">
        <v>21516</v>
      </c>
      <c r="C14134" t="s">
        <v>22069</v>
      </c>
      <c r="D14134" t="s">
        <v>46766</v>
      </c>
      <c r="E14134" t="b">
        <v>0</v>
      </c>
      <c r="F14134" t="s">
        <v>11610</v>
      </c>
      <c r="L14134">
        <v>0</v>
      </c>
      <c r="M14134">
        <v>0</v>
      </c>
      <c r="N14134">
        <v>0</v>
      </c>
    </row>
    <row r="14135" spans="1:15">
      <c r="A14135" t="s">
        <v>46767</v>
      </c>
      <c r="B14135" t="s">
        <v>6742</v>
      </c>
      <c r="C14135" t="s">
        <v>46768</v>
      </c>
      <c r="D14135" t="s">
        <v>46769</v>
      </c>
      <c r="E14135" t="b">
        <v>0</v>
      </c>
      <c r="F14135" t="s">
        <v>11624</v>
      </c>
      <c r="G14135">
        <v>-2.4490150000000002</v>
      </c>
      <c r="H14135">
        <v>13.369465</v>
      </c>
      <c r="I14135" t="s">
        <v>46770</v>
      </c>
      <c r="L14135">
        <v>0</v>
      </c>
      <c r="M14135">
        <v>0</v>
      </c>
      <c r="N14135">
        <v>0</v>
      </c>
      <c r="O14135" t="s">
        <v>20784</v>
      </c>
    </row>
    <row r="14136" spans="1:15">
      <c r="A14136" t="s">
        <v>46771</v>
      </c>
      <c r="B14136" t="s">
        <v>6742</v>
      </c>
      <c r="C14136" t="s">
        <v>29727</v>
      </c>
      <c r="D14136" t="s">
        <v>46772</v>
      </c>
      <c r="E14136" t="b">
        <v>0</v>
      </c>
      <c r="F14136" t="s">
        <v>11622</v>
      </c>
      <c r="L14136">
        <v>1</v>
      </c>
      <c r="M14136">
        <v>3</v>
      </c>
      <c r="N14136">
        <v>0</v>
      </c>
    </row>
    <row r="14137" spans="1:15">
      <c r="A14137" t="s">
        <v>46768</v>
      </c>
      <c r="B14137" t="s">
        <v>6742</v>
      </c>
      <c r="C14137" t="s">
        <v>46771</v>
      </c>
      <c r="D14137" t="s">
        <v>46773</v>
      </c>
      <c r="E14137" t="b">
        <v>0</v>
      </c>
      <c r="F14137" t="s">
        <v>11622</v>
      </c>
      <c r="L14137">
        <v>0</v>
      </c>
      <c r="M14137">
        <v>2</v>
      </c>
      <c r="N14137">
        <v>0</v>
      </c>
    </row>
    <row r="14138" spans="1:15">
      <c r="A14138" t="s">
        <v>3622</v>
      </c>
      <c r="B14138" t="s">
        <v>6742</v>
      </c>
      <c r="C14138" t="s">
        <v>23412</v>
      </c>
      <c r="D14138" t="s">
        <v>3621</v>
      </c>
      <c r="E14138" t="b">
        <v>0</v>
      </c>
      <c r="F14138" t="s">
        <v>11624</v>
      </c>
      <c r="G14138">
        <v>-20.123899999999999</v>
      </c>
      <c r="H14138">
        <v>33.173900000000003</v>
      </c>
      <c r="I14138" t="s">
        <v>3623</v>
      </c>
      <c r="L14138">
        <v>0</v>
      </c>
      <c r="M14138">
        <v>0</v>
      </c>
      <c r="N14138">
        <v>6</v>
      </c>
      <c r="O14138" t="s">
        <v>42750</v>
      </c>
    </row>
    <row r="14139" spans="1:15">
      <c r="A14139" t="s">
        <v>46774</v>
      </c>
      <c r="B14139" t="s">
        <v>6742</v>
      </c>
      <c r="C14139" t="s">
        <v>16280</v>
      </c>
      <c r="D14139" t="s">
        <v>46775</v>
      </c>
      <c r="E14139" t="b">
        <v>0</v>
      </c>
      <c r="F14139" t="s">
        <v>11610</v>
      </c>
      <c r="L14139">
        <v>0</v>
      </c>
      <c r="M14139">
        <v>0</v>
      </c>
      <c r="N14139">
        <v>0</v>
      </c>
    </row>
    <row r="14140" spans="1:15">
      <c r="A14140" t="s">
        <v>46776</v>
      </c>
      <c r="B14140" t="s">
        <v>6742</v>
      </c>
      <c r="C14140" t="s">
        <v>46777</v>
      </c>
      <c r="D14140" t="s">
        <v>46778</v>
      </c>
      <c r="E14140" t="b">
        <v>0</v>
      </c>
      <c r="F14140" t="s">
        <v>11610</v>
      </c>
      <c r="L14140">
        <v>0</v>
      </c>
      <c r="M14140">
        <v>0</v>
      </c>
      <c r="N14140">
        <v>0</v>
      </c>
    </row>
    <row r="14141" spans="1:15">
      <c r="A14141" t="s">
        <v>46779</v>
      </c>
      <c r="B14141" t="s">
        <v>11607</v>
      </c>
      <c r="C14141" t="s">
        <v>17383</v>
      </c>
      <c r="D14141" t="s">
        <v>46780</v>
      </c>
      <c r="E14141" t="b">
        <v>0</v>
      </c>
      <c r="F14141" t="s">
        <v>11610</v>
      </c>
      <c r="L14141">
        <v>0</v>
      </c>
      <c r="M14141">
        <v>0</v>
      </c>
      <c r="N14141">
        <v>0</v>
      </c>
    </row>
    <row r="14142" spans="1:15">
      <c r="A14142" t="s">
        <v>26863</v>
      </c>
      <c r="B14142" t="s">
        <v>6742</v>
      </c>
      <c r="C14142" t="s">
        <v>11697</v>
      </c>
      <c r="D14142" t="s">
        <v>46781</v>
      </c>
      <c r="E14142" t="b">
        <v>0</v>
      </c>
      <c r="F14142" t="s">
        <v>11622</v>
      </c>
      <c r="L14142">
        <v>0</v>
      </c>
      <c r="M14142">
        <v>2</v>
      </c>
      <c r="N14142">
        <v>3</v>
      </c>
    </row>
    <row r="14143" spans="1:15">
      <c r="A14143" t="s">
        <v>46782</v>
      </c>
      <c r="B14143" t="s">
        <v>11627</v>
      </c>
      <c r="C14143" t="s">
        <v>11627</v>
      </c>
      <c r="D14143" t="s">
        <v>46783</v>
      </c>
      <c r="E14143" t="b">
        <v>1</v>
      </c>
      <c r="F14143" t="s">
        <v>11624</v>
      </c>
      <c r="G14143">
        <v>7.0650000000000004</v>
      </c>
      <c r="H14143">
        <v>10.47</v>
      </c>
      <c r="I14143" t="s">
        <v>46784</v>
      </c>
      <c r="L14143">
        <v>0</v>
      </c>
      <c r="M14143">
        <v>0</v>
      </c>
      <c r="N14143">
        <v>0</v>
      </c>
      <c r="O14143" t="s">
        <v>11693</v>
      </c>
    </row>
    <row r="14144" spans="1:15">
      <c r="A14144" t="s">
        <v>37140</v>
      </c>
      <c r="B14144" t="s">
        <v>11615</v>
      </c>
      <c r="C14144" t="s">
        <v>15421</v>
      </c>
      <c r="D14144" t="s">
        <v>46785</v>
      </c>
      <c r="E14144" t="b">
        <v>0</v>
      </c>
      <c r="F14144" t="s">
        <v>11622</v>
      </c>
      <c r="L14144">
        <v>0</v>
      </c>
      <c r="M14144">
        <v>2</v>
      </c>
      <c r="N14144">
        <v>2</v>
      </c>
    </row>
    <row r="14145" spans="1:15">
      <c r="A14145" t="s">
        <v>46786</v>
      </c>
      <c r="B14145" t="s">
        <v>6742</v>
      </c>
      <c r="C14145" t="s">
        <v>12818</v>
      </c>
      <c r="D14145" t="s">
        <v>46787</v>
      </c>
      <c r="E14145" t="b">
        <v>0</v>
      </c>
      <c r="F14145" t="s">
        <v>11610</v>
      </c>
      <c r="L14145">
        <v>0</v>
      </c>
      <c r="M14145">
        <v>0</v>
      </c>
      <c r="N14145">
        <v>0</v>
      </c>
    </row>
    <row r="14146" spans="1:15">
      <c r="A14146" t="s">
        <v>46788</v>
      </c>
      <c r="B14146" t="s">
        <v>6742</v>
      </c>
      <c r="C14146" t="s">
        <v>46789</v>
      </c>
      <c r="D14146" t="s">
        <v>46790</v>
      </c>
      <c r="E14146" t="b">
        <v>0</v>
      </c>
      <c r="F14146" t="s">
        <v>11610</v>
      </c>
      <c r="L14146">
        <v>0</v>
      </c>
      <c r="M14146">
        <v>0</v>
      </c>
      <c r="N14146">
        <v>0</v>
      </c>
    </row>
    <row r="14147" spans="1:15">
      <c r="A14147" t="s">
        <v>46791</v>
      </c>
      <c r="B14147" t="s">
        <v>6742</v>
      </c>
      <c r="C14147" t="s">
        <v>581</v>
      </c>
      <c r="D14147" t="s">
        <v>46792</v>
      </c>
      <c r="E14147" t="b">
        <v>0</v>
      </c>
      <c r="F14147" t="s">
        <v>11610</v>
      </c>
      <c r="L14147">
        <v>0</v>
      </c>
      <c r="M14147">
        <v>0</v>
      </c>
      <c r="N14147">
        <v>0</v>
      </c>
    </row>
    <row r="14148" spans="1:15">
      <c r="A14148" t="s">
        <v>46793</v>
      </c>
      <c r="B14148" t="s">
        <v>6742</v>
      </c>
      <c r="C14148" t="s">
        <v>43629</v>
      </c>
      <c r="D14148" t="s">
        <v>46794</v>
      </c>
      <c r="E14148" t="b">
        <v>0</v>
      </c>
      <c r="F14148" t="s">
        <v>11624</v>
      </c>
      <c r="G14148">
        <v>4.5806100000000001</v>
      </c>
      <c r="H14148">
        <v>10.2197</v>
      </c>
      <c r="I14148" t="s">
        <v>46795</v>
      </c>
      <c r="L14148">
        <v>0</v>
      </c>
      <c r="M14148">
        <v>0</v>
      </c>
      <c r="N14148">
        <v>0</v>
      </c>
      <c r="O14148" t="s">
        <v>11703</v>
      </c>
    </row>
    <row r="14149" spans="1:15">
      <c r="A14149" t="s">
        <v>46796</v>
      </c>
      <c r="B14149" t="s">
        <v>6742</v>
      </c>
      <c r="C14149" t="s">
        <v>43394</v>
      </c>
      <c r="D14149" t="s">
        <v>46797</v>
      </c>
      <c r="E14149" t="b">
        <v>0</v>
      </c>
      <c r="F14149" t="s">
        <v>11624</v>
      </c>
      <c r="G14149">
        <v>-7.5462800000000003</v>
      </c>
      <c r="H14149">
        <v>38.957999999999998</v>
      </c>
      <c r="I14149" t="s">
        <v>46798</v>
      </c>
      <c r="L14149">
        <v>0</v>
      </c>
      <c r="M14149">
        <v>0</v>
      </c>
      <c r="N14149">
        <v>0</v>
      </c>
      <c r="O14149" t="s">
        <v>11635</v>
      </c>
    </row>
    <row r="14150" spans="1:15">
      <c r="A14150" t="s">
        <v>46799</v>
      </c>
      <c r="B14150" t="s">
        <v>6742</v>
      </c>
      <c r="C14150" t="s">
        <v>46800</v>
      </c>
      <c r="D14150" t="s">
        <v>46801</v>
      </c>
      <c r="E14150" t="b">
        <v>0</v>
      </c>
      <c r="F14150" t="s">
        <v>11624</v>
      </c>
      <c r="G14150">
        <v>-10.420299999999999</v>
      </c>
      <c r="H14150">
        <v>36.0105</v>
      </c>
      <c r="I14150" t="s">
        <v>46802</v>
      </c>
      <c r="L14150">
        <v>0</v>
      </c>
      <c r="M14150">
        <v>0</v>
      </c>
      <c r="N14150">
        <v>0</v>
      </c>
      <c r="O14150" t="s">
        <v>11635</v>
      </c>
    </row>
    <row r="14151" spans="1:15">
      <c r="A14151" t="s">
        <v>46777</v>
      </c>
      <c r="B14151" t="s">
        <v>6742</v>
      </c>
      <c r="C14151" t="s">
        <v>26863</v>
      </c>
      <c r="D14151" t="s">
        <v>46803</v>
      </c>
      <c r="E14151" t="b">
        <v>0</v>
      </c>
      <c r="F14151" t="s">
        <v>11624</v>
      </c>
      <c r="G14151">
        <v>6.1742600000000003</v>
      </c>
      <c r="H14151">
        <v>8.4983599999999999</v>
      </c>
      <c r="I14151" t="s">
        <v>46804</v>
      </c>
      <c r="L14151">
        <v>0</v>
      </c>
      <c r="M14151">
        <v>0</v>
      </c>
      <c r="N14151">
        <v>3</v>
      </c>
      <c r="O14151" t="s">
        <v>11693</v>
      </c>
    </row>
    <row r="14152" spans="1:15">
      <c r="A14152" t="s">
        <v>46800</v>
      </c>
      <c r="B14152" t="s">
        <v>6742</v>
      </c>
      <c r="C14152" t="s">
        <v>43335</v>
      </c>
      <c r="D14152" t="s">
        <v>46805</v>
      </c>
      <c r="E14152" t="b">
        <v>0</v>
      </c>
      <c r="F14152" t="s">
        <v>11622</v>
      </c>
      <c r="L14152">
        <v>0</v>
      </c>
      <c r="M14152">
        <v>2</v>
      </c>
      <c r="N14152">
        <v>0</v>
      </c>
    </row>
    <row r="14153" spans="1:15">
      <c r="A14153" t="s">
        <v>46806</v>
      </c>
      <c r="B14153" t="s">
        <v>6742</v>
      </c>
      <c r="C14153" t="s">
        <v>16612</v>
      </c>
      <c r="D14153" t="s">
        <v>46807</v>
      </c>
      <c r="E14153" t="b">
        <v>0</v>
      </c>
      <c r="F14153" t="s">
        <v>11610</v>
      </c>
      <c r="L14153">
        <v>0</v>
      </c>
      <c r="M14153">
        <v>0</v>
      </c>
      <c r="N14153">
        <v>0</v>
      </c>
    </row>
    <row r="14154" spans="1:15">
      <c r="A14154" t="s">
        <v>46808</v>
      </c>
      <c r="B14154" t="s">
        <v>6742</v>
      </c>
      <c r="C14154" t="s">
        <v>30367</v>
      </c>
      <c r="D14154" t="s">
        <v>46809</v>
      </c>
      <c r="E14154" t="b">
        <v>0</v>
      </c>
      <c r="F14154" t="s">
        <v>11610</v>
      </c>
      <c r="L14154">
        <v>0</v>
      </c>
      <c r="M14154">
        <v>0</v>
      </c>
      <c r="N14154">
        <v>0</v>
      </c>
    </row>
    <row r="14155" spans="1:15">
      <c r="A14155" t="s">
        <v>46810</v>
      </c>
      <c r="B14155" t="s">
        <v>21516</v>
      </c>
      <c r="C14155" t="s">
        <v>39031</v>
      </c>
      <c r="D14155" t="s">
        <v>46811</v>
      </c>
      <c r="E14155" t="b">
        <v>0</v>
      </c>
      <c r="F14155" t="s">
        <v>11610</v>
      </c>
      <c r="L14155">
        <v>0</v>
      </c>
      <c r="M14155">
        <v>0</v>
      </c>
      <c r="N14155">
        <v>0</v>
      </c>
    </row>
    <row r="14156" spans="1:15">
      <c r="A14156" t="s">
        <v>46812</v>
      </c>
      <c r="B14156" t="s">
        <v>11729</v>
      </c>
      <c r="C14156" t="s">
        <v>14667</v>
      </c>
      <c r="D14156" t="s">
        <v>46813</v>
      </c>
      <c r="E14156" t="b">
        <v>0</v>
      </c>
      <c r="F14156" t="s">
        <v>11610</v>
      </c>
      <c r="L14156">
        <v>0</v>
      </c>
      <c r="M14156">
        <v>0</v>
      </c>
      <c r="N14156">
        <v>0</v>
      </c>
    </row>
    <row r="14157" spans="1:15">
      <c r="A14157" t="s">
        <v>46814</v>
      </c>
      <c r="B14157" t="s">
        <v>367</v>
      </c>
      <c r="C14157" t="s">
        <v>12044</v>
      </c>
      <c r="D14157" t="s">
        <v>46815</v>
      </c>
      <c r="E14157" t="b">
        <v>0</v>
      </c>
      <c r="F14157" t="s">
        <v>11610</v>
      </c>
      <c r="L14157">
        <v>0</v>
      </c>
      <c r="M14157">
        <v>0</v>
      </c>
      <c r="N14157">
        <v>0</v>
      </c>
    </row>
    <row r="14158" spans="1:15">
      <c r="A14158" t="s">
        <v>46816</v>
      </c>
      <c r="B14158" t="s">
        <v>6742</v>
      </c>
      <c r="C14158" t="s">
        <v>29219</v>
      </c>
      <c r="D14158" t="s">
        <v>46817</v>
      </c>
      <c r="E14158" t="b">
        <v>0</v>
      </c>
      <c r="F14158" t="s">
        <v>11610</v>
      </c>
      <c r="L14158">
        <v>0</v>
      </c>
      <c r="M14158">
        <v>0</v>
      </c>
      <c r="N14158">
        <v>0</v>
      </c>
    </row>
    <row r="14159" spans="1:15">
      <c r="A14159" t="s">
        <v>46818</v>
      </c>
      <c r="B14159" t="s">
        <v>6742</v>
      </c>
      <c r="C14159" t="s">
        <v>16541</v>
      </c>
      <c r="D14159" t="s">
        <v>46819</v>
      </c>
      <c r="E14159" t="b">
        <v>0</v>
      </c>
      <c r="F14159" t="s">
        <v>11610</v>
      </c>
      <c r="L14159">
        <v>0</v>
      </c>
      <c r="M14159">
        <v>0</v>
      </c>
      <c r="N14159">
        <v>0</v>
      </c>
    </row>
    <row r="14160" spans="1:15">
      <c r="A14160" t="s">
        <v>46820</v>
      </c>
      <c r="B14160" t="s">
        <v>367</v>
      </c>
      <c r="C14160" t="s">
        <v>28297</v>
      </c>
      <c r="D14160" t="s">
        <v>46821</v>
      </c>
      <c r="E14160" t="b">
        <v>0</v>
      </c>
      <c r="F14160" t="s">
        <v>11610</v>
      </c>
      <c r="L14160">
        <v>0</v>
      </c>
      <c r="M14160">
        <v>0</v>
      </c>
      <c r="N14160">
        <v>0</v>
      </c>
    </row>
    <row r="14161" spans="1:15">
      <c r="A14161" t="s">
        <v>46822</v>
      </c>
      <c r="B14161" t="s">
        <v>6742</v>
      </c>
      <c r="C14161" t="s">
        <v>20764</v>
      </c>
      <c r="D14161" t="s">
        <v>46823</v>
      </c>
      <c r="E14161" t="b">
        <v>0</v>
      </c>
      <c r="F14161" t="s">
        <v>11610</v>
      </c>
      <c r="L14161">
        <v>0</v>
      </c>
      <c r="M14161">
        <v>0</v>
      </c>
      <c r="N14161">
        <v>0</v>
      </c>
    </row>
    <row r="14162" spans="1:15">
      <c r="A14162" t="s">
        <v>46824</v>
      </c>
      <c r="B14162" t="s">
        <v>3165</v>
      </c>
      <c r="C14162" t="s">
        <v>46825</v>
      </c>
      <c r="D14162" t="s">
        <v>46826</v>
      </c>
      <c r="E14162" t="b">
        <v>0</v>
      </c>
      <c r="F14162" t="s">
        <v>11624</v>
      </c>
      <c r="G14162">
        <v>10.274100000000001</v>
      </c>
      <c r="H14162">
        <v>30.730599999999999</v>
      </c>
      <c r="I14162" t="s">
        <v>46827</v>
      </c>
      <c r="L14162">
        <v>0</v>
      </c>
      <c r="M14162">
        <v>0</v>
      </c>
      <c r="N14162">
        <v>0</v>
      </c>
      <c r="O14162" t="s">
        <v>11910</v>
      </c>
    </row>
    <row r="14163" spans="1:15">
      <c r="A14163" t="s">
        <v>46825</v>
      </c>
      <c r="B14163" t="s">
        <v>3165</v>
      </c>
      <c r="C14163" t="s">
        <v>11917</v>
      </c>
      <c r="D14163" t="s">
        <v>46828</v>
      </c>
      <c r="E14163" t="b">
        <v>0</v>
      </c>
      <c r="F14163" t="s">
        <v>11622</v>
      </c>
      <c r="L14163">
        <v>0</v>
      </c>
      <c r="M14163">
        <v>2</v>
      </c>
      <c r="N14163">
        <v>0</v>
      </c>
    </row>
    <row r="14164" spans="1:15">
      <c r="A14164" t="s">
        <v>46829</v>
      </c>
      <c r="B14164" t="s">
        <v>6742</v>
      </c>
      <c r="C14164" t="s">
        <v>16561</v>
      </c>
      <c r="D14164" t="s">
        <v>46830</v>
      </c>
      <c r="E14164" t="b">
        <v>0</v>
      </c>
      <c r="F14164" t="s">
        <v>11610</v>
      </c>
      <c r="L14164">
        <v>0</v>
      </c>
      <c r="M14164">
        <v>0</v>
      </c>
      <c r="N14164">
        <v>0</v>
      </c>
    </row>
    <row r="14165" spans="1:15">
      <c r="A14165" t="s">
        <v>46831</v>
      </c>
      <c r="B14165" t="s">
        <v>6742</v>
      </c>
      <c r="C14165" t="s">
        <v>46832</v>
      </c>
      <c r="D14165" t="s">
        <v>46833</v>
      </c>
      <c r="E14165" t="b">
        <v>0</v>
      </c>
      <c r="F14165" t="s">
        <v>11622</v>
      </c>
      <c r="L14165">
        <v>0</v>
      </c>
      <c r="M14165">
        <v>2</v>
      </c>
      <c r="N14165">
        <v>0</v>
      </c>
    </row>
    <row r="14166" spans="1:15">
      <c r="A14166" t="s">
        <v>25514</v>
      </c>
      <c r="B14166" t="s">
        <v>6742</v>
      </c>
      <c r="C14166" t="s">
        <v>46832</v>
      </c>
      <c r="D14166" t="s">
        <v>46834</v>
      </c>
      <c r="E14166" t="b">
        <v>0</v>
      </c>
      <c r="F14166" t="s">
        <v>11622</v>
      </c>
      <c r="L14166">
        <v>0</v>
      </c>
      <c r="M14166">
        <v>2</v>
      </c>
      <c r="N14166">
        <v>0</v>
      </c>
    </row>
    <row r="14167" spans="1:15">
      <c r="A14167" t="s">
        <v>46835</v>
      </c>
      <c r="B14167" t="s">
        <v>6742</v>
      </c>
      <c r="C14167" t="s">
        <v>1906</v>
      </c>
      <c r="D14167" t="s">
        <v>46836</v>
      </c>
      <c r="E14167" t="b">
        <v>0</v>
      </c>
      <c r="F14167" t="s">
        <v>11610</v>
      </c>
      <c r="L14167">
        <v>0</v>
      </c>
      <c r="M14167">
        <v>0</v>
      </c>
      <c r="N14167">
        <v>0</v>
      </c>
    </row>
    <row r="14168" spans="1:15">
      <c r="A14168" t="s">
        <v>46837</v>
      </c>
      <c r="B14168" t="s">
        <v>6742</v>
      </c>
      <c r="C14168" t="s">
        <v>40062</v>
      </c>
      <c r="D14168" t="s">
        <v>46838</v>
      </c>
      <c r="E14168" t="b">
        <v>0</v>
      </c>
      <c r="F14168" t="s">
        <v>11624</v>
      </c>
      <c r="G14168">
        <v>1.3253900000000001</v>
      </c>
      <c r="H14168">
        <v>18.615100000000002</v>
      </c>
      <c r="I14168" t="s">
        <v>46839</v>
      </c>
      <c r="L14168">
        <v>0</v>
      </c>
      <c r="M14168">
        <v>0</v>
      </c>
      <c r="N14168">
        <v>0</v>
      </c>
      <c r="O14168" t="s">
        <v>14825</v>
      </c>
    </row>
    <row r="14169" spans="1:15">
      <c r="A14169" t="s">
        <v>16265</v>
      </c>
      <c r="B14169" t="s">
        <v>6742</v>
      </c>
      <c r="C14169" t="s">
        <v>26921</v>
      </c>
      <c r="D14169" t="s">
        <v>46840</v>
      </c>
      <c r="E14169" t="b">
        <v>0</v>
      </c>
      <c r="F14169" t="s">
        <v>11624</v>
      </c>
      <c r="G14169">
        <v>6.08134</v>
      </c>
      <c r="H14169">
        <v>8.6913099999999996</v>
      </c>
      <c r="I14169" t="s">
        <v>46841</v>
      </c>
      <c r="L14169">
        <v>0</v>
      </c>
      <c r="M14169">
        <v>0</v>
      </c>
      <c r="N14169">
        <v>2</v>
      </c>
      <c r="O14169" t="s">
        <v>11693</v>
      </c>
    </row>
    <row r="14170" spans="1:15">
      <c r="A14170" t="s">
        <v>46842</v>
      </c>
      <c r="B14170" t="s">
        <v>6742</v>
      </c>
      <c r="C14170" t="s">
        <v>16045</v>
      </c>
      <c r="D14170" t="s">
        <v>46843</v>
      </c>
      <c r="E14170" t="b">
        <v>0</v>
      </c>
      <c r="F14170" t="s">
        <v>11622</v>
      </c>
      <c r="L14170">
        <v>0</v>
      </c>
      <c r="M14170">
        <v>3</v>
      </c>
      <c r="N14170">
        <v>0</v>
      </c>
    </row>
    <row r="14171" spans="1:15">
      <c r="A14171" t="s">
        <v>46844</v>
      </c>
      <c r="B14171" t="s">
        <v>6742</v>
      </c>
      <c r="C14171" t="s">
        <v>46842</v>
      </c>
      <c r="D14171" t="s">
        <v>46845</v>
      </c>
      <c r="E14171" t="b">
        <v>0</v>
      </c>
      <c r="F14171" t="s">
        <v>11624</v>
      </c>
      <c r="G14171">
        <v>7.7302799999999996</v>
      </c>
      <c r="H14171">
        <v>27.558800000000002</v>
      </c>
      <c r="I14171" t="s">
        <v>46846</v>
      </c>
      <c r="L14171">
        <v>0</v>
      </c>
      <c r="M14171">
        <v>0</v>
      </c>
      <c r="N14171">
        <v>0</v>
      </c>
      <c r="O14171" t="s">
        <v>11910</v>
      </c>
    </row>
    <row r="14172" spans="1:15">
      <c r="A14172" t="s">
        <v>46847</v>
      </c>
      <c r="B14172" t="s">
        <v>6742</v>
      </c>
      <c r="C14172" t="s">
        <v>27034</v>
      </c>
      <c r="D14172" t="s">
        <v>46848</v>
      </c>
      <c r="E14172" t="b">
        <v>0</v>
      </c>
      <c r="F14172" t="s">
        <v>11610</v>
      </c>
      <c r="L14172">
        <v>0</v>
      </c>
      <c r="M14172">
        <v>0</v>
      </c>
      <c r="N14172">
        <v>0</v>
      </c>
    </row>
    <row r="14173" spans="1:15">
      <c r="A14173" t="s">
        <v>46849</v>
      </c>
      <c r="B14173" t="s">
        <v>6742</v>
      </c>
      <c r="C14173" t="s">
        <v>16545</v>
      </c>
      <c r="D14173" t="s">
        <v>46850</v>
      </c>
      <c r="E14173" t="b">
        <v>0</v>
      </c>
      <c r="F14173" t="s">
        <v>11610</v>
      </c>
      <c r="L14173">
        <v>0</v>
      </c>
      <c r="M14173">
        <v>0</v>
      </c>
      <c r="N14173">
        <v>0</v>
      </c>
    </row>
    <row r="14174" spans="1:15">
      <c r="A14174" t="s">
        <v>46851</v>
      </c>
      <c r="B14174" t="s">
        <v>6742</v>
      </c>
      <c r="C14174" t="s">
        <v>16118</v>
      </c>
      <c r="D14174" t="s">
        <v>46852</v>
      </c>
      <c r="E14174" t="b">
        <v>0</v>
      </c>
      <c r="F14174" t="s">
        <v>11610</v>
      </c>
      <c r="L14174">
        <v>0</v>
      </c>
      <c r="M14174">
        <v>0</v>
      </c>
      <c r="N14174">
        <v>0</v>
      </c>
    </row>
    <row r="14175" spans="1:15">
      <c r="A14175" t="s">
        <v>46853</v>
      </c>
      <c r="B14175" t="s">
        <v>6742</v>
      </c>
      <c r="C14175" t="s">
        <v>16118</v>
      </c>
      <c r="D14175" t="s">
        <v>46854</v>
      </c>
      <c r="E14175" t="b">
        <v>0</v>
      </c>
      <c r="F14175" t="s">
        <v>11610</v>
      </c>
      <c r="L14175">
        <v>0</v>
      </c>
      <c r="M14175">
        <v>0</v>
      </c>
      <c r="N14175">
        <v>0</v>
      </c>
    </row>
    <row r="14176" spans="1:15">
      <c r="A14176" t="s">
        <v>46855</v>
      </c>
      <c r="B14176" t="s">
        <v>6742</v>
      </c>
      <c r="C14176" t="s">
        <v>16118</v>
      </c>
      <c r="D14176" t="s">
        <v>46856</v>
      </c>
      <c r="E14176" t="b">
        <v>0</v>
      </c>
      <c r="F14176" t="s">
        <v>11610</v>
      </c>
      <c r="L14176">
        <v>0</v>
      </c>
      <c r="M14176">
        <v>0</v>
      </c>
      <c r="N14176">
        <v>0</v>
      </c>
    </row>
    <row r="14177" spans="1:15">
      <c r="A14177" t="s">
        <v>46857</v>
      </c>
      <c r="B14177" t="s">
        <v>6742</v>
      </c>
      <c r="C14177" t="s">
        <v>27034</v>
      </c>
      <c r="D14177" t="s">
        <v>46858</v>
      </c>
      <c r="E14177" t="b">
        <v>0</v>
      </c>
      <c r="F14177" t="s">
        <v>11610</v>
      </c>
      <c r="L14177">
        <v>0</v>
      </c>
      <c r="M14177">
        <v>0</v>
      </c>
      <c r="N14177">
        <v>0</v>
      </c>
    </row>
    <row r="14178" spans="1:15">
      <c r="A14178" t="s">
        <v>46859</v>
      </c>
      <c r="B14178" t="s">
        <v>6742</v>
      </c>
      <c r="C14178" t="s">
        <v>27034</v>
      </c>
      <c r="D14178" t="s">
        <v>46860</v>
      </c>
      <c r="E14178" t="b">
        <v>0</v>
      </c>
      <c r="F14178" t="s">
        <v>11610</v>
      </c>
      <c r="L14178">
        <v>0</v>
      </c>
      <c r="M14178">
        <v>0</v>
      </c>
      <c r="N14178">
        <v>0</v>
      </c>
    </row>
    <row r="14179" spans="1:15">
      <c r="A14179" t="s">
        <v>46861</v>
      </c>
      <c r="B14179" t="s">
        <v>6742</v>
      </c>
      <c r="C14179" t="s">
        <v>19296</v>
      </c>
      <c r="D14179" t="s">
        <v>46862</v>
      </c>
      <c r="E14179" t="b">
        <v>0</v>
      </c>
      <c r="F14179" t="s">
        <v>11624</v>
      </c>
      <c r="G14179">
        <v>2.1510099999999999</v>
      </c>
      <c r="H14179">
        <v>19.4087</v>
      </c>
      <c r="I14179" t="s">
        <v>46863</v>
      </c>
      <c r="L14179">
        <v>0</v>
      </c>
      <c r="M14179">
        <v>0</v>
      </c>
      <c r="N14179">
        <v>0</v>
      </c>
      <c r="O14179" t="s">
        <v>14825</v>
      </c>
    </row>
    <row r="14180" spans="1:15">
      <c r="A14180" t="s">
        <v>46864</v>
      </c>
      <c r="B14180" t="s">
        <v>6742</v>
      </c>
      <c r="C14180" t="s">
        <v>46865</v>
      </c>
      <c r="D14180" t="s">
        <v>46866</v>
      </c>
      <c r="E14180" t="b">
        <v>0</v>
      </c>
      <c r="F14180" t="s">
        <v>11624</v>
      </c>
      <c r="G14180">
        <v>-12.965479999999999</v>
      </c>
      <c r="H14180">
        <v>13.37097</v>
      </c>
      <c r="I14180" t="s">
        <v>46867</v>
      </c>
      <c r="L14180">
        <v>0</v>
      </c>
      <c r="M14180">
        <v>0</v>
      </c>
      <c r="N14180">
        <v>0</v>
      </c>
      <c r="O14180" t="s">
        <v>19290</v>
      </c>
    </row>
    <row r="14181" spans="1:15">
      <c r="A14181" t="s">
        <v>46868</v>
      </c>
      <c r="B14181" t="s">
        <v>36517</v>
      </c>
      <c r="C14181" t="s">
        <v>36517</v>
      </c>
      <c r="D14181" t="s">
        <v>46869</v>
      </c>
      <c r="E14181" t="b">
        <v>0</v>
      </c>
      <c r="F14181" t="s">
        <v>11624</v>
      </c>
      <c r="G14181">
        <v>-7.93553</v>
      </c>
      <c r="H14181">
        <v>138.01900000000001</v>
      </c>
      <c r="I14181" t="s">
        <v>46870</v>
      </c>
      <c r="L14181">
        <v>0</v>
      </c>
      <c r="M14181">
        <v>0</v>
      </c>
      <c r="N14181">
        <v>0</v>
      </c>
      <c r="O14181" t="s">
        <v>11768</v>
      </c>
    </row>
    <row r="14182" spans="1:15">
      <c r="A14182" t="s">
        <v>46871</v>
      </c>
      <c r="B14182" t="s">
        <v>6742</v>
      </c>
      <c r="C14182" t="s">
        <v>3610</v>
      </c>
      <c r="D14182" t="s">
        <v>46872</v>
      </c>
      <c r="E14182" t="b">
        <v>0</v>
      </c>
      <c r="F14182" t="s">
        <v>11610</v>
      </c>
      <c r="L14182">
        <v>0</v>
      </c>
      <c r="M14182">
        <v>0</v>
      </c>
      <c r="N14182">
        <v>0</v>
      </c>
    </row>
    <row r="14183" spans="1:15">
      <c r="A14183" t="s">
        <v>46873</v>
      </c>
      <c r="B14183" t="s">
        <v>11627</v>
      </c>
      <c r="C14183" t="s">
        <v>11627</v>
      </c>
      <c r="D14183" t="s">
        <v>46874</v>
      </c>
      <c r="E14183" t="b">
        <v>1</v>
      </c>
      <c r="F14183" t="s">
        <v>11624</v>
      </c>
      <c r="G14183">
        <v>-10.558400000000001</v>
      </c>
      <c r="H14183">
        <v>38.125300000000003</v>
      </c>
      <c r="I14183" t="s">
        <v>46875</v>
      </c>
      <c r="L14183">
        <v>0</v>
      </c>
      <c r="M14183">
        <v>0</v>
      </c>
      <c r="N14183">
        <v>0</v>
      </c>
      <c r="O14183" t="s">
        <v>11635</v>
      </c>
    </row>
    <row r="14184" spans="1:15">
      <c r="A14184" t="s">
        <v>37871</v>
      </c>
      <c r="B14184" t="s">
        <v>6742</v>
      </c>
      <c r="C14184" t="s">
        <v>23041</v>
      </c>
      <c r="D14184" t="s">
        <v>46876</v>
      </c>
      <c r="E14184" t="b">
        <v>0</v>
      </c>
      <c r="F14184" t="s">
        <v>11622</v>
      </c>
      <c r="L14184">
        <v>2</v>
      </c>
      <c r="M14184">
        <v>5</v>
      </c>
      <c r="N14184">
        <v>2</v>
      </c>
    </row>
    <row r="14185" spans="1:15">
      <c r="A14185" t="s">
        <v>4058</v>
      </c>
      <c r="B14185" t="s">
        <v>6742</v>
      </c>
      <c r="C14185" t="s">
        <v>38626</v>
      </c>
      <c r="D14185" t="s">
        <v>46877</v>
      </c>
      <c r="E14185" t="b">
        <v>0</v>
      </c>
      <c r="F14185" t="s">
        <v>11624</v>
      </c>
      <c r="G14185">
        <v>-17.6417</v>
      </c>
      <c r="H14185">
        <v>19.1631</v>
      </c>
      <c r="I14185" t="s">
        <v>4059</v>
      </c>
      <c r="L14185">
        <v>0</v>
      </c>
      <c r="M14185">
        <v>0</v>
      </c>
      <c r="N14185">
        <v>2</v>
      </c>
      <c r="O14185" t="s">
        <v>37874</v>
      </c>
    </row>
    <row r="14186" spans="1:15">
      <c r="A14186" t="s">
        <v>46878</v>
      </c>
      <c r="B14186" t="s">
        <v>6742</v>
      </c>
      <c r="C14186" t="s">
        <v>11807</v>
      </c>
      <c r="D14186" t="s">
        <v>46879</v>
      </c>
      <c r="E14186" t="b">
        <v>0</v>
      </c>
      <c r="F14186" t="s">
        <v>11610</v>
      </c>
      <c r="L14186">
        <v>0</v>
      </c>
      <c r="M14186">
        <v>0</v>
      </c>
      <c r="N14186">
        <v>0</v>
      </c>
    </row>
    <row r="14187" spans="1:15">
      <c r="A14187" t="s">
        <v>46880</v>
      </c>
      <c r="B14187" t="s">
        <v>6742</v>
      </c>
      <c r="C14187" t="s">
        <v>42325</v>
      </c>
      <c r="D14187" t="s">
        <v>46881</v>
      </c>
      <c r="E14187" t="b">
        <v>0</v>
      </c>
      <c r="F14187" t="s">
        <v>11624</v>
      </c>
      <c r="G14187">
        <v>7.2884000000000002</v>
      </c>
      <c r="H14187">
        <v>11.3096</v>
      </c>
      <c r="I14187" t="s">
        <v>46882</v>
      </c>
      <c r="L14187">
        <v>0</v>
      </c>
      <c r="M14187">
        <v>0</v>
      </c>
      <c r="N14187">
        <v>0</v>
      </c>
      <c r="O14187" t="s">
        <v>11802</v>
      </c>
    </row>
    <row r="14188" spans="1:15">
      <c r="A14188" t="s">
        <v>15248</v>
      </c>
      <c r="B14188" t="s">
        <v>11729</v>
      </c>
      <c r="C14188" t="s">
        <v>42614</v>
      </c>
      <c r="D14188" t="s">
        <v>46883</v>
      </c>
      <c r="E14188" t="b">
        <v>0</v>
      </c>
      <c r="F14188" t="s">
        <v>11624</v>
      </c>
      <c r="G14188">
        <v>2.68546</v>
      </c>
      <c r="H14188">
        <v>30.565200000000001</v>
      </c>
      <c r="I14188" t="s">
        <v>46884</v>
      </c>
      <c r="L14188">
        <v>0</v>
      </c>
      <c r="M14188">
        <v>0</v>
      </c>
      <c r="N14188">
        <v>3</v>
      </c>
      <c r="O14188" t="s">
        <v>13208</v>
      </c>
    </row>
    <row r="14189" spans="1:15">
      <c r="A14189" t="s">
        <v>46885</v>
      </c>
      <c r="B14189" t="s">
        <v>11871</v>
      </c>
      <c r="C14189" t="s">
        <v>40274</v>
      </c>
      <c r="D14189" t="s">
        <v>46886</v>
      </c>
      <c r="E14189" t="b">
        <v>0</v>
      </c>
      <c r="F14189" t="s">
        <v>11610</v>
      </c>
      <c r="L14189">
        <v>0</v>
      </c>
      <c r="M14189">
        <v>0</v>
      </c>
      <c r="N14189">
        <v>0</v>
      </c>
    </row>
    <row r="14190" spans="1:15">
      <c r="A14190" t="s">
        <v>46887</v>
      </c>
      <c r="B14190" t="s">
        <v>10597</v>
      </c>
      <c r="C14190" t="s">
        <v>15393</v>
      </c>
      <c r="D14190" t="s">
        <v>46888</v>
      </c>
      <c r="E14190" t="b">
        <v>0</v>
      </c>
      <c r="F14190" t="s">
        <v>11610</v>
      </c>
      <c r="I14190" t="s">
        <v>46889</v>
      </c>
      <c r="L14190">
        <v>0</v>
      </c>
      <c r="M14190">
        <v>0</v>
      </c>
      <c r="N14190">
        <v>0</v>
      </c>
      <c r="O14190" t="s">
        <v>12107</v>
      </c>
    </row>
    <row r="14191" spans="1:15">
      <c r="A14191" t="s">
        <v>46890</v>
      </c>
      <c r="B14191" t="s">
        <v>11644</v>
      </c>
      <c r="C14191" t="s">
        <v>38809</v>
      </c>
      <c r="D14191" t="s">
        <v>46891</v>
      </c>
      <c r="E14191" t="b">
        <v>0</v>
      </c>
      <c r="F14191" t="s">
        <v>11610</v>
      </c>
      <c r="L14191">
        <v>0</v>
      </c>
      <c r="M14191">
        <v>0</v>
      </c>
      <c r="N14191">
        <v>0</v>
      </c>
    </row>
    <row r="14192" spans="1:15">
      <c r="A14192" t="s">
        <v>46892</v>
      </c>
      <c r="B14192" t="s">
        <v>11607</v>
      </c>
      <c r="C14192" t="s">
        <v>25529</v>
      </c>
      <c r="D14192" t="s">
        <v>46893</v>
      </c>
      <c r="E14192" t="b">
        <v>0</v>
      </c>
      <c r="F14192" t="s">
        <v>11610</v>
      </c>
      <c r="L14192">
        <v>0</v>
      </c>
      <c r="M14192">
        <v>0</v>
      </c>
      <c r="N14192">
        <v>0</v>
      </c>
    </row>
    <row r="14193" spans="1:15">
      <c r="A14193" t="s">
        <v>24317</v>
      </c>
      <c r="B14193" t="s">
        <v>11729</v>
      </c>
      <c r="C14193" t="s">
        <v>16270</v>
      </c>
      <c r="D14193" t="s">
        <v>46894</v>
      </c>
      <c r="E14193" t="b">
        <v>0</v>
      </c>
      <c r="F14193" t="s">
        <v>11624</v>
      </c>
      <c r="G14193">
        <v>2.2501280000000001</v>
      </c>
      <c r="H14193">
        <v>30.870201000000002</v>
      </c>
      <c r="I14193" t="s">
        <v>46895</v>
      </c>
      <c r="L14193">
        <v>0</v>
      </c>
      <c r="M14193">
        <v>0</v>
      </c>
      <c r="N14193">
        <v>2</v>
      </c>
    </row>
    <row r="14194" spans="1:15">
      <c r="A14194" t="s">
        <v>41283</v>
      </c>
      <c r="B14194" t="s">
        <v>11729</v>
      </c>
      <c r="C14194" t="s">
        <v>27807</v>
      </c>
      <c r="D14194" t="s">
        <v>46896</v>
      </c>
      <c r="E14194" t="b">
        <v>0</v>
      </c>
      <c r="F14194" t="s">
        <v>11622</v>
      </c>
      <c r="L14194">
        <v>0</v>
      </c>
      <c r="M14194">
        <v>2</v>
      </c>
      <c r="N14194">
        <v>6</v>
      </c>
    </row>
    <row r="14195" spans="1:15">
      <c r="A14195" t="s">
        <v>31204</v>
      </c>
      <c r="B14195" t="s">
        <v>11615</v>
      </c>
      <c r="C14195" t="s">
        <v>46897</v>
      </c>
      <c r="D14195" t="s">
        <v>46898</v>
      </c>
      <c r="E14195" t="b">
        <v>0</v>
      </c>
      <c r="F14195" t="s">
        <v>11624</v>
      </c>
      <c r="G14195">
        <v>-4.3404299999999996</v>
      </c>
      <c r="H14195">
        <v>138.411</v>
      </c>
      <c r="I14195" t="s">
        <v>46899</v>
      </c>
      <c r="L14195">
        <v>0</v>
      </c>
      <c r="M14195">
        <v>0</v>
      </c>
      <c r="N14195">
        <v>2</v>
      </c>
      <c r="O14195" t="s">
        <v>11768</v>
      </c>
    </row>
    <row r="14196" spans="1:15">
      <c r="A14196" t="s">
        <v>46900</v>
      </c>
      <c r="B14196" t="s">
        <v>367</v>
      </c>
      <c r="C14196" t="s">
        <v>46901</v>
      </c>
      <c r="D14196" t="s">
        <v>46902</v>
      </c>
      <c r="E14196" t="b">
        <v>0</v>
      </c>
      <c r="F14196" t="s">
        <v>11610</v>
      </c>
      <c r="L14196">
        <v>0</v>
      </c>
      <c r="M14196">
        <v>0</v>
      </c>
      <c r="N14196">
        <v>0</v>
      </c>
    </row>
    <row r="14197" spans="1:15">
      <c r="A14197" t="s">
        <v>46903</v>
      </c>
      <c r="B14197" t="s">
        <v>11729</v>
      </c>
      <c r="C14197" t="s">
        <v>37259</v>
      </c>
      <c r="D14197" t="s">
        <v>46904</v>
      </c>
      <c r="E14197" t="b">
        <v>0</v>
      </c>
      <c r="F14197" t="s">
        <v>11610</v>
      </c>
      <c r="L14197">
        <v>0</v>
      </c>
      <c r="M14197">
        <v>0</v>
      </c>
      <c r="N14197">
        <v>0</v>
      </c>
    </row>
    <row r="14198" spans="1:15">
      <c r="A14198" t="s">
        <v>27296</v>
      </c>
      <c r="B14198" t="s">
        <v>6742</v>
      </c>
      <c r="C14198" t="s">
        <v>34818</v>
      </c>
      <c r="D14198" t="s">
        <v>46905</v>
      </c>
      <c r="E14198" t="b">
        <v>0</v>
      </c>
      <c r="F14198" t="s">
        <v>11624</v>
      </c>
      <c r="G14198">
        <v>-1.6703300000000001</v>
      </c>
      <c r="H14198">
        <v>13.7279</v>
      </c>
      <c r="I14198" t="s">
        <v>46906</v>
      </c>
      <c r="L14198">
        <v>0</v>
      </c>
      <c r="M14198">
        <v>0</v>
      </c>
      <c r="N14198">
        <v>4</v>
      </c>
      <c r="O14198" t="s">
        <v>16915</v>
      </c>
    </row>
    <row r="14199" spans="1:15">
      <c r="A14199" t="s">
        <v>34818</v>
      </c>
      <c r="B14199" t="s">
        <v>6742</v>
      </c>
      <c r="C14199" t="s">
        <v>43718</v>
      </c>
      <c r="D14199" t="s">
        <v>46907</v>
      </c>
      <c r="E14199" t="b">
        <v>0</v>
      </c>
      <c r="F14199" t="s">
        <v>11622</v>
      </c>
      <c r="L14199">
        <v>0</v>
      </c>
      <c r="M14199">
        <v>2</v>
      </c>
      <c r="N14199">
        <v>4</v>
      </c>
    </row>
    <row r="14200" spans="1:15">
      <c r="A14200" t="s">
        <v>25254</v>
      </c>
      <c r="B14200" t="s">
        <v>6742</v>
      </c>
      <c r="C14200" t="s">
        <v>41536</v>
      </c>
      <c r="D14200" t="s">
        <v>46908</v>
      </c>
      <c r="E14200" t="b">
        <v>0</v>
      </c>
      <c r="F14200" t="s">
        <v>11622</v>
      </c>
      <c r="L14200">
        <v>1</v>
      </c>
      <c r="M14200">
        <v>3</v>
      </c>
      <c r="N14200">
        <v>0</v>
      </c>
    </row>
    <row r="14201" spans="1:15">
      <c r="A14201" t="s">
        <v>43580</v>
      </c>
      <c r="B14201" t="s">
        <v>6742</v>
      </c>
      <c r="C14201" t="s">
        <v>25254</v>
      </c>
      <c r="D14201" t="s">
        <v>46909</v>
      </c>
      <c r="E14201" t="b">
        <v>0</v>
      </c>
      <c r="F14201" t="s">
        <v>11622</v>
      </c>
      <c r="L14201">
        <v>0</v>
      </c>
      <c r="M14201">
        <v>2</v>
      </c>
      <c r="N14201">
        <v>0</v>
      </c>
    </row>
    <row r="14202" spans="1:15">
      <c r="A14202" t="s">
        <v>46910</v>
      </c>
      <c r="B14202" t="s">
        <v>6742</v>
      </c>
      <c r="C14202" t="s">
        <v>43580</v>
      </c>
      <c r="D14202" t="s">
        <v>46911</v>
      </c>
      <c r="E14202" t="b">
        <v>0</v>
      </c>
      <c r="F14202" t="s">
        <v>11624</v>
      </c>
      <c r="G14202">
        <v>2.3885999999999998</v>
      </c>
      <c r="H14202">
        <v>21.575500000000002</v>
      </c>
      <c r="I14202" t="s">
        <v>46912</v>
      </c>
      <c r="L14202">
        <v>0</v>
      </c>
      <c r="M14202">
        <v>0</v>
      </c>
      <c r="N14202">
        <v>0</v>
      </c>
      <c r="O14202" t="s">
        <v>14825</v>
      </c>
    </row>
    <row r="14203" spans="1:15">
      <c r="A14203" t="s">
        <v>46913</v>
      </c>
      <c r="B14203" t="s">
        <v>6742</v>
      </c>
      <c r="C14203" t="s">
        <v>45140</v>
      </c>
      <c r="D14203" t="s">
        <v>46914</v>
      </c>
      <c r="E14203" t="b">
        <v>0</v>
      </c>
      <c r="F14203" t="s">
        <v>11610</v>
      </c>
      <c r="L14203">
        <v>0</v>
      </c>
      <c r="M14203">
        <v>0</v>
      </c>
      <c r="N14203">
        <v>0</v>
      </c>
    </row>
    <row r="14204" spans="1:15">
      <c r="A14204" t="s">
        <v>46915</v>
      </c>
      <c r="B14204" t="s">
        <v>6742</v>
      </c>
      <c r="C14204" t="s">
        <v>46015</v>
      </c>
      <c r="D14204" t="s">
        <v>46916</v>
      </c>
      <c r="E14204" t="b">
        <v>0</v>
      </c>
      <c r="F14204" t="s">
        <v>11624</v>
      </c>
      <c r="G14204">
        <v>6.7320500000000001</v>
      </c>
      <c r="H14204">
        <v>11.110469999999999</v>
      </c>
      <c r="I14204" t="s">
        <v>46917</v>
      </c>
      <c r="L14204">
        <v>0</v>
      </c>
      <c r="M14204">
        <v>0</v>
      </c>
      <c r="N14204">
        <v>0</v>
      </c>
      <c r="O14204" t="s">
        <v>11693</v>
      </c>
    </row>
    <row r="14205" spans="1:15">
      <c r="A14205" t="s">
        <v>46918</v>
      </c>
      <c r="B14205" t="s">
        <v>6742</v>
      </c>
      <c r="C14205" t="s">
        <v>30367</v>
      </c>
      <c r="D14205" t="s">
        <v>46919</v>
      </c>
      <c r="E14205" t="b">
        <v>0</v>
      </c>
      <c r="F14205" t="s">
        <v>11610</v>
      </c>
      <c r="L14205">
        <v>0</v>
      </c>
      <c r="M14205">
        <v>0</v>
      </c>
      <c r="N14205">
        <v>0</v>
      </c>
    </row>
    <row r="14206" spans="1:15">
      <c r="A14206" t="s">
        <v>46920</v>
      </c>
      <c r="B14206" t="s">
        <v>6742</v>
      </c>
      <c r="C14206" t="s">
        <v>46921</v>
      </c>
      <c r="D14206" t="s">
        <v>46922</v>
      </c>
      <c r="E14206" t="b">
        <v>0</v>
      </c>
      <c r="F14206" t="s">
        <v>11624</v>
      </c>
      <c r="G14206">
        <v>14.925000000000001</v>
      </c>
      <c r="H14206">
        <v>-16.981100000000001</v>
      </c>
      <c r="I14206" t="s">
        <v>46923</v>
      </c>
      <c r="L14206">
        <v>0</v>
      </c>
      <c r="M14206">
        <v>0</v>
      </c>
      <c r="N14206">
        <v>0</v>
      </c>
      <c r="O14206" t="s">
        <v>16532</v>
      </c>
    </row>
    <row r="14207" spans="1:15">
      <c r="A14207" t="s">
        <v>13411</v>
      </c>
      <c r="D14207" t="s">
        <v>46924</v>
      </c>
      <c r="E14207" t="b">
        <v>0</v>
      </c>
      <c r="F14207" t="s">
        <v>11622</v>
      </c>
      <c r="L14207">
        <v>6</v>
      </c>
      <c r="M14207">
        <v>13</v>
      </c>
      <c r="N14207">
        <v>14</v>
      </c>
    </row>
    <row r="14208" spans="1:15">
      <c r="A14208" t="s">
        <v>46925</v>
      </c>
      <c r="B14208" t="s">
        <v>6742</v>
      </c>
      <c r="C14208" t="s">
        <v>20639</v>
      </c>
      <c r="D14208" t="s">
        <v>46926</v>
      </c>
      <c r="E14208" t="b">
        <v>0</v>
      </c>
      <c r="F14208" t="s">
        <v>11610</v>
      </c>
      <c r="L14208">
        <v>0</v>
      </c>
      <c r="M14208">
        <v>0</v>
      </c>
      <c r="N14208">
        <v>0</v>
      </c>
    </row>
    <row r="14209" spans="1:15">
      <c r="A14209" t="s">
        <v>46927</v>
      </c>
      <c r="B14209" t="s">
        <v>6742</v>
      </c>
      <c r="C14209" t="s">
        <v>31245</v>
      </c>
      <c r="D14209" t="s">
        <v>46928</v>
      </c>
      <c r="E14209" t="b">
        <v>0</v>
      </c>
      <c r="F14209" t="s">
        <v>11610</v>
      </c>
      <c r="L14209">
        <v>0</v>
      </c>
      <c r="M14209">
        <v>0</v>
      </c>
      <c r="N14209">
        <v>0</v>
      </c>
    </row>
    <row r="14210" spans="1:15">
      <c r="A14210" t="s">
        <v>46929</v>
      </c>
      <c r="B14210" t="s">
        <v>6742</v>
      </c>
      <c r="C14210" t="s">
        <v>4927</v>
      </c>
      <c r="D14210" t="s">
        <v>46930</v>
      </c>
      <c r="E14210" t="b">
        <v>0</v>
      </c>
      <c r="F14210" t="s">
        <v>11610</v>
      </c>
      <c r="L14210">
        <v>0</v>
      </c>
      <c r="M14210">
        <v>0</v>
      </c>
      <c r="N14210">
        <v>0</v>
      </c>
    </row>
    <row r="14211" spans="1:15">
      <c r="A14211" t="s">
        <v>46931</v>
      </c>
      <c r="B14211" t="s">
        <v>13450</v>
      </c>
      <c r="C14211" t="s">
        <v>46932</v>
      </c>
      <c r="D14211" t="s">
        <v>46933</v>
      </c>
      <c r="E14211" t="b">
        <v>0</v>
      </c>
      <c r="F14211" t="s">
        <v>11624</v>
      </c>
      <c r="G14211">
        <v>2.9478900000000001</v>
      </c>
      <c r="H14211">
        <v>-56.0182</v>
      </c>
      <c r="I14211" t="s">
        <v>46934</v>
      </c>
      <c r="L14211">
        <v>0</v>
      </c>
      <c r="M14211">
        <v>0</v>
      </c>
      <c r="N14211">
        <v>0</v>
      </c>
      <c r="O14211" t="s">
        <v>12857</v>
      </c>
    </row>
    <row r="14212" spans="1:15">
      <c r="A14212" t="s">
        <v>13183</v>
      </c>
      <c r="B14212" t="s">
        <v>11637</v>
      </c>
      <c r="C14212" t="s">
        <v>38750</v>
      </c>
      <c r="D14212" t="s">
        <v>46935</v>
      </c>
      <c r="E14212" t="b">
        <v>0</v>
      </c>
      <c r="F14212" t="s">
        <v>11624</v>
      </c>
      <c r="G14212">
        <v>4.3125999999999998</v>
      </c>
      <c r="H14212">
        <v>-54.6419</v>
      </c>
      <c r="I14212" t="s">
        <v>46936</v>
      </c>
      <c r="L14212">
        <v>0</v>
      </c>
      <c r="M14212">
        <v>0</v>
      </c>
      <c r="N14212">
        <v>2</v>
      </c>
      <c r="O14212" t="s">
        <v>21138</v>
      </c>
    </row>
    <row r="14213" spans="1:15">
      <c r="A14213" t="s">
        <v>17779</v>
      </c>
      <c r="B14213" t="s">
        <v>6742</v>
      </c>
      <c r="C14213" t="s">
        <v>34309</v>
      </c>
      <c r="D14213" t="s">
        <v>46937</v>
      </c>
      <c r="E14213" t="b">
        <v>0</v>
      </c>
      <c r="F14213" t="s">
        <v>11622</v>
      </c>
      <c r="L14213">
        <v>4</v>
      </c>
      <c r="M14213">
        <v>12</v>
      </c>
      <c r="N14213">
        <v>26</v>
      </c>
    </row>
    <row r="14214" spans="1:15">
      <c r="A14214" t="s">
        <v>46938</v>
      </c>
      <c r="B14214" t="s">
        <v>11644</v>
      </c>
      <c r="C14214" t="s">
        <v>13422</v>
      </c>
      <c r="D14214" t="s">
        <v>46939</v>
      </c>
      <c r="E14214" t="b">
        <v>0</v>
      </c>
      <c r="F14214" t="s">
        <v>11610</v>
      </c>
      <c r="L14214">
        <v>0</v>
      </c>
      <c r="M14214">
        <v>0</v>
      </c>
      <c r="N14214">
        <v>0</v>
      </c>
    </row>
    <row r="14215" spans="1:15">
      <c r="A14215" t="s">
        <v>46940</v>
      </c>
      <c r="B14215" t="s">
        <v>6742</v>
      </c>
      <c r="C14215" t="s">
        <v>42783</v>
      </c>
      <c r="D14215" t="s">
        <v>46941</v>
      </c>
      <c r="E14215" t="b">
        <v>0</v>
      </c>
      <c r="F14215" t="s">
        <v>11624</v>
      </c>
      <c r="G14215">
        <v>-12.212300000000001</v>
      </c>
      <c r="H14215">
        <v>44.370899999999999</v>
      </c>
      <c r="I14215" t="s">
        <v>46942</v>
      </c>
      <c r="L14215">
        <v>0</v>
      </c>
      <c r="M14215">
        <v>0</v>
      </c>
      <c r="N14215">
        <v>0</v>
      </c>
      <c r="O14215" t="s">
        <v>46040</v>
      </c>
    </row>
    <row r="14216" spans="1:15">
      <c r="A14216" t="s">
        <v>46943</v>
      </c>
      <c r="B14216" t="s">
        <v>367</v>
      </c>
      <c r="C14216" t="s">
        <v>43652</v>
      </c>
      <c r="D14216" t="s">
        <v>46944</v>
      </c>
      <c r="E14216" t="b">
        <v>0</v>
      </c>
      <c r="F14216" t="s">
        <v>11610</v>
      </c>
      <c r="L14216">
        <v>0</v>
      </c>
      <c r="M14216">
        <v>0</v>
      </c>
      <c r="N14216">
        <v>0</v>
      </c>
    </row>
    <row r="14217" spans="1:15">
      <c r="A14217" t="s">
        <v>46945</v>
      </c>
      <c r="B14217" t="s">
        <v>6742</v>
      </c>
      <c r="C14217" t="s">
        <v>18216</v>
      </c>
      <c r="D14217" t="s">
        <v>46946</v>
      </c>
      <c r="E14217" t="b">
        <v>0</v>
      </c>
      <c r="F14217" t="s">
        <v>11610</v>
      </c>
      <c r="L14217">
        <v>0</v>
      </c>
      <c r="M14217">
        <v>0</v>
      </c>
      <c r="N14217">
        <v>0</v>
      </c>
    </row>
    <row r="14218" spans="1:15">
      <c r="A14218" t="s">
        <v>46947</v>
      </c>
      <c r="B14218" t="s">
        <v>15142</v>
      </c>
      <c r="C14218" t="s">
        <v>15143</v>
      </c>
      <c r="D14218" t="s">
        <v>46948</v>
      </c>
      <c r="E14218" t="b">
        <v>0</v>
      </c>
      <c r="F14218" t="s">
        <v>11610</v>
      </c>
      <c r="L14218">
        <v>0</v>
      </c>
      <c r="M14218">
        <v>0</v>
      </c>
      <c r="N14218">
        <v>0</v>
      </c>
    </row>
    <row r="14219" spans="1:15">
      <c r="A14219" t="s">
        <v>45069</v>
      </c>
      <c r="B14219" t="s">
        <v>11637</v>
      </c>
      <c r="C14219" t="s">
        <v>32820</v>
      </c>
      <c r="D14219" t="s">
        <v>46949</v>
      </c>
      <c r="E14219" t="b">
        <v>0</v>
      </c>
      <c r="F14219" t="s">
        <v>11624</v>
      </c>
      <c r="G14219">
        <v>39.2288</v>
      </c>
      <c r="H14219">
        <v>16.422499999999999</v>
      </c>
      <c r="I14219" t="s">
        <v>46950</v>
      </c>
      <c r="L14219">
        <v>0</v>
      </c>
      <c r="M14219">
        <v>0</v>
      </c>
      <c r="N14219">
        <v>4</v>
      </c>
      <c r="O14219" t="s">
        <v>13676</v>
      </c>
    </row>
    <row r="14220" spans="1:15">
      <c r="A14220" t="s">
        <v>46951</v>
      </c>
      <c r="B14220" t="s">
        <v>2975</v>
      </c>
      <c r="C14220" t="s">
        <v>46952</v>
      </c>
      <c r="D14220" t="s">
        <v>46953</v>
      </c>
      <c r="E14220" t="b">
        <v>0</v>
      </c>
      <c r="F14220" t="s">
        <v>11610</v>
      </c>
      <c r="L14220">
        <v>0</v>
      </c>
      <c r="M14220">
        <v>0</v>
      </c>
      <c r="N14220">
        <v>0</v>
      </c>
    </row>
    <row r="14221" spans="1:15">
      <c r="A14221" t="s">
        <v>46954</v>
      </c>
      <c r="B14221" t="s">
        <v>8897</v>
      </c>
      <c r="C14221" t="s">
        <v>31320</v>
      </c>
      <c r="D14221" t="s">
        <v>46955</v>
      </c>
      <c r="E14221" t="b">
        <v>0</v>
      </c>
      <c r="F14221" t="s">
        <v>11610</v>
      </c>
      <c r="L14221">
        <v>0</v>
      </c>
      <c r="M14221">
        <v>0</v>
      </c>
      <c r="N14221">
        <v>0</v>
      </c>
    </row>
    <row r="14222" spans="1:15">
      <c r="A14222" t="s">
        <v>13105</v>
      </c>
      <c r="B14222" t="s">
        <v>11637</v>
      </c>
      <c r="C14222" t="s">
        <v>46956</v>
      </c>
      <c r="D14222" t="s">
        <v>46957</v>
      </c>
      <c r="E14222" t="b">
        <v>0</v>
      </c>
      <c r="F14222" t="s">
        <v>11610</v>
      </c>
      <c r="L14222">
        <v>0</v>
      </c>
      <c r="M14222">
        <v>0</v>
      </c>
      <c r="N14222">
        <v>10</v>
      </c>
    </row>
    <row r="14223" spans="1:15">
      <c r="A14223" t="s">
        <v>46958</v>
      </c>
      <c r="B14223" t="s">
        <v>6742</v>
      </c>
      <c r="C14223" t="s">
        <v>46959</v>
      </c>
      <c r="D14223" t="s">
        <v>46960</v>
      </c>
      <c r="E14223" t="b">
        <v>0</v>
      </c>
      <c r="F14223" t="s">
        <v>11610</v>
      </c>
      <c r="L14223">
        <v>0</v>
      </c>
      <c r="M14223">
        <v>0</v>
      </c>
      <c r="N14223">
        <v>0</v>
      </c>
    </row>
    <row r="14224" spans="1:15">
      <c r="A14224" t="s">
        <v>46961</v>
      </c>
      <c r="B14224" t="s">
        <v>11839</v>
      </c>
      <c r="C14224" t="s">
        <v>13132</v>
      </c>
      <c r="D14224" t="s">
        <v>46962</v>
      </c>
      <c r="E14224" t="b">
        <v>0</v>
      </c>
      <c r="F14224" t="s">
        <v>11624</v>
      </c>
      <c r="G14224">
        <v>-8.2877600000000005</v>
      </c>
      <c r="H14224">
        <v>124.19199999999999</v>
      </c>
      <c r="I14224" t="s">
        <v>46963</v>
      </c>
      <c r="L14224">
        <v>0</v>
      </c>
      <c r="M14224">
        <v>0</v>
      </c>
      <c r="N14224">
        <v>0</v>
      </c>
      <c r="O14224" t="s">
        <v>11768</v>
      </c>
    </row>
    <row r="14225" spans="1:15">
      <c r="A14225" t="s">
        <v>14195</v>
      </c>
      <c r="B14225" t="s">
        <v>11637</v>
      </c>
      <c r="C14225" t="s">
        <v>46964</v>
      </c>
      <c r="D14225" t="s">
        <v>46965</v>
      </c>
      <c r="E14225" t="b">
        <v>0</v>
      </c>
      <c r="F14225" t="s">
        <v>11610</v>
      </c>
      <c r="L14225">
        <v>0</v>
      </c>
      <c r="M14225">
        <v>0</v>
      </c>
      <c r="N14225">
        <v>4</v>
      </c>
    </row>
    <row r="14226" spans="1:15">
      <c r="A14226" t="s">
        <v>46966</v>
      </c>
      <c r="B14226" t="s">
        <v>6742</v>
      </c>
      <c r="C14226" t="s">
        <v>21489</v>
      </c>
      <c r="D14226" t="s">
        <v>46967</v>
      </c>
      <c r="E14226" t="b">
        <v>0</v>
      </c>
      <c r="F14226" t="s">
        <v>11610</v>
      </c>
      <c r="L14226">
        <v>0</v>
      </c>
      <c r="M14226">
        <v>0</v>
      </c>
      <c r="N14226">
        <v>0</v>
      </c>
    </row>
    <row r="14227" spans="1:15">
      <c r="A14227" t="s">
        <v>46968</v>
      </c>
      <c r="B14227" t="s">
        <v>11637</v>
      </c>
      <c r="C14227" t="s">
        <v>46969</v>
      </c>
      <c r="D14227" t="s">
        <v>46970</v>
      </c>
      <c r="E14227" t="b">
        <v>0</v>
      </c>
      <c r="F14227" t="s">
        <v>11610</v>
      </c>
      <c r="L14227">
        <v>0</v>
      </c>
      <c r="M14227">
        <v>0</v>
      </c>
      <c r="N14227">
        <v>0</v>
      </c>
    </row>
    <row r="14228" spans="1:15">
      <c r="A14228" t="s">
        <v>46971</v>
      </c>
      <c r="B14228" t="s">
        <v>13450</v>
      </c>
      <c r="C14228" t="s">
        <v>14860</v>
      </c>
      <c r="D14228" t="s">
        <v>46972</v>
      </c>
      <c r="E14228" t="b">
        <v>0</v>
      </c>
      <c r="F14228" t="s">
        <v>11624</v>
      </c>
      <c r="G14228">
        <v>27.687999999999999</v>
      </c>
      <c r="H14228">
        <v>96.349000000000004</v>
      </c>
      <c r="I14228" t="s">
        <v>46973</v>
      </c>
      <c r="L14228">
        <v>0</v>
      </c>
      <c r="M14228">
        <v>0</v>
      </c>
      <c r="N14228">
        <v>0</v>
      </c>
      <c r="O14228" t="s">
        <v>11630</v>
      </c>
    </row>
    <row r="14229" spans="1:15">
      <c r="A14229" t="s">
        <v>46974</v>
      </c>
      <c r="B14229" t="s">
        <v>367</v>
      </c>
      <c r="C14229" t="s">
        <v>41052</v>
      </c>
      <c r="D14229" t="s">
        <v>46975</v>
      </c>
      <c r="E14229" t="b">
        <v>0</v>
      </c>
      <c r="F14229" t="s">
        <v>11624</v>
      </c>
      <c r="G14229">
        <v>2.6650299999999998</v>
      </c>
      <c r="H14229">
        <v>102.291</v>
      </c>
      <c r="I14229" t="s">
        <v>46976</v>
      </c>
      <c r="L14229">
        <v>0</v>
      </c>
      <c r="M14229">
        <v>0</v>
      </c>
      <c r="N14229">
        <v>0</v>
      </c>
      <c r="O14229" t="s">
        <v>11672</v>
      </c>
    </row>
    <row r="14230" spans="1:15">
      <c r="A14230" t="s">
        <v>46977</v>
      </c>
      <c r="B14230" t="s">
        <v>367</v>
      </c>
      <c r="C14230" t="s">
        <v>14805</v>
      </c>
      <c r="D14230" t="s">
        <v>46978</v>
      </c>
      <c r="E14230" t="b">
        <v>0</v>
      </c>
      <c r="F14230" t="s">
        <v>11610</v>
      </c>
      <c r="L14230">
        <v>0</v>
      </c>
      <c r="M14230">
        <v>0</v>
      </c>
      <c r="N14230">
        <v>0</v>
      </c>
    </row>
    <row r="14231" spans="1:15">
      <c r="A14231" t="s">
        <v>46979</v>
      </c>
      <c r="B14231" t="s">
        <v>11637</v>
      </c>
      <c r="C14231" t="s">
        <v>18075</v>
      </c>
      <c r="D14231" t="s">
        <v>46980</v>
      </c>
      <c r="E14231" t="b">
        <v>0</v>
      </c>
      <c r="F14231" t="s">
        <v>11624</v>
      </c>
      <c r="G14231">
        <v>18.3416</v>
      </c>
      <c r="H14231">
        <v>-64.892200000000003</v>
      </c>
      <c r="I14231" t="s">
        <v>46981</v>
      </c>
      <c r="L14231">
        <v>0</v>
      </c>
      <c r="M14231">
        <v>0</v>
      </c>
      <c r="N14231">
        <v>0</v>
      </c>
      <c r="O14231" t="s">
        <v>46982</v>
      </c>
    </row>
    <row r="14232" spans="1:15">
      <c r="A14232" t="s">
        <v>46983</v>
      </c>
      <c r="B14232" t="s">
        <v>12686</v>
      </c>
      <c r="C14232" t="s">
        <v>27548</v>
      </c>
      <c r="D14232" t="s">
        <v>46984</v>
      </c>
      <c r="E14232" t="b">
        <v>0</v>
      </c>
      <c r="F14232" t="s">
        <v>11624</v>
      </c>
      <c r="G14232">
        <v>52.965800000000002</v>
      </c>
      <c r="H14232">
        <v>139.20599999999999</v>
      </c>
      <c r="I14232" t="s">
        <v>46985</v>
      </c>
      <c r="L14232">
        <v>0</v>
      </c>
      <c r="M14232">
        <v>0</v>
      </c>
      <c r="N14232">
        <v>2</v>
      </c>
      <c r="O14232" t="s">
        <v>12748</v>
      </c>
    </row>
    <row r="14233" spans="1:15">
      <c r="A14233" t="s">
        <v>46986</v>
      </c>
      <c r="B14233" t="s">
        <v>14314</v>
      </c>
      <c r="C14233" t="s">
        <v>35351</v>
      </c>
      <c r="D14233" t="s">
        <v>46987</v>
      </c>
      <c r="E14233" t="b">
        <v>0</v>
      </c>
      <c r="F14233" t="s">
        <v>11610</v>
      </c>
      <c r="L14233">
        <v>0</v>
      </c>
      <c r="M14233">
        <v>0</v>
      </c>
      <c r="N14233">
        <v>0</v>
      </c>
    </row>
    <row r="14234" spans="1:15">
      <c r="A14234" t="s">
        <v>35240</v>
      </c>
      <c r="B14234" t="s">
        <v>367</v>
      </c>
      <c r="C14234" t="s">
        <v>16804</v>
      </c>
      <c r="D14234" t="s">
        <v>46988</v>
      </c>
      <c r="E14234" t="b">
        <v>0</v>
      </c>
      <c r="F14234" t="s">
        <v>11622</v>
      </c>
      <c r="L14234">
        <v>0</v>
      </c>
      <c r="M14234">
        <v>2</v>
      </c>
      <c r="N14234">
        <v>0</v>
      </c>
    </row>
    <row r="14235" spans="1:15">
      <c r="A14235" t="s">
        <v>14655</v>
      </c>
      <c r="B14235" t="s">
        <v>11894</v>
      </c>
      <c r="C14235" t="s">
        <v>13166</v>
      </c>
      <c r="D14235" t="s">
        <v>46989</v>
      </c>
      <c r="E14235" t="b">
        <v>0</v>
      </c>
      <c r="F14235" t="s">
        <v>11622</v>
      </c>
      <c r="L14235">
        <v>2</v>
      </c>
      <c r="M14235">
        <v>9</v>
      </c>
      <c r="N14235">
        <v>2</v>
      </c>
    </row>
    <row r="14236" spans="1:15">
      <c r="A14236" t="s">
        <v>46990</v>
      </c>
      <c r="B14236" t="s">
        <v>6742</v>
      </c>
      <c r="C14236" t="s">
        <v>27708</v>
      </c>
      <c r="D14236" t="s">
        <v>46991</v>
      </c>
      <c r="E14236" t="b">
        <v>0</v>
      </c>
      <c r="F14236" t="s">
        <v>11610</v>
      </c>
      <c r="L14236">
        <v>0</v>
      </c>
      <c r="M14236">
        <v>0</v>
      </c>
      <c r="N14236">
        <v>0</v>
      </c>
    </row>
    <row r="14237" spans="1:15">
      <c r="A14237" t="s">
        <v>46992</v>
      </c>
      <c r="B14237" t="s">
        <v>367</v>
      </c>
      <c r="C14237" t="s">
        <v>22794</v>
      </c>
      <c r="D14237" t="s">
        <v>46993</v>
      </c>
      <c r="E14237" t="b">
        <v>0</v>
      </c>
      <c r="F14237" t="s">
        <v>11622</v>
      </c>
      <c r="L14237">
        <v>5</v>
      </c>
      <c r="M14237">
        <v>10</v>
      </c>
      <c r="N14237">
        <v>27</v>
      </c>
    </row>
    <row r="14238" spans="1:15">
      <c r="A14238" t="s">
        <v>46994</v>
      </c>
      <c r="B14238" t="s">
        <v>367</v>
      </c>
      <c r="C14238" t="s">
        <v>20159</v>
      </c>
      <c r="D14238" t="s">
        <v>46995</v>
      </c>
      <c r="E14238" t="b">
        <v>0</v>
      </c>
      <c r="F14238" t="s">
        <v>11624</v>
      </c>
      <c r="G14238">
        <v>-4.5687499999999996</v>
      </c>
      <c r="H14238">
        <v>154.19999999999999</v>
      </c>
      <c r="I14238" t="s">
        <v>46996</v>
      </c>
      <c r="L14238">
        <v>0</v>
      </c>
      <c r="M14238">
        <v>0</v>
      </c>
      <c r="N14238">
        <v>2</v>
      </c>
      <c r="O14238" t="s">
        <v>11660</v>
      </c>
    </row>
    <row r="14239" spans="1:15">
      <c r="A14239" t="s">
        <v>46997</v>
      </c>
      <c r="B14239" t="s">
        <v>24281</v>
      </c>
      <c r="C14239" t="s">
        <v>31749</v>
      </c>
      <c r="D14239" t="s">
        <v>46998</v>
      </c>
      <c r="E14239" t="b">
        <v>0</v>
      </c>
      <c r="F14239" t="s">
        <v>11610</v>
      </c>
      <c r="L14239">
        <v>0</v>
      </c>
      <c r="M14239">
        <v>0</v>
      </c>
      <c r="N14239">
        <v>0</v>
      </c>
    </row>
    <row r="14240" spans="1:15">
      <c r="A14240" t="s">
        <v>46999</v>
      </c>
      <c r="B14240" t="s">
        <v>11637</v>
      </c>
      <c r="C14240" t="s">
        <v>28948</v>
      </c>
      <c r="D14240" t="s">
        <v>47000</v>
      </c>
      <c r="E14240" t="b">
        <v>0</v>
      </c>
      <c r="F14240" t="s">
        <v>11610</v>
      </c>
      <c r="L14240">
        <v>0</v>
      </c>
      <c r="M14240">
        <v>0</v>
      </c>
      <c r="N14240">
        <v>0</v>
      </c>
    </row>
    <row r="14241" spans="1:15">
      <c r="A14241" t="s">
        <v>47001</v>
      </c>
      <c r="B14241" t="s">
        <v>6742</v>
      </c>
      <c r="C14241" t="s">
        <v>16074</v>
      </c>
      <c r="D14241" t="s">
        <v>47002</v>
      </c>
      <c r="E14241" t="b">
        <v>0</v>
      </c>
      <c r="F14241" t="s">
        <v>11610</v>
      </c>
      <c r="L14241">
        <v>0</v>
      </c>
      <c r="M14241">
        <v>0</v>
      </c>
      <c r="N14241">
        <v>0</v>
      </c>
    </row>
    <row r="14242" spans="1:15">
      <c r="A14242" t="s">
        <v>47003</v>
      </c>
      <c r="B14242" t="s">
        <v>6742</v>
      </c>
      <c r="C14242" t="s">
        <v>28313</v>
      </c>
      <c r="D14242" t="s">
        <v>47004</v>
      </c>
      <c r="E14242" t="b">
        <v>0</v>
      </c>
      <c r="F14242" t="s">
        <v>11610</v>
      </c>
      <c r="L14242">
        <v>0</v>
      </c>
      <c r="M14242">
        <v>0</v>
      </c>
      <c r="N14242">
        <v>0</v>
      </c>
    </row>
    <row r="14243" spans="1:15">
      <c r="A14243" t="s">
        <v>47005</v>
      </c>
      <c r="B14243" t="s">
        <v>11615</v>
      </c>
      <c r="C14243" t="s">
        <v>29316</v>
      </c>
      <c r="D14243" t="s">
        <v>47006</v>
      </c>
      <c r="E14243" t="b">
        <v>0</v>
      </c>
      <c r="F14243" t="s">
        <v>11624</v>
      </c>
      <c r="G14243">
        <v>-5.6436400000000004</v>
      </c>
      <c r="H14243">
        <v>146.25299999999999</v>
      </c>
      <c r="I14243" t="s">
        <v>47007</v>
      </c>
      <c r="L14243">
        <v>0</v>
      </c>
      <c r="M14243">
        <v>0</v>
      </c>
      <c r="N14243">
        <v>0</v>
      </c>
      <c r="O14243" t="s">
        <v>11660</v>
      </c>
    </row>
    <row r="14244" spans="1:15">
      <c r="A14244" t="s">
        <v>26278</v>
      </c>
      <c r="B14244" t="s">
        <v>11615</v>
      </c>
      <c r="C14244" t="s">
        <v>47008</v>
      </c>
      <c r="D14244" t="s">
        <v>47009</v>
      </c>
      <c r="E14244" t="b">
        <v>0</v>
      </c>
      <c r="F14244" t="s">
        <v>11624</v>
      </c>
      <c r="G14244">
        <v>-6.37697</v>
      </c>
      <c r="H14244">
        <v>146.84100000000001</v>
      </c>
      <c r="I14244" t="s">
        <v>47010</v>
      </c>
      <c r="L14244">
        <v>0</v>
      </c>
      <c r="M14244">
        <v>0</v>
      </c>
      <c r="N14244">
        <v>2</v>
      </c>
      <c r="O14244" t="s">
        <v>11660</v>
      </c>
    </row>
    <row r="14245" spans="1:15">
      <c r="A14245" t="s">
        <v>47008</v>
      </c>
      <c r="B14245" t="s">
        <v>11615</v>
      </c>
      <c r="C14245" t="s">
        <v>19001</v>
      </c>
      <c r="D14245" t="s">
        <v>47011</v>
      </c>
      <c r="E14245" t="b">
        <v>0</v>
      </c>
      <c r="F14245" t="s">
        <v>11622</v>
      </c>
      <c r="L14245">
        <v>0</v>
      </c>
      <c r="M14245">
        <v>2</v>
      </c>
      <c r="N14245">
        <v>4</v>
      </c>
    </row>
    <row r="14246" spans="1:15">
      <c r="A14246" t="s">
        <v>47012</v>
      </c>
      <c r="B14246" t="s">
        <v>11615</v>
      </c>
      <c r="C14246" t="s">
        <v>29316</v>
      </c>
      <c r="D14246" t="s">
        <v>47013</v>
      </c>
      <c r="E14246" t="b">
        <v>0</v>
      </c>
      <c r="F14246" t="s">
        <v>11624</v>
      </c>
      <c r="G14246">
        <v>-5.6003400000000001</v>
      </c>
      <c r="H14246">
        <v>146.30600000000001</v>
      </c>
      <c r="I14246" t="s">
        <v>47014</v>
      </c>
      <c r="L14246">
        <v>0</v>
      </c>
      <c r="M14246">
        <v>0</v>
      </c>
      <c r="N14246">
        <v>0</v>
      </c>
      <c r="O14246" t="s">
        <v>11660</v>
      </c>
    </row>
    <row r="14247" spans="1:15">
      <c r="A14247" t="s">
        <v>47015</v>
      </c>
      <c r="B14247" t="s">
        <v>367</v>
      </c>
      <c r="C14247" t="s">
        <v>31487</v>
      </c>
      <c r="D14247" t="s">
        <v>47016</v>
      </c>
      <c r="E14247" t="b">
        <v>0</v>
      </c>
      <c r="F14247" t="s">
        <v>11624</v>
      </c>
      <c r="G14247">
        <v>-21.6524</v>
      </c>
      <c r="H14247">
        <v>165.578</v>
      </c>
      <c r="I14247" t="s">
        <v>47017</v>
      </c>
      <c r="L14247">
        <v>0</v>
      </c>
      <c r="M14247">
        <v>0</v>
      </c>
      <c r="N14247">
        <v>0</v>
      </c>
      <c r="O14247" t="s">
        <v>12624</v>
      </c>
    </row>
    <row r="14248" spans="1:15">
      <c r="A14248" t="s">
        <v>47018</v>
      </c>
      <c r="B14248" t="s">
        <v>11844</v>
      </c>
      <c r="C14248" t="s">
        <v>2278</v>
      </c>
      <c r="D14248" t="s">
        <v>47019</v>
      </c>
      <c r="E14248" t="b">
        <v>0</v>
      </c>
      <c r="F14248" t="s">
        <v>11610</v>
      </c>
      <c r="L14248">
        <v>0</v>
      </c>
      <c r="M14248">
        <v>0</v>
      </c>
      <c r="N14248">
        <v>0</v>
      </c>
    </row>
    <row r="14249" spans="1:15">
      <c r="A14249" t="s">
        <v>47020</v>
      </c>
      <c r="B14249" t="s">
        <v>12697</v>
      </c>
      <c r="C14249" t="s">
        <v>12698</v>
      </c>
      <c r="D14249" t="s">
        <v>47021</v>
      </c>
      <c r="E14249" t="b">
        <v>0</v>
      </c>
      <c r="F14249" t="s">
        <v>11610</v>
      </c>
      <c r="L14249">
        <v>0</v>
      </c>
      <c r="M14249">
        <v>0</v>
      </c>
      <c r="N14249">
        <v>0</v>
      </c>
    </row>
    <row r="14250" spans="1:15">
      <c r="A14250" t="s">
        <v>47022</v>
      </c>
      <c r="B14250" t="s">
        <v>367</v>
      </c>
      <c r="C14250" t="s">
        <v>32558</v>
      </c>
      <c r="D14250" t="s">
        <v>47023</v>
      </c>
      <c r="E14250" t="b">
        <v>0</v>
      </c>
      <c r="F14250" t="s">
        <v>11610</v>
      </c>
      <c r="L14250">
        <v>0</v>
      </c>
      <c r="M14250">
        <v>0</v>
      </c>
      <c r="N14250">
        <v>0</v>
      </c>
    </row>
    <row r="14251" spans="1:15">
      <c r="A14251" t="s">
        <v>47024</v>
      </c>
      <c r="B14251" t="s">
        <v>14005</v>
      </c>
      <c r="C14251" t="s">
        <v>46354</v>
      </c>
      <c r="D14251" t="s">
        <v>47025</v>
      </c>
      <c r="E14251" t="b">
        <v>0</v>
      </c>
      <c r="F14251" t="s">
        <v>11624</v>
      </c>
      <c r="G14251">
        <v>-8.4487699999999997</v>
      </c>
      <c r="H14251">
        <v>141.84899999999999</v>
      </c>
      <c r="I14251" t="s">
        <v>47026</v>
      </c>
      <c r="L14251">
        <v>0</v>
      </c>
      <c r="M14251">
        <v>0</v>
      </c>
      <c r="N14251">
        <v>0</v>
      </c>
      <c r="O14251" t="s">
        <v>11660</v>
      </c>
    </row>
    <row r="14252" spans="1:15">
      <c r="A14252" t="s">
        <v>47027</v>
      </c>
      <c r="B14252" t="s">
        <v>367</v>
      </c>
      <c r="C14252" t="s">
        <v>28186</v>
      </c>
      <c r="D14252" t="s">
        <v>47028</v>
      </c>
      <c r="E14252" t="b">
        <v>0</v>
      </c>
      <c r="F14252" t="s">
        <v>11624</v>
      </c>
      <c r="G14252">
        <v>-20.679099999999998</v>
      </c>
      <c r="H14252">
        <v>164.797</v>
      </c>
      <c r="I14252" t="s">
        <v>47029</v>
      </c>
      <c r="L14252">
        <v>0</v>
      </c>
      <c r="M14252">
        <v>0</v>
      </c>
      <c r="N14252">
        <v>0</v>
      </c>
      <c r="O14252" t="s">
        <v>12624</v>
      </c>
    </row>
    <row r="14253" spans="1:15">
      <c r="A14253" t="s">
        <v>47030</v>
      </c>
      <c r="B14253" t="s">
        <v>11615</v>
      </c>
      <c r="C14253" t="s">
        <v>14967</v>
      </c>
      <c r="D14253" t="s">
        <v>47031</v>
      </c>
      <c r="E14253" t="b">
        <v>0</v>
      </c>
      <c r="F14253" t="s">
        <v>11624</v>
      </c>
      <c r="G14253">
        <v>-5.0427099999999996</v>
      </c>
      <c r="H14253">
        <v>144.886</v>
      </c>
      <c r="I14253" t="s">
        <v>47032</v>
      </c>
      <c r="L14253">
        <v>0</v>
      </c>
      <c r="M14253">
        <v>0</v>
      </c>
      <c r="N14253">
        <v>0</v>
      </c>
      <c r="O14253" t="s">
        <v>11660</v>
      </c>
    </row>
    <row r="14254" spans="1:15">
      <c r="A14254" t="s">
        <v>3373</v>
      </c>
      <c r="B14254" t="s">
        <v>12260</v>
      </c>
      <c r="C14254" t="s">
        <v>28043</v>
      </c>
      <c r="D14254" t="s">
        <v>47033</v>
      </c>
      <c r="E14254" t="b">
        <v>0</v>
      </c>
      <c r="F14254" t="s">
        <v>11624</v>
      </c>
      <c r="G14254">
        <v>66.177499999999995</v>
      </c>
      <c r="H14254">
        <v>71.023399999999995</v>
      </c>
      <c r="I14254" t="s">
        <v>3375</v>
      </c>
      <c r="L14254">
        <v>0</v>
      </c>
      <c r="M14254">
        <v>0</v>
      </c>
      <c r="N14254">
        <v>3</v>
      </c>
      <c r="O14254" t="s">
        <v>12748</v>
      </c>
    </row>
    <row r="14255" spans="1:15">
      <c r="A14255" t="s">
        <v>47034</v>
      </c>
      <c r="B14255" t="s">
        <v>367</v>
      </c>
      <c r="C14255" t="s">
        <v>38132</v>
      </c>
      <c r="D14255" t="s">
        <v>47035</v>
      </c>
      <c r="E14255" t="b">
        <v>0</v>
      </c>
      <c r="F14255" t="s">
        <v>11610</v>
      </c>
      <c r="L14255">
        <v>0</v>
      </c>
      <c r="M14255">
        <v>0</v>
      </c>
      <c r="N14255">
        <v>0</v>
      </c>
    </row>
    <row r="14256" spans="1:15">
      <c r="A14256" t="s">
        <v>28043</v>
      </c>
      <c r="B14256" t="s">
        <v>12260</v>
      </c>
      <c r="C14256" t="s">
        <v>27210</v>
      </c>
      <c r="D14256" t="s">
        <v>47036</v>
      </c>
      <c r="E14256" t="b">
        <v>0</v>
      </c>
      <c r="F14256" t="s">
        <v>11622</v>
      </c>
      <c r="L14256">
        <v>0</v>
      </c>
      <c r="M14256">
        <v>2</v>
      </c>
      <c r="N14256">
        <v>7</v>
      </c>
    </row>
    <row r="14257" spans="1:15">
      <c r="A14257" t="s">
        <v>47037</v>
      </c>
      <c r="B14257" t="s">
        <v>367</v>
      </c>
      <c r="C14257" t="s">
        <v>24402</v>
      </c>
      <c r="D14257" t="s">
        <v>47038</v>
      </c>
      <c r="E14257" t="b">
        <v>0</v>
      </c>
      <c r="F14257" t="s">
        <v>11624</v>
      </c>
      <c r="G14257">
        <v>-21.5305</v>
      </c>
      <c r="H14257">
        <v>167.964</v>
      </c>
      <c r="I14257" t="s">
        <v>47039</v>
      </c>
      <c r="L14257">
        <v>0</v>
      </c>
      <c r="M14257">
        <v>0</v>
      </c>
      <c r="N14257">
        <v>0</v>
      </c>
      <c r="O14257" t="s">
        <v>12624</v>
      </c>
    </row>
    <row r="14258" spans="1:15">
      <c r="A14258" t="s">
        <v>47040</v>
      </c>
      <c r="B14258" t="s">
        <v>14005</v>
      </c>
      <c r="C14258" t="s">
        <v>46354</v>
      </c>
      <c r="D14258" t="s">
        <v>47041</v>
      </c>
      <c r="E14258" t="b">
        <v>0</v>
      </c>
      <c r="F14258" t="s">
        <v>11624</v>
      </c>
      <c r="G14258">
        <v>-8.6218299999999992</v>
      </c>
      <c r="H14258">
        <v>142.03200000000001</v>
      </c>
      <c r="I14258" t="s">
        <v>47042</v>
      </c>
      <c r="L14258">
        <v>0</v>
      </c>
      <c r="M14258">
        <v>0</v>
      </c>
      <c r="N14258">
        <v>0</v>
      </c>
      <c r="O14258" t="s">
        <v>11660</v>
      </c>
    </row>
    <row r="14259" spans="1:15">
      <c r="A14259" t="s">
        <v>47043</v>
      </c>
      <c r="B14259" t="s">
        <v>367</v>
      </c>
      <c r="C14259" t="s">
        <v>14327</v>
      </c>
      <c r="D14259" t="s">
        <v>47044</v>
      </c>
      <c r="E14259" t="b">
        <v>0</v>
      </c>
      <c r="F14259" t="s">
        <v>11610</v>
      </c>
      <c r="L14259">
        <v>0</v>
      </c>
      <c r="M14259">
        <v>0</v>
      </c>
      <c r="N14259">
        <v>0</v>
      </c>
    </row>
    <row r="14260" spans="1:15">
      <c r="A14260" t="s">
        <v>47045</v>
      </c>
      <c r="B14260" t="s">
        <v>6742</v>
      </c>
      <c r="C14260" t="s">
        <v>4025</v>
      </c>
      <c r="D14260" t="s">
        <v>47046</v>
      </c>
      <c r="E14260" t="b">
        <v>0</v>
      </c>
      <c r="F14260" t="s">
        <v>11610</v>
      </c>
      <c r="L14260">
        <v>0</v>
      </c>
      <c r="M14260">
        <v>0</v>
      </c>
      <c r="N14260">
        <v>0</v>
      </c>
    </row>
    <row r="14261" spans="1:15">
      <c r="A14261" t="s">
        <v>47047</v>
      </c>
      <c r="B14261" t="s">
        <v>14629</v>
      </c>
      <c r="C14261" t="s">
        <v>14629</v>
      </c>
      <c r="D14261" t="s">
        <v>47048</v>
      </c>
      <c r="E14261" t="b">
        <v>0</v>
      </c>
      <c r="F14261" t="s">
        <v>11624</v>
      </c>
      <c r="I14261" t="s">
        <v>47049</v>
      </c>
      <c r="L14261">
        <v>0</v>
      </c>
      <c r="M14261">
        <v>0</v>
      </c>
      <c r="N14261">
        <v>0</v>
      </c>
      <c r="O14261" t="s">
        <v>39309</v>
      </c>
    </row>
    <row r="14262" spans="1:15">
      <c r="A14262" t="s">
        <v>47050</v>
      </c>
      <c r="B14262" t="s">
        <v>367</v>
      </c>
      <c r="C14262" t="s">
        <v>32558</v>
      </c>
      <c r="D14262" t="s">
        <v>47051</v>
      </c>
      <c r="E14262" t="b">
        <v>0</v>
      </c>
      <c r="F14262" t="s">
        <v>11610</v>
      </c>
      <c r="L14262">
        <v>0</v>
      </c>
      <c r="M14262">
        <v>0</v>
      </c>
      <c r="N14262">
        <v>0</v>
      </c>
    </row>
    <row r="14263" spans="1:15">
      <c r="A14263" t="s">
        <v>47052</v>
      </c>
      <c r="B14263" t="s">
        <v>11607</v>
      </c>
      <c r="C14263" t="s">
        <v>47053</v>
      </c>
      <c r="D14263" t="s">
        <v>47054</v>
      </c>
      <c r="E14263" t="b">
        <v>0</v>
      </c>
      <c r="F14263" t="s">
        <v>11610</v>
      </c>
      <c r="L14263">
        <v>0</v>
      </c>
      <c r="M14263">
        <v>0</v>
      </c>
      <c r="N14263">
        <v>0</v>
      </c>
    </row>
    <row r="14264" spans="1:15">
      <c r="A14264" t="s">
        <v>47055</v>
      </c>
      <c r="B14264" t="s">
        <v>11981</v>
      </c>
      <c r="C14264" t="s">
        <v>32405</v>
      </c>
      <c r="D14264" t="s">
        <v>47056</v>
      </c>
      <c r="E14264" t="b">
        <v>0</v>
      </c>
      <c r="F14264" t="s">
        <v>11624</v>
      </c>
      <c r="G14264">
        <v>27.699300000000001</v>
      </c>
      <c r="H14264">
        <v>85.304100000000005</v>
      </c>
      <c r="I14264" t="s">
        <v>47057</v>
      </c>
      <c r="L14264">
        <v>0</v>
      </c>
      <c r="M14264">
        <v>0</v>
      </c>
      <c r="N14264">
        <v>0</v>
      </c>
      <c r="O14264" t="s">
        <v>15007</v>
      </c>
    </row>
    <row r="14265" spans="1:15">
      <c r="A14265" t="s">
        <v>47058</v>
      </c>
      <c r="B14265" t="s">
        <v>11844</v>
      </c>
      <c r="C14265" t="s">
        <v>38405</v>
      </c>
      <c r="D14265" t="s">
        <v>47059</v>
      </c>
      <c r="E14265" t="b">
        <v>0</v>
      </c>
      <c r="F14265" t="s">
        <v>11624</v>
      </c>
      <c r="G14265">
        <v>26.720569999999999</v>
      </c>
      <c r="H14265">
        <v>86.002549999999999</v>
      </c>
      <c r="I14265" t="s">
        <v>47060</v>
      </c>
      <c r="L14265">
        <v>0</v>
      </c>
      <c r="M14265">
        <v>0</v>
      </c>
      <c r="N14265">
        <v>0</v>
      </c>
      <c r="O14265" t="s">
        <v>15007</v>
      </c>
    </row>
    <row r="14266" spans="1:15">
      <c r="A14266" t="s">
        <v>148</v>
      </c>
      <c r="B14266" t="s">
        <v>11637</v>
      </c>
      <c r="C14266" t="s">
        <v>25351</v>
      </c>
      <c r="D14266" t="s">
        <v>47061</v>
      </c>
      <c r="E14266" t="b">
        <v>0</v>
      </c>
      <c r="F14266" t="s">
        <v>11624</v>
      </c>
      <c r="G14266">
        <v>28</v>
      </c>
      <c r="H14266">
        <v>85</v>
      </c>
      <c r="I14266" t="s">
        <v>150</v>
      </c>
      <c r="L14266">
        <v>0</v>
      </c>
      <c r="M14266">
        <v>0</v>
      </c>
      <c r="N14266">
        <v>9</v>
      </c>
      <c r="O14266" t="s">
        <v>15007</v>
      </c>
    </row>
    <row r="14267" spans="1:15">
      <c r="A14267" t="s">
        <v>47062</v>
      </c>
      <c r="B14267" t="s">
        <v>367</v>
      </c>
      <c r="C14267" t="s">
        <v>32558</v>
      </c>
      <c r="D14267" t="s">
        <v>47063</v>
      </c>
      <c r="E14267" t="b">
        <v>0</v>
      </c>
      <c r="F14267" t="s">
        <v>11610</v>
      </c>
      <c r="L14267">
        <v>0</v>
      </c>
      <c r="M14267">
        <v>0</v>
      </c>
      <c r="N14267">
        <v>0</v>
      </c>
    </row>
    <row r="14268" spans="1:15">
      <c r="A14268" t="s">
        <v>47064</v>
      </c>
      <c r="B14268" t="s">
        <v>367</v>
      </c>
      <c r="C14268" t="s">
        <v>32208</v>
      </c>
      <c r="D14268" t="s">
        <v>47065</v>
      </c>
      <c r="E14268" t="b">
        <v>0</v>
      </c>
      <c r="F14268" t="s">
        <v>11610</v>
      </c>
      <c r="L14268">
        <v>0</v>
      </c>
      <c r="M14268">
        <v>0</v>
      </c>
      <c r="N14268">
        <v>0</v>
      </c>
    </row>
    <row r="14269" spans="1:15">
      <c r="A14269" t="s">
        <v>47066</v>
      </c>
      <c r="B14269" t="s">
        <v>331</v>
      </c>
      <c r="C14269" t="s">
        <v>332</v>
      </c>
      <c r="D14269" t="s">
        <v>47067</v>
      </c>
      <c r="E14269" t="b">
        <v>0</v>
      </c>
      <c r="F14269" t="s">
        <v>11610</v>
      </c>
      <c r="L14269">
        <v>0</v>
      </c>
      <c r="M14269">
        <v>0</v>
      </c>
      <c r="N14269">
        <v>0</v>
      </c>
    </row>
    <row r="14270" spans="1:15">
      <c r="A14270" t="s">
        <v>47068</v>
      </c>
      <c r="B14270" t="s">
        <v>11607</v>
      </c>
      <c r="C14270" t="s">
        <v>13237</v>
      </c>
      <c r="D14270" t="s">
        <v>47069</v>
      </c>
      <c r="E14270" t="b">
        <v>0</v>
      </c>
      <c r="F14270" t="s">
        <v>11610</v>
      </c>
      <c r="L14270">
        <v>0</v>
      </c>
      <c r="M14270">
        <v>0</v>
      </c>
      <c r="N14270">
        <v>0</v>
      </c>
    </row>
    <row r="14271" spans="1:15">
      <c r="A14271" t="s">
        <v>47070</v>
      </c>
      <c r="B14271" t="s">
        <v>367</v>
      </c>
      <c r="C14271" t="s">
        <v>19731</v>
      </c>
      <c r="D14271" t="s">
        <v>47071</v>
      </c>
      <c r="E14271" t="b">
        <v>0</v>
      </c>
      <c r="F14271" t="s">
        <v>11624</v>
      </c>
      <c r="G14271">
        <v>-15.952608</v>
      </c>
      <c r="H14271">
        <v>167.222769</v>
      </c>
      <c r="L14271">
        <v>0</v>
      </c>
      <c r="M14271">
        <v>0</v>
      </c>
      <c r="N14271">
        <v>0</v>
      </c>
      <c r="O14271" t="s">
        <v>12719</v>
      </c>
    </row>
    <row r="14272" spans="1:15">
      <c r="A14272" t="s">
        <v>46604</v>
      </c>
      <c r="B14272" t="s">
        <v>11644</v>
      </c>
      <c r="C14272" t="s">
        <v>46602</v>
      </c>
      <c r="D14272" t="s">
        <v>47072</v>
      </c>
      <c r="E14272" t="b">
        <v>0</v>
      </c>
      <c r="F14272" t="s">
        <v>11622</v>
      </c>
      <c r="L14272">
        <v>3</v>
      </c>
      <c r="M14272">
        <v>8</v>
      </c>
      <c r="N14272">
        <v>9</v>
      </c>
    </row>
    <row r="14273" spans="1:15">
      <c r="A14273" t="s">
        <v>47073</v>
      </c>
      <c r="B14273" t="s">
        <v>11644</v>
      </c>
      <c r="C14273" t="s">
        <v>46604</v>
      </c>
      <c r="D14273" t="s">
        <v>47074</v>
      </c>
      <c r="E14273" t="b">
        <v>0</v>
      </c>
      <c r="F14273" t="s">
        <v>11622</v>
      </c>
      <c r="L14273">
        <v>0</v>
      </c>
      <c r="M14273">
        <v>2</v>
      </c>
      <c r="N14273">
        <v>6</v>
      </c>
    </row>
    <row r="14274" spans="1:15">
      <c r="A14274" t="s">
        <v>47075</v>
      </c>
      <c r="B14274" t="s">
        <v>18003</v>
      </c>
      <c r="C14274" t="s">
        <v>18003</v>
      </c>
      <c r="D14274" t="s">
        <v>47076</v>
      </c>
      <c r="E14274" t="b">
        <v>0</v>
      </c>
      <c r="F14274" t="s">
        <v>11624</v>
      </c>
      <c r="G14274">
        <v>-41.058644000000001</v>
      </c>
      <c r="H14274">
        <v>147.18841499999999</v>
      </c>
      <c r="L14274">
        <v>0</v>
      </c>
      <c r="M14274">
        <v>0</v>
      </c>
      <c r="N14274">
        <v>0</v>
      </c>
      <c r="O14274" t="s">
        <v>12107</v>
      </c>
    </row>
    <row r="14275" spans="1:15">
      <c r="A14275" t="s">
        <v>47077</v>
      </c>
      <c r="B14275" t="s">
        <v>11615</v>
      </c>
      <c r="C14275" t="s">
        <v>18852</v>
      </c>
      <c r="D14275" t="s">
        <v>47078</v>
      </c>
      <c r="E14275" t="b">
        <v>0</v>
      </c>
      <c r="F14275" t="s">
        <v>11624</v>
      </c>
      <c r="G14275">
        <v>-5.0236799999999997</v>
      </c>
      <c r="H14275">
        <v>143.029</v>
      </c>
      <c r="I14275" t="s">
        <v>47079</v>
      </c>
      <c r="L14275">
        <v>0</v>
      </c>
      <c r="M14275">
        <v>0</v>
      </c>
      <c r="N14275">
        <v>0</v>
      </c>
      <c r="O14275" t="s">
        <v>11660</v>
      </c>
    </row>
    <row r="14276" spans="1:15">
      <c r="A14276" t="s">
        <v>47080</v>
      </c>
      <c r="B14276" t="s">
        <v>11844</v>
      </c>
      <c r="C14276" t="s">
        <v>2266</v>
      </c>
      <c r="D14276" t="s">
        <v>47081</v>
      </c>
      <c r="E14276" t="b">
        <v>0</v>
      </c>
      <c r="F14276" t="s">
        <v>11610</v>
      </c>
      <c r="L14276">
        <v>0</v>
      </c>
      <c r="M14276">
        <v>0</v>
      </c>
      <c r="N14276">
        <v>0</v>
      </c>
    </row>
    <row r="14277" spans="1:15">
      <c r="A14277" t="s">
        <v>47082</v>
      </c>
      <c r="B14277" t="s">
        <v>13014</v>
      </c>
      <c r="C14277" t="s">
        <v>276</v>
      </c>
      <c r="D14277" t="s">
        <v>47083</v>
      </c>
      <c r="E14277" t="b">
        <v>0</v>
      </c>
      <c r="F14277" t="s">
        <v>11610</v>
      </c>
      <c r="L14277">
        <v>0</v>
      </c>
      <c r="M14277">
        <v>0</v>
      </c>
      <c r="N14277">
        <v>0</v>
      </c>
    </row>
    <row r="14278" spans="1:15">
      <c r="A14278" t="s">
        <v>47084</v>
      </c>
      <c r="B14278" t="s">
        <v>11637</v>
      </c>
      <c r="C14278" t="s">
        <v>21288</v>
      </c>
      <c r="D14278" t="s">
        <v>47085</v>
      </c>
      <c r="E14278" t="b">
        <v>0</v>
      </c>
      <c r="F14278" t="s">
        <v>11610</v>
      </c>
      <c r="L14278">
        <v>0</v>
      </c>
      <c r="M14278">
        <v>0</v>
      </c>
      <c r="N14278">
        <v>0</v>
      </c>
    </row>
    <row r="14279" spans="1:15">
      <c r="A14279" t="s">
        <v>47086</v>
      </c>
      <c r="B14279" t="s">
        <v>11637</v>
      </c>
      <c r="C14279" t="s">
        <v>21288</v>
      </c>
      <c r="D14279" t="s">
        <v>47087</v>
      </c>
      <c r="E14279" t="b">
        <v>0</v>
      </c>
      <c r="F14279" t="s">
        <v>11610</v>
      </c>
      <c r="L14279">
        <v>0</v>
      </c>
      <c r="M14279">
        <v>0</v>
      </c>
      <c r="N14279">
        <v>0</v>
      </c>
    </row>
    <row r="14280" spans="1:15">
      <c r="A14280" t="s">
        <v>47088</v>
      </c>
      <c r="B14280" t="s">
        <v>13360</v>
      </c>
      <c r="C14280" t="s">
        <v>13360</v>
      </c>
      <c r="D14280" t="s">
        <v>47089</v>
      </c>
      <c r="E14280" t="b">
        <v>0</v>
      </c>
      <c r="F14280" t="s">
        <v>11624</v>
      </c>
      <c r="L14280">
        <v>0</v>
      </c>
      <c r="M14280">
        <v>0</v>
      </c>
      <c r="N14280">
        <v>0</v>
      </c>
      <c r="O14280" t="s">
        <v>11944</v>
      </c>
    </row>
    <row r="14281" spans="1:15">
      <c r="A14281" t="s">
        <v>21986</v>
      </c>
      <c r="B14281" t="s">
        <v>12260</v>
      </c>
      <c r="C14281" t="s">
        <v>23184</v>
      </c>
      <c r="D14281" t="s">
        <v>47090</v>
      </c>
      <c r="E14281" t="b">
        <v>0</v>
      </c>
      <c r="F14281" t="s">
        <v>11622</v>
      </c>
      <c r="L14281">
        <v>5</v>
      </c>
      <c r="M14281">
        <v>10</v>
      </c>
      <c r="N14281">
        <v>30</v>
      </c>
    </row>
    <row r="14282" spans="1:15">
      <c r="A14282" t="s">
        <v>47091</v>
      </c>
      <c r="B14282" t="s">
        <v>11644</v>
      </c>
      <c r="C14282" t="s">
        <v>36094</v>
      </c>
      <c r="D14282" t="s">
        <v>47092</v>
      </c>
      <c r="E14282" t="b">
        <v>0</v>
      </c>
      <c r="F14282" t="s">
        <v>11622</v>
      </c>
      <c r="L14282">
        <v>2</v>
      </c>
      <c r="M14282">
        <v>4</v>
      </c>
      <c r="N14282">
        <v>10</v>
      </c>
    </row>
    <row r="14283" spans="1:15">
      <c r="A14283" t="s">
        <v>15856</v>
      </c>
      <c r="B14283" t="s">
        <v>11644</v>
      </c>
      <c r="C14283" t="s">
        <v>26603</v>
      </c>
      <c r="D14283" t="s">
        <v>47093</v>
      </c>
      <c r="E14283" t="b">
        <v>0</v>
      </c>
      <c r="F14283" t="s">
        <v>11624</v>
      </c>
      <c r="G14283">
        <v>27.261399999999998</v>
      </c>
      <c r="H14283">
        <v>84.957700000000003</v>
      </c>
      <c r="I14283" t="s">
        <v>47094</v>
      </c>
      <c r="L14283">
        <v>0</v>
      </c>
      <c r="M14283">
        <v>0</v>
      </c>
      <c r="N14283">
        <v>7</v>
      </c>
      <c r="O14283" t="s">
        <v>12524</v>
      </c>
    </row>
    <row r="14284" spans="1:15">
      <c r="A14284" t="s">
        <v>26603</v>
      </c>
      <c r="B14284" t="s">
        <v>11644</v>
      </c>
      <c r="C14284" t="s">
        <v>47091</v>
      </c>
      <c r="D14284" t="s">
        <v>47095</v>
      </c>
      <c r="E14284" t="b">
        <v>0</v>
      </c>
      <c r="F14284" t="s">
        <v>11622</v>
      </c>
      <c r="L14284">
        <v>0</v>
      </c>
      <c r="M14284">
        <v>2</v>
      </c>
      <c r="N14284">
        <v>7</v>
      </c>
    </row>
    <row r="14285" spans="1:15">
      <c r="A14285" t="s">
        <v>47096</v>
      </c>
      <c r="B14285" t="s">
        <v>13276</v>
      </c>
      <c r="C14285" t="s">
        <v>20580</v>
      </c>
      <c r="D14285" t="s">
        <v>47097</v>
      </c>
      <c r="E14285" t="b">
        <v>0</v>
      </c>
      <c r="F14285" t="s">
        <v>11610</v>
      </c>
      <c r="L14285">
        <v>0</v>
      </c>
      <c r="M14285">
        <v>0</v>
      </c>
      <c r="N14285">
        <v>0</v>
      </c>
    </row>
    <row r="14286" spans="1:15">
      <c r="A14286" t="s">
        <v>384</v>
      </c>
      <c r="B14286" t="s">
        <v>367</v>
      </c>
      <c r="C14286" t="s">
        <v>47098</v>
      </c>
      <c r="D14286" t="s">
        <v>47099</v>
      </c>
      <c r="E14286" t="b">
        <v>0</v>
      </c>
      <c r="F14286" t="s">
        <v>11622</v>
      </c>
      <c r="L14286">
        <v>20</v>
      </c>
      <c r="M14286">
        <v>33</v>
      </c>
      <c r="N14286">
        <v>20</v>
      </c>
    </row>
    <row r="14287" spans="1:15">
      <c r="A14287" t="s">
        <v>47100</v>
      </c>
      <c r="B14287" t="s">
        <v>367</v>
      </c>
      <c r="C14287" t="s">
        <v>21135</v>
      </c>
      <c r="D14287" t="s">
        <v>47101</v>
      </c>
      <c r="E14287" t="b">
        <v>0</v>
      </c>
      <c r="F14287" t="s">
        <v>11624</v>
      </c>
      <c r="G14287">
        <v>-22.3001</v>
      </c>
      <c r="H14287">
        <v>166.44499999999999</v>
      </c>
      <c r="I14287" t="s">
        <v>47102</v>
      </c>
      <c r="L14287">
        <v>0</v>
      </c>
      <c r="M14287">
        <v>0</v>
      </c>
      <c r="N14287">
        <v>0</v>
      </c>
      <c r="O14287" t="s">
        <v>12624</v>
      </c>
    </row>
    <row r="14288" spans="1:15">
      <c r="A14288" t="s">
        <v>47103</v>
      </c>
      <c r="B14288" t="s">
        <v>13450</v>
      </c>
      <c r="C14288" t="s">
        <v>17528</v>
      </c>
      <c r="D14288" t="s">
        <v>47104</v>
      </c>
      <c r="E14288" t="b">
        <v>0</v>
      </c>
      <c r="F14288" t="s">
        <v>11624</v>
      </c>
      <c r="L14288">
        <v>0</v>
      </c>
      <c r="M14288">
        <v>0</v>
      </c>
      <c r="N14288">
        <v>0</v>
      </c>
      <c r="O14288" t="s">
        <v>12624</v>
      </c>
    </row>
    <row r="14289" spans="1:15">
      <c r="A14289" t="s">
        <v>26579</v>
      </c>
      <c r="B14289" t="s">
        <v>367</v>
      </c>
      <c r="C14289" t="s">
        <v>22794</v>
      </c>
      <c r="D14289" t="s">
        <v>47105</v>
      </c>
      <c r="E14289" t="b">
        <v>0</v>
      </c>
      <c r="F14289" t="s">
        <v>11622</v>
      </c>
      <c r="L14289">
        <v>7</v>
      </c>
      <c r="M14289">
        <v>11</v>
      </c>
      <c r="N14289">
        <v>6</v>
      </c>
    </row>
    <row r="14290" spans="1:15">
      <c r="A14290" t="s">
        <v>41517</v>
      </c>
      <c r="B14290" t="s">
        <v>367</v>
      </c>
      <c r="C14290" t="s">
        <v>16298</v>
      </c>
      <c r="D14290" t="s">
        <v>47106</v>
      </c>
      <c r="E14290" t="b">
        <v>0</v>
      </c>
      <c r="F14290" t="s">
        <v>11622</v>
      </c>
      <c r="L14290">
        <v>34</v>
      </c>
      <c r="M14290">
        <v>63</v>
      </c>
      <c r="N14290">
        <v>96</v>
      </c>
    </row>
    <row r="14291" spans="1:15">
      <c r="A14291" t="s">
        <v>47107</v>
      </c>
      <c r="B14291" t="s">
        <v>37311</v>
      </c>
      <c r="C14291" t="s">
        <v>37311</v>
      </c>
      <c r="D14291" t="s">
        <v>47108</v>
      </c>
      <c r="E14291" t="b">
        <v>0</v>
      </c>
      <c r="F14291" t="s">
        <v>11624</v>
      </c>
      <c r="G14291">
        <v>41.100051999999998</v>
      </c>
      <c r="H14291">
        <v>-123.179627</v>
      </c>
      <c r="L14291">
        <v>0</v>
      </c>
      <c r="M14291">
        <v>0</v>
      </c>
      <c r="N14291">
        <v>0</v>
      </c>
      <c r="O14291" t="s">
        <v>11944</v>
      </c>
    </row>
    <row r="14292" spans="1:15">
      <c r="A14292" t="s">
        <v>47109</v>
      </c>
      <c r="B14292" t="s">
        <v>13450</v>
      </c>
      <c r="C14292" t="s">
        <v>13451</v>
      </c>
      <c r="D14292" t="s">
        <v>47110</v>
      </c>
      <c r="E14292" t="b">
        <v>0</v>
      </c>
      <c r="F14292" t="s">
        <v>11624</v>
      </c>
      <c r="L14292">
        <v>0</v>
      </c>
      <c r="M14292">
        <v>0</v>
      </c>
      <c r="N14292">
        <v>0</v>
      </c>
      <c r="O14292" t="s">
        <v>12107</v>
      </c>
    </row>
    <row r="14293" spans="1:15">
      <c r="A14293" t="s">
        <v>16584</v>
      </c>
      <c r="B14293" t="s">
        <v>10597</v>
      </c>
      <c r="C14293" t="s">
        <v>47111</v>
      </c>
      <c r="D14293" t="s">
        <v>47112</v>
      </c>
      <c r="E14293" t="b">
        <v>0</v>
      </c>
      <c r="F14293" t="s">
        <v>11622</v>
      </c>
      <c r="L14293">
        <v>11</v>
      </c>
      <c r="M14293">
        <v>17</v>
      </c>
      <c r="N14293">
        <v>25</v>
      </c>
    </row>
    <row r="14294" spans="1:15">
      <c r="A14294" t="s">
        <v>20403</v>
      </c>
      <c r="B14294" t="s">
        <v>11637</v>
      </c>
      <c r="C14294" t="s">
        <v>47113</v>
      </c>
      <c r="D14294" t="s">
        <v>47114</v>
      </c>
      <c r="E14294" t="b">
        <v>0</v>
      </c>
      <c r="F14294" t="s">
        <v>11610</v>
      </c>
      <c r="L14294">
        <v>0</v>
      </c>
      <c r="M14294">
        <v>0</v>
      </c>
      <c r="N14294">
        <v>16</v>
      </c>
    </row>
    <row r="14295" spans="1:15">
      <c r="A14295" t="s">
        <v>47115</v>
      </c>
      <c r="B14295" t="s">
        <v>11637</v>
      </c>
      <c r="C14295" t="s">
        <v>21048</v>
      </c>
      <c r="D14295" t="s">
        <v>47116</v>
      </c>
      <c r="E14295" t="b">
        <v>0</v>
      </c>
      <c r="F14295" t="s">
        <v>11610</v>
      </c>
      <c r="L14295">
        <v>0</v>
      </c>
      <c r="M14295">
        <v>0</v>
      </c>
      <c r="N14295">
        <v>0</v>
      </c>
    </row>
    <row r="14296" spans="1:15">
      <c r="A14296" t="s">
        <v>47117</v>
      </c>
      <c r="B14296" t="s">
        <v>11981</v>
      </c>
      <c r="C14296" t="s">
        <v>15196</v>
      </c>
      <c r="D14296" t="s">
        <v>47118</v>
      </c>
      <c r="E14296" t="b">
        <v>0</v>
      </c>
      <c r="F14296" t="s">
        <v>11624</v>
      </c>
      <c r="G14296">
        <v>-39.292299999999997</v>
      </c>
      <c r="H14296">
        <v>175.773</v>
      </c>
      <c r="I14296" t="s">
        <v>47119</v>
      </c>
      <c r="L14296">
        <v>0</v>
      </c>
      <c r="M14296">
        <v>0</v>
      </c>
      <c r="N14296">
        <v>0</v>
      </c>
      <c r="O14296" t="s">
        <v>42788</v>
      </c>
    </row>
    <row r="14297" spans="1:15">
      <c r="A14297" t="s">
        <v>47120</v>
      </c>
      <c r="B14297" t="s">
        <v>11637</v>
      </c>
      <c r="C14297" t="s">
        <v>180</v>
      </c>
      <c r="D14297" t="s">
        <v>47121</v>
      </c>
      <c r="E14297" t="b">
        <v>0</v>
      </c>
      <c r="F14297" t="s">
        <v>11610</v>
      </c>
      <c r="L14297">
        <v>0</v>
      </c>
      <c r="M14297">
        <v>0</v>
      </c>
      <c r="N14297">
        <v>0</v>
      </c>
    </row>
    <row r="14298" spans="1:15">
      <c r="A14298" t="s">
        <v>47122</v>
      </c>
      <c r="B14298" t="s">
        <v>6742</v>
      </c>
      <c r="C14298" t="s">
        <v>24738</v>
      </c>
      <c r="D14298" t="s">
        <v>47123</v>
      </c>
      <c r="E14298" t="b">
        <v>0</v>
      </c>
      <c r="F14298" t="s">
        <v>11624</v>
      </c>
      <c r="G14298">
        <v>4.9504799999999998</v>
      </c>
      <c r="H14298">
        <v>-6.0804299999999998</v>
      </c>
      <c r="I14298" t="s">
        <v>47124</v>
      </c>
      <c r="L14298">
        <v>0</v>
      </c>
      <c r="M14298">
        <v>0</v>
      </c>
      <c r="N14298">
        <v>0</v>
      </c>
      <c r="O14298" t="s">
        <v>11735</v>
      </c>
    </row>
    <row r="14299" spans="1:15">
      <c r="A14299" t="s">
        <v>47125</v>
      </c>
      <c r="B14299" t="s">
        <v>13276</v>
      </c>
      <c r="C14299" t="s">
        <v>17145</v>
      </c>
      <c r="D14299" t="s">
        <v>47126</v>
      </c>
      <c r="E14299" t="b">
        <v>0</v>
      </c>
      <c r="F14299" t="s">
        <v>11610</v>
      </c>
      <c r="L14299">
        <v>0</v>
      </c>
      <c r="M14299">
        <v>0</v>
      </c>
      <c r="N14299">
        <v>0</v>
      </c>
    </row>
    <row r="14300" spans="1:15">
      <c r="A14300" t="s">
        <v>47127</v>
      </c>
      <c r="B14300" t="s">
        <v>36807</v>
      </c>
      <c r="C14300" t="s">
        <v>36807</v>
      </c>
      <c r="D14300" t="s">
        <v>47128</v>
      </c>
      <c r="E14300" t="b">
        <v>0</v>
      </c>
      <c r="F14300" t="s">
        <v>11624</v>
      </c>
      <c r="G14300">
        <v>46.307299999999998</v>
      </c>
      <c r="H14300">
        <v>-116.408</v>
      </c>
      <c r="I14300" t="s">
        <v>47129</v>
      </c>
      <c r="L14300">
        <v>0</v>
      </c>
      <c r="M14300">
        <v>0</v>
      </c>
      <c r="N14300">
        <v>0</v>
      </c>
      <c r="O14300" t="s">
        <v>11944</v>
      </c>
    </row>
    <row r="14301" spans="1:15">
      <c r="A14301" t="s">
        <v>47130</v>
      </c>
      <c r="B14301" t="s">
        <v>10597</v>
      </c>
      <c r="C14301" t="s">
        <v>47131</v>
      </c>
      <c r="D14301" t="s">
        <v>47132</v>
      </c>
      <c r="E14301" t="b">
        <v>0</v>
      </c>
      <c r="F14301" t="s">
        <v>11624</v>
      </c>
      <c r="G14301">
        <v>-25.7514</v>
      </c>
      <c r="H14301">
        <v>127.602</v>
      </c>
      <c r="I14301" t="s">
        <v>47133</v>
      </c>
      <c r="L14301">
        <v>0</v>
      </c>
      <c r="M14301">
        <v>0</v>
      </c>
      <c r="N14301">
        <v>0</v>
      </c>
      <c r="O14301" t="s">
        <v>12107</v>
      </c>
    </row>
    <row r="14302" spans="1:15">
      <c r="A14302" t="s">
        <v>47134</v>
      </c>
      <c r="B14302" t="s">
        <v>15569</v>
      </c>
      <c r="C14302" t="s">
        <v>15568</v>
      </c>
      <c r="D14302" t="s">
        <v>47135</v>
      </c>
      <c r="E14302" t="b">
        <v>0</v>
      </c>
      <c r="F14302" t="s">
        <v>11624</v>
      </c>
      <c r="L14302">
        <v>0</v>
      </c>
      <c r="M14302">
        <v>0</v>
      </c>
      <c r="N14302">
        <v>0</v>
      </c>
      <c r="O14302" t="s">
        <v>11625</v>
      </c>
    </row>
    <row r="14303" spans="1:15">
      <c r="A14303" t="s">
        <v>26403</v>
      </c>
      <c r="B14303" t="s">
        <v>6455</v>
      </c>
      <c r="C14303" t="s">
        <v>20092</v>
      </c>
      <c r="D14303" t="s">
        <v>47136</v>
      </c>
      <c r="E14303" t="b">
        <v>0</v>
      </c>
      <c r="F14303" t="s">
        <v>11624</v>
      </c>
      <c r="G14303">
        <v>8.8251000000000008</v>
      </c>
      <c r="H14303">
        <v>-82.391099999999994</v>
      </c>
      <c r="I14303" t="s">
        <v>47137</v>
      </c>
      <c r="L14303">
        <v>0</v>
      </c>
      <c r="M14303">
        <v>0</v>
      </c>
      <c r="N14303">
        <v>2</v>
      </c>
      <c r="O14303" t="s">
        <v>19874</v>
      </c>
    </row>
    <row r="14304" spans="1:15">
      <c r="A14304" t="s">
        <v>47138</v>
      </c>
      <c r="B14304" t="s">
        <v>10597</v>
      </c>
      <c r="C14304" t="s">
        <v>46662</v>
      </c>
      <c r="D14304" t="s">
        <v>47139</v>
      </c>
      <c r="E14304" t="b">
        <v>0</v>
      </c>
      <c r="F14304" t="s">
        <v>11624</v>
      </c>
      <c r="L14304">
        <v>0</v>
      </c>
      <c r="M14304">
        <v>0</v>
      </c>
      <c r="N14304">
        <v>0</v>
      </c>
      <c r="O14304" t="s">
        <v>12107</v>
      </c>
    </row>
    <row r="14305" spans="1:15">
      <c r="A14305" t="s">
        <v>47140</v>
      </c>
      <c r="B14305" t="s">
        <v>10597</v>
      </c>
      <c r="C14305" t="s">
        <v>34352</v>
      </c>
      <c r="D14305" t="s">
        <v>47141</v>
      </c>
      <c r="E14305" t="b">
        <v>0</v>
      </c>
      <c r="F14305" t="s">
        <v>11624</v>
      </c>
      <c r="G14305">
        <v>-32.024470000000001</v>
      </c>
      <c r="H14305">
        <v>124.46601</v>
      </c>
      <c r="I14305" t="s">
        <v>47142</v>
      </c>
      <c r="L14305">
        <v>0</v>
      </c>
      <c r="M14305">
        <v>0</v>
      </c>
      <c r="N14305">
        <v>0</v>
      </c>
      <c r="O14305" t="s">
        <v>12107</v>
      </c>
    </row>
    <row r="14306" spans="1:15">
      <c r="A14306" t="s">
        <v>47143</v>
      </c>
      <c r="B14306" t="s">
        <v>10597</v>
      </c>
      <c r="C14306" t="s">
        <v>10195</v>
      </c>
      <c r="D14306" t="s">
        <v>47144</v>
      </c>
      <c r="E14306" t="b">
        <v>0</v>
      </c>
      <c r="F14306" t="s">
        <v>11610</v>
      </c>
      <c r="L14306">
        <v>0</v>
      </c>
      <c r="M14306">
        <v>0</v>
      </c>
      <c r="N14306">
        <v>0</v>
      </c>
    </row>
    <row r="14307" spans="1:15">
      <c r="A14307" t="s">
        <v>47145</v>
      </c>
      <c r="B14307" t="s">
        <v>10597</v>
      </c>
      <c r="C14307" t="s">
        <v>25713</v>
      </c>
      <c r="D14307" t="s">
        <v>47146</v>
      </c>
      <c r="E14307" t="b">
        <v>0</v>
      </c>
      <c r="F14307" t="s">
        <v>11610</v>
      </c>
      <c r="L14307">
        <v>0</v>
      </c>
      <c r="M14307">
        <v>0</v>
      </c>
      <c r="N14307">
        <v>0</v>
      </c>
    </row>
    <row r="14308" spans="1:15">
      <c r="A14308" t="s">
        <v>16051</v>
      </c>
      <c r="B14308" t="s">
        <v>367</v>
      </c>
      <c r="C14308" t="s">
        <v>47147</v>
      </c>
      <c r="D14308" t="s">
        <v>47148</v>
      </c>
      <c r="E14308" t="b">
        <v>0</v>
      </c>
      <c r="F14308" t="s">
        <v>11624</v>
      </c>
      <c r="G14308">
        <v>-8.7950800000000005</v>
      </c>
      <c r="H14308">
        <v>120.976</v>
      </c>
      <c r="I14308" t="s">
        <v>47149</v>
      </c>
      <c r="L14308">
        <v>0</v>
      </c>
      <c r="M14308">
        <v>0</v>
      </c>
      <c r="N14308">
        <v>4</v>
      </c>
      <c r="O14308" t="s">
        <v>11768</v>
      </c>
    </row>
    <row r="14309" spans="1:15">
      <c r="A14309" t="s">
        <v>47150</v>
      </c>
      <c r="B14309" t="s">
        <v>367</v>
      </c>
      <c r="C14309" t="s">
        <v>27949</v>
      </c>
      <c r="D14309" t="s">
        <v>47151</v>
      </c>
      <c r="E14309" t="b">
        <v>0</v>
      </c>
      <c r="F14309" t="s">
        <v>11622</v>
      </c>
      <c r="L14309">
        <v>5</v>
      </c>
      <c r="M14309">
        <v>7</v>
      </c>
      <c r="N14309">
        <v>9</v>
      </c>
    </row>
    <row r="14310" spans="1:15">
      <c r="A14310" t="s">
        <v>27190</v>
      </c>
      <c r="B14310" t="s">
        <v>367</v>
      </c>
      <c r="C14310" t="s">
        <v>47150</v>
      </c>
      <c r="D14310" t="s">
        <v>47152</v>
      </c>
      <c r="E14310" t="b">
        <v>0</v>
      </c>
      <c r="F14310" t="s">
        <v>11622</v>
      </c>
      <c r="L14310">
        <v>4</v>
      </c>
      <c r="M14310">
        <v>6</v>
      </c>
      <c r="N14310">
        <v>9</v>
      </c>
    </row>
    <row r="14311" spans="1:15">
      <c r="A14311" t="s">
        <v>47147</v>
      </c>
      <c r="B14311" t="s">
        <v>367</v>
      </c>
      <c r="C14311" t="s">
        <v>27190</v>
      </c>
      <c r="D14311" t="s">
        <v>47153</v>
      </c>
      <c r="E14311" t="b">
        <v>0</v>
      </c>
      <c r="F14311" t="s">
        <v>11622</v>
      </c>
      <c r="L14311">
        <v>0</v>
      </c>
      <c r="M14311">
        <v>2</v>
      </c>
      <c r="N14311">
        <v>4</v>
      </c>
    </row>
    <row r="14312" spans="1:15">
      <c r="A14312" t="s">
        <v>47154</v>
      </c>
      <c r="B14312" t="s">
        <v>11615</v>
      </c>
      <c r="C14312" t="s">
        <v>47155</v>
      </c>
      <c r="D14312" t="s">
        <v>47156</v>
      </c>
      <c r="E14312" t="b">
        <v>0</v>
      </c>
      <c r="F14312" t="s">
        <v>11624</v>
      </c>
      <c r="G14312">
        <v>-5.6513</v>
      </c>
      <c r="H14312">
        <v>146.34299999999999</v>
      </c>
      <c r="I14312" t="s">
        <v>47157</v>
      </c>
      <c r="L14312">
        <v>0</v>
      </c>
      <c r="M14312">
        <v>0</v>
      </c>
      <c r="N14312">
        <v>0</v>
      </c>
      <c r="O14312" t="s">
        <v>11660</v>
      </c>
    </row>
    <row r="14313" spans="1:15">
      <c r="A14313" t="s">
        <v>15573</v>
      </c>
      <c r="B14313" t="s">
        <v>367</v>
      </c>
      <c r="C14313" t="s">
        <v>16174</v>
      </c>
      <c r="D14313" t="s">
        <v>47158</v>
      </c>
      <c r="E14313" t="b">
        <v>0</v>
      </c>
      <c r="F14313" t="s">
        <v>11624</v>
      </c>
      <c r="G14313">
        <v>-1.58463</v>
      </c>
      <c r="H14313">
        <v>112.794</v>
      </c>
      <c r="I14313" t="s">
        <v>47159</v>
      </c>
      <c r="L14313">
        <v>0</v>
      </c>
      <c r="M14313">
        <v>0</v>
      </c>
      <c r="N14313">
        <v>3</v>
      </c>
      <c r="O14313" t="s">
        <v>11768</v>
      </c>
    </row>
    <row r="14314" spans="1:15">
      <c r="A14314" t="s">
        <v>47160</v>
      </c>
      <c r="B14314" t="s">
        <v>11644</v>
      </c>
      <c r="C14314" t="s">
        <v>34620</v>
      </c>
      <c r="D14314" t="s">
        <v>47161</v>
      </c>
      <c r="E14314" t="b">
        <v>0</v>
      </c>
      <c r="F14314" t="s">
        <v>11610</v>
      </c>
      <c r="L14314">
        <v>0</v>
      </c>
      <c r="M14314">
        <v>0</v>
      </c>
      <c r="N14314">
        <v>0</v>
      </c>
    </row>
    <row r="14315" spans="1:15">
      <c r="A14315" t="s">
        <v>30645</v>
      </c>
      <c r="B14315" t="s">
        <v>11644</v>
      </c>
      <c r="C14315" t="s">
        <v>22637</v>
      </c>
      <c r="D14315" t="s">
        <v>47162</v>
      </c>
      <c r="E14315" t="b">
        <v>0</v>
      </c>
      <c r="F14315" t="s">
        <v>11624</v>
      </c>
      <c r="G14315">
        <v>23.312000000000001</v>
      </c>
      <c r="H14315">
        <v>92.83</v>
      </c>
      <c r="I14315" t="s">
        <v>47163</v>
      </c>
      <c r="L14315">
        <v>0</v>
      </c>
      <c r="M14315">
        <v>0</v>
      </c>
      <c r="N14315">
        <v>4</v>
      </c>
      <c r="O14315" t="s">
        <v>13598</v>
      </c>
    </row>
    <row r="14316" spans="1:15">
      <c r="A14316" t="s">
        <v>47164</v>
      </c>
      <c r="B14316" t="s">
        <v>9897</v>
      </c>
      <c r="C14316" t="s">
        <v>21783</v>
      </c>
      <c r="D14316" t="s">
        <v>47165</v>
      </c>
      <c r="E14316" t="b">
        <v>0</v>
      </c>
      <c r="F14316" t="s">
        <v>11624</v>
      </c>
      <c r="G14316">
        <v>-13.978300000000001</v>
      </c>
      <c r="H14316">
        <v>133.93600000000001</v>
      </c>
      <c r="I14316" t="s">
        <v>47166</v>
      </c>
      <c r="L14316">
        <v>0</v>
      </c>
      <c r="M14316">
        <v>0</v>
      </c>
      <c r="N14316">
        <v>0</v>
      </c>
      <c r="O14316" t="s">
        <v>12107</v>
      </c>
    </row>
    <row r="14317" spans="1:15">
      <c r="A14317" t="s">
        <v>47167</v>
      </c>
      <c r="B14317" t="s">
        <v>9897</v>
      </c>
      <c r="C14317" t="s">
        <v>33124</v>
      </c>
      <c r="D14317" t="s">
        <v>47168</v>
      </c>
      <c r="E14317" t="b">
        <v>0</v>
      </c>
      <c r="F14317" t="s">
        <v>11624</v>
      </c>
      <c r="G14317">
        <v>-14.428100000000001</v>
      </c>
      <c r="H14317">
        <v>134.71600000000001</v>
      </c>
      <c r="I14317" t="s">
        <v>47169</v>
      </c>
      <c r="L14317">
        <v>0</v>
      </c>
      <c r="M14317">
        <v>0</v>
      </c>
      <c r="N14317">
        <v>0</v>
      </c>
      <c r="O14317" t="s">
        <v>12107</v>
      </c>
    </row>
    <row r="14318" spans="1:15">
      <c r="A14318" t="s">
        <v>47170</v>
      </c>
      <c r="B14318" t="s">
        <v>18680</v>
      </c>
      <c r="C14318" t="s">
        <v>24971</v>
      </c>
      <c r="D14318" t="s">
        <v>47171</v>
      </c>
      <c r="E14318" t="b">
        <v>0</v>
      </c>
      <c r="F14318" t="s">
        <v>11610</v>
      </c>
      <c r="L14318">
        <v>0</v>
      </c>
      <c r="M14318">
        <v>0</v>
      </c>
      <c r="N14318">
        <v>0</v>
      </c>
    </row>
    <row r="14319" spans="1:15">
      <c r="A14319" t="s">
        <v>47172</v>
      </c>
      <c r="B14319" t="s">
        <v>6742</v>
      </c>
      <c r="C14319" t="s">
        <v>16618</v>
      </c>
      <c r="D14319" t="s">
        <v>47173</v>
      </c>
      <c r="E14319" t="b">
        <v>0</v>
      </c>
      <c r="F14319" t="s">
        <v>11610</v>
      </c>
      <c r="L14319">
        <v>0</v>
      </c>
      <c r="M14319">
        <v>0</v>
      </c>
      <c r="N14319">
        <v>0</v>
      </c>
    </row>
    <row r="14320" spans="1:15">
      <c r="A14320" t="s">
        <v>47174</v>
      </c>
      <c r="B14320" t="s">
        <v>6742</v>
      </c>
      <c r="C14320" t="s">
        <v>16905</v>
      </c>
      <c r="D14320" t="s">
        <v>47175</v>
      </c>
      <c r="E14320" t="b">
        <v>0</v>
      </c>
      <c r="F14320" t="s">
        <v>11624</v>
      </c>
      <c r="G14320">
        <v>6.6318700000000002</v>
      </c>
      <c r="H14320">
        <v>24.61853</v>
      </c>
      <c r="L14320">
        <v>0</v>
      </c>
      <c r="M14320">
        <v>0</v>
      </c>
      <c r="N14320">
        <v>0</v>
      </c>
      <c r="O14320" t="s">
        <v>11910</v>
      </c>
    </row>
    <row r="14321" spans="1:15">
      <c r="A14321" t="s">
        <v>47176</v>
      </c>
      <c r="B14321" t="s">
        <v>6742</v>
      </c>
      <c r="C14321" t="s">
        <v>16541</v>
      </c>
      <c r="D14321" t="s">
        <v>47177</v>
      </c>
      <c r="E14321" t="b">
        <v>0</v>
      </c>
      <c r="F14321" t="s">
        <v>11610</v>
      </c>
      <c r="L14321">
        <v>0</v>
      </c>
      <c r="M14321">
        <v>0</v>
      </c>
      <c r="N14321">
        <v>0</v>
      </c>
    </row>
    <row r="14322" spans="1:15">
      <c r="A14322" t="s">
        <v>14172</v>
      </c>
      <c r="B14322" t="s">
        <v>11615</v>
      </c>
      <c r="C14322" t="s">
        <v>38728</v>
      </c>
      <c r="D14322" t="s">
        <v>47178</v>
      </c>
      <c r="E14322" t="b">
        <v>0</v>
      </c>
      <c r="F14322" t="s">
        <v>11624</v>
      </c>
      <c r="G14322">
        <v>-4.6768200000000002</v>
      </c>
      <c r="H14322">
        <v>141.03</v>
      </c>
      <c r="I14322" t="s">
        <v>47179</v>
      </c>
      <c r="L14322">
        <v>0</v>
      </c>
      <c r="M14322">
        <v>0</v>
      </c>
      <c r="N14322">
        <v>3</v>
      </c>
      <c r="O14322" t="s">
        <v>24525</v>
      </c>
    </row>
    <row r="14323" spans="1:15">
      <c r="A14323" t="s">
        <v>46897</v>
      </c>
      <c r="B14323" t="s">
        <v>11615</v>
      </c>
      <c r="C14323" t="s">
        <v>5593</v>
      </c>
      <c r="D14323" t="s">
        <v>47180</v>
      </c>
      <c r="E14323" t="b">
        <v>0</v>
      </c>
      <c r="F14323" t="s">
        <v>11622</v>
      </c>
      <c r="L14323">
        <v>1</v>
      </c>
      <c r="M14323">
        <v>5</v>
      </c>
      <c r="N14323">
        <v>6</v>
      </c>
    </row>
    <row r="14324" spans="1:15">
      <c r="A14324" t="s">
        <v>47181</v>
      </c>
      <c r="B14324" t="s">
        <v>13411</v>
      </c>
      <c r="C14324" t="s">
        <v>13411</v>
      </c>
      <c r="D14324" t="s">
        <v>47182</v>
      </c>
      <c r="E14324" t="b">
        <v>0</v>
      </c>
      <c r="F14324" t="s">
        <v>11624</v>
      </c>
      <c r="G14324">
        <v>-4.2662800000000001</v>
      </c>
      <c r="H14324">
        <v>142.5</v>
      </c>
      <c r="I14324" t="s">
        <v>47183</v>
      </c>
      <c r="L14324">
        <v>0</v>
      </c>
      <c r="M14324">
        <v>0</v>
      </c>
      <c r="N14324">
        <v>0</v>
      </c>
      <c r="O14324" t="s">
        <v>11660</v>
      </c>
    </row>
    <row r="14325" spans="1:15">
      <c r="A14325" t="s">
        <v>47184</v>
      </c>
      <c r="B14325" t="s">
        <v>11607</v>
      </c>
      <c r="C14325" t="s">
        <v>37629</v>
      </c>
      <c r="D14325" t="s">
        <v>47185</v>
      </c>
      <c r="E14325" t="b">
        <v>0</v>
      </c>
      <c r="F14325" t="s">
        <v>11624</v>
      </c>
      <c r="L14325">
        <v>0</v>
      </c>
      <c r="M14325">
        <v>0</v>
      </c>
      <c r="N14325">
        <v>0</v>
      </c>
      <c r="O14325" t="s">
        <v>11703</v>
      </c>
    </row>
    <row r="14326" spans="1:15">
      <c r="A14326" t="s">
        <v>35119</v>
      </c>
      <c r="B14326" t="s">
        <v>10597</v>
      </c>
      <c r="C14326" t="s">
        <v>24764</v>
      </c>
      <c r="D14326" t="s">
        <v>47186</v>
      </c>
      <c r="E14326" t="b">
        <v>0</v>
      </c>
      <c r="F14326" t="s">
        <v>11624</v>
      </c>
      <c r="G14326">
        <v>-27.1797</v>
      </c>
      <c r="H14326">
        <v>138.70099999999999</v>
      </c>
      <c r="I14326" t="s">
        <v>47187</v>
      </c>
      <c r="L14326">
        <v>0</v>
      </c>
      <c r="M14326">
        <v>0</v>
      </c>
      <c r="N14326">
        <v>3</v>
      </c>
      <c r="O14326" t="s">
        <v>12107</v>
      </c>
    </row>
    <row r="14327" spans="1:15">
      <c r="A14327" t="s">
        <v>47188</v>
      </c>
      <c r="B14327" t="s">
        <v>6742</v>
      </c>
      <c r="C14327" t="s">
        <v>38946</v>
      </c>
      <c r="D14327" t="s">
        <v>47189</v>
      </c>
      <c r="E14327" t="b">
        <v>0</v>
      </c>
      <c r="F14327" t="s">
        <v>11610</v>
      </c>
      <c r="L14327">
        <v>0</v>
      </c>
      <c r="M14327">
        <v>0</v>
      </c>
      <c r="N14327">
        <v>0</v>
      </c>
    </row>
    <row r="14328" spans="1:15">
      <c r="A14328" t="s">
        <v>47190</v>
      </c>
      <c r="B14328" t="s">
        <v>6742</v>
      </c>
      <c r="C14328" t="s">
        <v>44206</v>
      </c>
      <c r="D14328" t="s">
        <v>47191</v>
      </c>
      <c r="E14328" t="b">
        <v>0</v>
      </c>
      <c r="F14328" t="s">
        <v>11624</v>
      </c>
      <c r="G14328">
        <v>5.8797499999999996</v>
      </c>
      <c r="H14328">
        <v>10.0779</v>
      </c>
      <c r="I14328" t="s">
        <v>47192</v>
      </c>
      <c r="L14328">
        <v>0</v>
      </c>
      <c r="M14328">
        <v>0</v>
      </c>
      <c r="N14328">
        <v>0</v>
      </c>
      <c r="O14328" t="s">
        <v>11703</v>
      </c>
    </row>
    <row r="14329" spans="1:15">
      <c r="A14329" t="s">
        <v>17872</v>
      </c>
      <c r="B14329" t="s">
        <v>11729</v>
      </c>
      <c r="C14329" t="s">
        <v>29577</v>
      </c>
      <c r="D14329" t="s">
        <v>47193</v>
      </c>
      <c r="E14329" t="b">
        <v>0</v>
      </c>
      <c r="F14329" t="s">
        <v>11624</v>
      </c>
      <c r="G14329">
        <v>8.5705100000000005</v>
      </c>
      <c r="H14329">
        <v>15.414</v>
      </c>
      <c r="I14329" t="s">
        <v>47194</v>
      </c>
      <c r="L14329">
        <v>0</v>
      </c>
      <c r="M14329">
        <v>0</v>
      </c>
      <c r="N14329">
        <v>5</v>
      </c>
      <c r="O14329" t="s">
        <v>20045</v>
      </c>
    </row>
    <row r="14330" spans="1:15">
      <c r="A14330" t="s">
        <v>36794</v>
      </c>
      <c r="B14330" t="s">
        <v>11729</v>
      </c>
      <c r="C14330" t="s">
        <v>23813</v>
      </c>
      <c r="D14330" t="s">
        <v>47195</v>
      </c>
      <c r="E14330" t="b">
        <v>0</v>
      </c>
      <c r="F14330" t="s">
        <v>11624</v>
      </c>
      <c r="G14330">
        <v>8.2595700000000001</v>
      </c>
      <c r="H14330">
        <v>18.4648</v>
      </c>
      <c r="I14330" t="s">
        <v>47196</v>
      </c>
      <c r="L14330">
        <v>0</v>
      </c>
      <c r="M14330">
        <v>0</v>
      </c>
      <c r="N14330">
        <v>5</v>
      </c>
      <c r="O14330" t="s">
        <v>15847</v>
      </c>
    </row>
    <row r="14331" spans="1:15">
      <c r="A14331" t="s">
        <v>47197</v>
      </c>
      <c r="B14331" t="s">
        <v>11729</v>
      </c>
      <c r="C14331" t="s">
        <v>36794</v>
      </c>
      <c r="D14331" t="s">
        <v>47198</v>
      </c>
      <c r="E14331" t="b">
        <v>0</v>
      </c>
      <c r="F14331" t="s">
        <v>11610</v>
      </c>
      <c r="L14331">
        <v>0</v>
      </c>
      <c r="M14331">
        <v>0</v>
      </c>
      <c r="N14331">
        <v>0</v>
      </c>
    </row>
    <row r="14332" spans="1:15">
      <c r="A14332" t="s">
        <v>47199</v>
      </c>
      <c r="B14332" t="s">
        <v>11729</v>
      </c>
      <c r="C14332" t="s">
        <v>36794</v>
      </c>
      <c r="D14332" t="s">
        <v>47200</v>
      </c>
      <c r="E14332" t="b">
        <v>0</v>
      </c>
      <c r="F14332" t="s">
        <v>11610</v>
      </c>
      <c r="L14332">
        <v>0</v>
      </c>
      <c r="M14332">
        <v>0</v>
      </c>
      <c r="N14332">
        <v>0</v>
      </c>
    </row>
    <row r="14333" spans="1:15">
      <c r="A14333" t="s">
        <v>47201</v>
      </c>
      <c r="B14333" t="s">
        <v>11729</v>
      </c>
      <c r="C14333" t="s">
        <v>36794</v>
      </c>
      <c r="D14333" t="s">
        <v>47202</v>
      </c>
      <c r="E14333" t="b">
        <v>0</v>
      </c>
      <c r="F14333" t="s">
        <v>11610</v>
      </c>
      <c r="L14333">
        <v>0</v>
      </c>
      <c r="M14333">
        <v>0</v>
      </c>
      <c r="N14333">
        <v>0</v>
      </c>
    </row>
    <row r="14334" spans="1:15">
      <c r="A14334" t="s">
        <v>47203</v>
      </c>
      <c r="B14334" t="s">
        <v>11607</v>
      </c>
      <c r="C14334" t="s">
        <v>13119</v>
      </c>
      <c r="D14334" t="s">
        <v>47204</v>
      </c>
      <c r="E14334" t="b">
        <v>0</v>
      </c>
      <c r="F14334" t="s">
        <v>11610</v>
      </c>
      <c r="L14334">
        <v>0</v>
      </c>
      <c r="M14334">
        <v>0</v>
      </c>
      <c r="N14334">
        <v>0</v>
      </c>
    </row>
    <row r="14335" spans="1:15">
      <c r="A14335" t="s">
        <v>47205</v>
      </c>
      <c r="B14335" t="s">
        <v>11607</v>
      </c>
      <c r="C14335" t="s">
        <v>19238</v>
      </c>
      <c r="D14335" t="s">
        <v>47206</v>
      </c>
      <c r="E14335" t="b">
        <v>0</v>
      </c>
      <c r="F14335" t="s">
        <v>11624</v>
      </c>
      <c r="G14335">
        <v>12.004799999999999</v>
      </c>
      <c r="H14335">
        <v>11.210800000000001</v>
      </c>
      <c r="I14335" t="s">
        <v>47207</v>
      </c>
      <c r="L14335">
        <v>0</v>
      </c>
      <c r="M14335">
        <v>0</v>
      </c>
      <c r="N14335">
        <v>0</v>
      </c>
      <c r="O14335" t="s">
        <v>11693</v>
      </c>
    </row>
    <row r="14336" spans="1:15">
      <c r="A14336" t="s">
        <v>19238</v>
      </c>
      <c r="B14336" t="s">
        <v>11607</v>
      </c>
      <c r="C14336" t="s">
        <v>29237</v>
      </c>
      <c r="D14336" t="s">
        <v>47208</v>
      </c>
      <c r="E14336" t="b">
        <v>0</v>
      </c>
      <c r="F14336" t="s">
        <v>11622</v>
      </c>
      <c r="L14336">
        <v>1</v>
      </c>
      <c r="M14336">
        <v>3</v>
      </c>
      <c r="N14336">
        <v>2</v>
      </c>
    </row>
    <row r="14337" spans="1:15">
      <c r="A14337" t="s">
        <v>47209</v>
      </c>
      <c r="B14337" t="s">
        <v>10597</v>
      </c>
      <c r="C14337" t="s">
        <v>35119</v>
      </c>
      <c r="D14337" t="s">
        <v>47210</v>
      </c>
      <c r="E14337" t="b">
        <v>0</v>
      </c>
      <c r="F14337" t="s">
        <v>11610</v>
      </c>
      <c r="L14337">
        <v>0</v>
      </c>
      <c r="M14337">
        <v>0</v>
      </c>
      <c r="N14337">
        <v>0</v>
      </c>
    </row>
    <row r="14338" spans="1:15">
      <c r="A14338" t="s">
        <v>7187</v>
      </c>
      <c r="B14338" t="s">
        <v>12260</v>
      </c>
      <c r="C14338" t="s">
        <v>3374</v>
      </c>
      <c r="D14338" t="s">
        <v>47211</v>
      </c>
      <c r="E14338" t="b">
        <v>0</v>
      </c>
      <c r="F14338" t="s">
        <v>11624</v>
      </c>
      <c r="G14338">
        <v>73.135400000000004</v>
      </c>
      <c r="H14338">
        <v>86.210599999999999</v>
      </c>
      <c r="I14338" t="s">
        <v>7188</v>
      </c>
      <c r="L14338">
        <v>0</v>
      </c>
      <c r="M14338">
        <v>0</v>
      </c>
      <c r="N14338">
        <v>2</v>
      </c>
      <c r="O14338" t="s">
        <v>12748</v>
      </c>
    </row>
    <row r="14339" spans="1:15">
      <c r="A14339" t="s">
        <v>47212</v>
      </c>
      <c r="B14339" t="s">
        <v>11644</v>
      </c>
      <c r="C14339" t="s">
        <v>13896</v>
      </c>
      <c r="D14339" t="s">
        <v>47213</v>
      </c>
      <c r="E14339" t="b">
        <v>0</v>
      </c>
      <c r="F14339" t="s">
        <v>11610</v>
      </c>
      <c r="L14339">
        <v>0</v>
      </c>
      <c r="M14339">
        <v>0</v>
      </c>
      <c r="N14339">
        <v>0</v>
      </c>
    </row>
    <row r="14340" spans="1:15">
      <c r="A14340" t="s">
        <v>47214</v>
      </c>
      <c r="B14340" t="s">
        <v>9897</v>
      </c>
      <c r="C14340" t="s">
        <v>26471</v>
      </c>
      <c r="D14340" t="s">
        <v>47215</v>
      </c>
      <c r="E14340" t="b">
        <v>0</v>
      </c>
      <c r="F14340" t="s">
        <v>11624</v>
      </c>
      <c r="G14340">
        <v>-12.844799999999999</v>
      </c>
      <c r="H14340">
        <v>134.649</v>
      </c>
      <c r="I14340" t="s">
        <v>47216</v>
      </c>
      <c r="L14340">
        <v>0</v>
      </c>
      <c r="M14340">
        <v>0</v>
      </c>
      <c r="N14340">
        <v>0</v>
      </c>
      <c r="O14340" t="s">
        <v>12107</v>
      </c>
    </row>
    <row r="14341" spans="1:15">
      <c r="A14341" t="s">
        <v>47217</v>
      </c>
      <c r="B14341" t="s">
        <v>10597</v>
      </c>
      <c r="C14341" t="s">
        <v>25700</v>
      </c>
      <c r="D14341" t="s">
        <v>47218</v>
      </c>
      <c r="E14341" t="b">
        <v>0</v>
      </c>
      <c r="F14341" t="s">
        <v>11624</v>
      </c>
      <c r="G14341">
        <v>-29.581</v>
      </c>
      <c r="H14341">
        <v>151.31299999999999</v>
      </c>
      <c r="I14341" t="s">
        <v>47219</v>
      </c>
      <c r="L14341">
        <v>0</v>
      </c>
      <c r="M14341">
        <v>0</v>
      </c>
      <c r="N14341">
        <v>0</v>
      </c>
      <c r="O14341" t="s">
        <v>12107</v>
      </c>
    </row>
    <row r="14342" spans="1:15">
      <c r="A14342" t="s">
        <v>47220</v>
      </c>
      <c r="B14342" t="s">
        <v>45884</v>
      </c>
      <c r="C14342" t="s">
        <v>46468</v>
      </c>
      <c r="D14342" t="s">
        <v>47221</v>
      </c>
      <c r="E14342" t="b">
        <v>0</v>
      </c>
      <c r="F14342" t="s">
        <v>11610</v>
      </c>
      <c r="L14342">
        <v>0</v>
      </c>
      <c r="M14342">
        <v>0</v>
      </c>
      <c r="N14342">
        <v>0</v>
      </c>
    </row>
    <row r="14343" spans="1:15">
      <c r="A14343" t="s">
        <v>47222</v>
      </c>
      <c r="B14343" t="s">
        <v>45884</v>
      </c>
      <c r="C14343" t="s">
        <v>46468</v>
      </c>
      <c r="D14343" t="s">
        <v>47223</v>
      </c>
      <c r="E14343" t="b">
        <v>0</v>
      </c>
      <c r="F14343" t="s">
        <v>11610</v>
      </c>
      <c r="L14343">
        <v>0</v>
      </c>
      <c r="M14343">
        <v>0</v>
      </c>
      <c r="N14343">
        <v>0</v>
      </c>
    </row>
    <row r="14344" spans="1:15">
      <c r="A14344" t="s">
        <v>37643</v>
      </c>
      <c r="B14344" t="s">
        <v>6742</v>
      </c>
      <c r="C14344" t="s">
        <v>37299</v>
      </c>
      <c r="D14344" t="s">
        <v>47224</v>
      </c>
      <c r="E14344" t="b">
        <v>0</v>
      </c>
      <c r="F14344" t="s">
        <v>11624</v>
      </c>
      <c r="G14344">
        <v>10.2523</v>
      </c>
      <c r="H14344">
        <v>0.70508999999999999</v>
      </c>
      <c r="I14344" t="s">
        <v>47225</v>
      </c>
      <c r="L14344">
        <v>0</v>
      </c>
      <c r="M14344">
        <v>0</v>
      </c>
      <c r="N14344">
        <v>2</v>
      </c>
      <c r="O14344" t="s">
        <v>14040</v>
      </c>
    </row>
    <row r="14345" spans="1:15">
      <c r="A14345" t="s">
        <v>47226</v>
      </c>
      <c r="B14345" t="s">
        <v>6742</v>
      </c>
      <c r="C14345" t="s">
        <v>47227</v>
      </c>
      <c r="D14345" t="s">
        <v>47228</v>
      </c>
      <c r="E14345" t="b">
        <v>0</v>
      </c>
      <c r="F14345" t="s">
        <v>11624</v>
      </c>
      <c r="G14345">
        <v>-16.635899999999999</v>
      </c>
      <c r="H14345">
        <v>21.192799999999998</v>
      </c>
      <c r="I14345" t="s">
        <v>47229</v>
      </c>
      <c r="L14345">
        <v>0</v>
      </c>
      <c r="M14345">
        <v>0</v>
      </c>
      <c r="N14345">
        <v>0</v>
      </c>
      <c r="O14345" t="s">
        <v>19290</v>
      </c>
    </row>
    <row r="14346" spans="1:15">
      <c r="A14346" t="s">
        <v>39125</v>
      </c>
      <c r="B14346" t="s">
        <v>6742</v>
      </c>
      <c r="C14346" t="s">
        <v>40608</v>
      </c>
      <c r="D14346" t="s">
        <v>47230</v>
      </c>
      <c r="E14346" t="b">
        <v>0</v>
      </c>
      <c r="F14346" t="s">
        <v>11624</v>
      </c>
      <c r="G14346">
        <v>-0.14363000000000001</v>
      </c>
      <c r="H14346">
        <v>22.623100000000001</v>
      </c>
      <c r="I14346" t="s">
        <v>47231</v>
      </c>
      <c r="L14346">
        <v>0</v>
      </c>
      <c r="M14346">
        <v>0</v>
      </c>
      <c r="N14346">
        <v>2</v>
      </c>
      <c r="O14346" t="s">
        <v>14825</v>
      </c>
    </row>
    <row r="14347" spans="1:15">
      <c r="A14347" t="s">
        <v>24807</v>
      </c>
      <c r="B14347" t="s">
        <v>6742</v>
      </c>
      <c r="C14347" t="s">
        <v>19461</v>
      </c>
      <c r="D14347" t="s">
        <v>47232</v>
      </c>
      <c r="E14347" t="b">
        <v>0</v>
      </c>
      <c r="F14347" t="s">
        <v>11624</v>
      </c>
      <c r="G14347">
        <v>3.7166600000000001</v>
      </c>
      <c r="H14347">
        <v>17.649899999999999</v>
      </c>
      <c r="I14347" t="s">
        <v>47233</v>
      </c>
      <c r="L14347">
        <v>0</v>
      </c>
      <c r="M14347">
        <v>0</v>
      </c>
      <c r="N14347">
        <v>2</v>
      </c>
      <c r="O14347" t="s">
        <v>16548</v>
      </c>
    </row>
    <row r="14348" spans="1:15">
      <c r="A14348" t="s">
        <v>47234</v>
      </c>
      <c r="B14348" t="s">
        <v>32149</v>
      </c>
      <c r="C14348" t="s">
        <v>32149</v>
      </c>
      <c r="D14348" t="s">
        <v>47235</v>
      </c>
      <c r="E14348" t="b">
        <v>0</v>
      </c>
      <c r="F14348" t="s">
        <v>11622</v>
      </c>
      <c r="L14348">
        <v>0</v>
      </c>
      <c r="M14348">
        <v>2</v>
      </c>
      <c r="N14348">
        <v>0</v>
      </c>
    </row>
    <row r="14349" spans="1:15">
      <c r="A14349" t="s">
        <v>41064</v>
      </c>
      <c r="B14349" t="s">
        <v>6742</v>
      </c>
      <c r="C14349" t="s">
        <v>22799</v>
      </c>
      <c r="D14349" t="s">
        <v>47236</v>
      </c>
      <c r="E14349" t="b">
        <v>0</v>
      </c>
      <c r="F14349" t="s">
        <v>11622</v>
      </c>
      <c r="L14349">
        <v>1</v>
      </c>
      <c r="M14349">
        <v>6</v>
      </c>
      <c r="N14349">
        <v>0</v>
      </c>
    </row>
    <row r="14350" spans="1:15">
      <c r="A14350" t="s">
        <v>47237</v>
      </c>
      <c r="B14350" t="s">
        <v>6742</v>
      </c>
      <c r="C14350" t="s">
        <v>39125</v>
      </c>
      <c r="D14350" t="s">
        <v>47238</v>
      </c>
      <c r="E14350" t="b">
        <v>0</v>
      </c>
      <c r="F14350" t="s">
        <v>11610</v>
      </c>
      <c r="L14350">
        <v>0</v>
      </c>
      <c r="M14350">
        <v>0</v>
      </c>
      <c r="N14350">
        <v>0</v>
      </c>
    </row>
    <row r="14351" spans="1:15">
      <c r="A14351" t="s">
        <v>47239</v>
      </c>
      <c r="B14351" t="s">
        <v>10597</v>
      </c>
      <c r="C14351" t="s">
        <v>44603</v>
      </c>
      <c r="D14351" t="s">
        <v>47240</v>
      </c>
      <c r="E14351" t="b">
        <v>0</v>
      </c>
      <c r="F14351" t="s">
        <v>11610</v>
      </c>
      <c r="L14351">
        <v>0</v>
      </c>
      <c r="M14351">
        <v>0</v>
      </c>
      <c r="N14351">
        <v>0</v>
      </c>
    </row>
    <row r="14352" spans="1:15">
      <c r="A14352" t="s">
        <v>47241</v>
      </c>
      <c r="B14352" t="s">
        <v>6742</v>
      </c>
      <c r="C14352" t="s">
        <v>11986</v>
      </c>
      <c r="D14352" t="s">
        <v>47242</v>
      </c>
      <c r="E14352" t="b">
        <v>0</v>
      </c>
      <c r="F14352" t="s">
        <v>11610</v>
      </c>
      <c r="L14352">
        <v>0</v>
      </c>
      <c r="M14352">
        <v>0</v>
      </c>
      <c r="N14352">
        <v>0</v>
      </c>
    </row>
    <row r="14353" spans="1:15">
      <c r="A14353" t="s">
        <v>47243</v>
      </c>
      <c r="B14353" t="s">
        <v>6742</v>
      </c>
      <c r="C14353" t="s">
        <v>16549</v>
      </c>
      <c r="D14353" t="s">
        <v>47244</v>
      </c>
      <c r="E14353" t="b">
        <v>0</v>
      </c>
      <c r="F14353" t="s">
        <v>11610</v>
      </c>
      <c r="L14353">
        <v>0</v>
      </c>
      <c r="M14353">
        <v>0</v>
      </c>
      <c r="N14353">
        <v>0</v>
      </c>
    </row>
    <row r="14354" spans="1:15">
      <c r="A14354" t="s">
        <v>47245</v>
      </c>
      <c r="B14354" t="s">
        <v>367</v>
      </c>
      <c r="C14354" t="s">
        <v>22043</v>
      </c>
      <c r="D14354" t="s">
        <v>47246</v>
      </c>
      <c r="E14354" t="b">
        <v>0</v>
      </c>
      <c r="F14354" t="s">
        <v>11610</v>
      </c>
      <c r="L14354">
        <v>0</v>
      </c>
      <c r="M14354">
        <v>0</v>
      </c>
      <c r="N14354">
        <v>0</v>
      </c>
    </row>
    <row r="14355" spans="1:15">
      <c r="A14355" t="s">
        <v>47247</v>
      </c>
      <c r="B14355" t="s">
        <v>6742</v>
      </c>
      <c r="C14355" t="s">
        <v>16545</v>
      </c>
      <c r="D14355" t="s">
        <v>47248</v>
      </c>
      <c r="E14355" t="b">
        <v>0</v>
      </c>
      <c r="F14355" t="s">
        <v>11610</v>
      </c>
      <c r="L14355">
        <v>0</v>
      </c>
      <c r="M14355">
        <v>0</v>
      </c>
      <c r="N14355">
        <v>0</v>
      </c>
    </row>
    <row r="14356" spans="1:15">
      <c r="A14356" t="s">
        <v>18595</v>
      </c>
      <c r="B14356" t="s">
        <v>10597</v>
      </c>
      <c r="C14356" t="s">
        <v>30221</v>
      </c>
      <c r="D14356" t="s">
        <v>47249</v>
      </c>
      <c r="E14356" t="b">
        <v>0</v>
      </c>
      <c r="F14356" t="s">
        <v>11624</v>
      </c>
      <c r="G14356">
        <v>-15.466100000000001</v>
      </c>
      <c r="H14356">
        <v>130.65100000000001</v>
      </c>
      <c r="I14356" t="s">
        <v>47250</v>
      </c>
      <c r="L14356">
        <v>0</v>
      </c>
      <c r="M14356">
        <v>0</v>
      </c>
      <c r="N14356">
        <v>3</v>
      </c>
      <c r="O14356" t="s">
        <v>12107</v>
      </c>
    </row>
    <row r="14357" spans="1:15">
      <c r="A14357" t="s">
        <v>47251</v>
      </c>
      <c r="B14357" t="s">
        <v>18680</v>
      </c>
      <c r="C14357" t="s">
        <v>29904</v>
      </c>
      <c r="D14357" t="s">
        <v>47252</v>
      </c>
      <c r="E14357" t="b">
        <v>0</v>
      </c>
      <c r="F14357" t="s">
        <v>11624</v>
      </c>
      <c r="G14357">
        <v>-17.420000000000002</v>
      </c>
      <c r="H14357">
        <v>134.72999999999999</v>
      </c>
      <c r="I14357" t="s">
        <v>47253</v>
      </c>
      <c r="L14357">
        <v>0</v>
      </c>
      <c r="M14357">
        <v>0</v>
      </c>
      <c r="N14357">
        <v>0</v>
      </c>
    </row>
    <row r="14358" spans="1:15">
      <c r="A14358" t="s">
        <v>2656</v>
      </c>
      <c r="B14358" t="s">
        <v>1588</v>
      </c>
      <c r="C14358" t="s">
        <v>1588</v>
      </c>
      <c r="D14358" t="s">
        <v>47254</v>
      </c>
      <c r="E14358" t="b">
        <v>0</v>
      </c>
      <c r="F14358" t="s">
        <v>11624</v>
      </c>
      <c r="G14358">
        <v>-16.400600000000001</v>
      </c>
      <c r="H14358">
        <v>126.43300000000001</v>
      </c>
      <c r="I14358" t="s">
        <v>2657</v>
      </c>
      <c r="L14358">
        <v>0</v>
      </c>
      <c r="M14358">
        <v>0</v>
      </c>
      <c r="N14358">
        <v>7</v>
      </c>
      <c r="O14358" t="s">
        <v>12107</v>
      </c>
    </row>
    <row r="14359" spans="1:15">
      <c r="A14359" t="s">
        <v>47255</v>
      </c>
      <c r="B14359" t="s">
        <v>1588</v>
      </c>
      <c r="C14359" t="s">
        <v>2656</v>
      </c>
      <c r="D14359" t="s">
        <v>47256</v>
      </c>
      <c r="E14359" t="b">
        <v>0</v>
      </c>
      <c r="F14359" t="s">
        <v>11610</v>
      </c>
      <c r="G14359">
        <v>-15.700055000000001</v>
      </c>
      <c r="H14359">
        <v>127.452018</v>
      </c>
      <c r="L14359">
        <v>0</v>
      </c>
      <c r="M14359">
        <v>0</v>
      </c>
      <c r="N14359">
        <v>0</v>
      </c>
    </row>
    <row r="14360" spans="1:15">
      <c r="A14360" t="s">
        <v>47257</v>
      </c>
      <c r="B14360" t="s">
        <v>11627</v>
      </c>
      <c r="C14360" t="s">
        <v>11627</v>
      </c>
      <c r="D14360" t="s">
        <v>47258</v>
      </c>
      <c r="E14360" t="b">
        <v>1</v>
      </c>
      <c r="F14360" t="s">
        <v>11624</v>
      </c>
      <c r="I14360" t="s">
        <v>47259</v>
      </c>
      <c r="L14360">
        <v>0</v>
      </c>
      <c r="M14360">
        <v>0</v>
      </c>
      <c r="N14360">
        <v>0</v>
      </c>
      <c r="O14360" t="s">
        <v>12107</v>
      </c>
    </row>
    <row r="14361" spans="1:15">
      <c r="A14361" t="s">
        <v>26020</v>
      </c>
      <c r="B14361" t="s">
        <v>10597</v>
      </c>
      <c r="C14361" t="s">
        <v>35171</v>
      </c>
      <c r="D14361" t="s">
        <v>47260</v>
      </c>
      <c r="E14361" t="b">
        <v>0</v>
      </c>
      <c r="F14361" t="s">
        <v>11624</v>
      </c>
      <c r="G14361">
        <v>-20.923500000000001</v>
      </c>
      <c r="H14361">
        <v>117.203</v>
      </c>
      <c r="I14361" t="s">
        <v>47261</v>
      </c>
      <c r="L14361">
        <v>0</v>
      </c>
      <c r="M14361">
        <v>0</v>
      </c>
      <c r="N14361">
        <v>3</v>
      </c>
      <c r="O14361" t="s">
        <v>12107</v>
      </c>
    </row>
    <row r="14362" spans="1:15">
      <c r="A14362" t="s">
        <v>47262</v>
      </c>
      <c r="B14362" t="s">
        <v>10597</v>
      </c>
      <c r="C14362" t="s">
        <v>33269</v>
      </c>
      <c r="D14362" t="s">
        <v>47263</v>
      </c>
      <c r="E14362" t="b">
        <v>0</v>
      </c>
      <c r="F14362" t="s">
        <v>11624</v>
      </c>
      <c r="I14362" t="s">
        <v>47264</v>
      </c>
      <c r="L14362">
        <v>0</v>
      </c>
      <c r="M14362">
        <v>0</v>
      </c>
      <c r="N14362">
        <v>0</v>
      </c>
      <c r="O14362" t="s">
        <v>12107</v>
      </c>
    </row>
    <row r="14363" spans="1:15">
      <c r="A14363" t="s">
        <v>47265</v>
      </c>
      <c r="B14363" t="s">
        <v>10597</v>
      </c>
      <c r="C14363" t="s">
        <v>47266</v>
      </c>
      <c r="D14363" t="s">
        <v>47267</v>
      </c>
      <c r="E14363" t="b">
        <v>0</v>
      </c>
      <c r="F14363" t="s">
        <v>11622</v>
      </c>
      <c r="L14363">
        <v>0</v>
      </c>
      <c r="M14363">
        <v>2</v>
      </c>
      <c r="N14363">
        <v>7</v>
      </c>
    </row>
    <row r="14364" spans="1:15">
      <c r="A14364" t="s">
        <v>47268</v>
      </c>
      <c r="B14364" t="s">
        <v>10597</v>
      </c>
      <c r="C14364" t="s">
        <v>10597</v>
      </c>
      <c r="D14364" t="s">
        <v>47269</v>
      </c>
      <c r="E14364" t="b">
        <v>0</v>
      </c>
      <c r="F14364" t="s">
        <v>11622</v>
      </c>
      <c r="L14364">
        <v>3</v>
      </c>
      <c r="M14364">
        <v>5</v>
      </c>
      <c r="N14364">
        <v>0</v>
      </c>
    </row>
    <row r="14365" spans="1:15">
      <c r="A14365" t="s">
        <v>47270</v>
      </c>
      <c r="B14365" t="s">
        <v>10597</v>
      </c>
      <c r="C14365" t="s">
        <v>47271</v>
      </c>
      <c r="D14365" t="s">
        <v>47272</v>
      </c>
      <c r="E14365" t="b">
        <v>0</v>
      </c>
      <c r="F14365" t="s">
        <v>11622</v>
      </c>
      <c r="L14365">
        <v>0</v>
      </c>
      <c r="M14365">
        <v>2</v>
      </c>
      <c r="N14365">
        <v>0</v>
      </c>
    </row>
    <row r="14366" spans="1:15">
      <c r="A14366" t="s">
        <v>47273</v>
      </c>
      <c r="B14366" t="s">
        <v>6742</v>
      </c>
      <c r="C14366" t="s">
        <v>43759</v>
      </c>
      <c r="D14366" t="s">
        <v>47274</v>
      </c>
      <c r="E14366" t="b">
        <v>0</v>
      </c>
      <c r="F14366" t="s">
        <v>11610</v>
      </c>
      <c r="L14366">
        <v>0</v>
      </c>
      <c r="M14366">
        <v>0</v>
      </c>
      <c r="N14366">
        <v>0</v>
      </c>
    </row>
    <row r="14367" spans="1:15">
      <c r="A14367" t="s">
        <v>35171</v>
      </c>
      <c r="B14367" t="s">
        <v>10597</v>
      </c>
      <c r="C14367" t="s">
        <v>21819</v>
      </c>
      <c r="D14367" t="s">
        <v>47275</v>
      </c>
      <c r="E14367" t="b">
        <v>0</v>
      </c>
      <c r="F14367" t="s">
        <v>11622</v>
      </c>
      <c r="L14367">
        <v>0</v>
      </c>
      <c r="M14367">
        <v>2</v>
      </c>
      <c r="N14367">
        <v>3</v>
      </c>
    </row>
    <row r="14368" spans="1:15">
      <c r="A14368" t="s">
        <v>47276</v>
      </c>
      <c r="B14368" t="s">
        <v>13450</v>
      </c>
      <c r="C14368" t="s">
        <v>13450</v>
      </c>
      <c r="D14368" t="s">
        <v>47277</v>
      </c>
      <c r="E14368" t="b">
        <v>0</v>
      </c>
      <c r="F14368" t="s">
        <v>11622</v>
      </c>
      <c r="L14368">
        <v>0</v>
      </c>
      <c r="M14368">
        <v>1</v>
      </c>
      <c r="N14368">
        <v>0</v>
      </c>
    </row>
    <row r="14369" spans="1:15">
      <c r="A14369" t="s">
        <v>47278</v>
      </c>
      <c r="B14369" t="s">
        <v>10597</v>
      </c>
      <c r="C14369" t="s">
        <v>47279</v>
      </c>
      <c r="D14369" t="s">
        <v>47280</v>
      </c>
      <c r="E14369" t="b">
        <v>0</v>
      </c>
      <c r="F14369" t="s">
        <v>11624</v>
      </c>
      <c r="G14369">
        <v>-20.20748</v>
      </c>
      <c r="H14369">
        <v>119.30579</v>
      </c>
      <c r="I14369" t="s">
        <v>47281</v>
      </c>
      <c r="L14369">
        <v>0</v>
      </c>
      <c r="M14369">
        <v>0</v>
      </c>
      <c r="N14369">
        <v>0</v>
      </c>
      <c r="O14369" t="s">
        <v>12107</v>
      </c>
    </row>
    <row r="14370" spans="1:15">
      <c r="A14370" t="s">
        <v>47282</v>
      </c>
      <c r="B14370" t="s">
        <v>10597</v>
      </c>
      <c r="C14370" t="s">
        <v>33106</v>
      </c>
      <c r="D14370" t="s">
        <v>47283</v>
      </c>
      <c r="E14370" t="b">
        <v>0</v>
      </c>
      <c r="F14370" t="s">
        <v>11610</v>
      </c>
      <c r="G14370">
        <v>-36.229999999999997</v>
      </c>
      <c r="H14370">
        <v>149.13</v>
      </c>
      <c r="I14370" t="s">
        <v>47284</v>
      </c>
      <c r="L14370">
        <v>0</v>
      </c>
      <c r="M14370">
        <v>0</v>
      </c>
      <c r="N14370">
        <v>0</v>
      </c>
      <c r="O14370" t="s">
        <v>12107</v>
      </c>
    </row>
    <row r="14371" spans="1:15">
      <c r="A14371" t="s">
        <v>47285</v>
      </c>
      <c r="B14371" t="s">
        <v>10597</v>
      </c>
      <c r="C14371" t="s">
        <v>44603</v>
      </c>
      <c r="D14371" t="s">
        <v>47286</v>
      </c>
      <c r="E14371" t="b">
        <v>0</v>
      </c>
      <c r="F14371" t="s">
        <v>11610</v>
      </c>
      <c r="L14371">
        <v>0</v>
      </c>
      <c r="M14371">
        <v>0</v>
      </c>
      <c r="N14371">
        <v>0</v>
      </c>
    </row>
    <row r="14372" spans="1:15">
      <c r="A14372" t="s">
        <v>47287</v>
      </c>
      <c r="B14372" t="s">
        <v>11757</v>
      </c>
      <c r="C14372" t="s">
        <v>47288</v>
      </c>
      <c r="D14372" t="s">
        <v>47289</v>
      </c>
      <c r="E14372" t="b">
        <v>0</v>
      </c>
      <c r="F14372" t="s">
        <v>11624</v>
      </c>
      <c r="G14372">
        <v>-2.97716</v>
      </c>
      <c r="H14372">
        <v>37.527999999999999</v>
      </c>
      <c r="I14372" t="s">
        <v>47290</v>
      </c>
      <c r="L14372">
        <v>0</v>
      </c>
      <c r="M14372">
        <v>0</v>
      </c>
      <c r="N14372">
        <v>0</v>
      </c>
      <c r="O14372" t="s">
        <v>11635</v>
      </c>
    </row>
    <row r="14373" spans="1:15">
      <c r="A14373" t="s">
        <v>31145</v>
      </c>
      <c r="B14373" t="s">
        <v>11607</v>
      </c>
      <c r="C14373" t="s">
        <v>17860</v>
      </c>
      <c r="D14373" t="s">
        <v>47291</v>
      </c>
      <c r="E14373" t="b">
        <v>0</v>
      </c>
      <c r="F14373" t="s">
        <v>11624</v>
      </c>
      <c r="G14373">
        <v>9.3204200000000004</v>
      </c>
      <c r="H14373">
        <v>9.4614600000000006</v>
      </c>
      <c r="I14373" t="s">
        <v>47292</v>
      </c>
      <c r="L14373">
        <v>0</v>
      </c>
      <c r="M14373">
        <v>0</v>
      </c>
      <c r="N14373">
        <v>2</v>
      </c>
      <c r="O14373" t="s">
        <v>11693</v>
      </c>
    </row>
    <row r="14374" spans="1:15">
      <c r="A14374" t="s">
        <v>17860</v>
      </c>
      <c r="B14374" t="s">
        <v>11607</v>
      </c>
      <c r="C14374" t="s">
        <v>13811</v>
      </c>
      <c r="D14374" t="s">
        <v>47293</v>
      </c>
      <c r="E14374" t="b">
        <v>0</v>
      </c>
      <c r="F14374" t="s">
        <v>11622</v>
      </c>
      <c r="L14374">
        <v>0</v>
      </c>
      <c r="M14374">
        <v>2</v>
      </c>
      <c r="N14374">
        <v>2</v>
      </c>
    </row>
    <row r="14375" spans="1:15">
      <c r="A14375" t="s">
        <v>47294</v>
      </c>
      <c r="B14375" t="s">
        <v>11644</v>
      </c>
      <c r="C14375" t="s">
        <v>42842</v>
      </c>
      <c r="D14375" t="s">
        <v>47295</v>
      </c>
      <c r="E14375" t="b">
        <v>0</v>
      </c>
      <c r="F14375" t="s">
        <v>11610</v>
      </c>
      <c r="L14375">
        <v>0</v>
      </c>
      <c r="M14375">
        <v>0</v>
      </c>
      <c r="N14375">
        <v>0</v>
      </c>
    </row>
    <row r="14376" spans="1:15">
      <c r="A14376" t="s">
        <v>47296</v>
      </c>
      <c r="B14376" t="s">
        <v>10597</v>
      </c>
      <c r="C14376" t="s">
        <v>27941</v>
      </c>
      <c r="D14376" t="s">
        <v>47297</v>
      </c>
      <c r="E14376" t="b">
        <v>0</v>
      </c>
      <c r="F14376" t="s">
        <v>11622</v>
      </c>
      <c r="L14376">
        <v>0</v>
      </c>
      <c r="M14376">
        <v>2</v>
      </c>
      <c r="N14376">
        <v>2</v>
      </c>
    </row>
    <row r="14377" spans="1:15">
      <c r="A14377" t="s">
        <v>47298</v>
      </c>
      <c r="B14377" t="s">
        <v>12128</v>
      </c>
      <c r="C14377" t="s">
        <v>12129</v>
      </c>
      <c r="D14377" t="s">
        <v>47299</v>
      </c>
      <c r="E14377" t="b">
        <v>0</v>
      </c>
      <c r="F14377" t="s">
        <v>11624</v>
      </c>
      <c r="G14377">
        <v>5.7874800000000004</v>
      </c>
      <c r="H14377">
        <v>157.15611200000001</v>
      </c>
      <c r="I14377" t="s">
        <v>47300</v>
      </c>
      <c r="L14377">
        <v>0</v>
      </c>
      <c r="M14377">
        <v>0</v>
      </c>
      <c r="N14377">
        <v>0</v>
      </c>
      <c r="O14377" t="s">
        <v>22994</v>
      </c>
    </row>
    <row r="14378" spans="1:15">
      <c r="A14378" t="s">
        <v>47301</v>
      </c>
      <c r="B14378" t="s">
        <v>367</v>
      </c>
      <c r="C14378" t="s">
        <v>6861</v>
      </c>
      <c r="D14378" t="s">
        <v>47302</v>
      </c>
      <c r="E14378" t="b">
        <v>0</v>
      </c>
      <c r="F14378" t="s">
        <v>11610</v>
      </c>
      <c r="L14378">
        <v>0</v>
      </c>
      <c r="M14378">
        <v>0</v>
      </c>
      <c r="N14378">
        <v>0</v>
      </c>
    </row>
    <row r="14379" spans="1:15">
      <c r="A14379" t="s">
        <v>47303</v>
      </c>
      <c r="B14379" t="s">
        <v>11644</v>
      </c>
      <c r="C14379" t="s">
        <v>28563</v>
      </c>
      <c r="D14379" t="s">
        <v>47304</v>
      </c>
      <c r="E14379" t="b">
        <v>0</v>
      </c>
      <c r="F14379" t="s">
        <v>11624</v>
      </c>
      <c r="G14379">
        <v>21.930309999999999</v>
      </c>
      <c r="H14379">
        <v>93.583479999999994</v>
      </c>
      <c r="I14379" t="s">
        <v>47305</v>
      </c>
      <c r="L14379">
        <v>0</v>
      </c>
      <c r="M14379">
        <v>0</v>
      </c>
      <c r="N14379">
        <v>0</v>
      </c>
      <c r="O14379" t="s">
        <v>14059</v>
      </c>
    </row>
    <row r="14380" spans="1:15">
      <c r="A14380" t="s">
        <v>47306</v>
      </c>
      <c r="B14380" t="s">
        <v>10597</v>
      </c>
      <c r="C14380" t="s">
        <v>43518</v>
      </c>
      <c r="D14380" t="s">
        <v>47307</v>
      </c>
      <c r="E14380" t="b">
        <v>0</v>
      </c>
      <c r="F14380" t="s">
        <v>11624</v>
      </c>
      <c r="G14380">
        <v>-19.448399999999999</v>
      </c>
      <c r="H14380">
        <v>141.471</v>
      </c>
      <c r="I14380" t="s">
        <v>47308</v>
      </c>
      <c r="L14380">
        <v>0</v>
      </c>
      <c r="M14380">
        <v>0</v>
      </c>
      <c r="N14380">
        <v>0</v>
      </c>
      <c r="O14380" t="s">
        <v>12107</v>
      </c>
    </row>
    <row r="14381" spans="1:15">
      <c r="A14381" t="s">
        <v>21820</v>
      </c>
      <c r="B14381" t="s">
        <v>10597</v>
      </c>
      <c r="C14381" t="s">
        <v>34911</v>
      </c>
      <c r="D14381" t="s">
        <v>47309</v>
      </c>
      <c r="E14381" t="b">
        <v>0</v>
      </c>
      <c r="F14381" t="s">
        <v>11622</v>
      </c>
      <c r="L14381">
        <v>5</v>
      </c>
      <c r="M14381">
        <v>12</v>
      </c>
      <c r="N14381">
        <v>5</v>
      </c>
    </row>
    <row r="14382" spans="1:15">
      <c r="A14382" t="s">
        <v>47310</v>
      </c>
      <c r="B14382" t="s">
        <v>10597</v>
      </c>
      <c r="C14382" t="s">
        <v>24616</v>
      </c>
      <c r="D14382" t="s">
        <v>47311</v>
      </c>
      <c r="E14382" t="b">
        <v>0</v>
      </c>
      <c r="F14382" t="s">
        <v>11610</v>
      </c>
      <c r="L14382">
        <v>0</v>
      </c>
      <c r="M14382">
        <v>0</v>
      </c>
      <c r="N14382">
        <v>0</v>
      </c>
    </row>
    <row r="14383" spans="1:15">
      <c r="A14383" t="s">
        <v>47312</v>
      </c>
      <c r="B14383" t="s">
        <v>6742</v>
      </c>
      <c r="C14383" t="s">
        <v>23324</v>
      </c>
      <c r="D14383" t="s">
        <v>47313</v>
      </c>
      <c r="E14383" t="b">
        <v>0</v>
      </c>
      <c r="F14383" t="s">
        <v>11624</v>
      </c>
      <c r="G14383">
        <v>-11.6129</v>
      </c>
      <c r="H14383">
        <v>43.36</v>
      </c>
      <c r="I14383" t="s">
        <v>47314</v>
      </c>
      <c r="L14383">
        <v>0</v>
      </c>
      <c r="M14383">
        <v>0</v>
      </c>
      <c r="N14383">
        <v>0</v>
      </c>
      <c r="O14383" t="s">
        <v>46040</v>
      </c>
    </row>
    <row r="14384" spans="1:15">
      <c r="A14384" t="s">
        <v>47315</v>
      </c>
      <c r="B14384" t="s">
        <v>13967</v>
      </c>
      <c r="C14384" t="s">
        <v>21519</v>
      </c>
      <c r="D14384" t="s">
        <v>47316</v>
      </c>
      <c r="E14384" t="b">
        <v>0</v>
      </c>
      <c r="F14384" t="s">
        <v>11610</v>
      </c>
      <c r="L14384">
        <v>0</v>
      </c>
      <c r="M14384">
        <v>0</v>
      </c>
      <c r="N14384">
        <v>0</v>
      </c>
    </row>
    <row r="14385" spans="1:15">
      <c r="A14385" t="s">
        <v>47317</v>
      </c>
      <c r="B14385" t="s">
        <v>6742</v>
      </c>
      <c r="C14385" t="s">
        <v>19556</v>
      </c>
      <c r="D14385" t="s">
        <v>47318</v>
      </c>
      <c r="E14385" t="b">
        <v>0</v>
      </c>
      <c r="F14385" t="s">
        <v>11610</v>
      </c>
      <c r="L14385">
        <v>0</v>
      </c>
      <c r="M14385">
        <v>0</v>
      </c>
      <c r="N14385">
        <v>0</v>
      </c>
    </row>
    <row r="14386" spans="1:15">
      <c r="A14386" t="s">
        <v>28837</v>
      </c>
      <c r="B14386" t="s">
        <v>6742</v>
      </c>
      <c r="C14386" t="s">
        <v>45189</v>
      </c>
      <c r="D14386" t="s">
        <v>47319</v>
      </c>
      <c r="E14386" t="b">
        <v>0</v>
      </c>
      <c r="F14386" t="s">
        <v>11622</v>
      </c>
      <c r="L14386">
        <v>2</v>
      </c>
      <c r="M14386">
        <v>8</v>
      </c>
      <c r="N14386">
        <v>0</v>
      </c>
    </row>
    <row r="14387" spans="1:15">
      <c r="A14387" t="s">
        <v>47320</v>
      </c>
      <c r="B14387" t="s">
        <v>6742</v>
      </c>
      <c r="C14387" t="s">
        <v>20719</v>
      </c>
      <c r="D14387" t="s">
        <v>47321</v>
      </c>
      <c r="E14387" t="b">
        <v>0</v>
      </c>
      <c r="F14387" t="s">
        <v>11624</v>
      </c>
      <c r="G14387">
        <v>4</v>
      </c>
      <c r="H14387">
        <v>18.12</v>
      </c>
      <c r="I14387" t="s">
        <v>47322</v>
      </c>
      <c r="L14387">
        <v>0</v>
      </c>
      <c r="M14387">
        <v>0</v>
      </c>
      <c r="N14387">
        <v>0</v>
      </c>
      <c r="O14387" t="s">
        <v>16656</v>
      </c>
    </row>
    <row r="14388" spans="1:15">
      <c r="A14388" t="s">
        <v>47323</v>
      </c>
      <c r="B14388" t="s">
        <v>6742</v>
      </c>
      <c r="C14388" t="s">
        <v>42759</v>
      </c>
      <c r="D14388" t="s">
        <v>47324</v>
      </c>
      <c r="E14388" t="b">
        <v>0</v>
      </c>
      <c r="F14388" t="s">
        <v>11624</v>
      </c>
      <c r="G14388">
        <v>2.9888699999999999</v>
      </c>
      <c r="H14388">
        <v>18.994</v>
      </c>
      <c r="I14388" t="s">
        <v>47325</v>
      </c>
      <c r="L14388">
        <v>0</v>
      </c>
      <c r="M14388">
        <v>0</v>
      </c>
      <c r="N14388">
        <v>0</v>
      </c>
      <c r="O14388" t="s">
        <v>16656</v>
      </c>
    </row>
    <row r="14389" spans="1:15">
      <c r="A14389" t="s">
        <v>13066</v>
      </c>
      <c r="B14389" t="s">
        <v>6742</v>
      </c>
      <c r="C14389" t="s">
        <v>42761</v>
      </c>
      <c r="D14389" t="s">
        <v>47326</v>
      </c>
      <c r="E14389" t="b">
        <v>0</v>
      </c>
      <c r="F14389" t="s">
        <v>11622</v>
      </c>
      <c r="L14389">
        <v>0</v>
      </c>
      <c r="M14389">
        <v>2</v>
      </c>
      <c r="N14389">
        <v>0</v>
      </c>
    </row>
    <row r="14390" spans="1:15">
      <c r="A14390" t="s">
        <v>47327</v>
      </c>
      <c r="B14390" t="s">
        <v>6742</v>
      </c>
      <c r="C14390" t="s">
        <v>13066</v>
      </c>
      <c r="D14390" t="s">
        <v>47328</v>
      </c>
      <c r="E14390" t="b">
        <v>0</v>
      </c>
      <c r="F14390" t="s">
        <v>11624</v>
      </c>
      <c r="G14390">
        <v>5.3016699999999997</v>
      </c>
      <c r="H14390">
        <v>18.411899999999999</v>
      </c>
      <c r="I14390" t="s">
        <v>47329</v>
      </c>
      <c r="L14390">
        <v>0</v>
      </c>
      <c r="M14390">
        <v>0</v>
      </c>
      <c r="N14390">
        <v>0</v>
      </c>
      <c r="O14390" t="s">
        <v>16548</v>
      </c>
    </row>
    <row r="14391" spans="1:15">
      <c r="A14391" t="s">
        <v>47330</v>
      </c>
      <c r="B14391" t="s">
        <v>6742</v>
      </c>
      <c r="C14391" t="s">
        <v>16549</v>
      </c>
      <c r="D14391" t="s">
        <v>47331</v>
      </c>
      <c r="E14391" t="b">
        <v>0</v>
      </c>
      <c r="F14391" t="s">
        <v>11610</v>
      </c>
      <c r="L14391">
        <v>0</v>
      </c>
      <c r="M14391">
        <v>0</v>
      </c>
      <c r="N14391">
        <v>0</v>
      </c>
    </row>
    <row r="14392" spans="1:15">
      <c r="A14392" t="s">
        <v>47332</v>
      </c>
      <c r="B14392" t="s">
        <v>6742</v>
      </c>
      <c r="C14392" t="s">
        <v>18050</v>
      </c>
      <c r="D14392" t="s">
        <v>47333</v>
      </c>
      <c r="E14392" t="b">
        <v>0</v>
      </c>
      <c r="F14392" t="s">
        <v>11610</v>
      </c>
      <c r="L14392">
        <v>0</v>
      </c>
      <c r="M14392">
        <v>0</v>
      </c>
      <c r="N14392">
        <v>0</v>
      </c>
    </row>
    <row r="14393" spans="1:15">
      <c r="A14393" t="s">
        <v>45189</v>
      </c>
      <c r="B14393" t="s">
        <v>6742</v>
      </c>
      <c r="C14393" t="s">
        <v>16534</v>
      </c>
      <c r="D14393" t="s">
        <v>47334</v>
      </c>
      <c r="E14393" t="b">
        <v>0</v>
      </c>
      <c r="F14393" t="s">
        <v>11622</v>
      </c>
      <c r="L14393">
        <v>3</v>
      </c>
      <c r="M14393">
        <v>9</v>
      </c>
      <c r="N14393">
        <v>0</v>
      </c>
    </row>
    <row r="14394" spans="1:15">
      <c r="A14394" t="s">
        <v>43596</v>
      </c>
      <c r="B14394" t="s">
        <v>6742</v>
      </c>
      <c r="C14394" t="s">
        <v>47335</v>
      </c>
      <c r="D14394" t="s">
        <v>47336</v>
      </c>
      <c r="E14394" t="b">
        <v>0</v>
      </c>
      <c r="F14394" t="s">
        <v>11622</v>
      </c>
      <c r="L14394">
        <v>13</v>
      </c>
      <c r="M14394">
        <v>17</v>
      </c>
      <c r="N14394">
        <v>5</v>
      </c>
    </row>
    <row r="14395" spans="1:15">
      <c r="A14395" t="s">
        <v>7140</v>
      </c>
      <c r="B14395" t="s">
        <v>6742</v>
      </c>
      <c r="C14395" t="s">
        <v>43596</v>
      </c>
      <c r="D14395" t="s">
        <v>47337</v>
      </c>
      <c r="E14395" t="b">
        <v>0</v>
      </c>
      <c r="F14395" t="s">
        <v>11622</v>
      </c>
      <c r="L14395">
        <v>9</v>
      </c>
      <c r="M14395">
        <v>13</v>
      </c>
      <c r="N14395">
        <v>5</v>
      </c>
    </row>
    <row r="14396" spans="1:15">
      <c r="A14396" t="s">
        <v>47338</v>
      </c>
      <c r="B14396" t="s">
        <v>6742</v>
      </c>
      <c r="C14396" t="s">
        <v>27579</v>
      </c>
      <c r="D14396" t="s">
        <v>47339</v>
      </c>
      <c r="E14396" t="b">
        <v>0</v>
      </c>
      <c r="F14396" t="s">
        <v>11624</v>
      </c>
      <c r="G14396">
        <v>3.6044700000000001</v>
      </c>
      <c r="H14396">
        <v>27.652899999999999</v>
      </c>
      <c r="I14396" t="s">
        <v>47340</v>
      </c>
      <c r="L14396">
        <v>0</v>
      </c>
      <c r="M14396">
        <v>0</v>
      </c>
      <c r="N14396">
        <v>0</v>
      </c>
      <c r="O14396" t="s">
        <v>14825</v>
      </c>
    </row>
    <row r="14397" spans="1:15">
      <c r="A14397" t="s">
        <v>27580</v>
      </c>
      <c r="B14397" t="s">
        <v>6742</v>
      </c>
      <c r="C14397" t="s">
        <v>37193</v>
      </c>
      <c r="D14397" t="s">
        <v>47341</v>
      </c>
      <c r="E14397" t="b">
        <v>0</v>
      </c>
      <c r="F14397" t="s">
        <v>11622</v>
      </c>
      <c r="L14397">
        <v>4</v>
      </c>
      <c r="M14397">
        <v>8</v>
      </c>
      <c r="N14397">
        <v>2</v>
      </c>
    </row>
    <row r="14398" spans="1:15">
      <c r="A14398" t="s">
        <v>47342</v>
      </c>
      <c r="B14398" t="s">
        <v>6742</v>
      </c>
      <c r="C14398" t="s">
        <v>43505</v>
      </c>
      <c r="D14398" t="s">
        <v>47343</v>
      </c>
      <c r="E14398" t="b">
        <v>0</v>
      </c>
      <c r="F14398" t="s">
        <v>11624</v>
      </c>
      <c r="G14398">
        <v>3.27251</v>
      </c>
      <c r="H14398">
        <v>23.5669</v>
      </c>
      <c r="I14398" t="s">
        <v>47344</v>
      </c>
      <c r="L14398">
        <v>0</v>
      </c>
      <c r="M14398">
        <v>0</v>
      </c>
      <c r="N14398">
        <v>0</v>
      </c>
      <c r="O14398" t="s">
        <v>14825</v>
      </c>
    </row>
    <row r="14399" spans="1:15">
      <c r="A14399" t="s">
        <v>43505</v>
      </c>
      <c r="B14399" t="s">
        <v>6742</v>
      </c>
      <c r="C14399" t="s">
        <v>31383</v>
      </c>
      <c r="D14399" t="s">
        <v>47345</v>
      </c>
      <c r="E14399" t="b">
        <v>0</v>
      </c>
      <c r="F14399" t="s">
        <v>11622</v>
      </c>
      <c r="L14399">
        <v>0</v>
      </c>
      <c r="M14399">
        <v>2</v>
      </c>
      <c r="N14399">
        <v>0</v>
      </c>
    </row>
    <row r="14400" spans="1:15">
      <c r="A14400" t="s">
        <v>47346</v>
      </c>
      <c r="B14400" t="s">
        <v>6742</v>
      </c>
      <c r="C14400" t="s">
        <v>16533</v>
      </c>
      <c r="D14400" t="s">
        <v>47347</v>
      </c>
      <c r="E14400" t="b">
        <v>0</v>
      </c>
      <c r="F14400" t="s">
        <v>11624</v>
      </c>
      <c r="G14400">
        <v>3.8224499999999999</v>
      </c>
      <c r="H14400">
        <v>18.718299999999999</v>
      </c>
      <c r="I14400" t="s">
        <v>47348</v>
      </c>
      <c r="L14400">
        <v>0</v>
      </c>
      <c r="M14400">
        <v>0</v>
      </c>
      <c r="N14400">
        <v>0</v>
      </c>
      <c r="O14400" t="s">
        <v>13069</v>
      </c>
    </row>
    <row r="14401" spans="1:15">
      <c r="A14401" t="s">
        <v>47349</v>
      </c>
      <c r="B14401" t="s">
        <v>6742</v>
      </c>
      <c r="C14401" t="s">
        <v>39327</v>
      </c>
      <c r="D14401" t="s">
        <v>47350</v>
      </c>
      <c r="E14401" t="b">
        <v>0</v>
      </c>
      <c r="F14401" t="s">
        <v>11610</v>
      </c>
      <c r="L14401">
        <v>0</v>
      </c>
      <c r="M14401">
        <v>0</v>
      </c>
      <c r="N14401">
        <v>0</v>
      </c>
    </row>
    <row r="14402" spans="1:15">
      <c r="A14402" t="s">
        <v>47351</v>
      </c>
      <c r="B14402" t="s">
        <v>6742</v>
      </c>
      <c r="C14402" t="s">
        <v>16286</v>
      </c>
      <c r="D14402" t="s">
        <v>47352</v>
      </c>
      <c r="E14402" t="b">
        <v>0</v>
      </c>
      <c r="F14402" t="s">
        <v>11610</v>
      </c>
      <c r="L14402">
        <v>0</v>
      </c>
      <c r="M14402">
        <v>0</v>
      </c>
      <c r="N14402">
        <v>0</v>
      </c>
    </row>
    <row r="14403" spans="1:15">
      <c r="A14403" t="s">
        <v>18031</v>
      </c>
      <c r="B14403" t="s">
        <v>6742</v>
      </c>
      <c r="C14403" t="s">
        <v>34783</v>
      </c>
      <c r="D14403" t="s">
        <v>47353</v>
      </c>
      <c r="E14403" t="b">
        <v>0</v>
      </c>
      <c r="F14403" t="s">
        <v>11624</v>
      </c>
      <c r="G14403">
        <v>1.81314</v>
      </c>
      <c r="H14403">
        <v>24.875399999999999</v>
      </c>
      <c r="I14403" t="s">
        <v>47354</v>
      </c>
      <c r="L14403">
        <v>0</v>
      </c>
      <c r="M14403">
        <v>0</v>
      </c>
      <c r="N14403">
        <v>4</v>
      </c>
      <c r="O14403" t="s">
        <v>14825</v>
      </c>
    </row>
    <row r="14404" spans="1:15">
      <c r="A14404" t="s">
        <v>47355</v>
      </c>
      <c r="B14404" t="s">
        <v>11644</v>
      </c>
      <c r="C14404" t="s">
        <v>28687</v>
      </c>
      <c r="D14404" t="s">
        <v>47356</v>
      </c>
      <c r="E14404" t="b">
        <v>0</v>
      </c>
      <c r="F14404" t="s">
        <v>11610</v>
      </c>
      <c r="L14404">
        <v>0</v>
      </c>
      <c r="M14404">
        <v>0</v>
      </c>
      <c r="N14404">
        <v>0</v>
      </c>
    </row>
    <row r="14405" spans="1:15">
      <c r="A14405" t="s">
        <v>47357</v>
      </c>
      <c r="B14405" t="s">
        <v>6742</v>
      </c>
      <c r="C14405" t="s">
        <v>29173</v>
      </c>
      <c r="D14405" t="s">
        <v>47358</v>
      </c>
      <c r="E14405" t="b">
        <v>0</v>
      </c>
      <c r="F14405" t="s">
        <v>11610</v>
      </c>
      <c r="L14405">
        <v>0</v>
      </c>
      <c r="M14405">
        <v>0</v>
      </c>
      <c r="N14405">
        <v>0</v>
      </c>
    </row>
    <row r="14406" spans="1:15">
      <c r="A14406" t="s">
        <v>15375</v>
      </c>
      <c r="B14406" t="s">
        <v>6742</v>
      </c>
      <c r="C14406" t="s">
        <v>43633</v>
      </c>
      <c r="D14406" t="s">
        <v>47359</v>
      </c>
      <c r="E14406" t="b">
        <v>0</v>
      </c>
      <c r="F14406" t="s">
        <v>11622</v>
      </c>
      <c r="L14406">
        <v>1</v>
      </c>
      <c r="M14406">
        <v>9</v>
      </c>
      <c r="N14406">
        <v>16</v>
      </c>
    </row>
    <row r="14407" spans="1:15">
      <c r="A14407" t="s">
        <v>12956</v>
      </c>
      <c r="B14407" t="s">
        <v>6742</v>
      </c>
      <c r="C14407" t="s">
        <v>15375</v>
      </c>
      <c r="D14407" t="s">
        <v>47360</v>
      </c>
      <c r="E14407" t="b">
        <v>0</v>
      </c>
      <c r="F14407" t="s">
        <v>11624</v>
      </c>
      <c r="G14407">
        <v>5.9786400000000004</v>
      </c>
      <c r="H14407">
        <v>10.1469</v>
      </c>
      <c r="I14407" t="s">
        <v>47361</v>
      </c>
      <c r="L14407">
        <v>0</v>
      </c>
      <c r="M14407">
        <v>0</v>
      </c>
      <c r="N14407">
        <v>10</v>
      </c>
      <c r="O14407" t="s">
        <v>11703</v>
      </c>
    </row>
    <row r="14408" spans="1:15">
      <c r="A14408" t="s">
        <v>47362</v>
      </c>
      <c r="B14408" t="s">
        <v>21516</v>
      </c>
      <c r="C14408" t="s">
        <v>36819</v>
      </c>
      <c r="D14408" t="s">
        <v>47363</v>
      </c>
      <c r="E14408" t="b">
        <v>0</v>
      </c>
      <c r="F14408" t="s">
        <v>11610</v>
      </c>
      <c r="L14408">
        <v>0</v>
      </c>
      <c r="M14408">
        <v>0</v>
      </c>
      <c r="N14408">
        <v>0</v>
      </c>
    </row>
    <row r="14409" spans="1:15">
      <c r="A14409" t="s">
        <v>47364</v>
      </c>
      <c r="B14409" t="s">
        <v>11644</v>
      </c>
      <c r="C14409" t="s">
        <v>27713</v>
      </c>
      <c r="D14409" t="s">
        <v>47365</v>
      </c>
      <c r="E14409" t="b">
        <v>0</v>
      </c>
      <c r="F14409" t="s">
        <v>11610</v>
      </c>
      <c r="L14409">
        <v>0</v>
      </c>
      <c r="M14409">
        <v>0</v>
      </c>
      <c r="N14409">
        <v>0</v>
      </c>
    </row>
    <row r="14410" spans="1:15">
      <c r="A14410" t="s">
        <v>47366</v>
      </c>
      <c r="B14410" t="s">
        <v>45884</v>
      </c>
      <c r="C14410" t="s">
        <v>46468</v>
      </c>
      <c r="D14410" t="s">
        <v>47367</v>
      </c>
      <c r="E14410" t="b">
        <v>0</v>
      </c>
      <c r="F14410" t="s">
        <v>11610</v>
      </c>
      <c r="L14410">
        <v>0</v>
      </c>
      <c r="M14410">
        <v>0</v>
      </c>
      <c r="N14410">
        <v>0</v>
      </c>
    </row>
    <row r="14411" spans="1:15">
      <c r="A14411" t="s">
        <v>47368</v>
      </c>
      <c r="B14411" t="s">
        <v>6742</v>
      </c>
      <c r="C14411" t="s">
        <v>20592</v>
      </c>
      <c r="D14411" t="s">
        <v>47369</v>
      </c>
      <c r="E14411" t="b">
        <v>0</v>
      </c>
      <c r="F14411" t="s">
        <v>11610</v>
      </c>
      <c r="L14411">
        <v>0</v>
      </c>
      <c r="M14411">
        <v>0</v>
      </c>
      <c r="N14411">
        <v>0</v>
      </c>
    </row>
    <row r="14412" spans="1:15">
      <c r="A14412" t="s">
        <v>47370</v>
      </c>
      <c r="B14412" t="s">
        <v>6742</v>
      </c>
      <c r="C14412" t="s">
        <v>24810</v>
      </c>
      <c r="D14412" t="s">
        <v>47371</v>
      </c>
      <c r="E14412" t="b">
        <v>0</v>
      </c>
      <c r="F14412" t="s">
        <v>11610</v>
      </c>
      <c r="L14412">
        <v>0</v>
      </c>
      <c r="M14412">
        <v>0</v>
      </c>
      <c r="N14412">
        <v>0</v>
      </c>
    </row>
    <row r="14413" spans="1:15">
      <c r="A14413" t="s">
        <v>47372</v>
      </c>
      <c r="B14413" t="s">
        <v>367</v>
      </c>
      <c r="C14413" t="s">
        <v>38485</v>
      </c>
      <c r="D14413" t="s">
        <v>47373</v>
      </c>
      <c r="E14413" t="b">
        <v>0</v>
      </c>
      <c r="F14413" t="s">
        <v>11610</v>
      </c>
      <c r="L14413">
        <v>0</v>
      </c>
      <c r="M14413">
        <v>0</v>
      </c>
      <c r="N14413">
        <v>0</v>
      </c>
    </row>
    <row r="14414" spans="1:15">
      <c r="A14414" t="s">
        <v>31383</v>
      </c>
      <c r="B14414" t="s">
        <v>6742</v>
      </c>
      <c r="C14414" t="s">
        <v>27580</v>
      </c>
      <c r="D14414" t="s">
        <v>47374</v>
      </c>
      <c r="E14414" t="b">
        <v>0</v>
      </c>
      <c r="F14414" t="s">
        <v>11622</v>
      </c>
      <c r="L14414">
        <v>2</v>
      </c>
      <c r="M14414">
        <v>5</v>
      </c>
      <c r="N14414">
        <v>2</v>
      </c>
    </row>
    <row r="14415" spans="1:15">
      <c r="A14415" t="s">
        <v>47375</v>
      </c>
      <c r="B14415" t="s">
        <v>13276</v>
      </c>
      <c r="C14415" t="s">
        <v>17971</v>
      </c>
      <c r="D14415" t="s">
        <v>47376</v>
      </c>
      <c r="E14415" t="b">
        <v>0</v>
      </c>
      <c r="F14415" t="s">
        <v>11624</v>
      </c>
      <c r="G14415">
        <v>7.76</v>
      </c>
      <c r="H14415">
        <v>-3.97</v>
      </c>
      <c r="I14415" t="s">
        <v>47377</v>
      </c>
      <c r="L14415">
        <v>0</v>
      </c>
      <c r="M14415">
        <v>0</v>
      </c>
      <c r="N14415">
        <v>0</v>
      </c>
      <c r="O14415" t="s">
        <v>11735</v>
      </c>
    </row>
    <row r="14416" spans="1:15">
      <c r="A14416" t="s">
        <v>47378</v>
      </c>
      <c r="B14416" t="s">
        <v>6742</v>
      </c>
      <c r="C14416" t="s">
        <v>23041</v>
      </c>
      <c r="D14416" t="s">
        <v>47379</v>
      </c>
      <c r="E14416" t="b">
        <v>0</v>
      </c>
      <c r="F14416" t="s">
        <v>11624</v>
      </c>
      <c r="G14416">
        <v>-13.88747</v>
      </c>
      <c r="H14416">
        <v>13.128019999999999</v>
      </c>
      <c r="I14416" t="s">
        <v>47380</v>
      </c>
      <c r="L14416">
        <v>0</v>
      </c>
      <c r="M14416">
        <v>0</v>
      </c>
      <c r="N14416">
        <v>0</v>
      </c>
      <c r="O14416" t="s">
        <v>19290</v>
      </c>
    </row>
    <row r="14417" spans="1:15">
      <c r="A14417" t="s">
        <v>47381</v>
      </c>
      <c r="B14417" t="s">
        <v>12438</v>
      </c>
      <c r="C14417" t="s">
        <v>47382</v>
      </c>
      <c r="D14417" t="s">
        <v>47383</v>
      </c>
      <c r="E14417" t="b">
        <v>0</v>
      </c>
      <c r="F14417" t="s">
        <v>11624</v>
      </c>
      <c r="G14417">
        <v>15.6211</v>
      </c>
      <c r="H14417">
        <v>106.877</v>
      </c>
      <c r="I14417" t="s">
        <v>47384</v>
      </c>
      <c r="L14417">
        <v>0</v>
      </c>
      <c r="M14417">
        <v>0</v>
      </c>
      <c r="N14417">
        <v>0</v>
      </c>
      <c r="O14417" t="s">
        <v>12921</v>
      </c>
    </row>
    <row r="14418" spans="1:15">
      <c r="A14418" t="s">
        <v>26600</v>
      </c>
      <c r="B14418" t="s">
        <v>367</v>
      </c>
      <c r="C14418" t="s">
        <v>47385</v>
      </c>
      <c r="D14418" t="s">
        <v>47386</v>
      </c>
      <c r="E14418" t="b">
        <v>0</v>
      </c>
      <c r="F14418" t="s">
        <v>11622</v>
      </c>
      <c r="L14418">
        <v>4</v>
      </c>
      <c r="M14418">
        <v>6</v>
      </c>
      <c r="N14418">
        <v>3</v>
      </c>
    </row>
    <row r="14419" spans="1:15">
      <c r="A14419" t="s">
        <v>47385</v>
      </c>
      <c r="B14419" t="s">
        <v>367</v>
      </c>
      <c r="C14419" t="s">
        <v>31743</v>
      </c>
      <c r="D14419" t="s">
        <v>47387</v>
      </c>
      <c r="E14419" t="b">
        <v>0</v>
      </c>
      <c r="F14419" t="s">
        <v>11622</v>
      </c>
      <c r="L14419">
        <v>21</v>
      </c>
      <c r="M14419">
        <v>44</v>
      </c>
      <c r="N14419">
        <v>50</v>
      </c>
    </row>
    <row r="14420" spans="1:15">
      <c r="A14420" t="s">
        <v>47388</v>
      </c>
      <c r="B14420" t="s">
        <v>367</v>
      </c>
      <c r="C14420" t="s">
        <v>38485</v>
      </c>
      <c r="D14420" t="s">
        <v>47389</v>
      </c>
      <c r="E14420" t="b">
        <v>0</v>
      </c>
      <c r="F14420" t="s">
        <v>11610</v>
      </c>
      <c r="L14420">
        <v>0</v>
      </c>
      <c r="M14420">
        <v>0</v>
      </c>
      <c r="N14420">
        <v>0</v>
      </c>
    </row>
    <row r="14421" spans="1:15">
      <c r="A14421" t="s">
        <v>47390</v>
      </c>
      <c r="B14421" t="s">
        <v>11607</v>
      </c>
      <c r="C14421" t="s">
        <v>31010</v>
      </c>
      <c r="D14421" t="s">
        <v>47391</v>
      </c>
      <c r="E14421" t="b">
        <v>0</v>
      </c>
      <c r="F14421" t="s">
        <v>11624</v>
      </c>
      <c r="G14421">
        <v>9.3190200000000001</v>
      </c>
      <c r="H14421">
        <v>15.29053</v>
      </c>
      <c r="I14421" t="s">
        <v>47392</v>
      </c>
      <c r="L14421">
        <v>0</v>
      </c>
      <c r="M14421">
        <v>0</v>
      </c>
      <c r="N14421">
        <v>0</v>
      </c>
      <c r="O14421" t="s">
        <v>13421</v>
      </c>
    </row>
    <row r="14422" spans="1:15">
      <c r="A14422" t="s">
        <v>47393</v>
      </c>
      <c r="B14422" t="s">
        <v>367</v>
      </c>
      <c r="C14422" t="s">
        <v>36889</v>
      </c>
      <c r="D14422" t="s">
        <v>47394</v>
      </c>
      <c r="E14422" t="b">
        <v>0</v>
      </c>
      <c r="F14422" t="s">
        <v>11610</v>
      </c>
      <c r="L14422">
        <v>0</v>
      </c>
      <c r="M14422">
        <v>0</v>
      </c>
      <c r="N14422">
        <v>0</v>
      </c>
    </row>
    <row r="14423" spans="1:15">
      <c r="A14423" t="s">
        <v>20080</v>
      </c>
      <c r="B14423" t="s">
        <v>367</v>
      </c>
      <c r="C14423" t="s">
        <v>47395</v>
      </c>
      <c r="D14423" t="s">
        <v>47396</v>
      </c>
      <c r="E14423" t="b">
        <v>0</v>
      </c>
      <c r="F14423" t="s">
        <v>11622</v>
      </c>
      <c r="L14423">
        <v>0</v>
      </c>
      <c r="M14423">
        <v>2</v>
      </c>
      <c r="N14423">
        <v>2</v>
      </c>
    </row>
    <row r="14424" spans="1:15">
      <c r="A14424" t="s">
        <v>47397</v>
      </c>
      <c r="B14424" t="s">
        <v>11615</v>
      </c>
      <c r="C14424" t="s">
        <v>5593</v>
      </c>
      <c r="D14424" t="s">
        <v>47398</v>
      </c>
      <c r="E14424" t="b">
        <v>0</v>
      </c>
      <c r="F14424" t="s">
        <v>11624</v>
      </c>
      <c r="G14424">
        <v>-3.6273499999999999</v>
      </c>
      <c r="H14424">
        <v>139.011</v>
      </c>
      <c r="I14424" t="s">
        <v>47399</v>
      </c>
      <c r="L14424">
        <v>0</v>
      </c>
      <c r="M14424">
        <v>0</v>
      </c>
      <c r="N14424">
        <v>0</v>
      </c>
      <c r="O14424" t="s">
        <v>11768</v>
      </c>
    </row>
    <row r="14425" spans="1:15">
      <c r="A14425" t="s">
        <v>47400</v>
      </c>
      <c r="B14425" t="s">
        <v>11607</v>
      </c>
      <c r="C14425" t="s">
        <v>20453</v>
      </c>
      <c r="D14425" t="s">
        <v>47401</v>
      </c>
      <c r="E14425" t="b">
        <v>0</v>
      </c>
      <c r="F14425" t="s">
        <v>11624</v>
      </c>
      <c r="G14425">
        <v>10.6058</v>
      </c>
      <c r="H14425">
        <v>12.923400000000001</v>
      </c>
      <c r="I14425" t="s">
        <v>47402</v>
      </c>
      <c r="L14425">
        <v>0</v>
      </c>
      <c r="M14425">
        <v>0</v>
      </c>
      <c r="N14425">
        <v>0</v>
      </c>
      <c r="O14425" t="s">
        <v>11693</v>
      </c>
    </row>
    <row r="14426" spans="1:15">
      <c r="A14426" t="s">
        <v>47403</v>
      </c>
      <c r="B14426" t="s">
        <v>11607</v>
      </c>
      <c r="C14426" t="s">
        <v>24344</v>
      </c>
      <c r="D14426" t="s">
        <v>47404</v>
      </c>
      <c r="E14426" t="b">
        <v>0</v>
      </c>
      <c r="F14426" t="s">
        <v>11610</v>
      </c>
      <c r="L14426">
        <v>0</v>
      </c>
      <c r="M14426">
        <v>0</v>
      </c>
      <c r="N14426">
        <v>0</v>
      </c>
    </row>
    <row r="14427" spans="1:15">
      <c r="A14427" t="s">
        <v>16212</v>
      </c>
      <c r="B14427" t="s">
        <v>6742</v>
      </c>
      <c r="C14427" t="s">
        <v>16434</v>
      </c>
      <c r="D14427" t="s">
        <v>47405</v>
      </c>
      <c r="E14427" t="b">
        <v>0</v>
      </c>
      <c r="F14427" t="s">
        <v>11624</v>
      </c>
      <c r="G14427">
        <v>5.5677700000000003</v>
      </c>
      <c r="H14427">
        <v>10.1266</v>
      </c>
      <c r="I14427" t="s">
        <v>47406</v>
      </c>
      <c r="L14427">
        <v>0</v>
      </c>
      <c r="M14427">
        <v>0</v>
      </c>
      <c r="N14427">
        <v>3</v>
      </c>
      <c r="O14427" t="s">
        <v>11703</v>
      </c>
    </row>
    <row r="14428" spans="1:15">
      <c r="A14428" t="s">
        <v>44063</v>
      </c>
      <c r="B14428" t="s">
        <v>6742</v>
      </c>
      <c r="C14428" t="s">
        <v>47407</v>
      </c>
      <c r="D14428" t="s">
        <v>47408</v>
      </c>
      <c r="E14428" t="b">
        <v>0</v>
      </c>
      <c r="F14428" t="s">
        <v>11624</v>
      </c>
      <c r="G14428">
        <v>5.9385199999999996</v>
      </c>
      <c r="H14428">
        <v>9.7938899999999993</v>
      </c>
      <c r="I14428" t="s">
        <v>47409</v>
      </c>
      <c r="L14428">
        <v>0</v>
      </c>
      <c r="M14428">
        <v>0</v>
      </c>
      <c r="N14428">
        <v>1</v>
      </c>
      <c r="O14428" t="s">
        <v>11703</v>
      </c>
    </row>
    <row r="14429" spans="1:15">
      <c r="A14429" t="s">
        <v>47407</v>
      </c>
      <c r="B14429" t="s">
        <v>6742</v>
      </c>
      <c r="C14429" t="s">
        <v>45134</v>
      </c>
      <c r="D14429" t="s">
        <v>47410</v>
      </c>
      <c r="E14429" t="b">
        <v>0</v>
      </c>
      <c r="F14429" t="s">
        <v>11622</v>
      </c>
      <c r="L14429">
        <v>0</v>
      </c>
      <c r="M14429">
        <v>2</v>
      </c>
      <c r="N14429">
        <v>1</v>
      </c>
    </row>
    <row r="14430" spans="1:15">
      <c r="A14430" t="s">
        <v>23824</v>
      </c>
      <c r="B14430" t="s">
        <v>3165</v>
      </c>
      <c r="C14430" t="s">
        <v>11917</v>
      </c>
      <c r="D14430" t="s">
        <v>47411</v>
      </c>
      <c r="E14430" t="b">
        <v>0</v>
      </c>
      <c r="F14430" t="s">
        <v>11622</v>
      </c>
      <c r="L14430">
        <v>0</v>
      </c>
      <c r="M14430">
        <v>2</v>
      </c>
      <c r="N14430">
        <v>4</v>
      </c>
    </row>
    <row r="14431" spans="1:15">
      <c r="A14431" t="s">
        <v>12432</v>
      </c>
      <c r="B14431" t="s">
        <v>3165</v>
      </c>
      <c r="C14431" t="s">
        <v>23824</v>
      </c>
      <c r="D14431" t="s">
        <v>47412</v>
      </c>
      <c r="E14431" t="b">
        <v>0</v>
      </c>
      <c r="F14431" t="s">
        <v>11624</v>
      </c>
      <c r="G14431">
        <v>10.7194</v>
      </c>
      <c r="H14431">
        <v>29.997</v>
      </c>
      <c r="I14431" t="s">
        <v>47413</v>
      </c>
      <c r="L14431">
        <v>0</v>
      </c>
      <c r="M14431">
        <v>0</v>
      </c>
      <c r="N14431">
        <v>4</v>
      </c>
      <c r="O14431" t="s">
        <v>11910</v>
      </c>
    </row>
    <row r="14432" spans="1:15">
      <c r="A14432" t="s">
        <v>47414</v>
      </c>
      <c r="B14432" t="s">
        <v>6742</v>
      </c>
      <c r="C14432" t="s">
        <v>46800</v>
      </c>
      <c r="D14432" t="s">
        <v>47415</v>
      </c>
      <c r="E14432" t="b">
        <v>0</v>
      </c>
      <c r="F14432" t="s">
        <v>11624</v>
      </c>
      <c r="G14432">
        <v>-9.7814499999999995</v>
      </c>
      <c r="H14432">
        <v>37.983199999999997</v>
      </c>
      <c r="I14432" t="s">
        <v>47416</v>
      </c>
      <c r="L14432">
        <v>0</v>
      </c>
      <c r="M14432">
        <v>0</v>
      </c>
      <c r="N14432">
        <v>0</v>
      </c>
      <c r="O14432" t="s">
        <v>11635</v>
      </c>
    </row>
    <row r="14433" spans="1:15">
      <c r="A14433" t="s">
        <v>47417</v>
      </c>
      <c r="B14433" t="s">
        <v>21516</v>
      </c>
      <c r="C14433" t="s">
        <v>36819</v>
      </c>
      <c r="D14433" t="s">
        <v>47418</v>
      </c>
      <c r="E14433" t="b">
        <v>0</v>
      </c>
      <c r="F14433" t="s">
        <v>11610</v>
      </c>
      <c r="L14433">
        <v>0</v>
      </c>
      <c r="M14433">
        <v>0</v>
      </c>
      <c r="N14433">
        <v>0</v>
      </c>
    </row>
    <row r="14434" spans="1:15">
      <c r="A14434" t="s">
        <v>47419</v>
      </c>
      <c r="B14434" t="s">
        <v>367</v>
      </c>
      <c r="C14434" t="s">
        <v>28297</v>
      </c>
      <c r="D14434" t="s">
        <v>47420</v>
      </c>
      <c r="E14434" t="b">
        <v>0</v>
      </c>
      <c r="F14434" t="s">
        <v>11610</v>
      </c>
      <c r="L14434">
        <v>0</v>
      </c>
      <c r="M14434">
        <v>0</v>
      </c>
      <c r="N14434">
        <v>0</v>
      </c>
    </row>
    <row r="14435" spans="1:15">
      <c r="A14435" t="s">
        <v>47421</v>
      </c>
      <c r="B14435" t="s">
        <v>10597</v>
      </c>
      <c r="C14435" t="s">
        <v>47422</v>
      </c>
      <c r="D14435" t="s">
        <v>47423</v>
      </c>
      <c r="E14435" t="b">
        <v>0</v>
      </c>
      <c r="F14435" t="s">
        <v>11610</v>
      </c>
      <c r="L14435">
        <v>0</v>
      </c>
      <c r="M14435">
        <v>0</v>
      </c>
      <c r="N14435">
        <v>0</v>
      </c>
    </row>
    <row r="14436" spans="1:15">
      <c r="A14436" t="s">
        <v>47424</v>
      </c>
      <c r="B14436" t="s">
        <v>21516</v>
      </c>
      <c r="C14436" t="s">
        <v>36819</v>
      </c>
      <c r="D14436" t="s">
        <v>47425</v>
      </c>
      <c r="E14436" t="b">
        <v>0</v>
      </c>
      <c r="F14436" t="s">
        <v>11610</v>
      </c>
      <c r="L14436">
        <v>0</v>
      </c>
      <c r="M14436">
        <v>0</v>
      </c>
      <c r="N14436">
        <v>0</v>
      </c>
    </row>
    <row r="14437" spans="1:15">
      <c r="A14437" t="s">
        <v>41245</v>
      </c>
      <c r="B14437" t="s">
        <v>6742</v>
      </c>
      <c r="C14437" t="s">
        <v>29724</v>
      </c>
      <c r="D14437" t="s">
        <v>47426</v>
      </c>
      <c r="E14437" t="b">
        <v>0</v>
      </c>
      <c r="F14437" t="s">
        <v>11622</v>
      </c>
      <c r="L14437">
        <v>19</v>
      </c>
      <c r="M14437">
        <v>32</v>
      </c>
      <c r="N14437">
        <v>53</v>
      </c>
    </row>
    <row r="14438" spans="1:15">
      <c r="A14438" t="s">
        <v>47427</v>
      </c>
      <c r="B14438" t="s">
        <v>6742</v>
      </c>
      <c r="C14438" t="s">
        <v>41245</v>
      </c>
      <c r="D14438" t="s">
        <v>47428</v>
      </c>
      <c r="E14438" t="b">
        <v>0</v>
      </c>
      <c r="F14438" t="s">
        <v>11622</v>
      </c>
      <c r="L14438">
        <v>12</v>
      </c>
      <c r="M14438">
        <v>21</v>
      </c>
      <c r="N14438">
        <v>20</v>
      </c>
    </row>
    <row r="14439" spans="1:15">
      <c r="A14439" t="s">
        <v>16464</v>
      </c>
      <c r="B14439" t="s">
        <v>6742</v>
      </c>
      <c r="C14439" t="s">
        <v>41245</v>
      </c>
      <c r="D14439" t="s">
        <v>47429</v>
      </c>
      <c r="E14439" t="b">
        <v>0</v>
      </c>
      <c r="F14439" t="s">
        <v>11622</v>
      </c>
      <c r="L14439">
        <v>2</v>
      </c>
      <c r="M14439">
        <v>6</v>
      </c>
      <c r="N14439">
        <v>15</v>
      </c>
    </row>
    <row r="14440" spans="1:15">
      <c r="A14440" t="s">
        <v>15592</v>
      </c>
      <c r="B14440" t="s">
        <v>6742</v>
      </c>
      <c r="C14440" t="s">
        <v>47427</v>
      </c>
      <c r="D14440" t="s">
        <v>47430</v>
      </c>
      <c r="E14440" t="b">
        <v>0</v>
      </c>
      <c r="F14440" t="s">
        <v>11622</v>
      </c>
      <c r="L14440">
        <v>0</v>
      </c>
      <c r="M14440">
        <v>3</v>
      </c>
      <c r="N14440">
        <v>0</v>
      </c>
    </row>
    <row r="14441" spans="1:15">
      <c r="A14441" t="s">
        <v>47431</v>
      </c>
      <c r="B14441" t="s">
        <v>6742</v>
      </c>
      <c r="C14441" t="s">
        <v>47427</v>
      </c>
      <c r="D14441" t="s">
        <v>47432</v>
      </c>
      <c r="E14441" t="b">
        <v>0</v>
      </c>
      <c r="F14441" t="s">
        <v>11622</v>
      </c>
      <c r="L14441">
        <v>10</v>
      </c>
      <c r="M14441">
        <v>18</v>
      </c>
      <c r="N14441">
        <v>20</v>
      </c>
    </row>
    <row r="14442" spans="1:15">
      <c r="A14442" t="s">
        <v>19186</v>
      </c>
      <c r="B14442" t="s">
        <v>6742</v>
      </c>
      <c r="C14442" t="s">
        <v>47431</v>
      </c>
      <c r="D14442" t="s">
        <v>47433</v>
      </c>
      <c r="E14442" t="b">
        <v>0</v>
      </c>
      <c r="F14442" t="s">
        <v>11622</v>
      </c>
      <c r="L14442">
        <v>1</v>
      </c>
      <c r="M14442">
        <v>4</v>
      </c>
      <c r="N14442">
        <v>3</v>
      </c>
    </row>
    <row r="14443" spans="1:15">
      <c r="A14443" t="s">
        <v>19013</v>
      </c>
      <c r="B14443" t="s">
        <v>6742</v>
      </c>
      <c r="C14443" t="s">
        <v>47431</v>
      </c>
      <c r="D14443" t="s">
        <v>47434</v>
      </c>
      <c r="E14443" t="b">
        <v>0</v>
      </c>
      <c r="F14443" t="s">
        <v>11622</v>
      </c>
      <c r="L14443">
        <v>7</v>
      </c>
      <c r="M14443">
        <v>14</v>
      </c>
      <c r="N14443">
        <v>17</v>
      </c>
    </row>
    <row r="14444" spans="1:15">
      <c r="A14444" t="s">
        <v>22031</v>
      </c>
      <c r="B14444" t="s">
        <v>11729</v>
      </c>
      <c r="C14444" t="s">
        <v>16271</v>
      </c>
      <c r="D14444" t="s">
        <v>47435</v>
      </c>
      <c r="E14444" t="b">
        <v>0</v>
      </c>
      <c r="F14444" t="s">
        <v>11624</v>
      </c>
      <c r="G14444">
        <v>1.3045500000000001</v>
      </c>
      <c r="H14444">
        <v>30.2242</v>
      </c>
      <c r="I14444" t="s">
        <v>47436</v>
      </c>
      <c r="L14444">
        <v>0</v>
      </c>
      <c r="M14444">
        <v>0</v>
      </c>
      <c r="N14444">
        <v>3</v>
      </c>
      <c r="O14444" t="s">
        <v>13208</v>
      </c>
    </row>
    <row r="14445" spans="1:15">
      <c r="A14445" t="s">
        <v>47437</v>
      </c>
      <c r="B14445" t="s">
        <v>11607</v>
      </c>
      <c r="C14445" t="s">
        <v>47438</v>
      </c>
      <c r="D14445" t="s">
        <v>47439</v>
      </c>
      <c r="E14445" t="b">
        <v>0</v>
      </c>
      <c r="F14445" t="s">
        <v>11624</v>
      </c>
      <c r="G14445">
        <v>12.1051</v>
      </c>
      <c r="H14445">
        <v>11.017799999999999</v>
      </c>
      <c r="I14445" t="s">
        <v>47440</v>
      </c>
      <c r="L14445">
        <v>0</v>
      </c>
      <c r="M14445">
        <v>0</v>
      </c>
      <c r="N14445">
        <v>0</v>
      </c>
      <c r="O14445" t="s">
        <v>11693</v>
      </c>
    </row>
    <row r="14446" spans="1:15">
      <c r="A14446" t="s">
        <v>47438</v>
      </c>
      <c r="B14446" t="s">
        <v>11607</v>
      </c>
      <c r="C14446" t="s">
        <v>25676</v>
      </c>
      <c r="D14446" t="s">
        <v>47441</v>
      </c>
      <c r="E14446" t="b">
        <v>0</v>
      </c>
      <c r="F14446" t="s">
        <v>11622</v>
      </c>
      <c r="L14446">
        <v>2</v>
      </c>
      <c r="M14446">
        <v>4</v>
      </c>
      <c r="N14446">
        <v>4</v>
      </c>
    </row>
    <row r="14447" spans="1:15">
      <c r="A14447" t="s">
        <v>47442</v>
      </c>
      <c r="B14447" t="s">
        <v>14005</v>
      </c>
      <c r="C14447" t="s">
        <v>15726</v>
      </c>
      <c r="D14447" t="s">
        <v>47443</v>
      </c>
      <c r="E14447" t="b">
        <v>0</v>
      </c>
      <c r="F14447" t="s">
        <v>11624</v>
      </c>
      <c r="G14447">
        <v>-8.8704400000000003</v>
      </c>
      <c r="H14447">
        <v>140.81800000000001</v>
      </c>
      <c r="I14447" t="s">
        <v>47444</v>
      </c>
      <c r="L14447">
        <v>0</v>
      </c>
      <c r="M14447">
        <v>0</v>
      </c>
      <c r="N14447">
        <v>0</v>
      </c>
      <c r="O14447" t="s">
        <v>24525</v>
      </c>
    </row>
    <row r="14448" spans="1:15">
      <c r="A14448" t="s">
        <v>15726</v>
      </c>
      <c r="B14448" t="s">
        <v>14005</v>
      </c>
      <c r="C14448" t="s">
        <v>47445</v>
      </c>
      <c r="D14448" t="s">
        <v>47446</v>
      </c>
      <c r="E14448" t="b">
        <v>0</v>
      </c>
      <c r="F14448" t="s">
        <v>11622</v>
      </c>
      <c r="L14448">
        <v>0</v>
      </c>
      <c r="M14448">
        <v>2</v>
      </c>
      <c r="N14448">
        <v>0</v>
      </c>
    </row>
    <row r="14449" spans="1:15">
      <c r="A14449" t="s">
        <v>47447</v>
      </c>
      <c r="B14449" t="s">
        <v>14005</v>
      </c>
      <c r="C14449" t="s">
        <v>47448</v>
      </c>
      <c r="D14449" t="s">
        <v>47449</v>
      </c>
      <c r="E14449" t="b">
        <v>0</v>
      </c>
      <c r="F14449" t="s">
        <v>11610</v>
      </c>
      <c r="L14449">
        <v>0</v>
      </c>
      <c r="M14449">
        <v>0</v>
      </c>
      <c r="N14449">
        <v>0</v>
      </c>
    </row>
    <row r="14450" spans="1:15">
      <c r="A14450" t="s">
        <v>47450</v>
      </c>
      <c r="B14450" t="s">
        <v>15146</v>
      </c>
      <c r="C14450" t="s">
        <v>15147</v>
      </c>
      <c r="D14450" t="s">
        <v>47451</v>
      </c>
      <c r="E14450" t="b">
        <v>0</v>
      </c>
      <c r="F14450" t="s">
        <v>11610</v>
      </c>
      <c r="L14450">
        <v>0</v>
      </c>
      <c r="M14450">
        <v>0</v>
      </c>
      <c r="N14450">
        <v>0</v>
      </c>
    </row>
    <row r="14451" spans="1:15">
      <c r="A14451" t="s">
        <v>47452</v>
      </c>
      <c r="B14451" t="s">
        <v>10597</v>
      </c>
      <c r="C14451" t="s">
        <v>12986</v>
      </c>
      <c r="D14451" t="s">
        <v>47453</v>
      </c>
      <c r="E14451" t="b">
        <v>0</v>
      </c>
      <c r="F14451" t="s">
        <v>11624</v>
      </c>
      <c r="G14451">
        <v>-12.740575</v>
      </c>
      <c r="H14451">
        <v>141.886762</v>
      </c>
      <c r="L14451">
        <v>0</v>
      </c>
      <c r="M14451">
        <v>0</v>
      </c>
      <c r="N14451">
        <v>0</v>
      </c>
      <c r="O14451" t="s">
        <v>12107</v>
      </c>
    </row>
    <row r="14452" spans="1:15">
      <c r="A14452" t="s">
        <v>47445</v>
      </c>
      <c r="B14452" t="s">
        <v>14005</v>
      </c>
      <c r="C14452" t="s">
        <v>34907</v>
      </c>
      <c r="D14452" t="s">
        <v>47454</v>
      </c>
      <c r="E14452" t="b">
        <v>0</v>
      </c>
      <c r="F14452" t="s">
        <v>11622</v>
      </c>
      <c r="L14452">
        <v>1</v>
      </c>
      <c r="M14452">
        <v>3</v>
      </c>
      <c r="N14452">
        <v>0</v>
      </c>
    </row>
    <row r="14453" spans="1:15">
      <c r="A14453" t="s">
        <v>47455</v>
      </c>
      <c r="B14453" t="s">
        <v>14005</v>
      </c>
      <c r="C14453" t="s">
        <v>17112</v>
      </c>
      <c r="D14453" t="s">
        <v>47456</v>
      </c>
      <c r="E14453" t="b">
        <v>0</v>
      </c>
      <c r="F14453" t="s">
        <v>11610</v>
      </c>
      <c r="L14453">
        <v>0</v>
      </c>
      <c r="M14453">
        <v>0</v>
      </c>
      <c r="N14453">
        <v>0</v>
      </c>
    </row>
    <row r="14454" spans="1:15">
      <c r="A14454" t="s">
        <v>47457</v>
      </c>
      <c r="B14454" t="s">
        <v>14005</v>
      </c>
      <c r="C14454" t="s">
        <v>47448</v>
      </c>
      <c r="D14454" t="s">
        <v>47458</v>
      </c>
      <c r="E14454" t="b">
        <v>0</v>
      </c>
      <c r="F14454" t="s">
        <v>11610</v>
      </c>
      <c r="L14454">
        <v>0</v>
      </c>
      <c r="M14454">
        <v>0</v>
      </c>
      <c r="N14454">
        <v>4</v>
      </c>
    </row>
    <row r="14455" spans="1:15">
      <c r="A14455" t="s">
        <v>17112</v>
      </c>
      <c r="B14455" t="s">
        <v>14005</v>
      </c>
      <c r="C14455" t="s">
        <v>47457</v>
      </c>
      <c r="D14455" t="s">
        <v>47459</v>
      </c>
      <c r="E14455" t="b">
        <v>0</v>
      </c>
      <c r="F14455" t="s">
        <v>11610</v>
      </c>
      <c r="L14455">
        <v>0</v>
      </c>
      <c r="M14455">
        <v>0</v>
      </c>
      <c r="N14455">
        <v>3</v>
      </c>
    </row>
    <row r="14456" spans="1:15">
      <c r="A14456" t="s">
        <v>47460</v>
      </c>
      <c r="B14456" t="s">
        <v>14005</v>
      </c>
      <c r="C14456" t="s">
        <v>17112</v>
      </c>
      <c r="D14456" t="s">
        <v>47461</v>
      </c>
      <c r="E14456" t="b">
        <v>0</v>
      </c>
      <c r="F14456" t="s">
        <v>11610</v>
      </c>
      <c r="L14456">
        <v>0</v>
      </c>
      <c r="M14456">
        <v>0</v>
      </c>
      <c r="N14456">
        <v>0</v>
      </c>
    </row>
    <row r="14457" spans="1:15">
      <c r="A14457" t="s">
        <v>47462</v>
      </c>
      <c r="B14457" t="s">
        <v>13276</v>
      </c>
      <c r="C14457" t="s">
        <v>20688</v>
      </c>
      <c r="D14457" t="s">
        <v>47463</v>
      </c>
      <c r="E14457" t="b">
        <v>0</v>
      </c>
      <c r="F14457" t="s">
        <v>11610</v>
      </c>
      <c r="L14457">
        <v>0</v>
      </c>
      <c r="M14457">
        <v>0</v>
      </c>
      <c r="N14457">
        <v>0</v>
      </c>
    </row>
    <row r="14458" spans="1:15">
      <c r="A14458" t="s">
        <v>47464</v>
      </c>
      <c r="B14458" t="s">
        <v>11644</v>
      </c>
      <c r="C14458" t="s">
        <v>11889</v>
      </c>
      <c r="D14458" t="s">
        <v>47465</v>
      </c>
      <c r="E14458" t="b">
        <v>0</v>
      </c>
      <c r="F14458" t="s">
        <v>11624</v>
      </c>
      <c r="L14458">
        <v>0</v>
      </c>
      <c r="M14458">
        <v>0</v>
      </c>
      <c r="N14458">
        <v>0</v>
      </c>
      <c r="O14458" t="s">
        <v>14059</v>
      </c>
    </row>
    <row r="14459" spans="1:15">
      <c r="A14459" t="s">
        <v>15760</v>
      </c>
      <c r="B14459" t="s">
        <v>6742</v>
      </c>
      <c r="C14459" t="s">
        <v>39741</v>
      </c>
      <c r="D14459" t="s">
        <v>47466</v>
      </c>
      <c r="E14459" t="b">
        <v>0</v>
      </c>
      <c r="F14459" t="s">
        <v>11622</v>
      </c>
      <c r="L14459">
        <v>2</v>
      </c>
      <c r="M14459">
        <v>5</v>
      </c>
      <c r="N14459">
        <v>20</v>
      </c>
    </row>
    <row r="14460" spans="1:15">
      <c r="A14460" t="s">
        <v>47467</v>
      </c>
      <c r="B14460" t="s">
        <v>11729</v>
      </c>
      <c r="C14460" t="s">
        <v>17623</v>
      </c>
      <c r="D14460" t="s">
        <v>47468</v>
      </c>
      <c r="E14460" t="b">
        <v>0</v>
      </c>
      <c r="F14460" t="s">
        <v>11610</v>
      </c>
      <c r="L14460">
        <v>0</v>
      </c>
      <c r="M14460">
        <v>0</v>
      </c>
      <c r="N14460">
        <v>0</v>
      </c>
    </row>
    <row r="14461" spans="1:15">
      <c r="A14461" t="s">
        <v>47469</v>
      </c>
      <c r="B14461" t="s">
        <v>11757</v>
      </c>
      <c r="C14461" t="s">
        <v>6594</v>
      </c>
      <c r="D14461" t="s">
        <v>47470</v>
      </c>
      <c r="E14461" t="b">
        <v>0</v>
      </c>
      <c r="F14461" t="s">
        <v>11610</v>
      </c>
      <c r="L14461">
        <v>0</v>
      </c>
      <c r="M14461">
        <v>0</v>
      </c>
      <c r="N14461">
        <v>0</v>
      </c>
    </row>
    <row r="14462" spans="1:15">
      <c r="A14462" t="s">
        <v>47471</v>
      </c>
      <c r="B14462" t="s">
        <v>11757</v>
      </c>
      <c r="C14462" t="s">
        <v>13126</v>
      </c>
      <c r="D14462" t="s">
        <v>47472</v>
      </c>
      <c r="E14462" t="b">
        <v>0</v>
      </c>
      <c r="F14462" t="s">
        <v>11610</v>
      </c>
      <c r="L14462">
        <v>0</v>
      </c>
      <c r="M14462">
        <v>0</v>
      </c>
      <c r="N14462">
        <v>0</v>
      </c>
    </row>
    <row r="14463" spans="1:15">
      <c r="A14463" t="s">
        <v>47473</v>
      </c>
      <c r="B14463" t="s">
        <v>6742</v>
      </c>
      <c r="C14463" t="s">
        <v>16541</v>
      </c>
      <c r="D14463" t="s">
        <v>47474</v>
      </c>
      <c r="E14463" t="b">
        <v>0</v>
      </c>
      <c r="F14463" t="s">
        <v>11610</v>
      </c>
      <c r="L14463">
        <v>0</v>
      </c>
      <c r="M14463">
        <v>0</v>
      </c>
      <c r="N14463">
        <v>0</v>
      </c>
    </row>
    <row r="14464" spans="1:15">
      <c r="A14464" t="s">
        <v>47475</v>
      </c>
      <c r="B14464" t="s">
        <v>6742</v>
      </c>
      <c r="C14464" t="s">
        <v>16209</v>
      </c>
      <c r="D14464" t="s">
        <v>47476</v>
      </c>
      <c r="E14464" t="b">
        <v>0</v>
      </c>
      <c r="F14464" t="s">
        <v>11610</v>
      </c>
      <c r="L14464">
        <v>0</v>
      </c>
      <c r="M14464">
        <v>0</v>
      </c>
      <c r="N14464">
        <v>0</v>
      </c>
    </row>
    <row r="14465" spans="1:15">
      <c r="A14465" t="s">
        <v>47477</v>
      </c>
      <c r="B14465" t="s">
        <v>6742</v>
      </c>
      <c r="C14465" t="s">
        <v>36523</v>
      </c>
      <c r="D14465" t="s">
        <v>47478</v>
      </c>
      <c r="E14465" t="b">
        <v>0</v>
      </c>
      <c r="F14465" t="s">
        <v>11610</v>
      </c>
      <c r="L14465">
        <v>0</v>
      </c>
      <c r="M14465">
        <v>0</v>
      </c>
      <c r="N14465">
        <v>0</v>
      </c>
    </row>
    <row r="14466" spans="1:15">
      <c r="A14466" t="s">
        <v>47479</v>
      </c>
      <c r="B14466" t="s">
        <v>6742</v>
      </c>
      <c r="C14466" t="s">
        <v>35060</v>
      </c>
      <c r="D14466" t="s">
        <v>47480</v>
      </c>
      <c r="E14466" t="b">
        <v>0</v>
      </c>
      <c r="F14466" t="s">
        <v>11610</v>
      </c>
      <c r="L14466">
        <v>0</v>
      </c>
      <c r="M14466">
        <v>0</v>
      </c>
      <c r="N14466">
        <v>0</v>
      </c>
    </row>
    <row r="14467" spans="1:15">
      <c r="A14467" t="s">
        <v>47481</v>
      </c>
      <c r="B14467" t="s">
        <v>11627</v>
      </c>
      <c r="C14467" t="s">
        <v>11627</v>
      </c>
      <c r="D14467" t="s">
        <v>47482</v>
      </c>
      <c r="E14467" t="b">
        <v>1</v>
      </c>
      <c r="F14467" t="s">
        <v>11624</v>
      </c>
      <c r="G14467">
        <v>3.9065799999999999</v>
      </c>
      <c r="H14467">
        <v>15.215400000000001</v>
      </c>
      <c r="I14467" t="s">
        <v>47483</v>
      </c>
      <c r="L14467">
        <v>0</v>
      </c>
      <c r="M14467">
        <v>0</v>
      </c>
      <c r="N14467">
        <v>0</v>
      </c>
      <c r="O14467" t="s">
        <v>16548</v>
      </c>
    </row>
    <row r="14468" spans="1:15">
      <c r="A14468" t="s">
        <v>47484</v>
      </c>
      <c r="B14468" t="s">
        <v>6742</v>
      </c>
      <c r="C14468" t="s">
        <v>17881</v>
      </c>
      <c r="D14468" t="s">
        <v>47485</v>
      </c>
      <c r="E14468" t="b">
        <v>0</v>
      </c>
      <c r="F14468" t="s">
        <v>11610</v>
      </c>
      <c r="L14468">
        <v>0</v>
      </c>
      <c r="M14468">
        <v>0</v>
      </c>
      <c r="N14468">
        <v>0</v>
      </c>
    </row>
    <row r="14469" spans="1:15">
      <c r="A14469" t="s">
        <v>18716</v>
      </c>
      <c r="B14469" t="s">
        <v>6742</v>
      </c>
      <c r="C14469" t="s">
        <v>40095</v>
      </c>
      <c r="D14469" t="s">
        <v>47486</v>
      </c>
      <c r="E14469" t="b">
        <v>0</v>
      </c>
      <c r="F14469" t="s">
        <v>11624</v>
      </c>
      <c r="G14469">
        <v>1.45357</v>
      </c>
      <c r="H14469">
        <v>20.141480000000001</v>
      </c>
      <c r="I14469" t="s">
        <v>47487</v>
      </c>
      <c r="L14469">
        <v>0</v>
      </c>
      <c r="M14469">
        <v>0</v>
      </c>
      <c r="N14469">
        <v>3</v>
      </c>
      <c r="O14469" t="s">
        <v>13069</v>
      </c>
    </row>
    <row r="14470" spans="1:15">
      <c r="A14470" t="s">
        <v>47488</v>
      </c>
      <c r="B14470" t="s">
        <v>6742</v>
      </c>
      <c r="C14470" t="s">
        <v>20592</v>
      </c>
      <c r="D14470" t="s">
        <v>47489</v>
      </c>
      <c r="E14470" t="b">
        <v>0</v>
      </c>
      <c r="F14470" t="s">
        <v>11610</v>
      </c>
      <c r="L14470">
        <v>0</v>
      </c>
      <c r="M14470">
        <v>0</v>
      </c>
      <c r="N14470">
        <v>0</v>
      </c>
    </row>
    <row r="14471" spans="1:15">
      <c r="A14471" t="s">
        <v>47490</v>
      </c>
      <c r="B14471" t="s">
        <v>6742</v>
      </c>
      <c r="C14471" t="s">
        <v>46078</v>
      </c>
      <c r="D14471" t="s">
        <v>47491</v>
      </c>
      <c r="E14471" t="b">
        <v>0</v>
      </c>
      <c r="F14471" t="s">
        <v>11624</v>
      </c>
      <c r="G14471">
        <v>0.88292499999999996</v>
      </c>
      <c r="H14471">
        <v>14.134499999999999</v>
      </c>
      <c r="I14471" t="s">
        <v>47492</v>
      </c>
      <c r="L14471">
        <v>0</v>
      </c>
      <c r="M14471">
        <v>0</v>
      </c>
      <c r="N14471">
        <v>0</v>
      </c>
      <c r="O14471" t="s">
        <v>20784</v>
      </c>
    </row>
    <row r="14472" spans="1:15">
      <c r="A14472" t="s">
        <v>15600</v>
      </c>
      <c r="B14472" t="s">
        <v>6742</v>
      </c>
      <c r="C14472" t="s">
        <v>16434</v>
      </c>
      <c r="D14472" t="s">
        <v>47493</v>
      </c>
      <c r="E14472" t="b">
        <v>0</v>
      </c>
      <c r="F14472" t="s">
        <v>11624</v>
      </c>
      <c r="G14472">
        <v>5.7030599999999998</v>
      </c>
      <c r="H14472">
        <v>10.144600000000001</v>
      </c>
      <c r="I14472" t="s">
        <v>47494</v>
      </c>
      <c r="L14472">
        <v>0</v>
      </c>
      <c r="M14472">
        <v>0</v>
      </c>
      <c r="N14472">
        <v>2</v>
      </c>
      <c r="O14472" t="s">
        <v>11703</v>
      </c>
    </row>
    <row r="14473" spans="1:15">
      <c r="A14473" t="s">
        <v>15630</v>
      </c>
      <c r="B14473" t="s">
        <v>6742</v>
      </c>
      <c r="C14473" t="s">
        <v>16434</v>
      </c>
      <c r="D14473" t="s">
        <v>47495</v>
      </c>
      <c r="E14473" t="b">
        <v>0</v>
      </c>
      <c r="F14473" t="s">
        <v>11624</v>
      </c>
      <c r="G14473">
        <v>5.6306700000000003</v>
      </c>
      <c r="H14473">
        <v>10.237</v>
      </c>
      <c r="I14473" t="s">
        <v>47496</v>
      </c>
      <c r="L14473">
        <v>0</v>
      </c>
      <c r="M14473">
        <v>0</v>
      </c>
      <c r="N14473">
        <v>5</v>
      </c>
      <c r="O14473" t="s">
        <v>11703</v>
      </c>
    </row>
    <row r="14474" spans="1:15">
      <c r="A14474" t="s">
        <v>43648</v>
      </c>
      <c r="B14474" t="s">
        <v>6742</v>
      </c>
      <c r="C14474" t="s">
        <v>29731</v>
      </c>
      <c r="D14474" t="s">
        <v>47497</v>
      </c>
      <c r="E14474" t="b">
        <v>0</v>
      </c>
      <c r="F14474" t="s">
        <v>11622</v>
      </c>
      <c r="L14474">
        <v>1</v>
      </c>
      <c r="M14474">
        <v>3</v>
      </c>
      <c r="N14474">
        <v>0</v>
      </c>
    </row>
    <row r="14475" spans="1:15">
      <c r="A14475" t="s">
        <v>40095</v>
      </c>
      <c r="B14475" t="s">
        <v>6742</v>
      </c>
      <c r="C14475" t="s">
        <v>16464</v>
      </c>
      <c r="D14475" t="s">
        <v>47498</v>
      </c>
      <c r="E14475" t="b">
        <v>0</v>
      </c>
      <c r="F14475" t="s">
        <v>11622</v>
      </c>
      <c r="L14475">
        <v>0</v>
      </c>
      <c r="M14475">
        <v>2</v>
      </c>
      <c r="N14475">
        <v>7</v>
      </c>
    </row>
    <row r="14476" spans="1:15">
      <c r="A14476" t="s">
        <v>46078</v>
      </c>
      <c r="B14476" t="s">
        <v>6742</v>
      </c>
      <c r="C14476" t="s">
        <v>43648</v>
      </c>
      <c r="D14476" t="s">
        <v>47499</v>
      </c>
      <c r="E14476" t="b">
        <v>0</v>
      </c>
      <c r="F14476" t="s">
        <v>11622</v>
      </c>
      <c r="L14476">
        <v>0</v>
      </c>
      <c r="M14476">
        <v>2</v>
      </c>
      <c r="N14476">
        <v>0</v>
      </c>
    </row>
    <row r="14477" spans="1:15">
      <c r="A14477" t="s">
        <v>47500</v>
      </c>
      <c r="B14477" t="s">
        <v>6742</v>
      </c>
      <c r="C14477" t="s">
        <v>257</v>
      </c>
      <c r="D14477" t="s">
        <v>47501</v>
      </c>
      <c r="E14477" t="b">
        <v>0</v>
      </c>
      <c r="F14477" t="s">
        <v>11610</v>
      </c>
      <c r="L14477">
        <v>0</v>
      </c>
      <c r="M14477">
        <v>0</v>
      </c>
      <c r="N14477">
        <v>0</v>
      </c>
    </row>
    <row r="14478" spans="1:15">
      <c r="A14478" t="s">
        <v>47502</v>
      </c>
      <c r="B14478" t="s">
        <v>6742</v>
      </c>
      <c r="C14478" t="s">
        <v>47503</v>
      </c>
      <c r="D14478" t="s">
        <v>47504</v>
      </c>
      <c r="E14478" t="b">
        <v>0</v>
      </c>
      <c r="F14478" t="s">
        <v>11624</v>
      </c>
      <c r="G14478">
        <v>-5.5</v>
      </c>
      <c r="H14478">
        <v>18.2</v>
      </c>
      <c r="I14478" t="s">
        <v>47505</v>
      </c>
      <c r="L14478">
        <v>0</v>
      </c>
      <c r="M14478">
        <v>0</v>
      </c>
      <c r="N14478">
        <v>0</v>
      </c>
      <c r="O14478" t="s">
        <v>14825</v>
      </c>
    </row>
    <row r="14479" spans="1:15">
      <c r="A14479" t="s">
        <v>47506</v>
      </c>
      <c r="B14479" t="s">
        <v>6742</v>
      </c>
      <c r="C14479" t="s">
        <v>38055</v>
      </c>
      <c r="D14479" t="s">
        <v>47507</v>
      </c>
      <c r="E14479" t="b">
        <v>0</v>
      </c>
      <c r="F14479" t="s">
        <v>11610</v>
      </c>
      <c r="L14479">
        <v>0</v>
      </c>
      <c r="M14479">
        <v>0</v>
      </c>
      <c r="N14479">
        <v>0</v>
      </c>
    </row>
    <row r="14480" spans="1:15">
      <c r="A14480" t="s">
        <v>3849</v>
      </c>
      <c r="B14480" t="s">
        <v>6742</v>
      </c>
      <c r="C14480" t="s">
        <v>42445</v>
      </c>
      <c r="D14480" t="s">
        <v>3848</v>
      </c>
      <c r="E14480" t="b">
        <v>0</v>
      </c>
      <c r="F14480" t="s">
        <v>11624</v>
      </c>
      <c r="G14480">
        <v>-11.779400000000001</v>
      </c>
      <c r="H14480">
        <v>37.411799999999999</v>
      </c>
      <c r="I14480" t="s">
        <v>3850</v>
      </c>
      <c r="L14480">
        <v>0</v>
      </c>
      <c r="M14480">
        <v>0</v>
      </c>
      <c r="N14480">
        <v>0</v>
      </c>
      <c r="O14480" t="s">
        <v>41915</v>
      </c>
    </row>
    <row r="14481" spans="1:15">
      <c r="A14481" t="s">
        <v>47508</v>
      </c>
      <c r="B14481" t="s">
        <v>6742</v>
      </c>
      <c r="C14481" t="s">
        <v>3999</v>
      </c>
      <c r="D14481" t="s">
        <v>47509</v>
      </c>
      <c r="E14481" t="b">
        <v>0</v>
      </c>
      <c r="F14481" t="s">
        <v>11610</v>
      </c>
      <c r="L14481">
        <v>0</v>
      </c>
      <c r="M14481">
        <v>0</v>
      </c>
      <c r="N14481">
        <v>0</v>
      </c>
    </row>
    <row r="14482" spans="1:15">
      <c r="A14482" t="s">
        <v>47510</v>
      </c>
      <c r="B14482" t="s">
        <v>6742</v>
      </c>
      <c r="C14482" t="s">
        <v>4166</v>
      </c>
      <c r="D14482" t="s">
        <v>47511</v>
      </c>
      <c r="E14482" t="b">
        <v>0</v>
      </c>
      <c r="F14482" t="s">
        <v>11610</v>
      </c>
      <c r="L14482">
        <v>0</v>
      </c>
      <c r="M14482">
        <v>0</v>
      </c>
      <c r="N14482">
        <v>0</v>
      </c>
    </row>
    <row r="14483" spans="1:15">
      <c r="A14483" t="s">
        <v>47512</v>
      </c>
      <c r="B14483" t="s">
        <v>6742</v>
      </c>
      <c r="C14483" t="s">
        <v>4025</v>
      </c>
      <c r="D14483" t="s">
        <v>47513</v>
      </c>
      <c r="E14483" t="b">
        <v>0</v>
      </c>
      <c r="F14483" t="s">
        <v>11610</v>
      </c>
      <c r="L14483">
        <v>0</v>
      </c>
      <c r="M14483">
        <v>0</v>
      </c>
      <c r="N14483">
        <v>0</v>
      </c>
    </row>
    <row r="14484" spans="1:15">
      <c r="A14484" t="s">
        <v>47514</v>
      </c>
      <c r="B14484" t="s">
        <v>6742</v>
      </c>
      <c r="C14484" t="s">
        <v>27014</v>
      </c>
      <c r="D14484" t="s">
        <v>47515</v>
      </c>
      <c r="E14484" t="b">
        <v>0</v>
      </c>
      <c r="F14484" t="s">
        <v>11610</v>
      </c>
      <c r="L14484">
        <v>0</v>
      </c>
      <c r="M14484">
        <v>0</v>
      </c>
      <c r="N14484">
        <v>0</v>
      </c>
    </row>
    <row r="14485" spans="1:15">
      <c r="A14485" t="s">
        <v>47516</v>
      </c>
      <c r="B14485" t="s">
        <v>6742</v>
      </c>
      <c r="C14485" t="s">
        <v>20592</v>
      </c>
      <c r="D14485" t="s">
        <v>47517</v>
      </c>
      <c r="E14485" t="b">
        <v>0</v>
      </c>
      <c r="F14485" t="s">
        <v>11610</v>
      </c>
      <c r="L14485">
        <v>0</v>
      </c>
      <c r="M14485">
        <v>0</v>
      </c>
      <c r="N14485">
        <v>0</v>
      </c>
    </row>
    <row r="14486" spans="1:15">
      <c r="A14486" t="s">
        <v>47518</v>
      </c>
      <c r="B14486" t="s">
        <v>11627</v>
      </c>
      <c r="C14486" t="s">
        <v>11627</v>
      </c>
      <c r="D14486" t="s">
        <v>47519</v>
      </c>
      <c r="E14486" t="b">
        <v>1</v>
      </c>
      <c r="F14486" t="s">
        <v>11624</v>
      </c>
      <c r="G14486">
        <v>8.7887400000000007</v>
      </c>
      <c r="H14486">
        <v>13.42855</v>
      </c>
      <c r="I14486" t="s">
        <v>47520</v>
      </c>
      <c r="L14486">
        <v>0</v>
      </c>
      <c r="M14486">
        <v>0</v>
      </c>
      <c r="N14486">
        <v>0</v>
      </c>
      <c r="O14486" t="s">
        <v>11703</v>
      </c>
    </row>
    <row r="14487" spans="1:15">
      <c r="A14487" t="s">
        <v>47521</v>
      </c>
      <c r="B14487" t="s">
        <v>6742</v>
      </c>
      <c r="C14487" t="s">
        <v>14942</v>
      </c>
      <c r="D14487" t="s">
        <v>47522</v>
      </c>
      <c r="E14487" t="b">
        <v>0</v>
      </c>
      <c r="F14487" t="s">
        <v>11610</v>
      </c>
      <c r="L14487">
        <v>0</v>
      </c>
      <c r="M14487">
        <v>0</v>
      </c>
      <c r="N14487">
        <v>0</v>
      </c>
    </row>
    <row r="14488" spans="1:15">
      <c r="A14488" t="s">
        <v>47523</v>
      </c>
      <c r="B14488" t="s">
        <v>6742</v>
      </c>
      <c r="C14488" t="s">
        <v>40738</v>
      </c>
      <c r="D14488" t="s">
        <v>47524</v>
      </c>
      <c r="E14488" t="b">
        <v>0</v>
      </c>
      <c r="F14488" t="s">
        <v>11610</v>
      </c>
      <c r="L14488">
        <v>0</v>
      </c>
      <c r="M14488">
        <v>0</v>
      </c>
      <c r="N14488">
        <v>0</v>
      </c>
    </row>
    <row r="14489" spans="1:15">
      <c r="A14489" t="s">
        <v>47525</v>
      </c>
      <c r="B14489" t="s">
        <v>6742</v>
      </c>
      <c r="C14489" t="s">
        <v>20348</v>
      </c>
      <c r="D14489" t="s">
        <v>47526</v>
      </c>
      <c r="E14489" t="b">
        <v>0</v>
      </c>
      <c r="F14489" t="s">
        <v>11610</v>
      </c>
      <c r="L14489">
        <v>0</v>
      </c>
      <c r="M14489">
        <v>0</v>
      </c>
      <c r="N14489">
        <v>0</v>
      </c>
    </row>
    <row r="14490" spans="1:15">
      <c r="A14490" t="s">
        <v>47527</v>
      </c>
      <c r="B14490" t="s">
        <v>6742</v>
      </c>
      <c r="C14490" t="s">
        <v>20639</v>
      </c>
      <c r="D14490" t="s">
        <v>47528</v>
      </c>
      <c r="E14490" t="b">
        <v>0</v>
      </c>
      <c r="F14490" t="s">
        <v>11610</v>
      </c>
      <c r="L14490">
        <v>0</v>
      </c>
      <c r="M14490">
        <v>0</v>
      </c>
      <c r="N14490">
        <v>0</v>
      </c>
    </row>
    <row r="14491" spans="1:15">
      <c r="A14491" t="s">
        <v>40694</v>
      </c>
      <c r="B14491" t="s">
        <v>367</v>
      </c>
      <c r="C14491" t="s">
        <v>31569</v>
      </c>
      <c r="D14491" t="s">
        <v>47529</v>
      </c>
      <c r="E14491" t="b">
        <v>0</v>
      </c>
      <c r="F14491" t="s">
        <v>11610</v>
      </c>
      <c r="L14491">
        <v>0</v>
      </c>
      <c r="M14491">
        <v>0</v>
      </c>
      <c r="N14491">
        <v>2</v>
      </c>
    </row>
    <row r="14492" spans="1:15">
      <c r="A14492" t="s">
        <v>47530</v>
      </c>
      <c r="B14492" t="s">
        <v>6742</v>
      </c>
      <c r="C14492" t="s">
        <v>47407</v>
      </c>
      <c r="D14492" t="s">
        <v>47531</v>
      </c>
      <c r="E14492" t="b">
        <v>0</v>
      </c>
      <c r="F14492" t="s">
        <v>11624</v>
      </c>
      <c r="G14492">
        <v>6.0461600000000004</v>
      </c>
      <c r="H14492">
        <v>9.8319299999999998</v>
      </c>
      <c r="I14492" t="s">
        <v>47532</v>
      </c>
      <c r="L14492">
        <v>0</v>
      </c>
      <c r="M14492">
        <v>0</v>
      </c>
      <c r="N14492">
        <v>0</v>
      </c>
      <c r="O14492" t="s">
        <v>11703</v>
      </c>
    </row>
    <row r="14493" spans="1:15">
      <c r="A14493" t="s">
        <v>47533</v>
      </c>
      <c r="B14493" t="s">
        <v>11607</v>
      </c>
      <c r="C14493" t="s">
        <v>19217</v>
      </c>
      <c r="D14493" t="s">
        <v>47534</v>
      </c>
      <c r="E14493" t="b">
        <v>0</v>
      </c>
      <c r="F14493" t="s">
        <v>11610</v>
      </c>
      <c r="L14493">
        <v>0</v>
      </c>
      <c r="M14493">
        <v>0</v>
      </c>
      <c r="N14493">
        <v>0</v>
      </c>
    </row>
    <row r="14494" spans="1:15">
      <c r="A14494" t="s">
        <v>47535</v>
      </c>
      <c r="B14494" t="s">
        <v>6742</v>
      </c>
      <c r="C14494" t="s">
        <v>25512</v>
      </c>
      <c r="D14494" t="s">
        <v>47536</v>
      </c>
      <c r="E14494" t="b">
        <v>0</v>
      </c>
      <c r="F14494" t="s">
        <v>11610</v>
      </c>
      <c r="L14494">
        <v>0</v>
      </c>
      <c r="M14494">
        <v>0</v>
      </c>
      <c r="N14494">
        <v>0</v>
      </c>
    </row>
    <row r="14495" spans="1:15">
      <c r="A14495" t="s">
        <v>47537</v>
      </c>
      <c r="B14495" t="s">
        <v>13264</v>
      </c>
      <c r="C14495" t="s">
        <v>18389</v>
      </c>
      <c r="D14495" t="s">
        <v>47538</v>
      </c>
      <c r="E14495" t="b">
        <v>0</v>
      </c>
      <c r="F14495" t="s">
        <v>11610</v>
      </c>
      <c r="L14495">
        <v>0</v>
      </c>
      <c r="M14495">
        <v>0</v>
      </c>
      <c r="N14495">
        <v>0</v>
      </c>
    </row>
    <row r="14496" spans="1:15">
      <c r="A14496" t="s">
        <v>28302</v>
      </c>
      <c r="B14496" t="s">
        <v>11607</v>
      </c>
      <c r="C14496" t="s">
        <v>47539</v>
      </c>
      <c r="D14496" t="s">
        <v>47540</v>
      </c>
      <c r="E14496" t="b">
        <v>0</v>
      </c>
      <c r="F14496" t="s">
        <v>11622</v>
      </c>
      <c r="L14496">
        <v>0</v>
      </c>
      <c r="M14496">
        <v>2</v>
      </c>
      <c r="N14496">
        <v>2</v>
      </c>
    </row>
    <row r="14497" spans="1:15">
      <c r="A14497" t="s">
        <v>47541</v>
      </c>
      <c r="B14497" t="s">
        <v>28550</v>
      </c>
      <c r="C14497" t="s">
        <v>28549</v>
      </c>
      <c r="D14497" t="s">
        <v>47542</v>
      </c>
      <c r="E14497" t="b">
        <v>0</v>
      </c>
      <c r="F14497" t="s">
        <v>11610</v>
      </c>
      <c r="L14497">
        <v>0</v>
      </c>
      <c r="M14497">
        <v>0</v>
      </c>
      <c r="N14497">
        <v>0</v>
      </c>
    </row>
    <row r="14498" spans="1:15">
      <c r="A14498" t="s">
        <v>47543</v>
      </c>
      <c r="B14498" t="s">
        <v>6742</v>
      </c>
      <c r="C14498" t="s">
        <v>47544</v>
      </c>
      <c r="D14498" t="s">
        <v>47545</v>
      </c>
      <c r="E14498" t="b">
        <v>0</v>
      </c>
      <c r="F14498" t="s">
        <v>11624</v>
      </c>
      <c r="L14498">
        <v>0</v>
      </c>
      <c r="M14498">
        <v>0</v>
      </c>
      <c r="N14498">
        <v>0</v>
      </c>
      <c r="O14498" t="s">
        <v>16915</v>
      </c>
    </row>
    <row r="14499" spans="1:15">
      <c r="A14499" t="s">
        <v>47544</v>
      </c>
      <c r="B14499" t="s">
        <v>6742</v>
      </c>
      <c r="C14499" t="s">
        <v>41151</v>
      </c>
      <c r="D14499" t="s">
        <v>47546</v>
      </c>
      <c r="E14499" t="b">
        <v>0</v>
      </c>
      <c r="F14499" t="s">
        <v>11622</v>
      </c>
      <c r="L14499">
        <v>4</v>
      </c>
      <c r="M14499">
        <v>6</v>
      </c>
      <c r="N14499">
        <v>0</v>
      </c>
    </row>
    <row r="14500" spans="1:15">
      <c r="A14500" t="s">
        <v>47547</v>
      </c>
      <c r="B14500" t="s">
        <v>6742</v>
      </c>
      <c r="C14500" t="s">
        <v>20994</v>
      </c>
      <c r="D14500" t="s">
        <v>47548</v>
      </c>
      <c r="E14500" t="b">
        <v>0</v>
      </c>
      <c r="F14500" t="s">
        <v>11610</v>
      </c>
      <c r="L14500">
        <v>0</v>
      </c>
      <c r="M14500">
        <v>0</v>
      </c>
      <c r="N14500">
        <v>0</v>
      </c>
    </row>
    <row r="14501" spans="1:15">
      <c r="A14501" t="s">
        <v>47549</v>
      </c>
      <c r="B14501" t="s">
        <v>15146</v>
      </c>
      <c r="C14501" t="s">
        <v>47550</v>
      </c>
      <c r="D14501" t="s">
        <v>47551</v>
      </c>
      <c r="E14501" t="b">
        <v>0</v>
      </c>
      <c r="F14501" t="s">
        <v>11610</v>
      </c>
      <c r="L14501">
        <v>0</v>
      </c>
      <c r="M14501">
        <v>0</v>
      </c>
      <c r="N14501">
        <v>0</v>
      </c>
    </row>
    <row r="14502" spans="1:15">
      <c r="A14502" t="s">
        <v>47552</v>
      </c>
      <c r="B14502" t="s">
        <v>367</v>
      </c>
      <c r="C14502" t="s">
        <v>47553</v>
      </c>
      <c r="D14502" t="s">
        <v>47554</v>
      </c>
      <c r="E14502" t="b">
        <v>0</v>
      </c>
      <c r="F14502" t="s">
        <v>11624</v>
      </c>
      <c r="G14502">
        <v>8.4499999999999993</v>
      </c>
      <c r="H14502">
        <v>137.34</v>
      </c>
      <c r="I14502" t="s">
        <v>47555</v>
      </c>
      <c r="L14502">
        <v>0</v>
      </c>
      <c r="M14502">
        <v>0</v>
      </c>
      <c r="N14502">
        <v>0</v>
      </c>
      <c r="O14502" t="s">
        <v>22994</v>
      </c>
    </row>
    <row r="14503" spans="1:15">
      <c r="A14503" t="s">
        <v>47556</v>
      </c>
      <c r="B14503" t="s">
        <v>6742</v>
      </c>
      <c r="C14503" t="s">
        <v>47557</v>
      </c>
      <c r="D14503" t="s">
        <v>47558</v>
      </c>
      <c r="E14503" t="b">
        <v>0</v>
      </c>
      <c r="F14503" t="s">
        <v>11624</v>
      </c>
      <c r="G14503">
        <v>-5.7973400000000002</v>
      </c>
      <c r="H14503">
        <v>37.682299999999998</v>
      </c>
      <c r="I14503" t="s">
        <v>47559</v>
      </c>
      <c r="L14503">
        <v>0</v>
      </c>
      <c r="M14503">
        <v>0</v>
      </c>
      <c r="N14503">
        <v>0</v>
      </c>
      <c r="O14503" t="s">
        <v>11635</v>
      </c>
    </row>
    <row r="14504" spans="1:15">
      <c r="A14504" t="s">
        <v>47560</v>
      </c>
      <c r="B14504" t="s">
        <v>6742</v>
      </c>
      <c r="C14504" t="s">
        <v>43711</v>
      </c>
      <c r="D14504" t="s">
        <v>47561</v>
      </c>
      <c r="E14504" t="b">
        <v>0</v>
      </c>
      <c r="F14504" t="s">
        <v>11624</v>
      </c>
      <c r="G14504">
        <v>-4.09816</v>
      </c>
      <c r="H14504">
        <v>19.512899999999998</v>
      </c>
      <c r="I14504" t="s">
        <v>47562</v>
      </c>
      <c r="L14504">
        <v>0</v>
      </c>
      <c r="M14504">
        <v>0</v>
      </c>
      <c r="N14504">
        <v>0</v>
      </c>
      <c r="O14504" t="s">
        <v>14825</v>
      </c>
    </row>
    <row r="14505" spans="1:15">
      <c r="A14505" t="s">
        <v>47266</v>
      </c>
      <c r="B14505" t="s">
        <v>10597</v>
      </c>
      <c r="C14505" t="s">
        <v>24550</v>
      </c>
      <c r="D14505" t="s">
        <v>47563</v>
      </c>
      <c r="E14505" t="b">
        <v>0</v>
      </c>
      <c r="F14505" t="s">
        <v>11622</v>
      </c>
      <c r="L14505">
        <v>4</v>
      </c>
      <c r="M14505">
        <v>8</v>
      </c>
      <c r="N14505">
        <v>15</v>
      </c>
    </row>
    <row r="14506" spans="1:15">
      <c r="A14506" t="s">
        <v>47564</v>
      </c>
      <c r="B14506" t="s">
        <v>17023</v>
      </c>
      <c r="C14506" t="s">
        <v>47565</v>
      </c>
      <c r="D14506" t="s">
        <v>47566</v>
      </c>
      <c r="E14506" t="b">
        <v>0</v>
      </c>
      <c r="F14506" t="s">
        <v>11624</v>
      </c>
      <c r="L14506">
        <v>0</v>
      </c>
      <c r="M14506">
        <v>0</v>
      </c>
      <c r="N14506">
        <v>0</v>
      </c>
      <c r="O14506" t="s">
        <v>12107</v>
      </c>
    </row>
    <row r="14507" spans="1:15">
      <c r="A14507" t="s">
        <v>47567</v>
      </c>
      <c r="B14507" t="s">
        <v>6742</v>
      </c>
      <c r="C14507" t="s">
        <v>17881</v>
      </c>
      <c r="D14507" t="s">
        <v>47568</v>
      </c>
      <c r="E14507" t="b">
        <v>0</v>
      </c>
      <c r="F14507" t="s">
        <v>11610</v>
      </c>
      <c r="L14507">
        <v>0</v>
      </c>
      <c r="M14507">
        <v>0</v>
      </c>
      <c r="N14507">
        <v>0</v>
      </c>
    </row>
    <row r="14508" spans="1:15">
      <c r="A14508" t="s">
        <v>14832</v>
      </c>
      <c r="B14508" t="s">
        <v>6742</v>
      </c>
      <c r="C14508" t="s">
        <v>47569</v>
      </c>
      <c r="D14508" t="s">
        <v>47570</v>
      </c>
      <c r="E14508" t="b">
        <v>0</v>
      </c>
      <c r="F14508" t="s">
        <v>11624</v>
      </c>
      <c r="G14508">
        <v>1.72096</v>
      </c>
      <c r="H14508">
        <v>9.7361299999999993</v>
      </c>
      <c r="I14508" t="s">
        <v>47571</v>
      </c>
      <c r="L14508">
        <v>0</v>
      </c>
      <c r="M14508">
        <v>0</v>
      </c>
      <c r="N14508">
        <v>3</v>
      </c>
      <c r="O14508" t="s">
        <v>19979</v>
      </c>
    </row>
    <row r="14509" spans="1:15">
      <c r="A14509" t="s">
        <v>30231</v>
      </c>
      <c r="B14509" t="s">
        <v>10597</v>
      </c>
      <c r="C14509" t="s">
        <v>47266</v>
      </c>
      <c r="D14509" t="s">
        <v>47572</v>
      </c>
      <c r="E14509" t="b">
        <v>0</v>
      </c>
      <c r="F14509" t="s">
        <v>11622</v>
      </c>
      <c r="L14509">
        <v>2</v>
      </c>
      <c r="M14509">
        <v>6</v>
      </c>
      <c r="N14509">
        <v>8</v>
      </c>
    </row>
    <row r="14510" spans="1:15">
      <c r="A14510" t="s">
        <v>47573</v>
      </c>
      <c r="B14510" t="s">
        <v>6742</v>
      </c>
      <c r="C14510" t="s">
        <v>29430</v>
      </c>
      <c r="D14510" t="s">
        <v>47574</v>
      </c>
      <c r="E14510" t="b">
        <v>0</v>
      </c>
      <c r="F14510" t="s">
        <v>11624</v>
      </c>
      <c r="G14510">
        <v>4.8862800000000002</v>
      </c>
      <c r="H14510">
        <v>20.421800000000001</v>
      </c>
      <c r="I14510" t="s">
        <v>47575</v>
      </c>
      <c r="L14510">
        <v>0</v>
      </c>
      <c r="M14510">
        <v>0</v>
      </c>
      <c r="N14510">
        <v>0</v>
      </c>
      <c r="O14510" t="s">
        <v>14825</v>
      </c>
    </row>
    <row r="14511" spans="1:15">
      <c r="A14511" t="s">
        <v>47576</v>
      </c>
      <c r="B14511" t="s">
        <v>6742</v>
      </c>
      <c r="C14511" t="s">
        <v>47577</v>
      </c>
      <c r="D14511" t="s">
        <v>47578</v>
      </c>
      <c r="E14511" t="b">
        <v>0</v>
      </c>
      <c r="F14511" t="s">
        <v>11622</v>
      </c>
      <c r="L14511">
        <v>1</v>
      </c>
      <c r="M14511">
        <v>4</v>
      </c>
      <c r="N14511">
        <v>21</v>
      </c>
    </row>
    <row r="14512" spans="1:15">
      <c r="A14512" t="s">
        <v>47579</v>
      </c>
      <c r="B14512" t="s">
        <v>6742</v>
      </c>
      <c r="C14512" t="s">
        <v>19672</v>
      </c>
      <c r="D14512" t="s">
        <v>47580</v>
      </c>
      <c r="E14512" t="b">
        <v>0</v>
      </c>
      <c r="F14512" t="s">
        <v>11610</v>
      </c>
      <c r="L14512">
        <v>0</v>
      </c>
      <c r="M14512">
        <v>0</v>
      </c>
      <c r="N14512">
        <v>0</v>
      </c>
    </row>
    <row r="14513" spans="1:15">
      <c r="A14513" t="s">
        <v>47581</v>
      </c>
      <c r="B14513" t="s">
        <v>6742</v>
      </c>
      <c r="C14513" t="s">
        <v>20731</v>
      </c>
      <c r="D14513" t="s">
        <v>47582</v>
      </c>
      <c r="E14513" t="b">
        <v>0</v>
      </c>
      <c r="F14513" t="s">
        <v>11624</v>
      </c>
      <c r="G14513">
        <v>1.63917</v>
      </c>
      <c r="H14513">
        <v>16.125</v>
      </c>
      <c r="I14513" t="s">
        <v>47583</v>
      </c>
      <c r="L14513">
        <v>0</v>
      </c>
      <c r="M14513">
        <v>0</v>
      </c>
      <c r="N14513">
        <v>0</v>
      </c>
      <c r="O14513" t="s">
        <v>34313</v>
      </c>
    </row>
    <row r="14514" spans="1:15">
      <c r="A14514" t="s">
        <v>47584</v>
      </c>
      <c r="B14514" t="s">
        <v>6742</v>
      </c>
      <c r="C14514" t="s">
        <v>20319</v>
      </c>
      <c r="D14514" t="s">
        <v>47585</v>
      </c>
      <c r="E14514" t="b">
        <v>0</v>
      </c>
      <c r="F14514" t="s">
        <v>11610</v>
      </c>
      <c r="L14514">
        <v>0</v>
      </c>
      <c r="M14514">
        <v>0</v>
      </c>
      <c r="N14514">
        <v>0</v>
      </c>
    </row>
    <row r="14515" spans="1:15">
      <c r="A14515" t="s">
        <v>45546</v>
      </c>
      <c r="B14515" t="s">
        <v>6742</v>
      </c>
      <c r="C14515" t="s">
        <v>47586</v>
      </c>
      <c r="D14515" t="s">
        <v>47587</v>
      </c>
      <c r="E14515" t="b">
        <v>0</v>
      </c>
      <c r="F14515" t="s">
        <v>11624</v>
      </c>
      <c r="G14515">
        <v>-1.8205499999999999</v>
      </c>
      <c r="H14515">
        <v>15.6218</v>
      </c>
      <c r="I14515" t="s">
        <v>47588</v>
      </c>
      <c r="L14515">
        <v>0</v>
      </c>
      <c r="M14515">
        <v>0</v>
      </c>
      <c r="N14515">
        <v>1</v>
      </c>
      <c r="O14515" t="s">
        <v>12868</v>
      </c>
    </row>
    <row r="14516" spans="1:15">
      <c r="A14516" t="s">
        <v>47589</v>
      </c>
      <c r="B14516" t="s">
        <v>21516</v>
      </c>
      <c r="C14516" t="s">
        <v>36819</v>
      </c>
      <c r="D14516" t="s">
        <v>47590</v>
      </c>
      <c r="E14516" t="b">
        <v>0</v>
      </c>
      <c r="F14516" t="s">
        <v>11610</v>
      </c>
      <c r="L14516">
        <v>0</v>
      </c>
      <c r="M14516">
        <v>0</v>
      </c>
      <c r="N14516">
        <v>0</v>
      </c>
    </row>
    <row r="14517" spans="1:15">
      <c r="A14517" t="s">
        <v>47591</v>
      </c>
      <c r="B14517" t="s">
        <v>367</v>
      </c>
      <c r="C14517" t="s">
        <v>20392</v>
      </c>
      <c r="D14517" t="s">
        <v>47592</v>
      </c>
      <c r="E14517" t="b">
        <v>0</v>
      </c>
      <c r="F14517" t="s">
        <v>11610</v>
      </c>
      <c r="L14517">
        <v>0</v>
      </c>
      <c r="M14517">
        <v>0</v>
      </c>
      <c r="N14517">
        <v>0</v>
      </c>
    </row>
    <row r="14518" spans="1:15">
      <c r="A14518" t="s">
        <v>47593</v>
      </c>
      <c r="B14518" t="s">
        <v>6742</v>
      </c>
      <c r="C14518" t="s">
        <v>22855</v>
      </c>
      <c r="D14518" t="s">
        <v>47594</v>
      </c>
      <c r="E14518" t="b">
        <v>0</v>
      </c>
      <c r="F14518" t="s">
        <v>11622</v>
      </c>
      <c r="L14518">
        <v>4</v>
      </c>
      <c r="M14518">
        <v>8</v>
      </c>
      <c r="N14518">
        <v>40</v>
      </c>
    </row>
    <row r="14519" spans="1:15">
      <c r="A14519" t="s">
        <v>47577</v>
      </c>
      <c r="B14519" t="s">
        <v>6742</v>
      </c>
      <c r="C14519" t="s">
        <v>47593</v>
      </c>
      <c r="D14519" t="s">
        <v>47595</v>
      </c>
      <c r="E14519" t="b">
        <v>0</v>
      </c>
      <c r="F14519" t="s">
        <v>11622</v>
      </c>
      <c r="L14519">
        <v>2</v>
      </c>
      <c r="M14519">
        <v>5</v>
      </c>
      <c r="N14519">
        <v>21</v>
      </c>
    </row>
    <row r="14520" spans="1:15">
      <c r="A14520" t="s">
        <v>47596</v>
      </c>
      <c r="B14520" t="s">
        <v>10597</v>
      </c>
      <c r="C14520" t="s">
        <v>30138</v>
      </c>
      <c r="D14520" t="s">
        <v>47597</v>
      </c>
      <c r="E14520" t="b">
        <v>0</v>
      </c>
      <c r="F14520" t="s">
        <v>11610</v>
      </c>
      <c r="G14520">
        <v>-36.25</v>
      </c>
      <c r="H14520">
        <v>148.77000000000001</v>
      </c>
      <c r="I14520" t="s">
        <v>47598</v>
      </c>
      <c r="L14520">
        <v>0</v>
      </c>
      <c r="M14520">
        <v>0</v>
      </c>
      <c r="N14520">
        <v>0</v>
      </c>
      <c r="O14520" t="s">
        <v>12107</v>
      </c>
    </row>
    <row r="14521" spans="1:15">
      <c r="A14521" t="s">
        <v>47586</v>
      </c>
      <c r="B14521" t="s">
        <v>6742</v>
      </c>
      <c r="C14521" t="s">
        <v>31864</v>
      </c>
      <c r="D14521" t="s">
        <v>47599</v>
      </c>
      <c r="E14521" t="b">
        <v>0</v>
      </c>
      <c r="F14521" t="s">
        <v>11622</v>
      </c>
      <c r="L14521">
        <v>0</v>
      </c>
      <c r="M14521">
        <v>2</v>
      </c>
      <c r="N14521">
        <v>1</v>
      </c>
    </row>
    <row r="14522" spans="1:15">
      <c r="A14522" t="s">
        <v>47600</v>
      </c>
      <c r="B14522" t="s">
        <v>12438</v>
      </c>
      <c r="C14522" t="s">
        <v>19224</v>
      </c>
      <c r="D14522" t="s">
        <v>47601</v>
      </c>
      <c r="E14522" t="b">
        <v>0</v>
      </c>
      <c r="F14522" t="s">
        <v>11624</v>
      </c>
      <c r="G14522">
        <v>17.724299999999999</v>
      </c>
      <c r="H14522">
        <v>105.932</v>
      </c>
      <c r="I14522" t="s">
        <v>47602</v>
      </c>
      <c r="L14522">
        <v>0</v>
      </c>
      <c r="M14522">
        <v>0</v>
      </c>
      <c r="N14522">
        <v>0</v>
      </c>
      <c r="O14522" t="s">
        <v>15949</v>
      </c>
    </row>
    <row r="14523" spans="1:15">
      <c r="A14523" t="s">
        <v>47603</v>
      </c>
      <c r="B14523" t="s">
        <v>21516</v>
      </c>
      <c r="C14523" t="s">
        <v>36819</v>
      </c>
      <c r="D14523" t="s">
        <v>47604</v>
      </c>
      <c r="E14523" t="b">
        <v>0</v>
      </c>
      <c r="F14523" t="s">
        <v>11610</v>
      </c>
      <c r="L14523">
        <v>0</v>
      </c>
      <c r="M14523">
        <v>0</v>
      </c>
      <c r="N14523">
        <v>0</v>
      </c>
    </row>
    <row r="14524" spans="1:15">
      <c r="A14524" t="s">
        <v>47605</v>
      </c>
      <c r="B14524" t="s">
        <v>12241</v>
      </c>
      <c r="C14524" t="s">
        <v>47606</v>
      </c>
      <c r="D14524" t="s">
        <v>47607</v>
      </c>
      <c r="E14524" t="b">
        <v>0</v>
      </c>
      <c r="F14524" t="s">
        <v>11624</v>
      </c>
      <c r="G14524">
        <v>-12.648300000000001</v>
      </c>
      <c r="H14524">
        <v>132.50800000000001</v>
      </c>
      <c r="I14524" t="s">
        <v>47608</v>
      </c>
      <c r="L14524">
        <v>0</v>
      </c>
      <c r="M14524">
        <v>0</v>
      </c>
      <c r="N14524">
        <v>0</v>
      </c>
      <c r="O14524" t="s">
        <v>12107</v>
      </c>
    </row>
    <row r="14525" spans="1:15">
      <c r="A14525" t="s">
        <v>15730</v>
      </c>
      <c r="B14525" t="s">
        <v>10597</v>
      </c>
      <c r="C14525" t="s">
        <v>21447</v>
      </c>
      <c r="D14525" t="s">
        <v>47609</v>
      </c>
      <c r="E14525" t="b">
        <v>0</v>
      </c>
      <c r="F14525" t="s">
        <v>11624</v>
      </c>
      <c r="G14525">
        <v>-29.241099999999999</v>
      </c>
      <c r="H14525">
        <v>143.21600000000001</v>
      </c>
      <c r="I14525" t="s">
        <v>47610</v>
      </c>
      <c r="L14525">
        <v>0</v>
      </c>
      <c r="M14525">
        <v>0</v>
      </c>
      <c r="N14525">
        <v>11</v>
      </c>
      <c r="O14525" t="s">
        <v>12107</v>
      </c>
    </row>
    <row r="14526" spans="1:15">
      <c r="A14526" t="s">
        <v>47611</v>
      </c>
      <c r="B14526" t="s">
        <v>10597</v>
      </c>
      <c r="C14526" t="s">
        <v>15730</v>
      </c>
      <c r="D14526" t="s">
        <v>47612</v>
      </c>
      <c r="E14526" t="b">
        <v>0</v>
      </c>
      <c r="F14526" t="s">
        <v>11610</v>
      </c>
      <c r="L14526">
        <v>0</v>
      </c>
      <c r="M14526">
        <v>0</v>
      </c>
      <c r="N14526">
        <v>0</v>
      </c>
    </row>
    <row r="14527" spans="1:15">
      <c r="A14527" t="s">
        <v>47613</v>
      </c>
      <c r="B14527" t="s">
        <v>6742</v>
      </c>
      <c r="C14527" t="s">
        <v>32145</v>
      </c>
      <c r="D14527" t="s">
        <v>47614</v>
      </c>
      <c r="E14527" t="b">
        <v>0</v>
      </c>
      <c r="F14527" t="s">
        <v>11624</v>
      </c>
      <c r="G14527">
        <v>-1.8485</v>
      </c>
      <c r="H14527">
        <v>34.6173</v>
      </c>
      <c r="I14527" t="s">
        <v>47615</v>
      </c>
      <c r="L14527">
        <v>0</v>
      </c>
      <c r="M14527">
        <v>0</v>
      </c>
      <c r="N14527">
        <v>0</v>
      </c>
      <c r="O14527" t="s">
        <v>11635</v>
      </c>
    </row>
    <row r="14528" spans="1:15">
      <c r="A14528" t="s">
        <v>47616</v>
      </c>
      <c r="B14528" t="s">
        <v>11729</v>
      </c>
      <c r="C14528" t="s">
        <v>30051</v>
      </c>
      <c r="D14528" t="s">
        <v>47617</v>
      </c>
      <c r="E14528" t="b">
        <v>0</v>
      </c>
      <c r="F14528" t="s">
        <v>11610</v>
      </c>
      <c r="L14528">
        <v>0</v>
      </c>
      <c r="M14528">
        <v>0</v>
      </c>
      <c r="N14528">
        <v>0</v>
      </c>
    </row>
    <row r="14529" spans="1:15">
      <c r="A14529" t="s">
        <v>47618</v>
      </c>
      <c r="B14529" t="s">
        <v>13967</v>
      </c>
      <c r="C14529" t="s">
        <v>34761</v>
      </c>
      <c r="D14529" t="s">
        <v>47619</v>
      </c>
      <c r="E14529" t="b">
        <v>0</v>
      </c>
      <c r="F14529" t="s">
        <v>11610</v>
      </c>
      <c r="L14529">
        <v>0</v>
      </c>
      <c r="M14529">
        <v>0</v>
      </c>
      <c r="N14529">
        <v>0</v>
      </c>
    </row>
    <row r="14530" spans="1:15">
      <c r="A14530" t="s">
        <v>47620</v>
      </c>
      <c r="B14530" t="s">
        <v>6742</v>
      </c>
      <c r="C14530" t="s">
        <v>1745</v>
      </c>
      <c r="D14530" t="s">
        <v>47621</v>
      </c>
      <c r="E14530" t="b">
        <v>0</v>
      </c>
      <c r="F14530" t="s">
        <v>11610</v>
      </c>
      <c r="L14530">
        <v>0</v>
      </c>
      <c r="M14530">
        <v>0</v>
      </c>
      <c r="N14530">
        <v>0</v>
      </c>
    </row>
    <row r="14531" spans="1:15">
      <c r="A14531" t="s">
        <v>47622</v>
      </c>
      <c r="B14531" t="s">
        <v>6742</v>
      </c>
      <c r="C14531" t="s">
        <v>1745</v>
      </c>
      <c r="D14531" t="s">
        <v>47623</v>
      </c>
      <c r="E14531" t="b">
        <v>0</v>
      </c>
      <c r="F14531" t="s">
        <v>11610</v>
      </c>
      <c r="L14531">
        <v>0</v>
      </c>
      <c r="M14531">
        <v>0</v>
      </c>
      <c r="N14531">
        <v>0</v>
      </c>
    </row>
    <row r="14532" spans="1:15">
      <c r="A14532" t="s">
        <v>47624</v>
      </c>
      <c r="B14532" t="s">
        <v>6742</v>
      </c>
      <c r="C14532" t="s">
        <v>12211</v>
      </c>
      <c r="D14532" t="s">
        <v>47625</v>
      </c>
      <c r="E14532" t="b">
        <v>0</v>
      </c>
      <c r="F14532" t="s">
        <v>11610</v>
      </c>
      <c r="L14532">
        <v>0</v>
      </c>
      <c r="M14532">
        <v>0</v>
      </c>
      <c r="N14532">
        <v>0</v>
      </c>
    </row>
    <row r="14533" spans="1:15">
      <c r="A14533" t="s">
        <v>47626</v>
      </c>
      <c r="B14533" t="s">
        <v>11607</v>
      </c>
      <c r="C14533" t="s">
        <v>15660</v>
      </c>
      <c r="D14533" t="s">
        <v>47627</v>
      </c>
      <c r="E14533" t="b">
        <v>0</v>
      </c>
      <c r="F14533" t="s">
        <v>11624</v>
      </c>
      <c r="G14533">
        <v>10.0921</v>
      </c>
      <c r="H14533">
        <v>12.7942</v>
      </c>
      <c r="I14533" t="s">
        <v>47628</v>
      </c>
      <c r="L14533">
        <v>0</v>
      </c>
      <c r="M14533">
        <v>0</v>
      </c>
      <c r="N14533">
        <v>0</v>
      </c>
      <c r="O14533" t="s">
        <v>11693</v>
      </c>
    </row>
    <row r="14534" spans="1:15">
      <c r="A14534" t="s">
        <v>47629</v>
      </c>
      <c r="B14534" t="s">
        <v>6742</v>
      </c>
      <c r="C14534" t="s">
        <v>16434</v>
      </c>
      <c r="D14534" t="s">
        <v>47630</v>
      </c>
      <c r="E14534" t="b">
        <v>0</v>
      </c>
      <c r="F14534" t="s">
        <v>11624</v>
      </c>
      <c r="G14534">
        <v>5.4978699999999998</v>
      </c>
      <c r="H14534">
        <v>9.9027999999999992</v>
      </c>
      <c r="I14534" t="s">
        <v>47631</v>
      </c>
      <c r="L14534">
        <v>0</v>
      </c>
      <c r="M14534">
        <v>0</v>
      </c>
      <c r="N14534">
        <v>0</v>
      </c>
      <c r="O14534" t="s">
        <v>11703</v>
      </c>
    </row>
    <row r="14535" spans="1:15">
      <c r="A14535" t="s">
        <v>47632</v>
      </c>
      <c r="B14535" t="s">
        <v>6742</v>
      </c>
      <c r="C14535" t="s">
        <v>43710</v>
      </c>
      <c r="D14535" t="s">
        <v>47633</v>
      </c>
      <c r="E14535" t="b">
        <v>0</v>
      </c>
      <c r="F14535" t="s">
        <v>11610</v>
      </c>
      <c r="L14535">
        <v>0</v>
      </c>
      <c r="M14535">
        <v>0</v>
      </c>
      <c r="N14535">
        <v>0</v>
      </c>
    </row>
    <row r="14536" spans="1:15">
      <c r="A14536" t="s">
        <v>16152</v>
      </c>
      <c r="B14536" t="s">
        <v>6742</v>
      </c>
      <c r="C14536" t="s">
        <v>45134</v>
      </c>
      <c r="D14536" t="s">
        <v>47634</v>
      </c>
      <c r="E14536" t="b">
        <v>0</v>
      </c>
      <c r="F14536" t="s">
        <v>11624</v>
      </c>
      <c r="G14536">
        <v>6.1773899999999999</v>
      </c>
      <c r="H14536">
        <v>9.8436900000000005</v>
      </c>
      <c r="I14536" t="s">
        <v>47635</v>
      </c>
      <c r="L14536">
        <v>0</v>
      </c>
      <c r="M14536">
        <v>0</v>
      </c>
      <c r="N14536">
        <v>8</v>
      </c>
      <c r="O14536" t="s">
        <v>11703</v>
      </c>
    </row>
    <row r="14537" spans="1:15">
      <c r="A14537" t="s">
        <v>47636</v>
      </c>
      <c r="B14537" t="s">
        <v>10597</v>
      </c>
      <c r="C14537" t="s">
        <v>35277</v>
      </c>
      <c r="D14537" t="s">
        <v>47637</v>
      </c>
      <c r="E14537" t="b">
        <v>0</v>
      </c>
      <c r="F14537" t="s">
        <v>11624</v>
      </c>
      <c r="G14537">
        <v>-27.425236430000002</v>
      </c>
      <c r="H14537">
        <v>114.26804420000001</v>
      </c>
      <c r="I14537" t="s">
        <v>47638</v>
      </c>
      <c r="L14537">
        <v>0</v>
      </c>
      <c r="M14537">
        <v>0</v>
      </c>
      <c r="N14537">
        <v>0</v>
      </c>
      <c r="O14537" t="s">
        <v>12107</v>
      </c>
    </row>
    <row r="14538" spans="1:15">
      <c r="A14538" t="s">
        <v>47639</v>
      </c>
      <c r="B14538" t="s">
        <v>6742</v>
      </c>
      <c r="C14538" t="s">
        <v>31245</v>
      </c>
      <c r="D14538" t="s">
        <v>47640</v>
      </c>
      <c r="E14538" t="b">
        <v>0</v>
      </c>
      <c r="F14538" t="s">
        <v>11610</v>
      </c>
      <c r="L14538">
        <v>0</v>
      </c>
      <c r="M14538">
        <v>0</v>
      </c>
      <c r="N14538">
        <v>0</v>
      </c>
    </row>
    <row r="14539" spans="1:15">
      <c r="A14539" t="s">
        <v>47641</v>
      </c>
      <c r="B14539" t="s">
        <v>11912</v>
      </c>
      <c r="C14539" t="s">
        <v>47642</v>
      </c>
      <c r="D14539" t="s">
        <v>47643</v>
      </c>
      <c r="E14539" t="b">
        <v>0</v>
      </c>
      <c r="F14539" t="s">
        <v>11624</v>
      </c>
      <c r="G14539">
        <v>1.0450299999999999</v>
      </c>
      <c r="H14539">
        <v>-66.964600000000004</v>
      </c>
      <c r="I14539" t="s">
        <v>47644</v>
      </c>
      <c r="L14539">
        <v>0</v>
      </c>
      <c r="M14539">
        <v>0</v>
      </c>
      <c r="N14539">
        <v>0</v>
      </c>
      <c r="O14539" t="s">
        <v>16716</v>
      </c>
    </row>
    <row r="14540" spans="1:15">
      <c r="A14540" t="s">
        <v>47645</v>
      </c>
      <c r="B14540" t="s">
        <v>12438</v>
      </c>
      <c r="C14540" t="s">
        <v>22245</v>
      </c>
      <c r="D14540" t="s">
        <v>47646</v>
      </c>
      <c r="E14540" t="b">
        <v>0</v>
      </c>
      <c r="F14540" t="s">
        <v>11610</v>
      </c>
      <c r="L14540">
        <v>0</v>
      </c>
      <c r="M14540">
        <v>0</v>
      </c>
      <c r="N14540">
        <v>0</v>
      </c>
    </row>
    <row r="14541" spans="1:15">
      <c r="A14541" t="s">
        <v>47647</v>
      </c>
      <c r="B14541" t="s">
        <v>10597</v>
      </c>
      <c r="C14541" t="s">
        <v>47648</v>
      </c>
      <c r="D14541" t="s">
        <v>47649</v>
      </c>
      <c r="E14541" t="b">
        <v>0</v>
      </c>
      <c r="F14541" t="s">
        <v>11610</v>
      </c>
      <c r="I14541" t="s">
        <v>47650</v>
      </c>
      <c r="L14541">
        <v>0</v>
      </c>
      <c r="M14541">
        <v>0</v>
      </c>
      <c r="N14541">
        <v>0</v>
      </c>
      <c r="O14541" t="s">
        <v>12107</v>
      </c>
    </row>
    <row r="14542" spans="1:15">
      <c r="A14542" t="s">
        <v>47651</v>
      </c>
      <c r="B14542" t="s">
        <v>6742</v>
      </c>
      <c r="C14542" t="s">
        <v>4187</v>
      </c>
      <c r="D14542" t="s">
        <v>47652</v>
      </c>
      <c r="E14542" t="b">
        <v>0</v>
      </c>
      <c r="F14542" t="s">
        <v>11610</v>
      </c>
      <c r="L14542">
        <v>0</v>
      </c>
      <c r="M14542">
        <v>0</v>
      </c>
      <c r="N14542">
        <v>0</v>
      </c>
    </row>
    <row r="14543" spans="1:15">
      <c r="A14543" t="s">
        <v>47653</v>
      </c>
      <c r="B14543" t="s">
        <v>10597</v>
      </c>
      <c r="C14543" t="s">
        <v>21820</v>
      </c>
      <c r="D14543" t="s">
        <v>47654</v>
      </c>
      <c r="E14543" t="b">
        <v>0</v>
      </c>
      <c r="F14543" t="s">
        <v>11624</v>
      </c>
      <c r="G14543">
        <v>-21.381540000000001</v>
      </c>
      <c r="H14543">
        <v>115.74542</v>
      </c>
      <c r="I14543" t="s">
        <v>47655</v>
      </c>
      <c r="L14543">
        <v>0</v>
      </c>
      <c r="M14543">
        <v>0</v>
      </c>
      <c r="N14543">
        <v>0</v>
      </c>
      <c r="O14543" t="s">
        <v>12107</v>
      </c>
    </row>
    <row r="14544" spans="1:15">
      <c r="A14544" t="s">
        <v>47656</v>
      </c>
      <c r="B14544" t="s">
        <v>6742</v>
      </c>
      <c r="C14544" t="s">
        <v>28313</v>
      </c>
      <c r="D14544" t="s">
        <v>47657</v>
      </c>
      <c r="E14544" t="b">
        <v>0</v>
      </c>
      <c r="F14544" t="s">
        <v>11610</v>
      </c>
      <c r="L14544">
        <v>0</v>
      </c>
      <c r="M14544">
        <v>0</v>
      </c>
      <c r="N14544">
        <v>0</v>
      </c>
    </row>
    <row r="14545" spans="1:15">
      <c r="A14545" t="s">
        <v>47658</v>
      </c>
      <c r="B14545" t="s">
        <v>6742</v>
      </c>
      <c r="C14545" t="s">
        <v>25013</v>
      </c>
      <c r="D14545" t="s">
        <v>47659</v>
      </c>
      <c r="E14545" t="b">
        <v>0</v>
      </c>
      <c r="F14545" t="s">
        <v>11610</v>
      </c>
      <c r="L14545">
        <v>0</v>
      </c>
      <c r="M14545">
        <v>0</v>
      </c>
      <c r="N14545">
        <v>0</v>
      </c>
    </row>
    <row r="14546" spans="1:15">
      <c r="A14546" t="s">
        <v>47660</v>
      </c>
      <c r="B14546" t="s">
        <v>6742</v>
      </c>
      <c r="C14546" t="s">
        <v>16596</v>
      </c>
      <c r="D14546" t="s">
        <v>47661</v>
      </c>
      <c r="E14546" t="b">
        <v>0</v>
      </c>
      <c r="F14546" t="s">
        <v>11610</v>
      </c>
      <c r="L14546">
        <v>0</v>
      </c>
      <c r="M14546">
        <v>0</v>
      </c>
      <c r="N14546">
        <v>0</v>
      </c>
    </row>
    <row r="14547" spans="1:15">
      <c r="A14547" t="s">
        <v>47662</v>
      </c>
      <c r="B14547" t="s">
        <v>6742</v>
      </c>
      <c r="C14547" t="s">
        <v>25013</v>
      </c>
      <c r="D14547" t="s">
        <v>47663</v>
      </c>
      <c r="E14547" t="b">
        <v>0</v>
      </c>
      <c r="F14547" t="s">
        <v>11610</v>
      </c>
      <c r="L14547">
        <v>0</v>
      </c>
      <c r="M14547">
        <v>0</v>
      </c>
      <c r="N14547">
        <v>0</v>
      </c>
    </row>
    <row r="14548" spans="1:15">
      <c r="A14548" t="s">
        <v>47664</v>
      </c>
      <c r="B14548" t="s">
        <v>367</v>
      </c>
      <c r="C14548" t="s">
        <v>44094</v>
      </c>
      <c r="D14548" t="s">
        <v>47665</v>
      </c>
      <c r="E14548" t="b">
        <v>0</v>
      </c>
      <c r="F14548" t="s">
        <v>11622</v>
      </c>
      <c r="L14548">
        <v>0</v>
      </c>
      <c r="M14548">
        <v>2</v>
      </c>
      <c r="N14548">
        <v>4</v>
      </c>
    </row>
    <row r="14549" spans="1:15">
      <c r="A14549" t="s">
        <v>5302</v>
      </c>
      <c r="B14549" t="s">
        <v>367</v>
      </c>
      <c r="C14549" t="s">
        <v>47664</v>
      </c>
      <c r="D14549" t="s">
        <v>5301</v>
      </c>
      <c r="E14549" t="b">
        <v>0</v>
      </c>
      <c r="F14549" t="s">
        <v>11624</v>
      </c>
      <c r="G14549">
        <v>0.90690999999999999</v>
      </c>
      <c r="H14549">
        <v>97.496099999999998</v>
      </c>
      <c r="I14549" t="s">
        <v>5303</v>
      </c>
      <c r="L14549">
        <v>0</v>
      </c>
      <c r="M14549">
        <v>0</v>
      </c>
      <c r="N14549">
        <v>2</v>
      </c>
      <c r="O14549" t="s">
        <v>11768</v>
      </c>
    </row>
    <row r="14550" spans="1:15">
      <c r="A14550" t="s">
        <v>47666</v>
      </c>
      <c r="B14550" t="s">
        <v>11637</v>
      </c>
      <c r="C14550" t="s">
        <v>13063</v>
      </c>
      <c r="D14550" t="s">
        <v>47667</v>
      </c>
      <c r="E14550" t="b">
        <v>0</v>
      </c>
      <c r="F14550" t="s">
        <v>11610</v>
      </c>
      <c r="L14550">
        <v>0</v>
      </c>
      <c r="M14550">
        <v>0</v>
      </c>
      <c r="N14550">
        <v>0</v>
      </c>
    </row>
    <row r="14551" spans="1:15">
      <c r="A14551" t="s">
        <v>47668</v>
      </c>
      <c r="B14551" t="s">
        <v>367</v>
      </c>
      <c r="C14551" t="s">
        <v>19210</v>
      </c>
      <c r="D14551" t="s">
        <v>47669</v>
      </c>
      <c r="E14551" t="b">
        <v>0</v>
      </c>
      <c r="F14551" t="s">
        <v>11610</v>
      </c>
      <c r="L14551">
        <v>0</v>
      </c>
      <c r="M14551">
        <v>0</v>
      </c>
      <c r="N14551">
        <v>0</v>
      </c>
    </row>
    <row r="14552" spans="1:15">
      <c r="A14552" t="s">
        <v>47670</v>
      </c>
      <c r="B14552" t="s">
        <v>11981</v>
      </c>
      <c r="C14552" t="s">
        <v>12200</v>
      </c>
      <c r="D14552" t="s">
        <v>47671</v>
      </c>
      <c r="E14552" t="b">
        <v>0</v>
      </c>
      <c r="F14552" t="s">
        <v>11624</v>
      </c>
      <c r="G14552">
        <v>12.2509</v>
      </c>
      <c r="H14552">
        <v>-86.3399</v>
      </c>
      <c r="I14552" t="s">
        <v>47672</v>
      </c>
      <c r="L14552">
        <v>0</v>
      </c>
      <c r="M14552">
        <v>0</v>
      </c>
      <c r="N14552">
        <v>0</v>
      </c>
      <c r="O14552" t="s">
        <v>43310</v>
      </c>
    </row>
    <row r="14553" spans="1:15">
      <c r="A14553" t="s">
        <v>47673</v>
      </c>
      <c r="B14553" t="s">
        <v>11637</v>
      </c>
      <c r="C14553" t="s">
        <v>24239</v>
      </c>
      <c r="D14553" t="s">
        <v>47674</v>
      </c>
      <c r="E14553" t="b">
        <v>0</v>
      </c>
      <c r="F14553" t="s">
        <v>11610</v>
      </c>
      <c r="L14553">
        <v>0</v>
      </c>
      <c r="M14553">
        <v>0</v>
      </c>
      <c r="N14553">
        <v>0</v>
      </c>
    </row>
    <row r="14554" spans="1:15">
      <c r="A14554" t="s">
        <v>47675</v>
      </c>
      <c r="B14554" t="s">
        <v>17576</v>
      </c>
      <c r="C14554" t="s">
        <v>43495</v>
      </c>
      <c r="D14554" t="s">
        <v>47676</v>
      </c>
      <c r="E14554" t="b">
        <v>0</v>
      </c>
      <c r="F14554" t="s">
        <v>11610</v>
      </c>
      <c r="L14554">
        <v>0</v>
      </c>
      <c r="M14554">
        <v>0</v>
      </c>
      <c r="N14554">
        <v>0</v>
      </c>
    </row>
    <row r="14555" spans="1:15">
      <c r="A14555" t="s">
        <v>47677</v>
      </c>
      <c r="B14555" t="s">
        <v>11637</v>
      </c>
      <c r="C14555" t="s">
        <v>17839</v>
      </c>
      <c r="D14555" t="s">
        <v>47678</v>
      </c>
      <c r="E14555" t="b">
        <v>0</v>
      </c>
      <c r="F14555" t="s">
        <v>11624</v>
      </c>
      <c r="G14555">
        <v>12.440200000000001</v>
      </c>
      <c r="H14555">
        <v>-83.738600000000005</v>
      </c>
      <c r="I14555" t="s">
        <v>47679</v>
      </c>
      <c r="L14555">
        <v>0</v>
      </c>
      <c r="M14555">
        <v>0</v>
      </c>
      <c r="N14555">
        <v>0</v>
      </c>
      <c r="O14555" t="s">
        <v>43310</v>
      </c>
    </row>
    <row r="14556" spans="1:15">
      <c r="A14556" t="s">
        <v>21157</v>
      </c>
      <c r="B14556" t="s">
        <v>12438</v>
      </c>
      <c r="C14556" t="s">
        <v>12438</v>
      </c>
      <c r="D14556" t="s">
        <v>47680</v>
      </c>
      <c r="E14556" t="b">
        <v>0</v>
      </c>
      <c r="F14556" t="s">
        <v>11622</v>
      </c>
      <c r="L14556">
        <v>3</v>
      </c>
      <c r="M14556">
        <v>5</v>
      </c>
      <c r="N14556">
        <v>11</v>
      </c>
    </row>
    <row r="14557" spans="1:15">
      <c r="A14557" t="s">
        <v>47681</v>
      </c>
      <c r="B14557" t="s">
        <v>11879</v>
      </c>
      <c r="C14557" t="s">
        <v>24903</v>
      </c>
      <c r="D14557" t="s">
        <v>47682</v>
      </c>
      <c r="E14557" t="b">
        <v>0</v>
      </c>
      <c r="F14557" t="s">
        <v>11610</v>
      </c>
      <c r="L14557">
        <v>0</v>
      </c>
      <c r="M14557">
        <v>0</v>
      </c>
      <c r="N14557">
        <v>0</v>
      </c>
    </row>
    <row r="14558" spans="1:15">
      <c r="A14558" t="s">
        <v>47683</v>
      </c>
      <c r="B14558" t="s">
        <v>6742</v>
      </c>
      <c r="C14558" t="s">
        <v>34930</v>
      </c>
      <c r="D14558" t="s">
        <v>47684</v>
      </c>
      <c r="E14558" t="b">
        <v>0</v>
      </c>
      <c r="F14558" t="s">
        <v>11610</v>
      </c>
      <c r="L14558">
        <v>0</v>
      </c>
      <c r="M14558">
        <v>0</v>
      </c>
      <c r="N14558">
        <v>0</v>
      </c>
    </row>
    <row r="14559" spans="1:15">
      <c r="A14559" t="s">
        <v>47685</v>
      </c>
      <c r="B14559" t="s">
        <v>12311</v>
      </c>
      <c r="C14559" t="s">
        <v>47686</v>
      </c>
      <c r="D14559" t="s">
        <v>47687</v>
      </c>
      <c r="E14559" t="b">
        <v>0</v>
      </c>
      <c r="F14559" t="s">
        <v>11610</v>
      </c>
      <c r="L14559">
        <v>0</v>
      </c>
      <c r="M14559">
        <v>0</v>
      </c>
      <c r="N14559">
        <v>0</v>
      </c>
    </row>
    <row r="14560" spans="1:15">
      <c r="A14560" t="s">
        <v>47688</v>
      </c>
      <c r="B14560" t="s">
        <v>6742</v>
      </c>
      <c r="C14560" t="s">
        <v>25013</v>
      </c>
      <c r="D14560" t="s">
        <v>47689</v>
      </c>
      <c r="E14560" t="b">
        <v>0</v>
      </c>
      <c r="F14560" t="s">
        <v>11610</v>
      </c>
      <c r="L14560">
        <v>0</v>
      </c>
      <c r="M14560">
        <v>0</v>
      </c>
      <c r="N14560">
        <v>0</v>
      </c>
    </row>
    <row r="14561" spans="1:15">
      <c r="A14561" t="s">
        <v>47690</v>
      </c>
      <c r="B14561" t="s">
        <v>6742</v>
      </c>
      <c r="C14561" t="s">
        <v>19957</v>
      </c>
      <c r="D14561" t="s">
        <v>47691</v>
      </c>
      <c r="E14561" t="b">
        <v>0</v>
      </c>
      <c r="F14561" t="s">
        <v>11624</v>
      </c>
      <c r="G14561">
        <v>9.7036200000000008</v>
      </c>
      <c r="H14561">
        <v>17.813459999999999</v>
      </c>
      <c r="I14561" t="s">
        <v>47692</v>
      </c>
      <c r="L14561">
        <v>0</v>
      </c>
      <c r="M14561">
        <v>0</v>
      </c>
      <c r="N14561">
        <v>3</v>
      </c>
      <c r="O14561" t="s">
        <v>13421</v>
      </c>
    </row>
    <row r="14562" spans="1:15">
      <c r="A14562" t="s">
        <v>47693</v>
      </c>
      <c r="B14562" t="s">
        <v>13276</v>
      </c>
      <c r="C14562" t="s">
        <v>17145</v>
      </c>
      <c r="D14562" t="s">
        <v>47694</v>
      </c>
      <c r="E14562" t="b">
        <v>0</v>
      </c>
      <c r="F14562" t="s">
        <v>11610</v>
      </c>
      <c r="L14562">
        <v>0</v>
      </c>
      <c r="M14562">
        <v>0</v>
      </c>
      <c r="N14562">
        <v>0</v>
      </c>
    </row>
    <row r="14563" spans="1:15">
      <c r="A14563" t="s">
        <v>47695</v>
      </c>
      <c r="B14563" t="s">
        <v>6742</v>
      </c>
      <c r="C14563" t="s">
        <v>16186</v>
      </c>
      <c r="D14563" t="s">
        <v>47696</v>
      </c>
      <c r="E14563" t="b">
        <v>0</v>
      </c>
      <c r="F14563" t="s">
        <v>11610</v>
      </c>
      <c r="L14563">
        <v>0</v>
      </c>
      <c r="M14563">
        <v>0</v>
      </c>
      <c r="N14563">
        <v>0</v>
      </c>
    </row>
    <row r="14564" spans="1:15">
      <c r="A14564" t="s">
        <v>47697</v>
      </c>
      <c r="B14564" t="s">
        <v>11615</v>
      </c>
      <c r="C14564" t="s">
        <v>28116</v>
      </c>
      <c r="D14564" t="s">
        <v>47698</v>
      </c>
      <c r="E14564" t="b">
        <v>0</v>
      </c>
      <c r="F14564" t="s">
        <v>11610</v>
      </c>
      <c r="L14564">
        <v>0</v>
      </c>
      <c r="M14564">
        <v>0</v>
      </c>
      <c r="N14564">
        <v>0</v>
      </c>
    </row>
    <row r="14565" spans="1:15">
      <c r="A14565" t="s">
        <v>47699</v>
      </c>
      <c r="B14565" t="s">
        <v>13276</v>
      </c>
      <c r="C14565" t="s">
        <v>37668</v>
      </c>
      <c r="D14565" t="s">
        <v>47700</v>
      </c>
      <c r="E14565" t="b">
        <v>0</v>
      </c>
      <c r="F14565" t="s">
        <v>11610</v>
      </c>
      <c r="L14565">
        <v>0</v>
      </c>
      <c r="M14565">
        <v>0</v>
      </c>
      <c r="N14565">
        <v>0</v>
      </c>
    </row>
    <row r="14566" spans="1:15">
      <c r="A14566" t="s">
        <v>47701</v>
      </c>
      <c r="B14566" t="s">
        <v>11981</v>
      </c>
      <c r="C14566" t="s">
        <v>22090</v>
      </c>
      <c r="D14566" t="s">
        <v>47702</v>
      </c>
      <c r="E14566" t="b">
        <v>0</v>
      </c>
      <c r="F14566" t="s">
        <v>11624</v>
      </c>
      <c r="G14566">
        <v>6.4999700000000002</v>
      </c>
      <c r="H14566">
        <v>3.1666400000000001</v>
      </c>
      <c r="I14566" t="s">
        <v>47703</v>
      </c>
      <c r="L14566">
        <v>0</v>
      </c>
      <c r="M14566">
        <v>0</v>
      </c>
      <c r="N14566">
        <v>0</v>
      </c>
      <c r="O14566" t="s">
        <v>11693</v>
      </c>
    </row>
    <row r="14567" spans="1:15">
      <c r="A14567" t="s">
        <v>17491</v>
      </c>
      <c r="B14567" t="s">
        <v>6742</v>
      </c>
      <c r="C14567" t="s">
        <v>11997</v>
      </c>
      <c r="D14567" t="s">
        <v>47704</v>
      </c>
      <c r="E14567" t="b">
        <v>0</v>
      </c>
      <c r="F14567" t="s">
        <v>11624</v>
      </c>
      <c r="G14567">
        <v>10.997199999999999</v>
      </c>
      <c r="H14567">
        <v>11.1188</v>
      </c>
      <c r="I14567" t="s">
        <v>47705</v>
      </c>
      <c r="L14567">
        <v>0</v>
      </c>
      <c r="M14567">
        <v>0</v>
      </c>
      <c r="N14567">
        <v>5</v>
      </c>
      <c r="O14567" t="s">
        <v>20045</v>
      </c>
    </row>
    <row r="14568" spans="1:15">
      <c r="A14568" t="s">
        <v>33122</v>
      </c>
      <c r="B14568" t="s">
        <v>6742</v>
      </c>
      <c r="C14568" t="s">
        <v>33244</v>
      </c>
      <c r="D14568" t="s">
        <v>47706</v>
      </c>
      <c r="E14568" t="b">
        <v>0</v>
      </c>
      <c r="F14568" t="s">
        <v>11622</v>
      </c>
      <c r="L14568">
        <v>4</v>
      </c>
      <c r="M14568">
        <v>12</v>
      </c>
      <c r="N14568">
        <v>18</v>
      </c>
    </row>
    <row r="14569" spans="1:15">
      <c r="A14569" t="s">
        <v>17167</v>
      </c>
      <c r="B14569" t="s">
        <v>6742</v>
      </c>
      <c r="C14569" t="s">
        <v>26657</v>
      </c>
      <c r="D14569" t="s">
        <v>47707</v>
      </c>
      <c r="E14569" t="b">
        <v>0</v>
      </c>
      <c r="F14569" t="s">
        <v>11624</v>
      </c>
      <c r="G14569">
        <v>6.6973599999999998</v>
      </c>
      <c r="H14569">
        <v>11.3161</v>
      </c>
      <c r="I14569" t="s">
        <v>47708</v>
      </c>
      <c r="L14569">
        <v>0</v>
      </c>
      <c r="M14569">
        <v>0</v>
      </c>
      <c r="N14569">
        <v>8</v>
      </c>
      <c r="O14569" t="s">
        <v>11802</v>
      </c>
    </row>
    <row r="14570" spans="1:15">
      <c r="A14570" t="s">
        <v>47709</v>
      </c>
      <c r="B14570" t="s">
        <v>11637</v>
      </c>
      <c r="C14570" t="s">
        <v>20999</v>
      </c>
      <c r="D14570" t="s">
        <v>47710</v>
      </c>
      <c r="E14570" t="b">
        <v>0</v>
      </c>
      <c r="F14570" t="s">
        <v>11624</v>
      </c>
      <c r="G14570">
        <v>9.6587300000000003</v>
      </c>
      <c r="H14570">
        <v>4.21068</v>
      </c>
      <c r="I14570" t="s">
        <v>47711</v>
      </c>
      <c r="L14570">
        <v>0</v>
      </c>
      <c r="M14570">
        <v>0</v>
      </c>
      <c r="N14570">
        <v>0</v>
      </c>
      <c r="O14570" t="s">
        <v>11693</v>
      </c>
    </row>
    <row r="14571" spans="1:15">
      <c r="A14571" t="s">
        <v>20999</v>
      </c>
      <c r="B14571" t="s">
        <v>11637</v>
      </c>
      <c r="C14571" t="s">
        <v>27810</v>
      </c>
      <c r="D14571" t="s">
        <v>47712</v>
      </c>
      <c r="E14571" t="b">
        <v>0</v>
      </c>
      <c r="F14571" t="s">
        <v>11622</v>
      </c>
      <c r="L14571">
        <v>0</v>
      </c>
      <c r="M14571">
        <v>2</v>
      </c>
      <c r="N14571">
        <v>0</v>
      </c>
    </row>
    <row r="14572" spans="1:15">
      <c r="A14572" t="s">
        <v>22090</v>
      </c>
      <c r="B14572" t="s">
        <v>11981</v>
      </c>
      <c r="C14572" t="s">
        <v>13456</v>
      </c>
      <c r="D14572" t="s">
        <v>47713</v>
      </c>
      <c r="E14572" t="b">
        <v>0</v>
      </c>
      <c r="F14572" t="s">
        <v>11622</v>
      </c>
      <c r="L14572">
        <v>0</v>
      </c>
      <c r="M14572">
        <v>2</v>
      </c>
      <c r="N14572">
        <v>0</v>
      </c>
    </row>
    <row r="14573" spans="1:15">
      <c r="A14573" t="s">
        <v>47714</v>
      </c>
      <c r="B14573" t="s">
        <v>6742</v>
      </c>
      <c r="C14573" t="s">
        <v>46959</v>
      </c>
      <c r="D14573" t="s">
        <v>47715</v>
      </c>
      <c r="E14573" t="b">
        <v>0</v>
      </c>
      <c r="F14573" t="s">
        <v>11610</v>
      </c>
      <c r="L14573">
        <v>0</v>
      </c>
      <c r="M14573">
        <v>0</v>
      </c>
      <c r="N14573">
        <v>0</v>
      </c>
    </row>
    <row r="14574" spans="1:15">
      <c r="A14574" t="s">
        <v>47716</v>
      </c>
      <c r="B14574" t="s">
        <v>11705</v>
      </c>
      <c r="C14574" t="s">
        <v>15935</v>
      </c>
      <c r="D14574" t="s">
        <v>47717</v>
      </c>
      <c r="E14574" t="b">
        <v>0</v>
      </c>
      <c r="F14574" t="s">
        <v>11624</v>
      </c>
      <c r="G14574">
        <v>-4.45</v>
      </c>
      <c r="H14574">
        <v>142.55000000000001</v>
      </c>
      <c r="L14574">
        <v>0</v>
      </c>
      <c r="M14574">
        <v>0</v>
      </c>
      <c r="N14574">
        <v>0</v>
      </c>
      <c r="O14574" t="s">
        <v>11660</v>
      </c>
    </row>
    <row r="14575" spans="1:15">
      <c r="A14575" t="s">
        <v>47718</v>
      </c>
      <c r="D14575" t="s">
        <v>47719</v>
      </c>
      <c r="E14575" t="b">
        <v>0</v>
      </c>
      <c r="F14575" t="s">
        <v>11624</v>
      </c>
      <c r="G14575">
        <v>21.188600000000001</v>
      </c>
      <c r="H14575">
        <v>76.331800000000001</v>
      </c>
      <c r="I14575" t="s">
        <v>47720</v>
      </c>
      <c r="L14575">
        <v>0</v>
      </c>
      <c r="M14575">
        <v>0</v>
      </c>
      <c r="N14575">
        <v>0</v>
      </c>
      <c r="O14575" t="s">
        <v>11630</v>
      </c>
    </row>
    <row r="14576" spans="1:15">
      <c r="A14576" t="s">
        <v>47721</v>
      </c>
      <c r="B14576" t="s">
        <v>4342</v>
      </c>
      <c r="C14576" t="s">
        <v>26772</v>
      </c>
      <c r="D14576" t="s">
        <v>47722</v>
      </c>
      <c r="E14576" t="b">
        <v>0</v>
      </c>
      <c r="F14576" t="s">
        <v>11610</v>
      </c>
      <c r="L14576">
        <v>0</v>
      </c>
      <c r="M14576">
        <v>0</v>
      </c>
      <c r="N14576">
        <v>0</v>
      </c>
    </row>
    <row r="14577" spans="1:15">
      <c r="A14577" t="s">
        <v>47723</v>
      </c>
      <c r="B14577" t="s">
        <v>11615</v>
      </c>
      <c r="C14577" t="s">
        <v>47724</v>
      </c>
      <c r="D14577" t="s">
        <v>47725</v>
      </c>
      <c r="E14577" t="b">
        <v>0</v>
      </c>
      <c r="F14577" t="s">
        <v>11624</v>
      </c>
      <c r="G14577">
        <v>-5.7629999999999999</v>
      </c>
      <c r="H14577">
        <v>144.518</v>
      </c>
      <c r="I14577" t="s">
        <v>47726</v>
      </c>
      <c r="L14577">
        <v>0</v>
      </c>
      <c r="M14577">
        <v>0</v>
      </c>
      <c r="N14577">
        <v>0</v>
      </c>
      <c r="O14577" t="s">
        <v>11660</v>
      </c>
    </row>
    <row r="14578" spans="1:15">
      <c r="A14578" t="s">
        <v>47727</v>
      </c>
      <c r="B14578" t="s">
        <v>10597</v>
      </c>
      <c r="C14578" t="s">
        <v>21819</v>
      </c>
      <c r="D14578" t="s">
        <v>47728</v>
      </c>
      <c r="E14578" t="b">
        <v>0</v>
      </c>
      <c r="F14578" t="s">
        <v>11624</v>
      </c>
      <c r="G14578">
        <v>-22.855799999999999</v>
      </c>
      <c r="H14578">
        <v>120.831</v>
      </c>
      <c r="I14578" t="s">
        <v>47729</v>
      </c>
      <c r="L14578">
        <v>0</v>
      </c>
      <c r="M14578">
        <v>0</v>
      </c>
      <c r="N14578">
        <v>0</v>
      </c>
      <c r="O14578" t="s">
        <v>12107</v>
      </c>
    </row>
    <row r="14579" spans="1:15">
      <c r="A14579" t="s">
        <v>47730</v>
      </c>
      <c r="B14579" t="s">
        <v>11627</v>
      </c>
      <c r="C14579" t="s">
        <v>11627</v>
      </c>
      <c r="D14579" t="s">
        <v>47731</v>
      </c>
      <c r="E14579" t="b">
        <v>1</v>
      </c>
      <c r="F14579" t="s">
        <v>11624</v>
      </c>
      <c r="G14579">
        <v>-22.85576</v>
      </c>
      <c r="H14579">
        <v>120.83056999999999</v>
      </c>
      <c r="I14579" t="s">
        <v>47732</v>
      </c>
      <c r="L14579">
        <v>0</v>
      </c>
      <c r="M14579">
        <v>0</v>
      </c>
      <c r="N14579">
        <v>0</v>
      </c>
      <c r="O14579" t="s">
        <v>12107</v>
      </c>
    </row>
    <row r="14580" spans="1:15">
      <c r="A14580" t="s">
        <v>47733</v>
      </c>
      <c r="B14580" t="s">
        <v>11637</v>
      </c>
      <c r="C14580" t="s">
        <v>29195</v>
      </c>
      <c r="D14580" t="s">
        <v>47734</v>
      </c>
      <c r="E14580" t="b">
        <v>0</v>
      </c>
      <c r="F14580" t="s">
        <v>11610</v>
      </c>
      <c r="L14580">
        <v>0</v>
      </c>
      <c r="M14580">
        <v>0</v>
      </c>
      <c r="N14580">
        <v>0</v>
      </c>
    </row>
    <row r="14581" spans="1:15">
      <c r="A14581" t="s">
        <v>47735</v>
      </c>
      <c r="B14581" t="s">
        <v>13291</v>
      </c>
      <c r="C14581" t="s">
        <v>19558</v>
      </c>
      <c r="D14581" t="s">
        <v>47736</v>
      </c>
      <c r="E14581" t="b">
        <v>0</v>
      </c>
      <c r="F14581" t="s">
        <v>11610</v>
      </c>
      <c r="L14581">
        <v>0</v>
      </c>
      <c r="M14581">
        <v>0</v>
      </c>
      <c r="N14581">
        <v>0</v>
      </c>
    </row>
    <row r="14582" spans="1:15">
      <c r="A14582" t="s">
        <v>28222</v>
      </c>
      <c r="B14582" t="s">
        <v>11705</v>
      </c>
      <c r="C14582" t="s">
        <v>31032</v>
      </c>
      <c r="D14582" t="s">
        <v>47737</v>
      </c>
      <c r="E14582" t="b">
        <v>0</v>
      </c>
      <c r="F14582" t="s">
        <v>11624</v>
      </c>
      <c r="G14582">
        <v>-4.8258099999999997</v>
      </c>
      <c r="H14582">
        <v>142.44999999999999</v>
      </c>
      <c r="I14582" t="s">
        <v>47738</v>
      </c>
      <c r="L14582">
        <v>0</v>
      </c>
      <c r="M14582">
        <v>0</v>
      </c>
      <c r="N14582">
        <v>3</v>
      </c>
      <c r="O14582" t="s">
        <v>11660</v>
      </c>
    </row>
    <row r="14583" spans="1:15">
      <c r="A14583" t="s">
        <v>47739</v>
      </c>
      <c r="B14583" t="s">
        <v>367</v>
      </c>
      <c r="C14583" t="s">
        <v>47740</v>
      </c>
      <c r="D14583" t="s">
        <v>47741</v>
      </c>
      <c r="E14583" t="b">
        <v>0</v>
      </c>
      <c r="F14583" t="s">
        <v>11610</v>
      </c>
      <c r="L14583">
        <v>0</v>
      </c>
      <c r="M14583">
        <v>0</v>
      </c>
      <c r="N14583">
        <v>0</v>
      </c>
    </row>
    <row r="14584" spans="1:15">
      <c r="A14584" t="s">
        <v>31844</v>
      </c>
      <c r="B14584" t="s">
        <v>6742</v>
      </c>
      <c r="C14584" t="s">
        <v>32692</v>
      </c>
      <c r="D14584" t="s">
        <v>47742</v>
      </c>
      <c r="E14584" t="b">
        <v>0</v>
      </c>
      <c r="F14584" t="s">
        <v>11624</v>
      </c>
      <c r="G14584">
        <v>-4.5000200000000001</v>
      </c>
      <c r="H14584">
        <v>34.306800000000003</v>
      </c>
      <c r="I14584" t="s">
        <v>47743</v>
      </c>
      <c r="L14584">
        <v>0</v>
      </c>
      <c r="M14584">
        <v>0</v>
      </c>
      <c r="N14584">
        <v>1</v>
      </c>
      <c r="O14584" t="s">
        <v>11635</v>
      </c>
    </row>
    <row r="14585" spans="1:15">
      <c r="A14585" t="s">
        <v>47744</v>
      </c>
      <c r="B14585" t="s">
        <v>367</v>
      </c>
      <c r="C14585" t="s">
        <v>47745</v>
      </c>
      <c r="D14585" t="s">
        <v>47746</v>
      </c>
      <c r="E14585" t="b">
        <v>0</v>
      </c>
      <c r="F14585" t="s">
        <v>11622</v>
      </c>
      <c r="L14585">
        <v>0</v>
      </c>
      <c r="M14585">
        <v>2</v>
      </c>
      <c r="N14585">
        <v>0</v>
      </c>
    </row>
    <row r="14586" spans="1:15">
      <c r="A14586" t="s">
        <v>47747</v>
      </c>
      <c r="B14586" t="s">
        <v>367</v>
      </c>
      <c r="C14586" t="s">
        <v>47744</v>
      </c>
      <c r="D14586" t="s">
        <v>47748</v>
      </c>
      <c r="E14586" t="b">
        <v>0</v>
      </c>
      <c r="F14586" t="s">
        <v>11624</v>
      </c>
      <c r="G14586">
        <v>-6.7349560000000004</v>
      </c>
      <c r="H14586">
        <v>129.51213100000001</v>
      </c>
      <c r="I14586" t="s">
        <v>47749</v>
      </c>
      <c r="L14586">
        <v>0</v>
      </c>
      <c r="M14586">
        <v>0</v>
      </c>
      <c r="N14586">
        <v>0</v>
      </c>
      <c r="O14586" t="s">
        <v>11768</v>
      </c>
    </row>
    <row r="14587" spans="1:15">
      <c r="A14587" t="s">
        <v>47750</v>
      </c>
      <c r="B14587" t="s">
        <v>11644</v>
      </c>
      <c r="C14587" t="s">
        <v>33067</v>
      </c>
      <c r="D14587" t="s">
        <v>47751</v>
      </c>
      <c r="E14587" t="b">
        <v>0</v>
      </c>
      <c r="F14587" t="s">
        <v>11610</v>
      </c>
      <c r="L14587">
        <v>0</v>
      </c>
      <c r="M14587">
        <v>0</v>
      </c>
      <c r="N14587">
        <v>0</v>
      </c>
    </row>
    <row r="14588" spans="1:15">
      <c r="A14588" t="s">
        <v>35637</v>
      </c>
      <c r="B14588" t="s">
        <v>11644</v>
      </c>
      <c r="C14588" t="s">
        <v>30713</v>
      </c>
      <c r="D14588" t="s">
        <v>47752</v>
      </c>
      <c r="E14588" t="b">
        <v>0</v>
      </c>
      <c r="F14588" t="s">
        <v>11622</v>
      </c>
      <c r="L14588">
        <v>51</v>
      </c>
      <c r="M14588">
        <v>72</v>
      </c>
      <c r="N14588">
        <v>29</v>
      </c>
    </row>
    <row r="14589" spans="1:15">
      <c r="A14589" t="s">
        <v>11757</v>
      </c>
      <c r="D14589" t="s">
        <v>47753</v>
      </c>
      <c r="E14589" t="b">
        <v>0</v>
      </c>
      <c r="F14589" t="s">
        <v>11622</v>
      </c>
      <c r="L14589">
        <v>30</v>
      </c>
      <c r="M14589">
        <v>54</v>
      </c>
      <c r="N14589">
        <v>117</v>
      </c>
    </row>
    <row r="14590" spans="1:15">
      <c r="A14590" t="s">
        <v>18330</v>
      </c>
      <c r="B14590" t="s">
        <v>11637</v>
      </c>
      <c r="C14590" t="s">
        <v>1274</v>
      </c>
      <c r="D14590" t="s">
        <v>47754</v>
      </c>
      <c r="E14590" t="b">
        <v>0</v>
      </c>
      <c r="F14590" t="s">
        <v>11624</v>
      </c>
      <c r="G14590">
        <v>22.126300000000001</v>
      </c>
      <c r="H14590">
        <v>76.126400000000004</v>
      </c>
      <c r="I14590" t="s">
        <v>47755</v>
      </c>
      <c r="L14590">
        <v>0</v>
      </c>
      <c r="M14590">
        <v>0</v>
      </c>
      <c r="N14590">
        <v>1</v>
      </c>
      <c r="O14590" t="s">
        <v>11630</v>
      </c>
    </row>
    <row r="14591" spans="1:15">
      <c r="A14591" t="s">
        <v>47756</v>
      </c>
      <c r="B14591" t="s">
        <v>17023</v>
      </c>
      <c r="C14591" t="s">
        <v>17024</v>
      </c>
      <c r="D14591" t="s">
        <v>47757</v>
      </c>
      <c r="E14591" t="b">
        <v>0</v>
      </c>
      <c r="F14591" t="s">
        <v>11624</v>
      </c>
      <c r="G14591">
        <v>-17.373999999999999</v>
      </c>
      <c r="H14591">
        <v>123.22799999999999</v>
      </c>
      <c r="I14591" t="s">
        <v>47758</v>
      </c>
      <c r="L14591">
        <v>0</v>
      </c>
      <c r="M14591">
        <v>0</v>
      </c>
      <c r="N14591">
        <v>0</v>
      </c>
      <c r="O14591" t="s">
        <v>12107</v>
      </c>
    </row>
    <row r="14592" spans="1:15">
      <c r="A14592" t="s">
        <v>47759</v>
      </c>
      <c r="B14592" t="s">
        <v>11615</v>
      </c>
      <c r="C14592" t="s">
        <v>24863</v>
      </c>
      <c r="D14592" t="s">
        <v>47760</v>
      </c>
      <c r="E14592" t="b">
        <v>0</v>
      </c>
      <c r="F14592" t="s">
        <v>11610</v>
      </c>
      <c r="L14592">
        <v>0</v>
      </c>
      <c r="M14592">
        <v>0</v>
      </c>
      <c r="N14592">
        <v>0</v>
      </c>
    </row>
    <row r="14593" spans="1:15">
      <c r="A14593" t="s">
        <v>47761</v>
      </c>
      <c r="B14593" t="s">
        <v>6742</v>
      </c>
      <c r="C14593" t="s">
        <v>25502</v>
      </c>
      <c r="D14593" t="s">
        <v>47762</v>
      </c>
      <c r="E14593" t="b">
        <v>0</v>
      </c>
      <c r="F14593" t="s">
        <v>11624</v>
      </c>
      <c r="G14593">
        <v>9.6758100000000002</v>
      </c>
      <c r="H14593">
        <v>13.826599999999999</v>
      </c>
      <c r="I14593" t="s">
        <v>47763</v>
      </c>
      <c r="L14593">
        <v>0</v>
      </c>
      <c r="M14593">
        <v>0</v>
      </c>
      <c r="N14593">
        <v>0</v>
      </c>
      <c r="O14593" t="s">
        <v>11703</v>
      </c>
    </row>
    <row r="14594" spans="1:15">
      <c r="A14594" t="s">
        <v>29767</v>
      </c>
      <c r="D14594" t="s">
        <v>47764</v>
      </c>
      <c r="E14594" t="b">
        <v>0</v>
      </c>
      <c r="F14594" t="s">
        <v>11622</v>
      </c>
      <c r="L14594">
        <v>3</v>
      </c>
      <c r="M14594">
        <v>5</v>
      </c>
      <c r="N14594">
        <v>0</v>
      </c>
    </row>
    <row r="14595" spans="1:15">
      <c r="A14595" t="s">
        <v>47765</v>
      </c>
      <c r="B14595" t="s">
        <v>11607</v>
      </c>
      <c r="C14595" t="s">
        <v>30371</v>
      </c>
      <c r="D14595" t="s">
        <v>47766</v>
      </c>
      <c r="E14595" t="b">
        <v>0</v>
      </c>
      <c r="F14595" t="s">
        <v>11610</v>
      </c>
      <c r="L14595">
        <v>0</v>
      </c>
      <c r="M14595">
        <v>0</v>
      </c>
      <c r="N14595">
        <v>0</v>
      </c>
    </row>
    <row r="14596" spans="1:15">
      <c r="A14596" t="s">
        <v>47767</v>
      </c>
      <c r="B14596" t="s">
        <v>11615</v>
      </c>
      <c r="C14596" t="s">
        <v>47768</v>
      </c>
      <c r="D14596" t="s">
        <v>47769</v>
      </c>
      <c r="E14596" t="b">
        <v>0</v>
      </c>
      <c r="F14596" t="s">
        <v>11624</v>
      </c>
      <c r="G14596">
        <v>-6.3406500000000001</v>
      </c>
      <c r="H14596">
        <v>146.679</v>
      </c>
      <c r="I14596" t="s">
        <v>47770</v>
      </c>
      <c r="L14596">
        <v>0</v>
      </c>
      <c r="M14596">
        <v>0</v>
      </c>
      <c r="N14596">
        <v>0</v>
      </c>
      <c r="O14596" t="s">
        <v>11660</v>
      </c>
    </row>
    <row r="14597" spans="1:15">
      <c r="A14597" t="s">
        <v>47771</v>
      </c>
      <c r="B14597" t="s">
        <v>367</v>
      </c>
      <c r="C14597" t="s">
        <v>21563</v>
      </c>
      <c r="D14597" t="s">
        <v>47772</v>
      </c>
      <c r="E14597" t="b">
        <v>0</v>
      </c>
      <c r="F14597" t="s">
        <v>11622</v>
      </c>
      <c r="L14597">
        <v>0</v>
      </c>
      <c r="M14597">
        <v>2</v>
      </c>
      <c r="N14597">
        <v>9</v>
      </c>
    </row>
    <row r="14598" spans="1:15">
      <c r="A14598" t="s">
        <v>47773</v>
      </c>
      <c r="B14598" t="s">
        <v>367</v>
      </c>
      <c r="C14598" t="s">
        <v>47771</v>
      </c>
      <c r="D14598" t="s">
        <v>47774</v>
      </c>
      <c r="E14598" t="b">
        <v>0</v>
      </c>
      <c r="F14598" t="s">
        <v>11624</v>
      </c>
      <c r="G14598">
        <v>-11.229699999999999</v>
      </c>
      <c r="H14598">
        <v>153.15799999999999</v>
      </c>
      <c r="I14598" t="s">
        <v>47775</v>
      </c>
      <c r="L14598">
        <v>0</v>
      </c>
      <c r="M14598">
        <v>0</v>
      </c>
      <c r="N14598">
        <v>4</v>
      </c>
      <c r="O14598" t="s">
        <v>11660</v>
      </c>
    </row>
    <row r="14599" spans="1:15">
      <c r="A14599" t="s">
        <v>47776</v>
      </c>
      <c r="B14599" t="s">
        <v>13291</v>
      </c>
      <c r="C14599" t="s">
        <v>13292</v>
      </c>
      <c r="D14599" t="s">
        <v>47777</v>
      </c>
      <c r="E14599" t="b">
        <v>0</v>
      </c>
      <c r="F14599" t="s">
        <v>11624</v>
      </c>
      <c r="G14599">
        <v>-4.3582000000000001</v>
      </c>
      <c r="H14599">
        <v>141.578</v>
      </c>
      <c r="I14599" t="s">
        <v>47778</v>
      </c>
      <c r="L14599">
        <v>0</v>
      </c>
      <c r="M14599">
        <v>0</v>
      </c>
      <c r="N14599">
        <v>0</v>
      </c>
      <c r="O14599" t="s">
        <v>11660</v>
      </c>
    </row>
    <row r="14600" spans="1:15">
      <c r="A14600" t="s">
        <v>47779</v>
      </c>
      <c r="B14600" t="s">
        <v>11615</v>
      </c>
      <c r="C14600" t="s">
        <v>18643</v>
      </c>
      <c r="D14600" t="s">
        <v>47780</v>
      </c>
      <c r="E14600" t="b">
        <v>0</v>
      </c>
      <c r="F14600" t="s">
        <v>11610</v>
      </c>
      <c r="L14600">
        <v>0</v>
      </c>
      <c r="M14600">
        <v>0</v>
      </c>
      <c r="N14600">
        <v>0</v>
      </c>
    </row>
    <row r="14601" spans="1:15">
      <c r="A14601" t="s">
        <v>47781</v>
      </c>
      <c r="B14601" t="s">
        <v>9348</v>
      </c>
      <c r="C14601" t="s">
        <v>20052</v>
      </c>
      <c r="D14601" t="s">
        <v>47782</v>
      </c>
      <c r="E14601" t="b">
        <v>0</v>
      </c>
      <c r="F14601" t="s">
        <v>11622</v>
      </c>
      <c r="L14601">
        <v>0</v>
      </c>
      <c r="M14601">
        <v>2</v>
      </c>
      <c r="N14601">
        <v>8</v>
      </c>
    </row>
    <row r="14602" spans="1:15">
      <c r="A14602" t="s">
        <v>47783</v>
      </c>
      <c r="B14602" t="s">
        <v>23217</v>
      </c>
      <c r="C14602" t="s">
        <v>47784</v>
      </c>
      <c r="D14602" t="s">
        <v>47785</v>
      </c>
      <c r="E14602" t="b">
        <v>0</v>
      </c>
      <c r="F14602" t="s">
        <v>11624</v>
      </c>
      <c r="G14602">
        <v>4.0389400000000002</v>
      </c>
      <c r="H14602">
        <v>-62.780099999999997</v>
      </c>
      <c r="I14602" t="s">
        <v>47786</v>
      </c>
      <c r="L14602">
        <v>0</v>
      </c>
      <c r="M14602">
        <v>0</v>
      </c>
      <c r="N14602">
        <v>2</v>
      </c>
      <c r="O14602" t="s">
        <v>14690</v>
      </c>
    </row>
    <row r="14603" spans="1:15">
      <c r="A14603" t="s">
        <v>47784</v>
      </c>
      <c r="B14603" t="s">
        <v>23217</v>
      </c>
      <c r="C14603" t="s">
        <v>23217</v>
      </c>
      <c r="D14603" t="s">
        <v>47787</v>
      </c>
      <c r="E14603" t="b">
        <v>0</v>
      </c>
      <c r="F14603" t="s">
        <v>11622</v>
      </c>
      <c r="L14603">
        <v>2</v>
      </c>
      <c r="M14603">
        <v>4</v>
      </c>
      <c r="N14603">
        <v>9</v>
      </c>
    </row>
    <row r="14604" spans="1:15">
      <c r="A14604" t="s">
        <v>47788</v>
      </c>
      <c r="B14604" t="s">
        <v>6742</v>
      </c>
      <c r="C14604" t="s">
        <v>34811</v>
      </c>
      <c r="D14604" t="s">
        <v>47789</v>
      </c>
      <c r="E14604" t="b">
        <v>0</v>
      </c>
      <c r="F14604" t="s">
        <v>11610</v>
      </c>
      <c r="L14604">
        <v>0</v>
      </c>
      <c r="M14604">
        <v>0</v>
      </c>
      <c r="N14604">
        <v>0</v>
      </c>
    </row>
    <row r="14605" spans="1:15">
      <c r="A14605" t="s">
        <v>47790</v>
      </c>
      <c r="B14605" t="s">
        <v>6742</v>
      </c>
      <c r="C14605" t="s">
        <v>47791</v>
      </c>
      <c r="D14605" t="s">
        <v>47792</v>
      </c>
      <c r="E14605" t="b">
        <v>0</v>
      </c>
      <c r="F14605" t="s">
        <v>11624</v>
      </c>
      <c r="G14605">
        <v>-11.2569</v>
      </c>
      <c r="H14605">
        <v>36.311599999999999</v>
      </c>
      <c r="I14605" t="s">
        <v>47793</v>
      </c>
      <c r="L14605">
        <v>0</v>
      </c>
      <c r="M14605">
        <v>0</v>
      </c>
      <c r="N14605">
        <v>0</v>
      </c>
      <c r="O14605" t="s">
        <v>11635</v>
      </c>
    </row>
    <row r="14606" spans="1:15">
      <c r="A14606" t="s">
        <v>38869</v>
      </c>
      <c r="B14606" t="s">
        <v>367</v>
      </c>
      <c r="C14606" t="s">
        <v>47794</v>
      </c>
      <c r="D14606" t="s">
        <v>47795</v>
      </c>
      <c r="E14606" t="b">
        <v>0</v>
      </c>
      <c r="F14606" t="s">
        <v>11622</v>
      </c>
      <c r="L14606">
        <v>0</v>
      </c>
      <c r="M14606">
        <v>2</v>
      </c>
      <c r="N14606">
        <v>0</v>
      </c>
    </row>
    <row r="14607" spans="1:15">
      <c r="A14607" t="s">
        <v>47796</v>
      </c>
      <c r="B14607" t="s">
        <v>367</v>
      </c>
      <c r="C14607" t="s">
        <v>40520</v>
      </c>
      <c r="D14607" t="s">
        <v>47797</v>
      </c>
      <c r="E14607" t="b">
        <v>0</v>
      </c>
      <c r="F14607" t="s">
        <v>11610</v>
      </c>
      <c r="L14607">
        <v>0</v>
      </c>
      <c r="M14607">
        <v>0</v>
      </c>
      <c r="N14607">
        <v>0</v>
      </c>
    </row>
    <row r="14608" spans="1:15">
      <c r="A14608" t="s">
        <v>47798</v>
      </c>
      <c r="B14608" t="s">
        <v>11637</v>
      </c>
      <c r="C14608" t="s">
        <v>25585</v>
      </c>
      <c r="D14608" t="s">
        <v>47799</v>
      </c>
      <c r="E14608" t="b">
        <v>0</v>
      </c>
      <c r="F14608" t="s">
        <v>11610</v>
      </c>
      <c r="L14608">
        <v>0</v>
      </c>
      <c r="M14608">
        <v>0</v>
      </c>
      <c r="N14608">
        <v>0</v>
      </c>
    </row>
    <row r="14609" spans="1:15">
      <c r="A14609" t="s">
        <v>47800</v>
      </c>
      <c r="B14609" t="s">
        <v>11644</v>
      </c>
      <c r="C14609" t="s">
        <v>30548</v>
      </c>
      <c r="D14609" t="s">
        <v>47801</v>
      </c>
      <c r="E14609" t="b">
        <v>0</v>
      </c>
      <c r="F14609" t="s">
        <v>11610</v>
      </c>
      <c r="L14609">
        <v>0</v>
      </c>
      <c r="M14609">
        <v>0</v>
      </c>
      <c r="N14609">
        <v>0</v>
      </c>
    </row>
    <row r="14610" spans="1:15">
      <c r="A14610" t="s">
        <v>47802</v>
      </c>
      <c r="B14610" t="s">
        <v>6742</v>
      </c>
      <c r="C14610" t="s">
        <v>11971</v>
      </c>
      <c r="D14610" t="s">
        <v>47803</v>
      </c>
      <c r="E14610" t="b">
        <v>0</v>
      </c>
      <c r="F14610" t="s">
        <v>11610</v>
      </c>
      <c r="L14610">
        <v>0</v>
      </c>
      <c r="M14610">
        <v>0</v>
      </c>
      <c r="N14610">
        <v>0</v>
      </c>
    </row>
    <row r="14611" spans="1:15">
      <c r="A14611" t="s">
        <v>47804</v>
      </c>
      <c r="B14611" t="s">
        <v>6742</v>
      </c>
      <c r="C14611" t="s">
        <v>28819</v>
      </c>
      <c r="D14611" t="s">
        <v>47805</v>
      </c>
      <c r="E14611" t="b">
        <v>0</v>
      </c>
      <c r="F14611" t="s">
        <v>11610</v>
      </c>
      <c r="G14611">
        <v>9.2934099999999997</v>
      </c>
      <c r="H14611">
        <v>8.4356200000000001</v>
      </c>
      <c r="I14611" t="s">
        <v>47806</v>
      </c>
      <c r="L14611">
        <v>0</v>
      </c>
      <c r="M14611">
        <v>0</v>
      </c>
      <c r="N14611">
        <v>0</v>
      </c>
      <c r="O14611" t="s">
        <v>11693</v>
      </c>
    </row>
    <row r="14612" spans="1:15">
      <c r="A14612" t="s">
        <v>47807</v>
      </c>
      <c r="B14612" t="s">
        <v>6742</v>
      </c>
      <c r="C14612" t="s">
        <v>28477</v>
      </c>
      <c r="D14612" t="s">
        <v>47808</v>
      </c>
      <c r="E14612" t="b">
        <v>0</v>
      </c>
      <c r="F14612" t="s">
        <v>11610</v>
      </c>
      <c r="L14612">
        <v>0</v>
      </c>
      <c r="M14612">
        <v>0</v>
      </c>
      <c r="N14612">
        <v>0</v>
      </c>
    </row>
    <row r="14613" spans="1:15">
      <c r="A14613" t="s">
        <v>47809</v>
      </c>
      <c r="B14613" t="s">
        <v>11834</v>
      </c>
      <c r="C14613" t="s">
        <v>47810</v>
      </c>
      <c r="D14613" t="s">
        <v>47811</v>
      </c>
      <c r="E14613" t="b">
        <v>0</v>
      </c>
      <c r="F14613" t="s">
        <v>11624</v>
      </c>
      <c r="G14613">
        <v>-3.4973299999999998</v>
      </c>
      <c r="H14613">
        <v>142.251</v>
      </c>
      <c r="I14613" t="s">
        <v>47812</v>
      </c>
      <c r="L14613">
        <v>0</v>
      </c>
      <c r="M14613">
        <v>0</v>
      </c>
      <c r="N14613">
        <v>0</v>
      </c>
      <c r="O14613" t="s">
        <v>11660</v>
      </c>
    </row>
    <row r="14614" spans="1:15">
      <c r="A14614" t="s">
        <v>24242</v>
      </c>
      <c r="B14614" t="s">
        <v>11615</v>
      </c>
      <c r="C14614" t="s">
        <v>32962</v>
      </c>
      <c r="D14614" t="s">
        <v>47813</v>
      </c>
      <c r="E14614" t="b">
        <v>0</v>
      </c>
      <c r="F14614" t="s">
        <v>11624</v>
      </c>
      <c r="G14614">
        <v>-5.43194</v>
      </c>
      <c r="H14614">
        <v>141.15799999999999</v>
      </c>
      <c r="I14614" t="s">
        <v>47814</v>
      </c>
      <c r="L14614">
        <v>0</v>
      </c>
      <c r="M14614">
        <v>0</v>
      </c>
      <c r="N14614">
        <v>2</v>
      </c>
      <c r="O14614" t="s">
        <v>24525</v>
      </c>
    </row>
    <row r="14615" spans="1:15">
      <c r="A14615" t="s">
        <v>47815</v>
      </c>
      <c r="B14615" t="s">
        <v>12532</v>
      </c>
      <c r="C14615" t="s">
        <v>18220</v>
      </c>
      <c r="D14615" t="s">
        <v>47816</v>
      </c>
      <c r="E14615" t="b">
        <v>0</v>
      </c>
      <c r="F14615" t="s">
        <v>11624</v>
      </c>
      <c r="G14615">
        <v>-2.7714500000000002</v>
      </c>
      <c r="H14615">
        <v>141.45400000000001</v>
      </c>
      <c r="I14615" t="s">
        <v>47817</v>
      </c>
      <c r="L14615">
        <v>0</v>
      </c>
      <c r="M14615">
        <v>0</v>
      </c>
      <c r="N14615">
        <v>0</v>
      </c>
      <c r="O14615" t="s">
        <v>11660</v>
      </c>
    </row>
    <row r="14616" spans="1:15">
      <c r="A14616" t="s">
        <v>47810</v>
      </c>
      <c r="B14616" t="s">
        <v>11834</v>
      </c>
      <c r="C14616" t="s">
        <v>11834</v>
      </c>
      <c r="D14616" t="s">
        <v>47818</v>
      </c>
      <c r="E14616" t="b">
        <v>0</v>
      </c>
      <c r="F14616" t="s">
        <v>11622</v>
      </c>
      <c r="L14616">
        <v>0</v>
      </c>
      <c r="M14616">
        <v>2</v>
      </c>
      <c r="N14616">
        <v>0</v>
      </c>
    </row>
    <row r="14617" spans="1:15">
      <c r="A14617" t="s">
        <v>28478</v>
      </c>
      <c r="B14617" t="s">
        <v>6742</v>
      </c>
      <c r="C14617" t="s">
        <v>39225</v>
      </c>
      <c r="D14617" t="s">
        <v>47819</v>
      </c>
      <c r="E14617" t="b">
        <v>0</v>
      </c>
      <c r="F14617" t="s">
        <v>11622</v>
      </c>
      <c r="L14617">
        <v>0</v>
      </c>
      <c r="M14617">
        <v>2</v>
      </c>
      <c r="N14617">
        <v>4</v>
      </c>
    </row>
    <row r="14618" spans="1:15">
      <c r="A14618" t="s">
        <v>47820</v>
      </c>
      <c r="B14618" t="s">
        <v>11644</v>
      </c>
      <c r="C14618" t="s">
        <v>22290</v>
      </c>
      <c r="D14618" t="s">
        <v>47821</v>
      </c>
      <c r="E14618" t="b">
        <v>0</v>
      </c>
      <c r="F14618" t="s">
        <v>11610</v>
      </c>
      <c r="L14618">
        <v>0</v>
      </c>
      <c r="M14618">
        <v>0</v>
      </c>
      <c r="N14618">
        <v>0</v>
      </c>
    </row>
    <row r="14619" spans="1:15">
      <c r="A14619" t="s">
        <v>47822</v>
      </c>
      <c r="B14619" t="s">
        <v>11644</v>
      </c>
      <c r="C14619" t="s">
        <v>6112</v>
      </c>
      <c r="D14619" t="s">
        <v>47823</v>
      </c>
      <c r="E14619" t="b">
        <v>0</v>
      </c>
      <c r="F14619" t="s">
        <v>11610</v>
      </c>
      <c r="G14619">
        <v>38.546661999999998</v>
      </c>
      <c r="H14619">
        <v>106.240082</v>
      </c>
      <c r="L14619">
        <v>0</v>
      </c>
      <c r="M14619">
        <v>0</v>
      </c>
      <c r="N14619">
        <v>0</v>
      </c>
    </row>
    <row r="14620" spans="1:15">
      <c r="A14620" t="s">
        <v>47824</v>
      </c>
      <c r="B14620" t="s">
        <v>11644</v>
      </c>
      <c r="C14620" t="s">
        <v>47825</v>
      </c>
      <c r="D14620" t="s">
        <v>47826</v>
      </c>
      <c r="E14620" t="b">
        <v>0</v>
      </c>
      <c r="F14620" t="s">
        <v>11610</v>
      </c>
      <c r="G14620">
        <v>29.866667</v>
      </c>
      <c r="H14620">
        <v>121.533333</v>
      </c>
      <c r="L14620">
        <v>0</v>
      </c>
      <c r="M14620">
        <v>0</v>
      </c>
      <c r="N14620">
        <v>0</v>
      </c>
    </row>
    <row r="14621" spans="1:15">
      <c r="A14621" t="s">
        <v>47827</v>
      </c>
      <c r="B14621" t="s">
        <v>11644</v>
      </c>
      <c r="C14621" t="s">
        <v>18949</v>
      </c>
      <c r="D14621" t="s">
        <v>47828</v>
      </c>
      <c r="E14621" t="b">
        <v>0</v>
      </c>
      <c r="F14621" t="s">
        <v>11610</v>
      </c>
      <c r="L14621">
        <v>0</v>
      </c>
      <c r="M14621">
        <v>0</v>
      </c>
      <c r="N14621">
        <v>0</v>
      </c>
    </row>
    <row r="14622" spans="1:15">
      <c r="A14622" t="s">
        <v>47829</v>
      </c>
      <c r="B14622" t="s">
        <v>6742</v>
      </c>
      <c r="C14622" t="s">
        <v>12870</v>
      </c>
      <c r="D14622" t="s">
        <v>47830</v>
      </c>
      <c r="E14622" t="b">
        <v>0</v>
      </c>
      <c r="F14622" t="s">
        <v>11610</v>
      </c>
      <c r="L14622">
        <v>0</v>
      </c>
      <c r="M14622">
        <v>0</v>
      </c>
      <c r="N14622">
        <v>0</v>
      </c>
    </row>
    <row r="14623" spans="1:15">
      <c r="A14623" t="s">
        <v>47831</v>
      </c>
      <c r="B14623" t="s">
        <v>11615</v>
      </c>
      <c r="C14623" t="s">
        <v>13832</v>
      </c>
      <c r="D14623" t="s">
        <v>47832</v>
      </c>
      <c r="E14623" t="b">
        <v>0</v>
      </c>
      <c r="F14623" t="s">
        <v>11624</v>
      </c>
      <c r="G14623">
        <v>-4.4737</v>
      </c>
      <c r="H14623">
        <v>139.38999999999999</v>
      </c>
      <c r="I14623" t="s">
        <v>47833</v>
      </c>
      <c r="L14623">
        <v>0</v>
      </c>
      <c r="M14623">
        <v>0</v>
      </c>
      <c r="N14623">
        <v>0</v>
      </c>
      <c r="O14623" t="s">
        <v>11768</v>
      </c>
    </row>
    <row r="14624" spans="1:15">
      <c r="A14624" t="s">
        <v>47834</v>
      </c>
      <c r="B14624" t="s">
        <v>11637</v>
      </c>
      <c r="C14624" t="s">
        <v>1407</v>
      </c>
      <c r="D14624" t="s">
        <v>47835</v>
      </c>
      <c r="E14624" t="b">
        <v>0</v>
      </c>
      <c r="F14624" t="s">
        <v>11610</v>
      </c>
      <c r="L14624">
        <v>0</v>
      </c>
      <c r="M14624">
        <v>0</v>
      </c>
      <c r="N14624">
        <v>0</v>
      </c>
    </row>
    <row r="14625" spans="1:15">
      <c r="A14625" t="s">
        <v>47836</v>
      </c>
      <c r="B14625" t="s">
        <v>6742</v>
      </c>
      <c r="C14625" t="s">
        <v>20658</v>
      </c>
      <c r="D14625" t="s">
        <v>47837</v>
      </c>
      <c r="E14625" t="b">
        <v>0</v>
      </c>
      <c r="F14625" t="s">
        <v>11610</v>
      </c>
      <c r="L14625">
        <v>0</v>
      </c>
      <c r="M14625">
        <v>0</v>
      </c>
      <c r="N14625">
        <v>0</v>
      </c>
    </row>
    <row r="14626" spans="1:15">
      <c r="A14626" t="s">
        <v>47838</v>
      </c>
      <c r="B14626" t="s">
        <v>6742</v>
      </c>
      <c r="C14626" t="s">
        <v>12787</v>
      </c>
      <c r="D14626" t="s">
        <v>47839</v>
      </c>
      <c r="E14626" t="b">
        <v>0</v>
      </c>
      <c r="F14626" t="s">
        <v>11610</v>
      </c>
      <c r="L14626">
        <v>0</v>
      </c>
      <c r="M14626">
        <v>0</v>
      </c>
      <c r="N14626">
        <v>0</v>
      </c>
    </row>
    <row r="14627" spans="1:15">
      <c r="A14627" t="s">
        <v>47840</v>
      </c>
      <c r="B14627" t="s">
        <v>6742</v>
      </c>
      <c r="C14627" t="s">
        <v>27034</v>
      </c>
      <c r="D14627" t="s">
        <v>47841</v>
      </c>
      <c r="E14627" t="b">
        <v>0</v>
      </c>
      <c r="F14627" t="s">
        <v>11610</v>
      </c>
      <c r="L14627">
        <v>0</v>
      </c>
      <c r="M14627">
        <v>0</v>
      </c>
      <c r="N14627">
        <v>0</v>
      </c>
    </row>
    <row r="14628" spans="1:15">
      <c r="A14628" t="s">
        <v>47842</v>
      </c>
      <c r="B14628" t="s">
        <v>12250</v>
      </c>
      <c r="C14628" t="s">
        <v>2129</v>
      </c>
      <c r="D14628" t="s">
        <v>47843</v>
      </c>
      <c r="E14628" t="b">
        <v>0</v>
      </c>
      <c r="F14628" t="s">
        <v>11610</v>
      </c>
      <c r="L14628">
        <v>0</v>
      </c>
      <c r="M14628">
        <v>0</v>
      </c>
      <c r="N14628">
        <v>0</v>
      </c>
    </row>
    <row r="14629" spans="1:15">
      <c r="A14629" t="s">
        <v>47844</v>
      </c>
      <c r="B14629" t="s">
        <v>6742</v>
      </c>
      <c r="C14629" t="s">
        <v>15522</v>
      </c>
      <c r="D14629" t="s">
        <v>47845</v>
      </c>
      <c r="E14629" t="b">
        <v>0</v>
      </c>
      <c r="F14629" t="s">
        <v>11624</v>
      </c>
      <c r="G14629">
        <v>8.95791</v>
      </c>
      <c r="H14629">
        <v>8.4732800000000008</v>
      </c>
      <c r="I14629" t="s">
        <v>47846</v>
      </c>
      <c r="L14629">
        <v>0</v>
      </c>
      <c r="M14629">
        <v>0</v>
      </c>
      <c r="N14629">
        <v>0</v>
      </c>
      <c r="O14629" t="s">
        <v>11693</v>
      </c>
    </row>
    <row r="14630" spans="1:15">
      <c r="A14630" t="s">
        <v>15522</v>
      </c>
      <c r="B14630" t="s">
        <v>6742</v>
      </c>
      <c r="C14630" t="s">
        <v>47847</v>
      </c>
      <c r="D14630" t="s">
        <v>47848</v>
      </c>
      <c r="E14630" t="b">
        <v>0</v>
      </c>
      <c r="F14630" t="s">
        <v>11622</v>
      </c>
      <c r="L14630">
        <v>1</v>
      </c>
      <c r="M14630">
        <v>9</v>
      </c>
      <c r="N14630">
        <v>20</v>
      </c>
    </row>
    <row r="14631" spans="1:15">
      <c r="A14631" t="s">
        <v>47849</v>
      </c>
      <c r="B14631" t="s">
        <v>6742</v>
      </c>
      <c r="C14631" t="s">
        <v>25711</v>
      </c>
      <c r="D14631" t="s">
        <v>47850</v>
      </c>
      <c r="E14631" t="b">
        <v>0</v>
      </c>
      <c r="F14631" t="s">
        <v>11610</v>
      </c>
      <c r="L14631">
        <v>0</v>
      </c>
      <c r="M14631">
        <v>0</v>
      </c>
      <c r="N14631">
        <v>0</v>
      </c>
    </row>
    <row r="14632" spans="1:15">
      <c r="A14632" t="s">
        <v>47851</v>
      </c>
      <c r="B14632" t="s">
        <v>11729</v>
      </c>
      <c r="C14632" t="s">
        <v>11730</v>
      </c>
      <c r="D14632" t="s">
        <v>47852</v>
      </c>
      <c r="E14632" t="b">
        <v>0</v>
      </c>
      <c r="F14632" t="s">
        <v>11610</v>
      </c>
      <c r="L14632">
        <v>0</v>
      </c>
      <c r="M14632">
        <v>0</v>
      </c>
      <c r="N14632">
        <v>0</v>
      </c>
    </row>
    <row r="14633" spans="1:15">
      <c r="A14633" t="s">
        <v>47853</v>
      </c>
      <c r="B14633" t="s">
        <v>6742</v>
      </c>
      <c r="C14633" t="s">
        <v>47690</v>
      </c>
      <c r="D14633" t="s">
        <v>47854</v>
      </c>
      <c r="E14633" t="b">
        <v>0</v>
      </c>
      <c r="F14633" t="s">
        <v>11610</v>
      </c>
      <c r="L14633">
        <v>0</v>
      </c>
      <c r="M14633">
        <v>0</v>
      </c>
      <c r="N14633">
        <v>0</v>
      </c>
    </row>
    <row r="14634" spans="1:15">
      <c r="A14634" t="s">
        <v>47855</v>
      </c>
      <c r="B14634" t="s">
        <v>11615</v>
      </c>
      <c r="C14634" t="s">
        <v>13800</v>
      </c>
      <c r="D14634" t="s">
        <v>47856</v>
      </c>
      <c r="E14634" t="b">
        <v>0</v>
      </c>
      <c r="F14634" t="s">
        <v>11610</v>
      </c>
      <c r="L14634">
        <v>0</v>
      </c>
      <c r="M14634">
        <v>0</v>
      </c>
      <c r="N14634">
        <v>0</v>
      </c>
    </row>
    <row r="14635" spans="1:15">
      <c r="A14635" t="s">
        <v>47857</v>
      </c>
      <c r="B14635" t="s">
        <v>11615</v>
      </c>
      <c r="C14635" t="s">
        <v>37426</v>
      </c>
      <c r="D14635" t="s">
        <v>47858</v>
      </c>
      <c r="E14635" t="b">
        <v>0</v>
      </c>
      <c r="F14635" t="s">
        <v>11624</v>
      </c>
      <c r="G14635">
        <v>-4.1442100000000002</v>
      </c>
      <c r="H14635">
        <v>139.75299999999999</v>
      </c>
      <c r="I14635" t="s">
        <v>47859</v>
      </c>
      <c r="L14635">
        <v>0</v>
      </c>
      <c r="M14635">
        <v>0</v>
      </c>
      <c r="N14635">
        <v>0</v>
      </c>
      <c r="O14635" t="s">
        <v>11768</v>
      </c>
    </row>
    <row r="14636" spans="1:15">
      <c r="A14636" t="s">
        <v>47860</v>
      </c>
      <c r="B14636" t="s">
        <v>6742</v>
      </c>
      <c r="C14636" t="s">
        <v>28902</v>
      </c>
      <c r="D14636" t="s">
        <v>47861</v>
      </c>
      <c r="E14636" t="b">
        <v>0</v>
      </c>
      <c r="F14636" t="s">
        <v>11610</v>
      </c>
      <c r="L14636">
        <v>0</v>
      </c>
      <c r="M14636">
        <v>0</v>
      </c>
      <c r="N14636">
        <v>0</v>
      </c>
    </row>
    <row r="14637" spans="1:15">
      <c r="A14637" t="s">
        <v>47862</v>
      </c>
      <c r="B14637" t="s">
        <v>11844</v>
      </c>
      <c r="C14637" t="s">
        <v>12435</v>
      </c>
      <c r="D14637" t="s">
        <v>47863</v>
      </c>
      <c r="E14637" t="b">
        <v>0</v>
      </c>
      <c r="F14637" t="s">
        <v>11610</v>
      </c>
      <c r="L14637">
        <v>0</v>
      </c>
      <c r="M14637">
        <v>0</v>
      </c>
      <c r="N14637">
        <v>0</v>
      </c>
    </row>
    <row r="14638" spans="1:15">
      <c r="A14638" t="s">
        <v>47864</v>
      </c>
      <c r="B14638" t="s">
        <v>15142</v>
      </c>
      <c r="C14638" t="s">
        <v>15142</v>
      </c>
      <c r="D14638" t="s">
        <v>47865</v>
      </c>
      <c r="E14638" t="b">
        <v>0</v>
      </c>
      <c r="F14638" t="s">
        <v>11624</v>
      </c>
      <c r="G14638">
        <v>-1.9538599999999999</v>
      </c>
      <c r="H14638">
        <v>137.6</v>
      </c>
      <c r="I14638" t="s">
        <v>47866</v>
      </c>
      <c r="L14638">
        <v>0</v>
      </c>
      <c r="M14638">
        <v>0</v>
      </c>
      <c r="N14638">
        <v>0</v>
      </c>
      <c r="O14638" t="s">
        <v>11768</v>
      </c>
    </row>
    <row r="14639" spans="1:15">
      <c r="A14639" t="s">
        <v>47867</v>
      </c>
      <c r="B14639" t="s">
        <v>41746</v>
      </c>
      <c r="C14639" t="s">
        <v>41746</v>
      </c>
      <c r="D14639" t="s">
        <v>47868</v>
      </c>
      <c r="E14639" t="b">
        <v>0</v>
      </c>
      <c r="F14639" t="s">
        <v>11624</v>
      </c>
      <c r="G14639">
        <v>38.046999999999997</v>
      </c>
      <c r="H14639">
        <v>-120.393</v>
      </c>
      <c r="I14639" t="s">
        <v>47869</v>
      </c>
      <c r="L14639">
        <v>0</v>
      </c>
      <c r="M14639">
        <v>0</v>
      </c>
      <c r="N14639">
        <v>0</v>
      </c>
      <c r="O14639" t="s">
        <v>11944</v>
      </c>
    </row>
    <row r="14640" spans="1:15">
      <c r="A14640" t="s">
        <v>47870</v>
      </c>
      <c r="B14640" t="s">
        <v>6436</v>
      </c>
      <c r="C14640" t="s">
        <v>29355</v>
      </c>
      <c r="D14640" t="s">
        <v>47871</v>
      </c>
      <c r="E14640" t="b">
        <v>0</v>
      </c>
      <c r="F14640" t="s">
        <v>11624</v>
      </c>
      <c r="G14640">
        <v>55.198999999999998</v>
      </c>
      <c r="H14640">
        <v>-129.19200000000001</v>
      </c>
      <c r="I14640" t="s">
        <v>47872</v>
      </c>
      <c r="L14640">
        <v>0</v>
      </c>
      <c r="M14640">
        <v>0</v>
      </c>
      <c r="N14640">
        <v>0</v>
      </c>
      <c r="O14640" t="s">
        <v>13049</v>
      </c>
    </row>
    <row r="14641" spans="1:15">
      <c r="A14641" t="s">
        <v>47873</v>
      </c>
      <c r="B14641" t="s">
        <v>11644</v>
      </c>
      <c r="C14641" t="s">
        <v>12680</v>
      </c>
      <c r="D14641" t="s">
        <v>47874</v>
      </c>
      <c r="E14641" t="b">
        <v>0</v>
      </c>
      <c r="F14641" t="s">
        <v>11610</v>
      </c>
      <c r="L14641">
        <v>0</v>
      </c>
      <c r="M14641">
        <v>0</v>
      </c>
      <c r="N14641">
        <v>0</v>
      </c>
    </row>
    <row r="14642" spans="1:15">
      <c r="A14642" t="s">
        <v>29355</v>
      </c>
      <c r="B14642" t="s">
        <v>6436</v>
      </c>
      <c r="C14642" t="s">
        <v>6436</v>
      </c>
      <c r="D14642" t="s">
        <v>47875</v>
      </c>
      <c r="E14642" t="b">
        <v>0</v>
      </c>
      <c r="F14642" t="s">
        <v>11622</v>
      </c>
      <c r="L14642">
        <v>0</v>
      </c>
      <c r="M14642">
        <v>2</v>
      </c>
      <c r="N14642">
        <v>2</v>
      </c>
    </row>
    <row r="14643" spans="1:15">
      <c r="A14643" t="s">
        <v>47876</v>
      </c>
      <c r="B14643" t="s">
        <v>11644</v>
      </c>
      <c r="C14643" t="s">
        <v>47877</v>
      </c>
      <c r="D14643" t="s">
        <v>47878</v>
      </c>
      <c r="E14643" t="b">
        <v>0</v>
      </c>
      <c r="F14643" t="s">
        <v>11624</v>
      </c>
      <c r="G14643">
        <v>23.417999999999999</v>
      </c>
      <c r="H14643">
        <v>104.85</v>
      </c>
      <c r="I14643" t="s">
        <v>47879</v>
      </c>
      <c r="L14643">
        <v>0</v>
      </c>
      <c r="M14643">
        <v>0</v>
      </c>
      <c r="N14643">
        <v>0</v>
      </c>
      <c r="O14643" t="s">
        <v>11905</v>
      </c>
    </row>
    <row r="14644" spans="1:15">
      <c r="A14644" t="s">
        <v>47880</v>
      </c>
      <c r="B14644" t="s">
        <v>11627</v>
      </c>
      <c r="C14644" t="s">
        <v>11627</v>
      </c>
      <c r="D14644" t="s">
        <v>47881</v>
      </c>
      <c r="E14644" t="b">
        <v>1</v>
      </c>
      <c r="F14644" t="s">
        <v>11624</v>
      </c>
      <c r="G14644">
        <v>27.370799999999999</v>
      </c>
      <c r="H14644">
        <v>93.128399999999999</v>
      </c>
      <c r="I14644" t="s">
        <v>47882</v>
      </c>
      <c r="L14644">
        <v>0</v>
      </c>
      <c r="M14644">
        <v>0</v>
      </c>
      <c r="N14644">
        <v>0</v>
      </c>
      <c r="O14644" t="s">
        <v>11630</v>
      </c>
    </row>
    <row r="14645" spans="1:15">
      <c r="A14645" t="s">
        <v>47883</v>
      </c>
      <c r="B14645" t="s">
        <v>11644</v>
      </c>
      <c r="C14645" t="s">
        <v>31090</v>
      </c>
      <c r="D14645" t="s">
        <v>47884</v>
      </c>
      <c r="E14645" t="b">
        <v>0</v>
      </c>
      <c r="F14645" t="s">
        <v>11622</v>
      </c>
      <c r="L14645">
        <v>10</v>
      </c>
      <c r="M14645">
        <v>16</v>
      </c>
      <c r="N14645">
        <v>16</v>
      </c>
    </row>
    <row r="14646" spans="1:15">
      <c r="A14646" t="s">
        <v>47885</v>
      </c>
      <c r="B14646" t="s">
        <v>9071</v>
      </c>
      <c r="C14646" t="s">
        <v>25673</v>
      </c>
      <c r="D14646" t="s">
        <v>47886</v>
      </c>
      <c r="E14646" t="b">
        <v>0</v>
      </c>
      <c r="F14646" t="s">
        <v>11610</v>
      </c>
      <c r="L14646">
        <v>0</v>
      </c>
      <c r="M14646">
        <v>0</v>
      </c>
      <c r="N14646">
        <v>0</v>
      </c>
    </row>
    <row r="14647" spans="1:15">
      <c r="A14647" t="s">
        <v>47887</v>
      </c>
      <c r="B14647" t="s">
        <v>11644</v>
      </c>
      <c r="C14647" t="s">
        <v>47883</v>
      </c>
      <c r="D14647" t="s">
        <v>47888</v>
      </c>
      <c r="E14647" t="b">
        <v>0</v>
      </c>
      <c r="F14647" t="s">
        <v>11622</v>
      </c>
      <c r="L14647">
        <v>2</v>
      </c>
      <c r="M14647">
        <v>5</v>
      </c>
      <c r="N14647">
        <v>2</v>
      </c>
    </row>
    <row r="14648" spans="1:15">
      <c r="A14648" t="s">
        <v>27733</v>
      </c>
      <c r="B14648" t="s">
        <v>11644</v>
      </c>
      <c r="C14648" t="s">
        <v>47887</v>
      </c>
      <c r="D14648" t="s">
        <v>47889</v>
      </c>
      <c r="E14648" t="b">
        <v>0</v>
      </c>
      <c r="F14648" t="s">
        <v>11622</v>
      </c>
      <c r="L14648">
        <v>1</v>
      </c>
      <c r="M14648">
        <v>4</v>
      </c>
      <c r="N14648">
        <v>2</v>
      </c>
    </row>
    <row r="14649" spans="1:15">
      <c r="A14649" t="s">
        <v>47890</v>
      </c>
      <c r="B14649" t="s">
        <v>367</v>
      </c>
      <c r="C14649" t="s">
        <v>46607</v>
      </c>
      <c r="D14649" t="s">
        <v>47891</v>
      </c>
      <c r="E14649" t="b">
        <v>0</v>
      </c>
      <c r="F14649" t="s">
        <v>11624</v>
      </c>
      <c r="G14649">
        <v>-16.413060000000002</v>
      </c>
      <c r="H14649">
        <v>167.78555600000001</v>
      </c>
      <c r="L14649">
        <v>0</v>
      </c>
      <c r="M14649">
        <v>0</v>
      </c>
      <c r="N14649">
        <v>0</v>
      </c>
      <c r="O14649" t="s">
        <v>11768</v>
      </c>
    </row>
    <row r="14650" spans="1:15">
      <c r="A14650" t="s">
        <v>47892</v>
      </c>
      <c r="B14650" t="s">
        <v>6742</v>
      </c>
      <c r="C14650" t="s">
        <v>36008</v>
      </c>
      <c r="D14650" t="s">
        <v>47893</v>
      </c>
      <c r="E14650" t="b">
        <v>0</v>
      </c>
      <c r="F14650" t="s">
        <v>11610</v>
      </c>
      <c r="L14650">
        <v>0</v>
      </c>
      <c r="M14650">
        <v>0</v>
      </c>
      <c r="N14650">
        <v>0</v>
      </c>
    </row>
    <row r="14651" spans="1:15">
      <c r="A14651" t="s">
        <v>47894</v>
      </c>
      <c r="B14651" t="s">
        <v>367</v>
      </c>
      <c r="C14651" t="s">
        <v>47895</v>
      </c>
      <c r="D14651" t="s">
        <v>47896</v>
      </c>
      <c r="E14651" t="b">
        <v>0</v>
      </c>
      <c r="F14651" t="s">
        <v>11624</v>
      </c>
      <c r="G14651">
        <v>-16.2</v>
      </c>
      <c r="H14651">
        <v>167.46</v>
      </c>
      <c r="L14651">
        <v>0</v>
      </c>
      <c r="M14651">
        <v>0</v>
      </c>
      <c r="N14651">
        <v>0</v>
      </c>
      <c r="O14651" t="s">
        <v>12719</v>
      </c>
    </row>
    <row r="14652" spans="1:15">
      <c r="A14652" t="s">
        <v>47895</v>
      </c>
      <c r="B14652" t="s">
        <v>367</v>
      </c>
      <c r="C14652" t="s">
        <v>47897</v>
      </c>
      <c r="D14652" t="s">
        <v>47898</v>
      </c>
      <c r="E14652" t="b">
        <v>0</v>
      </c>
      <c r="F14652" t="s">
        <v>11622</v>
      </c>
      <c r="L14652">
        <v>0</v>
      </c>
      <c r="M14652">
        <v>2</v>
      </c>
      <c r="N14652">
        <v>0</v>
      </c>
    </row>
    <row r="14653" spans="1:15">
      <c r="A14653" t="s">
        <v>47899</v>
      </c>
      <c r="B14653" t="s">
        <v>11644</v>
      </c>
      <c r="C14653" t="s">
        <v>45732</v>
      </c>
      <c r="D14653" t="s">
        <v>47900</v>
      </c>
      <c r="E14653" t="b">
        <v>0</v>
      </c>
      <c r="F14653" t="s">
        <v>11610</v>
      </c>
      <c r="L14653">
        <v>0</v>
      </c>
      <c r="M14653">
        <v>0</v>
      </c>
      <c r="N14653">
        <v>0</v>
      </c>
    </row>
    <row r="14654" spans="1:15">
      <c r="A14654" t="s">
        <v>47901</v>
      </c>
      <c r="B14654" t="s">
        <v>367</v>
      </c>
      <c r="C14654" t="s">
        <v>26573</v>
      </c>
      <c r="D14654" t="s">
        <v>47902</v>
      </c>
      <c r="E14654" t="b">
        <v>0</v>
      </c>
      <c r="F14654" t="s">
        <v>11624</v>
      </c>
      <c r="G14654">
        <v>-15.6014</v>
      </c>
      <c r="H14654">
        <v>-175.64</v>
      </c>
      <c r="I14654" t="s">
        <v>47903</v>
      </c>
      <c r="L14654">
        <v>0</v>
      </c>
      <c r="M14654">
        <v>0</v>
      </c>
      <c r="N14654">
        <v>0</v>
      </c>
      <c r="O14654" t="s">
        <v>47904</v>
      </c>
    </row>
    <row r="14655" spans="1:15">
      <c r="A14655" t="s">
        <v>47905</v>
      </c>
      <c r="B14655" t="s">
        <v>367</v>
      </c>
      <c r="C14655" t="s">
        <v>26573</v>
      </c>
      <c r="D14655" t="s">
        <v>47906</v>
      </c>
      <c r="E14655" t="b">
        <v>0</v>
      </c>
      <c r="F14655" t="s">
        <v>11624</v>
      </c>
      <c r="G14655">
        <v>-15.957686000000001</v>
      </c>
      <c r="H14655">
        <v>-173.778333</v>
      </c>
      <c r="I14655" t="s">
        <v>47907</v>
      </c>
      <c r="L14655">
        <v>0</v>
      </c>
      <c r="M14655">
        <v>0</v>
      </c>
      <c r="N14655">
        <v>0</v>
      </c>
      <c r="O14655" t="s">
        <v>47904</v>
      </c>
    </row>
    <row r="14656" spans="1:15">
      <c r="A14656" t="s">
        <v>2346</v>
      </c>
      <c r="B14656" t="s">
        <v>367</v>
      </c>
      <c r="C14656" t="s">
        <v>47908</v>
      </c>
      <c r="D14656" t="s">
        <v>2345</v>
      </c>
      <c r="E14656" t="b">
        <v>0</v>
      </c>
      <c r="F14656" t="s">
        <v>11624</v>
      </c>
      <c r="G14656">
        <v>-19.059999999999999</v>
      </c>
      <c r="H14656">
        <v>-169.86</v>
      </c>
      <c r="I14656" t="s">
        <v>2347</v>
      </c>
      <c r="L14656">
        <v>0</v>
      </c>
      <c r="M14656">
        <v>0</v>
      </c>
      <c r="N14656">
        <v>0</v>
      </c>
      <c r="O14656" t="s">
        <v>47909</v>
      </c>
    </row>
    <row r="14657" spans="1:15">
      <c r="A14657" t="s">
        <v>28036</v>
      </c>
      <c r="B14657" t="s">
        <v>389</v>
      </c>
      <c r="C14657" t="s">
        <v>41428</v>
      </c>
      <c r="D14657" t="s">
        <v>47910</v>
      </c>
      <c r="E14657" t="b">
        <v>0</v>
      </c>
      <c r="F14657" t="s">
        <v>11624</v>
      </c>
      <c r="G14657">
        <v>-22.855699999999999</v>
      </c>
      <c r="H14657">
        <v>-61.760599999999997</v>
      </c>
      <c r="I14657" t="s">
        <v>47911</v>
      </c>
      <c r="L14657">
        <v>0</v>
      </c>
      <c r="M14657">
        <v>0</v>
      </c>
      <c r="N14657">
        <v>2</v>
      </c>
      <c r="O14657" t="s">
        <v>26382</v>
      </c>
    </row>
    <row r="14658" spans="1:15">
      <c r="A14658" t="s">
        <v>47912</v>
      </c>
      <c r="B14658" t="s">
        <v>11607</v>
      </c>
      <c r="C14658" t="s">
        <v>47913</v>
      </c>
      <c r="D14658" t="s">
        <v>47914</v>
      </c>
      <c r="E14658" t="b">
        <v>0</v>
      </c>
      <c r="F14658" t="s">
        <v>11610</v>
      </c>
      <c r="L14658">
        <v>0</v>
      </c>
      <c r="M14658">
        <v>0</v>
      </c>
      <c r="N14658">
        <v>0</v>
      </c>
    </row>
    <row r="14659" spans="1:15">
      <c r="A14659" t="s">
        <v>47915</v>
      </c>
      <c r="B14659" t="s">
        <v>367</v>
      </c>
      <c r="C14659" t="s">
        <v>13949</v>
      </c>
      <c r="D14659" t="s">
        <v>47916</v>
      </c>
      <c r="E14659" t="b">
        <v>0</v>
      </c>
      <c r="F14659" t="s">
        <v>11610</v>
      </c>
      <c r="G14659">
        <v>-3.47</v>
      </c>
      <c r="H14659">
        <v>153.19999999999999</v>
      </c>
      <c r="I14659" t="s">
        <v>47917</v>
      </c>
      <c r="L14659">
        <v>0</v>
      </c>
      <c r="M14659">
        <v>0</v>
      </c>
      <c r="N14659">
        <v>0</v>
      </c>
      <c r="O14659" t="s">
        <v>11660</v>
      </c>
    </row>
    <row r="14660" spans="1:15">
      <c r="A14660" t="s">
        <v>13949</v>
      </c>
      <c r="B14660" t="s">
        <v>367</v>
      </c>
      <c r="C14660" t="s">
        <v>41906</v>
      </c>
      <c r="D14660" t="s">
        <v>47918</v>
      </c>
      <c r="E14660" t="b">
        <v>0</v>
      </c>
      <c r="F14660" t="s">
        <v>11610</v>
      </c>
      <c r="L14660">
        <v>0</v>
      </c>
      <c r="M14660">
        <v>0</v>
      </c>
      <c r="N14660">
        <v>2</v>
      </c>
    </row>
    <row r="14661" spans="1:15">
      <c r="A14661" t="s">
        <v>37288</v>
      </c>
      <c r="B14661" t="s">
        <v>6742</v>
      </c>
      <c r="C14661" t="s">
        <v>42325</v>
      </c>
      <c r="D14661" t="s">
        <v>47919</v>
      </c>
      <c r="E14661" t="b">
        <v>0</v>
      </c>
      <c r="F14661" t="s">
        <v>11622</v>
      </c>
      <c r="L14661">
        <v>11</v>
      </c>
      <c r="M14661">
        <v>17</v>
      </c>
      <c r="N14661">
        <v>27</v>
      </c>
    </row>
    <row r="14662" spans="1:15">
      <c r="A14662" t="s">
        <v>47920</v>
      </c>
      <c r="B14662" t="s">
        <v>12686</v>
      </c>
      <c r="C14662" t="s">
        <v>46983</v>
      </c>
      <c r="D14662" t="s">
        <v>47921</v>
      </c>
      <c r="E14662" t="b">
        <v>0</v>
      </c>
      <c r="F14662" t="s">
        <v>11610</v>
      </c>
      <c r="L14662">
        <v>0</v>
      </c>
      <c r="M14662">
        <v>0</v>
      </c>
      <c r="N14662">
        <v>0</v>
      </c>
    </row>
    <row r="14663" spans="1:15">
      <c r="A14663" t="s">
        <v>47922</v>
      </c>
      <c r="B14663" t="s">
        <v>10597</v>
      </c>
      <c r="C14663" t="s">
        <v>25691</v>
      </c>
      <c r="D14663" t="s">
        <v>47923</v>
      </c>
      <c r="E14663" t="b">
        <v>0</v>
      </c>
      <c r="F14663" t="s">
        <v>11610</v>
      </c>
      <c r="L14663">
        <v>0</v>
      </c>
      <c r="M14663">
        <v>0</v>
      </c>
      <c r="N14663">
        <v>0</v>
      </c>
    </row>
    <row r="14664" spans="1:15">
      <c r="A14664" t="s">
        <v>47924</v>
      </c>
      <c r="B14664" t="s">
        <v>17030</v>
      </c>
      <c r="C14664" t="s">
        <v>24137</v>
      </c>
      <c r="D14664" t="s">
        <v>47925</v>
      </c>
      <c r="E14664" t="b">
        <v>0</v>
      </c>
      <c r="F14664" t="s">
        <v>11624</v>
      </c>
      <c r="G14664">
        <v>8.7075200000000006</v>
      </c>
      <c r="H14664">
        <v>26.114699999999999</v>
      </c>
      <c r="I14664" t="s">
        <v>47926</v>
      </c>
      <c r="L14664">
        <v>0</v>
      </c>
      <c r="M14664">
        <v>0</v>
      </c>
      <c r="N14664">
        <v>0</v>
      </c>
      <c r="O14664" t="s">
        <v>11910</v>
      </c>
    </row>
    <row r="14665" spans="1:15">
      <c r="A14665" t="s">
        <v>47927</v>
      </c>
      <c r="B14665" t="s">
        <v>6742</v>
      </c>
      <c r="C14665" t="s">
        <v>3984</v>
      </c>
      <c r="D14665" t="s">
        <v>47928</v>
      </c>
      <c r="E14665" t="b">
        <v>0</v>
      </c>
      <c r="F14665" t="s">
        <v>11610</v>
      </c>
      <c r="L14665">
        <v>0</v>
      </c>
      <c r="M14665">
        <v>0</v>
      </c>
      <c r="N14665">
        <v>0</v>
      </c>
    </row>
    <row r="14666" spans="1:15">
      <c r="A14666" t="s">
        <v>47929</v>
      </c>
      <c r="B14666" t="s">
        <v>6742</v>
      </c>
      <c r="C14666" t="s">
        <v>20361</v>
      </c>
      <c r="D14666" t="s">
        <v>47930</v>
      </c>
      <c r="E14666" t="b">
        <v>0</v>
      </c>
      <c r="F14666" t="s">
        <v>11624</v>
      </c>
      <c r="G14666">
        <v>6.41</v>
      </c>
      <c r="H14666">
        <v>11.51</v>
      </c>
      <c r="L14666">
        <v>0</v>
      </c>
      <c r="M14666">
        <v>0</v>
      </c>
      <c r="N14666">
        <v>0</v>
      </c>
      <c r="O14666" t="s">
        <v>11693</v>
      </c>
    </row>
    <row r="14667" spans="1:15">
      <c r="A14667" t="s">
        <v>47931</v>
      </c>
      <c r="B14667" t="s">
        <v>10597</v>
      </c>
      <c r="C14667" t="s">
        <v>16587</v>
      </c>
      <c r="D14667" t="s">
        <v>47932</v>
      </c>
      <c r="E14667" t="b">
        <v>0</v>
      </c>
      <c r="F14667" t="s">
        <v>11610</v>
      </c>
      <c r="L14667">
        <v>0</v>
      </c>
      <c r="M14667">
        <v>0</v>
      </c>
      <c r="N14667">
        <v>0</v>
      </c>
    </row>
    <row r="14668" spans="1:15">
      <c r="A14668" t="s">
        <v>47933</v>
      </c>
      <c r="B14668" t="s">
        <v>11644</v>
      </c>
      <c r="C14668" t="s">
        <v>47934</v>
      </c>
      <c r="D14668" t="s">
        <v>47935</v>
      </c>
      <c r="E14668" t="b">
        <v>0</v>
      </c>
      <c r="F14668" t="s">
        <v>11610</v>
      </c>
      <c r="L14668">
        <v>0</v>
      </c>
      <c r="M14668">
        <v>0</v>
      </c>
      <c r="N14668">
        <v>0</v>
      </c>
    </row>
    <row r="14669" spans="1:15">
      <c r="A14669" t="s">
        <v>47936</v>
      </c>
      <c r="B14669" t="s">
        <v>11729</v>
      </c>
      <c r="C14669" t="s">
        <v>24317</v>
      </c>
      <c r="D14669" t="s">
        <v>47937</v>
      </c>
      <c r="E14669" t="b">
        <v>0</v>
      </c>
      <c r="F14669" t="s">
        <v>11610</v>
      </c>
      <c r="L14669">
        <v>0</v>
      </c>
      <c r="M14669">
        <v>0</v>
      </c>
      <c r="N14669">
        <v>0</v>
      </c>
    </row>
    <row r="14670" spans="1:15">
      <c r="A14670" t="s">
        <v>47938</v>
      </c>
      <c r="B14670" t="s">
        <v>6742</v>
      </c>
      <c r="C14670" t="s">
        <v>46831</v>
      </c>
      <c r="D14670" t="s">
        <v>47939</v>
      </c>
      <c r="E14670" t="b">
        <v>0</v>
      </c>
      <c r="F14670" t="s">
        <v>11624</v>
      </c>
      <c r="G14670">
        <v>-2.1811500000000001</v>
      </c>
      <c r="H14670">
        <v>12.706300000000001</v>
      </c>
      <c r="I14670" t="s">
        <v>47940</v>
      </c>
      <c r="L14670">
        <v>0</v>
      </c>
      <c r="M14670">
        <v>0</v>
      </c>
      <c r="N14670">
        <v>0</v>
      </c>
      <c r="O14670" t="s">
        <v>20784</v>
      </c>
    </row>
    <row r="14671" spans="1:15">
      <c r="A14671" t="s">
        <v>43719</v>
      </c>
      <c r="B14671" t="s">
        <v>6742</v>
      </c>
      <c r="C14671" t="s">
        <v>21841</v>
      </c>
      <c r="D14671" t="s">
        <v>47941</v>
      </c>
      <c r="E14671" t="b">
        <v>0</v>
      </c>
      <c r="F14671" t="s">
        <v>11622</v>
      </c>
      <c r="L14671">
        <v>14</v>
      </c>
      <c r="M14671">
        <v>22</v>
      </c>
      <c r="N14671">
        <v>15</v>
      </c>
    </row>
    <row r="14672" spans="1:15">
      <c r="A14672" t="s">
        <v>46832</v>
      </c>
      <c r="B14672" t="s">
        <v>6742</v>
      </c>
      <c r="C14672" t="s">
        <v>47942</v>
      </c>
      <c r="D14672" t="s">
        <v>47943</v>
      </c>
      <c r="E14672" t="b">
        <v>0</v>
      </c>
      <c r="F14672" t="s">
        <v>11622</v>
      </c>
      <c r="L14672">
        <v>2</v>
      </c>
      <c r="M14672">
        <v>5</v>
      </c>
      <c r="N14672">
        <v>0</v>
      </c>
    </row>
    <row r="14673" spans="1:15">
      <c r="A14673" t="s">
        <v>47944</v>
      </c>
      <c r="B14673" t="s">
        <v>6742</v>
      </c>
      <c r="C14673" t="s">
        <v>21489</v>
      </c>
      <c r="D14673" t="s">
        <v>47945</v>
      </c>
      <c r="E14673" t="b">
        <v>0</v>
      </c>
      <c r="F14673" t="s">
        <v>11610</v>
      </c>
      <c r="L14673">
        <v>0</v>
      </c>
      <c r="M14673">
        <v>0</v>
      </c>
      <c r="N14673">
        <v>0</v>
      </c>
    </row>
    <row r="14674" spans="1:15">
      <c r="A14674" t="s">
        <v>47946</v>
      </c>
      <c r="B14674" t="s">
        <v>11607</v>
      </c>
      <c r="C14674" t="s">
        <v>24839</v>
      </c>
      <c r="D14674" t="s">
        <v>47947</v>
      </c>
      <c r="E14674" t="b">
        <v>0</v>
      </c>
      <c r="F14674" t="s">
        <v>11610</v>
      </c>
      <c r="L14674">
        <v>0</v>
      </c>
      <c r="M14674">
        <v>0</v>
      </c>
      <c r="N14674">
        <v>0</v>
      </c>
    </row>
    <row r="14675" spans="1:15">
      <c r="A14675" t="s">
        <v>47948</v>
      </c>
      <c r="B14675" t="s">
        <v>367</v>
      </c>
      <c r="C14675" t="s">
        <v>38435</v>
      </c>
      <c r="D14675" t="s">
        <v>47949</v>
      </c>
      <c r="E14675" t="b">
        <v>0</v>
      </c>
      <c r="F14675" t="s">
        <v>11610</v>
      </c>
      <c r="L14675">
        <v>0</v>
      </c>
      <c r="M14675">
        <v>0</v>
      </c>
      <c r="N14675">
        <v>0</v>
      </c>
    </row>
    <row r="14676" spans="1:15">
      <c r="A14676" t="s">
        <v>37367</v>
      </c>
      <c r="B14676" t="s">
        <v>6742</v>
      </c>
      <c r="C14676" t="s">
        <v>17779</v>
      </c>
      <c r="D14676" t="s">
        <v>47950</v>
      </c>
      <c r="E14676" t="b">
        <v>0</v>
      </c>
      <c r="F14676" t="s">
        <v>11622</v>
      </c>
      <c r="L14676">
        <v>0</v>
      </c>
      <c r="M14676">
        <v>2</v>
      </c>
      <c r="N14676">
        <v>2</v>
      </c>
    </row>
    <row r="14677" spans="1:15">
      <c r="A14677" t="s">
        <v>47951</v>
      </c>
      <c r="B14677" t="s">
        <v>6742</v>
      </c>
      <c r="C14677" t="s">
        <v>45751</v>
      </c>
      <c r="D14677" t="s">
        <v>47952</v>
      </c>
      <c r="E14677" t="b">
        <v>0</v>
      </c>
      <c r="F14677" t="s">
        <v>11624</v>
      </c>
      <c r="G14677">
        <v>5.75169</v>
      </c>
      <c r="H14677">
        <v>9.9043899999999994</v>
      </c>
      <c r="I14677" t="s">
        <v>47953</v>
      </c>
      <c r="L14677">
        <v>0</v>
      </c>
      <c r="M14677">
        <v>0</v>
      </c>
      <c r="N14677">
        <v>0</v>
      </c>
      <c r="O14677" t="s">
        <v>11703</v>
      </c>
    </row>
    <row r="14678" spans="1:15">
      <c r="A14678" t="s">
        <v>41215</v>
      </c>
      <c r="B14678" t="s">
        <v>6742</v>
      </c>
      <c r="C14678" t="s">
        <v>26657</v>
      </c>
      <c r="D14678" t="s">
        <v>47954</v>
      </c>
      <c r="E14678" t="b">
        <v>0</v>
      </c>
      <c r="F14678" t="s">
        <v>11622</v>
      </c>
      <c r="L14678">
        <v>0</v>
      </c>
      <c r="M14678">
        <v>3</v>
      </c>
      <c r="N14678">
        <v>0</v>
      </c>
    </row>
    <row r="14679" spans="1:15">
      <c r="A14679" t="s">
        <v>47955</v>
      </c>
      <c r="B14679" t="s">
        <v>6742</v>
      </c>
      <c r="C14679" t="s">
        <v>41215</v>
      </c>
      <c r="D14679" t="s">
        <v>47956</v>
      </c>
      <c r="E14679" t="b">
        <v>0</v>
      </c>
      <c r="F14679" t="s">
        <v>11624</v>
      </c>
      <c r="G14679">
        <v>6.8218300000000003</v>
      </c>
      <c r="H14679">
        <v>11.521000000000001</v>
      </c>
      <c r="I14679" t="s">
        <v>47957</v>
      </c>
      <c r="L14679">
        <v>0</v>
      </c>
      <c r="M14679">
        <v>0</v>
      </c>
      <c r="N14679">
        <v>0</v>
      </c>
      <c r="O14679" t="s">
        <v>11693</v>
      </c>
    </row>
    <row r="14680" spans="1:15">
      <c r="A14680" t="s">
        <v>47958</v>
      </c>
      <c r="B14680" t="s">
        <v>13967</v>
      </c>
      <c r="C14680" t="s">
        <v>21519</v>
      </c>
      <c r="D14680" t="s">
        <v>47959</v>
      </c>
      <c r="E14680" t="b">
        <v>0</v>
      </c>
      <c r="F14680" t="s">
        <v>11610</v>
      </c>
      <c r="L14680">
        <v>0</v>
      </c>
      <c r="M14680">
        <v>0</v>
      </c>
      <c r="N14680">
        <v>0</v>
      </c>
    </row>
    <row r="14681" spans="1:15">
      <c r="A14681" t="s">
        <v>47960</v>
      </c>
      <c r="B14681" t="s">
        <v>6742</v>
      </c>
      <c r="C14681" t="s">
        <v>21841</v>
      </c>
      <c r="D14681" t="s">
        <v>47961</v>
      </c>
      <c r="E14681" t="b">
        <v>0</v>
      </c>
      <c r="F14681" t="s">
        <v>11622</v>
      </c>
      <c r="L14681">
        <v>24</v>
      </c>
      <c r="M14681">
        <v>39</v>
      </c>
      <c r="N14681">
        <v>29</v>
      </c>
    </row>
    <row r="14682" spans="1:15">
      <c r="A14682" t="s">
        <v>47962</v>
      </c>
      <c r="B14682" t="s">
        <v>6742</v>
      </c>
      <c r="C14682" t="s">
        <v>36523</v>
      </c>
      <c r="D14682" t="s">
        <v>47963</v>
      </c>
      <c r="E14682" t="b">
        <v>0</v>
      </c>
      <c r="F14682" t="s">
        <v>11610</v>
      </c>
      <c r="L14682">
        <v>0</v>
      </c>
      <c r="M14682">
        <v>0</v>
      </c>
      <c r="N14682">
        <v>0</v>
      </c>
    </row>
    <row r="14683" spans="1:15">
      <c r="A14683" t="s">
        <v>47964</v>
      </c>
      <c r="B14683" t="s">
        <v>6742</v>
      </c>
      <c r="C14683" t="s">
        <v>35394</v>
      </c>
      <c r="D14683" t="s">
        <v>47965</v>
      </c>
      <c r="E14683" t="b">
        <v>0</v>
      </c>
      <c r="F14683" t="s">
        <v>11610</v>
      </c>
      <c r="L14683">
        <v>0</v>
      </c>
      <c r="M14683">
        <v>0</v>
      </c>
      <c r="N14683">
        <v>0</v>
      </c>
    </row>
    <row r="14684" spans="1:15">
      <c r="A14684" t="s">
        <v>47966</v>
      </c>
      <c r="B14684" t="s">
        <v>6742</v>
      </c>
      <c r="C14684" t="s">
        <v>12956</v>
      </c>
      <c r="D14684" t="s">
        <v>47967</v>
      </c>
      <c r="E14684" t="b">
        <v>0</v>
      </c>
      <c r="F14684" t="s">
        <v>11610</v>
      </c>
      <c r="L14684">
        <v>0</v>
      </c>
      <c r="M14684">
        <v>0</v>
      </c>
      <c r="N14684">
        <v>0</v>
      </c>
    </row>
    <row r="14685" spans="1:15">
      <c r="A14685" t="s">
        <v>47968</v>
      </c>
      <c r="B14685" t="s">
        <v>367</v>
      </c>
      <c r="C14685" t="s">
        <v>12638</v>
      </c>
      <c r="D14685" t="s">
        <v>47969</v>
      </c>
      <c r="E14685" t="b">
        <v>0</v>
      </c>
      <c r="F14685" t="s">
        <v>11610</v>
      </c>
      <c r="L14685">
        <v>0</v>
      </c>
      <c r="M14685">
        <v>0</v>
      </c>
      <c r="N14685">
        <v>0</v>
      </c>
    </row>
    <row r="14686" spans="1:15">
      <c r="A14686" t="s">
        <v>47970</v>
      </c>
      <c r="B14686" t="s">
        <v>6742</v>
      </c>
      <c r="C14686" t="s">
        <v>37367</v>
      </c>
      <c r="D14686" t="s">
        <v>47971</v>
      </c>
      <c r="E14686" t="b">
        <v>0</v>
      </c>
      <c r="F14686" t="s">
        <v>11624</v>
      </c>
      <c r="G14686">
        <v>2.3048299999999999</v>
      </c>
      <c r="H14686">
        <v>14.1175</v>
      </c>
      <c r="I14686" t="s">
        <v>47972</v>
      </c>
      <c r="L14686">
        <v>0</v>
      </c>
      <c r="M14686">
        <v>0</v>
      </c>
      <c r="N14686">
        <v>0</v>
      </c>
      <c r="O14686" t="s">
        <v>16633</v>
      </c>
    </row>
    <row r="14687" spans="1:15">
      <c r="A14687" t="s">
        <v>47973</v>
      </c>
      <c r="B14687" t="s">
        <v>6742</v>
      </c>
      <c r="C14687" t="s">
        <v>21489</v>
      </c>
      <c r="D14687" t="s">
        <v>47974</v>
      </c>
      <c r="E14687" t="b">
        <v>0</v>
      </c>
      <c r="F14687" t="s">
        <v>11610</v>
      </c>
      <c r="L14687">
        <v>0</v>
      </c>
      <c r="M14687">
        <v>0</v>
      </c>
      <c r="N14687">
        <v>0</v>
      </c>
    </row>
    <row r="14688" spans="1:15">
      <c r="A14688" t="s">
        <v>43633</v>
      </c>
      <c r="B14688" t="s">
        <v>6742</v>
      </c>
      <c r="C14688" t="s">
        <v>16435</v>
      </c>
      <c r="D14688" t="s">
        <v>47975</v>
      </c>
      <c r="E14688" t="b">
        <v>0</v>
      </c>
      <c r="F14688" t="s">
        <v>11622</v>
      </c>
      <c r="L14688">
        <v>8</v>
      </c>
      <c r="M14688">
        <v>24</v>
      </c>
      <c r="N14688">
        <v>41</v>
      </c>
    </row>
    <row r="14689" spans="1:15">
      <c r="A14689" t="s">
        <v>16502</v>
      </c>
      <c r="B14689" t="s">
        <v>11607</v>
      </c>
      <c r="C14689" t="s">
        <v>31124</v>
      </c>
      <c r="D14689" t="s">
        <v>47976</v>
      </c>
      <c r="E14689" t="b">
        <v>0</v>
      </c>
      <c r="F14689" t="s">
        <v>11622</v>
      </c>
      <c r="L14689">
        <v>1</v>
      </c>
      <c r="M14689">
        <v>3</v>
      </c>
      <c r="N14689">
        <v>2</v>
      </c>
    </row>
    <row r="14690" spans="1:15">
      <c r="A14690" t="s">
        <v>25754</v>
      </c>
      <c r="B14690" t="s">
        <v>6742</v>
      </c>
      <c r="C14690" t="s">
        <v>43633</v>
      </c>
      <c r="D14690" t="s">
        <v>47977</v>
      </c>
      <c r="E14690" t="b">
        <v>0</v>
      </c>
      <c r="F14690" t="s">
        <v>11622</v>
      </c>
      <c r="L14690">
        <v>2</v>
      </c>
      <c r="M14690">
        <v>7</v>
      </c>
      <c r="N14690">
        <v>22</v>
      </c>
    </row>
    <row r="14691" spans="1:15">
      <c r="A14691" t="s">
        <v>47978</v>
      </c>
      <c r="B14691" t="s">
        <v>6742</v>
      </c>
      <c r="C14691" t="s">
        <v>47979</v>
      </c>
      <c r="D14691" t="s">
        <v>47980</v>
      </c>
      <c r="E14691" t="b">
        <v>0</v>
      </c>
      <c r="F14691" t="s">
        <v>11624</v>
      </c>
      <c r="I14691" t="s">
        <v>47981</v>
      </c>
      <c r="L14691">
        <v>0</v>
      </c>
      <c r="M14691">
        <v>0</v>
      </c>
      <c r="N14691">
        <v>0</v>
      </c>
      <c r="O14691" t="s">
        <v>11985</v>
      </c>
    </row>
    <row r="14692" spans="1:15">
      <c r="A14692" t="s">
        <v>47982</v>
      </c>
      <c r="B14692" t="s">
        <v>6742</v>
      </c>
      <c r="C14692" t="s">
        <v>41064</v>
      </c>
      <c r="D14692" t="s">
        <v>47983</v>
      </c>
      <c r="E14692" t="b">
        <v>0</v>
      </c>
      <c r="F14692" t="s">
        <v>11624</v>
      </c>
      <c r="G14692">
        <v>-13.3688</v>
      </c>
      <c r="H14692">
        <v>19.047599999999999</v>
      </c>
      <c r="I14692" t="s">
        <v>47984</v>
      </c>
      <c r="L14692">
        <v>0</v>
      </c>
      <c r="M14692">
        <v>0</v>
      </c>
      <c r="N14692">
        <v>0</v>
      </c>
      <c r="O14692" t="s">
        <v>19290</v>
      </c>
    </row>
    <row r="14693" spans="1:15">
      <c r="A14693" t="s">
        <v>47985</v>
      </c>
      <c r="B14693" t="s">
        <v>6742</v>
      </c>
      <c r="C14693" t="s">
        <v>31918</v>
      </c>
      <c r="D14693" t="s">
        <v>47986</v>
      </c>
      <c r="E14693" t="b">
        <v>0</v>
      </c>
      <c r="F14693" t="s">
        <v>11624</v>
      </c>
      <c r="G14693">
        <v>5.4389799999999999</v>
      </c>
      <c r="H14693">
        <v>7.7634499999999997</v>
      </c>
      <c r="I14693" t="s">
        <v>47987</v>
      </c>
      <c r="L14693">
        <v>0</v>
      </c>
      <c r="M14693">
        <v>0</v>
      </c>
      <c r="N14693">
        <v>0</v>
      </c>
      <c r="O14693" t="s">
        <v>11693</v>
      </c>
    </row>
    <row r="14694" spans="1:15">
      <c r="A14694" t="s">
        <v>47988</v>
      </c>
      <c r="B14694" t="s">
        <v>6742</v>
      </c>
      <c r="C14694" t="s">
        <v>11697</v>
      </c>
      <c r="D14694" t="s">
        <v>47989</v>
      </c>
      <c r="E14694" t="b">
        <v>0</v>
      </c>
      <c r="F14694" t="s">
        <v>11624</v>
      </c>
      <c r="G14694">
        <v>6.5915800000000004</v>
      </c>
      <c r="H14694">
        <v>8.6866800000000008</v>
      </c>
      <c r="I14694" t="s">
        <v>47990</v>
      </c>
      <c r="L14694">
        <v>0</v>
      </c>
      <c r="M14694">
        <v>0</v>
      </c>
      <c r="N14694">
        <v>2</v>
      </c>
      <c r="O14694" t="s">
        <v>11693</v>
      </c>
    </row>
    <row r="14695" spans="1:15">
      <c r="A14695" t="s">
        <v>47991</v>
      </c>
      <c r="B14695" t="s">
        <v>6742</v>
      </c>
      <c r="C14695" t="s">
        <v>47988</v>
      </c>
      <c r="D14695" t="s">
        <v>47992</v>
      </c>
      <c r="E14695" t="b">
        <v>0</v>
      </c>
      <c r="F14695" t="s">
        <v>11610</v>
      </c>
      <c r="L14695">
        <v>0</v>
      </c>
      <c r="M14695">
        <v>0</v>
      </c>
      <c r="N14695">
        <v>0</v>
      </c>
    </row>
    <row r="14696" spans="1:15">
      <c r="A14696" t="s">
        <v>47993</v>
      </c>
      <c r="B14696" t="s">
        <v>6742</v>
      </c>
      <c r="C14696" t="s">
        <v>47994</v>
      </c>
      <c r="D14696" t="s">
        <v>47995</v>
      </c>
      <c r="E14696" t="b">
        <v>0</v>
      </c>
      <c r="F14696" t="s">
        <v>11624</v>
      </c>
      <c r="G14696">
        <v>-15.412599999999999</v>
      </c>
      <c r="H14696">
        <v>13.9704</v>
      </c>
      <c r="I14696" t="s">
        <v>47996</v>
      </c>
      <c r="L14696">
        <v>0</v>
      </c>
      <c r="M14696">
        <v>0</v>
      </c>
      <c r="N14696">
        <v>0</v>
      </c>
      <c r="O14696" t="s">
        <v>37874</v>
      </c>
    </row>
    <row r="14697" spans="1:15">
      <c r="A14697" t="s">
        <v>47997</v>
      </c>
      <c r="B14697" t="s">
        <v>6742</v>
      </c>
      <c r="C14697" t="s">
        <v>19737</v>
      </c>
      <c r="D14697" t="s">
        <v>47998</v>
      </c>
      <c r="E14697" t="b">
        <v>0</v>
      </c>
      <c r="F14697" t="s">
        <v>11610</v>
      </c>
      <c r="L14697">
        <v>0</v>
      </c>
      <c r="M14697">
        <v>0</v>
      </c>
      <c r="N14697">
        <v>0</v>
      </c>
    </row>
    <row r="14698" spans="1:15">
      <c r="A14698" t="s">
        <v>47999</v>
      </c>
      <c r="B14698" t="s">
        <v>11627</v>
      </c>
      <c r="C14698" t="s">
        <v>11627</v>
      </c>
      <c r="D14698" t="s">
        <v>48000</v>
      </c>
      <c r="E14698" t="b">
        <v>1</v>
      </c>
      <c r="F14698" t="s">
        <v>11624</v>
      </c>
      <c r="I14698" t="s">
        <v>48001</v>
      </c>
      <c r="L14698">
        <v>0</v>
      </c>
      <c r="M14698">
        <v>0</v>
      </c>
      <c r="N14698">
        <v>0</v>
      </c>
      <c r="O14698" t="s">
        <v>48002</v>
      </c>
    </row>
    <row r="14699" spans="1:15">
      <c r="A14699" t="s">
        <v>48003</v>
      </c>
      <c r="B14699" t="s">
        <v>6742</v>
      </c>
      <c r="C14699" t="s">
        <v>36673</v>
      </c>
      <c r="D14699" t="s">
        <v>48004</v>
      </c>
      <c r="E14699" t="b">
        <v>0</v>
      </c>
      <c r="F14699" t="s">
        <v>11610</v>
      </c>
      <c r="L14699">
        <v>0</v>
      </c>
      <c r="M14699">
        <v>0</v>
      </c>
      <c r="N14699">
        <v>0</v>
      </c>
    </row>
    <row r="14700" spans="1:15">
      <c r="A14700" t="s">
        <v>48005</v>
      </c>
      <c r="B14700" t="s">
        <v>6742</v>
      </c>
      <c r="C14700" t="s">
        <v>32328</v>
      </c>
      <c r="D14700" t="s">
        <v>48006</v>
      </c>
      <c r="E14700" t="b">
        <v>0</v>
      </c>
      <c r="F14700" t="s">
        <v>11610</v>
      </c>
      <c r="L14700">
        <v>0</v>
      </c>
      <c r="M14700">
        <v>0</v>
      </c>
      <c r="N14700">
        <v>0</v>
      </c>
    </row>
    <row r="14701" spans="1:15">
      <c r="A14701" t="s">
        <v>48007</v>
      </c>
      <c r="B14701" t="s">
        <v>6742</v>
      </c>
      <c r="C14701" t="s">
        <v>12641</v>
      </c>
      <c r="D14701" t="s">
        <v>48008</v>
      </c>
      <c r="E14701" t="b">
        <v>0</v>
      </c>
      <c r="F14701" t="s">
        <v>11610</v>
      </c>
      <c r="L14701">
        <v>0</v>
      </c>
      <c r="M14701">
        <v>0</v>
      </c>
      <c r="N14701">
        <v>0</v>
      </c>
    </row>
    <row r="14702" spans="1:15">
      <c r="A14702" t="s">
        <v>47979</v>
      </c>
      <c r="B14702" t="s">
        <v>6742</v>
      </c>
      <c r="C14702" t="s">
        <v>29533</v>
      </c>
      <c r="D14702" t="s">
        <v>48009</v>
      </c>
      <c r="E14702" t="b">
        <v>0</v>
      </c>
      <c r="F14702" t="s">
        <v>11622</v>
      </c>
      <c r="G14702">
        <v>7.2031599999999996</v>
      </c>
      <c r="H14702">
        <v>0.32090000000000002</v>
      </c>
      <c r="L14702">
        <v>0</v>
      </c>
      <c r="M14702">
        <v>2</v>
      </c>
      <c r="N14702">
        <v>0</v>
      </c>
      <c r="O14702" t="s">
        <v>11985</v>
      </c>
    </row>
    <row r="14703" spans="1:15">
      <c r="A14703" t="s">
        <v>48010</v>
      </c>
      <c r="B14703" t="s">
        <v>6742</v>
      </c>
      <c r="C14703" t="s">
        <v>38055</v>
      </c>
      <c r="D14703" t="s">
        <v>48011</v>
      </c>
      <c r="E14703" t="b">
        <v>0</v>
      </c>
      <c r="F14703" t="s">
        <v>11610</v>
      </c>
      <c r="L14703">
        <v>0</v>
      </c>
      <c r="M14703">
        <v>0</v>
      </c>
      <c r="N14703">
        <v>0</v>
      </c>
    </row>
    <row r="14704" spans="1:15">
      <c r="A14704" t="s">
        <v>48012</v>
      </c>
      <c r="B14704" t="s">
        <v>6742</v>
      </c>
      <c r="C14704" t="s">
        <v>39741</v>
      </c>
      <c r="D14704" t="s">
        <v>48013</v>
      </c>
      <c r="E14704" t="b">
        <v>0</v>
      </c>
      <c r="F14704" t="s">
        <v>11624</v>
      </c>
      <c r="G14704">
        <v>5.3384799999999997</v>
      </c>
      <c r="H14704">
        <v>9.8009599999999999</v>
      </c>
      <c r="I14704" t="s">
        <v>48014</v>
      </c>
      <c r="L14704">
        <v>0</v>
      </c>
      <c r="M14704">
        <v>0</v>
      </c>
      <c r="N14704">
        <v>0</v>
      </c>
      <c r="O14704" t="s">
        <v>11703</v>
      </c>
    </row>
    <row r="14705" spans="1:15">
      <c r="A14705" t="s">
        <v>48015</v>
      </c>
      <c r="B14705" t="s">
        <v>6742</v>
      </c>
      <c r="C14705" t="s">
        <v>47979</v>
      </c>
      <c r="D14705" t="s">
        <v>48016</v>
      </c>
      <c r="E14705" t="b">
        <v>0</v>
      </c>
      <c r="F14705" t="s">
        <v>11624</v>
      </c>
      <c r="G14705">
        <v>7.2031599999999996</v>
      </c>
      <c r="H14705">
        <v>0.32090000000000002</v>
      </c>
      <c r="I14705" t="s">
        <v>48017</v>
      </c>
      <c r="L14705">
        <v>0</v>
      </c>
      <c r="M14705">
        <v>0</v>
      </c>
      <c r="N14705">
        <v>0</v>
      </c>
      <c r="O14705" t="s">
        <v>11985</v>
      </c>
    </row>
    <row r="14706" spans="1:15">
      <c r="A14706" t="s">
        <v>48018</v>
      </c>
      <c r="B14706" t="s">
        <v>6742</v>
      </c>
      <c r="C14706" t="s">
        <v>16450</v>
      </c>
      <c r="D14706" t="s">
        <v>48019</v>
      </c>
      <c r="E14706" t="b">
        <v>0</v>
      </c>
      <c r="F14706" t="s">
        <v>11610</v>
      </c>
      <c r="L14706">
        <v>0</v>
      </c>
      <c r="M14706">
        <v>0</v>
      </c>
      <c r="N14706">
        <v>0</v>
      </c>
    </row>
    <row r="14707" spans="1:15">
      <c r="A14707" t="s">
        <v>48020</v>
      </c>
      <c r="B14707" t="s">
        <v>12697</v>
      </c>
      <c r="C14707" t="s">
        <v>34296</v>
      </c>
      <c r="D14707" t="s">
        <v>48021</v>
      </c>
      <c r="E14707" t="b">
        <v>0</v>
      </c>
      <c r="F14707" t="s">
        <v>11624</v>
      </c>
      <c r="G14707">
        <v>4.5764100000000001</v>
      </c>
      <c r="H14707">
        <v>7.4580200000000003</v>
      </c>
      <c r="I14707" t="s">
        <v>48022</v>
      </c>
      <c r="L14707">
        <v>0</v>
      </c>
      <c r="M14707">
        <v>0</v>
      </c>
      <c r="N14707">
        <v>0</v>
      </c>
      <c r="O14707" t="s">
        <v>11693</v>
      </c>
    </row>
    <row r="14708" spans="1:15">
      <c r="A14708" t="s">
        <v>48023</v>
      </c>
      <c r="B14708" t="s">
        <v>6742</v>
      </c>
      <c r="C14708" t="s">
        <v>30985</v>
      </c>
      <c r="D14708" t="s">
        <v>48024</v>
      </c>
      <c r="E14708" t="b">
        <v>0</v>
      </c>
      <c r="F14708" t="s">
        <v>11622</v>
      </c>
      <c r="L14708">
        <v>2</v>
      </c>
      <c r="M14708">
        <v>4</v>
      </c>
      <c r="N14708">
        <v>6</v>
      </c>
    </row>
    <row r="14709" spans="1:15">
      <c r="A14709" t="s">
        <v>22521</v>
      </c>
      <c r="B14709" t="s">
        <v>6742</v>
      </c>
      <c r="C14709" t="s">
        <v>48023</v>
      </c>
      <c r="D14709" t="s">
        <v>48025</v>
      </c>
      <c r="E14709" t="b">
        <v>0</v>
      </c>
      <c r="F14709" t="s">
        <v>11622</v>
      </c>
      <c r="L14709">
        <v>0</v>
      </c>
      <c r="M14709">
        <v>2</v>
      </c>
      <c r="N14709">
        <v>3</v>
      </c>
    </row>
    <row r="14710" spans="1:15">
      <c r="A14710" t="s">
        <v>48026</v>
      </c>
      <c r="B14710" t="s">
        <v>6742</v>
      </c>
      <c r="C14710" t="s">
        <v>38607</v>
      </c>
      <c r="D14710" t="s">
        <v>48027</v>
      </c>
      <c r="E14710" t="b">
        <v>0</v>
      </c>
      <c r="F14710" t="s">
        <v>11610</v>
      </c>
      <c r="L14710">
        <v>0</v>
      </c>
      <c r="M14710">
        <v>0</v>
      </c>
      <c r="N14710">
        <v>0</v>
      </c>
    </row>
    <row r="14711" spans="1:15">
      <c r="A14711" t="s">
        <v>41117</v>
      </c>
      <c r="B14711" t="s">
        <v>6742</v>
      </c>
      <c r="C14711" t="s">
        <v>41042</v>
      </c>
      <c r="D14711" t="s">
        <v>48028</v>
      </c>
      <c r="E14711" t="b">
        <v>0</v>
      </c>
      <c r="F14711" t="s">
        <v>11624</v>
      </c>
      <c r="G14711">
        <v>-14.8513</v>
      </c>
      <c r="H14711">
        <v>24.764900000000001</v>
      </c>
      <c r="I14711" t="s">
        <v>48029</v>
      </c>
      <c r="L14711">
        <v>0</v>
      </c>
      <c r="M14711">
        <v>0</v>
      </c>
      <c r="N14711">
        <v>6</v>
      </c>
      <c r="O14711" t="s">
        <v>32215</v>
      </c>
    </row>
    <row r="14712" spans="1:15">
      <c r="A14712" t="s">
        <v>48030</v>
      </c>
      <c r="B14712" t="s">
        <v>6742</v>
      </c>
      <c r="C14712" t="s">
        <v>40493</v>
      </c>
      <c r="D14712" t="s">
        <v>48031</v>
      </c>
      <c r="E14712" t="b">
        <v>0</v>
      </c>
      <c r="F14712" t="s">
        <v>11610</v>
      </c>
      <c r="L14712">
        <v>0</v>
      </c>
      <c r="M14712">
        <v>0</v>
      </c>
      <c r="N14712">
        <v>0</v>
      </c>
    </row>
    <row r="14713" spans="1:15">
      <c r="A14713" t="s">
        <v>48032</v>
      </c>
      <c r="B14713" t="s">
        <v>6742</v>
      </c>
      <c r="C14713" t="s">
        <v>41047</v>
      </c>
      <c r="D14713" t="s">
        <v>48033</v>
      </c>
      <c r="E14713" t="b">
        <v>0</v>
      </c>
      <c r="F14713" t="s">
        <v>11624</v>
      </c>
      <c r="G14713">
        <v>5.7561999999999998</v>
      </c>
      <c r="H14713">
        <v>8.2805099999999996</v>
      </c>
      <c r="I14713" t="s">
        <v>48034</v>
      </c>
      <c r="L14713">
        <v>0</v>
      </c>
      <c r="M14713">
        <v>0</v>
      </c>
      <c r="N14713">
        <v>0</v>
      </c>
      <c r="O14713" t="s">
        <v>11693</v>
      </c>
    </row>
    <row r="14714" spans="1:15">
      <c r="A14714" t="s">
        <v>48035</v>
      </c>
      <c r="B14714" t="s">
        <v>6742</v>
      </c>
      <c r="C14714" t="s">
        <v>48036</v>
      </c>
      <c r="D14714" t="s">
        <v>48037</v>
      </c>
      <c r="E14714" t="b">
        <v>0</v>
      </c>
      <c r="F14714" t="s">
        <v>11610</v>
      </c>
      <c r="L14714">
        <v>0</v>
      </c>
      <c r="M14714">
        <v>0</v>
      </c>
      <c r="N14714">
        <v>0</v>
      </c>
    </row>
    <row r="14715" spans="1:15">
      <c r="A14715" t="s">
        <v>48038</v>
      </c>
      <c r="B14715" t="s">
        <v>6742</v>
      </c>
      <c r="C14715" t="s">
        <v>48036</v>
      </c>
      <c r="D14715" t="s">
        <v>48039</v>
      </c>
      <c r="E14715" t="b">
        <v>0</v>
      </c>
      <c r="F14715" t="s">
        <v>11610</v>
      </c>
      <c r="L14715">
        <v>0</v>
      </c>
      <c r="M14715">
        <v>0</v>
      </c>
      <c r="N14715">
        <v>0</v>
      </c>
    </row>
    <row r="14716" spans="1:15">
      <c r="A14716" t="s">
        <v>48040</v>
      </c>
      <c r="B14716" t="s">
        <v>6742</v>
      </c>
      <c r="C14716" t="s">
        <v>4187</v>
      </c>
      <c r="D14716" t="s">
        <v>48041</v>
      </c>
      <c r="E14716" t="b">
        <v>0</v>
      </c>
      <c r="F14716" t="s">
        <v>11610</v>
      </c>
      <c r="L14716">
        <v>0</v>
      </c>
      <c r="M14716">
        <v>0</v>
      </c>
      <c r="N14716">
        <v>0</v>
      </c>
    </row>
    <row r="14717" spans="1:15">
      <c r="A14717" t="s">
        <v>48042</v>
      </c>
      <c r="B14717" t="s">
        <v>6742</v>
      </c>
      <c r="C14717" t="s">
        <v>47988</v>
      </c>
      <c r="D14717" t="s">
        <v>48043</v>
      </c>
      <c r="E14717" t="b">
        <v>0</v>
      </c>
      <c r="F14717" t="s">
        <v>11610</v>
      </c>
      <c r="L14717">
        <v>0</v>
      </c>
      <c r="M14717">
        <v>0</v>
      </c>
      <c r="N14717">
        <v>0</v>
      </c>
    </row>
    <row r="14718" spans="1:15">
      <c r="A14718" t="s">
        <v>48044</v>
      </c>
      <c r="B14718" t="s">
        <v>6742</v>
      </c>
      <c r="C14718" t="s">
        <v>5545</v>
      </c>
      <c r="D14718" t="s">
        <v>48045</v>
      </c>
      <c r="E14718" t="b">
        <v>0</v>
      </c>
      <c r="F14718" t="s">
        <v>11610</v>
      </c>
      <c r="L14718">
        <v>0</v>
      </c>
      <c r="M14718">
        <v>0</v>
      </c>
      <c r="N14718">
        <v>0</v>
      </c>
    </row>
    <row r="14719" spans="1:15">
      <c r="A14719" t="s">
        <v>27014</v>
      </c>
      <c r="B14719" t="s">
        <v>6742</v>
      </c>
      <c r="C14719" t="s">
        <v>19012</v>
      </c>
      <c r="D14719" t="s">
        <v>48046</v>
      </c>
      <c r="E14719" t="b">
        <v>0</v>
      </c>
      <c r="F14719" t="s">
        <v>11624</v>
      </c>
      <c r="G14719">
        <v>-3.6743199999999998</v>
      </c>
      <c r="H14719">
        <v>22.680199999999999</v>
      </c>
      <c r="I14719" t="s">
        <v>48047</v>
      </c>
      <c r="L14719">
        <v>0</v>
      </c>
      <c r="M14719">
        <v>0</v>
      </c>
      <c r="N14719">
        <v>5</v>
      </c>
      <c r="O14719" t="s">
        <v>14825</v>
      </c>
    </row>
    <row r="14720" spans="1:15">
      <c r="A14720" t="s">
        <v>19681</v>
      </c>
      <c r="B14720" t="s">
        <v>6742</v>
      </c>
      <c r="C14720" t="s">
        <v>40609</v>
      </c>
      <c r="D14720" t="s">
        <v>48048</v>
      </c>
      <c r="E14720" t="b">
        <v>0</v>
      </c>
      <c r="F14720" t="s">
        <v>11622</v>
      </c>
      <c r="L14720">
        <v>3</v>
      </c>
      <c r="M14720">
        <v>10</v>
      </c>
      <c r="N14720">
        <v>11</v>
      </c>
    </row>
    <row r="14721" spans="1:15">
      <c r="A14721" t="s">
        <v>48049</v>
      </c>
      <c r="B14721" t="s">
        <v>6742</v>
      </c>
      <c r="C14721" t="s">
        <v>27905</v>
      </c>
      <c r="D14721" t="s">
        <v>48050</v>
      </c>
      <c r="E14721" t="b">
        <v>0</v>
      </c>
      <c r="F14721" t="s">
        <v>11610</v>
      </c>
      <c r="L14721">
        <v>0</v>
      </c>
      <c r="M14721">
        <v>0</v>
      </c>
      <c r="N14721">
        <v>0</v>
      </c>
    </row>
    <row r="14722" spans="1:15">
      <c r="A14722" t="s">
        <v>48051</v>
      </c>
      <c r="B14722" t="s">
        <v>6742</v>
      </c>
      <c r="C14722" t="s">
        <v>44037</v>
      </c>
      <c r="D14722" t="s">
        <v>48052</v>
      </c>
      <c r="E14722" t="b">
        <v>0</v>
      </c>
      <c r="F14722" t="s">
        <v>11610</v>
      </c>
      <c r="L14722">
        <v>0</v>
      </c>
      <c r="M14722">
        <v>0</v>
      </c>
      <c r="N14722">
        <v>0</v>
      </c>
    </row>
    <row r="14723" spans="1:15">
      <c r="A14723" t="s">
        <v>48053</v>
      </c>
      <c r="B14723" t="s">
        <v>6742</v>
      </c>
      <c r="C14723" t="s">
        <v>32891</v>
      </c>
      <c r="D14723" t="s">
        <v>48054</v>
      </c>
      <c r="E14723" t="b">
        <v>0</v>
      </c>
      <c r="F14723" t="s">
        <v>11610</v>
      </c>
      <c r="L14723">
        <v>0</v>
      </c>
      <c r="M14723">
        <v>0</v>
      </c>
      <c r="N14723">
        <v>0</v>
      </c>
    </row>
    <row r="14724" spans="1:15">
      <c r="A14724" t="s">
        <v>31823</v>
      </c>
      <c r="B14724" t="s">
        <v>367</v>
      </c>
      <c r="C14724" t="s">
        <v>48055</v>
      </c>
      <c r="D14724" t="s">
        <v>48056</v>
      </c>
      <c r="E14724" t="b">
        <v>0</v>
      </c>
      <c r="F14724" t="s">
        <v>11622</v>
      </c>
      <c r="L14724">
        <v>1</v>
      </c>
      <c r="M14724">
        <v>3</v>
      </c>
      <c r="N14724">
        <v>0</v>
      </c>
    </row>
    <row r="14725" spans="1:15">
      <c r="A14725" t="s">
        <v>48055</v>
      </c>
      <c r="B14725" t="s">
        <v>367</v>
      </c>
      <c r="C14725" t="s">
        <v>33311</v>
      </c>
      <c r="D14725" t="s">
        <v>48057</v>
      </c>
      <c r="E14725" t="b">
        <v>0</v>
      </c>
      <c r="F14725" t="s">
        <v>11622</v>
      </c>
      <c r="L14725">
        <v>2</v>
      </c>
      <c r="M14725">
        <v>5</v>
      </c>
      <c r="N14725">
        <v>0</v>
      </c>
    </row>
    <row r="14726" spans="1:15">
      <c r="A14726" t="s">
        <v>48058</v>
      </c>
      <c r="B14726" t="s">
        <v>6742</v>
      </c>
      <c r="C14726" t="s">
        <v>11690</v>
      </c>
      <c r="D14726" t="s">
        <v>48059</v>
      </c>
      <c r="E14726" t="b">
        <v>0</v>
      </c>
      <c r="F14726" t="s">
        <v>11624</v>
      </c>
      <c r="G14726">
        <v>6.3131899999999996</v>
      </c>
      <c r="H14726">
        <v>8.4897500000000008</v>
      </c>
      <c r="I14726" t="s">
        <v>48060</v>
      </c>
      <c r="L14726">
        <v>0</v>
      </c>
      <c r="M14726">
        <v>0</v>
      </c>
      <c r="N14726">
        <v>0</v>
      </c>
      <c r="O14726" t="s">
        <v>11693</v>
      </c>
    </row>
    <row r="14727" spans="1:15">
      <c r="A14727" t="s">
        <v>48061</v>
      </c>
      <c r="B14727" t="s">
        <v>367</v>
      </c>
      <c r="C14727" t="s">
        <v>22887</v>
      </c>
      <c r="D14727" t="s">
        <v>48062</v>
      </c>
      <c r="E14727" t="b">
        <v>0</v>
      </c>
      <c r="F14727" t="s">
        <v>11610</v>
      </c>
      <c r="L14727">
        <v>0</v>
      </c>
      <c r="M14727">
        <v>0</v>
      </c>
      <c r="N14727">
        <v>0</v>
      </c>
    </row>
    <row r="14728" spans="1:15">
      <c r="A14728" t="s">
        <v>48063</v>
      </c>
      <c r="B14728" t="s">
        <v>11644</v>
      </c>
      <c r="C14728" t="s">
        <v>24327</v>
      </c>
      <c r="D14728" t="s">
        <v>48064</v>
      </c>
      <c r="E14728" t="b">
        <v>0</v>
      </c>
      <c r="F14728" t="s">
        <v>11610</v>
      </c>
      <c r="L14728">
        <v>0</v>
      </c>
      <c r="M14728">
        <v>0</v>
      </c>
      <c r="N14728">
        <v>0</v>
      </c>
    </row>
    <row r="14729" spans="1:15">
      <c r="A14729" t="s">
        <v>48065</v>
      </c>
      <c r="B14729" t="s">
        <v>3164</v>
      </c>
      <c r="C14729" t="s">
        <v>3164</v>
      </c>
      <c r="D14729" t="s">
        <v>48066</v>
      </c>
      <c r="E14729" t="b">
        <v>0</v>
      </c>
      <c r="F14729" t="s">
        <v>11622</v>
      </c>
      <c r="L14729">
        <v>0</v>
      </c>
      <c r="M14729">
        <v>2</v>
      </c>
      <c r="N14729">
        <v>2</v>
      </c>
    </row>
    <row r="14730" spans="1:15">
      <c r="A14730" t="s">
        <v>27924</v>
      </c>
      <c r="B14730" t="s">
        <v>3164</v>
      </c>
      <c r="C14730" t="s">
        <v>48065</v>
      </c>
      <c r="D14730" t="s">
        <v>48067</v>
      </c>
      <c r="E14730" t="b">
        <v>0</v>
      </c>
      <c r="F14730" t="s">
        <v>11624</v>
      </c>
      <c r="G14730">
        <v>22.8142</v>
      </c>
      <c r="H14730">
        <v>31.837599999999998</v>
      </c>
      <c r="I14730" t="s">
        <v>48068</v>
      </c>
      <c r="L14730">
        <v>0</v>
      </c>
      <c r="M14730">
        <v>0</v>
      </c>
      <c r="N14730">
        <v>2</v>
      </c>
      <c r="O14730" t="s">
        <v>35884</v>
      </c>
    </row>
    <row r="14731" spans="1:15">
      <c r="A14731" t="s">
        <v>14533</v>
      </c>
      <c r="B14731" t="s">
        <v>11615</v>
      </c>
      <c r="C14731" t="s">
        <v>15996</v>
      </c>
      <c r="D14731" t="s">
        <v>48069</v>
      </c>
      <c r="E14731" t="b">
        <v>0</v>
      </c>
      <c r="F14731" t="s">
        <v>11624</v>
      </c>
      <c r="G14731">
        <v>-5.0695199999999998</v>
      </c>
      <c r="H14731">
        <v>145.71199999999999</v>
      </c>
      <c r="I14731" t="s">
        <v>48070</v>
      </c>
      <c r="L14731">
        <v>0</v>
      </c>
      <c r="M14731">
        <v>0</v>
      </c>
      <c r="N14731">
        <v>1</v>
      </c>
      <c r="O14731" t="s">
        <v>11660</v>
      </c>
    </row>
    <row r="14732" spans="1:15">
      <c r="A14732" t="s">
        <v>48071</v>
      </c>
      <c r="B14732" t="s">
        <v>6742</v>
      </c>
      <c r="C14732" t="s">
        <v>3984</v>
      </c>
      <c r="D14732" t="s">
        <v>48072</v>
      </c>
      <c r="E14732" t="b">
        <v>0</v>
      </c>
      <c r="F14732" t="s">
        <v>11610</v>
      </c>
      <c r="L14732">
        <v>0</v>
      </c>
      <c r="M14732">
        <v>0</v>
      </c>
      <c r="N14732">
        <v>0</v>
      </c>
    </row>
    <row r="14733" spans="1:15">
      <c r="A14733" t="s">
        <v>48073</v>
      </c>
      <c r="B14733" t="s">
        <v>11627</v>
      </c>
      <c r="C14733" t="s">
        <v>11627</v>
      </c>
      <c r="D14733" t="s">
        <v>48074</v>
      </c>
      <c r="E14733" t="b">
        <v>1</v>
      </c>
      <c r="F14733" t="s">
        <v>11624</v>
      </c>
      <c r="G14733">
        <v>-8.9166600000000003</v>
      </c>
      <c r="H14733">
        <v>-73.166700000000006</v>
      </c>
      <c r="I14733" t="s">
        <v>48075</v>
      </c>
      <c r="L14733">
        <v>0</v>
      </c>
      <c r="M14733">
        <v>0</v>
      </c>
      <c r="N14733">
        <v>0</v>
      </c>
      <c r="O14733" t="s">
        <v>13248</v>
      </c>
    </row>
    <row r="14734" spans="1:15">
      <c r="A14734" t="s">
        <v>48076</v>
      </c>
      <c r="B14734" t="s">
        <v>11607</v>
      </c>
      <c r="C14734" t="s">
        <v>13913</v>
      </c>
      <c r="D14734" t="s">
        <v>48077</v>
      </c>
      <c r="E14734" t="b">
        <v>0</v>
      </c>
      <c r="F14734" t="s">
        <v>11610</v>
      </c>
      <c r="L14734">
        <v>0</v>
      </c>
      <c r="M14734">
        <v>0</v>
      </c>
      <c r="N14734">
        <v>0</v>
      </c>
    </row>
    <row r="14735" spans="1:15">
      <c r="A14735" t="s">
        <v>19716</v>
      </c>
      <c r="B14735" t="s">
        <v>11644</v>
      </c>
      <c r="C14735" t="s">
        <v>37350</v>
      </c>
      <c r="D14735" t="s">
        <v>48078</v>
      </c>
      <c r="E14735" t="b">
        <v>0</v>
      </c>
      <c r="F14735" t="s">
        <v>11624</v>
      </c>
      <c r="G14735">
        <v>27.152000000000001</v>
      </c>
      <c r="H14735">
        <v>95.390299999999996</v>
      </c>
      <c r="I14735" t="s">
        <v>48079</v>
      </c>
      <c r="L14735">
        <v>0</v>
      </c>
      <c r="M14735">
        <v>0</v>
      </c>
      <c r="N14735">
        <v>9</v>
      </c>
      <c r="O14735" t="s">
        <v>11630</v>
      </c>
    </row>
    <row r="14736" spans="1:15">
      <c r="A14736" t="s">
        <v>48080</v>
      </c>
      <c r="B14736" t="s">
        <v>367</v>
      </c>
      <c r="C14736" t="s">
        <v>7268</v>
      </c>
      <c r="D14736" t="s">
        <v>48081</v>
      </c>
      <c r="E14736" t="b">
        <v>0</v>
      </c>
      <c r="F14736" t="s">
        <v>11610</v>
      </c>
      <c r="L14736">
        <v>0</v>
      </c>
      <c r="M14736">
        <v>0</v>
      </c>
      <c r="N14736">
        <v>0</v>
      </c>
    </row>
    <row r="14737" spans="1:15">
      <c r="A14737" t="s">
        <v>48082</v>
      </c>
      <c r="B14737" t="s">
        <v>367</v>
      </c>
      <c r="C14737" t="s">
        <v>43652</v>
      </c>
      <c r="D14737" t="s">
        <v>48083</v>
      </c>
      <c r="E14737" t="b">
        <v>0</v>
      </c>
      <c r="F14737" t="s">
        <v>11610</v>
      </c>
      <c r="I14737" t="s">
        <v>48084</v>
      </c>
      <c r="L14737">
        <v>0</v>
      </c>
      <c r="M14737">
        <v>0</v>
      </c>
      <c r="N14737">
        <v>0</v>
      </c>
      <c r="O14737" t="s">
        <v>13346</v>
      </c>
    </row>
    <row r="14738" spans="1:15">
      <c r="A14738" t="s">
        <v>12891</v>
      </c>
      <c r="B14738" t="s">
        <v>331</v>
      </c>
      <c r="C14738" t="s">
        <v>35034</v>
      </c>
      <c r="D14738" t="s">
        <v>48085</v>
      </c>
      <c r="E14738" t="b">
        <v>0</v>
      </c>
      <c r="F14738" t="s">
        <v>11624</v>
      </c>
      <c r="G14738">
        <v>43.591700000000003</v>
      </c>
      <c r="H14738">
        <v>46.661799999999999</v>
      </c>
      <c r="I14738" t="s">
        <v>48086</v>
      </c>
      <c r="L14738">
        <v>0</v>
      </c>
      <c r="M14738">
        <v>0</v>
      </c>
      <c r="N14738">
        <v>6</v>
      </c>
      <c r="O14738" t="s">
        <v>25901</v>
      </c>
    </row>
    <row r="14739" spans="1:15">
      <c r="A14739" t="s">
        <v>48087</v>
      </c>
      <c r="B14739" t="s">
        <v>12738</v>
      </c>
      <c r="C14739" t="s">
        <v>2093</v>
      </c>
      <c r="D14739" t="s">
        <v>48088</v>
      </c>
      <c r="E14739" t="b">
        <v>0</v>
      </c>
      <c r="F14739" t="s">
        <v>11610</v>
      </c>
      <c r="L14739">
        <v>0</v>
      </c>
      <c r="M14739">
        <v>0</v>
      </c>
      <c r="N14739">
        <v>0</v>
      </c>
    </row>
    <row r="14740" spans="1:15">
      <c r="A14740" t="s">
        <v>48089</v>
      </c>
      <c r="B14740" t="s">
        <v>367</v>
      </c>
      <c r="C14740" t="s">
        <v>5040</v>
      </c>
      <c r="D14740" t="s">
        <v>48090</v>
      </c>
      <c r="E14740" t="b">
        <v>0</v>
      </c>
      <c r="F14740" t="s">
        <v>11610</v>
      </c>
      <c r="L14740">
        <v>0</v>
      </c>
      <c r="M14740">
        <v>0</v>
      </c>
      <c r="N14740">
        <v>0</v>
      </c>
    </row>
    <row r="14741" spans="1:15">
      <c r="A14741" t="s">
        <v>48091</v>
      </c>
      <c r="B14741" t="s">
        <v>12557</v>
      </c>
      <c r="C14741" t="s">
        <v>48092</v>
      </c>
      <c r="D14741" t="s">
        <v>48093</v>
      </c>
      <c r="E14741" t="b">
        <v>0</v>
      </c>
      <c r="F14741" t="s">
        <v>11610</v>
      </c>
      <c r="L14741">
        <v>0</v>
      </c>
      <c r="M14741">
        <v>0</v>
      </c>
      <c r="N14741">
        <v>0</v>
      </c>
    </row>
    <row r="14742" spans="1:15">
      <c r="A14742" t="s">
        <v>48094</v>
      </c>
      <c r="B14742" t="s">
        <v>6742</v>
      </c>
      <c r="C14742" t="s">
        <v>3984</v>
      </c>
      <c r="D14742" t="s">
        <v>48095</v>
      </c>
      <c r="E14742" t="b">
        <v>0</v>
      </c>
      <c r="F14742" t="s">
        <v>11610</v>
      </c>
      <c r="L14742">
        <v>0</v>
      </c>
      <c r="M14742">
        <v>0</v>
      </c>
      <c r="N14742">
        <v>0</v>
      </c>
    </row>
    <row r="14743" spans="1:15">
      <c r="A14743" t="s">
        <v>17164</v>
      </c>
      <c r="B14743" t="s">
        <v>11637</v>
      </c>
      <c r="C14743" t="s">
        <v>48096</v>
      </c>
      <c r="D14743" t="s">
        <v>48097</v>
      </c>
      <c r="E14743" t="b">
        <v>0</v>
      </c>
      <c r="F14743" t="s">
        <v>11624</v>
      </c>
      <c r="G14743">
        <v>22.8781</v>
      </c>
      <c r="H14743">
        <v>73.548599999999993</v>
      </c>
      <c r="I14743" t="s">
        <v>48098</v>
      </c>
      <c r="L14743">
        <v>0</v>
      </c>
      <c r="M14743">
        <v>0</v>
      </c>
      <c r="N14743">
        <v>1</v>
      </c>
      <c r="O14743" t="s">
        <v>11630</v>
      </c>
    </row>
    <row r="14744" spans="1:15">
      <c r="A14744" t="s">
        <v>48099</v>
      </c>
      <c r="B14744" t="s">
        <v>367</v>
      </c>
      <c r="C14744" t="s">
        <v>32558</v>
      </c>
      <c r="D14744" t="s">
        <v>48100</v>
      </c>
      <c r="E14744" t="b">
        <v>0</v>
      </c>
      <c r="F14744" t="s">
        <v>11610</v>
      </c>
      <c r="L14744">
        <v>0</v>
      </c>
      <c r="M14744">
        <v>0</v>
      </c>
      <c r="N14744">
        <v>0</v>
      </c>
    </row>
    <row r="14745" spans="1:15">
      <c r="A14745" t="s">
        <v>48101</v>
      </c>
      <c r="B14745" t="s">
        <v>331</v>
      </c>
      <c r="C14745" t="s">
        <v>332</v>
      </c>
      <c r="D14745" t="s">
        <v>48102</v>
      </c>
      <c r="E14745" t="b">
        <v>0</v>
      </c>
      <c r="F14745" t="s">
        <v>11610</v>
      </c>
      <c r="L14745">
        <v>0</v>
      </c>
      <c r="M14745">
        <v>0</v>
      </c>
      <c r="N14745">
        <v>0</v>
      </c>
    </row>
    <row r="14746" spans="1:15">
      <c r="A14746" t="s">
        <v>48103</v>
      </c>
      <c r="B14746" t="s">
        <v>11615</v>
      </c>
      <c r="C14746" t="s">
        <v>32696</v>
      </c>
      <c r="D14746" t="s">
        <v>48104</v>
      </c>
      <c r="E14746" t="b">
        <v>0</v>
      </c>
      <c r="F14746" t="s">
        <v>11610</v>
      </c>
      <c r="L14746">
        <v>0</v>
      </c>
      <c r="M14746">
        <v>0</v>
      </c>
      <c r="N14746">
        <v>0</v>
      </c>
    </row>
    <row r="14747" spans="1:15">
      <c r="A14747" t="s">
        <v>48105</v>
      </c>
      <c r="B14747" t="s">
        <v>367</v>
      </c>
      <c r="C14747" t="s">
        <v>48106</v>
      </c>
      <c r="D14747" t="s">
        <v>48107</v>
      </c>
      <c r="E14747" t="b">
        <v>0</v>
      </c>
      <c r="F14747" t="s">
        <v>11624</v>
      </c>
      <c r="G14747">
        <v>-14.897399999999999</v>
      </c>
      <c r="H14747">
        <v>166.60300000000001</v>
      </c>
      <c r="I14747" t="s">
        <v>48108</v>
      </c>
      <c r="L14747">
        <v>0</v>
      </c>
      <c r="M14747">
        <v>0</v>
      </c>
      <c r="N14747">
        <v>0</v>
      </c>
      <c r="O14747" t="s">
        <v>12719</v>
      </c>
    </row>
    <row r="14748" spans="1:15">
      <c r="A14748" t="s">
        <v>48109</v>
      </c>
      <c r="B14748" t="s">
        <v>6742</v>
      </c>
      <c r="C14748" t="s">
        <v>11986</v>
      </c>
      <c r="D14748" t="s">
        <v>48110</v>
      </c>
      <c r="E14748" t="b">
        <v>0</v>
      </c>
      <c r="F14748" t="s">
        <v>11610</v>
      </c>
      <c r="L14748">
        <v>0</v>
      </c>
      <c r="M14748">
        <v>0</v>
      </c>
      <c r="N14748">
        <v>0</v>
      </c>
    </row>
    <row r="14749" spans="1:15">
      <c r="A14749" t="s">
        <v>48111</v>
      </c>
      <c r="B14749" t="s">
        <v>6742</v>
      </c>
      <c r="C14749" t="s">
        <v>42505</v>
      </c>
      <c r="D14749" t="s">
        <v>48112</v>
      </c>
      <c r="E14749" t="b">
        <v>0</v>
      </c>
      <c r="F14749" t="s">
        <v>11624</v>
      </c>
      <c r="G14749">
        <v>4.5892999999999997</v>
      </c>
      <c r="H14749">
        <v>10.915699999999999</v>
      </c>
      <c r="I14749" t="s">
        <v>48113</v>
      </c>
      <c r="L14749">
        <v>0</v>
      </c>
      <c r="M14749">
        <v>0</v>
      </c>
      <c r="N14749">
        <v>0</v>
      </c>
      <c r="O14749" t="s">
        <v>11703</v>
      </c>
    </row>
    <row r="14750" spans="1:15">
      <c r="A14750" t="s">
        <v>48114</v>
      </c>
      <c r="B14750" t="s">
        <v>367</v>
      </c>
      <c r="C14750" t="s">
        <v>16048</v>
      </c>
      <c r="D14750" t="s">
        <v>48115</v>
      </c>
      <c r="E14750" t="b">
        <v>0</v>
      </c>
      <c r="F14750" t="s">
        <v>11610</v>
      </c>
      <c r="L14750">
        <v>0</v>
      </c>
      <c r="M14750">
        <v>0</v>
      </c>
      <c r="N14750">
        <v>0</v>
      </c>
    </row>
    <row r="14751" spans="1:15">
      <c r="A14751" t="s">
        <v>36408</v>
      </c>
      <c r="B14751" t="s">
        <v>11615</v>
      </c>
      <c r="C14751" t="s">
        <v>22894</v>
      </c>
      <c r="D14751" t="s">
        <v>48116</v>
      </c>
      <c r="E14751" t="b">
        <v>0</v>
      </c>
      <c r="F14751" t="s">
        <v>11624</v>
      </c>
      <c r="G14751">
        <v>-6.3021799999999999</v>
      </c>
      <c r="H14751">
        <v>145.09800000000001</v>
      </c>
      <c r="I14751" t="s">
        <v>48117</v>
      </c>
      <c r="L14751">
        <v>0</v>
      </c>
      <c r="M14751">
        <v>0</v>
      </c>
      <c r="N14751">
        <v>2</v>
      </c>
      <c r="O14751" t="s">
        <v>11660</v>
      </c>
    </row>
    <row r="14752" spans="1:15">
      <c r="A14752" t="s">
        <v>48118</v>
      </c>
      <c r="B14752" t="s">
        <v>11894</v>
      </c>
      <c r="C14752" t="s">
        <v>14745</v>
      </c>
      <c r="D14752" t="s">
        <v>48119</v>
      </c>
      <c r="E14752" t="b">
        <v>0</v>
      </c>
      <c r="F14752" t="s">
        <v>11624</v>
      </c>
      <c r="G14752">
        <v>-11.5349</v>
      </c>
      <c r="H14752">
        <v>-74.437100000000001</v>
      </c>
      <c r="I14752" t="s">
        <v>48120</v>
      </c>
      <c r="L14752">
        <v>0</v>
      </c>
      <c r="M14752">
        <v>0</v>
      </c>
      <c r="N14752">
        <v>0</v>
      </c>
      <c r="O14752" t="s">
        <v>11778</v>
      </c>
    </row>
    <row r="14753" spans="1:15">
      <c r="A14753" t="s">
        <v>48121</v>
      </c>
      <c r="B14753" t="s">
        <v>48122</v>
      </c>
      <c r="C14753" t="s">
        <v>48123</v>
      </c>
      <c r="D14753" t="s">
        <v>48124</v>
      </c>
      <c r="E14753" t="b">
        <v>0</v>
      </c>
      <c r="F14753" t="s">
        <v>11610</v>
      </c>
      <c r="I14753" t="s">
        <v>48125</v>
      </c>
      <c r="L14753">
        <v>0</v>
      </c>
      <c r="M14753">
        <v>0</v>
      </c>
      <c r="N14753">
        <v>0</v>
      </c>
    </row>
    <row r="14754" spans="1:15">
      <c r="A14754" t="s">
        <v>48126</v>
      </c>
      <c r="B14754" t="s">
        <v>6742</v>
      </c>
      <c r="C14754" t="s">
        <v>33700</v>
      </c>
      <c r="D14754" t="s">
        <v>48127</v>
      </c>
      <c r="E14754" t="b">
        <v>0</v>
      </c>
      <c r="F14754" t="s">
        <v>11610</v>
      </c>
      <c r="L14754">
        <v>0</v>
      </c>
      <c r="M14754">
        <v>0</v>
      </c>
      <c r="N14754">
        <v>0</v>
      </c>
    </row>
    <row r="14755" spans="1:15">
      <c r="A14755" t="s">
        <v>48128</v>
      </c>
      <c r="B14755" t="s">
        <v>11615</v>
      </c>
      <c r="C14755" t="s">
        <v>36559</v>
      </c>
      <c r="D14755" t="s">
        <v>48129</v>
      </c>
      <c r="E14755" t="b">
        <v>0</v>
      </c>
      <c r="F14755" t="s">
        <v>11624</v>
      </c>
      <c r="G14755">
        <v>-6.1042899999999998</v>
      </c>
      <c r="H14755">
        <v>147.5</v>
      </c>
      <c r="I14755" t="s">
        <v>48130</v>
      </c>
      <c r="L14755">
        <v>0</v>
      </c>
      <c r="M14755">
        <v>0</v>
      </c>
      <c r="N14755">
        <v>0</v>
      </c>
      <c r="O14755" t="s">
        <v>11660</v>
      </c>
    </row>
    <row r="14756" spans="1:15">
      <c r="A14756" t="s">
        <v>48131</v>
      </c>
      <c r="B14756" t="s">
        <v>11637</v>
      </c>
      <c r="C14756" t="s">
        <v>13481</v>
      </c>
      <c r="D14756" t="s">
        <v>48132</v>
      </c>
      <c r="E14756" t="b">
        <v>0</v>
      </c>
      <c r="F14756" t="s">
        <v>11610</v>
      </c>
      <c r="L14756">
        <v>0</v>
      </c>
      <c r="M14756">
        <v>0</v>
      </c>
      <c r="N14756">
        <v>0</v>
      </c>
    </row>
    <row r="14757" spans="1:15">
      <c r="A14757" t="s">
        <v>48133</v>
      </c>
      <c r="B14757" t="s">
        <v>6742</v>
      </c>
      <c r="C14757" t="s">
        <v>16641</v>
      </c>
      <c r="D14757" t="s">
        <v>48134</v>
      </c>
      <c r="E14757" t="b">
        <v>0</v>
      </c>
      <c r="F14757" t="s">
        <v>11610</v>
      </c>
      <c r="L14757">
        <v>0</v>
      </c>
      <c r="M14757">
        <v>0</v>
      </c>
      <c r="N14757">
        <v>0</v>
      </c>
    </row>
    <row r="14758" spans="1:15">
      <c r="A14758" t="s">
        <v>48135</v>
      </c>
      <c r="B14758" t="s">
        <v>11637</v>
      </c>
      <c r="C14758" t="s">
        <v>13534</v>
      </c>
      <c r="D14758" t="s">
        <v>48136</v>
      </c>
      <c r="E14758" t="b">
        <v>0</v>
      </c>
      <c r="F14758" t="s">
        <v>11610</v>
      </c>
      <c r="L14758">
        <v>0</v>
      </c>
      <c r="M14758">
        <v>0</v>
      </c>
      <c r="N14758">
        <v>0</v>
      </c>
    </row>
    <row r="14759" spans="1:15">
      <c r="A14759" t="s">
        <v>48137</v>
      </c>
      <c r="B14759" t="s">
        <v>12438</v>
      </c>
      <c r="C14759" t="s">
        <v>33098</v>
      </c>
      <c r="D14759" t="s">
        <v>48138</v>
      </c>
      <c r="E14759" t="b">
        <v>0</v>
      </c>
      <c r="F14759" t="s">
        <v>11610</v>
      </c>
      <c r="L14759">
        <v>0</v>
      </c>
      <c r="M14759">
        <v>0</v>
      </c>
      <c r="N14759">
        <v>0</v>
      </c>
    </row>
    <row r="14760" spans="1:15">
      <c r="A14760" t="s">
        <v>48139</v>
      </c>
      <c r="B14760" t="s">
        <v>12438</v>
      </c>
      <c r="C14760" t="s">
        <v>16890</v>
      </c>
      <c r="D14760" t="s">
        <v>48140</v>
      </c>
      <c r="E14760" t="b">
        <v>0</v>
      </c>
      <c r="F14760" t="s">
        <v>11610</v>
      </c>
      <c r="L14760">
        <v>0</v>
      </c>
      <c r="M14760">
        <v>0</v>
      </c>
      <c r="N14760">
        <v>0</v>
      </c>
    </row>
    <row r="14761" spans="1:15">
      <c r="A14761" t="s">
        <v>48141</v>
      </c>
      <c r="B14761" t="s">
        <v>5126</v>
      </c>
      <c r="C14761" t="s">
        <v>24324</v>
      </c>
      <c r="D14761" t="s">
        <v>48142</v>
      </c>
      <c r="E14761" t="b">
        <v>0</v>
      </c>
      <c r="F14761" t="s">
        <v>11624</v>
      </c>
      <c r="G14761">
        <v>23.6</v>
      </c>
      <c r="H14761">
        <v>104.75</v>
      </c>
      <c r="I14761" t="s">
        <v>48143</v>
      </c>
      <c r="L14761">
        <v>0</v>
      </c>
      <c r="M14761">
        <v>0</v>
      </c>
      <c r="N14761">
        <v>0</v>
      </c>
      <c r="O14761" t="s">
        <v>11905</v>
      </c>
    </row>
    <row r="14762" spans="1:15">
      <c r="A14762" t="s">
        <v>48144</v>
      </c>
      <c r="B14762" t="s">
        <v>6742</v>
      </c>
      <c r="C14762" t="s">
        <v>31948</v>
      </c>
      <c r="D14762" t="s">
        <v>48145</v>
      </c>
      <c r="E14762" t="b">
        <v>0</v>
      </c>
      <c r="F14762" t="s">
        <v>11610</v>
      </c>
      <c r="L14762">
        <v>0</v>
      </c>
      <c r="M14762">
        <v>0</v>
      </c>
      <c r="N14762">
        <v>0</v>
      </c>
    </row>
    <row r="14763" spans="1:15">
      <c r="A14763" t="s">
        <v>48146</v>
      </c>
      <c r="B14763" t="s">
        <v>4236</v>
      </c>
      <c r="C14763" t="s">
        <v>4237</v>
      </c>
      <c r="D14763" t="s">
        <v>48147</v>
      </c>
      <c r="E14763" t="b">
        <v>0</v>
      </c>
      <c r="F14763" t="s">
        <v>11622</v>
      </c>
      <c r="L14763">
        <v>6</v>
      </c>
      <c r="M14763">
        <v>9</v>
      </c>
      <c r="N14763">
        <v>24</v>
      </c>
    </row>
    <row r="14764" spans="1:15">
      <c r="A14764" t="s">
        <v>17015</v>
      </c>
      <c r="B14764" t="s">
        <v>11637</v>
      </c>
      <c r="C14764" t="s">
        <v>13040</v>
      </c>
      <c r="D14764" t="s">
        <v>48148</v>
      </c>
      <c r="E14764" t="b">
        <v>0</v>
      </c>
      <c r="F14764" t="s">
        <v>11610</v>
      </c>
      <c r="L14764">
        <v>0</v>
      </c>
      <c r="M14764">
        <v>0</v>
      </c>
      <c r="N14764">
        <v>5</v>
      </c>
    </row>
    <row r="14765" spans="1:15">
      <c r="A14765" t="s">
        <v>48149</v>
      </c>
      <c r="B14765" t="s">
        <v>367</v>
      </c>
      <c r="C14765" t="s">
        <v>48150</v>
      </c>
      <c r="D14765" t="s">
        <v>48151</v>
      </c>
      <c r="E14765" t="b">
        <v>0</v>
      </c>
      <c r="F14765" t="s">
        <v>11610</v>
      </c>
      <c r="L14765">
        <v>0</v>
      </c>
      <c r="M14765">
        <v>0</v>
      </c>
      <c r="N14765">
        <v>0</v>
      </c>
    </row>
    <row r="14766" spans="1:15">
      <c r="A14766" t="s">
        <v>48152</v>
      </c>
      <c r="B14766" t="s">
        <v>13737</v>
      </c>
      <c r="C14766" t="s">
        <v>13737</v>
      </c>
      <c r="D14766" t="s">
        <v>48153</v>
      </c>
      <c r="E14766" t="b">
        <v>0</v>
      </c>
      <c r="F14766" t="s">
        <v>11622</v>
      </c>
      <c r="L14766">
        <v>0</v>
      </c>
      <c r="M14766">
        <v>2</v>
      </c>
      <c r="N14766">
        <v>2</v>
      </c>
    </row>
    <row r="14767" spans="1:15">
      <c r="A14767" t="s">
        <v>48154</v>
      </c>
      <c r="B14767" t="s">
        <v>13737</v>
      </c>
      <c r="C14767" t="s">
        <v>48152</v>
      </c>
      <c r="D14767" t="s">
        <v>48155</v>
      </c>
      <c r="E14767" t="b">
        <v>0</v>
      </c>
      <c r="F14767" t="s">
        <v>11624</v>
      </c>
      <c r="G14767">
        <v>-1.25</v>
      </c>
      <c r="H14767">
        <v>-72.5</v>
      </c>
      <c r="I14767" t="s">
        <v>48156</v>
      </c>
      <c r="L14767">
        <v>0</v>
      </c>
      <c r="M14767">
        <v>0</v>
      </c>
      <c r="N14767">
        <v>0</v>
      </c>
      <c r="O14767" t="s">
        <v>12895</v>
      </c>
    </row>
    <row r="14768" spans="1:15">
      <c r="A14768" t="s">
        <v>48157</v>
      </c>
      <c r="B14768" t="s">
        <v>4236</v>
      </c>
      <c r="C14768" t="s">
        <v>12592</v>
      </c>
      <c r="D14768" t="s">
        <v>48158</v>
      </c>
      <c r="E14768" t="b">
        <v>0</v>
      </c>
      <c r="F14768" t="s">
        <v>11610</v>
      </c>
      <c r="L14768">
        <v>0</v>
      </c>
      <c r="M14768">
        <v>0</v>
      </c>
      <c r="N14768">
        <v>0</v>
      </c>
    </row>
    <row r="14769" spans="1:15">
      <c r="A14769" t="s">
        <v>48159</v>
      </c>
      <c r="B14769" t="s">
        <v>9071</v>
      </c>
      <c r="C14769" t="s">
        <v>21688</v>
      </c>
      <c r="D14769" t="s">
        <v>48160</v>
      </c>
      <c r="E14769" t="b">
        <v>0</v>
      </c>
      <c r="F14769" t="s">
        <v>11624</v>
      </c>
      <c r="G14769">
        <v>48.220100000000002</v>
      </c>
      <c r="H14769">
        <v>-121.973</v>
      </c>
      <c r="I14769" t="s">
        <v>48161</v>
      </c>
      <c r="L14769">
        <v>0</v>
      </c>
      <c r="M14769">
        <v>0</v>
      </c>
      <c r="N14769">
        <v>0</v>
      </c>
      <c r="O14769" t="s">
        <v>11944</v>
      </c>
    </row>
    <row r="14770" spans="1:15">
      <c r="A14770" t="s">
        <v>48162</v>
      </c>
      <c r="B14770" t="s">
        <v>367</v>
      </c>
      <c r="C14770" t="s">
        <v>43652</v>
      </c>
      <c r="D14770" t="s">
        <v>48163</v>
      </c>
      <c r="E14770" t="b">
        <v>0</v>
      </c>
      <c r="F14770" t="s">
        <v>11610</v>
      </c>
      <c r="L14770">
        <v>0</v>
      </c>
      <c r="M14770">
        <v>0</v>
      </c>
      <c r="N14770">
        <v>0</v>
      </c>
    </row>
    <row r="14771" spans="1:15">
      <c r="A14771" t="s">
        <v>48164</v>
      </c>
      <c r="B14771" t="s">
        <v>367</v>
      </c>
      <c r="C14771" t="s">
        <v>32558</v>
      </c>
      <c r="D14771" t="s">
        <v>48165</v>
      </c>
      <c r="E14771" t="b">
        <v>0</v>
      </c>
      <c r="F14771" t="s">
        <v>11610</v>
      </c>
      <c r="L14771">
        <v>0</v>
      </c>
      <c r="M14771">
        <v>0</v>
      </c>
      <c r="N14771">
        <v>0</v>
      </c>
    </row>
    <row r="14772" spans="1:15">
      <c r="A14772" t="s">
        <v>21062</v>
      </c>
      <c r="B14772" t="s">
        <v>6742</v>
      </c>
      <c r="C14772" t="s">
        <v>39707</v>
      </c>
      <c r="D14772" t="s">
        <v>48166</v>
      </c>
      <c r="E14772" t="b">
        <v>0</v>
      </c>
      <c r="F14772" t="s">
        <v>11624</v>
      </c>
      <c r="G14772">
        <v>14.792</v>
      </c>
      <c r="H14772">
        <v>-16.920500000000001</v>
      </c>
      <c r="I14772" t="s">
        <v>48167</v>
      </c>
      <c r="L14772">
        <v>0</v>
      </c>
      <c r="M14772">
        <v>0</v>
      </c>
      <c r="N14772">
        <v>3</v>
      </c>
      <c r="O14772" t="s">
        <v>16532</v>
      </c>
    </row>
    <row r="14773" spans="1:15">
      <c r="A14773" t="s">
        <v>48168</v>
      </c>
      <c r="B14773" t="s">
        <v>6742</v>
      </c>
      <c r="C14773" t="s">
        <v>46723</v>
      </c>
      <c r="D14773" t="s">
        <v>48169</v>
      </c>
      <c r="E14773" t="b">
        <v>0</v>
      </c>
      <c r="F14773" t="s">
        <v>11624</v>
      </c>
      <c r="G14773">
        <v>6.37256</v>
      </c>
      <c r="H14773">
        <v>10.5707</v>
      </c>
      <c r="I14773" t="s">
        <v>48170</v>
      </c>
      <c r="L14773">
        <v>0</v>
      </c>
      <c r="M14773">
        <v>0</v>
      </c>
      <c r="N14773">
        <v>0</v>
      </c>
      <c r="O14773" t="s">
        <v>11703</v>
      </c>
    </row>
    <row r="14774" spans="1:15">
      <c r="A14774" t="s">
        <v>39707</v>
      </c>
      <c r="B14774" t="s">
        <v>6742</v>
      </c>
      <c r="C14774" t="s">
        <v>48171</v>
      </c>
      <c r="D14774" t="s">
        <v>48172</v>
      </c>
      <c r="E14774" t="b">
        <v>0</v>
      </c>
      <c r="F14774" t="s">
        <v>11622</v>
      </c>
      <c r="L14774">
        <v>0</v>
      </c>
      <c r="M14774">
        <v>2</v>
      </c>
      <c r="N14774">
        <v>3</v>
      </c>
    </row>
    <row r="14775" spans="1:15">
      <c r="A14775" t="s">
        <v>46723</v>
      </c>
      <c r="B14775" t="s">
        <v>6742</v>
      </c>
      <c r="C14775" t="s">
        <v>48173</v>
      </c>
      <c r="D14775" t="s">
        <v>48174</v>
      </c>
      <c r="E14775" t="b">
        <v>0</v>
      </c>
      <c r="F14775" t="s">
        <v>11622</v>
      </c>
      <c r="L14775">
        <v>2</v>
      </c>
      <c r="M14775">
        <v>4</v>
      </c>
      <c r="N14775">
        <v>2</v>
      </c>
    </row>
    <row r="14776" spans="1:15">
      <c r="A14776" t="s">
        <v>48175</v>
      </c>
      <c r="B14776" t="s">
        <v>11729</v>
      </c>
      <c r="C14776" t="s">
        <v>5883</v>
      </c>
      <c r="D14776" t="s">
        <v>45</v>
      </c>
      <c r="E14776" t="b">
        <v>0</v>
      </c>
      <c r="F14776" t="s">
        <v>11610</v>
      </c>
      <c r="L14776">
        <v>0</v>
      </c>
      <c r="M14776">
        <v>0</v>
      </c>
      <c r="N14776">
        <v>0</v>
      </c>
    </row>
    <row r="14777" spans="1:15">
      <c r="A14777" t="s">
        <v>24933</v>
      </c>
      <c r="B14777" t="s">
        <v>17854</v>
      </c>
      <c r="C14777" t="s">
        <v>41886</v>
      </c>
      <c r="D14777" t="s">
        <v>48176</v>
      </c>
      <c r="E14777" t="b">
        <v>0</v>
      </c>
      <c r="F14777" t="s">
        <v>11622</v>
      </c>
      <c r="L14777">
        <v>0</v>
      </c>
      <c r="M14777">
        <v>2</v>
      </c>
      <c r="N14777">
        <v>0</v>
      </c>
    </row>
    <row r="14778" spans="1:15">
      <c r="A14778" t="s">
        <v>9339</v>
      </c>
      <c r="B14778" t="s">
        <v>11627</v>
      </c>
      <c r="C14778" t="s">
        <v>11627</v>
      </c>
      <c r="D14778" t="s">
        <v>11446</v>
      </c>
      <c r="E14778" t="b">
        <v>1</v>
      </c>
      <c r="F14778" t="s">
        <v>11624</v>
      </c>
      <c r="G14778">
        <v>49.621200000000002</v>
      </c>
      <c r="H14778">
        <v>-126.086</v>
      </c>
      <c r="I14778" t="s">
        <v>11447</v>
      </c>
      <c r="L14778">
        <v>0</v>
      </c>
      <c r="M14778">
        <v>0</v>
      </c>
      <c r="N14778">
        <v>0</v>
      </c>
      <c r="O14778" t="s">
        <v>13049</v>
      </c>
    </row>
    <row r="14779" spans="1:15">
      <c r="A14779" t="s">
        <v>48177</v>
      </c>
      <c r="B14779" t="s">
        <v>11879</v>
      </c>
      <c r="C14779" t="s">
        <v>26389</v>
      </c>
      <c r="D14779" t="s">
        <v>48178</v>
      </c>
      <c r="E14779" t="b">
        <v>0</v>
      </c>
      <c r="F14779" t="s">
        <v>11624</v>
      </c>
      <c r="G14779">
        <v>16.095400000000001</v>
      </c>
      <c r="H14779">
        <v>-97.133899999999997</v>
      </c>
      <c r="I14779" t="s">
        <v>48179</v>
      </c>
      <c r="L14779">
        <v>0</v>
      </c>
      <c r="M14779">
        <v>0</v>
      </c>
      <c r="N14779">
        <v>0</v>
      </c>
      <c r="O14779" t="s">
        <v>11883</v>
      </c>
    </row>
    <row r="14780" spans="1:15">
      <c r="A14780" t="s">
        <v>48180</v>
      </c>
      <c r="B14780" t="s">
        <v>11615</v>
      </c>
      <c r="C14780" t="s">
        <v>8695</v>
      </c>
      <c r="D14780" t="s">
        <v>48181</v>
      </c>
      <c r="E14780" t="b">
        <v>0</v>
      </c>
      <c r="F14780" t="s">
        <v>11610</v>
      </c>
      <c r="L14780">
        <v>0</v>
      </c>
      <c r="M14780">
        <v>0</v>
      </c>
      <c r="N14780">
        <v>0</v>
      </c>
    </row>
    <row r="14781" spans="1:15">
      <c r="A14781" t="s">
        <v>48182</v>
      </c>
      <c r="B14781" t="s">
        <v>12438</v>
      </c>
      <c r="C14781" t="s">
        <v>22562</v>
      </c>
      <c r="D14781" t="s">
        <v>48183</v>
      </c>
      <c r="E14781" t="b">
        <v>0</v>
      </c>
      <c r="F14781" t="s">
        <v>11610</v>
      </c>
      <c r="L14781">
        <v>0</v>
      </c>
      <c r="M14781">
        <v>0</v>
      </c>
      <c r="N14781">
        <v>0</v>
      </c>
    </row>
    <row r="14782" spans="1:15">
      <c r="A14782" t="s">
        <v>48184</v>
      </c>
      <c r="B14782" t="s">
        <v>11644</v>
      </c>
      <c r="C14782" t="s">
        <v>20789</v>
      </c>
      <c r="D14782" t="s">
        <v>48185</v>
      </c>
      <c r="E14782" t="b">
        <v>0</v>
      </c>
      <c r="F14782" t="s">
        <v>11610</v>
      </c>
      <c r="L14782">
        <v>0</v>
      </c>
      <c r="M14782">
        <v>0</v>
      </c>
      <c r="N14782">
        <v>0</v>
      </c>
    </row>
    <row r="14783" spans="1:15">
      <c r="A14783" t="s">
        <v>48186</v>
      </c>
      <c r="B14783" t="s">
        <v>11637</v>
      </c>
      <c r="C14783" t="s">
        <v>28948</v>
      </c>
      <c r="D14783" t="s">
        <v>48187</v>
      </c>
      <c r="E14783" t="b">
        <v>0</v>
      </c>
      <c r="F14783" t="s">
        <v>11610</v>
      </c>
      <c r="L14783">
        <v>0</v>
      </c>
      <c r="M14783">
        <v>0</v>
      </c>
      <c r="N14783">
        <v>0</v>
      </c>
    </row>
    <row r="14784" spans="1:15">
      <c r="A14784" t="s">
        <v>48188</v>
      </c>
      <c r="B14784" t="s">
        <v>11637</v>
      </c>
      <c r="C14784" t="s">
        <v>10561</v>
      </c>
      <c r="D14784" t="s">
        <v>48189</v>
      </c>
      <c r="E14784" t="b">
        <v>0</v>
      </c>
      <c r="F14784" t="s">
        <v>11610</v>
      </c>
      <c r="L14784">
        <v>0</v>
      </c>
      <c r="M14784">
        <v>0</v>
      </c>
      <c r="N14784">
        <v>0</v>
      </c>
    </row>
    <row r="14785" spans="1:15">
      <c r="A14785" t="s">
        <v>48190</v>
      </c>
      <c r="B14785" t="s">
        <v>11637</v>
      </c>
      <c r="C14785" t="s">
        <v>19833</v>
      </c>
      <c r="D14785" t="s">
        <v>48191</v>
      </c>
      <c r="E14785" t="b">
        <v>0</v>
      </c>
      <c r="F14785" t="s">
        <v>11610</v>
      </c>
      <c r="L14785">
        <v>0</v>
      </c>
      <c r="M14785">
        <v>0</v>
      </c>
      <c r="N14785">
        <v>0</v>
      </c>
    </row>
    <row r="14786" spans="1:15">
      <c r="A14786" t="s">
        <v>48192</v>
      </c>
      <c r="B14786" t="s">
        <v>11637</v>
      </c>
      <c r="C14786" t="s">
        <v>30640</v>
      </c>
      <c r="D14786" t="s">
        <v>48193</v>
      </c>
      <c r="E14786" t="b">
        <v>0</v>
      </c>
      <c r="F14786" t="s">
        <v>11610</v>
      </c>
      <c r="L14786">
        <v>0</v>
      </c>
      <c r="M14786">
        <v>0</v>
      </c>
      <c r="N14786">
        <v>0</v>
      </c>
    </row>
    <row r="14787" spans="1:15">
      <c r="A14787" t="s">
        <v>48194</v>
      </c>
      <c r="B14787" t="s">
        <v>11637</v>
      </c>
      <c r="C14787" t="s">
        <v>40798</v>
      </c>
      <c r="D14787" t="s">
        <v>48195</v>
      </c>
      <c r="E14787" t="b">
        <v>0</v>
      </c>
      <c r="F14787" t="s">
        <v>11610</v>
      </c>
      <c r="L14787">
        <v>0</v>
      </c>
      <c r="M14787">
        <v>0</v>
      </c>
      <c r="N14787">
        <v>0</v>
      </c>
    </row>
    <row r="14788" spans="1:15">
      <c r="A14788" t="s">
        <v>48196</v>
      </c>
      <c r="B14788" t="s">
        <v>11637</v>
      </c>
      <c r="C14788" t="s">
        <v>31087</v>
      </c>
      <c r="D14788" t="s">
        <v>48197</v>
      </c>
      <c r="E14788" t="b">
        <v>0</v>
      </c>
      <c r="F14788" t="s">
        <v>11610</v>
      </c>
      <c r="L14788">
        <v>0</v>
      </c>
      <c r="M14788">
        <v>0</v>
      </c>
      <c r="N14788">
        <v>0</v>
      </c>
    </row>
    <row r="14789" spans="1:15">
      <c r="A14789" t="s">
        <v>48198</v>
      </c>
      <c r="B14789" t="s">
        <v>11637</v>
      </c>
      <c r="C14789" t="s">
        <v>43974</v>
      </c>
      <c r="D14789" t="s">
        <v>48199</v>
      </c>
      <c r="E14789" t="b">
        <v>0</v>
      </c>
      <c r="F14789" t="s">
        <v>11610</v>
      </c>
      <c r="L14789">
        <v>0</v>
      </c>
      <c r="M14789">
        <v>0</v>
      </c>
      <c r="N14789">
        <v>0</v>
      </c>
    </row>
    <row r="14790" spans="1:15">
      <c r="A14790" t="s">
        <v>48200</v>
      </c>
      <c r="B14790" t="s">
        <v>11637</v>
      </c>
      <c r="C14790" t="s">
        <v>48201</v>
      </c>
      <c r="D14790" t="s">
        <v>48202</v>
      </c>
      <c r="E14790" t="b">
        <v>0</v>
      </c>
      <c r="F14790" t="s">
        <v>11610</v>
      </c>
      <c r="L14790">
        <v>0</v>
      </c>
      <c r="M14790">
        <v>0</v>
      </c>
      <c r="N14790">
        <v>0</v>
      </c>
    </row>
    <row r="14791" spans="1:15">
      <c r="A14791" t="s">
        <v>36801</v>
      </c>
      <c r="B14791" t="s">
        <v>11637</v>
      </c>
      <c r="C14791" t="s">
        <v>29109</v>
      </c>
      <c r="D14791" t="s">
        <v>48203</v>
      </c>
      <c r="E14791" t="b">
        <v>0</v>
      </c>
      <c r="F14791" t="s">
        <v>11610</v>
      </c>
      <c r="L14791">
        <v>0</v>
      </c>
      <c r="M14791">
        <v>0</v>
      </c>
      <c r="N14791">
        <v>2</v>
      </c>
    </row>
    <row r="14792" spans="1:15">
      <c r="A14792" t="s">
        <v>48204</v>
      </c>
      <c r="B14792" t="s">
        <v>11637</v>
      </c>
      <c r="C14792" t="s">
        <v>31030</v>
      </c>
      <c r="D14792" t="s">
        <v>48205</v>
      </c>
      <c r="E14792" t="b">
        <v>0</v>
      </c>
      <c r="F14792" t="s">
        <v>11610</v>
      </c>
      <c r="L14792">
        <v>0</v>
      </c>
      <c r="M14792">
        <v>0</v>
      </c>
      <c r="N14792">
        <v>0</v>
      </c>
    </row>
    <row r="14793" spans="1:15">
      <c r="A14793" t="s">
        <v>48206</v>
      </c>
      <c r="B14793" t="s">
        <v>11637</v>
      </c>
      <c r="C14793" t="s">
        <v>48207</v>
      </c>
      <c r="D14793" t="s">
        <v>48208</v>
      </c>
      <c r="E14793" t="b">
        <v>0</v>
      </c>
      <c r="F14793" t="s">
        <v>11624</v>
      </c>
      <c r="G14793">
        <v>46.419443999999999</v>
      </c>
      <c r="H14793">
        <v>15.869444</v>
      </c>
      <c r="I14793" t="s">
        <v>48209</v>
      </c>
      <c r="L14793">
        <v>0</v>
      </c>
      <c r="M14793">
        <v>0</v>
      </c>
      <c r="N14793">
        <v>0</v>
      </c>
      <c r="O14793" t="s">
        <v>48210</v>
      </c>
    </row>
    <row r="14794" spans="1:15">
      <c r="A14794" t="s">
        <v>48211</v>
      </c>
      <c r="B14794" t="s">
        <v>367</v>
      </c>
      <c r="C14794" t="s">
        <v>14733</v>
      </c>
      <c r="D14794" t="s">
        <v>48212</v>
      </c>
      <c r="E14794" t="b">
        <v>0</v>
      </c>
      <c r="F14794" t="s">
        <v>11610</v>
      </c>
      <c r="L14794">
        <v>0</v>
      </c>
      <c r="M14794">
        <v>0</v>
      </c>
      <c r="N14794">
        <v>0</v>
      </c>
    </row>
    <row r="14795" spans="1:15">
      <c r="A14795" t="s">
        <v>48213</v>
      </c>
      <c r="B14795" t="s">
        <v>16986</v>
      </c>
      <c r="C14795" t="s">
        <v>19763</v>
      </c>
      <c r="D14795" t="s">
        <v>48214</v>
      </c>
      <c r="E14795" t="b">
        <v>0</v>
      </c>
      <c r="F14795" t="s">
        <v>11610</v>
      </c>
      <c r="L14795">
        <v>0</v>
      </c>
      <c r="M14795">
        <v>0</v>
      </c>
      <c r="N14795">
        <v>0</v>
      </c>
      <c r="O14795" t="s">
        <v>11660</v>
      </c>
    </row>
    <row r="14796" spans="1:15">
      <c r="A14796" t="s">
        <v>48215</v>
      </c>
      <c r="B14796" t="s">
        <v>6742</v>
      </c>
      <c r="C14796" t="s">
        <v>15627</v>
      </c>
      <c r="D14796" t="s">
        <v>48216</v>
      </c>
      <c r="E14796" t="b">
        <v>0</v>
      </c>
      <c r="F14796" t="s">
        <v>11610</v>
      </c>
      <c r="L14796">
        <v>0</v>
      </c>
      <c r="M14796">
        <v>0</v>
      </c>
      <c r="N14796">
        <v>0</v>
      </c>
    </row>
    <row r="14797" spans="1:15">
      <c r="A14797" t="s">
        <v>48217</v>
      </c>
      <c r="B14797" t="s">
        <v>11637</v>
      </c>
      <c r="C14797" t="s">
        <v>19771</v>
      </c>
      <c r="D14797" t="s">
        <v>48218</v>
      </c>
      <c r="E14797" t="b">
        <v>0</v>
      </c>
      <c r="F14797" t="s">
        <v>11610</v>
      </c>
      <c r="L14797">
        <v>0</v>
      </c>
      <c r="M14797">
        <v>0</v>
      </c>
      <c r="N14797">
        <v>0</v>
      </c>
    </row>
    <row r="14798" spans="1:15">
      <c r="A14798" t="s">
        <v>37000</v>
      </c>
      <c r="B14798" t="s">
        <v>10597</v>
      </c>
      <c r="C14798" t="s">
        <v>12968</v>
      </c>
      <c r="D14798" t="s">
        <v>48219</v>
      </c>
      <c r="E14798" t="b">
        <v>0</v>
      </c>
      <c r="F14798" t="s">
        <v>11622</v>
      </c>
      <c r="L14798">
        <v>2</v>
      </c>
      <c r="M14798">
        <v>5</v>
      </c>
      <c r="N14798">
        <v>0</v>
      </c>
    </row>
    <row r="14799" spans="1:15">
      <c r="A14799" t="s">
        <v>48220</v>
      </c>
      <c r="B14799" t="s">
        <v>11627</v>
      </c>
      <c r="C14799" t="s">
        <v>11627</v>
      </c>
      <c r="D14799" t="s">
        <v>48221</v>
      </c>
      <c r="E14799" t="b">
        <v>1</v>
      </c>
      <c r="F14799" t="s">
        <v>11624</v>
      </c>
      <c r="G14799">
        <v>27.508800000000001</v>
      </c>
      <c r="H14799">
        <v>98.450199999999995</v>
      </c>
      <c r="I14799" t="s">
        <v>48222</v>
      </c>
      <c r="L14799">
        <v>0</v>
      </c>
      <c r="M14799">
        <v>0</v>
      </c>
      <c r="N14799">
        <v>0</v>
      </c>
      <c r="O14799" t="s">
        <v>11892</v>
      </c>
    </row>
    <row r="14800" spans="1:15">
      <c r="A14800" t="s">
        <v>37393</v>
      </c>
      <c r="B14800" t="s">
        <v>11871</v>
      </c>
      <c r="C14800" t="s">
        <v>13880</v>
      </c>
      <c r="D14800" t="s">
        <v>48223</v>
      </c>
      <c r="E14800" t="b">
        <v>0</v>
      </c>
      <c r="F14800" t="s">
        <v>11622</v>
      </c>
      <c r="L14800">
        <v>0</v>
      </c>
      <c r="M14800">
        <v>2</v>
      </c>
      <c r="N14800">
        <v>0</v>
      </c>
    </row>
    <row r="14801" spans="1:15">
      <c r="A14801" t="s">
        <v>48224</v>
      </c>
      <c r="B14801" t="s">
        <v>11637</v>
      </c>
      <c r="C14801" t="s">
        <v>19415</v>
      </c>
      <c r="D14801" t="s">
        <v>48225</v>
      </c>
      <c r="E14801" t="b">
        <v>0</v>
      </c>
      <c r="F14801" t="s">
        <v>11610</v>
      </c>
      <c r="L14801">
        <v>0</v>
      </c>
      <c r="M14801">
        <v>0</v>
      </c>
      <c r="N14801">
        <v>0</v>
      </c>
    </row>
    <row r="14802" spans="1:15">
      <c r="A14802" t="s">
        <v>48226</v>
      </c>
      <c r="B14802" t="s">
        <v>13360</v>
      </c>
      <c r="C14802" t="s">
        <v>13360</v>
      </c>
      <c r="D14802" t="s">
        <v>48227</v>
      </c>
      <c r="E14802" t="b">
        <v>0</v>
      </c>
      <c r="F14802" t="s">
        <v>11624</v>
      </c>
      <c r="I14802" t="s">
        <v>48228</v>
      </c>
      <c r="L14802">
        <v>0</v>
      </c>
      <c r="M14802">
        <v>0</v>
      </c>
      <c r="N14802">
        <v>0</v>
      </c>
      <c r="O14802" t="s">
        <v>13707</v>
      </c>
    </row>
    <row r="14803" spans="1:15">
      <c r="A14803" t="s">
        <v>18003</v>
      </c>
      <c r="D14803" t="s">
        <v>48229</v>
      </c>
      <c r="E14803" t="b">
        <v>0</v>
      </c>
      <c r="F14803" t="s">
        <v>11622</v>
      </c>
      <c r="L14803">
        <v>0</v>
      </c>
      <c r="M14803">
        <v>2</v>
      </c>
      <c r="N14803">
        <v>0</v>
      </c>
    </row>
    <row r="14804" spans="1:15">
      <c r="A14804" t="s">
        <v>1237</v>
      </c>
      <c r="B14804" t="s">
        <v>525</v>
      </c>
      <c r="C14804" t="s">
        <v>525</v>
      </c>
      <c r="D14804" t="s">
        <v>48230</v>
      </c>
      <c r="E14804" t="b">
        <v>0</v>
      </c>
      <c r="F14804" t="s">
        <v>11622</v>
      </c>
      <c r="L14804">
        <v>0</v>
      </c>
      <c r="M14804">
        <v>2</v>
      </c>
      <c r="N14804">
        <v>1</v>
      </c>
    </row>
    <row r="14805" spans="1:15">
      <c r="A14805" t="s">
        <v>48231</v>
      </c>
      <c r="B14805" t="s">
        <v>36807</v>
      </c>
      <c r="C14805" t="s">
        <v>48232</v>
      </c>
      <c r="D14805" t="s">
        <v>48233</v>
      </c>
      <c r="E14805" t="b">
        <v>0</v>
      </c>
      <c r="F14805" t="s">
        <v>11622</v>
      </c>
      <c r="L14805">
        <v>0</v>
      </c>
      <c r="M14805">
        <v>2</v>
      </c>
      <c r="N14805">
        <v>2</v>
      </c>
    </row>
    <row r="14806" spans="1:15">
      <c r="A14806" t="s">
        <v>48234</v>
      </c>
      <c r="B14806" t="s">
        <v>5058</v>
      </c>
      <c r="C14806" t="s">
        <v>30031</v>
      </c>
      <c r="D14806" t="s">
        <v>48235</v>
      </c>
      <c r="E14806" t="b">
        <v>0</v>
      </c>
      <c r="F14806" t="s">
        <v>11624</v>
      </c>
      <c r="G14806">
        <v>26.723800000000001</v>
      </c>
      <c r="H14806">
        <v>106.682</v>
      </c>
      <c r="I14806" t="s">
        <v>48236</v>
      </c>
      <c r="L14806">
        <v>0</v>
      </c>
      <c r="M14806">
        <v>0</v>
      </c>
      <c r="N14806">
        <v>0</v>
      </c>
      <c r="O14806" t="s">
        <v>11905</v>
      </c>
    </row>
    <row r="14807" spans="1:15">
      <c r="A14807" t="s">
        <v>48237</v>
      </c>
      <c r="B14807" t="s">
        <v>5058</v>
      </c>
      <c r="C14807" t="s">
        <v>21313</v>
      </c>
      <c r="D14807" t="s">
        <v>48238</v>
      </c>
      <c r="E14807" t="b">
        <v>0</v>
      </c>
      <c r="F14807" t="s">
        <v>11624</v>
      </c>
      <c r="G14807">
        <v>25.772300000000001</v>
      </c>
      <c r="H14807">
        <v>106.53</v>
      </c>
      <c r="I14807" t="s">
        <v>48239</v>
      </c>
      <c r="L14807">
        <v>0</v>
      </c>
      <c r="M14807">
        <v>0</v>
      </c>
      <c r="N14807">
        <v>0</v>
      </c>
      <c r="O14807" t="s">
        <v>11905</v>
      </c>
    </row>
    <row r="14808" spans="1:15">
      <c r="A14808" t="s">
        <v>45692</v>
      </c>
      <c r="D14808" t="s">
        <v>48240</v>
      </c>
      <c r="E14808" t="b">
        <v>0</v>
      </c>
      <c r="F14808" t="s">
        <v>11622</v>
      </c>
      <c r="L14808">
        <v>0</v>
      </c>
      <c r="M14808">
        <v>2</v>
      </c>
      <c r="N14808">
        <v>0</v>
      </c>
    </row>
    <row r="14809" spans="1:15">
      <c r="A14809" t="s">
        <v>48241</v>
      </c>
      <c r="B14809" t="s">
        <v>14571</v>
      </c>
      <c r="C14809" t="s">
        <v>48242</v>
      </c>
      <c r="D14809" t="s">
        <v>48243</v>
      </c>
      <c r="E14809" t="b">
        <v>0</v>
      </c>
      <c r="F14809" t="s">
        <v>11624</v>
      </c>
      <c r="G14809">
        <v>36.427700000000002</v>
      </c>
      <c r="H14809">
        <v>-105.604</v>
      </c>
      <c r="I14809" t="s">
        <v>48244</v>
      </c>
      <c r="L14809">
        <v>0</v>
      </c>
      <c r="M14809">
        <v>0</v>
      </c>
      <c r="N14809">
        <v>1</v>
      </c>
      <c r="O14809" t="s">
        <v>11944</v>
      </c>
    </row>
    <row r="14810" spans="1:15">
      <c r="A14810" t="s">
        <v>48245</v>
      </c>
      <c r="B14810" t="s">
        <v>12751</v>
      </c>
      <c r="C14810" t="s">
        <v>16764</v>
      </c>
      <c r="D14810" t="s">
        <v>48246</v>
      </c>
      <c r="E14810" t="b">
        <v>0</v>
      </c>
      <c r="F14810" t="s">
        <v>11610</v>
      </c>
      <c r="L14810">
        <v>0</v>
      </c>
      <c r="M14810">
        <v>0</v>
      </c>
      <c r="N14810">
        <v>0</v>
      </c>
    </row>
    <row r="14811" spans="1:15">
      <c r="A14811" t="s">
        <v>48247</v>
      </c>
      <c r="B14811" t="s">
        <v>12979</v>
      </c>
      <c r="C14811" t="s">
        <v>6048</v>
      </c>
      <c r="D14811" t="s">
        <v>48248</v>
      </c>
      <c r="E14811" t="b">
        <v>0</v>
      </c>
      <c r="F14811" t="s">
        <v>11624</v>
      </c>
      <c r="G14811">
        <v>55.192799999999998</v>
      </c>
      <c r="H14811">
        <v>-77.750500000000002</v>
      </c>
      <c r="I14811" t="s">
        <v>48249</v>
      </c>
      <c r="L14811">
        <v>0</v>
      </c>
      <c r="M14811">
        <v>0</v>
      </c>
      <c r="N14811">
        <v>0</v>
      </c>
      <c r="O14811" t="s">
        <v>13049</v>
      </c>
    </row>
    <row r="14812" spans="1:15">
      <c r="A14812" t="s">
        <v>48250</v>
      </c>
      <c r="B14812" t="s">
        <v>11637</v>
      </c>
      <c r="C14812" t="s">
        <v>18279</v>
      </c>
      <c r="D14812" t="s">
        <v>48251</v>
      </c>
      <c r="E14812" t="b">
        <v>0</v>
      </c>
      <c r="F14812" t="s">
        <v>11610</v>
      </c>
      <c r="L14812">
        <v>0</v>
      </c>
      <c r="M14812">
        <v>0</v>
      </c>
      <c r="N14812">
        <v>0</v>
      </c>
    </row>
    <row r="14813" spans="1:15">
      <c r="A14813" t="s">
        <v>48252</v>
      </c>
      <c r="B14813" t="s">
        <v>12260</v>
      </c>
      <c r="C14813" t="s">
        <v>3459</v>
      </c>
      <c r="D14813" t="s">
        <v>48253</v>
      </c>
      <c r="E14813" t="b">
        <v>0</v>
      </c>
      <c r="F14813" t="s">
        <v>11610</v>
      </c>
      <c r="L14813">
        <v>0</v>
      </c>
      <c r="M14813">
        <v>0</v>
      </c>
      <c r="N14813">
        <v>0</v>
      </c>
    </row>
    <row r="14814" spans="1:15">
      <c r="A14814" t="s">
        <v>48254</v>
      </c>
      <c r="B14814" t="s">
        <v>12260</v>
      </c>
      <c r="C14814" t="s">
        <v>35454</v>
      </c>
      <c r="D14814" t="s">
        <v>48255</v>
      </c>
      <c r="E14814" t="b">
        <v>0</v>
      </c>
      <c r="F14814" t="s">
        <v>11610</v>
      </c>
      <c r="L14814">
        <v>0</v>
      </c>
      <c r="M14814">
        <v>0</v>
      </c>
      <c r="N14814">
        <v>0</v>
      </c>
    </row>
    <row r="14815" spans="1:15">
      <c r="A14815" t="s">
        <v>26686</v>
      </c>
      <c r="B14815" t="s">
        <v>11637</v>
      </c>
      <c r="C14815" t="s">
        <v>9200</v>
      </c>
      <c r="D14815" t="s">
        <v>48256</v>
      </c>
      <c r="E14815" t="b">
        <v>0</v>
      </c>
      <c r="F14815" t="s">
        <v>11610</v>
      </c>
      <c r="L14815">
        <v>0</v>
      </c>
      <c r="M14815">
        <v>0</v>
      </c>
      <c r="N14815">
        <v>9</v>
      </c>
    </row>
    <row r="14816" spans="1:15">
      <c r="A14816" t="s">
        <v>48257</v>
      </c>
      <c r="B14816" t="s">
        <v>11637</v>
      </c>
      <c r="C14816" t="s">
        <v>10626</v>
      </c>
      <c r="D14816" t="s">
        <v>48258</v>
      </c>
      <c r="E14816" t="b">
        <v>0</v>
      </c>
      <c r="F14816" t="s">
        <v>11610</v>
      </c>
      <c r="L14816">
        <v>0</v>
      </c>
      <c r="M14816">
        <v>0</v>
      </c>
      <c r="N14816">
        <v>0</v>
      </c>
    </row>
    <row r="14817" spans="1:14">
      <c r="A14817" t="s">
        <v>48259</v>
      </c>
      <c r="B14817" t="s">
        <v>11637</v>
      </c>
      <c r="C14817" t="s">
        <v>1407</v>
      </c>
      <c r="D14817" t="s">
        <v>48260</v>
      </c>
      <c r="E14817" t="b">
        <v>0</v>
      </c>
      <c r="F14817" t="s">
        <v>11610</v>
      </c>
      <c r="L14817">
        <v>0</v>
      </c>
      <c r="M14817">
        <v>0</v>
      </c>
      <c r="N14817">
        <v>0</v>
      </c>
    </row>
    <row r="14818" spans="1:14">
      <c r="A14818" t="s">
        <v>48261</v>
      </c>
      <c r="B14818" t="s">
        <v>11637</v>
      </c>
      <c r="C14818" t="s">
        <v>1416</v>
      </c>
      <c r="D14818" t="s">
        <v>48262</v>
      </c>
      <c r="E14818" t="b">
        <v>0</v>
      </c>
      <c r="F14818" t="s">
        <v>11610</v>
      </c>
      <c r="L14818">
        <v>0</v>
      </c>
      <c r="M14818">
        <v>0</v>
      </c>
      <c r="N14818">
        <v>0</v>
      </c>
    </row>
    <row r="14819" spans="1:14">
      <c r="A14819" t="s">
        <v>48263</v>
      </c>
      <c r="B14819" t="s">
        <v>11637</v>
      </c>
      <c r="C14819" t="s">
        <v>1408</v>
      </c>
      <c r="D14819" t="s">
        <v>48264</v>
      </c>
      <c r="E14819" t="b">
        <v>0</v>
      </c>
      <c r="F14819" t="s">
        <v>11610</v>
      </c>
      <c r="L14819">
        <v>0</v>
      </c>
      <c r="M14819">
        <v>0</v>
      </c>
      <c r="N14819">
        <v>0</v>
      </c>
    </row>
    <row r="14820" spans="1:14">
      <c r="A14820" t="s">
        <v>27303</v>
      </c>
      <c r="B14820" t="s">
        <v>11637</v>
      </c>
      <c r="C14820" t="s">
        <v>4958</v>
      </c>
      <c r="D14820" t="s">
        <v>48265</v>
      </c>
      <c r="E14820" t="b">
        <v>0</v>
      </c>
      <c r="F14820" t="s">
        <v>11610</v>
      </c>
      <c r="L14820">
        <v>0</v>
      </c>
      <c r="M14820">
        <v>0</v>
      </c>
      <c r="N14820">
        <v>5</v>
      </c>
    </row>
    <row r="14821" spans="1:14">
      <c r="A14821" t="s">
        <v>48266</v>
      </c>
      <c r="B14821" t="s">
        <v>11637</v>
      </c>
      <c r="C14821" t="s">
        <v>14993</v>
      </c>
      <c r="D14821" t="s">
        <v>48267</v>
      </c>
      <c r="E14821" t="b">
        <v>0</v>
      </c>
      <c r="F14821" t="s">
        <v>11610</v>
      </c>
      <c r="L14821">
        <v>0</v>
      </c>
      <c r="M14821">
        <v>0</v>
      </c>
      <c r="N14821">
        <v>0</v>
      </c>
    </row>
    <row r="14822" spans="1:14">
      <c r="A14822" t="s">
        <v>48268</v>
      </c>
      <c r="B14822" t="s">
        <v>11637</v>
      </c>
      <c r="C14822" t="s">
        <v>48269</v>
      </c>
      <c r="D14822" t="s">
        <v>48270</v>
      </c>
      <c r="E14822" t="b">
        <v>0</v>
      </c>
      <c r="F14822" t="s">
        <v>11610</v>
      </c>
      <c r="L14822">
        <v>0</v>
      </c>
      <c r="M14822">
        <v>0</v>
      </c>
      <c r="N14822">
        <v>0</v>
      </c>
    </row>
    <row r="14823" spans="1:14">
      <c r="A14823" t="s">
        <v>48271</v>
      </c>
      <c r="B14823" t="s">
        <v>11637</v>
      </c>
      <c r="C14823" t="s">
        <v>14694</v>
      </c>
      <c r="D14823" t="s">
        <v>48272</v>
      </c>
      <c r="E14823" t="b">
        <v>0</v>
      </c>
      <c r="F14823" t="s">
        <v>11610</v>
      </c>
      <c r="L14823">
        <v>0</v>
      </c>
      <c r="M14823">
        <v>0</v>
      </c>
      <c r="N14823">
        <v>0</v>
      </c>
    </row>
    <row r="14824" spans="1:14">
      <c r="A14824" t="s">
        <v>48273</v>
      </c>
      <c r="B14824" t="s">
        <v>11637</v>
      </c>
      <c r="C14824" t="s">
        <v>4892</v>
      </c>
      <c r="D14824" t="s">
        <v>48274</v>
      </c>
      <c r="E14824" t="b">
        <v>0</v>
      </c>
      <c r="F14824" t="s">
        <v>11610</v>
      </c>
      <c r="L14824">
        <v>0</v>
      </c>
      <c r="M14824">
        <v>0</v>
      </c>
      <c r="N14824">
        <v>0</v>
      </c>
    </row>
    <row r="14825" spans="1:14">
      <c r="A14825" t="s">
        <v>48275</v>
      </c>
      <c r="B14825" t="s">
        <v>11637</v>
      </c>
      <c r="C14825" t="s">
        <v>7000</v>
      </c>
      <c r="D14825" t="s">
        <v>48276</v>
      </c>
      <c r="E14825" t="b">
        <v>0</v>
      </c>
      <c r="F14825" t="s">
        <v>11610</v>
      </c>
      <c r="L14825">
        <v>0</v>
      </c>
      <c r="M14825">
        <v>0</v>
      </c>
      <c r="N14825">
        <v>0</v>
      </c>
    </row>
    <row r="14826" spans="1:14">
      <c r="A14826" t="s">
        <v>15204</v>
      </c>
      <c r="B14826" t="s">
        <v>11637</v>
      </c>
      <c r="C14826" t="s">
        <v>4724</v>
      </c>
      <c r="D14826" t="s">
        <v>48277</v>
      </c>
      <c r="E14826" t="b">
        <v>0</v>
      </c>
      <c r="F14826" t="s">
        <v>11610</v>
      </c>
      <c r="L14826">
        <v>0</v>
      </c>
      <c r="M14826">
        <v>0</v>
      </c>
      <c r="N14826">
        <v>7</v>
      </c>
    </row>
    <row r="14827" spans="1:14">
      <c r="A14827" t="s">
        <v>48278</v>
      </c>
      <c r="B14827" t="s">
        <v>11637</v>
      </c>
      <c r="C14827" t="s">
        <v>16994</v>
      </c>
      <c r="D14827" t="s">
        <v>48279</v>
      </c>
      <c r="E14827" t="b">
        <v>0</v>
      </c>
      <c r="F14827" t="s">
        <v>11610</v>
      </c>
      <c r="L14827">
        <v>0</v>
      </c>
      <c r="M14827">
        <v>0</v>
      </c>
      <c r="N14827">
        <v>0</v>
      </c>
    </row>
    <row r="14828" spans="1:14">
      <c r="A14828" t="s">
        <v>48280</v>
      </c>
      <c r="B14828" t="s">
        <v>11637</v>
      </c>
      <c r="C14828" t="s">
        <v>23458</v>
      </c>
      <c r="D14828" t="s">
        <v>48281</v>
      </c>
      <c r="E14828" t="b">
        <v>0</v>
      </c>
      <c r="F14828" t="s">
        <v>11610</v>
      </c>
      <c r="L14828">
        <v>0</v>
      </c>
      <c r="M14828">
        <v>0</v>
      </c>
      <c r="N14828">
        <v>0</v>
      </c>
    </row>
    <row r="14829" spans="1:14">
      <c r="A14829" t="s">
        <v>48282</v>
      </c>
      <c r="B14829" t="s">
        <v>11637</v>
      </c>
      <c r="C14829" t="s">
        <v>45069</v>
      </c>
      <c r="D14829" t="s">
        <v>48283</v>
      </c>
      <c r="E14829" t="b">
        <v>0</v>
      </c>
      <c r="F14829" t="s">
        <v>11610</v>
      </c>
      <c r="L14829">
        <v>0</v>
      </c>
      <c r="M14829">
        <v>0</v>
      </c>
      <c r="N14829">
        <v>0</v>
      </c>
    </row>
    <row r="14830" spans="1:14">
      <c r="A14830" t="s">
        <v>48284</v>
      </c>
      <c r="B14830" t="s">
        <v>11637</v>
      </c>
      <c r="C14830" t="s">
        <v>48285</v>
      </c>
      <c r="D14830" t="s">
        <v>48286</v>
      </c>
      <c r="E14830" t="b">
        <v>0</v>
      </c>
      <c r="F14830" t="s">
        <v>11610</v>
      </c>
      <c r="L14830">
        <v>0</v>
      </c>
      <c r="M14830">
        <v>0</v>
      </c>
      <c r="N14830">
        <v>0</v>
      </c>
    </row>
    <row r="14831" spans="1:14">
      <c r="A14831" t="s">
        <v>48287</v>
      </c>
      <c r="B14831" t="s">
        <v>11637</v>
      </c>
      <c r="C14831" t="s">
        <v>12777</v>
      </c>
      <c r="D14831" t="s">
        <v>48288</v>
      </c>
      <c r="E14831" t="b">
        <v>0</v>
      </c>
      <c r="F14831" t="s">
        <v>11610</v>
      </c>
      <c r="L14831">
        <v>0</v>
      </c>
      <c r="M14831">
        <v>0</v>
      </c>
      <c r="N14831">
        <v>0</v>
      </c>
    </row>
    <row r="14832" spans="1:14">
      <c r="A14832" t="s">
        <v>44411</v>
      </c>
      <c r="B14832" t="s">
        <v>11637</v>
      </c>
      <c r="C14832" t="s">
        <v>32505</v>
      </c>
      <c r="D14832" t="s">
        <v>48289</v>
      </c>
      <c r="E14832" t="b">
        <v>0</v>
      </c>
      <c r="F14832" t="s">
        <v>11610</v>
      </c>
      <c r="L14832">
        <v>0</v>
      </c>
      <c r="M14832">
        <v>0</v>
      </c>
      <c r="N14832">
        <v>3</v>
      </c>
    </row>
    <row r="14833" spans="1:15">
      <c r="A14833" t="s">
        <v>32510</v>
      </c>
      <c r="B14833" t="s">
        <v>11637</v>
      </c>
      <c r="C14833" t="s">
        <v>28099</v>
      </c>
      <c r="D14833" t="s">
        <v>48290</v>
      </c>
      <c r="E14833" t="b">
        <v>0</v>
      </c>
      <c r="F14833" t="s">
        <v>11624</v>
      </c>
      <c r="G14833">
        <v>54.640900000000002</v>
      </c>
      <c r="H14833">
        <v>8.5848899999999997</v>
      </c>
      <c r="I14833" t="s">
        <v>48291</v>
      </c>
      <c r="L14833">
        <v>0</v>
      </c>
      <c r="M14833">
        <v>0</v>
      </c>
      <c r="N14833">
        <v>16</v>
      </c>
      <c r="O14833" t="s">
        <v>24059</v>
      </c>
    </row>
    <row r="14834" spans="1:15">
      <c r="A14834" t="s">
        <v>19834</v>
      </c>
      <c r="B14834" t="s">
        <v>11637</v>
      </c>
      <c r="C14834" t="s">
        <v>25842</v>
      </c>
      <c r="D14834" t="s">
        <v>48292</v>
      </c>
      <c r="E14834" t="b">
        <v>0</v>
      </c>
      <c r="F14834" t="s">
        <v>11624</v>
      </c>
      <c r="G14834">
        <v>53.115372999999998</v>
      </c>
      <c r="H14834">
        <v>12.391439</v>
      </c>
      <c r="I14834" t="s">
        <v>48293</v>
      </c>
      <c r="L14834">
        <v>0</v>
      </c>
      <c r="M14834">
        <v>0</v>
      </c>
      <c r="N14834">
        <v>10</v>
      </c>
      <c r="O14834" t="s">
        <v>25838</v>
      </c>
    </row>
    <row r="14835" spans="1:15">
      <c r="A14835" t="s">
        <v>24930</v>
      </c>
      <c r="B14835" t="s">
        <v>11637</v>
      </c>
      <c r="C14835" t="s">
        <v>29783</v>
      </c>
      <c r="D14835" t="s">
        <v>48294</v>
      </c>
      <c r="E14835" t="b">
        <v>0</v>
      </c>
      <c r="F14835" t="s">
        <v>11624</v>
      </c>
      <c r="G14835">
        <v>52.971339999999998</v>
      </c>
      <c r="H14835">
        <v>8.36</v>
      </c>
      <c r="I14835" t="s">
        <v>48295</v>
      </c>
      <c r="L14835">
        <v>0</v>
      </c>
      <c r="M14835">
        <v>0</v>
      </c>
      <c r="N14835">
        <v>7</v>
      </c>
    </row>
    <row r="14836" spans="1:15">
      <c r="A14836" t="s">
        <v>48296</v>
      </c>
      <c r="B14836" t="s">
        <v>11637</v>
      </c>
      <c r="C14836" t="s">
        <v>25404</v>
      </c>
      <c r="D14836" t="s">
        <v>48297</v>
      </c>
      <c r="E14836" t="b">
        <v>0</v>
      </c>
      <c r="F14836" t="s">
        <v>11610</v>
      </c>
      <c r="L14836">
        <v>0</v>
      </c>
      <c r="M14836">
        <v>0</v>
      </c>
      <c r="N14836">
        <v>0</v>
      </c>
    </row>
    <row r="14837" spans="1:15">
      <c r="A14837" t="s">
        <v>48298</v>
      </c>
      <c r="B14837" t="s">
        <v>11637</v>
      </c>
      <c r="C14837" t="s">
        <v>25847</v>
      </c>
      <c r="D14837" t="s">
        <v>48299</v>
      </c>
      <c r="E14837" t="b">
        <v>0</v>
      </c>
      <c r="F14837" t="s">
        <v>11610</v>
      </c>
      <c r="L14837">
        <v>0</v>
      </c>
      <c r="M14837">
        <v>0</v>
      </c>
      <c r="N14837">
        <v>0</v>
      </c>
    </row>
    <row r="14838" spans="1:15">
      <c r="A14838" t="s">
        <v>48300</v>
      </c>
      <c r="B14838" t="s">
        <v>11637</v>
      </c>
      <c r="C14838" t="s">
        <v>44423</v>
      </c>
      <c r="D14838" t="s">
        <v>48301</v>
      </c>
      <c r="E14838" t="b">
        <v>0</v>
      </c>
      <c r="F14838" t="s">
        <v>11610</v>
      </c>
      <c r="L14838">
        <v>0</v>
      </c>
      <c r="M14838">
        <v>0</v>
      </c>
      <c r="N14838">
        <v>0</v>
      </c>
    </row>
    <row r="14839" spans="1:15">
      <c r="A14839" t="s">
        <v>40360</v>
      </c>
      <c r="B14839" t="s">
        <v>11637</v>
      </c>
      <c r="C14839" t="s">
        <v>25849</v>
      </c>
      <c r="D14839" t="s">
        <v>48302</v>
      </c>
      <c r="E14839" t="b">
        <v>0</v>
      </c>
      <c r="F14839" t="s">
        <v>11610</v>
      </c>
      <c r="L14839">
        <v>0</v>
      </c>
      <c r="M14839">
        <v>0</v>
      </c>
      <c r="N14839">
        <v>2</v>
      </c>
    </row>
    <row r="14840" spans="1:15">
      <c r="A14840" t="s">
        <v>48303</v>
      </c>
      <c r="B14840" t="s">
        <v>11637</v>
      </c>
      <c r="C14840" t="s">
        <v>10208</v>
      </c>
      <c r="D14840" t="s">
        <v>48304</v>
      </c>
      <c r="E14840" t="b">
        <v>0</v>
      </c>
      <c r="F14840" t="s">
        <v>11610</v>
      </c>
      <c r="L14840">
        <v>0</v>
      </c>
      <c r="M14840">
        <v>0</v>
      </c>
      <c r="N14840">
        <v>0</v>
      </c>
    </row>
    <row r="14841" spans="1:15">
      <c r="A14841" t="s">
        <v>48305</v>
      </c>
      <c r="B14841" t="s">
        <v>11637</v>
      </c>
      <c r="C14841" t="s">
        <v>4736</v>
      </c>
      <c r="D14841" t="s">
        <v>48306</v>
      </c>
      <c r="E14841" t="b">
        <v>0</v>
      </c>
      <c r="F14841" t="s">
        <v>11610</v>
      </c>
      <c r="L14841">
        <v>0</v>
      </c>
      <c r="M14841">
        <v>0</v>
      </c>
      <c r="N14841">
        <v>0</v>
      </c>
    </row>
    <row r="14842" spans="1:15">
      <c r="A14842" t="s">
        <v>14885</v>
      </c>
      <c r="B14842" t="s">
        <v>11637</v>
      </c>
      <c r="C14842" t="s">
        <v>21344</v>
      </c>
      <c r="D14842" t="s">
        <v>48307</v>
      </c>
      <c r="E14842" t="b">
        <v>0</v>
      </c>
      <c r="F14842" t="s">
        <v>11610</v>
      </c>
      <c r="L14842">
        <v>0</v>
      </c>
      <c r="M14842">
        <v>0</v>
      </c>
      <c r="N14842">
        <v>3</v>
      </c>
    </row>
    <row r="14843" spans="1:15">
      <c r="A14843" t="s">
        <v>48308</v>
      </c>
      <c r="B14843" t="s">
        <v>11627</v>
      </c>
      <c r="C14843" t="s">
        <v>11627</v>
      </c>
      <c r="D14843" t="s">
        <v>48309</v>
      </c>
      <c r="E14843" t="b">
        <v>1</v>
      </c>
      <c r="F14843" t="s">
        <v>11624</v>
      </c>
      <c r="G14843">
        <v>29.643000000000001</v>
      </c>
      <c r="H14843">
        <v>52.924999999999997</v>
      </c>
      <c r="I14843" t="s">
        <v>48310</v>
      </c>
      <c r="L14843">
        <v>0</v>
      </c>
      <c r="M14843">
        <v>0</v>
      </c>
      <c r="N14843">
        <v>0</v>
      </c>
      <c r="O14843" t="s">
        <v>13225</v>
      </c>
    </row>
    <row r="14844" spans="1:15">
      <c r="A14844" t="s">
        <v>12824</v>
      </c>
      <c r="B14844" t="s">
        <v>11637</v>
      </c>
      <c r="C14844" t="s">
        <v>161</v>
      </c>
      <c r="D14844" t="s">
        <v>48311</v>
      </c>
      <c r="E14844" t="b">
        <v>0</v>
      </c>
      <c r="F14844" t="s">
        <v>11624</v>
      </c>
      <c r="G14844">
        <v>37</v>
      </c>
      <c r="H14844">
        <v>43</v>
      </c>
      <c r="I14844" t="s">
        <v>48312</v>
      </c>
      <c r="L14844">
        <v>0</v>
      </c>
      <c r="M14844">
        <v>0</v>
      </c>
      <c r="N14844">
        <v>15</v>
      </c>
      <c r="O14844" t="s">
        <v>48313</v>
      </c>
    </row>
    <row r="14845" spans="1:15">
      <c r="A14845" t="s">
        <v>30802</v>
      </c>
      <c r="B14845" t="s">
        <v>11637</v>
      </c>
      <c r="C14845" t="s">
        <v>21853</v>
      </c>
      <c r="D14845" t="s">
        <v>48314</v>
      </c>
      <c r="E14845" t="b">
        <v>0</v>
      </c>
      <c r="F14845" t="s">
        <v>11622</v>
      </c>
      <c r="L14845">
        <v>0</v>
      </c>
      <c r="M14845">
        <v>2</v>
      </c>
      <c r="N14845">
        <v>0</v>
      </c>
    </row>
    <row r="14846" spans="1:15">
      <c r="A14846" t="s">
        <v>48315</v>
      </c>
      <c r="B14846" t="s">
        <v>11637</v>
      </c>
      <c r="C14846" t="s">
        <v>11825</v>
      </c>
      <c r="D14846" t="s">
        <v>48316</v>
      </c>
      <c r="E14846" t="b">
        <v>0</v>
      </c>
      <c r="F14846" t="s">
        <v>11610</v>
      </c>
      <c r="L14846">
        <v>0</v>
      </c>
      <c r="M14846">
        <v>0</v>
      </c>
      <c r="N14846">
        <v>0</v>
      </c>
    </row>
    <row r="14847" spans="1:15">
      <c r="A14847" t="s">
        <v>48317</v>
      </c>
      <c r="B14847" t="s">
        <v>11637</v>
      </c>
      <c r="C14847" t="s">
        <v>17248</v>
      </c>
      <c r="D14847" t="s">
        <v>48318</v>
      </c>
      <c r="E14847" t="b">
        <v>0</v>
      </c>
      <c r="F14847" t="s">
        <v>11610</v>
      </c>
      <c r="L14847">
        <v>0</v>
      </c>
      <c r="M14847">
        <v>0</v>
      </c>
      <c r="N14847">
        <v>0</v>
      </c>
    </row>
    <row r="14848" spans="1:15">
      <c r="A14848" t="s">
        <v>13722</v>
      </c>
      <c r="B14848" t="s">
        <v>11637</v>
      </c>
      <c r="C14848" t="s">
        <v>16121</v>
      </c>
      <c r="D14848" t="s">
        <v>48319</v>
      </c>
      <c r="E14848" t="b">
        <v>0</v>
      </c>
      <c r="F14848" t="s">
        <v>11624</v>
      </c>
      <c r="G14848">
        <v>32.543799999999997</v>
      </c>
      <c r="H14848">
        <v>47.915999999999997</v>
      </c>
      <c r="I14848" t="s">
        <v>48320</v>
      </c>
      <c r="L14848">
        <v>0</v>
      </c>
      <c r="M14848">
        <v>0</v>
      </c>
      <c r="N14848">
        <v>7</v>
      </c>
      <c r="O14848" t="s">
        <v>21347</v>
      </c>
    </row>
    <row r="14849" spans="1:15">
      <c r="A14849" t="s">
        <v>25585</v>
      </c>
      <c r="B14849" t="s">
        <v>11637</v>
      </c>
      <c r="C14849" t="s">
        <v>3558</v>
      </c>
      <c r="D14849" t="s">
        <v>48321</v>
      </c>
      <c r="E14849" t="b">
        <v>0</v>
      </c>
      <c r="F14849" t="s">
        <v>11624</v>
      </c>
      <c r="G14849">
        <v>34</v>
      </c>
      <c r="H14849">
        <v>71.33</v>
      </c>
      <c r="I14849" t="s">
        <v>48322</v>
      </c>
      <c r="L14849">
        <v>0</v>
      </c>
      <c r="M14849">
        <v>0</v>
      </c>
      <c r="N14849">
        <v>11</v>
      </c>
      <c r="O14849" t="s">
        <v>30038</v>
      </c>
    </row>
    <row r="14850" spans="1:15">
      <c r="A14850" t="s">
        <v>48323</v>
      </c>
      <c r="B14850" t="s">
        <v>11637</v>
      </c>
      <c r="C14850" t="s">
        <v>25585</v>
      </c>
      <c r="D14850" t="s">
        <v>48324</v>
      </c>
      <c r="E14850" t="b">
        <v>0</v>
      </c>
      <c r="F14850" t="s">
        <v>11610</v>
      </c>
      <c r="L14850">
        <v>0</v>
      </c>
      <c r="M14850">
        <v>0</v>
      </c>
      <c r="N14850">
        <v>0</v>
      </c>
    </row>
    <row r="14851" spans="1:15">
      <c r="A14851" t="s">
        <v>12222</v>
      </c>
      <c r="B14851" t="s">
        <v>11637</v>
      </c>
      <c r="C14851" t="s">
        <v>25585</v>
      </c>
      <c r="D14851" t="s">
        <v>48325</v>
      </c>
      <c r="E14851" t="b">
        <v>0</v>
      </c>
      <c r="F14851" t="s">
        <v>11610</v>
      </c>
      <c r="L14851">
        <v>0</v>
      </c>
      <c r="M14851">
        <v>0</v>
      </c>
      <c r="N14851">
        <v>6</v>
      </c>
    </row>
    <row r="14852" spans="1:15">
      <c r="A14852" t="s">
        <v>48326</v>
      </c>
      <c r="B14852" t="s">
        <v>11637</v>
      </c>
      <c r="C14852" t="s">
        <v>21352</v>
      </c>
      <c r="D14852" t="s">
        <v>48327</v>
      </c>
      <c r="E14852" t="b">
        <v>0</v>
      </c>
      <c r="F14852" t="s">
        <v>11610</v>
      </c>
      <c r="L14852">
        <v>0</v>
      </c>
      <c r="M14852">
        <v>0</v>
      </c>
      <c r="N14852">
        <v>0</v>
      </c>
    </row>
    <row r="14853" spans="1:15">
      <c r="A14853" t="s">
        <v>48328</v>
      </c>
      <c r="B14853" t="s">
        <v>11637</v>
      </c>
      <c r="C14853" t="s">
        <v>21364</v>
      </c>
      <c r="D14853" t="s">
        <v>48329</v>
      </c>
      <c r="E14853" t="b">
        <v>0</v>
      </c>
      <c r="F14853" t="s">
        <v>11610</v>
      </c>
      <c r="L14853">
        <v>0</v>
      </c>
      <c r="M14853">
        <v>0</v>
      </c>
      <c r="N14853">
        <v>0</v>
      </c>
    </row>
    <row r="14854" spans="1:15">
      <c r="A14854" t="s">
        <v>48330</v>
      </c>
      <c r="B14854" t="s">
        <v>11637</v>
      </c>
      <c r="C14854" t="s">
        <v>48331</v>
      </c>
      <c r="D14854" t="s">
        <v>48332</v>
      </c>
      <c r="E14854" t="b">
        <v>0</v>
      </c>
      <c r="F14854" t="s">
        <v>11610</v>
      </c>
      <c r="L14854">
        <v>0</v>
      </c>
      <c r="M14854">
        <v>0</v>
      </c>
      <c r="N14854">
        <v>0</v>
      </c>
    </row>
    <row r="14855" spans="1:15">
      <c r="A14855" t="s">
        <v>48333</v>
      </c>
      <c r="B14855" t="s">
        <v>11637</v>
      </c>
      <c r="C14855" t="s">
        <v>43134</v>
      </c>
      <c r="D14855" t="s">
        <v>48334</v>
      </c>
      <c r="E14855" t="b">
        <v>0</v>
      </c>
      <c r="F14855" t="s">
        <v>11610</v>
      </c>
      <c r="L14855">
        <v>0</v>
      </c>
      <c r="M14855">
        <v>0</v>
      </c>
      <c r="N14855">
        <v>0</v>
      </c>
    </row>
    <row r="14856" spans="1:15">
      <c r="A14856" t="s">
        <v>48335</v>
      </c>
      <c r="B14856" t="s">
        <v>11637</v>
      </c>
      <c r="C14856" t="s">
        <v>25733</v>
      </c>
      <c r="D14856" t="s">
        <v>48336</v>
      </c>
      <c r="E14856" t="b">
        <v>0</v>
      </c>
      <c r="F14856" t="s">
        <v>11610</v>
      </c>
      <c r="L14856">
        <v>0</v>
      </c>
      <c r="M14856">
        <v>0</v>
      </c>
      <c r="N14856">
        <v>0</v>
      </c>
    </row>
    <row r="14857" spans="1:15">
      <c r="A14857" t="s">
        <v>48337</v>
      </c>
      <c r="B14857" t="s">
        <v>11637</v>
      </c>
      <c r="C14857" t="s">
        <v>16346</v>
      </c>
      <c r="D14857" t="s">
        <v>48338</v>
      </c>
      <c r="E14857" t="b">
        <v>0</v>
      </c>
      <c r="F14857" t="s">
        <v>11610</v>
      </c>
      <c r="L14857">
        <v>0</v>
      </c>
      <c r="M14857">
        <v>0</v>
      </c>
      <c r="N14857">
        <v>0</v>
      </c>
    </row>
    <row r="14858" spans="1:15">
      <c r="A14858" t="s">
        <v>17323</v>
      </c>
      <c r="B14858" t="s">
        <v>11637</v>
      </c>
      <c r="C14858" t="s">
        <v>187</v>
      </c>
      <c r="D14858" t="s">
        <v>48339</v>
      </c>
      <c r="E14858" t="b">
        <v>0</v>
      </c>
      <c r="F14858" t="s">
        <v>11610</v>
      </c>
      <c r="L14858">
        <v>0</v>
      </c>
      <c r="M14858">
        <v>0</v>
      </c>
      <c r="N14858">
        <v>3</v>
      </c>
    </row>
    <row r="14859" spans="1:15">
      <c r="A14859" t="s">
        <v>48340</v>
      </c>
      <c r="B14859" t="s">
        <v>11637</v>
      </c>
      <c r="C14859" t="s">
        <v>21372</v>
      </c>
      <c r="D14859" t="s">
        <v>48341</v>
      </c>
      <c r="E14859" t="b">
        <v>0</v>
      </c>
      <c r="F14859" t="s">
        <v>11610</v>
      </c>
      <c r="L14859">
        <v>0</v>
      </c>
      <c r="M14859">
        <v>0</v>
      </c>
      <c r="N14859">
        <v>0</v>
      </c>
    </row>
    <row r="14860" spans="1:15">
      <c r="A14860" t="s">
        <v>36860</v>
      </c>
      <c r="B14860" t="s">
        <v>11637</v>
      </c>
      <c r="C14860" t="s">
        <v>3565</v>
      </c>
      <c r="D14860" t="s">
        <v>48342</v>
      </c>
      <c r="E14860" t="b">
        <v>0</v>
      </c>
      <c r="F14860" t="s">
        <v>11610</v>
      </c>
      <c r="L14860">
        <v>0</v>
      </c>
      <c r="M14860">
        <v>0</v>
      </c>
      <c r="N14860">
        <v>2</v>
      </c>
    </row>
    <row r="14861" spans="1:15">
      <c r="A14861" t="s">
        <v>48343</v>
      </c>
      <c r="B14861" t="s">
        <v>11637</v>
      </c>
      <c r="C14861" t="s">
        <v>30619</v>
      </c>
      <c r="D14861" t="s">
        <v>48344</v>
      </c>
      <c r="E14861" t="b">
        <v>0</v>
      </c>
      <c r="F14861" t="s">
        <v>11610</v>
      </c>
      <c r="L14861">
        <v>0</v>
      </c>
      <c r="M14861">
        <v>0</v>
      </c>
      <c r="N14861">
        <v>0</v>
      </c>
    </row>
    <row r="14862" spans="1:15">
      <c r="A14862" t="s">
        <v>48345</v>
      </c>
      <c r="B14862" t="s">
        <v>11637</v>
      </c>
      <c r="C14862" t="s">
        <v>30619</v>
      </c>
      <c r="D14862" t="s">
        <v>48346</v>
      </c>
      <c r="E14862" t="b">
        <v>0</v>
      </c>
      <c r="F14862" t="s">
        <v>11610</v>
      </c>
      <c r="L14862">
        <v>0</v>
      </c>
      <c r="M14862">
        <v>0</v>
      </c>
      <c r="N14862">
        <v>0</v>
      </c>
    </row>
    <row r="14863" spans="1:15">
      <c r="A14863" t="s">
        <v>48347</v>
      </c>
      <c r="B14863" t="s">
        <v>11637</v>
      </c>
      <c r="C14863" t="s">
        <v>21379</v>
      </c>
      <c r="D14863" t="s">
        <v>48348</v>
      </c>
      <c r="E14863" t="b">
        <v>0</v>
      </c>
      <c r="F14863" t="s">
        <v>11610</v>
      </c>
      <c r="L14863">
        <v>0</v>
      </c>
      <c r="M14863">
        <v>0</v>
      </c>
      <c r="N14863">
        <v>0</v>
      </c>
    </row>
    <row r="14864" spans="1:15">
      <c r="A14864" t="s">
        <v>48349</v>
      </c>
      <c r="B14864" t="s">
        <v>11637</v>
      </c>
      <c r="C14864" t="s">
        <v>31169</v>
      </c>
      <c r="D14864" t="s">
        <v>48350</v>
      </c>
      <c r="E14864" t="b">
        <v>0</v>
      </c>
      <c r="F14864" t="s">
        <v>11624</v>
      </c>
      <c r="G14864">
        <v>34.3202</v>
      </c>
      <c r="H14864">
        <v>73.384399999999999</v>
      </c>
      <c r="I14864" t="s">
        <v>48351</v>
      </c>
      <c r="L14864">
        <v>0</v>
      </c>
      <c r="M14864">
        <v>0</v>
      </c>
      <c r="N14864">
        <v>0</v>
      </c>
      <c r="O14864" t="s">
        <v>12172</v>
      </c>
    </row>
    <row r="14865" spans="1:15">
      <c r="A14865" t="s">
        <v>48352</v>
      </c>
      <c r="B14865" t="s">
        <v>11637</v>
      </c>
      <c r="C14865" t="s">
        <v>8365</v>
      </c>
      <c r="D14865" t="s">
        <v>48353</v>
      </c>
      <c r="E14865" t="b">
        <v>0</v>
      </c>
      <c r="F14865" t="s">
        <v>11610</v>
      </c>
      <c r="L14865">
        <v>0</v>
      </c>
      <c r="M14865">
        <v>0</v>
      </c>
      <c r="N14865">
        <v>0</v>
      </c>
    </row>
    <row r="14866" spans="1:15">
      <c r="A14866" t="s">
        <v>48354</v>
      </c>
      <c r="B14866" t="s">
        <v>11637</v>
      </c>
      <c r="C14866" t="s">
        <v>7992</v>
      </c>
      <c r="D14866" t="s">
        <v>48355</v>
      </c>
      <c r="E14866" t="b">
        <v>0</v>
      </c>
      <c r="F14866" t="s">
        <v>11610</v>
      </c>
      <c r="L14866">
        <v>0</v>
      </c>
      <c r="M14866">
        <v>0</v>
      </c>
      <c r="N14866">
        <v>0</v>
      </c>
    </row>
    <row r="14867" spans="1:15">
      <c r="A14867" t="s">
        <v>12947</v>
      </c>
      <c r="B14867" t="s">
        <v>11637</v>
      </c>
      <c r="C14867" t="s">
        <v>48356</v>
      </c>
      <c r="D14867" t="s">
        <v>48357</v>
      </c>
      <c r="E14867" t="b">
        <v>0</v>
      </c>
      <c r="F14867" t="s">
        <v>11624</v>
      </c>
      <c r="G14867">
        <v>35.1678</v>
      </c>
      <c r="H14867">
        <v>69.993600000000001</v>
      </c>
      <c r="I14867" t="s">
        <v>48358</v>
      </c>
      <c r="L14867">
        <v>0</v>
      </c>
      <c r="M14867">
        <v>0</v>
      </c>
      <c r="N14867">
        <v>16</v>
      </c>
      <c r="O14867" t="s">
        <v>12131</v>
      </c>
    </row>
    <row r="14868" spans="1:15">
      <c r="A14868" t="s">
        <v>14472</v>
      </c>
      <c r="B14868" t="s">
        <v>11637</v>
      </c>
      <c r="C14868" t="s">
        <v>25883</v>
      </c>
      <c r="D14868" t="s">
        <v>48359</v>
      </c>
      <c r="E14868" t="b">
        <v>0</v>
      </c>
      <c r="F14868" t="s">
        <v>11624</v>
      </c>
      <c r="G14868">
        <v>34.659999999999997</v>
      </c>
      <c r="H14868">
        <v>70.431700000000006</v>
      </c>
      <c r="I14868" t="s">
        <v>48360</v>
      </c>
      <c r="L14868">
        <v>0</v>
      </c>
      <c r="M14868">
        <v>0</v>
      </c>
      <c r="N14868">
        <v>5</v>
      </c>
      <c r="O14868" t="s">
        <v>12131</v>
      </c>
    </row>
    <row r="14869" spans="1:15">
      <c r="A14869" t="s">
        <v>48361</v>
      </c>
      <c r="B14869" t="s">
        <v>11637</v>
      </c>
      <c r="C14869" t="s">
        <v>14783</v>
      </c>
      <c r="D14869" t="s">
        <v>48362</v>
      </c>
      <c r="E14869" t="b">
        <v>0</v>
      </c>
      <c r="F14869" t="s">
        <v>11610</v>
      </c>
      <c r="L14869">
        <v>0</v>
      </c>
      <c r="M14869">
        <v>0</v>
      </c>
      <c r="N14869">
        <v>0</v>
      </c>
    </row>
    <row r="14870" spans="1:15">
      <c r="A14870" t="s">
        <v>48363</v>
      </c>
      <c r="B14870" t="s">
        <v>11637</v>
      </c>
      <c r="C14870" t="s">
        <v>5939</v>
      </c>
      <c r="D14870" t="s">
        <v>48364</v>
      </c>
      <c r="E14870" t="b">
        <v>0</v>
      </c>
      <c r="F14870" t="s">
        <v>11610</v>
      </c>
      <c r="L14870">
        <v>0</v>
      </c>
      <c r="M14870">
        <v>0</v>
      </c>
      <c r="N14870">
        <v>0</v>
      </c>
    </row>
    <row r="14871" spans="1:15">
      <c r="A14871" t="s">
        <v>48365</v>
      </c>
      <c r="B14871" t="s">
        <v>12260</v>
      </c>
      <c r="C14871" t="s">
        <v>10255</v>
      </c>
      <c r="D14871" t="s">
        <v>48366</v>
      </c>
      <c r="E14871" t="b">
        <v>0</v>
      </c>
      <c r="F14871" t="s">
        <v>11610</v>
      </c>
      <c r="L14871">
        <v>0</v>
      </c>
      <c r="M14871">
        <v>0</v>
      </c>
      <c r="N14871">
        <v>0</v>
      </c>
    </row>
    <row r="14872" spans="1:15">
      <c r="A14872" t="s">
        <v>48367</v>
      </c>
      <c r="B14872" t="s">
        <v>12260</v>
      </c>
      <c r="C14872" t="s">
        <v>10255</v>
      </c>
      <c r="D14872" t="s">
        <v>48368</v>
      </c>
      <c r="E14872" t="b">
        <v>0</v>
      </c>
      <c r="F14872" t="s">
        <v>11610</v>
      </c>
      <c r="L14872">
        <v>0</v>
      </c>
      <c r="M14872">
        <v>0</v>
      </c>
      <c r="N14872">
        <v>0</v>
      </c>
    </row>
    <row r="14873" spans="1:15">
      <c r="A14873" t="s">
        <v>48369</v>
      </c>
      <c r="B14873" t="s">
        <v>12260</v>
      </c>
      <c r="C14873" t="s">
        <v>21802</v>
      </c>
      <c r="D14873" t="s">
        <v>48370</v>
      </c>
      <c r="E14873" t="b">
        <v>0</v>
      </c>
      <c r="F14873" t="s">
        <v>11624</v>
      </c>
      <c r="G14873">
        <v>68.724999999999994</v>
      </c>
      <c r="H14873">
        <v>22.1113</v>
      </c>
      <c r="I14873" t="s">
        <v>48371</v>
      </c>
      <c r="L14873">
        <v>0</v>
      </c>
      <c r="M14873">
        <v>0</v>
      </c>
      <c r="N14873">
        <v>2</v>
      </c>
      <c r="O14873" t="s">
        <v>48372</v>
      </c>
    </row>
    <row r="14874" spans="1:15">
      <c r="A14874" t="s">
        <v>48373</v>
      </c>
      <c r="B14874" t="s">
        <v>12260</v>
      </c>
      <c r="C14874" t="s">
        <v>18093</v>
      </c>
      <c r="D14874" t="s">
        <v>48374</v>
      </c>
      <c r="E14874" t="b">
        <v>0</v>
      </c>
      <c r="F14874" t="s">
        <v>11610</v>
      </c>
      <c r="L14874">
        <v>0</v>
      </c>
      <c r="M14874">
        <v>0</v>
      </c>
      <c r="N14874">
        <v>0</v>
      </c>
    </row>
    <row r="14875" spans="1:15">
      <c r="A14875" t="s">
        <v>48375</v>
      </c>
      <c r="B14875" t="s">
        <v>12260</v>
      </c>
      <c r="C14875" t="s">
        <v>10100</v>
      </c>
      <c r="D14875" t="s">
        <v>48376</v>
      </c>
      <c r="E14875" t="b">
        <v>0</v>
      </c>
      <c r="F14875" t="s">
        <v>11610</v>
      </c>
      <c r="L14875">
        <v>0</v>
      </c>
      <c r="M14875">
        <v>0</v>
      </c>
      <c r="N14875">
        <v>0</v>
      </c>
    </row>
    <row r="14876" spans="1:15">
      <c r="A14876" t="s">
        <v>48377</v>
      </c>
      <c r="B14876" t="s">
        <v>12260</v>
      </c>
      <c r="C14876" t="s">
        <v>1503</v>
      </c>
      <c r="D14876" t="s">
        <v>48378</v>
      </c>
      <c r="E14876" t="b">
        <v>0</v>
      </c>
      <c r="F14876" t="s">
        <v>11610</v>
      </c>
      <c r="L14876">
        <v>0</v>
      </c>
      <c r="M14876">
        <v>0</v>
      </c>
      <c r="N14876">
        <v>0</v>
      </c>
    </row>
    <row r="14877" spans="1:15">
      <c r="A14877" t="s">
        <v>48379</v>
      </c>
      <c r="B14877" t="s">
        <v>12260</v>
      </c>
      <c r="C14877" t="s">
        <v>1462</v>
      </c>
      <c r="D14877" t="s">
        <v>48380</v>
      </c>
      <c r="E14877" t="b">
        <v>0</v>
      </c>
      <c r="F14877" t="s">
        <v>11610</v>
      </c>
      <c r="L14877">
        <v>0</v>
      </c>
      <c r="M14877">
        <v>0</v>
      </c>
      <c r="N14877">
        <v>0</v>
      </c>
    </row>
    <row r="14878" spans="1:15">
      <c r="A14878" t="s">
        <v>48381</v>
      </c>
      <c r="B14878" t="s">
        <v>12260</v>
      </c>
      <c r="C14878" t="s">
        <v>42691</v>
      </c>
      <c r="D14878" t="s">
        <v>48382</v>
      </c>
      <c r="E14878" t="b">
        <v>0</v>
      </c>
      <c r="F14878" t="s">
        <v>11610</v>
      </c>
      <c r="L14878">
        <v>0</v>
      </c>
      <c r="M14878">
        <v>0</v>
      </c>
      <c r="N14878">
        <v>0</v>
      </c>
    </row>
    <row r="14879" spans="1:15">
      <c r="A14879" t="s">
        <v>19029</v>
      </c>
      <c r="B14879" t="s">
        <v>12650</v>
      </c>
      <c r="C14879" t="s">
        <v>12671</v>
      </c>
      <c r="D14879" t="s">
        <v>48383</v>
      </c>
      <c r="E14879" t="b">
        <v>0</v>
      </c>
      <c r="F14879" t="s">
        <v>11622</v>
      </c>
      <c r="L14879">
        <v>2</v>
      </c>
      <c r="M14879">
        <v>4</v>
      </c>
      <c r="N14879">
        <v>1</v>
      </c>
    </row>
    <row r="14880" spans="1:15">
      <c r="A14880" t="s">
        <v>22447</v>
      </c>
      <c r="B14880" t="s">
        <v>12438</v>
      </c>
      <c r="C14880" t="s">
        <v>21383</v>
      </c>
      <c r="D14880" t="s">
        <v>48384</v>
      </c>
      <c r="E14880" t="b">
        <v>0</v>
      </c>
      <c r="F14880" t="s">
        <v>11622</v>
      </c>
      <c r="L14880">
        <v>4</v>
      </c>
      <c r="M14880">
        <v>9</v>
      </c>
      <c r="N14880">
        <v>14</v>
      </c>
    </row>
    <row r="14881" spans="1:15">
      <c r="A14881" t="s">
        <v>48385</v>
      </c>
      <c r="B14881" t="s">
        <v>12438</v>
      </c>
      <c r="C14881" t="s">
        <v>5147</v>
      </c>
      <c r="D14881" t="s">
        <v>48386</v>
      </c>
      <c r="E14881" t="b">
        <v>0</v>
      </c>
      <c r="F14881" t="s">
        <v>11610</v>
      </c>
      <c r="L14881">
        <v>0</v>
      </c>
      <c r="M14881">
        <v>0</v>
      </c>
      <c r="N14881">
        <v>0</v>
      </c>
    </row>
    <row r="14882" spans="1:15">
      <c r="A14882" t="s">
        <v>20488</v>
      </c>
      <c r="B14882" t="s">
        <v>12438</v>
      </c>
      <c r="C14882" t="s">
        <v>4774</v>
      </c>
      <c r="D14882" t="s">
        <v>48387</v>
      </c>
      <c r="E14882" t="b">
        <v>0</v>
      </c>
      <c r="F14882" t="s">
        <v>11624</v>
      </c>
      <c r="G14882">
        <v>14.4674</v>
      </c>
      <c r="H14882">
        <v>103.863</v>
      </c>
      <c r="I14882" t="s">
        <v>48388</v>
      </c>
      <c r="L14882">
        <v>0</v>
      </c>
      <c r="M14882">
        <v>0</v>
      </c>
      <c r="N14882">
        <v>3</v>
      </c>
      <c r="O14882" t="s">
        <v>22838</v>
      </c>
    </row>
    <row r="14883" spans="1:15">
      <c r="A14883" t="s">
        <v>48389</v>
      </c>
      <c r="B14883" t="s">
        <v>331</v>
      </c>
      <c r="C14883" t="s">
        <v>22941</v>
      </c>
      <c r="D14883" t="s">
        <v>48390</v>
      </c>
      <c r="E14883" t="b">
        <v>0</v>
      </c>
      <c r="F14883" t="s">
        <v>11624</v>
      </c>
      <c r="G14883">
        <v>50.899799999999999</v>
      </c>
      <c r="H14883">
        <v>88.0672</v>
      </c>
      <c r="I14883" t="s">
        <v>48391</v>
      </c>
      <c r="L14883">
        <v>0</v>
      </c>
      <c r="M14883">
        <v>0</v>
      </c>
      <c r="N14883">
        <v>0</v>
      </c>
      <c r="O14883" t="s">
        <v>12748</v>
      </c>
    </row>
    <row r="14884" spans="1:15">
      <c r="A14884" t="s">
        <v>48392</v>
      </c>
      <c r="B14884" t="s">
        <v>331</v>
      </c>
      <c r="C14884" t="s">
        <v>3426</v>
      </c>
      <c r="D14884" t="s">
        <v>48393</v>
      </c>
      <c r="E14884" t="b">
        <v>0</v>
      </c>
      <c r="F14884" t="s">
        <v>11610</v>
      </c>
      <c r="L14884">
        <v>0</v>
      </c>
      <c r="M14884">
        <v>0</v>
      </c>
      <c r="N14884">
        <v>0</v>
      </c>
    </row>
    <row r="14885" spans="1:15">
      <c r="A14885" t="s">
        <v>25151</v>
      </c>
      <c r="B14885" t="s">
        <v>331</v>
      </c>
      <c r="C14885" t="s">
        <v>21977</v>
      </c>
      <c r="D14885" t="s">
        <v>48394</v>
      </c>
      <c r="E14885" t="b">
        <v>0</v>
      </c>
      <c r="F14885" t="s">
        <v>11622</v>
      </c>
      <c r="L14885">
        <v>0</v>
      </c>
      <c r="M14885">
        <v>2</v>
      </c>
      <c r="N14885">
        <v>0</v>
      </c>
    </row>
    <row r="14886" spans="1:15">
      <c r="A14886" t="s">
        <v>48395</v>
      </c>
      <c r="B14886" t="s">
        <v>331</v>
      </c>
      <c r="C14886" t="s">
        <v>36316</v>
      </c>
      <c r="D14886" t="s">
        <v>48396</v>
      </c>
      <c r="E14886" t="b">
        <v>0</v>
      </c>
      <c r="F14886" t="s">
        <v>11610</v>
      </c>
      <c r="L14886">
        <v>0</v>
      </c>
      <c r="M14886">
        <v>0</v>
      </c>
      <c r="N14886">
        <v>0</v>
      </c>
    </row>
    <row r="14887" spans="1:15">
      <c r="A14887" t="s">
        <v>4967</v>
      </c>
      <c r="B14887" t="s">
        <v>331</v>
      </c>
      <c r="C14887" t="s">
        <v>4977</v>
      </c>
      <c r="D14887" t="s">
        <v>48397</v>
      </c>
      <c r="E14887" t="b">
        <v>0</v>
      </c>
      <c r="F14887" t="s">
        <v>11624</v>
      </c>
      <c r="G14887">
        <v>43.748899999999999</v>
      </c>
      <c r="H14887">
        <v>59.231000000000002</v>
      </c>
      <c r="I14887" t="s">
        <v>4968</v>
      </c>
      <c r="L14887">
        <v>0</v>
      </c>
      <c r="M14887">
        <v>0</v>
      </c>
      <c r="N14887">
        <v>0</v>
      </c>
      <c r="O14887" t="s">
        <v>48398</v>
      </c>
    </row>
    <row r="14888" spans="1:15">
      <c r="A14888" t="s">
        <v>48399</v>
      </c>
      <c r="B14888" t="s">
        <v>331</v>
      </c>
      <c r="C14888" t="s">
        <v>48400</v>
      </c>
      <c r="D14888" t="s">
        <v>48401</v>
      </c>
      <c r="E14888" t="b">
        <v>0</v>
      </c>
      <c r="F14888" t="s">
        <v>11610</v>
      </c>
      <c r="L14888">
        <v>0</v>
      </c>
      <c r="M14888">
        <v>0</v>
      </c>
      <c r="N14888">
        <v>0</v>
      </c>
    </row>
    <row r="14889" spans="1:15">
      <c r="A14889" t="s">
        <v>48402</v>
      </c>
      <c r="B14889" t="s">
        <v>331</v>
      </c>
      <c r="C14889" t="s">
        <v>21403</v>
      </c>
      <c r="D14889" t="s">
        <v>48403</v>
      </c>
      <c r="E14889" t="b">
        <v>0</v>
      </c>
      <c r="F14889" t="s">
        <v>11610</v>
      </c>
      <c r="L14889">
        <v>0</v>
      </c>
      <c r="M14889">
        <v>0</v>
      </c>
      <c r="N14889">
        <v>0</v>
      </c>
    </row>
    <row r="14890" spans="1:15">
      <c r="A14890" t="s">
        <v>48404</v>
      </c>
      <c r="B14890" t="s">
        <v>331</v>
      </c>
      <c r="C14890" t="s">
        <v>5004</v>
      </c>
      <c r="D14890" t="s">
        <v>48405</v>
      </c>
      <c r="E14890" t="b">
        <v>0</v>
      </c>
      <c r="F14890" t="s">
        <v>11610</v>
      </c>
      <c r="L14890">
        <v>0</v>
      </c>
      <c r="M14890">
        <v>0</v>
      </c>
      <c r="N14890">
        <v>0</v>
      </c>
    </row>
    <row r="14891" spans="1:15">
      <c r="A14891" t="s">
        <v>48406</v>
      </c>
      <c r="B14891" t="s">
        <v>331</v>
      </c>
      <c r="C14891" t="s">
        <v>5803</v>
      </c>
      <c r="D14891" t="s">
        <v>48407</v>
      </c>
      <c r="E14891" t="b">
        <v>0</v>
      </c>
      <c r="F14891" t="s">
        <v>11610</v>
      </c>
      <c r="L14891">
        <v>0</v>
      </c>
      <c r="M14891">
        <v>0</v>
      </c>
      <c r="N14891">
        <v>0</v>
      </c>
    </row>
    <row r="14892" spans="1:15">
      <c r="A14892" t="s">
        <v>48408</v>
      </c>
      <c r="B14892" t="s">
        <v>331</v>
      </c>
      <c r="C14892" t="s">
        <v>3480</v>
      </c>
      <c r="D14892" t="s">
        <v>48409</v>
      </c>
      <c r="E14892" t="b">
        <v>0</v>
      </c>
      <c r="F14892" t="s">
        <v>11610</v>
      </c>
      <c r="L14892">
        <v>0</v>
      </c>
      <c r="M14892">
        <v>0</v>
      </c>
      <c r="N14892">
        <v>0</v>
      </c>
    </row>
    <row r="14893" spans="1:15">
      <c r="A14893" t="s">
        <v>17253</v>
      </c>
      <c r="B14893" t="s">
        <v>331</v>
      </c>
      <c r="C14893" t="s">
        <v>26628</v>
      </c>
      <c r="D14893" t="s">
        <v>48410</v>
      </c>
      <c r="E14893" t="b">
        <v>0</v>
      </c>
      <c r="F14893" t="s">
        <v>11622</v>
      </c>
      <c r="L14893">
        <v>0</v>
      </c>
      <c r="M14893">
        <v>2</v>
      </c>
      <c r="N14893">
        <v>18</v>
      </c>
    </row>
    <row r="14894" spans="1:15">
      <c r="A14894" t="s">
        <v>4630</v>
      </c>
      <c r="B14894" t="s">
        <v>331</v>
      </c>
      <c r="C14894" t="s">
        <v>4402</v>
      </c>
      <c r="D14894" t="s">
        <v>48411</v>
      </c>
      <c r="E14894" t="b">
        <v>0</v>
      </c>
      <c r="F14894" t="s">
        <v>11624</v>
      </c>
      <c r="G14894">
        <v>40.977699999999999</v>
      </c>
      <c r="H14894">
        <v>46.473700000000001</v>
      </c>
      <c r="I14894" t="s">
        <v>48412</v>
      </c>
      <c r="L14894">
        <v>0</v>
      </c>
      <c r="M14894">
        <v>0</v>
      </c>
      <c r="N14894">
        <v>25</v>
      </c>
      <c r="O14894" t="s">
        <v>48413</v>
      </c>
    </row>
    <row r="14895" spans="1:15">
      <c r="A14895" t="s">
        <v>19823</v>
      </c>
      <c r="B14895" t="s">
        <v>11844</v>
      </c>
      <c r="C14895" t="s">
        <v>11844</v>
      </c>
      <c r="D14895" t="s">
        <v>48414</v>
      </c>
      <c r="E14895" t="b">
        <v>0</v>
      </c>
      <c r="F14895" t="s">
        <v>11622</v>
      </c>
      <c r="L14895">
        <v>3</v>
      </c>
      <c r="M14895">
        <v>5</v>
      </c>
      <c r="N14895">
        <v>9</v>
      </c>
    </row>
    <row r="14896" spans="1:15">
      <c r="A14896" t="s">
        <v>41563</v>
      </c>
      <c r="B14896" t="s">
        <v>11844</v>
      </c>
      <c r="C14896" t="s">
        <v>37022</v>
      </c>
      <c r="D14896" t="s">
        <v>48415</v>
      </c>
      <c r="E14896" t="b">
        <v>0</v>
      </c>
      <c r="F14896" t="s">
        <v>11624</v>
      </c>
      <c r="G14896">
        <v>20.1022</v>
      </c>
      <c r="H14896">
        <v>78.493399999999994</v>
      </c>
      <c r="I14896" t="s">
        <v>48416</v>
      </c>
      <c r="L14896">
        <v>0</v>
      </c>
      <c r="M14896">
        <v>0</v>
      </c>
      <c r="N14896">
        <v>4</v>
      </c>
      <c r="O14896" t="s">
        <v>11630</v>
      </c>
    </row>
    <row r="14897" spans="1:15">
      <c r="A14897" t="s">
        <v>48417</v>
      </c>
      <c r="B14897" t="s">
        <v>11844</v>
      </c>
      <c r="C14897" t="s">
        <v>1264</v>
      </c>
      <c r="D14897" t="s">
        <v>48418</v>
      </c>
      <c r="E14897" t="b">
        <v>0</v>
      </c>
      <c r="F14897" t="s">
        <v>11610</v>
      </c>
      <c r="L14897">
        <v>0</v>
      </c>
      <c r="M14897">
        <v>0</v>
      </c>
      <c r="N14897">
        <v>0</v>
      </c>
    </row>
    <row r="14898" spans="1:15">
      <c r="A14898" t="s">
        <v>48419</v>
      </c>
      <c r="B14898" t="s">
        <v>11844</v>
      </c>
      <c r="C14898" t="s">
        <v>48420</v>
      </c>
      <c r="D14898" t="s">
        <v>48421</v>
      </c>
      <c r="E14898" t="b">
        <v>0</v>
      </c>
      <c r="F14898" t="s">
        <v>11610</v>
      </c>
      <c r="L14898">
        <v>0</v>
      </c>
      <c r="M14898">
        <v>0</v>
      </c>
      <c r="N14898">
        <v>0</v>
      </c>
    </row>
    <row r="14899" spans="1:15">
      <c r="A14899" t="s">
        <v>13540</v>
      </c>
      <c r="B14899" t="s">
        <v>11844</v>
      </c>
      <c r="C14899" t="s">
        <v>48422</v>
      </c>
      <c r="D14899" t="s">
        <v>48423</v>
      </c>
      <c r="E14899" t="b">
        <v>0</v>
      </c>
      <c r="F14899" t="s">
        <v>11624</v>
      </c>
      <c r="G14899">
        <v>18.1632</v>
      </c>
      <c r="H14899">
        <v>81.384200000000007</v>
      </c>
      <c r="I14899" t="s">
        <v>48424</v>
      </c>
      <c r="L14899">
        <v>0</v>
      </c>
      <c r="M14899">
        <v>0</v>
      </c>
      <c r="N14899">
        <v>8</v>
      </c>
      <c r="O14899" t="s">
        <v>11630</v>
      </c>
    </row>
    <row r="14900" spans="1:15">
      <c r="A14900" t="s">
        <v>35566</v>
      </c>
      <c r="B14900" t="s">
        <v>11644</v>
      </c>
      <c r="C14900" t="s">
        <v>21410</v>
      </c>
      <c r="D14900" t="s">
        <v>48425</v>
      </c>
      <c r="E14900" t="b">
        <v>0</v>
      </c>
      <c r="F14900" t="s">
        <v>11622</v>
      </c>
      <c r="L14900">
        <v>0</v>
      </c>
      <c r="M14900">
        <v>4</v>
      </c>
      <c r="N14900">
        <v>0</v>
      </c>
    </row>
    <row r="14901" spans="1:15">
      <c r="A14901" t="s">
        <v>48426</v>
      </c>
      <c r="B14901" t="s">
        <v>11644</v>
      </c>
      <c r="C14901" t="s">
        <v>25932</v>
      </c>
      <c r="D14901" t="s">
        <v>48427</v>
      </c>
      <c r="E14901" t="b">
        <v>0</v>
      </c>
      <c r="F14901" t="s">
        <v>11622</v>
      </c>
      <c r="L14901">
        <v>0</v>
      </c>
      <c r="M14901">
        <v>2</v>
      </c>
      <c r="N14901">
        <v>3</v>
      </c>
    </row>
    <row r="14902" spans="1:15">
      <c r="A14902" t="s">
        <v>48428</v>
      </c>
      <c r="B14902" t="s">
        <v>11644</v>
      </c>
      <c r="C14902" t="s">
        <v>48429</v>
      </c>
      <c r="D14902" t="s">
        <v>48430</v>
      </c>
      <c r="E14902" t="b">
        <v>0</v>
      </c>
      <c r="F14902" t="s">
        <v>11610</v>
      </c>
      <c r="L14902">
        <v>0</v>
      </c>
      <c r="M14902">
        <v>0</v>
      </c>
      <c r="N14902">
        <v>0</v>
      </c>
    </row>
    <row r="14903" spans="1:15">
      <c r="A14903" t="s">
        <v>48431</v>
      </c>
      <c r="B14903" t="s">
        <v>11644</v>
      </c>
      <c r="C14903" t="s">
        <v>15991</v>
      </c>
      <c r="D14903" t="s">
        <v>48432</v>
      </c>
      <c r="E14903" t="b">
        <v>0</v>
      </c>
      <c r="F14903" t="s">
        <v>11610</v>
      </c>
      <c r="L14903">
        <v>0</v>
      </c>
      <c r="M14903">
        <v>0</v>
      </c>
      <c r="N14903">
        <v>0</v>
      </c>
    </row>
    <row r="14904" spans="1:15">
      <c r="A14904" t="s">
        <v>48433</v>
      </c>
      <c r="B14904" t="s">
        <v>11644</v>
      </c>
      <c r="C14904" t="s">
        <v>22028</v>
      </c>
      <c r="D14904" t="s">
        <v>48434</v>
      </c>
      <c r="E14904" t="b">
        <v>0</v>
      </c>
      <c r="F14904" t="s">
        <v>11610</v>
      </c>
      <c r="L14904">
        <v>0</v>
      </c>
      <c r="M14904">
        <v>0</v>
      </c>
      <c r="N14904">
        <v>0</v>
      </c>
    </row>
    <row r="14905" spans="1:15">
      <c r="A14905" t="s">
        <v>48435</v>
      </c>
      <c r="B14905" t="s">
        <v>11644</v>
      </c>
      <c r="C14905" t="s">
        <v>25758</v>
      </c>
      <c r="D14905" t="s">
        <v>48436</v>
      </c>
      <c r="E14905" t="b">
        <v>0</v>
      </c>
      <c r="F14905" t="s">
        <v>11610</v>
      </c>
      <c r="L14905">
        <v>0</v>
      </c>
      <c r="M14905">
        <v>0</v>
      </c>
      <c r="N14905">
        <v>0</v>
      </c>
    </row>
    <row r="14906" spans="1:15">
      <c r="A14906" t="s">
        <v>33086</v>
      </c>
      <c r="B14906" t="s">
        <v>11644</v>
      </c>
      <c r="C14906" t="s">
        <v>29124</v>
      </c>
      <c r="D14906" t="s">
        <v>48437</v>
      </c>
      <c r="E14906" t="b">
        <v>0</v>
      </c>
      <c r="F14906" t="s">
        <v>11624</v>
      </c>
      <c r="G14906">
        <v>28.2332</v>
      </c>
      <c r="H14906">
        <v>84.929000000000002</v>
      </c>
      <c r="I14906" t="s">
        <v>48438</v>
      </c>
      <c r="L14906">
        <v>0</v>
      </c>
      <c r="M14906">
        <v>0</v>
      </c>
      <c r="N14906">
        <v>5</v>
      </c>
      <c r="O14906" t="s">
        <v>15007</v>
      </c>
    </row>
    <row r="14907" spans="1:15">
      <c r="A14907" t="s">
        <v>48439</v>
      </c>
      <c r="B14907" t="s">
        <v>11644</v>
      </c>
      <c r="C14907" t="s">
        <v>48440</v>
      </c>
      <c r="D14907" t="s">
        <v>48441</v>
      </c>
      <c r="E14907" t="b">
        <v>0</v>
      </c>
      <c r="F14907" t="s">
        <v>11610</v>
      </c>
      <c r="L14907">
        <v>0</v>
      </c>
      <c r="M14907">
        <v>0</v>
      </c>
      <c r="N14907">
        <v>0</v>
      </c>
    </row>
    <row r="14908" spans="1:15">
      <c r="A14908" t="s">
        <v>48442</v>
      </c>
      <c r="B14908" t="s">
        <v>11644</v>
      </c>
      <c r="C14908" t="s">
        <v>48443</v>
      </c>
      <c r="D14908" t="s">
        <v>48444</v>
      </c>
      <c r="E14908" t="b">
        <v>0</v>
      </c>
      <c r="F14908" t="s">
        <v>11610</v>
      </c>
      <c r="L14908">
        <v>0</v>
      </c>
      <c r="M14908">
        <v>0</v>
      </c>
      <c r="N14908">
        <v>0</v>
      </c>
    </row>
    <row r="14909" spans="1:15">
      <c r="A14909" t="s">
        <v>48445</v>
      </c>
      <c r="B14909" t="s">
        <v>11644</v>
      </c>
      <c r="C14909" t="s">
        <v>6134</v>
      </c>
      <c r="D14909" t="s">
        <v>48446</v>
      </c>
      <c r="E14909" t="b">
        <v>0</v>
      </c>
      <c r="F14909" t="s">
        <v>11610</v>
      </c>
      <c r="L14909">
        <v>0</v>
      </c>
      <c r="M14909">
        <v>0</v>
      </c>
      <c r="N14909">
        <v>0</v>
      </c>
    </row>
    <row r="14910" spans="1:15">
      <c r="A14910" t="s">
        <v>48447</v>
      </c>
      <c r="B14910" t="s">
        <v>11644</v>
      </c>
      <c r="C14910" t="s">
        <v>48448</v>
      </c>
      <c r="D14910" t="s">
        <v>48449</v>
      </c>
      <c r="E14910" t="b">
        <v>0</v>
      </c>
      <c r="F14910" t="s">
        <v>11610</v>
      </c>
      <c r="L14910">
        <v>0</v>
      </c>
      <c r="M14910">
        <v>0</v>
      </c>
      <c r="N14910">
        <v>0</v>
      </c>
    </row>
    <row r="14911" spans="1:15">
      <c r="A14911" t="s">
        <v>48450</v>
      </c>
      <c r="B14911" t="s">
        <v>11644</v>
      </c>
      <c r="C14911" t="s">
        <v>19164</v>
      </c>
      <c r="D14911" t="s">
        <v>48451</v>
      </c>
      <c r="E14911" t="b">
        <v>0</v>
      </c>
      <c r="F14911" t="s">
        <v>11622</v>
      </c>
      <c r="L14911">
        <v>0</v>
      </c>
      <c r="M14911">
        <v>2</v>
      </c>
      <c r="N14911">
        <v>0</v>
      </c>
    </row>
    <row r="14912" spans="1:15">
      <c r="A14912" t="s">
        <v>48452</v>
      </c>
      <c r="B14912" t="s">
        <v>11644</v>
      </c>
      <c r="C14912" t="s">
        <v>48450</v>
      </c>
      <c r="D14912" t="s">
        <v>48453</v>
      </c>
      <c r="E14912" t="b">
        <v>0</v>
      </c>
      <c r="F14912" t="s">
        <v>11624</v>
      </c>
      <c r="G14912">
        <v>23.031191</v>
      </c>
      <c r="H14912">
        <v>103.41869699999999</v>
      </c>
      <c r="I14912" t="s">
        <v>48454</v>
      </c>
      <c r="L14912">
        <v>0</v>
      </c>
      <c r="M14912">
        <v>0</v>
      </c>
      <c r="N14912">
        <v>0</v>
      </c>
      <c r="O14912" t="s">
        <v>11905</v>
      </c>
    </row>
    <row r="14913" spans="1:15">
      <c r="A14913" t="s">
        <v>25955</v>
      </c>
      <c r="B14913" t="s">
        <v>11644</v>
      </c>
      <c r="C14913" t="s">
        <v>27733</v>
      </c>
      <c r="D14913" t="s">
        <v>48455</v>
      </c>
      <c r="E14913" t="b">
        <v>0</v>
      </c>
      <c r="F14913" t="s">
        <v>11622</v>
      </c>
      <c r="L14913">
        <v>0</v>
      </c>
      <c r="M14913">
        <v>2</v>
      </c>
      <c r="N14913">
        <v>2</v>
      </c>
    </row>
    <row r="14914" spans="1:15">
      <c r="A14914" t="s">
        <v>27400</v>
      </c>
      <c r="B14914" t="s">
        <v>11644</v>
      </c>
      <c r="C14914" t="s">
        <v>25955</v>
      </c>
      <c r="D14914" t="s">
        <v>48456</v>
      </c>
      <c r="E14914" t="b">
        <v>0</v>
      </c>
      <c r="F14914" t="s">
        <v>11624</v>
      </c>
      <c r="G14914">
        <v>24.408000000000001</v>
      </c>
      <c r="H14914">
        <v>102.456</v>
      </c>
      <c r="I14914" t="s">
        <v>48457</v>
      </c>
      <c r="L14914">
        <v>0</v>
      </c>
      <c r="M14914">
        <v>0</v>
      </c>
      <c r="N14914">
        <v>2</v>
      </c>
      <c r="O14914" t="s">
        <v>11905</v>
      </c>
    </row>
    <row r="14915" spans="1:15">
      <c r="A14915" t="s">
        <v>48458</v>
      </c>
      <c r="B14915" t="s">
        <v>11644</v>
      </c>
      <c r="C14915" t="s">
        <v>21419</v>
      </c>
      <c r="D14915" t="s">
        <v>48459</v>
      </c>
      <c r="E14915" t="b">
        <v>0</v>
      </c>
      <c r="F14915" t="s">
        <v>11610</v>
      </c>
      <c r="L14915">
        <v>0</v>
      </c>
      <c r="M14915">
        <v>0</v>
      </c>
      <c r="N14915">
        <v>0</v>
      </c>
    </row>
    <row r="14916" spans="1:15">
      <c r="A14916" t="s">
        <v>31092</v>
      </c>
      <c r="B14916" t="s">
        <v>11644</v>
      </c>
      <c r="C14916" t="s">
        <v>20514</v>
      </c>
      <c r="D14916" t="s">
        <v>48460</v>
      </c>
      <c r="E14916" t="b">
        <v>0</v>
      </c>
      <c r="F14916" t="s">
        <v>11622</v>
      </c>
      <c r="L14916">
        <v>4</v>
      </c>
      <c r="M14916">
        <v>10</v>
      </c>
      <c r="N14916">
        <v>15</v>
      </c>
    </row>
    <row r="14917" spans="1:15">
      <c r="A14917" t="s">
        <v>48461</v>
      </c>
      <c r="B14917" t="s">
        <v>11644</v>
      </c>
      <c r="C14917" t="s">
        <v>31508</v>
      </c>
      <c r="D14917" t="s">
        <v>48462</v>
      </c>
      <c r="E14917" t="b">
        <v>0</v>
      </c>
      <c r="F14917" t="s">
        <v>11610</v>
      </c>
      <c r="L14917">
        <v>0</v>
      </c>
      <c r="M14917">
        <v>0</v>
      </c>
      <c r="N14917">
        <v>0</v>
      </c>
    </row>
    <row r="14918" spans="1:15">
      <c r="A14918" t="s">
        <v>23045</v>
      </c>
      <c r="B14918" t="s">
        <v>11644</v>
      </c>
      <c r="C14918" t="s">
        <v>48463</v>
      </c>
      <c r="D14918" t="s">
        <v>48464</v>
      </c>
      <c r="E14918" t="b">
        <v>0</v>
      </c>
      <c r="F14918" t="s">
        <v>11624</v>
      </c>
      <c r="G14918">
        <v>32.276600000000002</v>
      </c>
      <c r="H14918">
        <v>103.19199999999999</v>
      </c>
      <c r="I14918" t="s">
        <v>48465</v>
      </c>
      <c r="L14918">
        <v>0</v>
      </c>
      <c r="M14918">
        <v>0</v>
      </c>
      <c r="N14918">
        <v>9</v>
      </c>
      <c r="O14918" t="s">
        <v>11905</v>
      </c>
    </row>
    <row r="14919" spans="1:15">
      <c r="A14919" t="s">
        <v>33595</v>
      </c>
      <c r="B14919" t="s">
        <v>11644</v>
      </c>
      <c r="C14919" t="s">
        <v>5202</v>
      </c>
      <c r="D14919" t="s">
        <v>48466</v>
      </c>
      <c r="E14919" t="b">
        <v>0</v>
      </c>
      <c r="F14919" t="s">
        <v>11624</v>
      </c>
      <c r="G14919">
        <v>28.662600000000001</v>
      </c>
      <c r="H14919">
        <v>101.30500000000001</v>
      </c>
      <c r="I14919" t="s">
        <v>48467</v>
      </c>
      <c r="L14919">
        <v>0</v>
      </c>
      <c r="M14919">
        <v>0</v>
      </c>
      <c r="N14919">
        <v>8</v>
      </c>
      <c r="O14919" t="s">
        <v>11905</v>
      </c>
    </row>
    <row r="14920" spans="1:15">
      <c r="A14920" t="s">
        <v>18520</v>
      </c>
      <c r="B14920" t="s">
        <v>11644</v>
      </c>
      <c r="C14920" t="s">
        <v>448</v>
      </c>
      <c r="D14920" t="s">
        <v>48468</v>
      </c>
      <c r="E14920" t="b">
        <v>0</v>
      </c>
      <c r="F14920" t="s">
        <v>11624</v>
      </c>
      <c r="G14920">
        <v>26.925000000000001</v>
      </c>
      <c r="H14920">
        <v>99.656000000000006</v>
      </c>
      <c r="I14920" t="s">
        <v>48469</v>
      </c>
      <c r="L14920">
        <v>0</v>
      </c>
      <c r="M14920">
        <v>0</v>
      </c>
      <c r="N14920">
        <v>6</v>
      </c>
      <c r="O14920" t="s">
        <v>11905</v>
      </c>
    </row>
    <row r="14921" spans="1:15">
      <c r="A14921" t="s">
        <v>48470</v>
      </c>
      <c r="B14921" t="s">
        <v>11644</v>
      </c>
      <c r="C14921" t="s">
        <v>48471</v>
      </c>
      <c r="D14921" t="s">
        <v>48472</v>
      </c>
      <c r="E14921" t="b">
        <v>0</v>
      </c>
      <c r="F14921" t="s">
        <v>11624</v>
      </c>
      <c r="G14921">
        <v>26.449200000000001</v>
      </c>
      <c r="H14921">
        <v>94.568299999999994</v>
      </c>
      <c r="I14921" t="s">
        <v>48473</v>
      </c>
      <c r="L14921">
        <v>0</v>
      </c>
      <c r="M14921">
        <v>0</v>
      </c>
      <c r="N14921">
        <v>0</v>
      </c>
      <c r="O14921" t="s">
        <v>11630</v>
      </c>
    </row>
    <row r="14922" spans="1:15">
      <c r="A14922" t="s">
        <v>18547</v>
      </c>
      <c r="B14922" t="s">
        <v>11644</v>
      </c>
      <c r="C14922" t="s">
        <v>40481</v>
      </c>
      <c r="D14922" t="s">
        <v>48474</v>
      </c>
      <c r="E14922" t="b">
        <v>0</v>
      </c>
      <c r="F14922" t="s">
        <v>11624</v>
      </c>
      <c r="G14922">
        <v>27.510200000000001</v>
      </c>
      <c r="H14922">
        <v>87.215699999999998</v>
      </c>
      <c r="I14922" t="s">
        <v>48475</v>
      </c>
      <c r="L14922">
        <v>0</v>
      </c>
      <c r="M14922">
        <v>0</v>
      </c>
      <c r="N14922">
        <v>1</v>
      </c>
      <c r="O14922" t="s">
        <v>15007</v>
      </c>
    </row>
    <row r="14923" spans="1:15">
      <c r="A14923" t="s">
        <v>48476</v>
      </c>
      <c r="B14923" t="s">
        <v>11644</v>
      </c>
      <c r="C14923" t="s">
        <v>25980</v>
      </c>
      <c r="D14923" t="s">
        <v>48477</v>
      </c>
      <c r="E14923" t="b">
        <v>0</v>
      </c>
      <c r="F14923" t="s">
        <v>11610</v>
      </c>
      <c r="L14923">
        <v>0</v>
      </c>
      <c r="M14923">
        <v>0</v>
      </c>
      <c r="N14923">
        <v>0</v>
      </c>
    </row>
    <row r="14924" spans="1:15">
      <c r="A14924" t="s">
        <v>48478</v>
      </c>
      <c r="B14924" t="s">
        <v>11644</v>
      </c>
      <c r="C14924" t="s">
        <v>32517</v>
      </c>
      <c r="D14924" t="s">
        <v>48479</v>
      </c>
      <c r="E14924" t="b">
        <v>0</v>
      </c>
      <c r="F14924" t="s">
        <v>11610</v>
      </c>
      <c r="L14924">
        <v>0</v>
      </c>
      <c r="M14924">
        <v>0</v>
      </c>
      <c r="N14924">
        <v>0</v>
      </c>
    </row>
    <row r="14925" spans="1:15">
      <c r="A14925" t="s">
        <v>15931</v>
      </c>
      <c r="B14925" t="s">
        <v>11644</v>
      </c>
      <c r="C14925" t="s">
        <v>22351</v>
      </c>
      <c r="D14925" t="s">
        <v>48480</v>
      </c>
      <c r="E14925" t="b">
        <v>0</v>
      </c>
      <c r="F14925" t="s">
        <v>11622</v>
      </c>
      <c r="L14925">
        <v>0</v>
      </c>
      <c r="M14925">
        <v>3</v>
      </c>
      <c r="N14925">
        <v>6</v>
      </c>
    </row>
    <row r="14926" spans="1:15">
      <c r="A14926" t="s">
        <v>48481</v>
      </c>
      <c r="B14926" t="s">
        <v>11644</v>
      </c>
      <c r="C14926" t="s">
        <v>21429</v>
      </c>
      <c r="D14926" t="s">
        <v>48482</v>
      </c>
      <c r="E14926" t="b">
        <v>0</v>
      </c>
      <c r="F14926" t="s">
        <v>11610</v>
      </c>
      <c r="L14926">
        <v>0</v>
      </c>
      <c r="M14926">
        <v>0</v>
      </c>
      <c r="N14926">
        <v>0</v>
      </c>
    </row>
    <row r="14927" spans="1:15">
      <c r="A14927" t="s">
        <v>16853</v>
      </c>
      <c r="B14927" t="s">
        <v>11644</v>
      </c>
      <c r="C14927" t="s">
        <v>48483</v>
      </c>
      <c r="D14927" t="s">
        <v>48484</v>
      </c>
      <c r="E14927" t="b">
        <v>0</v>
      </c>
      <c r="F14927" t="s">
        <v>11624</v>
      </c>
      <c r="G14927">
        <v>29.301600000000001</v>
      </c>
      <c r="H14927">
        <v>109.759</v>
      </c>
      <c r="I14927" t="s">
        <v>48485</v>
      </c>
      <c r="L14927">
        <v>0</v>
      </c>
      <c r="M14927">
        <v>0</v>
      </c>
      <c r="N14927">
        <v>2</v>
      </c>
      <c r="O14927" t="s">
        <v>11905</v>
      </c>
    </row>
    <row r="14928" spans="1:15">
      <c r="A14928" t="s">
        <v>21083</v>
      </c>
      <c r="B14928" t="s">
        <v>5126</v>
      </c>
      <c r="C14928" t="s">
        <v>34622</v>
      </c>
      <c r="D14928" t="s">
        <v>48486</v>
      </c>
      <c r="E14928" t="b">
        <v>0</v>
      </c>
      <c r="F14928" t="s">
        <v>11622</v>
      </c>
      <c r="L14928">
        <v>0</v>
      </c>
      <c r="M14928">
        <v>2</v>
      </c>
      <c r="N14928">
        <v>0</v>
      </c>
    </row>
    <row r="14929" spans="1:15">
      <c r="A14929" t="s">
        <v>48487</v>
      </c>
      <c r="B14929" t="s">
        <v>5126</v>
      </c>
      <c r="C14929" t="s">
        <v>21083</v>
      </c>
      <c r="D14929" t="s">
        <v>48488</v>
      </c>
      <c r="E14929" t="b">
        <v>0</v>
      </c>
      <c r="F14929" t="s">
        <v>11624</v>
      </c>
      <c r="G14929">
        <v>26.994399999999999</v>
      </c>
      <c r="H14929">
        <v>109.20399999999999</v>
      </c>
      <c r="I14929" t="s">
        <v>48489</v>
      </c>
      <c r="L14929">
        <v>0</v>
      </c>
      <c r="M14929">
        <v>0</v>
      </c>
      <c r="N14929">
        <v>0</v>
      </c>
      <c r="O14929" t="s">
        <v>19781</v>
      </c>
    </row>
    <row r="14930" spans="1:15">
      <c r="A14930" t="s">
        <v>48490</v>
      </c>
      <c r="B14930" t="s">
        <v>5126</v>
      </c>
      <c r="C14930" t="s">
        <v>14846</v>
      </c>
      <c r="D14930" t="s">
        <v>48491</v>
      </c>
      <c r="E14930" t="b">
        <v>0</v>
      </c>
      <c r="F14930" t="s">
        <v>11610</v>
      </c>
      <c r="L14930">
        <v>0</v>
      </c>
      <c r="M14930">
        <v>0</v>
      </c>
      <c r="N14930">
        <v>0</v>
      </c>
    </row>
    <row r="14931" spans="1:15">
      <c r="A14931" t="s">
        <v>48492</v>
      </c>
      <c r="B14931" t="s">
        <v>5126</v>
      </c>
      <c r="C14931" t="s">
        <v>14843</v>
      </c>
      <c r="D14931" t="s">
        <v>48493</v>
      </c>
      <c r="E14931" t="b">
        <v>0</v>
      </c>
      <c r="F14931" t="s">
        <v>11622</v>
      </c>
      <c r="L14931">
        <v>0</v>
      </c>
      <c r="M14931">
        <v>2</v>
      </c>
      <c r="N14931">
        <v>5</v>
      </c>
    </row>
    <row r="14932" spans="1:15">
      <c r="A14932" t="s">
        <v>16522</v>
      </c>
      <c r="B14932" t="s">
        <v>5126</v>
      </c>
      <c r="C14932" t="s">
        <v>36377</v>
      </c>
      <c r="D14932" t="s">
        <v>48494</v>
      </c>
      <c r="E14932" t="b">
        <v>0</v>
      </c>
      <c r="F14932" t="s">
        <v>11624</v>
      </c>
      <c r="G14932">
        <v>18.857495</v>
      </c>
      <c r="H14932">
        <v>100.20739</v>
      </c>
      <c r="I14932" t="s">
        <v>48495</v>
      </c>
      <c r="L14932">
        <v>0</v>
      </c>
      <c r="M14932">
        <v>0</v>
      </c>
      <c r="N14932">
        <v>3</v>
      </c>
      <c r="O14932" t="s">
        <v>36380</v>
      </c>
    </row>
    <row r="14933" spans="1:15">
      <c r="A14933" t="s">
        <v>21435</v>
      </c>
      <c r="B14933" t="s">
        <v>5126</v>
      </c>
      <c r="C14933" t="s">
        <v>48496</v>
      </c>
      <c r="D14933" t="s">
        <v>48497</v>
      </c>
      <c r="E14933" t="b">
        <v>0</v>
      </c>
      <c r="F14933" t="s">
        <v>11624</v>
      </c>
      <c r="G14933">
        <v>14.3253</v>
      </c>
      <c r="H14933">
        <v>102.986</v>
      </c>
      <c r="I14933" t="s">
        <v>48498</v>
      </c>
      <c r="L14933">
        <v>0</v>
      </c>
      <c r="M14933">
        <v>0</v>
      </c>
      <c r="N14933">
        <v>3</v>
      </c>
      <c r="O14933" t="s">
        <v>38557</v>
      </c>
    </row>
    <row r="14934" spans="1:15">
      <c r="A14934" t="s">
        <v>48499</v>
      </c>
      <c r="B14934" t="s">
        <v>5126</v>
      </c>
      <c r="C14934" t="s">
        <v>21435</v>
      </c>
      <c r="D14934" t="s">
        <v>48500</v>
      </c>
      <c r="E14934" t="b">
        <v>0</v>
      </c>
      <c r="F14934" t="s">
        <v>11610</v>
      </c>
      <c r="L14934">
        <v>0</v>
      </c>
      <c r="M14934">
        <v>0</v>
      </c>
      <c r="N14934">
        <v>0</v>
      </c>
    </row>
    <row r="14935" spans="1:15">
      <c r="A14935" t="s">
        <v>48501</v>
      </c>
      <c r="B14935" t="s">
        <v>5126</v>
      </c>
      <c r="C14935" t="s">
        <v>21438</v>
      </c>
      <c r="D14935" t="s">
        <v>48502</v>
      </c>
      <c r="E14935" t="b">
        <v>0</v>
      </c>
      <c r="F14935" t="s">
        <v>11610</v>
      </c>
      <c r="L14935">
        <v>0</v>
      </c>
      <c r="M14935">
        <v>0</v>
      </c>
      <c r="N14935">
        <v>0</v>
      </c>
    </row>
    <row r="14936" spans="1:15">
      <c r="A14936" t="s">
        <v>27086</v>
      </c>
      <c r="B14936" t="s">
        <v>5126</v>
      </c>
      <c r="C14936" t="s">
        <v>20680</v>
      </c>
      <c r="D14936" t="s">
        <v>48503</v>
      </c>
      <c r="E14936" t="b">
        <v>0</v>
      </c>
      <c r="F14936" t="s">
        <v>11622</v>
      </c>
      <c r="L14936">
        <v>0</v>
      </c>
      <c r="M14936">
        <v>3</v>
      </c>
      <c r="N14936">
        <v>0</v>
      </c>
    </row>
    <row r="14937" spans="1:15">
      <c r="A14937" t="s">
        <v>2063</v>
      </c>
      <c r="B14937" t="s">
        <v>2064</v>
      </c>
      <c r="C14937" t="s">
        <v>2064</v>
      </c>
      <c r="D14937" t="s">
        <v>48504</v>
      </c>
      <c r="E14937" t="b">
        <v>0</v>
      </c>
      <c r="F14937" t="s">
        <v>11624</v>
      </c>
      <c r="G14937">
        <v>70.498000000000005</v>
      </c>
      <c r="H14937">
        <v>157.85300000000001</v>
      </c>
      <c r="I14937" t="s">
        <v>2065</v>
      </c>
      <c r="L14937">
        <v>0</v>
      </c>
      <c r="M14937">
        <v>0</v>
      </c>
      <c r="N14937">
        <v>0</v>
      </c>
      <c r="O14937" t="s">
        <v>12748</v>
      </c>
    </row>
    <row r="14938" spans="1:15">
      <c r="A14938" t="s">
        <v>36014</v>
      </c>
      <c r="B14938" t="s">
        <v>14552</v>
      </c>
      <c r="C14938" t="s">
        <v>14552</v>
      </c>
      <c r="D14938" t="s">
        <v>48505</v>
      </c>
      <c r="E14938" t="b">
        <v>0</v>
      </c>
      <c r="F14938" t="s">
        <v>11622</v>
      </c>
      <c r="L14938">
        <v>0</v>
      </c>
      <c r="M14938">
        <v>2</v>
      </c>
      <c r="N14938">
        <v>3</v>
      </c>
    </row>
    <row r="14939" spans="1:15">
      <c r="A14939" t="s">
        <v>48506</v>
      </c>
      <c r="B14939" t="s">
        <v>5058</v>
      </c>
      <c r="C14939" t="s">
        <v>26002</v>
      </c>
      <c r="D14939" t="s">
        <v>48507</v>
      </c>
      <c r="E14939" t="b">
        <v>0</v>
      </c>
      <c r="F14939" t="s">
        <v>11624</v>
      </c>
      <c r="G14939">
        <v>26.633800000000001</v>
      </c>
      <c r="H14939">
        <v>108.16200000000001</v>
      </c>
      <c r="I14939" t="s">
        <v>48508</v>
      </c>
      <c r="L14939">
        <v>0</v>
      </c>
      <c r="M14939">
        <v>0</v>
      </c>
      <c r="N14939">
        <v>0</v>
      </c>
      <c r="O14939" t="s">
        <v>11905</v>
      </c>
    </row>
    <row r="14940" spans="1:15">
      <c r="A14940" t="s">
        <v>26009</v>
      </c>
      <c r="B14940" t="s">
        <v>5058</v>
      </c>
      <c r="C14940" t="s">
        <v>26003</v>
      </c>
      <c r="D14940" t="s">
        <v>48509</v>
      </c>
      <c r="E14940" t="b">
        <v>0</v>
      </c>
      <c r="F14940" t="s">
        <v>11622</v>
      </c>
      <c r="L14940">
        <v>0</v>
      </c>
      <c r="M14940">
        <v>2</v>
      </c>
      <c r="N14940">
        <v>0</v>
      </c>
    </row>
    <row r="14941" spans="1:15">
      <c r="A14941" t="s">
        <v>48510</v>
      </c>
      <c r="B14941" t="s">
        <v>5058</v>
      </c>
      <c r="C14941" t="s">
        <v>21441</v>
      </c>
      <c r="D14941" t="s">
        <v>48511</v>
      </c>
      <c r="E14941" t="b">
        <v>0</v>
      </c>
      <c r="F14941" t="s">
        <v>11624</v>
      </c>
      <c r="G14941">
        <v>26.325900000000001</v>
      </c>
      <c r="H14941">
        <v>107.102</v>
      </c>
      <c r="I14941" t="s">
        <v>48512</v>
      </c>
      <c r="L14941">
        <v>0</v>
      </c>
      <c r="M14941">
        <v>0</v>
      </c>
      <c r="N14941">
        <v>0</v>
      </c>
      <c r="O14941" t="s">
        <v>11905</v>
      </c>
    </row>
    <row r="14942" spans="1:15">
      <c r="A14942" t="s">
        <v>48513</v>
      </c>
      <c r="B14942" t="s">
        <v>6842</v>
      </c>
      <c r="C14942" t="s">
        <v>6842</v>
      </c>
      <c r="D14942" t="s">
        <v>48514</v>
      </c>
      <c r="E14942" t="b">
        <v>0</v>
      </c>
      <c r="F14942" t="s">
        <v>11610</v>
      </c>
      <c r="L14942">
        <v>0</v>
      </c>
      <c r="M14942">
        <v>0</v>
      </c>
      <c r="N14942">
        <v>0</v>
      </c>
    </row>
    <row r="14943" spans="1:15">
      <c r="A14943" t="s">
        <v>28046</v>
      </c>
      <c r="B14943" t="s">
        <v>1588</v>
      </c>
      <c r="C14943" t="s">
        <v>1588</v>
      </c>
      <c r="D14943" t="s">
        <v>48515</v>
      </c>
      <c r="E14943" t="b">
        <v>0</v>
      </c>
      <c r="F14943" t="s">
        <v>11622</v>
      </c>
      <c r="L14943">
        <v>1</v>
      </c>
      <c r="M14943">
        <v>5</v>
      </c>
      <c r="N14943">
        <v>0</v>
      </c>
    </row>
    <row r="14944" spans="1:15">
      <c r="A14944" t="s">
        <v>12104</v>
      </c>
      <c r="B14944" t="s">
        <v>10597</v>
      </c>
      <c r="C14944" t="s">
        <v>23421</v>
      </c>
      <c r="D14944" t="s">
        <v>48516</v>
      </c>
      <c r="E14944" t="b">
        <v>0</v>
      </c>
      <c r="F14944" t="s">
        <v>11622</v>
      </c>
      <c r="L14944">
        <v>0</v>
      </c>
      <c r="M14944">
        <v>3</v>
      </c>
      <c r="N14944">
        <v>0</v>
      </c>
    </row>
    <row r="14945" spans="1:15">
      <c r="A14945" t="s">
        <v>48517</v>
      </c>
      <c r="B14945" t="s">
        <v>10597</v>
      </c>
      <c r="C14945" t="s">
        <v>402</v>
      </c>
      <c r="D14945" t="s">
        <v>48518</v>
      </c>
      <c r="E14945" t="b">
        <v>0</v>
      </c>
      <c r="F14945" t="s">
        <v>11610</v>
      </c>
      <c r="L14945">
        <v>0</v>
      </c>
      <c r="M14945">
        <v>0</v>
      </c>
      <c r="N14945">
        <v>0</v>
      </c>
    </row>
    <row r="14946" spans="1:15">
      <c r="A14946" t="s">
        <v>48519</v>
      </c>
      <c r="B14946" t="s">
        <v>10597</v>
      </c>
      <c r="C14946" t="s">
        <v>48520</v>
      </c>
      <c r="D14946" t="s">
        <v>48521</v>
      </c>
      <c r="E14946" t="b">
        <v>0</v>
      </c>
      <c r="F14946" t="s">
        <v>11610</v>
      </c>
      <c r="L14946">
        <v>0</v>
      </c>
      <c r="M14946">
        <v>0</v>
      </c>
      <c r="N14946">
        <v>0</v>
      </c>
    </row>
    <row r="14947" spans="1:15">
      <c r="A14947" t="s">
        <v>48522</v>
      </c>
      <c r="B14947" t="s">
        <v>10597</v>
      </c>
      <c r="C14947" t="s">
        <v>48523</v>
      </c>
      <c r="D14947" t="s">
        <v>48524</v>
      </c>
      <c r="E14947" t="b">
        <v>0</v>
      </c>
      <c r="F14947" t="s">
        <v>11610</v>
      </c>
      <c r="L14947">
        <v>0</v>
      </c>
      <c r="M14947">
        <v>0</v>
      </c>
      <c r="N14947">
        <v>0</v>
      </c>
    </row>
    <row r="14948" spans="1:15">
      <c r="A14948" t="s">
        <v>35923</v>
      </c>
      <c r="B14948" t="s">
        <v>10597</v>
      </c>
      <c r="C14948" t="s">
        <v>40896</v>
      </c>
      <c r="D14948" t="s">
        <v>48525</v>
      </c>
      <c r="E14948" t="b">
        <v>0</v>
      </c>
      <c r="F14948" t="s">
        <v>11624</v>
      </c>
      <c r="G14948">
        <v>-34.190055999999998</v>
      </c>
      <c r="H14948">
        <v>142.27363099999999</v>
      </c>
      <c r="L14948">
        <v>0</v>
      </c>
      <c r="M14948">
        <v>0</v>
      </c>
      <c r="N14948">
        <v>3</v>
      </c>
      <c r="O14948" t="s">
        <v>12107</v>
      </c>
    </row>
    <row r="14949" spans="1:15">
      <c r="A14949" t="s">
        <v>29918</v>
      </c>
      <c r="B14949" t="s">
        <v>10597</v>
      </c>
      <c r="C14949" t="s">
        <v>26495</v>
      </c>
      <c r="D14949" t="s">
        <v>48526</v>
      </c>
      <c r="E14949" t="b">
        <v>0</v>
      </c>
      <c r="F14949" t="s">
        <v>11622</v>
      </c>
      <c r="L14949">
        <v>1</v>
      </c>
      <c r="M14949">
        <v>3</v>
      </c>
      <c r="N14949">
        <v>0</v>
      </c>
    </row>
    <row r="14950" spans="1:15">
      <c r="A14950" t="s">
        <v>12986</v>
      </c>
      <c r="B14950" t="s">
        <v>10597</v>
      </c>
      <c r="C14950" t="s">
        <v>12968</v>
      </c>
      <c r="D14950" t="s">
        <v>48527</v>
      </c>
      <c r="E14950" t="b">
        <v>0</v>
      </c>
      <c r="F14950" t="s">
        <v>11622</v>
      </c>
      <c r="L14950">
        <v>8</v>
      </c>
      <c r="M14950">
        <v>16</v>
      </c>
      <c r="N14950">
        <v>7</v>
      </c>
    </row>
    <row r="14951" spans="1:15">
      <c r="A14951" t="s">
        <v>34844</v>
      </c>
      <c r="B14951" t="s">
        <v>10597</v>
      </c>
      <c r="C14951" t="s">
        <v>48528</v>
      </c>
      <c r="D14951" t="s">
        <v>48529</v>
      </c>
      <c r="E14951" t="b">
        <v>0</v>
      </c>
      <c r="F14951" t="s">
        <v>11622</v>
      </c>
      <c r="L14951">
        <v>0</v>
      </c>
      <c r="M14951">
        <v>3</v>
      </c>
      <c r="N14951">
        <v>0</v>
      </c>
    </row>
    <row r="14952" spans="1:15">
      <c r="A14952" t="s">
        <v>30138</v>
      </c>
      <c r="B14952" t="s">
        <v>10597</v>
      </c>
      <c r="C14952" t="s">
        <v>48530</v>
      </c>
      <c r="D14952" t="s">
        <v>48531</v>
      </c>
      <c r="E14952" t="b">
        <v>0</v>
      </c>
      <c r="F14952" t="s">
        <v>11624</v>
      </c>
      <c r="G14952">
        <v>-34.85</v>
      </c>
      <c r="H14952">
        <v>149.1</v>
      </c>
      <c r="L14952">
        <v>0</v>
      </c>
      <c r="M14952">
        <v>0</v>
      </c>
      <c r="N14952">
        <v>2</v>
      </c>
      <c r="O14952" t="s">
        <v>12107</v>
      </c>
    </row>
    <row r="14953" spans="1:15">
      <c r="A14953" t="s">
        <v>24685</v>
      </c>
      <c r="B14953" t="s">
        <v>10597</v>
      </c>
      <c r="C14953" t="s">
        <v>48530</v>
      </c>
      <c r="D14953" t="s">
        <v>48532</v>
      </c>
      <c r="E14953" t="b">
        <v>0</v>
      </c>
      <c r="F14953" t="s">
        <v>11622</v>
      </c>
      <c r="L14953">
        <v>0</v>
      </c>
      <c r="M14953">
        <v>2</v>
      </c>
      <c r="N14953">
        <v>1</v>
      </c>
    </row>
    <row r="14954" spans="1:15">
      <c r="A14954" t="s">
        <v>48533</v>
      </c>
      <c r="B14954" t="s">
        <v>17023</v>
      </c>
      <c r="C14954" t="s">
        <v>26032</v>
      </c>
      <c r="D14954" t="s">
        <v>48534</v>
      </c>
      <c r="E14954" t="b">
        <v>0</v>
      </c>
      <c r="F14954" t="s">
        <v>11610</v>
      </c>
      <c r="L14954">
        <v>0</v>
      </c>
      <c r="M14954">
        <v>0</v>
      </c>
      <c r="N14954">
        <v>0</v>
      </c>
    </row>
    <row r="14955" spans="1:15">
      <c r="A14955" t="s">
        <v>48535</v>
      </c>
      <c r="B14955" t="s">
        <v>6742</v>
      </c>
      <c r="C14955" t="s">
        <v>26042</v>
      </c>
      <c r="D14955" t="s">
        <v>48536</v>
      </c>
      <c r="E14955" t="b">
        <v>0</v>
      </c>
      <c r="F14955" t="s">
        <v>11610</v>
      </c>
      <c r="L14955">
        <v>0</v>
      </c>
      <c r="M14955">
        <v>0</v>
      </c>
      <c r="N14955">
        <v>0</v>
      </c>
    </row>
    <row r="14956" spans="1:15">
      <c r="A14956" t="s">
        <v>34508</v>
      </c>
      <c r="B14956" t="s">
        <v>6742</v>
      </c>
      <c r="C14956" t="s">
        <v>36702</v>
      </c>
      <c r="D14956" t="s">
        <v>48537</v>
      </c>
      <c r="E14956" t="b">
        <v>0</v>
      </c>
      <c r="F14956" t="s">
        <v>11624</v>
      </c>
      <c r="G14956">
        <v>8.7283000000000008</v>
      </c>
      <c r="H14956">
        <v>-10.4063</v>
      </c>
      <c r="I14956" t="s">
        <v>48538</v>
      </c>
      <c r="L14956">
        <v>0</v>
      </c>
      <c r="M14956">
        <v>0</v>
      </c>
      <c r="N14956">
        <v>4</v>
      </c>
      <c r="O14956" t="s">
        <v>16572</v>
      </c>
    </row>
    <row r="14957" spans="1:15">
      <c r="A14957" t="s">
        <v>14037</v>
      </c>
      <c r="B14957" t="s">
        <v>6742</v>
      </c>
      <c r="C14957" t="s">
        <v>18344</v>
      </c>
      <c r="D14957" t="s">
        <v>48539</v>
      </c>
      <c r="E14957" t="b">
        <v>0</v>
      </c>
      <c r="F14957" t="s">
        <v>11622</v>
      </c>
      <c r="L14957">
        <v>1</v>
      </c>
      <c r="M14957">
        <v>5</v>
      </c>
      <c r="N14957">
        <v>11</v>
      </c>
    </row>
    <row r="14958" spans="1:15">
      <c r="A14958" t="s">
        <v>48540</v>
      </c>
      <c r="B14958" t="s">
        <v>6742</v>
      </c>
      <c r="C14958" t="s">
        <v>22944</v>
      </c>
      <c r="D14958" t="s">
        <v>48541</v>
      </c>
      <c r="E14958" t="b">
        <v>0</v>
      </c>
      <c r="F14958" t="s">
        <v>11610</v>
      </c>
      <c r="L14958">
        <v>0</v>
      </c>
      <c r="M14958">
        <v>0</v>
      </c>
      <c r="N14958">
        <v>0</v>
      </c>
    </row>
    <row r="14959" spans="1:15">
      <c r="A14959" t="s">
        <v>19695</v>
      </c>
      <c r="B14959" t="s">
        <v>6742</v>
      </c>
      <c r="C14959" t="s">
        <v>11991</v>
      </c>
      <c r="D14959" t="s">
        <v>48542</v>
      </c>
      <c r="E14959" t="b">
        <v>0</v>
      </c>
      <c r="F14959" t="s">
        <v>11624</v>
      </c>
      <c r="G14959">
        <v>9.9248999999999992</v>
      </c>
      <c r="H14959">
        <v>13.656700000000001</v>
      </c>
      <c r="I14959" t="s">
        <v>48543</v>
      </c>
      <c r="L14959">
        <v>0</v>
      </c>
      <c r="M14959">
        <v>0</v>
      </c>
      <c r="N14959">
        <v>3</v>
      </c>
      <c r="O14959" t="s">
        <v>11703</v>
      </c>
    </row>
    <row r="14960" spans="1:15">
      <c r="A14960" t="s">
        <v>48544</v>
      </c>
      <c r="B14960" t="s">
        <v>6742</v>
      </c>
      <c r="C14960" t="s">
        <v>27703</v>
      </c>
      <c r="D14960" t="s">
        <v>48545</v>
      </c>
      <c r="E14960" t="b">
        <v>0</v>
      </c>
      <c r="F14960" t="s">
        <v>11610</v>
      </c>
      <c r="L14960">
        <v>0</v>
      </c>
      <c r="M14960">
        <v>0</v>
      </c>
      <c r="N14960">
        <v>0</v>
      </c>
    </row>
    <row r="14961" spans="1:15">
      <c r="A14961" t="s">
        <v>23956</v>
      </c>
      <c r="B14961" t="s">
        <v>6742</v>
      </c>
      <c r="C14961" t="s">
        <v>21457</v>
      </c>
      <c r="D14961" t="s">
        <v>48546</v>
      </c>
      <c r="E14961" t="b">
        <v>0</v>
      </c>
      <c r="F14961" t="s">
        <v>11622</v>
      </c>
      <c r="L14961">
        <v>3</v>
      </c>
      <c r="M14961">
        <v>7</v>
      </c>
      <c r="N14961">
        <v>8</v>
      </c>
    </row>
    <row r="14962" spans="1:15">
      <c r="A14962" t="s">
        <v>48547</v>
      </c>
      <c r="B14962" t="s">
        <v>6742</v>
      </c>
      <c r="C14962" t="s">
        <v>24479</v>
      </c>
      <c r="D14962" t="s">
        <v>48548</v>
      </c>
      <c r="E14962" t="b">
        <v>0</v>
      </c>
      <c r="F14962" t="s">
        <v>11624</v>
      </c>
      <c r="G14962">
        <v>3.5635699999999999</v>
      </c>
      <c r="H14962">
        <v>21.852509999999999</v>
      </c>
      <c r="I14962" t="s">
        <v>48549</v>
      </c>
      <c r="L14962">
        <v>0</v>
      </c>
      <c r="M14962">
        <v>0</v>
      </c>
      <c r="N14962">
        <v>0</v>
      </c>
      <c r="O14962" t="s">
        <v>13069</v>
      </c>
    </row>
    <row r="14963" spans="1:15">
      <c r="A14963" t="s">
        <v>7100</v>
      </c>
      <c r="B14963" t="s">
        <v>6742</v>
      </c>
      <c r="C14963" t="s">
        <v>19178</v>
      </c>
      <c r="D14963" t="s">
        <v>48550</v>
      </c>
      <c r="E14963" t="b">
        <v>0</v>
      </c>
      <c r="F14963" t="s">
        <v>11624</v>
      </c>
      <c r="G14963">
        <v>5.9503000000000004</v>
      </c>
      <c r="H14963">
        <v>15.2569</v>
      </c>
      <c r="I14963" t="s">
        <v>7101</v>
      </c>
      <c r="L14963">
        <v>0</v>
      </c>
      <c r="M14963">
        <v>0</v>
      </c>
      <c r="N14963">
        <v>10</v>
      </c>
      <c r="O14963" t="s">
        <v>48551</v>
      </c>
    </row>
    <row r="14964" spans="1:15">
      <c r="A14964" t="s">
        <v>48552</v>
      </c>
      <c r="B14964" t="s">
        <v>6742</v>
      </c>
      <c r="C14964" t="s">
        <v>15566</v>
      </c>
      <c r="D14964" t="s">
        <v>48553</v>
      </c>
      <c r="E14964" t="b">
        <v>0</v>
      </c>
      <c r="F14964" t="s">
        <v>11610</v>
      </c>
      <c r="L14964">
        <v>0</v>
      </c>
      <c r="M14964">
        <v>0</v>
      </c>
      <c r="N14964">
        <v>0</v>
      </c>
    </row>
    <row r="14965" spans="1:15">
      <c r="A14965" t="s">
        <v>20729</v>
      </c>
      <c r="B14965" t="s">
        <v>6742</v>
      </c>
      <c r="C14965" t="s">
        <v>21810</v>
      </c>
      <c r="D14965" t="s">
        <v>48554</v>
      </c>
      <c r="E14965" t="b">
        <v>0</v>
      </c>
      <c r="F14965" t="s">
        <v>11622</v>
      </c>
      <c r="L14965">
        <v>35</v>
      </c>
      <c r="M14965">
        <v>39</v>
      </c>
      <c r="N14965">
        <v>79</v>
      </c>
    </row>
    <row r="14966" spans="1:15">
      <c r="A14966" t="s">
        <v>48555</v>
      </c>
      <c r="B14966" t="s">
        <v>6742</v>
      </c>
      <c r="C14966" t="s">
        <v>21462</v>
      </c>
      <c r="D14966" t="s">
        <v>48556</v>
      </c>
      <c r="E14966" t="b">
        <v>0</v>
      </c>
      <c r="F14966" t="s">
        <v>11610</v>
      </c>
      <c r="L14966">
        <v>0</v>
      </c>
      <c r="M14966">
        <v>0</v>
      </c>
      <c r="N14966">
        <v>0</v>
      </c>
    </row>
    <row r="14967" spans="1:15">
      <c r="A14967" t="s">
        <v>40414</v>
      </c>
      <c r="B14967" t="s">
        <v>6742</v>
      </c>
      <c r="C14967" t="s">
        <v>18776</v>
      </c>
      <c r="D14967" t="s">
        <v>48557</v>
      </c>
      <c r="E14967" t="b">
        <v>0</v>
      </c>
      <c r="F14967" t="s">
        <v>11624</v>
      </c>
      <c r="G14967">
        <v>11.0441</v>
      </c>
      <c r="H14967">
        <v>-3.0124</v>
      </c>
      <c r="I14967" t="s">
        <v>48558</v>
      </c>
      <c r="L14967">
        <v>0</v>
      </c>
      <c r="M14967">
        <v>0</v>
      </c>
      <c r="N14967">
        <v>3</v>
      </c>
      <c r="O14967" t="s">
        <v>27727</v>
      </c>
    </row>
    <row r="14968" spans="1:15">
      <c r="A14968" t="s">
        <v>19789</v>
      </c>
      <c r="B14968" t="s">
        <v>6742</v>
      </c>
      <c r="C14968" t="s">
        <v>30693</v>
      </c>
      <c r="D14968" t="s">
        <v>48559</v>
      </c>
      <c r="E14968" t="b">
        <v>0</v>
      </c>
      <c r="F14968" t="s">
        <v>11610</v>
      </c>
      <c r="L14968">
        <v>0</v>
      </c>
      <c r="M14968">
        <v>0</v>
      </c>
      <c r="N14968">
        <v>2</v>
      </c>
    </row>
    <row r="14969" spans="1:15">
      <c r="A14969" t="s">
        <v>34364</v>
      </c>
      <c r="B14969" t="s">
        <v>6742</v>
      </c>
      <c r="C14969" t="s">
        <v>26539</v>
      </c>
      <c r="D14969" t="s">
        <v>48560</v>
      </c>
      <c r="E14969" t="b">
        <v>0</v>
      </c>
      <c r="F14969" t="s">
        <v>11622</v>
      </c>
      <c r="L14969">
        <v>2</v>
      </c>
      <c r="M14969">
        <v>6</v>
      </c>
      <c r="N14969">
        <v>22</v>
      </c>
    </row>
    <row r="14970" spans="1:15">
      <c r="A14970" t="s">
        <v>48561</v>
      </c>
      <c r="B14970" t="s">
        <v>6742</v>
      </c>
      <c r="C14970" t="s">
        <v>21465</v>
      </c>
      <c r="D14970" t="s">
        <v>48562</v>
      </c>
      <c r="E14970" t="b">
        <v>0</v>
      </c>
      <c r="F14970" t="s">
        <v>11610</v>
      </c>
      <c r="L14970">
        <v>0</v>
      </c>
      <c r="M14970">
        <v>0</v>
      </c>
      <c r="N14970">
        <v>0</v>
      </c>
    </row>
    <row r="14971" spans="1:15">
      <c r="A14971" t="s">
        <v>48563</v>
      </c>
      <c r="B14971" t="s">
        <v>6742</v>
      </c>
      <c r="C14971" t="s">
        <v>48564</v>
      </c>
      <c r="D14971" t="s">
        <v>48565</v>
      </c>
      <c r="E14971" t="b">
        <v>0</v>
      </c>
      <c r="F14971" t="s">
        <v>11624</v>
      </c>
      <c r="G14971">
        <v>12.131</v>
      </c>
      <c r="H14971">
        <v>-2.9820600000000002</v>
      </c>
      <c r="I14971" t="s">
        <v>48566</v>
      </c>
      <c r="L14971">
        <v>0</v>
      </c>
      <c r="M14971">
        <v>0</v>
      </c>
      <c r="N14971">
        <v>2</v>
      </c>
      <c r="O14971" t="s">
        <v>19305</v>
      </c>
    </row>
    <row r="14972" spans="1:15">
      <c r="A14972" t="s">
        <v>48567</v>
      </c>
      <c r="B14972" t="s">
        <v>6742</v>
      </c>
      <c r="C14972" t="s">
        <v>48563</v>
      </c>
      <c r="D14972" t="s">
        <v>48568</v>
      </c>
      <c r="E14972" t="b">
        <v>0</v>
      </c>
      <c r="F14972" t="s">
        <v>11610</v>
      </c>
      <c r="L14972">
        <v>0</v>
      </c>
      <c r="M14972">
        <v>0</v>
      </c>
      <c r="N14972">
        <v>0</v>
      </c>
    </row>
    <row r="14973" spans="1:15">
      <c r="A14973" t="s">
        <v>48569</v>
      </c>
      <c r="B14973" t="s">
        <v>6742</v>
      </c>
      <c r="C14973" t="s">
        <v>48563</v>
      </c>
      <c r="D14973" t="s">
        <v>48570</v>
      </c>
      <c r="E14973" t="b">
        <v>0</v>
      </c>
      <c r="F14973" t="s">
        <v>11610</v>
      </c>
      <c r="L14973">
        <v>0</v>
      </c>
      <c r="M14973">
        <v>0</v>
      </c>
      <c r="N14973">
        <v>0</v>
      </c>
    </row>
    <row r="14974" spans="1:15">
      <c r="A14974" t="s">
        <v>35665</v>
      </c>
      <c r="B14974" t="s">
        <v>6742</v>
      </c>
      <c r="C14974" t="s">
        <v>48571</v>
      </c>
      <c r="D14974" t="s">
        <v>48572</v>
      </c>
      <c r="E14974" t="b">
        <v>0</v>
      </c>
      <c r="F14974" t="s">
        <v>11624</v>
      </c>
      <c r="G14974">
        <v>11.132999999999999</v>
      </c>
      <c r="H14974">
        <v>-4.8827400000000001</v>
      </c>
      <c r="I14974" t="s">
        <v>48573</v>
      </c>
      <c r="L14974">
        <v>0</v>
      </c>
      <c r="M14974">
        <v>0</v>
      </c>
      <c r="N14974">
        <v>4</v>
      </c>
      <c r="O14974" t="s">
        <v>19305</v>
      </c>
    </row>
    <row r="14975" spans="1:15">
      <c r="A14975" t="s">
        <v>37454</v>
      </c>
      <c r="B14975" t="s">
        <v>6742</v>
      </c>
      <c r="C14975" t="s">
        <v>21467</v>
      </c>
      <c r="D14975" t="s">
        <v>48574</v>
      </c>
      <c r="E14975" t="b">
        <v>0</v>
      </c>
      <c r="F14975" t="s">
        <v>11622</v>
      </c>
      <c r="L14975">
        <v>4</v>
      </c>
      <c r="M14975">
        <v>7</v>
      </c>
      <c r="N14975">
        <v>18</v>
      </c>
    </row>
    <row r="14976" spans="1:15">
      <c r="A14976" t="s">
        <v>4133</v>
      </c>
      <c r="B14976" t="s">
        <v>6742</v>
      </c>
      <c r="C14976" t="s">
        <v>47576</v>
      </c>
      <c r="D14976" t="s">
        <v>48575</v>
      </c>
      <c r="E14976" t="b">
        <v>0</v>
      </c>
      <c r="F14976" t="s">
        <v>11624</v>
      </c>
      <c r="G14976">
        <v>-20.251300000000001</v>
      </c>
      <c r="H14976">
        <v>27.409600000000001</v>
      </c>
      <c r="I14976" t="s">
        <v>4134</v>
      </c>
      <c r="L14976">
        <v>0</v>
      </c>
      <c r="M14976">
        <v>0</v>
      </c>
      <c r="N14976">
        <v>0</v>
      </c>
      <c r="O14976" t="s">
        <v>48576</v>
      </c>
    </row>
    <row r="14977" spans="1:15">
      <c r="A14977" t="s">
        <v>48577</v>
      </c>
      <c r="B14977" t="s">
        <v>6742</v>
      </c>
      <c r="C14977" t="s">
        <v>29044</v>
      </c>
      <c r="D14977" t="s">
        <v>48578</v>
      </c>
      <c r="E14977" t="b">
        <v>0</v>
      </c>
      <c r="F14977" t="s">
        <v>11610</v>
      </c>
      <c r="L14977">
        <v>0</v>
      </c>
      <c r="M14977">
        <v>0</v>
      </c>
      <c r="N14977">
        <v>0</v>
      </c>
    </row>
    <row r="14978" spans="1:15">
      <c r="A14978" t="s">
        <v>48579</v>
      </c>
      <c r="B14978" t="s">
        <v>6742</v>
      </c>
      <c r="C14978" t="s">
        <v>29219</v>
      </c>
      <c r="D14978" t="s">
        <v>48580</v>
      </c>
      <c r="E14978" t="b">
        <v>0</v>
      </c>
      <c r="F14978" t="s">
        <v>11610</v>
      </c>
      <c r="L14978">
        <v>0</v>
      </c>
      <c r="M14978">
        <v>0</v>
      </c>
      <c r="N14978">
        <v>0</v>
      </c>
    </row>
    <row r="14979" spans="1:15">
      <c r="A14979" t="s">
        <v>48581</v>
      </c>
      <c r="B14979" t="s">
        <v>6742</v>
      </c>
      <c r="C14979" t="s">
        <v>34566</v>
      </c>
      <c r="D14979" t="s">
        <v>48582</v>
      </c>
      <c r="E14979" t="b">
        <v>0</v>
      </c>
      <c r="F14979" t="s">
        <v>11610</v>
      </c>
      <c r="L14979">
        <v>0</v>
      </c>
      <c r="M14979">
        <v>0</v>
      </c>
      <c r="N14979">
        <v>0</v>
      </c>
    </row>
    <row r="14980" spans="1:15">
      <c r="A14980" t="s">
        <v>48583</v>
      </c>
      <c r="B14980" t="s">
        <v>6742</v>
      </c>
      <c r="C14980" t="s">
        <v>43216</v>
      </c>
      <c r="D14980" t="s">
        <v>48584</v>
      </c>
      <c r="E14980" t="b">
        <v>0</v>
      </c>
      <c r="F14980" t="s">
        <v>11610</v>
      </c>
      <c r="L14980">
        <v>0</v>
      </c>
      <c r="M14980">
        <v>0</v>
      </c>
      <c r="N14980">
        <v>0</v>
      </c>
    </row>
    <row r="14981" spans="1:15">
      <c r="A14981" t="s">
        <v>48585</v>
      </c>
      <c r="B14981" t="s">
        <v>6742</v>
      </c>
      <c r="C14981" t="s">
        <v>21485</v>
      </c>
      <c r="D14981" t="s">
        <v>48586</v>
      </c>
      <c r="E14981" t="b">
        <v>0</v>
      </c>
      <c r="F14981" t="s">
        <v>11610</v>
      </c>
      <c r="L14981">
        <v>0</v>
      </c>
      <c r="M14981">
        <v>0</v>
      </c>
      <c r="N14981">
        <v>0</v>
      </c>
    </row>
    <row r="14982" spans="1:15">
      <c r="A14982" t="s">
        <v>48587</v>
      </c>
      <c r="B14982" t="s">
        <v>6742</v>
      </c>
      <c r="C14982" t="s">
        <v>19362</v>
      </c>
      <c r="D14982" t="s">
        <v>48588</v>
      </c>
      <c r="E14982" t="b">
        <v>0</v>
      </c>
      <c r="F14982" t="s">
        <v>11610</v>
      </c>
      <c r="L14982">
        <v>0</v>
      </c>
      <c r="M14982">
        <v>0</v>
      </c>
      <c r="N14982">
        <v>0</v>
      </c>
    </row>
    <row r="14983" spans="1:15">
      <c r="A14983" t="s">
        <v>48589</v>
      </c>
      <c r="B14983" t="s">
        <v>6742</v>
      </c>
      <c r="C14983" t="s">
        <v>12787</v>
      </c>
      <c r="D14983" t="s">
        <v>48590</v>
      </c>
      <c r="E14983" t="b">
        <v>0</v>
      </c>
      <c r="F14983" t="s">
        <v>11610</v>
      </c>
      <c r="L14983">
        <v>0</v>
      </c>
      <c r="M14983">
        <v>0</v>
      </c>
      <c r="N14983">
        <v>0</v>
      </c>
    </row>
    <row r="14984" spans="1:15">
      <c r="A14984" t="s">
        <v>48591</v>
      </c>
      <c r="B14984" t="s">
        <v>6742</v>
      </c>
      <c r="C14984" t="s">
        <v>19976</v>
      </c>
      <c r="D14984" t="s">
        <v>48592</v>
      </c>
      <c r="E14984" t="b">
        <v>0</v>
      </c>
      <c r="F14984" t="s">
        <v>11610</v>
      </c>
      <c r="L14984">
        <v>0</v>
      </c>
      <c r="M14984">
        <v>0</v>
      </c>
      <c r="N14984">
        <v>0</v>
      </c>
    </row>
    <row r="14985" spans="1:15">
      <c r="A14985" t="s">
        <v>48593</v>
      </c>
      <c r="B14985" t="s">
        <v>6742</v>
      </c>
      <c r="C14985" t="s">
        <v>15691</v>
      </c>
      <c r="D14985" t="s">
        <v>48594</v>
      </c>
      <c r="E14985" t="b">
        <v>0</v>
      </c>
      <c r="F14985" t="s">
        <v>11610</v>
      </c>
      <c r="L14985">
        <v>0</v>
      </c>
      <c r="M14985">
        <v>0</v>
      </c>
      <c r="N14985">
        <v>0</v>
      </c>
    </row>
    <row r="14986" spans="1:15">
      <c r="A14986" t="s">
        <v>38946</v>
      </c>
      <c r="B14986" t="s">
        <v>6742</v>
      </c>
      <c r="C14986" t="s">
        <v>20801</v>
      </c>
      <c r="D14986" t="s">
        <v>48595</v>
      </c>
      <c r="E14986" t="b">
        <v>0</v>
      </c>
      <c r="F14986" t="s">
        <v>11610</v>
      </c>
      <c r="L14986">
        <v>0</v>
      </c>
      <c r="M14986">
        <v>0</v>
      </c>
      <c r="N14986">
        <v>5</v>
      </c>
    </row>
    <row r="14987" spans="1:15">
      <c r="A14987" t="s">
        <v>48596</v>
      </c>
      <c r="B14987" t="s">
        <v>6742</v>
      </c>
      <c r="C14987" t="s">
        <v>12683</v>
      </c>
      <c r="D14987" t="s">
        <v>48597</v>
      </c>
      <c r="E14987" t="b">
        <v>0</v>
      </c>
      <c r="F14987" t="s">
        <v>11610</v>
      </c>
      <c r="L14987">
        <v>0</v>
      </c>
      <c r="M14987">
        <v>0</v>
      </c>
      <c r="N14987">
        <v>0</v>
      </c>
    </row>
    <row r="14988" spans="1:15">
      <c r="A14988" t="s">
        <v>48598</v>
      </c>
      <c r="B14988" t="s">
        <v>6742</v>
      </c>
      <c r="C14988" t="s">
        <v>48599</v>
      </c>
      <c r="D14988" t="s">
        <v>48600</v>
      </c>
      <c r="E14988" t="b">
        <v>0</v>
      </c>
      <c r="F14988" t="s">
        <v>11610</v>
      </c>
      <c r="L14988">
        <v>0</v>
      </c>
      <c r="M14988">
        <v>0</v>
      </c>
      <c r="N14988">
        <v>0</v>
      </c>
    </row>
    <row r="14989" spans="1:15">
      <c r="A14989" t="s">
        <v>22382</v>
      </c>
      <c r="B14989" t="s">
        <v>6742</v>
      </c>
      <c r="C14989" t="s">
        <v>17012</v>
      </c>
      <c r="D14989" t="s">
        <v>48601</v>
      </c>
      <c r="E14989" t="b">
        <v>0</v>
      </c>
      <c r="F14989" t="s">
        <v>11624</v>
      </c>
      <c r="G14989">
        <v>5.17103</v>
      </c>
      <c r="H14989">
        <v>-8.1409000000000002</v>
      </c>
      <c r="I14989" t="s">
        <v>48602</v>
      </c>
      <c r="L14989">
        <v>0</v>
      </c>
      <c r="M14989">
        <v>0</v>
      </c>
      <c r="N14989">
        <v>14</v>
      </c>
      <c r="O14989" t="s">
        <v>23855</v>
      </c>
    </row>
    <row r="14990" spans="1:15">
      <c r="A14990" t="s">
        <v>36008</v>
      </c>
      <c r="B14990" t="s">
        <v>6742</v>
      </c>
      <c r="C14990" t="s">
        <v>22382</v>
      </c>
      <c r="D14990" t="s">
        <v>48603</v>
      </c>
      <c r="E14990" t="b">
        <v>0</v>
      </c>
      <c r="F14990" t="s">
        <v>11610</v>
      </c>
      <c r="L14990">
        <v>0</v>
      </c>
      <c r="M14990">
        <v>0</v>
      </c>
      <c r="N14990">
        <v>5</v>
      </c>
    </row>
    <row r="14991" spans="1:15">
      <c r="A14991" t="s">
        <v>48604</v>
      </c>
      <c r="B14991" t="s">
        <v>11729</v>
      </c>
      <c r="C14991" t="s">
        <v>12635</v>
      </c>
      <c r="D14991" t="s">
        <v>48605</v>
      </c>
      <c r="E14991" t="b">
        <v>0</v>
      </c>
      <c r="F14991" t="s">
        <v>11610</v>
      </c>
      <c r="L14991">
        <v>0</v>
      </c>
      <c r="M14991">
        <v>0</v>
      </c>
      <c r="N14991">
        <v>0</v>
      </c>
    </row>
    <row r="14992" spans="1:15">
      <c r="A14992" t="s">
        <v>48606</v>
      </c>
      <c r="B14992" t="s">
        <v>11757</v>
      </c>
      <c r="C14992" t="s">
        <v>48607</v>
      </c>
      <c r="D14992" t="s">
        <v>48608</v>
      </c>
      <c r="E14992" t="b">
        <v>0</v>
      </c>
      <c r="F14992" t="s">
        <v>11610</v>
      </c>
      <c r="L14992">
        <v>0</v>
      </c>
      <c r="M14992">
        <v>0</v>
      </c>
      <c r="N14992">
        <v>0</v>
      </c>
    </row>
    <row r="14993" spans="1:15">
      <c r="A14993" t="s">
        <v>14032</v>
      </c>
      <c r="B14993" t="s">
        <v>11757</v>
      </c>
      <c r="C14993" t="s">
        <v>20531</v>
      </c>
      <c r="D14993" t="s">
        <v>48609</v>
      </c>
      <c r="E14993" t="b">
        <v>0</v>
      </c>
      <c r="F14993" t="s">
        <v>11622</v>
      </c>
      <c r="L14993">
        <v>0</v>
      </c>
      <c r="M14993">
        <v>6</v>
      </c>
      <c r="N14993">
        <v>7</v>
      </c>
    </row>
    <row r="14994" spans="1:15">
      <c r="A14994" t="s">
        <v>6594</v>
      </c>
      <c r="B14994" t="s">
        <v>11757</v>
      </c>
      <c r="C14994" t="s">
        <v>3240</v>
      </c>
      <c r="D14994" t="s">
        <v>48610</v>
      </c>
      <c r="E14994" t="b">
        <v>0</v>
      </c>
      <c r="F14994" t="s">
        <v>11624</v>
      </c>
      <c r="G14994">
        <v>9.2799499999999995</v>
      </c>
      <c r="H14994">
        <v>31.839200000000002</v>
      </c>
      <c r="I14994" t="s">
        <v>48611</v>
      </c>
      <c r="L14994">
        <v>0</v>
      </c>
      <c r="M14994">
        <v>0</v>
      </c>
      <c r="N14994">
        <v>7</v>
      </c>
      <c r="O14994" t="s">
        <v>11910</v>
      </c>
    </row>
    <row r="14995" spans="1:15">
      <c r="A14995" t="s">
        <v>13126</v>
      </c>
      <c r="B14995" t="s">
        <v>11757</v>
      </c>
      <c r="C14995" t="s">
        <v>3240</v>
      </c>
      <c r="D14995" t="s">
        <v>48612</v>
      </c>
      <c r="E14995" t="b">
        <v>0</v>
      </c>
      <c r="F14995" t="s">
        <v>11624</v>
      </c>
      <c r="G14995">
        <v>9.8148400000000002</v>
      </c>
      <c r="H14995">
        <v>29.299800000000001</v>
      </c>
      <c r="I14995" t="s">
        <v>48613</v>
      </c>
      <c r="L14995">
        <v>0</v>
      </c>
      <c r="M14995">
        <v>0</v>
      </c>
      <c r="N14995">
        <v>4</v>
      </c>
      <c r="O14995" t="s">
        <v>11910</v>
      </c>
    </row>
    <row r="14996" spans="1:15">
      <c r="A14996" t="s">
        <v>48614</v>
      </c>
      <c r="B14996" t="s">
        <v>11780</v>
      </c>
      <c r="C14996" t="s">
        <v>24146</v>
      </c>
      <c r="D14996" t="s">
        <v>48615</v>
      </c>
      <c r="E14996" t="b">
        <v>0</v>
      </c>
      <c r="F14996" t="s">
        <v>11610</v>
      </c>
      <c r="L14996">
        <v>0</v>
      </c>
      <c r="M14996">
        <v>0</v>
      </c>
      <c r="N14996">
        <v>0</v>
      </c>
    </row>
    <row r="14997" spans="1:15">
      <c r="A14997" t="s">
        <v>33413</v>
      </c>
      <c r="B14997" t="s">
        <v>13276</v>
      </c>
      <c r="C14997" t="s">
        <v>19019</v>
      </c>
      <c r="D14997" t="s">
        <v>48616</v>
      </c>
      <c r="E14997" t="b">
        <v>0</v>
      </c>
      <c r="F14997" t="s">
        <v>11624</v>
      </c>
      <c r="G14997">
        <v>12.418200000000001</v>
      </c>
      <c r="H14997">
        <v>-4.4753800000000004</v>
      </c>
      <c r="I14997" t="s">
        <v>48617</v>
      </c>
      <c r="L14997">
        <v>0</v>
      </c>
      <c r="M14997">
        <v>0</v>
      </c>
      <c r="N14997">
        <v>6</v>
      </c>
      <c r="O14997" t="s">
        <v>19384</v>
      </c>
    </row>
    <row r="14998" spans="1:15">
      <c r="A14998" t="s">
        <v>48618</v>
      </c>
      <c r="B14998" t="s">
        <v>13276</v>
      </c>
      <c r="C14998" t="s">
        <v>48619</v>
      </c>
      <c r="D14998" t="s">
        <v>48620</v>
      </c>
      <c r="E14998" t="b">
        <v>0</v>
      </c>
      <c r="F14998" t="s">
        <v>11610</v>
      </c>
      <c r="L14998">
        <v>0</v>
      </c>
      <c r="M14998">
        <v>0</v>
      </c>
      <c r="N14998">
        <v>0</v>
      </c>
    </row>
    <row r="14999" spans="1:15">
      <c r="A14999" t="s">
        <v>48621</v>
      </c>
      <c r="B14999" t="s">
        <v>13276</v>
      </c>
      <c r="C14999" t="s">
        <v>21513</v>
      </c>
      <c r="D14999" t="s">
        <v>48622</v>
      </c>
      <c r="E14999" t="b">
        <v>0</v>
      </c>
      <c r="F14999" t="s">
        <v>11610</v>
      </c>
      <c r="L14999">
        <v>0</v>
      </c>
      <c r="M14999">
        <v>0</v>
      </c>
      <c r="N14999">
        <v>0</v>
      </c>
    </row>
    <row r="15000" spans="1:15">
      <c r="A15000" t="s">
        <v>37675</v>
      </c>
      <c r="B15000" t="s">
        <v>12562</v>
      </c>
      <c r="C15000" t="s">
        <v>12562</v>
      </c>
      <c r="D15000" t="s">
        <v>48623</v>
      </c>
      <c r="E15000" t="b">
        <v>0</v>
      </c>
      <c r="F15000" t="s">
        <v>11622</v>
      </c>
      <c r="L15000">
        <v>1</v>
      </c>
      <c r="M15000">
        <v>5</v>
      </c>
      <c r="N15000">
        <v>4</v>
      </c>
    </row>
    <row r="15001" spans="1:15">
      <c r="A15001" t="s">
        <v>37408</v>
      </c>
      <c r="B15001" t="s">
        <v>12562</v>
      </c>
      <c r="C15001" t="s">
        <v>37675</v>
      </c>
      <c r="D15001" t="s">
        <v>48624</v>
      </c>
      <c r="E15001" t="b">
        <v>0</v>
      </c>
      <c r="F15001" t="s">
        <v>11622</v>
      </c>
      <c r="L15001">
        <v>0</v>
      </c>
      <c r="M15001">
        <v>4</v>
      </c>
      <c r="N15001">
        <v>2</v>
      </c>
    </row>
    <row r="15002" spans="1:15">
      <c r="A15002" t="s">
        <v>25123</v>
      </c>
      <c r="B15002" t="s">
        <v>1342</v>
      </c>
      <c r="C15002" t="s">
        <v>1342</v>
      </c>
      <c r="D15002" t="s">
        <v>48625</v>
      </c>
      <c r="E15002" t="b">
        <v>0</v>
      </c>
      <c r="F15002" t="s">
        <v>11622</v>
      </c>
      <c r="L15002">
        <v>2</v>
      </c>
      <c r="M15002">
        <v>5</v>
      </c>
      <c r="N15002">
        <v>3</v>
      </c>
    </row>
    <row r="15003" spans="1:15">
      <c r="A15003" t="s">
        <v>48626</v>
      </c>
      <c r="B15003" t="s">
        <v>21528</v>
      </c>
      <c r="C15003" t="s">
        <v>21529</v>
      </c>
      <c r="D15003" t="s">
        <v>48627</v>
      </c>
      <c r="E15003" t="b">
        <v>0</v>
      </c>
      <c r="F15003" t="s">
        <v>11610</v>
      </c>
      <c r="L15003">
        <v>0</v>
      </c>
      <c r="M15003">
        <v>0</v>
      </c>
      <c r="N15003">
        <v>0</v>
      </c>
    </row>
    <row r="15004" spans="1:15">
      <c r="A15004" t="s">
        <v>48628</v>
      </c>
      <c r="B15004" t="s">
        <v>367</v>
      </c>
      <c r="C15004" t="s">
        <v>13651</v>
      </c>
      <c r="D15004" t="s">
        <v>48629</v>
      </c>
      <c r="E15004" t="b">
        <v>0</v>
      </c>
      <c r="F15004" t="s">
        <v>11610</v>
      </c>
      <c r="L15004">
        <v>0</v>
      </c>
      <c r="M15004">
        <v>0</v>
      </c>
      <c r="N15004">
        <v>0</v>
      </c>
    </row>
    <row r="15005" spans="1:15">
      <c r="A15005" t="s">
        <v>48630</v>
      </c>
      <c r="B15005" t="s">
        <v>367</v>
      </c>
      <c r="C15005" t="s">
        <v>42059</v>
      </c>
      <c r="D15005" t="s">
        <v>48631</v>
      </c>
      <c r="E15005" t="b">
        <v>0</v>
      </c>
      <c r="F15005" t="s">
        <v>11624</v>
      </c>
      <c r="G15005">
        <v>-0.86436999999999997</v>
      </c>
      <c r="H15005">
        <v>128.32300000000001</v>
      </c>
      <c r="I15005" t="s">
        <v>48632</v>
      </c>
      <c r="L15005">
        <v>0</v>
      </c>
      <c r="M15005">
        <v>0</v>
      </c>
      <c r="N15005">
        <v>0</v>
      </c>
      <c r="O15005" t="s">
        <v>11768</v>
      </c>
    </row>
    <row r="15006" spans="1:15">
      <c r="A15006" t="s">
        <v>28776</v>
      </c>
      <c r="B15006" t="s">
        <v>367</v>
      </c>
      <c r="C15006" t="s">
        <v>4363</v>
      </c>
      <c r="D15006" t="s">
        <v>48633</v>
      </c>
      <c r="E15006" t="b">
        <v>0</v>
      </c>
      <c r="F15006" t="s">
        <v>11622</v>
      </c>
      <c r="L15006">
        <v>8</v>
      </c>
      <c r="M15006">
        <v>12</v>
      </c>
      <c r="N15006">
        <v>19</v>
      </c>
    </row>
    <row r="15007" spans="1:15">
      <c r="A15007" t="s">
        <v>48634</v>
      </c>
      <c r="B15007" t="s">
        <v>367</v>
      </c>
      <c r="C15007" t="s">
        <v>5322</v>
      </c>
      <c r="D15007" t="s">
        <v>48635</v>
      </c>
      <c r="E15007" t="b">
        <v>0</v>
      </c>
      <c r="F15007" t="s">
        <v>11610</v>
      </c>
      <c r="L15007">
        <v>0</v>
      </c>
      <c r="M15007">
        <v>0</v>
      </c>
      <c r="N15007">
        <v>0</v>
      </c>
    </row>
    <row r="15008" spans="1:15">
      <c r="A15008" t="s">
        <v>17359</v>
      </c>
      <c r="B15008" t="s">
        <v>367</v>
      </c>
      <c r="C15008" t="s">
        <v>48636</v>
      </c>
      <c r="D15008" t="s">
        <v>48637</v>
      </c>
      <c r="E15008" t="b">
        <v>0</v>
      </c>
      <c r="F15008" t="s">
        <v>11622</v>
      </c>
      <c r="L15008">
        <v>0</v>
      </c>
      <c r="M15008">
        <v>3</v>
      </c>
      <c r="N15008">
        <v>2</v>
      </c>
    </row>
    <row r="15009" spans="1:15">
      <c r="A15009" t="s">
        <v>29143</v>
      </c>
      <c r="B15009" t="s">
        <v>367</v>
      </c>
      <c r="C15009" t="s">
        <v>47395</v>
      </c>
      <c r="D15009" t="s">
        <v>48638</v>
      </c>
      <c r="E15009" t="b">
        <v>0</v>
      </c>
      <c r="F15009" t="s">
        <v>11622</v>
      </c>
      <c r="L15009">
        <v>0</v>
      </c>
      <c r="M15009">
        <v>3</v>
      </c>
      <c r="N15009">
        <v>10</v>
      </c>
    </row>
    <row r="15010" spans="1:15">
      <c r="A15010" t="s">
        <v>30064</v>
      </c>
      <c r="B15010" t="s">
        <v>367</v>
      </c>
      <c r="C15010" t="s">
        <v>42114</v>
      </c>
      <c r="D15010" t="s">
        <v>48639</v>
      </c>
      <c r="E15010" t="b">
        <v>0</v>
      </c>
      <c r="F15010" t="s">
        <v>11622</v>
      </c>
      <c r="L15010">
        <v>1</v>
      </c>
      <c r="M15010">
        <v>9</v>
      </c>
      <c r="N15010">
        <v>3</v>
      </c>
    </row>
    <row r="15011" spans="1:15">
      <c r="A15011" t="s">
        <v>20392</v>
      </c>
      <c r="B15011" t="s">
        <v>367</v>
      </c>
      <c r="C15011" t="s">
        <v>39764</v>
      </c>
      <c r="D15011" t="s">
        <v>48640</v>
      </c>
      <c r="E15011" t="b">
        <v>0</v>
      </c>
      <c r="F15011" t="s">
        <v>11624</v>
      </c>
      <c r="G15011">
        <v>-17.577400000000001</v>
      </c>
      <c r="H15011">
        <v>168.375</v>
      </c>
      <c r="I15011" t="s">
        <v>48641</v>
      </c>
      <c r="L15011">
        <v>0</v>
      </c>
      <c r="M15011">
        <v>0</v>
      </c>
      <c r="N15011">
        <v>6</v>
      </c>
      <c r="O15011" t="s">
        <v>12719</v>
      </c>
    </row>
    <row r="15012" spans="1:15">
      <c r="A15012" t="s">
        <v>48642</v>
      </c>
      <c r="B15012" t="s">
        <v>367</v>
      </c>
      <c r="C15012" t="s">
        <v>41585</v>
      </c>
      <c r="D15012" t="s">
        <v>48643</v>
      </c>
      <c r="E15012" t="b">
        <v>0</v>
      </c>
      <c r="F15012" t="s">
        <v>11610</v>
      </c>
      <c r="L15012">
        <v>0</v>
      </c>
      <c r="M15012">
        <v>0</v>
      </c>
      <c r="N15012">
        <v>0</v>
      </c>
    </row>
    <row r="15013" spans="1:15">
      <c r="A15013" t="s">
        <v>48644</v>
      </c>
      <c r="B15013" t="s">
        <v>367</v>
      </c>
      <c r="C15013" t="s">
        <v>48645</v>
      </c>
      <c r="D15013" t="s">
        <v>48646</v>
      </c>
      <c r="E15013" t="b">
        <v>0</v>
      </c>
      <c r="F15013" t="s">
        <v>11610</v>
      </c>
      <c r="L15013">
        <v>0</v>
      </c>
      <c r="M15013">
        <v>0</v>
      </c>
      <c r="N15013">
        <v>0</v>
      </c>
    </row>
    <row r="15014" spans="1:15">
      <c r="A15014" t="s">
        <v>41616</v>
      </c>
      <c r="B15014" t="s">
        <v>367</v>
      </c>
      <c r="C15014" t="s">
        <v>13402</v>
      </c>
      <c r="D15014" t="s">
        <v>48647</v>
      </c>
      <c r="E15014" t="b">
        <v>0</v>
      </c>
      <c r="F15014" t="s">
        <v>11624</v>
      </c>
      <c r="G15014">
        <v>-16.174099999999999</v>
      </c>
      <c r="H15014">
        <v>168.14</v>
      </c>
      <c r="I15014" t="s">
        <v>48648</v>
      </c>
      <c r="L15014">
        <v>0</v>
      </c>
      <c r="M15014">
        <v>0</v>
      </c>
      <c r="N15014">
        <v>2</v>
      </c>
      <c r="O15014" t="s">
        <v>12719</v>
      </c>
    </row>
    <row r="15015" spans="1:15">
      <c r="A15015" t="s">
        <v>48649</v>
      </c>
      <c r="B15015" t="s">
        <v>367</v>
      </c>
      <c r="C15015" t="s">
        <v>11080</v>
      </c>
      <c r="D15015" t="s">
        <v>48650</v>
      </c>
      <c r="E15015" t="b">
        <v>0</v>
      </c>
      <c r="F15015" t="s">
        <v>11610</v>
      </c>
      <c r="L15015">
        <v>0</v>
      </c>
      <c r="M15015">
        <v>0</v>
      </c>
      <c r="N15015">
        <v>0</v>
      </c>
    </row>
    <row r="15016" spans="1:15">
      <c r="A15016" t="s">
        <v>48651</v>
      </c>
      <c r="B15016" t="s">
        <v>367</v>
      </c>
      <c r="C15016" t="s">
        <v>11080</v>
      </c>
      <c r="D15016" t="s">
        <v>48652</v>
      </c>
      <c r="E15016" t="b">
        <v>0</v>
      </c>
      <c r="F15016" t="s">
        <v>11610</v>
      </c>
      <c r="L15016">
        <v>0</v>
      </c>
      <c r="M15016">
        <v>0</v>
      </c>
      <c r="N15016">
        <v>0</v>
      </c>
    </row>
    <row r="15017" spans="1:15">
      <c r="A15017" t="s">
        <v>48653</v>
      </c>
      <c r="B15017" t="s">
        <v>367</v>
      </c>
      <c r="C15017" t="s">
        <v>11067</v>
      </c>
      <c r="D15017" t="s">
        <v>48654</v>
      </c>
      <c r="E15017" t="b">
        <v>0</v>
      </c>
      <c r="F15017" t="s">
        <v>11610</v>
      </c>
      <c r="L15017">
        <v>0</v>
      </c>
      <c r="M15017">
        <v>0</v>
      </c>
      <c r="N15017">
        <v>0</v>
      </c>
    </row>
    <row r="15018" spans="1:15">
      <c r="A15018" t="s">
        <v>2795</v>
      </c>
      <c r="B15018" t="s">
        <v>367</v>
      </c>
      <c r="C15018" t="s">
        <v>2796</v>
      </c>
      <c r="D15018" t="s">
        <v>48655</v>
      </c>
      <c r="E15018" t="b">
        <v>0</v>
      </c>
      <c r="F15018" t="s">
        <v>11624</v>
      </c>
      <c r="G15018">
        <v>-8.8941199999999991</v>
      </c>
      <c r="H15018">
        <v>-140.108</v>
      </c>
      <c r="I15018" t="s">
        <v>2797</v>
      </c>
      <c r="L15018">
        <v>0</v>
      </c>
      <c r="M15018">
        <v>0</v>
      </c>
      <c r="N15018">
        <v>4</v>
      </c>
      <c r="O15018" t="s">
        <v>15193</v>
      </c>
    </row>
    <row r="15019" spans="1:15">
      <c r="A15019" t="s">
        <v>48656</v>
      </c>
      <c r="B15019" t="s">
        <v>367</v>
      </c>
      <c r="C15019" t="s">
        <v>1592</v>
      </c>
      <c r="D15019" t="s">
        <v>48657</v>
      </c>
      <c r="E15019" t="b">
        <v>0</v>
      </c>
      <c r="F15019" t="s">
        <v>11610</v>
      </c>
      <c r="L15019">
        <v>0</v>
      </c>
      <c r="M15019">
        <v>0</v>
      </c>
      <c r="N15019">
        <v>0</v>
      </c>
    </row>
    <row r="15020" spans="1:15">
      <c r="A15020" t="s">
        <v>26173</v>
      </c>
      <c r="B15020" t="s">
        <v>367</v>
      </c>
      <c r="C15020" t="s">
        <v>48658</v>
      </c>
      <c r="D15020" t="s">
        <v>48659</v>
      </c>
      <c r="E15020" t="b">
        <v>0</v>
      </c>
      <c r="F15020" t="s">
        <v>11624</v>
      </c>
      <c r="G15020">
        <v>-19.3733</v>
      </c>
      <c r="H15020">
        <v>169.303</v>
      </c>
      <c r="I15020" t="s">
        <v>48660</v>
      </c>
      <c r="L15020">
        <v>0</v>
      </c>
      <c r="M15020">
        <v>0</v>
      </c>
      <c r="N15020">
        <v>3</v>
      </c>
      <c r="O15020" t="s">
        <v>12719</v>
      </c>
    </row>
    <row r="15021" spans="1:15">
      <c r="A15021" t="s">
        <v>14042</v>
      </c>
      <c r="B15021" t="s">
        <v>367</v>
      </c>
      <c r="C15021" t="s">
        <v>41794</v>
      </c>
      <c r="D15021" t="s">
        <v>48661</v>
      </c>
      <c r="E15021" t="b">
        <v>0</v>
      </c>
      <c r="F15021" t="s">
        <v>11622</v>
      </c>
      <c r="L15021">
        <v>11</v>
      </c>
      <c r="M15021">
        <v>34</v>
      </c>
      <c r="N15021">
        <v>82</v>
      </c>
    </row>
    <row r="15022" spans="1:15">
      <c r="A15022" t="s">
        <v>48662</v>
      </c>
      <c r="B15022" t="s">
        <v>367</v>
      </c>
      <c r="C15022" t="s">
        <v>34285</v>
      </c>
      <c r="D15022" t="s">
        <v>48663</v>
      </c>
      <c r="E15022" t="b">
        <v>0</v>
      </c>
      <c r="F15022" t="s">
        <v>11610</v>
      </c>
      <c r="L15022">
        <v>0</v>
      </c>
      <c r="M15022">
        <v>0</v>
      </c>
      <c r="N15022">
        <v>0</v>
      </c>
    </row>
    <row r="15023" spans="1:15">
      <c r="A15023" t="s">
        <v>48664</v>
      </c>
      <c r="B15023" t="s">
        <v>367</v>
      </c>
      <c r="C15023" t="s">
        <v>7972</v>
      </c>
      <c r="D15023" t="s">
        <v>48665</v>
      </c>
      <c r="E15023" t="b">
        <v>0</v>
      </c>
      <c r="F15023" t="s">
        <v>11610</v>
      </c>
      <c r="L15023">
        <v>0</v>
      </c>
      <c r="M15023">
        <v>0</v>
      </c>
      <c r="N15023">
        <v>0</v>
      </c>
    </row>
    <row r="15024" spans="1:15">
      <c r="A15024" t="s">
        <v>48666</v>
      </c>
      <c r="B15024" t="s">
        <v>367</v>
      </c>
      <c r="C15024" t="s">
        <v>7972</v>
      </c>
      <c r="D15024" t="s">
        <v>48667</v>
      </c>
      <c r="E15024" t="b">
        <v>0</v>
      </c>
      <c r="F15024" t="s">
        <v>11610</v>
      </c>
      <c r="L15024">
        <v>0</v>
      </c>
      <c r="M15024">
        <v>0</v>
      </c>
      <c r="N15024">
        <v>0</v>
      </c>
    </row>
    <row r="15025" spans="1:15">
      <c r="A15025" t="s">
        <v>48668</v>
      </c>
      <c r="B15025" t="s">
        <v>367</v>
      </c>
      <c r="C15025" t="s">
        <v>43009</v>
      </c>
      <c r="D15025" t="s">
        <v>48669</v>
      </c>
      <c r="E15025" t="b">
        <v>0</v>
      </c>
      <c r="F15025" t="s">
        <v>11610</v>
      </c>
      <c r="L15025">
        <v>0</v>
      </c>
      <c r="M15025">
        <v>0</v>
      </c>
      <c r="N15025">
        <v>0</v>
      </c>
    </row>
    <row r="15026" spans="1:15">
      <c r="A15026" t="s">
        <v>48670</v>
      </c>
      <c r="B15026" t="s">
        <v>367</v>
      </c>
      <c r="C15026" t="s">
        <v>20600</v>
      </c>
      <c r="D15026" t="s">
        <v>48671</v>
      </c>
      <c r="E15026" t="b">
        <v>0</v>
      </c>
      <c r="F15026" t="s">
        <v>11610</v>
      </c>
      <c r="L15026">
        <v>0</v>
      </c>
      <c r="M15026">
        <v>0</v>
      </c>
      <c r="N15026">
        <v>0</v>
      </c>
    </row>
    <row r="15027" spans="1:15">
      <c r="A15027" t="s">
        <v>48672</v>
      </c>
      <c r="B15027" t="s">
        <v>367</v>
      </c>
      <c r="C15027" t="s">
        <v>28714</v>
      </c>
      <c r="D15027" t="s">
        <v>48673</v>
      </c>
      <c r="E15027" t="b">
        <v>0</v>
      </c>
      <c r="F15027" t="s">
        <v>11610</v>
      </c>
      <c r="L15027">
        <v>0</v>
      </c>
      <c r="M15027">
        <v>0</v>
      </c>
      <c r="N15027">
        <v>0</v>
      </c>
    </row>
    <row r="15028" spans="1:15">
      <c r="A15028" t="s">
        <v>48674</v>
      </c>
      <c r="B15028" t="s">
        <v>367</v>
      </c>
      <c r="C15028" t="s">
        <v>44347</v>
      </c>
      <c r="D15028" t="s">
        <v>48675</v>
      </c>
      <c r="E15028" t="b">
        <v>0</v>
      </c>
      <c r="F15028" t="s">
        <v>11624</v>
      </c>
      <c r="G15028">
        <v>-6.6408399999999999</v>
      </c>
      <c r="H15028">
        <v>146.21799999999999</v>
      </c>
      <c r="I15028" t="s">
        <v>48676</v>
      </c>
      <c r="L15028">
        <v>0</v>
      </c>
      <c r="M15028">
        <v>0</v>
      </c>
      <c r="N15028">
        <v>0</v>
      </c>
      <c r="O15028" t="s">
        <v>11660</v>
      </c>
    </row>
    <row r="15029" spans="1:15">
      <c r="A15029" t="s">
        <v>20071</v>
      </c>
      <c r="B15029" t="s">
        <v>367</v>
      </c>
      <c r="C15029" t="s">
        <v>31742</v>
      </c>
      <c r="D15029" t="s">
        <v>48677</v>
      </c>
      <c r="E15029" t="b">
        <v>0</v>
      </c>
      <c r="F15029" t="s">
        <v>11622</v>
      </c>
      <c r="L15029">
        <v>0</v>
      </c>
      <c r="M15029">
        <v>3</v>
      </c>
      <c r="N15029">
        <v>0</v>
      </c>
    </row>
    <row r="15030" spans="1:15">
      <c r="A15030" t="s">
        <v>23864</v>
      </c>
      <c r="B15030" t="s">
        <v>367</v>
      </c>
      <c r="C15030" t="s">
        <v>15624</v>
      </c>
      <c r="D15030" t="s">
        <v>48678</v>
      </c>
      <c r="E15030" t="b">
        <v>0</v>
      </c>
      <c r="F15030" t="s">
        <v>11622</v>
      </c>
      <c r="L15030">
        <v>0</v>
      </c>
      <c r="M15030">
        <v>3</v>
      </c>
      <c r="N15030">
        <v>0</v>
      </c>
    </row>
    <row r="15031" spans="1:15">
      <c r="A15031" t="s">
        <v>48679</v>
      </c>
      <c r="B15031" t="s">
        <v>367</v>
      </c>
      <c r="C15031" t="s">
        <v>23864</v>
      </c>
      <c r="D15031" t="s">
        <v>48680</v>
      </c>
      <c r="E15031" t="b">
        <v>0</v>
      </c>
      <c r="F15031" t="s">
        <v>11624</v>
      </c>
      <c r="G15031">
        <v>-7.8431100000000002</v>
      </c>
      <c r="H15031">
        <v>129.74299999999999</v>
      </c>
      <c r="I15031" t="s">
        <v>48681</v>
      </c>
      <c r="L15031">
        <v>0</v>
      </c>
      <c r="M15031">
        <v>0</v>
      </c>
      <c r="N15031">
        <v>0</v>
      </c>
      <c r="O15031" t="s">
        <v>11768</v>
      </c>
    </row>
    <row r="15032" spans="1:15">
      <c r="A15032" t="s">
        <v>48682</v>
      </c>
      <c r="B15032" t="s">
        <v>367</v>
      </c>
      <c r="C15032" t="s">
        <v>48683</v>
      </c>
      <c r="D15032" t="s">
        <v>48684</v>
      </c>
      <c r="E15032" t="b">
        <v>0</v>
      </c>
      <c r="F15032" t="s">
        <v>11610</v>
      </c>
      <c r="L15032">
        <v>0</v>
      </c>
      <c r="M15032">
        <v>0</v>
      </c>
      <c r="N15032">
        <v>0</v>
      </c>
    </row>
    <row r="15033" spans="1:15">
      <c r="A15033" t="s">
        <v>48685</v>
      </c>
      <c r="B15033" t="s">
        <v>367</v>
      </c>
      <c r="C15033" t="s">
        <v>25053</v>
      </c>
      <c r="D15033" t="s">
        <v>48686</v>
      </c>
      <c r="E15033" t="b">
        <v>0</v>
      </c>
      <c r="F15033" t="s">
        <v>11610</v>
      </c>
      <c r="L15033">
        <v>0</v>
      </c>
      <c r="M15033">
        <v>0</v>
      </c>
      <c r="N15033">
        <v>0</v>
      </c>
    </row>
    <row r="15034" spans="1:15">
      <c r="A15034" t="s">
        <v>48687</v>
      </c>
      <c r="B15034" t="s">
        <v>367</v>
      </c>
      <c r="C15034" t="s">
        <v>48688</v>
      </c>
      <c r="D15034" t="s">
        <v>48689</v>
      </c>
      <c r="E15034" t="b">
        <v>0</v>
      </c>
      <c r="F15034" t="s">
        <v>11610</v>
      </c>
      <c r="L15034">
        <v>0</v>
      </c>
      <c r="M15034">
        <v>0</v>
      </c>
      <c r="N15034">
        <v>0</v>
      </c>
    </row>
    <row r="15035" spans="1:15">
      <c r="A15035" t="s">
        <v>31442</v>
      </c>
      <c r="B15035" t="s">
        <v>367</v>
      </c>
      <c r="C15035" t="s">
        <v>13260</v>
      </c>
      <c r="D15035" t="s">
        <v>48690</v>
      </c>
      <c r="E15035" t="b">
        <v>0</v>
      </c>
      <c r="F15035" t="s">
        <v>11624</v>
      </c>
      <c r="G15035">
        <v>-3.0514299999999999</v>
      </c>
      <c r="H15035">
        <v>128.839</v>
      </c>
      <c r="I15035" t="s">
        <v>48691</v>
      </c>
      <c r="L15035">
        <v>0</v>
      </c>
      <c r="M15035">
        <v>0</v>
      </c>
      <c r="N15035">
        <v>3</v>
      </c>
      <c r="O15035" t="s">
        <v>11768</v>
      </c>
    </row>
    <row r="15036" spans="1:15">
      <c r="A15036" t="s">
        <v>48692</v>
      </c>
      <c r="B15036" t="s">
        <v>367</v>
      </c>
      <c r="C15036" t="s">
        <v>13198</v>
      </c>
      <c r="D15036" t="s">
        <v>48693</v>
      </c>
      <c r="E15036" t="b">
        <v>0</v>
      </c>
      <c r="F15036" t="s">
        <v>11610</v>
      </c>
      <c r="L15036">
        <v>0</v>
      </c>
      <c r="M15036">
        <v>0</v>
      </c>
      <c r="N15036">
        <v>0</v>
      </c>
    </row>
    <row r="15037" spans="1:15">
      <c r="A15037" t="s">
        <v>48694</v>
      </c>
      <c r="B15037" t="s">
        <v>367</v>
      </c>
      <c r="C15037" t="s">
        <v>48695</v>
      </c>
      <c r="D15037" t="s">
        <v>48696</v>
      </c>
      <c r="E15037" t="b">
        <v>0</v>
      </c>
      <c r="F15037" t="s">
        <v>11624</v>
      </c>
      <c r="G15037">
        <v>-2.93154</v>
      </c>
      <c r="H15037">
        <v>129.27699999999999</v>
      </c>
      <c r="I15037" t="s">
        <v>48697</v>
      </c>
      <c r="L15037">
        <v>0</v>
      </c>
      <c r="M15037">
        <v>0</v>
      </c>
      <c r="N15037">
        <v>0</v>
      </c>
      <c r="O15037" t="s">
        <v>11768</v>
      </c>
    </row>
    <row r="15038" spans="1:15">
      <c r="A15038" t="s">
        <v>48698</v>
      </c>
      <c r="B15038" t="s">
        <v>367</v>
      </c>
      <c r="C15038" t="s">
        <v>32229</v>
      </c>
      <c r="D15038" t="s">
        <v>48699</v>
      </c>
      <c r="E15038" t="b">
        <v>0</v>
      </c>
      <c r="F15038" t="s">
        <v>11610</v>
      </c>
      <c r="L15038">
        <v>0</v>
      </c>
      <c r="M15038">
        <v>0</v>
      </c>
      <c r="N15038">
        <v>0</v>
      </c>
    </row>
    <row r="15039" spans="1:15">
      <c r="A15039" t="s">
        <v>48700</v>
      </c>
      <c r="B15039" t="s">
        <v>367</v>
      </c>
      <c r="C15039" t="s">
        <v>26216</v>
      </c>
      <c r="D15039" t="s">
        <v>48701</v>
      </c>
      <c r="E15039" t="b">
        <v>0</v>
      </c>
      <c r="F15039" t="s">
        <v>11610</v>
      </c>
      <c r="L15039">
        <v>0</v>
      </c>
      <c r="M15039">
        <v>0</v>
      </c>
      <c r="N15039">
        <v>0</v>
      </c>
    </row>
    <row r="15040" spans="1:15">
      <c r="A15040" t="s">
        <v>48702</v>
      </c>
      <c r="B15040" t="s">
        <v>367</v>
      </c>
      <c r="C15040" t="s">
        <v>15561</v>
      </c>
      <c r="D15040" t="s">
        <v>48703</v>
      </c>
      <c r="E15040" t="b">
        <v>0</v>
      </c>
      <c r="F15040" t="s">
        <v>11610</v>
      </c>
      <c r="L15040">
        <v>0</v>
      </c>
      <c r="M15040">
        <v>0</v>
      </c>
      <c r="N15040">
        <v>0</v>
      </c>
    </row>
    <row r="15041" spans="1:15">
      <c r="A15041" t="s">
        <v>48704</v>
      </c>
      <c r="B15041" t="s">
        <v>367</v>
      </c>
      <c r="C15041" t="s">
        <v>48705</v>
      </c>
      <c r="D15041" t="s">
        <v>48706</v>
      </c>
      <c r="E15041" t="b">
        <v>0</v>
      </c>
      <c r="F15041" t="s">
        <v>11622</v>
      </c>
      <c r="L15041">
        <v>0</v>
      </c>
      <c r="M15041">
        <v>2</v>
      </c>
      <c r="N15041">
        <v>7</v>
      </c>
    </row>
    <row r="15042" spans="1:15">
      <c r="A15042" t="s">
        <v>48707</v>
      </c>
      <c r="B15042" t="s">
        <v>367</v>
      </c>
      <c r="C15042" t="s">
        <v>42597</v>
      </c>
      <c r="D15042" t="s">
        <v>48708</v>
      </c>
      <c r="E15042" t="b">
        <v>0</v>
      </c>
      <c r="F15042" t="s">
        <v>11610</v>
      </c>
      <c r="L15042">
        <v>0</v>
      </c>
      <c r="M15042">
        <v>0</v>
      </c>
      <c r="N15042">
        <v>0</v>
      </c>
    </row>
    <row r="15043" spans="1:15">
      <c r="A15043" t="s">
        <v>12934</v>
      </c>
      <c r="B15043" t="s">
        <v>367</v>
      </c>
      <c r="C15043" t="s">
        <v>4363</v>
      </c>
      <c r="D15043" t="s">
        <v>48709</v>
      </c>
      <c r="E15043" t="b">
        <v>0</v>
      </c>
      <c r="F15043" t="s">
        <v>11622</v>
      </c>
      <c r="L15043">
        <v>0</v>
      </c>
      <c r="M15043">
        <v>3</v>
      </c>
      <c r="N15043">
        <v>6</v>
      </c>
    </row>
    <row r="15044" spans="1:15">
      <c r="A15044" t="s">
        <v>48710</v>
      </c>
      <c r="B15044" t="s">
        <v>367</v>
      </c>
      <c r="C15044" t="s">
        <v>44194</v>
      </c>
      <c r="D15044" t="s">
        <v>48711</v>
      </c>
      <c r="E15044" t="b">
        <v>0</v>
      </c>
      <c r="F15044" t="s">
        <v>11624</v>
      </c>
      <c r="G15044">
        <v>15.6913</v>
      </c>
      <c r="H15044">
        <v>121.45399999999999</v>
      </c>
      <c r="I15044" t="s">
        <v>48712</v>
      </c>
      <c r="L15044">
        <v>0</v>
      </c>
      <c r="M15044">
        <v>0</v>
      </c>
      <c r="N15044">
        <v>0</v>
      </c>
      <c r="O15044" t="s">
        <v>11749</v>
      </c>
    </row>
    <row r="15045" spans="1:15">
      <c r="A15045" t="s">
        <v>48713</v>
      </c>
      <c r="B15045" t="s">
        <v>367</v>
      </c>
      <c r="C15045" t="s">
        <v>41591</v>
      </c>
      <c r="D15045" t="s">
        <v>48714</v>
      </c>
      <c r="E15045" t="b">
        <v>0</v>
      </c>
      <c r="F15045" t="s">
        <v>11624</v>
      </c>
      <c r="G15045">
        <v>17.105699999999999</v>
      </c>
      <c r="H15045">
        <v>120.786</v>
      </c>
      <c r="I15045" t="s">
        <v>48715</v>
      </c>
      <c r="L15045">
        <v>0</v>
      </c>
      <c r="M15045">
        <v>0</v>
      </c>
      <c r="N15045">
        <v>0</v>
      </c>
      <c r="O15045" t="s">
        <v>11749</v>
      </c>
    </row>
    <row r="15046" spans="1:15">
      <c r="A15046" t="s">
        <v>48716</v>
      </c>
      <c r="B15046" t="s">
        <v>367</v>
      </c>
      <c r="C15046" t="s">
        <v>31885</v>
      </c>
      <c r="D15046" t="s">
        <v>48717</v>
      </c>
      <c r="E15046" t="b">
        <v>0</v>
      </c>
      <c r="F15046" t="s">
        <v>11610</v>
      </c>
      <c r="L15046">
        <v>0</v>
      </c>
      <c r="M15046">
        <v>0</v>
      </c>
      <c r="N15046">
        <v>0</v>
      </c>
    </row>
    <row r="15047" spans="1:15">
      <c r="A15047" t="s">
        <v>48718</v>
      </c>
      <c r="B15047" t="s">
        <v>367</v>
      </c>
      <c r="C15047" t="s">
        <v>34527</v>
      </c>
      <c r="D15047" t="s">
        <v>48719</v>
      </c>
      <c r="E15047" t="b">
        <v>0</v>
      </c>
      <c r="F15047" t="s">
        <v>11610</v>
      </c>
      <c r="L15047">
        <v>0</v>
      </c>
      <c r="M15047">
        <v>0</v>
      </c>
      <c r="N15047">
        <v>0</v>
      </c>
    </row>
    <row r="15048" spans="1:15">
      <c r="A15048" t="s">
        <v>48720</v>
      </c>
      <c r="B15048" t="s">
        <v>367</v>
      </c>
      <c r="C15048" t="s">
        <v>48721</v>
      </c>
      <c r="D15048" t="s">
        <v>48722</v>
      </c>
      <c r="E15048" t="b">
        <v>0</v>
      </c>
      <c r="F15048" t="s">
        <v>11610</v>
      </c>
      <c r="L15048">
        <v>0</v>
      </c>
      <c r="M15048">
        <v>0</v>
      </c>
      <c r="N15048">
        <v>0</v>
      </c>
    </row>
    <row r="15049" spans="1:15">
      <c r="A15049" t="s">
        <v>48723</v>
      </c>
      <c r="B15049" t="s">
        <v>367</v>
      </c>
      <c r="C15049" t="s">
        <v>18544</v>
      </c>
      <c r="D15049" t="s">
        <v>48724</v>
      </c>
      <c r="E15049" t="b">
        <v>0</v>
      </c>
      <c r="F15049" t="s">
        <v>11624</v>
      </c>
      <c r="G15049">
        <v>13.9032</v>
      </c>
      <c r="H15049">
        <v>124.27</v>
      </c>
      <c r="I15049" t="s">
        <v>48725</v>
      </c>
      <c r="L15049">
        <v>0</v>
      </c>
      <c r="M15049">
        <v>0</v>
      </c>
      <c r="N15049">
        <v>0</v>
      </c>
      <c r="O15049" t="s">
        <v>11749</v>
      </c>
    </row>
    <row r="15050" spans="1:15">
      <c r="A15050" t="s">
        <v>34074</v>
      </c>
      <c r="B15050" t="s">
        <v>367</v>
      </c>
      <c r="C15050" t="s">
        <v>5373</v>
      </c>
      <c r="D15050" t="s">
        <v>48726</v>
      </c>
      <c r="E15050" t="b">
        <v>0</v>
      </c>
      <c r="F15050" t="s">
        <v>11622</v>
      </c>
      <c r="L15050">
        <v>2</v>
      </c>
      <c r="M15050">
        <v>4</v>
      </c>
      <c r="N15050">
        <v>0</v>
      </c>
    </row>
    <row r="15051" spans="1:15">
      <c r="A15051" t="s">
        <v>24121</v>
      </c>
      <c r="B15051" t="s">
        <v>367</v>
      </c>
      <c r="C15051" t="s">
        <v>21598</v>
      </c>
      <c r="D15051" t="s">
        <v>48727</v>
      </c>
      <c r="E15051" t="b">
        <v>0</v>
      </c>
      <c r="F15051" t="s">
        <v>11624</v>
      </c>
      <c r="G15051">
        <v>8.5231999999999992</v>
      </c>
      <c r="H15051">
        <v>123.58799999999999</v>
      </c>
      <c r="I15051" t="s">
        <v>48728</v>
      </c>
      <c r="L15051">
        <v>0</v>
      </c>
      <c r="M15051">
        <v>0</v>
      </c>
      <c r="N15051">
        <v>3</v>
      </c>
      <c r="O15051" t="s">
        <v>11749</v>
      </c>
    </row>
    <row r="15052" spans="1:15">
      <c r="A15052" t="s">
        <v>48729</v>
      </c>
      <c r="B15052" t="s">
        <v>367</v>
      </c>
      <c r="C15052" t="s">
        <v>44518</v>
      </c>
      <c r="D15052" t="s">
        <v>48730</v>
      </c>
      <c r="E15052" t="b">
        <v>0</v>
      </c>
      <c r="F15052" t="s">
        <v>11622</v>
      </c>
      <c r="L15052">
        <v>1</v>
      </c>
      <c r="M15052">
        <v>4</v>
      </c>
      <c r="N15052">
        <v>13</v>
      </c>
    </row>
    <row r="15053" spans="1:15">
      <c r="A15053" t="s">
        <v>48731</v>
      </c>
      <c r="B15053" t="s">
        <v>367</v>
      </c>
      <c r="C15053" t="s">
        <v>48729</v>
      </c>
      <c r="D15053" t="s">
        <v>48732</v>
      </c>
      <c r="E15053" t="b">
        <v>0</v>
      </c>
      <c r="F15053" t="s">
        <v>11622</v>
      </c>
      <c r="L15053">
        <v>0</v>
      </c>
      <c r="M15053">
        <v>3</v>
      </c>
      <c r="N15053">
        <v>10</v>
      </c>
    </row>
    <row r="15054" spans="1:15">
      <c r="A15054" t="s">
        <v>39592</v>
      </c>
      <c r="B15054" t="s">
        <v>367</v>
      </c>
      <c r="C15054" t="s">
        <v>17087</v>
      </c>
      <c r="D15054" t="s">
        <v>48733</v>
      </c>
      <c r="E15054" t="b">
        <v>0</v>
      </c>
      <c r="F15054" t="s">
        <v>11622</v>
      </c>
      <c r="L15054">
        <v>0</v>
      </c>
      <c r="M15054">
        <v>2</v>
      </c>
      <c r="N15054">
        <v>16</v>
      </c>
    </row>
    <row r="15055" spans="1:15">
      <c r="A15055" t="s">
        <v>48734</v>
      </c>
      <c r="B15055" t="s">
        <v>367</v>
      </c>
      <c r="C15055" t="s">
        <v>48735</v>
      </c>
      <c r="D15055" t="s">
        <v>48736</v>
      </c>
      <c r="E15055" t="b">
        <v>0</v>
      </c>
      <c r="F15055" t="s">
        <v>11624</v>
      </c>
      <c r="G15055">
        <v>-19.918399999999998</v>
      </c>
      <c r="H15055">
        <v>48.811999999999998</v>
      </c>
      <c r="I15055" t="s">
        <v>48737</v>
      </c>
      <c r="L15055">
        <v>0</v>
      </c>
      <c r="M15055">
        <v>0</v>
      </c>
      <c r="N15055">
        <v>0</v>
      </c>
      <c r="O15055" t="s">
        <v>14012</v>
      </c>
    </row>
    <row r="15056" spans="1:15">
      <c r="A15056" t="s">
        <v>36939</v>
      </c>
      <c r="B15056" t="s">
        <v>367</v>
      </c>
      <c r="C15056" t="s">
        <v>17087</v>
      </c>
      <c r="D15056" t="s">
        <v>48738</v>
      </c>
      <c r="E15056" t="b">
        <v>0</v>
      </c>
      <c r="F15056" t="s">
        <v>11622</v>
      </c>
      <c r="L15056">
        <v>0</v>
      </c>
      <c r="M15056">
        <v>3</v>
      </c>
      <c r="N15056">
        <v>12</v>
      </c>
    </row>
    <row r="15057" spans="1:15">
      <c r="A15057" t="s">
        <v>42365</v>
      </c>
      <c r="B15057" t="s">
        <v>367</v>
      </c>
      <c r="C15057" t="s">
        <v>20084</v>
      </c>
      <c r="D15057" t="s">
        <v>48739</v>
      </c>
      <c r="E15057" t="b">
        <v>0</v>
      </c>
      <c r="F15057" t="s">
        <v>11622</v>
      </c>
      <c r="L15057">
        <v>4</v>
      </c>
      <c r="M15057">
        <v>16</v>
      </c>
      <c r="N15057">
        <v>43</v>
      </c>
    </row>
    <row r="15058" spans="1:15">
      <c r="A15058" t="s">
        <v>48740</v>
      </c>
      <c r="B15058" t="s">
        <v>367</v>
      </c>
      <c r="C15058" t="s">
        <v>19953</v>
      </c>
      <c r="D15058" t="s">
        <v>48741</v>
      </c>
      <c r="E15058" t="b">
        <v>0</v>
      </c>
      <c r="F15058" t="s">
        <v>11610</v>
      </c>
      <c r="L15058">
        <v>0</v>
      </c>
      <c r="M15058">
        <v>0</v>
      </c>
      <c r="N15058">
        <v>0</v>
      </c>
    </row>
    <row r="15059" spans="1:15">
      <c r="A15059" t="s">
        <v>48742</v>
      </c>
      <c r="B15059" t="s">
        <v>367</v>
      </c>
      <c r="C15059" t="s">
        <v>21624</v>
      </c>
      <c r="D15059" t="s">
        <v>48743</v>
      </c>
      <c r="E15059" t="b">
        <v>0</v>
      </c>
      <c r="F15059" t="s">
        <v>11610</v>
      </c>
      <c r="L15059">
        <v>0</v>
      </c>
      <c r="M15059">
        <v>0</v>
      </c>
      <c r="N15059">
        <v>0</v>
      </c>
    </row>
    <row r="15060" spans="1:15">
      <c r="A15060" t="s">
        <v>25232</v>
      </c>
      <c r="B15060" t="s">
        <v>367</v>
      </c>
      <c r="C15060" t="s">
        <v>48744</v>
      </c>
      <c r="D15060" t="s">
        <v>48745</v>
      </c>
      <c r="E15060" t="b">
        <v>0</v>
      </c>
      <c r="F15060" t="s">
        <v>11622</v>
      </c>
      <c r="L15060">
        <v>0</v>
      </c>
      <c r="M15060">
        <v>3</v>
      </c>
      <c r="N15060">
        <v>1</v>
      </c>
    </row>
    <row r="15061" spans="1:15">
      <c r="A15061" t="s">
        <v>34160</v>
      </c>
      <c r="B15061" t="s">
        <v>367</v>
      </c>
      <c r="C15061" t="s">
        <v>34157</v>
      </c>
      <c r="D15061" t="s">
        <v>48746</v>
      </c>
      <c r="E15061" t="b">
        <v>0</v>
      </c>
      <c r="F15061" t="s">
        <v>11622</v>
      </c>
      <c r="L15061">
        <v>3</v>
      </c>
      <c r="M15061">
        <v>10</v>
      </c>
      <c r="N15061">
        <v>14</v>
      </c>
    </row>
    <row r="15062" spans="1:15">
      <c r="A15062" t="s">
        <v>38106</v>
      </c>
      <c r="B15062" t="s">
        <v>367</v>
      </c>
      <c r="C15062" t="s">
        <v>367</v>
      </c>
      <c r="D15062" t="s">
        <v>48747</v>
      </c>
      <c r="E15062" t="b">
        <v>0</v>
      </c>
      <c r="F15062" t="s">
        <v>11622</v>
      </c>
      <c r="L15062">
        <v>0</v>
      </c>
      <c r="M15062">
        <v>2</v>
      </c>
      <c r="N15062">
        <v>2</v>
      </c>
    </row>
    <row r="15063" spans="1:15">
      <c r="A15063" t="s">
        <v>17232</v>
      </c>
      <c r="B15063" t="s">
        <v>367</v>
      </c>
      <c r="C15063" t="s">
        <v>21626</v>
      </c>
      <c r="D15063" t="s">
        <v>48748</v>
      </c>
      <c r="E15063" t="b">
        <v>0</v>
      </c>
      <c r="F15063" t="s">
        <v>11622</v>
      </c>
      <c r="L15063">
        <v>0</v>
      </c>
      <c r="M15063">
        <v>3</v>
      </c>
      <c r="N15063">
        <v>3</v>
      </c>
    </row>
    <row r="15064" spans="1:15">
      <c r="A15064" t="s">
        <v>48749</v>
      </c>
      <c r="B15064" t="s">
        <v>367</v>
      </c>
      <c r="C15064" t="s">
        <v>4467</v>
      </c>
      <c r="D15064" t="s">
        <v>48750</v>
      </c>
      <c r="E15064" t="b">
        <v>0</v>
      </c>
      <c r="F15064" t="s">
        <v>11610</v>
      </c>
      <c r="L15064">
        <v>0</v>
      </c>
      <c r="M15064">
        <v>0</v>
      </c>
      <c r="N15064">
        <v>2</v>
      </c>
    </row>
    <row r="15065" spans="1:15">
      <c r="A15065" t="s">
        <v>48751</v>
      </c>
      <c r="B15065" t="s">
        <v>7862</v>
      </c>
      <c r="C15065" t="s">
        <v>17625</v>
      </c>
      <c r="D15065" t="s">
        <v>48752</v>
      </c>
      <c r="E15065" t="b">
        <v>0</v>
      </c>
      <c r="F15065" t="s">
        <v>11610</v>
      </c>
      <c r="L15065">
        <v>0</v>
      </c>
      <c r="M15065">
        <v>0</v>
      </c>
      <c r="N15065">
        <v>0</v>
      </c>
    </row>
    <row r="15066" spans="1:15">
      <c r="A15066" t="s">
        <v>48753</v>
      </c>
      <c r="B15066" t="s">
        <v>11705</v>
      </c>
      <c r="C15066" t="s">
        <v>21635</v>
      </c>
      <c r="D15066" t="s">
        <v>48754</v>
      </c>
      <c r="E15066" t="b">
        <v>0</v>
      </c>
      <c r="F15066" t="s">
        <v>11610</v>
      </c>
      <c r="L15066">
        <v>0</v>
      </c>
      <c r="M15066">
        <v>0</v>
      </c>
      <c r="N15066">
        <v>0</v>
      </c>
    </row>
    <row r="15067" spans="1:15">
      <c r="A15067" t="s">
        <v>48755</v>
      </c>
      <c r="B15067" t="s">
        <v>11834</v>
      </c>
      <c r="C15067" t="s">
        <v>37134</v>
      </c>
      <c r="D15067" t="s">
        <v>48756</v>
      </c>
      <c r="E15067" t="b">
        <v>0</v>
      </c>
      <c r="F15067" t="s">
        <v>11610</v>
      </c>
      <c r="L15067">
        <v>0</v>
      </c>
      <c r="M15067">
        <v>0</v>
      </c>
      <c r="N15067">
        <v>0</v>
      </c>
    </row>
    <row r="15068" spans="1:15">
      <c r="A15068" t="s">
        <v>48757</v>
      </c>
      <c r="B15068" t="s">
        <v>11834</v>
      </c>
      <c r="C15068" t="s">
        <v>21638</v>
      </c>
      <c r="D15068" t="s">
        <v>48758</v>
      </c>
      <c r="E15068" t="b">
        <v>0</v>
      </c>
      <c r="F15068" t="s">
        <v>11610</v>
      </c>
      <c r="L15068">
        <v>0</v>
      </c>
      <c r="M15068">
        <v>0</v>
      </c>
      <c r="N15068">
        <v>0</v>
      </c>
    </row>
    <row r="15069" spans="1:15">
      <c r="A15069" t="s">
        <v>48759</v>
      </c>
      <c r="B15069" t="s">
        <v>11834</v>
      </c>
      <c r="C15069" t="s">
        <v>21799</v>
      </c>
      <c r="D15069" t="s">
        <v>48760</v>
      </c>
      <c r="E15069" t="b">
        <v>0</v>
      </c>
      <c r="F15069" t="s">
        <v>11624</v>
      </c>
      <c r="G15069">
        <v>-3.25535</v>
      </c>
      <c r="H15069">
        <v>142.006</v>
      </c>
      <c r="I15069" t="s">
        <v>48761</v>
      </c>
      <c r="L15069">
        <v>0</v>
      </c>
      <c r="M15069">
        <v>0</v>
      </c>
      <c r="N15069">
        <v>0</v>
      </c>
      <c r="O15069" t="s">
        <v>11660</v>
      </c>
    </row>
    <row r="15070" spans="1:15">
      <c r="A15070" t="s">
        <v>48762</v>
      </c>
      <c r="B15070" t="s">
        <v>41792</v>
      </c>
      <c r="C15070" t="s">
        <v>48763</v>
      </c>
      <c r="D15070" t="s">
        <v>48764</v>
      </c>
      <c r="E15070" t="b">
        <v>0</v>
      </c>
      <c r="F15070" t="s">
        <v>11610</v>
      </c>
      <c r="L15070">
        <v>0</v>
      </c>
      <c r="M15070">
        <v>0</v>
      </c>
      <c r="N15070">
        <v>0</v>
      </c>
    </row>
    <row r="15071" spans="1:15">
      <c r="A15071" t="s">
        <v>48765</v>
      </c>
      <c r="B15071" t="s">
        <v>11615</v>
      </c>
      <c r="C15071" t="s">
        <v>18677</v>
      </c>
      <c r="D15071" t="s">
        <v>48766</v>
      </c>
      <c r="E15071" t="b">
        <v>0</v>
      </c>
      <c r="F15071" t="s">
        <v>11622</v>
      </c>
      <c r="L15071">
        <v>0</v>
      </c>
      <c r="M15071">
        <v>2</v>
      </c>
      <c r="N15071">
        <v>2</v>
      </c>
    </row>
    <row r="15072" spans="1:15">
      <c r="A15072" t="s">
        <v>48767</v>
      </c>
      <c r="B15072" t="s">
        <v>11615</v>
      </c>
      <c r="C15072" t="s">
        <v>30934</v>
      </c>
      <c r="D15072" t="s">
        <v>48768</v>
      </c>
      <c r="E15072" t="b">
        <v>0</v>
      </c>
      <c r="F15072" t="s">
        <v>11610</v>
      </c>
      <c r="L15072">
        <v>0</v>
      </c>
      <c r="M15072">
        <v>0</v>
      </c>
      <c r="N15072">
        <v>0</v>
      </c>
    </row>
    <row r="15073" spans="1:15">
      <c r="A15073" t="s">
        <v>48769</v>
      </c>
      <c r="B15073" t="s">
        <v>11615</v>
      </c>
      <c r="C15073" t="s">
        <v>48770</v>
      </c>
      <c r="D15073" t="s">
        <v>48771</v>
      </c>
      <c r="E15073" t="b">
        <v>0</v>
      </c>
      <c r="F15073" t="s">
        <v>11610</v>
      </c>
      <c r="L15073">
        <v>0</v>
      </c>
      <c r="M15073">
        <v>0</v>
      </c>
      <c r="N15073">
        <v>0</v>
      </c>
    </row>
    <row r="15074" spans="1:15">
      <c r="A15074" t="s">
        <v>48772</v>
      </c>
      <c r="B15074" t="s">
        <v>11615</v>
      </c>
      <c r="C15074" t="s">
        <v>46293</v>
      </c>
      <c r="D15074" t="s">
        <v>48773</v>
      </c>
      <c r="E15074" t="b">
        <v>0</v>
      </c>
      <c r="F15074" t="s">
        <v>11610</v>
      </c>
      <c r="L15074">
        <v>0</v>
      </c>
      <c r="M15074">
        <v>0</v>
      </c>
      <c r="N15074">
        <v>0</v>
      </c>
    </row>
    <row r="15075" spans="1:15">
      <c r="A15075" t="s">
        <v>48774</v>
      </c>
      <c r="B15075" t="s">
        <v>11615</v>
      </c>
      <c r="C15075" t="s">
        <v>48775</v>
      </c>
      <c r="D15075" t="s">
        <v>48776</v>
      </c>
      <c r="E15075" t="b">
        <v>0</v>
      </c>
      <c r="F15075" t="s">
        <v>11610</v>
      </c>
      <c r="L15075">
        <v>0</v>
      </c>
      <c r="M15075">
        <v>0</v>
      </c>
      <c r="N15075">
        <v>0</v>
      </c>
    </row>
    <row r="15076" spans="1:15">
      <c r="A15076" t="s">
        <v>48777</v>
      </c>
      <c r="B15076" t="s">
        <v>11615</v>
      </c>
      <c r="C15076" t="s">
        <v>21648</v>
      </c>
      <c r="D15076" t="s">
        <v>48778</v>
      </c>
      <c r="E15076" t="b">
        <v>0</v>
      </c>
      <c r="F15076" t="s">
        <v>11610</v>
      </c>
      <c r="L15076">
        <v>0</v>
      </c>
      <c r="M15076">
        <v>0</v>
      </c>
      <c r="N15076">
        <v>0</v>
      </c>
    </row>
    <row r="15077" spans="1:15">
      <c r="A15077" t="s">
        <v>48779</v>
      </c>
      <c r="B15077" t="s">
        <v>11615</v>
      </c>
      <c r="C15077" t="s">
        <v>21651</v>
      </c>
      <c r="D15077" t="s">
        <v>48780</v>
      </c>
      <c r="E15077" t="b">
        <v>0</v>
      </c>
      <c r="F15077" t="s">
        <v>11610</v>
      </c>
      <c r="L15077">
        <v>0</v>
      </c>
      <c r="M15077">
        <v>0</v>
      </c>
      <c r="N15077">
        <v>0</v>
      </c>
    </row>
    <row r="15078" spans="1:15">
      <c r="A15078" t="s">
        <v>34796</v>
      </c>
      <c r="B15078" t="s">
        <v>11615</v>
      </c>
      <c r="C15078" t="s">
        <v>32962</v>
      </c>
      <c r="D15078" t="s">
        <v>48781</v>
      </c>
      <c r="E15078" t="b">
        <v>0</v>
      </c>
      <c r="F15078" t="s">
        <v>11624</v>
      </c>
      <c r="G15078">
        <v>-5.5531899999999998</v>
      </c>
      <c r="H15078">
        <v>140.84</v>
      </c>
      <c r="I15078" t="s">
        <v>48782</v>
      </c>
      <c r="L15078">
        <v>0</v>
      </c>
      <c r="M15078">
        <v>0</v>
      </c>
      <c r="N15078">
        <v>2</v>
      </c>
      <c r="O15078" t="s">
        <v>11768</v>
      </c>
    </row>
    <row r="15079" spans="1:15">
      <c r="A15079" t="s">
        <v>48783</v>
      </c>
      <c r="B15079" t="s">
        <v>11615</v>
      </c>
      <c r="C15079" t="s">
        <v>5648</v>
      </c>
      <c r="D15079" t="s">
        <v>48784</v>
      </c>
      <c r="E15079" t="b">
        <v>0</v>
      </c>
      <c r="F15079" t="s">
        <v>11624</v>
      </c>
      <c r="G15079">
        <v>-4.8985399999999997</v>
      </c>
      <c r="H15079">
        <v>138.405</v>
      </c>
      <c r="I15079" t="s">
        <v>48785</v>
      </c>
      <c r="L15079">
        <v>0</v>
      </c>
      <c r="M15079">
        <v>0</v>
      </c>
      <c r="N15079">
        <v>0</v>
      </c>
      <c r="O15079" t="s">
        <v>11768</v>
      </c>
    </row>
    <row r="15080" spans="1:15">
      <c r="A15080" t="s">
        <v>48786</v>
      </c>
      <c r="B15080" t="s">
        <v>11615</v>
      </c>
      <c r="C15080" t="s">
        <v>14909</v>
      </c>
      <c r="D15080" t="s">
        <v>48787</v>
      </c>
      <c r="E15080" t="b">
        <v>0</v>
      </c>
      <c r="F15080" t="s">
        <v>11624</v>
      </c>
      <c r="G15080">
        <v>-5.9364699999999999</v>
      </c>
      <c r="H15080">
        <v>140.06800000000001</v>
      </c>
      <c r="I15080" t="s">
        <v>48788</v>
      </c>
      <c r="L15080">
        <v>0</v>
      </c>
      <c r="M15080">
        <v>0</v>
      </c>
      <c r="N15080">
        <v>0</v>
      </c>
      <c r="O15080" t="s">
        <v>11768</v>
      </c>
    </row>
    <row r="15081" spans="1:15">
      <c r="A15081" t="s">
        <v>48789</v>
      </c>
      <c r="B15081" t="s">
        <v>11615</v>
      </c>
      <c r="C15081" t="s">
        <v>15331</v>
      </c>
      <c r="D15081" t="s">
        <v>48790</v>
      </c>
      <c r="E15081" t="b">
        <v>0</v>
      </c>
      <c r="F15081" t="s">
        <v>11610</v>
      </c>
      <c r="L15081">
        <v>0</v>
      </c>
      <c r="M15081">
        <v>0</v>
      </c>
      <c r="N15081">
        <v>0</v>
      </c>
    </row>
    <row r="15082" spans="1:15">
      <c r="A15082" t="s">
        <v>11616</v>
      </c>
      <c r="B15082" t="s">
        <v>11615</v>
      </c>
      <c r="C15082" t="s">
        <v>18741</v>
      </c>
      <c r="D15082" t="s">
        <v>48791</v>
      </c>
      <c r="E15082" t="b">
        <v>0</v>
      </c>
      <c r="F15082" t="s">
        <v>11624</v>
      </c>
      <c r="G15082">
        <v>-6.5156299999999998</v>
      </c>
      <c r="H15082">
        <v>145.959</v>
      </c>
      <c r="I15082" t="s">
        <v>48792</v>
      </c>
      <c r="L15082">
        <v>0</v>
      </c>
      <c r="M15082">
        <v>0</v>
      </c>
      <c r="N15082">
        <v>4</v>
      </c>
      <c r="O15082" t="s">
        <v>11660</v>
      </c>
    </row>
    <row r="15083" spans="1:15">
      <c r="A15083" t="s">
        <v>16845</v>
      </c>
      <c r="B15083" t="s">
        <v>11615</v>
      </c>
      <c r="C15083" t="s">
        <v>47724</v>
      </c>
      <c r="D15083" t="s">
        <v>48793</v>
      </c>
      <c r="E15083" t="b">
        <v>0</v>
      </c>
      <c r="F15083" t="s">
        <v>11624</v>
      </c>
      <c r="G15083">
        <v>-5.7535600000000002</v>
      </c>
      <c r="H15083">
        <v>144.804</v>
      </c>
      <c r="I15083" t="s">
        <v>48794</v>
      </c>
      <c r="L15083">
        <v>0</v>
      </c>
      <c r="M15083">
        <v>0</v>
      </c>
      <c r="N15083">
        <v>1</v>
      </c>
      <c r="O15083" t="s">
        <v>11660</v>
      </c>
    </row>
    <row r="15084" spans="1:15">
      <c r="A15084" t="s">
        <v>48795</v>
      </c>
      <c r="B15084" t="s">
        <v>11615</v>
      </c>
      <c r="C15084" t="s">
        <v>28031</v>
      </c>
      <c r="D15084" t="s">
        <v>48796</v>
      </c>
      <c r="E15084" t="b">
        <v>0</v>
      </c>
      <c r="F15084" t="s">
        <v>11610</v>
      </c>
      <c r="L15084">
        <v>0</v>
      </c>
      <c r="M15084">
        <v>0</v>
      </c>
      <c r="N15084">
        <v>0</v>
      </c>
    </row>
    <row r="15085" spans="1:15">
      <c r="A15085" t="s">
        <v>12133</v>
      </c>
      <c r="D15085" t="s">
        <v>48797</v>
      </c>
      <c r="E15085" t="b">
        <v>0</v>
      </c>
      <c r="F15085" t="s">
        <v>11622</v>
      </c>
      <c r="L15085">
        <v>10</v>
      </c>
      <c r="M15085">
        <v>15</v>
      </c>
      <c r="N15085">
        <v>19</v>
      </c>
    </row>
    <row r="15086" spans="1:15">
      <c r="A15086" t="s">
        <v>41779</v>
      </c>
      <c r="B15086" t="s">
        <v>12133</v>
      </c>
      <c r="C15086" t="s">
        <v>12133</v>
      </c>
      <c r="D15086" t="s">
        <v>48798</v>
      </c>
      <c r="E15086" t="b">
        <v>0</v>
      </c>
      <c r="F15086" t="s">
        <v>11622</v>
      </c>
      <c r="L15086">
        <v>9</v>
      </c>
      <c r="M15086">
        <v>14</v>
      </c>
      <c r="N15086">
        <v>19</v>
      </c>
    </row>
    <row r="15087" spans="1:15">
      <c r="A15087" t="s">
        <v>48799</v>
      </c>
      <c r="B15087" t="s">
        <v>12133</v>
      </c>
      <c r="C15087" t="s">
        <v>44920</v>
      </c>
      <c r="D15087" t="s">
        <v>48800</v>
      </c>
      <c r="E15087" t="b">
        <v>0</v>
      </c>
      <c r="F15087" t="s">
        <v>11610</v>
      </c>
      <c r="L15087">
        <v>0</v>
      </c>
      <c r="M15087">
        <v>0</v>
      </c>
      <c r="N15087">
        <v>0</v>
      </c>
    </row>
    <row r="15088" spans="1:15">
      <c r="A15088" t="s">
        <v>48801</v>
      </c>
      <c r="B15088" t="s">
        <v>21668</v>
      </c>
      <c r="C15088" t="s">
        <v>21669</v>
      </c>
      <c r="D15088" t="s">
        <v>48802</v>
      </c>
      <c r="E15088" t="b">
        <v>0</v>
      </c>
      <c r="F15088" t="s">
        <v>11610</v>
      </c>
      <c r="L15088">
        <v>0</v>
      </c>
      <c r="M15088">
        <v>0</v>
      </c>
      <c r="N15088">
        <v>0</v>
      </c>
    </row>
    <row r="15089" spans="1:15">
      <c r="A15089" t="s">
        <v>48803</v>
      </c>
      <c r="B15089" t="s">
        <v>13877</v>
      </c>
      <c r="C15089" t="s">
        <v>24522</v>
      </c>
      <c r="D15089" t="s">
        <v>48804</v>
      </c>
      <c r="E15089" t="b">
        <v>0</v>
      </c>
      <c r="F15089" t="s">
        <v>11610</v>
      </c>
      <c r="L15089">
        <v>0</v>
      </c>
      <c r="M15089">
        <v>0</v>
      </c>
      <c r="N15089">
        <v>0</v>
      </c>
    </row>
    <row r="15090" spans="1:15">
      <c r="A15090" t="s">
        <v>48805</v>
      </c>
      <c r="B15090" t="s">
        <v>13264</v>
      </c>
      <c r="C15090" t="s">
        <v>21676</v>
      </c>
      <c r="D15090" t="s">
        <v>48806</v>
      </c>
      <c r="E15090" t="b">
        <v>0</v>
      </c>
      <c r="F15090" t="s">
        <v>11610</v>
      </c>
      <c r="L15090">
        <v>0</v>
      </c>
      <c r="M15090">
        <v>0</v>
      </c>
      <c r="N15090">
        <v>0</v>
      </c>
    </row>
    <row r="15091" spans="1:15">
      <c r="A15091" t="s">
        <v>48807</v>
      </c>
      <c r="B15091" t="s">
        <v>13264</v>
      </c>
      <c r="C15091" t="s">
        <v>21676</v>
      </c>
      <c r="D15091" t="s">
        <v>48808</v>
      </c>
      <c r="E15091" t="b">
        <v>0</v>
      </c>
      <c r="F15091" t="s">
        <v>11610</v>
      </c>
      <c r="L15091">
        <v>0</v>
      </c>
      <c r="M15091">
        <v>0</v>
      </c>
      <c r="N15091">
        <v>0</v>
      </c>
    </row>
    <row r="15092" spans="1:15">
      <c r="A15092" t="s">
        <v>14525</v>
      </c>
      <c r="B15092" t="s">
        <v>14524</v>
      </c>
      <c r="C15092" t="s">
        <v>14524</v>
      </c>
      <c r="D15092" t="s">
        <v>48809</v>
      </c>
      <c r="E15092" t="b">
        <v>0</v>
      </c>
      <c r="F15092" t="s">
        <v>11624</v>
      </c>
      <c r="G15092">
        <v>-7.39215</v>
      </c>
      <c r="H15092">
        <v>144.667</v>
      </c>
      <c r="I15092" t="s">
        <v>48810</v>
      </c>
      <c r="L15092">
        <v>0</v>
      </c>
      <c r="M15092">
        <v>0</v>
      </c>
      <c r="N15092">
        <v>4</v>
      </c>
      <c r="O15092" t="s">
        <v>11660</v>
      </c>
    </row>
    <row r="15093" spans="1:15">
      <c r="A15093" t="s">
        <v>48811</v>
      </c>
      <c r="B15093" t="s">
        <v>13353</v>
      </c>
      <c r="C15093" t="s">
        <v>13353</v>
      </c>
      <c r="D15093" t="s">
        <v>48812</v>
      </c>
      <c r="E15093" t="b">
        <v>0</v>
      </c>
      <c r="F15093" t="s">
        <v>11610</v>
      </c>
      <c r="L15093">
        <v>0</v>
      </c>
      <c r="M15093">
        <v>0</v>
      </c>
      <c r="N15093">
        <v>0</v>
      </c>
    </row>
    <row r="15094" spans="1:15">
      <c r="A15094" t="s">
        <v>48813</v>
      </c>
      <c r="B15094" t="s">
        <v>12158</v>
      </c>
      <c r="C15094" t="s">
        <v>12157</v>
      </c>
      <c r="D15094" t="s">
        <v>48814</v>
      </c>
      <c r="E15094" t="b">
        <v>0</v>
      </c>
      <c r="F15094" t="s">
        <v>11610</v>
      </c>
      <c r="L15094">
        <v>0</v>
      </c>
      <c r="M15094">
        <v>0</v>
      </c>
      <c r="N15094">
        <v>0</v>
      </c>
    </row>
    <row r="15095" spans="1:15">
      <c r="A15095" t="s">
        <v>12575</v>
      </c>
      <c r="D15095" t="s">
        <v>48815</v>
      </c>
      <c r="E15095" t="b">
        <v>0</v>
      </c>
      <c r="F15095" t="s">
        <v>11622</v>
      </c>
      <c r="L15095">
        <v>1</v>
      </c>
      <c r="M15095">
        <v>4</v>
      </c>
      <c r="N15095">
        <v>3</v>
      </c>
    </row>
    <row r="15096" spans="1:15">
      <c r="A15096" t="s">
        <v>1360</v>
      </c>
      <c r="B15096" t="s">
        <v>4342</v>
      </c>
      <c r="C15096" t="s">
        <v>48816</v>
      </c>
      <c r="D15096" t="s">
        <v>48817</v>
      </c>
      <c r="E15096" t="b">
        <v>0</v>
      </c>
      <c r="F15096" t="s">
        <v>11610</v>
      </c>
      <c r="L15096">
        <v>0</v>
      </c>
      <c r="M15096">
        <v>0</v>
      </c>
      <c r="N15096">
        <v>6</v>
      </c>
    </row>
    <row r="15097" spans="1:15">
      <c r="A15097" t="s">
        <v>46717</v>
      </c>
      <c r="B15097" t="s">
        <v>4342</v>
      </c>
      <c r="C15097" t="s">
        <v>3404</v>
      </c>
      <c r="D15097" t="s">
        <v>48818</v>
      </c>
      <c r="E15097" t="b">
        <v>0</v>
      </c>
      <c r="F15097" t="s">
        <v>11624</v>
      </c>
      <c r="G15097">
        <v>28.209900000000001</v>
      </c>
      <c r="H15097">
        <v>129.453</v>
      </c>
      <c r="I15097" t="s">
        <v>48819</v>
      </c>
      <c r="L15097">
        <v>0</v>
      </c>
      <c r="M15097">
        <v>0</v>
      </c>
      <c r="N15097">
        <v>2</v>
      </c>
      <c r="O15097" t="s">
        <v>12539</v>
      </c>
    </row>
    <row r="15098" spans="1:15">
      <c r="A15098" t="s">
        <v>48820</v>
      </c>
      <c r="B15098" t="s">
        <v>15132</v>
      </c>
      <c r="C15098" t="s">
        <v>15133</v>
      </c>
      <c r="D15098" t="s">
        <v>48821</v>
      </c>
      <c r="E15098" t="b">
        <v>0</v>
      </c>
      <c r="F15098" t="s">
        <v>11610</v>
      </c>
      <c r="L15098">
        <v>0</v>
      </c>
      <c r="M15098">
        <v>0</v>
      </c>
      <c r="N15098">
        <v>0</v>
      </c>
    </row>
    <row r="15099" spans="1:15">
      <c r="A15099" t="s">
        <v>48822</v>
      </c>
      <c r="B15099" t="s">
        <v>9348</v>
      </c>
      <c r="C15099" t="s">
        <v>9347</v>
      </c>
      <c r="D15099" t="s">
        <v>48823</v>
      </c>
      <c r="E15099" t="b">
        <v>0</v>
      </c>
      <c r="F15099" t="s">
        <v>11610</v>
      </c>
      <c r="L15099">
        <v>0</v>
      </c>
      <c r="M15099">
        <v>0</v>
      </c>
      <c r="N15099">
        <v>0</v>
      </c>
    </row>
    <row r="15100" spans="1:15">
      <c r="A15100" t="s">
        <v>48824</v>
      </c>
      <c r="B15100" t="s">
        <v>607</v>
      </c>
      <c r="C15100" t="s">
        <v>607</v>
      </c>
      <c r="D15100" t="s">
        <v>48825</v>
      </c>
      <c r="E15100" t="b">
        <v>0</v>
      </c>
      <c r="F15100" t="s">
        <v>11624</v>
      </c>
      <c r="G15100">
        <v>54.004531999999998</v>
      </c>
      <c r="H15100">
        <v>-132.07925700000001</v>
      </c>
      <c r="I15100" t="s">
        <v>48826</v>
      </c>
      <c r="L15100">
        <v>0</v>
      </c>
      <c r="M15100">
        <v>0</v>
      </c>
      <c r="N15100">
        <v>0</v>
      </c>
      <c r="O15100" t="s">
        <v>14875</v>
      </c>
    </row>
    <row r="15101" spans="1:15">
      <c r="A15101" t="s">
        <v>15028</v>
      </c>
      <c r="B15101" t="s">
        <v>15027</v>
      </c>
      <c r="C15101" t="s">
        <v>33793</v>
      </c>
      <c r="D15101" t="s">
        <v>48827</v>
      </c>
      <c r="E15101" t="b">
        <v>0</v>
      </c>
      <c r="F15101" t="s">
        <v>11624</v>
      </c>
      <c r="G15101">
        <v>17.179469999999998</v>
      </c>
      <c r="H15101">
        <v>-95.703180000000003</v>
      </c>
      <c r="I15101" t="s">
        <v>48828</v>
      </c>
      <c r="L15101">
        <v>0</v>
      </c>
      <c r="M15101">
        <v>0</v>
      </c>
      <c r="N15101">
        <v>7</v>
      </c>
      <c r="O15101" t="s">
        <v>11883</v>
      </c>
    </row>
    <row r="15102" spans="1:15">
      <c r="A15102" t="s">
        <v>12461</v>
      </c>
      <c r="B15102" t="s">
        <v>12460</v>
      </c>
      <c r="C15102" t="s">
        <v>14117</v>
      </c>
      <c r="D15102" t="s">
        <v>48829</v>
      </c>
      <c r="E15102" t="b">
        <v>0</v>
      </c>
      <c r="F15102" t="s">
        <v>11622</v>
      </c>
      <c r="L15102">
        <v>5</v>
      </c>
      <c r="M15102">
        <v>28</v>
      </c>
      <c r="N15102">
        <v>0</v>
      </c>
    </row>
    <row r="15103" spans="1:15">
      <c r="A15103" t="s">
        <v>48830</v>
      </c>
      <c r="B15103" t="s">
        <v>12460</v>
      </c>
      <c r="C15103" t="s">
        <v>48831</v>
      </c>
      <c r="D15103" t="s">
        <v>48832</v>
      </c>
      <c r="E15103" t="b">
        <v>0</v>
      </c>
      <c r="F15103" t="s">
        <v>11624</v>
      </c>
      <c r="G15103">
        <v>62.823500000000003</v>
      </c>
      <c r="H15103">
        <v>-136.64400000000001</v>
      </c>
      <c r="I15103" t="s">
        <v>48833</v>
      </c>
      <c r="L15103">
        <v>0</v>
      </c>
      <c r="M15103">
        <v>0</v>
      </c>
      <c r="N15103">
        <v>0</v>
      </c>
      <c r="O15103" t="s">
        <v>13049</v>
      </c>
    </row>
    <row r="15104" spans="1:15">
      <c r="A15104" t="s">
        <v>1093</v>
      </c>
      <c r="B15104" t="s">
        <v>12460</v>
      </c>
      <c r="C15104" t="s">
        <v>1094</v>
      </c>
      <c r="D15104" t="s">
        <v>48834</v>
      </c>
      <c r="E15104" t="b">
        <v>0</v>
      </c>
      <c r="F15104" t="s">
        <v>11624</v>
      </c>
      <c r="G15104">
        <v>63.267099999999999</v>
      </c>
      <c r="H15104">
        <v>-123.64100000000001</v>
      </c>
      <c r="I15104" t="s">
        <v>1095</v>
      </c>
      <c r="L15104">
        <v>0</v>
      </c>
      <c r="M15104">
        <v>0</v>
      </c>
      <c r="N15104">
        <v>0</v>
      </c>
      <c r="O15104" t="s">
        <v>13049</v>
      </c>
    </row>
    <row r="15105" spans="1:15">
      <c r="A15105" t="s">
        <v>661</v>
      </c>
      <c r="B15105" t="s">
        <v>13014</v>
      </c>
      <c r="C15105" t="s">
        <v>713</v>
      </c>
      <c r="D15105" t="s">
        <v>48835</v>
      </c>
      <c r="E15105" t="b">
        <v>0</v>
      </c>
      <c r="F15105" t="s">
        <v>11624</v>
      </c>
      <c r="G15105">
        <v>69.581999999999994</v>
      </c>
      <c r="H15105">
        <v>-143.77000000000001</v>
      </c>
      <c r="I15105" t="s">
        <v>4296</v>
      </c>
      <c r="L15105">
        <v>0</v>
      </c>
      <c r="M15105">
        <v>0</v>
      </c>
      <c r="N15105">
        <v>4</v>
      </c>
      <c r="O15105" t="s">
        <v>14875</v>
      </c>
    </row>
    <row r="15106" spans="1:15">
      <c r="A15106" t="s">
        <v>48836</v>
      </c>
      <c r="B15106" t="s">
        <v>13014</v>
      </c>
      <c r="C15106" t="s">
        <v>661</v>
      </c>
      <c r="D15106" t="s">
        <v>48837</v>
      </c>
      <c r="E15106" t="b">
        <v>0</v>
      </c>
      <c r="F15106" t="s">
        <v>11610</v>
      </c>
      <c r="L15106">
        <v>0</v>
      </c>
      <c r="M15106">
        <v>0</v>
      </c>
      <c r="N15106">
        <v>0</v>
      </c>
    </row>
    <row r="15107" spans="1:15">
      <c r="A15107" t="s">
        <v>23152</v>
      </c>
      <c r="B15107" t="s">
        <v>13014</v>
      </c>
      <c r="C15107" t="s">
        <v>713</v>
      </c>
      <c r="D15107" t="s">
        <v>48838</v>
      </c>
      <c r="E15107" t="b">
        <v>0</v>
      </c>
      <c r="F15107" t="s">
        <v>11624</v>
      </c>
      <c r="G15107">
        <v>64.77955</v>
      </c>
      <c r="H15107">
        <v>-161.80665999999999</v>
      </c>
      <c r="I15107" t="s">
        <v>48839</v>
      </c>
      <c r="L15107">
        <v>0</v>
      </c>
      <c r="M15107">
        <v>0</v>
      </c>
      <c r="N15107">
        <v>2</v>
      </c>
      <c r="O15107" t="s">
        <v>11944</v>
      </c>
    </row>
    <row r="15108" spans="1:15">
      <c r="A15108" t="s">
        <v>21267</v>
      </c>
      <c r="B15108" t="s">
        <v>300</v>
      </c>
      <c r="C15108" t="s">
        <v>300</v>
      </c>
      <c r="D15108" t="s">
        <v>48840</v>
      </c>
      <c r="E15108" t="b">
        <v>0</v>
      </c>
      <c r="F15108" t="s">
        <v>11622</v>
      </c>
      <c r="L15108">
        <v>2</v>
      </c>
      <c r="M15108">
        <v>10</v>
      </c>
      <c r="N15108">
        <v>8</v>
      </c>
    </row>
    <row r="15109" spans="1:15">
      <c r="A15109" t="s">
        <v>40175</v>
      </c>
      <c r="B15109" t="s">
        <v>9071</v>
      </c>
      <c r="C15109" t="s">
        <v>32515</v>
      </c>
      <c r="D15109" t="s">
        <v>48841</v>
      </c>
      <c r="E15109" t="b">
        <v>0</v>
      </c>
      <c r="F15109" t="s">
        <v>11622</v>
      </c>
      <c r="L15109">
        <v>0</v>
      </c>
      <c r="M15109">
        <v>3</v>
      </c>
      <c r="N15109">
        <v>2</v>
      </c>
    </row>
    <row r="15110" spans="1:15">
      <c r="A15110" t="s">
        <v>48842</v>
      </c>
      <c r="B15110" t="s">
        <v>8146</v>
      </c>
      <c r="C15110" t="s">
        <v>8146</v>
      </c>
      <c r="D15110" t="s">
        <v>48843</v>
      </c>
      <c r="E15110" t="b">
        <v>0</v>
      </c>
      <c r="F15110" t="s">
        <v>11622</v>
      </c>
      <c r="L15110">
        <v>2</v>
      </c>
      <c r="M15110">
        <v>4</v>
      </c>
      <c r="N15110">
        <v>4</v>
      </c>
    </row>
    <row r="15111" spans="1:15">
      <c r="A15111" t="s">
        <v>48844</v>
      </c>
      <c r="B15111" t="s">
        <v>41746</v>
      </c>
      <c r="C15111" t="s">
        <v>41746</v>
      </c>
      <c r="D15111" t="s">
        <v>48845</v>
      </c>
      <c r="E15111" t="b">
        <v>0</v>
      </c>
      <c r="F15111" t="s">
        <v>11624</v>
      </c>
      <c r="G15111">
        <v>39.6721</v>
      </c>
      <c r="H15111">
        <v>-121.36799999999999</v>
      </c>
      <c r="I15111" t="s">
        <v>48846</v>
      </c>
      <c r="L15111">
        <v>0</v>
      </c>
      <c r="M15111">
        <v>0</v>
      </c>
      <c r="N15111">
        <v>0</v>
      </c>
      <c r="O15111" t="s">
        <v>11944</v>
      </c>
    </row>
    <row r="15112" spans="1:15">
      <c r="A15112" t="s">
        <v>48847</v>
      </c>
      <c r="B15112" t="s">
        <v>41746</v>
      </c>
      <c r="C15112" t="s">
        <v>41746</v>
      </c>
      <c r="D15112" t="s">
        <v>48848</v>
      </c>
      <c r="E15112" t="b">
        <v>0</v>
      </c>
      <c r="F15112" t="s">
        <v>11624</v>
      </c>
      <c r="G15112">
        <v>40.410200000000003</v>
      </c>
      <c r="H15112">
        <v>-120.645</v>
      </c>
      <c r="I15112" t="s">
        <v>48849</v>
      </c>
      <c r="L15112">
        <v>0</v>
      </c>
      <c r="M15112">
        <v>0</v>
      </c>
      <c r="N15112">
        <v>0</v>
      </c>
      <c r="O15112" t="s">
        <v>11944</v>
      </c>
    </row>
    <row r="15113" spans="1:15">
      <c r="A15113" t="s">
        <v>20948</v>
      </c>
      <c r="B15113" t="s">
        <v>12751</v>
      </c>
      <c r="C15113" t="s">
        <v>12751</v>
      </c>
      <c r="D15113" t="s">
        <v>48850</v>
      </c>
      <c r="E15113" t="b">
        <v>0</v>
      </c>
      <c r="F15113" t="s">
        <v>11622</v>
      </c>
      <c r="L15113">
        <v>10</v>
      </c>
      <c r="M15113">
        <v>16</v>
      </c>
      <c r="N15113">
        <v>11</v>
      </c>
    </row>
    <row r="15114" spans="1:15">
      <c r="A15114" t="s">
        <v>16764</v>
      </c>
      <c r="B15114" t="s">
        <v>12751</v>
      </c>
      <c r="C15114" t="s">
        <v>45228</v>
      </c>
      <c r="D15114" t="s">
        <v>48851</v>
      </c>
      <c r="E15114" t="b">
        <v>0</v>
      </c>
      <c r="F15114" t="s">
        <v>11624</v>
      </c>
      <c r="G15114">
        <v>40.079900000000002</v>
      </c>
      <c r="H15114">
        <v>-119.536</v>
      </c>
      <c r="I15114" t="s">
        <v>48852</v>
      </c>
      <c r="L15114">
        <v>0</v>
      </c>
      <c r="M15114">
        <v>0</v>
      </c>
      <c r="N15114">
        <v>3</v>
      </c>
      <c r="O15114" t="s">
        <v>11944</v>
      </c>
    </row>
    <row r="15115" spans="1:15">
      <c r="A15115" t="s">
        <v>48853</v>
      </c>
      <c r="B15115" t="s">
        <v>12751</v>
      </c>
      <c r="C15115" t="s">
        <v>29617</v>
      </c>
      <c r="D15115" t="s">
        <v>48854</v>
      </c>
      <c r="E15115" t="b">
        <v>0</v>
      </c>
      <c r="F15115" t="s">
        <v>11610</v>
      </c>
      <c r="L15115">
        <v>0</v>
      </c>
      <c r="M15115">
        <v>0</v>
      </c>
      <c r="N15115">
        <v>0</v>
      </c>
    </row>
    <row r="15116" spans="1:15">
      <c r="A15116" t="s">
        <v>48855</v>
      </c>
      <c r="B15116" t="s">
        <v>12751</v>
      </c>
      <c r="C15116" t="s">
        <v>6663</v>
      </c>
      <c r="D15116" t="s">
        <v>48856</v>
      </c>
      <c r="E15116" t="b">
        <v>0</v>
      </c>
      <c r="F15116" t="s">
        <v>11624</v>
      </c>
      <c r="G15116">
        <v>28.607700000000001</v>
      </c>
      <c r="H15116">
        <v>-107.658</v>
      </c>
      <c r="I15116" t="s">
        <v>48857</v>
      </c>
      <c r="L15116">
        <v>0</v>
      </c>
      <c r="M15116">
        <v>0</v>
      </c>
      <c r="N15116">
        <v>0</v>
      </c>
      <c r="O15116" t="s">
        <v>11883</v>
      </c>
    </row>
    <row r="15117" spans="1:15">
      <c r="A15117" t="s">
        <v>48858</v>
      </c>
      <c r="B15117" t="s">
        <v>12751</v>
      </c>
      <c r="C15117" t="s">
        <v>21695</v>
      </c>
      <c r="D15117" t="s">
        <v>48859</v>
      </c>
      <c r="E15117" t="b">
        <v>0</v>
      </c>
      <c r="F15117" t="s">
        <v>11624</v>
      </c>
      <c r="G15117">
        <v>20.1356</v>
      </c>
      <c r="H15117">
        <v>-97.981399999999994</v>
      </c>
      <c r="I15117" t="s">
        <v>48860</v>
      </c>
      <c r="L15117">
        <v>0</v>
      </c>
      <c r="M15117">
        <v>0</v>
      </c>
      <c r="N15117">
        <v>0</v>
      </c>
      <c r="O15117" t="s">
        <v>11883</v>
      </c>
    </row>
    <row r="15118" spans="1:15">
      <c r="A15118" t="s">
        <v>48861</v>
      </c>
      <c r="B15118" t="s">
        <v>12751</v>
      </c>
      <c r="C15118" t="s">
        <v>26503</v>
      </c>
      <c r="D15118" t="s">
        <v>48862</v>
      </c>
      <c r="E15118" t="b">
        <v>0</v>
      </c>
      <c r="F15118" t="s">
        <v>11624</v>
      </c>
      <c r="G15118">
        <v>18.188400000000001</v>
      </c>
      <c r="H15118">
        <v>-96.974800000000002</v>
      </c>
      <c r="I15118" t="s">
        <v>48863</v>
      </c>
      <c r="L15118">
        <v>0</v>
      </c>
      <c r="M15118">
        <v>0</v>
      </c>
      <c r="N15118">
        <v>0</v>
      </c>
      <c r="O15118" t="s">
        <v>11883</v>
      </c>
    </row>
    <row r="15119" spans="1:15">
      <c r="A15119" t="s">
        <v>48864</v>
      </c>
      <c r="B15119" t="s">
        <v>12751</v>
      </c>
      <c r="C15119" t="s">
        <v>7527</v>
      </c>
      <c r="D15119" t="s">
        <v>48865</v>
      </c>
      <c r="E15119" t="b">
        <v>0</v>
      </c>
      <c r="F15119" t="s">
        <v>11624</v>
      </c>
      <c r="G15119">
        <v>26.434799999999999</v>
      </c>
      <c r="H15119">
        <v>-107.379</v>
      </c>
      <c r="I15119" t="s">
        <v>48866</v>
      </c>
      <c r="L15119">
        <v>0</v>
      </c>
      <c r="M15119">
        <v>0</v>
      </c>
      <c r="N15119">
        <v>0</v>
      </c>
      <c r="O15119" t="s">
        <v>11883</v>
      </c>
    </row>
    <row r="15120" spans="1:15">
      <c r="A15120" t="s">
        <v>48867</v>
      </c>
      <c r="B15120" t="s">
        <v>12979</v>
      </c>
      <c r="C15120" t="s">
        <v>48868</v>
      </c>
      <c r="D15120" t="s">
        <v>48869</v>
      </c>
      <c r="E15120" t="b">
        <v>0</v>
      </c>
      <c r="F15120" t="s">
        <v>11610</v>
      </c>
      <c r="L15120">
        <v>0</v>
      </c>
      <c r="M15120">
        <v>0</v>
      </c>
      <c r="N15120">
        <v>0</v>
      </c>
    </row>
    <row r="15121" spans="1:15">
      <c r="A15121" t="s">
        <v>12980</v>
      </c>
      <c r="B15121" t="s">
        <v>12979</v>
      </c>
      <c r="C15121" t="s">
        <v>48870</v>
      </c>
      <c r="D15121" t="s">
        <v>48871</v>
      </c>
      <c r="E15121" t="b">
        <v>0</v>
      </c>
      <c r="F15121" t="s">
        <v>11624</v>
      </c>
      <c r="G15121">
        <v>51.619199999999999</v>
      </c>
      <c r="H15121">
        <v>-87.786199999999994</v>
      </c>
      <c r="I15121" t="s">
        <v>48872</v>
      </c>
      <c r="L15121">
        <v>0</v>
      </c>
      <c r="M15121">
        <v>0</v>
      </c>
      <c r="N15121">
        <v>5</v>
      </c>
      <c r="O15121" t="s">
        <v>13049</v>
      </c>
    </row>
    <row r="15122" spans="1:15">
      <c r="A15122" t="s">
        <v>48873</v>
      </c>
      <c r="B15122" t="s">
        <v>12979</v>
      </c>
      <c r="C15122" t="s">
        <v>614</v>
      </c>
      <c r="D15122" t="s">
        <v>48874</v>
      </c>
      <c r="E15122" t="b">
        <v>0</v>
      </c>
      <c r="F15122" t="s">
        <v>11610</v>
      </c>
      <c r="L15122">
        <v>0</v>
      </c>
      <c r="M15122">
        <v>0</v>
      </c>
      <c r="N15122">
        <v>0</v>
      </c>
    </row>
    <row r="15123" spans="1:15">
      <c r="A15123" t="s">
        <v>48875</v>
      </c>
      <c r="B15123" t="s">
        <v>21714</v>
      </c>
      <c r="C15123" t="s">
        <v>21714</v>
      </c>
      <c r="D15123" t="s">
        <v>48876</v>
      </c>
      <c r="E15123" t="b">
        <v>0</v>
      </c>
      <c r="F15123" t="s">
        <v>11610</v>
      </c>
      <c r="L15123">
        <v>0</v>
      </c>
      <c r="M15123">
        <v>0</v>
      </c>
      <c r="N15123">
        <v>0</v>
      </c>
    </row>
    <row r="15124" spans="1:15">
      <c r="A15124" t="s">
        <v>30572</v>
      </c>
      <c r="B15124" t="s">
        <v>17854</v>
      </c>
      <c r="C15124" t="s">
        <v>17854</v>
      </c>
      <c r="D15124" t="s">
        <v>48877</v>
      </c>
      <c r="E15124" t="b">
        <v>0</v>
      </c>
      <c r="F15124" t="s">
        <v>11622</v>
      </c>
      <c r="L15124">
        <v>1</v>
      </c>
      <c r="M15124">
        <v>3</v>
      </c>
      <c r="N15124">
        <v>3</v>
      </c>
    </row>
    <row r="15125" spans="1:15">
      <c r="A15125" t="s">
        <v>21718</v>
      </c>
      <c r="B15125" t="s">
        <v>21717</v>
      </c>
      <c r="C15125" t="s">
        <v>48878</v>
      </c>
      <c r="D15125" t="s">
        <v>48879</v>
      </c>
      <c r="E15125" t="b">
        <v>0</v>
      </c>
      <c r="F15125" t="s">
        <v>11622</v>
      </c>
      <c r="L15125">
        <v>0</v>
      </c>
      <c r="M15125">
        <v>2</v>
      </c>
      <c r="N15125">
        <v>5</v>
      </c>
    </row>
    <row r="15126" spans="1:15">
      <c r="A15126" t="s">
        <v>29991</v>
      </c>
      <c r="B15126" t="s">
        <v>21717</v>
      </c>
      <c r="C15126" t="s">
        <v>21718</v>
      </c>
      <c r="D15126" t="s">
        <v>48880</v>
      </c>
      <c r="E15126" t="b">
        <v>0</v>
      </c>
      <c r="F15126" t="s">
        <v>11624</v>
      </c>
      <c r="G15126">
        <v>39.108400000000003</v>
      </c>
      <c r="H15126">
        <v>-123.209</v>
      </c>
      <c r="I15126" t="s">
        <v>48881</v>
      </c>
      <c r="L15126">
        <v>0</v>
      </c>
      <c r="M15126">
        <v>0</v>
      </c>
      <c r="N15126">
        <v>2</v>
      </c>
      <c r="O15126" t="s">
        <v>11944</v>
      </c>
    </row>
    <row r="15127" spans="1:15">
      <c r="A15127" t="s">
        <v>48882</v>
      </c>
      <c r="B15127" t="s">
        <v>21717</v>
      </c>
      <c r="C15127" t="s">
        <v>48878</v>
      </c>
      <c r="D15127" t="s">
        <v>48883</v>
      </c>
      <c r="E15127" t="b">
        <v>0</v>
      </c>
      <c r="F15127" t="s">
        <v>11624</v>
      </c>
      <c r="G15127">
        <v>39.289400000000001</v>
      </c>
      <c r="H15127">
        <v>-122.509</v>
      </c>
      <c r="I15127" t="s">
        <v>48884</v>
      </c>
      <c r="L15127">
        <v>0</v>
      </c>
      <c r="M15127">
        <v>0</v>
      </c>
      <c r="N15127">
        <v>0</v>
      </c>
      <c r="O15127" t="s">
        <v>11944</v>
      </c>
    </row>
    <row r="15128" spans="1:15">
      <c r="A15128" t="s">
        <v>48885</v>
      </c>
      <c r="B15128" t="s">
        <v>17579</v>
      </c>
      <c r="C15128" t="s">
        <v>21724</v>
      </c>
      <c r="D15128" t="s">
        <v>48886</v>
      </c>
      <c r="E15128" t="b">
        <v>0</v>
      </c>
      <c r="F15128" t="s">
        <v>11624</v>
      </c>
      <c r="G15128">
        <v>38.417900000000003</v>
      </c>
      <c r="H15128">
        <v>-120.58799999999999</v>
      </c>
      <c r="I15128" t="s">
        <v>48887</v>
      </c>
      <c r="L15128">
        <v>0</v>
      </c>
      <c r="M15128">
        <v>0</v>
      </c>
      <c r="N15128">
        <v>0</v>
      </c>
      <c r="O15128" t="s">
        <v>11944</v>
      </c>
    </row>
    <row r="15129" spans="1:15">
      <c r="A15129" t="s">
        <v>26368</v>
      </c>
      <c r="B15129" t="s">
        <v>17579</v>
      </c>
      <c r="C15129" t="s">
        <v>22182</v>
      </c>
      <c r="D15129" t="s">
        <v>48888</v>
      </c>
      <c r="E15129" t="b">
        <v>0</v>
      </c>
      <c r="F15129" t="s">
        <v>11624</v>
      </c>
      <c r="G15129">
        <v>37.436487</v>
      </c>
      <c r="H15129">
        <v>-121.827674</v>
      </c>
      <c r="I15129" t="s">
        <v>48889</v>
      </c>
      <c r="L15129">
        <v>0</v>
      </c>
      <c r="M15129">
        <v>0</v>
      </c>
      <c r="N15129">
        <v>5</v>
      </c>
      <c r="O15129" t="s">
        <v>11944</v>
      </c>
    </row>
    <row r="15130" spans="1:15">
      <c r="A15130" t="s">
        <v>48890</v>
      </c>
      <c r="B15130" t="s">
        <v>8897</v>
      </c>
      <c r="C15130" t="s">
        <v>48891</v>
      </c>
      <c r="D15130" t="s">
        <v>48892</v>
      </c>
      <c r="E15130" t="b">
        <v>0</v>
      </c>
      <c r="F15130" t="s">
        <v>11610</v>
      </c>
      <c r="L15130">
        <v>0</v>
      </c>
      <c r="M15130">
        <v>0</v>
      </c>
      <c r="N15130">
        <v>0</v>
      </c>
    </row>
    <row r="15131" spans="1:15">
      <c r="A15131" t="s">
        <v>48893</v>
      </c>
      <c r="B15131" t="s">
        <v>13821</v>
      </c>
      <c r="C15131" t="s">
        <v>39860</v>
      </c>
      <c r="D15131" t="s">
        <v>48894</v>
      </c>
      <c r="E15131" t="b">
        <v>0</v>
      </c>
      <c r="F15131" t="s">
        <v>11610</v>
      </c>
      <c r="L15131">
        <v>0</v>
      </c>
      <c r="M15131">
        <v>0</v>
      </c>
      <c r="N15131">
        <v>0</v>
      </c>
    </row>
    <row r="15132" spans="1:15">
      <c r="A15132" t="s">
        <v>240</v>
      </c>
      <c r="B15132" t="s">
        <v>9578</v>
      </c>
      <c r="C15132" t="s">
        <v>27108</v>
      </c>
      <c r="D15132" t="s">
        <v>48895</v>
      </c>
      <c r="E15132" t="b">
        <v>0</v>
      </c>
      <c r="F15132" t="s">
        <v>11624</v>
      </c>
      <c r="G15132">
        <v>7.1276099999999998</v>
      </c>
      <c r="H15132">
        <v>-77.573999999999998</v>
      </c>
      <c r="I15132" t="s">
        <v>2499</v>
      </c>
      <c r="L15132">
        <v>0</v>
      </c>
      <c r="M15132">
        <v>0</v>
      </c>
      <c r="N15132">
        <v>0</v>
      </c>
      <c r="O15132" t="s">
        <v>19590</v>
      </c>
    </row>
    <row r="15133" spans="1:15">
      <c r="A15133" t="s">
        <v>10707</v>
      </c>
      <c r="B15133" t="s">
        <v>141</v>
      </c>
      <c r="C15133" t="s">
        <v>26785</v>
      </c>
      <c r="D15133" t="s">
        <v>48896</v>
      </c>
      <c r="E15133" t="b">
        <v>0</v>
      </c>
      <c r="F15133" t="s">
        <v>11624</v>
      </c>
      <c r="G15133">
        <v>-1.8857299999999999</v>
      </c>
      <c r="H15133">
        <v>-76.038899999999998</v>
      </c>
      <c r="I15133" t="s">
        <v>10708</v>
      </c>
      <c r="L15133">
        <v>0</v>
      </c>
      <c r="M15133">
        <v>0</v>
      </c>
      <c r="N15133">
        <v>1</v>
      </c>
      <c r="O15133" t="s">
        <v>11949</v>
      </c>
    </row>
    <row r="15134" spans="1:15">
      <c r="A15134" t="s">
        <v>48897</v>
      </c>
      <c r="B15134" t="s">
        <v>141</v>
      </c>
      <c r="C15134" t="s">
        <v>9095</v>
      </c>
      <c r="D15134" t="s">
        <v>48898</v>
      </c>
      <c r="E15134" t="b">
        <v>0</v>
      </c>
      <c r="F15134" t="s">
        <v>11610</v>
      </c>
      <c r="L15134">
        <v>0</v>
      </c>
      <c r="M15134">
        <v>0</v>
      </c>
      <c r="N15134">
        <v>0</v>
      </c>
    </row>
    <row r="15135" spans="1:15">
      <c r="A15135" t="s">
        <v>14180</v>
      </c>
      <c r="B15135" t="s">
        <v>141</v>
      </c>
      <c r="C15135" t="s">
        <v>19279</v>
      </c>
      <c r="D15135" t="s">
        <v>48899</v>
      </c>
      <c r="E15135" t="b">
        <v>0</v>
      </c>
      <c r="F15135" t="s">
        <v>11624</v>
      </c>
      <c r="G15135">
        <v>-14.401400000000001</v>
      </c>
      <c r="H15135">
        <v>-68.789400000000001</v>
      </c>
      <c r="I15135" t="s">
        <v>48900</v>
      </c>
      <c r="L15135">
        <v>0</v>
      </c>
      <c r="M15135">
        <v>0</v>
      </c>
      <c r="N15135">
        <v>3</v>
      </c>
      <c r="O15135" t="s">
        <v>27394</v>
      </c>
    </row>
    <row r="15136" spans="1:15">
      <c r="A15136" t="s">
        <v>48901</v>
      </c>
      <c r="B15136" t="s">
        <v>141</v>
      </c>
      <c r="C15136" t="s">
        <v>14016</v>
      </c>
      <c r="D15136" t="s">
        <v>48902</v>
      </c>
      <c r="E15136" t="b">
        <v>0</v>
      </c>
      <c r="F15136" t="s">
        <v>11610</v>
      </c>
      <c r="L15136">
        <v>0</v>
      </c>
      <c r="M15136">
        <v>0</v>
      </c>
      <c r="N15136">
        <v>0</v>
      </c>
    </row>
    <row r="15137" spans="1:15">
      <c r="A15137" t="s">
        <v>48903</v>
      </c>
      <c r="B15137" t="s">
        <v>141</v>
      </c>
      <c r="C15137" t="s">
        <v>31555</v>
      </c>
      <c r="D15137" t="s">
        <v>48904</v>
      </c>
      <c r="E15137" t="b">
        <v>0</v>
      </c>
      <c r="F15137" t="s">
        <v>11610</v>
      </c>
      <c r="L15137">
        <v>0</v>
      </c>
      <c r="M15137">
        <v>0</v>
      </c>
      <c r="N15137">
        <v>0</v>
      </c>
    </row>
    <row r="15138" spans="1:15">
      <c r="A15138" t="s">
        <v>48905</v>
      </c>
      <c r="B15138" t="s">
        <v>141</v>
      </c>
      <c r="C15138" t="s">
        <v>23336</v>
      </c>
      <c r="D15138" t="s">
        <v>48906</v>
      </c>
      <c r="E15138" t="b">
        <v>0</v>
      </c>
      <c r="F15138" t="s">
        <v>11624</v>
      </c>
      <c r="G15138">
        <v>-8.9735600000000009</v>
      </c>
      <c r="H15138">
        <v>-77.414599999999993</v>
      </c>
      <c r="I15138" t="s">
        <v>48907</v>
      </c>
      <c r="L15138">
        <v>0</v>
      </c>
      <c r="M15138">
        <v>0</v>
      </c>
      <c r="N15138">
        <v>0</v>
      </c>
      <c r="O15138" t="s">
        <v>11778</v>
      </c>
    </row>
    <row r="15139" spans="1:15">
      <c r="A15139" t="s">
        <v>48908</v>
      </c>
      <c r="B15139" t="s">
        <v>141</v>
      </c>
      <c r="C15139" t="s">
        <v>13390</v>
      </c>
      <c r="D15139" t="s">
        <v>48909</v>
      </c>
      <c r="E15139" t="b">
        <v>0</v>
      </c>
      <c r="F15139" t="s">
        <v>11624</v>
      </c>
      <c r="G15139">
        <v>-11.213200000000001</v>
      </c>
      <c r="H15139">
        <v>-75.812799999999996</v>
      </c>
      <c r="I15139" t="s">
        <v>48910</v>
      </c>
      <c r="L15139">
        <v>0</v>
      </c>
      <c r="M15139">
        <v>0</v>
      </c>
      <c r="N15139">
        <v>0</v>
      </c>
      <c r="O15139" t="s">
        <v>11778</v>
      </c>
    </row>
    <row r="15140" spans="1:15">
      <c r="A15140" t="s">
        <v>48911</v>
      </c>
      <c r="B15140" t="s">
        <v>23217</v>
      </c>
      <c r="C15140" t="s">
        <v>47783</v>
      </c>
      <c r="D15140" t="s">
        <v>48912</v>
      </c>
      <c r="E15140" t="b">
        <v>0</v>
      </c>
      <c r="F15140" t="s">
        <v>11610</v>
      </c>
      <c r="L15140">
        <v>0</v>
      </c>
      <c r="M15140">
        <v>0</v>
      </c>
      <c r="N15140">
        <v>0</v>
      </c>
    </row>
    <row r="15141" spans="1:15">
      <c r="A15141" t="s">
        <v>48913</v>
      </c>
      <c r="B15141" t="s">
        <v>11770</v>
      </c>
      <c r="C15141" t="s">
        <v>2578</v>
      </c>
      <c r="D15141" t="s">
        <v>48914</v>
      </c>
      <c r="E15141" t="b">
        <v>0</v>
      </c>
      <c r="F15141" t="s">
        <v>11610</v>
      </c>
      <c r="L15141">
        <v>0</v>
      </c>
      <c r="M15141">
        <v>0</v>
      </c>
      <c r="N15141">
        <v>0</v>
      </c>
    </row>
    <row r="15142" spans="1:15">
      <c r="A15142" t="s">
        <v>48915</v>
      </c>
      <c r="B15142" t="s">
        <v>11879</v>
      </c>
      <c r="C15142" t="s">
        <v>21739</v>
      </c>
      <c r="D15142" t="s">
        <v>48916</v>
      </c>
      <c r="E15142" t="b">
        <v>0</v>
      </c>
      <c r="F15142" t="s">
        <v>11624</v>
      </c>
      <c r="G15142">
        <v>22.096800000000002</v>
      </c>
      <c r="H15142">
        <v>-99.6434</v>
      </c>
      <c r="I15142" t="s">
        <v>48917</v>
      </c>
      <c r="L15142">
        <v>0</v>
      </c>
      <c r="M15142">
        <v>0</v>
      </c>
      <c r="N15142">
        <v>0</v>
      </c>
      <c r="O15142" t="s">
        <v>11883</v>
      </c>
    </row>
    <row r="15143" spans="1:15">
      <c r="A15143" t="s">
        <v>45248</v>
      </c>
      <c r="B15143" t="s">
        <v>11879</v>
      </c>
      <c r="C15143" t="s">
        <v>14974</v>
      </c>
      <c r="D15143" t="s">
        <v>48918</v>
      </c>
      <c r="E15143" t="b">
        <v>0</v>
      </c>
      <c r="F15143" t="s">
        <v>11624</v>
      </c>
      <c r="G15143">
        <v>17.480599999999999</v>
      </c>
      <c r="H15143">
        <v>-97.834900000000005</v>
      </c>
      <c r="I15143" t="s">
        <v>48919</v>
      </c>
      <c r="L15143">
        <v>0</v>
      </c>
      <c r="M15143">
        <v>0</v>
      </c>
      <c r="N15143">
        <v>2</v>
      </c>
      <c r="O15143" t="s">
        <v>11883</v>
      </c>
    </row>
    <row r="15144" spans="1:15">
      <c r="A15144" t="s">
        <v>48920</v>
      </c>
      <c r="B15144" t="s">
        <v>11879</v>
      </c>
      <c r="C15144" t="s">
        <v>21855</v>
      </c>
      <c r="D15144" t="s">
        <v>48921</v>
      </c>
      <c r="E15144" t="b">
        <v>0</v>
      </c>
      <c r="F15144" t="s">
        <v>11624</v>
      </c>
      <c r="G15144">
        <v>17.828700000000001</v>
      </c>
      <c r="H15144">
        <v>-98.057400000000001</v>
      </c>
      <c r="I15144" t="s">
        <v>48922</v>
      </c>
      <c r="L15144">
        <v>0</v>
      </c>
      <c r="M15144">
        <v>0</v>
      </c>
      <c r="N15144">
        <v>0</v>
      </c>
      <c r="O15144" t="s">
        <v>11883</v>
      </c>
    </row>
    <row r="15145" spans="1:15">
      <c r="A15145" t="s">
        <v>13115</v>
      </c>
      <c r="B15145" t="s">
        <v>11879</v>
      </c>
      <c r="C15145" t="s">
        <v>21742</v>
      </c>
      <c r="D15145" t="s">
        <v>48923</v>
      </c>
      <c r="E15145" t="b">
        <v>0</v>
      </c>
      <c r="F15145" t="s">
        <v>11622</v>
      </c>
      <c r="L15145">
        <v>0</v>
      </c>
      <c r="M15145">
        <v>13</v>
      </c>
      <c r="N15145">
        <v>5</v>
      </c>
    </row>
    <row r="15146" spans="1:15">
      <c r="A15146" t="s">
        <v>13166</v>
      </c>
      <c r="B15146" t="s">
        <v>11894</v>
      </c>
      <c r="C15146" t="s">
        <v>11894</v>
      </c>
      <c r="D15146" t="s">
        <v>48924</v>
      </c>
      <c r="E15146" t="b">
        <v>0</v>
      </c>
      <c r="F15146" t="s">
        <v>11622</v>
      </c>
      <c r="L15146">
        <v>21</v>
      </c>
      <c r="M15146">
        <v>41</v>
      </c>
      <c r="N15146">
        <v>19</v>
      </c>
    </row>
    <row r="15147" spans="1:15">
      <c r="A15147" t="s">
        <v>48925</v>
      </c>
      <c r="B15147" t="s">
        <v>367</v>
      </c>
      <c r="C15147" t="s">
        <v>48926</v>
      </c>
      <c r="D15147" t="s">
        <v>48927</v>
      </c>
      <c r="E15147" t="b">
        <v>0</v>
      </c>
      <c r="F15147" t="s">
        <v>11624</v>
      </c>
      <c r="G15147">
        <v>12.1967</v>
      </c>
      <c r="H15147">
        <v>108.849</v>
      </c>
      <c r="I15147" t="s">
        <v>48928</v>
      </c>
      <c r="L15147">
        <v>0</v>
      </c>
      <c r="M15147">
        <v>0</v>
      </c>
      <c r="N15147">
        <v>0</v>
      </c>
      <c r="O15147" t="s">
        <v>15949</v>
      </c>
    </row>
    <row r="15148" spans="1:15">
      <c r="A15148" t="s">
        <v>14497</v>
      </c>
      <c r="B15148" t="s">
        <v>6455</v>
      </c>
      <c r="C15148" t="s">
        <v>41639</v>
      </c>
      <c r="D15148" t="s">
        <v>48929</v>
      </c>
      <c r="E15148" t="b">
        <v>0</v>
      </c>
      <c r="F15148" t="s">
        <v>11622</v>
      </c>
      <c r="L15148">
        <v>3</v>
      </c>
      <c r="M15148">
        <v>5</v>
      </c>
      <c r="N15148">
        <v>0</v>
      </c>
    </row>
    <row r="15149" spans="1:15">
      <c r="A15149" t="s">
        <v>25372</v>
      </c>
      <c r="B15149" t="s">
        <v>11607</v>
      </c>
      <c r="C15149" t="s">
        <v>44932</v>
      </c>
      <c r="D15149" t="s">
        <v>48930</v>
      </c>
      <c r="E15149" t="b">
        <v>0</v>
      </c>
      <c r="F15149" t="s">
        <v>11624</v>
      </c>
      <c r="G15149">
        <v>10.683400000000001</v>
      </c>
      <c r="H15149">
        <v>14.111700000000001</v>
      </c>
      <c r="I15149" t="s">
        <v>48931</v>
      </c>
      <c r="L15149">
        <v>0</v>
      </c>
      <c r="M15149">
        <v>0</v>
      </c>
      <c r="N15149">
        <v>2</v>
      </c>
      <c r="O15149" t="s">
        <v>11703</v>
      </c>
    </row>
    <row r="15150" spans="1:15">
      <c r="A15150" t="s">
        <v>45991</v>
      </c>
      <c r="B15150" t="s">
        <v>11607</v>
      </c>
      <c r="C15150" t="s">
        <v>16258</v>
      </c>
      <c r="D15150" t="s">
        <v>48932</v>
      </c>
      <c r="E15150" t="b">
        <v>0</v>
      </c>
      <c r="F15150" t="s">
        <v>11624</v>
      </c>
      <c r="G15150">
        <v>10.6755</v>
      </c>
      <c r="H15150">
        <v>14.218999999999999</v>
      </c>
      <c r="I15150" t="s">
        <v>48933</v>
      </c>
      <c r="L15150">
        <v>0</v>
      </c>
      <c r="M15150">
        <v>0</v>
      </c>
      <c r="N15150">
        <v>1</v>
      </c>
      <c r="O15150" t="s">
        <v>11703</v>
      </c>
    </row>
    <row r="15151" spans="1:15">
      <c r="A15151" t="s">
        <v>25767</v>
      </c>
      <c r="B15151" t="s">
        <v>11607</v>
      </c>
      <c r="C15151" t="s">
        <v>21755</v>
      </c>
      <c r="D15151" t="s">
        <v>48934</v>
      </c>
      <c r="E15151" t="b">
        <v>0</v>
      </c>
      <c r="F15151" t="s">
        <v>11610</v>
      </c>
      <c r="L15151">
        <v>0</v>
      </c>
      <c r="M15151">
        <v>0</v>
      </c>
      <c r="N15151">
        <v>4</v>
      </c>
    </row>
    <row r="15152" spans="1:15">
      <c r="A15152" t="s">
        <v>48935</v>
      </c>
      <c r="B15152" t="s">
        <v>11607</v>
      </c>
      <c r="C15152" t="s">
        <v>20041</v>
      </c>
      <c r="D15152" t="s">
        <v>48936</v>
      </c>
      <c r="E15152" t="b">
        <v>0</v>
      </c>
      <c r="F15152" t="s">
        <v>11610</v>
      </c>
      <c r="L15152">
        <v>0</v>
      </c>
      <c r="M15152">
        <v>0</v>
      </c>
      <c r="N15152">
        <v>0</v>
      </c>
    </row>
    <row r="15153" spans="1:14">
      <c r="A15153" t="s">
        <v>14395</v>
      </c>
      <c r="B15153" t="s">
        <v>11607</v>
      </c>
      <c r="C15153" t="s">
        <v>6491</v>
      </c>
      <c r="D15153" t="s">
        <v>48937</v>
      </c>
      <c r="E15153" t="b">
        <v>0</v>
      </c>
      <c r="F15153" t="s">
        <v>11610</v>
      </c>
      <c r="L15153">
        <v>0</v>
      </c>
      <c r="M15153">
        <v>0</v>
      </c>
      <c r="N15153">
        <v>2</v>
      </c>
    </row>
    <row r="15154" spans="1:14">
      <c r="A15154" t="s">
        <v>764</v>
      </c>
      <c r="B15154" t="s">
        <v>11607</v>
      </c>
      <c r="C15154" t="s">
        <v>765</v>
      </c>
      <c r="D15154" t="s">
        <v>48938</v>
      </c>
      <c r="E15154" t="b">
        <v>0</v>
      </c>
      <c r="F15154" t="s">
        <v>11610</v>
      </c>
      <c r="L15154">
        <v>0</v>
      </c>
      <c r="M15154">
        <v>0</v>
      </c>
      <c r="N15154">
        <v>0</v>
      </c>
    </row>
    <row r="15155" spans="1:14">
      <c r="A15155" t="s">
        <v>48939</v>
      </c>
      <c r="B15155" t="s">
        <v>11607</v>
      </c>
      <c r="C15155" t="s">
        <v>996</v>
      </c>
      <c r="D15155" t="s">
        <v>48940</v>
      </c>
      <c r="E15155" t="b">
        <v>0</v>
      </c>
      <c r="F15155" t="s">
        <v>11610</v>
      </c>
      <c r="L15155">
        <v>0</v>
      </c>
      <c r="M15155">
        <v>0</v>
      </c>
      <c r="N15155">
        <v>0</v>
      </c>
    </row>
    <row r="15156" spans="1:14">
      <c r="A15156" t="s">
        <v>48941</v>
      </c>
      <c r="B15156" t="s">
        <v>11607</v>
      </c>
      <c r="C15156" t="s">
        <v>11726</v>
      </c>
      <c r="D15156" t="s">
        <v>48942</v>
      </c>
      <c r="E15156" t="b">
        <v>0</v>
      </c>
      <c r="F15156" t="s">
        <v>11610</v>
      </c>
      <c r="L15156">
        <v>0</v>
      </c>
      <c r="M15156">
        <v>0</v>
      </c>
      <c r="N15156">
        <v>2</v>
      </c>
    </row>
    <row r="15157" spans="1:14">
      <c r="A15157" t="s">
        <v>48943</v>
      </c>
      <c r="B15157" t="s">
        <v>11607</v>
      </c>
      <c r="C15157" t="s">
        <v>48941</v>
      </c>
      <c r="D15157" t="s">
        <v>48944</v>
      </c>
      <c r="E15157" t="b">
        <v>0</v>
      </c>
      <c r="F15157" t="s">
        <v>11610</v>
      </c>
      <c r="L15157">
        <v>0</v>
      </c>
      <c r="M15157">
        <v>0</v>
      </c>
      <c r="N15157">
        <v>0</v>
      </c>
    </row>
    <row r="15158" spans="1:14">
      <c r="A15158" t="s">
        <v>48945</v>
      </c>
      <c r="B15158" t="s">
        <v>11607</v>
      </c>
      <c r="C15158" t="s">
        <v>48941</v>
      </c>
      <c r="D15158" t="s">
        <v>48946</v>
      </c>
      <c r="E15158" t="b">
        <v>0</v>
      </c>
      <c r="F15158" t="s">
        <v>11610</v>
      </c>
      <c r="L15158">
        <v>0</v>
      </c>
      <c r="M15158">
        <v>0</v>
      </c>
      <c r="N15158">
        <v>0</v>
      </c>
    </row>
    <row r="15159" spans="1:14">
      <c r="A15159" t="s">
        <v>17620</v>
      </c>
      <c r="B15159" t="s">
        <v>11607</v>
      </c>
      <c r="C15159" t="s">
        <v>14879</v>
      </c>
      <c r="D15159" t="s">
        <v>48947</v>
      </c>
      <c r="E15159" t="b">
        <v>0</v>
      </c>
      <c r="F15159" t="s">
        <v>11610</v>
      </c>
      <c r="L15159">
        <v>0</v>
      </c>
      <c r="M15159">
        <v>0</v>
      </c>
      <c r="N15159">
        <v>8</v>
      </c>
    </row>
    <row r="15160" spans="1:14">
      <c r="A15160" t="s">
        <v>48948</v>
      </c>
      <c r="B15160" t="s">
        <v>11607</v>
      </c>
      <c r="C15160" t="s">
        <v>26443</v>
      </c>
      <c r="D15160" t="s">
        <v>48949</v>
      </c>
      <c r="E15160" t="b">
        <v>0</v>
      </c>
      <c r="F15160" t="s">
        <v>11610</v>
      </c>
      <c r="L15160">
        <v>0</v>
      </c>
      <c r="M15160">
        <v>0</v>
      </c>
      <c r="N15160">
        <v>2</v>
      </c>
    </row>
    <row r="15161" spans="1:14">
      <c r="A15161" t="s">
        <v>13632</v>
      </c>
      <c r="B15161" t="s">
        <v>11607</v>
      </c>
      <c r="C15161" t="s">
        <v>40319</v>
      </c>
      <c r="D15161" t="s">
        <v>48950</v>
      </c>
      <c r="E15161" t="b">
        <v>0</v>
      </c>
      <c r="F15161" t="s">
        <v>11610</v>
      </c>
      <c r="L15161">
        <v>0</v>
      </c>
      <c r="M15161">
        <v>0</v>
      </c>
      <c r="N15161">
        <v>2</v>
      </c>
    </row>
    <row r="15162" spans="1:14">
      <c r="A15162" t="s">
        <v>48951</v>
      </c>
      <c r="B15162" t="s">
        <v>11607</v>
      </c>
      <c r="C15162" t="s">
        <v>26446</v>
      </c>
      <c r="D15162" t="s">
        <v>48952</v>
      </c>
      <c r="E15162" t="b">
        <v>0</v>
      </c>
      <c r="F15162" t="s">
        <v>11610</v>
      </c>
      <c r="L15162">
        <v>0</v>
      </c>
      <c r="M15162">
        <v>0</v>
      </c>
      <c r="N15162">
        <v>0</v>
      </c>
    </row>
    <row r="15163" spans="1:14">
      <c r="A15163" t="s">
        <v>48953</v>
      </c>
      <c r="B15163" t="s">
        <v>11607</v>
      </c>
      <c r="C15163" t="s">
        <v>26446</v>
      </c>
      <c r="D15163" t="s">
        <v>48954</v>
      </c>
      <c r="E15163" t="b">
        <v>0</v>
      </c>
      <c r="F15163" t="s">
        <v>11610</v>
      </c>
      <c r="L15163">
        <v>0</v>
      </c>
      <c r="M15163">
        <v>0</v>
      </c>
      <c r="N15163">
        <v>0</v>
      </c>
    </row>
    <row r="15164" spans="1:14">
      <c r="A15164" t="s">
        <v>48955</v>
      </c>
      <c r="B15164" t="s">
        <v>11607</v>
      </c>
      <c r="C15164" t="s">
        <v>3698</v>
      </c>
      <c r="D15164" t="s">
        <v>48956</v>
      </c>
      <c r="E15164" t="b">
        <v>0</v>
      </c>
      <c r="F15164" t="s">
        <v>11610</v>
      </c>
      <c r="L15164">
        <v>0</v>
      </c>
      <c r="M15164">
        <v>0</v>
      </c>
      <c r="N15164">
        <v>0</v>
      </c>
    </row>
    <row r="15165" spans="1:14">
      <c r="A15165" t="s">
        <v>48957</v>
      </c>
      <c r="B15165" t="s">
        <v>11607</v>
      </c>
      <c r="C15165" t="s">
        <v>3055</v>
      </c>
      <c r="D15165" t="s">
        <v>48958</v>
      </c>
      <c r="E15165" t="b">
        <v>0</v>
      </c>
      <c r="F15165" t="s">
        <v>11610</v>
      </c>
      <c r="L15165">
        <v>0</v>
      </c>
      <c r="M15165">
        <v>0</v>
      </c>
      <c r="N15165">
        <v>0</v>
      </c>
    </row>
    <row r="15166" spans="1:14">
      <c r="A15166" t="s">
        <v>48959</v>
      </c>
      <c r="B15166" t="s">
        <v>11607</v>
      </c>
      <c r="C15166" t="s">
        <v>48960</v>
      </c>
      <c r="D15166" t="s">
        <v>48961</v>
      </c>
      <c r="E15166" t="b">
        <v>0</v>
      </c>
      <c r="F15166" t="s">
        <v>11610</v>
      </c>
      <c r="L15166">
        <v>0</v>
      </c>
      <c r="M15166">
        <v>0</v>
      </c>
      <c r="N15166">
        <v>0</v>
      </c>
    </row>
    <row r="15167" spans="1:14">
      <c r="A15167" t="s">
        <v>48962</v>
      </c>
      <c r="B15167" t="s">
        <v>11607</v>
      </c>
      <c r="C15167" t="s">
        <v>23163</v>
      </c>
      <c r="D15167" t="s">
        <v>48963</v>
      </c>
      <c r="E15167" t="b">
        <v>0</v>
      </c>
      <c r="F15167" t="s">
        <v>11610</v>
      </c>
      <c r="L15167">
        <v>0</v>
      </c>
      <c r="M15167">
        <v>0</v>
      </c>
      <c r="N15167">
        <v>0</v>
      </c>
    </row>
    <row r="15168" spans="1:14">
      <c r="A15168" t="s">
        <v>48964</v>
      </c>
      <c r="B15168" t="s">
        <v>11607</v>
      </c>
      <c r="C15168" t="s">
        <v>21772</v>
      </c>
      <c r="D15168" t="s">
        <v>48965</v>
      </c>
      <c r="E15168" t="b">
        <v>0</v>
      </c>
      <c r="F15168" t="s">
        <v>11610</v>
      </c>
      <c r="L15168">
        <v>0</v>
      </c>
      <c r="M15168">
        <v>0</v>
      </c>
      <c r="N15168">
        <v>0</v>
      </c>
    </row>
    <row r="15169" spans="1:15">
      <c r="A15169" t="s">
        <v>48966</v>
      </c>
      <c r="B15169" t="s">
        <v>11607</v>
      </c>
      <c r="C15169" t="s">
        <v>13053</v>
      </c>
      <c r="D15169" t="s">
        <v>48967</v>
      </c>
      <c r="E15169" t="b">
        <v>0</v>
      </c>
      <c r="F15169" t="s">
        <v>11610</v>
      </c>
      <c r="L15169">
        <v>0</v>
      </c>
      <c r="M15169">
        <v>0</v>
      </c>
      <c r="N15169">
        <v>0</v>
      </c>
    </row>
    <row r="15170" spans="1:15">
      <c r="A15170" t="s">
        <v>13011</v>
      </c>
      <c r="B15170" t="s">
        <v>11607</v>
      </c>
      <c r="C15170" t="s">
        <v>4605</v>
      </c>
      <c r="D15170" t="s">
        <v>48968</v>
      </c>
      <c r="E15170" t="b">
        <v>0</v>
      </c>
      <c r="F15170" t="s">
        <v>11624</v>
      </c>
      <c r="G15170">
        <v>34.170900000000003</v>
      </c>
      <c r="H15170">
        <v>36.046799999999998</v>
      </c>
      <c r="I15170" t="s">
        <v>48969</v>
      </c>
      <c r="L15170">
        <v>0</v>
      </c>
      <c r="M15170">
        <v>0</v>
      </c>
      <c r="N15170">
        <v>11</v>
      </c>
      <c r="O15170" t="s">
        <v>48970</v>
      </c>
    </row>
    <row r="15171" spans="1:15">
      <c r="A15171" t="s">
        <v>48971</v>
      </c>
      <c r="B15171" t="s">
        <v>11607</v>
      </c>
      <c r="C15171" t="s">
        <v>13011</v>
      </c>
      <c r="D15171" t="s">
        <v>48972</v>
      </c>
      <c r="E15171" t="b">
        <v>0</v>
      </c>
      <c r="F15171" t="s">
        <v>11610</v>
      </c>
      <c r="L15171">
        <v>0</v>
      </c>
      <c r="M15171">
        <v>0</v>
      </c>
      <c r="N15171">
        <v>0</v>
      </c>
    </row>
    <row r="15172" spans="1:15">
      <c r="A15172" t="s">
        <v>48973</v>
      </c>
      <c r="B15172" t="s">
        <v>11607</v>
      </c>
      <c r="C15172" t="s">
        <v>13011</v>
      </c>
      <c r="D15172" t="s">
        <v>48974</v>
      </c>
      <c r="E15172" t="b">
        <v>0</v>
      </c>
      <c r="F15172" t="s">
        <v>11610</v>
      </c>
      <c r="L15172">
        <v>0</v>
      </c>
      <c r="M15172">
        <v>0</v>
      </c>
      <c r="N15172">
        <v>0</v>
      </c>
    </row>
    <row r="15173" spans="1:15">
      <c r="A15173" t="s">
        <v>48975</v>
      </c>
      <c r="B15173" t="s">
        <v>11607</v>
      </c>
      <c r="C15173" t="s">
        <v>33736</v>
      </c>
      <c r="D15173" t="s">
        <v>48976</v>
      </c>
      <c r="E15173" t="b">
        <v>0</v>
      </c>
      <c r="F15173" t="s">
        <v>11624</v>
      </c>
      <c r="G15173">
        <v>36.2986</v>
      </c>
      <c r="H15173">
        <v>42.0047</v>
      </c>
      <c r="I15173" t="s">
        <v>48977</v>
      </c>
      <c r="L15173">
        <v>0</v>
      </c>
      <c r="M15173">
        <v>0</v>
      </c>
      <c r="N15173">
        <v>0</v>
      </c>
      <c r="O15173" t="s">
        <v>48978</v>
      </c>
    </row>
    <row r="15174" spans="1:15">
      <c r="A15174" t="s">
        <v>48979</v>
      </c>
      <c r="B15174" t="s">
        <v>11627</v>
      </c>
      <c r="C15174" t="s">
        <v>11627</v>
      </c>
      <c r="D15174" t="s">
        <v>48980</v>
      </c>
      <c r="E15174" t="b">
        <v>1</v>
      </c>
      <c r="F15174" t="s">
        <v>11624</v>
      </c>
      <c r="G15174">
        <v>27.9087</v>
      </c>
      <c r="H15174">
        <v>85.1648</v>
      </c>
      <c r="I15174" t="s">
        <v>48981</v>
      </c>
      <c r="L15174">
        <v>0</v>
      </c>
      <c r="M15174">
        <v>0</v>
      </c>
      <c r="N15174">
        <v>0</v>
      </c>
      <c r="O15174" t="s">
        <v>15007</v>
      </c>
    </row>
    <row r="15175" spans="1:15">
      <c r="A15175" t="s">
        <v>34517</v>
      </c>
      <c r="B15175" t="s">
        <v>12487</v>
      </c>
      <c r="C15175" t="s">
        <v>17180</v>
      </c>
      <c r="D15175" t="s">
        <v>48982</v>
      </c>
      <c r="E15175" t="b">
        <v>0</v>
      </c>
      <c r="F15175" t="s">
        <v>11622</v>
      </c>
      <c r="L15175">
        <v>1</v>
      </c>
      <c r="M15175">
        <v>4</v>
      </c>
      <c r="N15175">
        <v>2</v>
      </c>
    </row>
    <row r="15176" spans="1:15">
      <c r="A15176" t="s">
        <v>21059</v>
      </c>
      <c r="B15176" t="s">
        <v>6742</v>
      </c>
      <c r="C15176" t="s">
        <v>6742</v>
      </c>
      <c r="D15176" t="s">
        <v>48983</v>
      </c>
      <c r="E15176" t="b">
        <v>0</v>
      </c>
      <c r="F15176" t="s">
        <v>11622</v>
      </c>
      <c r="L15176">
        <v>33</v>
      </c>
      <c r="M15176">
        <v>51</v>
      </c>
      <c r="N15176">
        <v>103</v>
      </c>
    </row>
    <row r="15177" spans="1:15">
      <c r="A15177" t="s">
        <v>27550</v>
      </c>
      <c r="B15177" t="s">
        <v>12686</v>
      </c>
      <c r="C15177" t="s">
        <v>12686</v>
      </c>
      <c r="D15177" t="s">
        <v>48984</v>
      </c>
      <c r="E15177" t="b">
        <v>0</v>
      </c>
      <c r="F15177" t="s">
        <v>11622</v>
      </c>
      <c r="L15177">
        <v>1</v>
      </c>
      <c r="M15177">
        <v>4</v>
      </c>
      <c r="N15177">
        <v>26</v>
      </c>
    </row>
    <row r="15178" spans="1:15">
      <c r="A15178" t="s">
        <v>19959</v>
      </c>
      <c r="B15178" t="s">
        <v>6742</v>
      </c>
      <c r="C15178" t="s">
        <v>18018</v>
      </c>
      <c r="D15178" t="s">
        <v>48985</v>
      </c>
      <c r="E15178" t="b">
        <v>0</v>
      </c>
      <c r="F15178" t="s">
        <v>11622</v>
      </c>
      <c r="L15178">
        <v>176</v>
      </c>
      <c r="M15178">
        <v>255</v>
      </c>
      <c r="N15178">
        <v>418</v>
      </c>
    </row>
    <row r="15179" spans="1:15">
      <c r="A15179" t="s">
        <v>31520</v>
      </c>
      <c r="B15179" t="s">
        <v>12438</v>
      </c>
      <c r="C15179" t="s">
        <v>12918</v>
      </c>
      <c r="D15179" t="s">
        <v>48986</v>
      </c>
      <c r="E15179" t="b">
        <v>0</v>
      </c>
      <c r="F15179" t="s">
        <v>11622</v>
      </c>
      <c r="L15179">
        <v>7</v>
      </c>
      <c r="M15179">
        <v>14</v>
      </c>
      <c r="N15179">
        <v>20</v>
      </c>
    </row>
    <row r="15180" spans="1:15">
      <c r="A15180" t="s">
        <v>36217</v>
      </c>
      <c r="B15180" t="s">
        <v>12438</v>
      </c>
      <c r="C15180" t="s">
        <v>45764</v>
      </c>
      <c r="D15180" t="s">
        <v>48987</v>
      </c>
      <c r="E15180" t="b">
        <v>0</v>
      </c>
      <c r="F15180" t="s">
        <v>11622</v>
      </c>
      <c r="L15180">
        <v>6</v>
      </c>
      <c r="M15180">
        <v>14</v>
      </c>
      <c r="N15180">
        <v>15</v>
      </c>
    </row>
    <row r="15181" spans="1:15">
      <c r="A15181" t="s">
        <v>48988</v>
      </c>
      <c r="B15181" t="s">
        <v>11637</v>
      </c>
      <c r="C15181" t="s">
        <v>26655</v>
      </c>
      <c r="D15181" t="s">
        <v>48989</v>
      </c>
      <c r="E15181" t="b">
        <v>0</v>
      </c>
      <c r="F15181" t="s">
        <v>11622</v>
      </c>
      <c r="L15181">
        <v>73</v>
      </c>
      <c r="M15181">
        <v>104</v>
      </c>
      <c r="N15181">
        <v>400</v>
      </c>
    </row>
    <row r="15182" spans="1:15">
      <c r="A15182" t="s">
        <v>42289</v>
      </c>
      <c r="B15182" t="s">
        <v>12959</v>
      </c>
      <c r="C15182" t="s">
        <v>46381</v>
      </c>
      <c r="D15182" t="s">
        <v>48990</v>
      </c>
      <c r="E15182" t="b">
        <v>0</v>
      </c>
      <c r="F15182" t="s">
        <v>11622</v>
      </c>
      <c r="L15182">
        <v>1</v>
      </c>
      <c r="M15182">
        <v>4</v>
      </c>
      <c r="N15182">
        <v>0</v>
      </c>
    </row>
    <row r="15183" spans="1:15">
      <c r="A15183" t="s">
        <v>30115</v>
      </c>
      <c r="B15183" t="s">
        <v>10597</v>
      </c>
      <c r="C15183" t="s">
        <v>47111</v>
      </c>
      <c r="D15183" t="s">
        <v>48991</v>
      </c>
      <c r="E15183" t="b">
        <v>0</v>
      </c>
      <c r="F15183" t="s">
        <v>11622</v>
      </c>
      <c r="L15183">
        <v>4</v>
      </c>
      <c r="M15183">
        <v>6</v>
      </c>
      <c r="N15183">
        <v>5</v>
      </c>
    </row>
    <row r="15184" spans="1:15">
      <c r="A15184" t="s">
        <v>33561</v>
      </c>
      <c r="B15184" t="s">
        <v>11644</v>
      </c>
      <c r="C15184" t="s">
        <v>28526</v>
      </c>
      <c r="D15184" t="s">
        <v>48992</v>
      </c>
      <c r="E15184" t="b">
        <v>0</v>
      </c>
      <c r="F15184" t="s">
        <v>11622</v>
      </c>
      <c r="L15184">
        <v>2</v>
      </c>
      <c r="M15184">
        <v>8</v>
      </c>
      <c r="N15184">
        <v>37</v>
      </c>
    </row>
    <row r="15185" spans="1:14">
      <c r="A15185" t="s">
        <v>18913</v>
      </c>
      <c r="B15185" t="s">
        <v>11607</v>
      </c>
      <c r="C15185" t="s">
        <v>18915</v>
      </c>
      <c r="D15185" t="s">
        <v>48993</v>
      </c>
      <c r="E15185" t="b">
        <v>0</v>
      </c>
      <c r="F15185" t="s">
        <v>11622</v>
      </c>
      <c r="L15185">
        <v>27</v>
      </c>
      <c r="M15185">
        <v>50</v>
      </c>
      <c r="N15185">
        <v>99</v>
      </c>
    </row>
    <row r="15186" spans="1:14">
      <c r="A15186" t="s">
        <v>42921</v>
      </c>
      <c r="B15186" t="s">
        <v>11607</v>
      </c>
      <c r="C15186" t="s">
        <v>43188</v>
      </c>
      <c r="D15186" t="s">
        <v>48994</v>
      </c>
      <c r="E15186" t="b">
        <v>0</v>
      </c>
      <c r="F15186" t="s">
        <v>11622</v>
      </c>
      <c r="L15186">
        <v>2</v>
      </c>
      <c r="M15186">
        <v>6</v>
      </c>
      <c r="N15186">
        <v>18</v>
      </c>
    </row>
    <row r="15187" spans="1:14">
      <c r="A15187" t="s">
        <v>48995</v>
      </c>
      <c r="B15187" t="s">
        <v>11607</v>
      </c>
      <c r="C15187" t="s">
        <v>15389</v>
      </c>
      <c r="D15187" t="s">
        <v>48996</v>
      </c>
      <c r="E15187" t="b">
        <v>0</v>
      </c>
      <c r="F15187" t="s">
        <v>11622</v>
      </c>
      <c r="L15187">
        <v>1</v>
      </c>
      <c r="M15187">
        <v>3</v>
      </c>
      <c r="N15187">
        <v>8</v>
      </c>
    </row>
    <row r="15188" spans="1:14">
      <c r="A15188" t="s">
        <v>48997</v>
      </c>
      <c r="B15188" t="s">
        <v>11637</v>
      </c>
      <c r="C15188" t="s">
        <v>48988</v>
      </c>
      <c r="D15188" t="s">
        <v>48998</v>
      </c>
      <c r="E15188" t="b">
        <v>0</v>
      </c>
      <c r="F15188" t="s">
        <v>11622</v>
      </c>
      <c r="L15188">
        <v>8</v>
      </c>
      <c r="M15188">
        <v>15</v>
      </c>
      <c r="N15188">
        <v>71</v>
      </c>
    </row>
    <row r="15189" spans="1:14">
      <c r="A15189" t="s">
        <v>17271</v>
      </c>
      <c r="B15189" t="s">
        <v>13571</v>
      </c>
      <c r="C15189" t="s">
        <v>22320</v>
      </c>
      <c r="D15189" t="s">
        <v>48999</v>
      </c>
      <c r="E15189" t="b">
        <v>0</v>
      </c>
      <c r="F15189" t="s">
        <v>11622</v>
      </c>
      <c r="L15189">
        <v>2</v>
      </c>
      <c r="M15189">
        <v>9</v>
      </c>
      <c r="N15189">
        <v>1</v>
      </c>
    </row>
    <row r="15190" spans="1:14">
      <c r="A15190" t="s">
        <v>18608</v>
      </c>
      <c r="B15190" t="s">
        <v>11607</v>
      </c>
      <c r="C15190" t="s">
        <v>48995</v>
      </c>
      <c r="D15190" t="s">
        <v>49000</v>
      </c>
      <c r="E15190" t="b">
        <v>0</v>
      </c>
      <c r="F15190" t="s">
        <v>11622</v>
      </c>
      <c r="L15190">
        <v>0</v>
      </c>
      <c r="M15190">
        <v>2</v>
      </c>
      <c r="N15190">
        <v>4</v>
      </c>
    </row>
    <row r="15191" spans="1:14">
      <c r="A15191" t="s">
        <v>12909</v>
      </c>
      <c r="B15191" t="s">
        <v>11607</v>
      </c>
      <c r="C15191" t="s">
        <v>20563</v>
      </c>
      <c r="D15191" t="s">
        <v>49001</v>
      </c>
      <c r="E15191" t="b">
        <v>0</v>
      </c>
      <c r="F15191" t="s">
        <v>11622</v>
      </c>
      <c r="L15191">
        <v>1</v>
      </c>
      <c r="M15191">
        <v>3</v>
      </c>
      <c r="N15191">
        <v>1</v>
      </c>
    </row>
    <row r="15192" spans="1:14">
      <c r="A15192" t="s">
        <v>14307</v>
      </c>
      <c r="B15192" t="s">
        <v>11607</v>
      </c>
      <c r="C15192" t="s">
        <v>14243</v>
      </c>
      <c r="D15192" t="s">
        <v>49002</v>
      </c>
      <c r="E15192" t="b">
        <v>0</v>
      </c>
      <c r="F15192" t="s">
        <v>11622</v>
      </c>
      <c r="L15192">
        <v>15</v>
      </c>
      <c r="M15192">
        <v>27</v>
      </c>
      <c r="N15192">
        <v>92</v>
      </c>
    </row>
    <row r="15193" spans="1:14">
      <c r="A15193" t="s">
        <v>19368</v>
      </c>
      <c r="B15193" t="s">
        <v>6742</v>
      </c>
      <c r="C15193" t="s">
        <v>20258</v>
      </c>
      <c r="D15193" t="s">
        <v>49003</v>
      </c>
      <c r="E15193" t="b">
        <v>0</v>
      </c>
      <c r="F15193" t="s">
        <v>11622</v>
      </c>
      <c r="L15193">
        <v>0</v>
      </c>
      <c r="M15193">
        <v>2</v>
      </c>
      <c r="N15193">
        <v>4</v>
      </c>
    </row>
    <row r="15194" spans="1:14">
      <c r="A15194" t="s">
        <v>23899</v>
      </c>
      <c r="B15194" t="s">
        <v>6742</v>
      </c>
      <c r="C15194" t="s">
        <v>16821</v>
      </c>
      <c r="D15194" t="s">
        <v>49004</v>
      </c>
      <c r="E15194" t="b">
        <v>0</v>
      </c>
      <c r="F15194" t="s">
        <v>11622</v>
      </c>
      <c r="L15194">
        <v>17</v>
      </c>
      <c r="M15194">
        <v>24</v>
      </c>
      <c r="N15194">
        <v>42</v>
      </c>
    </row>
    <row r="15195" spans="1:14">
      <c r="A15195" t="s">
        <v>25137</v>
      </c>
      <c r="B15195" t="s">
        <v>6742</v>
      </c>
      <c r="C15195" t="s">
        <v>12468</v>
      </c>
      <c r="D15195" t="s">
        <v>49005</v>
      </c>
      <c r="E15195" t="b">
        <v>0</v>
      </c>
      <c r="F15195" t="s">
        <v>11622</v>
      </c>
      <c r="L15195">
        <v>0</v>
      </c>
      <c r="M15195">
        <v>5</v>
      </c>
      <c r="N15195">
        <v>4</v>
      </c>
    </row>
    <row r="15196" spans="1:14">
      <c r="A15196" t="s">
        <v>16291</v>
      </c>
      <c r="B15196" t="s">
        <v>367</v>
      </c>
      <c r="C15196" t="s">
        <v>41578</v>
      </c>
      <c r="D15196" t="s">
        <v>49006</v>
      </c>
      <c r="E15196" t="b">
        <v>0</v>
      </c>
      <c r="F15196" t="s">
        <v>11622</v>
      </c>
      <c r="L15196">
        <v>33</v>
      </c>
      <c r="M15196">
        <v>74</v>
      </c>
      <c r="N15196">
        <v>105</v>
      </c>
    </row>
    <row r="15197" spans="1:14">
      <c r="A15197" t="s">
        <v>18061</v>
      </c>
      <c r="B15197" t="s">
        <v>367</v>
      </c>
      <c r="C15197" t="s">
        <v>35603</v>
      </c>
      <c r="D15197" t="s">
        <v>49007</v>
      </c>
      <c r="E15197" t="b">
        <v>0</v>
      </c>
      <c r="F15197" t="s">
        <v>11622</v>
      </c>
      <c r="L15197">
        <v>15</v>
      </c>
      <c r="M15197">
        <v>22</v>
      </c>
      <c r="N15197">
        <v>53</v>
      </c>
    </row>
    <row r="15198" spans="1:14">
      <c r="A15198" t="s">
        <v>19477</v>
      </c>
      <c r="B15198" t="s">
        <v>367</v>
      </c>
      <c r="C15198" t="s">
        <v>35603</v>
      </c>
      <c r="D15198" t="s">
        <v>49008</v>
      </c>
      <c r="E15198" t="b">
        <v>0</v>
      </c>
      <c r="F15198" t="s">
        <v>11622</v>
      </c>
      <c r="L15198">
        <v>0</v>
      </c>
      <c r="M15198">
        <v>2</v>
      </c>
      <c r="N15198">
        <v>3</v>
      </c>
    </row>
    <row r="15199" spans="1:14">
      <c r="A15199" t="s">
        <v>48705</v>
      </c>
      <c r="B15199" t="s">
        <v>367</v>
      </c>
      <c r="C15199" t="s">
        <v>49009</v>
      </c>
      <c r="D15199" t="s">
        <v>49010</v>
      </c>
      <c r="E15199" t="b">
        <v>0</v>
      </c>
      <c r="F15199" t="s">
        <v>11622</v>
      </c>
      <c r="L15199">
        <v>1</v>
      </c>
      <c r="M15199">
        <v>3</v>
      </c>
      <c r="N15199">
        <v>16</v>
      </c>
    </row>
    <row r="15200" spans="1:14">
      <c r="A15200" t="s">
        <v>13172</v>
      </c>
      <c r="B15200" t="s">
        <v>11637</v>
      </c>
      <c r="C15200" t="s">
        <v>31119</v>
      </c>
      <c r="D15200" t="s">
        <v>49011</v>
      </c>
      <c r="E15200" t="b">
        <v>0</v>
      </c>
      <c r="F15200" t="s">
        <v>11622</v>
      </c>
      <c r="L15200">
        <v>35</v>
      </c>
      <c r="M15200">
        <v>52</v>
      </c>
      <c r="N15200">
        <v>167</v>
      </c>
    </row>
    <row r="15201" spans="1:15">
      <c r="A15201" t="s">
        <v>16331</v>
      </c>
      <c r="B15201" t="s">
        <v>11637</v>
      </c>
      <c r="C15201" t="s">
        <v>15679</v>
      </c>
      <c r="D15201" t="s">
        <v>49012</v>
      </c>
      <c r="E15201" t="b">
        <v>0</v>
      </c>
      <c r="F15201" t="s">
        <v>11622</v>
      </c>
      <c r="L15201">
        <v>25</v>
      </c>
      <c r="M15201">
        <v>50</v>
      </c>
      <c r="N15201">
        <v>87</v>
      </c>
    </row>
    <row r="15202" spans="1:15">
      <c r="A15202" t="s">
        <v>47279</v>
      </c>
      <c r="B15202" t="s">
        <v>10597</v>
      </c>
      <c r="C15202" t="s">
        <v>21820</v>
      </c>
      <c r="D15202" t="s">
        <v>49013</v>
      </c>
      <c r="E15202" t="b">
        <v>0</v>
      </c>
      <c r="F15202" t="s">
        <v>11622</v>
      </c>
      <c r="L15202">
        <v>0</v>
      </c>
      <c r="M15202">
        <v>2</v>
      </c>
      <c r="N15202">
        <v>0</v>
      </c>
    </row>
    <row r="15203" spans="1:15">
      <c r="A15203" t="s">
        <v>49014</v>
      </c>
      <c r="B15203" t="s">
        <v>11644</v>
      </c>
      <c r="C15203" t="s">
        <v>36300</v>
      </c>
      <c r="D15203" t="s">
        <v>49015</v>
      </c>
      <c r="E15203" t="b">
        <v>0</v>
      </c>
      <c r="F15203" t="s">
        <v>11622</v>
      </c>
      <c r="L15203">
        <v>3</v>
      </c>
      <c r="M15203">
        <v>12</v>
      </c>
      <c r="N15203">
        <v>22</v>
      </c>
    </row>
    <row r="15204" spans="1:15">
      <c r="A15204" t="s">
        <v>49016</v>
      </c>
      <c r="B15204" t="s">
        <v>5126</v>
      </c>
      <c r="C15204" t="s">
        <v>18143</v>
      </c>
      <c r="D15204" t="s">
        <v>49017</v>
      </c>
      <c r="E15204" t="b">
        <v>0</v>
      </c>
      <c r="F15204" t="s">
        <v>11622</v>
      </c>
      <c r="I15204" t="s">
        <v>49018</v>
      </c>
      <c r="L15204">
        <v>3</v>
      </c>
      <c r="M15204">
        <v>18</v>
      </c>
      <c r="N15204">
        <v>3</v>
      </c>
      <c r="O15204" t="s">
        <v>11905</v>
      </c>
    </row>
    <row r="15205" spans="1:15">
      <c r="A15205" t="s">
        <v>48870</v>
      </c>
      <c r="B15205" t="s">
        <v>12979</v>
      </c>
      <c r="C15205" t="s">
        <v>21828</v>
      </c>
      <c r="D15205" t="s">
        <v>49019</v>
      </c>
      <c r="E15205" t="b">
        <v>0</v>
      </c>
      <c r="F15205" t="s">
        <v>11622</v>
      </c>
      <c r="L15205">
        <v>0</v>
      </c>
      <c r="M15205">
        <v>2</v>
      </c>
      <c r="N15205">
        <v>5</v>
      </c>
    </row>
    <row r="15206" spans="1:15">
      <c r="A15206" t="s">
        <v>12188</v>
      </c>
      <c r="B15206" t="s">
        <v>6742</v>
      </c>
      <c r="C15206" t="s">
        <v>24442</v>
      </c>
      <c r="D15206" t="s">
        <v>49020</v>
      </c>
      <c r="E15206" t="b">
        <v>0</v>
      </c>
      <c r="F15206" t="s">
        <v>11622</v>
      </c>
      <c r="L15206">
        <v>5</v>
      </c>
      <c r="M15206">
        <v>12</v>
      </c>
      <c r="N15206">
        <v>17</v>
      </c>
    </row>
    <row r="15207" spans="1:15">
      <c r="A15207" t="s">
        <v>49021</v>
      </c>
      <c r="B15207" t="s">
        <v>6742</v>
      </c>
      <c r="C15207" t="s">
        <v>24442</v>
      </c>
      <c r="D15207" t="s">
        <v>49022</v>
      </c>
      <c r="E15207" t="b">
        <v>0</v>
      </c>
      <c r="F15207" t="s">
        <v>11622</v>
      </c>
      <c r="L15207">
        <v>4</v>
      </c>
      <c r="M15207">
        <v>8</v>
      </c>
      <c r="N15207">
        <v>25</v>
      </c>
    </row>
    <row r="15208" spans="1:15">
      <c r="A15208" t="s">
        <v>30450</v>
      </c>
      <c r="B15208" t="s">
        <v>6742</v>
      </c>
      <c r="C15208" t="s">
        <v>47847</v>
      </c>
      <c r="D15208" t="s">
        <v>49023</v>
      </c>
      <c r="E15208" t="b">
        <v>0</v>
      </c>
      <c r="F15208" t="s">
        <v>11622</v>
      </c>
      <c r="L15208">
        <v>3</v>
      </c>
      <c r="M15208">
        <v>13</v>
      </c>
      <c r="N15208">
        <v>8</v>
      </c>
    </row>
    <row r="15209" spans="1:15">
      <c r="A15209" t="s">
        <v>17387</v>
      </c>
      <c r="B15209" t="s">
        <v>367</v>
      </c>
      <c r="C15209" t="s">
        <v>5360</v>
      </c>
      <c r="D15209" t="s">
        <v>49024</v>
      </c>
      <c r="E15209" t="b">
        <v>0</v>
      </c>
      <c r="F15209" t="s">
        <v>11622</v>
      </c>
      <c r="L15209">
        <v>1</v>
      </c>
      <c r="M15209">
        <v>3</v>
      </c>
      <c r="N15209">
        <v>0</v>
      </c>
    </row>
    <row r="15210" spans="1:15">
      <c r="A15210" t="s">
        <v>19527</v>
      </c>
      <c r="B15210" t="s">
        <v>367</v>
      </c>
      <c r="C15210" t="s">
        <v>11674</v>
      </c>
      <c r="D15210" t="s">
        <v>49025</v>
      </c>
      <c r="E15210" t="b">
        <v>0</v>
      </c>
      <c r="F15210" t="s">
        <v>11622</v>
      </c>
      <c r="L15210">
        <v>3</v>
      </c>
      <c r="M15210">
        <v>9</v>
      </c>
      <c r="N15210">
        <v>40</v>
      </c>
    </row>
    <row r="15211" spans="1:15">
      <c r="A15211" t="s">
        <v>25581</v>
      </c>
      <c r="B15211" t="s">
        <v>367</v>
      </c>
      <c r="C15211" t="s">
        <v>14626</v>
      </c>
      <c r="D15211" t="s">
        <v>49026</v>
      </c>
      <c r="E15211" t="b">
        <v>0</v>
      </c>
      <c r="F15211" t="s">
        <v>11622</v>
      </c>
      <c r="L15211">
        <v>2</v>
      </c>
      <c r="M15211">
        <v>4</v>
      </c>
      <c r="N15211">
        <v>12</v>
      </c>
    </row>
    <row r="15212" spans="1:15">
      <c r="A15212" t="s">
        <v>12457</v>
      </c>
      <c r="B15212" t="s">
        <v>5126</v>
      </c>
      <c r="C15212" t="s">
        <v>28998</v>
      </c>
      <c r="D15212" t="s">
        <v>49027</v>
      </c>
      <c r="E15212" t="b">
        <v>0</v>
      </c>
      <c r="F15212" t="s">
        <v>11622</v>
      </c>
      <c r="L15212">
        <v>1</v>
      </c>
      <c r="M15212">
        <v>3</v>
      </c>
      <c r="N15212">
        <v>2</v>
      </c>
    </row>
    <row r="15213" spans="1:15">
      <c r="A15213" t="s">
        <v>19778</v>
      </c>
      <c r="B15213" t="s">
        <v>5126</v>
      </c>
      <c r="C15213" t="s">
        <v>49016</v>
      </c>
      <c r="D15213" t="s">
        <v>49028</v>
      </c>
      <c r="E15213" t="b">
        <v>0</v>
      </c>
      <c r="F15213" t="s">
        <v>11622</v>
      </c>
      <c r="L15213">
        <v>1</v>
      </c>
      <c r="M15213">
        <v>15</v>
      </c>
      <c r="N15213">
        <v>3</v>
      </c>
    </row>
    <row r="15214" spans="1:15">
      <c r="A15214" t="s">
        <v>28978</v>
      </c>
      <c r="B15214" t="s">
        <v>11607</v>
      </c>
      <c r="C15214" t="s">
        <v>49029</v>
      </c>
      <c r="D15214" t="s">
        <v>49030</v>
      </c>
      <c r="E15214" t="b">
        <v>0</v>
      </c>
      <c r="F15214" t="s">
        <v>11622</v>
      </c>
      <c r="L15214">
        <v>1</v>
      </c>
      <c r="M15214">
        <v>3</v>
      </c>
      <c r="N15214">
        <v>9</v>
      </c>
    </row>
    <row r="15215" spans="1:15">
      <c r="A15215" t="s">
        <v>13031</v>
      </c>
      <c r="B15215" t="s">
        <v>11607</v>
      </c>
      <c r="C15215" t="s">
        <v>1523</v>
      </c>
      <c r="D15215" t="s">
        <v>49031</v>
      </c>
      <c r="E15215" t="b">
        <v>0</v>
      </c>
      <c r="F15215" t="s">
        <v>11622</v>
      </c>
      <c r="L15215">
        <v>1</v>
      </c>
      <c r="M15215">
        <v>11</v>
      </c>
      <c r="N15215">
        <v>28</v>
      </c>
    </row>
    <row r="15216" spans="1:15">
      <c r="A15216" t="s">
        <v>11799</v>
      </c>
      <c r="B15216" t="s">
        <v>6742</v>
      </c>
      <c r="C15216" t="s">
        <v>21844</v>
      </c>
      <c r="D15216" t="s">
        <v>49032</v>
      </c>
      <c r="E15216" t="b">
        <v>0</v>
      </c>
      <c r="F15216" t="s">
        <v>11622</v>
      </c>
      <c r="L15216">
        <v>0</v>
      </c>
      <c r="M15216">
        <v>4</v>
      </c>
      <c r="N15216">
        <v>3</v>
      </c>
    </row>
    <row r="15217" spans="1:14">
      <c r="A15217" t="s">
        <v>17012</v>
      </c>
      <c r="B15217" t="s">
        <v>6742</v>
      </c>
      <c r="C15217" t="s">
        <v>29742</v>
      </c>
      <c r="D15217" t="s">
        <v>49033</v>
      </c>
      <c r="E15217" t="b">
        <v>0</v>
      </c>
      <c r="F15217" t="s">
        <v>11622</v>
      </c>
      <c r="L15217">
        <v>2</v>
      </c>
      <c r="M15217">
        <v>4</v>
      </c>
      <c r="N15217">
        <v>25</v>
      </c>
    </row>
    <row r="15218" spans="1:14">
      <c r="A15218" t="s">
        <v>26212</v>
      </c>
      <c r="B15218" t="s">
        <v>367</v>
      </c>
      <c r="C15218" t="s">
        <v>21581</v>
      </c>
      <c r="D15218" t="s">
        <v>49034</v>
      </c>
      <c r="E15218" t="b">
        <v>0</v>
      </c>
      <c r="F15218" t="s">
        <v>11622</v>
      </c>
      <c r="L15218">
        <v>5</v>
      </c>
      <c r="M15218">
        <v>9</v>
      </c>
      <c r="N15218">
        <v>29</v>
      </c>
    </row>
    <row r="15219" spans="1:14">
      <c r="A15219" t="s">
        <v>21860</v>
      </c>
      <c r="B15219" t="s">
        <v>367</v>
      </c>
      <c r="C15219" t="s">
        <v>12101</v>
      </c>
      <c r="D15219" t="s">
        <v>49035</v>
      </c>
      <c r="E15219" t="b">
        <v>0</v>
      </c>
      <c r="F15219" t="s">
        <v>11622</v>
      </c>
      <c r="L15219">
        <v>49</v>
      </c>
      <c r="M15219">
        <v>105</v>
      </c>
      <c r="N15219">
        <v>75</v>
      </c>
    </row>
    <row r="15220" spans="1:14">
      <c r="A15220" t="s">
        <v>21865</v>
      </c>
      <c r="B15220" t="s">
        <v>367</v>
      </c>
      <c r="C15220" t="s">
        <v>2077</v>
      </c>
      <c r="D15220" t="s">
        <v>49036</v>
      </c>
      <c r="E15220" t="b">
        <v>0</v>
      </c>
      <c r="F15220" t="s">
        <v>11622</v>
      </c>
      <c r="L15220">
        <v>6</v>
      </c>
      <c r="M15220">
        <v>8</v>
      </c>
      <c r="N15220">
        <v>9</v>
      </c>
    </row>
    <row r="15221" spans="1:14">
      <c r="A15221" t="s">
        <v>34461</v>
      </c>
      <c r="B15221" t="s">
        <v>11637</v>
      </c>
      <c r="C15221" t="s">
        <v>13849</v>
      </c>
      <c r="D15221" t="s">
        <v>49037</v>
      </c>
      <c r="E15221" t="b">
        <v>0</v>
      </c>
      <c r="F15221" t="s">
        <v>11622</v>
      </c>
      <c r="L15221">
        <v>1</v>
      </c>
      <c r="M15221">
        <v>4</v>
      </c>
      <c r="N15221">
        <v>17</v>
      </c>
    </row>
    <row r="15222" spans="1:14">
      <c r="A15222" t="s">
        <v>14145</v>
      </c>
      <c r="B15222" t="s">
        <v>11879</v>
      </c>
      <c r="C15222" t="s">
        <v>8183</v>
      </c>
      <c r="D15222" t="s">
        <v>49038</v>
      </c>
      <c r="E15222" t="b">
        <v>0</v>
      </c>
      <c r="F15222" t="s">
        <v>11622</v>
      </c>
      <c r="L15222">
        <v>0</v>
      </c>
      <c r="M15222">
        <v>3</v>
      </c>
      <c r="N15222">
        <v>0</v>
      </c>
    </row>
    <row r="15223" spans="1:14">
      <c r="A15223" t="s">
        <v>23202</v>
      </c>
      <c r="B15223" t="s">
        <v>11879</v>
      </c>
      <c r="C15223" t="s">
        <v>8183</v>
      </c>
      <c r="D15223" t="s">
        <v>49039</v>
      </c>
      <c r="E15223" t="b">
        <v>0</v>
      </c>
      <c r="F15223" t="s">
        <v>11622</v>
      </c>
      <c r="L15223">
        <v>0</v>
      </c>
      <c r="M15223">
        <v>3</v>
      </c>
      <c r="N15223">
        <v>0</v>
      </c>
    </row>
    <row r="15224" spans="1:14">
      <c r="A15224" t="s">
        <v>20828</v>
      </c>
      <c r="B15224" t="s">
        <v>11879</v>
      </c>
      <c r="C15224" t="s">
        <v>8183</v>
      </c>
      <c r="D15224" t="s">
        <v>49040</v>
      </c>
      <c r="E15224" t="b">
        <v>0</v>
      </c>
      <c r="F15224" t="s">
        <v>11622</v>
      </c>
      <c r="L15224">
        <v>0</v>
      </c>
      <c r="M15224">
        <v>4</v>
      </c>
      <c r="N15224">
        <v>0</v>
      </c>
    </row>
    <row r="15225" spans="1:14">
      <c r="A15225" t="s">
        <v>44253</v>
      </c>
      <c r="B15225" t="s">
        <v>11879</v>
      </c>
      <c r="C15225" t="s">
        <v>5465</v>
      </c>
      <c r="D15225" t="s">
        <v>49041</v>
      </c>
      <c r="E15225" t="b">
        <v>0</v>
      </c>
      <c r="F15225" t="s">
        <v>11622</v>
      </c>
      <c r="L15225">
        <v>0</v>
      </c>
      <c r="M15225">
        <v>2</v>
      </c>
      <c r="N15225">
        <v>0</v>
      </c>
    </row>
    <row r="15226" spans="1:14">
      <c r="A15226" t="s">
        <v>23198</v>
      </c>
      <c r="B15226" t="s">
        <v>12751</v>
      </c>
      <c r="C15226" t="s">
        <v>49042</v>
      </c>
      <c r="D15226" t="s">
        <v>49043</v>
      </c>
      <c r="E15226" t="b">
        <v>0</v>
      </c>
      <c r="F15226" t="s">
        <v>11622</v>
      </c>
      <c r="L15226">
        <v>0</v>
      </c>
      <c r="M15226">
        <v>2</v>
      </c>
      <c r="N15226">
        <v>0</v>
      </c>
    </row>
    <row r="15227" spans="1:14">
      <c r="A15227" t="s">
        <v>21871</v>
      </c>
      <c r="B15227" t="s">
        <v>6742</v>
      </c>
      <c r="C15227" t="s">
        <v>19707</v>
      </c>
      <c r="D15227" t="s">
        <v>49044</v>
      </c>
      <c r="E15227" t="b">
        <v>0</v>
      </c>
      <c r="F15227" t="s">
        <v>11622</v>
      </c>
      <c r="L15227">
        <v>75</v>
      </c>
      <c r="M15227">
        <v>131</v>
      </c>
      <c r="N15227">
        <v>196</v>
      </c>
    </row>
    <row r="15228" spans="1:14">
      <c r="A15228" t="s">
        <v>29533</v>
      </c>
      <c r="B15228" t="s">
        <v>6742</v>
      </c>
      <c r="C15228" t="s">
        <v>29851</v>
      </c>
      <c r="D15228" t="s">
        <v>49045</v>
      </c>
      <c r="E15228" t="b">
        <v>0</v>
      </c>
      <c r="F15228" t="s">
        <v>11622</v>
      </c>
      <c r="L15228">
        <v>9</v>
      </c>
      <c r="M15228">
        <v>15</v>
      </c>
      <c r="N15228">
        <v>10</v>
      </c>
    </row>
    <row r="15229" spans="1:14">
      <c r="A15229" t="s">
        <v>13357</v>
      </c>
      <c r="B15229" t="s">
        <v>367</v>
      </c>
      <c r="C15229" t="s">
        <v>21860</v>
      </c>
      <c r="D15229" t="s">
        <v>49046</v>
      </c>
      <c r="E15229" t="b">
        <v>0</v>
      </c>
      <c r="F15229" t="s">
        <v>11622</v>
      </c>
      <c r="L15229">
        <v>15</v>
      </c>
      <c r="M15229">
        <v>49</v>
      </c>
      <c r="N15229">
        <v>27</v>
      </c>
    </row>
    <row r="15230" spans="1:14">
      <c r="A15230" t="s">
        <v>31743</v>
      </c>
      <c r="B15230" t="s">
        <v>367</v>
      </c>
      <c r="C15230" t="s">
        <v>44192</v>
      </c>
      <c r="D15230" t="s">
        <v>49047</v>
      </c>
      <c r="E15230" t="b">
        <v>0</v>
      </c>
      <c r="F15230" t="s">
        <v>11622</v>
      </c>
      <c r="L15230">
        <v>53</v>
      </c>
      <c r="M15230">
        <v>105</v>
      </c>
      <c r="N15230">
        <v>71</v>
      </c>
    </row>
    <row r="15231" spans="1:14">
      <c r="A15231" t="s">
        <v>14009</v>
      </c>
      <c r="B15231" t="s">
        <v>367</v>
      </c>
      <c r="C15231" t="s">
        <v>21865</v>
      </c>
      <c r="D15231" t="s">
        <v>49048</v>
      </c>
      <c r="E15231" t="b">
        <v>0</v>
      </c>
      <c r="F15231" t="s">
        <v>11622</v>
      </c>
      <c r="L15231">
        <v>1</v>
      </c>
      <c r="M15231">
        <v>3</v>
      </c>
      <c r="N15231">
        <v>2</v>
      </c>
    </row>
    <row r="15232" spans="1:14">
      <c r="A15232" t="s">
        <v>28410</v>
      </c>
      <c r="B15232" t="s">
        <v>11637</v>
      </c>
      <c r="C15232" t="s">
        <v>49049</v>
      </c>
      <c r="D15232" t="s">
        <v>49050</v>
      </c>
      <c r="E15232" t="b">
        <v>0</v>
      </c>
      <c r="F15232" t="s">
        <v>11622</v>
      </c>
      <c r="L15232">
        <v>14</v>
      </c>
      <c r="M15232">
        <v>31</v>
      </c>
      <c r="N15232">
        <v>107</v>
      </c>
    </row>
    <row r="15233" spans="1:14">
      <c r="A15233" t="s">
        <v>23179</v>
      </c>
      <c r="B15233" t="s">
        <v>6742</v>
      </c>
      <c r="C15233" t="s">
        <v>21871</v>
      </c>
      <c r="D15233" t="s">
        <v>49051</v>
      </c>
      <c r="E15233" t="b">
        <v>0</v>
      </c>
      <c r="F15233" t="s">
        <v>11622</v>
      </c>
      <c r="L15233">
        <v>20</v>
      </c>
      <c r="M15233">
        <v>32</v>
      </c>
      <c r="N15233">
        <v>49</v>
      </c>
    </row>
    <row r="15234" spans="1:14">
      <c r="A15234" t="s">
        <v>39225</v>
      </c>
      <c r="B15234" t="s">
        <v>6742</v>
      </c>
      <c r="C15234" t="s">
        <v>13506</v>
      </c>
      <c r="D15234" t="s">
        <v>49052</v>
      </c>
      <c r="E15234" t="b">
        <v>0</v>
      </c>
      <c r="F15234" t="s">
        <v>11622</v>
      </c>
      <c r="L15234">
        <v>7</v>
      </c>
      <c r="M15234">
        <v>15</v>
      </c>
      <c r="N15234">
        <v>12</v>
      </c>
    </row>
    <row r="15235" spans="1:14">
      <c r="A15235" t="s">
        <v>33311</v>
      </c>
      <c r="B15235" t="s">
        <v>367</v>
      </c>
      <c r="C15235" t="s">
        <v>27575</v>
      </c>
      <c r="D15235" t="s">
        <v>49053</v>
      </c>
      <c r="E15235" t="b">
        <v>0</v>
      </c>
      <c r="F15235" t="s">
        <v>11622</v>
      </c>
      <c r="L15235">
        <v>8</v>
      </c>
      <c r="M15235">
        <v>14</v>
      </c>
      <c r="N15235">
        <v>2</v>
      </c>
    </row>
    <row r="15236" spans="1:14">
      <c r="A15236" t="s">
        <v>16979</v>
      </c>
      <c r="B15236" t="s">
        <v>367</v>
      </c>
      <c r="C15236" t="s">
        <v>20603</v>
      </c>
      <c r="D15236" t="s">
        <v>49054</v>
      </c>
      <c r="E15236" t="b">
        <v>0</v>
      </c>
      <c r="F15236" t="s">
        <v>11622</v>
      </c>
      <c r="L15236">
        <v>1</v>
      </c>
      <c r="M15236">
        <v>3</v>
      </c>
      <c r="N15236">
        <v>5</v>
      </c>
    </row>
    <row r="15237" spans="1:14">
      <c r="A15237" t="s">
        <v>34740</v>
      </c>
      <c r="B15237" t="s">
        <v>6742</v>
      </c>
      <c r="C15237" t="s">
        <v>49055</v>
      </c>
      <c r="D15237" t="s">
        <v>49056</v>
      </c>
      <c r="E15237" t="b">
        <v>0</v>
      </c>
      <c r="F15237" t="s">
        <v>11622</v>
      </c>
      <c r="L15237">
        <v>0</v>
      </c>
      <c r="M15237">
        <v>3</v>
      </c>
      <c r="N15237">
        <v>0</v>
      </c>
    </row>
    <row r="15238" spans="1:14">
      <c r="A15238" t="s">
        <v>22937</v>
      </c>
      <c r="B15238" t="s">
        <v>6742</v>
      </c>
      <c r="C15238" t="s">
        <v>21870</v>
      </c>
      <c r="D15238" t="s">
        <v>49057</v>
      </c>
      <c r="E15238" t="b">
        <v>0</v>
      </c>
      <c r="F15238" t="s">
        <v>11622</v>
      </c>
      <c r="L15238">
        <v>0</v>
      </c>
      <c r="M15238">
        <v>3</v>
      </c>
      <c r="N15238">
        <v>10</v>
      </c>
    </row>
    <row r="15239" spans="1:14">
      <c r="A15239" t="s">
        <v>19805</v>
      </c>
      <c r="B15239" t="s">
        <v>6742</v>
      </c>
      <c r="C15239" t="s">
        <v>39225</v>
      </c>
      <c r="D15239" t="s">
        <v>49058</v>
      </c>
      <c r="E15239" t="b">
        <v>0</v>
      </c>
      <c r="F15239" t="s">
        <v>11622</v>
      </c>
      <c r="L15239">
        <v>3</v>
      </c>
      <c r="M15239">
        <v>8</v>
      </c>
      <c r="N15239">
        <v>5</v>
      </c>
    </row>
    <row r="15240" spans="1:14">
      <c r="A15240" t="s">
        <v>12112</v>
      </c>
      <c r="B15240" t="s">
        <v>367</v>
      </c>
      <c r="C15240" t="s">
        <v>13129</v>
      </c>
      <c r="D15240" t="s">
        <v>49059</v>
      </c>
      <c r="E15240" t="b">
        <v>0</v>
      </c>
      <c r="F15240" t="s">
        <v>11622</v>
      </c>
      <c r="L15240">
        <v>0</v>
      </c>
      <c r="M15240">
        <v>2</v>
      </c>
      <c r="N15240">
        <v>12</v>
      </c>
    </row>
    <row r="15241" spans="1:14">
      <c r="A15241" t="s">
        <v>48106</v>
      </c>
      <c r="B15241" t="s">
        <v>367</v>
      </c>
      <c r="C15241" t="s">
        <v>21884</v>
      </c>
      <c r="D15241" t="s">
        <v>49060</v>
      </c>
      <c r="E15241" t="b">
        <v>0</v>
      </c>
      <c r="F15241" t="s">
        <v>11622</v>
      </c>
      <c r="L15241">
        <v>0</v>
      </c>
      <c r="M15241">
        <v>6</v>
      </c>
      <c r="N15241">
        <v>0</v>
      </c>
    </row>
    <row r="15242" spans="1:14">
      <c r="A15242" t="s">
        <v>39833</v>
      </c>
      <c r="B15242" t="s">
        <v>367</v>
      </c>
      <c r="C15242" t="s">
        <v>49061</v>
      </c>
      <c r="D15242" t="s">
        <v>49062</v>
      </c>
      <c r="E15242" t="b">
        <v>0</v>
      </c>
      <c r="F15242" t="s">
        <v>11622</v>
      </c>
      <c r="L15242">
        <v>1</v>
      </c>
      <c r="M15242">
        <v>3</v>
      </c>
      <c r="N15242">
        <v>9</v>
      </c>
    </row>
    <row r="15243" spans="1:14">
      <c r="A15243" t="s">
        <v>48926</v>
      </c>
      <c r="B15243" t="s">
        <v>367</v>
      </c>
      <c r="C15243" t="s">
        <v>22884</v>
      </c>
      <c r="D15243" t="s">
        <v>49063</v>
      </c>
      <c r="E15243" t="b">
        <v>0</v>
      </c>
      <c r="F15243" t="s">
        <v>11622</v>
      </c>
      <c r="L15243">
        <v>0</v>
      </c>
      <c r="M15243">
        <v>2</v>
      </c>
      <c r="N15243">
        <v>0</v>
      </c>
    </row>
    <row r="15244" spans="1:14">
      <c r="A15244" t="s">
        <v>28532</v>
      </c>
      <c r="B15244" t="s">
        <v>6742</v>
      </c>
      <c r="C15244" t="s">
        <v>35935</v>
      </c>
      <c r="D15244" t="s">
        <v>49064</v>
      </c>
      <c r="E15244" t="b">
        <v>0</v>
      </c>
      <c r="F15244" t="s">
        <v>11622</v>
      </c>
      <c r="L15244">
        <v>1</v>
      </c>
      <c r="M15244">
        <v>6</v>
      </c>
      <c r="N15244">
        <v>7</v>
      </c>
    </row>
    <row r="15245" spans="1:14">
      <c r="A15245" t="s">
        <v>31682</v>
      </c>
      <c r="B15245" t="s">
        <v>367</v>
      </c>
      <c r="C15245" t="s">
        <v>13259</v>
      </c>
      <c r="D15245" t="s">
        <v>49065</v>
      </c>
      <c r="E15245" t="b">
        <v>0</v>
      </c>
      <c r="F15245" t="s">
        <v>11622</v>
      </c>
      <c r="L15245">
        <v>1</v>
      </c>
      <c r="M15245">
        <v>6</v>
      </c>
      <c r="N15245">
        <v>9</v>
      </c>
    </row>
    <row r="15246" spans="1:14">
      <c r="A15246" t="s">
        <v>39764</v>
      </c>
      <c r="B15246" t="s">
        <v>367</v>
      </c>
      <c r="C15246" t="s">
        <v>26846</v>
      </c>
      <c r="D15246" t="s">
        <v>49066</v>
      </c>
      <c r="E15246" t="b">
        <v>0</v>
      </c>
      <c r="F15246" t="s">
        <v>11622</v>
      </c>
      <c r="L15246">
        <v>0</v>
      </c>
      <c r="M15246">
        <v>2</v>
      </c>
      <c r="N15246">
        <v>6</v>
      </c>
    </row>
    <row r="15247" spans="1:14">
      <c r="A15247" t="s">
        <v>42243</v>
      </c>
      <c r="B15247" t="s">
        <v>367</v>
      </c>
      <c r="C15247" t="s">
        <v>26564</v>
      </c>
      <c r="D15247" t="s">
        <v>49067</v>
      </c>
      <c r="E15247" t="b">
        <v>0</v>
      </c>
      <c r="F15247" t="s">
        <v>11622</v>
      </c>
      <c r="L15247">
        <v>2</v>
      </c>
      <c r="M15247">
        <v>4</v>
      </c>
      <c r="N15247">
        <v>0</v>
      </c>
    </row>
    <row r="15248" spans="1:14">
      <c r="A15248" t="s">
        <v>22794</v>
      </c>
      <c r="B15248" t="s">
        <v>367</v>
      </c>
      <c r="C15248" t="s">
        <v>34759</v>
      </c>
      <c r="D15248" t="s">
        <v>49068</v>
      </c>
      <c r="E15248" t="b">
        <v>0</v>
      </c>
      <c r="F15248" t="s">
        <v>11622</v>
      </c>
      <c r="L15248">
        <v>25</v>
      </c>
      <c r="M15248">
        <v>38</v>
      </c>
      <c r="N15248">
        <v>47</v>
      </c>
    </row>
    <row r="15249" spans="1:14">
      <c r="A15249" t="s">
        <v>40208</v>
      </c>
      <c r="B15249" t="s">
        <v>367</v>
      </c>
      <c r="C15249" t="s">
        <v>21887</v>
      </c>
      <c r="D15249" t="s">
        <v>49069</v>
      </c>
      <c r="E15249" t="b">
        <v>0</v>
      </c>
      <c r="F15249" t="s">
        <v>11622</v>
      </c>
      <c r="L15249">
        <v>1</v>
      </c>
      <c r="M15249">
        <v>3</v>
      </c>
      <c r="N15249">
        <v>3</v>
      </c>
    </row>
    <row r="15250" spans="1:14">
      <c r="A15250" t="s">
        <v>30288</v>
      </c>
      <c r="B15250" t="s">
        <v>6742</v>
      </c>
      <c r="C15250" t="s">
        <v>49070</v>
      </c>
      <c r="D15250" t="s">
        <v>49071</v>
      </c>
      <c r="E15250" t="b">
        <v>0</v>
      </c>
      <c r="F15250" t="s">
        <v>11622</v>
      </c>
      <c r="L15250">
        <v>0</v>
      </c>
      <c r="M15250">
        <v>4</v>
      </c>
      <c r="N15250">
        <v>7</v>
      </c>
    </row>
    <row r="15251" spans="1:14">
      <c r="A15251" t="s">
        <v>30985</v>
      </c>
      <c r="B15251" t="s">
        <v>6742</v>
      </c>
      <c r="C15251" t="s">
        <v>49072</v>
      </c>
      <c r="D15251" t="s">
        <v>49073</v>
      </c>
      <c r="E15251" t="b">
        <v>0</v>
      </c>
      <c r="F15251" t="s">
        <v>11622</v>
      </c>
      <c r="L15251">
        <v>3</v>
      </c>
      <c r="M15251">
        <v>7</v>
      </c>
      <c r="N15251">
        <v>8</v>
      </c>
    </row>
    <row r="15252" spans="1:14">
      <c r="A15252" t="s">
        <v>49074</v>
      </c>
      <c r="B15252" t="s">
        <v>6742</v>
      </c>
      <c r="C15252" t="s">
        <v>49075</v>
      </c>
      <c r="D15252" t="s">
        <v>49076</v>
      </c>
      <c r="E15252" t="b">
        <v>0</v>
      </c>
      <c r="F15252" t="s">
        <v>11622</v>
      </c>
      <c r="L15252">
        <v>0</v>
      </c>
      <c r="M15252">
        <v>2</v>
      </c>
      <c r="N15252">
        <v>0</v>
      </c>
    </row>
    <row r="15253" spans="1:14">
      <c r="A15253" t="s">
        <v>19731</v>
      </c>
      <c r="B15253" t="s">
        <v>367</v>
      </c>
      <c r="C15253" t="s">
        <v>42243</v>
      </c>
      <c r="D15253" t="s">
        <v>49077</v>
      </c>
      <c r="E15253" t="b">
        <v>0</v>
      </c>
      <c r="F15253" t="s">
        <v>11622</v>
      </c>
      <c r="L15253">
        <v>1</v>
      </c>
      <c r="M15253">
        <v>3</v>
      </c>
      <c r="N15253">
        <v>0</v>
      </c>
    </row>
    <row r="15254" spans="1:14">
      <c r="A15254" t="s">
        <v>16485</v>
      </c>
      <c r="B15254" t="s">
        <v>367</v>
      </c>
      <c r="C15254" t="s">
        <v>40208</v>
      </c>
      <c r="D15254" t="s">
        <v>49078</v>
      </c>
      <c r="E15254" t="b">
        <v>0</v>
      </c>
      <c r="F15254" t="s">
        <v>11622</v>
      </c>
      <c r="L15254">
        <v>0</v>
      </c>
      <c r="M15254">
        <v>2</v>
      </c>
      <c r="N15254">
        <v>3</v>
      </c>
    </row>
    <row r="15255" spans="1:14">
      <c r="A15255" t="s">
        <v>22845</v>
      </c>
      <c r="B15255" t="s">
        <v>6742</v>
      </c>
      <c r="C15255" t="s">
        <v>44450</v>
      </c>
      <c r="D15255" t="s">
        <v>49079</v>
      </c>
      <c r="E15255" t="b">
        <v>0</v>
      </c>
      <c r="F15255" t="s">
        <v>11622</v>
      </c>
      <c r="L15255">
        <v>0</v>
      </c>
      <c r="M15255">
        <v>3</v>
      </c>
      <c r="N15255">
        <v>7</v>
      </c>
    </row>
    <row r="15256" spans="1:14">
      <c r="A15256" t="s">
        <v>18803</v>
      </c>
      <c r="B15256" t="s">
        <v>6742</v>
      </c>
      <c r="C15256" t="s">
        <v>1932</v>
      </c>
      <c r="D15256" t="s">
        <v>49080</v>
      </c>
      <c r="E15256" t="b">
        <v>0</v>
      </c>
      <c r="F15256" t="s">
        <v>11622</v>
      </c>
      <c r="L15256">
        <v>1</v>
      </c>
      <c r="M15256">
        <v>3</v>
      </c>
      <c r="N15256">
        <v>14</v>
      </c>
    </row>
    <row r="15257" spans="1:14">
      <c r="A15257" t="s">
        <v>45422</v>
      </c>
      <c r="B15257" t="s">
        <v>6742</v>
      </c>
      <c r="C15257" t="s">
        <v>49081</v>
      </c>
      <c r="D15257" t="s">
        <v>49082</v>
      </c>
      <c r="E15257" t="b">
        <v>0</v>
      </c>
      <c r="F15257" t="s">
        <v>11622</v>
      </c>
      <c r="L15257">
        <v>9</v>
      </c>
      <c r="M15257">
        <v>11</v>
      </c>
      <c r="N15257">
        <v>24</v>
      </c>
    </row>
    <row r="15258" spans="1:14">
      <c r="A15258" t="s">
        <v>34949</v>
      </c>
      <c r="B15258" t="s">
        <v>367</v>
      </c>
      <c r="C15258" t="s">
        <v>49083</v>
      </c>
      <c r="D15258" t="s">
        <v>49084</v>
      </c>
      <c r="E15258" t="b">
        <v>0</v>
      </c>
      <c r="F15258" t="s">
        <v>11622</v>
      </c>
      <c r="L15258">
        <v>0</v>
      </c>
      <c r="M15258">
        <v>2</v>
      </c>
      <c r="N15258">
        <v>0</v>
      </c>
    </row>
    <row r="15259" spans="1:14">
      <c r="A15259" t="s">
        <v>31213</v>
      </c>
      <c r="B15259" t="s">
        <v>367</v>
      </c>
      <c r="C15259" t="s">
        <v>13395</v>
      </c>
      <c r="D15259" t="s">
        <v>49085</v>
      </c>
      <c r="E15259" t="b">
        <v>0</v>
      </c>
      <c r="F15259" t="s">
        <v>11622</v>
      </c>
      <c r="L15259">
        <v>0</v>
      </c>
      <c r="M15259">
        <v>2</v>
      </c>
      <c r="N15259">
        <v>9</v>
      </c>
    </row>
    <row r="15260" spans="1:14">
      <c r="A15260" t="s">
        <v>18776</v>
      </c>
      <c r="B15260" t="s">
        <v>6742</v>
      </c>
      <c r="C15260" t="s">
        <v>21909</v>
      </c>
      <c r="D15260" t="s">
        <v>49086</v>
      </c>
      <c r="E15260" t="b">
        <v>0</v>
      </c>
      <c r="F15260" t="s">
        <v>11622</v>
      </c>
      <c r="L15260">
        <v>1</v>
      </c>
      <c r="M15260">
        <v>3</v>
      </c>
      <c r="N15260">
        <v>5</v>
      </c>
    </row>
    <row r="15261" spans="1:14">
      <c r="A15261" t="s">
        <v>14626</v>
      </c>
      <c r="B15261" t="s">
        <v>367</v>
      </c>
      <c r="C15261" t="s">
        <v>4363</v>
      </c>
      <c r="D15261" t="s">
        <v>49087</v>
      </c>
      <c r="E15261" t="b">
        <v>0</v>
      </c>
      <c r="F15261" t="s">
        <v>11622</v>
      </c>
      <c r="L15261">
        <v>33</v>
      </c>
      <c r="M15261">
        <v>51</v>
      </c>
      <c r="N15261">
        <v>68</v>
      </c>
    </row>
    <row r="15262" spans="1:14">
      <c r="A15262" t="s">
        <v>43053</v>
      </c>
      <c r="B15262" t="s">
        <v>11757</v>
      </c>
      <c r="C15262" t="s">
        <v>1002</v>
      </c>
      <c r="D15262" t="s">
        <v>49088</v>
      </c>
      <c r="E15262" t="b">
        <v>0</v>
      </c>
      <c r="F15262" t="s">
        <v>11622</v>
      </c>
      <c r="L15262">
        <v>0</v>
      </c>
      <c r="M15262">
        <v>2</v>
      </c>
      <c r="N15262">
        <v>4</v>
      </c>
    </row>
    <row r="15263" spans="1:14">
      <c r="A15263" t="s">
        <v>34444</v>
      </c>
      <c r="B15263" t="s">
        <v>367</v>
      </c>
      <c r="C15263" t="s">
        <v>21915</v>
      </c>
      <c r="D15263" t="s">
        <v>49089</v>
      </c>
      <c r="E15263" t="b">
        <v>0</v>
      </c>
      <c r="F15263" t="s">
        <v>11622</v>
      </c>
      <c r="L15263">
        <v>16</v>
      </c>
      <c r="M15263">
        <v>22</v>
      </c>
      <c r="N15263">
        <v>35</v>
      </c>
    </row>
    <row r="15264" spans="1:14">
      <c r="A15264" t="s">
        <v>14880</v>
      </c>
      <c r="B15264" t="s">
        <v>11607</v>
      </c>
      <c r="C15264" t="s">
        <v>19136</v>
      </c>
      <c r="D15264" t="s">
        <v>49090</v>
      </c>
      <c r="E15264" t="b">
        <v>0</v>
      </c>
      <c r="F15264" t="s">
        <v>11622</v>
      </c>
      <c r="L15264">
        <v>4</v>
      </c>
      <c r="M15264">
        <v>10</v>
      </c>
      <c r="N15264">
        <v>72</v>
      </c>
    </row>
    <row r="15265" spans="1:15">
      <c r="A15265" t="s">
        <v>17195</v>
      </c>
      <c r="B15265" t="s">
        <v>11607</v>
      </c>
      <c r="C15265" t="s">
        <v>14880</v>
      </c>
      <c r="D15265" t="s">
        <v>49091</v>
      </c>
      <c r="E15265" t="b">
        <v>0</v>
      </c>
      <c r="F15265" t="s">
        <v>11622</v>
      </c>
      <c r="L15265">
        <v>0</v>
      </c>
      <c r="M15265">
        <v>2</v>
      </c>
      <c r="N15265">
        <v>12</v>
      </c>
    </row>
    <row r="15266" spans="1:15">
      <c r="A15266" t="s">
        <v>23974</v>
      </c>
      <c r="B15266" t="s">
        <v>11637</v>
      </c>
      <c r="C15266" t="s">
        <v>32402</v>
      </c>
      <c r="D15266" t="s">
        <v>49092</v>
      </c>
      <c r="E15266" t="b">
        <v>0</v>
      </c>
      <c r="F15266" t="s">
        <v>11622</v>
      </c>
      <c r="L15266">
        <v>0</v>
      </c>
      <c r="M15266">
        <v>2</v>
      </c>
      <c r="N15266">
        <v>0</v>
      </c>
    </row>
    <row r="15267" spans="1:15">
      <c r="A15267" t="s">
        <v>49093</v>
      </c>
      <c r="B15267" t="s">
        <v>5058</v>
      </c>
      <c r="C15267" t="s">
        <v>31270</v>
      </c>
      <c r="D15267" t="s">
        <v>49094</v>
      </c>
      <c r="E15267" t="b">
        <v>0</v>
      </c>
      <c r="F15267" t="s">
        <v>11624</v>
      </c>
      <c r="G15267">
        <v>24.041944000000001</v>
      </c>
      <c r="H15267">
        <v>104.19194400000001</v>
      </c>
      <c r="L15267">
        <v>0</v>
      </c>
      <c r="M15267">
        <v>0</v>
      </c>
      <c r="N15267">
        <v>0</v>
      </c>
      <c r="O15267" t="s">
        <v>11905</v>
      </c>
    </row>
    <row r="15268" spans="1:15">
      <c r="A15268" t="s">
        <v>30563</v>
      </c>
      <c r="B15268" t="s">
        <v>4236</v>
      </c>
      <c r="C15268" t="s">
        <v>6212</v>
      </c>
      <c r="D15268" t="s">
        <v>49095</v>
      </c>
      <c r="E15268" t="b">
        <v>0</v>
      </c>
      <c r="F15268" t="s">
        <v>11622</v>
      </c>
      <c r="L15268">
        <v>0</v>
      </c>
      <c r="M15268">
        <v>2</v>
      </c>
      <c r="N15268">
        <v>9</v>
      </c>
    </row>
    <row r="15269" spans="1:15">
      <c r="A15269" t="s">
        <v>49083</v>
      </c>
      <c r="B15269" t="s">
        <v>367</v>
      </c>
      <c r="C15269" t="s">
        <v>14052</v>
      </c>
      <c r="D15269" t="s">
        <v>49096</v>
      </c>
      <c r="E15269" t="b">
        <v>0</v>
      </c>
      <c r="F15269" t="s">
        <v>11622</v>
      </c>
      <c r="L15269">
        <v>10</v>
      </c>
      <c r="M15269">
        <v>20</v>
      </c>
      <c r="N15269">
        <v>33</v>
      </c>
    </row>
    <row r="15270" spans="1:15">
      <c r="A15270" t="s">
        <v>49097</v>
      </c>
      <c r="B15270" t="s">
        <v>6742</v>
      </c>
      <c r="C15270" t="s">
        <v>16003</v>
      </c>
      <c r="D15270" t="s">
        <v>49098</v>
      </c>
      <c r="E15270" t="b">
        <v>0</v>
      </c>
      <c r="F15270" t="s">
        <v>11624</v>
      </c>
      <c r="L15270">
        <v>0</v>
      </c>
      <c r="M15270">
        <v>0</v>
      </c>
      <c r="N15270">
        <v>0</v>
      </c>
      <c r="O15270" t="s">
        <v>11693</v>
      </c>
    </row>
    <row r="15271" spans="1:15">
      <c r="A15271" t="s">
        <v>29182</v>
      </c>
      <c r="B15271" t="s">
        <v>11607</v>
      </c>
      <c r="C15271" t="s">
        <v>3763</v>
      </c>
      <c r="D15271" t="s">
        <v>49099</v>
      </c>
      <c r="E15271" t="b">
        <v>0</v>
      </c>
      <c r="F15271" t="s">
        <v>11622</v>
      </c>
      <c r="L15271">
        <v>0</v>
      </c>
      <c r="M15271">
        <v>2</v>
      </c>
      <c r="N15271">
        <v>0</v>
      </c>
    </row>
    <row r="15272" spans="1:15">
      <c r="A15272" t="s">
        <v>49100</v>
      </c>
      <c r="B15272" t="s">
        <v>11627</v>
      </c>
      <c r="C15272" t="s">
        <v>11627</v>
      </c>
      <c r="D15272" t="s">
        <v>49101</v>
      </c>
      <c r="E15272" t="b">
        <v>1</v>
      </c>
      <c r="F15272" t="s">
        <v>11624</v>
      </c>
      <c r="I15272" t="s">
        <v>49102</v>
      </c>
      <c r="L15272">
        <v>0</v>
      </c>
      <c r="M15272">
        <v>0</v>
      </c>
      <c r="N15272">
        <v>0</v>
      </c>
    </row>
    <row r="15273" spans="1:15">
      <c r="A15273" t="s">
        <v>49103</v>
      </c>
      <c r="B15273" t="s">
        <v>11627</v>
      </c>
      <c r="C15273" t="s">
        <v>11627</v>
      </c>
      <c r="D15273" t="s">
        <v>49104</v>
      </c>
      <c r="E15273" t="b">
        <v>1</v>
      </c>
      <c r="F15273" t="s">
        <v>11624</v>
      </c>
      <c r="I15273" t="s">
        <v>49105</v>
      </c>
      <c r="L15273">
        <v>0</v>
      </c>
      <c r="M15273">
        <v>0</v>
      </c>
      <c r="N15273">
        <v>0</v>
      </c>
    </row>
    <row r="15274" spans="1:15">
      <c r="A15274" t="s">
        <v>49106</v>
      </c>
      <c r="B15274" t="s">
        <v>11627</v>
      </c>
      <c r="C15274" t="s">
        <v>11627</v>
      </c>
      <c r="D15274" t="s">
        <v>49107</v>
      </c>
      <c r="E15274" t="b">
        <v>1</v>
      </c>
      <c r="F15274" t="s">
        <v>11624</v>
      </c>
      <c r="I15274" t="s">
        <v>49108</v>
      </c>
      <c r="L15274">
        <v>0</v>
      </c>
      <c r="M15274">
        <v>0</v>
      </c>
      <c r="N15274">
        <v>0</v>
      </c>
    </row>
    <row r="15275" spans="1:15">
      <c r="A15275" t="s">
        <v>22182</v>
      </c>
      <c r="B15275" t="s">
        <v>17579</v>
      </c>
      <c r="C15275" t="s">
        <v>23471</v>
      </c>
      <c r="D15275" t="s">
        <v>49109</v>
      </c>
      <c r="E15275" t="b">
        <v>0</v>
      </c>
      <c r="F15275" t="s">
        <v>11622</v>
      </c>
      <c r="L15275">
        <v>0</v>
      </c>
      <c r="M15275">
        <v>2</v>
      </c>
      <c r="N15275">
        <v>5</v>
      </c>
    </row>
    <row r="15276" spans="1:15">
      <c r="A15276" t="s">
        <v>35603</v>
      </c>
      <c r="B15276" t="s">
        <v>367</v>
      </c>
      <c r="C15276" t="s">
        <v>4363</v>
      </c>
      <c r="D15276" t="s">
        <v>49110</v>
      </c>
      <c r="E15276" t="b">
        <v>0</v>
      </c>
      <c r="F15276" t="s">
        <v>11622</v>
      </c>
      <c r="L15276">
        <v>52</v>
      </c>
      <c r="M15276">
        <v>95</v>
      </c>
      <c r="N15276">
        <v>183</v>
      </c>
    </row>
    <row r="15277" spans="1:15">
      <c r="A15277" t="s">
        <v>42270</v>
      </c>
      <c r="B15277" t="s">
        <v>6742</v>
      </c>
      <c r="C15277" t="s">
        <v>21813</v>
      </c>
      <c r="D15277" t="s">
        <v>49111</v>
      </c>
      <c r="E15277" t="b">
        <v>0</v>
      </c>
      <c r="F15277" t="s">
        <v>11622</v>
      </c>
      <c r="L15277">
        <v>1</v>
      </c>
      <c r="M15277">
        <v>4</v>
      </c>
      <c r="N15277">
        <v>9</v>
      </c>
    </row>
    <row r="15278" spans="1:15">
      <c r="A15278" t="s">
        <v>13262</v>
      </c>
      <c r="B15278" t="s">
        <v>4342</v>
      </c>
      <c r="C15278" t="s">
        <v>49112</v>
      </c>
      <c r="D15278" t="s">
        <v>49113</v>
      </c>
      <c r="E15278" t="b">
        <v>0</v>
      </c>
      <c r="F15278" t="s">
        <v>11622</v>
      </c>
      <c r="L15278">
        <v>5</v>
      </c>
      <c r="M15278">
        <v>8</v>
      </c>
      <c r="N15278">
        <v>11</v>
      </c>
    </row>
    <row r="15279" spans="1:15">
      <c r="A15279" t="s">
        <v>48528</v>
      </c>
      <c r="B15279" t="s">
        <v>10597</v>
      </c>
      <c r="C15279" t="s">
        <v>23327</v>
      </c>
      <c r="D15279" t="s">
        <v>49114</v>
      </c>
      <c r="E15279" t="b">
        <v>0</v>
      </c>
      <c r="F15279" t="s">
        <v>11622</v>
      </c>
      <c r="L15279">
        <v>2</v>
      </c>
      <c r="M15279">
        <v>5</v>
      </c>
      <c r="N15279">
        <v>0</v>
      </c>
    </row>
    <row r="15280" spans="1:15">
      <c r="A15280" t="s">
        <v>43620</v>
      </c>
      <c r="B15280" t="s">
        <v>6742</v>
      </c>
      <c r="C15280" t="s">
        <v>47960</v>
      </c>
      <c r="D15280" t="s">
        <v>49115</v>
      </c>
      <c r="E15280" t="b">
        <v>0</v>
      </c>
      <c r="F15280" t="s">
        <v>11622</v>
      </c>
      <c r="L15280">
        <v>5</v>
      </c>
      <c r="M15280">
        <v>11</v>
      </c>
      <c r="N15280">
        <v>8</v>
      </c>
    </row>
    <row r="15281" spans="1:15">
      <c r="A15281" t="s">
        <v>48422</v>
      </c>
      <c r="B15281" t="s">
        <v>11844</v>
      </c>
      <c r="C15281" t="s">
        <v>1305</v>
      </c>
      <c r="D15281" t="s">
        <v>49116</v>
      </c>
      <c r="E15281" t="b">
        <v>0</v>
      </c>
      <c r="F15281" t="s">
        <v>11622</v>
      </c>
      <c r="I15281" t="s">
        <v>49117</v>
      </c>
      <c r="L15281">
        <v>0</v>
      </c>
      <c r="M15281">
        <v>2</v>
      </c>
      <c r="N15281">
        <v>15</v>
      </c>
      <c r="O15281" t="s">
        <v>11630</v>
      </c>
    </row>
    <row r="15282" spans="1:15">
      <c r="A15282" t="s">
        <v>25386</v>
      </c>
      <c r="B15282" t="s">
        <v>6742</v>
      </c>
      <c r="C15282" t="s">
        <v>49118</v>
      </c>
      <c r="D15282" t="s">
        <v>49119</v>
      </c>
      <c r="E15282" t="b">
        <v>0</v>
      </c>
      <c r="F15282" t="s">
        <v>11622</v>
      </c>
      <c r="L15282">
        <v>3</v>
      </c>
      <c r="M15282">
        <v>7</v>
      </c>
      <c r="N15282">
        <v>16</v>
      </c>
    </row>
    <row r="15283" spans="1:15">
      <c r="A15283" t="s">
        <v>49120</v>
      </c>
      <c r="B15283" t="s">
        <v>6742</v>
      </c>
      <c r="C15283" t="s">
        <v>37117</v>
      </c>
      <c r="D15283" t="s">
        <v>49121</v>
      </c>
      <c r="E15283" t="b">
        <v>0</v>
      </c>
      <c r="F15283" t="s">
        <v>11624</v>
      </c>
      <c r="L15283">
        <v>0</v>
      </c>
      <c r="M15283">
        <v>0</v>
      </c>
      <c r="N15283">
        <v>0</v>
      </c>
      <c r="O15283" t="s">
        <v>11693</v>
      </c>
    </row>
    <row r="15284" spans="1:15">
      <c r="A15284" t="s">
        <v>18482</v>
      </c>
      <c r="B15284" t="s">
        <v>367</v>
      </c>
      <c r="C15284" t="s">
        <v>47794</v>
      </c>
      <c r="D15284" t="s">
        <v>49122</v>
      </c>
      <c r="E15284" t="b">
        <v>0</v>
      </c>
      <c r="F15284" t="s">
        <v>11622</v>
      </c>
      <c r="L15284">
        <v>0</v>
      </c>
      <c r="M15284">
        <v>3</v>
      </c>
      <c r="N15284">
        <v>1</v>
      </c>
    </row>
    <row r="15285" spans="1:15">
      <c r="A15285" t="s">
        <v>38892</v>
      </c>
      <c r="B15285" t="s">
        <v>367</v>
      </c>
      <c r="C15285" t="s">
        <v>49123</v>
      </c>
      <c r="D15285" t="s">
        <v>49124</v>
      </c>
      <c r="E15285" t="b">
        <v>0</v>
      </c>
      <c r="F15285" t="s">
        <v>11624</v>
      </c>
      <c r="I15285" t="s">
        <v>49125</v>
      </c>
      <c r="L15285">
        <v>0</v>
      </c>
      <c r="M15285">
        <v>0</v>
      </c>
      <c r="N15285">
        <v>2</v>
      </c>
      <c r="O15285" t="s">
        <v>11672</v>
      </c>
    </row>
    <row r="15286" spans="1:15">
      <c r="A15286" t="s">
        <v>35416</v>
      </c>
      <c r="B15286" t="s">
        <v>11637</v>
      </c>
      <c r="C15286" t="s">
        <v>49126</v>
      </c>
      <c r="D15286" t="s">
        <v>49127</v>
      </c>
      <c r="E15286" t="b">
        <v>0</v>
      </c>
      <c r="F15286" t="s">
        <v>11622</v>
      </c>
      <c r="L15286">
        <v>1</v>
      </c>
      <c r="M15286">
        <v>3</v>
      </c>
      <c r="N15286">
        <v>8</v>
      </c>
    </row>
    <row r="15287" spans="1:15">
      <c r="A15287" t="s">
        <v>36120</v>
      </c>
      <c r="B15287" t="s">
        <v>12260</v>
      </c>
      <c r="C15287" t="s">
        <v>49128</v>
      </c>
      <c r="D15287" t="s">
        <v>49129</v>
      </c>
      <c r="E15287" t="b">
        <v>0</v>
      </c>
      <c r="F15287" t="s">
        <v>11622</v>
      </c>
      <c r="L15287">
        <v>0</v>
      </c>
      <c r="M15287">
        <v>2</v>
      </c>
      <c r="N15287">
        <v>4</v>
      </c>
    </row>
    <row r="15288" spans="1:15">
      <c r="A15288" t="s">
        <v>49130</v>
      </c>
      <c r="B15288" t="s">
        <v>21317</v>
      </c>
      <c r="C15288" t="s">
        <v>21316</v>
      </c>
      <c r="D15288" t="s">
        <v>49131</v>
      </c>
      <c r="E15288" t="b">
        <v>0</v>
      </c>
      <c r="F15288" t="s">
        <v>11622</v>
      </c>
      <c r="L15288">
        <v>0</v>
      </c>
      <c r="M15288">
        <v>3</v>
      </c>
      <c r="N15288">
        <v>1</v>
      </c>
    </row>
    <row r="15289" spans="1:15">
      <c r="A15289" t="s">
        <v>26618</v>
      </c>
      <c r="B15289" t="s">
        <v>11637</v>
      </c>
      <c r="C15289" t="s">
        <v>48997</v>
      </c>
      <c r="D15289" t="s">
        <v>49132</v>
      </c>
      <c r="E15289" t="b">
        <v>0</v>
      </c>
      <c r="F15289" t="s">
        <v>11622</v>
      </c>
      <c r="L15289">
        <v>3</v>
      </c>
      <c r="M15289">
        <v>7</v>
      </c>
      <c r="N15289">
        <v>50</v>
      </c>
    </row>
    <row r="15290" spans="1:15">
      <c r="A15290" t="s">
        <v>25291</v>
      </c>
      <c r="B15290" t="s">
        <v>6742</v>
      </c>
      <c r="C15290" t="s">
        <v>23416</v>
      </c>
      <c r="D15290" t="s">
        <v>49133</v>
      </c>
      <c r="E15290" t="b">
        <v>0</v>
      </c>
      <c r="F15290" t="s">
        <v>11622</v>
      </c>
      <c r="L15290">
        <v>1</v>
      </c>
      <c r="M15290">
        <v>6</v>
      </c>
      <c r="N15290">
        <v>4</v>
      </c>
    </row>
    <row r="15291" spans="1:15">
      <c r="A15291" t="s">
        <v>25281</v>
      </c>
      <c r="B15291" t="s">
        <v>11644</v>
      </c>
      <c r="C15291" t="s">
        <v>49134</v>
      </c>
      <c r="D15291" t="s">
        <v>49135</v>
      </c>
      <c r="E15291" t="b">
        <v>0</v>
      </c>
      <c r="F15291" t="s">
        <v>11624</v>
      </c>
      <c r="G15291">
        <v>25.218</v>
      </c>
      <c r="H15291">
        <v>110.045</v>
      </c>
      <c r="L15291">
        <v>0</v>
      </c>
      <c r="M15291">
        <v>0</v>
      </c>
      <c r="N15291">
        <v>2</v>
      </c>
      <c r="O15291" t="s">
        <v>11905</v>
      </c>
    </row>
    <row r="15292" spans="1:15">
      <c r="A15292" t="s">
        <v>49136</v>
      </c>
      <c r="B15292" t="s">
        <v>11637</v>
      </c>
      <c r="C15292" t="s">
        <v>12163</v>
      </c>
      <c r="D15292" t="s">
        <v>49137</v>
      </c>
      <c r="E15292" t="b">
        <v>0</v>
      </c>
      <c r="F15292" t="s">
        <v>11610</v>
      </c>
      <c r="L15292">
        <v>0</v>
      </c>
      <c r="M15292">
        <v>0</v>
      </c>
      <c r="N15292">
        <v>0</v>
      </c>
    </row>
    <row r="15293" spans="1:15">
      <c r="A15293" t="s">
        <v>49138</v>
      </c>
      <c r="B15293" t="s">
        <v>12438</v>
      </c>
      <c r="C15293" t="s">
        <v>35360</v>
      </c>
      <c r="D15293" t="s">
        <v>49139</v>
      </c>
      <c r="E15293" t="b">
        <v>0</v>
      </c>
      <c r="F15293" t="s">
        <v>11624</v>
      </c>
      <c r="G15293">
        <v>16.182289999999998</v>
      </c>
      <c r="H15293">
        <v>106.4588</v>
      </c>
      <c r="I15293" t="s">
        <v>49140</v>
      </c>
      <c r="L15293">
        <v>0</v>
      </c>
      <c r="M15293">
        <v>0</v>
      </c>
      <c r="N15293">
        <v>0</v>
      </c>
      <c r="O15293" t="s">
        <v>12921</v>
      </c>
    </row>
    <row r="15294" spans="1:15">
      <c r="A15294" t="s">
        <v>21972</v>
      </c>
      <c r="B15294" t="s">
        <v>12260</v>
      </c>
      <c r="C15294" t="s">
        <v>42709</v>
      </c>
      <c r="D15294" t="s">
        <v>49141</v>
      </c>
      <c r="E15294" t="b">
        <v>0</v>
      </c>
      <c r="F15294" t="s">
        <v>11622</v>
      </c>
      <c r="L15294">
        <v>0</v>
      </c>
      <c r="M15294">
        <v>2</v>
      </c>
      <c r="N15294">
        <v>4</v>
      </c>
    </row>
    <row r="15295" spans="1:15">
      <c r="A15295" t="s">
        <v>49142</v>
      </c>
      <c r="B15295" t="s">
        <v>11607</v>
      </c>
      <c r="C15295" t="s">
        <v>17055</v>
      </c>
      <c r="D15295" t="s">
        <v>49143</v>
      </c>
      <c r="E15295" t="b">
        <v>0</v>
      </c>
      <c r="F15295" t="s">
        <v>11610</v>
      </c>
      <c r="L15295">
        <v>0</v>
      </c>
      <c r="M15295">
        <v>0</v>
      </c>
      <c r="N15295">
        <v>2</v>
      </c>
    </row>
    <row r="15296" spans="1:15">
      <c r="A15296" t="s">
        <v>40267</v>
      </c>
      <c r="B15296" t="s">
        <v>11644</v>
      </c>
      <c r="C15296" t="s">
        <v>49144</v>
      </c>
      <c r="D15296" t="s">
        <v>49145</v>
      </c>
      <c r="E15296" t="b">
        <v>0</v>
      </c>
      <c r="F15296" t="s">
        <v>11610</v>
      </c>
      <c r="L15296">
        <v>0</v>
      </c>
      <c r="M15296">
        <v>0</v>
      </c>
      <c r="N15296">
        <v>4</v>
      </c>
    </row>
    <row r="15297" spans="1:15">
      <c r="A15297" t="s">
        <v>30691</v>
      </c>
      <c r="B15297" t="s">
        <v>11644</v>
      </c>
      <c r="C15297" t="s">
        <v>49144</v>
      </c>
      <c r="D15297" t="s">
        <v>49146</v>
      </c>
      <c r="E15297" t="b">
        <v>0</v>
      </c>
      <c r="F15297" t="s">
        <v>11610</v>
      </c>
      <c r="L15297">
        <v>0</v>
      </c>
      <c r="M15297">
        <v>0</v>
      </c>
      <c r="N15297">
        <v>2</v>
      </c>
    </row>
    <row r="15298" spans="1:15">
      <c r="A15298" t="s">
        <v>12671</v>
      </c>
      <c r="B15298" t="s">
        <v>12650</v>
      </c>
      <c r="C15298" t="s">
        <v>12650</v>
      </c>
      <c r="D15298" t="s">
        <v>49147</v>
      </c>
      <c r="E15298" t="b">
        <v>0</v>
      </c>
      <c r="F15298" t="s">
        <v>11622</v>
      </c>
      <c r="L15298">
        <v>3</v>
      </c>
      <c r="M15298">
        <v>5</v>
      </c>
      <c r="N15298">
        <v>1</v>
      </c>
    </row>
    <row r="15299" spans="1:15">
      <c r="A15299" t="s">
        <v>20443</v>
      </c>
      <c r="B15299" t="s">
        <v>11757</v>
      </c>
      <c r="C15299" t="s">
        <v>18380</v>
      </c>
      <c r="D15299" t="s">
        <v>49148</v>
      </c>
      <c r="E15299" t="b">
        <v>0</v>
      </c>
      <c r="F15299" t="s">
        <v>11622</v>
      </c>
      <c r="L15299">
        <v>0</v>
      </c>
      <c r="M15299">
        <v>3</v>
      </c>
      <c r="N15299">
        <v>6</v>
      </c>
    </row>
    <row r="15300" spans="1:15">
      <c r="A15300" t="s">
        <v>49149</v>
      </c>
      <c r="B15300" t="s">
        <v>10597</v>
      </c>
      <c r="C15300" t="s">
        <v>29901</v>
      </c>
      <c r="D15300" t="s">
        <v>49150</v>
      </c>
      <c r="E15300" t="b">
        <v>0</v>
      </c>
      <c r="F15300" t="s">
        <v>11622</v>
      </c>
      <c r="L15300">
        <v>2</v>
      </c>
      <c r="M15300">
        <v>4</v>
      </c>
      <c r="N15300">
        <v>0</v>
      </c>
    </row>
    <row r="15301" spans="1:15">
      <c r="A15301" t="s">
        <v>48420</v>
      </c>
      <c r="B15301" t="s">
        <v>11844</v>
      </c>
      <c r="C15301" t="s">
        <v>32667</v>
      </c>
      <c r="D15301" t="s">
        <v>49151</v>
      </c>
      <c r="E15301" t="b">
        <v>0</v>
      </c>
      <c r="F15301" t="s">
        <v>11610</v>
      </c>
      <c r="L15301">
        <v>0</v>
      </c>
      <c r="M15301">
        <v>0</v>
      </c>
      <c r="N15301">
        <v>4</v>
      </c>
    </row>
    <row r="15302" spans="1:15">
      <c r="A15302" t="s">
        <v>23588</v>
      </c>
      <c r="B15302" t="s">
        <v>12311</v>
      </c>
      <c r="C15302" t="s">
        <v>24151</v>
      </c>
      <c r="D15302" t="s">
        <v>49152</v>
      </c>
      <c r="E15302" t="b">
        <v>0</v>
      </c>
      <c r="F15302" t="s">
        <v>11610</v>
      </c>
      <c r="L15302">
        <v>0</v>
      </c>
      <c r="M15302">
        <v>0</v>
      </c>
      <c r="N15302">
        <v>13</v>
      </c>
    </row>
    <row r="15303" spans="1:15">
      <c r="A15303" t="s">
        <v>20603</v>
      </c>
      <c r="B15303" t="s">
        <v>367</v>
      </c>
      <c r="C15303" t="s">
        <v>21864</v>
      </c>
      <c r="D15303" t="s">
        <v>49153</v>
      </c>
      <c r="E15303" t="b">
        <v>0</v>
      </c>
      <c r="F15303" t="s">
        <v>11622</v>
      </c>
      <c r="L15303">
        <v>2</v>
      </c>
      <c r="M15303">
        <v>4</v>
      </c>
      <c r="N15303">
        <v>7</v>
      </c>
    </row>
    <row r="15304" spans="1:15">
      <c r="A15304" t="s">
        <v>38940</v>
      </c>
      <c r="B15304" t="s">
        <v>12260</v>
      </c>
      <c r="C15304" t="s">
        <v>21986</v>
      </c>
      <c r="D15304" t="s">
        <v>49154</v>
      </c>
      <c r="E15304" t="b">
        <v>0</v>
      </c>
      <c r="F15304" t="s">
        <v>11622</v>
      </c>
      <c r="L15304">
        <v>3</v>
      </c>
      <c r="M15304">
        <v>8</v>
      </c>
      <c r="N15304">
        <v>22</v>
      </c>
    </row>
    <row r="15305" spans="1:15">
      <c r="A15305" t="s">
        <v>30518</v>
      </c>
      <c r="B15305" t="s">
        <v>11644</v>
      </c>
      <c r="C15305" t="s">
        <v>6112</v>
      </c>
      <c r="D15305" t="s">
        <v>49155</v>
      </c>
      <c r="E15305" t="b">
        <v>0</v>
      </c>
      <c r="F15305" t="s">
        <v>11610</v>
      </c>
      <c r="L15305">
        <v>0</v>
      </c>
      <c r="M15305">
        <v>0</v>
      </c>
      <c r="N15305">
        <v>2</v>
      </c>
    </row>
    <row r="15306" spans="1:15">
      <c r="A15306" t="s">
        <v>15748</v>
      </c>
      <c r="B15306" t="s">
        <v>367</v>
      </c>
      <c r="C15306" t="s">
        <v>30064</v>
      </c>
      <c r="D15306" t="s">
        <v>49156</v>
      </c>
      <c r="E15306" t="b">
        <v>0</v>
      </c>
      <c r="F15306" t="s">
        <v>11622</v>
      </c>
      <c r="L15306">
        <v>0</v>
      </c>
      <c r="M15306">
        <v>5</v>
      </c>
      <c r="N15306">
        <v>3</v>
      </c>
    </row>
    <row r="15307" spans="1:15">
      <c r="A15307" t="s">
        <v>49157</v>
      </c>
      <c r="B15307" t="s">
        <v>12260</v>
      </c>
      <c r="C15307" t="s">
        <v>26662</v>
      </c>
      <c r="D15307" t="s">
        <v>49158</v>
      </c>
      <c r="E15307" t="b">
        <v>0</v>
      </c>
      <c r="F15307" t="s">
        <v>11610</v>
      </c>
      <c r="L15307">
        <v>0</v>
      </c>
      <c r="M15307">
        <v>0</v>
      </c>
      <c r="N15307">
        <v>0</v>
      </c>
    </row>
    <row r="15308" spans="1:15">
      <c r="A15308" t="s">
        <v>49159</v>
      </c>
      <c r="B15308" t="s">
        <v>11644</v>
      </c>
      <c r="C15308" t="s">
        <v>36131</v>
      </c>
      <c r="D15308" t="s">
        <v>49160</v>
      </c>
      <c r="E15308" t="b">
        <v>0</v>
      </c>
      <c r="F15308" t="s">
        <v>11624</v>
      </c>
      <c r="L15308">
        <v>0</v>
      </c>
      <c r="M15308">
        <v>0</v>
      </c>
      <c r="N15308">
        <v>0</v>
      </c>
      <c r="O15308" t="s">
        <v>11905</v>
      </c>
    </row>
    <row r="15309" spans="1:15">
      <c r="A15309" t="s">
        <v>49161</v>
      </c>
      <c r="B15309" t="s">
        <v>11644</v>
      </c>
      <c r="C15309" t="s">
        <v>36131</v>
      </c>
      <c r="D15309" t="s">
        <v>49162</v>
      </c>
      <c r="E15309" t="b">
        <v>0</v>
      </c>
      <c r="F15309" t="s">
        <v>11624</v>
      </c>
      <c r="L15309">
        <v>0</v>
      </c>
      <c r="M15309">
        <v>0</v>
      </c>
      <c r="N15309">
        <v>0</v>
      </c>
      <c r="O15309" t="s">
        <v>11630</v>
      </c>
    </row>
    <row r="15310" spans="1:15">
      <c r="A15310" t="s">
        <v>49163</v>
      </c>
      <c r="B15310" t="s">
        <v>11644</v>
      </c>
      <c r="C15310" t="s">
        <v>49164</v>
      </c>
      <c r="D15310" t="s">
        <v>49165</v>
      </c>
      <c r="E15310" t="b">
        <v>0</v>
      </c>
      <c r="F15310" t="s">
        <v>11610</v>
      </c>
      <c r="L15310">
        <v>0</v>
      </c>
      <c r="M15310">
        <v>0</v>
      </c>
      <c r="N15310">
        <v>2</v>
      </c>
    </row>
    <row r="15311" spans="1:15">
      <c r="A15311" t="s">
        <v>24868</v>
      </c>
      <c r="B15311" t="s">
        <v>11644</v>
      </c>
      <c r="C15311" t="s">
        <v>49164</v>
      </c>
      <c r="D15311" t="s">
        <v>49166</v>
      </c>
      <c r="E15311" t="b">
        <v>0</v>
      </c>
      <c r="F15311" t="s">
        <v>11610</v>
      </c>
      <c r="L15311">
        <v>0</v>
      </c>
      <c r="M15311">
        <v>0</v>
      </c>
      <c r="N15311">
        <v>2</v>
      </c>
    </row>
    <row r="15312" spans="1:15">
      <c r="A15312" t="s">
        <v>49167</v>
      </c>
      <c r="B15312" t="s">
        <v>12979</v>
      </c>
      <c r="C15312" t="s">
        <v>13045</v>
      </c>
      <c r="D15312" t="s">
        <v>49168</v>
      </c>
      <c r="E15312" t="b">
        <v>0</v>
      </c>
      <c r="F15312" t="s">
        <v>11610</v>
      </c>
      <c r="L15312">
        <v>0</v>
      </c>
      <c r="M15312">
        <v>0</v>
      </c>
      <c r="N15312">
        <v>0</v>
      </c>
    </row>
    <row r="15313" spans="1:14">
      <c r="A15313" t="s">
        <v>49169</v>
      </c>
      <c r="B15313" t="s">
        <v>11644</v>
      </c>
      <c r="C15313" t="s">
        <v>26666</v>
      </c>
      <c r="D15313" t="s">
        <v>49170</v>
      </c>
      <c r="E15313" t="b">
        <v>0</v>
      </c>
      <c r="F15313" t="s">
        <v>11610</v>
      </c>
      <c r="L15313">
        <v>0</v>
      </c>
      <c r="M15313">
        <v>0</v>
      </c>
      <c r="N15313">
        <v>0</v>
      </c>
    </row>
    <row r="15314" spans="1:14">
      <c r="A15314" t="s">
        <v>11608</v>
      </c>
      <c r="B15314" t="s">
        <v>11607</v>
      </c>
      <c r="C15314" t="s">
        <v>22004</v>
      </c>
      <c r="D15314" t="s">
        <v>49171</v>
      </c>
      <c r="E15314" t="b">
        <v>0</v>
      </c>
      <c r="F15314" t="s">
        <v>11610</v>
      </c>
      <c r="L15314">
        <v>0</v>
      </c>
      <c r="M15314">
        <v>0</v>
      </c>
      <c r="N15314">
        <v>6</v>
      </c>
    </row>
    <row r="15315" spans="1:14">
      <c r="A15315" t="s">
        <v>49172</v>
      </c>
      <c r="B15315" t="s">
        <v>11637</v>
      </c>
      <c r="C15315" t="s">
        <v>49173</v>
      </c>
      <c r="D15315" t="s">
        <v>49174</v>
      </c>
      <c r="E15315" t="b">
        <v>0</v>
      </c>
      <c r="F15315" t="s">
        <v>11610</v>
      </c>
      <c r="L15315">
        <v>0</v>
      </c>
      <c r="M15315">
        <v>0</v>
      </c>
      <c r="N15315">
        <v>0</v>
      </c>
    </row>
    <row r="15316" spans="1:14">
      <c r="A15316" t="s">
        <v>14411</v>
      </c>
      <c r="B15316" t="s">
        <v>11637</v>
      </c>
      <c r="C15316" t="s">
        <v>9247</v>
      </c>
      <c r="D15316" t="s">
        <v>49175</v>
      </c>
      <c r="E15316" t="b">
        <v>0</v>
      </c>
      <c r="F15316" t="s">
        <v>11610</v>
      </c>
      <c r="L15316">
        <v>0</v>
      </c>
      <c r="M15316">
        <v>0</v>
      </c>
      <c r="N15316">
        <v>3</v>
      </c>
    </row>
    <row r="15317" spans="1:14">
      <c r="A15317" t="s">
        <v>49176</v>
      </c>
      <c r="B15317" t="s">
        <v>11637</v>
      </c>
      <c r="C15317" t="s">
        <v>9247</v>
      </c>
      <c r="D15317" t="s">
        <v>49177</v>
      </c>
      <c r="E15317" t="b">
        <v>0</v>
      </c>
      <c r="F15317" t="s">
        <v>11610</v>
      </c>
      <c r="L15317">
        <v>0</v>
      </c>
      <c r="M15317">
        <v>0</v>
      </c>
      <c r="N15317">
        <v>0</v>
      </c>
    </row>
    <row r="15318" spans="1:14">
      <c r="A15318" t="s">
        <v>49178</v>
      </c>
      <c r="B15318" t="s">
        <v>11637</v>
      </c>
      <c r="C15318" t="s">
        <v>40360</v>
      </c>
      <c r="D15318" t="s">
        <v>49179</v>
      </c>
      <c r="E15318" t="b">
        <v>0</v>
      </c>
      <c r="F15318" t="s">
        <v>11610</v>
      </c>
      <c r="L15318">
        <v>0</v>
      </c>
      <c r="M15318">
        <v>0</v>
      </c>
      <c r="N15318">
        <v>0</v>
      </c>
    </row>
    <row r="15319" spans="1:14">
      <c r="A15319" t="s">
        <v>49180</v>
      </c>
      <c r="B15319" t="s">
        <v>11644</v>
      </c>
      <c r="C15319" t="s">
        <v>18950</v>
      </c>
      <c r="D15319" t="s">
        <v>49181</v>
      </c>
      <c r="E15319" t="b">
        <v>0</v>
      </c>
      <c r="F15319" t="s">
        <v>11610</v>
      </c>
      <c r="L15319">
        <v>0</v>
      </c>
      <c r="M15319">
        <v>0</v>
      </c>
      <c r="N15319">
        <v>0</v>
      </c>
    </row>
    <row r="15320" spans="1:14">
      <c r="A15320" t="s">
        <v>9685</v>
      </c>
      <c r="B15320" t="s">
        <v>11637</v>
      </c>
      <c r="C15320" t="s">
        <v>180</v>
      </c>
      <c r="D15320" t="s">
        <v>49182</v>
      </c>
      <c r="E15320" t="b">
        <v>0</v>
      </c>
      <c r="F15320" t="s">
        <v>11610</v>
      </c>
      <c r="L15320">
        <v>0</v>
      </c>
      <c r="M15320">
        <v>0</v>
      </c>
      <c r="N15320">
        <v>2</v>
      </c>
    </row>
    <row r="15321" spans="1:14">
      <c r="A15321" t="s">
        <v>49183</v>
      </c>
      <c r="B15321" t="s">
        <v>11637</v>
      </c>
      <c r="C15321" t="s">
        <v>9685</v>
      </c>
      <c r="D15321" t="s">
        <v>49184</v>
      </c>
      <c r="E15321" t="b">
        <v>0</v>
      </c>
      <c r="F15321" t="s">
        <v>11610</v>
      </c>
      <c r="L15321">
        <v>0</v>
      </c>
      <c r="M15321">
        <v>0</v>
      </c>
      <c r="N15321">
        <v>0</v>
      </c>
    </row>
    <row r="15322" spans="1:14">
      <c r="A15322" t="s">
        <v>49185</v>
      </c>
      <c r="B15322" t="s">
        <v>11637</v>
      </c>
      <c r="C15322" t="s">
        <v>26702</v>
      </c>
      <c r="D15322" t="s">
        <v>49186</v>
      </c>
      <c r="E15322" t="b">
        <v>0</v>
      </c>
      <c r="F15322" t="s">
        <v>11610</v>
      </c>
      <c r="L15322">
        <v>0</v>
      </c>
      <c r="M15322">
        <v>0</v>
      </c>
      <c r="N15322">
        <v>0</v>
      </c>
    </row>
    <row r="15323" spans="1:14">
      <c r="A15323" t="s">
        <v>49187</v>
      </c>
      <c r="B15323" t="s">
        <v>11637</v>
      </c>
      <c r="C15323" t="s">
        <v>22021</v>
      </c>
      <c r="D15323" t="s">
        <v>49188</v>
      </c>
      <c r="E15323" t="b">
        <v>0</v>
      </c>
      <c r="F15323" t="s">
        <v>11610</v>
      </c>
      <c r="L15323">
        <v>0</v>
      </c>
      <c r="M15323">
        <v>0</v>
      </c>
      <c r="N15323">
        <v>0</v>
      </c>
    </row>
    <row r="15324" spans="1:14">
      <c r="A15324" t="s">
        <v>49189</v>
      </c>
      <c r="B15324" t="s">
        <v>300</v>
      </c>
      <c r="C15324" t="s">
        <v>23399</v>
      </c>
      <c r="D15324" t="s">
        <v>49190</v>
      </c>
      <c r="E15324" t="b">
        <v>0</v>
      </c>
      <c r="F15324" t="s">
        <v>11610</v>
      </c>
      <c r="L15324">
        <v>0</v>
      </c>
      <c r="M15324">
        <v>0</v>
      </c>
      <c r="N15324">
        <v>0</v>
      </c>
    </row>
    <row r="15325" spans="1:14">
      <c r="A15325" t="s">
        <v>14549</v>
      </c>
      <c r="B15325" t="s">
        <v>11644</v>
      </c>
      <c r="C15325" t="s">
        <v>26709</v>
      </c>
      <c r="D15325" t="s">
        <v>49191</v>
      </c>
      <c r="E15325" t="b">
        <v>0</v>
      </c>
      <c r="F15325" t="s">
        <v>11610</v>
      </c>
      <c r="L15325">
        <v>0</v>
      </c>
      <c r="M15325">
        <v>0</v>
      </c>
      <c r="N15325">
        <v>4</v>
      </c>
    </row>
    <row r="15326" spans="1:14">
      <c r="A15326" t="s">
        <v>11645</v>
      </c>
      <c r="B15326" t="s">
        <v>11644</v>
      </c>
      <c r="C15326" t="s">
        <v>26709</v>
      </c>
      <c r="D15326" t="s">
        <v>49192</v>
      </c>
      <c r="E15326" t="b">
        <v>0</v>
      </c>
      <c r="F15326" t="s">
        <v>11610</v>
      </c>
      <c r="L15326">
        <v>0</v>
      </c>
      <c r="M15326">
        <v>0</v>
      </c>
      <c r="N15326">
        <v>3</v>
      </c>
    </row>
    <row r="15327" spans="1:14">
      <c r="A15327" t="s">
        <v>49193</v>
      </c>
      <c r="B15327" t="s">
        <v>11729</v>
      </c>
      <c r="C15327" t="s">
        <v>22031</v>
      </c>
      <c r="D15327" t="s">
        <v>49194</v>
      </c>
      <c r="E15327" t="b">
        <v>0</v>
      </c>
      <c r="F15327" t="s">
        <v>11610</v>
      </c>
      <c r="L15327">
        <v>0</v>
      </c>
      <c r="M15327">
        <v>0</v>
      </c>
      <c r="N15327">
        <v>0</v>
      </c>
    </row>
    <row r="15328" spans="1:14">
      <c r="A15328" t="s">
        <v>49195</v>
      </c>
      <c r="B15328" t="s">
        <v>11637</v>
      </c>
      <c r="C15328" t="s">
        <v>24930</v>
      </c>
      <c r="D15328" t="s">
        <v>49196</v>
      </c>
      <c r="E15328" t="b">
        <v>0</v>
      </c>
      <c r="F15328" t="s">
        <v>11610</v>
      </c>
      <c r="L15328">
        <v>0</v>
      </c>
      <c r="M15328">
        <v>0</v>
      </c>
      <c r="N15328">
        <v>0</v>
      </c>
    </row>
    <row r="15329" spans="1:14">
      <c r="A15329" t="s">
        <v>49197</v>
      </c>
      <c r="B15329" t="s">
        <v>11637</v>
      </c>
      <c r="C15329" t="s">
        <v>23364</v>
      </c>
      <c r="D15329" t="s">
        <v>49198</v>
      </c>
      <c r="E15329" t="b">
        <v>0</v>
      </c>
      <c r="F15329" t="s">
        <v>11610</v>
      </c>
      <c r="L15329">
        <v>0</v>
      </c>
      <c r="M15329">
        <v>0</v>
      </c>
      <c r="N15329">
        <v>0</v>
      </c>
    </row>
    <row r="15330" spans="1:14">
      <c r="A15330" t="s">
        <v>23276</v>
      </c>
      <c r="B15330" t="s">
        <v>11637</v>
      </c>
      <c r="C15330" t="s">
        <v>13004</v>
      </c>
      <c r="D15330" t="s">
        <v>49199</v>
      </c>
      <c r="E15330" t="b">
        <v>0</v>
      </c>
      <c r="F15330" t="s">
        <v>11622</v>
      </c>
      <c r="L15330">
        <v>0</v>
      </c>
      <c r="M15330">
        <v>2</v>
      </c>
      <c r="N15330">
        <v>0</v>
      </c>
    </row>
    <row r="15331" spans="1:14">
      <c r="A15331" t="s">
        <v>49200</v>
      </c>
      <c r="B15331" t="s">
        <v>11637</v>
      </c>
      <c r="C15331" t="s">
        <v>22040</v>
      </c>
      <c r="D15331" t="s">
        <v>49201</v>
      </c>
      <c r="E15331" t="b">
        <v>0</v>
      </c>
      <c r="F15331" t="s">
        <v>11610</v>
      </c>
      <c r="L15331">
        <v>0</v>
      </c>
      <c r="M15331">
        <v>0</v>
      </c>
      <c r="N15331">
        <v>0</v>
      </c>
    </row>
    <row r="15332" spans="1:14">
      <c r="A15332" t="s">
        <v>49202</v>
      </c>
      <c r="B15332" t="s">
        <v>11637</v>
      </c>
      <c r="C15332" t="s">
        <v>22040</v>
      </c>
      <c r="D15332" t="s">
        <v>49203</v>
      </c>
      <c r="E15332" t="b">
        <v>0</v>
      </c>
      <c r="F15332" t="s">
        <v>11610</v>
      </c>
      <c r="L15332">
        <v>0</v>
      </c>
      <c r="M15332">
        <v>0</v>
      </c>
      <c r="N15332">
        <v>0</v>
      </c>
    </row>
    <row r="15333" spans="1:14">
      <c r="A15333" t="s">
        <v>13916</v>
      </c>
      <c r="B15333" t="s">
        <v>11637</v>
      </c>
      <c r="C15333" t="s">
        <v>49204</v>
      </c>
      <c r="D15333" t="s">
        <v>49205</v>
      </c>
      <c r="E15333" t="b">
        <v>0</v>
      </c>
      <c r="F15333" t="s">
        <v>11610</v>
      </c>
      <c r="L15333">
        <v>0</v>
      </c>
      <c r="M15333">
        <v>0</v>
      </c>
      <c r="N15333">
        <v>7</v>
      </c>
    </row>
    <row r="15334" spans="1:14">
      <c r="A15334" t="s">
        <v>21048</v>
      </c>
      <c r="B15334" t="s">
        <v>11637</v>
      </c>
      <c r="C15334" t="s">
        <v>180</v>
      </c>
      <c r="D15334" t="s">
        <v>49206</v>
      </c>
      <c r="E15334" t="b">
        <v>0</v>
      </c>
      <c r="F15334" t="s">
        <v>11610</v>
      </c>
      <c r="L15334">
        <v>0</v>
      </c>
      <c r="M15334">
        <v>0</v>
      </c>
      <c r="N15334">
        <v>25</v>
      </c>
    </row>
    <row r="15335" spans="1:14">
      <c r="A15335" t="s">
        <v>49207</v>
      </c>
      <c r="B15335" t="s">
        <v>11637</v>
      </c>
      <c r="C15335" t="s">
        <v>26720</v>
      </c>
      <c r="D15335" t="s">
        <v>49208</v>
      </c>
      <c r="E15335" t="b">
        <v>0</v>
      </c>
      <c r="F15335" t="s">
        <v>11610</v>
      </c>
      <c r="L15335">
        <v>0</v>
      </c>
      <c r="M15335">
        <v>0</v>
      </c>
      <c r="N15335">
        <v>0</v>
      </c>
    </row>
    <row r="15336" spans="1:14">
      <c r="A15336" t="s">
        <v>32475</v>
      </c>
      <c r="B15336" t="s">
        <v>11637</v>
      </c>
      <c r="C15336" t="s">
        <v>21048</v>
      </c>
      <c r="D15336" t="s">
        <v>49209</v>
      </c>
      <c r="E15336" t="b">
        <v>0</v>
      </c>
      <c r="F15336" t="s">
        <v>11610</v>
      </c>
      <c r="L15336">
        <v>0</v>
      </c>
      <c r="M15336">
        <v>0</v>
      </c>
      <c r="N15336">
        <v>3</v>
      </c>
    </row>
    <row r="15337" spans="1:14">
      <c r="A15337" t="s">
        <v>49210</v>
      </c>
      <c r="B15337" t="s">
        <v>11637</v>
      </c>
      <c r="C15337" t="s">
        <v>21048</v>
      </c>
      <c r="D15337" t="s">
        <v>49211</v>
      </c>
      <c r="E15337" t="b">
        <v>0</v>
      </c>
      <c r="F15337" t="s">
        <v>11610</v>
      </c>
      <c r="L15337">
        <v>0</v>
      </c>
      <c r="M15337">
        <v>0</v>
      </c>
      <c r="N15337">
        <v>0</v>
      </c>
    </row>
    <row r="15338" spans="1:14">
      <c r="A15338" t="s">
        <v>49212</v>
      </c>
      <c r="B15338" t="s">
        <v>11637</v>
      </c>
      <c r="C15338" t="s">
        <v>15044</v>
      </c>
      <c r="D15338" t="s">
        <v>49213</v>
      </c>
      <c r="E15338" t="b">
        <v>0</v>
      </c>
      <c r="F15338" t="s">
        <v>11610</v>
      </c>
      <c r="L15338">
        <v>0</v>
      </c>
      <c r="M15338">
        <v>0</v>
      </c>
      <c r="N15338">
        <v>0</v>
      </c>
    </row>
    <row r="15339" spans="1:14">
      <c r="A15339" t="s">
        <v>49214</v>
      </c>
      <c r="B15339" t="s">
        <v>11637</v>
      </c>
      <c r="C15339" t="s">
        <v>26702</v>
      </c>
      <c r="D15339" t="s">
        <v>49215</v>
      </c>
      <c r="E15339" t="b">
        <v>0</v>
      </c>
      <c r="F15339" t="s">
        <v>11610</v>
      </c>
      <c r="L15339">
        <v>0</v>
      </c>
      <c r="M15339">
        <v>0</v>
      </c>
      <c r="N15339">
        <v>0</v>
      </c>
    </row>
    <row r="15340" spans="1:14">
      <c r="A15340" t="s">
        <v>49216</v>
      </c>
      <c r="B15340" t="s">
        <v>11637</v>
      </c>
      <c r="C15340" t="s">
        <v>13871</v>
      </c>
      <c r="D15340" t="s">
        <v>49217</v>
      </c>
      <c r="E15340" t="b">
        <v>0</v>
      </c>
      <c r="F15340" t="s">
        <v>11610</v>
      </c>
      <c r="L15340">
        <v>0</v>
      </c>
      <c r="M15340">
        <v>0</v>
      </c>
      <c r="N15340">
        <v>0</v>
      </c>
    </row>
    <row r="15341" spans="1:14">
      <c r="A15341" t="s">
        <v>49218</v>
      </c>
      <c r="B15341" t="s">
        <v>11637</v>
      </c>
      <c r="C15341" t="s">
        <v>44411</v>
      </c>
      <c r="D15341" t="s">
        <v>49219</v>
      </c>
      <c r="E15341" t="b">
        <v>0</v>
      </c>
      <c r="F15341" t="s">
        <v>11610</v>
      </c>
      <c r="L15341">
        <v>0</v>
      </c>
      <c r="M15341">
        <v>0</v>
      </c>
      <c r="N15341">
        <v>0</v>
      </c>
    </row>
    <row r="15342" spans="1:14">
      <c r="A15342" t="s">
        <v>49220</v>
      </c>
      <c r="B15342" t="s">
        <v>331</v>
      </c>
      <c r="C15342" t="s">
        <v>4630</v>
      </c>
      <c r="D15342" t="s">
        <v>49221</v>
      </c>
      <c r="E15342" t="b">
        <v>0</v>
      </c>
      <c r="F15342" t="s">
        <v>11610</v>
      </c>
      <c r="L15342">
        <v>0</v>
      </c>
      <c r="M15342">
        <v>0</v>
      </c>
      <c r="N15342">
        <v>3</v>
      </c>
    </row>
    <row r="15343" spans="1:14">
      <c r="A15343" t="s">
        <v>49222</v>
      </c>
      <c r="B15343" t="s">
        <v>14552</v>
      </c>
      <c r="C15343" t="s">
        <v>22051</v>
      </c>
      <c r="D15343" t="s">
        <v>49223</v>
      </c>
      <c r="E15343" t="b">
        <v>0</v>
      </c>
      <c r="F15343" t="s">
        <v>11610</v>
      </c>
      <c r="L15343">
        <v>0</v>
      </c>
      <c r="M15343">
        <v>0</v>
      </c>
      <c r="N15343">
        <v>0</v>
      </c>
    </row>
    <row r="15344" spans="1:14">
      <c r="A15344" t="s">
        <v>19125</v>
      </c>
      <c r="B15344" t="s">
        <v>11637</v>
      </c>
      <c r="C15344" t="s">
        <v>21169</v>
      </c>
      <c r="D15344" t="s">
        <v>49224</v>
      </c>
      <c r="E15344" t="b">
        <v>0</v>
      </c>
      <c r="F15344" t="s">
        <v>11610</v>
      </c>
      <c r="L15344">
        <v>0</v>
      </c>
      <c r="M15344">
        <v>0</v>
      </c>
      <c r="N15344">
        <v>5</v>
      </c>
    </row>
    <row r="15345" spans="1:15">
      <c r="A15345" t="s">
        <v>27575</v>
      </c>
      <c r="B15345" t="s">
        <v>367</v>
      </c>
      <c r="C15345" t="s">
        <v>41787</v>
      </c>
      <c r="D15345" t="s">
        <v>49225</v>
      </c>
      <c r="E15345" t="b">
        <v>0</v>
      </c>
      <c r="F15345" t="s">
        <v>11622</v>
      </c>
      <c r="L15345">
        <v>13</v>
      </c>
      <c r="M15345">
        <v>19</v>
      </c>
      <c r="N15345">
        <v>10</v>
      </c>
    </row>
    <row r="15346" spans="1:15">
      <c r="A15346" t="s">
        <v>18143</v>
      </c>
      <c r="B15346" t="s">
        <v>5126</v>
      </c>
      <c r="C15346" t="s">
        <v>21826</v>
      </c>
      <c r="D15346" t="s">
        <v>49226</v>
      </c>
      <c r="E15346" t="b">
        <v>0</v>
      </c>
      <c r="F15346" t="s">
        <v>11622</v>
      </c>
      <c r="L15346">
        <v>6</v>
      </c>
      <c r="M15346">
        <v>21</v>
      </c>
      <c r="N15346">
        <v>7</v>
      </c>
    </row>
    <row r="15347" spans="1:15">
      <c r="A15347" t="s">
        <v>14863</v>
      </c>
      <c r="B15347" t="s">
        <v>11607</v>
      </c>
      <c r="C15347" t="s">
        <v>22054</v>
      </c>
      <c r="D15347" t="s">
        <v>49227</v>
      </c>
      <c r="E15347" t="b">
        <v>0</v>
      </c>
      <c r="F15347" t="s">
        <v>11610</v>
      </c>
      <c r="L15347">
        <v>0</v>
      </c>
      <c r="M15347">
        <v>0</v>
      </c>
      <c r="N15347">
        <v>2</v>
      </c>
    </row>
    <row r="15348" spans="1:15">
      <c r="A15348" t="s">
        <v>31364</v>
      </c>
      <c r="B15348" t="s">
        <v>11981</v>
      </c>
      <c r="C15348" t="s">
        <v>10582</v>
      </c>
      <c r="D15348" t="s">
        <v>49228</v>
      </c>
      <c r="E15348" t="b">
        <v>0</v>
      </c>
      <c r="F15348" t="s">
        <v>11624</v>
      </c>
      <c r="G15348">
        <v>60.773299999999999</v>
      </c>
      <c r="H15348">
        <v>10.242000000000001</v>
      </c>
      <c r="I15348" t="s">
        <v>49229</v>
      </c>
      <c r="L15348">
        <v>0</v>
      </c>
      <c r="M15348">
        <v>0</v>
      </c>
      <c r="N15348">
        <v>3</v>
      </c>
      <c r="O15348" t="s">
        <v>49230</v>
      </c>
    </row>
    <row r="15349" spans="1:15">
      <c r="A15349" t="s">
        <v>10561</v>
      </c>
      <c r="B15349" t="s">
        <v>11637</v>
      </c>
      <c r="C15349" t="s">
        <v>31936</v>
      </c>
      <c r="D15349" t="s">
        <v>49231</v>
      </c>
      <c r="E15349" t="b">
        <v>0</v>
      </c>
      <c r="F15349" t="s">
        <v>11624</v>
      </c>
      <c r="G15349">
        <v>59.92</v>
      </c>
      <c r="H15349">
        <v>10.71</v>
      </c>
      <c r="I15349" t="s">
        <v>10562</v>
      </c>
      <c r="L15349">
        <v>0</v>
      </c>
      <c r="M15349">
        <v>0</v>
      </c>
      <c r="N15349">
        <v>6</v>
      </c>
      <c r="O15349" t="s">
        <v>49232</v>
      </c>
    </row>
    <row r="15350" spans="1:15">
      <c r="A15350" t="s">
        <v>10569</v>
      </c>
      <c r="B15350" t="s">
        <v>11637</v>
      </c>
      <c r="C15350" t="s">
        <v>10561</v>
      </c>
      <c r="D15350" t="s">
        <v>49233</v>
      </c>
      <c r="E15350" t="b">
        <v>0</v>
      </c>
      <c r="F15350" t="s">
        <v>11610</v>
      </c>
      <c r="G15350">
        <v>61.112000000000002</v>
      </c>
      <c r="H15350">
        <v>8.8859999999999992</v>
      </c>
      <c r="I15350" t="s">
        <v>49234</v>
      </c>
      <c r="L15350">
        <v>0</v>
      </c>
      <c r="M15350">
        <v>0</v>
      </c>
      <c r="N15350">
        <v>0</v>
      </c>
      <c r="O15350" t="s">
        <v>49230</v>
      </c>
    </row>
    <row r="15351" spans="1:15">
      <c r="A15351" t="s">
        <v>10582</v>
      </c>
      <c r="B15351" t="s">
        <v>11981</v>
      </c>
      <c r="C15351" t="s">
        <v>13026</v>
      </c>
      <c r="D15351" t="s">
        <v>49235</v>
      </c>
      <c r="E15351" t="b">
        <v>0</v>
      </c>
      <c r="F15351" t="s">
        <v>11622</v>
      </c>
      <c r="L15351">
        <v>0</v>
      </c>
      <c r="M15351">
        <v>2</v>
      </c>
      <c r="N15351">
        <v>3</v>
      </c>
    </row>
    <row r="15352" spans="1:15">
      <c r="A15352" t="s">
        <v>10589</v>
      </c>
      <c r="B15352" t="s">
        <v>11637</v>
      </c>
      <c r="C15352" t="s">
        <v>10561</v>
      </c>
      <c r="D15352" t="s">
        <v>49236</v>
      </c>
      <c r="E15352" t="b">
        <v>0</v>
      </c>
      <c r="F15352" t="s">
        <v>11610</v>
      </c>
      <c r="I15352" t="s">
        <v>49237</v>
      </c>
      <c r="L15352">
        <v>0</v>
      </c>
      <c r="M15352">
        <v>0</v>
      </c>
      <c r="N15352">
        <v>0</v>
      </c>
    </row>
    <row r="15353" spans="1:15">
      <c r="A15353" t="s">
        <v>49238</v>
      </c>
      <c r="B15353" t="s">
        <v>12260</v>
      </c>
      <c r="C15353" t="s">
        <v>49239</v>
      </c>
      <c r="D15353" t="s">
        <v>49240</v>
      </c>
      <c r="E15353" t="b">
        <v>0</v>
      </c>
      <c r="F15353" t="s">
        <v>11610</v>
      </c>
      <c r="L15353">
        <v>0</v>
      </c>
      <c r="M15353">
        <v>0</v>
      </c>
      <c r="N15353">
        <v>0</v>
      </c>
    </row>
    <row r="15354" spans="1:15">
      <c r="A15354" t="s">
        <v>49241</v>
      </c>
      <c r="B15354" t="s">
        <v>4342</v>
      </c>
      <c r="C15354" t="s">
        <v>28119</v>
      </c>
      <c r="D15354" t="s">
        <v>49242</v>
      </c>
      <c r="E15354" t="b">
        <v>0</v>
      </c>
      <c r="F15354" t="s">
        <v>11610</v>
      </c>
      <c r="L15354">
        <v>0</v>
      </c>
      <c r="M15354">
        <v>0</v>
      </c>
      <c r="N15354">
        <v>0</v>
      </c>
    </row>
    <row r="15355" spans="1:15">
      <c r="A15355" t="s">
        <v>49243</v>
      </c>
      <c r="B15355" t="s">
        <v>6742</v>
      </c>
      <c r="C15355" t="s">
        <v>49244</v>
      </c>
      <c r="D15355" t="s">
        <v>49245</v>
      </c>
      <c r="E15355" t="b">
        <v>0</v>
      </c>
      <c r="F15355" t="s">
        <v>11624</v>
      </c>
      <c r="G15355">
        <v>10.702500000000001</v>
      </c>
      <c r="H15355">
        <v>1.2743500000000001</v>
      </c>
      <c r="I15355" t="s">
        <v>49246</v>
      </c>
      <c r="L15355">
        <v>0</v>
      </c>
      <c r="M15355">
        <v>0</v>
      </c>
      <c r="N15355">
        <v>0</v>
      </c>
      <c r="O15355" t="s">
        <v>15477</v>
      </c>
    </row>
    <row r="15356" spans="1:15">
      <c r="A15356" t="s">
        <v>7279</v>
      </c>
      <c r="B15356" t="s">
        <v>367</v>
      </c>
      <c r="C15356" t="s">
        <v>40113</v>
      </c>
      <c r="D15356" t="s">
        <v>7278</v>
      </c>
      <c r="E15356" t="b">
        <v>0</v>
      </c>
      <c r="F15356" t="s">
        <v>11624</v>
      </c>
      <c r="G15356">
        <v>-3.0556999999999999</v>
      </c>
      <c r="H15356">
        <v>151.661</v>
      </c>
      <c r="I15356" t="s">
        <v>7280</v>
      </c>
      <c r="L15356">
        <v>0</v>
      </c>
      <c r="M15356">
        <v>0</v>
      </c>
      <c r="N15356">
        <v>0</v>
      </c>
      <c r="O15356" t="s">
        <v>11660</v>
      </c>
    </row>
    <row r="15357" spans="1:15">
      <c r="A15357" t="s">
        <v>49247</v>
      </c>
      <c r="B15357" t="s">
        <v>300</v>
      </c>
      <c r="C15357" t="s">
        <v>49248</v>
      </c>
      <c r="D15357" t="s">
        <v>49249</v>
      </c>
      <c r="E15357" t="b">
        <v>0</v>
      </c>
      <c r="F15357" t="s">
        <v>11624</v>
      </c>
      <c r="G15357">
        <v>36.72</v>
      </c>
      <c r="H15357">
        <v>-77.114999999999995</v>
      </c>
      <c r="I15357" t="s">
        <v>49250</v>
      </c>
      <c r="L15357">
        <v>0</v>
      </c>
      <c r="M15357">
        <v>0</v>
      </c>
      <c r="N15357">
        <v>0</v>
      </c>
      <c r="O15357" t="s">
        <v>11944</v>
      </c>
    </row>
    <row r="15358" spans="1:15">
      <c r="A15358" t="s">
        <v>49251</v>
      </c>
      <c r="B15358" t="s">
        <v>11637</v>
      </c>
      <c r="C15358" t="s">
        <v>29397</v>
      </c>
      <c r="D15358" t="s">
        <v>49252</v>
      </c>
      <c r="E15358" t="b">
        <v>0</v>
      </c>
      <c r="F15358" t="s">
        <v>11624</v>
      </c>
      <c r="G15358">
        <v>5.3170000000000002</v>
      </c>
      <c r="H15358">
        <v>-4.0330000000000004</v>
      </c>
      <c r="L15358">
        <v>0</v>
      </c>
      <c r="M15358">
        <v>0</v>
      </c>
      <c r="N15358">
        <v>0</v>
      </c>
      <c r="O15358" t="s">
        <v>11735</v>
      </c>
    </row>
    <row r="15359" spans="1:15">
      <c r="A15359" t="s">
        <v>49253</v>
      </c>
      <c r="B15359" t="s">
        <v>6742</v>
      </c>
      <c r="C15359" t="s">
        <v>25393</v>
      </c>
      <c r="D15359" t="s">
        <v>49254</v>
      </c>
      <c r="E15359" t="b">
        <v>0</v>
      </c>
      <c r="F15359" t="s">
        <v>11610</v>
      </c>
      <c r="L15359">
        <v>0</v>
      </c>
      <c r="M15359">
        <v>0</v>
      </c>
      <c r="N15359">
        <v>0</v>
      </c>
    </row>
    <row r="15360" spans="1:15">
      <c r="A15360" t="s">
        <v>49255</v>
      </c>
      <c r="B15360" t="s">
        <v>13276</v>
      </c>
      <c r="C15360" t="s">
        <v>28698</v>
      </c>
      <c r="D15360" t="s">
        <v>49256</v>
      </c>
      <c r="E15360" t="b">
        <v>0</v>
      </c>
      <c r="F15360" t="s">
        <v>11610</v>
      </c>
      <c r="L15360">
        <v>0</v>
      </c>
      <c r="M15360">
        <v>0</v>
      </c>
      <c r="N15360">
        <v>0</v>
      </c>
    </row>
    <row r="15361" spans="1:15">
      <c r="A15361" t="s">
        <v>49257</v>
      </c>
      <c r="B15361" t="s">
        <v>11637</v>
      </c>
      <c r="C15361" t="s">
        <v>13136</v>
      </c>
      <c r="D15361" t="s">
        <v>49258</v>
      </c>
      <c r="E15361" t="b">
        <v>0</v>
      </c>
      <c r="F15361" t="s">
        <v>11610</v>
      </c>
      <c r="L15361">
        <v>0</v>
      </c>
      <c r="M15361">
        <v>0</v>
      </c>
      <c r="N15361">
        <v>0</v>
      </c>
    </row>
    <row r="15362" spans="1:15">
      <c r="A15362" t="s">
        <v>49259</v>
      </c>
      <c r="B15362" t="s">
        <v>12260</v>
      </c>
      <c r="C15362" t="s">
        <v>10100</v>
      </c>
      <c r="D15362" t="s">
        <v>49260</v>
      </c>
      <c r="E15362" t="b">
        <v>0</v>
      </c>
      <c r="F15362" t="s">
        <v>11610</v>
      </c>
      <c r="L15362">
        <v>0</v>
      </c>
      <c r="M15362">
        <v>0</v>
      </c>
      <c r="N15362">
        <v>0</v>
      </c>
    </row>
    <row r="15363" spans="1:15">
      <c r="A15363" t="s">
        <v>49261</v>
      </c>
      <c r="B15363" t="s">
        <v>14629</v>
      </c>
      <c r="C15363" t="s">
        <v>14629</v>
      </c>
      <c r="D15363" t="s">
        <v>49262</v>
      </c>
      <c r="E15363" t="b">
        <v>0</v>
      </c>
      <c r="F15363" t="s">
        <v>11624</v>
      </c>
      <c r="I15363" t="s">
        <v>49263</v>
      </c>
      <c r="L15363">
        <v>0</v>
      </c>
      <c r="M15363">
        <v>0</v>
      </c>
      <c r="N15363">
        <v>0</v>
      </c>
    </row>
    <row r="15364" spans="1:15">
      <c r="A15364" t="s">
        <v>49264</v>
      </c>
      <c r="B15364" t="s">
        <v>367</v>
      </c>
      <c r="C15364" t="s">
        <v>49265</v>
      </c>
      <c r="D15364" t="s">
        <v>49266</v>
      </c>
      <c r="E15364" t="b">
        <v>0</v>
      </c>
      <c r="F15364" t="s">
        <v>11610</v>
      </c>
      <c r="L15364">
        <v>0</v>
      </c>
      <c r="M15364">
        <v>0</v>
      </c>
      <c r="N15364">
        <v>0</v>
      </c>
    </row>
    <row r="15365" spans="1:15">
      <c r="A15365" t="s">
        <v>49267</v>
      </c>
      <c r="B15365" t="s">
        <v>6742</v>
      </c>
      <c r="C15365" t="s">
        <v>49268</v>
      </c>
      <c r="D15365" t="s">
        <v>49269</v>
      </c>
      <c r="E15365" t="b">
        <v>0</v>
      </c>
      <c r="F15365" t="s">
        <v>11624</v>
      </c>
      <c r="G15365">
        <v>9.4249500000000008</v>
      </c>
      <c r="H15365">
        <v>17.913599999999999</v>
      </c>
      <c r="I15365" t="s">
        <v>49270</v>
      </c>
      <c r="L15365">
        <v>0</v>
      </c>
      <c r="M15365">
        <v>0</v>
      </c>
      <c r="N15365">
        <v>0</v>
      </c>
      <c r="O15365" t="s">
        <v>13421</v>
      </c>
    </row>
    <row r="15366" spans="1:15">
      <c r="A15366" t="s">
        <v>49271</v>
      </c>
      <c r="B15366" t="s">
        <v>367</v>
      </c>
      <c r="C15366" t="s">
        <v>25522</v>
      </c>
      <c r="D15366" t="s">
        <v>49272</v>
      </c>
      <c r="E15366" t="b">
        <v>0</v>
      </c>
      <c r="F15366" t="s">
        <v>11610</v>
      </c>
      <c r="L15366">
        <v>0</v>
      </c>
      <c r="M15366">
        <v>0</v>
      </c>
      <c r="N15366">
        <v>0</v>
      </c>
    </row>
    <row r="15367" spans="1:15">
      <c r="A15367" t="s">
        <v>49273</v>
      </c>
      <c r="B15367" t="s">
        <v>6742</v>
      </c>
      <c r="C15367" t="s">
        <v>12211</v>
      </c>
      <c r="D15367" t="s">
        <v>49274</v>
      </c>
      <c r="E15367" t="b">
        <v>0</v>
      </c>
      <c r="F15367" t="s">
        <v>11610</v>
      </c>
      <c r="L15367">
        <v>0</v>
      </c>
      <c r="M15367">
        <v>0</v>
      </c>
      <c r="N15367">
        <v>0</v>
      </c>
    </row>
    <row r="15368" spans="1:15">
      <c r="A15368" t="s">
        <v>49275</v>
      </c>
      <c r="B15368" t="s">
        <v>6742</v>
      </c>
      <c r="C15368" t="s">
        <v>11804</v>
      </c>
      <c r="D15368" t="s">
        <v>49276</v>
      </c>
      <c r="E15368" t="b">
        <v>0</v>
      </c>
      <c r="F15368" t="s">
        <v>11610</v>
      </c>
      <c r="L15368">
        <v>0</v>
      </c>
      <c r="M15368">
        <v>0</v>
      </c>
      <c r="N15368">
        <v>0</v>
      </c>
    </row>
    <row r="15369" spans="1:15">
      <c r="A15369" t="s">
        <v>49277</v>
      </c>
      <c r="B15369" t="s">
        <v>6742</v>
      </c>
      <c r="C15369" t="s">
        <v>48173</v>
      </c>
      <c r="D15369" t="s">
        <v>49278</v>
      </c>
      <c r="E15369" t="b">
        <v>0</v>
      </c>
      <c r="F15369" t="s">
        <v>11624</v>
      </c>
      <c r="G15369">
        <v>6.6300800000000004</v>
      </c>
      <c r="H15369">
        <v>10.599299999999999</v>
      </c>
      <c r="I15369" t="s">
        <v>49279</v>
      </c>
      <c r="L15369">
        <v>0</v>
      </c>
      <c r="M15369">
        <v>0</v>
      </c>
      <c r="N15369">
        <v>0</v>
      </c>
      <c r="O15369" t="s">
        <v>11703</v>
      </c>
    </row>
    <row r="15370" spans="1:15">
      <c r="A15370" t="s">
        <v>48173</v>
      </c>
      <c r="B15370" t="s">
        <v>6742</v>
      </c>
      <c r="C15370" t="s">
        <v>17661</v>
      </c>
      <c r="D15370" t="s">
        <v>49280</v>
      </c>
      <c r="E15370" t="b">
        <v>0</v>
      </c>
      <c r="F15370" t="s">
        <v>11622</v>
      </c>
      <c r="L15370">
        <v>3</v>
      </c>
      <c r="M15370">
        <v>5</v>
      </c>
      <c r="N15370">
        <v>2</v>
      </c>
    </row>
    <row r="15371" spans="1:15">
      <c r="A15371" t="s">
        <v>49281</v>
      </c>
      <c r="B15371" t="s">
        <v>6742</v>
      </c>
      <c r="C15371" t="s">
        <v>46777</v>
      </c>
      <c r="D15371" t="s">
        <v>49282</v>
      </c>
      <c r="E15371" t="b">
        <v>0</v>
      </c>
      <c r="F15371" t="s">
        <v>11610</v>
      </c>
      <c r="L15371">
        <v>0</v>
      </c>
      <c r="M15371">
        <v>0</v>
      </c>
      <c r="N15371">
        <v>0</v>
      </c>
    </row>
    <row r="15372" spans="1:15">
      <c r="A15372" t="s">
        <v>4166</v>
      </c>
      <c r="B15372" t="s">
        <v>6742</v>
      </c>
      <c r="C15372" t="s">
        <v>42252</v>
      </c>
      <c r="D15372" t="s">
        <v>4165</v>
      </c>
      <c r="E15372" t="b">
        <v>0</v>
      </c>
      <c r="F15372" t="s">
        <v>11624</v>
      </c>
      <c r="G15372">
        <v>-15.394600000000001</v>
      </c>
      <c r="H15372">
        <v>31.354399999999998</v>
      </c>
      <c r="I15372" t="s">
        <v>4167</v>
      </c>
      <c r="L15372">
        <v>0</v>
      </c>
      <c r="M15372">
        <v>0</v>
      </c>
      <c r="N15372">
        <v>2</v>
      </c>
      <c r="O15372" t="s">
        <v>38229</v>
      </c>
    </row>
    <row r="15373" spans="1:15">
      <c r="A15373" t="s">
        <v>49283</v>
      </c>
      <c r="B15373" t="s">
        <v>12241</v>
      </c>
      <c r="C15373" t="s">
        <v>15040</v>
      </c>
      <c r="D15373" t="s">
        <v>49284</v>
      </c>
      <c r="E15373" t="b">
        <v>0</v>
      </c>
      <c r="F15373" t="s">
        <v>11624</v>
      </c>
      <c r="G15373">
        <v>7.22</v>
      </c>
      <c r="H15373">
        <v>10.58</v>
      </c>
      <c r="I15373" t="s">
        <v>49285</v>
      </c>
      <c r="L15373">
        <v>0</v>
      </c>
      <c r="M15373">
        <v>0</v>
      </c>
      <c r="N15373">
        <v>0</v>
      </c>
      <c r="O15373" t="s">
        <v>11693</v>
      </c>
    </row>
    <row r="15374" spans="1:15">
      <c r="A15374" t="s">
        <v>49286</v>
      </c>
      <c r="B15374" t="s">
        <v>6742</v>
      </c>
      <c r="C15374" t="s">
        <v>29257</v>
      </c>
      <c r="D15374" t="s">
        <v>49287</v>
      </c>
      <c r="E15374" t="b">
        <v>0</v>
      </c>
      <c r="F15374" t="s">
        <v>11610</v>
      </c>
      <c r="L15374">
        <v>0</v>
      </c>
      <c r="M15374">
        <v>0</v>
      </c>
      <c r="N15374">
        <v>0</v>
      </c>
    </row>
    <row r="15375" spans="1:15">
      <c r="A15375" t="s">
        <v>49288</v>
      </c>
      <c r="B15375" t="s">
        <v>6742</v>
      </c>
      <c r="C15375" t="s">
        <v>36673</v>
      </c>
      <c r="D15375" t="s">
        <v>49289</v>
      </c>
      <c r="E15375" t="b">
        <v>0</v>
      </c>
      <c r="F15375" t="s">
        <v>11610</v>
      </c>
      <c r="L15375">
        <v>0</v>
      </c>
      <c r="M15375">
        <v>0</v>
      </c>
      <c r="N15375">
        <v>0</v>
      </c>
    </row>
    <row r="15376" spans="1:15">
      <c r="A15376" t="s">
        <v>49290</v>
      </c>
      <c r="B15376" t="s">
        <v>6742</v>
      </c>
      <c r="C15376" t="s">
        <v>21474</v>
      </c>
      <c r="D15376" t="s">
        <v>49291</v>
      </c>
      <c r="E15376" t="b">
        <v>0</v>
      </c>
      <c r="F15376" t="s">
        <v>11610</v>
      </c>
      <c r="L15376">
        <v>0</v>
      </c>
      <c r="M15376">
        <v>0</v>
      </c>
      <c r="N15376">
        <v>0</v>
      </c>
    </row>
    <row r="15377" spans="1:15">
      <c r="A15377" t="s">
        <v>49292</v>
      </c>
      <c r="B15377" t="s">
        <v>6742</v>
      </c>
      <c r="C15377" t="s">
        <v>19287</v>
      </c>
      <c r="D15377" t="s">
        <v>49293</v>
      </c>
      <c r="E15377" t="b">
        <v>0</v>
      </c>
      <c r="F15377" t="s">
        <v>11624</v>
      </c>
      <c r="G15377">
        <v>-10.5166</v>
      </c>
      <c r="H15377">
        <v>16.7348</v>
      </c>
      <c r="I15377" t="s">
        <v>49294</v>
      </c>
      <c r="L15377">
        <v>0</v>
      </c>
      <c r="M15377">
        <v>0</v>
      </c>
      <c r="N15377">
        <v>0</v>
      </c>
      <c r="O15377" t="s">
        <v>19290</v>
      </c>
    </row>
    <row r="15378" spans="1:15">
      <c r="A15378" t="s">
        <v>47503</v>
      </c>
      <c r="B15378" t="s">
        <v>6742</v>
      </c>
      <c r="C15378" t="s">
        <v>38741</v>
      </c>
      <c r="D15378" t="s">
        <v>49295</v>
      </c>
      <c r="E15378" t="b">
        <v>0</v>
      </c>
      <c r="F15378" t="s">
        <v>11622</v>
      </c>
      <c r="L15378">
        <v>0</v>
      </c>
      <c r="M15378">
        <v>2</v>
      </c>
      <c r="N15378">
        <v>0</v>
      </c>
    </row>
    <row r="15379" spans="1:15">
      <c r="A15379" t="s">
        <v>49296</v>
      </c>
      <c r="B15379" t="s">
        <v>6742</v>
      </c>
      <c r="C15379" t="s">
        <v>12211</v>
      </c>
      <c r="D15379" t="s">
        <v>49297</v>
      </c>
      <c r="E15379" t="b">
        <v>0</v>
      </c>
      <c r="F15379" t="s">
        <v>11610</v>
      </c>
      <c r="L15379">
        <v>0</v>
      </c>
      <c r="M15379">
        <v>0</v>
      </c>
      <c r="N15379">
        <v>0</v>
      </c>
    </row>
    <row r="15380" spans="1:15">
      <c r="A15380" t="s">
        <v>49298</v>
      </c>
      <c r="B15380" t="s">
        <v>6742</v>
      </c>
      <c r="C15380" t="s">
        <v>18876</v>
      </c>
      <c r="D15380" t="s">
        <v>49299</v>
      </c>
      <c r="E15380" t="b">
        <v>0</v>
      </c>
      <c r="F15380" t="s">
        <v>11610</v>
      </c>
      <c r="L15380">
        <v>0</v>
      </c>
      <c r="M15380">
        <v>0</v>
      </c>
      <c r="N15380">
        <v>0</v>
      </c>
    </row>
    <row r="15381" spans="1:15">
      <c r="A15381" t="s">
        <v>49300</v>
      </c>
      <c r="B15381" t="s">
        <v>6742</v>
      </c>
      <c r="C15381" t="s">
        <v>46777</v>
      </c>
      <c r="D15381" t="s">
        <v>49301</v>
      </c>
      <c r="E15381" t="b">
        <v>0</v>
      </c>
      <c r="F15381" t="s">
        <v>11610</v>
      </c>
      <c r="L15381">
        <v>0</v>
      </c>
      <c r="M15381">
        <v>0</v>
      </c>
      <c r="N15381">
        <v>0</v>
      </c>
    </row>
    <row r="15382" spans="1:15">
      <c r="A15382" t="s">
        <v>12701</v>
      </c>
      <c r="B15382" t="s">
        <v>6742</v>
      </c>
      <c r="C15382" t="s">
        <v>30244</v>
      </c>
      <c r="D15382" t="s">
        <v>49302</v>
      </c>
      <c r="E15382" t="b">
        <v>0</v>
      </c>
      <c r="F15382" t="s">
        <v>11622</v>
      </c>
      <c r="L15382">
        <v>0</v>
      </c>
      <c r="M15382">
        <v>2</v>
      </c>
      <c r="N15382">
        <v>5</v>
      </c>
    </row>
    <row r="15383" spans="1:15">
      <c r="A15383" t="s">
        <v>18876</v>
      </c>
      <c r="B15383" t="s">
        <v>6742</v>
      </c>
      <c r="C15383" t="s">
        <v>12701</v>
      </c>
      <c r="D15383" t="s">
        <v>49303</v>
      </c>
      <c r="E15383" t="b">
        <v>0</v>
      </c>
      <c r="F15383" t="s">
        <v>11624</v>
      </c>
      <c r="G15383">
        <v>9.2397100000000005</v>
      </c>
      <c r="H15383">
        <v>0.599275</v>
      </c>
      <c r="I15383" t="s">
        <v>49304</v>
      </c>
      <c r="L15383">
        <v>0</v>
      </c>
      <c r="M15383">
        <v>0</v>
      </c>
      <c r="N15383">
        <v>5</v>
      </c>
      <c r="O15383" t="s">
        <v>12006</v>
      </c>
    </row>
    <row r="15384" spans="1:15">
      <c r="A15384" t="s">
        <v>49305</v>
      </c>
      <c r="B15384" t="s">
        <v>6742</v>
      </c>
      <c r="C15384" t="s">
        <v>38607</v>
      </c>
      <c r="D15384" t="s">
        <v>49306</v>
      </c>
      <c r="E15384" t="b">
        <v>0</v>
      </c>
      <c r="F15384" t="s">
        <v>11610</v>
      </c>
      <c r="L15384">
        <v>0</v>
      </c>
      <c r="M15384">
        <v>0</v>
      </c>
      <c r="N15384">
        <v>0</v>
      </c>
    </row>
    <row r="15385" spans="1:15">
      <c r="A15385" t="s">
        <v>49307</v>
      </c>
      <c r="B15385" t="s">
        <v>6742</v>
      </c>
      <c r="C15385" t="s">
        <v>29533</v>
      </c>
      <c r="D15385" t="s">
        <v>49308</v>
      </c>
      <c r="E15385" t="b">
        <v>0</v>
      </c>
      <c r="F15385" t="s">
        <v>11624</v>
      </c>
      <c r="G15385">
        <v>8.8316009999999991</v>
      </c>
      <c r="H15385">
        <v>9.7933000000000006E-2</v>
      </c>
      <c r="L15385">
        <v>0</v>
      </c>
      <c r="M15385">
        <v>0</v>
      </c>
      <c r="N15385">
        <v>0</v>
      </c>
      <c r="O15385" t="s">
        <v>11985</v>
      </c>
    </row>
    <row r="15386" spans="1:15">
      <c r="A15386" t="s">
        <v>49309</v>
      </c>
      <c r="B15386" t="s">
        <v>6742</v>
      </c>
      <c r="C15386" t="s">
        <v>4025</v>
      </c>
      <c r="D15386" t="s">
        <v>49310</v>
      </c>
      <c r="E15386" t="b">
        <v>0</v>
      </c>
      <c r="F15386" t="s">
        <v>11610</v>
      </c>
      <c r="L15386">
        <v>0</v>
      </c>
      <c r="M15386">
        <v>0</v>
      </c>
      <c r="N15386">
        <v>0</v>
      </c>
    </row>
    <row r="15387" spans="1:15">
      <c r="A15387" t="s">
        <v>49311</v>
      </c>
      <c r="B15387" t="s">
        <v>6742</v>
      </c>
      <c r="C15387" t="s">
        <v>38946</v>
      </c>
      <c r="D15387" t="s">
        <v>49312</v>
      </c>
      <c r="E15387" t="b">
        <v>0</v>
      </c>
      <c r="F15387" t="s">
        <v>11610</v>
      </c>
      <c r="L15387">
        <v>0</v>
      </c>
      <c r="M15387">
        <v>0</v>
      </c>
      <c r="N15387">
        <v>0</v>
      </c>
    </row>
    <row r="15388" spans="1:15">
      <c r="A15388" t="s">
        <v>49313</v>
      </c>
      <c r="B15388" t="s">
        <v>6742</v>
      </c>
      <c r="C15388" t="s">
        <v>27905</v>
      </c>
      <c r="D15388" t="s">
        <v>49314</v>
      </c>
      <c r="E15388" t="b">
        <v>0</v>
      </c>
      <c r="F15388" t="s">
        <v>11610</v>
      </c>
      <c r="L15388">
        <v>0</v>
      </c>
      <c r="M15388">
        <v>0</v>
      </c>
      <c r="N15388">
        <v>0</v>
      </c>
    </row>
    <row r="15389" spans="1:15">
      <c r="A15389" t="s">
        <v>49315</v>
      </c>
      <c r="B15389" t="s">
        <v>13276</v>
      </c>
      <c r="C15389" t="s">
        <v>15103</v>
      </c>
      <c r="D15389" t="s">
        <v>49316</v>
      </c>
      <c r="E15389" t="b">
        <v>0</v>
      </c>
      <c r="F15389" t="s">
        <v>11610</v>
      </c>
      <c r="L15389">
        <v>0</v>
      </c>
      <c r="M15389">
        <v>0</v>
      </c>
      <c r="N15389">
        <v>0</v>
      </c>
    </row>
    <row r="15390" spans="1:15">
      <c r="A15390" t="s">
        <v>32328</v>
      </c>
      <c r="B15390" t="s">
        <v>6742</v>
      </c>
      <c r="C15390" t="s">
        <v>19267</v>
      </c>
      <c r="D15390" t="s">
        <v>49317</v>
      </c>
      <c r="E15390" t="b">
        <v>0</v>
      </c>
      <c r="F15390" t="s">
        <v>11624</v>
      </c>
      <c r="G15390">
        <v>-1.9906200000000001</v>
      </c>
      <c r="H15390">
        <v>18.265000000000001</v>
      </c>
      <c r="I15390" t="s">
        <v>49318</v>
      </c>
      <c r="L15390">
        <v>0</v>
      </c>
      <c r="M15390">
        <v>0</v>
      </c>
      <c r="N15390">
        <v>7</v>
      </c>
      <c r="O15390" t="s">
        <v>14825</v>
      </c>
    </row>
    <row r="15391" spans="1:15">
      <c r="A15391" t="s">
        <v>49319</v>
      </c>
      <c r="B15391" t="s">
        <v>6742</v>
      </c>
      <c r="C15391" t="s">
        <v>5545</v>
      </c>
      <c r="D15391" t="s">
        <v>49320</v>
      </c>
      <c r="E15391" t="b">
        <v>0</v>
      </c>
      <c r="F15391" t="s">
        <v>11610</v>
      </c>
      <c r="L15391">
        <v>0</v>
      </c>
      <c r="M15391">
        <v>0</v>
      </c>
      <c r="N15391">
        <v>0</v>
      </c>
    </row>
    <row r="15392" spans="1:15">
      <c r="A15392" t="s">
        <v>49321</v>
      </c>
      <c r="B15392" t="s">
        <v>6742</v>
      </c>
      <c r="C15392" t="s">
        <v>5545</v>
      </c>
      <c r="D15392" t="s">
        <v>49322</v>
      </c>
      <c r="E15392" t="b">
        <v>0</v>
      </c>
      <c r="F15392" t="s">
        <v>11610</v>
      </c>
      <c r="L15392">
        <v>0</v>
      </c>
      <c r="M15392">
        <v>0</v>
      </c>
      <c r="N15392">
        <v>0</v>
      </c>
    </row>
    <row r="15393" spans="1:15">
      <c r="A15393" t="s">
        <v>49323</v>
      </c>
      <c r="B15393" t="s">
        <v>6742</v>
      </c>
      <c r="C15393" t="s">
        <v>38607</v>
      </c>
      <c r="D15393" t="s">
        <v>49324</v>
      </c>
      <c r="E15393" t="b">
        <v>0</v>
      </c>
      <c r="F15393" t="s">
        <v>11610</v>
      </c>
      <c r="L15393">
        <v>0</v>
      </c>
      <c r="M15393">
        <v>0</v>
      </c>
      <c r="N15393">
        <v>0</v>
      </c>
    </row>
    <row r="15394" spans="1:15">
      <c r="A15394" t="s">
        <v>49325</v>
      </c>
      <c r="B15394" t="s">
        <v>10597</v>
      </c>
      <c r="C15394" t="s">
        <v>15392</v>
      </c>
      <c r="D15394" t="s">
        <v>49326</v>
      </c>
      <c r="E15394" t="b">
        <v>0</v>
      </c>
      <c r="F15394" t="s">
        <v>11610</v>
      </c>
      <c r="L15394">
        <v>0</v>
      </c>
      <c r="M15394">
        <v>0</v>
      </c>
      <c r="N15394">
        <v>0</v>
      </c>
    </row>
    <row r="15395" spans="1:15">
      <c r="A15395" t="s">
        <v>49327</v>
      </c>
      <c r="B15395" t="s">
        <v>6742</v>
      </c>
      <c r="C15395" t="s">
        <v>44259</v>
      </c>
      <c r="D15395" t="s">
        <v>49328</v>
      </c>
      <c r="E15395" t="b">
        <v>0</v>
      </c>
      <c r="F15395" t="s">
        <v>11610</v>
      </c>
      <c r="L15395">
        <v>0</v>
      </c>
      <c r="M15395">
        <v>0</v>
      </c>
      <c r="N15395">
        <v>0</v>
      </c>
    </row>
    <row r="15396" spans="1:15">
      <c r="A15396" t="s">
        <v>49329</v>
      </c>
      <c r="B15396" t="s">
        <v>6742</v>
      </c>
      <c r="C15396" t="s">
        <v>44259</v>
      </c>
      <c r="D15396" t="s">
        <v>49330</v>
      </c>
      <c r="E15396" t="b">
        <v>0</v>
      </c>
      <c r="F15396" t="s">
        <v>11610</v>
      </c>
      <c r="L15396">
        <v>0</v>
      </c>
      <c r="M15396">
        <v>0</v>
      </c>
      <c r="N15396">
        <v>0</v>
      </c>
    </row>
    <row r="15397" spans="1:15">
      <c r="A15397" t="s">
        <v>49331</v>
      </c>
      <c r="B15397" t="s">
        <v>6742</v>
      </c>
      <c r="C15397" t="s">
        <v>28707</v>
      </c>
      <c r="D15397" t="s">
        <v>49332</v>
      </c>
      <c r="E15397" t="b">
        <v>0</v>
      </c>
      <c r="F15397" t="s">
        <v>11610</v>
      </c>
      <c r="L15397">
        <v>0</v>
      </c>
      <c r="M15397">
        <v>0</v>
      </c>
      <c r="N15397">
        <v>0</v>
      </c>
    </row>
    <row r="15398" spans="1:15">
      <c r="A15398" t="s">
        <v>49333</v>
      </c>
      <c r="B15398" t="s">
        <v>6742</v>
      </c>
      <c r="C15398" t="s">
        <v>8425</v>
      </c>
      <c r="D15398" t="s">
        <v>49334</v>
      </c>
      <c r="E15398" t="b">
        <v>0</v>
      </c>
      <c r="F15398" t="s">
        <v>11610</v>
      </c>
      <c r="L15398">
        <v>0</v>
      </c>
      <c r="M15398">
        <v>0</v>
      </c>
      <c r="N15398">
        <v>0</v>
      </c>
    </row>
    <row r="15399" spans="1:15">
      <c r="A15399" t="s">
        <v>48695</v>
      </c>
      <c r="B15399" t="s">
        <v>367</v>
      </c>
      <c r="C15399" t="s">
        <v>42736</v>
      </c>
      <c r="D15399" t="s">
        <v>49335</v>
      </c>
      <c r="E15399" t="b">
        <v>0</v>
      </c>
      <c r="F15399" t="s">
        <v>11622</v>
      </c>
      <c r="L15399">
        <v>0</v>
      </c>
      <c r="M15399">
        <v>2</v>
      </c>
      <c r="N15399">
        <v>0</v>
      </c>
    </row>
    <row r="15400" spans="1:15">
      <c r="A15400" t="s">
        <v>49336</v>
      </c>
      <c r="B15400" t="s">
        <v>6742</v>
      </c>
      <c r="C15400" t="s">
        <v>15668</v>
      </c>
      <c r="D15400" t="s">
        <v>49337</v>
      </c>
      <c r="E15400" t="b">
        <v>0</v>
      </c>
      <c r="F15400" t="s">
        <v>11624</v>
      </c>
      <c r="G15400">
        <v>4.3569599999999999</v>
      </c>
      <c r="H15400">
        <v>11.029</v>
      </c>
      <c r="I15400" t="s">
        <v>49338</v>
      </c>
      <c r="L15400">
        <v>0</v>
      </c>
      <c r="M15400">
        <v>0</v>
      </c>
      <c r="N15400">
        <v>0</v>
      </c>
      <c r="O15400" t="s">
        <v>11703</v>
      </c>
    </row>
    <row r="15401" spans="1:15">
      <c r="A15401" t="s">
        <v>3164</v>
      </c>
      <c r="D15401" t="s">
        <v>49339</v>
      </c>
      <c r="E15401" t="b">
        <v>0</v>
      </c>
      <c r="F15401" t="s">
        <v>11622</v>
      </c>
      <c r="L15401">
        <v>7</v>
      </c>
      <c r="M15401">
        <v>13</v>
      </c>
      <c r="N15401">
        <v>15</v>
      </c>
    </row>
    <row r="15402" spans="1:15">
      <c r="A15402" t="s">
        <v>49340</v>
      </c>
      <c r="B15402" t="s">
        <v>11871</v>
      </c>
      <c r="C15402" t="s">
        <v>15338</v>
      </c>
      <c r="D15402" t="s">
        <v>49341</v>
      </c>
      <c r="E15402" t="b">
        <v>0</v>
      </c>
      <c r="F15402" t="s">
        <v>11610</v>
      </c>
      <c r="L15402">
        <v>0</v>
      </c>
      <c r="M15402">
        <v>0</v>
      </c>
      <c r="N15402">
        <v>0</v>
      </c>
    </row>
    <row r="15403" spans="1:15">
      <c r="A15403" t="s">
        <v>49342</v>
      </c>
      <c r="B15403" t="s">
        <v>11607</v>
      </c>
      <c r="C15403" t="s">
        <v>22097</v>
      </c>
      <c r="D15403" t="s">
        <v>49343</v>
      </c>
      <c r="E15403" t="b">
        <v>0</v>
      </c>
      <c r="F15403" t="s">
        <v>11624</v>
      </c>
      <c r="G15403">
        <v>-0.18321499999999999</v>
      </c>
      <c r="H15403">
        <v>34.755200000000002</v>
      </c>
      <c r="I15403" t="s">
        <v>49344</v>
      </c>
      <c r="L15403">
        <v>0</v>
      </c>
      <c r="M15403">
        <v>0</v>
      </c>
      <c r="N15403">
        <v>0</v>
      </c>
      <c r="O15403" t="s">
        <v>49345</v>
      </c>
    </row>
    <row r="15404" spans="1:15">
      <c r="A15404" t="s">
        <v>30430</v>
      </c>
      <c r="B15404" t="s">
        <v>11644</v>
      </c>
      <c r="C15404" t="s">
        <v>30426</v>
      </c>
      <c r="D15404" t="s">
        <v>49346</v>
      </c>
      <c r="E15404" t="b">
        <v>0</v>
      </c>
      <c r="F15404" t="s">
        <v>11624</v>
      </c>
      <c r="G15404">
        <v>28.5092</v>
      </c>
      <c r="H15404">
        <v>84.777199999999993</v>
      </c>
      <c r="I15404" t="s">
        <v>49347</v>
      </c>
      <c r="L15404">
        <v>0</v>
      </c>
      <c r="M15404">
        <v>0</v>
      </c>
      <c r="N15404">
        <v>6</v>
      </c>
      <c r="O15404" t="s">
        <v>16899</v>
      </c>
    </row>
    <row r="15405" spans="1:15">
      <c r="A15405" t="s">
        <v>49348</v>
      </c>
      <c r="B15405" t="s">
        <v>11644</v>
      </c>
      <c r="C15405" t="s">
        <v>38926</v>
      </c>
      <c r="D15405" t="s">
        <v>49349</v>
      </c>
      <c r="E15405" t="b">
        <v>0</v>
      </c>
      <c r="F15405" t="s">
        <v>11610</v>
      </c>
      <c r="L15405">
        <v>0</v>
      </c>
      <c r="M15405">
        <v>0</v>
      </c>
      <c r="N15405">
        <v>0</v>
      </c>
    </row>
    <row r="15406" spans="1:15">
      <c r="A15406" t="s">
        <v>40019</v>
      </c>
      <c r="B15406" t="s">
        <v>11644</v>
      </c>
      <c r="C15406" t="s">
        <v>30430</v>
      </c>
      <c r="D15406" t="s">
        <v>49350</v>
      </c>
      <c r="E15406" t="b">
        <v>0</v>
      </c>
      <c r="F15406" t="s">
        <v>11610</v>
      </c>
      <c r="L15406">
        <v>0</v>
      </c>
      <c r="M15406">
        <v>0</v>
      </c>
      <c r="N15406">
        <v>4</v>
      </c>
    </row>
    <row r="15407" spans="1:15">
      <c r="A15407" t="s">
        <v>49351</v>
      </c>
      <c r="B15407" t="s">
        <v>21516</v>
      </c>
      <c r="C15407" t="s">
        <v>39031</v>
      </c>
      <c r="D15407" t="s">
        <v>49352</v>
      </c>
      <c r="E15407" t="b">
        <v>0</v>
      </c>
      <c r="F15407" t="s">
        <v>11610</v>
      </c>
      <c r="L15407">
        <v>0</v>
      </c>
      <c r="M15407">
        <v>0</v>
      </c>
      <c r="N15407">
        <v>0</v>
      </c>
    </row>
    <row r="15408" spans="1:15">
      <c r="A15408" t="s">
        <v>7044</v>
      </c>
      <c r="B15408" t="s">
        <v>11637</v>
      </c>
      <c r="C15408" t="s">
        <v>26593</v>
      </c>
      <c r="D15408" t="s">
        <v>49353</v>
      </c>
      <c r="E15408" t="b">
        <v>0</v>
      </c>
      <c r="F15408" t="s">
        <v>11624</v>
      </c>
      <c r="G15408">
        <v>40</v>
      </c>
      <c r="H15408">
        <v>45</v>
      </c>
      <c r="I15408" t="s">
        <v>7046</v>
      </c>
      <c r="L15408">
        <v>0</v>
      </c>
      <c r="M15408">
        <v>0</v>
      </c>
      <c r="N15408">
        <v>23</v>
      </c>
      <c r="O15408" t="s">
        <v>49354</v>
      </c>
    </row>
    <row r="15409" spans="1:15">
      <c r="A15409" t="s">
        <v>49355</v>
      </c>
      <c r="B15409" t="s">
        <v>36807</v>
      </c>
      <c r="C15409" t="s">
        <v>36808</v>
      </c>
      <c r="D15409" t="s">
        <v>49356</v>
      </c>
      <c r="E15409" t="b">
        <v>0</v>
      </c>
      <c r="F15409" t="s">
        <v>11610</v>
      </c>
      <c r="L15409">
        <v>0</v>
      </c>
      <c r="M15409">
        <v>0</v>
      </c>
      <c r="N15409">
        <v>0</v>
      </c>
    </row>
    <row r="15410" spans="1:15">
      <c r="A15410" t="s">
        <v>49357</v>
      </c>
      <c r="B15410" t="s">
        <v>11637</v>
      </c>
      <c r="C15410" t="s">
        <v>49358</v>
      </c>
      <c r="D15410" t="s">
        <v>49359</v>
      </c>
      <c r="E15410" t="b">
        <v>0</v>
      </c>
      <c r="F15410" t="s">
        <v>11610</v>
      </c>
      <c r="L15410">
        <v>0</v>
      </c>
      <c r="M15410">
        <v>0</v>
      </c>
      <c r="N15410">
        <v>0</v>
      </c>
    </row>
    <row r="15411" spans="1:15">
      <c r="A15411" t="s">
        <v>25251</v>
      </c>
      <c r="B15411" t="s">
        <v>6742</v>
      </c>
      <c r="C15411" t="s">
        <v>45722</v>
      </c>
      <c r="D15411" t="s">
        <v>49360</v>
      </c>
      <c r="E15411" t="b">
        <v>0</v>
      </c>
      <c r="F15411" t="s">
        <v>11624</v>
      </c>
      <c r="G15411">
        <v>8.9034700000000004</v>
      </c>
      <c r="H15411">
        <v>11.715450000000001</v>
      </c>
      <c r="I15411" t="s">
        <v>49361</v>
      </c>
      <c r="L15411">
        <v>0</v>
      </c>
      <c r="M15411">
        <v>0</v>
      </c>
      <c r="N15411">
        <v>20</v>
      </c>
      <c r="O15411" t="s">
        <v>11693</v>
      </c>
    </row>
    <row r="15412" spans="1:15">
      <c r="A15412" t="s">
        <v>23627</v>
      </c>
      <c r="B15412" t="s">
        <v>5126</v>
      </c>
      <c r="C15412" t="s">
        <v>31235</v>
      </c>
      <c r="D15412" t="s">
        <v>49362</v>
      </c>
      <c r="E15412" t="b">
        <v>0</v>
      </c>
      <c r="F15412" t="s">
        <v>11622</v>
      </c>
      <c r="L15412">
        <v>0</v>
      </c>
      <c r="M15412">
        <v>2</v>
      </c>
      <c r="N15412">
        <v>4</v>
      </c>
    </row>
    <row r="15413" spans="1:15">
      <c r="A15413" t="s">
        <v>49363</v>
      </c>
      <c r="B15413" t="s">
        <v>13434</v>
      </c>
      <c r="C15413" t="s">
        <v>42931</v>
      </c>
      <c r="D15413" t="s">
        <v>49364</v>
      </c>
      <c r="E15413" t="b">
        <v>0</v>
      </c>
      <c r="F15413" t="s">
        <v>11610</v>
      </c>
      <c r="L15413">
        <v>0</v>
      </c>
      <c r="M15413">
        <v>0</v>
      </c>
      <c r="N15413">
        <v>0</v>
      </c>
    </row>
    <row r="15414" spans="1:15">
      <c r="A15414" t="s">
        <v>49365</v>
      </c>
      <c r="B15414" t="s">
        <v>45308</v>
      </c>
      <c r="C15414" t="s">
        <v>49366</v>
      </c>
      <c r="D15414" t="s">
        <v>49367</v>
      </c>
      <c r="E15414" t="b">
        <v>0</v>
      </c>
      <c r="F15414" t="s">
        <v>11610</v>
      </c>
      <c r="L15414">
        <v>0</v>
      </c>
      <c r="M15414">
        <v>0</v>
      </c>
      <c r="N15414">
        <v>0</v>
      </c>
    </row>
    <row r="15415" spans="1:15">
      <c r="A15415" t="s">
        <v>13292</v>
      </c>
      <c r="B15415" t="s">
        <v>13291</v>
      </c>
      <c r="C15415" t="s">
        <v>13291</v>
      </c>
      <c r="D15415" t="s">
        <v>49368</v>
      </c>
      <c r="E15415" t="b">
        <v>0</v>
      </c>
      <c r="F15415" t="s">
        <v>11622</v>
      </c>
      <c r="L15415">
        <v>1</v>
      </c>
      <c r="M15415">
        <v>5</v>
      </c>
      <c r="N15415">
        <v>3</v>
      </c>
    </row>
    <row r="15416" spans="1:15">
      <c r="A15416" t="s">
        <v>49369</v>
      </c>
      <c r="B15416" t="s">
        <v>12875</v>
      </c>
      <c r="C15416" t="s">
        <v>8594</v>
      </c>
      <c r="D15416" t="s">
        <v>49370</v>
      </c>
      <c r="E15416" t="b">
        <v>0</v>
      </c>
      <c r="F15416" t="s">
        <v>11610</v>
      </c>
      <c r="L15416">
        <v>0</v>
      </c>
      <c r="M15416">
        <v>0</v>
      </c>
      <c r="N15416">
        <v>0</v>
      </c>
    </row>
    <row r="15417" spans="1:15">
      <c r="A15417" t="s">
        <v>49371</v>
      </c>
      <c r="B15417" t="s">
        <v>22598</v>
      </c>
      <c r="C15417" t="s">
        <v>31338</v>
      </c>
      <c r="D15417" t="s">
        <v>49372</v>
      </c>
      <c r="E15417" t="b">
        <v>0</v>
      </c>
      <c r="F15417" t="s">
        <v>11610</v>
      </c>
      <c r="L15417">
        <v>0</v>
      </c>
      <c r="M15417">
        <v>0</v>
      </c>
      <c r="N15417">
        <v>0</v>
      </c>
    </row>
    <row r="15418" spans="1:15">
      <c r="A15418" t="s">
        <v>49373</v>
      </c>
      <c r="B15418" t="s">
        <v>11637</v>
      </c>
      <c r="C15418" t="s">
        <v>148</v>
      </c>
      <c r="D15418" t="s">
        <v>49374</v>
      </c>
      <c r="E15418" t="b">
        <v>0</v>
      </c>
      <c r="F15418" t="s">
        <v>11610</v>
      </c>
      <c r="L15418">
        <v>0</v>
      </c>
      <c r="M15418">
        <v>0</v>
      </c>
      <c r="N15418">
        <v>0</v>
      </c>
    </row>
    <row r="15419" spans="1:15">
      <c r="A15419" t="s">
        <v>49375</v>
      </c>
      <c r="B15419" t="s">
        <v>11637</v>
      </c>
      <c r="C15419" t="s">
        <v>9882</v>
      </c>
      <c r="D15419" t="s">
        <v>49376</v>
      </c>
      <c r="E15419" t="b">
        <v>0</v>
      </c>
      <c r="F15419" t="s">
        <v>11610</v>
      </c>
      <c r="L15419">
        <v>0</v>
      </c>
      <c r="M15419">
        <v>0</v>
      </c>
      <c r="N15419">
        <v>0</v>
      </c>
    </row>
    <row r="15420" spans="1:15">
      <c r="A15420" t="s">
        <v>14511</v>
      </c>
      <c r="B15420" t="s">
        <v>11637</v>
      </c>
      <c r="C15420" t="s">
        <v>14319</v>
      </c>
      <c r="D15420" t="s">
        <v>49377</v>
      </c>
      <c r="E15420" t="b">
        <v>0</v>
      </c>
      <c r="F15420" t="s">
        <v>11610</v>
      </c>
      <c r="L15420">
        <v>0</v>
      </c>
      <c r="M15420">
        <v>0</v>
      </c>
      <c r="N15420">
        <v>6</v>
      </c>
    </row>
    <row r="15421" spans="1:15">
      <c r="A15421" t="s">
        <v>49378</v>
      </c>
      <c r="B15421" t="s">
        <v>11637</v>
      </c>
      <c r="C15421" t="s">
        <v>29583</v>
      </c>
      <c r="D15421" t="s">
        <v>49379</v>
      </c>
      <c r="E15421" t="b">
        <v>0</v>
      </c>
      <c r="F15421" t="s">
        <v>11610</v>
      </c>
      <c r="L15421">
        <v>0</v>
      </c>
      <c r="M15421">
        <v>0</v>
      </c>
      <c r="N15421">
        <v>0</v>
      </c>
    </row>
    <row r="15422" spans="1:15">
      <c r="A15422" t="s">
        <v>49380</v>
      </c>
      <c r="B15422" t="s">
        <v>11637</v>
      </c>
      <c r="C15422" t="s">
        <v>28751</v>
      </c>
      <c r="D15422" t="s">
        <v>49381</v>
      </c>
      <c r="E15422" t="b">
        <v>0</v>
      </c>
      <c r="F15422" t="s">
        <v>11610</v>
      </c>
      <c r="L15422">
        <v>0</v>
      </c>
      <c r="M15422">
        <v>0</v>
      </c>
      <c r="N15422">
        <v>0</v>
      </c>
    </row>
    <row r="15423" spans="1:15">
      <c r="A15423" t="s">
        <v>49382</v>
      </c>
      <c r="B15423" t="s">
        <v>11637</v>
      </c>
      <c r="C15423" t="s">
        <v>13617</v>
      </c>
      <c r="D15423" t="s">
        <v>49383</v>
      </c>
      <c r="E15423" t="b">
        <v>0</v>
      </c>
      <c r="F15423" t="s">
        <v>11610</v>
      </c>
      <c r="L15423">
        <v>0</v>
      </c>
      <c r="M15423">
        <v>0</v>
      </c>
      <c r="N15423">
        <v>0</v>
      </c>
    </row>
    <row r="15424" spans="1:15">
      <c r="A15424" t="s">
        <v>49384</v>
      </c>
      <c r="B15424" t="s">
        <v>11637</v>
      </c>
      <c r="C15424" t="s">
        <v>14785</v>
      </c>
      <c r="D15424" t="s">
        <v>49385</v>
      </c>
      <c r="E15424" t="b">
        <v>0</v>
      </c>
      <c r="F15424" t="s">
        <v>11610</v>
      </c>
      <c r="L15424">
        <v>0</v>
      </c>
      <c r="M15424">
        <v>0</v>
      </c>
      <c r="N15424">
        <v>0</v>
      </c>
    </row>
    <row r="15425" spans="1:15">
      <c r="A15425" t="s">
        <v>49386</v>
      </c>
      <c r="B15425" t="s">
        <v>11637</v>
      </c>
      <c r="C15425" t="s">
        <v>17320</v>
      </c>
      <c r="D15425" t="s">
        <v>49387</v>
      </c>
      <c r="E15425" t="b">
        <v>0</v>
      </c>
      <c r="F15425" t="s">
        <v>11610</v>
      </c>
      <c r="L15425">
        <v>0</v>
      </c>
      <c r="M15425">
        <v>0</v>
      </c>
      <c r="N15425">
        <v>0</v>
      </c>
    </row>
    <row r="15426" spans="1:15">
      <c r="A15426" t="s">
        <v>49388</v>
      </c>
      <c r="B15426" t="s">
        <v>11637</v>
      </c>
      <c r="C15426" t="s">
        <v>7704</v>
      </c>
      <c r="D15426" t="s">
        <v>49389</v>
      </c>
      <c r="E15426" t="b">
        <v>0</v>
      </c>
      <c r="F15426" t="s">
        <v>11610</v>
      </c>
      <c r="L15426">
        <v>0</v>
      </c>
      <c r="M15426">
        <v>0</v>
      </c>
      <c r="N15426">
        <v>0</v>
      </c>
    </row>
    <row r="15427" spans="1:15">
      <c r="A15427" t="s">
        <v>3558</v>
      </c>
      <c r="B15427" t="s">
        <v>11637</v>
      </c>
      <c r="C15427" t="s">
        <v>3559</v>
      </c>
      <c r="D15427" t="s">
        <v>49390</v>
      </c>
      <c r="E15427" t="b">
        <v>0</v>
      </c>
      <c r="F15427" t="s">
        <v>11622</v>
      </c>
      <c r="I15427" t="s">
        <v>3560</v>
      </c>
      <c r="L15427">
        <v>0</v>
      </c>
      <c r="M15427">
        <v>3</v>
      </c>
      <c r="N15427">
        <v>17</v>
      </c>
      <c r="O15427" t="s">
        <v>12172</v>
      </c>
    </row>
    <row r="15428" spans="1:15">
      <c r="A15428" t="s">
        <v>49391</v>
      </c>
      <c r="B15428" t="s">
        <v>11637</v>
      </c>
      <c r="C15428" t="s">
        <v>34673</v>
      </c>
      <c r="D15428" t="s">
        <v>49392</v>
      </c>
      <c r="E15428" t="b">
        <v>0</v>
      </c>
      <c r="F15428" t="s">
        <v>11610</v>
      </c>
      <c r="L15428">
        <v>0</v>
      </c>
      <c r="M15428">
        <v>0</v>
      </c>
      <c r="N15428">
        <v>0</v>
      </c>
    </row>
    <row r="15429" spans="1:15">
      <c r="A15429" t="s">
        <v>49393</v>
      </c>
      <c r="B15429" t="s">
        <v>11637</v>
      </c>
      <c r="C15429" t="s">
        <v>18279</v>
      </c>
      <c r="D15429" t="s">
        <v>49394</v>
      </c>
      <c r="E15429" t="b">
        <v>0</v>
      </c>
      <c r="F15429" t="s">
        <v>11610</v>
      </c>
      <c r="L15429">
        <v>0</v>
      </c>
      <c r="M15429">
        <v>0</v>
      </c>
      <c r="N15429">
        <v>0</v>
      </c>
    </row>
    <row r="15430" spans="1:15">
      <c r="A15430" t="s">
        <v>49395</v>
      </c>
      <c r="B15430" t="s">
        <v>11637</v>
      </c>
      <c r="C15430" t="s">
        <v>30819</v>
      </c>
      <c r="D15430" t="s">
        <v>49396</v>
      </c>
      <c r="E15430" t="b">
        <v>0</v>
      </c>
      <c r="F15430" t="s">
        <v>11610</v>
      </c>
      <c r="L15430">
        <v>0</v>
      </c>
      <c r="M15430">
        <v>0</v>
      </c>
      <c r="N15430">
        <v>0</v>
      </c>
    </row>
    <row r="15431" spans="1:15">
      <c r="A15431" t="s">
        <v>49397</v>
      </c>
      <c r="B15431" t="s">
        <v>11637</v>
      </c>
      <c r="C15431" t="s">
        <v>186</v>
      </c>
      <c r="D15431" t="s">
        <v>49398</v>
      </c>
      <c r="E15431" t="b">
        <v>0</v>
      </c>
      <c r="F15431" t="s">
        <v>11610</v>
      </c>
      <c r="L15431">
        <v>0</v>
      </c>
      <c r="M15431">
        <v>0</v>
      </c>
      <c r="N15431">
        <v>0</v>
      </c>
    </row>
    <row r="15432" spans="1:15">
      <c r="A15432" t="s">
        <v>49399</v>
      </c>
      <c r="B15432" t="s">
        <v>11637</v>
      </c>
      <c r="C15432" t="s">
        <v>28489</v>
      </c>
      <c r="D15432" t="s">
        <v>49400</v>
      </c>
      <c r="E15432" t="b">
        <v>0</v>
      </c>
      <c r="F15432" t="s">
        <v>11610</v>
      </c>
      <c r="L15432">
        <v>0</v>
      </c>
      <c r="M15432">
        <v>0</v>
      </c>
      <c r="N15432">
        <v>0</v>
      </c>
    </row>
    <row r="15433" spans="1:15">
      <c r="A15433" t="s">
        <v>49401</v>
      </c>
      <c r="B15433" t="s">
        <v>11637</v>
      </c>
      <c r="C15433" t="s">
        <v>24033</v>
      </c>
      <c r="D15433" t="s">
        <v>49402</v>
      </c>
      <c r="E15433" t="b">
        <v>0</v>
      </c>
      <c r="F15433" t="s">
        <v>11610</v>
      </c>
      <c r="L15433">
        <v>0</v>
      </c>
      <c r="M15433">
        <v>0</v>
      </c>
      <c r="N15433">
        <v>0</v>
      </c>
    </row>
    <row r="15434" spans="1:15">
      <c r="A15434" t="s">
        <v>49403</v>
      </c>
      <c r="B15434" t="s">
        <v>11637</v>
      </c>
      <c r="C15434" t="s">
        <v>29691</v>
      </c>
      <c r="D15434" t="s">
        <v>49404</v>
      </c>
      <c r="E15434" t="b">
        <v>0</v>
      </c>
      <c r="F15434" t="s">
        <v>11610</v>
      </c>
      <c r="L15434">
        <v>0</v>
      </c>
      <c r="M15434">
        <v>0</v>
      </c>
      <c r="N15434">
        <v>0</v>
      </c>
    </row>
    <row r="15435" spans="1:15">
      <c r="A15435" t="s">
        <v>49405</v>
      </c>
      <c r="B15435" t="s">
        <v>11637</v>
      </c>
      <c r="C15435" t="s">
        <v>15719</v>
      </c>
      <c r="D15435" t="s">
        <v>49406</v>
      </c>
      <c r="E15435" t="b">
        <v>0</v>
      </c>
      <c r="F15435" t="s">
        <v>11610</v>
      </c>
      <c r="L15435">
        <v>0</v>
      </c>
      <c r="M15435">
        <v>0</v>
      </c>
      <c r="N15435">
        <v>0</v>
      </c>
    </row>
    <row r="15436" spans="1:15">
      <c r="A15436" t="s">
        <v>49407</v>
      </c>
      <c r="B15436" t="s">
        <v>31523</v>
      </c>
      <c r="C15436" t="s">
        <v>31523</v>
      </c>
      <c r="D15436" t="s">
        <v>49408</v>
      </c>
      <c r="E15436" t="b">
        <v>0</v>
      </c>
      <c r="F15436" t="s">
        <v>11610</v>
      </c>
      <c r="L15436">
        <v>0</v>
      </c>
      <c r="M15436">
        <v>0</v>
      </c>
      <c r="N15436">
        <v>0</v>
      </c>
    </row>
    <row r="15437" spans="1:15">
      <c r="A15437" t="s">
        <v>49409</v>
      </c>
      <c r="B15437" t="s">
        <v>12260</v>
      </c>
      <c r="C15437" t="s">
        <v>35021</v>
      </c>
      <c r="D15437" t="s">
        <v>49410</v>
      </c>
      <c r="E15437" t="b">
        <v>0</v>
      </c>
      <c r="F15437" t="s">
        <v>11610</v>
      </c>
      <c r="L15437">
        <v>0</v>
      </c>
      <c r="M15437">
        <v>0</v>
      </c>
      <c r="N15437">
        <v>0</v>
      </c>
    </row>
    <row r="15438" spans="1:15">
      <c r="A15438" t="s">
        <v>49411</v>
      </c>
      <c r="B15438" t="s">
        <v>12438</v>
      </c>
      <c r="C15438" t="s">
        <v>25132</v>
      </c>
      <c r="D15438" t="s">
        <v>49412</v>
      </c>
      <c r="E15438" t="b">
        <v>0</v>
      </c>
      <c r="F15438" t="s">
        <v>11610</v>
      </c>
      <c r="L15438">
        <v>0</v>
      </c>
      <c r="M15438">
        <v>0</v>
      </c>
      <c r="N15438">
        <v>0</v>
      </c>
    </row>
    <row r="15439" spans="1:15">
      <c r="A15439" t="s">
        <v>27246</v>
      </c>
      <c r="B15439" t="s">
        <v>12438</v>
      </c>
      <c r="C15439" t="s">
        <v>15300</v>
      </c>
      <c r="D15439" t="s">
        <v>49413</v>
      </c>
      <c r="E15439" t="b">
        <v>0</v>
      </c>
      <c r="F15439" t="s">
        <v>11624</v>
      </c>
      <c r="G15439">
        <v>23.102399999999999</v>
      </c>
      <c r="H15439">
        <v>99.108000000000004</v>
      </c>
      <c r="I15439" t="s">
        <v>49414</v>
      </c>
      <c r="L15439">
        <v>0</v>
      </c>
      <c r="M15439">
        <v>0</v>
      </c>
      <c r="N15439">
        <v>6</v>
      </c>
      <c r="O15439" t="s">
        <v>11892</v>
      </c>
    </row>
    <row r="15440" spans="1:15">
      <c r="A15440" t="s">
        <v>49415</v>
      </c>
      <c r="B15440" t="s">
        <v>12438</v>
      </c>
      <c r="C15440" t="s">
        <v>49416</v>
      </c>
      <c r="D15440" t="s">
        <v>49417</v>
      </c>
      <c r="E15440" t="b">
        <v>0</v>
      </c>
      <c r="F15440" t="s">
        <v>11610</v>
      </c>
      <c r="L15440">
        <v>0</v>
      </c>
      <c r="M15440">
        <v>0</v>
      </c>
      <c r="N15440">
        <v>0</v>
      </c>
    </row>
    <row r="15441" spans="1:15">
      <c r="A15441" t="s">
        <v>49418</v>
      </c>
      <c r="B15441" t="s">
        <v>12438</v>
      </c>
      <c r="C15441" t="s">
        <v>18310</v>
      </c>
      <c r="D15441" t="s">
        <v>49419</v>
      </c>
      <c r="E15441" t="b">
        <v>0</v>
      </c>
      <c r="F15441" t="s">
        <v>11610</v>
      </c>
      <c r="L15441">
        <v>0</v>
      </c>
      <c r="M15441">
        <v>0</v>
      </c>
      <c r="N15441">
        <v>0</v>
      </c>
    </row>
    <row r="15442" spans="1:15">
      <c r="A15442" t="s">
        <v>49420</v>
      </c>
      <c r="B15442" t="s">
        <v>12438</v>
      </c>
      <c r="C15442" t="s">
        <v>5340</v>
      </c>
      <c r="D15442" t="s">
        <v>49421</v>
      </c>
      <c r="E15442" t="b">
        <v>0</v>
      </c>
      <c r="F15442" t="s">
        <v>11610</v>
      </c>
      <c r="L15442">
        <v>0</v>
      </c>
      <c r="M15442">
        <v>0</v>
      </c>
      <c r="N15442">
        <v>0</v>
      </c>
    </row>
    <row r="15443" spans="1:15">
      <c r="A15443" t="s">
        <v>49422</v>
      </c>
      <c r="B15443" t="s">
        <v>12438</v>
      </c>
      <c r="C15443" t="s">
        <v>30765</v>
      </c>
      <c r="D15443" t="s">
        <v>49423</v>
      </c>
      <c r="E15443" t="b">
        <v>0</v>
      </c>
      <c r="F15443" t="s">
        <v>11610</v>
      </c>
      <c r="L15443">
        <v>0</v>
      </c>
      <c r="M15443">
        <v>0</v>
      </c>
      <c r="N15443">
        <v>0</v>
      </c>
    </row>
    <row r="15444" spans="1:15">
      <c r="A15444" t="s">
        <v>25790</v>
      </c>
      <c r="B15444" t="s">
        <v>12438</v>
      </c>
      <c r="C15444" t="s">
        <v>35458</v>
      </c>
      <c r="D15444" t="s">
        <v>49424</v>
      </c>
      <c r="E15444" t="b">
        <v>0</v>
      </c>
      <c r="F15444" t="s">
        <v>11622</v>
      </c>
      <c r="L15444">
        <v>0</v>
      </c>
      <c r="M15444">
        <v>2</v>
      </c>
      <c r="N15444">
        <v>0</v>
      </c>
    </row>
    <row r="15445" spans="1:15">
      <c r="A15445" t="s">
        <v>49425</v>
      </c>
      <c r="B15445" t="s">
        <v>12438</v>
      </c>
      <c r="C15445" t="s">
        <v>2585</v>
      </c>
      <c r="D15445" t="s">
        <v>49426</v>
      </c>
      <c r="E15445" t="b">
        <v>0</v>
      </c>
      <c r="F15445" t="s">
        <v>11610</v>
      </c>
      <c r="L15445">
        <v>0</v>
      </c>
      <c r="M15445">
        <v>0</v>
      </c>
      <c r="N15445">
        <v>0</v>
      </c>
    </row>
    <row r="15446" spans="1:15">
      <c r="A15446" t="s">
        <v>39575</v>
      </c>
      <c r="B15446" t="s">
        <v>12438</v>
      </c>
      <c r="C15446" t="s">
        <v>39604</v>
      </c>
      <c r="D15446" t="s">
        <v>49427</v>
      </c>
      <c r="E15446" t="b">
        <v>0</v>
      </c>
      <c r="F15446" t="s">
        <v>11622</v>
      </c>
      <c r="L15446">
        <v>2</v>
      </c>
      <c r="M15446">
        <v>8</v>
      </c>
      <c r="N15446">
        <v>7</v>
      </c>
    </row>
    <row r="15447" spans="1:15">
      <c r="A15447" t="s">
        <v>49428</v>
      </c>
      <c r="B15447" t="s">
        <v>12438</v>
      </c>
      <c r="C15447" t="s">
        <v>23523</v>
      </c>
      <c r="D15447" t="s">
        <v>49429</v>
      </c>
      <c r="E15447" t="b">
        <v>0</v>
      </c>
      <c r="F15447" t="s">
        <v>11610</v>
      </c>
      <c r="L15447">
        <v>0</v>
      </c>
      <c r="M15447">
        <v>0</v>
      </c>
      <c r="N15447">
        <v>0</v>
      </c>
    </row>
    <row r="15448" spans="1:15">
      <c r="A15448" t="s">
        <v>4410</v>
      </c>
      <c r="B15448" t="s">
        <v>331</v>
      </c>
      <c r="C15448" t="s">
        <v>16319</v>
      </c>
      <c r="D15448" t="s">
        <v>49430</v>
      </c>
      <c r="E15448" t="b">
        <v>0</v>
      </c>
      <c r="F15448" t="s">
        <v>11624</v>
      </c>
      <c r="G15448">
        <v>39.866700000000002</v>
      </c>
      <c r="H15448">
        <v>32.866700000000002</v>
      </c>
      <c r="I15448" t="s">
        <v>4411</v>
      </c>
      <c r="L15448">
        <v>0</v>
      </c>
      <c r="M15448">
        <v>0</v>
      </c>
      <c r="N15448">
        <v>10</v>
      </c>
      <c r="O15448" t="s">
        <v>49431</v>
      </c>
    </row>
    <row r="15449" spans="1:15">
      <c r="A15449" t="s">
        <v>61</v>
      </c>
      <c r="B15449" t="s">
        <v>12148</v>
      </c>
      <c r="C15449" t="s">
        <v>29053</v>
      </c>
      <c r="D15449" t="s">
        <v>7690</v>
      </c>
      <c r="E15449" t="b">
        <v>0</v>
      </c>
      <c r="F15449" t="s">
        <v>11624</v>
      </c>
      <c r="G15449">
        <v>41.850397000000001</v>
      </c>
      <c r="H15449">
        <v>43.78613</v>
      </c>
      <c r="I15449" t="s">
        <v>62</v>
      </c>
      <c r="L15449">
        <v>0</v>
      </c>
      <c r="M15449">
        <v>0</v>
      </c>
      <c r="N15449">
        <v>15</v>
      </c>
      <c r="O15449" t="s">
        <v>48413</v>
      </c>
    </row>
    <row r="15450" spans="1:15">
      <c r="A15450" t="s">
        <v>49432</v>
      </c>
      <c r="B15450" t="s">
        <v>11844</v>
      </c>
      <c r="C15450" t="s">
        <v>1264</v>
      </c>
      <c r="D15450" t="s">
        <v>49433</v>
      </c>
      <c r="E15450" t="b">
        <v>0</v>
      </c>
      <c r="F15450" t="s">
        <v>11610</v>
      </c>
      <c r="L15450">
        <v>0</v>
      </c>
      <c r="M15450">
        <v>0</v>
      </c>
      <c r="N15450">
        <v>0</v>
      </c>
    </row>
    <row r="15451" spans="1:15">
      <c r="A15451" t="s">
        <v>49434</v>
      </c>
      <c r="B15451" t="s">
        <v>11844</v>
      </c>
      <c r="C15451" t="s">
        <v>9047</v>
      </c>
      <c r="D15451" t="s">
        <v>49435</v>
      </c>
      <c r="E15451" t="b">
        <v>0</v>
      </c>
      <c r="F15451" t="s">
        <v>11610</v>
      </c>
      <c r="L15451">
        <v>0</v>
      </c>
      <c r="M15451">
        <v>0</v>
      </c>
      <c r="N15451">
        <v>0</v>
      </c>
    </row>
    <row r="15452" spans="1:15">
      <c r="A15452" t="s">
        <v>9420</v>
      </c>
      <c r="B15452" t="s">
        <v>11844</v>
      </c>
      <c r="C15452" t="s">
        <v>34861</v>
      </c>
      <c r="D15452" t="s">
        <v>49436</v>
      </c>
      <c r="E15452" t="b">
        <v>0</v>
      </c>
      <c r="F15452" t="s">
        <v>11624</v>
      </c>
      <c r="G15452">
        <v>13.5878</v>
      </c>
      <c r="H15452">
        <v>76.119799999999998</v>
      </c>
      <c r="I15452" t="s">
        <v>9421</v>
      </c>
      <c r="L15452">
        <v>0</v>
      </c>
      <c r="M15452">
        <v>0</v>
      </c>
      <c r="N15452">
        <v>3</v>
      </c>
      <c r="O15452" t="s">
        <v>11630</v>
      </c>
    </row>
    <row r="15453" spans="1:15">
      <c r="A15453" t="s">
        <v>49437</v>
      </c>
      <c r="B15453" t="s">
        <v>11844</v>
      </c>
      <c r="C15453" t="s">
        <v>37216</v>
      </c>
      <c r="D15453" t="s">
        <v>49438</v>
      </c>
      <c r="E15453" t="b">
        <v>0</v>
      </c>
      <c r="F15453" t="s">
        <v>11610</v>
      </c>
      <c r="L15453">
        <v>0</v>
      </c>
      <c r="M15453">
        <v>0</v>
      </c>
      <c r="N15453">
        <v>0</v>
      </c>
    </row>
    <row r="15454" spans="1:15">
      <c r="A15454" t="s">
        <v>25759</v>
      </c>
      <c r="B15454" t="s">
        <v>11644</v>
      </c>
      <c r="C15454" t="s">
        <v>22770</v>
      </c>
      <c r="D15454" t="s">
        <v>49439</v>
      </c>
      <c r="E15454" t="b">
        <v>0</v>
      </c>
      <c r="F15454" t="s">
        <v>11622</v>
      </c>
      <c r="L15454">
        <v>0</v>
      </c>
      <c r="M15454">
        <v>3</v>
      </c>
      <c r="N15454">
        <v>3</v>
      </c>
    </row>
    <row r="15455" spans="1:15">
      <c r="A15455" t="s">
        <v>19164</v>
      </c>
      <c r="B15455" t="s">
        <v>11644</v>
      </c>
      <c r="C15455" t="s">
        <v>23401</v>
      </c>
      <c r="D15455" t="s">
        <v>49440</v>
      </c>
      <c r="E15455" t="b">
        <v>0</v>
      </c>
      <c r="F15455" t="s">
        <v>11622</v>
      </c>
      <c r="L15455">
        <v>2</v>
      </c>
      <c r="M15455">
        <v>5</v>
      </c>
      <c r="N15455">
        <v>0</v>
      </c>
    </row>
    <row r="15456" spans="1:15">
      <c r="A15456" t="s">
        <v>5110</v>
      </c>
      <c r="B15456" t="s">
        <v>11644</v>
      </c>
      <c r="C15456" t="s">
        <v>49441</v>
      </c>
      <c r="D15456" t="s">
        <v>5261</v>
      </c>
      <c r="E15456" t="b">
        <v>0</v>
      </c>
      <c r="F15456" t="s">
        <v>11624</v>
      </c>
      <c r="G15456">
        <v>20.7926</v>
      </c>
      <c r="H15456">
        <v>93.966499999999996</v>
      </c>
      <c r="I15456" t="s">
        <v>5262</v>
      </c>
      <c r="L15456">
        <v>0</v>
      </c>
      <c r="M15456">
        <v>0</v>
      </c>
      <c r="N15456">
        <v>3</v>
      </c>
      <c r="O15456" t="s">
        <v>49442</v>
      </c>
    </row>
    <row r="15457" spans="1:15">
      <c r="A15457" t="s">
        <v>49443</v>
      </c>
      <c r="B15457" t="s">
        <v>11644</v>
      </c>
      <c r="C15457" t="s">
        <v>39315</v>
      </c>
      <c r="D15457" t="s">
        <v>49444</v>
      </c>
      <c r="E15457" t="b">
        <v>0</v>
      </c>
      <c r="F15457" t="s">
        <v>11610</v>
      </c>
      <c r="L15457">
        <v>0</v>
      </c>
      <c r="M15457">
        <v>0</v>
      </c>
      <c r="N15457">
        <v>0</v>
      </c>
    </row>
    <row r="15458" spans="1:15">
      <c r="A15458" t="s">
        <v>49445</v>
      </c>
      <c r="B15458" t="s">
        <v>11644</v>
      </c>
      <c r="C15458" t="s">
        <v>25579</v>
      </c>
      <c r="D15458" t="s">
        <v>49446</v>
      </c>
      <c r="E15458" t="b">
        <v>0</v>
      </c>
      <c r="F15458" t="s">
        <v>11610</v>
      </c>
      <c r="L15458">
        <v>0</v>
      </c>
      <c r="M15458">
        <v>0</v>
      </c>
      <c r="N15458">
        <v>0</v>
      </c>
    </row>
    <row r="15459" spans="1:15">
      <c r="A15459" t="s">
        <v>40030</v>
      </c>
      <c r="B15459" t="s">
        <v>11644</v>
      </c>
      <c r="C15459" t="s">
        <v>42843</v>
      </c>
      <c r="D15459" t="s">
        <v>49447</v>
      </c>
      <c r="E15459" t="b">
        <v>0</v>
      </c>
      <c r="F15459" t="s">
        <v>11622</v>
      </c>
      <c r="L15459">
        <v>0</v>
      </c>
      <c r="M15459">
        <v>3</v>
      </c>
      <c r="N15459">
        <v>2</v>
      </c>
    </row>
    <row r="15460" spans="1:15">
      <c r="A15460" t="s">
        <v>49448</v>
      </c>
      <c r="B15460" t="s">
        <v>11644</v>
      </c>
      <c r="C15460" t="s">
        <v>24823</v>
      </c>
      <c r="D15460" t="s">
        <v>49449</v>
      </c>
      <c r="E15460" t="b">
        <v>0</v>
      </c>
      <c r="F15460" t="s">
        <v>11610</v>
      </c>
      <c r="L15460">
        <v>0</v>
      </c>
      <c r="M15460">
        <v>0</v>
      </c>
      <c r="N15460">
        <v>0</v>
      </c>
    </row>
    <row r="15461" spans="1:15">
      <c r="A15461" t="s">
        <v>49450</v>
      </c>
      <c r="B15461" t="s">
        <v>11644</v>
      </c>
      <c r="C15461" t="s">
        <v>12404</v>
      </c>
      <c r="D15461" t="s">
        <v>49451</v>
      </c>
      <c r="E15461" t="b">
        <v>0</v>
      </c>
      <c r="F15461" t="s">
        <v>11610</v>
      </c>
      <c r="L15461">
        <v>0</v>
      </c>
      <c r="M15461">
        <v>0</v>
      </c>
      <c r="N15461">
        <v>0</v>
      </c>
    </row>
    <row r="15462" spans="1:15">
      <c r="A15462" t="s">
        <v>26625</v>
      </c>
      <c r="B15462" t="s">
        <v>12311</v>
      </c>
      <c r="C15462" t="s">
        <v>14428</v>
      </c>
      <c r="D15462" t="s">
        <v>49452</v>
      </c>
      <c r="E15462" t="b">
        <v>0</v>
      </c>
      <c r="F15462" t="s">
        <v>11622</v>
      </c>
      <c r="L15462">
        <v>6</v>
      </c>
      <c r="M15462">
        <v>9</v>
      </c>
      <c r="N15462">
        <v>29</v>
      </c>
    </row>
    <row r="15463" spans="1:15">
      <c r="A15463" t="s">
        <v>49453</v>
      </c>
      <c r="B15463" t="s">
        <v>12311</v>
      </c>
      <c r="C15463" t="s">
        <v>18231</v>
      </c>
      <c r="D15463" t="s">
        <v>49454</v>
      </c>
      <c r="E15463" t="b">
        <v>0</v>
      </c>
      <c r="F15463" t="s">
        <v>11610</v>
      </c>
      <c r="L15463">
        <v>0</v>
      </c>
      <c r="M15463">
        <v>0</v>
      </c>
      <c r="N15463">
        <v>0</v>
      </c>
    </row>
    <row r="15464" spans="1:15">
      <c r="A15464" t="s">
        <v>49455</v>
      </c>
      <c r="B15464" t="s">
        <v>12311</v>
      </c>
      <c r="C15464" t="s">
        <v>19720</v>
      </c>
      <c r="D15464" t="s">
        <v>49456</v>
      </c>
      <c r="E15464" t="b">
        <v>0</v>
      </c>
      <c r="F15464" t="s">
        <v>11610</v>
      </c>
      <c r="L15464">
        <v>0</v>
      </c>
      <c r="M15464">
        <v>0</v>
      </c>
      <c r="N15464">
        <v>0</v>
      </c>
    </row>
    <row r="15465" spans="1:15">
      <c r="A15465" t="s">
        <v>49457</v>
      </c>
      <c r="B15465" t="s">
        <v>5058</v>
      </c>
      <c r="C15465" t="s">
        <v>18402</v>
      </c>
      <c r="D15465" t="s">
        <v>49458</v>
      </c>
      <c r="E15465" t="b">
        <v>0</v>
      </c>
      <c r="F15465" t="s">
        <v>11610</v>
      </c>
      <c r="L15465">
        <v>0</v>
      </c>
      <c r="M15465">
        <v>0</v>
      </c>
      <c r="N15465">
        <v>0</v>
      </c>
    </row>
    <row r="15466" spans="1:15">
      <c r="A15466" t="s">
        <v>49459</v>
      </c>
      <c r="B15466" t="s">
        <v>40199</v>
      </c>
      <c r="C15466" t="s">
        <v>40199</v>
      </c>
      <c r="D15466" t="s">
        <v>49460</v>
      </c>
      <c r="E15466" t="b">
        <v>0</v>
      </c>
      <c r="F15466" t="s">
        <v>11624</v>
      </c>
      <c r="G15466">
        <v>-12.429399999999999</v>
      </c>
      <c r="H15466">
        <v>131.845</v>
      </c>
      <c r="I15466" t="s">
        <v>49461</v>
      </c>
      <c r="L15466">
        <v>0</v>
      </c>
      <c r="M15466">
        <v>0</v>
      </c>
      <c r="N15466">
        <v>0</v>
      </c>
      <c r="O15466" t="s">
        <v>12107</v>
      </c>
    </row>
    <row r="15467" spans="1:15">
      <c r="A15467" t="s">
        <v>49462</v>
      </c>
      <c r="B15467" t="s">
        <v>18680</v>
      </c>
      <c r="C15467" t="s">
        <v>29896</v>
      </c>
      <c r="D15467" t="s">
        <v>49463</v>
      </c>
      <c r="E15467" t="b">
        <v>0</v>
      </c>
      <c r="F15467" t="s">
        <v>11610</v>
      </c>
      <c r="L15467">
        <v>0</v>
      </c>
      <c r="M15467">
        <v>0</v>
      </c>
      <c r="N15467">
        <v>0</v>
      </c>
    </row>
    <row r="15468" spans="1:15">
      <c r="A15468" t="s">
        <v>43518</v>
      </c>
      <c r="B15468" t="s">
        <v>10597</v>
      </c>
      <c r="C15468" t="s">
        <v>43484</v>
      </c>
      <c r="D15468" t="s">
        <v>49464</v>
      </c>
      <c r="E15468" t="b">
        <v>0</v>
      </c>
      <c r="F15468" t="s">
        <v>11622</v>
      </c>
      <c r="L15468">
        <v>0</v>
      </c>
      <c r="M15468">
        <v>2</v>
      </c>
      <c r="N15468">
        <v>3</v>
      </c>
    </row>
    <row r="15469" spans="1:15">
      <c r="A15469" t="s">
        <v>49465</v>
      </c>
      <c r="B15469" t="s">
        <v>10597</v>
      </c>
      <c r="C15469" t="s">
        <v>668</v>
      </c>
      <c r="D15469" t="s">
        <v>49466</v>
      </c>
      <c r="E15469" t="b">
        <v>0</v>
      </c>
      <c r="F15469" t="s">
        <v>11610</v>
      </c>
      <c r="L15469">
        <v>0</v>
      </c>
      <c r="M15469">
        <v>0</v>
      </c>
      <c r="N15469">
        <v>0</v>
      </c>
    </row>
    <row r="15470" spans="1:15">
      <c r="A15470" t="s">
        <v>49467</v>
      </c>
      <c r="B15470" t="s">
        <v>10597</v>
      </c>
      <c r="C15470" t="s">
        <v>30184</v>
      </c>
      <c r="D15470" t="s">
        <v>49468</v>
      </c>
      <c r="E15470" t="b">
        <v>0</v>
      </c>
      <c r="F15470" t="s">
        <v>11610</v>
      </c>
      <c r="L15470">
        <v>0</v>
      </c>
      <c r="M15470">
        <v>0</v>
      </c>
      <c r="N15470">
        <v>0</v>
      </c>
    </row>
    <row r="15471" spans="1:15">
      <c r="A15471" t="s">
        <v>49469</v>
      </c>
      <c r="B15471" t="s">
        <v>10597</v>
      </c>
      <c r="C15471" t="s">
        <v>23265</v>
      </c>
      <c r="D15471" t="s">
        <v>49470</v>
      </c>
      <c r="E15471" t="b">
        <v>0</v>
      </c>
      <c r="F15471" t="s">
        <v>11622</v>
      </c>
      <c r="L15471">
        <v>0</v>
      </c>
      <c r="M15471">
        <v>3</v>
      </c>
      <c r="N15471">
        <v>13</v>
      </c>
    </row>
    <row r="15472" spans="1:15">
      <c r="A15472" t="s">
        <v>49471</v>
      </c>
      <c r="B15472" t="s">
        <v>10597</v>
      </c>
      <c r="C15472" t="s">
        <v>25691</v>
      </c>
      <c r="D15472" t="s">
        <v>49472</v>
      </c>
      <c r="E15472" t="b">
        <v>0</v>
      </c>
      <c r="F15472" t="s">
        <v>11610</v>
      </c>
      <c r="L15472">
        <v>0</v>
      </c>
      <c r="M15472">
        <v>0</v>
      </c>
      <c r="N15472">
        <v>0</v>
      </c>
    </row>
    <row r="15473" spans="1:15">
      <c r="A15473" t="s">
        <v>49473</v>
      </c>
      <c r="B15473" t="s">
        <v>10597</v>
      </c>
      <c r="C15473" t="s">
        <v>30150</v>
      </c>
      <c r="D15473" t="s">
        <v>49474</v>
      </c>
      <c r="E15473" t="b">
        <v>0</v>
      </c>
      <c r="F15473" t="s">
        <v>11610</v>
      </c>
      <c r="L15473">
        <v>0</v>
      </c>
      <c r="M15473">
        <v>0</v>
      </c>
      <c r="N15473">
        <v>0</v>
      </c>
    </row>
    <row r="15474" spans="1:15">
      <c r="A15474" t="s">
        <v>49475</v>
      </c>
      <c r="B15474" t="s">
        <v>17023</v>
      </c>
      <c r="C15474" t="s">
        <v>17026</v>
      </c>
      <c r="D15474" t="s">
        <v>49476</v>
      </c>
      <c r="E15474" t="b">
        <v>0</v>
      </c>
      <c r="F15474" t="s">
        <v>11610</v>
      </c>
      <c r="L15474">
        <v>0</v>
      </c>
      <c r="M15474">
        <v>0</v>
      </c>
      <c r="N15474">
        <v>0</v>
      </c>
    </row>
    <row r="15475" spans="1:15">
      <c r="A15475" t="s">
        <v>49477</v>
      </c>
      <c r="B15475" t="s">
        <v>49478</v>
      </c>
      <c r="C15475" t="s">
        <v>49478</v>
      </c>
      <c r="D15475" t="s">
        <v>49479</v>
      </c>
      <c r="E15475" t="b">
        <v>0</v>
      </c>
      <c r="F15475" t="s">
        <v>11624</v>
      </c>
      <c r="G15475">
        <v>11.827500000000001</v>
      </c>
      <c r="H15475">
        <v>29.389800000000001</v>
      </c>
      <c r="I15475" t="s">
        <v>49480</v>
      </c>
      <c r="L15475">
        <v>0</v>
      </c>
      <c r="M15475">
        <v>0</v>
      </c>
      <c r="N15475">
        <v>0</v>
      </c>
      <c r="O15475" t="s">
        <v>11910</v>
      </c>
    </row>
    <row r="15476" spans="1:15">
      <c r="A15476" t="s">
        <v>49481</v>
      </c>
      <c r="B15476" t="s">
        <v>33330</v>
      </c>
      <c r="C15476" t="s">
        <v>33330</v>
      </c>
      <c r="D15476" t="s">
        <v>49482</v>
      </c>
      <c r="E15476" t="b">
        <v>0</v>
      </c>
      <c r="F15476" t="s">
        <v>11610</v>
      </c>
      <c r="L15476">
        <v>0</v>
      </c>
      <c r="M15476">
        <v>0</v>
      </c>
      <c r="N15476">
        <v>0</v>
      </c>
    </row>
    <row r="15477" spans="1:15">
      <c r="A15477" t="s">
        <v>49483</v>
      </c>
      <c r="B15477" t="s">
        <v>16388</v>
      </c>
      <c r="C15477" t="s">
        <v>16387</v>
      </c>
      <c r="D15477" t="s">
        <v>49484</v>
      </c>
      <c r="E15477" t="b">
        <v>0</v>
      </c>
      <c r="F15477" t="s">
        <v>11610</v>
      </c>
      <c r="L15477">
        <v>0</v>
      </c>
      <c r="M15477">
        <v>0</v>
      </c>
      <c r="N15477">
        <v>0</v>
      </c>
    </row>
    <row r="15478" spans="1:15">
      <c r="A15478" t="s">
        <v>49485</v>
      </c>
      <c r="B15478" t="s">
        <v>12646</v>
      </c>
      <c r="C15478" t="s">
        <v>17986</v>
      </c>
      <c r="D15478" t="s">
        <v>49486</v>
      </c>
      <c r="E15478" t="b">
        <v>0</v>
      </c>
      <c r="F15478" t="s">
        <v>11610</v>
      </c>
      <c r="L15478">
        <v>0</v>
      </c>
      <c r="M15478">
        <v>0</v>
      </c>
      <c r="N15478">
        <v>0</v>
      </c>
    </row>
    <row r="15479" spans="1:15">
      <c r="A15479" t="s">
        <v>49487</v>
      </c>
      <c r="B15479" t="s">
        <v>3164</v>
      </c>
      <c r="C15479" t="s">
        <v>23732</v>
      </c>
      <c r="D15479" t="s">
        <v>49488</v>
      </c>
      <c r="E15479" t="b">
        <v>0</v>
      </c>
      <c r="F15479" t="s">
        <v>11610</v>
      </c>
      <c r="L15479">
        <v>0</v>
      </c>
      <c r="M15479">
        <v>0</v>
      </c>
      <c r="N15479">
        <v>0</v>
      </c>
    </row>
    <row r="15480" spans="1:15">
      <c r="A15480" t="s">
        <v>49489</v>
      </c>
      <c r="B15480" t="s">
        <v>3164</v>
      </c>
      <c r="C15480" t="s">
        <v>24335</v>
      </c>
      <c r="D15480" t="s">
        <v>49490</v>
      </c>
      <c r="E15480" t="b">
        <v>0</v>
      </c>
      <c r="F15480" t="s">
        <v>11610</v>
      </c>
      <c r="L15480">
        <v>0</v>
      </c>
      <c r="M15480">
        <v>0</v>
      </c>
      <c r="N15480">
        <v>0</v>
      </c>
    </row>
    <row r="15481" spans="1:15">
      <c r="A15481" t="s">
        <v>49491</v>
      </c>
      <c r="B15481" t="s">
        <v>6742</v>
      </c>
      <c r="C15481" t="s">
        <v>12194</v>
      </c>
      <c r="D15481" t="s">
        <v>49492</v>
      </c>
      <c r="E15481" t="b">
        <v>0</v>
      </c>
      <c r="F15481" t="s">
        <v>11610</v>
      </c>
      <c r="L15481">
        <v>0</v>
      </c>
      <c r="M15481">
        <v>0</v>
      </c>
      <c r="N15481">
        <v>0</v>
      </c>
    </row>
    <row r="15482" spans="1:15">
      <c r="A15482" t="s">
        <v>4927</v>
      </c>
      <c r="B15482" t="s">
        <v>6742</v>
      </c>
      <c r="C15482" t="s">
        <v>28445</v>
      </c>
      <c r="D15482" t="s">
        <v>49493</v>
      </c>
      <c r="E15482" t="b">
        <v>0</v>
      </c>
      <c r="F15482" t="s">
        <v>11624</v>
      </c>
      <c r="G15482">
        <v>15.253399999999999</v>
      </c>
      <c r="H15482">
        <v>-15.382999999999999</v>
      </c>
      <c r="I15482" t="s">
        <v>49494</v>
      </c>
      <c r="L15482">
        <v>0</v>
      </c>
      <c r="M15482">
        <v>0</v>
      </c>
      <c r="N15482">
        <v>6</v>
      </c>
      <c r="O15482" t="s">
        <v>49495</v>
      </c>
    </row>
    <row r="15483" spans="1:15">
      <c r="A15483" t="s">
        <v>49496</v>
      </c>
      <c r="B15483" t="s">
        <v>6742</v>
      </c>
      <c r="C15483" t="s">
        <v>49497</v>
      </c>
      <c r="D15483" t="s">
        <v>49498</v>
      </c>
      <c r="E15483" t="b">
        <v>0</v>
      </c>
      <c r="F15483" t="s">
        <v>11610</v>
      </c>
      <c r="L15483">
        <v>0</v>
      </c>
      <c r="M15483">
        <v>0</v>
      </c>
      <c r="N15483">
        <v>0</v>
      </c>
    </row>
    <row r="15484" spans="1:15">
      <c r="A15484" t="s">
        <v>49499</v>
      </c>
      <c r="B15484" t="s">
        <v>6742</v>
      </c>
      <c r="C15484" t="s">
        <v>23221</v>
      </c>
      <c r="D15484" t="s">
        <v>49500</v>
      </c>
      <c r="E15484" t="b">
        <v>0</v>
      </c>
      <c r="F15484" t="s">
        <v>11610</v>
      </c>
      <c r="L15484">
        <v>0</v>
      </c>
      <c r="M15484">
        <v>0</v>
      </c>
      <c r="N15484">
        <v>0</v>
      </c>
    </row>
    <row r="15485" spans="1:15">
      <c r="A15485" t="s">
        <v>49501</v>
      </c>
      <c r="B15485" t="s">
        <v>6742</v>
      </c>
      <c r="C15485" t="s">
        <v>22859</v>
      </c>
      <c r="D15485" t="s">
        <v>49502</v>
      </c>
      <c r="E15485" t="b">
        <v>0</v>
      </c>
      <c r="F15485" t="s">
        <v>11610</v>
      </c>
      <c r="L15485">
        <v>0</v>
      </c>
      <c r="M15485">
        <v>0</v>
      </c>
      <c r="N15485">
        <v>0</v>
      </c>
    </row>
    <row r="15486" spans="1:15">
      <c r="A15486" t="s">
        <v>49503</v>
      </c>
      <c r="B15486" t="s">
        <v>6742</v>
      </c>
      <c r="C15486" t="s">
        <v>15409</v>
      </c>
      <c r="D15486" t="s">
        <v>49504</v>
      </c>
      <c r="E15486" t="b">
        <v>0</v>
      </c>
      <c r="F15486" t="s">
        <v>11610</v>
      </c>
      <c r="L15486">
        <v>0</v>
      </c>
      <c r="M15486">
        <v>0</v>
      </c>
      <c r="N15486">
        <v>0</v>
      </c>
    </row>
    <row r="15487" spans="1:15">
      <c r="A15487" t="s">
        <v>49505</v>
      </c>
      <c r="B15487" t="s">
        <v>6742</v>
      </c>
      <c r="C15487" t="s">
        <v>12632</v>
      </c>
      <c r="D15487" t="s">
        <v>49506</v>
      </c>
      <c r="E15487" t="b">
        <v>0</v>
      </c>
      <c r="F15487" t="s">
        <v>11610</v>
      </c>
      <c r="L15487">
        <v>0</v>
      </c>
      <c r="M15487">
        <v>0</v>
      </c>
      <c r="N15487">
        <v>0</v>
      </c>
    </row>
    <row r="15488" spans="1:15">
      <c r="A15488" t="s">
        <v>49507</v>
      </c>
      <c r="B15488" t="s">
        <v>6742</v>
      </c>
      <c r="C15488" t="s">
        <v>12353</v>
      </c>
      <c r="D15488" t="s">
        <v>49508</v>
      </c>
      <c r="E15488" t="b">
        <v>0</v>
      </c>
      <c r="F15488" t="s">
        <v>11610</v>
      </c>
      <c r="L15488">
        <v>0</v>
      </c>
      <c r="M15488">
        <v>0</v>
      </c>
      <c r="N15488">
        <v>0</v>
      </c>
    </row>
    <row r="15489" spans="1:14">
      <c r="A15489" t="s">
        <v>49509</v>
      </c>
      <c r="B15489" t="s">
        <v>6742</v>
      </c>
      <c r="C15489" t="s">
        <v>16612</v>
      </c>
      <c r="D15489" t="s">
        <v>49510</v>
      </c>
      <c r="E15489" t="b">
        <v>0</v>
      </c>
      <c r="F15489" t="s">
        <v>11610</v>
      </c>
      <c r="L15489">
        <v>0</v>
      </c>
      <c r="M15489">
        <v>0</v>
      </c>
      <c r="N15489">
        <v>0</v>
      </c>
    </row>
    <row r="15490" spans="1:14">
      <c r="A15490" t="s">
        <v>49511</v>
      </c>
      <c r="B15490" t="s">
        <v>6742</v>
      </c>
      <c r="C15490" t="s">
        <v>45126</v>
      </c>
      <c r="D15490" t="s">
        <v>49512</v>
      </c>
      <c r="E15490" t="b">
        <v>0</v>
      </c>
      <c r="F15490" t="s">
        <v>11610</v>
      </c>
      <c r="L15490">
        <v>0</v>
      </c>
      <c r="M15490">
        <v>0</v>
      </c>
      <c r="N15490">
        <v>0</v>
      </c>
    </row>
    <row r="15491" spans="1:14">
      <c r="A15491" t="s">
        <v>49513</v>
      </c>
      <c r="B15491" t="s">
        <v>6742</v>
      </c>
      <c r="C15491" t="s">
        <v>33346</v>
      </c>
      <c r="D15491" t="s">
        <v>49514</v>
      </c>
      <c r="E15491" t="b">
        <v>0</v>
      </c>
      <c r="F15491" t="s">
        <v>11610</v>
      </c>
      <c r="L15491">
        <v>0</v>
      </c>
      <c r="M15491">
        <v>0</v>
      </c>
      <c r="N15491">
        <v>0</v>
      </c>
    </row>
    <row r="15492" spans="1:14">
      <c r="A15492" t="s">
        <v>49515</v>
      </c>
      <c r="B15492" t="s">
        <v>6742</v>
      </c>
      <c r="C15492" t="s">
        <v>16615</v>
      </c>
      <c r="D15492" t="s">
        <v>49516</v>
      </c>
      <c r="E15492" t="b">
        <v>0</v>
      </c>
      <c r="F15492" t="s">
        <v>11610</v>
      </c>
      <c r="L15492">
        <v>0</v>
      </c>
      <c r="M15492">
        <v>0</v>
      </c>
      <c r="N15492">
        <v>0</v>
      </c>
    </row>
    <row r="15493" spans="1:14">
      <c r="A15493" t="s">
        <v>49517</v>
      </c>
      <c r="B15493" t="s">
        <v>6742</v>
      </c>
      <c r="C15493" t="s">
        <v>47690</v>
      </c>
      <c r="D15493" t="s">
        <v>49518</v>
      </c>
      <c r="E15493" t="b">
        <v>0</v>
      </c>
      <c r="F15493" t="s">
        <v>11610</v>
      </c>
      <c r="L15493">
        <v>0</v>
      </c>
      <c r="M15493">
        <v>0</v>
      </c>
      <c r="N15493">
        <v>0</v>
      </c>
    </row>
    <row r="15494" spans="1:14">
      <c r="A15494" t="s">
        <v>49519</v>
      </c>
      <c r="B15494" t="s">
        <v>6742</v>
      </c>
      <c r="C15494" t="s">
        <v>35060</v>
      </c>
      <c r="D15494" t="s">
        <v>49520</v>
      </c>
      <c r="E15494" t="b">
        <v>0</v>
      </c>
      <c r="F15494" t="s">
        <v>11610</v>
      </c>
      <c r="L15494">
        <v>0</v>
      </c>
      <c r="M15494">
        <v>0</v>
      </c>
      <c r="N15494">
        <v>0</v>
      </c>
    </row>
    <row r="15495" spans="1:14">
      <c r="A15495" t="s">
        <v>49521</v>
      </c>
      <c r="B15495" t="s">
        <v>6742</v>
      </c>
      <c r="C15495" t="s">
        <v>49522</v>
      </c>
      <c r="D15495" t="s">
        <v>49523</v>
      </c>
      <c r="E15495" t="b">
        <v>0</v>
      </c>
      <c r="F15495" t="s">
        <v>11610</v>
      </c>
      <c r="L15495">
        <v>0</v>
      </c>
      <c r="M15495">
        <v>0</v>
      </c>
      <c r="N15495">
        <v>0</v>
      </c>
    </row>
    <row r="15496" spans="1:14">
      <c r="A15496" t="s">
        <v>49524</v>
      </c>
      <c r="B15496" t="s">
        <v>6742</v>
      </c>
      <c r="C15496" t="s">
        <v>20015</v>
      </c>
      <c r="D15496" t="s">
        <v>49525</v>
      </c>
      <c r="E15496" t="b">
        <v>0</v>
      </c>
      <c r="F15496" t="s">
        <v>11610</v>
      </c>
      <c r="L15496">
        <v>0</v>
      </c>
      <c r="M15496">
        <v>0</v>
      </c>
      <c r="N15496">
        <v>0</v>
      </c>
    </row>
    <row r="15497" spans="1:14">
      <c r="A15497" t="s">
        <v>49526</v>
      </c>
      <c r="B15497" t="s">
        <v>6742</v>
      </c>
      <c r="C15497" t="s">
        <v>19180</v>
      </c>
      <c r="D15497" t="s">
        <v>49527</v>
      </c>
      <c r="E15497" t="b">
        <v>0</v>
      </c>
      <c r="F15497" t="s">
        <v>11610</v>
      </c>
      <c r="L15497">
        <v>0</v>
      </c>
      <c r="M15497">
        <v>0</v>
      </c>
      <c r="N15497">
        <v>0</v>
      </c>
    </row>
    <row r="15498" spans="1:14">
      <c r="A15498" t="s">
        <v>49528</v>
      </c>
      <c r="B15498" t="s">
        <v>6742</v>
      </c>
      <c r="C15498" t="s">
        <v>16541</v>
      </c>
      <c r="D15498" t="s">
        <v>49529</v>
      </c>
      <c r="E15498" t="b">
        <v>0</v>
      </c>
      <c r="F15498" t="s">
        <v>11610</v>
      </c>
      <c r="L15498">
        <v>0</v>
      </c>
      <c r="M15498">
        <v>0</v>
      </c>
      <c r="N15498">
        <v>0</v>
      </c>
    </row>
    <row r="15499" spans="1:14">
      <c r="A15499" t="s">
        <v>49530</v>
      </c>
      <c r="B15499" t="s">
        <v>6742</v>
      </c>
      <c r="C15499" t="s">
        <v>38294</v>
      </c>
      <c r="D15499" t="s">
        <v>49531</v>
      </c>
      <c r="E15499" t="b">
        <v>0</v>
      </c>
      <c r="F15499" t="s">
        <v>11610</v>
      </c>
      <c r="L15499">
        <v>0</v>
      </c>
      <c r="M15499">
        <v>0</v>
      </c>
      <c r="N15499">
        <v>0</v>
      </c>
    </row>
    <row r="15500" spans="1:14">
      <c r="A15500" t="s">
        <v>49532</v>
      </c>
      <c r="B15500" t="s">
        <v>6742</v>
      </c>
      <c r="C15500" t="s">
        <v>49533</v>
      </c>
      <c r="D15500" t="s">
        <v>49534</v>
      </c>
      <c r="E15500" t="b">
        <v>0</v>
      </c>
      <c r="F15500" t="s">
        <v>11610</v>
      </c>
      <c r="L15500">
        <v>0</v>
      </c>
      <c r="M15500">
        <v>0</v>
      </c>
      <c r="N15500">
        <v>0</v>
      </c>
    </row>
    <row r="15501" spans="1:14">
      <c r="A15501" t="s">
        <v>49535</v>
      </c>
      <c r="B15501" t="s">
        <v>6742</v>
      </c>
      <c r="C15501" t="s">
        <v>26063</v>
      </c>
      <c r="D15501" t="s">
        <v>49536</v>
      </c>
      <c r="E15501" t="b">
        <v>0</v>
      </c>
      <c r="F15501" t="s">
        <v>11610</v>
      </c>
      <c r="L15501">
        <v>0</v>
      </c>
      <c r="M15501">
        <v>0</v>
      </c>
      <c r="N15501">
        <v>0</v>
      </c>
    </row>
    <row r="15502" spans="1:14">
      <c r="A15502" t="s">
        <v>49537</v>
      </c>
      <c r="B15502" t="s">
        <v>6742</v>
      </c>
      <c r="C15502" t="s">
        <v>33854</v>
      </c>
      <c r="D15502" t="s">
        <v>49538</v>
      </c>
      <c r="E15502" t="b">
        <v>0</v>
      </c>
      <c r="F15502" t="s">
        <v>11610</v>
      </c>
      <c r="L15502">
        <v>0</v>
      </c>
      <c r="M15502">
        <v>0</v>
      </c>
      <c r="N15502">
        <v>0</v>
      </c>
    </row>
    <row r="15503" spans="1:14">
      <c r="A15503" t="s">
        <v>49539</v>
      </c>
      <c r="B15503" t="s">
        <v>6742</v>
      </c>
      <c r="C15503" t="s">
        <v>24544</v>
      </c>
      <c r="D15503" t="s">
        <v>49540</v>
      </c>
      <c r="E15503" t="b">
        <v>0</v>
      </c>
      <c r="F15503" t="s">
        <v>11610</v>
      </c>
      <c r="L15503">
        <v>0</v>
      </c>
      <c r="M15503">
        <v>0</v>
      </c>
      <c r="N15503">
        <v>0</v>
      </c>
    </row>
    <row r="15504" spans="1:14">
      <c r="A15504" t="s">
        <v>16635</v>
      </c>
      <c r="B15504" t="s">
        <v>6742</v>
      </c>
      <c r="C15504" t="s">
        <v>15319</v>
      </c>
      <c r="D15504" t="s">
        <v>49541</v>
      </c>
      <c r="E15504" t="b">
        <v>0</v>
      </c>
      <c r="F15504" t="s">
        <v>11622</v>
      </c>
      <c r="L15504">
        <v>0</v>
      </c>
      <c r="M15504">
        <v>4</v>
      </c>
      <c r="N15504">
        <v>11</v>
      </c>
    </row>
    <row r="15505" spans="1:15">
      <c r="A15505" t="s">
        <v>49542</v>
      </c>
      <c r="B15505" t="s">
        <v>6742</v>
      </c>
      <c r="C15505" t="s">
        <v>30424</v>
      </c>
      <c r="D15505" t="s">
        <v>49543</v>
      </c>
      <c r="E15505" t="b">
        <v>0</v>
      </c>
      <c r="F15505" t="s">
        <v>11610</v>
      </c>
      <c r="L15505">
        <v>0</v>
      </c>
      <c r="M15505">
        <v>0</v>
      </c>
      <c r="N15505">
        <v>0</v>
      </c>
    </row>
    <row r="15506" spans="1:15">
      <c r="A15506" t="s">
        <v>49544</v>
      </c>
      <c r="B15506" t="s">
        <v>6742</v>
      </c>
      <c r="C15506" t="s">
        <v>16639</v>
      </c>
      <c r="D15506" t="s">
        <v>49545</v>
      </c>
      <c r="E15506" t="b">
        <v>0</v>
      </c>
      <c r="F15506" t="s">
        <v>11610</v>
      </c>
      <c r="L15506">
        <v>0</v>
      </c>
      <c r="M15506">
        <v>0</v>
      </c>
      <c r="N15506">
        <v>0</v>
      </c>
    </row>
    <row r="15507" spans="1:15">
      <c r="A15507" t="s">
        <v>49546</v>
      </c>
      <c r="B15507" t="s">
        <v>6742</v>
      </c>
      <c r="C15507" t="s">
        <v>20658</v>
      </c>
      <c r="D15507" t="s">
        <v>49547</v>
      </c>
      <c r="E15507" t="b">
        <v>0</v>
      </c>
      <c r="F15507" t="s">
        <v>11610</v>
      </c>
      <c r="L15507">
        <v>0</v>
      </c>
      <c r="M15507">
        <v>0</v>
      </c>
      <c r="N15507">
        <v>0</v>
      </c>
    </row>
    <row r="15508" spans="1:15">
      <c r="A15508" t="s">
        <v>49548</v>
      </c>
      <c r="B15508" t="s">
        <v>6742</v>
      </c>
      <c r="C15508" t="s">
        <v>11712</v>
      </c>
      <c r="D15508" t="s">
        <v>49549</v>
      </c>
      <c r="E15508" t="b">
        <v>0</v>
      </c>
      <c r="F15508" t="s">
        <v>11610</v>
      </c>
      <c r="L15508">
        <v>0</v>
      </c>
      <c r="M15508">
        <v>0</v>
      </c>
      <c r="N15508">
        <v>0</v>
      </c>
    </row>
    <row r="15509" spans="1:15">
      <c r="A15509" t="s">
        <v>49550</v>
      </c>
      <c r="B15509" t="s">
        <v>6742</v>
      </c>
      <c r="C15509" t="s">
        <v>20135</v>
      </c>
      <c r="D15509" t="s">
        <v>49551</v>
      </c>
      <c r="E15509" t="b">
        <v>0</v>
      </c>
      <c r="F15509" t="s">
        <v>11610</v>
      </c>
      <c r="L15509">
        <v>0</v>
      </c>
      <c r="M15509">
        <v>0</v>
      </c>
      <c r="N15509">
        <v>0</v>
      </c>
    </row>
    <row r="15510" spans="1:15">
      <c r="A15510" t="s">
        <v>49552</v>
      </c>
      <c r="B15510" t="s">
        <v>6742</v>
      </c>
      <c r="C15510" t="s">
        <v>16209</v>
      </c>
      <c r="D15510" t="s">
        <v>49553</v>
      </c>
      <c r="E15510" t="b">
        <v>0</v>
      </c>
      <c r="F15510" t="s">
        <v>11610</v>
      </c>
      <c r="L15510">
        <v>0</v>
      </c>
      <c r="M15510">
        <v>0</v>
      </c>
      <c r="N15510">
        <v>0</v>
      </c>
    </row>
    <row r="15511" spans="1:15">
      <c r="A15511" t="s">
        <v>49554</v>
      </c>
      <c r="B15511" t="s">
        <v>6742</v>
      </c>
      <c r="C15511" t="s">
        <v>3622</v>
      </c>
      <c r="D15511" t="s">
        <v>49555</v>
      </c>
      <c r="E15511" t="b">
        <v>0</v>
      </c>
      <c r="F15511" t="s">
        <v>11610</v>
      </c>
      <c r="L15511">
        <v>0</v>
      </c>
      <c r="M15511">
        <v>0</v>
      </c>
      <c r="N15511">
        <v>0</v>
      </c>
    </row>
    <row r="15512" spans="1:15">
      <c r="A15512" t="s">
        <v>41692</v>
      </c>
      <c r="B15512" t="s">
        <v>6742</v>
      </c>
      <c r="C15512" t="s">
        <v>36572</v>
      </c>
      <c r="D15512" t="s">
        <v>49556</v>
      </c>
      <c r="E15512" t="b">
        <v>0</v>
      </c>
      <c r="F15512" t="s">
        <v>11624</v>
      </c>
      <c r="G15512">
        <v>-9.3586799999999997</v>
      </c>
      <c r="H15512">
        <v>34.232100000000003</v>
      </c>
      <c r="I15512" t="s">
        <v>49557</v>
      </c>
      <c r="L15512">
        <v>0</v>
      </c>
      <c r="M15512">
        <v>0</v>
      </c>
      <c r="N15512">
        <v>1</v>
      </c>
      <c r="O15512" t="s">
        <v>27909</v>
      </c>
    </row>
    <row r="15513" spans="1:15">
      <c r="A15513" t="s">
        <v>49558</v>
      </c>
      <c r="B15513" t="s">
        <v>6742</v>
      </c>
      <c r="C15513" t="s">
        <v>43640</v>
      </c>
      <c r="D15513" t="s">
        <v>49559</v>
      </c>
      <c r="E15513" t="b">
        <v>0</v>
      </c>
      <c r="F15513" t="s">
        <v>11610</v>
      </c>
      <c r="L15513">
        <v>0</v>
      </c>
      <c r="M15513">
        <v>0</v>
      </c>
      <c r="N15513">
        <v>0</v>
      </c>
    </row>
    <row r="15514" spans="1:15">
      <c r="A15514" t="s">
        <v>49560</v>
      </c>
      <c r="B15514" t="s">
        <v>6742</v>
      </c>
      <c r="C15514" t="s">
        <v>19112</v>
      </c>
      <c r="D15514" t="s">
        <v>49561</v>
      </c>
      <c r="E15514" t="b">
        <v>0</v>
      </c>
      <c r="F15514" t="s">
        <v>11610</v>
      </c>
      <c r="L15514">
        <v>0</v>
      </c>
      <c r="M15514">
        <v>0</v>
      </c>
      <c r="N15514">
        <v>0</v>
      </c>
    </row>
    <row r="15515" spans="1:15">
      <c r="A15515" t="s">
        <v>49562</v>
      </c>
      <c r="B15515" t="s">
        <v>6742</v>
      </c>
      <c r="C15515" t="s">
        <v>32211</v>
      </c>
      <c r="D15515" t="s">
        <v>49563</v>
      </c>
      <c r="E15515" t="b">
        <v>0</v>
      </c>
      <c r="F15515" t="s">
        <v>11610</v>
      </c>
      <c r="L15515">
        <v>0</v>
      </c>
      <c r="M15515">
        <v>0</v>
      </c>
      <c r="N15515">
        <v>0</v>
      </c>
    </row>
    <row r="15516" spans="1:15">
      <c r="A15516" t="s">
        <v>49564</v>
      </c>
      <c r="B15516" t="s">
        <v>6742</v>
      </c>
      <c r="C15516" t="s">
        <v>39869</v>
      </c>
      <c r="D15516" t="s">
        <v>49565</v>
      </c>
      <c r="E15516" t="b">
        <v>0</v>
      </c>
      <c r="F15516" t="s">
        <v>11610</v>
      </c>
      <c r="L15516">
        <v>0</v>
      </c>
      <c r="M15516">
        <v>0</v>
      </c>
      <c r="N15516">
        <v>0</v>
      </c>
    </row>
    <row r="15517" spans="1:15">
      <c r="A15517" t="s">
        <v>49566</v>
      </c>
      <c r="B15517" t="s">
        <v>6742</v>
      </c>
      <c r="C15517" t="s">
        <v>39188</v>
      </c>
      <c r="D15517" t="s">
        <v>49567</v>
      </c>
      <c r="E15517" t="b">
        <v>0</v>
      </c>
      <c r="F15517" t="s">
        <v>11610</v>
      </c>
      <c r="L15517">
        <v>0</v>
      </c>
      <c r="M15517">
        <v>0</v>
      </c>
      <c r="N15517">
        <v>0</v>
      </c>
    </row>
    <row r="15518" spans="1:15">
      <c r="A15518" t="s">
        <v>49568</v>
      </c>
      <c r="B15518" t="s">
        <v>6742</v>
      </c>
      <c r="C15518" t="s">
        <v>41117</v>
      </c>
      <c r="D15518" t="s">
        <v>49569</v>
      </c>
      <c r="E15518" t="b">
        <v>0</v>
      </c>
      <c r="F15518" t="s">
        <v>11610</v>
      </c>
      <c r="L15518">
        <v>0</v>
      </c>
      <c r="M15518">
        <v>0</v>
      </c>
      <c r="N15518">
        <v>0</v>
      </c>
    </row>
    <row r="15519" spans="1:15">
      <c r="A15519" t="s">
        <v>49570</v>
      </c>
      <c r="B15519" t="s">
        <v>6742</v>
      </c>
      <c r="C15519" t="s">
        <v>16641</v>
      </c>
      <c r="D15519" t="s">
        <v>49571</v>
      </c>
      <c r="E15519" t="b">
        <v>0</v>
      </c>
      <c r="F15519" t="s">
        <v>11610</v>
      </c>
      <c r="L15519">
        <v>0</v>
      </c>
      <c r="M15519">
        <v>0</v>
      </c>
      <c r="N15519">
        <v>0</v>
      </c>
    </row>
    <row r="15520" spans="1:15">
      <c r="A15520" t="s">
        <v>49572</v>
      </c>
      <c r="B15520" t="s">
        <v>6742</v>
      </c>
      <c r="C15520" t="s">
        <v>32046</v>
      </c>
      <c r="D15520" t="s">
        <v>49573</v>
      </c>
      <c r="E15520" t="b">
        <v>0</v>
      </c>
      <c r="F15520" t="s">
        <v>11610</v>
      </c>
      <c r="L15520">
        <v>0</v>
      </c>
      <c r="M15520">
        <v>0</v>
      </c>
      <c r="N15520">
        <v>0</v>
      </c>
    </row>
    <row r="15521" spans="1:15">
      <c r="A15521" t="s">
        <v>49574</v>
      </c>
      <c r="B15521" t="s">
        <v>6742</v>
      </c>
      <c r="C15521" t="s">
        <v>28707</v>
      </c>
      <c r="D15521" t="s">
        <v>49575</v>
      </c>
      <c r="E15521" t="b">
        <v>0</v>
      </c>
      <c r="F15521" t="s">
        <v>11610</v>
      </c>
      <c r="L15521">
        <v>0</v>
      </c>
      <c r="M15521">
        <v>0</v>
      </c>
      <c r="N15521">
        <v>0</v>
      </c>
    </row>
    <row r="15522" spans="1:15">
      <c r="A15522" t="s">
        <v>49576</v>
      </c>
      <c r="B15522" t="s">
        <v>6742</v>
      </c>
      <c r="C15522" t="s">
        <v>27121</v>
      </c>
      <c r="D15522" t="s">
        <v>49577</v>
      </c>
      <c r="E15522" t="b">
        <v>0</v>
      </c>
      <c r="F15522" t="s">
        <v>11610</v>
      </c>
      <c r="L15522">
        <v>0</v>
      </c>
      <c r="M15522">
        <v>0</v>
      </c>
      <c r="N15522">
        <v>0</v>
      </c>
    </row>
    <row r="15523" spans="1:15">
      <c r="A15523" t="s">
        <v>49578</v>
      </c>
      <c r="B15523" t="s">
        <v>6742</v>
      </c>
      <c r="C15523" t="s">
        <v>23010</v>
      </c>
      <c r="D15523" t="s">
        <v>49579</v>
      </c>
      <c r="E15523" t="b">
        <v>0</v>
      </c>
      <c r="F15523" t="s">
        <v>11610</v>
      </c>
      <c r="L15523">
        <v>0</v>
      </c>
      <c r="M15523">
        <v>0</v>
      </c>
      <c r="N15523">
        <v>0</v>
      </c>
    </row>
    <row r="15524" spans="1:15">
      <c r="A15524" t="s">
        <v>49580</v>
      </c>
      <c r="B15524" t="s">
        <v>6742</v>
      </c>
      <c r="C15524" t="s">
        <v>20189</v>
      </c>
      <c r="D15524" t="s">
        <v>49581</v>
      </c>
      <c r="E15524" t="b">
        <v>0</v>
      </c>
      <c r="F15524" t="s">
        <v>11610</v>
      </c>
      <c r="L15524">
        <v>0</v>
      </c>
      <c r="M15524">
        <v>0</v>
      </c>
      <c r="N15524">
        <v>0</v>
      </c>
    </row>
    <row r="15525" spans="1:15">
      <c r="A15525" t="s">
        <v>49582</v>
      </c>
      <c r="B15525" t="s">
        <v>6742</v>
      </c>
      <c r="C15525" t="s">
        <v>26953</v>
      </c>
      <c r="D15525" t="s">
        <v>49583</v>
      </c>
      <c r="E15525" t="b">
        <v>0</v>
      </c>
      <c r="F15525" t="s">
        <v>11610</v>
      </c>
      <c r="L15525">
        <v>0</v>
      </c>
      <c r="M15525">
        <v>0</v>
      </c>
      <c r="N15525">
        <v>0</v>
      </c>
    </row>
    <row r="15526" spans="1:15">
      <c r="A15526" t="s">
        <v>49584</v>
      </c>
      <c r="B15526" t="s">
        <v>6742</v>
      </c>
      <c r="C15526" t="s">
        <v>31375</v>
      </c>
      <c r="D15526" t="s">
        <v>49585</v>
      </c>
      <c r="E15526" t="b">
        <v>0</v>
      </c>
      <c r="F15526" t="s">
        <v>11610</v>
      </c>
      <c r="L15526">
        <v>0</v>
      </c>
      <c r="M15526">
        <v>0</v>
      </c>
      <c r="N15526">
        <v>0</v>
      </c>
    </row>
    <row r="15527" spans="1:15">
      <c r="A15527" t="s">
        <v>49586</v>
      </c>
      <c r="B15527" t="s">
        <v>6742</v>
      </c>
      <c r="C15527" t="s">
        <v>32319</v>
      </c>
      <c r="D15527" t="s">
        <v>49587</v>
      </c>
      <c r="E15527" t="b">
        <v>0</v>
      </c>
      <c r="F15527" t="s">
        <v>11610</v>
      </c>
      <c r="L15527">
        <v>0</v>
      </c>
      <c r="M15527">
        <v>0</v>
      </c>
      <c r="N15527">
        <v>0</v>
      </c>
    </row>
    <row r="15528" spans="1:15">
      <c r="A15528" t="s">
        <v>3998</v>
      </c>
      <c r="B15528" t="s">
        <v>6742</v>
      </c>
      <c r="C15528" t="s">
        <v>3999</v>
      </c>
      <c r="D15528" t="s">
        <v>49588</v>
      </c>
      <c r="E15528" t="b">
        <v>0</v>
      </c>
      <c r="F15528" t="s">
        <v>11610</v>
      </c>
      <c r="L15528">
        <v>0</v>
      </c>
      <c r="M15528">
        <v>0</v>
      </c>
      <c r="N15528">
        <v>0</v>
      </c>
    </row>
    <row r="15529" spans="1:15">
      <c r="A15529" t="s">
        <v>16646</v>
      </c>
      <c r="B15529" t="s">
        <v>6742</v>
      </c>
      <c r="C15529" t="s">
        <v>17185</v>
      </c>
      <c r="D15529" t="s">
        <v>49589</v>
      </c>
      <c r="E15529" t="b">
        <v>0</v>
      </c>
      <c r="F15529" t="s">
        <v>11624</v>
      </c>
      <c r="G15529">
        <v>-19.793299999999999</v>
      </c>
      <c r="H15529">
        <v>34.982900000000001</v>
      </c>
      <c r="I15529" t="s">
        <v>49590</v>
      </c>
      <c r="L15529">
        <v>0</v>
      </c>
      <c r="M15529">
        <v>0</v>
      </c>
      <c r="N15529">
        <v>7</v>
      </c>
      <c r="O15529" t="s">
        <v>37008</v>
      </c>
    </row>
    <row r="15530" spans="1:15">
      <c r="A15530" t="s">
        <v>49591</v>
      </c>
      <c r="B15530" t="s">
        <v>6742</v>
      </c>
      <c r="C15530" t="s">
        <v>4166</v>
      </c>
      <c r="D15530" t="s">
        <v>49592</v>
      </c>
      <c r="E15530" t="b">
        <v>0</v>
      </c>
      <c r="F15530" t="s">
        <v>11610</v>
      </c>
      <c r="L15530">
        <v>0</v>
      </c>
      <c r="M15530">
        <v>0</v>
      </c>
      <c r="N15530">
        <v>0</v>
      </c>
    </row>
    <row r="15531" spans="1:15">
      <c r="A15531" t="s">
        <v>49593</v>
      </c>
      <c r="B15531" t="s">
        <v>6742</v>
      </c>
      <c r="C15531" t="s">
        <v>19108</v>
      </c>
      <c r="D15531" t="s">
        <v>49594</v>
      </c>
      <c r="E15531" t="b">
        <v>0</v>
      </c>
      <c r="F15531" t="s">
        <v>11610</v>
      </c>
      <c r="L15531">
        <v>0</v>
      </c>
      <c r="M15531">
        <v>0</v>
      </c>
      <c r="N15531">
        <v>0</v>
      </c>
    </row>
    <row r="15532" spans="1:15">
      <c r="A15532" t="s">
        <v>49595</v>
      </c>
      <c r="B15532" t="s">
        <v>6742</v>
      </c>
      <c r="C15532" t="s">
        <v>32328</v>
      </c>
      <c r="D15532" t="s">
        <v>49596</v>
      </c>
      <c r="E15532" t="b">
        <v>0</v>
      </c>
      <c r="F15532" t="s">
        <v>11610</v>
      </c>
      <c r="L15532">
        <v>0</v>
      </c>
      <c r="M15532">
        <v>0</v>
      </c>
      <c r="N15532">
        <v>0</v>
      </c>
    </row>
    <row r="15533" spans="1:15">
      <c r="A15533" t="s">
        <v>49597</v>
      </c>
      <c r="B15533" t="s">
        <v>6742</v>
      </c>
      <c r="C15533" t="s">
        <v>15983</v>
      </c>
      <c r="D15533" t="s">
        <v>49598</v>
      </c>
      <c r="E15533" t="b">
        <v>0</v>
      </c>
      <c r="F15533" t="s">
        <v>11610</v>
      </c>
      <c r="L15533">
        <v>0</v>
      </c>
      <c r="M15533">
        <v>0</v>
      </c>
      <c r="N15533">
        <v>0</v>
      </c>
    </row>
    <row r="15534" spans="1:15">
      <c r="A15534" t="s">
        <v>49599</v>
      </c>
      <c r="B15534" t="s">
        <v>6742</v>
      </c>
      <c r="C15534" t="s">
        <v>15636</v>
      </c>
      <c r="D15534" t="s">
        <v>49600</v>
      </c>
      <c r="E15534" t="b">
        <v>0</v>
      </c>
      <c r="F15534" t="s">
        <v>11610</v>
      </c>
      <c r="L15534">
        <v>0</v>
      </c>
      <c r="M15534">
        <v>0</v>
      </c>
      <c r="N15534">
        <v>0</v>
      </c>
    </row>
    <row r="15535" spans="1:15">
      <c r="A15535" t="s">
        <v>49601</v>
      </c>
      <c r="B15535" t="s">
        <v>6742</v>
      </c>
      <c r="C15535" t="s">
        <v>16130</v>
      </c>
      <c r="D15535" t="s">
        <v>49602</v>
      </c>
      <c r="E15535" t="b">
        <v>0</v>
      </c>
      <c r="F15535" t="s">
        <v>11610</v>
      </c>
      <c r="L15535">
        <v>0</v>
      </c>
      <c r="M15535">
        <v>0</v>
      </c>
      <c r="N15535">
        <v>0</v>
      </c>
    </row>
    <row r="15536" spans="1:15">
      <c r="A15536" t="s">
        <v>49603</v>
      </c>
      <c r="B15536" t="s">
        <v>6742</v>
      </c>
      <c r="C15536" t="s">
        <v>20968</v>
      </c>
      <c r="D15536" t="s">
        <v>49604</v>
      </c>
      <c r="E15536" t="b">
        <v>0</v>
      </c>
      <c r="F15536" t="s">
        <v>11610</v>
      </c>
      <c r="L15536">
        <v>0</v>
      </c>
      <c r="M15536">
        <v>0</v>
      </c>
      <c r="N15536">
        <v>0</v>
      </c>
    </row>
    <row r="15537" spans="1:15">
      <c r="A15537" t="s">
        <v>49605</v>
      </c>
      <c r="B15537" t="s">
        <v>6742</v>
      </c>
      <c r="C15537" t="s">
        <v>38676</v>
      </c>
      <c r="D15537" t="s">
        <v>49606</v>
      </c>
      <c r="E15537" t="b">
        <v>0</v>
      </c>
      <c r="F15537" t="s">
        <v>11610</v>
      </c>
      <c r="L15537">
        <v>0</v>
      </c>
      <c r="M15537">
        <v>0</v>
      </c>
      <c r="N15537">
        <v>0</v>
      </c>
    </row>
    <row r="15538" spans="1:15">
      <c r="A15538" t="s">
        <v>49607</v>
      </c>
      <c r="B15538" t="s">
        <v>6742</v>
      </c>
      <c r="C15538" t="s">
        <v>18139</v>
      </c>
      <c r="D15538" t="s">
        <v>49608</v>
      </c>
      <c r="E15538" t="b">
        <v>0</v>
      </c>
      <c r="F15538" t="s">
        <v>11610</v>
      </c>
      <c r="L15538">
        <v>0</v>
      </c>
      <c r="M15538">
        <v>0</v>
      </c>
      <c r="N15538">
        <v>0</v>
      </c>
    </row>
    <row r="15539" spans="1:15">
      <c r="A15539" t="s">
        <v>49609</v>
      </c>
      <c r="B15539" t="s">
        <v>6742</v>
      </c>
      <c r="C15539" t="s">
        <v>18527</v>
      </c>
      <c r="D15539" t="s">
        <v>49610</v>
      </c>
      <c r="E15539" t="b">
        <v>0</v>
      </c>
      <c r="F15539" t="s">
        <v>11610</v>
      </c>
      <c r="L15539">
        <v>0</v>
      </c>
      <c r="M15539">
        <v>0</v>
      </c>
      <c r="N15539">
        <v>0</v>
      </c>
    </row>
    <row r="15540" spans="1:15">
      <c r="A15540" t="s">
        <v>49611</v>
      </c>
      <c r="B15540" t="s">
        <v>6742</v>
      </c>
      <c r="C15540" t="s">
        <v>45538</v>
      </c>
      <c r="D15540" t="s">
        <v>49612</v>
      </c>
      <c r="E15540" t="b">
        <v>0</v>
      </c>
      <c r="F15540" t="s">
        <v>11610</v>
      </c>
      <c r="L15540">
        <v>0</v>
      </c>
      <c r="M15540">
        <v>0</v>
      </c>
      <c r="N15540">
        <v>0</v>
      </c>
    </row>
    <row r="15541" spans="1:15">
      <c r="A15541" t="s">
        <v>49613</v>
      </c>
      <c r="B15541" t="s">
        <v>6742</v>
      </c>
      <c r="C15541" t="s">
        <v>16658</v>
      </c>
      <c r="D15541" t="s">
        <v>49614</v>
      </c>
      <c r="E15541" t="b">
        <v>0</v>
      </c>
      <c r="F15541" t="s">
        <v>11610</v>
      </c>
      <c r="L15541">
        <v>0</v>
      </c>
      <c r="M15541">
        <v>0</v>
      </c>
      <c r="N15541">
        <v>0</v>
      </c>
    </row>
    <row r="15542" spans="1:15">
      <c r="A15542" t="s">
        <v>49615</v>
      </c>
      <c r="B15542" t="s">
        <v>6742</v>
      </c>
      <c r="C15542" t="s">
        <v>28026</v>
      </c>
      <c r="D15542" t="s">
        <v>49616</v>
      </c>
      <c r="E15542" t="b">
        <v>0</v>
      </c>
      <c r="F15542" t="s">
        <v>11610</v>
      </c>
      <c r="L15542">
        <v>0</v>
      </c>
      <c r="M15542">
        <v>0</v>
      </c>
      <c r="N15542">
        <v>0</v>
      </c>
    </row>
    <row r="15543" spans="1:15">
      <c r="A15543" t="s">
        <v>49617</v>
      </c>
      <c r="B15543" t="s">
        <v>6742</v>
      </c>
      <c r="C15543" t="s">
        <v>38571</v>
      </c>
      <c r="D15543" t="s">
        <v>49618</v>
      </c>
      <c r="E15543" t="b">
        <v>0</v>
      </c>
      <c r="F15543" t="s">
        <v>11610</v>
      </c>
      <c r="L15543">
        <v>0</v>
      </c>
      <c r="M15543">
        <v>0</v>
      </c>
      <c r="N15543">
        <v>0</v>
      </c>
    </row>
    <row r="15544" spans="1:15">
      <c r="A15544" t="s">
        <v>49619</v>
      </c>
      <c r="B15544" t="s">
        <v>6742</v>
      </c>
      <c r="C15544" t="s">
        <v>174</v>
      </c>
      <c r="D15544" t="s">
        <v>49620</v>
      </c>
      <c r="E15544" t="b">
        <v>0</v>
      </c>
      <c r="F15544" t="s">
        <v>11610</v>
      </c>
      <c r="L15544">
        <v>0</v>
      </c>
      <c r="M15544">
        <v>0</v>
      </c>
      <c r="N15544">
        <v>0</v>
      </c>
    </row>
    <row r="15545" spans="1:15">
      <c r="A15545" t="s">
        <v>49621</v>
      </c>
      <c r="B15545" t="s">
        <v>6742</v>
      </c>
      <c r="C15545" t="s">
        <v>16152</v>
      </c>
      <c r="D15545" t="s">
        <v>49622</v>
      </c>
      <c r="E15545" t="b">
        <v>0</v>
      </c>
      <c r="F15545" t="s">
        <v>11610</v>
      </c>
      <c r="L15545">
        <v>0</v>
      </c>
      <c r="M15545">
        <v>0</v>
      </c>
      <c r="N15545">
        <v>0</v>
      </c>
    </row>
    <row r="15546" spans="1:15">
      <c r="A15546" t="s">
        <v>49623</v>
      </c>
      <c r="B15546" t="s">
        <v>6742</v>
      </c>
      <c r="C15546" t="s">
        <v>45781</v>
      </c>
      <c r="D15546" t="s">
        <v>49624</v>
      </c>
      <c r="E15546" t="b">
        <v>0</v>
      </c>
      <c r="F15546" t="s">
        <v>11610</v>
      </c>
      <c r="L15546">
        <v>0</v>
      </c>
      <c r="M15546">
        <v>0</v>
      </c>
      <c r="N15546">
        <v>0</v>
      </c>
    </row>
    <row r="15547" spans="1:15">
      <c r="A15547" t="s">
        <v>49625</v>
      </c>
      <c r="B15547" t="s">
        <v>6742</v>
      </c>
      <c r="C15547" t="s">
        <v>49626</v>
      </c>
      <c r="D15547" t="s">
        <v>49627</v>
      </c>
      <c r="E15547" t="b">
        <v>0</v>
      </c>
      <c r="F15547" t="s">
        <v>11610</v>
      </c>
      <c r="L15547">
        <v>0</v>
      </c>
      <c r="M15547">
        <v>0</v>
      </c>
      <c r="N15547">
        <v>0</v>
      </c>
    </row>
    <row r="15548" spans="1:15">
      <c r="A15548" t="s">
        <v>12211</v>
      </c>
      <c r="B15548" t="s">
        <v>6742</v>
      </c>
      <c r="C15548" t="s">
        <v>32037</v>
      </c>
      <c r="D15548" t="s">
        <v>49628</v>
      </c>
      <c r="E15548" t="b">
        <v>0</v>
      </c>
      <c r="F15548" t="s">
        <v>11624</v>
      </c>
      <c r="G15548">
        <v>4.6270499999999997</v>
      </c>
      <c r="H15548">
        <v>7.2344099999999996</v>
      </c>
      <c r="I15548" t="s">
        <v>49629</v>
      </c>
      <c r="L15548">
        <v>0</v>
      </c>
      <c r="M15548">
        <v>0</v>
      </c>
      <c r="N15548">
        <v>17</v>
      </c>
      <c r="O15548" t="s">
        <v>11693</v>
      </c>
    </row>
    <row r="15549" spans="1:15">
      <c r="A15549" t="s">
        <v>21495</v>
      </c>
      <c r="B15549" t="s">
        <v>6742</v>
      </c>
      <c r="C15549" t="s">
        <v>17312</v>
      </c>
      <c r="D15549" t="s">
        <v>49630</v>
      </c>
      <c r="E15549" t="b">
        <v>0</v>
      </c>
      <c r="F15549" t="s">
        <v>11624</v>
      </c>
      <c r="G15549">
        <v>7.27501</v>
      </c>
      <c r="H15549">
        <v>-11.542999999999999</v>
      </c>
      <c r="I15549" t="s">
        <v>49631</v>
      </c>
      <c r="L15549">
        <v>0</v>
      </c>
      <c r="M15549">
        <v>0</v>
      </c>
      <c r="N15549">
        <v>6</v>
      </c>
      <c r="O15549" t="s">
        <v>29482</v>
      </c>
    </row>
    <row r="15550" spans="1:15">
      <c r="A15550" t="s">
        <v>49632</v>
      </c>
      <c r="B15550" t="s">
        <v>6742</v>
      </c>
      <c r="C15550" t="s">
        <v>49633</v>
      </c>
      <c r="D15550" t="s">
        <v>49634</v>
      </c>
      <c r="E15550" t="b">
        <v>0</v>
      </c>
      <c r="F15550" t="s">
        <v>11610</v>
      </c>
      <c r="L15550">
        <v>0</v>
      </c>
      <c r="M15550">
        <v>0</v>
      </c>
      <c r="N15550">
        <v>0</v>
      </c>
    </row>
    <row r="15551" spans="1:15">
      <c r="A15551" t="s">
        <v>49635</v>
      </c>
      <c r="B15551" t="s">
        <v>11729</v>
      </c>
      <c r="C15551" t="s">
        <v>41903</v>
      </c>
      <c r="D15551" t="s">
        <v>49636</v>
      </c>
      <c r="E15551" t="b">
        <v>0</v>
      </c>
      <c r="F15551" t="s">
        <v>11610</v>
      </c>
      <c r="L15551">
        <v>0</v>
      </c>
      <c r="M15551">
        <v>0</v>
      </c>
      <c r="N15551">
        <v>0</v>
      </c>
    </row>
    <row r="15552" spans="1:15">
      <c r="A15552" t="s">
        <v>49637</v>
      </c>
      <c r="B15552" t="s">
        <v>11729</v>
      </c>
      <c r="C15552" t="s">
        <v>5552</v>
      </c>
      <c r="D15552" t="s">
        <v>49638</v>
      </c>
      <c r="E15552" t="b">
        <v>0</v>
      </c>
      <c r="F15552" t="s">
        <v>11610</v>
      </c>
      <c r="L15552">
        <v>0</v>
      </c>
      <c r="M15552">
        <v>0</v>
      </c>
      <c r="N15552">
        <v>0</v>
      </c>
    </row>
    <row r="15553" spans="1:14">
      <c r="A15553" t="s">
        <v>49639</v>
      </c>
      <c r="B15553" t="s">
        <v>11729</v>
      </c>
      <c r="C15553" t="s">
        <v>49640</v>
      </c>
      <c r="D15553" t="s">
        <v>49641</v>
      </c>
      <c r="E15553" t="b">
        <v>0</v>
      </c>
      <c r="F15553" t="s">
        <v>11610</v>
      </c>
      <c r="L15553">
        <v>0</v>
      </c>
      <c r="M15553">
        <v>0</v>
      </c>
      <c r="N15553">
        <v>0</v>
      </c>
    </row>
    <row r="15554" spans="1:14">
      <c r="A15554" t="s">
        <v>49642</v>
      </c>
      <c r="B15554" t="s">
        <v>11729</v>
      </c>
      <c r="C15554" t="s">
        <v>37259</v>
      </c>
      <c r="D15554" t="s">
        <v>49643</v>
      </c>
      <c r="E15554" t="b">
        <v>0</v>
      </c>
      <c r="F15554" t="s">
        <v>11610</v>
      </c>
      <c r="L15554">
        <v>0</v>
      </c>
      <c r="M15554">
        <v>0</v>
      </c>
      <c r="N15554">
        <v>0</v>
      </c>
    </row>
    <row r="15555" spans="1:14">
      <c r="A15555" t="s">
        <v>49644</v>
      </c>
      <c r="B15555" t="s">
        <v>11729</v>
      </c>
      <c r="C15555" t="s">
        <v>30056</v>
      </c>
      <c r="D15555" t="s">
        <v>49645</v>
      </c>
      <c r="E15555" t="b">
        <v>0</v>
      </c>
      <c r="F15555" t="s">
        <v>11610</v>
      </c>
      <c r="L15555">
        <v>0</v>
      </c>
      <c r="M15555">
        <v>0</v>
      </c>
      <c r="N15555">
        <v>0</v>
      </c>
    </row>
    <row r="15556" spans="1:14">
      <c r="A15556" t="s">
        <v>49646</v>
      </c>
      <c r="B15556" t="s">
        <v>11729</v>
      </c>
      <c r="C15556" t="s">
        <v>17670</v>
      </c>
      <c r="D15556" t="s">
        <v>49647</v>
      </c>
      <c r="E15556" t="b">
        <v>0</v>
      </c>
      <c r="F15556" t="s">
        <v>11610</v>
      </c>
      <c r="L15556">
        <v>0</v>
      </c>
      <c r="M15556">
        <v>0</v>
      </c>
      <c r="N15556">
        <v>0</v>
      </c>
    </row>
    <row r="15557" spans="1:14">
      <c r="A15557" t="s">
        <v>49648</v>
      </c>
      <c r="B15557" t="s">
        <v>11729</v>
      </c>
      <c r="C15557" t="s">
        <v>17593</v>
      </c>
      <c r="D15557" t="s">
        <v>49649</v>
      </c>
      <c r="E15557" t="b">
        <v>0</v>
      </c>
      <c r="F15557" t="s">
        <v>11610</v>
      </c>
      <c r="L15557">
        <v>0</v>
      </c>
      <c r="M15557">
        <v>0</v>
      </c>
      <c r="N15557">
        <v>0</v>
      </c>
    </row>
    <row r="15558" spans="1:14">
      <c r="A15558" t="s">
        <v>49650</v>
      </c>
      <c r="B15558" t="s">
        <v>11729</v>
      </c>
      <c r="C15558" t="s">
        <v>18696</v>
      </c>
      <c r="D15558" t="s">
        <v>49651</v>
      </c>
      <c r="E15558" t="b">
        <v>0</v>
      </c>
      <c r="F15558" t="s">
        <v>11610</v>
      </c>
      <c r="L15558">
        <v>0</v>
      </c>
      <c r="M15558">
        <v>0</v>
      </c>
      <c r="N15558">
        <v>0</v>
      </c>
    </row>
    <row r="15559" spans="1:14">
      <c r="A15559" t="s">
        <v>49652</v>
      </c>
      <c r="B15559" t="s">
        <v>11729</v>
      </c>
      <c r="C15559" t="s">
        <v>18890</v>
      </c>
      <c r="D15559" t="s">
        <v>49653</v>
      </c>
      <c r="E15559" t="b">
        <v>0</v>
      </c>
      <c r="F15559" t="s">
        <v>11610</v>
      </c>
      <c r="L15559">
        <v>0</v>
      </c>
      <c r="M15559">
        <v>0</v>
      </c>
      <c r="N15559">
        <v>0</v>
      </c>
    </row>
    <row r="15560" spans="1:14">
      <c r="A15560" t="s">
        <v>49654</v>
      </c>
      <c r="B15560" t="s">
        <v>38832</v>
      </c>
      <c r="C15560" t="s">
        <v>38832</v>
      </c>
      <c r="D15560" t="s">
        <v>49655</v>
      </c>
      <c r="E15560" t="b">
        <v>0</v>
      </c>
      <c r="F15560" t="s">
        <v>11610</v>
      </c>
      <c r="L15560">
        <v>0</v>
      </c>
      <c r="M15560">
        <v>0</v>
      </c>
      <c r="N15560">
        <v>0</v>
      </c>
    </row>
    <row r="15561" spans="1:14">
      <c r="A15561" t="s">
        <v>1147</v>
      </c>
      <c r="B15561" t="s">
        <v>11757</v>
      </c>
      <c r="C15561" t="s">
        <v>1148</v>
      </c>
      <c r="D15561" t="s">
        <v>49656</v>
      </c>
      <c r="E15561" t="b">
        <v>0</v>
      </c>
      <c r="F15561" t="s">
        <v>11610</v>
      </c>
      <c r="L15561">
        <v>0</v>
      </c>
      <c r="M15561">
        <v>0</v>
      </c>
      <c r="N15561">
        <v>0</v>
      </c>
    </row>
    <row r="15562" spans="1:14">
      <c r="A15562" t="s">
        <v>43158</v>
      </c>
      <c r="B15562" t="s">
        <v>11757</v>
      </c>
      <c r="C15562" t="s">
        <v>47288</v>
      </c>
      <c r="D15562" t="s">
        <v>49657</v>
      </c>
      <c r="E15562" t="b">
        <v>0</v>
      </c>
      <c r="F15562" t="s">
        <v>11622</v>
      </c>
      <c r="L15562">
        <v>0</v>
      </c>
      <c r="M15562">
        <v>2</v>
      </c>
      <c r="N15562">
        <v>15</v>
      </c>
    </row>
    <row r="15563" spans="1:14">
      <c r="A15563" t="s">
        <v>49658</v>
      </c>
      <c r="B15563" t="s">
        <v>11757</v>
      </c>
      <c r="C15563" t="s">
        <v>49659</v>
      </c>
      <c r="D15563" t="s">
        <v>49660</v>
      </c>
      <c r="E15563" t="b">
        <v>0</v>
      </c>
      <c r="F15563" t="s">
        <v>11610</v>
      </c>
      <c r="L15563">
        <v>0</v>
      </c>
      <c r="M15563">
        <v>0</v>
      </c>
      <c r="N15563">
        <v>0</v>
      </c>
    </row>
    <row r="15564" spans="1:14">
      <c r="A15564" t="s">
        <v>49661</v>
      </c>
      <c r="B15564" t="s">
        <v>13571</v>
      </c>
      <c r="C15564" t="s">
        <v>17924</v>
      </c>
      <c r="D15564" t="s">
        <v>49662</v>
      </c>
      <c r="E15564" t="b">
        <v>0</v>
      </c>
      <c r="F15564" t="s">
        <v>11610</v>
      </c>
      <c r="L15564">
        <v>0</v>
      </c>
      <c r="M15564">
        <v>0</v>
      </c>
      <c r="N15564">
        <v>0</v>
      </c>
    </row>
    <row r="15565" spans="1:14">
      <c r="A15565" t="s">
        <v>49663</v>
      </c>
      <c r="B15565" t="s">
        <v>13571</v>
      </c>
      <c r="C15565" t="s">
        <v>19675</v>
      </c>
      <c r="D15565" t="s">
        <v>49664</v>
      </c>
      <c r="E15565" t="b">
        <v>0</v>
      </c>
      <c r="F15565" t="s">
        <v>11610</v>
      </c>
      <c r="L15565">
        <v>0</v>
      </c>
      <c r="M15565">
        <v>0</v>
      </c>
      <c r="N15565">
        <v>0</v>
      </c>
    </row>
    <row r="15566" spans="1:14">
      <c r="A15566" t="s">
        <v>49665</v>
      </c>
      <c r="B15566" t="s">
        <v>11868</v>
      </c>
      <c r="C15566" t="s">
        <v>24459</v>
      </c>
      <c r="D15566" t="s">
        <v>49666</v>
      </c>
      <c r="E15566" t="b">
        <v>0</v>
      </c>
      <c r="F15566" t="s">
        <v>11610</v>
      </c>
      <c r="L15566">
        <v>0</v>
      </c>
      <c r="M15566">
        <v>0</v>
      </c>
      <c r="N15566">
        <v>0</v>
      </c>
    </row>
    <row r="15567" spans="1:14">
      <c r="A15567" t="s">
        <v>49667</v>
      </c>
      <c r="B15567" t="s">
        <v>11868</v>
      </c>
      <c r="C15567" t="s">
        <v>11869</v>
      </c>
      <c r="D15567" t="s">
        <v>49668</v>
      </c>
      <c r="E15567" t="b">
        <v>0</v>
      </c>
      <c r="F15567" t="s">
        <v>11610</v>
      </c>
      <c r="L15567">
        <v>0</v>
      </c>
      <c r="M15567">
        <v>0</v>
      </c>
      <c r="N15567">
        <v>0</v>
      </c>
    </row>
    <row r="15568" spans="1:14">
      <c r="A15568" t="s">
        <v>49669</v>
      </c>
      <c r="B15568" t="s">
        <v>11868</v>
      </c>
      <c r="C15568" t="s">
        <v>24143</v>
      </c>
      <c r="D15568" t="s">
        <v>49670</v>
      </c>
      <c r="E15568" t="b">
        <v>0</v>
      </c>
      <c r="F15568" t="s">
        <v>11610</v>
      </c>
      <c r="L15568">
        <v>0</v>
      </c>
      <c r="M15568">
        <v>0</v>
      </c>
      <c r="N15568">
        <v>0</v>
      </c>
    </row>
    <row r="15569" spans="1:15">
      <c r="A15569" t="s">
        <v>49671</v>
      </c>
      <c r="B15569" t="s">
        <v>11868</v>
      </c>
      <c r="C15569" t="s">
        <v>35231</v>
      </c>
      <c r="D15569" t="s">
        <v>49672</v>
      </c>
      <c r="E15569" t="b">
        <v>0</v>
      </c>
      <c r="F15569" t="s">
        <v>11610</v>
      </c>
      <c r="L15569">
        <v>0</v>
      </c>
      <c r="M15569">
        <v>0</v>
      </c>
      <c r="N15569">
        <v>0</v>
      </c>
    </row>
    <row r="15570" spans="1:15">
      <c r="A15570" t="s">
        <v>49673</v>
      </c>
      <c r="B15570" t="s">
        <v>11780</v>
      </c>
      <c r="C15570" t="s">
        <v>23817</v>
      </c>
      <c r="D15570" t="s">
        <v>49674</v>
      </c>
      <c r="E15570" t="b">
        <v>0</v>
      </c>
      <c r="F15570" t="s">
        <v>11610</v>
      </c>
      <c r="L15570">
        <v>0</v>
      </c>
      <c r="M15570">
        <v>0</v>
      </c>
      <c r="N15570">
        <v>0</v>
      </c>
    </row>
    <row r="15571" spans="1:15">
      <c r="A15571" t="s">
        <v>24146</v>
      </c>
      <c r="B15571" t="s">
        <v>11780</v>
      </c>
      <c r="C15571" t="s">
        <v>43160</v>
      </c>
      <c r="D15571" t="s">
        <v>49675</v>
      </c>
      <c r="E15571" t="b">
        <v>0</v>
      </c>
      <c r="F15571" t="s">
        <v>11624</v>
      </c>
      <c r="G15571">
        <v>13.273300000000001</v>
      </c>
      <c r="H15571">
        <v>22.1752</v>
      </c>
      <c r="I15571" t="s">
        <v>49676</v>
      </c>
      <c r="L15571">
        <v>0</v>
      </c>
      <c r="M15571">
        <v>0</v>
      </c>
      <c r="N15571">
        <v>5</v>
      </c>
      <c r="O15571" t="s">
        <v>24193</v>
      </c>
    </row>
    <row r="15572" spans="1:15">
      <c r="A15572" t="s">
        <v>35072</v>
      </c>
      <c r="B15572" t="s">
        <v>11780</v>
      </c>
      <c r="C15572" t="s">
        <v>41402</v>
      </c>
      <c r="D15572" t="s">
        <v>49677</v>
      </c>
      <c r="E15572" t="b">
        <v>0</v>
      </c>
      <c r="F15572" t="s">
        <v>11622</v>
      </c>
      <c r="L15572">
        <v>0</v>
      </c>
      <c r="M15572">
        <v>4</v>
      </c>
      <c r="N15572">
        <v>17</v>
      </c>
    </row>
    <row r="15573" spans="1:15">
      <c r="A15573" t="s">
        <v>49678</v>
      </c>
      <c r="B15573" t="s">
        <v>11780</v>
      </c>
      <c r="C15573" t="s">
        <v>4079</v>
      </c>
      <c r="D15573" t="s">
        <v>49679</v>
      </c>
      <c r="E15573" t="b">
        <v>0</v>
      </c>
      <c r="F15573" t="s">
        <v>11610</v>
      </c>
      <c r="L15573">
        <v>0</v>
      </c>
      <c r="M15573">
        <v>0</v>
      </c>
      <c r="N15573">
        <v>0</v>
      </c>
    </row>
    <row r="15574" spans="1:15">
      <c r="A15574" t="s">
        <v>33388</v>
      </c>
      <c r="B15574" t="s">
        <v>13276</v>
      </c>
      <c r="C15574" t="s">
        <v>19809</v>
      </c>
      <c r="D15574" t="s">
        <v>49680</v>
      </c>
      <c r="E15574" t="b">
        <v>0</v>
      </c>
      <c r="F15574" t="s">
        <v>11622</v>
      </c>
      <c r="L15574">
        <v>1</v>
      </c>
      <c r="M15574">
        <v>3</v>
      </c>
      <c r="N15574">
        <v>4</v>
      </c>
    </row>
    <row r="15575" spans="1:15">
      <c r="A15575" t="s">
        <v>34281</v>
      </c>
      <c r="B15575" t="s">
        <v>13276</v>
      </c>
      <c r="C15575" t="s">
        <v>42463</v>
      </c>
      <c r="D15575" t="s">
        <v>49681</v>
      </c>
      <c r="E15575" t="b">
        <v>0</v>
      </c>
      <c r="F15575" t="s">
        <v>11622</v>
      </c>
      <c r="L15575">
        <v>0</v>
      </c>
      <c r="M15575">
        <v>4</v>
      </c>
      <c r="N15575">
        <v>11</v>
      </c>
    </row>
    <row r="15576" spans="1:15">
      <c r="A15576" t="s">
        <v>49682</v>
      </c>
      <c r="B15576" t="s">
        <v>13276</v>
      </c>
      <c r="C15576" t="s">
        <v>37668</v>
      </c>
      <c r="D15576" t="s">
        <v>49683</v>
      </c>
      <c r="E15576" t="b">
        <v>0</v>
      </c>
      <c r="F15576" t="s">
        <v>11610</v>
      </c>
      <c r="L15576">
        <v>0</v>
      </c>
      <c r="M15576">
        <v>0</v>
      </c>
      <c r="N15576">
        <v>0</v>
      </c>
    </row>
    <row r="15577" spans="1:15">
      <c r="A15577" t="s">
        <v>49684</v>
      </c>
      <c r="B15577" t="s">
        <v>11810</v>
      </c>
      <c r="C15577" t="s">
        <v>11811</v>
      </c>
      <c r="D15577" t="s">
        <v>49685</v>
      </c>
      <c r="E15577" t="b">
        <v>0</v>
      </c>
      <c r="F15577" t="s">
        <v>11610</v>
      </c>
      <c r="L15577">
        <v>0</v>
      </c>
      <c r="M15577">
        <v>0</v>
      </c>
      <c r="N15577">
        <v>0</v>
      </c>
    </row>
    <row r="15578" spans="1:15">
      <c r="A15578" t="s">
        <v>49686</v>
      </c>
      <c r="B15578" t="s">
        <v>21516</v>
      </c>
      <c r="C15578" t="s">
        <v>39465</v>
      </c>
      <c r="D15578" t="s">
        <v>49687</v>
      </c>
      <c r="E15578" t="b">
        <v>0</v>
      </c>
      <c r="F15578" t="s">
        <v>11610</v>
      </c>
      <c r="L15578">
        <v>0</v>
      </c>
      <c r="M15578">
        <v>0</v>
      </c>
      <c r="N15578">
        <v>0</v>
      </c>
    </row>
    <row r="15579" spans="1:15">
      <c r="A15579" t="s">
        <v>49688</v>
      </c>
      <c r="B15579" t="s">
        <v>45308</v>
      </c>
      <c r="C15579" t="s">
        <v>45309</v>
      </c>
      <c r="D15579" t="s">
        <v>49689</v>
      </c>
      <c r="E15579" t="b">
        <v>0</v>
      </c>
      <c r="F15579" t="s">
        <v>11610</v>
      </c>
      <c r="L15579">
        <v>0</v>
      </c>
      <c r="M15579">
        <v>0</v>
      </c>
      <c r="N15579">
        <v>0</v>
      </c>
    </row>
    <row r="15580" spans="1:15">
      <c r="A15580" t="s">
        <v>49690</v>
      </c>
      <c r="B15580" t="s">
        <v>13967</v>
      </c>
      <c r="C15580" t="s">
        <v>15555</v>
      </c>
      <c r="D15580" t="s">
        <v>49691</v>
      </c>
      <c r="E15580" t="b">
        <v>0</v>
      </c>
      <c r="F15580" t="s">
        <v>11610</v>
      </c>
      <c r="L15580">
        <v>0</v>
      </c>
      <c r="M15580">
        <v>0</v>
      </c>
      <c r="N15580">
        <v>0</v>
      </c>
    </row>
    <row r="15581" spans="1:15">
      <c r="A15581" t="s">
        <v>49692</v>
      </c>
      <c r="B15581" t="s">
        <v>26147</v>
      </c>
      <c r="C15581" t="s">
        <v>29421</v>
      </c>
      <c r="D15581" t="s">
        <v>49693</v>
      </c>
      <c r="E15581" t="b">
        <v>0</v>
      </c>
      <c r="F15581" t="s">
        <v>11610</v>
      </c>
      <c r="L15581">
        <v>0</v>
      </c>
      <c r="M15581">
        <v>0</v>
      </c>
      <c r="N15581">
        <v>0</v>
      </c>
    </row>
    <row r="15582" spans="1:15">
      <c r="A15582" t="s">
        <v>49694</v>
      </c>
      <c r="B15582" t="s">
        <v>37239</v>
      </c>
      <c r="C15582" t="s">
        <v>37239</v>
      </c>
      <c r="D15582" t="s">
        <v>49695</v>
      </c>
      <c r="E15582" t="b">
        <v>0</v>
      </c>
      <c r="F15582" t="s">
        <v>11624</v>
      </c>
      <c r="G15582">
        <v>-8.2714099999999995</v>
      </c>
      <c r="H15582">
        <v>138.773</v>
      </c>
      <c r="I15582" t="s">
        <v>49696</v>
      </c>
      <c r="L15582">
        <v>0</v>
      </c>
      <c r="M15582">
        <v>0</v>
      </c>
      <c r="N15582">
        <v>0</v>
      </c>
      <c r="O15582" t="s">
        <v>11768</v>
      </c>
    </row>
    <row r="15583" spans="1:15">
      <c r="A15583" t="s">
        <v>49697</v>
      </c>
      <c r="B15583" t="s">
        <v>49698</v>
      </c>
      <c r="C15583" t="s">
        <v>49699</v>
      </c>
      <c r="D15583" t="s">
        <v>49700</v>
      </c>
      <c r="E15583" t="b">
        <v>0</v>
      </c>
      <c r="F15583" t="s">
        <v>11624</v>
      </c>
      <c r="G15583">
        <v>-4.4123400000000004</v>
      </c>
      <c r="H15583">
        <v>142.23099999999999</v>
      </c>
      <c r="I15583" t="s">
        <v>49701</v>
      </c>
      <c r="L15583">
        <v>0</v>
      </c>
      <c r="M15583">
        <v>0</v>
      </c>
      <c r="N15583">
        <v>0</v>
      </c>
      <c r="O15583" t="s">
        <v>11660</v>
      </c>
    </row>
    <row r="15584" spans="1:15">
      <c r="A15584" t="s">
        <v>21529</v>
      </c>
      <c r="B15584" t="s">
        <v>21528</v>
      </c>
      <c r="C15584" t="s">
        <v>21528</v>
      </c>
      <c r="D15584" t="s">
        <v>49702</v>
      </c>
      <c r="E15584" t="b">
        <v>0</v>
      </c>
      <c r="F15584" t="s">
        <v>11624</v>
      </c>
      <c r="G15584">
        <v>-1.77196</v>
      </c>
      <c r="H15584">
        <v>136.26300000000001</v>
      </c>
      <c r="I15584" t="s">
        <v>49703</v>
      </c>
      <c r="L15584">
        <v>0</v>
      </c>
      <c r="M15584">
        <v>0</v>
      </c>
      <c r="N15584">
        <v>5</v>
      </c>
      <c r="O15584" t="s">
        <v>11768</v>
      </c>
    </row>
    <row r="15585" spans="1:15">
      <c r="A15585" t="s">
        <v>49704</v>
      </c>
      <c r="B15585" t="s">
        <v>12487</v>
      </c>
      <c r="C15585" t="s">
        <v>30678</v>
      </c>
      <c r="D15585" t="s">
        <v>49705</v>
      </c>
      <c r="E15585" t="b">
        <v>0</v>
      </c>
      <c r="F15585" t="s">
        <v>11610</v>
      </c>
      <c r="L15585">
        <v>0</v>
      </c>
      <c r="M15585">
        <v>0</v>
      </c>
      <c r="N15585">
        <v>0</v>
      </c>
    </row>
    <row r="15586" spans="1:15">
      <c r="A15586" t="s">
        <v>49706</v>
      </c>
      <c r="B15586" t="s">
        <v>12487</v>
      </c>
      <c r="C15586" t="s">
        <v>17169</v>
      </c>
      <c r="D15586" t="s">
        <v>49707</v>
      </c>
      <c r="E15586" t="b">
        <v>0</v>
      </c>
      <c r="F15586" t="s">
        <v>11610</v>
      </c>
      <c r="L15586">
        <v>0</v>
      </c>
      <c r="M15586">
        <v>0</v>
      </c>
      <c r="N15586">
        <v>0</v>
      </c>
    </row>
    <row r="15587" spans="1:15">
      <c r="A15587" t="s">
        <v>49708</v>
      </c>
      <c r="B15587" t="s">
        <v>40161</v>
      </c>
      <c r="C15587" t="s">
        <v>40161</v>
      </c>
      <c r="D15587" t="s">
        <v>49709</v>
      </c>
      <c r="E15587" t="b">
        <v>0</v>
      </c>
      <c r="F15587" t="s">
        <v>11624</v>
      </c>
      <c r="G15587">
        <v>-4.2717000000000001</v>
      </c>
      <c r="H15587">
        <v>144.94999999999999</v>
      </c>
      <c r="I15587" t="s">
        <v>49710</v>
      </c>
      <c r="L15587">
        <v>0</v>
      </c>
      <c r="M15587">
        <v>0</v>
      </c>
      <c r="N15587">
        <v>0</v>
      </c>
      <c r="O15587" t="s">
        <v>11660</v>
      </c>
    </row>
    <row r="15588" spans="1:15">
      <c r="A15588" t="s">
        <v>49711</v>
      </c>
      <c r="B15588" t="s">
        <v>14005</v>
      </c>
      <c r="C15588" t="s">
        <v>46370</v>
      </c>
      <c r="D15588" t="s">
        <v>49712</v>
      </c>
      <c r="E15588" t="b">
        <v>0</v>
      </c>
      <c r="F15588" t="s">
        <v>11610</v>
      </c>
      <c r="L15588">
        <v>0</v>
      </c>
      <c r="M15588">
        <v>0</v>
      </c>
      <c r="N15588">
        <v>0</v>
      </c>
    </row>
    <row r="15589" spans="1:15">
      <c r="A15589" t="s">
        <v>16680</v>
      </c>
      <c r="B15589" t="s">
        <v>367</v>
      </c>
      <c r="C15589" t="s">
        <v>34792</v>
      </c>
      <c r="D15589" t="s">
        <v>49713</v>
      </c>
      <c r="E15589" t="b">
        <v>0</v>
      </c>
      <c r="F15589" t="s">
        <v>11624</v>
      </c>
      <c r="G15589">
        <v>-7</v>
      </c>
      <c r="H15589">
        <v>113</v>
      </c>
      <c r="I15589" t="s">
        <v>49714</v>
      </c>
      <c r="L15589">
        <v>0</v>
      </c>
      <c r="M15589">
        <v>0</v>
      </c>
      <c r="N15589">
        <v>6</v>
      </c>
      <c r="O15589" t="s">
        <v>11768</v>
      </c>
    </row>
    <row r="15590" spans="1:15">
      <c r="A15590" t="s">
        <v>49715</v>
      </c>
      <c r="B15590" t="s">
        <v>367</v>
      </c>
      <c r="C15590" t="s">
        <v>13336</v>
      </c>
      <c r="D15590" t="s">
        <v>49716</v>
      </c>
      <c r="E15590" t="b">
        <v>0</v>
      </c>
      <c r="F15590" t="s">
        <v>11610</v>
      </c>
      <c r="L15590">
        <v>0</v>
      </c>
      <c r="M15590">
        <v>0</v>
      </c>
      <c r="N15590">
        <v>0</v>
      </c>
    </row>
    <row r="15591" spans="1:15">
      <c r="A15591" t="s">
        <v>49717</v>
      </c>
      <c r="B15591" t="s">
        <v>367</v>
      </c>
      <c r="C15591" t="s">
        <v>17705</v>
      </c>
      <c r="D15591" t="s">
        <v>49718</v>
      </c>
      <c r="E15591" t="b">
        <v>0</v>
      </c>
      <c r="F15591" t="s">
        <v>11610</v>
      </c>
      <c r="L15591">
        <v>0</v>
      </c>
      <c r="M15591">
        <v>0</v>
      </c>
      <c r="N15591">
        <v>0</v>
      </c>
    </row>
    <row r="15592" spans="1:15">
      <c r="A15592" t="s">
        <v>44095</v>
      </c>
      <c r="B15592" t="s">
        <v>367</v>
      </c>
      <c r="C15592" t="s">
        <v>28776</v>
      </c>
      <c r="D15592" t="s">
        <v>49719</v>
      </c>
      <c r="E15592" t="b">
        <v>0</v>
      </c>
      <c r="F15592" t="s">
        <v>11622</v>
      </c>
      <c r="L15592">
        <v>2</v>
      </c>
      <c r="M15592">
        <v>4</v>
      </c>
      <c r="N15592">
        <v>13</v>
      </c>
    </row>
    <row r="15593" spans="1:15">
      <c r="A15593" t="s">
        <v>49720</v>
      </c>
      <c r="B15593" t="s">
        <v>367</v>
      </c>
      <c r="C15593" t="s">
        <v>5302</v>
      </c>
      <c r="D15593" t="s">
        <v>49721</v>
      </c>
      <c r="E15593" t="b">
        <v>0</v>
      </c>
      <c r="F15593" t="s">
        <v>11610</v>
      </c>
      <c r="L15593">
        <v>0</v>
      </c>
      <c r="M15593">
        <v>0</v>
      </c>
      <c r="N15593">
        <v>0</v>
      </c>
    </row>
    <row r="15594" spans="1:15">
      <c r="A15594" t="s">
        <v>49722</v>
      </c>
      <c r="B15594" t="s">
        <v>367</v>
      </c>
      <c r="C15594" t="s">
        <v>16754</v>
      </c>
      <c r="D15594" t="s">
        <v>49723</v>
      </c>
      <c r="E15594" t="b">
        <v>0</v>
      </c>
      <c r="F15594" t="s">
        <v>11610</v>
      </c>
      <c r="L15594">
        <v>0</v>
      </c>
      <c r="M15594">
        <v>0</v>
      </c>
      <c r="N15594">
        <v>0</v>
      </c>
    </row>
    <row r="15595" spans="1:15">
      <c r="A15595" t="s">
        <v>49724</v>
      </c>
      <c r="B15595" t="s">
        <v>367</v>
      </c>
      <c r="C15595" t="s">
        <v>13338</v>
      </c>
      <c r="D15595" t="s">
        <v>49725</v>
      </c>
      <c r="E15595" t="b">
        <v>0</v>
      </c>
      <c r="F15595" t="s">
        <v>11610</v>
      </c>
      <c r="L15595">
        <v>0</v>
      </c>
      <c r="M15595">
        <v>0</v>
      </c>
      <c r="N15595">
        <v>0</v>
      </c>
    </row>
    <row r="15596" spans="1:15">
      <c r="A15596" t="s">
        <v>49726</v>
      </c>
      <c r="B15596" t="s">
        <v>367</v>
      </c>
      <c r="C15596" t="s">
        <v>27774</v>
      </c>
      <c r="D15596" t="s">
        <v>49727</v>
      </c>
      <c r="E15596" t="b">
        <v>0</v>
      </c>
      <c r="F15596" t="s">
        <v>11610</v>
      </c>
      <c r="L15596">
        <v>0</v>
      </c>
      <c r="M15596">
        <v>0</v>
      </c>
      <c r="N15596">
        <v>0</v>
      </c>
    </row>
    <row r="15597" spans="1:15">
      <c r="A15597" t="s">
        <v>49728</v>
      </c>
      <c r="B15597" t="s">
        <v>367</v>
      </c>
      <c r="C15597" t="s">
        <v>26155</v>
      </c>
      <c r="D15597" t="s">
        <v>49729</v>
      </c>
      <c r="E15597" t="b">
        <v>0</v>
      </c>
      <c r="F15597" t="s">
        <v>11610</v>
      </c>
      <c r="L15597">
        <v>0</v>
      </c>
      <c r="M15597">
        <v>0</v>
      </c>
      <c r="N15597">
        <v>0</v>
      </c>
    </row>
    <row r="15598" spans="1:15">
      <c r="A15598" t="s">
        <v>49730</v>
      </c>
      <c r="B15598" t="s">
        <v>367</v>
      </c>
      <c r="C15598" t="s">
        <v>37378</v>
      </c>
      <c r="D15598" t="s">
        <v>49731</v>
      </c>
      <c r="E15598" t="b">
        <v>0</v>
      </c>
      <c r="F15598" t="s">
        <v>11610</v>
      </c>
      <c r="L15598">
        <v>0</v>
      </c>
      <c r="M15598">
        <v>0</v>
      </c>
      <c r="N15598">
        <v>0</v>
      </c>
    </row>
    <row r="15599" spans="1:15">
      <c r="A15599" t="s">
        <v>47395</v>
      </c>
      <c r="B15599" t="s">
        <v>367</v>
      </c>
      <c r="C15599" t="s">
        <v>29801</v>
      </c>
      <c r="D15599" t="s">
        <v>49732</v>
      </c>
      <c r="E15599" t="b">
        <v>0</v>
      </c>
      <c r="F15599" t="s">
        <v>11622</v>
      </c>
      <c r="L15599">
        <v>2</v>
      </c>
      <c r="M15599">
        <v>5</v>
      </c>
      <c r="N15599">
        <v>12</v>
      </c>
    </row>
    <row r="15600" spans="1:15">
      <c r="A15600" t="s">
        <v>49733</v>
      </c>
      <c r="B15600" t="s">
        <v>367</v>
      </c>
      <c r="C15600" t="s">
        <v>28297</v>
      </c>
      <c r="D15600" t="s">
        <v>49734</v>
      </c>
      <c r="E15600" t="b">
        <v>0</v>
      </c>
      <c r="F15600" t="s">
        <v>11610</v>
      </c>
      <c r="L15600">
        <v>0</v>
      </c>
      <c r="M15600">
        <v>0</v>
      </c>
      <c r="N15600">
        <v>0</v>
      </c>
    </row>
    <row r="15601" spans="1:14">
      <c r="A15601" t="s">
        <v>49735</v>
      </c>
      <c r="B15601" t="s">
        <v>367</v>
      </c>
      <c r="C15601" t="s">
        <v>14093</v>
      </c>
      <c r="D15601" t="s">
        <v>49736</v>
      </c>
      <c r="E15601" t="b">
        <v>0</v>
      </c>
      <c r="F15601" t="s">
        <v>11610</v>
      </c>
      <c r="L15601">
        <v>0</v>
      </c>
      <c r="M15601">
        <v>0</v>
      </c>
      <c r="N15601">
        <v>0</v>
      </c>
    </row>
    <row r="15602" spans="1:14">
      <c r="A15602" t="s">
        <v>49737</v>
      </c>
      <c r="B15602" t="s">
        <v>367</v>
      </c>
      <c r="C15602" t="s">
        <v>14618</v>
      </c>
      <c r="D15602" t="s">
        <v>49738</v>
      </c>
      <c r="E15602" t="b">
        <v>0</v>
      </c>
      <c r="F15602" t="s">
        <v>11610</v>
      </c>
      <c r="L15602">
        <v>0</v>
      </c>
      <c r="M15602">
        <v>0</v>
      </c>
      <c r="N15602">
        <v>0</v>
      </c>
    </row>
    <row r="15603" spans="1:14">
      <c r="A15603" t="s">
        <v>49739</v>
      </c>
      <c r="B15603" t="s">
        <v>367</v>
      </c>
      <c r="C15603" t="s">
        <v>12383</v>
      </c>
      <c r="D15603" t="s">
        <v>49740</v>
      </c>
      <c r="E15603" t="b">
        <v>0</v>
      </c>
      <c r="F15603" t="s">
        <v>11610</v>
      </c>
      <c r="L15603">
        <v>0</v>
      </c>
      <c r="M15603">
        <v>0</v>
      </c>
      <c r="N15603">
        <v>0</v>
      </c>
    </row>
    <row r="15604" spans="1:14">
      <c r="A15604" t="s">
        <v>49741</v>
      </c>
      <c r="B15604" t="s">
        <v>367</v>
      </c>
      <c r="C15604" t="s">
        <v>17502</v>
      </c>
      <c r="D15604" t="s">
        <v>49742</v>
      </c>
      <c r="E15604" t="b">
        <v>0</v>
      </c>
      <c r="F15604" t="s">
        <v>11610</v>
      </c>
      <c r="L15604">
        <v>0</v>
      </c>
      <c r="M15604">
        <v>0</v>
      </c>
      <c r="N15604">
        <v>0</v>
      </c>
    </row>
    <row r="15605" spans="1:14">
      <c r="A15605" t="s">
        <v>49743</v>
      </c>
      <c r="B15605" t="s">
        <v>367</v>
      </c>
      <c r="C15605" t="s">
        <v>14440</v>
      </c>
      <c r="D15605" t="s">
        <v>49744</v>
      </c>
      <c r="E15605" t="b">
        <v>0</v>
      </c>
      <c r="F15605" t="s">
        <v>11610</v>
      </c>
      <c r="L15605">
        <v>0</v>
      </c>
      <c r="M15605">
        <v>0</v>
      </c>
      <c r="N15605">
        <v>0</v>
      </c>
    </row>
    <row r="15606" spans="1:14">
      <c r="A15606" t="s">
        <v>49745</v>
      </c>
      <c r="B15606" t="s">
        <v>367</v>
      </c>
      <c r="C15606" t="s">
        <v>23861</v>
      </c>
      <c r="D15606" t="s">
        <v>49746</v>
      </c>
      <c r="E15606" t="b">
        <v>0</v>
      </c>
      <c r="F15606" t="s">
        <v>11610</v>
      </c>
      <c r="L15606">
        <v>0</v>
      </c>
      <c r="M15606">
        <v>0</v>
      </c>
      <c r="N15606">
        <v>0</v>
      </c>
    </row>
    <row r="15607" spans="1:14">
      <c r="A15607" t="s">
        <v>49747</v>
      </c>
      <c r="B15607" t="s">
        <v>367</v>
      </c>
      <c r="C15607" t="s">
        <v>49748</v>
      </c>
      <c r="D15607" t="s">
        <v>49749</v>
      </c>
      <c r="E15607" t="b">
        <v>0</v>
      </c>
      <c r="F15607" t="s">
        <v>11610</v>
      </c>
      <c r="L15607">
        <v>0</v>
      </c>
      <c r="M15607">
        <v>0</v>
      </c>
      <c r="N15607">
        <v>0</v>
      </c>
    </row>
    <row r="15608" spans="1:14">
      <c r="A15608" t="s">
        <v>10809</v>
      </c>
      <c r="B15608" t="s">
        <v>367</v>
      </c>
      <c r="C15608" t="s">
        <v>10853</v>
      </c>
      <c r="D15608" t="s">
        <v>49750</v>
      </c>
      <c r="E15608" t="b">
        <v>0</v>
      </c>
      <c r="F15608" t="s">
        <v>11610</v>
      </c>
      <c r="L15608">
        <v>0</v>
      </c>
      <c r="M15608">
        <v>0</v>
      </c>
      <c r="N15608">
        <v>0</v>
      </c>
    </row>
    <row r="15609" spans="1:14">
      <c r="A15609" t="s">
        <v>49751</v>
      </c>
      <c r="B15609" t="s">
        <v>367</v>
      </c>
      <c r="C15609" t="s">
        <v>18462</v>
      </c>
      <c r="D15609" t="s">
        <v>49752</v>
      </c>
      <c r="E15609" t="b">
        <v>0</v>
      </c>
      <c r="F15609" t="s">
        <v>11610</v>
      </c>
      <c r="L15609">
        <v>0</v>
      </c>
      <c r="M15609">
        <v>0</v>
      </c>
      <c r="N15609">
        <v>0</v>
      </c>
    </row>
    <row r="15610" spans="1:14">
      <c r="A15610" t="s">
        <v>49753</v>
      </c>
      <c r="B15610" t="s">
        <v>367</v>
      </c>
      <c r="C15610" t="s">
        <v>49754</v>
      </c>
      <c r="D15610" t="s">
        <v>49755</v>
      </c>
      <c r="E15610" t="b">
        <v>0</v>
      </c>
      <c r="F15610" t="s">
        <v>11610</v>
      </c>
      <c r="L15610">
        <v>0</v>
      </c>
      <c r="M15610">
        <v>0</v>
      </c>
      <c r="N15610">
        <v>0</v>
      </c>
    </row>
    <row r="15611" spans="1:14">
      <c r="A15611" t="s">
        <v>49756</v>
      </c>
      <c r="B15611" t="s">
        <v>367</v>
      </c>
      <c r="C15611" t="s">
        <v>31294</v>
      </c>
      <c r="D15611" t="s">
        <v>49757</v>
      </c>
      <c r="E15611" t="b">
        <v>0</v>
      </c>
      <c r="F15611" t="s">
        <v>11610</v>
      </c>
      <c r="L15611">
        <v>0</v>
      </c>
      <c r="M15611">
        <v>0</v>
      </c>
      <c r="N15611">
        <v>0</v>
      </c>
    </row>
    <row r="15612" spans="1:14">
      <c r="A15612" t="s">
        <v>49758</v>
      </c>
      <c r="B15612" t="s">
        <v>367</v>
      </c>
      <c r="C15612" t="s">
        <v>38132</v>
      </c>
      <c r="D15612" t="s">
        <v>49759</v>
      </c>
      <c r="E15612" t="b">
        <v>0</v>
      </c>
      <c r="F15612" t="s">
        <v>11610</v>
      </c>
      <c r="L15612">
        <v>0</v>
      </c>
      <c r="M15612">
        <v>0</v>
      </c>
      <c r="N15612">
        <v>0</v>
      </c>
    </row>
    <row r="15613" spans="1:14">
      <c r="A15613" t="s">
        <v>49760</v>
      </c>
      <c r="B15613" t="s">
        <v>367</v>
      </c>
      <c r="C15613" t="s">
        <v>38710</v>
      </c>
      <c r="D15613" t="s">
        <v>49761</v>
      </c>
      <c r="E15613" t="b">
        <v>0</v>
      </c>
      <c r="F15613" t="s">
        <v>11610</v>
      </c>
      <c r="L15613">
        <v>0</v>
      </c>
      <c r="M15613">
        <v>0</v>
      </c>
      <c r="N15613">
        <v>0</v>
      </c>
    </row>
    <row r="15614" spans="1:14">
      <c r="A15614" t="s">
        <v>14052</v>
      </c>
      <c r="B15614" t="s">
        <v>367</v>
      </c>
      <c r="C15614" t="s">
        <v>49762</v>
      </c>
      <c r="D15614" t="s">
        <v>49763</v>
      </c>
      <c r="E15614" t="b">
        <v>0</v>
      </c>
      <c r="F15614" t="s">
        <v>11622</v>
      </c>
      <c r="L15614">
        <v>16</v>
      </c>
      <c r="M15614">
        <v>36</v>
      </c>
      <c r="N15614">
        <v>47</v>
      </c>
    </row>
    <row r="15615" spans="1:14">
      <c r="A15615" t="s">
        <v>49764</v>
      </c>
      <c r="B15615" t="s">
        <v>367</v>
      </c>
      <c r="C15615" t="s">
        <v>15110</v>
      </c>
      <c r="D15615" t="s">
        <v>49765</v>
      </c>
      <c r="E15615" t="b">
        <v>0</v>
      </c>
      <c r="F15615" t="s">
        <v>11610</v>
      </c>
      <c r="L15615">
        <v>0</v>
      </c>
      <c r="M15615">
        <v>0</v>
      </c>
      <c r="N15615">
        <v>0</v>
      </c>
    </row>
    <row r="15616" spans="1:14">
      <c r="A15616" t="s">
        <v>49766</v>
      </c>
      <c r="B15616" t="s">
        <v>367</v>
      </c>
      <c r="C15616" t="s">
        <v>49767</v>
      </c>
      <c r="D15616" t="s">
        <v>49768</v>
      </c>
      <c r="E15616" t="b">
        <v>0</v>
      </c>
      <c r="F15616" t="s">
        <v>11610</v>
      </c>
      <c r="G15616">
        <v>-18.134561999999999</v>
      </c>
      <c r="H15616">
        <v>177.53896900000001</v>
      </c>
      <c r="L15616">
        <v>0</v>
      </c>
      <c r="M15616">
        <v>0</v>
      </c>
      <c r="N15616">
        <v>0</v>
      </c>
    </row>
    <row r="15617" spans="1:14">
      <c r="A15617" t="s">
        <v>49769</v>
      </c>
      <c r="B15617" t="s">
        <v>367</v>
      </c>
      <c r="C15617" t="s">
        <v>49770</v>
      </c>
      <c r="D15617" t="s">
        <v>49771</v>
      </c>
      <c r="E15617" t="b">
        <v>0</v>
      </c>
      <c r="F15617" t="s">
        <v>11610</v>
      </c>
      <c r="L15617">
        <v>0</v>
      </c>
      <c r="M15617">
        <v>0</v>
      </c>
      <c r="N15617">
        <v>0</v>
      </c>
    </row>
    <row r="15618" spans="1:14">
      <c r="A15618" t="s">
        <v>49772</v>
      </c>
      <c r="B15618" t="s">
        <v>367</v>
      </c>
      <c r="C15618" t="s">
        <v>17128</v>
      </c>
      <c r="D15618" t="s">
        <v>49773</v>
      </c>
      <c r="E15618" t="b">
        <v>0</v>
      </c>
      <c r="F15618" t="s">
        <v>11610</v>
      </c>
      <c r="L15618">
        <v>0</v>
      </c>
      <c r="M15618">
        <v>0</v>
      </c>
      <c r="N15618">
        <v>0</v>
      </c>
    </row>
    <row r="15619" spans="1:14">
      <c r="A15619" t="s">
        <v>49774</v>
      </c>
      <c r="B15619" t="s">
        <v>367</v>
      </c>
      <c r="C15619" t="s">
        <v>49775</v>
      </c>
      <c r="D15619" t="s">
        <v>49776</v>
      </c>
      <c r="E15619" t="b">
        <v>0</v>
      </c>
      <c r="F15619" t="s">
        <v>11610</v>
      </c>
      <c r="L15619">
        <v>0</v>
      </c>
      <c r="M15619">
        <v>0</v>
      </c>
      <c r="N15619">
        <v>0</v>
      </c>
    </row>
    <row r="15620" spans="1:14">
      <c r="A15620" t="s">
        <v>49777</v>
      </c>
      <c r="B15620" t="s">
        <v>367</v>
      </c>
      <c r="C15620" t="s">
        <v>37328</v>
      </c>
      <c r="D15620" t="s">
        <v>49778</v>
      </c>
      <c r="E15620" t="b">
        <v>0</v>
      </c>
      <c r="F15620" t="s">
        <v>11610</v>
      </c>
      <c r="L15620">
        <v>0</v>
      </c>
      <c r="M15620">
        <v>0</v>
      </c>
      <c r="N15620">
        <v>0</v>
      </c>
    </row>
    <row r="15621" spans="1:14">
      <c r="A15621" t="s">
        <v>49779</v>
      </c>
      <c r="B15621" t="s">
        <v>367</v>
      </c>
      <c r="C15621" t="s">
        <v>17039</v>
      </c>
      <c r="D15621" t="s">
        <v>49780</v>
      </c>
      <c r="E15621" t="b">
        <v>0</v>
      </c>
      <c r="F15621" t="s">
        <v>11610</v>
      </c>
      <c r="L15621">
        <v>0</v>
      </c>
      <c r="M15621">
        <v>0</v>
      </c>
      <c r="N15621">
        <v>0</v>
      </c>
    </row>
    <row r="15622" spans="1:14">
      <c r="A15622" t="s">
        <v>49781</v>
      </c>
      <c r="B15622" t="s">
        <v>367</v>
      </c>
      <c r="C15622" t="s">
        <v>29187</v>
      </c>
      <c r="D15622" t="s">
        <v>49782</v>
      </c>
      <c r="E15622" t="b">
        <v>0</v>
      </c>
      <c r="F15622" t="s">
        <v>11610</v>
      </c>
      <c r="L15622">
        <v>0</v>
      </c>
      <c r="M15622">
        <v>0</v>
      </c>
      <c r="N15622">
        <v>0</v>
      </c>
    </row>
    <row r="15623" spans="1:14">
      <c r="A15623" t="s">
        <v>49783</v>
      </c>
      <c r="B15623" t="s">
        <v>367</v>
      </c>
      <c r="C15623" t="s">
        <v>15251</v>
      </c>
      <c r="D15623" t="s">
        <v>49784</v>
      </c>
      <c r="E15623" t="b">
        <v>0</v>
      </c>
      <c r="F15623" t="s">
        <v>11610</v>
      </c>
      <c r="L15623">
        <v>0</v>
      </c>
      <c r="M15623">
        <v>0</v>
      </c>
      <c r="N15623">
        <v>0</v>
      </c>
    </row>
    <row r="15624" spans="1:14">
      <c r="A15624" t="s">
        <v>49785</v>
      </c>
      <c r="B15624" t="s">
        <v>367</v>
      </c>
      <c r="C15624" t="s">
        <v>49786</v>
      </c>
      <c r="D15624" t="s">
        <v>49787</v>
      </c>
      <c r="E15624" t="b">
        <v>0</v>
      </c>
      <c r="F15624" t="s">
        <v>11610</v>
      </c>
      <c r="L15624">
        <v>0</v>
      </c>
      <c r="M15624">
        <v>0</v>
      </c>
      <c r="N15624">
        <v>0</v>
      </c>
    </row>
    <row r="15625" spans="1:14">
      <c r="A15625" t="s">
        <v>49788</v>
      </c>
      <c r="B15625" t="s">
        <v>367</v>
      </c>
      <c r="C15625" t="s">
        <v>46994</v>
      </c>
      <c r="D15625" t="s">
        <v>49789</v>
      </c>
      <c r="E15625" t="b">
        <v>0</v>
      </c>
      <c r="F15625" t="s">
        <v>11610</v>
      </c>
      <c r="L15625">
        <v>0</v>
      </c>
      <c r="M15625">
        <v>0</v>
      </c>
      <c r="N15625">
        <v>0</v>
      </c>
    </row>
    <row r="15626" spans="1:14">
      <c r="A15626" t="s">
        <v>49790</v>
      </c>
      <c r="B15626" t="s">
        <v>367</v>
      </c>
      <c r="C15626" t="s">
        <v>19227</v>
      </c>
      <c r="D15626" t="s">
        <v>49791</v>
      </c>
      <c r="E15626" t="b">
        <v>0</v>
      </c>
      <c r="F15626" t="s">
        <v>11610</v>
      </c>
      <c r="L15626">
        <v>0</v>
      </c>
      <c r="M15626">
        <v>0</v>
      </c>
      <c r="N15626">
        <v>0</v>
      </c>
    </row>
    <row r="15627" spans="1:14">
      <c r="A15627" t="s">
        <v>49792</v>
      </c>
      <c r="B15627" t="s">
        <v>367</v>
      </c>
      <c r="C15627" t="s">
        <v>37562</v>
      </c>
      <c r="D15627" t="s">
        <v>49793</v>
      </c>
      <c r="E15627" t="b">
        <v>0</v>
      </c>
      <c r="F15627" t="s">
        <v>11610</v>
      </c>
      <c r="L15627">
        <v>0</v>
      </c>
      <c r="M15627">
        <v>0</v>
      </c>
      <c r="N15627">
        <v>0</v>
      </c>
    </row>
    <row r="15628" spans="1:14">
      <c r="A15628" t="s">
        <v>49794</v>
      </c>
      <c r="B15628" t="s">
        <v>367</v>
      </c>
      <c r="C15628" t="s">
        <v>19402</v>
      </c>
      <c r="D15628" t="s">
        <v>49795</v>
      </c>
      <c r="E15628" t="b">
        <v>0</v>
      </c>
      <c r="F15628" t="s">
        <v>11610</v>
      </c>
      <c r="L15628">
        <v>0</v>
      </c>
      <c r="M15628">
        <v>0</v>
      </c>
      <c r="N15628">
        <v>0</v>
      </c>
    </row>
    <row r="15629" spans="1:14">
      <c r="A15629" t="s">
        <v>49796</v>
      </c>
      <c r="B15629" t="s">
        <v>367</v>
      </c>
      <c r="C15629" t="s">
        <v>28430</v>
      </c>
      <c r="D15629" t="s">
        <v>49797</v>
      </c>
      <c r="E15629" t="b">
        <v>0</v>
      </c>
      <c r="F15629" t="s">
        <v>11610</v>
      </c>
      <c r="L15629">
        <v>0</v>
      </c>
      <c r="M15629">
        <v>0</v>
      </c>
      <c r="N15629">
        <v>0</v>
      </c>
    </row>
    <row r="15630" spans="1:14">
      <c r="A15630" t="s">
        <v>49798</v>
      </c>
      <c r="B15630" t="s">
        <v>367</v>
      </c>
      <c r="C15630" t="s">
        <v>40449</v>
      </c>
      <c r="D15630" t="s">
        <v>49799</v>
      </c>
      <c r="E15630" t="b">
        <v>0</v>
      </c>
      <c r="F15630" t="s">
        <v>11610</v>
      </c>
      <c r="L15630">
        <v>0</v>
      </c>
      <c r="M15630">
        <v>0</v>
      </c>
      <c r="N15630">
        <v>0</v>
      </c>
    </row>
    <row r="15631" spans="1:14">
      <c r="A15631" t="s">
        <v>49800</v>
      </c>
      <c r="B15631" t="s">
        <v>367</v>
      </c>
      <c r="C15631" t="s">
        <v>16925</v>
      </c>
      <c r="D15631" t="s">
        <v>49801</v>
      </c>
      <c r="E15631" t="b">
        <v>0</v>
      </c>
      <c r="F15631" t="s">
        <v>11610</v>
      </c>
      <c r="L15631">
        <v>0</v>
      </c>
      <c r="M15631">
        <v>0</v>
      </c>
      <c r="N15631">
        <v>0</v>
      </c>
    </row>
    <row r="15632" spans="1:14">
      <c r="A15632" t="s">
        <v>49802</v>
      </c>
      <c r="B15632" t="s">
        <v>367</v>
      </c>
      <c r="C15632" t="s">
        <v>14606</v>
      </c>
      <c r="D15632" t="s">
        <v>49803</v>
      </c>
      <c r="E15632" t="b">
        <v>0</v>
      </c>
      <c r="F15632" t="s">
        <v>11610</v>
      </c>
      <c r="L15632">
        <v>0</v>
      </c>
      <c r="M15632">
        <v>0</v>
      </c>
      <c r="N15632">
        <v>0</v>
      </c>
    </row>
    <row r="15633" spans="1:14">
      <c r="A15633" t="s">
        <v>38262</v>
      </c>
      <c r="B15633" t="s">
        <v>367</v>
      </c>
      <c r="C15633" t="s">
        <v>11657</v>
      </c>
      <c r="D15633" t="s">
        <v>49804</v>
      </c>
      <c r="E15633" t="b">
        <v>0</v>
      </c>
      <c r="F15633" t="s">
        <v>11622</v>
      </c>
      <c r="L15633">
        <v>0</v>
      </c>
      <c r="M15633">
        <v>5</v>
      </c>
      <c r="N15633">
        <v>7</v>
      </c>
    </row>
    <row r="15634" spans="1:14">
      <c r="A15634" t="s">
        <v>49805</v>
      </c>
      <c r="B15634" t="s">
        <v>367</v>
      </c>
      <c r="C15634" t="s">
        <v>49806</v>
      </c>
      <c r="D15634" t="s">
        <v>49807</v>
      </c>
      <c r="E15634" t="b">
        <v>0</v>
      </c>
      <c r="F15634" t="s">
        <v>11610</v>
      </c>
      <c r="L15634">
        <v>0</v>
      </c>
      <c r="M15634">
        <v>0</v>
      </c>
      <c r="N15634">
        <v>0</v>
      </c>
    </row>
    <row r="15635" spans="1:14">
      <c r="A15635" t="s">
        <v>49808</v>
      </c>
      <c r="B15635" t="s">
        <v>367</v>
      </c>
      <c r="C15635" t="s">
        <v>7452</v>
      </c>
      <c r="D15635" t="s">
        <v>49809</v>
      </c>
      <c r="E15635" t="b">
        <v>0</v>
      </c>
      <c r="F15635" t="s">
        <v>11610</v>
      </c>
      <c r="L15635">
        <v>0</v>
      </c>
      <c r="M15635">
        <v>0</v>
      </c>
      <c r="N15635">
        <v>0</v>
      </c>
    </row>
    <row r="15636" spans="1:14">
      <c r="A15636" t="s">
        <v>49810</v>
      </c>
      <c r="B15636" t="s">
        <v>367</v>
      </c>
      <c r="C15636" t="s">
        <v>42071</v>
      </c>
      <c r="D15636" t="s">
        <v>49811</v>
      </c>
      <c r="E15636" t="b">
        <v>0</v>
      </c>
      <c r="F15636" t="s">
        <v>11610</v>
      </c>
      <c r="L15636">
        <v>0</v>
      </c>
      <c r="M15636">
        <v>0</v>
      </c>
      <c r="N15636">
        <v>0</v>
      </c>
    </row>
    <row r="15637" spans="1:14">
      <c r="A15637" t="s">
        <v>18572</v>
      </c>
      <c r="B15637" t="s">
        <v>367</v>
      </c>
      <c r="C15637" t="s">
        <v>14897</v>
      </c>
      <c r="D15637" t="s">
        <v>49812</v>
      </c>
      <c r="E15637" t="b">
        <v>0</v>
      </c>
      <c r="F15637" t="s">
        <v>11622</v>
      </c>
      <c r="L15637">
        <v>0</v>
      </c>
      <c r="M15637">
        <v>5</v>
      </c>
      <c r="N15637">
        <v>5</v>
      </c>
    </row>
    <row r="15638" spans="1:14">
      <c r="A15638" t="s">
        <v>49813</v>
      </c>
      <c r="B15638" t="s">
        <v>367</v>
      </c>
      <c r="C15638" t="s">
        <v>42360</v>
      </c>
      <c r="D15638" t="s">
        <v>49814</v>
      </c>
      <c r="E15638" t="b">
        <v>0</v>
      </c>
      <c r="F15638" t="s">
        <v>11610</v>
      </c>
      <c r="L15638">
        <v>0</v>
      </c>
      <c r="M15638">
        <v>0</v>
      </c>
      <c r="N15638">
        <v>0</v>
      </c>
    </row>
    <row r="15639" spans="1:14">
      <c r="A15639" t="s">
        <v>49815</v>
      </c>
      <c r="B15639" t="s">
        <v>367</v>
      </c>
      <c r="C15639" t="s">
        <v>28714</v>
      </c>
      <c r="D15639" t="s">
        <v>49816</v>
      </c>
      <c r="E15639" t="b">
        <v>0</v>
      </c>
      <c r="F15639" t="s">
        <v>11610</v>
      </c>
      <c r="L15639">
        <v>0</v>
      </c>
      <c r="M15639">
        <v>0</v>
      </c>
      <c r="N15639">
        <v>0</v>
      </c>
    </row>
    <row r="15640" spans="1:14">
      <c r="A15640" t="s">
        <v>49817</v>
      </c>
      <c r="B15640" t="s">
        <v>367</v>
      </c>
      <c r="C15640" t="s">
        <v>42075</v>
      </c>
      <c r="D15640" t="s">
        <v>49818</v>
      </c>
      <c r="E15640" t="b">
        <v>0</v>
      </c>
      <c r="F15640" t="s">
        <v>11610</v>
      </c>
      <c r="L15640">
        <v>0</v>
      </c>
      <c r="M15640">
        <v>0</v>
      </c>
      <c r="N15640">
        <v>0</v>
      </c>
    </row>
    <row r="15641" spans="1:14">
      <c r="A15641" t="s">
        <v>49819</v>
      </c>
      <c r="B15641" t="s">
        <v>367</v>
      </c>
      <c r="C15641" t="s">
        <v>28608</v>
      </c>
      <c r="D15641" t="s">
        <v>49820</v>
      </c>
      <c r="E15641" t="b">
        <v>0</v>
      </c>
      <c r="F15641" t="s">
        <v>11610</v>
      </c>
      <c r="L15641">
        <v>0</v>
      </c>
      <c r="M15641">
        <v>0</v>
      </c>
      <c r="N15641">
        <v>0</v>
      </c>
    </row>
    <row r="15642" spans="1:14">
      <c r="A15642" t="s">
        <v>49821</v>
      </c>
      <c r="B15642" t="s">
        <v>367</v>
      </c>
      <c r="C15642" t="s">
        <v>31479</v>
      </c>
      <c r="D15642" t="s">
        <v>49822</v>
      </c>
      <c r="E15642" t="b">
        <v>0</v>
      </c>
      <c r="F15642" t="s">
        <v>11610</v>
      </c>
      <c r="L15642">
        <v>0</v>
      </c>
      <c r="M15642">
        <v>0</v>
      </c>
      <c r="N15642">
        <v>0</v>
      </c>
    </row>
    <row r="15643" spans="1:14">
      <c r="A15643" t="s">
        <v>49823</v>
      </c>
      <c r="B15643" t="s">
        <v>367</v>
      </c>
      <c r="C15643" t="s">
        <v>46434</v>
      </c>
      <c r="D15643" t="s">
        <v>49824</v>
      </c>
      <c r="E15643" t="b">
        <v>0</v>
      </c>
      <c r="F15643" t="s">
        <v>11610</v>
      </c>
      <c r="L15643">
        <v>0</v>
      </c>
      <c r="M15643">
        <v>0</v>
      </c>
      <c r="N15643">
        <v>0</v>
      </c>
    </row>
    <row r="15644" spans="1:14">
      <c r="A15644" t="s">
        <v>49825</v>
      </c>
      <c r="B15644" t="s">
        <v>367</v>
      </c>
      <c r="C15644" t="s">
        <v>18637</v>
      </c>
      <c r="D15644" t="s">
        <v>49826</v>
      </c>
      <c r="E15644" t="b">
        <v>0</v>
      </c>
      <c r="F15644" t="s">
        <v>11610</v>
      </c>
      <c r="L15644">
        <v>0</v>
      </c>
      <c r="M15644">
        <v>0</v>
      </c>
      <c r="N15644">
        <v>0</v>
      </c>
    </row>
    <row r="15645" spans="1:14">
      <c r="A15645" t="s">
        <v>49827</v>
      </c>
      <c r="B15645" t="s">
        <v>367</v>
      </c>
      <c r="C15645" t="s">
        <v>39553</v>
      </c>
      <c r="D15645" t="s">
        <v>49828</v>
      </c>
      <c r="E15645" t="b">
        <v>0</v>
      </c>
      <c r="F15645" t="s">
        <v>11610</v>
      </c>
      <c r="L15645">
        <v>0</v>
      </c>
      <c r="M15645">
        <v>0</v>
      </c>
      <c r="N15645">
        <v>0</v>
      </c>
    </row>
    <row r="15646" spans="1:14">
      <c r="A15646" t="s">
        <v>49829</v>
      </c>
      <c r="B15646" t="s">
        <v>367</v>
      </c>
      <c r="C15646" t="s">
        <v>49830</v>
      </c>
      <c r="D15646" t="s">
        <v>49831</v>
      </c>
      <c r="E15646" t="b">
        <v>0</v>
      </c>
      <c r="F15646" t="s">
        <v>11610</v>
      </c>
      <c r="L15646">
        <v>0</v>
      </c>
      <c r="M15646">
        <v>0</v>
      </c>
      <c r="N15646">
        <v>0</v>
      </c>
    </row>
    <row r="15647" spans="1:14">
      <c r="A15647" t="s">
        <v>49832</v>
      </c>
      <c r="B15647" t="s">
        <v>367</v>
      </c>
      <c r="C15647" t="s">
        <v>5574</v>
      </c>
      <c r="D15647" t="s">
        <v>49833</v>
      </c>
      <c r="E15647" t="b">
        <v>0</v>
      </c>
      <c r="F15647" t="s">
        <v>11610</v>
      </c>
      <c r="L15647">
        <v>0</v>
      </c>
      <c r="M15647">
        <v>0</v>
      </c>
      <c r="N15647">
        <v>0</v>
      </c>
    </row>
    <row r="15648" spans="1:14">
      <c r="A15648" t="s">
        <v>49834</v>
      </c>
      <c r="B15648" t="s">
        <v>367</v>
      </c>
      <c r="C15648" t="s">
        <v>16927</v>
      </c>
      <c r="D15648" t="s">
        <v>49835</v>
      </c>
      <c r="E15648" t="b">
        <v>0</v>
      </c>
      <c r="F15648" t="s">
        <v>11610</v>
      </c>
      <c r="L15648">
        <v>0</v>
      </c>
      <c r="M15648">
        <v>0</v>
      </c>
      <c r="N15648">
        <v>0</v>
      </c>
    </row>
    <row r="15649" spans="1:14">
      <c r="A15649" t="s">
        <v>49836</v>
      </c>
      <c r="B15649" t="s">
        <v>367</v>
      </c>
      <c r="C15649" t="s">
        <v>40522</v>
      </c>
      <c r="D15649" t="s">
        <v>49837</v>
      </c>
      <c r="E15649" t="b">
        <v>0</v>
      </c>
      <c r="F15649" t="s">
        <v>11610</v>
      </c>
      <c r="L15649">
        <v>0</v>
      </c>
      <c r="M15649">
        <v>0</v>
      </c>
      <c r="N15649">
        <v>0</v>
      </c>
    </row>
    <row r="15650" spans="1:14">
      <c r="A15650" t="s">
        <v>49838</v>
      </c>
      <c r="B15650" t="s">
        <v>367</v>
      </c>
      <c r="C15650" t="s">
        <v>41865</v>
      </c>
      <c r="D15650" t="s">
        <v>49839</v>
      </c>
      <c r="E15650" t="b">
        <v>0</v>
      </c>
      <c r="F15650" t="s">
        <v>11610</v>
      </c>
      <c r="L15650">
        <v>0</v>
      </c>
      <c r="M15650">
        <v>0</v>
      </c>
      <c r="N15650">
        <v>0</v>
      </c>
    </row>
    <row r="15651" spans="1:14">
      <c r="A15651" t="s">
        <v>49840</v>
      </c>
      <c r="B15651" t="s">
        <v>367</v>
      </c>
      <c r="C15651" t="s">
        <v>40311</v>
      </c>
      <c r="D15651" t="s">
        <v>49841</v>
      </c>
      <c r="E15651" t="b">
        <v>0</v>
      </c>
      <c r="F15651" t="s">
        <v>11610</v>
      </c>
      <c r="L15651">
        <v>0</v>
      </c>
      <c r="M15651">
        <v>0</v>
      </c>
      <c r="N15651">
        <v>0</v>
      </c>
    </row>
    <row r="15652" spans="1:14">
      <c r="A15652" t="s">
        <v>49842</v>
      </c>
      <c r="B15652" t="s">
        <v>367</v>
      </c>
      <c r="C15652" t="s">
        <v>35606</v>
      </c>
      <c r="D15652" t="s">
        <v>49843</v>
      </c>
      <c r="E15652" t="b">
        <v>0</v>
      </c>
      <c r="F15652" t="s">
        <v>11610</v>
      </c>
      <c r="L15652">
        <v>0</v>
      </c>
      <c r="M15652">
        <v>0</v>
      </c>
      <c r="N15652">
        <v>0</v>
      </c>
    </row>
    <row r="15653" spans="1:14">
      <c r="A15653" t="s">
        <v>49844</v>
      </c>
      <c r="B15653" t="s">
        <v>367</v>
      </c>
      <c r="C15653" t="s">
        <v>40040</v>
      </c>
      <c r="D15653" t="s">
        <v>49845</v>
      </c>
      <c r="E15653" t="b">
        <v>0</v>
      </c>
      <c r="F15653" t="s">
        <v>11610</v>
      </c>
      <c r="L15653">
        <v>0</v>
      </c>
      <c r="M15653">
        <v>0</v>
      </c>
      <c r="N15653">
        <v>0</v>
      </c>
    </row>
    <row r="15654" spans="1:14">
      <c r="A15654" t="s">
        <v>49846</v>
      </c>
      <c r="B15654" t="s">
        <v>367</v>
      </c>
      <c r="C15654" t="s">
        <v>31138</v>
      </c>
      <c r="D15654" t="s">
        <v>49847</v>
      </c>
      <c r="E15654" t="b">
        <v>0</v>
      </c>
      <c r="F15654" t="s">
        <v>11610</v>
      </c>
      <c r="L15654">
        <v>0</v>
      </c>
      <c r="M15654">
        <v>0</v>
      </c>
      <c r="N15654">
        <v>0</v>
      </c>
    </row>
    <row r="15655" spans="1:14">
      <c r="A15655" t="s">
        <v>49848</v>
      </c>
      <c r="B15655" t="s">
        <v>367</v>
      </c>
      <c r="C15655" t="s">
        <v>30850</v>
      </c>
      <c r="D15655" t="s">
        <v>49849</v>
      </c>
      <c r="E15655" t="b">
        <v>0</v>
      </c>
      <c r="F15655" t="s">
        <v>11610</v>
      </c>
      <c r="L15655">
        <v>0</v>
      </c>
      <c r="M15655">
        <v>0</v>
      </c>
      <c r="N15655">
        <v>0</v>
      </c>
    </row>
    <row r="15656" spans="1:14">
      <c r="A15656" t="s">
        <v>49850</v>
      </c>
      <c r="B15656" t="s">
        <v>367</v>
      </c>
      <c r="C15656" t="s">
        <v>14805</v>
      </c>
      <c r="D15656" t="s">
        <v>49851</v>
      </c>
      <c r="E15656" t="b">
        <v>0</v>
      </c>
      <c r="F15656" t="s">
        <v>11610</v>
      </c>
      <c r="L15656">
        <v>0</v>
      </c>
      <c r="M15656">
        <v>0</v>
      </c>
      <c r="N15656">
        <v>0</v>
      </c>
    </row>
    <row r="15657" spans="1:14">
      <c r="A15657" t="s">
        <v>49852</v>
      </c>
      <c r="B15657" t="s">
        <v>367</v>
      </c>
      <c r="C15657" t="s">
        <v>17468</v>
      </c>
      <c r="D15657" t="s">
        <v>49853</v>
      </c>
      <c r="E15657" t="b">
        <v>0</v>
      </c>
      <c r="F15657" t="s">
        <v>11610</v>
      </c>
      <c r="L15657">
        <v>0</v>
      </c>
      <c r="M15657">
        <v>0</v>
      </c>
      <c r="N15657">
        <v>0</v>
      </c>
    </row>
    <row r="15658" spans="1:14">
      <c r="A15658" t="s">
        <v>49854</v>
      </c>
      <c r="B15658" t="s">
        <v>367</v>
      </c>
      <c r="C15658" t="s">
        <v>16220</v>
      </c>
      <c r="D15658" t="s">
        <v>49855</v>
      </c>
      <c r="E15658" t="b">
        <v>0</v>
      </c>
      <c r="F15658" t="s">
        <v>11610</v>
      </c>
      <c r="L15658">
        <v>0</v>
      </c>
      <c r="M15658">
        <v>0</v>
      </c>
      <c r="N15658">
        <v>0</v>
      </c>
    </row>
    <row r="15659" spans="1:14">
      <c r="A15659" t="s">
        <v>26659</v>
      </c>
      <c r="B15659" t="s">
        <v>367</v>
      </c>
      <c r="C15659" t="s">
        <v>39143</v>
      </c>
      <c r="D15659" t="s">
        <v>49856</v>
      </c>
      <c r="E15659" t="b">
        <v>0</v>
      </c>
      <c r="F15659" t="s">
        <v>11610</v>
      </c>
      <c r="L15659">
        <v>0</v>
      </c>
      <c r="M15659">
        <v>0</v>
      </c>
      <c r="N15659">
        <v>10</v>
      </c>
    </row>
    <row r="15660" spans="1:14">
      <c r="A15660" t="s">
        <v>49857</v>
      </c>
      <c r="B15660" t="s">
        <v>367</v>
      </c>
      <c r="C15660" t="s">
        <v>21999</v>
      </c>
      <c r="D15660" t="s">
        <v>49858</v>
      </c>
      <c r="E15660" t="b">
        <v>0</v>
      </c>
      <c r="F15660" t="s">
        <v>11610</v>
      </c>
      <c r="L15660">
        <v>0</v>
      </c>
      <c r="M15660">
        <v>0</v>
      </c>
      <c r="N15660">
        <v>0</v>
      </c>
    </row>
    <row r="15661" spans="1:14">
      <c r="A15661" t="s">
        <v>39091</v>
      </c>
      <c r="B15661" t="s">
        <v>367</v>
      </c>
      <c r="C15661" t="s">
        <v>41031</v>
      </c>
      <c r="D15661" t="s">
        <v>49859</v>
      </c>
      <c r="E15661" t="b">
        <v>0</v>
      </c>
      <c r="F15661" t="s">
        <v>11610</v>
      </c>
      <c r="L15661">
        <v>0</v>
      </c>
      <c r="M15661">
        <v>0</v>
      </c>
      <c r="N15661">
        <v>4</v>
      </c>
    </row>
    <row r="15662" spans="1:14">
      <c r="A15662" t="s">
        <v>49860</v>
      </c>
      <c r="B15662" t="s">
        <v>367</v>
      </c>
      <c r="C15662" t="s">
        <v>18575</v>
      </c>
      <c r="D15662" t="s">
        <v>49861</v>
      </c>
      <c r="E15662" t="b">
        <v>0</v>
      </c>
      <c r="F15662" t="s">
        <v>11610</v>
      </c>
      <c r="L15662">
        <v>0</v>
      </c>
      <c r="M15662">
        <v>0</v>
      </c>
      <c r="N15662">
        <v>0</v>
      </c>
    </row>
    <row r="15663" spans="1:14">
      <c r="A15663" t="s">
        <v>49862</v>
      </c>
      <c r="B15663" t="s">
        <v>367</v>
      </c>
      <c r="C15663" t="s">
        <v>39294</v>
      </c>
      <c r="D15663" t="s">
        <v>49863</v>
      </c>
      <c r="E15663" t="b">
        <v>0</v>
      </c>
      <c r="F15663" t="s">
        <v>11610</v>
      </c>
      <c r="L15663">
        <v>0</v>
      </c>
      <c r="M15663">
        <v>0</v>
      </c>
      <c r="N15663">
        <v>0</v>
      </c>
    </row>
    <row r="15664" spans="1:14">
      <c r="A15664" t="s">
        <v>49864</v>
      </c>
      <c r="B15664" t="s">
        <v>367</v>
      </c>
      <c r="C15664" t="s">
        <v>35702</v>
      </c>
      <c r="D15664" t="s">
        <v>49865</v>
      </c>
      <c r="E15664" t="b">
        <v>0</v>
      </c>
      <c r="F15664" t="s">
        <v>11610</v>
      </c>
      <c r="L15664">
        <v>0</v>
      </c>
      <c r="M15664">
        <v>0</v>
      </c>
      <c r="N15664">
        <v>0</v>
      </c>
    </row>
    <row r="15665" spans="1:14">
      <c r="A15665" t="s">
        <v>49866</v>
      </c>
      <c r="B15665" t="s">
        <v>367</v>
      </c>
      <c r="C15665" t="s">
        <v>5040</v>
      </c>
      <c r="D15665" t="s">
        <v>49867</v>
      </c>
      <c r="E15665" t="b">
        <v>0</v>
      </c>
      <c r="F15665" t="s">
        <v>11610</v>
      </c>
      <c r="L15665">
        <v>0</v>
      </c>
      <c r="M15665">
        <v>0</v>
      </c>
      <c r="N15665">
        <v>0</v>
      </c>
    </row>
    <row r="15666" spans="1:14">
      <c r="A15666" t="s">
        <v>49868</v>
      </c>
      <c r="B15666" t="s">
        <v>367</v>
      </c>
      <c r="C15666" t="s">
        <v>15619</v>
      </c>
      <c r="D15666" t="s">
        <v>49869</v>
      </c>
      <c r="E15666" t="b">
        <v>0</v>
      </c>
      <c r="F15666" t="s">
        <v>11610</v>
      </c>
      <c r="L15666">
        <v>0</v>
      </c>
      <c r="M15666">
        <v>0</v>
      </c>
      <c r="N15666">
        <v>0</v>
      </c>
    </row>
    <row r="15667" spans="1:14">
      <c r="A15667" t="s">
        <v>31869</v>
      </c>
      <c r="B15667" t="s">
        <v>367</v>
      </c>
      <c r="C15667" t="s">
        <v>49870</v>
      </c>
      <c r="D15667" t="s">
        <v>49871</v>
      </c>
      <c r="E15667" t="b">
        <v>0</v>
      </c>
      <c r="F15667" t="s">
        <v>11622</v>
      </c>
      <c r="L15667">
        <v>1</v>
      </c>
      <c r="M15667">
        <v>5</v>
      </c>
      <c r="N15667">
        <v>7</v>
      </c>
    </row>
    <row r="15668" spans="1:14">
      <c r="A15668" t="s">
        <v>49872</v>
      </c>
      <c r="B15668" t="s">
        <v>367</v>
      </c>
      <c r="C15668" t="s">
        <v>15445</v>
      </c>
      <c r="D15668" t="s">
        <v>49873</v>
      </c>
      <c r="E15668" t="b">
        <v>0</v>
      </c>
      <c r="F15668" t="s">
        <v>11610</v>
      </c>
      <c r="L15668">
        <v>0</v>
      </c>
      <c r="M15668">
        <v>0</v>
      </c>
      <c r="N15668">
        <v>0</v>
      </c>
    </row>
    <row r="15669" spans="1:14">
      <c r="A15669" t="s">
        <v>49874</v>
      </c>
      <c r="B15669" t="s">
        <v>367</v>
      </c>
      <c r="C15669" t="s">
        <v>49875</v>
      </c>
      <c r="D15669" t="s">
        <v>49876</v>
      </c>
      <c r="E15669" t="b">
        <v>0</v>
      </c>
      <c r="F15669" t="s">
        <v>11610</v>
      </c>
      <c r="L15669">
        <v>0</v>
      </c>
      <c r="M15669">
        <v>0</v>
      </c>
      <c r="N15669">
        <v>0</v>
      </c>
    </row>
    <row r="15670" spans="1:14">
      <c r="A15670" t="s">
        <v>49877</v>
      </c>
      <c r="B15670" t="s">
        <v>367</v>
      </c>
      <c r="C15670" t="s">
        <v>16801</v>
      </c>
      <c r="D15670" t="s">
        <v>49878</v>
      </c>
      <c r="E15670" t="b">
        <v>0</v>
      </c>
      <c r="F15670" t="s">
        <v>11610</v>
      </c>
      <c r="L15670">
        <v>0</v>
      </c>
      <c r="M15670">
        <v>0</v>
      </c>
      <c r="N15670">
        <v>0</v>
      </c>
    </row>
    <row r="15671" spans="1:14">
      <c r="A15671" t="s">
        <v>49879</v>
      </c>
      <c r="B15671" t="s">
        <v>367</v>
      </c>
      <c r="C15671" t="s">
        <v>21075</v>
      </c>
      <c r="D15671" t="s">
        <v>49880</v>
      </c>
      <c r="E15671" t="b">
        <v>0</v>
      </c>
      <c r="F15671" t="s">
        <v>11610</v>
      </c>
      <c r="L15671">
        <v>0</v>
      </c>
      <c r="M15671">
        <v>0</v>
      </c>
      <c r="N15671">
        <v>0</v>
      </c>
    </row>
    <row r="15672" spans="1:14">
      <c r="A15672" t="s">
        <v>49881</v>
      </c>
      <c r="B15672" t="s">
        <v>367</v>
      </c>
      <c r="C15672" t="s">
        <v>15021</v>
      </c>
      <c r="D15672" t="s">
        <v>49882</v>
      </c>
      <c r="E15672" t="b">
        <v>0</v>
      </c>
      <c r="F15672" t="s">
        <v>11610</v>
      </c>
      <c r="L15672">
        <v>0</v>
      </c>
      <c r="M15672">
        <v>0</v>
      </c>
      <c r="N15672">
        <v>0</v>
      </c>
    </row>
    <row r="15673" spans="1:14">
      <c r="A15673" t="s">
        <v>49883</v>
      </c>
      <c r="B15673" t="s">
        <v>367</v>
      </c>
      <c r="C15673" t="s">
        <v>34289</v>
      </c>
      <c r="D15673" t="s">
        <v>49884</v>
      </c>
      <c r="E15673" t="b">
        <v>0</v>
      </c>
      <c r="F15673" t="s">
        <v>11610</v>
      </c>
      <c r="L15673">
        <v>0</v>
      </c>
      <c r="M15673">
        <v>0</v>
      </c>
      <c r="N15673">
        <v>0</v>
      </c>
    </row>
    <row r="15674" spans="1:14">
      <c r="A15674" t="s">
        <v>49885</v>
      </c>
      <c r="B15674" t="s">
        <v>367</v>
      </c>
      <c r="C15674" t="s">
        <v>49886</v>
      </c>
      <c r="D15674" t="s">
        <v>49887</v>
      </c>
      <c r="E15674" t="b">
        <v>0</v>
      </c>
      <c r="F15674" t="s">
        <v>11610</v>
      </c>
      <c r="L15674">
        <v>0</v>
      </c>
      <c r="M15674">
        <v>0</v>
      </c>
      <c r="N15674">
        <v>0</v>
      </c>
    </row>
    <row r="15675" spans="1:14">
      <c r="A15675" t="s">
        <v>49888</v>
      </c>
      <c r="B15675" t="s">
        <v>367</v>
      </c>
      <c r="C15675" t="s">
        <v>16228</v>
      </c>
      <c r="D15675" t="s">
        <v>49889</v>
      </c>
      <c r="E15675" t="b">
        <v>0</v>
      </c>
      <c r="F15675" t="s">
        <v>11610</v>
      </c>
      <c r="L15675">
        <v>0</v>
      </c>
      <c r="M15675">
        <v>0</v>
      </c>
      <c r="N15675">
        <v>0</v>
      </c>
    </row>
    <row r="15676" spans="1:14">
      <c r="A15676" t="s">
        <v>49890</v>
      </c>
      <c r="B15676" t="s">
        <v>367</v>
      </c>
      <c r="C15676" t="s">
        <v>25612</v>
      </c>
      <c r="D15676" t="s">
        <v>49891</v>
      </c>
      <c r="E15676" t="b">
        <v>0</v>
      </c>
      <c r="F15676" t="s">
        <v>11610</v>
      </c>
      <c r="L15676">
        <v>0</v>
      </c>
      <c r="M15676">
        <v>0</v>
      </c>
      <c r="N15676">
        <v>0</v>
      </c>
    </row>
    <row r="15677" spans="1:14">
      <c r="A15677" t="s">
        <v>49892</v>
      </c>
      <c r="B15677" t="s">
        <v>367</v>
      </c>
      <c r="C15677" t="s">
        <v>17556</v>
      </c>
      <c r="D15677" t="s">
        <v>49893</v>
      </c>
      <c r="E15677" t="b">
        <v>0</v>
      </c>
      <c r="F15677" t="s">
        <v>11610</v>
      </c>
      <c r="L15677">
        <v>0</v>
      </c>
      <c r="M15677">
        <v>0</v>
      </c>
      <c r="N15677">
        <v>0</v>
      </c>
    </row>
    <row r="15678" spans="1:14">
      <c r="A15678" t="s">
        <v>49894</v>
      </c>
      <c r="B15678" t="s">
        <v>367</v>
      </c>
      <c r="C15678" t="s">
        <v>16173</v>
      </c>
      <c r="D15678" t="s">
        <v>49895</v>
      </c>
      <c r="E15678" t="b">
        <v>0</v>
      </c>
      <c r="F15678" t="s">
        <v>11610</v>
      </c>
      <c r="L15678">
        <v>0</v>
      </c>
      <c r="M15678">
        <v>0</v>
      </c>
      <c r="N15678">
        <v>0</v>
      </c>
    </row>
    <row r="15679" spans="1:14">
      <c r="A15679" t="s">
        <v>49896</v>
      </c>
      <c r="B15679" t="s">
        <v>367</v>
      </c>
      <c r="C15679" t="s">
        <v>45908</v>
      </c>
      <c r="D15679" t="s">
        <v>49897</v>
      </c>
      <c r="E15679" t="b">
        <v>0</v>
      </c>
      <c r="F15679" t="s">
        <v>11610</v>
      </c>
      <c r="L15679">
        <v>0</v>
      </c>
      <c r="M15679">
        <v>0</v>
      </c>
      <c r="N15679">
        <v>0</v>
      </c>
    </row>
    <row r="15680" spans="1:14">
      <c r="A15680" t="s">
        <v>49898</v>
      </c>
      <c r="B15680" t="s">
        <v>367</v>
      </c>
      <c r="C15680" t="s">
        <v>17736</v>
      </c>
      <c r="D15680" t="s">
        <v>49899</v>
      </c>
      <c r="E15680" t="b">
        <v>0</v>
      </c>
      <c r="F15680" t="s">
        <v>11610</v>
      </c>
      <c r="L15680">
        <v>0</v>
      </c>
      <c r="M15680">
        <v>0</v>
      </c>
      <c r="N15680">
        <v>0</v>
      </c>
    </row>
    <row r="15681" spans="1:14">
      <c r="A15681" t="s">
        <v>49900</v>
      </c>
      <c r="B15681" t="s">
        <v>367</v>
      </c>
      <c r="C15681" t="s">
        <v>23934</v>
      </c>
      <c r="D15681" t="s">
        <v>49901</v>
      </c>
      <c r="E15681" t="b">
        <v>0</v>
      </c>
      <c r="F15681" t="s">
        <v>11610</v>
      </c>
      <c r="L15681">
        <v>0</v>
      </c>
      <c r="M15681">
        <v>0</v>
      </c>
      <c r="N15681">
        <v>0</v>
      </c>
    </row>
    <row r="15682" spans="1:14">
      <c r="A15682" t="s">
        <v>49902</v>
      </c>
      <c r="B15682" t="s">
        <v>367</v>
      </c>
      <c r="C15682" t="s">
        <v>31491</v>
      </c>
      <c r="D15682" t="s">
        <v>49903</v>
      </c>
      <c r="E15682" t="b">
        <v>0</v>
      </c>
      <c r="F15682" t="s">
        <v>11610</v>
      </c>
      <c r="L15682">
        <v>0</v>
      </c>
      <c r="M15682">
        <v>0</v>
      </c>
      <c r="N15682">
        <v>0</v>
      </c>
    </row>
    <row r="15683" spans="1:14">
      <c r="A15683" t="s">
        <v>49904</v>
      </c>
      <c r="B15683" t="s">
        <v>367</v>
      </c>
      <c r="C15683" t="s">
        <v>40702</v>
      </c>
      <c r="D15683" t="s">
        <v>49905</v>
      </c>
      <c r="E15683" t="b">
        <v>0</v>
      </c>
      <c r="F15683" t="s">
        <v>11610</v>
      </c>
      <c r="L15683">
        <v>0</v>
      </c>
      <c r="M15683">
        <v>0</v>
      </c>
      <c r="N15683">
        <v>0</v>
      </c>
    </row>
    <row r="15684" spans="1:14">
      <c r="A15684" t="s">
        <v>49906</v>
      </c>
      <c r="B15684" t="s">
        <v>367</v>
      </c>
      <c r="C15684" t="s">
        <v>23937</v>
      </c>
      <c r="D15684" t="s">
        <v>49907</v>
      </c>
      <c r="E15684" t="b">
        <v>0</v>
      </c>
      <c r="F15684" t="s">
        <v>11610</v>
      </c>
      <c r="L15684">
        <v>0</v>
      </c>
      <c r="M15684">
        <v>0</v>
      </c>
      <c r="N15684">
        <v>0</v>
      </c>
    </row>
    <row r="15685" spans="1:14">
      <c r="A15685" t="s">
        <v>49908</v>
      </c>
      <c r="B15685" t="s">
        <v>367</v>
      </c>
      <c r="C15685" t="s">
        <v>44671</v>
      </c>
      <c r="D15685" t="s">
        <v>49909</v>
      </c>
      <c r="E15685" t="b">
        <v>0</v>
      </c>
      <c r="F15685" t="s">
        <v>11610</v>
      </c>
      <c r="L15685">
        <v>0</v>
      </c>
      <c r="M15685">
        <v>0</v>
      </c>
      <c r="N15685">
        <v>0</v>
      </c>
    </row>
    <row r="15686" spans="1:14">
      <c r="A15686" t="s">
        <v>49910</v>
      </c>
      <c r="B15686" t="s">
        <v>367</v>
      </c>
      <c r="C15686" t="s">
        <v>29538</v>
      </c>
      <c r="D15686" t="s">
        <v>49911</v>
      </c>
      <c r="E15686" t="b">
        <v>0</v>
      </c>
      <c r="F15686" t="s">
        <v>11610</v>
      </c>
      <c r="L15686">
        <v>0</v>
      </c>
      <c r="M15686">
        <v>0</v>
      </c>
      <c r="N15686">
        <v>0</v>
      </c>
    </row>
    <row r="15687" spans="1:14">
      <c r="A15687" t="s">
        <v>49912</v>
      </c>
      <c r="B15687" t="s">
        <v>367</v>
      </c>
      <c r="C15687" t="s">
        <v>17730</v>
      </c>
      <c r="D15687" t="s">
        <v>49913</v>
      </c>
      <c r="E15687" t="b">
        <v>0</v>
      </c>
      <c r="F15687" t="s">
        <v>11610</v>
      </c>
      <c r="L15687">
        <v>0</v>
      </c>
      <c r="M15687">
        <v>0</v>
      </c>
      <c r="N15687">
        <v>0</v>
      </c>
    </row>
    <row r="15688" spans="1:14">
      <c r="A15688" t="s">
        <v>49914</v>
      </c>
      <c r="B15688" t="s">
        <v>367</v>
      </c>
      <c r="C15688" t="s">
        <v>22200</v>
      </c>
      <c r="D15688" t="s">
        <v>49915</v>
      </c>
      <c r="E15688" t="b">
        <v>0</v>
      </c>
      <c r="F15688" t="s">
        <v>11610</v>
      </c>
      <c r="L15688">
        <v>0</v>
      </c>
      <c r="M15688">
        <v>0</v>
      </c>
      <c r="N15688">
        <v>0</v>
      </c>
    </row>
    <row r="15689" spans="1:14">
      <c r="A15689" t="s">
        <v>49916</v>
      </c>
      <c r="B15689" t="s">
        <v>367</v>
      </c>
      <c r="C15689" t="s">
        <v>20194</v>
      </c>
      <c r="D15689" t="s">
        <v>49917</v>
      </c>
      <c r="E15689" t="b">
        <v>0</v>
      </c>
      <c r="F15689" t="s">
        <v>11610</v>
      </c>
      <c r="L15689">
        <v>0</v>
      </c>
      <c r="M15689">
        <v>0</v>
      </c>
      <c r="N15689">
        <v>0</v>
      </c>
    </row>
    <row r="15690" spans="1:14">
      <c r="A15690" t="s">
        <v>49918</v>
      </c>
      <c r="B15690" t="s">
        <v>367</v>
      </c>
      <c r="C15690" t="s">
        <v>42364</v>
      </c>
      <c r="D15690" t="s">
        <v>49919</v>
      </c>
      <c r="E15690" t="b">
        <v>0</v>
      </c>
      <c r="F15690" t="s">
        <v>11610</v>
      </c>
      <c r="L15690">
        <v>0</v>
      </c>
      <c r="M15690">
        <v>0</v>
      </c>
      <c r="N15690">
        <v>0</v>
      </c>
    </row>
    <row r="15691" spans="1:14">
      <c r="A15691" t="s">
        <v>49920</v>
      </c>
      <c r="B15691" t="s">
        <v>367</v>
      </c>
      <c r="C15691" t="s">
        <v>27255</v>
      </c>
      <c r="D15691" t="s">
        <v>49921</v>
      </c>
      <c r="E15691" t="b">
        <v>0</v>
      </c>
      <c r="F15691" t="s">
        <v>11610</v>
      </c>
      <c r="L15691">
        <v>0</v>
      </c>
      <c r="M15691">
        <v>0</v>
      </c>
      <c r="N15691">
        <v>0</v>
      </c>
    </row>
    <row r="15692" spans="1:14">
      <c r="A15692" t="s">
        <v>49922</v>
      </c>
      <c r="B15692" t="s">
        <v>367</v>
      </c>
      <c r="C15692" t="s">
        <v>49923</v>
      </c>
      <c r="D15692" t="s">
        <v>49924</v>
      </c>
      <c r="E15692" t="b">
        <v>0</v>
      </c>
      <c r="F15692" t="s">
        <v>11610</v>
      </c>
      <c r="L15692">
        <v>0</v>
      </c>
      <c r="M15692">
        <v>0</v>
      </c>
      <c r="N15692">
        <v>0</v>
      </c>
    </row>
    <row r="15693" spans="1:14">
      <c r="A15693" t="s">
        <v>49925</v>
      </c>
      <c r="B15693" t="s">
        <v>367</v>
      </c>
      <c r="C15693" t="s">
        <v>44102</v>
      </c>
      <c r="D15693" t="s">
        <v>49926</v>
      </c>
      <c r="E15693" t="b">
        <v>0</v>
      </c>
      <c r="F15693" t="s">
        <v>11610</v>
      </c>
      <c r="L15693">
        <v>0</v>
      </c>
      <c r="M15693">
        <v>0</v>
      </c>
      <c r="N15693">
        <v>0</v>
      </c>
    </row>
    <row r="15694" spans="1:14">
      <c r="A15694" t="s">
        <v>49927</v>
      </c>
      <c r="B15694" t="s">
        <v>367</v>
      </c>
      <c r="C15694" t="s">
        <v>20382</v>
      </c>
      <c r="D15694" t="s">
        <v>49928</v>
      </c>
      <c r="E15694" t="b">
        <v>0</v>
      </c>
      <c r="F15694" t="s">
        <v>11610</v>
      </c>
      <c r="L15694">
        <v>0</v>
      </c>
      <c r="M15694">
        <v>0</v>
      </c>
      <c r="N15694">
        <v>0</v>
      </c>
    </row>
    <row r="15695" spans="1:14">
      <c r="A15695" t="s">
        <v>49929</v>
      </c>
      <c r="B15695" t="s">
        <v>367</v>
      </c>
      <c r="C15695" t="s">
        <v>39131</v>
      </c>
      <c r="D15695" t="s">
        <v>49930</v>
      </c>
      <c r="E15695" t="b">
        <v>0</v>
      </c>
      <c r="F15695" t="s">
        <v>11610</v>
      </c>
      <c r="L15695">
        <v>0</v>
      </c>
      <c r="M15695">
        <v>0</v>
      </c>
      <c r="N15695">
        <v>0</v>
      </c>
    </row>
    <row r="15696" spans="1:14">
      <c r="A15696" t="s">
        <v>20648</v>
      </c>
      <c r="B15696" t="s">
        <v>367</v>
      </c>
      <c r="C15696" t="s">
        <v>45728</v>
      </c>
      <c r="D15696" t="s">
        <v>49931</v>
      </c>
      <c r="E15696" t="b">
        <v>0</v>
      </c>
      <c r="F15696" t="s">
        <v>11622</v>
      </c>
      <c r="L15696">
        <v>5</v>
      </c>
      <c r="M15696">
        <v>9</v>
      </c>
      <c r="N15696">
        <v>40</v>
      </c>
    </row>
    <row r="15697" spans="1:14">
      <c r="A15697" t="s">
        <v>49932</v>
      </c>
      <c r="B15697" t="s">
        <v>367</v>
      </c>
      <c r="C15697" t="s">
        <v>34573</v>
      </c>
      <c r="D15697" t="s">
        <v>49933</v>
      </c>
      <c r="E15697" t="b">
        <v>0</v>
      </c>
      <c r="F15697" t="s">
        <v>11610</v>
      </c>
      <c r="L15697">
        <v>0</v>
      </c>
      <c r="M15697">
        <v>0</v>
      </c>
      <c r="N15697">
        <v>0</v>
      </c>
    </row>
    <row r="15698" spans="1:14">
      <c r="A15698" t="s">
        <v>49934</v>
      </c>
      <c r="B15698" t="s">
        <v>367</v>
      </c>
      <c r="C15698" t="s">
        <v>20446</v>
      </c>
      <c r="D15698" t="s">
        <v>49935</v>
      </c>
      <c r="E15698" t="b">
        <v>0</v>
      </c>
      <c r="F15698" t="s">
        <v>11610</v>
      </c>
      <c r="L15698">
        <v>0</v>
      </c>
      <c r="M15698">
        <v>0</v>
      </c>
      <c r="N15698">
        <v>0</v>
      </c>
    </row>
    <row r="15699" spans="1:14">
      <c r="A15699" t="s">
        <v>49936</v>
      </c>
      <c r="B15699" t="s">
        <v>367</v>
      </c>
      <c r="C15699" t="s">
        <v>19446</v>
      </c>
      <c r="D15699" t="s">
        <v>49937</v>
      </c>
      <c r="E15699" t="b">
        <v>0</v>
      </c>
      <c r="F15699" t="s">
        <v>11610</v>
      </c>
      <c r="L15699">
        <v>0</v>
      </c>
      <c r="M15699">
        <v>0</v>
      </c>
      <c r="N15699">
        <v>0</v>
      </c>
    </row>
    <row r="15700" spans="1:14">
      <c r="A15700" t="s">
        <v>49938</v>
      </c>
      <c r="B15700" t="s">
        <v>367</v>
      </c>
      <c r="C15700" t="s">
        <v>16944</v>
      </c>
      <c r="D15700" t="s">
        <v>49939</v>
      </c>
      <c r="E15700" t="b">
        <v>0</v>
      </c>
      <c r="F15700" t="s">
        <v>11610</v>
      </c>
      <c r="L15700">
        <v>0</v>
      </c>
      <c r="M15700">
        <v>0</v>
      </c>
      <c r="N15700">
        <v>0</v>
      </c>
    </row>
    <row r="15701" spans="1:14">
      <c r="A15701" t="s">
        <v>49940</v>
      </c>
      <c r="B15701" t="s">
        <v>367</v>
      </c>
      <c r="C15701" t="s">
        <v>39155</v>
      </c>
      <c r="D15701" t="s">
        <v>49941</v>
      </c>
      <c r="E15701" t="b">
        <v>0</v>
      </c>
      <c r="F15701" t="s">
        <v>11610</v>
      </c>
      <c r="L15701">
        <v>0</v>
      </c>
      <c r="M15701">
        <v>0</v>
      </c>
      <c r="N15701">
        <v>0</v>
      </c>
    </row>
    <row r="15702" spans="1:14">
      <c r="A15702" t="s">
        <v>49942</v>
      </c>
      <c r="B15702" t="s">
        <v>367</v>
      </c>
      <c r="C15702" t="s">
        <v>31304</v>
      </c>
      <c r="D15702" t="s">
        <v>49943</v>
      </c>
      <c r="E15702" t="b">
        <v>0</v>
      </c>
      <c r="F15702" t="s">
        <v>11610</v>
      </c>
      <c r="L15702">
        <v>0</v>
      </c>
      <c r="M15702">
        <v>0</v>
      </c>
      <c r="N15702">
        <v>0</v>
      </c>
    </row>
    <row r="15703" spans="1:14">
      <c r="A15703" t="s">
        <v>12425</v>
      </c>
      <c r="D15703" t="s">
        <v>49944</v>
      </c>
      <c r="E15703" t="b">
        <v>0</v>
      </c>
      <c r="F15703" t="s">
        <v>11622</v>
      </c>
      <c r="L15703">
        <v>2</v>
      </c>
      <c r="M15703">
        <v>5</v>
      </c>
      <c r="N15703">
        <v>4</v>
      </c>
    </row>
    <row r="15704" spans="1:14">
      <c r="A15704" t="s">
        <v>49945</v>
      </c>
      <c r="B15704" t="s">
        <v>12425</v>
      </c>
      <c r="C15704" t="s">
        <v>34194</v>
      </c>
      <c r="D15704" t="s">
        <v>49946</v>
      </c>
      <c r="E15704" t="b">
        <v>0</v>
      </c>
      <c r="F15704" t="s">
        <v>11610</v>
      </c>
      <c r="L15704">
        <v>0</v>
      </c>
      <c r="M15704">
        <v>0</v>
      </c>
      <c r="N15704">
        <v>0</v>
      </c>
    </row>
    <row r="15705" spans="1:14">
      <c r="A15705" t="s">
        <v>49947</v>
      </c>
      <c r="B15705" t="s">
        <v>7862</v>
      </c>
      <c r="C15705" t="s">
        <v>7863</v>
      </c>
      <c r="D15705" t="s">
        <v>49948</v>
      </c>
      <c r="E15705" t="b">
        <v>0</v>
      </c>
      <c r="F15705" t="s">
        <v>11610</v>
      </c>
      <c r="L15705">
        <v>0</v>
      </c>
      <c r="M15705">
        <v>0</v>
      </c>
      <c r="N15705">
        <v>0</v>
      </c>
    </row>
    <row r="15706" spans="1:14">
      <c r="A15706" t="s">
        <v>49949</v>
      </c>
      <c r="B15706" t="s">
        <v>11839</v>
      </c>
      <c r="C15706" t="s">
        <v>34534</v>
      </c>
      <c r="D15706" t="s">
        <v>49950</v>
      </c>
      <c r="E15706" t="b">
        <v>0</v>
      </c>
      <c r="F15706" t="s">
        <v>11610</v>
      </c>
      <c r="L15706">
        <v>0</v>
      </c>
      <c r="M15706">
        <v>0</v>
      </c>
      <c r="N15706">
        <v>0</v>
      </c>
    </row>
    <row r="15707" spans="1:14">
      <c r="A15707" t="s">
        <v>49951</v>
      </c>
      <c r="B15707" t="s">
        <v>11839</v>
      </c>
      <c r="C15707" t="s">
        <v>14670</v>
      </c>
      <c r="D15707" t="s">
        <v>49952</v>
      </c>
      <c r="E15707" t="b">
        <v>0</v>
      </c>
      <c r="F15707" t="s">
        <v>11610</v>
      </c>
      <c r="L15707">
        <v>0</v>
      </c>
      <c r="M15707">
        <v>0</v>
      </c>
      <c r="N15707">
        <v>0</v>
      </c>
    </row>
    <row r="15708" spans="1:14">
      <c r="A15708" t="s">
        <v>49953</v>
      </c>
      <c r="B15708" t="s">
        <v>11839</v>
      </c>
      <c r="C15708" t="s">
        <v>39117</v>
      </c>
      <c r="D15708" t="s">
        <v>49954</v>
      </c>
      <c r="E15708" t="b">
        <v>0</v>
      </c>
      <c r="F15708" t="s">
        <v>11610</v>
      </c>
      <c r="L15708">
        <v>0</v>
      </c>
      <c r="M15708">
        <v>0</v>
      </c>
      <c r="N15708">
        <v>0</v>
      </c>
    </row>
    <row r="15709" spans="1:14">
      <c r="A15709" t="s">
        <v>18838</v>
      </c>
      <c r="B15709" t="s">
        <v>11705</v>
      </c>
      <c r="C15709" t="s">
        <v>15938</v>
      </c>
      <c r="D15709" t="s">
        <v>49955</v>
      </c>
      <c r="E15709" t="b">
        <v>0</v>
      </c>
      <c r="F15709" t="s">
        <v>11622</v>
      </c>
      <c r="L15709">
        <v>1</v>
      </c>
      <c r="M15709">
        <v>5</v>
      </c>
      <c r="N15709">
        <v>2</v>
      </c>
    </row>
    <row r="15710" spans="1:14">
      <c r="A15710" t="s">
        <v>49956</v>
      </c>
      <c r="B15710" t="s">
        <v>11705</v>
      </c>
      <c r="C15710" t="s">
        <v>34969</v>
      </c>
      <c r="D15710" t="s">
        <v>49957</v>
      </c>
      <c r="E15710" t="b">
        <v>0</v>
      </c>
      <c r="F15710" t="s">
        <v>11610</v>
      </c>
      <c r="L15710">
        <v>0</v>
      </c>
      <c r="M15710">
        <v>0</v>
      </c>
      <c r="N15710">
        <v>0</v>
      </c>
    </row>
    <row r="15711" spans="1:14">
      <c r="A15711" t="s">
        <v>31047</v>
      </c>
      <c r="B15711" t="s">
        <v>11834</v>
      </c>
      <c r="C15711" t="s">
        <v>11834</v>
      </c>
      <c r="D15711" t="s">
        <v>49958</v>
      </c>
      <c r="E15711" t="b">
        <v>0</v>
      </c>
      <c r="F15711" t="s">
        <v>11622</v>
      </c>
      <c r="L15711">
        <v>1</v>
      </c>
      <c r="M15711">
        <v>3</v>
      </c>
      <c r="N15711">
        <v>0</v>
      </c>
    </row>
    <row r="15712" spans="1:14">
      <c r="A15712" t="s">
        <v>49959</v>
      </c>
      <c r="B15712" t="s">
        <v>11834</v>
      </c>
      <c r="C15712" t="s">
        <v>20173</v>
      </c>
      <c r="D15712" t="s">
        <v>49960</v>
      </c>
      <c r="E15712" t="b">
        <v>0</v>
      </c>
      <c r="F15712" t="s">
        <v>11610</v>
      </c>
      <c r="L15712">
        <v>0</v>
      </c>
      <c r="M15712">
        <v>0</v>
      </c>
      <c r="N15712">
        <v>0</v>
      </c>
    </row>
    <row r="15713" spans="1:15">
      <c r="A15713" t="s">
        <v>26974</v>
      </c>
      <c r="B15713" t="s">
        <v>26973</v>
      </c>
      <c r="C15713" t="s">
        <v>26973</v>
      </c>
      <c r="D15713" t="s">
        <v>49961</v>
      </c>
      <c r="E15713" t="b">
        <v>0</v>
      </c>
      <c r="F15713" t="s">
        <v>11624</v>
      </c>
      <c r="G15713">
        <v>-3.50718</v>
      </c>
      <c r="H15713">
        <v>141.488</v>
      </c>
      <c r="I15713" t="s">
        <v>49962</v>
      </c>
      <c r="L15713">
        <v>0</v>
      </c>
      <c r="M15713">
        <v>0</v>
      </c>
      <c r="N15713">
        <v>2</v>
      </c>
      <c r="O15713" t="s">
        <v>11660</v>
      </c>
    </row>
    <row r="15714" spans="1:15">
      <c r="A15714" t="s">
        <v>48763</v>
      </c>
      <c r="B15714" t="s">
        <v>41792</v>
      </c>
      <c r="C15714" t="s">
        <v>41792</v>
      </c>
      <c r="D15714" t="s">
        <v>49963</v>
      </c>
      <c r="E15714" t="b">
        <v>0</v>
      </c>
      <c r="F15714" t="s">
        <v>11624</v>
      </c>
      <c r="G15714">
        <v>-3.4510999999999998</v>
      </c>
      <c r="H15714">
        <v>134.071</v>
      </c>
      <c r="I15714" t="s">
        <v>49964</v>
      </c>
      <c r="L15714">
        <v>0</v>
      </c>
      <c r="M15714">
        <v>0</v>
      </c>
      <c r="N15714">
        <v>1</v>
      </c>
      <c r="O15714" t="s">
        <v>11768</v>
      </c>
    </row>
    <row r="15715" spans="1:15">
      <c r="A15715" t="s">
        <v>48092</v>
      </c>
      <c r="B15715" t="s">
        <v>12557</v>
      </c>
      <c r="C15715" t="s">
        <v>15882</v>
      </c>
      <c r="D15715" t="s">
        <v>49965</v>
      </c>
      <c r="E15715" t="b">
        <v>0</v>
      </c>
      <c r="F15715" t="s">
        <v>11624</v>
      </c>
      <c r="G15715">
        <v>-2.2136999999999998</v>
      </c>
      <c r="H15715">
        <v>138.48599999999999</v>
      </c>
      <c r="I15715" t="s">
        <v>49966</v>
      </c>
      <c r="L15715">
        <v>0</v>
      </c>
      <c r="M15715">
        <v>0</v>
      </c>
      <c r="N15715">
        <v>3</v>
      </c>
      <c r="O15715" t="s">
        <v>11768</v>
      </c>
    </row>
    <row r="15716" spans="1:15">
      <c r="A15716" t="s">
        <v>49967</v>
      </c>
      <c r="B15716" t="s">
        <v>12347</v>
      </c>
      <c r="C15716" t="s">
        <v>31973</v>
      </c>
      <c r="D15716" t="s">
        <v>49968</v>
      </c>
      <c r="E15716" t="b">
        <v>0</v>
      </c>
      <c r="F15716" t="s">
        <v>11610</v>
      </c>
      <c r="L15716">
        <v>0</v>
      </c>
      <c r="M15716">
        <v>0</v>
      </c>
      <c r="N15716">
        <v>0</v>
      </c>
    </row>
    <row r="15717" spans="1:15">
      <c r="A15717" t="s">
        <v>49969</v>
      </c>
      <c r="B15717" t="s">
        <v>15365</v>
      </c>
      <c r="C15717" t="s">
        <v>24416</v>
      </c>
      <c r="D15717" t="s">
        <v>49970</v>
      </c>
      <c r="E15717" t="b">
        <v>0</v>
      </c>
      <c r="F15717" t="s">
        <v>11610</v>
      </c>
      <c r="L15717">
        <v>0</v>
      </c>
      <c r="M15717">
        <v>0</v>
      </c>
      <c r="N15717">
        <v>0</v>
      </c>
    </row>
    <row r="15718" spans="1:15">
      <c r="A15718" t="s">
        <v>49971</v>
      </c>
      <c r="B15718" t="s">
        <v>15365</v>
      </c>
      <c r="C15718" t="s">
        <v>27625</v>
      </c>
      <c r="D15718" t="s">
        <v>49972</v>
      </c>
      <c r="E15718" t="b">
        <v>0</v>
      </c>
      <c r="F15718" t="s">
        <v>11610</v>
      </c>
      <c r="L15718">
        <v>0</v>
      </c>
      <c r="M15718">
        <v>0</v>
      </c>
      <c r="N15718">
        <v>0</v>
      </c>
    </row>
    <row r="15719" spans="1:15">
      <c r="A15719" t="s">
        <v>49973</v>
      </c>
      <c r="B15719" t="s">
        <v>15365</v>
      </c>
      <c r="C15719" t="s">
        <v>27980</v>
      </c>
      <c r="D15719" t="s">
        <v>49974</v>
      </c>
      <c r="E15719" t="b">
        <v>0</v>
      </c>
      <c r="F15719" t="s">
        <v>11610</v>
      </c>
      <c r="L15719">
        <v>0</v>
      </c>
      <c r="M15719">
        <v>0</v>
      </c>
      <c r="N15719">
        <v>0</v>
      </c>
    </row>
    <row r="15720" spans="1:15">
      <c r="A15720" t="s">
        <v>49975</v>
      </c>
      <c r="B15720" t="s">
        <v>11615</v>
      </c>
      <c r="C15720" t="s">
        <v>43447</v>
      </c>
      <c r="D15720" t="s">
        <v>49976</v>
      </c>
      <c r="E15720" t="b">
        <v>0</v>
      </c>
      <c r="F15720" t="s">
        <v>11610</v>
      </c>
      <c r="L15720">
        <v>0</v>
      </c>
      <c r="M15720">
        <v>0</v>
      </c>
      <c r="N15720">
        <v>0</v>
      </c>
    </row>
    <row r="15721" spans="1:15">
      <c r="A15721" t="s">
        <v>18672</v>
      </c>
      <c r="B15721" t="s">
        <v>11615</v>
      </c>
      <c r="C15721" t="s">
        <v>18677</v>
      </c>
      <c r="D15721" t="s">
        <v>49977</v>
      </c>
      <c r="E15721" t="b">
        <v>0</v>
      </c>
      <c r="F15721" t="s">
        <v>11622</v>
      </c>
      <c r="L15721">
        <v>5</v>
      </c>
      <c r="M15721">
        <v>9</v>
      </c>
      <c r="N15721">
        <v>11</v>
      </c>
    </row>
    <row r="15722" spans="1:15">
      <c r="A15722" t="s">
        <v>49978</v>
      </c>
      <c r="B15722" t="s">
        <v>11615</v>
      </c>
      <c r="C15722" t="s">
        <v>17042</v>
      </c>
      <c r="D15722" t="s">
        <v>49979</v>
      </c>
      <c r="E15722" t="b">
        <v>0</v>
      </c>
      <c r="F15722" t="s">
        <v>11610</v>
      </c>
      <c r="L15722">
        <v>0</v>
      </c>
      <c r="M15722">
        <v>0</v>
      </c>
      <c r="N15722">
        <v>0</v>
      </c>
    </row>
    <row r="15723" spans="1:15">
      <c r="A15723" t="s">
        <v>49980</v>
      </c>
      <c r="B15723" t="s">
        <v>11615</v>
      </c>
      <c r="C15723" t="s">
        <v>17045</v>
      </c>
      <c r="D15723" t="s">
        <v>49981</v>
      </c>
      <c r="E15723" t="b">
        <v>0</v>
      </c>
      <c r="F15723" t="s">
        <v>11610</v>
      </c>
      <c r="L15723">
        <v>0</v>
      </c>
      <c r="M15723">
        <v>0</v>
      </c>
      <c r="N15723">
        <v>0</v>
      </c>
    </row>
    <row r="15724" spans="1:15">
      <c r="A15724" t="s">
        <v>49982</v>
      </c>
      <c r="B15724" t="s">
        <v>11615</v>
      </c>
      <c r="C15724" t="s">
        <v>27560</v>
      </c>
      <c r="D15724" t="s">
        <v>49983</v>
      </c>
      <c r="E15724" t="b">
        <v>0</v>
      </c>
      <c r="F15724" t="s">
        <v>11610</v>
      </c>
      <c r="L15724">
        <v>0</v>
      </c>
      <c r="M15724">
        <v>0</v>
      </c>
      <c r="N15724">
        <v>0</v>
      </c>
    </row>
    <row r="15725" spans="1:15">
      <c r="A15725" t="s">
        <v>49984</v>
      </c>
      <c r="B15725" t="s">
        <v>11615</v>
      </c>
      <c r="C15725" t="s">
        <v>32705</v>
      </c>
      <c r="D15725" t="s">
        <v>49985</v>
      </c>
      <c r="E15725" t="b">
        <v>0</v>
      </c>
      <c r="F15725" t="s">
        <v>11610</v>
      </c>
      <c r="L15725">
        <v>0</v>
      </c>
      <c r="M15725">
        <v>0</v>
      </c>
      <c r="N15725">
        <v>0</v>
      </c>
    </row>
    <row r="15726" spans="1:15">
      <c r="A15726" t="s">
        <v>49986</v>
      </c>
      <c r="B15726" t="s">
        <v>11615</v>
      </c>
      <c r="C15726" t="s">
        <v>29461</v>
      </c>
      <c r="D15726" t="s">
        <v>49987</v>
      </c>
      <c r="E15726" t="b">
        <v>0</v>
      </c>
      <c r="F15726" t="s">
        <v>11610</v>
      </c>
      <c r="L15726">
        <v>0</v>
      </c>
      <c r="M15726">
        <v>0</v>
      </c>
      <c r="N15726">
        <v>0</v>
      </c>
    </row>
    <row r="15727" spans="1:15">
      <c r="A15727" t="s">
        <v>49988</v>
      </c>
      <c r="B15727" t="s">
        <v>11615</v>
      </c>
      <c r="C15727" t="s">
        <v>35249</v>
      </c>
      <c r="D15727" t="s">
        <v>49989</v>
      </c>
      <c r="E15727" t="b">
        <v>0</v>
      </c>
      <c r="F15727" t="s">
        <v>11610</v>
      </c>
      <c r="L15727">
        <v>0</v>
      </c>
      <c r="M15727">
        <v>0</v>
      </c>
      <c r="N15727">
        <v>0</v>
      </c>
    </row>
    <row r="15728" spans="1:15">
      <c r="A15728" t="s">
        <v>49990</v>
      </c>
      <c r="B15728" t="s">
        <v>11615</v>
      </c>
      <c r="C15728" t="s">
        <v>28116</v>
      </c>
      <c r="D15728" t="s">
        <v>49991</v>
      </c>
      <c r="E15728" t="b">
        <v>0</v>
      </c>
      <c r="F15728" t="s">
        <v>11610</v>
      </c>
      <c r="L15728">
        <v>0</v>
      </c>
      <c r="M15728">
        <v>0</v>
      </c>
      <c r="N15728">
        <v>0</v>
      </c>
    </row>
    <row r="15729" spans="1:15">
      <c r="A15729" t="s">
        <v>49992</v>
      </c>
      <c r="B15729" t="s">
        <v>11615</v>
      </c>
      <c r="C15729" t="s">
        <v>27800</v>
      </c>
      <c r="D15729" t="s">
        <v>49993</v>
      </c>
      <c r="E15729" t="b">
        <v>0</v>
      </c>
      <c r="F15729" t="s">
        <v>11610</v>
      </c>
      <c r="L15729">
        <v>0</v>
      </c>
      <c r="M15729">
        <v>0</v>
      </c>
      <c r="N15729">
        <v>0</v>
      </c>
    </row>
    <row r="15730" spans="1:15">
      <c r="A15730" t="s">
        <v>49994</v>
      </c>
      <c r="B15730" t="s">
        <v>11615</v>
      </c>
      <c r="C15730" t="s">
        <v>14719</v>
      </c>
      <c r="D15730" t="s">
        <v>49995</v>
      </c>
      <c r="E15730" t="b">
        <v>0</v>
      </c>
      <c r="F15730" t="s">
        <v>11610</v>
      </c>
      <c r="L15730">
        <v>0</v>
      </c>
      <c r="M15730">
        <v>0</v>
      </c>
      <c r="N15730">
        <v>0</v>
      </c>
    </row>
    <row r="15731" spans="1:15">
      <c r="A15731" t="s">
        <v>49996</v>
      </c>
      <c r="B15731" t="s">
        <v>11615</v>
      </c>
      <c r="C15731" t="s">
        <v>14172</v>
      </c>
      <c r="D15731" t="s">
        <v>49997</v>
      </c>
      <c r="E15731" t="b">
        <v>0</v>
      </c>
      <c r="F15731" t="s">
        <v>11610</v>
      </c>
      <c r="L15731">
        <v>0</v>
      </c>
      <c r="M15731">
        <v>0</v>
      </c>
      <c r="N15731">
        <v>0</v>
      </c>
    </row>
    <row r="15732" spans="1:15">
      <c r="A15732" t="s">
        <v>49998</v>
      </c>
      <c r="B15732" t="s">
        <v>11615</v>
      </c>
      <c r="C15732" t="s">
        <v>28288</v>
      </c>
      <c r="D15732" t="s">
        <v>49999</v>
      </c>
      <c r="E15732" t="b">
        <v>0</v>
      </c>
      <c r="F15732" t="s">
        <v>11610</v>
      </c>
      <c r="L15732">
        <v>0</v>
      </c>
      <c r="M15732">
        <v>0</v>
      </c>
      <c r="N15732">
        <v>0</v>
      </c>
    </row>
    <row r="15733" spans="1:15">
      <c r="A15733" t="s">
        <v>50000</v>
      </c>
      <c r="B15733" t="s">
        <v>11615</v>
      </c>
      <c r="C15733" t="s">
        <v>22897</v>
      </c>
      <c r="D15733" t="s">
        <v>50001</v>
      </c>
      <c r="E15733" t="b">
        <v>0</v>
      </c>
      <c r="F15733" t="s">
        <v>11610</v>
      </c>
      <c r="L15733">
        <v>0</v>
      </c>
      <c r="M15733">
        <v>0</v>
      </c>
      <c r="N15733">
        <v>0</v>
      </c>
    </row>
    <row r="15734" spans="1:15">
      <c r="A15734" t="s">
        <v>50002</v>
      </c>
      <c r="B15734" t="s">
        <v>11615</v>
      </c>
      <c r="C15734" t="s">
        <v>36408</v>
      </c>
      <c r="D15734" t="s">
        <v>50003</v>
      </c>
      <c r="E15734" t="b">
        <v>0</v>
      </c>
      <c r="F15734" t="s">
        <v>11610</v>
      </c>
      <c r="L15734">
        <v>0</v>
      </c>
      <c r="M15734">
        <v>0</v>
      </c>
      <c r="N15734">
        <v>0</v>
      </c>
    </row>
    <row r="15735" spans="1:15">
      <c r="A15735" t="s">
        <v>29488</v>
      </c>
      <c r="B15735" t="s">
        <v>11615</v>
      </c>
      <c r="C15735" t="s">
        <v>22895</v>
      </c>
      <c r="D15735" t="s">
        <v>50004</v>
      </c>
      <c r="E15735" t="b">
        <v>0</v>
      </c>
      <c r="F15735" t="s">
        <v>11622</v>
      </c>
      <c r="L15735">
        <v>2</v>
      </c>
      <c r="M15735">
        <v>5</v>
      </c>
      <c r="N15735">
        <v>16</v>
      </c>
    </row>
    <row r="15736" spans="1:15">
      <c r="A15736" t="s">
        <v>50005</v>
      </c>
      <c r="B15736" t="s">
        <v>11615</v>
      </c>
      <c r="C15736" t="s">
        <v>7842</v>
      </c>
      <c r="D15736" t="s">
        <v>50006</v>
      </c>
      <c r="E15736" t="b">
        <v>0</v>
      </c>
      <c r="F15736" t="s">
        <v>11610</v>
      </c>
      <c r="L15736">
        <v>0</v>
      </c>
      <c r="M15736">
        <v>0</v>
      </c>
      <c r="N15736">
        <v>0</v>
      </c>
    </row>
    <row r="15737" spans="1:15">
      <c r="A15737" t="s">
        <v>50007</v>
      </c>
      <c r="B15737" t="s">
        <v>11615</v>
      </c>
      <c r="C15737" t="s">
        <v>29490</v>
      </c>
      <c r="D15737" t="s">
        <v>50008</v>
      </c>
      <c r="E15737" t="b">
        <v>0</v>
      </c>
      <c r="F15737" t="s">
        <v>11610</v>
      </c>
      <c r="L15737">
        <v>0</v>
      </c>
      <c r="M15737">
        <v>0</v>
      </c>
      <c r="N15737">
        <v>0</v>
      </c>
    </row>
    <row r="15738" spans="1:15">
      <c r="A15738" t="s">
        <v>34587</v>
      </c>
      <c r="B15738" t="s">
        <v>11615</v>
      </c>
      <c r="C15738" t="s">
        <v>47724</v>
      </c>
      <c r="D15738" t="s">
        <v>50009</v>
      </c>
      <c r="E15738" t="b">
        <v>0</v>
      </c>
      <c r="F15738" t="s">
        <v>11624</v>
      </c>
      <c r="G15738">
        <v>-6.1162900000000002</v>
      </c>
      <c r="H15738">
        <v>144.66499999999999</v>
      </c>
      <c r="I15738" t="s">
        <v>50010</v>
      </c>
      <c r="L15738">
        <v>0</v>
      </c>
      <c r="M15738">
        <v>0</v>
      </c>
      <c r="N15738">
        <v>5</v>
      </c>
      <c r="O15738" t="s">
        <v>11660</v>
      </c>
    </row>
    <row r="15739" spans="1:15">
      <c r="A15739" t="s">
        <v>18386</v>
      </c>
      <c r="B15739" t="s">
        <v>11794</v>
      </c>
      <c r="C15739" t="s">
        <v>19005</v>
      </c>
      <c r="D15739" t="s">
        <v>50011</v>
      </c>
      <c r="E15739" t="b">
        <v>0</v>
      </c>
      <c r="F15739" t="s">
        <v>11622</v>
      </c>
      <c r="L15739">
        <v>0</v>
      </c>
      <c r="M15739">
        <v>2</v>
      </c>
      <c r="N15739">
        <v>5</v>
      </c>
    </row>
    <row r="15740" spans="1:15">
      <c r="A15740" t="s">
        <v>21992</v>
      </c>
      <c r="B15740" t="s">
        <v>11794</v>
      </c>
      <c r="C15740" t="s">
        <v>18386</v>
      </c>
      <c r="D15740" t="s">
        <v>50012</v>
      </c>
      <c r="E15740" t="b">
        <v>0</v>
      </c>
      <c r="F15740" t="s">
        <v>11624</v>
      </c>
      <c r="G15740">
        <v>-8.1565100000000008</v>
      </c>
      <c r="H15740">
        <v>140.00899999999999</v>
      </c>
      <c r="I15740" t="s">
        <v>50013</v>
      </c>
      <c r="L15740">
        <v>0</v>
      </c>
      <c r="M15740">
        <v>0</v>
      </c>
      <c r="N15740">
        <v>5</v>
      </c>
      <c r="O15740" t="s">
        <v>24525</v>
      </c>
    </row>
    <row r="15741" spans="1:15">
      <c r="A15741" t="s">
        <v>50014</v>
      </c>
      <c r="B15741" t="s">
        <v>11794</v>
      </c>
      <c r="C15741" t="s">
        <v>15895</v>
      </c>
      <c r="D15741" t="s">
        <v>50015</v>
      </c>
      <c r="E15741" t="b">
        <v>0</v>
      </c>
      <c r="F15741" t="s">
        <v>11610</v>
      </c>
      <c r="L15741">
        <v>0</v>
      </c>
      <c r="M15741">
        <v>0</v>
      </c>
      <c r="N15741">
        <v>0</v>
      </c>
    </row>
    <row r="15742" spans="1:15">
      <c r="A15742" t="s">
        <v>50016</v>
      </c>
      <c r="B15742" t="s">
        <v>28641</v>
      </c>
      <c r="C15742" t="s">
        <v>31834</v>
      </c>
      <c r="D15742" t="s">
        <v>50017</v>
      </c>
      <c r="E15742" t="b">
        <v>0</v>
      </c>
      <c r="F15742" t="s">
        <v>11610</v>
      </c>
      <c r="L15742">
        <v>0</v>
      </c>
      <c r="M15742">
        <v>0</v>
      </c>
      <c r="N15742">
        <v>0</v>
      </c>
    </row>
    <row r="15743" spans="1:15">
      <c r="A15743" t="s">
        <v>50018</v>
      </c>
      <c r="B15743" t="s">
        <v>28641</v>
      </c>
      <c r="C15743" t="s">
        <v>31694</v>
      </c>
      <c r="D15743" t="s">
        <v>50019</v>
      </c>
      <c r="E15743" t="b">
        <v>0</v>
      </c>
      <c r="F15743" t="s">
        <v>11610</v>
      </c>
      <c r="L15743">
        <v>0</v>
      </c>
      <c r="M15743">
        <v>0</v>
      </c>
      <c r="N15743">
        <v>0</v>
      </c>
    </row>
    <row r="15744" spans="1:15">
      <c r="A15744" t="s">
        <v>50020</v>
      </c>
      <c r="B15744" t="s">
        <v>28641</v>
      </c>
      <c r="C15744" t="s">
        <v>28642</v>
      </c>
      <c r="D15744" t="s">
        <v>50021</v>
      </c>
      <c r="E15744" t="b">
        <v>0</v>
      </c>
      <c r="F15744" t="s">
        <v>11610</v>
      </c>
      <c r="L15744">
        <v>0</v>
      </c>
      <c r="M15744">
        <v>0</v>
      </c>
      <c r="N15744">
        <v>0</v>
      </c>
    </row>
    <row r="15745" spans="1:15">
      <c r="A15745" t="s">
        <v>50022</v>
      </c>
      <c r="B15745" t="s">
        <v>12133</v>
      </c>
      <c r="C15745" t="s">
        <v>32689</v>
      </c>
      <c r="D15745" t="s">
        <v>50023</v>
      </c>
      <c r="E15745" t="b">
        <v>0</v>
      </c>
      <c r="F15745" t="s">
        <v>11610</v>
      </c>
      <c r="L15745">
        <v>0</v>
      </c>
      <c r="M15745">
        <v>0</v>
      </c>
      <c r="N15745">
        <v>0</v>
      </c>
    </row>
    <row r="15746" spans="1:15">
      <c r="A15746" t="s">
        <v>50024</v>
      </c>
      <c r="B15746" t="s">
        <v>12133</v>
      </c>
      <c r="C15746" t="s">
        <v>18999</v>
      </c>
      <c r="D15746" t="s">
        <v>50025</v>
      </c>
      <c r="E15746" t="b">
        <v>0</v>
      </c>
      <c r="F15746" t="s">
        <v>11610</v>
      </c>
      <c r="L15746">
        <v>0</v>
      </c>
      <c r="M15746">
        <v>0</v>
      </c>
      <c r="N15746">
        <v>0</v>
      </c>
    </row>
    <row r="15747" spans="1:15">
      <c r="A15747" t="s">
        <v>18758</v>
      </c>
      <c r="B15747" t="s">
        <v>12218</v>
      </c>
      <c r="C15747" t="s">
        <v>16958</v>
      </c>
      <c r="D15747" t="s">
        <v>50026</v>
      </c>
      <c r="E15747" t="b">
        <v>0</v>
      </c>
      <c r="F15747" t="s">
        <v>11624</v>
      </c>
      <c r="G15747">
        <v>-9.4624600000000001</v>
      </c>
      <c r="H15747">
        <v>147.899</v>
      </c>
      <c r="I15747" t="s">
        <v>50027</v>
      </c>
      <c r="L15747">
        <v>0</v>
      </c>
      <c r="M15747">
        <v>0</v>
      </c>
      <c r="N15747">
        <v>2</v>
      </c>
      <c r="O15747" t="s">
        <v>11660</v>
      </c>
    </row>
    <row r="15748" spans="1:15">
      <c r="A15748" t="s">
        <v>46168</v>
      </c>
      <c r="B15748" t="s">
        <v>21672</v>
      </c>
      <c r="C15748" t="s">
        <v>21672</v>
      </c>
      <c r="D15748" t="s">
        <v>50028</v>
      </c>
      <c r="E15748" t="b">
        <v>0</v>
      </c>
      <c r="F15748" t="s">
        <v>11622</v>
      </c>
      <c r="L15748">
        <v>0</v>
      </c>
      <c r="M15748">
        <v>3</v>
      </c>
      <c r="N15748">
        <v>6</v>
      </c>
    </row>
    <row r="15749" spans="1:15">
      <c r="A15749" t="s">
        <v>21673</v>
      </c>
      <c r="B15749" t="s">
        <v>21672</v>
      </c>
      <c r="C15749" t="s">
        <v>46168</v>
      </c>
      <c r="D15749" t="s">
        <v>50029</v>
      </c>
      <c r="E15749" t="b">
        <v>0</v>
      </c>
      <c r="F15749" t="s">
        <v>11624</v>
      </c>
      <c r="G15749">
        <v>-2.6013000000000002</v>
      </c>
      <c r="H15749">
        <v>140.512</v>
      </c>
      <c r="I15749" t="s">
        <v>50030</v>
      </c>
      <c r="L15749">
        <v>0</v>
      </c>
      <c r="M15749">
        <v>0</v>
      </c>
      <c r="N15749">
        <v>3</v>
      </c>
      <c r="O15749" t="s">
        <v>11768</v>
      </c>
    </row>
    <row r="15750" spans="1:15">
      <c r="A15750" t="s">
        <v>50031</v>
      </c>
      <c r="B15750" t="s">
        <v>29767</v>
      </c>
      <c r="C15750" t="s">
        <v>29767</v>
      </c>
      <c r="D15750" t="s">
        <v>50032</v>
      </c>
      <c r="E15750" t="b">
        <v>0</v>
      </c>
      <c r="F15750" t="s">
        <v>11624</v>
      </c>
      <c r="G15750">
        <v>-2.5802999999999998</v>
      </c>
      <c r="H15750">
        <v>140.179</v>
      </c>
      <c r="I15750" t="s">
        <v>50033</v>
      </c>
      <c r="L15750">
        <v>0</v>
      </c>
      <c r="M15750">
        <v>0</v>
      </c>
      <c r="N15750">
        <v>0</v>
      </c>
      <c r="O15750" t="s">
        <v>11768</v>
      </c>
    </row>
    <row r="15751" spans="1:15">
      <c r="A15751" t="s">
        <v>50034</v>
      </c>
      <c r="B15751" t="s">
        <v>16986</v>
      </c>
      <c r="C15751" t="s">
        <v>50035</v>
      </c>
      <c r="D15751" t="s">
        <v>50036</v>
      </c>
      <c r="E15751" t="b">
        <v>0</v>
      </c>
      <c r="F15751" t="s">
        <v>11624</v>
      </c>
      <c r="G15751">
        <v>-2.64378</v>
      </c>
      <c r="H15751">
        <v>140.90199999999999</v>
      </c>
      <c r="I15751" t="s">
        <v>50037</v>
      </c>
      <c r="L15751">
        <v>0</v>
      </c>
      <c r="M15751">
        <v>0</v>
      </c>
      <c r="N15751">
        <v>0</v>
      </c>
      <c r="O15751" t="s">
        <v>11768</v>
      </c>
    </row>
    <row r="15752" spans="1:15">
      <c r="A15752" t="s">
        <v>50038</v>
      </c>
      <c r="B15752" t="s">
        <v>16042</v>
      </c>
      <c r="C15752" t="s">
        <v>36961</v>
      </c>
      <c r="D15752" t="s">
        <v>50039</v>
      </c>
      <c r="E15752" t="b">
        <v>0</v>
      </c>
      <c r="F15752" t="s">
        <v>11610</v>
      </c>
      <c r="L15752">
        <v>0</v>
      </c>
      <c r="M15752">
        <v>0</v>
      </c>
      <c r="N15752">
        <v>0</v>
      </c>
    </row>
    <row r="15753" spans="1:15">
      <c r="A15753" t="s">
        <v>50040</v>
      </c>
      <c r="B15753" t="s">
        <v>16042</v>
      </c>
      <c r="C15753" t="s">
        <v>37266</v>
      </c>
      <c r="D15753" t="s">
        <v>50041</v>
      </c>
      <c r="E15753" t="b">
        <v>0</v>
      </c>
      <c r="F15753" t="s">
        <v>11610</v>
      </c>
      <c r="L15753">
        <v>0</v>
      </c>
      <c r="M15753">
        <v>0</v>
      </c>
      <c r="N15753">
        <v>0</v>
      </c>
    </row>
    <row r="15754" spans="1:15">
      <c r="A15754" t="s">
        <v>50042</v>
      </c>
      <c r="B15754" t="s">
        <v>13500</v>
      </c>
      <c r="C15754" t="s">
        <v>13500</v>
      </c>
      <c r="D15754" t="s">
        <v>50043</v>
      </c>
      <c r="E15754" t="b">
        <v>0</v>
      </c>
      <c r="F15754" t="s">
        <v>11610</v>
      </c>
      <c r="L15754">
        <v>0</v>
      </c>
      <c r="M15754">
        <v>0</v>
      </c>
      <c r="N15754">
        <v>0</v>
      </c>
    </row>
    <row r="15755" spans="1:15">
      <c r="A15755" t="s">
        <v>50044</v>
      </c>
      <c r="B15755" t="s">
        <v>11871</v>
      </c>
      <c r="C15755" t="s">
        <v>15338</v>
      </c>
      <c r="D15755" t="s">
        <v>50045</v>
      </c>
      <c r="E15755" t="b">
        <v>0</v>
      </c>
      <c r="F15755" t="s">
        <v>11610</v>
      </c>
      <c r="L15755">
        <v>0</v>
      </c>
      <c r="M15755">
        <v>0</v>
      </c>
      <c r="N15755">
        <v>0</v>
      </c>
    </row>
    <row r="15756" spans="1:15">
      <c r="A15756" t="s">
        <v>50046</v>
      </c>
      <c r="B15756" t="s">
        <v>11871</v>
      </c>
      <c r="C15756" t="s">
        <v>1128</v>
      </c>
      <c r="D15756" t="s">
        <v>50047</v>
      </c>
      <c r="E15756" t="b">
        <v>0</v>
      </c>
      <c r="F15756" t="s">
        <v>11610</v>
      </c>
      <c r="L15756">
        <v>0</v>
      </c>
      <c r="M15756">
        <v>0</v>
      </c>
      <c r="N15756">
        <v>0</v>
      </c>
    </row>
    <row r="15757" spans="1:15">
      <c r="A15757" t="s">
        <v>15912</v>
      </c>
      <c r="B15757" t="s">
        <v>15911</v>
      </c>
      <c r="C15757" t="s">
        <v>15911</v>
      </c>
      <c r="D15757" t="s">
        <v>50048</v>
      </c>
      <c r="E15757" t="b">
        <v>0</v>
      </c>
      <c r="F15757" t="s">
        <v>11622</v>
      </c>
      <c r="L15757">
        <v>0</v>
      </c>
      <c r="M15757">
        <v>2</v>
      </c>
      <c r="N15757">
        <v>0</v>
      </c>
    </row>
    <row r="15758" spans="1:15">
      <c r="A15758" t="s">
        <v>13412</v>
      </c>
      <c r="B15758" t="s">
        <v>13411</v>
      </c>
      <c r="C15758" t="s">
        <v>13411</v>
      </c>
      <c r="D15758" t="s">
        <v>50049</v>
      </c>
      <c r="E15758" t="b">
        <v>0</v>
      </c>
      <c r="F15758" t="s">
        <v>11622</v>
      </c>
      <c r="L15758">
        <v>5</v>
      </c>
      <c r="M15758">
        <v>11</v>
      </c>
      <c r="N15758">
        <v>6</v>
      </c>
    </row>
    <row r="15759" spans="1:15">
      <c r="A15759" t="s">
        <v>4314</v>
      </c>
      <c r="B15759" t="s">
        <v>4342</v>
      </c>
      <c r="C15759" t="s">
        <v>33225</v>
      </c>
      <c r="D15759" t="s">
        <v>50050</v>
      </c>
      <c r="E15759" t="b">
        <v>0</v>
      </c>
      <c r="F15759" t="s">
        <v>11624</v>
      </c>
      <c r="G15759">
        <v>35</v>
      </c>
      <c r="H15759">
        <v>135</v>
      </c>
      <c r="I15759" t="s">
        <v>4315</v>
      </c>
      <c r="L15759">
        <v>0</v>
      </c>
      <c r="M15759">
        <v>0</v>
      </c>
      <c r="N15759">
        <v>125</v>
      </c>
      <c r="O15759" t="s">
        <v>12539</v>
      </c>
    </row>
    <row r="15760" spans="1:15">
      <c r="A15760" t="s">
        <v>50051</v>
      </c>
      <c r="B15760" t="s">
        <v>4342</v>
      </c>
      <c r="C15760" t="s">
        <v>6162</v>
      </c>
      <c r="D15760" t="s">
        <v>50052</v>
      </c>
      <c r="E15760" t="b">
        <v>0</v>
      </c>
      <c r="F15760" t="s">
        <v>11622</v>
      </c>
      <c r="L15760">
        <v>2</v>
      </c>
      <c r="M15760">
        <v>4</v>
      </c>
      <c r="N15760">
        <v>5</v>
      </c>
    </row>
    <row r="15761" spans="1:15">
      <c r="A15761" t="s">
        <v>50053</v>
      </c>
      <c r="B15761" t="s">
        <v>12875</v>
      </c>
      <c r="C15761" t="s">
        <v>23513</v>
      </c>
      <c r="D15761" t="s">
        <v>50054</v>
      </c>
      <c r="E15761" t="b">
        <v>0</v>
      </c>
      <c r="F15761" t="s">
        <v>11610</v>
      </c>
      <c r="L15761">
        <v>0</v>
      </c>
      <c r="M15761">
        <v>0</v>
      </c>
      <c r="N15761">
        <v>0</v>
      </c>
    </row>
    <row r="15762" spans="1:15">
      <c r="A15762" t="s">
        <v>50055</v>
      </c>
      <c r="B15762" t="s">
        <v>15027</v>
      </c>
      <c r="C15762" t="s">
        <v>33792</v>
      </c>
      <c r="D15762" t="s">
        <v>50056</v>
      </c>
      <c r="E15762" t="b">
        <v>0</v>
      </c>
      <c r="F15762" t="s">
        <v>11610</v>
      </c>
      <c r="L15762">
        <v>0</v>
      </c>
      <c r="M15762">
        <v>0</v>
      </c>
      <c r="N15762">
        <v>0</v>
      </c>
    </row>
    <row r="15763" spans="1:15">
      <c r="A15763" t="s">
        <v>50057</v>
      </c>
      <c r="B15763" t="s">
        <v>300</v>
      </c>
      <c r="C15763" t="s">
        <v>50058</v>
      </c>
      <c r="D15763" t="s">
        <v>50059</v>
      </c>
      <c r="E15763" t="b">
        <v>0</v>
      </c>
      <c r="F15763" t="s">
        <v>11610</v>
      </c>
      <c r="L15763">
        <v>0</v>
      </c>
      <c r="M15763">
        <v>0</v>
      </c>
      <c r="N15763">
        <v>0</v>
      </c>
    </row>
    <row r="15764" spans="1:15">
      <c r="A15764" t="s">
        <v>6435</v>
      </c>
      <c r="B15764" t="s">
        <v>6436</v>
      </c>
      <c r="C15764" t="s">
        <v>6436</v>
      </c>
      <c r="D15764" t="s">
        <v>50060</v>
      </c>
      <c r="E15764" t="b">
        <v>0</v>
      </c>
      <c r="F15764" t="s">
        <v>11624</v>
      </c>
      <c r="G15764">
        <v>52.591030000000003</v>
      </c>
      <c r="H15764">
        <v>-128.544545</v>
      </c>
      <c r="I15764" t="s">
        <v>6437</v>
      </c>
      <c r="L15764">
        <v>0</v>
      </c>
      <c r="M15764">
        <v>0</v>
      </c>
      <c r="N15764">
        <v>2</v>
      </c>
      <c r="O15764" t="s">
        <v>14875</v>
      </c>
    </row>
    <row r="15765" spans="1:15">
      <c r="A15765" t="s">
        <v>50061</v>
      </c>
      <c r="B15765" t="s">
        <v>6436</v>
      </c>
      <c r="C15765" t="s">
        <v>29349</v>
      </c>
      <c r="D15765" t="s">
        <v>50062</v>
      </c>
      <c r="E15765" t="b">
        <v>0</v>
      </c>
      <c r="F15765" t="s">
        <v>11610</v>
      </c>
      <c r="L15765">
        <v>0</v>
      </c>
      <c r="M15765">
        <v>0</v>
      </c>
      <c r="N15765">
        <v>0</v>
      </c>
    </row>
    <row r="15766" spans="1:15">
      <c r="A15766" t="s">
        <v>50063</v>
      </c>
      <c r="B15766" t="s">
        <v>48122</v>
      </c>
      <c r="C15766" t="s">
        <v>48123</v>
      </c>
      <c r="D15766" t="s">
        <v>50064</v>
      </c>
      <c r="E15766" t="b">
        <v>0</v>
      </c>
      <c r="F15766" t="s">
        <v>11610</v>
      </c>
      <c r="G15766">
        <v>41</v>
      </c>
      <c r="H15766">
        <v>-122.5</v>
      </c>
      <c r="I15766" t="s">
        <v>50065</v>
      </c>
      <c r="L15766">
        <v>0</v>
      </c>
      <c r="M15766">
        <v>0</v>
      </c>
      <c r="N15766">
        <v>0</v>
      </c>
    </row>
    <row r="15767" spans="1:15">
      <c r="A15767" t="s">
        <v>50066</v>
      </c>
      <c r="B15767" t="s">
        <v>12751</v>
      </c>
      <c r="C15767" t="s">
        <v>25162</v>
      </c>
      <c r="D15767" t="s">
        <v>50067</v>
      </c>
      <c r="E15767" t="b">
        <v>0</v>
      </c>
      <c r="F15767" t="s">
        <v>11610</v>
      </c>
      <c r="L15767">
        <v>0</v>
      </c>
      <c r="M15767">
        <v>0</v>
      </c>
      <c r="N15767">
        <v>0</v>
      </c>
    </row>
    <row r="15768" spans="1:15">
      <c r="A15768" t="s">
        <v>3405</v>
      </c>
      <c r="B15768" t="s">
        <v>12979</v>
      </c>
      <c r="C15768" t="s">
        <v>44284</v>
      </c>
      <c r="D15768" t="s">
        <v>50068</v>
      </c>
      <c r="E15768" t="b">
        <v>0</v>
      </c>
      <c r="F15768" t="s">
        <v>11610</v>
      </c>
      <c r="L15768">
        <v>0</v>
      </c>
      <c r="M15768">
        <v>0</v>
      </c>
      <c r="N15768">
        <v>0</v>
      </c>
    </row>
    <row r="15769" spans="1:15">
      <c r="A15769" t="s">
        <v>50069</v>
      </c>
      <c r="B15769" t="s">
        <v>12979</v>
      </c>
      <c r="C15769" t="s">
        <v>48868</v>
      </c>
      <c r="D15769" t="s">
        <v>50070</v>
      </c>
      <c r="E15769" t="b">
        <v>0</v>
      </c>
      <c r="F15769" t="s">
        <v>11610</v>
      </c>
      <c r="L15769">
        <v>0</v>
      </c>
      <c r="M15769">
        <v>0</v>
      </c>
      <c r="N15769">
        <v>0</v>
      </c>
    </row>
    <row r="15770" spans="1:15">
      <c r="A15770" t="s">
        <v>10929</v>
      </c>
      <c r="B15770" t="s">
        <v>8310</v>
      </c>
      <c r="C15770" t="s">
        <v>855</v>
      </c>
      <c r="D15770" t="s">
        <v>50071</v>
      </c>
      <c r="E15770" t="b">
        <v>0</v>
      </c>
      <c r="F15770" t="s">
        <v>11622</v>
      </c>
      <c r="L15770">
        <v>0</v>
      </c>
      <c r="M15770">
        <v>2</v>
      </c>
      <c r="N15770">
        <v>2</v>
      </c>
    </row>
    <row r="15771" spans="1:15">
      <c r="A15771" t="s">
        <v>50072</v>
      </c>
      <c r="B15771" t="s">
        <v>8310</v>
      </c>
      <c r="C15771" t="s">
        <v>43356</v>
      </c>
      <c r="D15771" t="s">
        <v>50073</v>
      </c>
      <c r="E15771" t="b">
        <v>0</v>
      </c>
      <c r="F15771" t="s">
        <v>11610</v>
      </c>
      <c r="L15771">
        <v>0</v>
      </c>
      <c r="M15771">
        <v>0</v>
      </c>
      <c r="N15771">
        <v>0</v>
      </c>
    </row>
    <row r="15772" spans="1:15">
      <c r="A15772" t="s">
        <v>44589</v>
      </c>
      <c r="B15772" t="s">
        <v>13737</v>
      </c>
      <c r="C15772" t="s">
        <v>13737</v>
      </c>
      <c r="D15772" t="s">
        <v>50074</v>
      </c>
      <c r="E15772" t="b">
        <v>0</v>
      </c>
      <c r="F15772" t="s">
        <v>11622</v>
      </c>
      <c r="L15772">
        <v>1</v>
      </c>
      <c r="M15772">
        <v>3</v>
      </c>
      <c r="N15772">
        <v>1</v>
      </c>
    </row>
    <row r="15773" spans="1:15">
      <c r="A15773" t="s">
        <v>50075</v>
      </c>
      <c r="B15773" t="s">
        <v>19568</v>
      </c>
      <c r="C15773" t="s">
        <v>19570</v>
      </c>
      <c r="D15773" t="s">
        <v>50076</v>
      </c>
      <c r="E15773" t="b">
        <v>0</v>
      </c>
      <c r="F15773" t="s">
        <v>11610</v>
      </c>
      <c r="L15773">
        <v>0</v>
      </c>
      <c r="M15773">
        <v>0</v>
      </c>
      <c r="N15773">
        <v>0</v>
      </c>
    </row>
    <row r="15774" spans="1:15">
      <c r="A15774" t="s">
        <v>23483</v>
      </c>
      <c r="B15774" t="s">
        <v>23482</v>
      </c>
      <c r="C15774" t="s">
        <v>23482</v>
      </c>
      <c r="D15774" t="s">
        <v>50077</v>
      </c>
      <c r="E15774" t="b">
        <v>0</v>
      </c>
      <c r="F15774" t="s">
        <v>11622</v>
      </c>
      <c r="L15774">
        <v>0</v>
      </c>
      <c r="M15774">
        <v>3</v>
      </c>
      <c r="N15774">
        <v>0</v>
      </c>
    </row>
    <row r="15775" spans="1:15">
      <c r="A15775" t="s">
        <v>32850</v>
      </c>
      <c r="B15775" t="s">
        <v>22306</v>
      </c>
      <c r="C15775" t="s">
        <v>45328</v>
      </c>
      <c r="D15775" t="s">
        <v>50078</v>
      </c>
      <c r="E15775" t="b">
        <v>0</v>
      </c>
      <c r="F15775" t="s">
        <v>11622</v>
      </c>
      <c r="L15775">
        <v>0</v>
      </c>
      <c r="M15775">
        <v>2</v>
      </c>
      <c r="N15775">
        <v>1</v>
      </c>
    </row>
    <row r="15776" spans="1:15">
      <c r="A15776" t="s">
        <v>50079</v>
      </c>
      <c r="B15776" t="s">
        <v>11912</v>
      </c>
      <c r="C15776" t="s">
        <v>24704</v>
      </c>
      <c r="D15776" t="s">
        <v>50080</v>
      </c>
      <c r="E15776" t="b">
        <v>0</v>
      </c>
      <c r="F15776" t="s">
        <v>11610</v>
      </c>
      <c r="L15776">
        <v>0</v>
      </c>
      <c r="M15776">
        <v>0</v>
      </c>
      <c r="N15776">
        <v>0</v>
      </c>
    </row>
    <row r="15777" spans="1:15">
      <c r="A15777" t="s">
        <v>50081</v>
      </c>
      <c r="B15777" t="s">
        <v>20873</v>
      </c>
      <c r="C15777" t="s">
        <v>20876</v>
      </c>
      <c r="D15777" t="s">
        <v>50082</v>
      </c>
      <c r="E15777" t="b">
        <v>0</v>
      </c>
      <c r="F15777" t="s">
        <v>11610</v>
      </c>
      <c r="L15777">
        <v>0</v>
      </c>
      <c r="M15777">
        <v>0</v>
      </c>
      <c r="N15777">
        <v>0</v>
      </c>
    </row>
    <row r="15778" spans="1:15">
      <c r="A15778" t="s">
        <v>50083</v>
      </c>
      <c r="B15778" t="s">
        <v>978</v>
      </c>
      <c r="C15778" t="s">
        <v>979</v>
      </c>
      <c r="D15778" t="s">
        <v>50084</v>
      </c>
      <c r="E15778" t="b">
        <v>0</v>
      </c>
      <c r="F15778" t="s">
        <v>11610</v>
      </c>
      <c r="L15778">
        <v>0</v>
      </c>
      <c r="M15778">
        <v>0</v>
      </c>
      <c r="N15778">
        <v>0</v>
      </c>
    </row>
    <row r="15779" spans="1:15">
      <c r="A15779" t="s">
        <v>50085</v>
      </c>
      <c r="B15779" t="s">
        <v>13244</v>
      </c>
      <c r="C15779" t="s">
        <v>22761</v>
      </c>
      <c r="D15779" t="s">
        <v>50086</v>
      </c>
      <c r="E15779" t="b">
        <v>0</v>
      </c>
      <c r="F15779" t="s">
        <v>11610</v>
      </c>
      <c r="L15779">
        <v>0</v>
      </c>
      <c r="M15779">
        <v>0</v>
      </c>
      <c r="N15779">
        <v>0</v>
      </c>
    </row>
    <row r="15780" spans="1:15">
      <c r="A15780" t="s">
        <v>21729</v>
      </c>
      <c r="B15780" t="s">
        <v>393</v>
      </c>
      <c r="C15780" t="s">
        <v>393</v>
      </c>
      <c r="D15780" t="s">
        <v>50087</v>
      </c>
      <c r="E15780" t="b">
        <v>0</v>
      </c>
      <c r="F15780" t="s">
        <v>11622</v>
      </c>
      <c r="I15780" t="s">
        <v>50088</v>
      </c>
      <c r="L15780">
        <v>0</v>
      </c>
      <c r="M15780">
        <v>2</v>
      </c>
      <c r="N15780">
        <v>0</v>
      </c>
      <c r="O15780" t="s">
        <v>14185</v>
      </c>
    </row>
    <row r="15781" spans="1:15">
      <c r="A15781" t="s">
        <v>8344</v>
      </c>
      <c r="B15781" t="s">
        <v>11627</v>
      </c>
      <c r="C15781" t="s">
        <v>11627</v>
      </c>
      <c r="D15781" t="s">
        <v>50089</v>
      </c>
      <c r="E15781" t="b">
        <v>1</v>
      </c>
      <c r="F15781" t="s">
        <v>11624</v>
      </c>
      <c r="G15781">
        <v>-8.1912099999999999</v>
      </c>
      <c r="H15781">
        <v>-70.382199999999997</v>
      </c>
      <c r="I15781" t="s">
        <v>8346</v>
      </c>
      <c r="L15781">
        <v>0</v>
      </c>
      <c r="M15781">
        <v>0</v>
      </c>
      <c r="N15781">
        <v>0</v>
      </c>
      <c r="O15781" t="s">
        <v>11969</v>
      </c>
    </row>
    <row r="15782" spans="1:15">
      <c r="A15782" t="s">
        <v>50090</v>
      </c>
      <c r="B15782" t="s">
        <v>11879</v>
      </c>
      <c r="C15782" t="s">
        <v>24903</v>
      </c>
      <c r="D15782" t="s">
        <v>50091</v>
      </c>
      <c r="E15782" t="b">
        <v>0</v>
      </c>
      <c r="F15782" t="s">
        <v>11610</v>
      </c>
      <c r="L15782">
        <v>0</v>
      </c>
      <c r="M15782">
        <v>0</v>
      </c>
      <c r="N15782">
        <v>0</v>
      </c>
    </row>
    <row r="15783" spans="1:15">
      <c r="A15783" t="s">
        <v>50092</v>
      </c>
      <c r="B15783" t="s">
        <v>11879</v>
      </c>
      <c r="C15783" t="s">
        <v>20900</v>
      </c>
      <c r="D15783" t="s">
        <v>50093</v>
      </c>
      <c r="E15783" t="b">
        <v>0</v>
      </c>
      <c r="F15783" t="s">
        <v>11610</v>
      </c>
      <c r="L15783">
        <v>0</v>
      </c>
      <c r="M15783">
        <v>0</v>
      </c>
      <c r="N15783">
        <v>0</v>
      </c>
    </row>
    <row r="15784" spans="1:15">
      <c r="A15784" t="s">
        <v>50094</v>
      </c>
      <c r="B15784" t="s">
        <v>11894</v>
      </c>
      <c r="C15784" t="s">
        <v>16707</v>
      </c>
      <c r="D15784" t="s">
        <v>50095</v>
      </c>
      <c r="E15784" t="b">
        <v>0</v>
      </c>
      <c r="F15784" t="s">
        <v>11610</v>
      </c>
      <c r="L15784">
        <v>0</v>
      </c>
      <c r="M15784">
        <v>0</v>
      </c>
      <c r="N15784">
        <v>0</v>
      </c>
    </row>
    <row r="15785" spans="1:15">
      <c r="A15785" t="s">
        <v>50096</v>
      </c>
      <c r="B15785" t="s">
        <v>11607</v>
      </c>
      <c r="C15785" t="s">
        <v>17682</v>
      </c>
      <c r="D15785" t="s">
        <v>50097</v>
      </c>
      <c r="E15785" t="b">
        <v>0</v>
      </c>
      <c r="F15785" t="s">
        <v>11610</v>
      </c>
      <c r="L15785">
        <v>0</v>
      </c>
      <c r="M15785">
        <v>0</v>
      </c>
      <c r="N15785">
        <v>0</v>
      </c>
    </row>
    <row r="15786" spans="1:15">
      <c r="A15786" t="s">
        <v>50098</v>
      </c>
      <c r="B15786" t="s">
        <v>11607</v>
      </c>
      <c r="C15786" t="s">
        <v>23988</v>
      </c>
      <c r="D15786" t="s">
        <v>50099</v>
      </c>
      <c r="E15786" t="b">
        <v>0</v>
      </c>
      <c r="F15786" t="s">
        <v>11610</v>
      </c>
      <c r="L15786">
        <v>0</v>
      </c>
      <c r="M15786">
        <v>0</v>
      </c>
      <c r="N15786">
        <v>0</v>
      </c>
    </row>
    <row r="15787" spans="1:15">
      <c r="A15787" t="s">
        <v>50100</v>
      </c>
      <c r="B15787" t="s">
        <v>11607</v>
      </c>
      <c r="C15787" t="s">
        <v>13119</v>
      </c>
      <c r="D15787" t="s">
        <v>50101</v>
      </c>
      <c r="E15787" t="b">
        <v>0</v>
      </c>
      <c r="F15787" t="s">
        <v>11610</v>
      </c>
      <c r="L15787">
        <v>0</v>
      </c>
      <c r="M15787">
        <v>0</v>
      </c>
      <c r="N15787">
        <v>0</v>
      </c>
    </row>
    <row r="15788" spans="1:15">
      <c r="A15788" t="s">
        <v>50102</v>
      </c>
      <c r="B15788" t="s">
        <v>11607</v>
      </c>
      <c r="C15788" t="s">
        <v>44899</v>
      </c>
      <c r="D15788" t="s">
        <v>50103</v>
      </c>
      <c r="E15788" t="b">
        <v>0</v>
      </c>
      <c r="F15788" t="s">
        <v>11610</v>
      </c>
      <c r="L15788">
        <v>0</v>
      </c>
      <c r="M15788">
        <v>0</v>
      </c>
      <c r="N15788">
        <v>0</v>
      </c>
    </row>
    <row r="15789" spans="1:15">
      <c r="A15789" t="s">
        <v>50104</v>
      </c>
      <c r="B15789" t="s">
        <v>11607</v>
      </c>
      <c r="C15789" t="s">
        <v>28240</v>
      </c>
      <c r="D15789" t="s">
        <v>50105</v>
      </c>
      <c r="E15789" t="b">
        <v>0</v>
      </c>
      <c r="F15789" t="s">
        <v>11610</v>
      </c>
      <c r="L15789">
        <v>0</v>
      </c>
      <c r="M15789">
        <v>0</v>
      </c>
      <c r="N15789">
        <v>0</v>
      </c>
    </row>
    <row r="15790" spans="1:15">
      <c r="A15790" t="s">
        <v>50106</v>
      </c>
      <c r="B15790" t="s">
        <v>11607</v>
      </c>
      <c r="C15790" t="s">
        <v>21752</v>
      </c>
      <c r="D15790" t="s">
        <v>50107</v>
      </c>
      <c r="E15790" t="b">
        <v>0</v>
      </c>
      <c r="F15790" t="s">
        <v>11610</v>
      </c>
      <c r="L15790">
        <v>0</v>
      </c>
      <c r="M15790">
        <v>0</v>
      </c>
      <c r="N15790">
        <v>0</v>
      </c>
    </row>
    <row r="15791" spans="1:15">
      <c r="A15791" t="s">
        <v>50108</v>
      </c>
      <c r="B15791" t="s">
        <v>11607</v>
      </c>
      <c r="C15791" t="s">
        <v>43925</v>
      </c>
      <c r="D15791" t="s">
        <v>50109</v>
      </c>
      <c r="E15791" t="b">
        <v>0</v>
      </c>
      <c r="F15791" t="s">
        <v>11610</v>
      </c>
      <c r="L15791">
        <v>0</v>
      </c>
      <c r="M15791">
        <v>0</v>
      </c>
      <c r="N15791">
        <v>0</v>
      </c>
    </row>
    <row r="15792" spans="1:15">
      <c r="A15792" t="s">
        <v>50110</v>
      </c>
      <c r="B15792" t="s">
        <v>11607</v>
      </c>
      <c r="C15792" t="s">
        <v>19217</v>
      </c>
      <c r="D15792" t="s">
        <v>50111</v>
      </c>
      <c r="E15792" t="b">
        <v>0</v>
      </c>
      <c r="F15792" t="s">
        <v>11610</v>
      </c>
      <c r="L15792">
        <v>0</v>
      </c>
      <c r="M15792">
        <v>0</v>
      </c>
      <c r="N15792">
        <v>0</v>
      </c>
    </row>
    <row r="15793" spans="1:15">
      <c r="A15793" t="s">
        <v>50112</v>
      </c>
      <c r="B15793" t="s">
        <v>11607</v>
      </c>
      <c r="C15793" t="s">
        <v>28437</v>
      </c>
      <c r="D15793" t="s">
        <v>50113</v>
      </c>
      <c r="E15793" t="b">
        <v>0</v>
      </c>
      <c r="F15793" t="s">
        <v>11610</v>
      </c>
      <c r="L15793">
        <v>0</v>
      </c>
      <c r="M15793">
        <v>0</v>
      </c>
      <c r="N15793">
        <v>0</v>
      </c>
    </row>
    <row r="15794" spans="1:15">
      <c r="A15794" t="s">
        <v>47913</v>
      </c>
      <c r="B15794" t="s">
        <v>11607</v>
      </c>
      <c r="C15794" t="s">
        <v>23741</v>
      </c>
      <c r="D15794" t="s">
        <v>50114</v>
      </c>
      <c r="E15794" t="b">
        <v>0</v>
      </c>
      <c r="F15794" t="s">
        <v>11624</v>
      </c>
      <c r="G15794">
        <v>10.3521</v>
      </c>
      <c r="H15794">
        <v>13.6318</v>
      </c>
      <c r="I15794" t="s">
        <v>50115</v>
      </c>
      <c r="L15794">
        <v>0</v>
      </c>
      <c r="M15794">
        <v>0</v>
      </c>
      <c r="N15794">
        <v>2</v>
      </c>
      <c r="O15794" t="s">
        <v>11802</v>
      </c>
    </row>
    <row r="15795" spans="1:15">
      <c r="A15795" t="s">
        <v>50116</v>
      </c>
      <c r="B15795" t="s">
        <v>11607</v>
      </c>
      <c r="C15795" t="s">
        <v>28216</v>
      </c>
      <c r="D15795" t="s">
        <v>50117</v>
      </c>
      <c r="E15795" t="b">
        <v>0</v>
      </c>
      <c r="F15795" t="s">
        <v>11610</v>
      </c>
      <c r="L15795">
        <v>0</v>
      </c>
      <c r="M15795">
        <v>0</v>
      </c>
      <c r="N15795">
        <v>0</v>
      </c>
    </row>
    <row r="15796" spans="1:15">
      <c r="A15796" t="s">
        <v>50118</v>
      </c>
      <c r="B15796" t="s">
        <v>11607</v>
      </c>
      <c r="C15796" t="s">
        <v>50119</v>
      </c>
      <c r="D15796" t="s">
        <v>50120</v>
      </c>
      <c r="E15796" t="b">
        <v>0</v>
      </c>
      <c r="F15796" t="s">
        <v>11610</v>
      </c>
      <c r="L15796">
        <v>0</v>
      </c>
      <c r="M15796">
        <v>0</v>
      </c>
      <c r="N15796">
        <v>0</v>
      </c>
    </row>
    <row r="15797" spans="1:15">
      <c r="A15797" t="s">
        <v>50121</v>
      </c>
      <c r="B15797" t="s">
        <v>11607</v>
      </c>
      <c r="C15797" t="s">
        <v>20041</v>
      </c>
      <c r="D15797" t="s">
        <v>50122</v>
      </c>
      <c r="E15797" t="b">
        <v>0</v>
      </c>
      <c r="F15797" t="s">
        <v>11610</v>
      </c>
      <c r="L15797">
        <v>0</v>
      </c>
      <c r="M15797">
        <v>0</v>
      </c>
      <c r="N15797">
        <v>0</v>
      </c>
    </row>
    <row r="15798" spans="1:15">
      <c r="A15798" t="s">
        <v>50123</v>
      </c>
      <c r="B15798" t="s">
        <v>11607</v>
      </c>
      <c r="C15798" t="s">
        <v>31794</v>
      </c>
      <c r="D15798" t="s">
        <v>50124</v>
      </c>
      <c r="E15798" t="b">
        <v>0</v>
      </c>
      <c r="F15798" t="s">
        <v>11610</v>
      </c>
      <c r="L15798">
        <v>0</v>
      </c>
      <c r="M15798">
        <v>0</v>
      </c>
      <c r="N15798">
        <v>0</v>
      </c>
    </row>
    <row r="15799" spans="1:15">
      <c r="A15799" t="s">
        <v>50125</v>
      </c>
      <c r="B15799" t="s">
        <v>11607</v>
      </c>
      <c r="C15799" t="s">
        <v>25360</v>
      </c>
      <c r="D15799" t="s">
        <v>50126</v>
      </c>
      <c r="E15799" t="b">
        <v>0</v>
      </c>
      <c r="F15799" t="s">
        <v>11610</v>
      </c>
      <c r="L15799">
        <v>0</v>
      </c>
      <c r="M15799">
        <v>0</v>
      </c>
      <c r="N15799">
        <v>0</v>
      </c>
    </row>
    <row r="15800" spans="1:15">
      <c r="A15800" t="s">
        <v>50127</v>
      </c>
      <c r="B15800" t="s">
        <v>11607</v>
      </c>
      <c r="C15800" t="s">
        <v>43265</v>
      </c>
      <c r="D15800" t="s">
        <v>50128</v>
      </c>
      <c r="E15800" t="b">
        <v>0</v>
      </c>
      <c r="F15800" t="s">
        <v>11610</v>
      </c>
      <c r="L15800">
        <v>0</v>
      </c>
      <c r="M15800">
        <v>0</v>
      </c>
      <c r="N15800">
        <v>0</v>
      </c>
    </row>
    <row r="15801" spans="1:15">
      <c r="A15801" t="s">
        <v>50129</v>
      </c>
      <c r="B15801" t="s">
        <v>11607</v>
      </c>
      <c r="C15801" t="s">
        <v>19078</v>
      </c>
      <c r="D15801" t="s">
        <v>50130</v>
      </c>
      <c r="E15801" t="b">
        <v>0</v>
      </c>
      <c r="F15801" t="s">
        <v>11610</v>
      </c>
      <c r="L15801">
        <v>0</v>
      </c>
      <c r="M15801">
        <v>0</v>
      </c>
      <c r="N15801">
        <v>0</v>
      </c>
    </row>
    <row r="15802" spans="1:15">
      <c r="A15802" t="s">
        <v>50131</v>
      </c>
      <c r="B15802" t="s">
        <v>11607</v>
      </c>
      <c r="C15802" t="s">
        <v>28757</v>
      </c>
      <c r="D15802" t="s">
        <v>50132</v>
      </c>
      <c r="E15802" t="b">
        <v>0</v>
      </c>
      <c r="F15802" t="s">
        <v>11610</v>
      </c>
      <c r="L15802">
        <v>0</v>
      </c>
      <c r="M15802">
        <v>0</v>
      </c>
      <c r="N15802">
        <v>0</v>
      </c>
    </row>
    <row r="15803" spans="1:15">
      <c r="A15803" t="s">
        <v>50133</v>
      </c>
      <c r="B15803" t="s">
        <v>11607</v>
      </c>
      <c r="C15803" t="s">
        <v>19315</v>
      </c>
      <c r="D15803" t="s">
        <v>50134</v>
      </c>
      <c r="E15803" t="b">
        <v>0</v>
      </c>
      <c r="F15803" t="s">
        <v>11610</v>
      </c>
      <c r="L15803">
        <v>0</v>
      </c>
      <c r="M15803">
        <v>0</v>
      </c>
      <c r="N15803">
        <v>0</v>
      </c>
    </row>
    <row r="15804" spans="1:15">
      <c r="A15804" t="s">
        <v>50135</v>
      </c>
      <c r="B15804" t="s">
        <v>11607</v>
      </c>
      <c r="C15804" t="s">
        <v>24079</v>
      </c>
      <c r="D15804" t="s">
        <v>50136</v>
      </c>
      <c r="E15804" t="b">
        <v>0</v>
      </c>
      <c r="F15804" t="s">
        <v>11610</v>
      </c>
      <c r="L15804">
        <v>0</v>
      </c>
      <c r="M15804">
        <v>0</v>
      </c>
      <c r="N15804">
        <v>0</v>
      </c>
    </row>
    <row r="15805" spans="1:15">
      <c r="A15805" t="s">
        <v>50137</v>
      </c>
      <c r="B15805" t="s">
        <v>11607</v>
      </c>
      <c r="C15805" t="s">
        <v>19728</v>
      </c>
      <c r="D15805" t="s">
        <v>50138</v>
      </c>
      <c r="E15805" t="b">
        <v>0</v>
      </c>
      <c r="F15805" t="s">
        <v>11610</v>
      </c>
      <c r="L15805">
        <v>0</v>
      </c>
      <c r="M15805">
        <v>0</v>
      </c>
      <c r="N15805">
        <v>0</v>
      </c>
    </row>
    <row r="15806" spans="1:15">
      <c r="A15806" t="s">
        <v>27849</v>
      </c>
      <c r="B15806" t="s">
        <v>11607</v>
      </c>
      <c r="C15806" t="s">
        <v>17716</v>
      </c>
      <c r="D15806" t="s">
        <v>50139</v>
      </c>
      <c r="E15806" t="b">
        <v>0</v>
      </c>
      <c r="F15806" t="s">
        <v>11624</v>
      </c>
      <c r="G15806">
        <v>11.4839</v>
      </c>
      <c r="H15806">
        <v>11.232200000000001</v>
      </c>
      <c r="I15806" t="s">
        <v>50140</v>
      </c>
      <c r="L15806">
        <v>0</v>
      </c>
      <c r="M15806">
        <v>0</v>
      </c>
      <c r="N15806">
        <v>2</v>
      </c>
      <c r="O15806" t="s">
        <v>11693</v>
      </c>
    </row>
    <row r="15807" spans="1:15">
      <c r="A15807" t="s">
        <v>18605</v>
      </c>
      <c r="B15807" t="s">
        <v>11607</v>
      </c>
      <c r="C15807" t="s">
        <v>38639</v>
      </c>
      <c r="D15807" t="s">
        <v>50141</v>
      </c>
      <c r="E15807" t="b">
        <v>0</v>
      </c>
      <c r="F15807" t="s">
        <v>11624</v>
      </c>
      <c r="G15807">
        <v>9.7544400000000007</v>
      </c>
      <c r="H15807">
        <v>11.322800000000001</v>
      </c>
      <c r="I15807" t="s">
        <v>50142</v>
      </c>
      <c r="L15807">
        <v>0</v>
      </c>
      <c r="M15807">
        <v>0</v>
      </c>
      <c r="N15807">
        <v>4</v>
      </c>
      <c r="O15807" t="s">
        <v>11693</v>
      </c>
    </row>
    <row r="15808" spans="1:15">
      <c r="A15808" t="s">
        <v>50143</v>
      </c>
      <c r="B15808" t="s">
        <v>11607</v>
      </c>
      <c r="C15808" t="s">
        <v>20786</v>
      </c>
      <c r="D15808" t="s">
        <v>50144</v>
      </c>
      <c r="E15808" t="b">
        <v>0</v>
      </c>
      <c r="F15808" t="s">
        <v>11610</v>
      </c>
      <c r="L15808">
        <v>0</v>
      </c>
      <c r="M15808">
        <v>0</v>
      </c>
      <c r="N15808">
        <v>0</v>
      </c>
    </row>
    <row r="15809" spans="1:15">
      <c r="A15809" t="s">
        <v>50145</v>
      </c>
      <c r="B15809" t="s">
        <v>11607</v>
      </c>
      <c r="C15809" t="s">
        <v>16355</v>
      </c>
      <c r="D15809" t="s">
        <v>50146</v>
      </c>
      <c r="E15809" t="b">
        <v>0</v>
      </c>
      <c r="F15809" t="s">
        <v>11610</v>
      </c>
      <c r="L15809">
        <v>0</v>
      </c>
      <c r="M15809">
        <v>0</v>
      </c>
      <c r="N15809">
        <v>0</v>
      </c>
    </row>
    <row r="15810" spans="1:15">
      <c r="A15810" t="s">
        <v>37331</v>
      </c>
      <c r="B15810" t="s">
        <v>11607</v>
      </c>
      <c r="C15810" t="s">
        <v>41781</v>
      </c>
      <c r="D15810" t="s">
        <v>50147</v>
      </c>
      <c r="E15810" t="b">
        <v>0</v>
      </c>
      <c r="F15810" t="s">
        <v>11622</v>
      </c>
      <c r="L15810">
        <v>6</v>
      </c>
      <c r="M15810">
        <v>8</v>
      </c>
      <c r="N15810">
        <v>18</v>
      </c>
    </row>
    <row r="15811" spans="1:15">
      <c r="A15811" t="s">
        <v>50148</v>
      </c>
      <c r="B15811" t="s">
        <v>11607</v>
      </c>
      <c r="C15811" t="s">
        <v>45832</v>
      </c>
      <c r="D15811" t="s">
        <v>50149</v>
      </c>
      <c r="E15811" t="b">
        <v>0</v>
      </c>
      <c r="F15811" t="s">
        <v>11610</v>
      </c>
      <c r="L15811">
        <v>0</v>
      </c>
      <c r="M15811">
        <v>0</v>
      </c>
      <c r="N15811">
        <v>0</v>
      </c>
    </row>
    <row r="15812" spans="1:15">
      <c r="A15812" t="s">
        <v>50150</v>
      </c>
      <c r="B15812" t="s">
        <v>11607</v>
      </c>
      <c r="C15812" t="s">
        <v>23736</v>
      </c>
      <c r="D15812" t="s">
        <v>50151</v>
      </c>
      <c r="E15812" t="b">
        <v>0</v>
      </c>
      <c r="F15812" t="s">
        <v>11610</v>
      </c>
      <c r="L15812">
        <v>0</v>
      </c>
      <c r="M15812">
        <v>0</v>
      </c>
      <c r="N15812">
        <v>0</v>
      </c>
    </row>
    <row r="15813" spans="1:15">
      <c r="A15813" t="s">
        <v>50152</v>
      </c>
      <c r="B15813" t="s">
        <v>11607</v>
      </c>
      <c r="C15813" t="s">
        <v>24456</v>
      </c>
      <c r="D15813" t="s">
        <v>50153</v>
      </c>
      <c r="E15813" t="b">
        <v>0</v>
      </c>
      <c r="F15813" t="s">
        <v>11610</v>
      </c>
      <c r="L15813">
        <v>0</v>
      </c>
      <c r="M15813">
        <v>0</v>
      </c>
      <c r="N15813">
        <v>0</v>
      </c>
    </row>
    <row r="15814" spans="1:15">
      <c r="A15814" t="s">
        <v>50154</v>
      </c>
      <c r="B15814" t="s">
        <v>11607</v>
      </c>
      <c r="C15814" t="s">
        <v>50155</v>
      </c>
      <c r="D15814" t="s">
        <v>50156</v>
      </c>
      <c r="E15814" t="b">
        <v>0</v>
      </c>
      <c r="F15814" t="s">
        <v>11610</v>
      </c>
      <c r="L15814">
        <v>0</v>
      </c>
      <c r="M15814">
        <v>0</v>
      </c>
      <c r="N15814">
        <v>0</v>
      </c>
    </row>
    <row r="15815" spans="1:15">
      <c r="A15815" t="s">
        <v>12472</v>
      </c>
      <c r="B15815" t="s">
        <v>11607</v>
      </c>
      <c r="C15815" t="s">
        <v>23115</v>
      </c>
      <c r="D15815" t="s">
        <v>50157</v>
      </c>
      <c r="E15815" t="b">
        <v>0</v>
      </c>
      <c r="F15815" t="s">
        <v>11624</v>
      </c>
      <c r="G15815">
        <v>31.3443</v>
      </c>
      <c r="H15815">
        <v>48.812800000000003</v>
      </c>
      <c r="I15815" t="s">
        <v>50158</v>
      </c>
      <c r="L15815">
        <v>0</v>
      </c>
      <c r="M15815">
        <v>0</v>
      </c>
      <c r="N15815">
        <v>3</v>
      </c>
      <c r="O15815" t="s">
        <v>50159</v>
      </c>
    </row>
    <row r="15816" spans="1:15">
      <c r="A15816" t="s">
        <v>50160</v>
      </c>
      <c r="B15816" t="s">
        <v>11607</v>
      </c>
      <c r="C15816" t="s">
        <v>26446</v>
      </c>
      <c r="D15816" t="s">
        <v>50161</v>
      </c>
      <c r="E15816" t="b">
        <v>0</v>
      </c>
      <c r="F15816" t="s">
        <v>11610</v>
      </c>
      <c r="L15816">
        <v>0</v>
      </c>
      <c r="M15816">
        <v>0</v>
      </c>
      <c r="N15816">
        <v>0</v>
      </c>
    </row>
    <row r="15817" spans="1:15">
      <c r="A15817" t="s">
        <v>11834</v>
      </c>
      <c r="D15817" t="s">
        <v>50162</v>
      </c>
      <c r="E15817" t="b">
        <v>0</v>
      </c>
      <c r="F15817" t="s">
        <v>11622</v>
      </c>
      <c r="L15817">
        <v>27</v>
      </c>
      <c r="M15817">
        <v>55</v>
      </c>
      <c r="N15817">
        <v>46</v>
      </c>
    </row>
    <row r="15818" spans="1:15">
      <c r="A15818" t="s">
        <v>11615</v>
      </c>
      <c r="D15818" t="s">
        <v>50163</v>
      </c>
      <c r="E15818" t="b">
        <v>0</v>
      </c>
      <c r="F15818" t="s">
        <v>11622</v>
      </c>
      <c r="L15818">
        <v>166</v>
      </c>
      <c r="M15818">
        <v>314</v>
      </c>
      <c r="N15818">
        <v>284</v>
      </c>
    </row>
    <row r="15819" spans="1:15">
      <c r="A15819" t="s">
        <v>11965</v>
      </c>
      <c r="D15819" t="s">
        <v>50164</v>
      </c>
      <c r="E15819" t="b">
        <v>0</v>
      </c>
      <c r="F15819" t="s">
        <v>11622</v>
      </c>
      <c r="L15819">
        <v>15</v>
      </c>
      <c r="M15819">
        <v>30</v>
      </c>
      <c r="N15819">
        <v>16</v>
      </c>
    </row>
    <row r="15820" spans="1:15">
      <c r="A15820" t="s">
        <v>16961</v>
      </c>
      <c r="B15820" t="s">
        <v>11794</v>
      </c>
      <c r="C15820" t="s">
        <v>11795</v>
      </c>
      <c r="D15820" t="s">
        <v>50165</v>
      </c>
      <c r="E15820" t="b">
        <v>0</v>
      </c>
      <c r="F15820" t="s">
        <v>11622</v>
      </c>
      <c r="L15820">
        <v>0</v>
      </c>
      <c r="M15820">
        <v>4</v>
      </c>
      <c r="N15820">
        <v>1</v>
      </c>
    </row>
    <row r="15821" spans="1:15">
      <c r="A15821" t="s">
        <v>33564</v>
      </c>
      <c r="B15821" t="s">
        <v>5058</v>
      </c>
      <c r="C15821" t="s">
        <v>31288</v>
      </c>
      <c r="D15821" t="s">
        <v>50166</v>
      </c>
      <c r="E15821" t="b">
        <v>0</v>
      </c>
      <c r="F15821" t="s">
        <v>11622</v>
      </c>
      <c r="L15821">
        <v>14</v>
      </c>
      <c r="M15821">
        <v>31</v>
      </c>
      <c r="N15821">
        <v>12</v>
      </c>
    </row>
    <row r="15822" spans="1:15">
      <c r="A15822" t="s">
        <v>23078</v>
      </c>
      <c r="B15822" t="s">
        <v>11637</v>
      </c>
      <c r="C15822" t="s">
        <v>21291</v>
      </c>
      <c r="D15822" t="s">
        <v>50167</v>
      </c>
      <c r="E15822" t="b">
        <v>0</v>
      </c>
      <c r="F15822" t="s">
        <v>11622</v>
      </c>
      <c r="L15822">
        <v>10</v>
      </c>
      <c r="M15822">
        <v>13</v>
      </c>
      <c r="N15822">
        <v>24</v>
      </c>
    </row>
    <row r="15823" spans="1:15">
      <c r="A15823" t="s">
        <v>12851</v>
      </c>
      <c r="B15823" t="s">
        <v>11912</v>
      </c>
      <c r="C15823" t="s">
        <v>41980</v>
      </c>
      <c r="D15823" t="s">
        <v>50168</v>
      </c>
      <c r="E15823" t="b">
        <v>0</v>
      </c>
      <c r="F15823" t="s">
        <v>11622</v>
      </c>
      <c r="L15823">
        <v>1</v>
      </c>
      <c r="M15823">
        <v>5</v>
      </c>
      <c r="N15823">
        <v>0</v>
      </c>
    </row>
    <row r="15824" spans="1:15">
      <c r="A15824" t="s">
        <v>27888</v>
      </c>
      <c r="B15824" t="s">
        <v>12260</v>
      </c>
      <c r="C15824" t="s">
        <v>38940</v>
      </c>
      <c r="D15824" t="s">
        <v>50169</v>
      </c>
      <c r="E15824" t="b">
        <v>0</v>
      </c>
      <c r="F15824" t="s">
        <v>11622</v>
      </c>
      <c r="L15824">
        <v>0</v>
      </c>
      <c r="M15824">
        <v>3</v>
      </c>
      <c r="N15824">
        <v>10</v>
      </c>
    </row>
    <row r="15825" spans="1:14">
      <c r="A15825" t="s">
        <v>27807</v>
      </c>
      <c r="B15825" t="s">
        <v>11729</v>
      </c>
      <c r="C15825" t="s">
        <v>50170</v>
      </c>
      <c r="D15825" t="s">
        <v>50171</v>
      </c>
      <c r="E15825" t="b">
        <v>0</v>
      </c>
      <c r="F15825" t="s">
        <v>11622</v>
      </c>
      <c r="L15825">
        <v>18</v>
      </c>
      <c r="M15825">
        <v>30</v>
      </c>
      <c r="N15825">
        <v>73</v>
      </c>
    </row>
    <row r="15826" spans="1:14">
      <c r="A15826" t="s">
        <v>26003</v>
      </c>
      <c r="B15826" t="s">
        <v>5058</v>
      </c>
      <c r="C15826" t="s">
        <v>33564</v>
      </c>
      <c r="D15826" t="s">
        <v>50172</v>
      </c>
      <c r="E15826" t="b">
        <v>0</v>
      </c>
      <c r="F15826" t="s">
        <v>11622</v>
      </c>
      <c r="L15826">
        <v>11</v>
      </c>
      <c r="M15826">
        <v>28</v>
      </c>
      <c r="N15826">
        <v>10</v>
      </c>
    </row>
    <row r="15827" spans="1:14">
      <c r="A15827" t="s">
        <v>19817</v>
      </c>
      <c r="B15827" t="s">
        <v>11834</v>
      </c>
      <c r="C15827" t="s">
        <v>11834</v>
      </c>
      <c r="D15827" t="s">
        <v>50173</v>
      </c>
      <c r="E15827" t="b">
        <v>0</v>
      </c>
      <c r="F15827" t="s">
        <v>11622</v>
      </c>
      <c r="L15827">
        <v>3</v>
      </c>
      <c r="M15827">
        <v>7</v>
      </c>
      <c r="N15827">
        <v>0</v>
      </c>
    </row>
    <row r="15828" spans="1:14">
      <c r="A15828" t="s">
        <v>21828</v>
      </c>
      <c r="B15828" t="s">
        <v>12979</v>
      </c>
      <c r="C15828" t="s">
        <v>222</v>
      </c>
      <c r="D15828" t="s">
        <v>50174</v>
      </c>
      <c r="E15828" t="b">
        <v>0</v>
      </c>
      <c r="F15828" t="s">
        <v>11622</v>
      </c>
      <c r="L15828">
        <v>2</v>
      </c>
      <c r="M15828">
        <v>5</v>
      </c>
      <c r="N15828">
        <v>10</v>
      </c>
    </row>
    <row r="15829" spans="1:14">
      <c r="A15829" t="s">
        <v>50175</v>
      </c>
      <c r="B15829" t="s">
        <v>10597</v>
      </c>
      <c r="C15829" t="s">
        <v>37994</v>
      </c>
      <c r="D15829" t="s">
        <v>50176</v>
      </c>
      <c r="E15829" t="b">
        <v>0</v>
      </c>
      <c r="F15829" t="s">
        <v>11622</v>
      </c>
      <c r="L15829">
        <v>2</v>
      </c>
      <c r="M15829">
        <v>5</v>
      </c>
      <c r="N15829">
        <v>0</v>
      </c>
    </row>
    <row r="15830" spans="1:14">
      <c r="A15830" t="s">
        <v>26595</v>
      </c>
      <c r="B15830" t="s">
        <v>367</v>
      </c>
      <c r="C15830" t="s">
        <v>50177</v>
      </c>
      <c r="D15830" t="s">
        <v>50178</v>
      </c>
      <c r="E15830" t="b">
        <v>0</v>
      </c>
      <c r="F15830" t="s">
        <v>11622</v>
      </c>
      <c r="L15830">
        <v>1</v>
      </c>
      <c r="M15830">
        <v>4</v>
      </c>
      <c r="N15830">
        <v>4</v>
      </c>
    </row>
    <row r="15831" spans="1:14">
      <c r="A15831" t="s">
        <v>18010</v>
      </c>
      <c r="B15831" t="s">
        <v>367</v>
      </c>
      <c r="C15831" t="s">
        <v>5048</v>
      </c>
      <c r="D15831" t="s">
        <v>50179</v>
      </c>
      <c r="E15831" t="b">
        <v>0</v>
      </c>
      <c r="F15831" t="s">
        <v>11622</v>
      </c>
      <c r="L15831">
        <v>0</v>
      </c>
      <c r="M15831">
        <v>2</v>
      </c>
      <c r="N15831">
        <v>3</v>
      </c>
    </row>
    <row r="15832" spans="1:14">
      <c r="A15832" t="s">
        <v>30772</v>
      </c>
      <c r="B15832" t="s">
        <v>11637</v>
      </c>
      <c r="C15832" t="s">
        <v>31159</v>
      </c>
      <c r="D15832" t="s">
        <v>50180</v>
      </c>
      <c r="E15832" t="b">
        <v>0</v>
      </c>
      <c r="F15832" t="s">
        <v>11622</v>
      </c>
      <c r="L15832">
        <v>0</v>
      </c>
      <c r="M15832">
        <v>5</v>
      </c>
      <c r="N15832">
        <v>14</v>
      </c>
    </row>
    <row r="15833" spans="1:14">
      <c r="A15833" t="s">
        <v>25947</v>
      </c>
      <c r="B15833" t="s">
        <v>11644</v>
      </c>
      <c r="C15833" t="s">
        <v>30257</v>
      </c>
      <c r="D15833" t="s">
        <v>50181</v>
      </c>
      <c r="E15833" t="b">
        <v>0</v>
      </c>
      <c r="F15833" t="s">
        <v>11622</v>
      </c>
      <c r="L15833">
        <v>0</v>
      </c>
      <c r="M15833">
        <v>3</v>
      </c>
      <c r="N15833">
        <v>8</v>
      </c>
    </row>
    <row r="15834" spans="1:14">
      <c r="A15834" t="s">
        <v>14285</v>
      </c>
      <c r="B15834" t="s">
        <v>11644</v>
      </c>
      <c r="C15834" t="s">
        <v>32531</v>
      </c>
      <c r="D15834" t="s">
        <v>50182</v>
      </c>
      <c r="E15834" t="b">
        <v>0</v>
      </c>
      <c r="F15834" t="s">
        <v>11622</v>
      </c>
      <c r="L15834">
        <v>2</v>
      </c>
      <c r="M15834">
        <v>5</v>
      </c>
      <c r="N15834">
        <v>6</v>
      </c>
    </row>
    <row r="15835" spans="1:14">
      <c r="A15835" t="s">
        <v>12281</v>
      </c>
      <c r="B15835" t="s">
        <v>6742</v>
      </c>
      <c r="C15835" t="s">
        <v>27523</v>
      </c>
      <c r="D15835" t="s">
        <v>50183</v>
      </c>
      <c r="E15835" t="b">
        <v>0</v>
      </c>
      <c r="F15835" t="s">
        <v>11622</v>
      </c>
      <c r="L15835">
        <v>0</v>
      </c>
      <c r="M15835">
        <v>4</v>
      </c>
      <c r="N15835">
        <v>11</v>
      </c>
    </row>
    <row r="15836" spans="1:14">
      <c r="A15836" t="s">
        <v>18177</v>
      </c>
      <c r="B15836" t="s">
        <v>367</v>
      </c>
      <c r="C15836" t="s">
        <v>5294</v>
      </c>
      <c r="D15836" t="s">
        <v>50184</v>
      </c>
      <c r="E15836" t="b">
        <v>0</v>
      </c>
      <c r="F15836" t="s">
        <v>11622</v>
      </c>
      <c r="L15836">
        <v>15</v>
      </c>
      <c r="M15836">
        <v>45</v>
      </c>
      <c r="N15836">
        <v>55</v>
      </c>
    </row>
    <row r="15837" spans="1:14">
      <c r="A15837" t="s">
        <v>40336</v>
      </c>
      <c r="B15837" t="s">
        <v>11644</v>
      </c>
      <c r="C15837" t="s">
        <v>40290</v>
      </c>
      <c r="D15837" t="s">
        <v>50185</v>
      </c>
      <c r="E15837" t="b">
        <v>0</v>
      </c>
      <c r="F15837" t="s">
        <v>11622</v>
      </c>
      <c r="L15837">
        <v>9</v>
      </c>
      <c r="M15837">
        <v>14</v>
      </c>
      <c r="N15837">
        <v>6</v>
      </c>
    </row>
    <row r="15838" spans="1:14">
      <c r="A15838" t="s">
        <v>28359</v>
      </c>
      <c r="B15838" t="s">
        <v>11607</v>
      </c>
      <c r="C15838" t="s">
        <v>19246</v>
      </c>
      <c r="D15838" t="s">
        <v>50186</v>
      </c>
      <c r="E15838" t="b">
        <v>0</v>
      </c>
      <c r="F15838" t="s">
        <v>11622</v>
      </c>
      <c r="L15838">
        <v>7</v>
      </c>
      <c r="M15838">
        <v>9</v>
      </c>
      <c r="N15838">
        <v>5</v>
      </c>
    </row>
    <row r="15839" spans="1:14">
      <c r="A15839" t="s">
        <v>8134</v>
      </c>
      <c r="B15839" t="s">
        <v>11607</v>
      </c>
      <c r="C15839" t="s">
        <v>37331</v>
      </c>
      <c r="D15839" t="s">
        <v>50187</v>
      </c>
      <c r="E15839" t="b">
        <v>0</v>
      </c>
      <c r="F15839" t="s">
        <v>11622</v>
      </c>
      <c r="L15839">
        <v>3</v>
      </c>
      <c r="M15839">
        <v>5</v>
      </c>
      <c r="N15839">
        <v>18</v>
      </c>
    </row>
    <row r="15840" spans="1:14">
      <c r="A15840" t="s">
        <v>24479</v>
      </c>
      <c r="B15840" t="s">
        <v>6742</v>
      </c>
      <c r="C15840" t="s">
        <v>28837</v>
      </c>
      <c r="D15840" t="s">
        <v>50188</v>
      </c>
      <c r="E15840" t="b">
        <v>0</v>
      </c>
      <c r="F15840" t="s">
        <v>11622</v>
      </c>
      <c r="L15840">
        <v>1</v>
      </c>
      <c r="M15840">
        <v>7</v>
      </c>
      <c r="N15840">
        <v>0</v>
      </c>
    </row>
    <row r="15841" spans="1:14">
      <c r="A15841" t="s">
        <v>19914</v>
      </c>
      <c r="B15841" t="s">
        <v>367</v>
      </c>
      <c r="C15841" t="s">
        <v>45050</v>
      </c>
      <c r="D15841" t="s">
        <v>50189</v>
      </c>
      <c r="E15841" t="b">
        <v>0</v>
      </c>
      <c r="F15841" t="s">
        <v>11622</v>
      </c>
      <c r="L15841">
        <v>1</v>
      </c>
      <c r="M15841">
        <v>3</v>
      </c>
      <c r="N15841">
        <v>1</v>
      </c>
    </row>
    <row r="15842" spans="1:14">
      <c r="A15842" t="s">
        <v>15414</v>
      </c>
      <c r="B15842" t="s">
        <v>11644</v>
      </c>
      <c r="C15842" t="s">
        <v>47883</v>
      </c>
      <c r="D15842" t="s">
        <v>50190</v>
      </c>
      <c r="E15842" t="b">
        <v>0</v>
      </c>
      <c r="F15842" t="s">
        <v>11622</v>
      </c>
      <c r="L15842">
        <v>6</v>
      </c>
      <c r="M15842">
        <v>11</v>
      </c>
      <c r="N15842">
        <v>14</v>
      </c>
    </row>
    <row r="15843" spans="1:14">
      <c r="A15843" t="s">
        <v>24832</v>
      </c>
      <c r="B15843" t="s">
        <v>6742</v>
      </c>
      <c r="C15843" t="s">
        <v>15782</v>
      </c>
      <c r="D15843" t="s">
        <v>50191</v>
      </c>
      <c r="E15843" t="b">
        <v>0</v>
      </c>
      <c r="F15843" t="s">
        <v>11622</v>
      </c>
      <c r="L15843">
        <v>1</v>
      </c>
      <c r="M15843">
        <v>3</v>
      </c>
      <c r="N15843">
        <v>6</v>
      </c>
    </row>
    <row r="15844" spans="1:14">
      <c r="A15844" t="s">
        <v>19967</v>
      </c>
      <c r="B15844" t="s">
        <v>6742</v>
      </c>
      <c r="C15844" t="s">
        <v>19381</v>
      </c>
      <c r="D15844" t="s">
        <v>50192</v>
      </c>
      <c r="E15844" t="b">
        <v>0</v>
      </c>
      <c r="F15844" t="s">
        <v>11622</v>
      </c>
      <c r="L15844">
        <v>0</v>
      </c>
      <c r="M15844">
        <v>3</v>
      </c>
      <c r="N15844">
        <v>1</v>
      </c>
    </row>
    <row r="15845" spans="1:14">
      <c r="A15845" t="s">
        <v>30240</v>
      </c>
      <c r="B15845" t="s">
        <v>6742</v>
      </c>
      <c r="C15845" t="s">
        <v>20242</v>
      </c>
      <c r="D15845" t="s">
        <v>50193</v>
      </c>
      <c r="E15845" t="b">
        <v>0</v>
      </c>
      <c r="F15845" t="s">
        <v>11622</v>
      </c>
      <c r="L15845">
        <v>29</v>
      </c>
      <c r="M15845">
        <v>32</v>
      </c>
      <c r="N15845">
        <v>67</v>
      </c>
    </row>
    <row r="15846" spans="1:14">
      <c r="A15846" t="s">
        <v>41794</v>
      </c>
      <c r="B15846" t="s">
        <v>367</v>
      </c>
      <c r="C15846" t="s">
        <v>50194</v>
      </c>
      <c r="D15846" t="s">
        <v>50195</v>
      </c>
      <c r="E15846" t="b">
        <v>0</v>
      </c>
      <c r="F15846" t="s">
        <v>11622</v>
      </c>
      <c r="L15846">
        <v>14</v>
      </c>
      <c r="M15846">
        <v>43</v>
      </c>
      <c r="N15846">
        <v>97</v>
      </c>
    </row>
    <row r="15847" spans="1:14">
      <c r="A15847" t="s">
        <v>17428</v>
      </c>
      <c r="B15847" t="s">
        <v>6742</v>
      </c>
      <c r="C15847" t="s">
        <v>15665</v>
      </c>
      <c r="D15847" t="s">
        <v>50196</v>
      </c>
      <c r="E15847" t="b">
        <v>0</v>
      </c>
      <c r="F15847" t="s">
        <v>11622</v>
      </c>
      <c r="L15847">
        <v>1</v>
      </c>
      <c r="M15847">
        <v>4</v>
      </c>
      <c r="N15847">
        <v>0</v>
      </c>
    </row>
    <row r="15848" spans="1:14">
      <c r="A15848" t="s">
        <v>41074</v>
      </c>
      <c r="B15848" t="s">
        <v>6742</v>
      </c>
      <c r="C15848" t="s">
        <v>26801</v>
      </c>
      <c r="D15848" t="s">
        <v>50197</v>
      </c>
      <c r="E15848" t="b">
        <v>0</v>
      </c>
      <c r="F15848" t="s">
        <v>11622</v>
      </c>
      <c r="L15848">
        <v>1</v>
      </c>
      <c r="M15848">
        <v>3</v>
      </c>
      <c r="N15848">
        <v>20</v>
      </c>
    </row>
    <row r="15849" spans="1:14">
      <c r="A15849" t="s">
        <v>49081</v>
      </c>
      <c r="B15849" t="s">
        <v>6742</v>
      </c>
      <c r="C15849" t="s">
        <v>49244</v>
      </c>
      <c r="D15849" t="s">
        <v>50198</v>
      </c>
      <c r="E15849" t="b">
        <v>0</v>
      </c>
      <c r="F15849" t="s">
        <v>11622</v>
      </c>
      <c r="L15849">
        <v>13</v>
      </c>
      <c r="M15849">
        <v>16</v>
      </c>
      <c r="N15849">
        <v>36</v>
      </c>
    </row>
    <row r="15850" spans="1:14">
      <c r="A15850" t="s">
        <v>21906</v>
      </c>
      <c r="B15850" t="s">
        <v>367</v>
      </c>
      <c r="C15850" t="s">
        <v>50199</v>
      </c>
      <c r="D15850" t="s">
        <v>50200</v>
      </c>
      <c r="E15850" t="b">
        <v>0</v>
      </c>
      <c r="F15850" t="s">
        <v>11622</v>
      </c>
      <c r="L15850">
        <v>7</v>
      </c>
      <c r="M15850">
        <v>11</v>
      </c>
      <c r="N15850">
        <v>10</v>
      </c>
    </row>
    <row r="15851" spans="1:14">
      <c r="A15851" t="s">
        <v>20159</v>
      </c>
      <c r="B15851" t="s">
        <v>367</v>
      </c>
      <c r="C15851" t="s">
        <v>46992</v>
      </c>
      <c r="D15851" t="s">
        <v>50201</v>
      </c>
      <c r="E15851" t="b">
        <v>0</v>
      </c>
      <c r="F15851" t="s">
        <v>11622</v>
      </c>
      <c r="L15851">
        <v>4</v>
      </c>
      <c r="M15851">
        <v>9</v>
      </c>
      <c r="N15851">
        <v>27</v>
      </c>
    </row>
    <row r="15852" spans="1:14">
      <c r="A15852" t="s">
        <v>18576</v>
      </c>
      <c r="B15852" t="s">
        <v>367</v>
      </c>
      <c r="C15852" t="s">
        <v>24429</v>
      </c>
      <c r="D15852" t="s">
        <v>50202</v>
      </c>
      <c r="E15852" t="b">
        <v>0</v>
      </c>
      <c r="F15852" t="s">
        <v>11622</v>
      </c>
      <c r="L15852">
        <v>0</v>
      </c>
      <c r="M15852">
        <v>5</v>
      </c>
      <c r="N15852">
        <v>13</v>
      </c>
    </row>
    <row r="15853" spans="1:14">
      <c r="A15853" t="s">
        <v>16225</v>
      </c>
      <c r="B15853" t="s">
        <v>367</v>
      </c>
      <c r="C15853" t="s">
        <v>34444</v>
      </c>
      <c r="D15853" t="s">
        <v>50203</v>
      </c>
      <c r="E15853" t="b">
        <v>0</v>
      </c>
      <c r="F15853" t="s">
        <v>11622</v>
      </c>
      <c r="L15853">
        <v>6</v>
      </c>
      <c r="M15853">
        <v>10</v>
      </c>
      <c r="N15853">
        <v>18</v>
      </c>
    </row>
    <row r="15854" spans="1:14">
      <c r="A15854" t="s">
        <v>21189</v>
      </c>
      <c r="B15854" t="s">
        <v>367</v>
      </c>
      <c r="C15854" t="s">
        <v>25581</v>
      </c>
      <c r="D15854" t="s">
        <v>50204</v>
      </c>
      <c r="E15854" t="b">
        <v>0</v>
      </c>
      <c r="F15854" t="s">
        <v>11622</v>
      </c>
      <c r="L15854">
        <v>1</v>
      </c>
      <c r="M15854">
        <v>3</v>
      </c>
      <c r="N15854">
        <v>1</v>
      </c>
    </row>
    <row r="15855" spans="1:14">
      <c r="A15855" t="s">
        <v>17915</v>
      </c>
      <c r="B15855" t="s">
        <v>11615</v>
      </c>
      <c r="C15855" t="s">
        <v>28041</v>
      </c>
      <c r="D15855" t="s">
        <v>50205</v>
      </c>
      <c r="E15855" t="b">
        <v>0</v>
      </c>
      <c r="F15855" t="s">
        <v>11622</v>
      </c>
      <c r="L15855">
        <v>2</v>
      </c>
      <c r="M15855">
        <v>9</v>
      </c>
      <c r="N15855">
        <v>22</v>
      </c>
    </row>
    <row r="15856" spans="1:14">
      <c r="A15856" t="s">
        <v>39560</v>
      </c>
      <c r="B15856" t="s">
        <v>11644</v>
      </c>
      <c r="C15856" t="s">
        <v>42848</v>
      </c>
      <c r="D15856" t="s">
        <v>50206</v>
      </c>
      <c r="E15856" t="b">
        <v>0</v>
      </c>
      <c r="F15856" t="s">
        <v>11622</v>
      </c>
      <c r="L15856">
        <v>0</v>
      </c>
      <c r="M15856">
        <v>4</v>
      </c>
      <c r="N15856">
        <v>4</v>
      </c>
    </row>
    <row r="15857" spans="1:15">
      <c r="A15857" t="s">
        <v>21936</v>
      </c>
      <c r="B15857" t="s">
        <v>12438</v>
      </c>
      <c r="C15857" t="s">
        <v>21157</v>
      </c>
      <c r="D15857" t="s">
        <v>50207</v>
      </c>
      <c r="E15857" t="b">
        <v>0</v>
      </c>
      <c r="F15857" t="s">
        <v>11622</v>
      </c>
      <c r="L15857">
        <v>2</v>
      </c>
      <c r="M15857">
        <v>4</v>
      </c>
      <c r="N15857">
        <v>11</v>
      </c>
    </row>
    <row r="15858" spans="1:15">
      <c r="A15858" t="s">
        <v>28474</v>
      </c>
      <c r="B15858" t="s">
        <v>12133</v>
      </c>
      <c r="C15858" t="s">
        <v>31924</v>
      </c>
      <c r="D15858" t="s">
        <v>50208</v>
      </c>
      <c r="E15858" t="b">
        <v>0</v>
      </c>
      <c r="F15858" t="s">
        <v>11622</v>
      </c>
      <c r="L15858">
        <v>1</v>
      </c>
      <c r="M15858">
        <v>3</v>
      </c>
      <c r="N15858">
        <v>2</v>
      </c>
    </row>
    <row r="15859" spans="1:15">
      <c r="A15859" t="s">
        <v>28041</v>
      </c>
      <c r="B15859" t="s">
        <v>11615</v>
      </c>
      <c r="C15859" t="s">
        <v>29028</v>
      </c>
      <c r="D15859" t="s">
        <v>50209</v>
      </c>
      <c r="E15859" t="b">
        <v>0</v>
      </c>
      <c r="F15859" t="s">
        <v>11622</v>
      </c>
      <c r="L15859">
        <v>5</v>
      </c>
      <c r="M15859">
        <v>14</v>
      </c>
      <c r="N15859">
        <v>33</v>
      </c>
    </row>
    <row r="15860" spans="1:15">
      <c r="A15860" t="s">
        <v>22615</v>
      </c>
      <c r="B15860" t="s">
        <v>11981</v>
      </c>
      <c r="C15860" t="s">
        <v>23565</v>
      </c>
      <c r="D15860" t="s">
        <v>50210</v>
      </c>
      <c r="E15860" t="b">
        <v>0</v>
      </c>
      <c r="F15860" t="s">
        <v>11622</v>
      </c>
      <c r="L15860">
        <v>0</v>
      </c>
      <c r="M15860">
        <v>2</v>
      </c>
      <c r="N15860">
        <v>1</v>
      </c>
    </row>
    <row r="15861" spans="1:15">
      <c r="A15861" t="s">
        <v>17180</v>
      </c>
      <c r="B15861" t="s">
        <v>12487</v>
      </c>
      <c r="C15861" t="s">
        <v>12487</v>
      </c>
      <c r="D15861" t="s">
        <v>50211</v>
      </c>
      <c r="E15861" t="b">
        <v>0</v>
      </c>
      <c r="F15861" t="s">
        <v>11622</v>
      </c>
      <c r="L15861">
        <v>6</v>
      </c>
      <c r="M15861">
        <v>12</v>
      </c>
      <c r="N15861">
        <v>17</v>
      </c>
    </row>
    <row r="15862" spans="1:15">
      <c r="A15862" t="s">
        <v>16718</v>
      </c>
      <c r="B15862" t="s">
        <v>11894</v>
      </c>
      <c r="C15862" t="s">
        <v>33234</v>
      </c>
      <c r="D15862" t="s">
        <v>50212</v>
      </c>
      <c r="E15862" t="b">
        <v>0</v>
      </c>
      <c r="F15862" t="s">
        <v>11622</v>
      </c>
      <c r="L15862">
        <v>5</v>
      </c>
      <c r="M15862">
        <v>11</v>
      </c>
      <c r="N15862">
        <v>8</v>
      </c>
    </row>
    <row r="15863" spans="1:15">
      <c r="A15863" t="s">
        <v>23214</v>
      </c>
      <c r="B15863" t="s">
        <v>11879</v>
      </c>
      <c r="C15863" t="s">
        <v>50213</v>
      </c>
      <c r="D15863" t="s">
        <v>50214</v>
      </c>
      <c r="E15863" t="b">
        <v>0</v>
      </c>
      <c r="F15863" t="s">
        <v>11622</v>
      </c>
      <c r="L15863">
        <v>11</v>
      </c>
      <c r="M15863">
        <v>57</v>
      </c>
      <c r="N15863">
        <v>16</v>
      </c>
    </row>
    <row r="15864" spans="1:15">
      <c r="A15864" t="s">
        <v>15530</v>
      </c>
      <c r="B15864" t="s">
        <v>331</v>
      </c>
      <c r="C15864" t="s">
        <v>50215</v>
      </c>
      <c r="D15864" t="s">
        <v>50216</v>
      </c>
      <c r="E15864" t="b">
        <v>0</v>
      </c>
      <c r="F15864" t="s">
        <v>11622</v>
      </c>
      <c r="L15864">
        <v>4</v>
      </c>
      <c r="M15864">
        <v>9</v>
      </c>
      <c r="N15864">
        <v>71</v>
      </c>
    </row>
    <row r="15865" spans="1:15">
      <c r="A15865" t="s">
        <v>26634</v>
      </c>
      <c r="B15865" t="s">
        <v>13276</v>
      </c>
      <c r="C15865" t="s">
        <v>24071</v>
      </c>
      <c r="D15865" t="s">
        <v>50217</v>
      </c>
      <c r="E15865" t="b">
        <v>0</v>
      </c>
      <c r="F15865" t="s">
        <v>11610</v>
      </c>
      <c r="G15865">
        <v>7.27</v>
      </c>
      <c r="H15865">
        <v>-8.15</v>
      </c>
      <c r="I15865" t="s">
        <v>50218</v>
      </c>
      <c r="L15865">
        <v>0</v>
      </c>
      <c r="M15865">
        <v>0</v>
      </c>
      <c r="N15865">
        <v>27</v>
      </c>
      <c r="O15865" t="s">
        <v>11735</v>
      </c>
    </row>
    <row r="15866" spans="1:15">
      <c r="A15866" t="s">
        <v>18207</v>
      </c>
      <c r="B15866" t="s">
        <v>15505</v>
      </c>
      <c r="C15866" t="s">
        <v>15505</v>
      </c>
      <c r="D15866" t="s">
        <v>50219</v>
      </c>
      <c r="E15866" t="b">
        <v>0</v>
      </c>
      <c r="F15866" t="s">
        <v>11610</v>
      </c>
      <c r="L15866">
        <v>0</v>
      </c>
      <c r="M15866">
        <v>0</v>
      </c>
      <c r="N15866">
        <v>5</v>
      </c>
    </row>
    <row r="15867" spans="1:15">
      <c r="A15867" t="s">
        <v>15703</v>
      </c>
      <c r="B15867" t="s">
        <v>11607</v>
      </c>
      <c r="C15867" t="s">
        <v>15354</v>
      </c>
      <c r="D15867" t="s">
        <v>50220</v>
      </c>
      <c r="E15867" t="b">
        <v>0</v>
      </c>
      <c r="F15867" t="s">
        <v>11610</v>
      </c>
      <c r="L15867">
        <v>0</v>
      </c>
      <c r="M15867">
        <v>0</v>
      </c>
      <c r="N15867">
        <v>7</v>
      </c>
    </row>
    <row r="15868" spans="1:15">
      <c r="A15868" t="s">
        <v>15214</v>
      </c>
      <c r="B15868" t="s">
        <v>12532</v>
      </c>
      <c r="C15868" t="s">
        <v>13283</v>
      </c>
      <c r="D15868" t="s">
        <v>50221</v>
      </c>
      <c r="E15868" t="b">
        <v>0</v>
      </c>
      <c r="F15868" t="s">
        <v>11622</v>
      </c>
      <c r="L15868">
        <v>1</v>
      </c>
      <c r="M15868">
        <v>8</v>
      </c>
      <c r="N15868">
        <v>2</v>
      </c>
    </row>
    <row r="15869" spans="1:15">
      <c r="A15869" t="s">
        <v>14229</v>
      </c>
      <c r="B15869" t="s">
        <v>12311</v>
      </c>
      <c r="C15869" t="s">
        <v>23588</v>
      </c>
      <c r="D15869" t="s">
        <v>50222</v>
      </c>
      <c r="E15869" t="b">
        <v>0</v>
      </c>
      <c r="F15869" t="s">
        <v>11610</v>
      </c>
      <c r="L15869">
        <v>0</v>
      </c>
      <c r="M15869">
        <v>0</v>
      </c>
      <c r="N15869">
        <v>6</v>
      </c>
    </row>
    <row r="15870" spans="1:15">
      <c r="A15870" t="s">
        <v>50223</v>
      </c>
      <c r="B15870" t="s">
        <v>11637</v>
      </c>
      <c r="C15870" t="s">
        <v>25363</v>
      </c>
      <c r="D15870" t="s">
        <v>50224</v>
      </c>
      <c r="E15870" t="b">
        <v>0</v>
      </c>
      <c r="F15870" t="s">
        <v>11610</v>
      </c>
      <c r="L15870">
        <v>0</v>
      </c>
      <c r="M15870">
        <v>0</v>
      </c>
      <c r="N15870">
        <v>0</v>
      </c>
    </row>
    <row r="15871" spans="1:15">
      <c r="A15871" t="s">
        <v>50225</v>
      </c>
      <c r="B15871" t="s">
        <v>11637</v>
      </c>
      <c r="C15871" t="s">
        <v>20480</v>
      </c>
      <c r="D15871" t="s">
        <v>50226</v>
      </c>
      <c r="E15871" t="b">
        <v>0</v>
      </c>
      <c r="F15871" t="s">
        <v>11610</v>
      </c>
      <c r="L15871">
        <v>0</v>
      </c>
      <c r="M15871">
        <v>0</v>
      </c>
      <c r="N15871">
        <v>0</v>
      </c>
    </row>
    <row r="15872" spans="1:15">
      <c r="A15872" t="s">
        <v>24384</v>
      </c>
      <c r="B15872" t="s">
        <v>11615</v>
      </c>
      <c r="C15872" t="s">
        <v>30350</v>
      </c>
      <c r="D15872" t="s">
        <v>50227</v>
      </c>
      <c r="E15872" t="b">
        <v>0</v>
      </c>
      <c r="F15872" t="s">
        <v>11622</v>
      </c>
      <c r="L15872">
        <v>2</v>
      </c>
      <c r="M15872">
        <v>8</v>
      </c>
      <c r="N15872">
        <v>0</v>
      </c>
    </row>
    <row r="15873" spans="1:15">
      <c r="A15873" t="s">
        <v>50228</v>
      </c>
      <c r="B15873" t="s">
        <v>11637</v>
      </c>
      <c r="C15873" t="s">
        <v>30993</v>
      </c>
      <c r="D15873" t="s">
        <v>50229</v>
      </c>
      <c r="E15873" t="b">
        <v>0</v>
      </c>
      <c r="F15873" t="s">
        <v>11610</v>
      </c>
      <c r="L15873">
        <v>0</v>
      </c>
      <c r="M15873">
        <v>0</v>
      </c>
      <c r="N15873">
        <v>0</v>
      </c>
    </row>
    <row r="15874" spans="1:15">
      <c r="A15874" t="s">
        <v>50230</v>
      </c>
      <c r="B15874" t="s">
        <v>11637</v>
      </c>
      <c r="C15874" t="s">
        <v>12166</v>
      </c>
      <c r="D15874" t="s">
        <v>50231</v>
      </c>
      <c r="E15874" t="b">
        <v>0</v>
      </c>
      <c r="F15874" t="s">
        <v>11610</v>
      </c>
      <c r="L15874">
        <v>0</v>
      </c>
      <c r="M15874">
        <v>0</v>
      </c>
      <c r="N15874">
        <v>0</v>
      </c>
    </row>
    <row r="15875" spans="1:15">
      <c r="A15875" t="s">
        <v>50232</v>
      </c>
      <c r="B15875" t="s">
        <v>11637</v>
      </c>
      <c r="C15875" t="s">
        <v>18580</v>
      </c>
      <c r="D15875" t="s">
        <v>50233</v>
      </c>
      <c r="E15875" t="b">
        <v>0</v>
      </c>
      <c r="F15875" t="s">
        <v>11610</v>
      </c>
      <c r="L15875">
        <v>0</v>
      </c>
      <c r="M15875">
        <v>0</v>
      </c>
      <c r="N15875">
        <v>0</v>
      </c>
    </row>
    <row r="15876" spans="1:15">
      <c r="A15876" t="s">
        <v>24057</v>
      </c>
      <c r="B15876" t="s">
        <v>11637</v>
      </c>
      <c r="C15876" t="s">
        <v>33818</v>
      </c>
      <c r="D15876" t="s">
        <v>50234</v>
      </c>
      <c r="E15876" t="b">
        <v>0</v>
      </c>
      <c r="F15876" t="s">
        <v>11622</v>
      </c>
      <c r="L15876">
        <v>0</v>
      </c>
      <c r="M15876">
        <v>2</v>
      </c>
      <c r="N15876">
        <v>8</v>
      </c>
    </row>
    <row r="15877" spans="1:15">
      <c r="A15877" t="s">
        <v>44901</v>
      </c>
      <c r="B15877" t="s">
        <v>11637</v>
      </c>
      <c r="C15877" t="s">
        <v>14208</v>
      </c>
      <c r="D15877" t="s">
        <v>50235</v>
      </c>
      <c r="E15877" t="b">
        <v>0</v>
      </c>
      <c r="F15877" t="s">
        <v>11622</v>
      </c>
      <c r="L15877">
        <v>0</v>
      </c>
      <c r="M15877">
        <v>2</v>
      </c>
      <c r="N15877">
        <v>28</v>
      </c>
    </row>
    <row r="15878" spans="1:15">
      <c r="A15878" t="s">
        <v>50236</v>
      </c>
      <c r="B15878" t="s">
        <v>6742</v>
      </c>
      <c r="C15878" t="s">
        <v>20639</v>
      </c>
      <c r="D15878" t="s">
        <v>50237</v>
      </c>
      <c r="E15878" t="b">
        <v>0</v>
      </c>
      <c r="F15878" t="s">
        <v>11610</v>
      </c>
      <c r="L15878">
        <v>0</v>
      </c>
      <c r="M15878">
        <v>0</v>
      </c>
      <c r="N15878">
        <v>0</v>
      </c>
    </row>
    <row r="15879" spans="1:15">
      <c r="A15879" t="s">
        <v>50238</v>
      </c>
      <c r="B15879" t="s">
        <v>11757</v>
      </c>
      <c r="C15879" t="s">
        <v>24873</v>
      </c>
      <c r="D15879" t="s">
        <v>50239</v>
      </c>
      <c r="E15879" t="b">
        <v>0</v>
      </c>
      <c r="F15879" t="s">
        <v>11622</v>
      </c>
      <c r="L15879">
        <v>0</v>
      </c>
      <c r="M15879">
        <v>2</v>
      </c>
      <c r="N15879">
        <v>10</v>
      </c>
    </row>
    <row r="15880" spans="1:15">
      <c r="A15880" t="s">
        <v>945</v>
      </c>
      <c r="B15880" t="s">
        <v>11757</v>
      </c>
      <c r="C15880" t="s">
        <v>50238</v>
      </c>
      <c r="D15880" t="s">
        <v>944</v>
      </c>
      <c r="E15880" t="b">
        <v>0</v>
      </c>
      <c r="F15880" t="s">
        <v>11624</v>
      </c>
      <c r="G15880">
        <v>8.1391100000000005</v>
      </c>
      <c r="H15880">
        <v>32.382899999999999</v>
      </c>
      <c r="I15880" t="s">
        <v>946</v>
      </c>
      <c r="L15880">
        <v>0</v>
      </c>
      <c r="M15880">
        <v>0</v>
      </c>
      <c r="N15880">
        <v>10</v>
      </c>
      <c r="O15880" t="s">
        <v>14035</v>
      </c>
    </row>
    <row r="15881" spans="1:15">
      <c r="A15881" t="s">
        <v>50240</v>
      </c>
      <c r="B15881" t="s">
        <v>6742</v>
      </c>
      <c r="C15881" t="s">
        <v>20639</v>
      </c>
      <c r="D15881" t="s">
        <v>50241</v>
      </c>
      <c r="E15881" t="b">
        <v>0</v>
      </c>
      <c r="F15881" t="s">
        <v>11610</v>
      </c>
      <c r="L15881">
        <v>0</v>
      </c>
      <c r="M15881">
        <v>0</v>
      </c>
      <c r="N15881">
        <v>0</v>
      </c>
    </row>
    <row r="15882" spans="1:15">
      <c r="A15882" t="s">
        <v>50242</v>
      </c>
      <c r="B15882" t="s">
        <v>6742</v>
      </c>
      <c r="C15882" t="s">
        <v>23831</v>
      </c>
      <c r="D15882" t="s">
        <v>50243</v>
      </c>
      <c r="E15882" t="b">
        <v>0</v>
      </c>
      <c r="F15882" t="s">
        <v>11610</v>
      </c>
      <c r="L15882">
        <v>0</v>
      </c>
      <c r="M15882">
        <v>0</v>
      </c>
      <c r="N15882">
        <v>0</v>
      </c>
    </row>
    <row r="15883" spans="1:15">
      <c r="A15883" t="s">
        <v>50244</v>
      </c>
      <c r="B15883" t="s">
        <v>10597</v>
      </c>
      <c r="C15883" t="s">
        <v>46662</v>
      </c>
      <c r="D15883" t="s">
        <v>50245</v>
      </c>
      <c r="E15883" t="b">
        <v>0</v>
      </c>
      <c r="F15883" t="s">
        <v>11624</v>
      </c>
      <c r="G15883">
        <v>-31.989899999999999</v>
      </c>
      <c r="H15883">
        <v>133.90799999999999</v>
      </c>
      <c r="I15883" t="s">
        <v>50246</v>
      </c>
      <c r="L15883">
        <v>0</v>
      </c>
      <c r="M15883">
        <v>0</v>
      </c>
      <c r="N15883">
        <v>0</v>
      </c>
      <c r="O15883" t="s">
        <v>12107</v>
      </c>
    </row>
    <row r="15884" spans="1:15">
      <c r="A15884" t="s">
        <v>48599</v>
      </c>
      <c r="B15884" t="s">
        <v>6742</v>
      </c>
      <c r="C15884" t="s">
        <v>15666</v>
      </c>
      <c r="D15884" t="s">
        <v>50247</v>
      </c>
      <c r="E15884" t="b">
        <v>0</v>
      </c>
      <c r="F15884" t="s">
        <v>11624</v>
      </c>
      <c r="G15884">
        <v>4.63103</v>
      </c>
      <c r="H15884">
        <v>11.1837</v>
      </c>
      <c r="I15884" t="s">
        <v>50248</v>
      </c>
      <c r="L15884">
        <v>0</v>
      </c>
      <c r="M15884">
        <v>0</v>
      </c>
      <c r="N15884">
        <v>2</v>
      </c>
      <c r="O15884" t="s">
        <v>11703</v>
      </c>
    </row>
    <row r="15885" spans="1:15">
      <c r="A15885" t="s">
        <v>50249</v>
      </c>
      <c r="B15885" t="s">
        <v>14524</v>
      </c>
      <c r="C15885" t="s">
        <v>16455</v>
      </c>
      <c r="D15885" t="s">
        <v>50250</v>
      </c>
      <c r="E15885" t="b">
        <v>0</v>
      </c>
      <c r="F15885" t="s">
        <v>11610</v>
      </c>
      <c r="L15885">
        <v>0</v>
      </c>
      <c r="M15885">
        <v>0</v>
      </c>
      <c r="N15885">
        <v>0</v>
      </c>
    </row>
    <row r="15886" spans="1:15">
      <c r="A15886" t="s">
        <v>50251</v>
      </c>
      <c r="B15886" t="s">
        <v>367</v>
      </c>
      <c r="C15886" t="s">
        <v>16482</v>
      </c>
      <c r="D15886" t="s">
        <v>50252</v>
      </c>
      <c r="E15886" t="b">
        <v>0</v>
      </c>
      <c r="F15886" t="s">
        <v>11610</v>
      </c>
      <c r="L15886">
        <v>0</v>
      </c>
      <c r="M15886">
        <v>0</v>
      </c>
      <c r="N15886">
        <v>0</v>
      </c>
    </row>
    <row r="15887" spans="1:15">
      <c r="A15887" t="s">
        <v>50253</v>
      </c>
      <c r="B15887" t="s">
        <v>11644</v>
      </c>
      <c r="C15887" t="s">
        <v>18520</v>
      </c>
      <c r="D15887" t="s">
        <v>50254</v>
      </c>
      <c r="E15887" t="b">
        <v>0</v>
      </c>
      <c r="F15887" t="s">
        <v>11610</v>
      </c>
      <c r="G15887">
        <v>26.424022300000001</v>
      </c>
      <c r="H15887">
        <v>98.886208800000006</v>
      </c>
      <c r="L15887">
        <v>0</v>
      </c>
      <c r="M15887">
        <v>0</v>
      </c>
      <c r="N15887">
        <v>0</v>
      </c>
    </row>
    <row r="15888" spans="1:15">
      <c r="A15888" t="s">
        <v>50255</v>
      </c>
      <c r="B15888" t="s">
        <v>6742</v>
      </c>
      <c r="C15888" t="s">
        <v>20639</v>
      </c>
      <c r="D15888" t="s">
        <v>50256</v>
      </c>
      <c r="E15888" t="b">
        <v>0</v>
      </c>
      <c r="F15888" t="s">
        <v>11610</v>
      </c>
      <c r="L15888">
        <v>0</v>
      </c>
      <c r="M15888">
        <v>0</v>
      </c>
      <c r="N15888">
        <v>0</v>
      </c>
    </row>
    <row r="15889" spans="1:15">
      <c r="A15889" t="s">
        <v>50257</v>
      </c>
      <c r="B15889" t="s">
        <v>367</v>
      </c>
      <c r="C15889" t="s">
        <v>15110</v>
      </c>
      <c r="D15889" t="s">
        <v>50258</v>
      </c>
      <c r="E15889" t="b">
        <v>0</v>
      </c>
      <c r="F15889" t="s">
        <v>11610</v>
      </c>
      <c r="L15889">
        <v>0</v>
      </c>
      <c r="M15889">
        <v>0</v>
      </c>
      <c r="N15889">
        <v>0</v>
      </c>
    </row>
    <row r="15890" spans="1:15">
      <c r="A15890" t="s">
        <v>50259</v>
      </c>
      <c r="B15890" t="s">
        <v>20840</v>
      </c>
      <c r="C15890" t="s">
        <v>20840</v>
      </c>
      <c r="D15890" t="s">
        <v>50260</v>
      </c>
      <c r="E15890" t="b">
        <v>0</v>
      </c>
      <c r="F15890" t="s">
        <v>11624</v>
      </c>
      <c r="G15890">
        <v>2.6593900000000001</v>
      </c>
      <c r="H15890">
        <v>-71.462900000000005</v>
      </c>
      <c r="I15890" t="s">
        <v>50261</v>
      </c>
      <c r="L15890">
        <v>0</v>
      </c>
      <c r="M15890">
        <v>0</v>
      </c>
      <c r="N15890">
        <v>0</v>
      </c>
      <c r="O15890" t="s">
        <v>11898</v>
      </c>
    </row>
    <row r="15891" spans="1:15">
      <c r="A15891" t="s">
        <v>50262</v>
      </c>
      <c r="B15891" t="s">
        <v>331</v>
      </c>
      <c r="C15891" t="s">
        <v>49220</v>
      </c>
      <c r="D15891" t="s">
        <v>50263</v>
      </c>
      <c r="E15891" t="b">
        <v>0</v>
      </c>
      <c r="F15891" t="s">
        <v>11610</v>
      </c>
      <c r="L15891">
        <v>0</v>
      </c>
      <c r="M15891">
        <v>0</v>
      </c>
      <c r="N15891">
        <v>0</v>
      </c>
    </row>
    <row r="15892" spans="1:15">
      <c r="A15892" t="s">
        <v>48770</v>
      </c>
      <c r="B15892" t="s">
        <v>11615</v>
      </c>
      <c r="C15892" t="s">
        <v>47008</v>
      </c>
      <c r="D15892" t="s">
        <v>50264</v>
      </c>
      <c r="E15892" t="b">
        <v>0</v>
      </c>
      <c r="F15892" t="s">
        <v>11624</v>
      </c>
      <c r="G15892">
        <v>-6.4074099999999996</v>
      </c>
      <c r="H15892">
        <v>146.875</v>
      </c>
      <c r="I15892" t="s">
        <v>50265</v>
      </c>
      <c r="L15892">
        <v>0</v>
      </c>
      <c r="M15892">
        <v>0</v>
      </c>
      <c r="N15892">
        <v>2</v>
      </c>
      <c r="O15892" t="s">
        <v>11660</v>
      </c>
    </row>
    <row r="15893" spans="1:15">
      <c r="A15893" t="s">
        <v>50266</v>
      </c>
      <c r="B15893" t="s">
        <v>11615</v>
      </c>
      <c r="C15893" t="s">
        <v>50267</v>
      </c>
      <c r="D15893" t="s">
        <v>50268</v>
      </c>
      <c r="E15893" t="b">
        <v>0</v>
      </c>
      <c r="F15893" t="s">
        <v>11624</v>
      </c>
      <c r="G15893">
        <v>-6.0176999999999996</v>
      </c>
      <c r="H15893">
        <v>146.96899999999999</v>
      </c>
      <c r="I15893" t="s">
        <v>50269</v>
      </c>
      <c r="L15893">
        <v>0</v>
      </c>
      <c r="M15893">
        <v>0</v>
      </c>
      <c r="N15893">
        <v>0</v>
      </c>
      <c r="O15893" t="s">
        <v>11660</v>
      </c>
    </row>
    <row r="15894" spans="1:15">
      <c r="A15894" t="s">
        <v>38662</v>
      </c>
      <c r="B15894" t="s">
        <v>11705</v>
      </c>
      <c r="C15894" t="s">
        <v>11705</v>
      </c>
      <c r="D15894" t="s">
        <v>50270</v>
      </c>
      <c r="E15894" t="b">
        <v>0</v>
      </c>
      <c r="F15894" t="s">
        <v>11622</v>
      </c>
      <c r="L15894">
        <v>1</v>
      </c>
      <c r="M15894">
        <v>3</v>
      </c>
      <c r="N15894">
        <v>4</v>
      </c>
    </row>
    <row r="15895" spans="1:15">
      <c r="A15895" t="s">
        <v>50271</v>
      </c>
      <c r="B15895" t="s">
        <v>367</v>
      </c>
      <c r="C15895" t="s">
        <v>50272</v>
      </c>
      <c r="D15895" t="s">
        <v>50273</v>
      </c>
      <c r="E15895" t="b">
        <v>0</v>
      </c>
      <c r="F15895" t="s">
        <v>11624</v>
      </c>
      <c r="G15895">
        <v>-4.5763210000000001</v>
      </c>
      <c r="H15895">
        <v>159.48536999999999</v>
      </c>
      <c r="I15895" t="s">
        <v>50274</v>
      </c>
      <c r="L15895">
        <v>0</v>
      </c>
      <c r="M15895">
        <v>0</v>
      </c>
      <c r="N15895">
        <v>0</v>
      </c>
      <c r="O15895" t="s">
        <v>11660</v>
      </c>
    </row>
    <row r="15896" spans="1:15">
      <c r="A15896" t="s">
        <v>50275</v>
      </c>
      <c r="B15896" t="s">
        <v>367</v>
      </c>
      <c r="C15896" t="s">
        <v>50272</v>
      </c>
      <c r="D15896" t="s">
        <v>50276</v>
      </c>
      <c r="E15896" t="b">
        <v>0</v>
      </c>
      <c r="F15896" t="s">
        <v>11624</v>
      </c>
      <c r="G15896">
        <v>-3.4003800000000002</v>
      </c>
      <c r="H15896">
        <v>154.73099999999999</v>
      </c>
      <c r="I15896" t="s">
        <v>50277</v>
      </c>
      <c r="L15896">
        <v>0</v>
      </c>
      <c r="M15896">
        <v>0</v>
      </c>
      <c r="N15896">
        <v>0</v>
      </c>
      <c r="O15896" t="s">
        <v>11660</v>
      </c>
    </row>
    <row r="15897" spans="1:15">
      <c r="A15897" t="s">
        <v>50278</v>
      </c>
      <c r="B15897" t="s">
        <v>367</v>
      </c>
      <c r="C15897" t="s">
        <v>34949</v>
      </c>
      <c r="D15897" t="s">
        <v>50279</v>
      </c>
      <c r="E15897" t="b">
        <v>0</v>
      </c>
      <c r="F15897" t="s">
        <v>11624</v>
      </c>
      <c r="G15897">
        <v>3.84</v>
      </c>
      <c r="H15897">
        <v>154.97499999999999</v>
      </c>
      <c r="I15897" t="s">
        <v>50280</v>
      </c>
      <c r="L15897">
        <v>0</v>
      </c>
      <c r="M15897">
        <v>0</v>
      </c>
      <c r="N15897">
        <v>0</v>
      </c>
      <c r="O15897" t="s">
        <v>22994</v>
      </c>
    </row>
    <row r="15898" spans="1:15">
      <c r="A15898" t="s">
        <v>50281</v>
      </c>
      <c r="B15898" t="s">
        <v>367</v>
      </c>
      <c r="C15898" t="s">
        <v>2795</v>
      </c>
      <c r="D15898" t="s">
        <v>50282</v>
      </c>
      <c r="E15898" t="b">
        <v>0</v>
      </c>
      <c r="F15898" t="s">
        <v>11610</v>
      </c>
      <c r="L15898">
        <v>0</v>
      </c>
      <c r="M15898">
        <v>0</v>
      </c>
      <c r="N15898">
        <v>0</v>
      </c>
    </row>
    <row r="15899" spans="1:15">
      <c r="A15899" t="s">
        <v>23676</v>
      </c>
      <c r="B15899" t="s">
        <v>13244</v>
      </c>
      <c r="C15899" t="s">
        <v>32702</v>
      </c>
      <c r="D15899" t="s">
        <v>50283</v>
      </c>
      <c r="E15899" t="b">
        <v>0</v>
      </c>
      <c r="F15899" t="s">
        <v>11624</v>
      </c>
      <c r="G15899">
        <v>-7.3390000000000004</v>
      </c>
      <c r="H15899">
        <v>-73.504400000000004</v>
      </c>
      <c r="I15899" t="s">
        <v>50284</v>
      </c>
      <c r="L15899">
        <v>0</v>
      </c>
      <c r="M15899">
        <v>0</v>
      </c>
      <c r="N15899">
        <v>1</v>
      </c>
      <c r="O15899" t="s">
        <v>11969</v>
      </c>
    </row>
    <row r="15900" spans="1:15">
      <c r="A15900" t="s">
        <v>50285</v>
      </c>
      <c r="B15900" t="s">
        <v>367</v>
      </c>
      <c r="C15900" t="s">
        <v>29538</v>
      </c>
      <c r="D15900" t="s">
        <v>50286</v>
      </c>
      <c r="E15900" t="b">
        <v>0</v>
      </c>
      <c r="F15900" t="s">
        <v>11610</v>
      </c>
      <c r="L15900">
        <v>0</v>
      </c>
      <c r="M15900">
        <v>0</v>
      </c>
      <c r="N15900">
        <v>0</v>
      </c>
    </row>
    <row r="15901" spans="1:15">
      <c r="A15901" t="s">
        <v>50287</v>
      </c>
      <c r="B15901" t="s">
        <v>5058</v>
      </c>
      <c r="C15901" t="s">
        <v>20323</v>
      </c>
      <c r="D15901" t="s">
        <v>50288</v>
      </c>
      <c r="E15901" t="b">
        <v>0</v>
      </c>
      <c r="F15901" t="s">
        <v>11610</v>
      </c>
      <c r="L15901">
        <v>0</v>
      </c>
      <c r="M15901">
        <v>0</v>
      </c>
      <c r="N15901">
        <v>0</v>
      </c>
    </row>
    <row r="15902" spans="1:15">
      <c r="A15902" t="s">
        <v>28819</v>
      </c>
      <c r="B15902" t="s">
        <v>6742</v>
      </c>
      <c r="C15902" t="s">
        <v>15522</v>
      </c>
      <c r="D15902" t="s">
        <v>50289</v>
      </c>
      <c r="E15902" t="b">
        <v>0</v>
      </c>
      <c r="F15902" t="s">
        <v>11624</v>
      </c>
      <c r="G15902">
        <v>9.1656300000000002</v>
      </c>
      <c r="H15902">
        <v>8.4657</v>
      </c>
      <c r="I15902" t="s">
        <v>50290</v>
      </c>
      <c r="L15902">
        <v>0</v>
      </c>
      <c r="M15902">
        <v>0</v>
      </c>
      <c r="N15902">
        <v>4</v>
      </c>
      <c r="O15902" t="s">
        <v>11693</v>
      </c>
    </row>
    <row r="15903" spans="1:15">
      <c r="A15903" t="s">
        <v>26281</v>
      </c>
      <c r="B15903" t="s">
        <v>11615</v>
      </c>
      <c r="C15903" t="s">
        <v>19001</v>
      </c>
      <c r="D15903" t="s">
        <v>50291</v>
      </c>
      <c r="E15903" t="b">
        <v>0</v>
      </c>
      <c r="F15903" t="s">
        <v>11624</v>
      </c>
      <c r="G15903">
        <v>-6.3931100000000001</v>
      </c>
      <c r="H15903">
        <v>146.71899999999999</v>
      </c>
      <c r="I15903" t="s">
        <v>50292</v>
      </c>
      <c r="L15903">
        <v>0</v>
      </c>
      <c r="M15903">
        <v>0</v>
      </c>
      <c r="N15903">
        <v>2</v>
      </c>
      <c r="O15903" t="s">
        <v>11660</v>
      </c>
    </row>
    <row r="15904" spans="1:15">
      <c r="A15904" t="s">
        <v>18586</v>
      </c>
      <c r="B15904" t="s">
        <v>6742</v>
      </c>
      <c r="C15904" t="s">
        <v>33122</v>
      </c>
      <c r="D15904" t="s">
        <v>50293</v>
      </c>
      <c r="E15904" t="b">
        <v>0</v>
      </c>
      <c r="F15904" t="s">
        <v>11622</v>
      </c>
      <c r="L15904">
        <v>0</v>
      </c>
      <c r="M15904">
        <v>2</v>
      </c>
      <c r="N15904">
        <v>2</v>
      </c>
    </row>
    <row r="15905" spans="1:15">
      <c r="A15905" t="s">
        <v>50294</v>
      </c>
      <c r="B15905" t="s">
        <v>6742</v>
      </c>
      <c r="C15905" t="s">
        <v>28819</v>
      </c>
      <c r="D15905" t="s">
        <v>50295</v>
      </c>
      <c r="E15905" t="b">
        <v>0</v>
      </c>
      <c r="F15905" t="s">
        <v>11610</v>
      </c>
      <c r="L15905">
        <v>0</v>
      </c>
      <c r="M15905">
        <v>0</v>
      </c>
      <c r="N15905">
        <v>0</v>
      </c>
    </row>
    <row r="15906" spans="1:15">
      <c r="A15906" t="s">
        <v>50296</v>
      </c>
      <c r="B15906" t="s">
        <v>367</v>
      </c>
      <c r="C15906" t="s">
        <v>31742</v>
      </c>
      <c r="D15906" t="s">
        <v>50297</v>
      </c>
      <c r="E15906" t="b">
        <v>0</v>
      </c>
      <c r="F15906" t="s">
        <v>11624</v>
      </c>
      <c r="G15906">
        <v>-7.52806</v>
      </c>
      <c r="H15906">
        <v>147.298</v>
      </c>
      <c r="I15906" t="s">
        <v>50298</v>
      </c>
      <c r="L15906">
        <v>0</v>
      </c>
      <c r="M15906">
        <v>0</v>
      </c>
      <c r="N15906">
        <v>0</v>
      </c>
      <c r="O15906" t="s">
        <v>11660</v>
      </c>
    </row>
    <row r="15907" spans="1:15">
      <c r="A15907" t="s">
        <v>50299</v>
      </c>
      <c r="B15907" t="s">
        <v>12218</v>
      </c>
      <c r="C15907" t="s">
        <v>12219</v>
      </c>
      <c r="D15907" t="s">
        <v>50300</v>
      </c>
      <c r="E15907" t="b">
        <v>0</v>
      </c>
      <c r="F15907" t="s">
        <v>11610</v>
      </c>
      <c r="L15907">
        <v>0</v>
      </c>
      <c r="M15907">
        <v>0</v>
      </c>
      <c r="N15907">
        <v>0</v>
      </c>
    </row>
    <row r="15908" spans="1:15">
      <c r="A15908" t="s">
        <v>50301</v>
      </c>
      <c r="B15908" t="s">
        <v>367</v>
      </c>
      <c r="C15908" t="s">
        <v>31219</v>
      </c>
      <c r="D15908" t="s">
        <v>50302</v>
      </c>
      <c r="E15908" t="b">
        <v>0</v>
      </c>
      <c r="F15908" t="s">
        <v>11624</v>
      </c>
      <c r="G15908">
        <v>-14.230149000000001</v>
      </c>
      <c r="H15908">
        <v>167.59347399999999</v>
      </c>
      <c r="I15908" t="s">
        <v>50303</v>
      </c>
      <c r="L15908">
        <v>0</v>
      </c>
      <c r="M15908">
        <v>0</v>
      </c>
      <c r="N15908">
        <v>0</v>
      </c>
      <c r="O15908" t="s">
        <v>12719</v>
      </c>
    </row>
    <row r="15909" spans="1:15">
      <c r="A15909" t="s">
        <v>38710</v>
      </c>
      <c r="B15909" t="s">
        <v>367</v>
      </c>
      <c r="C15909" t="s">
        <v>25523</v>
      </c>
      <c r="D15909" t="s">
        <v>50304</v>
      </c>
      <c r="E15909" t="b">
        <v>0</v>
      </c>
      <c r="F15909" t="s">
        <v>11624</v>
      </c>
      <c r="G15909">
        <v>-22.268899999999999</v>
      </c>
      <c r="H15909">
        <v>166.70500000000001</v>
      </c>
      <c r="I15909" t="s">
        <v>50305</v>
      </c>
      <c r="L15909">
        <v>0</v>
      </c>
      <c r="M15909">
        <v>0</v>
      </c>
      <c r="N15909">
        <v>3</v>
      </c>
      <c r="O15909" t="s">
        <v>12624</v>
      </c>
    </row>
    <row r="15910" spans="1:15">
      <c r="A15910" t="s">
        <v>50306</v>
      </c>
      <c r="B15910" t="s">
        <v>13360</v>
      </c>
      <c r="C15910" t="s">
        <v>13360</v>
      </c>
      <c r="D15910" t="s">
        <v>50307</v>
      </c>
      <c r="E15910" t="b">
        <v>0</v>
      </c>
      <c r="F15910" t="s">
        <v>11624</v>
      </c>
      <c r="I15910" t="s">
        <v>50308</v>
      </c>
      <c r="L15910">
        <v>0</v>
      </c>
      <c r="M15910">
        <v>0</v>
      </c>
      <c r="N15910">
        <v>0</v>
      </c>
      <c r="O15910" t="s">
        <v>15387</v>
      </c>
    </row>
    <row r="15911" spans="1:15">
      <c r="A15911" t="s">
        <v>21691</v>
      </c>
      <c r="B15911" t="s">
        <v>12751</v>
      </c>
      <c r="C15911" t="s">
        <v>20948</v>
      </c>
      <c r="D15911" t="s">
        <v>50309</v>
      </c>
      <c r="E15911" t="b">
        <v>0</v>
      </c>
      <c r="F15911" t="s">
        <v>11622</v>
      </c>
      <c r="L15911">
        <v>3</v>
      </c>
      <c r="M15911">
        <v>7</v>
      </c>
      <c r="N15911">
        <v>9</v>
      </c>
    </row>
    <row r="15912" spans="1:15">
      <c r="A15912" t="s">
        <v>50310</v>
      </c>
      <c r="B15912" t="s">
        <v>11644</v>
      </c>
      <c r="C15912" t="s">
        <v>49163</v>
      </c>
      <c r="D15912" t="s">
        <v>50311</v>
      </c>
      <c r="E15912" t="b">
        <v>0</v>
      </c>
      <c r="F15912" t="s">
        <v>11610</v>
      </c>
      <c r="L15912">
        <v>0</v>
      </c>
      <c r="M15912">
        <v>0</v>
      </c>
      <c r="N15912">
        <v>0</v>
      </c>
    </row>
    <row r="15913" spans="1:15">
      <c r="A15913" t="s">
        <v>50312</v>
      </c>
      <c r="B15913" t="s">
        <v>11615</v>
      </c>
      <c r="C15913" t="s">
        <v>13250</v>
      </c>
      <c r="D15913" t="s">
        <v>50313</v>
      </c>
      <c r="E15913" t="b">
        <v>0</v>
      </c>
      <c r="F15913" t="s">
        <v>11622</v>
      </c>
      <c r="L15913">
        <v>2</v>
      </c>
      <c r="M15913">
        <v>6</v>
      </c>
      <c r="N15913">
        <v>0</v>
      </c>
    </row>
    <row r="15914" spans="1:15">
      <c r="A15914" t="s">
        <v>35297</v>
      </c>
      <c r="B15914" t="s">
        <v>6742</v>
      </c>
      <c r="C15914" t="s">
        <v>34364</v>
      </c>
      <c r="D15914" t="s">
        <v>50314</v>
      </c>
      <c r="E15914" t="b">
        <v>0</v>
      </c>
      <c r="F15914" t="s">
        <v>11622</v>
      </c>
      <c r="L15914">
        <v>1</v>
      </c>
      <c r="M15914">
        <v>3</v>
      </c>
      <c r="N15914">
        <v>14</v>
      </c>
    </row>
    <row r="15915" spans="1:15">
      <c r="A15915" t="s">
        <v>38875</v>
      </c>
      <c r="B15915" t="s">
        <v>13014</v>
      </c>
      <c r="C15915" t="s">
        <v>50315</v>
      </c>
      <c r="D15915" t="s">
        <v>50316</v>
      </c>
      <c r="E15915" t="b">
        <v>0</v>
      </c>
      <c r="F15915" t="s">
        <v>11610</v>
      </c>
      <c r="L15915">
        <v>0</v>
      </c>
      <c r="M15915">
        <v>0</v>
      </c>
      <c r="N15915">
        <v>2</v>
      </c>
    </row>
    <row r="15916" spans="1:15">
      <c r="A15916" t="s">
        <v>20789</v>
      </c>
      <c r="B15916" t="s">
        <v>11644</v>
      </c>
      <c r="C15916" t="s">
        <v>25412</v>
      </c>
      <c r="D15916" t="s">
        <v>50317</v>
      </c>
      <c r="E15916" t="b">
        <v>0</v>
      </c>
      <c r="F15916" t="s">
        <v>11624</v>
      </c>
      <c r="G15916">
        <v>27.288699999999999</v>
      </c>
      <c r="H15916">
        <v>98.7333</v>
      </c>
      <c r="I15916" t="s">
        <v>50318</v>
      </c>
      <c r="L15916">
        <v>0</v>
      </c>
      <c r="M15916">
        <v>0</v>
      </c>
      <c r="N15916">
        <v>6</v>
      </c>
      <c r="O15916" t="s">
        <v>11892</v>
      </c>
    </row>
    <row r="15917" spans="1:15">
      <c r="A15917" t="s">
        <v>29205</v>
      </c>
      <c r="B15917" t="s">
        <v>5126</v>
      </c>
      <c r="C15917" t="s">
        <v>24324</v>
      </c>
      <c r="D15917" t="s">
        <v>50319</v>
      </c>
      <c r="E15917" t="b">
        <v>0</v>
      </c>
      <c r="F15917" t="s">
        <v>11624</v>
      </c>
      <c r="G15917">
        <v>20.8965</v>
      </c>
      <c r="H15917">
        <v>104.286</v>
      </c>
      <c r="I15917" t="s">
        <v>50320</v>
      </c>
      <c r="L15917">
        <v>0</v>
      </c>
      <c r="M15917">
        <v>0</v>
      </c>
      <c r="N15917">
        <v>9</v>
      </c>
      <c r="O15917" t="s">
        <v>18933</v>
      </c>
    </row>
    <row r="15918" spans="1:15">
      <c r="A15918" t="s">
        <v>50321</v>
      </c>
      <c r="B15918" t="s">
        <v>5126</v>
      </c>
      <c r="C15918" t="s">
        <v>29205</v>
      </c>
      <c r="D15918" t="s">
        <v>50322</v>
      </c>
      <c r="E15918" t="b">
        <v>0</v>
      </c>
      <c r="F15918" t="s">
        <v>11610</v>
      </c>
      <c r="L15918">
        <v>0</v>
      </c>
      <c r="M15918">
        <v>0</v>
      </c>
      <c r="N15918">
        <v>0</v>
      </c>
    </row>
    <row r="15919" spans="1:15">
      <c r="A15919" t="s">
        <v>50323</v>
      </c>
      <c r="B15919" t="s">
        <v>5126</v>
      </c>
      <c r="C15919" t="s">
        <v>29205</v>
      </c>
      <c r="D15919" t="s">
        <v>50324</v>
      </c>
      <c r="E15919" t="b">
        <v>0</v>
      </c>
      <c r="F15919" t="s">
        <v>11610</v>
      </c>
      <c r="L15919">
        <v>0</v>
      </c>
      <c r="M15919">
        <v>0</v>
      </c>
      <c r="N15919">
        <v>0</v>
      </c>
    </row>
    <row r="15920" spans="1:15">
      <c r="A15920" t="s">
        <v>50325</v>
      </c>
      <c r="B15920" t="s">
        <v>5126</v>
      </c>
      <c r="C15920" t="s">
        <v>29205</v>
      </c>
      <c r="D15920" t="s">
        <v>50326</v>
      </c>
      <c r="E15920" t="b">
        <v>0</v>
      </c>
      <c r="F15920" t="s">
        <v>11610</v>
      </c>
      <c r="L15920">
        <v>0</v>
      </c>
      <c r="M15920">
        <v>0</v>
      </c>
      <c r="N15920">
        <v>0</v>
      </c>
    </row>
    <row r="15921" spans="1:15">
      <c r="A15921" t="s">
        <v>50327</v>
      </c>
      <c r="B15921" t="s">
        <v>5126</v>
      </c>
      <c r="C15921" t="s">
        <v>29205</v>
      </c>
      <c r="D15921" t="s">
        <v>50328</v>
      </c>
      <c r="E15921" t="b">
        <v>0</v>
      </c>
      <c r="F15921" t="s">
        <v>11610</v>
      </c>
      <c r="L15921">
        <v>0</v>
      </c>
      <c r="M15921">
        <v>0</v>
      </c>
      <c r="N15921">
        <v>0</v>
      </c>
    </row>
    <row r="15922" spans="1:15">
      <c r="A15922" t="s">
        <v>50329</v>
      </c>
      <c r="B15922" t="s">
        <v>5126</v>
      </c>
      <c r="C15922" t="s">
        <v>29205</v>
      </c>
      <c r="D15922" t="s">
        <v>50330</v>
      </c>
      <c r="E15922" t="b">
        <v>0</v>
      </c>
      <c r="F15922" t="s">
        <v>11610</v>
      </c>
      <c r="L15922">
        <v>0</v>
      </c>
      <c r="M15922">
        <v>0</v>
      </c>
      <c r="N15922">
        <v>0</v>
      </c>
    </row>
    <row r="15923" spans="1:15">
      <c r="A15923" t="s">
        <v>50331</v>
      </c>
      <c r="B15923" t="s">
        <v>5126</v>
      </c>
      <c r="C15923" t="s">
        <v>29205</v>
      </c>
      <c r="D15923" t="s">
        <v>50332</v>
      </c>
      <c r="E15923" t="b">
        <v>0</v>
      </c>
      <c r="F15923" t="s">
        <v>11610</v>
      </c>
      <c r="L15923">
        <v>0</v>
      </c>
      <c r="M15923">
        <v>0</v>
      </c>
      <c r="N15923">
        <v>0</v>
      </c>
    </row>
    <row r="15924" spans="1:15">
      <c r="A15924" t="s">
        <v>50333</v>
      </c>
      <c r="B15924" t="s">
        <v>9897</v>
      </c>
      <c r="C15924" t="s">
        <v>13938</v>
      </c>
      <c r="D15924" t="s">
        <v>50334</v>
      </c>
      <c r="E15924" t="b">
        <v>0</v>
      </c>
      <c r="F15924" t="s">
        <v>11624</v>
      </c>
      <c r="G15924">
        <v>-14.2623</v>
      </c>
      <c r="H15924">
        <v>135.75299999999999</v>
      </c>
      <c r="I15924" t="s">
        <v>50335</v>
      </c>
      <c r="L15924">
        <v>0</v>
      </c>
      <c r="M15924">
        <v>0</v>
      </c>
      <c r="N15924">
        <v>0</v>
      </c>
      <c r="O15924" t="s">
        <v>12107</v>
      </c>
    </row>
    <row r="15925" spans="1:15">
      <c r="A15925" t="s">
        <v>50336</v>
      </c>
      <c r="B15925" t="s">
        <v>18680</v>
      </c>
      <c r="C15925" t="s">
        <v>24969</v>
      </c>
      <c r="D15925" t="s">
        <v>50337</v>
      </c>
      <c r="E15925" t="b">
        <v>0</v>
      </c>
      <c r="F15925" t="s">
        <v>11624</v>
      </c>
      <c r="G15925">
        <v>-14.9109</v>
      </c>
      <c r="H15925">
        <v>131.64099999999999</v>
      </c>
      <c r="I15925" t="s">
        <v>50338</v>
      </c>
      <c r="L15925">
        <v>0</v>
      </c>
      <c r="M15925">
        <v>0</v>
      </c>
      <c r="N15925">
        <v>0</v>
      </c>
      <c r="O15925" t="s">
        <v>12107</v>
      </c>
    </row>
    <row r="15926" spans="1:15">
      <c r="A15926" t="s">
        <v>29915</v>
      </c>
      <c r="B15926" t="s">
        <v>6742</v>
      </c>
      <c r="C15926" t="s">
        <v>15522</v>
      </c>
      <c r="D15926" t="s">
        <v>50339</v>
      </c>
      <c r="E15926" t="b">
        <v>0</v>
      </c>
      <c r="F15926" t="s">
        <v>11624</v>
      </c>
      <c r="G15926">
        <v>8.9548100000000002</v>
      </c>
      <c r="H15926">
        <v>8.6216399999999993</v>
      </c>
      <c r="I15926" t="s">
        <v>50340</v>
      </c>
      <c r="L15926">
        <v>0</v>
      </c>
      <c r="M15926">
        <v>0</v>
      </c>
      <c r="N15926">
        <v>2</v>
      </c>
      <c r="O15926" t="s">
        <v>11693</v>
      </c>
    </row>
    <row r="15927" spans="1:15">
      <c r="A15927" t="s">
        <v>30165</v>
      </c>
      <c r="B15927" t="s">
        <v>11644</v>
      </c>
      <c r="C15927" t="s">
        <v>11644</v>
      </c>
      <c r="D15927" t="s">
        <v>50341</v>
      </c>
      <c r="E15927" t="b">
        <v>0</v>
      </c>
      <c r="F15927" t="s">
        <v>11622</v>
      </c>
      <c r="L15927">
        <v>1</v>
      </c>
      <c r="M15927">
        <v>3</v>
      </c>
      <c r="N15927">
        <v>23</v>
      </c>
    </row>
    <row r="15928" spans="1:15">
      <c r="A15928" t="s">
        <v>50342</v>
      </c>
      <c r="B15928" t="s">
        <v>367</v>
      </c>
      <c r="C15928" t="s">
        <v>35513</v>
      </c>
      <c r="D15928" t="s">
        <v>50343</v>
      </c>
      <c r="E15928" t="b">
        <v>0</v>
      </c>
      <c r="F15928" t="s">
        <v>11610</v>
      </c>
      <c r="L15928">
        <v>0</v>
      </c>
      <c r="M15928">
        <v>0</v>
      </c>
      <c r="N15928">
        <v>0</v>
      </c>
    </row>
    <row r="15929" spans="1:15">
      <c r="A15929" t="s">
        <v>48564</v>
      </c>
      <c r="B15929" t="s">
        <v>6742</v>
      </c>
      <c r="C15929" t="s">
        <v>35297</v>
      </c>
      <c r="D15929" t="s">
        <v>50344</v>
      </c>
      <c r="E15929" t="b">
        <v>0</v>
      </c>
      <c r="F15929" t="s">
        <v>11622</v>
      </c>
      <c r="L15929">
        <v>0</v>
      </c>
      <c r="M15929">
        <v>2</v>
      </c>
      <c r="N15929">
        <v>8</v>
      </c>
    </row>
    <row r="15930" spans="1:15">
      <c r="A15930" t="s">
        <v>50345</v>
      </c>
      <c r="B15930" t="s">
        <v>13014</v>
      </c>
      <c r="C15930" t="s">
        <v>4307</v>
      </c>
      <c r="D15930" t="s">
        <v>50346</v>
      </c>
      <c r="E15930" t="b">
        <v>0</v>
      </c>
      <c r="F15930" t="s">
        <v>11610</v>
      </c>
      <c r="L15930">
        <v>0</v>
      </c>
      <c r="M15930">
        <v>0</v>
      </c>
      <c r="N15930">
        <v>0</v>
      </c>
    </row>
    <row r="15931" spans="1:15">
      <c r="A15931" t="s">
        <v>50347</v>
      </c>
      <c r="B15931" t="s">
        <v>6742</v>
      </c>
      <c r="C15931" t="s">
        <v>12870</v>
      </c>
      <c r="D15931" t="s">
        <v>50348</v>
      </c>
      <c r="E15931" t="b">
        <v>0</v>
      </c>
      <c r="F15931" t="s">
        <v>11610</v>
      </c>
      <c r="L15931">
        <v>0</v>
      </c>
      <c r="M15931">
        <v>0</v>
      </c>
      <c r="N15931">
        <v>0</v>
      </c>
    </row>
    <row r="15932" spans="1:15">
      <c r="A15932" t="s">
        <v>50349</v>
      </c>
      <c r="B15932" t="s">
        <v>13210</v>
      </c>
      <c r="C15932" t="s">
        <v>355</v>
      </c>
      <c r="D15932" t="s">
        <v>50350</v>
      </c>
      <c r="E15932" t="b">
        <v>0</v>
      </c>
      <c r="F15932" t="s">
        <v>11610</v>
      </c>
      <c r="L15932">
        <v>0</v>
      </c>
      <c r="M15932">
        <v>0</v>
      </c>
      <c r="N15932">
        <v>0</v>
      </c>
    </row>
    <row r="15933" spans="1:15">
      <c r="A15933" t="s">
        <v>50351</v>
      </c>
      <c r="B15933" t="s">
        <v>5058</v>
      </c>
      <c r="C15933" t="s">
        <v>20323</v>
      </c>
      <c r="D15933" t="s">
        <v>50352</v>
      </c>
      <c r="E15933" t="b">
        <v>0</v>
      </c>
      <c r="F15933" t="s">
        <v>11610</v>
      </c>
      <c r="L15933">
        <v>0</v>
      </c>
      <c r="M15933">
        <v>0</v>
      </c>
      <c r="N15933">
        <v>0</v>
      </c>
    </row>
    <row r="15934" spans="1:15">
      <c r="A15934" t="s">
        <v>50353</v>
      </c>
      <c r="B15934" t="s">
        <v>6742</v>
      </c>
      <c r="C15934" t="s">
        <v>26063</v>
      </c>
      <c r="D15934" t="s">
        <v>50354</v>
      </c>
      <c r="E15934" t="b">
        <v>0</v>
      </c>
      <c r="F15934" t="s">
        <v>11610</v>
      </c>
      <c r="L15934">
        <v>0</v>
      </c>
      <c r="M15934">
        <v>0</v>
      </c>
      <c r="N15934">
        <v>0</v>
      </c>
    </row>
    <row r="15935" spans="1:15">
      <c r="A15935" t="s">
        <v>50355</v>
      </c>
      <c r="B15935" t="s">
        <v>367</v>
      </c>
      <c r="C15935" t="s">
        <v>38120</v>
      </c>
      <c r="D15935" t="s">
        <v>50356</v>
      </c>
      <c r="E15935" t="b">
        <v>0</v>
      </c>
      <c r="F15935" t="s">
        <v>11610</v>
      </c>
      <c r="L15935">
        <v>0</v>
      </c>
      <c r="M15935">
        <v>0</v>
      </c>
      <c r="N15935">
        <v>0</v>
      </c>
    </row>
    <row r="15936" spans="1:15">
      <c r="A15936" t="s">
        <v>35607</v>
      </c>
      <c r="B15936" t="s">
        <v>367</v>
      </c>
      <c r="C15936" t="s">
        <v>16577</v>
      </c>
      <c r="D15936" t="s">
        <v>50357</v>
      </c>
      <c r="E15936" t="b">
        <v>0</v>
      </c>
      <c r="F15936" t="s">
        <v>11622</v>
      </c>
      <c r="L15936">
        <v>24</v>
      </c>
      <c r="M15936">
        <v>32</v>
      </c>
      <c r="N15936">
        <v>54</v>
      </c>
    </row>
    <row r="15937" spans="1:15">
      <c r="A15937" t="s">
        <v>50358</v>
      </c>
      <c r="B15937" t="s">
        <v>11637</v>
      </c>
      <c r="C15937" t="s">
        <v>16994</v>
      </c>
      <c r="D15937" t="s">
        <v>50359</v>
      </c>
      <c r="E15937" t="b">
        <v>0</v>
      </c>
      <c r="F15937" t="s">
        <v>11610</v>
      </c>
      <c r="L15937">
        <v>0</v>
      </c>
      <c r="M15937">
        <v>0</v>
      </c>
      <c r="N15937">
        <v>0</v>
      </c>
    </row>
    <row r="15938" spans="1:15">
      <c r="A15938" t="s">
        <v>50360</v>
      </c>
      <c r="B15938" t="s">
        <v>367</v>
      </c>
      <c r="C15938" t="s">
        <v>15110</v>
      </c>
      <c r="D15938" t="s">
        <v>50361</v>
      </c>
      <c r="E15938" t="b">
        <v>0</v>
      </c>
      <c r="F15938" t="s">
        <v>11610</v>
      </c>
      <c r="L15938">
        <v>0</v>
      </c>
      <c r="M15938">
        <v>0</v>
      </c>
      <c r="N15938">
        <v>0</v>
      </c>
    </row>
    <row r="15939" spans="1:15">
      <c r="A15939" t="s">
        <v>50362</v>
      </c>
      <c r="B15939" t="s">
        <v>11627</v>
      </c>
      <c r="C15939" t="s">
        <v>11627</v>
      </c>
      <c r="D15939" t="s">
        <v>50363</v>
      </c>
      <c r="E15939" t="b">
        <v>1</v>
      </c>
      <c r="F15939" t="s">
        <v>11624</v>
      </c>
      <c r="G15939">
        <v>27.430099999999999</v>
      </c>
      <c r="H15939">
        <v>90.534000000000006</v>
      </c>
      <c r="I15939" t="s">
        <v>50364</v>
      </c>
      <c r="L15939">
        <v>0</v>
      </c>
      <c r="M15939">
        <v>0</v>
      </c>
      <c r="N15939">
        <v>0</v>
      </c>
      <c r="O15939" t="s">
        <v>12020</v>
      </c>
    </row>
    <row r="15940" spans="1:15">
      <c r="A15940" t="s">
        <v>28802</v>
      </c>
      <c r="B15940" t="s">
        <v>6742</v>
      </c>
      <c r="C15940" t="s">
        <v>26743</v>
      </c>
      <c r="D15940" t="s">
        <v>50365</v>
      </c>
      <c r="E15940" t="b">
        <v>0</v>
      </c>
      <c r="F15940" t="s">
        <v>11622</v>
      </c>
      <c r="L15940">
        <v>5</v>
      </c>
      <c r="M15940">
        <v>9</v>
      </c>
      <c r="N15940">
        <v>24</v>
      </c>
    </row>
    <row r="15941" spans="1:15">
      <c r="A15941" t="s">
        <v>50366</v>
      </c>
      <c r="B15941" t="s">
        <v>6742</v>
      </c>
      <c r="C15941" t="s">
        <v>14916</v>
      </c>
      <c r="D15941" t="s">
        <v>50367</v>
      </c>
      <c r="E15941" t="b">
        <v>0</v>
      </c>
      <c r="F15941" t="s">
        <v>11624</v>
      </c>
      <c r="G15941">
        <v>9.1840399999999995</v>
      </c>
      <c r="H15941">
        <v>5.4003100000000002</v>
      </c>
      <c r="I15941" t="s">
        <v>50368</v>
      </c>
      <c r="L15941">
        <v>0</v>
      </c>
      <c r="M15941">
        <v>0</v>
      </c>
      <c r="N15941">
        <v>2</v>
      </c>
      <c r="O15941" t="s">
        <v>11693</v>
      </c>
    </row>
    <row r="15942" spans="1:15">
      <c r="A15942" t="s">
        <v>50369</v>
      </c>
      <c r="B15942" t="s">
        <v>6742</v>
      </c>
      <c r="C15942" t="s">
        <v>50366</v>
      </c>
      <c r="D15942" t="s">
        <v>50370</v>
      </c>
      <c r="E15942" t="b">
        <v>0</v>
      </c>
      <c r="F15942" t="s">
        <v>11610</v>
      </c>
      <c r="L15942">
        <v>0</v>
      </c>
      <c r="M15942">
        <v>0</v>
      </c>
      <c r="N15942">
        <v>0</v>
      </c>
    </row>
    <row r="15943" spans="1:15">
      <c r="A15943" t="s">
        <v>50371</v>
      </c>
      <c r="B15943" t="s">
        <v>6742</v>
      </c>
      <c r="C15943" t="s">
        <v>50366</v>
      </c>
      <c r="D15943" t="s">
        <v>50372</v>
      </c>
      <c r="E15943" t="b">
        <v>0</v>
      </c>
      <c r="F15943" t="s">
        <v>11610</v>
      </c>
      <c r="L15943">
        <v>0</v>
      </c>
      <c r="M15943">
        <v>0</v>
      </c>
      <c r="N15943">
        <v>0</v>
      </c>
    </row>
    <row r="15944" spans="1:15">
      <c r="A15944" t="s">
        <v>14916</v>
      </c>
      <c r="B15944" t="s">
        <v>6742</v>
      </c>
      <c r="C15944" t="s">
        <v>28802</v>
      </c>
      <c r="D15944" t="s">
        <v>50373</v>
      </c>
      <c r="E15944" t="b">
        <v>0</v>
      </c>
      <c r="F15944" t="s">
        <v>11622</v>
      </c>
      <c r="L15944">
        <v>3</v>
      </c>
      <c r="M15944">
        <v>7</v>
      </c>
      <c r="N15944">
        <v>6</v>
      </c>
    </row>
    <row r="15945" spans="1:15">
      <c r="A15945" t="s">
        <v>50374</v>
      </c>
      <c r="B15945" t="s">
        <v>13737</v>
      </c>
      <c r="C15945" t="s">
        <v>44589</v>
      </c>
      <c r="D15945" t="s">
        <v>50375</v>
      </c>
      <c r="E15945" t="b">
        <v>0</v>
      </c>
      <c r="F15945" t="s">
        <v>11624</v>
      </c>
      <c r="G15945">
        <v>-2.3449499999999999</v>
      </c>
      <c r="H15945">
        <v>-70.9559</v>
      </c>
      <c r="I15945" t="s">
        <v>50376</v>
      </c>
      <c r="L15945">
        <v>0</v>
      </c>
      <c r="M15945">
        <v>0</v>
      </c>
      <c r="N15945">
        <v>0</v>
      </c>
      <c r="O15945" t="s">
        <v>45917</v>
      </c>
    </row>
    <row r="15946" spans="1:15">
      <c r="A15946" t="s">
        <v>50377</v>
      </c>
      <c r="B15946" t="s">
        <v>6742</v>
      </c>
      <c r="C15946" t="s">
        <v>40414</v>
      </c>
      <c r="D15946" t="s">
        <v>50378</v>
      </c>
      <c r="E15946" t="b">
        <v>0</v>
      </c>
      <c r="F15946" t="s">
        <v>11610</v>
      </c>
      <c r="L15946">
        <v>0</v>
      </c>
      <c r="M15946">
        <v>0</v>
      </c>
      <c r="N15946">
        <v>0</v>
      </c>
    </row>
    <row r="15947" spans="1:15">
      <c r="A15947" t="s">
        <v>49126</v>
      </c>
      <c r="B15947" t="s">
        <v>11637</v>
      </c>
      <c r="C15947" t="s">
        <v>185</v>
      </c>
      <c r="D15947" t="s">
        <v>50379</v>
      </c>
      <c r="E15947" t="b">
        <v>0</v>
      </c>
      <c r="F15947" t="s">
        <v>11622</v>
      </c>
      <c r="L15947">
        <v>4</v>
      </c>
      <c r="M15947">
        <v>6</v>
      </c>
      <c r="N15947">
        <v>13</v>
      </c>
    </row>
    <row r="15948" spans="1:15">
      <c r="A15948" t="s">
        <v>50380</v>
      </c>
      <c r="B15948" t="s">
        <v>11644</v>
      </c>
      <c r="C15948" t="s">
        <v>25411</v>
      </c>
      <c r="D15948" t="s">
        <v>50381</v>
      </c>
      <c r="E15948" t="b">
        <v>0</v>
      </c>
      <c r="F15948" t="s">
        <v>11610</v>
      </c>
      <c r="L15948">
        <v>0</v>
      </c>
      <c r="M15948">
        <v>0</v>
      </c>
      <c r="N15948">
        <v>0</v>
      </c>
    </row>
    <row r="15949" spans="1:15">
      <c r="A15949" t="s">
        <v>50382</v>
      </c>
      <c r="B15949" t="s">
        <v>11637</v>
      </c>
      <c r="C15949" t="s">
        <v>19566</v>
      </c>
      <c r="D15949" t="s">
        <v>50383</v>
      </c>
      <c r="E15949" t="b">
        <v>0</v>
      </c>
      <c r="F15949" t="s">
        <v>11610</v>
      </c>
      <c r="L15949">
        <v>0</v>
      </c>
      <c r="M15949">
        <v>0</v>
      </c>
      <c r="N15949">
        <v>0</v>
      </c>
    </row>
    <row r="15950" spans="1:15">
      <c r="A15950" t="s">
        <v>25442</v>
      </c>
      <c r="B15950" t="s">
        <v>11615</v>
      </c>
      <c r="C15950" t="s">
        <v>27544</v>
      </c>
      <c r="D15950" t="s">
        <v>50384</v>
      </c>
      <c r="E15950" t="b">
        <v>0</v>
      </c>
      <c r="F15950" t="s">
        <v>11622</v>
      </c>
      <c r="L15950">
        <v>0</v>
      </c>
      <c r="M15950">
        <v>7</v>
      </c>
      <c r="N15950">
        <v>0</v>
      </c>
    </row>
    <row r="15951" spans="1:15">
      <c r="A15951" t="s">
        <v>50385</v>
      </c>
      <c r="B15951" t="s">
        <v>367</v>
      </c>
      <c r="C15951" t="s">
        <v>4780</v>
      </c>
      <c r="D15951" t="s">
        <v>50386</v>
      </c>
      <c r="E15951" t="b">
        <v>0</v>
      </c>
      <c r="F15951" t="s">
        <v>11610</v>
      </c>
      <c r="L15951">
        <v>0</v>
      </c>
      <c r="M15951">
        <v>0</v>
      </c>
      <c r="N15951">
        <v>0</v>
      </c>
    </row>
    <row r="15952" spans="1:15">
      <c r="A15952" t="s">
        <v>50387</v>
      </c>
      <c r="B15952" t="s">
        <v>367</v>
      </c>
      <c r="C15952" t="s">
        <v>13240</v>
      </c>
      <c r="D15952" t="s">
        <v>50388</v>
      </c>
      <c r="E15952" t="b">
        <v>0</v>
      </c>
      <c r="F15952" t="s">
        <v>11624</v>
      </c>
      <c r="G15952">
        <v>-3.67727</v>
      </c>
      <c r="H15952">
        <v>128.77600000000001</v>
      </c>
      <c r="I15952" t="s">
        <v>50389</v>
      </c>
      <c r="L15952">
        <v>0</v>
      </c>
      <c r="M15952">
        <v>0</v>
      </c>
      <c r="N15952">
        <v>0</v>
      </c>
      <c r="O15952" t="s">
        <v>11768</v>
      </c>
    </row>
    <row r="15953" spans="1:15">
      <c r="A15953" t="s">
        <v>50390</v>
      </c>
      <c r="B15953" t="s">
        <v>11644</v>
      </c>
      <c r="C15953" t="s">
        <v>30713</v>
      </c>
      <c r="D15953" t="s">
        <v>50391</v>
      </c>
      <c r="E15953" t="b">
        <v>0</v>
      </c>
      <c r="F15953" t="s">
        <v>11622</v>
      </c>
      <c r="L15953">
        <v>0</v>
      </c>
      <c r="M15953">
        <v>2</v>
      </c>
      <c r="N15953">
        <v>5</v>
      </c>
    </row>
    <row r="15954" spans="1:15">
      <c r="A15954" t="s">
        <v>21419</v>
      </c>
      <c r="B15954" t="s">
        <v>11644</v>
      </c>
      <c r="C15954" t="s">
        <v>50390</v>
      </c>
      <c r="D15954" t="s">
        <v>50392</v>
      </c>
      <c r="E15954" t="b">
        <v>0</v>
      </c>
      <c r="F15954" t="s">
        <v>11624</v>
      </c>
      <c r="G15954">
        <v>26.729199999999999</v>
      </c>
      <c r="H15954">
        <v>98.880099999999999</v>
      </c>
      <c r="I15954" t="s">
        <v>50393</v>
      </c>
      <c r="L15954">
        <v>0</v>
      </c>
      <c r="M15954">
        <v>0</v>
      </c>
      <c r="N15954">
        <v>3</v>
      </c>
      <c r="O15954" t="s">
        <v>11905</v>
      </c>
    </row>
    <row r="15955" spans="1:15">
      <c r="A15955" t="s">
        <v>9338</v>
      </c>
      <c r="B15955" t="s">
        <v>17854</v>
      </c>
      <c r="C15955" t="s">
        <v>24933</v>
      </c>
      <c r="D15955" t="s">
        <v>9337</v>
      </c>
      <c r="E15955" t="b">
        <v>0</v>
      </c>
      <c r="F15955" t="s">
        <v>11624</v>
      </c>
      <c r="G15955">
        <v>49.67</v>
      </c>
      <c r="H15955">
        <v>-126.67</v>
      </c>
      <c r="I15955" t="s">
        <v>9341</v>
      </c>
      <c r="L15955">
        <v>0</v>
      </c>
      <c r="M15955">
        <v>0</v>
      </c>
      <c r="N15955">
        <v>0</v>
      </c>
      <c r="O15955" t="s">
        <v>11944</v>
      </c>
    </row>
    <row r="15956" spans="1:15">
      <c r="A15956" t="s">
        <v>15147</v>
      </c>
      <c r="B15956" t="s">
        <v>15146</v>
      </c>
      <c r="C15956" t="s">
        <v>38738</v>
      </c>
      <c r="D15956" t="s">
        <v>50394</v>
      </c>
      <c r="E15956" t="b">
        <v>0</v>
      </c>
      <c r="F15956" t="s">
        <v>11624</v>
      </c>
      <c r="G15956">
        <v>-29.705400000000001</v>
      </c>
      <c r="H15956">
        <v>19.084099999999999</v>
      </c>
      <c r="I15956" t="s">
        <v>50395</v>
      </c>
      <c r="L15956">
        <v>0</v>
      </c>
      <c r="M15956">
        <v>0</v>
      </c>
      <c r="N15956">
        <v>4</v>
      </c>
      <c r="O15956" t="s">
        <v>21031</v>
      </c>
    </row>
    <row r="15957" spans="1:15">
      <c r="A15957" t="s">
        <v>50396</v>
      </c>
      <c r="B15957" t="s">
        <v>15146</v>
      </c>
      <c r="C15957" t="s">
        <v>15147</v>
      </c>
      <c r="D15957" t="s">
        <v>50397</v>
      </c>
      <c r="E15957" t="b">
        <v>0</v>
      </c>
      <c r="F15957" t="s">
        <v>11610</v>
      </c>
      <c r="L15957">
        <v>0</v>
      </c>
      <c r="M15957">
        <v>0</v>
      </c>
      <c r="N15957">
        <v>0</v>
      </c>
    </row>
    <row r="15958" spans="1:15">
      <c r="A15958" t="s">
        <v>50398</v>
      </c>
      <c r="B15958" t="s">
        <v>11879</v>
      </c>
      <c r="C15958" t="s">
        <v>50399</v>
      </c>
      <c r="D15958" t="s">
        <v>50400</v>
      </c>
      <c r="E15958" t="b">
        <v>0</v>
      </c>
      <c r="F15958" t="s">
        <v>11610</v>
      </c>
      <c r="L15958">
        <v>0</v>
      </c>
      <c r="M15958">
        <v>0</v>
      </c>
      <c r="N15958">
        <v>0</v>
      </c>
    </row>
    <row r="15959" spans="1:15">
      <c r="A15959" t="s">
        <v>50401</v>
      </c>
      <c r="B15959" t="s">
        <v>367</v>
      </c>
      <c r="C15959" t="s">
        <v>49265</v>
      </c>
      <c r="D15959" t="s">
        <v>50402</v>
      </c>
      <c r="E15959" t="b">
        <v>0</v>
      </c>
      <c r="F15959" t="s">
        <v>11610</v>
      </c>
      <c r="L15959">
        <v>0</v>
      </c>
      <c r="M15959">
        <v>0</v>
      </c>
      <c r="N15959">
        <v>0</v>
      </c>
    </row>
    <row r="15960" spans="1:15">
      <c r="A15960" t="s">
        <v>17968</v>
      </c>
      <c r="B15960" t="s">
        <v>13276</v>
      </c>
      <c r="C15960" t="s">
        <v>30248</v>
      </c>
      <c r="D15960" t="s">
        <v>50403</v>
      </c>
      <c r="E15960" t="b">
        <v>0</v>
      </c>
      <c r="F15960" t="s">
        <v>11622</v>
      </c>
      <c r="L15960">
        <v>4</v>
      </c>
      <c r="M15960">
        <v>6</v>
      </c>
      <c r="N15960">
        <v>6</v>
      </c>
    </row>
    <row r="15961" spans="1:15">
      <c r="A15961" t="s">
        <v>50404</v>
      </c>
      <c r="B15961" t="s">
        <v>6742</v>
      </c>
      <c r="C15961" t="s">
        <v>4187</v>
      </c>
      <c r="D15961" t="s">
        <v>50405</v>
      </c>
      <c r="E15961" t="b">
        <v>0</v>
      </c>
      <c r="F15961" t="s">
        <v>11610</v>
      </c>
      <c r="L15961">
        <v>0</v>
      </c>
      <c r="M15961">
        <v>0</v>
      </c>
      <c r="N15961">
        <v>0</v>
      </c>
    </row>
    <row r="15962" spans="1:15">
      <c r="A15962" t="s">
        <v>50406</v>
      </c>
      <c r="B15962" t="s">
        <v>6742</v>
      </c>
      <c r="C15962" t="s">
        <v>17881</v>
      </c>
      <c r="D15962" t="s">
        <v>50407</v>
      </c>
      <c r="E15962" t="b">
        <v>0</v>
      </c>
      <c r="F15962" t="s">
        <v>11610</v>
      </c>
      <c r="L15962">
        <v>0</v>
      </c>
      <c r="M15962">
        <v>0</v>
      </c>
      <c r="N15962">
        <v>0</v>
      </c>
    </row>
    <row r="15963" spans="1:15">
      <c r="A15963" t="s">
        <v>50408</v>
      </c>
      <c r="B15963" t="s">
        <v>6742</v>
      </c>
      <c r="C15963" t="s">
        <v>25251</v>
      </c>
      <c r="D15963" t="s">
        <v>50409</v>
      </c>
      <c r="E15963" t="b">
        <v>0</v>
      </c>
      <c r="F15963" t="s">
        <v>11610</v>
      </c>
      <c r="L15963">
        <v>0</v>
      </c>
      <c r="M15963">
        <v>0</v>
      </c>
      <c r="N15963">
        <v>0</v>
      </c>
    </row>
    <row r="15964" spans="1:15">
      <c r="A15964" t="s">
        <v>50410</v>
      </c>
      <c r="B15964" t="s">
        <v>6742</v>
      </c>
      <c r="C15964" t="s">
        <v>38296</v>
      </c>
      <c r="D15964" t="s">
        <v>50411</v>
      </c>
      <c r="E15964" t="b">
        <v>0</v>
      </c>
      <c r="F15964" t="s">
        <v>11610</v>
      </c>
      <c r="L15964">
        <v>0</v>
      </c>
      <c r="M15964">
        <v>0</v>
      </c>
      <c r="N15964">
        <v>0</v>
      </c>
    </row>
    <row r="15965" spans="1:15">
      <c r="A15965" t="s">
        <v>50412</v>
      </c>
      <c r="B15965" t="s">
        <v>6742</v>
      </c>
      <c r="C15965" t="s">
        <v>20105</v>
      </c>
      <c r="D15965" t="s">
        <v>50413</v>
      </c>
      <c r="E15965" t="b">
        <v>0</v>
      </c>
      <c r="F15965" t="s">
        <v>11610</v>
      </c>
      <c r="L15965">
        <v>0</v>
      </c>
      <c r="M15965">
        <v>0</v>
      </c>
      <c r="N15965">
        <v>0</v>
      </c>
    </row>
    <row r="15966" spans="1:15">
      <c r="A15966" t="s">
        <v>50414</v>
      </c>
      <c r="B15966" t="s">
        <v>6742</v>
      </c>
      <c r="C15966" t="s">
        <v>29386</v>
      </c>
      <c r="D15966" t="s">
        <v>50415</v>
      </c>
      <c r="E15966" t="b">
        <v>0</v>
      </c>
      <c r="F15966" t="s">
        <v>11610</v>
      </c>
      <c r="L15966">
        <v>0</v>
      </c>
      <c r="M15966">
        <v>0</v>
      </c>
      <c r="N15966">
        <v>0</v>
      </c>
    </row>
    <row r="15967" spans="1:15">
      <c r="A15967" t="s">
        <v>49633</v>
      </c>
      <c r="B15967" t="s">
        <v>6742</v>
      </c>
      <c r="C15967" t="s">
        <v>26109</v>
      </c>
      <c r="D15967" t="s">
        <v>50416</v>
      </c>
      <c r="E15967" t="b">
        <v>0</v>
      </c>
      <c r="F15967" t="s">
        <v>11624</v>
      </c>
      <c r="G15967">
        <v>6.87615</v>
      </c>
      <c r="H15967">
        <v>-6.8442800000000004</v>
      </c>
      <c r="I15967" t="s">
        <v>50417</v>
      </c>
      <c r="L15967">
        <v>0</v>
      </c>
      <c r="M15967">
        <v>0</v>
      </c>
      <c r="N15967">
        <v>2</v>
      </c>
      <c r="O15967" t="s">
        <v>11735</v>
      </c>
    </row>
    <row r="15968" spans="1:15">
      <c r="A15968" t="s">
        <v>50418</v>
      </c>
      <c r="B15968" t="s">
        <v>11780</v>
      </c>
      <c r="C15968" t="s">
        <v>11781</v>
      </c>
      <c r="D15968" t="s">
        <v>50419</v>
      </c>
      <c r="E15968" t="b">
        <v>0</v>
      </c>
      <c r="F15968" t="s">
        <v>11610</v>
      </c>
      <c r="L15968">
        <v>0</v>
      </c>
      <c r="M15968">
        <v>0</v>
      </c>
      <c r="N15968">
        <v>0</v>
      </c>
    </row>
    <row r="15969" spans="1:15">
      <c r="A15969" t="s">
        <v>50420</v>
      </c>
      <c r="B15969" t="s">
        <v>6742</v>
      </c>
      <c r="C15969" t="s">
        <v>40664</v>
      </c>
      <c r="D15969" t="s">
        <v>50421</v>
      </c>
      <c r="E15969" t="b">
        <v>0</v>
      </c>
      <c r="F15969" t="s">
        <v>11610</v>
      </c>
      <c r="L15969">
        <v>0</v>
      </c>
      <c r="M15969">
        <v>0</v>
      </c>
      <c r="N15969">
        <v>0</v>
      </c>
    </row>
    <row r="15970" spans="1:15">
      <c r="A15970" t="s">
        <v>50422</v>
      </c>
      <c r="B15970" t="s">
        <v>6742</v>
      </c>
      <c r="C15970" t="s">
        <v>40664</v>
      </c>
      <c r="D15970" t="s">
        <v>50423</v>
      </c>
      <c r="E15970" t="b">
        <v>0</v>
      </c>
      <c r="F15970" t="s">
        <v>11610</v>
      </c>
      <c r="L15970">
        <v>0</v>
      </c>
      <c r="M15970">
        <v>0</v>
      </c>
      <c r="N15970">
        <v>0</v>
      </c>
    </row>
    <row r="15971" spans="1:15">
      <c r="A15971" t="s">
        <v>50424</v>
      </c>
      <c r="B15971" t="s">
        <v>11627</v>
      </c>
      <c r="C15971" t="s">
        <v>11627</v>
      </c>
      <c r="D15971" t="s">
        <v>50425</v>
      </c>
      <c r="E15971" t="b">
        <v>1</v>
      </c>
      <c r="F15971" t="s">
        <v>11624</v>
      </c>
      <c r="I15971" t="s">
        <v>50426</v>
      </c>
      <c r="L15971">
        <v>0</v>
      </c>
      <c r="M15971">
        <v>0</v>
      </c>
      <c r="N15971">
        <v>0</v>
      </c>
    </row>
    <row r="15972" spans="1:15">
      <c r="A15972" t="s">
        <v>50427</v>
      </c>
      <c r="B15972" t="s">
        <v>6742</v>
      </c>
      <c r="C15972" t="s">
        <v>40664</v>
      </c>
      <c r="D15972" t="s">
        <v>50428</v>
      </c>
      <c r="E15972" t="b">
        <v>0</v>
      </c>
      <c r="F15972" t="s">
        <v>11610</v>
      </c>
      <c r="L15972">
        <v>0</v>
      </c>
      <c r="M15972">
        <v>0</v>
      </c>
      <c r="N15972">
        <v>0</v>
      </c>
    </row>
    <row r="15973" spans="1:15">
      <c r="A15973" t="s">
        <v>50429</v>
      </c>
      <c r="B15973" t="s">
        <v>6742</v>
      </c>
      <c r="C15973" t="s">
        <v>40664</v>
      </c>
      <c r="D15973" t="s">
        <v>50430</v>
      </c>
      <c r="E15973" t="b">
        <v>0</v>
      </c>
      <c r="F15973" t="s">
        <v>11610</v>
      </c>
      <c r="L15973">
        <v>0</v>
      </c>
      <c r="M15973">
        <v>0</v>
      </c>
      <c r="N15973">
        <v>0</v>
      </c>
    </row>
    <row r="15974" spans="1:15">
      <c r="A15974" t="s">
        <v>50431</v>
      </c>
      <c r="B15974" t="s">
        <v>6742</v>
      </c>
      <c r="C15974" t="s">
        <v>23831</v>
      </c>
      <c r="D15974" t="s">
        <v>50432</v>
      </c>
      <c r="E15974" t="b">
        <v>0</v>
      </c>
      <c r="F15974" t="s">
        <v>11610</v>
      </c>
      <c r="L15974">
        <v>0</v>
      </c>
      <c r="M15974">
        <v>0</v>
      </c>
      <c r="N15974">
        <v>0</v>
      </c>
    </row>
    <row r="15975" spans="1:15">
      <c r="A15975" t="s">
        <v>50433</v>
      </c>
      <c r="B15975" t="s">
        <v>12438</v>
      </c>
      <c r="C15975" t="s">
        <v>39575</v>
      </c>
      <c r="D15975" t="s">
        <v>50434</v>
      </c>
      <c r="E15975" t="b">
        <v>0</v>
      </c>
      <c r="F15975" t="s">
        <v>11624</v>
      </c>
      <c r="G15975">
        <v>15.103400000000001</v>
      </c>
      <c r="H15975">
        <v>106.54300000000001</v>
      </c>
      <c r="I15975" t="s">
        <v>50435</v>
      </c>
      <c r="L15975">
        <v>0</v>
      </c>
      <c r="M15975">
        <v>0</v>
      </c>
      <c r="N15975">
        <v>0</v>
      </c>
      <c r="O15975" t="s">
        <v>12921</v>
      </c>
    </row>
    <row r="15976" spans="1:15">
      <c r="A15976" t="s">
        <v>50436</v>
      </c>
      <c r="B15976" t="s">
        <v>12438</v>
      </c>
      <c r="C15976" t="s">
        <v>45196</v>
      </c>
      <c r="D15976" t="s">
        <v>50437</v>
      </c>
      <c r="E15976" t="b">
        <v>0</v>
      </c>
      <c r="F15976" t="s">
        <v>11624</v>
      </c>
      <c r="G15976">
        <v>15.8909</v>
      </c>
      <c r="H15976">
        <v>101.515</v>
      </c>
      <c r="I15976" t="s">
        <v>50438</v>
      </c>
      <c r="L15976">
        <v>0</v>
      </c>
      <c r="M15976">
        <v>0</v>
      </c>
      <c r="N15976">
        <v>0</v>
      </c>
      <c r="O15976" t="s">
        <v>16739</v>
      </c>
    </row>
    <row r="15977" spans="1:15">
      <c r="A15977" t="s">
        <v>50439</v>
      </c>
      <c r="B15977" t="s">
        <v>6742</v>
      </c>
      <c r="C15977" t="s">
        <v>32125</v>
      </c>
      <c r="D15977" t="s">
        <v>50440</v>
      </c>
      <c r="E15977" t="b">
        <v>0</v>
      </c>
      <c r="F15977" t="s">
        <v>11610</v>
      </c>
      <c r="L15977">
        <v>0</v>
      </c>
      <c r="M15977">
        <v>0</v>
      </c>
      <c r="N15977">
        <v>0</v>
      </c>
    </row>
    <row r="15978" spans="1:15">
      <c r="A15978" t="s">
        <v>50441</v>
      </c>
      <c r="B15978" t="s">
        <v>11644</v>
      </c>
      <c r="C15978" t="s">
        <v>33086</v>
      </c>
      <c r="D15978" t="s">
        <v>50442</v>
      </c>
      <c r="E15978" t="b">
        <v>0</v>
      </c>
      <c r="F15978" t="s">
        <v>11610</v>
      </c>
      <c r="L15978">
        <v>0</v>
      </c>
      <c r="M15978">
        <v>0</v>
      </c>
      <c r="N15978">
        <v>0</v>
      </c>
    </row>
    <row r="15979" spans="1:15">
      <c r="A15979" t="s">
        <v>50443</v>
      </c>
      <c r="B15979" t="s">
        <v>6742</v>
      </c>
      <c r="C15979" t="s">
        <v>499</v>
      </c>
      <c r="D15979" t="s">
        <v>50444</v>
      </c>
      <c r="E15979" t="b">
        <v>0</v>
      </c>
      <c r="F15979" t="s">
        <v>11610</v>
      </c>
      <c r="L15979">
        <v>0</v>
      </c>
      <c r="M15979">
        <v>0</v>
      </c>
      <c r="N15979">
        <v>0</v>
      </c>
    </row>
    <row r="15980" spans="1:15">
      <c r="A15980" t="s">
        <v>38055</v>
      </c>
      <c r="B15980" t="s">
        <v>6742</v>
      </c>
      <c r="C15980" t="s">
        <v>46743</v>
      </c>
      <c r="D15980" t="s">
        <v>50445</v>
      </c>
      <c r="E15980" t="b">
        <v>0</v>
      </c>
      <c r="F15980" t="s">
        <v>11624</v>
      </c>
      <c r="G15980">
        <v>-9.7101799999999994</v>
      </c>
      <c r="H15980">
        <v>33.776299999999999</v>
      </c>
      <c r="I15980" t="s">
        <v>50446</v>
      </c>
      <c r="L15980">
        <v>0</v>
      </c>
      <c r="M15980">
        <v>0</v>
      </c>
      <c r="N15980">
        <v>6</v>
      </c>
      <c r="O15980" t="s">
        <v>27909</v>
      </c>
    </row>
    <row r="15981" spans="1:15">
      <c r="A15981" t="s">
        <v>50447</v>
      </c>
      <c r="B15981" t="s">
        <v>6742</v>
      </c>
      <c r="C15981" t="s">
        <v>38055</v>
      </c>
      <c r="D15981" t="s">
        <v>50448</v>
      </c>
      <c r="E15981" t="b">
        <v>0</v>
      </c>
      <c r="F15981" t="s">
        <v>11610</v>
      </c>
      <c r="L15981">
        <v>0</v>
      </c>
      <c r="M15981">
        <v>0</v>
      </c>
      <c r="N15981">
        <v>0</v>
      </c>
    </row>
    <row r="15982" spans="1:15">
      <c r="A15982" t="s">
        <v>50449</v>
      </c>
      <c r="B15982" t="s">
        <v>6742</v>
      </c>
      <c r="C15982" t="s">
        <v>1780</v>
      </c>
      <c r="D15982" t="s">
        <v>50450</v>
      </c>
      <c r="E15982" t="b">
        <v>0</v>
      </c>
      <c r="F15982" t="s">
        <v>11610</v>
      </c>
      <c r="L15982">
        <v>0</v>
      </c>
      <c r="M15982">
        <v>0</v>
      </c>
      <c r="N15982">
        <v>0</v>
      </c>
    </row>
    <row r="15983" spans="1:15">
      <c r="A15983" t="s">
        <v>50451</v>
      </c>
      <c r="B15983" t="s">
        <v>11757</v>
      </c>
      <c r="C15983" t="s">
        <v>883</v>
      </c>
      <c r="D15983" t="s">
        <v>50452</v>
      </c>
      <c r="E15983" t="b">
        <v>0</v>
      </c>
      <c r="F15983" t="s">
        <v>11610</v>
      </c>
      <c r="L15983">
        <v>0</v>
      </c>
      <c r="M15983">
        <v>0</v>
      </c>
      <c r="N15983">
        <v>0</v>
      </c>
    </row>
    <row r="15984" spans="1:15">
      <c r="A15984" t="s">
        <v>46743</v>
      </c>
      <c r="B15984" t="s">
        <v>6742</v>
      </c>
      <c r="C15984" t="s">
        <v>23456</v>
      </c>
      <c r="D15984" t="s">
        <v>50453</v>
      </c>
      <c r="E15984" t="b">
        <v>0</v>
      </c>
      <c r="F15984" t="s">
        <v>11622</v>
      </c>
      <c r="L15984">
        <v>0</v>
      </c>
      <c r="M15984">
        <v>2</v>
      </c>
      <c r="N15984">
        <v>7</v>
      </c>
    </row>
    <row r="15985" spans="1:15">
      <c r="A15985" t="s">
        <v>50454</v>
      </c>
      <c r="B15985" t="s">
        <v>6742</v>
      </c>
      <c r="C15985" t="s">
        <v>50455</v>
      </c>
      <c r="D15985" t="s">
        <v>50456</v>
      </c>
      <c r="E15985" t="b">
        <v>0</v>
      </c>
      <c r="F15985" t="s">
        <v>11624</v>
      </c>
      <c r="G15985">
        <v>1.9209799999999999</v>
      </c>
      <c r="H15985">
        <v>30.020099999999999</v>
      </c>
      <c r="I15985" t="s">
        <v>50457</v>
      </c>
      <c r="L15985">
        <v>0</v>
      </c>
      <c r="M15985">
        <v>0</v>
      </c>
      <c r="N15985">
        <v>0</v>
      </c>
      <c r="O15985" t="s">
        <v>14825</v>
      </c>
    </row>
    <row r="15986" spans="1:15">
      <c r="A15986" t="s">
        <v>50458</v>
      </c>
      <c r="B15986" t="s">
        <v>11780</v>
      </c>
      <c r="C15986" t="s">
        <v>24146</v>
      </c>
      <c r="D15986" t="s">
        <v>50459</v>
      </c>
      <c r="E15986" t="b">
        <v>0</v>
      </c>
      <c r="F15986" t="s">
        <v>11610</v>
      </c>
      <c r="L15986">
        <v>0</v>
      </c>
      <c r="M15986">
        <v>0</v>
      </c>
      <c r="N15986">
        <v>0</v>
      </c>
    </row>
    <row r="15987" spans="1:15">
      <c r="A15987" t="s">
        <v>17570</v>
      </c>
      <c r="B15987" t="s">
        <v>17030</v>
      </c>
      <c r="C15987" t="s">
        <v>24137</v>
      </c>
      <c r="D15987" t="s">
        <v>50460</v>
      </c>
      <c r="E15987" t="b">
        <v>0</v>
      </c>
      <c r="F15987" t="s">
        <v>11622</v>
      </c>
      <c r="L15987">
        <v>0</v>
      </c>
      <c r="M15987">
        <v>2</v>
      </c>
      <c r="N15987">
        <v>2</v>
      </c>
    </row>
    <row r="15988" spans="1:15">
      <c r="A15988" t="s">
        <v>50461</v>
      </c>
      <c r="B15988" t="s">
        <v>17030</v>
      </c>
      <c r="C15988" t="s">
        <v>24148</v>
      </c>
      <c r="D15988" t="s">
        <v>50462</v>
      </c>
      <c r="E15988" t="b">
        <v>0</v>
      </c>
      <c r="F15988" t="s">
        <v>11610</v>
      </c>
      <c r="L15988">
        <v>0</v>
      </c>
      <c r="M15988">
        <v>0</v>
      </c>
      <c r="N15988">
        <v>0</v>
      </c>
    </row>
    <row r="15989" spans="1:15">
      <c r="A15989" t="s">
        <v>17814</v>
      </c>
      <c r="B15989" t="s">
        <v>367</v>
      </c>
      <c r="C15989" t="s">
        <v>16247</v>
      </c>
      <c r="D15989" t="s">
        <v>50463</v>
      </c>
      <c r="E15989" t="b">
        <v>0</v>
      </c>
      <c r="F15989" t="s">
        <v>11624</v>
      </c>
      <c r="G15989">
        <v>-19.72</v>
      </c>
      <c r="H15989">
        <v>163.66</v>
      </c>
      <c r="I15989" t="s">
        <v>50464</v>
      </c>
      <c r="L15989">
        <v>0</v>
      </c>
      <c r="M15989">
        <v>0</v>
      </c>
      <c r="N15989">
        <v>2</v>
      </c>
      <c r="O15989" t="s">
        <v>12624</v>
      </c>
    </row>
    <row r="15990" spans="1:15">
      <c r="A15990" t="s">
        <v>17869</v>
      </c>
      <c r="B15990" t="s">
        <v>6742</v>
      </c>
      <c r="C15990" t="s">
        <v>39655</v>
      </c>
      <c r="D15990" t="s">
        <v>50465</v>
      </c>
      <c r="E15990" t="b">
        <v>0</v>
      </c>
      <c r="F15990" t="s">
        <v>11622</v>
      </c>
      <c r="L15990">
        <v>2</v>
      </c>
      <c r="M15990">
        <v>6</v>
      </c>
      <c r="N15990">
        <v>8</v>
      </c>
    </row>
    <row r="15991" spans="1:15">
      <c r="A15991" t="s">
        <v>16247</v>
      </c>
      <c r="B15991" t="s">
        <v>367</v>
      </c>
      <c r="C15991" t="s">
        <v>27574</v>
      </c>
      <c r="D15991" t="s">
        <v>50466</v>
      </c>
      <c r="E15991" t="b">
        <v>0</v>
      </c>
      <c r="F15991" t="s">
        <v>11622</v>
      </c>
      <c r="L15991">
        <v>0</v>
      </c>
      <c r="M15991">
        <v>2</v>
      </c>
      <c r="N15991">
        <v>2</v>
      </c>
    </row>
    <row r="15992" spans="1:15">
      <c r="A15992" t="s">
        <v>50467</v>
      </c>
      <c r="B15992" t="s">
        <v>10597</v>
      </c>
      <c r="C15992" t="s">
        <v>47279</v>
      </c>
      <c r="D15992" t="s">
        <v>50468</v>
      </c>
      <c r="E15992" t="b">
        <v>0</v>
      </c>
      <c r="F15992" t="s">
        <v>11624</v>
      </c>
      <c r="G15992">
        <v>-21.609200000000001</v>
      </c>
      <c r="H15992">
        <v>119.693</v>
      </c>
      <c r="I15992" t="s">
        <v>50469</v>
      </c>
      <c r="L15992">
        <v>0</v>
      </c>
      <c r="M15992">
        <v>0</v>
      </c>
      <c r="N15992">
        <v>0</v>
      </c>
      <c r="O15992" t="s">
        <v>12107</v>
      </c>
    </row>
    <row r="15993" spans="1:15">
      <c r="A15993" t="s">
        <v>50470</v>
      </c>
      <c r="B15993" t="s">
        <v>6742</v>
      </c>
      <c r="C15993" t="s">
        <v>29343</v>
      </c>
      <c r="D15993" t="s">
        <v>50471</v>
      </c>
      <c r="E15993" t="b">
        <v>0</v>
      </c>
      <c r="F15993" t="s">
        <v>11610</v>
      </c>
      <c r="L15993">
        <v>0</v>
      </c>
      <c r="M15993">
        <v>0</v>
      </c>
      <c r="N15993">
        <v>0</v>
      </c>
    </row>
    <row r="15994" spans="1:15">
      <c r="A15994" t="s">
        <v>50472</v>
      </c>
      <c r="B15994" t="s">
        <v>6742</v>
      </c>
      <c r="C15994" t="s">
        <v>19032</v>
      </c>
      <c r="D15994" t="s">
        <v>50473</v>
      </c>
      <c r="E15994" t="b">
        <v>0</v>
      </c>
      <c r="F15994" t="s">
        <v>11610</v>
      </c>
      <c r="L15994">
        <v>0</v>
      </c>
      <c r="M15994">
        <v>0</v>
      </c>
      <c r="N15994">
        <v>0</v>
      </c>
    </row>
    <row r="15995" spans="1:15">
      <c r="A15995" t="s">
        <v>50474</v>
      </c>
      <c r="B15995" t="s">
        <v>6742</v>
      </c>
      <c r="C15995" t="s">
        <v>29452</v>
      </c>
      <c r="D15995" t="s">
        <v>50475</v>
      </c>
      <c r="E15995" t="b">
        <v>0</v>
      </c>
      <c r="F15995" t="s">
        <v>11610</v>
      </c>
      <c r="L15995">
        <v>0</v>
      </c>
      <c r="M15995">
        <v>0</v>
      </c>
      <c r="N15995">
        <v>0</v>
      </c>
    </row>
    <row r="15996" spans="1:15">
      <c r="A15996" t="s">
        <v>32926</v>
      </c>
      <c r="B15996" t="s">
        <v>6742</v>
      </c>
      <c r="C15996" t="s">
        <v>42250</v>
      </c>
      <c r="D15996" t="s">
        <v>50476</v>
      </c>
      <c r="E15996" t="b">
        <v>0</v>
      </c>
      <c r="F15996" t="s">
        <v>11624</v>
      </c>
      <c r="G15996">
        <v>-9.1126100000000001</v>
      </c>
      <c r="H15996">
        <v>32.316299999999998</v>
      </c>
      <c r="I15996" t="s">
        <v>50477</v>
      </c>
      <c r="L15996">
        <v>0</v>
      </c>
      <c r="M15996">
        <v>0</v>
      </c>
      <c r="N15996">
        <v>2</v>
      </c>
      <c r="O15996" t="s">
        <v>39195</v>
      </c>
    </row>
    <row r="15997" spans="1:15">
      <c r="A15997" t="s">
        <v>46073</v>
      </c>
      <c r="B15997" t="s">
        <v>6742</v>
      </c>
      <c r="C15997" t="s">
        <v>36527</v>
      </c>
      <c r="D15997" t="s">
        <v>50478</v>
      </c>
      <c r="E15997" t="b">
        <v>0</v>
      </c>
      <c r="F15997" t="s">
        <v>11624</v>
      </c>
      <c r="G15997">
        <v>-5.0855899999999998</v>
      </c>
      <c r="H15997">
        <v>32.944519999999997</v>
      </c>
      <c r="I15997" t="s">
        <v>50479</v>
      </c>
      <c r="L15997">
        <v>0</v>
      </c>
      <c r="M15997">
        <v>0</v>
      </c>
      <c r="N15997">
        <v>3</v>
      </c>
      <c r="O15997" t="s">
        <v>11635</v>
      </c>
    </row>
    <row r="15998" spans="1:15">
      <c r="A15998" t="s">
        <v>50480</v>
      </c>
      <c r="B15998" t="s">
        <v>6742</v>
      </c>
      <c r="C15998" t="s">
        <v>30917</v>
      </c>
      <c r="D15998" t="s">
        <v>50481</v>
      </c>
      <c r="E15998" t="b">
        <v>0</v>
      </c>
      <c r="F15998" t="s">
        <v>11624</v>
      </c>
      <c r="G15998">
        <v>-1.6095999999999999</v>
      </c>
      <c r="H15998">
        <v>30.915600000000001</v>
      </c>
      <c r="I15998" t="s">
        <v>50482</v>
      </c>
      <c r="L15998">
        <v>0</v>
      </c>
      <c r="M15998">
        <v>0</v>
      </c>
      <c r="N15998">
        <v>1</v>
      </c>
      <c r="O15998" t="s">
        <v>50483</v>
      </c>
    </row>
    <row r="15999" spans="1:15">
      <c r="A15999" t="s">
        <v>50484</v>
      </c>
      <c r="B15999" t="s">
        <v>6742</v>
      </c>
      <c r="C15999" t="s">
        <v>16118</v>
      </c>
      <c r="D15999" t="s">
        <v>50485</v>
      </c>
      <c r="E15999" t="b">
        <v>0</v>
      </c>
      <c r="F15999" t="s">
        <v>11610</v>
      </c>
      <c r="L15999">
        <v>0</v>
      </c>
      <c r="M15999">
        <v>0</v>
      </c>
      <c r="N15999">
        <v>0</v>
      </c>
    </row>
    <row r="16000" spans="1:15">
      <c r="A16000" t="s">
        <v>45089</v>
      </c>
      <c r="B16000" t="s">
        <v>11729</v>
      </c>
      <c r="C16000" t="s">
        <v>33808</v>
      </c>
      <c r="D16000" t="s">
        <v>50486</v>
      </c>
      <c r="E16000" t="b">
        <v>0</v>
      </c>
      <c r="F16000" t="s">
        <v>11624</v>
      </c>
      <c r="G16000">
        <v>5.8970799999999999</v>
      </c>
      <c r="H16000">
        <v>30.3658</v>
      </c>
      <c r="I16000" t="s">
        <v>50487</v>
      </c>
      <c r="L16000">
        <v>0</v>
      </c>
      <c r="M16000">
        <v>0</v>
      </c>
      <c r="N16000">
        <v>2</v>
      </c>
      <c r="O16000" t="s">
        <v>11910</v>
      </c>
    </row>
    <row r="16001" spans="1:15">
      <c r="A16001" t="s">
        <v>50488</v>
      </c>
      <c r="B16001" t="s">
        <v>11729</v>
      </c>
      <c r="C16001" t="s">
        <v>45089</v>
      </c>
      <c r="D16001" t="s">
        <v>50489</v>
      </c>
      <c r="E16001" t="b">
        <v>0</v>
      </c>
      <c r="F16001" t="s">
        <v>11610</v>
      </c>
      <c r="L16001">
        <v>0</v>
      </c>
      <c r="M16001">
        <v>0</v>
      </c>
      <c r="N16001">
        <v>0</v>
      </c>
    </row>
    <row r="16002" spans="1:15">
      <c r="A16002" t="s">
        <v>41237</v>
      </c>
      <c r="B16002" t="s">
        <v>11607</v>
      </c>
      <c r="C16002" t="s">
        <v>28978</v>
      </c>
      <c r="D16002" t="s">
        <v>50490</v>
      </c>
      <c r="E16002" t="b">
        <v>0</v>
      </c>
      <c r="F16002" t="s">
        <v>11622</v>
      </c>
      <c r="L16002">
        <v>0</v>
      </c>
      <c r="M16002">
        <v>2</v>
      </c>
      <c r="N16002">
        <v>6</v>
      </c>
    </row>
    <row r="16003" spans="1:15">
      <c r="A16003" t="s">
        <v>50491</v>
      </c>
      <c r="B16003" t="s">
        <v>11607</v>
      </c>
      <c r="C16003" t="s">
        <v>20476</v>
      </c>
      <c r="D16003" t="s">
        <v>50492</v>
      </c>
      <c r="E16003" t="b">
        <v>0</v>
      </c>
      <c r="F16003" t="s">
        <v>11624</v>
      </c>
      <c r="G16003">
        <v>9.1802399999999995</v>
      </c>
      <c r="H16003">
        <v>10.83652</v>
      </c>
      <c r="I16003" t="s">
        <v>50493</v>
      </c>
      <c r="L16003">
        <v>0</v>
      </c>
      <c r="M16003">
        <v>0</v>
      </c>
      <c r="N16003">
        <v>0</v>
      </c>
      <c r="O16003" t="s">
        <v>11693</v>
      </c>
    </row>
    <row r="16004" spans="1:15">
      <c r="A16004" t="s">
        <v>36527</v>
      </c>
      <c r="B16004" t="s">
        <v>6742</v>
      </c>
      <c r="C16004" t="s">
        <v>50494</v>
      </c>
      <c r="D16004" t="s">
        <v>50495</v>
      </c>
      <c r="E16004" t="b">
        <v>0</v>
      </c>
      <c r="F16004" t="s">
        <v>11622</v>
      </c>
      <c r="L16004">
        <v>0</v>
      </c>
      <c r="M16004">
        <v>4</v>
      </c>
      <c r="N16004">
        <v>5</v>
      </c>
    </row>
    <row r="16005" spans="1:15">
      <c r="A16005" t="s">
        <v>50496</v>
      </c>
      <c r="B16005" t="s">
        <v>28550</v>
      </c>
      <c r="C16005" t="s">
        <v>35571</v>
      </c>
      <c r="D16005" t="s">
        <v>50497</v>
      </c>
      <c r="E16005" t="b">
        <v>0</v>
      </c>
      <c r="F16005" t="s">
        <v>11624</v>
      </c>
      <c r="G16005">
        <v>-16.739999999999998</v>
      </c>
      <c r="H16005">
        <v>138.023</v>
      </c>
      <c r="I16005" t="s">
        <v>50498</v>
      </c>
      <c r="L16005">
        <v>0</v>
      </c>
      <c r="M16005">
        <v>0</v>
      </c>
      <c r="N16005">
        <v>0</v>
      </c>
      <c r="O16005" t="s">
        <v>12107</v>
      </c>
    </row>
    <row r="16006" spans="1:15">
      <c r="A16006" t="s">
        <v>48520</v>
      </c>
      <c r="B16006" t="s">
        <v>10597</v>
      </c>
      <c r="C16006" t="s">
        <v>35055</v>
      </c>
      <c r="D16006" t="s">
        <v>50499</v>
      </c>
      <c r="E16006" t="b">
        <v>0</v>
      </c>
      <c r="F16006" t="s">
        <v>11624</v>
      </c>
      <c r="G16006">
        <v>-20.627099999999999</v>
      </c>
      <c r="H16006">
        <v>121.39100000000001</v>
      </c>
      <c r="I16006" t="s">
        <v>50500</v>
      </c>
      <c r="L16006">
        <v>0</v>
      </c>
      <c r="M16006">
        <v>0</v>
      </c>
      <c r="N16006">
        <v>2</v>
      </c>
      <c r="O16006" t="s">
        <v>12107</v>
      </c>
    </row>
    <row r="16007" spans="1:15">
      <c r="A16007" t="s">
        <v>50501</v>
      </c>
      <c r="B16007" t="s">
        <v>6742</v>
      </c>
      <c r="C16007" t="s">
        <v>50502</v>
      </c>
      <c r="D16007" t="s">
        <v>50503</v>
      </c>
      <c r="E16007" t="b">
        <v>0</v>
      </c>
      <c r="F16007" t="s">
        <v>11624</v>
      </c>
      <c r="G16007">
        <v>6.8264899999999997</v>
      </c>
      <c r="H16007">
        <v>0.37152000000000002</v>
      </c>
      <c r="I16007" t="s">
        <v>50504</v>
      </c>
      <c r="L16007">
        <v>0</v>
      </c>
      <c r="M16007">
        <v>0</v>
      </c>
      <c r="N16007">
        <v>0</v>
      </c>
      <c r="O16007" t="s">
        <v>11985</v>
      </c>
    </row>
    <row r="16008" spans="1:15">
      <c r="A16008" t="s">
        <v>50505</v>
      </c>
      <c r="B16008" t="s">
        <v>6742</v>
      </c>
      <c r="C16008" t="s">
        <v>27579</v>
      </c>
      <c r="D16008" t="s">
        <v>50506</v>
      </c>
      <c r="E16008" t="b">
        <v>0</v>
      </c>
      <c r="F16008" t="s">
        <v>11624</v>
      </c>
      <c r="G16008">
        <v>2.97634</v>
      </c>
      <c r="H16008">
        <v>29.180499999999999</v>
      </c>
      <c r="I16008" t="s">
        <v>50507</v>
      </c>
      <c r="L16008">
        <v>0</v>
      </c>
      <c r="M16008">
        <v>0</v>
      </c>
      <c r="N16008">
        <v>0</v>
      </c>
      <c r="O16008" t="s">
        <v>14825</v>
      </c>
    </row>
    <row r="16009" spans="1:15">
      <c r="A16009" t="s">
        <v>32013</v>
      </c>
      <c r="B16009" t="s">
        <v>6742</v>
      </c>
      <c r="C16009" t="s">
        <v>44749</v>
      </c>
      <c r="D16009" t="s">
        <v>50508</v>
      </c>
      <c r="E16009" t="b">
        <v>0</v>
      </c>
      <c r="F16009" t="s">
        <v>11624</v>
      </c>
      <c r="G16009">
        <v>-1.2935700000000001</v>
      </c>
      <c r="H16009">
        <v>28.315460000000002</v>
      </c>
      <c r="I16009" t="s">
        <v>50509</v>
      </c>
      <c r="L16009">
        <v>0</v>
      </c>
      <c r="M16009">
        <v>0</v>
      </c>
      <c r="N16009">
        <v>4</v>
      </c>
      <c r="O16009" t="s">
        <v>14825</v>
      </c>
    </row>
    <row r="16010" spans="1:15">
      <c r="A16010" t="s">
        <v>31686</v>
      </c>
      <c r="B16010" t="s">
        <v>6742</v>
      </c>
      <c r="C16010" t="s">
        <v>47994</v>
      </c>
      <c r="D16010" t="s">
        <v>50510</v>
      </c>
      <c r="E16010" t="b">
        <v>0</v>
      </c>
      <c r="F16010" t="s">
        <v>11624</v>
      </c>
      <c r="G16010">
        <v>-15.961600000000001</v>
      </c>
      <c r="H16010">
        <v>14.94</v>
      </c>
      <c r="I16010" t="s">
        <v>50511</v>
      </c>
      <c r="L16010">
        <v>0</v>
      </c>
      <c r="M16010">
        <v>0</v>
      </c>
      <c r="N16010">
        <v>2</v>
      </c>
      <c r="O16010" t="s">
        <v>19290</v>
      </c>
    </row>
    <row r="16011" spans="1:15">
      <c r="A16011" t="s">
        <v>50512</v>
      </c>
      <c r="B16011" t="s">
        <v>6742</v>
      </c>
      <c r="C16011" t="s">
        <v>46073</v>
      </c>
      <c r="D16011" t="s">
        <v>50513</v>
      </c>
      <c r="E16011" t="b">
        <v>0</v>
      </c>
      <c r="F16011" t="s">
        <v>11610</v>
      </c>
      <c r="L16011">
        <v>0</v>
      </c>
      <c r="M16011">
        <v>0</v>
      </c>
      <c r="N16011">
        <v>0</v>
      </c>
    </row>
    <row r="16012" spans="1:15">
      <c r="A16012" t="s">
        <v>31155</v>
      </c>
      <c r="B16012" t="s">
        <v>6742</v>
      </c>
      <c r="C16012" t="s">
        <v>22521</v>
      </c>
      <c r="D16012" t="s">
        <v>50514</v>
      </c>
      <c r="E16012" t="b">
        <v>0</v>
      </c>
      <c r="F16012" t="s">
        <v>11624</v>
      </c>
      <c r="G16012">
        <v>-0.46364</v>
      </c>
      <c r="H16012">
        <v>30.547999999999998</v>
      </c>
      <c r="I16012" t="s">
        <v>50515</v>
      </c>
      <c r="L16012">
        <v>0</v>
      </c>
      <c r="M16012">
        <v>0</v>
      </c>
      <c r="N16012">
        <v>3</v>
      </c>
      <c r="O16012" t="s">
        <v>50483</v>
      </c>
    </row>
    <row r="16013" spans="1:15">
      <c r="A16013" t="s">
        <v>3999</v>
      </c>
      <c r="B16013" t="s">
        <v>6742</v>
      </c>
      <c r="C16013" t="s">
        <v>46065</v>
      </c>
      <c r="D16013" t="s">
        <v>3997</v>
      </c>
      <c r="E16013" t="b">
        <v>0</v>
      </c>
      <c r="F16013" t="s">
        <v>11624</v>
      </c>
      <c r="G16013">
        <v>-14.8047</v>
      </c>
      <c r="H16013">
        <v>32.8108</v>
      </c>
      <c r="I16013" t="s">
        <v>50516</v>
      </c>
      <c r="L16013">
        <v>0</v>
      </c>
      <c r="M16013">
        <v>0</v>
      </c>
      <c r="N16013">
        <v>7</v>
      </c>
      <c r="O16013" t="s">
        <v>50517</v>
      </c>
    </row>
    <row r="16014" spans="1:15">
      <c r="A16014" t="s">
        <v>50518</v>
      </c>
      <c r="B16014" t="s">
        <v>6742</v>
      </c>
      <c r="C16014" t="s">
        <v>27296</v>
      </c>
      <c r="D16014" t="s">
        <v>50519</v>
      </c>
      <c r="E16014" t="b">
        <v>0</v>
      </c>
      <c r="F16014" t="s">
        <v>11610</v>
      </c>
      <c r="L16014">
        <v>0</v>
      </c>
      <c r="M16014">
        <v>0</v>
      </c>
      <c r="N16014">
        <v>0</v>
      </c>
    </row>
    <row r="16015" spans="1:15">
      <c r="A16015" t="s">
        <v>50520</v>
      </c>
      <c r="B16015" t="s">
        <v>6742</v>
      </c>
      <c r="C16015" t="s">
        <v>38652</v>
      </c>
      <c r="D16015" t="s">
        <v>50521</v>
      </c>
      <c r="E16015" t="b">
        <v>0</v>
      </c>
      <c r="F16015" t="s">
        <v>11610</v>
      </c>
      <c r="L16015">
        <v>0</v>
      </c>
      <c r="M16015">
        <v>0</v>
      </c>
      <c r="N16015">
        <v>0</v>
      </c>
    </row>
    <row r="16016" spans="1:15">
      <c r="A16016" t="s">
        <v>50522</v>
      </c>
      <c r="B16016" t="s">
        <v>6742</v>
      </c>
      <c r="C16016" t="s">
        <v>38652</v>
      </c>
      <c r="D16016" t="s">
        <v>50523</v>
      </c>
      <c r="E16016" t="b">
        <v>0</v>
      </c>
      <c r="F16016" t="s">
        <v>11610</v>
      </c>
      <c r="L16016">
        <v>0</v>
      </c>
      <c r="M16016">
        <v>0</v>
      </c>
      <c r="N16016">
        <v>0</v>
      </c>
    </row>
    <row r="16017" spans="1:15">
      <c r="A16017" t="s">
        <v>50524</v>
      </c>
      <c r="B16017" t="s">
        <v>6742</v>
      </c>
      <c r="C16017" t="s">
        <v>18347</v>
      </c>
      <c r="D16017" t="s">
        <v>50525</v>
      </c>
      <c r="E16017" t="b">
        <v>0</v>
      </c>
      <c r="F16017" t="s">
        <v>11610</v>
      </c>
      <c r="L16017">
        <v>0</v>
      </c>
      <c r="M16017">
        <v>0</v>
      </c>
      <c r="N16017">
        <v>0</v>
      </c>
    </row>
    <row r="16018" spans="1:15">
      <c r="A16018" t="s">
        <v>50526</v>
      </c>
      <c r="B16018" t="s">
        <v>32149</v>
      </c>
      <c r="C16018" t="s">
        <v>47234</v>
      </c>
      <c r="D16018" t="s">
        <v>50527</v>
      </c>
      <c r="E16018" t="b">
        <v>0</v>
      </c>
      <c r="F16018" t="s">
        <v>11624</v>
      </c>
      <c r="G16018">
        <v>3.4996999999999998</v>
      </c>
      <c r="H16018">
        <v>33.736510000000003</v>
      </c>
      <c r="I16018" t="s">
        <v>50528</v>
      </c>
      <c r="L16018">
        <v>0</v>
      </c>
      <c r="M16018">
        <v>0</v>
      </c>
      <c r="N16018">
        <v>0</v>
      </c>
      <c r="O16018" t="s">
        <v>25786</v>
      </c>
    </row>
    <row r="16019" spans="1:15">
      <c r="A16019" t="s">
        <v>50529</v>
      </c>
      <c r="B16019" t="s">
        <v>11757</v>
      </c>
      <c r="C16019" t="s">
        <v>9059</v>
      </c>
      <c r="D16019" t="s">
        <v>50530</v>
      </c>
      <c r="E16019" t="b">
        <v>0</v>
      </c>
      <c r="F16019" t="s">
        <v>11610</v>
      </c>
      <c r="L16019">
        <v>0</v>
      </c>
      <c r="M16019">
        <v>0</v>
      </c>
      <c r="N16019">
        <v>0</v>
      </c>
    </row>
    <row r="16020" spans="1:15">
      <c r="A16020" t="s">
        <v>506</v>
      </c>
      <c r="B16020" t="s">
        <v>11757</v>
      </c>
      <c r="C16020" t="s">
        <v>35069</v>
      </c>
      <c r="D16020" t="s">
        <v>505</v>
      </c>
      <c r="E16020" t="b">
        <v>0</v>
      </c>
      <c r="F16020" t="s">
        <v>11624</v>
      </c>
      <c r="G16020">
        <v>5.3980899999999998</v>
      </c>
      <c r="H16020">
        <v>35.623199999999997</v>
      </c>
      <c r="I16020" t="s">
        <v>507</v>
      </c>
      <c r="L16020">
        <v>0</v>
      </c>
      <c r="M16020">
        <v>0</v>
      </c>
      <c r="N16020">
        <v>0</v>
      </c>
      <c r="O16020" t="s">
        <v>14035</v>
      </c>
    </row>
    <row r="16021" spans="1:15">
      <c r="A16021" t="s">
        <v>50502</v>
      </c>
      <c r="B16021" t="s">
        <v>6742</v>
      </c>
      <c r="C16021" t="s">
        <v>15253</v>
      </c>
      <c r="D16021" t="s">
        <v>50531</v>
      </c>
      <c r="E16021" t="b">
        <v>0</v>
      </c>
      <c r="F16021" t="s">
        <v>11622</v>
      </c>
      <c r="L16021">
        <v>0</v>
      </c>
      <c r="M16021">
        <v>2</v>
      </c>
      <c r="N16021">
        <v>0</v>
      </c>
    </row>
    <row r="16022" spans="1:15">
      <c r="A16022" t="s">
        <v>44749</v>
      </c>
      <c r="B16022" t="s">
        <v>6742</v>
      </c>
      <c r="C16022" t="s">
        <v>19707</v>
      </c>
      <c r="D16022" t="s">
        <v>50532</v>
      </c>
      <c r="E16022" t="b">
        <v>0</v>
      </c>
      <c r="F16022" t="s">
        <v>11622</v>
      </c>
      <c r="L16022">
        <v>8</v>
      </c>
      <c r="M16022">
        <v>11</v>
      </c>
      <c r="N16022">
        <v>19</v>
      </c>
    </row>
    <row r="16023" spans="1:15">
      <c r="A16023" t="s">
        <v>49070</v>
      </c>
      <c r="B16023" t="s">
        <v>6742</v>
      </c>
      <c r="C16023" t="s">
        <v>26556</v>
      </c>
      <c r="D16023" t="s">
        <v>50533</v>
      </c>
      <c r="E16023" t="b">
        <v>0</v>
      </c>
      <c r="F16023" t="s">
        <v>11622</v>
      </c>
      <c r="L16023">
        <v>3</v>
      </c>
      <c r="M16023">
        <v>9</v>
      </c>
      <c r="N16023">
        <v>11</v>
      </c>
    </row>
    <row r="16024" spans="1:15">
      <c r="A16024" t="s">
        <v>46065</v>
      </c>
      <c r="B16024" t="s">
        <v>6742</v>
      </c>
      <c r="C16024" t="s">
        <v>38226</v>
      </c>
      <c r="D16024" t="s">
        <v>50534</v>
      </c>
      <c r="E16024" t="b">
        <v>0</v>
      </c>
      <c r="F16024" t="s">
        <v>11622</v>
      </c>
      <c r="L16024">
        <v>0</v>
      </c>
      <c r="M16024">
        <v>2</v>
      </c>
      <c r="N16024">
        <v>7</v>
      </c>
    </row>
    <row r="16025" spans="1:15">
      <c r="A16025" t="s">
        <v>47994</v>
      </c>
      <c r="B16025" t="s">
        <v>6742</v>
      </c>
      <c r="C16025" t="s">
        <v>23041</v>
      </c>
      <c r="D16025" t="s">
        <v>50535</v>
      </c>
      <c r="E16025" t="b">
        <v>0</v>
      </c>
      <c r="F16025" t="s">
        <v>11622</v>
      </c>
      <c r="L16025">
        <v>0</v>
      </c>
      <c r="M16025">
        <v>2</v>
      </c>
      <c r="N16025">
        <v>2</v>
      </c>
    </row>
    <row r="16026" spans="1:15">
      <c r="A16026" t="s">
        <v>50536</v>
      </c>
      <c r="B16026" t="s">
        <v>6742</v>
      </c>
      <c r="C16026" t="s">
        <v>25015</v>
      </c>
      <c r="D16026" t="s">
        <v>50537</v>
      </c>
      <c r="E16026" t="b">
        <v>0</v>
      </c>
      <c r="F16026" t="s">
        <v>11624</v>
      </c>
      <c r="G16026">
        <v>9.66934</v>
      </c>
      <c r="H16026">
        <v>-5.1168500000000003</v>
      </c>
      <c r="I16026" t="s">
        <v>50538</v>
      </c>
      <c r="L16026">
        <v>0</v>
      </c>
      <c r="M16026">
        <v>0</v>
      </c>
      <c r="N16026">
        <v>0</v>
      </c>
      <c r="O16026" t="s">
        <v>11735</v>
      </c>
    </row>
    <row r="16027" spans="1:15">
      <c r="A16027" t="s">
        <v>50539</v>
      </c>
      <c r="B16027" t="s">
        <v>6742</v>
      </c>
      <c r="C16027" t="s">
        <v>21482</v>
      </c>
      <c r="D16027" t="s">
        <v>50540</v>
      </c>
      <c r="E16027" t="b">
        <v>0</v>
      </c>
      <c r="F16027" t="s">
        <v>11610</v>
      </c>
      <c r="L16027">
        <v>0</v>
      </c>
      <c r="M16027">
        <v>0</v>
      </c>
      <c r="N16027">
        <v>0</v>
      </c>
    </row>
    <row r="16028" spans="1:15">
      <c r="A16028" t="s">
        <v>50541</v>
      </c>
      <c r="B16028" t="s">
        <v>11757</v>
      </c>
      <c r="C16028" t="s">
        <v>14999</v>
      </c>
      <c r="D16028" t="s">
        <v>50542</v>
      </c>
      <c r="E16028" t="b">
        <v>0</v>
      </c>
      <c r="F16028" t="s">
        <v>11610</v>
      </c>
      <c r="L16028">
        <v>0</v>
      </c>
      <c r="M16028">
        <v>0</v>
      </c>
      <c r="N16028">
        <v>0</v>
      </c>
    </row>
    <row r="16029" spans="1:15">
      <c r="A16029" t="s">
        <v>50543</v>
      </c>
      <c r="B16029" t="s">
        <v>21516</v>
      </c>
      <c r="C16029" t="s">
        <v>35488</v>
      </c>
      <c r="D16029" t="s">
        <v>50544</v>
      </c>
      <c r="E16029" t="b">
        <v>0</v>
      </c>
      <c r="F16029" t="s">
        <v>11610</v>
      </c>
      <c r="L16029">
        <v>0</v>
      </c>
      <c r="M16029">
        <v>0</v>
      </c>
      <c r="N16029">
        <v>0</v>
      </c>
    </row>
    <row r="16030" spans="1:15">
      <c r="A16030" t="s">
        <v>50545</v>
      </c>
      <c r="B16030" t="s">
        <v>11644</v>
      </c>
      <c r="C16030" t="s">
        <v>17422</v>
      </c>
      <c r="D16030" t="s">
        <v>50546</v>
      </c>
      <c r="E16030" t="b">
        <v>0</v>
      </c>
      <c r="F16030" t="s">
        <v>11610</v>
      </c>
      <c r="L16030">
        <v>0</v>
      </c>
      <c r="M16030">
        <v>0</v>
      </c>
      <c r="N16030">
        <v>0</v>
      </c>
    </row>
    <row r="16031" spans="1:15">
      <c r="A16031" t="s">
        <v>50547</v>
      </c>
      <c r="B16031" t="s">
        <v>6742</v>
      </c>
      <c r="C16031" t="s">
        <v>3999</v>
      </c>
      <c r="D16031" t="s">
        <v>50548</v>
      </c>
      <c r="E16031" t="b">
        <v>0</v>
      </c>
      <c r="F16031" t="s">
        <v>11610</v>
      </c>
      <c r="L16031">
        <v>0</v>
      </c>
      <c r="M16031">
        <v>0</v>
      </c>
      <c r="N16031">
        <v>0</v>
      </c>
    </row>
    <row r="16032" spans="1:15">
      <c r="A16032" t="s">
        <v>50549</v>
      </c>
      <c r="B16032" t="s">
        <v>6742</v>
      </c>
      <c r="C16032" t="s">
        <v>38652</v>
      </c>
      <c r="D16032" t="s">
        <v>50550</v>
      </c>
      <c r="E16032" t="b">
        <v>0</v>
      </c>
      <c r="F16032" t="s">
        <v>11610</v>
      </c>
      <c r="L16032">
        <v>0</v>
      </c>
      <c r="M16032">
        <v>0</v>
      </c>
      <c r="N16032">
        <v>0</v>
      </c>
    </row>
    <row r="16033" spans="1:15">
      <c r="A16033" t="s">
        <v>50551</v>
      </c>
      <c r="B16033" t="s">
        <v>6742</v>
      </c>
      <c r="C16033" t="s">
        <v>40664</v>
      </c>
      <c r="D16033" t="s">
        <v>50552</v>
      </c>
      <c r="E16033" t="b">
        <v>0</v>
      </c>
      <c r="F16033" t="s">
        <v>11610</v>
      </c>
      <c r="L16033">
        <v>0</v>
      </c>
      <c r="M16033">
        <v>0</v>
      </c>
      <c r="N16033">
        <v>0</v>
      </c>
    </row>
    <row r="16034" spans="1:15">
      <c r="A16034" t="s">
        <v>50553</v>
      </c>
      <c r="B16034" t="s">
        <v>6742</v>
      </c>
      <c r="C16034" t="s">
        <v>19032</v>
      </c>
      <c r="D16034" t="s">
        <v>50554</v>
      </c>
      <c r="E16034" t="b">
        <v>0</v>
      </c>
      <c r="F16034" t="s">
        <v>11610</v>
      </c>
      <c r="L16034">
        <v>0</v>
      </c>
      <c r="M16034">
        <v>0</v>
      </c>
      <c r="N16034">
        <v>0</v>
      </c>
    </row>
    <row r="16035" spans="1:15">
      <c r="A16035" t="s">
        <v>22116</v>
      </c>
      <c r="B16035" t="s">
        <v>6742</v>
      </c>
      <c r="C16035" t="s">
        <v>32692</v>
      </c>
      <c r="D16035" t="s">
        <v>50555</v>
      </c>
      <c r="E16035" t="b">
        <v>0</v>
      </c>
      <c r="F16035" t="s">
        <v>11624</v>
      </c>
      <c r="G16035">
        <v>-5.12263</v>
      </c>
      <c r="H16035">
        <v>34.665700000000001</v>
      </c>
      <c r="I16035" t="s">
        <v>50556</v>
      </c>
      <c r="L16035">
        <v>0</v>
      </c>
      <c r="M16035">
        <v>0</v>
      </c>
      <c r="N16035">
        <v>3</v>
      </c>
      <c r="O16035" t="s">
        <v>11635</v>
      </c>
    </row>
    <row r="16036" spans="1:15">
      <c r="A16036" t="s">
        <v>32692</v>
      </c>
      <c r="B16036" t="s">
        <v>6742</v>
      </c>
      <c r="C16036" t="s">
        <v>19707</v>
      </c>
      <c r="D16036" t="s">
        <v>50557</v>
      </c>
      <c r="E16036" t="b">
        <v>0</v>
      </c>
      <c r="F16036" t="s">
        <v>11622</v>
      </c>
      <c r="L16036">
        <v>0</v>
      </c>
      <c r="M16036">
        <v>3</v>
      </c>
      <c r="N16036">
        <v>4</v>
      </c>
    </row>
    <row r="16037" spans="1:15">
      <c r="A16037" t="s">
        <v>50558</v>
      </c>
      <c r="B16037" t="s">
        <v>6742</v>
      </c>
      <c r="C16037" t="s">
        <v>29452</v>
      </c>
      <c r="D16037" t="s">
        <v>50559</v>
      </c>
      <c r="E16037" t="b">
        <v>0</v>
      </c>
      <c r="F16037" t="s">
        <v>11610</v>
      </c>
      <c r="L16037">
        <v>0</v>
      </c>
      <c r="M16037">
        <v>0</v>
      </c>
      <c r="N16037">
        <v>0</v>
      </c>
    </row>
    <row r="16038" spans="1:15">
      <c r="A16038" t="s">
        <v>50560</v>
      </c>
      <c r="B16038" t="s">
        <v>13411</v>
      </c>
      <c r="C16038" t="s">
        <v>6323</v>
      </c>
      <c r="D16038" t="s">
        <v>50561</v>
      </c>
      <c r="E16038" t="b">
        <v>0</v>
      </c>
      <c r="F16038" t="s">
        <v>11610</v>
      </c>
      <c r="L16038">
        <v>0</v>
      </c>
      <c r="M16038">
        <v>0</v>
      </c>
      <c r="N16038">
        <v>0</v>
      </c>
    </row>
    <row r="16039" spans="1:15">
      <c r="A16039" t="s">
        <v>50562</v>
      </c>
      <c r="B16039" t="s">
        <v>5126</v>
      </c>
      <c r="C16039" t="s">
        <v>50563</v>
      </c>
      <c r="D16039" t="s">
        <v>50564</v>
      </c>
      <c r="E16039" t="b">
        <v>0</v>
      </c>
      <c r="F16039" t="s">
        <v>11610</v>
      </c>
      <c r="G16039">
        <v>17.121300000000002</v>
      </c>
      <c r="H16039">
        <v>104.151</v>
      </c>
      <c r="I16039" t="s">
        <v>50565</v>
      </c>
      <c r="L16039">
        <v>0</v>
      </c>
      <c r="M16039">
        <v>0</v>
      </c>
      <c r="N16039">
        <v>0</v>
      </c>
      <c r="O16039" t="s">
        <v>12442</v>
      </c>
    </row>
    <row r="16040" spans="1:15">
      <c r="A16040" t="s">
        <v>50566</v>
      </c>
      <c r="B16040" t="s">
        <v>10597</v>
      </c>
      <c r="C16040" t="s">
        <v>50567</v>
      </c>
      <c r="D16040" t="s">
        <v>50568</v>
      </c>
      <c r="E16040" t="b">
        <v>0</v>
      </c>
      <c r="F16040" t="s">
        <v>11624</v>
      </c>
      <c r="G16040">
        <v>-18.874300000000002</v>
      </c>
      <c r="H16040">
        <v>146.21600000000001</v>
      </c>
      <c r="I16040" t="s">
        <v>50569</v>
      </c>
      <c r="L16040">
        <v>0</v>
      </c>
      <c r="M16040">
        <v>0</v>
      </c>
      <c r="N16040">
        <v>0</v>
      </c>
      <c r="O16040" t="s">
        <v>12107</v>
      </c>
    </row>
    <row r="16041" spans="1:15">
      <c r="A16041" t="s">
        <v>50567</v>
      </c>
      <c r="B16041" t="s">
        <v>10597</v>
      </c>
      <c r="C16041" t="s">
        <v>10597</v>
      </c>
      <c r="D16041" t="s">
        <v>50570</v>
      </c>
      <c r="E16041" t="b">
        <v>0</v>
      </c>
      <c r="F16041" t="s">
        <v>11622</v>
      </c>
      <c r="L16041">
        <v>0</v>
      </c>
      <c r="M16041">
        <v>3</v>
      </c>
      <c r="N16041">
        <v>0</v>
      </c>
    </row>
    <row r="16042" spans="1:15">
      <c r="A16042" t="s">
        <v>50571</v>
      </c>
      <c r="B16042" t="s">
        <v>6742</v>
      </c>
      <c r="C16042" t="s">
        <v>49633</v>
      </c>
      <c r="D16042" t="s">
        <v>50572</v>
      </c>
      <c r="E16042" t="b">
        <v>0</v>
      </c>
      <c r="F16042" t="s">
        <v>11610</v>
      </c>
      <c r="L16042">
        <v>0</v>
      </c>
      <c r="M16042">
        <v>0</v>
      </c>
      <c r="N16042">
        <v>0</v>
      </c>
    </row>
    <row r="16043" spans="1:15">
      <c r="A16043" t="s">
        <v>50573</v>
      </c>
      <c r="B16043" t="s">
        <v>6742</v>
      </c>
      <c r="C16043" t="s">
        <v>44540</v>
      </c>
      <c r="D16043" t="s">
        <v>50574</v>
      </c>
      <c r="E16043" t="b">
        <v>0</v>
      </c>
      <c r="F16043" t="s">
        <v>11610</v>
      </c>
      <c r="L16043">
        <v>0</v>
      </c>
      <c r="M16043">
        <v>0</v>
      </c>
      <c r="N16043">
        <v>0</v>
      </c>
    </row>
    <row r="16044" spans="1:15">
      <c r="A16044" t="s">
        <v>50575</v>
      </c>
      <c r="B16044" t="s">
        <v>12133</v>
      </c>
      <c r="C16044" t="s">
        <v>12134</v>
      </c>
      <c r="D16044" t="s">
        <v>50576</v>
      </c>
      <c r="E16044" t="b">
        <v>0</v>
      </c>
      <c r="F16044" t="s">
        <v>11610</v>
      </c>
      <c r="L16044">
        <v>0</v>
      </c>
      <c r="M16044">
        <v>0</v>
      </c>
      <c r="N16044">
        <v>0</v>
      </c>
    </row>
    <row r="16045" spans="1:15">
      <c r="A16045" t="s">
        <v>50577</v>
      </c>
      <c r="B16045" t="s">
        <v>6742</v>
      </c>
      <c r="C16045" t="s">
        <v>41064</v>
      </c>
      <c r="D16045" t="s">
        <v>50578</v>
      </c>
      <c r="E16045" t="b">
        <v>0</v>
      </c>
      <c r="F16045" t="s">
        <v>11624</v>
      </c>
      <c r="G16045">
        <v>-15.709</v>
      </c>
      <c r="H16045">
        <v>18.2515</v>
      </c>
      <c r="I16045" t="s">
        <v>50579</v>
      </c>
      <c r="L16045">
        <v>0</v>
      </c>
      <c r="M16045">
        <v>0</v>
      </c>
      <c r="N16045">
        <v>0</v>
      </c>
      <c r="O16045" t="s">
        <v>41067</v>
      </c>
    </row>
    <row r="16046" spans="1:15">
      <c r="A16046" t="s">
        <v>22986</v>
      </c>
      <c r="B16046" t="s">
        <v>11644</v>
      </c>
      <c r="C16046" t="s">
        <v>22170</v>
      </c>
      <c r="D16046" t="s">
        <v>50580</v>
      </c>
      <c r="E16046" t="b">
        <v>0</v>
      </c>
      <c r="F16046" t="s">
        <v>11624</v>
      </c>
      <c r="G16046">
        <v>27.373200000000001</v>
      </c>
      <c r="H16046">
        <v>90.3947</v>
      </c>
      <c r="I16046" t="s">
        <v>50581</v>
      </c>
      <c r="L16046">
        <v>0</v>
      </c>
      <c r="M16046">
        <v>0</v>
      </c>
      <c r="N16046">
        <v>2</v>
      </c>
      <c r="O16046" t="s">
        <v>12020</v>
      </c>
    </row>
    <row r="16047" spans="1:15">
      <c r="A16047" t="s">
        <v>50582</v>
      </c>
      <c r="B16047" t="s">
        <v>11627</v>
      </c>
      <c r="C16047" t="s">
        <v>11627</v>
      </c>
      <c r="D16047" t="s">
        <v>50583</v>
      </c>
      <c r="E16047" t="b">
        <v>1</v>
      </c>
      <c r="F16047" t="s">
        <v>11624</v>
      </c>
      <c r="I16047" t="s">
        <v>50584</v>
      </c>
      <c r="L16047">
        <v>0</v>
      </c>
      <c r="M16047">
        <v>0</v>
      </c>
      <c r="N16047">
        <v>0</v>
      </c>
      <c r="O16047" t="s">
        <v>11693</v>
      </c>
    </row>
    <row r="16048" spans="1:15">
      <c r="A16048" t="s">
        <v>50585</v>
      </c>
      <c r="B16048" t="s">
        <v>6742</v>
      </c>
      <c r="C16048" t="s">
        <v>17687</v>
      </c>
      <c r="D16048" t="s">
        <v>50586</v>
      </c>
      <c r="E16048" t="b">
        <v>0</v>
      </c>
      <c r="F16048" t="s">
        <v>11610</v>
      </c>
      <c r="L16048">
        <v>0</v>
      </c>
      <c r="M16048">
        <v>0</v>
      </c>
      <c r="N16048">
        <v>0</v>
      </c>
    </row>
    <row r="16049" spans="1:15">
      <c r="A16049" t="s">
        <v>50587</v>
      </c>
      <c r="B16049" t="s">
        <v>6742</v>
      </c>
      <c r="C16049" t="s">
        <v>50588</v>
      </c>
      <c r="D16049" t="s">
        <v>50589</v>
      </c>
      <c r="E16049" t="b">
        <v>0</v>
      </c>
      <c r="F16049" t="s">
        <v>11624</v>
      </c>
      <c r="G16049">
        <v>-17.231400000000001</v>
      </c>
      <c r="H16049">
        <v>22.4787</v>
      </c>
      <c r="I16049" t="s">
        <v>50590</v>
      </c>
      <c r="L16049">
        <v>0</v>
      </c>
      <c r="M16049">
        <v>0</v>
      </c>
      <c r="N16049">
        <v>0</v>
      </c>
      <c r="O16049" t="s">
        <v>19290</v>
      </c>
    </row>
    <row r="16050" spans="1:15">
      <c r="A16050" t="s">
        <v>50591</v>
      </c>
      <c r="B16050" t="s">
        <v>6742</v>
      </c>
      <c r="C16050" t="s">
        <v>32319</v>
      </c>
      <c r="D16050" t="s">
        <v>50592</v>
      </c>
      <c r="E16050" t="b">
        <v>0</v>
      </c>
      <c r="F16050" t="s">
        <v>11610</v>
      </c>
      <c r="L16050">
        <v>0</v>
      </c>
      <c r="M16050">
        <v>0</v>
      </c>
      <c r="N16050">
        <v>0</v>
      </c>
    </row>
    <row r="16051" spans="1:15">
      <c r="A16051" t="s">
        <v>50593</v>
      </c>
      <c r="B16051" t="s">
        <v>6742</v>
      </c>
      <c r="C16051" t="s">
        <v>19627</v>
      </c>
      <c r="D16051" t="s">
        <v>50594</v>
      </c>
      <c r="E16051" t="b">
        <v>0</v>
      </c>
      <c r="F16051" t="s">
        <v>11610</v>
      </c>
      <c r="L16051">
        <v>0</v>
      </c>
      <c r="M16051">
        <v>0</v>
      </c>
      <c r="N16051">
        <v>0</v>
      </c>
    </row>
    <row r="16052" spans="1:15">
      <c r="A16052" t="s">
        <v>50595</v>
      </c>
      <c r="B16052" t="s">
        <v>6742</v>
      </c>
      <c r="C16052" t="s">
        <v>18216</v>
      </c>
      <c r="D16052" t="s">
        <v>50596</v>
      </c>
      <c r="E16052" t="b">
        <v>0</v>
      </c>
      <c r="F16052" t="s">
        <v>11610</v>
      </c>
      <c r="L16052">
        <v>0</v>
      </c>
      <c r="M16052">
        <v>0</v>
      </c>
      <c r="N16052">
        <v>0</v>
      </c>
    </row>
    <row r="16053" spans="1:15">
      <c r="A16053" t="s">
        <v>50597</v>
      </c>
      <c r="B16053" t="s">
        <v>11757</v>
      </c>
      <c r="C16053" t="s">
        <v>9059</v>
      </c>
      <c r="D16053" t="s">
        <v>50598</v>
      </c>
      <c r="E16053" t="b">
        <v>0</v>
      </c>
      <c r="F16053" t="s">
        <v>11610</v>
      </c>
      <c r="L16053">
        <v>0</v>
      </c>
      <c r="M16053">
        <v>0</v>
      </c>
      <c r="N16053">
        <v>0</v>
      </c>
    </row>
    <row r="16054" spans="1:15">
      <c r="A16054" t="s">
        <v>50599</v>
      </c>
      <c r="B16054" t="s">
        <v>12438</v>
      </c>
      <c r="C16054" t="s">
        <v>38551</v>
      </c>
      <c r="D16054" t="s">
        <v>50600</v>
      </c>
      <c r="E16054" t="b">
        <v>0</v>
      </c>
      <c r="F16054" t="s">
        <v>11624</v>
      </c>
      <c r="G16054">
        <v>14.8817</v>
      </c>
      <c r="H16054">
        <v>104.33</v>
      </c>
      <c r="I16054" t="s">
        <v>50601</v>
      </c>
      <c r="L16054">
        <v>0</v>
      </c>
      <c r="M16054">
        <v>0</v>
      </c>
      <c r="N16054">
        <v>0</v>
      </c>
      <c r="O16054" t="s">
        <v>16739</v>
      </c>
    </row>
    <row r="16055" spans="1:15">
      <c r="A16055" t="s">
        <v>18479</v>
      </c>
      <c r="B16055" t="s">
        <v>17023</v>
      </c>
      <c r="C16055" t="s">
        <v>50602</v>
      </c>
      <c r="D16055" t="s">
        <v>50603</v>
      </c>
      <c r="E16055" t="b">
        <v>0</v>
      </c>
      <c r="F16055" t="s">
        <v>11624</v>
      </c>
      <c r="G16055">
        <v>-17.959399999999999</v>
      </c>
      <c r="H16055">
        <v>124.348</v>
      </c>
      <c r="I16055" t="s">
        <v>50604</v>
      </c>
      <c r="L16055">
        <v>0</v>
      </c>
      <c r="M16055">
        <v>0</v>
      </c>
      <c r="N16055">
        <v>2</v>
      </c>
      <c r="O16055" t="s">
        <v>12107</v>
      </c>
    </row>
    <row r="16056" spans="1:15">
      <c r="A16056" t="s">
        <v>50605</v>
      </c>
      <c r="B16056" t="s">
        <v>6742</v>
      </c>
      <c r="C16056" t="s">
        <v>43797</v>
      </c>
      <c r="D16056" t="s">
        <v>50606</v>
      </c>
      <c r="E16056" t="b">
        <v>0</v>
      </c>
      <c r="F16056" t="s">
        <v>11624</v>
      </c>
      <c r="I16056" t="s">
        <v>50607</v>
      </c>
      <c r="L16056">
        <v>0</v>
      </c>
      <c r="M16056">
        <v>0</v>
      </c>
      <c r="N16056">
        <v>0</v>
      </c>
      <c r="O16056" t="s">
        <v>39195</v>
      </c>
    </row>
    <row r="16057" spans="1:15">
      <c r="A16057" t="s">
        <v>50608</v>
      </c>
      <c r="B16057" t="s">
        <v>6742</v>
      </c>
      <c r="C16057" t="s">
        <v>43797</v>
      </c>
      <c r="D16057" t="s">
        <v>50609</v>
      </c>
      <c r="E16057" t="b">
        <v>0</v>
      </c>
      <c r="F16057" t="s">
        <v>11624</v>
      </c>
      <c r="G16057">
        <v>-9.4472000000000005</v>
      </c>
      <c r="H16057">
        <v>32.905700000000003</v>
      </c>
      <c r="I16057" t="s">
        <v>50610</v>
      </c>
      <c r="L16057">
        <v>0</v>
      </c>
      <c r="M16057">
        <v>0</v>
      </c>
      <c r="N16057">
        <v>1</v>
      </c>
      <c r="O16057" t="s">
        <v>39195</v>
      </c>
    </row>
    <row r="16058" spans="1:15">
      <c r="A16058" t="s">
        <v>50611</v>
      </c>
      <c r="B16058" t="s">
        <v>11644</v>
      </c>
      <c r="C16058" t="s">
        <v>39006</v>
      </c>
      <c r="D16058" t="s">
        <v>50612</v>
      </c>
      <c r="E16058" t="b">
        <v>0</v>
      </c>
      <c r="F16058" t="s">
        <v>11610</v>
      </c>
      <c r="L16058">
        <v>0</v>
      </c>
      <c r="M16058">
        <v>0</v>
      </c>
      <c r="N16058">
        <v>0</v>
      </c>
    </row>
    <row r="16059" spans="1:15">
      <c r="A16059" t="s">
        <v>50602</v>
      </c>
      <c r="B16059" t="s">
        <v>17023</v>
      </c>
      <c r="C16059" t="s">
        <v>26029</v>
      </c>
      <c r="D16059" t="s">
        <v>50613</v>
      </c>
      <c r="E16059" t="b">
        <v>0</v>
      </c>
      <c r="F16059" t="s">
        <v>11622</v>
      </c>
      <c r="L16059">
        <v>0</v>
      </c>
      <c r="M16059">
        <v>2</v>
      </c>
      <c r="N16059">
        <v>2</v>
      </c>
    </row>
    <row r="16060" spans="1:15">
      <c r="A16060" t="s">
        <v>50614</v>
      </c>
      <c r="B16060" t="s">
        <v>6742</v>
      </c>
      <c r="C16060" t="s">
        <v>21892</v>
      </c>
      <c r="D16060" t="s">
        <v>50615</v>
      </c>
      <c r="E16060" t="b">
        <v>0</v>
      </c>
      <c r="F16060" t="s">
        <v>11624</v>
      </c>
      <c r="I16060" t="s">
        <v>50616</v>
      </c>
      <c r="L16060">
        <v>0</v>
      </c>
      <c r="M16060">
        <v>0</v>
      </c>
      <c r="N16060">
        <v>0</v>
      </c>
      <c r="O16060" t="s">
        <v>50617</v>
      </c>
    </row>
    <row r="16061" spans="1:15">
      <c r="A16061" t="s">
        <v>50618</v>
      </c>
      <c r="B16061" t="s">
        <v>6742</v>
      </c>
      <c r="C16061" t="s">
        <v>21893</v>
      </c>
      <c r="D16061" t="s">
        <v>50619</v>
      </c>
      <c r="E16061" t="b">
        <v>0</v>
      </c>
      <c r="F16061" t="s">
        <v>11624</v>
      </c>
      <c r="I16061" t="s">
        <v>50620</v>
      </c>
      <c r="L16061">
        <v>0</v>
      </c>
      <c r="M16061">
        <v>0</v>
      </c>
      <c r="N16061">
        <v>0</v>
      </c>
      <c r="O16061" t="s">
        <v>11635</v>
      </c>
    </row>
    <row r="16062" spans="1:15">
      <c r="A16062" t="s">
        <v>21893</v>
      </c>
      <c r="B16062" t="s">
        <v>6742</v>
      </c>
      <c r="C16062" t="s">
        <v>39192</v>
      </c>
      <c r="D16062" t="s">
        <v>50621</v>
      </c>
      <c r="E16062" t="b">
        <v>0</v>
      </c>
      <c r="F16062" t="s">
        <v>11622</v>
      </c>
      <c r="L16062">
        <v>2</v>
      </c>
      <c r="M16062">
        <v>4</v>
      </c>
      <c r="N16062">
        <v>1</v>
      </c>
    </row>
    <row r="16063" spans="1:15">
      <c r="A16063" t="s">
        <v>39192</v>
      </c>
      <c r="B16063" t="s">
        <v>6742</v>
      </c>
      <c r="C16063" t="s">
        <v>43724</v>
      </c>
      <c r="D16063" t="s">
        <v>50622</v>
      </c>
      <c r="E16063" t="b">
        <v>0</v>
      </c>
      <c r="F16063" t="s">
        <v>11622</v>
      </c>
      <c r="L16063">
        <v>3</v>
      </c>
      <c r="M16063">
        <v>5</v>
      </c>
      <c r="N16063">
        <v>1</v>
      </c>
    </row>
    <row r="16064" spans="1:15">
      <c r="A16064" t="s">
        <v>12214</v>
      </c>
      <c r="D16064" t="s">
        <v>50623</v>
      </c>
      <c r="E16064" t="b">
        <v>0</v>
      </c>
      <c r="F16064" t="s">
        <v>11622</v>
      </c>
      <c r="L16064">
        <v>0</v>
      </c>
      <c r="M16064">
        <v>2</v>
      </c>
      <c r="N16064">
        <v>0</v>
      </c>
    </row>
    <row r="16065" spans="1:15">
      <c r="A16065" t="s">
        <v>50624</v>
      </c>
      <c r="B16065" t="s">
        <v>11607</v>
      </c>
      <c r="C16065" t="s">
        <v>35919</v>
      </c>
      <c r="D16065" t="s">
        <v>50625</v>
      </c>
      <c r="E16065" t="b">
        <v>0</v>
      </c>
      <c r="F16065" t="s">
        <v>11610</v>
      </c>
      <c r="L16065">
        <v>0</v>
      </c>
      <c r="M16065">
        <v>0</v>
      </c>
      <c r="N16065">
        <v>0</v>
      </c>
    </row>
    <row r="16066" spans="1:15">
      <c r="A16066" t="s">
        <v>50626</v>
      </c>
      <c r="B16066" t="s">
        <v>11607</v>
      </c>
      <c r="C16066" t="s">
        <v>20457</v>
      </c>
      <c r="D16066" t="s">
        <v>50627</v>
      </c>
      <c r="E16066" t="b">
        <v>0</v>
      </c>
      <c r="F16066" t="s">
        <v>11610</v>
      </c>
      <c r="L16066">
        <v>0</v>
      </c>
      <c r="M16066">
        <v>0</v>
      </c>
      <c r="N16066">
        <v>0</v>
      </c>
    </row>
    <row r="16067" spans="1:15">
      <c r="A16067" t="s">
        <v>50628</v>
      </c>
      <c r="B16067" t="s">
        <v>10597</v>
      </c>
      <c r="C16067" t="s">
        <v>24987</v>
      </c>
      <c r="D16067" t="s">
        <v>50629</v>
      </c>
      <c r="E16067" t="b">
        <v>0</v>
      </c>
      <c r="F16067" t="s">
        <v>11610</v>
      </c>
      <c r="L16067">
        <v>0</v>
      </c>
      <c r="M16067">
        <v>0</v>
      </c>
      <c r="N16067">
        <v>0</v>
      </c>
    </row>
    <row r="16068" spans="1:15">
      <c r="A16068" t="s">
        <v>50630</v>
      </c>
      <c r="B16068" t="s">
        <v>6742</v>
      </c>
      <c r="C16068" t="s">
        <v>28142</v>
      </c>
      <c r="D16068" t="s">
        <v>50631</v>
      </c>
      <c r="E16068" t="b">
        <v>0</v>
      </c>
      <c r="F16068" t="s">
        <v>11624</v>
      </c>
      <c r="G16068">
        <v>-3.0380199999999999</v>
      </c>
      <c r="H16068">
        <v>28.6434</v>
      </c>
      <c r="I16068" t="s">
        <v>50632</v>
      </c>
      <c r="L16068">
        <v>0</v>
      </c>
      <c r="M16068">
        <v>0</v>
      </c>
      <c r="N16068">
        <v>0</v>
      </c>
      <c r="O16068" t="s">
        <v>14825</v>
      </c>
    </row>
    <row r="16069" spans="1:15">
      <c r="A16069" t="s">
        <v>50633</v>
      </c>
      <c r="B16069" t="s">
        <v>6742</v>
      </c>
      <c r="C16069" t="s">
        <v>16186</v>
      </c>
      <c r="D16069" t="s">
        <v>50634</v>
      </c>
      <c r="E16069" t="b">
        <v>0</v>
      </c>
      <c r="F16069" t="s">
        <v>11610</v>
      </c>
      <c r="L16069">
        <v>0</v>
      </c>
      <c r="M16069">
        <v>0</v>
      </c>
      <c r="N16069">
        <v>0</v>
      </c>
    </row>
    <row r="16070" spans="1:15">
      <c r="A16070" t="s">
        <v>15639</v>
      </c>
      <c r="B16070" t="s">
        <v>367</v>
      </c>
      <c r="C16070" t="s">
        <v>18745</v>
      </c>
      <c r="D16070" t="s">
        <v>50635</v>
      </c>
      <c r="E16070" t="b">
        <v>0</v>
      </c>
      <c r="F16070" t="s">
        <v>11624</v>
      </c>
      <c r="G16070">
        <v>-2.1143000000000001</v>
      </c>
      <c r="H16070">
        <v>146.62700000000001</v>
      </c>
      <c r="I16070" t="s">
        <v>50636</v>
      </c>
      <c r="L16070">
        <v>0</v>
      </c>
      <c r="M16070">
        <v>0</v>
      </c>
      <c r="N16070">
        <v>1</v>
      </c>
      <c r="O16070" t="s">
        <v>11660</v>
      </c>
    </row>
    <row r="16071" spans="1:15">
      <c r="A16071" t="s">
        <v>50637</v>
      </c>
      <c r="B16071" t="s">
        <v>11644</v>
      </c>
      <c r="C16071" t="s">
        <v>47887</v>
      </c>
      <c r="D16071" t="s">
        <v>50638</v>
      </c>
      <c r="E16071" t="b">
        <v>0</v>
      </c>
      <c r="F16071" t="s">
        <v>11624</v>
      </c>
      <c r="G16071">
        <v>24.687297000000001</v>
      </c>
      <c r="H16071">
        <v>103.59811000000001</v>
      </c>
      <c r="L16071">
        <v>0</v>
      </c>
      <c r="M16071">
        <v>0</v>
      </c>
      <c r="N16071">
        <v>0</v>
      </c>
      <c r="O16071" t="s">
        <v>11905</v>
      </c>
    </row>
    <row r="16072" spans="1:15">
      <c r="A16072" t="s">
        <v>12680</v>
      </c>
      <c r="B16072" t="s">
        <v>11644</v>
      </c>
      <c r="C16072" t="s">
        <v>16702</v>
      </c>
      <c r="D16072" t="s">
        <v>50639</v>
      </c>
      <c r="E16072" t="b">
        <v>0</v>
      </c>
      <c r="F16072" t="s">
        <v>11624</v>
      </c>
      <c r="G16072">
        <v>27.278262999999999</v>
      </c>
      <c r="H16072">
        <v>93.675528999999997</v>
      </c>
      <c r="I16072" t="s">
        <v>50640</v>
      </c>
      <c r="L16072">
        <v>0</v>
      </c>
      <c r="M16072">
        <v>0</v>
      </c>
      <c r="N16072">
        <v>3</v>
      </c>
      <c r="O16072" t="s">
        <v>11630</v>
      </c>
    </row>
    <row r="16073" spans="1:15">
      <c r="A16073" t="s">
        <v>50641</v>
      </c>
      <c r="B16073" t="s">
        <v>11637</v>
      </c>
      <c r="C16073" t="s">
        <v>12929</v>
      </c>
      <c r="D16073" t="s">
        <v>50642</v>
      </c>
      <c r="E16073" t="b">
        <v>0</v>
      </c>
      <c r="F16073" t="s">
        <v>11610</v>
      </c>
      <c r="L16073">
        <v>0</v>
      </c>
      <c r="M16073">
        <v>0</v>
      </c>
      <c r="N16073">
        <v>0</v>
      </c>
    </row>
    <row r="16074" spans="1:15">
      <c r="A16074" t="s">
        <v>12342</v>
      </c>
      <c r="B16074" t="s">
        <v>6742</v>
      </c>
      <c r="C16074" t="s">
        <v>28255</v>
      </c>
      <c r="D16074" t="s">
        <v>50643</v>
      </c>
      <c r="E16074" t="b">
        <v>0</v>
      </c>
      <c r="F16074" t="s">
        <v>11622</v>
      </c>
      <c r="L16074">
        <v>27</v>
      </c>
      <c r="M16074">
        <v>41</v>
      </c>
      <c r="N16074">
        <v>50</v>
      </c>
    </row>
    <row r="16075" spans="1:15">
      <c r="A16075" t="s">
        <v>50644</v>
      </c>
      <c r="B16075" t="s">
        <v>6742</v>
      </c>
      <c r="C16075" t="s">
        <v>19556</v>
      </c>
      <c r="D16075" t="s">
        <v>50645</v>
      </c>
      <c r="E16075" t="b">
        <v>0</v>
      </c>
      <c r="F16075" t="s">
        <v>11610</v>
      </c>
      <c r="L16075">
        <v>0</v>
      </c>
      <c r="M16075">
        <v>0</v>
      </c>
      <c r="N16075">
        <v>0</v>
      </c>
    </row>
    <row r="16076" spans="1:15">
      <c r="A16076" t="s">
        <v>50646</v>
      </c>
      <c r="B16076" t="s">
        <v>6742</v>
      </c>
      <c r="C16076" t="s">
        <v>15627</v>
      </c>
      <c r="D16076" t="s">
        <v>50647</v>
      </c>
      <c r="E16076" t="b">
        <v>0</v>
      </c>
      <c r="F16076" t="s">
        <v>11610</v>
      </c>
      <c r="L16076">
        <v>0</v>
      </c>
      <c r="M16076">
        <v>0</v>
      </c>
      <c r="N16076">
        <v>0</v>
      </c>
    </row>
    <row r="16077" spans="1:15">
      <c r="A16077" t="s">
        <v>50648</v>
      </c>
      <c r="B16077" t="s">
        <v>6742</v>
      </c>
      <c r="C16077" t="s">
        <v>42505</v>
      </c>
      <c r="D16077" t="s">
        <v>50649</v>
      </c>
      <c r="E16077" t="b">
        <v>0</v>
      </c>
      <c r="F16077" t="s">
        <v>11624</v>
      </c>
      <c r="G16077">
        <v>4.75</v>
      </c>
      <c r="H16077">
        <v>10.5</v>
      </c>
      <c r="I16077" t="s">
        <v>50650</v>
      </c>
      <c r="L16077">
        <v>0</v>
      </c>
      <c r="M16077">
        <v>0</v>
      </c>
      <c r="N16077">
        <v>0</v>
      </c>
      <c r="O16077" t="s">
        <v>11703</v>
      </c>
    </row>
    <row r="16078" spans="1:15">
      <c r="A16078" t="s">
        <v>30511</v>
      </c>
      <c r="B16078" t="s">
        <v>6742</v>
      </c>
      <c r="C16078" t="s">
        <v>50651</v>
      </c>
      <c r="D16078" t="s">
        <v>50652</v>
      </c>
      <c r="E16078" t="b">
        <v>0</v>
      </c>
      <c r="F16078" t="s">
        <v>11624</v>
      </c>
      <c r="G16078">
        <v>0.88071999999999995</v>
      </c>
      <c r="H16078">
        <v>33.918100000000003</v>
      </c>
      <c r="I16078" t="s">
        <v>50653</v>
      </c>
      <c r="L16078">
        <v>0</v>
      </c>
      <c r="M16078">
        <v>0</v>
      </c>
      <c r="N16078">
        <v>4</v>
      </c>
      <c r="O16078" t="s">
        <v>25786</v>
      </c>
    </row>
    <row r="16079" spans="1:15">
      <c r="A16079" t="s">
        <v>50654</v>
      </c>
      <c r="B16079" t="s">
        <v>6742</v>
      </c>
      <c r="C16079" t="s">
        <v>16515</v>
      </c>
      <c r="D16079" t="s">
        <v>50655</v>
      </c>
      <c r="E16079" t="b">
        <v>0</v>
      </c>
      <c r="F16079" t="s">
        <v>11610</v>
      </c>
      <c r="L16079">
        <v>0</v>
      </c>
      <c r="M16079">
        <v>0</v>
      </c>
      <c r="N16079">
        <v>0</v>
      </c>
    </row>
    <row r="16080" spans="1:15">
      <c r="A16080" t="s">
        <v>50656</v>
      </c>
      <c r="B16080" t="s">
        <v>6742</v>
      </c>
      <c r="C16080" t="s">
        <v>50657</v>
      </c>
      <c r="D16080" t="s">
        <v>50658</v>
      </c>
      <c r="E16080" t="b">
        <v>0</v>
      </c>
      <c r="F16080" t="s">
        <v>11624</v>
      </c>
      <c r="G16080">
        <v>7.2741850000000001</v>
      </c>
      <c r="H16080">
        <v>11.061484999999999</v>
      </c>
      <c r="I16080" t="s">
        <v>50659</v>
      </c>
      <c r="L16080">
        <v>0</v>
      </c>
      <c r="M16080">
        <v>0</v>
      </c>
      <c r="N16080">
        <v>0</v>
      </c>
      <c r="O16080" t="s">
        <v>11802</v>
      </c>
    </row>
    <row r="16081" spans="1:15">
      <c r="A16081" t="s">
        <v>50660</v>
      </c>
      <c r="B16081" t="s">
        <v>6742</v>
      </c>
      <c r="C16081" t="s">
        <v>20047</v>
      </c>
      <c r="D16081" t="s">
        <v>50661</v>
      </c>
      <c r="E16081" t="b">
        <v>0</v>
      </c>
      <c r="F16081" t="s">
        <v>11610</v>
      </c>
      <c r="L16081">
        <v>0</v>
      </c>
      <c r="M16081">
        <v>0</v>
      </c>
      <c r="N16081">
        <v>0</v>
      </c>
    </row>
    <row r="16082" spans="1:15">
      <c r="A16082" t="s">
        <v>50662</v>
      </c>
      <c r="B16082" t="s">
        <v>6742</v>
      </c>
      <c r="C16082" t="s">
        <v>21900</v>
      </c>
      <c r="D16082" t="s">
        <v>50663</v>
      </c>
      <c r="E16082" t="b">
        <v>0</v>
      </c>
      <c r="F16082" t="s">
        <v>11624</v>
      </c>
      <c r="G16082">
        <v>7.5230000000000005E-2</v>
      </c>
      <c r="H16082">
        <v>34.616599999999998</v>
      </c>
      <c r="I16082" t="s">
        <v>50664</v>
      </c>
      <c r="L16082">
        <v>0</v>
      </c>
      <c r="M16082">
        <v>0</v>
      </c>
      <c r="N16082">
        <v>0</v>
      </c>
      <c r="O16082" t="s">
        <v>22848</v>
      </c>
    </row>
    <row r="16083" spans="1:15">
      <c r="A16083" t="s">
        <v>50665</v>
      </c>
      <c r="B16083" t="s">
        <v>6742</v>
      </c>
      <c r="C16083" t="s">
        <v>50666</v>
      </c>
      <c r="D16083" t="s">
        <v>50667</v>
      </c>
      <c r="E16083" t="b">
        <v>0</v>
      </c>
      <c r="F16083" t="s">
        <v>11624</v>
      </c>
      <c r="G16083">
        <v>0.95294000000000001</v>
      </c>
      <c r="H16083">
        <v>31.349299999999999</v>
      </c>
      <c r="I16083" t="s">
        <v>50668</v>
      </c>
      <c r="L16083">
        <v>0</v>
      </c>
      <c r="M16083">
        <v>0</v>
      </c>
      <c r="N16083">
        <v>2</v>
      </c>
      <c r="O16083" t="s">
        <v>25786</v>
      </c>
    </row>
    <row r="16084" spans="1:15">
      <c r="A16084" t="s">
        <v>50666</v>
      </c>
      <c r="B16084" t="s">
        <v>6742</v>
      </c>
      <c r="C16084" t="s">
        <v>48023</v>
      </c>
      <c r="D16084" t="s">
        <v>50669</v>
      </c>
      <c r="E16084" t="b">
        <v>0</v>
      </c>
      <c r="F16084" t="s">
        <v>11622</v>
      </c>
      <c r="L16084">
        <v>0</v>
      </c>
      <c r="M16084">
        <v>2</v>
      </c>
      <c r="N16084">
        <v>3</v>
      </c>
    </row>
    <row r="16085" spans="1:15">
      <c r="A16085" t="s">
        <v>50670</v>
      </c>
      <c r="B16085" t="s">
        <v>6742</v>
      </c>
      <c r="C16085" t="s">
        <v>22072</v>
      </c>
      <c r="D16085" t="s">
        <v>50671</v>
      </c>
      <c r="E16085" t="b">
        <v>0</v>
      </c>
      <c r="F16085" t="s">
        <v>11610</v>
      </c>
      <c r="L16085">
        <v>0</v>
      </c>
      <c r="M16085">
        <v>0</v>
      </c>
      <c r="N16085">
        <v>0</v>
      </c>
    </row>
    <row r="16086" spans="1:15">
      <c r="A16086" t="s">
        <v>50672</v>
      </c>
      <c r="B16086" t="s">
        <v>13276</v>
      </c>
      <c r="C16086" t="s">
        <v>35851</v>
      </c>
      <c r="D16086" t="s">
        <v>50673</v>
      </c>
      <c r="E16086" t="b">
        <v>0</v>
      </c>
      <c r="F16086" t="s">
        <v>11610</v>
      </c>
      <c r="L16086">
        <v>0</v>
      </c>
      <c r="M16086">
        <v>0</v>
      </c>
      <c r="N16086">
        <v>0</v>
      </c>
    </row>
    <row r="16087" spans="1:15">
      <c r="A16087" t="s">
        <v>50674</v>
      </c>
      <c r="B16087" t="s">
        <v>6742</v>
      </c>
      <c r="C16087" t="s">
        <v>25512</v>
      </c>
      <c r="D16087" t="s">
        <v>50675</v>
      </c>
      <c r="E16087" t="b">
        <v>0</v>
      </c>
      <c r="F16087" t="s">
        <v>11610</v>
      </c>
      <c r="L16087">
        <v>0</v>
      </c>
      <c r="M16087">
        <v>0</v>
      </c>
      <c r="N16087">
        <v>0</v>
      </c>
    </row>
    <row r="16088" spans="1:15">
      <c r="A16088" t="s">
        <v>2643</v>
      </c>
      <c r="B16088" t="s">
        <v>17023</v>
      </c>
      <c r="C16088" t="s">
        <v>25696</v>
      </c>
      <c r="D16088" t="s">
        <v>2642</v>
      </c>
      <c r="E16088" t="b">
        <v>0</v>
      </c>
      <c r="F16088" t="s">
        <v>11624</v>
      </c>
      <c r="G16088">
        <v>-16.9129</v>
      </c>
      <c r="H16088">
        <v>122.851</v>
      </c>
      <c r="I16088" t="s">
        <v>2644</v>
      </c>
      <c r="L16088">
        <v>0</v>
      </c>
      <c r="M16088">
        <v>0</v>
      </c>
      <c r="N16088">
        <v>0</v>
      </c>
      <c r="O16088" t="s">
        <v>12107</v>
      </c>
    </row>
    <row r="16089" spans="1:15">
      <c r="A16089" t="s">
        <v>17023</v>
      </c>
      <c r="D16089" t="s">
        <v>50676</v>
      </c>
      <c r="E16089" t="b">
        <v>0</v>
      </c>
      <c r="F16089" t="s">
        <v>11622</v>
      </c>
      <c r="L16089">
        <v>7</v>
      </c>
      <c r="M16089">
        <v>10</v>
      </c>
      <c r="N16089">
        <v>7</v>
      </c>
    </row>
    <row r="16090" spans="1:15">
      <c r="A16090" t="s">
        <v>25696</v>
      </c>
      <c r="B16090" t="s">
        <v>17023</v>
      </c>
      <c r="C16090" t="s">
        <v>17024</v>
      </c>
      <c r="D16090" t="s">
        <v>50677</v>
      </c>
      <c r="E16090" t="b">
        <v>0</v>
      </c>
      <c r="F16090" t="s">
        <v>11622</v>
      </c>
      <c r="L16090">
        <v>0</v>
      </c>
      <c r="M16090">
        <v>2</v>
      </c>
      <c r="N16090">
        <v>0</v>
      </c>
    </row>
    <row r="16091" spans="1:15">
      <c r="A16091" t="s">
        <v>18418</v>
      </c>
      <c r="B16091" t="s">
        <v>10597</v>
      </c>
      <c r="C16091" t="s">
        <v>35278</v>
      </c>
      <c r="D16091" t="s">
        <v>50678</v>
      </c>
      <c r="E16091" t="b">
        <v>0</v>
      </c>
      <c r="F16091" t="s">
        <v>11624</v>
      </c>
      <c r="G16091">
        <v>-33.119900000000001</v>
      </c>
      <c r="H16091">
        <v>118.151</v>
      </c>
      <c r="I16091" t="s">
        <v>50679</v>
      </c>
      <c r="L16091">
        <v>0</v>
      </c>
      <c r="M16091">
        <v>0</v>
      </c>
      <c r="N16091">
        <v>6</v>
      </c>
      <c r="O16091" t="s">
        <v>12107</v>
      </c>
    </row>
    <row r="16092" spans="1:15">
      <c r="A16092" t="s">
        <v>50680</v>
      </c>
      <c r="B16092" t="s">
        <v>6742</v>
      </c>
      <c r="C16092" t="s">
        <v>17185</v>
      </c>
      <c r="D16092" t="s">
        <v>50681</v>
      </c>
      <c r="E16092" t="b">
        <v>0</v>
      </c>
      <c r="F16092" t="s">
        <v>11624</v>
      </c>
      <c r="G16092">
        <v>-16.4757</v>
      </c>
      <c r="H16092">
        <v>33.023299999999999</v>
      </c>
      <c r="I16092" t="s">
        <v>50682</v>
      </c>
      <c r="L16092">
        <v>0</v>
      </c>
      <c r="M16092">
        <v>0</v>
      </c>
      <c r="N16092">
        <v>0</v>
      </c>
      <c r="O16092" t="s">
        <v>50683</v>
      </c>
    </row>
    <row r="16093" spans="1:15">
      <c r="A16093" t="s">
        <v>50684</v>
      </c>
      <c r="B16093" t="s">
        <v>11757</v>
      </c>
      <c r="C16093" t="s">
        <v>945</v>
      </c>
      <c r="D16093" t="s">
        <v>50685</v>
      </c>
      <c r="E16093" t="b">
        <v>0</v>
      </c>
      <c r="F16093" t="s">
        <v>11610</v>
      </c>
      <c r="L16093">
        <v>0</v>
      </c>
      <c r="M16093">
        <v>0</v>
      </c>
      <c r="N16093">
        <v>0</v>
      </c>
    </row>
    <row r="16094" spans="1:15">
      <c r="A16094" t="s">
        <v>50686</v>
      </c>
      <c r="B16094" t="s">
        <v>6742</v>
      </c>
      <c r="C16094" t="s">
        <v>19335</v>
      </c>
      <c r="D16094" t="s">
        <v>50687</v>
      </c>
      <c r="E16094" t="b">
        <v>0</v>
      </c>
      <c r="F16094" t="s">
        <v>11624</v>
      </c>
      <c r="G16094">
        <v>-4.1022080000000001</v>
      </c>
      <c r="H16094">
        <v>20.194462000000001</v>
      </c>
      <c r="I16094" t="s">
        <v>50688</v>
      </c>
      <c r="L16094">
        <v>0</v>
      </c>
      <c r="M16094">
        <v>0</v>
      </c>
      <c r="N16094">
        <v>0</v>
      </c>
      <c r="O16094" t="s">
        <v>14825</v>
      </c>
    </row>
    <row r="16095" spans="1:15">
      <c r="A16095" t="s">
        <v>49522</v>
      </c>
      <c r="B16095" t="s">
        <v>6742</v>
      </c>
      <c r="C16095" t="s">
        <v>35058</v>
      </c>
      <c r="D16095" t="s">
        <v>50689</v>
      </c>
      <c r="E16095" t="b">
        <v>0</v>
      </c>
      <c r="F16095" t="s">
        <v>11624</v>
      </c>
      <c r="G16095">
        <v>7.6674499999999997</v>
      </c>
      <c r="H16095">
        <v>15.6675</v>
      </c>
      <c r="I16095" t="s">
        <v>50690</v>
      </c>
      <c r="L16095">
        <v>0</v>
      </c>
      <c r="M16095">
        <v>0</v>
      </c>
      <c r="N16095">
        <v>2</v>
      </c>
      <c r="O16095" t="s">
        <v>50691</v>
      </c>
    </row>
    <row r="16096" spans="1:15">
      <c r="A16096" t="s">
        <v>50692</v>
      </c>
      <c r="B16096" t="s">
        <v>6742</v>
      </c>
      <c r="C16096" t="s">
        <v>29012</v>
      </c>
      <c r="D16096" t="s">
        <v>50693</v>
      </c>
      <c r="E16096" t="b">
        <v>0</v>
      </c>
      <c r="F16096" t="s">
        <v>11624</v>
      </c>
      <c r="G16096">
        <v>4.7956700000000003</v>
      </c>
      <c r="H16096">
        <v>22.825399999999998</v>
      </c>
      <c r="I16096" t="s">
        <v>50694</v>
      </c>
      <c r="L16096">
        <v>0</v>
      </c>
      <c r="M16096">
        <v>0</v>
      </c>
      <c r="N16096">
        <v>0</v>
      </c>
      <c r="O16096" t="s">
        <v>13069</v>
      </c>
    </row>
    <row r="16097" spans="1:15">
      <c r="A16097" t="s">
        <v>50695</v>
      </c>
      <c r="B16097" t="s">
        <v>6742</v>
      </c>
      <c r="C16097" t="s">
        <v>20764</v>
      </c>
      <c r="D16097" t="s">
        <v>50696</v>
      </c>
      <c r="E16097" t="b">
        <v>0</v>
      </c>
      <c r="F16097" t="s">
        <v>11610</v>
      </c>
      <c r="L16097">
        <v>0</v>
      </c>
      <c r="M16097">
        <v>0</v>
      </c>
      <c r="N16097">
        <v>0</v>
      </c>
    </row>
    <row r="16098" spans="1:15">
      <c r="A16098" t="s">
        <v>24344</v>
      </c>
      <c r="B16098" t="s">
        <v>11607</v>
      </c>
      <c r="C16098" t="s">
        <v>31367</v>
      </c>
      <c r="D16098" t="s">
        <v>50697</v>
      </c>
      <c r="E16098" t="b">
        <v>0</v>
      </c>
      <c r="F16098" t="s">
        <v>11624</v>
      </c>
      <c r="G16098">
        <v>10.066599999999999</v>
      </c>
      <c r="H16098">
        <v>13.334300000000001</v>
      </c>
      <c r="I16098" t="s">
        <v>50698</v>
      </c>
      <c r="L16098">
        <v>0</v>
      </c>
      <c r="M16098">
        <v>0</v>
      </c>
      <c r="N16098">
        <v>9</v>
      </c>
      <c r="O16098" t="s">
        <v>11802</v>
      </c>
    </row>
    <row r="16099" spans="1:15">
      <c r="A16099" t="s">
        <v>31367</v>
      </c>
      <c r="B16099" t="s">
        <v>11607</v>
      </c>
      <c r="C16099" t="s">
        <v>29911</v>
      </c>
      <c r="D16099" t="s">
        <v>50699</v>
      </c>
      <c r="E16099" t="b">
        <v>0</v>
      </c>
      <c r="F16099" t="s">
        <v>11622</v>
      </c>
      <c r="L16099">
        <v>0</v>
      </c>
      <c r="M16099">
        <v>2</v>
      </c>
      <c r="N16099">
        <v>9</v>
      </c>
    </row>
    <row r="16100" spans="1:15">
      <c r="A16100" t="s">
        <v>50700</v>
      </c>
      <c r="B16100" t="s">
        <v>6742</v>
      </c>
      <c r="C16100" t="s">
        <v>14795</v>
      </c>
      <c r="D16100" t="s">
        <v>50701</v>
      </c>
      <c r="E16100" t="b">
        <v>0</v>
      </c>
      <c r="F16100" t="s">
        <v>11610</v>
      </c>
      <c r="L16100">
        <v>0</v>
      </c>
      <c r="M16100">
        <v>0</v>
      </c>
      <c r="N16100">
        <v>0</v>
      </c>
    </row>
    <row r="16101" spans="1:15">
      <c r="A16101" t="s">
        <v>50702</v>
      </c>
      <c r="B16101" t="s">
        <v>6742</v>
      </c>
      <c r="C16101" t="s">
        <v>16394</v>
      </c>
      <c r="D16101" t="s">
        <v>50703</v>
      </c>
      <c r="E16101" t="b">
        <v>0</v>
      </c>
      <c r="F16101" t="s">
        <v>11610</v>
      </c>
      <c r="L16101">
        <v>0</v>
      </c>
      <c r="M16101">
        <v>0</v>
      </c>
      <c r="N16101">
        <v>0</v>
      </c>
    </row>
    <row r="16102" spans="1:15">
      <c r="A16102" t="s">
        <v>27538</v>
      </c>
      <c r="B16102" t="s">
        <v>6742</v>
      </c>
      <c r="C16102" t="s">
        <v>33831</v>
      </c>
      <c r="D16102" t="s">
        <v>50704</v>
      </c>
      <c r="E16102" t="b">
        <v>0</v>
      </c>
      <c r="F16102" t="s">
        <v>11624</v>
      </c>
      <c r="G16102">
        <v>5.1784999999999997</v>
      </c>
      <c r="H16102">
        <v>-2.8112300000000001</v>
      </c>
      <c r="I16102" t="s">
        <v>50705</v>
      </c>
      <c r="L16102">
        <v>0</v>
      </c>
      <c r="M16102">
        <v>0</v>
      </c>
      <c r="N16102">
        <v>1</v>
      </c>
      <c r="O16102" t="s">
        <v>11820</v>
      </c>
    </row>
    <row r="16103" spans="1:15">
      <c r="A16103" t="s">
        <v>50706</v>
      </c>
      <c r="B16103" t="s">
        <v>6742</v>
      </c>
      <c r="C16103" t="s">
        <v>15741</v>
      </c>
      <c r="D16103" t="s">
        <v>50707</v>
      </c>
      <c r="E16103" t="b">
        <v>0</v>
      </c>
      <c r="F16103" t="s">
        <v>11610</v>
      </c>
      <c r="L16103">
        <v>0</v>
      </c>
      <c r="M16103">
        <v>0</v>
      </c>
      <c r="N16103">
        <v>0</v>
      </c>
    </row>
    <row r="16104" spans="1:15">
      <c r="A16104" t="s">
        <v>50708</v>
      </c>
      <c r="B16104" t="s">
        <v>367</v>
      </c>
      <c r="C16104" t="s">
        <v>12974</v>
      </c>
      <c r="D16104" t="s">
        <v>50709</v>
      </c>
      <c r="E16104" t="b">
        <v>0</v>
      </c>
      <c r="F16104" t="s">
        <v>11610</v>
      </c>
      <c r="L16104">
        <v>0</v>
      </c>
      <c r="M16104">
        <v>0</v>
      </c>
      <c r="N16104">
        <v>0</v>
      </c>
    </row>
    <row r="16105" spans="1:15">
      <c r="A16105" t="s">
        <v>40988</v>
      </c>
      <c r="B16105" t="s">
        <v>15027</v>
      </c>
      <c r="C16105" t="s">
        <v>44765</v>
      </c>
      <c r="D16105" t="s">
        <v>50710</v>
      </c>
      <c r="E16105" t="b">
        <v>0</v>
      </c>
      <c r="F16105" t="s">
        <v>11622</v>
      </c>
      <c r="L16105">
        <v>4</v>
      </c>
      <c r="M16105">
        <v>8</v>
      </c>
      <c r="N16105">
        <v>11</v>
      </c>
    </row>
    <row r="16106" spans="1:15">
      <c r="A16106" t="s">
        <v>50711</v>
      </c>
      <c r="B16106" t="s">
        <v>11794</v>
      </c>
      <c r="C16106" t="s">
        <v>16864</v>
      </c>
      <c r="D16106" t="s">
        <v>50712</v>
      </c>
      <c r="E16106" t="b">
        <v>0</v>
      </c>
      <c r="F16106" t="s">
        <v>11610</v>
      </c>
      <c r="L16106">
        <v>0</v>
      </c>
      <c r="M16106">
        <v>0</v>
      </c>
      <c r="N16106">
        <v>0</v>
      </c>
    </row>
    <row r="16107" spans="1:15">
      <c r="A16107" t="s">
        <v>17205</v>
      </c>
      <c r="B16107" t="s">
        <v>6742</v>
      </c>
      <c r="C16107" t="s">
        <v>12997</v>
      </c>
      <c r="D16107" t="s">
        <v>50713</v>
      </c>
      <c r="E16107" t="b">
        <v>0</v>
      </c>
      <c r="F16107" t="s">
        <v>11624</v>
      </c>
      <c r="G16107">
        <v>6.4794</v>
      </c>
      <c r="H16107">
        <v>9.2715599999999991</v>
      </c>
      <c r="I16107" t="s">
        <v>50714</v>
      </c>
      <c r="L16107">
        <v>0</v>
      </c>
      <c r="M16107">
        <v>0</v>
      </c>
      <c r="N16107">
        <v>5</v>
      </c>
      <c r="O16107" t="s">
        <v>11693</v>
      </c>
    </row>
    <row r="16108" spans="1:15">
      <c r="A16108" t="s">
        <v>50715</v>
      </c>
      <c r="B16108" t="s">
        <v>6742</v>
      </c>
      <c r="C16108" t="s">
        <v>16658</v>
      </c>
      <c r="D16108" t="s">
        <v>50716</v>
      </c>
      <c r="E16108" t="b">
        <v>0</v>
      </c>
      <c r="F16108" t="s">
        <v>11610</v>
      </c>
      <c r="L16108">
        <v>0</v>
      </c>
      <c r="M16108">
        <v>0</v>
      </c>
      <c r="N16108">
        <v>0</v>
      </c>
    </row>
    <row r="16109" spans="1:15">
      <c r="A16109" t="s">
        <v>50717</v>
      </c>
      <c r="B16109" t="s">
        <v>6742</v>
      </c>
      <c r="C16109" t="s">
        <v>26103</v>
      </c>
      <c r="D16109" t="s">
        <v>50718</v>
      </c>
      <c r="E16109" t="b">
        <v>0</v>
      </c>
      <c r="F16109" t="s">
        <v>11610</v>
      </c>
      <c r="L16109">
        <v>0</v>
      </c>
      <c r="M16109">
        <v>0</v>
      </c>
      <c r="N16109">
        <v>0</v>
      </c>
    </row>
    <row r="16110" spans="1:15">
      <c r="A16110" t="s">
        <v>50719</v>
      </c>
      <c r="B16110" t="s">
        <v>12260</v>
      </c>
      <c r="C16110" t="s">
        <v>36120</v>
      </c>
      <c r="D16110" t="s">
        <v>50720</v>
      </c>
      <c r="E16110" t="b">
        <v>0</v>
      </c>
      <c r="F16110" t="s">
        <v>11624</v>
      </c>
      <c r="G16110">
        <v>66.31</v>
      </c>
      <c r="H16110">
        <v>67.09</v>
      </c>
      <c r="L16110">
        <v>0</v>
      </c>
      <c r="M16110">
        <v>0</v>
      </c>
      <c r="N16110">
        <v>0</v>
      </c>
      <c r="O16110" t="s">
        <v>12748</v>
      </c>
    </row>
    <row r="16111" spans="1:15">
      <c r="A16111" t="s">
        <v>50721</v>
      </c>
      <c r="B16111" t="s">
        <v>6742</v>
      </c>
      <c r="C16111" t="s">
        <v>12225</v>
      </c>
      <c r="D16111" t="s">
        <v>50722</v>
      </c>
      <c r="E16111" t="b">
        <v>0</v>
      </c>
      <c r="F16111" t="s">
        <v>11610</v>
      </c>
      <c r="L16111">
        <v>0</v>
      </c>
      <c r="M16111">
        <v>0</v>
      </c>
      <c r="N16111">
        <v>0</v>
      </c>
    </row>
    <row r="16112" spans="1:15">
      <c r="A16112" t="s">
        <v>50723</v>
      </c>
      <c r="B16112" t="s">
        <v>12260</v>
      </c>
      <c r="C16112" t="s">
        <v>10255</v>
      </c>
      <c r="D16112" t="s">
        <v>50724</v>
      </c>
      <c r="E16112" t="b">
        <v>0</v>
      </c>
      <c r="F16112" t="s">
        <v>11610</v>
      </c>
      <c r="L16112">
        <v>0</v>
      </c>
      <c r="M16112">
        <v>0</v>
      </c>
      <c r="N16112">
        <v>0</v>
      </c>
    </row>
    <row r="16113" spans="1:15">
      <c r="A16113" t="s">
        <v>50725</v>
      </c>
      <c r="B16113" t="s">
        <v>11637</v>
      </c>
      <c r="C16113" t="s">
        <v>19864</v>
      </c>
      <c r="D16113" t="s">
        <v>50726</v>
      </c>
      <c r="E16113" t="b">
        <v>0</v>
      </c>
      <c r="F16113" t="s">
        <v>11610</v>
      </c>
      <c r="L16113">
        <v>0</v>
      </c>
      <c r="M16113">
        <v>0</v>
      </c>
      <c r="N16113">
        <v>0</v>
      </c>
    </row>
    <row r="16114" spans="1:15">
      <c r="A16114" t="s">
        <v>50727</v>
      </c>
      <c r="B16114" t="s">
        <v>11637</v>
      </c>
      <c r="C16114" t="s">
        <v>31327</v>
      </c>
      <c r="D16114" t="s">
        <v>50728</v>
      </c>
      <c r="E16114" t="b">
        <v>0</v>
      </c>
      <c r="F16114" t="s">
        <v>11610</v>
      </c>
      <c r="L16114">
        <v>0</v>
      </c>
      <c r="M16114">
        <v>0</v>
      </c>
      <c r="N16114">
        <v>0</v>
      </c>
    </row>
    <row r="16115" spans="1:15">
      <c r="A16115" t="s">
        <v>50729</v>
      </c>
      <c r="B16115" t="s">
        <v>367</v>
      </c>
      <c r="C16115" t="s">
        <v>16054</v>
      </c>
      <c r="D16115" t="s">
        <v>50730</v>
      </c>
      <c r="E16115" t="b">
        <v>0</v>
      </c>
      <c r="F16115" t="s">
        <v>11610</v>
      </c>
      <c r="L16115">
        <v>0</v>
      </c>
      <c r="M16115">
        <v>0</v>
      </c>
      <c r="N16115">
        <v>0</v>
      </c>
    </row>
    <row r="16116" spans="1:15">
      <c r="A16116" t="s">
        <v>50731</v>
      </c>
      <c r="B16116" t="s">
        <v>11729</v>
      </c>
      <c r="C16116" t="s">
        <v>17076</v>
      </c>
      <c r="D16116" t="s">
        <v>50732</v>
      </c>
      <c r="E16116" t="b">
        <v>0</v>
      </c>
      <c r="F16116" t="s">
        <v>11610</v>
      </c>
      <c r="L16116">
        <v>0</v>
      </c>
      <c r="M16116">
        <v>0</v>
      </c>
      <c r="N16116">
        <v>0</v>
      </c>
    </row>
    <row r="16117" spans="1:15">
      <c r="A16117" t="s">
        <v>50733</v>
      </c>
      <c r="B16117" t="s">
        <v>6742</v>
      </c>
      <c r="C16117" t="s">
        <v>12818</v>
      </c>
      <c r="D16117" t="s">
        <v>50734</v>
      </c>
      <c r="E16117" t="b">
        <v>0</v>
      </c>
      <c r="F16117" t="s">
        <v>11610</v>
      </c>
      <c r="L16117">
        <v>0</v>
      </c>
      <c r="M16117">
        <v>0</v>
      </c>
      <c r="N16117">
        <v>0</v>
      </c>
    </row>
    <row r="16118" spans="1:15">
      <c r="A16118" t="s">
        <v>50735</v>
      </c>
      <c r="B16118" t="s">
        <v>16997</v>
      </c>
      <c r="C16118" t="s">
        <v>16997</v>
      </c>
      <c r="D16118" t="s">
        <v>50736</v>
      </c>
      <c r="E16118" t="b">
        <v>0</v>
      </c>
      <c r="F16118" t="s">
        <v>11624</v>
      </c>
      <c r="G16118">
        <v>35.287300000000002</v>
      </c>
      <c r="H16118">
        <v>-120.669</v>
      </c>
      <c r="I16118" t="s">
        <v>50737</v>
      </c>
      <c r="L16118">
        <v>0</v>
      </c>
      <c r="M16118">
        <v>0</v>
      </c>
      <c r="N16118">
        <v>0</v>
      </c>
      <c r="O16118" t="s">
        <v>11944</v>
      </c>
    </row>
    <row r="16119" spans="1:15">
      <c r="A16119" t="s">
        <v>50738</v>
      </c>
      <c r="B16119" t="s">
        <v>6742</v>
      </c>
      <c r="C16119" t="s">
        <v>50739</v>
      </c>
      <c r="D16119" t="s">
        <v>50740</v>
      </c>
      <c r="E16119" t="b">
        <v>0</v>
      </c>
      <c r="F16119" t="s">
        <v>11624</v>
      </c>
      <c r="G16119">
        <v>8.1894299999999998</v>
      </c>
      <c r="H16119">
        <v>14.29</v>
      </c>
      <c r="I16119" t="s">
        <v>50741</v>
      </c>
      <c r="L16119">
        <v>0</v>
      </c>
      <c r="M16119">
        <v>0</v>
      </c>
      <c r="N16119">
        <v>0</v>
      </c>
      <c r="O16119" t="s">
        <v>11703</v>
      </c>
    </row>
    <row r="16120" spans="1:15">
      <c r="A16120" t="s">
        <v>50742</v>
      </c>
      <c r="B16120" t="s">
        <v>12260</v>
      </c>
      <c r="C16120" t="s">
        <v>42691</v>
      </c>
      <c r="D16120" t="s">
        <v>50743</v>
      </c>
      <c r="E16120" t="b">
        <v>0</v>
      </c>
      <c r="F16120" t="s">
        <v>11610</v>
      </c>
      <c r="L16120">
        <v>0</v>
      </c>
      <c r="M16120">
        <v>0</v>
      </c>
      <c r="N16120">
        <v>0</v>
      </c>
    </row>
    <row r="16121" spans="1:15">
      <c r="A16121" t="s">
        <v>50744</v>
      </c>
      <c r="B16121" t="s">
        <v>15365</v>
      </c>
      <c r="C16121" t="s">
        <v>18782</v>
      </c>
      <c r="D16121" t="s">
        <v>50745</v>
      </c>
      <c r="E16121" t="b">
        <v>0</v>
      </c>
      <c r="F16121" t="s">
        <v>11624</v>
      </c>
      <c r="G16121">
        <v>-2.88029</v>
      </c>
      <c r="H16121">
        <v>137.92400000000001</v>
      </c>
      <c r="I16121" t="s">
        <v>50746</v>
      </c>
      <c r="L16121">
        <v>0</v>
      </c>
      <c r="M16121">
        <v>0</v>
      </c>
      <c r="N16121">
        <v>0</v>
      </c>
      <c r="O16121" t="s">
        <v>11768</v>
      </c>
    </row>
    <row r="16122" spans="1:15">
      <c r="A16122" t="s">
        <v>21831</v>
      </c>
      <c r="B16122" t="s">
        <v>6742</v>
      </c>
      <c r="C16122" t="s">
        <v>21469</v>
      </c>
      <c r="D16122" t="s">
        <v>50747</v>
      </c>
      <c r="E16122" t="b">
        <v>0</v>
      </c>
      <c r="F16122" t="s">
        <v>11622</v>
      </c>
      <c r="L16122">
        <v>6</v>
      </c>
      <c r="M16122">
        <v>23</v>
      </c>
      <c r="N16122">
        <v>12</v>
      </c>
    </row>
    <row r="16123" spans="1:15">
      <c r="A16123" t="s">
        <v>14942</v>
      </c>
      <c r="B16123" t="s">
        <v>6742</v>
      </c>
      <c r="C16123" t="s">
        <v>26947</v>
      </c>
      <c r="D16123" t="s">
        <v>50748</v>
      </c>
      <c r="E16123" t="b">
        <v>0</v>
      </c>
      <c r="F16123" t="s">
        <v>11624</v>
      </c>
      <c r="G16123">
        <v>4.6285100000000003</v>
      </c>
      <c r="H16123">
        <v>7.8198499999999997</v>
      </c>
      <c r="I16123" t="s">
        <v>50749</v>
      </c>
      <c r="L16123">
        <v>0</v>
      </c>
      <c r="M16123">
        <v>0</v>
      </c>
      <c r="N16123">
        <v>5</v>
      </c>
      <c r="O16123" t="s">
        <v>11693</v>
      </c>
    </row>
    <row r="16124" spans="1:15">
      <c r="A16124" t="s">
        <v>26947</v>
      </c>
      <c r="B16124" t="s">
        <v>6742</v>
      </c>
      <c r="C16124" t="s">
        <v>21831</v>
      </c>
      <c r="D16124" t="s">
        <v>50750</v>
      </c>
      <c r="E16124" t="b">
        <v>0</v>
      </c>
      <c r="F16124" t="s">
        <v>11622</v>
      </c>
      <c r="L16124">
        <v>0</v>
      </c>
      <c r="M16124">
        <v>3</v>
      </c>
      <c r="N16124">
        <v>5</v>
      </c>
    </row>
    <row r="16125" spans="1:15">
      <c r="A16125" t="s">
        <v>14279</v>
      </c>
      <c r="B16125" t="s">
        <v>367</v>
      </c>
      <c r="C16125" t="s">
        <v>50751</v>
      </c>
      <c r="D16125" t="s">
        <v>50752</v>
      </c>
      <c r="E16125" t="b">
        <v>0</v>
      </c>
      <c r="F16125" t="s">
        <v>11624</v>
      </c>
      <c r="G16125">
        <v>7.2914099999999999</v>
      </c>
      <c r="H16125">
        <v>125.09</v>
      </c>
      <c r="I16125" t="s">
        <v>50753</v>
      </c>
      <c r="L16125">
        <v>0</v>
      </c>
      <c r="M16125">
        <v>0</v>
      </c>
      <c r="N16125">
        <v>3</v>
      </c>
      <c r="O16125" t="s">
        <v>11749</v>
      </c>
    </row>
    <row r="16126" spans="1:15">
      <c r="A16126" t="s">
        <v>50754</v>
      </c>
      <c r="B16126" t="s">
        <v>6742</v>
      </c>
      <c r="C16126" t="s">
        <v>12225</v>
      </c>
      <c r="D16126" t="s">
        <v>50755</v>
      </c>
      <c r="E16126" t="b">
        <v>0</v>
      </c>
      <c r="F16126" t="s">
        <v>11610</v>
      </c>
      <c r="L16126">
        <v>0</v>
      </c>
      <c r="M16126">
        <v>0</v>
      </c>
      <c r="N16126">
        <v>0</v>
      </c>
    </row>
    <row r="16127" spans="1:15">
      <c r="A16127" t="s">
        <v>50756</v>
      </c>
      <c r="B16127" t="s">
        <v>11607</v>
      </c>
      <c r="C16127" t="s">
        <v>18435</v>
      </c>
      <c r="D16127" t="s">
        <v>50757</v>
      </c>
      <c r="E16127" t="b">
        <v>0</v>
      </c>
      <c r="F16127" t="s">
        <v>11610</v>
      </c>
      <c r="L16127">
        <v>0</v>
      </c>
      <c r="M16127">
        <v>0</v>
      </c>
      <c r="N16127">
        <v>0</v>
      </c>
    </row>
    <row r="16128" spans="1:15">
      <c r="A16128" t="s">
        <v>50758</v>
      </c>
      <c r="B16128" t="s">
        <v>6742</v>
      </c>
      <c r="C16128" t="s">
        <v>50759</v>
      </c>
      <c r="D16128" t="s">
        <v>50760</v>
      </c>
      <c r="E16128" t="b">
        <v>0</v>
      </c>
      <c r="F16128" t="s">
        <v>11624</v>
      </c>
      <c r="G16128">
        <v>4.7290799999999997</v>
      </c>
      <c r="H16128">
        <v>7.1167100000000003</v>
      </c>
      <c r="I16128" t="s">
        <v>50761</v>
      </c>
      <c r="L16128">
        <v>0</v>
      </c>
      <c r="M16128">
        <v>0</v>
      </c>
      <c r="N16128">
        <v>0</v>
      </c>
      <c r="O16128" t="s">
        <v>11693</v>
      </c>
    </row>
    <row r="16129" spans="1:15">
      <c r="A16129" t="s">
        <v>50759</v>
      </c>
      <c r="B16129" t="s">
        <v>6742</v>
      </c>
      <c r="C16129" t="s">
        <v>11864</v>
      </c>
      <c r="D16129" t="s">
        <v>50762</v>
      </c>
      <c r="E16129" t="b">
        <v>0</v>
      </c>
      <c r="F16129" t="s">
        <v>11622</v>
      </c>
      <c r="L16129">
        <v>0</v>
      </c>
      <c r="M16129">
        <v>2</v>
      </c>
      <c r="N16129">
        <v>0</v>
      </c>
    </row>
    <row r="16130" spans="1:15">
      <c r="A16130" t="s">
        <v>50763</v>
      </c>
      <c r="B16130" t="s">
        <v>11637</v>
      </c>
      <c r="C16130" t="s">
        <v>18116</v>
      </c>
      <c r="D16130" t="s">
        <v>50764</v>
      </c>
      <c r="E16130" t="b">
        <v>0</v>
      </c>
      <c r="F16130" t="s">
        <v>11610</v>
      </c>
      <c r="L16130">
        <v>0</v>
      </c>
      <c r="M16130">
        <v>0</v>
      </c>
      <c r="N16130">
        <v>0</v>
      </c>
    </row>
    <row r="16131" spans="1:15">
      <c r="A16131" t="s">
        <v>25477</v>
      </c>
      <c r="B16131" t="s">
        <v>13737</v>
      </c>
      <c r="C16131" t="s">
        <v>48152</v>
      </c>
      <c r="D16131" t="s">
        <v>50765</v>
      </c>
      <c r="E16131" t="b">
        <v>0</v>
      </c>
      <c r="F16131" t="s">
        <v>11624</v>
      </c>
      <c r="G16131">
        <v>-2.1589999999999998</v>
      </c>
      <c r="H16131">
        <v>-72.142200000000003</v>
      </c>
      <c r="I16131" t="s">
        <v>50766</v>
      </c>
      <c r="L16131">
        <v>0</v>
      </c>
      <c r="M16131">
        <v>0</v>
      </c>
      <c r="N16131">
        <v>2</v>
      </c>
      <c r="O16131" t="s">
        <v>45917</v>
      </c>
    </row>
    <row r="16132" spans="1:15">
      <c r="A16132" t="s">
        <v>4724</v>
      </c>
      <c r="B16132" t="s">
        <v>11637</v>
      </c>
      <c r="C16132" t="s">
        <v>28629</v>
      </c>
      <c r="D16132" t="s">
        <v>50767</v>
      </c>
      <c r="E16132" t="b">
        <v>0</v>
      </c>
      <c r="F16132" t="s">
        <v>11624</v>
      </c>
      <c r="G16132">
        <v>44.141500000000001</v>
      </c>
      <c r="H16132">
        <v>6.82979</v>
      </c>
      <c r="I16132" t="s">
        <v>50768</v>
      </c>
      <c r="L16132">
        <v>0</v>
      </c>
      <c r="M16132">
        <v>0</v>
      </c>
      <c r="N16132">
        <v>30</v>
      </c>
      <c r="O16132" t="s">
        <v>50769</v>
      </c>
    </row>
    <row r="16133" spans="1:15">
      <c r="A16133" t="s">
        <v>28629</v>
      </c>
      <c r="B16133" t="s">
        <v>11637</v>
      </c>
      <c r="C16133" t="s">
        <v>4893</v>
      </c>
      <c r="D16133" t="s">
        <v>50770</v>
      </c>
      <c r="E16133" t="b">
        <v>0</v>
      </c>
      <c r="F16133" t="s">
        <v>11622</v>
      </c>
      <c r="L16133">
        <v>0</v>
      </c>
      <c r="M16133">
        <v>3</v>
      </c>
      <c r="N16133">
        <v>30</v>
      </c>
    </row>
    <row r="16134" spans="1:15">
      <c r="A16134" t="s">
        <v>50771</v>
      </c>
      <c r="B16134" t="s">
        <v>11627</v>
      </c>
      <c r="C16134" t="s">
        <v>11627</v>
      </c>
      <c r="D16134" t="s">
        <v>50772</v>
      </c>
      <c r="E16134" t="b">
        <v>1</v>
      </c>
      <c r="F16134" t="s">
        <v>11624</v>
      </c>
      <c r="I16134" t="s">
        <v>50773</v>
      </c>
      <c r="L16134">
        <v>0</v>
      </c>
      <c r="M16134">
        <v>0</v>
      </c>
      <c r="N16134">
        <v>0</v>
      </c>
    </row>
    <row r="16135" spans="1:15">
      <c r="A16135" t="s">
        <v>12101</v>
      </c>
      <c r="B16135" t="s">
        <v>367</v>
      </c>
      <c r="C16135" t="s">
        <v>26489</v>
      </c>
      <c r="D16135" t="s">
        <v>50774</v>
      </c>
      <c r="E16135" t="b">
        <v>0</v>
      </c>
      <c r="F16135" t="s">
        <v>11622</v>
      </c>
      <c r="L16135">
        <v>277</v>
      </c>
      <c r="M16135">
        <v>522</v>
      </c>
      <c r="N16135">
        <v>594</v>
      </c>
    </row>
    <row r="16136" spans="1:15">
      <c r="A16136" t="s">
        <v>50775</v>
      </c>
      <c r="B16136" t="s">
        <v>11637</v>
      </c>
      <c r="C16136" t="s">
        <v>26680</v>
      </c>
      <c r="D16136" t="s">
        <v>50776</v>
      </c>
      <c r="E16136" t="b">
        <v>0</v>
      </c>
      <c r="F16136" t="s">
        <v>11610</v>
      </c>
      <c r="L16136">
        <v>0</v>
      </c>
      <c r="M16136">
        <v>0</v>
      </c>
      <c r="N16136">
        <v>0</v>
      </c>
    </row>
    <row r="16137" spans="1:15">
      <c r="A16137" t="s">
        <v>50777</v>
      </c>
      <c r="B16137" t="s">
        <v>6742</v>
      </c>
      <c r="C16137" t="s">
        <v>50759</v>
      </c>
      <c r="D16137" t="s">
        <v>50778</v>
      </c>
      <c r="E16137" t="b">
        <v>0</v>
      </c>
      <c r="F16137" t="s">
        <v>11624</v>
      </c>
      <c r="I16137" t="s">
        <v>50779</v>
      </c>
      <c r="L16137">
        <v>0</v>
      </c>
      <c r="M16137">
        <v>0</v>
      </c>
      <c r="N16137">
        <v>0</v>
      </c>
      <c r="O16137" t="s">
        <v>11693</v>
      </c>
    </row>
    <row r="16138" spans="1:15">
      <c r="A16138" t="s">
        <v>50780</v>
      </c>
      <c r="B16138" t="s">
        <v>15027</v>
      </c>
      <c r="C16138" t="s">
        <v>33792</v>
      </c>
      <c r="D16138" t="s">
        <v>50781</v>
      </c>
      <c r="E16138" t="b">
        <v>0</v>
      </c>
      <c r="F16138" t="s">
        <v>11610</v>
      </c>
      <c r="L16138">
        <v>0</v>
      </c>
      <c r="M16138">
        <v>0</v>
      </c>
      <c r="N16138">
        <v>0</v>
      </c>
    </row>
    <row r="16139" spans="1:15">
      <c r="A16139" t="s">
        <v>50782</v>
      </c>
      <c r="B16139" t="s">
        <v>15027</v>
      </c>
      <c r="C16139" t="s">
        <v>23375</v>
      </c>
      <c r="D16139" t="s">
        <v>50783</v>
      </c>
      <c r="E16139" t="b">
        <v>0</v>
      </c>
      <c r="F16139" t="s">
        <v>11610</v>
      </c>
      <c r="L16139">
        <v>0</v>
      </c>
      <c r="M16139">
        <v>0</v>
      </c>
      <c r="N16139">
        <v>0</v>
      </c>
    </row>
    <row r="16140" spans="1:15">
      <c r="A16140" t="s">
        <v>50784</v>
      </c>
      <c r="B16140" t="s">
        <v>11879</v>
      </c>
      <c r="C16140" t="s">
        <v>14974</v>
      </c>
      <c r="D16140" t="s">
        <v>50785</v>
      </c>
      <c r="E16140" t="b">
        <v>0</v>
      </c>
      <c r="F16140" t="s">
        <v>11624</v>
      </c>
      <c r="G16140">
        <v>17.182300000000001</v>
      </c>
      <c r="H16140">
        <v>-97.751000000000005</v>
      </c>
      <c r="I16140" t="s">
        <v>50786</v>
      </c>
      <c r="L16140">
        <v>0</v>
      </c>
      <c r="M16140">
        <v>0</v>
      </c>
      <c r="N16140">
        <v>1</v>
      </c>
      <c r="O16140" t="s">
        <v>11883</v>
      </c>
    </row>
    <row r="16141" spans="1:15">
      <c r="A16141" t="s">
        <v>50787</v>
      </c>
      <c r="B16141" t="s">
        <v>11879</v>
      </c>
      <c r="C16141" t="s">
        <v>14920</v>
      </c>
      <c r="D16141" t="s">
        <v>50788</v>
      </c>
      <c r="E16141" t="b">
        <v>0</v>
      </c>
      <c r="F16141" t="s">
        <v>11624</v>
      </c>
      <c r="G16141">
        <v>16.825800000000001</v>
      </c>
      <c r="H16141">
        <v>-96.726299999999995</v>
      </c>
      <c r="I16141" t="s">
        <v>50789</v>
      </c>
      <c r="L16141">
        <v>0</v>
      </c>
      <c r="M16141">
        <v>0</v>
      </c>
      <c r="N16141">
        <v>0</v>
      </c>
      <c r="O16141" t="s">
        <v>11883</v>
      </c>
    </row>
    <row r="16142" spans="1:15">
      <c r="A16142" t="s">
        <v>50790</v>
      </c>
      <c r="B16142" t="s">
        <v>6742</v>
      </c>
      <c r="C16142" t="s">
        <v>31993</v>
      </c>
      <c r="D16142" t="s">
        <v>50791</v>
      </c>
      <c r="E16142" t="b">
        <v>0</v>
      </c>
      <c r="F16142" t="s">
        <v>11610</v>
      </c>
      <c r="L16142">
        <v>0</v>
      </c>
      <c r="M16142">
        <v>0</v>
      </c>
      <c r="N16142">
        <v>0</v>
      </c>
    </row>
    <row r="16143" spans="1:15">
      <c r="A16143" t="s">
        <v>50792</v>
      </c>
      <c r="B16143" t="s">
        <v>11637</v>
      </c>
      <c r="C16143" t="s">
        <v>15874</v>
      </c>
      <c r="D16143" t="s">
        <v>50793</v>
      </c>
      <c r="E16143" t="b">
        <v>0</v>
      </c>
      <c r="F16143" t="s">
        <v>11624</v>
      </c>
      <c r="G16143">
        <v>27.536359999999998</v>
      </c>
      <c r="H16143">
        <v>67.847539999999995</v>
      </c>
      <c r="I16143" t="s">
        <v>50794</v>
      </c>
      <c r="L16143">
        <v>0</v>
      </c>
      <c r="M16143">
        <v>0</v>
      </c>
      <c r="N16143">
        <v>0</v>
      </c>
      <c r="O16143" t="s">
        <v>12172</v>
      </c>
    </row>
    <row r="16144" spans="1:15">
      <c r="A16144" t="s">
        <v>50795</v>
      </c>
      <c r="D16144" t="s">
        <v>50796</v>
      </c>
      <c r="E16144" t="b">
        <v>0</v>
      </c>
      <c r="F16144" t="s">
        <v>11624</v>
      </c>
      <c r="G16144">
        <v>-3.8227600000000002</v>
      </c>
      <c r="H16144">
        <v>141.33600000000001</v>
      </c>
      <c r="I16144" t="s">
        <v>50797</v>
      </c>
      <c r="L16144">
        <v>0</v>
      </c>
      <c r="M16144">
        <v>0</v>
      </c>
      <c r="N16144">
        <v>0</v>
      </c>
      <c r="O16144" t="s">
        <v>11660</v>
      </c>
    </row>
    <row r="16145" spans="1:15">
      <c r="A16145" t="s">
        <v>50798</v>
      </c>
      <c r="B16145" t="s">
        <v>13276</v>
      </c>
      <c r="C16145" t="s">
        <v>19075</v>
      </c>
      <c r="D16145" t="s">
        <v>50799</v>
      </c>
      <c r="E16145" t="b">
        <v>0</v>
      </c>
      <c r="F16145" t="s">
        <v>11610</v>
      </c>
      <c r="L16145">
        <v>0</v>
      </c>
      <c r="M16145">
        <v>0</v>
      </c>
      <c r="N16145">
        <v>0</v>
      </c>
    </row>
    <row r="16146" spans="1:15">
      <c r="A16146" t="s">
        <v>50800</v>
      </c>
      <c r="B16146" t="s">
        <v>367</v>
      </c>
      <c r="C16146" t="s">
        <v>16803</v>
      </c>
      <c r="D16146" t="s">
        <v>50801</v>
      </c>
      <c r="E16146" t="b">
        <v>0</v>
      </c>
      <c r="F16146" t="s">
        <v>11610</v>
      </c>
      <c r="L16146">
        <v>0</v>
      </c>
      <c r="M16146">
        <v>0</v>
      </c>
      <c r="N16146">
        <v>0</v>
      </c>
    </row>
    <row r="16147" spans="1:15">
      <c r="A16147" t="s">
        <v>50802</v>
      </c>
      <c r="B16147" t="s">
        <v>26147</v>
      </c>
      <c r="C16147" t="s">
        <v>26147</v>
      </c>
      <c r="D16147" t="s">
        <v>50803</v>
      </c>
      <c r="E16147" t="b">
        <v>0</v>
      </c>
      <c r="F16147" t="s">
        <v>11624</v>
      </c>
      <c r="G16147">
        <v>-6.5922200000000002</v>
      </c>
      <c r="H16147">
        <v>142.48599999999999</v>
      </c>
      <c r="I16147" t="s">
        <v>50804</v>
      </c>
      <c r="L16147">
        <v>0</v>
      </c>
      <c r="M16147">
        <v>0</v>
      </c>
      <c r="N16147">
        <v>0</v>
      </c>
      <c r="O16147" t="s">
        <v>11660</v>
      </c>
    </row>
    <row r="16148" spans="1:15">
      <c r="A16148" t="s">
        <v>12059</v>
      </c>
      <c r="B16148" t="s">
        <v>6742</v>
      </c>
      <c r="C16148" t="s">
        <v>11827</v>
      </c>
      <c r="D16148" t="s">
        <v>50805</v>
      </c>
      <c r="E16148" t="b">
        <v>0</v>
      </c>
      <c r="F16148" t="s">
        <v>11624</v>
      </c>
      <c r="G16148">
        <v>4.8327299999999997</v>
      </c>
      <c r="H16148">
        <v>6.41493</v>
      </c>
      <c r="I16148" t="s">
        <v>50806</v>
      </c>
      <c r="L16148">
        <v>0</v>
      </c>
      <c r="M16148">
        <v>0</v>
      </c>
      <c r="N16148">
        <v>2</v>
      </c>
      <c r="O16148" t="s">
        <v>11693</v>
      </c>
    </row>
    <row r="16149" spans="1:15">
      <c r="A16149" t="s">
        <v>50807</v>
      </c>
      <c r="B16149" t="s">
        <v>11627</v>
      </c>
      <c r="C16149" t="s">
        <v>11627</v>
      </c>
      <c r="D16149" t="s">
        <v>50808</v>
      </c>
      <c r="E16149" t="b">
        <v>1</v>
      </c>
      <c r="F16149" t="s">
        <v>11624</v>
      </c>
      <c r="G16149">
        <v>5.2031700000000001</v>
      </c>
      <c r="H16149">
        <v>8.2725299999999997</v>
      </c>
      <c r="I16149" t="s">
        <v>50809</v>
      </c>
      <c r="L16149">
        <v>0</v>
      </c>
      <c r="M16149">
        <v>0</v>
      </c>
      <c r="N16149">
        <v>0</v>
      </c>
      <c r="O16149" t="s">
        <v>11693</v>
      </c>
    </row>
    <row r="16150" spans="1:15">
      <c r="A16150" t="s">
        <v>50810</v>
      </c>
      <c r="B16150" t="s">
        <v>12438</v>
      </c>
      <c r="C16150" t="s">
        <v>50811</v>
      </c>
      <c r="D16150" t="s">
        <v>50812</v>
      </c>
      <c r="E16150" t="b">
        <v>0</v>
      </c>
      <c r="F16150" t="s">
        <v>11624</v>
      </c>
      <c r="G16150">
        <v>19.349699999999999</v>
      </c>
      <c r="H16150">
        <v>104.10599999999999</v>
      </c>
      <c r="I16150" t="s">
        <v>50813</v>
      </c>
      <c r="L16150">
        <v>0</v>
      </c>
      <c r="M16150">
        <v>0</v>
      </c>
      <c r="N16150">
        <v>0</v>
      </c>
      <c r="O16150" t="s">
        <v>14464</v>
      </c>
    </row>
    <row r="16151" spans="1:15">
      <c r="A16151" t="s">
        <v>50814</v>
      </c>
      <c r="B16151" t="s">
        <v>367</v>
      </c>
      <c r="C16151" t="s">
        <v>24428</v>
      </c>
      <c r="D16151" t="s">
        <v>50815</v>
      </c>
      <c r="E16151" t="b">
        <v>0</v>
      </c>
      <c r="F16151" t="s">
        <v>11610</v>
      </c>
      <c r="L16151">
        <v>0</v>
      </c>
      <c r="M16151">
        <v>0</v>
      </c>
      <c r="N16151">
        <v>0</v>
      </c>
    </row>
    <row r="16152" spans="1:15">
      <c r="A16152" t="s">
        <v>50816</v>
      </c>
      <c r="B16152" t="s">
        <v>367</v>
      </c>
      <c r="C16152" t="s">
        <v>39294</v>
      </c>
      <c r="D16152" t="s">
        <v>50817</v>
      </c>
      <c r="E16152" t="b">
        <v>0</v>
      </c>
      <c r="F16152" t="s">
        <v>11610</v>
      </c>
      <c r="L16152">
        <v>0</v>
      </c>
      <c r="M16152">
        <v>0</v>
      </c>
      <c r="N16152">
        <v>0</v>
      </c>
    </row>
    <row r="16153" spans="1:15">
      <c r="A16153" t="s">
        <v>50818</v>
      </c>
      <c r="B16153" t="s">
        <v>6742</v>
      </c>
      <c r="C16153" t="s">
        <v>15272</v>
      </c>
      <c r="D16153" t="s">
        <v>50819</v>
      </c>
      <c r="E16153" t="b">
        <v>0</v>
      </c>
      <c r="F16153" t="s">
        <v>11610</v>
      </c>
      <c r="L16153">
        <v>0</v>
      </c>
      <c r="M16153">
        <v>0</v>
      </c>
      <c r="N16153">
        <v>0</v>
      </c>
    </row>
    <row r="16154" spans="1:15">
      <c r="A16154" t="s">
        <v>50820</v>
      </c>
      <c r="B16154" t="s">
        <v>11965</v>
      </c>
      <c r="C16154" t="s">
        <v>11965</v>
      </c>
      <c r="D16154" t="s">
        <v>50821</v>
      </c>
      <c r="E16154" t="b">
        <v>0</v>
      </c>
      <c r="F16154" t="s">
        <v>11624</v>
      </c>
      <c r="G16154">
        <v>-22.277999999999999</v>
      </c>
      <c r="H16154">
        <v>-53.722700000000003</v>
      </c>
      <c r="I16154" t="s">
        <v>50822</v>
      </c>
      <c r="L16154">
        <v>0</v>
      </c>
      <c r="M16154">
        <v>0</v>
      </c>
      <c r="N16154">
        <v>0</v>
      </c>
      <c r="O16154" t="s">
        <v>11969</v>
      </c>
    </row>
    <row r="16155" spans="1:15">
      <c r="A16155" t="s">
        <v>50823</v>
      </c>
      <c r="B16155" t="s">
        <v>6742</v>
      </c>
      <c r="C16155" t="s">
        <v>12125</v>
      </c>
      <c r="D16155" t="s">
        <v>50824</v>
      </c>
      <c r="E16155" t="b">
        <v>0</v>
      </c>
      <c r="F16155" t="s">
        <v>11610</v>
      </c>
      <c r="L16155">
        <v>0</v>
      </c>
      <c r="M16155">
        <v>0</v>
      </c>
      <c r="N16155">
        <v>0</v>
      </c>
    </row>
    <row r="16156" spans="1:15">
      <c r="A16156" t="s">
        <v>50825</v>
      </c>
      <c r="B16156" t="s">
        <v>6742</v>
      </c>
      <c r="C16156" t="s">
        <v>12125</v>
      </c>
      <c r="D16156" t="s">
        <v>50826</v>
      </c>
      <c r="E16156" t="b">
        <v>0</v>
      </c>
      <c r="F16156" t="s">
        <v>11610</v>
      </c>
      <c r="L16156">
        <v>0</v>
      </c>
      <c r="M16156">
        <v>0</v>
      </c>
      <c r="N16156">
        <v>0</v>
      </c>
    </row>
    <row r="16157" spans="1:15">
      <c r="A16157" t="s">
        <v>50827</v>
      </c>
      <c r="B16157" t="s">
        <v>6742</v>
      </c>
      <c r="C16157" t="s">
        <v>12125</v>
      </c>
      <c r="D16157" t="s">
        <v>50828</v>
      </c>
      <c r="E16157" t="b">
        <v>0</v>
      </c>
      <c r="F16157" t="s">
        <v>11610</v>
      </c>
      <c r="L16157">
        <v>0</v>
      </c>
      <c r="M16157">
        <v>0</v>
      </c>
      <c r="N16157">
        <v>0</v>
      </c>
    </row>
    <row r="16158" spans="1:15">
      <c r="A16158" t="s">
        <v>50829</v>
      </c>
      <c r="B16158" t="s">
        <v>8897</v>
      </c>
      <c r="C16158" t="s">
        <v>18624</v>
      </c>
      <c r="D16158" t="s">
        <v>50830</v>
      </c>
      <c r="E16158" t="b">
        <v>0</v>
      </c>
      <c r="F16158" t="s">
        <v>11624</v>
      </c>
      <c r="G16158">
        <v>30.43</v>
      </c>
      <c r="H16158">
        <v>-91.75</v>
      </c>
      <c r="I16158" t="s">
        <v>50831</v>
      </c>
      <c r="L16158">
        <v>0</v>
      </c>
      <c r="M16158">
        <v>0</v>
      </c>
      <c r="N16158">
        <v>0</v>
      </c>
      <c r="O16158" t="s">
        <v>11944</v>
      </c>
    </row>
    <row r="16159" spans="1:15">
      <c r="A16159" t="s">
        <v>50832</v>
      </c>
      <c r="B16159" t="s">
        <v>11607</v>
      </c>
      <c r="C16159" t="s">
        <v>765</v>
      </c>
      <c r="D16159" t="s">
        <v>50833</v>
      </c>
      <c r="E16159" t="b">
        <v>0</v>
      </c>
      <c r="F16159" t="s">
        <v>11610</v>
      </c>
      <c r="L16159">
        <v>0</v>
      </c>
      <c r="M16159">
        <v>0</v>
      </c>
      <c r="N16159">
        <v>0</v>
      </c>
    </row>
    <row r="16160" spans="1:15">
      <c r="A16160" t="s">
        <v>50834</v>
      </c>
      <c r="B16160" t="s">
        <v>11729</v>
      </c>
      <c r="C16160" t="s">
        <v>17076</v>
      </c>
      <c r="D16160" t="s">
        <v>50835</v>
      </c>
      <c r="E16160" t="b">
        <v>0</v>
      </c>
      <c r="F16160" t="s">
        <v>11610</v>
      </c>
      <c r="L16160">
        <v>0</v>
      </c>
      <c r="M16160">
        <v>0</v>
      </c>
      <c r="N16160">
        <v>0</v>
      </c>
    </row>
    <row r="16161" spans="1:15">
      <c r="A16161" t="s">
        <v>50836</v>
      </c>
      <c r="B16161" t="s">
        <v>4342</v>
      </c>
      <c r="C16161" t="s">
        <v>21979</v>
      </c>
      <c r="D16161" t="s">
        <v>50837</v>
      </c>
      <c r="E16161" t="b">
        <v>0</v>
      </c>
      <c r="F16161" t="s">
        <v>11610</v>
      </c>
      <c r="G16161">
        <v>24.915887000000001</v>
      </c>
      <c r="H16161">
        <v>125.30766300000001</v>
      </c>
      <c r="L16161">
        <v>0</v>
      </c>
      <c r="M16161">
        <v>0</v>
      </c>
      <c r="N16161">
        <v>0</v>
      </c>
    </row>
    <row r="16162" spans="1:15">
      <c r="A16162" t="s">
        <v>50838</v>
      </c>
      <c r="B16162" t="s">
        <v>11627</v>
      </c>
      <c r="C16162" t="s">
        <v>11627</v>
      </c>
      <c r="D16162" t="s">
        <v>50839</v>
      </c>
      <c r="E16162" t="b">
        <v>1</v>
      </c>
      <c r="F16162" t="s">
        <v>11624</v>
      </c>
      <c r="I16162" t="s">
        <v>50840</v>
      </c>
      <c r="L16162">
        <v>0</v>
      </c>
      <c r="M16162">
        <v>0</v>
      </c>
      <c r="N16162">
        <v>0</v>
      </c>
    </row>
    <row r="16163" spans="1:15">
      <c r="A16163" t="s">
        <v>50841</v>
      </c>
      <c r="B16163" t="s">
        <v>367</v>
      </c>
      <c r="C16163" t="s">
        <v>47740</v>
      </c>
      <c r="D16163" t="s">
        <v>50842</v>
      </c>
      <c r="E16163" t="b">
        <v>0</v>
      </c>
      <c r="F16163" t="s">
        <v>11610</v>
      </c>
      <c r="L16163">
        <v>0</v>
      </c>
      <c r="M16163">
        <v>0</v>
      </c>
      <c r="N16163">
        <v>0</v>
      </c>
    </row>
    <row r="16164" spans="1:15">
      <c r="A16164" t="s">
        <v>26889</v>
      </c>
      <c r="B16164" t="s">
        <v>6742</v>
      </c>
      <c r="C16164" t="s">
        <v>32037</v>
      </c>
      <c r="D16164" t="s">
        <v>50843</v>
      </c>
      <c r="E16164" t="b">
        <v>0</v>
      </c>
      <c r="F16164" t="s">
        <v>11624</v>
      </c>
      <c r="G16164">
        <v>5.2505699999999997</v>
      </c>
      <c r="H16164">
        <v>6.5389499999999998</v>
      </c>
      <c r="I16164" t="s">
        <v>50844</v>
      </c>
      <c r="L16164">
        <v>0</v>
      </c>
      <c r="M16164">
        <v>0</v>
      </c>
      <c r="N16164">
        <v>2</v>
      </c>
      <c r="O16164" t="s">
        <v>11693</v>
      </c>
    </row>
    <row r="16165" spans="1:15">
      <c r="A16165" t="s">
        <v>50845</v>
      </c>
      <c r="B16165" t="s">
        <v>6742</v>
      </c>
      <c r="C16165" t="s">
        <v>12818</v>
      </c>
      <c r="D16165" t="s">
        <v>50846</v>
      </c>
      <c r="E16165" t="b">
        <v>0</v>
      </c>
      <c r="F16165" t="s">
        <v>11610</v>
      </c>
      <c r="L16165">
        <v>0</v>
      </c>
      <c r="M16165">
        <v>0</v>
      </c>
      <c r="N16165">
        <v>0</v>
      </c>
    </row>
    <row r="16166" spans="1:15">
      <c r="A16166" t="s">
        <v>50847</v>
      </c>
      <c r="B16166" t="s">
        <v>12697</v>
      </c>
      <c r="C16166" t="s">
        <v>14175</v>
      </c>
      <c r="D16166" t="s">
        <v>50848</v>
      </c>
      <c r="E16166" t="b">
        <v>0</v>
      </c>
      <c r="F16166" t="s">
        <v>11610</v>
      </c>
      <c r="L16166">
        <v>0</v>
      </c>
      <c r="M16166">
        <v>0</v>
      </c>
      <c r="N16166">
        <v>0</v>
      </c>
    </row>
    <row r="16167" spans="1:15">
      <c r="A16167" t="s">
        <v>50849</v>
      </c>
      <c r="B16167" t="s">
        <v>6742</v>
      </c>
      <c r="C16167" t="s">
        <v>12589</v>
      </c>
      <c r="D16167" t="s">
        <v>50850</v>
      </c>
      <c r="E16167" t="b">
        <v>0</v>
      </c>
      <c r="F16167" t="s">
        <v>11610</v>
      </c>
      <c r="L16167">
        <v>0</v>
      </c>
      <c r="M16167">
        <v>0</v>
      </c>
      <c r="N16167">
        <v>0</v>
      </c>
    </row>
    <row r="16168" spans="1:15">
      <c r="A16168" t="s">
        <v>50851</v>
      </c>
      <c r="B16168" t="s">
        <v>6742</v>
      </c>
      <c r="C16168" t="s">
        <v>12589</v>
      </c>
      <c r="D16168" t="s">
        <v>50852</v>
      </c>
      <c r="E16168" t="b">
        <v>0</v>
      </c>
      <c r="F16168" t="s">
        <v>11610</v>
      </c>
      <c r="L16168">
        <v>0</v>
      </c>
      <c r="M16168">
        <v>0</v>
      </c>
      <c r="N16168">
        <v>0</v>
      </c>
    </row>
    <row r="16169" spans="1:15">
      <c r="A16169" t="s">
        <v>12308</v>
      </c>
      <c r="B16169" t="s">
        <v>6742</v>
      </c>
      <c r="C16169" t="s">
        <v>11864</v>
      </c>
      <c r="D16169" t="s">
        <v>50853</v>
      </c>
      <c r="E16169" t="b">
        <v>0</v>
      </c>
      <c r="F16169" t="s">
        <v>11624</v>
      </c>
      <c r="G16169">
        <v>4.75352</v>
      </c>
      <c r="H16169">
        <v>6.3403400000000003</v>
      </c>
      <c r="I16169" t="s">
        <v>50854</v>
      </c>
      <c r="L16169">
        <v>0</v>
      </c>
      <c r="M16169">
        <v>0</v>
      </c>
      <c r="N16169">
        <v>3</v>
      </c>
      <c r="O16169" t="s">
        <v>11693</v>
      </c>
    </row>
    <row r="16170" spans="1:15">
      <c r="A16170" t="s">
        <v>50855</v>
      </c>
      <c r="B16170" t="s">
        <v>12697</v>
      </c>
      <c r="C16170" t="s">
        <v>14175</v>
      </c>
      <c r="D16170" t="s">
        <v>50856</v>
      </c>
      <c r="E16170" t="b">
        <v>0</v>
      </c>
      <c r="F16170" t="s">
        <v>11610</v>
      </c>
      <c r="L16170">
        <v>0</v>
      </c>
      <c r="M16170">
        <v>0</v>
      </c>
      <c r="N16170">
        <v>0</v>
      </c>
    </row>
    <row r="16171" spans="1:15">
      <c r="A16171" t="s">
        <v>50857</v>
      </c>
      <c r="B16171" t="s">
        <v>6742</v>
      </c>
      <c r="C16171" t="s">
        <v>11864</v>
      </c>
      <c r="D16171" t="s">
        <v>50858</v>
      </c>
      <c r="E16171" t="b">
        <v>0</v>
      </c>
      <c r="F16171" t="s">
        <v>11624</v>
      </c>
      <c r="G16171">
        <v>4.9094300000000004</v>
      </c>
      <c r="H16171">
        <v>6.5470600000000001</v>
      </c>
      <c r="I16171" t="s">
        <v>50859</v>
      </c>
      <c r="L16171">
        <v>0</v>
      </c>
      <c r="M16171">
        <v>0</v>
      </c>
      <c r="N16171">
        <v>0</v>
      </c>
      <c r="O16171" t="s">
        <v>11693</v>
      </c>
    </row>
    <row r="16172" spans="1:15">
      <c r="A16172" t="s">
        <v>50860</v>
      </c>
      <c r="B16172" t="s">
        <v>6742</v>
      </c>
      <c r="C16172" t="s">
        <v>11753</v>
      </c>
      <c r="D16172" t="s">
        <v>50861</v>
      </c>
      <c r="E16172" t="b">
        <v>0</v>
      </c>
      <c r="F16172" t="s">
        <v>11610</v>
      </c>
      <c r="L16172">
        <v>0</v>
      </c>
      <c r="M16172">
        <v>0</v>
      </c>
      <c r="N16172">
        <v>0</v>
      </c>
    </row>
    <row r="16173" spans="1:15">
      <c r="A16173" t="s">
        <v>50862</v>
      </c>
      <c r="B16173" t="s">
        <v>6742</v>
      </c>
      <c r="C16173" t="s">
        <v>11864</v>
      </c>
      <c r="D16173" t="s">
        <v>50863</v>
      </c>
      <c r="E16173" t="b">
        <v>0</v>
      </c>
      <c r="F16173" t="s">
        <v>11624</v>
      </c>
      <c r="G16173">
        <v>4.7484200000000003</v>
      </c>
      <c r="H16173">
        <v>6.9058000000000002</v>
      </c>
      <c r="I16173" t="s">
        <v>50864</v>
      </c>
      <c r="L16173">
        <v>0</v>
      </c>
      <c r="M16173">
        <v>0</v>
      </c>
      <c r="N16173">
        <v>0</v>
      </c>
      <c r="O16173" t="s">
        <v>11693</v>
      </c>
    </row>
    <row r="16174" spans="1:15">
      <c r="A16174" t="s">
        <v>50865</v>
      </c>
      <c r="B16174" t="s">
        <v>11615</v>
      </c>
      <c r="C16174" t="s">
        <v>25442</v>
      </c>
      <c r="D16174" t="s">
        <v>50866</v>
      </c>
      <c r="E16174" t="b">
        <v>0</v>
      </c>
      <c r="F16174" t="s">
        <v>11624</v>
      </c>
      <c r="G16174">
        <v>-5.3776599999999997</v>
      </c>
      <c r="H16174">
        <v>145.71</v>
      </c>
      <c r="I16174" t="s">
        <v>50867</v>
      </c>
      <c r="L16174">
        <v>0</v>
      </c>
      <c r="M16174">
        <v>0</v>
      </c>
      <c r="N16174">
        <v>0</v>
      </c>
      <c r="O16174" t="s">
        <v>11660</v>
      </c>
    </row>
    <row r="16175" spans="1:15">
      <c r="A16175" t="s">
        <v>50868</v>
      </c>
      <c r="B16175" t="s">
        <v>6742</v>
      </c>
      <c r="C16175" t="s">
        <v>12177</v>
      </c>
      <c r="D16175" t="s">
        <v>50869</v>
      </c>
      <c r="E16175" t="b">
        <v>0</v>
      </c>
      <c r="F16175" t="s">
        <v>11610</v>
      </c>
      <c r="L16175">
        <v>0</v>
      </c>
      <c r="M16175">
        <v>0</v>
      </c>
      <c r="N16175">
        <v>0</v>
      </c>
    </row>
    <row r="16176" spans="1:15">
      <c r="A16176" t="s">
        <v>50870</v>
      </c>
      <c r="B16176" t="s">
        <v>10597</v>
      </c>
      <c r="C16176" t="s">
        <v>38277</v>
      </c>
      <c r="D16176" t="s">
        <v>50871</v>
      </c>
      <c r="E16176" t="b">
        <v>0</v>
      </c>
      <c r="F16176" t="s">
        <v>11610</v>
      </c>
      <c r="L16176">
        <v>0</v>
      </c>
      <c r="M16176">
        <v>0</v>
      </c>
      <c r="N16176">
        <v>0</v>
      </c>
    </row>
    <row r="16177" spans="1:14">
      <c r="A16177" t="s">
        <v>50215</v>
      </c>
      <c r="B16177" t="s">
        <v>331</v>
      </c>
      <c r="C16177" t="s">
        <v>21977</v>
      </c>
      <c r="D16177" t="s">
        <v>50872</v>
      </c>
      <c r="E16177" t="b">
        <v>0</v>
      </c>
      <c r="F16177" t="s">
        <v>11622</v>
      </c>
      <c r="L16177">
        <v>5</v>
      </c>
      <c r="M16177">
        <v>10</v>
      </c>
      <c r="N16177">
        <v>73</v>
      </c>
    </row>
    <row r="16178" spans="1:14">
      <c r="A16178" t="s">
        <v>50873</v>
      </c>
      <c r="B16178" t="s">
        <v>12311</v>
      </c>
      <c r="C16178" t="s">
        <v>47686</v>
      </c>
      <c r="D16178" t="s">
        <v>50874</v>
      </c>
      <c r="E16178" t="b">
        <v>0</v>
      </c>
      <c r="F16178" t="s">
        <v>11610</v>
      </c>
      <c r="L16178">
        <v>0</v>
      </c>
      <c r="M16178">
        <v>0</v>
      </c>
      <c r="N16178">
        <v>0</v>
      </c>
    </row>
    <row r="16179" spans="1:14">
      <c r="A16179" t="s">
        <v>50875</v>
      </c>
      <c r="B16179" t="s">
        <v>11637</v>
      </c>
      <c r="C16179" t="s">
        <v>14419</v>
      </c>
      <c r="D16179" t="s">
        <v>50876</v>
      </c>
      <c r="E16179" t="b">
        <v>0</v>
      </c>
      <c r="F16179" t="s">
        <v>11610</v>
      </c>
      <c r="L16179">
        <v>0</v>
      </c>
      <c r="M16179">
        <v>0</v>
      </c>
      <c r="N16179">
        <v>0</v>
      </c>
    </row>
    <row r="16180" spans="1:14">
      <c r="A16180" t="s">
        <v>50877</v>
      </c>
      <c r="B16180" t="s">
        <v>11729</v>
      </c>
      <c r="C16180" t="s">
        <v>50878</v>
      </c>
      <c r="D16180" t="s">
        <v>50879</v>
      </c>
      <c r="E16180" t="b">
        <v>0</v>
      </c>
      <c r="F16180" t="s">
        <v>11610</v>
      </c>
      <c r="L16180">
        <v>0</v>
      </c>
      <c r="M16180">
        <v>0</v>
      </c>
      <c r="N16180">
        <v>0</v>
      </c>
    </row>
    <row r="16181" spans="1:14">
      <c r="A16181" t="s">
        <v>26077</v>
      </c>
      <c r="B16181" t="s">
        <v>6742</v>
      </c>
      <c r="C16181" t="s">
        <v>21469</v>
      </c>
      <c r="D16181" t="s">
        <v>50880</v>
      </c>
      <c r="E16181" t="b">
        <v>0</v>
      </c>
      <c r="F16181" t="s">
        <v>11622</v>
      </c>
      <c r="L16181">
        <v>3</v>
      </c>
      <c r="M16181">
        <v>5</v>
      </c>
      <c r="N16181">
        <v>12</v>
      </c>
    </row>
    <row r="16182" spans="1:14">
      <c r="A16182" t="s">
        <v>50881</v>
      </c>
      <c r="B16182" t="s">
        <v>6742</v>
      </c>
      <c r="C16182" t="s">
        <v>8425</v>
      </c>
      <c r="D16182" t="s">
        <v>50882</v>
      </c>
      <c r="E16182" t="b">
        <v>0</v>
      </c>
      <c r="F16182" t="s">
        <v>11610</v>
      </c>
      <c r="L16182">
        <v>0</v>
      </c>
      <c r="M16182">
        <v>0</v>
      </c>
      <c r="N16182">
        <v>0</v>
      </c>
    </row>
    <row r="16183" spans="1:14">
      <c r="A16183" t="s">
        <v>50883</v>
      </c>
      <c r="B16183" t="s">
        <v>6742</v>
      </c>
      <c r="C16183" t="s">
        <v>26823</v>
      </c>
      <c r="D16183" t="s">
        <v>50884</v>
      </c>
      <c r="E16183" t="b">
        <v>0</v>
      </c>
      <c r="F16183" t="s">
        <v>11610</v>
      </c>
      <c r="L16183">
        <v>0</v>
      </c>
      <c r="M16183">
        <v>0</v>
      </c>
      <c r="N16183">
        <v>0</v>
      </c>
    </row>
    <row r="16184" spans="1:14">
      <c r="A16184" t="s">
        <v>50885</v>
      </c>
      <c r="B16184" t="s">
        <v>6742</v>
      </c>
      <c r="C16184" t="s">
        <v>13977</v>
      </c>
      <c r="D16184" t="s">
        <v>50886</v>
      </c>
      <c r="E16184" t="b">
        <v>0</v>
      </c>
      <c r="F16184" t="s">
        <v>11610</v>
      </c>
      <c r="L16184">
        <v>0</v>
      </c>
      <c r="M16184">
        <v>0</v>
      </c>
      <c r="N16184">
        <v>0</v>
      </c>
    </row>
    <row r="16185" spans="1:14">
      <c r="A16185" t="s">
        <v>50887</v>
      </c>
      <c r="B16185" t="s">
        <v>6742</v>
      </c>
      <c r="C16185" t="s">
        <v>12589</v>
      </c>
      <c r="D16185" t="s">
        <v>50888</v>
      </c>
      <c r="E16185" t="b">
        <v>0</v>
      </c>
      <c r="F16185" t="s">
        <v>11610</v>
      </c>
      <c r="L16185">
        <v>0</v>
      </c>
      <c r="M16185">
        <v>0</v>
      </c>
      <c r="N16185">
        <v>0</v>
      </c>
    </row>
    <row r="16186" spans="1:14">
      <c r="A16186" t="s">
        <v>50889</v>
      </c>
      <c r="B16186" t="s">
        <v>12697</v>
      </c>
      <c r="C16186" t="s">
        <v>14175</v>
      </c>
      <c r="D16186" t="s">
        <v>50890</v>
      </c>
      <c r="E16186" t="b">
        <v>0</v>
      </c>
      <c r="F16186" t="s">
        <v>11610</v>
      </c>
      <c r="L16186">
        <v>0</v>
      </c>
      <c r="M16186">
        <v>0</v>
      </c>
      <c r="N16186">
        <v>0</v>
      </c>
    </row>
    <row r="16187" spans="1:14">
      <c r="A16187" t="s">
        <v>50891</v>
      </c>
      <c r="B16187" t="s">
        <v>6742</v>
      </c>
      <c r="C16187" t="s">
        <v>12211</v>
      </c>
      <c r="D16187" t="s">
        <v>50892</v>
      </c>
      <c r="E16187" t="b">
        <v>0</v>
      </c>
      <c r="F16187" t="s">
        <v>11610</v>
      </c>
      <c r="L16187">
        <v>0</v>
      </c>
      <c r="M16187">
        <v>0</v>
      </c>
      <c r="N16187">
        <v>0</v>
      </c>
    </row>
    <row r="16188" spans="1:14">
      <c r="A16188" t="s">
        <v>50893</v>
      </c>
      <c r="B16188" t="s">
        <v>8897</v>
      </c>
      <c r="C16188" t="s">
        <v>23404</v>
      </c>
      <c r="D16188" t="s">
        <v>50894</v>
      </c>
      <c r="E16188" t="b">
        <v>0</v>
      </c>
      <c r="F16188" t="s">
        <v>11622</v>
      </c>
      <c r="L16188">
        <v>1</v>
      </c>
      <c r="M16188">
        <v>3</v>
      </c>
      <c r="N16188">
        <v>0</v>
      </c>
    </row>
    <row r="16189" spans="1:14">
      <c r="A16189" t="s">
        <v>50895</v>
      </c>
      <c r="B16189" t="s">
        <v>6742</v>
      </c>
      <c r="C16189" t="s">
        <v>12211</v>
      </c>
      <c r="D16189" t="s">
        <v>50896</v>
      </c>
      <c r="E16189" t="b">
        <v>0</v>
      </c>
      <c r="F16189" t="s">
        <v>11610</v>
      </c>
      <c r="L16189">
        <v>0</v>
      </c>
      <c r="M16189">
        <v>0</v>
      </c>
      <c r="N16189">
        <v>0</v>
      </c>
    </row>
    <row r="16190" spans="1:14">
      <c r="A16190" t="s">
        <v>50897</v>
      </c>
      <c r="B16190" t="s">
        <v>26147</v>
      </c>
      <c r="C16190" t="s">
        <v>29421</v>
      </c>
      <c r="D16190" t="s">
        <v>50898</v>
      </c>
      <c r="E16190" t="b">
        <v>0</v>
      </c>
      <c r="F16190" t="s">
        <v>11610</v>
      </c>
      <c r="L16190">
        <v>0</v>
      </c>
      <c r="M16190">
        <v>0</v>
      </c>
      <c r="N16190">
        <v>0</v>
      </c>
    </row>
    <row r="16191" spans="1:14">
      <c r="A16191" t="s">
        <v>50899</v>
      </c>
      <c r="B16191" t="s">
        <v>13518</v>
      </c>
      <c r="C16191" t="s">
        <v>13519</v>
      </c>
      <c r="D16191" t="s">
        <v>50900</v>
      </c>
      <c r="E16191" t="b">
        <v>0</v>
      </c>
      <c r="F16191" t="s">
        <v>11610</v>
      </c>
      <c r="L16191">
        <v>0</v>
      </c>
      <c r="M16191">
        <v>0</v>
      </c>
      <c r="N16191">
        <v>0</v>
      </c>
    </row>
    <row r="16192" spans="1:14">
      <c r="A16192" t="s">
        <v>21889</v>
      </c>
      <c r="B16192" t="s">
        <v>11637</v>
      </c>
      <c r="C16192" t="s">
        <v>28101</v>
      </c>
      <c r="D16192" t="s">
        <v>50901</v>
      </c>
      <c r="E16192" t="b">
        <v>0</v>
      </c>
      <c r="F16192" t="s">
        <v>11622</v>
      </c>
      <c r="L16192">
        <v>9</v>
      </c>
      <c r="M16192">
        <v>20</v>
      </c>
      <c r="N16192">
        <v>56</v>
      </c>
    </row>
    <row r="16193" spans="1:15">
      <c r="A16193" t="s">
        <v>36082</v>
      </c>
      <c r="B16193" t="s">
        <v>12250</v>
      </c>
      <c r="C16193" t="s">
        <v>12250</v>
      </c>
      <c r="D16193" t="s">
        <v>50902</v>
      </c>
      <c r="E16193" t="b">
        <v>0</v>
      </c>
      <c r="F16193" t="s">
        <v>11622</v>
      </c>
      <c r="L16193">
        <v>5</v>
      </c>
      <c r="M16193">
        <v>8</v>
      </c>
      <c r="N16193">
        <v>46</v>
      </c>
    </row>
    <row r="16194" spans="1:15">
      <c r="A16194" t="s">
        <v>24167</v>
      </c>
      <c r="B16194" t="s">
        <v>12250</v>
      </c>
      <c r="C16194" t="s">
        <v>36073</v>
      </c>
      <c r="D16194" t="s">
        <v>50903</v>
      </c>
      <c r="E16194" t="b">
        <v>0</v>
      </c>
      <c r="F16194" t="s">
        <v>11622</v>
      </c>
      <c r="L16194">
        <v>0</v>
      </c>
      <c r="M16194">
        <v>2</v>
      </c>
      <c r="N16194">
        <v>20</v>
      </c>
    </row>
    <row r="16195" spans="1:15">
      <c r="A16195" t="s">
        <v>13157</v>
      </c>
      <c r="B16195" t="s">
        <v>12250</v>
      </c>
      <c r="C16195" t="s">
        <v>12953</v>
      </c>
      <c r="D16195" t="s">
        <v>50904</v>
      </c>
      <c r="E16195" t="b">
        <v>0</v>
      </c>
      <c r="F16195" t="s">
        <v>11610</v>
      </c>
      <c r="L16195">
        <v>0</v>
      </c>
      <c r="M16195">
        <v>0</v>
      </c>
      <c r="N16195">
        <v>9</v>
      </c>
    </row>
    <row r="16196" spans="1:15">
      <c r="A16196" t="s">
        <v>50905</v>
      </c>
      <c r="B16196" t="s">
        <v>11839</v>
      </c>
      <c r="C16196" t="s">
        <v>27760</v>
      </c>
      <c r="D16196" t="s">
        <v>50906</v>
      </c>
      <c r="E16196" t="b">
        <v>0</v>
      </c>
      <c r="F16196" t="s">
        <v>11624</v>
      </c>
      <c r="G16196">
        <v>-8.0904399999999992</v>
      </c>
      <c r="H16196">
        <v>127.20099999999999</v>
      </c>
      <c r="I16196" t="s">
        <v>50907</v>
      </c>
      <c r="L16196">
        <v>0</v>
      </c>
      <c r="M16196">
        <v>0</v>
      </c>
      <c r="N16196">
        <v>0</v>
      </c>
      <c r="O16196" t="s">
        <v>11768</v>
      </c>
    </row>
    <row r="16197" spans="1:15">
      <c r="A16197" t="s">
        <v>36073</v>
      </c>
      <c r="B16197" t="s">
        <v>12250</v>
      </c>
      <c r="C16197" t="s">
        <v>36082</v>
      </c>
      <c r="D16197" t="s">
        <v>50908</v>
      </c>
      <c r="E16197" t="b">
        <v>0</v>
      </c>
      <c r="F16197" t="s">
        <v>11622</v>
      </c>
      <c r="L16197">
        <v>4</v>
      </c>
      <c r="M16197">
        <v>7</v>
      </c>
      <c r="N16197">
        <v>46</v>
      </c>
    </row>
    <row r="16198" spans="1:15">
      <c r="A16198" t="s">
        <v>50909</v>
      </c>
      <c r="B16198" t="s">
        <v>4342</v>
      </c>
      <c r="C16198" t="s">
        <v>31422</v>
      </c>
      <c r="D16198" t="s">
        <v>50910</v>
      </c>
      <c r="E16198" t="b">
        <v>0</v>
      </c>
      <c r="F16198" t="s">
        <v>11610</v>
      </c>
      <c r="L16198">
        <v>0</v>
      </c>
      <c r="M16198">
        <v>0</v>
      </c>
      <c r="N16198">
        <v>0</v>
      </c>
    </row>
    <row r="16199" spans="1:15">
      <c r="A16199" t="s">
        <v>50911</v>
      </c>
      <c r="B16199" t="s">
        <v>11912</v>
      </c>
      <c r="C16199" t="s">
        <v>11508</v>
      </c>
      <c r="D16199" t="s">
        <v>50912</v>
      </c>
      <c r="E16199" t="b">
        <v>0</v>
      </c>
      <c r="F16199" t="s">
        <v>11610</v>
      </c>
      <c r="L16199">
        <v>0</v>
      </c>
      <c r="M16199">
        <v>0</v>
      </c>
      <c r="N16199">
        <v>0</v>
      </c>
    </row>
    <row r="16200" spans="1:15">
      <c r="A16200" t="s">
        <v>50913</v>
      </c>
      <c r="B16200" t="s">
        <v>6742</v>
      </c>
      <c r="C16200" t="s">
        <v>23810</v>
      </c>
      <c r="D16200" t="s">
        <v>50914</v>
      </c>
      <c r="E16200" t="b">
        <v>0</v>
      </c>
      <c r="F16200" t="s">
        <v>11610</v>
      </c>
      <c r="L16200">
        <v>0</v>
      </c>
      <c r="M16200">
        <v>0</v>
      </c>
      <c r="N16200">
        <v>0</v>
      </c>
    </row>
    <row r="16201" spans="1:15">
      <c r="A16201" t="s">
        <v>50915</v>
      </c>
      <c r="B16201" t="s">
        <v>11637</v>
      </c>
      <c r="C16201" t="s">
        <v>15841</v>
      </c>
      <c r="D16201" t="s">
        <v>50916</v>
      </c>
      <c r="E16201" t="b">
        <v>0</v>
      </c>
      <c r="F16201" t="s">
        <v>11610</v>
      </c>
      <c r="L16201">
        <v>0</v>
      </c>
      <c r="M16201">
        <v>0</v>
      </c>
      <c r="N16201">
        <v>0</v>
      </c>
    </row>
    <row r="16202" spans="1:15">
      <c r="A16202" t="s">
        <v>50917</v>
      </c>
      <c r="B16202" t="s">
        <v>12979</v>
      </c>
      <c r="C16202" t="s">
        <v>26587</v>
      </c>
      <c r="D16202" t="s">
        <v>50918</v>
      </c>
      <c r="E16202" t="b">
        <v>0</v>
      </c>
      <c r="F16202" t="s">
        <v>11622</v>
      </c>
      <c r="L16202">
        <v>5</v>
      </c>
      <c r="M16202">
        <v>9</v>
      </c>
      <c r="N16202">
        <v>16</v>
      </c>
    </row>
    <row r="16203" spans="1:15">
      <c r="A16203" t="s">
        <v>222</v>
      </c>
      <c r="B16203" t="s">
        <v>12979</v>
      </c>
      <c r="C16203" t="s">
        <v>50917</v>
      </c>
      <c r="D16203" t="s">
        <v>221</v>
      </c>
      <c r="E16203" t="b">
        <v>0</v>
      </c>
      <c r="F16203" t="s">
        <v>11622</v>
      </c>
      <c r="L16203">
        <v>4</v>
      </c>
      <c r="M16203">
        <v>8</v>
      </c>
      <c r="N16203">
        <v>16</v>
      </c>
    </row>
    <row r="16204" spans="1:15">
      <c r="A16204" t="s">
        <v>50919</v>
      </c>
      <c r="B16204" t="s">
        <v>11729</v>
      </c>
      <c r="C16204" t="s">
        <v>12635</v>
      </c>
      <c r="D16204" t="s">
        <v>50920</v>
      </c>
      <c r="E16204" t="b">
        <v>0</v>
      </c>
      <c r="F16204" t="s">
        <v>11610</v>
      </c>
      <c r="L16204">
        <v>0</v>
      </c>
      <c r="M16204">
        <v>0</v>
      </c>
      <c r="N16204">
        <v>0</v>
      </c>
    </row>
    <row r="16205" spans="1:15">
      <c r="A16205" t="s">
        <v>50921</v>
      </c>
      <c r="B16205" t="s">
        <v>6742</v>
      </c>
      <c r="C16205" t="s">
        <v>23810</v>
      </c>
      <c r="D16205" t="s">
        <v>50922</v>
      </c>
      <c r="E16205" t="b">
        <v>0</v>
      </c>
      <c r="F16205" t="s">
        <v>11610</v>
      </c>
      <c r="L16205">
        <v>0</v>
      </c>
      <c r="M16205">
        <v>0</v>
      </c>
      <c r="N16205">
        <v>0</v>
      </c>
    </row>
    <row r="16206" spans="1:15">
      <c r="A16206" t="s">
        <v>50923</v>
      </c>
      <c r="B16206" t="s">
        <v>11879</v>
      </c>
      <c r="C16206" t="s">
        <v>22658</v>
      </c>
      <c r="D16206" t="s">
        <v>50924</v>
      </c>
      <c r="E16206" t="b">
        <v>0</v>
      </c>
      <c r="F16206" t="s">
        <v>11624</v>
      </c>
      <c r="G16206">
        <v>18.074999999999999</v>
      </c>
      <c r="H16206">
        <v>-96.3369</v>
      </c>
      <c r="I16206" t="s">
        <v>50925</v>
      </c>
      <c r="L16206">
        <v>0</v>
      </c>
      <c r="M16206">
        <v>0</v>
      </c>
      <c r="N16206">
        <v>0</v>
      </c>
      <c r="O16206" t="s">
        <v>11883</v>
      </c>
    </row>
    <row r="16207" spans="1:15">
      <c r="A16207" t="s">
        <v>50926</v>
      </c>
      <c r="B16207" t="s">
        <v>6742</v>
      </c>
      <c r="C16207" t="s">
        <v>12177</v>
      </c>
      <c r="D16207" t="s">
        <v>50927</v>
      </c>
      <c r="E16207" t="b">
        <v>0</v>
      </c>
      <c r="F16207" t="s">
        <v>11610</v>
      </c>
      <c r="L16207">
        <v>0</v>
      </c>
      <c r="M16207">
        <v>0</v>
      </c>
      <c r="N16207">
        <v>0</v>
      </c>
    </row>
    <row r="16208" spans="1:15">
      <c r="A16208" t="s">
        <v>50928</v>
      </c>
      <c r="B16208" t="s">
        <v>6742</v>
      </c>
      <c r="C16208" t="s">
        <v>28246</v>
      </c>
      <c r="D16208" t="s">
        <v>50929</v>
      </c>
      <c r="E16208" t="b">
        <v>0</v>
      </c>
      <c r="F16208" t="s">
        <v>11610</v>
      </c>
      <c r="L16208">
        <v>0</v>
      </c>
      <c r="M16208">
        <v>0</v>
      </c>
      <c r="N16208">
        <v>0</v>
      </c>
    </row>
    <row r="16209" spans="1:15">
      <c r="A16209" t="s">
        <v>50930</v>
      </c>
      <c r="B16209" t="s">
        <v>12250</v>
      </c>
      <c r="C16209" t="s">
        <v>2129</v>
      </c>
      <c r="D16209" t="s">
        <v>50931</v>
      </c>
      <c r="E16209" t="b">
        <v>0</v>
      </c>
      <c r="F16209" t="s">
        <v>11610</v>
      </c>
      <c r="L16209">
        <v>0</v>
      </c>
      <c r="M16209">
        <v>0</v>
      </c>
      <c r="N16209">
        <v>0</v>
      </c>
    </row>
    <row r="16210" spans="1:15">
      <c r="A16210" t="s">
        <v>50932</v>
      </c>
      <c r="B16210" t="s">
        <v>6742</v>
      </c>
      <c r="C16210" t="s">
        <v>12211</v>
      </c>
      <c r="D16210" t="s">
        <v>50933</v>
      </c>
      <c r="E16210" t="b">
        <v>0</v>
      </c>
      <c r="F16210" t="s">
        <v>11610</v>
      </c>
      <c r="L16210">
        <v>0</v>
      </c>
      <c r="M16210">
        <v>0</v>
      </c>
      <c r="N16210">
        <v>0</v>
      </c>
    </row>
    <row r="16211" spans="1:15">
      <c r="A16211" t="s">
        <v>23291</v>
      </c>
      <c r="B16211" t="s">
        <v>9071</v>
      </c>
      <c r="C16211" t="s">
        <v>23255</v>
      </c>
      <c r="D16211" t="s">
        <v>50934</v>
      </c>
      <c r="E16211" t="b">
        <v>0</v>
      </c>
      <c r="F16211" t="s">
        <v>11624</v>
      </c>
      <c r="G16211">
        <v>49.274500000000003</v>
      </c>
      <c r="H16211">
        <v>-119.294</v>
      </c>
      <c r="I16211" t="s">
        <v>50935</v>
      </c>
      <c r="L16211">
        <v>0</v>
      </c>
      <c r="M16211">
        <v>0</v>
      </c>
      <c r="N16211">
        <v>4</v>
      </c>
      <c r="O16211" t="s">
        <v>14875</v>
      </c>
    </row>
    <row r="16212" spans="1:15">
      <c r="A16212" t="s">
        <v>6174</v>
      </c>
      <c r="B16212" t="s">
        <v>4342</v>
      </c>
      <c r="C16212" t="s">
        <v>22911</v>
      </c>
      <c r="D16212" t="s">
        <v>50936</v>
      </c>
      <c r="E16212" t="b">
        <v>0</v>
      </c>
      <c r="F16212" t="s">
        <v>11610</v>
      </c>
      <c r="L16212">
        <v>0</v>
      </c>
      <c r="M16212">
        <v>0</v>
      </c>
      <c r="N16212">
        <v>0</v>
      </c>
    </row>
    <row r="16213" spans="1:15">
      <c r="A16213" t="s">
        <v>50937</v>
      </c>
      <c r="B16213" t="s">
        <v>11615</v>
      </c>
      <c r="C16213" t="s">
        <v>18641</v>
      </c>
      <c r="D16213" t="s">
        <v>50938</v>
      </c>
      <c r="E16213" t="b">
        <v>0</v>
      </c>
      <c r="F16213" t="s">
        <v>11610</v>
      </c>
      <c r="L16213">
        <v>0</v>
      </c>
      <c r="M16213">
        <v>0</v>
      </c>
      <c r="N16213">
        <v>0</v>
      </c>
    </row>
    <row r="16214" spans="1:15">
      <c r="A16214" t="s">
        <v>50939</v>
      </c>
      <c r="B16214" t="s">
        <v>11729</v>
      </c>
      <c r="C16214" t="s">
        <v>15248</v>
      </c>
      <c r="D16214" t="s">
        <v>50940</v>
      </c>
      <c r="E16214" t="b">
        <v>0</v>
      </c>
      <c r="F16214" t="s">
        <v>11610</v>
      </c>
      <c r="L16214">
        <v>0</v>
      </c>
      <c r="M16214">
        <v>0</v>
      </c>
      <c r="N16214">
        <v>0</v>
      </c>
    </row>
    <row r="16215" spans="1:15">
      <c r="A16215" t="s">
        <v>50941</v>
      </c>
      <c r="B16215" t="s">
        <v>6742</v>
      </c>
      <c r="C16215" t="s">
        <v>26742</v>
      </c>
      <c r="D16215" t="s">
        <v>50942</v>
      </c>
      <c r="E16215" t="b">
        <v>0</v>
      </c>
      <c r="F16215" t="s">
        <v>11610</v>
      </c>
      <c r="L16215">
        <v>0</v>
      </c>
      <c r="M16215">
        <v>0</v>
      </c>
      <c r="N16215">
        <v>0</v>
      </c>
    </row>
    <row r="16216" spans="1:15">
      <c r="A16216" t="s">
        <v>50943</v>
      </c>
      <c r="B16216" t="s">
        <v>12686</v>
      </c>
      <c r="C16216" t="s">
        <v>18105</v>
      </c>
      <c r="D16216" t="s">
        <v>50944</v>
      </c>
      <c r="E16216" t="b">
        <v>0</v>
      </c>
      <c r="F16216" t="s">
        <v>11610</v>
      </c>
      <c r="L16216">
        <v>0</v>
      </c>
      <c r="M16216">
        <v>0</v>
      </c>
      <c r="N16216">
        <v>0</v>
      </c>
    </row>
    <row r="16217" spans="1:15">
      <c r="A16217" t="s">
        <v>49659</v>
      </c>
      <c r="B16217" t="s">
        <v>11757</v>
      </c>
      <c r="C16217" t="s">
        <v>45408</v>
      </c>
      <c r="D16217" t="s">
        <v>50945</v>
      </c>
      <c r="E16217" t="b">
        <v>0</v>
      </c>
      <c r="F16217" t="s">
        <v>11624</v>
      </c>
      <c r="G16217">
        <v>-2.7804799999999998</v>
      </c>
      <c r="H16217">
        <v>36.597700000000003</v>
      </c>
      <c r="I16217" t="s">
        <v>50946</v>
      </c>
      <c r="L16217">
        <v>0</v>
      </c>
      <c r="M16217">
        <v>0</v>
      </c>
      <c r="N16217">
        <v>3</v>
      </c>
      <c r="O16217" t="s">
        <v>14933</v>
      </c>
    </row>
    <row r="16218" spans="1:15">
      <c r="A16218" t="s">
        <v>45408</v>
      </c>
      <c r="B16218" t="s">
        <v>11757</v>
      </c>
      <c r="C16218" t="s">
        <v>1002</v>
      </c>
      <c r="D16218" t="s">
        <v>50947</v>
      </c>
      <c r="E16218" t="b">
        <v>0</v>
      </c>
      <c r="F16218" t="s">
        <v>11622</v>
      </c>
      <c r="L16218">
        <v>0</v>
      </c>
      <c r="M16218">
        <v>2</v>
      </c>
      <c r="N16218">
        <v>4</v>
      </c>
    </row>
    <row r="16219" spans="1:15">
      <c r="A16219" t="s">
        <v>21680</v>
      </c>
      <c r="B16219" t="s">
        <v>4342</v>
      </c>
      <c r="C16219" t="s">
        <v>13262</v>
      </c>
      <c r="D16219" t="s">
        <v>50948</v>
      </c>
      <c r="E16219" t="b">
        <v>0</v>
      </c>
      <c r="F16219" t="s">
        <v>11622</v>
      </c>
      <c r="L16219">
        <v>0</v>
      </c>
      <c r="M16219">
        <v>2</v>
      </c>
      <c r="N16219">
        <v>5</v>
      </c>
    </row>
    <row r="16220" spans="1:15">
      <c r="A16220" t="s">
        <v>50949</v>
      </c>
      <c r="B16220" t="s">
        <v>4342</v>
      </c>
      <c r="C16220" t="s">
        <v>50051</v>
      </c>
      <c r="D16220" t="s">
        <v>50950</v>
      </c>
      <c r="E16220" t="b">
        <v>0</v>
      </c>
      <c r="F16220" t="s">
        <v>11622</v>
      </c>
      <c r="L16220">
        <v>0</v>
      </c>
      <c r="M16220">
        <v>2</v>
      </c>
      <c r="N16220">
        <v>3</v>
      </c>
    </row>
    <row r="16221" spans="1:15">
      <c r="A16221" t="s">
        <v>26325</v>
      </c>
      <c r="B16221" t="s">
        <v>4342</v>
      </c>
      <c r="C16221" t="s">
        <v>50949</v>
      </c>
      <c r="D16221" t="s">
        <v>50951</v>
      </c>
      <c r="E16221" t="b">
        <v>0</v>
      </c>
      <c r="F16221" t="s">
        <v>11624</v>
      </c>
      <c r="G16221">
        <v>27.373799999999999</v>
      </c>
      <c r="H16221">
        <v>128.619</v>
      </c>
      <c r="I16221" t="s">
        <v>50952</v>
      </c>
      <c r="L16221">
        <v>0</v>
      </c>
      <c r="M16221">
        <v>0</v>
      </c>
      <c r="N16221">
        <v>2</v>
      </c>
      <c r="O16221" t="s">
        <v>12539</v>
      </c>
    </row>
    <row r="16222" spans="1:15">
      <c r="A16222" t="s">
        <v>38728</v>
      </c>
      <c r="B16222" t="s">
        <v>11615</v>
      </c>
      <c r="C16222" t="s">
        <v>50953</v>
      </c>
      <c r="D16222" t="s">
        <v>50954</v>
      </c>
      <c r="E16222" t="b">
        <v>0</v>
      </c>
      <c r="F16222" t="s">
        <v>11622</v>
      </c>
      <c r="L16222">
        <v>6</v>
      </c>
      <c r="M16222">
        <v>19</v>
      </c>
      <c r="N16222">
        <v>22</v>
      </c>
    </row>
    <row r="16223" spans="1:15">
      <c r="A16223" t="s">
        <v>50955</v>
      </c>
      <c r="B16223" t="s">
        <v>6742</v>
      </c>
      <c r="C16223" t="s">
        <v>21831</v>
      </c>
      <c r="D16223" t="s">
        <v>50956</v>
      </c>
      <c r="E16223" t="b">
        <v>0</v>
      </c>
      <c r="F16223" t="s">
        <v>11624</v>
      </c>
      <c r="G16223">
        <v>5.0203699999999998</v>
      </c>
      <c r="H16223">
        <v>8.0869599999999995</v>
      </c>
      <c r="I16223" t="s">
        <v>50957</v>
      </c>
      <c r="L16223">
        <v>0</v>
      </c>
      <c r="M16223">
        <v>0</v>
      </c>
      <c r="N16223">
        <v>0</v>
      </c>
      <c r="O16223" t="s">
        <v>11693</v>
      </c>
    </row>
    <row r="16224" spans="1:15">
      <c r="A16224" t="s">
        <v>50958</v>
      </c>
      <c r="B16224" t="s">
        <v>12697</v>
      </c>
      <c r="C16224" t="s">
        <v>18821</v>
      </c>
      <c r="D16224" t="s">
        <v>50959</v>
      </c>
      <c r="E16224" t="b">
        <v>0</v>
      </c>
      <c r="F16224" t="s">
        <v>11624</v>
      </c>
      <c r="G16224">
        <v>5.29237</v>
      </c>
      <c r="H16224">
        <v>6.4411300000000002</v>
      </c>
      <c r="I16224" t="s">
        <v>50960</v>
      </c>
      <c r="L16224">
        <v>0</v>
      </c>
      <c r="M16224">
        <v>0</v>
      </c>
      <c r="N16224">
        <v>0</v>
      </c>
      <c r="O16224" t="s">
        <v>11693</v>
      </c>
    </row>
    <row r="16225" spans="1:15">
      <c r="A16225" t="s">
        <v>27234</v>
      </c>
      <c r="B16225" t="s">
        <v>6742</v>
      </c>
      <c r="C16225" t="s">
        <v>12815</v>
      </c>
      <c r="D16225" t="s">
        <v>50961</v>
      </c>
      <c r="E16225" t="b">
        <v>0</v>
      </c>
      <c r="F16225" t="s">
        <v>11624</v>
      </c>
      <c r="G16225">
        <v>7.5390800000000002</v>
      </c>
      <c r="H16225">
        <v>6.1572500000000003</v>
      </c>
      <c r="I16225" t="s">
        <v>50962</v>
      </c>
      <c r="L16225">
        <v>0</v>
      </c>
      <c r="M16225">
        <v>0</v>
      </c>
      <c r="N16225">
        <v>3</v>
      </c>
      <c r="O16225" t="s">
        <v>11693</v>
      </c>
    </row>
    <row r="16226" spans="1:15">
      <c r="A16226" t="s">
        <v>50963</v>
      </c>
      <c r="B16226" t="s">
        <v>12650</v>
      </c>
      <c r="C16226" t="s">
        <v>44338</v>
      </c>
      <c r="D16226" t="s">
        <v>50964</v>
      </c>
      <c r="E16226" t="b">
        <v>0</v>
      </c>
      <c r="F16226" t="s">
        <v>11624</v>
      </c>
      <c r="G16226">
        <v>13.0472</v>
      </c>
      <c r="H16226">
        <v>92.875299999999996</v>
      </c>
      <c r="I16226" t="s">
        <v>50965</v>
      </c>
      <c r="L16226">
        <v>0</v>
      </c>
      <c r="M16226">
        <v>0</v>
      </c>
      <c r="N16226">
        <v>0</v>
      </c>
      <c r="O16226" t="s">
        <v>11630</v>
      </c>
    </row>
    <row r="16227" spans="1:15">
      <c r="A16227" t="s">
        <v>50953</v>
      </c>
      <c r="B16227" t="s">
        <v>11615</v>
      </c>
      <c r="C16227" t="s">
        <v>15425</v>
      </c>
      <c r="D16227" t="s">
        <v>50966</v>
      </c>
      <c r="E16227" t="b">
        <v>0</v>
      </c>
      <c r="F16227" t="s">
        <v>11622</v>
      </c>
      <c r="L16227">
        <v>7</v>
      </c>
      <c r="M16227">
        <v>20</v>
      </c>
      <c r="N16227">
        <v>22</v>
      </c>
    </row>
    <row r="16228" spans="1:15">
      <c r="A16228" t="s">
        <v>50967</v>
      </c>
      <c r="B16228" t="s">
        <v>11729</v>
      </c>
      <c r="C16228" t="s">
        <v>50878</v>
      </c>
      <c r="D16228" t="s">
        <v>50968</v>
      </c>
      <c r="E16228" t="b">
        <v>0</v>
      </c>
      <c r="F16228" t="s">
        <v>11610</v>
      </c>
      <c r="L16228">
        <v>0</v>
      </c>
      <c r="M16228">
        <v>0</v>
      </c>
      <c r="N16228">
        <v>0</v>
      </c>
    </row>
    <row r="16229" spans="1:15">
      <c r="A16229" t="s">
        <v>50969</v>
      </c>
      <c r="B16229" t="s">
        <v>367</v>
      </c>
      <c r="C16229" t="s">
        <v>26512</v>
      </c>
      <c r="D16229" t="s">
        <v>50970</v>
      </c>
      <c r="E16229" t="b">
        <v>0</v>
      </c>
      <c r="F16229" t="s">
        <v>11624</v>
      </c>
      <c r="G16229">
        <v>4.5398899999999998</v>
      </c>
      <c r="H16229">
        <v>115.753</v>
      </c>
      <c r="I16229" t="s">
        <v>50971</v>
      </c>
      <c r="L16229">
        <v>0</v>
      </c>
      <c r="M16229">
        <v>0</v>
      </c>
      <c r="N16229">
        <v>0</v>
      </c>
      <c r="O16229" t="s">
        <v>16728</v>
      </c>
    </row>
    <row r="16230" spans="1:15">
      <c r="A16230" t="s">
        <v>12675</v>
      </c>
      <c r="B16230" t="s">
        <v>12650</v>
      </c>
      <c r="C16230" t="s">
        <v>44338</v>
      </c>
      <c r="D16230" t="s">
        <v>50972</v>
      </c>
      <c r="E16230" t="b">
        <v>0</v>
      </c>
      <c r="F16230" t="s">
        <v>11622</v>
      </c>
      <c r="L16230">
        <v>0</v>
      </c>
      <c r="M16230">
        <v>2</v>
      </c>
      <c r="N16230">
        <v>0</v>
      </c>
    </row>
    <row r="16231" spans="1:15">
      <c r="A16231" t="s">
        <v>50973</v>
      </c>
      <c r="B16231" t="s">
        <v>6742</v>
      </c>
      <c r="C16231" t="s">
        <v>12125</v>
      </c>
      <c r="D16231" t="s">
        <v>50974</v>
      </c>
      <c r="E16231" t="b">
        <v>0</v>
      </c>
      <c r="F16231" t="s">
        <v>11610</v>
      </c>
      <c r="L16231">
        <v>0</v>
      </c>
      <c r="M16231">
        <v>0</v>
      </c>
      <c r="N16231">
        <v>0</v>
      </c>
    </row>
    <row r="16232" spans="1:15">
      <c r="A16232" t="s">
        <v>50975</v>
      </c>
      <c r="B16232" t="s">
        <v>6742</v>
      </c>
      <c r="C16232" t="s">
        <v>16658</v>
      </c>
      <c r="D16232" t="s">
        <v>50976</v>
      </c>
      <c r="E16232" t="b">
        <v>0</v>
      </c>
      <c r="F16232" t="s">
        <v>11610</v>
      </c>
      <c r="L16232">
        <v>0</v>
      </c>
      <c r="M16232">
        <v>0</v>
      </c>
      <c r="N16232">
        <v>0</v>
      </c>
    </row>
    <row r="16233" spans="1:15">
      <c r="A16233" t="s">
        <v>50977</v>
      </c>
      <c r="B16233" t="s">
        <v>6742</v>
      </c>
      <c r="C16233" t="s">
        <v>38294</v>
      </c>
      <c r="D16233" t="s">
        <v>50978</v>
      </c>
      <c r="E16233" t="b">
        <v>0</v>
      </c>
      <c r="F16233" t="s">
        <v>11610</v>
      </c>
      <c r="L16233">
        <v>0</v>
      </c>
      <c r="M16233">
        <v>0</v>
      </c>
      <c r="N16233">
        <v>0</v>
      </c>
    </row>
    <row r="16234" spans="1:15">
      <c r="A16234" t="s">
        <v>50979</v>
      </c>
      <c r="B16234" t="s">
        <v>6742</v>
      </c>
      <c r="C16234" t="s">
        <v>27234</v>
      </c>
      <c r="D16234" t="s">
        <v>2741</v>
      </c>
      <c r="E16234" t="b">
        <v>0</v>
      </c>
      <c r="F16234" t="s">
        <v>11610</v>
      </c>
      <c r="L16234">
        <v>0</v>
      </c>
      <c r="M16234">
        <v>0</v>
      </c>
      <c r="N16234">
        <v>0</v>
      </c>
    </row>
    <row r="16235" spans="1:15">
      <c r="A16235" t="s">
        <v>50980</v>
      </c>
      <c r="B16235" t="s">
        <v>12218</v>
      </c>
      <c r="C16235" t="s">
        <v>12219</v>
      </c>
      <c r="D16235" t="s">
        <v>50981</v>
      </c>
      <c r="E16235" t="b">
        <v>0</v>
      </c>
      <c r="F16235" t="s">
        <v>11610</v>
      </c>
      <c r="L16235">
        <v>0</v>
      </c>
      <c r="M16235">
        <v>0</v>
      </c>
      <c r="N16235">
        <v>0</v>
      </c>
    </row>
    <row r="16236" spans="1:15">
      <c r="A16236" t="s">
        <v>50982</v>
      </c>
      <c r="B16236" t="s">
        <v>6742</v>
      </c>
      <c r="C16236" t="s">
        <v>12225</v>
      </c>
      <c r="D16236" t="s">
        <v>50983</v>
      </c>
      <c r="E16236" t="b">
        <v>0</v>
      </c>
      <c r="F16236" t="s">
        <v>11610</v>
      </c>
      <c r="L16236">
        <v>0</v>
      </c>
      <c r="M16236">
        <v>0</v>
      </c>
      <c r="N16236">
        <v>0</v>
      </c>
    </row>
    <row r="16237" spans="1:15">
      <c r="A16237" t="s">
        <v>50984</v>
      </c>
      <c r="B16237" t="s">
        <v>6742</v>
      </c>
      <c r="C16237" t="s">
        <v>12225</v>
      </c>
      <c r="D16237" t="s">
        <v>50985</v>
      </c>
      <c r="E16237" t="b">
        <v>0</v>
      </c>
      <c r="F16237" t="s">
        <v>11610</v>
      </c>
      <c r="L16237">
        <v>0</v>
      </c>
      <c r="M16237">
        <v>0</v>
      </c>
      <c r="N16237">
        <v>0</v>
      </c>
    </row>
    <row r="16238" spans="1:15">
      <c r="A16238" t="s">
        <v>50986</v>
      </c>
      <c r="B16238" t="s">
        <v>6742</v>
      </c>
      <c r="C16238" t="s">
        <v>14942</v>
      </c>
      <c r="D16238" t="s">
        <v>50987</v>
      </c>
      <c r="E16238" t="b">
        <v>0</v>
      </c>
      <c r="F16238" t="s">
        <v>11610</v>
      </c>
      <c r="L16238">
        <v>0</v>
      </c>
      <c r="M16238">
        <v>0</v>
      </c>
      <c r="N16238">
        <v>0</v>
      </c>
    </row>
    <row r="16239" spans="1:15">
      <c r="A16239" t="s">
        <v>50988</v>
      </c>
      <c r="B16239" t="s">
        <v>6742</v>
      </c>
      <c r="C16239" t="s">
        <v>16152</v>
      </c>
      <c r="D16239" t="s">
        <v>50989</v>
      </c>
      <c r="E16239" t="b">
        <v>0</v>
      </c>
      <c r="F16239" t="s">
        <v>11610</v>
      </c>
      <c r="L16239">
        <v>0</v>
      </c>
      <c r="M16239">
        <v>0</v>
      </c>
      <c r="N16239">
        <v>0</v>
      </c>
    </row>
    <row r="16240" spans="1:15">
      <c r="A16240" t="s">
        <v>27133</v>
      </c>
      <c r="B16240" t="s">
        <v>6742</v>
      </c>
      <c r="C16240" t="s">
        <v>50990</v>
      </c>
      <c r="D16240" t="s">
        <v>50991</v>
      </c>
      <c r="E16240" t="b">
        <v>0</v>
      </c>
      <c r="F16240" t="s">
        <v>11624</v>
      </c>
      <c r="G16240">
        <v>7.3370800000000003</v>
      </c>
      <c r="H16240">
        <v>5.9784300000000004</v>
      </c>
      <c r="I16240" t="s">
        <v>50992</v>
      </c>
      <c r="L16240">
        <v>0</v>
      </c>
      <c r="M16240">
        <v>0</v>
      </c>
      <c r="N16240">
        <v>25</v>
      </c>
      <c r="O16240" t="s">
        <v>11693</v>
      </c>
    </row>
    <row r="16241" spans="1:15">
      <c r="A16241" t="s">
        <v>50993</v>
      </c>
      <c r="B16241" t="s">
        <v>6742</v>
      </c>
      <c r="C16241" t="s">
        <v>11830</v>
      </c>
      <c r="D16241" t="s">
        <v>50994</v>
      </c>
      <c r="E16241" t="b">
        <v>0</v>
      </c>
      <c r="F16241" t="s">
        <v>11610</v>
      </c>
      <c r="L16241">
        <v>0</v>
      </c>
      <c r="M16241">
        <v>0</v>
      </c>
      <c r="N16241">
        <v>0</v>
      </c>
    </row>
    <row r="16242" spans="1:15">
      <c r="A16242" t="s">
        <v>50995</v>
      </c>
      <c r="B16242" t="s">
        <v>6742</v>
      </c>
      <c r="C16242" t="s">
        <v>14491</v>
      </c>
      <c r="D16242" t="s">
        <v>50996</v>
      </c>
      <c r="E16242" t="b">
        <v>0</v>
      </c>
      <c r="F16242" t="s">
        <v>11610</v>
      </c>
      <c r="L16242">
        <v>0</v>
      </c>
      <c r="M16242">
        <v>0</v>
      </c>
      <c r="N16242">
        <v>0</v>
      </c>
    </row>
    <row r="16243" spans="1:15">
      <c r="A16243" t="s">
        <v>50997</v>
      </c>
      <c r="B16243" t="s">
        <v>6742</v>
      </c>
      <c r="C16243" t="s">
        <v>12836</v>
      </c>
      <c r="D16243" t="s">
        <v>50998</v>
      </c>
      <c r="E16243" t="b">
        <v>0</v>
      </c>
      <c r="F16243" t="s">
        <v>11624</v>
      </c>
      <c r="G16243">
        <v>7.2951499999999996</v>
      </c>
      <c r="H16243">
        <v>6.2471899999999998</v>
      </c>
      <c r="I16243" t="s">
        <v>50999</v>
      </c>
      <c r="L16243">
        <v>0</v>
      </c>
      <c r="M16243">
        <v>0</v>
      </c>
      <c r="N16243">
        <v>0</v>
      </c>
      <c r="O16243" t="s">
        <v>11693</v>
      </c>
    </row>
    <row r="16244" spans="1:15">
      <c r="A16244" t="s">
        <v>51000</v>
      </c>
      <c r="B16244" t="s">
        <v>6742</v>
      </c>
      <c r="C16244" t="s">
        <v>27371</v>
      </c>
      <c r="D16244" t="s">
        <v>51001</v>
      </c>
      <c r="E16244" t="b">
        <v>0</v>
      </c>
      <c r="F16244" t="s">
        <v>11624</v>
      </c>
      <c r="G16244">
        <v>7.2240700000000002</v>
      </c>
      <c r="H16244">
        <v>5.9488500000000002</v>
      </c>
      <c r="I16244" t="s">
        <v>51002</v>
      </c>
      <c r="L16244">
        <v>0</v>
      </c>
      <c r="M16244">
        <v>0</v>
      </c>
      <c r="N16244">
        <v>0</v>
      </c>
      <c r="O16244" t="s">
        <v>11693</v>
      </c>
    </row>
    <row r="16245" spans="1:15">
      <c r="A16245" t="s">
        <v>12836</v>
      </c>
      <c r="B16245" t="s">
        <v>6742</v>
      </c>
      <c r="C16245" t="s">
        <v>50990</v>
      </c>
      <c r="D16245" t="s">
        <v>51003</v>
      </c>
      <c r="E16245" t="b">
        <v>0</v>
      </c>
      <c r="F16245" t="s">
        <v>11622</v>
      </c>
      <c r="L16245">
        <v>0</v>
      </c>
      <c r="M16245">
        <v>2</v>
      </c>
      <c r="N16245">
        <v>0</v>
      </c>
    </row>
    <row r="16246" spans="1:15">
      <c r="A16246" t="s">
        <v>51004</v>
      </c>
      <c r="B16246" t="s">
        <v>6742</v>
      </c>
      <c r="C16246" t="s">
        <v>31976</v>
      </c>
      <c r="D16246" t="s">
        <v>51005</v>
      </c>
      <c r="E16246" t="b">
        <v>0</v>
      </c>
      <c r="F16246" t="s">
        <v>11610</v>
      </c>
      <c r="L16246">
        <v>0</v>
      </c>
      <c r="M16246">
        <v>0</v>
      </c>
      <c r="N16246">
        <v>0</v>
      </c>
    </row>
    <row r="16247" spans="1:15">
      <c r="A16247" t="s">
        <v>51006</v>
      </c>
      <c r="B16247" t="s">
        <v>6742</v>
      </c>
      <c r="C16247" t="s">
        <v>51007</v>
      </c>
      <c r="D16247" t="s">
        <v>51008</v>
      </c>
      <c r="E16247" t="b">
        <v>0</v>
      </c>
      <c r="F16247" t="s">
        <v>11610</v>
      </c>
      <c r="L16247">
        <v>0</v>
      </c>
      <c r="M16247">
        <v>0</v>
      </c>
      <c r="N16247">
        <v>0</v>
      </c>
    </row>
    <row r="16248" spans="1:15">
      <c r="A16248" t="s">
        <v>51009</v>
      </c>
      <c r="B16248" t="s">
        <v>367</v>
      </c>
      <c r="C16248" t="s">
        <v>46330</v>
      </c>
      <c r="D16248" t="s">
        <v>51010</v>
      </c>
      <c r="E16248" t="b">
        <v>0</v>
      </c>
      <c r="F16248" t="s">
        <v>11610</v>
      </c>
      <c r="L16248">
        <v>0</v>
      </c>
      <c r="M16248">
        <v>0</v>
      </c>
      <c r="N16248">
        <v>0</v>
      </c>
    </row>
    <row r="16249" spans="1:15">
      <c r="A16249" t="s">
        <v>51011</v>
      </c>
      <c r="B16249" t="s">
        <v>11615</v>
      </c>
      <c r="C16249" t="s">
        <v>50953</v>
      </c>
      <c r="D16249" t="s">
        <v>51012</v>
      </c>
      <c r="E16249" t="b">
        <v>0</v>
      </c>
      <c r="F16249" t="s">
        <v>11624</v>
      </c>
      <c r="G16249">
        <v>-5.2079700000000004</v>
      </c>
      <c r="H16249">
        <v>142.17699999999999</v>
      </c>
      <c r="I16249" t="s">
        <v>51013</v>
      </c>
      <c r="L16249">
        <v>0</v>
      </c>
      <c r="M16249">
        <v>0</v>
      </c>
      <c r="N16249">
        <v>0</v>
      </c>
      <c r="O16249" t="s">
        <v>11660</v>
      </c>
    </row>
    <row r="16250" spans="1:15">
      <c r="A16250" t="s">
        <v>51014</v>
      </c>
      <c r="B16250" t="s">
        <v>12311</v>
      </c>
      <c r="C16250" t="s">
        <v>47686</v>
      </c>
      <c r="D16250" t="s">
        <v>51015</v>
      </c>
      <c r="E16250" t="b">
        <v>0</v>
      </c>
      <c r="F16250" t="s">
        <v>11610</v>
      </c>
      <c r="L16250">
        <v>0</v>
      </c>
      <c r="M16250">
        <v>0</v>
      </c>
      <c r="N16250">
        <v>0</v>
      </c>
    </row>
    <row r="16251" spans="1:15">
      <c r="A16251" t="s">
        <v>23810</v>
      </c>
      <c r="B16251" t="s">
        <v>6742</v>
      </c>
      <c r="C16251" t="s">
        <v>27133</v>
      </c>
      <c r="D16251" t="s">
        <v>51016</v>
      </c>
      <c r="E16251" t="b">
        <v>0</v>
      </c>
      <c r="F16251" t="s">
        <v>11610</v>
      </c>
      <c r="L16251">
        <v>0</v>
      </c>
      <c r="M16251">
        <v>0</v>
      </c>
      <c r="N16251">
        <v>5</v>
      </c>
    </row>
    <row r="16252" spans="1:15">
      <c r="A16252" t="s">
        <v>51017</v>
      </c>
      <c r="B16252" t="s">
        <v>6742</v>
      </c>
      <c r="C16252" t="s">
        <v>32159</v>
      </c>
      <c r="D16252" t="s">
        <v>51018</v>
      </c>
      <c r="E16252" t="b">
        <v>0</v>
      </c>
      <c r="F16252" t="s">
        <v>11610</v>
      </c>
      <c r="L16252">
        <v>0</v>
      </c>
      <c r="M16252">
        <v>0</v>
      </c>
      <c r="N16252">
        <v>0</v>
      </c>
    </row>
    <row r="16253" spans="1:15">
      <c r="A16253" t="s">
        <v>51019</v>
      </c>
      <c r="B16253" t="s">
        <v>4342</v>
      </c>
      <c r="C16253" t="s">
        <v>22979</v>
      </c>
      <c r="D16253" t="s">
        <v>51020</v>
      </c>
      <c r="E16253" t="b">
        <v>0</v>
      </c>
      <c r="F16253" t="s">
        <v>11610</v>
      </c>
      <c r="L16253">
        <v>0</v>
      </c>
      <c r="M16253">
        <v>0</v>
      </c>
      <c r="N16253">
        <v>0</v>
      </c>
    </row>
    <row r="16254" spans="1:15">
      <c r="A16254" t="s">
        <v>51021</v>
      </c>
      <c r="B16254" t="s">
        <v>6742</v>
      </c>
      <c r="C16254" t="s">
        <v>11804</v>
      </c>
      <c r="D16254" t="s">
        <v>51022</v>
      </c>
      <c r="E16254" t="b">
        <v>0</v>
      </c>
      <c r="F16254" t="s">
        <v>11610</v>
      </c>
      <c r="L16254">
        <v>0</v>
      </c>
      <c r="M16254">
        <v>0</v>
      </c>
      <c r="N16254">
        <v>0</v>
      </c>
    </row>
    <row r="16255" spans="1:15">
      <c r="A16255" t="s">
        <v>51023</v>
      </c>
      <c r="B16255" t="s">
        <v>6742</v>
      </c>
      <c r="C16255" t="s">
        <v>15603</v>
      </c>
      <c r="D16255" t="s">
        <v>51024</v>
      </c>
      <c r="E16255" t="b">
        <v>0</v>
      </c>
      <c r="F16255" t="s">
        <v>11624</v>
      </c>
      <c r="G16255">
        <v>6.23712</v>
      </c>
      <c r="H16255">
        <v>10.509600000000001</v>
      </c>
      <c r="I16255" t="s">
        <v>51025</v>
      </c>
      <c r="L16255">
        <v>0</v>
      </c>
      <c r="M16255">
        <v>0</v>
      </c>
      <c r="N16255">
        <v>0</v>
      </c>
      <c r="O16255" t="s">
        <v>11703</v>
      </c>
    </row>
    <row r="16256" spans="1:15">
      <c r="A16256" t="s">
        <v>51026</v>
      </c>
      <c r="B16256" t="s">
        <v>4342</v>
      </c>
      <c r="C16256" t="s">
        <v>16774</v>
      </c>
      <c r="D16256" t="s">
        <v>51027</v>
      </c>
      <c r="E16256" t="b">
        <v>0</v>
      </c>
      <c r="F16256" t="s">
        <v>11610</v>
      </c>
      <c r="L16256">
        <v>0</v>
      </c>
      <c r="M16256">
        <v>0</v>
      </c>
      <c r="N16256">
        <v>0</v>
      </c>
    </row>
    <row r="16257" spans="1:15">
      <c r="A16257" t="s">
        <v>51028</v>
      </c>
      <c r="B16257" t="s">
        <v>13360</v>
      </c>
      <c r="C16257" t="s">
        <v>13360</v>
      </c>
      <c r="D16257" t="s">
        <v>51029</v>
      </c>
      <c r="E16257" t="b">
        <v>0</v>
      </c>
      <c r="F16257" t="s">
        <v>11624</v>
      </c>
      <c r="L16257">
        <v>0</v>
      </c>
      <c r="M16257">
        <v>0</v>
      </c>
      <c r="N16257">
        <v>0</v>
      </c>
      <c r="O16257" t="s">
        <v>11944</v>
      </c>
    </row>
    <row r="16258" spans="1:15">
      <c r="A16258" t="s">
        <v>51030</v>
      </c>
      <c r="B16258" t="s">
        <v>13360</v>
      </c>
      <c r="C16258" t="s">
        <v>13360</v>
      </c>
      <c r="D16258" t="s">
        <v>51031</v>
      </c>
      <c r="E16258" t="b">
        <v>0</v>
      </c>
      <c r="F16258" t="s">
        <v>11624</v>
      </c>
      <c r="L16258">
        <v>0</v>
      </c>
      <c r="M16258">
        <v>0</v>
      </c>
      <c r="N16258">
        <v>0</v>
      </c>
      <c r="O16258" t="s">
        <v>11985</v>
      </c>
    </row>
    <row r="16259" spans="1:15">
      <c r="A16259" t="s">
        <v>51032</v>
      </c>
      <c r="B16259" t="s">
        <v>12686</v>
      </c>
      <c r="C16259" t="s">
        <v>18105</v>
      </c>
      <c r="D16259" t="s">
        <v>51033</v>
      </c>
      <c r="E16259" t="b">
        <v>0</v>
      </c>
      <c r="F16259" t="s">
        <v>11610</v>
      </c>
      <c r="L16259">
        <v>0</v>
      </c>
      <c r="M16259">
        <v>0</v>
      </c>
      <c r="N16259">
        <v>0</v>
      </c>
    </row>
    <row r="16260" spans="1:15">
      <c r="A16260" t="s">
        <v>51034</v>
      </c>
      <c r="B16260" t="s">
        <v>367</v>
      </c>
      <c r="C16260" t="s">
        <v>41616</v>
      </c>
      <c r="D16260" t="s">
        <v>51035</v>
      </c>
      <c r="E16260" t="b">
        <v>0</v>
      </c>
      <c r="F16260" t="s">
        <v>11610</v>
      </c>
      <c r="L16260">
        <v>0</v>
      </c>
      <c r="M16260">
        <v>0</v>
      </c>
      <c r="N16260">
        <v>0</v>
      </c>
    </row>
    <row r="16261" spans="1:15">
      <c r="A16261" t="s">
        <v>51036</v>
      </c>
      <c r="B16261" t="s">
        <v>15569</v>
      </c>
      <c r="C16261" t="s">
        <v>19332</v>
      </c>
      <c r="D16261" t="s">
        <v>51037</v>
      </c>
      <c r="E16261" t="b">
        <v>0</v>
      </c>
      <c r="F16261" t="s">
        <v>11610</v>
      </c>
      <c r="L16261">
        <v>0</v>
      </c>
      <c r="M16261">
        <v>0</v>
      </c>
      <c r="N16261">
        <v>0</v>
      </c>
    </row>
    <row r="16262" spans="1:15">
      <c r="A16262" t="s">
        <v>51038</v>
      </c>
      <c r="B16262" t="s">
        <v>11607</v>
      </c>
      <c r="C16262" t="s">
        <v>14306</v>
      </c>
      <c r="D16262" t="s">
        <v>51039</v>
      </c>
      <c r="E16262" t="b">
        <v>0</v>
      </c>
      <c r="F16262" t="s">
        <v>11624</v>
      </c>
      <c r="I16262" t="s">
        <v>51040</v>
      </c>
      <c r="L16262">
        <v>0</v>
      </c>
      <c r="M16262">
        <v>0</v>
      </c>
      <c r="N16262">
        <v>0</v>
      </c>
      <c r="O16262" t="s">
        <v>13514</v>
      </c>
    </row>
    <row r="16263" spans="1:15">
      <c r="A16263" t="s">
        <v>37193</v>
      </c>
      <c r="B16263" t="s">
        <v>6742</v>
      </c>
      <c r="C16263" t="s">
        <v>11650</v>
      </c>
      <c r="D16263" t="s">
        <v>51041</v>
      </c>
      <c r="E16263" t="b">
        <v>0</v>
      </c>
      <c r="F16263" t="s">
        <v>11622</v>
      </c>
      <c r="L16263">
        <v>11</v>
      </c>
      <c r="M16263">
        <v>20</v>
      </c>
      <c r="N16263">
        <v>25</v>
      </c>
    </row>
    <row r="16264" spans="1:15">
      <c r="A16264" t="s">
        <v>51042</v>
      </c>
      <c r="B16264" t="s">
        <v>11644</v>
      </c>
      <c r="C16264" t="s">
        <v>49441</v>
      </c>
      <c r="D16264" t="s">
        <v>51043</v>
      </c>
      <c r="E16264" t="b">
        <v>0</v>
      </c>
      <c r="F16264" t="s">
        <v>11624</v>
      </c>
      <c r="I16264" t="s">
        <v>51044</v>
      </c>
      <c r="L16264">
        <v>0</v>
      </c>
      <c r="M16264">
        <v>0</v>
      </c>
      <c r="N16264">
        <v>0</v>
      </c>
      <c r="O16264" t="s">
        <v>14059</v>
      </c>
    </row>
    <row r="16265" spans="1:15">
      <c r="A16265" t="s">
        <v>51045</v>
      </c>
      <c r="B16265" t="s">
        <v>11981</v>
      </c>
      <c r="C16265" t="s">
        <v>22473</v>
      </c>
      <c r="D16265" t="s">
        <v>51046</v>
      </c>
      <c r="E16265" t="b">
        <v>0</v>
      </c>
      <c r="F16265" t="s">
        <v>11624</v>
      </c>
      <c r="L16265">
        <v>0</v>
      </c>
      <c r="M16265">
        <v>0</v>
      </c>
      <c r="N16265">
        <v>0</v>
      </c>
      <c r="O16265" t="s">
        <v>16739</v>
      </c>
    </row>
    <row r="16266" spans="1:15">
      <c r="A16266" t="s">
        <v>51047</v>
      </c>
      <c r="B16266" t="s">
        <v>11637</v>
      </c>
      <c r="C16266" t="s">
        <v>19866</v>
      </c>
      <c r="D16266" t="s">
        <v>51048</v>
      </c>
      <c r="E16266" t="b">
        <v>0</v>
      </c>
      <c r="F16266" t="s">
        <v>11610</v>
      </c>
      <c r="L16266">
        <v>0</v>
      </c>
      <c r="M16266">
        <v>0</v>
      </c>
      <c r="N16266">
        <v>0</v>
      </c>
    </row>
    <row r="16267" spans="1:15">
      <c r="A16267" t="s">
        <v>39501</v>
      </c>
      <c r="B16267" t="s">
        <v>11644</v>
      </c>
      <c r="C16267" t="s">
        <v>23123</v>
      </c>
      <c r="D16267" t="s">
        <v>51049</v>
      </c>
      <c r="E16267" t="b">
        <v>0</v>
      </c>
      <c r="F16267" t="s">
        <v>11624</v>
      </c>
      <c r="G16267">
        <v>36.119999999999997</v>
      </c>
      <c r="H16267">
        <v>114.32</v>
      </c>
      <c r="I16267" t="s">
        <v>51050</v>
      </c>
      <c r="L16267">
        <v>0</v>
      </c>
      <c r="M16267">
        <v>0</v>
      </c>
      <c r="N16267">
        <v>2</v>
      </c>
      <c r="O16267" t="s">
        <v>11905</v>
      </c>
    </row>
    <row r="16268" spans="1:15">
      <c r="A16268" t="s">
        <v>51051</v>
      </c>
      <c r="B16268" t="s">
        <v>11607</v>
      </c>
      <c r="C16268" t="s">
        <v>19120</v>
      </c>
      <c r="D16268" t="s">
        <v>51052</v>
      </c>
      <c r="E16268" t="b">
        <v>0</v>
      </c>
      <c r="F16268" t="s">
        <v>11610</v>
      </c>
      <c r="L16268">
        <v>0</v>
      </c>
      <c r="M16268">
        <v>0</v>
      </c>
      <c r="N16268">
        <v>0</v>
      </c>
    </row>
    <row r="16269" spans="1:15">
      <c r="A16269" t="s">
        <v>51053</v>
      </c>
      <c r="B16269" t="s">
        <v>11981</v>
      </c>
      <c r="C16269" t="s">
        <v>51054</v>
      </c>
      <c r="D16269" t="s">
        <v>51055</v>
      </c>
      <c r="E16269" t="b">
        <v>0</v>
      </c>
      <c r="F16269" t="s">
        <v>11624</v>
      </c>
      <c r="G16269">
        <v>19.333333</v>
      </c>
      <c r="H16269">
        <v>-81.216667000000001</v>
      </c>
      <c r="L16269">
        <v>0</v>
      </c>
      <c r="M16269">
        <v>0</v>
      </c>
      <c r="N16269">
        <v>0</v>
      </c>
      <c r="O16269" t="s">
        <v>51056</v>
      </c>
    </row>
    <row r="16270" spans="1:15">
      <c r="A16270" t="s">
        <v>30568</v>
      </c>
      <c r="B16270" t="s">
        <v>11981</v>
      </c>
      <c r="C16270" t="s">
        <v>12200</v>
      </c>
      <c r="D16270" t="s">
        <v>51057</v>
      </c>
      <c r="E16270" t="b">
        <v>0</v>
      </c>
      <c r="F16270" t="s">
        <v>11622</v>
      </c>
      <c r="L16270">
        <v>1</v>
      </c>
      <c r="M16270">
        <v>3</v>
      </c>
      <c r="N16270">
        <v>0</v>
      </c>
    </row>
    <row r="16271" spans="1:15">
      <c r="A16271" t="s">
        <v>22473</v>
      </c>
      <c r="B16271" t="s">
        <v>11981</v>
      </c>
      <c r="C16271" t="s">
        <v>30568</v>
      </c>
      <c r="D16271" t="s">
        <v>51058</v>
      </c>
      <c r="E16271" t="b">
        <v>0</v>
      </c>
      <c r="F16271" t="s">
        <v>11622</v>
      </c>
      <c r="L16271">
        <v>0</v>
      </c>
      <c r="M16271">
        <v>2</v>
      </c>
      <c r="N16271">
        <v>0</v>
      </c>
    </row>
    <row r="16272" spans="1:15">
      <c r="A16272" t="s">
        <v>51059</v>
      </c>
      <c r="B16272" t="s">
        <v>11637</v>
      </c>
      <c r="C16272" t="s">
        <v>21225</v>
      </c>
      <c r="D16272" t="s">
        <v>51060</v>
      </c>
      <c r="E16272" t="b">
        <v>0</v>
      </c>
      <c r="F16272" t="s">
        <v>11610</v>
      </c>
      <c r="L16272">
        <v>0</v>
      </c>
      <c r="M16272">
        <v>0</v>
      </c>
      <c r="N16272">
        <v>0</v>
      </c>
    </row>
    <row r="16273" spans="1:15">
      <c r="A16273" t="s">
        <v>51061</v>
      </c>
      <c r="B16273" t="s">
        <v>11637</v>
      </c>
      <c r="C16273" t="s">
        <v>23439</v>
      </c>
      <c r="D16273" t="s">
        <v>51062</v>
      </c>
      <c r="E16273" t="b">
        <v>0</v>
      </c>
      <c r="F16273" t="s">
        <v>11610</v>
      </c>
      <c r="I16273" t="s">
        <v>51063</v>
      </c>
      <c r="L16273">
        <v>0</v>
      </c>
      <c r="M16273">
        <v>0</v>
      </c>
      <c r="N16273">
        <v>0</v>
      </c>
    </row>
    <row r="16274" spans="1:15">
      <c r="A16274" t="s">
        <v>51064</v>
      </c>
      <c r="B16274" t="s">
        <v>11637</v>
      </c>
      <c r="C16274" t="s">
        <v>10626</v>
      </c>
      <c r="D16274" t="s">
        <v>51065</v>
      </c>
      <c r="E16274" t="b">
        <v>0</v>
      </c>
      <c r="F16274" t="s">
        <v>11610</v>
      </c>
      <c r="L16274">
        <v>0</v>
      </c>
      <c r="M16274">
        <v>0</v>
      </c>
      <c r="N16274">
        <v>0</v>
      </c>
    </row>
    <row r="16275" spans="1:15">
      <c r="A16275" t="s">
        <v>28069</v>
      </c>
      <c r="B16275" t="s">
        <v>11637</v>
      </c>
      <c r="C16275" t="s">
        <v>41485</v>
      </c>
      <c r="D16275" t="s">
        <v>51066</v>
      </c>
      <c r="E16275" t="b">
        <v>0</v>
      </c>
      <c r="F16275" t="s">
        <v>11624</v>
      </c>
      <c r="G16275">
        <v>52.16</v>
      </c>
      <c r="H16275">
        <v>5.2</v>
      </c>
      <c r="I16275" t="s">
        <v>51067</v>
      </c>
      <c r="L16275">
        <v>0</v>
      </c>
      <c r="M16275">
        <v>0</v>
      </c>
      <c r="N16275">
        <v>2</v>
      </c>
      <c r="O16275" t="s">
        <v>25638</v>
      </c>
    </row>
    <row r="16276" spans="1:15">
      <c r="A16276" t="s">
        <v>51068</v>
      </c>
      <c r="B16276" t="s">
        <v>11637</v>
      </c>
      <c r="C16276" t="s">
        <v>28069</v>
      </c>
      <c r="D16276" t="s">
        <v>51069</v>
      </c>
      <c r="E16276" t="b">
        <v>0</v>
      </c>
      <c r="F16276" t="s">
        <v>11610</v>
      </c>
      <c r="L16276">
        <v>0</v>
      </c>
      <c r="M16276">
        <v>0</v>
      </c>
      <c r="N16276">
        <v>0</v>
      </c>
    </row>
    <row r="16277" spans="1:15">
      <c r="A16277" t="s">
        <v>51070</v>
      </c>
      <c r="B16277" t="s">
        <v>11637</v>
      </c>
      <c r="C16277" t="s">
        <v>11474</v>
      </c>
      <c r="D16277" t="s">
        <v>51071</v>
      </c>
      <c r="E16277" t="b">
        <v>0</v>
      </c>
      <c r="F16277" t="s">
        <v>11610</v>
      </c>
      <c r="L16277">
        <v>0</v>
      </c>
      <c r="M16277">
        <v>0</v>
      </c>
      <c r="N16277">
        <v>0</v>
      </c>
    </row>
    <row r="16278" spans="1:15">
      <c r="A16278" t="s">
        <v>13872</v>
      </c>
      <c r="B16278" t="s">
        <v>11637</v>
      </c>
      <c r="C16278" t="s">
        <v>13866</v>
      </c>
      <c r="D16278" t="s">
        <v>51072</v>
      </c>
      <c r="E16278" t="b">
        <v>0</v>
      </c>
      <c r="F16278" t="s">
        <v>11624</v>
      </c>
      <c r="G16278">
        <v>51.06</v>
      </c>
      <c r="H16278">
        <v>-1.31</v>
      </c>
      <c r="I16278" t="s">
        <v>51073</v>
      </c>
      <c r="L16278">
        <v>0</v>
      </c>
      <c r="M16278">
        <v>0</v>
      </c>
      <c r="N16278">
        <v>5</v>
      </c>
      <c r="O16278" t="s">
        <v>19884</v>
      </c>
    </row>
    <row r="16279" spans="1:15">
      <c r="A16279" t="s">
        <v>51074</v>
      </c>
      <c r="B16279" t="s">
        <v>11637</v>
      </c>
      <c r="C16279" t="s">
        <v>48988</v>
      </c>
      <c r="D16279" t="s">
        <v>51075</v>
      </c>
      <c r="E16279" t="b">
        <v>0</v>
      </c>
      <c r="F16279" t="s">
        <v>11624</v>
      </c>
      <c r="L16279">
        <v>0</v>
      </c>
      <c r="M16279">
        <v>0</v>
      </c>
      <c r="N16279">
        <v>0</v>
      </c>
      <c r="O16279" t="s">
        <v>11630</v>
      </c>
    </row>
    <row r="16280" spans="1:15">
      <c r="A16280" t="s">
        <v>51076</v>
      </c>
      <c r="B16280" t="s">
        <v>11637</v>
      </c>
      <c r="C16280" t="s">
        <v>51077</v>
      </c>
      <c r="D16280" t="s">
        <v>51078</v>
      </c>
      <c r="E16280" t="b">
        <v>0</v>
      </c>
      <c r="F16280" t="s">
        <v>11610</v>
      </c>
      <c r="L16280">
        <v>0</v>
      </c>
      <c r="M16280">
        <v>0</v>
      </c>
      <c r="N16280">
        <v>0</v>
      </c>
    </row>
    <row r="16281" spans="1:15">
      <c r="A16281" t="s">
        <v>51079</v>
      </c>
      <c r="B16281" t="s">
        <v>11637</v>
      </c>
      <c r="C16281" t="s">
        <v>24930</v>
      </c>
      <c r="D16281" t="s">
        <v>51080</v>
      </c>
      <c r="E16281" t="b">
        <v>0</v>
      </c>
      <c r="F16281" t="s">
        <v>11610</v>
      </c>
      <c r="L16281">
        <v>0</v>
      </c>
      <c r="M16281">
        <v>0</v>
      </c>
      <c r="N16281">
        <v>0</v>
      </c>
    </row>
    <row r="16282" spans="1:15">
      <c r="A16282" t="s">
        <v>51081</v>
      </c>
      <c r="B16282" t="s">
        <v>11637</v>
      </c>
      <c r="C16282" t="s">
        <v>21889</v>
      </c>
      <c r="D16282" t="s">
        <v>51082</v>
      </c>
      <c r="E16282" t="b">
        <v>0</v>
      </c>
      <c r="F16282" t="s">
        <v>11624</v>
      </c>
      <c r="I16282" t="s">
        <v>51083</v>
      </c>
      <c r="L16282">
        <v>0</v>
      </c>
      <c r="M16282">
        <v>0</v>
      </c>
      <c r="N16282">
        <v>0</v>
      </c>
      <c r="O16282" t="s">
        <v>19870</v>
      </c>
    </row>
    <row r="16283" spans="1:15">
      <c r="A16283" t="s">
        <v>51084</v>
      </c>
      <c r="B16283" t="s">
        <v>11637</v>
      </c>
      <c r="C16283" t="s">
        <v>28099</v>
      </c>
      <c r="D16283" t="s">
        <v>51085</v>
      </c>
      <c r="E16283" t="b">
        <v>0</v>
      </c>
      <c r="F16283" t="s">
        <v>11624</v>
      </c>
      <c r="G16283">
        <v>53.35</v>
      </c>
      <c r="H16283">
        <v>6.8</v>
      </c>
      <c r="I16283" t="s">
        <v>51086</v>
      </c>
      <c r="L16283">
        <v>0</v>
      </c>
      <c r="M16283">
        <v>0</v>
      </c>
      <c r="N16283">
        <v>0</v>
      </c>
      <c r="O16283" t="s">
        <v>25638</v>
      </c>
    </row>
    <row r="16284" spans="1:15">
      <c r="A16284" t="s">
        <v>51087</v>
      </c>
      <c r="B16284" t="s">
        <v>12148</v>
      </c>
      <c r="C16284" t="s">
        <v>29053</v>
      </c>
      <c r="D16284" t="s">
        <v>51088</v>
      </c>
      <c r="E16284" t="b">
        <v>0</v>
      </c>
      <c r="F16284" t="s">
        <v>11624</v>
      </c>
      <c r="I16284" t="s">
        <v>51089</v>
      </c>
      <c r="L16284">
        <v>0</v>
      </c>
      <c r="M16284">
        <v>0</v>
      </c>
      <c r="N16284">
        <v>0</v>
      </c>
      <c r="O16284" t="s">
        <v>17456</v>
      </c>
    </row>
    <row r="16285" spans="1:15">
      <c r="A16285" t="s">
        <v>51090</v>
      </c>
      <c r="B16285" t="s">
        <v>11637</v>
      </c>
      <c r="C16285" t="s">
        <v>31112</v>
      </c>
      <c r="D16285" t="s">
        <v>51091</v>
      </c>
      <c r="E16285" t="b">
        <v>0</v>
      </c>
      <c r="F16285" t="s">
        <v>11624</v>
      </c>
      <c r="G16285">
        <v>52</v>
      </c>
      <c r="H16285">
        <v>10</v>
      </c>
      <c r="I16285" t="s">
        <v>51092</v>
      </c>
      <c r="L16285">
        <v>0</v>
      </c>
      <c r="M16285">
        <v>0</v>
      </c>
      <c r="N16285">
        <v>0</v>
      </c>
      <c r="O16285" t="s">
        <v>25838</v>
      </c>
    </row>
    <row r="16286" spans="1:15">
      <c r="A16286" t="s">
        <v>51093</v>
      </c>
      <c r="B16286" t="s">
        <v>11627</v>
      </c>
      <c r="C16286" t="s">
        <v>11627</v>
      </c>
      <c r="D16286" t="s">
        <v>51094</v>
      </c>
      <c r="E16286" t="b">
        <v>1</v>
      </c>
      <c r="F16286" t="s">
        <v>11624</v>
      </c>
      <c r="I16286" t="s">
        <v>51095</v>
      </c>
      <c r="L16286">
        <v>0</v>
      </c>
      <c r="M16286">
        <v>0</v>
      </c>
      <c r="N16286">
        <v>0</v>
      </c>
      <c r="O16286" t="s">
        <v>11630</v>
      </c>
    </row>
    <row r="16287" spans="1:15">
      <c r="A16287" t="s">
        <v>14436</v>
      </c>
      <c r="B16287" t="s">
        <v>11637</v>
      </c>
      <c r="C16287" t="s">
        <v>29465</v>
      </c>
      <c r="D16287" t="s">
        <v>51096</v>
      </c>
      <c r="E16287" t="b">
        <v>0</v>
      </c>
      <c r="F16287" t="s">
        <v>11624</v>
      </c>
      <c r="G16287">
        <v>53</v>
      </c>
      <c r="H16287">
        <v>-8</v>
      </c>
      <c r="I16287" t="s">
        <v>51097</v>
      </c>
      <c r="L16287">
        <v>0</v>
      </c>
      <c r="M16287">
        <v>0</v>
      </c>
      <c r="N16287">
        <v>6</v>
      </c>
      <c r="O16287" t="s">
        <v>32641</v>
      </c>
    </row>
    <row r="16288" spans="1:15">
      <c r="A16288" t="s">
        <v>51098</v>
      </c>
      <c r="B16288" t="s">
        <v>11637</v>
      </c>
      <c r="C16288" t="s">
        <v>14436</v>
      </c>
      <c r="D16288" t="s">
        <v>51099</v>
      </c>
      <c r="E16288" t="b">
        <v>0</v>
      </c>
      <c r="F16288" t="s">
        <v>11610</v>
      </c>
      <c r="L16288">
        <v>0</v>
      </c>
      <c r="M16288">
        <v>0</v>
      </c>
      <c r="N16288">
        <v>0</v>
      </c>
    </row>
    <row r="16289" spans="1:15">
      <c r="A16289" t="s">
        <v>51100</v>
      </c>
      <c r="B16289" t="s">
        <v>4342</v>
      </c>
      <c r="C16289" t="s">
        <v>33221</v>
      </c>
      <c r="D16289" t="s">
        <v>51101</v>
      </c>
      <c r="E16289" t="b">
        <v>0</v>
      </c>
      <c r="F16289" t="s">
        <v>11624</v>
      </c>
      <c r="I16289" t="s">
        <v>51102</v>
      </c>
      <c r="L16289">
        <v>0</v>
      </c>
      <c r="M16289">
        <v>0</v>
      </c>
      <c r="N16289">
        <v>0</v>
      </c>
      <c r="O16289" t="s">
        <v>12539</v>
      </c>
    </row>
    <row r="16290" spans="1:15">
      <c r="A16290" t="s">
        <v>51103</v>
      </c>
      <c r="B16290" t="s">
        <v>11981</v>
      </c>
      <c r="C16290" t="s">
        <v>11982</v>
      </c>
      <c r="D16290" t="s">
        <v>51104</v>
      </c>
      <c r="E16290" t="b">
        <v>0</v>
      </c>
      <c r="F16290" t="s">
        <v>11624</v>
      </c>
      <c r="G16290">
        <v>51.119799999999998</v>
      </c>
      <c r="H16290">
        <v>0.98365000000000002</v>
      </c>
      <c r="I16290" t="s">
        <v>51105</v>
      </c>
      <c r="L16290">
        <v>0</v>
      </c>
      <c r="M16290">
        <v>0</v>
      </c>
      <c r="N16290">
        <v>0</v>
      </c>
      <c r="O16290" t="s">
        <v>19884</v>
      </c>
    </row>
    <row r="16291" spans="1:15">
      <c r="A16291" t="s">
        <v>51106</v>
      </c>
      <c r="B16291" t="s">
        <v>12438</v>
      </c>
      <c r="C16291" t="s">
        <v>4774</v>
      </c>
      <c r="D16291" t="s">
        <v>51107</v>
      </c>
      <c r="E16291" t="b">
        <v>0</v>
      </c>
      <c r="F16291" t="s">
        <v>11624</v>
      </c>
      <c r="I16291" t="s">
        <v>51108</v>
      </c>
      <c r="L16291">
        <v>0</v>
      </c>
      <c r="M16291">
        <v>0</v>
      </c>
      <c r="N16291">
        <v>0</v>
      </c>
      <c r="O16291" t="s">
        <v>20983</v>
      </c>
    </row>
    <row r="16292" spans="1:15">
      <c r="A16292" t="s">
        <v>51109</v>
      </c>
      <c r="B16292" t="s">
        <v>11844</v>
      </c>
      <c r="C16292" t="s">
        <v>34861</v>
      </c>
      <c r="D16292" t="s">
        <v>51110</v>
      </c>
      <c r="E16292" t="b">
        <v>0</v>
      </c>
      <c r="F16292" t="s">
        <v>11624</v>
      </c>
      <c r="I16292" t="s">
        <v>51111</v>
      </c>
      <c r="L16292">
        <v>0</v>
      </c>
      <c r="M16292">
        <v>0</v>
      </c>
      <c r="N16292">
        <v>0</v>
      </c>
      <c r="O16292" t="s">
        <v>11630</v>
      </c>
    </row>
    <row r="16293" spans="1:15">
      <c r="A16293" t="s">
        <v>12529</v>
      </c>
      <c r="B16293" t="s">
        <v>11644</v>
      </c>
      <c r="C16293" t="s">
        <v>21988</v>
      </c>
      <c r="D16293" t="s">
        <v>51112</v>
      </c>
      <c r="E16293" t="b">
        <v>0</v>
      </c>
      <c r="F16293" t="s">
        <v>11622</v>
      </c>
      <c r="L16293">
        <v>2</v>
      </c>
      <c r="M16293">
        <v>13</v>
      </c>
      <c r="N16293">
        <v>16</v>
      </c>
    </row>
    <row r="16294" spans="1:15">
      <c r="A16294" t="s">
        <v>51113</v>
      </c>
      <c r="B16294" t="s">
        <v>11637</v>
      </c>
      <c r="C16294" t="s">
        <v>32334</v>
      </c>
      <c r="D16294" t="s">
        <v>51114</v>
      </c>
      <c r="E16294" t="b">
        <v>0</v>
      </c>
      <c r="F16294" t="s">
        <v>11624</v>
      </c>
      <c r="I16294" t="s">
        <v>51115</v>
      </c>
      <c r="L16294">
        <v>0</v>
      </c>
      <c r="M16294">
        <v>0</v>
      </c>
      <c r="N16294">
        <v>0</v>
      </c>
      <c r="O16294" t="s">
        <v>13676</v>
      </c>
    </row>
    <row r="16295" spans="1:15">
      <c r="A16295" t="s">
        <v>51116</v>
      </c>
      <c r="B16295" t="s">
        <v>11637</v>
      </c>
      <c r="C16295" t="s">
        <v>1482</v>
      </c>
      <c r="D16295" t="s">
        <v>51117</v>
      </c>
      <c r="E16295" t="b">
        <v>0</v>
      </c>
      <c r="F16295" t="s">
        <v>11610</v>
      </c>
      <c r="I16295" t="s">
        <v>51118</v>
      </c>
      <c r="L16295">
        <v>0</v>
      </c>
      <c r="M16295">
        <v>0</v>
      </c>
      <c r="N16295">
        <v>0</v>
      </c>
    </row>
    <row r="16296" spans="1:15">
      <c r="A16296" t="s">
        <v>51119</v>
      </c>
      <c r="B16296" t="s">
        <v>12438</v>
      </c>
      <c r="C16296" t="s">
        <v>45196</v>
      </c>
      <c r="D16296" t="s">
        <v>51120</v>
      </c>
      <c r="E16296" t="b">
        <v>0</v>
      </c>
      <c r="F16296" t="s">
        <v>11624</v>
      </c>
      <c r="G16296">
        <v>14.83</v>
      </c>
      <c r="H16296">
        <v>100.5</v>
      </c>
      <c r="I16296" t="s">
        <v>51121</v>
      </c>
      <c r="L16296">
        <v>0</v>
      </c>
      <c r="M16296">
        <v>0</v>
      </c>
      <c r="N16296">
        <v>0</v>
      </c>
      <c r="O16296" t="s">
        <v>16739</v>
      </c>
    </row>
    <row r="16297" spans="1:15">
      <c r="A16297" t="s">
        <v>51122</v>
      </c>
      <c r="B16297" t="s">
        <v>367</v>
      </c>
      <c r="C16297" t="s">
        <v>33119</v>
      </c>
      <c r="D16297" t="s">
        <v>51123</v>
      </c>
      <c r="E16297" t="b">
        <v>0</v>
      </c>
      <c r="F16297" t="s">
        <v>11624</v>
      </c>
      <c r="L16297">
        <v>0</v>
      </c>
      <c r="M16297">
        <v>0</v>
      </c>
      <c r="N16297">
        <v>0</v>
      </c>
      <c r="O16297" t="s">
        <v>11768</v>
      </c>
    </row>
    <row r="16298" spans="1:15">
      <c r="A16298" t="s">
        <v>51124</v>
      </c>
      <c r="B16298" t="s">
        <v>11637</v>
      </c>
      <c r="C16298" t="s">
        <v>13719</v>
      </c>
      <c r="D16298" t="s">
        <v>51125</v>
      </c>
      <c r="E16298" t="b">
        <v>0</v>
      </c>
      <c r="F16298" t="s">
        <v>11624</v>
      </c>
      <c r="G16298">
        <v>18</v>
      </c>
      <c r="H16298">
        <v>75</v>
      </c>
      <c r="I16298" t="s">
        <v>51126</v>
      </c>
      <c r="L16298">
        <v>0</v>
      </c>
      <c r="M16298">
        <v>0</v>
      </c>
      <c r="N16298">
        <v>0</v>
      </c>
      <c r="O16298" t="s">
        <v>11630</v>
      </c>
    </row>
    <row r="16299" spans="1:15">
      <c r="A16299" t="s">
        <v>23119</v>
      </c>
      <c r="B16299" t="s">
        <v>11644</v>
      </c>
      <c r="C16299" t="s">
        <v>19054</v>
      </c>
      <c r="D16299" t="s">
        <v>51127</v>
      </c>
      <c r="E16299" t="b">
        <v>0</v>
      </c>
      <c r="F16299" t="s">
        <v>11622</v>
      </c>
      <c r="L16299">
        <v>21</v>
      </c>
      <c r="M16299">
        <v>43</v>
      </c>
      <c r="N16299">
        <v>92</v>
      </c>
    </row>
    <row r="16300" spans="1:15">
      <c r="A16300" t="s">
        <v>49441</v>
      </c>
      <c r="B16300" t="s">
        <v>11644</v>
      </c>
      <c r="C16300" t="s">
        <v>14285</v>
      </c>
      <c r="D16300" t="s">
        <v>51128</v>
      </c>
      <c r="E16300" t="b">
        <v>0</v>
      </c>
      <c r="F16300" t="s">
        <v>11622</v>
      </c>
      <c r="L16300">
        <v>0</v>
      </c>
      <c r="M16300">
        <v>2</v>
      </c>
      <c r="N16300">
        <v>3</v>
      </c>
    </row>
    <row r="16301" spans="1:15">
      <c r="A16301" t="s">
        <v>51129</v>
      </c>
      <c r="B16301" t="s">
        <v>11637</v>
      </c>
      <c r="C16301" t="s">
        <v>19944</v>
      </c>
      <c r="D16301" t="s">
        <v>51130</v>
      </c>
      <c r="E16301" t="b">
        <v>0</v>
      </c>
      <c r="F16301" t="s">
        <v>11622</v>
      </c>
      <c r="L16301">
        <v>0</v>
      </c>
      <c r="M16301">
        <v>2</v>
      </c>
      <c r="N16301">
        <v>5</v>
      </c>
    </row>
    <row r="16302" spans="1:15">
      <c r="A16302" t="s">
        <v>51077</v>
      </c>
      <c r="B16302" t="s">
        <v>11637</v>
      </c>
      <c r="C16302" t="s">
        <v>31936</v>
      </c>
      <c r="D16302" t="s">
        <v>51131</v>
      </c>
      <c r="E16302" t="b">
        <v>0</v>
      </c>
      <c r="F16302" t="s">
        <v>11624</v>
      </c>
      <c r="G16302">
        <v>63.42</v>
      </c>
      <c r="H16302">
        <v>10.38</v>
      </c>
      <c r="I16302" t="s">
        <v>51132</v>
      </c>
      <c r="L16302">
        <v>0</v>
      </c>
      <c r="M16302">
        <v>0</v>
      </c>
      <c r="N16302">
        <v>3</v>
      </c>
      <c r="O16302" t="s">
        <v>49230</v>
      </c>
    </row>
    <row r="16303" spans="1:15">
      <c r="A16303" t="s">
        <v>51133</v>
      </c>
      <c r="B16303" t="s">
        <v>3164</v>
      </c>
      <c r="C16303" t="s">
        <v>48065</v>
      </c>
      <c r="D16303" t="s">
        <v>51134</v>
      </c>
      <c r="E16303" t="b">
        <v>0</v>
      </c>
      <c r="F16303" t="s">
        <v>11624</v>
      </c>
      <c r="G16303">
        <v>18.760712999999999</v>
      </c>
      <c r="H16303">
        <v>31.748657000000001</v>
      </c>
      <c r="I16303" t="s">
        <v>51135</v>
      </c>
      <c r="L16303">
        <v>0</v>
      </c>
      <c r="M16303">
        <v>0</v>
      </c>
      <c r="N16303">
        <v>0</v>
      </c>
      <c r="O16303" t="s">
        <v>11910</v>
      </c>
    </row>
    <row r="16304" spans="1:15">
      <c r="A16304" t="s">
        <v>51136</v>
      </c>
      <c r="B16304" t="s">
        <v>11637</v>
      </c>
      <c r="C16304" t="s">
        <v>51077</v>
      </c>
      <c r="D16304" t="s">
        <v>51137</v>
      </c>
      <c r="E16304" t="b">
        <v>0</v>
      </c>
      <c r="F16304" t="s">
        <v>11610</v>
      </c>
      <c r="I16304" t="s">
        <v>51138</v>
      </c>
      <c r="L16304">
        <v>0</v>
      </c>
      <c r="M16304">
        <v>0</v>
      </c>
      <c r="N16304">
        <v>0</v>
      </c>
    </row>
    <row r="16305" spans="1:15">
      <c r="A16305" t="s">
        <v>51139</v>
      </c>
      <c r="B16305" t="s">
        <v>11637</v>
      </c>
      <c r="C16305" t="s">
        <v>51140</v>
      </c>
      <c r="D16305" t="s">
        <v>51141</v>
      </c>
      <c r="E16305" t="b">
        <v>0</v>
      </c>
      <c r="F16305" t="s">
        <v>11624</v>
      </c>
      <c r="G16305">
        <v>48.48</v>
      </c>
      <c r="H16305">
        <v>39.46</v>
      </c>
      <c r="I16305" t="s">
        <v>51142</v>
      </c>
      <c r="L16305">
        <v>0</v>
      </c>
      <c r="M16305">
        <v>0</v>
      </c>
      <c r="N16305">
        <v>0</v>
      </c>
      <c r="O16305" t="s">
        <v>37844</v>
      </c>
    </row>
    <row r="16306" spans="1:15">
      <c r="A16306" t="s">
        <v>51143</v>
      </c>
      <c r="B16306" t="s">
        <v>11637</v>
      </c>
      <c r="C16306" t="s">
        <v>28629</v>
      </c>
      <c r="D16306" t="s">
        <v>51144</v>
      </c>
      <c r="E16306" t="b">
        <v>0</v>
      </c>
      <c r="F16306" t="s">
        <v>11624</v>
      </c>
      <c r="G16306">
        <v>43.5</v>
      </c>
      <c r="H16306">
        <v>0.6</v>
      </c>
      <c r="I16306" t="s">
        <v>51145</v>
      </c>
      <c r="L16306">
        <v>0</v>
      </c>
      <c r="M16306">
        <v>0</v>
      </c>
      <c r="N16306">
        <v>0</v>
      </c>
      <c r="O16306" t="s">
        <v>19870</v>
      </c>
    </row>
    <row r="16307" spans="1:15">
      <c r="A16307" t="s">
        <v>51146</v>
      </c>
      <c r="B16307" t="s">
        <v>11637</v>
      </c>
      <c r="C16307" t="s">
        <v>44372</v>
      </c>
      <c r="D16307" t="s">
        <v>51147</v>
      </c>
      <c r="E16307" t="b">
        <v>0</v>
      </c>
      <c r="F16307" t="s">
        <v>11624</v>
      </c>
      <c r="G16307">
        <v>32</v>
      </c>
      <c r="H16307">
        <v>54</v>
      </c>
      <c r="I16307" t="s">
        <v>51148</v>
      </c>
      <c r="L16307">
        <v>0</v>
      </c>
      <c r="M16307">
        <v>0</v>
      </c>
      <c r="N16307">
        <v>0</v>
      </c>
      <c r="O16307" t="s">
        <v>13225</v>
      </c>
    </row>
    <row r="16308" spans="1:15">
      <c r="A16308" t="s">
        <v>51149</v>
      </c>
      <c r="B16308" t="s">
        <v>11627</v>
      </c>
      <c r="C16308" t="s">
        <v>11627</v>
      </c>
      <c r="D16308" t="s">
        <v>51150</v>
      </c>
      <c r="E16308" t="b">
        <v>1</v>
      </c>
      <c r="F16308" t="s">
        <v>11624</v>
      </c>
      <c r="I16308" t="s">
        <v>51151</v>
      </c>
      <c r="L16308">
        <v>0</v>
      </c>
      <c r="M16308">
        <v>0</v>
      </c>
      <c r="N16308">
        <v>0</v>
      </c>
    </row>
    <row r="16309" spans="1:15">
      <c r="A16309" t="s">
        <v>51152</v>
      </c>
      <c r="B16309" t="s">
        <v>11637</v>
      </c>
      <c r="C16309" t="s">
        <v>10508</v>
      </c>
      <c r="D16309" t="s">
        <v>51153</v>
      </c>
      <c r="E16309" t="b">
        <v>0</v>
      </c>
      <c r="F16309" t="s">
        <v>11610</v>
      </c>
      <c r="L16309">
        <v>0</v>
      </c>
      <c r="M16309">
        <v>0</v>
      </c>
      <c r="N16309">
        <v>0</v>
      </c>
    </row>
    <row r="16310" spans="1:15">
      <c r="A16310" t="s">
        <v>51154</v>
      </c>
      <c r="B16310" t="s">
        <v>11637</v>
      </c>
      <c r="C16310" t="s">
        <v>552</v>
      </c>
      <c r="D16310" t="s">
        <v>51155</v>
      </c>
      <c r="E16310" t="b">
        <v>0</v>
      </c>
      <c r="F16310" t="s">
        <v>11610</v>
      </c>
      <c r="L16310">
        <v>0</v>
      </c>
      <c r="M16310">
        <v>0</v>
      </c>
      <c r="N16310">
        <v>0</v>
      </c>
    </row>
    <row r="16311" spans="1:15">
      <c r="A16311" t="s">
        <v>51156</v>
      </c>
      <c r="B16311" t="s">
        <v>11637</v>
      </c>
      <c r="C16311" t="s">
        <v>17784</v>
      </c>
      <c r="D16311" t="s">
        <v>51157</v>
      </c>
      <c r="E16311" t="b">
        <v>0</v>
      </c>
      <c r="F16311" t="s">
        <v>11624</v>
      </c>
      <c r="I16311" t="s">
        <v>51158</v>
      </c>
      <c r="L16311">
        <v>0</v>
      </c>
      <c r="M16311">
        <v>0</v>
      </c>
      <c r="N16311">
        <v>0</v>
      </c>
      <c r="O16311" t="s">
        <v>12748</v>
      </c>
    </row>
    <row r="16312" spans="1:15">
      <c r="A16312" t="s">
        <v>51159</v>
      </c>
      <c r="B16312" t="s">
        <v>11637</v>
      </c>
      <c r="C16312" t="s">
        <v>21198</v>
      </c>
      <c r="D16312" t="s">
        <v>51160</v>
      </c>
      <c r="E16312" t="b">
        <v>0</v>
      </c>
      <c r="F16312" t="s">
        <v>11624</v>
      </c>
      <c r="I16312" t="s">
        <v>51161</v>
      </c>
      <c r="L16312">
        <v>0</v>
      </c>
      <c r="M16312">
        <v>0</v>
      </c>
      <c r="N16312">
        <v>0</v>
      </c>
      <c r="O16312" t="s">
        <v>13707</v>
      </c>
    </row>
    <row r="16313" spans="1:15">
      <c r="A16313" t="s">
        <v>51162</v>
      </c>
      <c r="B16313" t="s">
        <v>11637</v>
      </c>
      <c r="C16313" t="s">
        <v>13171</v>
      </c>
      <c r="D16313" t="s">
        <v>51163</v>
      </c>
      <c r="E16313" t="b">
        <v>0</v>
      </c>
      <c r="F16313" t="s">
        <v>11624</v>
      </c>
      <c r="G16313">
        <v>52.37</v>
      </c>
      <c r="H16313">
        <v>9.7200000000000006</v>
      </c>
      <c r="I16313" t="s">
        <v>51164</v>
      </c>
      <c r="L16313">
        <v>0</v>
      </c>
      <c r="M16313">
        <v>0</v>
      </c>
      <c r="N16313">
        <v>0</v>
      </c>
      <c r="O16313" t="s">
        <v>25838</v>
      </c>
    </row>
    <row r="16314" spans="1:15">
      <c r="A16314" t="s">
        <v>51165</v>
      </c>
      <c r="B16314" t="s">
        <v>11637</v>
      </c>
      <c r="C16314" t="s">
        <v>14273</v>
      </c>
      <c r="D16314" t="s">
        <v>51166</v>
      </c>
      <c r="E16314" t="b">
        <v>0</v>
      </c>
      <c r="F16314" t="s">
        <v>11610</v>
      </c>
      <c r="L16314">
        <v>0</v>
      </c>
      <c r="M16314">
        <v>0</v>
      </c>
      <c r="N16314">
        <v>0</v>
      </c>
    </row>
    <row r="16315" spans="1:15">
      <c r="A16315" t="s">
        <v>51167</v>
      </c>
      <c r="B16315" t="s">
        <v>11637</v>
      </c>
      <c r="C16315" t="s">
        <v>438</v>
      </c>
      <c r="D16315" t="s">
        <v>51168</v>
      </c>
      <c r="E16315" t="b">
        <v>0</v>
      </c>
      <c r="F16315" t="s">
        <v>11610</v>
      </c>
      <c r="L16315">
        <v>0</v>
      </c>
      <c r="M16315">
        <v>0</v>
      </c>
      <c r="N16315">
        <v>0</v>
      </c>
    </row>
    <row r="16316" spans="1:15">
      <c r="A16316" t="s">
        <v>51169</v>
      </c>
      <c r="B16316" t="s">
        <v>11637</v>
      </c>
      <c r="C16316" t="s">
        <v>47113</v>
      </c>
      <c r="D16316" t="s">
        <v>51170</v>
      </c>
      <c r="E16316" t="b">
        <v>0</v>
      </c>
      <c r="F16316" t="s">
        <v>11610</v>
      </c>
      <c r="L16316">
        <v>0</v>
      </c>
      <c r="M16316">
        <v>0</v>
      </c>
      <c r="N16316">
        <v>0</v>
      </c>
    </row>
    <row r="16317" spans="1:15">
      <c r="A16317" t="s">
        <v>51171</v>
      </c>
      <c r="B16317" t="s">
        <v>11627</v>
      </c>
      <c r="C16317" t="s">
        <v>11627</v>
      </c>
      <c r="D16317" t="s">
        <v>51172</v>
      </c>
      <c r="E16317" t="b">
        <v>1</v>
      </c>
      <c r="F16317" t="s">
        <v>11624</v>
      </c>
      <c r="G16317">
        <v>37</v>
      </c>
      <c r="H16317">
        <v>59</v>
      </c>
      <c r="I16317" t="s">
        <v>51173</v>
      </c>
      <c r="L16317">
        <v>0</v>
      </c>
      <c r="M16317">
        <v>0</v>
      </c>
      <c r="N16317">
        <v>0</v>
      </c>
      <c r="O16317" t="s">
        <v>44370</v>
      </c>
    </row>
    <row r="16318" spans="1:15">
      <c r="A16318" t="s">
        <v>51174</v>
      </c>
      <c r="B16318" t="s">
        <v>11844</v>
      </c>
      <c r="C16318" t="s">
        <v>42010</v>
      </c>
      <c r="D16318" t="s">
        <v>51175</v>
      </c>
      <c r="E16318" t="b">
        <v>0</v>
      </c>
      <c r="F16318" t="s">
        <v>11624</v>
      </c>
      <c r="G16318">
        <v>11</v>
      </c>
      <c r="H16318">
        <v>78</v>
      </c>
      <c r="I16318" t="s">
        <v>51176</v>
      </c>
      <c r="L16318">
        <v>0</v>
      </c>
      <c r="M16318">
        <v>0</v>
      </c>
      <c r="N16318">
        <v>0</v>
      </c>
      <c r="O16318" t="s">
        <v>11630</v>
      </c>
    </row>
    <row r="16319" spans="1:15">
      <c r="A16319" t="s">
        <v>51177</v>
      </c>
      <c r="B16319" t="s">
        <v>11844</v>
      </c>
      <c r="C16319" t="s">
        <v>22400</v>
      </c>
      <c r="D16319" t="s">
        <v>51178</v>
      </c>
      <c r="E16319" t="b">
        <v>0</v>
      </c>
      <c r="F16319" t="s">
        <v>11624</v>
      </c>
      <c r="L16319">
        <v>0</v>
      </c>
      <c r="M16319">
        <v>0</v>
      </c>
      <c r="N16319">
        <v>0</v>
      </c>
      <c r="O16319" t="s">
        <v>11630</v>
      </c>
    </row>
    <row r="16320" spans="1:15">
      <c r="A16320" t="s">
        <v>51179</v>
      </c>
      <c r="B16320" t="s">
        <v>331</v>
      </c>
      <c r="C16320" t="s">
        <v>35210</v>
      </c>
      <c r="D16320" t="s">
        <v>51180</v>
      </c>
      <c r="E16320" t="b">
        <v>0</v>
      </c>
      <c r="F16320" t="s">
        <v>11624</v>
      </c>
      <c r="I16320" t="s">
        <v>51181</v>
      </c>
      <c r="L16320">
        <v>0</v>
      </c>
      <c r="M16320">
        <v>0</v>
      </c>
      <c r="N16320">
        <v>2</v>
      </c>
      <c r="O16320" t="s">
        <v>11905</v>
      </c>
    </row>
    <row r="16321" spans="1:15">
      <c r="A16321" t="s">
        <v>51182</v>
      </c>
      <c r="B16321" t="s">
        <v>11637</v>
      </c>
      <c r="C16321" t="s">
        <v>51183</v>
      </c>
      <c r="D16321" t="s">
        <v>51184</v>
      </c>
      <c r="E16321" t="b">
        <v>0</v>
      </c>
      <c r="F16321" t="s">
        <v>11624</v>
      </c>
      <c r="L16321">
        <v>0</v>
      </c>
      <c r="M16321">
        <v>0</v>
      </c>
      <c r="N16321">
        <v>0</v>
      </c>
      <c r="O16321" t="s">
        <v>12131</v>
      </c>
    </row>
    <row r="16322" spans="1:15">
      <c r="A16322" t="s">
        <v>44391</v>
      </c>
      <c r="B16322" t="s">
        <v>11637</v>
      </c>
      <c r="C16322" t="s">
        <v>51129</v>
      </c>
      <c r="D16322" t="s">
        <v>51185</v>
      </c>
      <c r="E16322" t="b">
        <v>0</v>
      </c>
      <c r="F16322" t="s">
        <v>11624</v>
      </c>
      <c r="I16322" t="s">
        <v>51186</v>
      </c>
      <c r="L16322">
        <v>0</v>
      </c>
      <c r="M16322">
        <v>0</v>
      </c>
      <c r="N16322">
        <v>2</v>
      </c>
      <c r="O16322" t="s">
        <v>19884</v>
      </c>
    </row>
    <row r="16323" spans="1:15">
      <c r="A16323" t="s">
        <v>51187</v>
      </c>
      <c r="B16323" t="s">
        <v>11637</v>
      </c>
      <c r="C16323" t="s">
        <v>51077</v>
      </c>
      <c r="D16323" t="s">
        <v>51188</v>
      </c>
      <c r="E16323" t="b">
        <v>0</v>
      </c>
      <c r="F16323" t="s">
        <v>11610</v>
      </c>
      <c r="L16323">
        <v>0</v>
      </c>
      <c r="M16323">
        <v>0</v>
      </c>
      <c r="N16323">
        <v>0</v>
      </c>
    </row>
    <row r="16324" spans="1:15">
      <c r="A16324" t="s">
        <v>51189</v>
      </c>
      <c r="B16324" t="s">
        <v>11637</v>
      </c>
      <c r="C16324" t="s">
        <v>44391</v>
      </c>
      <c r="D16324" t="s">
        <v>51190</v>
      </c>
      <c r="E16324" t="b">
        <v>0</v>
      </c>
      <c r="F16324" t="s">
        <v>11610</v>
      </c>
      <c r="L16324">
        <v>0</v>
      </c>
      <c r="M16324">
        <v>0</v>
      </c>
      <c r="N16324">
        <v>0</v>
      </c>
    </row>
    <row r="16325" spans="1:15">
      <c r="A16325" t="s">
        <v>51191</v>
      </c>
      <c r="B16325" t="s">
        <v>11637</v>
      </c>
      <c r="C16325" t="s">
        <v>28948</v>
      </c>
      <c r="D16325" t="s">
        <v>51192</v>
      </c>
      <c r="E16325" t="b">
        <v>0</v>
      </c>
      <c r="F16325" t="s">
        <v>11610</v>
      </c>
      <c r="L16325">
        <v>0</v>
      </c>
      <c r="M16325">
        <v>0</v>
      </c>
      <c r="N16325">
        <v>0</v>
      </c>
    </row>
    <row r="16326" spans="1:15">
      <c r="A16326" t="s">
        <v>51193</v>
      </c>
      <c r="B16326" t="s">
        <v>6742</v>
      </c>
      <c r="C16326" t="s">
        <v>15272</v>
      </c>
      <c r="D16326" t="s">
        <v>51194</v>
      </c>
      <c r="E16326" t="b">
        <v>0</v>
      </c>
      <c r="F16326" t="s">
        <v>11610</v>
      </c>
      <c r="L16326">
        <v>0</v>
      </c>
      <c r="M16326">
        <v>0</v>
      </c>
      <c r="N16326">
        <v>0</v>
      </c>
    </row>
    <row r="16327" spans="1:15">
      <c r="A16327" t="s">
        <v>51195</v>
      </c>
      <c r="B16327" t="s">
        <v>11644</v>
      </c>
      <c r="C16327" t="s">
        <v>26667</v>
      </c>
      <c r="D16327" t="s">
        <v>51196</v>
      </c>
      <c r="E16327" t="b">
        <v>0</v>
      </c>
      <c r="F16327" t="s">
        <v>11610</v>
      </c>
      <c r="L16327">
        <v>0</v>
      </c>
      <c r="M16327">
        <v>0</v>
      </c>
      <c r="N16327">
        <v>0</v>
      </c>
    </row>
    <row r="16328" spans="1:15">
      <c r="A16328" t="s">
        <v>26667</v>
      </c>
      <c r="B16328" t="s">
        <v>11644</v>
      </c>
      <c r="C16328" t="s">
        <v>25801</v>
      </c>
      <c r="D16328" t="s">
        <v>51197</v>
      </c>
      <c r="E16328" t="b">
        <v>0</v>
      </c>
      <c r="F16328" t="s">
        <v>11624</v>
      </c>
      <c r="G16328">
        <v>27.207899999999999</v>
      </c>
      <c r="H16328">
        <v>90.554599999999994</v>
      </c>
      <c r="I16328" t="s">
        <v>51198</v>
      </c>
      <c r="L16328">
        <v>0</v>
      </c>
      <c r="M16328">
        <v>0</v>
      </c>
      <c r="N16328">
        <v>4</v>
      </c>
      <c r="O16328" t="s">
        <v>12020</v>
      </c>
    </row>
    <row r="16329" spans="1:15">
      <c r="A16329" t="s">
        <v>23578</v>
      </c>
      <c r="B16329" t="s">
        <v>6742</v>
      </c>
      <c r="C16329" t="s">
        <v>39472</v>
      </c>
      <c r="D16329" t="s">
        <v>51199</v>
      </c>
      <c r="E16329" t="b">
        <v>0</v>
      </c>
      <c r="F16329" t="s">
        <v>11622</v>
      </c>
      <c r="L16329">
        <v>0</v>
      </c>
      <c r="M16329">
        <v>2</v>
      </c>
      <c r="N16329">
        <v>0</v>
      </c>
    </row>
    <row r="16330" spans="1:15">
      <c r="A16330" t="s">
        <v>51200</v>
      </c>
      <c r="B16330" t="s">
        <v>6742</v>
      </c>
      <c r="C16330" t="s">
        <v>25418</v>
      </c>
      <c r="D16330" t="s">
        <v>51201</v>
      </c>
      <c r="E16330" t="b">
        <v>0</v>
      </c>
      <c r="F16330" t="s">
        <v>11624</v>
      </c>
      <c r="G16330">
        <v>4.33</v>
      </c>
      <c r="H16330">
        <v>9.8000000000000007</v>
      </c>
      <c r="L16330">
        <v>0</v>
      </c>
      <c r="M16330">
        <v>0</v>
      </c>
      <c r="N16330">
        <v>0</v>
      </c>
      <c r="O16330" t="s">
        <v>11703</v>
      </c>
    </row>
    <row r="16331" spans="1:15">
      <c r="A16331" t="s">
        <v>51202</v>
      </c>
      <c r="B16331" t="s">
        <v>6742</v>
      </c>
      <c r="C16331" t="s">
        <v>19047</v>
      </c>
      <c r="D16331" t="s">
        <v>51203</v>
      </c>
      <c r="E16331" t="b">
        <v>0</v>
      </c>
      <c r="F16331" t="s">
        <v>11610</v>
      </c>
      <c r="L16331">
        <v>0</v>
      </c>
      <c r="M16331">
        <v>0</v>
      </c>
      <c r="N16331">
        <v>0</v>
      </c>
    </row>
    <row r="16332" spans="1:15">
      <c r="A16332" t="s">
        <v>51204</v>
      </c>
      <c r="B16332" t="s">
        <v>6742</v>
      </c>
      <c r="C16332" t="s">
        <v>31943</v>
      </c>
      <c r="D16332" t="s">
        <v>51205</v>
      </c>
      <c r="E16332" t="b">
        <v>0</v>
      </c>
      <c r="F16332" t="s">
        <v>11610</v>
      </c>
      <c r="L16332">
        <v>0</v>
      </c>
      <c r="M16332">
        <v>0</v>
      </c>
      <c r="N16332">
        <v>0</v>
      </c>
    </row>
    <row r="16333" spans="1:15">
      <c r="A16333" t="s">
        <v>51206</v>
      </c>
      <c r="B16333" t="s">
        <v>11627</v>
      </c>
      <c r="C16333" t="s">
        <v>11627</v>
      </c>
      <c r="D16333" t="s">
        <v>51207</v>
      </c>
      <c r="E16333" t="b">
        <v>1</v>
      </c>
      <c r="F16333" t="s">
        <v>11624</v>
      </c>
      <c r="I16333" t="s">
        <v>51208</v>
      </c>
      <c r="L16333">
        <v>0</v>
      </c>
      <c r="M16333">
        <v>0</v>
      </c>
      <c r="N16333">
        <v>0</v>
      </c>
      <c r="O16333" t="s">
        <v>12107</v>
      </c>
    </row>
    <row r="16334" spans="1:15">
      <c r="A16334" t="s">
        <v>51209</v>
      </c>
      <c r="B16334" t="s">
        <v>51210</v>
      </c>
      <c r="C16334" t="s">
        <v>51210</v>
      </c>
      <c r="D16334" t="s">
        <v>51211</v>
      </c>
      <c r="E16334" t="b">
        <v>0</v>
      </c>
      <c r="F16334" t="s">
        <v>11610</v>
      </c>
      <c r="L16334">
        <v>0</v>
      </c>
      <c r="M16334">
        <v>0</v>
      </c>
      <c r="N16334">
        <v>0</v>
      </c>
    </row>
    <row r="16335" spans="1:15">
      <c r="A16335" t="s">
        <v>27042</v>
      </c>
      <c r="B16335" t="s">
        <v>11834</v>
      </c>
      <c r="C16335" t="s">
        <v>15152</v>
      </c>
      <c r="D16335" t="s">
        <v>51212</v>
      </c>
      <c r="E16335" t="b">
        <v>0</v>
      </c>
      <c r="F16335" t="s">
        <v>11622</v>
      </c>
      <c r="L16335">
        <v>0</v>
      </c>
      <c r="M16335">
        <v>2</v>
      </c>
      <c r="N16335">
        <v>2</v>
      </c>
    </row>
    <row r="16336" spans="1:15">
      <c r="A16336" t="s">
        <v>51213</v>
      </c>
      <c r="B16336" t="s">
        <v>7862</v>
      </c>
      <c r="C16336" t="s">
        <v>7863</v>
      </c>
      <c r="D16336" t="s">
        <v>51214</v>
      </c>
      <c r="E16336" t="b">
        <v>0</v>
      </c>
      <c r="F16336" t="s">
        <v>11610</v>
      </c>
      <c r="L16336">
        <v>0</v>
      </c>
      <c r="M16336">
        <v>0</v>
      </c>
      <c r="N16336">
        <v>0</v>
      </c>
    </row>
    <row r="16337" spans="1:15">
      <c r="A16337" t="s">
        <v>51215</v>
      </c>
      <c r="B16337" t="s">
        <v>11615</v>
      </c>
      <c r="C16337" t="s">
        <v>23820</v>
      </c>
      <c r="D16337" t="s">
        <v>51216</v>
      </c>
      <c r="E16337" t="b">
        <v>0</v>
      </c>
      <c r="F16337" t="s">
        <v>11610</v>
      </c>
      <c r="L16337">
        <v>0</v>
      </c>
      <c r="M16337">
        <v>0</v>
      </c>
      <c r="N16337">
        <v>0</v>
      </c>
    </row>
    <row r="16338" spans="1:15">
      <c r="A16338" t="s">
        <v>51217</v>
      </c>
      <c r="B16338" t="s">
        <v>6742</v>
      </c>
      <c r="C16338" t="s">
        <v>12308</v>
      </c>
      <c r="D16338" t="s">
        <v>51218</v>
      </c>
      <c r="E16338" t="b">
        <v>0</v>
      </c>
      <c r="F16338" t="s">
        <v>11610</v>
      </c>
      <c r="L16338">
        <v>0</v>
      </c>
      <c r="M16338">
        <v>0</v>
      </c>
      <c r="N16338">
        <v>0</v>
      </c>
    </row>
    <row r="16339" spans="1:15">
      <c r="A16339" t="s">
        <v>51219</v>
      </c>
      <c r="B16339" t="s">
        <v>6742</v>
      </c>
      <c r="C16339" t="s">
        <v>50990</v>
      </c>
      <c r="D16339" t="s">
        <v>51220</v>
      </c>
      <c r="E16339" t="b">
        <v>0</v>
      </c>
      <c r="F16339" t="s">
        <v>11624</v>
      </c>
      <c r="G16339">
        <v>7.0127899999999999</v>
      </c>
      <c r="H16339">
        <v>6.0276699999999996</v>
      </c>
      <c r="I16339" t="s">
        <v>51221</v>
      </c>
      <c r="L16339">
        <v>0</v>
      </c>
      <c r="M16339">
        <v>0</v>
      </c>
      <c r="N16339">
        <v>0</v>
      </c>
      <c r="O16339" t="s">
        <v>11693</v>
      </c>
    </row>
    <row r="16340" spans="1:15">
      <c r="A16340" t="s">
        <v>51222</v>
      </c>
      <c r="B16340" t="s">
        <v>6742</v>
      </c>
      <c r="C16340" t="s">
        <v>15272</v>
      </c>
      <c r="D16340" t="s">
        <v>51223</v>
      </c>
      <c r="E16340" t="b">
        <v>0</v>
      </c>
      <c r="F16340" t="s">
        <v>11610</v>
      </c>
      <c r="L16340">
        <v>0</v>
      </c>
      <c r="M16340">
        <v>0</v>
      </c>
      <c r="N16340">
        <v>0</v>
      </c>
    </row>
    <row r="16341" spans="1:15">
      <c r="A16341" t="s">
        <v>8867</v>
      </c>
      <c r="B16341" t="s">
        <v>11834</v>
      </c>
      <c r="C16341" t="s">
        <v>27042</v>
      </c>
      <c r="D16341" t="s">
        <v>51224</v>
      </c>
      <c r="E16341" t="b">
        <v>0</v>
      </c>
      <c r="F16341" t="s">
        <v>11624</v>
      </c>
      <c r="G16341">
        <v>-3.2928999999999999</v>
      </c>
      <c r="H16341">
        <v>142.131</v>
      </c>
      <c r="I16341" t="s">
        <v>8869</v>
      </c>
      <c r="L16341">
        <v>0</v>
      </c>
      <c r="M16341">
        <v>0</v>
      </c>
      <c r="N16341">
        <v>2</v>
      </c>
      <c r="O16341" t="s">
        <v>11660</v>
      </c>
    </row>
    <row r="16342" spans="1:15">
      <c r="A16342" t="s">
        <v>51225</v>
      </c>
      <c r="B16342" t="s">
        <v>15027</v>
      </c>
      <c r="C16342" t="s">
        <v>15028</v>
      </c>
      <c r="D16342" t="s">
        <v>51226</v>
      </c>
      <c r="E16342" t="b">
        <v>0</v>
      </c>
      <c r="F16342" t="s">
        <v>11610</v>
      </c>
      <c r="L16342">
        <v>0</v>
      </c>
      <c r="M16342">
        <v>0</v>
      </c>
      <c r="N16342">
        <v>0</v>
      </c>
    </row>
    <row r="16343" spans="1:15">
      <c r="A16343" t="s">
        <v>51227</v>
      </c>
      <c r="B16343" t="s">
        <v>367</v>
      </c>
      <c r="C16343" t="s">
        <v>37490</v>
      </c>
      <c r="D16343" t="s">
        <v>51228</v>
      </c>
      <c r="E16343" t="b">
        <v>0</v>
      </c>
      <c r="F16343" t="s">
        <v>11610</v>
      </c>
      <c r="I16343" t="s">
        <v>51229</v>
      </c>
      <c r="L16343">
        <v>0</v>
      </c>
      <c r="M16343">
        <v>0</v>
      </c>
      <c r="N16343">
        <v>0</v>
      </c>
      <c r="O16343" t="s">
        <v>12719</v>
      </c>
    </row>
    <row r="16344" spans="1:15">
      <c r="A16344" t="s">
        <v>8956</v>
      </c>
      <c r="B16344" t="s">
        <v>11637</v>
      </c>
      <c r="C16344" t="s">
        <v>2995</v>
      </c>
      <c r="D16344" t="s">
        <v>51230</v>
      </c>
      <c r="E16344" t="b">
        <v>0</v>
      </c>
      <c r="F16344" t="s">
        <v>11610</v>
      </c>
      <c r="L16344">
        <v>0</v>
      </c>
      <c r="M16344">
        <v>0</v>
      </c>
      <c r="N16344">
        <v>0</v>
      </c>
    </row>
    <row r="16345" spans="1:15">
      <c r="A16345" t="s">
        <v>51231</v>
      </c>
      <c r="B16345" t="s">
        <v>11729</v>
      </c>
      <c r="C16345" t="s">
        <v>41554</v>
      </c>
      <c r="D16345" t="s">
        <v>51232</v>
      </c>
      <c r="E16345" t="b">
        <v>0</v>
      </c>
      <c r="F16345" t="s">
        <v>11624</v>
      </c>
      <c r="G16345">
        <v>4.6242000000000001</v>
      </c>
      <c r="H16345">
        <v>31.910299999999999</v>
      </c>
      <c r="I16345" t="s">
        <v>51233</v>
      </c>
      <c r="L16345">
        <v>0</v>
      </c>
      <c r="M16345">
        <v>0</v>
      </c>
      <c r="N16345">
        <v>0</v>
      </c>
      <c r="O16345" t="s">
        <v>11910</v>
      </c>
    </row>
    <row r="16346" spans="1:15">
      <c r="A16346" t="s">
        <v>32159</v>
      </c>
      <c r="B16346" t="s">
        <v>6742</v>
      </c>
      <c r="C16346" t="s">
        <v>26074</v>
      </c>
      <c r="D16346" t="s">
        <v>51234</v>
      </c>
      <c r="E16346" t="b">
        <v>0</v>
      </c>
      <c r="F16346" t="s">
        <v>11624</v>
      </c>
      <c r="G16346">
        <v>5.9770899999999996</v>
      </c>
      <c r="H16346">
        <v>8.5654599999999999</v>
      </c>
      <c r="I16346" t="s">
        <v>51235</v>
      </c>
      <c r="L16346">
        <v>0</v>
      </c>
      <c r="M16346">
        <v>0</v>
      </c>
      <c r="N16346">
        <v>3</v>
      </c>
      <c r="O16346" t="s">
        <v>11693</v>
      </c>
    </row>
    <row r="16347" spans="1:15">
      <c r="A16347" t="s">
        <v>51236</v>
      </c>
      <c r="B16347" t="s">
        <v>6742</v>
      </c>
      <c r="C16347" t="s">
        <v>32159</v>
      </c>
      <c r="D16347" t="s">
        <v>51237</v>
      </c>
      <c r="E16347" t="b">
        <v>0</v>
      </c>
      <c r="F16347" t="s">
        <v>11610</v>
      </c>
      <c r="L16347">
        <v>0</v>
      </c>
      <c r="M16347">
        <v>0</v>
      </c>
      <c r="N16347">
        <v>0</v>
      </c>
    </row>
    <row r="16348" spans="1:15">
      <c r="A16348" t="s">
        <v>51238</v>
      </c>
      <c r="B16348" t="s">
        <v>6742</v>
      </c>
      <c r="C16348" t="s">
        <v>27504</v>
      </c>
      <c r="D16348" t="s">
        <v>51239</v>
      </c>
      <c r="E16348" t="b">
        <v>0</v>
      </c>
      <c r="F16348" t="s">
        <v>11610</v>
      </c>
      <c r="L16348">
        <v>0</v>
      </c>
      <c r="M16348">
        <v>0</v>
      </c>
      <c r="N16348">
        <v>0</v>
      </c>
    </row>
    <row r="16349" spans="1:15">
      <c r="A16349" t="s">
        <v>51240</v>
      </c>
      <c r="B16349" t="s">
        <v>11615</v>
      </c>
      <c r="C16349" t="s">
        <v>12938</v>
      </c>
      <c r="D16349" t="s">
        <v>51241</v>
      </c>
      <c r="E16349" t="b">
        <v>0</v>
      </c>
      <c r="F16349" t="s">
        <v>11610</v>
      </c>
      <c r="L16349">
        <v>0</v>
      </c>
      <c r="M16349">
        <v>0</v>
      </c>
      <c r="N16349">
        <v>0</v>
      </c>
    </row>
    <row r="16350" spans="1:15">
      <c r="A16350" t="s">
        <v>51242</v>
      </c>
      <c r="B16350" t="s">
        <v>15027</v>
      </c>
      <c r="C16350" t="s">
        <v>44765</v>
      </c>
      <c r="D16350" t="s">
        <v>51243</v>
      </c>
      <c r="E16350" t="b">
        <v>0</v>
      </c>
      <c r="F16350" t="s">
        <v>11624</v>
      </c>
      <c r="G16350">
        <v>17.893699999999999</v>
      </c>
      <c r="H16350">
        <v>-94.886300000000006</v>
      </c>
      <c r="I16350" t="s">
        <v>51244</v>
      </c>
      <c r="L16350">
        <v>0</v>
      </c>
      <c r="M16350">
        <v>0</v>
      </c>
      <c r="N16350">
        <v>0</v>
      </c>
      <c r="O16350" t="s">
        <v>11883</v>
      </c>
    </row>
    <row r="16351" spans="1:15">
      <c r="A16351" t="s">
        <v>51245</v>
      </c>
      <c r="B16351" t="s">
        <v>6742</v>
      </c>
      <c r="C16351" t="s">
        <v>23810</v>
      </c>
      <c r="D16351" t="s">
        <v>51246</v>
      </c>
      <c r="E16351" t="b">
        <v>0</v>
      </c>
      <c r="F16351" t="s">
        <v>11610</v>
      </c>
      <c r="L16351">
        <v>0</v>
      </c>
      <c r="M16351">
        <v>0</v>
      </c>
      <c r="N16351">
        <v>0</v>
      </c>
    </row>
    <row r="16352" spans="1:15">
      <c r="A16352" t="s">
        <v>51247</v>
      </c>
      <c r="B16352" t="s">
        <v>6742</v>
      </c>
      <c r="C16352" t="s">
        <v>12818</v>
      </c>
      <c r="D16352" t="s">
        <v>51248</v>
      </c>
      <c r="E16352" t="b">
        <v>0</v>
      </c>
      <c r="F16352" t="s">
        <v>11610</v>
      </c>
      <c r="L16352">
        <v>0</v>
      </c>
      <c r="M16352">
        <v>0</v>
      </c>
      <c r="N16352">
        <v>0</v>
      </c>
    </row>
    <row r="16353" spans="1:15">
      <c r="A16353" t="s">
        <v>23224</v>
      </c>
      <c r="B16353" t="s">
        <v>11912</v>
      </c>
      <c r="C16353" t="s">
        <v>47642</v>
      </c>
      <c r="D16353" t="s">
        <v>51249</v>
      </c>
      <c r="E16353" t="b">
        <v>0</v>
      </c>
      <c r="F16353" t="s">
        <v>11622</v>
      </c>
      <c r="L16353">
        <v>0</v>
      </c>
      <c r="M16353">
        <v>2</v>
      </c>
      <c r="N16353">
        <v>6</v>
      </c>
    </row>
    <row r="16354" spans="1:15">
      <c r="A16354" t="s">
        <v>12601</v>
      </c>
      <c r="B16354" t="s">
        <v>11912</v>
      </c>
      <c r="C16354" t="s">
        <v>23224</v>
      </c>
      <c r="D16354" t="s">
        <v>51250</v>
      </c>
      <c r="E16354" t="b">
        <v>0</v>
      </c>
      <c r="F16354" t="s">
        <v>11624</v>
      </c>
      <c r="G16354">
        <v>-3.5259999999999998</v>
      </c>
      <c r="H16354">
        <v>-69.166700000000006</v>
      </c>
      <c r="I16354" t="s">
        <v>51251</v>
      </c>
      <c r="L16354">
        <v>0</v>
      </c>
      <c r="M16354">
        <v>0</v>
      </c>
      <c r="N16354">
        <v>4</v>
      </c>
      <c r="O16354" t="s">
        <v>13248</v>
      </c>
    </row>
    <row r="16355" spans="1:15">
      <c r="A16355" t="s">
        <v>51252</v>
      </c>
      <c r="B16355" t="s">
        <v>8897</v>
      </c>
      <c r="C16355" t="s">
        <v>24640</v>
      </c>
      <c r="D16355" t="s">
        <v>51253</v>
      </c>
      <c r="E16355" t="b">
        <v>0</v>
      </c>
      <c r="F16355" t="s">
        <v>11624</v>
      </c>
      <c r="G16355">
        <v>42.0944</v>
      </c>
      <c r="H16355">
        <v>-96.529499999999999</v>
      </c>
      <c r="I16355" t="s">
        <v>51254</v>
      </c>
      <c r="L16355">
        <v>0</v>
      </c>
      <c r="M16355">
        <v>0</v>
      </c>
      <c r="N16355">
        <v>2</v>
      </c>
      <c r="O16355" t="s">
        <v>11944</v>
      </c>
    </row>
    <row r="16356" spans="1:15">
      <c r="A16356" t="s">
        <v>51255</v>
      </c>
      <c r="B16356" t="s">
        <v>8897</v>
      </c>
      <c r="C16356" t="s">
        <v>51252</v>
      </c>
      <c r="D16356" t="s">
        <v>51256</v>
      </c>
      <c r="E16356" t="b">
        <v>0</v>
      </c>
      <c r="F16356" t="s">
        <v>11610</v>
      </c>
      <c r="L16356">
        <v>0</v>
      </c>
      <c r="M16356">
        <v>0</v>
      </c>
      <c r="N16356">
        <v>0</v>
      </c>
    </row>
    <row r="16357" spans="1:15">
      <c r="A16357" t="s">
        <v>51257</v>
      </c>
      <c r="B16357" t="s">
        <v>12218</v>
      </c>
      <c r="C16357" t="s">
        <v>29698</v>
      </c>
      <c r="D16357" t="s">
        <v>51258</v>
      </c>
      <c r="E16357" t="b">
        <v>0</v>
      </c>
      <c r="F16357" t="s">
        <v>11610</v>
      </c>
      <c r="L16357">
        <v>0</v>
      </c>
      <c r="M16357">
        <v>0</v>
      </c>
      <c r="N16357">
        <v>0</v>
      </c>
    </row>
    <row r="16358" spans="1:15">
      <c r="A16358" t="s">
        <v>51259</v>
      </c>
      <c r="B16358" t="s">
        <v>11607</v>
      </c>
      <c r="C16358" t="s">
        <v>4675</v>
      </c>
      <c r="D16358" t="s">
        <v>51260</v>
      </c>
      <c r="E16358" t="b">
        <v>0</v>
      </c>
      <c r="F16358" t="s">
        <v>11624</v>
      </c>
      <c r="G16358">
        <v>23.25</v>
      </c>
      <c r="H16358">
        <v>58.5</v>
      </c>
      <c r="I16358" t="s">
        <v>51261</v>
      </c>
      <c r="L16358">
        <v>0</v>
      </c>
      <c r="M16358">
        <v>0</v>
      </c>
      <c r="N16358">
        <v>0</v>
      </c>
      <c r="O16358" t="s">
        <v>51262</v>
      </c>
    </row>
    <row r="16359" spans="1:15">
      <c r="A16359" t="s">
        <v>51263</v>
      </c>
      <c r="B16359" t="s">
        <v>11627</v>
      </c>
      <c r="C16359" t="s">
        <v>11627</v>
      </c>
      <c r="D16359" t="s">
        <v>51264</v>
      </c>
      <c r="E16359" t="b">
        <v>1</v>
      </c>
      <c r="F16359" t="s">
        <v>11624</v>
      </c>
      <c r="G16359">
        <v>-7.3980800000000002</v>
      </c>
      <c r="H16359">
        <v>144.005</v>
      </c>
      <c r="I16359" t="s">
        <v>51265</v>
      </c>
      <c r="L16359">
        <v>0</v>
      </c>
      <c r="M16359">
        <v>0</v>
      </c>
      <c r="N16359">
        <v>0</v>
      </c>
      <c r="O16359" t="s">
        <v>11660</v>
      </c>
    </row>
    <row r="16360" spans="1:15">
      <c r="A16360" t="s">
        <v>51266</v>
      </c>
      <c r="B16360" t="s">
        <v>6742</v>
      </c>
      <c r="C16360" t="s">
        <v>43711</v>
      </c>
      <c r="D16360" t="s">
        <v>51267</v>
      </c>
      <c r="E16360" t="b">
        <v>0</v>
      </c>
      <c r="F16360" t="s">
        <v>11624</v>
      </c>
      <c r="G16360">
        <v>-2.7534100000000001</v>
      </c>
      <c r="H16360">
        <v>13.617000000000001</v>
      </c>
      <c r="I16360" t="s">
        <v>51268</v>
      </c>
      <c r="L16360">
        <v>0</v>
      </c>
      <c r="M16360">
        <v>0</v>
      </c>
      <c r="N16360">
        <v>0</v>
      </c>
      <c r="O16360" t="s">
        <v>20784</v>
      </c>
    </row>
    <row r="16361" spans="1:15">
      <c r="A16361" t="s">
        <v>51269</v>
      </c>
      <c r="B16361" t="s">
        <v>11615</v>
      </c>
      <c r="C16361" t="s">
        <v>18641</v>
      </c>
      <c r="D16361" t="s">
        <v>51270</v>
      </c>
      <c r="E16361" t="b">
        <v>0</v>
      </c>
      <c r="F16361" t="s">
        <v>11610</v>
      </c>
      <c r="L16361">
        <v>0</v>
      </c>
      <c r="M16361">
        <v>0</v>
      </c>
      <c r="N16361">
        <v>0</v>
      </c>
    </row>
    <row r="16362" spans="1:15">
      <c r="A16362" t="s">
        <v>43711</v>
      </c>
      <c r="B16362" t="s">
        <v>6742</v>
      </c>
      <c r="C16362" t="s">
        <v>51271</v>
      </c>
      <c r="D16362" t="s">
        <v>51272</v>
      </c>
      <c r="E16362" t="b">
        <v>0</v>
      </c>
      <c r="F16362" t="s">
        <v>11622</v>
      </c>
      <c r="L16362">
        <v>0</v>
      </c>
      <c r="M16362">
        <v>4</v>
      </c>
      <c r="N16362">
        <v>5</v>
      </c>
    </row>
    <row r="16363" spans="1:15">
      <c r="A16363" t="s">
        <v>43825</v>
      </c>
      <c r="B16363" t="s">
        <v>6742</v>
      </c>
      <c r="C16363" t="s">
        <v>19681</v>
      </c>
      <c r="D16363" t="s">
        <v>51273</v>
      </c>
      <c r="E16363" t="b">
        <v>0</v>
      </c>
      <c r="F16363" t="s">
        <v>11624</v>
      </c>
      <c r="G16363">
        <v>-2.3216199999999998</v>
      </c>
      <c r="H16363">
        <v>25.174800000000001</v>
      </c>
      <c r="I16363" t="s">
        <v>51274</v>
      </c>
      <c r="L16363">
        <v>0</v>
      </c>
      <c r="M16363">
        <v>0</v>
      </c>
      <c r="N16363">
        <v>1</v>
      </c>
      <c r="O16363" t="s">
        <v>14825</v>
      </c>
    </row>
    <row r="16364" spans="1:15">
      <c r="A16364" t="s">
        <v>51275</v>
      </c>
      <c r="B16364" t="s">
        <v>11627</v>
      </c>
      <c r="C16364" t="s">
        <v>11627</v>
      </c>
      <c r="D16364" t="s">
        <v>51276</v>
      </c>
      <c r="E16364" t="b">
        <v>1</v>
      </c>
      <c r="F16364" t="s">
        <v>11624</v>
      </c>
      <c r="G16364">
        <v>0.99999000000000005</v>
      </c>
      <c r="H16364">
        <v>-70</v>
      </c>
      <c r="I16364" t="s">
        <v>51277</v>
      </c>
      <c r="L16364">
        <v>0</v>
      </c>
      <c r="M16364">
        <v>0</v>
      </c>
      <c r="N16364">
        <v>0</v>
      </c>
      <c r="O16364" t="s">
        <v>11898</v>
      </c>
    </row>
    <row r="16365" spans="1:15">
      <c r="A16365" t="s">
        <v>51278</v>
      </c>
      <c r="B16365" t="s">
        <v>367</v>
      </c>
      <c r="C16365" t="s">
        <v>13008</v>
      </c>
      <c r="D16365" t="s">
        <v>51279</v>
      </c>
      <c r="E16365" t="b">
        <v>0</v>
      </c>
      <c r="F16365" t="s">
        <v>11610</v>
      </c>
      <c r="L16365">
        <v>0</v>
      </c>
      <c r="M16365">
        <v>0</v>
      </c>
      <c r="N16365">
        <v>0</v>
      </c>
    </row>
    <row r="16366" spans="1:15">
      <c r="A16366" t="s">
        <v>51280</v>
      </c>
      <c r="B16366" t="s">
        <v>6742</v>
      </c>
      <c r="C16366" t="s">
        <v>12818</v>
      </c>
      <c r="D16366" t="s">
        <v>51281</v>
      </c>
      <c r="E16366" t="b">
        <v>0</v>
      </c>
      <c r="F16366" t="s">
        <v>11610</v>
      </c>
      <c r="L16366">
        <v>0</v>
      </c>
      <c r="M16366">
        <v>0</v>
      </c>
      <c r="N16366">
        <v>0</v>
      </c>
    </row>
    <row r="16367" spans="1:15">
      <c r="A16367" t="s">
        <v>51282</v>
      </c>
      <c r="B16367" t="s">
        <v>12751</v>
      </c>
      <c r="C16367" t="s">
        <v>26503</v>
      </c>
      <c r="D16367" t="s">
        <v>51283</v>
      </c>
      <c r="E16367" t="b">
        <v>0</v>
      </c>
      <c r="F16367" t="s">
        <v>11624</v>
      </c>
      <c r="G16367">
        <v>16.778600000000001</v>
      </c>
      <c r="H16367">
        <v>-98.427000000000007</v>
      </c>
      <c r="I16367" t="s">
        <v>51284</v>
      </c>
      <c r="L16367">
        <v>0</v>
      </c>
      <c r="M16367">
        <v>0</v>
      </c>
      <c r="N16367">
        <v>0</v>
      </c>
      <c r="O16367" t="s">
        <v>11883</v>
      </c>
    </row>
    <row r="16368" spans="1:15">
      <c r="A16368" t="s">
        <v>22320</v>
      </c>
      <c r="B16368" t="s">
        <v>13571</v>
      </c>
      <c r="C16368" t="s">
        <v>13571</v>
      </c>
      <c r="D16368" t="s">
        <v>51285</v>
      </c>
      <c r="E16368" t="b">
        <v>0</v>
      </c>
      <c r="F16368" t="s">
        <v>11622</v>
      </c>
      <c r="L16368">
        <v>4</v>
      </c>
      <c r="M16368">
        <v>13</v>
      </c>
      <c r="N16368">
        <v>6</v>
      </c>
    </row>
    <row r="16369" spans="1:15">
      <c r="A16369" t="s">
        <v>14708</v>
      </c>
      <c r="B16369" t="s">
        <v>12218</v>
      </c>
      <c r="C16369" t="s">
        <v>16956</v>
      </c>
      <c r="D16369" t="s">
        <v>51286</v>
      </c>
      <c r="E16369" t="b">
        <v>0</v>
      </c>
      <c r="F16369" t="s">
        <v>11624</v>
      </c>
      <c r="G16369">
        <v>-9.0313599999999994</v>
      </c>
      <c r="H16369">
        <v>148.107</v>
      </c>
      <c r="I16369" t="s">
        <v>51287</v>
      </c>
      <c r="L16369">
        <v>0</v>
      </c>
      <c r="M16369">
        <v>0</v>
      </c>
      <c r="N16369">
        <v>3</v>
      </c>
      <c r="O16369" t="s">
        <v>11660</v>
      </c>
    </row>
    <row r="16370" spans="1:15">
      <c r="A16370" t="s">
        <v>51288</v>
      </c>
      <c r="B16370" t="s">
        <v>11729</v>
      </c>
      <c r="C16370" t="s">
        <v>34447</v>
      </c>
      <c r="D16370" t="s">
        <v>51289</v>
      </c>
      <c r="E16370" t="b">
        <v>0</v>
      </c>
      <c r="F16370" t="s">
        <v>11624</v>
      </c>
      <c r="G16370">
        <v>3.2542</v>
      </c>
      <c r="H16370">
        <v>30.538499999999999</v>
      </c>
      <c r="I16370" t="s">
        <v>51290</v>
      </c>
      <c r="L16370">
        <v>0</v>
      </c>
      <c r="M16370">
        <v>0</v>
      </c>
      <c r="N16370">
        <v>0</v>
      </c>
      <c r="O16370" t="s">
        <v>14825</v>
      </c>
    </row>
    <row r="16371" spans="1:15">
      <c r="A16371" t="s">
        <v>51291</v>
      </c>
      <c r="B16371" t="s">
        <v>11644</v>
      </c>
      <c r="C16371" t="s">
        <v>41596</v>
      </c>
      <c r="D16371" t="s">
        <v>51292</v>
      </c>
      <c r="E16371" t="b">
        <v>0</v>
      </c>
      <c r="F16371" t="s">
        <v>11610</v>
      </c>
      <c r="L16371">
        <v>0</v>
      </c>
      <c r="M16371">
        <v>0</v>
      </c>
      <c r="N16371">
        <v>0</v>
      </c>
    </row>
    <row r="16372" spans="1:15">
      <c r="A16372" t="s">
        <v>51293</v>
      </c>
      <c r="B16372" t="s">
        <v>12751</v>
      </c>
      <c r="C16372" t="s">
        <v>51294</v>
      </c>
      <c r="D16372" t="s">
        <v>51295</v>
      </c>
      <c r="E16372" t="b">
        <v>0</v>
      </c>
      <c r="F16372" t="s">
        <v>11624</v>
      </c>
      <c r="L16372">
        <v>0</v>
      </c>
      <c r="M16372">
        <v>0</v>
      </c>
      <c r="N16372">
        <v>0</v>
      </c>
      <c r="O16372" t="s">
        <v>11944</v>
      </c>
    </row>
    <row r="16373" spans="1:15">
      <c r="A16373" t="s">
        <v>36846</v>
      </c>
      <c r="B16373" t="s">
        <v>11615</v>
      </c>
      <c r="C16373" t="s">
        <v>51296</v>
      </c>
      <c r="D16373" t="s">
        <v>51297</v>
      </c>
      <c r="E16373" t="b">
        <v>0</v>
      </c>
      <c r="F16373" t="s">
        <v>11622</v>
      </c>
      <c r="L16373">
        <v>0</v>
      </c>
      <c r="M16373">
        <v>2</v>
      </c>
      <c r="N16373">
        <v>0</v>
      </c>
    </row>
    <row r="16374" spans="1:15">
      <c r="A16374" t="s">
        <v>51298</v>
      </c>
      <c r="B16374" t="s">
        <v>11757</v>
      </c>
      <c r="C16374" t="s">
        <v>29019</v>
      </c>
      <c r="D16374" t="s">
        <v>51299</v>
      </c>
      <c r="E16374" t="b">
        <v>0</v>
      </c>
      <c r="F16374" t="s">
        <v>11624</v>
      </c>
      <c r="G16374">
        <v>-1.3440099999999999</v>
      </c>
      <c r="H16374">
        <v>35.629600000000003</v>
      </c>
      <c r="I16374" t="s">
        <v>51300</v>
      </c>
      <c r="L16374">
        <v>0</v>
      </c>
      <c r="M16374">
        <v>0</v>
      </c>
      <c r="N16374">
        <v>1</v>
      </c>
      <c r="O16374" t="s">
        <v>22848</v>
      </c>
    </row>
    <row r="16375" spans="1:15">
      <c r="A16375" t="s">
        <v>26433</v>
      </c>
      <c r="B16375" t="s">
        <v>11607</v>
      </c>
      <c r="C16375" t="s">
        <v>41781</v>
      </c>
      <c r="D16375" t="s">
        <v>51301</v>
      </c>
      <c r="E16375" t="b">
        <v>0</v>
      </c>
      <c r="F16375" t="s">
        <v>11622</v>
      </c>
      <c r="L16375">
        <v>5</v>
      </c>
      <c r="M16375">
        <v>13</v>
      </c>
      <c r="N16375">
        <v>17</v>
      </c>
    </row>
    <row r="16376" spans="1:15">
      <c r="A16376" t="s">
        <v>51302</v>
      </c>
      <c r="B16376" t="s">
        <v>6742</v>
      </c>
      <c r="C16376" t="s">
        <v>12818</v>
      </c>
      <c r="D16376" t="s">
        <v>51303</v>
      </c>
      <c r="E16376" t="b">
        <v>0</v>
      </c>
      <c r="F16376" t="s">
        <v>11610</v>
      </c>
      <c r="L16376">
        <v>0</v>
      </c>
      <c r="M16376">
        <v>0</v>
      </c>
      <c r="N16376">
        <v>0</v>
      </c>
    </row>
    <row r="16377" spans="1:15">
      <c r="A16377" t="s">
        <v>51304</v>
      </c>
      <c r="D16377" t="s">
        <v>51305</v>
      </c>
      <c r="E16377" t="b">
        <v>0</v>
      </c>
      <c r="F16377" t="s">
        <v>11624</v>
      </c>
      <c r="G16377">
        <v>-4.8166669999999998</v>
      </c>
      <c r="H16377">
        <v>-75.400000000000006</v>
      </c>
      <c r="I16377" t="s">
        <v>51306</v>
      </c>
      <c r="L16377">
        <v>0</v>
      </c>
      <c r="M16377">
        <v>0</v>
      </c>
      <c r="N16377">
        <v>0</v>
      </c>
      <c r="O16377" t="s">
        <v>11778</v>
      </c>
    </row>
    <row r="16378" spans="1:15">
      <c r="A16378" t="s">
        <v>51307</v>
      </c>
      <c r="B16378" t="s">
        <v>4342</v>
      </c>
      <c r="C16378" t="s">
        <v>22540</v>
      </c>
      <c r="D16378" t="s">
        <v>51308</v>
      </c>
      <c r="E16378" t="b">
        <v>0</v>
      </c>
      <c r="F16378" t="s">
        <v>11610</v>
      </c>
      <c r="L16378">
        <v>0</v>
      </c>
      <c r="M16378">
        <v>0</v>
      </c>
      <c r="N16378">
        <v>0</v>
      </c>
    </row>
    <row r="16379" spans="1:15">
      <c r="A16379" t="s">
        <v>51309</v>
      </c>
      <c r="B16379" t="s">
        <v>6742</v>
      </c>
      <c r="C16379" t="s">
        <v>15734</v>
      </c>
      <c r="D16379" t="s">
        <v>51310</v>
      </c>
      <c r="E16379" t="b">
        <v>0</v>
      </c>
      <c r="F16379" t="s">
        <v>11610</v>
      </c>
      <c r="L16379">
        <v>0</v>
      </c>
      <c r="M16379">
        <v>0</v>
      </c>
      <c r="N16379">
        <v>0</v>
      </c>
    </row>
    <row r="16380" spans="1:15">
      <c r="A16380" t="s">
        <v>51311</v>
      </c>
      <c r="B16380" t="s">
        <v>11615</v>
      </c>
      <c r="C16380" t="s">
        <v>11641</v>
      </c>
      <c r="D16380" t="s">
        <v>51312</v>
      </c>
      <c r="E16380" t="b">
        <v>0</v>
      </c>
      <c r="F16380" t="s">
        <v>11610</v>
      </c>
      <c r="L16380">
        <v>0</v>
      </c>
      <c r="M16380">
        <v>0</v>
      </c>
      <c r="N16380">
        <v>0</v>
      </c>
    </row>
    <row r="16381" spans="1:15">
      <c r="A16381" t="s">
        <v>51313</v>
      </c>
      <c r="B16381" t="s">
        <v>11615</v>
      </c>
      <c r="C16381" t="s">
        <v>12938</v>
      </c>
      <c r="D16381" t="s">
        <v>51314</v>
      </c>
      <c r="E16381" t="b">
        <v>0</v>
      </c>
      <c r="F16381" t="s">
        <v>11610</v>
      </c>
      <c r="L16381">
        <v>0</v>
      </c>
      <c r="M16381">
        <v>0</v>
      </c>
      <c r="N16381">
        <v>0</v>
      </c>
    </row>
    <row r="16382" spans="1:15">
      <c r="A16382" t="s">
        <v>208</v>
      </c>
      <c r="B16382" t="s">
        <v>22849</v>
      </c>
      <c r="C16382" t="s">
        <v>30870</v>
      </c>
      <c r="D16382" t="s">
        <v>1531</v>
      </c>
      <c r="E16382" t="b">
        <v>0</v>
      </c>
      <c r="F16382" t="s">
        <v>11624</v>
      </c>
      <c r="G16382">
        <v>-54</v>
      </c>
      <c r="H16382">
        <v>-68.5</v>
      </c>
      <c r="I16382" t="s">
        <v>209</v>
      </c>
      <c r="L16382">
        <v>0</v>
      </c>
      <c r="M16382">
        <v>0</v>
      </c>
      <c r="N16382">
        <v>0</v>
      </c>
      <c r="O16382" t="s">
        <v>11774</v>
      </c>
    </row>
    <row r="16383" spans="1:15">
      <c r="A16383" t="s">
        <v>51315</v>
      </c>
      <c r="B16383" t="s">
        <v>6742</v>
      </c>
      <c r="C16383" t="s">
        <v>3193</v>
      </c>
      <c r="D16383" t="s">
        <v>51316</v>
      </c>
      <c r="E16383" t="b">
        <v>0</v>
      </c>
      <c r="F16383" t="s">
        <v>11610</v>
      </c>
      <c r="L16383">
        <v>0</v>
      </c>
      <c r="M16383">
        <v>0</v>
      </c>
      <c r="N16383">
        <v>0</v>
      </c>
    </row>
    <row r="16384" spans="1:15">
      <c r="A16384" t="s">
        <v>51317</v>
      </c>
      <c r="B16384" t="s">
        <v>6742</v>
      </c>
      <c r="C16384" t="s">
        <v>14829</v>
      </c>
      <c r="D16384" t="s">
        <v>51318</v>
      </c>
      <c r="E16384" t="b">
        <v>0</v>
      </c>
      <c r="F16384" t="s">
        <v>11610</v>
      </c>
      <c r="L16384">
        <v>0</v>
      </c>
      <c r="M16384">
        <v>0</v>
      </c>
      <c r="N16384">
        <v>0</v>
      </c>
    </row>
    <row r="16385" spans="1:15">
      <c r="A16385" t="s">
        <v>21800</v>
      </c>
      <c r="B16385" t="s">
        <v>11834</v>
      </c>
      <c r="C16385" t="s">
        <v>8868</v>
      </c>
      <c r="D16385" t="s">
        <v>51319</v>
      </c>
      <c r="E16385" t="b">
        <v>0</v>
      </c>
      <c r="F16385" t="s">
        <v>11622</v>
      </c>
      <c r="L16385">
        <v>1</v>
      </c>
      <c r="M16385">
        <v>6</v>
      </c>
      <c r="N16385">
        <v>3</v>
      </c>
    </row>
    <row r="16386" spans="1:15">
      <c r="A16386" t="s">
        <v>10913</v>
      </c>
      <c r="B16386" t="s">
        <v>300</v>
      </c>
      <c r="C16386" t="s">
        <v>44962</v>
      </c>
      <c r="D16386" t="s">
        <v>51320</v>
      </c>
      <c r="E16386" t="b">
        <v>0</v>
      </c>
      <c r="F16386" t="s">
        <v>11624</v>
      </c>
      <c r="G16386">
        <v>43.438741999999998</v>
      </c>
      <c r="H16386">
        <v>-75.708106000000001</v>
      </c>
      <c r="I16386" t="s">
        <v>10914</v>
      </c>
      <c r="L16386">
        <v>0</v>
      </c>
      <c r="M16386">
        <v>0</v>
      </c>
      <c r="N16386">
        <v>0</v>
      </c>
      <c r="O16386" t="s">
        <v>14875</v>
      </c>
    </row>
    <row r="16387" spans="1:15">
      <c r="A16387" t="s">
        <v>51321</v>
      </c>
      <c r="B16387" t="s">
        <v>367</v>
      </c>
      <c r="C16387" t="s">
        <v>15137</v>
      </c>
      <c r="D16387" t="s">
        <v>51322</v>
      </c>
      <c r="E16387" t="b">
        <v>0</v>
      </c>
      <c r="F16387" t="s">
        <v>11610</v>
      </c>
      <c r="L16387">
        <v>0</v>
      </c>
      <c r="M16387">
        <v>0</v>
      </c>
      <c r="N16387">
        <v>0</v>
      </c>
    </row>
    <row r="16388" spans="1:15">
      <c r="A16388" t="s">
        <v>47288</v>
      </c>
      <c r="B16388" t="s">
        <v>11757</v>
      </c>
      <c r="C16388" t="s">
        <v>40807</v>
      </c>
      <c r="D16388" t="s">
        <v>51323</v>
      </c>
      <c r="E16388" t="b">
        <v>0</v>
      </c>
      <c r="F16388" t="s">
        <v>11622</v>
      </c>
      <c r="L16388">
        <v>1</v>
      </c>
      <c r="M16388">
        <v>3</v>
      </c>
      <c r="N16388">
        <v>15</v>
      </c>
    </row>
    <row r="16389" spans="1:15">
      <c r="A16389" t="s">
        <v>51324</v>
      </c>
      <c r="B16389" t="s">
        <v>33239</v>
      </c>
      <c r="C16389" t="s">
        <v>33239</v>
      </c>
      <c r="D16389" t="s">
        <v>51325</v>
      </c>
      <c r="E16389" t="b">
        <v>0</v>
      </c>
      <c r="F16389" t="s">
        <v>11624</v>
      </c>
      <c r="G16389">
        <v>10.692600000000001</v>
      </c>
      <c r="H16389">
        <v>92.470699999999994</v>
      </c>
      <c r="I16389" t="s">
        <v>51326</v>
      </c>
      <c r="L16389">
        <v>0</v>
      </c>
      <c r="M16389">
        <v>0</v>
      </c>
      <c r="N16389">
        <v>0</v>
      </c>
      <c r="O16389" t="s">
        <v>11630</v>
      </c>
    </row>
    <row r="16390" spans="1:15">
      <c r="A16390" t="s">
        <v>51327</v>
      </c>
      <c r="B16390" t="s">
        <v>12438</v>
      </c>
      <c r="C16390" t="s">
        <v>40879</v>
      </c>
      <c r="D16390" t="s">
        <v>51328</v>
      </c>
      <c r="E16390" t="b">
        <v>0</v>
      </c>
      <c r="F16390" t="s">
        <v>11624</v>
      </c>
      <c r="G16390">
        <v>15.1225</v>
      </c>
      <c r="H16390">
        <v>106.001</v>
      </c>
      <c r="I16390" t="s">
        <v>51329</v>
      </c>
      <c r="L16390">
        <v>0</v>
      </c>
      <c r="M16390">
        <v>0</v>
      </c>
      <c r="N16390">
        <v>0</v>
      </c>
      <c r="O16390" t="s">
        <v>12921</v>
      </c>
    </row>
    <row r="16391" spans="1:15">
      <c r="A16391" t="s">
        <v>40879</v>
      </c>
      <c r="B16391" t="s">
        <v>12438</v>
      </c>
      <c r="C16391" t="s">
        <v>47382</v>
      </c>
      <c r="D16391" t="s">
        <v>51330</v>
      </c>
      <c r="E16391" t="b">
        <v>0</v>
      </c>
      <c r="F16391" t="s">
        <v>11622</v>
      </c>
      <c r="L16391">
        <v>0</v>
      </c>
      <c r="M16391">
        <v>3</v>
      </c>
      <c r="N16391">
        <v>7</v>
      </c>
    </row>
    <row r="16392" spans="1:15">
      <c r="A16392" t="s">
        <v>51331</v>
      </c>
      <c r="B16392" t="s">
        <v>13450</v>
      </c>
      <c r="C16392" t="s">
        <v>51332</v>
      </c>
      <c r="D16392" t="s">
        <v>51333</v>
      </c>
      <c r="E16392" t="b">
        <v>0</v>
      </c>
      <c r="F16392" t="s">
        <v>11624</v>
      </c>
      <c r="G16392">
        <v>-2.83</v>
      </c>
      <c r="H16392">
        <v>132.083</v>
      </c>
      <c r="I16392" t="s">
        <v>51334</v>
      </c>
      <c r="L16392">
        <v>0</v>
      </c>
      <c r="M16392">
        <v>0</v>
      </c>
      <c r="N16392">
        <v>0</v>
      </c>
      <c r="O16392" t="s">
        <v>11768</v>
      </c>
    </row>
    <row r="16393" spans="1:15">
      <c r="A16393" t="s">
        <v>51335</v>
      </c>
      <c r="B16393" t="s">
        <v>367</v>
      </c>
      <c r="C16393" t="s">
        <v>51336</v>
      </c>
      <c r="D16393" t="s">
        <v>51337</v>
      </c>
      <c r="E16393" t="b">
        <v>0</v>
      </c>
      <c r="F16393" t="s">
        <v>11622</v>
      </c>
      <c r="L16393">
        <v>0</v>
      </c>
      <c r="M16393">
        <v>3</v>
      </c>
      <c r="N16393">
        <v>4</v>
      </c>
    </row>
    <row r="16394" spans="1:15">
      <c r="A16394" t="s">
        <v>47740</v>
      </c>
      <c r="B16394" t="s">
        <v>367</v>
      </c>
      <c r="C16394" t="s">
        <v>51335</v>
      </c>
      <c r="D16394" t="s">
        <v>51338</v>
      </c>
      <c r="E16394" t="b">
        <v>0</v>
      </c>
      <c r="F16394" t="s">
        <v>11624</v>
      </c>
      <c r="G16394">
        <v>-2.75976</v>
      </c>
      <c r="H16394">
        <v>132.06200000000001</v>
      </c>
      <c r="I16394" t="s">
        <v>51339</v>
      </c>
      <c r="L16394">
        <v>0</v>
      </c>
      <c r="M16394">
        <v>0</v>
      </c>
      <c r="N16394">
        <v>4</v>
      </c>
      <c r="O16394" t="s">
        <v>11768</v>
      </c>
    </row>
    <row r="16395" spans="1:15">
      <c r="A16395" t="s">
        <v>51332</v>
      </c>
      <c r="B16395" t="s">
        <v>13450</v>
      </c>
      <c r="C16395" t="s">
        <v>13450</v>
      </c>
      <c r="D16395" t="s">
        <v>51340</v>
      </c>
      <c r="E16395" t="b">
        <v>0</v>
      </c>
      <c r="F16395" t="s">
        <v>11622</v>
      </c>
      <c r="L16395">
        <v>0</v>
      </c>
      <c r="M16395">
        <v>1</v>
      </c>
      <c r="N16395">
        <v>0</v>
      </c>
    </row>
    <row r="16396" spans="1:15">
      <c r="A16396" t="s">
        <v>51341</v>
      </c>
      <c r="B16396" t="s">
        <v>6742</v>
      </c>
      <c r="C16396" t="s">
        <v>12211</v>
      </c>
      <c r="D16396" t="s">
        <v>51342</v>
      </c>
      <c r="E16396" t="b">
        <v>0</v>
      </c>
      <c r="F16396" t="s">
        <v>11610</v>
      </c>
      <c r="L16396">
        <v>0</v>
      </c>
      <c r="M16396">
        <v>0</v>
      </c>
      <c r="N16396">
        <v>0</v>
      </c>
    </row>
    <row r="16397" spans="1:15">
      <c r="A16397" t="s">
        <v>51343</v>
      </c>
      <c r="B16397" t="s">
        <v>23796</v>
      </c>
      <c r="C16397" t="s">
        <v>23796</v>
      </c>
      <c r="D16397" t="s">
        <v>51344</v>
      </c>
      <c r="E16397" t="b">
        <v>0</v>
      </c>
      <c r="F16397" t="s">
        <v>11624</v>
      </c>
      <c r="G16397">
        <v>-9.3182399999999994</v>
      </c>
      <c r="H16397">
        <v>149.12100000000001</v>
      </c>
      <c r="I16397" t="s">
        <v>51345</v>
      </c>
      <c r="L16397">
        <v>0</v>
      </c>
      <c r="M16397">
        <v>0</v>
      </c>
      <c r="N16397">
        <v>0</v>
      </c>
      <c r="O16397" t="s">
        <v>11660</v>
      </c>
    </row>
    <row r="16398" spans="1:15">
      <c r="A16398" t="s">
        <v>51346</v>
      </c>
      <c r="B16398" t="s">
        <v>7862</v>
      </c>
      <c r="C16398" t="s">
        <v>12517</v>
      </c>
      <c r="D16398" t="s">
        <v>51347</v>
      </c>
      <c r="E16398" t="b">
        <v>0</v>
      </c>
      <c r="F16398" t="s">
        <v>11624</v>
      </c>
      <c r="G16398">
        <v>-6.3087600000000004</v>
      </c>
      <c r="H16398">
        <v>142.77600000000001</v>
      </c>
      <c r="I16398" t="s">
        <v>51348</v>
      </c>
      <c r="L16398">
        <v>0</v>
      </c>
      <c r="M16398">
        <v>0</v>
      </c>
      <c r="N16398">
        <v>0</v>
      </c>
      <c r="O16398" t="s">
        <v>11660</v>
      </c>
    </row>
    <row r="16399" spans="1:15">
      <c r="A16399" t="s">
        <v>8302</v>
      </c>
      <c r="B16399" t="s">
        <v>300</v>
      </c>
      <c r="C16399" t="s">
        <v>21267</v>
      </c>
      <c r="D16399" t="s">
        <v>51349</v>
      </c>
      <c r="E16399" t="b">
        <v>0</v>
      </c>
      <c r="F16399" t="s">
        <v>11624</v>
      </c>
      <c r="G16399">
        <v>42.92</v>
      </c>
      <c r="H16399">
        <v>-76.12</v>
      </c>
      <c r="I16399" t="s">
        <v>8573</v>
      </c>
      <c r="L16399">
        <v>0</v>
      </c>
      <c r="M16399">
        <v>0</v>
      </c>
      <c r="N16399">
        <v>0</v>
      </c>
      <c r="O16399" t="s">
        <v>14875</v>
      </c>
    </row>
    <row r="16400" spans="1:15">
      <c r="A16400" t="s">
        <v>13558</v>
      </c>
      <c r="B16400" t="s">
        <v>11615</v>
      </c>
      <c r="C16400" t="s">
        <v>36559</v>
      </c>
      <c r="D16400" t="s">
        <v>51350</v>
      </c>
      <c r="E16400" t="b">
        <v>0</v>
      </c>
      <c r="F16400" t="s">
        <v>11624</v>
      </c>
      <c r="G16400">
        <v>-6.1922300000000003</v>
      </c>
      <c r="H16400">
        <v>147.57900000000001</v>
      </c>
      <c r="I16400" t="s">
        <v>51351</v>
      </c>
      <c r="L16400">
        <v>0</v>
      </c>
      <c r="M16400">
        <v>0</v>
      </c>
      <c r="N16400">
        <v>2</v>
      </c>
      <c r="O16400" t="s">
        <v>11660</v>
      </c>
    </row>
    <row r="16401" spans="1:15">
      <c r="A16401" t="s">
        <v>51352</v>
      </c>
      <c r="B16401" t="s">
        <v>13264</v>
      </c>
      <c r="C16401" t="s">
        <v>18409</v>
      </c>
      <c r="D16401" t="s">
        <v>51353</v>
      </c>
      <c r="E16401" t="b">
        <v>0</v>
      </c>
      <c r="F16401" t="s">
        <v>11610</v>
      </c>
      <c r="L16401">
        <v>0</v>
      </c>
      <c r="M16401">
        <v>0</v>
      </c>
      <c r="N16401">
        <v>0</v>
      </c>
    </row>
    <row r="16402" spans="1:15">
      <c r="A16402" t="s">
        <v>51354</v>
      </c>
      <c r="B16402" t="s">
        <v>4342</v>
      </c>
      <c r="C16402" t="s">
        <v>36468</v>
      </c>
      <c r="D16402" t="s">
        <v>51355</v>
      </c>
      <c r="E16402" t="b">
        <v>0</v>
      </c>
      <c r="F16402" t="s">
        <v>11610</v>
      </c>
      <c r="L16402">
        <v>0</v>
      </c>
      <c r="M16402">
        <v>0</v>
      </c>
      <c r="N16402">
        <v>0</v>
      </c>
    </row>
    <row r="16403" spans="1:15">
      <c r="A16403" t="s">
        <v>51356</v>
      </c>
      <c r="B16403" t="s">
        <v>11627</v>
      </c>
      <c r="C16403" t="s">
        <v>11627</v>
      </c>
      <c r="D16403" t="s">
        <v>51357</v>
      </c>
      <c r="E16403" t="b">
        <v>1</v>
      </c>
      <c r="F16403" t="s">
        <v>11624</v>
      </c>
      <c r="G16403">
        <v>-6.4591200000000004</v>
      </c>
      <c r="H16403">
        <v>145.76499999999999</v>
      </c>
      <c r="I16403" t="s">
        <v>51358</v>
      </c>
      <c r="L16403">
        <v>0</v>
      </c>
      <c r="M16403">
        <v>0</v>
      </c>
      <c r="N16403">
        <v>0</v>
      </c>
      <c r="O16403" t="s">
        <v>11660</v>
      </c>
    </row>
    <row r="16404" spans="1:15">
      <c r="A16404" t="s">
        <v>51359</v>
      </c>
      <c r="B16404" t="s">
        <v>11844</v>
      </c>
      <c r="C16404" t="s">
        <v>13709</v>
      </c>
      <c r="D16404" t="s">
        <v>51360</v>
      </c>
      <c r="E16404" t="b">
        <v>0</v>
      </c>
      <c r="F16404" t="s">
        <v>11610</v>
      </c>
      <c r="L16404">
        <v>0</v>
      </c>
      <c r="M16404">
        <v>0</v>
      </c>
      <c r="N16404">
        <v>0</v>
      </c>
    </row>
    <row r="16405" spans="1:15">
      <c r="A16405" t="s">
        <v>41027</v>
      </c>
      <c r="B16405" t="s">
        <v>367</v>
      </c>
      <c r="C16405" t="s">
        <v>21924</v>
      </c>
      <c r="D16405" t="s">
        <v>51361</v>
      </c>
      <c r="E16405" t="b">
        <v>0</v>
      </c>
      <c r="F16405" t="s">
        <v>11624</v>
      </c>
      <c r="G16405">
        <v>-5.4902899999999999</v>
      </c>
      <c r="H16405">
        <v>159.70099999999999</v>
      </c>
      <c r="I16405" t="s">
        <v>51362</v>
      </c>
      <c r="L16405">
        <v>0</v>
      </c>
      <c r="M16405">
        <v>0</v>
      </c>
      <c r="N16405">
        <v>2</v>
      </c>
      <c r="O16405" t="s">
        <v>13346</v>
      </c>
    </row>
    <row r="16406" spans="1:15">
      <c r="A16406" t="s">
        <v>51363</v>
      </c>
      <c r="B16406" t="s">
        <v>6742</v>
      </c>
      <c r="C16406" t="s">
        <v>12589</v>
      </c>
      <c r="D16406" t="s">
        <v>51364</v>
      </c>
      <c r="E16406" t="b">
        <v>0</v>
      </c>
      <c r="F16406" t="s">
        <v>11610</v>
      </c>
      <c r="L16406">
        <v>0</v>
      </c>
      <c r="M16406">
        <v>0</v>
      </c>
      <c r="N16406">
        <v>0</v>
      </c>
    </row>
    <row r="16407" spans="1:15">
      <c r="A16407" t="s">
        <v>51365</v>
      </c>
      <c r="B16407" t="s">
        <v>11615</v>
      </c>
      <c r="C16407" t="s">
        <v>18641</v>
      </c>
      <c r="D16407" t="s">
        <v>51366</v>
      </c>
      <c r="E16407" t="b">
        <v>0</v>
      </c>
      <c r="F16407" t="s">
        <v>11610</v>
      </c>
      <c r="L16407">
        <v>0</v>
      </c>
      <c r="M16407">
        <v>0</v>
      </c>
      <c r="N16407">
        <v>0</v>
      </c>
    </row>
    <row r="16408" spans="1:15">
      <c r="A16408" t="s">
        <v>51367</v>
      </c>
      <c r="B16408" t="s">
        <v>14798</v>
      </c>
      <c r="C16408" t="s">
        <v>17523</v>
      </c>
      <c r="D16408" t="s">
        <v>51368</v>
      </c>
      <c r="E16408" t="b">
        <v>0</v>
      </c>
      <c r="F16408" t="s">
        <v>11624</v>
      </c>
      <c r="L16408">
        <v>0</v>
      </c>
      <c r="M16408">
        <v>0</v>
      </c>
      <c r="N16408">
        <v>0</v>
      </c>
      <c r="O16408" t="s">
        <v>11660</v>
      </c>
    </row>
    <row r="16409" spans="1:15">
      <c r="A16409" t="s">
        <v>51369</v>
      </c>
      <c r="B16409" t="s">
        <v>11637</v>
      </c>
      <c r="C16409" t="s">
        <v>12227</v>
      </c>
      <c r="D16409" t="s">
        <v>51370</v>
      </c>
      <c r="E16409" t="b">
        <v>0</v>
      </c>
      <c r="F16409" t="s">
        <v>11624</v>
      </c>
      <c r="G16409">
        <v>-28.38447</v>
      </c>
      <c r="H16409">
        <v>23.01446</v>
      </c>
      <c r="I16409" t="s">
        <v>51371</v>
      </c>
      <c r="L16409">
        <v>0</v>
      </c>
      <c r="M16409">
        <v>0</v>
      </c>
      <c r="N16409">
        <v>0</v>
      </c>
      <c r="O16409" t="s">
        <v>21031</v>
      </c>
    </row>
    <row r="16410" spans="1:15">
      <c r="A16410" t="s">
        <v>51372</v>
      </c>
      <c r="B16410" t="s">
        <v>11637</v>
      </c>
      <c r="C16410" t="s">
        <v>14030</v>
      </c>
      <c r="D16410" t="s">
        <v>51373</v>
      </c>
      <c r="E16410" t="b">
        <v>0</v>
      </c>
      <c r="F16410" t="s">
        <v>11610</v>
      </c>
      <c r="L16410">
        <v>0</v>
      </c>
      <c r="M16410">
        <v>0</v>
      </c>
      <c r="N16410">
        <v>0</v>
      </c>
    </row>
    <row r="16411" spans="1:15">
      <c r="A16411" t="s">
        <v>51374</v>
      </c>
      <c r="B16411" t="s">
        <v>11637</v>
      </c>
      <c r="C16411" t="s">
        <v>51375</v>
      </c>
      <c r="D16411" t="s">
        <v>51376</v>
      </c>
      <c r="E16411" t="b">
        <v>0</v>
      </c>
      <c r="F16411" t="s">
        <v>11610</v>
      </c>
      <c r="L16411">
        <v>0</v>
      </c>
      <c r="M16411">
        <v>0</v>
      </c>
      <c r="N16411">
        <v>0</v>
      </c>
    </row>
    <row r="16412" spans="1:15">
      <c r="A16412" t="s">
        <v>51377</v>
      </c>
      <c r="B16412" t="s">
        <v>17854</v>
      </c>
      <c r="C16412" t="s">
        <v>17855</v>
      </c>
      <c r="D16412" t="s">
        <v>51378</v>
      </c>
      <c r="E16412" t="b">
        <v>0</v>
      </c>
      <c r="F16412" t="s">
        <v>11610</v>
      </c>
      <c r="L16412">
        <v>0</v>
      </c>
      <c r="M16412">
        <v>0</v>
      </c>
      <c r="N16412">
        <v>0</v>
      </c>
    </row>
    <row r="16413" spans="1:15">
      <c r="A16413" t="s">
        <v>51379</v>
      </c>
      <c r="B16413" t="s">
        <v>2975</v>
      </c>
      <c r="C16413" t="s">
        <v>24226</v>
      </c>
      <c r="D16413" t="s">
        <v>51380</v>
      </c>
      <c r="E16413" t="b">
        <v>0</v>
      </c>
      <c r="F16413" t="s">
        <v>11610</v>
      </c>
      <c r="L16413">
        <v>0</v>
      </c>
      <c r="M16413">
        <v>0</v>
      </c>
      <c r="N16413">
        <v>0</v>
      </c>
    </row>
    <row r="16414" spans="1:15">
      <c r="A16414" t="s">
        <v>51381</v>
      </c>
      <c r="B16414" t="s">
        <v>11607</v>
      </c>
      <c r="C16414" t="s">
        <v>15662</v>
      </c>
      <c r="D16414" t="s">
        <v>51382</v>
      </c>
      <c r="E16414" t="b">
        <v>0</v>
      </c>
      <c r="F16414" t="s">
        <v>11610</v>
      </c>
      <c r="L16414">
        <v>0</v>
      </c>
      <c r="M16414">
        <v>0</v>
      </c>
      <c r="N16414">
        <v>0</v>
      </c>
    </row>
    <row r="16415" spans="1:15">
      <c r="A16415" t="s">
        <v>51383</v>
      </c>
      <c r="B16415" t="s">
        <v>12425</v>
      </c>
      <c r="C16415" t="s">
        <v>35906</v>
      </c>
      <c r="D16415" t="s">
        <v>51384</v>
      </c>
      <c r="E16415" t="b">
        <v>0</v>
      </c>
      <c r="F16415" t="s">
        <v>11624</v>
      </c>
      <c r="G16415">
        <v>-7.8598800000000004</v>
      </c>
      <c r="H16415">
        <v>145.751</v>
      </c>
      <c r="I16415" t="s">
        <v>51385</v>
      </c>
      <c r="L16415">
        <v>0</v>
      </c>
      <c r="M16415">
        <v>0</v>
      </c>
      <c r="N16415">
        <v>0</v>
      </c>
      <c r="O16415" t="s">
        <v>11660</v>
      </c>
    </row>
    <row r="16416" spans="1:15">
      <c r="A16416" t="s">
        <v>51386</v>
      </c>
      <c r="B16416" t="s">
        <v>12751</v>
      </c>
      <c r="C16416" t="s">
        <v>27528</v>
      </c>
      <c r="D16416" t="s">
        <v>51387</v>
      </c>
      <c r="E16416" t="b">
        <v>0</v>
      </c>
      <c r="F16416" t="s">
        <v>11624</v>
      </c>
      <c r="G16416">
        <v>31.15211</v>
      </c>
      <c r="H16416">
        <v>-110.06211999999999</v>
      </c>
      <c r="I16416" t="s">
        <v>51388</v>
      </c>
      <c r="L16416">
        <v>0</v>
      </c>
      <c r="M16416">
        <v>0</v>
      </c>
      <c r="N16416">
        <v>0</v>
      </c>
      <c r="O16416" t="s">
        <v>11883</v>
      </c>
    </row>
    <row r="16417" spans="1:15">
      <c r="A16417" t="s">
        <v>27528</v>
      </c>
      <c r="B16417" t="s">
        <v>12751</v>
      </c>
      <c r="C16417" t="s">
        <v>20865</v>
      </c>
      <c r="D16417" t="s">
        <v>51389</v>
      </c>
      <c r="E16417" t="b">
        <v>0</v>
      </c>
      <c r="F16417" t="s">
        <v>11622</v>
      </c>
      <c r="L16417">
        <v>0</v>
      </c>
      <c r="M16417">
        <v>2</v>
      </c>
      <c r="N16417">
        <v>0</v>
      </c>
    </row>
    <row r="16418" spans="1:15">
      <c r="A16418" t="s">
        <v>51390</v>
      </c>
      <c r="B16418" t="s">
        <v>11757</v>
      </c>
      <c r="C16418" t="s">
        <v>12119</v>
      </c>
      <c r="D16418" t="s">
        <v>51391</v>
      </c>
      <c r="E16418" t="b">
        <v>0</v>
      </c>
      <c r="F16418" t="s">
        <v>11610</v>
      </c>
      <c r="L16418">
        <v>0</v>
      </c>
      <c r="M16418">
        <v>0</v>
      </c>
      <c r="N16418">
        <v>0</v>
      </c>
    </row>
    <row r="16419" spans="1:15">
      <c r="A16419" t="s">
        <v>51392</v>
      </c>
      <c r="B16419" t="s">
        <v>12697</v>
      </c>
      <c r="C16419" t="s">
        <v>14175</v>
      </c>
      <c r="D16419" t="s">
        <v>51393</v>
      </c>
      <c r="E16419" t="b">
        <v>0</v>
      </c>
      <c r="F16419" t="s">
        <v>11610</v>
      </c>
      <c r="L16419">
        <v>0</v>
      </c>
      <c r="M16419">
        <v>0</v>
      </c>
      <c r="N16419">
        <v>0</v>
      </c>
    </row>
    <row r="16420" spans="1:15">
      <c r="A16420" t="s">
        <v>51394</v>
      </c>
      <c r="B16420" t="s">
        <v>367</v>
      </c>
      <c r="C16420" t="s">
        <v>14563</v>
      </c>
      <c r="D16420" t="s">
        <v>51395</v>
      </c>
      <c r="E16420" t="b">
        <v>0</v>
      </c>
      <c r="F16420" t="s">
        <v>11610</v>
      </c>
      <c r="L16420">
        <v>0</v>
      </c>
      <c r="M16420">
        <v>0</v>
      </c>
      <c r="N16420">
        <v>0</v>
      </c>
    </row>
    <row r="16421" spans="1:15">
      <c r="A16421" t="s">
        <v>51396</v>
      </c>
      <c r="B16421" t="s">
        <v>8310</v>
      </c>
      <c r="C16421" t="s">
        <v>51397</v>
      </c>
      <c r="D16421" t="s">
        <v>51398</v>
      </c>
      <c r="E16421" t="b">
        <v>0</v>
      </c>
      <c r="F16421" t="s">
        <v>11624</v>
      </c>
      <c r="L16421">
        <v>0</v>
      </c>
      <c r="M16421">
        <v>0</v>
      </c>
      <c r="N16421">
        <v>0</v>
      </c>
      <c r="O16421" t="s">
        <v>11898</v>
      </c>
    </row>
    <row r="16422" spans="1:15">
      <c r="A16422" t="s">
        <v>51399</v>
      </c>
      <c r="B16422" t="s">
        <v>11981</v>
      </c>
      <c r="C16422" t="s">
        <v>40310</v>
      </c>
      <c r="D16422" t="s">
        <v>51400</v>
      </c>
      <c r="E16422" t="b">
        <v>0</v>
      </c>
      <c r="F16422" t="s">
        <v>11610</v>
      </c>
      <c r="L16422">
        <v>0</v>
      </c>
      <c r="M16422">
        <v>0</v>
      </c>
      <c r="N16422">
        <v>0</v>
      </c>
    </row>
    <row r="16423" spans="1:15">
      <c r="A16423" t="s">
        <v>51401</v>
      </c>
      <c r="B16423" t="s">
        <v>12697</v>
      </c>
      <c r="C16423" t="s">
        <v>14175</v>
      </c>
      <c r="D16423" t="s">
        <v>51402</v>
      </c>
      <c r="E16423" t="b">
        <v>0</v>
      </c>
      <c r="F16423" t="s">
        <v>11610</v>
      </c>
      <c r="L16423">
        <v>0</v>
      </c>
      <c r="M16423">
        <v>0</v>
      </c>
      <c r="N16423">
        <v>0</v>
      </c>
    </row>
    <row r="16424" spans="1:15">
      <c r="A16424" t="s">
        <v>51403</v>
      </c>
      <c r="B16424" t="s">
        <v>12697</v>
      </c>
      <c r="C16424" t="s">
        <v>14175</v>
      </c>
      <c r="D16424" t="s">
        <v>51404</v>
      </c>
      <c r="E16424" t="b">
        <v>0</v>
      </c>
      <c r="F16424" t="s">
        <v>11610</v>
      </c>
      <c r="L16424">
        <v>0</v>
      </c>
      <c r="M16424">
        <v>0</v>
      </c>
      <c r="N16424">
        <v>0</v>
      </c>
    </row>
    <row r="16425" spans="1:15">
      <c r="A16425" t="s">
        <v>51405</v>
      </c>
      <c r="B16425" t="s">
        <v>17751</v>
      </c>
      <c r="C16425" t="s">
        <v>17751</v>
      </c>
      <c r="D16425" t="s">
        <v>51406</v>
      </c>
      <c r="E16425" t="b">
        <v>0</v>
      </c>
      <c r="F16425" t="s">
        <v>11622</v>
      </c>
      <c r="L16425">
        <v>1</v>
      </c>
      <c r="M16425">
        <v>3</v>
      </c>
      <c r="N16425">
        <v>6</v>
      </c>
    </row>
    <row r="16426" spans="1:15">
      <c r="A16426" t="s">
        <v>20216</v>
      </c>
      <c r="B16426" t="s">
        <v>17751</v>
      </c>
      <c r="C16426" t="s">
        <v>51405</v>
      </c>
      <c r="D16426" t="s">
        <v>51407</v>
      </c>
      <c r="E16426" t="b">
        <v>0</v>
      </c>
      <c r="F16426" t="s">
        <v>11624</v>
      </c>
      <c r="G16426">
        <v>8.4752600000000005</v>
      </c>
      <c r="H16426">
        <v>33.853000000000002</v>
      </c>
      <c r="I16426" t="s">
        <v>51408</v>
      </c>
      <c r="L16426">
        <v>0</v>
      </c>
      <c r="M16426">
        <v>0</v>
      </c>
      <c r="N16426">
        <v>2</v>
      </c>
      <c r="O16426" t="s">
        <v>14035</v>
      </c>
    </row>
    <row r="16427" spans="1:15">
      <c r="A16427" t="s">
        <v>51409</v>
      </c>
      <c r="B16427" t="s">
        <v>6742</v>
      </c>
      <c r="C16427" t="s">
        <v>27093</v>
      </c>
      <c r="D16427" t="s">
        <v>51410</v>
      </c>
      <c r="E16427" t="b">
        <v>0</v>
      </c>
      <c r="F16427" t="s">
        <v>11610</v>
      </c>
      <c r="L16427">
        <v>0</v>
      </c>
      <c r="M16427">
        <v>0</v>
      </c>
      <c r="N16427">
        <v>0</v>
      </c>
    </row>
    <row r="16428" spans="1:15">
      <c r="A16428" t="s">
        <v>51411</v>
      </c>
      <c r="B16428" t="s">
        <v>16042</v>
      </c>
      <c r="C16428" t="s">
        <v>37266</v>
      </c>
      <c r="D16428" t="s">
        <v>51412</v>
      </c>
      <c r="E16428" t="b">
        <v>0</v>
      </c>
      <c r="F16428" t="s">
        <v>11610</v>
      </c>
      <c r="L16428">
        <v>0</v>
      </c>
      <c r="M16428">
        <v>0</v>
      </c>
      <c r="N16428">
        <v>0</v>
      </c>
    </row>
    <row r="16429" spans="1:15">
      <c r="A16429" t="s">
        <v>51413</v>
      </c>
      <c r="B16429" t="s">
        <v>11607</v>
      </c>
      <c r="C16429" t="s">
        <v>13030</v>
      </c>
      <c r="D16429" t="s">
        <v>51414</v>
      </c>
      <c r="E16429" t="b">
        <v>0</v>
      </c>
      <c r="F16429" t="s">
        <v>11610</v>
      </c>
      <c r="L16429">
        <v>0</v>
      </c>
      <c r="M16429">
        <v>0</v>
      </c>
      <c r="N16429">
        <v>0</v>
      </c>
    </row>
    <row r="16430" spans="1:15">
      <c r="A16430" t="s">
        <v>51415</v>
      </c>
      <c r="B16430" t="s">
        <v>12438</v>
      </c>
      <c r="C16430" t="s">
        <v>18163</v>
      </c>
      <c r="D16430" t="s">
        <v>51416</v>
      </c>
      <c r="E16430" t="b">
        <v>0</v>
      </c>
      <c r="F16430" t="s">
        <v>11610</v>
      </c>
      <c r="L16430">
        <v>0</v>
      </c>
      <c r="M16430">
        <v>0</v>
      </c>
      <c r="N16430">
        <v>0</v>
      </c>
    </row>
    <row r="16431" spans="1:15">
      <c r="A16431" t="s">
        <v>51417</v>
      </c>
      <c r="B16431" t="s">
        <v>367</v>
      </c>
      <c r="C16431" t="s">
        <v>5309</v>
      </c>
      <c r="D16431" t="s">
        <v>51418</v>
      </c>
      <c r="E16431" t="b">
        <v>0</v>
      </c>
      <c r="F16431" t="s">
        <v>11610</v>
      </c>
      <c r="L16431">
        <v>0</v>
      </c>
      <c r="M16431">
        <v>0</v>
      </c>
      <c r="N16431">
        <v>0</v>
      </c>
    </row>
    <row r="16432" spans="1:15">
      <c r="A16432" t="s">
        <v>51419</v>
      </c>
      <c r="B16432" t="s">
        <v>367</v>
      </c>
      <c r="C16432" t="s">
        <v>33119</v>
      </c>
      <c r="D16432" t="s">
        <v>51420</v>
      </c>
      <c r="E16432" t="b">
        <v>0</v>
      </c>
      <c r="F16432" t="s">
        <v>11624</v>
      </c>
      <c r="G16432">
        <v>1.88296</v>
      </c>
      <c r="H16432">
        <v>104.008</v>
      </c>
      <c r="I16432" t="s">
        <v>51421</v>
      </c>
      <c r="L16432">
        <v>0</v>
      </c>
      <c r="M16432">
        <v>0</v>
      </c>
      <c r="N16432">
        <v>0</v>
      </c>
      <c r="O16432" t="s">
        <v>11672</v>
      </c>
    </row>
    <row r="16433" spans="1:15">
      <c r="A16433" t="s">
        <v>51422</v>
      </c>
      <c r="B16433" t="s">
        <v>367</v>
      </c>
      <c r="C16433" t="s">
        <v>33119</v>
      </c>
      <c r="D16433" t="s">
        <v>51423</v>
      </c>
      <c r="E16433" t="b">
        <v>0</v>
      </c>
      <c r="F16433" t="s">
        <v>11624</v>
      </c>
      <c r="G16433">
        <v>1.45841</v>
      </c>
      <c r="H16433">
        <v>103.76600000000001</v>
      </c>
      <c r="I16433" t="s">
        <v>51424</v>
      </c>
      <c r="L16433">
        <v>0</v>
      </c>
      <c r="M16433">
        <v>0</v>
      </c>
      <c r="N16433">
        <v>0</v>
      </c>
      <c r="O16433" t="s">
        <v>15610</v>
      </c>
    </row>
    <row r="16434" spans="1:15">
      <c r="A16434" t="s">
        <v>51425</v>
      </c>
      <c r="B16434" t="s">
        <v>11637</v>
      </c>
      <c r="C16434" t="s">
        <v>12230</v>
      </c>
      <c r="D16434" t="s">
        <v>51426</v>
      </c>
      <c r="E16434" t="b">
        <v>0</v>
      </c>
      <c r="F16434" t="s">
        <v>11610</v>
      </c>
      <c r="L16434">
        <v>0</v>
      </c>
      <c r="M16434">
        <v>0</v>
      </c>
      <c r="N16434">
        <v>0</v>
      </c>
    </row>
    <row r="16435" spans="1:15">
      <c r="A16435" t="s">
        <v>19566</v>
      </c>
      <c r="B16435" t="s">
        <v>11637</v>
      </c>
      <c r="C16435" t="s">
        <v>51427</v>
      </c>
      <c r="D16435" t="s">
        <v>51428</v>
      </c>
      <c r="E16435" t="b">
        <v>0</v>
      </c>
      <c r="F16435" t="s">
        <v>11624</v>
      </c>
      <c r="G16435">
        <v>24.745799999999999</v>
      </c>
      <c r="H16435">
        <v>88.915700000000001</v>
      </c>
      <c r="I16435" t="s">
        <v>51429</v>
      </c>
      <c r="L16435">
        <v>0</v>
      </c>
      <c r="M16435">
        <v>0</v>
      </c>
      <c r="N16435">
        <v>4</v>
      </c>
      <c r="O16435" t="s">
        <v>15054</v>
      </c>
    </row>
    <row r="16436" spans="1:15">
      <c r="A16436" t="s">
        <v>51430</v>
      </c>
      <c r="B16436" t="s">
        <v>11844</v>
      </c>
      <c r="C16436" t="s">
        <v>36669</v>
      </c>
      <c r="D16436" t="s">
        <v>51431</v>
      </c>
      <c r="E16436" t="b">
        <v>0</v>
      </c>
      <c r="F16436" t="s">
        <v>11610</v>
      </c>
      <c r="L16436">
        <v>0</v>
      </c>
      <c r="M16436">
        <v>0</v>
      </c>
      <c r="N16436">
        <v>0</v>
      </c>
    </row>
    <row r="16437" spans="1:15">
      <c r="A16437" t="s">
        <v>51432</v>
      </c>
      <c r="B16437" t="s">
        <v>12250</v>
      </c>
      <c r="C16437" t="s">
        <v>22113</v>
      </c>
      <c r="D16437" t="s">
        <v>51433</v>
      </c>
      <c r="E16437" t="b">
        <v>0</v>
      </c>
      <c r="F16437" t="s">
        <v>11610</v>
      </c>
      <c r="L16437">
        <v>0</v>
      </c>
      <c r="M16437">
        <v>0</v>
      </c>
      <c r="N16437">
        <v>0</v>
      </c>
    </row>
    <row r="16438" spans="1:15">
      <c r="A16438" t="s">
        <v>51434</v>
      </c>
      <c r="B16438" t="s">
        <v>331</v>
      </c>
      <c r="C16438" t="s">
        <v>35040</v>
      </c>
      <c r="D16438" t="s">
        <v>51435</v>
      </c>
      <c r="E16438" t="b">
        <v>0</v>
      </c>
      <c r="F16438" t="s">
        <v>11610</v>
      </c>
      <c r="L16438">
        <v>0</v>
      </c>
      <c r="M16438">
        <v>0</v>
      </c>
      <c r="N16438">
        <v>0</v>
      </c>
    </row>
    <row r="16439" spans="1:15">
      <c r="A16439" t="s">
        <v>51436</v>
      </c>
      <c r="B16439" t="s">
        <v>12260</v>
      </c>
      <c r="C16439" t="s">
        <v>32450</v>
      </c>
      <c r="D16439" t="s">
        <v>51437</v>
      </c>
      <c r="E16439" t="b">
        <v>0</v>
      </c>
      <c r="F16439" t="s">
        <v>11610</v>
      </c>
      <c r="L16439">
        <v>0</v>
      </c>
      <c r="M16439">
        <v>0</v>
      </c>
      <c r="N16439">
        <v>0</v>
      </c>
    </row>
    <row r="16440" spans="1:15">
      <c r="A16440" t="s">
        <v>51438</v>
      </c>
      <c r="B16440" t="s">
        <v>4236</v>
      </c>
      <c r="C16440" t="s">
        <v>12592</v>
      </c>
      <c r="D16440" t="s">
        <v>51439</v>
      </c>
      <c r="E16440" t="b">
        <v>0</v>
      </c>
      <c r="F16440" t="s">
        <v>11610</v>
      </c>
      <c r="L16440">
        <v>0</v>
      </c>
      <c r="M16440">
        <v>0</v>
      </c>
      <c r="N16440">
        <v>0</v>
      </c>
    </row>
    <row r="16441" spans="1:15">
      <c r="A16441" t="s">
        <v>51440</v>
      </c>
      <c r="B16441" t="s">
        <v>11637</v>
      </c>
      <c r="C16441" t="s">
        <v>19415</v>
      </c>
      <c r="D16441" t="s">
        <v>51441</v>
      </c>
      <c r="E16441" t="b">
        <v>0</v>
      </c>
      <c r="F16441" t="s">
        <v>11610</v>
      </c>
      <c r="L16441">
        <v>0</v>
      </c>
      <c r="M16441">
        <v>0</v>
      </c>
      <c r="N16441">
        <v>0</v>
      </c>
    </row>
    <row r="16442" spans="1:15">
      <c r="A16442" t="s">
        <v>51442</v>
      </c>
      <c r="B16442" t="s">
        <v>12460</v>
      </c>
      <c r="C16442" t="s">
        <v>20945</v>
      </c>
      <c r="D16442" t="s">
        <v>51443</v>
      </c>
      <c r="E16442" t="b">
        <v>0</v>
      </c>
      <c r="F16442" t="s">
        <v>11622</v>
      </c>
      <c r="L16442">
        <v>1</v>
      </c>
      <c r="M16442">
        <v>5</v>
      </c>
      <c r="N16442">
        <v>0</v>
      </c>
    </row>
    <row r="16443" spans="1:15">
      <c r="A16443" t="s">
        <v>46952</v>
      </c>
      <c r="B16443" t="s">
        <v>2975</v>
      </c>
      <c r="C16443" t="s">
        <v>23425</v>
      </c>
      <c r="D16443" t="s">
        <v>51444</v>
      </c>
      <c r="E16443" t="b">
        <v>0</v>
      </c>
      <c r="F16443" t="s">
        <v>11624</v>
      </c>
      <c r="G16443">
        <v>-2.8631500000000001</v>
      </c>
      <c r="H16443">
        <v>-72.492599999999996</v>
      </c>
      <c r="I16443" t="s">
        <v>51445</v>
      </c>
      <c r="L16443">
        <v>0</v>
      </c>
      <c r="M16443">
        <v>0</v>
      </c>
      <c r="N16443">
        <v>1</v>
      </c>
      <c r="O16443" t="s">
        <v>11778</v>
      </c>
    </row>
    <row r="16444" spans="1:15">
      <c r="A16444" t="s">
        <v>51446</v>
      </c>
      <c r="B16444" t="s">
        <v>23796</v>
      </c>
      <c r="C16444" t="s">
        <v>28337</v>
      </c>
      <c r="D16444" t="s">
        <v>51447</v>
      </c>
      <c r="E16444" t="b">
        <v>0</v>
      </c>
      <c r="F16444" t="s">
        <v>11610</v>
      </c>
      <c r="L16444">
        <v>0</v>
      </c>
      <c r="M16444">
        <v>0</v>
      </c>
      <c r="N16444">
        <v>0</v>
      </c>
    </row>
    <row r="16445" spans="1:15">
      <c r="A16445" t="s">
        <v>51448</v>
      </c>
      <c r="B16445" t="s">
        <v>12250</v>
      </c>
      <c r="C16445" t="s">
        <v>51449</v>
      </c>
      <c r="D16445" t="s">
        <v>51450</v>
      </c>
      <c r="E16445" t="b">
        <v>0</v>
      </c>
      <c r="F16445" t="s">
        <v>11610</v>
      </c>
      <c r="L16445">
        <v>0</v>
      </c>
      <c r="M16445">
        <v>0</v>
      </c>
      <c r="N16445">
        <v>0</v>
      </c>
    </row>
    <row r="16446" spans="1:15">
      <c r="A16446" t="s">
        <v>51451</v>
      </c>
      <c r="B16446" t="s">
        <v>12686</v>
      </c>
      <c r="C16446" t="s">
        <v>36770</v>
      </c>
      <c r="D16446" t="s">
        <v>51452</v>
      </c>
      <c r="E16446" t="b">
        <v>0</v>
      </c>
      <c r="F16446" t="s">
        <v>11610</v>
      </c>
      <c r="L16446">
        <v>0</v>
      </c>
      <c r="M16446">
        <v>0</v>
      </c>
      <c r="N16446">
        <v>0</v>
      </c>
    </row>
    <row r="16447" spans="1:15">
      <c r="A16447" t="s">
        <v>51453</v>
      </c>
      <c r="B16447" t="s">
        <v>367</v>
      </c>
      <c r="C16447" t="s">
        <v>42160</v>
      </c>
      <c r="D16447" t="s">
        <v>51454</v>
      </c>
      <c r="E16447" t="b">
        <v>0</v>
      </c>
      <c r="F16447" t="s">
        <v>11610</v>
      </c>
      <c r="L16447">
        <v>0</v>
      </c>
      <c r="M16447">
        <v>0</v>
      </c>
      <c r="N16447">
        <v>0</v>
      </c>
    </row>
    <row r="16448" spans="1:15">
      <c r="A16448" t="s">
        <v>51455</v>
      </c>
      <c r="B16448" t="s">
        <v>11607</v>
      </c>
      <c r="C16448" t="s">
        <v>30939</v>
      </c>
      <c r="D16448" t="s">
        <v>51456</v>
      </c>
      <c r="E16448" t="b">
        <v>0</v>
      </c>
      <c r="F16448" t="s">
        <v>11610</v>
      </c>
      <c r="L16448">
        <v>0</v>
      </c>
      <c r="M16448">
        <v>0</v>
      </c>
      <c r="N16448">
        <v>0</v>
      </c>
    </row>
    <row r="16449" spans="1:15">
      <c r="A16449" t="s">
        <v>51457</v>
      </c>
      <c r="B16449" t="s">
        <v>11981</v>
      </c>
      <c r="C16449" t="s">
        <v>11982</v>
      </c>
      <c r="D16449" t="s">
        <v>51458</v>
      </c>
      <c r="E16449" t="b">
        <v>0</v>
      </c>
      <c r="F16449" t="s">
        <v>11624</v>
      </c>
      <c r="G16449">
        <v>9.9351350000000007</v>
      </c>
      <c r="H16449">
        <v>-84.010538999999994</v>
      </c>
      <c r="L16449">
        <v>0</v>
      </c>
      <c r="M16449">
        <v>0</v>
      </c>
      <c r="N16449">
        <v>0</v>
      </c>
      <c r="O16449" t="s">
        <v>19659</v>
      </c>
    </row>
    <row r="16450" spans="1:15">
      <c r="A16450" t="s">
        <v>51459</v>
      </c>
      <c r="B16450" t="s">
        <v>45308</v>
      </c>
      <c r="C16450" t="s">
        <v>45309</v>
      </c>
      <c r="D16450" t="s">
        <v>51460</v>
      </c>
      <c r="E16450" t="b">
        <v>0</v>
      </c>
      <c r="F16450" t="s">
        <v>11610</v>
      </c>
      <c r="L16450">
        <v>0</v>
      </c>
      <c r="M16450">
        <v>0</v>
      </c>
      <c r="N16450">
        <v>0</v>
      </c>
    </row>
    <row r="16451" spans="1:15">
      <c r="A16451" t="s">
        <v>51007</v>
      </c>
      <c r="B16451" t="s">
        <v>6742</v>
      </c>
      <c r="C16451" t="s">
        <v>37453</v>
      </c>
      <c r="D16451" t="s">
        <v>51461</v>
      </c>
      <c r="E16451" t="b">
        <v>0</v>
      </c>
      <c r="F16451" t="s">
        <v>11624</v>
      </c>
      <c r="G16451">
        <v>6.6875299999999998</v>
      </c>
      <c r="H16451">
        <v>8.1200500000000009</v>
      </c>
      <c r="I16451" t="s">
        <v>51462</v>
      </c>
      <c r="L16451">
        <v>0</v>
      </c>
      <c r="M16451">
        <v>0</v>
      </c>
      <c r="N16451">
        <v>3</v>
      </c>
      <c r="O16451" t="s">
        <v>11693</v>
      </c>
    </row>
    <row r="16452" spans="1:15">
      <c r="A16452" t="s">
        <v>51463</v>
      </c>
      <c r="B16452" t="s">
        <v>11879</v>
      </c>
      <c r="C16452" t="s">
        <v>24903</v>
      </c>
      <c r="D16452" t="s">
        <v>51464</v>
      </c>
      <c r="E16452" t="b">
        <v>0</v>
      </c>
      <c r="F16452" t="s">
        <v>11610</v>
      </c>
      <c r="L16452">
        <v>0</v>
      </c>
      <c r="M16452">
        <v>0</v>
      </c>
      <c r="N16452">
        <v>0</v>
      </c>
    </row>
    <row r="16453" spans="1:15">
      <c r="A16453" t="s">
        <v>28710</v>
      </c>
      <c r="B16453" t="s">
        <v>11637</v>
      </c>
      <c r="C16453" t="s">
        <v>30621</v>
      </c>
      <c r="D16453" t="s">
        <v>51465</v>
      </c>
      <c r="E16453" t="b">
        <v>0</v>
      </c>
      <c r="F16453" t="s">
        <v>11622</v>
      </c>
      <c r="L16453">
        <v>9</v>
      </c>
      <c r="M16453">
        <v>23</v>
      </c>
      <c r="N16453">
        <v>28</v>
      </c>
    </row>
    <row r="16454" spans="1:15">
      <c r="A16454" t="s">
        <v>30619</v>
      </c>
      <c r="B16454" t="s">
        <v>11637</v>
      </c>
      <c r="C16454" t="s">
        <v>12082</v>
      </c>
      <c r="D16454" t="s">
        <v>51466</v>
      </c>
      <c r="E16454" t="b">
        <v>0</v>
      </c>
      <c r="F16454" t="s">
        <v>11624</v>
      </c>
      <c r="G16454">
        <v>21</v>
      </c>
      <c r="H16454">
        <v>85</v>
      </c>
      <c r="I16454" t="s">
        <v>51467</v>
      </c>
      <c r="L16454">
        <v>0</v>
      </c>
      <c r="M16454">
        <v>0</v>
      </c>
      <c r="N16454">
        <v>7</v>
      </c>
      <c r="O16454" t="s">
        <v>11630</v>
      </c>
    </row>
    <row r="16455" spans="1:15">
      <c r="A16455" t="s">
        <v>32972</v>
      </c>
      <c r="B16455" t="s">
        <v>12751</v>
      </c>
      <c r="C16455" t="s">
        <v>51468</v>
      </c>
      <c r="D16455" t="s">
        <v>51469</v>
      </c>
      <c r="E16455" t="b">
        <v>0</v>
      </c>
      <c r="F16455" t="s">
        <v>11624</v>
      </c>
      <c r="G16455">
        <v>18.639949999999999</v>
      </c>
      <c r="H16455">
        <v>-96.976479999999995</v>
      </c>
      <c r="I16455" t="s">
        <v>51470</v>
      </c>
      <c r="L16455">
        <v>0</v>
      </c>
      <c r="M16455">
        <v>0</v>
      </c>
      <c r="N16455">
        <v>1</v>
      </c>
      <c r="O16455" t="s">
        <v>11883</v>
      </c>
    </row>
    <row r="16456" spans="1:15">
      <c r="A16456" t="s">
        <v>51471</v>
      </c>
      <c r="B16456" t="s">
        <v>331</v>
      </c>
      <c r="C16456" t="s">
        <v>51179</v>
      </c>
      <c r="D16456" t="s">
        <v>51472</v>
      </c>
      <c r="E16456" t="b">
        <v>0</v>
      </c>
      <c r="F16456" t="s">
        <v>11610</v>
      </c>
      <c r="L16456">
        <v>0</v>
      </c>
      <c r="M16456">
        <v>0</v>
      </c>
      <c r="N16456">
        <v>0</v>
      </c>
    </row>
    <row r="16457" spans="1:15">
      <c r="A16457" t="s">
        <v>51473</v>
      </c>
      <c r="B16457" t="s">
        <v>11637</v>
      </c>
      <c r="C16457" t="s">
        <v>32504</v>
      </c>
      <c r="D16457" t="s">
        <v>51474</v>
      </c>
      <c r="E16457" t="b">
        <v>0</v>
      </c>
      <c r="F16457" t="s">
        <v>11610</v>
      </c>
      <c r="L16457">
        <v>0</v>
      </c>
      <c r="M16457">
        <v>0</v>
      </c>
      <c r="N16457">
        <v>0</v>
      </c>
    </row>
    <row r="16458" spans="1:15">
      <c r="A16458" t="s">
        <v>51475</v>
      </c>
      <c r="B16458" t="s">
        <v>367</v>
      </c>
      <c r="C16458" t="s">
        <v>51476</v>
      </c>
      <c r="D16458" t="s">
        <v>51477</v>
      </c>
      <c r="E16458" t="b">
        <v>0</v>
      </c>
      <c r="F16458" t="s">
        <v>11624</v>
      </c>
      <c r="G16458">
        <v>-16.210501000000001</v>
      </c>
      <c r="H16458">
        <v>168.212109</v>
      </c>
      <c r="I16458" t="s">
        <v>51478</v>
      </c>
      <c r="L16458">
        <v>0</v>
      </c>
      <c r="M16458">
        <v>0</v>
      </c>
      <c r="N16458">
        <v>0</v>
      </c>
      <c r="O16458" t="s">
        <v>12719</v>
      </c>
    </row>
    <row r="16459" spans="1:15">
      <c r="A16459" t="s">
        <v>51479</v>
      </c>
      <c r="B16459" t="s">
        <v>12611</v>
      </c>
      <c r="C16459" t="s">
        <v>25273</v>
      </c>
      <c r="D16459" t="s">
        <v>51480</v>
      </c>
      <c r="E16459" t="b">
        <v>0</v>
      </c>
      <c r="F16459" t="s">
        <v>11610</v>
      </c>
      <c r="L16459">
        <v>0</v>
      </c>
      <c r="M16459">
        <v>0</v>
      </c>
      <c r="N16459">
        <v>0</v>
      </c>
    </row>
    <row r="16460" spans="1:15">
      <c r="A16460" t="s">
        <v>51481</v>
      </c>
      <c r="B16460" t="s">
        <v>6742</v>
      </c>
      <c r="C16460" t="s">
        <v>12211</v>
      </c>
      <c r="D16460" t="s">
        <v>51482</v>
      </c>
      <c r="E16460" t="b">
        <v>0</v>
      </c>
      <c r="F16460" t="s">
        <v>11610</v>
      </c>
      <c r="L16460">
        <v>0</v>
      </c>
      <c r="M16460">
        <v>0</v>
      </c>
      <c r="N16460">
        <v>0</v>
      </c>
    </row>
    <row r="16461" spans="1:15">
      <c r="A16461" t="s">
        <v>45832</v>
      </c>
      <c r="B16461" t="s">
        <v>11607</v>
      </c>
      <c r="C16461" t="s">
        <v>19574</v>
      </c>
      <c r="D16461" t="s">
        <v>51483</v>
      </c>
      <c r="E16461" t="b">
        <v>0</v>
      </c>
      <c r="F16461" t="s">
        <v>11624</v>
      </c>
      <c r="G16461">
        <v>-1.7948900000000001</v>
      </c>
      <c r="H16461">
        <v>39.607489999999999</v>
      </c>
      <c r="I16461" t="s">
        <v>51484</v>
      </c>
      <c r="L16461">
        <v>0</v>
      </c>
      <c r="M16461">
        <v>0</v>
      </c>
      <c r="N16461">
        <v>3</v>
      </c>
      <c r="O16461" t="s">
        <v>22848</v>
      </c>
    </row>
    <row r="16462" spans="1:15">
      <c r="A16462" t="s">
        <v>34804</v>
      </c>
      <c r="B16462" t="s">
        <v>11637</v>
      </c>
      <c r="C16462" t="s">
        <v>51485</v>
      </c>
      <c r="D16462" t="s">
        <v>51486</v>
      </c>
      <c r="E16462" t="b">
        <v>0</v>
      </c>
      <c r="F16462" t="s">
        <v>11624</v>
      </c>
      <c r="G16462">
        <v>32.681899999999999</v>
      </c>
      <c r="H16462">
        <v>69.344399999999993</v>
      </c>
      <c r="I16462" t="s">
        <v>51487</v>
      </c>
      <c r="L16462">
        <v>0</v>
      </c>
      <c r="M16462">
        <v>0</v>
      </c>
      <c r="N16462">
        <v>2</v>
      </c>
      <c r="O16462" t="s">
        <v>21350</v>
      </c>
    </row>
    <row r="16463" spans="1:15">
      <c r="A16463" t="s">
        <v>51488</v>
      </c>
      <c r="B16463" t="s">
        <v>367</v>
      </c>
      <c r="C16463" t="s">
        <v>33319</v>
      </c>
      <c r="D16463" t="s">
        <v>51489</v>
      </c>
      <c r="E16463" t="b">
        <v>0</v>
      </c>
      <c r="F16463" t="s">
        <v>11624</v>
      </c>
      <c r="G16463">
        <v>-2.5136099999999999</v>
      </c>
      <c r="H16463">
        <v>140.60149999999999</v>
      </c>
      <c r="I16463" t="s">
        <v>51490</v>
      </c>
      <c r="L16463">
        <v>0</v>
      </c>
      <c r="M16463">
        <v>0</v>
      </c>
      <c r="N16463">
        <v>0</v>
      </c>
      <c r="O16463" t="s">
        <v>11768</v>
      </c>
    </row>
    <row r="16464" spans="1:15">
      <c r="A16464" t="s">
        <v>51485</v>
      </c>
      <c r="B16464" t="s">
        <v>11637</v>
      </c>
      <c r="C16464" t="s">
        <v>2187</v>
      </c>
      <c r="D16464" t="s">
        <v>51491</v>
      </c>
      <c r="E16464" t="b">
        <v>0</v>
      </c>
      <c r="F16464" t="s">
        <v>11622</v>
      </c>
      <c r="L16464">
        <v>0</v>
      </c>
      <c r="M16464">
        <v>2</v>
      </c>
      <c r="N16464">
        <v>5</v>
      </c>
    </row>
    <row r="16465" spans="1:15">
      <c r="A16465" t="s">
        <v>36770</v>
      </c>
      <c r="B16465" t="s">
        <v>12686</v>
      </c>
      <c r="C16465" t="s">
        <v>21792</v>
      </c>
      <c r="D16465" t="s">
        <v>51492</v>
      </c>
      <c r="E16465" t="b">
        <v>0</v>
      </c>
      <c r="F16465" t="s">
        <v>11624</v>
      </c>
      <c r="G16465">
        <v>50.323500000000003</v>
      </c>
      <c r="H16465">
        <v>137.851</v>
      </c>
      <c r="I16465" t="s">
        <v>51493</v>
      </c>
      <c r="L16465">
        <v>0</v>
      </c>
      <c r="M16465">
        <v>0</v>
      </c>
      <c r="N16465">
        <v>4</v>
      </c>
      <c r="O16465" t="s">
        <v>12748</v>
      </c>
    </row>
    <row r="16466" spans="1:15">
      <c r="A16466" t="s">
        <v>51494</v>
      </c>
      <c r="B16466" t="s">
        <v>367</v>
      </c>
      <c r="C16466" t="s">
        <v>14441</v>
      </c>
      <c r="D16466" t="s">
        <v>51495</v>
      </c>
      <c r="E16466" t="b">
        <v>0</v>
      </c>
      <c r="F16466" t="s">
        <v>11624</v>
      </c>
      <c r="G16466">
        <v>-9.7385999999999999</v>
      </c>
      <c r="H16466">
        <v>161.51300000000001</v>
      </c>
      <c r="I16466" t="s">
        <v>51496</v>
      </c>
      <c r="L16466">
        <v>0</v>
      </c>
      <c r="M16466">
        <v>0</v>
      </c>
      <c r="N16466">
        <v>0</v>
      </c>
      <c r="O16466" t="s">
        <v>13346</v>
      </c>
    </row>
    <row r="16467" spans="1:15">
      <c r="A16467" t="s">
        <v>46436</v>
      </c>
      <c r="B16467" t="s">
        <v>12686</v>
      </c>
      <c r="C16467" t="s">
        <v>21793</v>
      </c>
      <c r="D16467" t="s">
        <v>51497</v>
      </c>
      <c r="E16467" t="b">
        <v>0</v>
      </c>
      <c r="F16467" t="s">
        <v>11622</v>
      </c>
      <c r="L16467">
        <v>1</v>
      </c>
      <c r="M16467">
        <v>3</v>
      </c>
      <c r="N16467">
        <v>10</v>
      </c>
    </row>
    <row r="16468" spans="1:15">
      <c r="A16468" t="s">
        <v>2057</v>
      </c>
      <c r="B16468" t="s">
        <v>12686</v>
      </c>
      <c r="C16468" t="s">
        <v>51498</v>
      </c>
      <c r="D16468" t="s">
        <v>51499</v>
      </c>
      <c r="E16468" t="b">
        <v>0</v>
      </c>
      <c r="F16468" t="s">
        <v>11624</v>
      </c>
      <c r="G16468">
        <v>49.363900000000001</v>
      </c>
      <c r="H16468">
        <v>143.12799999999999</v>
      </c>
      <c r="I16468" t="s">
        <v>2058</v>
      </c>
      <c r="L16468">
        <v>0</v>
      </c>
      <c r="M16468">
        <v>0</v>
      </c>
      <c r="N16468">
        <v>2</v>
      </c>
      <c r="O16468" t="s">
        <v>12748</v>
      </c>
    </row>
    <row r="16469" spans="1:15">
      <c r="A16469" t="s">
        <v>18635</v>
      </c>
      <c r="B16469" t="s">
        <v>6742</v>
      </c>
      <c r="C16469" t="s">
        <v>37762</v>
      </c>
      <c r="D16469" t="s">
        <v>51500</v>
      </c>
      <c r="E16469" t="b">
        <v>0</v>
      </c>
      <c r="F16469" t="s">
        <v>11624</v>
      </c>
      <c r="G16469">
        <v>4.8950399999999998</v>
      </c>
      <c r="H16469">
        <v>9.1520899999999994</v>
      </c>
      <c r="I16469" t="s">
        <v>51501</v>
      </c>
      <c r="L16469">
        <v>0</v>
      </c>
      <c r="M16469">
        <v>0</v>
      </c>
      <c r="N16469">
        <v>9</v>
      </c>
      <c r="O16469" t="s">
        <v>11703</v>
      </c>
    </row>
    <row r="16470" spans="1:15">
      <c r="A16470" t="s">
        <v>51502</v>
      </c>
      <c r="B16470" t="s">
        <v>12425</v>
      </c>
      <c r="C16470" t="s">
        <v>35906</v>
      </c>
      <c r="D16470" t="s">
        <v>51503</v>
      </c>
      <c r="E16470" t="b">
        <v>0</v>
      </c>
      <c r="F16470" t="s">
        <v>11624</v>
      </c>
      <c r="G16470">
        <v>-7.8130899999999999</v>
      </c>
      <c r="H16470">
        <v>145.34</v>
      </c>
      <c r="I16470" t="s">
        <v>51504</v>
      </c>
      <c r="L16470">
        <v>0</v>
      </c>
      <c r="M16470">
        <v>0</v>
      </c>
      <c r="N16470">
        <v>0</v>
      </c>
      <c r="O16470" t="s">
        <v>11660</v>
      </c>
    </row>
    <row r="16471" spans="1:15">
      <c r="A16471" t="s">
        <v>12154</v>
      </c>
      <c r="B16471" t="s">
        <v>11615</v>
      </c>
      <c r="C16471" t="s">
        <v>23146</v>
      </c>
      <c r="D16471" t="s">
        <v>51505</v>
      </c>
      <c r="E16471" t="b">
        <v>0</v>
      </c>
      <c r="F16471" t="s">
        <v>11622</v>
      </c>
      <c r="L16471">
        <v>0</v>
      </c>
      <c r="M16471">
        <v>3</v>
      </c>
      <c r="N16471">
        <v>0</v>
      </c>
    </row>
    <row r="16472" spans="1:15">
      <c r="A16472" t="s">
        <v>51506</v>
      </c>
      <c r="B16472" t="s">
        <v>11615</v>
      </c>
      <c r="C16472" t="s">
        <v>12154</v>
      </c>
      <c r="D16472" t="s">
        <v>51507</v>
      </c>
      <c r="E16472" t="b">
        <v>0</v>
      </c>
      <c r="F16472" t="s">
        <v>11624</v>
      </c>
      <c r="G16472">
        <v>-8.7901900000000008</v>
      </c>
      <c r="H16472">
        <v>148.09</v>
      </c>
      <c r="I16472" t="s">
        <v>51508</v>
      </c>
      <c r="L16472">
        <v>0</v>
      </c>
      <c r="M16472">
        <v>0</v>
      </c>
      <c r="N16472">
        <v>0</v>
      </c>
      <c r="O16472" t="s">
        <v>11660</v>
      </c>
    </row>
    <row r="16473" spans="1:15">
      <c r="A16473" t="s">
        <v>51509</v>
      </c>
      <c r="B16473" t="s">
        <v>11627</v>
      </c>
      <c r="C16473" t="s">
        <v>11627</v>
      </c>
      <c r="D16473" t="s">
        <v>51510</v>
      </c>
      <c r="E16473" t="b">
        <v>1</v>
      </c>
      <c r="F16473" t="s">
        <v>11624</v>
      </c>
      <c r="I16473" t="s">
        <v>51511</v>
      </c>
      <c r="L16473">
        <v>0</v>
      </c>
      <c r="M16473">
        <v>0</v>
      </c>
      <c r="N16473">
        <v>0</v>
      </c>
    </row>
    <row r="16474" spans="1:15">
      <c r="A16474" t="s">
        <v>51512</v>
      </c>
      <c r="B16474" t="s">
        <v>16986</v>
      </c>
      <c r="C16474" t="s">
        <v>51513</v>
      </c>
      <c r="D16474" t="s">
        <v>51514</v>
      </c>
      <c r="E16474" t="b">
        <v>0</v>
      </c>
      <c r="F16474" t="s">
        <v>11610</v>
      </c>
      <c r="L16474">
        <v>0</v>
      </c>
      <c r="M16474">
        <v>0</v>
      </c>
      <c r="N16474">
        <v>0</v>
      </c>
    </row>
    <row r="16475" spans="1:15">
      <c r="A16475" t="s">
        <v>51515</v>
      </c>
      <c r="B16475" t="s">
        <v>11757</v>
      </c>
      <c r="C16475" t="s">
        <v>40504</v>
      </c>
      <c r="D16475" t="s">
        <v>51516</v>
      </c>
      <c r="E16475" t="b">
        <v>0</v>
      </c>
      <c r="F16475" t="s">
        <v>11610</v>
      </c>
      <c r="L16475">
        <v>0</v>
      </c>
      <c r="M16475">
        <v>0</v>
      </c>
      <c r="N16475">
        <v>0</v>
      </c>
    </row>
    <row r="16476" spans="1:15">
      <c r="A16476" t="s">
        <v>51517</v>
      </c>
      <c r="B16476" t="s">
        <v>6742</v>
      </c>
      <c r="C16476" t="s">
        <v>21831</v>
      </c>
      <c r="D16476" t="s">
        <v>51518</v>
      </c>
      <c r="E16476" t="b">
        <v>0</v>
      </c>
      <c r="F16476" t="s">
        <v>11624</v>
      </c>
      <c r="G16476">
        <v>4.8613400000000002</v>
      </c>
      <c r="H16476">
        <v>8.1139399999999995</v>
      </c>
      <c r="I16476" t="s">
        <v>51519</v>
      </c>
      <c r="L16476">
        <v>0</v>
      </c>
      <c r="M16476">
        <v>0</v>
      </c>
      <c r="N16476">
        <v>0</v>
      </c>
      <c r="O16476" t="s">
        <v>11693</v>
      </c>
    </row>
    <row r="16477" spans="1:15">
      <c r="A16477" t="s">
        <v>51520</v>
      </c>
      <c r="B16477" t="s">
        <v>11627</v>
      </c>
      <c r="C16477" t="s">
        <v>11627</v>
      </c>
      <c r="D16477" t="s">
        <v>51521</v>
      </c>
      <c r="E16477" t="b">
        <v>1</v>
      </c>
      <c r="F16477" t="s">
        <v>11624</v>
      </c>
      <c r="L16477">
        <v>0</v>
      </c>
      <c r="M16477">
        <v>0</v>
      </c>
      <c r="N16477">
        <v>0</v>
      </c>
      <c r="O16477" t="s">
        <v>25786</v>
      </c>
    </row>
    <row r="16478" spans="1:15">
      <c r="A16478" t="s">
        <v>28573</v>
      </c>
      <c r="B16478" t="s">
        <v>12686</v>
      </c>
      <c r="C16478" t="s">
        <v>27548</v>
      </c>
      <c r="D16478" t="s">
        <v>51522</v>
      </c>
      <c r="E16478" t="b">
        <v>0</v>
      </c>
      <c r="F16478" t="s">
        <v>11624</v>
      </c>
      <c r="G16478">
        <v>50.631900000000002</v>
      </c>
      <c r="H16478">
        <v>125.017</v>
      </c>
      <c r="I16478" t="s">
        <v>51523</v>
      </c>
      <c r="L16478">
        <v>0</v>
      </c>
      <c r="M16478">
        <v>0</v>
      </c>
      <c r="N16478">
        <v>2</v>
      </c>
      <c r="O16478" t="s">
        <v>36061</v>
      </c>
    </row>
    <row r="16479" spans="1:15">
      <c r="A16479" t="s">
        <v>51524</v>
      </c>
      <c r="B16479" t="s">
        <v>11637</v>
      </c>
      <c r="C16479" t="s">
        <v>17157</v>
      </c>
      <c r="D16479" t="s">
        <v>51525</v>
      </c>
      <c r="E16479" t="b">
        <v>0</v>
      </c>
      <c r="F16479" t="s">
        <v>11610</v>
      </c>
      <c r="L16479">
        <v>0</v>
      </c>
      <c r="M16479">
        <v>0</v>
      </c>
      <c r="N16479">
        <v>0</v>
      </c>
    </row>
    <row r="16480" spans="1:15">
      <c r="A16480" t="s">
        <v>51526</v>
      </c>
      <c r="B16480" t="s">
        <v>11879</v>
      </c>
      <c r="C16480" t="s">
        <v>24903</v>
      </c>
      <c r="D16480" t="s">
        <v>51527</v>
      </c>
      <c r="E16480" t="b">
        <v>0</v>
      </c>
      <c r="F16480" t="s">
        <v>11610</v>
      </c>
      <c r="L16480">
        <v>0</v>
      </c>
      <c r="M16480">
        <v>0</v>
      </c>
      <c r="N16480">
        <v>0</v>
      </c>
    </row>
    <row r="16481" spans="1:15">
      <c r="A16481" t="s">
        <v>51528</v>
      </c>
      <c r="B16481" t="s">
        <v>16986</v>
      </c>
      <c r="C16481" t="s">
        <v>51513</v>
      </c>
      <c r="D16481" t="s">
        <v>51529</v>
      </c>
      <c r="E16481" t="b">
        <v>0</v>
      </c>
      <c r="F16481" t="s">
        <v>11610</v>
      </c>
      <c r="L16481">
        <v>0</v>
      </c>
      <c r="M16481">
        <v>0</v>
      </c>
      <c r="N16481">
        <v>0</v>
      </c>
    </row>
    <row r="16482" spans="1:15">
      <c r="A16482" t="s">
        <v>51530</v>
      </c>
      <c r="B16482" t="s">
        <v>367</v>
      </c>
      <c r="C16482" t="s">
        <v>31487</v>
      </c>
      <c r="D16482" t="s">
        <v>51531</v>
      </c>
      <c r="E16482" t="b">
        <v>0</v>
      </c>
      <c r="F16482" t="s">
        <v>11624</v>
      </c>
      <c r="G16482">
        <v>-21.626899999999999</v>
      </c>
      <c r="H16482">
        <v>165.47300000000001</v>
      </c>
      <c r="I16482" t="s">
        <v>51532</v>
      </c>
      <c r="L16482">
        <v>0</v>
      </c>
      <c r="M16482">
        <v>0</v>
      </c>
      <c r="N16482">
        <v>0</v>
      </c>
      <c r="O16482" t="s">
        <v>12624</v>
      </c>
    </row>
    <row r="16483" spans="1:15">
      <c r="A16483" t="s">
        <v>51533</v>
      </c>
      <c r="B16483" t="s">
        <v>22306</v>
      </c>
      <c r="C16483" t="s">
        <v>51534</v>
      </c>
      <c r="D16483" t="s">
        <v>51535</v>
      </c>
      <c r="E16483" t="b">
        <v>0</v>
      </c>
      <c r="F16483" t="s">
        <v>11624</v>
      </c>
      <c r="G16483">
        <v>-10.737</v>
      </c>
      <c r="H16483">
        <v>-64.029899999999998</v>
      </c>
      <c r="I16483" t="s">
        <v>51536</v>
      </c>
      <c r="L16483">
        <v>0</v>
      </c>
      <c r="M16483">
        <v>0</v>
      </c>
      <c r="N16483">
        <v>0</v>
      </c>
      <c r="O16483" t="s">
        <v>11969</v>
      </c>
    </row>
    <row r="16484" spans="1:15">
      <c r="A16484" t="s">
        <v>51537</v>
      </c>
      <c r="B16484" t="s">
        <v>11810</v>
      </c>
      <c r="C16484" t="s">
        <v>29322</v>
      </c>
      <c r="D16484" t="s">
        <v>51538</v>
      </c>
      <c r="E16484" t="b">
        <v>0</v>
      </c>
      <c r="F16484" t="s">
        <v>11610</v>
      </c>
      <c r="L16484">
        <v>0</v>
      </c>
      <c r="M16484">
        <v>0</v>
      </c>
      <c r="N16484">
        <v>0</v>
      </c>
    </row>
    <row r="16485" spans="1:15">
      <c r="A16485" t="s">
        <v>30733</v>
      </c>
      <c r="B16485" t="s">
        <v>11637</v>
      </c>
      <c r="C16485" t="s">
        <v>27021</v>
      </c>
      <c r="D16485" t="s">
        <v>51539</v>
      </c>
      <c r="E16485" t="b">
        <v>0</v>
      </c>
      <c r="F16485" t="s">
        <v>11610</v>
      </c>
      <c r="L16485">
        <v>0</v>
      </c>
      <c r="M16485">
        <v>0</v>
      </c>
      <c r="N16485">
        <v>3</v>
      </c>
    </row>
    <row r="16486" spans="1:15">
      <c r="A16486" t="s">
        <v>51540</v>
      </c>
      <c r="B16486" t="s">
        <v>12697</v>
      </c>
      <c r="C16486" t="s">
        <v>18821</v>
      </c>
      <c r="D16486" t="s">
        <v>51541</v>
      </c>
      <c r="E16486" t="b">
        <v>0</v>
      </c>
      <c r="F16486" t="s">
        <v>11624</v>
      </c>
      <c r="G16486">
        <v>4.9377000000000004</v>
      </c>
      <c r="H16486">
        <v>6.3829500000000001</v>
      </c>
      <c r="I16486" t="s">
        <v>51542</v>
      </c>
      <c r="L16486">
        <v>0</v>
      </c>
      <c r="M16486">
        <v>0</v>
      </c>
      <c r="N16486">
        <v>0</v>
      </c>
      <c r="O16486" t="s">
        <v>11693</v>
      </c>
    </row>
    <row r="16487" spans="1:15">
      <c r="A16487" t="s">
        <v>51543</v>
      </c>
      <c r="B16487" t="s">
        <v>6742</v>
      </c>
      <c r="C16487" t="s">
        <v>11712</v>
      </c>
      <c r="D16487" t="s">
        <v>51544</v>
      </c>
      <c r="E16487" t="b">
        <v>0</v>
      </c>
      <c r="F16487" t="s">
        <v>11610</v>
      </c>
      <c r="L16487">
        <v>0</v>
      </c>
      <c r="M16487">
        <v>0</v>
      </c>
      <c r="N16487">
        <v>0</v>
      </c>
    </row>
    <row r="16488" spans="1:15">
      <c r="A16488" t="s">
        <v>51545</v>
      </c>
      <c r="B16488" t="s">
        <v>6742</v>
      </c>
      <c r="C16488" t="s">
        <v>50665</v>
      </c>
      <c r="D16488" t="s">
        <v>51546</v>
      </c>
      <c r="E16488" t="b">
        <v>0</v>
      </c>
      <c r="F16488" t="s">
        <v>11610</v>
      </c>
      <c r="L16488">
        <v>0</v>
      </c>
      <c r="M16488">
        <v>0</v>
      </c>
      <c r="N16488">
        <v>0</v>
      </c>
    </row>
    <row r="16489" spans="1:15">
      <c r="A16489" t="s">
        <v>51547</v>
      </c>
      <c r="B16489" t="s">
        <v>6742</v>
      </c>
      <c r="C16489" t="s">
        <v>12641</v>
      </c>
      <c r="D16489" t="s">
        <v>51548</v>
      </c>
      <c r="E16489" t="b">
        <v>0</v>
      </c>
      <c r="F16489" t="s">
        <v>11610</v>
      </c>
      <c r="L16489">
        <v>0</v>
      </c>
      <c r="M16489">
        <v>0</v>
      </c>
      <c r="N16489">
        <v>0</v>
      </c>
    </row>
    <row r="16490" spans="1:15">
      <c r="A16490" t="s">
        <v>51549</v>
      </c>
      <c r="B16490" t="s">
        <v>367</v>
      </c>
      <c r="C16490" t="s">
        <v>13008</v>
      </c>
      <c r="D16490" t="s">
        <v>51550</v>
      </c>
      <c r="E16490" t="b">
        <v>0</v>
      </c>
      <c r="F16490" t="s">
        <v>11610</v>
      </c>
      <c r="L16490">
        <v>0</v>
      </c>
      <c r="M16490">
        <v>0</v>
      </c>
      <c r="N16490">
        <v>0</v>
      </c>
    </row>
    <row r="16491" spans="1:15">
      <c r="A16491" t="s">
        <v>51551</v>
      </c>
      <c r="B16491" t="s">
        <v>141</v>
      </c>
      <c r="C16491" t="s">
        <v>9095</v>
      </c>
      <c r="D16491" t="s">
        <v>51552</v>
      </c>
      <c r="E16491" t="b">
        <v>0</v>
      </c>
      <c r="F16491" t="s">
        <v>11610</v>
      </c>
      <c r="L16491">
        <v>0</v>
      </c>
      <c r="M16491">
        <v>0</v>
      </c>
      <c r="N16491">
        <v>0</v>
      </c>
    </row>
    <row r="16492" spans="1:15">
      <c r="A16492" t="s">
        <v>51553</v>
      </c>
      <c r="B16492" t="s">
        <v>6742</v>
      </c>
      <c r="C16492" t="s">
        <v>31155</v>
      </c>
      <c r="D16492" t="s">
        <v>51554</v>
      </c>
      <c r="E16492" t="b">
        <v>0</v>
      </c>
      <c r="F16492" t="s">
        <v>11610</v>
      </c>
      <c r="L16492">
        <v>0</v>
      </c>
      <c r="M16492">
        <v>0</v>
      </c>
      <c r="N16492">
        <v>0</v>
      </c>
    </row>
    <row r="16493" spans="1:15">
      <c r="A16493" t="s">
        <v>16948</v>
      </c>
      <c r="B16493" t="s">
        <v>16947</v>
      </c>
      <c r="C16493" t="s">
        <v>16947</v>
      </c>
      <c r="D16493" t="s">
        <v>51555</v>
      </c>
      <c r="E16493" t="b">
        <v>0</v>
      </c>
      <c r="F16493" t="s">
        <v>11624</v>
      </c>
      <c r="G16493">
        <v>-2.7648299999999999</v>
      </c>
      <c r="H16493">
        <v>139.88999999999999</v>
      </c>
      <c r="I16493" t="s">
        <v>51556</v>
      </c>
      <c r="L16493">
        <v>0</v>
      </c>
      <c r="M16493">
        <v>0</v>
      </c>
      <c r="N16493">
        <v>3</v>
      </c>
      <c r="O16493" t="s">
        <v>11768</v>
      </c>
    </row>
    <row r="16494" spans="1:15">
      <c r="A16494" t="s">
        <v>51557</v>
      </c>
      <c r="B16494" t="s">
        <v>8897</v>
      </c>
      <c r="C16494" t="s">
        <v>34884</v>
      </c>
      <c r="D16494" t="s">
        <v>51558</v>
      </c>
      <c r="E16494" t="b">
        <v>0</v>
      </c>
      <c r="F16494" t="s">
        <v>11624</v>
      </c>
      <c r="G16494">
        <v>36.782800000000002</v>
      </c>
      <c r="H16494">
        <v>-96.294899999999998</v>
      </c>
      <c r="I16494" t="s">
        <v>51559</v>
      </c>
      <c r="L16494">
        <v>0</v>
      </c>
      <c r="M16494">
        <v>0</v>
      </c>
      <c r="N16494">
        <v>0</v>
      </c>
      <c r="O16494" t="s">
        <v>11944</v>
      </c>
    </row>
    <row r="16495" spans="1:15">
      <c r="A16495" t="s">
        <v>34884</v>
      </c>
      <c r="B16495" t="s">
        <v>8897</v>
      </c>
      <c r="C16495" t="s">
        <v>24640</v>
      </c>
      <c r="D16495" t="s">
        <v>51560</v>
      </c>
      <c r="E16495" t="b">
        <v>0</v>
      </c>
      <c r="F16495" t="s">
        <v>11622</v>
      </c>
      <c r="L16495">
        <v>0</v>
      </c>
      <c r="M16495">
        <v>2</v>
      </c>
      <c r="N16495">
        <v>0</v>
      </c>
    </row>
    <row r="16496" spans="1:15">
      <c r="A16496" t="s">
        <v>35522</v>
      </c>
      <c r="B16496" t="s">
        <v>4342</v>
      </c>
      <c r="C16496" t="s">
        <v>16774</v>
      </c>
      <c r="D16496" t="s">
        <v>51561</v>
      </c>
      <c r="E16496" t="b">
        <v>0</v>
      </c>
      <c r="F16496" t="s">
        <v>11610</v>
      </c>
      <c r="L16496">
        <v>0</v>
      </c>
      <c r="M16496">
        <v>0</v>
      </c>
      <c r="N16496">
        <v>3</v>
      </c>
    </row>
    <row r="16497" spans="1:15">
      <c r="A16497" t="s">
        <v>51562</v>
      </c>
      <c r="B16497" t="s">
        <v>6742</v>
      </c>
      <c r="C16497" t="s">
        <v>46771</v>
      </c>
      <c r="D16497" t="s">
        <v>51563</v>
      </c>
      <c r="E16497" t="b">
        <v>0</v>
      </c>
      <c r="F16497" t="s">
        <v>11624</v>
      </c>
      <c r="G16497">
        <v>-1.2E-2</v>
      </c>
      <c r="H16497">
        <v>13.61</v>
      </c>
      <c r="I16497" t="s">
        <v>51564</v>
      </c>
      <c r="L16497">
        <v>0</v>
      </c>
      <c r="M16497">
        <v>0</v>
      </c>
      <c r="N16497">
        <v>0</v>
      </c>
      <c r="O16497" t="s">
        <v>16915</v>
      </c>
    </row>
    <row r="16498" spans="1:15">
      <c r="A16498" t="s">
        <v>51565</v>
      </c>
      <c r="B16498" t="s">
        <v>6742</v>
      </c>
      <c r="C16498" t="s">
        <v>16343</v>
      </c>
      <c r="D16498" t="s">
        <v>51566</v>
      </c>
      <c r="E16498" t="b">
        <v>0</v>
      </c>
      <c r="F16498" t="s">
        <v>11624</v>
      </c>
      <c r="G16498">
        <v>6.2082899999999999</v>
      </c>
      <c r="H16498">
        <v>9.8018800000000006</v>
      </c>
      <c r="I16498" t="s">
        <v>51567</v>
      </c>
      <c r="L16498">
        <v>0</v>
      </c>
      <c r="M16498">
        <v>0</v>
      </c>
      <c r="N16498">
        <v>0</v>
      </c>
      <c r="O16498" t="s">
        <v>11703</v>
      </c>
    </row>
    <row r="16499" spans="1:15">
      <c r="A16499" t="s">
        <v>51568</v>
      </c>
      <c r="B16499" t="s">
        <v>6742</v>
      </c>
      <c r="C16499" t="s">
        <v>27234</v>
      </c>
      <c r="D16499" t="s">
        <v>51569</v>
      </c>
      <c r="E16499" t="b">
        <v>0</v>
      </c>
      <c r="F16499" t="s">
        <v>11610</v>
      </c>
      <c r="L16499">
        <v>0</v>
      </c>
      <c r="M16499">
        <v>0</v>
      </c>
      <c r="N16499">
        <v>0</v>
      </c>
    </row>
    <row r="16500" spans="1:15">
      <c r="A16500" t="s">
        <v>30993</v>
      </c>
      <c r="B16500" t="s">
        <v>11637</v>
      </c>
      <c r="C16500" t="s">
        <v>51570</v>
      </c>
      <c r="D16500" t="s">
        <v>51571</v>
      </c>
      <c r="E16500" t="b">
        <v>0</v>
      </c>
      <c r="F16500" t="s">
        <v>11624</v>
      </c>
      <c r="I16500" t="s">
        <v>51572</v>
      </c>
      <c r="L16500">
        <v>0</v>
      </c>
      <c r="M16500">
        <v>0</v>
      </c>
      <c r="N16500">
        <v>5</v>
      </c>
      <c r="O16500" t="s">
        <v>13676</v>
      </c>
    </row>
    <row r="16501" spans="1:15">
      <c r="A16501" t="s">
        <v>3404</v>
      </c>
      <c r="B16501" t="s">
        <v>4342</v>
      </c>
      <c r="C16501" t="s">
        <v>50051</v>
      </c>
      <c r="D16501" t="s">
        <v>51573</v>
      </c>
      <c r="E16501" t="b">
        <v>0</v>
      </c>
      <c r="F16501" t="s">
        <v>11622</v>
      </c>
      <c r="L16501">
        <v>0</v>
      </c>
      <c r="M16501">
        <v>2</v>
      </c>
      <c r="N16501">
        <v>2</v>
      </c>
    </row>
    <row r="16502" spans="1:15">
      <c r="A16502" t="s">
        <v>51574</v>
      </c>
      <c r="B16502" t="s">
        <v>367</v>
      </c>
      <c r="C16502" t="s">
        <v>21135</v>
      </c>
      <c r="D16502" t="s">
        <v>51575</v>
      </c>
      <c r="E16502" t="b">
        <v>0</v>
      </c>
      <c r="F16502" t="s">
        <v>11624</v>
      </c>
      <c r="G16502">
        <v>-8.2526200000000003</v>
      </c>
      <c r="H16502">
        <v>114.292</v>
      </c>
      <c r="I16502" t="s">
        <v>51576</v>
      </c>
      <c r="L16502">
        <v>0</v>
      </c>
      <c r="M16502">
        <v>0</v>
      </c>
      <c r="N16502">
        <v>0</v>
      </c>
      <c r="O16502" t="s">
        <v>11768</v>
      </c>
    </row>
    <row r="16503" spans="1:15">
      <c r="A16503" t="s">
        <v>51577</v>
      </c>
      <c r="B16503" t="s">
        <v>11981</v>
      </c>
      <c r="C16503" t="s">
        <v>31364</v>
      </c>
      <c r="D16503" t="s">
        <v>51578</v>
      </c>
      <c r="E16503" t="b">
        <v>0</v>
      </c>
      <c r="F16503" t="s">
        <v>11610</v>
      </c>
      <c r="L16503">
        <v>0</v>
      </c>
      <c r="M16503">
        <v>0</v>
      </c>
      <c r="N16503">
        <v>0</v>
      </c>
    </row>
    <row r="16504" spans="1:15">
      <c r="A16504" t="s">
        <v>51579</v>
      </c>
      <c r="B16504" t="s">
        <v>6742</v>
      </c>
      <c r="C16504" t="s">
        <v>11804</v>
      </c>
      <c r="D16504" t="s">
        <v>51580</v>
      </c>
      <c r="E16504" t="b">
        <v>0</v>
      </c>
      <c r="F16504" t="s">
        <v>11610</v>
      </c>
      <c r="L16504">
        <v>0</v>
      </c>
      <c r="M16504">
        <v>0</v>
      </c>
      <c r="N16504">
        <v>0</v>
      </c>
    </row>
    <row r="16505" spans="1:15">
      <c r="A16505" t="s">
        <v>51581</v>
      </c>
      <c r="B16505" t="s">
        <v>367</v>
      </c>
      <c r="C16505" t="s">
        <v>46650</v>
      </c>
      <c r="D16505" t="s">
        <v>51582</v>
      </c>
      <c r="E16505" t="b">
        <v>0</v>
      </c>
      <c r="F16505" t="s">
        <v>11610</v>
      </c>
      <c r="L16505">
        <v>0</v>
      </c>
      <c r="M16505">
        <v>0</v>
      </c>
      <c r="N16505">
        <v>0</v>
      </c>
    </row>
    <row r="16506" spans="1:15">
      <c r="A16506" t="s">
        <v>51583</v>
      </c>
      <c r="B16506" t="s">
        <v>6742</v>
      </c>
      <c r="C16506" t="s">
        <v>12125</v>
      </c>
      <c r="D16506" t="s">
        <v>51584</v>
      </c>
      <c r="E16506" t="b">
        <v>0</v>
      </c>
      <c r="F16506" t="s">
        <v>11610</v>
      </c>
      <c r="L16506">
        <v>0</v>
      </c>
      <c r="M16506">
        <v>0</v>
      </c>
      <c r="N16506">
        <v>0</v>
      </c>
    </row>
    <row r="16507" spans="1:15">
      <c r="A16507" t="s">
        <v>51585</v>
      </c>
      <c r="B16507" t="s">
        <v>6742</v>
      </c>
      <c r="C16507" t="s">
        <v>32072</v>
      </c>
      <c r="D16507" t="s">
        <v>51586</v>
      </c>
      <c r="E16507" t="b">
        <v>0</v>
      </c>
      <c r="F16507" t="s">
        <v>11624</v>
      </c>
      <c r="G16507">
        <v>7.4286799999999999</v>
      </c>
      <c r="H16507">
        <v>6.21509</v>
      </c>
      <c r="I16507" t="s">
        <v>51587</v>
      </c>
      <c r="L16507">
        <v>0</v>
      </c>
      <c r="M16507">
        <v>0</v>
      </c>
      <c r="N16507">
        <v>0</v>
      </c>
      <c r="O16507" t="s">
        <v>11693</v>
      </c>
    </row>
    <row r="16508" spans="1:15">
      <c r="A16508" t="s">
        <v>13085</v>
      </c>
      <c r="B16508" t="s">
        <v>11637</v>
      </c>
      <c r="C16508" t="s">
        <v>51140</v>
      </c>
      <c r="D16508" t="s">
        <v>51588</v>
      </c>
      <c r="E16508" t="b">
        <v>0</v>
      </c>
      <c r="F16508" t="s">
        <v>11624</v>
      </c>
      <c r="G16508">
        <v>42.98</v>
      </c>
      <c r="H16508">
        <v>44.61</v>
      </c>
      <c r="I16508" t="s">
        <v>51589</v>
      </c>
      <c r="L16508">
        <v>0</v>
      </c>
      <c r="M16508">
        <v>0</v>
      </c>
      <c r="N16508">
        <v>7</v>
      </c>
      <c r="O16508" t="s">
        <v>15246</v>
      </c>
    </row>
    <row r="16509" spans="1:15">
      <c r="A16509" t="s">
        <v>32995</v>
      </c>
      <c r="B16509" t="s">
        <v>6742</v>
      </c>
      <c r="C16509" t="s">
        <v>49021</v>
      </c>
      <c r="D16509" t="s">
        <v>51590</v>
      </c>
      <c r="E16509" t="b">
        <v>0</v>
      </c>
      <c r="F16509" t="s">
        <v>11622</v>
      </c>
      <c r="L16509">
        <v>1</v>
      </c>
      <c r="M16509">
        <v>4</v>
      </c>
      <c r="N16509">
        <v>0</v>
      </c>
    </row>
    <row r="16510" spans="1:15">
      <c r="A16510" t="s">
        <v>51140</v>
      </c>
      <c r="B16510" t="s">
        <v>11637</v>
      </c>
      <c r="C16510" t="s">
        <v>51591</v>
      </c>
      <c r="D16510" t="s">
        <v>51592</v>
      </c>
      <c r="E16510" t="b">
        <v>0</v>
      </c>
      <c r="F16510" t="s">
        <v>11622</v>
      </c>
      <c r="L16510">
        <v>0</v>
      </c>
      <c r="M16510">
        <v>2</v>
      </c>
      <c r="N16510">
        <v>7</v>
      </c>
    </row>
    <row r="16511" spans="1:15">
      <c r="A16511" t="s">
        <v>51593</v>
      </c>
      <c r="B16511" t="s">
        <v>11637</v>
      </c>
      <c r="C16511" t="s">
        <v>36801</v>
      </c>
      <c r="D16511" t="s">
        <v>51594</v>
      </c>
      <c r="E16511" t="b">
        <v>0</v>
      </c>
      <c r="F16511" t="s">
        <v>11610</v>
      </c>
      <c r="L16511">
        <v>0</v>
      </c>
      <c r="M16511">
        <v>0</v>
      </c>
      <c r="N16511">
        <v>0</v>
      </c>
    </row>
    <row r="16512" spans="1:15">
      <c r="A16512" t="s">
        <v>51595</v>
      </c>
      <c r="B16512" t="s">
        <v>11637</v>
      </c>
      <c r="C16512" t="s">
        <v>12929</v>
      </c>
      <c r="D16512" t="s">
        <v>51596</v>
      </c>
      <c r="E16512" t="b">
        <v>0</v>
      </c>
      <c r="F16512" t="s">
        <v>11610</v>
      </c>
      <c r="L16512">
        <v>0</v>
      </c>
      <c r="M16512">
        <v>0</v>
      </c>
      <c r="N16512">
        <v>0</v>
      </c>
    </row>
    <row r="16513" spans="1:14">
      <c r="A16513" t="s">
        <v>46956</v>
      </c>
      <c r="B16513" t="s">
        <v>11637</v>
      </c>
      <c r="C16513" t="s">
        <v>23926</v>
      </c>
      <c r="D16513" t="s">
        <v>51597</v>
      </c>
      <c r="E16513" t="b">
        <v>0</v>
      </c>
      <c r="F16513" t="s">
        <v>11610</v>
      </c>
      <c r="L16513">
        <v>0</v>
      </c>
      <c r="M16513">
        <v>0</v>
      </c>
      <c r="N16513">
        <v>29</v>
      </c>
    </row>
    <row r="16514" spans="1:14">
      <c r="A16514" t="s">
        <v>51598</v>
      </c>
      <c r="B16514" t="s">
        <v>11637</v>
      </c>
      <c r="C16514" t="s">
        <v>45271</v>
      </c>
      <c r="D16514" t="s">
        <v>51599</v>
      </c>
      <c r="E16514" t="b">
        <v>0</v>
      </c>
      <c r="F16514" t="s">
        <v>11610</v>
      </c>
      <c r="L16514">
        <v>0</v>
      </c>
      <c r="M16514">
        <v>0</v>
      </c>
      <c r="N16514">
        <v>0</v>
      </c>
    </row>
    <row r="16515" spans="1:14">
      <c r="A16515" t="s">
        <v>51600</v>
      </c>
      <c r="B16515" t="s">
        <v>11637</v>
      </c>
      <c r="C16515" t="s">
        <v>13916</v>
      </c>
      <c r="D16515" t="s">
        <v>51601</v>
      </c>
      <c r="E16515" t="b">
        <v>0</v>
      </c>
      <c r="F16515" t="s">
        <v>11610</v>
      </c>
      <c r="L16515">
        <v>0</v>
      </c>
      <c r="M16515">
        <v>0</v>
      </c>
      <c r="N16515">
        <v>0</v>
      </c>
    </row>
    <row r="16516" spans="1:14">
      <c r="A16516" t="s">
        <v>51602</v>
      </c>
      <c r="B16516" t="s">
        <v>11637</v>
      </c>
      <c r="C16516" t="s">
        <v>48201</v>
      </c>
      <c r="D16516" t="s">
        <v>51603</v>
      </c>
      <c r="E16516" t="b">
        <v>0</v>
      </c>
      <c r="F16516" t="s">
        <v>11610</v>
      </c>
      <c r="L16516">
        <v>0</v>
      </c>
      <c r="M16516">
        <v>0</v>
      </c>
      <c r="N16516">
        <v>0</v>
      </c>
    </row>
    <row r="16517" spans="1:14">
      <c r="A16517" t="s">
        <v>29783</v>
      </c>
      <c r="B16517" t="s">
        <v>11637</v>
      </c>
      <c r="C16517" t="s">
        <v>25840</v>
      </c>
      <c r="D16517" t="s">
        <v>51604</v>
      </c>
      <c r="E16517" t="b">
        <v>0</v>
      </c>
      <c r="F16517" t="s">
        <v>11622</v>
      </c>
      <c r="L16517">
        <v>0</v>
      </c>
      <c r="M16517">
        <v>2</v>
      </c>
      <c r="N16517">
        <v>11</v>
      </c>
    </row>
    <row r="16518" spans="1:14">
      <c r="A16518" t="s">
        <v>51605</v>
      </c>
      <c r="B16518" t="s">
        <v>11637</v>
      </c>
      <c r="C16518" t="s">
        <v>31030</v>
      </c>
      <c r="D16518" t="s">
        <v>51606</v>
      </c>
      <c r="E16518" t="b">
        <v>0</v>
      </c>
      <c r="F16518" t="s">
        <v>11610</v>
      </c>
      <c r="L16518">
        <v>0</v>
      </c>
      <c r="M16518">
        <v>0</v>
      </c>
      <c r="N16518">
        <v>0</v>
      </c>
    </row>
    <row r="16519" spans="1:14">
      <c r="A16519" t="s">
        <v>51607</v>
      </c>
      <c r="B16519" t="s">
        <v>4236</v>
      </c>
      <c r="C16519" t="s">
        <v>48146</v>
      </c>
      <c r="D16519" t="s">
        <v>51608</v>
      </c>
      <c r="E16519" t="b">
        <v>0</v>
      </c>
      <c r="F16519" t="s">
        <v>11622</v>
      </c>
      <c r="L16519">
        <v>1</v>
      </c>
      <c r="M16519">
        <v>3</v>
      </c>
      <c r="N16519">
        <v>10</v>
      </c>
    </row>
    <row r="16520" spans="1:14">
      <c r="A16520" t="s">
        <v>51609</v>
      </c>
      <c r="B16520" t="s">
        <v>11637</v>
      </c>
      <c r="C16520" t="s">
        <v>29109</v>
      </c>
      <c r="D16520" t="s">
        <v>51610</v>
      </c>
      <c r="E16520" t="b">
        <v>0</v>
      </c>
      <c r="F16520" t="s">
        <v>11610</v>
      </c>
      <c r="L16520">
        <v>0</v>
      </c>
      <c r="M16520">
        <v>0</v>
      </c>
      <c r="N16520">
        <v>0</v>
      </c>
    </row>
    <row r="16521" spans="1:14">
      <c r="A16521" t="s">
        <v>51611</v>
      </c>
      <c r="B16521" t="s">
        <v>11637</v>
      </c>
      <c r="C16521" t="s">
        <v>43974</v>
      </c>
      <c r="D16521" t="s">
        <v>51612</v>
      </c>
      <c r="E16521" t="b">
        <v>0</v>
      </c>
      <c r="F16521" t="s">
        <v>11610</v>
      </c>
      <c r="L16521">
        <v>0</v>
      </c>
      <c r="M16521">
        <v>0</v>
      </c>
      <c r="N16521">
        <v>0</v>
      </c>
    </row>
    <row r="16522" spans="1:14">
      <c r="A16522" t="s">
        <v>51613</v>
      </c>
      <c r="B16522" t="s">
        <v>11637</v>
      </c>
      <c r="C16522" t="s">
        <v>19415</v>
      </c>
      <c r="D16522" t="s">
        <v>51614</v>
      </c>
      <c r="E16522" t="b">
        <v>0</v>
      </c>
      <c r="F16522" t="s">
        <v>11610</v>
      </c>
      <c r="L16522">
        <v>0</v>
      </c>
      <c r="M16522">
        <v>0</v>
      </c>
      <c r="N16522">
        <v>0</v>
      </c>
    </row>
    <row r="16523" spans="1:14">
      <c r="A16523" t="s">
        <v>51615</v>
      </c>
      <c r="B16523" t="s">
        <v>11637</v>
      </c>
      <c r="C16523" t="s">
        <v>40798</v>
      </c>
      <c r="D16523" t="s">
        <v>51616</v>
      </c>
      <c r="E16523" t="b">
        <v>0</v>
      </c>
      <c r="F16523" t="s">
        <v>11610</v>
      </c>
      <c r="L16523">
        <v>0</v>
      </c>
      <c r="M16523">
        <v>0</v>
      </c>
      <c r="N16523">
        <v>0</v>
      </c>
    </row>
    <row r="16524" spans="1:14">
      <c r="A16524" t="s">
        <v>51617</v>
      </c>
      <c r="B16524" t="s">
        <v>11637</v>
      </c>
      <c r="C16524" t="s">
        <v>29621</v>
      </c>
      <c r="D16524" t="s">
        <v>51618</v>
      </c>
      <c r="E16524" t="b">
        <v>0</v>
      </c>
      <c r="F16524" t="s">
        <v>11610</v>
      </c>
      <c r="L16524">
        <v>0</v>
      </c>
      <c r="M16524">
        <v>0</v>
      </c>
      <c r="N16524">
        <v>0</v>
      </c>
    </row>
    <row r="16525" spans="1:14">
      <c r="A16525" t="s">
        <v>51619</v>
      </c>
      <c r="B16525" t="s">
        <v>15027</v>
      </c>
      <c r="C16525" t="s">
        <v>23375</v>
      </c>
      <c r="D16525" t="s">
        <v>51620</v>
      </c>
      <c r="E16525" t="b">
        <v>0</v>
      </c>
      <c r="F16525" t="s">
        <v>11610</v>
      </c>
      <c r="L16525">
        <v>0</v>
      </c>
      <c r="M16525">
        <v>0</v>
      </c>
      <c r="N16525">
        <v>0</v>
      </c>
    </row>
    <row r="16526" spans="1:14">
      <c r="A16526" t="s">
        <v>51621</v>
      </c>
      <c r="B16526" t="s">
        <v>11637</v>
      </c>
      <c r="C16526" t="s">
        <v>11936</v>
      </c>
      <c r="D16526" t="s">
        <v>51622</v>
      </c>
      <c r="E16526" t="b">
        <v>0</v>
      </c>
      <c r="F16526" t="s">
        <v>11610</v>
      </c>
      <c r="L16526">
        <v>0</v>
      </c>
      <c r="M16526">
        <v>0</v>
      </c>
      <c r="N16526">
        <v>0</v>
      </c>
    </row>
    <row r="16527" spans="1:14">
      <c r="A16527" t="s">
        <v>51623</v>
      </c>
      <c r="B16527" t="s">
        <v>4342</v>
      </c>
      <c r="C16527" t="s">
        <v>45381</v>
      </c>
      <c r="D16527" t="s">
        <v>51624</v>
      </c>
      <c r="E16527" t="b">
        <v>0</v>
      </c>
      <c r="F16527" t="s">
        <v>11610</v>
      </c>
      <c r="L16527">
        <v>0</v>
      </c>
      <c r="M16527">
        <v>0</v>
      </c>
      <c r="N16527">
        <v>0</v>
      </c>
    </row>
    <row r="16528" spans="1:14">
      <c r="A16528" t="s">
        <v>51625</v>
      </c>
      <c r="B16528" t="s">
        <v>11615</v>
      </c>
      <c r="C16528" t="s">
        <v>51626</v>
      </c>
      <c r="D16528" t="s">
        <v>51627</v>
      </c>
      <c r="E16528" t="b">
        <v>0</v>
      </c>
      <c r="F16528" t="s">
        <v>11622</v>
      </c>
      <c r="L16528">
        <v>2</v>
      </c>
      <c r="M16528">
        <v>5</v>
      </c>
      <c r="N16528">
        <v>0</v>
      </c>
    </row>
    <row r="16529" spans="1:15">
      <c r="A16529" t="s">
        <v>51628</v>
      </c>
      <c r="B16529" t="s">
        <v>6742</v>
      </c>
      <c r="C16529" t="s">
        <v>11971</v>
      </c>
      <c r="D16529" t="s">
        <v>51629</v>
      </c>
      <c r="E16529" t="b">
        <v>0</v>
      </c>
      <c r="F16529" t="s">
        <v>11610</v>
      </c>
      <c r="L16529">
        <v>0</v>
      </c>
      <c r="M16529">
        <v>0</v>
      </c>
      <c r="N16529">
        <v>0</v>
      </c>
    </row>
    <row r="16530" spans="1:15">
      <c r="A16530" t="s">
        <v>51630</v>
      </c>
      <c r="B16530" t="s">
        <v>300</v>
      </c>
      <c r="C16530" t="s">
        <v>8583</v>
      </c>
      <c r="D16530" t="s">
        <v>51631</v>
      </c>
      <c r="E16530" t="b">
        <v>0</v>
      </c>
      <c r="F16530" t="s">
        <v>11610</v>
      </c>
      <c r="L16530">
        <v>0</v>
      </c>
      <c r="M16530">
        <v>0</v>
      </c>
      <c r="N16530">
        <v>0</v>
      </c>
    </row>
    <row r="16531" spans="1:15">
      <c r="A16531" t="s">
        <v>51632</v>
      </c>
      <c r="B16531" t="s">
        <v>6742</v>
      </c>
      <c r="C16531" t="s">
        <v>33003</v>
      </c>
      <c r="D16531" t="s">
        <v>51633</v>
      </c>
      <c r="E16531" t="b">
        <v>0</v>
      </c>
      <c r="F16531" t="s">
        <v>11624</v>
      </c>
      <c r="G16531">
        <v>6.5480900000000002</v>
      </c>
      <c r="H16531">
        <v>9.3401899999999998</v>
      </c>
      <c r="I16531" t="s">
        <v>51634</v>
      </c>
      <c r="L16531">
        <v>0</v>
      </c>
      <c r="M16531">
        <v>0</v>
      </c>
      <c r="N16531">
        <v>0</v>
      </c>
      <c r="O16531" t="s">
        <v>11693</v>
      </c>
    </row>
    <row r="16532" spans="1:15">
      <c r="A16532" t="s">
        <v>51635</v>
      </c>
      <c r="B16532" t="s">
        <v>6742</v>
      </c>
      <c r="C16532" t="s">
        <v>11830</v>
      </c>
      <c r="D16532" t="s">
        <v>51636</v>
      </c>
      <c r="E16532" t="b">
        <v>0</v>
      </c>
      <c r="F16532" t="s">
        <v>11610</v>
      </c>
      <c r="L16532">
        <v>0</v>
      </c>
      <c r="M16532">
        <v>0</v>
      </c>
      <c r="N16532">
        <v>0</v>
      </c>
    </row>
    <row r="16533" spans="1:15">
      <c r="A16533" t="s">
        <v>51637</v>
      </c>
      <c r="B16533" t="s">
        <v>367</v>
      </c>
      <c r="C16533" t="s">
        <v>25127</v>
      </c>
      <c r="D16533" t="s">
        <v>51638</v>
      </c>
      <c r="E16533" t="b">
        <v>0</v>
      </c>
      <c r="F16533" t="s">
        <v>11610</v>
      </c>
      <c r="L16533">
        <v>0</v>
      </c>
      <c r="M16533">
        <v>0</v>
      </c>
      <c r="N16533">
        <v>0</v>
      </c>
    </row>
    <row r="16534" spans="1:15">
      <c r="A16534" t="s">
        <v>51639</v>
      </c>
      <c r="B16534" t="s">
        <v>367</v>
      </c>
      <c r="C16534" t="s">
        <v>25127</v>
      </c>
      <c r="D16534" t="s">
        <v>51640</v>
      </c>
      <c r="E16534" t="b">
        <v>0</v>
      </c>
      <c r="F16534" t="s">
        <v>11610</v>
      </c>
      <c r="L16534">
        <v>0</v>
      </c>
      <c r="M16534">
        <v>0</v>
      </c>
      <c r="N16534">
        <v>0</v>
      </c>
    </row>
    <row r="16535" spans="1:15">
      <c r="A16535" t="s">
        <v>25127</v>
      </c>
      <c r="B16535" t="s">
        <v>367</v>
      </c>
      <c r="C16535" t="s">
        <v>36939</v>
      </c>
      <c r="D16535" t="s">
        <v>51641</v>
      </c>
      <c r="E16535" t="b">
        <v>0</v>
      </c>
      <c r="F16535" t="s">
        <v>11624</v>
      </c>
      <c r="G16535">
        <v>-0.39550000000000002</v>
      </c>
      <c r="H16535">
        <v>113.46899999999999</v>
      </c>
      <c r="I16535" t="s">
        <v>51642</v>
      </c>
      <c r="L16535">
        <v>0</v>
      </c>
      <c r="M16535">
        <v>0</v>
      </c>
      <c r="N16535">
        <v>10</v>
      </c>
      <c r="O16535" t="s">
        <v>11768</v>
      </c>
    </row>
    <row r="16536" spans="1:15">
      <c r="A16536" t="s">
        <v>51643</v>
      </c>
      <c r="D16536" t="s">
        <v>51644</v>
      </c>
      <c r="E16536" t="b">
        <v>0</v>
      </c>
      <c r="F16536" t="s">
        <v>11624</v>
      </c>
      <c r="G16536">
        <v>-24.315323100000001</v>
      </c>
      <c r="H16536">
        <v>-50.558026099999999</v>
      </c>
      <c r="I16536" t="s">
        <v>51645</v>
      </c>
      <c r="L16536">
        <v>0</v>
      </c>
      <c r="M16536">
        <v>0</v>
      </c>
      <c r="N16536">
        <v>0</v>
      </c>
      <c r="O16536" t="s">
        <v>11969</v>
      </c>
    </row>
    <row r="16537" spans="1:15">
      <c r="A16537" t="s">
        <v>45454</v>
      </c>
      <c r="B16537" t="s">
        <v>6742</v>
      </c>
      <c r="C16537" t="s">
        <v>29533</v>
      </c>
      <c r="D16537" t="s">
        <v>51646</v>
      </c>
      <c r="E16537" t="b">
        <v>0</v>
      </c>
      <c r="F16537" t="s">
        <v>11622</v>
      </c>
      <c r="L16537">
        <v>6</v>
      </c>
      <c r="M16537">
        <v>10</v>
      </c>
      <c r="N16537">
        <v>8</v>
      </c>
    </row>
    <row r="16538" spans="1:15">
      <c r="A16538" t="s">
        <v>20242</v>
      </c>
      <c r="B16538" t="s">
        <v>6742</v>
      </c>
      <c r="C16538" t="s">
        <v>20727</v>
      </c>
      <c r="D16538" t="s">
        <v>51647</v>
      </c>
      <c r="E16538" t="b">
        <v>0</v>
      </c>
      <c r="F16538" t="s">
        <v>11622</v>
      </c>
      <c r="L16538">
        <v>31</v>
      </c>
      <c r="M16538">
        <v>34</v>
      </c>
      <c r="N16538">
        <v>67</v>
      </c>
    </row>
    <row r="16539" spans="1:15">
      <c r="A16539" t="s">
        <v>18375</v>
      </c>
      <c r="B16539" t="s">
        <v>6742</v>
      </c>
      <c r="C16539" t="s">
        <v>30240</v>
      </c>
      <c r="D16539" t="s">
        <v>51648</v>
      </c>
      <c r="E16539" t="b">
        <v>0</v>
      </c>
      <c r="F16539" t="s">
        <v>11622</v>
      </c>
      <c r="L16539">
        <v>3</v>
      </c>
      <c r="M16539">
        <v>5</v>
      </c>
      <c r="N16539">
        <v>15</v>
      </c>
    </row>
    <row r="16540" spans="1:15">
      <c r="A16540" t="s">
        <v>51649</v>
      </c>
      <c r="B16540" t="s">
        <v>367</v>
      </c>
      <c r="C16540" t="s">
        <v>25127</v>
      </c>
      <c r="D16540" t="s">
        <v>51650</v>
      </c>
      <c r="E16540" t="b">
        <v>0</v>
      </c>
      <c r="F16540" t="s">
        <v>11610</v>
      </c>
      <c r="L16540">
        <v>0</v>
      </c>
      <c r="M16540">
        <v>0</v>
      </c>
      <c r="N16540">
        <v>0</v>
      </c>
    </row>
    <row r="16541" spans="1:15">
      <c r="A16541" t="s">
        <v>51651</v>
      </c>
      <c r="B16541" t="s">
        <v>367</v>
      </c>
      <c r="C16541" t="s">
        <v>25127</v>
      </c>
      <c r="D16541" t="s">
        <v>51652</v>
      </c>
      <c r="E16541" t="b">
        <v>0</v>
      </c>
      <c r="F16541" t="s">
        <v>11610</v>
      </c>
      <c r="L16541">
        <v>0</v>
      </c>
      <c r="M16541">
        <v>0</v>
      </c>
      <c r="N16541">
        <v>0</v>
      </c>
    </row>
    <row r="16542" spans="1:15">
      <c r="A16542" t="s">
        <v>51653</v>
      </c>
      <c r="D16542" t="s">
        <v>51654</v>
      </c>
      <c r="E16542" t="b">
        <v>0</v>
      </c>
      <c r="F16542" t="s">
        <v>11622</v>
      </c>
      <c r="G16542">
        <v>7.8699120000000002</v>
      </c>
      <c r="H16542">
        <v>-70.997315</v>
      </c>
      <c r="L16542">
        <v>0</v>
      </c>
      <c r="M16542">
        <v>2</v>
      </c>
      <c r="N16542">
        <v>0</v>
      </c>
      <c r="O16542" t="s">
        <v>16711</v>
      </c>
    </row>
    <row r="16543" spans="1:15">
      <c r="A16543" t="s">
        <v>43557</v>
      </c>
      <c r="B16543" t="s">
        <v>11879</v>
      </c>
      <c r="C16543" t="s">
        <v>22511</v>
      </c>
      <c r="D16543" t="s">
        <v>51655</v>
      </c>
      <c r="E16543" t="b">
        <v>0</v>
      </c>
      <c r="F16543" t="s">
        <v>11622</v>
      </c>
      <c r="L16543">
        <v>6</v>
      </c>
      <c r="M16543">
        <v>11</v>
      </c>
      <c r="N16543">
        <v>4</v>
      </c>
    </row>
    <row r="16544" spans="1:15">
      <c r="A16544" t="s">
        <v>11879</v>
      </c>
      <c r="D16544" t="s">
        <v>51656</v>
      </c>
      <c r="E16544" t="b">
        <v>0</v>
      </c>
      <c r="F16544" t="s">
        <v>11622</v>
      </c>
      <c r="L16544">
        <v>70</v>
      </c>
      <c r="M16544">
        <v>180</v>
      </c>
      <c r="N16544">
        <v>88</v>
      </c>
    </row>
    <row r="16545" spans="1:15">
      <c r="A16545" t="s">
        <v>5465</v>
      </c>
      <c r="B16545" t="s">
        <v>11879</v>
      </c>
      <c r="C16545" t="s">
        <v>43557</v>
      </c>
      <c r="D16545" t="s">
        <v>5464</v>
      </c>
      <c r="E16545" t="b">
        <v>0</v>
      </c>
      <c r="F16545" t="s">
        <v>11622</v>
      </c>
      <c r="L16545">
        <v>3</v>
      </c>
      <c r="M16545">
        <v>7</v>
      </c>
      <c r="N16545">
        <v>0</v>
      </c>
    </row>
    <row r="16546" spans="1:15">
      <c r="A16546" t="s">
        <v>51657</v>
      </c>
      <c r="B16546" t="s">
        <v>51653</v>
      </c>
      <c r="C16546" t="s">
        <v>51653</v>
      </c>
      <c r="D16546" t="s">
        <v>51658</v>
      </c>
      <c r="E16546" t="b">
        <v>0</v>
      </c>
      <c r="F16546" t="s">
        <v>11624</v>
      </c>
      <c r="G16546">
        <v>7.6197859000000001</v>
      </c>
      <c r="H16546">
        <v>-66.499038900000002</v>
      </c>
      <c r="L16546">
        <v>0</v>
      </c>
      <c r="M16546">
        <v>0</v>
      </c>
      <c r="N16546">
        <v>0</v>
      </c>
      <c r="O16546" t="s">
        <v>16711</v>
      </c>
    </row>
    <row r="16547" spans="1:15">
      <c r="A16547" t="s">
        <v>51659</v>
      </c>
      <c r="B16547" t="s">
        <v>8897</v>
      </c>
      <c r="C16547" t="s">
        <v>32563</v>
      </c>
      <c r="D16547" t="s">
        <v>51660</v>
      </c>
      <c r="E16547" t="b">
        <v>0</v>
      </c>
      <c r="F16547" t="s">
        <v>11610</v>
      </c>
      <c r="L16547">
        <v>0</v>
      </c>
      <c r="M16547">
        <v>0</v>
      </c>
      <c r="N16547">
        <v>0</v>
      </c>
    </row>
    <row r="16548" spans="1:15">
      <c r="A16548" t="s">
        <v>22654</v>
      </c>
      <c r="B16548" t="s">
        <v>11879</v>
      </c>
      <c r="C16548" t="s">
        <v>51661</v>
      </c>
      <c r="D16548" t="s">
        <v>51662</v>
      </c>
      <c r="E16548" t="b">
        <v>0</v>
      </c>
      <c r="F16548" t="s">
        <v>11622</v>
      </c>
      <c r="L16548">
        <v>17</v>
      </c>
      <c r="M16548">
        <v>31</v>
      </c>
      <c r="N16548">
        <v>6</v>
      </c>
    </row>
    <row r="16549" spans="1:15">
      <c r="A16549" t="s">
        <v>22511</v>
      </c>
      <c r="B16549" t="s">
        <v>11879</v>
      </c>
      <c r="C16549" t="s">
        <v>22654</v>
      </c>
      <c r="D16549" t="s">
        <v>51663</v>
      </c>
      <c r="E16549" t="b">
        <v>0</v>
      </c>
      <c r="F16549" t="s">
        <v>11622</v>
      </c>
      <c r="L16549">
        <v>9</v>
      </c>
      <c r="M16549">
        <v>17</v>
      </c>
      <c r="N16549">
        <v>4</v>
      </c>
    </row>
    <row r="16550" spans="1:15">
      <c r="A16550" t="s">
        <v>25109</v>
      </c>
      <c r="B16550" t="s">
        <v>21516</v>
      </c>
      <c r="C16550" t="s">
        <v>26738</v>
      </c>
      <c r="D16550" t="s">
        <v>51664</v>
      </c>
      <c r="E16550" t="b">
        <v>0</v>
      </c>
      <c r="F16550" t="s">
        <v>11624</v>
      </c>
      <c r="G16550">
        <v>11.1187</v>
      </c>
      <c r="H16550">
        <v>30.573</v>
      </c>
      <c r="I16550" t="s">
        <v>51665</v>
      </c>
      <c r="L16550">
        <v>0</v>
      </c>
      <c r="M16550">
        <v>0</v>
      </c>
      <c r="N16550">
        <v>4</v>
      </c>
      <c r="O16550" t="s">
        <v>11910</v>
      </c>
    </row>
    <row r="16551" spans="1:15">
      <c r="A16551" t="s">
        <v>51666</v>
      </c>
      <c r="B16551" t="s">
        <v>11729</v>
      </c>
      <c r="C16551" t="s">
        <v>11730</v>
      </c>
      <c r="D16551" t="s">
        <v>51667</v>
      </c>
      <c r="E16551" t="b">
        <v>0</v>
      </c>
      <c r="F16551" t="s">
        <v>11610</v>
      </c>
      <c r="L16551">
        <v>0</v>
      </c>
      <c r="M16551">
        <v>0</v>
      </c>
      <c r="N16551">
        <v>0</v>
      </c>
    </row>
    <row r="16552" spans="1:15">
      <c r="A16552" t="s">
        <v>51668</v>
      </c>
      <c r="B16552" t="s">
        <v>12979</v>
      </c>
      <c r="C16552" t="s">
        <v>222</v>
      </c>
      <c r="D16552" t="s">
        <v>51669</v>
      </c>
      <c r="E16552" t="b">
        <v>0</v>
      </c>
      <c r="F16552" t="s">
        <v>11624</v>
      </c>
      <c r="G16552">
        <v>44.598799999999997</v>
      </c>
      <c r="H16552">
        <v>-83.225999999999999</v>
      </c>
      <c r="I16552" t="s">
        <v>51670</v>
      </c>
      <c r="L16552">
        <v>0</v>
      </c>
      <c r="M16552">
        <v>0</v>
      </c>
      <c r="N16552">
        <v>0</v>
      </c>
      <c r="O16552" t="s">
        <v>14875</v>
      </c>
    </row>
    <row r="16553" spans="1:15">
      <c r="A16553" t="s">
        <v>19904</v>
      </c>
      <c r="B16553" t="s">
        <v>13450</v>
      </c>
      <c r="C16553" t="s">
        <v>13450</v>
      </c>
      <c r="D16553" t="s">
        <v>51671</v>
      </c>
      <c r="E16553" t="b">
        <v>0</v>
      </c>
      <c r="F16553" t="s">
        <v>11622</v>
      </c>
      <c r="L16553">
        <v>0</v>
      </c>
      <c r="M16553">
        <v>1</v>
      </c>
      <c r="N16553">
        <v>0</v>
      </c>
    </row>
    <row r="16554" spans="1:15">
      <c r="A16554" t="s">
        <v>51672</v>
      </c>
      <c r="B16554" t="s">
        <v>367</v>
      </c>
      <c r="C16554" t="s">
        <v>25127</v>
      </c>
      <c r="D16554" t="s">
        <v>51673</v>
      </c>
      <c r="E16554" t="b">
        <v>0</v>
      </c>
      <c r="F16554" t="s">
        <v>11610</v>
      </c>
      <c r="L16554">
        <v>0</v>
      </c>
      <c r="M16554">
        <v>0</v>
      </c>
      <c r="N16554">
        <v>0</v>
      </c>
    </row>
    <row r="16555" spans="1:15">
      <c r="A16555" t="s">
        <v>37457</v>
      </c>
      <c r="B16555" t="s">
        <v>11757</v>
      </c>
      <c r="C16555" t="s">
        <v>25267</v>
      </c>
      <c r="D16555" t="s">
        <v>51674</v>
      </c>
      <c r="E16555" t="b">
        <v>0</v>
      </c>
      <c r="F16555" t="s">
        <v>11624</v>
      </c>
      <c r="G16555">
        <v>4.1637899999999997</v>
      </c>
      <c r="H16555">
        <v>32.664099999999998</v>
      </c>
      <c r="I16555" t="s">
        <v>51675</v>
      </c>
      <c r="L16555">
        <v>0</v>
      </c>
      <c r="M16555">
        <v>0</v>
      </c>
      <c r="N16555">
        <v>6</v>
      </c>
      <c r="O16555" t="s">
        <v>11960</v>
      </c>
    </row>
    <row r="16556" spans="1:15">
      <c r="A16556" t="s">
        <v>51676</v>
      </c>
      <c r="B16556" t="s">
        <v>19639</v>
      </c>
      <c r="C16556" t="s">
        <v>19641</v>
      </c>
      <c r="D16556" t="s">
        <v>51677</v>
      </c>
      <c r="E16556" t="b">
        <v>0</v>
      </c>
      <c r="F16556" t="s">
        <v>11624</v>
      </c>
      <c r="G16556">
        <v>-15.2698</v>
      </c>
      <c r="H16556">
        <v>-59.698599999999999</v>
      </c>
      <c r="I16556" t="s">
        <v>51678</v>
      </c>
      <c r="L16556">
        <v>0</v>
      </c>
      <c r="M16556">
        <v>0</v>
      </c>
      <c r="N16556">
        <v>0</v>
      </c>
      <c r="O16556" t="s">
        <v>11969</v>
      </c>
    </row>
    <row r="16557" spans="1:15">
      <c r="A16557" t="s">
        <v>51679</v>
      </c>
      <c r="B16557" t="s">
        <v>11839</v>
      </c>
      <c r="C16557" t="s">
        <v>33908</v>
      </c>
      <c r="D16557" t="s">
        <v>51680</v>
      </c>
      <c r="E16557" t="b">
        <v>0</v>
      </c>
      <c r="F16557" t="s">
        <v>11610</v>
      </c>
      <c r="L16557">
        <v>0</v>
      </c>
      <c r="M16557">
        <v>0</v>
      </c>
      <c r="N16557">
        <v>0</v>
      </c>
    </row>
    <row r="16558" spans="1:15">
      <c r="A16558" t="s">
        <v>51681</v>
      </c>
      <c r="B16558" t="s">
        <v>6742</v>
      </c>
      <c r="C16558" t="s">
        <v>45418</v>
      </c>
      <c r="D16558" t="s">
        <v>51682</v>
      </c>
      <c r="E16558" t="b">
        <v>0</v>
      </c>
      <c r="F16558" t="s">
        <v>11610</v>
      </c>
      <c r="L16558">
        <v>0</v>
      </c>
      <c r="M16558">
        <v>0</v>
      </c>
      <c r="N16558">
        <v>0</v>
      </c>
    </row>
    <row r="16559" spans="1:15">
      <c r="A16559" t="s">
        <v>51683</v>
      </c>
      <c r="B16559" t="s">
        <v>6742</v>
      </c>
      <c r="C16559" t="s">
        <v>19966</v>
      </c>
      <c r="D16559" t="s">
        <v>51684</v>
      </c>
      <c r="E16559" t="b">
        <v>0</v>
      </c>
      <c r="F16559" t="s">
        <v>11610</v>
      </c>
      <c r="L16559">
        <v>0</v>
      </c>
      <c r="M16559">
        <v>0</v>
      </c>
      <c r="N16559">
        <v>0</v>
      </c>
    </row>
    <row r="16560" spans="1:15">
      <c r="A16560" t="s">
        <v>51685</v>
      </c>
      <c r="B16560" t="s">
        <v>11607</v>
      </c>
      <c r="C16560" t="s">
        <v>45490</v>
      </c>
      <c r="D16560" t="s">
        <v>51686</v>
      </c>
      <c r="E16560" t="b">
        <v>0</v>
      </c>
      <c r="F16560" t="s">
        <v>11622</v>
      </c>
      <c r="L16560">
        <v>0</v>
      </c>
      <c r="M16560">
        <v>2</v>
      </c>
      <c r="N16560">
        <v>3</v>
      </c>
    </row>
    <row r="16561" spans="1:15">
      <c r="A16561" t="s">
        <v>51687</v>
      </c>
      <c r="B16561" t="s">
        <v>6742</v>
      </c>
      <c r="C16561" t="s">
        <v>27708</v>
      </c>
      <c r="D16561" t="s">
        <v>51688</v>
      </c>
      <c r="E16561" t="b">
        <v>0</v>
      </c>
      <c r="F16561" t="s">
        <v>11610</v>
      </c>
      <c r="L16561">
        <v>0</v>
      </c>
      <c r="M16561">
        <v>0</v>
      </c>
      <c r="N16561">
        <v>0</v>
      </c>
    </row>
    <row r="16562" spans="1:15">
      <c r="A16562" t="s">
        <v>51689</v>
      </c>
      <c r="B16562" t="s">
        <v>11607</v>
      </c>
      <c r="C16562" t="s">
        <v>51690</v>
      </c>
      <c r="D16562" t="s">
        <v>51691</v>
      </c>
      <c r="E16562" t="b">
        <v>0</v>
      </c>
      <c r="F16562" t="s">
        <v>11610</v>
      </c>
      <c r="L16562">
        <v>0</v>
      </c>
      <c r="M16562">
        <v>0</v>
      </c>
      <c r="N16562">
        <v>0</v>
      </c>
    </row>
    <row r="16563" spans="1:15">
      <c r="A16563" t="s">
        <v>51692</v>
      </c>
      <c r="B16563" t="s">
        <v>367</v>
      </c>
      <c r="C16563" t="s">
        <v>38710</v>
      </c>
      <c r="D16563" t="s">
        <v>51693</v>
      </c>
      <c r="E16563" t="b">
        <v>0</v>
      </c>
      <c r="F16563" t="s">
        <v>11610</v>
      </c>
      <c r="L16563">
        <v>0</v>
      </c>
      <c r="M16563">
        <v>0</v>
      </c>
      <c r="N16563">
        <v>0</v>
      </c>
    </row>
    <row r="16564" spans="1:15">
      <c r="A16564" t="s">
        <v>51694</v>
      </c>
      <c r="B16564" t="s">
        <v>6742</v>
      </c>
      <c r="C16564" t="s">
        <v>16901</v>
      </c>
      <c r="D16564" t="s">
        <v>51695</v>
      </c>
      <c r="E16564" t="b">
        <v>0</v>
      </c>
      <c r="F16564" t="s">
        <v>11610</v>
      </c>
      <c r="L16564">
        <v>0</v>
      </c>
      <c r="M16564">
        <v>0</v>
      </c>
      <c r="N16564">
        <v>0</v>
      </c>
    </row>
    <row r="16565" spans="1:15">
      <c r="A16565" t="s">
        <v>51696</v>
      </c>
      <c r="B16565" t="s">
        <v>11607</v>
      </c>
      <c r="C16565" t="s">
        <v>27826</v>
      </c>
      <c r="D16565" t="s">
        <v>51697</v>
      </c>
      <c r="E16565" t="b">
        <v>0</v>
      </c>
      <c r="F16565" t="s">
        <v>11610</v>
      </c>
      <c r="L16565">
        <v>0</v>
      </c>
      <c r="M16565">
        <v>0</v>
      </c>
      <c r="N16565">
        <v>0</v>
      </c>
    </row>
    <row r="16566" spans="1:15">
      <c r="A16566" t="s">
        <v>51698</v>
      </c>
      <c r="B16566" t="s">
        <v>11644</v>
      </c>
      <c r="C16566" t="s">
        <v>22961</v>
      </c>
      <c r="D16566" t="s">
        <v>51699</v>
      </c>
      <c r="E16566" t="b">
        <v>0</v>
      </c>
      <c r="F16566" t="s">
        <v>11610</v>
      </c>
      <c r="G16566">
        <v>28.005496000000001</v>
      </c>
      <c r="H16566">
        <v>120.701179</v>
      </c>
      <c r="L16566">
        <v>0</v>
      </c>
      <c r="M16566">
        <v>0</v>
      </c>
      <c r="N16566">
        <v>0</v>
      </c>
    </row>
    <row r="16567" spans="1:15">
      <c r="A16567" t="s">
        <v>51700</v>
      </c>
      <c r="B16567" t="s">
        <v>11780</v>
      </c>
      <c r="C16567" t="s">
        <v>11781</v>
      </c>
      <c r="D16567" t="s">
        <v>51701</v>
      </c>
      <c r="E16567" t="b">
        <v>0</v>
      </c>
      <c r="F16567" t="s">
        <v>11610</v>
      </c>
      <c r="L16567">
        <v>0</v>
      </c>
      <c r="M16567">
        <v>0</v>
      </c>
      <c r="N16567">
        <v>0</v>
      </c>
    </row>
    <row r="16568" spans="1:15">
      <c r="A16568" t="s">
        <v>51702</v>
      </c>
      <c r="B16568" t="s">
        <v>367</v>
      </c>
      <c r="C16568" t="s">
        <v>41656</v>
      </c>
      <c r="D16568" t="s">
        <v>51703</v>
      </c>
      <c r="E16568" t="b">
        <v>0</v>
      </c>
      <c r="F16568" t="s">
        <v>11624</v>
      </c>
      <c r="G16568">
        <v>-10.2288</v>
      </c>
      <c r="H16568">
        <v>149.101</v>
      </c>
      <c r="I16568" t="s">
        <v>51704</v>
      </c>
      <c r="L16568">
        <v>0</v>
      </c>
      <c r="M16568">
        <v>0</v>
      </c>
      <c r="N16568">
        <v>0</v>
      </c>
      <c r="O16568" t="s">
        <v>11660</v>
      </c>
    </row>
    <row r="16569" spans="1:15">
      <c r="A16569" t="s">
        <v>41656</v>
      </c>
      <c r="B16569" t="s">
        <v>367</v>
      </c>
      <c r="C16569" t="s">
        <v>21562</v>
      </c>
      <c r="D16569" t="s">
        <v>51705</v>
      </c>
      <c r="E16569" t="b">
        <v>0</v>
      </c>
      <c r="F16569" t="s">
        <v>11622</v>
      </c>
      <c r="L16569">
        <v>1</v>
      </c>
      <c r="M16569">
        <v>4</v>
      </c>
      <c r="N16569">
        <v>0</v>
      </c>
    </row>
    <row r="16570" spans="1:15">
      <c r="A16570" t="s">
        <v>51706</v>
      </c>
      <c r="B16570" t="s">
        <v>11627</v>
      </c>
      <c r="C16570" t="s">
        <v>11627</v>
      </c>
      <c r="D16570" t="s">
        <v>51707</v>
      </c>
      <c r="E16570" t="b">
        <v>1</v>
      </c>
      <c r="F16570" t="s">
        <v>11624</v>
      </c>
      <c r="G16570">
        <v>-15.3</v>
      </c>
      <c r="H16570">
        <v>14.35</v>
      </c>
      <c r="I16570" t="s">
        <v>51708</v>
      </c>
      <c r="L16570">
        <v>0</v>
      </c>
      <c r="M16570">
        <v>0</v>
      </c>
      <c r="N16570">
        <v>0</v>
      </c>
      <c r="O16570" t="s">
        <v>37874</v>
      </c>
    </row>
    <row r="16571" spans="1:15">
      <c r="A16571" t="s">
        <v>51709</v>
      </c>
      <c r="B16571" t="s">
        <v>16042</v>
      </c>
      <c r="C16571" t="s">
        <v>23720</v>
      </c>
      <c r="D16571" t="s">
        <v>51710</v>
      </c>
      <c r="E16571" t="b">
        <v>0</v>
      </c>
      <c r="F16571" t="s">
        <v>11624</v>
      </c>
      <c r="G16571">
        <v>-6.36069</v>
      </c>
      <c r="H16571">
        <v>155.708</v>
      </c>
      <c r="I16571" t="s">
        <v>51711</v>
      </c>
      <c r="L16571">
        <v>0</v>
      </c>
      <c r="M16571">
        <v>0</v>
      </c>
      <c r="N16571">
        <v>0</v>
      </c>
      <c r="O16571" t="s">
        <v>11660</v>
      </c>
    </row>
    <row r="16572" spans="1:15">
      <c r="A16572" t="s">
        <v>17411</v>
      </c>
      <c r="B16572" t="s">
        <v>11637</v>
      </c>
      <c r="C16572" t="s">
        <v>32419</v>
      </c>
      <c r="D16572" t="s">
        <v>51712</v>
      </c>
      <c r="E16572" t="b">
        <v>0</v>
      </c>
      <c r="F16572" t="s">
        <v>11622</v>
      </c>
      <c r="L16572">
        <v>1</v>
      </c>
      <c r="M16572">
        <v>4</v>
      </c>
      <c r="N16572">
        <v>0</v>
      </c>
    </row>
    <row r="16573" spans="1:15">
      <c r="A16573" t="s">
        <v>51713</v>
      </c>
      <c r="B16573" t="s">
        <v>11637</v>
      </c>
      <c r="C16573" t="s">
        <v>51714</v>
      </c>
      <c r="D16573" t="s">
        <v>51715</v>
      </c>
      <c r="E16573" t="b">
        <v>0</v>
      </c>
      <c r="F16573" t="s">
        <v>11610</v>
      </c>
      <c r="L16573">
        <v>0</v>
      </c>
      <c r="M16573">
        <v>0</v>
      </c>
      <c r="N16573">
        <v>0</v>
      </c>
    </row>
    <row r="16574" spans="1:15">
      <c r="A16574" t="s">
        <v>51716</v>
      </c>
      <c r="B16574" t="s">
        <v>11644</v>
      </c>
      <c r="C16574" t="s">
        <v>21413</v>
      </c>
      <c r="D16574" t="s">
        <v>51717</v>
      </c>
      <c r="E16574" t="b">
        <v>0</v>
      </c>
      <c r="F16574" t="s">
        <v>11610</v>
      </c>
      <c r="L16574">
        <v>0</v>
      </c>
      <c r="M16574">
        <v>0</v>
      </c>
      <c r="N16574">
        <v>0</v>
      </c>
    </row>
    <row r="16575" spans="1:15">
      <c r="A16575" t="s">
        <v>47539</v>
      </c>
      <c r="B16575" t="s">
        <v>11607</v>
      </c>
      <c r="C16575" t="s">
        <v>51718</v>
      </c>
      <c r="D16575" t="s">
        <v>51719</v>
      </c>
      <c r="E16575" t="b">
        <v>0</v>
      </c>
      <c r="F16575" t="s">
        <v>11622</v>
      </c>
      <c r="L16575">
        <v>3</v>
      </c>
      <c r="M16575">
        <v>6</v>
      </c>
      <c r="N16575">
        <v>9</v>
      </c>
    </row>
    <row r="16576" spans="1:15">
      <c r="A16576" t="s">
        <v>18852</v>
      </c>
      <c r="B16576" t="s">
        <v>11615</v>
      </c>
      <c r="C16576" t="s">
        <v>27213</v>
      </c>
      <c r="D16576" t="s">
        <v>51720</v>
      </c>
      <c r="E16576" t="b">
        <v>0</v>
      </c>
      <c r="F16576" t="s">
        <v>11622</v>
      </c>
      <c r="L16576">
        <v>0</v>
      </c>
      <c r="M16576">
        <v>2</v>
      </c>
      <c r="N16576">
        <v>1</v>
      </c>
    </row>
    <row r="16577" spans="1:15">
      <c r="A16577" t="s">
        <v>43989</v>
      </c>
      <c r="B16577" t="s">
        <v>29767</v>
      </c>
      <c r="C16577" t="s">
        <v>29767</v>
      </c>
      <c r="D16577" t="s">
        <v>51721</v>
      </c>
      <c r="E16577" t="b">
        <v>0</v>
      </c>
      <c r="F16577" t="s">
        <v>11622</v>
      </c>
      <c r="L16577">
        <v>2</v>
      </c>
      <c r="M16577">
        <v>4</v>
      </c>
      <c r="N16577">
        <v>0</v>
      </c>
    </row>
    <row r="16578" spans="1:15">
      <c r="A16578" t="s">
        <v>51722</v>
      </c>
      <c r="B16578" t="s">
        <v>11607</v>
      </c>
      <c r="C16578" t="s">
        <v>21751</v>
      </c>
      <c r="D16578" t="s">
        <v>51723</v>
      </c>
      <c r="E16578" t="b">
        <v>0</v>
      </c>
      <c r="F16578" t="s">
        <v>11610</v>
      </c>
      <c r="L16578">
        <v>0</v>
      </c>
      <c r="M16578">
        <v>0</v>
      </c>
      <c r="N16578">
        <v>0</v>
      </c>
    </row>
    <row r="16579" spans="1:15">
      <c r="A16579" t="s">
        <v>27021</v>
      </c>
      <c r="B16579" t="s">
        <v>11637</v>
      </c>
      <c r="C16579" t="s">
        <v>46956</v>
      </c>
      <c r="D16579" t="s">
        <v>51724</v>
      </c>
      <c r="E16579" t="b">
        <v>0</v>
      </c>
      <c r="F16579" t="s">
        <v>11610</v>
      </c>
      <c r="L16579">
        <v>0</v>
      </c>
      <c r="M16579">
        <v>0</v>
      </c>
      <c r="N16579">
        <v>17</v>
      </c>
    </row>
    <row r="16580" spans="1:15">
      <c r="A16580" t="s">
        <v>51725</v>
      </c>
      <c r="B16580" t="s">
        <v>11637</v>
      </c>
      <c r="C16580" t="s">
        <v>26685</v>
      </c>
      <c r="D16580" t="s">
        <v>51726</v>
      </c>
      <c r="E16580" t="b">
        <v>0</v>
      </c>
      <c r="F16580" t="s">
        <v>11610</v>
      </c>
      <c r="L16580">
        <v>0</v>
      </c>
      <c r="M16580">
        <v>0</v>
      </c>
      <c r="N16580">
        <v>0</v>
      </c>
    </row>
    <row r="16581" spans="1:15">
      <c r="A16581" t="s">
        <v>51727</v>
      </c>
      <c r="B16581" t="s">
        <v>300</v>
      </c>
      <c r="C16581" t="s">
        <v>8583</v>
      </c>
      <c r="D16581" t="s">
        <v>51728</v>
      </c>
      <c r="E16581" t="b">
        <v>0</v>
      </c>
      <c r="F16581" t="s">
        <v>11610</v>
      </c>
      <c r="L16581">
        <v>0</v>
      </c>
      <c r="M16581">
        <v>0</v>
      </c>
      <c r="N16581">
        <v>0</v>
      </c>
    </row>
    <row r="16582" spans="1:15">
      <c r="A16582" t="s">
        <v>40186</v>
      </c>
      <c r="B16582" t="s">
        <v>11637</v>
      </c>
      <c r="C16582" t="s">
        <v>46964</v>
      </c>
      <c r="D16582" t="s">
        <v>51729</v>
      </c>
      <c r="E16582" t="b">
        <v>0</v>
      </c>
      <c r="F16582" t="s">
        <v>11610</v>
      </c>
      <c r="L16582">
        <v>0</v>
      </c>
      <c r="M16582">
        <v>0</v>
      </c>
      <c r="N16582">
        <v>3</v>
      </c>
    </row>
    <row r="16583" spans="1:15">
      <c r="A16583" t="s">
        <v>51730</v>
      </c>
      <c r="B16583" t="s">
        <v>367</v>
      </c>
      <c r="C16583" t="s">
        <v>14619</v>
      </c>
      <c r="D16583" t="s">
        <v>51731</v>
      </c>
      <c r="E16583" t="b">
        <v>0</v>
      </c>
      <c r="F16583" t="s">
        <v>11624</v>
      </c>
      <c r="G16583">
        <v>-10.825530000000001</v>
      </c>
      <c r="H16583">
        <v>162.30466999999999</v>
      </c>
      <c r="I16583" t="s">
        <v>51732</v>
      </c>
      <c r="L16583">
        <v>0</v>
      </c>
      <c r="M16583">
        <v>0</v>
      </c>
      <c r="N16583">
        <v>3</v>
      </c>
      <c r="O16583" t="s">
        <v>13346</v>
      </c>
    </row>
    <row r="16584" spans="1:15">
      <c r="A16584" t="s">
        <v>22758</v>
      </c>
      <c r="B16584" t="s">
        <v>4342</v>
      </c>
      <c r="C16584" t="s">
        <v>29231</v>
      </c>
      <c r="D16584" t="s">
        <v>51733</v>
      </c>
      <c r="E16584" t="b">
        <v>0</v>
      </c>
      <c r="F16584" t="s">
        <v>11610</v>
      </c>
      <c r="L16584">
        <v>0</v>
      </c>
      <c r="M16584">
        <v>0</v>
      </c>
      <c r="N16584">
        <v>2</v>
      </c>
    </row>
    <row r="16585" spans="1:15">
      <c r="A16585" t="s">
        <v>51734</v>
      </c>
      <c r="B16585" t="s">
        <v>6742</v>
      </c>
      <c r="C16585" t="s">
        <v>3193</v>
      </c>
      <c r="D16585" t="s">
        <v>51735</v>
      </c>
      <c r="E16585" t="b">
        <v>0</v>
      </c>
      <c r="F16585" t="s">
        <v>11610</v>
      </c>
      <c r="L16585">
        <v>0</v>
      </c>
      <c r="M16585">
        <v>0</v>
      </c>
      <c r="N16585">
        <v>0</v>
      </c>
    </row>
    <row r="16586" spans="1:15">
      <c r="A16586" t="s">
        <v>51736</v>
      </c>
      <c r="B16586" t="s">
        <v>6742</v>
      </c>
      <c r="C16586" t="s">
        <v>15272</v>
      </c>
      <c r="D16586" t="s">
        <v>51737</v>
      </c>
      <c r="E16586" t="b">
        <v>0</v>
      </c>
      <c r="F16586" t="s">
        <v>11610</v>
      </c>
      <c r="L16586">
        <v>0</v>
      </c>
      <c r="M16586">
        <v>0</v>
      </c>
      <c r="N16586">
        <v>0</v>
      </c>
    </row>
    <row r="16587" spans="1:15">
      <c r="A16587" t="s">
        <v>51738</v>
      </c>
      <c r="B16587" t="s">
        <v>11615</v>
      </c>
      <c r="C16587" t="s">
        <v>15329</v>
      </c>
      <c r="D16587" t="s">
        <v>51739</v>
      </c>
      <c r="E16587" t="b">
        <v>0</v>
      </c>
      <c r="F16587" t="s">
        <v>11624</v>
      </c>
      <c r="G16587">
        <v>-6.7045199999999996</v>
      </c>
      <c r="H16587">
        <v>145.81700000000001</v>
      </c>
      <c r="I16587" t="s">
        <v>51740</v>
      </c>
      <c r="L16587">
        <v>0</v>
      </c>
      <c r="M16587">
        <v>0</v>
      </c>
      <c r="N16587">
        <v>0</v>
      </c>
      <c r="O16587" t="s">
        <v>11660</v>
      </c>
    </row>
    <row r="16588" spans="1:15">
      <c r="A16588" t="s">
        <v>51741</v>
      </c>
      <c r="B16588" t="s">
        <v>6742</v>
      </c>
      <c r="C16588" t="s">
        <v>12211</v>
      </c>
      <c r="D16588" t="s">
        <v>51742</v>
      </c>
      <c r="E16588" t="b">
        <v>0</v>
      </c>
      <c r="F16588" t="s">
        <v>11610</v>
      </c>
      <c r="L16588">
        <v>0</v>
      </c>
      <c r="M16588">
        <v>0</v>
      </c>
      <c r="N16588">
        <v>0</v>
      </c>
    </row>
    <row r="16589" spans="1:15">
      <c r="A16589" t="s">
        <v>51743</v>
      </c>
      <c r="B16589" t="s">
        <v>13291</v>
      </c>
      <c r="C16589" t="s">
        <v>13291</v>
      </c>
      <c r="D16589" t="s">
        <v>51744</v>
      </c>
      <c r="E16589" t="b">
        <v>0</v>
      </c>
      <c r="F16589" t="s">
        <v>11624</v>
      </c>
      <c r="G16589">
        <v>-4.4747599999999998</v>
      </c>
      <c r="H16589">
        <v>141.697</v>
      </c>
      <c r="I16589" t="s">
        <v>51745</v>
      </c>
      <c r="L16589">
        <v>0</v>
      </c>
      <c r="M16589">
        <v>0</v>
      </c>
      <c r="N16589">
        <v>0</v>
      </c>
      <c r="O16589" t="s">
        <v>11660</v>
      </c>
    </row>
    <row r="16590" spans="1:15">
      <c r="A16590" t="s">
        <v>51746</v>
      </c>
      <c r="B16590" t="s">
        <v>6742</v>
      </c>
      <c r="C16590" t="s">
        <v>13762</v>
      </c>
      <c r="D16590" t="s">
        <v>51747</v>
      </c>
      <c r="E16590" t="b">
        <v>0</v>
      </c>
      <c r="F16590" t="s">
        <v>11610</v>
      </c>
      <c r="L16590">
        <v>0</v>
      </c>
      <c r="M16590">
        <v>0</v>
      </c>
      <c r="N16590">
        <v>0</v>
      </c>
    </row>
    <row r="16591" spans="1:15">
      <c r="A16591" t="s">
        <v>51748</v>
      </c>
      <c r="B16591" t="s">
        <v>11607</v>
      </c>
      <c r="C16591" t="s">
        <v>27787</v>
      </c>
      <c r="D16591" t="s">
        <v>51749</v>
      </c>
      <c r="E16591" t="b">
        <v>0</v>
      </c>
      <c r="F16591" t="s">
        <v>11610</v>
      </c>
      <c r="L16591">
        <v>0</v>
      </c>
      <c r="M16591">
        <v>0</v>
      </c>
      <c r="N16591">
        <v>0</v>
      </c>
    </row>
    <row r="16592" spans="1:15">
      <c r="A16592" t="s">
        <v>51750</v>
      </c>
      <c r="B16592" t="s">
        <v>11615</v>
      </c>
      <c r="C16592" t="s">
        <v>28288</v>
      </c>
      <c r="D16592" t="s">
        <v>51751</v>
      </c>
      <c r="E16592" t="b">
        <v>0</v>
      </c>
      <c r="F16592" t="s">
        <v>11610</v>
      </c>
      <c r="L16592">
        <v>0</v>
      </c>
      <c r="M16592">
        <v>0</v>
      </c>
      <c r="N16592">
        <v>0</v>
      </c>
    </row>
    <row r="16593" spans="1:15">
      <c r="A16593" t="s">
        <v>51752</v>
      </c>
      <c r="B16593" t="s">
        <v>367</v>
      </c>
      <c r="C16593" t="s">
        <v>15128</v>
      </c>
      <c r="D16593" t="s">
        <v>51753</v>
      </c>
      <c r="E16593" t="b">
        <v>0</v>
      </c>
      <c r="F16593" t="s">
        <v>11624</v>
      </c>
      <c r="G16593">
        <v>-10.539199999999999</v>
      </c>
      <c r="H16593">
        <v>150.65799999999999</v>
      </c>
      <c r="I16593" t="s">
        <v>51754</v>
      </c>
      <c r="L16593">
        <v>0</v>
      </c>
      <c r="M16593">
        <v>0</v>
      </c>
      <c r="N16593">
        <v>0</v>
      </c>
      <c r="O16593" t="s">
        <v>11660</v>
      </c>
    </row>
    <row r="16594" spans="1:15">
      <c r="A16594" t="s">
        <v>51755</v>
      </c>
      <c r="B16594" t="s">
        <v>13571</v>
      </c>
      <c r="C16594" t="s">
        <v>21507</v>
      </c>
      <c r="D16594" t="s">
        <v>51756</v>
      </c>
      <c r="E16594" t="b">
        <v>0</v>
      </c>
      <c r="F16594" t="s">
        <v>11624</v>
      </c>
      <c r="G16594">
        <v>6.1332199999999997</v>
      </c>
      <c r="H16594">
        <v>36.854100000000003</v>
      </c>
      <c r="I16594" t="s">
        <v>51757</v>
      </c>
      <c r="L16594">
        <v>0</v>
      </c>
      <c r="M16594">
        <v>0</v>
      </c>
      <c r="N16594">
        <v>0</v>
      </c>
      <c r="O16594" t="s">
        <v>11625</v>
      </c>
    </row>
    <row r="16595" spans="1:15">
      <c r="A16595" t="s">
        <v>51758</v>
      </c>
      <c r="B16595" t="s">
        <v>6742</v>
      </c>
      <c r="C16595" t="s">
        <v>15272</v>
      </c>
      <c r="D16595" t="s">
        <v>51759</v>
      </c>
      <c r="E16595" t="b">
        <v>0</v>
      </c>
      <c r="F16595" t="s">
        <v>11610</v>
      </c>
      <c r="L16595">
        <v>0</v>
      </c>
      <c r="M16595">
        <v>0</v>
      </c>
      <c r="N16595">
        <v>0</v>
      </c>
    </row>
    <row r="16596" spans="1:15">
      <c r="A16596" t="s">
        <v>51760</v>
      </c>
      <c r="B16596" t="s">
        <v>12697</v>
      </c>
      <c r="C16596" t="s">
        <v>14175</v>
      </c>
      <c r="D16596" t="s">
        <v>51761</v>
      </c>
      <c r="E16596" t="b">
        <v>0</v>
      </c>
      <c r="F16596" t="s">
        <v>11610</v>
      </c>
      <c r="L16596">
        <v>0</v>
      </c>
      <c r="M16596">
        <v>0</v>
      </c>
      <c r="N16596">
        <v>0</v>
      </c>
    </row>
    <row r="16597" spans="1:15">
      <c r="A16597" t="s">
        <v>51762</v>
      </c>
      <c r="B16597" t="s">
        <v>6742</v>
      </c>
      <c r="C16597" t="s">
        <v>12177</v>
      </c>
      <c r="D16597" t="s">
        <v>51763</v>
      </c>
      <c r="E16597" t="b">
        <v>0</v>
      </c>
      <c r="F16597" t="s">
        <v>11610</v>
      </c>
      <c r="L16597">
        <v>0</v>
      </c>
      <c r="M16597">
        <v>0</v>
      </c>
      <c r="N16597">
        <v>0</v>
      </c>
    </row>
    <row r="16598" spans="1:15">
      <c r="A16598" t="s">
        <v>51764</v>
      </c>
      <c r="B16598" t="s">
        <v>10597</v>
      </c>
      <c r="C16598" t="s">
        <v>38277</v>
      </c>
      <c r="D16598" t="s">
        <v>51765</v>
      </c>
      <c r="E16598" t="b">
        <v>0</v>
      </c>
      <c r="F16598" t="s">
        <v>11610</v>
      </c>
      <c r="L16598">
        <v>0</v>
      </c>
      <c r="M16598">
        <v>0</v>
      </c>
      <c r="N16598">
        <v>0</v>
      </c>
    </row>
    <row r="16599" spans="1:15">
      <c r="A16599" t="s">
        <v>51766</v>
      </c>
      <c r="B16599" t="s">
        <v>6742</v>
      </c>
      <c r="C16599" t="s">
        <v>11804</v>
      </c>
      <c r="D16599" t="s">
        <v>51767</v>
      </c>
      <c r="E16599" t="b">
        <v>0</v>
      </c>
      <c r="F16599" t="s">
        <v>11610</v>
      </c>
      <c r="L16599">
        <v>0</v>
      </c>
      <c r="M16599">
        <v>0</v>
      </c>
      <c r="N16599">
        <v>0</v>
      </c>
    </row>
    <row r="16600" spans="1:15">
      <c r="A16600" t="s">
        <v>51768</v>
      </c>
      <c r="B16600" t="s">
        <v>6742</v>
      </c>
      <c r="C16600" t="s">
        <v>3193</v>
      </c>
      <c r="D16600" t="s">
        <v>51769</v>
      </c>
      <c r="E16600" t="b">
        <v>0</v>
      </c>
      <c r="F16600" t="s">
        <v>11610</v>
      </c>
      <c r="L16600">
        <v>0</v>
      </c>
      <c r="M16600">
        <v>0</v>
      </c>
      <c r="N16600">
        <v>0</v>
      </c>
    </row>
    <row r="16601" spans="1:15">
      <c r="A16601" t="s">
        <v>51770</v>
      </c>
      <c r="D16601" t="s">
        <v>51771</v>
      </c>
      <c r="E16601" t="b">
        <v>0</v>
      </c>
      <c r="F16601" t="s">
        <v>11624</v>
      </c>
      <c r="G16601">
        <v>-42.307378</v>
      </c>
      <c r="H16601">
        <v>147.50060999999999</v>
      </c>
      <c r="L16601">
        <v>0</v>
      </c>
      <c r="M16601">
        <v>0</v>
      </c>
      <c r="N16601">
        <v>0</v>
      </c>
      <c r="O16601" t="s">
        <v>12107</v>
      </c>
    </row>
    <row r="16602" spans="1:15">
      <c r="A16602" t="s">
        <v>32486</v>
      </c>
      <c r="B16602" t="s">
        <v>12438</v>
      </c>
      <c r="C16602" t="s">
        <v>39575</v>
      </c>
      <c r="D16602" t="s">
        <v>51772</v>
      </c>
      <c r="E16602" t="b">
        <v>0</v>
      </c>
      <c r="F16602" t="s">
        <v>11624</v>
      </c>
      <c r="G16602">
        <v>15.42</v>
      </c>
      <c r="H16602">
        <v>106.658</v>
      </c>
      <c r="I16602" t="s">
        <v>51773</v>
      </c>
      <c r="L16602">
        <v>0</v>
      </c>
      <c r="M16602">
        <v>0</v>
      </c>
      <c r="N16602">
        <v>6</v>
      </c>
      <c r="O16602" t="s">
        <v>12921</v>
      </c>
    </row>
    <row r="16603" spans="1:15">
      <c r="A16603" t="s">
        <v>51774</v>
      </c>
      <c r="B16603" t="s">
        <v>11879</v>
      </c>
      <c r="C16603" t="s">
        <v>41000</v>
      </c>
      <c r="D16603" t="s">
        <v>51775</v>
      </c>
      <c r="E16603" t="b">
        <v>0</v>
      </c>
      <c r="F16603" t="s">
        <v>11624</v>
      </c>
      <c r="G16603">
        <v>16.04</v>
      </c>
      <c r="H16603">
        <v>-96.368600000000001</v>
      </c>
      <c r="I16603" t="s">
        <v>51776</v>
      </c>
      <c r="L16603">
        <v>0</v>
      </c>
      <c r="M16603">
        <v>0</v>
      </c>
      <c r="N16603">
        <v>2</v>
      </c>
      <c r="O16603" t="s">
        <v>11883</v>
      </c>
    </row>
    <row r="16604" spans="1:15">
      <c r="A16604" t="s">
        <v>51777</v>
      </c>
      <c r="B16604" t="s">
        <v>6742</v>
      </c>
      <c r="C16604" t="s">
        <v>15272</v>
      </c>
      <c r="D16604" t="s">
        <v>51778</v>
      </c>
      <c r="E16604" t="b">
        <v>0</v>
      </c>
      <c r="F16604" t="s">
        <v>11610</v>
      </c>
      <c r="L16604">
        <v>0</v>
      </c>
      <c r="M16604">
        <v>0</v>
      </c>
      <c r="N16604">
        <v>0</v>
      </c>
    </row>
    <row r="16605" spans="1:15">
      <c r="A16605" t="s">
        <v>15502</v>
      </c>
      <c r="B16605" t="s">
        <v>11879</v>
      </c>
      <c r="C16605" t="s">
        <v>22656</v>
      </c>
      <c r="D16605" t="s">
        <v>51779</v>
      </c>
      <c r="E16605" t="b">
        <v>0</v>
      </c>
      <c r="F16605" t="s">
        <v>11624</v>
      </c>
      <c r="G16605">
        <v>17.697600000000001</v>
      </c>
      <c r="H16605">
        <v>-96.224900000000005</v>
      </c>
      <c r="I16605" t="s">
        <v>51780</v>
      </c>
      <c r="L16605">
        <v>0</v>
      </c>
      <c r="M16605">
        <v>0</v>
      </c>
      <c r="N16605">
        <v>1</v>
      </c>
      <c r="O16605" t="s">
        <v>11883</v>
      </c>
    </row>
    <row r="16606" spans="1:15">
      <c r="A16606" t="s">
        <v>51781</v>
      </c>
      <c r="B16606" t="s">
        <v>11607</v>
      </c>
      <c r="C16606" t="s">
        <v>12615</v>
      </c>
      <c r="D16606" t="s">
        <v>51782</v>
      </c>
      <c r="E16606" t="b">
        <v>0</v>
      </c>
      <c r="F16606" t="s">
        <v>11624</v>
      </c>
      <c r="G16606">
        <v>11.0175</v>
      </c>
      <c r="H16606">
        <v>9.30091</v>
      </c>
      <c r="I16606" t="s">
        <v>51783</v>
      </c>
      <c r="L16606">
        <v>0</v>
      </c>
      <c r="M16606">
        <v>0</v>
      </c>
      <c r="N16606">
        <v>0</v>
      </c>
      <c r="O16606" t="s">
        <v>11693</v>
      </c>
    </row>
    <row r="16607" spans="1:15">
      <c r="A16607" t="s">
        <v>51784</v>
      </c>
      <c r="B16607" t="s">
        <v>11637</v>
      </c>
      <c r="C16607" t="s">
        <v>14869</v>
      </c>
      <c r="D16607" t="s">
        <v>51785</v>
      </c>
      <c r="E16607" t="b">
        <v>0</v>
      </c>
      <c r="F16607" t="s">
        <v>11610</v>
      </c>
      <c r="L16607">
        <v>0</v>
      </c>
      <c r="M16607">
        <v>0</v>
      </c>
      <c r="N16607">
        <v>0</v>
      </c>
    </row>
    <row r="16608" spans="1:15">
      <c r="A16608" t="s">
        <v>51786</v>
      </c>
      <c r="B16608" t="s">
        <v>367</v>
      </c>
      <c r="C16608" t="s">
        <v>45868</v>
      </c>
      <c r="D16608" t="s">
        <v>51787</v>
      </c>
      <c r="E16608" t="b">
        <v>0</v>
      </c>
      <c r="F16608" t="s">
        <v>11624</v>
      </c>
      <c r="G16608">
        <v>8.6101939999999999</v>
      </c>
      <c r="H16608">
        <v>152.24016700000001</v>
      </c>
      <c r="I16608" t="s">
        <v>51788</v>
      </c>
      <c r="L16608">
        <v>0</v>
      </c>
      <c r="M16608">
        <v>0</v>
      </c>
      <c r="N16608">
        <v>0</v>
      </c>
      <c r="O16608" t="s">
        <v>22994</v>
      </c>
    </row>
    <row r="16609" spans="1:15">
      <c r="A16609" t="s">
        <v>48645</v>
      </c>
      <c r="B16609" t="s">
        <v>367</v>
      </c>
      <c r="C16609" t="s">
        <v>13403</v>
      </c>
      <c r="D16609" t="s">
        <v>51789</v>
      </c>
      <c r="E16609" t="b">
        <v>0</v>
      </c>
      <c r="F16609" t="s">
        <v>11624</v>
      </c>
      <c r="G16609">
        <v>-16.475480000000001</v>
      </c>
      <c r="H16609">
        <v>168.23693</v>
      </c>
      <c r="I16609" t="s">
        <v>51790</v>
      </c>
      <c r="L16609">
        <v>0</v>
      </c>
      <c r="M16609">
        <v>0</v>
      </c>
      <c r="N16609">
        <v>2</v>
      </c>
      <c r="O16609" t="s">
        <v>12719</v>
      </c>
    </row>
    <row r="16610" spans="1:15">
      <c r="A16610" t="s">
        <v>51791</v>
      </c>
      <c r="B16610" t="s">
        <v>11644</v>
      </c>
      <c r="C16610" t="s">
        <v>34717</v>
      </c>
      <c r="D16610" t="s">
        <v>51792</v>
      </c>
      <c r="E16610" t="b">
        <v>0</v>
      </c>
      <c r="F16610" t="s">
        <v>11610</v>
      </c>
      <c r="L16610">
        <v>0</v>
      </c>
      <c r="M16610">
        <v>0</v>
      </c>
      <c r="N16610">
        <v>0</v>
      </c>
    </row>
    <row r="16611" spans="1:15">
      <c r="A16611" t="s">
        <v>29254</v>
      </c>
      <c r="B16611" t="s">
        <v>6742</v>
      </c>
      <c r="C16611" t="s">
        <v>49075</v>
      </c>
      <c r="D16611" t="s">
        <v>51793</v>
      </c>
      <c r="E16611" t="b">
        <v>0</v>
      </c>
      <c r="F16611" t="s">
        <v>11624</v>
      </c>
      <c r="G16611">
        <v>10.2004</v>
      </c>
      <c r="H16611">
        <v>-1.8048</v>
      </c>
      <c r="I16611" t="s">
        <v>51794</v>
      </c>
      <c r="L16611">
        <v>0</v>
      </c>
      <c r="M16611">
        <v>0</v>
      </c>
      <c r="N16611">
        <v>2</v>
      </c>
      <c r="O16611" t="s">
        <v>11985</v>
      </c>
    </row>
    <row r="16612" spans="1:15">
      <c r="A16612" t="s">
        <v>51795</v>
      </c>
      <c r="B16612" t="s">
        <v>11607</v>
      </c>
      <c r="C16612" t="s">
        <v>20452</v>
      </c>
      <c r="D16612" t="s">
        <v>51796</v>
      </c>
      <c r="E16612" t="b">
        <v>0</v>
      </c>
      <c r="F16612" t="s">
        <v>11610</v>
      </c>
      <c r="L16612">
        <v>0</v>
      </c>
      <c r="M16612">
        <v>0</v>
      </c>
      <c r="N16612">
        <v>0</v>
      </c>
    </row>
    <row r="16613" spans="1:15">
      <c r="A16613" t="s">
        <v>51797</v>
      </c>
      <c r="B16613" t="s">
        <v>13360</v>
      </c>
      <c r="C16613" t="s">
        <v>13360</v>
      </c>
      <c r="D16613" t="s">
        <v>51798</v>
      </c>
      <c r="E16613" t="b">
        <v>0</v>
      </c>
      <c r="F16613" t="s">
        <v>11624</v>
      </c>
      <c r="L16613">
        <v>0</v>
      </c>
      <c r="M16613">
        <v>0</v>
      </c>
      <c r="N16613">
        <v>0</v>
      </c>
      <c r="O16613" t="s">
        <v>14185</v>
      </c>
    </row>
    <row r="16614" spans="1:15">
      <c r="A16614" t="s">
        <v>51799</v>
      </c>
      <c r="B16614" t="s">
        <v>141</v>
      </c>
      <c r="C16614" t="s">
        <v>21727</v>
      </c>
      <c r="D16614" t="s">
        <v>51800</v>
      </c>
      <c r="E16614" t="b">
        <v>0</v>
      </c>
      <c r="F16614" t="s">
        <v>11624</v>
      </c>
      <c r="G16614">
        <v>-11.14278</v>
      </c>
      <c r="H16614">
        <v>-76.730459999999994</v>
      </c>
      <c r="I16614" t="s">
        <v>51801</v>
      </c>
      <c r="L16614">
        <v>0</v>
      </c>
      <c r="M16614">
        <v>0</v>
      </c>
      <c r="N16614">
        <v>0</v>
      </c>
      <c r="O16614" t="s">
        <v>11778</v>
      </c>
    </row>
    <row r="16615" spans="1:15">
      <c r="A16615" t="s">
        <v>51802</v>
      </c>
      <c r="B16615" t="s">
        <v>13244</v>
      </c>
      <c r="C16615" t="s">
        <v>19276</v>
      </c>
      <c r="D16615" t="s">
        <v>51803</v>
      </c>
      <c r="E16615" t="b">
        <v>0</v>
      </c>
      <c r="F16615" t="s">
        <v>11624</v>
      </c>
      <c r="G16615">
        <v>-11.9968</v>
      </c>
      <c r="H16615">
        <v>-65.556799999999996</v>
      </c>
      <c r="I16615" t="s">
        <v>51804</v>
      </c>
      <c r="L16615">
        <v>0</v>
      </c>
      <c r="M16615">
        <v>0</v>
      </c>
      <c r="N16615">
        <v>0</v>
      </c>
      <c r="O16615" t="s">
        <v>14185</v>
      </c>
    </row>
    <row r="16616" spans="1:15">
      <c r="A16616" t="s">
        <v>51805</v>
      </c>
      <c r="B16616" t="s">
        <v>11894</v>
      </c>
      <c r="C16616" t="s">
        <v>32357</v>
      </c>
      <c r="D16616" t="s">
        <v>51806</v>
      </c>
      <c r="E16616" t="b">
        <v>0</v>
      </c>
      <c r="F16616" t="s">
        <v>11624</v>
      </c>
      <c r="L16616">
        <v>0</v>
      </c>
      <c r="M16616">
        <v>0</v>
      </c>
      <c r="N16616">
        <v>0</v>
      </c>
      <c r="O16616" t="s">
        <v>11969</v>
      </c>
    </row>
    <row r="16617" spans="1:15">
      <c r="A16617" t="s">
        <v>51807</v>
      </c>
      <c r="B16617" t="s">
        <v>11637</v>
      </c>
      <c r="C16617" t="s">
        <v>12947</v>
      </c>
      <c r="D16617" t="s">
        <v>51808</v>
      </c>
      <c r="E16617" t="b">
        <v>0</v>
      </c>
      <c r="F16617" t="s">
        <v>11610</v>
      </c>
      <c r="L16617">
        <v>0</v>
      </c>
      <c r="M16617">
        <v>0</v>
      </c>
      <c r="N16617">
        <v>0</v>
      </c>
    </row>
    <row r="16618" spans="1:15">
      <c r="A16618" t="s">
        <v>20945</v>
      </c>
      <c r="B16618" t="s">
        <v>12460</v>
      </c>
      <c r="C16618" t="s">
        <v>14117</v>
      </c>
      <c r="D16618" t="s">
        <v>51809</v>
      </c>
      <c r="E16618" t="b">
        <v>0</v>
      </c>
      <c r="F16618" t="s">
        <v>11622</v>
      </c>
      <c r="L16618">
        <v>3</v>
      </c>
      <c r="M16618">
        <v>9</v>
      </c>
      <c r="N16618">
        <v>0</v>
      </c>
    </row>
    <row r="16619" spans="1:15">
      <c r="A16619" t="s">
        <v>22915</v>
      </c>
      <c r="B16619" t="s">
        <v>13014</v>
      </c>
      <c r="C16619" t="s">
        <v>21683</v>
      </c>
      <c r="D16619" t="s">
        <v>51810</v>
      </c>
      <c r="E16619" t="b">
        <v>0</v>
      </c>
      <c r="F16619" t="s">
        <v>11624</v>
      </c>
      <c r="G16619">
        <v>60.4238</v>
      </c>
      <c r="H16619">
        <v>-148.04300000000001</v>
      </c>
      <c r="I16619" t="s">
        <v>51811</v>
      </c>
      <c r="L16619">
        <v>0</v>
      </c>
      <c r="M16619">
        <v>0</v>
      </c>
      <c r="N16619">
        <v>2</v>
      </c>
      <c r="O16619" t="s">
        <v>11944</v>
      </c>
    </row>
    <row r="16620" spans="1:15">
      <c r="A16620" t="s">
        <v>25782</v>
      </c>
      <c r="B16620" t="s">
        <v>11637</v>
      </c>
      <c r="C16620" t="s">
        <v>6460</v>
      </c>
      <c r="D16620" t="s">
        <v>51812</v>
      </c>
      <c r="E16620" t="b">
        <v>0</v>
      </c>
      <c r="F16620" t="s">
        <v>11622</v>
      </c>
      <c r="L16620">
        <v>1</v>
      </c>
      <c r="M16620">
        <v>6</v>
      </c>
      <c r="N16620">
        <v>0</v>
      </c>
    </row>
    <row r="16621" spans="1:15">
      <c r="A16621" t="s">
        <v>51813</v>
      </c>
      <c r="B16621" t="s">
        <v>12438</v>
      </c>
      <c r="C16621" t="s">
        <v>35456</v>
      </c>
      <c r="D16621" t="s">
        <v>51814</v>
      </c>
      <c r="E16621" t="b">
        <v>0</v>
      </c>
      <c r="F16621" t="s">
        <v>11624</v>
      </c>
      <c r="G16621">
        <v>16.3353</v>
      </c>
      <c r="H16621">
        <v>107.09399999999999</v>
      </c>
      <c r="I16621" t="s">
        <v>51815</v>
      </c>
      <c r="L16621">
        <v>0</v>
      </c>
      <c r="M16621">
        <v>0</v>
      </c>
      <c r="N16621">
        <v>1</v>
      </c>
      <c r="O16621" t="s">
        <v>14464</v>
      </c>
    </row>
    <row r="16622" spans="1:15">
      <c r="A16622" t="s">
        <v>51816</v>
      </c>
      <c r="B16622" t="s">
        <v>11637</v>
      </c>
      <c r="C16622" t="s">
        <v>18240</v>
      </c>
      <c r="D16622" t="s">
        <v>51817</v>
      </c>
      <c r="E16622" t="b">
        <v>0</v>
      </c>
      <c r="F16622" t="s">
        <v>11610</v>
      </c>
      <c r="L16622">
        <v>0</v>
      </c>
      <c r="M16622">
        <v>0</v>
      </c>
      <c r="N16622">
        <v>0</v>
      </c>
    </row>
    <row r="16623" spans="1:15">
      <c r="A16623" t="s">
        <v>51818</v>
      </c>
      <c r="B16623" t="s">
        <v>11637</v>
      </c>
      <c r="C16623" t="s">
        <v>18240</v>
      </c>
      <c r="D16623" t="s">
        <v>51819</v>
      </c>
      <c r="E16623" t="b">
        <v>0</v>
      </c>
      <c r="F16623" t="s">
        <v>11610</v>
      </c>
      <c r="L16623">
        <v>0</v>
      </c>
      <c r="M16623">
        <v>0</v>
      </c>
      <c r="N16623">
        <v>0</v>
      </c>
    </row>
    <row r="16624" spans="1:15">
      <c r="A16624" t="s">
        <v>51820</v>
      </c>
      <c r="B16624" t="s">
        <v>11644</v>
      </c>
      <c r="C16624" t="s">
        <v>44632</v>
      </c>
      <c r="D16624" t="s">
        <v>51821</v>
      </c>
      <c r="E16624" t="b">
        <v>0</v>
      </c>
      <c r="F16624" t="s">
        <v>11610</v>
      </c>
      <c r="L16624">
        <v>0</v>
      </c>
      <c r="M16624">
        <v>0</v>
      </c>
      <c r="N16624">
        <v>0</v>
      </c>
    </row>
    <row r="16625" spans="1:15">
      <c r="A16625" t="s">
        <v>51822</v>
      </c>
      <c r="B16625" t="s">
        <v>367</v>
      </c>
      <c r="C16625" t="s">
        <v>42396</v>
      </c>
      <c r="D16625" t="s">
        <v>51823</v>
      </c>
      <c r="E16625" t="b">
        <v>0</v>
      </c>
      <c r="F16625" t="s">
        <v>11610</v>
      </c>
      <c r="L16625">
        <v>0</v>
      </c>
      <c r="M16625">
        <v>0</v>
      </c>
      <c r="N16625">
        <v>0</v>
      </c>
    </row>
    <row r="16626" spans="1:15">
      <c r="A16626" t="s">
        <v>51824</v>
      </c>
      <c r="B16626" t="s">
        <v>367</v>
      </c>
      <c r="C16626" t="s">
        <v>19161</v>
      </c>
      <c r="D16626" t="s">
        <v>51825</v>
      </c>
      <c r="E16626" t="b">
        <v>0</v>
      </c>
      <c r="F16626" t="s">
        <v>11610</v>
      </c>
      <c r="L16626">
        <v>0</v>
      </c>
      <c r="M16626">
        <v>0</v>
      </c>
      <c r="N16626">
        <v>0</v>
      </c>
    </row>
    <row r="16627" spans="1:15">
      <c r="A16627" t="s">
        <v>51826</v>
      </c>
      <c r="B16627" t="s">
        <v>367</v>
      </c>
      <c r="C16627" t="s">
        <v>19161</v>
      </c>
      <c r="D16627" t="s">
        <v>51827</v>
      </c>
      <c r="E16627" t="b">
        <v>0</v>
      </c>
      <c r="F16627" t="s">
        <v>11610</v>
      </c>
      <c r="L16627">
        <v>0</v>
      </c>
      <c r="M16627">
        <v>0</v>
      </c>
      <c r="N16627">
        <v>0</v>
      </c>
    </row>
    <row r="16628" spans="1:15">
      <c r="A16628" t="s">
        <v>51828</v>
      </c>
      <c r="B16628" t="s">
        <v>367</v>
      </c>
      <c r="C16628" t="s">
        <v>11666</v>
      </c>
      <c r="D16628" t="s">
        <v>51829</v>
      </c>
      <c r="E16628" t="b">
        <v>0</v>
      </c>
      <c r="F16628" t="s">
        <v>11610</v>
      </c>
      <c r="L16628">
        <v>0</v>
      </c>
      <c r="M16628">
        <v>0</v>
      </c>
      <c r="N16628">
        <v>0</v>
      </c>
    </row>
    <row r="16629" spans="1:15">
      <c r="A16629" t="s">
        <v>51830</v>
      </c>
      <c r="B16629" t="s">
        <v>367</v>
      </c>
      <c r="C16629" t="s">
        <v>42364</v>
      </c>
      <c r="D16629" t="s">
        <v>51831</v>
      </c>
      <c r="E16629" t="b">
        <v>0</v>
      </c>
      <c r="F16629" t="s">
        <v>11610</v>
      </c>
      <c r="L16629">
        <v>0</v>
      </c>
      <c r="M16629">
        <v>0</v>
      </c>
      <c r="N16629">
        <v>0</v>
      </c>
    </row>
    <row r="16630" spans="1:15">
      <c r="A16630" t="s">
        <v>51832</v>
      </c>
      <c r="B16630" t="s">
        <v>6742</v>
      </c>
      <c r="C16630" t="s">
        <v>21062</v>
      </c>
      <c r="D16630" t="s">
        <v>51833</v>
      </c>
      <c r="E16630" t="b">
        <v>0</v>
      </c>
      <c r="F16630" t="s">
        <v>11610</v>
      </c>
      <c r="L16630">
        <v>0</v>
      </c>
      <c r="M16630">
        <v>0</v>
      </c>
      <c r="N16630">
        <v>0</v>
      </c>
    </row>
    <row r="16631" spans="1:15">
      <c r="A16631" t="s">
        <v>51834</v>
      </c>
      <c r="B16631" t="s">
        <v>5126</v>
      </c>
      <c r="C16631" t="s">
        <v>51835</v>
      </c>
      <c r="D16631" t="s">
        <v>51836</v>
      </c>
      <c r="E16631" t="b">
        <v>0</v>
      </c>
      <c r="F16631" t="s">
        <v>11624</v>
      </c>
      <c r="G16631">
        <v>26.311199999999999</v>
      </c>
      <c r="H16631">
        <v>103.486</v>
      </c>
      <c r="I16631" t="s">
        <v>51837</v>
      </c>
      <c r="L16631">
        <v>0</v>
      </c>
      <c r="M16631">
        <v>0</v>
      </c>
      <c r="N16631">
        <v>0</v>
      </c>
      <c r="O16631" t="s">
        <v>19781</v>
      </c>
    </row>
    <row r="16632" spans="1:15">
      <c r="A16632" t="s">
        <v>51838</v>
      </c>
      <c r="B16632" t="s">
        <v>12133</v>
      </c>
      <c r="C16632" t="s">
        <v>51839</v>
      </c>
      <c r="D16632" t="s">
        <v>51840</v>
      </c>
      <c r="E16632" t="b">
        <v>0</v>
      </c>
      <c r="F16632" t="s">
        <v>11610</v>
      </c>
      <c r="L16632">
        <v>0</v>
      </c>
      <c r="M16632">
        <v>0</v>
      </c>
      <c r="N16632">
        <v>0</v>
      </c>
    </row>
    <row r="16633" spans="1:15">
      <c r="A16633" t="s">
        <v>51841</v>
      </c>
      <c r="B16633" t="s">
        <v>11644</v>
      </c>
      <c r="C16633" t="s">
        <v>31572</v>
      </c>
      <c r="D16633" t="s">
        <v>51842</v>
      </c>
      <c r="E16633" t="b">
        <v>0</v>
      </c>
      <c r="F16633" t="s">
        <v>11610</v>
      </c>
      <c r="L16633">
        <v>0</v>
      </c>
      <c r="M16633">
        <v>0</v>
      </c>
      <c r="N16633">
        <v>0</v>
      </c>
    </row>
    <row r="16634" spans="1:15">
      <c r="A16634" t="s">
        <v>51843</v>
      </c>
      <c r="B16634" t="s">
        <v>367</v>
      </c>
      <c r="C16634" t="s">
        <v>14563</v>
      </c>
      <c r="D16634" t="s">
        <v>51844</v>
      </c>
      <c r="E16634" t="b">
        <v>0</v>
      </c>
      <c r="F16634" t="s">
        <v>11610</v>
      </c>
      <c r="L16634">
        <v>0</v>
      </c>
      <c r="M16634">
        <v>0</v>
      </c>
      <c r="N16634">
        <v>0</v>
      </c>
    </row>
    <row r="16635" spans="1:15">
      <c r="A16635" t="s">
        <v>51845</v>
      </c>
      <c r="B16635" t="s">
        <v>367</v>
      </c>
      <c r="C16635" t="s">
        <v>32521</v>
      </c>
      <c r="D16635" t="s">
        <v>51846</v>
      </c>
      <c r="E16635" t="b">
        <v>0</v>
      </c>
      <c r="F16635" t="s">
        <v>11624</v>
      </c>
      <c r="G16635">
        <v>-2.60642</v>
      </c>
      <c r="H16635">
        <v>121.236</v>
      </c>
      <c r="I16635" t="s">
        <v>51847</v>
      </c>
      <c r="L16635">
        <v>0</v>
      </c>
      <c r="M16635">
        <v>0</v>
      </c>
      <c r="N16635">
        <v>0</v>
      </c>
      <c r="O16635" t="s">
        <v>11768</v>
      </c>
    </row>
    <row r="16636" spans="1:15">
      <c r="A16636" t="s">
        <v>51848</v>
      </c>
      <c r="B16636" t="s">
        <v>11637</v>
      </c>
      <c r="C16636" t="s">
        <v>28489</v>
      </c>
      <c r="D16636" t="s">
        <v>51849</v>
      </c>
      <c r="E16636" t="b">
        <v>0</v>
      </c>
      <c r="F16636" t="s">
        <v>11610</v>
      </c>
      <c r="L16636">
        <v>0</v>
      </c>
      <c r="M16636">
        <v>0</v>
      </c>
      <c r="N16636">
        <v>0</v>
      </c>
    </row>
    <row r="16637" spans="1:15">
      <c r="A16637" t="s">
        <v>51850</v>
      </c>
      <c r="B16637" t="s">
        <v>13360</v>
      </c>
      <c r="C16637" t="s">
        <v>13360</v>
      </c>
      <c r="D16637" t="s">
        <v>51851</v>
      </c>
      <c r="E16637" t="b">
        <v>0</v>
      </c>
      <c r="F16637" t="s">
        <v>11624</v>
      </c>
      <c r="I16637" t="s">
        <v>51852</v>
      </c>
      <c r="L16637">
        <v>0</v>
      </c>
      <c r="M16637">
        <v>0</v>
      </c>
      <c r="N16637">
        <v>0</v>
      </c>
      <c r="O16637" t="s">
        <v>33367</v>
      </c>
    </row>
    <row r="16638" spans="1:15">
      <c r="A16638" t="s">
        <v>51853</v>
      </c>
      <c r="B16638" t="s">
        <v>11637</v>
      </c>
      <c r="C16638" t="s">
        <v>30993</v>
      </c>
      <c r="D16638" t="s">
        <v>51854</v>
      </c>
      <c r="E16638" t="b">
        <v>0</v>
      </c>
      <c r="F16638" t="s">
        <v>11610</v>
      </c>
      <c r="L16638">
        <v>0</v>
      </c>
      <c r="M16638">
        <v>0</v>
      </c>
      <c r="N16638">
        <v>0</v>
      </c>
    </row>
    <row r="16639" spans="1:15">
      <c r="A16639" t="s">
        <v>51855</v>
      </c>
      <c r="D16639" t="s">
        <v>51856</v>
      </c>
      <c r="E16639" t="b">
        <v>0</v>
      </c>
      <c r="F16639" t="s">
        <v>11624</v>
      </c>
      <c r="G16639">
        <v>2.6151599999999999</v>
      </c>
      <c r="H16639">
        <v>-76.3125</v>
      </c>
      <c r="I16639" t="s">
        <v>51857</v>
      </c>
      <c r="L16639">
        <v>0</v>
      </c>
      <c r="M16639">
        <v>0</v>
      </c>
      <c r="N16639">
        <v>2</v>
      </c>
      <c r="O16639" t="s">
        <v>11898</v>
      </c>
    </row>
    <row r="16640" spans="1:15">
      <c r="A16640" t="s">
        <v>51858</v>
      </c>
      <c r="B16640" t="s">
        <v>367</v>
      </c>
      <c r="C16640" t="s">
        <v>5322</v>
      </c>
      <c r="D16640" t="s">
        <v>51859</v>
      </c>
      <c r="E16640" t="b">
        <v>0</v>
      </c>
      <c r="F16640" t="s">
        <v>11610</v>
      </c>
      <c r="L16640">
        <v>0</v>
      </c>
      <c r="M16640">
        <v>0</v>
      </c>
      <c r="N16640">
        <v>0</v>
      </c>
    </row>
    <row r="16641" spans="1:15">
      <c r="A16641" t="s">
        <v>20708</v>
      </c>
      <c r="B16641" t="s">
        <v>6742</v>
      </c>
      <c r="C16641" t="s">
        <v>34783</v>
      </c>
      <c r="D16641" t="s">
        <v>51860</v>
      </c>
      <c r="E16641" t="b">
        <v>0</v>
      </c>
      <c r="F16641" t="s">
        <v>11622</v>
      </c>
      <c r="L16641">
        <v>0</v>
      </c>
      <c r="M16641">
        <v>2</v>
      </c>
      <c r="N16641">
        <v>8</v>
      </c>
    </row>
    <row r="16642" spans="1:15">
      <c r="A16642" t="s">
        <v>51861</v>
      </c>
      <c r="B16642" t="s">
        <v>367</v>
      </c>
      <c r="C16642" t="s">
        <v>11814</v>
      </c>
      <c r="D16642" t="s">
        <v>51862</v>
      </c>
      <c r="E16642" t="b">
        <v>0</v>
      </c>
      <c r="F16642" t="s">
        <v>11610</v>
      </c>
      <c r="L16642">
        <v>0</v>
      </c>
      <c r="M16642">
        <v>0</v>
      </c>
      <c r="N16642">
        <v>0</v>
      </c>
    </row>
    <row r="16643" spans="1:15">
      <c r="A16643" t="s">
        <v>45140</v>
      </c>
      <c r="B16643" t="s">
        <v>6742</v>
      </c>
      <c r="C16643" t="s">
        <v>20708</v>
      </c>
      <c r="D16643" t="s">
        <v>51863</v>
      </c>
      <c r="E16643" t="b">
        <v>0</v>
      </c>
      <c r="F16643" t="s">
        <v>11624</v>
      </c>
      <c r="G16643">
        <v>3.1563599999999998</v>
      </c>
      <c r="H16643">
        <v>22.121200000000002</v>
      </c>
      <c r="I16643" t="s">
        <v>51864</v>
      </c>
      <c r="L16643">
        <v>0</v>
      </c>
      <c r="M16643">
        <v>0</v>
      </c>
      <c r="N16643">
        <v>3</v>
      </c>
      <c r="O16643" t="s">
        <v>14825</v>
      </c>
    </row>
    <row r="16644" spans="1:15">
      <c r="A16644" t="s">
        <v>26330</v>
      </c>
      <c r="B16644" t="s">
        <v>12532</v>
      </c>
      <c r="C16644" t="s">
        <v>12533</v>
      </c>
      <c r="D16644" t="s">
        <v>51865</v>
      </c>
      <c r="E16644" t="b">
        <v>0</v>
      </c>
      <c r="F16644" t="s">
        <v>11624</v>
      </c>
      <c r="G16644">
        <v>-3.0464899999999999</v>
      </c>
      <c r="H16644">
        <v>141.24600000000001</v>
      </c>
      <c r="I16644" t="s">
        <v>51866</v>
      </c>
      <c r="L16644">
        <v>0</v>
      </c>
      <c r="M16644">
        <v>0</v>
      </c>
      <c r="N16644">
        <v>2</v>
      </c>
      <c r="O16644" t="s">
        <v>11660</v>
      </c>
    </row>
    <row r="16645" spans="1:15">
      <c r="A16645" t="s">
        <v>12533</v>
      </c>
      <c r="B16645" t="s">
        <v>12532</v>
      </c>
      <c r="C16645" t="s">
        <v>18220</v>
      </c>
      <c r="D16645" t="s">
        <v>51867</v>
      </c>
      <c r="E16645" t="b">
        <v>0</v>
      </c>
      <c r="F16645" t="s">
        <v>11622</v>
      </c>
      <c r="L16645">
        <v>0</v>
      </c>
      <c r="M16645">
        <v>3</v>
      </c>
      <c r="N16645">
        <v>4</v>
      </c>
    </row>
    <row r="16646" spans="1:15">
      <c r="A16646" t="s">
        <v>32689</v>
      </c>
      <c r="B16646" t="s">
        <v>12133</v>
      </c>
      <c r="C16646" t="s">
        <v>34926</v>
      </c>
      <c r="D16646" t="s">
        <v>51868</v>
      </c>
      <c r="E16646" t="b">
        <v>0</v>
      </c>
      <c r="F16646" t="s">
        <v>11624</v>
      </c>
      <c r="G16646">
        <v>1.2134</v>
      </c>
      <c r="H16646">
        <v>127.78</v>
      </c>
      <c r="I16646" t="s">
        <v>51869</v>
      </c>
      <c r="L16646">
        <v>0</v>
      </c>
      <c r="M16646">
        <v>0</v>
      </c>
      <c r="N16646">
        <v>3</v>
      </c>
      <c r="O16646" t="s">
        <v>11768</v>
      </c>
    </row>
    <row r="16647" spans="1:15">
      <c r="A16647" t="s">
        <v>51870</v>
      </c>
      <c r="B16647" t="s">
        <v>11912</v>
      </c>
      <c r="C16647" t="s">
        <v>12601</v>
      </c>
      <c r="D16647" t="s">
        <v>51871</v>
      </c>
      <c r="E16647" t="b">
        <v>0</v>
      </c>
      <c r="F16647" t="s">
        <v>11610</v>
      </c>
      <c r="L16647">
        <v>0</v>
      </c>
      <c r="M16647">
        <v>0</v>
      </c>
      <c r="N16647">
        <v>0</v>
      </c>
    </row>
    <row r="16648" spans="1:15">
      <c r="A16648" t="s">
        <v>34926</v>
      </c>
      <c r="B16648" t="s">
        <v>12133</v>
      </c>
      <c r="C16648" t="s">
        <v>34932</v>
      </c>
      <c r="D16648" t="s">
        <v>51872</v>
      </c>
      <c r="E16648" t="b">
        <v>0</v>
      </c>
      <c r="F16648" t="s">
        <v>11622</v>
      </c>
      <c r="L16648">
        <v>0</v>
      </c>
      <c r="M16648">
        <v>2</v>
      </c>
      <c r="N16648">
        <v>3</v>
      </c>
    </row>
    <row r="16649" spans="1:15">
      <c r="A16649" t="s">
        <v>8026</v>
      </c>
      <c r="B16649" t="s">
        <v>11637</v>
      </c>
      <c r="C16649" t="s">
        <v>31170</v>
      </c>
      <c r="D16649" t="s">
        <v>51873</v>
      </c>
      <c r="E16649" t="b">
        <v>0</v>
      </c>
      <c r="F16649" t="s">
        <v>11624</v>
      </c>
      <c r="G16649">
        <v>33.642400000000002</v>
      </c>
      <c r="H16649">
        <v>73.807100000000005</v>
      </c>
      <c r="I16649" t="s">
        <v>51874</v>
      </c>
      <c r="L16649">
        <v>0</v>
      </c>
      <c r="M16649">
        <v>0</v>
      </c>
      <c r="N16649">
        <v>5</v>
      </c>
      <c r="O16649" t="s">
        <v>15870</v>
      </c>
    </row>
    <row r="16650" spans="1:15">
      <c r="A16650" t="s">
        <v>2206</v>
      </c>
      <c r="B16650" t="s">
        <v>11637</v>
      </c>
      <c r="C16650" t="s">
        <v>8026</v>
      </c>
      <c r="D16650" t="s">
        <v>51875</v>
      </c>
      <c r="E16650" t="b">
        <v>0</v>
      </c>
      <c r="F16650" t="s">
        <v>11610</v>
      </c>
      <c r="L16650">
        <v>0</v>
      </c>
      <c r="M16650">
        <v>0</v>
      </c>
      <c r="N16650">
        <v>0</v>
      </c>
    </row>
    <row r="16651" spans="1:15">
      <c r="A16651" t="s">
        <v>51876</v>
      </c>
      <c r="B16651" t="s">
        <v>12438</v>
      </c>
      <c r="C16651" t="s">
        <v>34501</v>
      </c>
      <c r="D16651" t="s">
        <v>51877</v>
      </c>
      <c r="E16651" t="b">
        <v>0</v>
      </c>
      <c r="F16651" t="s">
        <v>11610</v>
      </c>
      <c r="L16651">
        <v>0</v>
      </c>
      <c r="M16651">
        <v>0</v>
      </c>
      <c r="N16651">
        <v>0</v>
      </c>
    </row>
    <row r="16652" spans="1:15">
      <c r="A16652" t="s">
        <v>15903</v>
      </c>
      <c r="B16652" t="s">
        <v>5126</v>
      </c>
      <c r="C16652" t="s">
        <v>51878</v>
      </c>
      <c r="D16652" t="s">
        <v>51879</v>
      </c>
      <c r="E16652" t="b">
        <v>0</v>
      </c>
      <c r="F16652" t="s">
        <v>11622</v>
      </c>
      <c r="L16652">
        <v>0</v>
      </c>
      <c r="M16652">
        <v>2</v>
      </c>
      <c r="N16652">
        <v>0</v>
      </c>
    </row>
    <row r="16653" spans="1:15">
      <c r="A16653" t="s">
        <v>51880</v>
      </c>
      <c r="B16653" t="s">
        <v>13244</v>
      </c>
      <c r="C16653" t="s">
        <v>21086</v>
      </c>
      <c r="D16653" t="s">
        <v>51881</v>
      </c>
      <c r="E16653" t="b">
        <v>0</v>
      </c>
      <c r="F16653" t="s">
        <v>11610</v>
      </c>
      <c r="L16653">
        <v>0</v>
      </c>
      <c r="M16653">
        <v>0</v>
      </c>
      <c r="N16653">
        <v>0</v>
      </c>
    </row>
    <row r="16654" spans="1:15">
      <c r="A16654" t="s">
        <v>51882</v>
      </c>
      <c r="B16654" t="s">
        <v>5058</v>
      </c>
      <c r="C16654" t="s">
        <v>31288</v>
      </c>
      <c r="D16654" t="s">
        <v>51883</v>
      </c>
      <c r="E16654" t="b">
        <v>0</v>
      </c>
      <c r="F16654" t="s">
        <v>11622</v>
      </c>
      <c r="L16654">
        <v>0</v>
      </c>
      <c r="M16654">
        <v>3</v>
      </c>
      <c r="N16654">
        <v>0</v>
      </c>
    </row>
    <row r="16655" spans="1:15">
      <c r="A16655" t="s">
        <v>51884</v>
      </c>
      <c r="B16655" t="s">
        <v>12438</v>
      </c>
      <c r="C16655" t="s">
        <v>51813</v>
      </c>
      <c r="D16655" t="s">
        <v>51885</v>
      </c>
      <c r="E16655" t="b">
        <v>0</v>
      </c>
      <c r="F16655" t="s">
        <v>11610</v>
      </c>
      <c r="L16655">
        <v>0</v>
      </c>
      <c r="M16655">
        <v>0</v>
      </c>
      <c r="N16655">
        <v>0</v>
      </c>
    </row>
    <row r="16656" spans="1:15">
      <c r="A16656" t="s">
        <v>51886</v>
      </c>
      <c r="B16656" t="s">
        <v>11705</v>
      </c>
      <c r="C16656" t="s">
        <v>43953</v>
      </c>
      <c r="D16656" t="s">
        <v>51887</v>
      </c>
      <c r="E16656" t="b">
        <v>0</v>
      </c>
      <c r="F16656" t="s">
        <v>11624</v>
      </c>
      <c r="G16656">
        <v>-3.79935</v>
      </c>
      <c r="H16656">
        <v>142.29900000000001</v>
      </c>
      <c r="I16656" t="s">
        <v>51888</v>
      </c>
      <c r="L16656">
        <v>0</v>
      </c>
      <c r="M16656">
        <v>0</v>
      </c>
      <c r="N16656">
        <v>0</v>
      </c>
      <c r="O16656" t="s">
        <v>11660</v>
      </c>
    </row>
    <row r="16657" spans="1:15">
      <c r="A16657" t="s">
        <v>51889</v>
      </c>
      <c r="B16657" t="s">
        <v>11637</v>
      </c>
      <c r="C16657" t="s">
        <v>12510</v>
      </c>
      <c r="D16657" t="s">
        <v>51890</v>
      </c>
      <c r="E16657" t="b">
        <v>0</v>
      </c>
      <c r="F16657" t="s">
        <v>11624</v>
      </c>
      <c r="G16657">
        <v>31.326699999999999</v>
      </c>
      <c r="H16657">
        <v>62.197800000000001</v>
      </c>
      <c r="I16657" t="s">
        <v>51891</v>
      </c>
      <c r="L16657">
        <v>0</v>
      </c>
      <c r="M16657">
        <v>0</v>
      </c>
      <c r="N16657">
        <v>0</v>
      </c>
      <c r="O16657" t="s">
        <v>12131</v>
      </c>
    </row>
    <row r="16658" spans="1:15">
      <c r="A16658" t="s">
        <v>51892</v>
      </c>
      <c r="B16658" t="s">
        <v>11637</v>
      </c>
      <c r="C16658" t="s">
        <v>44371</v>
      </c>
      <c r="D16658" t="s">
        <v>51893</v>
      </c>
      <c r="E16658" t="b">
        <v>0</v>
      </c>
      <c r="F16658" t="s">
        <v>11624</v>
      </c>
      <c r="I16658" t="s">
        <v>51894</v>
      </c>
      <c r="L16658">
        <v>0</v>
      </c>
      <c r="M16658">
        <v>0</v>
      </c>
      <c r="N16658">
        <v>0</v>
      </c>
      <c r="O16658" t="s">
        <v>11630</v>
      </c>
    </row>
    <row r="16659" spans="1:15">
      <c r="A16659" t="s">
        <v>51895</v>
      </c>
      <c r="B16659" t="s">
        <v>5058</v>
      </c>
      <c r="C16659" t="s">
        <v>51882</v>
      </c>
      <c r="D16659" t="s">
        <v>51896</v>
      </c>
      <c r="E16659" t="b">
        <v>0</v>
      </c>
      <c r="F16659" t="s">
        <v>11624</v>
      </c>
      <c r="G16659">
        <v>22.8049</v>
      </c>
      <c r="H16659">
        <v>105.16500000000001</v>
      </c>
      <c r="I16659" t="s">
        <v>51897</v>
      </c>
      <c r="L16659">
        <v>0</v>
      </c>
      <c r="M16659">
        <v>0</v>
      </c>
      <c r="N16659">
        <v>0</v>
      </c>
      <c r="O16659" t="s">
        <v>19781</v>
      </c>
    </row>
    <row r="16660" spans="1:15">
      <c r="A16660" t="s">
        <v>12347</v>
      </c>
      <c r="D16660" t="s">
        <v>51898</v>
      </c>
      <c r="E16660" t="b">
        <v>0</v>
      </c>
      <c r="F16660" t="s">
        <v>11622</v>
      </c>
      <c r="L16660">
        <v>0</v>
      </c>
      <c r="M16660">
        <v>2</v>
      </c>
      <c r="N16660">
        <v>5</v>
      </c>
    </row>
    <row r="16661" spans="1:15">
      <c r="A16661" t="s">
        <v>51899</v>
      </c>
      <c r="B16661" t="s">
        <v>367</v>
      </c>
      <c r="C16661" t="s">
        <v>49886</v>
      </c>
      <c r="D16661" t="s">
        <v>51900</v>
      </c>
      <c r="E16661" t="b">
        <v>0</v>
      </c>
      <c r="F16661" t="s">
        <v>11610</v>
      </c>
      <c r="L16661">
        <v>0</v>
      </c>
      <c r="M16661">
        <v>0</v>
      </c>
      <c r="N16661">
        <v>0</v>
      </c>
    </row>
    <row r="16662" spans="1:15">
      <c r="A16662" t="s">
        <v>51901</v>
      </c>
      <c r="B16662" t="s">
        <v>367</v>
      </c>
      <c r="C16662" t="s">
        <v>17635</v>
      </c>
      <c r="D16662" t="s">
        <v>51902</v>
      </c>
      <c r="E16662" t="b">
        <v>0</v>
      </c>
      <c r="F16662" t="s">
        <v>11610</v>
      </c>
      <c r="L16662">
        <v>0</v>
      </c>
      <c r="M16662">
        <v>0</v>
      </c>
      <c r="N16662">
        <v>0</v>
      </c>
    </row>
    <row r="16663" spans="1:15">
      <c r="A16663" t="s">
        <v>51903</v>
      </c>
      <c r="B16663" t="s">
        <v>367</v>
      </c>
      <c r="C16663" t="s">
        <v>21295</v>
      </c>
      <c r="D16663" t="s">
        <v>51904</v>
      </c>
      <c r="E16663" t="b">
        <v>0</v>
      </c>
      <c r="F16663" t="s">
        <v>11624</v>
      </c>
      <c r="G16663">
        <v>-21.096</v>
      </c>
      <c r="H16663">
        <v>165.15</v>
      </c>
      <c r="I16663" t="s">
        <v>51905</v>
      </c>
      <c r="L16663">
        <v>0</v>
      </c>
      <c r="M16663">
        <v>0</v>
      </c>
      <c r="N16663">
        <v>0</v>
      </c>
      <c r="O16663" t="s">
        <v>12624</v>
      </c>
    </row>
    <row r="16664" spans="1:15">
      <c r="A16664" t="s">
        <v>51906</v>
      </c>
      <c r="B16664" t="s">
        <v>11894</v>
      </c>
      <c r="C16664" t="s">
        <v>17509</v>
      </c>
      <c r="D16664" t="s">
        <v>51907</v>
      </c>
      <c r="E16664" t="b">
        <v>0</v>
      </c>
      <c r="F16664" t="s">
        <v>11624</v>
      </c>
      <c r="G16664">
        <v>-15</v>
      </c>
      <c r="H16664">
        <v>-60.5</v>
      </c>
      <c r="L16664">
        <v>0</v>
      </c>
      <c r="M16664">
        <v>0</v>
      </c>
      <c r="N16664">
        <v>0</v>
      </c>
      <c r="O16664" t="s">
        <v>14185</v>
      </c>
    </row>
    <row r="16665" spans="1:15">
      <c r="A16665" t="s">
        <v>51908</v>
      </c>
      <c r="B16665" t="s">
        <v>11615</v>
      </c>
      <c r="C16665" t="s">
        <v>32578</v>
      </c>
      <c r="D16665" t="s">
        <v>51909</v>
      </c>
      <c r="E16665" t="b">
        <v>0</v>
      </c>
      <c r="F16665" t="s">
        <v>11610</v>
      </c>
      <c r="L16665">
        <v>0</v>
      </c>
      <c r="M16665">
        <v>0</v>
      </c>
      <c r="N16665">
        <v>0</v>
      </c>
    </row>
    <row r="16666" spans="1:15">
      <c r="A16666" t="s">
        <v>51910</v>
      </c>
      <c r="B16666" t="s">
        <v>6742</v>
      </c>
      <c r="C16666" t="s">
        <v>4118</v>
      </c>
      <c r="D16666" t="s">
        <v>51911</v>
      </c>
      <c r="E16666" t="b">
        <v>0</v>
      </c>
      <c r="F16666" t="s">
        <v>11610</v>
      </c>
      <c r="L16666">
        <v>0</v>
      </c>
      <c r="M16666">
        <v>0</v>
      </c>
      <c r="N16666">
        <v>0</v>
      </c>
    </row>
    <row r="16667" spans="1:15">
      <c r="A16667" t="s">
        <v>51912</v>
      </c>
      <c r="B16667" t="s">
        <v>11729</v>
      </c>
      <c r="C16667" t="s">
        <v>17894</v>
      </c>
      <c r="D16667" t="s">
        <v>51913</v>
      </c>
      <c r="E16667" t="b">
        <v>0</v>
      </c>
      <c r="F16667" t="s">
        <v>11610</v>
      </c>
      <c r="L16667">
        <v>0</v>
      </c>
      <c r="M16667">
        <v>0</v>
      </c>
      <c r="N16667">
        <v>0</v>
      </c>
    </row>
    <row r="16668" spans="1:15">
      <c r="A16668" t="s">
        <v>30883</v>
      </c>
      <c r="B16668" t="s">
        <v>23233</v>
      </c>
      <c r="C16668" t="s">
        <v>24444</v>
      </c>
      <c r="D16668" t="s">
        <v>51914</v>
      </c>
      <c r="E16668" t="b">
        <v>0</v>
      </c>
      <c r="F16668" t="s">
        <v>11622</v>
      </c>
      <c r="L16668">
        <v>0</v>
      </c>
      <c r="M16668">
        <v>2</v>
      </c>
      <c r="N16668">
        <v>3</v>
      </c>
    </row>
    <row r="16669" spans="1:15">
      <c r="A16669" t="s">
        <v>51915</v>
      </c>
      <c r="B16669" t="s">
        <v>6742</v>
      </c>
      <c r="C16669" t="s">
        <v>19704</v>
      </c>
      <c r="D16669" t="s">
        <v>51916</v>
      </c>
      <c r="E16669" t="b">
        <v>0</v>
      </c>
      <c r="F16669" t="s">
        <v>11610</v>
      </c>
      <c r="L16669">
        <v>0</v>
      </c>
      <c r="M16669">
        <v>0</v>
      </c>
      <c r="N16669">
        <v>0</v>
      </c>
    </row>
    <row r="16670" spans="1:15">
      <c r="A16670" t="s">
        <v>51917</v>
      </c>
      <c r="B16670" t="s">
        <v>11644</v>
      </c>
      <c r="C16670" t="s">
        <v>14765</v>
      </c>
      <c r="D16670" t="s">
        <v>51918</v>
      </c>
      <c r="E16670" t="b">
        <v>0</v>
      </c>
      <c r="F16670" t="s">
        <v>11610</v>
      </c>
      <c r="L16670">
        <v>0</v>
      </c>
      <c r="M16670">
        <v>0</v>
      </c>
      <c r="N16670">
        <v>0</v>
      </c>
    </row>
    <row r="16671" spans="1:15">
      <c r="A16671" t="s">
        <v>51919</v>
      </c>
      <c r="B16671" t="s">
        <v>11644</v>
      </c>
      <c r="C16671" t="s">
        <v>51920</v>
      </c>
      <c r="D16671" t="s">
        <v>51921</v>
      </c>
      <c r="E16671" t="b">
        <v>0</v>
      </c>
      <c r="F16671" t="s">
        <v>11624</v>
      </c>
      <c r="L16671">
        <v>0</v>
      </c>
      <c r="M16671">
        <v>0</v>
      </c>
      <c r="N16671">
        <v>0</v>
      </c>
      <c r="O16671" t="s">
        <v>11905</v>
      </c>
    </row>
    <row r="16672" spans="1:15">
      <c r="A16672" t="s">
        <v>51922</v>
      </c>
      <c r="B16672" t="s">
        <v>23233</v>
      </c>
      <c r="C16672" t="s">
        <v>30883</v>
      </c>
      <c r="D16672" t="s">
        <v>51923</v>
      </c>
      <c r="E16672" t="b">
        <v>0</v>
      </c>
      <c r="F16672" t="s">
        <v>11624</v>
      </c>
      <c r="G16672">
        <v>31.606300000000001</v>
      </c>
      <c r="H16672">
        <v>-115.871</v>
      </c>
      <c r="I16672" t="s">
        <v>51924</v>
      </c>
      <c r="L16672">
        <v>0</v>
      </c>
      <c r="M16672">
        <v>0</v>
      </c>
      <c r="N16672">
        <v>0</v>
      </c>
      <c r="O16672" t="s">
        <v>11883</v>
      </c>
    </row>
    <row r="16673" spans="1:15">
      <c r="A16673" t="s">
        <v>51925</v>
      </c>
      <c r="B16673" t="s">
        <v>11637</v>
      </c>
      <c r="C16673" t="s">
        <v>22744</v>
      </c>
      <c r="D16673" t="s">
        <v>51926</v>
      </c>
      <c r="E16673" t="b">
        <v>0</v>
      </c>
      <c r="F16673" t="s">
        <v>11624</v>
      </c>
      <c r="I16673" t="s">
        <v>51927</v>
      </c>
      <c r="L16673">
        <v>0</v>
      </c>
      <c r="M16673">
        <v>0</v>
      </c>
      <c r="N16673">
        <v>0</v>
      </c>
      <c r="O16673" t="s">
        <v>11630</v>
      </c>
    </row>
    <row r="16674" spans="1:15">
      <c r="A16674" t="s">
        <v>49699</v>
      </c>
      <c r="B16674" t="s">
        <v>49698</v>
      </c>
      <c r="C16674" t="s">
        <v>49698</v>
      </c>
      <c r="D16674" t="s">
        <v>51928</v>
      </c>
      <c r="E16674" t="b">
        <v>0</v>
      </c>
      <c r="F16674" t="s">
        <v>11622</v>
      </c>
      <c r="L16674">
        <v>0</v>
      </c>
      <c r="M16674">
        <v>2</v>
      </c>
      <c r="N16674">
        <v>0</v>
      </c>
    </row>
    <row r="16675" spans="1:15">
      <c r="A16675" t="s">
        <v>20181</v>
      </c>
      <c r="B16675" t="s">
        <v>11644</v>
      </c>
      <c r="C16675" t="s">
        <v>36159</v>
      </c>
      <c r="D16675" t="s">
        <v>51929</v>
      </c>
      <c r="E16675" t="b">
        <v>0</v>
      </c>
      <c r="F16675" t="s">
        <v>11624</v>
      </c>
      <c r="G16675">
        <v>24.0381</v>
      </c>
      <c r="H16675">
        <v>93.613600000000005</v>
      </c>
      <c r="I16675" t="s">
        <v>51930</v>
      </c>
      <c r="L16675">
        <v>0</v>
      </c>
      <c r="M16675">
        <v>0</v>
      </c>
      <c r="N16675">
        <v>8</v>
      </c>
      <c r="O16675" t="s">
        <v>13598</v>
      </c>
    </row>
    <row r="16676" spans="1:15">
      <c r="A16676" t="s">
        <v>51931</v>
      </c>
      <c r="B16676" t="s">
        <v>367</v>
      </c>
      <c r="C16676" t="s">
        <v>49806</v>
      </c>
      <c r="D16676" t="s">
        <v>51932</v>
      </c>
      <c r="E16676" t="b">
        <v>0</v>
      </c>
      <c r="F16676" t="s">
        <v>11610</v>
      </c>
      <c r="L16676">
        <v>0</v>
      </c>
      <c r="M16676">
        <v>0</v>
      </c>
      <c r="N16676">
        <v>0</v>
      </c>
    </row>
    <row r="16677" spans="1:15">
      <c r="A16677" t="s">
        <v>51933</v>
      </c>
      <c r="B16677" t="s">
        <v>11912</v>
      </c>
      <c r="C16677" t="s">
        <v>22705</v>
      </c>
      <c r="D16677" t="s">
        <v>51934</v>
      </c>
      <c r="E16677" t="b">
        <v>0</v>
      </c>
      <c r="F16677" t="s">
        <v>11624</v>
      </c>
      <c r="G16677">
        <v>-23.15945</v>
      </c>
      <c r="H16677">
        <v>-56.117579999999997</v>
      </c>
      <c r="I16677" t="s">
        <v>51935</v>
      </c>
      <c r="L16677">
        <v>0</v>
      </c>
      <c r="M16677">
        <v>0</v>
      </c>
      <c r="N16677">
        <v>0</v>
      </c>
      <c r="O16677" t="s">
        <v>29841</v>
      </c>
    </row>
    <row r="16678" spans="1:15">
      <c r="A16678" t="s">
        <v>11669</v>
      </c>
      <c r="B16678" t="s">
        <v>367</v>
      </c>
      <c r="C16678" t="s">
        <v>18816</v>
      </c>
      <c r="D16678" t="s">
        <v>51936</v>
      </c>
      <c r="E16678" t="b">
        <v>0</v>
      </c>
      <c r="F16678" t="s">
        <v>11622</v>
      </c>
      <c r="L16678">
        <v>1</v>
      </c>
      <c r="M16678">
        <v>6</v>
      </c>
      <c r="N16678">
        <v>7</v>
      </c>
    </row>
    <row r="16679" spans="1:15">
      <c r="A16679" t="s">
        <v>51937</v>
      </c>
      <c r="B16679" t="s">
        <v>367</v>
      </c>
      <c r="C16679" t="s">
        <v>25522</v>
      </c>
      <c r="D16679" t="s">
        <v>51938</v>
      </c>
      <c r="E16679" t="b">
        <v>0</v>
      </c>
      <c r="F16679" t="s">
        <v>11610</v>
      </c>
      <c r="L16679">
        <v>0</v>
      </c>
      <c r="M16679">
        <v>0</v>
      </c>
      <c r="N16679">
        <v>0</v>
      </c>
    </row>
    <row r="16680" spans="1:15">
      <c r="A16680" t="s">
        <v>4573</v>
      </c>
      <c r="B16680" t="s">
        <v>367</v>
      </c>
      <c r="C16680" t="s">
        <v>367</v>
      </c>
      <c r="D16680" t="s">
        <v>4572</v>
      </c>
      <c r="E16680" t="b">
        <v>0</v>
      </c>
      <c r="F16680" t="s">
        <v>11624</v>
      </c>
      <c r="G16680">
        <v>22.327100000000002</v>
      </c>
      <c r="H16680">
        <v>120.806</v>
      </c>
      <c r="I16680" t="s">
        <v>4574</v>
      </c>
      <c r="L16680">
        <v>0</v>
      </c>
      <c r="M16680">
        <v>0</v>
      </c>
      <c r="N16680">
        <v>0</v>
      </c>
      <c r="O16680" t="s">
        <v>13484</v>
      </c>
    </row>
    <row r="16681" spans="1:15">
      <c r="A16681" t="s">
        <v>51939</v>
      </c>
      <c r="B16681" t="s">
        <v>367</v>
      </c>
      <c r="C16681" t="s">
        <v>5309</v>
      </c>
      <c r="D16681" t="s">
        <v>51940</v>
      </c>
      <c r="E16681" t="b">
        <v>0</v>
      </c>
      <c r="F16681" t="s">
        <v>11610</v>
      </c>
      <c r="L16681">
        <v>0</v>
      </c>
      <c r="M16681">
        <v>0</v>
      </c>
      <c r="N16681">
        <v>0</v>
      </c>
    </row>
    <row r="16682" spans="1:15">
      <c r="A16682" t="s">
        <v>51941</v>
      </c>
      <c r="B16682" t="s">
        <v>12438</v>
      </c>
      <c r="C16682" t="s">
        <v>30765</v>
      </c>
      <c r="D16682" t="s">
        <v>51942</v>
      </c>
      <c r="E16682" t="b">
        <v>0</v>
      </c>
      <c r="F16682" t="s">
        <v>11610</v>
      </c>
      <c r="L16682">
        <v>0</v>
      </c>
      <c r="M16682">
        <v>0</v>
      </c>
      <c r="N16682">
        <v>0</v>
      </c>
    </row>
    <row r="16683" spans="1:15">
      <c r="A16683" t="s">
        <v>51943</v>
      </c>
      <c r="B16683" t="s">
        <v>10597</v>
      </c>
      <c r="C16683" t="s">
        <v>23327</v>
      </c>
      <c r="D16683" t="s">
        <v>51944</v>
      </c>
      <c r="E16683" t="b">
        <v>0</v>
      </c>
      <c r="F16683" t="s">
        <v>11624</v>
      </c>
      <c r="G16683">
        <v>-15.0908</v>
      </c>
      <c r="H16683">
        <v>142.74</v>
      </c>
      <c r="I16683" t="s">
        <v>51945</v>
      </c>
      <c r="L16683">
        <v>0</v>
      </c>
      <c r="M16683">
        <v>0</v>
      </c>
      <c r="N16683">
        <v>0</v>
      </c>
      <c r="O16683" t="s">
        <v>12107</v>
      </c>
    </row>
    <row r="16684" spans="1:15">
      <c r="A16684" t="s">
        <v>51946</v>
      </c>
      <c r="B16684" t="s">
        <v>11607</v>
      </c>
      <c r="C16684" t="s">
        <v>24344</v>
      </c>
      <c r="D16684" t="s">
        <v>51947</v>
      </c>
      <c r="E16684" t="b">
        <v>0</v>
      </c>
      <c r="F16684" t="s">
        <v>11610</v>
      </c>
      <c r="L16684">
        <v>0</v>
      </c>
      <c r="M16684">
        <v>0</v>
      </c>
      <c r="N16684">
        <v>0</v>
      </c>
    </row>
    <row r="16685" spans="1:15">
      <c r="A16685" t="s">
        <v>51948</v>
      </c>
      <c r="B16685" t="s">
        <v>367</v>
      </c>
      <c r="C16685" t="s">
        <v>11666</v>
      </c>
      <c r="D16685" t="s">
        <v>51949</v>
      </c>
      <c r="E16685" t="b">
        <v>0</v>
      </c>
      <c r="F16685" t="s">
        <v>11610</v>
      </c>
      <c r="L16685">
        <v>0</v>
      </c>
      <c r="M16685">
        <v>0</v>
      </c>
      <c r="N16685">
        <v>0</v>
      </c>
    </row>
    <row r="16686" spans="1:15">
      <c r="A16686" t="s">
        <v>51950</v>
      </c>
      <c r="B16686" t="s">
        <v>11981</v>
      </c>
      <c r="C16686" t="s">
        <v>32374</v>
      </c>
      <c r="D16686" t="s">
        <v>51951</v>
      </c>
      <c r="E16686" t="b">
        <v>0</v>
      </c>
      <c r="F16686" t="s">
        <v>11624</v>
      </c>
      <c r="G16686">
        <v>28.066700000000001</v>
      </c>
      <c r="H16686">
        <v>67.884299999999996</v>
      </c>
      <c r="I16686" t="s">
        <v>51952</v>
      </c>
      <c r="L16686">
        <v>0</v>
      </c>
      <c r="M16686">
        <v>0</v>
      </c>
      <c r="N16686">
        <v>0</v>
      </c>
      <c r="O16686" t="s">
        <v>12172</v>
      </c>
    </row>
    <row r="16687" spans="1:15">
      <c r="A16687" t="s">
        <v>51953</v>
      </c>
      <c r="B16687" t="s">
        <v>11637</v>
      </c>
      <c r="C16687" t="s">
        <v>180</v>
      </c>
      <c r="D16687" t="s">
        <v>51954</v>
      </c>
      <c r="E16687" t="b">
        <v>0</v>
      </c>
      <c r="F16687" t="s">
        <v>11610</v>
      </c>
      <c r="L16687">
        <v>0</v>
      </c>
      <c r="M16687">
        <v>0</v>
      </c>
      <c r="N16687">
        <v>0</v>
      </c>
    </row>
    <row r="16688" spans="1:15">
      <c r="A16688" t="s">
        <v>51955</v>
      </c>
      <c r="B16688" t="s">
        <v>16042</v>
      </c>
      <c r="C16688" t="s">
        <v>37266</v>
      </c>
      <c r="D16688" t="s">
        <v>51956</v>
      </c>
      <c r="E16688" t="b">
        <v>0</v>
      </c>
      <c r="F16688" t="s">
        <v>11610</v>
      </c>
      <c r="L16688">
        <v>0</v>
      </c>
      <c r="M16688">
        <v>0</v>
      </c>
      <c r="N16688">
        <v>0</v>
      </c>
    </row>
    <row r="16689" spans="1:15">
      <c r="A16689" t="s">
        <v>51957</v>
      </c>
      <c r="B16689" t="s">
        <v>367</v>
      </c>
      <c r="C16689" t="s">
        <v>39897</v>
      </c>
      <c r="D16689" t="s">
        <v>51958</v>
      </c>
      <c r="E16689" t="b">
        <v>0</v>
      </c>
      <c r="F16689" t="s">
        <v>11610</v>
      </c>
      <c r="L16689">
        <v>0</v>
      </c>
      <c r="M16689">
        <v>0</v>
      </c>
      <c r="N16689">
        <v>0</v>
      </c>
    </row>
    <row r="16690" spans="1:15">
      <c r="A16690" t="s">
        <v>51959</v>
      </c>
      <c r="B16690" t="s">
        <v>367</v>
      </c>
      <c r="C16690" t="s">
        <v>51960</v>
      </c>
      <c r="D16690" t="s">
        <v>51961</v>
      </c>
      <c r="E16690" t="b">
        <v>0</v>
      </c>
      <c r="F16690" t="s">
        <v>11610</v>
      </c>
      <c r="L16690">
        <v>0</v>
      </c>
      <c r="M16690">
        <v>0</v>
      </c>
      <c r="N16690">
        <v>0</v>
      </c>
    </row>
    <row r="16691" spans="1:15">
      <c r="A16691" t="s">
        <v>51962</v>
      </c>
      <c r="B16691" t="s">
        <v>367</v>
      </c>
      <c r="C16691" t="s">
        <v>16411</v>
      </c>
      <c r="D16691" t="s">
        <v>51963</v>
      </c>
      <c r="E16691" t="b">
        <v>0</v>
      </c>
      <c r="F16691" t="s">
        <v>11610</v>
      </c>
      <c r="L16691">
        <v>0</v>
      </c>
      <c r="M16691">
        <v>0</v>
      </c>
      <c r="N16691">
        <v>0</v>
      </c>
    </row>
    <row r="16692" spans="1:15">
      <c r="A16692" t="s">
        <v>51964</v>
      </c>
      <c r="B16692" t="s">
        <v>5126</v>
      </c>
      <c r="C16692" t="s">
        <v>347</v>
      </c>
      <c r="D16692" t="s">
        <v>51965</v>
      </c>
      <c r="E16692" t="b">
        <v>0</v>
      </c>
      <c r="F16692" t="s">
        <v>11610</v>
      </c>
      <c r="L16692">
        <v>0</v>
      </c>
      <c r="M16692">
        <v>0</v>
      </c>
      <c r="N16692">
        <v>0</v>
      </c>
    </row>
    <row r="16693" spans="1:15">
      <c r="A16693" t="s">
        <v>51960</v>
      </c>
      <c r="B16693" t="s">
        <v>367</v>
      </c>
      <c r="C16693" t="s">
        <v>7798</v>
      </c>
      <c r="D16693" t="s">
        <v>51966</v>
      </c>
      <c r="E16693" t="b">
        <v>0</v>
      </c>
      <c r="F16693" t="s">
        <v>11624</v>
      </c>
      <c r="G16693">
        <v>-2.0526900000000001</v>
      </c>
      <c r="H16693">
        <v>147.767</v>
      </c>
      <c r="I16693" t="s">
        <v>51967</v>
      </c>
      <c r="L16693">
        <v>0</v>
      </c>
      <c r="M16693">
        <v>0</v>
      </c>
      <c r="N16693">
        <v>2</v>
      </c>
      <c r="O16693" t="s">
        <v>11660</v>
      </c>
    </row>
    <row r="16694" spans="1:15">
      <c r="A16694" t="s">
        <v>18592</v>
      </c>
      <c r="B16694" t="s">
        <v>11644</v>
      </c>
      <c r="C16694" t="s">
        <v>44871</v>
      </c>
      <c r="D16694" t="s">
        <v>51968</v>
      </c>
      <c r="E16694" t="b">
        <v>0</v>
      </c>
      <c r="F16694" t="s">
        <v>11624</v>
      </c>
      <c r="G16694">
        <v>18.813700000000001</v>
      </c>
      <c r="H16694">
        <v>97.1203</v>
      </c>
      <c r="I16694" t="s">
        <v>51969</v>
      </c>
      <c r="L16694">
        <v>0</v>
      </c>
      <c r="M16694">
        <v>0</v>
      </c>
      <c r="N16694">
        <v>2</v>
      </c>
      <c r="O16694" t="s">
        <v>14059</v>
      </c>
    </row>
    <row r="16695" spans="1:15">
      <c r="A16695" t="s">
        <v>51970</v>
      </c>
      <c r="B16695" t="s">
        <v>367</v>
      </c>
      <c r="C16695" t="s">
        <v>41379</v>
      </c>
      <c r="D16695" t="s">
        <v>51971</v>
      </c>
      <c r="E16695" t="b">
        <v>0</v>
      </c>
      <c r="F16695" t="s">
        <v>11624</v>
      </c>
      <c r="G16695">
        <v>-1.9063000000000001</v>
      </c>
      <c r="H16695">
        <v>115.087</v>
      </c>
      <c r="I16695" t="s">
        <v>51972</v>
      </c>
      <c r="L16695">
        <v>0</v>
      </c>
      <c r="M16695">
        <v>0</v>
      </c>
      <c r="N16695">
        <v>0</v>
      </c>
      <c r="O16695" t="s">
        <v>11768</v>
      </c>
    </row>
    <row r="16696" spans="1:15">
      <c r="A16696" t="s">
        <v>44871</v>
      </c>
      <c r="B16696" t="s">
        <v>11644</v>
      </c>
      <c r="C16696" t="s">
        <v>51973</v>
      </c>
      <c r="D16696" t="s">
        <v>51974</v>
      </c>
      <c r="E16696" t="b">
        <v>0</v>
      </c>
      <c r="F16696" t="s">
        <v>11622</v>
      </c>
      <c r="L16696">
        <v>0</v>
      </c>
      <c r="M16696">
        <v>2</v>
      </c>
      <c r="N16696">
        <v>2</v>
      </c>
    </row>
    <row r="16697" spans="1:15">
      <c r="A16697" t="s">
        <v>40798</v>
      </c>
      <c r="B16697" t="s">
        <v>11637</v>
      </c>
      <c r="C16697" t="s">
        <v>51975</v>
      </c>
      <c r="D16697" t="s">
        <v>51976</v>
      </c>
      <c r="E16697" t="b">
        <v>0</v>
      </c>
      <c r="F16697" t="s">
        <v>11624</v>
      </c>
      <c r="G16697">
        <v>49.701000000000001</v>
      </c>
      <c r="H16697">
        <v>6.8460000000000001</v>
      </c>
      <c r="I16697" t="s">
        <v>51977</v>
      </c>
      <c r="L16697">
        <v>0</v>
      </c>
      <c r="M16697">
        <v>0</v>
      </c>
      <c r="N16697">
        <v>7</v>
      </c>
      <c r="O16697" t="s">
        <v>25838</v>
      </c>
    </row>
    <row r="16698" spans="1:15">
      <c r="A16698" t="s">
        <v>51978</v>
      </c>
      <c r="B16698" t="s">
        <v>11637</v>
      </c>
      <c r="C16698" t="s">
        <v>13637</v>
      </c>
      <c r="D16698" t="s">
        <v>51979</v>
      </c>
      <c r="E16698" t="b">
        <v>0</v>
      </c>
      <c r="F16698" t="s">
        <v>11624</v>
      </c>
      <c r="G16698">
        <v>41.334000000000003</v>
      </c>
      <c r="H16698">
        <v>33.499000000000002</v>
      </c>
      <c r="I16698" t="s">
        <v>51980</v>
      </c>
      <c r="L16698">
        <v>0</v>
      </c>
      <c r="M16698">
        <v>0</v>
      </c>
      <c r="N16698">
        <v>0</v>
      </c>
      <c r="O16698" t="s">
        <v>16254</v>
      </c>
    </row>
    <row r="16699" spans="1:15">
      <c r="A16699" t="s">
        <v>51981</v>
      </c>
      <c r="B16699" t="s">
        <v>11637</v>
      </c>
      <c r="C16699" t="s">
        <v>30673</v>
      </c>
      <c r="D16699" t="s">
        <v>51982</v>
      </c>
      <c r="E16699" t="b">
        <v>0</v>
      </c>
      <c r="F16699" t="s">
        <v>11610</v>
      </c>
      <c r="L16699">
        <v>0</v>
      </c>
      <c r="M16699">
        <v>0</v>
      </c>
      <c r="N16699">
        <v>0</v>
      </c>
    </row>
    <row r="16700" spans="1:15">
      <c r="A16700" t="s">
        <v>51983</v>
      </c>
      <c r="B16700" t="s">
        <v>11637</v>
      </c>
      <c r="C16700" t="s">
        <v>33137</v>
      </c>
      <c r="D16700" t="s">
        <v>51984</v>
      </c>
      <c r="E16700" t="b">
        <v>0</v>
      </c>
      <c r="F16700" t="s">
        <v>11610</v>
      </c>
      <c r="L16700">
        <v>0</v>
      </c>
      <c r="M16700">
        <v>0</v>
      </c>
      <c r="N16700">
        <v>0</v>
      </c>
    </row>
    <row r="16701" spans="1:15">
      <c r="A16701" t="s">
        <v>51985</v>
      </c>
      <c r="B16701" t="s">
        <v>12438</v>
      </c>
      <c r="C16701" t="s">
        <v>51986</v>
      </c>
      <c r="D16701" t="s">
        <v>51987</v>
      </c>
      <c r="E16701" t="b">
        <v>0</v>
      </c>
      <c r="F16701" t="s">
        <v>11622</v>
      </c>
      <c r="L16701">
        <v>0</v>
      </c>
      <c r="M16701">
        <v>2</v>
      </c>
      <c r="N16701">
        <v>2</v>
      </c>
    </row>
    <row r="16702" spans="1:15">
      <c r="A16702" t="s">
        <v>51988</v>
      </c>
      <c r="B16702" t="s">
        <v>12438</v>
      </c>
      <c r="C16702" t="s">
        <v>39581</v>
      </c>
      <c r="D16702" t="s">
        <v>51989</v>
      </c>
      <c r="E16702" t="b">
        <v>0</v>
      </c>
      <c r="F16702" t="s">
        <v>11610</v>
      </c>
      <c r="L16702">
        <v>0</v>
      </c>
      <c r="M16702">
        <v>0</v>
      </c>
      <c r="N16702">
        <v>0</v>
      </c>
    </row>
    <row r="16703" spans="1:15">
      <c r="A16703" t="s">
        <v>51990</v>
      </c>
      <c r="B16703" t="s">
        <v>11644</v>
      </c>
      <c r="C16703" t="s">
        <v>51991</v>
      </c>
      <c r="D16703" t="s">
        <v>51992</v>
      </c>
      <c r="E16703" t="b">
        <v>0</v>
      </c>
      <c r="F16703" t="s">
        <v>11610</v>
      </c>
      <c r="L16703">
        <v>0</v>
      </c>
      <c r="M16703">
        <v>0</v>
      </c>
      <c r="N16703">
        <v>0</v>
      </c>
    </row>
    <row r="16704" spans="1:15">
      <c r="A16704" t="s">
        <v>51993</v>
      </c>
      <c r="B16704" t="s">
        <v>11644</v>
      </c>
      <c r="C16704" t="s">
        <v>24271</v>
      </c>
      <c r="D16704" t="s">
        <v>51994</v>
      </c>
      <c r="E16704" t="b">
        <v>0</v>
      </c>
      <c r="F16704" t="s">
        <v>11610</v>
      </c>
      <c r="L16704">
        <v>0</v>
      </c>
      <c r="M16704">
        <v>0</v>
      </c>
      <c r="N16704">
        <v>0</v>
      </c>
    </row>
    <row r="16705" spans="1:15">
      <c r="A16705" t="s">
        <v>51995</v>
      </c>
      <c r="B16705" t="s">
        <v>13210</v>
      </c>
      <c r="C16705" t="s">
        <v>13209</v>
      </c>
      <c r="D16705" t="s">
        <v>51996</v>
      </c>
      <c r="E16705" t="b">
        <v>0</v>
      </c>
      <c r="F16705" t="s">
        <v>11610</v>
      </c>
      <c r="L16705">
        <v>0</v>
      </c>
      <c r="M16705">
        <v>0</v>
      </c>
      <c r="N16705">
        <v>0</v>
      </c>
    </row>
    <row r="16706" spans="1:15">
      <c r="A16706" t="s">
        <v>51997</v>
      </c>
      <c r="B16706" t="s">
        <v>6742</v>
      </c>
      <c r="C16706" t="s">
        <v>25015</v>
      </c>
      <c r="D16706" t="s">
        <v>51998</v>
      </c>
      <c r="E16706" t="b">
        <v>0</v>
      </c>
      <c r="F16706" t="s">
        <v>11624</v>
      </c>
      <c r="G16706">
        <v>9.5381499999999999</v>
      </c>
      <c r="H16706">
        <v>-4.9271000000000003</v>
      </c>
      <c r="I16706" t="s">
        <v>51999</v>
      </c>
      <c r="L16706">
        <v>0</v>
      </c>
      <c r="M16706">
        <v>0</v>
      </c>
      <c r="N16706">
        <v>0</v>
      </c>
      <c r="O16706" t="s">
        <v>22064</v>
      </c>
    </row>
    <row r="16707" spans="1:15">
      <c r="A16707" t="s">
        <v>52000</v>
      </c>
      <c r="B16707" t="s">
        <v>367</v>
      </c>
      <c r="C16707" t="s">
        <v>49775</v>
      </c>
      <c r="D16707" t="s">
        <v>52001</v>
      </c>
      <c r="E16707" t="b">
        <v>0</v>
      </c>
      <c r="F16707" t="s">
        <v>11610</v>
      </c>
      <c r="L16707">
        <v>0</v>
      </c>
      <c r="M16707">
        <v>0</v>
      </c>
      <c r="N16707">
        <v>0</v>
      </c>
    </row>
    <row r="16708" spans="1:15">
      <c r="A16708" t="s">
        <v>10825</v>
      </c>
      <c r="B16708" t="s">
        <v>367</v>
      </c>
      <c r="C16708" t="s">
        <v>4363</v>
      </c>
      <c r="D16708" t="s">
        <v>52002</v>
      </c>
      <c r="E16708" t="b">
        <v>0</v>
      </c>
      <c r="F16708" t="s">
        <v>11624</v>
      </c>
      <c r="G16708">
        <v>7.34138</v>
      </c>
      <c r="H16708">
        <v>134.47667799999999</v>
      </c>
      <c r="I16708" t="s">
        <v>10826</v>
      </c>
      <c r="L16708">
        <v>0</v>
      </c>
      <c r="M16708">
        <v>0</v>
      </c>
      <c r="N16708">
        <v>0</v>
      </c>
      <c r="O16708" t="s">
        <v>31447</v>
      </c>
    </row>
    <row r="16709" spans="1:15">
      <c r="A16709" t="s">
        <v>52003</v>
      </c>
      <c r="B16709" t="s">
        <v>367</v>
      </c>
      <c r="C16709" t="s">
        <v>11814</v>
      </c>
      <c r="D16709" t="s">
        <v>52004</v>
      </c>
      <c r="E16709" t="b">
        <v>0</v>
      </c>
      <c r="F16709" t="s">
        <v>11610</v>
      </c>
      <c r="L16709">
        <v>0</v>
      </c>
      <c r="M16709">
        <v>0</v>
      </c>
      <c r="N16709">
        <v>0</v>
      </c>
    </row>
    <row r="16710" spans="1:15">
      <c r="A16710" t="s">
        <v>52005</v>
      </c>
      <c r="B16710" t="s">
        <v>367</v>
      </c>
      <c r="C16710" t="s">
        <v>17133</v>
      </c>
      <c r="D16710" t="s">
        <v>52006</v>
      </c>
      <c r="E16710" t="b">
        <v>0</v>
      </c>
      <c r="F16710" t="s">
        <v>11610</v>
      </c>
      <c r="L16710">
        <v>0</v>
      </c>
      <c r="M16710">
        <v>0</v>
      </c>
      <c r="N16710">
        <v>0</v>
      </c>
    </row>
    <row r="16711" spans="1:15">
      <c r="A16711" t="s">
        <v>52007</v>
      </c>
      <c r="B16711" t="s">
        <v>367</v>
      </c>
      <c r="C16711" t="s">
        <v>52008</v>
      </c>
      <c r="D16711" t="s">
        <v>52009</v>
      </c>
      <c r="E16711" t="b">
        <v>0</v>
      </c>
      <c r="F16711" t="s">
        <v>11610</v>
      </c>
      <c r="L16711">
        <v>0</v>
      </c>
      <c r="M16711">
        <v>0</v>
      </c>
      <c r="N16711">
        <v>0</v>
      </c>
    </row>
    <row r="16712" spans="1:15">
      <c r="A16712" t="s">
        <v>52010</v>
      </c>
      <c r="B16712" t="s">
        <v>367</v>
      </c>
      <c r="C16712" t="s">
        <v>13862</v>
      </c>
      <c r="D16712" t="s">
        <v>52011</v>
      </c>
      <c r="E16712" t="b">
        <v>0</v>
      </c>
      <c r="F16712" t="s">
        <v>11610</v>
      </c>
      <c r="L16712">
        <v>0</v>
      </c>
      <c r="M16712">
        <v>0</v>
      </c>
      <c r="N16712">
        <v>0</v>
      </c>
    </row>
    <row r="16713" spans="1:15">
      <c r="A16713" t="s">
        <v>11941</v>
      </c>
      <c r="D16713" t="s">
        <v>52012</v>
      </c>
      <c r="E16713" t="b">
        <v>0</v>
      </c>
      <c r="F16713" t="s">
        <v>11622</v>
      </c>
      <c r="L16713">
        <v>0</v>
      </c>
      <c r="M16713">
        <v>2</v>
      </c>
      <c r="N16713">
        <v>0</v>
      </c>
    </row>
    <row r="16714" spans="1:15">
      <c r="A16714" t="s">
        <v>52013</v>
      </c>
      <c r="B16714" t="s">
        <v>11879</v>
      </c>
      <c r="C16714" t="s">
        <v>22660</v>
      </c>
      <c r="D16714" t="s">
        <v>52014</v>
      </c>
      <c r="E16714" t="b">
        <v>0</v>
      </c>
      <c r="F16714" t="s">
        <v>11624</v>
      </c>
      <c r="G16714">
        <v>17.884</v>
      </c>
      <c r="H16714">
        <v>-96.340699999999998</v>
      </c>
      <c r="I16714" t="s">
        <v>52015</v>
      </c>
      <c r="L16714">
        <v>0</v>
      </c>
      <c r="M16714">
        <v>0</v>
      </c>
      <c r="N16714">
        <v>0</v>
      </c>
      <c r="O16714" t="s">
        <v>11883</v>
      </c>
    </row>
    <row r="16715" spans="1:15">
      <c r="A16715" t="s">
        <v>24012</v>
      </c>
      <c r="B16715" t="s">
        <v>12438</v>
      </c>
      <c r="C16715" t="s">
        <v>36171</v>
      </c>
      <c r="D16715" t="s">
        <v>52016</v>
      </c>
      <c r="E16715" t="b">
        <v>0</v>
      </c>
      <c r="F16715" t="s">
        <v>11622</v>
      </c>
      <c r="L16715">
        <v>12</v>
      </c>
      <c r="M16715">
        <v>22</v>
      </c>
      <c r="N16715">
        <v>18</v>
      </c>
    </row>
    <row r="16716" spans="1:15">
      <c r="A16716" t="s">
        <v>5360</v>
      </c>
      <c r="B16716" t="s">
        <v>367</v>
      </c>
      <c r="C16716" t="s">
        <v>21816</v>
      </c>
      <c r="D16716" t="s">
        <v>52017</v>
      </c>
      <c r="E16716" t="b">
        <v>0</v>
      </c>
      <c r="F16716" t="s">
        <v>11622</v>
      </c>
      <c r="L16716">
        <v>6</v>
      </c>
      <c r="M16716">
        <v>8</v>
      </c>
      <c r="N16716">
        <v>1</v>
      </c>
    </row>
    <row r="16717" spans="1:15">
      <c r="A16717" t="s">
        <v>51975</v>
      </c>
      <c r="B16717" t="s">
        <v>11637</v>
      </c>
      <c r="C16717" t="s">
        <v>52018</v>
      </c>
      <c r="D16717" t="s">
        <v>52019</v>
      </c>
      <c r="E16717" t="b">
        <v>0</v>
      </c>
      <c r="F16717" t="s">
        <v>11622</v>
      </c>
      <c r="L16717">
        <v>0</v>
      </c>
      <c r="M16717">
        <v>2</v>
      </c>
      <c r="N16717">
        <v>9</v>
      </c>
    </row>
    <row r="16718" spans="1:15">
      <c r="A16718" t="s">
        <v>52020</v>
      </c>
      <c r="B16718" t="s">
        <v>12438</v>
      </c>
      <c r="C16718" t="s">
        <v>30455</v>
      </c>
      <c r="D16718" t="s">
        <v>52021</v>
      </c>
      <c r="E16718" t="b">
        <v>0</v>
      </c>
      <c r="F16718" t="s">
        <v>11610</v>
      </c>
      <c r="L16718">
        <v>0</v>
      </c>
      <c r="M16718">
        <v>0</v>
      </c>
      <c r="N16718">
        <v>0</v>
      </c>
    </row>
    <row r="16719" spans="1:15">
      <c r="A16719" t="s">
        <v>52022</v>
      </c>
      <c r="B16719" t="s">
        <v>11644</v>
      </c>
      <c r="C16719" t="s">
        <v>23714</v>
      </c>
      <c r="D16719" t="s">
        <v>52023</v>
      </c>
      <c r="E16719" t="b">
        <v>0</v>
      </c>
      <c r="F16719" t="s">
        <v>11610</v>
      </c>
      <c r="L16719">
        <v>0</v>
      </c>
      <c r="M16719">
        <v>0</v>
      </c>
      <c r="N16719">
        <v>0</v>
      </c>
    </row>
    <row r="16720" spans="1:15">
      <c r="A16720" t="s">
        <v>52024</v>
      </c>
      <c r="B16720" t="s">
        <v>9348</v>
      </c>
      <c r="C16720" t="s">
        <v>9348</v>
      </c>
      <c r="D16720" t="s">
        <v>52025</v>
      </c>
      <c r="E16720" t="b">
        <v>0</v>
      </c>
      <c r="F16720" t="s">
        <v>11624</v>
      </c>
      <c r="L16720">
        <v>0</v>
      </c>
      <c r="M16720">
        <v>0</v>
      </c>
      <c r="N16720">
        <v>0</v>
      </c>
      <c r="O16720" t="s">
        <v>11944</v>
      </c>
    </row>
    <row r="16721" spans="1:15">
      <c r="A16721" t="s">
        <v>52026</v>
      </c>
      <c r="B16721" t="s">
        <v>11637</v>
      </c>
      <c r="C16721" t="s">
        <v>38933</v>
      </c>
      <c r="D16721" t="s">
        <v>52027</v>
      </c>
      <c r="E16721" t="b">
        <v>0</v>
      </c>
      <c r="F16721" t="s">
        <v>11624</v>
      </c>
      <c r="G16721">
        <v>10.3881</v>
      </c>
      <c r="H16721">
        <v>-75.294899999999998</v>
      </c>
      <c r="I16721" t="s">
        <v>52028</v>
      </c>
      <c r="L16721">
        <v>0</v>
      </c>
      <c r="M16721">
        <v>0</v>
      </c>
      <c r="N16721">
        <v>0</v>
      </c>
      <c r="O16721" t="s">
        <v>11898</v>
      </c>
    </row>
    <row r="16722" spans="1:15">
      <c r="A16722" t="s">
        <v>52029</v>
      </c>
      <c r="B16722" t="s">
        <v>11607</v>
      </c>
      <c r="C16722" t="s">
        <v>52030</v>
      </c>
      <c r="D16722" t="s">
        <v>52031</v>
      </c>
      <c r="E16722" t="b">
        <v>0</v>
      </c>
      <c r="F16722" t="s">
        <v>11624</v>
      </c>
      <c r="I16722" t="s">
        <v>52032</v>
      </c>
      <c r="L16722">
        <v>0</v>
      </c>
      <c r="M16722">
        <v>0</v>
      </c>
      <c r="N16722">
        <v>0</v>
      </c>
      <c r="O16722" t="s">
        <v>13147</v>
      </c>
    </row>
    <row r="16723" spans="1:15">
      <c r="A16723" t="s">
        <v>52033</v>
      </c>
      <c r="B16723" t="s">
        <v>6742</v>
      </c>
      <c r="C16723" t="s">
        <v>46631</v>
      </c>
      <c r="D16723" t="s">
        <v>52034</v>
      </c>
      <c r="E16723" t="b">
        <v>0</v>
      </c>
      <c r="F16723" t="s">
        <v>11624</v>
      </c>
      <c r="I16723" t="s">
        <v>52035</v>
      </c>
      <c r="L16723">
        <v>0</v>
      </c>
      <c r="M16723">
        <v>0</v>
      </c>
      <c r="N16723">
        <v>0</v>
      </c>
      <c r="O16723" t="s">
        <v>19305</v>
      </c>
    </row>
    <row r="16724" spans="1:15">
      <c r="A16724" t="s">
        <v>52036</v>
      </c>
      <c r="B16724" t="s">
        <v>11627</v>
      </c>
      <c r="C16724" t="s">
        <v>11627</v>
      </c>
      <c r="D16724" t="s">
        <v>52037</v>
      </c>
      <c r="E16724" t="b">
        <v>1</v>
      </c>
      <c r="F16724" t="s">
        <v>11624</v>
      </c>
      <c r="I16724" t="s">
        <v>52038</v>
      </c>
      <c r="L16724">
        <v>0</v>
      </c>
      <c r="M16724">
        <v>0</v>
      </c>
      <c r="N16724">
        <v>0</v>
      </c>
    </row>
    <row r="16725" spans="1:15">
      <c r="A16725" t="s">
        <v>52039</v>
      </c>
      <c r="B16725" t="s">
        <v>11637</v>
      </c>
      <c r="C16725" t="s">
        <v>16512</v>
      </c>
      <c r="D16725" t="s">
        <v>52040</v>
      </c>
      <c r="E16725" t="b">
        <v>0</v>
      </c>
      <c r="F16725" t="s">
        <v>11610</v>
      </c>
      <c r="L16725">
        <v>0</v>
      </c>
      <c r="M16725">
        <v>0</v>
      </c>
      <c r="N16725">
        <v>0</v>
      </c>
    </row>
    <row r="16726" spans="1:15">
      <c r="A16726" t="s">
        <v>20004</v>
      </c>
      <c r="B16726" t="s">
        <v>11637</v>
      </c>
      <c r="C16726" t="s">
        <v>18493</v>
      </c>
      <c r="D16726" t="s">
        <v>52041</v>
      </c>
      <c r="E16726" t="b">
        <v>0</v>
      </c>
      <c r="F16726" t="s">
        <v>11624</v>
      </c>
      <c r="G16726">
        <v>24.527100000000001</v>
      </c>
      <c r="H16726">
        <v>82.251000000000005</v>
      </c>
      <c r="I16726" t="s">
        <v>52042</v>
      </c>
      <c r="L16726">
        <v>0</v>
      </c>
      <c r="M16726">
        <v>0</v>
      </c>
      <c r="N16726">
        <v>2</v>
      </c>
      <c r="O16726" t="s">
        <v>13598</v>
      </c>
    </row>
    <row r="16727" spans="1:15">
      <c r="A16727" t="s">
        <v>42022</v>
      </c>
      <c r="B16727" t="s">
        <v>11844</v>
      </c>
      <c r="C16727" t="s">
        <v>52043</v>
      </c>
      <c r="D16727" t="s">
        <v>52044</v>
      </c>
      <c r="E16727" t="b">
        <v>0</v>
      </c>
      <c r="F16727" t="s">
        <v>11624</v>
      </c>
      <c r="G16727">
        <v>10.087</v>
      </c>
      <c r="H16727">
        <v>77.186300000000003</v>
      </c>
      <c r="I16727" t="s">
        <v>52045</v>
      </c>
      <c r="L16727">
        <v>0</v>
      </c>
      <c r="M16727">
        <v>0</v>
      </c>
      <c r="N16727">
        <v>1</v>
      </c>
      <c r="O16727" t="s">
        <v>11630</v>
      </c>
    </row>
    <row r="16728" spans="1:15">
      <c r="A16728" t="s">
        <v>52046</v>
      </c>
      <c r="B16728" t="s">
        <v>6742</v>
      </c>
      <c r="C16728" t="s">
        <v>22382</v>
      </c>
      <c r="D16728" t="s">
        <v>52047</v>
      </c>
      <c r="E16728" t="b">
        <v>0</v>
      </c>
      <c r="F16728" t="s">
        <v>11610</v>
      </c>
      <c r="L16728">
        <v>0</v>
      </c>
      <c r="M16728">
        <v>0</v>
      </c>
      <c r="N16728">
        <v>0</v>
      </c>
    </row>
    <row r="16729" spans="1:15">
      <c r="A16729" t="s">
        <v>52048</v>
      </c>
      <c r="B16729" t="s">
        <v>11757</v>
      </c>
      <c r="C16729" t="s">
        <v>3239</v>
      </c>
      <c r="D16729" t="s">
        <v>52049</v>
      </c>
      <c r="E16729" t="b">
        <v>0</v>
      </c>
      <c r="F16729" t="s">
        <v>11610</v>
      </c>
      <c r="L16729">
        <v>0</v>
      </c>
      <c r="M16729">
        <v>0</v>
      </c>
      <c r="N16729">
        <v>0</v>
      </c>
    </row>
    <row r="16730" spans="1:15">
      <c r="A16730" t="s">
        <v>52050</v>
      </c>
      <c r="B16730" t="s">
        <v>11757</v>
      </c>
      <c r="C16730" t="s">
        <v>3239</v>
      </c>
      <c r="D16730" t="s">
        <v>52051</v>
      </c>
      <c r="E16730" t="b">
        <v>0</v>
      </c>
      <c r="F16730" t="s">
        <v>11610</v>
      </c>
      <c r="L16730">
        <v>0</v>
      </c>
      <c r="M16730">
        <v>0</v>
      </c>
      <c r="N16730">
        <v>0</v>
      </c>
    </row>
    <row r="16731" spans="1:15">
      <c r="A16731" t="s">
        <v>52052</v>
      </c>
      <c r="B16731" t="s">
        <v>13411</v>
      </c>
      <c r="C16731" t="s">
        <v>6323</v>
      </c>
      <c r="D16731" t="s">
        <v>52053</v>
      </c>
      <c r="E16731" t="b">
        <v>0</v>
      </c>
      <c r="F16731" t="s">
        <v>11610</v>
      </c>
      <c r="L16731">
        <v>0</v>
      </c>
      <c r="M16731">
        <v>0</v>
      </c>
      <c r="N16731">
        <v>0</v>
      </c>
    </row>
    <row r="16732" spans="1:15">
      <c r="A16732" t="s">
        <v>11500</v>
      </c>
      <c r="B16732" t="s">
        <v>11894</v>
      </c>
      <c r="C16732" t="s">
        <v>26395</v>
      </c>
      <c r="D16732" t="s">
        <v>52054</v>
      </c>
      <c r="E16732" t="b">
        <v>0</v>
      </c>
      <c r="F16732" t="s">
        <v>11624</v>
      </c>
      <c r="G16732">
        <v>3.6399300000000001</v>
      </c>
      <c r="H16732">
        <v>-51.624600000000001</v>
      </c>
      <c r="I16732" t="s">
        <v>11501</v>
      </c>
      <c r="L16732">
        <v>0</v>
      </c>
      <c r="M16732">
        <v>0</v>
      </c>
      <c r="N16732">
        <v>0</v>
      </c>
      <c r="O16732" t="s">
        <v>29978</v>
      </c>
    </row>
    <row r="16733" spans="1:15">
      <c r="A16733" t="s">
        <v>14234</v>
      </c>
      <c r="B16733" t="s">
        <v>10597</v>
      </c>
      <c r="C16733" t="s">
        <v>21447</v>
      </c>
      <c r="D16733" t="s">
        <v>52055</v>
      </c>
      <c r="E16733" t="b">
        <v>0</v>
      </c>
      <c r="F16733" t="s">
        <v>11622</v>
      </c>
      <c r="L16733">
        <v>2</v>
      </c>
      <c r="M16733">
        <v>4</v>
      </c>
      <c r="N16733">
        <v>0</v>
      </c>
    </row>
    <row r="16734" spans="1:15">
      <c r="A16734" t="s">
        <v>52056</v>
      </c>
      <c r="B16734" t="s">
        <v>10597</v>
      </c>
      <c r="C16734" t="s">
        <v>24670</v>
      </c>
      <c r="D16734" t="s">
        <v>52057</v>
      </c>
      <c r="E16734" t="b">
        <v>0</v>
      </c>
      <c r="F16734" t="s">
        <v>11624</v>
      </c>
      <c r="G16734">
        <v>-36.08</v>
      </c>
      <c r="H16734">
        <v>146.91</v>
      </c>
      <c r="I16734" t="s">
        <v>52058</v>
      </c>
      <c r="L16734">
        <v>0</v>
      </c>
      <c r="M16734">
        <v>0</v>
      </c>
      <c r="N16734">
        <v>0</v>
      </c>
      <c r="O16734" t="s">
        <v>12107</v>
      </c>
    </row>
    <row r="16735" spans="1:15">
      <c r="A16735" t="s">
        <v>52059</v>
      </c>
      <c r="B16735" t="s">
        <v>11615</v>
      </c>
      <c r="C16735" t="s">
        <v>36846</v>
      </c>
      <c r="D16735" t="s">
        <v>52060</v>
      </c>
      <c r="E16735" t="b">
        <v>0</v>
      </c>
      <c r="F16735" t="s">
        <v>11624</v>
      </c>
      <c r="G16735">
        <v>-4.7560000000000002</v>
      </c>
      <c r="H16735">
        <v>145.24</v>
      </c>
      <c r="I16735" t="s">
        <v>52061</v>
      </c>
      <c r="L16735">
        <v>0</v>
      </c>
      <c r="M16735">
        <v>0</v>
      </c>
      <c r="N16735">
        <v>0</v>
      </c>
      <c r="O16735" t="s">
        <v>11660</v>
      </c>
    </row>
    <row r="16736" spans="1:15">
      <c r="A16736" t="s">
        <v>52062</v>
      </c>
      <c r="B16736" t="s">
        <v>11637</v>
      </c>
      <c r="C16736" t="s">
        <v>21229</v>
      </c>
      <c r="D16736" t="s">
        <v>52063</v>
      </c>
      <c r="E16736" t="b">
        <v>0</v>
      </c>
      <c r="F16736" t="s">
        <v>11610</v>
      </c>
      <c r="L16736">
        <v>0</v>
      </c>
      <c r="M16736">
        <v>0</v>
      </c>
      <c r="N16736">
        <v>0</v>
      </c>
    </row>
    <row r="16737" spans="1:15">
      <c r="A16737" t="s">
        <v>52064</v>
      </c>
      <c r="B16737" t="s">
        <v>8310</v>
      </c>
      <c r="C16737" t="s">
        <v>3311</v>
      </c>
      <c r="D16737" t="s">
        <v>52065</v>
      </c>
      <c r="E16737" t="b">
        <v>0</v>
      </c>
      <c r="F16737" t="s">
        <v>11624</v>
      </c>
      <c r="L16737">
        <v>0</v>
      </c>
      <c r="M16737">
        <v>0</v>
      </c>
      <c r="N16737">
        <v>0</v>
      </c>
      <c r="O16737" t="s">
        <v>11969</v>
      </c>
    </row>
    <row r="16738" spans="1:15">
      <c r="A16738" t="s">
        <v>52066</v>
      </c>
      <c r="B16738" t="s">
        <v>6742</v>
      </c>
      <c r="C16738" t="s">
        <v>46921</v>
      </c>
      <c r="D16738" t="s">
        <v>52067</v>
      </c>
      <c r="E16738" t="b">
        <v>0</v>
      </c>
      <c r="F16738" t="s">
        <v>11624</v>
      </c>
      <c r="G16738">
        <v>14.8628</v>
      </c>
      <c r="H16738">
        <v>-16.9557</v>
      </c>
      <c r="I16738" t="s">
        <v>52068</v>
      </c>
      <c r="L16738">
        <v>0</v>
      </c>
      <c r="M16738">
        <v>0</v>
      </c>
      <c r="N16738">
        <v>0</v>
      </c>
      <c r="O16738" t="s">
        <v>16532</v>
      </c>
    </row>
    <row r="16739" spans="1:15">
      <c r="A16739" t="s">
        <v>46921</v>
      </c>
      <c r="B16739" t="s">
        <v>6742</v>
      </c>
      <c r="C16739" t="s">
        <v>21058</v>
      </c>
      <c r="D16739" t="s">
        <v>52069</v>
      </c>
      <c r="E16739" t="b">
        <v>0</v>
      </c>
      <c r="F16739" t="s">
        <v>11622</v>
      </c>
      <c r="L16739">
        <v>0</v>
      </c>
      <c r="M16739">
        <v>2</v>
      </c>
      <c r="N16739">
        <v>0</v>
      </c>
    </row>
    <row r="16740" spans="1:15">
      <c r="A16740" t="s">
        <v>52070</v>
      </c>
      <c r="B16740" t="s">
        <v>11637</v>
      </c>
      <c r="C16740" t="s">
        <v>25351</v>
      </c>
      <c r="D16740" t="s">
        <v>52071</v>
      </c>
      <c r="E16740" t="b">
        <v>0</v>
      </c>
      <c r="F16740" t="s">
        <v>11624</v>
      </c>
      <c r="G16740">
        <v>27.874099999999999</v>
      </c>
      <c r="H16740">
        <v>83.392799999999994</v>
      </c>
      <c r="I16740" t="s">
        <v>52072</v>
      </c>
      <c r="L16740">
        <v>0</v>
      </c>
      <c r="M16740">
        <v>0</v>
      </c>
      <c r="N16740">
        <v>0</v>
      </c>
      <c r="O16740" t="s">
        <v>15007</v>
      </c>
    </row>
    <row r="16741" spans="1:15">
      <c r="A16741" t="s">
        <v>52073</v>
      </c>
      <c r="B16741" t="s">
        <v>12241</v>
      </c>
      <c r="C16741" t="s">
        <v>12241</v>
      </c>
      <c r="D16741" t="s">
        <v>52074</v>
      </c>
      <c r="E16741" t="b">
        <v>0</v>
      </c>
      <c r="F16741" t="s">
        <v>11624</v>
      </c>
      <c r="G16741">
        <v>-3.024</v>
      </c>
      <c r="H16741">
        <v>128.762</v>
      </c>
      <c r="I16741" t="s">
        <v>52075</v>
      </c>
      <c r="L16741">
        <v>0</v>
      </c>
      <c r="M16741">
        <v>0</v>
      </c>
      <c r="N16741">
        <v>0</v>
      </c>
      <c r="O16741" t="s">
        <v>11768</v>
      </c>
    </row>
    <row r="16742" spans="1:15">
      <c r="A16742" t="s">
        <v>52076</v>
      </c>
      <c r="B16742" t="s">
        <v>11637</v>
      </c>
      <c r="C16742" t="s">
        <v>27835</v>
      </c>
      <c r="D16742" t="s">
        <v>52077</v>
      </c>
      <c r="E16742" t="b">
        <v>0</v>
      </c>
      <c r="F16742" t="s">
        <v>11610</v>
      </c>
      <c r="L16742">
        <v>0</v>
      </c>
      <c r="M16742">
        <v>0</v>
      </c>
      <c r="N16742">
        <v>0</v>
      </c>
    </row>
    <row r="16743" spans="1:15">
      <c r="A16743" t="s">
        <v>52078</v>
      </c>
      <c r="B16743" t="s">
        <v>367</v>
      </c>
      <c r="C16743" t="s">
        <v>47150</v>
      </c>
      <c r="D16743" t="s">
        <v>52079</v>
      </c>
      <c r="E16743" t="b">
        <v>0</v>
      </c>
      <c r="F16743" t="s">
        <v>11624</v>
      </c>
      <c r="G16743">
        <v>-8.3287700000000005</v>
      </c>
      <c r="H16743">
        <v>121.718</v>
      </c>
      <c r="I16743" t="s">
        <v>52080</v>
      </c>
      <c r="L16743">
        <v>0</v>
      </c>
      <c r="M16743">
        <v>0</v>
      </c>
      <c r="N16743">
        <v>0</v>
      </c>
      <c r="O16743" t="s">
        <v>11768</v>
      </c>
    </row>
    <row r="16744" spans="1:15">
      <c r="A16744" t="s">
        <v>23934</v>
      </c>
      <c r="B16744" t="s">
        <v>367</v>
      </c>
      <c r="C16744" t="s">
        <v>19527</v>
      </c>
      <c r="D16744" t="s">
        <v>52081</v>
      </c>
      <c r="E16744" t="b">
        <v>0</v>
      </c>
      <c r="F16744" t="s">
        <v>11624</v>
      </c>
      <c r="G16744">
        <v>5.0271499999999998</v>
      </c>
      <c r="H16744">
        <v>116.346</v>
      </c>
      <c r="I16744" t="s">
        <v>52082</v>
      </c>
      <c r="L16744">
        <v>0</v>
      </c>
      <c r="M16744">
        <v>0</v>
      </c>
      <c r="N16744">
        <v>6</v>
      </c>
      <c r="O16744" t="s">
        <v>11672</v>
      </c>
    </row>
    <row r="16745" spans="1:15">
      <c r="A16745" t="s">
        <v>52083</v>
      </c>
      <c r="B16745" t="s">
        <v>11627</v>
      </c>
      <c r="C16745" t="s">
        <v>11627</v>
      </c>
      <c r="D16745" t="s">
        <v>52084</v>
      </c>
      <c r="E16745" t="b">
        <v>1</v>
      </c>
      <c r="F16745" t="s">
        <v>11624</v>
      </c>
      <c r="G16745">
        <v>18.5</v>
      </c>
      <c r="H16745">
        <v>97.166600000000003</v>
      </c>
      <c r="I16745" t="s">
        <v>52085</v>
      </c>
      <c r="L16745">
        <v>0</v>
      </c>
      <c r="M16745">
        <v>0</v>
      </c>
      <c r="N16745">
        <v>0</v>
      </c>
      <c r="O16745" t="s">
        <v>14059</v>
      </c>
    </row>
    <row r="16746" spans="1:15">
      <c r="A16746" t="s">
        <v>34450</v>
      </c>
      <c r="B16746" t="s">
        <v>11637</v>
      </c>
      <c r="C16746" t="s">
        <v>52086</v>
      </c>
      <c r="D16746" t="s">
        <v>52087</v>
      </c>
      <c r="E16746" t="b">
        <v>0</v>
      </c>
      <c r="F16746" t="s">
        <v>11622</v>
      </c>
      <c r="L16746">
        <v>0</v>
      </c>
      <c r="M16746">
        <v>2</v>
      </c>
      <c r="N16746">
        <v>2</v>
      </c>
    </row>
    <row r="16747" spans="1:15">
      <c r="A16747" t="s">
        <v>52088</v>
      </c>
      <c r="B16747" t="s">
        <v>11637</v>
      </c>
      <c r="C16747" t="s">
        <v>52089</v>
      </c>
      <c r="D16747" t="s">
        <v>52090</v>
      </c>
      <c r="E16747" t="b">
        <v>0</v>
      </c>
      <c r="F16747" t="s">
        <v>11624</v>
      </c>
      <c r="G16747">
        <v>21.937000000000001</v>
      </c>
      <c r="H16747">
        <v>75.233000000000004</v>
      </c>
      <c r="I16747" t="s">
        <v>52091</v>
      </c>
      <c r="L16747">
        <v>0</v>
      </c>
      <c r="M16747">
        <v>0</v>
      </c>
      <c r="N16747">
        <v>0</v>
      </c>
      <c r="O16747" t="s">
        <v>11630</v>
      </c>
    </row>
    <row r="16748" spans="1:15">
      <c r="A16748" t="s">
        <v>10597</v>
      </c>
      <c r="D16748" t="s">
        <v>52092</v>
      </c>
      <c r="E16748" t="b">
        <v>0</v>
      </c>
      <c r="F16748" t="s">
        <v>11622</v>
      </c>
      <c r="L16748">
        <v>149</v>
      </c>
      <c r="M16748">
        <v>248</v>
      </c>
      <c r="N16748">
        <v>205</v>
      </c>
    </row>
    <row r="16749" spans="1:15">
      <c r="A16749" t="s">
        <v>12968</v>
      </c>
      <c r="B16749" t="s">
        <v>10597</v>
      </c>
      <c r="C16749" t="s">
        <v>10597</v>
      </c>
      <c r="D16749" t="s">
        <v>52093</v>
      </c>
      <c r="E16749" t="b">
        <v>0</v>
      </c>
      <c r="F16749" t="s">
        <v>11622</v>
      </c>
      <c r="L16749">
        <v>35</v>
      </c>
      <c r="M16749">
        <v>62</v>
      </c>
      <c r="N16749">
        <v>20</v>
      </c>
    </row>
    <row r="16750" spans="1:15">
      <c r="A16750" t="s">
        <v>38034</v>
      </c>
      <c r="B16750" t="s">
        <v>10597</v>
      </c>
      <c r="C16750" t="s">
        <v>38028</v>
      </c>
      <c r="D16750" t="s">
        <v>52094</v>
      </c>
      <c r="E16750" t="b">
        <v>0</v>
      </c>
      <c r="F16750" t="s">
        <v>11622</v>
      </c>
      <c r="L16750">
        <v>0</v>
      </c>
      <c r="M16750">
        <v>4</v>
      </c>
      <c r="N16750">
        <v>0</v>
      </c>
    </row>
    <row r="16751" spans="1:15">
      <c r="A16751" t="s">
        <v>52095</v>
      </c>
      <c r="B16751" t="s">
        <v>12241</v>
      </c>
      <c r="C16751" t="s">
        <v>12241</v>
      </c>
      <c r="D16751" t="s">
        <v>52096</v>
      </c>
      <c r="E16751" t="b">
        <v>0</v>
      </c>
      <c r="F16751" t="s">
        <v>11622</v>
      </c>
      <c r="L16751">
        <v>0</v>
      </c>
      <c r="M16751">
        <v>1</v>
      </c>
      <c r="N16751">
        <v>0</v>
      </c>
    </row>
    <row r="16752" spans="1:15">
      <c r="A16752" t="s">
        <v>52097</v>
      </c>
      <c r="B16752" t="s">
        <v>6742</v>
      </c>
      <c r="C16752" t="s">
        <v>16905</v>
      </c>
      <c r="D16752" t="s">
        <v>52098</v>
      </c>
      <c r="E16752" t="b">
        <v>0</v>
      </c>
      <c r="F16752" t="s">
        <v>11624</v>
      </c>
      <c r="G16752">
        <v>3.7389999999999999</v>
      </c>
      <c r="H16752">
        <v>26.61</v>
      </c>
      <c r="I16752" t="s">
        <v>52099</v>
      </c>
      <c r="L16752">
        <v>0</v>
      </c>
      <c r="M16752">
        <v>0</v>
      </c>
      <c r="N16752">
        <v>0</v>
      </c>
      <c r="O16752" t="s">
        <v>14825</v>
      </c>
    </row>
    <row r="16753" spans="1:15">
      <c r="A16753" t="s">
        <v>52100</v>
      </c>
      <c r="B16753" t="s">
        <v>367</v>
      </c>
      <c r="C16753" t="s">
        <v>11814</v>
      </c>
      <c r="D16753" t="s">
        <v>52101</v>
      </c>
      <c r="E16753" t="b">
        <v>0</v>
      </c>
      <c r="F16753" t="s">
        <v>11610</v>
      </c>
      <c r="L16753">
        <v>0</v>
      </c>
      <c r="M16753">
        <v>0</v>
      </c>
      <c r="N16753">
        <v>0</v>
      </c>
    </row>
    <row r="16754" spans="1:15">
      <c r="A16754" t="s">
        <v>52102</v>
      </c>
      <c r="B16754" t="s">
        <v>367</v>
      </c>
      <c r="C16754" t="s">
        <v>16236</v>
      </c>
      <c r="D16754" t="s">
        <v>52103</v>
      </c>
      <c r="E16754" t="b">
        <v>0</v>
      </c>
      <c r="F16754" t="s">
        <v>11610</v>
      </c>
      <c r="L16754">
        <v>0</v>
      </c>
      <c r="M16754">
        <v>0</v>
      </c>
      <c r="N16754">
        <v>0</v>
      </c>
    </row>
    <row r="16755" spans="1:15">
      <c r="A16755" t="s">
        <v>52104</v>
      </c>
      <c r="B16755" t="s">
        <v>367</v>
      </c>
      <c r="C16755" t="s">
        <v>16680</v>
      </c>
      <c r="D16755" t="s">
        <v>52105</v>
      </c>
      <c r="E16755" t="b">
        <v>0</v>
      </c>
      <c r="F16755" t="s">
        <v>11610</v>
      </c>
      <c r="L16755">
        <v>0</v>
      </c>
      <c r="M16755">
        <v>0</v>
      </c>
      <c r="N16755">
        <v>0</v>
      </c>
    </row>
    <row r="16756" spans="1:15">
      <c r="A16756" t="s">
        <v>52106</v>
      </c>
      <c r="B16756" t="s">
        <v>367</v>
      </c>
      <c r="C16756" t="s">
        <v>26184</v>
      </c>
      <c r="D16756" t="s">
        <v>52107</v>
      </c>
      <c r="E16756" t="b">
        <v>0</v>
      </c>
      <c r="F16756" t="s">
        <v>11610</v>
      </c>
      <c r="L16756">
        <v>0</v>
      </c>
      <c r="M16756">
        <v>0</v>
      </c>
      <c r="N16756">
        <v>0</v>
      </c>
    </row>
    <row r="16757" spans="1:15">
      <c r="A16757" t="s">
        <v>21739</v>
      </c>
      <c r="B16757" t="s">
        <v>11879</v>
      </c>
      <c r="C16757" t="s">
        <v>22511</v>
      </c>
      <c r="D16757" t="s">
        <v>52108</v>
      </c>
      <c r="E16757" t="b">
        <v>0</v>
      </c>
      <c r="F16757" t="s">
        <v>11622</v>
      </c>
      <c r="L16757">
        <v>0</v>
      </c>
      <c r="M16757">
        <v>3</v>
      </c>
      <c r="N16757">
        <v>0</v>
      </c>
    </row>
    <row r="16758" spans="1:15">
      <c r="A16758" t="s">
        <v>52109</v>
      </c>
      <c r="B16758" t="s">
        <v>52110</v>
      </c>
      <c r="C16758" t="s">
        <v>52110</v>
      </c>
      <c r="D16758" t="s">
        <v>52111</v>
      </c>
      <c r="E16758" t="b">
        <v>0</v>
      </c>
      <c r="F16758" t="s">
        <v>11610</v>
      </c>
      <c r="L16758">
        <v>0</v>
      </c>
      <c r="M16758">
        <v>0</v>
      </c>
      <c r="N16758">
        <v>0</v>
      </c>
    </row>
    <row r="16759" spans="1:15">
      <c r="A16759" t="s">
        <v>52112</v>
      </c>
      <c r="B16759" t="s">
        <v>6742</v>
      </c>
      <c r="C16759" t="s">
        <v>45215</v>
      </c>
      <c r="D16759" t="s">
        <v>52113</v>
      </c>
      <c r="E16759" t="b">
        <v>0</v>
      </c>
      <c r="F16759" t="s">
        <v>11624</v>
      </c>
      <c r="G16759">
        <v>7.9777899999999997</v>
      </c>
      <c r="H16759">
        <v>14.285</v>
      </c>
      <c r="I16759" t="s">
        <v>52114</v>
      </c>
      <c r="L16759">
        <v>0</v>
      </c>
      <c r="M16759">
        <v>0</v>
      </c>
      <c r="N16759">
        <v>0</v>
      </c>
      <c r="O16759" t="s">
        <v>11703</v>
      </c>
    </row>
    <row r="16760" spans="1:15">
      <c r="A16760" t="s">
        <v>52115</v>
      </c>
      <c r="B16760" t="s">
        <v>367</v>
      </c>
      <c r="C16760" t="s">
        <v>16366</v>
      </c>
      <c r="D16760" t="s">
        <v>52116</v>
      </c>
      <c r="E16760" t="b">
        <v>0</v>
      </c>
      <c r="F16760" t="s">
        <v>11610</v>
      </c>
      <c r="L16760">
        <v>0</v>
      </c>
      <c r="M16760">
        <v>0</v>
      </c>
      <c r="N16760">
        <v>0</v>
      </c>
    </row>
    <row r="16761" spans="1:15">
      <c r="A16761" t="s">
        <v>52117</v>
      </c>
      <c r="B16761" t="s">
        <v>367</v>
      </c>
      <c r="C16761" t="s">
        <v>34160</v>
      </c>
      <c r="D16761" t="s">
        <v>52118</v>
      </c>
      <c r="E16761" t="b">
        <v>0</v>
      </c>
      <c r="F16761" t="s">
        <v>11622</v>
      </c>
      <c r="L16761">
        <v>0</v>
      </c>
      <c r="M16761">
        <v>2</v>
      </c>
      <c r="N16761">
        <v>0</v>
      </c>
    </row>
    <row r="16762" spans="1:15">
      <c r="A16762" t="s">
        <v>52119</v>
      </c>
      <c r="B16762" t="s">
        <v>367</v>
      </c>
      <c r="C16762" t="s">
        <v>52117</v>
      </c>
      <c r="D16762" t="s">
        <v>52120</v>
      </c>
      <c r="E16762" t="b">
        <v>0</v>
      </c>
      <c r="F16762" t="s">
        <v>11624</v>
      </c>
      <c r="G16762">
        <v>-1.62663</v>
      </c>
      <c r="H16762">
        <v>121.268</v>
      </c>
      <c r="I16762" t="s">
        <v>52121</v>
      </c>
      <c r="L16762">
        <v>0</v>
      </c>
      <c r="M16762">
        <v>0</v>
      </c>
      <c r="N16762">
        <v>0</v>
      </c>
      <c r="O16762" t="s">
        <v>11768</v>
      </c>
    </row>
    <row r="16763" spans="1:15">
      <c r="A16763" t="s">
        <v>31162</v>
      </c>
      <c r="B16763" t="s">
        <v>11615</v>
      </c>
      <c r="C16763" t="s">
        <v>37656</v>
      </c>
      <c r="D16763" t="s">
        <v>52122</v>
      </c>
      <c r="E16763" t="b">
        <v>0</v>
      </c>
      <c r="F16763" t="s">
        <v>11624</v>
      </c>
      <c r="G16763">
        <v>-4.6987399999999999</v>
      </c>
      <c r="H16763">
        <v>145.28800000000001</v>
      </c>
      <c r="I16763" t="s">
        <v>52123</v>
      </c>
      <c r="L16763">
        <v>0</v>
      </c>
      <c r="M16763">
        <v>0</v>
      </c>
      <c r="N16763">
        <v>5</v>
      </c>
      <c r="O16763" t="s">
        <v>11660</v>
      </c>
    </row>
    <row r="16764" spans="1:15">
      <c r="A16764" t="s">
        <v>52124</v>
      </c>
      <c r="B16764" t="s">
        <v>2975</v>
      </c>
      <c r="C16764" t="s">
        <v>26393</v>
      </c>
      <c r="D16764" t="s">
        <v>52125</v>
      </c>
      <c r="E16764" t="b">
        <v>0</v>
      </c>
      <c r="F16764" t="s">
        <v>11610</v>
      </c>
      <c r="L16764">
        <v>0</v>
      </c>
      <c r="M16764">
        <v>0</v>
      </c>
      <c r="N16764">
        <v>0</v>
      </c>
    </row>
    <row r="16765" spans="1:15">
      <c r="A16765" t="s">
        <v>52126</v>
      </c>
      <c r="B16765" t="s">
        <v>11627</v>
      </c>
      <c r="C16765" t="s">
        <v>11627</v>
      </c>
      <c r="D16765" t="s">
        <v>52127</v>
      </c>
      <c r="E16765" t="b">
        <v>1</v>
      </c>
      <c r="F16765" t="s">
        <v>11624</v>
      </c>
      <c r="I16765" t="s">
        <v>52128</v>
      </c>
      <c r="L16765">
        <v>0</v>
      </c>
      <c r="M16765">
        <v>0</v>
      </c>
      <c r="N16765">
        <v>0</v>
      </c>
    </row>
    <row r="16766" spans="1:15">
      <c r="A16766" t="s">
        <v>52129</v>
      </c>
      <c r="B16766" t="s">
        <v>367</v>
      </c>
      <c r="C16766" t="s">
        <v>21583</v>
      </c>
      <c r="D16766" t="s">
        <v>52130</v>
      </c>
      <c r="E16766" t="b">
        <v>0</v>
      </c>
      <c r="F16766" t="s">
        <v>11624</v>
      </c>
      <c r="G16766">
        <v>14.9603</v>
      </c>
      <c r="H16766">
        <v>120.502</v>
      </c>
      <c r="I16766" t="s">
        <v>52131</v>
      </c>
      <c r="L16766">
        <v>0</v>
      </c>
      <c r="M16766">
        <v>0</v>
      </c>
      <c r="N16766">
        <v>0</v>
      </c>
      <c r="O16766" t="s">
        <v>11749</v>
      </c>
    </row>
    <row r="16767" spans="1:15">
      <c r="A16767" t="s">
        <v>52132</v>
      </c>
      <c r="B16767" t="s">
        <v>367</v>
      </c>
      <c r="C16767" t="s">
        <v>15089</v>
      </c>
      <c r="D16767" t="s">
        <v>52133</v>
      </c>
      <c r="E16767" t="b">
        <v>0</v>
      </c>
      <c r="F16767" t="s">
        <v>11624</v>
      </c>
      <c r="G16767">
        <v>18.473800000000001</v>
      </c>
      <c r="H16767">
        <v>121.3</v>
      </c>
      <c r="I16767" t="s">
        <v>52134</v>
      </c>
      <c r="L16767">
        <v>0</v>
      </c>
      <c r="M16767">
        <v>0</v>
      </c>
      <c r="N16767">
        <v>0</v>
      </c>
      <c r="O16767" t="s">
        <v>11749</v>
      </c>
    </row>
    <row r="16768" spans="1:15">
      <c r="A16768" t="s">
        <v>52135</v>
      </c>
      <c r="B16768" t="s">
        <v>11615</v>
      </c>
      <c r="C16768" t="s">
        <v>28031</v>
      </c>
      <c r="D16768" t="s">
        <v>52136</v>
      </c>
      <c r="E16768" t="b">
        <v>0</v>
      </c>
      <c r="F16768" t="s">
        <v>11610</v>
      </c>
      <c r="L16768">
        <v>0</v>
      </c>
      <c r="M16768">
        <v>0</v>
      </c>
      <c r="N16768">
        <v>0</v>
      </c>
    </row>
    <row r="16769" spans="1:15">
      <c r="A16769" t="s">
        <v>52137</v>
      </c>
      <c r="B16769" t="s">
        <v>13360</v>
      </c>
      <c r="C16769" t="s">
        <v>13360</v>
      </c>
      <c r="D16769" t="s">
        <v>52138</v>
      </c>
      <c r="E16769" t="b">
        <v>0</v>
      </c>
      <c r="F16769" t="s">
        <v>11624</v>
      </c>
      <c r="L16769">
        <v>0</v>
      </c>
      <c r="M16769">
        <v>0</v>
      </c>
      <c r="N16769">
        <v>0</v>
      </c>
      <c r="O16769" t="s">
        <v>11944</v>
      </c>
    </row>
    <row r="16770" spans="1:15">
      <c r="A16770" t="s">
        <v>52139</v>
      </c>
      <c r="B16770" t="s">
        <v>11644</v>
      </c>
      <c r="C16770" t="s">
        <v>51991</v>
      </c>
      <c r="D16770" t="s">
        <v>52140</v>
      </c>
      <c r="E16770" t="b">
        <v>0</v>
      </c>
      <c r="F16770" t="s">
        <v>11610</v>
      </c>
      <c r="L16770">
        <v>0</v>
      </c>
      <c r="M16770">
        <v>0</v>
      </c>
      <c r="N16770">
        <v>0</v>
      </c>
    </row>
    <row r="16771" spans="1:15">
      <c r="A16771" t="s">
        <v>52141</v>
      </c>
      <c r="B16771" t="s">
        <v>11627</v>
      </c>
      <c r="C16771" t="s">
        <v>11627</v>
      </c>
      <c r="D16771" t="s">
        <v>52142</v>
      </c>
      <c r="E16771" t="b">
        <v>1</v>
      </c>
      <c r="F16771" t="s">
        <v>11624</v>
      </c>
      <c r="G16771">
        <v>30.7272</v>
      </c>
      <c r="H16771">
        <v>86.831699999999998</v>
      </c>
      <c r="I16771" t="s">
        <v>52143</v>
      </c>
      <c r="L16771">
        <v>0</v>
      </c>
      <c r="M16771">
        <v>0</v>
      </c>
      <c r="N16771">
        <v>0</v>
      </c>
      <c r="O16771" t="s">
        <v>11905</v>
      </c>
    </row>
    <row r="16772" spans="1:15">
      <c r="A16772" t="s">
        <v>29519</v>
      </c>
      <c r="B16772" t="s">
        <v>6742</v>
      </c>
      <c r="C16772" t="s">
        <v>35140</v>
      </c>
      <c r="D16772" t="s">
        <v>52144</v>
      </c>
      <c r="E16772" t="b">
        <v>0</v>
      </c>
      <c r="F16772" t="s">
        <v>11624</v>
      </c>
      <c r="G16772">
        <v>8.7151800000000001</v>
      </c>
      <c r="H16772">
        <v>13.600899999999999</v>
      </c>
      <c r="I16772" t="s">
        <v>52145</v>
      </c>
      <c r="L16772">
        <v>0</v>
      </c>
      <c r="M16772">
        <v>0</v>
      </c>
      <c r="N16772">
        <v>4</v>
      </c>
      <c r="O16772" t="s">
        <v>52146</v>
      </c>
    </row>
    <row r="16773" spans="1:15">
      <c r="A16773" t="s">
        <v>52147</v>
      </c>
      <c r="B16773" t="s">
        <v>6742</v>
      </c>
      <c r="C16773" t="s">
        <v>29519</v>
      </c>
      <c r="D16773" t="s">
        <v>52148</v>
      </c>
      <c r="E16773" t="b">
        <v>0</v>
      </c>
      <c r="F16773" t="s">
        <v>11610</v>
      </c>
      <c r="L16773">
        <v>0</v>
      </c>
      <c r="M16773">
        <v>0</v>
      </c>
      <c r="N16773">
        <v>0</v>
      </c>
    </row>
    <row r="16774" spans="1:15">
      <c r="A16774" t="s">
        <v>52149</v>
      </c>
      <c r="B16774" t="s">
        <v>6742</v>
      </c>
      <c r="C16774" t="s">
        <v>34364</v>
      </c>
      <c r="D16774" t="s">
        <v>52150</v>
      </c>
      <c r="E16774" t="b">
        <v>0</v>
      </c>
      <c r="F16774" t="s">
        <v>11624</v>
      </c>
      <c r="G16774">
        <v>13.350099999999999</v>
      </c>
      <c r="H16774">
        <v>-3.3668499999999999</v>
      </c>
      <c r="I16774" t="s">
        <v>52151</v>
      </c>
      <c r="L16774">
        <v>0</v>
      </c>
      <c r="M16774">
        <v>0</v>
      </c>
      <c r="N16774">
        <v>2</v>
      </c>
      <c r="O16774" t="s">
        <v>19384</v>
      </c>
    </row>
    <row r="16775" spans="1:15">
      <c r="A16775" t="s">
        <v>52152</v>
      </c>
      <c r="B16775" t="s">
        <v>6742</v>
      </c>
      <c r="C16775" t="s">
        <v>52149</v>
      </c>
      <c r="D16775" t="s">
        <v>52153</v>
      </c>
      <c r="E16775" t="b">
        <v>0</v>
      </c>
      <c r="F16775" t="s">
        <v>11610</v>
      </c>
      <c r="L16775">
        <v>0</v>
      </c>
      <c r="M16775">
        <v>0</v>
      </c>
      <c r="N16775">
        <v>0</v>
      </c>
    </row>
    <row r="16776" spans="1:15">
      <c r="A16776" t="s">
        <v>52154</v>
      </c>
      <c r="B16776" t="s">
        <v>6742</v>
      </c>
      <c r="C16776" t="s">
        <v>52149</v>
      </c>
      <c r="D16776" t="s">
        <v>52155</v>
      </c>
      <c r="E16776" t="b">
        <v>0</v>
      </c>
      <c r="F16776" t="s">
        <v>11610</v>
      </c>
      <c r="L16776">
        <v>0</v>
      </c>
      <c r="M16776">
        <v>0</v>
      </c>
      <c r="N16776">
        <v>0</v>
      </c>
    </row>
    <row r="16777" spans="1:15">
      <c r="A16777" t="s">
        <v>52156</v>
      </c>
      <c r="B16777" t="s">
        <v>6742</v>
      </c>
      <c r="C16777" t="s">
        <v>19804</v>
      </c>
      <c r="D16777" t="s">
        <v>52157</v>
      </c>
      <c r="E16777" t="b">
        <v>0</v>
      </c>
      <c r="F16777" t="s">
        <v>11624</v>
      </c>
      <c r="G16777">
        <v>10.008075</v>
      </c>
      <c r="H16777">
        <v>8.9862210000000005</v>
      </c>
      <c r="I16777" t="s">
        <v>52158</v>
      </c>
      <c r="L16777">
        <v>0</v>
      </c>
      <c r="M16777">
        <v>0</v>
      </c>
      <c r="N16777">
        <v>0</v>
      </c>
      <c r="O16777" t="s">
        <v>11693</v>
      </c>
    </row>
    <row r="16778" spans="1:15">
      <c r="A16778" t="s">
        <v>52159</v>
      </c>
      <c r="B16778" t="s">
        <v>11757</v>
      </c>
      <c r="C16778" t="s">
        <v>13126</v>
      </c>
      <c r="D16778" t="s">
        <v>52160</v>
      </c>
      <c r="E16778" t="b">
        <v>0</v>
      </c>
      <c r="F16778" t="s">
        <v>11610</v>
      </c>
      <c r="L16778">
        <v>0</v>
      </c>
      <c r="M16778">
        <v>0</v>
      </c>
      <c r="N16778">
        <v>0</v>
      </c>
    </row>
    <row r="16779" spans="1:15">
      <c r="A16779" t="s">
        <v>52161</v>
      </c>
      <c r="B16779" t="s">
        <v>367</v>
      </c>
      <c r="C16779" t="s">
        <v>47773</v>
      </c>
      <c r="D16779" t="s">
        <v>52162</v>
      </c>
      <c r="E16779" t="b">
        <v>0</v>
      </c>
      <c r="F16779" t="s">
        <v>11610</v>
      </c>
      <c r="L16779">
        <v>0</v>
      </c>
      <c r="M16779">
        <v>0</v>
      </c>
      <c r="N16779">
        <v>0</v>
      </c>
    </row>
    <row r="16780" spans="1:15">
      <c r="A16780" t="s">
        <v>52163</v>
      </c>
      <c r="B16780" t="s">
        <v>367</v>
      </c>
      <c r="C16780" t="s">
        <v>47773</v>
      </c>
      <c r="D16780" t="s">
        <v>52164</v>
      </c>
      <c r="E16780" t="b">
        <v>0</v>
      </c>
      <c r="F16780" t="s">
        <v>11610</v>
      </c>
      <c r="L16780">
        <v>0</v>
      </c>
      <c r="M16780">
        <v>0</v>
      </c>
      <c r="N16780">
        <v>0</v>
      </c>
    </row>
    <row r="16781" spans="1:15">
      <c r="A16781" t="s">
        <v>20028</v>
      </c>
      <c r="B16781" t="s">
        <v>367</v>
      </c>
      <c r="C16781" t="s">
        <v>52165</v>
      </c>
      <c r="D16781" t="s">
        <v>52166</v>
      </c>
      <c r="E16781" t="b">
        <v>0</v>
      </c>
      <c r="F16781" t="s">
        <v>11622</v>
      </c>
      <c r="L16781">
        <v>0</v>
      </c>
      <c r="M16781">
        <v>2</v>
      </c>
      <c r="N16781">
        <v>0</v>
      </c>
    </row>
    <row r="16782" spans="1:15">
      <c r="A16782" t="s">
        <v>52167</v>
      </c>
      <c r="B16782" t="s">
        <v>367</v>
      </c>
      <c r="C16782" t="s">
        <v>20028</v>
      </c>
      <c r="D16782" t="s">
        <v>52168</v>
      </c>
      <c r="E16782" t="b">
        <v>0</v>
      </c>
      <c r="F16782" t="s">
        <v>11624</v>
      </c>
      <c r="G16782">
        <v>-2.2404899999999999</v>
      </c>
      <c r="H16782">
        <v>119.65</v>
      </c>
      <c r="I16782" t="s">
        <v>52169</v>
      </c>
      <c r="L16782">
        <v>0</v>
      </c>
      <c r="M16782">
        <v>0</v>
      </c>
      <c r="N16782">
        <v>0</v>
      </c>
      <c r="O16782" t="s">
        <v>11768</v>
      </c>
    </row>
    <row r="16783" spans="1:15">
      <c r="A16783" t="s">
        <v>52170</v>
      </c>
      <c r="B16783" t="s">
        <v>17576</v>
      </c>
      <c r="C16783" t="s">
        <v>43495</v>
      </c>
      <c r="D16783" t="s">
        <v>52171</v>
      </c>
      <c r="E16783" t="b">
        <v>0</v>
      </c>
      <c r="F16783" t="s">
        <v>11610</v>
      </c>
      <c r="L16783">
        <v>0</v>
      </c>
      <c r="M16783">
        <v>0</v>
      </c>
      <c r="N16783">
        <v>0</v>
      </c>
    </row>
    <row r="16784" spans="1:15">
      <c r="A16784" t="s">
        <v>52172</v>
      </c>
      <c r="B16784" t="s">
        <v>12751</v>
      </c>
      <c r="C16784" t="s">
        <v>21690</v>
      </c>
      <c r="D16784" t="s">
        <v>52173</v>
      </c>
      <c r="E16784" t="b">
        <v>0</v>
      </c>
      <c r="F16784" t="s">
        <v>11624</v>
      </c>
      <c r="G16784">
        <v>36.000700000000002</v>
      </c>
      <c r="H16784">
        <v>-117.901</v>
      </c>
      <c r="I16784" t="s">
        <v>52174</v>
      </c>
      <c r="L16784">
        <v>0</v>
      </c>
      <c r="M16784">
        <v>0</v>
      </c>
      <c r="N16784">
        <v>0</v>
      </c>
      <c r="O16784" t="s">
        <v>11944</v>
      </c>
    </row>
    <row r="16785" spans="1:15">
      <c r="A16785" t="s">
        <v>52175</v>
      </c>
      <c r="B16785" t="s">
        <v>141</v>
      </c>
      <c r="C16785" t="s">
        <v>14134</v>
      </c>
      <c r="D16785" t="s">
        <v>52176</v>
      </c>
      <c r="E16785" t="b">
        <v>0</v>
      </c>
      <c r="F16785" t="s">
        <v>11624</v>
      </c>
      <c r="G16785">
        <v>-9.8588699999999996</v>
      </c>
      <c r="H16785">
        <v>-75.438199999999995</v>
      </c>
      <c r="I16785" t="s">
        <v>52177</v>
      </c>
      <c r="L16785">
        <v>0</v>
      </c>
      <c r="M16785">
        <v>0</v>
      </c>
      <c r="N16785">
        <v>0</v>
      </c>
      <c r="O16785" t="s">
        <v>11778</v>
      </c>
    </row>
    <row r="16786" spans="1:15">
      <c r="A16786" t="s">
        <v>52178</v>
      </c>
      <c r="B16786" t="s">
        <v>11965</v>
      </c>
      <c r="C16786" t="s">
        <v>23431</v>
      </c>
      <c r="D16786" t="s">
        <v>52179</v>
      </c>
      <c r="E16786" t="b">
        <v>0</v>
      </c>
      <c r="F16786" t="s">
        <v>11624</v>
      </c>
      <c r="G16786">
        <v>-10.58</v>
      </c>
      <c r="H16786">
        <v>-53</v>
      </c>
      <c r="I16786" t="s">
        <v>52180</v>
      </c>
      <c r="L16786">
        <v>0</v>
      </c>
      <c r="M16786">
        <v>0</v>
      </c>
      <c r="N16786">
        <v>0</v>
      </c>
      <c r="O16786" t="s">
        <v>11969</v>
      </c>
    </row>
    <row r="16787" spans="1:15">
      <c r="A16787" t="s">
        <v>52181</v>
      </c>
      <c r="B16787" t="s">
        <v>11981</v>
      </c>
      <c r="C16787" t="s">
        <v>22722</v>
      </c>
      <c r="D16787" t="s">
        <v>52182</v>
      </c>
      <c r="E16787" t="b">
        <v>0</v>
      </c>
      <c r="F16787" t="s">
        <v>11624</v>
      </c>
      <c r="G16787">
        <v>8.9666669999999993</v>
      </c>
      <c r="H16787">
        <v>-79.533332999999999</v>
      </c>
      <c r="I16787" t="s">
        <v>52183</v>
      </c>
      <c r="L16787">
        <v>0</v>
      </c>
      <c r="M16787">
        <v>0</v>
      </c>
      <c r="N16787">
        <v>0</v>
      </c>
      <c r="O16787" t="s">
        <v>20095</v>
      </c>
    </row>
    <row r="16788" spans="1:15">
      <c r="A16788" t="s">
        <v>27108</v>
      </c>
      <c r="B16788" t="s">
        <v>9578</v>
      </c>
      <c r="C16788" t="s">
        <v>15066</v>
      </c>
      <c r="D16788" t="s">
        <v>52184</v>
      </c>
      <c r="E16788" t="b">
        <v>0</v>
      </c>
      <c r="F16788" t="s">
        <v>11622</v>
      </c>
      <c r="L16788">
        <v>0</v>
      </c>
      <c r="M16788">
        <v>2</v>
      </c>
      <c r="N16788">
        <v>0</v>
      </c>
    </row>
    <row r="16789" spans="1:15">
      <c r="A16789" t="s">
        <v>52185</v>
      </c>
      <c r="B16789" t="s">
        <v>5058</v>
      </c>
      <c r="C16789" t="s">
        <v>31405</v>
      </c>
      <c r="D16789" t="s">
        <v>52186</v>
      </c>
      <c r="E16789" t="b">
        <v>0</v>
      </c>
      <c r="F16789" t="s">
        <v>11624</v>
      </c>
      <c r="L16789">
        <v>0</v>
      </c>
      <c r="M16789">
        <v>0</v>
      </c>
      <c r="N16789">
        <v>0</v>
      </c>
      <c r="O16789" t="s">
        <v>11905</v>
      </c>
    </row>
    <row r="16790" spans="1:15">
      <c r="A16790" t="s">
        <v>52187</v>
      </c>
      <c r="B16790" t="s">
        <v>13450</v>
      </c>
      <c r="C16790" t="s">
        <v>52188</v>
      </c>
      <c r="D16790" t="s">
        <v>52189</v>
      </c>
      <c r="E16790" t="b">
        <v>0</v>
      </c>
      <c r="F16790" t="s">
        <v>11624</v>
      </c>
      <c r="L16790">
        <v>0</v>
      </c>
      <c r="M16790">
        <v>0</v>
      </c>
      <c r="N16790">
        <v>0</v>
      </c>
      <c r="O16790" t="s">
        <v>16711</v>
      </c>
    </row>
    <row r="16791" spans="1:15">
      <c r="A16791" t="s">
        <v>52190</v>
      </c>
      <c r="B16791" t="s">
        <v>13360</v>
      </c>
      <c r="C16791" t="s">
        <v>13360</v>
      </c>
      <c r="D16791" t="s">
        <v>52191</v>
      </c>
      <c r="E16791" t="b">
        <v>0</v>
      </c>
      <c r="F16791" t="s">
        <v>11624</v>
      </c>
      <c r="L16791">
        <v>0</v>
      </c>
      <c r="M16791">
        <v>0</v>
      </c>
      <c r="N16791">
        <v>0</v>
      </c>
      <c r="O16791" t="s">
        <v>11898</v>
      </c>
    </row>
    <row r="16792" spans="1:15">
      <c r="A16792" t="s">
        <v>52192</v>
      </c>
      <c r="B16792" t="s">
        <v>11637</v>
      </c>
      <c r="C16792" t="s">
        <v>1273</v>
      </c>
      <c r="D16792" t="s">
        <v>52193</v>
      </c>
      <c r="E16792" t="b">
        <v>0</v>
      </c>
      <c r="F16792" t="s">
        <v>11610</v>
      </c>
      <c r="L16792">
        <v>0</v>
      </c>
      <c r="M16792">
        <v>0</v>
      </c>
      <c r="N16792">
        <v>0</v>
      </c>
    </row>
    <row r="16793" spans="1:15">
      <c r="A16793" t="s">
        <v>52194</v>
      </c>
      <c r="B16793" t="s">
        <v>11637</v>
      </c>
      <c r="C16793" t="s">
        <v>26514</v>
      </c>
      <c r="D16793" t="s">
        <v>52195</v>
      </c>
      <c r="E16793" t="b">
        <v>0</v>
      </c>
      <c r="F16793" t="s">
        <v>11624</v>
      </c>
      <c r="G16793">
        <v>23.446999999999999</v>
      </c>
      <c r="H16793">
        <v>85.796599999999998</v>
      </c>
      <c r="I16793" t="s">
        <v>52196</v>
      </c>
      <c r="L16793">
        <v>0</v>
      </c>
      <c r="M16793">
        <v>0</v>
      </c>
      <c r="N16793">
        <v>0</v>
      </c>
      <c r="O16793" t="s">
        <v>11630</v>
      </c>
    </row>
    <row r="16794" spans="1:15">
      <c r="A16794" t="s">
        <v>34420</v>
      </c>
      <c r="B16794" t="s">
        <v>367</v>
      </c>
      <c r="C16794" t="s">
        <v>36598</v>
      </c>
      <c r="D16794" t="s">
        <v>52197</v>
      </c>
      <c r="E16794" t="b">
        <v>0</v>
      </c>
      <c r="F16794" t="s">
        <v>11624</v>
      </c>
      <c r="G16794">
        <v>-5.2958699999999999</v>
      </c>
      <c r="H16794">
        <v>122.968</v>
      </c>
      <c r="I16794" t="s">
        <v>52198</v>
      </c>
      <c r="L16794">
        <v>0</v>
      </c>
      <c r="M16794">
        <v>0</v>
      </c>
      <c r="N16794">
        <v>3</v>
      </c>
      <c r="O16794" t="s">
        <v>11768</v>
      </c>
    </row>
    <row r="16795" spans="1:15">
      <c r="A16795" t="s">
        <v>52199</v>
      </c>
      <c r="B16795" t="s">
        <v>11637</v>
      </c>
      <c r="C16795" t="s">
        <v>12947</v>
      </c>
      <c r="D16795" t="s">
        <v>52200</v>
      </c>
      <c r="E16795" t="b">
        <v>0</v>
      </c>
      <c r="F16795" t="s">
        <v>11610</v>
      </c>
      <c r="L16795">
        <v>0</v>
      </c>
      <c r="M16795">
        <v>0</v>
      </c>
      <c r="N16795">
        <v>0</v>
      </c>
    </row>
    <row r="16796" spans="1:15">
      <c r="A16796" t="s">
        <v>52201</v>
      </c>
      <c r="B16796" t="s">
        <v>5126</v>
      </c>
      <c r="C16796" t="s">
        <v>14064</v>
      </c>
      <c r="D16796" t="s">
        <v>52202</v>
      </c>
      <c r="E16796" t="b">
        <v>0</v>
      </c>
      <c r="F16796" t="s">
        <v>11610</v>
      </c>
      <c r="L16796">
        <v>0</v>
      </c>
      <c r="M16796">
        <v>0</v>
      </c>
      <c r="N16796">
        <v>0</v>
      </c>
    </row>
    <row r="16797" spans="1:15">
      <c r="A16797" t="s">
        <v>52203</v>
      </c>
      <c r="B16797" t="s">
        <v>6742</v>
      </c>
      <c r="C16797" t="s">
        <v>17687</v>
      </c>
      <c r="D16797" t="s">
        <v>52204</v>
      </c>
      <c r="E16797" t="b">
        <v>0</v>
      </c>
      <c r="F16797" t="s">
        <v>11610</v>
      </c>
      <c r="L16797">
        <v>0</v>
      </c>
      <c r="M16797">
        <v>0</v>
      </c>
      <c r="N16797">
        <v>0</v>
      </c>
    </row>
    <row r="16798" spans="1:15">
      <c r="A16798" t="s">
        <v>19108</v>
      </c>
      <c r="B16798" t="s">
        <v>6742</v>
      </c>
      <c r="C16798" t="s">
        <v>20731</v>
      </c>
      <c r="D16798" t="s">
        <v>52205</v>
      </c>
      <c r="E16798" t="b">
        <v>0</v>
      </c>
      <c r="F16798" t="s">
        <v>11624</v>
      </c>
      <c r="G16798">
        <v>3.5793499999999998</v>
      </c>
      <c r="H16798">
        <v>16.227540000000001</v>
      </c>
      <c r="I16798" t="s">
        <v>52206</v>
      </c>
      <c r="L16798">
        <v>0</v>
      </c>
      <c r="M16798">
        <v>0</v>
      </c>
      <c r="N16798">
        <v>2</v>
      </c>
      <c r="O16798" t="s">
        <v>16548</v>
      </c>
    </row>
    <row r="16799" spans="1:15">
      <c r="A16799" t="s">
        <v>52207</v>
      </c>
      <c r="B16799" t="s">
        <v>11729</v>
      </c>
      <c r="C16799" t="s">
        <v>1881</v>
      </c>
      <c r="D16799" t="s">
        <v>52208</v>
      </c>
      <c r="E16799" t="b">
        <v>0</v>
      </c>
      <c r="F16799" t="s">
        <v>11610</v>
      </c>
      <c r="L16799">
        <v>0</v>
      </c>
      <c r="M16799">
        <v>0</v>
      </c>
      <c r="N16799">
        <v>0</v>
      </c>
    </row>
    <row r="16800" spans="1:15">
      <c r="A16800" t="s">
        <v>52209</v>
      </c>
      <c r="B16800" t="s">
        <v>367</v>
      </c>
      <c r="C16800" t="s">
        <v>13941</v>
      </c>
      <c r="D16800" t="s">
        <v>52210</v>
      </c>
      <c r="E16800" t="b">
        <v>0</v>
      </c>
      <c r="F16800" t="s">
        <v>11610</v>
      </c>
      <c r="L16800">
        <v>0</v>
      </c>
      <c r="M16800">
        <v>0</v>
      </c>
      <c r="N16800">
        <v>0</v>
      </c>
    </row>
    <row r="16801" spans="1:15">
      <c r="A16801" t="s">
        <v>52211</v>
      </c>
      <c r="B16801" t="s">
        <v>367</v>
      </c>
      <c r="C16801" t="s">
        <v>23934</v>
      </c>
      <c r="D16801" t="s">
        <v>52212</v>
      </c>
      <c r="E16801" t="b">
        <v>0</v>
      </c>
      <c r="F16801" t="s">
        <v>11610</v>
      </c>
      <c r="L16801">
        <v>0</v>
      </c>
      <c r="M16801">
        <v>0</v>
      </c>
      <c r="N16801">
        <v>0</v>
      </c>
    </row>
    <row r="16802" spans="1:15">
      <c r="A16802" t="s">
        <v>52213</v>
      </c>
      <c r="B16802" t="s">
        <v>11637</v>
      </c>
      <c r="C16802" t="s">
        <v>18246</v>
      </c>
      <c r="D16802" t="s">
        <v>52214</v>
      </c>
      <c r="E16802" t="b">
        <v>0</v>
      </c>
      <c r="F16802" t="s">
        <v>11624</v>
      </c>
      <c r="G16802">
        <v>32.975299999999997</v>
      </c>
      <c r="H16802">
        <v>76.556899999999999</v>
      </c>
      <c r="I16802" t="s">
        <v>52215</v>
      </c>
      <c r="L16802">
        <v>0</v>
      </c>
      <c r="M16802">
        <v>0</v>
      </c>
      <c r="N16802">
        <v>0</v>
      </c>
      <c r="O16802" t="s">
        <v>11630</v>
      </c>
    </row>
    <row r="16803" spans="1:15">
      <c r="A16803" t="s">
        <v>52216</v>
      </c>
      <c r="B16803" t="s">
        <v>11644</v>
      </c>
      <c r="C16803" t="s">
        <v>20791</v>
      </c>
      <c r="D16803" t="s">
        <v>52217</v>
      </c>
      <c r="E16803" t="b">
        <v>0</v>
      </c>
      <c r="F16803" t="s">
        <v>11610</v>
      </c>
      <c r="L16803">
        <v>0</v>
      </c>
      <c r="M16803">
        <v>0</v>
      </c>
      <c r="N16803">
        <v>0</v>
      </c>
    </row>
    <row r="16804" spans="1:15">
      <c r="A16804" t="s">
        <v>52218</v>
      </c>
      <c r="B16804" t="s">
        <v>11644</v>
      </c>
      <c r="C16804" t="s">
        <v>2166</v>
      </c>
      <c r="D16804" t="s">
        <v>52219</v>
      </c>
      <c r="E16804" t="b">
        <v>0</v>
      </c>
      <c r="F16804" t="s">
        <v>11610</v>
      </c>
      <c r="L16804">
        <v>0</v>
      </c>
      <c r="M16804">
        <v>0</v>
      </c>
      <c r="N16804">
        <v>0</v>
      </c>
    </row>
    <row r="16805" spans="1:15">
      <c r="A16805" t="s">
        <v>52220</v>
      </c>
      <c r="B16805" t="s">
        <v>11644</v>
      </c>
      <c r="C16805" t="s">
        <v>24006</v>
      </c>
      <c r="D16805" t="s">
        <v>52221</v>
      </c>
      <c r="E16805" t="b">
        <v>0</v>
      </c>
      <c r="F16805" t="s">
        <v>11610</v>
      </c>
      <c r="L16805">
        <v>0</v>
      </c>
      <c r="M16805">
        <v>0</v>
      </c>
      <c r="N16805">
        <v>0</v>
      </c>
    </row>
    <row r="16806" spans="1:15">
      <c r="A16806" t="s">
        <v>33346</v>
      </c>
      <c r="B16806" t="s">
        <v>6742</v>
      </c>
      <c r="C16806" t="s">
        <v>45722</v>
      </c>
      <c r="D16806" t="s">
        <v>52222</v>
      </c>
      <c r="E16806" t="b">
        <v>0</v>
      </c>
      <c r="F16806" t="s">
        <v>11624</v>
      </c>
      <c r="G16806">
        <v>9.3040000000000003</v>
      </c>
      <c r="H16806">
        <v>11.196</v>
      </c>
      <c r="I16806" t="s">
        <v>52223</v>
      </c>
      <c r="L16806">
        <v>0</v>
      </c>
      <c r="M16806">
        <v>0</v>
      </c>
      <c r="N16806">
        <v>3</v>
      </c>
      <c r="O16806" t="s">
        <v>11693</v>
      </c>
    </row>
    <row r="16807" spans="1:15">
      <c r="A16807" t="s">
        <v>36545</v>
      </c>
      <c r="B16807" t="s">
        <v>6742</v>
      </c>
      <c r="C16807" t="s">
        <v>36696</v>
      </c>
      <c r="D16807" t="s">
        <v>52224</v>
      </c>
      <c r="E16807" t="b">
        <v>0</v>
      </c>
      <c r="F16807" t="s">
        <v>11624</v>
      </c>
      <c r="G16807">
        <v>-9.9678199999999997</v>
      </c>
      <c r="H16807">
        <v>34.803899999999999</v>
      </c>
      <c r="I16807" t="s">
        <v>52225</v>
      </c>
      <c r="L16807">
        <v>0</v>
      </c>
      <c r="M16807">
        <v>0</v>
      </c>
      <c r="N16807">
        <v>1</v>
      </c>
      <c r="O16807" t="s">
        <v>11635</v>
      </c>
    </row>
    <row r="16808" spans="1:15">
      <c r="A16808" t="s">
        <v>52226</v>
      </c>
      <c r="B16808" t="s">
        <v>6742</v>
      </c>
      <c r="C16808" t="s">
        <v>5545</v>
      </c>
      <c r="D16808" t="s">
        <v>52227</v>
      </c>
      <c r="E16808" t="b">
        <v>0</v>
      </c>
      <c r="F16808" t="s">
        <v>11610</v>
      </c>
      <c r="L16808">
        <v>0</v>
      </c>
      <c r="M16808">
        <v>0</v>
      </c>
      <c r="N16808">
        <v>0</v>
      </c>
    </row>
    <row r="16809" spans="1:15">
      <c r="A16809" t="s">
        <v>52228</v>
      </c>
      <c r="B16809" t="s">
        <v>367</v>
      </c>
      <c r="C16809" t="s">
        <v>27506</v>
      </c>
      <c r="D16809" t="s">
        <v>52229</v>
      </c>
      <c r="E16809" t="b">
        <v>0</v>
      </c>
      <c r="F16809" t="s">
        <v>11610</v>
      </c>
      <c r="L16809">
        <v>0</v>
      </c>
      <c r="M16809">
        <v>0</v>
      </c>
      <c r="N16809">
        <v>0</v>
      </c>
    </row>
    <row r="16810" spans="1:15">
      <c r="A16810" t="s">
        <v>52230</v>
      </c>
      <c r="B16810" t="s">
        <v>367</v>
      </c>
      <c r="C16810" t="s">
        <v>49870</v>
      </c>
      <c r="D16810" t="s">
        <v>52231</v>
      </c>
      <c r="E16810" t="b">
        <v>0</v>
      </c>
      <c r="F16810" t="s">
        <v>11624</v>
      </c>
      <c r="G16810">
        <v>15.9377</v>
      </c>
      <c r="H16810">
        <v>120.36499999999999</v>
      </c>
      <c r="I16810" t="s">
        <v>52232</v>
      </c>
      <c r="L16810">
        <v>0</v>
      </c>
      <c r="M16810">
        <v>0</v>
      </c>
      <c r="N16810">
        <v>0</v>
      </c>
      <c r="O16810" t="s">
        <v>11749</v>
      </c>
    </row>
    <row r="16811" spans="1:15">
      <c r="A16811" t="s">
        <v>52233</v>
      </c>
      <c r="B16811" t="s">
        <v>367</v>
      </c>
      <c r="C16811" t="s">
        <v>19618</v>
      </c>
      <c r="D16811" t="s">
        <v>52234</v>
      </c>
      <c r="E16811" t="b">
        <v>0</v>
      </c>
      <c r="F16811" t="s">
        <v>11624</v>
      </c>
      <c r="G16811">
        <v>6.2716700000000003</v>
      </c>
      <c r="H16811">
        <v>120.536</v>
      </c>
      <c r="I16811" t="s">
        <v>52235</v>
      </c>
      <c r="L16811">
        <v>0</v>
      </c>
      <c r="M16811">
        <v>0</v>
      </c>
      <c r="N16811">
        <v>0</v>
      </c>
      <c r="O16811" t="s">
        <v>11749</v>
      </c>
    </row>
    <row r="16812" spans="1:15">
      <c r="A16812" t="s">
        <v>52236</v>
      </c>
      <c r="B16812" t="s">
        <v>367</v>
      </c>
      <c r="C16812" t="s">
        <v>17148</v>
      </c>
      <c r="D16812" t="s">
        <v>52237</v>
      </c>
      <c r="E16812" t="b">
        <v>0</v>
      </c>
      <c r="F16812" t="s">
        <v>11610</v>
      </c>
      <c r="L16812">
        <v>0</v>
      </c>
      <c r="M16812">
        <v>0</v>
      </c>
      <c r="N16812">
        <v>0</v>
      </c>
    </row>
    <row r="16813" spans="1:15">
      <c r="A16813" t="s">
        <v>52238</v>
      </c>
      <c r="B16813" t="s">
        <v>367</v>
      </c>
      <c r="C16813" t="s">
        <v>39155</v>
      </c>
      <c r="D16813" t="s">
        <v>52239</v>
      </c>
      <c r="E16813" t="b">
        <v>0</v>
      </c>
      <c r="F16813" t="s">
        <v>11610</v>
      </c>
      <c r="L16813">
        <v>0</v>
      </c>
      <c r="M16813">
        <v>0</v>
      </c>
      <c r="N16813">
        <v>0</v>
      </c>
    </row>
    <row r="16814" spans="1:15">
      <c r="A16814" t="s">
        <v>52240</v>
      </c>
      <c r="B16814" t="s">
        <v>11839</v>
      </c>
      <c r="C16814" t="s">
        <v>29025</v>
      </c>
      <c r="D16814" t="s">
        <v>52241</v>
      </c>
      <c r="E16814" t="b">
        <v>0</v>
      </c>
      <c r="F16814" t="s">
        <v>11610</v>
      </c>
      <c r="L16814">
        <v>0</v>
      </c>
      <c r="M16814">
        <v>0</v>
      </c>
      <c r="N16814">
        <v>0</v>
      </c>
    </row>
    <row r="16815" spans="1:15">
      <c r="A16815" t="s">
        <v>52242</v>
      </c>
      <c r="B16815" t="s">
        <v>11844</v>
      </c>
      <c r="C16815" t="s">
        <v>52243</v>
      </c>
      <c r="D16815" t="s">
        <v>52244</v>
      </c>
      <c r="E16815" t="b">
        <v>0</v>
      </c>
      <c r="F16815" t="s">
        <v>11624</v>
      </c>
      <c r="G16815">
        <v>11.7318</v>
      </c>
      <c r="H16815">
        <v>76.0779</v>
      </c>
      <c r="I16815" t="s">
        <v>52245</v>
      </c>
      <c r="L16815">
        <v>0</v>
      </c>
      <c r="M16815">
        <v>0</v>
      </c>
      <c r="N16815">
        <v>0</v>
      </c>
      <c r="O16815" t="s">
        <v>11630</v>
      </c>
    </row>
    <row r="16816" spans="1:15">
      <c r="A16816" t="s">
        <v>52246</v>
      </c>
      <c r="B16816" t="s">
        <v>11844</v>
      </c>
      <c r="C16816" t="s">
        <v>12090</v>
      </c>
      <c r="D16816" t="s">
        <v>52247</v>
      </c>
      <c r="E16816" t="b">
        <v>0</v>
      </c>
      <c r="F16816" t="s">
        <v>11610</v>
      </c>
      <c r="L16816">
        <v>0</v>
      </c>
      <c r="M16816">
        <v>0</v>
      </c>
      <c r="N16816">
        <v>0</v>
      </c>
    </row>
    <row r="16817" spans="1:15">
      <c r="A16817" t="s">
        <v>52248</v>
      </c>
      <c r="B16817" t="s">
        <v>11615</v>
      </c>
      <c r="C16817" t="s">
        <v>17519</v>
      </c>
      <c r="D16817" t="s">
        <v>52249</v>
      </c>
      <c r="E16817" t="b">
        <v>0</v>
      </c>
      <c r="F16817" t="s">
        <v>11624</v>
      </c>
      <c r="G16817">
        <v>-5.2138799999999996</v>
      </c>
      <c r="H16817">
        <v>145.75200000000001</v>
      </c>
      <c r="I16817" t="s">
        <v>52250</v>
      </c>
      <c r="L16817">
        <v>0</v>
      </c>
      <c r="M16817">
        <v>0</v>
      </c>
      <c r="N16817">
        <v>0</v>
      </c>
      <c r="O16817" t="s">
        <v>11660</v>
      </c>
    </row>
    <row r="16818" spans="1:15">
      <c r="A16818" t="s">
        <v>15225</v>
      </c>
      <c r="B16818" t="s">
        <v>11615</v>
      </c>
      <c r="C16818" t="s">
        <v>11615</v>
      </c>
      <c r="D16818" t="s">
        <v>52251</v>
      </c>
      <c r="E16818" t="b">
        <v>0</v>
      </c>
      <c r="F16818" t="s">
        <v>11622</v>
      </c>
      <c r="L16818">
        <v>1</v>
      </c>
      <c r="M16818">
        <v>5</v>
      </c>
      <c r="N16818">
        <v>5</v>
      </c>
    </row>
    <row r="16819" spans="1:15">
      <c r="A16819" t="s">
        <v>52252</v>
      </c>
      <c r="B16819" t="s">
        <v>51855</v>
      </c>
      <c r="C16819" t="s">
        <v>51855</v>
      </c>
      <c r="D16819" t="s">
        <v>52253</v>
      </c>
      <c r="E16819" t="b">
        <v>0</v>
      </c>
      <c r="F16819" t="s">
        <v>11610</v>
      </c>
      <c r="L16819">
        <v>0</v>
      </c>
      <c r="M16819">
        <v>0</v>
      </c>
      <c r="N16819">
        <v>0</v>
      </c>
    </row>
    <row r="16820" spans="1:15">
      <c r="A16820" t="s">
        <v>52254</v>
      </c>
      <c r="B16820" t="s">
        <v>11879</v>
      </c>
      <c r="C16820" t="s">
        <v>52255</v>
      </c>
      <c r="D16820" t="s">
        <v>52256</v>
      </c>
      <c r="E16820" t="b">
        <v>0</v>
      </c>
      <c r="F16820" t="s">
        <v>11610</v>
      </c>
      <c r="L16820">
        <v>0</v>
      </c>
      <c r="M16820">
        <v>0</v>
      </c>
      <c r="N16820">
        <v>0</v>
      </c>
    </row>
    <row r="16821" spans="1:15">
      <c r="A16821" t="s">
        <v>17519</v>
      </c>
      <c r="B16821" t="s">
        <v>11615</v>
      </c>
      <c r="C16821" t="s">
        <v>13430</v>
      </c>
      <c r="D16821" t="s">
        <v>52257</v>
      </c>
      <c r="E16821" t="b">
        <v>0</v>
      </c>
      <c r="F16821" t="s">
        <v>11622</v>
      </c>
      <c r="L16821">
        <v>0</v>
      </c>
      <c r="M16821">
        <v>3</v>
      </c>
      <c r="N16821">
        <v>3</v>
      </c>
    </row>
    <row r="16822" spans="1:15">
      <c r="A16822" t="s">
        <v>8925</v>
      </c>
      <c r="B16822" t="s">
        <v>11637</v>
      </c>
      <c r="C16822" t="s">
        <v>26518</v>
      </c>
      <c r="D16822" t="s">
        <v>52258</v>
      </c>
      <c r="E16822" t="b">
        <v>0</v>
      </c>
      <c r="F16822" t="s">
        <v>11624</v>
      </c>
      <c r="G16822">
        <v>30.036799999999999</v>
      </c>
      <c r="H16822">
        <v>75.670199999999994</v>
      </c>
      <c r="I16822" t="s">
        <v>52259</v>
      </c>
      <c r="L16822">
        <v>0</v>
      </c>
      <c r="M16822">
        <v>0</v>
      </c>
      <c r="N16822">
        <v>7</v>
      </c>
      <c r="O16822" t="s">
        <v>30035</v>
      </c>
    </row>
    <row r="16823" spans="1:15">
      <c r="A16823" t="s">
        <v>52260</v>
      </c>
      <c r="B16823" t="s">
        <v>11637</v>
      </c>
      <c r="C16823" t="s">
        <v>8925</v>
      </c>
      <c r="D16823" t="s">
        <v>52261</v>
      </c>
      <c r="E16823" t="b">
        <v>0</v>
      </c>
      <c r="F16823" t="s">
        <v>11610</v>
      </c>
      <c r="L16823">
        <v>0</v>
      </c>
      <c r="M16823">
        <v>0</v>
      </c>
      <c r="N16823">
        <v>0</v>
      </c>
    </row>
    <row r="16824" spans="1:15">
      <c r="A16824" t="s">
        <v>52262</v>
      </c>
      <c r="B16824" t="s">
        <v>11844</v>
      </c>
      <c r="C16824" t="s">
        <v>12090</v>
      </c>
      <c r="D16824" t="s">
        <v>52263</v>
      </c>
      <c r="E16824" t="b">
        <v>0</v>
      </c>
      <c r="F16824" t="s">
        <v>11610</v>
      </c>
      <c r="L16824">
        <v>0</v>
      </c>
      <c r="M16824">
        <v>0</v>
      </c>
      <c r="N16824">
        <v>0</v>
      </c>
    </row>
    <row r="16825" spans="1:15">
      <c r="A16825" t="s">
        <v>44687</v>
      </c>
      <c r="B16825" t="s">
        <v>11637</v>
      </c>
      <c r="C16825" t="s">
        <v>31170</v>
      </c>
      <c r="D16825" t="s">
        <v>52264</v>
      </c>
      <c r="E16825" t="b">
        <v>0</v>
      </c>
      <c r="F16825" t="s">
        <v>11622</v>
      </c>
      <c r="L16825">
        <v>0</v>
      </c>
      <c r="M16825">
        <v>2</v>
      </c>
      <c r="N16825">
        <v>0</v>
      </c>
    </row>
    <row r="16826" spans="1:15">
      <c r="A16826" t="s">
        <v>52265</v>
      </c>
      <c r="B16826" t="s">
        <v>12241</v>
      </c>
      <c r="C16826" t="s">
        <v>12241</v>
      </c>
      <c r="D16826" t="s">
        <v>52266</v>
      </c>
      <c r="E16826" t="b">
        <v>0</v>
      </c>
      <c r="F16826" t="s">
        <v>11624</v>
      </c>
      <c r="G16826">
        <v>-9.0833200000000005</v>
      </c>
      <c r="H16826">
        <v>-39.666699999999999</v>
      </c>
      <c r="I16826" t="s">
        <v>52267</v>
      </c>
      <c r="L16826">
        <v>0</v>
      </c>
      <c r="M16826">
        <v>0</v>
      </c>
      <c r="N16826">
        <v>0</v>
      </c>
      <c r="O16826" t="s">
        <v>11969</v>
      </c>
    </row>
    <row r="16827" spans="1:15">
      <c r="A16827" t="s">
        <v>52268</v>
      </c>
      <c r="B16827" t="s">
        <v>11644</v>
      </c>
      <c r="C16827" t="s">
        <v>21425</v>
      </c>
      <c r="D16827" t="s">
        <v>52269</v>
      </c>
      <c r="E16827" t="b">
        <v>0</v>
      </c>
      <c r="F16827" t="s">
        <v>11624</v>
      </c>
      <c r="G16827">
        <v>22.6797</v>
      </c>
      <c r="H16827">
        <v>92.946100000000001</v>
      </c>
      <c r="I16827" t="s">
        <v>52270</v>
      </c>
      <c r="L16827">
        <v>0</v>
      </c>
      <c r="M16827">
        <v>0</v>
      </c>
      <c r="N16827">
        <v>0</v>
      </c>
      <c r="O16827" t="s">
        <v>17541</v>
      </c>
    </row>
    <row r="16828" spans="1:15">
      <c r="A16828" t="s">
        <v>52271</v>
      </c>
      <c r="D16828" t="s">
        <v>52272</v>
      </c>
      <c r="E16828" t="b">
        <v>0</v>
      </c>
      <c r="F16828" t="s">
        <v>11624</v>
      </c>
      <c r="G16828">
        <v>-8.9999900000000004</v>
      </c>
      <c r="H16828">
        <v>-37.0167</v>
      </c>
      <c r="I16828" t="s">
        <v>52273</v>
      </c>
      <c r="L16828">
        <v>0</v>
      </c>
      <c r="M16828">
        <v>0</v>
      </c>
      <c r="N16828">
        <v>0</v>
      </c>
      <c r="O16828" t="s">
        <v>11969</v>
      </c>
    </row>
    <row r="16829" spans="1:15">
      <c r="A16829" t="s">
        <v>20273</v>
      </c>
      <c r="B16829" t="s">
        <v>367</v>
      </c>
      <c r="C16829" t="s">
        <v>23893</v>
      </c>
      <c r="D16829" t="s">
        <v>52274</v>
      </c>
      <c r="E16829" t="b">
        <v>0</v>
      </c>
      <c r="F16829" t="s">
        <v>11624</v>
      </c>
      <c r="G16829">
        <v>-3.2197300000000002</v>
      </c>
      <c r="H16829">
        <v>119.191</v>
      </c>
      <c r="I16829" t="s">
        <v>52275</v>
      </c>
      <c r="L16829">
        <v>0</v>
      </c>
      <c r="M16829">
        <v>0</v>
      </c>
      <c r="N16829">
        <v>2</v>
      </c>
      <c r="O16829" t="s">
        <v>11768</v>
      </c>
    </row>
    <row r="16830" spans="1:15">
      <c r="A16830" t="s">
        <v>14359</v>
      </c>
      <c r="B16830" t="s">
        <v>13244</v>
      </c>
      <c r="C16830" t="s">
        <v>43127</v>
      </c>
      <c r="D16830" t="s">
        <v>52276</v>
      </c>
      <c r="E16830" t="b">
        <v>0</v>
      </c>
      <c r="F16830" t="s">
        <v>11624</v>
      </c>
      <c r="G16830">
        <v>-7.9745600000000003</v>
      </c>
      <c r="H16830">
        <v>-71.561509999999998</v>
      </c>
      <c r="I16830" t="s">
        <v>52277</v>
      </c>
      <c r="L16830">
        <v>0</v>
      </c>
      <c r="M16830">
        <v>0</v>
      </c>
      <c r="N16830">
        <v>4</v>
      </c>
      <c r="O16830" t="s">
        <v>11969</v>
      </c>
    </row>
    <row r="16831" spans="1:15">
      <c r="A16831" t="s">
        <v>52278</v>
      </c>
      <c r="B16831" t="s">
        <v>13244</v>
      </c>
      <c r="C16831" t="s">
        <v>22207</v>
      </c>
      <c r="D16831" t="s">
        <v>52279</v>
      </c>
      <c r="E16831" t="b">
        <v>0</v>
      </c>
      <c r="F16831" t="s">
        <v>11624</v>
      </c>
      <c r="G16831">
        <v>-7.1666600000000003</v>
      </c>
      <c r="H16831">
        <v>-75</v>
      </c>
      <c r="I16831" t="s">
        <v>52280</v>
      </c>
      <c r="L16831">
        <v>0</v>
      </c>
      <c r="M16831">
        <v>0</v>
      </c>
      <c r="N16831">
        <v>0</v>
      </c>
      <c r="O16831" t="s">
        <v>11778</v>
      </c>
    </row>
    <row r="16832" spans="1:15">
      <c r="A16832" t="s">
        <v>41775</v>
      </c>
      <c r="B16832" t="s">
        <v>13244</v>
      </c>
      <c r="C16832" t="s">
        <v>13244</v>
      </c>
      <c r="D16832" t="s">
        <v>52281</v>
      </c>
      <c r="E16832" t="b">
        <v>0</v>
      </c>
      <c r="F16832" t="s">
        <v>11622</v>
      </c>
      <c r="L16832">
        <v>15</v>
      </c>
      <c r="M16832">
        <v>38</v>
      </c>
      <c r="N16832">
        <v>21</v>
      </c>
    </row>
    <row r="16833" spans="1:15">
      <c r="A16833" t="s">
        <v>19277</v>
      </c>
      <c r="B16833" t="s">
        <v>13244</v>
      </c>
      <c r="C16833" t="s">
        <v>21178</v>
      </c>
      <c r="D16833" t="s">
        <v>52282</v>
      </c>
      <c r="E16833" t="b">
        <v>0</v>
      </c>
      <c r="F16833" t="s">
        <v>11622</v>
      </c>
      <c r="L16833">
        <v>9</v>
      </c>
      <c r="M16833">
        <v>28</v>
      </c>
      <c r="N16833">
        <v>18</v>
      </c>
    </row>
    <row r="16834" spans="1:15">
      <c r="A16834" t="s">
        <v>13244</v>
      </c>
      <c r="D16834" t="s">
        <v>52283</v>
      </c>
      <c r="E16834" t="b">
        <v>0</v>
      </c>
      <c r="F16834" t="s">
        <v>11622</v>
      </c>
      <c r="L16834">
        <v>21</v>
      </c>
      <c r="M16834">
        <v>45</v>
      </c>
      <c r="N16834">
        <v>21</v>
      </c>
    </row>
    <row r="16835" spans="1:15">
      <c r="A16835" t="s">
        <v>37342</v>
      </c>
      <c r="B16835" t="s">
        <v>12241</v>
      </c>
      <c r="C16835" t="s">
        <v>12241</v>
      </c>
      <c r="D16835" t="s">
        <v>52284</v>
      </c>
      <c r="E16835" t="b">
        <v>0</v>
      </c>
      <c r="F16835" t="s">
        <v>11622</v>
      </c>
      <c r="L16835">
        <v>0</v>
      </c>
      <c r="M16835">
        <v>6</v>
      </c>
      <c r="N16835">
        <v>0</v>
      </c>
    </row>
    <row r="16836" spans="1:15">
      <c r="A16836" t="s">
        <v>52285</v>
      </c>
      <c r="B16836" t="s">
        <v>11637</v>
      </c>
      <c r="C16836" t="s">
        <v>5695</v>
      </c>
      <c r="D16836" t="s">
        <v>52286</v>
      </c>
      <c r="E16836" t="b">
        <v>0</v>
      </c>
      <c r="F16836" t="s">
        <v>11610</v>
      </c>
      <c r="L16836">
        <v>0</v>
      </c>
      <c r="M16836">
        <v>0</v>
      </c>
      <c r="N16836">
        <v>0</v>
      </c>
    </row>
    <row r="16837" spans="1:15">
      <c r="A16837" t="s">
        <v>52287</v>
      </c>
      <c r="B16837" t="s">
        <v>11644</v>
      </c>
      <c r="C16837" t="s">
        <v>22333</v>
      </c>
      <c r="D16837" t="s">
        <v>52288</v>
      </c>
      <c r="E16837" t="b">
        <v>0</v>
      </c>
      <c r="F16837" t="s">
        <v>11610</v>
      </c>
      <c r="L16837">
        <v>0</v>
      </c>
      <c r="M16837">
        <v>0</v>
      </c>
      <c r="N16837">
        <v>0</v>
      </c>
    </row>
    <row r="16838" spans="1:15">
      <c r="A16838" t="s">
        <v>52289</v>
      </c>
      <c r="B16838" t="s">
        <v>10597</v>
      </c>
      <c r="C16838" t="s">
        <v>44448</v>
      </c>
      <c r="D16838" t="s">
        <v>52290</v>
      </c>
      <c r="E16838" t="b">
        <v>0</v>
      </c>
      <c r="F16838" t="s">
        <v>11610</v>
      </c>
      <c r="L16838">
        <v>0</v>
      </c>
      <c r="M16838">
        <v>0</v>
      </c>
      <c r="N16838">
        <v>0</v>
      </c>
    </row>
    <row r="16839" spans="1:15">
      <c r="A16839" t="s">
        <v>52291</v>
      </c>
      <c r="B16839" t="s">
        <v>6742</v>
      </c>
      <c r="C16839" t="s">
        <v>27719</v>
      </c>
      <c r="D16839" t="s">
        <v>52292</v>
      </c>
      <c r="E16839" t="b">
        <v>0</v>
      </c>
      <c r="F16839" t="s">
        <v>11610</v>
      </c>
      <c r="L16839">
        <v>0</v>
      </c>
      <c r="M16839">
        <v>0</v>
      </c>
      <c r="N16839">
        <v>0</v>
      </c>
    </row>
    <row r="16840" spans="1:15">
      <c r="A16840" t="s">
        <v>44448</v>
      </c>
      <c r="B16840" t="s">
        <v>10597</v>
      </c>
      <c r="C16840" t="s">
        <v>52293</v>
      </c>
      <c r="D16840" t="s">
        <v>52294</v>
      </c>
      <c r="E16840" t="b">
        <v>0</v>
      </c>
      <c r="F16840" t="s">
        <v>11624</v>
      </c>
      <c r="G16840">
        <v>-22.781600000000001</v>
      </c>
      <c r="H16840">
        <v>118.723</v>
      </c>
      <c r="I16840" t="s">
        <v>52295</v>
      </c>
      <c r="L16840">
        <v>0</v>
      </c>
      <c r="M16840">
        <v>0</v>
      </c>
      <c r="N16840">
        <v>2</v>
      </c>
      <c r="O16840" t="s">
        <v>12107</v>
      </c>
    </row>
    <row r="16841" spans="1:15">
      <c r="A16841" t="s">
        <v>52296</v>
      </c>
      <c r="B16841" t="s">
        <v>6742</v>
      </c>
      <c r="C16841" t="s">
        <v>41939</v>
      </c>
      <c r="D16841" t="s">
        <v>52297</v>
      </c>
      <c r="E16841" t="b">
        <v>0</v>
      </c>
      <c r="F16841" t="s">
        <v>11610</v>
      </c>
      <c r="L16841">
        <v>0</v>
      </c>
      <c r="M16841">
        <v>0</v>
      </c>
      <c r="N16841">
        <v>0</v>
      </c>
    </row>
    <row r="16842" spans="1:15">
      <c r="A16842" t="s">
        <v>52298</v>
      </c>
      <c r="B16842" t="s">
        <v>11607</v>
      </c>
      <c r="C16842" t="s">
        <v>45839</v>
      </c>
      <c r="D16842" t="s">
        <v>52299</v>
      </c>
      <c r="E16842" t="b">
        <v>0</v>
      </c>
      <c r="F16842" t="s">
        <v>11610</v>
      </c>
      <c r="L16842">
        <v>0</v>
      </c>
      <c r="M16842">
        <v>0</v>
      </c>
      <c r="N16842">
        <v>0</v>
      </c>
    </row>
    <row r="16843" spans="1:15">
      <c r="A16843" t="s">
        <v>52293</v>
      </c>
      <c r="B16843" t="s">
        <v>10597</v>
      </c>
      <c r="C16843" t="s">
        <v>21819</v>
      </c>
      <c r="D16843" t="s">
        <v>52300</v>
      </c>
      <c r="E16843" t="b">
        <v>0</v>
      </c>
      <c r="F16843" t="s">
        <v>11622</v>
      </c>
      <c r="L16843">
        <v>0</v>
      </c>
      <c r="M16843">
        <v>2</v>
      </c>
      <c r="N16843">
        <v>2</v>
      </c>
    </row>
    <row r="16844" spans="1:15">
      <c r="A16844" t="s">
        <v>52301</v>
      </c>
      <c r="B16844" t="s">
        <v>13360</v>
      </c>
      <c r="C16844" t="s">
        <v>13360</v>
      </c>
      <c r="D16844" t="s">
        <v>52302</v>
      </c>
      <c r="E16844" t="b">
        <v>0</v>
      </c>
      <c r="F16844" t="s">
        <v>11624</v>
      </c>
      <c r="L16844">
        <v>0</v>
      </c>
      <c r="M16844">
        <v>0</v>
      </c>
      <c r="N16844">
        <v>0</v>
      </c>
      <c r="O16844" t="s">
        <v>11969</v>
      </c>
    </row>
    <row r="16845" spans="1:15">
      <c r="A16845" t="s">
        <v>48429</v>
      </c>
      <c r="B16845" t="s">
        <v>11644</v>
      </c>
      <c r="C16845" t="s">
        <v>5427</v>
      </c>
      <c r="D16845" t="s">
        <v>52303</v>
      </c>
      <c r="E16845" t="b">
        <v>0</v>
      </c>
      <c r="F16845" t="s">
        <v>11624</v>
      </c>
      <c r="G16845">
        <v>20.210999999999999</v>
      </c>
      <c r="H16845">
        <v>97.596900000000005</v>
      </c>
      <c r="I16845" t="s">
        <v>52304</v>
      </c>
      <c r="L16845">
        <v>0</v>
      </c>
      <c r="M16845">
        <v>0</v>
      </c>
      <c r="N16845">
        <v>2</v>
      </c>
      <c r="O16845" t="s">
        <v>20757</v>
      </c>
    </row>
    <row r="16846" spans="1:15">
      <c r="A16846" t="s">
        <v>52305</v>
      </c>
      <c r="B16846" t="s">
        <v>11644</v>
      </c>
      <c r="C16846" t="s">
        <v>42766</v>
      </c>
      <c r="D16846" t="s">
        <v>52306</v>
      </c>
      <c r="E16846" t="b">
        <v>0</v>
      </c>
      <c r="F16846" t="s">
        <v>11610</v>
      </c>
      <c r="L16846">
        <v>0</v>
      </c>
      <c r="M16846">
        <v>0</v>
      </c>
      <c r="N16846">
        <v>0</v>
      </c>
    </row>
    <row r="16847" spans="1:15">
      <c r="A16847" t="s">
        <v>52307</v>
      </c>
      <c r="B16847" t="s">
        <v>11627</v>
      </c>
      <c r="C16847" t="s">
        <v>11627</v>
      </c>
      <c r="D16847" t="s">
        <v>52308</v>
      </c>
      <c r="E16847" t="b">
        <v>1</v>
      </c>
      <c r="F16847" t="s">
        <v>11624</v>
      </c>
      <c r="G16847">
        <v>24.062200000000001</v>
      </c>
      <c r="H16847">
        <v>80.9619</v>
      </c>
      <c r="I16847" t="s">
        <v>52309</v>
      </c>
      <c r="L16847">
        <v>0</v>
      </c>
      <c r="M16847">
        <v>0</v>
      </c>
      <c r="N16847">
        <v>0</v>
      </c>
      <c r="O16847" t="s">
        <v>11630</v>
      </c>
    </row>
    <row r="16848" spans="1:15">
      <c r="A16848" t="s">
        <v>52310</v>
      </c>
      <c r="B16848" t="s">
        <v>11644</v>
      </c>
      <c r="C16848" t="s">
        <v>29106</v>
      </c>
      <c r="D16848" t="s">
        <v>52311</v>
      </c>
      <c r="E16848" t="b">
        <v>0</v>
      </c>
      <c r="F16848" t="s">
        <v>11610</v>
      </c>
      <c r="L16848">
        <v>0</v>
      </c>
      <c r="M16848">
        <v>0</v>
      </c>
      <c r="N16848">
        <v>0</v>
      </c>
    </row>
    <row r="16849" spans="1:15">
      <c r="A16849" t="s">
        <v>6042</v>
      </c>
      <c r="B16849" t="s">
        <v>21317</v>
      </c>
      <c r="C16849" t="s">
        <v>40970</v>
      </c>
      <c r="D16849" t="s">
        <v>52312</v>
      </c>
      <c r="E16849" t="b">
        <v>0</v>
      </c>
      <c r="F16849" t="s">
        <v>11624</v>
      </c>
      <c r="G16849">
        <v>20.5671</v>
      </c>
      <c r="H16849">
        <v>-97.255399999999995</v>
      </c>
      <c r="I16849" t="s">
        <v>6043</v>
      </c>
      <c r="L16849">
        <v>0</v>
      </c>
      <c r="M16849">
        <v>0</v>
      </c>
      <c r="N16849">
        <v>0</v>
      </c>
      <c r="O16849" t="s">
        <v>11883</v>
      </c>
    </row>
    <row r="16850" spans="1:15">
      <c r="A16850" t="s">
        <v>52313</v>
      </c>
      <c r="B16850" t="s">
        <v>12241</v>
      </c>
      <c r="C16850" t="s">
        <v>37342</v>
      </c>
      <c r="D16850" t="s">
        <v>52314</v>
      </c>
      <c r="E16850" t="b">
        <v>0</v>
      </c>
      <c r="F16850" t="s">
        <v>11624</v>
      </c>
      <c r="G16850">
        <v>-9.5</v>
      </c>
      <c r="H16850">
        <v>-72</v>
      </c>
      <c r="I16850" t="s">
        <v>52315</v>
      </c>
      <c r="L16850">
        <v>0</v>
      </c>
      <c r="M16850">
        <v>0</v>
      </c>
      <c r="N16850">
        <v>0</v>
      </c>
      <c r="O16850" t="s">
        <v>11969</v>
      </c>
    </row>
    <row r="16851" spans="1:15">
      <c r="A16851" t="s">
        <v>52316</v>
      </c>
      <c r="B16851" t="s">
        <v>6742</v>
      </c>
      <c r="C16851" t="s">
        <v>21272</v>
      </c>
      <c r="D16851" t="s">
        <v>52317</v>
      </c>
      <c r="E16851" t="b">
        <v>0</v>
      </c>
      <c r="F16851" t="s">
        <v>11610</v>
      </c>
      <c r="L16851">
        <v>0</v>
      </c>
      <c r="M16851">
        <v>0</v>
      </c>
      <c r="N16851">
        <v>0</v>
      </c>
    </row>
    <row r="16852" spans="1:15">
      <c r="A16852" t="s">
        <v>52318</v>
      </c>
      <c r="B16852" t="s">
        <v>367</v>
      </c>
      <c r="C16852" t="s">
        <v>20159</v>
      </c>
      <c r="D16852" t="s">
        <v>52319</v>
      </c>
      <c r="E16852" t="b">
        <v>0</v>
      </c>
      <c r="F16852" t="s">
        <v>11624</v>
      </c>
      <c r="G16852">
        <v>-5.9228300000000003</v>
      </c>
      <c r="H16852">
        <v>155.28899999999999</v>
      </c>
      <c r="I16852" t="s">
        <v>52320</v>
      </c>
      <c r="L16852">
        <v>0</v>
      </c>
      <c r="M16852">
        <v>0</v>
      </c>
      <c r="N16852">
        <v>0</v>
      </c>
      <c r="O16852" t="s">
        <v>11660</v>
      </c>
    </row>
    <row r="16853" spans="1:15">
      <c r="A16853" t="s">
        <v>52321</v>
      </c>
      <c r="B16853" t="s">
        <v>367</v>
      </c>
      <c r="C16853" t="s">
        <v>20672</v>
      </c>
      <c r="D16853" t="s">
        <v>52322</v>
      </c>
      <c r="E16853" t="b">
        <v>0</v>
      </c>
      <c r="F16853" t="s">
        <v>11610</v>
      </c>
      <c r="L16853">
        <v>0</v>
      </c>
      <c r="M16853">
        <v>0</v>
      </c>
      <c r="N16853">
        <v>0</v>
      </c>
    </row>
    <row r="16854" spans="1:15">
      <c r="A16854" t="s">
        <v>52323</v>
      </c>
      <c r="B16854" t="s">
        <v>367</v>
      </c>
      <c r="C16854" t="s">
        <v>16690</v>
      </c>
      <c r="D16854" t="s">
        <v>52324</v>
      </c>
      <c r="E16854" t="b">
        <v>0</v>
      </c>
      <c r="F16854" t="s">
        <v>11610</v>
      </c>
      <c r="L16854">
        <v>0</v>
      </c>
      <c r="M16854">
        <v>0</v>
      </c>
      <c r="N16854">
        <v>0</v>
      </c>
    </row>
    <row r="16855" spans="1:15">
      <c r="A16855" t="s">
        <v>52325</v>
      </c>
      <c r="B16855" t="s">
        <v>367</v>
      </c>
      <c r="C16855" t="s">
        <v>29739</v>
      </c>
      <c r="D16855" t="s">
        <v>52326</v>
      </c>
      <c r="E16855" t="b">
        <v>0</v>
      </c>
      <c r="F16855" t="s">
        <v>11624</v>
      </c>
      <c r="G16855">
        <v>5.5737800000000002</v>
      </c>
      <c r="H16855">
        <v>115.58</v>
      </c>
      <c r="I16855" t="s">
        <v>52327</v>
      </c>
      <c r="L16855">
        <v>0</v>
      </c>
      <c r="M16855">
        <v>0</v>
      </c>
      <c r="N16855">
        <v>0</v>
      </c>
      <c r="O16855" t="s">
        <v>11672</v>
      </c>
    </row>
    <row r="16856" spans="1:15">
      <c r="A16856" t="s">
        <v>52328</v>
      </c>
      <c r="B16856" t="s">
        <v>15365</v>
      </c>
      <c r="C16856" t="s">
        <v>25374</v>
      </c>
      <c r="D16856" t="s">
        <v>52329</v>
      </c>
      <c r="E16856" t="b">
        <v>0</v>
      </c>
      <c r="F16856" t="s">
        <v>11624</v>
      </c>
      <c r="G16856">
        <v>-2.8753500000000001</v>
      </c>
      <c r="H16856">
        <v>138.60499999999999</v>
      </c>
      <c r="I16856" t="s">
        <v>52330</v>
      </c>
      <c r="L16856">
        <v>0</v>
      </c>
      <c r="M16856">
        <v>0</v>
      </c>
      <c r="N16856">
        <v>0</v>
      </c>
      <c r="O16856" t="s">
        <v>11768</v>
      </c>
    </row>
    <row r="16857" spans="1:15">
      <c r="A16857" t="s">
        <v>27054</v>
      </c>
      <c r="B16857" t="s">
        <v>11879</v>
      </c>
      <c r="C16857" t="s">
        <v>23214</v>
      </c>
      <c r="D16857" t="s">
        <v>52331</v>
      </c>
      <c r="E16857" t="b">
        <v>0</v>
      </c>
      <c r="F16857" t="s">
        <v>11622</v>
      </c>
      <c r="L16857">
        <v>0</v>
      </c>
      <c r="M16857">
        <v>3</v>
      </c>
      <c r="N16857">
        <v>0</v>
      </c>
    </row>
    <row r="16858" spans="1:15">
      <c r="A16858" t="s">
        <v>52332</v>
      </c>
      <c r="B16858" t="s">
        <v>6742</v>
      </c>
      <c r="C16858" t="s">
        <v>23647</v>
      </c>
      <c r="D16858" t="s">
        <v>52333</v>
      </c>
      <c r="E16858" t="b">
        <v>0</v>
      </c>
      <c r="F16858" t="s">
        <v>11624</v>
      </c>
      <c r="G16858">
        <v>11.8977</v>
      </c>
      <c r="H16858">
        <v>-15.838800000000001</v>
      </c>
      <c r="I16858" t="s">
        <v>52334</v>
      </c>
      <c r="L16858">
        <v>0</v>
      </c>
      <c r="M16858">
        <v>0</v>
      </c>
      <c r="N16858">
        <v>0</v>
      </c>
      <c r="O16858" t="s">
        <v>16009</v>
      </c>
    </row>
    <row r="16859" spans="1:15">
      <c r="A16859" t="s">
        <v>52335</v>
      </c>
      <c r="B16859" t="s">
        <v>11637</v>
      </c>
      <c r="C16859" t="s">
        <v>33929</v>
      </c>
      <c r="D16859" t="s">
        <v>52336</v>
      </c>
      <c r="E16859" t="b">
        <v>0</v>
      </c>
      <c r="F16859" t="s">
        <v>11624</v>
      </c>
      <c r="G16859">
        <v>12.48485</v>
      </c>
      <c r="H16859">
        <v>-69.939880000000002</v>
      </c>
      <c r="I16859" t="s">
        <v>52337</v>
      </c>
      <c r="L16859">
        <v>0</v>
      </c>
      <c r="M16859">
        <v>0</v>
      </c>
      <c r="N16859">
        <v>0</v>
      </c>
      <c r="O16859" t="s">
        <v>14659</v>
      </c>
    </row>
    <row r="16860" spans="1:15">
      <c r="A16860" t="s">
        <v>52338</v>
      </c>
      <c r="B16860" t="s">
        <v>367</v>
      </c>
      <c r="C16860" t="s">
        <v>19785</v>
      </c>
      <c r="D16860" t="s">
        <v>52339</v>
      </c>
      <c r="E16860" t="b">
        <v>0</v>
      </c>
      <c r="F16860" t="s">
        <v>11624</v>
      </c>
      <c r="G16860">
        <v>-2.0622199999999999</v>
      </c>
      <c r="H16860">
        <v>147.417</v>
      </c>
      <c r="I16860" t="s">
        <v>52340</v>
      </c>
      <c r="L16860">
        <v>0</v>
      </c>
      <c r="M16860">
        <v>0</v>
      </c>
      <c r="N16860">
        <v>0</v>
      </c>
      <c r="O16860" t="s">
        <v>11660</v>
      </c>
    </row>
    <row r="16861" spans="1:15">
      <c r="A16861" t="s">
        <v>52341</v>
      </c>
      <c r="D16861" t="s">
        <v>52342</v>
      </c>
      <c r="E16861" t="b">
        <v>0</v>
      </c>
      <c r="F16861" t="s">
        <v>11624</v>
      </c>
      <c r="G16861">
        <v>-4.4725000000000001</v>
      </c>
      <c r="H16861">
        <v>142.011</v>
      </c>
      <c r="I16861" t="s">
        <v>52343</v>
      </c>
      <c r="L16861">
        <v>0</v>
      </c>
      <c r="M16861">
        <v>0</v>
      </c>
      <c r="N16861">
        <v>0</v>
      </c>
      <c r="O16861" t="s">
        <v>11660</v>
      </c>
    </row>
    <row r="16862" spans="1:15">
      <c r="A16862" t="s">
        <v>31304</v>
      </c>
      <c r="B16862" t="s">
        <v>367</v>
      </c>
      <c r="C16862" t="s">
        <v>15642</v>
      </c>
      <c r="D16862" t="s">
        <v>52344</v>
      </c>
      <c r="E16862" t="b">
        <v>0</v>
      </c>
      <c r="F16862" t="s">
        <v>11624</v>
      </c>
      <c r="G16862">
        <v>24.324000000000002</v>
      </c>
      <c r="H16862">
        <v>120.577</v>
      </c>
      <c r="I16862" t="s">
        <v>52345</v>
      </c>
      <c r="L16862">
        <v>0</v>
      </c>
      <c r="M16862">
        <v>0</v>
      </c>
      <c r="N16862">
        <v>2</v>
      </c>
      <c r="O16862" t="s">
        <v>13484</v>
      </c>
    </row>
    <row r="16863" spans="1:15">
      <c r="A16863" t="s">
        <v>52346</v>
      </c>
      <c r="B16863" t="s">
        <v>13450</v>
      </c>
      <c r="C16863" t="s">
        <v>15175</v>
      </c>
      <c r="D16863" t="s">
        <v>52347</v>
      </c>
      <c r="E16863" t="b">
        <v>0</v>
      </c>
      <c r="F16863" t="s">
        <v>11610</v>
      </c>
      <c r="L16863">
        <v>0</v>
      </c>
      <c r="M16863">
        <v>0</v>
      </c>
      <c r="N16863">
        <v>0</v>
      </c>
    </row>
    <row r="16864" spans="1:15">
      <c r="A16864" t="s">
        <v>5625</v>
      </c>
      <c r="B16864" t="s">
        <v>367</v>
      </c>
      <c r="C16864" t="s">
        <v>13393</v>
      </c>
      <c r="D16864" t="s">
        <v>52348</v>
      </c>
      <c r="E16864" t="b">
        <v>0</v>
      </c>
      <c r="F16864" t="s">
        <v>11624</v>
      </c>
      <c r="G16864">
        <v>-2.5348199999999999</v>
      </c>
      <c r="H16864">
        <v>139.65100000000001</v>
      </c>
      <c r="I16864" t="s">
        <v>5626</v>
      </c>
      <c r="L16864">
        <v>0</v>
      </c>
      <c r="M16864">
        <v>0</v>
      </c>
      <c r="N16864">
        <v>0</v>
      </c>
      <c r="O16864" t="s">
        <v>11768</v>
      </c>
    </row>
    <row r="16865" spans="1:15">
      <c r="A16865" t="s">
        <v>52349</v>
      </c>
      <c r="B16865" t="s">
        <v>367</v>
      </c>
      <c r="C16865" t="s">
        <v>21940</v>
      </c>
      <c r="D16865" t="s">
        <v>52350</v>
      </c>
      <c r="E16865" t="b">
        <v>0</v>
      </c>
      <c r="F16865" t="s">
        <v>11624</v>
      </c>
      <c r="G16865">
        <v>-1.77301</v>
      </c>
      <c r="H16865">
        <v>135.90700000000001</v>
      </c>
      <c r="I16865" t="s">
        <v>52351</v>
      </c>
      <c r="L16865">
        <v>0</v>
      </c>
      <c r="M16865">
        <v>0</v>
      </c>
      <c r="N16865">
        <v>0</v>
      </c>
      <c r="O16865" t="s">
        <v>11768</v>
      </c>
    </row>
    <row r="16866" spans="1:15">
      <c r="A16866" t="s">
        <v>50194</v>
      </c>
      <c r="B16866" t="s">
        <v>367</v>
      </c>
      <c r="C16866" t="s">
        <v>44192</v>
      </c>
      <c r="D16866" t="s">
        <v>52352</v>
      </c>
      <c r="E16866" t="b">
        <v>0</v>
      </c>
      <c r="F16866" t="s">
        <v>11622</v>
      </c>
      <c r="L16866">
        <v>27</v>
      </c>
      <c r="M16866">
        <v>63</v>
      </c>
      <c r="N16866">
        <v>154</v>
      </c>
    </row>
    <row r="16867" spans="1:15">
      <c r="A16867" t="s">
        <v>52353</v>
      </c>
      <c r="B16867" t="s">
        <v>13450</v>
      </c>
      <c r="C16867" t="s">
        <v>13451</v>
      </c>
      <c r="D16867" t="s">
        <v>52354</v>
      </c>
      <c r="E16867" t="b">
        <v>0</v>
      </c>
      <c r="F16867" t="s">
        <v>11624</v>
      </c>
      <c r="L16867">
        <v>0</v>
      </c>
      <c r="M16867">
        <v>0</v>
      </c>
      <c r="N16867">
        <v>0</v>
      </c>
      <c r="O16867" t="s">
        <v>11660</v>
      </c>
    </row>
    <row r="16868" spans="1:15">
      <c r="A16868" t="s">
        <v>52355</v>
      </c>
      <c r="B16868" t="s">
        <v>11981</v>
      </c>
      <c r="C16868" t="s">
        <v>15186</v>
      </c>
      <c r="D16868" t="s">
        <v>52356</v>
      </c>
      <c r="E16868" t="b">
        <v>0</v>
      </c>
      <c r="F16868" t="s">
        <v>11624</v>
      </c>
      <c r="G16868">
        <v>-9.5</v>
      </c>
      <c r="H16868">
        <v>147.11666700000001</v>
      </c>
      <c r="I16868" t="s">
        <v>52357</v>
      </c>
      <c r="L16868">
        <v>0</v>
      </c>
      <c r="M16868">
        <v>0</v>
      </c>
      <c r="N16868">
        <v>0</v>
      </c>
      <c r="O16868" t="s">
        <v>11660</v>
      </c>
    </row>
    <row r="16869" spans="1:15">
      <c r="A16869" t="s">
        <v>52358</v>
      </c>
      <c r="B16869" t="s">
        <v>11637</v>
      </c>
      <c r="C16869" t="s">
        <v>12270</v>
      </c>
      <c r="D16869" t="s">
        <v>52359</v>
      </c>
      <c r="E16869" t="b">
        <v>0</v>
      </c>
      <c r="F16869" t="s">
        <v>11610</v>
      </c>
      <c r="L16869">
        <v>0</v>
      </c>
      <c r="M16869">
        <v>0</v>
      </c>
      <c r="N16869">
        <v>0</v>
      </c>
    </row>
    <row r="16870" spans="1:15">
      <c r="A16870" t="s">
        <v>29195</v>
      </c>
      <c r="B16870" t="s">
        <v>11637</v>
      </c>
      <c r="C16870" t="s">
        <v>51485</v>
      </c>
      <c r="D16870" t="s">
        <v>52360</v>
      </c>
      <c r="E16870" t="b">
        <v>0</v>
      </c>
      <c r="F16870" t="s">
        <v>11624</v>
      </c>
      <c r="G16870">
        <v>36.043199999999999</v>
      </c>
      <c r="H16870">
        <v>70.880499999999998</v>
      </c>
      <c r="I16870" t="s">
        <v>52361</v>
      </c>
      <c r="L16870">
        <v>0</v>
      </c>
      <c r="M16870">
        <v>0</v>
      </c>
      <c r="N16870">
        <v>3</v>
      </c>
      <c r="O16870" t="s">
        <v>12131</v>
      </c>
    </row>
    <row r="16871" spans="1:15">
      <c r="A16871" t="s">
        <v>52362</v>
      </c>
      <c r="B16871" t="s">
        <v>11637</v>
      </c>
      <c r="C16871" t="s">
        <v>12947</v>
      </c>
      <c r="D16871" t="s">
        <v>52363</v>
      </c>
      <c r="E16871" t="b">
        <v>0</v>
      </c>
      <c r="F16871" t="s">
        <v>11610</v>
      </c>
      <c r="L16871">
        <v>0</v>
      </c>
      <c r="M16871">
        <v>0</v>
      </c>
      <c r="N16871">
        <v>0</v>
      </c>
    </row>
    <row r="16872" spans="1:15">
      <c r="A16872" t="s">
        <v>52364</v>
      </c>
      <c r="B16872" t="s">
        <v>12438</v>
      </c>
      <c r="C16872" t="s">
        <v>15300</v>
      </c>
      <c r="D16872" t="s">
        <v>52365</v>
      </c>
      <c r="E16872" t="b">
        <v>0</v>
      </c>
      <c r="F16872" t="s">
        <v>11624</v>
      </c>
      <c r="G16872">
        <v>22.8658</v>
      </c>
      <c r="H16872">
        <v>99.375</v>
      </c>
      <c r="I16872" t="s">
        <v>52366</v>
      </c>
      <c r="L16872">
        <v>0</v>
      </c>
      <c r="M16872">
        <v>0</v>
      </c>
      <c r="N16872">
        <v>0</v>
      </c>
      <c r="O16872" t="s">
        <v>11892</v>
      </c>
    </row>
    <row r="16873" spans="1:15">
      <c r="A16873" t="s">
        <v>52367</v>
      </c>
      <c r="B16873" t="s">
        <v>11644</v>
      </c>
      <c r="C16873" t="s">
        <v>41965</v>
      </c>
      <c r="D16873" t="s">
        <v>52368</v>
      </c>
      <c r="E16873" t="b">
        <v>0</v>
      </c>
      <c r="F16873" t="s">
        <v>11624</v>
      </c>
      <c r="G16873">
        <v>26.2072</v>
      </c>
      <c r="H16873">
        <v>95.161799999999999</v>
      </c>
      <c r="I16873" t="s">
        <v>52369</v>
      </c>
      <c r="L16873">
        <v>0</v>
      </c>
      <c r="M16873">
        <v>0</v>
      </c>
      <c r="N16873">
        <v>0</v>
      </c>
      <c r="O16873" t="s">
        <v>13598</v>
      </c>
    </row>
    <row r="16874" spans="1:15">
      <c r="A16874" t="s">
        <v>52370</v>
      </c>
      <c r="B16874" t="s">
        <v>11644</v>
      </c>
      <c r="C16874" t="s">
        <v>16603</v>
      </c>
      <c r="D16874" t="s">
        <v>52371</v>
      </c>
      <c r="E16874" t="b">
        <v>0</v>
      </c>
      <c r="F16874" t="s">
        <v>11610</v>
      </c>
      <c r="L16874">
        <v>0</v>
      </c>
      <c r="M16874">
        <v>0</v>
      </c>
      <c r="N16874">
        <v>0</v>
      </c>
    </row>
    <row r="16875" spans="1:15">
      <c r="A16875" t="s">
        <v>52372</v>
      </c>
      <c r="B16875" t="s">
        <v>11757</v>
      </c>
      <c r="C16875" t="s">
        <v>216</v>
      </c>
      <c r="D16875" t="s">
        <v>52373</v>
      </c>
      <c r="E16875" t="b">
        <v>0</v>
      </c>
      <c r="F16875" t="s">
        <v>11610</v>
      </c>
      <c r="L16875">
        <v>0</v>
      </c>
      <c r="M16875">
        <v>0</v>
      </c>
      <c r="N16875">
        <v>0</v>
      </c>
    </row>
    <row r="16876" spans="1:15">
      <c r="A16876" t="s">
        <v>52374</v>
      </c>
      <c r="B16876" t="s">
        <v>367</v>
      </c>
      <c r="C16876" t="s">
        <v>27701</v>
      </c>
      <c r="D16876" t="s">
        <v>52375</v>
      </c>
      <c r="E16876" t="b">
        <v>0</v>
      </c>
      <c r="F16876" t="s">
        <v>11610</v>
      </c>
      <c r="L16876">
        <v>0</v>
      </c>
      <c r="M16876">
        <v>0</v>
      </c>
      <c r="N16876">
        <v>0</v>
      </c>
    </row>
    <row r="16877" spans="1:15">
      <c r="A16877" t="s">
        <v>52008</v>
      </c>
      <c r="B16877" t="s">
        <v>367</v>
      </c>
      <c r="C16877" t="s">
        <v>12366</v>
      </c>
      <c r="D16877" t="s">
        <v>52376</v>
      </c>
      <c r="E16877" t="b">
        <v>0</v>
      </c>
      <c r="F16877" t="s">
        <v>11624</v>
      </c>
      <c r="G16877">
        <v>17.0411</v>
      </c>
      <c r="H16877">
        <v>122.37</v>
      </c>
      <c r="I16877" t="s">
        <v>52377</v>
      </c>
      <c r="L16877">
        <v>0</v>
      </c>
      <c r="M16877">
        <v>0</v>
      </c>
      <c r="N16877">
        <v>1</v>
      </c>
      <c r="O16877" t="s">
        <v>11749</v>
      </c>
    </row>
    <row r="16878" spans="1:15">
      <c r="A16878" t="s">
        <v>52378</v>
      </c>
      <c r="B16878" t="s">
        <v>11615</v>
      </c>
      <c r="C16878" t="s">
        <v>52379</v>
      </c>
      <c r="D16878" t="s">
        <v>52380</v>
      </c>
      <c r="E16878" t="b">
        <v>0</v>
      </c>
      <c r="F16878" t="s">
        <v>11624</v>
      </c>
      <c r="G16878">
        <v>-5.0111999999999997</v>
      </c>
      <c r="H16878">
        <v>145.41800000000001</v>
      </c>
      <c r="I16878" t="s">
        <v>52381</v>
      </c>
      <c r="L16878">
        <v>0</v>
      </c>
      <c r="M16878">
        <v>0</v>
      </c>
      <c r="N16878">
        <v>0</v>
      </c>
      <c r="O16878" t="s">
        <v>11660</v>
      </c>
    </row>
    <row r="16879" spans="1:15">
      <c r="A16879" t="s">
        <v>52382</v>
      </c>
      <c r="B16879" t="s">
        <v>8310</v>
      </c>
      <c r="C16879" t="s">
        <v>23159</v>
      </c>
      <c r="D16879" t="s">
        <v>52383</v>
      </c>
      <c r="E16879" t="b">
        <v>0</v>
      </c>
      <c r="F16879" t="s">
        <v>11622</v>
      </c>
      <c r="L16879">
        <v>0</v>
      </c>
      <c r="M16879">
        <v>3</v>
      </c>
      <c r="N16879">
        <v>0</v>
      </c>
    </row>
    <row r="16880" spans="1:15">
      <c r="A16880" t="s">
        <v>52384</v>
      </c>
      <c r="B16880" t="s">
        <v>8310</v>
      </c>
      <c r="C16880" t="s">
        <v>52382</v>
      </c>
      <c r="D16880" t="s">
        <v>52385</v>
      </c>
      <c r="E16880" t="b">
        <v>0</v>
      </c>
      <c r="F16880" t="s">
        <v>11624</v>
      </c>
      <c r="G16880">
        <v>3.1166670000000001</v>
      </c>
      <c r="H16880">
        <v>-60.483333000000002</v>
      </c>
      <c r="L16880">
        <v>0</v>
      </c>
      <c r="M16880">
        <v>0</v>
      </c>
      <c r="N16880">
        <v>0</v>
      </c>
      <c r="O16880" t="s">
        <v>11969</v>
      </c>
    </row>
    <row r="16881" spans="1:15">
      <c r="A16881" t="s">
        <v>52386</v>
      </c>
      <c r="B16881" t="s">
        <v>8310</v>
      </c>
      <c r="C16881" t="s">
        <v>14155</v>
      </c>
      <c r="D16881" t="s">
        <v>52387</v>
      </c>
      <c r="E16881" t="b">
        <v>0</v>
      </c>
      <c r="F16881" t="s">
        <v>11624</v>
      </c>
      <c r="G16881">
        <v>-3.7126299999999999</v>
      </c>
      <c r="H16881">
        <v>-53.0657</v>
      </c>
      <c r="I16881" t="s">
        <v>52388</v>
      </c>
      <c r="L16881">
        <v>0</v>
      </c>
      <c r="M16881">
        <v>0</v>
      </c>
      <c r="N16881">
        <v>0</v>
      </c>
      <c r="O16881" t="s">
        <v>11969</v>
      </c>
    </row>
    <row r="16882" spans="1:15">
      <c r="A16882" t="s">
        <v>9149</v>
      </c>
      <c r="B16882" t="s">
        <v>11912</v>
      </c>
      <c r="C16882" t="s">
        <v>22705</v>
      </c>
      <c r="D16882" t="s">
        <v>52389</v>
      </c>
      <c r="E16882" t="b">
        <v>0</v>
      </c>
      <c r="F16882" t="s">
        <v>11624</v>
      </c>
      <c r="G16882">
        <v>-25.605509999999999</v>
      </c>
      <c r="H16882">
        <v>-57.088160000000002</v>
      </c>
      <c r="I16882" t="s">
        <v>52390</v>
      </c>
      <c r="L16882">
        <v>0</v>
      </c>
      <c r="M16882">
        <v>0</v>
      </c>
      <c r="N16882">
        <v>1</v>
      </c>
      <c r="O16882" t="s">
        <v>52391</v>
      </c>
    </row>
    <row r="16883" spans="1:15">
      <c r="A16883" t="s">
        <v>52392</v>
      </c>
      <c r="B16883" t="s">
        <v>11912</v>
      </c>
      <c r="C16883" t="s">
        <v>52393</v>
      </c>
      <c r="D16883" t="s">
        <v>52394</v>
      </c>
      <c r="E16883" t="b">
        <v>0</v>
      </c>
      <c r="F16883" t="s">
        <v>11624</v>
      </c>
      <c r="G16883">
        <v>-4.6468100000000003</v>
      </c>
      <c r="H16883">
        <v>-50.062100000000001</v>
      </c>
      <c r="I16883" t="s">
        <v>52395</v>
      </c>
      <c r="L16883">
        <v>0</v>
      </c>
      <c r="M16883">
        <v>0</v>
      </c>
      <c r="N16883">
        <v>0</v>
      </c>
      <c r="O16883" t="s">
        <v>11969</v>
      </c>
    </row>
    <row r="16884" spans="1:15">
      <c r="A16884" t="s">
        <v>52396</v>
      </c>
      <c r="B16884" t="s">
        <v>11912</v>
      </c>
      <c r="C16884" t="s">
        <v>33764</v>
      </c>
      <c r="D16884" t="s">
        <v>52397</v>
      </c>
      <c r="E16884" t="b">
        <v>0</v>
      </c>
      <c r="F16884" t="s">
        <v>11624</v>
      </c>
      <c r="G16884">
        <v>-9.34239</v>
      </c>
      <c r="H16884">
        <v>-59.052999999999997</v>
      </c>
      <c r="I16884" t="s">
        <v>52398</v>
      </c>
      <c r="L16884">
        <v>0</v>
      </c>
      <c r="M16884">
        <v>0</v>
      </c>
      <c r="N16884">
        <v>0</v>
      </c>
      <c r="O16884" t="s">
        <v>11969</v>
      </c>
    </row>
    <row r="16885" spans="1:15">
      <c r="A16885" t="s">
        <v>52399</v>
      </c>
      <c r="B16885" t="s">
        <v>11965</v>
      </c>
      <c r="C16885" t="s">
        <v>5102</v>
      </c>
      <c r="D16885" t="s">
        <v>52400</v>
      </c>
      <c r="E16885" t="b">
        <v>0</v>
      </c>
      <c r="F16885" t="s">
        <v>11610</v>
      </c>
      <c r="L16885">
        <v>0</v>
      </c>
      <c r="M16885">
        <v>0</v>
      </c>
      <c r="N16885">
        <v>0</v>
      </c>
    </row>
    <row r="16886" spans="1:15">
      <c r="A16886" t="s">
        <v>37799</v>
      </c>
      <c r="B16886" t="s">
        <v>11965</v>
      </c>
      <c r="C16886" t="s">
        <v>21056</v>
      </c>
      <c r="D16886" t="s">
        <v>52401</v>
      </c>
      <c r="E16886" t="b">
        <v>0</v>
      </c>
      <c r="F16886" t="s">
        <v>11624</v>
      </c>
      <c r="G16886">
        <v>-4.9116099999999996</v>
      </c>
      <c r="H16886">
        <v>-49.021700000000003</v>
      </c>
      <c r="I16886" t="s">
        <v>52402</v>
      </c>
      <c r="L16886">
        <v>0</v>
      </c>
      <c r="M16886">
        <v>0</v>
      </c>
      <c r="N16886">
        <v>3</v>
      </c>
      <c r="O16886" t="s">
        <v>11969</v>
      </c>
    </row>
    <row r="16887" spans="1:15">
      <c r="A16887" t="s">
        <v>13074</v>
      </c>
      <c r="B16887" t="s">
        <v>11894</v>
      </c>
      <c r="C16887" t="s">
        <v>491</v>
      </c>
      <c r="D16887" t="s">
        <v>52403</v>
      </c>
      <c r="E16887" t="b">
        <v>0</v>
      </c>
      <c r="F16887" t="s">
        <v>11624</v>
      </c>
      <c r="G16887">
        <v>10.842700000000001</v>
      </c>
      <c r="H16887">
        <v>-71.8399</v>
      </c>
      <c r="I16887" t="s">
        <v>52404</v>
      </c>
      <c r="L16887">
        <v>0</v>
      </c>
      <c r="M16887">
        <v>0</v>
      </c>
      <c r="N16887">
        <v>2</v>
      </c>
      <c r="O16887" t="s">
        <v>16711</v>
      </c>
    </row>
    <row r="16888" spans="1:15">
      <c r="A16888" t="s">
        <v>52405</v>
      </c>
      <c r="B16888" t="s">
        <v>11637</v>
      </c>
      <c r="C16888" t="s">
        <v>13183</v>
      </c>
      <c r="D16888" t="s">
        <v>52406</v>
      </c>
      <c r="E16888" t="b">
        <v>0</v>
      </c>
      <c r="F16888" t="s">
        <v>11610</v>
      </c>
      <c r="L16888">
        <v>0</v>
      </c>
      <c r="M16888">
        <v>0</v>
      </c>
      <c r="N16888">
        <v>0</v>
      </c>
    </row>
    <row r="16889" spans="1:15">
      <c r="A16889" t="s">
        <v>52407</v>
      </c>
      <c r="B16889" t="s">
        <v>11981</v>
      </c>
      <c r="C16889" t="s">
        <v>52408</v>
      </c>
      <c r="D16889" t="s">
        <v>52409</v>
      </c>
      <c r="E16889" t="b">
        <v>0</v>
      </c>
      <c r="F16889" t="s">
        <v>11624</v>
      </c>
      <c r="G16889">
        <v>-25.266667000000002</v>
      </c>
      <c r="H16889">
        <v>-57.666666999999997</v>
      </c>
      <c r="I16889" t="s">
        <v>52410</v>
      </c>
      <c r="L16889">
        <v>0</v>
      </c>
      <c r="M16889">
        <v>0</v>
      </c>
      <c r="N16889">
        <v>0</v>
      </c>
      <c r="O16889" t="s">
        <v>11916</v>
      </c>
    </row>
    <row r="16890" spans="1:15">
      <c r="A16890" t="s">
        <v>22705</v>
      </c>
      <c r="B16890" t="s">
        <v>11912</v>
      </c>
      <c r="C16890" t="s">
        <v>43866</v>
      </c>
      <c r="D16890" t="s">
        <v>52411</v>
      </c>
      <c r="E16890" t="b">
        <v>0</v>
      </c>
      <c r="F16890" t="s">
        <v>11622</v>
      </c>
      <c r="L16890">
        <v>0</v>
      </c>
      <c r="M16890">
        <v>4</v>
      </c>
      <c r="N16890">
        <v>5</v>
      </c>
    </row>
    <row r="16891" spans="1:15">
      <c r="A16891" t="s">
        <v>12366</v>
      </c>
      <c r="B16891" t="s">
        <v>367</v>
      </c>
      <c r="C16891" t="s">
        <v>21189</v>
      </c>
      <c r="D16891" t="s">
        <v>52412</v>
      </c>
      <c r="E16891" t="b">
        <v>0</v>
      </c>
      <c r="F16891" t="s">
        <v>11622</v>
      </c>
      <c r="G16891">
        <v>17.04111</v>
      </c>
      <c r="H16891">
        <v>122.37027999999999</v>
      </c>
      <c r="I16891" t="s">
        <v>52413</v>
      </c>
      <c r="L16891">
        <v>0</v>
      </c>
      <c r="M16891">
        <v>2</v>
      </c>
      <c r="N16891">
        <v>1</v>
      </c>
      <c r="O16891" t="s">
        <v>11749</v>
      </c>
    </row>
    <row r="16892" spans="1:15">
      <c r="A16892" t="s">
        <v>52408</v>
      </c>
      <c r="B16892" t="s">
        <v>11981</v>
      </c>
      <c r="C16892" t="s">
        <v>22548</v>
      </c>
      <c r="D16892" t="s">
        <v>52414</v>
      </c>
      <c r="E16892" t="b">
        <v>0</v>
      </c>
      <c r="F16892" t="s">
        <v>11622</v>
      </c>
      <c r="L16892">
        <v>0</v>
      </c>
      <c r="M16892">
        <v>2</v>
      </c>
      <c r="N16892">
        <v>0</v>
      </c>
    </row>
    <row r="16893" spans="1:15">
      <c r="A16893" t="s">
        <v>52415</v>
      </c>
      <c r="B16893" t="s">
        <v>52416</v>
      </c>
      <c r="C16893" t="s">
        <v>52416</v>
      </c>
      <c r="D16893" t="s">
        <v>52417</v>
      </c>
      <c r="E16893" t="b">
        <v>0</v>
      </c>
      <c r="F16893" t="s">
        <v>11610</v>
      </c>
      <c r="L16893">
        <v>0</v>
      </c>
      <c r="M16893">
        <v>0</v>
      </c>
      <c r="N16893">
        <v>0</v>
      </c>
    </row>
    <row r="16894" spans="1:15">
      <c r="A16894" t="s">
        <v>25970</v>
      </c>
      <c r="B16894" t="s">
        <v>11644</v>
      </c>
      <c r="C16894" t="s">
        <v>28426</v>
      </c>
      <c r="D16894" t="s">
        <v>52418</v>
      </c>
      <c r="E16894" t="b">
        <v>0</v>
      </c>
      <c r="F16894" t="s">
        <v>11622</v>
      </c>
      <c r="L16894">
        <v>0</v>
      </c>
      <c r="M16894">
        <v>2</v>
      </c>
      <c r="N16894">
        <v>5</v>
      </c>
    </row>
    <row r="16895" spans="1:15">
      <c r="A16895" t="s">
        <v>46969</v>
      </c>
      <c r="B16895" t="s">
        <v>11637</v>
      </c>
      <c r="C16895" t="s">
        <v>1274</v>
      </c>
      <c r="D16895" t="s">
        <v>52419</v>
      </c>
      <c r="E16895" t="b">
        <v>0</v>
      </c>
      <c r="F16895" t="s">
        <v>11624</v>
      </c>
      <c r="G16895">
        <v>19.998899999999999</v>
      </c>
      <c r="H16895">
        <v>77.123400000000004</v>
      </c>
      <c r="I16895" t="s">
        <v>52420</v>
      </c>
      <c r="L16895">
        <v>0</v>
      </c>
      <c r="M16895">
        <v>0</v>
      </c>
      <c r="N16895">
        <v>3</v>
      </c>
      <c r="O16895" t="s">
        <v>11630</v>
      </c>
    </row>
    <row r="16896" spans="1:15">
      <c r="A16896" t="s">
        <v>52421</v>
      </c>
      <c r="B16896" t="s">
        <v>11637</v>
      </c>
      <c r="C16896" t="s">
        <v>15309</v>
      </c>
      <c r="D16896" t="s">
        <v>52422</v>
      </c>
      <c r="E16896" t="b">
        <v>0</v>
      </c>
      <c r="F16896" t="s">
        <v>11610</v>
      </c>
      <c r="L16896">
        <v>0</v>
      </c>
      <c r="M16896">
        <v>0</v>
      </c>
      <c r="N16896">
        <v>0</v>
      </c>
    </row>
    <row r="16897" spans="1:15">
      <c r="A16897" t="s">
        <v>52423</v>
      </c>
      <c r="B16897" t="s">
        <v>12241</v>
      </c>
      <c r="C16897" t="s">
        <v>12273</v>
      </c>
      <c r="D16897" t="s">
        <v>52424</v>
      </c>
      <c r="E16897" t="b">
        <v>0</v>
      </c>
      <c r="F16897" t="s">
        <v>11624</v>
      </c>
      <c r="G16897">
        <v>22.166599999999999</v>
      </c>
      <c r="H16897">
        <v>79.777299999999997</v>
      </c>
      <c r="I16897" t="s">
        <v>52425</v>
      </c>
      <c r="L16897">
        <v>0</v>
      </c>
      <c r="M16897">
        <v>0</v>
      </c>
      <c r="N16897">
        <v>0</v>
      </c>
      <c r="O16897" t="s">
        <v>11630</v>
      </c>
    </row>
    <row r="16898" spans="1:15">
      <c r="A16898" t="s">
        <v>52426</v>
      </c>
      <c r="B16898" t="s">
        <v>12438</v>
      </c>
      <c r="C16898" t="s">
        <v>1137</v>
      </c>
      <c r="D16898" t="s">
        <v>52427</v>
      </c>
      <c r="E16898" t="b">
        <v>0</v>
      </c>
      <c r="F16898" t="s">
        <v>11624</v>
      </c>
      <c r="G16898">
        <v>19.074999999999999</v>
      </c>
      <c r="H16898">
        <v>83.972300000000004</v>
      </c>
      <c r="I16898" t="s">
        <v>52428</v>
      </c>
      <c r="L16898">
        <v>0</v>
      </c>
      <c r="M16898">
        <v>0</v>
      </c>
      <c r="N16898">
        <v>0</v>
      </c>
      <c r="O16898" t="s">
        <v>11630</v>
      </c>
    </row>
    <row r="16899" spans="1:15">
      <c r="A16899" t="s">
        <v>52429</v>
      </c>
      <c r="B16899" t="s">
        <v>11644</v>
      </c>
      <c r="C16899" t="s">
        <v>47934</v>
      </c>
      <c r="D16899" t="s">
        <v>52430</v>
      </c>
      <c r="E16899" t="b">
        <v>0</v>
      </c>
      <c r="F16899" t="s">
        <v>11610</v>
      </c>
      <c r="L16899">
        <v>0</v>
      </c>
      <c r="M16899">
        <v>0</v>
      </c>
      <c r="N16899">
        <v>0</v>
      </c>
    </row>
    <row r="16900" spans="1:15">
      <c r="A16900" t="s">
        <v>52431</v>
      </c>
      <c r="B16900" t="s">
        <v>13210</v>
      </c>
      <c r="C16900" t="s">
        <v>2047</v>
      </c>
      <c r="D16900" t="s">
        <v>52432</v>
      </c>
      <c r="E16900" t="b">
        <v>0</v>
      </c>
      <c r="F16900" t="s">
        <v>11610</v>
      </c>
      <c r="L16900">
        <v>0</v>
      </c>
      <c r="M16900">
        <v>0</v>
      </c>
      <c r="N16900">
        <v>0</v>
      </c>
    </row>
    <row r="16901" spans="1:15">
      <c r="A16901" t="s">
        <v>52433</v>
      </c>
      <c r="B16901" t="s">
        <v>367</v>
      </c>
      <c r="C16901" t="s">
        <v>31883</v>
      </c>
      <c r="D16901" t="s">
        <v>52434</v>
      </c>
      <c r="E16901" t="b">
        <v>0</v>
      </c>
      <c r="F16901" t="s">
        <v>11610</v>
      </c>
      <c r="L16901">
        <v>0</v>
      </c>
      <c r="M16901">
        <v>0</v>
      </c>
      <c r="N16901">
        <v>0</v>
      </c>
    </row>
    <row r="16902" spans="1:15">
      <c r="A16902" t="s">
        <v>52435</v>
      </c>
      <c r="B16902" t="s">
        <v>11615</v>
      </c>
      <c r="C16902" t="s">
        <v>35396</v>
      </c>
      <c r="D16902" t="s">
        <v>52436</v>
      </c>
      <c r="E16902" t="b">
        <v>0</v>
      </c>
      <c r="F16902" t="s">
        <v>11610</v>
      </c>
      <c r="L16902">
        <v>0</v>
      </c>
      <c r="M16902">
        <v>0</v>
      </c>
      <c r="N16902">
        <v>0</v>
      </c>
    </row>
    <row r="16903" spans="1:15">
      <c r="A16903" t="s">
        <v>52437</v>
      </c>
      <c r="B16903" t="s">
        <v>12158</v>
      </c>
      <c r="C16903" t="s">
        <v>12159</v>
      </c>
      <c r="D16903" t="s">
        <v>52438</v>
      </c>
      <c r="E16903" t="b">
        <v>0</v>
      </c>
      <c r="F16903" t="s">
        <v>11624</v>
      </c>
      <c r="G16903">
        <v>-6.4687799999999998</v>
      </c>
      <c r="H16903">
        <v>141.65799999999999</v>
      </c>
      <c r="I16903" t="s">
        <v>52439</v>
      </c>
      <c r="L16903">
        <v>0</v>
      </c>
      <c r="M16903">
        <v>0</v>
      </c>
      <c r="N16903">
        <v>0</v>
      </c>
      <c r="O16903" t="s">
        <v>11660</v>
      </c>
    </row>
    <row r="16904" spans="1:15">
      <c r="A16904" t="s">
        <v>52440</v>
      </c>
      <c r="B16904" t="s">
        <v>11894</v>
      </c>
      <c r="C16904" t="s">
        <v>27184</v>
      </c>
      <c r="D16904" t="s">
        <v>52441</v>
      </c>
      <c r="E16904" t="b">
        <v>0</v>
      </c>
      <c r="F16904" t="s">
        <v>11624</v>
      </c>
      <c r="G16904">
        <v>-14.5929</v>
      </c>
      <c r="H16904">
        <v>-57.405900000000003</v>
      </c>
      <c r="I16904" t="s">
        <v>52442</v>
      </c>
      <c r="L16904">
        <v>0</v>
      </c>
      <c r="M16904">
        <v>0</v>
      </c>
      <c r="N16904">
        <v>0</v>
      </c>
      <c r="O16904" t="s">
        <v>11969</v>
      </c>
    </row>
    <row r="16905" spans="1:15">
      <c r="A16905" t="s">
        <v>27184</v>
      </c>
      <c r="B16905" t="s">
        <v>11894</v>
      </c>
      <c r="C16905" t="s">
        <v>21775</v>
      </c>
      <c r="D16905" t="s">
        <v>52443</v>
      </c>
      <c r="E16905" t="b">
        <v>0</v>
      </c>
      <c r="F16905" t="s">
        <v>11622</v>
      </c>
      <c r="L16905">
        <v>0</v>
      </c>
      <c r="M16905">
        <v>3</v>
      </c>
      <c r="N16905">
        <v>0</v>
      </c>
    </row>
    <row r="16906" spans="1:15">
      <c r="A16906" t="s">
        <v>14930</v>
      </c>
      <c r="B16906" t="s">
        <v>6742</v>
      </c>
      <c r="C16906" t="s">
        <v>23179</v>
      </c>
      <c r="D16906" t="s">
        <v>52444</v>
      </c>
      <c r="E16906" t="b">
        <v>0</v>
      </c>
      <c r="F16906" t="s">
        <v>11622</v>
      </c>
      <c r="L16906">
        <v>0</v>
      </c>
      <c r="M16906">
        <v>2</v>
      </c>
      <c r="N16906">
        <v>0</v>
      </c>
    </row>
    <row r="16907" spans="1:15">
      <c r="A16907" t="s">
        <v>29861</v>
      </c>
      <c r="B16907" t="s">
        <v>11894</v>
      </c>
      <c r="C16907" t="s">
        <v>13165</v>
      </c>
      <c r="D16907" t="s">
        <v>52445</v>
      </c>
      <c r="E16907" t="b">
        <v>0</v>
      </c>
      <c r="F16907" t="s">
        <v>11622</v>
      </c>
      <c r="L16907">
        <v>0</v>
      </c>
      <c r="M16907">
        <v>2</v>
      </c>
      <c r="N16907">
        <v>2</v>
      </c>
    </row>
    <row r="16908" spans="1:15">
      <c r="A16908" t="s">
        <v>52446</v>
      </c>
      <c r="B16908" t="s">
        <v>11844</v>
      </c>
      <c r="C16908" t="s">
        <v>52447</v>
      </c>
      <c r="D16908" t="s">
        <v>52448</v>
      </c>
      <c r="E16908" t="b">
        <v>0</v>
      </c>
      <c r="F16908" t="s">
        <v>11610</v>
      </c>
      <c r="L16908">
        <v>0</v>
      </c>
      <c r="M16908">
        <v>0</v>
      </c>
      <c r="N16908">
        <v>0</v>
      </c>
    </row>
    <row r="16909" spans="1:15">
      <c r="A16909" t="s">
        <v>3292</v>
      </c>
      <c r="B16909" t="s">
        <v>11757</v>
      </c>
      <c r="C16909" t="s">
        <v>14032</v>
      </c>
      <c r="D16909" t="s">
        <v>52449</v>
      </c>
      <c r="E16909" t="b">
        <v>0</v>
      </c>
      <c r="F16909" t="s">
        <v>11624</v>
      </c>
      <c r="G16909">
        <v>5.0947199999999997</v>
      </c>
      <c r="H16909">
        <v>32.482199999999999</v>
      </c>
      <c r="I16909" t="s">
        <v>3293</v>
      </c>
      <c r="L16909">
        <v>0</v>
      </c>
      <c r="M16909">
        <v>0</v>
      </c>
      <c r="N16909">
        <v>0</v>
      </c>
      <c r="O16909" t="s">
        <v>11910</v>
      </c>
    </row>
    <row r="16910" spans="1:15">
      <c r="A16910" t="s">
        <v>52450</v>
      </c>
      <c r="B16910" t="s">
        <v>367</v>
      </c>
      <c r="C16910" t="s">
        <v>14093</v>
      </c>
      <c r="D16910" t="s">
        <v>52451</v>
      </c>
      <c r="E16910" t="b">
        <v>0</v>
      </c>
      <c r="F16910" t="s">
        <v>11610</v>
      </c>
      <c r="L16910">
        <v>0</v>
      </c>
      <c r="M16910">
        <v>0</v>
      </c>
      <c r="N16910">
        <v>0</v>
      </c>
    </row>
    <row r="16911" spans="1:15">
      <c r="A16911" t="s">
        <v>52452</v>
      </c>
      <c r="B16911" t="s">
        <v>11912</v>
      </c>
      <c r="C16911" t="s">
        <v>24704</v>
      </c>
      <c r="D16911" t="s">
        <v>52453</v>
      </c>
      <c r="E16911" t="b">
        <v>0</v>
      </c>
      <c r="F16911" t="s">
        <v>11610</v>
      </c>
      <c r="L16911">
        <v>0</v>
      </c>
      <c r="M16911">
        <v>0</v>
      </c>
      <c r="N16911">
        <v>0</v>
      </c>
    </row>
    <row r="16912" spans="1:15">
      <c r="A16912" t="s">
        <v>1119</v>
      </c>
      <c r="B16912" t="s">
        <v>11844</v>
      </c>
      <c r="C16912" t="s">
        <v>1332</v>
      </c>
      <c r="D16912" t="s">
        <v>52454</v>
      </c>
      <c r="E16912" t="b">
        <v>0</v>
      </c>
      <c r="F16912" t="s">
        <v>11622</v>
      </c>
      <c r="L16912">
        <v>0</v>
      </c>
      <c r="M16912">
        <v>3</v>
      </c>
      <c r="N16912">
        <v>4</v>
      </c>
    </row>
    <row r="16913" spans="1:15">
      <c r="A16913" t="s">
        <v>52455</v>
      </c>
      <c r="B16913" t="s">
        <v>11637</v>
      </c>
      <c r="C16913" t="s">
        <v>18293</v>
      </c>
      <c r="D16913" t="s">
        <v>52456</v>
      </c>
      <c r="E16913" t="b">
        <v>0</v>
      </c>
      <c r="F16913" t="s">
        <v>11624</v>
      </c>
      <c r="G16913">
        <v>24.486000000000001</v>
      </c>
      <c r="H16913">
        <v>69.942300000000003</v>
      </c>
      <c r="I16913" t="s">
        <v>52457</v>
      </c>
      <c r="L16913">
        <v>0</v>
      </c>
      <c r="M16913">
        <v>0</v>
      </c>
      <c r="N16913">
        <v>0</v>
      </c>
      <c r="O16913" t="s">
        <v>15870</v>
      </c>
    </row>
    <row r="16914" spans="1:15">
      <c r="A16914" t="s">
        <v>52458</v>
      </c>
      <c r="B16914" t="s">
        <v>11607</v>
      </c>
      <c r="C16914" t="s">
        <v>43315</v>
      </c>
      <c r="D16914" t="s">
        <v>52459</v>
      </c>
      <c r="E16914" t="b">
        <v>0</v>
      </c>
      <c r="F16914" t="s">
        <v>11624</v>
      </c>
      <c r="G16914">
        <v>11.0206</v>
      </c>
      <c r="H16914">
        <v>14.096399999999999</v>
      </c>
      <c r="I16914" t="s">
        <v>52460</v>
      </c>
      <c r="L16914">
        <v>0</v>
      </c>
      <c r="M16914">
        <v>0</v>
      </c>
      <c r="N16914">
        <v>0</v>
      </c>
      <c r="O16914" t="s">
        <v>11703</v>
      </c>
    </row>
    <row r="16915" spans="1:15">
      <c r="A16915" t="s">
        <v>52461</v>
      </c>
      <c r="B16915" t="s">
        <v>11637</v>
      </c>
      <c r="C16915" t="s">
        <v>7704</v>
      </c>
      <c r="D16915" t="s">
        <v>52462</v>
      </c>
      <c r="E16915" t="b">
        <v>0</v>
      </c>
      <c r="F16915" t="s">
        <v>11610</v>
      </c>
      <c r="L16915">
        <v>0</v>
      </c>
      <c r="M16915">
        <v>0</v>
      </c>
      <c r="N16915">
        <v>0</v>
      </c>
    </row>
    <row r="16916" spans="1:15">
      <c r="A16916" t="s">
        <v>52463</v>
      </c>
      <c r="B16916" t="s">
        <v>11627</v>
      </c>
      <c r="C16916" t="s">
        <v>11627</v>
      </c>
      <c r="D16916" t="s">
        <v>52464</v>
      </c>
      <c r="E16916" t="b">
        <v>1</v>
      </c>
      <c r="F16916" t="s">
        <v>11624</v>
      </c>
      <c r="G16916">
        <v>20.625</v>
      </c>
      <c r="H16916">
        <v>74.438000000000002</v>
      </c>
      <c r="I16916" t="s">
        <v>52465</v>
      </c>
      <c r="L16916">
        <v>0</v>
      </c>
      <c r="M16916">
        <v>0</v>
      </c>
      <c r="N16916">
        <v>0</v>
      </c>
      <c r="O16916" t="s">
        <v>52466</v>
      </c>
    </row>
    <row r="16917" spans="1:15">
      <c r="A16917" t="s">
        <v>52467</v>
      </c>
      <c r="B16917" t="s">
        <v>11627</v>
      </c>
      <c r="C16917" t="s">
        <v>11627</v>
      </c>
      <c r="D16917" t="s">
        <v>52468</v>
      </c>
      <c r="E16917" t="b">
        <v>1</v>
      </c>
      <c r="F16917" t="s">
        <v>11624</v>
      </c>
      <c r="G16917">
        <v>32.994</v>
      </c>
      <c r="H16917">
        <v>58.624000000000002</v>
      </c>
      <c r="I16917" t="s">
        <v>52469</v>
      </c>
      <c r="L16917">
        <v>0</v>
      </c>
      <c r="M16917">
        <v>0</v>
      </c>
      <c r="N16917">
        <v>0</v>
      </c>
      <c r="O16917" t="s">
        <v>12131</v>
      </c>
    </row>
    <row r="16918" spans="1:15">
      <c r="A16918" t="s">
        <v>52470</v>
      </c>
      <c r="B16918" t="s">
        <v>11637</v>
      </c>
      <c r="C16918" t="s">
        <v>16331</v>
      </c>
      <c r="D16918" t="s">
        <v>52471</v>
      </c>
      <c r="E16918" t="b">
        <v>0</v>
      </c>
      <c r="F16918" t="s">
        <v>11624</v>
      </c>
      <c r="I16918" t="s">
        <v>52472</v>
      </c>
      <c r="L16918">
        <v>0</v>
      </c>
      <c r="M16918">
        <v>0</v>
      </c>
      <c r="N16918">
        <v>0</v>
      </c>
      <c r="O16918" t="s">
        <v>13225</v>
      </c>
    </row>
    <row r="16919" spans="1:15">
      <c r="A16919" t="s">
        <v>35558</v>
      </c>
      <c r="B16919" t="s">
        <v>8310</v>
      </c>
      <c r="C16919" t="s">
        <v>8310</v>
      </c>
      <c r="D16919" t="s">
        <v>52473</v>
      </c>
      <c r="E16919" t="b">
        <v>0</v>
      </c>
      <c r="F16919" t="s">
        <v>11622</v>
      </c>
      <c r="L16919">
        <v>1</v>
      </c>
      <c r="M16919">
        <v>3</v>
      </c>
      <c r="N16919">
        <v>5</v>
      </c>
    </row>
    <row r="16920" spans="1:15">
      <c r="A16920" t="s">
        <v>52474</v>
      </c>
      <c r="B16920" t="s">
        <v>11637</v>
      </c>
      <c r="C16920" t="s">
        <v>15714</v>
      </c>
      <c r="D16920" t="s">
        <v>52475</v>
      </c>
      <c r="E16920" t="b">
        <v>0</v>
      </c>
      <c r="F16920" t="s">
        <v>11610</v>
      </c>
      <c r="L16920">
        <v>0</v>
      </c>
      <c r="M16920">
        <v>0</v>
      </c>
      <c r="N16920">
        <v>0</v>
      </c>
    </row>
    <row r="16921" spans="1:15">
      <c r="A16921" t="s">
        <v>52476</v>
      </c>
      <c r="B16921" t="s">
        <v>11637</v>
      </c>
      <c r="C16921" t="s">
        <v>15874</v>
      </c>
      <c r="D16921" t="s">
        <v>52477</v>
      </c>
      <c r="E16921" t="b">
        <v>0</v>
      </c>
      <c r="F16921" t="s">
        <v>11624</v>
      </c>
      <c r="G16921">
        <v>36.492199999999997</v>
      </c>
      <c r="H16921">
        <v>69.260000000000005</v>
      </c>
      <c r="I16921" t="s">
        <v>52478</v>
      </c>
      <c r="L16921">
        <v>0</v>
      </c>
      <c r="M16921">
        <v>0</v>
      </c>
      <c r="N16921">
        <v>0</v>
      </c>
      <c r="O16921" t="s">
        <v>52479</v>
      </c>
    </row>
    <row r="16922" spans="1:15">
      <c r="A16922" t="s">
        <v>52480</v>
      </c>
      <c r="B16922" t="s">
        <v>11637</v>
      </c>
      <c r="C16922" t="s">
        <v>18303</v>
      </c>
      <c r="D16922" t="s">
        <v>52481</v>
      </c>
      <c r="E16922" t="b">
        <v>0</v>
      </c>
      <c r="F16922" t="s">
        <v>11610</v>
      </c>
      <c r="L16922">
        <v>0</v>
      </c>
      <c r="M16922">
        <v>0</v>
      </c>
      <c r="N16922">
        <v>0</v>
      </c>
    </row>
    <row r="16923" spans="1:15">
      <c r="A16923" t="s">
        <v>52482</v>
      </c>
      <c r="B16923" t="s">
        <v>6742</v>
      </c>
      <c r="C16923" t="s">
        <v>29254</v>
      </c>
      <c r="D16923" t="s">
        <v>52483</v>
      </c>
      <c r="E16923" t="b">
        <v>0</v>
      </c>
      <c r="F16923" t="s">
        <v>11610</v>
      </c>
      <c r="L16923">
        <v>0</v>
      </c>
      <c r="M16923">
        <v>0</v>
      </c>
      <c r="N16923">
        <v>0</v>
      </c>
    </row>
    <row r="16924" spans="1:15">
      <c r="A16924" t="s">
        <v>52484</v>
      </c>
      <c r="B16924" t="s">
        <v>367</v>
      </c>
      <c r="C16924" t="s">
        <v>17148</v>
      </c>
      <c r="D16924" t="s">
        <v>52485</v>
      </c>
      <c r="E16924" t="b">
        <v>0</v>
      </c>
      <c r="F16924" t="s">
        <v>11610</v>
      </c>
      <c r="L16924">
        <v>0</v>
      </c>
      <c r="M16924">
        <v>0</v>
      </c>
      <c r="N16924">
        <v>0</v>
      </c>
    </row>
    <row r="16925" spans="1:15">
      <c r="A16925" t="s">
        <v>52486</v>
      </c>
      <c r="B16925" t="s">
        <v>367</v>
      </c>
      <c r="C16925" t="s">
        <v>11928</v>
      </c>
      <c r="D16925" t="s">
        <v>52487</v>
      </c>
      <c r="E16925" t="b">
        <v>0</v>
      </c>
      <c r="F16925" t="s">
        <v>11610</v>
      </c>
      <c r="L16925">
        <v>0</v>
      </c>
      <c r="M16925">
        <v>0</v>
      </c>
      <c r="N16925">
        <v>0</v>
      </c>
    </row>
    <row r="16926" spans="1:15">
      <c r="A16926" t="s">
        <v>3559</v>
      </c>
      <c r="B16926" t="s">
        <v>11637</v>
      </c>
      <c r="C16926" t="s">
        <v>2187</v>
      </c>
      <c r="D16926" t="s">
        <v>52488</v>
      </c>
      <c r="E16926" t="b">
        <v>0</v>
      </c>
      <c r="F16926" t="s">
        <v>11622</v>
      </c>
      <c r="L16926">
        <v>1</v>
      </c>
      <c r="M16926">
        <v>4</v>
      </c>
      <c r="N16926">
        <v>17</v>
      </c>
    </row>
    <row r="16927" spans="1:15">
      <c r="A16927" t="s">
        <v>25884</v>
      </c>
      <c r="B16927" t="s">
        <v>11637</v>
      </c>
      <c r="C16927" t="s">
        <v>22744</v>
      </c>
      <c r="D16927" t="s">
        <v>52489</v>
      </c>
      <c r="E16927" t="b">
        <v>0</v>
      </c>
      <c r="F16927" t="s">
        <v>11622</v>
      </c>
      <c r="L16927">
        <v>2</v>
      </c>
      <c r="M16927">
        <v>4</v>
      </c>
      <c r="N16927">
        <v>29</v>
      </c>
    </row>
    <row r="16928" spans="1:15">
      <c r="A16928" t="s">
        <v>52490</v>
      </c>
      <c r="B16928" t="s">
        <v>11637</v>
      </c>
      <c r="C16928" t="s">
        <v>12947</v>
      </c>
      <c r="D16928" t="s">
        <v>52491</v>
      </c>
      <c r="E16928" t="b">
        <v>0</v>
      </c>
      <c r="F16928" t="s">
        <v>11610</v>
      </c>
      <c r="L16928">
        <v>0</v>
      </c>
      <c r="M16928">
        <v>0</v>
      </c>
      <c r="N16928">
        <v>0</v>
      </c>
    </row>
    <row r="16929" spans="1:15">
      <c r="A16929" t="s">
        <v>52492</v>
      </c>
      <c r="B16929" t="s">
        <v>11644</v>
      </c>
      <c r="C16929" t="s">
        <v>19604</v>
      </c>
      <c r="D16929" t="s">
        <v>52493</v>
      </c>
      <c r="E16929" t="b">
        <v>0</v>
      </c>
      <c r="F16929" t="s">
        <v>11610</v>
      </c>
      <c r="L16929">
        <v>0</v>
      </c>
      <c r="M16929">
        <v>0</v>
      </c>
      <c r="N16929">
        <v>0</v>
      </c>
    </row>
    <row r="16930" spans="1:15">
      <c r="A16930" t="s">
        <v>12491</v>
      </c>
      <c r="B16930" t="s">
        <v>367</v>
      </c>
      <c r="C16930" t="s">
        <v>14379</v>
      </c>
      <c r="D16930" t="s">
        <v>52494</v>
      </c>
      <c r="E16930" t="b">
        <v>0</v>
      </c>
      <c r="F16930" t="s">
        <v>11622</v>
      </c>
      <c r="L16930">
        <v>0</v>
      </c>
      <c r="M16930">
        <v>5</v>
      </c>
      <c r="N16930">
        <v>5</v>
      </c>
    </row>
    <row r="16931" spans="1:15">
      <c r="A16931" t="s">
        <v>52495</v>
      </c>
      <c r="B16931" t="s">
        <v>367</v>
      </c>
      <c r="C16931" t="s">
        <v>35652</v>
      </c>
      <c r="D16931" t="s">
        <v>52496</v>
      </c>
      <c r="E16931" t="b">
        <v>0</v>
      </c>
      <c r="F16931" t="s">
        <v>11610</v>
      </c>
      <c r="L16931">
        <v>0</v>
      </c>
      <c r="M16931">
        <v>0</v>
      </c>
      <c r="N16931">
        <v>0</v>
      </c>
    </row>
    <row r="16932" spans="1:15">
      <c r="A16932" t="s">
        <v>52497</v>
      </c>
      <c r="B16932" t="s">
        <v>367</v>
      </c>
      <c r="C16932" t="s">
        <v>25535</v>
      </c>
      <c r="D16932" t="s">
        <v>52498</v>
      </c>
      <c r="E16932" t="b">
        <v>0</v>
      </c>
      <c r="F16932" t="s">
        <v>11610</v>
      </c>
      <c r="L16932">
        <v>0</v>
      </c>
      <c r="M16932">
        <v>0</v>
      </c>
      <c r="N16932">
        <v>0</v>
      </c>
    </row>
    <row r="16933" spans="1:15">
      <c r="A16933" t="s">
        <v>52499</v>
      </c>
      <c r="B16933" t="s">
        <v>367</v>
      </c>
      <c r="C16933" t="s">
        <v>12638</v>
      </c>
      <c r="D16933" t="s">
        <v>52500</v>
      </c>
      <c r="E16933" t="b">
        <v>0</v>
      </c>
      <c r="F16933" t="s">
        <v>11610</v>
      </c>
      <c r="L16933">
        <v>0</v>
      </c>
      <c r="M16933">
        <v>0</v>
      </c>
      <c r="N16933">
        <v>0</v>
      </c>
    </row>
    <row r="16934" spans="1:15">
      <c r="A16934" t="s">
        <v>52501</v>
      </c>
      <c r="B16934" t="s">
        <v>367</v>
      </c>
      <c r="C16934" t="s">
        <v>15834</v>
      </c>
      <c r="D16934" t="s">
        <v>52502</v>
      </c>
      <c r="E16934" t="b">
        <v>0</v>
      </c>
      <c r="F16934" t="s">
        <v>11610</v>
      </c>
      <c r="L16934">
        <v>0</v>
      </c>
      <c r="M16934">
        <v>0</v>
      </c>
      <c r="N16934">
        <v>3</v>
      </c>
    </row>
    <row r="16935" spans="1:15">
      <c r="A16935" t="s">
        <v>52503</v>
      </c>
      <c r="B16935" t="s">
        <v>11705</v>
      </c>
      <c r="C16935" t="s">
        <v>15462</v>
      </c>
      <c r="D16935" t="s">
        <v>52504</v>
      </c>
      <c r="E16935" t="b">
        <v>0</v>
      </c>
      <c r="F16935" t="s">
        <v>11624</v>
      </c>
      <c r="G16935">
        <v>-3.9519500000000001</v>
      </c>
      <c r="H16935">
        <v>142.30699999999999</v>
      </c>
      <c r="I16935" t="s">
        <v>52505</v>
      </c>
      <c r="L16935">
        <v>0</v>
      </c>
      <c r="M16935">
        <v>0</v>
      </c>
      <c r="N16935">
        <v>0</v>
      </c>
      <c r="O16935" t="s">
        <v>11660</v>
      </c>
    </row>
    <row r="16936" spans="1:15">
      <c r="A16936" t="s">
        <v>52506</v>
      </c>
      <c r="B16936" t="s">
        <v>12438</v>
      </c>
      <c r="C16936" t="s">
        <v>30455</v>
      </c>
      <c r="D16936" t="s">
        <v>52507</v>
      </c>
      <c r="E16936" t="b">
        <v>0</v>
      </c>
      <c r="F16936" t="s">
        <v>11610</v>
      </c>
      <c r="L16936">
        <v>0</v>
      </c>
      <c r="M16936">
        <v>0</v>
      </c>
      <c r="N16936">
        <v>0</v>
      </c>
    </row>
    <row r="16937" spans="1:15">
      <c r="A16937" t="s">
        <v>52508</v>
      </c>
      <c r="B16937" t="s">
        <v>11637</v>
      </c>
      <c r="C16937" t="s">
        <v>11822</v>
      </c>
      <c r="D16937" t="s">
        <v>52509</v>
      </c>
      <c r="E16937" t="b">
        <v>0</v>
      </c>
      <c r="F16937" t="s">
        <v>11610</v>
      </c>
      <c r="L16937">
        <v>0</v>
      </c>
      <c r="M16937">
        <v>0</v>
      </c>
      <c r="N16937">
        <v>0</v>
      </c>
    </row>
    <row r="16938" spans="1:15">
      <c r="A16938" t="s">
        <v>14120</v>
      </c>
      <c r="B16938" t="s">
        <v>11615</v>
      </c>
      <c r="C16938" t="s">
        <v>13832</v>
      </c>
      <c r="D16938" t="s">
        <v>52510</v>
      </c>
      <c r="E16938" t="b">
        <v>0</v>
      </c>
      <c r="F16938" t="s">
        <v>11624</v>
      </c>
      <c r="G16938">
        <v>-3.7686899999999999</v>
      </c>
      <c r="H16938">
        <v>139.26</v>
      </c>
      <c r="I16938" t="s">
        <v>52511</v>
      </c>
      <c r="L16938">
        <v>0</v>
      </c>
      <c r="M16938">
        <v>0</v>
      </c>
      <c r="N16938">
        <v>3</v>
      </c>
      <c r="O16938" t="s">
        <v>11768</v>
      </c>
    </row>
    <row r="16939" spans="1:15">
      <c r="A16939" t="s">
        <v>52512</v>
      </c>
      <c r="B16939" t="s">
        <v>11615</v>
      </c>
      <c r="C16939" t="s">
        <v>14120</v>
      </c>
      <c r="D16939" t="s">
        <v>52513</v>
      </c>
      <c r="E16939" t="b">
        <v>0</v>
      </c>
      <c r="F16939" t="s">
        <v>11610</v>
      </c>
      <c r="L16939">
        <v>0</v>
      </c>
      <c r="M16939">
        <v>0</v>
      </c>
      <c r="N16939">
        <v>0</v>
      </c>
    </row>
    <row r="16940" spans="1:15">
      <c r="A16940" t="s">
        <v>52514</v>
      </c>
      <c r="B16940" t="s">
        <v>12979</v>
      </c>
      <c r="C16940" t="s">
        <v>42152</v>
      </c>
      <c r="D16940" t="s">
        <v>52515</v>
      </c>
      <c r="E16940" t="b">
        <v>0</v>
      </c>
      <c r="F16940" t="s">
        <v>11610</v>
      </c>
      <c r="L16940">
        <v>0</v>
      </c>
      <c r="M16940">
        <v>0</v>
      </c>
      <c r="N16940">
        <v>0</v>
      </c>
    </row>
    <row r="16941" spans="1:15">
      <c r="A16941" t="s">
        <v>52516</v>
      </c>
      <c r="B16941" t="s">
        <v>11894</v>
      </c>
      <c r="C16941" t="s">
        <v>33768</v>
      </c>
      <c r="D16941" t="s">
        <v>52517</v>
      </c>
      <c r="E16941" t="b">
        <v>0</v>
      </c>
      <c r="F16941" t="s">
        <v>11624</v>
      </c>
      <c r="G16941">
        <v>-1.4154439999999999</v>
      </c>
      <c r="H16941">
        <v>-67.418518000000006</v>
      </c>
      <c r="L16941">
        <v>0</v>
      </c>
      <c r="M16941">
        <v>0</v>
      </c>
      <c r="N16941">
        <v>0</v>
      </c>
      <c r="O16941" t="s">
        <v>11969</v>
      </c>
    </row>
    <row r="16942" spans="1:15">
      <c r="A16942" t="s">
        <v>52518</v>
      </c>
      <c r="B16942" t="s">
        <v>13360</v>
      </c>
      <c r="C16942" t="s">
        <v>13360</v>
      </c>
      <c r="D16942" t="s">
        <v>52519</v>
      </c>
      <c r="E16942" t="b">
        <v>0</v>
      </c>
      <c r="F16942" t="s">
        <v>11624</v>
      </c>
      <c r="L16942">
        <v>0</v>
      </c>
      <c r="M16942">
        <v>0</v>
      </c>
      <c r="N16942">
        <v>0</v>
      </c>
      <c r="O16942" t="s">
        <v>14946</v>
      </c>
    </row>
    <row r="16943" spans="1:15">
      <c r="A16943" t="s">
        <v>43922</v>
      </c>
      <c r="B16943" t="s">
        <v>15569</v>
      </c>
      <c r="C16943" t="s">
        <v>38702</v>
      </c>
      <c r="D16943" t="s">
        <v>52520</v>
      </c>
      <c r="E16943" t="b">
        <v>0</v>
      </c>
      <c r="F16943" t="s">
        <v>11622</v>
      </c>
      <c r="L16943">
        <v>1</v>
      </c>
      <c r="M16943">
        <v>3</v>
      </c>
      <c r="N16943">
        <v>4</v>
      </c>
    </row>
    <row r="16944" spans="1:15">
      <c r="A16944" t="s">
        <v>52521</v>
      </c>
      <c r="B16944" t="s">
        <v>13360</v>
      </c>
      <c r="C16944" t="s">
        <v>13360</v>
      </c>
      <c r="D16944" t="s">
        <v>52522</v>
      </c>
      <c r="E16944" t="b">
        <v>0</v>
      </c>
      <c r="F16944" t="s">
        <v>11624</v>
      </c>
      <c r="L16944">
        <v>0</v>
      </c>
      <c r="M16944">
        <v>0</v>
      </c>
      <c r="N16944">
        <v>0</v>
      </c>
      <c r="O16944" t="s">
        <v>11778</v>
      </c>
    </row>
    <row r="16945" spans="1:15">
      <c r="A16945" t="s">
        <v>52523</v>
      </c>
      <c r="B16945" t="s">
        <v>11637</v>
      </c>
      <c r="C16945" t="s">
        <v>5939</v>
      </c>
      <c r="D16945" t="s">
        <v>52524</v>
      </c>
      <c r="E16945" t="b">
        <v>0</v>
      </c>
      <c r="F16945" t="s">
        <v>11610</v>
      </c>
      <c r="L16945">
        <v>0</v>
      </c>
      <c r="M16945">
        <v>0</v>
      </c>
      <c r="N16945">
        <v>0</v>
      </c>
    </row>
    <row r="16946" spans="1:15">
      <c r="A16946" t="s">
        <v>52525</v>
      </c>
      <c r="B16946" t="s">
        <v>6742</v>
      </c>
      <c r="C16946" t="s">
        <v>21272</v>
      </c>
      <c r="D16946" t="s">
        <v>52526</v>
      </c>
      <c r="E16946" t="b">
        <v>0</v>
      </c>
      <c r="F16946" t="s">
        <v>11610</v>
      </c>
      <c r="L16946">
        <v>0</v>
      </c>
      <c r="M16946">
        <v>0</v>
      </c>
      <c r="N16946">
        <v>0</v>
      </c>
    </row>
    <row r="16947" spans="1:15">
      <c r="A16947" t="s">
        <v>52527</v>
      </c>
      <c r="B16947" t="s">
        <v>367</v>
      </c>
      <c r="C16947" t="s">
        <v>20248</v>
      </c>
      <c r="D16947" t="s">
        <v>52528</v>
      </c>
      <c r="E16947" t="b">
        <v>0</v>
      </c>
      <c r="F16947" t="s">
        <v>11624</v>
      </c>
      <c r="G16947">
        <v>0.34095999999999999</v>
      </c>
      <c r="H16947">
        <v>128.63399999999999</v>
      </c>
      <c r="I16947" t="s">
        <v>52529</v>
      </c>
      <c r="L16947">
        <v>0</v>
      </c>
      <c r="M16947">
        <v>0</v>
      </c>
      <c r="N16947">
        <v>0</v>
      </c>
      <c r="O16947" t="s">
        <v>11768</v>
      </c>
    </row>
    <row r="16948" spans="1:15">
      <c r="A16948" t="s">
        <v>52530</v>
      </c>
      <c r="B16948" t="s">
        <v>11965</v>
      </c>
      <c r="C16948" t="s">
        <v>42001</v>
      </c>
      <c r="D16948" t="s">
        <v>52531</v>
      </c>
      <c r="E16948" t="b">
        <v>0</v>
      </c>
      <c r="F16948" t="s">
        <v>11624</v>
      </c>
      <c r="G16948">
        <v>-15.916700000000001</v>
      </c>
      <c r="H16948">
        <v>-40.033299999999997</v>
      </c>
      <c r="I16948" t="s">
        <v>52532</v>
      </c>
      <c r="L16948">
        <v>0</v>
      </c>
      <c r="M16948">
        <v>0</v>
      </c>
      <c r="N16948">
        <v>0</v>
      </c>
      <c r="O16948" t="s">
        <v>11969</v>
      </c>
    </row>
    <row r="16949" spans="1:15">
      <c r="A16949" t="s">
        <v>52533</v>
      </c>
      <c r="B16949" t="s">
        <v>8310</v>
      </c>
      <c r="C16949" t="s">
        <v>12705</v>
      </c>
      <c r="D16949" t="s">
        <v>52534</v>
      </c>
      <c r="E16949" t="b">
        <v>0</v>
      </c>
      <c r="F16949" t="s">
        <v>11624</v>
      </c>
      <c r="G16949">
        <v>4.7582599999999999</v>
      </c>
      <c r="H16949">
        <v>-59.577199999999998</v>
      </c>
      <c r="I16949" t="s">
        <v>52535</v>
      </c>
      <c r="L16949">
        <v>0</v>
      </c>
      <c r="M16949">
        <v>0</v>
      </c>
      <c r="N16949">
        <v>0</v>
      </c>
      <c r="O16949" t="s">
        <v>15065</v>
      </c>
    </row>
    <row r="16950" spans="1:15">
      <c r="A16950" t="s">
        <v>42736</v>
      </c>
      <c r="B16950" t="s">
        <v>367</v>
      </c>
      <c r="C16950" t="s">
        <v>35607</v>
      </c>
      <c r="D16950" t="s">
        <v>52536</v>
      </c>
      <c r="E16950" t="b">
        <v>0</v>
      </c>
      <c r="F16950" t="s">
        <v>11622</v>
      </c>
      <c r="L16950">
        <v>2</v>
      </c>
      <c r="M16950">
        <v>4</v>
      </c>
      <c r="N16950">
        <v>4</v>
      </c>
    </row>
    <row r="16951" spans="1:15">
      <c r="A16951" t="s">
        <v>52537</v>
      </c>
      <c r="B16951" t="s">
        <v>11637</v>
      </c>
      <c r="C16951" t="s">
        <v>1273</v>
      </c>
      <c r="D16951" t="s">
        <v>52538</v>
      </c>
      <c r="E16951" t="b">
        <v>0</v>
      </c>
      <c r="F16951" t="s">
        <v>11610</v>
      </c>
      <c r="L16951">
        <v>0</v>
      </c>
      <c r="M16951">
        <v>0</v>
      </c>
      <c r="N16951">
        <v>0</v>
      </c>
    </row>
    <row r="16952" spans="1:15">
      <c r="A16952" t="s">
        <v>52539</v>
      </c>
      <c r="B16952" t="s">
        <v>6742</v>
      </c>
      <c r="C16952" t="s">
        <v>13575</v>
      </c>
      <c r="D16952" t="s">
        <v>52540</v>
      </c>
      <c r="E16952" t="b">
        <v>0</v>
      </c>
      <c r="F16952" t="s">
        <v>11610</v>
      </c>
      <c r="L16952">
        <v>0</v>
      </c>
      <c r="M16952">
        <v>0</v>
      </c>
      <c r="N16952">
        <v>0</v>
      </c>
    </row>
    <row r="16953" spans="1:15">
      <c r="A16953" t="s">
        <v>24496</v>
      </c>
      <c r="B16953" t="s">
        <v>367</v>
      </c>
      <c r="C16953" t="s">
        <v>23984</v>
      </c>
      <c r="D16953" t="s">
        <v>52541</v>
      </c>
      <c r="E16953" t="b">
        <v>0</v>
      </c>
      <c r="F16953" t="s">
        <v>11624</v>
      </c>
      <c r="G16953">
        <v>-6.91988</v>
      </c>
      <c r="H16953">
        <v>146.63900000000001</v>
      </c>
      <c r="I16953" t="s">
        <v>52542</v>
      </c>
      <c r="L16953">
        <v>0</v>
      </c>
      <c r="M16953">
        <v>0</v>
      </c>
      <c r="N16953">
        <v>1</v>
      </c>
      <c r="O16953" t="s">
        <v>11660</v>
      </c>
    </row>
    <row r="16954" spans="1:15">
      <c r="A16954" t="s">
        <v>52543</v>
      </c>
      <c r="B16954" t="s">
        <v>11844</v>
      </c>
      <c r="C16954" t="s">
        <v>34325</v>
      </c>
      <c r="D16954" t="s">
        <v>52544</v>
      </c>
      <c r="E16954" t="b">
        <v>0</v>
      </c>
      <c r="F16954" t="s">
        <v>11624</v>
      </c>
      <c r="I16954" t="s">
        <v>52545</v>
      </c>
      <c r="L16954">
        <v>0</v>
      </c>
      <c r="M16954">
        <v>0</v>
      </c>
      <c r="N16954">
        <v>0</v>
      </c>
      <c r="O16954" t="s">
        <v>11630</v>
      </c>
    </row>
    <row r="16955" spans="1:15">
      <c r="A16955" t="s">
        <v>52546</v>
      </c>
      <c r="B16955" t="s">
        <v>367</v>
      </c>
      <c r="C16955" t="s">
        <v>47740</v>
      </c>
      <c r="D16955" t="s">
        <v>52547</v>
      </c>
      <c r="E16955" t="b">
        <v>0</v>
      </c>
      <c r="F16955" t="s">
        <v>11610</v>
      </c>
      <c r="L16955">
        <v>0</v>
      </c>
      <c r="M16955">
        <v>0</v>
      </c>
      <c r="N16955">
        <v>0</v>
      </c>
    </row>
    <row r="16956" spans="1:15">
      <c r="A16956" t="s">
        <v>52548</v>
      </c>
      <c r="B16956" t="s">
        <v>11627</v>
      </c>
      <c r="C16956" t="s">
        <v>11627</v>
      </c>
      <c r="D16956" t="s">
        <v>52549</v>
      </c>
      <c r="E16956" t="b">
        <v>1</v>
      </c>
      <c r="F16956" t="s">
        <v>11624</v>
      </c>
      <c r="I16956" t="s">
        <v>52550</v>
      </c>
      <c r="L16956">
        <v>0</v>
      </c>
      <c r="M16956">
        <v>0</v>
      </c>
      <c r="N16956">
        <v>0</v>
      </c>
    </row>
    <row r="16957" spans="1:15">
      <c r="A16957" t="s">
        <v>52551</v>
      </c>
      <c r="B16957" t="s">
        <v>6742</v>
      </c>
      <c r="C16957" t="s">
        <v>30048</v>
      </c>
      <c r="D16957" t="s">
        <v>52552</v>
      </c>
      <c r="E16957" t="b">
        <v>0</v>
      </c>
      <c r="F16957" t="s">
        <v>11610</v>
      </c>
      <c r="L16957">
        <v>0</v>
      </c>
      <c r="M16957">
        <v>0</v>
      </c>
      <c r="N16957">
        <v>0</v>
      </c>
    </row>
    <row r="16958" spans="1:15">
      <c r="A16958" t="s">
        <v>1015</v>
      </c>
      <c r="B16958" t="s">
        <v>11637</v>
      </c>
      <c r="C16958" t="s">
        <v>2829</v>
      </c>
      <c r="D16958" t="s">
        <v>52553</v>
      </c>
      <c r="E16958" t="b">
        <v>0</v>
      </c>
      <c r="F16958" t="s">
        <v>11610</v>
      </c>
      <c r="L16958">
        <v>0</v>
      </c>
      <c r="M16958">
        <v>0</v>
      </c>
      <c r="N16958">
        <v>0</v>
      </c>
    </row>
    <row r="16959" spans="1:15">
      <c r="A16959" t="s">
        <v>49775</v>
      </c>
      <c r="B16959" t="s">
        <v>367</v>
      </c>
      <c r="C16959" t="s">
        <v>44594</v>
      </c>
      <c r="D16959" t="s">
        <v>52554</v>
      </c>
      <c r="E16959" t="b">
        <v>0</v>
      </c>
      <c r="F16959" t="s">
        <v>11624</v>
      </c>
      <c r="G16959">
        <v>-3.7471100000000002</v>
      </c>
      <c r="H16959">
        <v>152.49299999999999</v>
      </c>
      <c r="I16959" t="s">
        <v>52555</v>
      </c>
      <c r="L16959">
        <v>0</v>
      </c>
      <c r="M16959">
        <v>0</v>
      </c>
      <c r="N16959">
        <v>3</v>
      </c>
      <c r="O16959" t="s">
        <v>11660</v>
      </c>
    </row>
    <row r="16960" spans="1:15">
      <c r="A16960" t="s">
        <v>44594</v>
      </c>
      <c r="B16960" t="s">
        <v>367</v>
      </c>
      <c r="C16960" t="s">
        <v>34759</v>
      </c>
      <c r="D16960" t="s">
        <v>52556</v>
      </c>
      <c r="E16960" t="b">
        <v>0</v>
      </c>
      <c r="F16960" t="s">
        <v>11622</v>
      </c>
      <c r="L16960">
        <v>1</v>
      </c>
      <c r="M16960">
        <v>4</v>
      </c>
      <c r="N16960">
        <v>17</v>
      </c>
    </row>
    <row r="16961" spans="1:15">
      <c r="A16961" t="s">
        <v>52557</v>
      </c>
      <c r="B16961" t="s">
        <v>11844</v>
      </c>
      <c r="C16961" t="s">
        <v>9047</v>
      </c>
      <c r="D16961" t="s">
        <v>52558</v>
      </c>
      <c r="E16961" t="b">
        <v>0</v>
      </c>
      <c r="F16961" t="s">
        <v>11610</v>
      </c>
      <c r="L16961">
        <v>0</v>
      </c>
      <c r="M16961">
        <v>0</v>
      </c>
      <c r="N16961">
        <v>0</v>
      </c>
    </row>
    <row r="16962" spans="1:15">
      <c r="A16962" t="s">
        <v>21416</v>
      </c>
      <c r="B16962" t="s">
        <v>11644</v>
      </c>
      <c r="C16962" t="s">
        <v>38978</v>
      </c>
      <c r="D16962" t="s">
        <v>52559</v>
      </c>
      <c r="E16962" t="b">
        <v>0</v>
      </c>
      <c r="F16962" t="s">
        <v>11624</v>
      </c>
      <c r="G16962">
        <v>32.696300000000001</v>
      </c>
      <c r="H16962">
        <v>76.596599999999995</v>
      </c>
      <c r="I16962" t="s">
        <v>52560</v>
      </c>
      <c r="L16962">
        <v>0</v>
      </c>
      <c r="M16962">
        <v>0</v>
      </c>
      <c r="N16962">
        <v>3</v>
      </c>
      <c r="O16962" t="s">
        <v>11630</v>
      </c>
    </row>
    <row r="16963" spans="1:15">
      <c r="A16963" t="s">
        <v>52561</v>
      </c>
      <c r="B16963" t="s">
        <v>367</v>
      </c>
      <c r="C16963" t="s">
        <v>33119</v>
      </c>
      <c r="D16963" t="s">
        <v>52562</v>
      </c>
      <c r="E16963" t="b">
        <v>0</v>
      </c>
      <c r="F16963" t="s">
        <v>11624</v>
      </c>
      <c r="G16963">
        <v>6.3814799999999998</v>
      </c>
      <c r="H16963">
        <v>101.41</v>
      </c>
      <c r="I16963" t="s">
        <v>52563</v>
      </c>
      <c r="L16963">
        <v>0</v>
      </c>
      <c r="M16963">
        <v>0</v>
      </c>
      <c r="N16963">
        <v>0</v>
      </c>
      <c r="O16963" t="s">
        <v>33349</v>
      </c>
    </row>
    <row r="16964" spans="1:15">
      <c r="A16964" t="s">
        <v>52564</v>
      </c>
      <c r="B16964" t="s">
        <v>367</v>
      </c>
      <c r="C16964" t="s">
        <v>21624</v>
      </c>
      <c r="D16964" t="s">
        <v>52565</v>
      </c>
      <c r="E16964" t="b">
        <v>0</v>
      </c>
      <c r="F16964" t="s">
        <v>11610</v>
      </c>
      <c r="L16964">
        <v>0</v>
      </c>
      <c r="M16964">
        <v>0</v>
      </c>
      <c r="N16964">
        <v>0</v>
      </c>
    </row>
    <row r="16965" spans="1:15">
      <c r="A16965" t="s">
        <v>52566</v>
      </c>
      <c r="B16965" t="s">
        <v>367</v>
      </c>
      <c r="C16965" t="s">
        <v>27255</v>
      </c>
      <c r="D16965" t="s">
        <v>52567</v>
      </c>
      <c r="E16965" t="b">
        <v>0</v>
      </c>
      <c r="F16965" t="s">
        <v>11610</v>
      </c>
      <c r="L16965">
        <v>0</v>
      </c>
      <c r="M16965">
        <v>0</v>
      </c>
      <c r="N16965">
        <v>0</v>
      </c>
    </row>
    <row r="16966" spans="1:15">
      <c r="A16966" t="s">
        <v>52568</v>
      </c>
      <c r="B16966" t="s">
        <v>11637</v>
      </c>
      <c r="C16966" t="s">
        <v>15671</v>
      </c>
      <c r="D16966" t="s">
        <v>52569</v>
      </c>
      <c r="E16966" t="b">
        <v>0</v>
      </c>
      <c r="F16966" t="s">
        <v>11610</v>
      </c>
      <c r="L16966">
        <v>0</v>
      </c>
      <c r="M16966">
        <v>0</v>
      </c>
      <c r="N16966">
        <v>0</v>
      </c>
    </row>
    <row r="16967" spans="1:15">
      <c r="A16967" t="s">
        <v>52570</v>
      </c>
      <c r="B16967" t="s">
        <v>11637</v>
      </c>
      <c r="C16967" t="s">
        <v>2829</v>
      </c>
      <c r="D16967" t="s">
        <v>52571</v>
      </c>
      <c r="E16967" t="b">
        <v>0</v>
      </c>
      <c r="F16967" t="s">
        <v>11610</v>
      </c>
      <c r="L16967">
        <v>0</v>
      </c>
      <c r="M16967">
        <v>0</v>
      </c>
      <c r="N16967">
        <v>0</v>
      </c>
    </row>
    <row r="16968" spans="1:15">
      <c r="A16968" t="s">
        <v>52572</v>
      </c>
      <c r="B16968" t="s">
        <v>48122</v>
      </c>
      <c r="C16968" t="s">
        <v>48122</v>
      </c>
      <c r="D16968" t="s">
        <v>52573</v>
      </c>
      <c r="E16968" t="b">
        <v>0</v>
      </c>
      <c r="F16968" t="s">
        <v>11624</v>
      </c>
      <c r="I16968" t="s">
        <v>52574</v>
      </c>
      <c r="L16968">
        <v>0</v>
      </c>
      <c r="M16968">
        <v>0</v>
      </c>
      <c r="N16968">
        <v>0</v>
      </c>
      <c r="O16968" t="s">
        <v>11944</v>
      </c>
    </row>
    <row r="16969" spans="1:15">
      <c r="A16969" t="s">
        <v>52575</v>
      </c>
      <c r="B16969" t="s">
        <v>14398</v>
      </c>
      <c r="C16969" t="s">
        <v>24501</v>
      </c>
      <c r="D16969" t="s">
        <v>52576</v>
      </c>
      <c r="E16969" t="b">
        <v>0</v>
      </c>
      <c r="F16969" t="s">
        <v>11610</v>
      </c>
      <c r="L16969">
        <v>0</v>
      </c>
      <c r="M16969">
        <v>0</v>
      </c>
      <c r="N16969">
        <v>0</v>
      </c>
    </row>
    <row r="16970" spans="1:15">
      <c r="A16970" t="s">
        <v>52577</v>
      </c>
      <c r="B16970" t="s">
        <v>367</v>
      </c>
      <c r="C16970" t="s">
        <v>52578</v>
      </c>
      <c r="D16970" t="s">
        <v>52579</v>
      </c>
      <c r="E16970" t="b">
        <v>0</v>
      </c>
      <c r="F16970" t="s">
        <v>11624</v>
      </c>
      <c r="G16970">
        <v>-3.2540399999999998</v>
      </c>
      <c r="H16970">
        <v>128.779</v>
      </c>
      <c r="I16970" t="s">
        <v>52580</v>
      </c>
      <c r="L16970">
        <v>0</v>
      </c>
      <c r="M16970">
        <v>0</v>
      </c>
      <c r="N16970">
        <v>0</v>
      </c>
      <c r="O16970" t="s">
        <v>11768</v>
      </c>
    </row>
    <row r="16971" spans="1:15">
      <c r="A16971" t="s">
        <v>38428</v>
      </c>
      <c r="B16971" t="s">
        <v>14398</v>
      </c>
      <c r="C16971" t="s">
        <v>14398</v>
      </c>
      <c r="D16971" t="s">
        <v>52581</v>
      </c>
      <c r="E16971" t="b">
        <v>0</v>
      </c>
      <c r="F16971" t="s">
        <v>11624</v>
      </c>
      <c r="G16971">
        <v>-5.7840299999999996</v>
      </c>
      <c r="H16971">
        <v>-64.280299999999997</v>
      </c>
      <c r="I16971" t="s">
        <v>52582</v>
      </c>
      <c r="L16971">
        <v>0</v>
      </c>
      <c r="M16971">
        <v>0</v>
      </c>
      <c r="N16971">
        <v>3</v>
      </c>
      <c r="O16971" t="s">
        <v>11969</v>
      </c>
    </row>
    <row r="16972" spans="1:15">
      <c r="A16972" t="s">
        <v>52583</v>
      </c>
      <c r="B16972" t="s">
        <v>14398</v>
      </c>
      <c r="C16972" t="s">
        <v>38428</v>
      </c>
      <c r="D16972" t="s">
        <v>52584</v>
      </c>
      <c r="E16972" t="b">
        <v>0</v>
      </c>
      <c r="F16972" t="s">
        <v>11610</v>
      </c>
      <c r="L16972">
        <v>0</v>
      </c>
      <c r="M16972">
        <v>0</v>
      </c>
      <c r="N16972">
        <v>0</v>
      </c>
    </row>
    <row r="16973" spans="1:15">
      <c r="A16973" t="s">
        <v>52585</v>
      </c>
      <c r="B16973" t="s">
        <v>367</v>
      </c>
      <c r="C16973" t="s">
        <v>20392</v>
      </c>
      <c r="D16973" t="s">
        <v>52586</v>
      </c>
      <c r="E16973" t="b">
        <v>0</v>
      </c>
      <c r="F16973" t="s">
        <v>11610</v>
      </c>
      <c r="L16973">
        <v>0</v>
      </c>
      <c r="M16973">
        <v>0</v>
      </c>
      <c r="N16973">
        <v>0</v>
      </c>
    </row>
    <row r="16974" spans="1:15">
      <c r="A16974" t="s">
        <v>52587</v>
      </c>
      <c r="B16974" t="s">
        <v>11894</v>
      </c>
      <c r="C16974" t="s">
        <v>45472</v>
      </c>
      <c r="D16974" t="s">
        <v>52588</v>
      </c>
      <c r="E16974" t="b">
        <v>0</v>
      </c>
      <c r="F16974" t="s">
        <v>11624</v>
      </c>
      <c r="G16974">
        <v>-16.770833</v>
      </c>
      <c r="H16974">
        <v>-61.454166999999998</v>
      </c>
      <c r="I16974" t="s">
        <v>52589</v>
      </c>
      <c r="L16974">
        <v>0</v>
      </c>
      <c r="M16974">
        <v>0</v>
      </c>
      <c r="N16974">
        <v>0</v>
      </c>
      <c r="O16974" t="s">
        <v>14185</v>
      </c>
    </row>
    <row r="16975" spans="1:15">
      <c r="A16975" t="s">
        <v>52590</v>
      </c>
      <c r="B16975" t="s">
        <v>11637</v>
      </c>
      <c r="C16975" t="s">
        <v>46233</v>
      </c>
      <c r="D16975" t="s">
        <v>52591</v>
      </c>
      <c r="E16975" t="b">
        <v>0</v>
      </c>
      <c r="F16975" t="s">
        <v>11624</v>
      </c>
      <c r="G16975">
        <v>21.228000000000002</v>
      </c>
      <c r="H16975">
        <v>74.337000000000003</v>
      </c>
      <c r="I16975" t="s">
        <v>52592</v>
      </c>
      <c r="L16975">
        <v>0</v>
      </c>
      <c r="M16975">
        <v>0</v>
      </c>
      <c r="N16975">
        <v>0</v>
      </c>
      <c r="O16975" t="s">
        <v>11630</v>
      </c>
    </row>
    <row r="16976" spans="1:15">
      <c r="A16976" t="s">
        <v>46233</v>
      </c>
      <c r="B16976" t="s">
        <v>11637</v>
      </c>
      <c r="C16976" t="s">
        <v>1274</v>
      </c>
      <c r="D16976" t="s">
        <v>52593</v>
      </c>
      <c r="E16976" t="b">
        <v>0</v>
      </c>
      <c r="F16976" t="s">
        <v>11622</v>
      </c>
      <c r="L16976">
        <v>0</v>
      </c>
      <c r="M16976">
        <v>3</v>
      </c>
      <c r="N16976">
        <v>0</v>
      </c>
    </row>
    <row r="16977" spans="1:15">
      <c r="A16977" t="s">
        <v>52594</v>
      </c>
      <c r="B16977" t="s">
        <v>11912</v>
      </c>
      <c r="C16977" t="s">
        <v>52595</v>
      </c>
      <c r="D16977" t="s">
        <v>52596</v>
      </c>
      <c r="E16977" t="b">
        <v>0</v>
      </c>
      <c r="F16977" t="s">
        <v>11624</v>
      </c>
      <c r="G16977">
        <v>-12.8553</v>
      </c>
      <c r="H16977">
        <v>-63.190300000000001</v>
      </c>
      <c r="I16977" t="s">
        <v>52597</v>
      </c>
      <c r="L16977">
        <v>0</v>
      </c>
      <c r="M16977">
        <v>0</v>
      </c>
      <c r="N16977">
        <v>0</v>
      </c>
      <c r="O16977" t="s">
        <v>14185</v>
      </c>
    </row>
    <row r="16978" spans="1:15">
      <c r="A16978" t="s">
        <v>52598</v>
      </c>
      <c r="B16978" t="s">
        <v>367</v>
      </c>
      <c r="C16978" t="s">
        <v>52599</v>
      </c>
      <c r="D16978" t="s">
        <v>52600</v>
      </c>
      <c r="E16978" t="b">
        <v>0</v>
      </c>
      <c r="F16978" t="s">
        <v>11624</v>
      </c>
      <c r="G16978">
        <v>-1.65</v>
      </c>
      <c r="H16978">
        <v>137.80000000000001</v>
      </c>
      <c r="L16978">
        <v>0</v>
      </c>
      <c r="M16978">
        <v>0</v>
      </c>
      <c r="N16978">
        <v>0</v>
      </c>
      <c r="O16978" t="s">
        <v>11768</v>
      </c>
    </row>
    <row r="16979" spans="1:15">
      <c r="A16979" t="s">
        <v>15132</v>
      </c>
      <c r="D16979" t="s">
        <v>52601</v>
      </c>
      <c r="E16979" t="b">
        <v>0</v>
      </c>
      <c r="F16979" t="s">
        <v>11622</v>
      </c>
      <c r="L16979">
        <v>2</v>
      </c>
      <c r="M16979">
        <v>5</v>
      </c>
      <c r="N16979">
        <v>3</v>
      </c>
    </row>
    <row r="16980" spans="1:15">
      <c r="A16980" t="s">
        <v>52602</v>
      </c>
      <c r="B16980" t="s">
        <v>8310</v>
      </c>
      <c r="C16980" t="s">
        <v>12854</v>
      </c>
      <c r="D16980" t="s">
        <v>52603</v>
      </c>
      <c r="E16980" t="b">
        <v>0</v>
      </c>
      <c r="F16980" t="s">
        <v>11624</v>
      </c>
      <c r="G16980">
        <v>-1.6900010000000001</v>
      </c>
      <c r="H16980">
        <v>-55.558776999999999</v>
      </c>
      <c r="L16980">
        <v>0</v>
      </c>
      <c r="M16980">
        <v>0</v>
      </c>
      <c r="N16980">
        <v>0</v>
      </c>
      <c r="O16980" t="s">
        <v>11969</v>
      </c>
    </row>
    <row r="16981" spans="1:15">
      <c r="A16981" t="s">
        <v>52604</v>
      </c>
      <c r="B16981" t="s">
        <v>8310</v>
      </c>
      <c r="C16981" t="s">
        <v>52382</v>
      </c>
      <c r="D16981" t="s">
        <v>52605</v>
      </c>
      <c r="E16981" t="b">
        <v>0</v>
      </c>
      <c r="F16981" t="s">
        <v>11624</v>
      </c>
      <c r="G16981">
        <v>1.4516880000000001</v>
      </c>
      <c r="H16981">
        <v>-62.518616000000002</v>
      </c>
      <c r="L16981">
        <v>0</v>
      </c>
      <c r="M16981">
        <v>0</v>
      </c>
      <c r="N16981">
        <v>0</v>
      </c>
      <c r="O16981" t="s">
        <v>11969</v>
      </c>
    </row>
    <row r="16982" spans="1:15">
      <c r="A16982" t="s">
        <v>52606</v>
      </c>
      <c r="B16982" t="s">
        <v>11637</v>
      </c>
      <c r="C16982" t="s">
        <v>13063</v>
      </c>
      <c r="D16982" t="s">
        <v>52607</v>
      </c>
      <c r="E16982" t="b">
        <v>0</v>
      </c>
      <c r="F16982" t="s">
        <v>11610</v>
      </c>
      <c r="L16982">
        <v>0</v>
      </c>
      <c r="M16982">
        <v>0</v>
      </c>
      <c r="N16982">
        <v>0</v>
      </c>
    </row>
    <row r="16983" spans="1:15">
      <c r="A16983" t="s">
        <v>52608</v>
      </c>
      <c r="B16983" t="s">
        <v>11757</v>
      </c>
      <c r="C16983" t="s">
        <v>13126</v>
      </c>
      <c r="D16983" t="s">
        <v>52609</v>
      </c>
      <c r="E16983" t="b">
        <v>0</v>
      </c>
      <c r="F16983" t="s">
        <v>11610</v>
      </c>
      <c r="L16983">
        <v>0</v>
      </c>
      <c r="M16983">
        <v>0</v>
      </c>
      <c r="N16983">
        <v>0</v>
      </c>
    </row>
    <row r="16984" spans="1:15">
      <c r="A16984" t="s">
        <v>15155</v>
      </c>
      <c r="D16984" t="s">
        <v>52610</v>
      </c>
      <c r="E16984" t="b">
        <v>0</v>
      </c>
      <c r="F16984" t="s">
        <v>11624</v>
      </c>
      <c r="G16984">
        <v>-6.8802099999999999</v>
      </c>
      <c r="H16984">
        <v>145.08099999999999</v>
      </c>
      <c r="I16984" t="s">
        <v>52611</v>
      </c>
      <c r="L16984">
        <v>0</v>
      </c>
      <c r="M16984">
        <v>0</v>
      </c>
      <c r="N16984">
        <v>2</v>
      </c>
      <c r="O16984" t="s">
        <v>11660</v>
      </c>
    </row>
    <row r="16985" spans="1:15">
      <c r="A16985" t="s">
        <v>52612</v>
      </c>
      <c r="B16985" t="s">
        <v>8310</v>
      </c>
      <c r="C16985" t="s">
        <v>23631</v>
      </c>
      <c r="D16985" t="s">
        <v>52613</v>
      </c>
      <c r="E16985" t="b">
        <v>0</v>
      </c>
      <c r="F16985" t="s">
        <v>11610</v>
      </c>
      <c r="L16985">
        <v>0</v>
      </c>
      <c r="M16985">
        <v>0</v>
      </c>
      <c r="N16985">
        <v>0</v>
      </c>
    </row>
    <row r="16986" spans="1:15">
      <c r="A16986" t="s">
        <v>36734</v>
      </c>
      <c r="B16986" t="s">
        <v>8146</v>
      </c>
      <c r="C16986" t="s">
        <v>48842</v>
      </c>
      <c r="D16986" t="s">
        <v>52614</v>
      </c>
      <c r="E16986" t="b">
        <v>0</v>
      </c>
      <c r="F16986" t="s">
        <v>11622</v>
      </c>
      <c r="L16986">
        <v>1</v>
      </c>
      <c r="M16986">
        <v>3</v>
      </c>
      <c r="N16986">
        <v>2</v>
      </c>
    </row>
    <row r="16987" spans="1:15">
      <c r="A16987" t="s">
        <v>14536</v>
      </c>
      <c r="B16987" t="s">
        <v>8146</v>
      </c>
      <c r="C16987" t="s">
        <v>36734</v>
      </c>
      <c r="D16987" t="s">
        <v>52615</v>
      </c>
      <c r="E16987" t="b">
        <v>0</v>
      </c>
      <c r="F16987" t="s">
        <v>11622</v>
      </c>
      <c r="L16987">
        <v>0</v>
      </c>
      <c r="M16987">
        <v>2</v>
      </c>
      <c r="N16987">
        <v>2</v>
      </c>
    </row>
    <row r="16988" spans="1:15">
      <c r="A16988" t="s">
        <v>312</v>
      </c>
      <c r="B16988" t="s">
        <v>8146</v>
      </c>
      <c r="C16988" t="s">
        <v>14536</v>
      </c>
      <c r="D16988" t="s">
        <v>311</v>
      </c>
      <c r="E16988" t="b">
        <v>0</v>
      </c>
      <c r="F16988" t="s">
        <v>11624</v>
      </c>
      <c r="G16988">
        <v>36.286200000000001</v>
      </c>
      <c r="H16988">
        <v>-96.893699999999995</v>
      </c>
      <c r="I16988" t="s">
        <v>313</v>
      </c>
      <c r="L16988">
        <v>0</v>
      </c>
      <c r="M16988">
        <v>0</v>
      </c>
      <c r="N16988">
        <v>2</v>
      </c>
      <c r="O16988" t="s">
        <v>11944</v>
      </c>
    </row>
    <row r="16989" spans="1:15">
      <c r="A16989" t="s">
        <v>52616</v>
      </c>
      <c r="D16989" t="s">
        <v>52617</v>
      </c>
      <c r="E16989" t="b">
        <v>0</v>
      </c>
      <c r="F16989" t="s">
        <v>11624</v>
      </c>
      <c r="G16989">
        <v>-20.212233000000001</v>
      </c>
      <c r="H16989">
        <v>-58.158622000000001</v>
      </c>
      <c r="L16989">
        <v>0</v>
      </c>
      <c r="M16989">
        <v>0</v>
      </c>
      <c r="N16989">
        <v>0</v>
      </c>
      <c r="O16989" t="s">
        <v>11916</v>
      </c>
    </row>
    <row r="16990" spans="1:15">
      <c r="A16990" t="s">
        <v>52618</v>
      </c>
      <c r="B16990" t="s">
        <v>13360</v>
      </c>
      <c r="C16990" t="s">
        <v>13360</v>
      </c>
      <c r="D16990" t="s">
        <v>52619</v>
      </c>
      <c r="E16990" t="b">
        <v>0</v>
      </c>
      <c r="F16990" t="s">
        <v>11624</v>
      </c>
      <c r="L16990">
        <v>0</v>
      </c>
      <c r="M16990">
        <v>0</v>
      </c>
      <c r="N16990">
        <v>0</v>
      </c>
      <c r="O16990" t="s">
        <v>11944</v>
      </c>
    </row>
    <row r="16991" spans="1:15">
      <c r="A16991" t="s">
        <v>52620</v>
      </c>
      <c r="B16991" t="s">
        <v>11834</v>
      </c>
      <c r="C16991" t="s">
        <v>8867</v>
      </c>
      <c r="D16991" t="s">
        <v>52621</v>
      </c>
      <c r="E16991" t="b">
        <v>0</v>
      </c>
      <c r="F16991" t="s">
        <v>11610</v>
      </c>
      <c r="L16991">
        <v>0</v>
      </c>
      <c r="M16991">
        <v>0</v>
      </c>
      <c r="N16991">
        <v>0</v>
      </c>
    </row>
    <row r="16992" spans="1:15">
      <c r="A16992" t="s">
        <v>52622</v>
      </c>
      <c r="B16992" t="s">
        <v>11615</v>
      </c>
      <c r="C16992" t="s">
        <v>14128</v>
      </c>
      <c r="D16992" t="s">
        <v>52623</v>
      </c>
      <c r="E16992" t="b">
        <v>0</v>
      </c>
      <c r="F16992" t="s">
        <v>11624</v>
      </c>
      <c r="G16992">
        <v>-4.9430300000000003</v>
      </c>
      <c r="H16992">
        <v>144.87899999999999</v>
      </c>
      <c r="I16992" t="s">
        <v>52624</v>
      </c>
      <c r="L16992">
        <v>0</v>
      </c>
      <c r="M16992">
        <v>0</v>
      </c>
      <c r="N16992">
        <v>0</v>
      </c>
      <c r="O16992" t="s">
        <v>11660</v>
      </c>
    </row>
    <row r="16993" spans="1:15">
      <c r="A16993" t="s">
        <v>52625</v>
      </c>
      <c r="B16993" t="s">
        <v>12438</v>
      </c>
      <c r="C16993" t="s">
        <v>12438</v>
      </c>
      <c r="D16993" t="s">
        <v>52626</v>
      </c>
      <c r="E16993" t="b">
        <v>0</v>
      </c>
      <c r="F16993" t="s">
        <v>11622</v>
      </c>
      <c r="L16993">
        <v>2</v>
      </c>
      <c r="M16993">
        <v>6</v>
      </c>
      <c r="N16993">
        <v>0</v>
      </c>
    </row>
    <row r="16994" spans="1:15">
      <c r="A16994" t="s">
        <v>52627</v>
      </c>
      <c r="B16994" t="s">
        <v>12438</v>
      </c>
      <c r="C16994" t="s">
        <v>52625</v>
      </c>
      <c r="D16994" t="s">
        <v>52628</v>
      </c>
      <c r="E16994" t="b">
        <v>0</v>
      </c>
      <c r="F16994" t="s">
        <v>11624</v>
      </c>
      <c r="G16994">
        <v>13.593</v>
      </c>
      <c r="H16994">
        <v>105.02800000000001</v>
      </c>
      <c r="I16994" t="s">
        <v>52629</v>
      </c>
      <c r="L16994">
        <v>0</v>
      </c>
      <c r="M16994">
        <v>0</v>
      </c>
      <c r="N16994">
        <v>0</v>
      </c>
      <c r="O16994" t="s">
        <v>20983</v>
      </c>
    </row>
    <row r="16995" spans="1:15">
      <c r="A16995" t="s">
        <v>52630</v>
      </c>
      <c r="B16995" t="s">
        <v>11686</v>
      </c>
      <c r="C16995" t="s">
        <v>11687</v>
      </c>
      <c r="D16995" t="s">
        <v>52631</v>
      </c>
      <c r="E16995" t="b">
        <v>0</v>
      </c>
      <c r="F16995" t="s">
        <v>11610</v>
      </c>
      <c r="L16995">
        <v>0</v>
      </c>
      <c r="M16995">
        <v>0</v>
      </c>
      <c r="N16995">
        <v>0</v>
      </c>
    </row>
    <row r="16996" spans="1:15">
      <c r="A16996" t="s">
        <v>52632</v>
      </c>
      <c r="D16996" t="s">
        <v>52633</v>
      </c>
      <c r="E16996" t="b">
        <v>0</v>
      </c>
      <c r="F16996" t="s">
        <v>11622</v>
      </c>
      <c r="L16996">
        <v>1</v>
      </c>
      <c r="M16996">
        <v>3</v>
      </c>
      <c r="N16996">
        <v>0</v>
      </c>
    </row>
    <row r="16997" spans="1:15">
      <c r="A16997" t="s">
        <v>52634</v>
      </c>
      <c r="B16997" t="s">
        <v>52632</v>
      </c>
      <c r="C16997" t="s">
        <v>52632</v>
      </c>
      <c r="D16997" t="s">
        <v>52635</v>
      </c>
      <c r="E16997" t="b">
        <v>0</v>
      </c>
      <c r="F16997" t="s">
        <v>11622</v>
      </c>
      <c r="L16997">
        <v>0</v>
      </c>
      <c r="M16997">
        <v>2</v>
      </c>
      <c r="N16997">
        <v>0</v>
      </c>
    </row>
    <row r="16998" spans="1:15">
      <c r="A16998" t="s">
        <v>52636</v>
      </c>
      <c r="B16998" t="s">
        <v>52632</v>
      </c>
      <c r="C16998" t="s">
        <v>52634</v>
      </c>
      <c r="D16998" t="s">
        <v>52637</v>
      </c>
      <c r="E16998" t="b">
        <v>0</v>
      </c>
      <c r="F16998" t="s">
        <v>11624</v>
      </c>
      <c r="G16998">
        <v>-3.5</v>
      </c>
      <c r="H16998">
        <v>-72</v>
      </c>
      <c r="L16998">
        <v>0</v>
      </c>
      <c r="M16998">
        <v>0</v>
      </c>
      <c r="N16998">
        <v>0</v>
      </c>
      <c r="O16998" t="s">
        <v>11778</v>
      </c>
    </row>
    <row r="16999" spans="1:15">
      <c r="A16999" t="s">
        <v>52638</v>
      </c>
      <c r="B16999" t="s">
        <v>6455</v>
      </c>
      <c r="C16999" t="s">
        <v>6455</v>
      </c>
      <c r="D16999" t="s">
        <v>52639</v>
      </c>
      <c r="E16999" t="b">
        <v>0</v>
      </c>
      <c r="F16999" t="s">
        <v>11624</v>
      </c>
      <c r="G16999">
        <v>15.8033</v>
      </c>
      <c r="H16999">
        <v>-85.558000000000007</v>
      </c>
      <c r="I16999" t="s">
        <v>52640</v>
      </c>
      <c r="L16999">
        <v>0</v>
      </c>
      <c r="M16999">
        <v>0</v>
      </c>
      <c r="N16999">
        <v>0</v>
      </c>
      <c r="O16999" t="s">
        <v>31399</v>
      </c>
    </row>
    <row r="17000" spans="1:15">
      <c r="A17000" t="s">
        <v>52641</v>
      </c>
      <c r="B17000" t="s">
        <v>331</v>
      </c>
      <c r="C17000" t="s">
        <v>52642</v>
      </c>
      <c r="D17000" t="s">
        <v>52643</v>
      </c>
      <c r="E17000" t="b">
        <v>0</v>
      </c>
      <c r="F17000" t="s">
        <v>11624</v>
      </c>
      <c r="I17000" t="s">
        <v>52644</v>
      </c>
      <c r="L17000">
        <v>0</v>
      </c>
      <c r="M17000">
        <v>0</v>
      </c>
      <c r="N17000">
        <v>0</v>
      </c>
      <c r="O17000" t="s">
        <v>12748</v>
      </c>
    </row>
    <row r="17001" spans="1:15">
      <c r="A17001" t="s">
        <v>4118</v>
      </c>
      <c r="B17001" t="s">
        <v>6742</v>
      </c>
      <c r="C17001" t="s">
        <v>52645</v>
      </c>
      <c r="D17001" t="s">
        <v>4116</v>
      </c>
      <c r="E17001" t="b">
        <v>0</v>
      </c>
      <c r="F17001" t="s">
        <v>11624</v>
      </c>
      <c r="G17001">
        <v>-24.799299999999999</v>
      </c>
      <c r="H17001">
        <v>29.471800000000002</v>
      </c>
      <c r="I17001" t="s">
        <v>52646</v>
      </c>
      <c r="L17001">
        <v>0</v>
      </c>
      <c r="M17001">
        <v>0</v>
      </c>
      <c r="N17001">
        <v>14</v>
      </c>
      <c r="O17001" t="s">
        <v>52647</v>
      </c>
    </row>
    <row r="17002" spans="1:15">
      <c r="A17002" t="s">
        <v>52648</v>
      </c>
      <c r="B17002" t="s">
        <v>6742</v>
      </c>
      <c r="C17002" t="s">
        <v>52649</v>
      </c>
      <c r="D17002" t="s">
        <v>52650</v>
      </c>
      <c r="E17002" t="b">
        <v>0</v>
      </c>
      <c r="F17002" t="s">
        <v>11624</v>
      </c>
      <c r="G17002">
        <v>9.2719100000000001</v>
      </c>
      <c r="H17002">
        <v>9.5643700000000003</v>
      </c>
      <c r="I17002" t="s">
        <v>52651</v>
      </c>
      <c r="L17002">
        <v>0</v>
      </c>
      <c r="M17002">
        <v>0</v>
      </c>
      <c r="N17002">
        <v>0</v>
      </c>
      <c r="O17002" t="s">
        <v>11693</v>
      </c>
    </row>
    <row r="17003" spans="1:15">
      <c r="A17003" t="s">
        <v>52652</v>
      </c>
      <c r="B17003" t="s">
        <v>11607</v>
      </c>
      <c r="C17003" t="s">
        <v>19488</v>
      </c>
      <c r="D17003" t="s">
        <v>52653</v>
      </c>
      <c r="E17003" t="b">
        <v>0</v>
      </c>
      <c r="F17003" t="s">
        <v>11610</v>
      </c>
      <c r="L17003">
        <v>0</v>
      </c>
      <c r="M17003">
        <v>0</v>
      </c>
      <c r="N17003">
        <v>0</v>
      </c>
    </row>
    <row r="17004" spans="1:15">
      <c r="A17004" t="s">
        <v>52654</v>
      </c>
      <c r="B17004" t="s">
        <v>6742</v>
      </c>
      <c r="C17004" t="s">
        <v>27905</v>
      </c>
      <c r="D17004" t="s">
        <v>52655</v>
      </c>
      <c r="E17004" t="b">
        <v>0</v>
      </c>
      <c r="F17004" t="s">
        <v>11610</v>
      </c>
      <c r="L17004">
        <v>0</v>
      </c>
      <c r="M17004">
        <v>0</v>
      </c>
      <c r="N17004">
        <v>0</v>
      </c>
    </row>
    <row r="17005" spans="1:15">
      <c r="A17005" t="s">
        <v>24069</v>
      </c>
      <c r="B17005" t="s">
        <v>6742</v>
      </c>
      <c r="C17005" t="s">
        <v>24791</v>
      </c>
      <c r="D17005" t="s">
        <v>52656</v>
      </c>
      <c r="E17005" t="b">
        <v>0</v>
      </c>
      <c r="F17005" t="s">
        <v>11624</v>
      </c>
      <c r="G17005">
        <v>7.82186</v>
      </c>
      <c r="H17005">
        <v>12.251799999999999</v>
      </c>
      <c r="I17005" t="s">
        <v>52657</v>
      </c>
      <c r="L17005">
        <v>0</v>
      </c>
      <c r="M17005">
        <v>0</v>
      </c>
      <c r="N17005">
        <v>3</v>
      </c>
      <c r="O17005" t="s">
        <v>11802</v>
      </c>
    </row>
    <row r="17006" spans="1:15">
      <c r="A17006" t="s">
        <v>52658</v>
      </c>
      <c r="B17006" t="s">
        <v>6742</v>
      </c>
      <c r="C17006" t="s">
        <v>24069</v>
      </c>
      <c r="D17006" t="s">
        <v>52659</v>
      </c>
      <c r="E17006" t="b">
        <v>0</v>
      </c>
      <c r="F17006" t="s">
        <v>11610</v>
      </c>
      <c r="L17006">
        <v>0</v>
      </c>
      <c r="M17006">
        <v>0</v>
      </c>
      <c r="N17006">
        <v>0</v>
      </c>
    </row>
    <row r="17007" spans="1:15">
      <c r="A17007" t="s">
        <v>52660</v>
      </c>
      <c r="B17007" t="s">
        <v>12438</v>
      </c>
      <c r="C17007" t="s">
        <v>43295</v>
      </c>
      <c r="D17007" t="s">
        <v>52661</v>
      </c>
      <c r="E17007" t="b">
        <v>0</v>
      </c>
      <c r="F17007" t="s">
        <v>11610</v>
      </c>
      <c r="L17007">
        <v>0</v>
      </c>
      <c r="M17007">
        <v>0</v>
      </c>
      <c r="N17007">
        <v>0</v>
      </c>
    </row>
    <row r="17008" spans="1:15">
      <c r="A17008" t="s">
        <v>52662</v>
      </c>
      <c r="B17008" t="s">
        <v>11607</v>
      </c>
      <c r="C17008" t="s">
        <v>19488</v>
      </c>
      <c r="D17008" t="s">
        <v>52663</v>
      </c>
      <c r="E17008" t="b">
        <v>0</v>
      </c>
      <c r="F17008" t="s">
        <v>11610</v>
      </c>
      <c r="L17008">
        <v>0</v>
      </c>
      <c r="M17008">
        <v>0</v>
      </c>
      <c r="N17008">
        <v>0</v>
      </c>
    </row>
    <row r="17009" spans="1:15">
      <c r="A17009" t="s">
        <v>52664</v>
      </c>
      <c r="B17009" t="s">
        <v>14372</v>
      </c>
      <c r="C17009" t="s">
        <v>1236</v>
      </c>
      <c r="D17009" t="s">
        <v>52665</v>
      </c>
      <c r="E17009" t="b">
        <v>0</v>
      </c>
      <c r="F17009" t="s">
        <v>11610</v>
      </c>
      <c r="L17009">
        <v>0</v>
      </c>
      <c r="M17009">
        <v>0</v>
      </c>
      <c r="N17009">
        <v>0</v>
      </c>
    </row>
    <row r="17010" spans="1:15">
      <c r="A17010" t="s">
        <v>52666</v>
      </c>
      <c r="B17010" t="s">
        <v>49698</v>
      </c>
      <c r="C17010" t="s">
        <v>49699</v>
      </c>
      <c r="D17010" t="s">
        <v>52667</v>
      </c>
      <c r="E17010" t="b">
        <v>0</v>
      </c>
      <c r="F17010" t="s">
        <v>11624</v>
      </c>
      <c r="G17010">
        <v>-4.4397399999999996</v>
      </c>
      <c r="H17010">
        <v>142.24700000000001</v>
      </c>
      <c r="I17010" t="s">
        <v>52668</v>
      </c>
      <c r="L17010">
        <v>0</v>
      </c>
      <c r="M17010">
        <v>0</v>
      </c>
      <c r="N17010">
        <v>0</v>
      </c>
      <c r="O17010" t="s">
        <v>11660</v>
      </c>
    </row>
    <row r="17011" spans="1:15">
      <c r="A17011" t="s">
        <v>52669</v>
      </c>
      <c r="B17011" t="s">
        <v>367</v>
      </c>
      <c r="C17011" t="s">
        <v>41052</v>
      </c>
      <c r="D17011" t="s">
        <v>52670</v>
      </c>
      <c r="E17011" t="b">
        <v>0</v>
      </c>
      <c r="F17011" t="s">
        <v>11624</v>
      </c>
      <c r="G17011">
        <v>-3.0224799999999998</v>
      </c>
      <c r="H17011">
        <v>101.691</v>
      </c>
      <c r="I17011" t="s">
        <v>52671</v>
      </c>
      <c r="L17011">
        <v>0</v>
      </c>
      <c r="M17011">
        <v>0</v>
      </c>
      <c r="N17011">
        <v>0</v>
      </c>
      <c r="O17011" t="s">
        <v>11768</v>
      </c>
    </row>
    <row r="17012" spans="1:15">
      <c r="A17012" t="s">
        <v>52672</v>
      </c>
      <c r="B17012" t="s">
        <v>11615</v>
      </c>
      <c r="C17012" t="s">
        <v>27544</v>
      </c>
      <c r="D17012" t="s">
        <v>52673</v>
      </c>
      <c r="E17012" t="b">
        <v>0</v>
      </c>
      <c r="F17012" t="s">
        <v>11622</v>
      </c>
      <c r="L17012">
        <v>1</v>
      </c>
      <c r="M17012">
        <v>4</v>
      </c>
      <c r="N17012">
        <v>0</v>
      </c>
    </row>
    <row r="17013" spans="1:15">
      <c r="A17013" t="s">
        <v>52674</v>
      </c>
      <c r="B17013" t="s">
        <v>367</v>
      </c>
      <c r="C17013" t="s">
        <v>52501</v>
      </c>
      <c r="D17013" t="s">
        <v>52675</v>
      </c>
      <c r="E17013" t="b">
        <v>0</v>
      </c>
      <c r="F17013" t="s">
        <v>11610</v>
      </c>
      <c r="L17013">
        <v>0</v>
      </c>
      <c r="M17013">
        <v>0</v>
      </c>
      <c r="N17013">
        <v>0</v>
      </c>
    </row>
    <row r="17014" spans="1:15">
      <c r="A17014" t="s">
        <v>16110</v>
      </c>
      <c r="B17014" t="s">
        <v>8310</v>
      </c>
      <c r="C17014" t="s">
        <v>8310</v>
      </c>
      <c r="D17014" t="s">
        <v>52676</v>
      </c>
      <c r="E17014" t="b">
        <v>0</v>
      </c>
      <c r="F17014" t="s">
        <v>11622</v>
      </c>
      <c r="L17014">
        <v>1</v>
      </c>
      <c r="M17014">
        <v>5</v>
      </c>
      <c r="N17014">
        <v>0</v>
      </c>
    </row>
    <row r="17015" spans="1:15">
      <c r="A17015" t="s">
        <v>52677</v>
      </c>
      <c r="B17015" t="s">
        <v>11644</v>
      </c>
      <c r="C17015" t="s">
        <v>43122</v>
      </c>
      <c r="D17015" t="s">
        <v>52678</v>
      </c>
      <c r="E17015" t="b">
        <v>0</v>
      </c>
      <c r="F17015" t="s">
        <v>11624</v>
      </c>
      <c r="G17015">
        <v>24.214200000000002</v>
      </c>
      <c r="H17015">
        <v>97.918300000000002</v>
      </c>
      <c r="I17015" t="s">
        <v>52679</v>
      </c>
      <c r="L17015">
        <v>0</v>
      </c>
      <c r="M17015">
        <v>0</v>
      </c>
      <c r="N17015">
        <v>0</v>
      </c>
      <c r="O17015" t="s">
        <v>11905</v>
      </c>
    </row>
    <row r="17016" spans="1:15">
      <c r="A17016" t="s">
        <v>52680</v>
      </c>
      <c r="B17016" t="s">
        <v>367</v>
      </c>
      <c r="C17016" t="s">
        <v>41027</v>
      </c>
      <c r="D17016" t="s">
        <v>52681</v>
      </c>
      <c r="E17016" t="b">
        <v>0</v>
      </c>
      <c r="F17016" t="s">
        <v>11610</v>
      </c>
      <c r="L17016">
        <v>0</v>
      </c>
      <c r="M17016">
        <v>0</v>
      </c>
      <c r="N17016">
        <v>0</v>
      </c>
    </row>
    <row r="17017" spans="1:15">
      <c r="A17017" t="s">
        <v>52682</v>
      </c>
      <c r="B17017" t="s">
        <v>367</v>
      </c>
      <c r="C17017" t="s">
        <v>30793</v>
      </c>
      <c r="D17017" t="s">
        <v>52683</v>
      </c>
      <c r="E17017" t="b">
        <v>0</v>
      </c>
      <c r="F17017" t="s">
        <v>11610</v>
      </c>
      <c r="L17017">
        <v>0</v>
      </c>
      <c r="M17017">
        <v>0</v>
      </c>
      <c r="N17017">
        <v>0</v>
      </c>
    </row>
    <row r="17018" spans="1:15">
      <c r="A17018" t="s">
        <v>52684</v>
      </c>
      <c r="B17018" t="s">
        <v>11607</v>
      </c>
      <c r="C17018" t="s">
        <v>20452</v>
      </c>
      <c r="D17018" t="s">
        <v>52685</v>
      </c>
      <c r="E17018" t="b">
        <v>0</v>
      </c>
      <c r="F17018" t="s">
        <v>11610</v>
      </c>
      <c r="L17018">
        <v>0</v>
      </c>
      <c r="M17018">
        <v>0</v>
      </c>
      <c r="N17018">
        <v>0</v>
      </c>
    </row>
    <row r="17019" spans="1:15">
      <c r="A17019" t="s">
        <v>52686</v>
      </c>
      <c r="B17019" t="s">
        <v>6742</v>
      </c>
      <c r="C17019" t="s">
        <v>40738</v>
      </c>
      <c r="D17019" t="s">
        <v>52687</v>
      </c>
      <c r="E17019" t="b">
        <v>0</v>
      </c>
      <c r="F17019" t="s">
        <v>11610</v>
      </c>
      <c r="G17019">
        <v>-4.9087699999999996</v>
      </c>
      <c r="H17019">
        <v>17.3142</v>
      </c>
      <c r="I17019" t="s">
        <v>52688</v>
      </c>
      <c r="L17019">
        <v>0</v>
      </c>
      <c r="M17019">
        <v>0</v>
      </c>
      <c r="N17019">
        <v>0</v>
      </c>
      <c r="O17019" t="s">
        <v>14825</v>
      </c>
    </row>
    <row r="17020" spans="1:15">
      <c r="A17020" t="s">
        <v>14939</v>
      </c>
      <c r="D17020" t="s">
        <v>52689</v>
      </c>
      <c r="E17020" t="b">
        <v>0</v>
      </c>
      <c r="F17020" t="s">
        <v>11624</v>
      </c>
      <c r="G17020">
        <v>-5.5804499999999999</v>
      </c>
      <c r="H17020">
        <v>151.05000000000001</v>
      </c>
      <c r="I17020" t="s">
        <v>52690</v>
      </c>
      <c r="L17020">
        <v>0</v>
      </c>
      <c r="M17020">
        <v>0</v>
      </c>
      <c r="N17020">
        <v>2</v>
      </c>
      <c r="O17020" t="s">
        <v>11660</v>
      </c>
    </row>
    <row r="17021" spans="1:15">
      <c r="A17021" t="s">
        <v>52691</v>
      </c>
      <c r="B17021" t="s">
        <v>14939</v>
      </c>
      <c r="C17021" t="s">
        <v>14939</v>
      </c>
      <c r="D17021" t="s">
        <v>52692</v>
      </c>
      <c r="E17021" t="b">
        <v>0</v>
      </c>
      <c r="F17021" t="s">
        <v>11610</v>
      </c>
      <c r="L17021">
        <v>0</v>
      </c>
      <c r="M17021">
        <v>0</v>
      </c>
      <c r="N17021">
        <v>0</v>
      </c>
    </row>
    <row r="17022" spans="1:15">
      <c r="A17022" t="s">
        <v>52693</v>
      </c>
      <c r="B17022" t="s">
        <v>11644</v>
      </c>
      <c r="C17022" t="s">
        <v>22458</v>
      </c>
      <c r="D17022" t="s">
        <v>52694</v>
      </c>
      <c r="E17022" t="b">
        <v>0</v>
      </c>
      <c r="F17022" t="s">
        <v>11610</v>
      </c>
      <c r="L17022">
        <v>0</v>
      </c>
      <c r="M17022">
        <v>0</v>
      </c>
      <c r="N17022">
        <v>0</v>
      </c>
    </row>
    <row r="17023" spans="1:15">
      <c r="A17023" t="s">
        <v>52695</v>
      </c>
      <c r="B17023" t="s">
        <v>11637</v>
      </c>
      <c r="C17023" t="s">
        <v>14993</v>
      </c>
      <c r="D17023" t="s">
        <v>52696</v>
      </c>
      <c r="E17023" t="b">
        <v>0</v>
      </c>
      <c r="F17023" t="s">
        <v>11610</v>
      </c>
      <c r="L17023">
        <v>0</v>
      </c>
      <c r="M17023">
        <v>0</v>
      </c>
      <c r="N17023">
        <v>0</v>
      </c>
    </row>
    <row r="17024" spans="1:15">
      <c r="A17024" t="s">
        <v>52697</v>
      </c>
      <c r="B17024" t="s">
        <v>367</v>
      </c>
      <c r="C17024" t="s">
        <v>52501</v>
      </c>
      <c r="D17024" t="s">
        <v>52698</v>
      </c>
      <c r="E17024" t="b">
        <v>0</v>
      </c>
      <c r="F17024" t="s">
        <v>11610</v>
      </c>
      <c r="L17024">
        <v>0</v>
      </c>
      <c r="M17024">
        <v>0</v>
      </c>
      <c r="N17024">
        <v>0</v>
      </c>
    </row>
    <row r="17025" spans="1:15">
      <c r="A17025" t="s">
        <v>52699</v>
      </c>
      <c r="B17025" t="s">
        <v>6742</v>
      </c>
      <c r="C17025" t="s">
        <v>13575</v>
      </c>
      <c r="D17025" t="s">
        <v>52700</v>
      </c>
      <c r="E17025" t="b">
        <v>0</v>
      </c>
      <c r="F17025" t="s">
        <v>11610</v>
      </c>
      <c r="L17025">
        <v>0</v>
      </c>
      <c r="M17025">
        <v>0</v>
      </c>
      <c r="N17025">
        <v>0</v>
      </c>
    </row>
    <row r="17026" spans="1:15">
      <c r="A17026" t="s">
        <v>52701</v>
      </c>
      <c r="B17026" t="s">
        <v>8310</v>
      </c>
      <c r="C17026" t="s">
        <v>42815</v>
      </c>
      <c r="D17026" t="s">
        <v>52702</v>
      </c>
      <c r="E17026" t="b">
        <v>0</v>
      </c>
      <c r="F17026" t="s">
        <v>11624</v>
      </c>
      <c r="G17026">
        <v>5.2480000000000002</v>
      </c>
      <c r="H17026">
        <v>-66.081999999999994</v>
      </c>
      <c r="I17026" t="s">
        <v>52703</v>
      </c>
      <c r="L17026">
        <v>0</v>
      </c>
      <c r="M17026">
        <v>0</v>
      </c>
      <c r="N17026">
        <v>0</v>
      </c>
      <c r="O17026" t="s">
        <v>16711</v>
      </c>
    </row>
    <row r="17027" spans="1:15">
      <c r="A17027" t="s">
        <v>27178</v>
      </c>
      <c r="B17027" t="s">
        <v>8310</v>
      </c>
      <c r="C17027" t="s">
        <v>42813</v>
      </c>
      <c r="D17027" t="s">
        <v>52704</v>
      </c>
      <c r="E17027" t="b">
        <v>0</v>
      </c>
      <c r="F17027" t="s">
        <v>11622</v>
      </c>
      <c r="L17027">
        <v>2</v>
      </c>
      <c r="M17027">
        <v>5</v>
      </c>
      <c r="N17027">
        <v>6</v>
      </c>
    </row>
    <row r="17028" spans="1:15">
      <c r="A17028" t="s">
        <v>34961</v>
      </c>
      <c r="B17028" t="s">
        <v>8310</v>
      </c>
      <c r="C17028" t="s">
        <v>27178</v>
      </c>
      <c r="D17028" t="s">
        <v>52705</v>
      </c>
      <c r="E17028" t="b">
        <v>0</v>
      </c>
      <c r="F17028" t="s">
        <v>11622</v>
      </c>
      <c r="L17028">
        <v>1</v>
      </c>
      <c r="M17028">
        <v>4</v>
      </c>
      <c r="N17028">
        <v>6</v>
      </c>
    </row>
    <row r="17029" spans="1:15">
      <c r="A17029" t="s">
        <v>14449</v>
      </c>
      <c r="B17029" t="s">
        <v>8310</v>
      </c>
      <c r="C17029" t="s">
        <v>34961</v>
      </c>
      <c r="D17029" t="s">
        <v>52706</v>
      </c>
      <c r="E17029" t="b">
        <v>0</v>
      </c>
      <c r="F17029" t="s">
        <v>11624</v>
      </c>
      <c r="G17029">
        <v>4.9703099999999996</v>
      </c>
      <c r="H17029">
        <v>-61.403300000000002</v>
      </c>
      <c r="I17029" t="s">
        <v>52707</v>
      </c>
      <c r="L17029">
        <v>0</v>
      </c>
      <c r="M17029">
        <v>0</v>
      </c>
      <c r="N17029">
        <v>6</v>
      </c>
      <c r="O17029" t="s">
        <v>12706</v>
      </c>
    </row>
    <row r="17030" spans="1:15">
      <c r="A17030" t="s">
        <v>52708</v>
      </c>
      <c r="B17030" t="s">
        <v>11981</v>
      </c>
      <c r="C17030" t="s">
        <v>12200</v>
      </c>
      <c r="D17030" t="s">
        <v>52709</v>
      </c>
      <c r="E17030" t="b">
        <v>0</v>
      </c>
      <c r="F17030" t="s">
        <v>11624</v>
      </c>
      <c r="G17030">
        <v>5.375</v>
      </c>
      <c r="H17030">
        <v>100.254</v>
      </c>
      <c r="I17030" t="s">
        <v>52710</v>
      </c>
      <c r="L17030">
        <v>0</v>
      </c>
      <c r="M17030">
        <v>0</v>
      </c>
      <c r="N17030">
        <v>0</v>
      </c>
      <c r="O17030" t="s">
        <v>11672</v>
      </c>
    </row>
    <row r="17031" spans="1:15">
      <c r="A17031" t="s">
        <v>52711</v>
      </c>
      <c r="B17031" t="s">
        <v>367</v>
      </c>
      <c r="C17031" t="s">
        <v>14563</v>
      </c>
      <c r="D17031" t="s">
        <v>52712</v>
      </c>
      <c r="E17031" t="b">
        <v>0</v>
      </c>
      <c r="F17031" t="s">
        <v>11610</v>
      </c>
      <c r="L17031">
        <v>0</v>
      </c>
      <c r="M17031">
        <v>0</v>
      </c>
      <c r="N17031">
        <v>0</v>
      </c>
    </row>
    <row r="17032" spans="1:15">
      <c r="A17032" t="s">
        <v>52713</v>
      </c>
      <c r="B17032" t="s">
        <v>367</v>
      </c>
      <c r="C17032" t="s">
        <v>14735</v>
      </c>
      <c r="D17032" t="s">
        <v>52714</v>
      </c>
      <c r="E17032" t="b">
        <v>0</v>
      </c>
      <c r="F17032" t="s">
        <v>11610</v>
      </c>
      <c r="L17032">
        <v>0</v>
      </c>
      <c r="M17032">
        <v>0</v>
      </c>
      <c r="N17032">
        <v>0</v>
      </c>
    </row>
    <row r="17033" spans="1:15">
      <c r="A17033" t="s">
        <v>52715</v>
      </c>
      <c r="B17033" t="s">
        <v>367</v>
      </c>
      <c r="C17033" t="s">
        <v>17133</v>
      </c>
      <c r="D17033" t="s">
        <v>52716</v>
      </c>
      <c r="E17033" t="b">
        <v>0</v>
      </c>
      <c r="F17033" t="s">
        <v>11610</v>
      </c>
      <c r="L17033">
        <v>0</v>
      </c>
      <c r="M17033">
        <v>0</v>
      </c>
      <c r="N17033">
        <v>0</v>
      </c>
    </row>
    <row r="17034" spans="1:15">
      <c r="A17034" t="s">
        <v>52717</v>
      </c>
      <c r="B17034" t="s">
        <v>367</v>
      </c>
      <c r="C17034" t="s">
        <v>19210</v>
      </c>
      <c r="D17034" t="s">
        <v>52718</v>
      </c>
      <c r="E17034" t="b">
        <v>0</v>
      </c>
      <c r="F17034" t="s">
        <v>11610</v>
      </c>
      <c r="L17034">
        <v>0</v>
      </c>
      <c r="M17034">
        <v>0</v>
      </c>
      <c r="N17034">
        <v>0</v>
      </c>
    </row>
    <row r="17035" spans="1:15">
      <c r="A17035" t="s">
        <v>52719</v>
      </c>
      <c r="B17035" t="s">
        <v>367</v>
      </c>
      <c r="C17035" t="s">
        <v>19210</v>
      </c>
      <c r="D17035" t="s">
        <v>52720</v>
      </c>
      <c r="E17035" t="b">
        <v>0</v>
      </c>
      <c r="F17035" t="s">
        <v>11610</v>
      </c>
      <c r="L17035">
        <v>0</v>
      </c>
      <c r="M17035">
        <v>0</v>
      </c>
      <c r="N17035">
        <v>0</v>
      </c>
    </row>
    <row r="17036" spans="1:15">
      <c r="A17036" t="s">
        <v>52721</v>
      </c>
      <c r="B17036" t="s">
        <v>367</v>
      </c>
      <c r="C17036" t="s">
        <v>19210</v>
      </c>
      <c r="D17036" t="s">
        <v>52722</v>
      </c>
      <c r="E17036" t="b">
        <v>0</v>
      </c>
      <c r="F17036" t="s">
        <v>11610</v>
      </c>
      <c r="L17036">
        <v>0</v>
      </c>
      <c r="M17036">
        <v>0</v>
      </c>
      <c r="N17036">
        <v>0</v>
      </c>
    </row>
    <row r="17037" spans="1:15">
      <c r="A17037" t="s">
        <v>52723</v>
      </c>
      <c r="B17037" t="s">
        <v>367</v>
      </c>
      <c r="C17037" t="s">
        <v>19210</v>
      </c>
      <c r="D17037" t="s">
        <v>52724</v>
      </c>
      <c r="E17037" t="b">
        <v>0</v>
      </c>
      <c r="F17037" t="s">
        <v>11610</v>
      </c>
      <c r="L17037">
        <v>0</v>
      </c>
      <c r="M17037">
        <v>0</v>
      </c>
      <c r="N17037">
        <v>0</v>
      </c>
    </row>
    <row r="17038" spans="1:15">
      <c r="A17038" t="s">
        <v>52725</v>
      </c>
      <c r="B17038" t="s">
        <v>367</v>
      </c>
      <c r="C17038" t="s">
        <v>19210</v>
      </c>
      <c r="D17038" t="s">
        <v>52726</v>
      </c>
      <c r="E17038" t="b">
        <v>0</v>
      </c>
      <c r="F17038" t="s">
        <v>11610</v>
      </c>
      <c r="L17038">
        <v>0</v>
      </c>
      <c r="M17038">
        <v>0</v>
      </c>
      <c r="N17038">
        <v>0</v>
      </c>
    </row>
    <row r="17039" spans="1:15">
      <c r="A17039" t="s">
        <v>52727</v>
      </c>
      <c r="B17039" t="s">
        <v>367</v>
      </c>
      <c r="C17039" t="s">
        <v>26233</v>
      </c>
      <c r="D17039" t="s">
        <v>52728</v>
      </c>
      <c r="E17039" t="b">
        <v>0</v>
      </c>
      <c r="F17039" t="s">
        <v>11610</v>
      </c>
      <c r="L17039">
        <v>0</v>
      </c>
      <c r="M17039">
        <v>0</v>
      </c>
      <c r="N17039">
        <v>0</v>
      </c>
    </row>
    <row r="17040" spans="1:15">
      <c r="A17040" t="s">
        <v>52729</v>
      </c>
      <c r="B17040" t="s">
        <v>1342</v>
      </c>
      <c r="C17040" t="s">
        <v>13525</v>
      </c>
      <c r="D17040" t="s">
        <v>52730</v>
      </c>
      <c r="E17040" t="b">
        <v>0</v>
      </c>
      <c r="F17040" t="s">
        <v>11624</v>
      </c>
      <c r="G17040">
        <v>14.38</v>
      </c>
      <c r="H17040">
        <v>-4.03</v>
      </c>
      <c r="L17040">
        <v>0</v>
      </c>
      <c r="M17040">
        <v>0</v>
      </c>
      <c r="N17040">
        <v>0</v>
      </c>
      <c r="O17040" t="s">
        <v>13528</v>
      </c>
    </row>
    <row r="17041" spans="1:15">
      <c r="A17041" t="s">
        <v>26234</v>
      </c>
      <c r="B17041" t="s">
        <v>367</v>
      </c>
      <c r="C17041" t="s">
        <v>40703</v>
      </c>
      <c r="D17041" t="s">
        <v>52731</v>
      </c>
      <c r="E17041" t="b">
        <v>0</v>
      </c>
      <c r="F17041" t="s">
        <v>11622</v>
      </c>
      <c r="L17041">
        <v>1</v>
      </c>
      <c r="M17041">
        <v>3</v>
      </c>
      <c r="N17041">
        <v>17</v>
      </c>
    </row>
    <row r="17042" spans="1:15">
      <c r="A17042" t="s">
        <v>52732</v>
      </c>
      <c r="B17042" t="s">
        <v>367</v>
      </c>
      <c r="C17042" t="s">
        <v>39877</v>
      </c>
      <c r="D17042" t="s">
        <v>52733</v>
      </c>
      <c r="E17042" t="b">
        <v>0</v>
      </c>
      <c r="F17042" t="s">
        <v>11624</v>
      </c>
      <c r="G17042">
        <v>-2.2989099999999998</v>
      </c>
      <c r="H17042">
        <v>147.81</v>
      </c>
      <c r="I17042" t="s">
        <v>52734</v>
      </c>
      <c r="L17042">
        <v>0</v>
      </c>
      <c r="M17042">
        <v>0</v>
      </c>
      <c r="N17042">
        <v>0</v>
      </c>
      <c r="O17042" t="s">
        <v>11660</v>
      </c>
    </row>
    <row r="17043" spans="1:15">
      <c r="A17043" t="s">
        <v>52735</v>
      </c>
      <c r="B17043" t="s">
        <v>367</v>
      </c>
      <c r="C17043" t="s">
        <v>48150</v>
      </c>
      <c r="D17043" t="s">
        <v>52736</v>
      </c>
      <c r="E17043" t="b">
        <v>0</v>
      </c>
      <c r="F17043" t="s">
        <v>11610</v>
      </c>
      <c r="L17043">
        <v>0</v>
      </c>
      <c r="M17043">
        <v>0</v>
      </c>
      <c r="N17043">
        <v>0</v>
      </c>
    </row>
    <row r="17044" spans="1:15">
      <c r="A17044" t="s">
        <v>52737</v>
      </c>
      <c r="B17044" t="s">
        <v>367</v>
      </c>
      <c r="C17044" t="s">
        <v>16239</v>
      </c>
      <c r="D17044" t="s">
        <v>52738</v>
      </c>
      <c r="E17044" t="b">
        <v>0</v>
      </c>
      <c r="F17044" t="s">
        <v>11624</v>
      </c>
      <c r="G17044">
        <v>-0.11396000000000001</v>
      </c>
      <c r="H17044">
        <v>119.86199999999999</v>
      </c>
      <c r="I17044" t="s">
        <v>52739</v>
      </c>
      <c r="L17044">
        <v>0</v>
      </c>
      <c r="M17044">
        <v>0</v>
      </c>
      <c r="N17044">
        <v>0</v>
      </c>
      <c r="O17044" t="s">
        <v>11768</v>
      </c>
    </row>
    <row r="17045" spans="1:15">
      <c r="A17045" t="s">
        <v>52740</v>
      </c>
      <c r="B17045" t="s">
        <v>9071</v>
      </c>
      <c r="C17045" t="s">
        <v>8224</v>
      </c>
      <c r="D17045" t="s">
        <v>52741</v>
      </c>
      <c r="E17045" t="b">
        <v>0</v>
      </c>
      <c r="F17045" t="s">
        <v>11610</v>
      </c>
      <c r="L17045">
        <v>0</v>
      </c>
      <c r="M17045">
        <v>0</v>
      </c>
      <c r="N17045">
        <v>0</v>
      </c>
    </row>
    <row r="17046" spans="1:15">
      <c r="A17046" t="s">
        <v>52742</v>
      </c>
      <c r="B17046" t="s">
        <v>11627</v>
      </c>
      <c r="C17046" t="s">
        <v>11627</v>
      </c>
      <c r="D17046" t="s">
        <v>52743</v>
      </c>
      <c r="E17046" t="b">
        <v>1</v>
      </c>
      <c r="F17046" t="s">
        <v>11624</v>
      </c>
      <c r="I17046" t="s">
        <v>52744</v>
      </c>
      <c r="L17046">
        <v>0</v>
      </c>
      <c r="M17046">
        <v>0</v>
      </c>
      <c r="N17046">
        <v>0</v>
      </c>
    </row>
    <row r="17047" spans="1:15">
      <c r="A17047" t="s">
        <v>15350</v>
      </c>
      <c r="B17047" t="s">
        <v>11844</v>
      </c>
      <c r="C17047" t="s">
        <v>42419</v>
      </c>
      <c r="D17047" t="s">
        <v>52745</v>
      </c>
      <c r="E17047" t="b">
        <v>0</v>
      </c>
      <c r="F17047" t="s">
        <v>11624</v>
      </c>
      <c r="G17047">
        <v>19.343499999999999</v>
      </c>
      <c r="H17047">
        <v>83.655199999999994</v>
      </c>
      <c r="I17047" t="s">
        <v>52746</v>
      </c>
      <c r="L17047">
        <v>0</v>
      </c>
      <c r="M17047">
        <v>0</v>
      </c>
      <c r="N17047">
        <v>2</v>
      </c>
      <c r="O17047" t="s">
        <v>11630</v>
      </c>
    </row>
    <row r="17048" spans="1:15">
      <c r="A17048" t="s">
        <v>52747</v>
      </c>
      <c r="B17048" t="s">
        <v>367</v>
      </c>
      <c r="C17048" t="s">
        <v>5309</v>
      </c>
      <c r="D17048" t="s">
        <v>52748</v>
      </c>
      <c r="E17048" t="b">
        <v>0</v>
      </c>
      <c r="F17048" t="s">
        <v>11610</v>
      </c>
      <c r="L17048">
        <v>0</v>
      </c>
      <c r="M17048">
        <v>0</v>
      </c>
      <c r="N17048">
        <v>0</v>
      </c>
    </row>
    <row r="17049" spans="1:15">
      <c r="A17049" t="s">
        <v>52749</v>
      </c>
      <c r="B17049" t="s">
        <v>6742</v>
      </c>
      <c r="C17049" t="s">
        <v>46789</v>
      </c>
      <c r="D17049" t="s">
        <v>52750</v>
      </c>
      <c r="E17049" t="b">
        <v>0</v>
      </c>
      <c r="F17049" t="s">
        <v>11610</v>
      </c>
      <c r="L17049">
        <v>0</v>
      </c>
      <c r="M17049">
        <v>0</v>
      </c>
      <c r="N17049">
        <v>0</v>
      </c>
    </row>
    <row r="17050" spans="1:15">
      <c r="A17050" t="s">
        <v>36484</v>
      </c>
      <c r="B17050" t="s">
        <v>12260</v>
      </c>
      <c r="C17050" t="s">
        <v>25888</v>
      </c>
      <c r="D17050" t="s">
        <v>52751</v>
      </c>
      <c r="E17050" t="b">
        <v>0</v>
      </c>
      <c r="F17050" t="s">
        <v>11622</v>
      </c>
      <c r="L17050">
        <v>0</v>
      </c>
      <c r="M17050">
        <v>2</v>
      </c>
      <c r="N17050">
        <v>0</v>
      </c>
    </row>
    <row r="17051" spans="1:15">
      <c r="A17051" t="s">
        <v>13481</v>
      </c>
      <c r="B17051" t="s">
        <v>11637</v>
      </c>
      <c r="C17051" t="s">
        <v>51975</v>
      </c>
      <c r="D17051" t="s">
        <v>52752</v>
      </c>
      <c r="E17051" t="b">
        <v>0</v>
      </c>
      <c r="F17051" t="s">
        <v>11624</v>
      </c>
      <c r="G17051">
        <v>40.030507</v>
      </c>
      <c r="H17051">
        <v>-76.321100000000001</v>
      </c>
      <c r="I17051" t="s">
        <v>52753</v>
      </c>
      <c r="L17051">
        <v>0</v>
      </c>
      <c r="M17051">
        <v>0</v>
      </c>
      <c r="N17051">
        <v>2</v>
      </c>
      <c r="O17051" t="s">
        <v>14875</v>
      </c>
    </row>
    <row r="17052" spans="1:15">
      <c r="A17052" t="s">
        <v>52754</v>
      </c>
      <c r="B17052" t="s">
        <v>11729</v>
      </c>
      <c r="C17052" t="s">
        <v>30056</v>
      </c>
      <c r="D17052" t="s">
        <v>52755</v>
      </c>
      <c r="E17052" t="b">
        <v>0</v>
      </c>
      <c r="F17052" t="s">
        <v>11610</v>
      </c>
      <c r="L17052">
        <v>0</v>
      </c>
      <c r="M17052">
        <v>0</v>
      </c>
      <c r="N17052">
        <v>0</v>
      </c>
    </row>
    <row r="17053" spans="1:15">
      <c r="A17053" t="s">
        <v>52756</v>
      </c>
      <c r="B17053" t="s">
        <v>12979</v>
      </c>
      <c r="C17053" t="s">
        <v>26356</v>
      </c>
      <c r="D17053" t="s">
        <v>52757</v>
      </c>
      <c r="E17053" t="b">
        <v>0</v>
      </c>
      <c r="F17053" t="s">
        <v>11610</v>
      </c>
      <c r="L17053">
        <v>0</v>
      </c>
      <c r="M17053">
        <v>0</v>
      </c>
      <c r="N17053">
        <v>0</v>
      </c>
    </row>
    <row r="17054" spans="1:15">
      <c r="A17054" t="s">
        <v>52758</v>
      </c>
      <c r="B17054" t="s">
        <v>11879</v>
      </c>
      <c r="C17054" t="s">
        <v>24942</v>
      </c>
      <c r="D17054" t="s">
        <v>52759</v>
      </c>
      <c r="E17054" t="b">
        <v>0</v>
      </c>
      <c r="F17054" t="s">
        <v>11624</v>
      </c>
      <c r="G17054">
        <v>17.0671</v>
      </c>
      <c r="H17054">
        <v>-97.010099999999994</v>
      </c>
      <c r="I17054" t="s">
        <v>52760</v>
      </c>
      <c r="L17054">
        <v>0</v>
      </c>
      <c r="M17054">
        <v>0</v>
      </c>
      <c r="N17054">
        <v>3</v>
      </c>
      <c r="O17054" t="s">
        <v>12238</v>
      </c>
    </row>
    <row r="17055" spans="1:15">
      <c r="A17055" t="s">
        <v>52761</v>
      </c>
      <c r="B17055" t="s">
        <v>367</v>
      </c>
      <c r="C17055" t="s">
        <v>21542</v>
      </c>
      <c r="D17055" t="s">
        <v>52762</v>
      </c>
      <c r="E17055" t="b">
        <v>0</v>
      </c>
      <c r="F17055" t="s">
        <v>11624</v>
      </c>
      <c r="G17055">
        <v>-9.0822380000000003</v>
      </c>
      <c r="H17055">
        <v>-157.92290800000001</v>
      </c>
      <c r="I17055" t="s">
        <v>52763</v>
      </c>
      <c r="L17055">
        <v>0</v>
      </c>
      <c r="M17055">
        <v>0</v>
      </c>
      <c r="N17055">
        <v>0</v>
      </c>
      <c r="O17055" t="s">
        <v>52764</v>
      </c>
    </row>
    <row r="17056" spans="1:15">
      <c r="A17056" t="s">
        <v>52765</v>
      </c>
      <c r="B17056" t="s">
        <v>367</v>
      </c>
      <c r="C17056" t="s">
        <v>13191</v>
      </c>
      <c r="D17056" t="s">
        <v>52766</v>
      </c>
      <c r="E17056" t="b">
        <v>0</v>
      </c>
      <c r="F17056" t="s">
        <v>11610</v>
      </c>
      <c r="L17056">
        <v>0</v>
      </c>
      <c r="M17056">
        <v>0</v>
      </c>
      <c r="N17056">
        <v>0</v>
      </c>
    </row>
    <row r="17057" spans="1:15">
      <c r="A17057" t="s">
        <v>52767</v>
      </c>
      <c r="B17057" t="s">
        <v>9071</v>
      </c>
      <c r="C17057" t="s">
        <v>21688</v>
      </c>
      <c r="D17057" t="s">
        <v>52768</v>
      </c>
      <c r="E17057" t="b">
        <v>0</v>
      </c>
      <c r="F17057" t="s">
        <v>11624</v>
      </c>
      <c r="G17057">
        <v>49.193600000000004</v>
      </c>
      <c r="H17057">
        <v>-124.68899999999999</v>
      </c>
      <c r="I17057" t="s">
        <v>52769</v>
      </c>
      <c r="L17057">
        <v>0</v>
      </c>
      <c r="M17057">
        <v>0</v>
      </c>
      <c r="N17057">
        <v>0</v>
      </c>
      <c r="O17057" t="s">
        <v>13049</v>
      </c>
    </row>
    <row r="17058" spans="1:15">
      <c r="A17058" t="s">
        <v>52770</v>
      </c>
      <c r="B17058" t="s">
        <v>6742</v>
      </c>
      <c r="C17058" t="s">
        <v>52771</v>
      </c>
      <c r="D17058" t="s">
        <v>52772</v>
      </c>
      <c r="E17058" t="b">
        <v>0</v>
      </c>
      <c r="F17058" t="s">
        <v>11610</v>
      </c>
      <c r="L17058">
        <v>0</v>
      </c>
      <c r="M17058">
        <v>0</v>
      </c>
      <c r="N17058">
        <v>0</v>
      </c>
    </row>
    <row r="17059" spans="1:15">
      <c r="A17059" t="s">
        <v>52773</v>
      </c>
      <c r="B17059" t="s">
        <v>12979</v>
      </c>
      <c r="C17059" t="s">
        <v>44284</v>
      </c>
      <c r="D17059" t="s">
        <v>52774</v>
      </c>
      <c r="E17059" t="b">
        <v>0</v>
      </c>
      <c r="F17059" t="s">
        <v>11610</v>
      </c>
      <c r="L17059">
        <v>0</v>
      </c>
      <c r="M17059">
        <v>0</v>
      </c>
      <c r="N17059">
        <v>0</v>
      </c>
    </row>
    <row r="17060" spans="1:15">
      <c r="A17060" t="s">
        <v>52775</v>
      </c>
      <c r="B17060" t="s">
        <v>6742</v>
      </c>
      <c r="C17060" t="s">
        <v>33830</v>
      </c>
      <c r="D17060" t="s">
        <v>52776</v>
      </c>
      <c r="E17060" t="b">
        <v>0</v>
      </c>
      <c r="F17060" t="s">
        <v>11610</v>
      </c>
      <c r="L17060">
        <v>0</v>
      </c>
      <c r="M17060">
        <v>0</v>
      </c>
      <c r="N17060">
        <v>0</v>
      </c>
    </row>
    <row r="17061" spans="1:15">
      <c r="A17061" t="s">
        <v>52777</v>
      </c>
      <c r="B17061" t="s">
        <v>12979</v>
      </c>
      <c r="C17061" t="s">
        <v>44967</v>
      </c>
      <c r="D17061" t="s">
        <v>52778</v>
      </c>
      <c r="E17061" t="b">
        <v>0</v>
      </c>
      <c r="F17061" t="s">
        <v>11610</v>
      </c>
      <c r="G17061">
        <v>41.55</v>
      </c>
      <c r="H17061">
        <v>-72</v>
      </c>
      <c r="I17061" t="s">
        <v>52779</v>
      </c>
      <c r="L17061">
        <v>0</v>
      </c>
      <c r="M17061">
        <v>0</v>
      </c>
      <c r="N17061">
        <v>0</v>
      </c>
    </row>
    <row r="17062" spans="1:15">
      <c r="A17062" t="s">
        <v>52780</v>
      </c>
      <c r="B17062" t="s">
        <v>12260</v>
      </c>
      <c r="C17062" t="s">
        <v>10115</v>
      </c>
      <c r="D17062" t="s">
        <v>52781</v>
      </c>
      <c r="E17062" t="b">
        <v>0</v>
      </c>
      <c r="F17062" t="s">
        <v>11610</v>
      </c>
      <c r="L17062">
        <v>0</v>
      </c>
      <c r="M17062">
        <v>0</v>
      </c>
      <c r="N17062">
        <v>0</v>
      </c>
    </row>
    <row r="17063" spans="1:15">
      <c r="A17063" t="s">
        <v>52782</v>
      </c>
      <c r="B17063" t="s">
        <v>12438</v>
      </c>
      <c r="C17063" t="s">
        <v>18163</v>
      </c>
      <c r="D17063" t="s">
        <v>52783</v>
      </c>
      <c r="E17063" t="b">
        <v>0</v>
      </c>
      <c r="F17063" t="s">
        <v>11610</v>
      </c>
      <c r="L17063">
        <v>0</v>
      </c>
      <c r="M17063">
        <v>0</v>
      </c>
      <c r="N17063">
        <v>0</v>
      </c>
    </row>
    <row r="17064" spans="1:15">
      <c r="A17064" t="s">
        <v>52784</v>
      </c>
      <c r="B17064" t="s">
        <v>12438</v>
      </c>
      <c r="C17064" t="s">
        <v>18163</v>
      </c>
      <c r="D17064" t="s">
        <v>52785</v>
      </c>
      <c r="E17064" t="b">
        <v>0</v>
      </c>
      <c r="F17064" t="s">
        <v>11610</v>
      </c>
      <c r="L17064">
        <v>0</v>
      </c>
      <c r="M17064">
        <v>0</v>
      </c>
      <c r="N17064">
        <v>0</v>
      </c>
    </row>
    <row r="17065" spans="1:15">
      <c r="A17065" t="s">
        <v>52786</v>
      </c>
      <c r="B17065" t="s">
        <v>367</v>
      </c>
      <c r="C17065" t="s">
        <v>18166</v>
      </c>
      <c r="D17065" t="s">
        <v>52787</v>
      </c>
      <c r="E17065" t="b">
        <v>0</v>
      </c>
      <c r="F17065" t="s">
        <v>11624</v>
      </c>
      <c r="G17065">
        <v>-7.9820000000000002</v>
      </c>
      <c r="H17065">
        <v>112.619</v>
      </c>
      <c r="I17065" t="s">
        <v>52788</v>
      </c>
      <c r="L17065">
        <v>0</v>
      </c>
      <c r="M17065">
        <v>0</v>
      </c>
      <c r="N17065">
        <v>0</v>
      </c>
      <c r="O17065" t="s">
        <v>11768</v>
      </c>
    </row>
    <row r="17066" spans="1:15">
      <c r="A17066" t="s">
        <v>45201</v>
      </c>
      <c r="B17066" t="s">
        <v>367</v>
      </c>
      <c r="C17066" t="s">
        <v>14223</v>
      </c>
      <c r="D17066" t="s">
        <v>52789</v>
      </c>
      <c r="E17066" t="b">
        <v>0</v>
      </c>
      <c r="F17066" t="s">
        <v>11624</v>
      </c>
      <c r="G17066">
        <v>-7.6234900000000003</v>
      </c>
      <c r="H17066">
        <v>126.57599999999999</v>
      </c>
      <c r="I17066" t="s">
        <v>52790</v>
      </c>
      <c r="L17066">
        <v>0</v>
      </c>
      <c r="M17066">
        <v>0</v>
      </c>
      <c r="N17066">
        <v>2</v>
      </c>
      <c r="O17066" t="s">
        <v>11768</v>
      </c>
    </row>
    <row r="17067" spans="1:15">
      <c r="A17067" t="s">
        <v>52791</v>
      </c>
      <c r="B17067" t="s">
        <v>367</v>
      </c>
      <c r="C17067" t="s">
        <v>32254</v>
      </c>
      <c r="D17067" t="s">
        <v>52792</v>
      </c>
      <c r="E17067" t="b">
        <v>0</v>
      </c>
      <c r="F17067" t="s">
        <v>11622</v>
      </c>
      <c r="L17067">
        <v>1</v>
      </c>
      <c r="M17067">
        <v>3</v>
      </c>
      <c r="N17067">
        <v>11</v>
      </c>
    </row>
    <row r="17068" spans="1:15">
      <c r="A17068" t="s">
        <v>14223</v>
      </c>
      <c r="B17068" t="s">
        <v>367</v>
      </c>
      <c r="C17068" t="s">
        <v>52791</v>
      </c>
      <c r="D17068" t="s">
        <v>52793</v>
      </c>
      <c r="E17068" t="b">
        <v>0</v>
      </c>
      <c r="F17068" t="s">
        <v>11622</v>
      </c>
      <c r="L17068">
        <v>0</v>
      </c>
      <c r="M17068">
        <v>2</v>
      </c>
      <c r="N17068">
        <v>5</v>
      </c>
    </row>
    <row r="17069" spans="1:15">
      <c r="A17069" t="s">
        <v>50657</v>
      </c>
      <c r="B17069" t="s">
        <v>6742</v>
      </c>
      <c r="C17069" t="s">
        <v>52794</v>
      </c>
      <c r="D17069" t="s">
        <v>52795</v>
      </c>
      <c r="E17069" t="b">
        <v>0</v>
      </c>
      <c r="F17069" t="s">
        <v>11622</v>
      </c>
      <c r="L17069">
        <v>0</v>
      </c>
      <c r="M17069">
        <v>2</v>
      </c>
      <c r="N17069">
        <v>0</v>
      </c>
    </row>
    <row r="17070" spans="1:15">
      <c r="A17070" t="s">
        <v>52796</v>
      </c>
      <c r="B17070" t="s">
        <v>11615</v>
      </c>
      <c r="C17070" t="s">
        <v>31162</v>
      </c>
      <c r="D17070" t="s">
        <v>52797</v>
      </c>
      <c r="E17070" t="b">
        <v>0</v>
      </c>
      <c r="F17070" t="s">
        <v>11610</v>
      </c>
      <c r="L17070">
        <v>0</v>
      </c>
      <c r="M17070">
        <v>0</v>
      </c>
      <c r="N17070">
        <v>0</v>
      </c>
    </row>
    <row r="17071" spans="1:15">
      <c r="A17071" t="s">
        <v>52798</v>
      </c>
      <c r="B17071" t="s">
        <v>1342</v>
      </c>
      <c r="C17071" t="s">
        <v>16382</v>
      </c>
      <c r="D17071" t="s">
        <v>52799</v>
      </c>
      <c r="E17071" t="b">
        <v>0</v>
      </c>
      <c r="F17071" t="s">
        <v>11610</v>
      </c>
      <c r="L17071">
        <v>0</v>
      </c>
      <c r="M17071">
        <v>0</v>
      </c>
      <c r="N17071">
        <v>0</v>
      </c>
    </row>
    <row r="17072" spans="1:15">
      <c r="A17072" t="s">
        <v>52800</v>
      </c>
      <c r="B17072" t="s">
        <v>13360</v>
      </c>
      <c r="C17072" t="s">
        <v>13360</v>
      </c>
      <c r="D17072" t="s">
        <v>52801</v>
      </c>
      <c r="E17072" t="b">
        <v>0</v>
      </c>
      <c r="F17072" t="s">
        <v>11624</v>
      </c>
      <c r="G17072">
        <v>23.316718000000002</v>
      </c>
      <c r="H17072">
        <v>-109.614813</v>
      </c>
      <c r="L17072">
        <v>0</v>
      </c>
      <c r="M17072">
        <v>0</v>
      </c>
      <c r="N17072">
        <v>0</v>
      </c>
      <c r="O17072" t="s">
        <v>11883</v>
      </c>
    </row>
    <row r="17073" spans="1:15">
      <c r="A17073" t="s">
        <v>22113</v>
      </c>
      <c r="B17073" t="s">
        <v>12250</v>
      </c>
      <c r="C17073" t="s">
        <v>30625</v>
      </c>
      <c r="D17073" t="s">
        <v>52802</v>
      </c>
      <c r="E17073" t="b">
        <v>0</v>
      </c>
      <c r="F17073" t="s">
        <v>11624</v>
      </c>
      <c r="G17073">
        <v>42.4208</v>
      </c>
      <c r="H17073">
        <v>110.157</v>
      </c>
      <c r="I17073" t="s">
        <v>52803</v>
      </c>
      <c r="L17073">
        <v>0</v>
      </c>
      <c r="M17073">
        <v>0</v>
      </c>
      <c r="N17073">
        <v>9</v>
      </c>
      <c r="O17073" t="s">
        <v>52804</v>
      </c>
    </row>
    <row r="17074" spans="1:15">
      <c r="A17074" t="s">
        <v>5427</v>
      </c>
      <c r="B17074" t="s">
        <v>11644</v>
      </c>
      <c r="C17074" t="s">
        <v>21410</v>
      </c>
      <c r="D17074" t="s">
        <v>52805</v>
      </c>
      <c r="E17074" t="b">
        <v>0</v>
      </c>
      <c r="F17074" t="s">
        <v>11622</v>
      </c>
      <c r="L17074">
        <v>3</v>
      </c>
      <c r="M17074">
        <v>5</v>
      </c>
      <c r="N17074">
        <v>12</v>
      </c>
    </row>
    <row r="17075" spans="1:15">
      <c r="A17075" t="s">
        <v>52806</v>
      </c>
      <c r="B17075" t="s">
        <v>6742</v>
      </c>
      <c r="C17075" t="s">
        <v>52807</v>
      </c>
      <c r="D17075" t="s">
        <v>52808</v>
      </c>
      <c r="E17075" t="b">
        <v>0</v>
      </c>
      <c r="F17075" t="s">
        <v>11610</v>
      </c>
      <c r="L17075">
        <v>0</v>
      </c>
      <c r="M17075">
        <v>0</v>
      </c>
      <c r="N17075">
        <v>0</v>
      </c>
    </row>
    <row r="17076" spans="1:15">
      <c r="A17076" t="s">
        <v>52809</v>
      </c>
      <c r="B17076" t="s">
        <v>6742</v>
      </c>
      <c r="C17076" t="s">
        <v>32125</v>
      </c>
      <c r="D17076" t="s">
        <v>52810</v>
      </c>
      <c r="E17076" t="b">
        <v>0</v>
      </c>
      <c r="F17076" t="s">
        <v>11610</v>
      </c>
      <c r="L17076">
        <v>0</v>
      </c>
      <c r="M17076">
        <v>0</v>
      </c>
      <c r="N17076">
        <v>0</v>
      </c>
    </row>
    <row r="17077" spans="1:15">
      <c r="A17077" t="s">
        <v>21563</v>
      </c>
      <c r="B17077" t="s">
        <v>367</v>
      </c>
      <c r="C17077" t="s">
        <v>50194</v>
      </c>
      <c r="D17077" t="s">
        <v>52811</v>
      </c>
      <c r="E17077" t="b">
        <v>0</v>
      </c>
      <c r="F17077" t="s">
        <v>11622</v>
      </c>
      <c r="L17077">
        <v>11</v>
      </c>
      <c r="M17077">
        <v>20</v>
      </c>
      <c r="N17077">
        <v>57</v>
      </c>
    </row>
    <row r="17078" spans="1:15">
      <c r="A17078" t="s">
        <v>36300</v>
      </c>
      <c r="B17078" t="s">
        <v>11644</v>
      </c>
      <c r="C17078" t="s">
        <v>21988</v>
      </c>
      <c r="D17078" t="s">
        <v>52812</v>
      </c>
      <c r="E17078" t="b">
        <v>0</v>
      </c>
      <c r="F17078" t="s">
        <v>11622</v>
      </c>
      <c r="L17078">
        <v>9</v>
      </c>
      <c r="M17078">
        <v>22</v>
      </c>
      <c r="N17078">
        <v>46</v>
      </c>
    </row>
    <row r="17079" spans="1:15">
      <c r="A17079" t="s">
        <v>16818</v>
      </c>
      <c r="B17079" t="s">
        <v>367</v>
      </c>
      <c r="C17079" t="s">
        <v>21848</v>
      </c>
      <c r="D17079" t="s">
        <v>52813</v>
      </c>
      <c r="E17079" t="b">
        <v>0</v>
      </c>
      <c r="F17079" t="s">
        <v>11622</v>
      </c>
      <c r="L17079">
        <v>2</v>
      </c>
      <c r="M17079">
        <v>6</v>
      </c>
      <c r="N17079">
        <v>4</v>
      </c>
    </row>
    <row r="17080" spans="1:15">
      <c r="A17080" t="s">
        <v>47794</v>
      </c>
      <c r="B17080" t="s">
        <v>367</v>
      </c>
      <c r="C17080" t="s">
        <v>21961</v>
      </c>
      <c r="D17080" t="s">
        <v>52814</v>
      </c>
      <c r="E17080" t="b">
        <v>0</v>
      </c>
      <c r="F17080" t="s">
        <v>11622</v>
      </c>
      <c r="L17080">
        <v>6</v>
      </c>
      <c r="M17080">
        <v>14</v>
      </c>
      <c r="N17080">
        <v>4</v>
      </c>
    </row>
    <row r="17081" spans="1:15">
      <c r="A17081" t="s">
        <v>52815</v>
      </c>
      <c r="B17081" t="s">
        <v>12260</v>
      </c>
      <c r="C17081" t="s">
        <v>1461</v>
      </c>
      <c r="D17081" t="s">
        <v>52816</v>
      </c>
      <c r="E17081" t="b">
        <v>0</v>
      </c>
      <c r="F17081" t="s">
        <v>11610</v>
      </c>
      <c r="L17081">
        <v>0</v>
      </c>
      <c r="M17081">
        <v>0</v>
      </c>
      <c r="N17081">
        <v>0</v>
      </c>
    </row>
    <row r="17082" spans="1:15">
      <c r="A17082" t="s">
        <v>52817</v>
      </c>
      <c r="B17082" t="s">
        <v>11894</v>
      </c>
      <c r="C17082" t="s">
        <v>38147</v>
      </c>
      <c r="D17082" t="s">
        <v>52818</v>
      </c>
      <c r="E17082" t="b">
        <v>0</v>
      </c>
      <c r="F17082" t="s">
        <v>11610</v>
      </c>
      <c r="L17082">
        <v>0</v>
      </c>
      <c r="M17082">
        <v>0</v>
      </c>
      <c r="N17082">
        <v>2</v>
      </c>
    </row>
    <row r="17083" spans="1:15">
      <c r="A17083" t="s">
        <v>52819</v>
      </c>
      <c r="B17083" t="s">
        <v>11894</v>
      </c>
      <c r="C17083" t="s">
        <v>52817</v>
      </c>
      <c r="D17083" t="s">
        <v>52820</v>
      </c>
      <c r="E17083" t="b">
        <v>0</v>
      </c>
      <c r="F17083" t="s">
        <v>11610</v>
      </c>
      <c r="L17083">
        <v>0</v>
      </c>
      <c r="M17083">
        <v>0</v>
      </c>
      <c r="N17083">
        <v>0</v>
      </c>
    </row>
    <row r="17084" spans="1:15">
      <c r="A17084" t="s">
        <v>37152</v>
      </c>
      <c r="B17084" t="s">
        <v>12260</v>
      </c>
      <c r="C17084" t="s">
        <v>12260</v>
      </c>
      <c r="D17084" t="s">
        <v>52821</v>
      </c>
      <c r="E17084" t="b">
        <v>0</v>
      </c>
      <c r="F17084" t="s">
        <v>11622</v>
      </c>
      <c r="L17084">
        <v>1</v>
      </c>
      <c r="M17084">
        <v>4</v>
      </c>
      <c r="N17084">
        <v>8</v>
      </c>
    </row>
    <row r="17085" spans="1:15">
      <c r="A17085" t="s">
        <v>52822</v>
      </c>
      <c r="B17085" t="s">
        <v>11607</v>
      </c>
      <c r="C17085" t="s">
        <v>38448</v>
      </c>
      <c r="D17085" t="s">
        <v>52823</v>
      </c>
      <c r="E17085" t="b">
        <v>0</v>
      </c>
      <c r="F17085" t="s">
        <v>11624</v>
      </c>
      <c r="G17085">
        <v>9.6209199999999999</v>
      </c>
      <c r="H17085">
        <v>11.044</v>
      </c>
      <c r="I17085" t="s">
        <v>52824</v>
      </c>
      <c r="L17085">
        <v>0</v>
      </c>
      <c r="M17085">
        <v>0</v>
      </c>
      <c r="N17085">
        <v>0</v>
      </c>
      <c r="O17085" t="s">
        <v>11693</v>
      </c>
    </row>
    <row r="17086" spans="1:15">
      <c r="A17086" t="s">
        <v>52825</v>
      </c>
      <c r="B17086" t="s">
        <v>11981</v>
      </c>
      <c r="C17086" t="s">
        <v>12200</v>
      </c>
      <c r="D17086" t="s">
        <v>52826</v>
      </c>
      <c r="E17086" t="b">
        <v>0</v>
      </c>
      <c r="F17086" t="s">
        <v>11624</v>
      </c>
      <c r="G17086">
        <v>35.6922</v>
      </c>
      <c r="H17086">
        <v>51.099600000000002</v>
      </c>
      <c r="I17086" t="s">
        <v>52827</v>
      </c>
      <c r="L17086">
        <v>0</v>
      </c>
      <c r="M17086">
        <v>0</v>
      </c>
      <c r="N17086">
        <v>0</v>
      </c>
      <c r="O17086" t="s">
        <v>13225</v>
      </c>
    </row>
    <row r="17087" spans="1:15">
      <c r="A17087" t="s">
        <v>12205</v>
      </c>
      <c r="B17087" t="s">
        <v>12204</v>
      </c>
      <c r="C17087" t="s">
        <v>12204</v>
      </c>
      <c r="D17087" t="s">
        <v>52828</v>
      </c>
      <c r="E17087" t="b">
        <v>0</v>
      </c>
      <c r="F17087" t="s">
        <v>11622</v>
      </c>
      <c r="L17087">
        <v>0</v>
      </c>
      <c r="M17087">
        <v>4</v>
      </c>
      <c r="N17087">
        <v>0</v>
      </c>
    </row>
    <row r="17088" spans="1:15">
      <c r="A17088" t="s">
        <v>52829</v>
      </c>
      <c r="B17088" t="s">
        <v>11981</v>
      </c>
      <c r="C17088" t="s">
        <v>32478</v>
      </c>
      <c r="D17088" t="s">
        <v>52830</v>
      </c>
      <c r="E17088" t="b">
        <v>0</v>
      </c>
      <c r="F17088" t="s">
        <v>11624</v>
      </c>
      <c r="G17088">
        <v>-11.9008</v>
      </c>
      <c r="H17088">
        <v>-76.821299999999994</v>
      </c>
      <c r="I17088" t="s">
        <v>52831</v>
      </c>
      <c r="L17088">
        <v>0</v>
      </c>
      <c r="M17088">
        <v>0</v>
      </c>
      <c r="N17088">
        <v>0</v>
      </c>
      <c r="O17088" t="s">
        <v>11778</v>
      </c>
    </row>
    <row r="17089" spans="1:15">
      <c r="A17089" t="s">
        <v>32478</v>
      </c>
      <c r="B17089" t="s">
        <v>11981</v>
      </c>
      <c r="C17089" t="s">
        <v>19263</v>
      </c>
      <c r="D17089" t="s">
        <v>52832</v>
      </c>
      <c r="E17089" t="b">
        <v>0</v>
      </c>
      <c r="F17089" t="s">
        <v>11622</v>
      </c>
      <c r="L17089">
        <v>0</v>
      </c>
      <c r="M17089">
        <v>2</v>
      </c>
      <c r="N17089">
        <v>0</v>
      </c>
    </row>
    <row r="17090" spans="1:15">
      <c r="A17090" t="s">
        <v>52833</v>
      </c>
      <c r="B17090" t="s">
        <v>11637</v>
      </c>
      <c r="C17090" t="s">
        <v>15097</v>
      </c>
      <c r="D17090" t="s">
        <v>52834</v>
      </c>
      <c r="E17090" t="b">
        <v>0</v>
      </c>
      <c r="F17090" t="s">
        <v>11610</v>
      </c>
      <c r="L17090">
        <v>0</v>
      </c>
      <c r="M17090">
        <v>0</v>
      </c>
      <c r="N17090">
        <v>0</v>
      </c>
    </row>
    <row r="17091" spans="1:15">
      <c r="A17091" t="s">
        <v>52835</v>
      </c>
      <c r="B17091" t="s">
        <v>6742</v>
      </c>
      <c r="C17091" t="s">
        <v>3999</v>
      </c>
      <c r="D17091" t="s">
        <v>52836</v>
      </c>
      <c r="E17091" t="b">
        <v>0</v>
      </c>
      <c r="F17091" t="s">
        <v>11610</v>
      </c>
      <c r="L17091">
        <v>0</v>
      </c>
      <c r="M17091">
        <v>0</v>
      </c>
      <c r="N17091">
        <v>0</v>
      </c>
    </row>
    <row r="17092" spans="1:15">
      <c r="A17092" t="s">
        <v>31201</v>
      </c>
      <c r="B17092" t="s">
        <v>367</v>
      </c>
      <c r="C17092" t="s">
        <v>20158</v>
      </c>
      <c r="D17092" t="s">
        <v>52837</v>
      </c>
      <c r="E17092" t="b">
        <v>0</v>
      </c>
      <c r="F17092" t="s">
        <v>11624</v>
      </c>
      <c r="G17092">
        <v>-5.3406799999999999</v>
      </c>
      <c r="H17092">
        <v>154.59299999999999</v>
      </c>
      <c r="I17092" t="s">
        <v>52838</v>
      </c>
      <c r="L17092">
        <v>0</v>
      </c>
      <c r="M17092">
        <v>0</v>
      </c>
      <c r="N17092">
        <v>3</v>
      </c>
      <c r="O17092" t="s">
        <v>11660</v>
      </c>
    </row>
    <row r="17093" spans="1:15">
      <c r="A17093" t="s">
        <v>52839</v>
      </c>
      <c r="B17093" t="s">
        <v>367</v>
      </c>
      <c r="C17093" t="s">
        <v>35244</v>
      </c>
      <c r="D17093" t="s">
        <v>52840</v>
      </c>
      <c r="E17093" t="b">
        <v>0</v>
      </c>
      <c r="F17093" t="s">
        <v>11610</v>
      </c>
      <c r="L17093">
        <v>0</v>
      </c>
      <c r="M17093">
        <v>0</v>
      </c>
      <c r="N17093">
        <v>0</v>
      </c>
    </row>
    <row r="17094" spans="1:15">
      <c r="A17094" t="s">
        <v>52841</v>
      </c>
      <c r="B17094" t="s">
        <v>11879</v>
      </c>
      <c r="C17094" t="s">
        <v>14920</v>
      </c>
      <c r="D17094" t="s">
        <v>52842</v>
      </c>
      <c r="E17094" t="b">
        <v>0</v>
      </c>
      <c r="F17094" t="s">
        <v>11624</v>
      </c>
      <c r="G17094">
        <v>16.802299999999999</v>
      </c>
      <c r="H17094">
        <v>-95.111800000000002</v>
      </c>
      <c r="I17094" t="s">
        <v>52843</v>
      </c>
      <c r="L17094">
        <v>0</v>
      </c>
      <c r="M17094">
        <v>0</v>
      </c>
      <c r="N17094">
        <v>0</v>
      </c>
      <c r="O17094" t="s">
        <v>11883</v>
      </c>
    </row>
    <row r="17095" spans="1:15">
      <c r="A17095" t="s">
        <v>52844</v>
      </c>
      <c r="B17095" t="s">
        <v>5058</v>
      </c>
      <c r="C17095" t="s">
        <v>31279</v>
      </c>
      <c r="D17095" t="s">
        <v>52845</v>
      </c>
      <c r="E17095" t="b">
        <v>0</v>
      </c>
      <c r="F17095" t="s">
        <v>11610</v>
      </c>
      <c r="L17095">
        <v>0</v>
      </c>
      <c r="M17095">
        <v>0</v>
      </c>
      <c r="N17095">
        <v>0</v>
      </c>
    </row>
    <row r="17096" spans="1:15">
      <c r="A17096" t="s">
        <v>52846</v>
      </c>
      <c r="B17096" t="s">
        <v>367</v>
      </c>
      <c r="C17096" t="s">
        <v>21535</v>
      </c>
      <c r="D17096" t="s">
        <v>52847</v>
      </c>
      <c r="E17096" t="b">
        <v>0</v>
      </c>
      <c r="F17096" t="s">
        <v>11610</v>
      </c>
      <c r="L17096">
        <v>0</v>
      </c>
      <c r="M17096">
        <v>0</v>
      </c>
      <c r="N17096">
        <v>0</v>
      </c>
    </row>
    <row r="17097" spans="1:15">
      <c r="A17097" t="s">
        <v>52848</v>
      </c>
      <c r="B17097" t="s">
        <v>11637</v>
      </c>
      <c r="C17097" t="s">
        <v>12228</v>
      </c>
      <c r="D17097" t="s">
        <v>52849</v>
      </c>
      <c r="E17097" t="b">
        <v>0</v>
      </c>
      <c r="F17097" t="s">
        <v>11624</v>
      </c>
      <c r="G17097">
        <v>-6.1659300000000004</v>
      </c>
      <c r="H17097">
        <v>106.8</v>
      </c>
      <c r="I17097" t="s">
        <v>52850</v>
      </c>
      <c r="L17097">
        <v>0</v>
      </c>
      <c r="M17097">
        <v>0</v>
      </c>
      <c r="N17097">
        <v>0</v>
      </c>
      <c r="O17097" t="s">
        <v>11768</v>
      </c>
    </row>
    <row r="17098" spans="1:15">
      <c r="A17098" t="s">
        <v>52851</v>
      </c>
      <c r="B17098" t="s">
        <v>11879</v>
      </c>
      <c r="C17098" t="s">
        <v>12991</v>
      </c>
      <c r="D17098" t="s">
        <v>52852</v>
      </c>
      <c r="E17098" t="b">
        <v>0</v>
      </c>
      <c r="F17098" t="s">
        <v>11610</v>
      </c>
      <c r="L17098">
        <v>0</v>
      </c>
      <c r="M17098">
        <v>0</v>
      </c>
      <c r="N17098">
        <v>0</v>
      </c>
    </row>
    <row r="17099" spans="1:15">
      <c r="A17099" t="s">
        <v>52853</v>
      </c>
      <c r="B17099" t="s">
        <v>367</v>
      </c>
      <c r="C17099" t="s">
        <v>40787</v>
      </c>
      <c r="D17099" t="s">
        <v>52854</v>
      </c>
      <c r="E17099" t="b">
        <v>0</v>
      </c>
      <c r="F17099" t="s">
        <v>11610</v>
      </c>
      <c r="L17099">
        <v>0</v>
      </c>
      <c r="M17099">
        <v>0</v>
      </c>
      <c r="N17099">
        <v>0</v>
      </c>
    </row>
    <row r="17100" spans="1:15">
      <c r="A17100" t="s">
        <v>50058</v>
      </c>
      <c r="B17100" t="s">
        <v>300</v>
      </c>
      <c r="C17100" t="s">
        <v>23399</v>
      </c>
      <c r="D17100" t="s">
        <v>52855</v>
      </c>
      <c r="E17100" t="b">
        <v>0</v>
      </c>
      <c r="F17100" t="s">
        <v>11610</v>
      </c>
      <c r="L17100">
        <v>0</v>
      </c>
      <c r="M17100">
        <v>0</v>
      </c>
      <c r="N17100">
        <v>2</v>
      </c>
    </row>
    <row r="17101" spans="1:15">
      <c r="A17101" t="s">
        <v>52856</v>
      </c>
      <c r="B17101" t="s">
        <v>300</v>
      </c>
      <c r="C17101" t="s">
        <v>50058</v>
      </c>
      <c r="D17101" t="s">
        <v>52857</v>
      </c>
      <c r="E17101" t="b">
        <v>0</v>
      </c>
      <c r="F17101" t="s">
        <v>11610</v>
      </c>
      <c r="L17101">
        <v>0</v>
      </c>
      <c r="M17101">
        <v>0</v>
      </c>
      <c r="N17101">
        <v>0</v>
      </c>
    </row>
    <row r="17102" spans="1:15">
      <c r="A17102" t="s">
        <v>28125</v>
      </c>
      <c r="B17102" t="s">
        <v>6742</v>
      </c>
      <c r="C17102" t="s">
        <v>21059</v>
      </c>
      <c r="D17102" t="s">
        <v>52858</v>
      </c>
      <c r="E17102" t="b">
        <v>0</v>
      </c>
      <c r="F17102" t="s">
        <v>11622</v>
      </c>
      <c r="L17102">
        <v>3</v>
      </c>
      <c r="M17102">
        <v>10</v>
      </c>
      <c r="N17102">
        <v>42</v>
      </c>
    </row>
    <row r="17103" spans="1:15">
      <c r="A17103" t="s">
        <v>52859</v>
      </c>
      <c r="B17103" t="s">
        <v>13210</v>
      </c>
      <c r="C17103" t="s">
        <v>355</v>
      </c>
      <c r="D17103" t="s">
        <v>52860</v>
      </c>
      <c r="E17103" t="b">
        <v>0</v>
      </c>
      <c r="F17103" t="s">
        <v>11610</v>
      </c>
      <c r="L17103">
        <v>0</v>
      </c>
      <c r="M17103">
        <v>0</v>
      </c>
      <c r="N17103">
        <v>0</v>
      </c>
    </row>
    <row r="17104" spans="1:15">
      <c r="A17104" t="s">
        <v>24162</v>
      </c>
      <c r="B17104" t="s">
        <v>11607</v>
      </c>
      <c r="C17104" t="s">
        <v>31010</v>
      </c>
      <c r="D17104" t="s">
        <v>52861</v>
      </c>
      <c r="E17104" t="b">
        <v>0</v>
      </c>
      <c r="F17104" t="s">
        <v>11624</v>
      </c>
      <c r="G17104">
        <v>9.1611100000000008</v>
      </c>
      <c r="H17104">
        <v>14.441000000000001</v>
      </c>
      <c r="I17104" t="s">
        <v>52862</v>
      </c>
      <c r="L17104">
        <v>0</v>
      </c>
      <c r="M17104">
        <v>0</v>
      </c>
      <c r="N17104">
        <v>3</v>
      </c>
      <c r="O17104" t="s">
        <v>29226</v>
      </c>
    </row>
    <row r="17105" spans="1:15">
      <c r="A17105" t="s">
        <v>52863</v>
      </c>
      <c r="B17105" t="s">
        <v>6742</v>
      </c>
      <c r="C17105" t="s">
        <v>18362</v>
      </c>
      <c r="D17105" t="s">
        <v>52864</v>
      </c>
      <c r="E17105" t="b">
        <v>0</v>
      </c>
      <c r="F17105" t="s">
        <v>11610</v>
      </c>
      <c r="L17105">
        <v>0</v>
      </c>
      <c r="M17105">
        <v>0</v>
      </c>
      <c r="N17105">
        <v>0</v>
      </c>
    </row>
    <row r="17106" spans="1:15">
      <c r="A17106" t="s">
        <v>31013</v>
      </c>
      <c r="B17106" t="s">
        <v>6742</v>
      </c>
      <c r="C17106" t="s">
        <v>27830</v>
      </c>
      <c r="D17106" t="s">
        <v>52865</v>
      </c>
      <c r="E17106" t="b">
        <v>0</v>
      </c>
      <c r="F17106" t="s">
        <v>11622</v>
      </c>
      <c r="L17106">
        <v>3</v>
      </c>
      <c r="M17106">
        <v>5</v>
      </c>
      <c r="N17106">
        <v>0</v>
      </c>
    </row>
    <row r="17107" spans="1:15">
      <c r="A17107" t="s">
        <v>52866</v>
      </c>
      <c r="B17107" t="s">
        <v>6742</v>
      </c>
      <c r="C17107" t="s">
        <v>20047</v>
      </c>
      <c r="D17107" t="s">
        <v>52867</v>
      </c>
      <c r="E17107" t="b">
        <v>0</v>
      </c>
      <c r="F17107" t="s">
        <v>11610</v>
      </c>
      <c r="L17107">
        <v>0</v>
      </c>
      <c r="M17107">
        <v>0</v>
      </c>
      <c r="N17107">
        <v>0</v>
      </c>
    </row>
    <row r="17108" spans="1:15">
      <c r="A17108" t="s">
        <v>52868</v>
      </c>
      <c r="B17108" t="s">
        <v>11644</v>
      </c>
      <c r="C17108" t="s">
        <v>38323</v>
      </c>
      <c r="D17108" t="s">
        <v>52869</v>
      </c>
      <c r="E17108" t="b">
        <v>0</v>
      </c>
      <c r="F17108" t="s">
        <v>11610</v>
      </c>
      <c r="L17108">
        <v>0</v>
      </c>
      <c r="M17108">
        <v>0</v>
      </c>
      <c r="N17108">
        <v>0</v>
      </c>
    </row>
    <row r="17109" spans="1:15">
      <c r="A17109" t="s">
        <v>52870</v>
      </c>
      <c r="B17109" t="s">
        <v>12438</v>
      </c>
      <c r="C17109" t="s">
        <v>42210</v>
      </c>
      <c r="D17109" t="s">
        <v>52871</v>
      </c>
      <c r="E17109" t="b">
        <v>0</v>
      </c>
      <c r="F17109" t="s">
        <v>11624</v>
      </c>
      <c r="G17109">
        <v>19.0383</v>
      </c>
      <c r="H17109">
        <v>101.218</v>
      </c>
      <c r="I17109" t="s">
        <v>52872</v>
      </c>
      <c r="L17109">
        <v>0</v>
      </c>
      <c r="M17109">
        <v>0</v>
      </c>
      <c r="N17109">
        <v>0</v>
      </c>
      <c r="O17109" t="s">
        <v>12442</v>
      </c>
    </row>
    <row r="17110" spans="1:15">
      <c r="A17110" t="s">
        <v>52873</v>
      </c>
      <c r="B17110" t="s">
        <v>5126</v>
      </c>
      <c r="C17110" t="s">
        <v>12579</v>
      </c>
      <c r="D17110" t="s">
        <v>52874</v>
      </c>
      <c r="E17110" t="b">
        <v>0</v>
      </c>
      <c r="F17110" t="s">
        <v>11624</v>
      </c>
      <c r="G17110">
        <v>27.819700000000001</v>
      </c>
      <c r="H17110">
        <v>95.813100000000006</v>
      </c>
      <c r="I17110" t="s">
        <v>52875</v>
      </c>
      <c r="L17110">
        <v>0</v>
      </c>
      <c r="M17110">
        <v>0</v>
      </c>
      <c r="N17110">
        <v>0</v>
      </c>
      <c r="O17110" t="s">
        <v>11630</v>
      </c>
    </row>
    <row r="17111" spans="1:15">
      <c r="A17111" t="s">
        <v>14783</v>
      </c>
      <c r="B17111" t="s">
        <v>11637</v>
      </c>
      <c r="C17111" t="s">
        <v>34450</v>
      </c>
      <c r="D17111" t="s">
        <v>52876</v>
      </c>
      <c r="E17111" t="b">
        <v>0</v>
      </c>
      <c r="F17111" t="s">
        <v>11624</v>
      </c>
      <c r="G17111">
        <v>35.509599999999999</v>
      </c>
      <c r="H17111">
        <v>71.842100000000002</v>
      </c>
      <c r="I17111" t="s">
        <v>52877</v>
      </c>
      <c r="L17111">
        <v>0</v>
      </c>
      <c r="M17111">
        <v>0</v>
      </c>
      <c r="N17111">
        <v>2</v>
      </c>
      <c r="O17111" t="s">
        <v>12172</v>
      </c>
    </row>
    <row r="17112" spans="1:15">
      <c r="A17112" t="s">
        <v>52878</v>
      </c>
      <c r="B17112" t="s">
        <v>12438</v>
      </c>
      <c r="C17112" t="s">
        <v>25902</v>
      </c>
      <c r="D17112" t="s">
        <v>52879</v>
      </c>
      <c r="E17112" t="b">
        <v>0</v>
      </c>
      <c r="F17112" t="s">
        <v>11610</v>
      </c>
      <c r="L17112">
        <v>0</v>
      </c>
      <c r="M17112">
        <v>0</v>
      </c>
      <c r="N17112">
        <v>0</v>
      </c>
    </row>
    <row r="17113" spans="1:15">
      <c r="A17113" t="s">
        <v>52880</v>
      </c>
      <c r="B17113" t="s">
        <v>11644</v>
      </c>
      <c r="C17113" t="s">
        <v>52881</v>
      </c>
      <c r="D17113" t="s">
        <v>52882</v>
      </c>
      <c r="E17113" t="b">
        <v>0</v>
      </c>
      <c r="F17113" t="s">
        <v>11624</v>
      </c>
      <c r="G17113">
        <v>23.353999999999999</v>
      </c>
      <c r="H17113">
        <v>102.505</v>
      </c>
      <c r="I17113" t="s">
        <v>52883</v>
      </c>
      <c r="L17113">
        <v>0</v>
      </c>
      <c r="M17113">
        <v>0</v>
      </c>
      <c r="N17113">
        <v>0</v>
      </c>
      <c r="O17113" t="s">
        <v>11905</v>
      </c>
    </row>
    <row r="17114" spans="1:15">
      <c r="A17114" t="s">
        <v>52884</v>
      </c>
      <c r="B17114" t="s">
        <v>11644</v>
      </c>
      <c r="C17114" t="s">
        <v>18256</v>
      </c>
      <c r="D17114" t="s">
        <v>52885</v>
      </c>
      <c r="E17114" t="b">
        <v>0</v>
      </c>
      <c r="F17114" t="s">
        <v>11610</v>
      </c>
      <c r="L17114">
        <v>0</v>
      </c>
      <c r="M17114">
        <v>0</v>
      </c>
      <c r="N17114">
        <v>0</v>
      </c>
    </row>
    <row r="17115" spans="1:15">
      <c r="A17115" t="s">
        <v>52886</v>
      </c>
      <c r="B17115" t="s">
        <v>6742</v>
      </c>
      <c r="C17115" t="s">
        <v>4118</v>
      </c>
      <c r="D17115" t="s">
        <v>52887</v>
      </c>
      <c r="E17115" t="b">
        <v>0</v>
      </c>
      <c r="F17115" t="s">
        <v>11610</v>
      </c>
      <c r="L17115">
        <v>0</v>
      </c>
      <c r="M17115">
        <v>0</v>
      </c>
      <c r="N17115">
        <v>0</v>
      </c>
    </row>
    <row r="17116" spans="1:15">
      <c r="A17116" t="s">
        <v>52888</v>
      </c>
      <c r="B17116" t="s">
        <v>6742</v>
      </c>
      <c r="C17116" t="s">
        <v>16209</v>
      </c>
      <c r="D17116" t="s">
        <v>52889</v>
      </c>
      <c r="E17116" t="b">
        <v>0</v>
      </c>
      <c r="F17116" t="s">
        <v>11610</v>
      </c>
      <c r="L17116">
        <v>0</v>
      </c>
      <c r="M17116">
        <v>0</v>
      </c>
      <c r="N17116">
        <v>0</v>
      </c>
    </row>
    <row r="17117" spans="1:15">
      <c r="A17117" t="s">
        <v>52890</v>
      </c>
      <c r="B17117" t="s">
        <v>12438</v>
      </c>
      <c r="C17117" t="s">
        <v>18967</v>
      </c>
      <c r="D17117" t="s">
        <v>52891</v>
      </c>
      <c r="E17117" t="b">
        <v>0</v>
      </c>
      <c r="F17117" t="s">
        <v>11610</v>
      </c>
      <c r="L17117">
        <v>0</v>
      </c>
      <c r="M17117">
        <v>0</v>
      </c>
      <c r="N17117">
        <v>0</v>
      </c>
    </row>
    <row r="17118" spans="1:15">
      <c r="A17118" t="s">
        <v>52892</v>
      </c>
      <c r="B17118" t="s">
        <v>11644</v>
      </c>
      <c r="C17118" t="s">
        <v>18847</v>
      </c>
      <c r="D17118" t="s">
        <v>52893</v>
      </c>
      <c r="E17118" t="b">
        <v>0</v>
      </c>
      <c r="F17118" t="s">
        <v>11624</v>
      </c>
      <c r="G17118">
        <v>21.938700000000001</v>
      </c>
      <c r="H17118">
        <v>101.97799999999999</v>
      </c>
      <c r="I17118" t="s">
        <v>52894</v>
      </c>
      <c r="L17118">
        <v>0</v>
      </c>
      <c r="M17118">
        <v>0</v>
      </c>
      <c r="N17118">
        <v>0</v>
      </c>
      <c r="O17118" t="s">
        <v>12921</v>
      </c>
    </row>
    <row r="17119" spans="1:15">
      <c r="A17119" t="s">
        <v>52895</v>
      </c>
      <c r="B17119" t="s">
        <v>6742</v>
      </c>
      <c r="C17119" t="s">
        <v>3970</v>
      </c>
      <c r="D17119" t="s">
        <v>52896</v>
      </c>
      <c r="E17119" t="b">
        <v>0</v>
      </c>
      <c r="F17119" t="s">
        <v>11610</v>
      </c>
      <c r="L17119">
        <v>0</v>
      </c>
      <c r="M17119">
        <v>0</v>
      </c>
      <c r="N17119">
        <v>0</v>
      </c>
    </row>
    <row r="17120" spans="1:15">
      <c r="A17120" t="s">
        <v>52897</v>
      </c>
      <c r="B17120" t="s">
        <v>11627</v>
      </c>
      <c r="C17120" t="s">
        <v>11627</v>
      </c>
      <c r="D17120" t="s">
        <v>52898</v>
      </c>
      <c r="E17120" t="b">
        <v>1</v>
      </c>
      <c r="F17120" t="s">
        <v>11624</v>
      </c>
      <c r="G17120">
        <v>27.15945</v>
      </c>
      <c r="H17120">
        <v>87.353710000000007</v>
      </c>
      <c r="I17120" t="s">
        <v>52899</v>
      </c>
      <c r="L17120">
        <v>0</v>
      </c>
      <c r="M17120">
        <v>0</v>
      </c>
      <c r="N17120">
        <v>0</v>
      </c>
      <c r="O17120" t="s">
        <v>15007</v>
      </c>
    </row>
    <row r="17121" spans="1:15">
      <c r="A17121" t="s">
        <v>52900</v>
      </c>
      <c r="B17121" t="s">
        <v>11637</v>
      </c>
      <c r="C17121" t="s">
        <v>21100</v>
      </c>
      <c r="D17121" t="s">
        <v>52901</v>
      </c>
      <c r="E17121" t="b">
        <v>0</v>
      </c>
      <c r="F17121" t="s">
        <v>11610</v>
      </c>
      <c r="L17121">
        <v>0</v>
      </c>
      <c r="M17121">
        <v>0</v>
      </c>
      <c r="N17121">
        <v>0</v>
      </c>
    </row>
    <row r="17122" spans="1:15">
      <c r="A17122" t="s">
        <v>52902</v>
      </c>
      <c r="B17122" t="s">
        <v>11644</v>
      </c>
      <c r="C17122" t="s">
        <v>28492</v>
      </c>
      <c r="D17122" t="s">
        <v>52903</v>
      </c>
      <c r="E17122" t="b">
        <v>0</v>
      </c>
      <c r="F17122" t="s">
        <v>11610</v>
      </c>
      <c r="L17122">
        <v>0</v>
      </c>
      <c r="M17122">
        <v>0</v>
      </c>
      <c r="N17122">
        <v>0</v>
      </c>
    </row>
    <row r="17123" spans="1:15">
      <c r="A17123" t="s">
        <v>52904</v>
      </c>
      <c r="B17123" t="s">
        <v>12438</v>
      </c>
      <c r="C17123" t="s">
        <v>36260</v>
      </c>
      <c r="D17123" t="s">
        <v>52905</v>
      </c>
      <c r="E17123" t="b">
        <v>0</v>
      </c>
      <c r="F17123" t="s">
        <v>11622</v>
      </c>
      <c r="L17123">
        <v>2</v>
      </c>
      <c r="M17123">
        <v>6</v>
      </c>
      <c r="N17123">
        <v>0</v>
      </c>
    </row>
    <row r="17124" spans="1:15">
      <c r="A17124" t="s">
        <v>52906</v>
      </c>
      <c r="B17124" t="s">
        <v>11644</v>
      </c>
      <c r="C17124" t="s">
        <v>22333</v>
      </c>
      <c r="D17124" t="s">
        <v>52907</v>
      </c>
      <c r="E17124" t="b">
        <v>0</v>
      </c>
      <c r="F17124" t="s">
        <v>11610</v>
      </c>
      <c r="L17124">
        <v>0</v>
      </c>
      <c r="M17124">
        <v>0</v>
      </c>
      <c r="N17124">
        <v>0</v>
      </c>
    </row>
    <row r="17125" spans="1:15">
      <c r="A17125" t="s">
        <v>38732</v>
      </c>
      <c r="B17125" t="s">
        <v>6742</v>
      </c>
      <c r="C17125" t="s">
        <v>31376</v>
      </c>
      <c r="D17125" t="s">
        <v>52908</v>
      </c>
      <c r="E17125" t="b">
        <v>0</v>
      </c>
      <c r="F17125" t="s">
        <v>11622</v>
      </c>
      <c r="L17125">
        <v>0</v>
      </c>
      <c r="M17125">
        <v>3</v>
      </c>
      <c r="N17125">
        <v>2</v>
      </c>
    </row>
    <row r="17126" spans="1:15">
      <c r="A17126" t="s">
        <v>52909</v>
      </c>
      <c r="B17126" t="s">
        <v>11644</v>
      </c>
      <c r="C17126" t="s">
        <v>36760</v>
      </c>
      <c r="D17126" t="s">
        <v>52910</v>
      </c>
      <c r="E17126" t="b">
        <v>0</v>
      </c>
      <c r="F17126" t="s">
        <v>11610</v>
      </c>
      <c r="L17126">
        <v>0</v>
      </c>
      <c r="M17126">
        <v>0</v>
      </c>
      <c r="N17126">
        <v>0</v>
      </c>
    </row>
    <row r="17127" spans="1:15">
      <c r="A17127" t="s">
        <v>52911</v>
      </c>
      <c r="B17127" t="s">
        <v>6742</v>
      </c>
      <c r="C17127" t="s">
        <v>12632</v>
      </c>
      <c r="D17127" t="s">
        <v>52912</v>
      </c>
      <c r="E17127" t="b">
        <v>0</v>
      </c>
      <c r="F17127" t="s">
        <v>11610</v>
      </c>
      <c r="L17127">
        <v>0</v>
      </c>
      <c r="M17127">
        <v>0</v>
      </c>
      <c r="N17127">
        <v>0</v>
      </c>
    </row>
    <row r="17128" spans="1:15">
      <c r="A17128" t="s">
        <v>6036</v>
      </c>
      <c r="B17128" t="s">
        <v>6742</v>
      </c>
      <c r="C17128" t="s">
        <v>38732</v>
      </c>
      <c r="D17128" t="s">
        <v>52913</v>
      </c>
      <c r="E17128" t="b">
        <v>0</v>
      </c>
      <c r="F17128" t="s">
        <v>11624</v>
      </c>
      <c r="G17128">
        <v>-5.6473500000000003</v>
      </c>
      <c r="H17128">
        <v>19.827500000000001</v>
      </c>
      <c r="I17128" t="s">
        <v>6037</v>
      </c>
      <c r="L17128">
        <v>0</v>
      </c>
      <c r="M17128">
        <v>0</v>
      </c>
      <c r="N17128">
        <v>0</v>
      </c>
      <c r="O17128" t="s">
        <v>14825</v>
      </c>
    </row>
    <row r="17129" spans="1:15">
      <c r="A17129" t="s">
        <v>52914</v>
      </c>
      <c r="B17129" t="s">
        <v>11644</v>
      </c>
      <c r="C17129" t="s">
        <v>44576</v>
      </c>
      <c r="D17129" t="s">
        <v>52915</v>
      </c>
      <c r="E17129" t="b">
        <v>0</v>
      </c>
      <c r="F17129" t="s">
        <v>11610</v>
      </c>
      <c r="L17129">
        <v>0</v>
      </c>
      <c r="M17129">
        <v>0</v>
      </c>
      <c r="N17129">
        <v>0</v>
      </c>
    </row>
    <row r="17130" spans="1:15">
      <c r="A17130" t="s">
        <v>52916</v>
      </c>
      <c r="B17130" t="s">
        <v>11981</v>
      </c>
      <c r="C17130" t="s">
        <v>13026</v>
      </c>
      <c r="D17130" t="s">
        <v>52917</v>
      </c>
      <c r="E17130" t="b">
        <v>0</v>
      </c>
      <c r="F17130" t="s">
        <v>11624</v>
      </c>
      <c r="G17130">
        <v>16.916</v>
      </c>
      <c r="H17130">
        <v>121.512</v>
      </c>
      <c r="I17130" t="s">
        <v>52918</v>
      </c>
      <c r="L17130">
        <v>0</v>
      </c>
      <c r="M17130">
        <v>0</v>
      </c>
      <c r="N17130">
        <v>0</v>
      </c>
      <c r="O17130" t="s">
        <v>11749</v>
      </c>
    </row>
    <row r="17131" spans="1:15">
      <c r="A17131" t="s">
        <v>52919</v>
      </c>
      <c r="B17131" t="s">
        <v>11644</v>
      </c>
      <c r="C17131" t="s">
        <v>33086</v>
      </c>
      <c r="D17131" t="s">
        <v>52920</v>
      </c>
      <c r="E17131" t="b">
        <v>0</v>
      </c>
      <c r="F17131" t="s">
        <v>11610</v>
      </c>
      <c r="L17131">
        <v>0</v>
      </c>
      <c r="M17131">
        <v>0</v>
      </c>
      <c r="N17131">
        <v>0</v>
      </c>
    </row>
    <row r="17132" spans="1:15">
      <c r="A17132" t="s">
        <v>52921</v>
      </c>
      <c r="B17132" t="s">
        <v>6742</v>
      </c>
      <c r="C17132" t="s">
        <v>17185</v>
      </c>
      <c r="D17132" t="s">
        <v>52922</v>
      </c>
      <c r="E17132" t="b">
        <v>0</v>
      </c>
      <c r="F17132" t="s">
        <v>11624</v>
      </c>
      <c r="G17132">
        <v>-15.836399999999999</v>
      </c>
      <c r="H17132">
        <v>33.351399999999998</v>
      </c>
      <c r="I17132" t="s">
        <v>52923</v>
      </c>
      <c r="L17132">
        <v>0</v>
      </c>
      <c r="M17132">
        <v>0</v>
      </c>
      <c r="N17132">
        <v>0</v>
      </c>
      <c r="O17132" t="s">
        <v>17188</v>
      </c>
    </row>
    <row r="17133" spans="1:15">
      <c r="A17133" t="s">
        <v>22170</v>
      </c>
      <c r="B17133" t="s">
        <v>11644</v>
      </c>
      <c r="C17133" t="s">
        <v>23908</v>
      </c>
      <c r="D17133" t="s">
        <v>52924</v>
      </c>
      <c r="E17133" t="b">
        <v>0</v>
      </c>
      <c r="F17133" t="s">
        <v>11622</v>
      </c>
      <c r="L17133">
        <v>2</v>
      </c>
      <c r="M17133">
        <v>5</v>
      </c>
      <c r="N17133">
        <v>9</v>
      </c>
    </row>
    <row r="17134" spans="1:15">
      <c r="A17134" t="s">
        <v>52925</v>
      </c>
      <c r="B17134" t="s">
        <v>11644</v>
      </c>
      <c r="C17134" t="s">
        <v>22986</v>
      </c>
      <c r="D17134" t="s">
        <v>52926</v>
      </c>
      <c r="E17134" t="b">
        <v>0</v>
      </c>
      <c r="F17134" t="s">
        <v>11610</v>
      </c>
      <c r="L17134">
        <v>0</v>
      </c>
      <c r="M17134">
        <v>0</v>
      </c>
      <c r="N17134">
        <v>0</v>
      </c>
    </row>
    <row r="17135" spans="1:15">
      <c r="A17135" t="s">
        <v>52927</v>
      </c>
      <c r="B17135" t="s">
        <v>11607</v>
      </c>
      <c r="C17135" t="s">
        <v>21046</v>
      </c>
      <c r="D17135" t="s">
        <v>52928</v>
      </c>
      <c r="E17135" t="b">
        <v>0</v>
      </c>
      <c r="F17135" t="s">
        <v>11622</v>
      </c>
      <c r="L17135">
        <v>0</v>
      </c>
      <c r="M17135">
        <v>2</v>
      </c>
      <c r="N17135">
        <v>1</v>
      </c>
    </row>
    <row r="17136" spans="1:15">
      <c r="A17136" t="s">
        <v>52929</v>
      </c>
      <c r="B17136" t="s">
        <v>11607</v>
      </c>
      <c r="C17136" t="s">
        <v>52927</v>
      </c>
      <c r="D17136" t="s">
        <v>52930</v>
      </c>
      <c r="E17136" t="b">
        <v>0</v>
      </c>
      <c r="F17136" t="s">
        <v>11624</v>
      </c>
      <c r="G17136">
        <v>34.119999999999997</v>
      </c>
      <c r="H17136">
        <v>35.65</v>
      </c>
      <c r="I17136" t="s">
        <v>52931</v>
      </c>
      <c r="L17136">
        <v>0</v>
      </c>
      <c r="M17136">
        <v>0</v>
      </c>
      <c r="N17136">
        <v>0</v>
      </c>
      <c r="O17136" t="s">
        <v>40243</v>
      </c>
    </row>
    <row r="17137" spans="1:15">
      <c r="A17137" t="s">
        <v>52932</v>
      </c>
      <c r="B17137" t="s">
        <v>11644</v>
      </c>
      <c r="C17137" t="s">
        <v>30713</v>
      </c>
      <c r="D17137" t="s">
        <v>52933</v>
      </c>
      <c r="E17137" t="b">
        <v>0</v>
      </c>
      <c r="F17137" t="s">
        <v>11624</v>
      </c>
      <c r="G17137">
        <v>23.667000000000002</v>
      </c>
      <c r="H17137">
        <v>104.238</v>
      </c>
      <c r="I17137" t="s">
        <v>52934</v>
      </c>
      <c r="L17137">
        <v>0</v>
      </c>
      <c r="M17137">
        <v>0</v>
      </c>
      <c r="N17137">
        <v>0</v>
      </c>
      <c r="O17137" t="s">
        <v>11905</v>
      </c>
    </row>
    <row r="17138" spans="1:15">
      <c r="A17138" t="s">
        <v>13122</v>
      </c>
      <c r="B17138" t="s">
        <v>11644</v>
      </c>
      <c r="C17138" t="s">
        <v>52881</v>
      </c>
      <c r="D17138" t="s">
        <v>52935</v>
      </c>
      <c r="E17138" t="b">
        <v>0</v>
      </c>
      <c r="F17138" t="s">
        <v>11622</v>
      </c>
      <c r="L17138">
        <v>0</v>
      </c>
      <c r="M17138">
        <v>2</v>
      </c>
      <c r="N17138">
        <v>0</v>
      </c>
    </row>
    <row r="17139" spans="1:15">
      <c r="A17139" t="s">
        <v>52936</v>
      </c>
      <c r="B17139" t="s">
        <v>11644</v>
      </c>
      <c r="C17139" t="s">
        <v>13122</v>
      </c>
      <c r="D17139" t="s">
        <v>52937</v>
      </c>
      <c r="E17139" t="b">
        <v>0</v>
      </c>
      <c r="F17139" t="s">
        <v>11624</v>
      </c>
      <c r="G17139">
        <v>23.467400000000001</v>
      </c>
      <c r="H17139">
        <v>102.22799999999999</v>
      </c>
      <c r="I17139" t="s">
        <v>52938</v>
      </c>
      <c r="L17139">
        <v>0</v>
      </c>
      <c r="M17139">
        <v>0</v>
      </c>
      <c r="N17139">
        <v>0</v>
      </c>
      <c r="O17139" t="s">
        <v>11905</v>
      </c>
    </row>
    <row r="17140" spans="1:15">
      <c r="A17140" t="s">
        <v>52939</v>
      </c>
      <c r="B17140" t="s">
        <v>11644</v>
      </c>
      <c r="C17140" t="s">
        <v>22260</v>
      </c>
      <c r="D17140" t="s">
        <v>52940</v>
      </c>
      <c r="E17140" t="b">
        <v>0</v>
      </c>
      <c r="F17140" t="s">
        <v>11624</v>
      </c>
      <c r="G17140">
        <v>26.471499999999999</v>
      </c>
      <c r="H17140">
        <v>94.747600000000006</v>
      </c>
      <c r="I17140" t="s">
        <v>52941</v>
      </c>
      <c r="L17140">
        <v>0</v>
      </c>
      <c r="M17140">
        <v>0</v>
      </c>
      <c r="N17140">
        <v>1</v>
      </c>
      <c r="O17140" t="s">
        <v>11630</v>
      </c>
    </row>
    <row r="17141" spans="1:15">
      <c r="A17141" t="s">
        <v>52942</v>
      </c>
      <c r="B17141" t="s">
        <v>12438</v>
      </c>
      <c r="C17141" t="s">
        <v>24066</v>
      </c>
      <c r="D17141" t="s">
        <v>52943</v>
      </c>
      <c r="E17141" t="b">
        <v>0</v>
      </c>
      <c r="F17141" t="s">
        <v>11610</v>
      </c>
      <c r="L17141">
        <v>0</v>
      </c>
      <c r="M17141">
        <v>0</v>
      </c>
      <c r="N17141">
        <v>0</v>
      </c>
    </row>
    <row r="17142" spans="1:15">
      <c r="A17142" t="s">
        <v>52944</v>
      </c>
      <c r="B17142" t="s">
        <v>12438</v>
      </c>
      <c r="C17142" t="s">
        <v>50811</v>
      </c>
      <c r="D17142" t="s">
        <v>52945</v>
      </c>
      <c r="E17142" t="b">
        <v>0</v>
      </c>
      <c r="F17142" t="s">
        <v>11624</v>
      </c>
      <c r="G17142">
        <v>19.962199999999999</v>
      </c>
      <c r="H17142">
        <v>104.08799999999999</v>
      </c>
      <c r="I17142" t="s">
        <v>52946</v>
      </c>
      <c r="L17142">
        <v>0</v>
      </c>
      <c r="M17142">
        <v>0</v>
      </c>
      <c r="N17142">
        <v>0</v>
      </c>
      <c r="O17142" t="s">
        <v>14464</v>
      </c>
    </row>
    <row r="17143" spans="1:15">
      <c r="A17143" t="s">
        <v>52947</v>
      </c>
      <c r="B17143" t="s">
        <v>11644</v>
      </c>
      <c r="C17143" t="s">
        <v>24097</v>
      </c>
      <c r="D17143" t="s">
        <v>52948</v>
      </c>
      <c r="E17143" t="b">
        <v>0</v>
      </c>
      <c r="F17143" t="s">
        <v>11610</v>
      </c>
      <c r="L17143">
        <v>0</v>
      </c>
      <c r="M17143">
        <v>0</v>
      </c>
      <c r="N17143">
        <v>0</v>
      </c>
    </row>
    <row r="17144" spans="1:15">
      <c r="A17144" t="s">
        <v>52949</v>
      </c>
      <c r="B17144" t="s">
        <v>11644</v>
      </c>
      <c r="C17144" t="s">
        <v>36760</v>
      </c>
      <c r="D17144" t="s">
        <v>52950</v>
      </c>
      <c r="E17144" t="b">
        <v>0</v>
      </c>
      <c r="F17144" t="s">
        <v>11610</v>
      </c>
      <c r="L17144">
        <v>0</v>
      </c>
      <c r="M17144">
        <v>0</v>
      </c>
      <c r="N17144">
        <v>0</v>
      </c>
    </row>
    <row r="17145" spans="1:15">
      <c r="A17145" t="s">
        <v>13932</v>
      </c>
      <c r="B17145" t="s">
        <v>11644</v>
      </c>
      <c r="C17145" t="s">
        <v>31089</v>
      </c>
      <c r="D17145" t="s">
        <v>52951</v>
      </c>
      <c r="E17145" t="b">
        <v>0</v>
      </c>
      <c r="F17145" t="s">
        <v>11622</v>
      </c>
      <c r="L17145">
        <v>3</v>
      </c>
      <c r="M17145">
        <v>6</v>
      </c>
      <c r="N17145">
        <v>0</v>
      </c>
    </row>
    <row r="17146" spans="1:15">
      <c r="A17146" t="s">
        <v>52952</v>
      </c>
      <c r="B17146" t="s">
        <v>11644</v>
      </c>
      <c r="C17146" t="s">
        <v>48426</v>
      </c>
      <c r="D17146" t="s">
        <v>52953</v>
      </c>
      <c r="E17146" t="b">
        <v>0</v>
      </c>
      <c r="F17146" t="s">
        <v>11624</v>
      </c>
      <c r="G17146">
        <v>18.004799999999999</v>
      </c>
      <c r="H17146">
        <v>99.638199999999998</v>
      </c>
      <c r="I17146" t="s">
        <v>52954</v>
      </c>
      <c r="L17146">
        <v>0</v>
      </c>
      <c r="M17146">
        <v>0</v>
      </c>
      <c r="N17146">
        <v>0</v>
      </c>
      <c r="O17146" t="s">
        <v>16739</v>
      </c>
    </row>
    <row r="17147" spans="1:15">
      <c r="A17147" t="s">
        <v>46101</v>
      </c>
      <c r="B17147" t="s">
        <v>11637</v>
      </c>
      <c r="C17147" t="s">
        <v>29687</v>
      </c>
      <c r="D17147" t="s">
        <v>52955</v>
      </c>
      <c r="E17147" t="b">
        <v>0</v>
      </c>
      <c r="F17147" t="s">
        <v>11624</v>
      </c>
      <c r="G17147">
        <v>39.613</v>
      </c>
      <c r="H17147">
        <v>31.28</v>
      </c>
      <c r="I17147" t="s">
        <v>52956</v>
      </c>
      <c r="L17147">
        <v>0</v>
      </c>
      <c r="M17147">
        <v>0</v>
      </c>
      <c r="N17147">
        <v>1</v>
      </c>
      <c r="O17147" t="s">
        <v>16254</v>
      </c>
    </row>
    <row r="17148" spans="1:15">
      <c r="A17148" t="s">
        <v>52957</v>
      </c>
      <c r="B17148" t="s">
        <v>5126</v>
      </c>
      <c r="C17148" t="s">
        <v>52958</v>
      </c>
      <c r="D17148" t="s">
        <v>52959</v>
      </c>
      <c r="E17148" t="b">
        <v>0</v>
      </c>
      <c r="F17148" t="s">
        <v>11624</v>
      </c>
      <c r="G17148">
        <v>17.520700000000001</v>
      </c>
      <c r="H17148">
        <v>102.191</v>
      </c>
      <c r="I17148" t="s">
        <v>52960</v>
      </c>
      <c r="L17148">
        <v>0</v>
      </c>
      <c r="M17148">
        <v>0</v>
      </c>
      <c r="N17148">
        <v>0</v>
      </c>
      <c r="O17148" t="s">
        <v>12442</v>
      </c>
    </row>
    <row r="17149" spans="1:15">
      <c r="A17149" t="s">
        <v>52961</v>
      </c>
      <c r="B17149" t="s">
        <v>11637</v>
      </c>
      <c r="C17149" t="s">
        <v>13719</v>
      </c>
      <c r="D17149" t="s">
        <v>52962</v>
      </c>
      <c r="E17149" t="b">
        <v>0</v>
      </c>
      <c r="F17149" t="s">
        <v>11624</v>
      </c>
      <c r="G17149">
        <v>18.715299999999999</v>
      </c>
      <c r="H17149">
        <v>73.368399999999994</v>
      </c>
      <c r="I17149" t="s">
        <v>52963</v>
      </c>
      <c r="L17149">
        <v>0</v>
      </c>
      <c r="M17149">
        <v>0</v>
      </c>
      <c r="N17149">
        <v>0</v>
      </c>
      <c r="O17149" t="s">
        <v>11630</v>
      </c>
    </row>
    <row r="17150" spans="1:15">
      <c r="A17150" t="s">
        <v>52964</v>
      </c>
      <c r="B17150" t="s">
        <v>6742</v>
      </c>
      <c r="C17150" t="s">
        <v>52965</v>
      </c>
      <c r="D17150" t="s">
        <v>52966</v>
      </c>
      <c r="E17150" t="b">
        <v>0</v>
      </c>
      <c r="F17150" t="s">
        <v>11624</v>
      </c>
      <c r="G17150">
        <v>11.023479999999999</v>
      </c>
      <c r="H17150">
        <v>-3.4716499999999999</v>
      </c>
      <c r="I17150" t="s">
        <v>52967</v>
      </c>
      <c r="L17150">
        <v>0</v>
      </c>
      <c r="M17150">
        <v>0</v>
      </c>
      <c r="N17150">
        <v>0</v>
      </c>
      <c r="O17150" t="s">
        <v>19305</v>
      </c>
    </row>
    <row r="17151" spans="1:15">
      <c r="A17151" t="s">
        <v>52968</v>
      </c>
      <c r="B17151" t="s">
        <v>11644</v>
      </c>
      <c r="C17151" t="s">
        <v>31247</v>
      </c>
      <c r="D17151" t="s">
        <v>52969</v>
      </c>
      <c r="E17151" t="b">
        <v>0</v>
      </c>
      <c r="F17151" t="s">
        <v>11624</v>
      </c>
      <c r="G17151">
        <v>25.527699999999999</v>
      </c>
      <c r="H17151">
        <v>106.148</v>
      </c>
      <c r="I17151" t="s">
        <v>52970</v>
      </c>
      <c r="L17151">
        <v>0</v>
      </c>
      <c r="M17151">
        <v>0</v>
      </c>
      <c r="N17151">
        <v>0</v>
      </c>
      <c r="O17151" t="s">
        <v>19781</v>
      </c>
    </row>
    <row r="17152" spans="1:15">
      <c r="A17152" t="s">
        <v>52971</v>
      </c>
      <c r="B17152" t="s">
        <v>11644</v>
      </c>
      <c r="C17152" t="s">
        <v>19163</v>
      </c>
      <c r="D17152" t="s">
        <v>52972</v>
      </c>
      <c r="E17152" t="b">
        <v>0</v>
      </c>
      <c r="F17152" t="s">
        <v>11624</v>
      </c>
      <c r="G17152">
        <v>23.1</v>
      </c>
      <c r="H17152">
        <v>104.05</v>
      </c>
      <c r="I17152" t="s">
        <v>52973</v>
      </c>
      <c r="L17152">
        <v>0</v>
      </c>
      <c r="M17152">
        <v>0</v>
      </c>
      <c r="N17152">
        <v>0</v>
      </c>
      <c r="O17152" t="s">
        <v>11905</v>
      </c>
    </row>
    <row r="17153" spans="1:15">
      <c r="A17153" t="s">
        <v>23367</v>
      </c>
      <c r="B17153" t="s">
        <v>11644</v>
      </c>
      <c r="C17153" t="s">
        <v>18846</v>
      </c>
      <c r="D17153" t="s">
        <v>52974</v>
      </c>
      <c r="E17153" t="b">
        <v>0</v>
      </c>
      <c r="F17153" t="s">
        <v>11622</v>
      </c>
      <c r="L17153">
        <v>0</v>
      </c>
      <c r="M17153">
        <v>2</v>
      </c>
      <c r="N17153">
        <v>5</v>
      </c>
    </row>
    <row r="17154" spans="1:15">
      <c r="A17154" t="s">
        <v>18953</v>
      </c>
      <c r="B17154" t="s">
        <v>11644</v>
      </c>
      <c r="C17154" t="s">
        <v>23367</v>
      </c>
      <c r="D17154" t="s">
        <v>520</v>
      </c>
      <c r="E17154" t="b">
        <v>0</v>
      </c>
      <c r="F17154" t="s">
        <v>11624</v>
      </c>
      <c r="G17154">
        <v>20.799600000000002</v>
      </c>
      <c r="H17154">
        <v>100.95699999999999</v>
      </c>
      <c r="I17154" t="s">
        <v>52975</v>
      </c>
      <c r="L17154">
        <v>0</v>
      </c>
      <c r="M17154">
        <v>0</v>
      </c>
      <c r="N17154">
        <v>5</v>
      </c>
      <c r="O17154" t="s">
        <v>12442</v>
      </c>
    </row>
    <row r="17155" spans="1:15">
      <c r="A17155" t="s">
        <v>52976</v>
      </c>
      <c r="B17155" t="s">
        <v>12438</v>
      </c>
      <c r="C17155" t="s">
        <v>35458</v>
      </c>
      <c r="D17155" t="s">
        <v>52977</v>
      </c>
      <c r="E17155" t="b">
        <v>0</v>
      </c>
      <c r="F17155" t="s">
        <v>11624</v>
      </c>
      <c r="G17155">
        <v>16.2118</v>
      </c>
      <c r="H17155">
        <v>107.467</v>
      </c>
      <c r="I17155" t="s">
        <v>52978</v>
      </c>
      <c r="L17155">
        <v>0</v>
      </c>
      <c r="M17155">
        <v>0</v>
      </c>
      <c r="N17155">
        <v>0</v>
      </c>
      <c r="O17155" t="s">
        <v>15949</v>
      </c>
    </row>
    <row r="17156" spans="1:15">
      <c r="A17156" t="s">
        <v>13175</v>
      </c>
      <c r="B17156" t="s">
        <v>11644</v>
      </c>
      <c r="C17156" t="s">
        <v>25380</v>
      </c>
      <c r="D17156" t="s">
        <v>52979</v>
      </c>
      <c r="E17156" t="b">
        <v>0</v>
      </c>
      <c r="F17156" t="s">
        <v>11622</v>
      </c>
      <c r="L17156">
        <v>0</v>
      </c>
      <c r="M17156">
        <v>2</v>
      </c>
      <c r="N17156">
        <v>0</v>
      </c>
    </row>
    <row r="17157" spans="1:15">
      <c r="A17157" t="s">
        <v>52980</v>
      </c>
      <c r="B17157" t="s">
        <v>11644</v>
      </c>
      <c r="C17157" t="s">
        <v>13175</v>
      </c>
      <c r="D17157" t="s">
        <v>52981</v>
      </c>
      <c r="E17157" t="b">
        <v>0</v>
      </c>
      <c r="F17157" t="s">
        <v>11624</v>
      </c>
      <c r="G17157">
        <v>22.95</v>
      </c>
      <c r="H17157">
        <v>102.3</v>
      </c>
      <c r="I17157" t="s">
        <v>52982</v>
      </c>
      <c r="L17157">
        <v>0</v>
      </c>
      <c r="M17157">
        <v>0</v>
      </c>
      <c r="N17157">
        <v>0</v>
      </c>
      <c r="O17157" t="s">
        <v>11905</v>
      </c>
    </row>
    <row r="17158" spans="1:15">
      <c r="A17158" t="s">
        <v>52983</v>
      </c>
      <c r="B17158" t="s">
        <v>11644</v>
      </c>
      <c r="C17158" t="s">
        <v>25380</v>
      </c>
      <c r="D17158" t="s">
        <v>52984</v>
      </c>
      <c r="E17158" t="b">
        <v>0</v>
      </c>
      <c r="F17158" t="s">
        <v>11622</v>
      </c>
      <c r="L17158">
        <v>0</v>
      </c>
      <c r="M17158">
        <v>2</v>
      </c>
      <c r="N17158">
        <v>2</v>
      </c>
    </row>
    <row r="17159" spans="1:15">
      <c r="A17159" t="s">
        <v>52985</v>
      </c>
      <c r="B17159" t="s">
        <v>11644</v>
      </c>
      <c r="C17159" t="s">
        <v>52983</v>
      </c>
      <c r="D17159" t="s">
        <v>52986</v>
      </c>
      <c r="E17159" t="b">
        <v>0</v>
      </c>
      <c r="F17159" t="s">
        <v>11624</v>
      </c>
      <c r="G17159">
        <v>23</v>
      </c>
      <c r="H17159">
        <v>103.4</v>
      </c>
      <c r="I17159" t="s">
        <v>52987</v>
      </c>
      <c r="L17159">
        <v>0</v>
      </c>
      <c r="M17159">
        <v>0</v>
      </c>
      <c r="N17159">
        <v>0</v>
      </c>
      <c r="O17159" t="s">
        <v>11905</v>
      </c>
    </row>
    <row r="17160" spans="1:15">
      <c r="A17160" t="s">
        <v>52988</v>
      </c>
      <c r="B17160" t="s">
        <v>5126</v>
      </c>
      <c r="C17160" t="s">
        <v>52958</v>
      </c>
      <c r="D17160" t="s">
        <v>52989</v>
      </c>
      <c r="E17160" t="b">
        <v>0</v>
      </c>
      <c r="F17160" t="s">
        <v>11624</v>
      </c>
      <c r="G17160">
        <v>17.7544966667</v>
      </c>
      <c r="H17160">
        <v>104.68423333299999</v>
      </c>
      <c r="I17160" t="s">
        <v>52990</v>
      </c>
      <c r="L17160">
        <v>0</v>
      </c>
      <c r="M17160">
        <v>0</v>
      </c>
      <c r="N17160">
        <v>0</v>
      </c>
      <c r="O17160" t="s">
        <v>52991</v>
      </c>
    </row>
    <row r="17161" spans="1:15">
      <c r="A17161" t="s">
        <v>52992</v>
      </c>
      <c r="B17161" t="s">
        <v>6742</v>
      </c>
      <c r="C17161" t="s">
        <v>1931</v>
      </c>
      <c r="D17161" t="s">
        <v>52993</v>
      </c>
      <c r="E17161" t="b">
        <v>0</v>
      </c>
      <c r="F17161" t="s">
        <v>11610</v>
      </c>
      <c r="L17161">
        <v>0</v>
      </c>
      <c r="M17161">
        <v>0</v>
      </c>
      <c r="N17161">
        <v>0</v>
      </c>
    </row>
    <row r="17162" spans="1:15">
      <c r="A17162" t="s">
        <v>52994</v>
      </c>
      <c r="B17162" t="s">
        <v>6742</v>
      </c>
      <c r="C17162" t="s">
        <v>4100</v>
      </c>
      <c r="D17162" t="s">
        <v>52995</v>
      </c>
      <c r="E17162" t="b">
        <v>0</v>
      </c>
      <c r="F17162" t="s">
        <v>11610</v>
      </c>
      <c r="L17162">
        <v>0</v>
      </c>
      <c r="M17162">
        <v>0</v>
      </c>
      <c r="N17162">
        <v>0</v>
      </c>
    </row>
    <row r="17163" spans="1:15">
      <c r="A17163" t="s">
        <v>52996</v>
      </c>
      <c r="B17163" t="s">
        <v>11644</v>
      </c>
      <c r="C17163" t="s">
        <v>46564</v>
      </c>
      <c r="D17163" t="s">
        <v>52997</v>
      </c>
      <c r="E17163" t="b">
        <v>0</v>
      </c>
      <c r="F17163" t="s">
        <v>11610</v>
      </c>
      <c r="L17163">
        <v>0</v>
      </c>
      <c r="M17163">
        <v>0</v>
      </c>
      <c r="N17163">
        <v>0</v>
      </c>
    </row>
    <row r="17164" spans="1:15">
      <c r="A17164" t="s">
        <v>23744</v>
      </c>
      <c r="B17164" t="s">
        <v>11644</v>
      </c>
      <c r="C17164" t="s">
        <v>52983</v>
      </c>
      <c r="D17164" t="s">
        <v>52998</v>
      </c>
      <c r="E17164" t="b">
        <v>0</v>
      </c>
      <c r="F17164" t="s">
        <v>11624</v>
      </c>
      <c r="G17164">
        <v>23.05</v>
      </c>
      <c r="H17164">
        <v>103.4</v>
      </c>
      <c r="I17164" t="s">
        <v>52999</v>
      </c>
      <c r="L17164">
        <v>0</v>
      </c>
      <c r="M17164">
        <v>0</v>
      </c>
      <c r="N17164">
        <v>2</v>
      </c>
      <c r="O17164" t="s">
        <v>11905</v>
      </c>
    </row>
    <row r="17165" spans="1:15">
      <c r="A17165" t="s">
        <v>53000</v>
      </c>
      <c r="B17165" t="s">
        <v>367</v>
      </c>
      <c r="C17165" t="s">
        <v>48106</v>
      </c>
      <c r="D17165" t="s">
        <v>53001</v>
      </c>
      <c r="E17165" t="b">
        <v>0</v>
      </c>
      <c r="F17165" t="s">
        <v>11624</v>
      </c>
      <c r="G17165">
        <v>-14.995900000000001</v>
      </c>
      <c r="H17165">
        <v>166.738</v>
      </c>
      <c r="I17165" t="s">
        <v>53002</v>
      </c>
      <c r="L17165">
        <v>0</v>
      </c>
      <c r="M17165">
        <v>0</v>
      </c>
      <c r="N17165">
        <v>0</v>
      </c>
      <c r="O17165" t="s">
        <v>12719</v>
      </c>
    </row>
    <row r="17166" spans="1:15">
      <c r="A17166" t="s">
        <v>53003</v>
      </c>
      <c r="B17166" t="s">
        <v>11705</v>
      </c>
      <c r="C17166" t="s">
        <v>31032</v>
      </c>
      <c r="D17166" t="s">
        <v>53004</v>
      </c>
      <c r="E17166" t="b">
        <v>0</v>
      </c>
      <c r="F17166" t="s">
        <v>11624</v>
      </c>
      <c r="G17166">
        <v>-4.8583499999999997</v>
      </c>
      <c r="H17166">
        <v>142.78399999999999</v>
      </c>
      <c r="I17166" t="s">
        <v>53005</v>
      </c>
      <c r="L17166">
        <v>0</v>
      </c>
      <c r="M17166">
        <v>0</v>
      </c>
      <c r="N17166">
        <v>0</v>
      </c>
      <c r="O17166" t="s">
        <v>11660</v>
      </c>
    </row>
    <row r="17167" spans="1:15">
      <c r="A17167" t="s">
        <v>53006</v>
      </c>
      <c r="B17167" t="s">
        <v>6742</v>
      </c>
      <c r="C17167" t="s">
        <v>20592</v>
      </c>
      <c r="D17167" t="s">
        <v>53007</v>
      </c>
      <c r="E17167" t="b">
        <v>0</v>
      </c>
      <c r="F17167" t="s">
        <v>11610</v>
      </c>
      <c r="L17167">
        <v>0</v>
      </c>
      <c r="M17167">
        <v>0</v>
      </c>
      <c r="N17167">
        <v>0</v>
      </c>
    </row>
    <row r="17168" spans="1:15">
      <c r="A17168" t="s">
        <v>53008</v>
      </c>
      <c r="B17168" t="s">
        <v>8310</v>
      </c>
      <c r="C17168" t="s">
        <v>11563</v>
      </c>
      <c r="D17168" t="s">
        <v>53009</v>
      </c>
      <c r="E17168" t="b">
        <v>0</v>
      </c>
      <c r="F17168" t="s">
        <v>11610</v>
      </c>
      <c r="L17168">
        <v>0</v>
      </c>
      <c r="M17168">
        <v>0</v>
      </c>
      <c r="N17168">
        <v>0</v>
      </c>
    </row>
    <row r="17169" spans="1:15">
      <c r="A17169" t="s">
        <v>53010</v>
      </c>
      <c r="B17169" t="s">
        <v>11894</v>
      </c>
      <c r="C17169" t="s">
        <v>11895</v>
      </c>
      <c r="D17169" t="s">
        <v>53011</v>
      </c>
      <c r="E17169" t="b">
        <v>0</v>
      </c>
      <c r="F17169" t="s">
        <v>11624</v>
      </c>
      <c r="G17169">
        <v>4.3771800000000001</v>
      </c>
      <c r="H17169">
        <v>-68.595299999999995</v>
      </c>
      <c r="I17169" t="s">
        <v>53012</v>
      </c>
      <c r="L17169">
        <v>0</v>
      </c>
      <c r="M17169">
        <v>0</v>
      </c>
      <c r="N17169">
        <v>0</v>
      </c>
      <c r="O17169" t="s">
        <v>17099</v>
      </c>
    </row>
    <row r="17170" spans="1:15">
      <c r="A17170" t="s">
        <v>11895</v>
      </c>
      <c r="B17170" t="s">
        <v>11894</v>
      </c>
      <c r="C17170" t="s">
        <v>16718</v>
      </c>
      <c r="D17170" t="s">
        <v>53013</v>
      </c>
      <c r="E17170" t="b">
        <v>0</v>
      </c>
      <c r="F17170" t="s">
        <v>11622</v>
      </c>
      <c r="L17170">
        <v>0</v>
      </c>
      <c r="M17170">
        <v>2</v>
      </c>
      <c r="N17170">
        <v>0</v>
      </c>
    </row>
    <row r="17171" spans="1:15">
      <c r="A17171" t="s">
        <v>10724</v>
      </c>
      <c r="B17171" t="s">
        <v>33623</v>
      </c>
      <c r="C17171" t="s">
        <v>41473</v>
      </c>
      <c r="D17171" t="s">
        <v>53014</v>
      </c>
      <c r="E17171" t="b">
        <v>0</v>
      </c>
      <c r="F17171" t="s">
        <v>11624</v>
      </c>
      <c r="G17171">
        <v>4.41805</v>
      </c>
      <c r="H17171">
        <v>-67.757400000000004</v>
      </c>
      <c r="I17171" t="s">
        <v>53015</v>
      </c>
      <c r="L17171">
        <v>0</v>
      </c>
      <c r="M17171">
        <v>0</v>
      </c>
      <c r="N17171">
        <v>0</v>
      </c>
      <c r="O17171" t="s">
        <v>17099</v>
      </c>
    </row>
    <row r="17172" spans="1:15">
      <c r="A17172" t="s">
        <v>21668</v>
      </c>
      <c r="D17172" t="s">
        <v>53016</v>
      </c>
      <c r="E17172" t="b">
        <v>0</v>
      </c>
      <c r="F17172" t="s">
        <v>11622</v>
      </c>
      <c r="L17172">
        <v>0</v>
      </c>
      <c r="M17172">
        <v>2</v>
      </c>
      <c r="N17172">
        <v>5</v>
      </c>
    </row>
    <row r="17173" spans="1:15">
      <c r="A17173" t="s">
        <v>13473</v>
      </c>
      <c r="B17173" t="s">
        <v>11637</v>
      </c>
      <c r="C17173" t="s">
        <v>20903</v>
      </c>
      <c r="D17173" t="s">
        <v>53017</v>
      </c>
      <c r="E17173" t="b">
        <v>0</v>
      </c>
      <c r="F17173" t="s">
        <v>11624</v>
      </c>
      <c r="G17173">
        <v>50.283099999999997</v>
      </c>
      <c r="H17173">
        <v>3.2508499999999998</v>
      </c>
      <c r="I17173" t="s">
        <v>53018</v>
      </c>
      <c r="L17173">
        <v>0</v>
      </c>
      <c r="M17173">
        <v>0</v>
      </c>
      <c r="N17173">
        <v>12</v>
      </c>
      <c r="O17173" t="s">
        <v>53019</v>
      </c>
    </row>
    <row r="17174" spans="1:15">
      <c r="A17174" t="s">
        <v>53020</v>
      </c>
      <c r="B17174" t="s">
        <v>11894</v>
      </c>
      <c r="C17174" t="s">
        <v>12643</v>
      </c>
      <c r="D17174" t="s">
        <v>53021</v>
      </c>
      <c r="E17174" t="b">
        <v>0</v>
      </c>
      <c r="F17174" t="s">
        <v>11624</v>
      </c>
      <c r="G17174">
        <v>-10.472490000000001</v>
      </c>
      <c r="H17174">
        <v>-74.602810000000005</v>
      </c>
      <c r="I17174" t="s">
        <v>53022</v>
      </c>
      <c r="L17174">
        <v>0</v>
      </c>
      <c r="M17174">
        <v>0</v>
      </c>
      <c r="N17174">
        <v>0</v>
      </c>
      <c r="O17174" t="s">
        <v>11778</v>
      </c>
    </row>
    <row r="17175" spans="1:15">
      <c r="A17175" t="s">
        <v>53023</v>
      </c>
      <c r="B17175" t="s">
        <v>13360</v>
      </c>
      <c r="C17175" t="s">
        <v>13360</v>
      </c>
      <c r="D17175" t="s">
        <v>53024</v>
      </c>
      <c r="E17175" t="b">
        <v>0</v>
      </c>
      <c r="F17175" t="s">
        <v>11624</v>
      </c>
      <c r="I17175" t="s">
        <v>53025</v>
      </c>
      <c r="L17175">
        <v>0</v>
      </c>
      <c r="M17175">
        <v>0</v>
      </c>
      <c r="N17175">
        <v>0</v>
      </c>
      <c r="O17175" t="s">
        <v>19884</v>
      </c>
    </row>
    <row r="17176" spans="1:15">
      <c r="A17176" t="s">
        <v>53026</v>
      </c>
      <c r="B17176" t="s">
        <v>14372</v>
      </c>
      <c r="C17176" t="s">
        <v>1236</v>
      </c>
      <c r="D17176" t="s">
        <v>53027</v>
      </c>
      <c r="E17176" t="b">
        <v>0</v>
      </c>
      <c r="F17176" t="s">
        <v>11610</v>
      </c>
      <c r="L17176">
        <v>0</v>
      </c>
      <c r="M17176">
        <v>0</v>
      </c>
      <c r="N17176">
        <v>0</v>
      </c>
    </row>
    <row r="17177" spans="1:15">
      <c r="A17177" t="s">
        <v>53028</v>
      </c>
      <c r="B17177" t="s">
        <v>14571</v>
      </c>
      <c r="C17177" t="s">
        <v>48242</v>
      </c>
      <c r="D17177" t="s">
        <v>53029</v>
      </c>
      <c r="E17177" t="b">
        <v>0</v>
      </c>
      <c r="F17177" t="s">
        <v>11624</v>
      </c>
      <c r="G17177">
        <v>37.083010999999999</v>
      </c>
      <c r="H17177">
        <v>-105.267144</v>
      </c>
      <c r="L17177">
        <v>0</v>
      </c>
      <c r="M17177">
        <v>0</v>
      </c>
      <c r="N17177">
        <v>0</v>
      </c>
      <c r="O17177" t="s">
        <v>11944</v>
      </c>
    </row>
    <row r="17178" spans="1:15">
      <c r="A17178" t="s">
        <v>53030</v>
      </c>
      <c r="B17178" t="s">
        <v>13450</v>
      </c>
      <c r="C17178" t="s">
        <v>27844</v>
      </c>
      <c r="D17178" t="s">
        <v>53031</v>
      </c>
      <c r="E17178" t="b">
        <v>0</v>
      </c>
      <c r="F17178" t="s">
        <v>11624</v>
      </c>
      <c r="L17178">
        <v>0</v>
      </c>
      <c r="M17178">
        <v>0</v>
      </c>
      <c r="N17178">
        <v>0</v>
      </c>
      <c r="O17178" t="s">
        <v>27843</v>
      </c>
    </row>
    <row r="17179" spans="1:15">
      <c r="A17179" t="s">
        <v>53032</v>
      </c>
      <c r="B17179" t="s">
        <v>13450</v>
      </c>
      <c r="C17179" t="s">
        <v>24449</v>
      </c>
      <c r="D17179" t="s">
        <v>53033</v>
      </c>
      <c r="E17179" t="b">
        <v>0</v>
      </c>
      <c r="F17179" t="s">
        <v>11624</v>
      </c>
      <c r="G17179">
        <v>38.569000000000003</v>
      </c>
      <c r="H17179">
        <v>-75.462999999999994</v>
      </c>
      <c r="I17179" t="s">
        <v>53034</v>
      </c>
      <c r="L17179">
        <v>0</v>
      </c>
      <c r="M17179">
        <v>0</v>
      </c>
      <c r="N17179">
        <v>0</v>
      </c>
      <c r="O17179" t="s">
        <v>11944</v>
      </c>
    </row>
    <row r="17180" spans="1:15">
      <c r="A17180" t="s">
        <v>53035</v>
      </c>
      <c r="B17180" t="s">
        <v>13450</v>
      </c>
      <c r="C17180" t="s">
        <v>47276</v>
      </c>
      <c r="D17180" t="s">
        <v>53036</v>
      </c>
      <c r="E17180" t="b">
        <v>0</v>
      </c>
      <c r="F17180" t="s">
        <v>11624</v>
      </c>
      <c r="L17180">
        <v>0</v>
      </c>
      <c r="M17180">
        <v>0</v>
      </c>
      <c r="N17180">
        <v>0</v>
      </c>
      <c r="O17180" t="s">
        <v>12107</v>
      </c>
    </row>
    <row r="17181" spans="1:15">
      <c r="A17181" t="s">
        <v>53037</v>
      </c>
      <c r="B17181" t="s">
        <v>13450</v>
      </c>
      <c r="C17181" t="s">
        <v>14248</v>
      </c>
      <c r="D17181" t="s">
        <v>53038</v>
      </c>
      <c r="E17181" t="b">
        <v>0</v>
      </c>
      <c r="F17181" t="s">
        <v>11624</v>
      </c>
      <c r="L17181">
        <v>0</v>
      </c>
      <c r="M17181">
        <v>0</v>
      </c>
      <c r="N17181">
        <v>0</v>
      </c>
      <c r="O17181" t="s">
        <v>53039</v>
      </c>
    </row>
    <row r="17182" spans="1:15">
      <c r="A17182" t="s">
        <v>53040</v>
      </c>
      <c r="B17182" t="s">
        <v>13450</v>
      </c>
      <c r="C17182" t="s">
        <v>30903</v>
      </c>
      <c r="D17182" t="s">
        <v>53041</v>
      </c>
      <c r="E17182" t="b">
        <v>0</v>
      </c>
      <c r="F17182" t="s">
        <v>11624</v>
      </c>
      <c r="L17182">
        <v>0</v>
      </c>
      <c r="M17182">
        <v>0</v>
      </c>
      <c r="N17182">
        <v>0</v>
      </c>
      <c r="O17182" t="s">
        <v>11944</v>
      </c>
    </row>
    <row r="17183" spans="1:15">
      <c r="A17183" t="s">
        <v>53042</v>
      </c>
      <c r="B17183" t="s">
        <v>13450</v>
      </c>
      <c r="C17183" t="s">
        <v>31172</v>
      </c>
      <c r="D17183" t="s">
        <v>53043</v>
      </c>
      <c r="E17183" t="b">
        <v>0</v>
      </c>
      <c r="F17183" t="s">
        <v>11624</v>
      </c>
      <c r="L17183">
        <v>0</v>
      </c>
      <c r="M17183">
        <v>0</v>
      </c>
      <c r="N17183">
        <v>0</v>
      </c>
      <c r="O17183" t="s">
        <v>27843</v>
      </c>
    </row>
    <row r="17184" spans="1:15">
      <c r="A17184" t="s">
        <v>53044</v>
      </c>
      <c r="B17184" t="s">
        <v>13450</v>
      </c>
      <c r="C17184" t="s">
        <v>14248</v>
      </c>
      <c r="D17184" t="s">
        <v>53045</v>
      </c>
      <c r="E17184" t="b">
        <v>0</v>
      </c>
      <c r="F17184" t="s">
        <v>11624</v>
      </c>
      <c r="L17184">
        <v>0</v>
      </c>
      <c r="M17184">
        <v>0</v>
      </c>
      <c r="N17184">
        <v>0</v>
      </c>
      <c r="O17184" t="s">
        <v>53046</v>
      </c>
    </row>
    <row r="17185" spans="1:15">
      <c r="A17185" t="s">
        <v>32525</v>
      </c>
      <c r="B17185" t="s">
        <v>11981</v>
      </c>
      <c r="C17185" t="s">
        <v>11981</v>
      </c>
      <c r="D17185" t="s">
        <v>53047</v>
      </c>
      <c r="E17185" t="b">
        <v>0</v>
      </c>
      <c r="F17185" t="s">
        <v>11622</v>
      </c>
      <c r="L17185">
        <v>0</v>
      </c>
      <c r="M17185">
        <v>1</v>
      </c>
      <c r="N17185">
        <v>0</v>
      </c>
    </row>
    <row r="17186" spans="1:15">
      <c r="A17186" t="s">
        <v>53048</v>
      </c>
      <c r="B17186" t="s">
        <v>13450</v>
      </c>
      <c r="C17186" t="s">
        <v>22667</v>
      </c>
      <c r="D17186" t="s">
        <v>53049</v>
      </c>
      <c r="E17186" t="b">
        <v>0</v>
      </c>
      <c r="F17186" t="s">
        <v>11624</v>
      </c>
      <c r="L17186">
        <v>0</v>
      </c>
      <c r="M17186">
        <v>0</v>
      </c>
      <c r="N17186">
        <v>0</v>
      </c>
      <c r="O17186" t="s">
        <v>14875</v>
      </c>
    </row>
    <row r="17187" spans="1:15">
      <c r="A17187" t="s">
        <v>53050</v>
      </c>
      <c r="B17187" t="s">
        <v>13450</v>
      </c>
      <c r="C17187" t="s">
        <v>35485</v>
      </c>
      <c r="D17187" t="s">
        <v>53051</v>
      </c>
      <c r="E17187" t="b">
        <v>0</v>
      </c>
      <c r="F17187" t="s">
        <v>11624</v>
      </c>
      <c r="L17187">
        <v>0</v>
      </c>
      <c r="M17187">
        <v>0</v>
      </c>
      <c r="N17187">
        <v>0</v>
      </c>
      <c r="O17187" t="s">
        <v>12107</v>
      </c>
    </row>
    <row r="17188" spans="1:15">
      <c r="A17188" t="s">
        <v>53052</v>
      </c>
      <c r="B17188" t="s">
        <v>13450</v>
      </c>
      <c r="C17188" t="s">
        <v>28395</v>
      </c>
      <c r="D17188" t="s">
        <v>53053</v>
      </c>
      <c r="E17188" t="b">
        <v>0</v>
      </c>
      <c r="F17188" t="s">
        <v>11624</v>
      </c>
      <c r="L17188">
        <v>0</v>
      </c>
      <c r="M17188">
        <v>0</v>
      </c>
      <c r="N17188">
        <v>0</v>
      </c>
      <c r="O17188" t="s">
        <v>18078</v>
      </c>
    </row>
    <row r="17189" spans="1:15">
      <c r="A17189" t="s">
        <v>53054</v>
      </c>
      <c r="B17189" t="s">
        <v>13450</v>
      </c>
      <c r="C17189" t="s">
        <v>53055</v>
      </c>
      <c r="D17189" t="s">
        <v>53056</v>
      </c>
      <c r="E17189" t="b">
        <v>0</v>
      </c>
      <c r="F17189" t="s">
        <v>11624</v>
      </c>
      <c r="L17189">
        <v>0</v>
      </c>
      <c r="M17189">
        <v>0</v>
      </c>
      <c r="N17189">
        <v>0</v>
      </c>
      <c r="O17189" t="s">
        <v>11768</v>
      </c>
    </row>
    <row r="17190" spans="1:15">
      <c r="A17190" t="s">
        <v>13450</v>
      </c>
      <c r="D17190" t="s">
        <v>53057</v>
      </c>
      <c r="E17190" t="b">
        <v>0</v>
      </c>
      <c r="F17190" t="s">
        <v>11622</v>
      </c>
      <c r="L17190">
        <v>45</v>
      </c>
      <c r="M17190">
        <v>80</v>
      </c>
      <c r="N17190">
        <v>4</v>
      </c>
    </row>
    <row r="17191" spans="1:15">
      <c r="A17191" t="s">
        <v>53058</v>
      </c>
      <c r="B17191" t="s">
        <v>11729</v>
      </c>
      <c r="C17191" t="s">
        <v>22033</v>
      </c>
      <c r="D17191" t="s">
        <v>53059</v>
      </c>
      <c r="E17191" t="b">
        <v>0</v>
      </c>
      <c r="F17191" t="s">
        <v>11610</v>
      </c>
      <c r="L17191">
        <v>0</v>
      </c>
      <c r="M17191">
        <v>0</v>
      </c>
      <c r="N17191">
        <v>0</v>
      </c>
    </row>
    <row r="17192" spans="1:15">
      <c r="A17192" t="s">
        <v>53060</v>
      </c>
      <c r="B17192" t="s">
        <v>11644</v>
      </c>
      <c r="C17192" t="s">
        <v>22458</v>
      </c>
      <c r="D17192" t="s">
        <v>53061</v>
      </c>
      <c r="E17192" t="b">
        <v>0</v>
      </c>
      <c r="F17192" t="s">
        <v>11610</v>
      </c>
      <c r="L17192">
        <v>0</v>
      </c>
      <c r="M17192">
        <v>0</v>
      </c>
      <c r="N17192">
        <v>0</v>
      </c>
    </row>
    <row r="17193" spans="1:15">
      <c r="A17193" t="s">
        <v>53062</v>
      </c>
      <c r="B17193" t="s">
        <v>367</v>
      </c>
      <c r="C17193" t="s">
        <v>11928</v>
      </c>
      <c r="D17193" t="s">
        <v>53063</v>
      </c>
      <c r="E17193" t="b">
        <v>0</v>
      </c>
      <c r="F17193" t="s">
        <v>11610</v>
      </c>
      <c r="L17193">
        <v>0</v>
      </c>
      <c r="M17193">
        <v>0</v>
      </c>
      <c r="N17193">
        <v>0</v>
      </c>
    </row>
    <row r="17194" spans="1:15">
      <c r="A17194" t="s">
        <v>53064</v>
      </c>
      <c r="B17194" t="s">
        <v>11607</v>
      </c>
      <c r="C17194" t="s">
        <v>20457</v>
      </c>
      <c r="D17194" t="s">
        <v>53065</v>
      </c>
      <c r="E17194" t="b">
        <v>0</v>
      </c>
      <c r="F17194" t="s">
        <v>11610</v>
      </c>
      <c r="L17194">
        <v>0</v>
      </c>
      <c r="M17194">
        <v>0</v>
      </c>
      <c r="N17194">
        <v>0</v>
      </c>
    </row>
    <row r="17195" spans="1:15">
      <c r="A17195" t="s">
        <v>53066</v>
      </c>
      <c r="B17195" t="s">
        <v>11637</v>
      </c>
      <c r="C17195" t="s">
        <v>11723</v>
      </c>
      <c r="D17195" t="s">
        <v>53067</v>
      </c>
      <c r="E17195" t="b">
        <v>0</v>
      </c>
      <c r="F17195" t="s">
        <v>11610</v>
      </c>
      <c r="L17195">
        <v>0</v>
      </c>
      <c r="M17195">
        <v>0</v>
      </c>
      <c r="N17195">
        <v>0</v>
      </c>
    </row>
    <row r="17196" spans="1:15">
      <c r="A17196" t="s">
        <v>53068</v>
      </c>
      <c r="B17196" t="s">
        <v>6742</v>
      </c>
      <c r="C17196" t="s">
        <v>25446</v>
      </c>
      <c r="D17196" t="s">
        <v>53069</v>
      </c>
      <c r="E17196" t="b">
        <v>0</v>
      </c>
      <c r="F17196" t="s">
        <v>11610</v>
      </c>
      <c r="L17196">
        <v>0</v>
      </c>
      <c r="M17196">
        <v>0</v>
      </c>
      <c r="N17196">
        <v>0</v>
      </c>
    </row>
    <row r="17197" spans="1:15">
      <c r="A17197" t="s">
        <v>495</v>
      </c>
      <c r="B17197" t="s">
        <v>12979</v>
      </c>
      <c r="C17197" t="s">
        <v>91</v>
      </c>
      <c r="D17197" t="s">
        <v>53070</v>
      </c>
      <c r="E17197" t="b">
        <v>0</v>
      </c>
      <c r="F17197" t="s">
        <v>11610</v>
      </c>
      <c r="L17197">
        <v>0</v>
      </c>
      <c r="M17197">
        <v>0</v>
      </c>
      <c r="N17197">
        <v>0</v>
      </c>
    </row>
    <row r="17198" spans="1:15">
      <c r="A17198" t="s">
        <v>4379</v>
      </c>
      <c r="B17198" t="s">
        <v>11637</v>
      </c>
      <c r="C17198" t="s">
        <v>40585</v>
      </c>
      <c r="D17198" t="s">
        <v>53071</v>
      </c>
      <c r="E17198" t="b">
        <v>0</v>
      </c>
      <c r="F17198" t="s">
        <v>11624</v>
      </c>
      <c r="G17198">
        <v>45.463299999999997</v>
      </c>
      <c r="H17198">
        <v>8.3236600000000003</v>
      </c>
      <c r="I17198" t="s">
        <v>53072</v>
      </c>
      <c r="L17198">
        <v>0</v>
      </c>
      <c r="M17198">
        <v>0</v>
      </c>
      <c r="N17198">
        <v>3</v>
      </c>
      <c r="O17198" t="s">
        <v>53073</v>
      </c>
    </row>
    <row r="17199" spans="1:15">
      <c r="A17199" t="s">
        <v>40585</v>
      </c>
      <c r="B17199" t="s">
        <v>11637</v>
      </c>
      <c r="C17199" t="s">
        <v>27138</v>
      </c>
      <c r="D17199" t="s">
        <v>53074</v>
      </c>
      <c r="E17199" t="b">
        <v>0</v>
      </c>
      <c r="F17199" t="s">
        <v>11622</v>
      </c>
      <c r="L17199">
        <v>0</v>
      </c>
      <c r="M17199">
        <v>2</v>
      </c>
      <c r="N17199">
        <v>15</v>
      </c>
    </row>
    <row r="17200" spans="1:15">
      <c r="A17200" t="s">
        <v>53075</v>
      </c>
      <c r="B17200" t="s">
        <v>6742</v>
      </c>
      <c r="C17200" t="s">
        <v>18527</v>
      </c>
      <c r="D17200" t="s">
        <v>53076</v>
      </c>
      <c r="E17200" t="b">
        <v>0</v>
      </c>
      <c r="F17200" t="s">
        <v>11610</v>
      </c>
      <c r="L17200">
        <v>0</v>
      </c>
      <c r="M17200">
        <v>0</v>
      </c>
      <c r="N17200">
        <v>0</v>
      </c>
    </row>
    <row r="17201" spans="1:15">
      <c r="A17201" t="s">
        <v>53077</v>
      </c>
      <c r="B17201" t="s">
        <v>13360</v>
      </c>
      <c r="C17201" t="s">
        <v>13360</v>
      </c>
      <c r="D17201" t="s">
        <v>53078</v>
      </c>
      <c r="E17201" t="b">
        <v>0</v>
      </c>
      <c r="F17201" t="s">
        <v>11624</v>
      </c>
      <c r="G17201">
        <v>0.49998999999999999</v>
      </c>
      <c r="H17201">
        <v>-75.333299999999994</v>
      </c>
      <c r="I17201" t="s">
        <v>53079</v>
      </c>
      <c r="L17201">
        <v>0</v>
      </c>
      <c r="M17201">
        <v>0</v>
      </c>
      <c r="N17201">
        <v>0</v>
      </c>
      <c r="O17201" t="s">
        <v>11898</v>
      </c>
    </row>
    <row r="17202" spans="1:15">
      <c r="A17202" t="s">
        <v>53080</v>
      </c>
      <c r="B17202" t="s">
        <v>11637</v>
      </c>
      <c r="C17202" t="s">
        <v>4401</v>
      </c>
      <c r="D17202" t="s">
        <v>53081</v>
      </c>
      <c r="E17202" t="b">
        <v>0</v>
      </c>
      <c r="F17202" t="s">
        <v>11610</v>
      </c>
      <c r="L17202">
        <v>0</v>
      </c>
      <c r="M17202">
        <v>0</v>
      </c>
      <c r="N17202">
        <v>0</v>
      </c>
    </row>
    <row r="17203" spans="1:15">
      <c r="A17203" t="s">
        <v>53082</v>
      </c>
      <c r="B17203" t="s">
        <v>367</v>
      </c>
      <c r="C17203" t="s">
        <v>31823</v>
      </c>
      <c r="D17203" t="s">
        <v>53083</v>
      </c>
      <c r="E17203" t="b">
        <v>0</v>
      </c>
      <c r="F17203" t="s">
        <v>11624</v>
      </c>
      <c r="G17203">
        <v>-20.782399999999999</v>
      </c>
      <c r="H17203">
        <v>164.94200000000001</v>
      </c>
      <c r="I17203" t="s">
        <v>53084</v>
      </c>
      <c r="L17203">
        <v>0</v>
      </c>
      <c r="M17203">
        <v>0</v>
      </c>
      <c r="N17203">
        <v>0</v>
      </c>
      <c r="O17203" t="s">
        <v>12624</v>
      </c>
    </row>
    <row r="17204" spans="1:15">
      <c r="A17204" t="s">
        <v>53085</v>
      </c>
      <c r="B17204" t="s">
        <v>11637</v>
      </c>
      <c r="C17204" t="s">
        <v>18842</v>
      </c>
      <c r="D17204" t="s">
        <v>53086</v>
      </c>
      <c r="E17204" t="b">
        <v>0</v>
      </c>
      <c r="F17204" t="s">
        <v>11624</v>
      </c>
      <c r="G17204">
        <v>-9.5670000000000002</v>
      </c>
      <c r="H17204">
        <v>160.137</v>
      </c>
      <c r="I17204" t="s">
        <v>53087</v>
      </c>
      <c r="L17204">
        <v>0</v>
      </c>
      <c r="M17204">
        <v>0</v>
      </c>
      <c r="N17204">
        <v>0</v>
      </c>
      <c r="O17204" t="s">
        <v>13346</v>
      </c>
    </row>
    <row r="17205" spans="1:15">
      <c r="A17205" t="s">
        <v>53088</v>
      </c>
      <c r="B17205" t="s">
        <v>11615</v>
      </c>
      <c r="C17205" t="s">
        <v>18851</v>
      </c>
      <c r="D17205" t="s">
        <v>53089</v>
      </c>
      <c r="E17205" t="b">
        <v>0</v>
      </c>
      <c r="F17205" t="s">
        <v>11610</v>
      </c>
      <c r="L17205">
        <v>0</v>
      </c>
      <c r="M17205">
        <v>0</v>
      </c>
      <c r="N17205">
        <v>0</v>
      </c>
    </row>
    <row r="17206" spans="1:15">
      <c r="A17206" t="s">
        <v>53090</v>
      </c>
      <c r="B17206" t="s">
        <v>10597</v>
      </c>
      <c r="C17206" t="s">
        <v>30142</v>
      </c>
      <c r="D17206" t="s">
        <v>53091</v>
      </c>
      <c r="E17206" t="b">
        <v>0</v>
      </c>
      <c r="F17206" t="s">
        <v>11610</v>
      </c>
      <c r="L17206">
        <v>0</v>
      </c>
      <c r="M17206">
        <v>0</v>
      </c>
      <c r="N17206">
        <v>0</v>
      </c>
    </row>
    <row r="17207" spans="1:15">
      <c r="A17207" t="s">
        <v>53092</v>
      </c>
      <c r="B17207" t="s">
        <v>11770</v>
      </c>
      <c r="C17207" t="s">
        <v>44888</v>
      </c>
      <c r="D17207" t="s">
        <v>53093</v>
      </c>
      <c r="E17207" t="b">
        <v>0</v>
      </c>
      <c r="F17207" t="s">
        <v>11622</v>
      </c>
      <c r="L17207">
        <v>0</v>
      </c>
      <c r="M17207">
        <v>2</v>
      </c>
      <c r="N17207">
        <v>4</v>
      </c>
    </row>
    <row r="17208" spans="1:15">
      <c r="A17208" t="s">
        <v>22085</v>
      </c>
      <c r="B17208" t="s">
        <v>11770</v>
      </c>
      <c r="C17208" t="s">
        <v>53092</v>
      </c>
      <c r="D17208" t="s">
        <v>53094</v>
      </c>
      <c r="E17208" t="b">
        <v>0</v>
      </c>
      <c r="F17208" t="s">
        <v>11624</v>
      </c>
      <c r="G17208">
        <v>-25.005800000000001</v>
      </c>
      <c r="H17208">
        <v>-60.153700000000001</v>
      </c>
      <c r="I17208" t="s">
        <v>53095</v>
      </c>
      <c r="L17208">
        <v>0</v>
      </c>
      <c r="M17208">
        <v>0</v>
      </c>
      <c r="N17208">
        <v>2</v>
      </c>
      <c r="O17208" t="s">
        <v>52391</v>
      </c>
    </row>
    <row r="17209" spans="1:15">
      <c r="A17209" t="s">
        <v>53096</v>
      </c>
      <c r="B17209" t="s">
        <v>11615</v>
      </c>
      <c r="C17209" t="s">
        <v>41739</v>
      </c>
      <c r="D17209" t="s">
        <v>53097</v>
      </c>
      <c r="E17209" t="b">
        <v>0</v>
      </c>
      <c r="F17209" t="s">
        <v>11610</v>
      </c>
      <c r="L17209">
        <v>0</v>
      </c>
      <c r="M17209">
        <v>0</v>
      </c>
      <c r="N17209">
        <v>0</v>
      </c>
    </row>
    <row r="17210" spans="1:15">
      <c r="A17210" t="s">
        <v>34911</v>
      </c>
      <c r="B17210" t="s">
        <v>10597</v>
      </c>
      <c r="C17210" t="s">
        <v>35278</v>
      </c>
      <c r="D17210" t="s">
        <v>53098</v>
      </c>
      <c r="E17210" t="b">
        <v>0</v>
      </c>
      <c r="F17210" t="s">
        <v>11622</v>
      </c>
      <c r="L17210">
        <v>11</v>
      </c>
      <c r="M17210">
        <v>20</v>
      </c>
      <c r="N17210">
        <v>5</v>
      </c>
    </row>
    <row r="17211" spans="1:15">
      <c r="A17211" t="s">
        <v>15110</v>
      </c>
      <c r="B17211" t="s">
        <v>367</v>
      </c>
      <c r="C17211" t="s">
        <v>14052</v>
      </c>
      <c r="D17211" t="s">
        <v>53099</v>
      </c>
      <c r="E17211" t="b">
        <v>0</v>
      </c>
      <c r="F17211" t="s">
        <v>11624</v>
      </c>
      <c r="G17211">
        <v>-10.173335</v>
      </c>
      <c r="H17211">
        <v>166.24718799999999</v>
      </c>
      <c r="I17211" t="s">
        <v>53100</v>
      </c>
      <c r="L17211">
        <v>0</v>
      </c>
      <c r="M17211">
        <v>0</v>
      </c>
      <c r="N17211">
        <v>6</v>
      </c>
      <c r="O17211" t="s">
        <v>13346</v>
      </c>
    </row>
    <row r="17212" spans="1:15">
      <c r="A17212" t="s">
        <v>53101</v>
      </c>
      <c r="B17212" t="s">
        <v>11644</v>
      </c>
      <c r="C17212" t="s">
        <v>30691</v>
      </c>
      <c r="D17212" t="s">
        <v>53102</v>
      </c>
      <c r="E17212" t="b">
        <v>0</v>
      </c>
      <c r="F17212" t="s">
        <v>11610</v>
      </c>
      <c r="L17212">
        <v>0</v>
      </c>
      <c r="M17212">
        <v>0</v>
      </c>
      <c r="N17212">
        <v>0</v>
      </c>
    </row>
    <row r="17213" spans="1:15">
      <c r="A17213" t="s">
        <v>22528</v>
      </c>
      <c r="B17213" t="s">
        <v>12751</v>
      </c>
      <c r="C17213" t="s">
        <v>53103</v>
      </c>
      <c r="D17213" t="s">
        <v>53104</v>
      </c>
      <c r="E17213" t="b">
        <v>0</v>
      </c>
      <c r="F17213" t="s">
        <v>11624</v>
      </c>
      <c r="G17213">
        <v>28.654</v>
      </c>
      <c r="H17213">
        <v>-108.32599999999999</v>
      </c>
      <c r="I17213" t="s">
        <v>53105</v>
      </c>
      <c r="L17213">
        <v>0</v>
      </c>
      <c r="M17213">
        <v>0</v>
      </c>
      <c r="N17213">
        <v>2</v>
      </c>
      <c r="O17213" t="s">
        <v>11883</v>
      </c>
    </row>
    <row r="17214" spans="1:15">
      <c r="A17214" t="s">
        <v>53103</v>
      </c>
      <c r="B17214" t="s">
        <v>12751</v>
      </c>
      <c r="C17214" t="s">
        <v>53106</v>
      </c>
      <c r="D17214" t="s">
        <v>53107</v>
      </c>
      <c r="E17214" t="b">
        <v>0</v>
      </c>
      <c r="F17214" t="s">
        <v>11622</v>
      </c>
      <c r="L17214">
        <v>0</v>
      </c>
      <c r="M17214">
        <v>2</v>
      </c>
      <c r="N17214">
        <v>4</v>
      </c>
    </row>
    <row r="17215" spans="1:15">
      <c r="A17215" t="s">
        <v>53108</v>
      </c>
      <c r="B17215" t="s">
        <v>6742</v>
      </c>
      <c r="C17215" t="s">
        <v>20372</v>
      </c>
      <c r="D17215" t="s">
        <v>53109</v>
      </c>
      <c r="E17215" t="b">
        <v>0</v>
      </c>
      <c r="F17215" t="s">
        <v>11624</v>
      </c>
      <c r="G17215">
        <v>-6.81358</v>
      </c>
      <c r="H17215">
        <v>31.428899999999999</v>
      </c>
      <c r="I17215" t="s">
        <v>53110</v>
      </c>
      <c r="L17215">
        <v>0</v>
      </c>
      <c r="M17215">
        <v>0</v>
      </c>
      <c r="N17215">
        <v>0</v>
      </c>
      <c r="O17215" t="s">
        <v>11635</v>
      </c>
    </row>
    <row r="17216" spans="1:15">
      <c r="A17216" t="s">
        <v>53111</v>
      </c>
      <c r="B17216" t="s">
        <v>8310</v>
      </c>
      <c r="C17216" t="s">
        <v>855</v>
      </c>
      <c r="D17216" t="s">
        <v>53112</v>
      </c>
      <c r="E17216" t="b">
        <v>0</v>
      </c>
      <c r="F17216" t="s">
        <v>11624</v>
      </c>
      <c r="L17216">
        <v>0</v>
      </c>
      <c r="M17216">
        <v>0</v>
      </c>
      <c r="N17216">
        <v>0</v>
      </c>
      <c r="O17216" t="s">
        <v>11969</v>
      </c>
    </row>
    <row r="17217" spans="1:15">
      <c r="A17217" t="s">
        <v>53113</v>
      </c>
      <c r="B17217" t="s">
        <v>12260</v>
      </c>
      <c r="C17217" t="s">
        <v>12261</v>
      </c>
      <c r="D17217" t="s">
        <v>53114</v>
      </c>
      <c r="E17217" t="b">
        <v>0</v>
      </c>
      <c r="F17217" t="s">
        <v>11610</v>
      </c>
      <c r="L17217">
        <v>0</v>
      </c>
      <c r="M17217">
        <v>0</v>
      </c>
      <c r="N17217">
        <v>0</v>
      </c>
    </row>
    <row r="17218" spans="1:15">
      <c r="A17218" t="s">
        <v>53115</v>
      </c>
      <c r="B17218" t="s">
        <v>10597</v>
      </c>
      <c r="C17218" t="s">
        <v>16527</v>
      </c>
      <c r="D17218" t="s">
        <v>53116</v>
      </c>
      <c r="E17218" t="b">
        <v>0</v>
      </c>
      <c r="F17218" t="s">
        <v>11624</v>
      </c>
      <c r="G17218">
        <v>-27.821691999999999</v>
      </c>
      <c r="H17218">
        <v>153.30450300000001</v>
      </c>
      <c r="L17218">
        <v>0</v>
      </c>
      <c r="M17218">
        <v>0</v>
      </c>
      <c r="N17218">
        <v>0</v>
      </c>
      <c r="O17218" t="s">
        <v>12107</v>
      </c>
    </row>
    <row r="17219" spans="1:15">
      <c r="A17219" t="s">
        <v>53117</v>
      </c>
      <c r="B17219" t="s">
        <v>17101</v>
      </c>
      <c r="C17219" t="s">
        <v>29565</v>
      </c>
      <c r="D17219" t="s">
        <v>53118</v>
      </c>
      <c r="E17219" t="b">
        <v>0</v>
      </c>
      <c r="F17219" t="s">
        <v>11610</v>
      </c>
      <c r="L17219">
        <v>0</v>
      </c>
      <c r="M17219">
        <v>0</v>
      </c>
      <c r="N17219">
        <v>0</v>
      </c>
    </row>
    <row r="17220" spans="1:15">
      <c r="A17220" t="s">
        <v>53119</v>
      </c>
      <c r="B17220" t="s">
        <v>367</v>
      </c>
      <c r="C17220" t="s">
        <v>40914</v>
      </c>
      <c r="D17220" t="s">
        <v>53120</v>
      </c>
      <c r="E17220" t="b">
        <v>0</v>
      </c>
      <c r="F17220" t="s">
        <v>11610</v>
      </c>
      <c r="L17220">
        <v>0</v>
      </c>
      <c r="M17220">
        <v>0</v>
      </c>
      <c r="N17220">
        <v>0</v>
      </c>
    </row>
    <row r="17221" spans="1:15">
      <c r="A17221" t="s">
        <v>53121</v>
      </c>
      <c r="B17221" t="s">
        <v>367</v>
      </c>
      <c r="C17221" t="s">
        <v>4451</v>
      </c>
      <c r="D17221" t="s">
        <v>53122</v>
      </c>
      <c r="E17221" t="b">
        <v>0</v>
      </c>
      <c r="F17221" t="s">
        <v>11610</v>
      </c>
      <c r="L17221">
        <v>0</v>
      </c>
      <c r="M17221">
        <v>0</v>
      </c>
      <c r="N17221">
        <v>0</v>
      </c>
    </row>
    <row r="17222" spans="1:15">
      <c r="A17222" t="s">
        <v>41330</v>
      </c>
      <c r="B17222" t="s">
        <v>21668</v>
      </c>
      <c r="C17222" t="s">
        <v>21668</v>
      </c>
      <c r="D17222" t="s">
        <v>53123</v>
      </c>
      <c r="E17222" t="b">
        <v>0</v>
      </c>
      <c r="F17222" t="s">
        <v>11624</v>
      </c>
      <c r="G17222">
        <v>-5.1262400000000001</v>
      </c>
      <c r="H17222">
        <v>144.137</v>
      </c>
      <c r="I17222" t="s">
        <v>53124</v>
      </c>
      <c r="L17222">
        <v>0</v>
      </c>
      <c r="M17222">
        <v>0</v>
      </c>
      <c r="N17222">
        <v>2</v>
      </c>
      <c r="O17222" t="s">
        <v>11660</v>
      </c>
    </row>
    <row r="17223" spans="1:15">
      <c r="A17223" t="s">
        <v>53125</v>
      </c>
      <c r="B17223" t="s">
        <v>21668</v>
      </c>
      <c r="C17223" t="s">
        <v>41330</v>
      </c>
      <c r="D17223" t="s">
        <v>53126</v>
      </c>
      <c r="E17223" t="b">
        <v>0</v>
      </c>
      <c r="F17223" t="s">
        <v>11610</v>
      </c>
      <c r="L17223">
        <v>0</v>
      </c>
      <c r="M17223">
        <v>0</v>
      </c>
      <c r="N17223">
        <v>0</v>
      </c>
    </row>
    <row r="17224" spans="1:15">
      <c r="A17224" t="s">
        <v>53127</v>
      </c>
      <c r="B17224" t="s">
        <v>6742</v>
      </c>
      <c r="C17224" t="s">
        <v>30364</v>
      </c>
      <c r="D17224" t="s">
        <v>53128</v>
      </c>
      <c r="E17224" t="b">
        <v>0</v>
      </c>
      <c r="F17224" t="s">
        <v>11610</v>
      </c>
      <c r="L17224">
        <v>0</v>
      </c>
      <c r="M17224">
        <v>0</v>
      </c>
      <c r="N17224">
        <v>0</v>
      </c>
    </row>
    <row r="17225" spans="1:15">
      <c r="A17225" t="s">
        <v>53129</v>
      </c>
      <c r="B17225" t="s">
        <v>11912</v>
      </c>
      <c r="C17225" t="s">
        <v>29817</v>
      </c>
      <c r="D17225" t="s">
        <v>53130</v>
      </c>
      <c r="E17225" t="b">
        <v>0</v>
      </c>
      <c r="F17225" t="s">
        <v>11610</v>
      </c>
      <c r="L17225">
        <v>0</v>
      </c>
      <c r="M17225">
        <v>0</v>
      </c>
      <c r="N17225">
        <v>0</v>
      </c>
    </row>
    <row r="17226" spans="1:15">
      <c r="A17226" t="s">
        <v>53131</v>
      </c>
      <c r="B17226" t="s">
        <v>6742</v>
      </c>
      <c r="C17226" t="s">
        <v>18374</v>
      </c>
      <c r="D17226" t="s">
        <v>53132</v>
      </c>
      <c r="E17226" t="b">
        <v>0</v>
      </c>
      <c r="F17226" t="s">
        <v>11610</v>
      </c>
      <c r="L17226">
        <v>0</v>
      </c>
      <c r="M17226">
        <v>0</v>
      </c>
      <c r="N17226">
        <v>0</v>
      </c>
    </row>
    <row r="17227" spans="1:15">
      <c r="A17227" t="s">
        <v>53133</v>
      </c>
      <c r="B17227" t="s">
        <v>367</v>
      </c>
      <c r="C17227" t="s">
        <v>45013</v>
      </c>
      <c r="D17227" t="s">
        <v>53134</v>
      </c>
      <c r="E17227" t="b">
        <v>0</v>
      </c>
      <c r="F17227" t="s">
        <v>11624</v>
      </c>
      <c r="G17227">
        <v>6.2074299999999996</v>
      </c>
      <c r="H17227">
        <v>160.71100000000001</v>
      </c>
      <c r="I17227" t="s">
        <v>53135</v>
      </c>
      <c r="L17227">
        <v>0</v>
      </c>
      <c r="M17227">
        <v>0</v>
      </c>
      <c r="N17227">
        <v>0</v>
      </c>
      <c r="O17227" t="s">
        <v>53136</v>
      </c>
    </row>
    <row r="17228" spans="1:15">
      <c r="A17228" t="s">
        <v>49134</v>
      </c>
      <c r="B17228" t="s">
        <v>11644</v>
      </c>
      <c r="C17228" t="s">
        <v>53137</v>
      </c>
      <c r="D17228" t="s">
        <v>53138</v>
      </c>
      <c r="E17228" t="b">
        <v>0</v>
      </c>
      <c r="F17228" t="s">
        <v>11622</v>
      </c>
      <c r="L17228">
        <v>0</v>
      </c>
      <c r="M17228">
        <v>2</v>
      </c>
      <c r="N17228">
        <v>5</v>
      </c>
    </row>
    <row r="17229" spans="1:15">
      <c r="A17229" t="s">
        <v>53139</v>
      </c>
      <c r="B17229" t="s">
        <v>11644</v>
      </c>
      <c r="C17229" t="s">
        <v>14078</v>
      </c>
      <c r="D17229" t="s">
        <v>53140</v>
      </c>
      <c r="E17229" t="b">
        <v>0</v>
      </c>
      <c r="F17229" t="s">
        <v>11610</v>
      </c>
      <c r="L17229">
        <v>0</v>
      </c>
      <c r="M17229">
        <v>0</v>
      </c>
      <c r="N17229">
        <v>0</v>
      </c>
    </row>
    <row r="17230" spans="1:15">
      <c r="A17230" t="s">
        <v>53141</v>
      </c>
      <c r="B17230" t="s">
        <v>11644</v>
      </c>
      <c r="C17230" t="s">
        <v>31628</v>
      </c>
      <c r="D17230" t="s">
        <v>53142</v>
      </c>
      <c r="E17230" t="b">
        <v>0</v>
      </c>
      <c r="F17230" t="s">
        <v>11610</v>
      </c>
      <c r="G17230">
        <v>37.139070599999997</v>
      </c>
      <c r="H17230">
        <v>111.9656111</v>
      </c>
      <c r="L17230">
        <v>0</v>
      </c>
      <c r="M17230">
        <v>0</v>
      </c>
      <c r="N17230">
        <v>0</v>
      </c>
    </row>
    <row r="17231" spans="1:15">
      <c r="A17231" t="s">
        <v>53143</v>
      </c>
      <c r="B17231" t="s">
        <v>10597</v>
      </c>
      <c r="C17231" t="s">
        <v>17610</v>
      </c>
      <c r="D17231" t="s">
        <v>53144</v>
      </c>
      <c r="E17231" t="b">
        <v>0</v>
      </c>
      <c r="F17231" t="s">
        <v>11624</v>
      </c>
      <c r="G17231">
        <v>-22.472899999999999</v>
      </c>
      <c r="H17231">
        <v>116.538</v>
      </c>
      <c r="I17231" t="s">
        <v>53145</v>
      </c>
      <c r="L17231">
        <v>0</v>
      </c>
      <c r="M17231">
        <v>0</v>
      </c>
      <c r="N17231">
        <v>0</v>
      </c>
      <c r="O17231" t="s">
        <v>12107</v>
      </c>
    </row>
    <row r="17232" spans="1:15">
      <c r="A17232" t="s">
        <v>53146</v>
      </c>
      <c r="B17232" t="s">
        <v>10597</v>
      </c>
      <c r="C17232" t="s">
        <v>14002</v>
      </c>
      <c r="D17232" t="s">
        <v>53147</v>
      </c>
      <c r="E17232" t="b">
        <v>0</v>
      </c>
      <c r="F17232" t="s">
        <v>11624</v>
      </c>
      <c r="G17232">
        <v>-26.801600000000001</v>
      </c>
      <c r="H17232">
        <v>121.995</v>
      </c>
      <c r="I17232" t="s">
        <v>53148</v>
      </c>
      <c r="L17232">
        <v>0</v>
      </c>
      <c r="M17232">
        <v>0</v>
      </c>
      <c r="N17232">
        <v>0</v>
      </c>
      <c r="O17232" t="s">
        <v>12107</v>
      </c>
    </row>
    <row r="17233" spans="1:15">
      <c r="A17233" t="s">
        <v>53149</v>
      </c>
      <c r="B17233" t="s">
        <v>367</v>
      </c>
      <c r="C17233" t="s">
        <v>46994</v>
      </c>
      <c r="D17233" t="s">
        <v>53150</v>
      </c>
      <c r="E17233" t="b">
        <v>0</v>
      </c>
      <c r="F17233" t="s">
        <v>11610</v>
      </c>
      <c r="L17233">
        <v>0</v>
      </c>
      <c r="M17233">
        <v>0</v>
      </c>
      <c r="N17233">
        <v>0</v>
      </c>
    </row>
    <row r="17234" spans="1:15">
      <c r="A17234" t="s">
        <v>53151</v>
      </c>
      <c r="B17234" t="s">
        <v>11637</v>
      </c>
      <c r="C17234" t="s">
        <v>23890</v>
      </c>
      <c r="D17234" t="s">
        <v>53152</v>
      </c>
      <c r="E17234" t="b">
        <v>0</v>
      </c>
      <c r="F17234" t="s">
        <v>11610</v>
      </c>
      <c r="L17234">
        <v>0</v>
      </c>
      <c r="M17234">
        <v>0</v>
      </c>
      <c r="N17234">
        <v>0</v>
      </c>
    </row>
    <row r="17235" spans="1:15">
      <c r="A17235" t="s">
        <v>53153</v>
      </c>
      <c r="B17235" t="s">
        <v>6742</v>
      </c>
      <c r="C17235" t="s">
        <v>34740</v>
      </c>
      <c r="D17235" t="s">
        <v>53154</v>
      </c>
      <c r="E17235" t="b">
        <v>0</v>
      </c>
      <c r="F17235" t="s">
        <v>11624</v>
      </c>
      <c r="G17235">
        <v>-1.9030499999999999</v>
      </c>
      <c r="H17235">
        <v>11.223000000000001</v>
      </c>
      <c r="I17235" t="s">
        <v>53155</v>
      </c>
      <c r="L17235">
        <v>0</v>
      </c>
      <c r="M17235">
        <v>0</v>
      </c>
      <c r="N17235">
        <v>0</v>
      </c>
      <c r="O17235" t="s">
        <v>16915</v>
      </c>
    </row>
    <row r="17236" spans="1:15">
      <c r="A17236" t="s">
        <v>53156</v>
      </c>
      <c r="B17236" t="s">
        <v>10597</v>
      </c>
      <c r="C17236" t="s">
        <v>18418</v>
      </c>
      <c r="D17236" t="s">
        <v>53157</v>
      </c>
      <c r="E17236" t="b">
        <v>0</v>
      </c>
      <c r="F17236" t="s">
        <v>11610</v>
      </c>
      <c r="I17236" t="s">
        <v>53158</v>
      </c>
      <c r="L17236">
        <v>0</v>
      </c>
      <c r="M17236">
        <v>0</v>
      </c>
      <c r="N17236">
        <v>0</v>
      </c>
      <c r="O17236" t="s">
        <v>12107</v>
      </c>
    </row>
    <row r="17237" spans="1:15">
      <c r="A17237" t="s">
        <v>53159</v>
      </c>
      <c r="B17237" t="s">
        <v>11879</v>
      </c>
      <c r="C17237" t="s">
        <v>53160</v>
      </c>
      <c r="D17237" t="s">
        <v>53161</v>
      </c>
      <c r="E17237" t="b">
        <v>0</v>
      </c>
      <c r="F17237" t="s">
        <v>11624</v>
      </c>
      <c r="G17237">
        <v>16.304300000000001</v>
      </c>
      <c r="H17237">
        <v>-97.996600000000001</v>
      </c>
      <c r="I17237" t="s">
        <v>53162</v>
      </c>
      <c r="L17237">
        <v>0</v>
      </c>
      <c r="M17237">
        <v>0</v>
      </c>
      <c r="N17237">
        <v>0</v>
      </c>
      <c r="O17237" t="s">
        <v>11883</v>
      </c>
    </row>
    <row r="17238" spans="1:15">
      <c r="A17238" t="s">
        <v>53163</v>
      </c>
      <c r="B17238" t="s">
        <v>10597</v>
      </c>
      <c r="C17238" t="s">
        <v>50175</v>
      </c>
      <c r="D17238" t="s">
        <v>53164</v>
      </c>
      <c r="E17238" t="b">
        <v>0</v>
      </c>
      <c r="F17238" t="s">
        <v>11624</v>
      </c>
      <c r="G17238">
        <v>-23.296299999999999</v>
      </c>
      <c r="H17238">
        <v>130.643</v>
      </c>
      <c r="I17238" t="s">
        <v>53165</v>
      </c>
      <c r="L17238">
        <v>0</v>
      </c>
      <c r="M17238">
        <v>0</v>
      </c>
      <c r="N17238">
        <v>0</v>
      </c>
      <c r="O17238" t="s">
        <v>12107</v>
      </c>
    </row>
    <row r="17239" spans="1:15">
      <c r="A17239" t="s">
        <v>53166</v>
      </c>
      <c r="B17239" t="s">
        <v>10597</v>
      </c>
      <c r="C17239" t="s">
        <v>53167</v>
      </c>
      <c r="D17239" t="s">
        <v>53168</v>
      </c>
      <c r="E17239" t="b">
        <v>0</v>
      </c>
      <c r="F17239" t="s">
        <v>11624</v>
      </c>
      <c r="G17239">
        <v>-29.806000000000001</v>
      </c>
      <c r="H17239">
        <v>127.63200000000001</v>
      </c>
      <c r="I17239" t="s">
        <v>53169</v>
      </c>
      <c r="L17239">
        <v>0</v>
      </c>
      <c r="M17239">
        <v>0</v>
      </c>
      <c r="N17239">
        <v>0</v>
      </c>
      <c r="O17239" t="s">
        <v>12107</v>
      </c>
    </row>
    <row r="17240" spans="1:15">
      <c r="A17240" t="s">
        <v>53170</v>
      </c>
      <c r="B17240" t="s">
        <v>11839</v>
      </c>
      <c r="C17240" t="s">
        <v>33908</v>
      </c>
      <c r="D17240" t="s">
        <v>53171</v>
      </c>
      <c r="E17240" t="b">
        <v>0</v>
      </c>
      <c r="F17240" t="s">
        <v>11610</v>
      </c>
      <c r="L17240">
        <v>0</v>
      </c>
      <c r="M17240">
        <v>0</v>
      </c>
      <c r="N17240">
        <v>0</v>
      </c>
    </row>
    <row r="17241" spans="1:15">
      <c r="A17241" t="s">
        <v>53172</v>
      </c>
      <c r="B17241" t="s">
        <v>13741</v>
      </c>
      <c r="C17241" t="s">
        <v>32589</v>
      </c>
      <c r="D17241" t="s">
        <v>53173</v>
      </c>
      <c r="E17241" t="b">
        <v>0</v>
      </c>
      <c r="F17241" t="s">
        <v>11610</v>
      </c>
      <c r="L17241">
        <v>0</v>
      </c>
      <c r="M17241">
        <v>0</v>
      </c>
      <c r="N17241">
        <v>0</v>
      </c>
    </row>
    <row r="17242" spans="1:15">
      <c r="A17242" t="s">
        <v>37994</v>
      </c>
      <c r="B17242" t="s">
        <v>10597</v>
      </c>
      <c r="C17242" t="s">
        <v>10030</v>
      </c>
      <c r="D17242" t="s">
        <v>53174</v>
      </c>
      <c r="E17242" t="b">
        <v>0</v>
      </c>
      <c r="F17242" t="s">
        <v>11622</v>
      </c>
      <c r="L17242">
        <v>3</v>
      </c>
      <c r="M17242">
        <v>6</v>
      </c>
      <c r="N17242">
        <v>0</v>
      </c>
    </row>
    <row r="17243" spans="1:15">
      <c r="A17243" t="s">
        <v>53175</v>
      </c>
      <c r="B17243" t="s">
        <v>6742</v>
      </c>
      <c r="C17243" t="s">
        <v>15375</v>
      </c>
      <c r="D17243" t="s">
        <v>53176</v>
      </c>
      <c r="E17243" t="b">
        <v>0</v>
      </c>
      <c r="F17243" t="s">
        <v>11624</v>
      </c>
      <c r="G17243">
        <v>5.7991000000000001</v>
      </c>
      <c r="H17243">
        <v>10.068199999999999</v>
      </c>
      <c r="I17243" t="s">
        <v>53177</v>
      </c>
      <c r="L17243">
        <v>0</v>
      </c>
      <c r="M17243">
        <v>0</v>
      </c>
      <c r="N17243">
        <v>0</v>
      </c>
      <c r="O17243" t="s">
        <v>11703</v>
      </c>
    </row>
    <row r="17244" spans="1:15">
      <c r="A17244" t="s">
        <v>53178</v>
      </c>
      <c r="B17244" t="s">
        <v>12575</v>
      </c>
      <c r="C17244" t="s">
        <v>12576</v>
      </c>
      <c r="D17244" t="s">
        <v>53179</v>
      </c>
      <c r="E17244" t="b">
        <v>0</v>
      </c>
      <c r="F17244" t="s">
        <v>11610</v>
      </c>
      <c r="L17244">
        <v>0</v>
      </c>
      <c r="M17244">
        <v>0</v>
      </c>
      <c r="N17244">
        <v>0</v>
      </c>
    </row>
    <row r="17245" spans="1:15">
      <c r="A17245" t="s">
        <v>6609</v>
      </c>
      <c r="B17245" t="s">
        <v>12751</v>
      </c>
      <c r="C17245" t="s">
        <v>26503</v>
      </c>
      <c r="D17245" t="s">
        <v>6608</v>
      </c>
      <c r="E17245" t="b">
        <v>0</v>
      </c>
      <c r="F17245" t="s">
        <v>11624</v>
      </c>
      <c r="G17245">
        <v>13.8931</v>
      </c>
      <c r="H17245">
        <v>-89.442999999999998</v>
      </c>
      <c r="I17245" t="s">
        <v>6610</v>
      </c>
      <c r="L17245">
        <v>0</v>
      </c>
      <c r="M17245">
        <v>0</v>
      </c>
      <c r="N17245">
        <v>0</v>
      </c>
      <c r="O17245" t="s">
        <v>20821</v>
      </c>
    </row>
    <row r="17246" spans="1:15">
      <c r="A17246" t="s">
        <v>53180</v>
      </c>
      <c r="B17246" t="s">
        <v>11615</v>
      </c>
      <c r="C17246" t="s">
        <v>19991</v>
      </c>
      <c r="D17246" t="s">
        <v>53181</v>
      </c>
      <c r="E17246" t="b">
        <v>0</v>
      </c>
      <c r="F17246" t="s">
        <v>11610</v>
      </c>
      <c r="L17246">
        <v>0</v>
      </c>
      <c r="M17246">
        <v>0</v>
      </c>
      <c r="N17246">
        <v>0</v>
      </c>
    </row>
    <row r="17247" spans="1:15">
      <c r="A17247" t="s">
        <v>45851</v>
      </c>
      <c r="D17247" t="s">
        <v>53182</v>
      </c>
      <c r="E17247" t="b">
        <v>0</v>
      </c>
      <c r="F17247" t="s">
        <v>11624</v>
      </c>
      <c r="G17247">
        <v>-6.7771299999999997</v>
      </c>
      <c r="H17247">
        <v>-61.816699999999997</v>
      </c>
      <c r="I17247" t="s">
        <v>53183</v>
      </c>
      <c r="L17247">
        <v>0</v>
      </c>
      <c r="M17247">
        <v>0</v>
      </c>
      <c r="N17247">
        <v>1</v>
      </c>
      <c r="O17247" t="s">
        <v>11969</v>
      </c>
    </row>
    <row r="17248" spans="1:15">
      <c r="A17248" t="s">
        <v>53184</v>
      </c>
      <c r="B17248" t="s">
        <v>2975</v>
      </c>
      <c r="C17248" t="s">
        <v>29842</v>
      </c>
      <c r="D17248" t="s">
        <v>53185</v>
      </c>
      <c r="E17248" t="b">
        <v>0</v>
      </c>
      <c r="F17248" t="s">
        <v>11624</v>
      </c>
      <c r="G17248">
        <v>0.50714000000000004</v>
      </c>
      <c r="H17248">
        <v>-69.503200000000007</v>
      </c>
      <c r="I17248" t="s">
        <v>53186</v>
      </c>
      <c r="L17248">
        <v>0</v>
      </c>
      <c r="M17248">
        <v>0</v>
      </c>
      <c r="N17248">
        <v>0</v>
      </c>
      <c r="O17248" t="s">
        <v>21122</v>
      </c>
    </row>
    <row r="17249" spans="1:15">
      <c r="A17249" t="s">
        <v>53187</v>
      </c>
      <c r="B17249" t="s">
        <v>11637</v>
      </c>
      <c r="C17249" t="s">
        <v>49173</v>
      </c>
      <c r="D17249" t="s">
        <v>53188</v>
      </c>
      <c r="E17249" t="b">
        <v>0</v>
      </c>
      <c r="F17249" t="s">
        <v>11610</v>
      </c>
      <c r="L17249">
        <v>0</v>
      </c>
      <c r="M17249">
        <v>0</v>
      </c>
      <c r="N17249">
        <v>0</v>
      </c>
    </row>
    <row r="17250" spans="1:15">
      <c r="A17250" t="s">
        <v>53189</v>
      </c>
      <c r="B17250" t="s">
        <v>10597</v>
      </c>
      <c r="C17250" t="s">
        <v>24765</v>
      </c>
      <c r="D17250" t="s">
        <v>53190</v>
      </c>
      <c r="E17250" t="b">
        <v>0</v>
      </c>
      <c r="F17250" t="s">
        <v>11624</v>
      </c>
      <c r="G17250">
        <v>-29.524000000000001</v>
      </c>
      <c r="H17250">
        <v>139.77000000000001</v>
      </c>
      <c r="I17250" t="s">
        <v>53191</v>
      </c>
      <c r="L17250">
        <v>0</v>
      </c>
      <c r="M17250">
        <v>0</v>
      </c>
      <c r="N17250">
        <v>0</v>
      </c>
      <c r="O17250" t="s">
        <v>12107</v>
      </c>
    </row>
    <row r="17251" spans="1:15">
      <c r="A17251" t="s">
        <v>24765</v>
      </c>
      <c r="B17251" t="s">
        <v>10597</v>
      </c>
      <c r="C17251" t="s">
        <v>53192</v>
      </c>
      <c r="D17251" t="s">
        <v>53193</v>
      </c>
      <c r="E17251" t="b">
        <v>0</v>
      </c>
      <c r="F17251" t="s">
        <v>11622</v>
      </c>
      <c r="L17251">
        <v>1</v>
      </c>
      <c r="M17251">
        <v>4</v>
      </c>
      <c r="N17251">
        <v>3</v>
      </c>
    </row>
    <row r="17252" spans="1:15">
      <c r="A17252" t="s">
        <v>53194</v>
      </c>
      <c r="B17252" t="s">
        <v>14571</v>
      </c>
      <c r="C17252" t="s">
        <v>53195</v>
      </c>
      <c r="D17252" t="s">
        <v>53196</v>
      </c>
      <c r="E17252" t="b">
        <v>0</v>
      </c>
      <c r="F17252" t="s">
        <v>11624</v>
      </c>
      <c r="G17252">
        <v>35.229100000000003</v>
      </c>
      <c r="H17252">
        <v>-106.41500000000001</v>
      </c>
      <c r="I17252" t="s">
        <v>53197</v>
      </c>
      <c r="L17252">
        <v>0</v>
      </c>
      <c r="M17252">
        <v>0</v>
      </c>
      <c r="N17252">
        <v>0</v>
      </c>
      <c r="O17252" t="s">
        <v>11944</v>
      </c>
    </row>
    <row r="17253" spans="1:15">
      <c r="A17253" t="s">
        <v>43226</v>
      </c>
      <c r="B17253" t="s">
        <v>11894</v>
      </c>
      <c r="C17253" t="s">
        <v>41464</v>
      </c>
      <c r="D17253" t="s">
        <v>53198</v>
      </c>
      <c r="E17253" t="b">
        <v>0</v>
      </c>
      <c r="F17253" t="s">
        <v>11622</v>
      </c>
      <c r="L17253">
        <v>0</v>
      </c>
      <c r="M17253">
        <v>2</v>
      </c>
      <c r="N17253">
        <v>2</v>
      </c>
    </row>
    <row r="17254" spans="1:15">
      <c r="A17254" t="s">
        <v>53199</v>
      </c>
      <c r="B17254" t="s">
        <v>11644</v>
      </c>
      <c r="C17254" t="s">
        <v>36760</v>
      </c>
      <c r="D17254" t="s">
        <v>53200</v>
      </c>
      <c r="E17254" t="b">
        <v>0</v>
      </c>
      <c r="F17254" t="s">
        <v>11610</v>
      </c>
      <c r="L17254">
        <v>0</v>
      </c>
      <c r="M17254">
        <v>0</v>
      </c>
      <c r="N17254">
        <v>0</v>
      </c>
    </row>
    <row r="17255" spans="1:15">
      <c r="A17255" t="s">
        <v>38517</v>
      </c>
      <c r="B17255" t="s">
        <v>10597</v>
      </c>
      <c r="C17255" t="s">
        <v>21447</v>
      </c>
      <c r="D17255" t="s">
        <v>53201</v>
      </c>
      <c r="E17255" t="b">
        <v>0</v>
      </c>
      <c r="F17255" t="s">
        <v>11622</v>
      </c>
      <c r="L17255">
        <v>0</v>
      </c>
      <c r="M17255">
        <v>2</v>
      </c>
      <c r="N17255">
        <v>0</v>
      </c>
    </row>
    <row r="17256" spans="1:15">
      <c r="A17256" t="s">
        <v>53202</v>
      </c>
      <c r="B17256" t="s">
        <v>10597</v>
      </c>
      <c r="C17256" t="s">
        <v>38517</v>
      </c>
      <c r="D17256" t="s">
        <v>53203</v>
      </c>
      <c r="E17256" t="b">
        <v>0</v>
      </c>
      <c r="F17256" t="s">
        <v>11624</v>
      </c>
      <c r="G17256">
        <v>-25.48006595</v>
      </c>
      <c r="H17256">
        <v>142.54851189999999</v>
      </c>
      <c r="I17256" t="s">
        <v>53204</v>
      </c>
      <c r="L17256">
        <v>0</v>
      </c>
      <c r="M17256">
        <v>0</v>
      </c>
      <c r="N17256">
        <v>0</v>
      </c>
      <c r="O17256" t="s">
        <v>12107</v>
      </c>
    </row>
    <row r="17257" spans="1:15">
      <c r="A17257" t="s">
        <v>53205</v>
      </c>
      <c r="B17257" t="s">
        <v>11627</v>
      </c>
      <c r="C17257" t="s">
        <v>11627</v>
      </c>
      <c r="D17257" t="s">
        <v>53206</v>
      </c>
      <c r="E17257" t="b">
        <v>1</v>
      </c>
      <c r="F17257" t="s">
        <v>11624</v>
      </c>
      <c r="G17257">
        <v>-3.0536799999999999</v>
      </c>
      <c r="H17257">
        <v>128.197</v>
      </c>
      <c r="I17257" t="s">
        <v>53207</v>
      </c>
      <c r="L17257">
        <v>0</v>
      </c>
      <c r="M17257">
        <v>0</v>
      </c>
      <c r="N17257">
        <v>0</v>
      </c>
      <c r="O17257" t="s">
        <v>11768</v>
      </c>
    </row>
    <row r="17258" spans="1:15">
      <c r="A17258" t="s">
        <v>26562</v>
      </c>
      <c r="B17258" t="s">
        <v>367</v>
      </c>
      <c r="C17258" t="s">
        <v>35607</v>
      </c>
      <c r="D17258" t="s">
        <v>53208</v>
      </c>
      <c r="E17258" t="b">
        <v>0</v>
      </c>
      <c r="F17258" t="s">
        <v>11622</v>
      </c>
      <c r="L17258">
        <v>16</v>
      </c>
      <c r="M17258">
        <v>19</v>
      </c>
      <c r="N17258">
        <v>35</v>
      </c>
    </row>
    <row r="17259" spans="1:15">
      <c r="A17259" t="s">
        <v>53209</v>
      </c>
      <c r="B17259" t="s">
        <v>21317</v>
      </c>
      <c r="C17259" t="s">
        <v>31618</v>
      </c>
      <c r="D17259" t="s">
        <v>53210</v>
      </c>
      <c r="E17259" t="b">
        <v>0</v>
      </c>
      <c r="F17259" t="s">
        <v>11624</v>
      </c>
      <c r="G17259">
        <v>20.703900000000001</v>
      </c>
      <c r="H17259">
        <v>-98.030500000000004</v>
      </c>
      <c r="I17259" t="s">
        <v>53211</v>
      </c>
      <c r="L17259">
        <v>0</v>
      </c>
      <c r="M17259">
        <v>0</v>
      </c>
      <c r="N17259">
        <v>0</v>
      </c>
      <c r="O17259" t="s">
        <v>11883</v>
      </c>
    </row>
    <row r="17260" spans="1:15">
      <c r="A17260" t="s">
        <v>53212</v>
      </c>
      <c r="B17260" t="s">
        <v>12241</v>
      </c>
      <c r="C17260" t="s">
        <v>37342</v>
      </c>
      <c r="D17260" t="s">
        <v>53213</v>
      </c>
      <c r="E17260" t="b">
        <v>0</v>
      </c>
      <c r="F17260" t="s">
        <v>11624</v>
      </c>
      <c r="G17260">
        <v>-6.3255100000000004</v>
      </c>
      <c r="H17260">
        <v>-73.341099999999997</v>
      </c>
      <c r="I17260" t="s">
        <v>53214</v>
      </c>
      <c r="L17260">
        <v>0</v>
      </c>
      <c r="M17260">
        <v>0</v>
      </c>
      <c r="N17260">
        <v>0</v>
      </c>
      <c r="O17260" t="s">
        <v>13248</v>
      </c>
    </row>
    <row r="17261" spans="1:15">
      <c r="A17261" t="s">
        <v>53215</v>
      </c>
      <c r="B17261" t="s">
        <v>2975</v>
      </c>
      <c r="C17261" t="s">
        <v>21119</v>
      </c>
      <c r="D17261" t="s">
        <v>53216</v>
      </c>
      <c r="E17261" t="b">
        <v>0</v>
      </c>
      <c r="F17261" t="s">
        <v>11624</v>
      </c>
      <c r="G17261">
        <v>1.1016999999999999</v>
      </c>
      <c r="H17261">
        <v>-70.502482999999998</v>
      </c>
      <c r="L17261">
        <v>0</v>
      </c>
      <c r="M17261">
        <v>0</v>
      </c>
      <c r="N17261">
        <v>0</v>
      </c>
      <c r="O17261" t="s">
        <v>11898</v>
      </c>
    </row>
    <row r="17262" spans="1:15">
      <c r="A17262" t="s">
        <v>53217</v>
      </c>
      <c r="B17262" t="s">
        <v>2975</v>
      </c>
      <c r="C17262" t="s">
        <v>26483</v>
      </c>
      <c r="D17262" t="s">
        <v>53218</v>
      </c>
      <c r="E17262" t="b">
        <v>0</v>
      </c>
      <c r="F17262" t="s">
        <v>11622</v>
      </c>
      <c r="L17262">
        <v>2</v>
      </c>
      <c r="M17262">
        <v>4</v>
      </c>
      <c r="N17262">
        <v>1</v>
      </c>
    </row>
    <row r="17263" spans="1:15">
      <c r="A17263" t="s">
        <v>21119</v>
      </c>
      <c r="B17263" t="s">
        <v>2975</v>
      </c>
      <c r="C17263" t="s">
        <v>53217</v>
      </c>
      <c r="D17263" t="s">
        <v>53219</v>
      </c>
      <c r="E17263" t="b">
        <v>0</v>
      </c>
      <c r="F17263" t="s">
        <v>11622</v>
      </c>
      <c r="L17263">
        <v>0</v>
      </c>
      <c r="M17263">
        <v>2</v>
      </c>
      <c r="N17263">
        <v>0</v>
      </c>
    </row>
    <row r="17264" spans="1:15">
      <c r="A17264" t="s">
        <v>53220</v>
      </c>
      <c r="B17264" t="s">
        <v>12979</v>
      </c>
      <c r="C17264" t="s">
        <v>46502</v>
      </c>
      <c r="D17264" t="s">
        <v>53221</v>
      </c>
      <c r="E17264" t="b">
        <v>0</v>
      </c>
      <c r="F17264" t="s">
        <v>11624</v>
      </c>
      <c r="G17264">
        <v>39.073</v>
      </c>
      <c r="H17264">
        <v>-76.802999999999997</v>
      </c>
      <c r="I17264" t="s">
        <v>53222</v>
      </c>
      <c r="L17264">
        <v>0</v>
      </c>
      <c r="M17264">
        <v>0</v>
      </c>
      <c r="N17264">
        <v>0</v>
      </c>
      <c r="O17264" t="s">
        <v>11944</v>
      </c>
    </row>
    <row r="17265" spans="1:15">
      <c r="A17265" t="s">
        <v>53223</v>
      </c>
      <c r="B17265" t="s">
        <v>331</v>
      </c>
      <c r="C17265" t="s">
        <v>12244</v>
      </c>
      <c r="D17265" t="s">
        <v>53224</v>
      </c>
      <c r="E17265" t="b">
        <v>0</v>
      </c>
      <c r="F17265" t="s">
        <v>11610</v>
      </c>
      <c r="L17265">
        <v>0</v>
      </c>
      <c r="M17265">
        <v>0</v>
      </c>
      <c r="N17265">
        <v>0</v>
      </c>
    </row>
    <row r="17266" spans="1:15">
      <c r="A17266" t="s">
        <v>53225</v>
      </c>
      <c r="B17266" t="s">
        <v>11637</v>
      </c>
      <c r="C17266" t="s">
        <v>53226</v>
      </c>
      <c r="D17266" t="s">
        <v>53227</v>
      </c>
      <c r="E17266" t="b">
        <v>0</v>
      </c>
      <c r="F17266" t="s">
        <v>11624</v>
      </c>
      <c r="G17266">
        <v>37.273000000000003</v>
      </c>
      <c r="H17266">
        <v>31.28</v>
      </c>
      <c r="I17266" t="s">
        <v>53228</v>
      </c>
      <c r="L17266">
        <v>0</v>
      </c>
      <c r="M17266">
        <v>0</v>
      </c>
      <c r="N17266">
        <v>0</v>
      </c>
      <c r="O17266" t="s">
        <v>16254</v>
      </c>
    </row>
    <row r="17267" spans="1:15">
      <c r="A17267" t="s">
        <v>53229</v>
      </c>
      <c r="B17267" t="s">
        <v>367</v>
      </c>
      <c r="C17267" t="s">
        <v>32686</v>
      </c>
      <c r="D17267" t="s">
        <v>53230</v>
      </c>
      <c r="E17267" t="b">
        <v>0</v>
      </c>
      <c r="F17267" t="s">
        <v>11610</v>
      </c>
      <c r="L17267">
        <v>0</v>
      </c>
      <c r="M17267">
        <v>0</v>
      </c>
      <c r="N17267">
        <v>0</v>
      </c>
    </row>
    <row r="17268" spans="1:15">
      <c r="A17268" t="s">
        <v>53231</v>
      </c>
      <c r="B17268" t="s">
        <v>13244</v>
      </c>
      <c r="C17268" t="s">
        <v>7570</v>
      </c>
      <c r="D17268" t="s">
        <v>53232</v>
      </c>
      <c r="E17268" t="b">
        <v>0</v>
      </c>
      <c r="F17268" t="s">
        <v>11610</v>
      </c>
      <c r="L17268">
        <v>0</v>
      </c>
      <c r="M17268">
        <v>0</v>
      </c>
      <c r="N17268">
        <v>0</v>
      </c>
    </row>
    <row r="17269" spans="1:15">
      <c r="A17269" t="s">
        <v>53233</v>
      </c>
      <c r="B17269" t="s">
        <v>13360</v>
      </c>
      <c r="C17269" t="s">
        <v>13360</v>
      </c>
      <c r="D17269" t="s">
        <v>53234</v>
      </c>
      <c r="E17269" t="b">
        <v>0</v>
      </c>
      <c r="F17269" t="s">
        <v>11624</v>
      </c>
      <c r="L17269">
        <v>0</v>
      </c>
      <c r="M17269">
        <v>0</v>
      </c>
      <c r="N17269">
        <v>0</v>
      </c>
      <c r="O17269" t="s">
        <v>11969</v>
      </c>
    </row>
    <row r="17270" spans="1:15">
      <c r="A17270" t="s">
        <v>53235</v>
      </c>
      <c r="B17270" t="s">
        <v>367</v>
      </c>
      <c r="C17270" t="s">
        <v>16690</v>
      </c>
      <c r="D17270" t="s">
        <v>53236</v>
      </c>
      <c r="E17270" t="b">
        <v>0</v>
      </c>
      <c r="F17270" t="s">
        <v>11610</v>
      </c>
      <c r="L17270">
        <v>0</v>
      </c>
      <c r="M17270">
        <v>0</v>
      </c>
      <c r="N17270">
        <v>0</v>
      </c>
    </row>
    <row r="17271" spans="1:15">
      <c r="A17271" t="s">
        <v>53237</v>
      </c>
      <c r="B17271" t="s">
        <v>367</v>
      </c>
      <c r="C17271" t="s">
        <v>36513</v>
      </c>
      <c r="D17271" t="s">
        <v>53238</v>
      </c>
      <c r="E17271" t="b">
        <v>0</v>
      </c>
      <c r="F17271" t="s">
        <v>11610</v>
      </c>
      <c r="L17271">
        <v>0</v>
      </c>
      <c r="M17271">
        <v>0</v>
      </c>
      <c r="N17271">
        <v>0</v>
      </c>
    </row>
    <row r="17272" spans="1:15">
      <c r="A17272" t="s">
        <v>53239</v>
      </c>
      <c r="B17272" t="s">
        <v>51855</v>
      </c>
      <c r="C17272" t="s">
        <v>51855</v>
      </c>
      <c r="D17272" t="s">
        <v>53240</v>
      </c>
      <c r="E17272" t="b">
        <v>0</v>
      </c>
      <c r="F17272" t="s">
        <v>11610</v>
      </c>
      <c r="L17272">
        <v>0</v>
      </c>
      <c r="M17272">
        <v>0</v>
      </c>
      <c r="N17272">
        <v>0</v>
      </c>
    </row>
    <row r="17273" spans="1:15">
      <c r="A17273" t="s">
        <v>53241</v>
      </c>
      <c r="B17273" t="s">
        <v>11637</v>
      </c>
      <c r="C17273" t="s">
        <v>6460</v>
      </c>
      <c r="D17273" t="s">
        <v>53242</v>
      </c>
      <c r="E17273" t="b">
        <v>0</v>
      </c>
      <c r="F17273" t="s">
        <v>11624</v>
      </c>
      <c r="G17273">
        <v>-24.379857999999999</v>
      </c>
      <c r="H17273">
        <v>-128.32407499999999</v>
      </c>
      <c r="I17273" t="s">
        <v>53243</v>
      </c>
      <c r="L17273">
        <v>0</v>
      </c>
      <c r="M17273">
        <v>0</v>
      </c>
      <c r="N17273">
        <v>0</v>
      </c>
      <c r="O17273" t="s">
        <v>53244</v>
      </c>
    </row>
    <row r="17274" spans="1:15">
      <c r="A17274" t="s">
        <v>53245</v>
      </c>
      <c r="B17274" t="s">
        <v>12260</v>
      </c>
      <c r="C17274" t="s">
        <v>21802</v>
      </c>
      <c r="D17274" t="s">
        <v>53246</v>
      </c>
      <c r="E17274" t="b">
        <v>0</v>
      </c>
      <c r="F17274" t="s">
        <v>11624</v>
      </c>
      <c r="G17274">
        <v>66.4011</v>
      </c>
      <c r="H17274">
        <v>17.426100000000002</v>
      </c>
      <c r="I17274" t="s">
        <v>53247</v>
      </c>
      <c r="L17274">
        <v>0</v>
      </c>
      <c r="M17274">
        <v>0</v>
      </c>
      <c r="N17274">
        <v>0</v>
      </c>
      <c r="O17274" t="s">
        <v>41131</v>
      </c>
    </row>
    <row r="17275" spans="1:15">
      <c r="A17275" t="s">
        <v>24177</v>
      </c>
      <c r="B17275" t="s">
        <v>11644</v>
      </c>
      <c r="C17275" t="s">
        <v>21948</v>
      </c>
      <c r="D17275" t="s">
        <v>53248</v>
      </c>
      <c r="E17275" t="b">
        <v>0</v>
      </c>
      <c r="F17275" t="s">
        <v>11622</v>
      </c>
      <c r="L17275">
        <v>2</v>
      </c>
      <c r="M17275">
        <v>4</v>
      </c>
      <c r="N17275">
        <v>4</v>
      </c>
    </row>
    <row r="17276" spans="1:15">
      <c r="A17276" t="s">
        <v>15074</v>
      </c>
      <c r="B17276" t="s">
        <v>6742</v>
      </c>
      <c r="C17276" t="s">
        <v>26085</v>
      </c>
      <c r="D17276" t="s">
        <v>53249</v>
      </c>
      <c r="E17276" t="b">
        <v>0</v>
      </c>
      <c r="F17276" t="s">
        <v>11622</v>
      </c>
      <c r="L17276">
        <v>0</v>
      </c>
      <c r="M17276">
        <v>2</v>
      </c>
      <c r="N17276">
        <v>1</v>
      </c>
    </row>
    <row r="17277" spans="1:15">
      <c r="A17277" t="s">
        <v>53250</v>
      </c>
      <c r="B17277" t="s">
        <v>6742</v>
      </c>
      <c r="C17277" t="s">
        <v>15074</v>
      </c>
      <c r="D17277" t="s">
        <v>53251</v>
      </c>
      <c r="E17277" t="b">
        <v>0</v>
      </c>
      <c r="F17277" t="s">
        <v>11624</v>
      </c>
      <c r="G17277">
        <v>10.136100000000001</v>
      </c>
      <c r="H17277">
        <v>8.4703700000000008</v>
      </c>
      <c r="I17277" t="s">
        <v>53252</v>
      </c>
      <c r="L17277">
        <v>0</v>
      </c>
      <c r="M17277">
        <v>0</v>
      </c>
      <c r="N17277">
        <v>1</v>
      </c>
      <c r="O17277" t="s">
        <v>11693</v>
      </c>
    </row>
    <row r="17278" spans="1:15">
      <c r="A17278" t="s">
        <v>688</v>
      </c>
      <c r="B17278" t="s">
        <v>10597</v>
      </c>
      <c r="C17278" t="s">
        <v>47131</v>
      </c>
      <c r="D17278" t="s">
        <v>53253</v>
      </c>
      <c r="E17278" t="b">
        <v>0</v>
      </c>
      <c r="F17278" t="s">
        <v>11624</v>
      </c>
      <c r="G17278">
        <v>-26.970400000000001</v>
      </c>
      <c r="H17278">
        <v>131.357</v>
      </c>
      <c r="I17278" t="s">
        <v>689</v>
      </c>
      <c r="L17278">
        <v>0</v>
      </c>
      <c r="M17278">
        <v>0</v>
      </c>
      <c r="N17278">
        <v>0</v>
      </c>
      <c r="O17278" t="s">
        <v>12107</v>
      </c>
    </row>
    <row r="17279" spans="1:15">
      <c r="A17279" t="s">
        <v>53254</v>
      </c>
      <c r="B17279" t="s">
        <v>11637</v>
      </c>
      <c r="C17279" t="s">
        <v>46969</v>
      </c>
      <c r="D17279" t="s">
        <v>53255</v>
      </c>
      <c r="E17279" t="b">
        <v>0</v>
      </c>
      <c r="F17279" t="s">
        <v>11610</v>
      </c>
      <c r="L17279">
        <v>0</v>
      </c>
      <c r="M17279">
        <v>0</v>
      </c>
      <c r="N17279">
        <v>0</v>
      </c>
    </row>
    <row r="17280" spans="1:15">
      <c r="A17280" t="s">
        <v>53256</v>
      </c>
      <c r="B17280" t="s">
        <v>10597</v>
      </c>
      <c r="C17280" t="s">
        <v>14234</v>
      </c>
      <c r="D17280" t="s">
        <v>53257</v>
      </c>
      <c r="E17280" t="b">
        <v>0</v>
      </c>
      <c r="F17280" t="s">
        <v>11622</v>
      </c>
      <c r="L17280">
        <v>0</v>
      </c>
      <c r="M17280">
        <v>2</v>
      </c>
      <c r="N17280">
        <v>0</v>
      </c>
    </row>
    <row r="17281" spans="1:15">
      <c r="A17281" t="s">
        <v>53258</v>
      </c>
      <c r="B17281" t="s">
        <v>10597</v>
      </c>
      <c r="C17281" t="s">
        <v>53256</v>
      </c>
      <c r="D17281" t="s">
        <v>53259</v>
      </c>
      <c r="E17281" t="b">
        <v>0</v>
      </c>
      <c r="F17281" t="s">
        <v>11624</v>
      </c>
      <c r="G17281">
        <v>-22.795200000000001</v>
      </c>
      <c r="H17281">
        <v>139.983</v>
      </c>
      <c r="I17281" t="s">
        <v>53260</v>
      </c>
      <c r="L17281">
        <v>0</v>
      </c>
      <c r="M17281">
        <v>0</v>
      </c>
      <c r="N17281">
        <v>0</v>
      </c>
      <c r="O17281" t="s">
        <v>12107</v>
      </c>
    </row>
    <row r="17282" spans="1:15">
      <c r="A17282" t="s">
        <v>23893</v>
      </c>
      <c r="B17282" t="s">
        <v>367</v>
      </c>
      <c r="C17282" t="s">
        <v>42365</v>
      </c>
      <c r="D17282" t="s">
        <v>53261</v>
      </c>
      <c r="E17282" t="b">
        <v>0</v>
      </c>
      <c r="F17282" t="s">
        <v>11622</v>
      </c>
      <c r="L17282">
        <v>1</v>
      </c>
      <c r="M17282">
        <v>5</v>
      </c>
      <c r="N17282">
        <v>15</v>
      </c>
    </row>
    <row r="17283" spans="1:15">
      <c r="A17283" t="s">
        <v>53262</v>
      </c>
      <c r="B17283" t="s">
        <v>367</v>
      </c>
      <c r="C17283" t="s">
        <v>19970</v>
      </c>
      <c r="D17283" t="s">
        <v>53263</v>
      </c>
      <c r="E17283" t="b">
        <v>0</v>
      </c>
      <c r="F17283" t="s">
        <v>11624</v>
      </c>
      <c r="G17283">
        <v>-6.9669400000000001</v>
      </c>
      <c r="H17283">
        <v>146.45500000000001</v>
      </c>
      <c r="I17283" t="s">
        <v>53264</v>
      </c>
      <c r="L17283">
        <v>0</v>
      </c>
      <c r="M17283">
        <v>0</v>
      </c>
      <c r="N17283">
        <v>0</v>
      </c>
      <c r="O17283" t="s">
        <v>11660</v>
      </c>
    </row>
    <row r="17284" spans="1:15">
      <c r="A17284" t="s">
        <v>16760</v>
      </c>
      <c r="B17284" t="s">
        <v>367</v>
      </c>
      <c r="C17284" t="s">
        <v>22794</v>
      </c>
      <c r="D17284" t="s">
        <v>53265</v>
      </c>
      <c r="E17284" t="b">
        <v>0</v>
      </c>
      <c r="F17284" t="s">
        <v>11622</v>
      </c>
      <c r="L17284">
        <v>0</v>
      </c>
      <c r="M17284">
        <v>2</v>
      </c>
      <c r="N17284">
        <v>1</v>
      </c>
    </row>
    <row r="17285" spans="1:15">
      <c r="A17285" t="s">
        <v>38765</v>
      </c>
      <c r="B17285" t="s">
        <v>11607</v>
      </c>
      <c r="C17285" t="s">
        <v>38448</v>
      </c>
      <c r="D17285" t="s">
        <v>53266</v>
      </c>
      <c r="E17285" t="b">
        <v>0</v>
      </c>
      <c r="F17285" t="s">
        <v>11624</v>
      </c>
      <c r="G17285">
        <v>9.3197500000000009</v>
      </c>
      <c r="H17285">
        <v>10.837899999999999</v>
      </c>
      <c r="I17285" t="s">
        <v>53267</v>
      </c>
      <c r="L17285">
        <v>0</v>
      </c>
      <c r="M17285">
        <v>0</v>
      </c>
      <c r="N17285">
        <v>2</v>
      </c>
      <c r="O17285" t="s">
        <v>11693</v>
      </c>
    </row>
    <row r="17286" spans="1:15">
      <c r="A17286" t="s">
        <v>53268</v>
      </c>
      <c r="B17286" t="s">
        <v>11607</v>
      </c>
      <c r="C17286" t="s">
        <v>38765</v>
      </c>
      <c r="D17286" t="s">
        <v>53269</v>
      </c>
      <c r="E17286" t="b">
        <v>0</v>
      </c>
      <c r="F17286" t="s">
        <v>11610</v>
      </c>
      <c r="L17286">
        <v>0</v>
      </c>
      <c r="M17286">
        <v>0</v>
      </c>
      <c r="N17286">
        <v>0</v>
      </c>
    </row>
    <row r="17287" spans="1:15">
      <c r="A17287" t="s">
        <v>53270</v>
      </c>
      <c r="B17287" t="s">
        <v>11637</v>
      </c>
      <c r="C17287" t="s">
        <v>4401</v>
      </c>
      <c r="D17287" t="s">
        <v>53271</v>
      </c>
      <c r="E17287" t="b">
        <v>0</v>
      </c>
      <c r="F17287" t="s">
        <v>11610</v>
      </c>
      <c r="L17287">
        <v>0</v>
      </c>
      <c r="M17287">
        <v>0</v>
      </c>
      <c r="N17287">
        <v>0</v>
      </c>
    </row>
    <row r="17288" spans="1:15">
      <c r="A17288" t="s">
        <v>53272</v>
      </c>
      <c r="B17288" t="s">
        <v>11981</v>
      </c>
      <c r="C17288" t="s">
        <v>15182</v>
      </c>
      <c r="D17288" t="s">
        <v>53273</v>
      </c>
      <c r="E17288" t="b">
        <v>0</v>
      </c>
      <c r="F17288" t="s">
        <v>11624</v>
      </c>
      <c r="G17288">
        <v>38.394100000000002</v>
      </c>
      <c r="H17288">
        <v>-99.249899999999997</v>
      </c>
      <c r="I17288" t="s">
        <v>53274</v>
      </c>
      <c r="L17288">
        <v>0</v>
      </c>
      <c r="M17288">
        <v>0</v>
      </c>
      <c r="N17288">
        <v>0</v>
      </c>
      <c r="O17288" t="s">
        <v>14875</v>
      </c>
    </row>
    <row r="17289" spans="1:15">
      <c r="A17289" t="s">
        <v>53275</v>
      </c>
      <c r="B17289" t="s">
        <v>12438</v>
      </c>
      <c r="C17289" t="s">
        <v>28700</v>
      </c>
      <c r="D17289" t="s">
        <v>53276</v>
      </c>
      <c r="E17289" t="b">
        <v>0</v>
      </c>
      <c r="F17289" t="s">
        <v>11610</v>
      </c>
      <c r="L17289">
        <v>0</v>
      </c>
      <c r="M17289">
        <v>0</v>
      </c>
      <c r="N17289">
        <v>0</v>
      </c>
    </row>
    <row r="17290" spans="1:15">
      <c r="A17290" t="s">
        <v>33179</v>
      </c>
      <c r="B17290" t="s">
        <v>1342</v>
      </c>
      <c r="C17290" t="s">
        <v>1342</v>
      </c>
      <c r="D17290" t="s">
        <v>53277</v>
      </c>
      <c r="E17290" t="b">
        <v>0</v>
      </c>
      <c r="F17290" t="s">
        <v>11622</v>
      </c>
      <c r="L17290">
        <v>1</v>
      </c>
      <c r="M17290">
        <v>4</v>
      </c>
      <c r="N17290">
        <v>10</v>
      </c>
    </row>
    <row r="17291" spans="1:15">
      <c r="A17291" t="s">
        <v>48868</v>
      </c>
      <c r="B17291" t="s">
        <v>12979</v>
      </c>
      <c r="C17291" t="s">
        <v>6048</v>
      </c>
      <c r="D17291" t="s">
        <v>53278</v>
      </c>
      <c r="E17291" t="b">
        <v>0</v>
      </c>
      <c r="F17291" t="s">
        <v>11624</v>
      </c>
      <c r="G17291">
        <v>51.243699999999997</v>
      </c>
      <c r="H17291">
        <v>-110.46299999999999</v>
      </c>
      <c r="I17291" t="s">
        <v>53279</v>
      </c>
      <c r="L17291">
        <v>0</v>
      </c>
      <c r="M17291">
        <v>0</v>
      </c>
      <c r="N17291">
        <v>3</v>
      </c>
      <c r="O17291" t="s">
        <v>14875</v>
      </c>
    </row>
    <row r="17292" spans="1:15">
      <c r="A17292" t="s">
        <v>53280</v>
      </c>
      <c r="B17292" t="s">
        <v>17579</v>
      </c>
      <c r="C17292" t="s">
        <v>17580</v>
      </c>
      <c r="D17292" t="s">
        <v>53281</v>
      </c>
      <c r="E17292" t="b">
        <v>0</v>
      </c>
      <c r="F17292" t="s">
        <v>11624</v>
      </c>
      <c r="G17292">
        <v>38.39772</v>
      </c>
      <c r="H17292">
        <v>-121.653344</v>
      </c>
      <c r="I17292" t="s">
        <v>53282</v>
      </c>
      <c r="L17292">
        <v>0</v>
      </c>
      <c r="M17292">
        <v>0</v>
      </c>
      <c r="N17292">
        <v>0</v>
      </c>
      <c r="O17292" t="s">
        <v>11944</v>
      </c>
    </row>
    <row r="17293" spans="1:15">
      <c r="A17293" t="s">
        <v>53283</v>
      </c>
      <c r="B17293" t="s">
        <v>11607</v>
      </c>
      <c r="C17293" t="s">
        <v>31145</v>
      </c>
      <c r="D17293" t="s">
        <v>53284</v>
      </c>
      <c r="E17293" t="b">
        <v>0</v>
      </c>
      <c r="F17293" t="s">
        <v>11610</v>
      </c>
      <c r="L17293">
        <v>0</v>
      </c>
      <c r="M17293">
        <v>0</v>
      </c>
      <c r="N17293">
        <v>0</v>
      </c>
    </row>
    <row r="17294" spans="1:15">
      <c r="A17294" t="s">
        <v>53285</v>
      </c>
      <c r="B17294" t="s">
        <v>11879</v>
      </c>
      <c r="C17294" t="s">
        <v>12898</v>
      </c>
      <c r="D17294" t="s">
        <v>53286</v>
      </c>
      <c r="E17294" t="b">
        <v>0</v>
      </c>
      <c r="F17294" t="s">
        <v>11610</v>
      </c>
      <c r="L17294">
        <v>0</v>
      </c>
      <c r="M17294">
        <v>0</v>
      </c>
      <c r="N17294">
        <v>0</v>
      </c>
    </row>
    <row r="17295" spans="1:15">
      <c r="A17295" t="s">
        <v>53287</v>
      </c>
      <c r="B17295" t="s">
        <v>6742</v>
      </c>
      <c r="C17295" t="s">
        <v>16872</v>
      </c>
      <c r="D17295" t="s">
        <v>53288</v>
      </c>
      <c r="E17295" t="b">
        <v>0</v>
      </c>
      <c r="F17295" t="s">
        <v>11610</v>
      </c>
      <c r="L17295">
        <v>0</v>
      </c>
      <c r="M17295">
        <v>0</v>
      </c>
      <c r="N17295">
        <v>0</v>
      </c>
    </row>
    <row r="17296" spans="1:15">
      <c r="A17296" t="s">
        <v>53289</v>
      </c>
      <c r="B17296" t="s">
        <v>6742</v>
      </c>
      <c r="C17296" t="s">
        <v>53290</v>
      </c>
      <c r="D17296" t="s">
        <v>53291</v>
      </c>
      <c r="E17296" t="b">
        <v>0</v>
      </c>
      <c r="F17296" t="s">
        <v>11624</v>
      </c>
      <c r="G17296">
        <v>4.5610900000000001</v>
      </c>
      <c r="H17296">
        <v>-7.3064400000000003</v>
      </c>
      <c r="I17296" t="s">
        <v>53292</v>
      </c>
      <c r="L17296">
        <v>0</v>
      </c>
      <c r="M17296">
        <v>0</v>
      </c>
      <c r="N17296">
        <v>0</v>
      </c>
      <c r="O17296" t="s">
        <v>23855</v>
      </c>
    </row>
    <row r="17297" spans="1:15">
      <c r="A17297" t="s">
        <v>18209</v>
      </c>
      <c r="B17297" t="s">
        <v>367</v>
      </c>
      <c r="C17297" t="s">
        <v>16934</v>
      </c>
      <c r="D17297" t="s">
        <v>53293</v>
      </c>
      <c r="E17297" t="b">
        <v>0</v>
      </c>
      <c r="F17297" t="s">
        <v>11624</v>
      </c>
      <c r="G17297">
        <v>-19.590699999999998</v>
      </c>
      <c r="H17297">
        <v>47.121099999999998</v>
      </c>
      <c r="I17297" t="s">
        <v>53294</v>
      </c>
      <c r="L17297">
        <v>0</v>
      </c>
      <c r="M17297">
        <v>0</v>
      </c>
      <c r="N17297">
        <v>5</v>
      </c>
      <c r="O17297" t="s">
        <v>14012</v>
      </c>
    </row>
    <row r="17298" spans="1:15">
      <c r="A17298" t="s">
        <v>53295</v>
      </c>
      <c r="B17298" t="s">
        <v>11879</v>
      </c>
      <c r="C17298" t="s">
        <v>11878</v>
      </c>
      <c r="D17298" t="s">
        <v>53296</v>
      </c>
      <c r="E17298" t="b">
        <v>0</v>
      </c>
      <c r="F17298" t="s">
        <v>11610</v>
      </c>
      <c r="L17298">
        <v>0</v>
      </c>
      <c r="M17298">
        <v>0</v>
      </c>
      <c r="N17298">
        <v>0</v>
      </c>
    </row>
    <row r="17299" spans="1:15">
      <c r="A17299" t="s">
        <v>2887</v>
      </c>
      <c r="B17299" t="s">
        <v>11637</v>
      </c>
      <c r="C17299" t="s">
        <v>2886</v>
      </c>
      <c r="D17299" t="s">
        <v>53297</v>
      </c>
      <c r="E17299" t="b">
        <v>0</v>
      </c>
      <c r="F17299" t="s">
        <v>11610</v>
      </c>
      <c r="L17299">
        <v>0</v>
      </c>
      <c r="M17299">
        <v>0</v>
      </c>
      <c r="N17299">
        <v>0</v>
      </c>
    </row>
    <row r="17300" spans="1:15">
      <c r="A17300" t="s">
        <v>21945</v>
      </c>
      <c r="B17300" t="s">
        <v>6742</v>
      </c>
      <c r="C17300" t="s">
        <v>23412</v>
      </c>
      <c r="D17300" t="s">
        <v>53298</v>
      </c>
      <c r="E17300" t="b">
        <v>0</v>
      </c>
      <c r="F17300" t="s">
        <v>11622</v>
      </c>
      <c r="L17300">
        <v>1</v>
      </c>
      <c r="M17300">
        <v>4</v>
      </c>
      <c r="N17300">
        <v>41</v>
      </c>
    </row>
    <row r="17301" spans="1:15">
      <c r="A17301" t="s">
        <v>35727</v>
      </c>
      <c r="B17301" t="s">
        <v>11757</v>
      </c>
      <c r="C17301" t="s">
        <v>21913</v>
      </c>
      <c r="D17301" t="s">
        <v>53299</v>
      </c>
      <c r="E17301" t="b">
        <v>0</v>
      </c>
      <c r="F17301" t="s">
        <v>11622</v>
      </c>
      <c r="L17301">
        <v>0</v>
      </c>
      <c r="M17301">
        <v>4</v>
      </c>
      <c r="N17301">
        <v>0</v>
      </c>
    </row>
    <row r="17302" spans="1:15">
      <c r="A17302" t="s">
        <v>53300</v>
      </c>
      <c r="B17302" t="s">
        <v>11637</v>
      </c>
      <c r="C17302" t="s">
        <v>25842</v>
      </c>
      <c r="D17302" t="s">
        <v>53301</v>
      </c>
      <c r="E17302" t="b">
        <v>0</v>
      </c>
      <c r="F17302" t="s">
        <v>11624</v>
      </c>
      <c r="G17302">
        <v>49.578028000000003</v>
      </c>
      <c r="H17302">
        <v>-109.35386800000001</v>
      </c>
      <c r="I17302" t="s">
        <v>53302</v>
      </c>
      <c r="L17302">
        <v>0</v>
      </c>
      <c r="M17302">
        <v>0</v>
      </c>
      <c r="N17302">
        <v>0</v>
      </c>
      <c r="O17302" t="s">
        <v>53303</v>
      </c>
    </row>
    <row r="17303" spans="1:15">
      <c r="A17303" t="s">
        <v>53304</v>
      </c>
      <c r="B17303" t="s">
        <v>978</v>
      </c>
      <c r="C17303" t="s">
        <v>29808</v>
      </c>
      <c r="D17303" t="s">
        <v>53305</v>
      </c>
      <c r="E17303" t="b">
        <v>0</v>
      </c>
      <c r="F17303" t="s">
        <v>11624</v>
      </c>
      <c r="G17303">
        <v>6.9094800000000003</v>
      </c>
      <c r="H17303">
        <v>-71.003600000000006</v>
      </c>
      <c r="I17303" t="s">
        <v>53306</v>
      </c>
      <c r="L17303">
        <v>0</v>
      </c>
      <c r="M17303">
        <v>0</v>
      </c>
      <c r="N17303">
        <v>0</v>
      </c>
      <c r="O17303" t="s">
        <v>17099</v>
      </c>
    </row>
    <row r="17304" spans="1:15">
      <c r="A17304" t="s">
        <v>53307</v>
      </c>
      <c r="B17304" t="s">
        <v>367</v>
      </c>
      <c r="C17304" t="s">
        <v>14352</v>
      </c>
      <c r="D17304" t="s">
        <v>53308</v>
      </c>
      <c r="E17304" t="b">
        <v>0</v>
      </c>
      <c r="F17304" t="s">
        <v>11610</v>
      </c>
      <c r="L17304">
        <v>0</v>
      </c>
      <c r="M17304">
        <v>0</v>
      </c>
      <c r="N17304">
        <v>0</v>
      </c>
    </row>
    <row r="17305" spans="1:15">
      <c r="A17305" t="s">
        <v>53309</v>
      </c>
      <c r="B17305" t="s">
        <v>6742</v>
      </c>
      <c r="C17305" t="s">
        <v>18362</v>
      </c>
      <c r="D17305" t="s">
        <v>53310</v>
      </c>
      <c r="E17305" t="b">
        <v>0</v>
      </c>
      <c r="F17305" t="s">
        <v>11610</v>
      </c>
      <c r="L17305">
        <v>0</v>
      </c>
      <c r="M17305">
        <v>0</v>
      </c>
      <c r="N17305">
        <v>0</v>
      </c>
    </row>
    <row r="17306" spans="1:15">
      <c r="A17306" t="s">
        <v>53311</v>
      </c>
      <c r="B17306" t="s">
        <v>12311</v>
      </c>
      <c r="C17306" t="s">
        <v>22377</v>
      </c>
      <c r="D17306" t="s">
        <v>53312</v>
      </c>
      <c r="E17306" t="b">
        <v>0</v>
      </c>
      <c r="F17306" t="s">
        <v>11610</v>
      </c>
      <c r="L17306">
        <v>0</v>
      </c>
      <c r="M17306">
        <v>0</v>
      </c>
      <c r="N17306">
        <v>0</v>
      </c>
    </row>
    <row r="17307" spans="1:15">
      <c r="A17307" t="s">
        <v>53313</v>
      </c>
      <c r="B17307" t="s">
        <v>12438</v>
      </c>
      <c r="C17307" t="s">
        <v>32116</v>
      </c>
      <c r="D17307" t="s">
        <v>53314</v>
      </c>
      <c r="E17307" t="b">
        <v>0</v>
      </c>
      <c r="F17307" t="s">
        <v>11610</v>
      </c>
      <c r="L17307">
        <v>0</v>
      </c>
      <c r="M17307">
        <v>0</v>
      </c>
      <c r="N17307">
        <v>0</v>
      </c>
    </row>
    <row r="17308" spans="1:15">
      <c r="A17308" t="s">
        <v>53315</v>
      </c>
      <c r="B17308" t="s">
        <v>12487</v>
      </c>
      <c r="C17308" t="s">
        <v>30678</v>
      </c>
      <c r="D17308" t="s">
        <v>53316</v>
      </c>
      <c r="E17308" t="b">
        <v>0</v>
      </c>
      <c r="F17308" t="s">
        <v>11610</v>
      </c>
      <c r="L17308">
        <v>0</v>
      </c>
      <c r="M17308">
        <v>0</v>
      </c>
      <c r="N17308">
        <v>0</v>
      </c>
    </row>
    <row r="17309" spans="1:15">
      <c r="A17309" t="s">
        <v>33098</v>
      </c>
      <c r="B17309" t="s">
        <v>12438</v>
      </c>
      <c r="C17309" t="s">
        <v>36173</v>
      </c>
      <c r="D17309" t="s">
        <v>53317</v>
      </c>
      <c r="E17309" t="b">
        <v>0</v>
      </c>
      <c r="F17309" t="s">
        <v>11624</v>
      </c>
      <c r="G17309">
        <v>24.823699999999999</v>
      </c>
      <c r="H17309">
        <v>92.262799999999999</v>
      </c>
      <c r="I17309" t="s">
        <v>53318</v>
      </c>
      <c r="L17309">
        <v>0</v>
      </c>
      <c r="M17309">
        <v>0</v>
      </c>
      <c r="N17309">
        <v>14</v>
      </c>
      <c r="O17309" t="s">
        <v>15054</v>
      </c>
    </row>
    <row r="17310" spans="1:15">
      <c r="A17310" t="s">
        <v>53319</v>
      </c>
      <c r="B17310" t="s">
        <v>367</v>
      </c>
      <c r="C17310" t="s">
        <v>15641</v>
      </c>
      <c r="D17310" t="s">
        <v>53320</v>
      </c>
      <c r="E17310" t="b">
        <v>0</v>
      </c>
      <c r="F17310" t="s">
        <v>11610</v>
      </c>
      <c r="L17310">
        <v>0</v>
      </c>
      <c r="M17310">
        <v>0</v>
      </c>
      <c r="N17310">
        <v>0</v>
      </c>
    </row>
    <row r="17311" spans="1:15">
      <c r="A17311" t="s">
        <v>48471</v>
      </c>
      <c r="B17311" t="s">
        <v>11644</v>
      </c>
      <c r="C17311" t="s">
        <v>13785</v>
      </c>
      <c r="D17311" t="s">
        <v>53321</v>
      </c>
      <c r="E17311" t="b">
        <v>0</v>
      </c>
      <c r="F17311" t="s">
        <v>11622</v>
      </c>
      <c r="L17311">
        <v>0</v>
      </c>
      <c r="M17311">
        <v>2</v>
      </c>
      <c r="N17311">
        <v>0</v>
      </c>
    </row>
    <row r="17312" spans="1:15">
      <c r="A17312" t="s">
        <v>53322</v>
      </c>
      <c r="B17312" t="s">
        <v>11644</v>
      </c>
      <c r="C17312" t="s">
        <v>48471</v>
      </c>
      <c r="D17312" t="s">
        <v>53323</v>
      </c>
      <c r="E17312" t="b">
        <v>0</v>
      </c>
      <c r="F17312" t="s">
        <v>11624</v>
      </c>
      <c r="G17312">
        <v>25.447800000000001</v>
      </c>
      <c r="H17312">
        <v>94.111900000000006</v>
      </c>
      <c r="I17312" t="s">
        <v>53324</v>
      </c>
      <c r="L17312">
        <v>0</v>
      </c>
      <c r="M17312">
        <v>0</v>
      </c>
      <c r="N17312">
        <v>0</v>
      </c>
      <c r="O17312" t="s">
        <v>11630</v>
      </c>
    </row>
    <row r="17313" spans="1:15">
      <c r="A17313" t="s">
        <v>53325</v>
      </c>
      <c r="B17313" t="s">
        <v>12751</v>
      </c>
      <c r="C17313" t="s">
        <v>49042</v>
      </c>
      <c r="D17313" t="s">
        <v>53326</v>
      </c>
      <c r="E17313" t="b">
        <v>0</v>
      </c>
      <c r="F17313" t="s">
        <v>11624</v>
      </c>
      <c r="G17313">
        <v>15.735073</v>
      </c>
      <c r="H17313">
        <v>-96.468075999999996</v>
      </c>
      <c r="I17313" t="s">
        <v>53327</v>
      </c>
      <c r="L17313">
        <v>0</v>
      </c>
      <c r="M17313">
        <v>0</v>
      </c>
      <c r="N17313">
        <v>0</v>
      </c>
      <c r="O17313" t="s">
        <v>11883</v>
      </c>
    </row>
    <row r="17314" spans="1:15">
      <c r="A17314" t="s">
        <v>53328</v>
      </c>
      <c r="B17314" t="s">
        <v>5911</v>
      </c>
      <c r="C17314" t="s">
        <v>23406</v>
      </c>
      <c r="D17314" t="s">
        <v>53329</v>
      </c>
      <c r="E17314" t="b">
        <v>0</v>
      </c>
      <c r="F17314" t="s">
        <v>11622</v>
      </c>
      <c r="L17314">
        <v>0</v>
      </c>
      <c r="M17314">
        <v>2</v>
      </c>
      <c r="N17314">
        <v>0</v>
      </c>
    </row>
    <row r="17315" spans="1:15">
      <c r="A17315" t="s">
        <v>53330</v>
      </c>
      <c r="B17315" t="s">
        <v>11686</v>
      </c>
      <c r="C17315" t="s">
        <v>11687</v>
      </c>
      <c r="D17315" t="s">
        <v>53331</v>
      </c>
      <c r="E17315" t="b">
        <v>0</v>
      </c>
      <c r="F17315" t="s">
        <v>11610</v>
      </c>
      <c r="L17315">
        <v>0</v>
      </c>
      <c r="M17315">
        <v>0</v>
      </c>
      <c r="N17315">
        <v>0</v>
      </c>
    </row>
    <row r="17316" spans="1:15">
      <c r="A17316" t="s">
        <v>53332</v>
      </c>
      <c r="B17316" t="s">
        <v>367</v>
      </c>
      <c r="C17316" t="s">
        <v>14046</v>
      </c>
      <c r="D17316" t="s">
        <v>53333</v>
      </c>
      <c r="E17316" t="b">
        <v>0</v>
      </c>
      <c r="F17316" t="s">
        <v>11624</v>
      </c>
      <c r="G17316">
        <v>-2.2057199999999999</v>
      </c>
      <c r="H17316">
        <v>139.45599999999999</v>
      </c>
      <c r="I17316" t="s">
        <v>53334</v>
      </c>
      <c r="L17316">
        <v>0</v>
      </c>
      <c r="M17316">
        <v>0</v>
      </c>
      <c r="N17316">
        <v>0</v>
      </c>
      <c r="O17316" t="s">
        <v>11768</v>
      </c>
    </row>
    <row r="17317" spans="1:15">
      <c r="A17317" t="s">
        <v>53335</v>
      </c>
      <c r="B17317" t="s">
        <v>11844</v>
      </c>
      <c r="C17317" t="s">
        <v>1318</v>
      </c>
      <c r="D17317" t="s">
        <v>53336</v>
      </c>
      <c r="E17317" t="b">
        <v>0</v>
      </c>
      <c r="F17317" t="s">
        <v>11610</v>
      </c>
      <c r="L17317">
        <v>0</v>
      </c>
      <c r="M17317">
        <v>0</v>
      </c>
      <c r="N17317">
        <v>0</v>
      </c>
    </row>
    <row r="17318" spans="1:15">
      <c r="A17318" t="s">
        <v>53337</v>
      </c>
      <c r="B17318" t="s">
        <v>6742</v>
      </c>
      <c r="C17318" t="s">
        <v>2522</v>
      </c>
      <c r="D17318" t="s">
        <v>53338</v>
      </c>
      <c r="E17318" t="b">
        <v>0</v>
      </c>
      <c r="F17318" t="s">
        <v>11610</v>
      </c>
      <c r="L17318">
        <v>0</v>
      </c>
      <c r="M17318">
        <v>0</v>
      </c>
      <c r="N17318">
        <v>0</v>
      </c>
    </row>
    <row r="17319" spans="1:15">
      <c r="A17319" t="s">
        <v>43315</v>
      </c>
      <c r="B17319" t="s">
        <v>11607</v>
      </c>
      <c r="C17319" t="s">
        <v>24587</v>
      </c>
      <c r="D17319" t="s">
        <v>53339</v>
      </c>
      <c r="E17319" t="b">
        <v>0</v>
      </c>
      <c r="F17319" t="s">
        <v>11622</v>
      </c>
      <c r="L17319">
        <v>0</v>
      </c>
      <c r="M17319">
        <v>2</v>
      </c>
      <c r="N17319">
        <v>0</v>
      </c>
    </row>
    <row r="17320" spans="1:15">
      <c r="A17320" t="s">
        <v>53340</v>
      </c>
      <c r="B17320" t="s">
        <v>6742</v>
      </c>
      <c r="C17320" t="s">
        <v>16646</v>
      </c>
      <c r="D17320" t="s">
        <v>53341</v>
      </c>
      <c r="E17320" t="b">
        <v>0</v>
      </c>
      <c r="F17320" t="s">
        <v>11610</v>
      </c>
      <c r="L17320">
        <v>0</v>
      </c>
      <c r="M17320">
        <v>0</v>
      </c>
      <c r="N17320">
        <v>0</v>
      </c>
    </row>
    <row r="17321" spans="1:15">
      <c r="A17321" t="s">
        <v>53342</v>
      </c>
      <c r="B17321" t="s">
        <v>6742</v>
      </c>
      <c r="C17321" t="s">
        <v>21272</v>
      </c>
      <c r="D17321" t="s">
        <v>53343</v>
      </c>
      <c r="E17321" t="b">
        <v>0</v>
      </c>
      <c r="F17321" t="s">
        <v>11610</v>
      </c>
      <c r="L17321">
        <v>0</v>
      </c>
      <c r="M17321">
        <v>0</v>
      </c>
      <c r="N17321">
        <v>0</v>
      </c>
    </row>
    <row r="17322" spans="1:15">
      <c r="A17322" t="s">
        <v>46749</v>
      </c>
      <c r="B17322" t="s">
        <v>6742</v>
      </c>
      <c r="C17322" t="s">
        <v>19707</v>
      </c>
      <c r="D17322" t="s">
        <v>53344</v>
      </c>
      <c r="E17322" t="b">
        <v>0</v>
      </c>
      <c r="F17322" t="s">
        <v>11622</v>
      </c>
      <c r="L17322">
        <v>0</v>
      </c>
      <c r="M17322">
        <v>2</v>
      </c>
      <c r="N17322">
        <v>0</v>
      </c>
    </row>
    <row r="17323" spans="1:15">
      <c r="A17323" t="s">
        <v>53345</v>
      </c>
      <c r="B17323" t="s">
        <v>6742</v>
      </c>
      <c r="C17323" t="s">
        <v>46749</v>
      </c>
      <c r="D17323" t="s">
        <v>53346</v>
      </c>
      <c r="E17323" t="b">
        <v>0</v>
      </c>
      <c r="F17323" t="s">
        <v>11624</v>
      </c>
      <c r="G17323">
        <v>-8.7228300000000001</v>
      </c>
      <c r="H17323">
        <v>36.4148</v>
      </c>
      <c r="I17323" t="s">
        <v>53347</v>
      </c>
      <c r="L17323">
        <v>0</v>
      </c>
      <c r="M17323">
        <v>0</v>
      </c>
      <c r="N17323">
        <v>0</v>
      </c>
      <c r="O17323" t="s">
        <v>11635</v>
      </c>
    </row>
    <row r="17324" spans="1:15">
      <c r="A17324" t="s">
        <v>53348</v>
      </c>
      <c r="B17324" t="s">
        <v>11637</v>
      </c>
      <c r="C17324" t="s">
        <v>16090</v>
      </c>
      <c r="D17324" t="s">
        <v>53349</v>
      </c>
      <c r="E17324" t="b">
        <v>0</v>
      </c>
      <c r="F17324" t="s">
        <v>11610</v>
      </c>
      <c r="L17324">
        <v>0</v>
      </c>
      <c r="M17324">
        <v>0</v>
      </c>
      <c r="N17324">
        <v>0</v>
      </c>
    </row>
    <row r="17325" spans="1:15">
      <c r="A17325" t="s">
        <v>10989</v>
      </c>
      <c r="B17325" t="s">
        <v>367</v>
      </c>
      <c r="C17325" t="s">
        <v>45013</v>
      </c>
      <c r="D17325" t="s">
        <v>53350</v>
      </c>
      <c r="E17325" t="b">
        <v>0</v>
      </c>
      <c r="F17325" t="s">
        <v>11624</v>
      </c>
      <c r="G17325">
        <v>6.8721199999999998</v>
      </c>
      <c r="H17325">
        <v>158.22300000000001</v>
      </c>
      <c r="I17325" t="s">
        <v>10990</v>
      </c>
      <c r="L17325">
        <v>0</v>
      </c>
      <c r="M17325">
        <v>0</v>
      </c>
      <c r="N17325">
        <v>3</v>
      </c>
      <c r="O17325" t="s">
        <v>22994</v>
      </c>
    </row>
    <row r="17326" spans="1:15">
      <c r="A17326" t="s">
        <v>53351</v>
      </c>
      <c r="B17326" t="s">
        <v>21717</v>
      </c>
      <c r="C17326" t="s">
        <v>21716</v>
      </c>
      <c r="D17326" t="s">
        <v>53352</v>
      </c>
      <c r="E17326" t="b">
        <v>0</v>
      </c>
      <c r="F17326" t="s">
        <v>11610</v>
      </c>
      <c r="L17326">
        <v>0</v>
      </c>
      <c r="M17326">
        <v>0</v>
      </c>
      <c r="N17326">
        <v>0</v>
      </c>
    </row>
    <row r="17327" spans="1:15">
      <c r="A17327" t="s">
        <v>53353</v>
      </c>
      <c r="B17327" t="s">
        <v>11637</v>
      </c>
      <c r="C17327" t="s">
        <v>19771</v>
      </c>
      <c r="D17327" t="s">
        <v>53354</v>
      </c>
      <c r="E17327" t="b">
        <v>0</v>
      </c>
      <c r="F17327" t="s">
        <v>11610</v>
      </c>
      <c r="L17327">
        <v>0</v>
      </c>
      <c r="M17327">
        <v>0</v>
      </c>
      <c r="N17327">
        <v>0</v>
      </c>
    </row>
    <row r="17328" spans="1:15">
      <c r="A17328" t="s">
        <v>53355</v>
      </c>
      <c r="B17328" t="s">
        <v>14571</v>
      </c>
      <c r="C17328" t="s">
        <v>46378</v>
      </c>
      <c r="D17328" t="s">
        <v>53356</v>
      </c>
      <c r="E17328" t="b">
        <v>0</v>
      </c>
      <c r="F17328" t="s">
        <v>11610</v>
      </c>
      <c r="L17328">
        <v>0</v>
      </c>
      <c r="M17328">
        <v>0</v>
      </c>
      <c r="N17328">
        <v>0</v>
      </c>
    </row>
    <row r="17329" spans="1:15">
      <c r="A17329" t="s">
        <v>53357</v>
      </c>
      <c r="B17329" t="s">
        <v>11757</v>
      </c>
      <c r="C17329" t="s">
        <v>9059</v>
      </c>
      <c r="D17329" t="s">
        <v>53358</v>
      </c>
      <c r="E17329" t="b">
        <v>0</v>
      </c>
      <c r="F17329" t="s">
        <v>11610</v>
      </c>
      <c r="L17329">
        <v>0</v>
      </c>
      <c r="M17329">
        <v>0</v>
      </c>
      <c r="N17329">
        <v>0</v>
      </c>
    </row>
    <row r="17330" spans="1:15">
      <c r="A17330" t="s">
        <v>53359</v>
      </c>
      <c r="B17330" t="s">
        <v>6742</v>
      </c>
      <c r="C17330" t="s">
        <v>4025</v>
      </c>
      <c r="D17330" t="s">
        <v>53360</v>
      </c>
      <c r="E17330" t="b">
        <v>0</v>
      </c>
      <c r="F17330" t="s">
        <v>11610</v>
      </c>
      <c r="L17330">
        <v>0</v>
      </c>
      <c r="M17330">
        <v>0</v>
      </c>
      <c r="N17330">
        <v>0</v>
      </c>
    </row>
    <row r="17331" spans="1:15">
      <c r="A17331" t="s">
        <v>53361</v>
      </c>
      <c r="B17331" t="s">
        <v>11627</v>
      </c>
      <c r="C17331" t="s">
        <v>11627</v>
      </c>
      <c r="D17331" t="s">
        <v>53362</v>
      </c>
      <c r="E17331" t="b">
        <v>1</v>
      </c>
      <c r="F17331" t="s">
        <v>11624</v>
      </c>
      <c r="G17331">
        <v>0.35793999999999998</v>
      </c>
      <c r="H17331">
        <v>-69.560699999999997</v>
      </c>
      <c r="I17331" t="s">
        <v>53363</v>
      </c>
      <c r="L17331">
        <v>0</v>
      </c>
      <c r="M17331">
        <v>0</v>
      </c>
      <c r="N17331">
        <v>0</v>
      </c>
      <c r="O17331" t="s">
        <v>11969</v>
      </c>
    </row>
    <row r="17332" spans="1:15">
      <c r="A17332" t="s">
        <v>5536</v>
      </c>
      <c r="B17332" t="s">
        <v>6742</v>
      </c>
      <c r="C17332" t="s">
        <v>17281</v>
      </c>
      <c r="D17332" t="s">
        <v>53364</v>
      </c>
      <c r="E17332" t="b">
        <v>0</v>
      </c>
      <c r="F17332" t="s">
        <v>11624</v>
      </c>
      <c r="G17332">
        <v>0.73538000000000003</v>
      </c>
      <c r="H17332">
        <v>23.897200000000002</v>
      </c>
      <c r="I17332" t="s">
        <v>5537</v>
      </c>
      <c r="L17332">
        <v>0</v>
      </c>
      <c r="M17332">
        <v>0</v>
      </c>
      <c r="N17332">
        <v>4</v>
      </c>
      <c r="O17332" t="s">
        <v>14825</v>
      </c>
    </row>
    <row r="17333" spans="1:15">
      <c r="A17333" t="s">
        <v>53365</v>
      </c>
      <c r="B17333" t="s">
        <v>12438</v>
      </c>
      <c r="C17333" t="s">
        <v>5160</v>
      </c>
      <c r="D17333" t="s">
        <v>53366</v>
      </c>
      <c r="E17333" t="b">
        <v>0</v>
      </c>
      <c r="F17333" t="s">
        <v>11610</v>
      </c>
      <c r="L17333">
        <v>0</v>
      </c>
      <c r="M17333">
        <v>0</v>
      </c>
      <c r="N17333">
        <v>0</v>
      </c>
    </row>
    <row r="17334" spans="1:15">
      <c r="A17334" t="s">
        <v>30367</v>
      </c>
      <c r="B17334" t="s">
        <v>6742</v>
      </c>
      <c r="C17334" t="s">
        <v>23325</v>
      </c>
      <c r="D17334" t="s">
        <v>53367</v>
      </c>
      <c r="E17334" t="b">
        <v>0</v>
      </c>
      <c r="F17334" t="s">
        <v>11624</v>
      </c>
      <c r="G17334">
        <v>-2.3158699999999999</v>
      </c>
      <c r="H17334">
        <v>40.289700000000003</v>
      </c>
      <c r="I17334" t="s">
        <v>53368</v>
      </c>
      <c r="L17334">
        <v>0</v>
      </c>
      <c r="M17334">
        <v>0</v>
      </c>
      <c r="N17334">
        <v>6</v>
      </c>
      <c r="O17334" t="s">
        <v>22848</v>
      </c>
    </row>
    <row r="17335" spans="1:15">
      <c r="A17335" t="s">
        <v>53369</v>
      </c>
      <c r="B17335" t="s">
        <v>6742</v>
      </c>
      <c r="C17335" t="s">
        <v>40410</v>
      </c>
      <c r="D17335" t="s">
        <v>53370</v>
      </c>
      <c r="E17335" t="b">
        <v>0</v>
      </c>
      <c r="F17335" t="s">
        <v>11610</v>
      </c>
      <c r="L17335">
        <v>0</v>
      </c>
      <c r="M17335">
        <v>0</v>
      </c>
      <c r="N17335">
        <v>0</v>
      </c>
    </row>
    <row r="17336" spans="1:15">
      <c r="A17336" t="s">
        <v>26122</v>
      </c>
      <c r="B17336" t="s">
        <v>11757</v>
      </c>
      <c r="C17336" t="s">
        <v>43053</v>
      </c>
      <c r="D17336" t="s">
        <v>53371</v>
      </c>
      <c r="E17336" t="b">
        <v>0</v>
      </c>
      <c r="F17336" t="s">
        <v>11624</v>
      </c>
      <c r="G17336">
        <v>1.57023</v>
      </c>
      <c r="H17336">
        <v>35.2318</v>
      </c>
      <c r="I17336" t="s">
        <v>53372</v>
      </c>
      <c r="L17336">
        <v>0</v>
      </c>
      <c r="M17336">
        <v>0</v>
      </c>
      <c r="N17336">
        <v>2</v>
      </c>
      <c r="O17336" t="s">
        <v>12057</v>
      </c>
    </row>
    <row r="17337" spans="1:15">
      <c r="A17337" t="s">
        <v>53373</v>
      </c>
      <c r="B17337" t="s">
        <v>13360</v>
      </c>
      <c r="C17337" t="s">
        <v>13360</v>
      </c>
      <c r="D17337" t="s">
        <v>53374</v>
      </c>
      <c r="E17337" t="b">
        <v>0</v>
      </c>
      <c r="F17337" t="s">
        <v>11624</v>
      </c>
      <c r="G17337">
        <v>51.7866</v>
      </c>
      <c r="H17337">
        <v>-1.3909100000000001</v>
      </c>
      <c r="I17337" t="s">
        <v>53375</v>
      </c>
      <c r="L17337">
        <v>0</v>
      </c>
      <c r="M17337">
        <v>0</v>
      </c>
      <c r="N17337">
        <v>0</v>
      </c>
      <c r="O17337" t="s">
        <v>19884</v>
      </c>
    </row>
    <row r="17338" spans="1:15">
      <c r="A17338" t="s">
        <v>53376</v>
      </c>
      <c r="B17338" t="s">
        <v>13014</v>
      </c>
      <c r="C17338" t="s">
        <v>15774</v>
      </c>
      <c r="D17338" t="s">
        <v>53377</v>
      </c>
      <c r="E17338" t="b">
        <v>0</v>
      </c>
      <c r="F17338" t="s">
        <v>11610</v>
      </c>
      <c r="L17338">
        <v>0</v>
      </c>
      <c r="M17338">
        <v>0</v>
      </c>
      <c r="N17338">
        <v>0</v>
      </c>
    </row>
    <row r="17339" spans="1:15">
      <c r="A17339" t="s">
        <v>53378</v>
      </c>
      <c r="B17339" t="s">
        <v>11637</v>
      </c>
      <c r="C17339" t="s">
        <v>35302</v>
      </c>
      <c r="D17339" t="s">
        <v>53379</v>
      </c>
      <c r="E17339" t="b">
        <v>0</v>
      </c>
      <c r="F17339" t="s">
        <v>11624</v>
      </c>
      <c r="G17339">
        <v>52</v>
      </c>
      <c r="H17339">
        <v>14</v>
      </c>
      <c r="I17339" t="s">
        <v>53380</v>
      </c>
      <c r="L17339">
        <v>0</v>
      </c>
      <c r="M17339">
        <v>0</v>
      </c>
      <c r="N17339">
        <v>0</v>
      </c>
      <c r="O17339" t="s">
        <v>25838</v>
      </c>
    </row>
    <row r="17340" spans="1:15">
      <c r="A17340" t="s">
        <v>16969</v>
      </c>
      <c r="B17340" t="s">
        <v>11607</v>
      </c>
      <c r="C17340" t="s">
        <v>41237</v>
      </c>
      <c r="D17340" t="s">
        <v>53381</v>
      </c>
      <c r="E17340" t="b">
        <v>0</v>
      </c>
      <c r="F17340" t="s">
        <v>11624</v>
      </c>
      <c r="G17340">
        <v>10.0258</v>
      </c>
      <c r="H17340">
        <v>9.5336200000000009</v>
      </c>
      <c r="I17340" t="s">
        <v>53382</v>
      </c>
      <c r="L17340">
        <v>0</v>
      </c>
      <c r="M17340">
        <v>0</v>
      </c>
      <c r="N17340">
        <v>6</v>
      </c>
      <c r="O17340" t="s">
        <v>11693</v>
      </c>
    </row>
    <row r="17341" spans="1:15">
      <c r="A17341" t="s">
        <v>53383</v>
      </c>
      <c r="B17341" t="s">
        <v>11607</v>
      </c>
      <c r="C17341" t="s">
        <v>16969</v>
      </c>
      <c r="D17341" t="s">
        <v>53384</v>
      </c>
      <c r="E17341" t="b">
        <v>0</v>
      </c>
      <c r="F17341" t="s">
        <v>11610</v>
      </c>
      <c r="L17341">
        <v>0</v>
      </c>
      <c r="M17341">
        <v>0</v>
      </c>
      <c r="N17341">
        <v>0</v>
      </c>
    </row>
    <row r="17342" spans="1:15">
      <c r="A17342" t="s">
        <v>53385</v>
      </c>
      <c r="B17342" t="s">
        <v>367</v>
      </c>
      <c r="C17342" t="s">
        <v>37378</v>
      </c>
      <c r="D17342" t="s">
        <v>53386</v>
      </c>
      <c r="E17342" t="b">
        <v>0</v>
      </c>
      <c r="F17342" t="s">
        <v>11610</v>
      </c>
      <c r="L17342">
        <v>0</v>
      </c>
      <c r="M17342">
        <v>0</v>
      </c>
      <c r="N17342">
        <v>0</v>
      </c>
    </row>
    <row r="17343" spans="1:15">
      <c r="A17343" t="s">
        <v>53387</v>
      </c>
      <c r="B17343" t="s">
        <v>367</v>
      </c>
      <c r="C17343" t="s">
        <v>53388</v>
      </c>
      <c r="D17343" t="s">
        <v>53389</v>
      </c>
      <c r="E17343" t="b">
        <v>0</v>
      </c>
      <c r="F17343" t="s">
        <v>11610</v>
      </c>
      <c r="L17343">
        <v>0</v>
      </c>
      <c r="M17343">
        <v>0</v>
      </c>
      <c r="N17343">
        <v>0</v>
      </c>
    </row>
    <row r="17344" spans="1:15">
      <c r="A17344" t="s">
        <v>53390</v>
      </c>
      <c r="B17344" t="s">
        <v>6742</v>
      </c>
      <c r="C17344" t="s">
        <v>38443</v>
      </c>
      <c r="D17344" t="s">
        <v>53391</v>
      </c>
      <c r="E17344" t="b">
        <v>0</v>
      </c>
      <c r="F17344" t="s">
        <v>11610</v>
      </c>
      <c r="L17344">
        <v>0</v>
      </c>
      <c r="M17344">
        <v>0</v>
      </c>
      <c r="N17344">
        <v>0</v>
      </c>
    </row>
    <row r="17345" spans="1:15">
      <c r="A17345" t="s">
        <v>53392</v>
      </c>
      <c r="B17345" t="s">
        <v>11981</v>
      </c>
      <c r="C17345" t="s">
        <v>24589</v>
      </c>
      <c r="D17345" t="s">
        <v>53393</v>
      </c>
      <c r="E17345" t="b">
        <v>0</v>
      </c>
      <c r="F17345" t="s">
        <v>11624</v>
      </c>
      <c r="G17345">
        <v>52.004100000000001</v>
      </c>
      <c r="H17345">
        <v>20.760999999999999</v>
      </c>
      <c r="I17345" t="s">
        <v>53394</v>
      </c>
      <c r="L17345">
        <v>0</v>
      </c>
      <c r="M17345">
        <v>0</v>
      </c>
      <c r="N17345">
        <v>0</v>
      </c>
      <c r="O17345" t="s">
        <v>27424</v>
      </c>
    </row>
    <row r="17346" spans="1:15">
      <c r="A17346" t="s">
        <v>10508</v>
      </c>
      <c r="B17346" t="s">
        <v>11637</v>
      </c>
      <c r="C17346" t="s">
        <v>35302</v>
      </c>
      <c r="D17346" t="s">
        <v>10507</v>
      </c>
      <c r="E17346" t="b">
        <v>0</v>
      </c>
      <c r="F17346" t="s">
        <v>11624</v>
      </c>
      <c r="G17346">
        <v>51.843899999999998</v>
      </c>
      <c r="H17346">
        <v>18.625499999999999</v>
      </c>
      <c r="I17346" t="s">
        <v>10509</v>
      </c>
      <c r="L17346">
        <v>0</v>
      </c>
      <c r="M17346">
        <v>0</v>
      </c>
      <c r="N17346">
        <v>1</v>
      </c>
      <c r="O17346" t="s">
        <v>53395</v>
      </c>
    </row>
    <row r="17347" spans="1:15">
      <c r="A17347" t="s">
        <v>53396</v>
      </c>
      <c r="B17347" t="s">
        <v>11637</v>
      </c>
      <c r="C17347" t="s">
        <v>16346</v>
      </c>
      <c r="D17347" t="s">
        <v>53397</v>
      </c>
      <c r="E17347" t="b">
        <v>0</v>
      </c>
      <c r="F17347" t="s">
        <v>11610</v>
      </c>
      <c r="L17347">
        <v>0</v>
      </c>
      <c r="M17347">
        <v>0</v>
      </c>
      <c r="N17347">
        <v>0</v>
      </c>
    </row>
    <row r="17348" spans="1:15">
      <c r="A17348" t="s">
        <v>53398</v>
      </c>
      <c r="B17348" t="s">
        <v>367</v>
      </c>
      <c r="C17348" t="s">
        <v>53399</v>
      </c>
      <c r="D17348" t="s">
        <v>53400</v>
      </c>
      <c r="E17348" t="b">
        <v>0</v>
      </c>
      <c r="F17348" t="s">
        <v>11624</v>
      </c>
      <c r="G17348">
        <v>7.6388749999999996</v>
      </c>
      <c r="H17348">
        <v>149.42872299999999</v>
      </c>
      <c r="L17348">
        <v>0</v>
      </c>
      <c r="M17348">
        <v>0</v>
      </c>
      <c r="N17348">
        <v>0</v>
      </c>
      <c r="O17348" t="s">
        <v>22994</v>
      </c>
    </row>
    <row r="17349" spans="1:15">
      <c r="A17349" t="s">
        <v>53401</v>
      </c>
      <c r="B17349" t="s">
        <v>11644</v>
      </c>
      <c r="C17349" t="s">
        <v>39315</v>
      </c>
      <c r="D17349" t="s">
        <v>53402</v>
      </c>
      <c r="E17349" t="b">
        <v>0</v>
      </c>
      <c r="F17349" t="s">
        <v>11610</v>
      </c>
      <c r="L17349">
        <v>0</v>
      </c>
      <c r="M17349">
        <v>0</v>
      </c>
      <c r="N17349">
        <v>0</v>
      </c>
    </row>
    <row r="17350" spans="1:15">
      <c r="A17350" t="s">
        <v>53403</v>
      </c>
      <c r="B17350" t="s">
        <v>367</v>
      </c>
      <c r="C17350" t="s">
        <v>20644</v>
      </c>
      <c r="D17350" t="s">
        <v>53404</v>
      </c>
      <c r="E17350" t="b">
        <v>0</v>
      </c>
      <c r="F17350" t="s">
        <v>11624</v>
      </c>
      <c r="G17350">
        <v>-15.465299999999999</v>
      </c>
      <c r="H17350">
        <v>167.09</v>
      </c>
      <c r="I17350" t="s">
        <v>53405</v>
      </c>
      <c r="L17350">
        <v>0</v>
      </c>
      <c r="M17350">
        <v>0</v>
      </c>
      <c r="N17350">
        <v>0</v>
      </c>
      <c r="O17350" t="s">
        <v>12719</v>
      </c>
    </row>
    <row r="17351" spans="1:15">
      <c r="A17351" t="s">
        <v>53406</v>
      </c>
      <c r="B17351" t="s">
        <v>11607</v>
      </c>
      <c r="C17351" t="s">
        <v>47913</v>
      </c>
      <c r="D17351" t="s">
        <v>53407</v>
      </c>
      <c r="E17351" t="b">
        <v>0</v>
      </c>
      <c r="F17351" t="s">
        <v>11610</v>
      </c>
      <c r="L17351">
        <v>0</v>
      </c>
      <c r="M17351">
        <v>0</v>
      </c>
      <c r="N17351">
        <v>0</v>
      </c>
    </row>
    <row r="17352" spans="1:15">
      <c r="A17352" t="s">
        <v>49762</v>
      </c>
      <c r="B17352" t="s">
        <v>367</v>
      </c>
      <c r="C17352" t="s">
        <v>26163</v>
      </c>
      <c r="D17352" t="s">
        <v>53408</v>
      </c>
      <c r="E17352" t="b">
        <v>0</v>
      </c>
      <c r="F17352" t="s">
        <v>11622</v>
      </c>
      <c r="L17352">
        <v>18</v>
      </c>
      <c r="M17352">
        <v>38</v>
      </c>
      <c r="N17352">
        <v>47</v>
      </c>
    </row>
    <row r="17353" spans="1:15">
      <c r="A17353" t="s">
        <v>53409</v>
      </c>
      <c r="B17353" t="s">
        <v>11637</v>
      </c>
      <c r="C17353" t="s">
        <v>22009</v>
      </c>
      <c r="D17353" t="s">
        <v>53410</v>
      </c>
      <c r="E17353" t="b">
        <v>0</v>
      </c>
      <c r="F17353" t="s">
        <v>11610</v>
      </c>
      <c r="L17353">
        <v>0</v>
      </c>
      <c r="M17353">
        <v>0</v>
      </c>
      <c r="N17353">
        <v>0</v>
      </c>
    </row>
    <row r="17354" spans="1:15">
      <c r="A17354" t="s">
        <v>33621</v>
      </c>
      <c r="B17354" t="s">
        <v>367</v>
      </c>
      <c r="C17354" t="s">
        <v>21940</v>
      </c>
      <c r="D17354" t="s">
        <v>53411</v>
      </c>
      <c r="E17354" t="b">
        <v>0</v>
      </c>
      <c r="F17354" t="s">
        <v>11624</v>
      </c>
      <c r="G17354">
        <v>-1.6422399999999999</v>
      </c>
      <c r="H17354">
        <v>135.619</v>
      </c>
      <c r="I17354" t="s">
        <v>53412</v>
      </c>
      <c r="L17354">
        <v>0</v>
      </c>
      <c r="M17354">
        <v>0</v>
      </c>
      <c r="N17354">
        <v>1</v>
      </c>
      <c r="O17354" t="s">
        <v>11768</v>
      </c>
    </row>
    <row r="17355" spans="1:15">
      <c r="A17355" t="s">
        <v>15545</v>
      </c>
      <c r="B17355" t="s">
        <v>6742</v>
      </c>
      <c r="C17355" t="s">
        <v>34308</v>
      </c>
      <c r="D17355" t="s">
        <v>53413</v>
      </c>
      <c r="E17355" t="b">
        <v>0</v>
      </c>
      <c r="F17355" t="s">
        <v>11624</v>
      </c>
      <c r="G17355">
        <v>1.83</v>
      </c>
      <c r="H17355">
        <v>16.170000000000002</v>
      </c>
      <c r="I17355" t="s">
        <v>53414</v>
      </c>
      <c r="L17355">
        <v>0</v>
      </c>
      <c r="M17355">
        <v>0</v>
      </c>
      <c r="N17355">
        <v>5</v>
      </c>
      <c r="O17355" t="s">
        <v>16633</v>
      </c>
    </row>
    <row r="17356" spans="1:15">
      <c r="A17356" t="s">
        <v>13600</v>
      </c>
      <c r="B17356" t="s">
        <v>11615</v>
      </c>
      <c r="C17356" t="s">
        <v>51625</v>
      </c>
      <c r="D17356" t="s">
        <v>53415</v>
      </c>
      <c r="E17356" t="b">
        <v>0</v>
      </c>
      <c r="F17356" t="s">
        <v>11622</v>
      </c>
      <c r="L17356">
        <v>1</v>
      </c>
      <c r="M17356">
        <v>3</v>
      </c>
      <c r="N17356">
        <v>0</v>
      </c>
    </row>
    <row r="17357" spans="1:15">
      <c r="A17357" t="s">
        <v>21717</v>
      </c>
      <c r="D17357" t="s">
        <v>53416</v>
      </c>
      <c r="E17357" t="b">
        <v>0</v>
      </c>
      <c r="F17357" t="s">
        <v>11622</v>
      </c>
      <c r="L17357">
        <v>4</v>
      </c>
      <c r="M17357">
        <v>7</v>
      </c>
      <c r="N17357">
        <v>5</v>
      </c>
    </row>
    <row r="17358" spans="1:15">
      <c r="A17358" t="s">
        <v>34309</v>
      </c>
      <c r="B17358" t="s">
        <v>6742</v>
      </c>
      <c r="C17358" t="s">
        <v>41891</v>
      </c>
      <c r="D17358" t="s">
        <v>53417</v>
      </c>
      <c r="E17358" t="b">
        <v>0</v>
      </c>
      <c r="F17358" t="s">
        <v>11622</v>
      </c>
      <c r="L17358">
        <v>6</v>
      </c>
      <c r="M17358">
        <v>15</v>
      </c>
      <c r="N17358">
        <v>39</v>
      </c>
    </row>
    <row r="17359" spans="1:15">
      <c r="A17359" t="s">
        <v>53418</v>
      </c>
      <c r="B17359" t="s">
        <v>367</v>
      </c>
      <c r="C17359" t="s">
        <v>43102</v>
      </c>
      <c r="D17359" t="s">
        <v>53419</v>
      </c>
      <c r="E17359" t="b">
        <v>0</v>
      </c>
      <c r="F17359" t="s">
        <v>11622</v>
      </c>
      <c r="L17359">
        <v>12</v>
      </c>
      <c r="M17359">
        <v>17</v>
      </c>
      <c r="N17359">
        <v>15</v>
      </c>
    </row>
    <row r="17360" spans="1:15">
      <c r="A17360" t="s">
        <v>45013</v>
      </c>
      <c r="B17360" t="s">
        <v>367</v>
      </c>
      <c r="C17360" t="s">
        <v>53418</v>
      </c>
      <c r="D17360" t="s">
        <v>53420</v>
      </c>
      <c r="E17360" t="b">
        <v>0</v>
      </c>
      <c r="F17360" t="s">
        <v>11622</v>
      </c>
      <c r="L17360">
        <v>0</v>
      </c>
      <c r="M17360">
        <v>3</v>
      </c>
      <c r="N17360">
        <v>3</v>
      </c>
    </row>
    <row r="17361" spans="1:15">
      <c r="A17361" t="s">
        <v>53421</v>
      </c>
      <c r="B17361" t="s">
        <v>367</v>
      </c>
      <c r="C17361" t="s">
        <v>10989</v>
      </c>
      <c r="D17361" t="s">
        <v>53422</v>
      </c>
      <c r="E17361" t="b">
        <v>0</v>
      </c>
      <c r="F17361" t="s">
        <v>11610</v>
      </c>
      <c r="L17361">
        <v>0</v>
      </c>
      <c r="M17361">
        <v>0</v>
      </c>
      <c r="N17361">
        <v>0</v>
      </c>
    </row>
    <row r="17362" spans="1:15">
      <c r="A17362" t="s">
        <v>53423</v>
      </c>
      <c r="B17362" t="s">
        <v>367</v>
      </c>
      <c r="C17362" t="s">
        <v>13758</v>
      </c>
      <c r="D17362" t="s">
        <v>53424</v>
      </c>
      <c r="E17362" t="b">
        <v>0</v>
      </c>
      <c r="F17362" t="s">
        <v>11624</v>
      </c>
      <c r="G17362">
        <v>-1.9170499999999999</v>
      </c>
      <c r="H17362">
        <v>146.887</v>
      </c>
      <c r="I17362" t="s">
        <v>53425</v>
      </c>
      <c r="L17362">
        <v>0</v>
      </c>
      <c r="M17362">
        <v>0</v>
      </c>
      <c r="N17362">
        <v>0</v>
      </c>
      <c r="O17362" t="s">
        <v>11660</v>
      </c>
    </row>
    <row r="17363" spans="1:15">
      <c r="A17363" t="s">
        <v>53426</v>
      </c>
      <c r="B17363" t="s">
        <v>11627</v>
      </c>
      <c r="C17363" t="s">
        <v>11627</v>
      </c>
      <c r="D17363" t="s">
        <v>53427</v>
      </c>
      <c r="E17363" t="b">
        <v>1</v>
      </c>
      <c r="F17363" t="s">
        <v>11624</v>
      </c>
      <c r="G17363">
        <v>4.8333199999999996</v>
      </c>
      <c r="H17363">
        <v>-71.5</v>
      </c>
      <c r="I17363" t="s">
        <v>53428</v>
      </c>
      <c r="L17363">
        <v>0</v>
      </c>
      <c r="M17363">
        <v>0</v>
      </c>
      <c r="N17363">
        <v>0</v>
      </c>
      <c r="O17363" t="s">
        <v>11898</v>
      </c>
    </row>
    <row r="17364" spans="1:15">
      <c r="A17364" t="s">
        <v>53429</v>
      </c>
      <c r="B17364" t="s">
        <v>8897</v>
      </c>
      <c r="C17364" t="s">
        <v>51252</v>
      </c>
      <c r="D17364" t="s">
        <v>53430</v>
      </c>
      <c r="E17364" t="b">
        <v>0</v>
      </c>
      <c r="F17364" t="s">
        <v>11610</v>
      </c>
      <c r="L17364">
        <v>0</v>
      </c>
      <c r="M17364">
        <v>0</v>
      </c>
      <c r="N17364">
        <v>0</v>
      </c>
    </row>
    <row r="17365" spans="1:15">
      <c r="A17365" t="s">
        <v>1924</v>
      </c>
      <c r="B17365" t="s">
        <v>6742</v>
      </c>
      <c r="C17365" t="s">
        <v>29519</v>
      </c>
      <c r="D17365" t="s">
        <v>1922</v>
      </c>
      <c r="E17365" t="b">
        <v>0</v>
      </c>
      <c r="F17365" t="s">
        <v>11610</v>
      </c>
      <c r="L17365">
        <v>0</v>
      </c>
      <c r="M17365">
        <v>0</v>
      </c>
      <c r="N17365">
        <v>0</v>
      </c>
    </row>
    <row r="17366" spans="1:15">
      <c r="A17366" t="s">
        <v>53431</v>
      </c>
      <c r="B17366" t="s">
        <v>13276</v>
      </c>
      <c r="C17366" t="s">
        <v>24330</v>
      </c>
      <c r="D17366" t="s">
        <v>53432</v>
      </c>
      <c r="E17366" t="b">
        <v>0</v>
      </c>
      <c r="F17366" t="s">
        <v>11610</v>
      </c>
      <c r="L17366">
        <v>0</v>
      </c>
      <c r="M17366">
        <v>0</v>
      </c>
      <c r="N17366">
        <v>0</v>
      </c>
    </row>
    <row r="17367" spans="1:15">
      <c r="A17367" t="s">
        <v>53433</v>
      </c>
      <c r="B17367" t="s">
        <v>6742</v>
      </c>
      <c r="C17367" t="s">
        <v>30048</v>
      </c>
      <c r="D17367" t="s">
        <v>53434</v>
      </c>
      <c r="E17367" t="b">
        <v>0</v>
      </c>
      <c r="F17367" t="s">
        <v>11610</v>
      </c>
      <c r="L17367">
        <v>0</v>
      </c>
      <c r="M17367">
        <v>0</v>
      </c>
      <c r="N17367">
        <v>0</v>
      </c>
    </row>
    <row r="17368" spans="1:15">
      <c r="A17368" t="s">
        <v>12862</v>
      </c>
      <c r="B17368" t="s">
        <v>6742</v>
      </c>
      <c r="C17368" t="s">
        <v>17487</v>
      </c>
      <c r="D17368" t="s">
        <v>53435</v>
      </c>
      <c r="E17368" t="b">
        <v>0</v>
      </c>
      <c r="F17368" t="s">
        <v>11624</v>
      </c>
      <c r="G17368">
        <v>10.0823</v>
      </c>
      <c r="H17368">
        <v>6.3745000000000003</v>
      </c>
      <c r="I17368" t="s">
        <v>53436</v>
      </c>
      <c r="L17368">
        <v>0</v>
      </c>
      <c r="M17368">
        <v>0</v>
      </c>
      <c r="N17368">
        <v>9</v>
      </c>
      <c r="O17368" t="s">
        <v>11693</v>
      </c>
    </row>
    <row r="17369" spans="1:15">
      <c r="A17369" t="s">
        <v>53437</v>
      </c>
      <c r="B17369" t="s">
        <v>6742</v>
      </c>
      <c r="C17369" t="s">
        <v>19047</v>
      </c>
      <c r="D17369" t="s">
        <v>53438</v>
      </c>
      <c r="E17369" t="b">
        <v>0</v>
      </c>
      <c r="F17369" t="s">
        <v>11610</v>
      </c>
      <c r="L17369">
        <v>0</v>
      </c>
      <c r="M17369">
        <v>0</v>
      </c>
      <c r="N17369">
        <v>0</v>
      </c>
    </row>
    <row r="17370" spans="1:15">
      <c r="A17370" t="s">
        <v>53439</v>
      </c>
      <c r="B17370" t="s">
        <v>11627</v>
      </c>
      <c r="C17370" t="s">
        <v>11627</v>
      </c>
      <c r="D17370" t="s">
        <v>53440</v>
      </c>
      <c r="E17370" t="b">
        <v>1</v>
      </c>
      <c r="F17370" t="s">
        <v>11624</v>
      </c>
      <c r="G17370">
        <v>26.8613</v>
      </c>
      <c r="H17370">
        <v>88.092500000000001</v>
      </c>
      <c r="I17370" t="s">
        <v>53441</v>
      </c>
      <c r="L17370">
        <v>0</v>
      </c>
      <c r="M17370">
        <v>0</v>
      </c>
      <c r="N17370">
        <v>0</v>
      </c>
      <c r="O17370" t="s">
        <v>15007</v>
      </c>
    </row>
    <row r="17371" spans="1:15">
      <c r="A17371" t="s">
        <v>53442</v>
      </c>
      <c r="B17371" t="s">
        <v>367</v>
      </c>
      <c r="C17371" t="s">
        <v>40520</v>
      </c>
      <c r="D17371" t="s">
        <v>53443</v>
      </c>
      <c r="E17371" t="b">
        <v>0</v>
      </c>
      <c r="F17371" t="s">
        <v>11610</v>
      </c>
      <c r="L17371">
        <v>0</v>
      </c>
      <c r="M17371">
        <v>0</v>
      </c>
      <c r="N17371">
        <v>0</v>
      </c>
    </row>
    <row r="17372" spans="1:15">
      <c r="A17372" t="s">
        <v>53444</v>
      </c>
      <c r="B17372" t="s">
        <v>367</v>
      </c>
      <c r="C17372" t="s">
        <v>45182</v>
      </c>
      <c r="D17372" t="s">
        <v>53445</v>
      </c>
      <c r="E17372" t="b">
        <v>0</v>
      </c>
      <c r="F17372" t="s">
        <v>11624</v>
      </c>
      <c r="G17372">
        <v>0.91715999999999998</v>
      </c>
      <c r="H17372">
        <v>124.712</v>
      </c>
      <c r="I17372" t="s">
        <v>53446</v>
      </c>
      <c r="L17372">
        <v>0</v>
      </c>
      <c r="M17372">
        <v>0</v>
      </c>
      <c r="N17372">
        <v>0</v>
      </c>
      <c r="O17372" t="s">
        <v>11768</v>
      </c>
    </row>
    <row r="17373" spans="1:15">
      <c r="A17373" t="s">
        <v>53447</v>
      </c>
      <c r="B17373" t="s">
        <v>11637</v>
      </c>
      <c r="C17373" t="s">
        <v>21101</v>
      </c>
      <c r="D17373" t="s">
        <v>53448</v>
      </c>
      <c r="E17373" t="b">
        <v>0</v>
      </c>
      <c r="F17373" t="s">
        <v>11624</v>
      </c>
      <c r="G17373">
        <v>41.266015000000003</v>
      </c>
      <c r="H17373">
        <v>36.097420999999997</v>
      </c>
      <c r="I17373" t="s">
        <v>53449</v>
      </c>
      <c r="L17373">
        <v>0</v>
      </c>
      <c r="M17373">
        <v>0</v>
      </c>
      <c r="N17373">
        <v>0</v>
      </c>
      <c r="O17373" t="s">
        <v>53450</v>
      </c>
    </row>
    <row r="17374" spans="1:15">
      <c r="A17374" t="s">
        <v>53451</v>
      </c>
      <c r="B17374" t="s">
        <v>11637</v>
      </c>
      <c r="C17374" t="s">
        <v>13473</v>
      </c>
      <c r="D17374" t="s">
        <v>53452</v>
      </c>
      <c r="E17374" t="b">
        <v>0</v>
      </c>
      <c r="F17374" t="s">
        <v>11610</v>
      </c>
      <c r="L17374">
        <v>0</v>
      </c>
      <c r="M17374">
        <v>0</v>
      </c>
      <c r="N17374">
        <v>0</v>
      </c>
    </row>
    <row r="17375" spans="1:15">
      <c r="A17375" t="s">
        <v>21101</v>
      </c>
      <c r="B17375" t="s">
        <v>11637</v>
      </c>
      <c r="C17375" t="s">
        <v>14208</v>
      </c>
      <c r="D17375" t="s">
        <v>53453</v>
      </c>
      <c r="E17375" t="b">
        <v>0</v>
      </c>
      <c r="F17375" t="s">
        <v>11622</v>
      </c>
      <c r="L17375">
        <v>0</v>
      </c>
      <c r="M17375">
        <v>2</v>
      </c>
      <c r="N17375">
        <v>3</v>
      </c>
    </row>
    <row r="17376" spans="1:15">
      <c r="A17376" t="s">
        <v>53454</v>
      </c>
      <c r="B17376" t="s">
        <v>11644</v>
      </c>
      <c r="C17376" t="s">
        <v>45668</v>
      </c>
      <c r="D17376" t="s">
        <v>53455</v>
      </c>
      <c r="E17376" t="b">
        <v>0</v>
      </c>
      <c r="F17376" t="s">
        <v>11624</v>
      </c>
      <c r="L17376">
        <v>0</v>
      </c>
      <c r="M17376">
        <v>0</v>
      </c>
      <c r="N17376">
        <v>0</v>
      </c>
      <c r="O17376" t="s">
        <v>11630</v>
      </c>
    </row>
    <row r="17377" spans="1:15">
      <c r="A17377" t="s">
        <v>53456</v>
      </c>
      <c r="B17377" t="s">
        <v>11729</v>
      </c>
      <c r="C17377" t="s">
        <v>41903</v>
      </c>
      <c r="D17377" t="s">
        <v>53457</v>
      </c>
      <c r="E17377" t="b">
        <v>0</v>
      </c>
      <c r="F17377" t="s">
        <v>11610</v>
      </c>
      <c r="L17377">
        <v>0</v>
      </c>
      <c r="M17377">
        <v>0</v>
      </c>
      <c r="N17377">
        <v>0</v>
      </c>
    </row>
    <row r="17378" spans="1:15">
      <c r="A17378" t="s">
        <v>53458</v>
      </c>
      <c r="B17378" t="s">
        <v>11879</v>
      </c>
      <c r="C17378" t="s">
        <v>13581</v>
      </c>
      <c r="D17378" t="s">
        <v>53459</v>
      </c>
      <c r="E17378" t="b">
        <v>0</v>
      </c>
      <c r="F17378" t="s">
        <v>11622</v>
      </c>
      <c r="L17378">
        <v>26</v>
      </c>
      <c r="M17378">
        <v>82</v>
      </c>
      <c r="N17378">
        <v>36</v>
      </c>
    </row>
    <row r="17379" spans="1:15">
      <c r="A17379" t="s">
        <v>22777</v>
      </c>
      <c r="B17379" t="s">
        <v>11879</v>
      </c>
      <c r="C17379" t="s">
        <v>53458</v>
      </c>
      <c r="D17379" t="s">
        <v>53460</v>
      </c>
      <c r="E17379" t="b">
        <v>0</v>
      </c>
      <c r="F17379" t="s">
        <v>11622</v>
      </c>
      <c r="L17379">
        <v>7</v>
      </c>
      <c r="M17379">
        <v>17</v>
      </c>
      <c r="N17379">
        <v>17</v>
      </c>
    </row>
    <row r="17380" spans="1:15">
      <c r="A17380" t="s">
        <v>23505</v>
      </c>
      <c r="B17380" t="s">
        <v>11879</v>
      </c>
      <c r="C17380" t="s">
        <v>22776</v>
      </c>
      <c r="D17380" t="s">
        <v>53461</v>
      </c>
      <c r="E17380" t="b">
        <v>0</v>
      </c>
      <c r="F17380" t="s">
        <v>11622</v>
      </c>
      <c r="L17380">
        <v>0</v>
      </c>
      <c r="M17380">
        <v>7</v>
      </c>
      <c r="N17380">
        <v>6</v>
      </c>
    </row>
    <row r="17381" spans="1:15">
      <c r="A17381" t="s">
        <v>53462</v>
      </c>
      <c r="B17381" t="s">
        <v>5911</v>
      </c>
      <c r="C17381" t="s">
        <v>34850</v>
      </c>
      <c r="D17381" t="s">
        <v>53463</v>
      </c>
      <c r="E17381" t="b">
        <v>0</v>
      </c>
      <c r="F17381" t="s">
        <v>11624</v>
      </c>
      <c r="G17381">
        <v>15.6609</v>
      </c>
      <c r="H17381">
        <v>-91.663300000000007</v>
      </c>
      <c r="I17381" t="s">
        <v>53464</v>
      </c>
      <c r="L17381">
        <v>0</v>
      </c>
      <c r="M17381">
        <v>0</v>
      </c>
      <c r="N17381">
        <v>0</v>
      </c>
      <c r="O17381" t="s">
        <v>11927</v>
      </c>
    </row>
    <row r="17382" spans="1:15">
      <c r="A17382" t="s">
        <v>53465</v>
      </c>
      <c r="B17382" t="s">
        <v>5911</v>
      </c>
      <c r="C17382" t="s">
        <v>53328</v>
      </c>
      <c r="D17382" t="s">
        <v>53466</v>
      </c>
      <c r="E17382" t="b">
        <v>0</v>
      </c>
      <c r="F17382" t="s">
        <v>11624</v>
      </c>
      <c r="G17382">
        <v>14.732519999999999</v>
      </c>
      <c r="H17382">
        <v>-89.737960000000001</v>
      </c>
      <c r="I17382" t="s">
        <v>53467</v>
      </c>
      <c r="L17382">
        <v>0</v>
      </c>
      <c r="M17382">
        <v>0</v>
      </c>
      <c r="N17382">
        <v>0</v>
      </c>
      <c r="O17382" t="s">
        <v>53468</v>
      </c>
    </row>
    <row r="17383" spans="1:15">
      <c r="A17383" t="s">
        <v>53469</v>
      </c>
      <c r="B17383" t="s">
        <v>5911</v>
      </c>
      <c r="C17383" t="s">
        <v>53328</v>
      </c>
      <c r="D17383" t="s">
        <v>53470</v>
      </c>
      <c r="E17383" t="b">
        <v>0</v>
      </c>
      <c r="F17383" t="s">
        <v>11624</v>
      </c>
      <c r="G17383">
        <v>15.358599999999999</v>
      </c>
      <c r="H17383">
        <v>-90.581299999999999</v>
      </c>
      <c r="I17383" t="s">
        <v>53471</v>
      </c>
      <c r="L17383">
        <v>0</v>
      </c>
      <c r="M17383">
        <v>0</v>
      </c>
      <c r="N17383">
        <v>0</v>
      </c>
      <c r="O17383" t="s">
        <v>11927</v>
      </c>
    </row>
    <row r="17384" spans="1:15">
      <c r="A17384" t="s">
        <v>53472</v>
      </c>
      <c r="B17384" t="s">
        <v>11627</v>
      </c>
      <c r="C17384" t="s">
        <v>11627</v>
      </c>
      <c r="D17384" t="s">
        <v>53473</v>
      </c>
      <c r="E17384" t="b">
        <v>1</v>
      </c>
      <c r="F17384" t="s">
        <v>11624</v>
      </c>
      <c r="I17384" t="s">
        <v>53474</v>
      </c>
      <c r="L17384">
        <v>0</v>
      </c>
      <c r="M17384">
        <v>0</v>
      </c>
      <c r="N17384">
        <v>0</v>
      </c>
      <c r="O17384" t="s">
        <v>11927</v>
      </c>
    </row>
    <row r="17385" spans="1:15">
      <c r="A17385" t="s">
        <v>53475</v>
      </c>
      <c r="B17385" t="s">
        <v>11627</v>
      </c>
      <c r="C17385" t="s">
        <v>11627</v>
      </c>
      <c r="D17385" t="s">
        <v>53476</v>
      </c>
      <c r="E17385" t="b">
        <v>1</v>
      </c>
      <c r="F17385" t="s">
        <v>11624</v>
      </c>
      <c r="I17385" t="s">
        <v>53477</v>
      </c>
      <c r="L17385">
        <v>0</v>
      </c>
      <c r="M17385">
        <v>0</v>
      </c>
      <c r="N17385">
        <v>0</v>
      </c>
      <c r="O17385" t="s">
        <v>11927</v>
      </c>
    </row>
    <row r="17386" spans="1:15">
      <c r="A17386" t="s">
        <v>53478</v>
      </c>
      <c r="B17386" t="s">
        <v>11627</v>
      </c>
      <c r="C17386" t="s">
        <v>11627</v>
      </c>
      <c r="D17386" t="s">
        <v>53479</v>
      </c>
      <c r="E17386" t="b">
        <v>1</v>
      </c>
      <c r="F17386" t="s">
        <v>11624</v>
      </c>
      <c r="I17386" t="s">
        <v>53480</v>
      </c>
      <c r="L17386">
        <v>0</v>
      </c>
      <c r="M17386">
        <v>0</v>
      </c>
      <c r="N17386">
        <v>0</v>
      </c>
      <c r="O17386" t="s">
        <v>11927</v>
      </c>
    </row>
    <row r="17387" spans="1:15">
      <c r="A17387" t="s">
        <v>53481</v>
      </c>
      <c r="B17387" t="s">
        <v>6742</v>
      </c>
      <c r="C17387" t="s">
        <v>18374</v>
      </c>
      <c r="D17387" t="s">
        <v>53482</v>
      </c>
      <c r="E17387" t="b">
        <v>0</v>
      </c>
      <c r="F17387" t="s">
        <v>11610</v>
      </c>
      <c r="L17387">
        <v>0</v>
      </c>
      <c r="M17387">
        <v>0</v>
      </c>
      <c r="N17387">
        <v>0</v>
      </c>
    </row>
    <row r="17388" spans="1:15">
      <c r="A17388" t="s">
        <v>53483</v>
      </c>
      <c r="B17388" t="s">
        <v>11615</v>
      </c>
      <c r="C17388" t="s">
        <v>32578</v>
      </c>
      <c r="D17388" t="s">
        <v>53484</v>
      </c>
      <c r="E17388" t="b">
        <v>0</v>
      </c>
      <c r="F17388" t="s">
        <v>11610</v>
      </c>
      <c r="L17388">
        <v>0</v>
      </c>
      <c r="M17388">
        <v>0</v>
      </c>
      <c r="N17388">
        <v>0</v>
      </c>
    </row>
    <row r="17389" spans="1:15">
      <c r="A17389" t="s">
        <v>53485</v>
      </c>
      <c r="B17389" t="s">
        <v>6742</v>
      </c>
      <c r="C17389" t="s">
        <v>15545</v>
      </c>
      <c r="D17389" t="s">
        <v>53486</v>
      </c>
      <c r="E17389" t="b">
        <v>0</v>
      </c>
      <c r="F17389" t="s">
        <v>11610</v>
      </c>
      <c r="L17389">
        <v>0</v>
      </c>
      <c r="M17389">
        <v>0</v>
      </c>
      <c r="N17389">
        <v>0</v>
      </c>
    </row>
    <row r="17390" spans="1:15">
      <c r="A17390" t="s">
        <v>53487</v>
      </c>
      <c r="B17390" t="s">
        <v>12686</v>
      </c>
      <c r="C17390" t="s">
        <v>2057</v>
      </c>
      <c r="D17390" t="s">
        <v>53488</v>
      </c>
      <c r="E17390" t="b">
        <v>0</v>
      </c>
      <c r="F17390" t="s">
        <v>11610</v>
      </c>
      <c r="L17390">
        <v>0</v>
      </c>
      <c r="M17390">
        <v>0</v>
      </c>
      <c r="N17390">
        <v>0</v>
      </c>
    </row>
    <row r="17391" spans="1:15">
      <c r="A17391" t="s">
        <v>53489</v>
      </c>
      <c r="B17391" t="s">
        <v>6742</v>
      </c>
      <c r="C17391" t="s">
        <v>30265</v>
      </c>
      <c r="D17391" t="s">
        <v>53490</v>
      </c>
      <c r="E17391" t="b">
        <v>0</v>
      </c>
      <c r="F17391" t="s">
        <v>11610</v>
      </c>
      <c r="L17391">
        <v>0</v>
      </c>
      <c r="M17391">
        <v>0</v>
      </c>
      <c r="N17391">
        <v>0</v>
      </c>
    </row>
    <row r="17392" spans="1:15">
      <c r="A17392" t="s">
        <v>53491</v>
      </c>
      <c r="B17392" t="s">
        <v>367</v>
      </c>
      <c r="C17392" t="s">
        <v>16818</v>
      </c>
      <c r="D17392" t="s">
        <v>53492</v>
      </c>
      <c r="E17392" t="b">
        <v>0</v>
      </c>
      <c r="F17392" t="s">
        <v>11624</v>
      </c>
      <c r="G17392">
        <v>10.672599999999999</v>
      </c>
      <c r="H17392">
        <v>124.45399999999999</v>
      </c>
      <c r="I17392" t="s">
        <v>53493</v>
      </c>
      <c r="L17392">
        <v>0</v>
      </c>
      <c r="M17392">
        <v>0</v>
      </c>
      <c r="N17392">
        <v>0</v>
      </c>
      <c r="O17392" t="s">
        <v>11749</v>
      </c>
    </row>
    <row r="17393" spans="1:15">
      <c r="A17393" t="s">
        <v>53494</v>
      </c>
      <c r="B17393" t="s">
        <v>367</v>
      </c>
      <c r="C17393" t="s">
        <v>17632</v>
      </c>
      <c r="D17393" t="s">
        <v>53495</v>
      </c>
      <c r="E17393" t="b">
        <v>0</v>
      </c>
      <c r="F17393" t="s">
        <v>11610</v>
      </c>
      <c r="L17393">
        <v>0</v>
      </c>
      <c r="M17393">
        <v>0</v>
      </c>
      <c r="N17393">
        <v>0</v>
      </c>
    </row>
    <row r="17394" spans="1:15">
      <c r="A17394" t="s">
        <v>53496</v>
      </c>
      <c r="B17394" t="s">
        <v>12548</v>
      </c>
      <c r="C17394" t="s">
        <v>12548</v>
      </c>
      <c r="D17394" t="s">
        <v>53497</v>
      </c>
      <c r="E17394" t="b">
        <v>0</v>
      </c>
      <c r="F17394" t="s">
        <v>11610</v>
      </c>
      <c r="L17394">
        <v>0</v>
      </c>
      <c r="M17394">
        <v>0</v>
      </c>
      <c r="N17394">
        <v>0</v>
      </c>
    </row>
    <row r="17395" spans="1:15">
      <c r="A17395" t="s">
        <v>53498</v>
      </c>
      <c r="B17395" t="s">
        <v>11637</v>
      </c>
      <c r="C17395" t="s">
        <v>17284</v>
      </c>
      <c r="D17395" t="s">
        <v>53499</v>
      </c>
      <c r="E17395" t="b">
        <v>0</v>
      </c>
      <c r="F17395" t="s">
        <v>11610</v>
      </c>
      <c r="L17395">
        <v>0</v>
      </c>
      <c r="M17395">
        <v>0</v>
      </c>
      <c r="N17395">
        <v>0</v>
      </c>
    </row>
    <row r="17396" spans="1:15">
      <c r="A17396" t="s">
        <v>40310</v>
      </c>
      <c r="B17396" t="s">
        <v>11981</v>
      </c>
      <c r="C17396" t="s">
        <v>27891</v>
      </c>
      <c r="D17396" t="s">
        <v>53500</v>
      </c>
      <c r="E17396" t="b">
        <v>0</v>
      </c>
      <c r="F17396" t="s">
        <v>11624</v>
      </c>
      <c r="G17396">
        <v>38.547400000000003</v>
      </c>
      <c r="H17396">
        <v>-8.53355</v>
      </c>
      <c r="I17396" t="s">
        <v>53501</v>
      </c>
      <c r="L17396">
        <v>0</v>
      </c>
      <c r="M17396">
        <v>0</v>
      </c>
      <c r="N17396">
        <v>2</v>
      </c>
      <c r="O17396" t="s">
        <v>44556</v>
      </c>
    </row>
    <row r="17397" spans="1:15">
      <c r="A17397" t="s">
        <v>53502</v>
      </c>
      <c r="B17397" t="s">
        <v>53503</v>
      </c>
      <c r="C17397" t="s">
        <v>53503</v>
      </c>
      <c r="D17397" t="s">
        <v>53504</v>
      </c>
      <c r="E17397" t="b">
        <v>0</v>
      </c>
      <c r="F17397" t="s">
        <v>11624</v>
      </c>
      <c r="G17397">
        <v>-41.188369000000002</v>
      </c>
      <c r="H17397">
        <v>146.55990600000001</v>
      </c>
      <c r="L17397">
        <v>0</v>
      </c>
      <c r="M17397">
        <v>0</v>
      </c>
      <c r="N17397">
        <v>0</v>
      </c>
      <c r="O17397" t="s">
        <v>12107</v>
      </c>
    </row>
    <row r="17398" spans="1:15">
      <c r="A17398" t="s">
        <v>552</v>
      </c>
      <c r="B17398" t="s">
        <v>11637</v>
      </c>
      <c r="C17398" t="s">
        <v>19848</v>
      </c>
      <c r="D17398" t="s">
        <v>53505</v>
      </c>
      <c r="E17398" t="b">
        <v>0</v>
      </c>
      <c r="F17398" t="s">
        <v>11624</v>
      </c>
      <c r="G17398">
        <v>39.909999999999997</v>
      </c>
      <c r="H17398">
        <v>-8.1</v>
      </c>
      <c r="I17398" t="s">
        <v>4388</v>
      </c>
      <c r="L17398">
        <v>0</v>
      </c>
      <c r="M17398">
        <v>0</v>
      </c>
      <c r="N17398">
        <v>6</v>
      </c>
      <c r="O17398" t="s">
        <v>53506</v>
      </c>
    </row>
    <row r="17399" spans="1:15">
      <c r="A17399" t="s">
        <v>53507</v>
      </c>
      <c r="B17399" t="s">
        <v>367</v>
      </c>
      <c r="C17399" t="s">
        <v>15286</v>
      </c>
      <c r="D17399" t="s">
        <v>53508</v>
      </c>
      <c r="E17399" t="b">
        <v>0</v>
      </c>
      <c r="F17399" t="s">
        <v>11624</v>
      </c>
      <c r="G17399">
        <v>-16.495200000000001</v>
      </c>
      <c r="H17399">
        <v>167.78</v>
      </c>
      <c r="I17399" t="s">
        <v>53509</v>
      </c>
      <c r="L17399">
        <v>0</v>
      </c>
      <c r="M17399">
        <v>0</v>
      </c>
      <c r="N17399">
        <v>0</v>
      </c>
      <c r="O17399" t="s">
        <v>12719</v>
      </c>
    </row>
    <row r="17400" spans="1:15">
      <c r="A17400" t="s">
        <v>53510</v>
      </c>
      <c r="B17400" t="s">
        <v>367</v>
      </c>
      <c r="C17400" t="s">
        <v>23884</v>
      </c>
      <c r="D17400" t="s">
        <v>53511</v>
      </c>
      <c r="E17400" t="b">
        <v>0</v>
      </c>
      <c r="F17400" t="s">
        <v>11624</v>
      </c>
      <c r="G17400">
        <v>-16.308299999999999</v>
      </c>
      <c r="H17400">
        <v>168.04599999999999</v>
      </c>
      <c r="I17400" t="s">
        <v>53512</v>
      </c>
      <c r="L17400">
        <v>0</v>
      </c>
      <c r="M17400">
        <v>0</v>
      </c>
      <c r="N17400">
        <v>0</v>
      </c>
      <c r="O17400" t="s">
        <v>12719</v>
      </c>
    </row>
    <row r="17401" spans="1:15">
      <c r="A17401" t="s">
        <v>53513</v>
      </c>
      <c r="B17401" t="s">
        <v>11607</v>
      </c>
      <c r="C17401" t="s">
        <v>29685</v>
      </c>
      <c r="D17401" t="s">
        <v>53514</v>
      </c>
      <c r="E17401" t="b">
        <v>0</v>
      </c>
      <c r="F17401" t="s">
        <v>11610</v>
      </c>
      <c r="L17401">
        <v>0</v>
      </c>
      <c r="M17401">
        <v>0</v>
      </c>
      <c r="N17401">
        <v>0</v>
      </c>
    </row>
    <row r="17402" spans="1:15">
      <c r="A17402" t="s">
        <v>53515</v>
      </c>
      <c r="B17402" t="s">
        <v>11637</v>
      </c>
      <c r="C17402" t="s">
        <v>41438</v>
      </c>
      <c r="D17402" t="s">
        <v>53516</v>
      </c>
      <c r="E17402" t="b">
        <v>0</v>
      </c>
      <c r="F17402" t="s">
        <v>11610</v>
      </c>
      <c r="L17402">
        <v>0</v>
      </c>
      <c r="M17402">
        <v>0</v>
      </c>
      <c r="N17402">
        <v>0</v>
      </c>
    </row>
    <row r="17403" spans="1:15">
      <c r="A17403" t="s">
        <v>51476</v>
      </c>
      <c r="B17403" t="s">
        <v>367</v>
      </c>
      <c r="C17403" t="s">
        <v>13402</v>
      </c>
      <c r="D17403" t="s">
        <v>53517</v>
      </c>
      <c r="E17403" t="b">
        <v>0</v>
      </c>
      <c r="F17403" t="s">
        <v>11622</v>
      </c>
      <c r="L17403">
        <v>1</v>
      </c>
      <c r="M17403">
        <v>3</v>
      </c>
      <c r="N17403">
        <v>1</v>
      </c>
    </row>
    <row r="17404" spans="1:15">
      <c r="A17404" t="s">
        <v>23884</v>
      </c>
      <c r="B17404" t="s">
        <v>367</v>
      </c>
      <c r="C17404" t="s">
        <v>51476</v>
      </c>
      <c r="D17404" t="s">
        <v>53518</v>
      </c>
      <c r="E17404" t="b">
        <v>0</v>
      </c>
      <c r="F17404" t="s">
        <v>11622</v>
      </c>
      <c r="L17404">
        <v>0</v>
      </c>
      <c r="M17404">
        <v>2</v>
      </c>
      <c r="N17404">
        <v>1</v>
      </c>
    </row>
    <row r="17405" spans="1:15">
      <c r="A17405" t="s">
        <v>41441</v>
      </c>
      <c r="B17405" t="s">
        <v>13450</v>
      </c>
      <c r="C17405" t="s">
        <v>13450</v>
      </c>
      <c r="D17405" t="s">
        <v>53519</v>
      </c>
      <c r="E17405" t="b">
        <v>0</v>
      </c>
      <c r="F17405" t="s">
        <v>11622</v>
      </c>
      <c r="L17405">
        <v>0</v>
      </c>
      <c r="M17405">
        <v>1</v>
      </c>
      <c r="N17405">
        <v>0</v>
      </c>
    </row>
    <row r="17406" spans="1:15">
      <c r="A17406" t="s">
        <v>15286</v>
      </c>
      <c r="B17406" t="s">
        <v>367</v>
      </c>
      <c r="C17406" t="s">
        <v>20767</v>
      </c>
      <c r="D17406" t="s">
        <v>53520</v>
      </c>
      <c r="E17406" t="b">
        <v>0</v>
      </c>
      <c r="F17406" t="s">
        <v>11622</v>
      </c>
      <c r="L17406">
        <v>0</v>
      </c>
      <c r="M17406">
        <v>3</v>
      </c>
      <c r="N17406">
        <v>0</v>
      </c>
    </row>
    <row r="17407" spans="1:15">
      <c r="A17407" t="s">
        <v>53521</v>
      </c>
      <c r="B17407" t="s">
        <v>367</v>
      </c>
      <c r="C17407" t="s">
        <v>31333</v>
      </c>
      <c r="D17407" t="s">
        <v>53522</v>
      </c>
      <c r="E17407" t="b">
        <v>0</v>
      </c>
      <c r="F17407" t="s">
        <v>11610</v>
      </c>
      <c r="L17407">
        <v>0</v>
      </c>
      <c r="M17407">
        <v>0</v>
      </c>
      <c r="N17407">
        <v>0</v>
      </c>
    </row>
    <row r="17408" spans="1:15">
      <c r="A17408" t="s">
        <v>53523</v>
      </c>
      <c r="B17408" t="s">
        <v>367</v>
      </c>
      <c r="C17408" t="s">
        <v>5449</v>
      </c>
      <c r="D17408" t="s">
        <v>53524</v>
      </c>
      <c r="E17408" t="b">
        <v>0</v>
      </c>
      <c r="F17408" t="s">
        <v>11610</v>
      </c>
      <c r="L17408">
        <v>0</v>
      </c>
      <c r="M17408">
        <v>0</v>
      </c>
      <c r="N17408">
        <v>0</v>
      </c>
    </row>
    <row r="17409" spans="1:15">
      <c r="A17409" t="s">
        <v>53525</v>
      </c>
      <c r="B17409" t="s">
        <v>12979</v>
      </c>
      <c r="C17409" t="s">
        <v>50917</v>
      </c>
      <c r="D17409" t="s">
        <v>53526</v>
      </c>
      <c r="E17409" t="b">
        <v>0</v>
      </c>
      <c r="F17409" t="s">
        <v>11624</v>
      </c>
      <c r="G17409">
        <v>40.954999999999998</v>
      </c>
      <c r="H17409">
        <v>-89.188100000000006</v>
      </c>
      <c r="I17409" t="s">
        <v>53527</v>
      </c>
      <c r="L17409">
        <v>0</v>
      </c>
      <c r="M17409">
        <v>0</v>
      </c>
      <c r="N17409">
        <v>0</v>
      </c>
      <c r="O17409" t="s">
        <v>14875</v>
      </c>
    </row>
    <row r="17410" spans="1:15">
      <c r="A17410" t="s">
        <v>53528</v>
      </c>
      <c r="B17410" t="s">
        <v>11637</v>
      </c>
      <c r="C17410" t="s">
        <v>8026</v>
      </c>
      <c r="D17410" t="s">
        <v>53529</v>
      </c>
      <c r="E17410" t="b">
        <v>0</v>
      </c>
      <c r="F17410" t="s">
        <v>11610</v>
      </c>
      <c r="L17410">
        <v>0</v>
      </c>
      <c r="M17410">
        <v>0</v>
      </c>
      <c r="N17410">
        <v>0</v>
      </c>
    </row>
    <row r="17411" spans="1:15">
      <c r="A17411" t="s">
        <v>53530</v>
      </c>
      <c r="B17411" t="s">
        <v>11912</v>
      </c>
      <c r="C17411" t="s">
        <v>13490</v>
      </c>
      <c r="D17411" t="s">
        <v>53531</v>
      </c>
      <c r="E17411" t="b">
        <v>0</v>
      </c>
      <c r="F17411" t="s">
        <v>11610</v>
      </c>
      <c r="G17411">
        <v>-7.0166599999999999</v>
      </c>
      <c r="H17411">
        <v>-38</v>
      </c>
      <c r="I17411" t="s">
        <v>53532</v>
      </c>
      <c r="L17411">
        <v>0</v>
      </c>
      <c r="M17411">
        <v>0</v>
      </c>
      <c r="N17411">
        <v>0</v>
      </c>
      <c r="O17411" t="s">
        <v>11969</v>
      </c>
    </row>
    <row r="17412" spans="1:15">
      <c r="A17412" t="s">
        <v>53533</v>
      </c>
      <c r="B17412" t="s">
        <v>367</v>
      </c>
      <c r="C17412" t="s">
        <v>49770</v>
      </c>
      <c r="D17412" t="s">
        <v>53534</v>
      </c>
      <c r="E17412" t="b">
        <v>0</v>
      </c>
      <c r="F17412" t="s">
        <v>11610</v>
      </c>
      <c r="L17412">
        <v>0</v>
      </c>
      <c r="M17412">
        <v>0</v>
      </c>
      <c r="N17412">
        <v>0</v>
      </c>
    </row>
    <row r="17413" spans="1:15">
      <c r="A17413" t="s">
        <v>26756</v>
      </c>
      <c r="B17413" t="s">
        <v>6742</v>
      </c>
      <c r="C17413" t="s">
        <v>53535</v>
      </c>
      <c r="D17413" t="s">
        <v>53536</v>
      </c>
      <c r="E17413" t="b">
        <v>0</v>
      </c>
      <c r="F17413" t="s">
        <v>11622</v>
      </c>
      <c r="L17413">
        <v>0</v>
      </c>
      <c r="M17413">
        <v>2</v>
      </c>
      <c r="N17413">
        <v>0</v>
      </c>
    </row>
    <row r="17414" spans="1:15">
      <c r="A17414" t="s">
        <v>53537</v>
      </c>
      <c r="B17414" t="s">
        <v>367</v>
      </c>
      <c r="C17414" t="s">
        <v>13941</v>
      </c>
      <c r="D17414" t="s">
        <v>53538</v>
      </c>
      <c r="E17414" t="b">
        <v>0</v>
      </c>
      <c r="F17414" t="s">
        <v>11610</v>
      </c>
      <c r="L17414">
        <v>0</v>
      </c>
      <c r="M17414">
        <v>0</v>
      </c>
      <c r="N17414">
        <v>0</v>
      </c>
    </row>
    <row r="17415" spans="1:15">
      <c r="A17415" t="s">
        <v>53539</v>
      </c>
      <c r="B17415" t="s">
        <v>141</v>
      </c>
      <c r="C17415" t="s">
        <v>9095</v>
      </c>
      <c r="D17415" t="s">
        <v>53540</v>
      </c>
      <c r="E17415" t="b">
        <v>0</v>
      </c>
      <c r="F17415" t="s">
        <v>11610</v>
      </c>
      <c r="L17415">
        <v>0</v>
      </c>
      <c r="M17415">
        <v>0</v>
      </c>
      <c r="N17415">
        <v>0</v>
      </c>
    </row>
    <row r="17416" spans="1:15">
      <c r="A17416" t="s">
        <v>53541</v>
      </c>
      <c r="B17416" t="s">
        <v>11879</v>
      </c>
      <c r="C17416" t="s">
        <v>12898</v>
      </c>
      <c r="D17416" t="s">
        <v>53542</v>
      </c>
      <c r="E17416" t="b">
        <v>0</v>
      </c>
      <c r="F17416" t="s">
        <v>11610</v>
      </c>
      <c r="L17416">
        <v>0</v>
      </c>
      <c r="M17416">
        <v>0</v>
      </c>
      <c r="N17416">
        <v>0</v>
      </c>
    </row>
    <row r="17417" spans="1:15">
      <c r="A17417" t="s">
        <v>53535</v>
      </c>
      <c r="B17417" t="s">
        <v>6742</v>
      </c>
      <c r="C17417" t="s">
        <v>12342</v>
      </c>
      <c r="D17417" t="s">
        <v>53543</v>
      </c>
      <c r="E17417" t="b">
        <v>0</v>
      </c>
      <c r="F17417" t="s">
        <v>11622</v>
      </c>
      <c r="L17417">
        <v>24</v>
      </c>
      <c r="M17417">
        <v>35</v>
      </c>
      <c r="N17417">
        <v>41</v>
      </c>
    </row>
    <row r="17418" spans="1:15">
      <c r="A17418" t="s">
        <v>53544</v>
      </c>
      <c r="B17418" t="s">
        <v>11844</v>
      </c>
      <c r="C17418" t="s">
        <v>1119</v>
      </c>
      <c r="D17418" t="s">
        <v>53545</v>
      </c>
      <c r="E17418" t="b">
        <v>0</v>
      </c>
      <c r="F17418" t="s">
        <v>11624</v>
      </c>
      <c r="G17418">
        <v>18.596800000000002</v>
      </c>
      <c r="H17418">
        <v>82.758600000000001</v>
      </c>
      <c r="I17418" t="s">
        <v>53546</v>
      </c>
      <c r="L17418">
        <v>0</v>
      </c>
      <c r="M17418">
        <v>0</v>
      </c>
      <c r="N17418">
        <v>0</v>
      </c>
      <c r="O17418" t="s">
        <v>11630</v>
      </c>
    </row>
    <row r="17419" spans="1:15">
      <c r="A17419" t="s">
        <v>53547</v>
      </c>
      <c r="B17419" t="s">
        <v>6742</v>
      </c>
      <c r="C17419" t="s">
        <v>29257</v>
      </c>
      <c r="D17419" t="s">
        <v>53548</v>
      </c>
      <c r="E17419" t="b">
        <v>0</v>
      </c>
      <c r="F17419" t="s">
        <v>11610</v>
      </c>
      <c r="L17419">
        <v>0</v>
      </c>
      <c r="M17419">
        <v>0</v>
      </c>
      <c r="N17419">
        <v>0</v>
      </c>
    </row>
    <row r="17420" spans="1:15">
      <c r="A17420" t="s">
        <v>53549</v>
      </c>
      <c r="B17420" t="s">
        <v>367</v>
      </c>
      <c r="C17420" t="s">
        <v>20803</v>
      </c>
      <c r="D17420" t="s">
        <v>53550</v>
      </c>
      <c r="E17420" t="b">
        <v>0</v>
      </c>
      <c r="F17420" t="s">
        <v>11610</v>
      </c>
      <c r="L17420">
        <v>0</v>
      </c>
      <c r="M17420">
        <v>0</v>
      </c>
      <c r="N17420">
        <v>0</v>
      </c>
    </row>
    <row r="17421" spans="1:15">
      <c r="A17421" t="s">
        <v>53551</v>
      </c>
      <c r="B17421" t="s">
        <v>11644</v>
      </c>
      <c r="C17421" t="s">
        <v>42767</v>
      </c>
      <c r="D17421" t="s">
        <v>53552</v>
      </c>
      <c r="E17421" t="b">
        <v>0</v>
      </c>
      <c r="F17421" t="s">
        <v>11624</v>
      </c>
      <c r="G17421">
        <v>25.194400000000002</v>
      </c>
      <c r="H17421">
        <v>94.461799999999997</v>
      </c>
      <c r="I17421" t="s">
        <v>53553</v>
      </c>
      <c r="L17421">
        <v>0</v>
      </c>
      <c r="M17421">
        <v>0</v>
      </c>
      <c r="N17421">
        <v>0</v>
      </c>
      <c r="O17421" t="s">
        <v>11630</v>
      </c>
    </row>
    <row r="17422" spans="1:15">
      <c r="A17422" t="s">
        <v>53554</v>
      </c>
      <c r="B17422" t="s">
        <v>16986</v>
      </c>
      <c r="C17422" t="s">
        <v>16987</v>
      </c>
      <c r="D17422" t="s">
        <v>53555</v>
      </c>
      <c r="E17422" t="b">
        <v>0</v>
      </c>
      <c r="F17422" t="s">
        <v>11610</v>
      </c>
      <c r="L17422">
        <v>0</v>
      </c>
      <c r="M17422">
        <v>0</v>
      </c>
      <c r="N17422">
        <v>0</v>
      </c>
    </row>
    <row r="17423" spans="1:15">
      <c r="A17423" t="s">
        <v>19783</v>
      </c>
      <c r="B17423" t="s">
        <v>11705</v>
      </c>
      <c r="C17423" t="s">
        <v>35097</v>
      </c>
      <c r="D17423" t="s">
        <v>53556</v>
      </c>
      <c r="E17423" t="b">
        <v>0</v>
      </c>
      <c r="F17423" t="s">
        <v>11624</v>
      </c>
      <c r="G17423">
        <v>-3.7270400000000001</v>
      </c>
      <c r="H17423">
        <v>141.864</v>
      </c>
      <c r="I17423" t="s">
        <v>53557</v>
      </c>
      <c r="L17423">
        <v>0</v>
      </c>
      <c r="M17423">
        <v>0</v>
      </c>
      <c r="N17423">
        <v>2</v>
      </c>
      <c r="O17423" t="s">
        <v>11660</v>
      </c>
    </row>
    <row r="17424" spans="1:15">
      <c r="A17424" t="s">
        <v>35097</v>
      </c>
      <c r="B17424" t="s">
        <v>11705</v>
      </c>
      <c r="C17424" t="s">
        <v>15401</v>
      </c>
      <c r="D17424" t="s">
        <v>53558</v>
      </c>
      <c r="E17424" t="b">
        <v>0</v>
      </c>
      <c r="F17424" t="s">
        <v>11622</v>
      </c>
      <c r="L17424">
        <v>0</v>
      </c>
      <c r="M17424">
        <v>2</v>
      </c>
      <c r="N17424">
        <v>2</v>
      </c>
    </row>
    <row r="17425" spans="1:15">
      <c r="A17425" t="s">
        <v>53559</v>
      </c>
      <c r="B17425" t="s">
        <v>11637</v>
      </c>
      <c r="C17425" t="s">
        <v>8925</v>
      </c>
      <c r="D17425" t="s">
        <v>53560</v>
      </c>
      <c r="E17425" t="b">
        <v>0</v>
      </c>
      <c r="F17425" t="s">
        <v>11610</v>
      </c>
      <c r="L17425">
        <v>0</v>
      </c>
      <c r="M17425">
        <v>0</v>
      </c>
      <c r="N17425">
        <v>0</v>
      </c>
    </row>
    <row r="17426" spans="1:15">
      <c r="A17426" t="s">
        <v>18327</v>
      </c>
      <c r="B17426" t="s">
        <v>11637</v>
      </c>
      <c r="C17426" t="s">
        <v>15310</v>
      </c>
      <c r="D17426" t="s">
        <v>53561</v>
      </c>
      <c r="E17426" t="b">
        <v>0</v>
      </c>
      <c r="F17426" t="s">
        <v>11624</v>
      </c>
      <c r="G17426">
        <v>21.797000000000001</v>
      </c>
      <c r="H17426">
        <v>79.239000000000004</v>
      </c>
      <c r="I17426" t="s">
        <v>53562</v>
      </c>
      <c r="L17426">
        <v>0</v>
      </c>
      <c r="M17426">
        <v>0</v>
      </c>
      <c r="N17426">
        <v>8</v>
      </c>
      <c r="O17426" t="s">
        <v>11630</v>
      </c>
    </row>
    <row r="17427" spans="1:15">
      <c r="A17427" t="s">
        <v>53563</v>
      </c>
      <c r="B17427" t="s">
        <v>12979</v>
      </c>
      <c r="C17427" t="s">
        <v>21166</v>
      </c>
      <c r="D17427" t="s">
        <v>53564</v>
      </c>
      <c r="E17427" t="b">
        <v>0</v>
      </c>
      <c r="F17427" t="s">
        <v>11624</v>
      </c>
      <c r="G17427">
        <v>36.994219999999999</v>
      </c>
      <c r="H17427">
        <v>-77.207520000000002</v>
      </c>
      <c r="I17427" t="s">
        <v>53565</v>
      </c>
      <c r="L17427">
        <v>0</v>
      </c>
      <c r="M17427">
        <v>0</v>
      </c>
      <c r="N17427">
        <v>0</v>
      </c>
      <c r="O17427" t="s">
        <v>11944</v>
      </c>
    </row>
    <row r="17428" spans="1:15">
      <c r="A17428" t="s">
        <v>53566</v>
      </c>
      <c r="B17428" t="s">
        <v>13360</v>
      </c>
      <c r="C17428" t="s">
        <v>13360</v>
      </c>
      <c r="D17428" t="s">
        <v>53567</v>
      </c>
      <c r="E17428" t="b">
        <v>0</v>
      </c>
      <c r="F17428" t="s">
        <v>11624</v>
      </c>
      <c r="L17428">
        <v>0</v>
      </c>
      <c r="M17428">
        <v>0</v>
      </c>
      <c r="N17428">
        <v>0</v>
      </c>
      <c r="O17428" t="s">
        <v>11774</v>
      </c>
    </row>
    <row r="17429" spans="1:15">
      <c r="A17429" t="s">
        <v>32702</v>
      </c>
      <c r="B17429" t="s">
        <v>13244</v>
      </c>
      <c r="C17429" t="s">
        <v>19277</v>
      </c>
      <c r="D17429" t="s">
        <v>53568</v>
      </c>
      <c r="E17429" t="b">
        <v>0</v>
      </c>
      <c r="F17429" t="s">
        <v>11622</v>
      </c>
      <c r="L17429">
        <v>0</v>
      </c>
      <c r="M17429">
        <v>5</v>
      </c>
      <c r="N17429">
        <v>1</v>
      </c>
    </row>
    <row r="17430" spans="1:15">
      <c r="A17430" t="s">
        <v>53569</v>
      </c>
      <c r="B17430" t="s">
        <v>13244</v>
      </c>
      <c r="C17430" t="s">
        <v>32702</v>
      </c>
      <c r="D17430" t="s">
        <v>53570</v>
      </c>
      <c r="E17430" t="b">
        <v>0</v>
      </c>
      <c r="F17430" t="s">
        <v>11624</v>
      </c>
      <c r="G17430">
        <v>-7.4690899999999996</v>
      </c>
      <c r="H17430">
        <v>-73.075800000000001</v>
      </c>
      <c r="I17430" t="s">
        <v>53571</v>
      </c>
      <c r="L17430">
        <v>0</v>
      </c>
      <c r="M17430">
        <v>0</v>
      </c>
      <c r="N17430">
        <v>0</v>
      </c>
      <c r="O17430" t="s">
        <v>11969</v>
      </c>
    </row>
    <row r="17431" spans="1:15">
      <c r="A17431" t="s">
        <v>53572</v>
      </c>
      <c r="B17431" t="s">
        <v>11637</v>
      </c>
      <c r="C17431" t="s">
        <v>40437</v>
      </c>
      <c r="D17431" t="s">
        <v>53573</v>
      </c>
      <c r="E17431" t="b">
        <v>0</v>
      </c>
      <c r="F17431" t="s">
        <v>11610</v>
      </c>
      <c r="L17431">
        <v>0</v>
      </c>
      <c r="M17431">
        <v>0</v>
      </c>
      <c r="N17431">
        <v>0</v>
      </c>
    </row>
    <row r="17432" spans="1:15">
      <c r="A17432" t="s">
        <v>53574</v>
      </c>
      <c r="B17432" t="s">
        <v>11637</v>
      </c>
      <c r="C17432" t="s">
        <v>18489</v>
      </c>
      <c r="D17432" t="s">
        <v>53575</v>
      </c>
      <c r="E17432" t="b">
        <v>0</v>
      </c>
      <c r="F17432" t="s">
        <v>11610</v>
      </c>
      <c r="L17432">
        <v>0</v>
      </c>
      <c r="M17432">
        <v>0</v>
      </c>
      <c r="N17432">
        <v>0</v>
      </c>
    </row>
    <row r="17433" spans="1:15">
      <c r="A17433" t="s">
        <v>53576</v>
      </c>
      <c r="B17433" t="s">
        <v>11637</v>
      </c>
      <c r="C17433" t="s">
        <v>28285</v>
      </c>
      <c r="D17433" t="s">
        <v>53577</v>
      </c>
      <c r="E17433" t="b">
        <v>0</v>
      </c>
      <c r="F17433" t="s">
        <v>11610</v>
      </c>
      <c r="L17433">
        <v>0</v>
      </c>
      <c r="M17433">
        <v>0</v>
      </c>
      <c r="N17433">
        <v>0</v>
      </c>
    </row>
    <row r="17434" spans="1:15">
      <c r="A17434" t="s">
        <v>53578</v>
      </c>
      <c r="B17434" t="s">
        <v>11644</v>
      </c>
      <c r="C17434" t="s">
        <v>42377</v>
      </c>
      <c r="D17434" t="s">
        <v>53579</v>
      </c>
      <c r="E17434" t="b">
        <v>0</v>
      </c>
      <c r="F17434" t="s">
        <v>11610</v>
      </c>
      <c r="L17434">
        <v>0</v>
      </c>
      <c r="M17434">
        <v>0</v>
      </c>
      <c r="N17434">
        <v>0</v>
      </c>
    </row>
    <row r="17435" spans="1:15">
      <c r="A17435" t="s">
        <v>50811</v>
      </c>
      <c r="B17435" t="s">
        <v>12438</v>
      </c>
      <c r="C17435" t="s">
        <v>52904</v>
      </c>
      <c r="D17435" t="s">
        <v>53580</v>
      </c>
      <c r="E17435" t="b">
        <v>0</v>
      </c>
      <c r="F17435" t="s">
        <v>11622</v>
      </c>
      <c r="L17435">
        <v>0</v>
      </c>
      <c r="M17435">
        <v>3</v>
      </c>
      <c r="N17435">
        <v>0</v>
      </c>
    </row>
    <row r="17436" spans="1:15">
      <c r="A17436" t="s">
        <v>53581</v>
      </c>
      <c r="B17436" t="s">
        <v>12438</v>
      </c>
      <c r="C17436" t="s">
        <v>22166</v>
      </c>
      <c r="D17436" t="s">
        <v>53582</v>
      </c>
      <c r="E17436" t="b">
        <v>0</v>
      </c>
      <c r="F17436" t="s">
        <v>11610</v>
      </c>
      <c r="L17436">
        <v>0</v>
      </c>
      <c r="M17436">
        <v>0</v>
      </c>
      <c r="N17436">
        <v>0</v>
      </c>
    </row>
    <row r="17437" spans="1:15">
      <c r="A17437" t="s">
        <v>53583</v>
      </c>
      <c r="B17437" t="s">
        <v>12438</v>
      </c>
      <c r="C17437" t="s">
        <v>20411</v>
      </c>
      <c r="D17437" t="s">
        <v>53584</v>
      </c>
      <c r="E17437" t="b">
        <v>0</v>
      </c>
      <c r="F17437" t="s">
        <v>11610</v>
      </c>
      <c r="L17437">
        <v>0</v>
      </c>
      <c r="M17437">
        <v>0</v>
      </c>
      <c r="N17437">
        <v>0</v>
      </c>
    </row>
    <row r="17438" spans="1:15">
      <c r="A17438" t="s">
        <v>21358</v>
      </c>
      <c r="B17438" t="s">
        <v>11637</v>
      </c>
      <c r="C17438" t="s">
        <v>35416</v>
      </c>
      <c r="D17438" t="s">
        <v>53585</v>
      </c>
      <c r="E17438" t="b">
        <v>0</v>
      </c>
      <c r="F17438" t="s">
        <v>11624</v>
      </c>
      <c r="G17438">
        <v>35.173099999999998</v>
      </c>
      <c r="H17438">
        <v>70.800399999999996</v>
      </c>
      <c r="I17438" t="s">
        <v>53586</v>
      </c>
      <c r="L17438">
        <v>0</v>
      </c>
      <c r="M17438">
        <v>0</v>
      </c>
      <c r="N17438">
        <v>3</v>
      </c>
      <c r="O17438" t="s">
        <v>12131</v>
      </c>
    </row>
    <row r="17439" spans="1:15">
      <c r="A17439" t="s">
        <v>53587</v>
      </c>
      <c r="B17439" t="s">
        <v>11627</v>
      </c>
      <c r="C17439" t="s">
        <v>11627</v>
      </c>
      <c r="D17439" t="s">
        <v>53588</v>
      </c>
      <c r="E17439" t="b">
        <v>1</v>
      </c>
      <c r="F17439" t="s">
        <v>11624</v>
      </c>
      <c r="G17439">
        <v>19.430599999999998</v>
      </c>
      <c r="H17439">
        <v>101.021</v>
      </c>
      <c r="I17439" t="s">
        <v>53589</v>
      </c>
      <c r="L17439">
        <v>0</v>
      </c>
      <c r="M17439">
        <v>0</v>
      </c>
      <c r="N17439">
        <v>0</v>
      </c>
      <c r="O17439" t="s">
        <v>12442</v>
      </c>
    </row>
    <row r="17440" spans="1:15">
      <c r="A17440" t="s">
        <v>14745</v>
      </c>
      <c r="B17440" t="s">
        <v>11894</v>
      </c>
      <c r="C17440" t="s">
        <v>19274</v>
      </c>
      <c r="D17440" t="s">
        <v>53590</v>
      </c>
      <c r="E17440" t="b">
        <v>0</v>
      </c>
      <c r="F17440" t="s">
        <v>11622</v>
      </c>
      <c r="L17440">
        <v>6</v>
      </c>
      <c r="M17440">
        <v>11</v>
      </c>
      <c r="N17440">
        <v>0</v>
      </c>
    </row>
    <row r="17441" spans="1:15">
      <c r="A17441" t="s">
        <v>53591</v>
      </c>
      <c r="B17441" t="s">
        <v>12438</v>
      </c>
      <c r="C17441" t="s">
        <v>18412</v>
      </c>
      <c r="D17441" t="s">
        <v>53592</v>
      </c>
      <c r="E17441" t="b">
        <v>0</v>
      </c>
      <c r="F17441" t="s">
        <v>11610</v>
      </c>
      <c r="L17441">
        <v>0</v>
      </c>
      <c r="M17441">
        <v>0</v>
      </c>
      <c r="N17441">
        <v>0</v>
      </c>
    </row>
    <row r="17442" spans="1:15">
      <c r="A17442" t="s">
        <v>53593</v>
      </c>
      <c r="B17442" t="s">
        <v>367</v>
      </c>
      <c r="C17442" t="s">
        <v>16303</v>
      </c>
      <c r="D17442" t="s">
        <v>53594</v>
      </c>
      <c r="E17442" t="b">
        <v>0</v>
      </c>
      <c r="F17442" t="s">
        <v>11610</v>
      </c>
      <c r="L17442">
        <v>0</v>
      </c>
      <c r="M17442">
        <v>0</v>
      </c>
      <c r="N17442">
        <v>0</v>
      </c>
    </row>
    <row r="17443" spans="1:15">
      <c r="A17443" t="s">
        <v>53595</v>
      </c>
      <c r="B17443" t="s">
        <v>11637</v>
      </c>
      <c r="C17443" t="s">
        <v>10074</v>
      </c>
      <c r="D17443" t="s">
        <v>53596</v>
      </c>
      <c r="E17443" t="b">
        <v>0</v>
      </c>
      <c r="F17443" t="s">
        <v>11610</v>
      </c>
      <c r="L17443">
        <v>0</v>
      </c>
      <c r="M17443">
        <v>0</v>
      </c>
      <c r="N17443">
        <v>0</v>
      </c>
    </row>
    <row r="17444" spans="1:15">
      <c r="A17444" t="s">
        <v>53597</v>
      </c>
      <c r="B17444" t="s">
        <v>11637</v>
      </c>
      <c r="C17444" t="s">
        <v>20485</v>
      </c>
      <c r="D17444" t="s">
        <v>53598</v>
      </c>
      <c r="E17444" t="b">
        <v>0</v>
      </c>
      <c r="F17444" t="s">
        <v>11610</v>
      </c>
      <c r="L17444">
        <v>0</v>
      </c>
      <c r="M17444">
        <v>0</v>
      </c>
      <c r="N17444">
        <v>0</v>
      </c>
    </row>
    <row r="17445" spans="1:15">
      <c r="A17445" t="s">
        <v>53599</v>
      </c>
      <c r="B17445" t="s">
        <v>12751</v>
      </c>
      <c r="C17445" t="s">
        <v>27050</v>
      </c>
      <c r="D17445" t="s">
        <v>53600</v>
      </c>
      <c r="E17445" t="b">
        <v>0</v>
      </c>
      <c r="F17445" t="s">
        <v>11610</v>
      </c>
      <c r="L17445">
        <v>0</v>
      </c>
      <c r="M17445">
        <v>0</v>
      </c>
      <c r="N17445">
        <v>0</v>
      </c>
    </row>
    <row r="17446" spans="1:15">
      <c r="A17446" t="s">
        <v>24009</v>
      </c>
      <c r="B17446" t="s">
        <v>11644</v>
      </c>
      <c r="C17446" t="s">
        <v>25986</v>
      </c>
      <c r="D17446" t="s">
        <v>53601</v>
      </c>
      <c r="E17446" t="b">
        <v>0</v>
      </c>
      <c r="F17446" t="s">
        <v>11622</v>
      </c>
      <c r="L17446">
        <v>4</v>
      </c>
      <c r="M17446">
        <v>8</v>
      </c>
      <c r="N17446">
        <v>8</v>
      </c>
    </row>
    <row r="17447" spans="1:15">
      <c r="A17447" t="s">
        <v>53602</v>
      </c>
      <c r="B17447" t="s">
        <v>11637</v>
      </c>
      <c r="C17447" t="s">
        <v>11822</v>
      </c>
      <c r="D17447" t="s">
        <v>53603</v>
      </c>
      <c r="E17447" t="b">
        <v>0</v>
      </c>
      <c r="F17447" t="s">
        <v>11610</v>
      </c>
      <c r="L17447">
        <v>0</v>
      </c>
      <c r="M17447">
        <v>0</v>
      </c>
      <c r="N17447">
        <v>0</v>
      </c>
    </row>
    <row r="17448" spans="1:15">
      <c r="A17448" t="s">
        <v>53604</v>
      </c>
      <c r="B17448" t="s">
        <v>11637</v>
      </c>
      <c r="C17448" t="s">
        <v>10074</v>
      </c>
      <c r="D17448" t="s">
        <v>53605</v>
      </c>
      <c r="E17448" t="b">
        <v>0</v>
      </c>
      <c r="F17448" t="s">
        <v>11610</v>
      </c>
      <c r="L17448">
        <v>0</v>
      </c>
      <c r="M17448">
        <v>0</v>
      </c>
      <c r="N17448">
        <v>0</v>
      </c>
    </row>
    <row r="17449" spans="1:15">
      <c r="A17449" t="s">
        <v>53606</v>
      </c>
      <c r="B17449" t="s">
        <v>11637</v>
      </c>
      <c r="C17449" t="s">
        <v>14436</v>
      </c>
      <c r="D17449" t="s">
        <v>53607</v>
      </c>
      <c r="E17449" t="b">
        <v>0</v>
      </c>
      <c r="F17449" t="s">
        <v>11610</v>
      </c>
      <c r="L17449">
        <v>0</v>
      </c>
      <c r="M17449">
        <v>0</v>
      </c>
      <c r="N17449">
        <v>0</v>
      </c>
    </row>
    <row r="17450" spans="1:15">
      <c r="A17450" t="s">
        <v>53608</v>
      </c>
      <c r="B17450" t="s">
        <v>367</v>
      </c>
      <c r="C17450" t="s">
        <v>16794</v>
      </c>
      <c r="D17450" t="s">
        <v>53609</v>
      </c>
      <c r="E17450" t="b">
        <v>0</v>
      </c>
      <c r="F17450" t="s">
        <v>11610</v>
      </c>
      <c r="L17450">
        <v>0</v>
      </c>
      <c r="M17450">
        <v>0</v>
      </c>
      <c r="N17450">
        <v>0</v>
      </c>
    </row>
    <row r="17451" spans="1:15">
      <c r="A17451" t="s">
        <v>53610</v>
      </c>
      <c r="B17451" t="s">
        <v>11637</v>
      </c>
      <c r="C17451" t="s">
        <v>53611</v>
      </c>
      <c r="D17451" t="s">
        <v>53612</v>
      </c>
      <c r="E17451" t="b">
        <v>0</v>
      </c>
      <c r="F17451" t="s">
        <v>11624</v>
      </c>
      <c r="G17451">
        <v>1.6140000000000001</v>
      </c>
      <c r="H17451">
        <v>7.3920000000000003</v>
      </c>
      <c r="I17451" t="s">
        <v>53613</v>
      </c>
      <c r="L17451">
        <v>0</v>
      </c>
      <c r="M17451">
        <v>0</v>
      </c>
      <c r="N17451">
        <v>0</v>
      </c>
      <c r="O17451" t="s">
        <v>13894</v>
      </c>
    </row>
    <row r="17452" spans="1:15">
      <c r="A17452" t="s">
        <v>53614</v>
      </c>
      <c r="B17452" t="s">
        <v>12260</v>
      </c>
      <c r="C17452" t="s">
        <v>21321</v>
      </c>
      <c r="D17452" t="s">
        <v>53615</v>
      </c>
      <c r="E17452" t="b">
        <v>0</v>
      </c>
      <c r="F17452" t="s">
        <v>11610</v>
      </c>
      <c r="L17452">
        <v>0</v>
      </c>
      <c r="M17452">
        <v>0</v>
      </c>
      <c r="N17452">
        <v>0</v>
      </c>
    </row>
    <row r="17453" spans="1:15">
      <c r="A17453" t="s">
        <v>53616</v>
      </c>
      <c r="B17453" t="s">
        <v>11637</v>
      </c>
      <c r="C17453" t="s">
        <v>20403</v>
      </c>
      <c r="D17453" t="s">
        <v>53617</v>
      </c>
      <c r="E17453" t="b">
        <v>0</v>
      </c>
      <c r="F17453" t="s">
        <v>11610</v>
      </c>
      <c r="L17453">
        <v>0</v>
      </c>
      <c r="M17453">
        <v>0</v>
      </c>
      <c r="N17453">
        <v>0</v>
      </c>
    </row>
    <row r="17454" spans="1:15">
      <c r="A17454" t="s">
        <v>53618</v>
      </c>
      <c r="B17454" t="s">
        <v>11839</v>
      </c>
      <c r="C17454" t="s">
        <v>29025</v>
      </c>
      <c r="D17454" t="s">
        <v>53619</v>
      </c>
      <c r="E17454" t="b">
        <v>0</v>
      </c>
      <c r="F17454" t="s">
        <v>11610</v>
      </c>
      <c r="L17454">
        <v>0</v>
      </c>
      <c r="M17454">
        <v>0</v>
      </c>
      <c r="N17454">
        <v>0</v>
      </c>
    </row>
    <row r="17455" spans="1:15">
      <c r="A17455" t="s">
        <v>53620</v>
      </c>
      <c r="B17455" t="s">
        <v>11644</v>
      </c>
      <c r="C17455" t="s">
        <v>15930</v>
      </c>
      <c r="D17455" t="s">
        <v>53621</v>
      </c>
      <c r="E17455" t="b">
        <v>0</v>
      </c>
      <c r="F17455" t="s">
        <v>11610</v>
      </c>
      <c r="L17455">
        <v>0</v>
      </c>
      <c r="M17455">
        <v>0</v>
      </c>
      <c r="N17455">
        <v>0</v>
      </c>
    </row>
    <row r="17456" spans="1:15">
      <c r="A17456" t="s">
        <v>53622</v>
      </c>
      <c r="B17456" t="s">
        <v>11644</v>
      </c>
      <c r="C17456" t="s">
        <v>40019</v>
      </c>
      <c r="D17456" t="s">
        <v>53623</v>
      </c>
      <c r="E17456" t="b">
        <v>0</v>
      </c>
      <c r="F17456" t="s">
        <v>11610</v>
      </c>
      <c r="L17456">
        <v>0</v>
      </c>
      <c r="M17456">
        <v>0</v>
      </c>
      <c r="N17456">
        <v>0</v>
      </c>
    </row>
    <row r="17457" spans="1:15">
      <c r="A17457" t="s">
        <v>53624</v>
      </c>
      <c r="B17457" t="s">
        <v>11637</v>
      </c>
      <c r="C17457" t="s">
        <v>48269</v>
      </c>
      <c r="D17457" t="s">
        <v>53625</v>
      </c>
      <c r="E17457" t="b">
        <v>0</v>
      </c>
      <c r="F17457" t="s">
        <v>11610</v>
      </c>
      <c r="L17457">
        <v>0</v>
      </c>
      <c r="M17457">
        <v>0</v>
      </c>
      <c r="N17457">
        <v>0</v>
      </c>
    </row>
    <row r="17458" spans="1:15">
      <c r="A17458" t="s">
        <v>24239</v>
      </c>
      <c r="B17458" t="s">
        <v>11637</v>
      </c>
      <c r="C17458" t="s">
        <v>39310</v>
      </c>
      <c r="D17458" t="s">
        <v>53626</v>
      </c>
      <c r="E17458" t="b">
        <v>0</v>
      </c>
      <c r="F17458" t="s">
        <v>11610</v>
      </c>
      <c r="L17458">
        <v>0</v>
      </c>
      <c r="M17458">
        <v>0</v>
      </c>
      <c r="N17458">
        <v>6</v>
      </c>
    </row>
    <row r="17459" spans="1:15">
      <c r="A17459" t="s">
        <v>53627</v>
      </c>
      <c r="B17459" t="s">
        <v>11981</v>
      </c>
      <c r="C17459" t="s">
        <v>51054</v>
      </c>
      <c r="D17459" t="s">
        <v>53628</v>
      </c>
      <c r="E17459" t="b">
        <v>0</v>
      </c>
      <c r="F17459" t="s">
        <v>11624</v>
      </c>
      <c r="G17459">
        <v>13.348416</v>
      </c>
      <c r="H17459">
        <v>-81.373887999999994</v>
      </c>
      <c r="I17459" t="s">
        <v>53629</v>
      </c>
      <c r="L17459">
        <v>0</v>
      </c>
      <c r="M17459">
        <v>0</v>
      </c>
      <c r="N17459">
        <v>0</v>
      </c>
      <c r="O17459" t="s">
        <v>11898</v>
      </c>
    </row>
    <row r="17460" spans="1:15">
      <c r="A17460" t="s">
        <v>53630</v>
      </c>
      <c r="B17460" t="s">
        <v>11627</v>
      </c>
      <c r="C17460" t="s">
        <v>11627</v>
      </c>
      <c r="D17460" t="s">
        <v>53631</v>
      </c>
      <c r="E17460" t="b">
        <v>1</v>
      </c>
      <c r="F17460" t="s">
        <v>11624</v>
      </c>
      <c r="I17460" t="s">
        <v>53632</v>
      </c>
      <c r="L17460">
        <v>0</v>
      </c>
      <c r="M17460">
        <v>0</v>
      </c>
      <c r="N17460">
        <v>0</v>
      </c>
    </row>
    <row r="17461" spans="1:15">
      <c r="A17461" t="s">
        <v>51054</v>
      </c>
      <c r="B17461" t="s">
        <v>11981</v>
      </c>
      <c r="C17461" t="s">
        <v>11982</v>
      </c>
      <c r="D17461" t="s">
        <v>53633</v>
      </c>
      <c r="E17461" t="b">
        <v>0</v>
      </c>
      <c r="F17461" t="s">
        <v>11622</v>
      </c>
      <c r="L17461">
        <v>0</v>
      </c>
      <c r="M17461">
        <v>2</v>
      </c>
      <c r="N17461">
        <v>0</v>
      </c>
    </row>
    <row r="17462" spans="1:15">
      <c r="A17462" t="s">
        <v>53634</v>
      </c>
      <c r="B17462" t="s">
        <v>11637</v>
      </c>
      <c r="C17462" t="s">
        <v>19701</v>
      </c>
      <c r="D17462" t="s">
        <v>53635</v>
      </c>
      <c r="E17462" t="b">
        <v>0</v>
      </c>
      <c r="F17462" t="s">
        <v>11610</v>
      </c>
      <c r="L17462">
        <v>0</v>
      </c>
      <c r="M17462">
        <v>0</v>
      </c>
      <c r="N17462">
        <v>0</v>
      </c>
    </row>
    <row r="17463" spans="1:15">
      <c r="A17463" t="s">
        <v>53636</v>
      </c>
      <c r="B17463" t="s">
        <v>11637</v>
      </c>
      <c r="C17463" t="s">
        <v>16357</v>
      </c>
      <c r="D17463" t="s">
        <v>53637</v>
      </c>
      <c r="E17463" t="b">
        <v>0</v>
      </c>
      <c r="F17463" t="s">
        <v>11624</v>
      </c>
      <c r="G17463">
        <v>52.393999999999998</v>
      </c>
      <c r="H17463">
        <v>14.757</v>
      </c>
      <c r="I17463" t="s">
        <v>53638</v>
      </c>
      <c r="L17463">
        <v>0</v>
      </c>
      <c r="M17463">
        <v>0</v>
      </c>
      <c r="N17463">
        <v>0</v>
      </c>
      <c r="O17463" t="s">
        <v>27424</v>
      </c>
    </row>
    <row r="17464" spans="1:15">
      <c r="A17464" t="s">
        <v>53639</v>
      </c>
      <c r="B17464" t="s">
        <v>12438</v>
      </c>
      <c r="C17464" t="s">
        <v>22562</v>
      </c>
      <c r="D17464" t="s">
        <v>53640</v>
      </c>
      <c r="E17464" t="b">
        <v>0</v>
      </c>
      <c r="F17464" t="s">
        <v>11610</v>
      </c>
      <c r="L17464">
        <v>0</v>
      </c>
      <c r="M17464">
        <v>0</v>
      </c>
      <c r="N17464">
        <v>0</v>
      </c>
    </row>
    <row r="17465" spans="1:15">
      <c r="A17465" t="s">
        <v>53641</v>
      </c>
      <c r="B17465" t="s">
        <v>12148</v>
      </c>
      <c r="C17465" t="s">
        <v>61</v>
      </c>
      <c r="D17465" t="s">
        <v>53642</v>
      </c>
      <c r="E17465" t="b">
        <v>0</v>
      </c>
      <c r="F17465" t="s">
        <v>11610</v>
      </c>
      <c r="L17465">
        <v>0</v>
      </c>
      <c r="M17465">
        <v>0</v>
      </c>
      <c r="N17465">
        <v>0</v>
      </c>
    </row>
    <row r="17466" spans="1:15">
      <c r="A17466" t="s">
        <v>50119</v>
      </c>
      <c r="B17466" t="s">
        <v>11607</v>
      </c>
      <c r="C17466" t="s">
        <v>31124</v>
      </c>
      <c r="D17466" t="s">
        <v>53643</v>
      </c>
      <c r="E17466" t="b">
        <v>0</v>
      </c>
      <c r="F17466" t="s">
        <v>11624</v>
      </c>
      <c r="G17466">
        <v>10.677</v>
      </c>
      <c r="H17466">
        <v>13.569000000000001</v>
      </c>
      <c r="I17466" t="s">
        <v>53644</v>
      </c>
      <c r="L17466">
        <v>0</v>
      </c>
      <c r="M17466">
        <v>0</v>
      </c>
      <c r="N17466">
        <v>3</v>
      </c>
      <c r="O17466" t="s">
        <v>11802</v>
      </c>
    </row>
    <row r="17467" spans="1:15">
      <c r="A17467" t="s">
        <v>53645</v>
      </c>
      <c r="B17467" t="s">
        <v>367</v>
      </c>
      <c r="C17467" t="s">
        <v>31569</v>
      </c>
      <c r="D17467" t="s">
        <v>53646</v>
      </c>
      <c r="E17467" t="b">
        <v>0</v>
      </c>
      <c r="F17467" t="s">
        <v>11610</v>
      </c>
      <c r="L17467">
        <v>0</v>
      </c>
      <c r="M17467">
        <v>0</v>
      </c>
      <c r="N17467">
        <v>0</v>
      </c>
    </row>
    <row r="17468" spans="1:15">
      <c r="A17468" t="s">
        <v>53647</v>
      </c>
      <c r="B17468" t="s">
        <v>367</v>
      </c>
      <c r="C17468" t="s">
        <v>14352</v>
      </c>
      <c r="D17468" t="s">
        <v>53648</v>
      </c>
      <c r="E17468" t="b">
        <v>0</v>
      </c>
      <c r="F17468" t="s">
        <v>11610</v>
      </c>
      <c r="L17468">
        <v>0</v>
      </c>
      <c r="M17468">
        <v>0</v>
      </c>
      <c r="N17468">
        <v>0</v>
      </c>
    </row>
    <row r="17469" spans="1:15">
      <c r="A17469" t="s">
        <v>53649</v>
      </c>
      <c r="B17469" t="s">
        <v>16986</v>
      </c>
      <c r="C17469" t="s">
        <v>53650</v>
      </c>
      <c r="D17469" t="s">
        <v>53651</v>
      </c>
      <c r="E17469" t="b">
        <v>0</v>
      </c>
      <c r="F17469" t="s">
        <v>11624</v>
      </c>
      <c r="G17469">
        <v>-2.9012099999999998</v>
      </c>
      <c r="H17469">
        <v>141.715</v>
      </c>
      <c r="I17469" t="s">
        <v>53652</v>
      </c>
      <c r="L17469">
        <v>0</v>
      </c>
      <c r="M17469">
        <v>0</v>
      </c>
      <c r="N17469">
        <v>0</v>
      </c>
      <c r="O17469" t="s">
        <v>11660</v>
      </c>
    </row>
    <row r="17470" spans="1:15">
      <c r="A17470" t="s">
        <v>53653</v>
      </c>
      <c r="B17470" t="s">
        <v>11627</v>
      </c>
      <c r="C17470" t="s">
        <v>11627</v>
      </c>
      <c r="D17470" t="s">
        <v>53654</v>
      </c>
      <c r="E17470" t="b">
        <v>1</v>
      </c>
      <c r="F17470" t="s">
        <v>11624</v>
      </c>
      <c r="I17470" t="s">
        <v>53655</v>
      </c>
      <c r="L17470">
        <v>0</v>
      </c>
      <c r="M17470">
        <v>0</v>
      </c>
      <c r="N17470">
        <v>0</v>
      </c>
    </row>
    <row r="17471" spans="1:15">
      <c r="A17471" t="s">
        <v>53656</v>
      </c>
      <c r="B17471" t="s">
        <v>10597</v>
      </c>
      <c r="C17471" t="s">
        <v>35274</v>
      </c>
      <c r="D17471" t="s">
        <v>53657</v>
      </c>
      <c r="E17471" t="b">
        <v>0</v>
      </c>
      <c r="F17471" t="s">
        <v>11610</v>
      </c>
      <c r="L17471">
        <v>0</v>
      </c>
      <c r="M17471">
        <v>0</v>
      </c>
      <c r="N17471">
        <v>0</v>
      </c>
    </row>
    <row r="17472" spans="1:15">
      <c r="A17472" t="s">
        <v>53658</v>
      </c>
      <c r="B17472" t="s">
        <v>367</v>
      </c>
      <c r="C17472" t="s">
        <v>15089</v>
      </c>
      <c r="D17472" t="s">
        <v>53659</v>
      </c>
      <c r="E17472" t="b">
        <v>0</v>
      </c>
      <c r="F17472" t="s">
        <v>11624</v>
      </c>
      <c r="G17472">
        <v>18.211200000000002</v>
      </c>
      <c r="H17472">
        <v>121.379</v>
      </c>
      <c r="I17472" t="s">
        <v>53660</v>
      </c>
      <c r="L17472">
        <v>0</v>
      </c>
      <c r="M17472">
        <v>0</v>
      </c>
      <c r="N17472">
        <v>0</v>
      </c>
      <c r="O17472" t="s">
        <v>11749</v>
      </c>
    </row>
    <row r="17473" spans="1:15">
      <c r="A17473" t="s">
        <v>53661</v>
      </c>
      <c r="B17473" t="s">
        <v>11615</v>
      </c>
      <c r="C17473" t="s">
        <v>43795</v>
      </c>
      <c r="D17473" t="s">
        <v>53662</v>
      </c>
      <c r="E17473" t="b">
        <v>0</v>
      </c>
      <c r="F17473" t="s">
        <v>11610</v>
      </c>
      <c r="L17473">
        <v>0</v>
      </c>
      <c r="M17473">
        <v>0</v>
      </c>
      <c r="N17473">
        <v>0</v>
      </c>
    </row>
    <row r="17474" spans="1:15">
      <c r="A17474" t="s">
        <v>53663</v>
      </c>
      <c r="D17474" t="s">
        <v>53664</v>
      </c>
      <c r="E17474" t="b">
        <v>0</v>
      </c>
      <c r="F17474" t="s">
        <v>11624</v>
      </c>
      <c r="G17474">
        <v>-36.637599999999999</v>
      </c>
      <c r="H17474">
        <v>-62.941299999999998</v>
      </c>
      <c r="I17474" t="s">
        <v>53665</v>
      </c>
      <c r="L17474">
        <v>0</v>
      </c>
      <c r="M17474">
        <v>0</v>
      </c>
      <c r="N17474">
        <v>0</v>
      </c>
      <c r="O17474" t="s">
        <v>11774</v>
      </c>
    </row>
    <row r="17475" spans="1:15">
      <c r="A17475" t="s">
        <v>53666</v>
      </c>
      <c r="B17475" t="s">
        <v>11981</v>
      </c>
      <c r="C17475" t="s">
        <v>13456</v>
      </c>
      <c r="D17475" t="s">
        <v>53667</v>
      </c>
      <c r="E17475" t="b">
        <v>0</v>
      </c>
      <c r="F17475" t="s">
        <v>11624</v>
      </c>
      <c r="G17475">
        <v>18.459199999999999</v>
      </c>
      <c r="H17475">
        <v>-66.091899999999995</v>
      </c>
      <c r="I17475" t="s">
        <v>53668</v>
      </c>
      <c r="L17475">
        <v>0</v>
      </c>
      <c r="M17475">
        <v>0</v>
      </c>
      <c r="N17475">
        <v>0</v>
      </c>
      <c r="O17475" t="s">
        <v>53669</v>
      </c>
    </row>
    <row r="17476" spans="1:15">
      <c r="A17476" t="s">
        <v>53670</v>
      </c>
      <c r="B17476" t="s">
        <v>11637</v>
      </c>
      <c r="C17476" t="s">
        <v>45069</v>
      </c>
      <c r="D17476" t="s">
        <v>53671</v>
      </c>
      <c r="E17476" t="b">
        <v>0</v>
      </c>
      <c r="F17476" t="s">
        <v>11610</v>
      </c>
      <c r="L17476">
        <v>0</v>
      </c>
      <c r="M17476">
        <v>0</v>
      </c>
      <c r="N17476">
        <v>0</v>
      </c>
    </row>
    <row r="17477" spans="1:15">
      <c r="A17477" t="s">
        <v>53672</v>
      </c>
      <c r="B17477" t="s">
        <v>11627</v>
      </c>
      <c r="C17477" t="s">
        <v>11627</v>
      </c>
      <c r="D17477" t="s">
        <v>53673</v>
      </c>
      <c r="E17477" t="b">
        <v>1</v>
      </c>
      <c r="F17477" t="s">
        <v>11624</v>
      </c>
      <c r="G17477">
        <v>25.2973</v>
      </c>
      <c r="H17477">
        <v>93.734399999999994</v>
      </c>
      <c r="I17477" t="s">
        <v>53674</v>
      </c>
      <c r="L17477">
        <v>0</v>
      </c>
      <c r="M17477">
        <v>0</v>
      </c>
      <c r="N17477">
        <v>0</v>
      </c>
      <c r="O17477" t="s">
        <v>11630</v>
      </c>
    </row>
    <row r="17478" spans="1:15">
      <c r="A17478" t="s">
        <v>53675</v>
      </c>
      <c r="D17478" t="s">
        <v>53676</v>
      </c>
      <c r="E17478" t="b">
        <v>0</v>
      </c>
      <c r="F17478" t="s">
        <v>11624</v>
      </c>
      <c r="G17478">
        <v>3.9297399999999998</v>
      </c>
      <c r="H17478">
        <v>-67.688599999999994</v>
      </c>
      <c r="I17478" t="s">
        <v>53677</v>
      </c>
      <c r="L17478">
        <v>0</v>
      </c>
      <c r="M17478">
        <v>0</v>
      </c>
      <c r="N17478">
        <v>0</v>
      </c>
      <c r="O17478" t="s">
        <v>17099</v>
      </c>
    </row>
    <row r="17479" spans="1:15">
      <c r="A17479" t="s">
        <v>53678</v>
      </c>
      <c r="B17479" t="s">
        <v>367</v>
      </c>
      <c r="C17479" t="s">
        <v>14052</v>
      </c>
      <c r="D17479" t="s">
        <v>53679</v>
      </c>
      <c r="E17479" t="b">
        <v>0</v>
      </c>
      <c r="F17479" t="s">
        <v>11624</v>
      </c>
      <c r="G17479">
        <v>-10.91</v>
      </c>
      <c r="H17479">
        <v>-165.83</v>
      </c>
      <c r="I17479" t="s">
        <v>53680</v>
      </c>
      <c r="L17479">
        <v>0</v>
      </c>
      <c r="M17479">
        <v>0</v>
      </c>
      <c r="N17479">
        <v>0</v>
      </c>
      <c r="O17479" t="s">
        <v>52764</v>
      </c>
    </row>
    <row r="17480" spans="1:15">
      <c r="A17480" t="s">
        <v>53681</v>
      </c>
      <c r="B17480" t="s">
        <v>11615</v>
      </c>
      <c r="C17480" t="s">
        <v>34587</v>
      </c>
      <c r="D17480" t="s">
        <v>53682</v>
      </c>
      <c r="E17480" t="b">
        <v>0</v>
      </c>
      <c r="F17480" t="s">
        <v>11610</v>
      </c>
      <c r="L17480">
        <v>0</v>
      </c>
      <c r="M17480">
        <v>0</v>
      </c>
      <c r="N17480">
        <v>0</v>
      </c>
    </row>
    <row r="17481" spans="1:15">
      <c r="A17481" t="s">
        <v>53683</v>
      </c>
      <c r="B17481" t="s">
        <v>367</v>
      </c>
      <c r="C17481" t="s">
        <v>27951</v>
      </c>
      <c r="D17481" t="s">
        <v>53684</v>
      </c>
      <c r="E17481" t="b">
        <v>0</v>
      </c>
      <c r="F17481" t="s">
        <v>11624</v>
      </c>
      <c r="G17481">
        <v>-8.4056610000000003</v>
      </c>
      <c r="H17481">
        <v>122.690759</v>
      </c>
      <c r="L17481">
        <v>0</v>
      </c>
      <c r="M17481">
        <v>0</v>
      </c>
      <c r="N17481">
        <v>0</v>
      </c>
      <c r="O17481" t="s">
        <v>11768</v>
      </c>
    </row>
    <row r="17482" spans="1:15">
      <c r="A17482" t="s">
        <v>53685</v>
      </c>
      <c r="B17482" t="s">
        <v>11627</v>
      </c>
      <c r="C17482" t="s">
        <v>11627</v>
      </c>
      <c r="D17482" t="s">
        <v>53686</v>
      </c>
      <c r="E17482" t="b">
        <v>1</v>
      </c>
      <c r="F17482" t="s">
        <v>11624</v>
      </c>
      <c r="G17482">
        <v>20.255099999999999</v>
      </c>
      <c r="H17482">
        <v>101.73099999999999</v>
      </c>
      <c r="I17482" t="s">
        <v>53687</v>
      </c>
      <c r="L17482">
        <v>0</v>
      </c>
      <c r="M17482">
        <v>0</v>
      </c>
      <c r="N17482">
        <v>0</v>
      </c>
      <c r="O17482" t="s">
        <v>12921</v>
      </c>
    </row>
    <row r="17483" spans="1:15">
      <c r="A17483" t="s">
        <v>53688</v>
      </c>
      <c r="B17483" t="s">
        <v>12438</v>
      </c>
      <c r="C17483" t="s">
        <v>33095</v>
      </c>
      <c r="D17483" t="s">
        <v>53689</v>
      </c>
      <c r="E17483" t="b">
        <v>0</v>
      </c>
      <c r="F17483" t="s">
        <v>11610</v>
      </c>
      <c r="L17483">
        <v>0</v>
      </c>
      <c r="M17483">
        <v>0</v>
      </c>
      <c r="N17483">
        <v>0</v>
      </c>
    </row>
    <row r="17484" spans="1:15">
      <c r="A17484" t="s">
        <v>53690</v>
      </c>
      <c r="B17484" t="s">
        <v>11844</v>
      </c>
      <c r="C17484" t="s">
        <v>1264</v>
      </c>
      <c r="D17484" t="s">
        <v>53691</v>
      </c>
      <c r="E17484" t="b">
        <v>0</v>
      </c>
      <c r="F17484" t="s">
        <v>11610</v>
      </c>
      <c r="L17484">
        <v>0</v>
      </c>
      <c r="M17484">
        <v>0</v>
      </c>
      <c r="N17484">
        <v>0</v>
      </c>
    </row>
    <row r="17485" spans="1:15">
      <c r="A17485" t="s">
        <v>28129</v>
      </c>
      <c r="B17485" t="s">
        <v>6742</v>
      </c>
      <c r="C17485" t="s">
        <v>346</v>
      </c>
      <c r="D17485" t="s">
        <v>53692</v>
      </c>
      <c r="E17485" t="b">
        <v>0</v>
      </c>
      <c r="F17485" t="s">
        <v>11624</v>
      </c>
      <c r="G17485">
        <v>12.182600000000001</v>
      </c>
      <c r="H17485">
        <v>-12.7338</v>
      </c>
      <c r="I17485" t="s">
        <v>53693</v>
      </c>
      <c r="L17485">
        <v>0</v>
      </c>
      <c r="M17485">
        <v>0</v>
      </c>
      <c r="N17485">
        <v>3</v>
      </c>
      <c r="O17485" t="s">
        <v>53694</v>
      </c>
    </row>
    <row r="17486" spans="1:15">
      <c r="A17486" t="s">
        <v>28132</v>
      </c>
      <c r="B17486" t="s">
        <v>6742</v>
      </c>
      <c r="C17486" t="s">
        <v>346</v>
      </c>
      <c r="D17486" t="s">
        <v>53695</v>
      </c>
      <c r="E17486" t="b">
        <v>0</v>
      </c>
      <c r="F17486" t="s">
        <v>11624</v>
      </c>
      <c r="G17486">
        <v>13.869400000000001</v>
      </c>
      <c r="H17486">
        <v>-13.4482</v>
      </c>
      <c r="I17486" t="s">
        <v>53696</v>
      </c>
      <c r="L17486">
        <v>0</v>
      </c>
      <c r="M17486">
        <v>0</v>
      </c>
      <c r="N17486">
        <v>2</v>
      </c>
      <c r="O17486" t="s">
        <v>53697</v>
      </c>
    </row>
    <row r="17487" spans="1:15">
      <c r="A17487" t="s">
        <v>53698</v>
      </c>
      <c r="B17487" t="s">
        <v>6742</v>
      </c>
      <c r="C17487" t="s">
        <v>4118</v>
      </c>
      <c r="D17487" t="s">
        <v>53699</v>
      </c>
      <c r="E17487" t="b">
        <v>0</v>
      </c>
      <c r="F17487" t="s">
        <v>11610</v>
      </c>
      <c r="L17487">
        <v>0</v>
      </c>
      <c r="M17487">
        <v>0</v>
      </c>
      <c r="N17487">
        <v>0</v>
      </c>
    </row>
    <row r="17488" spans="1:15">
      <c r="A17488" t="s">
        <v>53700</v>
      </c>
      <c r="B17488" t="s">
        <v>367</v>
      </c>
      <c r="C17488" t="s">
        <v>49748</v>
      </c>
      <c r="D17488" t="s">
        <v>53701</v>
      </c>
      <c r="E17488" t="b">
        <v>0</v>
      </c>
      <c r="F17488" t="s">
        <v>11610</v>
      </c>
      <c r="L17488">
        <v>0</v>
      </c>
      <c r="M17488">
        <v>0</v>
      </c>
      <c r="N17488">
        <v>0</v>
      </c>
    </row>
    <row r="17489" spans="1:15">
      <c r="A17489" t="s">
        <v>53702</v>
      </c>
      <c r="B17489" t="s">
        <v>367</v>
      </c>
      <c r="C17489" t="s">
        <v>32233</v>
      </c>
      <c r="D17489" t="s">
        <v>53703</v>
      </c>
      <c r="E17489" t="b">
        <v>0</v>
      </c>
      <c r="F17489" t="s">
        <v>11610</v>
      </c>
      <c r="L17489">
        <v>0</v>
      </c>
      <c r="M17489">
        <v>0</v>
      </c>
      <c r="N17489">
        <v>0</v>
      </c>
    </row>
    <row r="17490" spans="1:15">
      <c r="A17490" t="s">
        <v>53704</v>
      </c>
      <c r="B17490" t="s">
        <v>11615</v>
      </c>
      <c r="C17490" t="s">
        <v>14385</v>
      </c>
      <c r="D17490" t="s">
        <v>53705</v>
      </c>
      <c r="E17490" t="b">
        <v>0</v>
      </c>
      <c r="F17490" t="s">
        <v>11624</v>
      </c>
      <c r="G17490">
        <v>-5.59558</v>
      </c>
      <c r="H17490">
        <v>145.738</v>
      </c>
      <c r="I17490" t="s">
        <v>53706</v>
      </c>
      <c r="L17490">
        <v>0</v>
      </c>
      <c r="M17490">
        <v>0</v>
      </c>
      <c r="N17490">
        <v>0</v>
      </c>
      <c r="O17490" t="s">
        <v>11660</v>
      </c>
    </row>
    <row r="17491" spans="1:15">
      <c r="A17491" t="s">
        <v>53707</v>
      </c>
      <c r="B17491" t="s">
        <v>11627</v>
      </c>
      <c r="C17491" t="s">
        <v>11627</v>
      </c>
      <c r="D17491" t="s">
        <v>53708</v>
      </c>
      <c r="E17491" t="b">
        <v>1</v>
      </c>
      <c r="F17491" t="s">
        <v>11624</v>
      </c>
      <c r="I17491" t="s">
        <v>53709</v>
      </c>
      <c r="L17491">
        <v>0</v>
      </c>
      <c r="M17491">
        <v>0</v>
      </c>
      <c r="N17491">
        <v>0</v>
      </c>
    </row>
    <row r="17492" spans="1:15">
      <c r="A17492" t="s">
        <v>53710</v>
      </c>
      <c r="B17492" t="s">
        <v>367</v>
      </c>
      <c r="C17492" t="s">
        <v>14574</v>
      </c>
      <c r="D17492" t="s">
        <v>53711</v>
      </c>
      <c r="E17492" t="b">
        <v>0</v>
      </c>
      <c r="F17492" t="s">
        <v>11610</v>
      </c>
      <c r="L17492">
        <v>0</v>
      </c>
      <c r="M17492">
        <v>0</v>
      </c>
      <c r="N17492">
        <v>0</v>
      </c>
    </row>
    <row r="17493" spans="1:15">
      <c r="A17493" t="s">
        <v>53712</v>
      </c>
      <c r="B17493" t="s">
        <v>11844</v>
      </c>
      <c r="C17493" t="s">
        <v>41563</v>
      </c>
      <c r="D17493" t="s">
        <v>53713</v>
      </c>
      <c r="E17493" t="b">
        <v>0</v>
      </c>
      <c r="F17493" t="s">
        <v>11610</v>
      </c>
      <c r="L17493">
        <v>0</v>
      </c>
      <c r="M17493">
        <v>0</v>
      </c>
      <c r="N17493">
        <v>0</v>
      </c>
    </row>
    <row r="17494" spans="1:15">
      <c r="A17494" t="s">
        <v>53714</v>
      </c>
      <c r="B17494" t="s">
        <v>367</v>
      </c>
      <c r="C17494" t="s">
        <v>31883</v>
      </c>
      <c r="D17494" t="s">
        <v>53715</v>
      </c>
      <c r="E17494" t="b">
        <v>0</v>
      </c>
      <c r="F17494" t="s">
        <v>11610</v>
      </c>
      <c r="L17494">
        <v>0</v>
      </c>
      <c r="M17494">
        <v>0</v>
      </c>
      <c r="N17494">
        <v>0</v>
      </c>
    </row>
    <row r="17495" spans="1:15">
      <c r="A17495" t="s">
        <v>53716</v>
      </c>
      <c r="B17495" t="s">
        <v>367</v>
      </c>
      <c r="C17495" t="s">
        <v>53717</v>
      </c>
      <c r="D17495" t="s">
        <v>53718</v>
      </c>
      <c r="E17495" t="b">
        <v>0</v>
      </c>
      <c r="F17495" t="s">
        <v>11610</v>
      </c>
      <c r="L17495">
        <v>0</v>
      </c>
      <c r="M17495">
        <v>0</v>
      </c>
      <c r="N17495">
        <v>0</v>
      </c>
    </row>
    <row r="17496" spans="1:15">
      <c r="A17496" t="s">
        <v>53719</v>
      </c>
      <c r="B17496" t="s">
        <v>367</v>
      </c>
      <c r="C17496" t="s">
        <v>15573</v>
      </c>
      <c r="D17496" t="s">
        <v>53720</v>
      </c>
      <c r="E17496" t="b">
        <v>0</v>
      </c>
      <c r="F17496" t="s">
        <v>11610</v>
      </c>
      <c r="L17496">
        <v>0</v>
      </c>
      <c r="M17496">
        <v>0</v>
      </c>
      <c r="N17496">
        <v>0</v>
      </c>
    </row>
    <row r="17497" spans="1:15">
      <c r="A17497" t="s">
        <v>49748</v>
      </c>
      <c r="B17497" t="s">
        <v>367</v>
      </c>
      <c r="C17497" t="s">
        <v>53399</v>
      </c>
      <c r="D17497" t="s">
        <v>53721</v>
      </c>
      <c r="E17497" t="b">
        <v>0</v>
      </c>
      <c r="F17497" t="s">
        <v>11624</v>
      </c>
      <c r="G17497">
        <v>7.3569500000000003</v>
      </c>
      <c r="H17497">
        <v>149.20050000000001</v>
      </c>
      <c r="I17497" t="s">
        <v>53722</v>
      </c>
      <c r="L17497">
        <v>0</v>
      </c>
      <c r="M17497">
        <v>0</v>
      </c>
      <c r="N17497">
        <v>3</v>
      </c>
      <c r="O17497" t="s">
        <v>22994</v>
      </c>
    </row>
    <row r="17498" spans="1:15">
      <c r="A17498" t="s">
        <v>53723</v>
      </c>
      <c r="B17498" t="s">
        <v>367</v>
      </c>
      <c r="C17498" t="s">
        <v>49748</v>
      </c>
      <c r="D17498" t="s">
        <v>53724</v>
      </c>
      <c r="E17498" t="b">
        <v>0</v>
      </c>
      <c r="F17498" t="s">
        <v>11610</v>
      </c>
      <c r="L17498">
        <v>0</v>
      </c>
      <c r="M17498">
        <v>0</v>
      </c>
      <c r="N17498">
        <v>0</v>
      </c>
    </row>
    <row r="17499" spans="1:15">
      <c r="A17499" t="s">
        <v>53399</v>
      </c>
      <c r="B17499" t="s">
        <v>367</v>
      </c>
      <c r="C17499" t="s">
        <v>26585</v>
      </c>
      <c r="D17499" t="s">
        <v>53725</v>
      </c>
      <c r="E17499" t="b">
        <v>0</v>
      </c>
      <c r="F17499" t="s">
        <v>11622</v>
      </c>
      <c r="L17499">
        <v>0</v>
      </c>
      <c r="M17499">
        <v>2</v>
      </c>
      <c r="N17499">
        <v>3</v>
      </c>
    </row>
    <row r="17500" spans="1:15">
      <c r="A17500" t="s">
        <v>53726</v>
      </c>
      <c r="B17500" t="s">
        <v>11644</v>
      </c>
      <c r="C17500" t="s">
        <v>16783</v>
      </c>
      <c r="D17500" t="s">
        <v>53727</v>
      </c>
      <c r="E17500" t="b">
        <v>0</v>
      </c>
      <c r="F17500" t="s">
        <v>11624</v>
      </c>
      <c r="G17500">
        <v>27.077400000000001</v>
      </c>
      <c r="H17500">
        <v>86.837999999999994</v>
      </c>
      <c r="I17500" t="s">
        <v>53728</v>
      </c>
      <c r="L17500">
        <v>0</v>
      </c>
      <c r="M17500">
        <v>0</v>
      </c>
      <c r="N17500">
        <v>0</v>
      </c>
      <c r="O17500" t="s">
        <v>15007</v>
      </c>
    </row>
    <row r="17501" spans="1:15">
      <c r="A17501" t="s">
        <v>971</v>
      </c>
      <c r="D17501" t="s">
        <v>53729</v>
      </c>
      <c r="E17501" t="b">
        <v>0</v>
      </c>
      <c r="F17501" t="s">
        <v>11624</v>
      </c>
      <c r="G17501">
        <v>7.10677</v>
      </c>
      <c r="H17501">
        <v>-67.599599999999995</v>
      </c>
      <c r="I17501" t="s">
        <v>972</v>
      </c>
      <c r="L17501">
        <v>0</v>
      </c>
      <c r="M17501">
        <v>0</v>
      </c>
      <c r="N17501">
        <v>0</v>
      </c>
      <c r="O17501" t="s">
        <v>17099</v>
      </c>
    </row>
    <row r="17502" spans="1:15">
      <c r="A17502" t="s">
        <v>5202</v>
      </c>
      <c r="B17502" t="s">
        <v>11644</v>
      </c>
      <c r="C17502" t="s">
        <v>45997</v>
      </c>
      <c r="D17502" t="s">
        <v>5200</v>
      </c>
      <c r="E17502" t="b">
        <v>0</v>
      </c>
      <c r="F17502" t="s">
        <v>11622</v>
      </c>
      <c r="L17502">
        <v>0</v>
      </c>
      <c r="M17502">
        <v>2</v>
      </c>
      <c r="N17502">
        <v>15</v>
      </c>
    </row>
    <row r="17503" spans="1:15">
      <c r="A17503" t="s">
        <v>53730</v>
      </c>
      <c r="B17503" t="s">
        <v>14552</v>
      </c>
      <c r="C17503" t="s">
        <v>14551</v>
      </c>
      <c r="D17503" t="s">
        <v>53731</v>
      </c>
      <c r="E17503" t="b">
        <v>0</v>
      </c>
      <c r="F17503" t="s">
        <v>11624</v>
      </c>
      <c r="G17503">
        <v>58.5</v>
      </c>
      <c r="H17503">
        <v>92</v>
      </c>
      <c r="I17503" t="s">
        <v>53732</v>
      </c>
      <c r="L17503">
        <v>0</v>
      </c>
      <c r="M17503">
        <v>0</v>
      </c>
      <c r="N17503">
        <v>0</v>
      </c>
      <c r="O17503" t="s">
        <v>12748</v>
      </c>
    </row>
    <row r="17504" spans="1:15">
      <c r="A17504" t="s">
        <v>53733</v>
      </c>
      <c r="B17504" t="s">
        <v>367</v>
      </c>
      <c r="C17504" t="s">
        <v>53734</v>
      </c>
      <c r="D17504" t="s">
        <v>53735</v>
      </c>
      <c r="E17504" t="b">
        <v>0</v>
      </c>
      <c r="F17504" t="s">
        <v>11624</v>
      </c>
      <c r="G17504">
        <v>2.86972</v>
      </c>
      <c r="H17504">
        <v>116.26</v>
      </c>
      <c r="I17504" t="s">
        <v>53736</v>
      </c>
      <c r="L17504">
        <v>0</v>
      </c>
      <c r="M17504">
        <v>0</v>
      </c>
      <c r="N17504">
        <v>0</v>
      </c>
      <c r="O17504" t="s">
        <v>11768</v>
      </c>
    </row>
    <row r="17505" spans="1:15">
      <c r="A17505" t="s">
        <v>53737</v>
      </c>
      <c r="B17505" t="s">
        <v>367</v>
      </c>
      <c r="C17505" t="s">
        <v>14226</v>
      </c>
      <c r="D17505" t="s">
        <v>53738</v>
      </c>
      <c r="E17505" t="b">
        <v>0</v>
      </c>
      <c r="F17505" t="s">
        <v>11624</v>
      </c>
      <c r="G17505">
        <v>1.38035</v>
      </c>
      <c r="H17505">
        <v>116.089</v>
      </c>
      <c r="I17505" t="s">
        <v>53739</v>
      </c>
      <c r="L17505">
        <v>0</v>
      </c>
      <c r="M17505">
        <v>0</v>
      </c>
      <c r="N17505">
        <v>0</v>
      </c>
      <c r="O17505" t="s">
        <v>11768</v>
      </c>
    </row>
    <row r="17506" spans="1:15">
      <c r="A17506" t="s">
        <v>53740</v>
      </c>
      <c r="B17506" t="s">
        <v>367</v>
      </c>
      <c r="C17506" t="s">
        <v>14226</v>
      </c>
      <c r="D17506" t="s">
        <v>53741</v>
      </c>
      <c r="E17506" t="b">
        <v>0</v>
      </c>
      <c r="F17506" t="s">
        <v>11624</v>
      </c>
      <c r="G17506">
        <v>0.50763000000000003</v>
      </c>
      <c r="H17506">
        <v>115.58799999999999</v>
      </c>
      <c r="I17506" t="s">
        <v>53742</v>
      </c>
      <c r="L17506">
        <v>0</v>
      </c>
      <c r="M17506">
        <v>0</v>
      </c>
      <c r="N17506">
        <v>0</v>
      </c>
      <c r="O17506" t="s">
        <v>11768</v>
      </c>
    </row>
    <row r="17507" spans="1:15">
      <c r="A17507" t="s">
        <v>53743</v>
      </c>
      <c r="B17507" t="s">
        <v>367</v>
      </c>
      <c r="C17507" t="s">
        <v>20170</v>
      </c>
      <c r="D17507" t="s">
        <v>53744</v>
      </c>
      <c r="E17507" t="b">
        <v>0</v>
      </c>
      <c r="F17507" t="s">
        <v>11610</v>
      </c>
      <c r="L17507">
        <v>0</v>
      </c>
      <c r="M17507">
        <v>0</v>
      </c>
      <c r="N17507">
        <v>0</v>
      </c>
    </row>
    <row r="17508" spans="1:15">
      <c r="A17508" t="s">
        <v>53745</v>
      </c>
      <c r="B17508" t="s">
        <v>367</v>
      </c>
      <c r="C17508" t="s">
        <v>20170</v>
      </c>
      <c r="D17508" t="s">
        <v>53746</v>
      </c>
      <c r="E17508" t="b">
        <v>0</v>
      </c>
      <c r="F17508" t="s">
        <v>11610</v>
      </c>
      <c r="L17508">
        <v>0</v>
      </c>
      <c r="M17508">
        <v>0</v>
      </c>
      <c r="N17508">
        <v>0</v>
      </c>
    </row>
    <row r="17509" spans="1:15">
      <c r="A17509" t="s">
        <v>53747</v>
      </c>
      <c r="B17509" t="s">
        <v>367</v>
      </c>
      <c r="C17509" t="s">
        <v>39519</v>
      </c>
      <c r="D17509" t="s">
        <v>53748</v>
      </c>
      <c r="E17509" t="b">
        <v>0</v>
      </c>
      <c r="F17509" t="s">
        <v>11610</v>
      </c>
      <c r="L17509">
        <v>0</v>
      </c>
      <c r="M17509">
        <v>0</v>
      </c>
      <c r="N17509">
        <v>0</v>
      </c>
    </row>
    <row r="17510" spans="1:15">
      <c r="A17510" t="s">
        <v>53749</v>
      </c>
      <c r="B17510" t="s">
        <v>367</v>
      </c>
      <c r="C17510" t="s">
        <v>39519</v>
      </c>
      <c r="D17510" t="s">
        <v>53750</v>
      </c>
      <c r="E17510" t="b">
        <v>0</v>
      </c>
      <c r="F17510" t="s">
        <v>11610</v>
      </c>
      <c r="L17510">
        <v>0</v>
      </c>
      <c r="M17510">
        <v>0</v>
      </c>
      <c r="N17510">
        <v>0</v>
      </c>
    </row>
    <row r="17511" spans="1:15">
      <c r="A17511" t="s">
        <v>53751</v>
      </c>
      <c r="B17511" t="s">
        <v>367</v>
      </c>
      <c r="C17511" t="s">
        <v>39519</v>
      </c>
      <c r="D17511" t="s">
        <v>53752</v>
      </c>
      <c r="E17511" t="b">
        <v>0</v>
      </c>
      <c r="F17511" t="s">
        <v>11610</v>
      </c>
      <c r="L17511">
        <v>0</v>
      </c>
      <c r="M17511">
        <v>0</v>
      </c>
      <c r="N17511">
        <v>0</v>
      </c>
    </row>
    <row r="17512" spans="1:15">
      <c r="A17512" t="s">
        <v>53753</v>
      </c>
      <c r="B17512" t="s">
        <v>11627</v>
      </c>
      <c r="C17512" t="s">
        <v>11627</v>
      </c>
      <c r="D17512" t="s">
        <v>53754</v>
      </c>
      <c r="E17512" t="b">
        <v>1</v>
      </c>
      <c r="F17512" t="s">
        <v>11624</v>
      </c>
      <c r="G17512">
        <v>3.1014300000000001</v>
      </c>
      <c r="H17512">
        <v>116.251</v>
      </c>
      <c r="I17512" t="s">
        <v>53755</v>
      </c>
      <c r="L17512">
        <v>0</v>
      </c>
      <c r="M17512">
        <v>0</v>
      </c>
      <c r="N17512">
        <v>0</v>
      </c>
      <c r="O17512" t="s">
        <v>11768</v>
      </c>
    </row>
    <row r="17513" spans="1:15">
      <c r="A17513" t="s">
        <v>53756</v>
      </c>
      <c r="B17513" t="s">
        <v>367</v>
      </c>
      <c r="C17513" t="s">
        <v>53734</v>
      </c>
      <c r="D17513" t="s">
        <v>53757</v>
      </c>
      <c r="E17513" t="b">
        <v>0</v>
      </c>
      <c r="F17513" t="s">
        <v>11624</v>
      </c>
      <c r="G17513">
        <v>2.2737699999999998</v>
      </c>
      <c r="H17513">
        <v>113.15600000000001</v>
      </c>
      <c r="I17513" t="s">
        <v>53758</v>
      </c>
      <c r="L17513">
        <v>0</v>
      </c>
      <c r="M17513">
        <v>0</v>
      </c>
      <c r="N17513">
        <v>2</v>
      </c>
      <c r="O17513" t="s">
        <v>11672</v>
      </c>
    </row>
    <row r="17514" spans="1:15">
      <c r="A17514" t="s">
        <v>53759</v>
      </c>
      <c r="B17514" t="s">
        <v>367</v>
      </c>
      <c r="C17514" t="s">
        <v>53756</v>
      </c>
      <c r="D17514" t="s">
        <v>53760</v>
      </c>
      <c r="E17514" t="b">
        <v>0</v>
      </c>
      <c r="F17514" t="s">
        <v>11610</v>
      </c>
      <c r="L17514">
        <v>0</v>
      </c>
      <c r="M17514">
        <v>0</v>
      </c>
      <c r="N17514">
        <v>0</v>
      </c>
    </row>
    <row r="17515" spans="1:15">
      <c r="A17515" t="s">
        <v>53761</v>
      </c>
      <c r="B17515" t="s">
        <v>367</v>
      </c>
      <c r="C17515" t="s">
        <v>53756</v>
      </c>
      <c r="D17515" t="s">
        <v>53762</v>
      </c>
      <c r="E17515" t="b">
        <v>0</v>
      </c>
      <c r="F17515" t="s">
        <v>11610</v>
      </c>
      <c r="L17515">
        <v>0</v>
      </c>
      <c r="M17515">
        <v>0</v>
      </c>
      <c r="N17515">
        <v>0</v>
      </c>
    </row>
    <row r="17516" spans="1:15">
      <c r="A17516" t="s">
        <v>53763</v>
      </c>
      <c r="B17516" t="s">
        <v>367</v>
      </c>
      <c r="C17516" t="s">
        <v>14226</v>
      </c>
      <c r="D17516" t="s">
        <v>53764</v>
      </c>
      <c r="E17516" t="b">
        <v>0</v>
      </c>
      <c r="F17516" t="s">
        <v>11624</v>
      </c>
      <c r="G17516">
        <v>2.65327</v>
      </c>
      <c r="H17516">
        <v>113.93</v>
      </c>
      <c r="I17516" t="s">
        <v>53765</v>
      </c>
      <c r="L17516">
        <v>0</v>
      </c>
      <c r="M17516">
        <v>0</v>
      </c>
      <c r="N17516">
        <v>0</v>
      </c>
      <c r="O17516" t="s">
        <v>11672</v>
      </c>
    </row>
    <row r="17517" spans="1:15">
      <c r="A17517" t="s">
        <v>45698</v>
      </c>
      <c r="B17517" t="s">
        <v>367</v>
      </c>
      <c r="C17517" t="s">
        <v>34252</v>
      </c>
      <c r="D17517" t="s">
        <v>53766</v>
      </c>
      <c r="E17517" t="b">
        <v>0</v>
      </c>
      <c r="F17517" t="s">
        <v>11622</v>
      </c>
      <c r="L17517">
        <v>5</v>
      </c>
      <c r="M17517">
        <v>13</v>
      </c>
      <c r="N17517">
        <v>12</v>
      </c>
    </row>
    <row r="17518" spans="1:15">
      <c r="A17518" t="s">
        <v>14227</v>
      </c>
      <c r="B17518" t="s">
        <v>367</v>
      </c>
      <c r="C17518" t="s">
        <v>45698</v>
      </c>
      <c r="D17518" t="s">
        <v>53767</v>
      </c>
      <c r="E17518" t="b">
        <v>0</v>
      </c>
      <c r="F17518" t="s">
        <v>11622</v>
      </c>
      <c r="L17518">
        <v>3</v>
      </c>
      <c r="M17518">
        <v>10</v>
      </c>
      <c r="N17518">
        <v>8</v>
      </c>
    </row>
    <row r="17519" spans="1:15">
      <c r="A17519" t="s">
        <v>53734</v>
      </c>
      <c r="B17519" t="s">
        <v>367</v>
      </c>
      <c r="C17519" t="s">
        <v>14227</v>
      </c>
      <c r="D17519" t="s">
        <v>53768</v>
      </c>
      <c r="E17519" t="b">
        <v>0</v>
      </c>
      <c r="F17519" t="s">
        <v>11622</v>
      </c>
      <c r="L17519">
        <v>0</v>
      </c>
      <c r="M17519">
        <v>3</v>
      </c>
      <c r="N17519">
        <v>6</v>
      </c>
    </row>
    <row r="17520" spans="1:15">
      <c r="A17520" t="s">
        <v>53769</v>
      </c>
      <c r="B17520" t="s">
        <v>11637</v>
      </c>
      <c r="C17520" t="s">
        <v>8026</v>
      </c>
      <c r="D17520" t="s">
        <v>53770</v>
      </c>
      <c r="E17520" t="b">
        <v>0</v>
      </c>
      <c r="F17520" t="s">
        <v>11610</v>
      </c>
      <c r="L17520">
        <v>0</v>
      </c>
      <c r="M17520">
        <v>0</v>
      </c>
      <c r="N17520">
        <v>0</v>
      </c>
    </row>
    <row r="17521" spans="1:15">
      <c r="A17521" t="s">
        <v>53771</v>
      </c>
      <c r="B17521" t="s">
        <v>12532</v>
      </c>
      <c r="C17521" t="s">
        <v>53772</v>
      </c>
      <c r="D17521" t="s">
        <v>53773</v>
      </c>
      <c r="E17521" t="b">
        <v>0</v>
      </c>
      <c r="F17521" t="s">
        <v>11610</v>
      </c>
      <c r="L17521">
        <v>0</v>
      </c>
      <c r="M17521">
        <v>0</v>
      </c>
      <c r="N17521">
        <v>0</v>
      </c>
    </row>
    <row r="17522" spans="1:15">
      <c r="A17522" t="s">
        <v>53774</v>
      </c>
      <c r="B17522" t="s">
        <v>705</v>
      </c>
      <c r="C17522" t="s">
        <v>705</v>
      </c>
      <c r="D17522" t="s">
        <v>53775</v>
      </c>
      <c r="E17522" t="b">
        <v>0</v>
      </c>
      <c r="F17522" t="s">
        <v>11610</v>
      </c>
      <c r="L17522">
        <v>0</v>
      </c>
      <c r="M17522">
        <v>0</v>
      </c>
      <c r="N17522">
        <v>0</v>
      </c>
    </row>
    <row r="17523" spans="1:15">
      <c r="A17523" t="s">
        <v>53776</v>
      </c>
      <c r="B17523" t="s">
        <v>11637</v>
      </c>
      <c r="C17523" t="s">
        <v>15872</v>
      </c>
      <c r="D17523" t="s">
        <v>53777</v>
      </c>
      <c r="E17523" t="b">
        <v>0</v>
      </c>
      <c r="F17523" t="s">
        <v>11610</v>
      </c>
      <c r="L17523">
        <v>0</v>
      </c>
      <c r="M17523">
        <v>0</v>
      </c>
      <c r="N17523">
        <v>0</v>
      </c>
    </row>
    <row r="17524" spans="1:15">
      <c r="A17524" t="s">
        <v>47053</v>
      </c>
      <c r="B17524" t="s">
        <v>11607</v>
      </c>
      <c r="C17524" t="s">
        <v>52927</v>
      </c>
      <c r="D17524" t="s">
        <v>53778</v>
      </c>
      <c r="E17524" t="b">
        <v>0</v>
      </c>
      <c r="F17524" t="s">
        <v>11624</v>
      </c>
      <c r="G17524">
        <v>36.527295000000002</v>
      </c>
      <c r="H17524">
        <v>10.356444</v>
      </c>
      <c r="I17524" t="s">
        <v>53779</v>
      </c>
      <c r="L17524">
        <v>0</v>
      </c>
      <c r="M17524">
        <v>0</v>
      </c>
      <c r="N17524">
        <v>1</v>
      </c>
      <c r="O17524" t="s">
        <v>40243</v>
      </c>
    </row>
    <row r="17525" spans="1:15">
      <c r="A17525" t="s">
        <v>20890</v>
      </c>
      <c r="B17525" t="s">
        <v>141</v>
      </c>
      <c r="C17525" t="s">
        <v>143</v>
      </c>
      <c r="D17525" t="s">
        <v>53780</v>
      </c>
      <c r="E17525" t="b">
        <v>0</v>
      </c>
      <c r="F17525" t="s">
        <v>11624</v>
      </c>
      <c r="G17525">
        <v>-14.608000000000001</v>
      </c>
      <c r="H17525">
        <v>-70.208399999999997</v>
      </c>
      <c r="I17525" t="s">
        <v>53781</v>
      </c>
      <c r="L17525">
        <v>0</v>
      </c>
      <c r="M17525">
        <v>0</v>
      </c>
      <c r="N17525">
        <v>1</v>
      </c>
      <c r="O17525" t="s">
        <v>11778</v>
      </c>
    </row>
    <row r="17526" spans="1:15">
      <c r="A17526" t="s">
        <v>53782</v>
      </c>
      <c r="B17526" t="s">
        <v>10597</v>
      </c>
      <c r="C17526" t="s">
        <v>15730</v>
      </c>
      <c r="D17526" t="s">
        <v>53783</v>
      </c>
      <c r="E17526" t="b">
        <v>0</v>
      </c>
      <c r="F17526" t="s">
        <v>11610</v>
      </c>
      <c r="G17526">
        <v>-27.33</v>
      </c>
      <c r="H17526">
        <v>143</v>
      </c>
      <c r="I17526" t="s">
        <v>53784</v>
      </c>
      <c r="L17526">
        <v>0</v>
      </c>
      <c r="M17526">
        <v>0</v>
      </c>
      <c r="N17526">
        <v>0</v>
      </c>
    </row>
    <row r="17527" spans="1:15">
      <c r="A17527" t="s">
        <v>53785</v>
      </c>
      <c r="B17527" t="s">
        <v>6742</v>
      </c>
      <c r="C17527" t="s">
        <v>53786</v>
      </c>
      <c r="D17527" t="s">
        <v>53787</v>
      </c>
      <c r="E17527" t="b">
        <v>0</v>
      </c>
      <c r="F17527" t="s">
        <v>11624</v>
      </c>
      <c r="G17527">
        <v>-2.6736200000000001</v>
      </c>
      <c r="H17527">
        <v>11.6714</v>
      </c>
      <c r="I17527" t="s">
        <v>53788</v>
      </c>
      <c r="L17527">
        <v>0</v>
      </c>
      <c r="M17527">
        <v>0</v>
      </c>
      <c r="N17527">
        <v>0</v>
      </c>
      <c r="O17527" t="s">
        <v>20784</v>
      </c>
    </row>
    <row r="17528" spans="1:15">
      <c r="A17528" t="s">
        <v>53786</v>
      </c>
      <c r="B17528" t="s">
        <v>6742</v>
      </c>
      <c r="C17528" t="s">
        <v>53789</v>
      </c>
      <c r="D17528" t="s">
        <v>53790</v>
      </c>
      <c r="E17528" t="b">
        <v>0</v>
      </c>
      <c r="F17528" t="s">
        <v>11622</v>
      </c>
      <c r="L17528">
        <v>0</v>
      </c>
      <c r="M17528">
        <v>2</v>
      </c>
      <c r="N17528">
        <v>0</v>
      </c>
    </row>
    <row r="17529" spans="1:15">
      <c r="A17529" t="s">
        <v>53791</v>
      </c>
      <c r="B17529" t="s">
        <v>12438</v>
      </c>
      <c r="C17529" t="s">
        <v>52904</v>
      </c>
      <c r="D17529" t="s">
        <v>53792</v>
      </c>
      <c r="E17529" t="b">
        <v>0</v>
      </c>
      <c r="F17529" t="s">
        <v>11624</v>
      </c>
      <c r="G17529">
        <v>20.886199999999999</v>
      </c>
      <c r="H17529">
        <v>103.931</v>
      </c>
      <c r="I17529" t="s">
        <v>53793</v>
      </c>
      <c r="L17529">
        <v>0</v>
      </c>
      <c r="M17529">
        <v>0</v>
      </c>
      <c r="N17529">
        <v>0</v>
      </c>
      <c r="O17529" t="s">
        <v>14464</v>
      </c>
    </row>
    <row r="17530" spans="1:15">
      <c r="A17530" t="s">
        <v>53794</v>
      </c>
      <c r="B17530" t="s">
        <v>15162</v>
      </c>
      <c r="C17530" t="s">
        <v>15163</v>
      </c>
      <c r="D17530" t="s">
        <v>53795</v>
      </c>
      <c r="E17530" t="b">
        <v>0</v>
      </c>
      <c r="F17530" t="s">
        <v>11610</v>
      </c>
      <c r="L17530">
        <v>0</v>
      </c>
      <c r="M17530">
        <v>0</v>
      </c>
      <c r="N17530">
        <v>0</v>
      </c>
    </row>
    <row r="17531" spans="1:15">
      <c r="A17531" t="s">
        <v>53796</v>
      </c>
      <c r="D17531" t="s">
        <v>53797</v>
      </c>
      <c r="E17531" t="b">
        <v>0</v>
      </c>
      <c r="F17531" t="s">
        <v>11624</v>
      </c>
      <c r="G17531">
        <v>-15.8992</v>
      </c>
      <c r="H17531">
        <v>-69.961100000000002</v>
      </c>
      <c r="I17531" t="s">
        <v>53798</v>
      </c>
      <c r="L17531">
        <v>0</v>
      </c>
      <c r="M17531">
        <v>0</v>
      </c>
      <c r="N17531">
        <v>0</v>
      </c>
      <c r="O17531" t="s">
        <v>11778</v>
      </c>
    </row>
    <row r="17532" spans="1:15">
      <c r="A17532" t="s">
        <v>53799</v>
      </c>
      <c r="B17532" t="s">
        <v>14314</v>
      </c>
      <c r="C17532" t="s">
        <v>14314</v>
      </c>
      <c r="D17532" t="s">
        <v>53800</v>
      </c>
      <c r="E17532" t="b">
        <v>0</v>
      </c>
      <c r="F17532" t="s">
        <v>11624</v>
      </c>
      <c r="G17532">
        <v>-2.0577899999999998</v>
      </c>
      <c r="H17532">
        <v>132.304</v>
      </c>
      <c r="I17532" t="s">
        <v>53801</v>
      </c>
      <c r="L17532">
        <v>0</v>
      </c>
      <c r="M17532">
        <v>0</v>
      </c>
      <c r="N17532">
        <v>0</v>
      </c>
      <c r="O17532" t="s">
        <v>11768</v>
      </c>
    </row>
    <row r="17533" spans="1:15">
      <c r="A17533" t="s">
        <v>53802</v>
      </c>
      <c r="B17533" t="s">
        <v>367</v>
      </c>
      <c r="C17533" t="s">
        <v>12638</v>
      </c>
      <c r="D17533" t="s">
        <v>53803</v>
      </c>
      <c r="E17533" t="b">
        <v>0</v>
      </c>
      <c r="F17533" t="s">
        <v>11610</v>
      </c>
      <c r="L17533">
        <v>0</v>
      </c>
      <c r="M17533">
        <v>0</v>
      </c>
      <c r="N17533">
        <v>0</v>
      </c>
    </row>
    <row r="17534" spans="1:15">
      <c r="A17534" t="s">
        <v>31837</v>
      </c>
      <c r="D17534" t="s">
        <v>53804</v>
      </c>
      <c r="E17534" t="b">
        <v>0</v>
      </c>
      <c r="F17534" t="s">
        <v>11624</v>
      </c>
      <c r="G17534">
        <v>-7.5913300000000001</v>
      </c>
      <c r="H17534">
        <v>145.036</v>
      </c>
      <c r="I17534" t="s">
        <v>53805</v>
      </c>
      <c r="L17534">
        <v>0</v>
      </c>
      <c r="M17534">
        <v>0</v>
      </c>
      <c r="N17534">
        <v>1</v>
      </c>
      <c r="O17534" t="s">
        <v>11660</v>
      </c>
    </row>
    <row r="17535" spans="1:15">
      <c r="A17535" t="s">
        <v>53806</v>
      </c>
      <c r="B17535" t="s">
        <v>11839</v>
      </c>
      <c r="C17535" t="s">
        <v>14213</v>
      </c>
      <c r="D17535" t="s">
        <v>53807</v>
      </c>
      <c r="E17535" t="b">
        <v>0</v>
      </c>
      <c r="F17535" t="s">
        <v>11610</v>
      </c>
      <c r="L17535">
        <v>0</v>
      </c>
      <c r="M17535">
        <v>0</v>
      </c>
      <c r="N17535">
        <v>0</v>
      </c>
    </row>
    <row r="17536" spans="1:15">
      <c r="A17536" t="s">
        <v>53808</v>
      </c>
      <c r="B17536" t="s">
        <v>11644</v>
      </c>
      <c r="C17536" t="s">
        <v>28669</v>
      </c>
      <c r="D17536" t="s">
        <v>53809</v>
      </c>
      <c r="E17536" t="b">
        <v>0</v>
      </c>
      <c r="F17536" t="s">
        <v>11610</v>
      </c>
      <c r="L17536">
        <v>0</v>
      </c>
      <c r="M17536">
        <v>0</v>
      </c>
      <c r="N17536">
        <v>0</v>
      </c>
    </row>
    <row r="17537" spans="1:15">
      <c r="A17537" t="s">
        <v>53810</v>
      </c>
      <c r="B17537" t="s">
        <v>11637</v>
      </c>
      <c r="C17537" t="s">
        <v>17897</v>
      </c>
      <c r="D17537" t="s">
        <v>53811</v>
      </c>
      <c r="E17537" t="b">
        <v>0</v>
      </c>
      <c r="F17537" t="s">
        <v>11610</v>
      </c>
      <c r="L17537">
        <v>0</v>
      </c>
      <c r="M17537">
        <v>0</v>
      </c>
      <c r="N17537">
        <v>0</v>
      </c>
    </row>
    <row r="17538" spans="1:15">
      <c r="A17538" t="s">
        <v>6558</v>
      </c>
      <c r="B17538" t="s">
        <v>53812</v>
      </c>
      <c r="C17538" t="s">
        <v>53812</v>
      </c>
      <c r="D17538" t="s">
        <v>53813</v>
      </c>
      <c r="E17538" t="b">
        <v>0</v>
      </c>
      <c r="F17538" t="s">
        <v>11624</v>
      </c>
      <c r="G17538">
        <v>19.246700000000001</v>
      </c>
      <c r="H17538">
        <v>-101.631</v>
      </c>
      <c r="I17538" t="s">
        <v>6559</v>
      </c>
      <c r="L17538">
        <v>0</v>
      </c>
      <c r="M17538">
        <v>0</v>
      </c>
      <c r="N17538">
        <v>0</v>
      </c>
      <c r="O17538" t="s">
        <v>12238</v>
      </c>
    </row>
    <row r="17539" spans="1:15">
      <c r="A17539" t="s">
        <v>53814</v>
      </c>
      <c r="B17539" t="s">
        <v>11644</v>
      </c>
      <c r="C17539" t="s">
        <v>16351</v>
      </c>
      <c r="D17539" t="s">
        <v>53815</v>
      </c>
      <c r="E17539" t="b">
        <v>0</v>
      </c>
      <c r="F17539" t="s">
        <v>11624</v>
      </c>
      <c r="G17539">
        <v>34.3386</v>
      </c>
      <c r="H17539">
        <v>76.012699999999995</v>
      </c>
      <c r="I17539" t="s">
        <v>53816</v>
      </c>
      <c r="L17539">
        <v>0</v>
      </c>
      <c r="M17539">
        <v>0</v>
      </c>
      <c r="N17539">
        <v>0</v>
      </c>
      <c r="O17539" t="s">
        <v>15870</v>
      </c>
    </row>
    <row r="17540" spans="1:15">
      <c r="A17540" t="s">
        <v>53817</v>
      </c>
      <c r="B17540" t="s">
        <v>16997</v>
      </c>
      <c r="C17540" t="s">
        <v>16998</v>
      </c>
      <c r="D17540" t="s">
        <v>53818</v>
      </c>
      <c r="E17540" t="b">
        <v>0</v>
      </c>
      <c r="F17540" t="s">
        <v>11624</v>
      </c>
      <c r="G17540">
        <v>34.686599999999999</v>
      </c>
      <c r="H17540">
        <v>-120.431</v>
      </c>
      <c r="I17540" t="s">
        <v>53819</v>
      </c>
      <c r="L17540">
        <v>0</v>
      </c>
      <c r="M17540">
        <v>0</v>
      </c>
      <c r="N17540">
        <v>0</v>
      </c>
      <c r="O17540" t="s">
        <v>11944</v>
      </c>
    </row>
    <row r="17541" spans="1:15">
      <c r="A17541" t="s">
        <v>23452</v>
      </c>
      <c r="D17541" t="s">
        <v>53820</v>
      </c>
      <c r="E17541" t="b">
        <v>0</v>
      </c>
      <c r="F17541" t="s">
        <v>11622</v>
      </c>
      <c r="L17541">
        <v>0</v>
      </c>
      <c r="M17541">
        <v>2</v>
      </c>
      <c r="N17541">
        <v>0</v>
      </c>
    </row>
    <row r="17542" spans="1:15">
      <c r="A17542" t="s">
        <v>53821</v>
      </c>
      <c r="B17542" t="s">
        <v>23452</v>
      </c>
      <c r="C17542" t="s">
        <v>23452</v>
      </c>
      <c r="D17542" t="s">
        <v>53822</v>
      </c>
      <c r="E17542" t="b">
        <v>0</v>
      </c>
      <c r="F17542" t="s">
        <v>11624</v>
      </c>
      <c r="G17542">
        <v>-22.175626999999999</v>
      </c>
      <c r="H17542">
        <v>-44.711336000000003</v>
      </c>
      <c r="I17542" t="s">
        <v>53823</v>
      </c>
      <c r="L17542">
        <v>0</v>
      </c>
      <c r="M17542">
        <v>0</v>
      </c>
      <c r="N17542">
        <v>0</v>
      </c>
      <c r="O17542" t="s">
        <v>11969</v>
      </c>
    </row>
    <row r="17543" spans="1:15">
      <c r="A17543" t="s">
        <v>53824</v>
      </c>
      <c r="B17543" t="s">
        <v>11757</v>
      </c>
      <c r="C17543" t="s">
        <v>216</v>
      </c>
      <c r="D17543" t="s">
        <v>53825</v>
      </c>
      <c r="E17543" t="b">
        <v>0</v>
      </c>
      <c r="F17543" t="s">
        <v>11610</v>
      </c>
      <c r="L17543">
        <v>0</v>
      </c>
      <c r="M17543">
        <v>0</v>
      </c>
      <c r="N17543">
        <v>0</v>
      </c>
    </row>
    <row r="17544" spans="1:15">
      <c r="A17544" t="s">
        <v>53826</v>
      </c>
      <c r="B17544" t="s">
        <v>11644</v>
      </c>
      <c r="C17544" t="s">
        <v>34607</v>
      </c>
      <c r="D17544" t="s">
        <v>53827</v>
      </c>
      <c r="E17544" t="b">
        <v>0</v>
      </c>
      <c r="F17544" t="s">
        <v>11622</v>
      </c>
      <c r="L17544">
        <v>0</v>
      </c>
      <c r="M17544">
        <v>2</v>
      </c>
      <c r="N17544">
        <v>8</v>
      </c>
    </row>
    <row r="17545" spans="1:15">
      <c r="A17545" t="s">
        <v>53828</v>
      </c>
      <c r="B17545" t="s">
        <v>11644</v>
      </c>
      <c r="C17545" t="s">
        <v>36760</v>
      </c>
      <c r="D17545" t="s">
        <v>53829</v>
      </c>
      <c r="E17545" t="b">
        <v>0</v>
      </c>
      <c r="F17545" t="s">
        <v>11610</v>
      </c>
      <c r="L17545">
        <v>0</v>
      </c>
      <c r="M17545">
        <v>0</v>
      </c>
      <c r="N17545">
        <v>0</v>
      </c>
    </row>
    <row r="17546" spans="1:15">
      <c r="A17546" t="s">
        <v>53830</v>
      </c>
      <c r="B17546" t="s">
        <v>11627</v>
      </c>
      <c r="C17546" t="s">
        <v>11627</v>
      </c>
      <c r="D17546" t="s">
        <v>53831</v>
      </c>
      <c r="E17546" t="b">
        <v>1</v>
      </c>
      <c r="F17546" t="s">
        <v>11624</v>
      </c>
      <c r="G17546">
        <v>24.661999999999999</v>
      </c>
      <c r="H17546">
        <v>93.981999999999999</v>
      </c>
      <c r="I17546" t="s">
        <v>53832</v>
      </c>
      <c r="L17546">
        <v>0</v>
      </c>
      <c r="M17546">
        <v>0</v>
      </c>
      <c r="N17546">
        <v>0</v>
      </c>
      <c r="O17546" t="s">
        <v>11630</v>
      </c>
    </row>
    <row r="17547" spans="1:15">
      <c r="A17547" t="s">
        <v>53833</v>
      </c>
      <c r="B17547" t="s">
        <v>367</v>
      </c>
      <c r="C17547" t="s">
        <v>12638</v>
      </c>
      <c r="D17547" t="s">
        <v>53834</v>
      </c>
      <c r="E17547" t="b">
        <v>0</v>
      </c>
      <c r="F17547" t="s">
        <v>11610</v>
      </c>
      <c r="L17547">
        <v>0</v>
      </c>
      <c r="M17547">
        <v>0</v>
      </c>
      <c r="N17547">
        <v>0</v>
      </c>
    </row>
    <row r="17548" spans="1:15">
      <c r="A17548" t="s">
        <v>53835</v>
      </c>
      <c r="B17548" t="s">
        <v>11912</v>
      </c>
      <c r="C17548" t="s">
        <v>53836</v>
      </c>
      <c r="D17548" t="s">
        <v>53837</v>
      </c>
      <c r="E17548" t="b">
        <v>0</v>
      </c>
      <c r="F17548" t="s">
        <v>11624</v>
      </c>
      <c r="G17548">
        <v>-11.422599999999999</v>
      </c>
      <c r="H17548">
        <v>-62.4358</v>
      </c>
      <c r="I17548" t="s">
        <v>53838</v>
      </c>
      <c r="L17548">
        <v>0</v>
      </c>
      <c r="M17548">
        <v>0</v>
      </c>
      <c r="N17548">
        <v>0</v>
      </c>
      <c r="O17548" t="s">
        <v>11969</v>
      </c>
    </row>
    <row r="17549" spans="1:15">
      <c r="A17549" t="s">
        <v>14219</v>
      </c>
      <c r="B17549" t="s">
        <v>11894</v>
      </c>
      <c r="C17549" t="s">
        <v>19274</v>
      </c>
      <c r="D17549" t="s">
        <v>53839</v>
      </c>
      <c r="E17549" t="b">
        <v>0</v>
      </c>
      <c r="F17549" t="s">
        <v>11622</v>
      </c>
      <c r="L17549">
        <v>3</v>
      </c>
      <c r="M17549">
        <v>6</v>
      </c>
      <c r="N17549">
        <v>2</v>
      </c>
    </row>
    <row r="17550" spans="1:15">
      <c r="A17550" t="s">
        <v>53840</v>
      </c>
      <c r="B17550" t="s">
        <v>11644</v>
      </c>
      <c r="C17550" t="s">
        <v>36159</v>
      </c>
      <c r="D17550" t="s">
        <v>53841</v>
      </c>
      <c r="E17550" t="b">
        <v>0</v>
      </c>
      <c r="F17550" t="s">
        <v>11624</v>
      </c>
      <c r="G17550">
        <v>25.3887</v>
      </c>
      <c r="H17550">
        <v>95.093500000000006</v>
      </c>
      <c r="I17550" t="s">
        <v>53842</v>
      </c>
      <c r="L17550">
        <v>0</v>
      </c>
      <c r="M17550">
        <v>0</v>
      </c>
      <c r="N17550">
        <v>0</v>
      </c>
      <c r="O17550" t="s">
        <v>14059</v>
      </c>
    </row>
    <row r="17551" spans="1:15">
      <c r="A17551" t="s">
        <v>53843</v>
      </c>
      <c r="B17551" t="s">
        <v>13360</v>
      </c>
      <c r="C17551" t="s">
        <v>13360</v>
      </c>
      <c r="D17551" t="s">
        <v>53844</v>
      </c>
      <c r="E17551" t="b">
        <v>0</v>
      </c>
      <c r="F17551" t="s">
        <v>11624</v>
      </c>
      <c r="L17551">
        <v>0</v>
      </c>
      <c r="M17551">
        <v>0</v>
      </c>
      <c r="N17551">
        <v>0</v>
      </c>
      <c r="O17551" t="s">
        <v>14946</v>
      </c>
    </row>
    <row r="17552" spans="1:15">
      <c r="A17552" t="s">
        <v>53836</v>
      </c>
      <c r="B17552" t="s">
        <v>11912</v>
      </c>
      <c r="C17552" t="s">
        <v>11912</v>
      </c>
      <c r="D17552" t="s">
        <v>53845</v>
      </c>
      <c r="E17552" t="b">
        <v>0</v>
      </c>
      <c r="F17552" t="s">
        <v>11622</v>
      </c>
      <c r="L17552">
        <v>1</v>
      </c>
      <c r="M17552">
        <v>3</v>
      </c>
      <c r="N17552">
        <v>1</v>
      </c>
    </row>
    <row r="17553" spans="1:15">
      <c r="A17553" t="s">
        <v>53846</v>
      </c>
      <c r="B17553" t="s">
        <v>367</v>
      </c>
      <c r="C17553" t="s">
        <v>16690</v>
      </c>
      <c r="D17553" t="s">
        <v>53847</v>
      </c>
      <c r="E17553" t="b">
        <v>0</v>
      </c>
      <c r="F17553" t="s">
        <v>11610</v>
      </c>
      <c r="L17553">
        <v>0</v>
      </c>
      <c r="M17553">
        <v>0</v>
      </c>
      <c r="N17553">
        <v>0</v>
      </c>
    </row>
    <row r="17554" spans="1:15">
      <c r="A17554" t="s">
        <v>53848</v>
      </c>
      <c r="B17554" t="s">
        <v>11607</v>
      </c>
      <c r="C17554" t="s">
        <v>20453</v>
      </c>
      <c r="D17554" t="s">
        <v>53849</v>
      </c>
      <c r="E17554" t="b">
        <v>0</v>
      </c>
      <c r="F17554" t="s">
        <v>11624</v>
      </c>
      <c r="G17554">
        <v>10.83854</v>
      </c>
      <c r="H17554">
        <v>12.99521</v>
      </c>
      <c r="I17554" t="s">
        <v>53850</v>
      </c>
      <c r="L17554">
        <v>0</v>
      </c>
      <c r="M17554">
        <v>0</v>
      </c>
      <c r="N17554">
        <v>0</v>
      </c>
      <c r="O17554" t="s">
        <v>11693</v>
      </c>
    </row>
    <row r="17555" spans="1:15">
      <c r="A17555" t="s">
        <v>53851</v>
      </c>
      <c r="B17555" t="s">
        <v>11644</v>
      </c>
      <c r="C17555" t="s">
        <v>30997</v>
      </c>
      <c r="D17555" t="s">
        <v>53852</v>
      </c>
      <c r="E17555" t="b">
        <v>0</v>
      </c>
      <c r="F17555" t="s">
        <v>11610</v>
      </c>
      <c r="L17555">
        <v>0</v>
      </c>
      <c r="M17555">
        <v>0</v>
      </c>
      <c r="N17555">
        <v>0</v>
      </c>
    </row>
    <row r="17556" spans="1:15">
      <c r="A17556" t="s">
        <v>53853</v>
      </c>
      <c r="B17556" t="s">
        <v>11627</v>
      </c>
      <c r="C17556" t="s">
        <v>11627</v>
      </c>
      <c r="D17556" t="s">
        <v>53854</v>
      </c>
      <c r="E17556" t="b">
        <v>1</v>
      </c>
      <c r="F17556" t="s">
        <v>11624</v>
      </c>
      <c r="G17556">
        <v>3.4246699999999999</v>
      </c>
      <c r="H17556">
        <v>116.443</v>
      </c>
      <c r="I17556" t="s">
        <v>53855</v>
      </c>
      <c r="L17556">
        <v>0</v>
      </c>
      <c r="M17556">
        <v>0</v>
      </c>
      <c r="N17556">
        <v>0</v>
      </c>
      <c r="O17556" t="s">
        <v>11768</v>
      </c>
    </row>
    <row r="17557" spans="1:15">
      <c r="A17557" t="s">
        <v>53856</v>
      </c>
      <c r="B17557" t="s">
        <v>6742</v>
      </c>
      <c r="C17557" t="s">
        <v>34371</v>
      </c>
      <c r="D17557" t="s">
        <v>53857</v>
      </c>
      <c r="E17557" t="b">
        <v>0</v>
      </c>
      <c r="F17557" t="s">
        <v>11610</v>
      </c>
      <c r="L17557">
        <v>0</v>
      </c>
      <c r="M17557">
        <v>0</v>
      </c>
      <c r="N17557">
        <v>0</v>
      </c>
    </row>
    <row r="17558" spans="1:15">
      <c r="A17558" t="s">
        <v>12225</v>
      </c>
      <c r="B17558" t="s">
        <v>6742</v>
      </c>
      <c r="C17558" t="s">
        <v>12997</v>
      </c>
      <c r="D17558" t="s">
        <v>53858</v>
      </c>
      <c r="E17558" t="b">
        <v>0</v>
      </c>
      <c r="F17558" t="s">
        <v>11624</v>
      </c>
      <c r="G17558">
        <v>6.65923</v>
      </c>
      <c r="H17558">
        <v>8.9604099999999995</v>
      </c>
      <c r="I17558" t="s">
        <v>53859</v>
      </c>
      <c r="L17558">
        <v>0</v>
      </c>
      <c r="M17558">
        <v>0</v>
      </c>
      <c r="N17558">
        <v>6</v>
      </c>
      <c r="O17558" t="s">
        <v>11693</v>
      </c>
    </row>
    <row r="17559" spans="1:15">
      <c r="A17559" t="s">
        <v>53860</v>
      </c>
      <c r="B17559" t="s">
        <v>6742</v>
      </c>
      <c r="C17559" t="s">
        <v>33700</v>
      </c>
      <c r="D17559" t="s">
        <v>53861</v>
      </c>
      <c r="E17559" t="b">
        <v>0</v>
      </c>
      <c r="F17559" t="s">
        <v>11610</v>
      </c>
      <c r="L17559">
        <v>0</v>
      </c>
      <c r="M17559">
        <v>0</v>
      </c>
      <c r="N17559">
        <v>0</v>
      </c>
    </row>
    <row r="17560" spans="1:15">
      <c r="A17560" t="s">
        <v>53862</v>
      </c>
      <c r="B17560" t="s">
        <v>11627</v>
      </c>
      <c r="C17560" t="s">
        <v>11627</v>
      </c>
      <c r="D17560" t="s">
        <v>53863</v>
      </c>
      <c r="E17560" t="b">
        <v>1</v>
      </c>
      <c r="F17560" t="s">
        <v>11624</v>
      </c>
      <c r="I17560" t="s">
        <v>53864</v>
      </c>
      <c r="L17560">
        <v>0</v>
      </c>
      <c r="M17560">
        <v>0</v>
      </c>
      <c r="N17560">
        <v>0</v>
      </c>
    </row>
    <row r="17561" spans="1:15">
      <c r="A17561" t="s">
        <v>53865</v>
      </c>
      <c r="B17561" t="s">
        <v>11644</v>
      </c>
      <c r="C17561" t="s">
        <v>24298</v>
      </c>
      <c r="D17561" t="s">
        <v>53866</v>
      </c>
      <c r="E17561" t="b">
        <v>0</v>
      </c>
      <c r="F17561" t="s">
        <v>11610</v>
      </c>
      <c r="L17561">
        <v>0</v>
      </c>
      <c r="M17561">
        <v>0</v>
      </c>
      <c r="N17561">
        <v>0</v>
      </c>
    </row>
    <row r="17562" spans="1:15">
      <c r="A17562" t="s">
        <v>30997</v>
      </c>
      <c r="B17562" t="s">
        <v>11644</v>
      </c>
      <c r="C17562" t="s">
        <v>23181</v>
      </c>
      <c r="D17562" t="s">
        <v>53867</v>
      </c>
      <c r="E17562" t="b">
        <v>0</v>
      </c>
      <c r="F17562" t="s">
        <v>11624</v>
      </c>
      <c r="G17562">
        <v>25.37</v>
      </c>
      <c r="H17562">
        <v>118.68</v>
      </c>
      <c r="I17562" t="s">
        <v>53868</v>
      </c>
      <c r="L17562">
        <v>0</v>
      </c>
      <c r="M17562">
        <v>0</v>
      </c>
      <c r="N17562">
        <v>4</v>
      </c>
      <c r="O17562" t="s">
        <v>11905</v>
      </c>
    </row>
    <row r="17563" spans="1:15">
      <c r="A17563" t="s">
        <v>53869</v>
      </c>
      <c r="B17563" t="s">
        <v>15027</v>
      </c>
      <c r="C17563" t="s">
        <v>15028</v>
      </c>
      <c r="D17563" t="s">
        <v>53870</v>
      </c>
      <c r="E17563" t="b">
        <v>0</v>
      </c>
      <c r="F17563" t="s">
        <v>11610</v>
      </c>
      <c r="L17563">
        <v>0</v>
      </c>
      <c r="M17563">
        <v>0</v>
      </c>
      <c r="N17563">
        <v>0</v>
      </c>
    </row>
    <row r="17564" spans="1:15">
      <c r="A17564" t="s">
        <v>53871</v>
      </c>
      <c r="B17564" t="s">
        <v>9071</v>
      </c>
      <c r="C17564" t="s">
        <v>25673</v>
      </c>
      <c r="D17564" t="s">
        <v>53872</v>
      </c>
      <c r="E17564" t="b">
        <v>0</v>
      </c>
      <c r="F17564" t="s">
        <v>11610</v>
      </c>
      <c r="L17564">
        <v>0</v>
      </c>
      <c r="M17564">
        <v>0</v>
      </c>
      <c r="N17564">
        <v>0</v>
      </c>
    </row>
    <row r="17565" spans="1:15">
      <c r="A17565" t="s">
        <v>4451</v>
      </c>
      <c r="B17565" t="s">
        <v>367</v>
      </c>
      <c r="C17565" t="s">
        <v>367</v>
      </c>
      <c r="D17565" t="s">
        <v>4450</v>
      </c>
      <c r="E17565" t="b">
        <v>0</v>
      </c>
      <c r="F17565" t="s">
        <v>11624</v>
      </c>
      <c r="G17565">
        <v>22.643000000000001</v>
      </c>
      <c r="H17565">
        <v>120.996</v>
      </c>
      <c r="I17565" t="s">
        <v>4452</v>
      </c>
      <c r="L17565">
        <v>0</v>
      </c>
      <c r="M17565">
        <v>0</v>
      </c>
      <c r="N17565">
        <v>2</v>
      </c>
      <c r="O17565" t="s">
        <v>13484</v>
      </c>
    </row>
    <row r="17566" spans="1:15">
      <c r="A17566" t="s">
        <v>53873</v>
      </c>
      <c r="B17566" t="s">
        <v>367</v>
      </c>
      <c r="C17566" t="s">
        <v>48055</v>
      </c>
      <c r="D17566" t="s">
        <v>53874</v>
      </c>
      <c r="E17566" t="b">
        <v>0</v>
      </c>
      <c r="F17566" t="s">
        <v>11624</v>
      </c>
      <c r="G17566">
        <v>-20.844200000000001</v>
      </c>
      <c r="H17566">
        <v>164.77</v>
      </c>
      <c r="I17566" t="s">
        <v>53875</v>
      </c>
      <c r="L17566">
        <v>0</v>
      </c>
      <c r="M17566">
        <v>0</v>
      </c>
      <c r="N17566">
        <v>0</v>
      </c>
      <c r="O17566" t="s">
        <v>12624</v>
      </c>
    </row>
    <row r="17567" spans="1:15">
      <c r="A17567" t="s">
        <v>53876</v>
      </c>
      <c r="B17567" t="s">
        <v>367</v>
      </c>
      <c r="C17567" t="s">
        <v>48055</v>
      </c>
      <c r="D17567" t="s">
        <v>53877</v>
      </c>
      <c r="E17567" t="b">
        <v>0</v>
      </c>
      <c r="F17567" t="s">
        <v>11624</v>
      </c>
      <c r="G17567">
        <v>-20.813300000000002</v>
      </c>
      <c r="H17567">
        <v>164.55600000000001</v>
      </c>
      <c r="I17567" t="s">
        <v>53878</v>
      </c>
      <c r="L17567">
        <v>0</v>
      </c>
      <c r="M17567">
        <v>0</v>
      </c>
      <c r="N17567">
        <v>0</v>
      </c>
      <c r="O17567" t="s">
        <v>12624</v>
      </c>
    </row>
    <row r="17568" spans="1:15">
      <c r="A17568" t="s">
        <v>34717</v>
      </c>
      <c r="B17568" t="s">
        <v>11644</v>
      </c>
      <c r="C17568" t="s">
        <v>5428</v>
      </c>
      <c r="D17568" t="s">
        <v>53879</v>
      </c>
      <c r="E17568" t="b">
        <v>0</v>
      </c>
      <c r="F17568" t="s">
        <v>11624</v>
      </c>
      <c r="G17568">
        <v>15.1915</v>
      </c>
      <c r="H17568">
        <v>98.735500000000002</v>
      </c>
      <c r="I17568" t="s">
        <v>53880</v>
      </c>
      <c r="L17568">
        <v>0</v>
      </c>
      <c r="M17568">
        <v>0</v>
      </c>
      <c r="N17568">
        <v>5</v>
      </c>
      <c r="O17568" t="s">
        <v>20757</v>
      </c>
    </row>
    <row r="17569" spans="1:15">
      <c r="A17569" t="s">
        <v>41596</v>
      </c>
      <c r="B17569" t="s">
        <v>11644</v>
      </c>
      <c r="C17569" t="s">
        <v>48426</v>
      </c>
      <c r="D17569" t="s">
        <v>53881</v>
      </c>
      <c r="E17569" t="b">
        <v>0</v>
      </c>
      <c r="F17569" t="s">
        <v>11624</v>
      </c>
      <c r="G17569">
        <v>18.015999999999998</v>
      </c>
      <c r="H17569">
        <v>98.270899999999997</v>
      </c>
      <c r="I17569" t="s">
        <v>53882</v>
      </c>
      <c r="L17569">
        <v>0</v>
      </c>
      <c r="M17569">
        <v>0</v>
      </c>
      <c r="N17569">
        <v>3</v>
      </c>
      <c r="O17569" t="s">
        <v>20757</v>
      </c>
    </row>
    <row r="17570" spans="1:15">
      <c r="A17570" t="s">
        <v>25932</v>
      </c>
      <c r="B17570" t="s">
        <v>11644</v>
      </c>
      <c r="C17570" t="s">
        <v>5427</v>
      </c>
      <c r="D17570" t="s">
        <v>53883</v>
      </c>
      <c r="E17570" t="b">
        <v>0</v>
      </c>
      <c r="F17570" t="s">
        <v>11622</v>
      </c>
      <c r="L17570">
        <v>2</v>
      </c>
      <c r="M17570">
        <v>4</v>
      </c>
      <c r="N17570">
        <v>10</v>
      </c>
    </row>
    <row r="17571" spans="1:15">
      <c r="A17571" t="s">
        <v>43413</v>
      </c>
      <c r="B17571" t="s">
        <v>11644</v>
      </c>
      <c r="C17571" t="s">
        <v>5428</v>
      </c>
      <c r="D17571" t="s">
        <v>53884</v>
      </c>
      <c r="E17571" t="b">
        <v>0</v>
      </c>
      <c r="F17571" t="s">
        <v>11624</v>
      </c>
      <c r="G17571">
        <v>17.362200000000001</v>
      </c>
      <c r="H17571">
        <v>97.704400000000007</v>
      </c>
      <c r="I17571" t="s">
        <v>53885</v>
      </c>
      <c r="L17571">
        <v>0</v>
      </c>
      <c r="M17571">
        <v>0</v>
      </c>
      <c r="N17571">
        <v>2</v>
      </c>
      <c r="O17571" t="s">
        <v>20757</v>
      </c>
    </row>
    <row r="17572" spans="1:15">
      <c r="A17572" t="s">
        <v>53886</v>
      </c>
      <c r="B17572" t="s">
        <v>11607</v>
      </c>
      <c r="C17572" t="s">
        <v>36903</v>
      </c>
      <c r="D17572" t="s">
        <v>53887</v>
      </c>
      <c r="E17572" t="b">
        <v>0</v>
      </c>
      <c r="F17572" t="s">
        <v>11624</v>
      </c>
      <c r="G17572">
        <v>9.0953900000000001</v>
      </c>
      <c r="H17572">
        <v>9.4373299999999993</v>
      </c>
      <c r="I17572" t="s">
        <v>53888</v>
      </c>
      <c r="L17572">
        <v>0</v>
      </c>
      <c r="M17572">
        <v>0</v>
      </c>
      <c r="N17572">
        <v>0</v>
      </c>
      <c r="O17572" t="s">
        <v>11693</v>
      </c>
    </row>
    <row r="17573" spans="1:15">
      <c r="A17573" t="s">
        <v>25446</v>
      </c>
      <c r="B17573" t="s">
        <v>6742</v>
      </c>
      <c r="C17573" t="s">
        <v>32923</v>
      </c>
      <c r="D17573" t="s">
        <v>53889</v>
      </c>
      <c r="E17573" t="b">
        <v>0</v>
      </c>
      <c r="F17573" t="s">
        <v>11624</v>
      </c>
      <c r="G17573">
        <v>5.0071599999999998</v>
      </c>
      <c r="H17573">
        <v>-7.0148099999999998</v>
      </c>
      <c r="I17573" t="s">
        <v>53890</v>
      </c>
      <c r="L17573">
        <v>0</v>
      </c>
      <c r="M17573">
        <v>0</v>
      </c>
      <c r="N17573">
        <v>8</v>
      </c>
      <c r="O17573" t="s">
        <v>23855</v>
      </c>
    </row>
    <row r="17574" spans="1:15">
      <c r="A17574" t="s">
        <v>53891</v>
      </c>
      <c r="B17574" t="s">
        <v>11644</v>
      </c>
      <c r="C17574" t="s">
        <v>18865</v>
      </c>
      <c r="D17574" t="s">
        <v>53892</v>
      </c>
      <c r="E17574" t="b">
        <v>0</v>
      </c>
      <c r="F17574" t="s">
        <v>11624</v>
      </c>
      <c r="G17574">
        <v>20.759</v>
      </c>
      <c r="H17574">
        <v>100.029</v>
      </c>
      <c r="I17574" t="s">
        <v>53893</v>
      </c>
      <c r="L17574">
        <v>0</v>
      </c>
      <c r="M17574">
        <v>0</v>
      </c>
      <c r="N17574">
        <v>0</v>
      </c>
      <c r="O17574" t="s">
        <v>14059</v>
      </c>
    </row>
    <row r="17575" spans="1:15">
      <c r="A17575" t="s">
        <v>53894</v>
      </c>
      <c r="B17575" t="s">
        <v>22388</v>
      </c>
      <c r="C17575" t="s">
        <v>232</v>
      </c>
      <c r="D17575" t="s">
        <v>53895</v>
      </c>
      <c r="E17575" t="b">
        <v>0</v>
      </c>
      <c r="F17575" t="s">
        <v>11610</v>
      </c>
      <c r="L17575">
        <v>0</v>
      </c>
      <c r="M17575">
        <v>0</v>
      </c>
      <c r="N17575">
        <v>0</v>
      </c>
    </row>
    <row r="17576" spans="1:15">
      <c r="A17576" t="s">
        <v>53896</v>
      </c>
      <c r="B17576" t="s">
        <v>11615</v>
      </c>
      <c r="C17576" t="s">
        <v>21788</v>
      </c>
      <c r="D17576" t="s">
        <v>53897</v>
      </c>
      <c r="E17576" t="b">
        <v>0</v>
      </c>
      <c r="F17576" t="s">
        <v>11622</v>
      </c>
      <c r="L17576">
        <v>0</v>
      </c>
      <c r="M17576">
        <v>2</v>
      </c>
      <c r="N17576">
        <v>2</v>
      </c>
    </row>
    <row r="17577" spans="1:15">
      <c r="A17577" t="s">
        <v>53898</v>
      </c>
      <c r="D17577" t="s">
        <v>53899</v>
      </c>
      <c r="E17577" t="b">
        <v>0</v>
      </c>
      <c r="F17577" t="s">
        <v>11624</v>
      </c>
      <c r="G17577">
        <v>-4.4500299999999999</v>
      </c>
      <c r="H17577">
        <v>141.018</v>
      </c>
      <c r="I17577" t="s">
        <v>53900</v>
      </c>
      <c r="L17577">
        <v>0</v>
      </c>
      <c r="M17577">
        <v>0</v>
      </c>
      <c r="N17577">
        <v>0</v>
      </c>
      <c r="O17577" t="s">
        <v>24525</v>
      </c>
    </row>
    <row r="17578" spans="1:15">
      <c r="A17578" t="s">
        <v>53901</v>
      </c>
      <c r="B17578" t="s">
        <v>331</v>
      </c>
      <c r="C17578" t="s">
        <v>49220</v>
      </c>
      <c r="D17578" t="s">
        <v>53902</v>
      </c>
      <c r="E17578" t="b">
        <v>0</v>
      </c>
      <c r="F17578" t="s">
        <v>11610</v>
      </c>
      <c r="L17578">
        <v>0</v>
      </c>
      <c r="M17578">
        <v>0</v>
      </c>
      <c r="N17578">
        <v>0</v>
      </c>
    </row>
    <row r="17579" spans="1:15">
      <c r="A17579" t="s">
        <v>53903</v>
      </c>
      <c r="B17579" t="s">
        <v>4236</v>
      </c>
      <c r="C17579" t="s">
        <v>4228</v>
      </c>
      <c r="D17579" t="s">
        <v>53904</v>
      </c>
      <c r="E17579" t="b">
        <v>0</v>
      </c>
      <c r="F17579" t="s">
        <v>11610</v>
      </c>
      <c r="L17579">
        <v>0</v>
      </c>
      <c r="M17579">
        <v>0</v>
      </c>
      <c r="N17579">
        <v>0</v>
      </c>
    </row>
    <row r="17580" spans="1:15">
      <c r="A17580" t="s">
        <v>53905</v>
      </c>
      <c r="B17580" t="s">
        <v>5126</v>
      </c>
      <c r="C17580" t="s">
        <v>20681</v>
      </c>
      <c r="D17580" t="s">
        <v>53906</v>
      </c>
      <c r="E17580" t="b">
        <v>0</v>
      </c>
      <c r="F17580" t="s">
        <v>11624</v>
      </c>
      <c r="G17580">
        <v>23.238399999999999</v>
      </c>
      <c r="H17580">
        <v>104.812</v>
      </c>
      <c r="I17580" t="s">
        <v>53907</v>
      </c>
      <c r="L17580">
        <v>0</v>
      </c>
      <c r="M17580">
        <v>0</v>
      </c>
      <c r="N17580">
        <v>0</v>
      </c>
      <c r="O17580" t="s">
        <v>19781</v>
      </c>
    </row>
    <row r="17581" spans="1:15">
      <c r="A17581" t="s">
        <v>53908</v>
      </c>
      <c r="B17581" t="s">
        <v>331</v>
      </c>
      <c r="C17581" t="s">
        <v>12244</v>
      </c>
      <c r="D17581" t="s">
        <v>53909</v>
      </c>
      <c r="E17581" t="b">
        <v>0</v>
      </c>
      <c r="F17581" t="s">
        <v>11610</v>
      </c>
      <c r="L17581">
        <v>0</v>
      </c>
      <c r="M17581">
        <v>0</v>
      </c>
      <c r="N17581">
        <v>0</v>
      </c>
    </row>
    <row r="17582" spans="1:15">
      <c r="A17582" t="s">
        <v>53910</v>
      </c>
      <c r="B17582" t="s">
        <v>11607</v>
      </c>
      <c r="C17582" t="s">
        <v>37686</v>
      </c>
      <c r="D17582" t="s">
        <v>53911</v>
      </c>
      <c r="E17582" t="b">
        <v>0</v>
      </c>
      <c r="F17582" t="s">
        <v>11610</v>
      </c>
      <c r="L17582">
        <v>0</v>
      </c>
      <c r="M17582">
        <v>0</v>
      </c>
      <c r="N17582">
        <v>0</v>
      </c>
    </row>
    <row r="17583" spans="1:15">
      <c r="A17583" t="s">
        <v>53912</v>
      </c>
      <c r="B17583" t="s">
        <v>5911</v>
      </c>
      <c r="C17583" t="s">
        <v>34850</v>
      </c>
      <c r="D17583" t="s">
        <v>53913</v>
      </c>
      <c r="E17583" t="b">
        <v>0</v>
      </c>
      <c r="F17583" t="s">
        <v>11624</v>
      </c>
      <c r="G17583">
        <v>15.6846</v>
      </c>
      <c r="H17583">
        <v>-91.304299999999998</v>
      </c>
      <c r="I17583" t="s">
        <v>53914</v>
      </c>
      <c r="L17583">
        <v>0</v>
      </c>
      <c r="M17583">
        <v>0</v>
      </c>
      <c r="N17583">
        <v>0</v>
      </c>
      <c r="O17583" t="s">
        <v>11927</v>
      </c>
    </row>
    <row r="17584" spans="1:15">
      <c r="A17584" t="s">
        <v>53915</v>
      </c>
      <c r="B17584" t="s">
        <v>16014</v>
      </c>
      <c r="C17584" t="s">
        <v>16014</v>
      </c>
      <c r="D17584" t="s">
        <v>53916</v>
      </c>
      <c r="E17584" t="b">
        <v>0</v>
      </c>
      <c r="F17584" t="s">
        <v>11624</v>
      </c>
      <c r="G17584">
        <v>-4.4525800000000002</v>
      </c>
      <c r="H17584">
        <v>151.702</v>
      </c>
      <c r="I17584" t="s">
        <v>53917</v>
      </c>
      <c r="L17584">
        <v>0</v>
      </c>
      <c r="M17584">
        <v>0</v>
      </c>
      <c r="N17584">
        <v>0</v>
      </c>
      <c r="O17584" t="s">
        <v>11660</v>
      </c>
    </row>
    <row r="17585" spans="1:15">
      <c r="A17585" t="s">
        <v>53918</v>
      </c>
      <c r="B17585" t="s">
        <v>331</v>
      </c>
      <c r="C17585" t="s">
        <v>12244</v>
      </c>
      <c r="D17585" t="s">
        <v>53919</v>
      </c>
      <c r="E17585" t="b">
        <v>0</v>
      </c>
      <c r="F17585" t="s">
        <v>11610</v>
      </c>
      <c r="L17585">
        <v>0</v>
      </c>
      <c r="M17585">
        <v>0</v>
      </c>
      <c r="N17585">
        <v>0</v>
      </c>
    </row>
    <row r="17586" spans="1:15">
      <c r="A17586" t="s">
        <v>53920</v>
      </c>
      <c r="B17586" t="s">
        <v>331</v>
      </c>
      <c r="C17586" t="s">
        <v>51179</v>
      </c>
      <c r="D17586" t="s">
        <v>53921</v>
      </c>
      <c r="E17586" t="b">
        <v>0</v>
      </c>
      <c r="F17586" t="s">
        <v>11610</v>
      </c>
      <c r="L17586">
        <v>0</v>
      </c>
      <c r="M17586">
        <v>0</v>
      </c>
      <c r="N17586">
        <v>0</v>
      </c>
    </row>
    <row r="17587" spans="1:15">
      <c r="A17587" t="s">
        <v>53922</v>
      </c>
      <c r="B17587" t="s">
        <v>331</v>
      </c>
      <c r="C17587" t="s">
        <v>15530</v>
      </c>
      <c r="D17587" t="s">
        <v>53923</v>
      </c>
      <c r="E17587" t="b">
        <v>0</v>
      </c>
      <c r="F17587" t="s">
        <v>11624</v>
      </c>
      <c r="G17587">
        <v>28.259309999999999</v>
      </c>
      <c r="H17587">
        <v>52.833489999999998</v>
      </c>
      <c r="I17587" t="s">
        <v>53924</v>
      </c>
      <c r="L17587">
        <v>0</v>
      </c>
      <c r="M17587">
        <v>0</v>
      </c>
      <c r="N17587">
        <v>0</v>
      </c>
      <c r="O17587" t="s">
        <v>13225</v>
      </c>
    </row>
    <row r="17588" spans="1:15">
      <c r="A17588" t="s">
        <v>53925</v>
      </c>
      <c r="B17588" t="s">
        <v>11607</v>
      </c>
      <c r="C17588" t="s">
        <v>20675</v>
      </c>
      <c r="D17588" t="s">
        <v>53926</v>
      </c>
      <c r="E17588" t="b">
        <v>0</v>
      </c>
      <c r="F17588" t="s">
        <v>11610</v>
      </c>
      <c r="L17588">
        <v>0</v>
      </c>
      <c r="M17588">
        <v>0</v>
      </c>
      <c r="N17588">
        <v>0</v>
      </c>
    </row>
    <row r="17589" spans="1:15">
      <c r="A17589" t="s">
        <v>53927</v>
      </c>
      <c r="B17589" t="s">
        <v>11607</v>
      </c>
      <c r="C17589" t="s">
        <v>21772</v>
      </c>
      <c r="D17589" t="s">
        <v>53928</v>
      </c>
      <c r="E17589" t="b">
        <v>0</v>
      </c>
      <c r="F17589" t="s">
        <v>11610</v>
      </c>
      <c r="L17589">
        <v>0</v>
      </c>
      <c r="M17589">
        <v>0</v>
      </c>
      <c r="N17589">
        <v>0</v>
      </c>
    </row>
    <row r="17590" spans="1:15">
      <c r="A17590" t="s">
        <v>53929</v>
      </c>
      <c r="B17590" t="s">
        <v>11607</v>
      </c>
      <c r="C17590" t="s">
        <v>30502</v>
      </c>
      <c r="D17590" t="s">
        <v>53930</v>
      </c>
      <c r="E17590" t="b">
        <v>0</v>
      </c>
      <c r="F17590" t="s">
        <v>11624</v>
      </c>
      <c r="I17590" t="s">
        <v>53931</v>
      </c>
      <c r="L17590">
        <v>0</v>
      </c>
      <c r="M17590">
        <v>0</v>
      </c>
      <c r="N17590">
        <v>0</v>
      </c>
      <c r="O17590" t="s">
        <v>30505</v>
      </c>
    </row>
    <row r="17591" spans="1:15">
      <c r="A17591" t="s">
        <v>53932</v>
      </c>
      <c r="B17591" t="s">
        <v>5126</v>
      </c>
      <c r="C17591" t="s">
        <v>28998</v>
      </c>
      <c r="D17591" t="s">
        <v>53933</v>
      </c>
      <c r="E17591" t="b">
        <v>0</v>
      </c>
      <c r="F17591" t="s">
        <v>11624</v>
      </c>
      <c r="G17591">
        <v>26.155438</v>
      </c>
      <c r="H17591">
        <v>106.16455000000001</v>
      </c>
      <c r="I17591" t="s">
        <v>53934</v>
      </c>
      <c r="L17591">
        <v>0</v>
      </c>
      <c r="M17591">
        <v>0</v>
      </c>
      <c r="N17591">
        <v>2</v>
      </c>
      <c r="O17591" t="s">
        <v>11905</v>
      </c>
    </row>
    <row r="17592" spans="1:15">
      <c r="A17592" t="s">
        <v>53935</v>
      </c>
      <c r="B17592" t="s">
        <v>5126</v>
      </c>
      <c r="C17592" t="s">
        <v>53932</v>
      </c>
      <c r="D17592" t="s">
        <v>53936</v>
      </c>
      <c r="E17592" t="b">
        <v>0</v>
      </c>
      <c r="F17592" t="s">
        <v>11610</v>
      </c>
      <c r="L17592">
        <v>0</v>
      </c>
      <c r="M17592">
        <v>0</v>
      </c>
      <c r="N17592">
        <v>0</v>
      </c>
    </row>
    <row r="17593" spans="1:15">
      <c r="A17593" t="s">
        <v>526</v>
      </c>
      <c r="B17593" t="s">
        <v>525</v>
      </c>
      <c r="C17593" t="s">
        <v>1237</v>
      </c>
      <c r="D17593" t="s">
        <v>10769</v>
      </c>
      <c r="E17593" t="b">
        <v>0</v>
      </c>
      <c r="F17593" t="s">
        <v>11624</v>
      </c>
      <c r="G17593">
        <v>-49.303195000000002</v>
      </c>
      <c r="H17593">
        <v>-74.707536000000005</v>
      </c>
      <c r="I17593" t="s">
        <v>10770</v>
      </c>
      <c r="L17593">
        <v>0</v>
      </c>
      <c r="M17593">
        <v>0</v>
      </c>
      <c r="N17593">
        <v>1</v>
      </c>
      <c r="O17593" t="s">
        <v>12895</v>
      </c>
    </row>
    <row r="17594" spans="1:15">
      <c r="A17594" t="s">
        <v>53937</v>
      </c>
      <c r="B17594" t="s">
        <v>331</v>
      </c>
      <c r="C17594" t="s">
        <v>12569</v>
      </c>
      <c r="D17594" t="s">
        <v>53938</v>
      </c>
      <c r="E17594" t="b">
        <v>0</v>
      </c>
      <c r="F17594" t="s">
        <v>11610</v>
      </c>
      <c r="L17594">
        <v>0</v>
      </c>
      <c r="M17594">
        <v>0</v>
      </c>
      <c r="N17594">
        <v>0</v>
      </c>
    </row>
    <row r="17595" spans="1:15">
      <c r="A17595" t="s">
        <v>53939</v>
      </c>
      <c r="B17595" t="s">
        <v>11637</v>
      </c>
      <c r="C17595" t="s">
        <v>14273</v>
      </c>
      <c r="D17595" t="s">
        <v>53940</v>
      </c>
      <c r="E17595" t="b">
        <v>0</v>
      </c>
      <c r="F17595" t="s">
        <v>11610</v>
      </c>
      <c r="L17595">
        <v>0</v>
      </c>
      <c r="M17595">
        <v>0</v>
      </c>
      <c r="N17595">
        <v>0</v>
      </c>
    </row>
    <row r="17596" spans="1:15">
      <c r="A17596" t="s">
        <v>29681</v>
      </c>
      <c r="B17596" t="s">
        <v>11637</v>
      </c>
      <c r="C17596" t="s">
        <v>53941</v>
      </c>
      <c r="D17596" t="s">
        <v>53942</v>
      </c>
      <c r="E17596" t="b">
        <v>0</v>
      </c>
      <c r="F17596" t="s">
        <v>11622</v>
      </c>
      <c r="L17596">
        <v>0</v>
      </c>
      <c r="M17596">
        <v>2</v>
      </c>
      <c r="N17596">
        <v>0</v>
      </c>
    </row>
    <row r="17597" spans="1:15">
      <c r="A17597" t="s">
        <v>53943</v>
      </c>
      <c r="B17597" t="s">
        <v>11607</v>
      </c>
      <c r="C17597" t="s">
        <v>34593</v>
      </c>
      <c r="D17597" t="s">
        <v>53944</v>
      </c>
      <c r="E17597" t="b">
        <v>0</v>
      </c>
      <c r="F17597" t="s">
        <v>11610</v>
      </c>
      <c r="L17597">
        <v>0</v>
      </c>
      <c r="M17597">
        <v>0</v>
      </c>
      <c r="N17597">
        <v>0</v>
      </c>
    </row>
    <row r="17598" spans="1:15">
      <c r="A17598" t="s">
        <v>33736</v>
      </c>
      <c r="B17598" t="s">
        <v>11607</v>
      </c>
      <c r="C17598" t="s">
        <v>12197</v>
      </c>
      <c r="D17598" t="s">
        <v>53945</v>
      </c>
      <c r="E17598" t="b">
        <v>0</v>
      </c>
      <c r="F17598" t="s">
        <v>11622</v>
      </c>
      <c r="L17598">
        <v>0</v>
      </c>
      <c r="M17598">
        <v>2</v>
      </c>
      <c r="N17598">
        <v>0</v>
      </c>
    </row>
    <row r="17599" spans="1:15">
      <c r="A17599" t="s">
        <v>53946</v>
      </c>
      <c r="B17599" t="s">
        <v>5126</v>
      </c>
      <c r="C17599" t="s">
        <v>19777</v>
      </c>
      <c r="D17599" t="s">
        <v>53947</v>
      </c>
      <c r="E17599" t="b">
        <v>0</v>
      </c>
      <c r="F17599" t="s">
        <v>11610</v>
      </c>
      <c r="L17599">
        <v>0</v>
      </c>
      <c r="M17599">
        <v>0</v>
      </c>
      <c r="N17599">
        <v>0</v>
      </c>
    </row>
    <row r="17600" spans="1:15">
      <c r="A17600" t="s">
        <v>53948</v>
      </c>
      <c r="B17600" t="s">
        <v>11644</v>
      </c>
      <c r="C17600" t="s">
        <v>18509</v>
      </c>
      <c r="D17600" t="s">
        <v>53949</v>
      </c>
      <c r="E17600" t="b">
        <v>0</v>
      </c>
      <c r="F17600" t="s">
        <v>11610</v>
      </c>
      <c r="L17600">
        <v>0</v>
      </c>
      <c r="M17600">
        <v>0</v>
      </c>
      <c r="N17600">
        <v>0</v>
      </c>
    </row>
    <row r="17601" spans="1:15">
      <c r="A17601" t="s">
        <v>45997</v>
      </c>
      <c r="B17601" t="s">
        <v>11644</v>
      </c>
      <c r="C17601" t="s">
        <v>27366</v>
      </c>
      <c r="D17601" t="s">
        <v>53950</v>
      </c>
      <c r="E17601" t="b">
        <v>0</v>
      </c>
      <c r="F17601" t="s">
        <v>11622</v>
      </c>
      <c r="L17601">
        <v>9</v>
      </c>
      <c r="M17601">
        <v>19</v>
      </c>
      <c r="N17601">
        <v>58</v>
      </c>
    </row>
    <row r="17602" spans="1:15">
      <c r="A17602" t="s">
        <v>53951</v>
      </c>
      <c r="B17602" t="s">
        <v>11644</v>
      </c>
      <c r="C17602" t="s">
        <v>45997</v>
      </c>
      <c r="D17602" t="s">
        <v>53952</v>
      </c>
      <c r="E17602" t="b">
        <v>0</v>
      </c>
      <c r="F17602" t="s">
        <v>11622</v>
      </c>
      <c r="L17602">
        <v>1</v>
      </c>
      <c r="M17602">
        <v>3</v>
      </c>
      <c r="N17602">
        <v>19</v>
      </c>
    </row>
    <row r="17603" spans="1:15">
      <c r="A17603" t="s">
        <v>53953</v>
      </c>
      <c r="B17603" t="s">
        <v>5126</v>
      </c>
      <c r="C17603" t="s">
        <v>19777</v>
      </c>
      <c r="D17603" t="s">
        <v>53954</v>
      </c>
      <c r="E17603" t="b">
        <v>0</v>
      </c>
      <c r="F17603" t="s">
        <v>11610</v>
      </c>
      <c r="L17603">
        <v>0</v>
      </c>
      <c r="M17603">
        <v>0</v>
      </c>
      <c r="N17603">
        <v>0</v>
      </c>
    </row>
    <row r="17604" spans="1:15">
      <c r="A17604" t="s">
        <v>53955</v>
      </c>
      <c r="B17604" t="s">
        <v>5126</v>
      </c>
      <c r="C17604" t="s">
        <v>19777</v>
      </c>
      <c r="D17604" t="s">
        <v>53956</v>
      </c>
      <c r="E17604" t="b">
        <v>0</v>
      </c>
      <c r="F17604" t="s">
        <v>11610</v>
      </c>
      <c r="L17604">
        <v>0</v>
      </c>
      <c r="M17604">
        <v>0</v>
      </c>
      <c r="N17604">
        <v>0</v>
      </c>
    </row>
    <row r="17605" spans="1:15">
      <c r="A17605" t="s">
        <v>53957</v>
      </c>
      <c r="B17605" t="s">
        <v>11644</v>
      </c>
      <c r="C17605" t="s">
        <v>31650</v>
      </c>
      <c r="D17605" t="s">
        <v>53958</v>
      </c>
      <c r="E17605" t="b">
        <v>0</v>
      </c>
      <c r="F17605" t="s">
        <v>11610</v>
      </c>
      <c r="L17605">
        <v>0</v>
      </c>
      <c r="M17605">
        <v>0</v>
      </c>
      <c r="N17605">
        <v>0</v>
      </c>
    </row>
    <row r="17606" spans="1:15">
      <c r="A17606" t="s">
        <v>53959</v>
      </c>
      <c r="B17606" t="s">
        <v>5126</v>
      </c>
      <c r="C17606" t="s">
        <v>17928</v>
      </c>
      <c r="D17606" t="s">
        <v>53960</v>
      </c>
      <c r="E17606" t="b">
        <v>0</v>
      </c>
      <c r="F17606" t="s">
        <v>11610</v>
      </c>
      <c r="L17606">
        <v>0</v>
      </c>
      <c r="M17606">
        <v>0</v>
      </c>
      <c r="N17606">
        <v>0</v>
      </c>
    </row>
    <row r="17607" spans="1:15">
      <c r="A17607" t="s">
        <v>53961</v>
      </c>
      <c r="B17607" t="s">
        <v>11644</v>
      </c>
      <c r="C17607" t="s">
        <v>23401</v>
      </c>
      <c r="D17607" t="s">
        <v>53962</v>
      </c>
      <c r="E17607" t="b">
        <v>0</v>
      </c>
      <c r="F17607" t="s">
        <v>11624</v>
      </c>
      <c r="G17607">
        <v>22.570376</v>
      </c>
      <c r="H17607">
        <v>103.14129200000001</v>
      </c>
      <c r="I17607" t="s">
        <v>53963</v>
      </c>
      <c r="L17607">
        <v>0</v>
      </c>
      <c r="M17607">
        <v>0</v>
      </c>
      <c r="N17607">
        <v>0</v>
      </c>
      <c r="O17607" t="s">
        <v>11905</v>
      </c>
    </row>
    <row r="17608" spans="1:15">
      <c r="A17608" t="s">
        <v>53964</v>
      </c>
      <c r="B17608" t="s">
        <v>11644</v>
      </c>
      <c r="C17608" t="s">
        <v>23930</v>
      </c>
      <c r="D17608" t="s">
        <v>53965</v>
      </c>
      <c r="E17608" t="b">
        <v>0</v>
      </c>
      <c r="F17608" t="s">
        <v>11610</v>
      </c>
      <c r="G17608">
        <v>25.655328300000001</v>
      </c>
      <c r="H17608">
        <v>100.1709288</v>
      </c>
      <c r="L17608">
        <v>0</v>
      </c>
      <c r="M17608">
        <v>0</v>
      </c>
      <c r="N17608">
        <v>0</v>
      </c>
    </row>
    <row r="17609" spans="1:15">
      <c r="A17609" t="s">
        <v>24456</v>
      </c>
      <c r="B17609" t="s">
        <v>11607</v>
      </c>
      <c r="C17609" t="s">
        <v>48995</v>
      </c>
      <c r="D17609" t="s">
        <v>53966</v>
      </c>
      <c r="E17609" t="b">
        <v>0</v>
      </c>
      <c r="F17609" t="s">
        <v>11624</v>
      </c>
      <c r="G17609">
        <v>12.8119</v>
      </c>
      <c r="H17609">
        <v>37.054200000000002</v>
      </c>
      <c r="I17609" t="s">
        <v>53967</v>
      </c>
      <c r="L17609">
        <v>0</v>
      </c>
      <c r="M17609">
        <v>0</v>
      </c>
      <c r="N17609">
        <v>4</v>
      </c>
      <c r="O17609" t="s">
        <v>28970</v>
      </c>
    </row>
    <row r="17610" spans="1:15">
      <c r="A17610" t="s">
        <v>53968</v>
      </c>
      <c r="B17610" t="s">
        <v>11637</v>
      </c>
      <c r="C17610" t="s">
        <v>16887</v>
      </c>
      <c r="D17610" t="s">
        <v>53969</v>
      </c>
      <c r="E17610" t="b">
        <v>0</v>
      </c>
      <c r="F17610" t="s">
        <v>11610</v>
      </c>
      <c r="L17610">
        <v>0</v>
      </c>
      <c r="M17610">
        <v>0</v>
      </c>
      <c r="N17610">
        <v>0</v>
      </c>
    </row>
    <row r="17611" spans="1:15">
      <c r="A17611" t="s">
        <v>53970</v>
      </c>
      <c r="B17611" t="s">
        <v>11644</v>
      </c>
      <c r="C17611" t="s">
        <v>24295</v>
      </c>
      <c r="D17611" t="s">
        <v>53971</v>
      </c>
      <c r="E17611" t="b">
        <v>0</v>
      </c>
      <c r="F17611" t="s">
        <v>11610</v>
      </c>
      <c r="L17611">
        <v>0</v>
      </c>
      <c r="M17611">
        <v>0</v>
      </c>
      <c r="N17611">
        <v>0</v>
      </c>
    </row>
    <row r="17612" spans="1:15">
      <c r="A17612" t="s">
        <v>53972</v>
      </c>
      <c r="B17612" t="s">
        <v>11644</v>
      </c>
      <c r="C17612" t="s">
        <v>22290</v>
      </c>
      <c r="D17612" t="s">
        <v>53973</v>
      </c>
      <c r="E17612" t="b">
        <v>0</v>
      </c>
      <c r="F17612" t="s">
        <v>11610</v>
      </c>
      <c r="L17612">
        <v>0</v>
      </c>
      <c r="M17612">
        <v>0</v>
      </c>
      <c r="N17612">
        <v>0</v>
      </c>
    </row>
    <row r="17613" spans="1:15">
      <c r="A17613" t="s">
        <v>53974</v>
      </c>
      <c r="B17613" t="s">
        <v>11644</v>
      </c>
      <c r="C17613" t="s">
        <v>6112</v>
      </c>
      <c r="D17613" t="s">
        <v>53975</v>
      </c>
      <c r="E17613" t="b">
        <v>0</v>
      </c>
      <c r="F17613" t="s">
        <v>11610</v>
      </c>
      <c r="G17613">
        <v>36.089393000000001</v>
      </c>
      <c r="H17613">
        <v>120.379715</v>
      </c>
      <c r="L17613">
        <v>0</v>
      </c>
      <c r="M17613">
        <v>0</v>
      </c>
      <c r="N17613">
        <v>0</v>
      </c>
    </row>
    <row r="17614" spans="1:15">
      <c r="A17614" t="s">
        <v>53976</v>
      </c>
      <c r="B17614" t="s">
        <v>11644</v>
      </c>
      <c r="C17614" t="s">
        <v>22960</v>
      </c>
      <c r="D17614" t="s">
        <v>53977</v>
      </c>
      <c r="E17614" t="b">
        <v>0</v>
      </c>
      <c r="F17614" t="s">
        <v>11610</v>
      </c>
      <c r="L17614">
        <v>0</v>
      </c>
      <c r="M17614">
        <v>0</v>
      </c>
      <c r="N17614">
        <v>0</v>
      </c>
    </row>
    <row r="17615" spans="1:15">
      <c r="A17615" t="s">
        <v>53978</v>
      </c>
      <c r="B17615" t="s">
        <v>11644</v>
      </c>
      <c r="C17615" t="s">
        <v>28593</v>
      </c>
      <c r="D17615" t="s">
        <v>53979</v>
      </c>
      <c r="E17615" t="b">
        <v>0</v>
      </c>
      <c r="F17615" t="s">
        <v>11610</v>
      </c>
      <c r="L17615">
        <v>0</v>
      </c>
      <c r="M17615">
        <v>0</v>
      </c>
      <c r="N17615">
        <v>0</v>
      </c>
    </row>
    <row r="17616" spans="1:15">
      <c r="A17616" t="s">
        <v>53980</v>
      </c>
      <c r="B17616" t="s">
        <v>5126</v>
      </c>
      <c r="C17616" t="s">
        <v>40226</v>
      </c>
      <c r="D17616" t="s">
        <v>53981</v>
      </c>
      <c r="E17616" t="b">
        <v>0</v>
      </c>
      <c r="F17616" t="s">
        <v>11610</v>
      </c>
      <c r="L17616">
        <v>0</v>
      </c>
      <c r="M17616">
        <v>0</v>
      </c>
      <c r="N17616">
        <v>0</v>
      </c>
    </row>
    <row r="17617" spans="1:15">
      <c r="A17617" t="s">
        <v>30554</v>
      </c>
      <c r="B17617" t="s">
        <v>11644</v>
      </c>
      <c r="C17617" t="s">
        <v>22300</v>
      </c>
      <c r="D17617" t="s">
        <v>53982</v>
      </c>
      <c r="E17617" t="b">
        <v>0</v>
      </c>
      <c r="F17617" t="s">
        <v>11610</v>
      </c>
      <c r="L17617">
        <v>0</v>
      </c>
      <c r="M17617">
        <v>0</v>
      </c>
      <c r="N17617">
        <v>5</v>
      </c>
    </row>
    <row r="17618" spans="1:15">
      <c r="A17618" t="s">
        <v>53983</v>
      </c>
      <c r="B17618" t="s">
        <v>12250</v>
      </c>
      <c r="C17618" t="s">
        <v>20636</v>
      </c>
      <c r="D17618" t="s">
        <v>53984</v>
      </c>
      <c r="E17618" t="b">
        <v>0</v>
      </c>
      <c r="F17618" t="s">
        <v>11610</v>
      </c>
      <c r="L17618">
        <v>0</v>
      </c>
      <c r="M17618">
        <v>0</v>
      </c>
      <c r="N17618">
        <v>0</v>
      </c>
    </row>
    <row r="17619" spans="1:15">
      <c r="A17619" t="s">
        <v>53985</v>
      </c>
      <c r="B17619" t="s">
        <v>5126</v>
      </c>
      <c r="C17619" t="s">
        <v>19778</v>
      </c>
      <c r="D17619" t="s">
        <v>53986</v>
      </c>
      <c r="E17619" t="b">
        <v>0</v>
      </c>
      <c r="F17619" t="s">
        <v>11624</v>
      </c>
      <c r="G17619">
        <v>24.15</v>
      </c>
      <c r="H17619">
        <v>104.15</v>
      </c>
      <c r="I17619" t="s">
        <v>53987</v>
      </c>
      <c r="L17619">
        <v>0</v>
      </c>
      <c r="M17619">
        <v>0</v>
      </c>
      <c r="N17619">
        <v>0</v>
      </c>
      <c r="O17619" t="s">
        <v>11905</v>
      </c>
    </row>
    <row r="17620" spans="1:15">
      <c r="A17620" t="s">
        <v>44888</v>
      </c>
      <c r="B17620" t="s">
        <v>11770</v>
      </c>
      <c r="C17620" t="s">
        <v>11771</v>
      </c>
      <c r="D17620" t="s">
        <v>53988</v>
      </c>
      <c r="E17620" t="b">
        <v>0</v>
      </c>
      <c r="F17620" t="s">
        <v>11622</v>
      </c>
      <c r="L17620">
        <v>1</v>
      </c>
      <c r="M17620">
        <v>3</v>
      </c>
      <c r="N17620">
        <v>4</v>
      </c>
    </row>
    <row r="17621" spans="1:15">
      <c r="A17621" t="s">
        <v>53989</v>
      </c>
      <c r="B17621" t="s">
        <v>331</v>
      </c>
      <c r="C17621" t="s">
        <v>21400</v>
      </c>
      <c r="D17621" t="s">
        <v>53990</v>
      </c>
      <c r="E17621" t="b">
        <v>0</v>
      </c>
      <c r="F17621" t="s">
        <v>11610</v>
      </c>
      <c r="L17621">
        <v>0</v>
      </c>
      <c r="M17621">
        <v>0</v>
      </c>
      <c r="N17621">
        <v>0</v>
      </c>
    </row>
    <row r="17622" spans="1:15">
      <c r="A17622" t="s">
        <v>53991</v>
      </c>
      <c r="B17622" t="s">
        <v>11637</v>
      </c>
      <c r="C17622" t="s">
        <v>11825</v>
      </c>
      <c r="D17622" t="s">
        <v>53992</v>
      </c>
      <c r="E17622" t="b">
        <v>0</v>
      </c>
      <c r="F17622" t="s">
        <v>11610</v>
      </c>
      <c r="L17622">
        <v>0</v>
      </c>
      <c r="M17622">
        <v>0</v>
      </c>
      <c r="N17622">
        <v>0</v>
      </c>
    </row>
    <row r="17623" spans="1:15">
      <c r="A17623" t="s">
        <v>53993</v>
      </c>
      <c r="B17623" t="s">
        <v>5058</v>
      </c>
      <c r="C17623" t="s">
        <v>22195</v>
      </c>
      <c r="D17623" t="s">
        <v>53994</v>
      </c>
      <c r="E17623" t="b">
        <v>0</v>
      </c>
      <c r="F17623" t="s">
        <v>11610</v>
      </c>
      <c r="L17623">
        <v>0</v>
      </c>
      <c r="M17623">
        <v>0</v>
      </c>
      <c r="N17623">
        <v>0</v>
      </c>
    </row>
    <row r="17624" spans="1:15">
      <c r="A17624" t="s">
        <v>53995</v>
      </c>
      <c r="B17624" t="s">
        <v>5058</v>
      </c>
      <c r="C17624" t="s">
        <v>22195</v>
      </c>
      <c r="D17624" t="s">
        <v>53996</v>
      </c>
      <c r="E17624" t="b">
        <v>0</v>
      </c>
      <c r="F17624" t="s">
        <v>11610</v>
      </c>
      <c r="L17624">
        <v>0</v>
      </c>
      <c r="M17624">
        <v>0</v>
      </c>
      <c r="N17624">
        <v>0</v>
      </c>
    </row>
    <row r="17625" spans="1:15">
      <c r="A17625" t="s">
        <v>53997</v>
      </c>
      <c r="B17625" t="s">
        <v>11644</v>
      </c>
      <c r="C17625" t="s">
        <v>25278</v>
      </c>
      <c r="D17625" t="s">
        <v>53998</v>
      </c>
      <c r="E17625" t="b">
        <v>0</v>
      </c>
      <c r="F17625" t="s">
        <v>11610</v>
      </c>
      <c r="L17625">
        <v>0</v>
      </c>
      <c r="M17625">
        <v>0</v>
      </c>
      <c r="N17625">
        <v>0</v>
      </c>
    </row>
    <row r="17626" spans="1:15">
      <c r="A17626" t="s">
        <v>53999</v>
      </c>
      <c r="B17626" t="s">
        <v>8897</v>
      </c>
      <c r="C17626" t="s">
        <v>24640</v>
      </c>
      <c r="D17626" t="s">
        <v>54000</v>
      </c>
      <c r="E17626" t="b">
        <v>0</v>
      </c>
      <c r="F17626" t="s">
        <v>11624</v>
      </c>
      <c r="G17626">
        <v>36.947099999999999</v>
      </c>
      <c r="H17626">
        <v>-94.663399999999996</v>
      </c>
      <c r="I17626" t="s">
        <v>54001</v>
      </c>
      <c r="L17626">
        <v>0</v>
      </c>
      <c r="M17626">
        <v>0</v>
      </c>
      <c r="N17626">
        <v>0</v>
      </c>
      <c r="O17626" t="s">
        <v>11944</v>
      </c>
    </row>
    <row r="17627" spans="1:15">
      <c r="A17627" t="s">
        <v>54002</v>
      </c>
      <c r="B17627" t="s">
        <v>11637</v>
      </c>
      <c r="C17627" t="s">
        <v>11825</v>
      </c>
      <c r="D17627" t="s">
        <v>54003</v>
      </c>
      <c r="E17627" t="b">
        <v>0</v>
      </c>
      <c r="F17627" t="s">
        <v>11610</v>
      </c>
      <c r="L17627">
        <v>0</v>
      </c>
      <c r="M17627">
        <v>0</v>
      </c>
      <c r="N17627">
        <v>0</v>
      </c>
    </row>
    <row r="17628" spans="1:15">
      <c r="A17628" t="s">
        <v>54004</v>
      </c>
      <c r="B17628" t="s">
        <v>331</v>
      </c>
      <c r="C17628" t="s">
        <v>16164</v>
      </c>
      <c r="D17628" t="s">
        <v>54005</v>
      </c>
      <c r="E17628" t="b">
        <v>0</v>
      </c>
      <c r="F17628" t="s">
        <v>11610</v>
      </c>
      <c r="L17628">
        <v>0</v>
      </c>
      <c r="M17628">
        <v>0</v>
      </c>
      <c r="N17628">
        <v>0</v>
      </c>
    </row>
    <row r="17629" spans="1:15">
      <c r="A17629" t="s">
        <v>54006</v>
      </c>
      <c r="B17629" t="s">
        <v>12311</v>
      </c>
      <c r="C17629" t="s">
        <v>12742</v>
      </c>
      <c r="D17629" t="s">
        <v>54007</v>
      </c>
      <c r="E17629" t="b">
        <v>0</v>
      </c>
      <c r="F17629" t="s">
        <v>11610</v>
      </c>
      <c r="L17629">
        <v>0</v>
      </c>
      <c r="M17629">
        <v>0</v>
      </c>
      <c r="N17629">
        <v>0</v>
      </c>
    </row>
    <row r="17630" spans="1:15">
      <c r="A17630" t="s">
        <v>54008</v>
      </c>
      <c r="B17630" t="s">
        <v>11607</v>
      </c>
      <c r="C17630" t="s">
        <v>17620</v>
      </c>
      <c r="D17630" t="s">
        <v>54009</v>
      </c>
      <c r="E17630" t="b">
        <v>0</v>
      </c>
      <c r="F17630" t="s">
        <v>11610</v>
      </c>
      <c r="L17630">
        <v>0</v>
      </c>
      <c r="M17630">
        <v>0</v>
      </c>
      <c r="N17630">
        <v>0</v>
      </c>
    </row>
    <row r="17631" spans="1:15">
      <c r="A17631" t="s">
        <v>54010</v>
      </c>
      <c r="B17631" t="s">
        <v>11981</v>
      </c>
      <c r="C17631" t="s">
        <v>13456</v>
      </c>
      <c r="D17631" t="s">
        <v>54011</v>
      </c>
      <c r="E17631" t="b">
        <v>0</v>
      </c>
      <c r="F17631" t="s">
        <v>11624</v>
      </c>
      <c r="G17631">
        <v>45.996540000000003</v>
      </c>
      <c r="H17631">
        <v>-74.871930000000006</v>
      </c>
      <c r="I17631" t="s">
        <v>54012</v>
      </c>
      <c r="L17631">
        <v>0</v>
      </c>
      <c r="M17631">
        <v>0</v>
      </c>
      <c r="N17631">
        <v>0</v>
      </c>
      <c r="O17631" t="s">
        <v>13049</v>
      </c>
    </row>
    <row r="17632" spans="1:15">
      <c r="A17632" t="s">
        <v>54013</v>
      </c>
      <c r="B17632" t="s">
        <v>11637</v>
      </c>
      <c r="C17632" t="s">
        <v>3656</v>
      </c>
      <c r="D17632" t="s">
        <v>54014</v>
      </c>
      <c r="E17632" t="b">
        <v>0</v>
      </c>
      <c r="F17632" t="s">
        <v>11610</v>
      </c>
      <c r="L17632">
        <v>0</v>
      </c>
      <c r="M17632">
        <v>0</v>
      </c>
      <c r="N17632">
        <v>0</v>
      </c>
    </row>
    <row r="17633" spans="1:15">
      <c r="A17633" t="s">
        <v>54015</v>
      </c>
      <c r="B17633" t="s">
        <v>13014</v>
      </c>
      <c r="C17633" t="s">
        <v>50315</v>
      </c>
      <c r="D17633" t="s">
        <v>54016</v>
      </c>
      <c r="E17633" t="b">
        <v>0</v>
      </c>
      <c r="F17633" t="s">
        <v>11610</v>
      </c>
      <c r="L17633">
        <v>0</v>
      </c>
      <c r="M17633">
        <v>0</v>
      </c>
      <c r="N17633">
        <v>0</v>
      </c>
    </row>
    <row r="17634" spans="1:15">
      <c r="A17634" t="s">
        <v>50315</v>
      </c>
      <c r="B17634" t="s">
        <v>13014</v>
      </c>
      <c r="C17634" t="s">
        <v>278</v>
      </c>
      <c r="D17634" t="s">
        <v>54017</v>
      </c>
      <c r="E17634" t="b">
        <v>0</v>
      </c>
      <c r="F17634" t="s">
        <v>11610</v>
      </c>
      <c r="L17634">
        <v>0</v>
      </c>
      <c r="M17634">
        <v>0</v>
      </c>
      <c r="N17634">
        <v>4</v>
      </c>
    </row>
    <row r="17635" spans="1:15">
      <c r="A17635" t="s">
        <v>142</v>
      </c>
      <c r="B17635" t="s">
        <v>23233</v>
      </c>
      <c r="C17635" t="s">
        <v>43035</v>
      </c>
      <c r="D17635" t="s">
        <v>563</v>
      </c>
      <c r="E17635" t="b">
        <v>0</v>
      </c>
      <c r="F17635" t="s">
        <v>11624</v>
      </c>
      <c r="G17635">
        <v>32.785899999999998</v>
      </c>
      <c r="H17635">
        <v>-114.599</v>
      </c>
      <c r="I17635" t="s">
        <v>564</v>
      </c>
      <c r="L17635">
        <v>0</v>
      </c>
      <c r="M17635">
        <v>0</v>
      </c>
      <c r="N17635">
        <v>0</v>
      </c>
      <c r="O17635" t="s">
        <v>11944</v>
      </c>
    </row>
    <row r="17636" spans="1:15">
      <c r="A17636" t="s">
        <v>8999</v>
      </c>
      <c r="B17636" t="s">
        <v>141</v>
      </c>
      <c r="C17636" t="s">
        <v>6869</v>
      </c>
      <c r="D17636" t="s">
        <v>54018</v>
      </c>
      <c r="E17636" t="b">
        <v>0</v>
      </c>
      <c r="F17636" t="s">
        <v>11622</v>
      </c>
      <c r="L17636">
        <v>5</v>
      </c>
      <c r="M17636">
        <v>14</v>
      </c>
      <c r="N17636">
        <v>11</v>
      </c>
    </row>
    <row r="17637" spans="1:15">
      <c r="A17637" t="s">
        <v>21727</v>
      </c>
      <c r="B17637" t="s">
        <v>141</v>
      </c>
      <c r="C17637" t="s">
        <v>141</v>
      </c>
      <c r="D17637" t="s">
        <v>54019</v>
      </c>
      <c r="E17637" t="b">
        <v>0</v>
      </c>
      <c r="F17637" t="s">
        <v>11622</v>
      </c>
      <c r="L17637">
        <v>6</v>
      </c>
      <c r="M17637">
        <v>19</v>
      </c>
      <c r="N17637">
        <v>18</v>
      </c>
    </row>
    <row r="17638" spans="1:15">
      <c r="A17638" t="s">
        <v>141</v>
      </c>
      <c r="D17638" t="s">
        <v>54020</v>
      </c>
      <c r="E17638" t="b">
        <v>0</v>
      </c>
      <c r="F17638" t="s">
        <v>11622</v>
      </c>
      <c r="L17638">
        <v>18</v>
      </c>
      <c r="M17638">
        <v>45</v>
      </c>
      <c r="N17638">
        <v>55</v>
      </c>
    </row>
    <row r="17639" spans="1:15">
      <c r="A17639" t="s">
        <v>6869</v>
      </c>
      <c r="B17639" t="s">
        <v>141</v>
      </c>
      <c r="C17639" t="s">
        <v>141</v>
      </c>
      <c r="D17639" t="s">
        <v>54021</v>
      </c>
      <c r="E17639" t="b">
        <v>0</v>
      </c>
      <c r="F17639" t="s">
        <v>11622</v>
      </c>
      <c r="L17639">
        <v>10</v>
      </c>
      <c r="M17639">
        <v>26</v>
      </c>
      <c r="N17639">
        <v>37</v>
      </c>
    </row>
    <row r="17640" spans="1:15">
      <c r="A17640" t="s">
        <v>15441</v>
      </c>
      <c r="B17640" t="s">
        <v>141</v>
      </c>
      <c r="C17640" t="s">
        <v>6869</v>
      </c>
      <c r="D17640" t="s">
        <v>54022</v>
      </c>
      <c r="E17640" t="b">
        <v>0</v>
      </c>
      <c r="F17640" t="s">
        <v>11622</v>
      </c>
      <c r="L17640">
        <v>3</v>
      </c>
      <c r="M17640">
        <v>9</v>
      </c>
      <c r="N17640">
        <v>22</v>
      </c>
    </row>
    <row r="17641" spans="1:15">
      <c r="A17641" t="s">
        <v>20951</v>
      </c>
      <c r="B17641" t="s">
        <v>12204</v>
      </c>
      <c r="C17641" t="s">
        <v>12204</v>
      </c>
      <c r="D17641" t="s">
        <v>54023</v>
      </c>
      <c r="E17641" t="b">
        <v>0</v>
      </c>
      <c r="F17641" t="s">
        <v>11622</v>
      </c>
      <c r="L17641">
        <v>0</v>
      </c>
      <c r="M17641">
        <v>1</v>
      </c>
      <c r="N17641">
        <v>0</v>
      </c>
    </row>
    <row r="17642" spans="1:15">
      <c r="A17642" t="s">
        <v>54024</v>
      </c>
      <c r="B17642" t="s">
        <v>13450</v>
      </c>
      <c r="C17642" t="s">
        <v>13451</v>
      </c>
      <c r="D17642" t="s">
        <v>54025</v>
      </c>
      <c r="E17642" t="b">
        <v>0</v>
      </c>
      <c r="F17642" t="s">
        <v>11624</v>
      </c>
      <c r="L17642">
        <v>0</v>
      </c>
      <c r="M17642">
        <v>0</v>
      </c>
      <c r="N17642">
        <v>0</v>
      </c>
      <c r="O17642" t="s">
        <v>12107</v>
      </c>
    </row>
    <row r="17643" spans="1:15">
      <c r="A17643" t="s">
        <v>54026</v>
      </c>
      <c r="B17643" t="s">
        <v>13360</v>
      </c>
      <c r="C17643" t="s">
        <v>13360</v>
      </c>
      <c r="D17643" t="s">
        <v>54027</v>
      </c>
      <c r="E17643" t="b">
        <v>0</v>
      </c>
      <c r="F17643" t="s">
        <v>11624</v>
      </c>
      <c r="L17643">
        <v>0</v>
      </c>
      <c r="M17643">
        <v>0</v>
      </c>
      <c r="N17643">
        <v>0</v>
      </c>
      <c r="O17643" t="s">
        <v>19659</v>
      </c>
    </row>
    <row r="17644" spans="1:15">
      <c r="A17644" t="s">
        <v>54028</v>
      </c>
      <c r="B17644" t="s">
        <v>11879</v>
      </c>
      <c r="C17644" t="s">
        <v>44253</v>
      </c>
      <c r="D17644" t="s">
        <v>54029</v>
      </c>
      <c r="E17644" t="b">
        <v>0</v>
      </c>
      <c r="F17644" t="s">
        <v>11624</v>
      </c>
      <c r="G17644">
        <v>20.139600000000002</v>
      </c>
      <c r="H17644">
        <v>-100.11499999999999</v>
      </c>
      <c r="I17644" t="s">
        <v>54030</v>
      </c>
      <c r="L17644">
        <v>0</v>
      </c>
      <c r="M17644">
        <v>0</v>
      </c>
      <c r="N17644">
        <v>0</v>
      </c>
      <c r="O17644" t="s">
        <v>11883</v>
      </c>
    </row>
    <row r="17645" spans="1:15">
      <c r="A17645" t="s">
        <v>54031</v>
      </c>
      <c r="B17645" t="s">
        <v>13360</v>
      </c>
      <c r="C17645" t="s">
        <v>13360</v>
      </c>
      <c r="D17645" t="s">
        <v>54032</v>
      </c>
      <c r="E17645" t="b">
        <v>0</v>
      </c>
      <c r="F17645" t="s">
        <v>11624</v>
      </c>
      <c r="L17645">
        <v>0</v>
      </c>
      <c r="M17645">
        <v>0</v>
      </c>
      <c r="N17645">
        <v>0</v>
      </c>
      <c r="O17645" t="s">
        <v>22239</v>
      </c>
    </row>
    <row r="17646" spans="1:15">
      <c r="A17646" t="s">
        <v>54033</v>
      </c>
      <c r="B17646" t="s">
        <v>11637</v>
      </c>
      <c r="C17646" t="s">
        <v>34722</v>
      </c>
      <c r="D17646" t="s">
        <v>54034</v>
      </c>
      <c r="E17646" t="b">
        <v>0</v>
      </c>
      <c r="F17646" t="s">
        <v>11610</v>
      </c>
      <c r="L17646">
        <v>0</v>
      </c>
      <c r="M17646">
        <v>0</v>
      </c>
      <c r="N17646">
        <v>0</v>
      </c>
    </row>
    <row r="17647" spans="1:15">
      <c r="A17647" t="s">
        <v>54035</v>
      </c>
      <c r="B17647" t="s">
        <v>11627</v>
      </c>
      <c r="C17647" t="s">
        <v>11627</v>
      </c>
      <c r="D17647" t="s">
        <v>54036</v>
      </c>
      <c r="E17647" t="b">
        <v>1</v>
      </c>
      <c r="F17647" t="s">
        <v>11624</v>
      </c>
      <c r="G17647">
        <v>16.921469999999999</v>
      </c>
      <c r="H17647">
        <v>-95.672690000000003</v>
      </c>
      <c r="I17647" t="s">
        <v>54037</v>
      </c>
      <c r="L17647">
        <v>0</v>
      </c>
      <c r="M17647">
        <v>0</v>
      </c>
      <c r="N17647">
        <v>0</v>
      </c>
      <c r="O17647" t="s">
        <v>11883</v>
      </c>
    </row>
    <row r="17648" spans="1:15">
      <c r="A17648" t="s">
        <v>54038</v>
      </c>
      <c r="B17648" t="s">
        <v>11644</v>
      </c>
      <c r="C17648" t="s">
        <v>45997</v>
      </c>
      <c r="D17648" t="s">
        <v>54039</v>
      </c>
      <c r="E17648" t="b">
        <v>0</v>
      </c>
      <c r="F17648" t="s">
        <v>11624</v>
      </c>
      <c r="G17648">
        <v>30.311299999999999</v>
      </c>
      <c r="H17648">
        <v>100.813</v>
      </c>
      <c r="I17648" t="s">
        <v>54040</v>
      </c>
      <c r="L17648">
        <v>0</v>
      </c>
      <c r="M17648">
        <v>0</v>
      </c>
      <c r="N17648">
        <v>0</v>
      </c>
      <c r="O17648" t="s">
        <v>11905</v>
      </c>
    </row>
    <row r="17649" spans="1:15">
      <c r="A17649" t="s">
        <v>54041</v>
      </c>
      <c r="B17649" t="s">
        <v>11879</v>
      </c>
      <c r="C17649" t="s">
        <v>14920</v>
      </c>
      <c r="D17649" t="s">
        <v>54042</v>
      </c>
      <c r="E17649" t="b">
        <v>0</v>
      </c>
      <c r="F17649" t="s">
        <v>11624</v>
      </c>
      <c r="G17649">
        <v>16.756499999999999</v>
      </c>
      <c r="H17649">
        <v>-95.676100000000005</v>
      </c>
      <c r="I17649" t="s">
        <v>54043</v>
      </c>
      <c r="L17649">
        <v>0</v>
      </c>
      <c r="M17649">
        <v>0</v>
      </c>
      <c r="N17649">
        <v>0</v>
      </c>
      <c r="O17649" t="s">
        <v>11883</v>
      </c>
    </row>
    <row r="17650" spans="1:15">
      <c r="A17650" t="s">
        <v>29712</v>
      </c>
      <c r="B17650" t="s">
        <v>5911</v>
      </c>
      <c r="C17650" t="s">
        <v>23410</v>
      </c>
      <c r="D17650" t="s">
        <v>54044</v>
      </c>
      <c r="E17650" t="b">
        <v>0</v>
      </c>
      <c r="F17650" t="s">
        <v>11622</v>
      </c>
      <c r="L17650">
        <v>8</v>
      </c>
      <c r="M17650">
        <v>14</v>
      </c>
      <c r="N17650">
        <v>0</v>
      </c>
    </row>
    <row r="17651" spans="1:15">
      <c r="A17651" t="s">
        <v>11924</v>
      </c>
      <c r="B17651" t="s">
        <v>5911</v>
      </c>
      <c r="C17651" t="s">
        <v>20914</v>
      </c>
      <c r="D17651" t="s">
        <v>54045</v>
      </c>
      <c r="E17651" t="b">
        <v>0</v>
      </c>
      <c r="F17651" t="s">
        <v>11622</v>
      </c>
      <c r="L17651">
        <v>0</v>
      </c>
      <c r="M17651">
        <v>2</v>
      </c>
      <c r="N17651">
        <v>0</v>
      </c>
    </row>
    <row r="17652" spans="1:15">
      <c r="A17652" t="s">
        <v>54046</v>
      </c>
      <c r="B17652" t="s">
        <v>11879</v>
      </c>
      <c r="C17652" t="s">
        <v>54047</v>
      </c>
      <c r="D17652" t="s">
        <v>54048</v>
      </c>
      <c r="E17652" t="b">
        <v>0</v>
      </c>
      <c r="F17652" t="s">
        <v>11610</v>
      </c>
      <c r="L17652">
        <v>0</v>
      </c>
      <c r="M17652">
        <v>0</v>
      </c>
      <c r="N17652">
        <v>0</v>
      </c>
    </row>
    <row r="17653" spans="1:15">
      <c r="A17653" t="s">
        <v>54049</v>
      </c>
      <c r="B17653" t="s">
        <v>13360</v>
      </c>
      <c r="C17653" t="s">
        <v>13360</v>
      </c>
      <c r="D17653" t="s">
        <v>54050</v>
      </c>
      <c r="E17653" t="b">
        <v>0</v>
      </c>
      <c r="F17653" t="s">
        <v>11624</v>
      </c>
      <c r="G17653">
        <v>-8.0995830000000009</v>
      </c>
      <c r="H17653">
        <v>-79.053382999999997</v>
      </c>
      <c r="L17653">
        <v>0</v>
      </c>
      <c r="M17653">
        <v>0</v>
      </c>
      <c r="N17653">
        <v>0</v>
      </c>
      <c r="O17653" t="s">
        <v>11778</v>
      </c>
    </row>
    <row r="17654" spans="1:15">
      <c r="A17654" t="s">
        <v>31338</v>
      </c>
      <c r="B17654" t="s">
        <v>22598</v>
      </c>
      <c r="C17654" t="s">
        <v>22598</v>
      </c>
      <c r="D17654" t="s">
        <v>54051</v>
      </c>
      <c r="E17654" t="b">
        <v>0</v>
      </c>
      <c r="F17654" t="s">
        <v>11624</v>
      </c>
      <c r="G17654">
        <v>47.910600000000002</v>
      </c>
      <c r="H17654">
        <v>-124.60299999999999</v>
      </c>
      <c r="I17654" t="s">
        <v>54052</v>
      </c>
      <c r="L17654">
        <v>0</v>
      </c>
      <c r="M17654">
        <v>0</v>
      </c>
      <c r="N17654">
        <v>2</v>
      </c>
      <c r="O17654" t="s">
        <v>11944</v>
      </c>
    </row>
    <row r="17655" spans="1:15">
      <c r="A17655" t="s">
        <v>54053</v>
      </c>
      <c r="B17655" t="s">
        <v>13360</v>
      </c>
      <c r="C17655" t="s">
        <v>13360</v>
      </c>
      <c r="D17655" t="s">
        <v>54054</v>
      </c>
      <c r="E17655" t="b">
        <v>0</v>
      </c>
      <c r="F17655" t="s">
        <v>11624</v>
      </c>
      <c r="L17655">
        <v>0</v>
      </c>
      <c r="M17655">
        <v>0</v>
      </c>
      <c r="N17655">
        <v>0</v>
      </c>
      <c r="O17655" t="s">
        <v>11898</v>
      </c>
    </row>
    <row r="17656" spans="1:15">
      <c r="A17656" t="s">
        <v>54055</v>
      </c>
      <c r="B17656" t="s">
        <v>9071</v>
      </c>
      <c r="C17656" t="s">
        <v>54056</v>
      </c>
      <c r="D17656" t="s">
        <v>54057</v>
      </c>
      <c r="E17656" t="b">
        <v>0</v>
      </c>
      <c r="F17656" t="s">
        <v>11610</v>
      </c>
      <c r="L17656">
        <v>0</v>
      </c>
      <c r="M17656">
        <v>0</v>
      </c>
      <c r="N17656">
        <v>0</v>
      </c>
    </row>
    <row r="17657" spans="1:15">
      <c r="A17657" t="s">
        <v>54058</v>
      </c>
      <c r="B17657" t="s">
        <v>15505</v>
      </c>
      <c r="C17657" t="s">
        <v>18207</v>
      </c>
      <c r="D17657" t="s">
        <v>54059</v>
      </c>
      <c r="E17657" t="b">
        <v>0</v>
      </c>
      <c r="F17657" t="s">
        <v>11610</v>
      </c>
      <c r="L17657">
        <v>0</v>
      </c>
      <c r="M17657">
        <v>0</v>
      </c>
      <c r="N17657">
        <v>0</v>
      </c>
    </row>
    <row r="17658" spans="1:15">
      <c r="A17658" t="s">
        <v>54060</v>
      </c>
      <c r="B17658" t="s">
        <v>13360</v>
      </c>
      <c r="C17658" t="s">
        <v>13360</v>
      </c>
      <c r="D17658" t="s">
        <v>54061</v>
      </c>
      <c r="E17658" t="b">
        <v>0</v>
      </c>
      <c r="F17658" t="s">
        <v>11624</v>
      </c>
      <c r="G17658">
        <v>40.263800000000003</v>
      </c>
      <c r="H17658">
        <v>-3.6870400000000001</v>
      </c>
      <c r="I17658" t="s">
        <v>54062</v>
      </c>
      <c r="L17658">
        <v>0</v>
      </c>
      <c r="M17658">
        <v>0</v>
      </c>
      <c r="N17658">
        <v>0</v>
      </c>
      <c r="O17658" t="s">
        <v>13707</v>
      </c>
    </row>
    <row r="17659" spans="1:15">
      <c r="A17659" t="s">
        <v>40944</v>
      </c>
      <c r="B17659" t="s">
        <v>9071</v>
      </c>
      <c r="C17659" t="s">
        <v>23165</v>
      </c>
      <c r="D17659" t="s">
        <v>54063</v>
      </c>
      <c r="E17659" t="b">
        <v>0</v>
      </c>
      <c r="F17659" t="s">
        <v>11624</v>
      </c>
      <c r="G17659">
        <v>47.421399999999998</v>
      </c>
      <c r="H17659">
        <v>-124.16</v>
      </c>
      <c r="I17659" t="s">
        <v>54064</v>
      </c>
      <c r="L17659">
        <v>0</v>
      </c>
      <c r="M17659">
        <v>0</v>
      </c>
      <c r="N17659">
        <v>1</v>
      </c>
      <c r="O17659" t="s">
        <v>11944</v>
      </c>
    </row>
    <row r="17660" spans="1:15">
      <c r="A17660" t="s">
        <v>54065</v>
      </c>
      <c r="B17660" t="s">
        <v>13360</v>
      </c>
      <c r="C17660" t="s">
        <v>13360</v>
      </c>
      <c r="D17660" t="s">
        <v>54066</v>
      </c>
      <c r="E17660" t="b">
        <v>0</v>
      </c>
      <c r="F17660" t="s">
        <v>11624</v>
      </c>
      <c r="L17660">
        <v>0</v>
      </c>
      <c r="M17660">
        <v>0</v>
      </c>
      <c r="N17660">
        <v>0</v>
      </c>
      <c r="O17660" t="s">
        <v>11883</v>
      </c>
    </row>
    <row r="17661" spans="1:15">
      <c r="A17661" t="s">
        <v>54067</v>
      </c>
      <c r="B17661" t="s">
        <v>11879</v>
      </c>
      <c r="C17661" t="s">
        <v>22662</v>
      </c>
      <c r="D17661" t="s">
        <v>54068</v>
      </c>
      <c r="E17661" t="b">
        <v>0</v>
      </c>
      <c r="F17661" t="s">
        <v>11624</v>
      </c>
      <c r="G17661">
        <v>17.562100000000001</v>
      </c>
      <c r="H17661">
        <v>-96.602000000000004</v>
      </c>
      <c r="I17661" t="s">
        <v>54069</v>
      </c>
      <c r="L17661">
        <v>0</v>
      </c>
      <c r="M17661">
        <v>0</v>
      </c>
      <c r="N17661">
        <v>1</v>
      </c>
      <c r="O17661" t="s">
        <v>11883</v>
      </c>
    </row>
    <row r="17662" spans="1:15">
      <c r="A17662" t="s">
        <v>54047</v>
      </c>
      <c r="B17662" t="s">
        <v>11879</v>
      </c>
      <c r="C17662" t="s">
        <v>44783</v>
      </c>
      <c r="D17662" t="s">
        <v>54070</v>
      </c>
      <c r="E17662" t="b">
        <v>0</v>
      </c>
      <c r="F17662" t="s">
        <v>11624</v>
      </c>
      <c r="G17662">
        <v>16.3416</v>
      </c>
      <c r="H17662">
        <v>-96.155500000000004</v>
      </c>
      <c r="I17662" t="s">
        <v>54071</v>
      </c>
      <c r="L17662">
        <v>0</v>
      </c>
      <c r="M17662">
        <v>0</v>
      </c>
      <c r="N17662">
        <v>2</v>
      </c>
      <c r="O17662" t="s">
        <v>11883</v>
      </c>
    </row>
    <row r="17663" spans="1:15">
      <c r="A17663" t="s">
        <v>54072</v>
      </c>
      <c r="B17663" t="s">
        <v>11879</v>
      </c>
      <c r="C17663" t="s">
        <v>54047</v>
      </c>
      <c r="D17663" t="s">
        <v>54073</v>
      </c>
      <c r="E17663" t="b">
        <v>0</v>
      </c>
      <c r="F17663" t="s">
        <v>11610</v>
      </c>
      <c r="L17663">
        <v>0</v>
      </c>
      <c r="M17663">
        <v>0</v>
      </c>
      <c r="N17663">
        <v>0</v>
      </c>
    </row>
    <row r="17664" spans="1:15">
      <c r="A17664" t="s">
        <v>54074</v>
      </c>
      <c r="B17664" t="s">
        <v>11894</v>
      </c>
      <c r="C17664" t="s">
        <v>16707</v>
      </c>
      <c r="D17664" t="s">
        <v>54075</v>
      </c>
      <c r="E17664" t="b">
        <v>0</v>
      </c>
      <c r="F17664" t="s">
        <v>11610</v>
      </c>
      <c r="L17664">
        <v>0</v>
      </c>
      <c r="M17664">
        <v>0</v>
      </c>
      <c r="N17664">
        <v>0</v>
      </c>
    </row>
    <row r="17665" spans="1:15">
      <c r="A17665" t="s">
        <v>54076</v>
      </c>
      <c r="B17665" t="s">
        <v>11644</v>
      </c>
      <c r="C17665" t="s">
        <v>28526</v>
      </c>
      <c r="D17665" t="s">
        <v>54077</v>
      </c>
      <c r="E17665" t="b">
        <v>0</v>
      </c>
      <c r="F17665" t="s">
        <v>11624</v>
      </c>
      <c r="L17665">
        <v>0</v>
      </c>
      <c r="M17665">
        <v>0</v>
      </c>
      <c r="N17665">
        <v>0</v>
      </c>
      <c r="O17665" t="s">
        <v>11905</v>
      </c>
    </row>
    <row r="17666" spans="1:15">
      <c r="A17666" t="s">
        <v>54078</v>
      </c>
      <c r="B17666" t="s">
        <v>12311</v>
      </c>
      <c r="C17666" t="s">
        <v>13578</v>
      </c>
      <c r="D17666" t="s">
        <v>54079</v>
      </c>
      <c r="E17666" t="b">
        <v>0</v>
      </c>
      <c r="F17666" t="s">
        <v>11610</v>
      </c>
      <c r="L17666">
        <v>0</v>
      </c>
      <c r="M17666">
        <v>0</v>
      </c>
      <c r="N17666">
        <v>0</v>
      </c>
    </row>
    <row r="17667" spans="1:15">
      <c r="A17667" t="s">
        <v>54080</v>
      </c>
      <c r="B17667" t="s">
        <v>6742</v>
      </c>
      <c r="C17667" t="s">
        <v>257</v>
      </c>
      <c r="D17667" t="s">
        <v>54081</v>
      </c>
      <c r="E17667" t="b">
        <v>0</v>
      </c>
      <c r="F17667" t="s">
        <v>11610</v>
      </c>
      <c r="L17667">
        <v>0</v>
      </c>
      <c r="M17667">
        <v>0</v>
      </c>
      <c r="N17667">
        <v>0</v>
      </c>
    </row>
    <row r="17668" spans="1:15">
      <c r="A17668" t="s">
        <v>54082</v>
      </c>
      <c r="B17668" t="s">
        <v>331</v>
      </c>
      <c r="C17668" t="s">
        <v>4630</v>
      </c>
      <c r="D17668" t="s">
        <v>54083</v>
      </c>
      <c r="E17668" t="b">
        <v>0</v>
      </c>
      <c r="F17668" t="s">
        <v>11610</v>
      </c>
      <c r="L17668">
        <v>0</v>
      </c>
      <c r="M17668">
        <v>0</v>
      </c>
      <c r="N17668">
        <v>0</v>
      </c>
    </row>
    <row r="17669" spans="1:15">
      <c r="A17669" t="s">
        <v>54084</v>
      </c>
      <c r="B17669" t="s">
        <v>11637</v>
      </c>
      <c r="C17669" t="s">
        <v>11825</v>
      </c>
      <c r="D17669" t="s">
        <v>54085</v>
      </c>
      <c r="E17669" t="b">
        <v>0</v>
      </c>
      <c r="F17669" t="s">
        <v>11610</v>
      </c>
      <c r="L17669">
        <v>0</v>
      </c>
      <c r="M17669">
        <v>0</v>
      </c>
      <c r="N17669">
        <v>0</v>
      </c>
    </row>
    <row r="17670" spans="1:15">
      <c r="A17670" t="s">
        <v>54086</v>
      </c>
      <c r="B17670" t="s">
        <v>11637</v>
      </c>
      <c r="C17670" t="s">
        <v>33946</v>
      </c>
      <c r="D17670" t="s">
        <v>54087</v>
      </c>
      <c r="E17670" t="b">
        <v>0</v>
      </c>
      <c r="F17670" t="s">
        <v>11610</v>
      </c>
      <c r="L17670">
        <v>0</v>
      </c>
      <c r="M17670">
        <v>0</v>
      </c>
      <c r="N17670">
        <v>0</v>
      </c>
    </row>
    <row r="17671" spans="1:15">
      <c r="A17671" t="s">
        <v>54088</v>
      </c>
      <c r="B17671" t="s">
        <v>12438</v>
      </c>
      <c r="C17671" t="s">
        <v>23523</v>
      </c>
      <c r="D17671" t="s">
        <v>54089</v>
      </c>
      <c r="E17671" t="b">
        <v>0</v>
      </c>
      <c r="F17671" t="s">
        <v>11610</v>
      </c>
      <c r="L17671">
        <v>0</v>
      </c>
      <c r="M17671">
        <v>0</v>
      </c>
      <c r="N17671">
        <v>0</v>
      </c>
    </row>
    <row r="17672" spans="1:15">
      <c r="A17672" t="s">
        <v>54090</v>
      </c>
      <c r="B17672" t="s">
        <v>6742</v>
      </c>
      <c r="C17672" t="s">
        <v>23010</v>
      </c>
      <c r="D17672" t="s">
        <v>54091</v>
      </c>
      <c r="E17672" t="b">
        <v>0</v>
      </c>
      <c r="F17672" t="s">
        <v>11610</v>
      </c>
      <c r="L17672">
        <v>0</v>
      </c>
      <c r="M17672">
        <v>0</v>
      </c>
      <c r="N17672">
        <v>0</v>
      </c>
    </row>
    <row r="17673" spans="1:15">
      <c r="A17673" t="s">
        <v>54092</v>
      </c>
      <c r="B17673" t="s">
        <v>11607</v>
      </c>
      <c r="C17673" t="s">
        <v>27826</v>
      </c>
      <c r="D17673" t="s">
        <v>54093</v>
      </c>
      <c r="E17673" t="b">
        <v>0</v>
      </c>
      <c r="F17673" t="s">
        <v>11610</v>
      </c>
      <c r="L17673">
        <v>0</v>
      </c>
      <c r="M17673">
        <v>0</v>
      </c>
      <c r="N17673">
        <v>0</v>
      </c>
    </row>
    <row r="17674" spans="1:15">
      <c r="A17674" t="s">
        <v>41804</v>
      </c>
      <c r="B17674" t="s">
        <v>11644</v>
      </c>
      <c r="C17674" t="s">
        <v>15051</v>
      </c>
      <c r="D17674" t="s">
        <v>54094</v>
      </c>
      <c r="E17674" t="b">
        <v>0</v>
      </c>
      <c r="F17674" t="s">
        <v>11624</v>
      </c>
      <c r="G17674">
        <v>25.8248</v>
      </c>
      <c r="H17674">
        <v>91.168899999999994</v>
      </c>
      <c r="I17674" t="s">
        <v>54095</v>
      </c>
      <c r="L17674">
        <v>0</v>
      </c>
      <c r="M17674">
        <v>0</v>
      </c>
      <c r="N17674">
        <v>2</v>
      </c>
      <c r="O17674" t="s">
        <v>11630</v>
      </c>
    </row>
    <row r="17675" spans="1:15">
      <c r="A17675" t="s">
        <v>54096</v>
      </c>
      <c r="B17675" t="s">
        <v>12148</v>
      </c>
      <c r="C17675" t="s">
        <v>61</v>
      </c>
      <c r="D17675" t="s">
        <v>54097</v>
      </c>
      <c r="E17675" t="b">
        <v>0</v>
      </c>
      <c r="F17675" t="s">
        <v>11610</v>
      </c>
      <c r="L17675">
        <v>0</v>
      </c>
      <c r="M17675">
        <v>0</v>
      </c>
      <c r="N17675">
        <v>0</v>
      </c>
    </row>
    <row r="17676" spans="1:15">
      <c r="A17676" t="s">
        <v>12044</v>
      </c>
      <c r="B17676" t="s">
        <v>367</v>
      </c>
      <c r="C17676" t="s">
        <v>18497</v>
      </c>
      <c r="D17676" t="s">
        <v>54098</v>
      </c>
      <c r="E17676" t="b">
        <v>0</v>
      </c>
      <c r="F17676" t="s">
        <v>11624</v>
      </c>
      <c r="G17676">
        <v>12.978999999999999</v>
      </c>
      <c r="H17676">
        <v>108.41</v>
      </c>
      <c r="I17676" t="s">
        <v>54099</v>
      </c>
      <c r="L17676">
        <v>0</v>
      </c>
      <c r="M17676">
        <v>0</v>
      </c>
      <c r="N17676">
        <v>6</v>
      </c>
      <c r="O17676" t="s">
        <v>20010</v>
      </c>
    </row>
    <row r="17677" spans="1:15">
      <c r="A17677" t="s">
        <v>18497</v>
      </c>
      <c r="B17677" t="s">
        <v>367</v>
      </c>
      <c r="C17677" t="s">
        <v>22885</v>
      </c>
      <c r="D17677" t="s">
        <v>54100</v>
      </c>
      <c r="E17677" t="b">
        <v>0</v>
      </c>
      <c r="F17677" t="s">
        <v>11622</v>
      </c>
      <c r="L17677">
        <v>0</v>
      </c>
      <c r="M17677">
        <v>3</v>
      </c>
      <c r="N17677">
        <v>16</v>
      </c>
    </row>
    <row r="17678" spans="1:15">
      <c r="A17678" t="s">
        <v>54101</v>
      </c>
      <c r="B17678" t="s">
        <v>13360</v>
      </c>
      <c r="C17678" t="s">
        <v>13360</v>
      </c>
      <c r="D17678" t="s">
        <v>54102</v>
      </c>
      <c r="E17678" t="b">
        <v>0</v>
      </c>
      <c r="F17678" t="s">
        <v>11624</v>
      </c>
      <c r="I17678" t="s">
        <v>54103</v>
      </c>
      <c r="L17678">
        <v>0</v>
      </c>
      <c r="M17678">
        <v>0</v>
      </c>
      <c r="N17678">
        <v>0</v>
      </c>
      <c r="O17678" t="s">
        <v>13676</v>
      </c>
    </row>
    <row r="17679" spans="1:15">
      <c r="A17679" t="s">
        <v>54104</v>
      </c>
      <c r="B17679" t="s">
        <v>11637</v>
      </c>
      <c r="C17679" t="s">
        <v>13063</v>
      </c>
      <c r="D17679" t="s">
        <v>54105</v>
      </c>
      <c r="E17679" t="b">
        <v>0</v>
      </c>
      <c r="F17679" t="s">
        <v>11610</v>
      </c>
      <c r="L17679">
        <v>0</v>
      </c>
      <c r="M17679">
        <v>0</v>
      </c>
      <c r="N17679">
        <v>0</v>
      </c>
    </row>
    <row r="17680" spans="1:15">
      <c r="A17680" t="s">
        <v>54106</v>
      </c>
      <c r="B17680" t="s">
        <v>11757</v>
      </c>
      <c r="C17680" t="s">
        <v>11848</v>
      </c>
      <c r="D17680" t="s">
        <v>54107</v>
      </c>
      <c r="E17680" t="b">
        <v>0</v>
      </c>
      <c r="F17680" t="s">
        <v>11610</v>
      </c>
      <c r="L17680">
        <v>0</v>
      </c>
      <c r="M17680">
        <v>0</v>
      </c>
      <c r="N17680">
        <v>0</v>
      </c>
    </row>
    <row r="17681" spans="1:15">
      <c r="A17681" t="s">
        <v>54108</v>
      </c>
      <c r="B17681" t="s">
        <v>367</v>
      </c>
      <c r="C17681" t="s">
        <v>36882</v>
      </c>
      <c r="D17681" t="s">
        <v>54109</v>
      </c>
      <c r="E17681" t="b">
        <v>0</v>
      </c>
      <c r="F17681" t="s">
        <v>11624</v>
      </c>
      <c r="G17681">
        <v>-3.24627</v>
      </c>
      <c r="H17681">
        <v>121.059</v>
      </c>
      <c r="I17681" t="s">
        <v>54110</v>
      </c>
      <c r="L17681">
        <v>0</v>
      </c>
      <c r="M17681">
        <v>0</v>
      </c>
      <c r="N17681">
        <v>0</v>
      </c>
      <c r="O17681" t="s">
        <v>11768</v>
      </c>
    </row>
    <row r="17682" spans="1:15">
      <c r="A17682" t="s">
        <v>54111</v>
      </c>
      <c r="B17682" t="s">
        <v>11644</v>
      </c>
      <c r="C17682" t="s">
        <v>33421</v>
      </c>
      <c r="D17682" t="s">
        <v>54112</v>
      </c>
      <c r="E17682" t="b">
        <v>0</v>
      </c>
      <c r="F17682" t="s">
        <v>11610</v>
      </c>
      <c r="L17682">
        <v>0</v>
      </c>
      <c r="M17682">
        <v>0</v>
      </c>
      <c r="N17682">
        <v>0</v>
      </c>
    </row>
    <row r="17683" spans="1:15">
      <c r="A17683" t="s">
        <v>27544</v>
      </c>
      <c r="B17683" t="s">
        <v>11615</v>
      </c>
      <c r="C17683" t="s">
        <v>23551</v>
      </c>
      <c r="D17683" t="s">
        <v>54113</v>
      </c>
      <c r="E17683" t="b">
        <v>0</v>
      </c>
      <c r="F17683" t="s">
        <v>11622</v>
      </c>
      <c r="L17683">
        <v>9</v>
      </c>
      <c r="M17683">
        <v>32</v>
      </c>
      <c r="N17683">
        <v>2</v>
      </c>
    </row>
    <row r="17684" spans="1:15">
      <c r="A17684" t="s">
        <v>54114</v>
      </c>
      <c r="B17684" t="s">
        <v>11844</v>
      </c>
      <c r="C17684" t="s">
        <v>25928</v>
      </c>
      <c r="D17684" t="s">
        <v>54115</v>
      </c>
      <c r="E17684" t="b">
        <v>0</v>
      </c>
      <c r="F17684" t="s">
        <v>11610</v>
      </c>
      <c r="L17684">
        <v>0</v>
      </c>
      <c r="M17684">
        <v>0</v>
      </c>
      <c r="N17684">
        <v>0</v>
      </c>
    </row>
    <row r="17685" spans="1:15">
      <c r="A17685" t="s">
        <v>54116</v>
      </c>
      <c r="B17685" t="s">
        <v>367</v>
      </c>
      <c r="C17685" t="s">
        <v>12116</v>
      </c>
      <c r="D17685" t="s">
        <v>54117</v>
      </c>
      <c r="E17685" t="b">
        <v>0</v>
      </c>
      <c r="F17685" t="s">
        <v>11610</v>
      </c>
      <c r="L17685">
        <v>0</v>
      </c>
      <c r="M17685">
        <v>0</v>
      </c>
      <c r="N17685">
        <v>0</v>
      </c>
    </row>
    <row r="17686" spans="1:15">
      <c r="A17686" t="s">
        <v>54118</v>
      </c>
      <c r="B17686" t="s">
        <v>367</v>
      </c>
      <c r="C17686" t="s">
        <v>22887</v>
      </c>
      <c r="D17686" t="s">
        <v>54119</v>
      </c>
      <c r="E17686" t="b">
        <v>0</v>
      </c>
      <c r="F17686" t="s">
        <v>11610</v>
      </c>
      <c r="L17686">
        <v>0</v>
      </c>
      <c r="M17686">
        <v>0</v>
      </c>
      <c r="N17686">
        <v>0</v>
      </c>
    </row>
    <row r="17687" spans="1:15">
      <c r="A17687" t="s">
        <v>54120</v>
      </c>
      <c r="B17687" t="s">
        <v>367</v>
      </c>
      <c r="C17687" t="s">
        <v>54121</v>
      </c>
      <c r="D17687" t="s">
        <v>54122</v>
      </c>
      <c r="E17687" t="b">
        <v>0</v>
      </c>
      <c r="F17687" t="s">
        <v>11610</v>
      </c>
      <c r="L17687">
        <v>0</v>
      </c>
      <c r="M17687">
        <v>0</v>
      </c>
      <c r="N17687">
        <v>0</v>
      </c>
    </row>
    <row r="17688" spans="1:15">
      <c r="A17688" t="s">
        <v>54123</v>
      </c>
      <c r="B17688" t="s">
        <v>367</v>
      </c>
      <c r="C17688" t="s">
        <v>40025</v>
      </c>
      <c r="D17688" t="s">
        <v>54124</v>
      </c>
      <c r="E17688" t="b">
        <v>0</v>
      </c>
      <c r="F17688" t="s">
        <v>11610</v>
      </c>
      <c r="L17688">
        <v>0</v>
      </c>
      <c r="M17688">
        <v>0</v>
      </c>
      <c r="N17688">
        <v>0</v>
      </c>
    </row>
    <row r="17689" spans="1:15">
      <c r="A17689" t="s">
        <v>54125</v>
      </c>
      <c r="B17689" t="s">
        <v>12979</v>
      </c>
      <c r="C17689" t="s">
        <v>12980</v>
      </c>
      <c r="D17689" t="s">
        <v>54126</v>
      </c>
      <c r="E17689" t="b">
        <v>0</v>
      </c>
      <c r="F17689" t="s">
        <v>11610</v>
      </c>
      <c r="L17689">
        <v>0</v>
      </c>
      <c r="M17689">
        <v>0</v>
      </c>
      <c r="N17689">
        <v>0</v>
      </c>
    </row>
    <row r="17690" spans="1:15">
      <c r="A17690" t="s">
        <v>54127</v>
      </c>
      <c r="B17690" t="s">
        <v>367</v>
      </c>
      <c r="C17690" t="s">
        <v>12116</v>
      </c>
      <c r="D17690" t="s">
        <v>54128</v>
      </c>
      <c r="E17690" t="b">
        <v>0</v>
      </c>
      <c r="F17690" t="s">
        <v>11610</v>
      </c>
      <c r="L17690">
        <v>0</v>
      </c>
      <c r="M17690">
        <v>0</v>
      </c>
      <c r="N17690">
        <v>0</v>
      </c>
    </row>
    <row r="17691" spans="1:15">
      <c r="A17691" t="s">
        <v>54129</v>
      </c>
      <c r="B17691" t="s">
        <v>11637</v>
      </c>
      <c r="C17691" t="s">
        <v>19820</v>
      </c>
      <c r="D17691" t="s">
        <v>54130</v>
      </c>
      <c r="E17691" t="b">
        <v>0</v>
      </c>
      <c r="F17691" t="s">
        <v>11610</v>
      </c>
      <c r="L17691">
        <v>0</v>
      </c>
      <c r="M17691">
        <v>0</v>
      </c>
      <c r="N17691">
        <v>0</v>
      </c>
    </row>
    <row r="17692" spans="1:15">
      <c r="A17692" t="s">
        <v>54131</v>
      </c>
      <c r="B17692" t="s">
        <v>11607</v>
      </c>
      <c r="C17692" t="s">
        <v>13919</v>
      </c>
      <c r="D17692" t="s">
        <v>54132</v>
      </c>
      <c r="E17692" t="b">
        <v>0</v>
      </c>
      <c r="F17692" t="s">
        <v>11610</v>
      </c>
      <c r="L17692">
        <v>0</v>
      </c>
      <c r="M17692">
        <v>0</v>
      </c>
      <c r="N17692">
        <v>0</v>
      </c>
    </row>
    <row r="17693" spans="1:15">
      <c r="A17693" t="s">
        <v>54133</v>
      </c>
      <c r="B17693" t="s">
        <v>367</v>
      </c>
      <c r="C17693" t="s">
        <v>15189</v>
      </c>
      <c r="D17693" t="s">
        <v>54134</v>
      </c>
      <c r="E17693" t="b">
        <v>0</v>
      </c>
      <c r="F17693" t="s">
        <v>11610</v>
      </c>
      <c r="L17693">
        <v>0</v>
      </c>
      <c r="M17693">
        <v>0</v>
      </c>
      <c r="N17693">
        <v>0</v>
      </c>
    </row>
    <row r="17694" spans="1:15">
      <c r="A17694" t="s">
        <v>54135</v>
      </c>
      <c r="B17694" t="s">
        <v>11637</v>
      </c>
      <c r="C17694" t="s">
        <v>15671</v>
      </c>
      <c r="D17694" t="s">
        <v>54136</v>
      </c>
      <c r="E17694" t="b">
        <v>0</v>
      </c>
      <c r="F17694" t="s">
        <v>11610</v>
      </c>
      <c r="L17694">
        <v>0</v>
      </c>
      <c r="M17694">
        <v>0</v>
      </c>
      <c r="N17694">
        <v>0</v>
      </c>
    </row>
    <row r="17695" spans="1:15">
      <c r="A17695" t="s">
        <v>54137</v>
      </c>
      <c r="B17695" t="s">
        <v>11637</v>
      </c>
      <c r="C17695" t="s">
        <v>18824</v>
      </c>
      <c r="D17695" t="s">
        <v>54138</v>
      </c>
      <c r="E17695" t="b">
        <v>0</v>
      </c>
      <c r="F17695" t="s">
        <v>11610</v>
      </c>
      <c r="L17695">
        <v>0</v>
      </c>
      <c r="M17695">
        <v>0</v>
      </c>
      <c r="N17695">
        <v>0</v>
      </c>
    </row>
    <row r="17696" spans="1:15">
      <c r="A17696" t="s">
        <v>54139</v>
      </c>
      <c r="B17696" t="s">
        <v>367</v>
      </c>
      <c r="C17696" t="s">
        <v>12397</v>
      </c>
      <c r="D17696" t="s">
        <v>54140</v>
      </c>
      <c r="E17696" t="b">
        <v>0</v>
      </c>
      <c r="F17696" t="s">
        <v>11624</v>
      </c>
      <c r="G17696">
        <v>8.2934000000000001</v>
      </c>
      <c r="H17696">
        <v>126.26600000000001</v>
      </c>
      <c r="I17696" t="s">
        <v>54141</v>
      </c>
      <c r="L17696">
        <v>0</v>
      </c>
      <c r="M17696">
        <v>0</v>
      </c>
      <c r="N17696">
        <v>0</v>
      </c>
      <c r="O17696" t="s">
        <v>11749</v>
      </c>
    </row>
    <row r="17697" spans="1:15">
      <c r="A17697" t="s">
        <v>13371</v>
      </c>
      <c r="B17697" t="s">
        <v>367</v>
      </c>
      <c r="C17697" t="s">
        <v>19355</v>
      </c>
      <c r="D17697" t="s">
        <v>54142</v>
      </c>
      <c r="E17697" t="b">
        <v>0</v>
      </c>
      <c r="F17697" t="s">
        <v>11622</v>
      </c>
      <c r="L17697">
        <v>6</v>
      </c>
      <c r="M17697">
        <v>17</v>
      </c>
      <c r="N17697">
        <v>16</v>
      </c>
    </row>
    <row r="17698" spans="1:15">
      <c r="A17698" t="s">
        <v>15874</v>
      </c>
      <c r="B17698" t="s">
        <v>11637</v>
      </c>
      <c r="C17698" t="s">
        <v>30041</v>
      </c>
      <c r="D17698" t="s">
        <v>54143</v>
      </c>
      <c r="E17698" t="b">
        <v>0</v>
      </c>
      <c r="F17698" t="s">
        <v>11622</v>
      </c>
      <c r="L17698">
        <v>4</v>
      </c>
      <c r="M17698">
        <v>22</v>
      </c>
      <c r="N17698">
        <v>29</v>
      </c>
    </row>
    <row r="17699" spans="1:15">
      <c r="A17699" t="s">
        <v>17367</v>
      </c>
      <c r="B17699" t="s">
        <v>367</v>
      </c>
      <c r="C17699" t="s">
        <v>43323</v>
      </c>
      <c r="D17699" t="s">
        <v>54144</v>
      </c>
      <c r="E17699" t="b">
        <v>0</v>
      </c>
      <c r="F17699" t="s">
        <v>11622</v>
      </c>
      <c r="L17699">
        <v>0</v>
      </c>
      <c r="M17699">
        <v>5</v>
      </c>
      <c r="N17699">
        <v>3</v>
      </c>
    </row>
    <row r="17700" spans="1:15">
      <c r="A17700" t="s">
        <v>54145</v>
      </c>
      <c r="B17700" t="s">
        <v>11637</v>
      </c>
      <c r="C17700" t="s">
        <v>54146</v>
      </c>
      <c r="D17700" t="s">
        <v>54147</v>
      </c>
      <c r="E17700" t="b">
        <v>0</v>
      </c>
      <c r="F17700" t="s">
        <v>11624</v>
      </c>
      <c r="G17700">
        <v>26.521944999999999</v>
      </c>
      <c r="H17700">
        <v>88.038582000000005</v>
      </c>
      <c r="I17700" t="s">
        <v>54148</v>
      </c>
      <c r="L17700">
        <v>0</v>
      </c>
      <c r="M17700">
        <v>0</v>
      </c>
      <c r="N17700">
        <v>0</v>
      </c>
      <c r="O17700" t="s">
        <v>12524</v>
      </c>
    </row>
    <row r="17701" spans="1:15">
      <c r="A17701" t="s">
        <v>54149</v>
      </c>
      <c r="B17701" t="s">
        <v>11627</v>
      </c>
      <c r="C17701" t="s">
        <v>11627</v>
      </c>
      <c r="D17701" t="s">
        <v>54150</v>
      </c>
      <c r="E17701" t="b">
        <v>1</v>
      </c>
      <c r="F17701" t="s">
        <v>11624</v>
      </c>
      <c r="I17701" t="s">
        <v>54151</v>
      </c>
      <c r="L17701">
        <v>0</v>
      </c>
      <c r="M17701">
        <v>0</v>
      </c>
      <c r="N17701">
        <v>0</v>
      </c>
    </row>
    <row r="17702" spans="1:15">
      <c r="A17702" t="s">
        <v>54152</v>
      </c>
      <c r="B17702" t="s">
        <v>11644</v>
      </c>
      <c r="C17702" t="s">
        <v>11644</v>
      </c>
      <c r="D17702" t="s">
        <v>54153</v>
      </c>
      <c r="E17702" t="b">
        <v>0</v>
      </c>
      <c r="F17702" t="s">
        <v>11622</v>
      </c>
      <c r="L17702">
        <v>1</v>
      </c>
      <c r="M17702">
        <v>3</v>
      </c>
      <c r="N17702">
        <v>0</v>
      </c>
    </row>
    <row r="17703" spans="1:15">
      <c r="A17703" t="s">
        <v>54154</v>
      </c>
      <c r="B17703" t="s">
        <v>11644</v>
      </c>
      <c r="C17703" t="s">
        <v>54152</v>
      </c>
      <c r="D17703" t="s">
        <v>54155</v>
      </c>
      <c r="E17703" t="b">
        <v>0</v>
      </c>
      <c r="F17703" t="s">
        <v>11624</v>
      </c>
      <c r="G17703">
        <v>28.615100000000002</v>
      </c>
      <c r="H17703">
        <v>81.576999999999998</v>
      </c>
      <c r="I17703" t="s">
        <v>54156</v>
      </c>
      <c r="L17703">
        <v>0</v>
      </c>
      <c r="M17703">
        <v>0</v>
      </c>
      <c r="N17703">
        <v>0</v>
      </c>
      <c r="O17703" t="s">
        <v>15007</v>
      </c>
    </row>
    <row r="17704" spans="1:15">
      <c r="A17704" t="s">
        <v>54157</v>
      </c>
      <c r="B17704" t="s">
        <v>11637</v>
      </c>
      <c r="C17704" t="s">
        <v>24208</v>
      </c>
      <c r="D17704" t="s">
        <v>54158</v>
      </c>
      <c r="E17704" t="b">
        <v>0</v>
      </c>
      <c r="F17704" t="s">
        <v>11610</v>
      </c>
      <c r="L17704">
        <v>0</v>
      </c>
      <c r="M17704">
        <v>0</v>
      </c>
      <c r="N17704">
        <v>0</v>
      </c>
    </row>
    <row r="17705" spans="1:15">
      <c r="A17705" t="s">
        <v>54159</v>
      </c>
      <c r="B17705" t="s">
        <v>367</v>
      </c>
      <c r="C17705" t="s">
        <v>54160</v>
      </c>
      <c r="D17705" t="s">
        <v>54161</v>
      </c>
      <c r="E17705" t="b">
        <v>0</v>
      </c>
      <c r="F17705" t="s">
        <v>11624</v>
      </c>
      <c r="G17705">
        <v>-8.6580960000000005</v>
      </c>
      <c r="H17705">
        <v>120.87441800000001</v>
      </c>
      <c r="I17705" t="s">
        <v>54162</v>
      </c>
      <c r="L17705">
        <v>0</v>
      </c>
      <c r="M17705">
        <v>0</v>
      </c>
      <c r="N17705">
        <v>0</v>
      </c>
      <c r="O17705" t="s">
        <v>11768</v>
      </c>
    </row>
    <row r="17706" spans="1:15">
      <c r="A17706" t="s">
        <v>54163</v>
      </c>
      <c r="B17706" t="s">
        <v>11637</v>
      </c>
      <c r="C17706" t="s">
        <v>12086</v>
      </c>
      <c r="D17706" t="s">
        <v>54164</v>
      </c>
      <c r="E17706" t="b">
        <v>0</v>
      </c>
      <c r="F17706" t="s">
        <v>11624</v>
      </c>
      <c r="G17706">
        <v>24.545100000000001</v>
      </c>
      <c r="H17706">
        <v>73.247200000000007</v>
      </c>
      <c r="I17706" t="s">
        <v>54165</v>
      </c>
      <c r="L17706">
        <v>0</v>
      </c>
      <c r="M17706">
        <v>0</v>
      </c>
      <c r="N17706">
        <v>0</v>
      </c>
      <c r="O17706" t="s">
        <v>11630</v>
      </c>
    </row>
    <row r="17707" spans="1:15">
      <c r="A17707" t="s">
        <v>54166</v>
      </c>
      <c r="B17707" t="s">
        <v>11637</v>
      </c>
      <c r="C17707" t="s">
        <v>3565</v>
      </c>
      <c r="D17707" t="s">
        <v>54167</v>
      </c>
      <c r="E17707" t="b">
        <v>0</v>
      </c>
      <c r="F17707" t="s">
        <v>11610</v>
      </c>
      <c r="L17707">
        <v>0</v>
      </c>
      <c r="M17707">
        <v>0</v>
      </c>
      <c r="N17707">
        <v>0</v>
      </c>
    </row>
    <row r="17708" spans="1:15">
      <c r="A17708" t="s">
        <v>54168</v>
      </c>
      <c r="B17708" t="s">
        <v>11844</v>
      </c>
      <c r="C17708" t="s">
        <v>12435</v>
      </c>
      <c r="D17708" t="s">
        <v>54169</v>
      </c>
      <c r="E17708" t="b">
        <v>0</v>
      </c>
      <c r="F17708" t="s">
        <v>11610</v>
      </c>
      <c r="L17708">
        <v>0</v>
      </c>
      <c r="M17708">
        <v>0</v>
      </c>
      <c r="N17708">
        <v>0</v>
      </c>
    </row>
    <row r="17709" spans="1:15">
      <c r="A17709" t="s">
        <v>54170</v>
      </c>
      <c r="B17709" t="s">
        <v>367</v>
      </c>
      <c r="C17709" t="s">
        <v>21542</v>
      </c>
      <c r="D17709" t="s">
        <v>54171</v>
      </c>
      <c r="E17709" t="b">
        <v>0</v>
      </c>
      <c r="F17709" t="s">
        <v>11624</v>
      </c>
      <c r="G17709">
        <v>-10.029999999999999</v>
      </c>
      <c r="H17709">
        <v>-161.09</v>
      </c>
      <c r="I17709" t="s">
        <v>54172</v>
      </c>
      <c r="L17709">
        <v>0</v>
      </c>
      <c r="M17709">
        <v>0</v>
      </c>
      <c r="N17709">
        <v>0</v>
      </c>
      <c r="O17709" t="s">
        <v>52764</v>
      </c>
    </row>
    <row r="17710" spans="1:15">
      <c r="A17710" t="s">
        <v>54173</v>
      </c>
      <c r="B17710" t="s">
        <v>11637</v>
      </c>
      <c r="C17710" t="s">
        <v>54174</v>
      </c>
      <c r="D17710" t="s">
        <v>54175</v>
      </c>
      <c r="E17710" t="b">
        <v>0</v>
      </c>
      <c r="F17710" t="s">
        <v>11610</v>
      </c>
      <c r="L17710">
        <v>0</v>
      </c>
      <c r="M17710">
        <v>0</v>
      </c>
      <c r="N17710">
        <v>0</v>
      </c>
    </row>
    <row r="17711" spans="1:15">
      <c r="A17711" t="s">
        <v>54176</v>
      </c>
      <c r="B17711" t="s">
        <v>11644</v>
      </c>
      <c r="C17711" t="s">
        <v>14284</v>
      </c>
      <c r="D17711" t="s">
        <v>54177</v>
      </c>
      <c r="E17711" t="b">
        <v>0</v>
      </c>
      <c r="F17711" t="s">
        <v>11624</v>
      </c>
      <c r="G17711">
        <v>20.527429000000001</v>
      </c>
      <c r="H17711">
        <v>93.145905999999997</v>
      </c>
      <c r="I17711" t="s">
        <v>54178</v>
      </c>
      <c r="L17711">
        <v>0</v>
      </c>
      <c r="M17711">
        <v>0</v>
      </c>
      <c r="N17711">
        <v>0</v>
      </c>
      <c r="O17711" t="s">
        <v>14779</v>
      </c>
    </row>
    <row r="17712" spans="1:15">
      <c r="A17712" t="s">
        <v>54179</v>
      </c>
      <c r="B17712" t="s">
        <v>11644</v>
      </c>
      <c r="C17712" t="s">
        <v>16603</v>
      </c>
      <c r="D17712" t="s">
        <v>54180</v>
      </c>
      <c r="E17712" t="b">
        <v>0</v>
      </c>
      <c r="F17712" t="s">
        <v>11610</v>
      </c>
      <c r="L17712">
        <v>0</v>
      </c>
      <c r="M17712">
        <v>0</v>
      </c>
      <c r="N17712">
        <v>0</v>
      </c>
    </row>
    <row r="17713" spans="1:15">
      <c r="A17713" t="s">
        <v>54181</v>
      </c>
      <c r="B17713" t="s">
        <v>367</v>
      </c>
      <c r="C17713" t="s">
        <v>7268</v>
      </c>
      <c r="D17713" t="s">
        <v>54182</v>
      </c>
      <c r="E17713" t="b">
        <v>0</v>
      </c>
      <c r="F17713" t="s">
        <v>11610</v>
      </c>
      <c r="L17713">
        <v>0</v>
      </c>
      <c r="M17713">
        <v>0</v>
      </c>
      <c r="N17713">
        <v>0</v>
      </c>
    </row>
    <row r="17714" spans="1:15">
      <c r="A17714" t="s">
        <v>54183</v>
      </c>
      <c r="B17714" t="s">
        <v>12438</v>
      </c>
      <c r="C17714" t="s">
        <v>16890</v>
      </c>
      <c r="D17714" t="s">
        <v>54184</v>
      </c>
      <c r="E17714" t="b">
        <v>0</v>
      </c>
      <c r="F17714" t="s">
        <v>11610</v>
      </c>
      <c r="L17714">
        <v>0</v>
      </c>
      <c r="M17714">
        <v>0</v>
      </c>
      <c r="N17714">
        <v>0</v>
      </c>
    </row>
    <row r="17715" spans="1:15">
      <c r="A17715" t="s">
        <v>54185</v>
      </c>
      <c r="B17715" t="s">
        <v>367</v>
      </c>
      <c r="C17715" t="s">
        <v>43101</v>
      </c>
      <c r="D17715" t="s">
        <v>54186</v>
      </c>
      <c r="E17715" t="b">
        <v>0</v>
      </c>
      <c r="F17715" t="s">
        <v>11610</v>
      </c>
      <c r="L17715">
        <v>0</v>
      </c>
      <c r="M17715">
        <v>0</v>
      </c>
      <c r="N17715">
        <v>0</v>
      </c>
    </row>
    <row r="17716" spans="1:15">
      <c r="A17716" t="s">
        <v>54187</v>
      </c>
      <c r="B17716" t="s">
        <v>11644</v>
      </c>
      <c r="C17716" t="s">
        <v>36159</v>
      </c>
      <c r="D17716" t="s">
        <v>54188</v>
      </c>
      <c r="E17716" t="b">
        <v>0</v>
      </c>
      <c r="F17716" t="s">
        <v>11624</v>
      </c>
      <c r="G17716">
        <v>25.020099999999999</v>
      </c>
      <c r="H17716">
        <v>94.738100000000003</v>
      </c>
      <c r="I17716" t="s">
        <v>54189</v>
      </c>
      <c r="L17716">
        <v>0</v>
      </c>
      <c r="M17716">
        <v>0</v>
      </c>
      <c r="N17716">
        <v>0</v>
      </c>
      <c r="O17716" t="s">
        <v>13598</v>
      </c>
    </row>
    <row r="17717" spans="1:15">
      <c r="A17717" t="s">
        <v>54190</v>
      </c>
      <c r="B17717" t="s">
        <v>11644</v>
      </c>
      <c r="C17717" t="s">
        <v>27713</v>
      </c>
      <c r="D17717" t="s">
        <v>54191</v>
      </c>
      <c r="E17717" t="b">
        <v>0</v>
      </c>
      <c r="F17717" t="s">
        <v>11610</v>
      </c>
      <c r="L17717">
        <v>0</v>
      </c>
      <c r="M17717">
        <v>0</v>
      </c>
      <c r="N17717">
        <v>0</v>
      </c>
    </row>
    <row r="17718" spans="1:15">
      <c r="A17718" t="s">
        <v>54192</v>
      </c>
      <c r="B17718" t="s">
        <v>367</v>
      </c>
      <c r="C17718" t="s">
        <v>7268</v>
      </c>
      <c r="D17718" t="s">
        <v>54193</v>
      </c>
      <c r="E17718" t="b">
        <v>0</v>
      </c>
      <c r="F17718" t="s">
        <v>11610</v>
      </c>
      <c r="L17718">
        <v>0</v>
      </c>
      <c r="M17718">
        <v>0</v>
      </c>
      <c r="N17718">
        <v>0</v>
      </c>
    </row>
    <row r="17719" spans="1:15">
      <c r="A17719" t="s">
        <v>54194</v>
      </c>
      <c r="B17719" t="s">
        <v>11637</v>
      </c>
      <c r="C17719" t="s">
        <v>36069</v>
      </c>
      <c r="D17719" t="s">
        <v>54195</v>
      </c>
      <c r="E17719" t="b">
        <v>0</v>
      </c>
      <c r="F17719" t="s">
        <v>11610</v>
      </c>
      <c r="L17719">
        <v>0</v>
      </c>
      <c r="M17719">
        <v>0</v>
      </c>
      <c r="N17719">
        <v>0</v>
      </c>
    </row>
    <row r="17720" spans="1:15">
      <c r="A17720" t="s">
        <v>35259</v>
      </c>
      <c r="B17720" t="s">
        <v>11912</v>
      </c>
      <c r="C17720" t="s">
        <v>53836</v>
      </c>
      <c r="D17720" t="s">
        <v>54196</v>
      </c>
      <c r="E17720" t="b">
        <v>0</v>
      </c>
      <c r="F17720" t="s">
        <v>11622</v>
      </c>
      <c r="L17720">
        <v>0</v>
      </c>
      <c r="M17720">
        <v>2</v>
      </c>
      <c r="N17720">
        <v>1</v>
      </c>
    </row>
    <row r="17721" spans="1:15">
      <c r="A17721" t="s">
        <v>54197</v>
      </c>
      <c r="B17721" t="s">
        <v>6455</v>
      </c>
      <c r="C17721" t="s">
        <v>31625</v>
      </c>
      <c r="D17721" t="s">
        <v>54198</v>
      </c>
      <c r="E17721" t="b">
        <v>0</v>
      </c>
      <c r="F17721" t="s">
        <v>11624</v>
      </c>
      <c r="G17721">
        <v>11.5007</v>
      </c>
      <c r="H17721">
        <v>-83.857100000000003</v>
      </c>
      <c r="I17721" t="s">
        <v>54199</v>
      </c>
      <c r="L17721">
        <v>0</v>
      </c>
      <c r="M17721">
        <v>0</v>
      </c>
      <c r="N17721">
        <v>0</v>
      </c>
      <c r="O17721" t="s">
        <v>43310</v>
      </c>
    </row>
    <row r="17722" spans="1:15">
      <c r="A17722" t="s">
        <v>54200</v>
      </c>
      <c r="D17722" t="s">
        <v>54201</v>
      </c>
      <c r="E17722" t="b">
        <v>0</v>
      </c>
      <c r="F17722" t="s">
        <v>11624</v>
      </c>
      <c r="G17722">
        <v>-14.3019482</v>
      </c>
      <c r="H17722">
        <v>-67.359089400000002</v>
      </c>
      <c r="L17722">
        <v>0</v>
      </c>
      <c r="M17722">
        <v>0</v>
      </c>
      <c r="N17722">
        <v>0</v>
      </c>
      <c r="O17722" t="s">
        <v>14185</v>
      </c>
    </row>
    <row r="17723" spans="1:15">
      <c r="A17723" t="s">
        <v>27403</v>
      </c>
      <c r="B17723" t="s">
        <v>11637</v>
      </c>
      <c r="C17723" t="s">
        <v>13222</v>
      </c>
      <c r="D17723" t="s">
        <v>54202</v>
      </c>
      <c r="E17723" t="b">
        <v>0</v>
      </c>
      <c r="F17723" t="s">
        <v>11622</v>
      </c>
      <c r="L17723">
        <v>0</v>
      </c>
      <c r="M17723">
        <v>2</v>
      </c>
      <c r="N17723">
        <v>5</v>
      </c>
    </row>
    <row r="17724" spans="1:15">
      <c r="A17724" t="s">
        <v>54203</v>
      </c>
      <c r="B17724" t="s">
        <v>11637</v>
      </c>
      <c r="C17724" t="s">
        <v>16090</v>
      </c>
      <c r="D17724" t="s">
        <v>54204</v>
      </c>
      <c r="E17724" t="b">
        <v>0</v>
      </c>
      <c r="F17724" t="s">
        <v>11610</v>
      </c>
      <c r="L17724">
        <v>0</v>
      </c>
      <c r="M17724">
        <v>0</v>
      </c>
      <c r="N17724">
        <v>0</v>
      </c>
    </row>
    <row r="17725" spans="1:15">
      <c r="A17725" t="s">
        <v>54205</v>
      </c>
      <c r="B17725" t="s">
        <v>367</v>
      </c>
      <c r="C17725" t="s">
        <v>26184</v>
      </c>
      <c r="D17725" t="s">
        <v>54206</v>
      </c>
      <c r="E17725" t="b">
        <v>0</v>
      </c>
      <c r="F17725" t="s">
        <v>11610</v>
      </c>
      <c r="L17725">
        <v>0</v>
      </c>
      <c r="M17725">
        <v>0</v>
      </c>
      <c r="N17725">
        <v>0</v>
      </c>
    </row>
    <row r="17726" spans="1:15">
      <c r="A17726" t="s">
        <v>54207</v>
      </c>
      <c r="B17726" t="s">
        <v>11644</v>
      </c>
      <c r="C17726" t="s">
        <v>36360</v>
      </c>
      <c r="D17726" t="s">
        <v>54208</v>
      </c>
      <c r="E17726" t="b">
        <v>0</v>
      </c>
      <c r="F17726" t="s">
        <v>11610</v>
      </c>
      <c r="L17726">
        <v>0</v>
      </c>
      <c r="M17726">
        <v>0</v>
      </c>
      <c r="N17726">
        <v>0</v>
      </c>
    </row>
    <row r="17727" spans="1:15">
      <c r="A17727" t="s">
        <v>54209</v>
      </c>
      <c r="B17727" t="s">
        <v>11965</v>
      </c>
      <c r="C17727" t="s">
        <v>678</v>
      </c>
      <c r="D17727" t="s">
        <v>54210</v>
      </c>
      <c r="E17727" t="b">
        <v>0</v>
      </c>
      <c r="F17727" t="s">
        <v>11610</v>
      </c>
      <c r="L17727">
        <v>0</v>
      </c>
      <c r="M17727">
        <v>0</v>
      </c>
      <c r="N17727">
        <v>0</v>
      </c>
    </row>
    <row r="17728" spans="1:15">
      <c r="A17728" t="s">
        <v>15401</v>
      </c>
      <c r="B17728" t="s">
        <v>11705</v>
      </c>
      <c r="C17728" t="s">
        <v>11705</v>
      </c>
      <c r="D17728" t="s">
        <v>54211</v>
      </c>
      <c r="E17728" t="b">
        <v>0</v>
      </c>
      <c r="F17728" t="s">
        <v>11622</v>
      </c>
      <c r="L17728">
        <v>1</v>
      </c>
      <c r="M17728">
        <v>3</v>
      </c>
      <c r="N17728">
        <v>2</v>
      </c>
    </row>
    <row r="17729" spans="1:15">
      <c r="A17729" t="s">
        <v>54212</v>
      </c>
      <c r="B17729" t="s">
        <v>11644</v>
      </c>
      <c r="C17729" t="s">
        <v>14765</v>
      </c>
      <c r="D17729" t="s">
        <v>54213</v>
      </c>
      <c r="E17729" t="b">
        <v>0</v>
      </c>
      <c r="F17729" t="s">
        <v>11610</v>
      </c>
      <c r="L17729">
        <v>0</v>
      </c>
      <c r="M17729">
        <v>0</v>
      </c>
      <c r="N17729">
        <v>0</v>
      </c>
    </row>
    <row r="17730" spans="1:15">
      <c r="A17730" t="s">
        <v>11612</v>
      </c>
      <c r="B17730" t="s">
        <v>367</v>
      </c>
      <c r="C17730" t="s">
        <v>34744</v>
      </c>
      <c r="D17730" t="s">
        <v>54214</v>
      </c>
      <c r="E17730" t="b">
        <v>0</v>
      </c>
      <c r="F17730" t="s">
        <v>11624</v>
      </c>
      <c r="G17730">
        <v>-4.1730600000000004</v>
      </c>
      <c r="H17730">
        <v>152.45099999999999</v>
      </c>
      <c r="I17730" t="s">
        <v>54215</v>
      </c>
      <c r="L17730">
        <v>0</v>
      </c>
      <c r="M17730">
        <v>0</v>
      </c>
      <c r="N17730">
        <v>3</v>
      </c>
      <c r="O17730" t="s">
        <v>11660</v>
      </c>
    </row>
    <row r="17731" spans="1:15">
      <c r="A17731" t="s">
        <v>54216</v>
      </c>
      <c r="B17731" t="s">
        <v>12575</v>
      </c>
      <c r="C17731" t="s">
        <v>12575</v>
      </c>
      <c r="D17731" t="s">
        <v>54217</v>
      </c>
      <c r="E17731" t="b">
        <v>0</v>
      </c>
      <c r="F17731" t="s">
        <v>11624</v>
      </c>
      <c r="G17731">
        <v>-5.9701500000000003</v>
      </c>
      <c r="H17731">
        <v>154.9</v>
      </c>
      <c r="I17731" t="s">
        <v>54218</v>
      </c>
      <c r="L17731">
        <v>0</v>
      </c>
      <c r="M17731">
        <v>0</v>
      </c>
      <c r="N17731">
        <v>0</v>
      </c>
      <c r="O17731" t="s">
        <v>11660</v>
      </c>
    </row>
    <row r="17732" spans="1:15">
      <c r="A17732" t="s">
        <v>54219</v>
      </c>
      <c r="B17732" t="s">
        <v>11637</v>
      </c>
      <c r="C17732" t="s">
        <v>51714</v>
      </c>
      <c r="D17732" t="s">
        <v>54220</v>
      </c>
      <c r="E17732" t="b">
        <v>0</v>
      </c>
      <c r="F17732" t="s">
        <v>11610</v>
      </c>
      <c r="L17732">
        <v>0</v>
      </c>
      <c r="M17732">
        <v>0</v>
      </c>
      <c r="N17732">
        <v>0</v>
      </c>
    </row>
    <row r="17733" spans="1:15">
      <c r="A17733" t="s">
        <v>49923</v>
      </c>
      <c r="B17733" t="s">
        <v>367</v>
      </c>
      <c r="C17733" t="s">
        <v>15694</v>
      </c>
      <c r="D17733" t="s">
        <v>54221</v>
      </c>
      <c r="E17733" t="b">
        <v>0</v>
      </c>
      <c r="F17733" t="s">
        <v>11624</v>
      </c>
      <c r="G17733">
        <v>-2.1398999999999999</v>
      </c>
      <c r="H17733">
        <v>120.35599999999999</v>
      </c>
      <c r="I17733" t="s">
        <v>54222</v>
      </c>
      <c r="L17733">
        <v>0</v>
      </c>
      <c r="M17733">
        <v>0</v>
      </c>
      <c r="N17733">
        <v>2</v>
      </c>
      <c r="O17733" t="s">
        <v>11768</v>
      </c>
    </row>
    <row r="17734" spans="1:15">
      <c r="A17734" t="s">
        <v>12344</v>
      </c>
      <c r="B17734" t="s">
        <v>11871</v>
      </c>
      <c r="C17734" t="s">
        <v>11871</v>
      </c>
      <c r="D17734" t="s">
        <v>54223</v>
      </c>
      <c r="E17734" t="b">
        <v>0</v>
      </c>
      <c r="F17734" t="s">
        <v>11622</v>
      </c>
      <c r="L17734">
        <v>14</v>
      </c>
      <c r="M17734">
        <v>24</v>
      </c>
      <c r="N17734">
        <v>10</v>
      </c>
    </row>
    <row r="17735" spans="1:15">
      <c r="A17735" t="s">
        <v>54224</v>
      </c>
      <c r="B17735" t="s">
        <v>11637</v>
      </c>
      <c r="C17735" t="s">
        <v>1273</v>
      </c>
      <c r="D17735" t="s">
        <v>54225</v>
      </c>
      <c r="E17735" t="b">
        <v>0</v>
      </c>
      <c r="F17735" t="s">
        <v>11610</v>
      </c>
      <c r="L17735">
        <v>0</v>
      </c>
      <c r="M17735">
        <v>0</v>
      </c>
      <c r="N17735">
        <v>0</v>
      </c>
    </row>
    <row r="17736" spans="1:15">
      <c r="A17736" t="s">
        <v>54226</v>
      </c>
      <c r="B17736" t="s">
        <v>11637</v>
      </c>
      <c r="C17736" t="s">
        <v>25877</v>
      </c>
      <c r="D17736" t="s">
        <v>54227</v>
      </c>
      <c r="E17736" t="b">
        <v>0</v>
      </c>
      <c r="F17736" t="s">
        <v>11624</v>
      </c>
      <c r="G17736">
        <v>28.648299999999999</v>
      </c>
      <c r="H17736">
        <v>80.441900000000004</v>
      </c>
      <c r="I17736" t="s">
        <v>54228</v>
      </c>
      <c r="L17736">
        <v>0</v>
      </c>
      <c r="M17736">
        <v>0</v>
      </c>
      <c r="N17736">
        <v>0</v>
      </c>
      <c r="O17736" t="s">
        <v>12524</v>
      </c>
    </row>
    <row r="17737" spans="1:15">
      <c r="A17737" t="s">
        <v>54229</v>
      </c>
      <c r="B17737" t="s">
        <v>11644</v>
      </c>
      <c r="C17737" t="s">
        <v>18501</v>
      </c>
      <c r="D17737" t="s">
        <v>54230</v>
      </c>
      <c r="E17737" t="b">
        <v>0</v>
      </c>
      <c r="F17737" t="s">
        <v>11610</v>
      </c>
      <c r="L17737">
        <v>0</v>
      </c>
      <c r="M17737">
        <v>0</v>
      </c>
      <c r="N17737">
        <v>0</v>
      </c>
    </row>
    <row r="17738" spans="1:15">
      <c r="A17738" t="s">
        <v>54231</v>
      </c>
      <c r="B17738" t="s">
        <v>367</v>
      </c>
      <c r="C17738" t="s">
        <v>17635</v>
      </c>
      <c r="D17738" t="s">
        <v>54232</v>
      </c>
      <c r="E17738" t="b">
        <v>0</v>
      </c>
      <c r="F17738" t="s">
        <v>11610</v>
      </c>
      <c r="L17738">
        <v>0</v>
      </c>
      <c r="M17738">
        <v>0</v>
      </c>
      <c r="N17738">
        <v>0</v>
      </c>
    </row>
    <row r="17739" spans="1:15">
      <c r="A17739" t="s">
        <v>54233</v>
      </c>
      <c r="B17739" t="s">
        <v>11627</v>
      </c>
      <c r="C17739" t="s">
        <v>11627</v>
      </c>
      <c r="D17739" t="s">
        <v>54234</v>
      </c>
      <c r="E17739" t="b">
        <v>1</v>
      </c>
      <c r="F17739" t="s">
        <v>11624</v>
      </c>
      <c r="I17739" t="s">
        <v>54235</v>
      </c>
      <c r="L17739">
        <v>0</v>
      </c>
      <c r="M17739">
        <v>0</v>
      </c>
      <c r="N17739">
        <v>0</v>
      </c>
    </row>
    <row r="17740" spans="1:15">
      <c r="A17740" t="s">
        <v>54236</v>
      </c>
      <c r="B17740" t="s">
        <v>367</v>
      </c>
      <c r="C17740" t="s">
        <v>13338</v>
      </c>
      <c r="D17740" t="s">
        <v>54237</v>
      </c>
      <c r="E17740" t="b">
        <v>0</v>
      </c>
      <c r="F17740" t="s">
        <v>11610</v>
      </c>
      <c r="L17740">
        <v>0</v>
      </c>
      <c r="M17740">
        <v>0</v>
      </c>
      <c r="N17740">
        <v>0</v>
      </c>
    </row>
    <row r="17741" spans="1:15">
      <c r="A17741" t="s">
        <v>54238</v>
      </c>
      <c r="B17741" t="s">
        <v>11637</v>
      </c>
      <c r="C17741" t="s">
        <v>15671</v>
      </c>
      <c r="D17741" t="s">
        <v>54239</v>
      </c>
      <c r="E17741" t="b">
        <v>0</v>
      </c>
      <c r="F17741" t="s">
        <v>11610</v>
      </c>
      <c r="L17741">
        <v>0</v>
      </c>
      <c r="M17741">
        <v>0</v>
      </c>
      <c r="N17741">
        <v>0</v>
      </c>
    </row>
    <row r="17742" spans="1:15">
      <c r="A17742" t="s">
        <v>54240</v>
      </c>
      <c r="B17742" t="s">
        <v>11637</v>
      </c>
      <c r="C17742" t="s">
        <v>15671</v>
      </c>
      <c r="D17742" t="s">
        <v>54241</v>
      </c>
      <c r="E17742" t="b">
        <v>0</v>
      </c>
      <c r="F17742" t="s">
        <v>11610</v>
      </c>
      <c r="L17742">
        <v>0</v>
      </c>
      <c r="M17742">
        <v>0</v>
      </c>
      <c r="N17742">
        <v>0</v>
      </c>
    </row>
    <row r="17743" spans="1:15">
      <c r="A17743" t="s">
        <v>54242</v>
      </c>
      <c r="B17743" t="s">
        <v>11637</v>
      </c>
      <c r="C17743" t="s">
        <v>24033</v>
      </c>
      <c r="D17743" t="s">
        <v>54243</v>
      </c>
      <c r="E17743" t="b">
        <v>0</v>
      </c>
      <c r="F17743" t="s">
        <v>11610</v>
      </c>
      <c r="L17743">
        <v>0</v>
      </c>
      <c r="M17743">
        <v>0</v>
      </c>
      <c r="N17743">
        <v>0</v>
      </c>
    </row>
    <row r="17744" spans="1:15">
      <c r="A17744" t="s">
        <v>54244</v>
      </c>
      <c r="B17744" t="s">
        <v>11637</v>
      </c>
      <c r="C17744" t="s">
        <v>14837</v>
      </c>
      <c r="D17744" t="s">
        <v>54245</v>
      </c>
      <c r="E17744" t="b">
        <v>0</v>
      </c>
      <c r="F17744" t="s">
        <v>11624</v>
      </c>
      <c r="G17744">
        <v>26.383400000000002</v>
      </c>
      <c r="H17744">
        <v>88.453599999999994</v>
      </c>
      <c r="I17744" t="s">
        <v>54246</v>
      </c>
      <c r="L17744">
        <v>0</v>
      </c>
      <c r="M17744">
        <v>0</v>
      </c>
      <c r="N17744">
        <v>0</v>
      </c>
      <c r="O17744" t="s">
        <v>15054</v>
      </c>
    </row>
    <row r="17745" spans="1:15">
      <c r="A17745" t="s">
        <v>54247</v>
      </c>
      <c r="B17745" t="s">
        <v>11644</v>
      </c>
      <c r="C17745" t="s">
        <v>24177</v>
      </c>
      <c r="D17745" t="s">
        <v>54248</v>
      </c>
      <c r="E17745" t="b">
        <v>0</v>
      </c>
      <c r="F17745" t="s">
        <v>11624</v>
      </c>
      <c r="G17745">
        <v>29.227799999999998</v>
      </c>
      <c r="H17745">
        <v>80.084500000000006</v>
      </c>
      <c r="I17745" t="s">
        <v>54249</v>
      </c>
      <c r="L17745">
        <v>0</v>
      </c>
      <c r="M17745">
        <v>0</v>
      </c>
      <c r="N17745">
        <v>0</v>
      </c>
      <c r="O17745" t="s">
        <v>11630</v>
      </c>
    </row>
    <row r="17746" spans="1:15">
      <c r="A17746" t="s">
        <v>19491</v>
      </c>
      <c r="B17746" t="s">
        <v>11644</v>
      </c>
      <c r="C17746" t="s">
        <v>12529</v>
      </c>
      <c r="D17746" t="s">
        <v>54250</v>
      </c>
      <c r="E17746" t="b">
        <v>0</v>
      </c>
      <c r="F17746" t="s">
        <v>11624</v>
      </c>
      <c r="G17746">
        <v>23.819438000000002</v>
      </c>
      <c r="H17746">
        <v>91.664910000000006</v>
      </c>
      <c r="I17746" t="s">
        <v>54251</v>
      </c>
      <c r="L17746">
        <v>0</v>
      </c>
      <c r="M17746">
        <v>0</v>
      </c>
      <c r="N17746">
        <v>12</v>
      </c>
      <c r="O17746" t="s">
        <v>11630</v>
      </c>
    </row>
    <row r="17747" spans="1:15">
      <c r="A17747" t="s">
        <v>54252</v>
      </c>
      <c r="B17747" t="s">
        <v>11644</v>
      </c>
      <c r="C17747" t="s">
        <v>41804</v>
      </c>
      <c r="D17747" t="s">
        <v>54253</v>
      </c>
      <c r="E17747" t="b">
        <v>0</v>
      </c>
      <c r="F17747" t="s">
        <v>11610</v>
      </c>
      <c r="L17747">
        <v>0</v>
      </c>
      <c r="M17747">
        <v>0</v>
      </c>
      <c r="N17747">
        <v>0</v>
      </c>
    </row>
    <row r="17748" spans="1:15">
      <c r="A17748" t="s">
        <v>54254</v>
      </c>
      <c r="B17748" t="s">
        <v>6742</v>
      </c>
      <c r="C17748" t="s">
        <v>45722</v>
      </c>
      <c r="D17748" t="s">
        <v>54255</v>
      </c>
      <c r="E17748" t="b">
        <v>0</v>
      </c>
      <c r="F17748" t="s">
        <v>11624</v>
      </c>
      <c r="G17748">
        <v>8.0009999999999994</v>
      </c>
      <c r="H17748">
        <v>10.58</v>
      </c>
      <c r="I17748" t="s">
        <v>54256</v>
      </c>
      <c r="L17748">
        <v>0</v>
      </c>
      <c r="M17748">
        <v>0</v>
      </c>
      <c r="N17748">
        <v>0</v>
      </c>
      <c r="O17748" t="s">
        <v>11693</v>
      </c>
    </row>
    <row r="17749" spans="1:15">
      <c r="A17749" t="s">
        <v>54257</v>
      </c>
      <c r="B17749" t="s">
        <v>367</v>
      </c>
      <c r="C17749" t="s">
        <v>27255</v>
      </c>
      <c r="D17749" t="s">
        <v>54258</v>
      </c>
      <c r="E17749" t="b">
        <v>0</v>
      </c>
      <c r="F17749" t="s">
        <v>11610</v>
      </c>
      <c r="L17749">
        <v>0</v>
      </c>
      <c r="M17749">
        <v>0</v>
      </c>
      <c r="N17749">
        <v>0</v>
      </c>
    </row>
    <row r="17750" spans="1:15">
      <c r="A17750" t="s">
        <v>54259</v>
      </c>
      <c r="B17750" t="s">
        <v>11644</v>
      </c>
      <c r="C17750" t="s">
        <v>19491</v>
      </c>
      <c r="D17750" t="s">
        <v>54260</v>
      </c>
      <c r="E17750" t="b">
        <v>0</v>
      </c>
      <c r="F17750" t="s">
        <v>11610</v>
      </c>
      <c r="L17750">
        <v>0</v>
      </c>
      <c r="M17750">
        <v>0</v>
      </c>
      <c r="N17750">
        <v>0</v>
      </c>
    </row>
    <row r="17751" spans="1:15">
      <c r="A17751" t="s">
        <v>54261</v>
      </c>
      <c r="B17751" t="s">
        <v>11637</v>
      </c>
      <c r="C17751" t="s">
        <v>1273</v>
      </c>
      <c r="D17751" t="s">
        <v>54262</v>
      </c>
      <c r="E17751" t="b">
        <v>0</v>
      </c>
      <c r="F17751" t="s">
        <v>11610</v>
      </c>
      <c r="L17751">
        <v>0</v>
      </c>
      <c r="M17751">
        <v>0</v>
      </c>
      <c r="N17751">
        <v>0</v>
      </c>
    </row>
    <row r="17752" spans="1:15">
      <c r="A17752" t="s">
        <v>54263</v>
      </c>
      <c r="B17752" t="s">
        <v>14005</v>
      </c>
      <c r="C17752" t="s">
        <v>18960</v>
      </c>
      <c r="D17752" t="s">
        <v>54264</v>
      </c>
      <c r="E17752" t="b">
        <v>0</v>
      </c>
      <c r="F17752" t="s">
        <v>11610</v>
      </c>
      <c r="L17752">
        <v>0</v>
      </c>
      <c r="M17752">
        <v>0</v>
      </c>
      <c r="N17752">
        <v>0</v>
      </c>
    </row>
    <row r="17753" spans="1:15">
      <c r="A17753" t="s">
        <v>54265</v>
      </c>
      <c r="B17753" t="s">
        <v>367</v>
      </c>
      <c r="C17753" t="s">
        <v>41874</v>
      </c>
      <c r="D17753" t="s">
        <v>54266</v>
      </c>
      <c r="E17753" t="b">
        <v>0</v>
      </c>
      <c r="F17753" t="s">
        <v>11610</v>
      </c>
      <c r="L17753">
        <v>0</v>
      </c>
      <c r="M17753">
        <v>0</v>
      </c>
      <c r="N17753">
        <v>0</v>
      </c>
    </row>
    <row r="17754" spans="1:15">
      <c r="A17754" t="s">
        <v>54267</v>
      </c>
      <c r="B17754" t="s">
        <v>11627</v>
      </c>
      <c r="C17754" t="s">
        <v>11627</v>
      </c>
      <c r="D17754" t="s">
        <v>54268</v>
      </c>
      <c r="E17754" t="b">
        <v>1</v>
      </c>
      <c r="F17754" t="s">
        <v>11624</v>
      </c>
      <c r="L17754">
        <v>0</v>
      </c>
      <c r="M17754">
        <v>0</v>
      </c>
      <c r="N17754">
        <v>0</v>
      </c>
    </row>
    <row r="17755" spans="1:15">
      <c r="A17755" t="s">
        <v>54269</v>
      </c>
      <c r="B17755" t="s">
        <v>11607</v>
      </c>
      <c r="C17755" t="s">
        <v>26444</v>
      </c>
      <c r="D17755" t="s">
        <v>54270</v>
      </c>
      <c r="E17755" t="b">
        <v>0</v>
      </c>
      <c r="F17755" t="s">
        <v>11610</v>
      </c>
      <c r="L17755">
        <v>0</v>
      </c>
      <c r="M17755">
        <v>0</v>
      </c>
      <c r="N17755">
        <v>0</v>
      </c>
    </row>
    <row r="17756" spans="1:15">
      <c r="A17756" t="s">
        <v>54271</v>
      </c>
      <c r="B17756" t="s">
        <v>12438</v>
      </c>
      <c r="C17756" t="s">
        <v>20219</v>
      </c>
      <c r="D17756" t="s">
        <v>54272</v>
      </c>
      <c r="E17756" t="b">
        <v>0</v>
      </c>
      <c r="F17756" t="s">
        <v>11610</v>
      </c>
      <c r="L17756">
        <v>0</v>
      </c>
      <c r="M17756">
        <v>0</v>
      </c>
      <c r="N17756">
        <v>0</v>
      </c>
    </row>
    <row r="17757" spans="1:15">
      <c r="A17757" t="s">
        <v>40274</v>
      </c>
      <c r="B17757" t="s">
        <v>11871</v>
      </c>
      <c r="C17757" t="s">
        <v>12344</v>
      </c>
      <c r="D17757" t="s">
        <v>54273</v>
      </c>
      <c r="E17757" t="b">
        <v>0</v>
      </c>
      <c r="F17757" t="s">
        <v>11624</v>
      </c>
      <c r="G17757">
        <v>-4.85243</v>
      </c>
      <c r="H17757">
        <v>144.511</v>
      </c>
      <c r="I17757" t="s">
        <v>54274</v>
      </c>
      <c r="L17757">
        <v>0</v>
      </c>
      <c r="M17757">
        <v>0</v>
      </c>
      <c r="N17757">
        <v>2</v>
      </c>
      <c r="O17757" t="s">
        <v>11660</v>
      </c>
    </row>
    <row r="17758" spans="1:15">
      <c r="A17758" t="s">
        <v>54275</v>
      </c>
      <c r="B17758" t="s">
        <v>367</v>
      </c>
      <c r="C17758" t="s">
        <v>21543</v>
      </c>
      <c r="D17758" t="s">
        <v>54276</v>
      </c>
      <c r="E17758" t="b">
        <v>0</v>
      </c>
      <c r="F17758" t="s">
        <v>11624</v>
      </c>
      <c r="G17758">
        <v>-27.113</v>
      </c>
      <c r="H17758">
        <v>-109.342</v>
      </c>
      <c r="I17758" t="s">
        <v>54277</v>
      </c>
      <c r="L17758">
        <v>0</v>
      </c>
      <c r="M17758">
        <v>0</v>
      </c>
      <c r="N17758">
        <v>0</v>
      </c>
      <c r="O17758" t="s">
        <v>12895</v>
      </c>
    </row>
    <row r="17759" spans="1:15">
      <c r="A17759" t="s">
        <v>54278</v>
      </c>
      <c r="B17759" t="s">
        <v>367</v>
      </c>
      <c r="C17759" t="s">
        <v>42621</v>
      </c>
      <c r="D17759" t="s">
        <v>54279</v>
      </c>
      <c r="E17759" t="b">
        <v>0</v>
      </c>
      <c r="F17759" t="s">
        <v>11624</v>
      </c>
      <c r="G17759">
        <v>-27.630400000000002</v>
      </c>
      <c r="H17759">
        <v>-144.33799999999999</v>
      </c>
      <c r="I17759" t="s">
        <v>54280</v>
      </c>
      <c r="L17759">
        <v>0</v>
      </c>
      <c r="M17759">
        <v>0</v>
      </c>
      <c r="N17759">
        <v>0</v>
      </c>
      <c r="O17759" t="s">
        <v>15193</v>
      </c>
    </row>
    <row r="17760" spans="1:15">
      <c r="A17760" t="s">
        <v>54281</v>
      </c>
      <c r="B17760" t="s">
        <v>367</v>
      </c>
      <c r="C17760" t="s">
        <v>7268</v>
      </c>
      <c r="D17760" t="s">
        <v>54282</v>
      </c>
      <c r="E17760" t="b">
        <v>0</v>
      </c>
      <c r="F17760" t="s">
        <v>11610</v>
      </c>
      <c r="L17760">
        <v>0</v>
      </c>
      <c r="M17760">
        <v>0</v>
      </c>
      <c r="N17760">
        <v>0</v>
      </c>
    </row>
    <row r="17761" spans="1:15">
      <c r="A17761" t="s">
        <v>54283</v>
      </c>
      <c r="B17761" t="s">
        <v>12575</v>
      </c>
      <c r="C17761" t="s">
        <v>12575</v>
      </c>
      <c r="D17761" t="s">
        <v>54284</v>
      </c>
      <c r="E17761" t="b">
        <v>0</v>
      </c>
      <c r="F17761" t="s">
        <v>11624</v>
      </c>
      <c r="G17761">
        <v>-5.7872399999999997</v>
      </c>
      <c r="H17761">
        <v>154.834</v>
      </c>
      <c r="I17761" t="s">
        <v>54285</v>
      </c>
      <c r="L17761">
        <v>0</v>
      </c>
      <c r="M17761">
        <v>0</v>
      </c>
      <c r="N17761">
        <v>0</v>
      </c>
      <c r="O17761" t="s">
        <v>11660</v>
      </c>
    </row>
    <row r="17762" spans="1:15">
      <c r="A17762" t="s">
        <v>54286</v>
      </c>
      <c r="B17762" t="s">
        <v>11615</v>
      </c>
      <c r="C17762" t="s">
        <v>43341</v>
      </c>
      <c r="D17762" t="s">
        <v>54287</v>
      </c>
      <c r="E17762" t="b">
        <v>0</v>
      </c>
      <c r="F17762" t="s">
        <v>11624</v>
      </c>
      <c r="G17762">
        <v>-4.9935099999999997</v>
      </c>
      <c r="H17762">
        <v>145.67099999999999</v>
      </c>
      <c r="I17762" t="s">
        <v>54288</v>
      </c>
      <c r="L17762">
        <v>0</v>
      </c>
      <c r="M17762">
        <v>0</v>
      </c>
      <c r="N17762">
        <v>0</v>
      </c>
      <c r="O17762" t="s">
        <v>11660</v>
      </c>
    </row>
    <row r="17763" spans="1:15">
      <c r="A17763" t="s">
        <v>54289</v>
      </c>
      <c r="B17763" t="s">
        <v>367</v>
      </c>
      <c r="C17763" t="s">
        <v>54290</v>
      </c>
      <c r="D17763" t="s">
        <v>54291</v>
      </c>
      <c r="E17763" t="b">
        <v>0</v>
      </c>
      <c r="F17763" t="s">
        <v>11624</v>
      </c>
      <c r="G17763">
        <v>1.2702599999999999</v>
      </c>
      <c r="H17763">
        <v>109.539</v>
      </c>
      <c r="I17763" t="s">
        <v>54292</v>
      </c>
      <c r="L17763">
        <v>0</v>
      </c>
      <c r="M17763">
        <v>0</v>
      </c>
      <c r="N17763">
        <v>0</v>
      </c>
      <c r="O17763" t="s">
        <v>16728</v>
      </c>
    </row>
    <row r="17764" spans="1:15">
      <c r="A17764" t="s">
        <v>54290</v>
      </c>
      <c r="B17764" t="s">
        <v>367</v>
      </c>
      <c r="C17764" t="s">
        <v>16104</v>
      </c>
      <c r="D17764" t="s">
        <v>54293</v>
      </c>
      <c r="E17764" t="b">
        <v>0</v>
      </c>
      <c r="F17764" t="s">
        <v>11622</v>
      </c>
      <c r="L17764">
        <v>0</v>
      </c>
      <c r="M17764">
        <v>2</v>
      </c>
      <c r="N17764">
        <v>0</v>
      </c>
    </row>
    <row r="17765" spans="1:15">
      <c r="A17765" t="s">
        <v>54294</v>
      </c>
      <c r="B17765" t="s">
        <v>11637</v>
      </c>
      <c r="C17765" t="s">
        <v>30819</v>
      </c>
      <c r="D17765" t="s">
        <v>54295</v>
      </c>
      <c r="E17765" t="b">
        <v>0</v>
      </c>
      <c r="F17765" t="s">
        <v>11610</v>
      </c>
      <c r="L17765">
        <v>0</v>
      </c>
      <c r="M17765">
        <v>0</v>
      </c>
      <c r="N17765">
        <v>0</v>
      </c>
    </row>
    <row r="17766" spans="1:15">
      <c r="A17766" t="s">
        <v>1970</v>
      </c>
      <c r="B17766" t="s">
        <v>367</v>
      </c>
      <c r="C17766" t="s">
        <v>42621</v>
      </c>
      <c r="D17766" t="s">
        <v>54296</v>
      </c>
      <c r="E17766" t="b">
        <v>0</v>
      </c>
      <c r="F17766" t="s">
        <v>11624</v>
      </c>
      <c r="G17766">
        <v>-21.23</v>
      </c>
      <c r="H17766">
        <v>-159.78</v>
      </c>
      <c r="I17766" t="s">
        <v>54297</v>
      </c>
      <c r="L17766">
        <v>0</v>
      </c>
      <c r="M17766">
        <v>0</v>
      </c>
      <c r="N17766">
        <v>6</v>
      </c>
      <c r="O17766" t="s">
        <v>52764</v>
      </c>
    </row>
    <row r="17767" spans="1:15">
      <c r="A17767" t="s">
        <v>54298</v>
      </c>
      <c r="B17767" t="s">
        <v>367</v>
      </c>
      <c r="C17767" t="s">
        <v>1970</v>
      </c>
      <c r="D17767" t="s">
        <v>54299</v>
      </c>
      <c r="E17767" t="b">
        <v>0</v>
      </c>
      <c r="F17767" t="s">
        <v>11610</v>
      </c>
      <c r="L17767">
        <v>0</v>
      </c>
      <c r="M17767">
        <v>0</v>
      </c>
      <c r="N17767">
        <v>0</v>
      </c>
    </row>
    <row r="17768" spans="1:15">
      <c r="A17768" t="s">
        <v>54300</v>
      </c>
      <c r="B17768" t="s">
        <v>15365</v>
      </c>
      <c r="C17768" t="s">
        <v>15366</v>
      </c>
      <c r="D17768" t="s">
        <v>54301</v>
      </c>
      <c r="E17768" t="b">
        <v>0</v>
      </c>
      <c r="F17768" t="s">
        <v>11622</v>
      </c>
      <c r="L17768">
        <v>0</v>
      </c>
      <c r="M17768">
        <v>2</v>
      </c>
      <c r="N17768">
        <v>0</v>
      </c>
    </row>
    <row r="17769" spans="1:15">
      <c r="A17769" t="s">
        <v>54302</v>
      </c>
      <c r="B17769" t="s">
        <v>15365</v>
      </c>
      <c r="C17769" t="s">
        <v>54300</v>
      </c>
      <c r="D17769" t="s">
        <v>54303</v>
      </c>
      <c r="E17769" t="b">
        <v>0</v>
      </c>
      <c r="F17769" t="s">
        <v>11624</v>
      </c>
      <c r="G17769">
        <v>-2.37609</v>
      </c>
      <c r="H17769">
        <v>136.352</v>
      </c>
      <c r="I17769" t="s">
        <v>54304</v>
      </c>
      <c r="L17769">
        <v>0</v>
      </c>
      <c r="M17769">
        <v>0</v>
      </c>
      <c r="N17769">
        <v>0</v>
      </c>
      <c r="O17769" t="s">
        <v>11768</v>
      </c>
    </row>
    <row r="17770" spans="1:15">
      <c r="A17770" t="s">
        <v>54305</v>
      </c>
      <c r="B17770" t="s">
        <v>11637</v>
      </c>
      <c r="C17770" t="s">
        <v>28364</v>
      </c>
      <c r="D17770" t="s">
        <v>54306</v>
      </c>
      <c r="E17770" t="b">
        <v>0</v>
      </c>
      <c r="F17770" t="s">
        <v>11610</v>
      </c>
      <c r="L17770">
        <v>0</v>
      </c>
      <c r="M17770">
        <v>0</v>
      </c>
      <c r="N17770">
        <v>0</v>
      </c>
    </row>
    <row r="17771" spans="1:15">
      <c r="A17771" t="s">
        <v>54307</v>
      </c>
      <c r="B17771" t="s">
        <v>45308</v>
      </c>
      <c r="C17771" t="s">
        <v>49366</v>
      </c>
      <c r="D17771" t="s">
        <v>54308</v>
      </c>
      <c r="E17771" t="b">
        <v>0</v>
      </c>
      <c r="F17771" t="s">
        <v>11610</v>
      </c>
      <c r="L17771">
        <v>0</v>
      </c>
      <c r="M17771">
        <v>0</v>
      </c>
      <c r="N17771">
        <v>0</v>
      </c>
    </row>
    <row r="17772" spans="1:15">
      <c r="A17772" t="s">
        <v>45308</v>
      </c>
      <c r="D17772" t="s">
        <v>54309</v>
      </c>
      <c r="E17772" t="b">
        <v>0</v>
      </c>
      <c r="F17772" t="s">
        <v>11622</v>
      </c>
      <c r="L17772">
        <v>0</v>
      </c>
      <c r="M17772">
        <v>2</v>
      </c>
      <c r="N17772">
        <v>6</v>
      </c>
    </row>
    <row r="17773" spans="1:15">
      <c r="A17773" t="s">
        <v>54310</v>
      </c>
      <c r="B17773" t="s">
        <v>11644</v>
      </c>
      <c r="C17773" t="s">
        <v>48443</v>
      </c>
      <c r="D17773" t="s">
        <v>54311</v>
      </c>
      <c r="E17773" t="b">
        <v>0</v>
      </c>
      <c r="F17773" t="s">
        <v>11610</v>
      </c>
      <c r="L17773">
        <v>0</v>
      </c>
      <c r="M17773">
        <v>0</v>
      </c>
      <c r="N17773">
        <v>0</v>
      </c>
    </row>
    <row r="17774" spans="1:15">
      <c r="A17774" t="s">
        <v>54312</v>
      </c>
      <c r="B17774" t="s">
        <v>367</v>
      </c>
      <c r="C17774" t="s">
        <v>43101</v>
      </c>
      <c r="D17774" t="s">
        <v>54313</v>
      </c>
      <c r="E17774" t="b">
        <v>0</v>
      </c>
      <c r="F17774" t="s">
        <v>11610</v>
      </c>
      <c r="L17774">
        <v>0</v>
      </c>
      <c r="M17774">
        <v>0</v>
      </c>
      <c r="N17774">
        <v>0</v>
      </c>
    </row>
    <row r="17775" spans="1:15">
      <c r="A17775" t="s">
        <v>54314</v>
      </c>
      <c r="B17775" t="s">
        <v>367</v>
      </c>
      <c r="C17775" t="s">
        <v>16797</v>
      </c>
      <c r="D17775" t="s">
        <v>54315</v>
      </c>
      <c r="E17775" t="b">
        <v>0</v>
      </c>
      <c r="F17775" t="s">
        <v>11624</v>
      </c>
      <c r="G17775">
        <v>1.07592</v>
      </c>
      <c r="H17775">
        <v>124.858</v>
      </c>
      <c r="I17775" t="s">
        <v>54316</v>
      </c>
      <c r="L17775">
        <v>0</v>
      </c>
      <c r="M17775">
        <v>0</v>
      </c>
      <c r="N17775">
        <v>0</v>
      </c>
      <c r="O17775" t="s">
        <v>11768</v>
      </c>
    </row>
    <row r="17776" spans="1:15">
      <c r="A17776" t="s">
        <v>49875</v>
      </c>
      <c r="B17776" t="s">
        <v>367</v>
      </c>
      <c r="C17776" t="s">
        <v>20960</v>
      </c>
      <c r="D17776" t="s">
        <v>54317</v>
      </c>
      <c r="E17776" t="b">
        <v>0</v>
      </c>
      <c r="F17776" t="s">
        <v>11624</v>
      </c>
      <c r="G17776">
        <v>12.278499999999999</v>
      </c>
      <c r="H17776">
        <v>121.187</v>
      </c>
      <c r="I17776" t="s">
        <v>54318</v>
      </c>
      <c r="L17776">
        <v>0</v>
      </c>
      <c r="M17776">
        <v>0</v>
      </c>
      <c r="N17776">
        <v>2</v>
      </c>
      <c r="O17776" t="s">
        <v>11749</v>
      </c>
    </row>
    <row r="17777" spans="1:15">
      <c r="A17777" t="s">
        <v>54319</v>
      </c>
      <c r="B17777" t="s">
        <v>11644</v>
      </c>
      <c r="C17777" t="s">
        <v>34717</v>
      </c>
      <c r="D17777" t="s">
        <v>54320</v>
      </c>
      <c r="E17777" t="b">
        <v>0</v>
      </c>
      <c r="F17777" t="s">
        <v>11610</v>
      </c>
      <c r="L17777">
        <v>0</v>
      </c>
      <c r="M17777">
        <v>0</v>
      </c>
      <c r="N17777">
        <v>0</v>
      </c>
    </row>
    <row r="17778" spans="1:15">
      <c r="A17778" t="s">
        <v>54321</v>
      </c>
      <c r="B17778" t="s">
        <v>11637</v>
      </c>
      <c r="C17778" t="s">
        <v>15714</v>
      </c>
      <c r="D17778" t="s">
        <v>54322</v>
      </c>
      <c r="E17778" t="b">
        <v>0</v>
      </c>
      <c r="F17778" t="s">
        <v>11610</v>
      </c>
      <c r="L17778">
        <v>0</v>
      </c>
      <c r="M17778">
        <v>0</v>
      </c>
      <c r="N17778">
        <v>0</v>
      </c>
    </row>
    <row r="17779" spans="1:15">
      <c r="A17779" t="s">
        <v>54323</v>
      </c>
      <c r="B17779" t="s">
        <v>11637</v>
      </c>
      <c r="C17779" t="s">
        <v>46233</v>
      </c>
      <c r="D17779" t="s">
        <v>54324</v>
      </c>
      <c r="E17779" t="b">
        <v>0</v>
      </c>
      <c r="F17779" t="s">
        <v>11624</v>
      </c>
      <c r="G17779">
        <v>21.4375</v>
      </c>
      <c r="H17779">
        <v>74.995800000000003</v>
      </c>
      <c r="I17779" t="s">
        <v>54325</v>
      </c>
      <c r="L17779">
        <v>0</v>
      </c>
      <c r="M17779">
        <v>0</v>
      </c>
      <c r="N17779">
        <v>0</v>
      </c>
      <c r="O17779" t="s">
        <v>11630</v>
      </c>
    </row>
    <row r="17780" spans="1:15">
      <c r="A17780" t="s">
        <v>54326</v>
      </c>
      <c r="B17780" t="s">
        <v>11637</v>
      </c>
      <c r="C17780" t="s">
        <v>1274</v>
      </c>
      <c r="D17780" t="s">
        <v>54327</v>
      </c>
      <c r="E17780" t="b">
        <v>0</v>
      </c>
      <c r="F17780" t="s">
        <v>11624</v>
      </c>
      <c r="G17780">
        <v>22.309000000000001</v>
      </c>
      <c r="H17780">
        <v>73.186000000000007</v>
      </c>
      <c r="I17780" t="s">
        <v>54328</v>
      </c>
      <c r="L17780">
        <v>0</v>
      </c>
      <c r="M17780">
        <v>0</v>
      </c>
      <c r="N17780">
        <v>0</v>
      </c>
      <c r="O17780" t="s">
        <v>11630</v>
      </c>
    </row>
    <row r="17781" spans="1:15">
      <c r="A17781" t="s">
        <v>54329</v>
      </c>
      <c r="B17781" t="s">
        <v>6742</v>
      </c>
      <c r="C17781" t="s">
        <v>41926</v>
      </c>
      <c r="D17781" t="s">
        <v>54330</v>
      </c>
      <c r="E17781" t="b">
        <v>0</v>
      </c>
      <c r="F17781" t="s">
        <v>11610</v>
      </c>
      <c r="L17781">
        <v>0</v>
      </c>
      <c r="M17781">
        <v>0</v>
      </c>
      <c r="N17781">
        <v>0</v>
      </c>
    </row>
    <row r="17782" spans="1:15">
      <c r="A17782" t="s">
        <v>54331</v>
      </c>
      <c r="B17782" t="s">
        <v>11644</v>
      </c>
      <c r="C17782" t="s">
        <v>16324</v>
      </c>
      <c r="D17782" t="s">
        <v>54332</v>
      </c>
      <c r="E17782" t="b">
        <v>0</v>
      </c>
      <c r="F17782" t="s">
        <v>11610</v>
      </c>
      <c r="L17782">
        <v>0</v>
      </c>
      <c r="M17782">
        <v>0</v>
      </c>
      <c r="N17782">
        <v>0</v>
      </c>
    </row>
    <row r="17783" spans="1:15">
      <c r="A17783" t="s">
        <v>54333</v>
      </c>
      <c r="B17783" t="s">
        <v>367</v>
      </c>
      <c r="C17783" t="s">
        <v>49923</v>
      </c>
      <c r="D17783" t="s">
        <v>54334</v>
      </c>
      <c r="E17783" t="b">
        <v>0</v>
      </c>
      <c r="F17783" t="s">
        <v>11610</v>
      </c>
      <c r="L17783">
        <v>0</v>
      </c>
      <c r="M17783">
        <v>0</v>
      </c>
      <c r="N17783">
        <v>0</v>
      </c>
    </row>
    <row r="17784" spans="1:15">
      <c r="A17784" t="s">
        <v>54335</v>
      </c>
      <c r="B17784" t="s">
        <v>367</v>
      </c>
      <c r="C17784" t="s">
        <v>14377</v>
      </c>
      <c r="D17784" t="s">
        <v>54336</v>
      </c>
      <c r="E17784" t="b">
        <v>0</v>
      </c>
      <c r="F17784" t="s">
        <v>11610</v>
      </c>
      <c r="L17784">
        <v>0</v>
      </c>
      <c r="M17784">
        <v>0</v>
      </c>
      <c r="N17784">
        <v>0</v>
      </c>
    </row>
    <row r="17785" spans="1:15">
      <c r="A17785" t="s">
        <v>54337</v>
      </c>
      <c r="B17785" t="s">
        <v>11637</v>
      </c>
      <c r="C17785" t="s">
        <v>13105</v>
      </c>
      <c r="D17785" t="s">
        <v>54338</v>
      </c>
      <c r="E17785" t="b">
        <v>0</v>
      </c>
      <c r="F17785" t="s">
        <v>11610</v>
      </c>
      <c r="L17785">
        <v>0</v>
      </c>
      <c r="M17785">
        <v>0</v>
      </c>
      <c r="N17785">
        <v>0</v>
      </c>
    </row>
    <row r="17786" spans="1:15">
      <c r="A17786" t="s">
        <v>54339</v>
      </c>
      <c r="B17786" t="s">
        <v>11644</v>
      </c>
      <c r="C17786" t="s">
        <v>54340</v>
      </c>
      <c r="D17786" t="s">
        <v>54341</v>
      </c>
      <c r="E17786" t="b">
        <v>0</v>
      </c>
      <c r="F17786" t="s">
        <v>11624</v>
      </c>
      <c r="G17786">
        <v>28.951799999999999</v>
      </c>
      <c r="H17786">
        <v>81.161699999999996</v>
      </c>
      <c r="I17786" t="s">
        <v>54342</v>
      </c>
      <c r="L17786">
        <v>0</v>
      </c>
      <c r="M17786">
        <v>0</v>
      </c>
      <c r="N17786">
        <v>0</v>
      </c>
      <c r="O17786" t="s">
        <v>15007</v>
      </c>
    </row>
    <row r="17787" spans="1:15">
      <c r="A17787" t="s">
        <v>54340</v>
      </c>
      <c r="B17787" t="s">
        <v>11644</v>
      </c>
      <c r="C17787" t="s">
        <v>54152</v>
      </c>
      <c r="D17787" t="s">
        <v>54343</v>
      </c>
      <c r="E17787" t="b">
        <v>0</v>
      </c>
      <c r="F17787" t="s">
        <v>11622</v>
      </c>
      <c r="L17787">
        <v>0</v>
      </c>
      <c r="M17787">
        <v>2</v>
      </c>
      <c r="N17787">
        <v>0</v>
      </c>
    </row>
    <row r="17788" spans="1:15">
      <c r="A17788" t="s">
        <v>54344</v>
      </c>
      <c r="B17788" t="s">
        <v>11637</v>
      </c>
      <c r="C17788" t="s">
        <v>15714</v>
      </c>
      <c r="D17788" t="s">
        <v>54345</v>
      </c>
      <c r="E17788" t="b">
        <v>0</v>
      </c>
      <c r="F17788" t="s">
        <v>11610</v>
      </c>
      <c r="L17788">
        <v>0</v>
      </c>
      <c r="M17788">
        <v>0</v>
      </c>
      <c r="N17788">
        <v>0</v>
      </c>
    </row>
    <row r="17789" spans="1:15">
      <c r="A17789" t="s">
        <v>12090</v>
      </c>
      <c r="B17789" t="s">
        <v>11844</v>
      </c>
      <c r="C17789" t="s">
        <v>52243</v>
      </c>
      <c r="D17789" t="s">
        <v>54346</v>
      </c>
      <c r="E17789" t="b">
        <v>0</v>
      </c>
      <c r="F17789" t="s">
        <v>11624</v>
      </c>
      <c r="G17789">
        <v>12.3231</v>
      </c>
      <c r="H17789">
        <v>75.626499999999993</v>
      </c>
      <c r="I17789" t="s">
        <v>54347</v>
      </c>
      <c r="L17789">
        <v>0</v>
      </c>
      <c r="M17789">
        <v>0</v>
      </c>
      <c r="N17789">
        <v>3</v>
      </c>
      <c r="O17789" t="s">
        <v>11630</v>
      </c>
    </row>
    <row r="17790" spans="1:15">
      <c r="A17790" t="s">
        <v>52243</v>
      </c>
      <c r="B17790" t="s">
        <v>11844</v>
      </c>
      <c r="C17790" t="s">
        <v>13088</v>
      </c>
      <c r="D17790" t="s">
        <v>54348</v>
      </c>
      <c r="E17790" t="b">
        <v>0</v>
      </c>
      <c r="F17790" t="s">
        <v>11622</v>
      </c>
      <c r="L17790">
        <v>0</v>
      </c>
      <c r="M17790">
        <v>2</v>
      </c>
      <c r="N17790">
        <v>3</v>
      </c>
    </row>
    <row r="17791" spans="1:15">
      <c r="A17791" t="s">
        <v>54349</v>
      </c>
      <c r="B17791" t="s">
        <v>11644</v>
      </c>
      <c r="C17791" t="s">
        <v>54340</v>
      </c>
      <c r="D17791" t="s">
        <v>54350</v>
      </c>
      <c r="E17791" t="b">
        <v>0</v>
      </c>
      <c r="F17791" t="s">
        <v>11624</v>
      </c>
      <c r="G17791">
        <v>30.074200000000001</v>
      </c>
      <c r="H17791">
        <v>80.8005</v>
      </c>
      <c r="I17791" t="s">
        <v>54351</v>
      </c>
      <c r="L17791">
        <v>0</v>
      </c>
      <c r="M17791">
        <v>0</v>
      </c>
      <c r="N17791">
        <v>0</v>
      </c>
      <c r="O17791" t="s">
        <v>12524</v>
      </c>
    </row>
    <row r="17792" spans="1:15">
      <c r="A17792" t="s">
        <v>12404</v>
      </c>
      <c r="B17792" t="s">
        <v>11644</v>
      </c>
      <c r="C17792" t="s">
        <v>30165</v>
      </c>
      <c r="D17792" t="s">
        <v>54352</v>
      </c>
      <c r="E17792" t="b">
        <v>0</v>
      </c>
      <c r="F17792" t="s">
        <v>11624</v>
      </c>
      <c r="G17792">
        <v>27.102699999999999</v>
      </c>
      <c r="H17792">
        <v>97.073800000000006</v>
      </c>
      <c r="I17792" t="s">
        <v>54353</v>
      </c>
      <c r="L17792">
        <v>0</v>
      </c>
      <c r="M17792">
        <v>0</v>
      </c>
      <c r="N17792">
        <v>15</v>
      </c>
      <c r="O17792" t="s">
        <v>36087</v>
      </c>
    </row>
    <row r="17793" spans="1:15">
      <c r="A17793" t="s">
        <v>54354</v>
      </c>
      <c r="B17793" t="s">
        <v>367</v>
      </c>
      <c r="C17793" t="s">
        <v>35652</v>
      </c>
      <c r="D17793" t="s">
        <v>54355</v>
      </c>
      <c r="E17793" t="b">
        <v>0</v>
      </c>
      <c r="F17793" t="s">
        <v>11610</v>
      </c>
      <c r="L17793">
        <v>0</v>
      </c>
      <c r="M17793">
        <v>0</v>
      </c>
      <c r="N17793">
        <v>0</v>
      </c>
    </row>
    <row r="17794" spans="1:15">
      <c r="A17794" t="s">
        <v>35249</v>
      </c>
      <c r="B17794" t="s">
        <v>11615</v>
      </c>
      <c r="C17794" t="s">
        <v>33016</v>
      </c>
      <c r="D17794" t="s">
        <v>54356</v>
      </c>
      <c r="E17794" t="b">
        <v>0</v>
      </c>
      <c r="F17794" t="s">
        <v>11624</v>
      </c>
      <c r="G17794">
        <v>-5.83155</v>
      </c>
      <c r="H17794">
        <v>145.93700000000001</v>
      </c>
      <c r="I17794" t="s">
        <v>54357</v>
      </c>
      <c r="L17794">
        <v>0</v>
      </c>
      <c r="M17794">
        <v>0</v>
      </c>
      <c r="N17794">
        <v>2</v>
      </c>
      <c r="O17794" t="s">
        <v>11660</v>
      </c>
    </row>
    <row r="17795" spans="1:15">
      <c r="A17795" t="s">
        <v>54358</v>
      </c>
      <c r="B17795" t="s">
        <v>11627</v>
      </c>
      <c r="C17795" t="s">
        <v>11627</v>
      </c>
      <c r="D17795" t="s">
        <v>54359</v>
      </c>
      <c r="E17795" t="b">
        <v>1</v>
      </c>
      <c r="F17795" t="s">
        <v>11624</v>
      </c>
      <c r="I17795" t="s">
        <v>54360</v>
      </c>
      <c r="L17795">
        <v>0</v>
      </c>
      <c r="M17795">
        <v>0</v>
      </c>
      <c r="N17795">
        <v>0</v>
      </c>
    </row>
    <row r="17796" spans="1:15">
      <c r="A17796" t="s">
        <v>54361</v>
      </c>
      <c r="B17796" t="s">
        <v>11644</v>
      </c>
      <c r="C17796" t="s">
        <v>20288</v>
      </c>
      <c r="D17796" t="s">
        <v>54362</v>
      </c>
      <c r="E17796" t="b">
        <v>0</v>
      </c>
      <c r="F17796" t="s">
        <v>11610</v>
      </c>
      <c r="L17796">
        <v>0</v>
      </c>
      <c r="M17796">
        <v>0</v>
      </c>
      <c r="N17796">
        <v>0</v>
      </c>
    </row>
    <row r="17797" spans="1:15">
      <c r="A17797" t="s">
        <v>54363</v>
      </c>
      <c r="B17797" t="s">
        <v>367</v>
      </c>
      <c r="C17797" t="s">
        <v>17502</v>
      </c>
      <c r="D17797" t="s">
        <v>54364</v>
      </c>
      <c r="E17797" t="b">
        <v>0</v>
      </c>
      <c r="F17797" t="s">
        <v>11610</v>
      </c>
      <c r="L17797">
        <v>0</v>
      </c>
      <c r="M17797">
        <v>0</v>
      </c>
      <c r="N17797">
        <v>0</v>
      </c>
    </row>
    <row r="17798" spans="1:15">
      <c r="A17798" t="s">
        <v>54365</v>
      </c>
      <c r="B17798" t="s">
        <v>16986</v>
      </c>
      <c r="C17798" t="s">
        <v>53650</v>
      </c>
      <c r="D17798" t="s">
        <v>54366</v>
      </c>
      <c r="E17798" t="b">
        <v>0</v>
      </c>
      <c r="F17798" t="s">
        <v>11622</v>
      </c>
      <c r="L17798">
        <v>0</v>
      </c>
      <c r="M17798">
        <v>2</v>
      </c>
      <c r="N17798">
        <v>2</v>
      </c>
    </row>
    <row r="17799" spans="1:15">
      <c r="A17799" t="s">
        <v>54367</v>
      </c>
      <c r="B17799" t="s">
        <v>16986</v>
      </c>
      <c r="C17799" t="s">
        <v>54365</v>
      </c>
      <c r="D17799" t="s">
        <v>54368</v>
      </c>
      <c r="E17799" t="b">
        <v>0</v>
      </c>
      <c r="F17799" t="s">
        <v>11624</v>
      </c>
      <c r="G17799">
        <v>-2.8420100000000001</v>
      </c>
      <c r="H17799">
        <v>141.60300000000001</v>
      </c>
      <c r="I17799" t="s">
        <v>54369</v>
      </c>
      <c r="L17799">
        <v>0</v>
      </c>
      <c r="M17799">
        <v>0</v>
      </c>
      <c r="N17799">
        <v>0</v>
      </c>
      <c r="O17799" t="s">
        <v>11660</v>
      </c>
    </row>
    <row r="17800" spans="1:15">
      <c r="A17800" t="s">
        <v>54370</v>
      </c>
      <c r="B17800" t="s">
        <v>11844</v>
      </c>
      <c r="C17800" t="s">
        <v>2278</v>
      </c>
      <c r="D17800" t="s">
        <v>54371</v>
      </c>
      <c r="E17800" t="b">
        <v>0</v>
      </c>
      <c r="F17800" t="s">
        <v>11610</v>
      </c>
      <c r="L17800">
        <v>0</v>
      </c>
      <c r="M17800">
        <v>0</v>
      </c>
      <c r="N17800">
        <v>0</v>
      </c>
    </row>
    <row r="17801" spans="1:15">
      <c r="A17801" t="s">
        <v>54372</v>
      </c>
      <c r="B17801" t="s">
        <v>11607</v>
      </c>
      <c r="C17801" t="s">
        <v>49142</v>
      </c>
      <c r="D17801" t="s">
        <v>54373</v>
      </c>
      <c r="E17801" t="b">
        <v>0</v>
      </c>
      <c r="F17801" t="s">
        <v>11610</v>
      </c>
      <c r="L17801">
        <v>0</v>
      </c>
      <c r="M17801">
        <v>0</v>
      </c>
      <c r="N17801">
        <v>0</v>
      </c>
    </row>
    <row r="17802" spans="1:15">
      <c r="A17802" t="s">
        <v>54374</v>
      </c>
      <c r="B17802" t="s">
        <v>15027</v>
      </c>
      <c r="C17802" t="s">
        <v>22478</v>
      </c>
      <c r="D17802" t="s">
        <v>54375</v>
      </c>
      <c r="E17802" t="b">
        <v>0</v>
      </c>
      <c r="F17802" t="s">
        <v>11624</v>
      </c>
      <c r="G17802">
        <v>17.295300000000001</v>
      </c>
      <c r="H17802">
        <v>-93.1006</v>
      </c>
      <c r="I17802" t="s">
        <v>54376</v>
      </c>
      <c r="L17802">
        <v>0</v>
      </c>
      <c r="M17802">
        <v>0</v>
      </c>
      <c r="N17802">
        <v>0</v>
      </c>
      <c r="O17802" t="s">
        <v>11883</v>
      </c>
    </row>
    <row r="17803" spans="1:15">
      <c r="A17803" t="s">
        <v>54377</v>
      </c>
      <c r="B17803" t="s">
        <v>11637</v>
      </c>
      <c r="C17803" t="s">
        <v>29681</v>
      </c>
      <c r="D17803" t="s">
        <v>54378</v>
      </c>
      <c r="E17803" t="b">
        <v>0</v>
      </c>
      <c r="F17803" t="s">
        <v>11624</v>
      </c>
      <c r="G17803">
        <v>36.267000000000003</v>
      </c>
      <c r="H17803">
        <v>50.002000000000002</v>
      </c>
      <c r="I17803" t="s">
        <v>54379</v>
      </c>
      <c r="L17803">
        <v>0</v>
      </c>
      <c r="M17803">
        <v>0</v>
      </c>
      <c r="N17803">
        <v>0</v>
      </c>
      <c r="O17803" t="s">
        <v>13225</v>
      </c>
    </row>
    <row r="17804" spans="1:15">
      <c r="A17804" t="s">
        <v>54380</v>
      </c>
      <c r="B17804" t="s">
        <v>331</v>
      </c>
      <c r="C17804" t="s">
        <v>16318</v>
      </c>
      <c r="D17804" t="s">
        <v>54381</v>
      </c>
      <c r="E17804" t="b">
        <v>0</v>
      </c>
      <c r="F17804" t="s">
        <v>11610</v>
      </c>
      <c r="L17804">
        <v>0</v>
      </c>
      <c r="M17804">
        <v>0</v>
      </c>
      <c r="N17804">
        <v>0</v>
      </c>
    </row>
    <row r="17805" spans="1:15">
      <c r="A17805" t="s">
        <v>54382</v>
      </c>
      <c r="B17805" t="s">
        <v>367</v>
      </c>
      <c r="C17805" t="s">
        <v>12044</v>
      </c>
      <c r="D17805" t="s">
        <v>54383</v>
      </c>
      <c r="E17805" t="b">
        <v>0</v>
      </c>
      <c r="F17805" t="s">
        <v>11610</v>
      </c>
      <c r="L17805">
        <v>0</v>
      </c>
      <c r="M17805">
        <v>0</v>
      </c>
      <c r="N17805">
        <v>0</v>
      </c>
    </row>
    <row r="17806" spans="1:15">
      <c r="A17806" t="s">
        <v>54384</v>
      </c>
      <c r="B17806" t="s">
        <v>367</v>
      </c>
      <c r="C17806" t="s">
        <v>27701</v>
      </c>
      <c r="D17806" t="s">
        <v>54385</v>
      </c>
      <c r="E17806" t="b">
        <v>0</v>
      </c>
      <c r="F17806" t="s">
        <v>11610</v>
      </c>
      <c r="L17806">
        <v>0</v>
      </c>
      <c r="M17806">
        <v>0</v>
      </c>
      <c r="N17806">
        <v>0</v>
      </c>
    </row>
    <row r="17807" spans="1:15">
      <c r="A17807" t="s">
        <v>54386</v>
      </c>
      <c r="B17807" t="s">
        <v>367</v>
      </c>
      <c r="C17807" t="s">
        <v>7268</v>
      </c>
      <c r="D17807" t="s">
        <v>54387</v>
      </c>
      <c r="E17807" t="b">
        <v>0</v>
      </c>
      <c r="F17807" t="s">
        <v>11610</v>
      </c>
      <c r="L17807">
        <v>0</v>
      </c>
      <c r="M17807">
        <v>0</v>
      </c>
      <c r="N17807">
        <v>0</v>
      </c>
    </row>
    <row r="17808" spans="1:15">
      <c r="A17808" t="s">
        <v>54388</v>
      </c>
      <c r="B17808" t="s">
        <v>11644</v>
      </c>
      <c r="C17808" t="s">
        <v>22075</v>
      </c>
      <c r="D17808" t="s">
        <v>54389</v>
      </c>
      <c r="E17808" t="b">
        <v>0</v>
      </c>
      <c r="F17808" t="s">
        <v>11610</v>
      </c>
      <c r="L17808">
        <v>0</v>
      </c>
      <c r="M17808">
        <v>0</v>
      </c>
      <c r="N17808">
        <v>0</v>
      </c>
    </row>
    <row r="17809" spans="1:15">
      <c r="A17809" t="s">
        <v>54390</v>
      </c>
      <c r="B17809" t="s">
        <v>5126</v>
      </c>
      <c r="C17809" t="s">
        <v>12456</v>
      </c>
      <c r="D17809" t="s">
        <v>54391</v>
      </c>
      <c r="E17809" t="b">
        <v>0</v>
      </c>
      <c r="F17809" t="s">
        <v>11624</v>
      </c>
      <c r="G17809">
        <v>23.186800000000002</v>
      </c>
      <c r="H17809">
        <v>104.99299999999999</v>
      </c>
      <c r="I17809" t="s">
        <v>54392</v>
      </c>
      <c r="L17809">
        <v>0</v>
      </c>
      <c r="M17809">
        <v>0</v>
      </c>
      <c r="N17809">
        <v>0</v>
      </c>
      <c r="O17809" t="s">
        <v>19781</v>
      </c>
    </row>
    <row r="17810" spans="1:15">
      <c r="A17810" t="s">
        <v>54393</v>
      </c>
      <c r="B17810" t="s">
        <v>12979</v>
      </c>
      <c r="C17810" t="s">
        <v>21707</v>
      </c>
      <c r="D17810" t="s">
        <v>54394</v>
      </c>
      <c r="E17810" t="b">
        <v>0</v>
      </c>
      <c r="F17810" t="s">
        <v>11610</v>
      </c>
      <c r="L17810">
        <v>0</v>
      </c>
      <c r="M17810">
        <v>0</v>
      </c>
      <c r="N17810">
        <v>0</v>
      </c>
    </row>
    <row r="17811" spans="1:15">
      <c r="A17811" t="s">
        <v>54395</v>
      </c>
      <c r="B17811" t="s">
        <v>5126</v>
      </c>
      <c r="C17811" t="s">
        <v>12453</v>
      </c>
      <c r="D17811" t="s">
        <v>54396</v>
      </c>
      <c r="E17811" t="b">
        <v>0</v>
      </c>
      <c r="F17811" t="s">
        <v>11622</v>
      </c>
      <c r="L17811">
        <v>1</v>
      </c>
      <c r="M17811">
        <v>4</v>
      </c>
      <c r="N17811">
        <v>3</v>
      </c>
    </row>
    <row r="17812" spans="1:15">
      <c r="A17812" t="s">
        <v>15466</v>
      </c>
      <c r="B17812" t="s">
        <v>367</v>
      </c>
      <c r="C17812" t="s">
        <v>54397</v>
      </c>
      <c r="D17812" t="s">
        <v>54398</v>
      </c>
      <c r="E17812" t="b">
        <v>0</v>
      </c>
      <c r="F17812" t="s">
        <v>11622</v>
      </c>
      <c r="L17812">
        <v>1</v>
      </c>
      <c r="M17812">
        <v>4</v>
      </c>
      <c r="N17812">
        <v>14</v>
      </c>
    </row>
    <row r="17813" spans="1:15">
      <c r="A17813" t="s">
        <v>54399</v>
      </c>
      <c r="B17813" t="s">
        <v>11757</v>
      </c>
      <c r="C17813" t="s">
        <v>50238</v>
      </c>
      <c r="D17813" t="s">
        <v>54400</v>
      </c>
      <c r="E17813" t="b">
        <v>0</v>
      </c>
      <c r="F17813" t="s">
        <v>11624</v>
      </c>
      <c r="G17813">
        <v>6.3223399999999996</v>
      </c>
      <c r="H17813">
        <v>30.494509999999998</v>
      </c>
      <c r="I17813" t="s">
        <v>54401</v>
      </c>
      <c r="L17813">
        <v>0</v>
      </c>
      <c r="M17813">
        <v>0</v>
      </c>
      <c r="N17813">
        <v>0</v>
      </c>
      <c r="O17813" t="s">
        <v>11910</v>
      </c>
    </row>
    <row r="17814" spans="1:15">
      <c r="A17814" t="s">
        <v>54402</v>
      </c>
      <c r="B17814" t="s">
        <v>6742</v>
      </c>
      <c r="C17814" t="s">
        <v>23053</v>
      </c>
      <c r="D17814" t="s">
        <v>54403</v>
      </c>
      <c r="E17814" t="b">
        <v>0</v>
      </c>
      <c r="F17814" t="s">
        <v>11610</v>
      </c>
      <c r="L17814">
        <v>0</v>
      </c>
      <c r="M17814">
        <v>0</v>
      </c>
      <c r="N17814">
        <v>0</v>
      </c>
    </row>
    <row r="17815" spans="1:15">
      <c r="A17815" t="s">
        <v>54404</v>
      </c>
      <c r="B17815" t="s">
        <v>11637</v>
      </c>
      <c r="C17815" t="s">
        <v>31327</v>
      </c>
      <c r="D17815" t="s">
        <v>54405</v>
      </c>
      <c r="E17815" t="b">
        <v>0</v>
      </c>
      <c r="F17815" t="s">
        <v>11610</v>
      </c>
      <c r="L17815">
        <v>0</v>
      </c>
      <c r="M17815">
        <v>0</v>
      </c>
      <c r="N17815">
        <v>0</v>
      </c>
    </row>
    <row r="17816" spans="1:15">
      <c r="A17816" t="s">
        <v>54406</v>
      </c>
      <c r="B17816" t="s">
        <v>367</v>
      </c>
      <c r="C17816" t="s">
        <v>40838</v>
      </c>
      <c r="D17816" t="s">
        <v>54407</v>
      </c>
      <c r="E17816" t="b">
        <v>0</v>
      </c>
      <c r="F17816" t="s">
        <v>11610</v>
      </c>
      <c r="L17816">
        <v>0</v>
      </c>
      <c r="M17816">
        <v>0</v>
      </c>
      <c r="N17816">
        <v>0</v>
      </c>
    </row>
    <row r="17817" spans="1:15">
      <c r="A17817" t="s">
        <v>35652</v>
      </c>
      <c r="B17817" t="s">
        <v>367</v>
      </c>
      <c r="C17817" t="s">
        <v>20145</v>
      </c>
      <c r="D17817" t="s">
        <v>54408</v>
      </c>
      <c r="E17817" t="b">
        <v>0</v>
      </c>
      <c r="F17817" t="s">
        <v>11624</v>
      </c>
      <c r="G17817">
        <v>-3.3305600000000002</v>
      </c>
      <c r="H17817">
        <v>102.434</v>
      </c>
      <c r="I17817" t="s">
        <v>54409</v>
      </c>
      <c r="L17817">
        <v>0</v>
      </c>
      <c r="M17817">
        <v>0</v>
      </c>
      <c r="N17817">
        <v>5</v>
      </c>
      <c r="O17817" t="s">
        <v>11768</v>
      </c>
    </row>
    <row r="17818" spans="1:15">
      <c r="A17818" t="s">
        <v>39807</v>
      </c>
      <c r="B17818" t="s">
        <v>367</v>
      </c>
      <c r="C17818" t="s">
        <v>20587</v>
      </c>
      <c r="D17818" t="s">
        <v>54410</v>
      </c>
      <c r="E17818" t="b">
        <v>0</v>
      </c>
      <c r="F17818" t="s">
        <v>11624</v>
      </c>
      <c r="G17818">
        <v>2.7190300000000001</v>
      </c>
      <c r="H17818">
        <v>114.169</v>
      </c>
      <c r="I17818" t="s">
        <v>54411</v>
      </c>
      <c r="L17818">
        <v>0</v>
      </c>
      <c r="M17818">
        <v>0</v>
      </c>
      <c r="N17818">
        <v>9</v>
      </c>
      <c r="O17818" t="s">
        <v>11672</v>
      </c>
    </row>
    <row r="17819" spans="1:15">
      <c r="A17819" t="s">
        <v>20587</v>
      </c>
      <c r="B17819" t="s">
        <v>367</v>
      </c>
      <c r="C17819" t="s">
        <v>15907</v>
      </c>
      <c r="D17819" t="s">
        <v>54412</v>
      </c>
      <c r="E17819" t="b">
        <v>0</v>
      </c>
      <c r="F17819" t="s">
        <v>11622</v>
      </c>
      <c r="L17819">
        <v>0</v>
      </c>
      <c r="M17819">
        <v>3</v>
      </c>
      <c r="N17819">
        <v>12</v>
      </c>
    </row>
    <row r="17820" spans="1:15">
      <c r="A17820" t="s">
        <v>54413</v>
      </c>
      <c r="B17820" t="s">
        <v>11637</v>
      </c>
      <c r="C17820" t="s">
        <v>186</v>
      </c>
      <c r="D17820" t="s">
        <v>54414</v>
      </c>
      <c r="E17820" t="b">
        <v>0</v>
      </c>
      <c r="F17820" t="s">
        <v>11610</v>
      </c>
      <c r="L17820">
        <v>0</v>
      </c>
      <c r="M17820">
        <v>0</v>
      </c>
      <c r="N17820">
        <v>0</v>
      </c>
    </row>
    <row r="17821" spans="1:15">
      <c r="A17821" t="s">
        <v>54415</v>
      </c>
      <c r="B17821" t="s">
        <v>11757</v>
      </c>
      <c r="C17821" t="s">
        <v>3239</v>
      </c>
      <c r="D17821" t="s">
        <v>54416</v>
      </c>
      <c r="E17821" t="b">
        <v>0</v>
      </c>
      <c r="F17821" t="s">
        <v>11610</v>
      </c>
      <c r="L17821">
        <v>0</v>
      </c>
      <c r="M17821">
        <v>0</v>
      </c>
      <c r="N17821">
        <v>0</v>
      </c>
    </row>
    <row r="17822" spans="1:15">
      <c r="A17822" t="s">
        <v>54417</v>
      </c>
      <c r="B17822" t="s">
        <v>11637</v>
      </c>
      <c r="C17822" t="s">
        <v>12082</v>
      </c>
      <c r="D17822" t="s">
        <v>54418</v>
      </c>
      <c r="E17822" t="b">
        <v>0</v>
      </c>
      <c r="F17822" t="s">
        <v>11624</v>
      </c>
      <c r="G17822">
        <v>18.121300000000002</v>
      </c>
      <c r="H17822">
        <v>82.499600000000001</v>
      </c>
      <c r="I17822" t="s">
        <v>54419</v>
      </c>
      <c r="L17822">
        <v>0</v>
      </c>
      <c r="M17822">
        <v>0</v>
      </c>
      <c r="N17822">
        <v>0</v>
      </c>
      <c r="O17822" t="s">
        <v>11630</v>
      </c>
    </row>
    <row r="17823" spans="1:15">
      <c r="A17823" t="s">
        <v>54420</v>
      </c>
      <c r="B17823" t="s">
        <v>14005</v>
      </c>
      <c r="C17823" t="s">
        <v>14300</v>
      </c>
      <c r="D17823" t="s">
        <v>54421</v>
      </c>
      <c r="E17823" t="b">
        <v>0</v>
      </c>
      <c r="F17823" t="s">
        <v>11624</v>
      </c>
      <c r="G17823">
        <v>-8.41526</v>
      </c>
      <c r="H17823">
        <v>141.03399999999999</v>
      </c>
      <c r="I17823" t="s">
        <v>54422</v>
      </c>
      <c r="L17823">
        <v>0</v>
      </c>
      <c r="M17823">
        <v>0</v>
      </c>
      <c r="N17823">
        <v>0</v>
      </c>
      <c r="O17823" t="s">
        <v>11660</v>
      </c>
    </row>
    <row r="17824" spans="1:15">
      <c r="A17824" t="s">
        <v>54423</v>
      </c>
      <c r="B17824" t="s">
        <v>9897</v>
      </c>
      <c r="C17824" t="s">
        <v>33124</v>
      </c>
      <c r="D17824" t="s">
        <v>54424</v>
      </c>
      <c r="E17824" t="b">
        <v>0</v>
      </c>
      <c r="F17824" t="s">
        <v>11624</v>
      </c>
      <c r="G17824">
        <v>-12.960800000000001</v>
      </c>
      <c r="H17824">
        <v>134.30799999999999</v>
      </c>
      <c r="I17824" t="s">
        <v>54425</v>
      </c>
      <c r="L17824">
        <v>0</v>
      </c>
      <c r="M17824">
        <v>0</v>
      </c>
      <c r="N17824">
        <v>0</v>
      </c>
      <c r="O17824" t="s">
        <v>12107</v>
      </c>
    </row>
    <row r="17825" spans="1:15">
      <c r="A17825" t="s">
        <v>46434</v>
      </c>
      <c r="B17825" t="s">
        <v>367</v>
      </c>
      <c r="C17825" t="s">
        <v>35913</v>
      </c>
      <c r="D17825" t="s">
        <v>54426</v>
      </c>
      <c r="E17825" t="b">
        <v>0</v>
      </c>
      <c r="F17825" t="s">
        <v>11624</v>
      </c>
      <c r="G17825">
        <v>-8.5336099999999995</v>
      </c>
      <c r="H17825">
        <v>120.973</v>
      </c>
      <c r="I17825" t="s">
        <v>54427</v>
      </c>
      <c r="L17825">
        <v>0</v>
      </c>
      <c r="M17825">
        <v>0</v>
      </c>
      <c r="N17825">
        <v>3</v>
      </c>
      <c r="O17825" t="s">
        <v>11768</v>
      </c>
    </row>
    <row r="17826" spans="1:15">
      <c r="A17826" t="s">
        <v>54428</v>
      </c>
      <c r="B17826" t="s">
        <v>367</v>
      </c>
      <c r="C17826" t="s">
        <v>34289</v>
      </c>
      <c r="D17826" t="s">
        <v>54429</v>
      </c>
      <c r="E17826" t="b">
        <v>0</v>
      </c>
      <c r="F17826" t="s">
        <v>11610</v>
      </c>
      <c r="L17826">
        <v>0</v>
      </c>
      <c r="M17826">
        <v>0</v>
      </c>
      <c r="N17826">
        <v>0</v>
      </c>
    </row>
    <row r="17827" spans="1:15">
      <c r="A17827" t="s">
        <v>54430</v>
      </c>
      <c r="B17827" t="s">
        <v>367</v>
      </c>
      <c r="C17827" t="s">
        <v>21583</v>
      </c>
      <c r="D17827" t="s">
        <v>54431</v>
      </c>
      <c r="E17827" t="b">
        <v>0</v>
      </c>
      <c r="F17827" t="s">
        <v>11624</v>
      </c>
      <c r="G17827">
        <v>14.625400000000001</v>
      </c>
      <c r="H17827">
        <v>121.453</v>
      </c>
      <c r="I17827" t="s">
        <v>54432</v>
      </c>
      <c r="L17827">
        <v>0</v>
      </c>
      <c r="M17827">
        <v>0</v>
      </c>
      <c r="N17827">
        <v>0</v>
      </c>
      <c r="O17827" t="s">
        <v>11749</v>
      </c>
    </row>
    <row r="17828" spans="1:15">
      <c r="A17828" t="s">
        <v>54433</v>
      </c>
      <c r="B17828" t="s">
        <v>13244</v>
      </c>
      <c r="C17828" t="s">
        <v>13245</v>
      </c>
      <c r="D17828" t="s">
        <v>54434</v>
      </c>
      <c r="E17828" t="b">
        <v>0</v>
      </c>
      <c r="F17828" t="s">
        <v>11624</v>
      </c>
      <c r="G17828">
        <v>-7.3333300000000001</v>
      </c>
      <c r="H17828">
        <v>-74.083299999999994</v>
      </c>
      <c r="I17828" t="s">
        <v>54435</v>
      </c>
      <c r="L17828">
        <v>0</v>
      </c>
      <c r="M17828">
        <v>0</v>
      </c>
      <c r="N17828">
        <v>0</v>
      </c>
      <c r="O17828" t="s">
        <v>11778</v>
      </c>
    </row>
    <row r="17829" spans="1:15">
      <c r="A17829" t="s">
        <v>54436</v>
      </c>
      <c r="B17829" t="s">
        <v>13244</v>
      </c>
      <c r="C17829" t="s">
        <v>32702</v>
      </c>
      <c r="D17829" t="s">
        <v>54437</v>
      </c>
      <c r="E17829" t="b">
        <v>0</v>
      </c>
      <c r="F17829" t="s">
        <v>11624</v>
      </c>
      <c r="G17829">
        <v>-6.6793389999999997</v>
      </c>
      <c r="H17829">
        <v>-73.235778999999994</v>
      </c>
      <c r="L17829">
        <v>0</v>
      </c>
      <c r="M17829">
        <v>0</v>
      </c>
      <c r="N17829">
        <v>0</v>
      </c>
      <c r="O17829" t="s">
        <v>11969</v>
      </c>
    </row>
    <row r="17830" spans="1:15">
      <c r="A17830" t="s">
        <v>54438</v>
      </c>
      <c r="B17830" t="s">
        <v>13244</v>
      </c>
      <c r="C17830" t="s">
        <v>19277</v>
      </c>
      <c r="D17830" t="s">
        <v>54439</v>
      </c>
      <c r="E17830" t="b">
        <v>0</v>
      </c>
      <c r="F17830" t="s">
        <v>11624</v>
      </c>
      <c r="G17830">
        <v>-6.1372780000000002</v>
      </c>
      <c r="H17830">
        <v>-73.544312000000005</v>
      </c>
      <c r="L17830">
        <v>0</v>
      </c>
      <c r="M17830">
        <v>0</v>
      </c>
      <c r="N17830">
        <v>0</v>
      </c>
      <c r="O17830" t="s">
        <v>11778</v>
      </c>
    </row>
    <row r="17831" spans="1:15">
      <c r="A17831" t="s">
        <v>54440</v>
      </c>
      <c r="B17831" t="s">
        <v>11615</v>
      </c>
      <c r="C17831" t="s">
        <v>28672</v>
      </c>
      <c r="D17831" t="s">
        <v>54441</v>
      </c>
      <c r="E17831" t="b">
        <v>0</v>
      </c>
      <c r="F17831" t="s">
        <v>11624</v>
      </c>
      <c r="G17831">
        <v>-5.0248699999999999</v>
      </c>
      <c r="H17831">
        <v>145.78200000000001</v>
      </c>
      <c r="I17831" t="s">
        <v>54442</v>
      </c>
      <c r="L17831">
        <v>0</v>
      </c>
      <c r="M17831">
        <v>0</v>
      </c>
      <c r="N17831">
        <v>0</v>
      </c>
      <c r="O17831" t="s">
        <v>11660</v>
      </c>
    </row>
    <row r="17832" spans="1:15">
      <c r="A17832" t="s">
        <v>28672</v>
      </c>
      <c r="B17832" t="s">
        <v>11615</v>
      </c>
      <c r="C17832" t="s">
        <v>28675</v>
      </c>
      <c r="D17832" t="s">
        <v>54443</v>
      </c>
      <c r="E17832" t="b">
        <v>0</v>
      </c>
      <c r="F17832" t="s">
        <v>11622</v>
      </c>
      <c r="L17832">
        <v>0</v>
      </c>
      <c r="M17832">
        <v>3</v>
      </c>
      <c r="N17832">
        <v>0</v>
      </c>
    </row>
    <row r="17833" spans="1:15">
      <c r="A17833" t="s">
        <v>54444</v>
      </c>
      <c r="B17833" t="s">
        <v>367</v>
      </c>
      <c r="C17833" t="s">
        <v>31878</v>
      </c>
      <c r="D17833" t="s">
        <v>54445</v>
      </c>
      <c r="E17833" t="b">
        <v>0</v>
      </c>
      <c r="F17833" t="s">
        <v>11624</v>
      </c>
      <c r="G17833">
        <v>1.26305</v>
      </c>
      <c r="H17833">
        <v>110.82</v>
      </c>
      <c r="I17833" t="s">
        <v>54446</v>
      </c>
      <c r="L17833">
        <v>0</v>
      </c>
      <c r="M17833">
        <v>0</v>
      </c>
      <c r="N17833">
        <v>0</v>
      </c>
      <c r="O17833" t="s">
        <v>11672</v>
      </c>
    </row>
    <row r="17834" spans="1:15">
      <c r="A17834" t="s">
        <v>54447</v>
      </c>
      <c r="B17834" t="s">
        <v>11607</v>
      </c>
      <c r="C17834" t="s">
        <v>16031</v>
      </c>
      <c r="D17834" t="s">
        <v>54448</v>
      </c>
      <c r="E17834" t="b">
        <v>0</v>
      </c>
      <c r="F17834" t="s">
        <v>11624</v>
      </c>
      <c r="G17834">
        <v>2.2706499999999998</v>
      </c>
      <c r="H17834">
        <v>37.360799999999998</v>
      </c>
      <c r="I17834" t="s">
        <v>54449</v>
      </c>
      <c r="L17834">
        <v>0</v>
      </c>
      <c r="M17834">
        <v>0</v>
      </c>
      <c r="N17834">
        <v>0</v>
      </c>
      <c r="O17834" t="s">
        <v>22848</v>
      </c>
    </row>
    <row r="17835" spans="1:15">
      <c r="A17835" t="s">
        <v>15944</v>
      </c>
      <c r="B17835" t="s">
        <v>12438</v>
      </c>
      <c r="C17835" t="s">
        <v>31517</v>
      </c>
      <c r="D17835" t="s">
        <v>54450</v>
      </c>
      <c r="E17835" t="b">
        <v>0</v>
      </c>
      <c r="F17835" t="s">
        <v>11624</v>
      </c>
      <c r="G17835">
        <v>14.6066</v>
      </c>
      <c r="H17835">
        <v>107.85899999999999</v>
      </c>
      <c r="I17835" t="s">
        <v>54451</v>
      </c>
      <c r="L17835">
        <v>0</v>
      </c>
      <c r="M17835">
        <v>0</v>
      </c>
      <c r="N17835">
        <v>3</v>
      </c>
      <c r="O17835" t="s">
        <v>15949</v>
      </c>
    </row>
    <row r="17836" spans="1:15">
      <c r="A17836" t="s">
        <v>54452</v>
      </c>
      <c r="B17836" t="s">
        <v>11644</v>
      </c>
      <c r="C17836" t="s">
        <v>13785</v>
      </c>
      <c r="D17836" t="s">
        <v>54453</v>
      </c>
      <c r="E17836" t="b">
        <v>0</v>
      </c>
      <c r="F17836" t="s">
        <v>11622</v>
      </c>
      <c r="L17836">
        <v>0</v>
      </c>
      <c r="M17836">
        <v>2</v>
      </c>
      <c r="N17836">
        <v>6</v>
      </c>
    </row>
    <row r="17837" spans="1:15">
      <c r="A17837" t="s">
        <v>54454</v>
      </c>
      <c r="B17837" t="s">
        <v>11644</v>
      </c>
      <c r="C17837" t="s">
        <v>32225</v>
      </c>
      <c r="D17837" t="s">
        <v>54455</v>
      </c>
      <c r="E17837" t="b">
        <v>0</v>
      </c>
      <c r="F17837" t="s">
        <v>11610</v>
      </c>
      <c r="L17837">
        <v>0</v>
      </c>
      <c r="M17837">
        <v>0</v>
      </c>
      <c r="N17837">
        <v>0</v>
      </c>
    </row>
    <row r="17838" spans="1:15">
      <c r="A17838" t="s">
        <v>54456</v>
      </c>
      <c r="B17838" t="s">
        <v>11644</v>
      </c>
      <c r="C17838" t="s">
        <v>26615</v>
      </c>
      <c r="D17838" t="s">
        <v>54457</v>
      </c>
      <c r="E17838" t="b">
        <v>0</v>
      </c>
      <c r="F17838" t="s">
        <v>11624</v>
      </c>
      <c r="L17838">
        <v>0</v>
      </c>
      <c r="M17838">
        <v>0</v>
      </c>
      <c r="N17838">
        <v>0</v>
      </c>
      <c r="O17838" t="s">
        <v>22740</v>
      </c>
    </row>
    <row r="17839" spans="1:15">
      <c r="A17839" t="s">
        <v>54458</v>
      </c>
      <c r="B17839" t="s">
        <v>11644</v>
      </c>
      <c r="C17839" t="s">
        <v>22047</v>
      </c>
      <c r="D17839" t="s">
        <v>54459</v>
      </c>
      <c r="E17839" t="b">
        <v>0</v>
      </c>
      <c r="F17839" t="s">
        <v>11610</v>
      </c>
      <c r="L17839">
        <v>0</v>
      </c>
      <c r="M17839">
        <v>0</v>
      </c>
      <c r="N17839">
        <v>0</v>
      </c>
    </row>
    <row r="17840" spans="1:15">
      <c r="A17840" t="s">
        <v>54460</v>
      </c>
      <c r="B17840" t="s">
        <v>14629</v>
      </c>
      <c r="C17840" t="s">
        <v>14629</v>
      </c>
      <c r="D17840" t="s">
        <v>54461</v>
      </c>
      <c r="E17840" t="b">
        <v>0</v>
      </c>
      <c r="F17840" t="s">
        <v>11624</v>
      </c>
      <c r="G17840">
        <v>-11.615</v>
      </c>
      <c r="H17840">
        <v>160.21899999999999</v>
      </c>
      <c r="I17840" t="s">
        <v>54462</v>
      </c>
      <c r="L17840">
        <v>0</v>
      </c>
      <c r="M17840">
        <v>0</v>
      </c>
      <c r="N17840">
        <v>0</v>
      </c>
      <c r="O17840" t="s">
        <v>13346</v>
      </c>
    </row>
    <row r="17841" spans="1:15">
      <c r="A17841" t="s">
        <v>45789</v>
      </c>
      <c r="B17841" t="s">
        <v>367</v>
      </c>
      <c r="C17841" t="s">
        <v>14052</v>
      </c>
      <c r="D17841" t="s">
        <v>54463</v>
      </c>
      <c r="E17841" t="b">
        <v>0</v>
      </c>
      <c r="F17841" t="s">
        <v>11624</v>
      </c>
      <c r="G17841">
        <v>-11.623699999999999</v>
      </c>
      <c r="H17841">
        <v>160.26499999999999</v>
      </c>
      <c r="I17841" t="s">
        <v>54464</v>
      </c>
      <c r="L17841">
        <v>0</v>
      </c>
      <c r="M17841">
        <v>0</v>
      </c>
      <c r="N17841">
        <v>2</v>
      </c>
      <c r="O17841" t="s">
        <v>13346</v>
      </c>
    </row>
    <row r="17842" spans="1:15">
      <c r="A17842" t="s">
        <v>54465</v>
      </c>
      <c r="B17842" t="s">
        <v>367</v>
      </c>
      <c r="C17842" t="s">
        <v>39944</v>
      </c>
      <c r="D17842" t="s">
        <v>54466</v>
      </c>
      <c r="E17842" t="b">
        <v>0</v>
      </c>
      <c r="F17842" t="s">
        <v>11610</v>
      </c>
      <c r="G17842">
        <v>-16.326499999999999</v>
      </c>
      <c r="H17842">
        <v>167.619</v>
      </c>
      <c r="I17842" t="s">
        <v>54467</v>
      </c>
      <c r="L17842">
        <v>0</v>
      </c>
      <c r="M17842">
        <v>0</v>
      </c>
      <c r="N17842">
        <v>0</v>
      </c>
      <c r="O17842" t="s">
        <v>12719</v>
      </c>
    </row>
    <row r="17843" spans="1:15">
      <c r="A17843" t="s">
        <v>54468</v>
      </c>
      <c r="B17843" t="s">
        <v>11615</v>
      </c>
      <c r="C17843" t="s">
        <v>25442</v>
      </c>
      <c r="D17843" t="s">
        <v>54469</v>
      </c>
      <c r="E17843" t="b">
        <v>0</v>
      </c>
      <c r="F17843" t="s">
        <v>11624</v>
      </c>
      <c r="G17843">
        <v>-5.5136099999999999</v>
      </c>
      <c r="H17843">
        <v>145.71600000000001</v>
      </c>
      <c r="I17843" t="s">
        <v>54470</v>
      </c>
      <c r="L17843">
        <v>0</v>
      </c>
      <c r="M17843">
        <v>0</v>
      </c>
      <c r="N17843">
        <v>0</v>
      </c>
      <c r="O17843" t="s">
        <v>11660</v>
      </c>
    </row>
    <row r="17844" spans="1:15">
      <c r="A17844" t="s">
        <v>54471</v>
      </c>
      <c r="B17844" t="s">
        <v>12241</v>
      </c>
      <c r="C17844" t="s">
        <v>12241</v>
      </c>
      <c r="D17844" t="s">
        <v>54472</v>
      </c>
      <c r="E17844" t="b">
        <v>0</v>
      </c>
      <c r="F17844" t="s">
        <v>11624</v>
      </c>
      <c r="G17844">
        <v>4.1166099999999997</v>
      </c>
      <c r="H17844">
        <v>41.706499999999998</v>
      </c>
      <c r="I17844" t="s">
        <v>54473</v>
      </c>
      <c r="L17844">
        <v>0</v>
      </c>
      <c r="M17844">
        <v>0</v>
      </c>
      <c r="N17844">
        <v>0</v>
      </c>
      <c r="O17844" t="s">
        <v>11625</v>
      </c>
    </row>
    <row r="17845" spans="1:15">
      <c r="A17845" t="s">
        <v>54474</v>
      </c>
      <c r="B17845" t="s">
        <v>367</v>
      </c>
      <c r="C17845" t="s">
        <v>54475</v>
      </c>
      <c r="D17845" t="s">
        <v>54476</v>
      </c>
      <c r="E17845" t="b">
        <v>0</v>
      </c>
      <c r="F17845" t="s">
        <v>11624</v>
      </c>
      <c r="G17845">
        <v>-16.293399999999998</v>
      </c>
      <c r="H17845">
        <v>167.65100000000001</v>
      </c>
      <c r="I17845" t="s">
        <v>54477</v>
      </c>
      <c r="L17845">
        <v>0</v>
      </c>
      <c r="M17845">
        <v>0</v>
      </c>
      <c r="N17845">
        <v>1</v>
      </c>
      <c r="O17845" t="s">
        <v>12719</v>
      </c>
    </row>
    <row r="17846" spans="1:15">
      <c r="A17846" t="s">
        <v>54478</v>
      </c>
      <c r="B17846" t="s">
        <v>6742</v>
      </c>
      <c r="C17846" t="s">
        <v>34189</v>
      </c>
      <c r="D17846" t="s">
        <v>54479</v>
      </c>
      <c r="E17846" t="b">
        <v>0</v>
      </c>
      <c r="F17846" t="s">
        <v>11624</v>
      </c>
      <c r="G17846">
        <v>10.77046</v>
      </c>
      <c r="H17846">
        <v>4.6239499999999998</v>
      </c>
      <c r="I17846" t="s">
        <v>54480</v>
      </c>
      <c r="L17846">
        <v>0</v>
      </c>
      <c r="M17846">
        <v>0</v>
      </c>
      <c r="N17846">
        <v>0</v>
      </c>
      <c r="O17846" t="s">
        <v>11693</v>
      </c>
    </row>
    <row r="17847" spans="1:15">
      <c r="A17847" t="s">
        <v>54481</v>
      </c>
      <c r="B17847" t="s">
        <v>11637</v>
      </c>
      <c r="C17847" t="s">
        <v>10074</v>
      </c>
      <c r="D17847" t="s">
        <v>54482</v>
      </c>
      <c r="E17847" t="b">
        <v>0</v>
      </c>
      <c r="F17847" t="s">
        <v>11610</v>
      </c>
      <c r="L17847">
        <v>0</v>
      </c>
      <c r="M17847">
        <v>0</v>
      </c>
      <c r="N17847">
        <v>0</v>
      </c>
    </row>
    <row r="17848" spans="1:15">
      <c r="A17848" t="s">
        <v>54483</v>
      </c>
      <c r="B17848" t="s">
        <v>11894</v>
      </c>
      <c r="C17848" t="s">
        <v>33234</v>
      </c>
      <c r="D17848" t="s">
        <v>54484</v>
      </c>
      <c r="E17848" t="b">
        <v>0</v>
      </c>
      <c r="F17848" t="s">
        <v>11624</v>
      </c>
      <c r="G17848">
        <v>-2.4813900000000002</v>
      </c>
      <c r="H17848">
        <v>-71.357799999999997</v>
      </c>
      <c r="I17848" t="s">
        <v>54485</v>
      </c>
      <c r="L17848">
        <v>0</v>
      </c>
      <c r="M17848">
        <v>0</v>
      </c>
      <c r="N17848">
        <v>0</v>
      </c>
      <c r="O17848" t="s">
        <v>45917</v>
      </c>
    </row>
    <row r="17849" spans="1:15">
      <c r="A17849" t="s">
        <v>54486</v>
      </c>
      <c r="B17849" t="s">
        <v>11839</v>
      </c>
      <c r="C17849" t="s">
        <v>18963</v>
      </c>
      <c r="D17849" t="s">
        <v>54487</v>
      </c>
      <c r="E17849" t="b">
        <v>0</v>
      </c>
      <c r="F17849" t="s">
        <v>11624</v>
      </c>
      <c r="G17849">
        <v>-8.2248099999999997</v>
      </c>
      <c r="H17849">
        <v>124.36</v>
      </c>
      <c r="I17849" t="s">
        <v>54488</v>
      </c>
      <c r="L17849">
        <v>0</v>
      </c>
      <c r="M17849">
        <v>0</v>
      </c>
      <c r="N17849">
        <v>0</v>
      </c>
      <c r="O17849" t="s">
        <v>11768</v>
      </c>
    </row>
    <row r="17850" spans="1:15">
      <c r="A17850" t="s">
        <v>54489</v>
      </c>
      <c r="B17850" t="s">
        <v>2975</v>
      </c>
      <c r="C17850" t="s">
        <v>54490</v>
      </c>
      <c r="D17850" t="s">
        <v>54491</v>
      </c>
      <c r="E17850" t="b">
        <v>0</v>
      </c>
      <c r="F17850" t="s">
        <v>11610</v>
      </c>
      <c r="L17850">
        <v>0</v>
      </c>
      <c r="M17850">
        <v>0</v>
      </c>
      <c r="N17850">
        <v>0</v>
      </c>
    </row>
    <row r="17851" spans="1:15">
      <c r="A17851" t="s">
        <v>54492</v>
      </c>
      <c r="B17851" t="s">
        <v>11637</v>
      </c>
      <c r="C17851" t="s">
        <v>23068</v>
      </c>
      <c r="D17851" t="s">
        <v>54493</v>
      </c>
      <c r="E17851" t="b">
        <v>0</v>
      </c>
      <c r="F17851" t="s">
        <v>11624</v>
      </c>
      <c r="G17851">
        <v>-21.113099999999999</v>
      </c>
      <c r="H17851">
        <v>55.5321</v>
      </c>
      <c r="I17851" t="s">
        <v>54494</v>
      </c>
      <c r="L17851">
        <v>0</v>
      </c>
      <c r="M17851">
        <v>0</v>
      </c>
      <c r="N17851">
        <v>0</v>
      </c>
      <c r="O17851" t="s">
        <v>54495</v>
      </c>
    </row>
    <row r="17852" spans="1:15">
      <c r="A17852" t="s">
        <v>54496</v>
      </c>
      <c r="B17852" t="s">
        <v>11637</v>
      </c>
      <c r="C17852" t="s">
        <v>4401</v>
      </c>
      <c r="D17852" t="s">
        <v>54497</v>
      </c>
      <c r="E17852" t="b">
        <v>0</v>
      </c>
      <c r="F17852" t="s">
        <v>11610</v>
      </c>
      <c r="L17852">
        <v>0</v>
      </c>
      <c r="M17852">
        <v>0</v>
      </c>
      <c r="N17852">
        <v>0</v>
      </c>
    </row>
    <row r="17853" spans="1:15">
      <c r="A17853" t="s">
        <v>54498</v>
      </c>
      <c r="B17853" t="s">
        <v>13244</v>
      </c>
      <c r="C17853" t="s">
        <v>14336</v>
      </c>
      <c r="D17853" t="s">
        <v>54499</v>
      </c>
      <c r="E17853" t="b">
        <v>0</v>
      </c>
      <c r="F17853" t="s">
        <v>11624</v>
      </c>
      <c r="G17853">
        <v>-14.833299999999999</v>
      </c>
      <c r="H17853">
        <v>-67.083299999999994</v>
      </c>
      <c r="I17853" t="s">
        <v>54500</v>
      </c>
      <c r="L17853">
        <v>0</v>
      </c>
      <c r="M17853">
        <v>0</v>
      </c>
      <c r="N17853">
        <v>0</v>
      </c>
      <c r="O17853" t="s">
        <v>14185</v>
      </c>
    </row>
    <row r="17854" spans="1:15">
      <c r="A17854" t="s">
        <v>23428</v>
      </c>
      <c r="B17854" t="s">
        <v>11644</v>
      </c>
      <c r="C17854" t="s">
        <v>45997</v>
      </c>
      <c r="D17854" t="s">
        <v>54501</v>
      </c>
      <c r="E17854" t="b">
        <v>0</v>
      </c>
      <c r="F17854" t="s">
        <v>11622</v>
      </c>
      <c r="L17854">
        <v>4</v>
      </c>
      <c r="M17854">
        <v>7</v>
      </c>
      <c r="N17854">
        <v>22</v>
      </c>
    </row>
    <row r="17855" spans="1:15">
      <c r="A17855" t="s">
        <v>54502</v>
      </c>
      <c r="B17855" t="s">
        <v>6742</v>
      </c>
      <c r="C17855" t="s">
        <v>1906</v>
      </c>
      <c r="D17855" t="s">
        <v>54503</v>
      </c>
      <c r="E17855" t="b">
        <v>0</v>
      </c>
      <c r="F17855" t="s">
        <v>11610</v>
      </c>
      <c r="L17855">
        <v>0</v>
      </c>
      <c r="M17855">
        <v>0</v>
      </c>
      <c r="N17855">
        <v>0</v>
      </c>
    </row>
    <row r="17856" spans="1:15">
      <c r="A17856" t="s">
        <v>54504</v>
      </c>
      <c r="B17856" t="s">
        <v>6742</v>
      </c>
      <c r="C17856" t="s">
        <v>54505</v>
      </c>
      <c r="D17856" t="s">
        <v>54506</v>
      </c>
      <c r="E17856" t="b">
        <v>0</v>
      </c>
      <c r="F17856" t="s">
        <v>11610</v>
      </c>
      <c r="L17856">
        <v>0</v>
      </c>
      <c r="M17856">
        <v>0</v>
      </c>
      <c r="N17856">
        <v>0</v>
      </c>
    </row>
    <row r="17857" spans="1:15">
      <c r="A17857" t="s">
        <v>52018</v>
      </c>
      <c r="B17857" t="s">
        <v>11637</v>
      </c>
      <c r="C17857" t="s">
        <v>31114</v>
      </c>
      <c r="D17857" t="s">
        <v>54507</v>
      </c>
      <c r="E17857" t="b">
        <v>0</v>
      </c>
      <c r="F17857" t="s">
        <v>11622</v>
      </c>
      <c r="L17857">
        <v>1</v>
      </c>
      <c r="M17857">
        <v>3</v>
      </c>
      <c r="N17857">
        <v>9</v>
      </c>
    </row>
    <row r="17858" spans="1:15">
      <c r="A17858" t="s">
        <v>54508</v>
      </c>
      <c r="B17858" t="s">
        <v>6742</v>
      </c>
      <c r="C17858" t="s">
        <v>16209</v>
      </c>
      <c r="D17858" t="s">
        <v>54509</v>
      </c>
      <c r="E17858" t="b">
        <v>0</v>
      </c>
      <c r="F17858" t="s">
        <v>11610</v>
      </c>
      <c r="L17858">
        <v>0</v>
      </c>
      <c r="M17858">
        <v>0</v>
      </c>
      <c r="N17858">
        <v>0</v>
      </c>
    </row>
    <row r="17859" spans="1:15">
      <c r="A17859" t="s">
        <v>54510</v>
      </c>
      <c r="B17859" t="s">
        <v>11637</v>
      </c>
      <c r="C17859" t="s">
        <v>24239</v>
      </c>
      <c r="D17859" t="s">
        <v>54511</v>
      </c>
      <c r="E17859" t="b">
        <v>0</v>
      </c>
      <c r="F17859" t="s">
        <v>11610</v>
      </c>
      <c r="L17859">
        <v>0</v>
      </c>
      <c r="M17859">
        <v>0</v>
      </c>
      <c r="N17859">
        <v>0</v>
      </c>
    </row>
    <row r="17860" spans="1:15">
      <c r="A17860" t="s">
        <v>54512</v>
      </c>
      <c r="B17860" t="s">
        <v>367</v>
      </c>
      <c r="C17860" t="s">
        <v>14685</v>
      </c>
      <c r="D17860" t="s">
        <v>54513</v>
      </c>
      <c r="E17860" t="b">
        <v>0</v>
      </c>
      <c r="F17860" t="s">
        <v>11610</v>
      </c>
      <c r="L17860">
        <v>0</v>
      </c>
      <c r="M17860">
        <v>0</v>
      </c>
      <c r="N17860">
        <v>0</v>
      </c>
    </row>
    <row r="17861" spans="1:15">
      <c r="A17861" t="s">
        <v>54514</v>
      </c>
      <c r="B17861" t="s">
        <v>12438</v>
      </c>
      <c r="C17861" t="s">
        <v>51986</v>
      </c>
      <c r="D17861" t="s">
        <v>54515</v>
      </c>
      <c r="E17861" t="b">
        <v>0</v>
      </c>
      <c r="F17861" t="s">
        <v>11622</v>
      </c>
      <c r="L17861">
        <v>0</v>
      </c>
      <c r="M17861">
        <v>2</v>
      </c>
      <c r="N17861">
        <v>0</v>
      </c>
    </row>
    <row r="17862" spans="1:15">
      <c r="A17862" t="s">
        <v>54516</v>
      </c>
      <c r="B17862" t="s">
        <v>12438</v>
      </c>
      <c r="C17862" t="s">
        <v>54514</v>
      </c>
      <c r="D17862" t="s">
        <v>54517</v>
      </c>
      <c r="E17862" t="b">
        <v>0</v>
      </c>
      <c r="F17862" t="s">
        <v>11624</v>
      </c>
      <c r="G17862">
        <v>24.052099999999999</v>
      </c>
      <c r="H17862">
        <v>98.833299999999994</v>
      </c>
      <c r="I17862" t="s">
        <v>54518</v>
      </c>
      <c r="L17862">
        <v>0</v>
      </c>
      <c r="M17862">
        <v>0</v>
      </c>
      <c r="N17862">
        <v>0</v>
      </c>
      <c r="O17862" t="s">
        <v>11892</v>
      </c>
    </row>
    <row r="17863" spans="1:15">
      <c r="A17863" t="s">
        <v>54519</v>
      </c>
      <c r="B17863" t="s">
        <v>11644</v>
      </c>
      <c r="C17863" t="s">
        <v>36983</v>
      </c>
      <c r="D17863" t="s">
        <v>54520</v>
      </c>
      <c r="E17863" t="b">
        <v>0</v>
      </c>
      <c r="F17863" t="s">
        <v>11624</v>
      </c>
      <c r="G17863">
        <v>23.680299999999999</v>
      </c>
      <c r="H17863">
        <v>92.0321</v>
      </c>
      <c r="I17863" t="s">
        <v>54521</v>
      </c>
      <c r="L17863">
        <v>0</v>
      </c>
      <c r="M17863">
        <v>0</v>
      </c>
      <c r="N17863">
        <v>0</v>
      </c>
      <c r="O17863" t="s">
        <v>15054</v>
      </c>
    </row>
    <row r="17864" spans="1:15">
      <c r="A17864" t="s">
        <v>54522</v>
      </c>
      <c r="B17864" t="s">
        <v>36517</v>
      </c>
      <c r="C17864" t="s">
        <v>36516</v>
      </c>
      <c r="D17864" t="s">
        <v>54523</v>
      </c>
      <c r="E17864" t="b">
        <v>0</v>
      </c>
      <c r="F17864" t="s">
        <v>11624</v>
      </c>
      <c r="G17864">
        <v>-7.50746</v>
      </c>
      <c r="H17864">
        <v>138.48400000000001</v>
      </c>
      <c r="I17864" t="s">
        <v>54524</v>
      </c>
      <c r="L17864">
        <v>0</v>
      </c>
      <c r="M17864">
        <v>0</v>
      </c>
      <c r="N17864">
        <v>0</v>
      </c>
      <c r="O17864" t="s">
        <v>11768</v>
      </c>
    </row>
    <row r="17865" spans="1:15">
      <c r="A17865" t="s">
        <v>54525</v>
      </c>
      <c r="B17865" t="s">
        <v>11637</v>
      </c>
      <c r="C17865" t="s">
        <v>16090</v>
      </c>
      <c r="D17865" t="s">
        <v>54526</v>
      </c>
      <c r="E17865" t="b">
        <v>0</v>
      </c>
      <c r="F17865" t="s">
        <v>11610</v>
      </c>
      <c r="L17865">
        <v>0</v>
      </c>
      <c r="M17865">
        <v>0</v>
      </c>
      <c r="N17865">
        <v>0</v>
      </c>
    </row>
    <row r="17866" spans="1:15">
      <c r="A17866" t="s">
        <v>54527</v>
      </c>
      <c r="B17866" t="s">
        <v>6742</v>
      </c>
      <c r="C17866" t="s">
        <v>12109</v>
      </c>
      <c r="D17866" t="s">
        <v>54528</v>
      </c>
      <c r="E17866" t="b">
        <v>0</v>
      </c>
      <c r="F17866" t="s">
        <v>11610</v>
      </c>
      <c r="L17866">
        <v>0</v>
      </c>
      <c r="M17866">
        <v>0</v>
      </c>
      <c r="N17866">
        <v>0</v>
      </c>
    </row>
    <row r="17867" spans="1:15">
      <c r="A17867" t="s">
        <v>54529</v>
      </c>
      <c r="B17867" t="s">
        <v>6742</v>
      </c>
      <c r="C17867" t="s">
        <v>53250</v>
      </c>
      <c r="D17867" t="s">
        <v>54530</v>
      </c>
      <c r="E17867" t="b">
        <v>0</v>
      </c>
      <c r="F17867" t="s">
        <v>11610</v>
      </c>
      <c r="L17867">
        <v>0</v>
      </c>
      <c r="M17867">
        <v>0</v>
      </c>
      <c r="N17867">
        <v>0</v>
      </c>
    </row>
    <row r="17868" spans="1:15">
      <c r="A17868" t="s">
        <v>54531</v>
      </c>
      <c r="B17868" t="s">
        <v>11607</v>
      </c>
      <c r="C17868" t="s">
        <v>17383</v>
      </c>
      <c r="D17868" t="s">
        <v>54532</v>
      </c>
      <c r="E17868" t="b">
        <v>0</v>
      </c>
      <c r="F17868" t="s">
        <v>11610</v>
      </c>
      <c r="L17868">
        <v>0</v>
      </c>
      <c r="M17868">
        <v>0</v>
      </c>
      <c r="N17868">
        <v>0</v>
      </c>
    </row>
    <row r="17869" spans="1:15">
      <c r="A17869" t="s">
        <v>54533</v>
      </c>
      <c r="B17869" t="s">
        <v>11637</v>
      </c>
      <c r="C17869" t="s">
        <v>21229</v>
      </c>
      <c r="D17869" t="s">
        <v>54534</v>
      </c>
      <c r="E17869" t="b">
        <v>0</v>
      </c>
      <c r="F17869" t="s">
        <v>11610</v>
      </c>
      <c r="L17869">
        <v>0</v>
      </c>
      <c r="M17869">
        <v>0</v>
      </c>
      <c r="N17869">
        <v>0</v>
      </c>
    </row>
    <row r="17870" spans="1:15">
      <c r="A17870" t="s">
        <v>54535</v>
      </c>
      <c r="B17870" t="s">
        <v>13276</v>
      </c>
      <c r="C17870" t="s">
        <v>20688</v>
      </c>
      <c r="D17870" t="s">
        <v>54536</v>
      </c>
      <c r="E17870" t="b">
        <v>0</v>
      </c>
      <c r="F17870" t="s">
        <v>11610</v>
      </c>
      <c r="L17870">
        <v>0</v>
      </c>
      <c r="M17870">
        <v>0</v>
      </c>
      <c r="N17870">
        <v>0</v>
      </c>
    </row>
    <row r="17871" spans="1:15">
      <c r="A17871" t="s">
        <v>54537</v>
      </c>
      <c r="B17871" t="s">
        <v>6742</v>
      </c>
      <c r="C17871" t="s">
        <v>23010</v>
      </c>
      <c r="D17871" t="s">
        <v>54538</v>
      </c>
      <c r="E17871" t="b">
        <v>0</v>
      </c>
      <c r="F17871" t="s">
        <v>11610</v>
      </c>
      <c r="L17871">
        <v>0</v>
      </c>
      <c r="M17871">
        <v>0</v>
      </c>
      <c r="N17871">
        <v>0</v>
      </c>
    </row>
    <row r="17872" spans="1:15">
      <c r="A17872" t="s">
        <v>14445</v>
      </c>
      <c r="B17872" t="s">
        <v>10597</v>
      </c>
      <c r="C17872" t="s">
        <v>38477</v>
      </c>
      <c r="D17872" t="s">
        <v>54539</v>
      </c>
      <c r="E17872" t="b">
        <v>0</v>
      </c>
      <c r="F17872" t="s">
        <v>11622</v>
      </c>
      <c r="L17872">
        <v>0</v>
      </c>
      <c r="M17872">
        <v>2</v>
      </c>
      <c r="N17872">
        <v>0</v>
      </c>
    </row>
    <row r="17873" spans="1:15">
      <c r="A17873" t="s">
        <v>54540</v>
      </c>
      <c r="B17873" t="s">
        <v>6742</v>
      </c>
      <c r="C17873" t="s">
        <v>16789</v>
      </c>
      <c r="D17873" t="s">
        <v>54541</v>
      </c>
      <c r="E17873" t="b">
        <v>0</v>
      </c>
      <c r="F17873" t="s">
        <v>11610</v>
      </c>
      <c r="L17873">
        <v>0</v>
      </c>
      <c r="M17873">
        <v>0</v>
      </c>
      <c r="N17873">
        <v>0</v>
      </c>
    </row>
    <row r="17874" spans="1:15">
      <c r="A17874" t="s">
        <v>54542</v>
      </c>
      <c r="B17874" t="s">
        <v>6742</v>
      </c>
      <c r="C17874" t="s">
        <v>20135</v>
      </c>
      <c r="D17874" t="s">
        <v>54543</v>
      </c>
      <c r="E17874" t="b">
        <v>0</v>
      </c>
      <c r="F17874" t="s">
        <v>11610</v>
      </c>
      <c r="L17874">
        <v>0</v>
      </c>
      <c r="M17874">
        <v>0</v>
      </c>
      <c r="N17874">
        <v>0</v>
      </c>
    </row>
    <row r="17875" spans="1:15">
      <c r="A17875" t="s">
        <v>54544</v>
      </c>
      <c r="B17875" t="s">
        <v>367</v>
      </c>
      <c r="C17875" t="s">
        <v>33211</v>
      </c>
      <c r="D17875" t="s">
        <v>54545</v>
      </c>
      <c r="E17875" t="b">
        <v>0</v>
      </c>
      <c r="F17875" t="s">
        <v>11624</v>
      </c>
      <c r="G17875">
        <v>0.32189000000000001</v>
      </c>
      <c r="H17875">
        <v>110.20699999999999</v>
      </c>
      <c r="I17875" t="s">
        <v>54546</v>
      </c>
      <c r="L17875">
        <v>0</v>
      </c>
      <c r="M17875">
        <v>0</v>
      </c>
      <c r="N17875">
        <v>0</v>
      </c>
      <c r="O17875" t="s">
        <v>11768</v>
      </c>
    </row>
    <row r="17876" spans="1:15">
      <c r="A17876" t="s">
        <v>54547</v>
      </c>
      <c r="B17876" t="s">
        <v>11607</v>
      </c>
      <c r="C17876" t="s">
        <v>34681</v>
      </c>
      <c r="D17876" t="s">
        <v>54548</v>
      </c>
      <c r="E17876" t="b">
        <v>0</v>
      </c>
      <c r="F17876" t="s">
        <v>11610</v>
      </c>
      <c r="L17876">
        <v>0</v>
      </c>
      <c r="M17876">
        <v>0</v>
      </c>
      <c r="N17876">
        <v>0</v>
      </c>
    </row>
    <row r="17877" spans="1:15">
      <c r="A17877" t="s">
        <v>54549</v>
      </c>
      <c r="B17877" t="s">
        <v>367</v>
      </c>
      <c r="C17877" t="s">
        <v>16048</v>
      </c>
      <c r="D17877" t="s">
        <v>54550</v>
      </c>
      <c r="E17877" t="b">
        <v>0</v>
      </c>
      <c r="F17877" t="s">
        <v>11610</v>
      </c>
      <c r="L17877">
        <v>0</v>
      </c>
      <c r="M17877">
        <v>0</v>
      </c>
      <c r="N17877">
        <v>0</v>
      </c>
    </row>
    <row r="17878" spans="1:15">
      <c r="A17878" t="s">
        <v>54551</v>
      </c>
      <c r="B17878" t="s">
        <v>11627</v>
      </c>
      <c r="C17878" t="s">
        <v>11627</v>
      </c>
      <c r="D17878" t="s">
        <v>54552</v>
      </c>
      <c r="E17878" t="b">
        <v>1</v>
      </c>
      <c r="F17878" t="s">
        <v>11624</v>
      </c>
      <c r="G17878">
        <v>19.508400000000002</v>
      </c>
      <c r="H17878">
        <v>102.59099999999999</v>
      </c>
      <c r="I17878" t="s">
        <v>54553</v>
      </c>
      <c r="L17878">
        <v>0</v>
      </c>
      <c r="M17878">
        <v>0</v>
      </c>
      <c r="N17878">
        <v>0</v>
      </c>
      <c r="O17878" t="s">
        <v>12921</v>
      </c>
    </row>
    <row r="17879" spans="1:15">
      <c r="A17879" t="s">
        <v>3259</v>
      </c>
      <c r="B17879" t="s">
        <v>11607</v>
      </c>
      <c r="C17879" t="s">
        <v>26652</v>
      </c>
      <c r="D17879" t="s">
        <v>54554</v>
      </c>
      <c r="E17879" t="b">
        <v>0</v>
      </c>
      <c r="F17879" t="s">
        <v>11610</v>
      </c>
      <c r="L17879">
        <v>0</v>
      </c>
      <c r="M17879">
        <v>0</v>
      </c>
      <c r="N17879">
        <v>16</v>
      </c>
    </row>
    <row r="17880" spans="1:15">
      <c r="A17880" t="s">
        <v>54555</v>
      </c>
      <c r="B17880" t="s">
        <v>11729</v>
      </c>
      <c r="C17880" t="s">
        <v>50878</v>
      </c>
      <c r="D17880" t="s">
        <v>54556</v>
      </c>
      <c r="E17880" t="b">
        <v>0</v>
      </c>
      <c r="F17880" t="s">
        <v>11610</v>
      </c>
      <c r="L17880">
        <v>0</v>
      </c>
      <c r="M17880">
        <v>0</v>
      </c>
      <c r="N17880">
        <v>0</v>
      </c>
    </row>
    <row r="17881" spans="1:15">
      <c r="A17881" t="s">
        <v>54557</v>
      </c>
      <c r="B17881" t="s">
        <v>13014</v>
      </c>
      <c r="C17881" t="s">
        <v>38875</v>
      </c>
      <c r="D17881" t="s">
        <v>54558</v>
      </c>
      <c r="E17881" t="b">
        <v>0</v>
      </c>
      <c r="F17881" t="s">
        <v>11610</v>
      </c>
      <c r="L17881">
        <v>0</v>
      </c>
      <c r="M17881">
        <v>0</v>
      </c>
      <c r="N17881">
        <v>0</v>
      </c>
    </row>
    <row r="17882" spans="1:15">
      <c r="A17882" t="s">
        <v>54559</v>
      </c>
      <c r="B17882" t="s">
        <v>367</v>
      </c>
      <c r="C17882" t="s">
        <v>12383</v>
      </c>
      <c r="D17882" t="s">
        <v>54560</v>
      </c>
      <c r="E17882" t="b">
        <v>0</v>
      </c>
      <c r="F17882" t="s">
        <v>11610</v>
      </c>
      <c r="L17882">
        <v>0</v>
      </c>
      <c r="M17882">
        <v>0</v>
      </c>
      <c r="N17882">
        <v>0</v>
      </c>
    </row>
    <row r="17883" spans="1:15">
      <c r="A17883" t="s">
        <v>54561</v>
      </c>
      <c r="B17883" t="s">
        <v>6742</v>
      </c>
      <c r="C17883" t="s">
        <v>12870</v>
      </c>
      <c r="D17883" t="s">
        <v>54562</v>
      </c>
      <c r="E17883" t="b">
        <v>0</v>
      </c>
      <c r="F17883" t="s">
        <v>11610</v>
      </c>
      <c r="L17883">
        <v>0</v>
      </c>
      <c r="M17883">
        <v>0</v>
      </c>
      <c r="N17883">
        <v>0</v>
      </c>
    </row>
    <row r="17884" spans="1:15">
      <c r="A17884" t="s">
        <v>54563</v>
      </c>
      <c r="B17884" t="s">
        <v>11965</v>
      </c>
      <c r="C17884" t="s">
        <v>11965</v>
      </c>
      <c r="D17884" t="s">
        <v>54564</v>
      </c>
      <c r="E17884" t="b">
        <v>0</v>
      </c>
      <c r="F17884" t="s">
        <v>11624</v>
      </c>
      <c r="G17884">
        <v>-11.188700000000001</v>
      </c>
      <c r="H17884">
        <v>-58.194200000000002</v>
      </c>
      <c r="I17884" t="s">
        <v>54565</v>
      </c>
      <c r="L17884">
        <v>0</v>
      </c>
      <c r="M17884">
        <v>0</v>
      </c>
      <c r="N17884">
        <v>0</v>
      </c>
      <c r="O17884" t="s">
        <v>11969</v>
      </c>
    </row>
    <row r="17885" spans="1:15">
      <c r="A17885" t="s">
        <v>54566</v>
      </c>
      <c r="B17885" t="s">
        <v>12311</v>
      </c>
      <c r="C17885" t="s">
        <v>13726</v>
      </c>
      <c r="D17885" t="s">
        <v>54567</v>
      </c>
      <c r="E17885" t="b">
        <v>0</v>
      </c>
      <c r="F17885" t="s">
        <v>11610</v>
      </c>
      <c r="L17885">
        <v>0</v>
      </c>
      <c r="M17885">
        <v>0</v>
      </c>
      <c r="N17885">
        <v>0</v>
      </c>
    </row>
    <row r="17886" spans="1:15">
      <c r="A17886" t="s">
        <v>54568</v>
      </c>
      <c r="B17886" t="s">
        <v>367</v>
      </c>
      <c r="C17886" t="s">
        <v>15189</v>
      </c>
      <c r="D17886" t="s">
        <v>54569</v>
      </c>
      <c r="E17886" t="b">
        <v>0</v>
      </c>
      <c r="F17886" t="s">
        <v>11610</v>
      </c>
      <c r="L17886">
        <v>0</v>
      </c>
      <c r="M17886">
        <v>0</v>
      </c>
      <c r="N17886">
        <v>0</v>
      </c>
    </row>
    <row r="17887" spans="1:15">
      <c r="A17887" t="s">
        <v>54570</v>
      </c>
      <c r="B17887" t="s">
        <v>11879</v>
      </c>
      <c r="C17887" t="s">
        <v>13115</v>
      </c>
      <c r="D17887" t="s">
        <v>54571</v>
      </c>
      <c r="E17887" t="b">
        <v>0</v>
      </c>
      <c r="F17887" t="s">
        <v>11624</v>
      </c>
      <c r="G17887">
        <v>17.4451</v>
      </c>
      <c r="H17887">
        <v>-96.314400000000006</v>
      </c>
      <c r="I17887" t="s">
        <v>54572</v>
      </c>
      <c r="L17887">
        <v>0</v>
      </c>
      <c r="M17887">
        <v>0</v>
      </c>
      <c r="N17887">
        <v>0</v>
      </c>
      <c r="O17887" t="s">
        <v>11883</v>
      </c>
    </row>
    <row r="17888" spans="1:15">
      <c r="A17888" t="s">
        <v>54573</v>
      </c>
      <c r="B17888" t="s">
        <v>6742</v>
      </c>
      <c r="C17888" t="s">
        <v>29915</v>
      </c>
      <c r="D17888" t="s">
        <v>54574</v>
      </c>
      <c r="E17888" t="b">
        <v>0</v>
      </c>
      <c r="F17888" t="s">
        <v>11610</v>
      </c>
      <c r="L17888">
        <v>0</v>
      </c>
      <c r="M17888">
        <v>0</v>
      </c>
      <c r="N17888">
        <v>0</v>
      </c>
    </row>
    <row r="17889" spans="1:15">
      <c r="A17889" t="s">
        <v>21873</v>
      </c>
      <c r="B17889" t="s">
        <v>6742</v>
      </c>
      <c r="C17889" t="s">
        <v>43629</v>
      </c>
      <c r="D17889" t="s">
        <v>54575</v>
      </c>
      <c r="E17889" t="b">
        <v>0</v>
      </c>
      <c r="F17889" t="s">
        <v>11622</v>
      </c>
      <c r="L17889">
        <v>4</v>
      </c>
      <c r="M17889">
        <v>17</v>
      </c>
      <c r="N17889">
        <v>4</v>
      </c>
    </row>
    <row r="17890" spans="1:15">
      <c r="A17890" t="s">
        <v>39294</v>
      </c>
      <c r="B17890" t="s">
        <v>367</v>
      </c>
      <c r="C17890" t="s">
        <v>18576</v>
      </c>
      <c r="D17890" t="s">
        <v>54576</v>
      </c>
      <c r="E17890" t="b">
        <v>0</v>
      </c>
      <c r="F17890" t="s">
        <v>11624</v>
      </c>
      <c r="G17890">
        <v>-10.551500000000001</v>
      </c>
      <c r="H17890">
        <v>123.31100000000001</v>
      </c>
      <c r="I17890" t="s">
        <v>54577</v>
      </c>
      <c r="L17890">
        <v>0</v>
      </c>
      <c r="M17890">
        <v>0</v>
      </c>
      <c r="N17890">
        <v>3</v>
      </c>
      <c r="O17890" t="s">
        <v>11768</v>
      </c>
    </row>
    <row r="17891" spans="1:15">
      <c r="A17891" t="s">
        <v>54578</v>
      </c>
      <c r="B17891" t="s">
        <v>8310</v>
      </c>
      <c r="C17891" t="s">
        <v>2504</v>
      </c>
      <c r="D17891" t="s">
        <v>54579</v>
      </c>
      <c r="E17891" t="b">
        <v>0</v>
      </c>
      <c r="F17891" t="s">
        <v>11610</v>
      </c>
      <c r="L17891">
        <v>0</v>
      </c>
      <c r="M17891">
        <v>0</v>
      </c>
      <c r="N17891">
        <v>0</v>
      </c>
    </row>
    <row r="17892" spans="1:15">
      <c r="A17892" t="s">
        <v>54580</v>
      </c>
      <c r="B17892" t="s">
        <v>11637</v>
      </c>
      <c r="C17892" t="s">
        <v>52018</v>
      </c>
      <c r="D17892" t="s">
        <v>54581</v>
      </c>
      <c r="E17892" t="b">
        <v>0</v>
      </c>
      <c r="F17892" t="s">
        <v>11624</v>
      </c>
      <c r="I17892" t="s">
        <v>54582</v>
      </c>
      <c r="L17892">
        <v>0</v>
      </c>
      <c r="M17892">
        <v>0</v>
      </c>
      <c r="N17892">
        <v>0</v>
      </c>
      <c r="O17892" t="s">
        <v>11969</v>
      </c>
    </row>
    <row r="17893" spans="1:15">
      <c r="A17893" t="s">
        <v>54583</v>
      </c>
      <c r="B17893" t="s">
        <v>8310</v>
      </c>
      <c r="C17893" t="s">
        <v>2504</v>
      </c>
      <c r="D17893" t="s">
        <v>54584</v>
      </c>
      <c r="E17893" t="b">
        <v>0</v>
      </c>
      <c r="F17893" t="s">
        <v>11610</v>
      </c>
      <c r="L17893">
        <v>0</v>
      </c>
      <c r="M17893">
        <v>0</v>
      </c>
      <c r="N17893">
        <v>0</v>
      </c>
    </row>
    <row r="17894" spans="1:15">
      <c r="A17894" t="s">
        <v>54585</v>
      </c>
      <c r="B17894" t="s">
        <v>12438</v>
      </c>
      <c r="C17894" t="s">
        <v>22562</v>
      </c>
      <c r="D17894" t="s">
        <v>54586</v>
      </c>
      <c r="E17894" t="b">
        <v>0</v>
      </c>
      <c r="F17894" t="s">
        <v>11610</v>
      </c>
      <c r="L17894">
        <v>0</v>
      </c>
      <c r="M17894">
        <v>0</v>
      </c>
      <c r="N17894">
        <v>0</v>
      </c>
    </row>
    <row r="17895" spans="1:15">
      <c r="A17895" t="s">
        <v>54587</v>
      </c>
      <c r="B17895" t="s">
        <v>8310</v>
      </c>
      <c r="C17895" t="s">
        <v>2504</v>
      </c>
      <c r="D17895" t="s">
        <v>54588</v>
      </c>
      <c r="E17895" t="b">
        <v>0</v>
      </c>
      <c r="F17895" t="s">
        <v>11610</v>
      </c>
      <c r="L17895">
        <v>0</v>
      </c>
      <c r="M17895">
        <v>0</v>
      </c>
      <c r="N17895">
        <v>0</v>
      </c>
    </row>
    <row r="17896" spans="1:15">
      <c r="A17896" t="s">
        <v>37092</v>
      </c>
      <c r="B17896" t="s">
        <v>11637</v>
      </c>
      <c r="C17896" t="s">
        <v>41315</v>
      </c>
      <c r="D17896" t="s">
        <v>54589</v>
      </c>
      <c r="E17896" t="b">
        <v>0</v>
      </c>
      <c r="F17896" t="s">
        <v>11622</v>
      </c>
      <c r="L17896">
        <v>0</v>
      </c>
      <c r="M17896">
        <v>2</v>
      </c>
      <c r="N17896">
        <v>11</v>
      </c>
    </row>
    <row r="17897" spans="1:15">
      <c r="A17897" t="s">
        <v>54590</v>
      </c>
      <c r="B17897" t="s">
        <v>367</v>
      </c>
      <c r="C17897" t="s">
        <v>26576</v>
      </c>
      <c r="D17897" t="s">
        <v>54591</v>
      </c>
      <c r="E17897" t="b">
        <v>0</v>
      </c>
      <c r="F17897" t="s">
        <v>11624</v>
      </c>
      <c r="G17897">
        <v>-6.8892699999999998</v>
      </c>
      <c r="H17897">
        <v>156.91999999999999</v>
      </c>
      <c r="I17897" t="s">
        <v>54592</v>
      </c>
      <c r="L17897">
        <v>0</v>
      </c>
      <c r="M17897">
        <v>0</v>
      </c>
      <c r="N17897">
        <v>0</v>
      </c>
      <c r="O17897" t="s">
        <v>13346</v>
      </c>
    </row>
    <row r="17898" spans="1:15">
      <c r="A17898" t="s">
        <v>54593</v>
      </c>
      <c r="B17898" t="s">
        <v>10597</v>
      </c>
      <c r="C17898" t="s">
        <v>24616</v>
      </c>
      <c r="D17898" t="s">
        <v>54594</v>
      </c>
      <c r="E17898" t="b">
        <v>0</v>
      </c>
      <c r="F17898" t="s">
        <v>11610</v>
      </c>
      <c r="L17898">
        <v>0</v>
      </c>
      <c r="M17898">
        <v>0</v>
      </c>
      <c r="N17898">
        <v>0</v>
      </c>
    </row>
    <row r="17899" spans="1:15">
      <c r="A17899" t="s">
        <v>54595</v>
      </c>
      <c r="B17899" t="s">
        <v>10597</v>
      </c>
      <c r="C17899" t="s">
        <v>54596</v>
      </c>
      <c r="D17899" t="s">
        <v>54597</v>
      </c>
      <c r="E17899" t="b">
        <v>0</v>
      </c>
      <c r="F17899" t="s">
        <v>11624</v>
      </c>
      <c r="G17899">
        <v>-13.4559</v>
      </c>
      <c r="H17899">
        <v>135.25899999999999</v>
      </c>
      <c r="I17899" t="s">
        <v>54598</v>
      </c>
      <c r="L17899">
        <v>0</v>
      </c>
      <c r="M17899">
        <v>0</v>
      </c>
      <c r="N17899">
        <v>0</v>
      </c>
      <c r="O17899" t="s">
        <v>12107</v>
      </c>
    </row>
    <row r="17900" spans="1:15">
      <c r="A17900" t="s">
        <v>54599</v>
      </c>
      <c r="B17900" t="s">
        <v>6742</v>
      </c>
      <c r="C17900" t="s">
        <v>29286</v>
      </c>
      <c r="D17900" t="s">
        <v>54600</v>
      </c>
      <c r="E17900" t="b">
        <v>0</v>
      </c>
      <c r="F17900" t="s">
        <v>11610</v>
      </c>
      <c r="L17900">
        <v>0</v>
      </c>
      <c r="M17900">
        <v>0</v>
      </c>
      <c r="N17900">
        <v>0</v>
      </c>
    </row>
    <row r="17901" spans="1:15">
      <c r="A17901" t="s">
        <v>54601</v>
      </c>
      <c r="B17901" t="s">
        <v>367</v>
      </c>
      <c r="C17901" t="s">
        <v>42587</v>
      </c>
      <c r="D17901" t="s">
        <v>54602</v>
      </c>
      <c r="E17901" t="b">
        <v>0</v>
      </c>
      <c r="F17901" t="s">
        <v>11624</v>
      </c>
      <c r="G17901">
        <v>-8.6034199999999998</v>
      </c>
      <c r="H17901">
        <v>121.122</v>
      </c>
      <c r="I17901" t="s">
        <v>54603</v>
      </c>
      <c r="L17901">
        <v>0</v>
      </c>
      <c r="M17901">
        <v>0</v>
      </c>
      <c r="N17901">
        <v>0</v>
      </c>
      <c r="O17901" t="s">
        <v>11768</v>
      </c>
    </row>
    <row r="17902" spans="1:15">
      <c r="A17902" t="s">
        <v>25381</v>
      </c>
      <c r="B17902" t="s">
        <v>11644</v>
      </c>
      <c r="C17902" t="s">
        <v>31090</v>
      </c>
      <c r="D17902" t="s">
        <v>54604</v>
      </c>
      <c r="E17902" t="b">
        <v>0</v>
      </c>
      <c r="F17902" t="s">
        <v>11622</v>
      </c>
      <c r="L17902">
        <v>5</v>
      </c>
      <c r="M17902">
        <v>7</v>
      </c>
      <c r="N17902">
        <v>2</v>
      </c>
    </row>
    <row r="17903" spans="1:15">
      <c r="A17903" t="s">
        <v>54605</v>
      </c>
      <c r="B17903" t="s">
        <v>6742</v>
      </c>
      <c r="C17903" t="s">
        <v>54606</v>
      </c>
      <c r="D17903" t="s">
        <v>54607</v>
      </c>
      <c r="E17903" t="b">
        <v>0</v>
      </c>
      <c r="F17903" t="s">
        <v>11624</v>
      </c>
      <c r="G17903">
        <v>4.3281099999999997</v>
      </c>
      <c r="H17903">
        <v>21.173300000000001</v>
      </c>
      <c r="I17903" t="s">
        <v>54608</v>
      </c>
      <c r="L17903">
        <v>0</v>
      </c>
      <c r="M17903">
        <v>0</v>
      </c>
      <c r="N17903">
        <v>0</v>
      </c>
      <c r="O17903" t="s">
        <v>13069</v>
      </c>
    </row>
    <row r="17904" spans="1:15">
      <c r="A17904" t="s">
        <v>54609</v>
      </c>
      <c r="B17904" t="s">
        <v>6742</v>
      </c>
      <c r="C17904" t="s">
        <v>21495</v>
      </c>
      <c r="D17904" t="s">
        <v>54610</v>
      </c>
      <c r="E17904" t="b">
        <v>0</v>
      </c>
      <c r="F17904" t="s">
        <v>11610</v>
      </c>
      <c r="L17904">
        <v>0</v>
      </c>
      <c r="M17904">
        <v>0</v>
      </c>
      <c r="N17904">
        <v>0</v>
      </c>
    </row>
    <row r="17905" spans="1:15">
      <c r="A17905" t="s">
        <v>54611</v>
      </c>
      <c r="B17905" t="s">
        <v>13276</v>
      </c>
      <c r="C17905" t="s">
        <v>18988</v>
      </c>
      <c r="D17905" t="s">
        <v>54612</v>
      </c>
      <c r="E17905" t="b">
        <v>0</v>
      </c>
      <c r="F17905" t="s">
        <v>11610</v>
      </c>
      <c r="L17905">
        <v>0</v>
      </c>
      <c r="M17905">
        <v>0</v>
      </c>
      <c r="N17905">
        <v>0</v>
      </c>
    </row>
    <row r="17906" spans="1:15">
      <c r="A17906" t="s">
        <v>43035</v>
      </c>
      <c r="B17906" t="s">
        <v>23233</v>
      </c>
      <c r="C17906" t="s">
        <v>24444</v>
      </c>
      <c r="D17906" t="s">
        <v>54613</v>
      </c>
      <c r="E17906" t="b">
        <v>0</v>
      </c>
      <c r="F17906" t="s">
        <v>11622</v>
      </c>
      <c r="L17906">
        <v>0</v>
      </c>
      <c r="M17906">
        <v>3</v>
      </c>
      <c r="N17906">
        <v>0</v>
      </c>
    </row>
    <row r="17907" spans="1:15">
      <c r="A17907" t="s">
        <v>54614</v>
      </c>
      <c r="B17907" t="s">
        <v>389</v>
      </c>
      <c r="C17907" t="s">
        <v>28036</v>
      </c>
      <c r="D17907" t="s">
        <v>54615</v>
      </c>
      <c r="E17907" t="b">
        <v>0</v>
      </c>
      <c r="F17907" t="s">
        <v>11610</v>
      </c>
      <c r="L17907">
        <v>0</v>
      </c>
      <c r="M17907">
        <v>0</v>
      </c>
      <c r="N17907">
        <v>0</v>
      </c>
    </row>
    <row r="17908" spans="1:15">
      <c r="A17908" t="s">
        <v>22954</v>
      </c>
      <c r="B17908" t="s">
        <v>6742</v>
      </c>
      <c r="C17908" t="s">
        <v>45454</v>
      </c>
      <c r="D17908" t="s">
        <v>54616</v>
      </c>
      <c r="E17908" t="b">
        <v>0</v>
      </c>
      <c r="F17908" t="s">
        <v>11622</v>
      </c>
      <c r="L17908">
        <v>2</v>
      </c>
      <c r="M17908">
        <v>6</v>
      </c>
      <c r="N17908">
        <v>8</v>
      </c>
    </row>
    <row r="17909" spans="1:15">
      <c r="A17909" t="s">
        <v>20720</v>
      </c>
      <c r="B17909" t="s">
        <v>6742</v>
      </c>
      <c r="C17909" t="s">
        <v>16093</v>
      </c>
      <c r="D17909" t="s">
        <v>54617</v>
      </c>
      <c r="E17909" t="b">
        <v>0</v>
      </c>
      <c r="F17909" t="s">
        <v>11622</v>
      </c>
      <c r="L17909">
        <v>3</v>
      </c>
      <c r="M17909">
        <v>6</v>
      </c>
      <c r="N17909">
        <v>0</v>
      </c>
    </row>
    <row r="17910" spans="1:15">
      <c r="A17910" t="s">
        <v>54618</v>
      </c>
      <c r="B17910" t="s">
        <v>12438</v>
      </c>
      <c r="C17910" t="s">
        <v>32486</v>
      </c>
      <c r="D17910" t="s">
        <v>54619</v>
      </c>
      <c r="E17910" t="b">
        <v>0</v>
      </c>
      <c r="F17910" t="s">
        <v>11610</v>
      </c>
      <c r="L17910">
        <v>0</v>
      </c>
      <c r="M17910">
        <v>0</v>
      </c>
      <c r="N17910">
        <v>0</v>
      </c>
    </row>
    <row r="17911" spans="1:15">
      <c r="A17911" t="s">
        <v>54620</v>
      </c>
      <c r="B17911" t="s">
        <v>11644</v>
      </c>
      <c r="C17911" t="s">
        <v>14549</v>
      </c>
      <c r="D17911" t="s">
        <v>54621</v>
      </c>
      <c r="E17911" t="b">
        <v>0</v>
      </c>
      <c r="F17911" t="s">
        <v>11610</v>
      </c>
      <c r="L17911">
        <v>0</v>
      </c>
      <c r="M17911">
        <v>0</v>
      </c>
      <c r="N17911">
        <v>0</v>
      </c>
    </row>
    <row r="17912" spans="1:15">
      <c r="A17912" t="s">
        <v>54622</v>
      </c>
      <c r="B17912" t="s">
        <v>11644</v>
      </c>
      <c r="C17912" t="s">
        <v>11645</v>
      </c>
      <c r="D17912" t="s">
        <v>54623</v>
      </c>
      <c r="E17912" t="b">
        <v>0</v>
      </c>
      <c r="F17912" t="s">
        <v>11610</v>
      </c>
      <c r="L17912">
        <v>0</v>
      </c>
      <c r="M17912">
        <v>0</v>
      </c>
      <c r="N17912">
        <v>0</v>
      </c>
    </row>
    <row r="17913" spans="1:15">
      <c r="A17913" t="s">
        <v>54624</v>
      </c>
      <c r="B17913" t="s">
        <v>11644</v>
      </c>
      <c r="C17913" t="s">
        <v>32483</v>
      </c>
      <c r="D17913" t="s">
        <v>54625</v>
      </c>
      <c r="E17913" t="b">
        <v>0</v>
      </c>
      <c r="F17913" t="s">
        <v>11610</v>
      </c>
      <c r="L17913">
        <v>0</v>
      </c>
      <c r="M17913">
        <v>0</v>
      </c>
      <c r="N17913">
        <v>0</v>
      </c>
    </row>
    <row r="17914" spans="1:15">
      <c r="A17914" t="s">
        <v>54626</v>
      </c>
      <c r="B17914" t="s">
        <v>6742</v>
      </c>
      <c r="C17914" t="s">
        <v>26753</v>
      </c>
      <c r="D17914" t="s">
        <v>54627</v>
      </c>
      <c r="E17914" t="b">
        <v>0</v>
      </c>
      <c r="F17914" t="s">
        <v>11610</v>
      </c>
      <c r="L17914">
        <v>0</v>
      </c>
      <c r="M17914">
        <v>0</v>
      </c>
      <c r="N17914">
        <v>0</v>
      </c>
    </row>
    <row r="17915" spans="1:15">
      <c r="A17915" t="s">
        <v>17549</v>
      </c>
      <c r="B17915" t="s">
        <v>10597</v>
      </c>
      <c r="C17915" t="s">
        <v>10597</v>
      </c>
      <c r="D17915" t="s">
        <v>54628</v>
      </c>
      <c r="E17915" t="b">
        <v>0</v>
      </c>
      <c r="F17915" t="s">
        <v>11622</v>
      </c>
      <c r="L17915">
        <v>0</v>
      </c>
      <c r="M17915">
        <v>2</v>
      </c>
      <c r="N17915">
        <v>0</v>
      </c>
    </row>
    <row r="17916" spans="1:15">
      <c r="A17916" t="s">
        <v>54629</v>
      </c>
      <c r="B17916" t="s">
        <v>300</v>
      </c>
      <c r="C17916" t="s">
        <v>23399</v>
      </c>
      <c r="D17916" t="s">
        <v>54630</v>
      </c>
      <c r="E17916" t="b">
        <v>0</v>
      </c>
      <c r="F17916" t="s">
        <v>11610</v>
      </c>
      <c r="L17916">
        <v>0</v>
      </c>
      <c r="M17916">
        <v>0</v>
      </c>
      <c r="N17916">
        <v>0</v>
      </c>
    </row>
    <row r="17917" spans="1:15">
      <c r="A17917" t="s">
        <v>54631</v>
      </c>
      <c r="B17917" t="s">
        <v>22306</v>
      </c>
      <c r="C17917" t="s">
        <v>46526</v>
      </c>
      <c r="D17917" t="s">
        <v>54632</v>
      </c>
      <c r="E17917" t="b">
        <v>0</v>
      </c>
      <c r="F17917" t="s">
        <v>11624</v>
      </c>
      <c r="G17917">
        <v>-12.683215000000001</v>
      </c>
      <c r="H17917">
        <v>-63.991700000000002</v>
      </c>
      <c r="L17917">
        <v>0</v>
      </c>
      <c r="M17917">
        <v>0</v>
      </c>
      <c r="N17917">
        <v>0</v>
      </c>
      <c r="O17917" t="s">
        <v>14185</v>
      </c>
    </row>
    <row r="17918" spans="1:15">
      <c r="A17918" t="s">
        <v>54633</v>
      </c>
      <c r="B17918" t="s">
        <v>11637</v>
      </c>
      <c r="C17918" t="s">
        <v>54634</v>
      </c>
      <c r="D17918" t="s">
        <v>54635</v>
      </c>
      <c r="E17918" t="b">
        <v>0</v>
      </c>
      <c r="F17918" t="s">
        <v>11610</v>
      </c>
      <c r="L17918">
        <v>0</v>
      </c>
      <c r="M17918">
        <v>0</v>
      </c>
      <c r="N17918">
        <v>0</v>
      </c>
    </row>
    <row r="17919" spans="1:15">
      <c r="A17919" t="s">
        <v>54636</v>
      </c>
      <c r="B17919" t="s">
        <v>11637</v>
      </c>
      <c r="C17919" t="s">
        <v>12777</v>
      </c>
      <c r="D17919" t="s">
        <v>54637</v>
      </c>
      <c r="E17919" t="b">
        <v>0</v>
      </c>
      <c r="F17919" t="s">
        <v>11610</v>
      </c>
      <c r="L17919">
        <v>0</v>
      </c>
      <c r="M17919">
        <v>0</v>
      </c>
      <c r="N17919">
        <v>0</v>
      </c>
    </row>
    <row r="17920" spans="1:15">
      <c r="A17920" t="s">
        <v>54638</v>
      </c>
      <c r="B17920" t="s">
        <v>6742</v>
      </c>
      <c r="C17920" t="s">
        <v>23080</v>
      </c>
      <c r="D17920" t="s">
        <v>54639</v>
      </c>
      <c r="E17920" t="b">
        <v>0</v>
      </c>
      <c r="F17920" t="s">
        <v>11610</v>
      </c>
      <c r="L17920">
        <v>0</v>
      </c>
      <c r="M17920">
        <v>0</v>
      </c>
      <c r="N17920">
        <v>0</v>
      </c>
    </row>
    <row r="17921" spans="1:15">
      <c r="A17921" t="s">
        <v>54640</v>
      </c>
      <c r="B17921" t="s">
        <v>11607</v>
      </c>
      <c r="C17921" t="s">
        <v>24344</v>
      </c>
      <c r="D17921" t="s">
        <v>54641</v>
      </c>
      <c r="E17921" t="b">
        <v>0</v>
      </c>
      <c r="F17921" t="s">
        <v>11610</v>
      </c>
      <c r="L17921">
        <v>0</v>
      </c>
      <c r="M17921">
        <v>0</v>
      </c>
      <c r="N17921">
        <v>0</v>
      </c>
    </row>
    <row r="17922" spans="1:15">
      <c r="A17922" t="s">
        <v>54642</v>
      </c>
      <c r="B17922" t="s">
        <v>6742</v>
      </c>
      <c r="C17922" t="s">
        <v>54643</v>
      </c>
      <c r="D17922" t="s">
        <v>54644</v>
      </c>
      <c r="E17922" t="b">
        <v>0</v>
      </c>
      <c r="F17922" t="s">
        <v>11624</v>
      </c>
      <c r="G17922">
        <v>10.56</v>
      </c>
      <c r="H17922">
        <v>6.9459999999999997</v>
      </c>
      <c r="I17922" t="s">
        <v>54645</v>
      </c>
      <c r="L17922">
        <v>0</v>
      </c>
      <c r="M17922">
        <v>0</v>
      </c>
      <c r="N17922">
        <v>0</v>
      </c>
      <c r="O17922" t="s">
        <v>11693</v>
      </c>
    </row>
    <row r="17923" spans="1:15">
      <c r="A17923" t="s">
        <v>54643</v>
      </c>
      <c r="B17923" t="s">
        <v>6742</v>
      </c>
      <c r="C17923" t="s">
        <v>23054</v>
      </c>
      <c r="D17923" t="s">
        <v>54646</v>
      </c>
      <c r="E17923" t="b">
        <v>0</v>
      </c>
      <c r="F17923" t="s">
        <v>11622</v>
      </c>
      <c r="L17923">
        <v>1</v>
      </c>
      <c r="M17923">
        <v>3</v>
      </c>
      <c r="N17923">
        <v>3</v>
      </c>
    </row>
    <row r="17924" spans="1:15">
      <c r="A17924" t="s">
        <v>23391</v>
      </c>
      <c r="B17924" t="s">
        <v>12460</v>
      </c>
      <c r="C17924" t="s">
        <v>51442</v>
      </c>
      <c r="D17924" t="s">
        <v>54647</v>
      </c>
      <c r="E17924" t="b">
        <v>0</v>
      </c>
      <c r="F17924" t="s">
        <v>11622</v>
      </c>
      <c r="L17924">
        <v>0</v>
      </c>
      <c r="M17924">
        <v>3</v>
      </c>
      <c r="N17924">
        <v>0</v>
      </c>
    </row>
    <row r="17925" spans="1:15">
      <c r="A17925" t="s">
        <v>54648</v>
      </c>
      <c r="B17925" t="s">
        <v>11637</v>
      </c>
      <c r="C17925" t="s">
        <v>17956</v>
      </c>
      <c r="D17925" t="s">
        <v>54649</v>
      </c>
      <c r="E17925" t="b">
        <v>0</v>
      </c>
      <c r="F17925" t="s">
        <v>11624</v>
      </c>
      <c r="G17925">
        <v>20.833082000000001</v>
      </c>
      <c r="H17925">
        <v>92.393968000000001</v>
      </c>
      <c r="I17925" t="s">
        <v>54650</v>
      </c>
      <c r="L17925">
        <v>0</v>
      </c>
      <c r="M17925">
        <v>0</v>
      </c>
      <c r="N17925">
        <v>0</v>
      </c>
      <c r="O17925" t="s">
        <v>49442</v>
      </c>
    </row>
    <row r="17926" spans="1:15">
      <c r="A17926" t="s">
        <v>54651</v>
      </c>
      <c r="B17926" t="s">
        <v>367</v>
      </c>
      <c r="C17926" t="s">
        <v>30793</v>
      </c>
      <c r="D17926" t="s">
        <v>54652</v>
      </c>
      <c r="E17926" t="b">
        <v>0</v>
      </c>
      <c r="F17926" t="s">
        <v>11610</v>
      </c>
      <c r="L17926">
        <v>0</v>
      </c>
      <c r="M17926">
        <v>0</v>
      </c>
      <c r="N17926">
        <v>0</v>
      </c>
    </row>
    <row r="17927" spans="1:15">
      <c r="A17927" t="s">
        <v>54653</v>
      </c>
      <c r="B17927" t="s">
        <v>11637</v>
      </c>
      <c r="C17927" t="s">
        <v>51714</v>
      </c>
      <c r="D17927" t="s">
        <v>54654</v>
      </c>
      <c r="E17927" t="b">
        <v>0</v>
      </c>
      <c r="F17927" t="s">
        <v>11610</v>
      </c>
      <c r="L17927">
        <v>0</v>
      </c>
      <c r="M17927">
        <v>0</v>
      </c>
      <c r="N17927">
        <v>0</v>
      </c>
    </row>
    <row r="17928" spans="1:15">
      <c r="A17928" t="s">
        <v>54655</v>
      </c>
      <c r="B17928" t="s">
        <v>367</v>
      </c>
      <c r="C17928" t="s">
        <v>13309</v>
      </c>
      <c r="D17928" t="s">
        <v>54656</v>
      </c>
      <c r="E17928" t="b">
        <v>0</v>
      </c>
      <c r="F17928" t="s">
        <v>11610</v>
      </c>
      <c r="L17928">
        <v>0</v>
      </c>
      <c r="M17928">
        <v>0</v>
      </c>
      <c r="N17928">
        <v>0</v>
      </c>
    </row>
    <row r="17929" spans="1:15">
      <c r="A17929" t="s">
        <v>54657</v>
      </c>
      <c r="B17929" t="s">
        <v>367</v>
      </c>
      <c r="C17929" t="s">
        <v>13309</v>
      </c>
      <c r="D17929" t="s">
        <v>54658</v>
      </c>
      <c r="E17929" t="b">
        <v>0</v>
      </c>
      <c r="F17929" t="s">
        <v>11610</v>
      </c>
      <c r="L17929">
        <v>0</v>
      </c>
      <c r="M17929">
        <v>0</v>
      </c>
      <c r="N17929">
        <v>0</v>
      </c>
    </row>
    <row r="17930" spans="1:15">
      <c r="A17930" t="s">
        <v>54659</v>
      </c>
      <c r="B17930" t="s">
        <v>367</v>
      </c>
      <c r="C17930" t="s">
        <v>13309</v>
      </c>
      <c r="D17930" t="s">
        <v>54660</v>
      </c>
      <c r="E17930" t="b">
        <v>0</v>
      </c>
      <c r="F17930" t="s">
        <v>11610</v>
      </c>
      <c r="L17930">
        <v>0</v>
      </c>
      <c r="M17930">
        <v>0</v>
      </c>
      <c r="N17930">
        <v>0</v>
      </c>
    </row>
    <row r="17931" spans="1:15">
      <c r="A17931" t="s">
        <v>54661</v>
      </c>
      <c r="B17931" t="s">
        <v>11644</v>
      </c>
      <c r="C17931" t="s">
        <v>15930</v>
      </c>
      <c r="D17931" t="s">
        <v>54662</v>
      </c>
      <c r="E17931" t="b">
        <v>0</v>
      </c>
      <c r="F17931" t="s">
        <v>11610</v>
      </c>
      <c r="L17931">
        <v>0</v>
      </c>
      <c r="M17931">
        <v>0</v>
      </c>
      <c r="N17931">
        <v>0</v>
      </c>
    </row>
    <row r="17932" spans="1:15">
      <c r="A17932" t="s">
        <v>54663</v>
      </c>
      <c r="B17932" t="s">
        <v>12438</v>
      </c>
      <c r="C17932" t="s">
        <v>30841</v>
      </c>
      <c r="D17932" t="s">
        <v>54664</v>
      </c>
      <c r="E17932" t="b">
        <v>0</v>
      </c>
      <c r="F17932" t="s">
        <v>11610</v>
      </c>
      <c r="L17932">
        <v>0</v>
      </c>
      <c r="M17932">
        <v>0</v>
      </c>
      <c r="N17932">
        <v>0</v>
      </c>
    </row>
    <row r="17933" spans="1:15">
      <c r="A17933" t="s">
        <v>54665</v>
      </c>
      <c r="B17933" t="s">
        <v>6742</v>
      </c>
      <c r="C17933" t="s">
        <v>1745</v>
      </c>
      <c r="D17933" t="s">
        <v>54666</v>
      </c>
      <c r="E17933" t="b">
        <v>0</v>
      </c>
      <c r="F17933" t="s">
        <v>11610</v>
      </c>
      <c r="L17933">
        <v>0</v>
      </c>
      <c r="M17933">
        <v>0</v>
      </c>
      <c r="N17933">
        <v>0</v>
      </c>
    </row>
    <row r="17934" spans="1:15">
      <c r="A17934" t="s">
        <v>54667</v>
      </c>
      <c r="B17934" t="s">
        <v>11637</v>
      </c>
      <c r="C17934" t="s">
        <v>44901</v>
      </c>
      <c r="D17934" t="s">
        <v>54668</v>
      </c>
      <c r="E17934" t="b">
        <v>0</v>
      </c>
      <c r="F17934" t="s">
        <v>11624</v>
      </c>
      <c r="G17934">
        <v>38.634700000000002</v>
      </c>
      <c r="H17934">
        <v>23.2164</v>
      </c>
      <c r="I17934" t="s">
        <v>54669</v>
      </c>
      <c r="L17934">
        <v>0</v>
      </c>
      <c r="M17934">
        <v>0</v>
      </c>
      <c r="N17934">
        <v>0</v>
      </c>
      <c r="O17934" t="s">
        <v>13664</v>
      </c>
    </row>
    <row r="17935" spans="1:15">
      <c r="A17935" t="s">
        <v>54670</v>
      </c>
      <c r="B17935" t="s">
        <v>12204</v>
      </c>
      <c r="C17935" t="s">
        <v>54671</v>
      </c>
      <c r="D17935" t="s">
        <v>54672</v>
      </c>
      <c r="E17935" t="b">
        <v>0</v>
      </c>
      <c r="F17935" t="s">
        <v>11624</v>
      </c>
      <c r="G17935">
        <v>45.255200000000002</v>
      </c>
      <c r="H17935">
        <v>20.376200000000001</v>
      </c>
      <c r="I17935" t="s">
        <v>54673</v>
      </c>
      <c r="L17935">
        <v>0</v>
      </c>
      <c r="M17935">
        <v>0</v>
      </c>
      <c r="N17935">
        <v>0</v>
      </c>
      <c r="O17935" t="s">
        <v>54674</v>
      </c>
    </row>
    <row r="17936" spans="1:15">
      <c r="A17936" t="s">
        <v>54675</v>
      </c>
      <c r="B17936" t="s">
        <v>11981</v>
      </c>
      <c r="C17936" t="s">
        <v>20225</v>
      </c>
      <c r="D17936" t="s">
        <v>54676</v>
      </c>
      <c r="E17936" t="b">
        <v>0</v>
      </c>
      <c r="F17936" t="s">
        <v>11624</v>
      </c>
      <c r="G17936">
        <v>44.929200000000002</v>
      </c>
      <c r="H17936">
        <v>26.292400000000001</v>
      </c>
      <c r="I17936" t="s">
        <v>54677</v>
      </c>
      <c r="L17936">
        <v>0</v>
      </c>
      <c r="M17936">
        <v>0</v>
      </c>
      <c r="N17936">
        <v>0</v>
      </c>
      <c r="O17936" t="s">
        <v>23765</v>
      </c>
    </row>
    <row r="17937" spans="1:15">
      <c r="A17937" t="s">
        <v>40858</v>
      </c>
      <c r="B17937" t="s">
        <v>11637</v>
      </c>
      <c r="C17937" t="s">
        <v>28101</v>
      </c>
      <c r="D17937" t="s">
        <v>54678</v>
      </c>
      <c r="E17937" t="b">
        <v>0</v>
      </c>
      <c r="F17937" t="s">
        <v>11624</v>
      </c>
      <c r="G17937">
        <v>46.553800000000003</v>
      </c>
      <c r="H17937">
        <v>9.9281199999999998</v>
      </c>
      <c r="I17937" t="s">
        <v>54679</v>
      </c>
      <c r="L17937">
        <v>0</v>
      </c>
      <c r="M17937">
        <v>0</v>
      </c>
      <c r="N17937">
        <v>8</v>
      </c>
      <c r="O17937" t="s">
        <v>54680</v>
      </c>
    </row>
    <row r="17938" spans="1:15">
      <c r="A17938" t="s">
        <v>2995</v>
      </c>
      <c r="B17938" t="s">
        <v>11637</v>
      </c>
      <c r="C17938" t="s">
        <v>14602</v>
      </c>
      <c r="D17938" t="s">
        <v>54681</v>
      </c>
      <c r="E17938" t="b">
        <v>0</v>
      </c>
      <c r="F17938" t="s">
        <v>11624</v>
      </c>
      <c r="G17938">
        <v>46.391300000000001</v>
      </c>
      <c r="H17938">
        <v>24.2256</v>
      </c>
      <c r="I17938" t="s">
        <v>2996</v>
      </c>
      <c r="L17938">
        <v>0</v>
      </c>
      <c r="M17938">
        <v>0</v>
      </c>
      <c r="N17938">
        <v>9</v>
      </c>
      <c r="O17938" t="s">
        <v>54682</v>
      </c>
    </row>
    <row r="17939" spans="1:15">
      <c r="A17939" t="s">
        <v>7000</v>
      </c>
      <c r="B17939" t="s">
        <v>11637</v>
      </c>
      <c r="C17939" t="s">
        <v>27135</v>
      </c>
      <c r="D17939" t="s">
        <v>54683</v>
      </c>
      <c r="E17939" t="b">
        <v>0</v>
      </c>
      <c r="F17939" t="s">
        <v>11624</v>
      </c>
      <c r="G17939">
        <v>44.234900000000003</v>
      </c>
      <c r="H17939">
        <v>11.7189</v>
      </c>
      <c r="I17939" t="s">
        <v>54684</v>
      </c>
      <c r="L17939">
        <v>0</v>
      </c>
      <c r="M17939">
        <v>0</v>
      </c>
      <c r="N17939">
        <v>3</v>
      </c>
      <c r="O17939" t="s">
        <v>13676</v>
      </c>
    </row>
    <row r="17940" spans="1:15">
      <c r="A17940" t="s">
        <v>16311</v>
      </c>
      <c r="B17940" t="s">
        <v>11637</v>
      </c>
      <c r="C17940" t="s">
        <v>25170</v>
      </c>
      <c r="D17940" t="s">
        <v>54685</v>
      </c>
      <c r="E17940" t="b">
        <v>0</v>
      </c>
      <c r="F17940" t="s">
        <v>11622</v>
      </c>
      <c r="I17940" t="s">
        <v>54686</v>
      </c>
      <c r="L17940">
        <v>3</v>
      </c>
      <c r="M17940">
        <v>11</v>
      </c>
      <c r="N17940">
        <v>77</v>
      </c>
      <c r="O17940" t="s">
        <v>23765</v>
      </c>
    </row>
    <row r="17941" spans="1:15">
      <c r="A17941" t="s">
        <v>13849</v>
      </c>
      <c r="B17941" t="s">
        <v>11637</v>
      </c>
      <c r="C17941" t="s">
        <v>16311</v>
      </c>
      <c r="D17941" t="s">
        <v>54687</v>
      </c>
      <c r="E17941" t="b">
        <v>0</v>
      </c>
      <c r="F17941" t="s">
        <v>11622</v>
      </c>
      <c r="L17941">
        <v>2</v>
      </c>
      <c r="M17941">
        <v>8</v>
      </c>
      <c r="N17941">
        <v>27</v>
      </c>
    </row>
    <row r="17942" spans="1:15">
      <c r="A17942" t="s">
        <v>54688</v>
      </c>
      <c r="B17942" t="s">
        <v>12438</v>
      </c>
      <c r="C17942" t="s">
        <v>33979</v>
      </c>
      <c r="D17942" t="s">
        <v>54689</v>
      </c>
      <c r="E17942" t="b">
        <v>0</v>
      </c>
      <c r="F17942" t="s">
        <v>11624</v>
      </c>
      <c r="G17942">
        <v>14.34</v>
      </c>
      <c r="H17942">
        <v>107.447</v>
      </c>
      <c r="I17942" t="s">
        <v>54690</v>
      </c>
      <c r="L17942">
        <v>0</v>
      </c>
      <c r="M17942">
        <v>0</v>
      </c>
      <c r="N17942">
        <v>0</v>
      </c>
      <c r="O17942" t="s">
        <v>15949</v>
      </c>
    </row>
    <row r="17943" spans="1:15">
      <c r="A17943" t="s">
        <v>54691</v>
      </c>
      <c r="B17943" t="s">
        <v>367</v>
      </c>
      <c r="C17943" t="s">
        <v>36681</v>
      </c>
      <c r="D17943" t="s">
        <v>54692</v>
      </c>
      <c r="E17943" t="b">
        <v>0</v>
      </c>
      <c r="F17943" t="s">
        <v>11624</v>
      </c>
      <c r="G17943">
        <v>-7.58643</v>
      </c>
      <c r="H17943">
        <v>127.428</v>
      </c>
      <c r="I17943" t="s">
        <v>54693</v>
      </c>
      <c r="L17943">
        <v>0</v>
      </c>
      <c r="M17943">
        <v>0</v>
      </c>
      <c r="N17943">
        <v>0</v>
      </c>
      <c r="O17943" t="s">
        <v>11768</v>
      </c>
    </row>
    <row r="17944" spans="1:15">
      <c r="A17944" t="s">
        <v>54694</v>
      </c>
      <c r="B17944" t="s">
        <v>13450</v>
      </c>
      <c r="C17944" t="s">
        <v>14248</v>
      </c>
      <c r="D17944" t="s">
        <v>54695</v>
      </c>
      <c r="E17944" t="b">
        <v>0</v>
      </c>
      <c r="F17944" t="s">
        <v>11624</v>
      </c>
      <c r="L17944">
        <v>0</v>
      </c>
      <c r="M17944">
        <v>0</v>
      </c>
      <c r="N17944">
        <v>0</v>
      </c>
      <c r="O17944" t="s">
        <v>12765</v>
      </c>
    </row>
    <row r="17945" spans="1:15">
      <c r="A17945" t="s">
        <v>26491</v>
      </c>
      <c r="B17945" t="s">
        <v>11637</v>
      </c>
      <c r="C17945" t="s">
        <v>32333</v>
      </c>
      <c r="D17945" t="s">
        <v>54696</v>
      </c>
      <c r="E17945" t="b">
        <v>0</v>
      </c>
      <c r="F17945" t="s">
        <v>11622</v>
      </c>
      <c r="L17945">
        <v>44</v>
      </c>
      <c r="M17945">
        <v>80</v>
      </c>
      <c r="N17945">
        <v>251</v>
      </c>
    </row>
    <row r="17946" spans="1:15">
      <c r="A17946" t="s">
        <v>40240</v>
      </c>
      <c r="B17946" t="s">
        <v>13450</v>
      </c>
      <c r="C17946" t="s">
        <v>13450</v>
      </c>
      <c r="D17946" t="s">
        <v>54697</v>
      </c>
      <c r="E17946" t="b">
        <v>0</v>
      </c>
      <c r="F17946" t="s">
        <v>11622</v>
      </c>
      <c r="L17946">
        <v>0</v>
      </c>
      <c r="M17946">
        <v>1</v>
      </c>
      <c r="N17946">
        <v>0</v>
      </c>
    </row>
    <row r="17947" spans="1:15">
      <c r="A17947" t="s">
        <v>54698</v>
      </c>
      <c r="B17947" t="s">
        <v>11637</v>
      </c>
      <c r="C17947" t="s">
        <v>11822</v>
      </c>
      <c r="D17947" t="s">
        <v>54699</v>
      </c>
      <c r="E17947" t="b">
        <v>0</v>
      </c>
      <c r="F17947" t="s">
        <v>11610</v>
      </c>
      <c r="L17947">
        <v>0</v>
      </c>
      <c r="M17947">
        <v>0</v>
      </c>
      <c r="N17947">
        <v>0</v>
      </c>
    </row>
    <row r="17948" spans="1:15">
      <c r="A17948" t="s">
        <v>54700</v>
      </c>
      <c r="B17948" t="s">
        <v>11637</v>
      </c>
      <c r="C17948" t="s">
        <v>11822</v>
      </c>
      <c r="D17948" t="s">
        <v>54701</v>
      </c>
      <c r="E17948" t="b">
        <v>0</v>
      </c>
      <c r="F17948" t="s">
        <v>11610</v>
      </c>
      <c r="L17948">
        <v>0</v>
      </c>
      <c r="M17948">
        <v>0</v>
      </c>
      <c r="N17948">
        <v>0</v>
      </c>
    </row>
    <row r="17949" spans="1:15">
      <c r="A17949" t="s">
        <v>35848</v>
      </c>
      <c r="B17949" t="s">
        <v>6742</v>
      </c>
      <c r="C17949" t="s">
        <v>1865</v>
      </c>
      <c r="D17949" t="s">
        <v>54702</v>
      </c>
      <c r="E17949" t="b">
        <v>0</v>
      </c>
      <c r="F17949" t="s">
        <v>11624</v>
      </c>
      <c r="G17949">
        <v>-3.0777199999999998</v>
      </c>
      <c r="H17949">
        <v>37.538200000000003</v>
      </c>
      <c r="I17949" t="s">
        <v>54703</v>
      </c>
      <c r="L17949">
        <v>0</v>
      </c>
      <c r="M17949">
        <v>0</v>
      </c>
      <c r="N17949">
        <v>4</v>
      </c>
      <c r="O17949" t="s">
        <v>14933</v>
      </c>
    </row>
    <row r="17950" spans="1:15">
      <c r="A17950" t="s">
        <v>17268</v>
      </c>
      <c r="B17950" t="s">
        <v>367</v>
      </c>
      <c r="C17950" t="s">
        <v>21848</v>
      </c>
      <c r="D17950" t="s">
        <v>54704</v>
      </c>
      <c r="E17950" t="b">
        <v>0</v>
      </c>
      <c r="F17950" t="s">
        <v>11624</v>
      </c>
      <c r="G17950">
        <v>12.4047</v>
      </c>
      <c r="H17950">
        <v>122.56</v>
      </c>
      <c r="I17950" t="s">
        <v>54705</v>
      </c>
      <c r="L17950">
        <v>0</v>
      </c>
      <c r="M17950">
        <v>0</v>
      </c>
      <c r="N17950">
        <v>3</v>
      </c>
      <c r="O17950" t="s">
        <v>11749</v>
      </c>
    </row>
    <row r="17951" spans="1:15">
      <c r="A17951" t="s">
        <v>54706</v>
      </c>
      <c r="B17951" t="s">
        <v>367</v>
      </c>
      <c r="C17951" t="s">
        <v>17268</v>
      </c>
      <c r="D17951" t="s">
        <v>54707</v>
      </c>
      <c r="E17951" t="b">
        <v>0</v>
      </c>
      <c r="F17951" t="s">
        <v>11610</v>
      </c>
      <c r="L17951">
        <v>0</v>
      </c>
      <c r="M17951">
        <v>0</v>
      </c>
      <c r="N17951">
        <v>0</v>
      </c>
    </row>
    <row r="17952" spans="1:15">
      <c r="A17952" t="s">
        <v>54708</v>
      </c>
      <c r="B17952" t="s">
        <v>11871</v>
      </c>
      <c r="C17952" t="s">
        <v>19859</v>
      </c>
      <c r="D17952" t="s">
        <v>54709</v>
      </c>
      <c r="E17952" t="b">
        <v>0</v>
      </c>
      <c r="F17952" t="s">
        <v>11624</v>
      </c>
      <c r="G17952">
        <v>-4.5891900000000003</v>
      </c>
      <c r="H17952">
        <v>144.68899999999999</v>
      </c>
      <c r="I17952" t="s">
        <v>54710</v>
      </c>
      <c r="L17952">
        <v>0</v>
      </c>
      <c r="M17952">
        <v>0</v>
      </c>
      <c r="N17952">
        <v>0</v>
      </c>
      <c r="O17952" t="s">
        <v>11660</v>
      </c>
    </row>
    <row r="17953" spans="1:15">
      <c r="A17953" t="s">
        <v>54711</v>
      </c>
      <c r="B17953" t="s">
        <v>4725</v>
      </c>
      <c r="C17953" t="s">
        <v>4725</v>
      </c>
      <c r="D17953" t="s">
        <v>54712</v>
      </c>
      <c r="E17953" t="b">
        <v>0</v>
      </c>
      <c r="F17953" t="s">
        <v>11610</v>
      </c>
      <c r="L17953">
        <v>0</v>
      </c>
      <c r="M17953">
        <v>0</v>
      </c>
      <c r="N17953">
        <v>0</v>
      </c>
    </row>
    <row r="17954" spans="1:15">
      <c r="A17954" t="s">
        <v>54713</v>
      </c>
      <c r="B17954" t="s">
        <v>11637</v>
      </c>
      <c r="C17954" t="s">
        <v>15872</v>
      </c>
      <c r="D17954" t="s">
        <v>54714</v>
      </c>
      <c r="E17954" t="b">
        <v>0</v>
      </c>
      <c r="F17954" t="s">
        <v>11610</v>
      </c>
      <c r="L17954">
        <v>0</v>
      </c>
      <c r="M17954">
        <v>0</v>
      </c>
      <c r="N17954">
        <v>0</v>
      </c>
    </row>
    <row r="17955" spans="1:15">
      <c r="A17955" t="s">
        <v>54715</v>
      </c>
      <c r="B17955" t="s">
        <v>11644</v>
      </c>
      <c r="C17955" t="s">
        <v>26709</v>
      </c>
      <c r="D17955" t="s">
        <v>54716</v>
      </c>
      <c r="E17955" t="b">
        <v>0</v>
      </c>
      <c r="F17955" t="s">
        <v>11610</v>
      </c>
      <c r="L17955">
        <v>0</v>
      </c>
      <c r="M17955">
        <v>0</v>
      </c>
      <c r="N17955">
        <v>0</v>
      </c>
    </row>
    <row r="17956" spans="1:15">
      <c r="A17956" t="s">
        <v>31572</v>
      </c>
      <c r="B17956" t="s">
        <v>11644</v>
      </c>
      <c r="C17956" t="s">
        <v>13422</v>
      </c>
      <c r="D17956" t="s">
        <v>54717</v>
      </c>
      <c r="E17956" t="b">
        <v>0</v>
      </c>
      <c r="F17956" t="s">
        <v>11610</v>
      </c>
      <c r="L17956">
        <v>0</v>
      </c>
      <c r="M17956">
        <v>0</v>
      </c>
      <c r="N17956">
        <v>3</v>
      </c>
    </row>
    <row r="17957" spans="1:15">
      <c r="A17957" t="s">
        <v>42924</v>
      </c>
      <c r="B17957" t="s">
        <v>11644</v>
      </c>
      <c r="C17957" t="s">
        <v>21947</v>
      </c>
      <c r="D17957" t="s">
        <v>54718</v>
      </c>
      <c r="E17957" t="b">
        <v>0</v>
      </c>
      <c r="F17957" t="s">
        <v>11624</v>
      </c>
      <c r="G17957">
        <v>30.527999999999999</v>
      </c>
      <c r="H17957">
        <v>79.566999999999993</v>
      </c>
      <c r="I17957" t="s">
        <v>54719</v>
      </c>
      <c r="L17957">
        <v>0</v>
      </c>
      <c r="M17957">
        <v>0</v>
      </c>
      <c r="N17957">
        <v>2</v>
      </c>
      <c r="O17957" t="s">
        <v>11630</v>
      </c>
    </row>
    <row r="17958" spans="1:15">
      <c r="A17958" t="s">
        <v>54720</v>
      </c>
      <c r="B17958" t="s">
        <v>11644</v>
      </c>
      <c r="C17958" t="s">
        <v>22634</v>
      </c>
      <c r="D17958" t="s">
        <v>54721</v>
      </c>
      <c r="E17958" t="b">
        <v>0</v>
      </c>
      <c r="F17958" t="s">
        <v>11610</v>
      </c>
      <c r="L17958">
        <v>0</v>
      </c>
      <c r="M17958">
        <v>0</v>
      </c>
      <c r="N17958">
        <v>0</v>
      </c>
    </row>
    <row r="17959" spans="1:15">
      <c r="A17959" t="s">
        <v>54722</v>
      </c>
      <c r="B17959" t="s">
        <v>11644</v>
      </c>
      <c r="C17959" t="s">
        <v>42843</v>
      </c>
      <c r="D17959" t="s">
        <v>54723</v>
      </c>
      <c r="E17959" t="b">
        <v>0</v>
      </c>
      <c r="F17959" t="s">
        <v>11624</v>
      </c>
      <c r="G17959">
        <v>25.097999999999999</v>
      </c>
      <c r="H17959">
        <v>93.786900000000003</v>
      </c>
      <c r="I17959" t="s">
        <v>54724</v>
      </c>
      <c r="L17959">
        <v>0</v>
      </c>
      <c r="M17959">
        <v>0</v>
      </c>
      <c r="N17959">
        <v>1</v>
      </c>
      <c r="O17959" t="s">
        <v>11630</v>
      </c>
    </row>
    <row r="17960" spans="1:15">
      <c r="A17960" t="s">
        <v>54725</v>
      </c>
      <c r="B17960" t="s">
        <v>11644</v>
      </c>
      <c r="C17960" t="s">
        <v>28687</v>
      </c>
      <c r="D17960" t="s">
        <v>54726</v>
      </c>
      <c r="E17960" t="b">
        <v>0</v>
      </c>
      <c r="F17960" t="s">
        <v>11610</v>
      </c>
      <c r="L17960">
        <v>0</v>
      </c>
      <c r="M17960">
        <v>0</v>
      </c>
      <c r="N17960">
        <v>0</v>
      </c>
    </row>
    <row r="17961" spans="1:15">
      <c r="A17961" t="s">
        <v>34371</v>
      </c>
      <c r="B17961" t="s">
        <v>6742</v>
      </c>
      <c r="C17961" t="s">
        <v>54727</v>
      </c>
      <c r="D17961" t="s">
        <v>54728</v>
      </c>
      <c r="E17961" t="b">
        <v>0</v>
      </c>
      <c r="F17961" t="s">
        <v>11624</v>
      </c>
      <c r="G17961">
        <v>-26.732900000000001</v>
      </c>
      <c r="H17961">
        <v>32.616700000000002</v>
      </c>
      <c r="I17961" t="s">
        <v>54729</v>
      </c>
      <c r="L17961">
        <v>0</v>
      </c>
      <c r="M17961">
        <v>0</v>
      </c>
      <c r="N17961">
        <v>3</v>
      </c>
      <c r="O17961" t="s">
        <v>54730</v>
      </c>
    </row>
    <row r="17962" spans="1:15">
      <c r="A17962" t="s">
        <v>54731</v>
      </c>
      <c r="B17962" t="s">
        <v>367</v>
      </c>
      <c r="C17962" t="s">
        <v>47147</v>
      </c>
      <c r="D17962" t="s">
        <v>54732</v>
      </c>
      <c r="E17962" t="b">
        <v>0</v>
      </c>
      <c r="F17962" t="s">
        <v>11624</v>
      </c>
      <c r="G17962">
        <v>-8.8460400000000003</v>
      </c>
      <c r="H17962">
        <v>120.702</v>
      </c>
      <c r="I17962" t="s">
        <v>54733</v>
      </c>
      <c r="L17962">
        <v>0</v>
      </c>
      <c r="M17962">
        <v>0</v>
      </c>
      <c r="N17962">
        <v>0</v>
      </c>
      <c r="O17962" t="s">
        <v>11768</v>
      </c>
    </row>
    <row r="17963" spans="1:15">
      <c r="A17963" t="s">
        <v>54734</v>
      </c>
      <c r="B17963" t="s">
        <v>367</v>
      </c>
      <c r="C17963" t="s">
        <v>19953</v>
      </c>
      <c r="D17963" t="s">
        <v>54735</v>
      </c>
      <c r="E17963" t="b">
        <v>0</v>
      </c>
      <c r="F17963" t="s">
        <v>11610</v>
      </c>
      <c r="L17963">
        <v>0</v>
      </c>
      <c r="M17963">
        <v>0</v>
      </c>
      <c r="N17963">
        <v>0</v>
      </c>
    </row>
    <row r="17964" spans="1:15">
      <c r="A17964" t="s">
        <v>54736</v>
      </c>
      <c r="B17964" t="s">
        <v>11644</v>
      </c>
      <c r="C17964" t="s">
        <v>6112</v>
      </c>
      <c r="D17964" t="s">
        <v>54737</v>
      </c>
      <c r="E17964" t="b">
        <v>0</v>
      </c>
      <c r="F17964" t="s">
        <v>11610</v>
      </c>
      <c r="G17964">
        <v>37.130642000000002</v>
      </c>
      <c r="H17964">
        <v>122.434269</v>
      </c>
      <c r="L17964">
        <v>0</v>
      </c>
      <c r="M17964">
        <v>0</v>
      </c>
      <c r="N17964">
        <v>0</v>
      </c>
    </row>
    <row r="17965" spans="1:15">
      <c r="A17965" t="s">
        <v>38088</v>
      </c>
      <c r="B17965" t="s">
        <v>11607</v>
      </c>
      <c r="C17965" t="s">
        <v>28199</v>
      </c>
      <c r="D17965" t="s">
        <v>54738</v>
      </c>
      <c r="E17965" t="b">
        <v>0</v>
      </c>
      <c r="F17965" t="s">
        <v>11622</v>
      </c>
      <c r="L17965">
        <v>1</v>
      </c>
      <c r="M17965">
        <v>6</v>
      </c>
      <c r="N17965">
        <v>5</v>
      </c>
    </row>
    <row r="17966" spans="1:15">
      <c r="A17966" t="s">
        <v>54739</v>
      </c>
      <c r="B17966" t="s">
        <v>367</v>
      </c>
      <c r="C17966" t="s">
        <v>17852</v>
      </c>
      <c r="D17966" t="s">
        <v>54740</v>
      </c>
      <c r="E17966" t="b">
        <v>0</v>
      </c>
      <c r="F17966" t="s">
        <v>11624</v>
      </c>
      <c r="G17966">
        <v>-5.8078200000000004</v>
      </c>
      <c r="H17966">
        <v>146.73099999999999</v>
      </c>
      <c r="I17966" t="s">
        <v>54741</v>
      </c>
      <c r="L17966">
        <v>0</v>
      </c>
      <c r="M17966">
        <v>0</v>
      </c>
      <c r="N17966">
        <v>0</v>
      </c>
      <c r="O17966" t="s">
        <v>11660</v>
      </c>
    </row>
    <row r="17967" spans="1:15">
      <c r="A17967" t="s">
        <v>19175</v>
      </c>
      <c r="B17967" t="s">
        <v>11607</v>
      </c>
      <c r="C17967" t="s">
        <v>38088</v>
      </c>
      <c r="D17967" t="s">
        <v>54742</v>
      </c>
      <c r="E17967" t="b">
        <v>0</v>
      </c>
      <c r="F17967" t="s">
        <v>11624</v>
      </c>
      <c r="G17967">
        <v>9.3000000000000007</v>
      </c>
      <c r="H17967">
        <v>9.02</v>
      </c>
      <c r="I17967" t="s">
        <v>54743</v>
      </c>
      <c r="L17967">
        <v>0</v>
      </c>
      <c r="M17967">
        <v>0</v>
      </c>
      <c r="N17967">
        <v>2</v>
      </c>
      <c r="O17967" t="s">
        <v>11693</v>
      </c>
    </row>
    <row r="17968" spans="1:15">
      <c r="A17968" t="s">
        <v>54744</v>
      </c>
      <c r="B17968" t="s">
        <v>11644</v>
      </c>
      <c r="C17968" t="s">
        <v>28687</v>
      </c>
      <c r="D17968" t="s">
        <v>54745</v>
      </c>
      <c r="E17968" t="b">
        <v>0</v>
      </c>
      <c r="F17968" t="s">
        <v>11610</v>
      </c>
      <c r="L17968">
        <v>0</v>
      </c>
      <c r="M17968">
        <v>0</v>
      </c>
      <c r="N17968">
        <v>0</v>
      </c>
    </row>
    <row r="17969" spans="1:15">
      <c r="A17969" t="s">
        <v>54746</v>
      </c>
      <c r="B17969" t="s">
        <v>367</v>
      </c>
      <c r="C17969" t="s">
        <v>18367</v>
      </c>
      <c r="D17969" t="s">
        <v>54747</v>
      </c>
      <c r="E17969" t="b">
        <v>0</v>
      </c>
      <c r="F17969" t="s">
        <v>11624</v>
      </c>
      <c r="G17969">
        <v>-2.43005</v>
      </c>
      <c r="H17969">
        <v>134.55600000000001</v>
      </c>
      <c r="I17969" t="s">
        <v>54748</v>
      </c>
      <c r="L17969">
        <v>0</v>
      </c>
      <c r="M17969">
        <v>0</v>
      </c>
      <c r="N17969">
        <v>0</v>
      </c>
      <c r="O17969" t="s">
        <v>11768</v>
      </c>
    </row>
    <row r="17970" spans="1:15">
      <c r="A17970" t="s">
        <v>54749</v>
      </c>
      <c r="B17970" t="s">
        <v>15162</v>
      </c>
      <c r="C17970" t="s">
        <v>15163</v>
      </c>
      <c r="D17970" t="s">
        <v>54750</v>
      </c>
      <c r="E17970" t="b">
        <v>0</v>
      </c>
      <c r="F17970" t="s">
        <v>11610</v>
      </c>
      <c r="L17970">
        <v>0</v>
      </c>
      <c r="M17970">
        <v>0</v>
      </c>
      <c r="N17970">
        <v>0</v>
      </c>
    </row>
    <row r="17971" spans="1:15">
      <c r="A17971" t="s">
        <v>39095</v>
      </c>
      <c r="B17971" t="s">
        <v>12959</v>
      </c>
      <c r="C17971" t="s">
        <v>42289</v>
      </c>
      <c r="D17971" t="s">
        <v>54751</v>
      </c>
      <c r="E17971" t="b">
        <v>0</v>
      </c>
      <c r="F17971" t="s">
        <v>11622</v>
      </c>
      <c r="L17971">
        <v>0</v>
      </c>
      <c r="M17971">
        <v>3</v>
      </c>
      <c r="N17971">
        <v>0</v>
      </c>
    </row>
    <row r="17972" spans="1:15">
      <c r="A17972" t="s">
        <v>54752</v>
      </c>
      <c r="B17972" t="s">
        <v>11757</v>
      </c>
      <c r="C17972" t="s">
        <v>32728</v>
      </c>
      <c r="D17972" t="s">
        <v>54753</v>
      </c>
      <c r="E17972" t="b">
        <v>0</v>
      </c>
      <c r="F17972" t="s">
        <v>11610</v>
      </c>
      <c r="L17972">
        <v>0</v>
      </c>
      <c r="M17972">
        <v>0</v>
      </c>
      <c r="N17972">
        <v>0</v>
      </c>
    </row>
    <row r="17973" spans="1:15">
      <c r="A17973" t="s">
        <v>54754</v>
      </c>
      <c r="B17973" t="s">
        <v>13450</v>
      </c>
      <c r="C17973" t="s">
        <v>52188</v>
      </c>
      <c r="D17973" t="s">
        <v>54755</v>
      </c>
      <c r="E17973" t="b">
        <v>0</v>
      </c>
      <c r="F17973" t="s">
        <v>11624</v>
      </c>
      <c r="L17973">
        <v>0</v>
      </c>
      <c r="M17973">
        <v>0</v>
      </c>
      <c r="N17973">
        <v>0</v>
      </c>
      <c r="O17973" t="s">
        <v>13707</v>
      </c>
    </row>
    <row r="17974" spans="1:15">
      <c r="A17974" t="s">
        <v>54756</v>
      </c>
      <c r="B17974" t="s">
        <v>367</v>
      </c>
      <c r="C17974" t="s">
        <v>21883</v>
      </c>
      <c r="D17974" t="s">
        <v>54757</v>
      </c>
      <c r="E17974" t="b">
        <v>0</v>
      </c>
      <c r="F17974" t="s">
        <v>11624</v>
      </c>
      <c r="G17974">
        <v>-15.4048</v>
      </c>
      <c r="H17974">
        <v>166.84299999999999</v>
      </c>
      <c r="I17974" t="s">
        <v>54758</v>
      </c>
      <c r="L17974">
        <v>0</v>
      </c>
      <c r="M17974">
        <v>0</v>
      </c>
      <c r="N17974">
        <v>0</v>
      </c>
      <c r="O17974" t="s">
        <v>12719</v>
      </c>
    </row>
    <row r="17975" spans="1:15">
      <c r="A17975" t="s">
        <v>54759</v>
      </c>
      <c r="B17975" t="s">
        <v>367</v>
      </c>
      <c r="C17975" t="s">
        <v>49806</v>
      </c>
      <c r="D17975" t="s">
        <v>54760</v>
      </c>
      <c r="E17975" t="b">
        <v>0</v>
      </c>
      <c r="F17975" t="s">
        <v>11610</v>
      </c>
      <c r="L17975">
        <v>0</v>
      </c>
      <c r="M17975">
        <v>0</v>
      </c>
      <c r="N17975">
        <v>0</v>
      </c>
    </row>
    <row r="17976" spans="1:15">
      <c r="A17976" t="s">
        <v>54761</v>
      </c>
      <c r="B17976" t="s">
        <v>6742</v>
      </c>
      <c r="C17976" t="s">
        <v>27821</v>
      </c>
      <c r="D17976" t="s">
        <v>54762</v>
      </c>
      <c r="E17976" t="b">
        <v>0</v>
      </c>
      <c r="F17976" t="s">
        <v>11610</v>
      </c>
      <c r="L17976">
        <v>0</v>
      </c>
      <c r="M17976">
        <v>0</v>
      </c>
      <c r="N17976">
        <v>0</v>
      </c>
    </row>
    <row r="17977" spans="1:15">
      <c r="A17977" t="s">
        <v>54763</v>
      </c>
      <c r="B17977" t="s">
        <v>12751</v>
      </c>
      <c r="C17977" t="s">
        <v>25162</v>
      </c>
      <c r="D17977" t="s">
        <v>54764</v>
      </c>
      <c r="E17977" t="b">
        <v>0</v>
      </c>
      <c r="F17977" t="s">
        <v>11610</v>
      </c>
      <c r="L17977">
        <v>0</v>
      </c>
      <c r="M17977">
        <v>0</v>
      </c>
      <c r="N17977">
        <v>0</v>
      </c>
    </row>
    <row r="17978" spans="1:15">
      <c r="A17978" t="s">
        <v>36357</v>
      </c>
      <c r="B17978" t="s">
        <v>11637</v>
      </c>
      <c r="C17978" t="s">
        <v>17161</v>
      </c>
      <c r="D17978" t="s">
        <v>54765</v>
      </c>
      <c r="E17978" t="b">
        <v>0</v>
      </c>
      <c r="F17978" t="s">
        <v>11610</v>
      </c>
      <c r="L17978">
        <v>0</v>
      </c>
      <c r="M17978">
        <v>0</v>
      </c>
      <c r="N17978">
        <v>2</v>
      </c>
    </row>
    <row r="17979" spans="1:15">
      <c r="A17979" t="s">
        <v>54766</v>
      </c>
      <c r="B17979" t="s">
        <v>367</v>
      </c>
      <c r="C17979" t="s">
        <v>17133</v>
      </c>
      <c r="D17979" t="s">
        <v>54767</v>
      </c>
      <c r="E17979" t="b">
        <v>0</v>
      </c>
      <c r="F17979" t="s">
        <v>11610</v>
      </c>
      <c r="L17979">
        <v>0</v>
      </c>
      <c r="M17979">
        <v>0</v>
      </c>
      <c r="N17979">
        <v>0</v>
      </c>
    </row>
    <row r="17980" spans="1:15">
      <c r="A17980" t="s">
        <v>54768</v>
      </c>
      <c r="B17980" t="s">
        <v>11637</v>
      </c>
      <c r="C17980" t="s">
        <v>13040</v>
      </c>
      <c r="D17980" t="s">
        <v>54769</v>
      </c>
      <c r="E17980" t="b">
        <v>0</v>
      </c>
      <c r="F17980" t="s">
        <v>11610</v>
      </c>
      <c r="L17980">
        <v>0</v>
      </c>
      <c r="M17980">
        <v>0</v>
      </c>
      <c r="N17980">
        <v>0</v>
      </c>
    </row>
    <row r="17981" spans="1:15">
      <c r="A17981" t="s">
        <v>54770</v>
      </c>
      <c r="B17981" t="s">
        <v>367</v>
      </c>
      <c r="C17981" t="s">
        <v>22200</v>
      </c>
      <c r="D17981" t="s">
        <v>54771</v>
      </c>
      <c r="E17981" t="b">
        <v>0</v>
      </c>
      <c r="F17981" t="s">
        <v>11610</v>
      </c>
      <c r="L17981">
        <v>0</v>
      </c>
      <c r="M17981">
        <v>0</v>
      </c>
      <c r="N17981">
        <v>0</v>
      </c>
    </row>
    <row r="17982" spans="1:15">
      <c r="A17982" t="s">
        <v>54772</v>
      </c>
      <c r="B17982" t="s">
        <v>367</v>
      </c>
      <c r="C17982" t="s">
        <v>5449</v>
      </c>
      <c r="D17982" t="s">
        <v>54773</v>
      </c>
      <c r="E17982" t="b">
        <v>0</v>
      </c>
      <c r="F17982" t="s">
        <v>11610</v>
      </c>
      <c r="L17982">
        <v>0</v>
      </c>
      <c r="M17982">
        <v>0</v>
      </c>
      <c r="N17982">
        <v>0</v>
      </c>
    </row>
    <row r="17983" spans="1:15">
      <c r="A17983" t="s">
        <v>24429</v>
      </c>
      <c r="B17983" t="s">
        <v>367</v>
      </c>
      <c r="C17983" t="s">
        <v>30978</v>
      </c>
      <c r="D17983" t="s">
        <v>54774</v>
      </c>
      <c r="E17983" t="b">
        <v>0</v>
      </c>
      <c r="F17983" t="s">
        <v>11622</v>
      </c>
      <c r="L17983">
        <v>1</v>
      </c>
      <c r="M17983">
        <v>7</v>
      </c>
      <c r="N17983">
        <v>18</v>
      </c>
    </row>
    <row r="17984" spans="1:15">
      <c r="A17984" t="s">
        <v>54775</v>
      </c>
      <c r="B17984" t="s">
        <v>367</v>
      </c>
      <c r="C17984" t="s">
        <v>1592</v>
      </c>
      <c r="D17984" t="s">
        <v>54776</v>
      </c>
      <c r="E17984" t="b">
        <v>0</v>
      </c>
      <c r="F17984" t="s">
        <v>11610</v>
      </c>
      <c r="L17984">
        <v>0</v>
      </c>
      <c r="M17984">
        <v>0</v>
      </c>
      <c r="N17984">
        <v>0</v>
      </c>
    </row>
    <row r="17985" spans="1:15">
      <c r="A17985" t="s">
        <v>14810</v>
      </c>
      <c r="B17985" t="s">
        <v>12575</v>
      </c>
      <c r="C17985" t="s">
        <v>12575</v>
      </c>
      <c r="D17985" t="s">
        <v>54777</v>
      </c>
      <c r="E17985" t="b">
        <v>0</v>
      </c>
      <c r="F17985" t="s">
        <v>11622</v>
      </c>
      <c r="L17985">
        <v>0</v>
      </c>
      <c r="M17985">
        <v>2</v>
      </c>
      <c r="N17985">
        <v>3</v>
      </c>
    </row>
    <row r="17986" spans="1:15">
      <c r="A17986" t="s">
        <v>12576</v>
      </c>
      <c r="B17986" t="s">
        <v>12575</v>
      </c>
      <c r="C17986" t="s">
        <v>14810</v>
      </c>
      <c r="D17986" t="s">
        <v>54778</v>
      </c>
      <c r="E17986" t="b">
        <v>0</v>
      </c>
      <c r="F17986" t="s">
        <v>11624</v>
      </c>
      <c r="G17986">
        <v>-5.94339</v>
      </c>
      <c r="H17986">
        <v>155.154</v>
      </c>
      <c r="I17986" t="s">
        <v>54779</v>
      </c>
      <c r="L17986">
        <v>0</v>
      </c>
      <c r="M17986">
        <v>0</v>
      </c>
      <c r="N17986">
        <v>3</v>
      </c>
      <c r="O17986" t="s">
        <v>11660</v>
      </c>
    </row>
    <row r="17987" spans="1:15">
      <c r="A17987" t="s">
        <v>54780</v>
      </c>
      <c r="B17987" t="s">
        <v>367</v>
      </c>
      <c r="C17987" t="s">
        <v>21538</v>
      </c>
      <c r="D17987" t="s">
        <v>54781</v>
      </c>
      <c r="E17987" t="b">
        <v>0</v>
      </c>
      <c r="F17987" t="s">
        <v>11624</v>
      </c>
      <c r="G17987">
        <v>-12.5008</v>
      </c>
      <c r="H17987">
        <v>177.066</v>
      </c>
      <c r="I17987" t="s">
        <v>54782</v>
      </c>
      <c r="L17987">
        <v>0</v>
      </c>
      <c r="M17987">
        <v>0</v>
      </c>
      <c r="N17987">
        <v>0</v>
      </c>
      <c r="O17987" t="s">
        <v>27843</v>
      </c>
    </row>
    <row r="17988" spans="1:15">
      <c r="A17988" t="s">
        <v>54783</v>
      </c>
      <c r="B17988" t="s">
        <v>11607</v>
      </c>
      <c r="C17988" t="s">
        <v>26425</v>
      </c>
      <c r="D17988" t="s">
        <v>54784</v>
      </c>
      <c r="E17988" t="b">
        <v>0</v>
      </c>
      <c r="F17988" t="s">
        <v>11610</v>
      </c>
      <c r="L17988">
        <v>0</v>
      </c>
      <c r="M17988">
        <v>0</v>
      </c>
      <c r="N17988">
        <v>0</v>
      </c>
    </row>
    <row r="17989" spans="1:15">
      <c r="A17989" t="s">
        <v>54785</v>
      </c>
      <c r="B17989" t="s">
        <v>367</v>
      </c>
      <c r="C17989" t="s">
        <v>20382</v>
      </c>
      <c r="D17989" t="s">
        <v>54786</v>
      </c>
      <c r="E17989" t="b">
        <v>0</v>
      </c>
      <c r="F17989" t="s">
        <v>11610</v>
      </c>
      <c r="L17989">
        <v>0</v>
      </c>
      <c r="M17989">
        <v>0</v>
      </c>
      <c r="N17989">
        <v>0</v>
      </c>
    </row>
    <row r="17990" spans="1:15">
      <c r="A17990" t="s">
        <v>54787</v>
      </c>
      <c r="B17990" t="s">
        <v>367</v>
      </c>
      <c r="C17990" t="s">
        <v>31310</v>
      </c>
      <c r="D17990" t="s">
        <v>54788</v>
      </c>
      <c r="E17990" t="b">
        <v>0</v>
      </c>
      <c r="F17990" t="s">
        <v>11624</v>
      </c>
      <c r="G17990">
        <v>-8.2049299999999992</v>
      </c>
      <c r="H17990">
        <v>157.40799999999999</v>
      </c>
      <c r="I17990" t="s">
        <v>54789</v>
      </c>
      <c r="L17990">
        <v>0</v>
      </c>
      <c r="M17990">
        <v>0</v>
      </c>
      <c r="N17990">
        <v>0</v>
      </c>
      <c r="O17990" t="s">
        <v>13346</v>
      </c>
    </row>
    <row r="17991" spans="1:15">
      <c r="A17991" t="s">
        <v>31310</v>
      </c>
      <c r="B17991" t="s">
        <v>367</v>
      </c>
      <c r="C17991" t="s">
        <v>26578</v>
      </c>
      <c r="D17991" t="s">
        <v>54790</v>
      </c>
      <c r="E17991" t="b">
        <v>0</v>
      </c>
      <c r="F17991" t="s">
        <v>11622</v>
      </c>
      <c r="L17991">
        <v>1</v>
      </c>
      <c r="M17991">
        <v>3</v>
      </c>
      <c r="N17991">
        <v>2</v>
      </c>
    </row>
    <row r="17992" spans="1:15">
      <c r="A17992" t="s">
        <v>54791</v>
      </c>
      <c r="B17992" t="s">
        <v>11637</v>
      </c>
      <c r="C17992" t="s">
        <v>26727</v>
      </c>
      <c r="D17992" t="s">
        <v>54792</v>
      </c>
      <c r="E17992" t="b">
        <v>0</v>
      </c>
      <c r="F17992" t="s">
        <v>11610</v>
      </c>
      <c r="L17992">
        <v>0</v>
      </c>
      <c r="M17992">
        <v>0</v>
      </c>
      <c r="N17992">
        <v>0</v>
      </c>
    </row>
    <row r="17993" spans="1:15">
      <c r="A17993" t="s">
        <v>54793</v>
      </c>
      <c r="B17993" t="s">
        <v>11637</v>
      </c>
      <c r="C17993" t="s">
        <v>9261</v>
      </c>
      <c r="D17993" t="s">
        <v>54794</v>
      </c>
      <c r="E17993" t="b">
        <v>0</v>
      </c>
      <c r="F17993" t="s">
        <v>11610</v>
      </c>
      <c r="L17993">
        <v>0</v>
      </c>
      <c r="M17993">
        <v>0</v>
      </c>
      <c r="N17993">
        <v>0</v>
      </c>
    </row>
    <row r="17994" spans="1:15">
      <c r="A17994" t="s">
        <v>54795</v>
      </c>
      <c r="B17994" t="s">
        <v>11729</v>
      </c>
      <c r="C17994" t="s">
        <v>22033</v>
      </c>
      <c r="D17994" t="s">
        <v>54796</v>
      </c>
      <c r="E17994" t="b">
        <v>0</v>
      </c>
      <c r="F17994" t="s">
        <v>11610</v>
      </c>
      <c r="L17994">
        <v>0</v>
      </c>
      <c r="M17994">
        <v>0</v>
      </c>
      <c r="N17994">
        <v>0</v>
      </c>
    </row>
    <row r="17995" spans="1:15">
      <c r="A17995" t="s">
        <v>54797</v>
      </c>
      <c r="B17995" t="s">
        <v>11644</v>
      </c>
      <c r="C17995" t="s">
        <v>22075</v>
      </c>
      <c r="D17995" t="s">
        <v>54798</v>
      </c>
      <c r="E17995" t="b">
        <v>0</v>
      </c>
      <c r="F17995" t="s">
        <v>11610</v>
      </c>
      <c r="L17995">
        <v>0</v>
      </c>
      <c r="M17995">
        <v>0</v>
      </c>
      <c r="N17995">
        <v>0</v>
      </c>
    </row>
    <row r="17996" spans="1:15">
      <c r="A17996" t="s">
        <v>54799</v>
      </c>
      <c r="B17996" t="s">
        <v>367</v>
      </c>
      <c r="C17996" t="s">
        <v>49830</v>
      </c>
      <c r="D17996" t="s">
        <v>54800</v>
      </c>
      <c r="E17996" t="b">
        <v>0</v>
      </c>
      <c r="F17996" t="s">
        <v>11610</v>
      </c>
      <c r="L17996">
        <v>0</v>
      </c>
      <c r="M17996">
        <v>0</v>
      </c>
      <c r="N17996">
        <v>0</v>
      </c>
    </row>
    <row r="17997" spans="1:15">
      <c r="A17997" t="s">
        <v>54801</v>
      </c>
      <c r="B17997" t="s">
        <v>11686</v>
      </c>
      <c r="C17997" t="s">
        <v>11687</v>
      </c>
      <c r="D17997" t="s">
        <v>54802</v>
      </c>
      <c r="E17997" t="b">
        <v>0</v>
      </c>
      <c r="F17997" t="s">
        <v>11610</v>
      </c>
      <c r="L17997">
        <v>0</v>
      </c>
      <c r="M17997">
        <v>0</v>
      </c>
      <c r="N17997">
        <v>0</v>
      </c>
    </row>
    <row r="17998" spans="1:15">
      <c r="A17998" t="s">
        <v>54803</v>
      </c>
      <c r="B17998" t="s">
        <v>12438</v>
      </c>
      <c r="C17998" t="s">
        <v>22982</v>
      </c>
      <c r="D17998" t="s">
        <v>54804</v>
      </c>
      <c r="E17998" t="b">
        <v>0</v>
      </c>
      <c r="F17998" t="s">
        <v>11610</v>
      </c>
      <c r="L17998">
        <v>0</v>
      </c>
      <c r="M17998">
        <v>0</v>
      </c>
      <c r="N17998">
        <v>0</v>
      </c>
    </row>
    <row r="17999" spans="1:15">
      <c r="A17999" t="s">
        <v>20219</v>
      </c>
      <c r="B17999" t="s">
        <v>12438</v>
      </c>
      <c r="C17999" t="s">
        <v>51985</v>
      </c>
      <c r="D17999" t="s">
        <v>54805</v>
      </c>
      <c r="E17999" t="b">
        <v>0</v>
      </c>
      <c r="F17999" t="s">
        <v>11624</v>
      </c>
      <c r="G17999">
        <v>21.617599999999999</v>
      </c>
      <c r="H17999">
        <v>98.091499999999996</v>
      </c>
      <c r="I17999" t="s">
        <v>54806</v>
      </c>
      <c r="L17999">
        <v>0</v>
      </c>
      <c r="M17999">
        <v>0</v>
      </c>
      <c r="N17999">
        <v>2</v>
      </c>
      <c r="O17999" t="s">
        <v>18868</v>
      </c>
    </row>
    <row r="18000" spans="1:15">
      <c r="A18000" t="s">
        <v>54807</v>
      </c>
      <c r="B18000" t="s">
        <v>8310</v>
      </c>
      <c r="C18000" t="s">
        <v>1732</v>
      </c>
      <c r="D18000" t="s">
        <v>54808</v>
      </c>
      <c r="E18000" t="b">
        <v>0</v>
      </c>
      <c r="F18000" t="s">
        <v>11610</v>
      </c>
      <c r="L18000">
        <v>0</v>
      </c>
      <c r="M18000">
        <v>0</v>
      </c>
      <c r="N18000">
        <v>0</v>
      </c>
    </row>
    <row r="18001" spans="1:15">
      <c r="A18001" t="s">
        <v>54809</v>
      </c>
      <c r="B18001" t="s">
        <v>11637</v>
      </c>
      <c r="C18001" t="s">
        <v>29249</v>
      </c>
      <c r="D18001" t="s">
        <v>54810</v>
      </c>
      <c r="E18001" t="b">
        <v>0</v>
      </c>
      <c r="F18001" t="s">
        <v>11624</v>
      </c>
      <c r="G18001">
        <v>37.087800000000001</v>
      </c>
      <c r="H18001">
        <v>49.880099999999999</v>
      </c>
      <c r="I18001" t="s">
        <v>54811</v>
      </c>
      <c r="L18001">
        <v>0</v>
      </c>
      <c r="M18001">
        <v>0</v>
      </c>
      <c r="N18001">
        <v>0</v>
      </c>
      <c r="O18001" t="s">
        <v>13225</v>
      </c>
    </row>
    <row r="18002" spans="1:15">
      <c r="A18002" t="s">
        <v>54812</v>
      </c>
      <c r="B18002" t="s">
        <v>6742</v>
      </c>
      <c r="C18002" t="s">
        <v>16646</v>
      </c>
      <c r="D18002" t="s">
        <v>54813</v>
      </c>
      <c r="E18002" t="b">
        <v>0</v>
      </c>
      <c r="F18002" t="s">
        <v>11610</v>
      </c>
      <c r="L18002">
        <v>0</v>
      </c>
      <c r="M18002">
        <v>0</v>
      </c>
      <c r="N18002">
        <v>0</v>
      </c>
    </row>
    <row r="18003" spans="1:15">
      <c r="A18003" t="s">
        <v>54814</v>
      </c>
      <c r="B18003" t="s">
        <v>11627</v>
      </c>
      <c r="C18003" t="s">
        <v>11627</v>
      </c>
      <c r="D18003" t="s">
        <v>54815</v>
      </c>
      <c r="E18003" t="b">
        <v>1</v>
      </c>
      <c r="F18003" t="s">
        <v>11624</v>
      </c>
      <c r="G18003">
        <v>-7.9905900000000001</v>
      </c>
      <c r="H18003">
        <v>38.713299999999997</v>
      </c>
      <c r="I18003" t="s">
        <v>54816</v>
      </c>
      <c r="L18003">
        <v>0</v>
      </c>
      <c r="M18003">
        <v>0</v>
      </c>
      <c r="N18003">
        <v>0</v>
      </c>
      <c r="O18003" t="s">
        <v>11635</v>
      </c>
    </row>
    <row r="18004" spans="1:15">
      <c r="A18004" t="s">
        <v>54817</v>
      </c>
      <c r="B18004" t="s">
        <v>6742</v>
      </c>
      <c r="C18004" t="s">
        <v>19707</v>
      </c>
      <c r="D18004" t="s">
        <v>54818</v>
      </c>
      <c r="E18004" t="b">
        <v>0</v>
      </c>
      <c r="F18004" t="s">
        <v>11622</v>
      </c>
      <c r="L18004">
        <v>9</v>
      </c>
      <c r="M18004">
        <v>13</v>
      </c>
      <c r="N18004">
        <v>14</v>
      </c>
    </row>
    <row r="18005" spans="1:15">
      <c r="A18005" t="s">
        <v>43344</v>
      </c>
      <c r="B18005" t="s">
        <v>6742</v>
      </c>
      <c r="C18005" t="s">
        <v>54817</v>
      </c>
      <c r="D18005" t="s">
        <v>54819</v>
      </c>
      <c r="E18005" t="b">
        <v>0</v>
      </c>
      <c r="F18005" t="s">
        <v>11622</v>
      </c>
      <c r="L18005">
        <v>4</v>
      </c>
      <c r="M18005">
        <v>8</v>
      </c>
      <c r="N18005">
        <v>1</v>
      </c>
    </row>
    <row r="18006" spans="1:15">
      <c r="A18006" t="s">
        <v>54820</v>
      </c>
      <c r="B18006" t="s">
        <v>6742</v>
      </c>
      <c r="C18006" t="s">
        <v>167</v>
      </c>
      <c r="D18006" t="s">
        <v>54821</v>
      </c>
      <c r="E18006" t="b">
        <v>0</v>
      </c>
      <c r="F18006" t="s">
        <v>11610</v>
      </c>
      <c r="L18006">
        <v>0</v>
      </c>
      <c r="M18006">
        <v>0</v>
      </c>
      <c r="N18006">
        <v>0</v>
      </c>
    </row>
    <row r="18007" spans="1:15">
      <c r="A18007" t="s">
        <v>54822</v>
      </c>
      <c r="B18007" t="s">
        <v>11644</v>
      </c>
      <c r="C18007" t="s">
        <v>15051</v>
      </c>
      <c r="D18007" t="s">
        <v>54823</v>
      </c>
      <c r="E18007" t="b">
        <v>0</v>
      </c>
      <c r="F18007" t="s">
        <v>11624</v>
      </c>
      <c r="G18007">
        <v>25.506</v>
      </c>
      <c r="H18007">
        <v>91.468999999999994</v>
      </c>
      <c r="I18007" t="s">
        <v>54824</v>
      </c>
      <c r="L18007">
        <v>0</v>
      </c>
      <c r="M18007">
        <v>0</v>
      </c>
      <c r="N18007">
        <v>0</v>
      </c>
      <c r="O18007" t="s">
        <v>11630</v>
      </c>
    </row>
    <row r="18008" spans="1:15">
      <c r="A18008" t="s">
        <v>54825</v>
      </c>
      <c r="B18008" t="s">
        <v>6742</v>
      </c>
      <c r="C18008" t="s">
        <v>30198</v>
      </c>
      <c r="D18008" t="s">
        <v>54826</v>
      </c>
      <c r="E18008" t="b">
        <v>0</v>
      </c>
      <c r="F18008" t="s">
        <v>11610</v>
      </c>
      <c r="L18008">
        <v>0</v>
      </c>
      <c r="M18008">
        <v>0</v>
      </c>
      <c r="N18008">
        <v>0</v>
      </c>
    </row>
    <row r="18009" spans="1:15">
      <c r="A18009" t="s">
        <v>4567</v>
      </c>
      <c r="B18009" t="s">
        <v>367</v>
      </c>
      <c r="C18009" t="s">
        <v>367</v>
      </c>
      <c r="D18009" t="s">
        <v>4566</v>
      </c>
      <c r="E18009" t="b">
        <v>0</v>
      </c>
      <c r="F18009" t="s">
        <v>11624</v>
      </c>
      <c r="G18009">
        <v>22.773800000000001</v>
      </c>
      <c r="H18009">
        <v>120.84399999999999</v>
      </c>
      <c r="I18009" t="s">
        <v>4568</v>
      </c>
      <c r="L18009">
        <v>0</v>
      </c>
      <c r="M18009">
        <v>0</v>
      </c>
      <c r="N18009">
        <v>6</v>
      </c>
      <c r="O18009" t="s">
        <v>13484</v>
      </c>
    </row>
    <row r="18010" spans="1:15">
      <c r="A18010" t="s">
        <v>54827</v>
      </c>
      <c r="B18010" t="s">
        <v>6742</v>
      </c>
      <c r="C18010" t="s">
        <v>37357</v>
      </c>
      <c r="D18010" t="s">
        <v>54828</v>
      </c>
      <c r="E18010" t="b">
        <v>0</v>
      </c>
      <c r="F18010" t="s">
        <v>11610</v>
      </c>
      <c r="L18010">
        <v>0</v>
      </c>
      <c r="M18010">
        <v>0</v>
      </c>
      <c r="N18010">
        <v>0</v>
      </c>
    </row>
    <row r="18011" spans="1:15">
      <c r="A18011" t="s">
        <v>54829</v>
      </c>
      <c r="B18011" t="s">
        <v>6742</v>
      </c>
      <c r="C18011" t="s">
        <v>19540</v>
      </c>
      <c r="D18011" t="s">
        <v>54830</v>
      </c>
      <c r="E18011" t="b">
        <v>0</v>
      </c>
      <c r="F18011" t="s">
        <v>11610</v>
      </c>
      <c r="L18011">
        <v>0</v>
      </c>
      <c r="M18011">
        <v>0</v>
      </c>
      <c r="N18011">
        <v>0</v>
      </c>
    </row>
    <row r="18012" spans="1:15">
      <c r="A18012" t="s">
        <v>54831</v>
      </c>
      <c r="B18012" t="s">
        <v>11637</v>
      </c>
      <c r="C18012" t="s">
        <v>40858</v>
      </c>
      <c r="D18012" t="s">
        <v>54832</v>
      </c>
      <c r="E18012" t="b">
        <v>0</v>
      </c>
      <c r="F18012" t="s">
        <v>11610</v>
      </c>
      <c r="L18012">
        <v>0</v>
      </c>
      <c r="M18012">
        <v>0</v>
      </c>
      <c r="N18012">
        <v>0</v>
      </c>
    </row>
    <row r="18013" spans="1:15">
      <c r="A18013" t="s">
        <v>54833</v>
      </c>
      <c r="B18013" t="s">
        <v>12438</v>
      </c>
      <c r="C18013" t="s">
        <v>51986</v>
      </c>
      <c r="D18013" t="s">
        <v>54834</v>
      </c>
      <c r="E18013" t="b">
        <v>0</v>
      </c>
      <c r="F18013" t="s">
        <v>11624</v>
      </c>
      <c r="G18013">
        <v>23.6404</v>
      </c>
      <c r="H18013">
        <v>97.3172</v>
      </c>
      <c r="I18013" t="s">
        <v>54835</v>
      </c>
      <c r="L18013">
        <v>0</v>
      </c>
      <c r="M18013">
        <v>0</v>
      </c>
      <c r="N18013">
        <v>0</v>
      </c>
      <c r="O18013" t="s">
        <v>11892</v>
      </c>
    </row>
    <row r="18014" spans="1:15">
      <c r="A18014" t="s">
        <v>54836</v>
      </c>
      <c r="B18014" t="s">
        <v>12438</v>
      </c>
      <c r="C18014" t="s">
        <v>2251</v>
      </c>
      <c r="D18014" t="s">
        <v>54837</v>
      </c>
      <c r="E18014" t="b">
        <v>0</v>
      </c>
      <c r="F18014" t="s">
        <v>11610</v>
      </c>
      <c r="L18014">
        <v>0</v>
      </c>
      <c r="M18014">
        <v>0</v>
      </c>
      <c r="N18014">
        <v>0</v>
      </c>
    </row>
    <row r="18015" spans="1:15">
      <c r="A18015" t="s">
        <v>54838</v>
      </c>
      <c r="B18015" t="s">
        <v>12241</v>
      </c>
      <c r="C18015" t="s">
        <v>15040</v>
      </c>
      <c r="D18015" t="s">
        <v>54839</v>
      </c>
      <c r="E18015" t="b">
        <v>0</v>
      </c>
      <c r="F18015" t="s">
        <v>11624</v>
      </c>
      <c r="G18015">
        <v>10.571</v>
      </c>
      <c r="H18015">
        <v>8.2188300000000005</v>
      </c>
      <c r="I18015" t="s">
        <v>54840</v>
      </c>
      <c r="L18015">
        <v>0</v>
      </c>
      <c r="M18015">
        <v>0</v>
      </c>
      <c r="N18015">
        <v>0</v>
      </c>
      <c r="O18015" t="s">
        <v>11693</v>
      </c>
    </row>
    <row r="18016" spans="1:15">
      <c r="A18016" t="s">
        <v>54841</v>
      </c>
      <c r="B18016" t="s">
        <v>367</v>
      </c>
      <c r="C18016" t="s">
        <v>39279</v>
      </c>
      <c r="D18016" t="s">
        <v>54842</v>
      </c>
      <c r="E18016" t="b">
        <v>0</v>
      </c>
      <c r="F18016" t="s">
        <v>11610</v>
      </c>
      <c r="L18016">
        <v>0</v>
      </c>
      <c r="M18016">
        <v>0</v>
      </c>
      <c r="N18016">
        <v>0</v>
      </c>
    </row>
    <row r="18017" spans="1:15">
      <c r="A18017" t="s">
        <v>54843</v>
      </c>
      <c r="B18017" t="s">
        <v>367</v>
      </c>
      <c r="C18017" t="s">
        <v>14563</v>
      </c>
      <c r="D18017" t="s">
        <v>54844</v>
      </c>
      <c r="E18017" t="b">
        <v>0</v>
      </c>
      <c r="F18017" t="s">
        <v>11610</v>
      </c>
      <c r="L18017">
        <v>0</v>
      </c>
      <c r="M18017">
        <v>0</v>
      </c>
      <c r="N18017">
        <v>0</v>
      </c>
    </row>
    <row r="18018" spans="1:15">
      <c r="A18018" t="s">
        <v>54845</v>
      </c>
      <c r="B18018" t="s">
        <v>367</v>
      </c>
      <c r="C18018" t="s">
        <v>53388</v>
      </c>
      <c r="D18018" t="s">
        <v>54846</v>
      </c>
      <c r="E18018" t="b">
        <v>0</v>
      </c>
      <c r="F18018" t="s">
        <v>11610</v>
      </c>
      <c r="L18018">
        <v>0</v>
      </c>
      <c r="M18018">
        <v>0</v>
      </c>
      <c r="N18018">
        <v>0</v>
      </c>
    </row>
    <row r="18019" spans="1:15">
      <c r="A18019" t="s">
        <v>54847</v>
      </c>
      <c r="B18019" t="s">
        <v>11637</v>
      </c>
      <c r="C18019" t="s">
        <v>27303</v>
      </c>
      <c r="D18019" t="s">
        <v>54848</v>
      </c>
      <c r="E18019" t="b">
        <v>0</v>
      </c>
      <c r="F18019" t="s">
        <v>11610</v>
      </c>
      <c r="L18019">
        <v>0</v>
      </c>
      <c r="M18019">
        <v>0</v>
      </c>
      <c r="N18019">
        <v>0</v>
      </c>
    </row>
    <row r="18020" spans="1:15">
      <c r="A18020" t="s">
        <v>54849</v>
      </c>
      <c r="B18020" t="s">
        <v>11607</v>
      </c>
      <c r="C18020" t="s">
        <v>44503</v>
      </c>
      <c r="D18020" t="s">
        <v>54850</v>
      </c>
      <c r="E18020" t="b">
        <v>0</v>
      </c>
      <c r="F18020" t="s">
        <v>11610</v>
      </c>
      <c r="L18020">
        <v>0</v>
      </c>
      <c r="M18020">
        <v>0</v>
      </c>
      <c r="N18020">
        <v>0</v>
      </c>
    </row>
    <row r="18021" spans="1:15">
      <c r="A18021" t="s">
        <v>54851</v>
      </c>
      <c r="B18021" t="s">
        <v>17579</v>
      </c>
      <c r="C18021" t="s">
        <v>45245</v>
      </c>
      <c r="D18021" t="s">
        <v>54852</v>
      </c>
      <c r="E18021" t="b">
        <v>0</v>
      </c>
      <c r="F18021" t="s">
        <v>11610</v>
      </c>
      <c r="L18021">
        <v>0</v>
      </c>
      <c r="M18021">
        <v>0</v>
      </c>
      <c r="N18021">
        <v>0</v>
      </c>
    </row>
    <row r="18022" spans="1:15">
      <c r="A18022" t="s">
        <v>54853</v>
      </c>
      <c r="B18022" t="s">
        <v>6742</v>
      </c>
      <c r="C18022" t="s">
        <v>12818</v>
      </c>
      <c r="D18022" t="s">
        <v>54854</v>
      </c>
      <c r="E18022" t="b">
        <v>0</v>
      </c>
      <c r="F18022" t="s">
        <v>11610</v>
      </c>
      <c r="L18022">
        <v>0</v>
      </c>
      <c r="M18022">
        <v>0</v>
      </c>
      <c r="N18022">
        <v>0</v>
      </c>
    </row>
    <row r="18023" spans="1:15">
      <c r="A18023" t="s">
        <v>54855</v>
      </c>
      <c r="B18023" t="s">
        <v>17101</v>
      </c>
      <c r="C18023" t="s">
        <v>17101</v>
      </c>
      <c r="D18023" t="s">
        <v>54856</v>
      </c>
      <c r="E18023" t="b">
        <v>0</v>
      </c>
      <c r="F18023" t="s">
        <v>11624</v>
      </c>
      <c r="G18023">
        <v>-7.1714900000000004</v>
      </c>
      <c r="H18023">
        <v>144.179</v>
      </c>
      <c r="I18023" t="s">
        <v>54857</v>
      </c>
      <c r="L18023">
        <v>0</v>
      </c>
      <c r="M18023">
        <v>0</v>
      </c>
      <c r="N18023">
        <v>0</v>
      </c>
      <c r="O18023" t="s">
        <v>11660</v>
      </c>
    </row>
    <row r="18024" spans="1:15">
      <c r="A18024" t="s">
        <v>54858</v>
      </c>
      <c r="B18024" t="s">
        <v>12241</v>
      </c>
      <c r="C18024" t="s">
        <v>14584</v>
      </c>
      <c r="D18024" t="s">
        <v>54859</v>
      </c>
      <c r="E18024" t="b">
        <v>0</v>
      </c>
      <c r="F18024" t="s">
        <v>11624</v>
      </c>
      <c r="G18024">
        <v>2.7499899999999999</v>
      </c>
      <c r="H18024">
        <v>-76.5</v>
      </c>
      <c r="I18024" t="s">
        <v>54860</v>
      </c>
      <c r="L18024">
        <v>0</v>
      </c>
      <c r="M18024">
        <v>0</v>
      </c>
      <c r="N18024">
        <v>0</v>
      </c>
      <c r="O18024" t="s">
        <v>11898</v>
      </c>
    </row>
    <row r="18025" spans="1:15">
      <c r="A18025" t="s">
        <v>54861</v>
      </c>
      <c r="B18025" t="s">
        <v>6742</v>
      </c>
      <c r="C18025" t="s">
        <v>30460</v>
      </c>
      <c r="D18025" t="s">
        <v>54862</v>
      </c>
      <c r="E18025" t="b">
        <v>0</v>
      </c>
      <c r="F18025" t="s">
        <v>11624</v>
      </c>
      <c r="G18025">
        <v>-3.022268</v>
      </c>
      <c r="H18025">
        <v>29.485247999999999</v>
      </c>
      <c r="L18025">
        <v>0</v>
      </c>
      <c r="M18025">
        <v>0</v>
      </c>
      <c r="N18025">
        <v>0</v>
      </c>
      <c r="O18025" t="s">
        <v>54863</v>
      </c>
    </row>
    <row r="18026" spans="1:15">
      <c r="A18026" t="s">
        <v>54864</v>
      </c>
      <c r="B18026" t="s">
        <v>6742</v>
      </c>
      <c r="C18026" t="s">
        <v>30460</v>
      </c>
      <c r="D18026" t="s">
        <v>54865</v>
      </c>
      <c r="E18026" t="b">
        <v>0</v>
      </c>
      <c r="F18026" t="s">
        <v>11624</v>
      </c>
      <c r="G18026">
        <v>-1.44174</v>
      </c>
      <c r="H18026">
        <v>31.319099999999999</v>
      </c>
      <c r="I18026" t="s">
        <v>54866</v>
      </c>
      <c r="L18026">
        <v>0</v>
      </c>
      <c r="M18026">
        <v>0</v>
      </c>
      <c r="N18026">
        <v>0</v>
      </c>
      <c r="O18026" t="s">
        <v>36597</v>
      </c>
    </row>
    <row r="18027" spans="1:15">
      <c r="A18027" t="s">
        <v>54867</v>
      </c>
      <c r="B18027" t="s">
        <v>367</v>
      </c>
      <c r="C18027" t="s">
        <v>13191</v>
      </c>
      <c r="D18027" t="s">
        <v>54868</v>
      </c>
      <c r="E18027" t="b">
        <v>0</v>
      </c>
      <c r="F18027" t="s">
        <v>11610</v>
      </c>
      <c r="L18027">
        <v>0</v>
      </c>
      <c r="M18027">
        <v>0</v>
      </c>
      <c r="N18027">
        <v>0</v>
      </c>
    </row>
    <row r="18028" spans="1:15">
      <c r="A18028" t="s">
        <v>54869</v>
      </c>
      <c r="B18028" t="s">
        <v>6742</v>
      </c>
      <c r="C18028" t="s">
        <v>42250</v>
      </c>
      <c r="D18028" t="s">
        <v>54870</v>
      </c>
      <c r="E18028" t="b">
        <v>0</v>
      </c>
      <c r="F18028" t="s">
        <v>11624</v>
      </c>
      <c r="G18028">
        <v>-7.2495900000000004</v>
      </c>
      <c r="H18028">
        <v>31.761399999999998</v>
      </c>
      <c r="I18028" t="s">
        <v>54871</v>
      </c>
      <c r="L18028">
        <v>0</v>
      </c>
      <c r="M18028">
        <v>0</v>
      </c>
      <c r="N18028">
        <v>0</v>
      </c>
      <c r="O18028" t="s">
        <v>11635</v>
      </c>
    </row>
    <row r="18029" spans="1:15">
      <c r="A18029" t="s">
        <v>54872</v>
      </c>
      <c r="B18029" t="s">
        <v>6742</v>
      </c>
      <c r="C18029" t="s">
        <v>42302</v>
      </c>
      <c r="D18029" t="s">
        <v>54873</v>
      </c>
      <c r="E18029" t="b">
        <v>0</v>
      </c>
      <c r="F18029" t="s">
        <v>11610</v>
      </c>
      <c r="L18029">
        <v>0</v>
      </c>
      <c r="M18029">
        <v>0</v>
      </c>
      <c r="N18029">
        <v>0</v>
      </c>
    </row>
    <row r="18030" spans="1:15">
      <c r="A18030" t="s">
        <v>36418</v>
      </c>
      <c r="B18030" t="s">
        <v>11780</v>
      </c>
      <c r="C18030" t="s">
        <v>41400</v>
      </c>
      <c r="D18030" t="s">
        <v>54874</v>
      </c>
      <c r="E18030" t="b">
        <v>0</v>
      </c>
      <c r="F18030" t="s">
        <v>11622</v>
      </c>
      <c r="L18030">
        <v>0</v>
      </c>
      <c r="M18030">
        <v>2</v>
      </c>
      <c r="N18030">
        <v>3</v>
      </c>
    </row>
    <row r="18031" spans="1:15">
      <c r="A18031" t="s">
        <v>54875</v>
      </c>
      <c r="B18031" t="s">
        <v>11780</v>
      </c>
      <c r="C18031" t="s">
        <v>36418</v>
      </c>
      <c r="D18031" t="s">
        <v>54876</v>
      </c>
      <c r="E18031" t="b">
        <v>0</v>
      </c>
      <c r="F18031" t="s">
        <v>11624</v>
      </c>
      <c r="G18031">
        <v>9.7154000000000007</v>
      </c>
      <c r="H18031">
        <v>20.994499999999999</v>
      </c>
      <c r="I18031" t="s">
        <v>54877</v>
      </c>
      <c r="L18031">
        <v>0</v>
      </c>
      <c r="M18031">
        <v>0</v>
      </c>
      <c r="N18031">
        <v>0</v>
      </c>
      <c r="O18031" t="s">
        <v>27996</v>
      </c>
    </row>
    <row r="18032" spans="1:15">
      <c r="A18032" t="s">
        <v>29538</v>
      </c>
      <c r="B18032" t="s">
        <v>367</v>
      </c>
      <c r="C18032" t="s">
        <v>25546</v>
      </c>
      <c r="D18032" t="s">
        <v>54878</v>
      </c>
      <c r="E18032" t="b">
        <v>0</v>
      </c>
      <c r="F18032" t="s">
        <v>11624</v>
      </c>
      <c r="G18032">
        <v>6.8398899999999996</v>
      </c>
      <c r="H18032">
        <v>116.74299999999999</v>
      </c>
      <c r="I18032" t="s">
        <v>54879</v>
      </c>
      <c r="L18032">
        <v>0</v>
      </c>
      <c r="M18032">
        <v>0</v>
      </c>
      <c r="N18032">
        <v>3</v>
      </c>
      <c r="O18032" t="s">
        <v>11672</v>
      </c>
    </row>
    <row r="18033" spans="1:15">
      <c r="A18033" t="s">
        <v>25546</v>
      </c>
      <c r="B18033" t="s">
        <v>367</v>
      </c>
      <c r="C18033" t="s">
        <v>25633</v>
      </c>
      <c r="D18033" t="s">
        <v>54880</v>
      </c>
      <c r="E18033" t="b">
        <v>0</v>
      </c>
      <c r="F18033" t="s">
        <v>11622</v>
      </c>
      <c r="L18033">
        <v>1</v>
      </c>
      <c r="M18033">
        <v>3</v>
      </c>
      <c r="N18033">
        <v>7</v>
      </c>
    </row>
    <row r="18034" spans="1:15">
      <c r="A18034" t="s">
        <v>54881</v>
      </c>
      <c r="B18034" t="s">
        <v>11644</v>
      </c>
      <c r="C18034" t="s">
        <v>54882</v>
      </c>
      <c r="D18034" t="s">
        <v>54883</v>
      </c>
      <c r="E18034" t="b">
        <v>0</v>
      </c>
      <c r="F18034" t="s">
        <v>11610</v>
      </c>
      <c r="L18034">
        <v>0</v>
      </c>
      <c r="M18034">
        <v>0</v>
      </c>
      <c r="N18034">
        <v>0</v>
      </c>
    </row>
    <row r="18035" spans="1:15">
      <c r="A18035" t="s">
        <v>54884</v>
      </c>
      <c r="B18035" t="s">
        <v>11644</v>
      </c>
      <c r="C18035" t="s">
        <v>19491</v>
      </c>
      <c r="D18035" t="s">
        <v>54885</v>
      </c>
      <c r="E18035" t="b">
        <v>0</v>
      </c>
      <c r="F18035" t="s">
        <v>11610</v>
      </c>
      <c r="L18035">
        <v>0</v>
      </c>
      <c r="M18035">
        <v>0</v>
      </c>
      <c r="N18035">
        <v>0</v>
      </c>
    </row>
    <row r="18036" spans="1:15">
      <c r="A18036" t="s">
        <v>22009</v>
      </c>
      <c r="B18036" t="s">
        <v>11637</v>
      </c>
      <c r="C18036" t="s">
        <v>16329</v>
      </c>
      <c r="D18036" t="s">
        <v>54886</v>
      </c>
      <c r="E18036" t="b">
        <v>0</v>
      </c>
      <c r="F18036" t="s">
        <v>11610</v>
      </c>
      <c r="L18036">
        <v>0</v>
      </c>
      <c r="M18036">
        <v>0</v>
      </c>
      <c r="N18036">
        <v>6</v>
      </c>
    </row>
    <row r="18037" spans="1:15">
      <c r="A18037" t="s">
        <v>54887</v>
      </c>
      <c r="B18037" t="s">
        <v>11637</v>
      </c>
      <c r="C18037" t="s">
        <v>15097</v>
      </c>
      <c r="D18037" t="s">
        <v>54888</v>
      </c>
      <c r="E18037" t="b">
        <v>0</v>
      </c>
      <c r="F18037" t="s">
        <v>11610</v>
      </c>
      <c r="L18037">
        <v>0</v>
      </c>
      <c r="M18037">
        <v>0</v>
      </c>
      <c r="N18037">
        <v>0</v>
      </c>
    </row>
    <row r="18038" spans="1:15">
      <c r="A18038" t="s">
        <v>54889</v>
      </c>
      <c r="B18038" t="s">
        <v>11607</v>
      </c>
      <c r="C18038" t="s">
        <v>29685</v>
      </c>
      <c r="D18038" t="s">
        <v>54890</v>
      </c>
      <c r="E18038" t="b">
        <v>0</v>
      </c>
      <c r="F18038" t="s">
        <v>11610</v>
      </c>
      <c r="L18038">
        <v>0</v>
      </c>
      <c r="M18038">
        <v>0</v>
      </c>
      <c r="N18038">
        <v>0</v>
      </c>
    </row>
    <row r="18039" spans="1:15">
      <c r="A18039" t="s">
        <v>54891</v>
      </c>
      <c r="B18039" t="s">
        <v>11607</v>
      </c>
      <c r="C18039" t="s">
        <v>29685</v>
      </c>
      <c r="D18039" t="s">
        <v>54892</v>
      </c>
      <c r="E18039" t="b">
        <v>0</v>
      </c>
      <c r="F18039" t="s">
        <v>11610</v>
      </c>
      <c r="L18039">
        <v>0</v>
      </c>
      <c r="M18039">
        <v>0</v>
      </c>
      <c r="N18039">
        <v>0</v>
      </c>
    </row>
    <row r="18040" spans="1:15">
      <c r="A18040" t="s">
        <v>54893</v>
      </c>
      <c r="B18040" t="s">
        <v>11607</v>
      </c>
      <c r="C18040" t="s">
        <v>29685</v>
      </c>
      <c r="D18040" t="s">
        <v>54894</v>
      </c>
      <c r="E18040" t="b">
        <v>0</v>
      </c>
      <c r="F18040" t="s">
        <v>11610</v>
      </c>
      <c r="L18040">
        <v>0</v>
      </c>
      <c r="M18040">
        <v>0</v>
      </c>
      <c r="N18040">
        <v>0</v>
      </c>
    </row>
    <row r="18041" spans="1:15">
      <c r="A18041" t="s">
        <v>54895</v>
      </c>
      <c r="B18041" t="s">
        <v>6742</v>
      </c>
      <c r="C18041" t="s">
        <v>38691</v>
      </c>
      <c r="D18041" t="s">
        <v>54896</v>
      </c>
      <c r="E18041" t="b">
        <v>0</v>
      </c>
      <c r="F18041" t="s">
        <v>11610</v>
      </c>
      <c r="L18041">
        <v>0</v>
      </c>
      <c r="M18041">
        <v>0</v>
      </c>
      <c r="N18041">
        <v>0</v>
      </c>
    </row>
    <row r="18042" spans="1:15">
      <c r="A18042" t="s">
        <v>54897</v>
      </c>
      <c r="B18042" t="s">
        <v>367</v>
      </c>
      <c r="C18042" t="s">
        <v>15189</v>
      </c>
      <c r="D18042" t="s">
        <v>54898</v>
      </c>
      <c r="E18042" t="b">
        <v>0</v>
      </c>
      <c r="F18042" t="s">
        <v>11610</v>
      </c>
      <c r="L18042">
        <v>0</v>
      </c>
      <c r="M18042">
        <v>0</v>
      </c>
      <c r="N18042">
        <v>0</v>
      </c>
    </row>
    <row r="18043" spans="1:15">
      <c r="A18043" t="s">
        <v>54899</v>
      </c>
      <c r="B18043" t="s">
        <v>11637</v>
      </c>
      <c r="C18043" t="s">
        <v>36357</v>
      </c>
      <c r="D18043" t="s">
        <v>54900</v>
      </c>
      <c r="E18043" t="b">
        <v>0</v>
      </c>
      <c r="F18043" t="s">
        <v>11610</v>
      </c>
      <c r="L18043">
        <v>0</v>
      </c>
      <c r="M18043">
        <v>0</v>
      </c>
      <c r="N18043">
        <v>0</v>
      </c>
    </row>
    <row r="18044" spans="1:15">
      <c r="A18044" t="s">
        <v>54901</v>
      </c>
      <c r="B18044" t="s">
        <v>11981</v>
      </c>
      <c r="C18044" t="s">
        <v>29056</v>
      </c>
      <c r="D18044" t="s">
        <v>54902</v>
      </c>
      <c r="E18044" t="b">
        <v>0</v>
      </c>
      <c r="F18044" t="s">
        <v>11624</v>
      </c>
      <c r="G18044">
        <v>56</v>
      </c>
      <c r="H18044">
        <v>44</v>
      </c>
      <c r="I18044" t="s">
        <v>54903</v>
      </c>
      <c r="L18044">
        <v>0</v>
      </c>
      <c r="M18044">
        <v>0</v>
      </c>
      <c r="N18044">
        <v>0</v>
      </c>
      <c r="O18044" t="s">
        <v>54904</v>
      </c>
    </row>
    <row r="18045" spans="1:15">
      <c r="A18045" t="s">
        <v>1407</v>
      </c>
      <c r="B18045" t="s">
        <v>11637</v>
      </c>
      <c r="C18045" t="s">
        <v>17784</v>
      </c>
      <c r="D18045" t="s">
        <v>6019</v>
      </c>
      <c r="E18045" t="b">
        <v>0</v>
      </c>
      <c r="F18045" t="s">
        <v>11624</v>
      </c>
      <c r="G18045">
        <v>59</v>
      </c>
      <c r="H18045">
        <v>50</v>
      </c>
      <c r="I18045" t="s">
        <v>1409</v>
      </c>
      <c r="L18045">
        <v>0</v>
      </c>
      <c r="M18045">
        <v>0</v>
      </c>
      <c r="N18045">
        <v>8</v>
      </c>
      <c r="O18045" t="s">
        <v>54905</v>
      </c>
    </row>
    <row r="18046" spans="1:15">
      <c r="A18046" t="s">
        <v>2129</v>
      </c>
      <c r="B18046" t="s">
        <v>12250</v>
      </c>
      <c r="C18046" t="s">
        <v>2130</v>
      </c>
      <c r="D18046" t="s">
        <v>54906</v>
      </c>
      <c r="E18046" t="b">
        <v>0</v>
      </c>
      <c r="F18046" t="s">
        <v>11624</v>
      </c>
      <c r="G18046">
        <v>50.853299999999997</v>
      </c>
      <c r="H18046">
        <v>105.56399999999999</v>
      </c>
      <c r="I18046" t="s">
        <v>2132</v>
      </c>
      <c r="L18046">
        <v>0</v>
      </c>
      <c r="M18046">
        <v>0</v>
      </c>
      <c r="N18046">
        <v>9</v>
      </c>
      <c r="O18046" t="s">
        <v>24170</v>
      </c>
    </row>
    <row r="18047" spans="1:15">
      <c r="A18047" t="s">
        <v>26360</v>
      </c>
      <c r="B18047" t="s">
        <v>21717</v>
      </c>
      <c r="C18047" t="s">
        <v>21717</v>
      </c>
      <c r="D18047" t="s">
        <v>54907</v>
      </c>
      <c r="E18047" t="b">
        <v>0</v>
      </c>
      <c r="F18047" t="s">
        <v>11622</v>
      </c>
      <c r="L18047">
        <v>3</v>
      </c>
      <c r="M18047">
        <v>6</v>
      </c>
      <c r="N18047">
        <v>5</v>
      </c>
    </row>
    <row r="18048" spans="1:15">
      <c r="A18048" t="s">
        <v>48878</v>
      </c>
      <c r="B18048" t="s">
        <v>21717</v>
      </c>
      <c r="C18048" t="s">
        <v>26360</v>
      </c>
      <c r="D18048" t="s">
        <v>54908</v>
      </c>
      <c r="E18048" t="b">
        <v>0</v>
      </c>
      <c r="F18048" t="s">
        <v>11622</v>
      </c>
      <c r="L18048">
        <v>2</v>
      </c>
      <c r="M18048">
        <v>5</v>
      </c>
      <c r="N18048">
        <v>5</v>
      </c>
    </row>
    <row r="18049" spans="1:15">
      <c r="A18049" t="s">
        <v>54909</v>
      </c>
      <c r="B18049" t="s">
        <v>13450</v>
      </c>
      <c r="C18049" t="s">
        <v>36767</v>
      </c>
      <c r="D18049" t="s">
        <v>54910</v>
      </c>
      <c r="E18049" t="b">
        <v>0</v>
      </c>
      <c r="F18049" t="s">
        <v>11624</v>
      </c>
      <c r="L18049">
        <v>0</v>
      </c>
      <c r="M18049">
        <v>0</v>
      </c>
      <c r="N18049">
        <v>0</v>
      </c>
      <c r="O18049" t="s">
        <v>49230</v>
      </c>
    </row>
    <row r="18050" spans="1:15">
      <c r="A18050" t="s">
        <v>43909</v>
      </c>
      <c r="B18050" t="s">
        <v>12204</v>
      </c>
      <c r="C18050" t="s">
        <v>12204</v>
      </c>
      <c r="D18050" t="s">
        <v>54911</v>
      </c>
      <c r="E18050" t="b">
        <v>0</v>
      </c>
      <c r="F18050" t="s">
        <v>11622</v>
      </c>
      <c r="L18050">
        <v>0</v>
      </c>
      <c r="M18050">
        <v>1</v>
      </c>
      <c r="N18050">
        <v>0</v>
      </c>
    </row>
    <row r="18051" spans="1:15">
      <c r="A18051" t="s">
        <v>36767</v>
      </c>
      <c r="B18051" t="s">
        <v>13450</v>
      </c>
      <c r="C18051" t="s">
        <v>13450</v>
      </c>
      <c r="D18051" t="s">
        <v>54912</v>
      </c>
      <c r="E18051" t="b">
        <v>0</v>
      </c>
      <c r="F18051" t="s">
        <v>11622</v>
      </c>
      <c r="L18051">
        <v>0</v>
      </c>
      <c r="M18051">
        <v>3</v>
      </c>
      <c r="N18051">
        <v>0</v>
      </c>
    </row>
    <row r="18052" spans="1:15">
      <c r="A18052" t="s">
        <v>29056</v>
      </c>
      <c r="B18052" t="s">
        <v>11981</v>
      </c>
      <c r="C18052" t="s">
        <v>12200</v>
      </c>
      <c r="D18052" t="s">
        <v>54913</v>
      </c>
      <c r="E18052" t="b">
        <v>0</v>
      </c>
      <c r="F18052" t="s">
        <v>11622</v>
      </c>
      <c r="L18052">
        <v>0</v>
      </c>
      <c r="M18052">
        <v>6</v>
      </c>
      <c r="N18052">
        <v>0</v>
      </c>
    </row>
    <row r="18053" spans="1:15">
      <c r="A18053" t="s">
        <v>54914</v>
      </c>
      <c r="B18053" t="s">
        <v>11607</v>
      </c>
      <c r="C18053" t="s">
        <v>48948</v>
      </c>
      <c r="D18053" t="s">
        <v>54915</v>
      </c>
      <c r="E18053" t="b">
        <v>0</v>
      </c>
      <c r="F18053" t="s">
        <v>11610</v>
      </c>
      <c r="L18053">
        <v>0</v>
      </c>
      <c r="M18053">
        <v>0</v>
      </c>
      <c r="N18053">
        <v>0</v>
      </c>
    </row>
    <row r="18054" spans="1:15">
      <c r="A18054" t="s">
        <v>39818</v>
      </c>
      <c r="B18054" t="s">
        <v>11637</v>
      </c>
      <c r="C18054" t="s">
        <v>54916</v>
      </c>
      <c r="D18054" t="s">
        <v>54917</v>
      </c>
      <c r="E18054" t="b">
        <v>0</v>
      </c>
      <c r="F18054" t="s">
        <v>11624</v>
      </c>
      <c r="G18054">
        <v>48.717100000000002</v>
      </c>
      <c r="H18054">
        <v>22.957899999999999</v>
      </c>
      <c r="I18054" t="s">
        <v>54918</v>
      </c>
      <c r="L18054">
        <v>0</v>
      </c>
      <c r="M18054">
        <v>0</v>
      </c>
      <c r="N18054">
        <v>1</v>
      </c>
      <c r="O18054" t="s">
        <v>54919</v>
      </c>
    </row>
    <row r="18055" spans="1:15">
      <c r="A18055" t="s">
        <v>54920</v>
      </c>
      <c r="B18055" t="s">
        <v>6742</v>
      </c>
      <c r="C18055" t="s">
        <v>50665</v>
      </c>
      <c r="D18055" t="s">
        <v>54921</v>
      </c>
      <c r="E18055" t="b">
        <v>0</v>
      </c>
      <c r="F18055" t="s">
        <v>11610</v>
      </c>
      <c r="L18055">
        <v>0</v>
      </c>
      <c r="M18055">
        <v>0</v>
      </c>
      <c r="N18055">
        <v>0</v>
      </c>
    </row>
    <row r="18056" spans="1:15">
      <c r="A18056" t="s">
        <v>54922</v>
      </c>
      <c r="B18056" t="s">
        <v>367</v>
      </c>
      <c r="C18056" t="s">
        <v>13239</v>
      </c>
      <c r="D18056" t="s">
        <v>54923</v>
      </c>
      <c r="E18056" t="b">
        <v>0</v>
      </c>
      <c r="F18056" t="s">
        <v>11610</v>
      </c>
      <c r="L18056">
        <v>0</v>
      </c>
      <c r="M18056">
        <v>0</v>
      </c>
      <c r="N18056">
        <v>0</v>
      </c>
    </row>
    <row r="18057" spans="1:15">
      <c r="A18057" t="s">
        <v>49072</v>
      </c>
      <c r="B18057" t="s">
        <v>6742</v>
      </c>
      <c r="C18057" t="s">
        <v>35935</v>
      </c>
      <c r="D18057" t="s">
        <v>54924</v>
      </c>
      <c r="E18057" t="b">
        <v>0</v>
      </c>
      <c r="F18057" t="s">
        <v>11622</v>
      </c>
      <c r="L18057">
        <v>5</v>
      </c>
      <c r="M18057">
        <v>9</v>
      </c>
      <c r="N18057">
        <v>18</v>
      </c>
    </row>
    <row r="18058" spans="1:15">
      <c r="A18058" t="s">
        <v>54925</v>
      </c>
      <c r="B18058" t="s">
        <v>11644</v>
      </c>
      <c r="C18058" t="s">
        <v>28669</v>
      </c>
      <c r="D18058" t="s">
        <v>54926</v>
      </c>
      <c r="E18058" t="b">
        <v>0</v>
      </c>
      <c r="F18058" t="s">
        <v>11610</v>
      </c>
      <c r="L18058">
        <v>0</v>
      </c>
      <c r="M18058">
        <v>0</v>
      </c>
      <c r="N18058">
        <v>0</v>
      </c>
    </row>
    <row r="18059" spans="1:15">
      <c r="A18059" t="s">
        <v>54927</v>
      </c>
      <c r="B18059" t="s">
        <v>11757</v>
      </c>
      <c r="C18059" t="s">
        <v>6594</v>
      </c>
      <c r="D18059" t="s">
        <v>54928</v>
      </c>
      <c r="E18059" t="b">
        <v>0</v>
      </c>
      <c r="F18059" t="s">
        <v>11610</v>
      </c>
      <c r="L18059">
        <v>0</v>
      </c>
      <c r="M18059">
        <v>0</v>
      </c>
      <c r="N18059">
        <v>0</v>
      </c>
    </row>
    <row r="18060" spans="1:15">
      <c r="A18060" t="s">
        <v>19583</v>
      </c>
      <c r="B18060" t="s">
        <v>12311</v>
      </c>
      <c r="C18060" t="s">
        <v>54929</v>
      </c>
      <c r="D18060" t="s">
        <v>54930</v>
      </c>
      <c r="E18060" t="b">
        <v>0</v>
      </c>
      <c r="F18060" t="s">
        <v>11624</v>
      </c>
      <c r="G18060">
        <v>41.618699999999997</v>
      </c>
      <c r="H18060">
        <v>47.324399999999997</v>
      </c>
      <c r="I18060" t="s">
        <v>54931</v>
      </c>
      <c r="L18060">
        <v>0</v>
      </c>
      <c r="M18060">
        <v>0</v>
      </c>
      <c r="N18060">
        <v>3</v>
      </c>
      <c r="O18060" t="s">
        <v>12315</v>
      </c>
    </row>
    <row r="18061" spans="1:15">
      <c r="A18061" t="s">
        <v>54932</v>
      </c>
      <c r="B18061" t="s">
        <v>6742</v>
      </c>
      <c r="C18061" t="s">
        <v>167</v>
      </c>
      <c r="D18061" t="s">
        <v>54933</v>
      </c>
      <c r="E18061" t="b">
        <v>0</v>
      </c>
      <c r="F18061" t="s">
        <v>11610</v>
      </c>
      <c r="L18061">
        <v>0</v>
      </c>
      <c r="M18061">
        <v>0</v>
      </c>
      <c r="N18061">
        <v>0</v>
      </c>
    </row>
    <row r="18062" spans="1:15">
      <c r="A18062" t="s">
        <v>26101</v>
      </c>
      <c r="B18062" t="s">
        <v>6742</v>
      </c>
      <c r="C18062" t="s">
        <v>30985</v>
      </c>
      <c r="D18062" t="s">
        <v>54934</v>
      </c>
      <c r="E18062" t="b">
        <v>0</v>
      </c>
      <c r="F18062" t="s">
        <v>11624</v>
      </c>
      <c r="G18062">
        <v>1.41726</v>
      </c>
      <c r="H18062">
        <v>32.417900000000003</v>
      </c>
      <c r="I18062" t="s">
        <v>54935</v>
      </c>
      <c r="L18062">
        <v>0</v>
      </c>
      <c r="M18062">
        <v>0</v>
      </c>
      <c r="N18062">
        <v>2</v>
      </c>
      <c r="O18062" t="s">
        <v>25786</v>
      </c>
    </row>
    <row r="18063" spans="1:15">
      <c r="A18063" t="s">
        <v>34112</v>
      </c>
      <c r="B18063" t="s">
        <v>6742</v>
      </c>
      <c r="C18063" t="s">
        <v>35996</v>
      </c>
      <c r="D18063" t="s">
        <v>54936</v>
      </c>
      <c r="E18063" t="b">
        <v>0</v>
      </c>
      <c r="F18063" t="s">
        <v>11624</v>
      </c>
      <c r="G18063">
        <v>-8.8697099999999995</v>
      </c>
      <c r="H18063">
        <v>21.416399999999999</v>
      </c>
      <c r="I18063" t="s">
        <v>54937</v>
      </c>
      <c r="L18063">
        <v>0</v>
      </c>
      <c r="M18063">
        <v>0</v>
      </c>
      <c r="N18063">
        <v>4</v>
      </c>
      <c r="O18063" t="s">
        <v>31379</v>
      </c>
    </row>
    <row r="18064" spans="1:15">
      <c r="A18064" t="s">
        <v>41191</v>
      </c>
      <c r="B18064" t="s">
        <v>6742</v>
      </c>
      <c r="C18064" t="s">
        <v>22800</v>
      </c>
      <c r="D18064" t="s">
        <v>54938</v>
      </c>
      <c r="E18064" t="b">
        <v>0</v>
      </c>
      <c r="F18064" t="s">
        <v>11622</v>
      </c>
      <c r="L18064">
        <v>2</v>
      </c>
      <c r="M18064">
        <v>4</v>
      </c>
      <c r="N18064">
        <v>12</v>
      </c>
    </row>
    <row r="18065" spans="1:15">
      <c r="A18065" t="s">
        <v>35996</v>
      </c>
      <c r="B18065" t="s">
        <v>6742</v>
      </c>
      <c r="C18065" t="s">
        <v>41176</v>
      </c>
      <c r="D18065" t="s">
        <v>54939</v>
      </c>
      <c r="E18065" t="b">
        <v>0</v>
      </c>
      <c r="F18065" t="s">
        <v>11622</v>
      </c>
      <c r="L18065">
        <v>0</v>
      </c>
      <c r="M18065">
        <v>2</v>
      </c>
      <c r="N18065">
        <v>4</v>
      </c>
    </row>
    <row r="18066" spans="1:15">
      <c r="A18066" t="s">
        <v>41952</v>
      </c>
      <c r="B18066" t="s">
        <v>6742</v>
      </c>
      <c r="C18066" t="s">
        <v>54817</v>
      </c>
      <c r="D18066" t="s">
        <v>54940</v>
      </c>
      <c r="E18066" t="b">
        <v>0</v>
      </c>
      <c r="F18066" t="s">
        <v>11622</v>
      </c>
      <c r="L18066">
        <v>3</v>
      </c>
      <c r="M18066">
        <v>5</v>
      </c>
      <c r="N18066">
        <v>13</v>
      </c>
    </row>
    <row r="18067" spans="1:15">
      <c r="A18067" t="s">
        <v>26569</v>
      </c>
      <c r="B18067" t="s">
        <v>6742</v>
      </c>
      <c r="C18067" t="s">
        <v>23179</v>
      </c>
      <c r="D18067" t="s">
        <v>54941</v>
      </c>
      <c r="E18067" t="b">
        <v>0</v>
      </c>
      <c r="F18067" t="s">
        <v>11622</v>
      </c>
      <c r="L18067">
        <v>8</v>
      </c>
      <c r="M18067">
        <v>14</v>
      </c>
      <c r="N18067">
        <v>13</v>
      </c>
    </row>
    <row r="18068" spans="1:15">
      <c r="A18068" t="s">
        <v>36462</v>
      </c>
      <c r="B18068" t="s">
        <v>6742</v>
      </c>
      <c r="C18068" t="s">
        <v>41456</v>
      </c>
      <c r="D18068" t="s">
        <v>54942</v>
      </c>
      <c r="E18068" t="b">
        <v>0</v>
      </c>
      <c r="F18068" t="s">
        <v>11624</v>
      </c>
      <c r="G18068">
        <v>-3.42862</v>
      </c>
      <c r="H18068">
        <v>36.768599999999999</v>
      </c>
      <c r="I18068" t="s">
        <v>54943</v>
      </c>
      <c r="L18068">
        <v>0</v>
      </c>
      <c r="M18068">
        <v>0</v>
      </c>
      <c r="N18068">
        <v>1</v>
      </c>
      <c r="O18068" t="s">
        <v>11635</v>
      </c>
    </row>
    <row r="18069" spans="1:15">
      <c r="A18069" t="s">
        <v>30460</v>
      </c>
      <c r="B18069" t="s">
        <v>6742</v>
      </c>
      <c r="C18069" t="s">
        <v>28039</v>
      </c>
      <c r="D18069" t="s">
        <v>54944</v>
      </c>
      <c r="E18069" t="b">
        <v>0</v>
      </c>
      <c r="F18069" t="s">
        <v>11622</v>
      </c>
      <c r="L18069">
        <v>1</v>
      </c>
      <c r="M18069">
        <v>7</v>
      </c>
      <c r="N18069">
        <v>7</v>
      </c>
    </row>
    <row r="18070" spans="1:15">
      <c r="A18070" t="s">
        <v>54945</v>
      </c>
      <c r="B18070" t="s">
        <v>11607</v>
      </c>
      <c r="C18070" t="s">
        <v>48948</v>
      </c>
      <c r="D18070" t="s">
        <v>54946</v>
      </c>
      <c r="E18070" t="b">
        <v>0</v>
      </c>
      <c r="F18070" t="s">
        <v>11610</v>
      </c>
      <c r="L18070">
        <v>0</v>
      </c>
      <c r="M18070">
        <v>0</v>
      </c>
      <c r="N18070">
        <v>0</v>
      </c>
    </row>
    <row r="18071" spans="1:15">
      <c r="A18071" t="s">
        <v>54947</v>
      </c>
      <c r="B18071" t="s">
        <v>12438</v>
      </c>
      <c r="C18071" t="s">
        <v>16890</v>
      </c>
      <c r="D18071" t="s">
        <v>54948</v>
      </c>
      <c r="E18071" t="b">
        <v>0</v>
      </c>
      <c r="F18071" t="s">
        <v>11610</v>
      </c>
      <c r="L18071">
        <v>0</v>
      </c>
      <c r="M18071">
        <v>0</v>
      </c>
      <c r="N18071">
        <v>0</v>
      </c>
    </row>
    <row r="18072" spans="1:15">
      <c r="A18072" t="s">
        <v>49112</v>
      </c>
      <c r="B18072" t="s">
        <v>4342</v>
      </c>
      <c r="C18072" t="s">
        <v>4342</v>
      </c>
      <c r="D18072" t="s">
        <v>54949</v>
      </c>
      <c r="E18072" t="b">
        <v>0</v>
      </c>
      <c r="F18072" t="s">
        <v>11622</v>
      </c>
      <c r="L18072">
        <v>8</v>
      </c>
      <c r="M18072">
        <v>11</v>
      </c>
      <c r="N18072">
        <v>28</v>
      </c>
    </row>
    <row r="18073" spans="1:15">
      <c r="A18073" t="s">
        <v>41481</v>
      </c>
      <c r="B18073" t="s">
        <v>4342</v>
      </c>
      <c r="C18073" t="s">
        <v>49112</v>
      </c>
      <c r="D18073" t="s">
        <v>54950</v>
      </c>
      <c r="E18073" t="b">
        <v>0</v>
      </c>
      <c r="F18073" t="s">
        <v>11622</v>
      </c>
      <c r="L18073">
        <v>1</v>
      </c>
      <c r="M18073">
        <v>3</v>
      </c>
      <c r="N18073">
        <v>17</v>
      </c>
    </row>
    <row r="18074" spans="1:15">
      <c r="A18074" t="s">
        <v>54951</v>
      </c>
      <c r="B18074" t="s">
        <v>367</v>
      </c>
      <c r="C18074" t="s">
        <v>42110</v>
      </c>
      <c r="D18074" t="s">
        <v>54952</v>
      </c>
      <c r="E18074" t="b">
        <v>0</v>
      </c>
      <c r="F18074" t="s">
        <v>11624</v>
      </c>
      <c r="G18074">
        <v>-9.6025799999999997</v>
      </c>
      <c r="H18074">
        <v>161.46700000000001</v>
      </c>
      <c r="I18074" t="s">
        <v>54953</v>
      </c>
      <c r="L18074">
        <v>0</v>
      </c>
      <c r="M18074">
        <v>0</v>
      </c>
      <c r="N18074">
        <v>2</v>
      </c>
      <c r="O18074" t="s">
        <v>13346</v>
      </c>
    </row>
    <row r="18075" spans="1:15">
      <c r="A18075" t="s">
        <v>40520</v>
      </c>
      <c r="B18075" t="s">
        <v>367</v>
      </c>
      <c r="C18075" t="s">
        <v>14165</v>
      </c>
      <c r="D18075" t="s">
        <v>54954</v>
      </c>
      <c r="E18075" t="b">
        <v>0</v>
      </c>
      <c r="F18075" t="s">
        <v>11624</v>
      </c>
      <c r="G18075">
        <v>-15.9534</v>
      </c>
      <c r="H18075">
        <v>168.22800000000001</v>
      </c>
      <c r="I18075" t="s">
        <v>54955</v>
      </c>
      <c r="L18075">
        <v>0</v>
      </c>
      <c r="M18075">
        <v>0</v>
      </c>
      <c r="N18075">
        <v>3</v>
      </c>
      <c r="O18075" t="s">
        <v>12719</v>
      </c>
    </row>
    <row r="18076" spans="1:15">
      <c r="A18076" t="s">
        <v>19747</v>
      </c>
      <c r="B18076" t="s">
        <v>6742</v>
      </c>
      <c r="C18076" t="s">
        <v>48171</v>
      </c>
      <c r="D18076" t="s">
        <v>54956</v>
      </c>
      <c r="E18076" t="b">
        <v>0</v>
      </c>
      <c r="F18076" t="s">
        <v>11624</v>
      </c>
      <c r="G18076">
        <v>14.625</v>
      </c>
      <c r="H18076">
        <v>-17.056799999999999</v>
      </c>
      <c r="I18076" t="s">
        <v>54957</v>
      </c>
      <c r="L18076">
        <v>0</v>
      </c>
      <c r="M18076">
        <v>0</v>
      </c>
      <c r="N18076">
        <v>5</v>
      </c>
      <c r="O18076" t="s">
        <v>16532</v>
      </c>
    </row>
    <row r="18077" spans="1:15">
      <c r="A18077" t="s">
        <v>48171</v>
      </c>
      <c r="B18077" t="s">
        <v>6742</v>
      </c>
      <c r="C18077" t="s">
        <v>21058</v>
      </c>
      <c r="D18077" t="s">
        <v>54958</v>
      </c>
      <c r="E18077" t="b">
        <v>0</v>
      </c>
      <c r="F18077" t="s">
        <v>11622</v>
      </c>
      <c r="L18077">
        <v>1</v>
      </c>
      <c r="M18077">
        <v>3</v>
      </c>
      <c r="N18077">
        <v>8</v>
      </c>
    </row>
    <row r="18078" spans="1:15">
      <c r="A18078" t="s">
        <v>251</v>
      </c>
      <c r="B18078" t="s">
        <v>12260</v>
      </c>
      <c r="C18078" t="s">
        <v>12260</v>
      </c>
      <c r="D18078" t="s">
        <v>250</v>
      </c>
      <c r="E18078" t="b">
        <v>0</v>
      </c>
      <c r="F18078" t="s">
        <v>11622</v>
      </c>
      <c r="L18078">
        <v>6</v>
      </c>
      <c r="M18078">
        <v>11</v>
      </c>
      <c r="N18078">
        <v>4</v>
      </c>
    </row>
    <row r="18079" spans="1:15">
      <c r="A18079" t="s">
        <v>20365</v>
      </c>
      <c r="B18079" t="s">
        <v>11644</v>
      </c>
      <c r="C18079" t="s">
        <v>36112</v>
      </c>
      <c r="D18079" t="s">
        <v>54959</v>
      </c>
      <c r="E18079" t="b">
        <v>0</v>
      </c>
      <c r="F18079" t="s">
        <v>11624</v>
      </c>
      <c r="G18079">
        <v>26.844200000000001</v>
      </c>
      <c r="H18079">
        <v>87.953400000000002</v>
      </c>
      <c r="I18079" t="s">
        <v>54960</v>
      </c>
      <c r="L18079">
        <v>0</v>
      </c>
      <c r="M18079">
        <v>0</v>
      </c>
      <c r="N18079">
        <v>2</v>
      </c>
      <c r="O18079" t="s">
        <v>15007</v>
      </c>
    </row>
    <row r="18080" spans="1:15">
      <c r="A18080" t="s">
        <v>54961</v>
      </c>
      <c r="B18080" t="s">
        <v>6742</v>
      </c>
      <c r="C18080" t="s">
        <v>36197</v>
      </c>
      <c r="D18080" t="s">
        <v>54962</v>
      </c>
      <c r="E18080" t="b">
        <v>0</v>
      </c>
      <c r="F18080" t="s">
        <v>11624</v>
      </c>
      <c r="G18080">
        <v>0.36520000000000002</v>
      </c>
      <c r="H18080">
        <v>34.033499999999997</v>
      </c>
      <c r="I18080" t="s">
        <v>54963</v>
      </c>
      <c r="L18080">
        <v>0</v>
      </c>
      <c r="M18080">
        <v>0</v>
      </c>
      <c r="N18080">
        <v>0</v>
      </c>
      <c r="O18080" t="s">
        <v>12057</v>
      </c>
    </row>
    <row r="18081" spans="1:15">
      <c r="A18081" t="s">
        <v>20196</v>
      </c>
      <c r="B18081" t="s">
        <v>6742</v>
      </c>
      <c r="C18081" t="s">
        <v>1066</v>
      </c>
      <c r="D18081" t="s">
        <v>54964</v>
      </c>
      <c r="E18081" t="b">
        <v>0</v>
      </c>
      <c r="F18081" t="s">
        <v>11622</v>
      </c>
      <c r="L18081">
        <v>4</v>
      </c>
      <c r="M18081">
        <v>14</v>
      </c>
      <c r="N18081">
        <v>7</v>
      </c>
    </row>
    <row r="18082" spans="1:15">
      <c r="A18082" t="s">
        <v>21901</v>
      </c>
      <c r="B18082" t="s">
        <v>6742</v>
      </c>
      <c r="C18082" t="s">
        <v>20196</v>
      </c>
      <c r="D18082" t="s">
        <v>54965</v>
      </c>
      <c r="E18082" t="b">
        <v>0</v>
      </c>
      <c r="F18082" t="s">
        <v>11622</v>
      </c>
      <c r="L18082">
        <v>2</v>
      </c>
      <c r="M18082">
        <v>11</v>
      </c>
      <c r="N18082">
        <v>0</v>
      </c>
    </row>
    <row r="18083" spans="1:15">
      <c r="A18083" t="s">
        <v>54966</v>
      </c>
      <c r="B18083" t="s">
        <v>6742</v>
      </c>
      <c r="C18083" t="s">
        <v>25448</v>
      </c>
      <c r="D18083" t="s">
        <v>54967</v>
      </c>
      <c r="E18083" t="b">
        <v>0</v>
      </c>
      <c r="F18083" t="s">
        <v>11610</v>
      </c>
      <c r="L18083">
        <v>0</v>
      </c>
      <c r="M18083">
        <v>0</v>
      </c>
      <c r="N18083">
        <v>0</v>
      </c>
    </row>
    <row r="18084" spans="1:15">
      <c r="A18084" t="s">
        <v>26697</v>
      </c>
      <c r="B18084" t="s">
        <v>9071</v>
      </c>
      <c r="C18084" t="s">
        <v>41155</v>
      </c>
      <c r="D18084" t="s">
        <v>54968</v>
      </c>
      <c r="E18084" t="b">
        <v>0</v>
      </c>
      <c r="F18084" t="s">
        <v>11610</v>
      </c>
      <c r="L18084">
        <v>0</v>
      </c>
      <c r="M18084">
        <v>0</v>
      </c>
      <c r="N18084">
        <v>2</v>
      </c>
    </row>
    <row r="18085" spans="1:15">
      <c r="A18085" t="s">
        <v>54969</v>
      </c>
      <c r="B18085" t="s">
        <v>13276</v>
      </c>
      <c r="C18085" t="s">
        <v>18350</v>
      </c>
      <c r="D18085" t="s">
        <v>54970</v>
      </c>
      <c r="E18085" t="b">
        <v>0</v>
      </c>
      <c r="F18085" t="s">
        <v>11610</v>
      </c>
      <c r="L18085">
        <v>0</v>
      </c>
      <c r="M18085">
        <v>0</v>
      </c>
      <c r="N18085">
        <v>0</v>
      </c>
    </row>
    <row r="18086" spans="1:15">
      <c r="A18086" t="s">
        <v>54971</v>
      </c>
      <c r="B18086" t="s">
        <v>367</v>
      </c>
      <c r="C18086" t="s">
        <v>34696</v>
      </c>
      <c r="D18086" t="s">
        <v>54972</v>
      </c>
      <c r="E18086" t="b">
        <v>0</v>
      </c>
      <c r="F18086" t="s">
        <v>11624</v>
      </c>
      <c r="G18086">
        <v>23.263200000000001</v>
      </c>
      <c r="H18086">
        <v>120.711</v>
      </c>
      <c r="I18086" t="s">
        <v>54973</v>
      </c>
      <c r="L18086">
        <v>0</v>
      </c>
      <c r="M18086">
        <v>0</v>
      </c>
      <c r="N18086">
        <v>0</v>
      </c>
      <c r="O18086" t="s">
        <v>13484</v>
      </c>
    </row>
    <row r="18087" spans="1:15">
      <c r="A18087" t="s">
        <v>54974</v>
      </c>
      <c r="B18087" t="s">
        <v>11637</v>
      </c>
      <c r="C18087" t="s">
        <v>26682</v>
      </c>
      <c r="D18087" t="s">
        <v>54975</v>
      </c>
      <c r="E18087" t="b">
        <v>0</v>
      </c>
      <c r="F18087" t="s">
        <v>11610</v>
      </c>
      <c r="L18087">
        <v>0</v>
      </c>
      <c r="M18087">
        <v>0</v>
      </c>
      <c r="N18087">
        <v>0</v>
      </c>
    </row>
    <row r="18088" spans="1:15">
      <c r="A18088" t="s">
        <v>54976</v>
      </c>
      <c r="B18088" t="s">
        <v>11637</v>
      </c>
      <c r="C18088" t="s">
        <v>40778</v>
      </c>
      <c r="D18088" t="s">
        <v>54977</v>
      </c>
      <c r="E18088" t="b">
        <v>0</v>
      </c>
      <c r="F18088" t="s">
        <v>11610</v>
      </c>
      <c r="L18088">
        <v>0</v>
      </c>
      <c r="M18088">
        <v>0</v>
      </c>
      <c r="N18088">
        <v>0</v>
      </c>
    </row>
    <row r="18089" spans="1:15">
      <c r="A18089" t="s">
        <v>54978</v>
      </c>
      <c r="B18089" t="s">
        <v>6742</v>
      </c>
      <c r="C18089" t="s">
        <v>21062</v>
      </c>
      <c r="D18089" t="s">
        <v>54979</v>
      </c>
      <c r="E18089" t="b">
        <v>0</v>
      </c>
      <c r="F18089" t="s">
        <v>11610</v>
      </c>
      <c r="L18089">
        <v>0</v>
      </c>
      <c r="M18089">
        <v>0</v>
      </c>
      <c r="N18089">
        <v>0</v>
      </c>
    </row>
    <row r="18090" spans="1:15">
      <c r="A18090" t="s">
        <v>54980</v>
      </c>
      <c r="B18090" t="s">
        <v>6742</v>
      </c>
      <c r="C18090" t="s">
        <v>25251</v>
      </c>
      <c r="D18090" t="s">
        <v>54981</v>
      </c>
      <c r="E18090" t="b">
        <v>0</v>
      </c>
      <c r="F18090" t="s">
        <v>11610</v>
      </c>
      <c r="L18090">
        <v>0</v>
      </c>
      <c r="M18090">
        <v>0</v>
      </c>
      <c r="N18090">
        <v>0</v>
      </c>
    </row>
    <row r="18091" spans="1:15">
      <c r="A18091" t="s">
        <v>54982</v>
      </c>
      <c r="B18091" t="s">
        <v>6742</v>
      </c>
      <c r="C18091" t="s">
        <v>16536</v>
      </c>
      <c r="D18091" t="s">
        <v>54983</v>
      </c>
      <c r="E18091" t="b">
        <v>0</v>
      </c>
      <c r="F18091" t="s">
        <v>11610</v>
      </c>
      <c r="L18091">
        <v>0</v>
      </c>
      <c r="M18091">
        <v>0</v>
      </c>
      <c r="N18091">
        <v>0</v>
      </c>
    </row>
    <row r="18092" spans="1:15">
      <c r="A18092" t="s">
        <v>19469</v>
      </c>
      <c r="B18092" t="s">
        <v>11757</v>
      </c>
      <c r="C18092" t="s">
        <v>27024</v>
      </c>
      <c r="D18092" t="s">
        <v>54984</v>
      </c>
      <c r="E18092" t="b">
        <v>0</v>
      </c>
      <c r="F18092" t="s">
        <v>11624</v>
      </c>
      <c r="G18092">
        <v>1.0129699999999999</v>
      </c>
      <c r="H18092">
        <v>34.666400000000003</v>
      </c>
      <c r="I18092" t="s">
        <v>54985</v>
      </c>
      <c r="L18092">
        <v>0</v>
      </c>
      <c r="M18092">
        <v>0</v>
      </c>
      <c r="N18092">
        <v>3</v>
      </c>
      <c r="O18092" t="s">
        <v>12057</v>
      </c>
    </row>
    <row r="18093" spans="1:15">
      <c r="A18093" t="s">
        <v>54986</v>
      </c>
      <c r="B18093" t="s">
        <v>367</v>
      </c>
      <c r="C18093" t="s">
        <v>15656</v>
      </c>
      <c r="D18093" t="s">
        <v>54987</v>
      </c>
      <c r="E18093" t="b">
        <v>0</v>
      </c>
      <c r="F18093" t="s">
        <v>11624</v>
      </c>
      <c r="G18093">
        <v>4.6480800000000002</v>
      </c>
      <c r="H18093">
        <v>117.024</v>
      </c>
      <c r="I18093" t="s">
        <v>54988</v>
      </c>
      <c r="L18093">
        <v>0</v>
      </c>
      <c r="M18093">
        <v>0</v>
      </c>
      <c r="N18093">
        <v>0</v>
      </c>
      <c r="O18093" t="s">
        <v>11672</v>
      </c>
    </row>
    <row r="18094" spans="1:15">
      <c r="A18094" t="s">
        <v>54989</v>
      </c>
      <c r="B18094" t="s">
        <v>367</v>
      </c>
      <c r="C18094" t="s">
        <v>47773</v>
      </c>
      <c r="D18094" t="s">
        <v>54990</v>
      </c>
      <c r="E18094" t="b">
        <v>0</v>
      </c>
      <c r="F18094" t="s">
        <v>11610</v>
      </c>
      <c r="L18094">
        <v>0</v>
      </c>
      <c r="M18094">
        <v>0</v>
      </c>
      <c r="N18094">
        <v>0</v>
      </c>
    </row>
    <row r="18095" spans="1:15">
      <c r="A18095" t="s">
        <v>54991</v>
      </c>
      <c r="B18095" t="s">
        <v>367</v>
      </c>
      <c r="C18095" t="s">
        <v>35745</v>
      </c>
      <c r="D18095" t="s">
        <v>54992</v>
      </c>
      <c r="E18095" t="b">
        <v>0</v>
      </c>
      <c r="F18095" t="s">
        <v>11624</v>
      </c>
      <c r="G18095">
        <v>3.5872299999999999</v>
      </c>
      <c r="H18095">
        <v>115.664</v>
      </c>
      <c r="I18095" t="s">
        <v>54993</v>
      </c>
      <c r="L18095">
        <v>0</v>
      </c>
      <c r="M18095">
        <v>0</v>
      </c>
      <c r="N18095">
        <v>0</v>
      </c>
      <c r="O18095" t="s">
        <v>16728</v>
      </c>
    </row>
    <row r="18096" spans="1:15">
      <c r="A18096" t="s">
        <v>54994</v>
      </c>
      <c r="B18096" t="s">
        <v>367</v>
      </c>
      <c r="C18096" t="s">
        <v>18815</v>
      </c>
      <c r="D18096" t="s">
        <v>54995</v>
      </c>
      <c r="E18096" t="b">
        <v>0</v>
      </c>
      <c r="F18096" t="s">
        <v>11624</v>
      </c>
      <c r="G18096">
        <v>5.3043300000000002</v>
      </c>
      <c r="H18096">
        <v>115.512</v>
      </c>
      <c r="I18096" t="s">
        <v>54996</v>
      </c>
      <c r="L18096">
        <v>0</v>
      </c>
      <c r="M18096">
        <v>0</v>
      </c>
      <c r="N18096">
        <v>0</v>
      </c>
      <c r="O18096" t="s">
        <v>11672</v>
      </c>
    </row>
    <row r="18097" spans="1:15">
      <c r="A18097" t="s">
        <v>54997</v>
      </c>
      <c r="B18097" t="s">
        <v>12959</v>
      </c>
      <c r="C18097" t="s">
        <v>12959</v>
      </c>
      <c r="D18097" t="s">
        <v>54998</v>
      </c>
      <c r="E18097" t="b">
        <v>0</v>
      </c>
      <c r="F18097" t="s">
        <v>11624</v>
      </c>
      <c r="G18097">
        <v>-12.9857</v>
      </c>
      <c r="H18097">
        <v>-60.335000000000001</v>
      </c>
      <c r="I18097" t="s">
        <v>54999</v>
      </c>
      <c r="L18097">
        <v>0</v>
      </c>
      <c r="M18097">
        <v>0</v>
      </c>
      <c r="N18097">
        <v>0</v>
      </c>
      <c r="O18097" t="s">
        <v>11969</v>
      </c>
    </row>
    <row r="18098" spans="1:15">
      <c r="A18098" t="s">
        <v>55000</v>
      </c>
      <c r="B18098" t="s">
        <v>6455</v>
      </c>
      <c r="C18098" t="s">
        <v>19205</v>
      </c>
      <c r="D18098" t="s">
        <v>55001</v>
      </c>
      <c r="E18098" t="b">
        <v>0</v>
      </c>
      <c r="F18098" t="s">
        <v>11610</v>
      </c>
      <c r="L18098">
        <v>0</v>
      </c>
      <c r="M18098">
        <v>0</v>
      </c>
      <c r="N18098">
        <v>0</v>
      </c>
    </row>
    <row r="18099" spans="1:15">
      <c r="A18099" t="s">
        <v>55002</v>
      </c>
      <c r="B18099" t="s">
        <v>11607</v>
      </c>
      <c r="C18099" t="s">
        <v>55003</v>
      </c>
      <c r="D18099" t="s">
        <v>55004</v>
      </c>
      <c r="E18099" t="b">
        <v>0</v>
      </c>
      <c r="F18099" t="s">
        <v>11624</v>
      </c>
      <c r="G18099">
        <v>11.3072</v>
      </c>
      <c r="H18099">
        <v>18.490600000000001</v>
      </c>
      <c r="I18099" t="s">
        <v>55005</v>
      </c>
      <c r="L18099">
        <v>0</v>
      </c>
      <c r="M18099">
        <v>0</v>
      </c>
      <c r="N18099">
        <v>0</v>
      </c>
      <c r="O18099" t="s">
        <v>13421</v>
      </c>
    </row>
    <row r="18100" spans="1:15">
      <c r="A18100" t="s">
        <v>55006</v>
      </c>
      <c r="B18100" t="s">
        <v>11607</v>
      </c>
      <c r="C18100" t="s">
        <v>30502</v>
      </c>
      <c r="D18100" t="s">
        <v>55007</v>
      </c>
      <c r="E18100" t="b">
        <v>0</v>
      </c>
      <c r="F18100" t="s">
        <v>11624</v>
      </c>
      <c r="G18100">
        <v>15.42</v>
      </c>
      <c r="H18100">
        <v>45.35</v>
      </c>
      <c r="I18100" t="s">
        <v>55008</v>
      </c>
      <c r="L18100">
        <v>0</v>
      </c>
      <c r="M18100">
        <v>0</v>
      </c>
      <c r="N18100">
        <v>0</v>
      </c>
      <c r="O18100" t="s">
        <v>30505</v>
      </c>
    </row>
    <row r="18101" spans="1:15">
      <c r="A18101" t="s">
        <v>20553</v>
      </c>
      <c r="B18101" t="s">
        <v>11615</v>
      </c>
      <c r="C18101" t="s">
        <v>14818</v>
      </c>
      <c r="D18101" t="s">
        <v>55009</v>
      </c>
      <c r="E18101" t="b">
        <v>0</v>
      </c>
      <c r="F18101" t="s">
        <v>11622</v>
      </c>
      <c r="L18101">
        <v>0</v>
      </c>
      <c r="M18101">
        <v>2</v>
      </c>
      <c r="N18101">
        <v>0</v>
      </c>
    </row>
    <row r="18102" spans="1:15">
      <c r="A18102" t="s">
        <v>55003</v>
      </c>
      <c r="B18102" t="s">
        <v>11607</v>
      </c>
      <c r="C18102" t="s">
        <v>26486</v>
      </c>
      <c r="D18102" t="s">
        <v>55010</v>
      </c>
      <c r="E18102" t="b">
        <v>0</v>
      </c>
      <c r="F18102" t="s">
        <v>11622</v>
      </c>
      <c r="L18102">
        <v>0</v>
      </c>
      <c r="M18102">
        <v>3</v>
      </c>
      <c r="N18102">
        <v>2</v>
      </c>
    </row>
    <row r="18103" spans="1:15">
      <c r="A18103" t="s">
        <v>32288</v>
      </c>
      <c r="B18103" t="s">
        <v>6742</v>
      </c>
      <c r="C18103" t="s">
        <v>23178</v>
      </c>
      <c r="D18103" t="s">
        <v>55011</v>
      </c>
      <c r="E18103" t="b">
        <v>0</v>
      </c>
      <c r="F18103" t="s">
        <v>11622</v>
      </c>
      <c r="L18103">
        <v>2</v>
      </c>
      <c r="M18103">
        <v>6</v>
      </c>
      <c r="N18103">
        <v>21</v>
      </c>
    </row>
    <row r="18104" spans="1:15">
      <c r="A18104" t="s">
        <v>55012</v>
      </c>
      <c r="B18104" t="s">
        <v>11637</v>
      </c>
      <c r="C18104" t="s">
        <v>51570</v>
      </c>
      <c r="D18104" t="s">
        <v>55013</v>
      </c>
      <c r="E18104" t="b">
        <v>0</v>
      </c>
      <c r="F18104" t="s">
        <v>11624</v>
      </c>
      <c r="I18104" t="s">
        <v>55014</v>
      </c>
      <c r="L18104">
        <v>0</v>
      </c>
      <c r="M18104">
        <v>0</v>
      </c>
      <c r="N18104">
        <v>2</v>
      </c>
      <c r="O18104" t="s">
        <v>13676</v>
      </c>
    </row>
    <row r="18105" spans="1:15">
      <c r="A18105" t="s">
        <v>51570</v>
      </c>
      <c r="B18105" t="s">
        <v>11637</v>
      </c>
      <c r="C18105" t="s">
        <v>32825</v>
      </c>
      <c r="D18105" t="s">
        <v>55015</v>
      </c>
      <c r="E18105" t="b">
        <v>0</v>
      </c>
      <c r="F18105" t="s">
        <v>11622</v>
      </c>
      <c r="L18105">
        <v>0</v>
      </c>
      <c r="M18105">
        <v>3</v>
      </c>
      <c r="N18105">
        <v>11</v>
      </c>
    </row>
    <row r="18106" spans="1:15">
      <c r="A18106" t="s">
        <v>55016</v>
      </c>
      <c r="B18106" t="s">
        <v>11637</v>
      </c>
      <c r="C18106" t="s">
        <v>55012</v>
      </c>
      <c r="D18106" t="s">
        <v>55017</v>
      </c>
      <c r="E18106" t="b">
        <v>0</v>
      </c>
      <c r="F18106" t="s">
        <v>11610</v>
      </c>
      <c r="I18106" t="s">
        <v>55018</v>
      </c>
      <c r="L18106">
        <v>0</v>
      </c>
      <c r="M18106">
        <v>0</v>
      </c>
      <c r="N18106">
        <v>0</v>
      </c>
    </row>
    <row r="18107" spans="1:15">
      <c r="A18107" t="s">
        <v>55019</v>
      </c>
      <c r="B18107" t="s">
        <v>6742</v>
      </c>
      <c r="C18107" t="s">
        <v>30511</v>
      </c>
      <c r="D18107" t="s">
        <v>55020</v>
      </c>
      <c r="E18107" t="b">
        <v>0</v>
      </c>
      <c r="F18107" t="s">
        <v>11610</v>
      </c>
      <c r="L18107">
        <v>0</v>
      </c>
      <c r="M18107">
        <v>0</v>
      </c>
      <c r="N18107">
        <v>0</v>
      </c>
    </row>
    <row r="18108" spans="1:15">
      <c r="A18108" t="s">
        <v>55021</v>
      </c>
      <c r="B18108" t="s">
        <v>11757</v>
      </c>
      <c r="C18108" t="s">
        <v>891</v>
      </c>
      <c r="D18108" t="s">
        <v>55022</v>
      </c>
      <c r="E18108" t="b">
        <v>0</v>
      </c>
      <c r="F18108" t="s">
        <v>11610</v>
      </c>
      <c r="L18108">
        <v>0</v>
      </c>
      <c r="M18108">
        <v>0</v>
      </c>
      <c r="N18108">
        <v>0</v>
      </c>
    </row>
    <row r="18109" spans="1:15">
      <c r="A18109" t="s">
        <v>42252</v>
      </c>
      <c r="B18109" t="s">
        <v>6742</v>
      </c>
      <c r="C18109" t="s">
        <v>19707</v>
      </c>
      <c r="D18109" t="s">
        <v>55023</v>
      </c>
      <c r="E18109" t="b">
        <v>0</v>
      </c>
      <c r="F18109" t="s">
        <v>11622</v>
      </c>
      <c r="L18109">
        <v>4</v>
      </c>
      <c r="M18109">
        <v>8</v>
      </c>
      <c r="N18109">
        <v>23</v>
      </c>
    </row>
    <row r="18110" spans="1:15">
      <c r="A18110" t="s">
        <v>55024</v>
      </c>
      <c r="B18110" t="s">
        <v>6742</v>
      </c>
      <c r="C18110" t="s">
        <v>36008</v>
      </c>
      <c r="D18110" t="s">
        <v>55025</v>
      </c>
      <c r="E18110" t="b">
        <v>0</v>
      </c>
      <c r="F18110" t="s">
        <v>11610</v>
      </c>
      <c r="L18110">
        <v>0</v>
      </c>
      <c r="M18110">
        <v>0</v>
      </c>
      <c r="N18110">
        <v>0</v>
      </c>
    </row>
    <row r="18111" spans="1:15">
      <c r="A18111" t="s">
        <v>55026</v>
      </c>
      <c r="B18111" t="s">
        <v>367</v>
      </c>
      <c r="C18111" t="s">
        <v>7797</v>
      </c>
      <c r="D18111" t="s">
        <v>55027</v>
      </c>
      <c r="E18111" t="b">
        <v>0</v>
      </c>
      <c r="F18111" t="s">
        <v>11610</v>
      </c>
      <c r="L18111">
        <v>0</v>
      </c>
      <c r="M18111">
        <v>0</v>
      </c>
      <c r="N18111">
        <v>0</v>
      </c>
    </row>
    <row r="18112" spans="1:15">
      <c r="A18112" t="s">
        <v>55028</v>
      </c>
      <c r="B18112" t="s">
        <v>25764</v>
      </c>
      <c r="C18112" t="s">
        <v>25764</v>
      </c>
      <c r="D18112" t="s">
        <v>55029</v>
      </c>
      <c r="E18112" t="b">
        <v>0</v>
      </c>
      <c r="F18112" t="s">
        <v>11610</v>
      </c>
      <c r="L18112">
        <v>0</v>
      </c>
      <c r="M18112">
        <v>0</v>
      </c>
      <c r="N18112">
        <v>0</v>
      </c>
    </row>
    <row r="18113" spans="1:15">
      <c r="A18113" t="s">
        <v>55030</v>
      </c>
      <c r="B18113" t="s">
        <v>12438</v>
      </c>
      <c r="C18113" t="s">
        <v>39387</v>
      </c>
      <c r="D18113" t="s">
        <v>55031</v>
      </c>
      <c r="E18113" t="b">
        <v>0</v>
      </c>
      <c r="F18113" t="s">
        <v>11624</v>
      </c>
      <c r="G18113">
        <v>5.34694</v>
      </c>
      <c r="H18113">
        <v>101.065</v>
      </c>
      <c r="I18113" t="s">
        <v>55032</v>
      </c>
      <c r="L18113">
        <v>0</v>
      </c>
      <c r="M18113">
        <v>0</v>
      </c>
      <c r="N18113">
        <v>0</v>
      </c>
      <c r="O18113" t="s">
        <v>11672</v>
      </c>
    </row>
    <row r="18114" spans="1:15">
      <c r="A18114" t="s">
        <v>55033</v>
      </c>
      <c r="B18114" t="s">
        <v>17030</v>
      </c>
      <c r="C18114" t="s">
        <v>40108</v>
      </c>
      <c r="D18114" t="s">
        <v>55034</v>
      </c>
      <c r="E18114" t="b">
        <v>0</v>
      </c>
      <c r="F18114" t="s">
        <v>11610</v>
      </c>
      <c r="L18114">
        <v>0</v>
      </c>
      <c r="M18114">
        <v>0</v>
      </c>
      <c r="N18114">
        <v>0</v>
      </c>
    </row>
    <row r="18115" spans="1:15">
      <c r="A18115" t="s">
        <v>40025</v>
      </c>
      <c r="B18115" t="s">
        <v>367</v>
      </c>
      <c r="C18115" t="s">
        <v>24621</v>
      </c>
      <c r="D18115" t="s">
        <v>55035</v>
      </c>
      <c r="E18115" t="b">
        <v>0</v>
      </c>
      <c r="F18115" t="s">
        <v>11624</v>
      </c>
      <c r="G18115">
        <v>-10.552199999999999</v>
      </c>
      <c r="H18115">
        <v>121.84699999999999</v>
      </c>
      <c r="I18115" t="s">
        <v>55036</v>
      </c>
      <c r="L18115">
        <v>0</v>
      </c>
      <c r="M18115">
        <v>0</v>
      </c>
      <c r="N18115">
        <v>5</v>
      </c>
      <c r="O18115" t="s">
        <v>11768</v>
      </c>
    </row>
    <row r="18116" spans="1:15">
      <c r="A18116" t="s">
        <v>55037</v>
      </c>
      <c r="B18116" t="s">
        <v>11871</v>
      </c>
      <c r="C18116" t="s">
        <v>1128</v>
      </c>
      <c r="D18116" t="s">
        <v>55038</v>
      </c>
      <c r="E18116" t="b">
        <v>0</v>
      </c>
      <c r="F18116" t="s">
        <v>11610</v>
      </c>
      <c r="L18116">
        <v>0</v>
      </c>
      <c r="M18116">
        <v>0</v>
      </c>
      <c r="N18116">
        <v>0</v>
      </c>
    </row>
    <row r="18117" spans="1:15">
      <c r="A18117" t="s">
        <v>55039</v>
      </c>
      <c r="B18117" t="s">
        <v>5911</v>
      </c>
      <c r="C18117" t="s">
        <v>20914</v>
      </c>
      <c r="D18117" t="s">
        <v>55040</v>
      </c>
      <c r="E18117" t="b">
        <v>0</v>
      </c>
      <c r="F18117" t="s">
        <v>11624</v>
      </c>
      <c r="G18117">
        <v>15.273999999999999</v>
      </c>
      <c r="H18117">
        <v>-91.108999999999995</v>
      </c>
      <c r="I18117" t="s">
        <v>55041</v>
      </c>
      <c r="L18117">
        <v>0</v>
      </c>
      <c r="M18117">
        <v>0</v>
      </c>
      <c r="N18117">
        <v>0</v>
      </c>
      <c r="O18117" t="s">
        <v>11927</v>
      </c>
    </row>
    <row r="18118" spans="1:15">
      <c r="A18118" t="s">
        <v>55042</v>
      </c>
      <c r="B18118" t="s">
        <v>13360</v>
      </c>
      <c r="C18118" t="s">
        <v>13360</v>
      </c>
      <c r="D18118" t="s">
        <v>55043</v>
      </c>
      <c r="E18118" t="b">
        <v>0</v>
      </c>
      <c r="F18118" t="s">
        <v>11624</v>
      </c>
      <c r="L18118">
        <v>0</v>
      </c>
      <c r="M18118">
        <v>0</v>
      </c>
      <c r="N18118">
        <v>0</v>
      </c>
      <c r="O18118" t="s">
        <v>11778</v>
      </c>
    </row>
    <row r="18119" spans="1:15">
      <c r="A18119" t="s">
        <v>55044</v>
      </c>
      <c r="B18119" t="s">
        <v>12979</v>
      </c>
      <c r="C18119" t="s">
        <v>44179</v>
      </c>
      <c r="D18119" t="s">
        <v>55045</v>
      </c>
      <c r="E18119" t="b">
        <v>0</v>
      </c>
      <c r="F18119" t="s">
        <v>11610</v>
      </c>
      <c r="L18119">
        <v>0</v>
      </c>
      <c r="M18119">
        <v>0</v>
      </c>
      <c r="N18119">
        <v>0</v>
      </c>
    </row>
    <row r="18120" spans="1:15">
      <c r="A18120" t="s">
        <v>55046</v>
      </c>
      <c r="B18120" t="s">
        <v>12438</v>
      </c>
      <c r="C18120" t="s">
        <v>22982</v>
      </c>
      <c r="D18120" t="s">
        <v>55047</v>
      </c>
      <c r="E18120" t="b">
        <v>0</v>
      </c>
      <c r="F18120" t="s">
        <v>11610</v>
      </c>
      <c r="L18120">
        <v>0</v>
      </c>
      <c r="M18120">
        <v>0</v>
      </c>
      <c r="N18120">
        <v>0</v>
      </c>
    </row>
    <row r="18121" spans="1:15">
      <c r="A18121" t="s">
        <v>55048</v>
      </c>
      <c r="B18121" t="s">
        <v>367</v>
      </c>
      <c r="C18121" t="s">
        <v>17614</v>
      </c>
      <c r="D18121" t="s">
        <v>55049</v>
      </c>
      <c r="E18121" t="b">
        <v>0</v>
      </c>
      <c r="F18121" t="s">
        <v>11610</v>
      </c>
      <c r="L18121">
        <v>0</v>
      </c>
      <c r="M18121">
        <v>0</v>
      </c>
      <c r="N18121">
        <v>0</v>
      </c>
    </row>
    <row r="18122" spans="1:15">
      <c r="A18122" t="s">
        <v>51427</v>
      </c>
      <c r="B18122" t="s">
        <v>11637</v>
      </c>
      <c r="C18122" t="s">
        <v>18315</v>
      </c>
      <c r="D18122" t="s">
        <v>55050</v>
      </c>
      <c r="E18122" t="b">
        <v>0</v>
      </c>
      <c r="F18122" t="s">
        <v>11622</v>
      </c>
      <c r="L18122">
        <v>0</v>
      </c>
      <c r="M18122">
        <v>2</v>
      </c>
      <c r="N18122">
        <v>6</v>
      </c>
    </row>
    <row r="18123" spans="1:15">
      <c r="A18123" t="s">
        <v>55051</v>
      </c>
      <c r="B18123" t="s">
        <v>4342</v>
      </c>
      <c r="C18123" t="s">
        <v>28119</v>
      </c>
      <c r="D18123" t="s">
        <v>55052</v>
      </c>
      <c r="E18123" t="b">
        <v>0</v>
      </c>
      <c r="F18123" t="s">
        <v>11610</v>
      </c>
      <c r="L18123">
        <v>0</v>
      </c>
      <c r="M18123">
        <v>0</v>
      </c>
      <c r="N18123">
        <v>0</v>
      </c>
    </row>
    <row r="18124" spans="1:15">
      <c r="A18124" t="s">
        <v>20145</v>
      </c>
      <c r="B18124" t="s">
        <v>367</v>
      </c>
      <c r="C18124" t="s">
        <v>17483</v>
      </c>
      <c r="D18124" t="s">
        <v>55053</v>
      </c>
      <c r="E18124" t="b">
        <v>0</v>
      </c>
      <c r="F18124" t="s">
        <v>11622</v>
      </c>
      <c r="L18124">
        <v>0</v>
      </c>
      <c r="M18124">
        <v>2</v>
      </c>
      <c r="N18124">
        <v>8</v>
      </c>
    </row>
    <row r="18125" spans="1:15">
      <c r="A18125" t="s">
        <v>55054</v>
      </c>
      <c r="B18125" t="s">
        <v>11637</v>
      </c>
      <c r="C18125" t="s">
        <v>16777</v>
      </c>
      <c r="D18125" t="s">
        <v>55055</v>
      </c>
      <c r="E18125" t="b">
        <v>0</v>
      </c>
      <c r="F18125" t="s">
        <v>11610</v>
      </c>
      <c r="L18125">
        <v>0</v>
      </c>
      <c r="M18125">
        <v>0</v>
      </c>
      <c r="N18125">
        <v>0</v>
      </c>
    </row>
    <row r="18126" spans="1:15">
      <c r="A18126" t="s">
        <v>23307</v>
      </c>
      <c r="B18126" t="s">
        <v>11637</v>
      </c>
      <c r="C18126" t="s">
        <v>51427</v>
      </c>
      <c r="D18126" t="s">
        <v>55056</v>
      </c>
      <c r="E18126" t="b">
        <v>0</v>
      </c>
      <c r="F18126" t="s">
        <v>11624</v>
      </c>
      <c r="G18126">
        <v>23.6585</v>
      </c>
      <c r="H18126">
        <v>84.811400000000006</v>
      </c>
      <c r="I18126" t="s">
        <v>55057</v>
      </c>
      <c r="L18126">
        <v>0</v>
      </c>
      <c r="M18126">
        <v>0</v>
      </c>
      <c r="N18126">
        <v>2</v>
      </c>
      <c r="O18126" t="s">
        <v>15054</v>
      </c>
    </row>
    <row r="18127" spans="1:15">
      <c r="A18127" t="s">
        <v>55058</v>
      </c>
      <c r="B18127" t="s">
        <v>11637</v>
      </c>
      <c r="C18127" t="s">
        <v>15977</v>
      </c>
      <c r="D18127" t="s">
        <v>55059</v>
      </c>
      <c r="E18127" t="b">
        <v>0</v>
      </c>
      <c r="F18127" t="s">
        <v>11610</v>
      </c>
      <c r="L18127">
        <v>0</v>
      </c>
      <c r="M18127">
        <v>0</v>
      </c>
      <c r="N18127">
        <v>0</v>
      </c>
    </row>
    <row r="18128" spans="1:15">
      <c r="A18128" t="s">
        <v>55060</v>
      </c>
      <c r="B18128" t="s">
        <v>11644</v>
      </c>
      <c r="C18128" t="s">
        <v>35448</v>
      </c>
      <c r="D18128" t="s">
        <v>55061</v>
      </c>
      <c r="E18128" t="b">
        <v>0</v>
      </c>
      <c r="F18128" t="s">
        <v>11624</v>
      </c>
      <c r="G18128">
        <v>24.3</v>
      </c>
      <c r="H18128">
        <v>102</v>
      </c>
      <c r="L18128">
        <v>0</v>
      </c>
      <c r="M18128">
        <v>0</v>
      </c>
      <c r="N18128">
        <v>0</v>
      </c>
      <c r="O18128" t="s">
        <v>11905</v>
      </c>
    </row>
    <row r="18129" spans="1:15">
      <c r="A18129" t="s">
        <v>36100</v>
      </c>
      <c r="B18129" t="s">
        <v>5126</v>
      </c>
      <c r="C18129" t="s">
        <v>17744</v>
      </c>
      <c r="D18129" t="s">
        <v>55062</v>
      </c>
      <c r="E18129" t="b">
        <v>0</v>
      </c>
      <c r="F18129" t="s">
        <v>11624</v>
      </c>
      <c r="G18129">
        <v>17.4558</v>
      </c>
      <c r="H18129">
        <v>104.78700000000001</v>
      </c>
      <c r="I18129" t="s">
        <v>55063</v>
      </c>
      <c r="L18129">
        <v>0</v>
      </c>
      <c r="M18129">
        <v>0</v>
      </c>
      <c r="N18129">
        <v>2</v>
      </c>
      <c r="O18129" t="s">
        <v>12442</v>
      </c>
    </row>
    <row r="18130" spans="1:15">
      <c r="A18130" t="s">
        <v>55064</v>
      </c>
      <c r="B18130" t="s">
        <v>11615</v>
      </c>
      <c r="C18130" t="s">
        <v>16000</v>
      </c>
      <c r="D18130" t="s">
        <v>55065</v>
      </c>
      <c r="E18130" t="b">
        <v>0</v>
      </c>
      <c r="F18130" t="s">
        <v>11624</v>
      </c>
      <c r="G18130">
        <v>-5.6481199999999996</v>
      </c>
      <c r="H18130">
        <v>146.078</v>
      </c>
      <c r="I18130" t="s">
        <v>55066</v>
      </c>
      <c r="L18130">
        <v>0</v>
      </c>
      <c r="M18130">
        <v>0</v>
      </c>
      <c r="N18130">
        <v>0</v>
      </c>
      <c r="O18130" t="s">
        <v>11660</v>
      </c>
    </row>
    <row r="18131" spans="1:15">
      <c r="A18131" t="s">
        <v>55067</v>
      </c>
      <c r="B18131" t="s">
        <v>6742</v>
      </c>
      <c r="C18131" t="s">
        <v>23801</v>
      </c>
      <c r="D18131" t="s">
        <v>55068</v>
      </c>
      <c r="E18131" t="b">
        <v>0</v>
      </c>
      <c r="F18131" t="s">
        <v>11624</v>
      </c>
      <c r="G18131">
        <v>8.9376800000000003</v>
      </c>
      <c r="H18131">
        <v>-2.58467</v>
      </c>
      <c r="I18131" t="s">
        <v>55069</v>
      </c>
      <c r="L18131">
        <v>0</v>
      </c>
      <c r="M18131">
        <v>0</v>
      </c>
      <c r="N18131">
        <v>0</v>
      </c>
      <c r="O18131" t="s">
        <v>11820</v>
      </c>
    </row>
    <row r="18132" spans="1:15">
      <c r="A18132" t="s">
        <v>55070</v>
      </c>
      <c r="B18132" t="s">
        <v>13276</v>
      </c>
      <c r="C18132" t="s">
        <v>28698</v>
      </c>
      <c r="D18132" t="s">
        <v>55071</v>
      </c>
      <c r="E18132" t="b">
        <v>0</v>
      </c>
      <c r="F18132" t="s">
        <v>11610</v>
      </c>
      <c r="L18132">
        <v>0</v>
      </c>
      <c r="M18132">
        <v>0</v>
      </c>
      <c r="N18132">
        <v>0</v>
      </c>
    </row>
    <row r="18133" spans="1:15">
      <c r="A18133" t="s">
        <v>55072</v>
      </c>
      <c r="B18133" t="s">
        <v>11607</v>
      </c>
      <c r="C18133" t="s">
        <v>13669</v>
      </c>
      <c r="D18133" t="s">
        <v>55073</v>
      </c>
      <c r="E18133" t="b">
        <v>0</v>
      </c>
      <c r="F18133" t="s">
        <v>11610</v>
      </c>
      <c r="L18133">
        <v>0</v>
      </c>
      <c r="M18133">
        <v>0</v>
      </c>
      <c r="N18133">
        <v>0</v>
      </c>
    </row>
    <row r="18134" spans="1:15">
      <c r="A18134" t="s">
        <v>23801</v>
      </c>
      <c r="B18134" t="s">
        <v>6742</v>
      </c>
      <c r="C18134" t="s">
        <v>45422</v>
      </c>
      <c r="D18134" t="s">
        <v>55074</v>
      </c>
      <c r="E18134" t="b">
        <v>0</v>
      </c>
      <c r="F18134" t="s">
        <v>11622</v>
      </c>
      <c r="L18134">
        <v>5</v>
      </c>
      <c r="M18134">
        <v>7</v>
      </c>
      <c r="N18134">
        <v>10</v>
      </c>
    </row>
    <row r="18135" spans="1:15">
      <c r="A18135" t="s">
        <v>55075</v>
      </c>
      <c r="B18135" t="s">
        <v>11607</v>
      </c>
      <c r="C18135" t="s">
        <v>21995</v>
      </c>
      <c r="D18135" t="s">
        <v>55076</v>
      </c>
      <c r="E18135" t="b">
        <v>0</v>
      </c>
      <c r="F18135" t="s">
        <v>11610</v>
      </c>
      <c r="L18135">
        <v>0</v>
      </c>
      <c r="M18135">
        <v>0</v>
      </c>
      <c r="N18135">
        <v>0</v>
      </c>
    </row>
    <row r="18136" spans="1:15">
      <c r="A18136" t="s">
        <v>12488</v>
      </c>
      <c r="B18136" t="s">
        <v>12487</v>
      </c>
      <c r="C18136" t="s">
        <v>34517</v>
      </c>
      <c r="D18136" t="s">
        <v>55077</v>
      </c>
      <c r="E18136" t="b">
        <v>0</v>
      </c>
      <c r="F18136" t="s">
        <v>11624</v>
      </c>
      <c r="G18136">
        <v>-7.0541700000000001</v>
      </c>
      <c r="H18136">
        <v>146.09</v>
      </c>
      <c r="I18136" t="s">
        <v>55078</v>
      </c>
      <c r="L18136">
        <v>0</v>
      </c>
      <c r="M18136">
        <v>0</v>
      </c>
      <c r="N18136">
        <v>2</v>
      </c>
      <c r="O18136" t="s">
        <v>11660</v>
      </c>
    </row>
    <row r="18137" spans="1:15">
      <c r="A18137" t="s">
        <v>30265</v>
      </c>
      <c r="B18137" t="s">
        <v>6742</v>
      </c>
      <c r="C18137" t="s">
        <v>42183</v>
      </c>
      <c r="D18137" t="s">
        <v>55079</v>
      </c>
      <c r="E18137" t="b">
        <v>0</v>
      </c>
      <c r="F18137" t="s">
        <v>11624</v>
      </c>
      <c r="G18137">
        <v>-8.5493600000000001</v>
      </c>
      <c r="H18137">
        <v>33.476599999999998</v>
      </c>
      <c r="I18137" t="s">
        <v>55080</v>
      </c>
      <c r="L18137">
        <v>0</v>
      </c>
      <c r="M18137">
        <v>0</v>
      </c>
      <c r="N18137">
        <v>4</v>
      </c>
      <c r="O18137" t="s">
        <v>11635</v>
      </c>
    </row>
    <row r="18138" spans="1:15">
      <c r="A18138" t="s">
        <v>32891</v>
      </c>
      <c r="B18138" t="s">
        <v>6742</v>
      </c>
      <c r="C18138" t="s">
        <v>55081</v>
      </c>
      <c r="D18138" t="s">
        <v>55082</v>
      </c>
      <c r="E18138" t="b">
        <v>0</v>
      </c>
      <c r="F18138" t="s">
        <v>11624</v>
      </c>
      <c r="G18138">
        <v>-6.9853699999999996</v>
      </c>
      <c r="H18138">
        <v>36.915300000000002</v>
      </c>
      <c r="I18138" t="s">
        <v>55083</v>
      </c>
      <c r="L18138">
        <v>0</v>
      </c>
      <c r="M18138">
        <v>0</v>
      </c>
      <c r="N18138">
        <v>4</v>
      </c>
      <c r="O18138" t="s">
        <v>11635</v>
      </c>
    </row>
    <row r="18139" spans="1:15">
      <c r="A18139" t="s">
        <v>55084</v>
      </c>
      <c r="B18139" t="s">
        <v>331</v>
      </c>
      <c r="C18139" t="s">
        <v>5794</v>
      </c>
      <c r="D18139" t="s">
        <v>55085</v>
      </c>
      <c r="E18139" t="b">
        <v>0</v>
      </c>
      <c r="F18139" t="s">
        <v>11610</v>
      </c>
      <c r="L18139">
        <v>0</v>
      </c>
      <c r="M18139">
        <v>0</v>
      </c>
      <c r="N18139">
        <v>0</v>
      </c>
    </row>
    <row r="18140" spans="1:15">
      <c r="A18140" t="s">
        <v>55086</v>
      </c>
      <c r="B18140" t="s">
        <v>12311</v>
      </c>
      <c r="C18140" t="s">
        <v>24756</v>
      </c>
      <c r="D18140" t="s">
        <v>55087</v>
      </c>
      <c r="E18140" t="b">
        <v>0</v>
      </c>
      <c r="F18140" t="s">
        <v>11610</v>
      </c>
      <c r="L18140">
        <v>0</v>
      </c>
      <c r="M18140">
        <v>0</v>
      </c>
      <c r="N18140">
        <v>0</v>
      </c>
    </row>
    <row r="18141" spans="1:15">
      <c r="A18141" t="s">
        <v>23978</v>
      </c>
      <c r="B18141" t="s">
        <v>6742</v>
      </c>
      <c r="C18141" t="s">
        <v>55088</v>
      </c>
      <c r="D18141" t="s">
        <v>55089</v>
      </c>
      <c r="E18141" t="b">
        <v>0</v>
      </c>
      <c r="F18141" t="s">
        <v>11624</v>
      </c>
      <c r="G18141">
        <v>-3.6016400000000002</v>
      </c>
      <c r="H18141">
        <v>38.503700000000002</v>
      </c>
      <c r="I18141" t="s">
        <v>55090</v>
      </c>
      <c r="L18141">
        <v>0</v>
      </c>
      <c r="M18141">
        <v>0</v>
      </c>
      <c r="N18141">
        <v>6</v>
      </c>
      <c r="O18141" t="s">
        <v>22848</v>
      </c>
    </row>
    <row r="18142" spans="1:15">
      <c r="A18142" t="s">
        <v>55091</v>
      </c>
      <c r="B18142" t="s">
        <v>13276</v>
      </c>
      <c r="C18142" t="s">
        <v>37668</v>
      </c>
      <c r="D18142" t="s">
        <v>55092</v>
      </c>
      <c r="E18142" t="b">
        <v>0</v>
      </c>
      <c r="F18142" t="s">
        <v>11610</v>
      </c>
      <c r="L18142">
        <v>0</v>
      </c>
      <c r="M18142">
        <v>0</v>
      </c>
      <c r="N18142">
        <v>0</v>
      </c>
    </row>
    <row r="18143" spans="1:15">
      <c r="A18143" t="s">
        <v>55093</v>
      </c>
      <c r="B18143" t="s">
        <v>4342</v>
      </c>
      <c r="C18143" t="s">
        <v>22538</v>
      </c>
      <c r="D18143" t="s">
        <v>55094</v>
      </c>
      <c r="E18143" t="b">
        <v>0</v>
      </c>
      <c r="F18143" t="s">
        <v>11610</v>
      </c>
      <c r="L18143">
        <v>0</v>
      </c>
      <c r="M18143">
        <v>0</v>
      </c>
      <c r="N18143">
        <v>0</v>
      </c>
    </row>
    <row r="18144" spans="1:15">
      <c r="A18144" t="s">
        <v>26082</v>
      </c>
      <c r="B18144" t="s">
        <v>6742</v>
      </c>
      <c r="C18144" t="s">
        <v>54643</v>
      </c>
      <c r="D18144" t="s">
        <v>55095</v>
      </c>
      <c r="E18144" t="b">
        <v>0</v>
      </c>
      <c r="F18144" t="s">
        <v>11622</v>
      </c>
      <c r="L18144">
        <v>0</v>
      </c>
      <c r="M18144">
        <v>2</v>
      </c>
      <c r="N18144">
        <v>3</v>
      </c>
    </row>
    <row r="18145" spans="1:15">
      <c r="A18145" t="s">
        <v>55096</v>
      </c>
      <c r="B18145" t="s">
        <v>6742</v>
      </c>
      <c r="C18145" t="s">
        <v>25251</v>
      </c>
      <c r="D18145" t="s">
        <v>55097</v>
      </c>
      <c r="E18145" t="b">
        <v>0</v>
      </c>
      <c r="F18145" t="s">
        <v>11610</v>
      </c>
      <c r="L18145">
        <v>0</v>
      </c>
      <c r="M18145">
        <v>0</v>
      </c>
      <c r="N18145">
        <v>0</v>
      </c>
    </row>
    <row r="18146" spans="1:15">
      <c r="A18146" t="s">
        <v>55098</v>
      </c>
      <c r="B18146" t="s">
        <v>11637</v>
      </c>
      <c r="C18146" t="s">
        <v>12079</v>
      </c>
      <c r="D18146" t="s">
        <v>55099</v>
      </c>
      <c r="E18146" t="b">
        <v>0</v>
      </c>
      <c r="F18146" t="s">
        <v>11610</v>
      </c>
      <c r="L18146">
        <v>0</v>
      </c>
      <c r="M18146">
        <v>0</v>
      </c>
      <c r="N18146">
        <v>0</v>
      </c>
    </row>
    <row r="18147" spans="1:15">
      <c r="A18147" t="s">
        <v>55100</v>
      </c>
      <c r="B18147" t="s">
        <v>6742</v>
      </c>
      <c r="C18147" t="s">
        <v>19556</v>
      </c>
      <c r="D18147" t="s">
        <v>55101</v>
      </c>
      <c r="E18147" t="b">
        <v>0</v>
      </c>
      <c r="F18147" t="s">
        <v>11610</v>
      </c>
      <c r="L18147">
        <v>0</v>
      </c>
      <c r="M18147">
        <v>0</v>
      </c>
      <c r="N18147">
        <v>0</v>
      </c>
    </row>
    <row r="18148" spans="1:15">
      <c r="A18148" t="s">
        <v>36807</v>
      </c>
      <c r="D18148" t="s">
        <v>55102</v>
      </c>
      <c r="E18148" t="b">
        <v>0</v>
      </c>
      <c r="F18148" t="s">
        <v>11622</v>
      </c>
      <c r="L18148">
        <v>3</v>
      </c>
      <c r="M18148">
        <v>5</v>
      </c>
      <c r="N18148">
        <v>2</v>
      </c>
    </row>
    <row r="18149" spans="1:15">
      <c r="A18149" t="s">
        <v>48232</v>
      </c>
      <c r="B18149" t="s">
        <v>36807</v>
      </c>
      <c r="C18149" t="s">
        <v>36807</v>
      </c>
      <c r="D18149" t="s">
        <v>55103</v>
      </c>
      <c r="E18149" t="b">
        <v>0</v>
      </c>
      <c r="F18149" t="s">
        <v>11622</v>
      </c>
      <c r="L18149">
        <v>2</v>
      </c>
      <c r="M18149">
        <v>4</v>
      </c>
      <c r="N18149">
        <v>2</v>
      </c>
    </row>
    <row r="18150" spans="1:15">
      <c r="A18150" t="s">
        <v>13967</v>
      </c>
      <c r="D18150" t="s">
        <v>55104</v>
      </c>
      <c r="E18150" t="b">
        <v>0</v>
      </c>
      <c r="F18150" t="s">
        <v>11622</v>
      </c>
      <c r="L18150">
        <v>7</v>
      </c>
      <c r="M18150">
        <v>10</v>
      </c>
      <c r="N18150">
        <v>33</v>
      </c>
    </row>
    <row r="18151" spans="1:15">
      <c r="A18151" t="s">
        <v>55105</v>
      </c>
      <c r="B18151" t="s">
        <v>11844</v>
      </c>
      <c r="C18151" t="s">
        <v>29434</v>
      </c>
      <c r="D18151" t="s">
        <v>55106</v>
      </c>
      <c r="E18151" t="b">
        <v>0</v>
      </c>
      <c r="F18151" t="s">
        <v>11610</v>
      </c>
      <c r="L18151">
        <v>0</v>
      </c>
      <c r="M18151">
        <v>0</v>
      </c>
      <c r="N18151">
        <v>0</v>
      </c>
    </row>
    <row r="18152" spans="1:15">
      <c r="A18152" t="s">
        <v>55107</v>
      </c>
      <c r="B18152" t="s">
        <v>11607</v>
      </c>
      <c r="C18152" t="s">
        <v>12735</v>
      </c>
      <c r="D18152" t="s">
        <v>55108</v>
      </c>
      <c r="E18152" t="b">
        <v>0</v>
      </c>
      <c r="F18152" t="s">
        <v>11610</v>
      </c>
      <c r="L18152">
        <v>0</v>
      </c>
      <c r="M18152">
        <v>0</v>
      </c>
      <c r="N18152">
        <v>0</v>
      </c>
    </row>
    <row r="18153" spans="1:15">
      <c r="A18153" t="s">
        <v>55109</v>
      </c>
      <c r="B18153" t="s">
        <v>11607</v>
      </c>
      <c r="C18153" t="s">
        <v>48960</v>
      </c>
      <c r="D18153" t="s">
        <v>55110</v>
      </c>
      <c r="E18153" t="b">
        <v>0</v>
      </c>
      <c r="F18153" t="s">
        <v>11610</v>
      </c>
      <c r="L18153">
        <v>0</v>
      </c>
      <c r="M18153">
        <v>0</v>
      </c>
      <c r="N18153">
        <v>0</v>
      </c>
    </row>
    <row r="18154" spans="1:15">
      <c r="A18154" t="s">
        <v>12183</v>
      </c>
      <c r="B18154" t="s">
        <v>11607</v>
      </c>
      <c r="C18154" t="s">
        <v>40985</v>
      </c>
      <c r="D18154" t="s">
        <v>55111</v>
      </c>
      <c r="E18154" t="b">
        <v>0</v>
      </c>
      <c r="F18154" t="s">
        <v>11622</v>
      </c>
      <c r="L18154">
        <v>0</v>
      </c>
      <c r="M18154">
        <v>2</v>
      </c>
      <c r="N18154">
        <v>13</v>
      </c>
    </row>
    <row r="18155" spans="1:15">
      <c r="A18155" t="s">
        <v>22054</v>
      </c>
      <c r="B18155" t="s">
        <v>11607</v>
      </c>
      <c r="C18155" t="s">
        <v>12183</v>
      </c>
      <c r="D18155" t="s">
        <v>55112</v>
      </c>
      <c r="E18155" t="b">
        <v>0</v>
      </c>
      <c r="F18155" t="s">
        <v>11624</v>
      </c>
      <c r="G18155">
        <v>14.75</v>
      </c>
      <c r="H18155">
        <v>39.75</v>
      </c>
      <c r="I18155" t="s">
        <v>55113</v>
      </c>
      <c r="L18155">
        <v>0</v>
      </c>
      <c r="M18155">
        <v>0</v>
      </c>
      <c r="N18155">
        <v>9</v>
      </c>
      <c r="O18155" t="s">
        <v>28970</v>
      </c>
    </row>
    <row r="18156" spans="1:15">
      <c r="A18156" t="s">
        <v>31924</v>
      </c>
      <c r="B18156" t="s">
        <v>12133</v>
      </c>
      <c r="C18156" t="s">
        <v>41779</v>
      </c>
      <c r="D18156" t="s">
        <v>55114</v>
      </c>
      <c r="E18156" t="b">
        <v>0</v>
      </c>
      <c r="F18156" t="s">
        <v>11622</v>
      </c>
      <c r="L18156">
        <v>2</v>
      </c>
      <c r="M18156">
        <v>4</v>
      </c>
      <c r="N18156">
        <v>2</v>
      </c>
    </row>
    <row r="18157" spans="1:15">
      <c r="A18157" t="s">
        <v>51839</v>
      </c>
      <c r="B18157" t="s">
        <v>12133</v>
      </c>
      <c r="C18157" t="s">
        <v>55115</v>
      </c>
      <c r="D18157" t="s">
        <v>55116</v>
      </c>
      <c r="E18157" t="b">
        <v>0</v>
      </c>
      <c r="F18157" t="s">
        <v>11624</v>
      </c>
      <c r="G18157">
        <v>1.00742</v>
      </c>
      <c r="H18157">
        <v>127.49299999999999</v>
      </c>
      <c r="I18157" t="s">
        <v>55117</v>
      </c>
      <c r="L18157">
        <v>0</v>
      </c>
      <c r="M18157">
        <v>0</v>
      </c>
      <c r="N18157">
        <v>2</v>
      </c>
      <c r="O18157" t="s">
        <v>11768</v>
      </c>
    </row>
    <row r="18158" spans="1:15">
      <c r="A18158" t="s">
        <v>55115</v>
      </c>
      <c r="B18158" t="s">
        <v>12133</v>
      </c>
      <c r="C18158" t="s">
        <v>28474</v>
      </c>
      <c r="D18158" t="s">
        <v>55118</v>
      </c>
      <c r="E18158" t="b">
        <v>0</v>
      </c>
      <c r="F18158" t="s">
        <v>11622</v>
      </c>
      <c r="L18158">
        <v>0</v>
      </c>
      <c r="M18158">
        <v>2</v>
      </c>
      <c r="N18158">
        <v>2</v>
      </c>
    </row>
    <row r="18159" spans="1:15">
      <c r="A18159" t="s">
        <v>44352</v>
      </c>
      <c r="B18159" t="s">
        <v>11607</v>
      </c>
      <c r="C18159" t="s">
        <v>26901</v>
      </c>
      <c r="D18159" t="s">
        <v>55119</v>
      </c>
      <c r="E18159" t="b">
        <v>0</v>
      </c>
      <c r="F18159" t="s">
        <v>11624</v>
      </c>
      <c r="G18159">
        <v>25.4132</v>
      </c>
      <c r="H18159">
        <v>30.530200000000001</v>
      </c>
      <c r="I18159" t="s">
        <v>55120</v>
      </c>
      <c r="L18159">
        <v>0</v>
      </c>
      <c r="M18159">
        <v>0</v>
      </c>
      <c r="N18159">
        <v>2</v>
      </c>
      <c r="O18159" t="s">
        <v>35884</v>
      </c>
    </row>
    <row r="18160" spans="1:15">
      <c r="A18160" t="s">
        <v>55121</v>
      </c>
      <c r="B18160" t="s">
        <v>11607</v>
      </c>
      <c r="C18160" t="s">
        <v>13011</v>
      </c>
      <c r="D18160" t="s">
        <v>55122</v>
      </c>
      <c r="E18160" t="b">
        <v>0</v>
      </c>
      <c r="F18160" t="s">
        <v>11610</v>
      </c>
      <c r="L18160">
        <v>0</v>
      </c>
      <c r="M18160">
        <v>0</v>
      </c>
      <c r="N18160">
        <v>0</v>
      </c>
    </row>
    <row r="18161" spans="1:15">
      <c r="A18161" t="s">
        <v>55123</v>
      </c>
      <c r="B18161" t="s">
        <v>27929</v>
      </c>
      <c r="C18161" t="s">
        <v>27930</v>
      </c>
      <c r="D18161" t="s">
        <v>55124</v>
      </c>
      <c r="E18161" t="b">
        <v>0</v>
      </c>
      <c r="F18161" t="s">
        <v>11610</v>
      </c>
      <c r="L18161">
        <v>0</v>
      </c>
      <c r="M18161">
        <v>0</v>
      </c>
      <c r="N18161">
        <v>0</v>
      </c>
    </row>
    <row r="18162" spans="1:15">
      <c r="A18162" t="s">
        <v>55125</v>
      </c>
      <c r="B18162" t="s">
        <v>12254</v>
      </c>
      <c r="C18162" t="s">
        <v>12255</v>
      </c>
      <c r="D18162" t="s">
        <v>55126</v>
      </c>
      <c r="E18162" t="b">
        <v>0</v>
      </c>
      <c r="F18162" t="s">
        <v>11610</v>
      </c>
      <c r="L18162">
        <v>0</v>
      </c>
      <c r="M18162">
        <v>0</v>
      </c>
      <c r="N18162">
        <v>0</v>
      </c>
    </row>
    <row r="18163" spans="1:15">
      <c r="A18163" t="s">
        <v>55127</v>
      </c>
      <c r="B18163" t="s">
        <v>11644</v>
      </c>
      <c r="C18163" t="s">
        <v>14775</v>
      </c>
      <c r="D18163" t="s">
        <v>55128</v>
      </c>
      <c r="E18163" t="b">
        <v>0</v>
      </c>
      <c r="F18163" t="s">
        <v>11610</v>
      </c>
      <c r="L18163">
        <v>0</v>
      </c>
      <c r="M18163">
        <v>0</v>
      </c>
      <c r="N18163">
        <v>0</v>
      </c>
    </row>
    <row r="18164" spans="1:15">
      <c r="A18164" t="s">
        <v>2829</v>
      </c>
      <c r="B18164" t="s">
        <v>11637</v>
      </c>
      <c r="C18164" t="s">
        <v>41068</v>
      </c>
      <c r="D18164" t="s">
        <v>55129</v>
      </c>
      <c r="E18164" t="b">
        <v>0</v>
      </c>
      <c r="F18164" t="s">
        <v>11624</v>
      </c>
      <c r="G18164">
        <v>15.3947</v>
      </c>
      <c r="H18164">
        <v>-61.364100000000001</v>
      </c>
      <c r="I18164" t="s">
        <v>2830</v>
      </c>
      <c r="L18164">
        <v>0</v>
      </c>
      <c r="M18164">
        <v>0</v>
      </c>
      <c r="N18164">
        <v>2</v>
      </c>
      <c r="O18164" t="s">
        <v>55130</v>
      </c>
    </row>
    <row r="18165" spans="1:15">
      <c r="A18165" t="s">
        <v>55131</v>
      </c>
      <c r="B18165" t="s">
        <v>11615</v>
      </c>
      <c r="C18165" t="s">
        <v>14715</v>
      </c>
      <c r="D18165" t="s">
        <v>55132</v>
      </c>
      <c r="E18165" t="b">
        <v>0</v>
      </c>
      <c r="F18165" t="s">
        <v>11610</v>
      </c>
      <c r="L18165">
        <v>0</v>
      </c>
      <c r="M18165">
        <v>0</v>
      </c>
      <c r="N18165">
        <v>0</v>
      </c>
    </row>
    <row r="18166" spans="1:15">
      <c r="A18166" t="s">
        <v>55133</v>
      </c>
      <c r="B18166" t="s">
        <v>11615</v>
      </c>
      <c r="C18166" t="s">
        <v>11616</v>
      </c>
      <c r="D18166" t="s">
        <v>55134</v>
      </c>
      <c r="E18166" t="b">
        <v>0</v>
      </c>
      <c r="F18166" t="s">
        <v>11610</v>
      </c>
      <c r="L18166">
        <v>0</v>
      </c>
      <c r="M18166">
        <v>0</v>
      </c>
      <c r="N18166">
        <v>0</v>
      </c>
    </row>
    <row r="18167" spans="1:15">
      <c r="A18167" t="s">
        <v>55135</v>
      </c>
      <c r="B18167" t="s">
        <v>11644</v>
      </c>
      <c r="C18167" t="s">
        <v>16039</v>
      </c>
      <c r="D18167" t="s">
        <v>55136</v>
      </c>
      <c r="E18167" t="b">
        <v>0</v>
      </c>
      <c r="F18167" t="s">
        <v>11610</v>
      </c>
      <c r="L18167">
        <v>0</v>
      </c>
      <c r="M18167">
        <v>0</v>
      </c>
      <c r="N18167">
        <v>0</v>
      </c>
    </row>
    <row r="18168" spans="1:15">
      <c r="A18168" t="s">
        <v>4443</v>
      </c>
      <c r="B18168" t="s">
        <v>367</v>
      </c>
      <c r="C18168" t="s">
        <v>38106</v>
      </c>
      <c r="D18168" t="s">
        <v>4442</v>
      </c>
      <c r="E18168" t="b">
        <v>0</v>
      </c>
      <c r="F18168" t="s">
        <v>11624</v>
      </c>
      <c r="G18168">
        <v>24.604299999999999</v>
      </c>
      <c r="H18168">
        <v>121.06699999999999</v>
      </c>
      <c r="I18168" t="s">
        <v>4444</v>
      </c>
      <c r="L18168">
        <v>0</v>
      </c>
      <c r="M18168">
        <v>0</v>
      </c>
      <c r="N18168">
        <v>2</v>
      </c>
      <c r="O18168" t="s">
        <v>13484</v>
      </c>
    </row>
    <row r="18169" spans="1:15">
      <c r="A18169" t="s">
        <v>55137</v>
      </c>
      <c r="B18169" t="s">
        <v>11644</v>
      </c>
      <c r="C18169" t="s">
        <v>16696</v>
      </c>
      <c r="D18169" t="s">
        <v>55138</v>
      </c>
      <c r="E18169" t="b">
        <v>0</v>
      </c>
      <c r="F18169" t="s">
        <v>11624</v>
      </c>
      <c r="G18169">
        <v>27.659500000000001</v>
      </c>
      <c r="H18169">
        <v>96.663300000000007</v>
      </c>
      <c r="I18169" t="s">
        <v>55139</v>
      </c>
      <c r="L18169">
        <v>0</v>
      </c>
      <c r="M18169">
        <v>0</v>
      </c>
      <c r="N18169">
        <v>0</v>
      </c>
      <c r="O18169" t="s">
        <v>11630</v>
      </c>
    </row>
    <row r="18170" spans="1:15">
      <c r="A18170" t="s">
        <v>39519</v>
      </c>
      <c r="B18170" t="s">
        <v>367</v>
      </c>
      <c r="C18170" t="s">
        <v>53734</v>
      </c>
      <c r="D18170" t="s">
        <v>55140</v>
      </c>
      <c r="E18170" t="b">
        <v>0</v>
      </c>
      <c r="F18170" t="s">
        <v>11624</v>
      </c>
      <c r="G18170">
        <v>2.43432</v>
      </c>
      <c r="H18170">
        <v>117.401</v>
      </c>
      <c r="I18170" t="s">
        <v>55141</v>
      </c>
      <c r="L18170">
        <v>0</v>
      </c>
      <c r="M18170">
        <v>0</v>
      </c>
      <c r="N18170">
        <v>4</v>
      </c>
      <c r="O18170" t="s">
        <v>11768</v>
      </c>
    </row>
    <row r="18171" spans="1:15">
      <c r="A18171" t="s">
        <v>55142</v>
      </c>
      <c r="B18171" t="s">
        <v>12438</v>
      </c>
      <c r="C18171" t="s">
        <v>5160</v>
      </c>
      <c r="D18171" t="s">
        <v>55143</v>
      </c>
      <c r="E18171" t="b">
        <v>0</v>
      </c>
      <c r="F18171" t="s">
        <v>11610</v>
      </c>
      <c r="L18171">
        <v>0</v>
      </c>
      <c r="M18171">
        <v>0</v>
      </c>
      <c r="N18171">
        <v>0</v>
      </c>
    </row>
    <row r="18172" spans="1:15">
      <c r="A18172" t="s">
        <v>36207</v>
      </c>
      <c r="B18172" t="s">
        <v>11644</v>
      </c>
      <c r="C18172" t="s">
        <v>18466</v>
      </c>
      <c r="D18172" t="s">
        <v>55144</v>
      </c>
      <c r="E18172" t="b">
        <v>0</v>
      </c>
      <c r="F18172" t="s">
        <v>11624</v>
      </c>
      <c r="G18172">
        <v>25.994</v>
      </c>
      <c r="H18172">
        <v>93.948999999999998</v>
      </c>
      <c r="I18172" t="s">
        <v>55145</v>
      </c>
      <c r="L18172">
        <v>0</v>
      </c>
      <c r="M18172">
        <v>0</v>
      </c>
      <c r="N18172">
        <v>3</v>
      </c>
      <c r="O18172" t="s">
        <v>11630</v>
      </c>
    </row>
    <row r="18173" spans="1:15">
      <c r="A18173" t="s">
        <v>55146</v>
      </c>
      <c r="B18173" t="s">
        <v>6742</v>
      </c>
      <c r="C18173" t="s">
        <v>41926</v>
      </c>
      <c r="D18173" t="s">
        <v>55147</v>
      </c>
      <c r="E18173" t="b">
        <v>0</v>
      </c>
      <c r="F18173" t="s">
        <v>11610</v>
      </c>
      <c r="L18173">
        <v>0</v>
      </c>
      <c r="M18173">
        <v>0</v>
      </c>
      <c r="N18173">
        <v>0</v>
      </c>
    </row>
    <row r="18174" spans="1:15">
      <c r="A18174" t="s">
        <v>55148</v>
      </c>
      <c r="B18174" t="s">
        <v>6742</v>
      </c>
      <c r="C18174" t="s">
        <v>27014</v>
      </c>
      <c r="D18174" t="s">
        <v>55149</v>
      </c>
      <c r="E18174" t="b">
        <v>0</v>
      </c>
      <c r="F18174" t="s">
        <v>11610</v>
      </c>
      <c r="L18174">
        <v>0</v>
      </c>
      <c r="M18174">
        <v>0</v>
      </c>
      <c r="N18174">
        <v>0</v>
      </c>
    </row>
    <row r="18175" spans="1:15">
      <c r="A18175" t="s">
        <v>55150</v>
      </c>
      <c r="B18175" t="s">
        <v>6742</v>
      </c>
      <c r="C18175" t="s">
        <v>32328</v>
      </c>
      <c r="D18175" t="s">
        <v>55151</v>
      </c>
      <c r="E18175" t="b">
        <v>0</v>
      </c>
      <c r="F18175" t="s">
        <v>11610</v>
      </c>
      <c r="L18175">
        <v>0</v>
      </c>
      <c r="M18175">
        <v>0</v>
      </c>
      <c r="N18175">
        <v>0</v>
      </c>
    </row>
    <row r="18176" spans="1:15">
      <c r="A18176" t="s">
        <v>15983</v>
      </c>
      <c r="B18176" t="s">
        <v>6742</v>
      </c>
      <c r="C18176" t="s">
        <v>19680</v>
      </c>
      <c r="D18176" t="s">
        <v>55152</v>
      </c>
      <c r="E18176" t="b">
        <v>0</v>
      </c>
      <c r="F18176" t="s">
        <v>11624</v>
      </c>
      <c r="G18176">
        <v>-2.8565299999999998</v>
      </c>
      <c r="H18176">
        <v>17.966899999999999</v>
      </c>
      <c r="I18176" t="s">
        <v>55153</v>
      </c>
      <c r="L18176">
        <v>0</v>
      </c>
      <c r="M18176">
        <v>0</v>
      </c>
      <c r="N18176">
        <v>3</v>
      </c>
      <c r="O18176" t="s">
        <v>14825</v>
      </c>
    </row>
    <row r="18177" spans="1:15">
      <c r="A18177" t="s">
        <v>55154</v>
      </c>
      <c r="B18177" t="s">
        <v>367</v>
      </c>
      <c r="C18177" t="s">
        <v>5322</v>
      </c>
      <c r="D18177" t="s">
        <v>55155</v>
      </c>
      <c r="E18177" t="b">
        <v>0</v>
      </c>
      <c r="F18177" t="s">
        <v>11610</v>
      </c>
      <c r="L18177">
        <v>0</v>
      </c>
      <c r="M18177">
        <v>0</v>
      </c>
      <c r="N18177">
        <v>0</v>
      </c>
    </row>
    <row r="18178" spans="1:15">
      <c r="A18178" t="s">
        <v>31333</v>
      </c>
      <c r="B18178" t="s">
        <v>367</v>
      </c>
      <c r="C18178" t="s">
        <v>14101</v>
      </c>
      <c r="D18178" t="s">
        <v>55156</v>
      </c>
      <c r="E18178" t="b">
        <v>0</v>
      </c>
      <c r="F18178" t="s">
        <v>11624</v>
      </c>
      <c r="G18178">
        <v>-15.075699999999999</v>
      </c>
      <c r="H18178">
        <v>167.05099999999999</v>
      </c>
      <c r="I18178" t="s">
        <v>55157</v>
      </c>
      <c r="L18178">
        <v>0</v>
      </c>
      <c r="M18178">
        <v>0</v>
      </c>
      <c r="N18178">
        <v>2</v>
      </c>
      <c r="O18178" t="s">
        <v>12719</v>
      </c>
    </row>
    <row r="18179" spans="1:15">
      <c r="A18179" t="s">
        <v>55158</v>
      </c>
      <c r="B18179" t="s">
        <v>367</v>
      </c>
      <c r="C18179" t="s">
        <v>28714</v>
      </c>
      <c r="D18179" t="s">
        <v>55159</v>
      </c>
      <c r="E18179" t="b">
        <v>0</v>
      </c>
      <c r="F18179" t="s">
        <v>11610</v>
      </c>
      <c r="L18179">
        <v>0</v>
      </c>
      <c r="M18179">
        <v>0</v>
      </c>
      <c r="N18179">
        <v>0</v>
      </c>
    </row>
    <row r="18180" spans="1:15">
      <c r="A18180" t="s">
        <v>2085</v>
      </c>
      <c r="B18180" t="s">
        <v>367</v>
      </c>
      <c r="C18180" t="s">
        <v>43247</v>
      </c>
      <c r="D18180" t="s">
        <v>55160</v>
      </c>
      <c r="E18180" t="b">
        <v>0</v>
      </c>
      <c r="F18180" t="s">
        <v>11624</v>
      </c>
      <c r="G18180">
        <v>-20.28</v>
      </c>
      <c r="H18180">
        <v>44.32</v>
      </c>
      <c r="I18180" t="s">
        <v>2086</v>
      </c>
      <c r="L18180">
        <v>0</v>
      </c>
      <c r="M18180">
        <v>0</v>
      </c>
      <c r="N18180">
        <v>0</v>
      </c>
      <c r="O18180" t="s">
        <v>14012</v>
      </c>
    </row>
    <row r="18181" spans="1:15">
      <c r="A18181" t="s">
        <v>55161</v>
      </c>
      <c r="B18181" t="s">
        <v>11615</v>
      </c>
      <c r="C18181" t="s">
        <v>55162</v>
      </c>
      <c r="D18181" t="s">
        <v>55163</v>
      </c>
      <c r="E18181" t="b">
        <v>0</v>
      </c>
      <c r="F18181" t="s">
        <v>11624</v>
      </c>
      <c r="G18181">
        <v>-6.1872600000000002</v>
      </c>
      <c r="H18181">
        <v>146.702</v>
      </c>
      <c r="I18181" t="s">
        <v>55164</v>
      </c>
      <c r="L18181">
        <v>0</v>
      </c>
      <c r="M18181">
        <v>0</v>
      </c>
      <c r="N18181">
        <v>0</v>
      </c>
      <c r="O18181" t="s">
        <v>11660</v>
      </c>
    </row>
    <row r="18182" spans="1:15">
      <c r="A18182" t="s">
        <v>55165</v>
      </c>
      <c r="B18182" t="s">
        <v>11607</v>
      </c>
      <c r="C18182" t="s">
        <v>17050</v>
      </c>
      <c r="D18182" t="s">
        <v>55166</v>
      </c>
      <c r="E18182" t="b">
        <v>0</v>
      </c>
      <c r="F18182" t="s">
        <v>11610</v>
      </c>
      <c r="L18182">
        <v>0</v>
      </c>
      <c r="M18182">
        <v>0</v>
      </c>
      <c r="N18182">
        <v>0</v>
      </c>
    </row>
    <row r="18183" spans="1:15">
      <c r="A18183" t="s">
        <v>55162</v>
      </c>
      <c r="B18183" t="s">
        <v>11615</v>
      </c>
      <c r="C18183" t="s">
        <v>50267</v>
      </c>
      <c r="D18183" t="s">
        <v>55167</v>
      </c>
      <c r="E18183" t="b">
        <v>0</v>
      </c>
      <c r="F18183" t="s">
        <v>11622</v>
      </c>
      <c r="L18183">
        <v>0</v>
      </c>
      <c r="M18183">
        <v>2</v>
      </c>
      <c r="N18183">
        <v>0</v>
      </c>
    </row>
    <row r="18184" spans="1:15">
      <c r="A18184" t="s">
        <v>36330</v>
      </c>
      <c r="B18184" t="s">
        <v>11637</v>
      </c>
      <c r="C18184" t="s">
        <v>2187</v>
      </c>
      <c r="D18184" t="s">
        <v>55168</v>
      </c>
      <c r="E18184" t="b">
        <v>0</v>
      </c>
      <c r="F18184" t="s">
        <v>11622</v>
      </c>
      <c r="L18184">
        <v>0</v>
      </c>
      <c r="M18184">
        <v>2</v>
      </c>
      <c r="N18184">
        <v>0</v>
      </c>
    </row>
    <row r="18185" spans="1:15">
      <c r="A18185" t="s">
        <v>43247</v>
      </c>
      <c r="B18185" t="s">
        <v>367</v>
      </c>
      <c r="C18185" t="s">
        <v>41708</v>
      </c>
      <c r="D18185" t="s">
        <v>55169</v>
      </c>
      <c r="E18185" t="b">
        <v>0</v>
      </c>
      <c r="F18185" t="s">
        <v>11622</v>
      </c>
      <c r="L18185">
        <v>0</v>
      </c>
      <c r="M18185">
        <v>2</v>
      </c>
      <c r="N18185">
        <v>2</v>
      </c>
    </row>
    <row r="18186" spans="1:15">
      <c r="A18186" t="s">
        <v>55170</v>
      </c>
      <c r="B18186" t="s">
        <v>11627</v>
      </c>
      <c r="C18186" t="s">
        <v>11627</v>
      </c>
      <c r="D18186" t="s">
        <v>55171</v>
      </c>
      <c r="E18186" t="b">
        <v>1</v>
      </c>
      <c r="F18186" t="s">
        <v>11624</v>
      </c>
      <c r="I18186" t="s">
        <v>55172</v>
      </c>
      <c r="L18186">
        <v>0</v>
      </c>
      <c r="M18186">
        <v>0</v>
      </c>
      <c r="N18186">
        <v>0</v>
      </c>
    </row>
    <row r="18187" spans="1:15">
      <c r="A18187" t="s">
        <v>55173</v>
      </c>
      <c r="B18187" t="s">
        <v>11644</v>
      </c>
      <c r="C18187" t="s">
        <v>36207</v>
      </c>
      <c r="D18187" t="s">
        <v>55174</v>
      </c>
      <c r="E18187" t="b">
        <v>0</v>
      </c>
      <c r="F18187" t="s">
        <v>11610</v>
      </c>
      <c r="L18187">
        <v>0</v>
      </c>
      <c r="M18187">
        <v>0</v>
      </c>
      <c r="N18187">
        <v>0</v>
      </c>
    </row>
    <row r="18188" spans="1:15">
      <c r="A18188" t="s">
        <v>55175</v>
      </c>
      <c r="B18188" t="s">
        <v>6742</v>
      </c>
      <c r="C18188" t="s">
        <v>46760</v>
      </c>
      <c r="D18188" t="s">
        <v>55176</v>
      </c>
      <c r="E18188" t="b">
        <v>0</v>
      </c>
      <c r="F18188" t="s">
        <v>11624</v>
      </c>
      <c r="G18188">
        <v>0.25187999999999999</v>
      </c>
      <c r="H18188">
        <v>11.787000000000001</v>
      </c>
      <c r="I18188" t="s">
        <v>55177</v>
      </c>
      <c r="L18188">
        <v>0</v>
      </c>
      <c r="M18188">
        <v>0</v>
      </c>
      <c r="N18188">
        <v>0</v>
      </c>
      <c r="O18188" t="s">
        <v>16915</v>
      </c>
    </row>
    <row r="18189" spans="1:15">
      <c r="A18189" t="s">
        <v>55178</v>
      </c>
      <c r="B18189" t="s">
        <v>367</v>
      </c>
      <c r="C18189" t="s">
        <v>12753</v>
      </c>
      <c r="D18189" t="s">
        <v>55179</v>
      </c>
      <c r="E18189" t="b">
        <v>0</v>
      </c>
      <c r="F18189" t="s">
        <v>11610</v>
      </c>
      <c r="L18189">
        <v>0</v>
      </c>
      <c r="M18189">
        <v>0</v>
      </c>
      <c r="N18189">
        <v>0</v>
      </c>
    </row>
    <row r="18190" spans="1:15">
      <c r="A18190" t="s">
        <v>46760</v>
      </c>
      <c r="B18190" t="s">
        <v>6742</v>
      </c>
      <c r="C18190" t="s">
        <v>29731</v>
      </c>
      <c r="D18190" t="s">
        <v>55180</v>
      </c>
      <c r="E18190" t="b">
        <v>0</v>
      </c>
      <c r="F18190" t="s">
        <v>11622</v>
      </c>
      <c r="L18190">
        <v>0</v>
      </c>
      <c r="M18190">
        <v>2</v>
      </c>
      <c r="N18190">
        <v>0</v>
      </c>
    </row>
    <row r="18191" spans="1:15">
      <c r="A18191" t="s">
        <v>55181</v>
      </c>
      <c r="B18191" t="s">
        <v>85</v>
      </c>
      <c r="C18191" t="s">
        <v>85</v>
      </c>
      <c r="D18191" t="s">
        <v>55182</v>
      </c>
      <c r="E18191" t="b">
        <v>0</v>
      </c>
      <c r="F18191" t="s">
        <v>11624</v>
      </c>
      <c r="G18191">
        <v>48.141866</v>
      </c>
      <c r="H18191">
        <v>142.32983400000001</v>
      </c>
      <c r="L18191">
        <v>0</v>
      </c>
      <c r="M18191">
        <v>0</v>
      </c>
      <c r="N18191">
        <v>0</v>
      </c>
      <c r="O18191" t="s">
        <v>12539</v>
      </c>
    </row>
    <row r="18192" spans="1:15">
      <c r="A18192" t="s">
        <v>55183</v>
      </c>
      <c r="B18192" t="s">
        <v>367</v>
      </c>
      <c r="C18192" t="s">
        <v>13483</v>
      </c>
      <c r="D18192" t="s">
        <v>55184</v>
      </c>
      <c r="E18192" t="b">
        <v>0</v>
      </c>
      <c r="F18192" t="s">
        <v>11624</v>
      </c>
      <c r="G18192">
        <v>24.026316000000001</v>
      </c>
      <c r="H18192">
        <v>121.53139400000001</v>
      </c>
      <c r="L18192">
        <v>0</v>
      </c>
      <c r="M18192">
        <v>0</v>
      </c>
      <c r="N18192">
        <v>0</v>
      </c>
    </row>
    <row r="18193" spans="1:15">
      <c r="A18193" t="s">
        <v>55185</v>
      </c>
      <c r="B18193" t="s">
        <v>11912</v>
      </c>
      <c r="C18193" t="s">
        <v>12848</v>
      </c>
      <c r="D18193" t="s">
        <v>55186</v>
      </c>
      <c r="E18193" t="b">
        <v>0</v>
      </c>
      <c r="F18193" t="s">
        <v>11624</v>
      </c>
      <c r="G18193">
        <v>-13.054</v>
      </c>
      <c r="H18193">
        <v>-62.092700000000001</v>
      </c>
      <c r="I18193" t="s">
        <v>55187</v>
      </c>
      <c r="L18193">
        <v>0</v>
      </c>
      <c r="M18193">
        <v>0</v>
      </c>
      <c r="N18193">
        <v>0</v>
      </c>
      <c r="O18193" t="s">
        <v>11969</v>
      </c>
    </row>
    <row r="18194" spans="1:15">
      <c r="A18194" t="s">
        <v>55188</v>
      </c>
      <c r="B18194" t="s">
        <v>11615</v>
      </c>
      <c r="C18194" t="s">
        <v>41739</v>
      </c>
      <c r="D18194" t="s">
        <v>55189</v>
      </c>
      <c r="E18194" t="b">
        <v>0</v>
      </c>
      <c r="F18194" t="s">
        <v>11610</v>
      </c>
      <c r="L18194">
        <v>0</v>
      </c>
      <c r="M18194">
        <v>0</v>
      </c>
      <c r="N18194">
        <v>0</v>
      </c>
    </row>
    <row r="18195" spans="1:15">
      <c r="A18195" t="s">
        <v>13751</v>
      </c>
      <c r="B18195" t="s">
        <v>11644</v>
      </c>
      <c r="C18195" t="s">
        <v>33545</v>
      </c>
      <c r="D18195" t="s">
        <v>55190</v>
      </c>
      <c r="E18195" t="b">
        <v>0</v>
      </c>
      <c r="F18195" t="s">
        <v>11622</v>
      </c>
      <c r="L18195">
        <v>2</v>
      </c>
      <c r="M18195">
        <v>6</v>
      </c>
      <c r="N18195">
        <v>8</v>
      </c>
    </row>
    <row r="18196" spans="1:15">
      <c r="A18196" t="s">
        <v>55191</v>
      </c>
      <c r="B18196" t="s">
        <v>12686</v>
      </c>
      <c r="C18196" t="s">
        <v>18105</v>
      </c>
      <c r="D18196" t="s">
        <v>55192</v>
      </c>
      <c r="E18196" t="b">
        <v>0</v>
      </c>
      <c r="F18196" t="s">
        <v>11610</v>
      </c>
      <c r="L18196">
        <v>0</v>
      </c>
      <c r="M18196">
        <v>0</v>
      </c>
      <c r="N18196">
        <v>0</v>
      </c>
    </row>
    <row r="18197" spans="1:15">
      <c r="A18197" t="s">
        <v>55193</v>
      </c>
      <c r="B18197" t="s">
        <v>11644</v>
      </c>
      <c r="C18197" t="s">
        <v>20924</v>
      </c>
      <c r="D18197" t="s">
        <v>55194</v>
      </c>
      <c r="E18197" t="b">
        <v>0</v>
      </c>
      <c r="F18197" t="s">
        <v>11610</v>
      </c>
      <c r="L18197">
        <v>0</v>
      </c>
      <c r="M18197">
        <v>0</v>
      </c>
      <c r="N18197">
        <v>0</v>
      </c>
    </row>
    <row r="18198" spans="1:15">
      <c r="A18198" t="s">
        <v>48496</v>
      </c>
      <c r="B18198" t="s">
        <v>5126</v>
      </c>
      <c r="C18198" t="s">
        <v>39410</v>
      </c>
      <c r="D18198" t="s">
        <v>55195</v>
      </c>
      <c r="E18198" t="b">
        <v>0</v>
      </c>
      <c r="F18198" t="s">
        <v>11622</v>
      </c>
      <c r="L18198">
        <v>0</v>
      </c>
      <c r="M18198">
        <v>2</v>
      </c>
      <c r="N18198">
        <v>3</v>
      </c>
    </row>
    <row r="18199" spans="1:15">
      <c r="A18199" t="s">
        <v>55196</v>
      </c>
      <c r="B18199" t="s">
        <v>6742</v>
      </c>
      <c r="C18199" t="s">
        <v>35060</v>
      </c>
      <c r="D18199" t="s">
        <v>55197</v>
      </c>
      <c r="E18199" t="b">
        <v>0</v>
      </c>
      <c r="F18199" t="s">
        <v>11610</v>
      </c>
      <c r="L18199">
        <v>0</v>
      </c>
      <c r="M18199">
        <v>0</v>
      </c>
      <c r="N18199">
        <v>0</v>
      </c>
    </row>
    <row r="18200" spans="1:15">
      <c r="A18200" t="s">
        <v>55198</v>
      </c>
      <c r="B18200" t="s">
        <v>11607</v>
      </c>
      <c r="C18200" t="s">
        <v>14623</v>
      </c>
      <c r="D18200" t="s">
        <v>55199</v>
      </c>
      <c r="E18200" t="b">
        <v>0</v>
      </c>
      <c r="F18200" t="s">
        <v>11610</v>
      </c>
      <c r="L18200">
        <v>0</v>
      </c>
      <c r="M18200">
        <v>0</v>
      </c>
      <c r="N18200">
        <v>0</v>
      </c>
    </row>
    <row r="18201" spans="1:15">
      <c r="A18201" t="s">
        <v>55200</v>
      </c>
      <c r="B18201" t="s">
        <v>11637</v>
      </c>
      <c r="C18201" t="s">
        <v>15714</v>
      </c>
      <c r="D18201" t="s">
        <v>55201</v>
      </c>
      <c r="E18201" t="b">
        <v>0</v>
      </c>
      <c r="F18201" t="s">
        <v>11610</v>
      </c>
      <c r="L18201">
        <v>0</v>
      </c>
      <c r="M18201">
        <v>0</v>
      </c>
      <c r="N18201">
        <v>0</v>
      </c>
    </row>
    <row r="18202" spans="1:15">
      <c r="A18202" t="s">
        <v>33498</v>
      </c>
      <c r="B18202" t="s">
        <v>331</v>
      </c>
      <c r="C18202" t="s">
        <v>50215</v>
      </c>
      <c r="D18202" t="s">
        <v>6216</v>
      </c>
      <c r="E18202" t="b">
        <v>0</v>
      </c>
      <c r="F18202" t="s">
        <v>11624</v>
      </c>
      <c r="G18202">
        <v>35.545699999999997</v>
      </c>
      <c r="H18202">
        <v>102.819</v>
      </c>
      <c r="I18202" t="s">
        <v>55202</v>
      </c>
      <c r="L18202">
        <v>0</v>
      </c>
      <c r="M18202">
        <v>0</v>
      </c>
      <c r="N18202">
        <v>2</v>
      </c>
      <c r="O18202" t="s">
        <v>11905</v>
      </c>
    </row>
    <row r="18203" spans="1:15">
      <c r="A18203" t="s">
        <v>55203</v>
      </c>
      <c r="B18203" t="s">
        <v>12311</v>
      </c>
      <c r="C18203" t="s">
        <v>13678</v>
      </c>
      <c r="D18203" t="s">
        <v>55204</v>
      </c>
      <c r="E18203" t="b">
        <v>0</v>
      </c>
      <c r="F18203" t="s">
        <v>11610</v>
      </c>
      <c r="L18203">
        <v>0</v>
      </c>
      <c r="M18203">
        <v>0</v>
      </c>
      <c r="N18203">
        <v>0</v>
      </c>
    </row>
    <row r="18204" spans="1:15">
      <c r="A18204" t="s">
        <v>55205</v>
      </c>
      <c r="B18204" t="s">
        <v>6742</v>
      </c>
      <c r="C18204" t="s">
        <v>32212</v>
      </c>
      <c r="D18204" t="s">
        <v>55206</v>
      </c>
      <c r="E18204" t="b">
        <v>0</v>
      </c>
      <c r="F18204" t="s">
        <v>11624</v>
      </c>
      <c r="G18204">
        <v>-15.5848</v>
      </c>
      <c r="H18204">
        <v>27.453399999999998</v>
      </c>
      <c r="I18204" t="s">
        <v>55207</v>
      </c>
      <c r="L18204">
        <v>0</v>
      </c>
      <c r="M18204">
        <v>0</v>
      </c>
      <c r="N18204">
        <v>0</v>
      </c>
      <c r="O18204" t="s">
        <v>32215</v>
      </c>
    </row>
    <row r="18205" spans="1:15">
      <c r="A18205" t="s">
        <v>41205</v>
      </c>
      <c r="B18205" t="s">
        <v>6742</v>
      </c>
      <c r="C18205" t="s">
        <v>41191</v>
      </c>
      <c r="D18205" t="s">
        <v>55208</v>
      </c>
      <c r="E18205" t="b">
        <v>0</v>
      </c>
      <c r="F18205" t="s">
        <v>11624</v>
      </c>
      <c r="G18205">
        <v>-5.44937</v>
      </c>
      <c r="H18205">
        <v>23.150200000000002</v>
      </c>
      <c r="I18205" t="s">
        <v>55209</v>
      </c>
      <c r="L18205">
        <v>0</v>
      </c>
      <c r="M18205">
        <v>0</v>
      </c>
      <c r="N18205">
        <v>1</v>
      </c>
      <c r="O18205" t="s">
        <v>31379</v>
      </c>
    </row>
    <row r="18206" spans="1:15">
      <c r="A18206" t="s">
        <v>55210</v>
      </c>
      <c r="B18206" t="s">
        <v>367</v>
      </c>
      <c r="C18206" t="s">
        <v>17974</v>
      </c>
      <c r="D18206" t="s">
        <v>55211</v>
      </c>
      <c r="E18206" t="b">
        <v>0</v>
      </c>
      <c r="F18206" t="s">
        <v>11624</v>
      </c>
      <c r="G18206">
        <v>-3.1465399999999999</v>
      </c>
      <c r="H18206">
        <v>130.53</v>
      </c>
      <c r="I18206" t="s">
        <v>55212</v>
      </c>
      <c r="L18206">
        <v>0</v>
      </c>
      <c r="M18206">
        <v>0</v>
      </c>
      <c r="N18206">
        <v>0</v>
      </c>
      <c r="O18206" t="s">
        <v>11768</v>
      </c>
    </row>
    <row r="18207" spans="1:15">
      <c r="A18207" t="s">
        <v>55213</v>
      </c>
      <c r="B18207" t="s">
        <v>367</v>
      </c>
      <c r="C18207" t="s">
        <v>13191</v>
      </c>
      <c r="D18207" t="s">
        <v>55214</v>
      </c>
      <c r="E18207" t="b">
        <v>0</v>
      </c>
      <c r="F18207" t="s">
        <v>11610</v>
      </c>
      <c r="L18207">
        <v>0</v>
      </c>
      <c r="M18207">
        <v>0</v>
      </c>
      <c r="N18207">
        <v>0</v>
      </c>
    </row>
    <row r="18208" spans="1:15">
      <c r="A18208" t="s">
        <v>55215</v>
      </c>
      <c r="B18208" t="s">
        <v>367</v>
      </c>
      <c r="C18208" t="s">
        <v>20543</v>
      </c>
      <c r="D18208" t="s">
        <v>55216</v>
      </c>
      <c r="E18208" t="b">
        <v>0</v>
      </c>
      <c r="F18208" t="s">
        <v>11610</v>
      </c>
      <c r="L18208">
        <v>0</v>
      </c>
      <c r="M18208">
        <v>0</v>
      </c>
      <c r="N18208">
        <v>0</v>
      </c>
    </row>
    <row r="18209" spans="1:15">
      <c r="A18209" t="s">
        <v>55217</v>
      </c>
      <c r="B18209" t="s">
        <v>141</v>
      </c>
      <c r="C18209" t="s">
        <v>20941</v>
      </c>
      <c r="D18209" t="s">
        <v>55218</v>
      </c>
      <c r="E18209" t="b">
        <v>0</v>
      </c>
      <c r="F18209" t="s">
        <v>11624</v>
      </c>
      <c r="G18209">
        <v>-1.3544700000000001</v>
      </c>
      <c r="H18209">
        <v>-78.395300000000006</v>
      </c>
      <c r="I18209" t="s">
        <v>55219</v>
      </c>
      <c r="L18209">
        <v>0</v>
      </c>
      <c r="M18209">
        <v>0</v>
      </c>
      <c r="N18209">
        <v>0</v>
      </c>
      <c r="O18209" t="s">
        <v>14946</v>
      </c>
    </row>
    <row r="18210" spans="1:15">
      <c r="A18210" t="s">
        <v>55220</v>
      </c>
      <c r="B18210" t="s">
        <v>11912</v>
      </c>
      <c r="C18210" t="s">
        <v>28733</v>
      </c>
      <c r="D18210" t="s">
        <v>55221</v>
      </c>
      <c r="E18210" t="b">
        <v>0</v>
      </c>
      <c r="F18210" t="s">
        <v>11624</v>
      </c>
      <c r="G18210">
        <v>-12.049899999999999</v>
      </c>
      <c r="H18210">
        <v>-61.25</v>
      </c>
      <c r="I18210" t="s">
        <v>55222</v>
      </c>
      <c r="L18210">
        <v>0</v>
      </c>
      <c r="M18210">
        <v>0</v>
      </c>
      <c r="N18210">
        <v>0</v>
      </c>
      <c r="O18210" t="s">
        <v>11969</v>
      </c>
    </row>
    <row r="18211" spans="1:15">
      <c r="A18211" t="s">
        <v>55223</v>
      </c>
      <c r="B18211" t="s">
        <v>11607</v>
      </c>
      <c r="C18211" t="s">
        <v>14623</v>
      </c>
      <c r="D18211" t="s">
        <v>55224</v>
      </c>
      <c r="E18211" t="b">
        <v>0</v>
      </c>
      <c r="F18211" t="s">
        <v>11610</v>
      </c>
      <c r="L18211">
        <v>0</v>
      </c>
      <c r="M18211">
        <v>0</v>
      </c>
      <c r="N18211">
        <v>0</v>
      </c>
    </row>
    <row r="18212" spans="1:15">
      <c r="A18212" t="s">
        <v>55225</v>
      </c>
      <c r="B18212" t="s">
        <v>11607</v>
      </c>
      <c r="C18212" t="s">
        <v>17620</v>
      </c>
      <c r="D18212" t="s">
        <v>55226</v>
      </c>
      <c r="E18212" t="b">
        <v>0</v>
      </c>
      <c r="F18212" t="s">
        <v>11610</v>
      </c>
      <c r="L18212">
        <v>0</v>
      </c>
      <c r="M18212">
        <v>0</v>
      </c>
      <c r="N18212">
        <v>0</v>
      </c>
    </row>
    <row r="18213" spans="1:15">
      <c r="A18213" t="s">
        <v>55227</v>
      </c>
      <c r="B18213" t="s">
        <v>11637</v>
      </c>
      <c r="C18213" t="s">
        <v>17015</v>
      </c>
      <c r="D18213" t="s">
        <v>55228</v>
      </c>
      <c r="E18213" t="b">
        <v>0</v>
      </c>
      <c r="F18213" t="s">
        <v>11610</v>
      </c>
      <c r="L18213">
        <v>0</v>
      </c>
      <c r="M18213">
        <v>0</v>
      </c>
      <c r="N18213">
        <v>0</v>
      </c>
    </row>
    <row r="18214" spans="1:15">
      <c r="A18214" t="s">
        <v>55229</v>
      </c>
      <c r="B18214" t="s">
        <v>331</v>
      </c>
      <c r="C18214" t="s">
        <v>15529</v>
      </c>
      <c r="D18214" t="s">
        <v>55230</v>
      </c>
      <c r="E18214" t="b">
        <v>0</v>
      </c>
      <c r="F18214" t="s">
        <v>11624</v>
      </c>
      <c r="G18214">
        <v>37.039200000000001</v>
      </c>
      <c r="H18214">
        <v>47.348700000000001</v>
      </c>
      <c r="I18214" t="s">
        <v>55231</v>
      </c>
      <c r="L18214">
        <v>0</v>
      </c>
      <c r="M18214">
        <v>0</v>
      </c>
      <c r="N18214">
        <v>0</v>
      </c>
      <c r="O18214" t="s">
        <v>13225</v>
      </c>
    </row>
    <row r="18215" spans="1:15">
      <c r="A18215" t="s">
        <v>55232</v>
      </c>
      <c r="B18215" t="s">
        <v>11844</v>
      </c>
      <c r="C18215" t="s">
        <v>2278</v>
      </c>
      <c r="D18215" t="s">
        <v>55233</v>
      </c>
      <c r="E18215" t="b">
        <v>0</v>
      </c>
      <c r="F18215" t="s">
        <v>11610</v>
      </c>
      <c r="L18215">
        <v>0</v>
      </c>
      <c r="M18215">
        <v>0</v>
      </c>
      <c r="N18215">
        <v>0</v>
      </c>
    </row>
    <row r="18216" spans="1:15">
      <c r="A18216" t="s">
        <v>55234</v>
      </c>
      <c r="B18216" t="s">
        <v>367</v>
      </c>
      <c r="C18216" t="s">
        <v>31682</v>
      </c>
      <c r="D18216" t="s">
        <v>55235</v>
      </c>
      <c r="E18216" t="b">
        <v>0</v>
      </c>
      <c r="F18216" t="s">
        <v>11624</v>
      </c>
      <c r="G18216">
        <v>-2.8254800000000002</v>
      </c>
      <c r="H18216">
        <v>129.42699999999999</v>
      </c>
      <c r="I18216" t="s">
        <v>55236</v>
      </c>
      <c r="L18216">
        <v>0</v>
      </c>
      <c r="M18216">
        <v>0</v>
      </c>
      <c r="N18216">
        <v>0</v>
      </c>
      <c r="O18216" t="s">
        <v>11768</v>
      </c>
    </row>
    <row r="18217" spans="1:15">
      <c r="A18217" t="s">
        <v>55237</v>
      </c>
      <c r="D18217" t="s">
        <v>55238</v>
      </c>
      <c r="E18217" t="b">
        <v>0</v>
      </c>
      <c r="F18217" t="s">
        <v>11624</v>
      </c>
      <c r="G18217">
        <v>37.6646</v>
      </c>
      <c r="H18217">
        <v>-121.718</v>
      </c>
      <c r="I18217" t="s">
        <v>55239</v>
      </c>
      <c r="L18217">
        <v>0</v>
      </c>
      <c r="M18217">
        <v>0</v>
      </c>
      <c r="N18217">
        <v>0</v>
      </c>
      <c r="O18217" t="s">
        <v>11944</v>
      </c>
    </row>
    <row r="18218" spans="1:15">
      <c r="A18218" t="s">
        <v>9071</v>
      </c>
      <c r="D18218" t="s">
        <v>55240</v>
      </c>
      <c r="E18218" t="b">
        <v>0</v>
      </c>
      <c r="F18218" t="s">
        <v>11622</v>
      </c>
      <c r="L18218">
        <v>10</v>
      </c>
      <c r="M18218">
        <v>25</v>
      </c>
      <c r="N18218">
        <v>38</v>
      </c>
    </row>
    <row r="18219" spans="1:15">
      <c r="A18219" t="s">
        <v>40449</v>
      </c>
      <c r="B18219" t="s">
        <v>367</v>
      </c>
      <c r="C18219" t="s">
        <v>55241</v>
      </c>
      <c r="D18219" t="s">
        <v>55242</v>
      </c>
      <c r="E18219" t="b">
        <v>0</v>
      </c>
      <c r="F18219" t="s">
        <v>11624</v>
      </c>
      <c r="G18219">
        <v>-10.614800000000001</v>
      </c>
      <c r="H18219">
        <v>150.727</v>
      </c>
      <c r="I18219" t="s">
        <v>55243</v>
      </c>
      <c r="L18219">
        <v>0</v>
      </c>
      <c r="M18219">
        <v>0</v>
      </c>
      <c r="N18219">
        <v>2</v>
      </c>
      <c r="O18219" t="s">
        <v>11660</v>
      </c>
    </row>
    <row r="18220" spans="1:15">
      <c r="A18220" t="s">
        <v>55244</v>
      </c>
      <c r="B18220" t="s">
        <v>11839</v>
      </c>
      <c r="C18220" t="s">
        <v>39117</v>
      </c>
      <c r="D18220" t="s">
        <v>55245</v>
      </c>
      <c r="E18220" t="b">
        <v>0</v>
      </c>
      <c r="F18220" t="s">
        <v>11610</v>
      </c>
      <c r="L18220">
        <v>0</v>
      </c>
      <c r="M18220">
        <v>0</v>
      </c>
      <c r="N18220">
        <v>0</v>
      </c>
    </row>
    <row r="18221" spans="1:15">
      <c r="A18221" t="s">
        <v>41474</v>
      </c>
      <c r="B18221" t="s">
        <v>33623</v>
      </c>
      <c r="C18221" t="s">
        <v>33623</v>
      </c>
      <c r="D18221" t="s">
        <v>55246</v>
      </c>
      <c r="E18221" t="b">
        <v>0</v>
      </c>
      <c r="F18221" t="s">
        <v>11622</v>
      </c>
      <c r="L18221">
        <v>1</v>
      </c>
      <c r="M18221">
        <v>3</v>
      </c>
      <c r="N18221">
        <v>0</v>
      </c>
    </row>
    <row r="18222" spans="1:15">
      <c r="A18222" t="s">
        <v>55247</v>
      </c>
      <c r="B18222" t="s">
        <v>33623</v>
      </c>
      <c r="C18222" t="s">
        <v>41474</v>
      </c>
      <c r="D18222" t="s">
        <v>55248</v>
      </c>
      <c r="E18222" t="b">
        <v>0</v>
      </c>
      <c r="F18222" t="s">
        <v>11624</v>
      </c>
      <c r="G18222">
        <v>5.3011499999999998</v>
      </c>
      <c r="H18222">
        <v>-69.384299999999996</v>
      </c>
      <c r="I18222" t="s">
        <v>55249</v>
      </c>
      <c r="L18222">
        <v>0</v>
      </c>
      <c r="M18222">
        <v>0</v>
      </c>
      <c r="N18222">
        <v>0</v>
      </c>
      <c r="O18222" t="s">
        <v>17099</v>
      </c>
    </row>
    <row r="18223" spans="1:15">
      <c r="A18223" t="s">
        <v>55250</v>
      </c>
      <c r="B18223" t="s">
        <v>6455</v>
      </c>
      <c r="C18223" t="s">
        <v>13555</v>
      </c>
      <c r="D18223" t="s">
        <v>55251</v>
      </c>
      <c r="E18223" t="b">
        <v>0</v>
      </c>
      <c r="F18223" t="s">
        <v>11610</v>
      </c>
      <c r="L18223">
        <v>0</v>
      </c>
      <c r="M18223">
        <v>0</v>
      </c>
      <c r="N18223">
        <v>0</v>
      </c>
    </row>
    <row r="18224" spans="1:15">
      <c r="A18224" t="s">
        <v>55252</v>
      </c>
      <c r="B18224" t="s">
        <v>11637</v>
      </c>
      <c r="C18224" t="s">
        <v>11936</v>
      </c>
      <c r="D18224" t="s">
        <v>55253</v>
      </c>
      <c r="E18224" t="b">
        <v>0</v>
      </c>
      <c r="F18224" t="s">
        <v>11610</v>
      </c>
      <c r="G18224">
        <v>52.4482</v>
      </c>
      <c r="H18224">
        <v>6.2910399999999997</v>
      </c>
      <c r="I18224" t="s">
        <v>55254</v>
      </c>
      <c r="L18224">
        <v>0</v>
      </c>
      <c r="M18224">
        <v>0</v>
      </c>
      <c r="N18224">
        <v>0</v>
      </c>
      <c r="O18224" t="s">
        <v>11939</v>
      </c>
    </row>
    <row r="18225" spans="1:15">
      <c r="A18225" t="s">
        <v>55255</v>
      </c>
      <c r="B18225" t="s">
        <v>11607</v>
      </c>
      <c r="C18225" t="s">
        <v>13632</v>
      </c>
      <c r="D18225" t="s">
        <v>55256</v>
      </c>
      <c r="E18225" t="b">
        <v>0</v>
      </c>
      <c r="F18225" t="s">
        <v>11610</v>
      </c>
      <c r="L18225">
        <v>0</v>
      </c>
      <c r="M18225">
        <v>0</v>
      </c>
      <c r="N18225">
        <v>0</v>
      </c>
    </row>
    <row r="18226" spans="1:15">
      <c r="A18226" t="s">
        <v>55257</v>
      </c>
      <c r="B18226" t="s">
        <v>367</v>
      </c>
      <c r="C18226" t="s">
        <v>24121</v>
      </c>
      <c r="D18226" t="s">
        <v>55258</v>
      </c>
      <c r="E18226" t="b">
        <v>0</v>
      </c>
      <c r="F18226" t="s">
        <v>11610</v>
      </c>
      <c r="L18226">
        <v>0</v>
      </c>
      <c r="M18226">
        <v>0</v>
      </c>
      <c r="N18226">
        <v>0</v>
      </c>
    </row>
    <row r="18227" spans="1:15">
      <c r="A18227" t="s">
        <v>55259</v>
      </c>
      <c r="B18227" t="s">
        <v>11615</v>
      </c>
      <c r="C18227" t="s">
        <v>29487</v>
      </c>
      <c r="D18227" t="s">
        <v>55260</v>
      </c>
      <c r="E18227" t="b">
        <v>0</v>
      </c>
      <c r="F18227" t="s">
        <v>11624</v>
      </c>
      <c r="G18227">
        <v>-6.2651899999999996</v>
      </c>
      <c r="H18227">
        <v>145.02099999999999</v>
      </c>
      <c r="I18227" t="s">
        <v>55261</v>
      </c>
      <c r="L18227">
        <v>0</v>
      </c>
      <c r="M18227">
        <v>0</v>
      </c>
      <c r="N18227">
        <v>0</v>
      </c>
      <c r="O18227" t="s">
        <v>11660</v>
      </c>
    </row>
    <row r="18228" spans="1:15">
      <c r="A18228" t="s">
        <v>55262</v>
      </c>
      <c r="B18228" t="s">
        <v>367</v>
      </c>
      <c r="C18228" t="s">
        <v>16411</v>
      </c>
      <c r="D18228" t="s">
        <v>55263</v>
      </c>
      <c r="E18228" t="b">
        <v>0</v>
      </c>
      <c r="F18228" t="s">
        <v>11610</v>
      </c>
      <c r="L18228">
        <v>0</v>
      </c>
      <c r="M18228">
        <v>0</v>
      </c>
      <c r="N18228">
        <v>0</v>
      </c>
    </row>
    <row r="18229" spans="1:15">
      <c r="A18229" t="s">
        <v>26246</v>
      </c>
      <c r="B18229" t="s">
        <v>367</v>
      </c>
      <c r="C18229" t="s">
        <v>26241</v>
      </c>
      <c r="D18229" t="s">
        <v>55264</v>
      </c>
      <c r="E18229" t="b">
        <v>0</v>
      </c>
      <c r="F18229" t="s">
        <v>11622</v>
      </c>
      <c r="L18229">
        <v>4</v>
      </c>
      <c r="M18229">
        <v>6</v>
      </c>
      <c r="N18229">
        <v>2</v>
      </c>
    </row>
    <row r="18230" spans="1:15">
      <c r="A18230" t="s">
        <v>17478</v>
      </c>
      <c r="B18230" t="s">
        <v>367</v>
      </c>
      <c r="C18230" t="s">
        <v>13733</v>
      </c>
      <c r="D18230" t="s">
        <v>55265</v>
      </c>
      <c r="E18230" t="b">
        <v>0</v>
      </c>
      <c r="F18230" t="s">
        <v>11622</v>
      </c>
      <c r="L18230">
        <v>1</v>
      </c>
      <c r="M18230">
        <v>3</v>
      </c>
      <c r="N18230">
        <v>0</v>
      </c>
    </row>
    <row r="18231" spans="1:15">
      <c r="A18231" t="s">
        <v>55266</v>
      </c>
      <c r="B18231" t="s">
        <v>367</v>
      </c>
      <c r="C18231" t="s">
        <v>17471</v>
      </c>
      <c r="D18231" t="s">
        <v>55267</v>
      </c>
      <c r="E18231" t="b">
        <v>0</v>
      </c>
      <c r="F18231" t="s">
        <v>11624</v>
      </c>
      <c r="G18231">
        <v>-2.7480000000000002</v>
      </c>
      <c r="H18231">
        <v>121.3</v>
      </c>
      <c r="I18231" t="s">
        <v>55268</v>
      </c>
      <c r="L18231">
        <v>0</v>
      </c>
      <c r="M18231">
        <v>0</v>
      </c>
      <c r="N18231">
        <v>0</v>
      </c>
      <c r="O18231" t="s">
        <v>11768</v>
      </c>
    </row>
    <row r="18232" spans="1:15">
      <c r="A18232" t="s">
        <v>55269</v>
      </c>
      <c r="B18232" t="s">
        <v>11627</v>
      </c>
      <c r="C18232" t="s">
        <v>11627</v>
      </c>
      <c r="D18232" t="s">
        <v>55270</v>
      </c>
      <c r="E18232" t="b">
        <v>1</v>
      </c>
      <c r="F18232" t="s">
        <v>11624</v>
      </c>
      <c r="G18232">
        <v>1.7478199999999999</v>
      </c>
      <c r="H18232">
        <v>-56.5107</v>
      </c>
      <c r="I18232" t="s">
        <v>55271</v>
      </c>
      <c r="L18232">
        <v>0</v>
      </c>
      <c r="M18232">
        <v>0</v>
      </c>
      <c r="N18232">
        <v>0</v>
      </c>
      <c r="O18232" t="s">
        <v>11969</v>
      </c>
    </row>
    <row r="18233" spans="1:15">
      <c r="A18233" t="s">
        <v>55272</v>
      </c>
      <c r="B18233" t="s">
        <v>11981</v>
      </c>
      <c r="C18233" t="s">
        <v>13456</v>
      </c>
      <c r="D18233" t="s">
        <v>55273</v>
      </c>
      <c r="E18233" t="b">
        <v>0</v>
      </c>
      <c r="F18233" t="s">
        <v>11624</v>
      </c>
      <c r="G18233">
        <v>13.702400000000001</v>
      </c>
      <c r="H18233">
        <v>-89.598799999999997</v>
      </c>
      <c r="I18233" t="s">
        <v>55274</v>
      </c>
      <c r="L18233">
        <v>0</v>
      </c>
      <c r="M18233">
        <v>0</v>
      </c>
      <c r="N18233">
        <v>0</v>
      </c>
      <c r="O18233" t="s">
        <v>20821</v>
      </c>
    </row>
    <row r="18234" spans="1:15">
      <c r="A18234" t="s">
        <v>55275</v>
      </c>
      <c r="B18234" t="s">
        <v>331</v>
      </c>
      <c r="C18234" t="s">
        <v>332</v>
      </c>
      <c r="D18234" t="s">
        <v>55276</v>
      </c>
      <c r="E18234" t="b">
        <v>0</v>
      </c>
      <c r="F18234" t="s">
        <v>11610</v>
      </c>
      <c r="L18234">
        <v>0</v>
      </c>
      <c r="M18234">
        <v>0</v>
      </c>
      <c r="N18234">
        <v>0</v>
      </c>
    </row>
    <row r="18235" spans="1:15">
      <c r="A18235" t="s">
        <v>55277</v>
      </c>
      <c r="B18235" t="s">
        <v>331</v>
      </c>
      <c r="C18235" t="s">
        <v>16164</v>
      </c>
      <c r="D18235" t="s">
        <v>55278</v>
      </c>
      <c r="E18235" t="b">
        <v>0</v>
      </c>
      <c r="F18235" t="s">
        <v>11610</v>
      </c>
      <c r="L18235">
        <v>0</v>
      </c>
      <c r="M18235">
        <v>0</v>
      </c>
      <c r="N18235">
        <v>0</v>
      </c>
    </row>
    <row r="18236" spans="1:15">
      <c r="A18236" t="s">
        <v>55279</v>
      </c>
      <c r="B18236" t="s">
        <v>12260</v>
      </c>
      <c r="C18236" t="s">
        <v>12261</v>
      </c>
      <c r="D18236" t="s">
        <v>55280</v>
      </c>
      <c r="E18236" t="b">
        <v>0</v>
      </c>
      <c r="F18236" t="s">
        <v>11610</v>
      </c>
      <c r="L18236">
        <v>0</v>
      </c>
      <c r="M18236">
        <v>0</v>
      </c>
      <c r="N18236">
        <v>0</v>
      </c>
    </row>
    <row r="18237" spans="1:15">
      <c r="A18237" t="s">
        <v>55281</v>
      </c>
      <c r="B18237" t="s">
        <v>12557</v>
      </c>
      <c r="C18237" t="s">
        <v>12558</v>
      </c>
      <c r="D18237" t="s">
        <v>55282</v>
      </c>
      <c r="E18237" t="b">
        <v>0</v>
      </c>
      <c r="F18237" t="s">
        <v>11624</v>
      </c>
      <c r="G18237">
        <v>-1.8487800000000001</v>
      </c>
      <c r="H18237">
        <v>138.34</v>
      </c>
      <c r="I18237" t="s">
        <v>55283</v>
      </c>
      <c r="L18237">
        <v>0</v>
      </c>
      <c r="M18237">
        <v>0</v>
      </c>
      <c r="N18237">
        <v>0</v>
      </c>
      <c r="O18237" t="s">
        <v>11768</v>
      </c>
    </row>
    <row r="18238" spans="1:15">
      <c r="A18238" t="s">
        <v>55284</v>
      </c>
      <c r="B18238" t="s">
        <v>11637</v>
      </c>
      <c r="C18238" t="s">
        <v>3565</v>
      </c>
      <c r="D18238" t="s">
        <v>55285</v>
      </c>
      <c r="E18238" t="b">
        <v>0</v>
      </c>
      <c r="F18238" t="s">
        <v>11610</v>
      </c>
      <c r="L18238">
        <v>0</v>
      </c>
      <c r="M18238">
        <v>0</v>
      </c>
      <c r="N18238">
        <v>0</v>
      </c>
    </row>
    <row r="18239" spans="1:15">
      <c r="A18239" t="s">
        <v>55286</v>
      </c>
      <c r="B18239" t="s">
        <v>11644</v>
      </c>
      <c r="C18239" t="s">
        <v>40019</v>
      </c>
      <c r="D18239" t="s">
        <v>55287</v>
      </c>
      <c r="E18239" t="b">
        <v>0</v>
      </c>
      <c r="F18239" t="s">
        <v>11610</v>
      </c>
      <c r="L18239">
        <v>0</v>
      </c>
      <c r="M18239">
        <v>0</v>
      </c>
      <c r="N18239">
        <v>0</v>
      </c>
    </row>
    <row r="18240" spans="1:15">
      <c r="A18240" t="s">
        <v>55288</v>
      </c>
      <c r="B18240" t="s">
        <v>11644</v>
      </c>
      <c r="C18240" t="s">
        <v>35448</v>
      </c>
      <c r="D18240" t="s">
        <v>55289</v>
      </c>
      <c r="E18240" t="b">
        <v>0</v>
      </c>
      <c r="F18240" t="s">
        <v>11624</v>
      </c>
      <c r="G18240">
        <v>25.012</v>
      </c>
      <c r="H18240">
        <v>102.2</v>
      </c>
      <c r="I18240" t="s">
        <v>55290</v>
      </c>
      <c r="L18240">
        <v>0</v>
      </c>
      <c r="M18240">
        <v>0</v>
      </c>
      <c r="N18240">
        <v>0</v>
      </c>
      <c r="O18240" t="s">
        <v>11905</v>
      </c>
    </row>
    <row r="18241" spans="1:15">
      <c r="A18241" t="s">
        <v>55291</v>
      </c>
      <c r="B18241" t="s">
        <v>11644</v>
      </c>
      <c r="C18241" t="s">
        <v>11902</v>
      </c>
      <c r="D18241" t="s">
        <v>55292</v>
      </c>
      <c r="E18241" t="b">
        <v>0</v>
      </c>
      <c r="F18241" t="s">
        <v>11624</v>
      </c>
      <c r="G18241">
        <v>23.76</v>
      </c>
      <c r="H18241">
        <v>98.825000000000003</v>
      </c>
      <c r="L18241">
        <v>0</v>
      </c>
      <c r="M18241">
        <v>0</v>
      </c>
      <c r="N18241">
        <v>0</v>
      </c>
      <c r="O18241" t="s">
        <v>11905</v>
      </c>
    </row>
    <row r="18242" spans="1:15">
      <c r="A18242" t="s">
        <v>55293</v>
      </c>
      <c r="B18242" t="s">
        <v>11644</v>
      </c>
      <c r="C18242" t="s">
        <v>18256</v>
      </c>
      <c r="D18242" t="s">
        <v>55294</v>
      </c>
      <c r="E18242" t="b">
        <v>0</v>
      </c>
      <c r="F18242" t="s">
        <v>11610</v>
      </c>
      <c r="L18242">
        <v>0</v>
      </c>
      <c r="M18242">
        <v>0</v>
      </c>
      <c r="N18242">
        <v>0</v>
      </c>
    </row>
    <row r="18243" spans="1:15">
      <c r="A18243" t="s">
        <v>55295</v>
      </c>
      <c r="B18243" t="s">
        <v>12686</v>
      </c>
      <c r="C18243" t="s">
        <v>13964</v>
      </c>
      <c r="D18243" t="s">
        <v>55296</v>
      </c>
      <c r="E18243" t="b">
        <v>0</v>
      </c>
      <c r="F18243" t="s">
        <v>11610</v>
      </c>
      <c r="L18243">
        <v>0</v>
      </c>
      <c r="M18243">
        <v>0</v>
      </c>
      <c r="N18243">
        <v>0</v>
      </c>
    </row>
    <row r="18244" spans="1:15">
      <c r="A18244" t="s">
        <v>55297</v>
      </c>
      <c r="B18244" t="s">
        <v>12686</v>
      </c>
      <c r="C18244" t="s">
        <v>319</v>
      </c>
      <c r="D18244" t="s">
        <v>55298</v>
      </c>
      <c r="E18244" t="b">
        <v>0</v>
      </c>
      <c r="F18244" t="s">
        <v>11610</v>
      </c>
      <c r="L18244">
        <v>0</v>
      </c>
      <c r="M18244">
        <v>0</v>
      </c>
      <c r="N18244">
        <v>0</v>
      </c>
    </row>
    <row r="18245" spans="1:15">
      <c r="A18245" t="s">
        <v>55299</v>
      </c>
      <c r="B18245" t="s">
        <v>6742</v>
      </c>
      <c r="C18245" t="s">
        <v>19287</v>
      </c>
      <c r="D18245" t="s">
        <v>55300</v>
      </c>
      <c r="E18245" t="b">
        <v>0</v>
      </c>
      <c r="F18245" t="s">
        <v>11624</v>
      </c>
      <c r="G18245">
        <v>-9.8693100000000005</v>
      </c>
      <c r="H18245">
        <v>13.8713</v>
      </c>
      <c r="I18245" t="s">
        <v>55301</v>
      </c>
      <c r="L18245">
        <v>0</v>
      </c>
      <c r="M18245">
        <v>0</v>
      </c>
      <c r="N18245">
        <v>0</v>
      </c>
      <c r="O18245" t="s">
        <v>19290</v>
      </c>
    </row>
    <row r="18246" spans="1:15">
      <c r="A18246" t="s">
        <v>55302</v>
      </c>
      <c r="B18246" t="s">
        <v>367</v>
      </c>
      <c r="C18246" t="s">
        <v>48721</v>
      </c>
      <c r="D18246" t="s">
        <v>55303</v>
      </c>
      <c r="E18246" t="b">
        <v>0</v>
      </c>
      <c r="F18246" t="s">
        <v>11610</v>
      </c>
      <c r="L18246">
        <v>0</v>
      </c>
      <c r="M18246">
        <v>0</v>
      </c>
      <c r="N18246">
        <v>0</v>
      </c>
    </row>
    <row r="18247" spans="1:15">
      <c r="A18247" t="s">
        <v>32348</v>
      </c>
      <c r="B18247" t="s">
        <v>367</v>
      </c>
      <c r="C18247" t="s">
        <v>17087</v>
      </c>
      <c r="D18247" t="s">
        <v>55304</v>
      </c>
      <c r="E18247" t="b">
        <v>0</v>
      </c>
      <c r="F18247" t="s">
        <v>11622</v>
      </c>
      <c r="L18247">
        <v>3</v>
      </c>
      <c r="M18247">
        <v>9</v>
      </c>
      <c r="N18247">
        <v>42</v>
      </c>
    </row>
    <row r="18248" spans="1:15">
      <c r="A18248" t="s">
        <v>55305</v>
      </c>
      <c r="B18248" t="s">
        <v>367</v>
      </c>
      <c r="C18248" t="s">
        <v>16054</v>
      </c>
      <c r="D18248" t="s">
        <v>55306</v>
      </c>
      <c r="E18248" t="b">
        <v>0</v>
      </c>
      <c r="F18248" t="s">
        <v>11610</v>
      </c>
      <c r="L18248">
        <v>0</v>
      </c>
      <c r="M18248">
        <v>0</v>
      </c>
      <c r="N18248">
        <v>0</v>
      </c>
    </row>
    <row r="18249" spans="1:15">
      <c r="A18249" t="s">
        <v>55307</v>
      </c>
      <c r="B18249" t="s">
        <v>13877</v>
      </c>
      <c r="C18249" t="s">
        <v>77</v>
      </c>
      <c r="D18249" t="s">
        <v>55308</v>
      </c>
      <c r="E18249" t="b">
        <v>0</v>
      </c>
      <c r="F18249" t="s">
        <v>11610</v>
      </c>
      <c r="L18249">
        <v>0</v>
      </c>
      <c r="M18249">
        <v>0</v>
      </c>
      <c r="N18249">
        <v>0</v>
      </c>
    </row>
    <row r="18250" spans="1:15">
      <c r="A18250" t="s">
        <v>55309</v>
      </c>
      <c r="B18250" t="s">
        <v>11607</v>
      </c>
      <c r="C18250" t="s">
        <v>13666</v>
      </c>
      <c r="D18250" t="s">
        <v>55310</v>
      </c>
      <c r="E18250" t="b">
        <v>0</v>
      </c>
      <c r="F18250" t="s">
        <v>11624</v>
      </c>
      <c r="G18250">
        <v>32.081699999999998</v>
      </c>
      <c r="H18250">
        <v>35.448700000000002</v>
      </c>
      <c r="I18250" t="s">
        <v>55311</v>
      </c>
      <c r="L18250">
        <v>0</v>
      </c>
      <c r="M18250">
        <v>0</v>
      </c>
      <c r="N18250">
        <v>0</v>
      </c>
      <c r="O18250" t="s">
        <v>55312</v>
      </c>
    </row>
    <row r="18251" spans="1:15">
      <c r="A18251" t="s">
        <v>55313</v>
      </c>
      <c r="B18251" t="s">
        <v>11607</v>
      </c>
      <c r="C18251" t="s">
        <v>52030</v>
      </c>
      <c r="D18251" t="s">
        <v>55314</v>
      </c>
      <c r="E18251" t="b">
        <v>0</v>
      </c>
      <c r="F18251" t="s">
        <v>11624</v>
      </c>
      <c r="G18251">
        <v>32.310699999999997</v>
      </c>
      <c r="H18251">
        <v>35.258000000000003</v>
      </c>
      <c r="I18251" t="s">
        <v>55315</v>
      </c>
      <c r="L18251">
        <v>0</v>
      </c>
      <c r="M18251">
        <v>0</v>
      </c>
      <c r="N18251">
        <v>0</v>
      </c>
      <c r="O18251" t="s">
        <v>55312</v>
      </c>
    </row>
    <row r="18252" spans="1:15">
      <c r="A18252" t="s">
        <v>17563</v>
      </c>
      <c r="B18252" t="s">
        <v>367</v>
      </c>
      <c r="C18252" t="s">
        <v>55316</v>
      </c>
      <c r="D18252" t="s">
        <v>55317</v>
      </c>
      <c r="E18252" t="b">
        <v>0</v>
      </c>
      <c r="F18252" t="s">
        <v>11622</v>
      </c>
      <c r="L18252">
        <v>0</v>
      </c>
      <c r="M18252">
        <v>3</v>
      </c>
      <c r="N18252">
        <v>3</v>
      </c>
    </row>
    <row r="18253" spans="1:15">
      <c r="A18253" t="s">
        <v>55318</v>
      </c>
      <c r="B18253" t="s">
        <v>12438</v>
      </c>
      <c r="C18253" t="s">
        <v>23340</v>
      </c>
      <c r="D18253" t="s">
        <v>55319</v>
      </c>
      <c r="E18253" t="b">
        <v>0</v>
      </c>
      <c r="F18253" t="s">
        <v>11610</v>
      </c>
      <c r="L18253">
        <v>0</v>
      </c>
      <c r="M18253">
        <v>0</v>
      </c>
      <c r="N18253">
        <v>0</v>
      </c>
    </row>
    <row r="18254" spans="1:15">
      <c r="A18254" t="s">
        <v>55320</v>
      </c>
      <c r="B18254" t="s">
        <v>11644</v>
      </c>
      <c r="C18254" t="s">
        <v>20365</v>
      </c>
      <c r="D18254" t="s">
        <v>55321</v>
      </c>
      <c r="E18254" t="b">
        <v>0</v>
      </c>
      <c r="F18254" t="s">
        <v>11610</v>
      </c>
      <c r="L18254">
        <v>0</v>
      </c>
      <c r="M18254">
        <v>0</v>
      </c>
      <c r="N18254">
        <v>0</v>
      </c>
    </row>
    <row r="18255" spans="1:15">
      <c r="A18255" t="s">
        <v>16615</v>
      </c>
      <c r="B18255" t="s">
        <v>6742</v>
      </c>
      <c r="C18255" t="s">
        <v>52794</v>
      </c>
      <c r="D18255" t="s">
        <v>55322</v>
      </c>
      <c r="E18255" t="b">
        <v>0</v>
      </c>
      <c r="F18255" t="s">
        <v>11624</v>
      </c>
      <c r="G18255">
        <v>8.1923600000000008</v>
      </c>
      <c r="H18255">
        <v>11.736599999999999</v>
      </c>
      <c r="I18255" t="s">
        <v>55323</v>
      </c>
      <c r="L18255">
        <v>0</v>
      </c>
      <c r="M18255">
        <v>0</v>
      </c>
      <c r="N18255">
        <v>5</v>
      </c>
      <c r="O18255" t="s">
        <v>11802</v>
      </c>
    </row>
    <row r="18256" spans="1:15">
      <c r="A18256" t="s">
        <v>55324</v>
      </c>
      <c r="B18256" t="s">
        <v>6742</v>
      </c>
      <c r="C18256" t="s">
        <v>16615</v>
      </c>
      <c r="D18256" t="s">
        <v>55325</v>
      </c>
      <c r="E18256" t="b">
        <v>0</v>
      </c>
      <c r="F18256" t="s">
        <v>11610</v>
      </c>
      <c r="L18256">
        <v>0</v>
      </c>
      <c r="M18256">
        <v>0</v>
      </c>
      <c r="N18256">
        <v>0</v>
      </c>
    </row>
    <row r="18257" spans="1:15">
      <c r="A18257" t="s">
        <v>55326</v>
      </c>
      <c r="B18257" t="s">
        <v>6742</v>
      </c>
      <c r="C18257" t="s">
        <v>30812</v>
      </c>
      <c r="D18257" t="s">
        <v>55327</v>
      </c>
      <c r="E18257" t="b">
        <v>0</v>
      </c>
      <c r="F18257" t="s">
        <v>11624</v>
      </c>
      <c r="G18257">
        <v>9.1606719999999999</v>
      </c>
      <c r="H18257">
        <v>8.5056279999999997</v>
      </c>
      <c r="I18257" t="s">
        <v>55328</v>
      </c>
      <c r="L18257">
        <v>0</v>
      </c>
      <c r="M18257">
        <v>0</v>
      </c>
      <c r="N18257">
        <v>0</v>
      </c>
      <c r="O18257" t="s">
        <v>11693</v>
      </c>
    </row>
    <row r="18258" spans="1:15">
      <c r="A18258" t="s">
        <v>55329</v>
      </c>
      <c r="B18258" t="s">
        <v>6742</v>
      </c>
      <c r="C18258" t="s">
        <v>55330</v>
      </c>
      <c r="D18258" t="s">
        <v>55331</v>
      </c>
      <c r="E18258" t="b">
        <v>0</v>
      </c>
      <c r="F18258" t="s">
        <v>11610</v>
      </c>
      <c r="L18258">
        <v>0</v>
      </c>
      <c r="M18258">
        <v>0</v>
      </c>
      <c r="N18258">
        <v>0</v>
      </c>
    </row>
    <row r="18259" spans="1:15">
      <c r="A18259" t="s">
        <v>55332</v>
      </c>
      <c r="B18259" t="s">
        <v>6742</v>
      </c>
      <c r="C18259" t="s">
        <v>55333</v>
      </c>
      <c r="D18259" t="s">
        <v>55334</v>
      </c>
      <c r="E18259" t="b">
        <v>0</v>
      </c>
      <c r="F18259" t="s">
        <v>11624</v>
      </c>
      <c r="G18259">
        <v>-6.2134400000000003</v>
      </c>
      <c r="H18259">
        <v>17.165800000000001</v>
      </c>
      <c r="I18259" t="s">
        <v>55335</v>
      </c>
      <c r="L18259">
        <v>0</v>
      </c>
      <c r="M18259">
        <v>0</v>
      </c>
      <c r="N18259">
        <v>0</v>
      </c>
      <c r="O18259" t="s">
        <v>14825</v>
      </c>
    </row>
    <row r="18260" spans="1:15">
      <c r="A18260" t="s">
        <v>55336</v>
      </c>
      <c r="B18260" t="s">
        <v>6742</v>
      </c>
      <c r="C18260" t="s">
        <v>38644</v>
      </c>
      <c r="D18260" t="s">
        <v>55337</v>
      </c>
      <c r="E18260" t="b">
        <v>0</v>
      </c>
      <c r="F18260" t="s">
        <v>11610</v>
      </c>
      <c r="L18260">
        <v>0</v>
      </c>
      <c r="M18260">
        <v>0</v>
      </c>
      <c r="N18260">
        <v>0</v>
      </c>
    </row>
    <row r="18261" spans="1:15">
      <c r="A18261" t="s">
        <v>49626</v>
      </c>
      <c r="B18261" t="s">
        <v>6742</v>
      </c>
      <c r="C18261" t="s">
        <v>24908</v>
      </c>
      <c r="D18261" t="s">
        <v>55338</v>
      </c>
      <c r="E18261" t="b">
        <v>0</v>
      </c>
      <c r="F18261" t="s">
        <v>11624</v>
      </c>
      <c r="G18261">
        <v>8.0690500000000007</v>
      </c>
      <c r="H18261">
        <v>11.707700000000001</v>
      </c>
      <c r="I18261" t="s">
        <v>55339</v>
      </c>
      <c r="L18261">
        <v>0</v>
      </c>
      <c r="M18261">
        <v>0</v>
      </c>
      <c r="N18261">
        <v>5</v>
      </c>
      <c r="O18261" t="s">
        <v>11802</v>
      </c>
    </row>
    <row r="18262" spans="1:15">
      <c r="A18262" t="s">
        <v>55340</v>
      </c>
      <c r="B18262" t="s">
        <v>6742</v>
      </c>
      <c r="C18262" t="s">
        <v>49626</v>
      </c>
      <c r="D18262" t="s">
        <v>55341</v>
      </c>
      <c r="E18262" t="b">
        <v>0</v>
      </c>
      <c r="F18262" t="s">
        <v>11610</v>
      </c>
      <c r="L18262">
        <v>0</v>
      </c>
      <c r="M18262">
        <v>0</v>
      </c>
      <c r="N18262">
        <v>0</v>
      </c>
    </row>
    <row r="18263" spans="1:15">
      <c r="A18263" t="s">
        <v>55342</v>
      </c>
      <c r="B18263" t="s">
        <v>6742</v>
      </c>
      <c r="C18263" t="s">
        <v>49626</v>
      </c>
      <c r="D18263" t="s">
        <v>55343</v>
      </c>
      <c r="E18263" t="b">
        <v>0</v>
      </c>
      <c r="F18263" t="s">
        <v>11610</v>
      </c>
      <c r="L18263">
        <v>0</v>
      </c>
      <c r="M18263">
        <v>0</v>
      </c>
      <c r="N18263">
        <v>0</v>
      </c>
    </row>
    <row r="18264" spans="1:15">
      <c r="A18264" t="s">
        <v>55344</v>
      </c>
      <c r="B18264" t="s">
        <v>6742</v>
      </c>
      <c r="C18264" t="s">
        <v>49626</v>
      </c>
      <c r="D18264" t="s">
        <v>55345</v>
      </c>
      <c r="E18264" t="b">
        <v>0</v>
      </c>
      <c r="F18264" t="s">
        <v>11610</v>
      </c>
      <c r="L18264">
        <v>0</v>
      </c>
      <c r="M18264">
        <v>0</v>
      </c>
      <c r="N18264">
        <v>0</v>
      </c>
    </row>
    <row r="18265" spans="1:15">
      <c r="A18265" t="s">
        <v>22198</v>
      </c>
      <c r="B18265" t="s">
        <v>11757</v>
      </c>
      <c r="C18265" t="s">
        <v>43158</v>
      </c>
      <c r="D18265" t="s">
        <v>55346</v>
      </c>
      <c r="E18265" t="b">
        <v>0</v>
      </c>
      <c r="F18265" t="s">
        <v>11624</v>
      </c>
      <c r="G18265">
        <v>1.6073500000000001</v>
      </c>
      <c r="H18265">
        <v>37.053899999999999</v>
      </c>
      <c r="I18265" t="s">
        <v>55347</v>
      </c>
      <c r="L18265">
        <v>0</v>
      </c>
      <c r="M18265">
        <v>0</v>
      </c>
      <c r="N18265">
        <v>1</v>
      </c>
      <c r="O18265" t="s">
        <v>22848</v>
      </c>
    </row>
    <row r="18266" spans="1:15">
      <c r="A18266" t="s">
        <v>55348</v>
      </c>
      <c r="B18266" t="s">
        <v>11757</v>
      </c>
      <c r="C18266" t="s">
        <v>27198</v>
      </c>
      <c r="D18266" t="s">
        <v>55349</v>
      </c>
      <c r="E18266" t="b">
        <v>0</v>
      </c>
      <c r="F18266" t="s">
        <v>11610</v>
      </c>
      <c r="L18266">
        <v>0</v>
      </c>
      <c r="M18266">
        <v>0</v>
      </c>
      <c r="N18266">
        <v>0</v>
      </c>
    </row>
    <row r="18267" spans="1:15">
      <c r="A18267" t="s">
        <v>55350</v>
      </c>
      <c r="B18267" t="s">
        <v>13276</v>
      </c>
      <c r="C18267" t="s">
        <v>17145</v>
      </c>
      <c r="D18267" t="s">
        <v>55351</v>
      </c>
      <c r="E18267" t="b">
        <v>0</v>
      </c>
      <c r="F18267" t="s">
        <v>11610</v>
      </c>
      <c r="L18267">
        <v>0</v>
      </c>
      <c r="M18267">
        <v>0</v>
      </c>
      <c r="N18267">
        <v>0</v>
      </c>
    </row>
    <row r="18268" spans="1:15">
      <c r="A18268" t="s">
        <v>55352</v>
      </c>
      <c r="B18268" t="s">
        <v>367</v>
      </c>
      <c r="C18268" t="s">
        <v>14563</v>
      </c>
      <c r="D18268" t="s">
        <v>55353</v>
      </c>
      <c r="E18268" t="b">
        <v>0</v>
      </c>
      <c r="F18268" t="s">
        <v>11610</v>
      </c>
      <c r="L18268">
        <v>0</v>
      </c>
      <c r="M18268">
        <v>0</v>
      </c>
      <c r="N18268">
        <v>0</v>
      </c>
    </row>
    <row r="18269" spans="1:15">
      <c r="A18269" t="s">
        <v>11740</v>
      </c>
      <c r="B18269" t="s">
        <v>367</v>
      </c>
      <c r="C18269" t="s">
        <v>21583</v>
      </c>
      <c r="D18269" t="s">
        <v>55354</v>
      </c>
      <c r="E18269" t="b">
        <v>0</v>
      </c>
      <c r="F18269" t="s">
        <v>11622</v>
      </c>
      <c r="L18269">
        <v>3</v>
      </c>
      <c r="M18269">
        <v>8</v>
      </c>
      <c r="N18269">
        <v>5</v>
      </c>
    </row>
    <row r="18270" spans="1:15">
      <c r="A18270" t="s">
        <v>55355</v>
      </c>
      <c r="B18270" t="s">
        <v>367</v>
      </c>
      <c r="C18270" t="s">
        <v>15509</v>
      </c>
      <c r="D18270" t="s">
        <v>55356</v>
      </c>
      <c r="E18270" t="b">
        <v>0</v>
      </c>
      <c r="F18270" t="s">
        <v>11610</v>
      </c>
      <c r="L18270">
        <v>0</v>
      </c>
      <c r="M18270">
        <v>0</v>
      </c>
      <c r="N18270">
        <v>0</v>
      </c>
    </row>
    <row r="18271" spans="1:15">
      <c r="A18271" t="s">
        <v>55357</v>
      </c>
      <c r="B18271" t="s">
        <v>11615</v>
      </c>
      <c r="C18271" t="s">
        <v>13797</v>
      </c>
      <c r="D18271" t="s">
        <v>55358</v>
      </c>
      <c r="E18271" t="b">
        <v>0</v>
      </c>
      <c r="F18271" t="s">
        <v>11624</v>
      </c>
      <c r="G18271">
        <v>-6.7027999999999999</v>
      </c>
      <c r="H18271">
        <v>143.95099999999999</v>
      </c>
      <c r="I18271" t="s">
        <v>55359</v>
      </c>
      <c r="L18271">
        <v>0</v>
      </c>
      <c r="M18271">
        <v>0</v>
      </c>
      <c r="N18271">
        <v>0</v>
      </c>
      <c r="O18271" t="s">
        <v>11660</v>
      </c>
    </row>
    <row r="18272" spans="1:15">
      <c r="A18272" t="s">
        <v>45720</v>
      </c>
      <c r="B18272" t="s">
        <v>6742</v>
      </c>
      <c r="C18272" t="s">
        <v>21002</v>
      </c>
      <c r="D18272" t="s">
        <v>55360</v>
      </c>
      <c r="E18272" t="b">
        <v>0</v>
      </c>
      <c r="F18272" t="s">
        <v>11622</v>
      </c>
      <c r="L18272">
        <v>17</v>
      </c>
      <c r="M18272">
        <v>29</v>
      </c>
      <c r="N18272">
        <v>61</v>
      </c>
    </row>
    <row r="18273" spans="1:15">
      <c r="A18273" t="s">
        <v>49118</v>
      </c>
      <c r="B18273" t="s">
        <v>6742</v>
      </c>
      <c r="C18273" t="s">
        <v>45720</v>
      </c>
      <c r="D18273" t="s">
        <v>55361</v>
      </c>
      <c r="E18273" t="b">
        <v>0</v>
      </c>
      <c r="F18273" t="s">
        <v>11622</v>
      </c>
      <c r="L18273">
        <v>10</v>
      </c>
      <c r="M18273">
        <v>18</v>
      </c>
      <c r="N18273">
        <v>35</v>
      </c>
    </row>
    <row r="18274" spans="1:15">
      <c r="A18274" t="s">
        <v>52794</v>
      </c>
      <c r="B18274" t="s">
        <v>6742</v>
      </c>
      <c r="C18274" t="s">
        <v>37041</v>
      </c>
      <c r="D18274" t="s">
        <v>55362</v>
      </c>
      <c r="E18274" t="b">
        <v>0</v>
      </c>
      <c r="F18274" t="s">
        <v>11622</v>
      </c>
      <c r="L18274">
        <v>1</v>
      </c>
      <c r="M18274">
        <v>3</v>
      </c>
      <c r="N18274">
        <v>5</v>
      </c>
    </row>
    <row r="18275" spans="1:15">
      <c r="A18275" t="s">
        <v>55363</v>
      </c>
      <c r="B18275" t="s">
        <v>11637</v>
      </c>
      <c r="C18275" t="s">
        <v>12082</v>
      </c>
      <c r="D18275" t="s">
        <v>55364</v>
      </c>
      <c r="E18275" t="b">
        <v>0</v>
      </c>
      <c r="F18275" t="s">
        <v>11624</v>
      </c>
      <c r="I18275" t="s">
        <v>55365</v>
      </c>
      <c r="L18275">
        <v>0</v>
      </c>
      <c r="M18275">
        <v>0</v>
      </c>
      <c r="N18275">
        <v>0</v>
      </c>
      <c r="O18275" t="s">
        <v>11630</v>
      </c>
    </row>
    <row r="18276" spans="1:15">
      <c r="A18276" t="s">
        <v>55366</v>
      </c>
      <c r="B18276" t="s">
        <v>11644</v>
      </c>
      <c r="C18276" t="s">
        <v>29059</v>
      </c>
      <c r="D18276" t="s">
        <v>55367</v>
      </c>
      <c r="E18276" t="b">
        <v>0</v>
      </c>
      <c r="F18276" t="s">
        <v>11624</v>
      </c>
      <c r="G18276">
        <v>24.785900000000002</v>
      </c>
      <c r="H18276">
        <v>99.921700000000001</v>
      </c>
      <c r="I18276" t="s">
        <v>55368</v>
      </c>
      <c r="L18276">
        <v>0</v>
      </c>
      <c r="M18276">
        <v>0</v>
      </c>
      <c r="N18276">
        <v>0</v>
      </c>
      <c r="O18276" t="s">
        <v>11905</v>
      </c>
    </row>
    <row r="18277" spans="1:15">
      <c r="A18277" t="s">
        <v>55369</v>
      </c>
      <c r="B18277" t="s">
        <v>367</v>
      </c>
      <c r="C18277" t="s">
        <v>5449</v>
      </c>
      <c r="D18277" t="s">
        <v>55370</v>
      </c>
      <c r="E18277" t="b">
        <v>0</v>
      </c>
      <c r="F18277" t="s">
        <v>11610</v>
      </c>
      <c r="L18277">
        <v>0</v>
      </c>
      <c r="M18277">
        <v>0</v>
      </c>
      <c r="N18277">
        <v>0</v>
      </c>
    </row>
    <row r="18278" spans="1:15">
      <c r="A18278" t="s">
        <v>55371</v>
      </c>
      <c r="B18278" t="s">
        <v>367</v>
      </c>
      <c r="C18278" t="s">
        <v>25621</v>
      </c>
      <c r="D18278" t="s">
        <v>55372</v>
      </c>
      <c r="E18278" t="b">
        <v>0</v>
      </c>
      <c r="F18278" t="s">
        <v>11610</v>
      </c>
      <c r="L18278">
        <v>0</v>
      </c>
      <c r="M18278">
        <v>0</v>
      </c>
      <c r="N18278">
        <v>0</v>
      </c>
    </row>
    <row r="18279" spans="1:15">
      <c r="A18279" t="s">
        <v>11453</v>
      </c>
      <c r="B18279" t="s">
        <v>9071</v>
      </c>
      <c r="C18279" t="s">
        <v>41155</v>
      </c>
      <c r="D18279" t="s">
        <v>11452</v>
      </c>
      <c r="E18279" t="b">
        <v>0</v>
      </c>
      <c r="F18279" t="s">
        <v>11610</v>
      </c>
      <c r="L18279">
        <v>0</v>
      </c>
      <c r="M18279">
        <v>0</v>
      </c>
      <c r="N18279">
        <v>0</v>
      </c>
    </row>
    <row r="18280" spans="1:15">
      <c r="A18280" t="s">
        <v>55373</v>
      </c>
      <c r="B18280" t="s">
        <v>11637</v>
      </c>
      <c r="C18280" t="s">
        <v>7000</v>
      </c>
      <c r="D18280" t="s">
        <v>55374</v>
      </c>
      <c r="E18280" t="b">
        <v>0</v>
      </c>
      <c r="F18280" t="s">
        <v>11610</v>
      </c>
      <c r="L18280">
        <v>0</v>
      </c>
      <c r="M18280">
        <v>0</v>
      </c>
      <c r="N18280">
        <v>0</v>
      </c>
    </row>
    <row r="18281" spans="1:15">
      <c r="A18281" t="s">
        <v>55375</v>
      </c>
      <c r="B18281" t="s">
        <v>11615</v>
      </c>
      <c r="C18281" t="s">
        <v>13958</v>
      </c>
      <c r="D18281" t="s">
        <v>55376</v>
      </c>
      <c r="E18281" t="b">
        <v>0</v>
      </c>
      <c r="F18281" t="s">
        <v>11624</v>
      </c>
      <c r="G18281">
        <v>-5.55572</v>
      </c>
      <c r="H18281">
        <v>145.81299999999999</v>
      </c>
      <c r="I18281" t="s">
        <v>55377</v>
      </c>
      <c r="L18281">
        <v>0</v>
      </c>
      <c r="M18281">
        <v>0</v>
      </c>
      <c r="N18281">
        <v>0</v>
      </c>
      <c r="O18281" t="s">
        <v>11660</v>
      </c>
    </row>
    <row r="18282" spans="1:15">
      <c r="A18282" t="s">
        <v>48285</v>
      </c>
      <c r="B18282" t="s">
        <v>11637</v>
      </c>
      <c r="C18282" t="s">
        <v>1482</v>
      </c>
      <c r="D18282" t="s">
        <v>55378</v>
      </c>
      <c r="E18282" t="b">
        <v>0</v>
      </c>
      <c r="F18282" t="s">
        <v>11610</v>
      </c>
      <c r="I18282" t="s">
        <v>55379</v>
      </c>
      <c r="L18282">
        <v>0</v>
      </c>
      <c r="M18282">
        <v>0</v>
      </c>
      <c r="N18282">
        <v>3</v>
      </c>
    </row>
    <row r="18283" spans="1:15">
      <c r="A18283" t="s">
        <v>3374</v>
      </c>
      <c r="B18283" t="s">
        <v>12260</v>
      </c>
      <c r="C18283" t="s">
        <v>12260</v>
      </c>
      <c r="D18283" t="s">
        <v>55380</v>
      </c>
      <c r="E18283" t="b">
        <v>0</v>
      </c>
      <c r="F18283" t="s">
        <v>11622</v>
      </c>
      <c r="L18283">
        <v>4</v>
      </c>
      <c r="M18283">
        <v>8</v>
      </c>
      <c r="N18283">
        <v>23</v>
      </c>
    </row>
    <row r="18284" spans="1:15">
      <c r="A18284" t="s">
        <v>55381</v>
      </c>
      <c r="B18284" t="s">
        <v>12260</v>
      </c>
      <c r="C18284" t="s">
        <v>34496</v>
      </c>
      <c r="D18284" t="s">
        <v>55382</v>
      </c>
      <c r="E18284" t="b">
        <v>0</v>
      </c>
      <c r="F18284" t="s">
        <v>11610</v>
      </c>
      <c r="I18284" t="s">
        <v>55383</v>
      </c>
      <c r="L18284">
        <v>0</v>
      </c>
      <c r="M18284">
        <v>0</v>
      </c>
      <c r="N18284">
        <v>0</v>
      </c>
      <c r="O18284" t="s">
        <v>12748</v>
      </c>
    </row>
    <row r="18285" spans="1:15">
      <c r="A18285" t="s">
        <v>20578</v>
      </c>
      <c r="B18285" t="s">
        <v>13276</v>
      </c>
      <c r="C18285" t="s">
        <v>18811</v>
      </c>
      <c r="D18285" t="s">
        <v>55384</v>
      </c>
      <c r="E18285" t="b">
        <v>0</v>
      </c>
      <c r="F18285" t="s">
        <v>11622</v>
      </c>
      <c r="L18285">
        <v>4</v>
      </c>
      <c r="M18285">
        <v>8</v>
      </c>
      <c r="N18285">
        <v>10</v>
      </c>
    </row>
    <row r="18286" spans="1:15">
      <c r="A18286" t="s">
        <v>55385</v>
      </c>
      <c r="B18286" t="s">
        <v>26147</v>
      </c>
      <c r="C18286" t="s">
        <v>29422</v>
      </c>
      <c r="D18286" t="s">
        <v>55386</v>
      </c>
      <c r="E18286" t="b">
        <v>0</v>
      </c>
      <c r="F18286" t="s">
        <v>11624</v>
      </c>
      <c r="G18286">
        <v>-6.15496</v>
      </c>
      <c r="H18286">
        <v>142.19499999999999</v>
      </c>
      <c r="I18286" t="s">
        <v>55387</v>
      </c>
      <c r="L18286">
        <v>0</v>
      </c>
      <c r="M18286">
        <v>0</v>
      </c>
      <c r="N18286">
        <v>0</v>
      </c>
      <c r="O18286" t="s">
        <v>11660</v>
      </c>
    </row>
    <row r="18287" spans="1:15">
      <c r="A18287" t="s">
        <v>227</v>
      </c>
      <c r="B18287" t="s">
        <v>367</v>
      </c>
      <c r="C18287" t="s">
        <v>55388</v>
      </c>
      <c r="D18287" t="s">
        <v>1657</v>
      </c>
      <c r="E18287" t="b">
        <v>0</v>
      </c>
      <c r="F18287" t="s">
        <v>11624</v>
      </c>
      <c r="G18287">
        <v>-13.92</v>
      </c>
      <c r="H18287">
        <v>-171.83</v>
      </c>
      <c r="I18287" t="s">
        <v>228</v>
      </c>
      <c r="L18287">
        <v>0</v>
      </c>
      <c r="M18287">
        <v>0</v>
      </c>
      <c r="N18287">
        <v>0</v>
      </c>
      <c r="O18287" t="s">
        <v>55389</v>
      </c>
    </row>
    <row r="18288" spans="1:15">
      <c r="A18288" t="s">
        <v>55390</v>
      </c>
      <c r="B18288" t="s">
        <v>11615</v>
      </c>
      <c r="C18288" t="s">
        <v>45412</v>
      </c>
      <c r="D18288" t="s">
        <v>55391</v>
      </c>
      <c r="E18288" t="b">
        <v>0</v>
      </c>
      <c r="F18288" t="s">
        <v>11624</v>
      </c>
      <c r="G18288">
        <v>-5.0139100000000001</v>
      </c>
      <c r="H18288">
        <v>145.53700000000001</v>
      </c>
      <c r="I18288" t="s">
        <v>55392</v>
      </c>
      <c r="L18288">
        <v>0</v>
      </c>
      <c r="M18288">
        <v>0</v>
      </c>
      <c r="N18288">
        <v>0</v>
      </c>
      <c r="O18288" t="s">
        <v>11660</v>
      </c>
    </row>
    <row r="18289" spans="1:15">
      <c r="A18289" t="s">
        <v>55393</v>
      </c>
      <c r="B18289" t="s">
        <v>13450</v>
      </c>
      <c r="C18289" t="s">
        <v>13451</v>
      </c>
      <c r="D18289" t="s">
        <v>55394</v>
      </c>
      <c r="E18289" t="b">
        <v>0</v>
      </c>
      <c r="F18289" t="s">
        <v>11624</v>
      </c>
      <c r="L18289">
        <v>0</v>
      </c>
      <c r="M18289">
        <v>0</v>
      </c>
      <c r="N18289">
        <v>0</v>
      </c>
      <c r="O18289" t="s">
        <v>55395</v>
      </c>
    </row>
    <row r="18290" spans="1:15">
      <c r="A18290" t="s">
        <v>25651</v>
      </c>
      <c r="B18290" t="s">
        <v>13276</v>
      </c>
      <c r="C18290" t="s">
        <v>42458</v>
      </c>
      <c r="D18290" t="s">
        <v>55396</v>
      </c>
      <c r="E18290" t="b">
        <v>0</v>
      </c>
      <c r="F18290" t="s">
        <v>11622</v>
      </c>
      <c r="L18290">
        <v>10</v>
      </c>
      <c r="M18290">
        <v>14</v>
      </c>
      <c r="N18290">
        <v>24</v>
      </c>
    </row>
    <row r="18291" spans="1:15">
      <c r="A18291" t="s">
        <v>25655</v>
      </c>
      <c r="B18291" t="s">
        <v>13276</v>
      </c>
      <c r="C18291" t="s">
        <v>25653</v>
      </c>
      <c r="D18291" t="s">
        <v>55397</v>
      </c>
      <c r="E18291" t="b">
        <v>0</v>
      </c>
      <c r="F18291" t="s">
        <v>11622</v>
      </c>
      <c r="L18291">
        <v>1</v>
      </c>
      <c r="M18291">
        <v>5</v>
      </c>
      <c r="N18291">
        <v>4</v>
      </c>
    </row>
    <row r="18292" spans="1:15">
      <c r="A18292" t="s">
        <v>55388</v>
      </c>
      <c r="B18292" t="s">
        <v>367</v>
      </c>
      <c r="C18292" t="s">
        <v>27045</v>
      </c>
      <c r="D18292" t="s">
        <v>55398</v>
      </c>
      <c r="E18292" t="b">
        <v>0</v>
      </c>
      <c r="F18292" t="s">
        <v>11622</v>
      </c>
      <c r="L18292">
        <v>0</v>
      </c>
      <c r="M18292">
        <v>2</v>
      </c>
      <c r="N18292">
        <v>0</v>
      </c>
    </row>
    <row r="18293" spans="1:15">
      <c r="A18293" t="s">
        <v>18256</v>
      </c>
      <c r="B18293" t="s">
        <v>11644</v>
      </c>
      <c r="C18293" t="s">
        <v>36112</v>
      </c>
      <c r="D18293" t="s">
        <v>55399</v>
      </c>
      <c r="E18293" t="b">
        <v>0</v>
      </c>
      <c r="F18293" t="s">
        <v>11624</v>
      </c>
      <c r="G18293">
        <v>27.299900000000001</v>
      </c>
      <c r="H18293">
        <v>87.001900000000006</v>
      </c>
      <c r="I18293" t="s">
        <v>55400</v>
      </c>
      <c r="L18293">
        <v>0</v>
      </c>
      <c r="M18293">
        <v>0</v>
      </c>
      <c r="N18293">
        <v>8</v>
      </c>
      <c r="O18293" t="s">
        <v>15007</v>
      </c>
    </row>
    <row r="18294" spans="1:15">
      <c r="A18294" t="s">
        <v>55401</v>
      </c>
      <c r="B18294" t="s">
        <v>6742</v>
      </c>
      <c r="C18294" t="s">
        <v>16615</v>
      </c>
      <c r="D18294" t="s">
        <v>55402</v>
      </c>
      <c r="E18294" t="b">
        <v>0</v>
      </c>
      <c r="F18294" t="s">
        <v>11610</v>
      </c>
      <c r="L18294">
        <v>0</v>
      </c>
      <c r="M18294">
        <v>0</v>
      </c>
      <c r="N18294">
        <v>0</v>
      </c>
    </row>
    <row r="18295" spans="1:15">
      <c r="A18295" t="s">
        <v>55403</v>
      </c>
      <c r="B18295" t="s">
        <v>367</v>
      </c>
      <c r="C18295" t="s">
        <v>16680</v>
      </c>
      <c r="D18295" t="s">
        <v>55404</v>
      </c>
      <c r="E18295" t="b">
        <v>0</v>
      </c>
      <c r="F18295" t="s">
        <v>11610</v>
      </c>
      <c r="L18295">
        <v>0</v>
      </c>
      <c r="M18295">
        <v>0</v>
      </c>
      <c r="N18295">
        <v>0</v>
      </c>
    </row>
    <row r="18296" spans="1:15">
      <c r="A18296" t="s">
        <v>55405</v>
      </c>
      <c r="B18296" t="s">
        <v>367</v>
      </c>
      <c r="C18296" t="s">
        <v>14563</v>
      </c>
      <c r="D18296" t="s">
        <v>55406</v>
      </c>
      <c r="E18296" t="b">
        <v>0</v>
      </c>
      <c r="F18296" t="s">
        <v>11610</v>
      </c>
      <c r="L18296">
        <v>0</v>
      </c>
      <c r="M18296">
        <v>0</v>
      </c>
      <c r="N18296">
        <v>0</v>
      </c>
    </row>
    <row r="18297" spans="1:15">
      <c r="A18297" t="s">
        <v>55407</v>
      </c>
      <c r="B18297" t="s">
        <v>367</v>
      </c>
      <c r="C18297" t="s">
        <v>23017</v>
      </c>
      <c r="D18297" t="s">
        <v>55408</v>
      </c>
      <c r="E18297" t="b">
        <v>0</v>
      </c>
      <c r="F18297" t="s">
        <v>11610</v>
      </c>
      <c r="L18297">
        <v>0</v>
      </c>
      <c r="M18297">
        <v>0</v>
      </c>
      <c r="N18297">
        <v>0</v>
      </c>
    </row>
    <row r="18298" spans="1:15">
      <c r="A18298" t="s">
        <v>55409</v>
      </c>
      <c r="B18298" t="s">
        <v>11627</v>
      </c>
      <c r="C18298" t="s">
        <v>11627</v>
      </c>
      <c r="D18298" t="s">
        <v>55410</v>
      </c>
      <c r="E18298" t="b">
        <v>1</v>
      </c>
      <c r="F18298" t="s">
        <v>11624</v>
      </c>
      <c r="G18298">
        <v>13.478999999999999</v>
      </c>
      <c r="H18298">
        <v>103.97799999999999</v>
      </c>
      <c r="I18298" t="s">
        <v>55411</v>
      </c>
      <c r="L18298">
        <v>0</v>
      </c>
      <c r="M18298">
        <v>0</v>
      </c>
      <c r="N18298">
        <v>0</v>
      </c>
      <c r="O18298" t="s">
        <v>20983</v>
      </c>
    </row>
    <row r="18299" spans="1:15">
      <c r="A18299" t="s">
        <v>55412</v>
      </c>
      <c r="B18299" t="s">
        <v>12438</v>
      </c>
      <c r="C18299" t="s">
        <v>18968</v>
      </c>
      <c r="D18299" t="s">
        <v>55413</v>
      </c>
      <c r="E18299" t="b">
        <v>0</v>
      </c>
      <c r="F18299" t="s">
        <v>11624</v>
      </c>
      <c r="G18299">
        <v>22.0185</v>
      </c>
      <c r="H18299">
        <v>99.257599999999996</v>
      </c>
      <c r="I18299" t="s">
        <v>55414</v>
      </c>
      <c r="L18299">
        <v>0</v>
      </c>
      <c r="M18299">
        <v>0</v>
      </c>
      <c r="N18299">
        <v>0</v>
      </c>
      <c r="O18299" t="s">
        <v>12727</v>
      </c>
    </row>
    <row r="18300" spans="1:15">
      <c r="A18300" t="s">
        <v>55415</v>
      </c>
      <c r="B18300" t="s">
        <v>12148</v>
      </c>
      <c r="C18300" t="s">
        <v>15018</v>
      </c>
      <c r="D18300" t="s">
        <v>55416</v>
      </c>
      <c r="E18300" t="b">
        <v>0</v>
      </c>
      <c r="F18300" t="s">
        <v>11610</v>
      </c>
      <c r="L18300">
        <v>0</v>
      </c>
      <c r="M18300">
        <v>0</v>
      </c>
      <c r="N18300">
        <v>0</v>
      </c>
    </row>
    <row r="18301" spans="1:15">
      <c r="A18301" t="s">
        <v>55417</v>
      </c>
      <c r="B18301" t="s">
        <v>11653</v>
      </c>
      <c r="C18301" t="s">
        <v>7039</v>
      </c>
      <c r="D18301" t="s">
        <v>55418</v>
      </c>
      <c r="E18301" t="b">
        <v>0</v>
      </c>
      <c r="F18301" t="s">
        <v>11610</v>
      </c>
      <c r="L18301">
        <v>0</v>
      </c>
      <c r="M18301">
        <v>0</v>
      </c>
      <c r="N18301">
        <v>0</v>
      </c>
    </row>
    <row r="18302" spans="1:15">
      <c r="A18302" t="s">
        <v>46631</v>
      </c>
      <c r="B18302" t="s">
        <v>6742</v>
      </c>
      <c r="C18302" t="s">
        <v>21811</v>
      </c>
      <c r="D18302" t="s">
        <v>55419</v>
      </c>
      <c r="E18302" t="b">
        <v>0</v>
      </c>
      <c r="F18302" t="s">
        <v>11622</v>
      </c>
      <c r="L18302">
        <v>0</v>
      </c>
      <c r="M18302">
        <v>3</v>
      </c>
      <c r="N18302">
        <v>6</v>
      </c>
    </row>
    <row r="18303" spans="1:15">
      <c r="A18303" t="s">
        <v>55420</v>
      </c>
      <c r="B18303" t="s">
        <v>11637</v>
      </c>
      <c r="C18303" t="s">
        <v>13719</v>
      </c>
      <c r="D18303" t="s">
        <v>55421</v>
      </c>
      <c r="E18303" t="b">
        <v>0</v>
      </c>
      <c r="F18303" t="s">
        <v>11624</v>
      </c>
      <c r="G18303">
        <v>18.306799999999999</v>
      </c>
      <c r="H18303">
        <v>74.910399999999996</v>
      </c>
      <c r="I18303" t="s">
        <v>55422</v>
      </c>
      <c r="L18303">
        <v>0</v>
      </c>
      <c r="M18303">
        <v>0</v>
      </c>
      <c r="N18303">
        <v>0</v>
      </c>
      <c r="O18303" t="s">
        <v>11630</v>
      </c>
    </row>
    <row r="18304" spans="1:15">
      <c r="A18304" t="s">
        <v>55423</v>
      </c>
      <c r="B18304" t="s">
        <v>11644</v>
      </c>
      <c r="C18304" t="s">
        <v>21072</v>
      </c>
      <c r="D18304" t="s">
        <v>55424</v>
      </c>
      <c r="E18304" t="b">
        <v>0</v>
      </c>
      <c r="F18304" t="s">
        <v>11610</v>
      </c>
      <c r="L18304">
        <v>0</v>
      </c>
      <c r="M18304">
        <v>0</v>
      </c>
      <c r="N18304">
        <v>0</v>
      </c>
    </row>
    <row r="18305" spans="1:15">
      <c r="A18305" t="s">
        <v>55425</v>
      </c>
      <c r="B18305" t="s">
        <v>11637</v>
      </c>
      <c r="C18305" t="s">
        <v>4401</v>
      </c>
      <c r="D18305" t="s">
        <v>55426</v>
      </c>
      <c r="E18305" t="b">
        <v>0</v>
      </c>
      <c r="F18305" t="s">
        <v>11610</v>
      </c>
      <c r="L18305">
        <v>0</v>
      </c>
      <c r="M18305">
        <v>0</v>
      </c>
      <c r="N18305">
        <v>0</v>
      </c>
    </row>
    <row r="18306" spans="1:15">
      <c r="A18306" t="s">
        <v>39952</v>
      </c>
      <c r="B18306" t="s">
        <v>6742</v>
      </c>
      <c r="C18306" t="s">
        <v>43631</v>
      </c>
      <c r="D18306" t="s">
        <v>55427</v>
      </c>
      <c r="E18306" t="b">
        <v>0</v>
      </c>
      <c r="F18306" t="s">
        <v>11622</v>
      </c>
      <c r="L18306">
        <v>0</v>
      </c>
      <c r="M18306">
        <v>2</v>
      </c>
      <c r="N18306">
        <v>7</v>
      </c>
    </row>
    <row r="18307" spans="1:15">
      <c r="A18307" t="s">
        <v>55428</v>
      </c>
      <c r="B18307" t="s">
        <v>367</v>
      </c>
      <c r="C18307" t="s">
        <v>21560</v>
      </c>
      <c r="D18307" t="s">
        <v>55429</v>
      </c>
      <c r="E18307" t="b">
        <v>0</v>
      </c>
      <c r="F18307" t="s">
        <v>11610</v>
      </c>
      <c r="L18307">
        <v>0</v>
      </c>
      <c r="M18307">
        <v>0</v>
      </c>
      <c r="N18307">
        <v>0</v>
      </c>
    </row>
    <row r="18308" spans="1:15">
      <c r="A18308" t="s">
        <v>55430</v>
      </c>
      <c r="B18308" t="s">
        <v>12751</v>
      </c>
      <c r="C18308" t="s">
        <v>2723</v>
      </c>
      <c r="D18308" t="s">
        <v>55431</v>
      </c>
      <c r="E18308" t="b">
        <v>0</v>
      </c>
      <c r="F18308" t="s">
        <v>11610</v>
      </c>
      <c r="L18308">
        <v>0</v>
      </c>
      <c r="M18308">
        <v>0</v>
      </c>
      <c r="N18308">
        <v>0</v>
      </c>
    </row>
    <row r="18309" spans="1:15">
      <c r="A18309" t="s">
        <v>55432</v>
      </c>
      <c r="B18309" t="s">
        <v>11627</v>
      </c>
      <c r="C18309" t="s">
        <v>11627</v>
      </c>
      <c r="D18309" t="s">
        <v>55433</v>
      </c>
      <c r="E18309" t="b">
        <v>1</v>
      </c>
      <c r="F18309" t="s">
        <v>11624</v>
      </c>
      <c r="G18309">
        <v>-22.114540000000002</v>
      </c>
      <c r="H18309">
        <v>-58.906979999999997</v>
      </c>
      <c r="I18309" t="s">
        <v>55434</v>
      </c>
      <c r="L18309">
        <v>0</v>
      </c>
      <c r="M18309">
        <v>0</v>
      </c>
      <c r="N18309">
        <v>0</v>
      </c>
      <c r="O18309" t="s">
        <v>11916</v>
      </c>
    </row>
    <row r="18310" spans="1:15">
      <c r="A18310" t="s">
        <v>55435</v>
      </c>
      <c r="B18310" t="s">
        <v>141</v>
      </c>
      <c r="C18310" t="s">
        <v>14187</v>
      </c>
      <c r="D18310" t="s">
        <v>55436</v>
      </c>
      <c r="E18310" t="b">
        <v>0</v>
      </c>
      <c r="F18310" t="s">
        <v>11610</v>
      </c>
      <c r="L18310">
        <v>0</v>
      </c>
      <c r="M18310">
        <v>0</v>
      </c>
      <c r="N18310">
        <v>0</v>
      </c>
    </row>
    <row r="18311" spans="1:15">
      <c r="A18311" t="s">
        <v>55437</v>
      </c>
      <c r="B18311" t="s">
        <v>13244</v>
      </c>
      <c r="C18311" t="s">
        <v>14359</v>
      </c>
      <c r="D18311" t="s">
        <v>55438</v>
      </c>
      <c r="E18311" t="b">
        <v>0</v>
      </c>
      <c r="F18311" t="s">
        <v>11610</v>
      </c>
      <c r="L18311">
        <v>0</v>
      </c>
      <c r="M18311">
        <v>0</v>
      </c>
      <c r="N18311">
        <v>0</v>
      </c>
    </row>
    <row r="18312" spans="1:15">
      <c r="A18312" t="s">
        <v>55439</v>
      </c>
      <c r="B18312" t="s">
        <v>11879</v>
      </c>
      <c r="C18312" t="s">
        <v>41636</v>
      </c>
      <c r="D18312" t="s">
        <v>55440</v>
      </c>
      <c r="E18312" t="b">
        <v>0</v>
      </c>
      <c r="F18312" t="s">
        <v>11610</v>
      </c>
      <c r="L18312">
        <v>0</v>
      </c>
      <c r="M18312">
        <v>0</v>
      </c>
      <c r="N18312">
        <v>0</v>
      </c>
    </row>
    <row r="18313" spans="1:15">
      <c r="A18313" t="s">
        <v>55441</v>
      </c>
      <c r="B18313" t="s">
        <v>11879</v>
      </c>
      <c r="C18313" t="s">
        <v>21054</v>
      </c>
      <c r="D18313" t="s">
        <v>55442</v>
      </c>
      <c r="E18313" t="b">
        <v>0</v>
      </c>
      <c r="F18313" t="s">
        <v>11610</v>
      </c>
      <c r="L18313">
        <v>0</v>
      </c>
      <c r="M18313">
        <v>0</v>
      </c>
      <c r="N18313">
        <v>0</v>
      </c>
    </row>
    <row r="18314" spans="1:15">
      <c r="A18314" t="s">
        <v>55443</v>
      </c>
      <c r="B18314" t="s">
        <v>11879</v>
      </c>
      <c r="C18314" t="s">
        <v>41000</v>
      </c>
      <c r="D18314" t="s">
        <v>55444</v>
      </c>
      <c r="E18314" t="b">
        <v>0</v>
      </c>
      <c r="F18314" t="s">
        <v>11624</v>
      </c>
      <c r="G18314">
        <v>16.220199999999998</v>
      </c>
      <c r="H18314">
        <v>-96.336200000000005</v>
      </c>
      <c r="I18314" t="s">
        <v>55445</v>
      </c>
      <c r="L18314">
        <v>0</v>
      </c>
      <c r="M18314">
        <v>0</v>
      </c>
      <c r="N18314">
        <v>0</v>
      </c>
      <c r="O18314" t="s">
        <v>11883</v>
      </c>
    </row>
    <row r="18315" spans="1:15">
      <c r="A18315" t="s">
        <v>55446</v>
      </c>
      <c r="B18315" t="s">
        <v>11879</v>
      </c>
      <c r="C18315" t="s">
        <v>55447</v>
      </c>
      <c r="D18315" t="s">
        <v>55448</v>
      </c>
      <c r="E18315" t="b">
        <v>0</v>
      </c>
      <c r="F18315" t="s">
        <v>11610</v>
      </c>
      <c r="L18315">
        <v>0</v>
      </c>
      <c r="M18315">
        <v>0</v>
      </c>
      <c r="N18315">
        <v>0</v>
      </c>
    </row>
    <row r="18316" spans="1:15">
      <c r="A18316" t="s">
        <v>55449</v>
      </c>
      <c r="B18316" t="s">
        <v>11607</v>
      </c>
      <c r="C18316" t="s">
        <v>31667</v>
      </c>
      <c r="D18316" t="s">
        <v>55450</v>
      </c>
      <c r="E18316" t="b">
        <v>0</v>
      </c>
      <c r="F18316" t="s">
        <v>11610</v>
      </c>
      <c r="L18316">
        <v>0</v>
      </c>
      <c r="M18316">
        <v>0</v>
      </c>
      <c r="N18316">
        <v>0</v>
      </c>
    </row>
    <row r="18317" spans="1:15">
      <c r="A18317" t="s">
        <v>55451</v>
      </c>
      <c r="B18317" t="s">
        <v>11607</v>
      </c>
      <c r="C18317" t="s">
        <v>4675</v>
      </c>
      <c r="D18317" t="s">
        <v>55452</v>
      </c>
      <c r="E18317" t="b">
        <v>0</v>
      </c>
      <c r="F18317" t="s">
        <v>11624</v>
      </c>
      <c r="G18317">
        <v>15.655200000000001</v>
      </c>
      <c r="H18317">
        <v>44.841200000000001</v>
      </c>
      <c r="I18317" t="s">
        <v>55453</v>
      </c>
      <c r="L18317">
        <v>0</v>
      </c>
      <c r="M18317">
        <v>0</v>
      </c>
      <c r="N18317">
        <v>0</v>
      </c>
      <c r="O18317" t="s">
        <v>30509</v>
      </c>
    </row>
    <row r="18318" spans="1:15">
      <c r="A18318" t="s">
        <v>55454</v>
      </c>
      <c r="B18318" t="s">
        <v>11607</v>
      </c>
      <c r="C18318" t="s">
        <v>4703</v>
      </c>
      <c r="D18318" t="s">
        <v>55455</v>
      </c>
      <c r="E18318" t="b">
        <v>0</v>
      </c>
      <c r="F18318" t="s">
        <v>11610</v>
      </c>
      <c r="L18318">
        <v>0</v>
      </c>
      <c r="M18318">
        <v>0</v>
      </c>
      <c r="N18318">
        <v>0</v>
      </c>
    </row>
    <row r="18319" spans="1:15">
      <c r="A18319" t="s">
        <v>55456</v>
      </c>
      <c r="B18319" t="s">
        <v>11637</v>
      </c>
      <c r="C18319" t="s">
        <v>17843</v>
      </c>
      <c r="D18319" t="s">
        <v>55457</v>
      </c>
      <c r="E18319" t="b">
        <v>0</v>
      </c>
      <c r="F18319" t="s">
        <v>11624</v>
      </c>
      <c r="G18319">
        <v>12.553520000000001</v>
      </c>
      <c r="H18319">
        <v>-81.704250000000002</v>
      </c>
      <c r="I18319" t="s">
        <v>55458</v>
      </c>
      <c r="L18319">
        <v>0</v>
      </c>
      <c r="M18319">
        <v>0</v>
      </c>
      <c r="N18319">
        <v>0</v>
      </c>
      <c r="O18319" t="s">
        <v>11898</v>
      </c>
    </row>
    <row r="18320" spans="1:15">
      <c r="A18320" t="s">
        <v>55459</v>
      </c>
      <c r="B18320" t="s">
        <v>13821</v>
      </c>
      <c r="C18320" t="s">
        <v>13822</v>
      </c>
      <c r="D18320" t="s">
        <v>55460</v>
      </c>
      <c r="E18320" t="b">
        <v>0</v>
      </c>
      <c r="F18320" t="s">
        <v>11624</v>
      </c>
      <c r="G18320">
        <v>-23.2</v>
      </c>
      <c r="H18320">
        <v>-58</v>
      </c>
      <c r="I18320" t="s">
        <v>55461</v>
      </c>
      <c r="L18320">
        <v>0</v>
      </c>
      <c r="M18320">
        <v>0</v>
      </c>
      <c r="N18320">
        <v>0</v>
      </c>
      <c r="O18320" t="s">
        <v>11916</v>
      </c>
    </row>
    <row r="18321" spans="1:15">
      <c r="A18321" t="s">
        <v>55462</v>
      </c>
      <c r="B18321" t="s">
        <v>12751</v>
      </c>
      <c r="C18321" t="s">
        <v>25162</v>
      </c>
      <c r="D18321" t="s">
        <v>55463</v>
      </c>
      <c r="E18321" t="b">
        <v>0</v>
      </c>
      <c r="F18321" t="s">
        <v>11610</v>
      </c>
      <c r="L18321">
        <v>0</v>
      </c>
      <c r="M18321">
        <v>0</v>
      </c>
      <c r="N18321">
        <v>0</v>
      </c>
    </row>
    <row r="18322" spans="1:15">
      <c r="A18322" t="s">
        <v>55464</v>
      </c>
      <c r="B18322" t="s">
        <v>11879</v>
      </c>
      <c r="C18322" t="s">
        <v>23205</v>
      </c>
      <c r="D18322" t="s">
        <v>55465</v>
      </c>
      <c r="E18322" t="b">
        <v>0</v>
      </c>
      <c r="F18322" t="s">
        <v>11624</v>
      </c>
      <c r="G18322">
        <v>16.040900000000001</v>
      </c>
      <c r="H18322">
        <v>-96.762</v>
      </c>
      <c r="I18322" t="s">
        <v>55466</v>
      </c>
      <c r="L18322">
        <v>0</v>
      </c>
      <c r="M18322">
        <v>0</v>
      </c>
      <c r="N18322">
        <v>0</v>
      </c>
      <c r="O18322" t="s">
        <v>11883</v>
      </c>
    </row>
    <row r="18323" spans="1:15">
      <c r="A18323" t="s">
        <v>6391</v>
      </c>
      <c r="B18323" t="s">
        <v>6455</v>
      </c>
      <c r="C18323" t="s">
        <v>156</v>
      </c>
      <c r="D18323" t="s">
        <v>55467</v>
      </c>
      <c r="E18323" t="b">
        <v>0</v>
      </c>
      <c r="F18323" t="s">
        <v>11624</v>
      </c>
      <c r="G18323">
        <v>9.15686</v>
      </c>
      <c r="H18323">
        <v>-78.307500000000005</v>
      </c>
      <c r="I18323" t="s">
        <v>6392</v>
      </c>
      <c r="L18323">
        <v>0</v>
      </c>
      <c r="M18323">
        <v>0</v>
      </c>
      <c r="N18323">
        <v>2</v>
      </c>
      <c r="O18323" t="s">
        <v>19590</v>
      </c>
    </row>
    <row r="18324" spans="1:15">
      <c r="A18324" t="s">
        <v>14619</v>
      </c>
      <c r="B18324" t="s">
        <v>367</v>
      </c>
      <c r="C18324" t="s">
        <v>42110</v>
      </c>
      <c r="D18324" t="s">
        <v>55468</v>
      </c>
      <c r="E18324" t="b">
        <v>0</v>
      </c>
      <c r="F18324" t="s">
        <v>11622</v>
      </c>
      <c r="L18324">
        <v>0</v>
      </c>
      <c r="M18324">
        <v>5</v>
      </c>
      <c r="N18324">
        <v>11</v>
      </c>
    </row>
    <row r="18325" spans="1:15">
      <c r="A18325" t="s">
        <v>55469</v>
      </c>
      <c r="B18325" t="s">
        <v>11879</v>
      </c>
      <c r="C18325" t="s">
        <v>41636</v>
      </c>
      <c r="D18325" t="s">
        <v>55470</v>
      </c>
      <c r="E18325" t="b">
        <v>0</v>
      </c>
      <c r="F18325" t="s">
        <v>11610</v>
      </c>
      <c r="L18325">
        <v>0</v>
      </c>
      <c r="M18325">
        <v>0</v>
      </c>
      <c r="N18325">
        <v>0</v>
      </c>
    </row>
    <row r="18326" spans="1:15">
      <c r="A18326" t="s">
        <v>55471</v>
      </c>
      <c r="B18326" t="s">
        <v>5126</v>
      </c>
      <c r="C18326" t="s">
        <v>29752</v>
      </c>
      <c r="D18326" t="s">
        <v>55472</v>
      </c>
      <c r="E18326" t="b">
        <v>0</v>
      </c>
      <c r="F18326" t="s">
        <v>11610</v>
      </c>
      <c r="L18326">
        <v>0</v>
      </c>
      <c r="M18326">
        <v>0</v>
      </c>
      <c r="N18326">
        <v>0</v>
      </c>
    </row>
    <row r="18327" spans="1:15">
      <c r="A18327" t="s">
        <v>55473</v>
      </c>
      <c r="B18327" t="s">
        <v>11644</v>
      </c>
      <c r="C18327" t="s">
        <v>14775</v>
      </c>
      <c r="D18327" t="s">
        <v>55474</v>
      </c>
      <c r="E18327" t="b">
        <v>0</v>
      </c>
      <c r="F18327" t="s">
        <v>11610</v>
      </c>
      <c r="L18327">
        <v>0</v>
      </c>
      <c r="M18327">
        <v>0</v>
      </c>
      <c r="N18327">
        <v>0</v>
      </c>
    </row>
    <row r="18328" spans="1:15">
      <c r="A18328" t="s">
        <v>55475</v>
      </c>
      <c r="B18328" t="s">
        <v>5126</v>
      </c>
      <c r="C18328" t="s">
        <v>14064</v>
      </c>
      <c r="D18328" t="s">
        <v>55476</v>
      </c>
      <c r="E18328" t="b">
        <v>0</v>
      </c>
      <c r="F18328" t="s">
        <v>11610</v>
      </c>
      <c r="L18328">
        <v>0</v>
      </c>
      <c r="M18328">
        <v>0</v>
      </c>
      <c r="N18328">
        <v>0</v>
      </c>
    </row>
    <row r="18329" spans="1:15">
      <c r="A18329" t="s">
        <v>55477</v>
      </c>
      <c r="B18329" t="s">
        <v>6742</v>
      </c>
      <c r="C18329" t="s">
        <v>16789</v>
      </c>
      <c r="D18329" t="s">
        <v>55478</v>
      </c>
      <c r="E18329" t="b">
        <v>0</v>
      </c>
      <c r="F18329" t="s">
        <v>11610</v>
      </c>
      <c r="L18329">
        <v>0</v>
      </c>
      <c r="M18329">
        <v>0</v>
      </c>
      <c r="N18329">
        <v>0</v>
      </c>
    </row>
    <row r="18330" spans="1:15">
      <c r="A18330" t="s">
        <v>55479</v>
      </c>
      <c r="B18330" t="s">
        <v>13276</v>
      </c>
      <c r="C18330" t="s">
        <v>20688</v>
      </c>
      <c r="D18330" t="s">
        <v>55480</v>
      </c>
      <c r="E18330" t="b">
        <v>0</v>
      </c>
      <c r="F18330" t="s">
        <v>11610</v>
      </c>
      <c r="L18330">
        <v>0</v>
      </c>
      <c r="M18330">
        <v>0</v>
      </c>
      <c r="N18330">
        <v>0</v>
      </c>
    </row>
    <row r="18331" spans="1:15">
      <c r="A18331" t="s">
        <v>55481</v>
      </c>
      <c r="D18331" t="s">
        <v>55482</v>
      </c>
      <c r="E18331" t="b">
        <v>0</v>
      </c>
      <c r="F18331" t="s">
        <v>11624</v>
      </c>
      <c r="G18331">
        <v>-5.2691800000000004</v>
      </c>
      <c r="H18331">
        <v>35.480800000000002</v>
      </c>
      <c r="I18331" t="s">
        <v>55483</v>
      </c>
      <c r="L18331">
        <v>0</v>
      </c>
      <c r="M18331">
        <v>0</v>
      </c>
      <c r="N18331">
        <v>0</v>
      </c>
      <c r="O18331" t="s">
        <v>11635</v>
      </c>
    </row>
    <row r="18332" spans="1:15">
      <c r="A18332" t="s">
        <v>55484</v>
      </c>
      <c r="B18332" t="s">
        <v>367</v>
      </c>
      <c r="C18332" t="s">
        <v>16690</v>
      </c>
      <c r="D18332" t="s">
        <v>55485</v>
      </c>
      <c r="E18332" t="b">
        <v>0</v>
      </c>
      <c r="F18332" t="s">
        <v>11610</v>
      </c>
      <c r="L18332">
        <v>0</v>
      </c>
      <c r="M18332">
        <v>0</v>
      </c>
      <c r="N18332">
        <v>0</v>
      </c>
    </row>
    <row r="18333" spans="1:15">
      <c r="A18333" t="s">
        <v>55486</v>
      </c>
      <c r="B18333" t="s">
        <v>367</v>
      </c>
      <c r="C18333" t="s">
        <v>17632</v>
      </c>
      <c r="D18333" t="s">
        <v>55487</v>
      </c>
      <c r="E18333" t="b">
        <v>0</v>
      </c>
      <c r="F18333" t="s">
        <v>11610</v>
      </c>
      <c r="L18333">
        <v>0</v>
      </c>
      <c r="M18333">
        <v>0</v>
      </c>
      <c r="N18333">
        <v>0</v>
      </c>
    </row>
    <row r="18334" spans="1:15">
      <c r="A18334" t="s">
        <v>55488</v>
      </c>
      <c r="B18334" t="s">
        <v>367</v>
      </c>
      <c r="C18334" t="s">
        <v>36513</v>
      </c>
      <c r="D18334" t="s">
        <v>55489</v>
      </c>
      <c r="E18334" t="b">
        <v>0</v>
      </c>
      <c r="F18334" t="s">
        <v>11610</v>
      </c>
      <c r="L18334">
        <v>0</v>
      </c>
      <c r="M18334">
        <v>0</v>
      </c>
      <c r="N18334">
        <v>0</v>
      </c>
    </row>
    <row r="18335" spans="1:15">
      <c r="A18335" t="s">
        <v>55490</v>
      </c>
      <c r="B18335" t="s">
        <v>14571</v>
      </c>
      <c r="C18335" t="s">
        <v>32759</v>
      </c>
      <c r="D18335" t="s">
        <v>55491</v>
      </c>
      <c r="E18335" t="b">
        <v>0</v>
      </c>
      <c r="F18335" t="s">
        <v>11610</v>
      </c>
      <c r="L18335">
        <v>0</v>
      </c>
      <c r="M18335">
        <v>0</v>
      </c>
      <c r="N18335">
        <v>0</v>
      </c>
    </row>
    <row r="18336" spans="1:15">
      <c r="A18336" t="s">
        <v>55492</v>
      </c>
      <c r="B18336" t="s">
        <v>31598</v>
      </c>
      <c r="C18336" t="s">
        <v>55493</v>
      </c>
      <c r="D18336" t="s">
        <v>55494</v>
      </c>
      <c r="E18336" t="b">
        <v>0</v>
      </c>
      <c r="F18336" t="s">
        <v>11624</v>
      </c>
      <c r="G18336">
        <v>16.351400000000002</v>
      </c>
      <c r="H18336">
        <v>-94.700100000000006</v>
      </c>
      <c r="I18336" t="s">
        <v>55495</v>
      </c>
      <c r="L18336">
        <v>0</v>
      </c>
      <c r="M18336">
        <v>0</v>
      </c>
      <c r="N18336">
        <v>0</v>
      </c>
      <c r="O18336" t="s">
        <v>11883</v>
      </c>
    </row>
    <row r="18337" spans="1:15">
      <c r="A18337" t="s">
        <v>55496</v>
      </c>
      <c r="B18337" t="s">
        <v>11607</v>
      </c>
      <c r="C18337" t="s">
        <v>17194</v>
      </c>
      <c r="D18337" t="s">
        <v>55497</v>
      </c>
      <c r="E18337" t="b">
        <v>0</v>
      </c>
      <c r="F18337" t="s">
        <v>11610</v>
      </c>
      <c r="L18337">
        <v>0</v>
      </c>
      <c r="M18337">
        <v>0</v>
      </c>
      <c r="N18337">
        <v>0</v>
      </c>
    </row>
    <row r="18338" spans="1:15">
      <c r="A18338" t="s">
        <v>55493</v>
      </c>
      <c r="B18338" t="s">
        <v>31598</v>
      </c>
      <c r="C18338" t="s">
        <v>31598</v>
      </c>
      <c r="D18338" t="s">
        <v>55498</v>
      </c>
      <c r="E18338" t="b">
        <v>0</v>
      </c>
      <c r="F18338" t="s">
        <v>11622</v>
      </c>
      <c r="L18338">
        <v>0</v>
      </c>
      <c r="M18338">
        <v>2</v>
      </c>
      <c r="N18338">
        <v>0</v>
      </c>
    </row>
    <row r="18339" spans="1:15">
      <c r="A18339" t="s">
        <v>55499</v>
      </c>
      <c r="B18339" t="s">
        <v>31598</v>
      </c>
      <c r="C18339" t="s">
        <v>55500</v>
      </c>
      <c r="D18339" t="s">
        <v>55501</v>
      </c>
      <c r="E18339" t="b">
        <v>0</v>
      </c>
      <c r="F18339" t="s">
        <v>11624</v>
      </c>
      <c r="G18339">
        <v>16.2836</v>
      </c>
      <c r="H18339">
        <v>-94.573800000000006</v>
      </c>
      <c r="I18339" t="s">
        <v>55502</v>
      </c>
      <c r="L18339">
        <v>0</v>
      </c>
      <c r="M18339">
        <v>0</v>
      </c>
      <c r="N18339">
        <v>0</v>
      </c>
      <c r="O18339" t="s">
        <v>11883</v>
      </c>
    </row>
    <row r="18340" spans="1:15">
      <c r="A18340" t="s">
        <v>55503</v>
      </c>
      <c r="B18340" t="s">
        <v>12751</v>
      </c>
      <c r="C18340" t="s">
        <v>27050</v>
      </c>
      <c r="D18340" t="s">
        <v>55504</v>
      </c>
      <c r="E18340" t="b">
        <v>0</v>
      </c>
      <c r="F18340" t="s">
        <v>11610</v>
      </c>
      <c r="L18340">
        <v>0</v>
      </c>
      <c r="M18340">
        <v>0</v>
      </c>
      <c r="N18340">
        <v>0</v>
      </c>
    </row>
    <row r="18341" spans="1:15">
      <c r="A18341" t="s">
        <v>55505</v>
      </c>
      <c r="B18341" t="s">
        <v>10368</v>
      </c>
      <c r="C18341" t="s">
        <v>23239</v>
      </c>
      <c r="D18341" t="s">
        <v>55506</v>
      </c>
      <c r="E18341" t="b">
        <v>0</v>
      </c>
      <c r="F18341" t="s">
        <v>11610</v>
      </c>
      <c r="L18341">
        <v>0</v>
      </c>
      <c r="M18341">
        <v>0</v>
      </c>
      <c r="N18341">
        <v>0</v>
      </c>
    </row>
    <row r="18342" spans="1:15">
      <c r="A18342" t="s">
        <v>55507</v>
      </c>
      <c r="B18342" t="s">
        <v>17579</v>
      </c>
      <c r="C18342" t="s">
        <v>26368</v>
      </c>
      <c r="D18342" t="s">
        <v>9947</v>
      </c>
      <c r="E18342" t="b">
        <v>0</v>
      </c>
      <c r="F18342" t="s">
        <v>11610</v>
      </c>
      <c r="L18342">
        <v>0</v>
      </c>
      <c r="M18342">
        <v>0</v>
      </c>
      <c r="N18342">
        <v>0</v>
      </c>
    </row>
    <row r="18343" spans="1:15">
      <c r="A18343" t="s">
        <v>55508</v>
      </c>
      <c r="B18343" t="s">
        <v>11879</v>
      </c>
      <c r="C18343" t="s">
        <v>15106</v>
      </c>
      <c r="D18343" t="s">
        <v>55509</v>
      </c>
      <c r="E18343" t="b">
        <v>0</v>
      </c>
      <c r="F18343" t="s">
        <v>11624</v>
      </c>
      <c r="G18343">
        <v>19.3584</v>
      </c>
      <c r="H18343">
        <v>-100.05800000000001</v>
      </c>
      <c r="I18343" t="s">
        <v>55510</v>
      </c>
      <c r="L18343">
        <v>0</v>
      </c>
      <c r="M18343">
        <v>0</v>
      </c>
      <c r="N18343">
        <v>0</v>
      </c>
      <c r="O18343" t="s">
        <v>11883</v>
      </c>
    </row>
    <row r="18344" spans="1:15">
      <c r="A18344" t="s">
        <v>55511</v>
      </c>
      <c r="B18344" t="s">
        <v>11879</v>
      </c>
      <c r="C18344" t="s">
        <v>27440</v>
      </c>
      <c r="D18344" t="s">
        <v>55512</v>
      </c>
      <c r="E18344" t="b">
        <v>0</v>
      </c>
      <c r="F18344" t="s">
        <v>11610</v>
      </c>
      <c r="L18344">
        <v>0</v>
      </c>
      <c r="M18344">
        <v>0</v>
      </c>
      <c r="N18344">
        <v>0</v>
      </c>
    </row>
    <row r="18345" spans="1:15">
      <c r="A18345" t="s">
        <v>31622</v>
      </c>
      <c r="B18345" t="s">
        <v>11879</v>
      </c>
      <c r="C18345" t="s">
        <v>23505</v>
      </c>
      <c r="D18345" t="s">
        <v>55513</v>
      </c>
      <c r="E18345" t="b">
        <v>0</v>
      </c>
      <c r="F18345" t="s">
        <v>11624</v>
      </c>
      <c r="G18345">
        <v>18.359400000000001</v>
      </c>
      <c r="H18345">
        <v>-97.743200000000002</v>
      </c>
      <c r="I18345" t="s">
        <v>55514</v>
      </c>
      <c r="L18345">
        <v>0</v>
      </c>
      <c r="M18345">
        <v>0</v>
      </c>
      <c r="N18345">
        <v>2</v>
      </c>
      <c r="O18345" t="s">
        <v>11883</v>
      </c>
    </row>
    <row r="18346" spans="1:15">
      <c r="A18346" t="s">
        <v>55515</v>
      </c>
      <c r="B18346" t="s">
        <v>11879</v>
      </c>
      <c r="C18346" t="s">
        <v>55447</v>
      </c>
      <c r="D18346" t="s">
        <v>55516</v>
      </c>
      <c r="E18346" t="b">
        <v>0</v>
      </c>
      <c r="F18346" t="s">
        <v>11610</v>
      </c>
      <c r="L18346">
        <v>0</v>
      </c>
      <c r="M18346">
        <v>0</v>
      </c>
      <c r="N18346">
        <v>0</v>
      </c>
    </row>
    <row r="18347" spans="1:15">
      <c r="A18347" t="s">
        <v>55517</v>
      </c>
      <c r="B18347" t="s">
        <v>13360</v>
      </c>
      <c r="C18347" t="s">
        <v>13360</v>
      </c>
      <c r="D18347" t="s">
        <v>55518</v>
      </c>
      <c r="E18347" t="b">
        <v>0</v>
      </c>
      <c r="F18347" t="s">
        <v>11624</v>
      </c>
      <c r="I18347" t="s">
        <v>55519</v>
      </c>
      <c r="L18347">
        <v>0</v>
      </c>
      <c r="M18347">
        <v>0</v>
      </c>
      <c r="N18347">
        <v>0</v>
      </c>
      <c r="O18347" t="s">
        <v>11944</v>
      </c>
    </row>
    <row r="18348" spans="1:15">
      <c r="A18348" t="s">
        <v>55500</v>
      </c>
      <c r="B18348" t="s">
        <v>31598</v>
      </c>
      <c r="C18348" t="s">
        <v>31598</v>
      </c>
      <c r="D18348" t="s">
        <v>55520</v>
      </c>
      <c r="E18348" t="b">
        <v>0</v>
      </c>
      <c r="F18348" t="s">
        <v>11622</v>
      </c>
      <c r="L18348">
        <v>0</v>
      </c>
      <c r="M18348">
        <v>2</v>
      </c>
      <c r="N18348">
        <v>0</v>
      </c>
    </row>
    <row r="18349" spans="1:15">
      <c r="A18349" t="s">
        <v>55521</v>
      </c>
      <c r="B18349" t="s">
        <v>11637</v>
      </c>
      <c r="C18349" t="s">
        <v>37166</v>
      </c>
      <c r="D18349" t="s">
        <v>55522</v>
      </c>
      <c r="E18349" t="b">
        <v>0</v>
      </c>
      <c r="F18349" t="s">
        <v>11624</v>
      </c>
      <c r="G18349">
        <v>35.72</v>
      </c>
      <c r="H18349">
        <v>53.3</v>
      </c>
      <c r="I18349" t="s">
        <v>55523</v>
      </c>
      <c r="L18349">
        <v>0</v>
      </c>
      <c r="M18349">
        <v>0</v>
      </c>
      <c r="N18349">
        <v>0</v>
      </c>
      <c r="O18349" t="s">
        <v>13225</v>
      </c>
    </row>
    <row r="18350" spans="1:15">
      <c r="A18350" t="s">
        <v>55524</v>
      </c>
      <c r="B18350" t="s">
        <v>11637</v>
      </c>
      <c r="C18350" t="s">
        <v>12270</v>
      </c>
      <c r="D18350" t="s">
        <v>55525</v>
      </c>
      <c r="E18350" t="b">
        <v>0</v>
      </c>
      <c r="F18350" t="s">
        <v>11610</v>
      </c>
      <c r="L18350">
        <v>0</v>
      </c>
      <c r="M18350">
        <v>0</v>
      </c>
      <c r="N18350">
        <v>0</v>
      </c>
    </row>
    <row r="18351" spans="1:15">
      <c r="A18351" t="s">
        <v>55526</v>
      </c>
      <c r="B18351" t="s">
        <v>11644</v>
      </c>
      <c r="C18351" t="s">
        <v>18846</v>
      </c>
      <c r="D18351" t="s">
        <v>55527</v>
      </c>
      <c r="E18351" t="b">
        <v>0</v>
      </c>
      <c r="F18351" t="s">
        <v>11624</v>
      </c>
      <c r="G18351">
        <v>21.64</v>
      </c>
      <c r="H18351">
        <v>100.77</v>
      </c>
      <c r="I18351" t="s">
        <v>55528</v>
      </c>
      <c r="L18351">
        <v>0</v>
      </c>
      <c r="M18351">
        <v>0</v>
      </c>
      <c r="N18351">
        <v>0</v>
      </c>
      <c r="O18351" t="s">
        <v>11905</v>
      </c>
    </row>
    <row r="18352" spans="1:15">
      <c r="A18352" t="s">
        <v>36760</v>
      </c>
      <c r="B18352" t="s">
        <v>11644</v>
      </c>
      <c r="C18352" t="s">
        <v>14090</v>
      </c>
      <c r="D18352" t="s">
        <v>55529</v>
      </c>
      <c r="E18352" t="b">
        <v>0</v>
      </c>
      <c r="F18352" t="s">
        <v>11624</v>
      </c>
      <c r="G18352">
        <v>25.8581</v>
      </c>
      <c r="H18352">
        <v>94.627899999999997</v>
      </c>
      <c r="I18352" t="s">
        <v>55530</v>
      </c>
      <c r="L18352">
        <v>0</v>
      </c>
      <c r="M18352">
        <v>0</v>
      </c>
      <c r="N18352">
        <v>6</v>
      </c>
      <c r="O18352" t="s">
        <v>11630</v>
      </c>
    </row>
    <row r="18353" spans="1:15">
      <c r="A18353" t="s">
        <v>55531</v>
      </c>
      <c r="B18353" t="s">
        <v>11644</v>
      </c>
      <c r="C18353" t="s">
        <v>13896</v>
      </c>
      <c r="D18353" t="s">
        <v>55532</v>
      </c>
      <c r="E18353" t="b">
        <v>0</v>
      </c>
      <c r="F18353" t="s">
        <v>11610</v>
      </c>
      <c r="L18353">
        <v>0</v>
      </c>
      <c r="M18353">
        <v>0</v>
      </c>
      <c r="N18353">
        <v>0</v>
      </c>
    </row>
    <row r="18354" spans="1:15">
      <c r="A18354" t="s">
        <v>55533</v>
      </c>
      <c r="B18354" t="s">
        <v>11644</v>
      </c>
      <c r="C18354" t="s">
        <v>28687</v>
      </c>
      <c r="D18354" t="s">
        <v>55534</v>
      </c>
      <c r="E18354" t="b">
        <v>0</v>
      </c>
      <c r="F18354" t="s">
        <v>11610</v>
      </c>
      <c r="L18354">
        <v>0</v>
      </c>
      <c r="M18354">
        <v>0</v>
      </c>
      <c r="N18354">
        <v>0</v>
      </c>
    </row>
    <row r="18355" spans="1:15">
      <c r="A18355" t="s">
        <v>55535</v>
      </c>
      <c r="B18355" t="s">
        <v>11644</v>
      </c>
      <c r="C18355" t="s">
        <v>28687</v>
      </c>
      <c r="D18355" t="s">
        <v>55536</v>
      </c>
      <c r="E18355" t="b">
        <v>0</v>
      </c>
      <c r="F18355" t="s">
        <v>11610</v>
      </c>
      <c r="L18355">
        <v>0</v>
      </c>
      <c r="M18355">
        <v>0</v>
      </c>
      <c r="N18355">
        <v>0</v>
      </c>
    </row>
    <row r="18356" spans="1:15">
      <c r="A18356" t="s">
        <v>55537</v>
      </c>
      <c r="B18356" t="s">
        <v>11644</v>
      </c>
      <c r="C18356" t="s">
        <v>28687</v>
      </c>
      <c r="D18356" t="s">
        <v>55538</v>
      </c>
      <c r="E18356" t="b">
        <v>0</v>
      </c>
      <c r="F18356" t="s">
        <v>11610</v>
      </c>
      <c r="L18356">
        <v>0</v>
      </c>
      <c r="M18356">
        <v>0</v>
      </c>
      <c r="N18356">
        <v>0</v>
      </c>
    </row>
    <row r="18357" spans="1:15">
      <c r="A18357" t="s">
        <v>54606</v>
      </c>
      <c r="B18357" t="s">
        <v>6742</v>
      </c>
      <c r="C18357" t="s">
        <v>24479</v>
      </c>
      <c r="D18357" t="s">
        <v>55539</v>
      </c>
      <c r="E18357" t="b">
        <v>0</v>
      </c>
      <c r="F18357" t="s">
        <v>11622</v>
      </c>
      <c r="L18357">
        <v>0</v>
      </c>
      <c r="M18357">
        <v>2</v>
      </c>
      <c r="N18357">
        <v>0</v>
      </c>
    </row>
    <row r="18358" spans="1:15">
      <c r="A18358" t="s">
        <v>55540</v>
      </c>
      <c r="B18358" t="s">
        <v>6742</v>
      </c>
      <c r="C18358" t="s">
        <v>54606</v>
      </c>
      <c r="D18358" t="s">
        <v>55541</v>
      </c>
      <c r="E18358" t="b">
        <v>0</v>
      </c>
      <c r="F18358" t="s">
        <v>11624</v>
      </c>
      <c r="G18358">
        <v>6.7858400000000003</v>
      </c>
      <c r="H18358">
        <v>20.170200000000001</v>
      </c>
      <c r="I18358" t="s">
        <v>55542</v>
      </c>
      <c r="L18358">
        <v>0</v>
      </c>
      <c r="M18358">
        <v>0</v>
      </c>
      <c r="N18358">
        <v>0</v>
      </c>
      <c r="O18358" t="s">
        <v>55543</v>
      </c>
    </row>
    <row r="18359" spans="1:15">
      <c r="A18359" t="s">
        <v>20138</v>
      </c>
      <c r="B18359" t="s">
        <v>6742</v>
      </c>
      <c r="C18359" t="s">
        <v>39824</v>
      </c>
      <c r="D18359" t="s">
        <v>55544</v>
      </c>
      <c r="E18359" t="b">
        <v>0</v>
      </c>
      <c r="F18359" t="s">
        <v>11624</v>
      </c>
      <c r="G18359">
        <v>10.415699999999999</v>
      </c>
      <c r="H18359">
        <v>8.8388200000000001</v>
      </c>
      <c r="I18359" t="s">
        <v>55545</v>
      </c>
      <c r="L18359">
        <v>0</v>
      </c>
      <c r="M18359">
        <v>0</v>
      </c>
      <c r="N18359">
        <v>1</v>
      </c>
      <c r="O18359" t="s">
        <v>11693</v>
      </c>
    </row>
    <row r="18360" spans="1:15">
      <c r="A18360" t="s">
        <v>55546</v>
      </c>
      <c r="B18360" t="s">
        <v>6742</v>
      </c>
      <c r="C18360" t="s">
        <v>55547</v>
      </c>
      <c r="D18360" t="s">
        <v>55548</v>
      </c>
      <c r="E18360" t="b">
        <v>0</v>
      </c>
      <c r="F18360" t="s">
        <v>11624</v>
      </c>
      <c r="G18360">
        <v>-8.4</v>
      </c>
      <c r="H18360">
        <v>33.9</v>
      </c>
      <c r="I18360" t="s">
        <v>55549</v>
      </c>
      <c r="L18360">
        <v>0</v>
      </c>
      <c r="M18360">
        <v>0</v>
      </c>
      <c r="N18360">
        <v>0</v>
      </c>
      <c r="O18360" t="s">
        <v>11635</v>
      </c>
    </row>
    <row r="18361" spans="1:15">
      <c r="A18361" t="s">
        <v>55550</v>
      </c>
      <c r="B18361" t="s">
        <v>6742</v>
      </c>
      <c r="C18361" t="s">
        <v>34920</v>
      </c>
      <c r="D18361" t="s">
        <v>55551</v>
      </c>
      <c r="E18361" t="b">
        <v>0</v>
      </c>
      <c r="F18361" t="s">
        <v>11624</v>
      </c>
      <c r="G18361">
        <v>-10.0236</v>
      </c>
      <c r="H18361">
        <v>26.8462</v>
      </c>
      <c r="I18361" t="s">
        <v>55552</v>
      </c>
      <c r="L18361">
        <v>0</v>
      </c>
      <c r="M18361">
        <v>0</v>
      </c>
      <c r="N18361">
        <v>0</v>
      </c>
      <c r="O18361" t="s">
        <v>14825</v>
      </c>
    </row>
    <row r="18362" spans="1:15">
      <c r="A18362" t="s">
        <v>55553</v>
      </c>
      <c r="B18362" t="s">
        <v>6742</v>
      </c>
      <c r="C18362" t="s">
        <v>16646</v>
      </c>
      <c r="D18362" t="s">
        <v>55554</v>
      </c>
      <c r="E18362" t="b">
        <v>0</v>
      </c>
      <c r="F18362" t="s">
        <v>11610</v>
      </c>
      <c r="L18362">
        <v>0</v>
      </c>
      <c r="M18362">
        <v>0</v>
      </c>
      <c r="N18362">
        <v>0</v>
      </c>
    </row>
    <row r="18363" spans="1:15">
      <c r="A18363" t="s">
        <v>55555</v>
      </c>
      <c r="B18363" t="s">
        <v>6742</v>
      </c>
      <c r="C18363" t="s">
        <v>55556</v>
      </c>
      <c r="D18363" t="s">
        <v>55557</v>
      </c>
      <c r="E18363" t="b">
        <v>0</v>
      </c>
      <c r="F18363" t="s">
        <v>11624</v>
      </c>
      <c r="G18363">
        <v>-1.52694</v>
      </c>
      <c r="H18363">
        <v>11.909800000000001</v>
      </c>
      <c r="I18363" t="s">
        <v>55558</v>
      </c>
      <c r="L18363">
        <v>0</v>
      </c>
      <c r="M18363">
        <v>0</v>
      </c>
      <c r="N18363">
        <v>0</v>
      </c>
      <c r="O18363" t="s">
        <v>16915</v>
      </c>
    </row>
    <row r="18364" spans="1:15">
      <c r="A18364" t="s">
        <v>55559</v>
      </c>
      <c r="B18364" t="s">
        <v>367</v>
      </c>
      <c r="C18364" t="s">
        <v>18637</v>
      </c>
      <c r="D18364" t="s">
        <v>55560</v>
      </c>
      <c r="E18364" t="b">
        <v>0</v>
      </c>
      <c r="F18364" t="s">
        <v>11610</v>
      </c>
      <c r="L18364">
        <v>0</v>
      </c>
      <c r="M18364">
        <v>0</v>
      </c>
      <c r="N18364">
        <v>0</v>
      </c>
    </row>
    <row r="18365" spans="1:15">
      <c r="A18365" t="s">
        <v>49009</v>
      </c>
      <c r="B18365" t="s">
        <v>367</v>
      </c>
      <c r="C18365" t="s">
        <v>4363</v>
      </c>
      <c r="D18365" t="s">
        <v>55561</v>
      </c>
      <c r="E18365" t="b">
        <v>0</v>
      </c>
      <c r="F18365" t="s">
        <v>11622</v>
      </c>
      <c r="L18365">
        <v>3</v>
      </c>
      <c r="M18365">
        <v>5</v>
      </c>
      <c r="N18365">
        <v>16</v>
      </c>
    </row>
    <row r="18366" spans="1:15">
      <c r="A18366" t="s">
        <v>42597</v>
      </c>
      <c r="B18366" t="s">
        <v>367</v>
      </c>
      <c r="C18366" t="s">
        <v>48704</v>
      </c>
      <c r="D18366" t="s">
        <v>55562</v>
      </c>
      <c r="E18366" t="b">
        <v>0</v>
      </c>
      <c r="F18366" t="s">
        <v>11624</v>
      </c>
      <c r="G18366">
        <v>5.4448780000000001</v>
      </c>
      <c r="H18366">
        <v>125.481047</v>
      </c>
      <c r="I18366" t="s">
        <v>55563</v>
      </c>
      <c r="L18366">
        <v>0</v>
      </c>
      <c r="M18366">
        <v>0</v>
      </c>
      <c r="N18366">
        <v>5</v>
      </c>
      <c r="O18366" t="s">
        <v>55564</v>
      </c>
    </row>
    <row r="18367" spans="1:15">
      <c r="A18367" t="s">
        <v>44546</v>
      </c>
      <c r="B18367" t="s">
        <v>367</v>
      </c>
      <c r="C18367" t="s">
        <v>48704</v>
      </c>
      <c r="D18367" t="s">
        <v>55565</v>
      </c>
      <c r="E18367" t="b">
        <v>0</v>
      </c>
      <c r="F18367" t="s">
        <v>11624</v>
      </c>
      <c r="G18367">
        <v>5.4022899999999998</v>
      </c>
      <c r="H18367">
        <v>125.378</v>
      </c>
      <c r="I18367" t="s">
        <v>55566</v>
      </c>
      <c r="L18367">
        <v>0</v>
      </c>
      <c r="M18367">
        <v>0</v>
      </c>
      <c r="N18367">
        <v>2</v>
      </c>
      <c r="O18367" t="s">
        <v>11749</v>
      </c>
    </row>
    <row r="18368" spans="1:15">
      <c r="A18368" t="s">
        <v>55567</v>
      </c>
      <c r="B18368" t="s">
        <v>11627</v>
      </c>
      <c r="C18368" t="s">
        <v>11627</v>
      </c>
      <c r="D18368" t="s">
        <v>55568</v>
      </c>
      <c r="E18368" t="b">
        <v>1</v>
      </c>
      <c r="F18368" t="s">
        <v>11624</v>
      </c>
      <c r="G18368">
        <v>7.3953100000000003</v>
      </c>
      <c r="H18368">
        <v>126.40900000000001</v>
      </c>
      <c r="I18368" t="s">
        <v>55569</v>
      </c>
      <c r="L18368">
        <v>0</v>
      </c>
      <c r="M18368">
        <v>0</v>
      </c>
      <c r="N18368">
        <v>0</v>
      </c>
      <c r="O18368" t="s">
        <v>11749</v>
      </c>
    </row>
    <row r="18369" spans="1:15">
      <c r="A18369" t="s">
        <v>55570</v>
      </c>
      <c r="B18369" t="s">
        <v>367</v>
      </c>
      <c r="C18369" t="s">
        <v>33211</v>
      </c>
      <c r="D18369" t="s">
        <v>55571</v>
      </c>
      <c r="E18369" t="b">
        <v>0</v>
      </c>
      <c r="F18369" t="s">
        <v>11624</v>
      </c>
      <c r="G18369">
        <v>-0.13152</v>
      </c>
      <c r="H18369">
        <v>110.404</v>
      </c>
      <c r="I18369" t="s">
        <v>55572</v>
      </c>
      <c r="L18369">
        <v>0</v>
      </c>
      <c r="M18369">
        <v>0</v>
      </c>
      <c r="N18369">
        <v>0</v>
      </c>
      <c r="O18369" t="s">
        <v>11768</v>
      </c>
    </row>
    <row r="18370" spans="1:15">
      <c r="A18370" t="s">
        <v>55573</v>
      </c>
      <c r="B18370" t="s">
        <v>11879</v>
      </c>
      <c r="C18370" t="s">
        <v>51774</v>
      </c>
      <c r="D18370" t="s">
        <v>55574</v>
      </c>
      <c r="E18370" t="b">
        <v>0</v>
      </c>
      <c r="F18370" t="s">
        <v>11610</v>
      </c>
      <c r="L18370">
        <v>0</v>
      </c>
      <c r="M18370">
        <v>0</v>
      </c>
      <c r="N18370">
        <v>0</v>
      </c>
    </row>
    <row r="18371" spans="1:15">
      <c r="A18371" t="s">
        <v>53789</v>
      </c>
      <c r="B18371" t="s">
        <v>6742</v>
      </c>
      <c r="C18371" t="s">
        <v>47544</v>
      </c>
      <c r="D18371" t="s">
        <v>55575</v>
      </c>
      <c r="E18371" t="b">
        <v>0</v>
      </c>
      <c r="F18371" t="s">
        <v>11622</v>
      </c>
      <c r="L18371">
        <v>3</v>
      </c>
      <c r="M18371">
        <v>5</v>
      </c>
      <c r="N18371">
        <v>0</v>
      </c>
    </row>
    <row r="18372" spans="1:15">
      <c r="A18372" t="s">
        <v>55576</v>
      </c>
      <c r="B18372" t="s">
        <v>1342</v>
      </c>
      <c r="C18372" t="s">
        <v>31912</v>
      </c>
      <c r="D18372" t="s">
        <v>55577</v>
      </c>
      <c r="E18372" t="b">
        <v>0</v>
      </c>
      <c r="F18372" t="s">
        <v>11610</v>
      </c>
      <c r="L18372">
        <v>0</v>
      </c>
      <c r="M18372">
        <v>0</v>
      </c>
      <c r="N18372">
        <v>0</v>
      </c>
    </row>
    <row r="18373" spans="1:15">
      <c r="A18373" t="s">
        <v>32722</v>
      </c>
      <c r="B18373" t="s">
        <v>11637</v>
      </c>
      <c r="C18373" t="s">
        <v>2187</v>
      </c>
      <c r="D18373" t="s">
        <v>55578</v>
      </c>
      <c r="E18373" t="b">
        <v>0</v>
      </c>
      <c r="F18373" t="s">
        <v>11622</v>
      </c>
      <c r="G18373">
        <v>36.635404999999999</v>
      </c>
      <c r="H18373">
        <v>71.674260000000004</v>
      </c>
      <c r="I18373" t="s">
        <v>55579</v>
      </c>
      <c r="L18373">
        <v>0</v>
      </c>
      <c r="M18373">
        <v>2</v>
      </c>
      <c r="N18373">
        <v>2</v>
      </c>
      <c r="O18373" t="s">
        <v>55580</v>
      </c>
    </row>
    <row r="18374" spans="1:15">
      <c r="A18374" t="s">
        <v>55581</v>
      </c>
      <c r="B18374" t="s">
        <v>11637</v>
      </c>
      <c r="C18374" t="s">
        <v>32722</v>
      </c>
      <c r="D18374" t="s">
        <v>55582</v>
      </c>
      <c r="E18374" t="b">
        <v>0</v>
      </c>
      <c r="F18374" t="s">
        <v>11624</v>
      </c>
      <c r="G18374">
        <v>36.450000000000003</v>
      </c>
      <c r="H18374">
        <v>71.3</v>
      </c>
      <c r="I18374" t="s">
        <v>55583</v>
      </c>
      <c r="L18374">
        <v>0</v>
      </c>
      <c r="M18374">
        <v>0</v>
      </c>
      <c r="N18374">
        <v>0</v>
      </c>
      <c r="O18374" t="s">
        <v>12131</v>
      </c>
    </row>
    <row r="18375" spans="1:15">
      <c r="A18375" t="s">
        <v>55556</v>
      </c>
      <c r="B18375" t="s">
        <v>6742</v>
      </c>
      <c r="C18375" t="s">
        <v>53789</v>
      </c>
      <c r="D18375" t="s">
        <v>55584</v>
      </c>
      <c r="E18375" t="b">
        <v>0</v>
      </c>
      <c r="F18375" t="s">
        <v>11622</v>
      </c>
      <c r="L18375">
        <v>1</v>
      </c>
      <c r="M18375">
        <v>3</v>
      </c>
      <c r="N18375">
        <v>0</v>
      </c>
    </row>
    <row r="18376" spans="1:15">
      <c r="A18376" t="s">
        <v>40366</v>
      </c>
      <c r="B18376" t="s">
        <v>11644</v>
      </c>
      <c r="C18376" t="s">
        <v>30548</v>
      </c>
      <c r="D18376" t="s">
        <v>55585</v>
      </c>
      <c r="E18376" t="b">
        <v>0</v>
      </c>
      <c r="F18376" t="s">
        <v>11610</v>
      </c>
      <c r="L18376">
        <v>0</v>
      </c>
      <c r="M18376">
        <v>0</v>
      </c>
      <c r="N18376">
        <v>2</v>
      </c>
    </row>
    <row r="18377" spans="1:15">
      <c r="A18377" t="s">
        <v>55586</v>
      </c>
      <c r="B18377" t="s">
        <v>11644</v>
      </c>
      <c r="C18377" t="s">
        <v>29059</v>
      </c>
      <c r="D18377" t="s">
        <v>55587</v>
      </c>
      <c r="E18377" t="b">
        <v>0</v>
      </c>
      <c r="F18377" t="s">
        <v>11624</v>
      </c>
      <c r="G18377">
        <v>25.2</v>
      </c>
      <c r="H18377">
        <v>102.12</v>
      </c>
      <c r="I18377" t="s">
        <v>55588</v>
      </c>
      <c r="L18377">
        <v>0</v>
      </c>
      <c r="M18377">
        <v>0</v>
      </c>
      <c r="N18377">
        <v>0</v>
      </c>
      <c r="O18377" t="s">
        <v>11905</v>
      </c>
    </row>
    <row r="18378" spans="1:15">
      <c r="A18378" t="s">
        <v>15536</v>
      </c>
      <c r="B18378" t="s">
        <v>11644</v>
      </c>
      <c r="C18378" t="s">
        <v>31090</v>
      </c>
      <c r="D18378" t="s">
        <v>55589</v>
      </c>
      <c r="E18378" t="b">
        <v>0</v>
      </c>
      <c r="F18378" t="s">
        <v>11622</v>
      </c>
      <c r="L18378">
        <v>2</v>
      </c>
      <c r="M18378">
        <v>4</v>
      </c>
      <c r="N18378">
        <v>2</v>
      </c>
    </row>
    <row r="18379" spans="1:15">
      <c r="A18379" t="s">
        <v>55590</v>
      </c>
      <c r="B18379" t="s">
        <v>11644</v>
      </c>
      <c r="C18379" t="s">
        <v>15536</v>
      </c>
      <c r="D18379" t="s">
        <v>55591</v>
      </c>
      <c r="E18379" t="b">
        <v>0</v>
      </c>
      <c r="F18379" t="s">
        <v>11622</v>
      </c>
      <c r="L18379">
        <v>1</v>
      </c>
      <c r="M18379">
        <v>3</v>
      </c>
      <c r="N18379">
        <v>2</v>
      </c>
    </row>
    <row r="18380" spans="1:15">
      <c r="A18380" t="s">
        <v>48448</v>
      </c>
      <c r="B18380" t="s">
        <v>11644</v>
      </c>
      <c r="C18380" t="s">
        <v>55590</v>
      </c>
      <c r="D18380" t="s">
        <v>55592</v>
      </c>
      <c r="E18380" t="b">
        <v>0</v>
      </c>
      <c r="F18380" t="s">
        <v>11624</v>
      </c>
      <c r="G18380">
        <v>24.277999999999999</v>
      </c>
      <c r="H18380">
        <v>103.759</v>
      </c>
      <c r="I18380" t="s">
        <v>55593</v>
      </c>
      <c r="L18380">
        <v>0</v>
      </c>
      <c r="M18380">
        <v>0</v>
      </c>
      <c r="N18380">
        <v>2</v>
      </c>
      <c r="O18380" t="s">
        <v>11905</v>
      </c>
    </row>
    <row r="18381" spans="1:15">
      <c r="A18381" t="s">
        <v>31229</v>
      </c>
      <c r="B18381" t="s">
        <v>11705</v>
      </c>
      <c r="C18381" t="s">
        <v>31033</v>
      </c>
      <c r="D18381" t="s">
        <v>55594</v>
      </c>
      <c r="E18381" t="b">
        <v>0</v>
      </c>
      <c r="F18381" t="s">
        <v>11624</v>
      </c>
      <c r="G18381">
        <v>-4.4375999999999998</v>
      </c>
      <c r="H18381">
        <v>142.369</v>
      </c>
      <c r="I18381" t="s">
        <v>55595</v>
      </c>
      <c r="L18381">
        <v>0</v>
      </c>
      <c r="M18381">
        <v>0</v>
      </c>
      <c r="N18381">
        <v>2</v>
      </c>
      <c r="O18381" t="s">
        <v>11660</v>
      </c>
    </row>
    <row r="18382" spans="1:15">
      <c r="A18382" t="s">
        <v>55596</v>
      </c>
      <c r="B18382" t="s">
        <v>11705</v>
      </c>
      <c r="C18382" t="s">
        <v>31229</v>
      </c>
      <c r="D18382" t="s">
        <v>55597</v>
      </c>
      <c r="E18382" t="b">
        <v>0</v>
      </c>
      <c r="F18382" t="s">
        <v>11610</v>
      </c>
      <c r="L18382">
        <v>0</v>
      </c>
      <c r="M18382">
        <v>0</v>
      </c>
      <c r="N18382">
        <v>0</v>
      </c>
    </row>
    <row r="18383" spans="1:15">
      <c r="A18383" t="s">
        <v>55598</v>
      </c>
      <c r="B18383" t="s">
        <v>4342</v>
      </c>
      <c r="C18383" t="s">
        <v>46717</v>
      </c>
      <c r="D18383" t="s">
        <v>55599</v>
      </c>
      <c r="E18383" t="b">
        <v>0</v>
      </c>
      <c r="F18383" t="s">
        <v>11610</v>
      </c>
      <c r="L18383">
        <v>0</v>
      </c>
      <c r="M18383">
        <v>0</v>
      </c>
      <c r="N18383">
        <v>0</v>
      </c>
    </row>
    <row r="18384" spans="1:15">
      <c r="A18384" t="s">
        <v>55600</v>
      </c>
      <c r="B18384" t="s">
        <v>14571</v>
      </c>
      <c r="C18384" t="s">
        <v>46378</v>
      </c>
      <c r="D18384" t="s">
        <v>55601</v>
      </c>
      <c r="E18384" t="b">
        <v>0</v>
      </c>
      <c r="F18384" t="s">
        <v>11610</v>
      </c>
      <c r="L18384">
        <v>0</v>
      </c>
      <c r="M18384">
        <v>0</v>
      </c>
      <c r="N18384">
        <v>0</v>
      </c>
    </row>
    <row r="18385" spans="1:15">
      <c r="A18385" t="s">
        <v>55602</v>
      </c>
      <c r="B18385" t="s">
        <v>22682</v>
      </c>
      <c r="C18385" t="s">
        <v>22682</v>
      </c>
      <c r="D18385" t="s">
        <v>55603</v>
      </c>
      <c r="E18385" t="b">
        <v>0</v>
      </c>
      <c r="F18385" t="s">
        <v>11610</v>
      </c>
      <c r="L18385">
        <v>0</v>
      </c>
      <c r="M18385">
        <v>0</v>
      </c>
      <c r="N18385">
        <v>0</v>
      </c>
    </row>
    <row r="18386" spans="1:15">
      <c r="A18386" t="s">
        <v>15434</v>
      </c>
      <c r="B18386" t="s">
        <v>11644</v>
      </c>
      <c r="C18386" t="s">
        <v>55590</v>
      </c>
      <c r="D18386" t="s">
        <v>55604</v>
      </c>
      <c r="E18386" t="b">
        <v>0</v>
      </c>
      <c r="F18386" t="s">
        <v>11622</v>
      </c>
      <c r="L18386">
        <v>0</v>
      </c>
      <c r="M18386">
        <v>2</v>
      </c>
      <c r="N18386">
        <v>0</v>
      </c>
    </row>
    <row r="18387" spans="1:15">
      <c r="A18387" t="s">
        <v>55605</v>
      </c>
      <c r="B18387" t="s">
        <v>11637</v>
      </c>
      <c r="C18387" t="s">
        <v>17607</v>
      </c>
      <c r="D18387" t="s">
        <v>55606</v>
      </c>
      <c r="E18387" t="b">
        <v>0</v>
      </c>
      <c r="F18387" t="s">
        <v>11610</v>
      </c>
      <c r="L18387">
        <v>0</v>
      </c>
      <c r="M18387">
        <v>0</v>
      </c>
      <c r="N18387">
        <v>0</v>
      </c>
    </row>
    <row r="18388" spans="1:15">
      <c r="A18388" t="s">
        <v>55607</v>
      </c>
      <c r="B18388" t="s">
        <v>11637</v>
      </c>
      <c r="C18388" t="s">
        <v>12947</v>
      </c>
      <c r="D18388" t="s">
        <v>55608</v>
      </c>
      <c r="E18388" t="b">
        <v>0</v>
      </c>
      <c r="F18388" t="s">
        <v>11610</v>
      </c>
      <c r="L18388">
        <v>0</v>
      </c>
      <c r="M18388">
        <v>0</v>
      </c>
      <c r="N18388">
        <v>0</v>
      </c>
    </row>
    <row r="18389" spans="1:15">
      <c r="A18389" t="s">
        <v>55609</v>
      </c>
      <c r="B18389" t="s">
        <v>14571</v>
      </c>
      <c r="C18389" t="s">
        <v>46378</v>
      </c>
      <c r="D18389" t="s">
        <v>55610</v>
      </c>
      <c r="E18389" t="b">
        <v>0</v>
      </c>
      <c r="F18389" t="s">
        <v>11610</v>
      </c>
      <c r="L18389">
        <v>0</v>
      </c>
      <c r="M18389">
        <v>0</v>
      </c>
      <c r="N18389">
        <v>0</v>
      </c>
    </row>
    <row r="18390" spans="1:15">
      <c r="A18390" t="s">
        <v>55611</v>
      </c>
      <c r="B18390" t="s">
        <v>12751</v>
      </c>
      <c r="C18390" t="s">
        <v>25162</v>
      </c>
      <c r="D18390" t="s">
        <v>55612</v>
      </c>
      <c r="E18390" t="b">
        <v>0</v>
      </c>
      <c r="F18390" t="s">
        <v>11610</v>
      </c>
      <c r="L18390">
        <v>0</v>
      </c>
      <c r="M18390">
        <v>0</v>
      </c>
      <c r="N18390">
        <v>0</v>
      </c>
    </row>
    <row r="18391" spans="1:15">
      <c r="A18391" t="s">
        <v>27288</v>
      </c>
      <c r="B18391" t="s">
        <v>9578</v>
      </c>
      <c r="C18391" t="s">
        <v>238</v>
      </c>
      <c r="D18391" t="s">
        <v>55613</v>
      </c>
      <c r="E18391" t="b">
        <v>0</v>
      </c>
      <c r="F18391" t="s">
        <v>11622</v>
      </c>
      <c r="L18391">
        <v>1</v>
      </c>
      <c r="M18391">
        <v>3</v>
      </c>
      <c r="N18391">
        <v>1</v>
      </c>
    </row>
    <row r="18392" spans="1:15">
      <c r="A18392" t="s">
        <v>55614</v>
      </c>
      <c r="B18392" t="s">
        <v>22682</v>
      </c>
      <c r="C18392" t="s">
        <v>22682</v>
      </c>
      <c r="D18392" t="s">
        <v>55615</v>
      </c>
      <c r="E18392" t="b">
        <v>0</v>
      </c>
      <c r="F18392" t="s">
        <v>11610</v>
      </c>
      <c r="L18392">
        <v>0</v>
      </c>
      <c r="M18392">
        <v>0</v>
      </c>
      <c r="N18392">
        <v>0</v>
      </c>
    </row>
    <row r="18393" spans="1:15">
      <c r="A18393" t="s">
        <v>55616</v>
      </c>
      <c r="B18393" t="s">
        <v>11879</v>
      </c>
      <c r="C18393" t="s">
        <v>23262</v>
      </c>
      <c r="D18393" t="s">
        <v>55617</v>
      </c>
      <c r="E18393" t="b">
        <v>0</v>
      </c>
      <c r="F18393" t="s">
        <v>11610</v>
      </c>
      <c r="L18393">
        <v>0</v>
      </c>
      <c r="M18393">
        <v>0</v>
      </c>
      <c r="N18393">
        <v>0</v>
      </c>
    </row>
    <row r="18394" spans="1:15">
      <c r="A18394" t="s">
        <v>55618</v>
      </c>
      <c r="B18394" t="s">
        <v>11879</v>
      </c>
      <c r="C18394" t="s">
        <v>22367</v>
      </c>
      <c r="D18394" t="s">
        <v>55619</v>
      </c>
      <c r="E18394" t="b">
        <v>0</v>
      </c>
      <c r="F18394" t="s">
        <v>11624</v>
      </c>
      <c r="G18394">
        <v>16.3964</v>
      </c>
      <c r="H18394">
        <v>-97.927899999999994</v>
      </c>
      <c r="I18394" t="s">
        <v>55620</v>
      </c>
      <c r="L18394">
        <v>0</v>
      </c>
      <c r="M18394">
        <v>0</v>
      </c>
      <c r="N18394">
        <v>0</v>
      </c>
      <c r="O18394" t="s">
        <v>11883</v>
      </c>
    </row>
    <row r="18395" spans="1:15">
      <c r="A18395" t="s">
        <v>55621</v>
      </c>
      <c r="B18395" t="s">
        <v>11879</v>
      </c>
      <c r="C18395" t="s">
        <v>14974</v>
      </c>
      <c r="D18395" t="s">
        <v>55622</v>
      </c>
      <c r="E18395" t="b">
        <v>0</v>
      </c>
      <c r="F18395" t="s">
        <v>11624</v>
      </c>
      <c r="G18395">
        <v>17.154199999999999</v>
      </c>
      <c r="H18395">
        <v>-97.389899999999997</v>
      </c>
      <c r="I18395" t="s">
        <v>55623</v>
      </c>
      <c r="L18395">
        <v>0</v>
      </c>
      <c r="M18395">
        <v>0</v>
      </c>
      <c r="N18395">
        <v>1</v>
      </c>
      <c r="O18395" t="s">
        <v>11883</v>
      </c>
    </row>
    <row r="18396" spans="1:15">
      <c r="A18396" t="s">
        <v>55624</v>
      </c>
      <c r="B18396" t="s">
        <v>11879</v>
      </c>
      <c r="C18396" t="s">
        <v>52255</v>
      </c>
      <c r="D18396" t="s">
        <v>55625</v>
      </c>
      <c r="E18396" t="b">
        <v>0</v>
      </c>
      <c r="F18396" t="s">
        <v>11610</v>
      </c>
      <c r="L18396">
        <v>0</v>
      </c>
      <c r="M18396">
        <v>0</v>
      </c>
      <c r="N18396">
        <v>0</v>
      </c>
    </row>
    <row r="18397" spans="1:15">
      <c r="A18397" t="s">
        <v>33134</v>
      </c>
      <c r="B18397" t="s">
        <v>11879</v>
      </c>
      <c r="C18397" t="s">
        <v>14920</v>
      </c>
      <c r="D18397" t="s">
        <v>55626</v>
      </c>
      <c r="E18397" t="b">
        <v>0</v>
      </c>
      <c r="F18397" t="s">
        <v>11624</v>
      </c>
      <c r="G18397">
        <v>17.033200000000001</v>
      </c>
      <c r="H18397">
        <v>-96.596699999999998</v>
      </c>
      <c r="I18397" t="s">
        <v>55627</v>
      </c>
      <c r="L18397">
        <v>0</v>
      </c>
      <c r="M18397">
        <v>0</v>
      </c>
      <c r="N18397">
        <v>3</v>
      </c>
      <c r="O18397" t="s">
        <v>12238</v>
      </c>
    </row>
    <row r="18398" spans="1:15">
      <c r="A18398" t="s">
        <v>55628</v>
      </c>
      <c r="B18398" t="s">
        <v>11879</v>
      </c>
      <c r="C18398" t="s">
        <v>23505</v>
      </c>
      <c r="D18398" t="s">
        <v>55629</v>
      </c>
      <c r="E18398" t="b">
        <v>0</v>
      </c>
      <c r="F18398" t="s">
        <v>11624</v>
      </c>
      <c r="G18398">
        <v>18.222449999999998</v>
      </c>
      <c r="H18398">
        <v>-97.379230000000007</v>
      </c>
      <c r="I18398" t="s">
        <v>55630</v>
      </c>
      <c r="L18398">
        <v>0</v>
      </c>
      <c r="M18398">
        <v>0</v>
      </c>
      <c r="N18398">
        <v>0</v>
      </c>
      <c r="O18398" t="s">
        <v>11883</v>
      </c>
    </row>
    <row r="18399" spans="1:15">
      <c r="A18399" t="s">
        <v>55447</v>
      </c>
      <c r="B18399" t="s">
        <v>11879</v>
      </c>
      <c r="C18399" t="s">
        <v>43573</v>
      </c>
      <c r="D18399" t="s">
        <v>55631</v>
      </c>
      <c r="E18399" t="b">
        <v>0</v>
      </c>
      <c r="F18399" t="s">
        <v>11624</v>
      </c>
      <c r="G18399">
        <v>18.1999</v>
      </c>
      <c r="H18399">
        <v>-96.883300000000006</v>
      </c>
      <c r="I18399" t="s">
        <v>55632</v>
      </c>
      <c r="L18399">
        <v>0</v>
      </c>
      <c r="M18399">
        <v>0</v>
      </c>
      <c r="N18399">
        <v>7</v>
      </c>
      <c r="O18399" t="s">
        <v>11883</v>
      </c>
    </row>
    <row r="18400" spans="1:15">
      <c r="A18400" t="s">
        <v>55633</v>
      </c>
      <c r="B18400" t="s">
        <v>29829</v>
      </c>
      <c r="C18400" t="s">
        <v>29829</v>
      </c>
      <c r="D18400" t="s">
        <v>55634</v>
      </c>
      <c r="E18400" t="b">
        <v>0</v>
      </c>
      <c r="F18400" t="s">
        <v>11610</v>
      </c>
      <c r="L18400">
        <v>0</v>
      </c>
      <c r="M18400">
        <v>0</v>
      </c>
      <c r="N18400">
        <v>0</v>
      </c>
    </row>
    <row r="18401" spans="1:15">
      <c r="A18401" t="s">
        <v>55635</v>
      </c>
      <c r="B18401" t="s">
        <v>11844</v>
      </c>
      <c r="C18401" t="s">
        <v>52447</v>
      </c>
      <c r="D18401" t="s">
        <v>55636</v>
      </c>
      <c r="E18401" t="b">
        <v>0</v>
      </c>
      <c r="F18401" t="s">
        <v>11610</v>
      </c>
      <c r="L18401">
        <v>0</v>
      </c>
      <c r="M18401">
        <v>0</v>
      </c>
      <c r="N18401">
        <v>0</v>
      </c>
    </row>
    <row r="18402" spans="1:15">
      <c r="A18402" t="s">
        <v>55637</v>
      </c>
      <c r="B18402" t="s">
        <v>11844</v>
      </c>
      <c r="C18402" t="s">
        <v>9047</v>
      </c>
      <c r="D18402" t="s">
        <v>55638</v>
      </c>
      <c r="E18402" t="b">
        <v>0</v>
      </c>
      <c r="F18402" t="s">
        <v>11610</v>
      </c>
      <c r="L18402">
        <v>0</v>
      </c>
      <c r="M18402">
        <v>0</v>
      </c>
      <c r="N18402">
        <v>0</v>
      </c>
    </row>
    <row r="18403" spans="1:15">
      <c r="A18403" t="s">
        <v>55639</v>
      </c>
      <c r="B18403" t="s">
        <v>11644</v>
      </c>
      <c r="C18403" t="s">
        <v>28687</v>
      </c>
      <c r="D18403" t="s">
        <v>55640</v>
      </c>
      <c r="E18403" t="b">
        <v>0</v>
      </c>
      <c r="F18403" t="s">
        <v>11610</v>
      </c>
      <c r="L18403">
        <v>0</v>
      </c>
      <c r="M18403">
        <v>0</v>
      </c>
      <c r="N18403">
        <v>0</v>
      </c>
    </row>
    <row r="18404" spans="1:15">
      <c r="A18404" t="s">
        <v>55641</v>
      </c>
      <c r="B18404" t="s">
        <v>6742</v>
      </c>
      <c r="C18404" t="s">
        <v>17262</v>
      </c>
      <c r="D18404" t="s">
        <v>55642</v>
      </c>
      <c r="E18404" t="b">
        <v>0</v>
      </c>
      <c r="F18404" t="s">
        <v>11610</v>
      </c>
      <c r="L18404">
        <v>0</v>
      </c>
      <c r="M18404">
        <v>0</v>
      </c>
      <c r="N18404">
        <v>0</v>
      </c>
    </row>
    <row r="18405" spans="1:15">
      <c r="A18405" t="s">
        <v>55643</v>
      </c>
      <c r="B18405" t="s">
        <v>13276</v>
      </c>
      <c r="C18405" t="s">
        <v>33413</v>
      </c>
      <c r="D18405" t="s">
        <v>55644</v>
      </c>
      <c r="E18405" t="b">
        <v>0</v>
      </c>
      <c r="F18405" t="s">
        <v>11610</v>
      </c>
      <c r="L18405">
        <v>0</v>
      </c>
      <c r="M18405">
        <v>0</v>
      </c>
      <c r="N18405">
        <v>0</v>
      </c>
    </row>
    <row r="18406" spans="1:15">
      <c r="A18406" t="s">
        <v>55645</v>
      </c>
      <c r="B18406" t="s">
        <v>13276</v>
      </c>
      <c r="C18406" t="s">
        <v>26134</v>
      </c>
      <c r="D18406" t="s">
        <v>55646</v>
      </c>
      <c r="E18406" t="b">
        <v>0</v>
      </c>
      <c r="F18406" t="s">
        <v>11624</v>
      </c>
      <c r="G18406">
        <v>10.0962</v>
      </c>
      <c r="H18406">
        <v>-10.569000000000001</v>
      </c>
      <c r="I18406" t="s">
        <v>55647</v>
      </c>
      <c r="L18406">
        <v>0</v>
      </c>
      <c r="M18406">
        <v>0</v>
      </c>
      <c r="N18406">
        <v>0</v>
      </c>
      <c r="O18406" t="s">
        <v>20263</v>
      </c>
    </row>
    <row r="18407" spans="1:15">
      <c r="A18407" t="s">
        <v>55648</v>
      </c>
      <c r="B18407" t="s">
        <v>11644</v>
      </c>
      <c r="C18407" t="s">
        <v>55649</v>
      </c>
      <c r="D18407" t="s">
        <v>55650</v>
      </c>
      <c r="E18407" t="b">
        <v>0</v>
      </c>
      <c r="F18407" t="s">
        <v>11610</v>
      </c>
      <c r="L18407">
        <v>0</v>
      </c>
      <c r="M18407">
        <v>0</v>
      </c>
      <c r="N18407">
        <v>0</v>
      </c>
    </row>
    <row r="18408" spans="1:15">
      <c r="A18408" t="s">
        <v>55651</v>
      </c>
      <c r="B18408" t="s">
        <v>11879</v>
      </c>
      <c r="C18408" t="s">
        <v>23505</v>
      </c>
      <c r="D18408" t="s">
        <v>55652</v>
      </c>
      <c r="E18408" t="b">
        <v>0</v>
      </c>
      <c r="F18408" t="s">
        <v>11624</v>
      </c>
      <c r="G18408">
        <v>18.6812</v>
      </c>
      <c r="H18408">
        <v>-97.545900000000003</v>
      </c>
      <c r="I18408" t="s">
        <v>55653</v>
      </c>
      <c r="L18408">
        <v>0</v>
      </c>
      <c r="M18408">
        <v>0</v>
      </c>
      <c r="N18408">
        <v>0</v>
      </c>
      <c r="O18408" t="s">
        <v>11883</v>
      </c>
    </row>
    <row r="18409" spans="1:15">
      <c r="A18409" t="s">
        <v>55654</v>
      </c>
      <c r="B18409" t="s">
        <v>11879</v>
      </c>
      <c r="C18409" t="s">
        <v>55447</v>
      </c>
      <c r="D18409" t="s">
        <v>55655</v>
      </c>
      <c r="E18409" t="b">
        <v>0</v>
      </c>
      <c r="F18409" t="s">
        <v>11610</v>
      </c>
      <c r="L18409">
        <v>0</v>
      </c>
      <c r="M18409">
        <v>0</v>
      </c>
      <c r="N18409">
        <v>0</v>
      </c>
    </row>
    <row r="18410" spans="1:15">
      <c r="A18410" t="s">
        <v>55656</v>
      </c>
      <c r="B18410" t="s">
        <v>11879</v>
      </c>
      <c r="C18410" t="s">
        <v>55447</v>
      </c>
      <c r="D18410" t="s">
        <v>55657</v>
      </c>
      <c r="E18410" t="b">
        <v>0</v>
      </c>
      <c r="F18410" t="s">
        <v>11610</v>
      </c>
      <c r="L18410">
        <v>0</v>
      </c>
      <c r="M18410">
        <v>0</v>
      </c>
      <c r="N18410">
        <v>0</v>
      </c>
    </row>
    <row r="18411" spans="1:15">
      <c r="A18411" t="s">
        <v>55658</v>
      </c>
      <c r="B18411" t="s">
        <v>31598</v>
      </c>
      <c r="C18411" t="s">
        <v>55493</v>
      </c>
      <c r="D18411" t="s">
        <v>55659</v>
      </c>
      <c r="E18411" t="b">
        <v>0</v>
      </c>
      <c r="F18411" t="s">
        <v>11624</v>
      </c>
      <c r="G18411">
        <v>16.212900000000001</v>
      </c>
      <c r="H18411">
        <v>-95.0077</v>
      </c>
      <c r="I18411" t="s">
        <v>55660</v>
      </c>
      <c r="L18411">
        <v>0</v>
      </c>
      <c r="M18411">
        <v>0</v>
      </c>
      <c r="N18411">
        <v>0</v>
      </c>
      <c r="O18411" t="s">
        <v>11883</v>
      </c>
    </row>
    <row r="18412" spans="1:15">
      <c r="A18412" t="s">
        <v>55661</v>
      </c>
      <c r="B18412" t="s">
        <v>22682</v>
      </c>
      <c r="C18412" t="s">
        <v>22682</v>
      </c>
      <c r="D18412" t="s">
        <v>55662</v>
      </c>
      <c r="E18412" t="b">
        <v>0</v>
      </c>
      <c r="F18412" t="s">
        <v>11610</v>
      </c>
      <c r="L18412">
        <v>0</v>
      </c>
      <c r="M18412">
        <v>0</v>
      </c>
      <c r="N18412">
        <v>0</v>
      </c>
    </row>
    <row r="18413" spans="1:15">
      <c r="A18413" t="s">
        <v>55663</v>
      </c>
      <c r="B18413" t="s">
        <v>141</v>
      </c>
      <c r="C18413" t="s">
        <v>8999</v>
      </c>
      <c r="D18413" t="s">
        <v>55664</v>
      </c>
      <c r="E18413" t="b">
        <v>0</v>
      </c>
      <c r="F18413" t="s">
        <v>11624</v>
      </c>
      <c r="G18413">
        <v>-6.9581999999999997</v>
      </c>
      <c r="H18413">
        <v>-76.660799999999995</v>
      </c>
      <c r="I18413" t="s">
        <v>55665</v>
      </c>
      <c r="L18413">
        <v>0</v>
      </c>
      <c r="M18413">
        <v>0</v>
      </c>
      <c r="N18413">
        <v>0</v>
      </c>
      <c r="O18413" t="s">
        <v>11778</v>
      </c>
    </row>
    <row r="18414" spans="1:15">
      <c r="A18414" t="s">
        <v>55666</v>
      </c>
      <c r="B18414" t="s">
        <v>11879</v>
      </c>
      <c r="C18414" t="s">
        <v>15033</v>
      </c>
      <c r="D18414" t="s">
        <v>55667</v>
      </c>
      <c r="E18414" t="b">
        <v>0</v>
      </c>
      <c r="F18414" t="s">
        <v>11610</v>
      </c>
      <c r="L18414">
        <v>0</v>
      </c>
      <c r="M18414">
        <v>0</v>
      </c>
      <c r="N18414">
        <v>0</v>
      </c>
    </row>
    <row r="18415" spans="1:15">
      <c r="A18415" t="s">
        <v>55668</v>
      </c>
      <c r="B18415" t="s">
        <v>11879</v>
      </c>
      <c r="C18415" t="s">
        <v>23262</v>
      </c>
      <c r="D18415" t="s">
        <v>55669</v>
      </c>
      <c r="E18415" t="b">
        <v>0</v>
      </c>
      <c r="F18415" t="s">
        <v>11610</v>
      </c>
      <c r="L18415">
        <v>0</v>
      </c>
      <c r="M18415">
        <v>0</v>
      </c>
      <c r="N18415">
        <v>0</v>
      </c>
    </row>
    <row r="18416" spans="1:15">
      <c r="A18416" t="s">
        <v>55670</v>
      </c>
      <c r="B18416" t="s">
        <v>11879</v>
      </c>
      <c r="C18416" t="s">
        <v>41636</v>
      </c>
      <c r="D18416" t="s">
        <v>55671</v>
      </c>
      <c r="E18416" t="b">
        <v>0</v>
      </c>
      <c r="F18416" t="s">
        <v>11610</v>
      </c>
      <c r="L18416">
        <v>0</v>
      </c>
      <c r="M18416">
        <v>0</v>
      </c>
      <c r="N18416">
        <v>0</v>
      </c>
    </row>
    <row r="18417" spans="1:15">
      <c r="A18417" t="s">
        <v>55672</v>
      </c>
      <c r="B18417" t="s">
        <v>11879</v>
      </c>
      <c r="C18417" t="s">
        <v>41636</v>
      </c>
      <c r="D18417" t="s">
        <v>55673</v>
      </c>
      <c r="E18417" t="b">
        <v>0</v>
      </c>
      <c r="F18417" t="s">
        <v>11610</v>
      </c>
      <c r="L18417">
        <v>0</v>
      </c>
      <c r="M18417">
        <v>0</v>
      </c>
      <c r="N18417">
        <v>0</v>
      </c>
    </row>
    <row r="18418" spans="1:15">
      <c r="A18418" t="s">
        <v>55674</v>
      </c>
      <c r="B18418" t="s">
        <v>11879</v>
      </c>
      <c r="C18418" t="s">
        <v>31647</v>
      </c>
      <c r="D18418" t="s">
        <v>55675</v>
      </c>
      <c r="E18418" t="b">
        <v>0</v>
      </c>
      <c r="F18418" t="s">
        <v>11624</v>
      </c>
      <c r="G18418">
        <v>16.994399999999999</v>
      </c>
      <c r="H18418">
        <v>-97.205600000000004</v>
      </c>
      <c r="I18418" t="s">
        <v>55676</v>
      </c>
      <c r="L18418">
        <v>0</v>
      </c>
      <c r="M18418">
        <v>0</v>
      </c>
      <c r="N18418">
        <v>0</v>
      </c>
      <c r="O18418" t="s">
        <v>11883</v>
      </c>
    </row>
    <row r="18419" spans="1:15">
      <c r="A18419" t="s">
        <v>55677</v>
      </c>
      <c r="B18419" t="s">
        <v>11879</v>
      </c>
      <c r="C18419" t="s">
        <v>14974</v>
      </c>
      <c r="D18419" t="s">
        <v>55678</v>
      </c>
      <c r="E18419" t="b">
        <v>0</v>
      </c>
      <c r="F18419" t="s">
        <v>11624</v>
      </c>
      <c r="G18419">
        <v>17.0777</v>
      </c>
      <c r="H18419">
        <v>-97.543199999999999</v>
      </c>
      <c r="I18419" t="s">
        <v>55679</v>
      </c>
      <c r="L18419">
        <v>0</v>
      </c>
      <c r="M18419">
        <v>0</v>
      </c>
      <c r="N18419">
        <v>4</v>
      </c>
      <c r="O18419" t="s">
        <v>11883</v>
      </c>
    </row>
    <row r="18420" spans="1:15">
      <c r="A18420" t="s">
        <v>55680</v>
      </c>
      <c r="B18420" t="s">
        <v>11879</v>
      </c>
      <c r="C18420" t="s">
        <v>55677</v>
      </c>
      <c r="D18420" t="s">
        <v>55681</v>
      </c>
      <c r="E18420" t="b">
        <v>0</v>
      </c>
      <c r="F18420" t="s">
        <v>11610</v>
      </c>
      <c r="L18420">
        <v>0</v>
      </c>
      <c r="M18420">
        <v>0</v>
      </c>
      <c r="N18420">
        <v>0</v>
      </c>
    </row>
    <row r="18421" spans="1:15">
      <c r="A18421" t="s">
        <v>55682</v>
      </c>
      <c r="B18421" t="s">
        <v>11879</v>
      </c>
      <c r="C18421" t="s">
        <v>52758</v>
      </c>
      <c r="D18421" t="s">
        <v>55683</v>
      </c>
      <c r="E18421" t="b">
        <v>0</v>
      </c>
      <c r="F18421" t="s">
        <v>11610</v>
      </c>
      <c r="L18421">
        <v>0</v>
      </c>
      <c r="M18421">
        <v>0</v>
      </c>
      <c r="N18421">
        <v>0</v>
      </c>
    </row>
    <row r="18422" spans="1:15">
      <c r="A18422" t="s">
        <v>55684</v>
      </c>
      <c r="B18422" t="s">
        <v>11879</v>
      </c>
      <c r="C18422" t="s">
        <v>22515</v>
      </c>
      <c r="D18422" t="s">
        <v>55685</v>
      </c>
      <c r="E18422" t="b">
        <v>0</v>
      </c>
      <c r="F18422" t="s">
        <v>11624</v>
      </c>
      <c r="G18422">
        <v>17.242799999999999</v>
      </c>
      <c r="H18422">
        <v>-97.920199999999994</v>
      </c>
      <c r="I18422" t="s">
        <v>55686</v>
      </c>
      <c r="L18422">
        <v>0</v>
      </c>
      <c r="M18422">
        <v>0</v>
      </c>
      <c r="N18422">
        <v>0</v>
      </c>
      <c r="O18422" t="s">
        <v>11883</v>
      </c>
    </row>
    <row r="18423" spans="1:15">
      <c r="A18423" t="s">
        <v>55687</v>
      </c>
      <c r="B18423" t="s">
        <v>11879</v>
      </c>
      <c r="C18423" t="s">
        <v>33134</v>
      </c>
      <c r="D18423" t="s">
        <v>55688</v>
      </c>
      <c r="E18423" t="b">
        <v>0</v>
      </c>
      <c r="F18423" t="s">
        <v>11610</v>
      </c>
      <c r="L18423">
        <v>0</v>
      </c>
      <c r="M18423">
        <v>0</v>
      </c>
      <c r="N18423">
        <v>0</v>
      </c>
    </row>
    <row r="18424" spans="1:15">
      <c r="A18424" t="s">
        <v>55689</v>
      </c>
      <c r="B18424" t="s">
        <v>11879</v>
      </c>
      <c r="C18424" t="s">
        <v>51774</v>
      </c>
      <c r="D18424" t="s">
        <v>55690</v>
      </c>
      <c r="E18424" t="b">
        <v>0</v>
      </c>
      <c r="F18424" t="s">
        <v>11610</v>
      </c>
      <c r="L18424">
        <v>0</v>
      </c>
      <c r="M18424">
        <v>0</v>
      </c>
      <c r="N18424">
        <v>0</v>
      </c>
    </row>
    <row r="18425" spans="1:15">
      <c r="A18425" t="s">
        <v>55691</v>
      </c>
      <c r="B18425" t="s">
        <v>11879</v>
      </c>
      <c r="C18425" t="s">
        <v>23505</v>
      </c>
      <c r="D18425" t="s">
        <v>55692</v>
      </c>
      <c r="E18425" t="b">
        <v>0</v>
      </c>
      <c r="F18425" t="s">
        <v>11624</v>
      </c>
      <c r="G18425">
        <v>18.739999999999998</v>
      </c>
      <c r="H18425">
        <v>-97.593599999999995</v>
      </c>
      <c r="I18425" t="s">
        <v>55693</v>
      </c>
      <c r="L18425">
        <v>0</v>
      </c>
      <c r="M18425">
        <v>0</v>
      </c>
      <c r="N18425">
        <v>0</v>
      </c>
      <c r="O18425" t="s">
        <v>11883</v>
      </c>
    </row>
    <row r="18426" spans="1:15">
      <c r="A18426" t="s">
        <v>55694</v>
      </c>
      <c r="B18426" t="s">
        <v>11879</v>
      </c>
      <c r="C18426" t="s">
        <v>23504</v>
      </c>
      <c r="D18426" t="s">
        <v>55695</v>
      </c>
      <c r="E18426" t="b">
        <v>0</v>
      </c>
      <c r="F18426" t="s">
        <v>11610</v>
      </c>
      <c r="L18426">
        <v>0</v>
      </c>
      <c r="M18426">
        <v>0</v>
      </c>
      <c r="N18426">
        <v>0</v>
      </c>
    </row>
    <row r="18427" spans="1:15">
      <c r="A18427" t="s">
        <v>55696</v>
      </c>
      <c r="B18427" t="s">
        <v>11879</v>
      </c>
      <c r="C18427" t="s">
        <v>6067</v>
      </c>
      <c r="D18427" t="s">
        <v>55697</v>
      </c>
      <c r="E18427" t="b">
        <v>0</v>
      </c>
      <c r="F18427" t="s">
        <v>11610</v>
      </c>
      <c r="L18427">
        <v>0</v>
      </c>
      <c r="M18427">
        <v>0</v>
      </c>
      <c r="N18427">
        <v>0</v>
      </c>
    </row>
    <row r="18428" spans="1:15">
      <c r="A18428" t="s">
        <v>55698</v>
      </c>
      <c r="B18428" t="s">
        <v>11879</v>
      </c>
      <c r="C18428" t="s">
        <v>6067</v>
      </c>
      <c r="D18428" t="s">
        <v>55699</v>
      </c>
      <c r="E18428" t="b">
        <v>0</v>
      </c>
      <c r="F18428" t="s">
        <v>11610</v>
      </c>
      <c r="L18428">
        <v>0</v>
      </c>
      <c r="M18428">
        <v>0</v>
      </c>
      <c r="N18428">
        <v>0</v>
      </c>
    </row>
    <row r="18429" spans="1:15">
      <c r="A18429" t="s">
        <v>55700</v>
      </c>
      <c r="B18429" t="s">
        <v>11637</v>
      </c>
      <c r="C18429" t="s">
        <v>41068</v>
      </c>
      <c r="D18429" t="s">
        <v>55701</v>
      </c>
      <c r="E18429" t="b">
        <v>0</v>
      </c>
      <c r="F18429" t="s">
        <v>11624</v>
      </c>
      <c r="G18429">
        <v>8.3260100000000001</v>
      </c>
      <c r="H18429">
        <v>-81.256399999999999</v>
      </c>
      <c r="I18429" t="s">
        <v>55702</v>
      </c>
      <c r="L18429">
        <v>0</v>
      </c>
      <c r="M18429">
        <v>0</v>
      </c>
      <c r="N18429">
        <v>0</v>
      </c>
      <c r="O18429" t="s">
        <v>20095</v>
      </c>
    </row>
    <row r="18430" spans="1:15">
      <c r="A18430" t="s">
        <v>55703</v>
      </c>
      <c r="B18430" t="s">
        <v>13276</v>
      </c>
      <c r="C18430" t="s">
        <v>16406</v>
      </c>
      <c r="D18430" t="s">
        <v>55704</v>
      </c>
      <c r="E18430" t="b">
        <v>0</v>
      </c>
      <c r="F18430" t="s">
        <v>11610</v>
      </c>
      <c r="L18430">
        <v>0</v>
      </c>
      <c r="M18430">
        <v>0</v>
      </c>
      <c r="N18430">
        <v>0</v>
      </c>
    </row>
    <row r="18431" spans="1:15">
      <c r="A18431" t="s">
        <v>55705</v>
      </c>
      <c r="B18431" t="s">
        <v>15027</v>
      </c>
      <c r="C18431" t="s">
        <v>22303</v>
      </c>
      <c r="D18431" t="s">
        <v>55706</v>
      </c>
      <c r="E18431" t="b">
        <v>0</v>
      </c>
      <c r="F18431" t="s">
        <v>11610</v>
      </c>
      <c r="L18431">
        <v>0</v>
      </c>
      <c r="M18431">
        <v>0</v>
      </c>
      <c r="N18431">
        <v>0</v>
      </c>
    </row>
    <row r="18432" spans="1:15">
      <c r="A18432" t="s">
        <v>55707</v>
      </c>
      <c r="B18432" t="s">
        <v>9071</v>
      </c>
      <c r="C18432" t="s">
        <v>23291</v>
      </c>
      <c r="D18432" t="s">
        <v>55708</v>
      </c>
      <c r="E18432" t="b">
        <v>0</v>
      </c>
      <c r="F18432" t="s">
        <v>11610</v>
      </c>
      <c r="L18432">
        <v>0</v>
      </c>
      <c r="M18432">
        <v>0</v>
      </c>
      <c r="N18432">
        <v>0</v>
      </c>
    </row>
    <row r="18433" spans="1:15">
      <c r="A18433" t="s">
        <v>55709</v>
      </c>
      <c r="B18433" t="s">
        <v>141</v>
      </c>
      <c r="C18433" t="s">
        <v>14216</v>
      </c>
      <c r="D18433" t="s">
        <v>55710</v>
      </c>
      <c r="E18433" t="b">
        <v>0</v>
      </c>
      <c r="F18433" t="s">
        <v>11610</v>
      </c>
      <c r="L18433">
        <v>0</v>
      </c>
      <c r="M18433">
        <v>0</v>
      </c>
      <c r="N18433">
        <v>0</v>
      </c>
    </row>
    <row r="18434" spans="1:15">
      <c r="A18434" t="s">
        <v>55711</v>
      </c>
      <c r="B18434" t="s">
        <v>11879</v>
      </c>
      <c r="C18434" t="s">
        <v>55677</v>
      </c>
      <c r="D18434" t="s">
        <v>55712</v>
      </c>
      <c r="E18434" t="b">
        <v>0</v>
      </c>
      <c r="F18434" t="s">
        <v>11610</v>
      </c>
      <c r="L18434">
        <v>0</v>
      </c>
      <c r="M18434">
        <v>0</v>
      </c>
      <c r="N18434">
        <v>0</v>
      </c>
    </row>
    <row r="18435" spans="1:15">
      <c r="A18435" t="s">
        <v>55713</v>
      </c>
      <c r="B18435" t="s">
        <v>11879</v>
      </c>
      <c r="C18435" t="s">
        <v>13583</v>
      </c>
      <c r="D18435" t="s">
        <v>55714</v>
      </c>
      <c r="E18435" t="b">
        <v>0</v>
      </c>
      <c r="F18435" t="s">
        <v>11624</v>
      </c>
      <c r="G18435">
        <v>16.5198</v>
      </c>
      <c r="H18435">
        <v>-98.046400000000006</v>
      </c>
      <c r="I18435" t="s">
        <v>55715</v>
      </c>
      <c r="L18435">
        <v>0</v>
      </c>
      <c r="M18435">
        <v>0</v>
      </c>
      <c r="N18435">
        <v>0</v>
      </c>
      <c r="O18435" t="s">
        <v>11883</v>
      </c>
    </row>
    <row r="18436" spans="1:15">
      <c r="A18436" t="s">
        <v>55716</v>
      </c>
      <c r="B18436" t="s">
        <v>11879</v>
      </c>
      <c r="C18436" t="s">
        <v>14920</v>
      </c>
      <c r="D18436" t="s">
        <v>55717</v>
      </c>
      <c r="E18436" t="b">
        <v>0</v>
      </c>
      <c r="F18436" t="s">
        <v>11624</v>
      </c>
      <c r="G18436">
        <v>16.7608</v>
      </c>
      <c r="H18436">
        <v>-96.0899</v>
      </c>
      <c r="I18436" t="s">
        <v>55718</v>
      </c>
      <c r="L18436">
        <v>0</v>
      </c>
      <c r="M18436">
        <v>0</v>
      </c>
      <c r="N18436">
        <v>0</v>
      </c>
      <c r="O18436" t="s">
        <v>11883</v>
      </c>
    </row>
    <row r="18437" spans="1:15">
      <c r="A18437" t="s">
        <v>55719</v>
      </c>
      <c r="B18437" t="s">
        <v>12204</v>
      </c>
      <c r="C18437" t="s">
        <v>44299</v>
      </c>
      <c r="D18437" t="s">
        <v>55720</v>
      </c>
      <c r="E18437" t="b">
        <v>0</v>
      </c>
      <c r="F18437" t="s">
        <v>11624</v>
      </c>
      <c r="L18437">
        <v>0</v>
      </c>
      <c r="M18437">
        <v>0</v>
      </c>
      <c r="N18437">
        <v>0</v>
      </c>
      <c r="O18437" t="s">
        <v>11905</v>
      </c>
    </row>
    <row r="18438" spans="1:15">
      <c r="A18438" t="s">
        <v>55721</v>
      </c>
      <c r="B18438" t="s">
        <v>11644</v>
      </c>
      <c r="C18438" t="s">
        <v>22102</v>
      </c>
      <c r="D18438" t="s">
        <v>55722</v>
      </c>
      <c r="E18438" t="b">
        <v>0</v>
      </c>
      <c r="F18438" t="s">
        <v>11610</v>
      </c>
      <c r="L18438">
        <v>0</v>
      </c>
      <c r="M18438">
        <v>0</v>
      </c>
      <c r="N18438">
        <v>0</v>
      </c>
    </row>
    <row r="18439" spans="1:15">
      <c r="A18439" t="s">
        <v>55723</v>
      </c>
      <c r="B18439" t="s">
        <v>13360</v>
      </c>
      <c r="C18439" t="s">
        <v>13360</v>
      </c>
      <c r="D18439" t="s">
        <v>55724</v>
      </c>
      <c r="E18439" t="b">
        <v>0</v>
      </c>
      <c r="F18439" t="s">
        <v>11624</v>
      </c>
      <c r="L18439">
        <v>0</v>
      </c>
      <c r="M18439">
        <v>0</v>
      </c>
      <c r="N18439">
        <v>0</v>
      </c>
      <c r="O18439" t="s">
        <v>14185</v>
      </c>
    </row>
    <row r="18440" spans="1:15">
      <c r="A18440" t="s">
        <v>7246</v>
      </c>
      <c r="B18440" t="s">
        <v>11637</v>
      </c>
      <c r="C18440" t="s">
        <v>18494</v>
      </c>
      <c r="D18440" t="s">
        <v>55725</v>
      </c>
      <c r="E18440" t="b">
        <v>0</v>
      </c>
      <c r="F18440" t="s">
        <v>11624</v>
      </c>
      <c r="G18440">
        <v>20</v>
      </c>
      <c r="H18440">
        <v>77</v>
      </c>
      <c r="I18440" t="s">
        <v>55726</v>
      </c>
      <c r="L18440">
        <v>0</v>
      </c>
      <c r="M18440">
        <v>0</v>
      </c>
      <c r="N18440">
        <v>0</v>
      </c>
      <c r="O18440" t="s">
        <v>11630</v>
      </c>
    </row>
    <row r="18441" spans="1:15">
      <c r="A18441" t="s">
        <v>55727</v>
      </c>
      <c r="B18441" t="s">
        <v>11637</v>
      </c>
      <c r="C18441" t="s">
        <v>26518</v>
      </c>
      <c r="D18441" t="s">
        <v>55728</v>
      </c>
      <c r="E18441" t="b">
        <v>0</v>
      </c>
      <c r="F18441" t="s">
        <v>11624</v>
      </c>
      <c r="G18441">
        <v>28.7364</v>
      </c>
      <c r="H18441">
        <v>72.683800000000005</v>
      </c>
      <c r="I18441" t="s">
        <v>55729</v>
      </c>
      <c r="L18441">
        <v>0</v>
      </c>
      <c r="M18441">
        <v>0</v>
      </c>
      <c r="N18441">
        <v>1</v>
      </c>
      <c r="O18441" t="s">
        <v>15870</v>
      </c>
    </row>
    <row r="18442" spans="1:15">
      <c r="A18442" t="s">
        <v>55730</v>
      </c>
      <c r="B18442" t="s">
        <v>6742</v>
      </c>
      <c r="C18442" t="s">
        <v>16825</v>
      </c>
      <c r="D18442" t="s">
        <v>55731</v>
      </c>
      <c r="E18442" t="b">
        <v>0</v>
      </c>
      <c r="F18442" t="s">
        <v>11624</v>
      </c>
      <c r="G18442">
        <v>-5.3353900000000003</v>
      </c>
      <c r="H18442">
        <v>13.358700000000001</v>
      </c>
      <c r="I18442" t="s">
        <v>55732</v>
      </c>
      <c r="L18442">
        <v>0</v>
      </c>
      <c r="M18442">
        <v>0</v>
      </c>
      <c r="N18442">
        <v>0</v>
      </c>
      <c r="O18442" t="s">
        <v>37366</v>
      </c>
    </row>
    <row r="18443" spans="1:15">
      <c r="A18443" t="s">
        <v>55733</v>
      </c>
      <c r="B18443" t="s">
        <v>12751</v>
      </c>
      <c r="C18443" t="s">
        <v>2723</v>
      </c>
      <c r="D18443" t="s">
        <v>55734</v>
      </c>
      <c r="E18443" t="b">
        <v>0</v>
      </c>
      <c r="F18443" t="s">
        <v>11610</v>
      </c>
      <c r="L18443">
        <v>0</v>
      </c>
      <c r="M18443">
        <v>0</v>
      </c>
      <c r="N18443">
        <v>0</v>
      </c>
    </row>
    <row r="18444" spans="1:15">
      <c r="A18444" t="s">
        <v>55735</v>
      </c>
      <c r="B18444" t="s">
        <v>11879</v>
      </c>
      <c r="C18444" t="s">
        <v>55736</v>
      </c>
      <c r="D18444" t="s">
        <v>55737</v>
      </c>
      <c r="E18444" t="b">
        <v>0</v>
      </c>
      <c r="F18444" t="s">
        <v>11610</v>
      </c>
      <c r="L18444">
        <v>0</v>
      </c>
      <c r="M18444">
        <v>0</v>
      </c>
      <c r="N18444">
        <v>0</v>
      </c>
    </row>
    <row r="18445" spans="1:15">
      <c r="A18445" t="s">
        <v>55738</v>
      </c>
      <c r="B18445" t="s">
        <v>11879</v>
      </c>
      <c r="C18445" t="s">
        <v>55447</v>
      </c>
      <c r="D18445" t="s">
        <v>55739</v>
      </c>
      <c r="E18445" t="b">
        <v>0</v>
      </c>
      <c r="F18445" t="s">
        <v>11610</v>
      </c>
      <c r="L18445">
        <v>0</v>
      </c>
      <c r="M18445">
        <v>0</v>
      </c>
      <c r="N18445">
        <v>0</v>
      </c>
    </row>
    <row r="18446" spans="1:15">
      <c r="A18446" t="s">
        <v>55740</v>
      </c>
      <c r="B18446" t="s">
        <v>11627</v>
      </c>
      <c r="C18446" t="s">
        <v>11627</v>
      </c>
      <c r="D18446" t="s">
        <v>55741</v>
      </c>
      <c r="E18446" t="b">
        <v>1</v>
      </c>
      <c r="F18446" t="s">
        <v>11624</v>
      </c>
      <c r="G18446">
        <v>21.6402</v>
      </c>
      <c r="H18446">
        <v>100.099</v>
      </c>
      <c r="I18446" t="s">
        <v>55742</v>
      </c>
      <c r="L18446">
        <v>0</v>
      </c>
      <c r="M18446">
        <v>0</v>
      </c>
      <c r="N18446">
        <v>0</v>
      </c>
      <c r="O18446" t="s">
        <v>14059</v>
      </c>
    </row>
    <row r="18447" spans="1:15">
      <c r="A18447" t="s">
        <v>55743</v>
      </c>
      <c r="B18447" t="s">
        <v>11637</v>
      </c>
      <c r="C18447" t="s">
        <v>19771</v>
      </c>
      <c r="D18447" t="s">
        <v>55744</v>
      </c>
      <c r="E18447" t="b">
        <v>0</v>
      </c>
      <c r="F18447" t="s">
        <v>11610</v>
      </c>
      <c r="L18447">
        <v>0</v>
      </c>
      <c r="M18447">
        <v>0</v>
      </c>
      <c r="N18447">
        <v>0</v>
      </c>
    </row>
    <row r="18448" spans="1:15">
      <c r="A18448" t="s">
        <v>55745</v>
      </c>
      <c r="B18448" t="s">
        <v>11637</v>
      </c>
      <c r="C18448" t="s">
        <v>13473</v>
      </c>
      <c r="D18448" t="s">
        <v>55746</v>
      </c>
      <c r="E18448" t="b">
        <v>0</v>
      </c>
      <c r="F18448" t="s">
        <v>11610</v>
      </c>
      <c r="L18448">
        <v>0</v>
      </c>
      <c r="M18448">
        <v>0</v>
      </c>
      <c r="N18448">
        <v>0</v>
      </c>
    </row>
    <row r="18449" spans="1:15">
      <c r="A18449" t="s">
        <v>34501</v>
      </c>
      <c r="B18449" t="s">
        <v>12438</v>
      </c>
      <c r="C18449" t="s">
        <v>37045</v>
      </c>
      <c r="D18449" t="s">
        <v>55747</v>
      </c>
      <c r="E18449" t="b">
        <v>0</v>
      </c>
      <c r="F18449" t="s">
        <v>11624</v>
      </c>
      <c r="G18449">
        <v>25.031700000000001</v>
      </c>
      <c r="H18449">
        <v>87.8185</v>
      </c>
      <c r="I18449" t="s">
        <v>55748</v>
      </c>
      <c r="L18449">
        <v>0</v>
      </c>
      <c r="M18449">
        <v>0</v>
      </c>
      <c r="N18449">
        <v>6</v>
      </c>
      <c r="O18449" t="s">
        <v>31167</v>
      </c>
    </row>
    <row r="18450" spans="1:15">
      <c r="A18450" t="s">
        <v>55749</v>
      </c>
      <c r="B18450" t="s">
        <v>6742</v>
      </c>
      <c r="C18450" t="s">
        <v>17036</v>
      </c>
      <c r="D18450" t="s">
        <v>55750</v>
      </c>
      <c r="E18450" t="b">
        <v>0</v>
      </c>
      <c r="F18450" t="s">
        <v>11610</v>
      </c>
      <c r="L18450">
        <v>0</v>
      </c>
      <c r="M18450">
        <v>0</v>
      </c>
      <c r="N18450">
        <v>0</v>
      </c>
    </row>
    <row r="18451" spans="1:15">
      <c r="A18451" t="s">
        <v>55751</v>
      </c>
      <c r="B18451" t="s">
        <v>26637</v>
      </c>
      <c r="C18451" t="s">
        <v>37693</v>
      </c>
      <c r="D18451" t="s">
        <v>55752</v>
      </c>
      <c r="E18451" t="b">
        <v>0</v>
      </c>
      <c r="F18451" t="s">
        <v>11610</v>
      </c>
      <c r="L18451">
        <v>0</v>
      </c>
      <c r="M18451">
        <v>0</v>
      </c>
      <c r="N18451">
        <v>0</v>
      </c>
    </row>
    <row r="18452" spans="1:15">
      <c r="A18452" t="s">
        <v>55753</v>
      </c>
      <c r="B18452" t="s">
        <v>367</v>
      </c>
      <c r="C18452" t="s">
        <v>51730</v>
      </c>
      <c r="D18452" t="s">
        <v>55754</v>
      </c>
      <c r="E18452" t="b">
        <v>0</v>
      </c>
      <c r="F18452" t="s">
        <v>11610</v>
      </c>
      <c r="L18452">
        <v>0</v>
      </c>
      <c r="M18452">
        <v>0</v>
      </c>
      <c r="N18452">
        <v>0</v>
      </c>
    </row>
    <row r="18453" spans="1:15">
      <c r="A18453" t="s">
        <v>55755</v>
      </c>
      <c r="B18453" t="s">
        <v>367</v>
      </c>
      <c r="C18453" t="s">
        <v>51730</v>
      </c>
      <c r="D18453" t="s">
        <v>55756</v>
      </c>
      <c r="E18453" t="b">
        <v>0</v>
      </c>
      <c r="F18453" t="s">
        <v>11610</v>
      </c>
      <c r="L18453">
        <v>0</v>
      </c>
      <c r="M18453">
        <v>0</v>
      </c>
      <c r="N18453">
        <v>0</v>
      </c>
    </row>
    <row r="18454" spans="1:15">
      <c r="A18454" t="s">
        <v>55757</v>
      </c>
      <c r="B18454" t="s">
        <v>367</v>
      </c>
      <c r="C18454" t="s">
        <v>31860</v>
      </c>
      <c r="D18454" t="s">
        <v>55758</v>
      </c>
      <c r="E18454" t="b">
        <v>0</v>
      </c>
      <c r="F18454" t="s">
        <v>11610</v>
      </c>
      <c r="L18454">
        <v>0</v>
      </c>
      <c r="M18454">
        <v>0</v>
      </c>
      <c r="N18454">
        <v>0</v>
      </c>
    </row>
    <row r="18455" spans="1:15">
      <c r="A18455" t="s">
        <v>55759</v>
      </c>
      <c r="B18455" t="s">
        <v>367</v>
      </c>
      <c r="C18455" t="s">
        <v>11814</v>
      </c>
      <c r="D18455" t="s">
        <v>55760</v>
      </c>
      <c r="E18455" t="b">
        <v>0</v>
      </c>
      <c r="F18455" t="s">
        <v>11610</v>
      </c>
      <c r="L18455">
        <v>0</v>
      </c>
      <c r="M18455">
        <v>0</v>
      </c>
      <c r="N18455">
        <v>0</v>
      </c>
    </row>
    <row r="18456" spans="1:15">
      <c r="A18456" t="s">
        <v>55761</v>
      </c>
      <c r="B18456" t="s">
        <v>367</v>
      </c>
      <c r="C18456" t="s">
        <v>17133</v>
      </c>
      <c r="D18456" t="s">
        <v>55762</v>
      </c>
      <c r="E18456" t="b">
        <v>0</v>
      </c>
      <c r="F18456" t="s">
        <v>11610</v>
      </c>
      <c r="L18456">
        <v>0</v>
      </c>
      <c r="M18456">
        <v>0</v>
      </c>
      <c r="N18456">
        <v>0</v>
      </c>
    </row>
    <row r="18457" spans="1:15">
      <c r="A18457" t="s">
        <v>55763</v>
      </c>
      <c r="B18457" t="s">
        <v>367</v>
      </c>
      <c r="C18457" t="s">
        <v>17133</v>
      </c>
      <c r="D18457" t="s">
        <v>55764</v>
      </c>
      <c r="E18457" t="b">
        <v>0</v>
      </c>
      <c r="F18457" t="s">
        <v>11610</v>
      </c>
      <c r="L18457">
        <v>0</v>
      </c>
      <c r="M18457">
        <v>0</v>
      </c>
      <c r="N18457">
        <v>0</v>
      </c>
    </row>
    <row r="18458" spans="1:15">
      <c r="A18458" t="s">
        <v>55765</v>
      </c>
      <c r="B18458" t="s">
        <v>367</v>
      </c>
      <c r="C18458" t="s">
        <v>49875</v>
      </c>
      <c r="D18458" t="s">
        <v>55766</v>
      </c>
      <c r="E18458" t="b">
        <v>0</v>
      </c>
      <c r="F18458" t="s">
        <v>11610</v>
      </c>
      <c r="L18458">
        <v>0</v>
      </c>
      <c r="M18458">
        <v>0</v>
      </c>
      <c r="N18458">
        <v>0</v>
      </c>
    </row>
    <row r="18459" spans="1:15">
      <c r="A18459" t="s">
        <v>55767</v>
      </c>
      <c r="B18459" t="s">
        <v>14571</v>
      </c>
      <c r="C18459" t="s">
        <v>46378</v>
      </c>
      <c r="D18459" t="s">
        <v>55768</v>
      </c>
      <c r="E18459" t="b">
        <v>0</v>
      </c>
      <c r="F18459" t="s">
        <v>11610</v>
      </c>
      <c r="L18459">
        <v>0</v>
      </c>
      <c r="M18459">
        <v>0</v>
      </c>
      <c r="N18459">
        <v>0</v>
      </c>
    </row>
    <row r="18460" spans="1:15">
      <c r="A18460" t="s">
        <v>55769</v>
      </c>
      <c r="B18460" t="s">
        <v>31598</v>
      </c>
      <c r="C18460" t="s">
        <v>55500</v>
      </c>
      <c r="D18460" t="s">
        <v>55770</v>
      </c>
      <c r="E18460" t="b">
        <v>0</v>
      </c>
      <c r="F18460" t="s">
        <v>11624</v>
      </c>
      <c r="G18460">
        <v>16.216699999999999</v>
      </c>
      <c r="H18460">
        <v>-94.815899999999999</v>
      </c>
      <c r="I18460" t="s">
        <v>55771</v>
      </c>
      <c r="L18460">
        <v>0</v>
      </c>
      <c r="M18460">
        <v>0</v>
      </c>
      <c r="N18460">
        <v>0</v>
      </c>
      <c r="O18460" t="s">
        <v>11883</v>
      </c>
    </row>
    <row r="18461" spans="1:15">
      <c r="A18461" t="s">
        <v>55772</v>
      </c>
      <c r="B18461" t="s">
        <v>12751</v>
      </c>
      <c r="C18461" t="s">
        <v>21699</v>
      </c>
      <c r="D18461" t="s">
        <v>55773</v>
      </c>
      <c r="E18461" t="b">
        <v>0</v>
      </c>
      <c r="F18461" t="s">
        <v>11624</v>
      </c>
      <c r="G18461">
        <v>18.628599999999999</v>
      </c>
      <c r="H18461">
        <v>-97.700900000000004</v>
      </c>
      <c r="I18461" t="s">
        <v>55774</v>
      </c>
      <c r="L18461">
        <v>0</v>
      </c>
      <c r="M18461">
        <v>0</v>
      </c>
      <c r="N18461">
        <v>0</v>
      </c>
      <c r="O18461" t="s">
        <v>11883</v>
      </c>
    </row>
    <row r="18462" spans="1:15">
      <c r="A18462" t="s">
        <v>25162</v>
      </c>
      <c r="B18462" t="s">
        <v>12751</v>
      </c>
      <c r="C18462" t="s">
        <v>6056</v>
      </c>
      <c r="D18462" t="s">
        <v>55775</v>
      </c>
      <c r="E18462" t="b">
        <v>0</v>
      </c>
      <c r="F18462" t="s">
        <v>11624</v>
      </c>
      <c r="G18462">
        <v>22.7102</v>
      </c>
      <c r="H18462">
        <v>-104.7</v>
      </c>
      <c r="I18462" t="s">
        <v>55776</v>
      </c>
      <c r="L18462">
        <v>0</v>
      </c>
      <c r="M18462">
        <v>0</v>
      </c>
      <c r="N18462">
        <v>5</v>
      </c>
      <c r="O18462" t="s">
        <v>11883</v>
      </c>
    </row>
    <row r="18463" spans="1:15">
      <c r="A18463" t="s">
        <v>55777</v>
      </c>
      <c r="B18463" t="s">
        <v>10368</v>
      </c>
      <c r="C18463" t="s">
        <v>23239</v>
      </c>
      <c r="D18463" t="s">
        <v>55778</v>
      </c>
      <c r="E18463" t="b">
        <v>0</v>
      </c>
      <c r="F18463" t="s">
        <v>11610</v>
      </c>
      <c r="L18463">
        <v>0</v>
      </c>
      <c r="M18463">
        <v>0</v>
      </c>
      <c r="N18463">
        <v>0</v>
      </c>
    </row>
    <row r="18464" spans="1:15">
      <c r="A18464" t="s">
        <v>55779</v>
      </c>
      <c r="B18464" t="s">
        <v>10368</v>
      </c>
      <c r="C18464" t="s">
        <v>23239</v>
      </c>
      <c r="D18464" t="s">
        <v>55780</v>
      </c>
      <c r="E18464" t="b">
        <v>0</v>
      </c>
      <c r="F18464" t="s">
        <v>11610</v>
      </c>
      <c r="L18464">
        <v>0</v>
      </c>
      <c r="M18464">
        <v>0</v>
      </c>
      <c r="N18464">
        <v>0</v>
      </c>
    </row>
    <row r="18465" spans="1:15">
      <c r="A18465" t="s">
        <v>55781</v>
      </c>
      <c r="B18465" t="s">
        <v>17579</v>
      </c>
      <c r="C18465" t="s">
        <v>26368</v>
      </c>
      <c r="D18465" t="s">
        <v>55782</v>
      </c>
      <c r="E18465" t="b">
        <v>0</v>
      </c>
      <c r="F18465" t="s">
        <v>11610</v>
      </c>
      <c r="L18465">
        <v>0</v>
      </c>
      <c r="M18465">
        <v>0</v>
      </c>
      <c r="N18465">
        <v>0</v>
      </c>
    </row>
    <row r="18466" spans="1:15">
      <c r="A18466" t="s">
        <v>55783</v>
      </c>
      <c r="B18466" t="s">
        <v>17579</v>
      </c>
      <c r="C18466" t="s">
        <v>26368</v>
      </c>
      <c r="D18466" t="s">
        <v>55784</v>
      </c>
      <c r="E18466" t="b">
        <v>0</v>
      </c>
      <c r="F18466" t="s">
        <v>11610</v>
      </c>
      <c r="L18466">
        <v>0</v>
      </c>
      <c r="M18466">
        <v>0</v>
      </c>
      <c r="N18466">
        <v>0</v>
      </c>
    </row>
    <row r="18467" spans="1:15">
      <c r="A18467" t="s">
        <v>55785</v>
      </c>
      <c r="B18467" t="s">
        <v>22682</v>
      </c>
      <c r="C18467" t="s">
        <v>22682</v>
      </c>
      <c r="D18467" t="s">
        <v>55786</v>
      </c>
      <c r="E18467" t="b">
        <v>0</v>
      </c>
      <c r="F18467" t="s">
        <v>11610</v>
      </c>
      <c r="L18467">
        <v>0</v>
      </c>
      <c r="M18467">
        <v>0</v>
      </c>
      <c r="N18467">
        <v>0</v>
      </c>
    </row>
    <row r="18468" spans="1:15">
      <c r="A18468" t="s">
        <v>55787</v>
      </c>
      <c r="B18468" t="s">
        <v>141</v>
      </c>
      <c r="C18468" t="s">
        <v>46529</v>
      </c>
      <c r="D18468" t="s">
        <v>55788</v>
      </c>
      <c r="E18468" t="b">
        <v>0</v>
      </c>
      <c r="F18468" t="s">
        <v>11610</v>
      </c>
      <c r="L18468">
        <v>0</v>
      </c>
      <c r="M18468">
        <v>0</v>
      </c>
      <c r="N18468">
        <v>0</v>
      </c>
    </row>
    <row r="18469" spans="1:15">
      <c r="A18469" t="s">
        <v>55789</v>
      </c>
      <c r="B18469" t="s">
        <v>141</v>
      </c>
      <c r="C18469" t="s">
        <v>14187</v>
      </c>
      <c r="D18469" t="s">
        <v>55790</v>
      </c>
      <c r="E18469" t="b">
        <v>0</v>
      </c>
      <c r="F18469" t="s">
        <v>11610</v>
      </c>
      <c r="L18469">
        <v>0</v>
      </c>
      <c r="M18469">
        <v>0</v>
      </c>
      <c r="N18469">
        <v>0</v>
      </c>
    </row>
    <row r="18470" spans="1:15">
      <c r="A18470" t="s">
        <v>21223</v>
      </c>
      <c r="B18470" t="s">
        <v>141</v>
      </c>
      <c r="C18470" t="s">
        <v>15441</v>
      </c>
      <c r="D18470" t="s">
        <v>55791</v>
      </c>
      <c r="E18470" t="b">
        <v>0</v>
      </c>
      <c r="F18470" t="s">
        <v>11624</v>
      </c>
      <c r="G18470">
        <v>-27.821000000000002</v>
      </c>
      <c r="H18470">
        <v>-63.246600000000001</v>
      </c>
      <c r="I18470" t="s">
        <v>55792</v>
      </c>
      <c r="L18470">
        <v>0</v>
      </c>
      <c r="M18470">
        <v>0</v>
      </c>
      <c r="N18470">
        <v>2</v>
      </c>
      <c r="O18470" t="s">
        <v>11774</v>
      </c>
    </row>
    <row r="18471" spans="1:15">
      <c r="A18471" t="s">
        <v>55793</v>
      </c>
      <c r="B18471" t="s">
        <v>141</v>
      </c>
      <c r="C18471" t="s">
        <v>13390</v>
      </c>
      <c r="D18471" t="s">
        <v>55794</v>
      </c>
      <c r="E18471" t="b">
        <v>0</v>
      </c>
      <c r="F18471" t="s">
        <v>11624</v>
      </c>
      <c r="G18471">
        <v>-10.3302</v>
      </c>
      <c r="H18471">
        <v>-76.275300000000001</v>
      </c>
      <c r="I18471" t="s">
        <v>55795</v>
      </c>
      <c r="L18471">
        <v>0</v>
      </c>
      <c r="M18471">
        <v>0</v>
      </c>
      <c r="N18471">
        <v>0</v>
      </c>
      <c r="O18471" t="s">
        <v>11778</v>
      </c>
    </row>
    <row r="18472" spans="1:15">
      <c r="A18472" t="s">
        <v>55796</v>
      </c>
      <c r="B18472" t="s">
        <v>12380</v>
      </c>
      <c r="C18472" t="s">
        <v>12380</v>
      </c>
      <c r="D18472" t="s">
        <v>55797</v>
      </c>
      <c r="E18472" t="b">
        <v>0</v>
      </c>
      <c r="F18472" t="s">
        <v>11610</v>
      </c>
      <c r="L18472">
        <v>0</v>
      </c>
      <c r="M18472">
        <v>0</v>
      </c>
      <c r="N18472">
        <v>0</v>
      </c>
    </row>
    <row r="18473" spans="1:15">
      <c r="A18473" t="s">
        <v>55798</v>
      </c>
      <c r="B18473" t="s">
        <v>11879</v>
      </c>
      <c r="C18473" t="s">
        <v>15033</v>
      </c>
      <c r="D18473" t="s">
        <v>55799</v>
      </c>
      <c r="E18473" t="b">
        <v>0</v>
      </c>
      <c r="F18473" t="s">
        <v>11610</v>
      </c>
      <c r="L18473">
        <v>0</v>
      </c>
      <c r="M18473">
        <v>0</v>
      </c>
      <c r="N18473">
        <v>0</v>
      </c>
    </row>
    <row r="18474" spans="1:15">
      <c r="A18474" t="s">
        <v>55800</v>
      </c>
      <c r="B18474" t="s">
        <v>11879</v>
      </c>
      <c r="C18474" t="s">
        <v>53160</v>
      </c>
      <c r="D18474" t="s">
        <v>55801</v>
      </c>
      <c r="E18474" t="b">
        <v>0</v>
      </c>
      <c r="F18474" t="s">
        <v>11624</v>
      </c>
      <c r="G18474">
        <v>16.700299999999999</v>
      </c>
      <c r="H18474">
        <v>-97.948400000000007</v>
      </c>
      <c r="I18474" t="s">
        <v>55802</v>
      </c>
      <c r="L18474">
        <v>0</v>
      </c>
      <c r="M18474">
        <v>0</v>
      </c>
      <c r="N18474">
        <v>0</v>
      </c>
      <c r="O18474" t="s">
        <v>11883</v>
      </c>
    </row>
    <row r="18475" spans="1:15">
      <c r="A18475" t="s">
        <v>55803</v>
      </c>
      <c r="B18475" t="s">
        <v>11879</v>
      </c>
      <c r="C18475" t="s">
        <v>55804</v>
      </c>
      <c r="D18475" t="s">
        <v>55805</v>
      </c>
      <c r="E18475" t="b">
        <v>0</v>
      </c>
      <c r="F18475" t="s">
        <v>11610</v>
      </c>
      <c r="L18475">
        <v>0</v>
      </c>
      <c r="M18475">
        <v>0</v>
      </c>
      <c r="N18475">
        <v>0</v>
      </c>
    </row>
    <row r="18476" spans="1:15">
      <c r="A18476" t="s">
        <v>55806</v>
      </c>
      <c r="B18476" t="s">
        <v>11879</v>
      </c>
      <c r="C18476" t="s">
        <v>50784</v>
      </c>
      <c r="D18476" t="s">
        <v>55807</v>
      </c>
      <c r="E18476" t="b">
        <v>0</v>
      </c>
      <c r="F18476" t="s">
        <v>11610</v>
      </c>
      <c r="L18476">
        <v>0</v>
      </c>
      <c r="M18476">
        <v>0</v>
      </c>
      <c r="N18476">
        <v>0</v>
      </c>
    </row>
    <row r="18477" spans="1:15">
      <c r="A18477" t="s">
        <v>55808</v>
      </c>
      <c r="B18477" t="s">
        <v>11879</v>
      </c>
      <c r="C18477" t="s">
        <v>14974</v>
      </c>
      <c r="D18477" t="s">
        <v>55809</v>
      </c>
      <c r="E18477" t="b">
        <v>0</v>
      </c>
      <c r="F18477" t="s">
        <v>11624</v>
      </c>
      <c r="G18477">
        <v>16.9969</v>
      </c>
      <c r="H18477">
        <v>-97.627700000000004</v>
      </c>
      <c r="I18477" t="s">
        <v>55810</v>
      </c>
      <c r="L18477">
        <v>0</v>
      </c>
      <c r="M18477">
        <v>0</v>
      </c>
      <c r="N18477">
        <v>0</v>
      </c>
      <c r="O18477" t="s">
        <v>11883</v>
      </c>
    </row>
    <row r="18478" spans="1:15">
      <c r="A18478" t="s">
        <v>55811</v>
      </c>
      <c r="B18478" t="s">
        <v>11879</v>
      </c>
      <c r="C18478" t="s">
        <v>41636</v>
      </c>
      <c r="D18478" t="s">
        <v>55812</v>
      </c>
      <c r="E18478" t="b">
        <v>0</v>
      </c>
      <c r="F18478" t="s">
        <v>11610</v>
      </c>
      <c r="L18478">
        <v>0</v>
      </c>
      <c r="M18478">
        <v>0</v>
      </c>
      <c r="N18478">
        <v>0</v>
      </c>
    </row>
    <row r="18479" spans="1:15">
      <c r="A18479" t="s">
        <v>55813</v>
      </c>
      <c r="B18479" t="s">
        <v>11879</v>
      </c>
      <c r="C18479" t="s">
        <v>55814</v>
      </c>
      <c r="D18479" t="s">
        <v>55815</v>
      </c>
      <c r="E18479" t="b">
        <v>0</v>
      </c>
      <c r="F18479" t="s">
        <v>11610</v>
      </c>
      <c r="L18479">
        <v>0</v>
      </c>
      <c r="M18479">
        <v>0</v>
      </c>
      <c r="N18479">
        <v>0</v>
      </c>
    </row>
    <row r="18480" spans="1:15">
      <c r="A18480" t="s">
        <v>55816</v>
      </c>
      <c r="B18480" t="s">
        <v>11879</v>
      </c>
      <c r="C18480" t="s">
        <v>55677</v>
      </c>
      <c r="D18480" t="s">
        <v>55817</v>
      </c>
      <c r="E18480" t="b">
        <v>0</v>
      </c>
      <c r="F18480" t="s">
        <v>11610</v>
      </c>
      <c r="L18480">
        <v>0</v>
      </c>
      <c r="M18480">
        <v>0</v>
      </c>
      <c r="N18480">
        <v>0</v>
      </c>
    </row>
    <row r="18481" spans="1:15">
      <c r="A18481" t="s">
        <v>55818</v>
      </c>
      <c r="B18481" t="s">
        <v>11879</v>
      </c>
      <c r="C18481" t="s">
        <v>55677</v>
      </c>
      <c r="D18481" t="s">
        <v>55819</v>
      </c>
      <c r="E18481" t="b">
        <v>0</v>
      </c>
      <c r="F18481" t="s">
        <v>11610</v>
      </c>
      <c r="L18481">
        <v>0</v>
      </c>
      <c r="M18481">
        <v>0</v>
      </c>
      <c r="N18481">
        <v>0</v>
      </c>
    </row>
    <row r="18482" spans="1:15">
      <c r="A18482" t="s">
        <v>55820</v>
      </c>
      <c r="B18482" t="s">
        <v>11879</v>
      </c>
      <c r="C18482" t="s">
        <v>55621</v>
      </c>
      <c r="D18482" t="s">
        <v>55821</v>
      </c>
      <c r="E18482" t="b">
        <v>0</v>
      </c>
      <c r="F18482" t="s">
        <v>11610</v>
      </c>
      <c r="L18482">
        <v>0</v>
      </c>
      <c r="M18482">
        <v>0</v>
      </c>
      <c r="N18482">
        <v>0</v>
      </c>
    </row>
    <row r="18483" spans="1:15">
      <c r="A18483" t="s">
        <v>55822</v>
      </c>
      <c r="B18483" t="s">
        <v>11879</v>
      </c>
      <c r="C18483" t="s">
        <v>52758</v>
      </c>
      <c r="D18483" t="s">
        <v>55823</v>
      </c>
      <c r="E18483" t="b">
        <v>0</v>
      </c>
      <c r="F18483" t="s">
        <v>11610</v>
      </c>
      <c r="L18483">
        <v>0</v>
      </c>
      <c r="M18483">
        <v>0</v>
      </c>
      <c r="N18483">
        <v>0</v>
      </c>
    </row>
    <row r="18484" spans="1:15">
      <c r="A18484" t="s">
        <v>55824</v>
      </c>
      <c r="B18484" t="s">
        <v>11879</v>
      </c>
      <c r="C18484" t="s">
        <v>52758</v>
      </c>
      <c r="D18484" t="s">
        <v>55825</v>
      </c>
      <c r="E18484" t="b">
        <v>0</v>
      </c>
      <c r="F18484" t="s">
        <v>11610</v>
      </c>
      <c r="L18484">
        <v>0</v>
      </c>
      <c r="M18484">
        <v>0</v>
      </c>
      <c r="N18484">
        <v>0</v>
      </c>
    </row>
    <row r="18485" spans="1:15">
      <c r="A18485" t="s">
        <v>55826</v>
      </c>
      <c r="B18485" t="s">
        <v>11879</v>
      </c>
      <c r="C18485" t="s">
        <v>14920</v>
      </c>
      <c r="D18485" t="s">
        <v>55827</v>
      </c>
      <c r="E18485" t="b">
        <v>0</v>
      </c>
      <c r="F18485" t="s">
        <v>11624</v>
      </c>
      <c r="G18485">
        <v>16.8842</v>
      </c>
      <c r="H18485">
        <v>-96.752700000000004</v>
      </c>
      <c r="I18485" t="s">
        <v>55828</v>
      </c>
      <c r="L18485">
        <v>0</v>
      </c>
      <c r="M18485">
        <v>0</v>
      </c>
      <c r="N18485">
        <v>1</v>
      </c>
      <c r="O18485" t="s">
        <v>11883</v>
      </c>
    </row>
    <row r="18486" spans="1:15">
      <c r="A18486" t="s">
        <v>55829</v>
      </c>
      <c r="B18486" t="s">
        <v>11879</v>
      </c>
      <c r="C18486" t="s">
        <v>14920</v>
      </c>
      <c r="D18486" t="s">
        <v>55830</v>
      </c>
      <c r="E18486" t="b">
        <v>0</v>
      </c>
      <c r="F18486" t="s">
        <v>11624</v>
      </c>
      <c r="G18486">
        <v>17.044599999999999</v>
      </c>
      <c r="H18486">
        <v>-96.351200000000006</v>
      </c>
      <c r="I18486" t="s">
        <v>55831</v>
      </c>
      <c r="L18486">
        <v>0</v>
      </c>
      <c r="M18486">
        <v>0</v>
      </c>
      <c r="N18486">
        <v>0</v>
      </c>
      <c r="O18486" t="s">
        <v>11883</v>
      </c>
    </row>
    <row r="18487" spans="1:15">
      <c r="A18487" t="s">
        <v>55832</v>
      </c>
      <c r="B18487" t="s">
        <v>11879</v>
      </c>
      <c r="C18487" t="s">
        <v>44735</v>
      </c>
      <c r="D18487" t="s">
        <v>55833</v>
      </c>
      <c r="E18487" t="b">
        <v>0</v>
      </c>
      <c r="F18487" t="s">
        <v>11610</v>
      </c>
      <c r="L18487">
        <v>0</v>
      </c>
      <c r="M18487">
        <v>0</v>
      </c>
      <c r="N18487">
        <v>0</v>
      </c>
    </row>
    <row r="18488" spans="1:15">
      <c r="A18488" t="s">
        <v>55834</v>
      </c>
      <c r="B18488" t="s">
        <v>11879</v>
      </c>
      <c r="C18488" t="s">
        <v>14920</v>
      </c>
      <c r="D18488" t="s">
        <v>55835</v>
      </c>
      <c r="E18488" t="b">
        <v>0</v>
      </c>
      <c r="F18488" t="s">
        <v>11624</v>
      </c>
      <c r="G18488">
        <v>17.034500000000001</v>
      </c>
      <c r="H18488">
        <v>-96.281000000000006</v>
      </c>
      <c r="I18488" t="s">
        <v>55836</v>
      </c>
      <c r="L18488">
        <v>0</v>
      </c>
      <c r="M18488">
        <v>0</v>
      </c>
      <c r="N18488">
        <v>0</v>
      </c>
      <c r="O18488" t="s">
        <v>11883</v>
      </c>
    </row>
    <row r="18489" spans="1:15">
      <c r="A18489" t="s">
        <v>55837</v>
      </c>
      <c r="B18489" t="s">
        <v>11879</v>
      </c>
      <c r="C18489" t="s">
        <v>14920</v>
      </c>
      <c r="D18489" t="s">
        <v>55838</v>
      </c>
      <c r="E18489" t="b">
        <v>0</v>
      </c>
      <c r="F18489" t="s">
        <v>11624</v>
      </c>
      <c r="G18489">
        <v>16.033000000000001</v>
      </c>
      <c r="H18489">
        <v>-96.048599999999993</v>
      </c>
      <c r="I18489" t="s">
        <v>55839</v>
      </c>
      <c r="L18489">
        <v>0</v>
      </c>
      <c r="M18489">
        <v>0</v>
      </c>
      <c r="N18489">
        <v>0</v>
      </c>
      <c r="O18489" t="s">
        <v>11883</v>
      </c>
    </row>
    <row r="18490" spans="1:15">
      <c r="A18490" t="s">
        <v>55840</v>
      </c>
      <c r="B18490" t="s">
        <v>11879</v>
      </c>
      <c r="C18490" t="s">
        <v>13326</v>
      </c>
      <c r="D18490" t="s">
        <v>55841</v>
      </c>
      <c r="E18490" t="b">
        <v>0</v>
      </c>
      <c r="F18490" t="s">
        <v>11624</v>
      </c>
      <c r="G18490">
        <v>15.883599999999999</v>
      </c>
      <c r="H18490">
        <v>-96.218599999999995</v>
      </c>
      <c r="I18490" t="s">
        <v>55842</v>
      </c>
      <c r="L18490">
        <v>0</v>
      </c>
      <c r="M18490">
        <v>0</v>
      </c>
      <c r="N18490">
        <v>0</v>
      </c>
      <c r="O18490" t="s">
        <v>11883</v>
      </c>
    </row>
    <row r="18491" spans="1:15">
      <c r="A18491" t="s">
        <v>55843</v>
      </c>
      <c r="B18491" t="s">
        <v>11879</v>
      </c>
      <c r="C18491" t="s">
        <v>31622</v>
      </c>
      <c r="D18491" t="s">
        <v>55844</v>
      </c>
      <c r="E18491" t="b">
        <v>0</v>
      </c>
      <c r="F18491" t="s">
        <v>11610</v>
      </c>
      <c r="L18491">
        <v>0</v>
      </c>
      <c r="M18491">
        <v>0</v>
      </c>
      <c r="N18491">
        <v>0</v>
      </c>
    </row>
    <row r="18492" spans="1:15">
      <c r="A18492" t="s">
        <v>12465</v>
      </c>
      <c r="B18492" t="s">
        <v>11879</v>
      </c>
      <c r="C18492" t="s">
        <v>23505</v>
      </c>
      <c r="D18492" t="s">
        <v>55845</v>
      </c>
      <c r="E18492" t="b">
        <v>0</v>
      </c>
      <c r="F18492" t="s">
        <v>11624</v>
      </c>
      <c r="G18492">
        <v>18.386469999999999</v>
      </c>
      <c r="H18492">
        <v>-97.859909999999999</v>
      </c>
      <c r="I18492" t="s">
        <v>55846</v>
      </c>
      <c r="L18492">
        <v>0</v>
      </c>
      <c r="M18492">
        <v>0</v>
      </c>
      <c r="N18492">
        <v>2</v>
      </c>
      <c r="O18492" t="s">
        <v>11883</v>
      </c>
    </row>
    <row r="18493" spans="1:15">
      <c r="A18493" t="s">
        <v>55847</v>
      </c>
      <c r="B18493" t="s">
        <v>11879</v>
      </c>
      <c r="C18493" t="s">
        <v>55447</v>
      </c>
      <c r="D18493" t="s">
        <v>55848</v>
      </c>
      <c r="E18493" t="b">
        <v>0</v>
      </c>
      <c r="F18493" t="s">
        <v>11610</v>
      </c>
      <c r="L18493">
        <v>0</v>
      </c>
      <c r="M18493">
        <v>0</v>
      </c>
      <c r="N18493">
        <v>0</v>
      </c>
    </row>
    <row r="18494" spans="1:15">
      <c r="A18494" t="s">
        <v>55849</v>
      </c>
      <c r="B18494" t="s">
        <v>11879</v>
      </c>
      <c r="C18494" t="s">
        <v>55447</v>
      </c>
      <c r="D18494" t="s">
        <v>55850</v>
      </c>
      <c r="E18494" t="b">
        <v>0</v>
      </c>
      <c r="F18494" t="s">
        <v>11610</v>
      </c>
      <c r="L18494">
        <v>0</v>
      </c>
      <c r="M18494">
        <v>0</v>
      </c>
      <c r="N18494">
        <v>0</v>
      </c>
    </row>
    <row r="18495" spans="1:15">
      <c r="A18495" t="s">
        <v>37045</v>
      </c>
      <c r="B18495" t="s">
        <v>12438</v>
      </c>
      <c r="C18495" t="s">
        <v>36216</v>
      </c>
      <c r="D18495" t="s">
        <v>55851</v>
      </c>
      <c r="E18495" t="b">
        <v>0</v>
      </c>
      <c r="F18495" t="s">
        <v>11622</v>
      </c>
      <c r="L18495">
        <v>0</v>
      </c>
      <c r="M18495">
        <v>3</v>
      </c>
      <c r="N18495">
        <v>6</v>
      </c>
    </row>
    <row r="18496" spans="1:15">
      <c r="A18496" t="s">
        <v>21546</v>
      </c>
      <c r="B18496" t="s">
        <v>367</v>
      </c>
      <c r="C18496" t="s">
        <v>22794</v>
      </c>
      <c r="D18496" t="s">
        <v>55852</v>
      </c>
      <c r="E18496" t="b">
        <v>0</v>
      </c>
      <c r="F18496" t="s">
        <v>11622</v>
      </c>
      <c r="L18496">
        <v>3</v>
      </c>
      <c r="M18496">
        <v>5</v>
      </c>
      <c r="N18496">
        <v>2</v>
      </c>
    </row>
    <row r="18497" spans="1:15">
      <c r="A18497" t="s">
        <v>55853</v>
      </c>
      <c r="B18497" t="s">
        <v>11894</v>
      </c>
      <c r="C18497" t="s">
        <v>52817</v>
      </c>
      <c r="D18497" t="s">
        <v>55854</v>
      </c>
      <c r="E18497" t="b">
        <v>0</v>
      </c>
      <c r="F18497" t="s">
        <v>11610</v>
      </c>
      <c r="L18497">
        <v>0</v>
      </c>
      <c r="M18497">
        <v>0</v>
      </c>
      <c r="N18497">
        <v>0</v>
      </c>
    </row>
    <row r="18498" spans="1:15">
      <c r="A18498" t="s">
        <v>55855</v>
      </c>
      <c r="B18498" t="s">
        <v>141</v>
      </c>
      <c r="C18498" t="s">
        <v>21223</v>
      </c>
      <c r="D18498" t="s">
        <v>55856</v>
      </c>
      <c r="E18498" t="b">
        <v>0</v>
      </c>
      <c r="F18498" t="s">
        <v>11610</v>
      </c>
      <c r="L18498">
        <v>0</v>
      </c>
      <c r="M18498">
        <v>0</v>
      </c>
      <c r="N18498">
        <v>0</v>
      </c>
    </row>
    <row r="18499" spans="1:15">
      <c r="A18499" t="s">
        <v>55857</v>
      </c>
      <c r="B18499" t="s">
        <v>29829</v>
      </c>
      <c r="C18499" t="s">
        <v>29829</v>
      </c>
      <c r="D18499" t="s">
        <v>55858</v>
      </c>
      <c r="E18499" t="b">
        <v>0</v>
      </c>
      <c r="F18499" t="s">
        <v>11610</v>
      </c>
      <c r="L18499">
        <v>0</v>
      </c>
      <c r="M18499">
        <v>0</v>
      </c>
      <c r="N18499">
        <v>0</v>
      </c>
    </row>
    <row r="18500" spans="1:15">
      <c r="A18500" t="s">
        <v>23218</v>
      </c>
      <c r="B18500" t="s">
        <v>23217</v>
      </c>
      <c r="C18500" t="s">
        <v>23217</v>
      </c>
      <c r="D18500" t="s">
        <v>55859</v>
      </c>
      <c r="E18500" t="b">
        <v>0</v>
      </c>
      <c r="F18500" t="s">
        <v>11624</v>
      </c>
      <c r="G18500">
        <v>1.3187500000000001</v>
      </c>
      <c r="H18500">
        <v>-67.649799999999999</v>
      </c>
      <c r="I18500" t="s">
        <v>55860</v>
      </c>
      <c r="L18500">
        <v>0</v>
      </c>
      <c r="M18500">
        <v>0</v>
      </c>
      <c r="N18500">
        <v>2</v>
      </c>
      <c r="O18500" t="s">
        <v>14690</v>
      </c>
    </row>
    <row r="18501" spans="1:15">
      <c r="A18501" t="s">
        <v>55861</v>
      </c>
      <c r="B18501" t="s">
        <v>6742</v>
      </c>
      <c r="C18501" t="s">
        <v>11737</v>
      </c>
      <c r="D18501" t="s">
        <v>55862</v>
      </c>
      <c r="E18501" t="b">
        <v>0</v>
      </c>
      <c r="F18501" t="s">
        <v>11610</v>
      </c>
      <c r="L18501">
        <v>0</v>
      </c>
      <c r="M18501">
        <v>0</v>
      </c>
      <c r="N18501">
        <v>0</v>
      </c>
    </row>
    <row r="18502" spans="1:15">
      <c r="A18502" t="s">
        <v>55863</v>
      </c>
      <c r="B18502" t="s">
        <v>11879</v>
      </c>
      <c r="C18502" t="s">
        <v>23206</v>
      </c>
      <c r="D18502" t="s">
        <v>55864</v>
      </c>
      <c r="E18502" t="b">
        <v>0</v>
      </c>
      <c r="F18502" t="s">
        <v>11624</v>
      </c>
      <c r="G18502">
        <v>16.281700000000001</v>
      </c>
      <c r="H18502">
        <v>-96.866699999999994</v>
      </c>
      <c r="I18502" t="s">
        <v>55865</v>
      </c>
      <c r="L18502">
        <v>0</v>
      </c>
      <c r="M18502">
        <v>0</v>
      </c>
      <c r="N18502">
        <v>0</v>
      </c>
      <c r="O18502" t="s">
        <v>11883</v>
      </c>
    </row>
    <row r="18503" spans="1:15">
      <c r="A18503" t="s">
        <v>55866</v>
      </c>
      <c r="B18503" t="s">
        <v>11879</v>
      </c>
      <c r="C18503" t="s">
        <v>23504</v>
      </c>
      <c r="D18503" t="s">
        <v>55867</v>
      </c>
      <c r="E18503" t="b">
        <v>0</v>
      </c>
      <c r="F18503" t="s">
        <v>11610</v>
      </c>
      <c r="L18503">
        <v>0</v>
      </c>
      <c r="M18503">
        <v>0</v>
      </c>
      <c r="N18503">
        <v>0</v>
      </c>
    </row>
    <row r="18504" spans="1:15">
      <c r="A18504" t="s">
        <v>55868</v>
      </c>
      <c r="B18504" t="s">
        <v>11644</v>
      </c>
      <c r="C18504" t="s">
        <v>40629</v>
      </c>
      <c r="D18504" t="s">
        <v>55869</v>
      </c>
      <c r="E18504" t="b">
        <v>0</v>
      </c>
      <c r="F18504" t="s">
        <v>11610</v>
      </c>
      <c r="L18504">
        <v>0</v>
      </c>
      <c r="M18504">
        <v>0</v>
      </c>
      <c r="N18504">
        <v>0</v>
      </c>
    </row>
    <row r="18505" spans="1:15">
      <c r="A18505" t="s">
        <v>55870</v>
      </c>
      <c r="B18505" t="s">
        <v>11644</v>
      </c>
      <c r="C18505" t="s">
        <v>33595</v>
      </c>
      <c r="D18505" t="s">
        <v>55871</v>
      </c>
      <c r="E18505" t="b">
        <v>0</v>
      </c>
      <c r="F18505" t="s">
        <v>11610</v>
      </c>
      <c r="L18505">
        <v>0</v>
      </c>
      <c r="M18505">
        <v>0</v>
      </c>
      <c r="N18505">
        <v>0</v>
      </c>
    </row>
    <row r="18506" spans="1:15">
      <c r="A18506" t="s">
        <v>55872</v>
      </c>
      <c r="B18506" t="s">
        <v>6742</v>
      </c>
      <c r="C18506" t="s">
        <v>16641</v>
      </c>
      <c r="D18506" t="s">
        <v>55873</v>
      </c>
      <c r="E18506" t="b">
        <v>0</v>
      </c>
      <c r="F18506" t="s">
        <v>11610</v>
      </c>
      <c r="L18506">
        <v>0</v>
      </c>
      <c r="M18506">
        <v>0</v>
      </c>
      <c r="N18506">
        <v>0</v>
      </c>
    </row>
    <row r="18507" spans="1:15">
      <c r="A18507" t="s">
        <v>55874</v>
      </c>
      <c r="B18507" t="s">
        <v>6742</v>
      </c>
      <c r="C18507" t="s">
        <v>37357</v>
      </c>
      <c r="D18507" t="s">
        <v>55875</v>
      </c>
      <c r="E18507" t="b">
        <v>0</v>
      </c>
      <c r="F18507" t="s">
        <v>11610</v>
      </c>
      <c r="L18507">
        <v>0</v>
      </c>
      <c r="M18507">
        <v>0</v>
      </c>
      <c r="N18507">
        <v>0</v>
      </c>
    </row>
    <row r="18508" spans="1:15">
      <c r="A18508" t="s">
        <v>31930</v>
      </c>
      <c r="B18508" t="s">
        <v>12311</v>
      </c>
      <c r="C18508" t="s">
        <v>55876</v>
      </c>
      <c r="D18508" t="s">
        <v>55877</v>
      </c>
      <c r="E18508" t="b">
        <v>0</v>
      </c>
      <c r="F18508" t="s">
        <v>11610</v>
      </c>
      <c r="L18508">
        <v>0</v>
      </c>
      <c r="M18508">
        <v>0</v>
      </c>
      <c r="N18508">
        <v>2</v>
      </c>
    </row>
    <row r="18509" spans="1:15">
      <c r="A18509" t="s">
        <v>55878</v>
      </c>
      <c r="B18509" t="s">
        <v>12311</v>
      </c>
      <c r="C18509" t="s">
        <v>31930</v>
      </c>
      <c r="D18509" t="s">
        <v>55879</v>
      </c>
      <c r="E18509" t="b">
        <v>0</v>
      </c>
      <c r="F18509" t="s">
        <v>11610</v>
      </c>
      <c r="L18509">
        <v>0</v>
      </c>
      <c r="M18509">
        <v>0</v>
      </c>
      <c r="N18509">
        <v>0</v>
      </c>
    </row>
    <row r="18510" spans="1:15">
      <c r="A18510" t="s">
        <v>55880</v>
      </c>
      <c r="B18510" t="s">
        <v>12438</v>
      </c>
      <c r="C18510" t="s">
        <v>55881</v>
      </c>
      <c r="D18510" t="s">
        <v>55882</v>
      </c>
      <c r="E18510" t="b">
        <v>0</v>
      </c>
      <c r="F18510" t="s">
        <v>11624</v>
      </c>
      <c r="G18510">
        <v>10.873900000000001</v>
      </c>
      <c r="H18510">
        <v>103.83499999999999</v>
      </c>
      <c r="I18510" t="s">
        <v>55883</v>
      </c>
      <c r="L18510">
        <v>0</v>
      </c>
      <c r="M18510">
        <v>0</v>
      </c>
      <c r="N18510">
        <v>0</v>
      </c>
      <c r="O18510" t="s">
        <v>20983</v>
      </c>
    </row>
    <row r="18511" spans="1:15">
      <c r="A18511" t="s">
        <v>55884</v>
      </c>
      <c r="B18511" t="s">
        <v>367</v>
      </c>
      <c r="C18511" t="s">
        <v>19840</v>
      </c>
      <c r="D18511" t="s">
        <v>55885</v>
      </c>
      <c r="E18511" t="b">
        <v>0</v>
      </c>
      <c r="F18511" t="s">
        <v>11610</v>
      </c>
      <c r="L18511">
        <v>0</v>
      </c>
      <c r="M18511">
        <v>0</v>
      </c>
      <c r="N18511">
        <v>0</v>
      </c>
    </row>
    <row r="18512" spans="1:15">
      <c r="A18512" t="s">
        <v>55886</v>
      </c>
      <c r="B18512" t="s">
        <v>11607</v>
      </c>
      <c r="C18512" t="s">
        <v>43265</v>
      </c>
      <c r="D18512" t="s">
        <v>55887</v>
      </c>
      <c r="E18512" t="b">
        <v>0</v>
      </c>
      <c r="F18512" t="s">
        <v>11610</v>
      </c>
      <c r="L18512">
        <v>0</v>
      </c>
      <c r="M18512">
        <v>0</v>
      </c>
      <c r="N18512">
        <v>0</v>
      </c>
    </row>
    <row r="18513" spans="1:15">
      <c r="A18513" t="s">
        <v>55888</v>
      </c>
      <c r="B18513" t="s">
        <v>11965</v>
      </c>
      <c r="C18513" t="s">
        <v>34182</v>
      </c>
      <c r="D18513" t="s">
        <v>55889</v>
      </c>
      <c r="E18513" t="b">
        <v>0</v>
      </c>
      <c r="F18513" t="s">
        <v>11624</v>
      </c>
      <c r="G18513">
        <v>-23.570799999999998</v>
      </c>
      <c r="H18513">
        <v>-46.760899999999999</v>
      </c>
      <c r="I18513" t="s">
        <v>55890</v>
      </c>
      <c r="L18513">
        <v>0</v>
      </c>
      <c r="M18513">
        <v>0</v>
      </c>
      <c r="N18513">
        <v>0</v>
      </c>
      <c r="O18513" t="s">
        <v>11969</v>
      </c>
    </row>
    <row r="18514" spans="1:15">
      <c r="A18514" t="s">
        <v>55891</v>
      </c>
      <c r="B18514" t="s">
        <v>11637</v>
      </c>
      <c r="C18514" t="s">
        <v>53611</v>
      </c>
      <c r="D18514" t="s">
        <v>55892</v>
      </c>
      <c r="E18514" t="b">
        <v>0</v>
      </c>
      <c r="F18514" t="s">
        <v>11624</v>
      </c>
      <c r="G18514">
        <v>0.28332000000000002</v>
      </c>
      <c r="H18514">
        <v>6.6193499999999998</v>
      </c>
      <c r="I18514" t="s">
        <v>55893</v>
      </c>
      <c r="L18514">
        <v>0</v>
      </c>
      <c r="M18514">
        <v>0</v>
      </c>
      <c r="N18514">
        <v>0</v>
      </c>
      <c r="O18514" t="s">
        <v>13894</v>
      </c>
    </row>
    <row r="18515" spans="1:15">
      <c r="A18515" t="s">
        <v>53611</v>
      </c>
      <c r="B18515" t="s">
        <v>11637</v>
      </c>
      <c r="C18515" t="s">
        <v>13891</v>
      </c>
      <c r="D18515" t="s">
        <v>55894</v>
      </c>
      <c r="E18515" t="b">
        <v>0</v>
      </c>
      <c r="F18515" t="s">
        <v>11622</v>
      </c>
      <c r="L18515">
        <v>0</v>
      </c>
      <c r="M18515">
        <v>2</v>
      </c>
      <c r="N18515">
        <v>0</v>
      </c>
    </row>
    <row r="18516" spans="1:15">
      <c r="A18516" t="s">
        <v>39522</v>
      </c>
      <c r="B18516" t="s">
        <v>367</v>
      </c>
      <c r="C18516" t="s">
        <v>27062</v>
      </c>
      <c r="D18516" t="s">
        <v>55895</v>
      </c>
      <c r="E18516" t="b">
        <v>0</v>
      </c>
      <c r="F18516" t="s">
        <v>11622</v>
      </c>
      <c r="L18516">
        <v>0</v>
      </c>
      <c r="M18516">
        <v>2</v>
      </c>
      <c r="N18516">
        <v>4</v>
      </c>
    </row>
    <row r="18517" spans="1:15">
      <c r="A18517" t="s">
        <v>32092</v>
      </c>
      <c r="B18517" t="s">
        <v>367</v>
      </c>
      <c r="C18517" t="s">
        <v>39522</v>
      </c>
      <c r="D18517" t="s">
        <v>55896</v>
      </c>
      <c r="E18517" t="b">
        <v>0</v>
      </c>
      <c r="F18517" t="s">
        <v>11624</v>
      </c>
      <c r="G18517">
        <v>-3.5831400000000002</v>
      </c>
      <c r="H18517">
        <v>128.63900000000001</v>
      </c>
      <c r="I18517" t="s">
        <v>55897</v>
      </c>
      <c r="L18517">
        <v>0</v>
      </c>
      <c r="M18517">
        <v>0</v>
      </c>
      <c r="N18517">
        <v>4</v>
      </c>
      <c r="O18517" t="s">
        <v>11768</v>
      </c>
    </row>
    <row r="18518" spans="1:15">
      <c r="A18518" t="s">
        <v>55898</v>
      </c>
      <c r="B18518" t="s">
        <v>367</v>
      </c>
      <c r="C18518" t="s">
        <v>16054</v>
      </c>
      <c r="D18518" t="s">
        <v>55899</v>
      </c>
      <c r="E18518" t="b">
        <v>0</v>
      </c>
      <c r="F18518" t="s">
        <v>11610</v>
      </c>
      <c r="L18518">
        <v>0</v>
      </c>
      <c r="M18518">
        <v>0</v>
      </c>
      <c r="N18518">
        <v>0</v>
      </c>
    </row>
    <row r="18519" spans="1:15">
      <c r="A18519" t="s">
        <v>55900</v>
      </c>
      <c r="B18519" t="s">
        <v>11615</v>
      </c>
      <c r="C18519" t="s">
        <v>5649</v>
      </c>
      <c r="D18519" t="s">
        <v>55901</v>
      </c>
      <c r="E18519" t="b">
        <v>0</v>
      </c>
      <c r="F18519" t="s">
        <v>11610</v>
      </c>
      <c r="L18519">
        <v>0</v>
      </c>
      <c r="M18519">
        <v>0</v>
      </c>
      <c r="N18519">
        <v>0</v>
      </c>
    </row>
    <row r="18520" spans="1:15">
      <c r="A18520" t="s">
        <v>55902</v>
      </c>
      <c r="B18520" t="s">
        <v>8310</v>
      </c>
      <c r="C18520" t="s">
        <v>52382</v>
      </c>
      <c r="D18520" t="s">
        <v>55903</v>
      </c>
      <c r="E18520" t="b">
        <v>0</v>
      </c>
      <c r="F18520" t="s">
        <v>11624</v>
      </c>
      <c r="G18520">
        <v>3.4334370000000001</v>
      </c>
      <c r="H18520">
        <v>-61.580544000000003</v>
      </c>
      <c r="L18520">
        <v>0</v>
      </c>
      <c r="M18520">
        <v>0</v>
      </c>
      <c r="N18520">
        <v>0</v>
      </c>
      <c r="O18520" t="s">
        <v>11969</v>
      </c>
    </row>
    <row r="18521" spans="1:15">
      <c r="A18521" t="s">
        <v>55904</v>
      </c>
      <c r="B18521" t="s">
        <v>5126</v>
      </c>
      <c r="C18521" t="s">
        <v>23872</v>
      </c>
      <c r="D18521" t="s">
        <v>55905</v>
      </c>
      <c r="E18521" t="b">
        <v>0</v>
      </c>
      <c r="F18521" t="s">
        <v>11622</v>
      </c>
      <c r="L18521">
        <v>16</v>
      </c>
      <c r="M18521">
        <v>33</v>
      </c>
      <c r="N18521">
        <v>27</v>
      </c>
    </row>
    <row r="18522" spans="1:15">
      <c r="A18522" t="s">
        <v>55906</v>
      </c>
      <c r="D18522" t="s">
        <v>55907</v>
      </c>
      <c r="E18522" t="b">
        <v>0</v>
      </c>
      <c r="F18522" t="s">
        <v>11624</v>
      </c>
      <c r="G18522">
        <v>4.0735660999999999</v>
      </c>
      <c r="H18522">
        <v>-62.966652099999997</v>
      </c>
      <c r="I18522" t="s">
        <v>55908</v>
      </c>
      <c r="L18522">
        <v>0</v>
      </c>
      <c r="M18522">
        <v>0</v>
      </c>
      <c r="N18522">
        <v>0</v>
      </c>
      <c r="O18522" t="s">
        <v>16711</v>
      </c>
    </row>
    <row r="18523" spans="1:15">
      <c r="A18523" t="s">
        <v>55909</v>
      </c>
      <c r="B18523" t="s">
        <v>13314</v>
      </c>
      <c r="C18523" t="s">
        <v>14368</v>
      </c>
      <c r="D18523" t="s">
        <v>55910</v>
      </c>
      <c r="E18523" t="b">
        <v>0</v>
      </c>
      <c r="F18523" t="s">
        <v>11610</v>
      </c>
      <c r="L18523">
        <v>0</v>
      </c>
      <c r="M18523">
        <v>0</v>
      </c>
      <c r="N18523">
        <v>0</v>
      </c>
    </row>
    <row r="18524" spans="1:15">
      <c r="A18524" t="s">
        <v>14255</v>
      </c>
      <c r="B18524" t="s">
        <v>11607</v>
      </c>
      <c r="C18524" t="s">
        <v>14879</v>
      </c>
      <c r="D18524" t="s">
        <v>55911</v>
      </c>
      <c r="E18524" t="b">
        <v>0</v>
      </c>
      <c r="F18524" t="s">
        <v>11610</v>
      </c>
      <c r="L18524">
        <v>0</v>
      </c>
      <c r="M18524">
        <v>0</v>
      </c>
      <c r="N18524">
        <v>5</v>
      </c>
    </row>
    <row r="18525" spans="1:15">
      <c r="A18525" t="s">
        <v>33700</v>
      </c>
      <c r="B18525" t="s">
        <v>6742</v>
      </c>
      <c r="C18525" t="s">
        <v>23852</v>
      </c>
      <c r="D18525" t="s">
        <v>55912</v>
      </c>
      <c r="E18525" t="b">
        <v>0</v>
      </c>
      <c r="F18525" t="s">
        <v>11624</v>
      </c>
      <c r="G18525">
        <v>5.6955499999999999</v>
      </c>
      <c r="H18525">
        <v>-8.4922900000000006</v>
      </c>
      <c r="I18525" t="s">
        <v>55913</v>
      </c>
      <c r="L18525">
        <v>0</v>
      </c>
      <c r="M18525">
        <v>0</v>
      </c>
      <c r="N18525">
        <v>6</v>
      </c>
      <c r="O18525" t="s">
        <v>17011</v>
      </c>
    </row>
    <row r="18526" spans="1:15">
      <c r="A18526" t="s">
        <v>55914</v>
      </c>
      <c r="B18526" t="s">
        <v>367</v>
      </c>
      <c r="C18526" t="s">
        <v>20158</v>
      </c>
      <c r="D18526" t="s">
        <v>55915</v>
      </c>
      <c r="E18526" t="b">
        <v>0</v>
      </c>
      <c r="F18526" t="s">
        <v>11622</v>
      </c>
      <c r="L18526">
        <v>1</v>
      </c>
      <c r="M18526">
        <v>4</v>
      </c>
      <c r="N18526">
        <v>17</v>
      </c>
    </row>
    <row r="18527" spans="1:15">
      <c r="A18527" t="s">
        <v>49786</v>
      </c>
      <c r="B18527" t="s">
        <v>367</v>
      </c>
      <c r="C18527" t="s">
        <v>55914</v>
      </c>
      <c r="D18527" t="s">
        <v>55916</v>
      </c>
      <c r="E18527" t="b">
        <v>0</v>
      </c>
      <c r="F18527" t="s">
        <v>11624</v>
      </c>
      <c r="G18527">
        <v>-5.6410299999999998</v>
      </c>
      <c r="H18527">
        <v>154.732</v>
      </c>
      <c r="I18527" t="s">
        <v>55917</v>
      </c>
      <c r="L18527">
        <v>0</v>
      </c>
      <c r="M18527">
        <v>0</v>
      </c>
      <c r="N18527">
        <v>2</v>
      </c>
      <c r="O18527" t="s">
        <v>11660</v>
      </c>
    </row>
    <row r="18528" spans="1:15">
      <c r="A18528" t="s">
        <v>55918</v>
      </c>
      <c r="B18528" t="s">
        <v>15365</v>
      </c>
      <c r="C18528" t="s">
        <v>54300</v>
      </c>
      <c r="D18528" t="s">
        <v>55919</v>
      </c>
      <c r="E18528" t="b">
        <v>0</v>
      </c>
      <c r="F18528" t="s">
        <v>11624</v>
      </c>
      <c r="G18528">
        <v>-2.4969399999999999</v>
      </c>
      <c r="H18528">
        <v>139.5</v>
      </c>
      <c r="I18528" t="s">
        <v>55920</v>
      </c>
      <c r="L18528">
        <v>0</v>
      </c>
      <c r="M18528">
        <v>0</v>
      </c>
      <c r="N18528">
        <v>0</v>
      </c>
      <c r="O18528" t="s">
        <v>11768</v>
      </c>
    </row>
    <row r="18529" spans="1:15">
      <c r="A18529" t="s">
        <v>55921</v>
      </c>
      <c r="B18529" t="s">
        <v>11637</v>
      </c>
      <c r="C18529" t="s">
        <v>24607</v>
      </c>
      <c r="D18529" t="s">
        <v>55922</v>
      </c>
      <c r="E18529" t="b">
        <v>0</v>
      </c>
      <c r="F18529" t="s">
        <v>11610</v>
      </c>
      <c r="L18529">
        <v>0</v>
      </c>
      <c r="M18529">
        <v>0</v>
      </c>
      <c r="N18529">
        <v>0</v>
      </c>
    </row>
    <row r="18530" spans="1:15">
      <c r="A18530" t="s">
        <v>55923</v>
      </c>
      <c r="B18530" t="s">
        <v>12438</v>
      </c>
      <c r="C18530" t="s">
        <v>39575</v>
      </c>
      <c r="D18530" t="s">
        <v>55924</v>
      </c>
      <c r="E18530" t="b">
        <v>0</v>
      </c>
      <c r="F18530" t="s">
        <v>11624</v>
      </c>
      <c r="G18530">
        <v>15.369199999999999</v>
      </c>
      <c r="H18530">
        <v>106.843</v>
      </c>
      <c r="I18530" t="s">
        <v>55925</v>
      </c>
      <c r="L18530">
        <v>0</v>
      </c>
      <c r="M18530">
        <v>0</v>
      </c>
      <c r="N18530">
        <v>0</v>
      </c>
      <c r="O18530" t="s">
        <v>12921</v>
      </c>
    </row>
    <row r="18531" spans="1:15">
      <c r="A18531" t="s">
        <v>55926</v>
      </c>
      <c r="B18531" t="s">
        <v>367</v>
      </c>
      <c r="C18531" t="s">
        <v>16680</v>
      </c>
      <c r="D18531" t="s">
        <v>55927</v>
      </c>
      <c r="E18531" t="b">
        <v>0</v>
      </c>
      <c r="F18531" t="s">
        <v>11610</v>
      </c>
      <c r="L18531">
        <v>0</v>
      </c>
      <c r="M18531">
        <v>0</v>
      </c>
      <c r="N18531">
        <v>0</v>
      </c>
    </row>
    <row r="18532" spans="1:15">
      <c r="A18532" t="s">
        <v>55928</v>
      </c>
      <c r="B18532" t="s">
        <v>367</v>
      </c>
      <c r="C18532" t="s">
        <v>13191</v>
      </c>
      <c r="D18532" t="s">
        <v>55929</v>
      </c>
      <c r="E18532" t="b">
        <v>0</v>
      </c>
      <c r="F18532" t="s">
        <v>11610</v>
      </c>
      <c r="L18532">
        <v>0</v>
      </c>
      <c r="M18532">
        <v>0</v>
      </c>
      <c r="N18532">
        <v>0</v>
      </c>
    </row>
    <row r="18533" spans="1:15">
      <c r="A18533" t="s">
        <v>55930</v>
      </c>
      <c r="B18533" t="s">
        <v>367</v>
      </c>
      <c r="C18533" t="s">
        <v>10989</v>
      </c>
      <c r="D18533" t="s">
        <v>55931</v>
      </c>
      <c r="E18533" t="b">
        <v>0</v>
      </c>
      <c r="F18533" t="s">
        <v>11610</v>
      </c>
      <c r="L18533">
        <v>0</v>
      </c>
      <c r="M18533">
        <v>0</v>
      </c>
      <c r="N18533">
        <v>0</v>
      </c>
    </row>
    <row r="18534" spans="1:15">
      <c r="A18534" t="s">
        <v>55932</v>
      </c>
      <c r="B18534" t="s">
        <v>11607</v>
      </c>
      <c r="C18534" t="s">
        <v>31667</v>
      </c>
      <c r="D18534" t="s">
        <v>55933</v>
      </c>
      <c r="E18534" t="b">
        <v>0</v>
      </c>
      <c r="F18534" t="s">
        <v>11610</v>
      </c>
      <c r="L18534">
        <v>0</v>
      </c>
      <c r="M18534">
        <v>0</v>
      </c>
      <c r="N18534">
        <v>0</v>
      </c>
    </row>
    <row r="18535" spans="1:15">
      <c r="A18535" t="s">
        <v>55934</v>
      </c>
      <c r="B18535" t="s">
        <v>11637</v>
      </c>
      <c r="C18535" t="s">
        <v>27303</v>
      </c>
      <c r="D18535" t="s">
        <v>55935</v>
      </c>
      <c r="E18535" t="b">
        <v>0</v>
      </c>
      <c r="F18535" t="s">
        <v>11610</v>
      </c>
      <c r="L18535">
        <v>0</v>
      </c>
      <c r="M18535">
        <v>0</v>
      </c>
      <c r="N18535">
        <v>0</v>
      </c>
    </row>
    <row r="18536" spans="1:15">
      <c r="A18536" t="s">
        <v>55936</v>
      </c>
      <c r="B18536" t="s">
        <v>11637</v>
      </c>
      <c r="C18536" t="s">
        <v>54174</v>
      </c>
      <c r="D18536" t="s">
        <v>55937</v>
      </c>
      <c r="E18536" t="b">
        <v>0</v>
      </c>
      <c r="F18536" t="s">
        <v>11610</v>
      </c>
      <c r="L18536">
        <v>0</v>
      </c>
      <c r="M18536">
        <v>0</v>
      </c>
      <c r="N18536">
        <v>0</v>
      </c>
    </row>
    <row r="18537" spans="1:15">
      <c r="A18537" t="s">
        <v>55938</v>
      </c>
      <c r="B18537" t="s">
        <v>11637</v>
      </c>
      <c r="C18537" t="s">
        <v>17323</v>
      </c>
      <c r="D18537" t="s">
        <v>55939</v>
      </c>
      <c r="E18537" t="b">
        <v>0</v>
      </c>
      <c r="F18537" t="s">
        <v>11610</v>
      </c>
      <c r="L18537">
        <v>0</v>
      </c>
      <c r="M18537">
        <v>0</v>
      </c>
      <c r="N18537">
        <v>0</v>
      </c>
    </row>
    <row r="18538" spans="1:15">
      <c r="A18538" t="s">
        <v>55940</v>
      </c>
      <c r="B18538" t="s">
        <v>11637</v>
      </c>
      <c r="C18538" t="s">
        <v>3565</v>
      </c>
      <c r="D18538" t="s">
        <v>55941</v>
      </c>
      <c r="E18538" t="b">
        <v>0</v>
      </c>
      <c r="F18538" t="s">
        <v>11610</v>
      </c>
      <c r="L18538">
        <v>0</v>
      </c>
      <c r="M18538">
        <v>0</v>
      </c>
      <c r="N18538">
        <v>0</v>
      </c>
    </row>
    <row r="18539" spans="1:15">
      <c r="A18539" t="s">
        <v>55942</v>
      </c>
      <c r="B18539" t="s">
        <v>11637</v>
      </c>
      <c r="C18539" t="s">
        <v>17020</v>
      </c>
      <c r="D18539" t="s">
        <v>55943</v>
      </c>
      <c r="E18539" t="b">
        <v>0</v>
      </c>
      <c r="F18539" t="s">
        <v>11610</v>
      </c>
      <c r="L18539">
        <v>0</v>
      </c>
      <c r="M18539">
        <v>0</v>
      </c>
      <c r="N18539">
        <v>0</v>
      </c>
    </row>
    <row r="18540" spans="1:15">
      <c r="A18540" t="s">
        <v>55944</v>
      </c>
      <c r="B18540" t="s">
        <v>11844</v>
      </c>
      <c r="C18540" t="s">
        <v>19822</v>
      </c>
      <c r="D18540" t="s">
        <v>55945</v>
      </c>
      <c r="E18540" t="b">
        <v>0</v>
      </c>
      <c r="F18540" t="s">
        <v>11610</v>
      </c>
      <c r="L18540">
        <v>0</v>
      </c>
      <c r="M18540">
        <v>0</v>
      </c>
      <c r="N18540">
        <v>0</v>
      </c>
    </row>
    <row r="18541" spans="1:15">
      <c r="A18541" t="s">
        <v>55946</v>
      </c>
      <c r="B18541" t="s">
        <v>6742</v>
      </c>
      <c r="C18541" t="s">
        <v>19172</v>
      </c>
      <c r="D18541" t="s">
        <v>55947</v>
      </c>
      <c r="E18541" t="b">
        <v>0</v>
      </c>
      <c r="F18541" t="s">
        <v>11610</v>
      </c>
      <c r="L18541">
        <v>0</v>
      </c>
      <c r="M18541">
        <v>0</v>
      </c>
      <c r="N18541">
        <v>0</v>
      </c>
    </row>
    <row r="18542" spans="1:15">
      <c r="A18542" t="s">
        <v>17067</v>
      </c>
      <c r="B18542" t="s">
        <v>11729</v>
      </c>
      <c r="C18542" t="s">
        <v>15853</v>
      </c>
      <c r="D18542" t="s">
        <v>55948</v>
      </c>
      <c r="E18542" t="b">
        <v>0</v>
      </c>
      <c r="F18542" t="s">
        <v>11622</v>
      </c>
      <c r="L18542">
        <v>2</v>
      </c>
      <c r="M18542">
        <v>5</v>
      </c>
      <c r="N18542">
        <v>9</v>
      </c>
    </row>
    <row r="18543" spans="1:15">
      <c r="A18543" t="s">
        <v>55949</v>
      </c>
      <c r="B18543" t="s">
        <v>11729</v>
      </c>
      <c r="C18543" t="s">
        <v>55950</v>
      </c>
      <c r="D18543" t="s">
        <v>55951</v>
      </c>
      <c r="E18543" t="b">
        <v>0</v>
      </c>
      <c r="F18543" t="s">
        <v>11624</v>
      </c>
      <c r="G18543">
        <v>10.537599999999999</v>
      </c>
      <c r="H18543">
        <v>22.163699999999999</v>
      </c>
      <c r="I18543" t="s">
        <v>55952</v>
      </c>
      <c r="L18543">
        <v>0</v>
      </c>
      <c r="M18543">
        <v>0</v>
      </c>
      <c r="N18543">
        <v>0</v>
      </c>
      <c r="O18543" t="s">
        <v>27996</v>
      </c>
    </row>
    <row r="18544" spans="1:15">
      <c r="A18544" t="s">
        <v>55953</v>
      </c>
      <c r="B18544" t="s">
        <v>11627</v>
      </c>
      <c r="C18544" t="s">
        <v>11627</v>
      </c>
      <c r="D18544" t="s">
        <v>55954</v>
      </c>
      <c r="E18544" t="b">
        <v>1</v>
      </c>
      <c r="F18544" t="s">
        <v>11624</v>
      </c>
      <c r="G18544">
        <v>8.9917499999999997</v>
      </c>
      <c r="H18544">
        <v>19.944600000000001</v>
      </c>
      <c r="I18544" t="s">
        <v>55955</v>
      </c>
      <c r="L18544">
        <v>0</v>
      </c>
      <c r="M18544">
        <v>0</v>
      </c>
      <c r="N18544">
        <v>0</v>
      </c>
      <c r="O18544" t="s">
        <v>15847</v>
      </c>
    </row>
    <row r="18545" spans="1:15">
      <c r="A18545" t="s">
        <v>16669</v>
      </c>
      <c r="B18545" t="s">
        <v>11729</v>
      </c>
      <c r="C18545" t="s">
        <v>55950</v>
      </c>
      <c r="D18545" t="s">
        <v>55956</v>
      </c>
      <c r="E18545" t="b">
        <v>0</v>
      </c>
      <c r="F18545" t="s">
        <v>11624</v>
      </c>
      <c r="G18545">
        <v>9.3938799999999993</v>
      </c>
      <c r="H18545">
        <v>19.256599999999999</v>
      </c>
      <c r="I18545" t="s">
        <v>55957</v>
      </c>
      <c r="L18545">
        <v>0</v>
      </c>
      <c r="M18545">
        <v>0</v>
      </c>
      <c r="N18545">
        <v>4</v>
      </c>
      <c r="O18545" t="s">
        <v>15847</v>
      </c>
    </row>
    <row r="18546" spans="1:15">
      <c r="A18546" t="s">
        <v>38412</v>
      </c>
      <c r="B18546" t="s">
        <v>11729</v>
      </c>
      <c r="C18546" t="s">
        <v>55950</v>
      </c>
      <c r="D18546" t="s">
        <v>55958</v>
      </c>
      <c r="E18546" t="b">
        <v>0</v>
      </c>
      <c r="F18546" t="s">
        <v>11624</v>
      </c>
      <c r="G18546">
        <v>9.0346600000000006</v>
      </c>
      <c r="H18546">
        <v>18.660699999999999</v>
      </c>
      <c r="I18546" t="s">
        <v>55959</v>
      </c>
      <c r="L18546">
        <v>0</v>
      </c>
      <c r="M18546">
        <v>0</v>
      </c>
      <c r="N18546">
        <v>3</v>
      </c>
      <c r="O18546" t="s">
        <v>15847</v>
      </c>
    </row>
    <row r="18547" spans="1:15">
      <c r="A18547" t="s">
        <v>55960</v>
      </c>
      <c r="B18547" t="s">
        <v>367</v>
      </c>
      <c r="C18547" t="s">
        <v>43013</v>
      </c>
      <c r="D18547" t="s">
        <v>55961</v>
      </c>
      <c r="E18547" t="b">
        <v>0</v>
      </c>
      <c r="F18547" t="s">
        <v>11624</v>
      </c>
      <c r="G18547">
        <v>-6.18</v>
      </c>
      <c r="H18547">
        <v>146.4</v>
      </c>
      <c r="I18547" t="s">
        <v>55962</v>
      </c>
      <c r="L18547">
        <v>0</v>
      </c>
      <c r="M18547">
        <v>0</v>
      </c>
      <c r="N18547">
        <v>0</v>
      </c>
      <c r="O18547" t="s">
        <v>11660</v>
      </c>
    </row>
    <row r="18548" spans="1:15">
      <c r="A18548" t="s">
        <v>55963</v>
      </c>
      <c r="B18548" t="s">
        <v>367</v>
      </c>
      <c r="C18548" t="s">
        <v>5504</v>
      </c>
      <c r="D18548" t="s">
        <v>55964</v>
      </c>
      <c r="E18548" t="b">
        <v>0</v>
      </c>
      <c r="F18548" t="s">
        <v>11610</v>
      </c>
      <c r="L18548">
        <v>0</v>
      </c>
      <c r="M18548">
        <v>0</v>
      </c>
      <c r="N18548">
        <v>0</v>
      </c>
    </row>
    <row r="18549" spans="1:15">
      <c r="A18549" t="s">
        <v>55965</v>
      </c>
      <c r="B18549" t="s">
        <v>367</v>
      </c>
      <c r="C18549" t="s">
        <v>44546</v>
      </c>
      <c r="D18549" t="s">
        <v>55966</v>
      </c>
      <c r="E18549" t="b">
        <v>0</v>
      </c>
      <c r="F18549" t="s">
        <v>11610</v>
      </c>
      <c r="L18549">
        <v>0</v>
      </c>
      <c r="M18549">
        <v>0</v>
      </c>
      <c r="N18549">
        <v>0</v>
      </c>
    </row>
    <row r="18550" spans="1:15">
      <c r="A18550" t="s">
        <v>55967</v>
      </c>
      <c r="B18550" t="s">
        <v>367</v>
      </c>
      <c r="C18550" t="s">
        <v>18940</v>
      </c>
      <c r="D18550" t="s">
        <v>55968</v>
      </c>
      <c r="E18550" t="b">
        <v>0</v>
      </c>
      <c r="F18550" t="s">
        <v>11624</v>
      </c>
      <c r="G18550">
        <v>6.0369099999999998</v>
      </c>
      <c r="H18550">
        <v>125.354</v>
      </c>
      <c r="I18550" t="s">
        <v>55969</v>
      </c>
      <c r="L18550">
        <v>0</v>
      </c>
      <c r="M18550">
        <v>0</v>
      </c>
      <c r="N18550">
        <v>0</v>
      </c>
      <c r="O18550" t="s">
        <v>11749</v>
      </c>
    </row>
    <row r="18551" spans="1:15">
      <c r="A18551" t="s">
        <v>29665</v>
      </c>
      <c r="B18551" t="s">
        <v>367</v>
      </c>
      <c r="C18551" t="s">
        <v>23474</v>
      </c>
      <c r="D18551" t="s">
        <v>55970</v>
      </c>
      <c r="E18551" t="b">
        <v>0</v>
      </c>
      <c r="F18551" t="s">
        <v>11624</v>
      </c>
      <c r="G18551">
        <v>5.84903</v>
      </c>
      <c r="H18551">
        <v>125.499</v>
      </c>
      <c r="I18551" t="s">
        <v>55971</v>
      </c>
      <c r="L18551">
        <v>0</v>
      </c>
      <c r="M18551">
        <v>0</v>
      </c>
      <c r="N18551">
        <v>1</v>
      </c>
      <c r="O18551" t="s">
        <v>11749</v>
      </c>
    </row>
    <row r="18552" spans="1:15">
      <c r="A18552" t="s">
        <v>55972</v>
      </c>
      <c r="B18552" t="s">
        <v>367</v>
      </c>
      <c r="C18552" t="s">
        <v>25127</v>
      </c>
      <c r="D18552" t="s">
        <v>55973</v>
      </c>
      <c r="E18552" t="b">
        <v>0</v>
      </c>
      <c r="F18552" t="s">
        <v>11610</v>
      </c>
      <c r="L18552">
        <v>0</v>
      </c>
      <c r="M18552">
        <v>0</v>
      </c>
      <c r="N18552">
        <v>0</v>
      </c>
    </row>
    <row r="18553" spans="1:15">
      <c r="A18553" t="s">
        <v>55974</v>
      </c>
      <c r="B18553" t="s">
        <v>367</v>
      </c>
      <c r="C18553" t="s">
        <v>54290</v>
      </c>
      <c r="D18553" t="s">
        <v>55975</v>
      </c>
      <c r="E18553" t="b">
        <v>0</v>
      </c>
      <c r="F18553" t="s">
        <v>11624</v>
      </c>
      <c r="G18553">
        <v>1.2040299999999999</v>
      </c>
      <c r="H18553">
        <v>109.6155</v>
      </c>
      <c r="I18553" t="s">
        <v>55976</v>
      </c>
      <c r="L18553">
        <v>0</v>
      </c>
      <c r="M18553">
        <v>0</v>
      </c>
      <c r="N18553">
        <v>0</v>
      </c>
      <c r="O18553" t="s">
        <v>11768</v>
      </c>
    </row>
    <row r="18554" spans="1:15">
      <c r="A18554" t="s">
        <v>55977</v>
      </c>
      <c r="B18554" t="s">
        <v>12959</v>
      </c>
      <c r="C18554" t="s">
        <v>12960</v>
      </c>
      <c r="D18554" t="s">
        <v>55978</v>
      </c>
      <c r="E18554" t="b">
        <v>0</v>
      </c>
      <c r="F18554" t="s">
        <v>11610</v>
      </c>
      <c r="L18554">
        <v>0</v>
      </c>
      <c r="M18554">
        <v>0</v>
      </c>
      <c r="N18554">
        <v>0</v>
      </c>
    </row>
    <row r="18555" spans="1:15">
      <c r="A18555" t="s">
        <v>55979</v>
      </c>
      <c r="B18555" t="s">
        <v>11894</v>
      </c>
      <c r="C18555" t="s">
        <v>27184</v>
      </c>
      <c r="D18555" t="s">
        <v>55980</v>
      </c>
      <c r="E18555" t="b">
        <v>0</v>
      </c>
      <c r="F18555" t="s">
        <v>11624</v>
      </c>
      <c r="G18555">
        <v>-11.942299999999999</v>
      </c>
      <c r="H18555">
        <v>-65.394499999999994</v>
      </c>
      <c r="I18555" t="s">
        <v>55981</v>
      </c>
      <c r="L18555">
        <v>0</v>
      </c>
      <c r="M18555">
        <v>0</v>
      </c>
      <c r="N18555">
        <v>0</v>
      </c>
      <c r="O18555" t="s">
        <v>14185</v>
      </c>
    </row>
    <row r="18556" spans="1:15">
      <c r="A18556" t="s">
        <v>55982</v>
      </c>
      <c r="B18556" t="s">
        <v>11637</v>
      </c>
      <c r="C18556" t="s">
        <v>479</v>
      </c>
      <c r="D18556" t="s">
        <v>55983</v>
      </c>
      <c r="E18556" t="b">
        <v>0</v>
      </c>
      <c r="F18556" t="s">
        <v>11610</v>
      </c>
      <c r="L18556">
        <v>0</v>
      </c>
      <c r="M18556">
        <v>0</v>
      </c>
      <c r="N18556">
        <v>0</v>
      </c>
    </row>
    <row r="18557" spans="1:15">
      <c r="A18557" t="s">
        <v>479</v>
      </c>
      <c r="B18557" t="s">
        <v>11637</v>
      </c>
      <c r="C18557" t="s">
        <v>55984</v>
      </c>
      <c r="D18557" t="s">
        <v>55985</v>
      </c>
      <c r="E18557" t="b">
        <v>0</v>
      </c>
      <c r="F18557" t="s">
        <v>11624</v>
      </c>
      <c r="G18557">
        <v>4.5472900000000003</v>
      </c>
      <c r="H18557">
        <v>-54.023800000000001</v>
      </c>
      <c r="I18557" t="s">
        <v>480</v>
      </c>
      <c r="L18557">
        <v>0</v>
      </c>
      <c r="M18557">
        <v>0</v>
      </c>
      <c r="N18557">
        <v>2</v>
      </c>
      <c r="O18557" t="s">
        <v>21138</v>
      </c>
    </row>
    <row r="18558" spans="1:15">
      <c r="A18558" t="s">
        <v>19465</v>
      </c>
      <c r="B18558" t="s">
        <v>11729</v>
      </c>
      <c r="C18558" t="s">
        <v>11729</v>
      </c>
      <c r="D18558" t="s">
        <v>55986</v>
      </c>
      <c r="E18558" t="b">
        <v>0</v>
      </c>
      <c r="F18558" t="s">
        <v>11622</v>
      </c>
      <c r="L18558">
        <v>24</v>
      </c>
      <c r="M18558">
        <v>40</v>
      </c>
      <c r="N18558">
        <v>89</v>
      </c>
    </row>
    <row r="18559" spans="1:15">
      <c r="A18559" t="s">
        <v>34252</v>
      </c>
      <c r="B18559" t="s">
        <v>367</v>
      </c>
      <c r="C18559" t="s">
        <v>35603</v>
      </c>
      <c r="D18559" t="s">
        <v>55987</v>
      </c>
      <c r="E18559" t="b">
        <v>0</v>
      </c>
      <c r="F18559" t="s">
        <v>11622</v>
      </c>
      <c r="L18559">
        <v>10</v>
      </c>
      <c r="M18559">
        <v>20</v>
      </c>
      <c r="N18559">
        <v>26</v>
      </c>
    </row>
    <row r="18560" spans="1:15">
      <c r="A18560" t="s">
        <v>30057</v>
      </c>
      <c r="B18560" t="s">
        <v>11729</v>
      </c>
      <c r="C18560" t="s">
        <v>21502</v>
      </c>
      <c r="D18560" t="s">
        <v>55988</v>
      </c>
      <c r="E18560" t="b">
        <v>0</v>
      </c>
      <c r="F18560" t="s">
        <v>11622</v>
      </c>
      <c r="L18560">
        <v>0</v>
      </c>
      <c r="M18560">
        <v>3</v>
      </c>
      <c r="N18560">
        <v>5</v>
      </c>
    </row>
    <row r="18561" spans="1:15">
      <c r="A18561" t="s">
        <v>29577</v>
      </c>
      <c r="B18561" t="s">
        <v>11729</v>
      </c>
      <c r="C18561" t="s">
        <v>21502</v>
      </c>
      <c r="D18561" t="s">
        <v>55989</v>
      </c>
      <c r="E18561" t="b">
        <v>0</v>
      </c>
      <c r="F18561" t="s">
        <v>11622</v>
      </c>
      <c r="L18561">
        <v>1</v>
      </c>
      <c r="M18561">
        <v>3</v>
      </c>
      <c r="N18561">
        <v>10</v>
      </c>
    </row>
    <row r="18562" spans="1:15">
      <c r="A18562" t="s">
        <v>17694</v>
      </c>
      <c r="B18562" t="s">
        <v>11729</v>
      </c>
      <c r="C18562" t="s">
        <v>21502</v>
      </c>
      <c r="D18562" t="s">
        <v>55990</v>
      </c>
      <c r="E18562" t="b">
        <v>0</v>
      </c>
      <c r="F18562" t="s">
        <v>11622</v>
      </c>
      <c r="L18562">
        <v>2</v>
      </c>
      <c r="M18562">
        <v>6</v>
      </c>
      <c r="N18562">
        <v>16</v>
      </c>
    </row>
    <row r="18563" spans="1:15">
      <c r="A18563" t="s">
        <v>23474</v>
      </c>
      <c r="B18563" t="s">
        <v>367</v>
      </c>
      <c r="C18563" t="s">
        <v>55991</v>
      </c>
      <c r="D18563" t="s">
        <v>55992</v>
      </c>
      <c r="E18563" t="b">
        <v>0</v>
      </c>
      <c r="F18563" t="s">
        <v>11622</v>
      </c>
      <c r="L18563">
        <v>0</v>
      </c>
      <c r="M18563">
        <v>2</v>
      </c>
      <c r="N18563">
        <v>3</v>
      </c>
    </row>
    <row r="18564" spans="1:15">
      <c r="A18564" t="s">
        <v>55950</v>
      </c>
      <c r="B18564" t="s">
        <v>11729</v>
      </c>
      <c r="C18564" t="s">
        <v>17066</v>
      </c>
      <c r="D18564" t="s">
        <v>55993</v>
      </c>
      <c r="E18564" t="b">
        <v>0</v>
      </c>
      <c r="F18564" t="s">
        <v>11622</v>
      </c>
      <c r="L18564">
        <v>0</v>
      </c>
      <c r="M18564">
        <v>3</v>
      </c>
      <c r="N18564">
        <v>7</v>
      </c>
    </row>
    <row r="18565" spans="1:15">
      <c r="A18565" t="s">
        <v>15853</v>
      </c>
      <c r="B18565" t="s">
        <v>11729</v>
      </c>
      <c r="C18565" t="s">
        <v>27807</v>
      </c>
      <c r="D18565" t="s">
        <v>55994</v>
      </c>
      <c r="E18565" t="b">
        <v>0</v>
      </c>
      <c r="F18565" t="s">
        <v>11622</v>
      </c>
      <c r="L18565">
        <v>15</v>
      </c>
      <c r="M18565">
        <v>25</v>
      </c>
      <c r="N18565">
        <v>59</v>
      </c>
    </row>
    <row r="18566" spans="1:15">
      <c r="A18566" t="s">
        <v>55995</v>
      </c>
      <c r="B18566" t="s">
        <v>11627</v>
      </c>
      <c r="C18566" t="s">
        <v>11627</v>
      </c>
      <c r="D18566" t="s">
        <v>55996</v>
      </c>
      <c r="E18566" t="b">
        <v>1</v>
      </c>
      <c r="F18566" t="s">
        <v>11624</v>
      </c>
      <c r="I18566" t="s">
        <v>55997</v>
      </c>
      <c r="L18566">
        <v>0</v>
      </c>
      <c r="M18566">
        <v>0</v>
      </c>
      <c r="N18566">
        <v>0</v>
      </c>
    </row>
    <row r="18567" spans="1:15">
      <c r="A18567" t="s">
        <v>23463</v>
      </c>
      <c r="B18567" t="s">
        <v>11637</v>
      </c>
      <c r="C18567" t="s">
        <v>55998</v>
      </c>
      <c r="D18567" t="s">
        <v>55999</v>
      </c>
      <c r="E18567" t="b">
        <v>0</v>
      </c>
      <c r="F18567" t="s">
        <v>11622</v>
      </c>
      <c r="L18567">
        <v>2</v>
      </c>
      <c r="M18567">
        <v>4</v>
      </c>
      <c r="N18567">
        <v>16</v>
      </c>
    </row>
    <row r="18568" spans="1:15">
      <c r="A18568" t="s">
        <v>7381</v>
      </c>
      <c r="B18568" t="s">
        <v>11637</v>
      </c>
      <c r="C18568" t="s">
        <v>23463</v>
      </c>
      <c r="D18568" t="s">
        <v>7380</v>
      </c>
      <c r="E18568" t="b">
        <v>0</v>
      </c>
      <c r="F18568" t="s">
        <v>11622</v>
      </c>
      <c r="L18568">
        <v>0</v>
      </c>
      <c r="M18568">
        <v>2</v>
      </c>
      <c r="N18568">
        <v>12</v>
      </c>
    </row>
    <row r="18569" spans="1:15">
      <c r="A18569" t="s">
        <v>56000</v>
      </c>
      <c r="B18569" t="s">
        <v>6742</v>
      </c>
      <c r="C18569" t="s">
        <v>45418</v>
      </c>
      <c r="D18569" t="s">
        <v>56001</v>
      </c>
      <c r="E18569" t="b">
        <v>0</v>
      </c>
      <c r="F18569" t="s">
        <v>11610</v>
      </c>
      <c r="L18569">
        <v>0</v>
      </c>
      <c r="M18569">
        <v>0</v>
      </c>
      <c r="N18569">
        <v>0</v>
      </c>
    </row>
    <row r="18570" spans="1:15">
      <c r="A18570" t="s">
        <v>56002</v>
      </c>
      <c r="B18570" t="s">
        <v>11637</v>
      </c>
      <c r="C18570" t="s">
        <v>51183</v>
      </c>
      <c r="D18570" t="s">
        <v>56003</v>
      </c>
      <c r="E18570" t="b">
        <v>0</v>
      </c>
      <c r="F18570" t="s">
        <v>11624</v>
      </c>
      <c r="G18570">
        <v>37.905000000000001</v>
      </c>
      <c r="H18570">
        <v>75.144900000000007</v>
      </c>
      <c r="I18570" t="s">
        <v>56004</v>
      </c>
      <c r="L18570">
        <v>0</v>
      </c>
      <c r="M18570">
        <v>0</v>
      </c>
      <c r="N18570">
        <v>0</v>
      </c>
      <c r="O18570" t="s">
        <v>11905</v>
      </c>
    </row>
    <row r="18571" spans="1:15">
      <c r="A18571" t="s">
        <v>56005</v>
      </c>
      <c r="B18571" t="s">
        <v>367</v>
      </c>
      <c r="C18571" t="s">
        <v>16303</v>
      </c>
      <c r="D18571" t="s">
        <v>56006</v>
      </c>
      <c r="E18571" t="b">
        <v>0</v>
      </c>
      <c r="F18571" t="s">
        <v>11610</v>
      </c>
      <c r="L18571">
        <v>0</v>
      </c>
      <c r="M18571">
        <v>0</v>
      </c>
      <c r="N18571">
        <v>0</v>
      </c>
    </row>
    <row r="18572" spans="1:15">
      <c r="A18572" t="s">
        <v>56007</v>
      </c>
      <c r="B18572" t="s">
        <v>11615</v>
      </c>
      <c r="C18572" t="s">
        <v>27216</v>
      </c>
      <c r="D18572" t="s">
        <v>56008</v>
      </c>
      <c r="E18572" t="b">
        <v>0</v>
      </c>
      <c r="F18572" t="s">
        <v>11610</v>
      </c>
      <c r="L18572">
        <v>0</v>
      </c>
      <c r="M18572">
        <v>0</v>
      </c>
      <c r="N18572">
        <v>0</v>
      </c>
    </row>
    <row r="18573" spans="1:15">
      <c r="A18573" t="s">
        <v>56009</v>
      </c>
      <c r="B18573" t="s">
        <v>11644</v>
      </c>
      <c r="C18573" t="s">
        <v>22370</v>
      </c>
      <c r="D18573" t="s">
        <v>56010</v>
      </c>
      <c r="E18573" t="b">
        <v>0</v>
      </c>
      <c r="F18573" t="s">
        <v>11610</v>
      </c>
      <c r="L18573">
        <v>0</v>
      </c>
      <c r="M18573">
        <v>0</v>
      </c>
      <c r="N18573">
        <v>0</v>
      </c>
    </row>
    <row r="18574" spans="1:15">
      <c r="A18574" t="s">
        <v>56011</v>
      </c>
      <c r="B18574" t="s">
        <v>11637</v>
      </c>
      <c r="C18574" t="s">
        <v>29569</v>
      </c>
      <c r="D18574" t="s">
        <v>56012</v>
      </c>
      <c r="E18574" t="b">
        <v>0</v>
      </c>
      <c r="F18574" t="s">
        <v>11624</v>
      </c>
      <c r="G18574">
        <v>36.021000000000001</v>
      </c>
      <c r="H18574">
        <v>43.643999999999998</v>
      </c>
      <c r="I18574" t="s">
        <v>56013</v>
      </c>
      <c r="L18574">
        <v>0</v>
      </c>
      <c r="M18574">
        <v>0</v>
      </c>
      <c r="N18574">
        <v>0</v>
      </c>
      <c r="O18574" t="s">
        <v>12765</v>
      </c>
    </row>
    <row r="18575" spans="1:15">
      <c r="A18575" t="s">
        <v>56014</v>
      </c>
      <c r="B18575" t="s">
        <v>11637</v>
      </c>
      <c r="C18575" t="s">
        <v>24607</v>
      </c>
      <c r="D18575" t="s">
        <v>56015</v>
      </c>
      <c r="E18575" t="b">
        <v>0</v>
      </c>
      <c r="F18575" t="s">
        <v>11610</v>
      </c>
      <c r="L18575">
        <v>0</v>
      </c>
      <c r="M18575">
        <v>0</v>
      </c>
      <c r="N18575">
        <v>0</v>
      </c>
    </row>
    <row r="18576" spans="1:15">
      <c r="A18576" t="s">
        <v>33320</v>
      </c>
      <c r="B18576" t="s">
        <v>367</v>
      </c>
      <c r="C18576" t="s">
        <v>31743</v>
      </c>
      <c r="D18576" t="s">
        <v>56016</v>
      </c>
      <c r="E18576" t="b">
        <v>0</v>
      </c>
      <c r="F18576" t="s">
        <v>11622</v>
      </c>
      <c r="L18576">
        <v>5</v>
      </c>
      <c r="M18576">
        <v>13</v>
      </c>
      <c r="N18576">
        <v>0</v>
      </c>
    </row>
    <row r="18577" spans="1:15">
      <c r="A18577" t="s">
        <v>14049</v>
      </c>
      <c r="B18577" t="s">
        <v>367</v>
      </c>
      <c r="C18577" t="s">
        <v>33320</v>
      </c>
      <c r="D18577" t="s">
        <v>56017</v>
      </c>
      <c r="E18577" t="b">
        <v>0</v>
      </c>
      <c r="F18577" t="s">
        <v>11622</v>
      </c>
      <c r="L18577">
        <v>3</v>
      </c>
      <c r="M18577">
        <v>10</v>
      </c>
      <c r="N18577">
        <v>0</v>
      </c>
    </row>
    <row r="18578" spans="1:15">
      <c r="A18578" t="s">
        <v>56018</v>
      </c>
      <c r="B18578" t="s">
        <v>11637</v>
      </c>
      <c r="C18578" t="s">
        <v>21130</v>
      </c>
      <c r="D18578" t="s">
        <v>56019</v>
      </c>
      <c r="E18578" t="b">
        <v>0</v>
      </c>
      <c r="F18578" t="s">
        <v>11610</v>
      </c>
      <c r="L18578">
        <v>0</v>
      </c>
      <c r="M18578">
        <v>0</v>
      </c>
      <c r="N18578">
        <v>0</v>
      </c>
    </row>
    <row r="18579" spans="1:15">
      <c r="A18579" t="s">
        <v>56020</v>
      </c>
      <c r="B18579" t="s">
        <v>367</v>
      </c>
      <c r="C18579" t="s">
        <v>13008</v>
      </c>
      <c r="D18579" t="s">
        <v>56021</v>
      </c>
      <c r="E18579" t="b">
        <v>0</v>
      </c>
      <c r="F18579" t="s">
        <v>11610</v>
      </c>
      <c r="L18579">
        <v>0</v>
      </c>
      <c r="M18579">
        <v>0</v>
      </c>
      <c r="N18579">
        <v>0</v>
      </c>
    </row>
    <row r="18580" spans="1:15">
      <c r="A18580" t="s">
        <v>56022</v>
      </c>
      <c r="B18580" t="s">
        <v>11637</v>
      </c>
      <c r="C18580" t="s">
        <v>14419</v>
      </c>
      <c r="D18580" t="s">
        <v>56023</v>
      </c>
      <c r="E18580" t="b">
        <v>0</v>
      </c>
      <c r="F18580" t="s">
        <v>11610</v>
      </c>
      <c r="L18580">
        <v>0</v>
      </c>
      <c r="M18580">
        <v>0</v>
      </c>
      <c r="N18580">
        <v>0</v>
      </c>
    </row>
    <row r="18581" spans="1:15">
      <c r="A18581" t="s">
        <v>56024</v>
      </c>
      <c r="B18581" t="s">
        <v>11729</v>
      </c>
      <c r="C18581" t="s">
        <v>30051</v>
      </c>
      <c r="D18581" t="s">
        <v>56025</v>
      </c>
      <c r="E18581" t="b">
        <v>0</v>
      </c>
      <c r="F18581" t="s">
        <v>11610</v>
      </c>
      <c r="L18581">
        <v>0</v>
      </c>
      <c r="M18581">
        <v>0</v>
      </c>
      <c r="N18581">
        <v>0</v>
      </c>
    </row>
    <row r="18582" spans="1:15">
      <c r="A18582" t="s">
        <v>5883</v>
      </c>
      <c r="B18582" t="s">
        <v>11729</v>
      </c>
      <c r="C18582" t="s">
        <v>30057</v>
      </c>
      <c r="D18582" t="s">
        <v>56026</v>
      </c>
      <c r="E18582" t="b">
        <v>0</v>
      </c>
      <c r="F18582" t="s">
        <v>11624</v>
      </c>
      <c r="G18582">
        <v>8.5063399999999998</v>
      </c>
      <c r="H18582">
        <v>17.878499999999999</v>
      </c>
      <c r="I18582" t="s">
        <v>5884</v>
      </c>
      <c r="L18582">
        <v>0</v>
      </c>
      <c r="M18582">
        <v>0</v>
      </c>
      <c r="N18582">
        <v>3</v>
      </c>
      <c r="O18582" t="s">
        <v>13421</v>
      </c>
    </row>
    <row r="18583" spans="1:15">
      <c r="A18583" t="s">
        <v>56027</v>
      </c>
      <c r="B18583" t="s">
        <v>11839</v>
      </c>
      <c r="C18583" t="s">
        <v>56028</v>
      </c>
      <c r="D18583" t="s">
        <v>56029</v>
      </c>
      <c r="E18583" t="b">
        <v>0</v>
      </c>
      <c r="F18583" t="s">
        <v>11624</v>
      </c>
      <c r="G18583">
        <v>-8.33</v>
      </c>
      <c r="H18583">
        <v>124.42</v>
      </c>
      <c r="L18583">
        <v>0</v>
      </c>
      <c r="M18583">
        <v>0</v>
      </c>
      <c r="N18583">
        <v>0</v>
      </c>
      <c r="O18583" t="s">
        <v>11768</v>
      </c>
    </row>
    <row r="18584" spans="1:15">
      <c r="A18584" t="s">
        <v>56030</v>
      </c>
      <c r="B18584" t="s">
        <v>12460</v>
      </c>
      <c r="C18584" t="s">
        <v>12461</v>
      </c>
      <c r="D18584" t="s">
        <v>56031</v>
      </c>
      <c r="E18584" t="b">
        <v>0</v>
      </c>
      <c r="F18584" t="s">
        <v>11624</v>
      </c>
      <c r="G18584">
        <v>50.882199999999997</v>
      </c>
      <c r="H18584">
        <v>-114.301</v>
      </c>
      <c r="I18584" t="s">
        <v>56032</v>
      </c>
      <c r="L18584">
        <v>0</v>
      </c>
      <c r="M18584">
        <v>0</v>
      </c>
      <c r="N18584">
        <v>0</v>
      </c>
      <c r="O18584" t="s">
        <v>13049</v>
      </c>
    </row>
    <row r="18585" spans="1:15">
      <c r="A18585" t="s">
        <v>56033</v>
      </c>
      <c r="B18585" t="s">
        <v>11637</v>
      </c>
      <c r="C18585" t="s">
        <v>23458</v>
      </c>
      <c r="D18585" t="s">
        <v>56034</v>
      </c>
      <c r="E18585" t="b">
        <v>0</v>
      </c>
      <c r="F18585" t="s">
        <v>11610</v>
      </c>
      <c r="L18585">
        <v>0</v>
      </c>
      <c r="M18585">
        <v>0</v>
      </c>
      <c r="N18585">
        <v>0</v>
      </c>
    </row>
    <row r="18586" spans="1:15">
      <c r="A18586" t="s">
        <v>56035</v>
      </c>
      <c r="B18586" t="s">
        <v>12250</v>
      </c>
      <c r="C18586" t="s">
        <v>12953</v>
      </c>
      <c r="D18586" t="s">
        <v>56036</v>
      </c>
      <c r="E18586" t="b">
        <v>0</v>
      </c>
      <c r="F18586" t="s">
        <v>11610</v>
      </c>
      <c r="L18586">
        <v>0</v>
      </c>
      <c r="M18586">
        <v>0</v>
      </c>
      <c r="N18586">
        <v>0</v>
      </c>
    </row>
    <row r="18587" spans="1:15">
      <c r="A18587" t="s">
        <v>56037</v>
      </c>
      <c r="B18587" t="s">
        <v>12250</v>
      </c>
      <c r="C18587" t="s">
        <v>24159</v>
      </c>
      <c r="D18587" t="s">
        <v>56038</v>
      </c>
      <c r="E18587" t="b">
        <v>0</v>
      </c>
      <c r="F18587" t="s">
        <v>11610</v>
      </c>
      <c r="L18587">
        <v>0</v>
      </c>
      <c r="M18587">
        <v>0</v>
      </c>
      <c r="N18587">
        <v>0</v>
      </c>
    </row>
    <row r="18588" spans="1:15">
      <c r="A18588" t="s">
        <v>33421</v>
      </c>
      <c r="B18588" t="s">
        <v>11644</v>
      </c>
      <c r="C18588" t="s">
        <v>56039</v>
      </c>
      <c r="D18588" t="s">
        <v>56040</v>
      </c>
      <c r="E18588" t="b">
        <v>0</v>
      </c>
      <c r="F18588" t="s">
        <v>11624</v>
      </c>
      <c r="G18588">
        <v>27.375914000000002</v>
      </c>
      <c r="H18588">
        <v>92.409383000000005</v>
      </c>
      <c r="I18588" t="s">
        <v>56041</v>
      </c>
      <c r="L18588">
        <v>0</v>
      </c>
      <c r="M18588">
        <v>0</v>
      </c>
      <c r="N18588">
        <v>4</v>
      </c>
      <c r="O18588" t="s">
        <v>11630</v>
      </c>
    </row>
    <row r="18589" spans="1:15">
      <c r="A18589" t="s">
        <v>38120</v>
      </c>
      <c r="B18589" t="s">
        <v>367</v>
      </c>
      <c r="C18589" t="s">
        <v>15694</v>
      </c>
      <c r="D18589" t="s">
        <v>56042</v>
      </c>
      <c r="E18589" t="b">
        <v>0</v>
      </c>
      <c r="F18589" t="s">
        <v>11624</v>
      </c>
      <c r="G18589">
        <v>-1.7094</v>
      </c>
      <c r="H18589">
        <v>119.349</v>
      </c>
      <c r="I18589" t="s">
        <v>56043</v>
      </c>
      <c r="L18589">
        <v>0</v>
      </c>
      <c r="M18589">
        <v>0</v>
      </c>
      <c r="N18589">
        <v>2</v>
      </c>
      <c r="O18589" t="s">
        <v>11768</v>
      </c>
    </row>
    <row r="18590" spans="1:15">
      <c r="A18590" t="s">
        <v>56044</v>
      </c>
      <c r="B18590" t="s">
        <v>11615</v>
      </c>
      <c r="C18590" t="s">
        <v>15886</v>
      </c>
      <c r="D18590" t="s">
        <v>56045</v>
      </c>
      <c r="E18590" t="b">
        <v>0</v>
      </c>
      <c r="F18590" t="s">
        <v>11624</v>
      </c>
      <c r="G18590">
        <v>-5.0882399999999999</v>
      </c>
      <c r="H18590">
        <v>145.578</v>
      </c>
      <c r="I18590" t="s">
        <v>56046</v>
      </c>
      <c r="L18590">
        <v>0</v>
      </c>
      <c r="M18590">
        <v>0</v>
      </c>
      <c r="N18590">
        <v>0</v>
      </c>
      <c r="O18590" t="s">
        <v>11660</v>
      </c>
    </row>
    <row r="18591" spans="1:15">
      <c r="A18591" t="s">
        <v>56047</v>
      </c>
      <c r="B18591" t="s">
        <v>11607</v>
      </c>
      <c r="C18591" t="s">
        <v>19552</v>
      </c>
      <c r="D18591" t="s">
        <v>56048</v>
      </c>
      <c r="E18591" t="b">
        <v>0</v>
      </c>
      <c r="F18591" t="s">
        <v>11624</v>
      </c>
      <c r="G18591">
        <v>10.598699999999999</v>
      </c>
      <c r="H18591">
        <v>17.030999999999999</v>
      </c>
      <c r="I18591" t="s">
        <v>56049</v>
      </c>
      <c r="L18591">
        <v>0</v>
      </c>
      <c r="M18591">
        <v>0</v>
      </c>
      <c r="N18591">
        <v>0</v>
      </c>
      <c r="O18591" t="s">
        <v>13421</v>
      </c>
    </row>
    <row r="18592" spans="1:15">
      <c r="A18592" t="s">
        <v>56050</v>
      </c>
      <c r="B18592" t="s">
        <v>11637</v>
      </c>
      <c r="C18592" t="s">
        <v>29549</v>
      </c>
      <c r="D18592" t="s">
        <v>56051</v>
      </c>
      <c r="E18592" t="b">
        <v>0</v>
      </c>
      <c r="F18592" t="s">
        <v>11610</v>
      </c>
      <c r="L18592">
        <v>0</v>
      </c>
      <c r="M18592">
        <v>0</v>
      </c>
      <c r="N18592">
        <v>0</v>
      </c>
    </row>
    <row r="18593" spans="1:15">
      <c r="A18593" t="s">
        <v>56052</v>
      </c>
      <c r="B18593" t="s">
        <v>331</v>
      </c>
      <c r="C18593" t="s">
        <v>332</v>
      </c>
      <c r="D18593" t="s">
        <v>56053</v>
      </c>
      <c r="E18593" t="b">
        <v>0</v>
      </c>
      <c r="F18593" t="s">
        <v>11610</v>
      </c>
      <c r="L18593">
        <v>0</v>
      </c>
      <c r="M18593">
        <v>0</v>
      </c>
      <c r="N18593">
        <v>0</v>
      </c>
    </row>
    <row r="18594" spans="1:15">
      <c r="A18594" t="s">
        <v>56054</v>
      </c>
      <c r="B18594" t="s">
        <v>6742</v>
      </c>
      <c r="C18594" t="s">
        <v>27274</v>
      </c>
      <c r="D18594" t="s">
        <v>56055</v>
      </c>
      <c r="E18594" t="b">
        <v>0</v>
      </c>
      <c r="F18594" t="s">
        <v>11624</v>
      </c>
      <c r="G18594">
        <v>7.0619300000000003</v>
      </c>
      <c r="H18594">
        <v>6.07531</v>
      </c>
      <c r="I18594" t="s">
        <v>56056</v>
      </c>
      <c r="L18594">
        <v>0</v>
      </c>
      <c r="M18594">
        <v>0</v>
      </c>
      <c r="N18594">
        <v>0</v>
      </c>
      <c r="O18594" t="s">
        <v>11693</v>
      </c>
    </row>
    <row r="18595" spans="1:15">
      <c r="A18595" t="s">
        <v>56057</v>
      </c>
      <c r="B18595" t="s">
        <v>367</v>
      </c>
      <c r="C18595" t="s">
        <v>16290</v>
      </c>
      <c r="D18595" t="s">
        <v>56058</v>
      </c>
      <c r="E18595" t="b">
        <v>0</v>
      </c>
      <c r="F18595" t="s">
        <v>11622</v>
      </c>
      <c r="L18595">
        <v>0</v>
      </c>
      <c r="M18595">
        <v>2</v>
      </c>
      <c r="N18595">
        <v>5</v>
      </c>
    </row>
    <row r="18596" spans="1:15">
      <c r="A18596" t="s">
        <v>38485</v>
      </c>
      <c r="B18596" t="s">
        <v>367</v>
      </c>
      <c r="C18596" t="s">
        <v>56057</v>
      </c>
      <c r="D18596" t="s">
        <v>56059</v>
      </c>
      <c r="E18596" t="b">
        <v>0</v>
      </c>
      <c r="F18596" t="s">
        <v>11624</v>
      </c>
      <c r="G18596">
        <v>-8.5834899999999994</v>
      </c>
      <c r="H18596">
        <v>116.28400000000001</v>
      </c>
      <c r="I18596" t="s">
        <v>56060</v>
      </c>
      <c r="L18596">
        <v>0</v>
      </c>
      <c r="M18596">
        <v>0</v>
      </c>
      <c r="N18596">
        <v>5</v>
      </c>
      <c r="O18596" t="s">
        <v>11768</v>
      </c>
    </row>
    <row r="18597" spans="1:15">
      <c r="A18597" t="s">
        <v>56061</v>
      </c>
      <c r="B18597" t="s">
        <v>367</v>
      </c>
      <c r="C18597" t="s">
        <v>39897</v>
      </c>
      <c r="D18597" t="s">
        <v>56062</v>
      </c>
      <c r="E18597" t="b">
        <v>0</v>
      </c>
      <c r="F18597" t="s">
        <v>11610</v>
      </c>
      <c r="L18597">
        <v>0</v>
      </c>
      <c r="M18597">
        <v>0</v>
      </c>
      <c r="N18597">
        <v>0</v>
      </c>
    </row>
    <row r="18598" spans="1:15">
      <c r="A18598" t="s">
        <v>56063</v>
      </c>
      <c r="B18598" t="s">
        <v>12557</v>
      </c>
      <c r="C18598" t="s">
        <v>48092</v>
      </c>
      <c r="D18598" t="s">
        <v>56064</v>
      </c>
      <c r="E18598" t="b">
        <v>0</v>
      </c>
      <c r="F18598" t="s">
        <v>11610</v>
      </c>
      <c r="L18598">
        <v>0</v>
      </c>
      <c r="M18598">
        <v>0</v>
      </c>
      <c r="N18598">
        <v>0</v>
      </c>
    </row>
    <row r="18599" spans="1:15">
      <c r="A18599" t="s">
        <v>56065</v>
      </c>
      <c r="B18599" t="s">
        <v>4342</v>
      </c>
      <c r="C18599" t="s">
        <v>31187</v>
      </c>
      <c r="D18599" t="s">
        <v>56066</v>
      </c>
      <c r="E18599" t="b">
        <v>0</v>
      </c>
      <c r="F18599" t="s">
        <v>11610</v>
      </c>
      <c r="L18599">
        <v>0</v>
      </c>
      <c r="M18599">
        <v>0</v>
      </c>
      <c r="N18599">
        <v>0</v>
      </c>
    </row>
    <row r="18600" spans="1:15">
      <c r="A18600" t="s">
        <v>56067</v>
      </c>
      <c r="B18600" t="s">
        <v>12738</v>
      </c>
      <c r="C18600" t="s">
        <v>31299</v>
      </c>
      <c r="D18600" t="s">
        <v>56068</v>
      </c>
      <c r="E18600" t="b">
        <v>0</v>
      </c>
      <c r="F18600" t="s">
        <v>11610</v>
      </c>
      <c r="L18600">
        <v>0</v>
      </c>
      <c r="M18600">
        <v>0</v>
      </c>
      <c r="N18600">
        <v>0</v>
      </c>
    </row>
    <row r="18601" spans="1:15">
      <c r="A18601" t="s">
        <v>56069</v>
      </c>
      <c r="B18601" t="s">
        <v>11637</v>
      </c>
      <c r="C18601" t="s">
        <v>27138</v>
      </c>
      <c r="D18601" t="s">
        <v>56070</v>
      </c>
      <c r="E18601" t="b">
        <v>0</v>
      </c>
      <c r="F18601" t="s">
        <v>11624</v>
      </c>
      <c r="G18601">
        <v>40.747999999999998</v>
      </c>
      <c r="H18601">
        <v>8.3933199999999992</v>
      </c>
      <c r="I18601" t="s">
        <v>56071</v>
      </c>
      <c r="L18601">
        <v>0</v>
      </c>
      <c r="M18601">
        <v>0</v>
      </c>
      <c r="N18601">
        <v>0</v>
      </c>
      <c r="O18601" t="s">
        <v>13676</v>
      </c>
    </row>
    <row r="18602" spans="1:15">
      <c r="A18602" t="s">
        <v>56072</v>
      </c>
      <c r="B18602" t="s">
        <v>11637</v>
      </c>
      <c r="C18602" t="s">
        <v>28286</v>
      </c>
      <c r="D18602" t="s">
        <v>56073</v>
      </c>
      <c r="E18602" t="b">
        <v>0</v>
      </c>
      <c r="F18602" t="s">
        <v>11610</v>
      </c>
      <c r="L18602">
        <v>0</v>
      </c>
      <c r="M18602">
        <v>0</v>
      </c>
      <c r="N18602">
        <v>0</v>
      </c>
    </row>
    <row r="18603" spans="1:15">
      <c r="A18603" t="s">
        <v>56074</v>
      </c>
      <c r="B18603" t="s">
        <v>11637</v>
      </c>
      <c r="C18603" t="s">
        <v>45948</v>
      </c>
      <c r="D18603" t="s">
        <v>56075</v>
      </c>
      <c r="E18603" t="b">
        <v>0</v>
      </c>
      <c r="F18603" t="s">
        <v>11610</v>
      </c>
      <c r="L18603">
        <v>0</v>
      </c>
      <c r="M18603">
        <v>0</v>
      </c>
      <c r="N18603">
        <v>0</v>
      </c>
    </row>
    <row r="18604" spans="1:15">
      <c r="A18604" t="s">
        <v>56076</v>
      </c>
      <c r="B18604" t="s">
        <v>367</v>
      </c>
      <c r="C18604" t="s">
        <v>41491</v>
      </c>
      <c r="D18604" t="s">
        <v>56077</v>
      </c>
      <c r="E18604" t="b">
        <v>0</v>
      </c>
      <c r="F18604" t="s">
        <v>11624</v>
      </c>
      <c r="G18604">
        <v>7.3608399999999996</v>
      </c>
      <c r="H18604">
        <v>147.03800000000001</v>
      </c>
      <c r="I18604" t="s">
        <v>56078</v>
      </c>
      <c r="L18604">
        <v>0</v>
      </c>
      <c r="M18604">
        <v>0</v>
      </c>
      <c r="N18604">
        <v>0</v>
      </c>
      <c r="O18604" t="s">
        <v>22994</v>
      </c>
    </row>
    <row r="18605" spans="1:15">
      <c r="A18605" t="s">
        <v>41491</v>
      </c>
      <c r="B18605" t="s">
        <v>367</v>
      </c>
      <c r="C18605" t="s">
        <v>21905</v>
      </c>
      <c r="D18605" t="s">
        <v>56079</v>
      </c>
      <c r="E18605" t="b">
        <v>0</v>
      </c>
      <c r="F18605" t="s">
        <v>11622</v>
      </c>
      <c r="L18605">
        <v>2</v>
      </c>
      <c r="M18605">
        <v>5</v>
      </c>
      <c r="N18605">
        <v>0</v>
      </c>
    </row>
    <row r="18606" spans="1:15">
      <c r="A18606" t="s">
        <v>27161</v>
      </c>
      <c r="B18606" t="s">
        <v>11637</v>
      </c>
      <c r="C18606" t="s">
        <v>28099</v>
      </c>
      <c r="D18606" t="s">
        <v>56080</v>
      </c>
      <c r="E18606" t="b">
        <v>0</v>
      </c>
      <c r="F18606" t="s">
        <v>11624</v>
      </c>
      <c r="G18606">
        <v>53.116999999999997</v>
      </c>
      <c r="H18606">
        <v>7.7210000000000001</v>
      </c>
      <c r="I18606" t="s">
        <v>56081</v>
      </c>
      <c r="L18606">
        <v>0</v>
      </c>
      <c r="M18606">
        <v>0</v>
      </c>
      <c r="N18606">
        <v>2</v>
      </c>
      <c r="O18606" t="s">
        <v>25838</v>
      </c>
    </row>
    <row r="18607" spans="1:15">
      <c r="A18607" t="s">
        <v>56082</v>
      </c>
      <c r="B18607" t="s">
        <v>11912</v>
      </c>
      <c r="C18607" t="s">
        <v>409</v>
      </c>
      <c r="D18607" t="s">
        <v>56083</v>
      </c>
      <c r="E18607" t="b">
        <v>0</v>
      </c>
      <c r="F18607" t="s">
        <v>11624</v>
      </c>
      <c r="G18607">
        <v>-3.63897</v>
      </c>
      <c r="H18607">
        <v>-56.874899999999997</v>
      </c>
      <c r="I18607" t="s">
        <v>56084</v>
      </c>
      <c r="L18607">
        <v>0</v>
      </c>
      <c r="M18607">
        <v>0</v>
      </c>
      <c r="N18607">
        <v>0</v>
      </c>
      <c r="O18607" t="s">
        <v>11969</v>
      </c>
    </row>
    <row r="18608" spans="1:15">
      <c r="A18608" t="s">
        <v>56085</v>
      </c>
      <c r="B18608" t="s">
        <v>11637</v>
      </c>
      <c r="C18608" t="s">
        <v>14887</v>
      </c>
      <c r="D18608" t="s">
        <v>56086</v>
      </c>
      <c r="E18608" t="b">
        <v>0</v>
      </c>
      <c r="F18608" t="s">
        <v>11610</v>
      </c>
      <c r="L18608">
        <v>0</v>
      </c>
      <c r="M18608">
        <v>0</v>
      </c>
      <c r="N18608">
        <v>0</v>
      </c>
    </row>
    <row r="18609" spans="1:15">
      <c r="A18609" t="s">
        <v>56087</v>
      </c>
      <c r="B18609" t="s">
        <v>11644</v>
      </c>
      <c r="C18609" t="s">
        <v>16472</v>
      </c>
      <c r="D18609" t="s">
        <v>56088</v>
      </c>
      <c r="E18609" t="b">
        <v>0</v>
      </c>
      <c r="F18609" t="s">
        <v>11610</v>
      </c>
      <c r="L18609">
        <v>0</v>
      </c>
      <c r="M18609">
        <v>0</v>
      </c>
      <c r="N18609">
        <v>0</v>
      </c>
    </row>
    <row r="18610" spans="1:15">
      <c r="A18610" t="s">
        <v>45381</v>
      </c>
      <c r="B18610" t="s">
        <v>4342</v>
      </c>
      <c r="C18610" t="s">
        <v>31063</v>
      </c>
      <c r="D18610" t="s">
        <v>56089</v>
      </c>
      <c r="E18610" t="b">
        <v>0</v>
      </c>
      <c r="F18610" t="s">
        <v>11610</v>
      </c>
      <c r="L18610">
        <v>0</v>
      </c>
      <c r="M18610">
        <v>0</v>
      </c>
      <c r="N18610">
        <v>3</v>
      </c>
    </row>
    <row r="18611" spans="1:15">
      <c r="A18611" t="s">
        <v>56090</v>
      </c>
      <c r="B18611" t="s">
        <v>4342</v>
      </c>
      <c r="C18611" t="s">
        <v>45381</v>
      </c>
      <c r="D18611" t="s">
        <v>56091</v>
      </c>
      <c r="E18611" t="b">
        <v>0</v>
      </c>
      <c r="F18611" t="s">
        <v>11610</v>
      </c>
      <c r="L18611">
        <v>0</v>
      </c>
      <c r="M18611">
        <v>0</v>
      </c>
      <c r="N18611">
        <v>0</v>
      </c>
    </row>
    <row r="18612" spans="1:15">
      <c r="A18612" t="s">
        <v>56092</v>
      </c>
      <c r="B18612" t="s">
        <v>12438</v>
      </c>
      <c r="C18612" t="s">
        <v>56093</v>
      </c>
      <c r="D18612" t="s">
        <v>56094</v>
      </c>
      <c r="E18612" t="b">
        <v>0</v>
      </c>
      <c r="F18612" t="s">
        <v>11610</v>
      </c>
      <c r="L18612">
        <v>0</v>
      </c>
      <c r="M18612">
        <v>0</v>
      </c>
      <c r="N18612">
        <v>0</v>
      </c>
    </row>
    <row r="18613" spans="1:15">
      <c r="A18613" t="s">
        <v>56095</v>
      </c>
      <c r="B18613" t="s">
        <v>11981</v>
      </c>
      <c r="C18613" t="s">
        <v>14250</v>
      </c>
      <c r="D18613" t="s">
        <v>56096</v>
      </c>
      <c r="E18613" t="b">
        <v>0</v>
      </c>
      <c r="F18613" t="s">
        <v>11624</v>
      </c>
      <c r="G18613">
        <v>23.614000000000001</v>
      </c>
      <c r="H18613">
        <v>46.471400000000003</v>
      </c>
      <c r="I18613" t="s">
        <v>56097</v>
      </c>
      <c r="L18613">
        <v>0</v>
      </c>
      <c r="M18613">
        <v>0</v>
      </c>
      <c r="N18613">
        <v>0</v>
      </c>
      <c r="O18613" t="s">
        <v>53039</v>
      </c>
    </row>
    <row r="18614" spans="1:15">
      <c r="A18614" t="s">
        <v>56098</v>
      </c>
      <c r="B18614" t="s">
        <v>11644</v>
      </c>
      <c r="C18614" t="s">
        <v>28687</v>
      </c>
      <c r="D18614" t="s">
        <v>56099</v>
      </c>
      <c r="E18614" t="b">
        <v>0</v>
      </c>
      <c r="F18614" t="s">
        <v>11610</v>
      </c>
      <c r="L18614">
        <v>0</v>
      </c>
      <c r="M18614">
        <v>0</v>
      </c>
      <c r="N18614">
        <v>0</v>
      </c>
    </row>
    <row r="18615" spans="1:15">
      <c r="A18615" t="s">
        <v>56100</v>
      </c>
      <c r="B18615" t="s">
        <v>11615</v>
      </c>
      <c r="C18615" t="s">
        <v>47768</v>
      </c>
      <c r="D18615" t="s">
        <v>56101</v>
      </c>
      <c r="E18615" t="b">
        <v>0</v>
      </c>
      <c r="F18615" t="s">
        <v>11624</v>
      </c>
      <c r="G18615">
        <v>-6.3195800000000002</v>
      </c>
      <c r="H18615">
        <v>146.75899999999999</v>
      </c>
      <c r="I18615" t="s">
        <v>56102</v>
      </c>
      <c r="L18615">
        <v>0</v>
      </c>
      <c r="M18615">
        <v>0</v>
      </c>
      <c r="N18615">
        <v>0</v>
      </c>
      <c r="O18615" t="s">
        <v>11660</v>
      </c>
    </row>
    <row r="18616" spans="1:15">
      <c r="A18616" t="s">
        <v>47768</v>
      </c>
      <c r="B18616" t="s">
        <v>11615</v>
      </c>
      <c r="C18616" t="s">
        <v>19002</v>
      </c>
      <c r="D18616" t="s">
        <v>56103</v>
      </c>
      <c r="E18616" t="b">
        <v>0</v>
      </c>
      <c r="F18616" t="s">
        <v>11622</v>
      </c>
      <c r="L18616">
        <v>0</v>
      </c>
      <c r="M18616">
        <v>2</v>
      </c>
      <c r="N18616">
        <v>0</v>
      </c>
    </row>
    <row r="18617" spans="1:15">
      <c r="A18617" t="s">
        <v>56104</v>
      </c>
      <c r="B18617" t="s">
        <v>367</v>
      </c>
      <c r="C18617" t="s">
        <v>5322</v>
      </c>
      <c r="D18617" t="s">
        <v>56105</v>
      </c>
      <c r="E18617" t="b">
        <v>0</v>
      </c>
      <c r="F18617" t="s">
        <v>11610</v>
      </c>
      <c r="L18617">
        <v>0</v>
      </c>
      <c r="M18617">
        <v>0</v>
      </c>
      <c r="N18617">
        <v>0</v>
      </c>
    </row>
    <row r="18618" spans="1:15">
      <c r="A18618" t="s">
        <v>48331</v>
      </c>
      <c r="B18618" t="s">
        <v>11637</v>
      </c>
      <c r="C18618" t="s">
        <v>25430</v>
      </c>
      <c r="D18618" t="s">
        <v>56106</v>
      </c>
      <c r="E18618" t="b">
        <v>0</v>
      </c>
      <c r="F18618" t="s">
        <v>11624</v>
      </c>
      <c r="G18618">
        <v>9.9917200000000008</v>
      </c>
      <c r="H18618">
        <v>77.942700000000002</v>
      </c>
      <c r="I18618" t="s">
        <v>56107</v>
      </c>
      <c r="L18618">
        <v>0</v>
      </c>
      <c r="M18618">
        <v>0</v>
      </c>
      <c r="N18618">
        <v>2</v>
      </c>
      <c r="O18618" t="s">
        <v>11630</v>
      </c>
    </row>
    <row r="18619" spans="1:15">
      <c r="A18619" t="s">
        <v>29434</v>
      </c>
      <c r="B18619" t="s">
        <v>11844</v>
      </c>
      <c r="C18619" t="s">
        <v>38125</v>
      </c>
      <c r="D18619" t="s">
        <v>56108</v>
      </c>
      <c r="E18619" t="b">
        <v>0</v>
      </c>
      <c r="F18619" t="s">
        <v>11624</v>
      </c>
      <c r="G18619">
        <v>24.8124</v>
      </c>
      <c r="H18619">
        <v>87.643199999999993</v>
      </c>
      <c r="I18619" t="s">
        <v>56109</v>
      </c>
      <c r="L18619">
        <v>0</v>
      </c>
      <c r="M18619">
        <v>0</v>
      </c>
      <c r="N18619">
        <v>4</v>
      </c>
      <c r="O18619" t="s">
        <v>15054</v>
      </c>
    </row>
    <row r="18620" spans="1:15">
      <c r="A18620" t="s">
        <v>36910</v>
      </c>
      <c r="B18620" t="s">
        <v>15142</v>
      </c>
      <c r="C18620" t="s">
        <v>16953</v>
      </c>
      <c r="D18620" t="s">
        <v>56110</v>
      </c>
      <c r="E18620" t="b">
        <v>0</v>
      </c>
      <c r="F18620" t="s">
        <v>11622</v>
      </c>
      <c r="L18620">
        <v>0</v>
      </c>
      <c r="M18620">
        <v>2</v>
      </c>
      <c r="N18620">
        <v>0</v>
      </c>
    </row>
    <row r="18621" spans="1:15">
      <c r="A18621" t="s">
        <v>56111</v>
      </c>
      <c r="B18621" t="s">
        <v>15142</v>
      </c>
      <c r="C18621" t="s">
        <v>36910</v>
      </c>
      <c r="D18621" t="s">
        <v>56112</v>
      </c>
      <c r="E18621" t="b">
        <v>0</v>
      </c>
      <c r="F18621" t="s">
        <v>11624</v>
      </c>
      <c r="G18621">
        <v>-2.3334899999999998</v>
      </c>
      <c r="H18621">
        <v>136.79</v>
      </c>
      <c r="I18621" t="s">
        <v>56113</v>
      </c>
      <c r="L18621">
        <v>0</v>
      </c>
      <c r="M18621">
        <v>0</v>
      </c>
      <c r="N18621">
        <v>0</v>
      </c>
      <c r="O18621" t="s">
        <v>11768</v>
      </c>
    </row>
    <row r="18622" spans="1:15">
      <c r="A18622" t="s">
        <v>56114</v>
      </c>
      <c r="B18622" t="s">
        <v>11637</v>
      </c>
      <c r="C18622" t="s">
        <v>25170</v>
      </c>
      <c r="D18622" t="s">
        <v>56115</v>
      </c>
      <c r="E18622" t="b">
        <v>0</v>
      </c>
      <c r="F18622" t="s">
        <v>11624</v>
      </c>
      <c r="G18622">
        <v>27.46</v>
      </c>
      <c r="H18622">
        <v>77.56</v>
      </c>
      <c r="I18622" t="s">
        <v>56116</v>
      </c>
      <c r="L18622">
        <v>0</v>
      </c>
      <c r="M18622">
        <v>0</v>
      </c>
      <c r="N18622">
        <v>0</v>
      </c>
      <c r="O18622" t="s">
        <v>11630</v>
      </c>
    </row>
    <row r="18623" spans="1:15">
      <c r="A18623" t="s">
        <v>56117</v>
      </c>
      <c r="B18623" t="s">
        <v>11615</v>
      </c>
      <c r="C18623" t="s">
        <v>35978</v>
      </c>
      <c r="D18623" t="s">
        <v>56118</v>
      </c>
      <c r="E18623" t="b">
        <v>0</v>
      </c>
      <c r="F18623" t="s">
        <v>11624</v>
      </c>
      <c r="G18623">
        <v>-5.6872999999999996</v>
      </c>
      <c r="H18623">
        <v>145.49199999999999</v>
      </c>
      <c r="I18623" t="s">
        <v>56119</v>
      </c>
      <c r="L18623">
        <v>0</v>
      </c>
      <c r="M18623">
        <v>0</v>
      </c>
      <c r="N18623">
        <v>0</v>
      </c>
      <c r="O18623" t="s">
        <v>11660</v>
      </c>
    </row>
    <row r="18624" spans="1:15">
      <c r="A18624" t="s">
        <v>56120</v>
      </c>
      <c r="D18624" t="s">
        <v>56121</v>
      </c>
      <c r="E18624" t="b">
        <v>0</v>
      </c>
      <c r="F18624" t="s">
        <v>11624</v>
      </c>
      <c r="G18624">
        <v>-3.1663199999999998</v>
      </c>
      <c r="H18624">
        <v>139.62700000000001</v>
      </c>
      <c r="I18624" t="s">
        <v>56122</v>
      </c>
      <c r="L18624">
        <v>0</v>
      </c>
      <c r="M18624">
        <v>0</v>
      </c>
      <c r="N18624">
        <v>0</v>
      </c>
      <c r="O18624" t="s">
        <v>11768</v>
      </c>
    </row>
    <row r="18625" spans="1:15">
      <c r="A18625" t="s">
        <v>56123</v>
      </c>
      <c r="B18625" t="s">
        <v>11615</v>
      </c>
      <c r="C18625" t="s">
        <v>27216</v>
      </c>
      <c r="D18625" t="s">
        <v>56124</v>
      </c>
      <c r="E18625" t="b">
        <v>0</v>
      </c>
      <c r="F18625" t="s">
        <v>11610</v>
      </c>
      <c r="L18625">
        <v>0</v>
      </c>
      <c r="M18625">
        <v>0</v>
      </c>
      <c r="N18625">
        <v>0</v>
      </c>
    </row>
    <row r="18626" spans="1:15">
      <c r="A18626" t="s">
        <v>56125</v>
      </c>
      <c r="B18626" t="s">
        <v>5126</v>
      </c>
      <c r="C18626" t="s">
        <v>347</v>
      </c>
      <c r="D18626" t="s">
        <v>56126</v>
      </c>
      <c r="E18626" t="b">
        <v>0</v>
      </c>
      <c r="F18626" t="s">
        <v>11610</v>
      </c>
      <c r="L18626">
        <v>0</v>
      </c>
      <c r="M18626">
        <v>0</v>
      </c>
      <c r="N18626">
        <v>0</v>
      </c>
    </row>
    <row r="18627" spans="1:15">
      <c r="A18627" t="s">
        <v>56127</v>
      </c>
      <c r="B18627" t="s">
        <v>11627</v>
      </c>
      <c r="C18627" t="s">
        <v>11627</v>
      </c>
      <c r="D18627" t="s">
        <v>56128</v>
      </c>
      <c r="E18627" t="b">
        <v>1</v>
      </c>
      <c r="F18627" t="s">
        <v>11624</v>
      </c>
      <c r="G18627">
        <v>18.7302</v>
      </c>
      <c r="H18627">
        <v>84.141400000000004</v>
      </c>
      <c r="I18627" t="s">
        <v>56129</v>
      </c>
      <c r="L18627">
        <v>0</v>
      </c>
      <c r="M18627">
        <v>0</v>
      </c>
      <c r="N18627">
        <v>0</v>
      </c>
      <c r="O18627" t="s">
        <v>11630</v>
      </c>
    </row>
    <row r="18628" spans="1:15">
      <c r="A18628" t="s">
        <v>56130</v>
      </c>
      <c r="B18628" t="s">
        <v>11637</v>
      </c>
      <c r="C18628" t="s">
        <v>52086</v>
      </c>
      <c r="D18628" t="s">
        <v>56131</v>
      </c>
      <c r="E18628" t="b">
        <v>0</v>
      </c>
      <c r="F18628" t="s">
        <v>11624</v>
      </c>
      <c r="G18628">
        <v>35.302900000000001</v>
      </c>
      <c r="H18628">
        <v>71.555700000000002</v>
      </c>
      <c r="I18628" t="s">
        <v>56132</v>
      </c>
      <c r="L18628">
        <v>0</v>
      </c>
      <c r="M18628">
        <v>0</v>
      </c>
      <c r="N18628">
        <v>0</v>
      </c>
      <c r="O18628" t="s">
        <v>21350</v>
      </c>
    </row>
    <row r="18629" spans="1:15">
      <c r="A18629" t="s">
        <v>56133</v>
      </c>
      <c r="B18629" t="s">
        <v>6742</v>
      </c>
      <c r="C18629" t="s">
        <v>12632</v>
      </c>
      <c r="D18629" t="s">
        <v>56134</v>
      </c>
      <c r="E18629" t="b">
        <v>0</v>
      </c>
      <c r="F18629" t="s">
        <v>11610</v>
      </c>
      <c r="L18629">
        <v>0</v>
      </c>
      <c r="M18629">
        <v>0</v>
      </c>
      <c r="N18629">
        <v>0</v>
      </c>
    </row>
    <row r="18630" spans="1:15">
      <c r="A18630" t="s">
        <v>56135</v>
      </c>
      <c r="B18630" t="s">
        <v>11637</v>
      </c>
      <c r="C18630" t="s">
        <v>21288</v>
      </c>
      <c r="D18630" t="s">
        <v>56136</v>
      </c>
      <c r="E18630" t="b">
        <v>0</v>
      </c>
      <c r="F18630" t="s">
        <v>11610</v>
      </c>
      <c r="L18630">
        <v>0</v>
      </c>
      <c r="M18630">
        <v>0</v>
      </c>
      <c r="N18630">
        <v>0</v>
      </c>
    </row>
    <row r="18631" spans="1:15">
      <c r="A18631" t="s">
        <v>56137</v>
      </c>
      <c r="B18631" t="s">
        <v>12260</v>
      </c>
      <c r="C18631" t="s">
        <v>10115</v>
      </c>
      <c r="D18631" t="s">
        <v>56138</v>
      </c>
      <c r="E18631" t="b">
        <v>0</v>
      </c>
      <c r="F18631" t="s">
        <v>11610</v>
      </c>
      <c r="L18631">
        <v>0</v>
      </c>
      <c r="M18631">
        <v>0</v>
      </c>
      <c r="N18631">
        <v>0</v>
      </c>
    </row>
    <row r="18632" spans="1:15">
      <c r="A18632" t="s">
        <v>8749</v>
      </c>
      <c r="D18632" t="s">
        <v>56139</v>
      </c>
      <c r="E18632" t="b">
        <v>0</v>
      </c>
      <c r="F18632" t="s">
        <v>11624</v>
      </c>
      <c r="G18632">
        <v>-9.1285299999999996</v>
      </c>
      <c r="H18632">
        <v>159.81399999999999</v>
      </c>
      <c r="I18632" t="s">
        <v>8750</v>
      </c>
      <c r="L18632">
        <v>0</v>
      </c>
      <c r="M18632">
        <v>0</v>
      </c>
      <c r="N18632">
        <v>0</v>
      </c>
      <c r="O18632" t="s">
        <v>13346</v>
      </c>
    </row>
    <row r="18633" spans="1:15">
      <c r="A18633" t="s">
        <v>27774</v>
      </c>
      <c r="B18633" t="s">
        <v>367</v>
      </c>
      <c r="C18633" t="s">
        <v>20248</v>
      </c>
      <c r="D18633" t="s">
        <v>56140</v>
      </c>
      <c r="E18633" t="b">
        <v>0</v>
      </c>
      <c r="F18633" t="s">
        <v>11624</v>
      </c>
      <c r="G18633">
        <v>0.51110999999999995</v>
      </c>
      <c r="H18633">
        <v>128.08600000000001</v>
      </c>
      <c r="I18633" t="s">
        <v>56141</v>
      </c>
      <c r="L18633">
        <v>0</v>
      </c>
      <c r="M18633">
        <v>0</v>
      </c>
      <c r="N18633">
        <v>5</v>
      </c>
      <c r="O18633" t="s">
        <v>11768</v>
      </c>
    </row>
    <row r="18634" spans="1:15">
      <c r="A18634" t="s">
        <v>56142</v>
      </c>
      <c r="B18634" t="s">
        <v>367</v>
      </c>
      <c r="C18634" t="s">
        <v>16925</v>
      </c>
      <c r="D18634" t="s">
        <v>56143</v>
      </c>
      <c r="E18634" t="b">
        <v>0</v>
      </c>
      <c r="F18634" t="s">
        <v>11610</v>
      </c>
      <c r="L18634">
        <v>0</v>
      </c>
      <c r="M18634">
        <v>0</v>
      </c>
      <c r="N18634">
        <v>0</v>
      </c>
    </row>
    <row r="18635" spans="1:15">
      <c r="A18635" t="s">
        <v>56144</v>
      </c>
      <c r="B18635" t="s">
        <v>367</v>
      </c>
      <c r="C18635" t="s">
        <v>16925</v>
      </c>
      <c r="D18635" t="s">
        <v>56145</v>
      </c>
      <c r="E18635" t="b">
        <v>0</v>
      </c>
      <c r="F18635" t="s">
        <v>11610</v>
      </c>
      <c r="L18635">
        <v>0</v>
      </c>
      <c r="M18635">
        <v>0</v>
      </c>
      <c r="N18635">
        <v>0</v>
      </c>
    </row>
    <row r="18636" spans="1:15">
      <c r="A18636" t="s">
        <v>17979</v>
      </c>
      <c r="B18636" t="s">
        <v>6742</v>
      </c>
      <c r="C18636" t="s">
        <v>15558</v>
      </c>
      <c r="D18636" t="s">
        <v>56146</v>
      </c>
      <c r="E18636" t="b">
        <v>0</v>
      </c>
      <c r="F18636" t="s">
        <v>11622</v>
      </c>
      <c r="L18636">
        <v>6</v>
      </c>
      <c r="M18636">
        <v>12</v>
      </c>
      <c r="N18636">
        <v>27</v>
      </c>
    </row>
    <row r="18637" spans="1:15">
      <c r="A18637" t="s">
        <v>19296</v>
      </c>
      <c r="B18637" t="s">
        <v>6742</v>
      </c>
      <c r="C18637" t="s">
        <v>20022</v>
      </c>
      <c r="D18637" t="s">
        <v>56147</v>
      </c>
      <c r="E18637" t="b">
        <v>0</v>
      </c>
      <c r="F18637" t="s">
        <v>11622</v>
      </c>
      <c r="L18637">
        <v>0</v>
      </c>
      <c r="M18637">
        <v>2</v>
      </c>
      <c r="N18637">
        <v>0</v>
      </c>
    </row>
    <row r="18638" spans="1:15">
      <c r="A18638" t="s">
        <v>56148</v>
      </c>
      <c r="B18638" t="s">
        <v>21528</v>
      </c>
      <c r="C18638" t="s">
        <v>21528</v>
      </c>
      <c r="D18638" t="s">
        <v>56149</v>
      </c>
      <c r="E18638" t="b">
        <v>0</v>
      </c>
      <c r="F18638" t="s">
        <v>11624</v>
      </c>
      <c r="G18638">
        <v>-1.91473</v>
      </c>
      <c r="H18638">
        <v>136.29599999999999</v>
      </c>
      <c r="I18638" t="s">
        <v>56150</v>
      </c>
      <c r="L18638">
        <v>0</v>
      </c>
      <c r="M18638">
        <v>0</v>
      </c>
      <c r="N18638">
        <v>0</v>
      </c>
      <c r="O18638" t="s">
        <v>11768</v>
      </c>
    </row>
    <row r="18639" spans="1:15">
      <c r="A18639" t="s">
        <v>56151</v>
      </c>
      <c r="B18639" t="s">
        <v>27929</v>
      </c>
      <c r="C18639" t="s">
        <v>27930</v>
      </c>
      <c r="D18639" t="s">
        <v>56152</v>
      </c>
      <c r="E18639" t="b">
        <v>0</v>
      </c>
      <c r="F18639" t="s">
        <v>11610</v>
      </c>
      <c r="L18639">
        <v>0</v>
      </c>
      <c r="M18639">
        <v>0</v>
      </c>
      <c r="N18639">
        <v>0</v>
      </c>
    </row>
    <row r="18640" spans="1:15">
      <c r="A18640" t="s">
        <v>56153</v>
      </c>
      <c r="B18640" t="s">
        <v>367</v>
      </c>
      <c r="C18640" t="s">
        <v>17148</v>
      </c>
      <c r="D18640" t="s">
        <v>56154</v>
      </c>
      <c r="E18640" t="b">
        <v>0</v>
      </c>
      <c r="F18640" t="s">
        <v>11610</v>
      </c>
      <c r="L18640">
        <v>0</v>
      </c>
      <c r="M18640">
        <v>0</v>
      </c>
      <c r="N18640">
        <v>0</v>
      </c>
    </row>
    <row r="18641" spans="1:15">
      <c r="A18641" t="s">
        <v>39117</v>
      </c>
      <c r="B18641" t="s">
        <v>11839</v>
      </c>
      <c r="C18641" t="s">
        <v>38072</v>
      </c>
      <c r="D18641" t="s">
        <v>56155</v>
      </c>
      <c r="E18641" t="b">
        <v>0</v>
      </c>
      <c r="F18641" t="s">
        <v>11624</v>
      </c>
      <c r="G18641">
        <v>-8.2910500000000003</v>
      </c>
      <c r="H18641">
        <v>125.078</v>
      </c>
      <c r="I18641" t="s">
        <v>56156</v>
      </c>
      <c r="L18641">
        <v>0</v>
      </c>
      <c r="M18641">
        <v>0</v>
      </c>
      <c r="N18641">
        <v>5</v>
      </c>
      <c r="O18641" t="s">
        <v>11768</v>
      </c>
    </row>
    <row r="18642" spans="1:15">
      <c r="A18642" t="s">
        <v>56157</v>
      </c>
      <c r="B18642" t="s">
        <v>11615</v>
      </c>
      <c r="C18642" t="s">
        <v>56158</v>
      </c>
      <c r="D18642" t="s">
        <v>56159</v>
      </c>
      <c r="E18642" t="b">
        <v>0</v>
      </c>
      <c r="F18642" t="s">
        <v>11624</v>
      </c>
      <c r="G18642">
        <v>-5.9928600000000003</v>
      </c>
      <c r="H18642">
        <v>138.643</v>
      </c>
      <c r="I18642" t="s">
        <v>56160</v>
      </c>
      <c r="L18642">
        <v>0</v>
      </c>
      <c r="M18642">
        <v>0</v>
      </c>
      <c r="N18642">
        <v>0</v>
      </c>
      <c r="O18642" t="s">
        <v>11768</v>
      </c>
    </row>
    <row r="18643" spans="1:15">
      <c r="A18643" t="s">
        <v>56161</v>
      </c>
      <c r="B18643" t="s">
        <v>11607</v>
      </c>
      <c r="C18643" t="s">
        <v>56162</v>
      </c>
      <c r="D18643" t="s">
        <v>56163</v>
      </c>
      <c r="E18643" t="b">
        <v>0</v>
      </c>
      <c r="F18643" t="s">
        <v>11624</v>
      </c>
      <c r="G18643">
        <v>29.16</v>
      </c>
      <c r="H18643">
        <v>15.9742</v>
      </c>
      <c r="I18643" t="s">
        <v>56164</v>
      </c>
      <c r="L18643">
        <v>0</v>
      </c>
      <c r="M18643">
        <v>0</v>
      </c>
      <c r="N18643">
        <v>0</v>
      </c>
      <c r="O18643" t="s">
        <v>15387</v>
      </c>
    </row>
    <row r="18644" spans="1:15">
      <c r="A18644" t="s">
        <v>31851</v>
      </c>
      <c r="B18644" t="s">
        <v>13411</v>
      </c>
      <c r="C18644" t="s">
        <v>20358</v>
      </c>
      <c r="D18644" t="s">
        <v>56165</v>
      </c>
      <c r="E18644" t="b">
        <v>0</v>
      </c>
      <c r="F18644" t="s">
        <v>11622</v>
      </c>
      <c r="L18644">
        <v>0</v>
      </c>
      <c r="M18644">
        <v>3</v>
      </c>
      <c r="N18644">
        <v>2</v>
      </c>
    </row>
    <row r="18645" spans="1:15">
      <c r="A18645" t="s">
        <v>20358</v>
      </c>
      <c r="B18645" t="s">
        <v>13411</v>
      </c>
      <c r="C18645" t="s">
        <v>13412</v>
      </c>
      <c r="D18645" t="s">
        <v>56166</v>
      </c>
      <c r="E18645" t="b">
        <v>0</v>
      </c>
      <c r="F18645" t="s">
        <v>11622</v>
      </c>
      <c r="L18645">
        <v>2</v>
      </c>
      <c r="M18645">
        <v>7</v>
      </c>
      <c r="N18645">
        <v>2</v>
      </c>
    </row>
    <row r="18646" spans="1:15">
      <c r="A18646" t="s">
        <v>56167</v>
      </c>
      <c r="B18646" t="s">
        <v>12487</v>
      </c>
      <c r="C18646" t="s">
        <v>13970</v>
      </c>
      <c r="D18646" t="s">
        <v>56168</v>
      </c>
      <c r="E18646" t="b">
        <v>0</v>
      </c>
      <c r="F18646" t="s">
        <v>11610</v>
      </c>
      <c r="L18646">
        <v>0</v>
      </c>
      <c r="M18646">
        <v>0</v>
      </c>
      <c r="N18646">
        <v>0</v>
      </c>
    </row>
    <row r="18647" spans="1:15">
      <c r="A18647" t="s">
        <v>56169</v>
      </c>
      <c r="B18647" t="s">
        <v>6742</v>
      </c>
      <c r="C18647" t="s">
        <v>32328</v>
      </c>
      <c r="D18647" t="s">
        <v>56170</v>
      </c>
      <c r="E18647" t="b">
        <v>0</v>
      </c>
      <c r="F18647" t="s">
        <v>11610</v>
      </c>
      <c r="L18647">
        <v>0</v>
      </c>
      <c r="M18647">
        <v>0</v>
      </c>
      <c r="N18647">
        <v>0</v>
      </c>
    </row>
    <row r="18648" spans="1:15">
      <c r="A18648" t="s">
        <v>24286</v>
      </c>
      <c r="B18648" t="s">
        <v>6742</v>
      </c>
      <c r="C18648" t="s">
        <v>15474</v>
      </c>
      <c r="D18648" t="s">
        <v>56171</v>
      </c>
      <c r="E18648" t="b">
        <v>0</v>
      </c>
      <c r="F18648" t="s">
        <v>11624</v>
      </c>
      <c r="G18648">
        <v>6.5826900000000004</v>
      </c>
      <c r="H18648">
        <v>1.92015</v>
      </c>
      <c r="I18648" t="s">
        <v>56172</v>
      </c>
      <c r="L18648">
        <v>0</v>
      </c>
      <c r="M18648">
        <v>0</v>
      </c>
      <c r="N18648">
        <v>3</v>
      </c>
      <c r="O18648" t="s">
        <v>15477</v>
      </c>
    </row>
    <row r="18649" spans="1:15">
      <c r="A18649" t="s">
        <v>56173</v>
      </c>
      <c r="B18649" t="s">
        <v>6742</v>
      </c>
      <c r="C18649" t="s">
        <v>24286</v>
      </c>
      <c r="D18649" t="s">
        <v>56174</v>
      </c>
      <c r="E18649" t="b">
        <v>0</v>
      </c>
      <c r="F18649" t="s">
        <v>11610</v>
      </c>
      <c r="L18649">
        <v>0</v>
      </c>
      <c r="M18649">
        <v>0</v>
      </c>
      <c r="N18649">
        <v>0</v>
      </c>
    </row>
    <row r="18650" spans="1:15">
      <c r="A18650" t="s">
        <v>56175</v>
      </c>
      <c r="B18650" t="s">
        <v>12959</v>
      </c>
      <c r="C18650" t="s">
        <v>12960</v>
      </c>
      <c r="D18650" t="s">
        <v>56176</v>
      </c>
      <c r="E18650" t="b">
        <v>0</v>
      </c>
      <c r="F18650" t="s">
        <v>11610</v>
      </c>
      <c r="L18650">
        <v>0</v>
      </c>
      <c r="M18650">
        <v>0</v>
      </c>
      <c r="N18650">
        <v>0</v>
      </c>
    </row>
    <row r="18651" spans="1:15">
      <c r="A18651" t="s">
        <v>56177</v>
      </c>
      <c r="B18651" t="s">
        <v>12438</v>
      </c>
      <c r="C18651" t="s">
        <v>30841</v>
      </c>
      <c r="D18651" t="s">
        <v>56178</v>
      </c>
      <c r="E18651" t="b">
        <v>0</v>
      </c>
      <c r="F18651" t="s">
        <v>11610</v>
      </c>
      <c r="L18651">
        <v>0</v>
      </c>
      <c r="M18651">
        <v>0</v>
      </c>
      <c r="N18651">
        <v>0</v>
      </c>
    </row>
    <row r="18652" spans="1:15">
      <c r="A18652" t="s">
        <v>35023</v>
      </c>
      <c r="B18652" t="s">
        <v>331</v>
      </c>
      <c r="C18652" t="s">
        <v>22941</v>
      </c>
      <c r="D18652" t="s">
        <v>56179</v>
      </c>
      <c r="E18652" t="b">
        <v>0</v>
      </c>
      <c r="F18652" t="s">
        <v>11622</v>
      </c>
      <c r="L18652">
        <v>0</v>
      </c>
      <c r="M18652">
        <v>2</v>
      </c>
      <c r="N18652">
        <v>10</v>
      </c>
    </row>
    <row r="18653" spans="1:15">
      <c r="A18653" t="s">
        <v>56180</v>
      </c>
      <c r="B18653" t="s">
        <v>11607</v>
      </c>
      <c r="C18653" t="s">
        <v>25708</v>
      </c>
      <c r="D18653" t="s">
        <v>56181</v>
      </c>
      <c r="E18653" t="b">
        <v>0</v>
      </c>
      <c r="F18653" t="s">
        <v>11624</v>
      </c>
      <c r="G18653">
        <v>9.6944099999999995</v>
      </c>
      <c r="H18653">
        <v>9.7174800000000001</v>
      </c>
      <c r="I18653" t="s">
        <v>56182</v>
      </c>
      <c r="L18653">
        <v>0</v>
      </c>
      <c r="M18653">
        <v>0</v>
      </c>
      <c r="N18653">
        <v>0</v>
      </c>
      <c r="O18653" t="s">
        <v>11693</v>
      </c>
    </row>
    <row r="18654" spans="1:15">
      <c r="A18654" t="s">
        <v>30502</v>
      </c>
      <c r="B18654" t="s">
        <v>11607</v>
      </c>
      <c r="C18654" t="s">
        <v>14243</v>
      </c>
      <c r="D18654" t="s">
        <v>56183</v>
      </c>
      <c r="E18654" t="b">
        <v>0</v>
      </c>
      <c r="F18654" t="s">
        <v>11622</v>
      </c>
      <c r="L18654">
        <v>0</v>
      </c>
      <c r="M18654">
        <v>5</v>
      </c>
      <c r="N18654">
        <v>0</v>
      </c>
    </row>
    <row r="18655" spans="1:15">
      <c r="A18655" t="s">
        <v>56184</v>
      </c>
      <c r="B18655" t="s">
        <v>15027</v>
      </c>
      <c r="C18655" t="s">
        <v>44765</v>
      </c>
      <c r="D18655" t="s">
        <v>56185</v>
      </c>
      <c r="E18655" t="b">
        <v>0</v>
      </c>
      <c r="F18655" t="s">
        <v>11624</v>
      </c>
      <c r="G18655">
        <v>17.860600000000002</v>
      </c>
      <c r="H18655">
        <v>-94.953100000000006</v>
      </c>
      <c r="I18655" t="s">
        <v>56186</v>
      </c>
      <c r="L18655">
        <v>0</v>
      </c>
      <c r="M18655">
        <v>0</v>
      </c>
      <c r="N18655">
        <v>0</v>
      </c>
      <c r="O18655" t="s">
        <v>11883</v>
      </c>
    </row>
    <row r="18656" spans="1:15">
      <c r="A18656" t="s">
        <v>56187</v>
      </c>
      <c r="B18656" t="s">
        <v>11637</v>
      </c>
      <c r="C18656" t="s">
        <v>22554</v>
      </c>
      <c r="D18656" t="s">
        <v>56188</v>
      </c>
      <c r="E18656" t="b">
        <v>0</v>
      </c>
      <c r="F18656" t="s">
        <v>11610</v>
      </c>
      <c r="L18656">
        <v>0</v>
      </c>
      <c r="M18656">
        <v>0</v>
      </c>
      <c r="N18656">
        <v>0</v>
      </c>
    </row>
    <row r="18657" spans="1:15">
      <c r="A18657" t="s">
        <v>50170</v>
      </c>
      <c r="B18657" t="s">
        <v>11729</v>
      </c>
      <c r="C18657" t="s">
        <v>19465</v>
      </c>
      <c r="D18657" t="s">
        <v>56189</v>
      </c>
      <c r="E18657" t="b">
        <v>0</v>
      </c>
      <c r="F18657" t="s">
        <v>11622</v>
      </c>
      <c r="L18657">
        <v>19</v>
      </c>
      <c r="M18657">
        <v>31</v>
      </c>
      <c r="N18657">
        <v>75</v>
      </c>
    </row>
    <row r="18658" spans="1:15">
      <c r="A18658" t="s">
        <v>18972</v>
      </c>
      <c r="B18658" t="s">
        <v>11637</v>
      </c>
      <c r="C18658" t="s">
        <v>33818</v>
      </c>
      <c r="D18658" t="s">
        <v>56190</v>
      </c>
      <c r="E18658" t="b">
        <v>0</v>
      </c>
      <c r="F18658" t="s">
        <v>11624</v>
      </c>
      <c r="G18658">
        <v>56.5</v>
      </c>
      <c r="H18658">
        <v>14</v>
      </c>
      <c r="L18658">
        <v>0</v>
      </c>
      <c r="M18658">
        <v>0</v>
      </c>
      <c r="N18658">
        <v>4</v>
      </c>
      <c r="O18658" t="s">
        <v>14434</v>
      </c>
    </row>
    <row r="18659" spans="1:15">
      <c r="A18659" t="s">
        <v>56191</v>
      </c>
      <c r="B18659" t="s">
        <v>11637</v>
      </c>
      <c r="C18659" t="s">
        <v>34461</v>
      </c>
      <c r="D18659" t="s">
        <v>56192</v>
      </c>
      <c r="E18659" t="b">
        <v>0</v>
      </c>
      <c r="F18659" t="s">
        <v>11622</v>
      </c>
      <c r="L18659">
        <v>0</v>
      </c>
      <c r="M18659">
        <v>2</v>
      </c>
      <c r="N18659">
        <v>0</v>
      </c>
    </row>
    <row r="18660" spans="1:15">
      <c r="A18660" t="s">
        <v>56193</v>
      </c>
      <c r="B18660" t="s">
        <v>11637</v>
      </c>
      <c r="C18660" t="s">
        <v>56194</v>
      </c>
      <c r="D18660" t="s">
        <v>56195</v>
      </c>
      <c r="E18660" t="b">
        <v>0</v>
      </c>
      <c r="F18660" t="s">
        <v>11610</v>
      </c>
      <c r="L18660">
        <v>0</v>
      </c>
      <c r="M18660">
        <v>0</v>
      </c>
      <c r="N18660">
        <v>0</v>
      </c>
    </row>
    <row r="18661" spans="1:15">
      <c r="A18661" t="s">
        <v>56196</v>
      </c>
      <c r="B18661" t="s">
        <v>11637</v>
      </c>
      <c r="C18661" t="s">
        <v>31175</v>
      </c>
      <c r="D18661" t="s">
        <v>56197</v>
      </c>
      <c r="E18661" t="b">
        <v>0</v>
      </c>
      <c r="F18661" t="s">
        <v>11624</v>
      </c>
      <c r="G18661">
        <v>53.483333000000002</v>
      </c>
      <c r="H18661">
        <v>6.1666670000000003</v>
      </c>
      <c r="L18661">
        <v>0</v>
      </c>
      <c r="M18661">
        <v>0</v>
      </c>
      <c r="N18661">
        <v>0</v>
      </c>
      <c r="O18661" t="s">
        <v>25638</v>
      </c>
    </row>
    <row r="18662" spans="1:15">
      <c r="A18662" t="s">
        <v>56198</v>
      </c>
      <c r="B18662" t="s">
        <v>11637</v>
      </c>
      <c r="C18662" t="s">
        <v>24930</v>
      </c>
      <c r="D18662" t="s">
        <v>56199</v>
      </c>
      <c r="E18662" t="b">
        <v>0</v>
      </c>
      <c r="F18662" t="s">
        <v>11610</v>
      </c>
      <c r="L18662">
        <v>0</v>
      </c>
      <c r="M18662">
        <v>0</v>
      </c>
      <c r="N18662">
        <v>0</v>
      </c>
    </row>
    <row r="18663" spans="1:15">
      <c r="A18663" t="s">
        <v>40862</v>
      </c>
      <c r="B18663" t="s">
        <v>11637</v>
      </c>
      <c r="C18663" t="s">
        <v>26714</v>
      </c>
      <c r="D18663" t="s">
        <v>56200</v>
      </c>
      <c r="E18663" t="b">
        <v>0</v>
      </c>
      <c r="F18663" t="s">
        <v>11622</v>
      </c>
      <c r="L18663">
        <v>0</v>
      </c>
      <c r="M18663">
        <v>2</v>
      </c>
      <c r="N18663">
        <v>7</v>
      </c>
    </row>
    <row r="18664" spans="1:15">
      <c r="A18664" t="s">
        <v>56201</v>
      </c>
      <c r="B18664" t="s">
        <v>11637</v>
      </c>
      <c r="C18664" t="s">
        <v>15431</v>
      </c>
      <c r="D18664" t="s">
        <v>56202</v>
      </c>
      <c r="E18664" t="b">
        <v>0</v>
      </c>
      <c r="F18664" t="s">
        <v>11610</v>
      </c>
      <c r="L18664">
        <v>0</v>
      </c>
      <c r="M18664">
        <v>0</v>
      </c>
      <c r="N18664">
        <v>0</v>
      </c>
    </row>
    <row r="18665" spans="1:15">
      <c r="A18665" t="s">
        <v>34199</v>
      </c>
      <c r="B18665" t="s">
        <v>367</v>
      </c>
      <c r="C18665" t="s">
        <v>31743</v>
      </c>
      <c r="D18665" t="s">
        <v>56203</v>
      </c>
      <c r="E18665" t="b">
        <v>0</v>
      </c>
      <c r="F18665" t="s">
        <v>11622</v>
      </c>
      <c r="L18665">
        <v>12</v>
      </c>
      <c r="M18665">
        <v>16</v>
      </c>
      <c r="N18665">
        <v>3</v>
      </c>
    </row>
    <row r="18666" spans="1:15">
      <c r="A18666" t="s">
        <v>56204</v>
      </c>
      <c r="B18666" t="s">
        <v>11637</v>
      </c>
      <c r="C18666" t="s">
        <v>13142</v>
      </c>
      <c r="D18666" t="s">
        <v>56205</v>
      </c>
      <c r="E18666" t="b">
        <v>0</v>
      </c>
      <c r="F18666" t="s">
        <v>11610</v>
      </c>
      <c r="L18666">
        <v>0</v>
      </c>
      <c r="M18666">
        <v>0</v>
      </c>
      <c r="N18666">
        <v>0</v>
      </c>
    </row>
    <row r="18667" spans="1:15">
      <c r="A18667" t="s">
        <v>32505</v>
      </c>
      <c r="B18667" t="s">
        <v>11637</v>
      </c>
      <c r="C18667" t="s">
        <v>39507</v>
      </c>
      <c r="D18667" t="s">
        <v>56206</v>
      </c>
      <c r="E18667" t="b">
        <v>0</v>
      </c>
      <c r="F18667" t="s">
        <v>11624</v>
      </c>
      <c r="G18667">
        <v>55.886944999999997</v>
      </c>
      <c r="H18667">
        <v>-3.7101329999999999</v>
      </c>
      <c r="I18667" t="s">
        <v>56207</v>
      </c>
      <c r="L18667">
        <v>0</v>
      </c>
      <c r="M18667">
        <v>0</v>
      </c>
      <c r="N18667">
        <v>17</v>
      </c>
      <c r="O18667" t="s">
        <v>19884</v>
      </c>
    </row>
    <row r="18668" spans="1:15">
      <c r="A18668" t="s">
        <v>96</v>
      </c>
      <c r="B18668" t="s">
        <v>11637</v>
      </c>
      <c r="C18668" t="s">
        <v>26528</v>
      </c>
      <c r="D18668" t="s">
        <v>56208</v>
      </c>
      <c r="E18668" t="b">
        <v>0</v>
      </c>
      <c r="F18668" t="s">
        <v>11624</v>
      </c>
      <c r="G18668">
        <v>56.757399999999997</v>
      </c>
      <c r="H18668">
        <v>-5.2436600000000002</v>
      </c>
      <c r="I18668" t="s">
        <v>97</v>
      </c>
      <c r="L18668">
        <v>0</v>
      </c>
      <c r="M18668">
        <v>0</v>
      </c>
      <c r="N18668">
        <v>2</v>
      </c>
      <c r="O18668" t="s">
        <v>19884</v>
      </c>
    </row>
    <row r="18669" spans="1:15">
      <c r="A18669" t="s">
        <v>56209</v>
      </c>
      <c r="B18669" t="s">
        <v>12260</v>
      </c>
      <c r="C18669" t="s">
        <v>48369</v>
      </c>
      <c r="D18669" t="s">
        <v>56210</v>
      </c>
      <c r="E18669" t="b">
        <v>0</v>
      </c>
      <c r="F18669" t="s">
        <v>11610</v>
      </c>
      <c r="L18669">
        <v>0</v>
      </c>
      <c r="M18669">
        <v>0</v>
      </c>
      <c r="N18669">
        <v>0</v>
      </c>
    </row>
    <row r="18670" spans="1:15">
      <c r="A18670" t="s">
        <v>56211</v>
      </c>
      <c r="B18670" t="s">
        <v>11637</v>
      </c>
      <c r="C18670" t="s">
        <v>12777</v>
      </c>
      <c r="D18670" t="s">
        <v>56212</v>
      </c>
      <c r="E18670" t="b">
        <v>0</v>
      </c>
      <c r="F18670" t="s">
        <v>11610</v>
      </c>
      <c r="L18670">
        <v>0</v>
      </c>
      <c r="M18670">
        <v>0</v>
      </c>
      <c r="N18670">
        <v>0</v>
      </c>
    </row>
    <row r="18671" spans="1:15">
      <c r="A18671" t="s">
        <v>56213</v>
      </c>
      <c r="B18671" t="s">
        <v>6742</v>
      </c>
      <c r="C18671" t="s">
        <v>18807</v>
      </c>
      <c r="D18671" t="s">
        <v>56214</v>
      </c>
      <c r="E18671" t="b">
        <v>0</v>
      </c>
      <c r="F18671" t="s">
        <v>11624</v>
      </c>
      <c r="G18671">
        <v>-11.9396</v>
      </c>
      <c r="H18671">
        <v>27.514399999999998</v>
      </c>
      <c r="I18671" t="s">
        <v>56215</v>
      </c>
      <c r="L18671">
        <v>0</v>
      </c>
      <c r="M18671">
        <v>0</v>
      </c>
      <c r="N18671">
        <v>0</v>
      </c>
      <c r="O18671" t="s">
        <v>15167</v>
      </c>
    </row>
    <row r="18672" spans="1:15">
      <c r="A18672" t="s">
        <v>56216</v>
      </c>
      <c r="B18672" t="s">
        <v>367</v>
      </c>
      <c r="C18672" t="s">
        <v>40025</v>
      </c>
      <c r="D18672" t="s">
        <v>56217</v>
      </c>
      <c r="E18672" t="b">
        <v>0</v>
      </c>
      <c r="F18672" t="s">
        <v>11610</v>
      </c>
      <c r="L18672">
        <v>0</v>
      </c>
      <c r="M18672">
        <v>0</v>
      </c>
      <c r="N18672">
        <v>0</v>
      </c>
    </row>
    <row r="18673" spans="1:15">
      <c r="A18673" t="s">
        <v>56218</v>
      </c>
      <c r="B18673" t="s">
        <v>367</v>
      </c>
      <c r="C18673" t="s">
        <v>25127</v>
      </c>
      <c r="D18673" t="s">
        <v>56219</v>
      </c>
      <c r="E18673" t="b">
        <v>0</v>
      </c>
      <c r="F18673" t="s">
        <v>11610</v>
      </c>
      <c r="L18673">
        <v>0</v>
      </c>
      <c r="M18673">
        <v>0</v>
      </c>
      <c r="N18673">
        <v>0</v>
      </c>
    </row>
    <row r="18674" spans="1:15">
      <c r="A18674" t="s">
        <v>22119</v>
      </c>
      <c r="B18674" t="s">
        <v>11607</v>
      </c>
      <c r="C18674" t="s">
        <v>32497</v>
      </c>
      <c r="D18674" t="s">
        <v>56220</v>
      </c>
      <c r="E18674" t="b">
        <v>0</v>
      </c>
      <c r="F18674" t="s">
        <v>11624</v>
      </c>
      <c r="G18674">
        <v>8.1187900000000006</v>
      </c>
      <c r="H18674">
        <v>37.989100000000001</v>
      </c>
      <c r="I18674" t="s">
        <v>56221</v>
      </c>
      <c r="L18674">
        <v>0</v>
      </c>
      <c r="M18674">
        <v>0</v>
      </c>
      <c r="N18674">
        <v>5</v>
      </c>
      <c r="O18674" t="s">
        <v>11625</v>
      </c>
    </row>
    <row r="18675" spans="1:15">
      <c r="A18675" t="s">
        <v>56222</v>
      </c>
      <c r="B18675" t="s">
        <v>367</v>
      </c>
      <c r="C18675" t="s">
        <v>31878</v>
      </c>
      <c r="D18675" t="s">
        <v>56223</v>
      </c>
      <c r="E18675" t="b">
        <v>0</v>
      </c>
      <c r="F18675" t="s">
        <v>11624</v>
      </c>
      <c r="G18675">
        <v>-2.4629999999999999E-2</v>
      </c>
      <c r="H18675">
        <v>111.212</v>
      </c>
      <c r="I18675" t="s">
        <v>56224</v>
      </c>
      <c r="L18675">
        <v>0</v>
      </c>
      <c r="M18675">
        <v>0</v>
      </c>
      <c r="N18675">
        <v>0</v>
      </c>
      <c r="O18675" t="s">
        <v>11768</v>
      </c>
    </row>
    <row r="18676" spans="1:15">
      <c r="A18676" t="s">
        <v>56225</v>
      </c>
      <c r="B18676" t="s">
        <v>11686</v>
      </c>
      <c r="C18676" t="s">
        <v>8688</v>
      </c>
      <c r="D18676" t="s">
        <v>56226</v>
      </c>
      <c r="E18676" t="b">
        <v>0</v>
      </c>
      <c r="F18676" t="s">
        <v>11610</v>
      </c>
      <c r="L18676">
        <v>0</v>
      </c>
      <c r="M18676">
        <v>0</v>
      </c>
      <c r="N18676">
        <v>0</v>
      </c>
    </row>
    <row r="18677" spans="1:15">
      <c r="A18677" t="s">
        <v>56227</v>
      </c>
      <c r="B18677" t="s">
        <v>6742</v>
      </c>
      <c r="C18677" t="s">
        <v>19747</v>
      </c>
      <c r="D18677" t="s">
        <v>56228</v>
      </c>
      <c r="E18677" t="b">
        <v>0</v>
      </c>
      <c r="F18677" t="s">
        <v>11610</v>
      </c>
      <c r="L18677">
        <v>0</v>
      </c>
      <c r="M18677">
        <v>0</v>
      </c>
      <c r="N18677">
        <v>0</v>
      </c>
    </row>
    <row r="18678" spans="1:15">
      <c r="A18678" t="s">
        <v>15941</v>
      </c>
      <c r="B18678" t="s">
        <v>367</v>
      </c>
      <c r="C18678" t="s">
        <v>56229</v>
      </c>
      <c r="D18678" t="s">
        <v>56230</v>
      </c>
      <c r="E18678" t="b">
        <v>0</v>
      </c>
      <c r="F18678" t="s">
        <v>11624</v>
      </c>
      <c r="G18678">
        <v>3.4270100000000001</v>
      </c>
      <c r="H18678">
        <v>114.178</v>
      </c>
      <c r="I18678" t="s">
        <v>56231</v>
      </c>
      <c r="L18678">
        <v>0</v>
      </c>
      <c r="M18678">
        <v>0</v>
      </c>
      <c r="N18678">
        <v>7</v>
      </c>
      <c r="O18678" t="s">
        <v>11672</v>
      </c>
    </row>
    <row r="18679" spans="1:15">
      <c r="A18679" t="s">
        <v>56232</v>
      </c>
      <c r="B18679" t="s">
        <v>12128</v>
      </c>
      <c r="C18679" t="s">
        <v>12129</v>
      </c>
      <c r="D18679" t="s">
        <v>56233</v>
      </c>
      <c r="E18679" t="b">
        <v>0</v>
      </c>
      <c r="F18679" t="s">
        <v>11624</v>
      </c>
      <c r="L18679">
        <v>0</v>
      </c>
      <c r="M18679">
        <v>0</v>
      </c>
      <c r="N18679">
        <v>0</v>
      </c>
      <c r="O18679" t="s">
        <v>13225</v>
      </c>
    </row>
    <row r="18680" spans="1:15">
      <c r="A18680" t="s">
        <v>56234</v>
      </c>
      <c r="B18680" t="s">
        <v>11810</v>
      </c>
      <c r="C18680" t="s">
        <v>14856</v>
      </c>
      <c r="D18680" t="s">
        <v>56235</v>
      </c>
      <c r="E18680" t="b">
        <v>0</v>
      </c>
      <c r="F18680" t="s">
        <v>11610</v>
      </c>
      <c r="L18680">
        <v>0</v>
      </c>
      <c r="M18680">
        <v>0</v>
      </c>
      <c r="N18680">
        <v>0</v>
      </c>
    </row>
    <row r="18681" spans="1:15">
      <c r="A18681" t="s">
        <v>56236</v>
      </c>
      <c r="B18681" t="s">
        <v>367</v>
      </c>
      <c r="C18681" t="s">
        <v>31878</v>
      </c>
      <c r="D18681" t="s">
        <v>56237</v>
      </c>
      <c r="E18681" t="b">
        <v>0</v>
      </c>
      <c r="F18681" t="s">
        <v>11624</v>
      </c>
      <c r="G18681">
        <v>1.4210400000000001</v>
      </c>
      <c r="H18681">
        <v>110.48</v>
      </c>
      <c r="I18681" t="s">
        <v>56238</v>
      </c>
      <c r="L18681">
        <v>0</v>
      </c>
      <c r="M18681">
        <v>0</v>
      </c>
      <c r="N18681">
        <v>0</v>
      </c>
      <c r="O18681" t="s">
        <v>11672</v>
      </c>
    </row>
    <row r="18682" spans="1:15">
      <c r="A18682" t="s">
        <v>56239</v>
      </c>
      <c r="B18682" t="s">
        <v>367</v>
      </c>
      <c r="C18682" t="s">
        <v>17265</v>
      </c>
      <c r="D18682" t="s">
        <v>56240</v>
      </c>
      <c r="E18682" t="b">
        <v>0</v>
      </c>
      <c r="F18682" t="s">
        <v>11610</v>
      </c>
      <c r="L18682">
        <v>0</v>
      </c>
      <c r="M18682">
        <v>0</v>
      </c>
      <c r="N18682">
        <v>0</v>
      </c>
    </row>
    <row r="18683" spans="1:15">
      <c r="A18683" t="s">
        <v>56241</v>
      </c>
      <c r="B18683" t="s">
        <v>51210</v>
      </c>
      <c r="C18683" t="s">
        <v>51210</v>
      </c>
      <c r="D18683" t="s">
        <v>56242</v>
      </c>
      <c r="E18683" t="b">
        <v>0</v>
      </c>
      <c r="F18683" t="s">
        <v>11610</v>
      </c>
      <c r="L18683">
        <v>0</v>
      </c>
      <c r="M18683">
        <v>0</v>
      </c>
      <c r="N18683">
        <v>0</v>
      </c>
    </row>
    <row r="18684" spans="1:15">
      <c r="A18684" t="s">
        <v>51210</v>
      </c>
      <c r="D18684" t="s">
        <v>56243</v>
      </c>
      <c r="E18684" t="b">
        <v>0</v>
      </c>
      <c r="F18684" t="s">
        <v>11624</v>
      </c>
      <c r="G18684">
        <v>-5.5689690000000001</v>
      </c>
      <c r="H18684">
        <v>-80.828247000000005</v>
      </c>
      <c r="L18684">
        <v>0</v>
      </c>
      <c r="M18684">
        <v>0</v>
      </c>
      <c r="N18684">
        <v>2</v>
      </c>
      <c r="O18684" t="s">
        <v>11778</v>
      </c>
    </row>
    <row r="18685" spans="1:15">
      <c r="A18685" t="s">
        <v>56244</v>
      </c>
      <c r="B18685" t="s">
        <v>9071</v>
      </c>
      <c r="C18685" t="s">
        <v>21688</v>
      </c>
      <c r="D18685" t="s">
        <v>56245</v>
      </c>
      <c r="E18685" t="b">
        <v>0</v>
      </c>
      <c r="F18685" t="s">
        <v>11624</v>
      </c>
      <c r="G18685">
        <v>49.475700000000003</v>
      </c>
      <c r="H18685">
        <v>-123.765</v>
      </c>
      <c r="I18685" t="s">
        <v>56246</v>
      </c>
      <c r="L18685">
        <v>0</v>
      </c>
      <c r="M18685">
        <v>0</v>
      </c>
      <c r="N18685">
        <v>0</v>
      </c>
      <c r="O18685" t="s">
        <v>13049</v>
      </c>
    </row>
    <row r="18686" spans="1:15">
      <c r="A18686" t="s">
        <v>13884</v>
      </c>
      <c r="B18686" t="s">
        <v>2975</v>
      </c>
      <c r="C18686" t="s">
        <v>41431</v>
      </c>
      <c r="D18686" t="s">
        <v>56247</v>
      </c>
      <c r="E18686" t="b">
        <v>0</v>
      </c>
      <c r="F18686" t="s">
        <v>11624</v>
      </c>
      <c r="G18686">
        <v>-0.459785</v>
      </c>
      <c r="H18686">
        <v>-75.554699999999997</v>
      </c>
      <c r="I18686" t="s">
        <v>56248</v>
      </c>
      <c r="L18686">
        <v>0</v>
      </c>
      <c r="M18686">
        <v>0</v>
      </c>
      <c r="N18686">
        <v>2</v>
      </c>
      <c r="O18686" t="s">
        <v>46532</v>
      </c>
    </row>
    <row r="18687" spans="1:15">
      <c r="A18687" t="s">
        <v>56249</v>
      </c>
      <c r="B18687" t="s">
        <v>11844</v>
      </c>
      <c r="C18687" t="s">
        <v>9047</v>
      </c>
      <c r="D18687" t="s">
        <v>56250</v>
      </c>
      <c r="E18687" t="b">
        <v>0</v>
      </c>
      <c r="F18687" t="s">
        <v>11610</v>
      </c>
      <c r="L18687">
        <v>0</v>
      </c>
      <c r="M18687">
        <v>0</v>
      </c>
      <c r="N18687">
        <v>0</v>
      </c>
    </row>
    <row r="18688" spans="1:15">
      <c r="A18688" t="s">
        <v>56251</v>
      </c>
      <c r="B18688" t="s">
        <v>12438</v>
      </c>
      <c r="C18688" t="s">
        <v>15944</v>
      </c>
      <c r="D18688" t="s">
        <v>56252</v>
      </c>
      <c r="E18688" t="b">
        <v>0</v>
      </c>
      <c r="F18688" t="s">
        <v>11610</v>
      </c>
      <c r="L18688">
        <v>0</v>
      </c>
      <c r="M18688">
        <v>0</v>
      </c>
      <c r="N18688">
        <v>0</v>
      </c>
    </row>
    <row r="18689" spans="1:15">
      <c r="A18689" t="s">
        <v>21393</v>
      </c>
      <c r="B18689" t="s">
        <v>12438</v>
      </c>
      <c r="C18689" t="s">
        <v>31517</v>
      </c>
      <c r="D18689" t="s">
        <v>56253</v>
      </c>
      <c r="E18689" t="b">
        <v>0</v>
      </c>
      <c r="F18689" t="s">
        <v>11624</v>
      </c>
      <c r="G18689">
        <v>14.779299999999999</v>
      </c>
      <c r="H18689">
        <v>108.027</v>
      </c>
      <c r="I18689" t="s">
        <v>56254</v>
      </c>
      <c r="L18689">
        <v>0</v>
      </c>
      <c r="M18689">
        <v>0</v>
      </c>
      <c r="N18689">
        <v>5</v>
      </c>
      <c r="O18689" t="s">
        <v>14464</v>
      </c>
    </row>
    <row r="18690" spans="1:15">
      <c r="A18690" t="s">
        <v>56255</v>
      </c>
      <c r="B18690" t="s">
        <v>13210</v>
      </c>
      <c r="C18690" t="s">
        <v>32846</v>
      </c>
      <c r="D18690" t="s">
        <v>56256</v>
      </c>
      <c r="E18690" t="b">
        <v>0</v>
      </c>
      <c r="F18690" t="s">
        <v>11610</v>
      </c>
      <c r="L18690">
        <v>0</v>
      </c>
      <c r="M18690">
        <v>0</v>
      </c>
      <c r="N18690">
        <v>0</v>
      </c>
    </row>
    <row r="18691" spans="1:15">
      <c r="A18691" t="s">
        <v>56257</v>
      </c>
      <c r="B18691" t="s">
        <v>367</v>
      </c>
      <c r="C18691" t="s">
        <v>48150</v>
      </c>
      <c r="D18691" t="s">
        <v>56258</v>
      </c>
      <c r="E18691" t="b">
        <v>0</v>
      </c>
      <c r="F18691" t="s">
        <v>11610</v>
      </c>
      <c r="L18691">
        <v>0</v>
      </c>
      <c r="M18691">
        <v>0</v>
      </c>
      <c r="N18691">
        <v>0</v>
      </c>
    </row>
    <row r="18692" spans="1:15">
      <c r="A18692" t="s">
        <v>56259</v>
      </c>
      <c r="B18692" t="s">
        <v>11637</v>
      </c>
      <c r="C18692" t="s">
        <v>14273</v>
      </c>
      <c r="D18692" t="s">
        <v>56260</v>
      </c>
      <c r="E18692" t="b">
        <v>0</v>
      </c>
      <c r="F18692" t="s">
        <v>11610</v>
      </c>
      <c r="L18692">
        <v>0</v>
      </c>
      <c r="M18692">
        <v>0</v>
      </c>
      <c r="N18692">
        <v>0</v>
      </c>
    </row>
    <row r="18693" spans="1:15">
      <c r="A18693" t="s">
        <v>56261</v>
      </c>
      <c r="B18693" t="s">
        <v>11637</v>
      </c>
      <c r="C18693" t="s">
        <v>32653</v>
      </c>
      <c r="D18693" t="s">
        <v>56262</v>
      </c>
      <c r="E18693" t="b">
        <v>0</v>
      </c>
      <c r="F18693" t="s">
        <v>11610</v>
      </c>
      <c r="L18693">
        <v>0</v>
      </c>
      <c r="M18693">
        <v>0</v>
      </c>
      <c r="N18693">
        <v>0</v>
      </c>
    </row>
    <row r="18694" spans="1:15">
      <c r="A18694" t="s">
        <v>56263</v>
      </c>
      <c r="B18694" t="s">
        <v>11637</v>
      </c>
      <c r="C18694" t="s">
        <v>32653</v>
      </c>
      <c r="D18694" t="s">
        <v>56264</v>
      </c>
      <c r="E18694" t="b">
        <v>0</v>
      </c>
      <c r="F18694" t="s">
        <v>11610</v>
      </c>
      <c r="L18694">
        <v>0</v>
      </c>
      <c r="M18694">
        <v>0</v>
      </c>
      <c r="N18694">
        <v>0</v>
      </c>
    </row>
    <row r="18695" spans="1:15">
      <c r="A18695" t="s">
        <v>56265</v>
      </c>
      <c r="B18695" t="s">
        <v>367</v>
      </c>
      <c r="C18695" t="s">
        <v>16940</v>
      </c>
      <c r="D18695" t="s">
        <v>56266</v>
      </c>
      <c r="E18695" t="b">
        <v>0</v>
      </c>
      <c r="F18695" t="s">
        <v>11624</v>
      </c>
      <c r="G18695">
        <v>-1.3729499999999999</v>
      </c>
      <c r="H18695">
        <v>120.378</v>
      </c>
      <c r="I18695" t="s">
        <v>56267</v>
      </c>
      <c r="L18695">
        <v>0</v>
      </c>
      <c r="M18695">
        <v>0</v>
      </c>
      <c r="N18695">
        <v>0</v>
      </c>
      <c r="O18695" t="s">
        <v>11768</v>
      </c>
    </row>
    <row r="18696" spans="1:15">
      <c r="A18696" t="s">
        <v>56268</v>
      </c>
      <c r="B18696" t="s">
        <v>367</v>
      </c>
      <c r="C18696" t="s">
        <v>16837</v>
      </c>
      <c r="D18696" t="s">
        <v>56269</v>
      </c>
      <c r="E18696" t="b">
        <v>0</v>
      </c>
      <c r="F18696" t="s">
        <v>11610</v>
      </c>
      <c r="L18696">
        <v>0</v>
      </c>
      <c r="M18696">
        <v>0</v>
      </c>
      <c r="N18696">
        <v>0</v>
      </c>
    </row>
    <row r="18697" spans="1:15">
      <c r="A18697" t="s">
        <v>56270</v>
      </c>
      <c r="B18697" t="s">
        <v>6742</v>
      </c>
      <c r="C18697" t="s">
        <v>16901</v>
      </c>
      <c r="D18697" t="s">
        <v>56271</v>
      </c>
      <c r="E18697" t="b">
        <v>0</v>
      </c>
      <c r="F18697" t="s">
        <v>11610</v>
      </c>
      <c r="L18697">
        <v>0</v>
      </c>
      <c r="M18697">
        <v>0</v>
      </c>
      <c r="N18697">
        <v>0</v>
      </c>
    </row>
    <row r="18698" spans="1:15">
      <c r="A18698" t="s">
        <v>56272</v>
      </c>
      <c r="B18698" t="s">
        <v>6742</v>
      </c>
      <c r="C18698" t="s">
        <v>24286</v>
      </c>
      <c r="D18698" t="s">
        <v>56273</v>
      </c>
      <c r="E18698" t="b">
        <v>0</v>
      </c>
      <c r="F18698" t="s">
        <v>11610</v>
      </c>
      <c r="L18698">
        <v>0</v>
      </c>
      <c r="M18698">
        <v>0</v>
      </c>
      <c r="N18698">
        <v>0</v>
      </c>
    </row>
    <row r="18699" spans="1:15">
      <c r="A18699" t="s">
        <v>48619</v>
      </c>
      <c r="B18699" t="s">
        <v>13276</v>
      </c>
      <c r="C18699" t="s">
        <v>25655</v>
      </c>
      <c r="D18699" t="s">
        <v>56274</v>
      </c>
      <c r="E18699" t="b">
        <v>0</v>
      </c>
      <c r="F18699" t="s">
        <v>11624</v>
      </c>
      <c r="G18699">
        <v>11.128500000000001</v>
      </c>
      <c r="H18699">
        <v>-4.5820299999999996</v>
      </c>
      <c r="I18699" t="s">
        <v>56275</v>
      </c>
      <c r="L18699">
        <v>0</v>
      </c>
      <c r="M18699">
        <v>0</v>
      </c>
      <c r="N18699">
        <v>2</v>
      </c>
      <c r="O18699" t="s">
        <v>19305</v>
      </c>
    </row>
    <row r="18700" spans="1:15">
      <c r="A18700" t="s">
        <v>35747</v>
      </c>
      <c r="B18700" t="s">
        <v>367</v>
      </c>
      <c r="C18700" t="s">
        <v>44894</v>
      </c>
      <c r="D18700" t="s">
        <v>56276</v>
      </c>
      <c r="E18700" t="b">
        <v>0</v>
      </c>
      <c r="F18700" t="s">
        <v>11624</v>
      </c>
      <c r="G18700">
        <v>1.97695</v>
      </c>
      <c r="H18700">
        <v>116.95399999999999</v>
      </c>
      <c r="I18700" t="s">
        <v>56277</v>
      </c>
      <c r="L18700">
        <v>0</v>
      </c>
      <c r="M18700">
        <v>0</v>
      </c>
      <c r="N18700">
        <v>2</v>
      </c>
      <c r="O18700" t="s">
        <v>11768</v>
      </c>
    </row>
    <row r="18701" spans="1:15">
      <c r="A18701" t="s">
        <v>56278</v>
      </c>
      <c r="B18701" t="s">
        <v>367</v>
      </c>
      <c r="C18701" t="s">
        <v>35747</v>
      </c>
      <c r="D18701" t="s">
        <v>56279</v>
      </c>
      <c r="E18701" t="b">
        <v>0</v>
      </c>
      <c r="F18701" t="s">
        <v>11610</v>
      </c>
      <c r="L18701">
        <v>0</v>
      </c>
      <c r="M18701">
        <v>0</v>
      </c>
      <c r="N18701">
        <v>0</v>
      </c>
    </row>
    <row r="18702" spans="1:15">
      <c r="A18702" t="s">
        <v>56280</v>
      </c>
      <c r="B18702" t="s">
        <v>367</v>
      </c>
      <c r="C18702" t="s">
        <v>16303</v>
      </c>
      <c r="D18702" t="s">
        <v>56281</v>
      </c>
      <c r="E18702" t="b">
        <v>0</v>
      </c>
      <c r="F18702" t="s">
        <v>11610</v>
      </c>
      <c r="L18702">
        <v>0</v>
      </c>
      <c r="M18702">
        <v>0</v>
      </c>
      <c r="N18702">
        <v>0</v>
      </c>
    </row>
    <row r="18703" spans="1:15">
      <c r="A18703" t="s">
        <v>56282</v>
      </c>
      <c r="B18703" t="s">
        <v>367</v>
      </c>
      <c r="C18703" t="s">
        <v>16303</v>
      </c>
      <c r="D18703" t="s">
        <v>56283</v>
      </c>
      <c r="E18703" t="b">
        <v>0</v>
      </c>
      <c r="F18703" t="s">
        <v>11610</v>
      </c>
      <c r="L18703">
        <v>0</v>
      </c>
      <c r="M18703">
        <v>0</v>
      </c>
      <c r="N18703">
        <v>0</v>
      </c>
    </row>
    <row r="18704" spans="1:15">
      <c r="A18704" t="s">
        <v>56284</v>
      </c>
      <c r="B18704" t="s">
        <v>27929</v>
      </c>
      <c r="C18704" t="s">
        <v>44982</v>
      </c>
      <c r="D18704" t="s">
        <v>56285</v>
      </c>
      <c r="E18704" t="b">
        <v>0</v>
      </c>
      <c r="F18704" t="s">
        <v>11624</v>
      </c>
      <c r="G18704">
        <v>-1.36931</v>
      </c>
      <c r="H18704">
        <v>131.21799999999999</v>
      </c>
      <c r="I18704" t="s">
        <v>56286</v>
      </c>
      <c r="L18704">
        <v>0</v>
      </c>
      <c r="M18704">
        <v>0</v>
      </c>
      <c r="N18704">
        <v>0</v>
      </c>
      <c r="O18704" t="s">
        <v>11768</v>
      </c>
    </row>
    <row r="18705" spans="1:15">
      <c r="A18705" t="s">
        <v>44982</v>
      </c>
      <c r="B18705" t="s">
        <v>27929</v>
      </c>
      <c r="C18705" t="s">
        <v>27929</v>
      </c>
      <c r="D18705" t="s">
        <v>56287</v>
      </c>
      <c r="E18705" t="b">
        <v>0</v>
      </c>
      <c r="F18705" t="s">
        <v>11622</v>
      </c>
      <c r="L18705">
        <v>0</v>
      </c>
      <c r="M18705">
        <v>2</v>
      </c>
      <c r="N18705">
        <v>2</v>
      </c>
    </row>
    <row r="18706" spans="1:15">
      <c r="A18706" t="s">
        <v>56288</v>
      </c>
      <c r="B18706" t="s">
        <v>6742</v>
      </c>
      <c r="C18706" t="s">
        <v>24780</v>
      </c>
      <c r="D18706" t="s">
        <v>56289</v>
      </c>
      <c r="E18706" t="b">
        <v>0</v>
      </c>
      <c r="F18706" t="s">
        <v>11624</v>
      </c>
      <c r="G18706">
        <v>-5.0065900000000001</v>
      </c>
      <c r="H18706">
        <v>39.122489999999999</v>
      </c>
      <c r="I18706" t="s">
        <v>56290</v>
      </c>
      <c r="L18706">
        <v>0</v>
      </c>
      <c r="M18706">
        <v>0</v>
      </c>
      <c r="N18706">
        <v>0</v>
      </c>
      <c r="O18706" t="s">
        <v>11635</v>
      </c>
    </row>
    <row r="18707" spans="1:15">
      <c r="A18707" t="s">
        <v>56291</v>
      </c>
      <c r="B18707" t="s">
        <v>11834</v>
      </c>
      <c r="C18707" t="s">
        <v>29166</v>
      </c>
      <c r="D18707" t="s">
        <v>56292</v>
      </c>
      <c r="E18707" t="b">
        <v>0</v>
      </c>
      <c r="F18707" t="s">
        <v>11610</v>
      </c>
      <c r="L18707">
        <v>0</v>
      </c>
      <c r="M18707">
        <v>0</v>
      </c>
      <c r="N18707">
        <v>0</v>
      </c>
    </row>
    <row r="18708" spans="1:15">
      <c r="A18708" t="s">
        <v>56293</v>
      </c>
      <c r="B18708" t="s">
        <v>11607</v>
      </c>
      <c r="C18708" t="s">
        <v>25157</v>
      </c>
      <c r="D18708" t="s">
        <v>56294</v>
      </c>
      <c r="E18708" t="b">
        <v>0</v>
      </c>
      <c r="F18708" t="s">
        <v>11610</v>
      </c>
      <c r="L18708">
        <v>0</v>
      </c>
      <c r="M18708">
        <v>0</v>
      </c>
      <c r="N18708">
        <v>0</v>
      </c>
    </row>
    <row r="18709" spans="1:15">
      <c r="A18709" t="s">
        <v>56295</v>
      </c>
      <c r="B18709" t="s">
        <v>13276</v>
      </c>
      <c r="C18709" t="s">
        <v>16406</v>
      </c>
      <c r="D18709" t="s">
        <v>56296</v>
      </c>
      <c r="E18709" t="b">
        <v>0</v>
      </c>
      <c r="F18709" t="s">
        <v>11610</v>
      </c>
      <c r="L18709">
        <v>0</v>
      </c>
      <c r="M18709">
        <v>0</v>
      </c>
      <c r="N18709">
        <v>0</v>
      </c>
    </row>
    <row r="18710" spans="1:15">
      <c r="A18710" t="s">
        <v>56297</v>
      </c>
      <c r="B18710" t="s">
        <v>6742</v>
      </c>
      <c r="C18710" t="s">
        <v>25711</v>
      </c>
      <c r="D18710" t="s">
        <v>56298</v>
      </c>
      <c r="E18710" t="b">
        <v>0</v>
      </c>
      <c r="F18710" t="s">
        <v>11610</v>
      </c>
      <c r="L18710">
        <v>0</v>
      </c>
      <c r="M18710">
        <v>0</v>
      </c>
      <c r="N18710">
        <v>0</v>
      </c>
    </row>
    <row r="18711" spans="1:15">
      <c r="A18711" t="s">
        <v>56299</v>
      </c>
      <c r="B18711" t="s">
        <v>6742</v>
      </c>
      <c r="C18711" t="s">
        <v>14037</v>
      </c>
      <c r="D18711" t="s">
        <v>56300</v>
      </c>
      <c r="E18711" t="b">
        <v>0</v>
      </c>
      <c r="F18711" t="s">
        <v>11624</v>
      </c>
      <c r="G18711">
        <v>6.3171999999999997</v>
      </c>
      <c r="H18711">
        <v>-2.7314600000000002</v>
      </c>
      <c r="I18711" t="s">
        <v>56301</v>
      </c>
      <c r="L18711">
        <v>0</v>
      </c>
      <c r="M18711">
        <v>0</v>
      </c>
      <c r="N18711">
        <v>0</v>
      </c>
      <c r="O18711" t="s">
        <v>11820</v>
      </c>
    </row>
    <row r="18712" spans="1:15">
      <c r="A18712" t="s">
        <v>56302</v>
      </c>
      <c r="B18712" t="s">
        <v>367</v>
      </c>
      <c r="C18712" t="s">
        <v>13657</v>
      </c>
      <c r="D18712" t="s">
        <v>56303</v>
      </c>
      <c r="E18712" t="b">
        <v>0</v>
      </c>
      <c r="F18712" t="s">
        <v>11624</v>
      </c>
      <c r="G18712">
        <v>-1.5297000000000001</v>
      </c>
      <c r="H18712">
        <v>145.07400000000001</v>
      </c>
      <c r="I18712" t="s">
        <v>56304</v>
      </c>
      <c r="L18712">
        <v>0</v>
      </c>
      <c r="M18712">
        <v>0</v>
      </c>
      <c r="N18712">
        <v>0</v>
      </c>
      <c r="O18712" t="s">
        <v>11660</v>
      </c>
    </row>
    <row r="18713" spans="1:15">
      <c r="A18713" t="s">
        <v>34224</v>
      </c>
      <c r="B18713" t="s">
        <v>367</v>
      </c>
      <c r="C18713" t="s">
        <v>21903</v>
      </c>
      <c r="D18713" t="s">
        <v>56305</v>
      </c>
      <c r="E18713" t="b">
        <v>0</v>
      </c>
      <c r="F18713" t="s">
        <v>11624</v>
      </c>
      <c r="G18713">
        <v>-3.6111</v>
      </c>
      <c r="H18713">
        <v>128.06800000000001</v>
      </c>
      <c r="I18713" t="s">
        <v>56306</v>
      </c>
      <c r="L18713">
        <v>0</v>
      </c>
      <c r="M18713">
        <v>0</v>
      </c>
      <c r="N18713">
        <v>2</v>
      </c>
      <c r="O18713" t="s">
        <v>11768</v>
      </c>
    </row>
    <row r="18714" spans="1:15">
      <c r="A18714" t="s">
        <v>56307</v>
      </c>
      <c r="B18714" t="s">
        <v>367</v>
      </c>
      <c r="C18714" t="s">
        <v>34224</v>
      </c>
      <c r="D18714" t="s">
        <v>56308</v>
      </c>
      <c r="E18714" t="b">
        <v>0</v>
      </c>
      <c r="F18714" t="s">
        <v>11610</v>
      </c>
      <c r="L18714">
        <v>0</v>
      </c>
      <c r="M18714">
        <v>0</v>
      </c>
      <c r="N18714">
        <v>0</v>
      </c>
    </row>
    <row r="18715" spans="1:15">
      <c r="A18715" t="s">
        <v>56309</v>
      </c>
      <c r="B18715" t="s">
        <v>367</v>
      </c>
      <c r="C18715" t="s">
        <v>45950</v>
      </c>
      <c r="D18715" t="s">
        <v>56310</v>
      </c>
      <c r="E18715" t="b">
        <v>0</v>
      </c>
      <c r="F18715" t="s">
        <v>11610</v>
      </c>
      <c r="L18715">
        <v>0</v>
      </c>
      <c r="M18715">
        <v>0</v>
      </c>
      <c r="N18715">
        <v>0</v>
      </c>
    </row>
    <row r="18716" spans="1:15">
      <c r="A18716" t="s">
        <v>56311</v>
      </c>
      <c r="B18716" t="s">
        <v>367</v>
      </c>
      <c r="C18716" t="s">
        <v>51335</v>
      </c>
      <c r="D18716" t="s">
        <v>56312</v>
      </c>
      <c r="E18716" t="b">
        <v>0</v>
      </c>
      <c r="F18716" t="s">
        <v>11624</v>
      </c>
      <c r="G18716">
        <v>-2.65849</v>
      </c>
      <c r="H18716">
        <v>132.46899999999999</v>
      </c>
      <c r="I18716" t="s">
        <v>56313</v>
      </c>
      <c r="L18716">
        <v>0</v>
      </c>
      <c r="M18716">
        <v>0</v>
      </c>
      <c r="N18716">
        <v>0</v>
      </c>
      <c r="O18716" t="s">
        <v>11768</v>
      </c>
    </row>
    <row r="18717" spans="1:15">
      <c r="A18717" t="s">
        <v>56314</v>
      </c>
      <c r="B18717" t="s">
        <v>367</v>
      </c>
      <c r="C18717" t="s">
        <v>34251</v>
      </c>
      <c r="D18717" t="s">
        <v>56315</v>
      </c>
      <c r="E18717" t="b">
        <v>0</v>
      </c>
      <c r="F18717" t="s">
        <v>11624</v>
      </c>
      <c r="G18717">
        <v>2.47567</v>
      </c>
      <c r="H18717">
        <v>113.562</v>
      </c>
      <c r="I18717" t="s">
        <v>56316</v>
      </c>
      <c r="L18717">
        <v>0</v>
      </c>
      <c r="M18717">
        <v>0</v>
      </c>
      <c r="N18717">
        <v>0</v>
      </c>
      <c r="O18717" t="s">
        <v>11672</v>
      </c>
    </row>
    <row r="18718" spans="1:15">
      <c r="A18718" t="s">
        <v>56317</v>
      </c>
      <c r="B18718" t="s">
        <v>11615</v>
      </c>
      <c r="C18718" t="s">
        <v>29968</v>
      </c>
      <c r="D18718" t="s">
        <v>56318</v>
      </c>
      <c r="E18718" t="b">
        <v>0</v>
      </c>
      <c r="F18718" t="s">
        <v>11610</v>
      </c>
      <c r="L18718">
        <v>0</v>
      </c>
      <c r="M18718">
        <v>0</v>
      </c>
      <c r="N18718">
        <v>0</v>
      </c>
    </row>
    <row r="18719" spans="1:15">
      <c r="A18719" t="s">
        <v>56319</v>
      </c>
      <c r="B18719" t="s">
        <v>12460</v>
      </c>
      <c r="C18719" t="s">
        <v>12461</v>
      </c>
      <c r="D18719" t="s">
        <v>56320</v>
      </c>
      <c r="E18719" t="b">
        <v>0</v>
      </c>
      <c r="F18719" t="s">
        <v>11624</v>
      </c>
      <c r="G18719">
        <v>57.442100000000003</v>
      </c>
      <c r="H18719">
        <v>-125.664</v>
      </c>
      <c r="I18719" t="s">
        <v>56321</v>
      </c>
      <c r="L18719">
        <v>0</v>
      </c>
      <c r="M18719">
        <v>0</v>
      </c>
      <c r="N18719">
        <v>0</v>
      </c>
      <c r="O18719" t="s">
        <v>13049</v>
      </c>
    </row>
    <row r="18720" spans="1:15">
      <c r="A18720" t="s">
        <v>22927</v>
      </c>
      <c r="B18720" t="s">
        <v>11644</v>
      </c>
      <c r="C18720" t="s">
        <v>30257</v>
      </c>
      <c r="D18720" t="s">
        <v>56322</v>
      </c>
      <c r="E18720" t="b">
        <v>0</v>
      </c>
      <c r="F18720" t="s">
        <v>11624</v>
      </c>
      <c r="G18720">
        <v>28.9251</v>
      </c>
      <c r="H18720">
        <v>83.806399999999996</v>
      </c>
      <c r="I18720" t="s">
        <v>56323</v>
      </c>
      <c r="L18720">
        <v>0</v>
      </c>
      <c r="M18720">
        <v>0</v>
      </c>
      <c r="N18720">
        <v>3</v>
      </c>
      <c r="O18720" t="s">
        <v>15007</v>
      </c>
    </row>
    <row r="18721" spans="1:15">
      <c r="A18721" t="s">
        <v>56324</v>
      </c>
      <c r="B18721" t="s">
        <v>367</v>
      </c>
      <c r="C18721" t="s">
        <v>56325</v>
      </c>
      <c r="D18721" t="s">
        <v>56326</v>
      </c>
      <c r="E18721" t="b">
        <v>0</v>
      </c>
      <c r="F18721" t="s">
        <v>11624</v>
      </c>
      <c r="G18721">
        <v>-15.883900000000001</v>
      </c>
      <c r="H18721">
        <v>168.197</v>
      </c>
      <c r="I18721" t="s">
        <v>56327</v>
      </c>
      <c r="L18721">
        <v>0</v>
      </c>
      <c r="M18721">
        <v>0</v>
      </c>
      <c r="N18721">
        <v>0</v>
      </c>
      <c r="O18721" t="s">
        <v>12719</v>
      </c>
    </row>
    <row r="18722" spans="1:15">
      <c r="A18722" t="s">
        <v>56325</v>
      </c>
      <c r="B18722" t="s">
        <v>367</v>
      </c>
      <c r="C18722" t="s">
        <v>14165</v>
      </c>
      <c r="D18722" t="s">
        <v>56328</v>
      </c>
      <c r="E18722" t="b">
        <v>0</v>
      </c>
      <c r="F18722" t="s">
        <v>11622</v>
      </c>
      <c r="L18722">
        <v>0</v>
      </c>
      <c r="M18722">
        <v>2</v>
      </c>
      <c r="N18722">
        <v>0</v>
      </c>
    </row>
    <row r="18723" spans="1:15">
      <c r="A18723" t="s">
        <v>56329</v>
      </c>
      <c r="B18723" t="s">
        <v>6742</v>
      </c>
      <c r="C18723" t="s">
        <v>45062</v>
      </c>
      <c r="D18723" t="s">
        <v>56330</v>
      </c>
      <c r="E18723" t="b">
        <v>0</v>
      </c>
      <c r="F18723" t="s">
        <v>11624</v>
      </c>
      <c r="G18723">
        <v>1.52302</v>
      </c>
      <c r="H18723">
        <v>9.7920599999999993</v>
      </c>
      <c r="I18723" t="s">
        <v>56331</v>
      </c>
      <c r="L18723">
        <v>0</v>
      </c>
      <c r="M18723">
        <v>0</v>
      </c>
      <c r="N18723">
        <v>0</v>
      </c>
      <c r="O18723" t="s">
        <v>20279</v>
      </c>
    </row>
    <row r="18724" spans="1:15">
      <c r="A18724" t="s">
        <v>52165</v>
      </c>
      <c r="B18724" t="s">
        <v>367</v>
      </c>
      <c r="C18724" t="s">
        <v>20084</v>
      </c>
      <c r="D18724" t="s">
        <v>56332</v>
      </c>
      <c r="E18724" t="b">
        <v>0</v>
      </c>
      <c r="F18724" t="s">
        <v>11622</v>
      </c>
      <c r="L18724">
        <v>1</v>
      </c>
      <c r="M18724">
        <v>4</v>
      </c>
      <c r="N18724">
        <v>2</v>
      </c>
    </row>
    <row r="18725" spans="1:15">
      <c r="A18725" t="s">
        <v>56333</v>
      </c>
      <c r="B18725" t="s">
        <v>367</v>
      </c>
      <c r="C18725" t="s">
        <v>52165</v>
      </c>
      <c r="D18725" t="s">
        <v>56334</v>
      </c>
      <c r="E18725" t="b">
        <v>0</v>
      </c>
      <c r="F18725" t="s">
        <v>11624</v>
      </c>
      <c r="G18725">
        <v>-2.2206899999999998</v>
      </c>
      <c r="H18725">
        <v>119.82299999999999</v>
      </c>
      <c r="I18725" t="s">
        <v>56335</v>
      </c>
      <c r="L18725">
        <v>0</v>
      </c>
      <c r="M18725">
        <v>0</v>
      </c>
      <c r="N18725">
        <v>0</v>
      </c>
      <c r="O18725" t="s">
        <v>11768</v>
      </c>
    </row>
    <row r="18726" spans="1:15">
      <c r="A18726" t="s">
        <v>31425</v>
      </c>
      <c r="B18726" t="s">
        <v>367</v>
      </c>
      <c r="C18726" t="s">
        <v>52165</v>
      </c>
      <c r="D18726" t="s">
        <v>56336</v>
      </c>
      <c r="E18726" t="b">
        <v>0</v>
      </c>
      <c r="F18726" t="s">
        <v>11624</v>
      </c>
      <c r="G18726">
        <v>-2.1431100000000001</v>
      </c>
      <c r="H18726">
        <v>119.959</v>
      </c>
      <c r="I18726" t="s">
        <v>56337</v>
      </c>
      <c r="L18726">
        <v>0</v>
      </c>
      <c r="M18726">
        <v>0</v>
      </c>
      <c r="N18726">
        <v>2</v>
      </c>
      <c r="O18726" t="s">
        <v>11768</v>
      </c>
    </row>
    <row r="18727" spans="1:15">
      <c r="A18727" t="s">
        <v>49497</v>
      </c>
      <c r="B18727" t="s">
        <v>6742</v>
      </c>
      <c r="C18727" t="s">
        <v>40143</v>
      </c>
      <c r="D18727" t="s">
        <v>56338</v>
      </c>
      <c r="E18727" t="b">
        <v>0</v>
      </c>
      <c r="F18727" t="s">
        <v>11624</v>
      </c>
      <c r="G18727">
        <v>7.16751</v>
      </c>
      <c r="H18727">
        <v>0.58860000000000001</v>
      </c>
      <c r="I18727" t="s">
        <v>56339</v>
      </c>
      <c r="L18727">
        <v>0</v>
      </c>
      <c r="M18727">
        <v>0</v>
      </c>
      <c r="N18727">
        <v>2</v>
      </c>
      <c r="O18727" t="s">
        <v>11985</v>
      </c>
    </row>
    <row r="18728" spans="1:15">
      <c r="A18728" t="s">
        <v>56340</v>
      </c>
      <c r="B18728" t="s">
        <v>6742</v>
      </c>
      <c r="C18728" t="s">
        <v>17648</v>
      </c>
      <c r="D18728" t="s">
        <v>56341</v>
      </c>
      <c r="E18728" t="b">
        <v>0</v>
      </c>
      <c r="F18728" t="s">
        <v>11610</v>
      </c>
      <c r="L18728">
        <v>0</v>
      </c>
      <c r="M18728">
        <v>0</v>
      </c>
      <c r="N18728">
        <v>0</v>
      </c>
    </row>
    <row r="18729" spans="1:15">
      <c r="A18729" t="s">
        <v>56342</v>
      </c>
      <c r="B18729" t="s">
        <v>6742</v>
      </c>
      <c r="C18729" t="s">
        <v>49497</v>
      </c>
      <c r="D18729" t="s">
        <v>56343</v>
      </c>
      <c r="E18729" t="b">
        <v>0</v>
      </c>
      <c r="F18729" t="s">
        <v>11610</v>
      </c>
      <c r="L18729">
        <v>0</v>
      </c>
      <c r="M18729">
        <v>0</v>
      </c>
      <c r="N18729">
        <v>0</v>
      </c>
    </row>
    <row r="18730" spans="1:15">
      <c r="A18730" t="s">
        <v>56344</v>
      </c>
      <c r="B18730" t="s">
        <v>6742</v>
      </c>
      <c r="C18730" t="s">
        <v>19753</v>
      </c>
      <c r="D18730" t="s">
        <v>56345</v>
      </c>
      <c r="E18730" t="b">
        <v>0</v>
      </c>
      <c r="F18730" t="s">
        <v>11610</v>
      </c>
      <c r="L18730">
        <v>0</v>
      </c>
      <c r="M18730">
        <v>0</v>
      </c>
      <c r="N18730">
        <v>0</v>
      </c>
    </row>
    <row r="18731" spans="1:15">
      <c r="A18731" t="s">
        <v>56346</v>
      </c>
      <c r="B18731" t="s">
        <v>11981</v>
      </c>
      <c r="C18731" t="s">
        <v>13026</v>
      </c>
      <c r="D18731" t="s">
        <v>56347</v>
      </c>
      <c r="E18731" t="b">
        <v>0</v>
      </c>
      <c r="F18731" t="s">
        <v>11624</v>
      </c>
      <c r="G18731">
        <v>3.13489</v>
      </c>
      <c r="H18731">
        <v>101.614</v>
      </c>
      <c r="I18731" t="s">
        <v>56348</v>
      </c>
      <c r="L18731">
        <v>0</v>
      </c>
      <c r="M18731">
        <v>0</v>
      </c>
      <c r="N18731">
        <v>0</v>
      </c>
      <c r="O18731" t="s">
        <v>11672</v>
      </c>
    </row>
    <row r="18732" spans="1:15">
      <c r="A18732" t="s">
        <v>56349</v>
      </c>
      <c r="B18732" t="s">
        <v>12438</v>
      </c>
      <c r="C18732" t="s">
        <v>18145</v>
      </c>
      <c r="D18732" t="s">
        <v>56350</v>
      </c>
      <c r="E18732" t="b">
        <v>0</v>
      </c>
      <c r="F18732" t="s">
        <v>11610</v>
      </c>
      <c r="L18732">
        <v>0</v>
      </c>
      <c r="M18732">
        <v>0</v>
      </c>
      <c r="N18732">
        <v>0</v>
      </c>
    </row>
    <row r="18733" spans="1:15">
      <c r="A18733" t="s">
        <v>56351</v>
      </c>
      <c r="B18733" t="s">
        <v>367</v>
      </c>
      <c r="C18733" t="s">
        <v>30631</v>
      </c>
      <c r="D18733" t="s">
        <v>56352</v>
      </c>
      <c r="E18733" t="b">
        <v>0</v>
      </c>
      <c r="F18733" t="s">
        <v>11610</v>
      </c>
      <c r="L18733">
        <v>0</v>
      </c>
      <c r="M18733">
        <v>0</v>
      </c>
      <c r="N18733">
        <v>0</v>
      </c>
    </row>
    <row r="18734" spans="1:15">
      <c r="A18734" t="s">
        <v>34748</v>
      </c>
      <c r="B18734" t="s">
        <v>367</v>
      </c>
      <c r="C18734" t="s">
        <v>56353</v>
      </c>
      <c r="D18734" t="s">
        <v>56354</v>
      </c>
      <c r="E18734" t="b">
        <v>0</v>
      </c>
      <c r="F18734" t="s">
        <v>11624</v>
      </c>
      <c r="G18734">
        <v>-8.1837599999999995</v>
      </c>
      <c r="H18734">
        <v>130.96100000000001</v>
      </c>
      <c r="I18734" t="s">
        <v>56355</v>
      </c>
      <c r="L18734">
        <v>0</v>
      </c>
      <c r="M18734">
        <v>0</v>
      </c>
      <c r="N18734">
        <v>1</v>
      </c>
      <c r="O18734" t="s">
        <v>11768</v>
      </c>
    </row>
    <row r="18735" spans="1:15">
      <c r="A18735" t="s">
        <v>56356</v>
      </c>
      <c r="B18735" t="s">
        <v>367</v>
      </c>
      <c r="C18735" t="s">
        <v>5048</v>
      </c>
      <c r="D18735" t="s">
        <v>56357</v>
      </c>
      <c r="E18735" t="b">
        <v>0</v>
      </c>
      <c r="F18735" t="s">
        <v>11624</v>
      </c>
      <c r="G18735">
        <v>-6.1014499999999998</v>
      </c>
      <c r="H18735">
        <v>120.496</v>
      </c>
      <c r="I18735" t="s">
        <v>56358</v>
      </c>
      <c r="L18735">
        <v>0</v>
      </c>
      <c r="M18735">
        <v>0</v>
      </c>
      <c r="N18735">
        <v>0</v>
      </c>
      <c r="O18735" t="s">
        <v>11768</v>
      </c>
    </row>
    <row r="18736" spans="1:15">
      <c r="A18736" t="s">
        <v>56359</v>
      </c>
      <c r="B18736" t="s">
        <v>11615</v>
      </c>
      <c r="C18736" t="s">
        <v>23828</v>
      </c>
      <c r="D18736" t="s">
        <v>56360</v>
      </c>
      <c r="E18736" t="b">
        <v>0</v>
      </c>
      <c r="F18736" t="s">
        <v>11610</v>
      </c>
      <c r="L18736">
        <v>0</v>
      </c>
      <c r="M18736">
        <v>0</v>
      </c>
      <c r="N18736">
        <v>0</v>
      </c>
    </row>
    <row r="18737" spans="1:15">
      <c r="A18737" t="s">
        <v>56361</v>
      </c>
      <c r="B18737" t="s">
        <v>11627</v>
      </c>
      <c r="C18737" t="s">
        <v>11627</v>
      </c>
      <c r="D18737" t="s">
        <v>56362</v>
      </c>
      <c r="E18737" t="b">
        <v>1</v>
      </c>
      <c r="F18737" t="s">
        <v>11624</v>
      </c>
      <c r="I18737" t="s">
        <v>56363</v>
      </c>
      <c r="L18737">
        <v>0</v>
      </c>
      <c r="M18737">
        <v>0</v>
      </c>
      <c r="N18737">
        <v>0</v>
      </c>
    </row>
    <row r="18738" spans="1:15">
      <c r="A18738" t="s">
        <v>56364</v>
      </c>
      <c r="B18738" t="s">
        <v>6742</v>
      </c>
      <c r="C18738" t="s">
        <v>15515</v>
      </c>
      <c r="D18738" t="s">
        <v>56365</v>
      </c>
      <c r="E18738" t="b">
        <v>0</v>
      </c>
      <c r="F18738" t="s">
        <v>11610</v>
      </c>
      <c r="L18738">
        <v>0</v>
      </c>
      <c r="M18738">
        <v>0</v>
      </c>
      <c r="N18738">
        <v>0</v>
      </c>
    </row>
    <row r="18739" spans="1:15">
      <c r="A18739" t="s">
        <v>56366</v>
      </c>
      <c r="B18739" t="s">
        <v>6742</v>
      </c>
      <c r="C18739" t="s">
        <v>40143</v>
      </c>
      <c r="D18739" t="s">
        <v>56367</v>
      </c>
      <c r="E18739" t="b">
        <v>0</v>
      </c>
      <c r="F18739" t="s">
        <v>11624</v>
      </c>
      <c r="G18739">
        <v>7.17462</v>
      </c>
      <c r="H18739">
        <v>0.42458000000000001</v>
      </c>
      <c r="I18739" t="s">
        <v>56368</v>
      </c>
      <c r="L18739">
        <v>0</v>
      </c>
      <c r="M18739">
        <v>0</v>
      </c>
      <c r="N18739">
        <v>0</v>
      </c>
      <c r="O18739" t="s">
        <v>11985</v>
      </c>
    </row>
    <row r="18740" spans="1:15">
      <c r="A18740" t="s">
        <v>48775</v>
      </c>
      <c r="B18740" t="s">
        <v>11615</v>
      </c>
      <c r="C18740" t="s">
        <v>37137</v>
      </c>
      <c r="D18740" t="s">
        <v>56369</v>
      </c>
      <c r="E18740" t="b">
        <v>0</v>
      </c>
      <c r="F18740" t="s">
        <v>11624</v>
      </c>
      <c r="G18740">
        <v>-6.0353199999999996</v>
      </c>
      <c r="H18740">
        <v>147.23400000000001</v>
      </c>
      <c r="I18740" t="s">
        <v>56370</v>
      </c>
      <c r="L18740">
        <v>0</v>
      </c>
      <c r="M18740">
        <v>0</v>
      </c>
      <c r="N18740">
        <v>2</v>
      </c>
      <c r="O18740" t="s">
        <v>11660</v>
      </c>
    </row>
    <row r="18741" spans="1:15">
      <c r="A18741" t="s">
        <v>37137</v>
      </c>
      <c r="B18741" t="s">
        <v>11615</v>
      </c>
      <c r="C18741" t="s">
        <v>56371</v>
      </c>
      <c r="D18741" t="s">
        <v>56372</v>
      </c>
      <c r="E18741" t="b">
        <v>0</v>
      </c>
      <c r="F18741" t="s">
        <v>11622</v>
      </c>
      <c r="L18741">
        <v>0</v>
      </c>
      <c r="M18741">
        <v>2</v>
      </c>
      <c r="N18741">
        <v>7</v>
      </c>
    </row>
    <row r="18742" spans="1:15">
      <c r="A18742" t="s">
        <v>575</v>
      </c>
      <c r="B18742" t="s">
        <v>12260</v>
      </c>
      <c r="C18742" t="s">
        <v>34497</v>
      </c>
      <c r="D18742" t="s">
        <v>56373</v>
      </c>
      <c r="E18742" t="b">
        <v>0</v>
      </c>
      <c r="F18742" t="s">
        <v>11624</v>
      </c>
      <c r="G18742">
        <v>59.940899999999999</v>
      </c>
      <c r="H18742">
        <v>82.300399999999996</v>
      </c>
      <c r="I18742" t="s">
        <v>576</v>
      </c>
      <c r="L18742">
        <v>0</v>
      </c>
      <c r="M18742">
        <v>0</v>
      </c>
      <c r="N18742">
        <v>9</v>
      </c>
      <c r="O18742" t="s">
        <v>12748</v>
      </c>
    </row>
    <row r="18743" spans="1:15">
      <c r="A18743" t="s">
        <v>56374</v>
      </c>
      <c r="B18743" t="s">
        <v>11637</v>
      </c>
      <c r="C18743" t="s">
        <v>26727</v>
      </c>
      <c r="D18743" t="s">
        <v>56375</v>
      </c>
      <c r="E18743" t="b">
        <v>0</v>
      </c>
      <c r="F18743" t="s">
        <v>11610</v>
      </c>
      <c r="L18743">
        <v>0</v>
      </c>
      <c r="M18743">
        <v>0</v>
      </c>
      <c r="N18743">
        <v>0</v>
      </c>
    </row>
    <row r="18744" spans="1:15">
      <c r="A18744" t="s">
        <v>41865</v>
      </c>
      <c r="B18744" t="s">
        <v>367</v>
      </c>
      <c r="C18744" t="s">
        <v>56353</v>
      </c>
      <c r="D18744" t="s">
        <v>56376</v>
      </c>
      <c r="E18744" t="b">
        <v>0</v>
      </c>
      <c r="F18744" t="s">
        <v>11624</v>
      </c>
      <c r="G18744">
        <v>-7.5991799999999996</v>
      </c>
      <c r="H18744">
        <v>131.25</v>
      </c>
      <c r="I18744" t="s">
        <v>56377</v>
      </c>
      <c r="L18744">
        <v>0</v>
      </c>
      <c r="M18744">
        <v>0</v>
      </c>
      <c r="N18744">
        <v>2</v>
      </c>
      <c r="O18744" t="s">
        <v>11768</v>
      </c>
    </row>
    <row r="18745" spans="1:15">
      <c r="A18745" t="s">
        <v>56378</v>
      </c>
      <c r="B18745" t="s">
        <v>367</v>
      </c>
      <c r="C18745" t="s">
        <v>56379</v>
      </c>
      <c r="D18745" t="s">
        <v>56380</v>
      </c>
      <c r="E18745" t="b">
        <v>0</v>
      </c>
      <c r="F18745" t="s">
        <v>11624</v>
      </c>
      <c r="G18745">
        <v>4.34788</v>
      </c>
      <c r="H18745">
        <v>116.45</v>
      </c>
      <c r="I18745" t="s">
        <v>56381</v>
      </c>
      <c r="L18745">
        <v>0</v>
      </c>
      <c r="M18745">
        <v>0</v>
      </c>
      <c r="N18745">
        <v>0</v>
      </c>
      <c r="O18745" t="s">
        <v>16728</v>
      </c>
    </row>
    <row r="18746" spans="1:15">
      <c r="A18746" t="s">
        <v>56379</v>
      </c>
      <c r="B18746" t="s">
        <v>367</v>
      </c>
      <c r="C18746" t="s">
        <v>26512</v>
      </c>
      <c r="D18746" t="s">
        <v>56382</v>
      </c>
      <c r="E18746" t="b">
        <v>0</v>
      </c>
      <c r="F18746" t="s">
        <v>11622</v>
      </c>
      <c r="L18746">
        <v>0</v>
      </c>
      <c r="M18746">
        <v>2</v>
      </c>
      <c r="N18746">
        <v>0</v>
      </c>
    </row>
    <row r="18747" spans="1:15">
      <c r="A18747" t="s">
        <v>56383</v>
      </c>
      <c r="B18747" t="s">
        <v>6742</v>
      </c>
      <c r="C18747" t="s">
        <v>32077</v>
      </c>
      <c r="D18747" t="s">
        <v>56384</v>
      </c>
      <c r="E18747" t="b">
        <v>0</v>
      </c>
      <c r="F18747" t="s">
        <v>11610</v>
      </c>
      <c r="L18747">
        <v>0</v>
      </c>
      <c r="M18747">
        <v>0</v>
      </c>
      <c r="N18747">
        <v>0</v>
      </c>
    </row>
    <row r="18748" spans="1:15">
      <c r="A18748" t="s">
        <v>56385</v>
      </c>
      <c r="B18748" t="s">
        <v>6742</v>
      </c>
      <c r="C18748" t="s">
        <v>38055</v>
      </c>
      <c r="D18748" t="s">
        <v>56386</v>
      </c>
      <c r="E18748" t="b">
        <v>0</v>
      </c>
      <c r="F18748" t="s">
        <v>11610</v>
      </c>
      <c r="L18748">
        <v>0</v>
      </c>
      <c r="M18748">
        <v>0</v>
      </c>
      <c r="N18748">
        <v>0</v>
      </c>
    </row>
    <row r="18749" spans="1:15">
      <c r="A18749" t="s">
        <v>56387</v>
      </c>
      <c r="B18749" t="s">
        <v>12438</v>
      </c>
      <c r="C18749" t="s">
        <v>56388</v>
      </c>
      <c r="D18749" t="s">
        <v>56389</v>
      </c>
      <c r="E18749" t="b">
        <v>0</v>
      </c>
      <c r="F18749" t="s">
        <v>11624</v>
      </c>
      <c r="G18749">
        <v>4.1216999999999997</v>
      </c>
      <c r="H18749">
        <v>102.816</v>
      </c>
      <c r="I18749" t="s">
        <v>56390</v>
      </c>
      <c r="L18749">
        <v>0</v>
      </c>
      <c r="M18749">
        <v>0</v>
      </c>
      <c r="N18749">
        <v>0</v>
      </c>
      <c r="O18749" t="s">
        <v>11672</v>
      </c>
    </row>
    <row r="18750" spans="1:15">
      <c r="A18750" t="s">
        <v>18163</v>
      </c>
      <c r="B18750" t="s">
        <v>12438</v>
      </c>
      <c r="C18750" t="s">
        <v>39381</v>
      </c>
      <c r="D18750" t="s">
        <v>56391</v>
      </c>
      <c r="E18750" t="b">
        <v>0</v>
      </c>
      <c r="F18750" t="s">
        <v>11624</v>
      </c>
      <c r="G18750">
        <v>4.1325700000000003</v>
      </c>
      <c r="H18750">
        <v>101.477</v>
      </c>
      <c r="I18750" t="s">
        <v>56392</v>
      </c>
      <c r="L18750">
        <v>0</v>
      </c>
      <c r="M18750">
        <v>0</v>
      </c>
      <c r="N18750">
        <v>12</v>
      </c>
      <c r="O18750" t="s">
        <v>11672</v>
      </c>
    </row>
    <row r="18751" spans="1:15">
      <c r="A18751" t="s">
        <v>56393</v>
      </c>
      <c r="B18751" t="s">
        <v>6742</v>
      </c>
      <c r="C18751" t="s">
        <v>18709</v>
      </c>
      <c r="D18751" t="s">
        <v>56394</v>
      </c>
      <c r="E18751" t="b">
        <v>0</v>
      </c>
      <c r="F18751" t="s">
        <v>11610</v>
      </c>
      <c r="L18751">
        <v>0</v>
      </c>
      <c r="M18751">
        <v>0</v>
      </c>
      <c r="N18751">
        <v>0</v>
      </c>
    </row>
    <row r="18752" spans="1:15">
      <c r="A18752" t="s">
        <v>17736</v>
      </c>
      <c r="B18752" t="s">
        <v>367</v>
      </c>
      <c r="C18752" t="s">
        <v>33211</v>
      </c>
      <c r="D18752" t="s">
        <v>56395</v>
      </c>
      <c r="E18752" t="b">
        <v>0</v>
      </c>
      <c r="F18752" t="s">
        <v>11624</v>
      </c>
      <c r="G18752">
        <v>-0.75187999999999999</v>
      </c>
      <c r="H18752">
        <v>110.527</v>
      </c>
      <c r="I18752" t="s">
        <v>56396</v>
      </c>
      <c r="L18752">
        <v>0</v>
      </c>
      <c r="M18752">
        <v>0</v>
      </c>
      <c r="N18752">
        <v>4</v>
      </c>
      <c r="O18752" t="s">
        <v>11768</v>
      </c>
    </row>
    <row r="18753" spans="1:15">
      <c r="A18753" t="s">
        <v>56397</v>
      </c>
      <c r="B18753" t="s">
        <v>367</v>
      </c>
      <c r="C18753" t="s">
        <v>15834</v>
      </c>
      <c r="D18753" t="s">
        <v>56398</v>
      </c>
      <c r="E18753" t="b">
        <v>0</v>
      </c>
      <c r="F18753" t="s">
        <v>11610</v>
      </c>
      <c r="L18753">
        <v>0</v>
      </c>
      <c r="M18753">
        <v>0</v>
      </c>
      <c r="N18753">
        <v>0</v>
      </c>
    </row>
    <row r="18754" spans="1:15">
      <c r="A18754" t="s">
        <v>56399</v>
      </c>
      <c r="B18754" t="s">
        <v>367</v>
      </c>
      <c r="C18754" t="s">
        <v>56379</v>
      </c>
      <c r="D18754" t="s">
        <v>56400</v>
      </c>
      <c r="E18754" t="b">
        <v>0</v>
      </c>
      <c r="F18754" t="s">
        <v>11624</v>
      </c>
      <c r="G18754">
        <v>4.2210200000000002</v>
      </c>
      <c r="H18754">
        <v>116.79900000000001</v>
      </c>
      <c r="I18754" t="s">
        <v>56401</v>
      </c>
      <c r="L18754">
        <v>0</v>
      </c>
      <c r="M18754">
        <v>0</v>
      </c>
      <c r="N18754">
        <v>0</v>
      </c>
      <c r="O18754" t="s">
        <v>16728</v>
      </c>
    </row>
    <row r="18755" spans="1:15">
      <c r="A18755" t="s">
        <v>56402</v>
      </c>
      <c r="B18755" t="s">
        <v>4342</v>
      </c>
      <c r="C18755" t="s">
        <v>35522</v>
      </c>
      <c r="D18755" t="s">
        <v>56403</v>
      </c>
      <c r="E18755" t="b">
        <v>0</v>
      </c>
      <c r="F18755" t="s">
        <v>11610</v>
      </c>
      <c r="L18755">
        <v>0</v>
      </c>
      <c r="M18755">
        <v>0</v>
      </c>
      <c r="N18755">
        <v>0</v>
      </c>
    </row>
    <row r="18756" spans="1:15">
      <c r="A18756" t="s">
        <v>56404</v>
      </c>
      <c r="B18756" t="s">
        <v>367</v>
      </c>
      <c r="C18756" t="s">
        <v>48150</v>
      </c>
      <c r="D18756" t="s">
        <v>56405</v>
      </c>
      <c r="E18756" t="b">
        <v>0</v>
      </c>
      <c r="F18756" t="s">
        <v>11610</v>
      </c>
      <c r="L18756">
        <v>0</v>
      </c>
      <c r="M18756">
        <v>0</v>
      </c>
      <c r="N18756">
        <v>0</v>
      </c>
    </row>
    <row r="18757" spans="1:15">
      <c r="A18757" t="s">
        <v>56388</v>
      </c>
      <c r="B18757" t="s">
        <v>12438</v>
      </c>
      <c r="C18757" t="s">
        <v>18146</v>
      </c>
      <c r="D18757" t="s">
        <v>56406</v>
      </c>
      <c r="E18757" t="b">
        <v>0</v>
      </c>
      <c r="F18757" t="s">
        <v>11622</v>
      </c>
      <c r="L18757">
        <v>0</v>
      </c>
      <c r="M18757">
        <v>3</v>
      </c>
      <c r="N18757">
        <v>0</v>
      </c>
    </row>
    <row r="18758" spans="1:15">
      <c r="A18758" t="s">
        <v>56407</v>
      </c>
      <c r="B18758" t="s">
        <v>12438</v>
      </c>
      <c r="C18758" t="s">
        <v>56388</v>
      </c>
      <c r="D18758" t="s">
        <v>56408</v>
      </c>
      <c r="E18758" t="b">
        <v>0</v>
      </c>
      <c r="F18758" t="s">
        <v>11624</v>
      </c>
      <c r="G18758">
        <v>2.8279899999999998</v>
      </c>
      <c r="H18758">
        <v>102.806</v>
      </c>
      <c r="I18758" t="s">
        <v>56409</v>
      </c>
      <c r="L18758">
        <v>0</v>
      </c>
      <c r="M18758">
        <v>0</v>
      </c>
      <c r="N18758">
        <v>0</v>
      </c>
      <c r="O18758" t="s">
        <v>11672</v>
      </c>
    </row>
    <row r="18759" spans="1:15">
      <c r="A18759" t="s">
        <v>56410</v>
      </c>
      <c r="B18759" t="s">
        <v>11627</v>
      </c>
      <c r="C18759" t="s">
        <v>11627</v>
      </c>
      <c r="D18759" t="s">
        <v>56411</v>
      </c>
      <c r="E18759" t="b">
        <v>1</v>
      </c>
      <c r="F18759" t="s">
        <v>11624</v>
      </c>
      <c r="I18759" t="s">
        <v>56412</v>
      </c>
      <c r="L18759">
        <v>0</v>
      </c>
      <c r="M18759">
        <v>0</v>
      </c>
      <c r="N18759">
        <v>0</v>
      </c>
    </row>
    <row r="18760" spans="1:15">
      <c r="A18760" t="s">
        <v>56413</v>
      </c>
      <c r="B18760" t="s">
        <v>6742</v>
      </c>
      <c r="C18760" t="s">
        <v>52771</v>
      </c>
      <c r="D18760" t="s">
        <v>56414</v>
      </c>
      <c r="E18760" t="b">
        <v>0</v>
      </c>
      <c r="F18760" t="s">
        <v>11610</v>
      </c>
      <c r="L18760">
        <v>0</v>
      </c>
      <c r="M18760">
        <v>0</v>
      </c>
      <c r="N18760">
        <v>0</v>
      </c>
    </row>
    <row r="18761" spans="1:15">
      <c r="A18761" t="s">
        <v>56415</v>
      </c>
      <c r="B18761" t="s">
        <v>367</v>
      </c>
      <c r="C18761" t="s">
        <v>14685</v>
      </c>
      <c r="D18761" t="s">
        <v>56416</v>
      </c>
      <c r="E18761" t="b">
        <v>0</v>
      </c>
      <c r="F18761" t="s">
        <v>11610</v>
      </c>
      <c r="L18761">
        <v>0</v>
      </c>
      <c r="M18761">
        <v>0</v>
      </c>
      <c r="N18761">
        <v>0</v>
      </c>
    </row>
    <row r="18762" spans="1:15">
      <c r="A18762" t="s">
        <v>56417</v>
      </c>
      <c r="B18762" t="s">
        <v>367</v>
      </c>
      <c r="C18762" t="s">
        <v>20959</v>
      </c>
      <c r="D18762" t="s">
        <v>56418</v>
      </c>
      <c r="E18762" t="b">
        <v>0</v>
      </c>
      <c r="F18762" t="s">
        <v>11610</v>
      </c>
      <c r="L18762">
        <v>0</v>
      </c>
      <c r="M18762">
        <v>0</v>
      </c>
      <c r="N18762">
        <v>0</v>
      </c>
    </row>
    <row r="18763" spans="1:15">
      <c r="A18763" t="s">
        <v>56419</v>
      </c>
      <c r="B18763" t="s">
        <v>41792</v>
      </c>
      <c r="C18763" t="s">
        <v>41792</v>
      </c>
      <c r="D18763" t="s">
        <v>56420</v>
      </c>
      <c r="E18763" t="b">
        <v>0</v>
      </c>
      <c r="F18763" t="s">
        <v>11624</v>
      </c>
      <c r="G18763">
        <v>-3.7155300000000002</v>
      </c>
      <c r="H18763">
        <v>134.45400000000001</v>
      </c>
      <c r="I18763" t="s">
        <v>56421</v>
      </c>
      <c r="L18763">
        <v>0</v>
      </c>
      <c r="M18763">
        <v>0</v>
      </c>
      <c r="N18763">
        <v>0</v>
      </c>
      <c r="O18763" t="s">
        <v>11768</v>
      </c>
    </row>
    <row r="18764" spans="1:15">
      <c r="A18764" t="s">
        <v>8595</v>
      </c>
      <c r="B18764" t="s">
        <v>12875</v>
      </c>
      <c r="C18764" t="s">
        <v>23513</v>
      </c>
      <c r="D18764" t="s">
        <v>8593</v>
      </c>
      <c r="E18764" t="b">
        <v>0</v>
      </c>
      <c r="F18764" t="s">
        <v>11610</v>
      </c>
      <c r="L18764">
        <v>0</v>
      </c>
      <c r="M18764">
        <v>0</v>
      </c>
      <c r="N18764">
        <v>0</v>
      </c>
    </row>
    <row r="18765" spans="1:15">
      <c r="A18765" t="s">
        <v>56422</v>
      </c>
      <c r="B18765" t="s">
        <v>9071</v>
      </c>
      <c r="C18765" t="s">
        <v>41155</v>
      </c>
      <c r="D18765" t="s">
        <v>56423</v>
      </c>
      <c r="E18765" t="b">
        <v>0</v>
      </c>
      <c r="F18765" t="s">
        <v>11610</v>
      </c>
      <c r="L18765">
        <v>0</v>
      </c>
      <c r="M18765">
        <v>0</v>
      </c>
      <c r="N18765">
        <v>0</v>
      </c>
    </row>
    <row r="18766" spans="1:15">
      <c r="A18766" t="s">
        <v>26435</v>
      </c>
      <c r="B18766" t="s">
        <v>11607</v>
      </c>
      <c r="C18766" t="s">
        <v>11607</v>
      </c>
      <c r="D18766" t="s">
        <v>56424</v>
      </c>
      <c r="E18766" t="b">
        <v>0</v>
      </c>
      <c r="F18766" t="s">
        <v>11622</v>
      </c>
      <c r="L18766">
        <v>49</v>
      </c>
      <c r="M18766">
        <v>97</v>
      </c>
      <c r="N18766">
        <v>225</v>
      </c>
    </row>
    <row r="18767" spans="1:15">
      <c r="A18767" t="s">
        <v>18928</v>
      </c>
      <c r="B18767" t="s">
        <v>11637</v>
      </c>
      <c r="C18767" t="s">
        <v>16331</v>
      </c>
      <c r="D18767" t="s">
        <v>56425</v>
      </c>
      <c r="E18767" t="b">
        <v>0</v>
      </c>
      <c r="F18767" t="s">
        <v>11624</v>
      </c>
      <c r="G18767">
        <v>35.529499999999999</v>
      </c>
      <c r="H18767">
        <v>53.286799999999999</v>
      </c>
      <c r="I18767" t="s">
        <v>56426</v>
      </c>
      <c r="L18767">
        <v>0</v>
      </c>
      <c r="M18767">
        <v>0</v>
      </c>
      <c r="N18767">
        <v>2</v>
      </c>
      <c r="O18767" t="s">
        <v>13225</v>
      </c>
    </row>
    <row r="18768" spans="1:15">
      <c r="A18768" t="s">
        <v>56427</v>
      </c>
      <c r="B18768" t="s">
        <v>12438</v>
      </c>
      <c r="C18768" t="s">
        <v>39385</v>
      </c>
      <c r="D18768" t="s">
        <v>56428</v>
      </c>
      <c r="E18768" t="b">
        <v>0</v>
      </c>
      <c r="F18768" t="s">
        <v>11624</v>
      </c>
      <c r="G18768">
        <v>5.2761699999999996</v>
      </c>
      <c r="H18768">
        <v>101.05800000000001</v>
      </c>
      <c r="I18768" t="s">
        <v>56429</v>
      </c>
      <c r="L18768">
        <v>0</v>
      </c>
      <c r="M18768">
        <v>0</v>
      </c>
      <c r="N18768">
        <v>0</v>
      </c>
      <c r="O18768" t="s">
        <v>11672</v>
      </c>
    </row>
    <row r="18769" spans="1:15">
      <c r="A18769" t="s">
        <v>56430</v>
      </c>
      <c r="B18769" t="s">
        <v>11637</v>
      </c>
      <c r="C18769" t="s">
        <v>18928</v>
      </c>
      <c r="D18769" t="s">
        <v>56431</v>
      </c>
      <c r="E18769" t="b">
        <v>0</v>
      </c>
      <c r="F18769" t="s">
        <v>11610</v>
      </c>
      <c r="L18769">
        <v>0</v>
      </c>
      <c r="M18769">
        <v>0</v>
      </c>
      <c r="N18769">
        <v>0</v>
      </c>
    </row>
    <row r="18770" spans="1:15">
      <c r="A18770" t="s">
        <v>56432</v>
      </c>
      <c r="B18770" t="s">
        <v>11615</v>
      </c>
      <c r="C18770" t="s">
        <v>14818</v>
      </c>
      <c r="D18770" t="s">
        <v>56433</v>
      </c>
      <c r="E18770" t="b">
        <v>0</v>
      </c>
      <c r="F18770" t="s">
        <v>11624</v>
      </c>
      <c r="G18770">
        <v>-5.1758199999999999</v>
      </c>
      <c r="H18770">
        <v>137.58799999999999</v>
      </c>
      <c r="I18770" t="s">
        <v>56434</v>
      </c>
      <c r="L18770">
        <v>0</v>
      </c>
      <c r="M18770">
        <v>0</v>
      </c>
      <c r="N18770">
        <v>0</v>
      </c>
      <c r="O18770" t="s">
        <v>11768</v>
      </c>
    </row>
    <row r="18771" spans="1:15">
      <c r="A18771" t="s">
        <v>56435</v>
      </c>
      <c r="B18771" t="s">
        <v>6742</v>
      </c>
      <c r="C18771" t="s">
        <v>18709</v>
      </c>
      <c r="D18771" t="s">
        <v>56436</v>
      </c>
      <c r="E18771" t="b">
        <v>0</v>
      </c>
      <c r="F18771" t="s">
        <v>11610</v>
      </c>
      <c r="L18771">
        <v>0</v>
      </c>
      <c r="M18771">
        <v>0</v>
      </c>
      <c r="N18771">
        <v>0</v>
      </c>
    </row>
    <row r="18772" spans="1:15">
      <c r="A18772" t="s">
        <v>56437</v>
      </c>
      <c r="B18772" t="s">
        <v>367</v>
      </c>
      <c r="C18772" t="s">
        <v>31491</v>
      </c>
      <c r="D18772" t="s">
        <v>56438</v>
      </c>
      <c r="E18772" t="b">
        <v>0</v>
      </c>
      <c r="F18772" t="s">
        <v>11610</v>
      </c>
      <c r="L18772">
        <v>0</v>
      </c>
      <c r="M18772">
        <v>0</v>
      </c>
      <c r="N18772">
        <v>0</v>
      </c>
    </row>
    <row r="18773" spans="1:15">
      <c r="A18773" t="s">
        <v>56439</v>
      </c>
      <c r="B18773" t="s">
        <v>11607</v>
      </c>
      <c r="C18773" t="s">
        <v>35612</v>
      </c>
      <c r="D18773" t="s">
        <v>56440</v>
      </c>
      <c r="E18773" t="b">
        <v>0</v>
      </c>
      <c r="F18773" t="s">
        <v>11610</v>
      </c>
      <c r="L18773">
        <v>0</v>
      </c>
      <c r="M18773">
        <v>0</v>
      </c>
      <c r="N18773">
        <v>0</v>
      </c>
    </row>
    <row r="18774" spans="1:15">
      <c r="A18774" t="s">
        <v>56441</v>
      </c>
      <c r="B18774" t="s">
        <v>12148</v>
      </c>
      <c r="C18774" t="s">
        <v>15018</v>
      </c>
      <c r="D18774" t="s">
        <v>56442</v>
      </c>
      <c r="E18774" t="b">
        <v>0</v>
      </c>
      <c r="F18774" t="s">
        <v>11610</v>
      </c>
      <c r="L18774">
        <v>0</v>
      </c>
      <c r="M18774">
        <v>0</v>
      </c>
      <c r="N18774">
        <v>0</v>
      </c>
    </row>
    <row r="18775" spans="1:15">
      <c r="A18775" t="s">
        <v>56443</v>
      </c>
      <c r="B18775" t="s">
        <v>6742</v>
      </c>
      <c r="C18775" t="s">
        <v>21273</v>
      </c>
      <c r="D18775" t="s">
        <v>56444</v>
      </c>
      <c r="E18775" t="b">
        <v>0</v>
      </c>
      <c r="F18775" t="s">
        <v>11624</v>
      </c>
      <c r="G18775">
        <v>10.498699999999999</v>
      </c>
      <c r="H18775">
        <v>-5.2821600000000002</v>
      </c>
      <c r="I18775" t="s">
        <v>56445</v>
      </c>
      <c r="L18775">
        <v>0</v>
      </c>
      <c r="M18775">
        <v>0</v>
      </c>
      <c r="N18775">
        <v>0</v>
      </c>
      <c r="O18775" t="s">
        <v>21276</v>
      </c>
    </row>
    <row r="18776" spans="1:15">
      <c r="A18776" t="s">
        <v>13877</v>
      </c>
      <c r="D18776" t="s">
        <v>56446</v>
      </c>
      <c r="E18776" t="b">
        <v>0</v>
      </c>
      <c r="F18776" t="s">
        <v>11622</v>
      </c>
      <c r="L18776">
        <v>0</v>
      </c>
      <c r="M18776">
        <v>2</v>
      </c>
      <c r="N18776">
        <v>7</v>
      </c>
    </row>
    <row r="18777" spans="1:15">
      <c r="A18777" t="s">
        <v>56447</v>
      </c>
      <c r="B18777" t="s">
        <v>11607</v>
      </c>
      <c r="C18777" t="s">
        <v>31668</v>
      </c>
      <c r="D18777" t="s">
        <v>56448</v>
      </c>
      <c r="E18777" t="b">
        <v>0</v>
      </c>
      <c r="F18777" t="s">
        <v>11624</v>
      </c>
      <c r="G18777">
        <v>35.7776</v>
      </c>
      <c r="H18777">
        <v>51.436300000000003</v>
      </c>
      <c r="I18777" t="s">
        <v>56449</v>
      </c>
      <c r="L18777">
        <v>0</v>
      </c>
      <c r="M18777">
        <v>0</v>
      </c>
      <c r="N18777">
        <v>0</v>
      </c>
      <c r="O18777" t="s">
        <v>56450</v>
      </c>
    </row>
    <row r="18778" spans="1:15">
      <c r="A18778" t="s">
        <v>17185</v>
      </c>
      <c r="B18778" t="s">
        <v>6742</v>
      </c>
      <c r="C18778" t="s">
        <v>38226</v>
      </c>
      <c r="D18778" t="s">
        <v>56451</v>
      </c>
      <c r="E18778" t="b">
        <v>0</v>
      </c>
      <c r="F18778" t="s">
        <v>11622</v>
      </c>
      <c r="L18778">
        <v>0</v>
      </c>
      <c r="M18778">
        <v>5</v>
      </c>
      <c r="N18778">
        <v>7</v>
      </c>
    </row>
    <row r="18779" spans="1:15">
      <c r="A18779" t="s">
        <v>38226</v>
      </c>
      <c r="B18779" t="s">
        <v>6742</v>
      </c>
      <c r="C18779" t="s">
        <v>56452</v>
      </c>
      <c r="D18779" t="s">
        <v>56453</v>
      </c>
      <c r="E18779" t="b">
        <v>0</v>
      </c>
      <c r="F18779" t="s">
        <v>11622</v>
      </c>
      <c r="L18779">
        <v>2</v>
      </c>
      <c r="M18779">
        <v>8</v>
      </c>
      <c r="N18779">
        <v>14</v>
      </c>
    </row>
    <row r="18780" spans="1:15">
      <c r="A18780" t="s">
        <v>56454</v>
      </c>
      <c r="B18780" t="s">
        <v>367</v>
      </c>
      <c r="C18780" t="s">
        <v>16236</v>
      </c>
      <c r="D18780" t="s">
        <v>56455</v>
      </c>
      <c r="E18780" t="b">
        <v>0</v>
      </c>
      <c r="F18780" t="s">
        <v>11610</v>
      </c>
      <c r="L18780">
        <v>0</v>
      </c>
      <c r="M18780">
        <v>0</v>
      </c>
      <c r="N18780">
        <v>0</v>
      </c>
    </row>
    <row r="18781" spans="1:15">
      <c r="A18781" t="s">
        <v>56456</v>
      </c>
      <c r="B18781" t="s">
        <v>4342</v>
      </c>
      <c r="C18781" t="s">
        <v>12598</v>
      </c>
      <c r="D18781" t="s">
        <v>56457</v>
      </c>
      <c r="E18781" t="b">
        <v>0</v>
      </c>
      <c r="F18781" t="s">
        <v>11610</v>
      </c>
      <c r="L18781">
        <v>0</v>
      </c>
      <c r="M18781">
        <v>0</v>
      </c>
      <c r="N18781">
        <v>0</v>
      </c>
    </row>
    <row r="18782" spans="1:15">
      <c r="A18782" t="s">
        <v>56458</v>
      </c>
      <c r="B18782" t="s">
        <v>11615</v>
      </c>
      <c r="C18782" t="s">
        <v>35397</v>
      </c>
      <c r="D18782" t="s">
        <v>56459</v>
      </c>
      <c r="E18782" t="b">
        <v>0</v>
      </c>
      <c r="F18782" t="s">
        <v>11624</v>
      </c>
      <c r="G18782">
        <v>-6.3859000000000004</v>
      </c>
      <c r="H18782">
        <v>147.80699999999999</v>
      </c>
      <c r="I18782" t="s">
        <v>56460</v>
      </c>
      <c r="L18782">
        <v>0</v>
      </c>
      <c r="M18782">
        <v>0</v>
      </c>
      <c r="N18782">
        <v>0</v>
      </c>
      <c r="O18782" t="s">
        <v>11660</v>
      </c>
    </row>
    <row r="18783" spans="1:15">
      <c r="A18783" t="s">
        <v>468</v>
      </c>
      <c r="B18783" t="s">
        <v>300</v>
      </c>
      <c r="C18783" t="s">
        <v>21267</v>
      </c>
      <c r="D18783" t="s">
        <v>11052</v>
      </c>
      <c r="E18783" t="b">
        <v>0</v>
      </c>
      <c r="F18783" t="s">
        <v>11624</v>
      </c>
      <c r="G18783">
        <v>42.56</v>
      </c>
      <c r="H18783">
        <v>-77.53</v>
      </c>
      <c r="I18783" t="s">
        <v>8173</v>
      </c>
      <c r="L18783">
        <v>0</v>
      </c>
      <c r="M18783">
        <v>0</v>
      </c>
      <c r="N18783">
        <v>0</v>
      </c>
      <c r="O18783" t="s">
        <v>14875</v>
      </c>
    </row>
    <row r="18784" spans="1:15">
      <c r="A18784" t="s">
        <v>50155</v>
      </c>
      <c r="B18784" t="s">
        <v>11607</v>
      </c>
      <c r="C18784" t="s">
        <v>22415</v>
      </c>
      <c r="D18784" t="s">
        <v>56461</v>
      </c>
      <c r="E18784" t="b">
        <v>0</v>
      </c>
      <c r="F18784" t="s">
        <v>11624</v>
      </c>
      <c r="G18784">
        <v>34.467799999999997</v>
      </c>
      <c r="H18784">
        <v>9.4377800000000001</v>
      </c>
      <c r="I18784" t="s">
        <v>56462</v>
      </c>
      <c r="L18784">
        <v>0</v>
      </c>
      <c r="M18784">
        <v>0</v>
      </c>
      <c r="N18784">
        <v>2</v>
      </c>
      <c r="O18784" t="s">
        <v>40243</v>
      </c>
    </row>
    <row r="18785" spans="1:15">
      <c r="A18785" t="s">
        <v>56463</v>
      </c>
      <c r="B18785" t="s">
        <v>11644</v>
      </c>
      <c r="C18785" t="s">
        <v>13750</v>
      </c>
      <c r="D18785" t="s">
        <v>56464</v>
      </c>
      <c r="E18785" t="b">
        <v>0</v>
      </c>
      <c r="F18785" t="s">
        <v>11624</v>
      </c>
      <c r="G18785">
        <v>24.945633000000001</v>
      </c>
      <c r="H18785">
        <v>93.881400999999997</v>
      </c>
      <c r="L18785">
        <v>0</v>
      </c>
      <c r="M18785">
        <v>0</v>
      </c>
      <c r="N18785">
        <v>0</v>
      </c>
      <c r="O18785" t="s">
        <v>11630</v>
      </c>
    </row>
    <row r="18786" spans="1:15">
      <c r="A18786" t="s">
        <v>56465</v>
      </c>
      <c r="B18786" t="s">
        <v>6742</v>
      </c>
      <c r="C18786" t="s">
        <v>4025</v>
      </c>
      <c r="D18786" t="s">
        <v>56466</v>
      </c>
      <c r="E18786" t="b">
        <v>0</v>
      </c>
      <c r="F18786" t="s">
        <v>11610</v>
      </c>
      <c r="L18786">
        <v>0</v>
      </c>
      <c r="M18786">
        <v>0</v>
      </c>
      <c r="N18786">
        <v>0</v>
      </c>
    </row>
    <row r="18787" spans="1:15">
      <c r="A18787" t="s">
        <v>56467</v>
      </c>
      <c r="B18787" t="s">
        <v>6742</v>
      </c>
      <c r="C18787" t="s">
        <v>19281</v>
      </c>
      <c r="D18787" t="s">
        <v>56468</v>
      </c>
      <c r="E18787" t="b">
        <v>0</v>
      </c>
      <c r="F18787" t="s">
        <v>11624</v>
      </c>
      <c r="G18787">
        <v>-1.92256</v>
      </c>
      <c r="H18787">
        <v>17.296500000000002</v>
      </c>
      <c r="I18787" t="s">
        <v>56469</v>
      </c>
      <c r="L18787">
        <v>0</v>
      </c>
      <c r="M18787">
        <v>0</v>
      </c>
      <c r="N18787">
        <v>0</v>
      </c>
      <c r="O18787" t="s">
        <v>14825</v>
      </c>
    </row>
    <row r="18788" spans="1:15">
      <c r="A18788" t="s">
        <v>56470</v>
      </c>
      <c r="B18788" t="s">
        <v>13276</v>
      </c>
      <c r="C18788" t="s">
        <v>17145</v>
      </c>
      <c r="D18788" t="s">
        <v>56471</v>
      </c>
      <c r="E18788" t="b">
        <v>0</v>
      </c>
      <c r="F18788" t="s">
        <v>11610</v>
      </c>
      <c r="L18788">
        <v>0</v>
      </c>
      <c r="M18788">
        <v>0</v>
      </c>
      <c r="N18788">
        <v>0</v>
      </c>
    </row>
    <row r="18789" spans="1:15">
      <c r="A18789" t="s">
        <v>56472</v>
      </c>
      <c r="B18789" t="s">
        <v>367</v>
      </c>
      <c r="C18789" t="s">
        <v>15251</v>
      </c>
      <c r="D18789" t="s">
        <v>56473</v>
      </c>
      <c r="E18789" t="b">
        <v>0</v>
      </c>
      <c r="F18789" t="s">
        <v>11610</v>
      </c>
      <c r="L18789">
        <v>0</v>
      </c>
      <c r="M18789">
        <v>0</v>
      </c>
      <c r="N18789">
        <v>0</v>
      </c>
    </row>
    <row r="18790" spans="1:15">
      <c r="A18790" t="s">
        <v>56474</v>
      </c>
      <c r="B18790" t="s">
        <v>367</v>
      </c>
      <c r="C18790" t="s">
        <v>12491</v>
      </c>
      <c r="D18790" t="s">
        <v>56475</v>
      </c>
      <c r="E18790" t="b">
        <v>0</v>
      </c>
      <c r="F18790" t="s">
        <v>11624</v>
      </c>
      <c r="G18790">
        <v>-6.1647400000000001</v>
      </c>
      <c r="H18790">
        <v>149.78399999999999</v>
      </c>
      <c r="I18790" t="s">
        <v>56476</v>
      </c>
      <c r="L18790">
        <v>0</v>
      </c>
      <c r="M18790">
        <v>0</v>
      </c>
      <c r="N18790">
        <v>0</v>
      </c>
      <c r="O18790" t="s">
        <v>11660</v>
      </c>
    </row>
    <row r="18791" spans="1:15">
      <c r="A18791" t="s">
        <v>56477</v>
      </c>
      <c r="B18791" t="s">
        <v>11615</v>
      </c>
      <c r="C18791" t="s">
        <v>19991</v>
      </c>
      <c r="D18791" t="s">
        <v>56478</v>
      </c>
      <c r="E18791" t="b">
        <v>0</v>
      </c>
      <c r="F18791" t="s">
        <v>11610</v>
      </c>
      <c r="L18791">
        <v>0</v>
      </c>
      <c r="M18791">
        <v>0</v>
      </c>
      <c r="N18791">
        <v>0</v>
      </c>
    </row>
    <row r="18792" spans="1:15">
      <c r="A18792" t="s">
        <v>56479</v>
      </c>
      <c r="B18792" t="s">
        <v>11794</v>
      </c>
      <c r="C18792" t="s">
        <v>12174</v>
      </c>
      <c r="D18792" t="s">
        <v>56480</v>
      </c>
      <c r="E18792" t="b">
        <v>0</v>
      </c>
      <c r="F18792" t="s">
        <v>11610</v>
      </c>
      <c r="L18792">
        <v>0</v>
      </c>
      <c r="M18792">
        <v>0</v>
      </c>
      <c r="N18792">
        <v>0</v>
      </c>
    </row>
    <row r="18793" spans="1:15">
      <c r="A18793" t="s">
        <v>56481</v>
      </c>
      <c r="B18793" t="s">
        <v>13411</v>
      </c>
      <c r="C18793" t="s">
        <v>20358</v>
      </c>
      <c r="D18793" t="s">
        <v>56482</v>
      </c>
      <c r="E18793" t="b">
        <v>0</v>
      </c>
      <c r="F18793" t="s">
        <v>11624</v>
      </c>
      <c r="G18793">
        <v>-4.0224700000000002</v>
      </c>
      <c r="H18793">
        <v>142.95599999999999</v>
      </c>
      <c r="I18793" t="s">
        <v>56483</v>
      </c>
      <c r="L18793">
        <v>0</v>
      </c>
      <c r="M18793">
        <v>0</v>
      </c>
      <c r="N18793">
        <v>0</v>
      </c>
      <c r="O18793" t="s">
        <v>11660</v>
      </c>
    </row>
    <row r="18794" spans="1:15">
      <c r="A18794" t="s">
        <v>56484</v>
      </c>
      <c r="B18794" t="s">
        <v>12532</v>
      </c>
      <c r="C18794" t="s">
        <v>15214</v>
      </c>
      <c r="D18794" t="s">
        <v>56485</v>
      </c>
      <c r="E18794" t="b">
        <v>0</v>
      </c>
      <c r="F18794" t="s">
        <v>11624</v>
      </c>
      <c r="G18794">
        <v>-3.4198300000000001</v>
      </c>
      <c r="H18794">
        <v>140.77000000000001</v>
      </c>
      <c r="I18794" t="s">
        <v>56486</v>
      </c>
      <c r="L18794">
        <v>0</v>
      </c>
      <c r="M18794">
        <v>0</v>
      </c>
      <c r="N18794">
        <v>0</v>
      </c>
      <c r="O18794" t="s">
        <v>11768</v>
      </c>
    </row>
    <row r="18795" spans="1:15">
      <c r="A18795" t="s">
        <v>56487</v>
      </c>
      <c r="B18795" t="s">
        <v>11607</v>
      </c>
      <c r="C18795" t="s">
        <v>29182</v>
      </c>
      <c r="D18795" t="s">
        <v>56488</v>
      </c>
      <c r="E18795" t="b">
        <v>0</v>
      </c>
      <c r="F18795" t="s">
        <v>11624</v>
      </c>
      <c r="G18795">
        <v>34.999200000000002</v>
      </c>
      <c r="H18795">
        <v>-4.5129299999999999</v>
      </c>
      <c r="I18795" t="s">
        <v>56489</v>
      </c>
      <c r="L18795">
        <v>0</v>
      </c>
      <c r="M18795">
        <v>0</v>
      </c>
      <c r="N18795">
        <v>0</v>
      </c>
      <c r="O18795" t="s">
        <v>29185</v>
      </c>
    </row>
    <row r="18796" spans="1:15">
      <c r="A18796" t="s">
        <v>56490</v>
      </c>
      <c r="B18796" t="s">
        <v>6742</v>
      </c>
      <c r="C18796" t="s">
        <v>24355</v>
      </c>
      <c r="D18796" t="s">
        <v>56491</v>
      </c>
      <c r="E18796" t="b">
        <v>0</v>
      </c>
      <c r="F18796" t="s">
        <v>11610</v>
      </c>
      <c r="L18796">
        <v>0</v>
      </c>
      <c r="M18796">
        <v>0</v>
      </c>
      <c r="N18796">
        <v>0</v>
      </c>
    </row>
    <row r="18797" spans="1:15">
      <c r="A18797" t="s">
        <v>39381</v>
      </c>
      <c r="B18797" t="s">
        <v>12438</v>
      </c>
      <c r="C18797" t="s">
        <v>21383</v>
      </c>
      <c r="D18797" t="s">
        <v>56492</v>
      </c>
      <c r="E18797" t="b">
        <v>0</v>
      </c>
      <c r="F18797" t="s">
        <v>11622</v>
      </c>
      <c r="L18797">
        <v>3</v>
      </c>
      <c r="M18797">
        <v>5</v>
      </c>
      <c r="N18797">
        <v>22</v>
      </c>
    </row>
    <row r="18798" spans="1:15">
      <c r="A18798" t="s">
        <v>56493</v>
      </c>
      <c r="B18798" t="s">
        <v>4342</v>
      </c>
      <c r="C18798" t="s">
        <v>35522</v>
      </c>
      <c r="D18798" t="s">
        <v>56494</v>
      </c>
      <c r="E18798" t="b">
        <v>0</v>
      </c>
      <c r="F18798" t="s">
        <v>11610</v>
      </c>
      <c r="L18798">
        <v>0</v>
      </c>
      <c r="M18798">
        <v>0</v>
      </c>
      <c r="N18798">
        <v>0</v>
      </c>
    </row>
    <row r="18799" spans="1:15">
      <c r="A18799" t="s">
        <v>56495</v>
      </c>
      <c r="B18799" t="s">
        <v>13244</v>
      </c>
      <c r="C18799" t="s">
        <v>22207</v>
      </c>
      <c r="D18799" t="s">
        <v>56496</v>
      </c>
      <c r="E18799" t="b">
        <v>0</v>
      </c>
      <c r="F18799" t="s">
        <v>11624</v>
      </c>
      <c r="G18799">
        <v>-7.2499900000000004</v>
      </c>
      <c r="H18799">
        <v>-74.916600000000003</v>
      </c>
      <c r="I18799" t="s">
        <v>56497</v>
      </c>
      <c r="L18799">
        <v>0</v>
      </c>
      <c r="M18799">
        <v>0</v>
      </c>
      <c r="N18799">
        <v>0</v>
      </c>
      <c r="O18799" t="s">
        <v>11778</v>
      </c>
    </row>
    <row r="18800" spans="1:15">
      <c r="A18800" t="s">
        <v>56498</v>
      </c>
      <c r="B18800" t="s">
        <v>12241</v>
      </c>
      <c r="C18800" t="s">
        <v>12241</v>
      </c>
      <c r="D18800" t="s">
        <v>56499</v>
      </c>
      <c r="E18800" t="b">
        <v>0</v>
      </c>
      <c r="F18800" t="s">
        <v>11624</v>
      </c>
      <c r="G18800">
        <v>11.553000000000001</v>
      </c>
      <c r="H18800">
        <v>92.253399999999999</v>
      </c>
      <c r="I18800" t="s">
        <v>56500</v>
      </c>
      <c r="L18800">
        <v>0</v>
      </c>
      <c r="M18800">
        <v>0</v>
      </c>
      <c r="N18800">
        <v>0</v>
      </c>
      <c r="O18800" t="s">
        <v>11630</v>
      </c>
    </row>
    <row r="18801" spans="1:15">
      <c r="A18801" t="s">
        <v>56501</v>
      </c>
      <c r="B18801" t="s">
        <v>11644</v>
      </c>
      <c r="C18801" t="s">
        <v>42848</v>
      </c>
      <c r="D18801" t="s">
        <v>56502</v>
      </c>
      <c r="E18801" t="b">
        <v>0</v>
      </c>
      <c r="F18801" t="s">
        <v>11624</v>
      </c>
      <c r="G18801">
        <v>21.893599999999999</v>
      </c>
      <c r="H18801">
        <v>93.808700000000002</v>
      </c>
      <c r="I18801" t="s">
        <v>56503</v>
      </c>
      <c r="L18801">
        <v>0</v>
      </c>
      <c r="M18801">
        <v>0</v>
      </c>
      <c r="N18801">
        <v>0</v>
      </c>
      <c r="O18801" t="s">
        <v>14059</v>
      </c>
    </row>
    <row r="18802" spans="1:15">
      <c r="A18802" t="s">
        <v>21672</v>
      </c>
      <c r="D18802" t="s">
        <v>56504</v>
      </c>
      <c r="E18802" t="b">
        <v>0</v>
      </c>
      <c r="F18802" t="s">
        <v>11622</v>
      </c>
      <c r="L18802">
        <v>1</v>
      </c>
      <c r="M18802">
        <v>4</v>
      </c>
      <c r="N18802">
        <v>6</v>
      </c>
    </row>
    <row r="18803" spans="1:15">
      <c r="A18803" t="s">
        <v>21813</v>
      </c>
      <c r="B18803" t="s">
        <v>6742</v>
      </c>
      <c r="C18803" t="s">
        <v>19959</v>
      </c>
      <c r="D18803" t="s">
        <v>56505</v>
      </c>
      <c r="E18803" t="b">
        <v>0</v>
      </c>
      <c r="F18803" t="s">
        <v>11622</v>
      </c>
      <c r="L18803">
        <v>5</v>
      </c>
      <c r="M18803">
        <v>13</v>
      </c>
      <c r="N18803">
        <v>44</v>
      </c>
    </row>
    <row r="18804" spans="1:15">
      <c r="A18804" t="s">
        <v>56506</v>
      </c>
      <c r="B18804" t="s">
        <v>6742</v>
      </c>
      <c r="C18804" t="s">
        <v>15409</v>
      </c>
      <c r="D18804" t="s">
        <v>56507</v>
      </c>
      <c r="E18804" t="b">
        <v>0</v>
      </c>
      <c r="F18804" t="s">
        <v>11610</v>
      </c>
      <c r="L18804">
        <v>0</v>
      </c>
      <c r="M18804">
        <v>0</v>
      </c>
      <c r="N18804">
        <v>0</v>
      </c>
    </row>
    <row r="18805" spans="1:15">
      <c r="A18805" t="s">
        <v>56508</v>
      </c>
      <c r="B18805" t="s">
        <v>11844</v>
      </c>
      <c r="C18805" t="s">
        <v>13540</v>
      </c>
      <c r="D18805" t="s">
        <v>56509</v>
      </c>
      <c r="E18805" t="b">
        <v>0</v>
      </c>
      <c r="F18805" t="s">
        <v>11610</v>
      </c>
      <c r="L18805">
        <v>0</v>
      </c>
      <c r="M18805">
        <v>0</v>
      </c>
      <c r="N18805">
        <v>0</v>
      </c>
    </row>
    <row r="18806" spans="1:15">
      <c r="A18806" t="s">
        <v>56510</v>
      </c>
      <c r="B18806" t="s">
        <v>22388</v>
      </c>
      <c r="C18806" t="s">
        <v>232</v>
      </c>
      <c r="D18806" t="s">
        <v>56511</v>
      </c>
      <c r="E18806" t="b">
        <v>0</v>
      </c>
      <c r="F18806" t="s">
        <v>11610</v>
      </c>
      <c r="L18806">
        <v>0</v>
      </c>
      <c r="M18806">
        <v>0</v>
      </c>
      <c r="N18806">
        <v>0</v>
      </c>
    </row>
    <row r="18807" spans="1:15">
      <c r="A18807" t="s">
        <v>56512</v>
      </c>
      <c r="B18807" t="s">
        <v>367</v>
      </c>
      <c r="C18807" t="s">
        <v>42392</v>
      </c>
      <c r="D18807" t="s">
        <v>56513</v>
      </c>
      <c r="E18807" t="b">
        <v>0</v>
      </c>
      <c r="F18807" t="s">
        <v>11624</v>
      </c>
      <c r="G18807">
        <v>-4.2699999999999996</v>
      </c>
      <c r="H18807">
        <v>144.965</v>
      </c>
      <c r="I18807" t="s">
        <v>56514</v>
      </c>
      <c r="L18807">
        <v>0</v>
      </c>
      <c r="M18807">
        <v>0</v>
      </c>
      <c r="N18807">
        <v>0</v>
      </c>
      <c r="O18807" t="s">
        <v>11660</v>
      </c>
    </row>
    <row r="18808" spans="1:15">
      <c r="A18808" t="s">
        <v>56515</v>
      </c>
      <c r="B18808" t="s">
        <v>367</v>
      </c>
      <c r="C18808" t="s">
        <v>26571</v>
      </c>
      <c r="D18808" t="s">
        <v>56516</v>
      </c>
      <c r="E18808" t="b">
        <v>0</v>
      </c>
      <c r="F18808" t="s">
        <v>11624</v>
      </c>
      <c r="G18808">
        <v>-3.3668200000000001</v>
      </c>
      <c r="H18808">
        <v>129.24299999999999</v>
      </c>
      <c r="I18808" t="s">
        <v>56517</v>
      </c>
      <c r="L18808">
        <v>0</v>
      </c>
      <c r="M18808">
        <v>0</v>
      </c>
      <c r="N18808">
        <v>0</v>
      </c>
      <c r="O18808" t="s">
        <v>11768</v>
      </c>
    </row>
    <row r="18809" spans="1:15">
      <c r="A18809" t="s">
        <v>56518</v>
      </c>
      <c r="B18809" t="s">
        <v>367</v>
      </c>
      <c r="C18809" t="s">
        <v>47740</v>
      </c>
      <c r="D18809" t="s">
        <v>56519</v>
      </c>
      <c r="E18809" t="b">
        <v>0</v>
      </c>
      <c r="F18809" t="s">
        <v>11610</v>
      </c>
      <c r="L18809">
        <v>0</v>
      </c>
      <c r="M18809">
        <v>0</v>
      </c>
      <c r="N18809">
        <v>0</v>
      </c>
    </row>
    <row r="18810" spans="1:15">
      <c r="A18810" t="s">
        <v>56520</v>
      </c>
      <c r="B18810" t="s">
        <v>11871</v>
      </c>
      <c r="C18810" t="s">
        <v>14642</v>
      </c>
      <c r="D18810" t="s">
        <v>56521</v>
      </c>
      <c r="E18810" t="b">
        <v>0</v>
      </c>
      <c r="F18810" t="s">
        <v>11624</v>
      </c>
      <c r="G18810">
        <v>-4.2278900000000004</v>
      </c>
      <c r="H18810">
        <v>144.809</v>
      </c>
      <c r="I18810" t="s">
        <v>56522</v>
      </c>
      <c r="L18810">
        <v>0</v>
      </c>
      <c r="M18810">
        <v>0</v>
      </c>
      <c r="N18810">
        <v>0</v>
      </c>
      <c r="O18810" t="s">
        <v>11660</v>
      </c>
    </row>
    <row r="18811" spans="1:15">
      <c r="A18811" t="s">
        <v>52645</v>
      </c>
      <c r="B18811" t="s">
        <v>6742</v>
      </c>
      <c r="C18811" t="s">
        <v>18803</v>
      </c>
      <c r="D18811" t="s">
        <v>56523</v>
      </c>
      <c r="E18811" t="b">
        <v>0</v>
      </c>
      <c r="F18811" t="s">
        <v>11622</v>
      </c>
      <c r="L18811">
        <v>0</v>
      </c>
      <c r="M18811">
        <v>2</v>
      </c>
      <c r="N18811">
        <v>14</v>
      </c>
    </row>
    <row r="18812" spans="1:15">
      <c r="A18812" t="s">
        <v>56524</v>
      </c>
      <c r="B18812" t="s">
        <v>11637</v>
      </c>
      <c r="C18812" t="s">
        <v>11822</v>
      </c>
      <c r="D18812" t="s">
        <v>56525</v>
      </c>
      <c r="E18812" t="b">
        <v>0</v>
      </c>
      <c r="F18812" t="s">
        <v>11610</v>
      </c>
      <c r="L18812">
        <v>0</v>
      </c>
      <c r="M18812">
        <v>0</v>
      </c>
      <c r="N18812">
        <v>0</v>
      </c>
    </row>
    <row r="18813" spans="1:15">
      <c r="A18813" t="s">
        <v>56526</v>
      </c>
      <c r="B18813" t="s">
        <v>11705</v>
      </c>
      <c r="C18813" t="s">
        <v>32941</v>
      </c>
      <c r="D18813" t="s">
        <v>56527</v>
      </c>
      <c r="E18813" t="b">
        <v>0</v>
      </c>
      <c r="F18813" t="s">
        <v>11624</v>
      </c>
      <c r="G18813">
        <v>-4.3092800000000002</v>
      </c>
      <c r="H18813">
        <v>142.11699999999999</v>
      </c>
      <c r="I18813" t="s">
        <v>56528</v>
      </c>
      <c r="L18813">
        <v>0</v>
      </c>
      <c r="M18813">
        <v>0</v>
      </c>
      <c r="N18813">
        <v>0</v>
      </c>
      <c r="O18813" t="s">
        <v>11660</v>
      </c>
    </row>
    <row r="18814" spans="1:15">
      <c r="A18814" t="s">
        <v>43543</v>
      </c>
      <c r="B18814" t="s">
        <v>11705</v>
      </c>
      <c r="C18814" t="s">
        <v>11705</v>
      </c>
      <c r="D18814" t="s">
        <v>56529</v>
      </c>
      <c r="E18814" t="b">
        <v>0</v>
      </c>
      <c r="F18814" t="s">
        <v>11622</v>
      </c>
      <c r="L18814">
        <v>3</v>
      </c>
      <c r="M18814">
        <v>6</v>
      </c>
      <c r="N18814">
        <v>2</v>
      </c>
    </row>
    <row r="18815" spans="1:15">
      <c r="A18815" t="s">
        <v>11705</v>
      </c>
      <c r="D18815" t="s">
        <v>56530</v>
      </c>
      <c r="E18815" t="b">
        <v>0</v>
      </c>
      <c r="F18815" t="s">
        <v>11622</v>
      </c>
      <c r="L18815">
        <v>20</v>
      </c>
      <c r="M18815">
        <v>36</v>
      </c>
      <c r="N18815">
        <v>22</v>
      </c>
    </row>
    <row r="18816" spans="1:15">
      <c r="A18816" t="s">
        <v>21790</v>
      </c>
      <c r="B18816" t="s">
        <v>11705</v>
      </c>
      <c r="C18816" t="s">
        <v>11705</v>
      </c>
      <c r="D18816" t="s">
        <v>56531</v>
      </c>
      <c r="E18816" t="b">
        <v>0</v>
      </c>
      <c r="F18816" t="s">
        <v>11622</v>
      </c>
      <c r="L18816">
        <v>7</v>
      </c>
      <c r="M18816">
        <v>15</v>
      </c>
      <c r="N18816">
        <v>14</v>
      </c>
    </row>
    <row r="18817" spans="1:15">
      <c r="A18817" t="s">
        <v>30863</v>
      </c>
      <c r="B18817" t="s">
        <v>13450</v>
      </c>
      <c r="C18817" t="s">
        <v>13450</v>
      </c>
      <c r="D18817" t="s">
        <v>56532</v>
      </c>
      <c r="E18817" t="b">
        <v>0</v>
      </c>
      <c r="F18817" t="s">
        <v>11622</v>
      </c>
      <c r="L18817">
        <v>0</v>
      </c>
      <c r="M18817">
        <v>1</v>
      </c>
      <c r="N18817">
        <v>0</v>
      </c>
    </row>
    <row r="18818" spans="1:15">
      <c r="A18818" t="s">
        <v>56533</v>
      </c>
      <c r="B18818" t="s">
        <v>12425</v>
      </c>
      <c r="C18818" t="s">
        <v>34194</v>
      </c>
      <c r="D18818" t="s">
        <v>56534</v>
      </c>
      <c r="E18818" t="b">
        <v>0</v>
      </c>
      <c r="F18818" t="s">
        <v>11610</v>
      </c>
      <c r="L18818">
        <v>0</v>
      </c>
      <c r="M18818">
        <v>0</v>
      </c>
      <c r="N18818">
        <v>0</v>
      </c>
    </row>
    <row r="18819" spans="1:15">
      <c r="A18819" t="s">
        <v>56535</v>
      </c>
      <c r="B18819" t="s">
        <v>367</v>
      </c>
      <c r="C18819" t="s">
        <v>14084</v>
      </c>
      <c r="D18819" t="s">
        <v>56536</v>
      </c>
      <c r="E18819" t="b">
        <v>0</v>
      </c>
      <c r="F18819" t="s">
        <v>11610</v>
      </c>
      <c r="L18819">
        <v>0</v>
      </c>
      <c r="M18819">
        <v>0</v>
      </c>
      <c r="N18819">
        <v>0</v>
      </c>
    </row>
    <row r="18820" spans="1:15">
      <c r="A18820" t="s">
        <v>15898</v>
      </c>
      <c r="B18820" t="s">
        <v>11637</v>
      </c>
      <c r="C18820" t="s">
        <v>7901</v>
      </c>
      <c r="D18820" t="s">
        <v>56537</v>
      </c>
      <c r="E18820" t="b">
        <v>0</v>
      </c>
      <c r="F18820" t="s">
        <v>11624</v>
      </c>
      <c r="G18820">
        <v>29.5534</v>
      </c>
      <c r="H18820">
        <v>71.906000000000006</v>
      </c>
      <c r="I18820" t="s">
        <v>56538</v>
      </c>
      <c r="L18820">
        <v>0</v>
      </c>
      <c r="M18820">
        <v>0</v>
      </c>
      <c r="N18820">
        <v>8</v>
      </c>
      <c r="O18820" t="s">
        <v>15870</v>
      </c>
    </row>
    <row r="18821" spans="1:15">
      <c r="A18821" t="s">
        <v>56539</v>
      </c>
      <c r="B18821" t="s">
        <v>367</v>
      </c>
      <c r="C18821" t="s">
        <v>56540</v>
      </c>
      <c r="D18821" t="s">
        <v>56541</v>
      </c>
      <c r="E18821" t="b">
        <v>0</v>
      </c>
      <c r="F18821" t="s">
        <v>11624</v>
      </c>
      <c r="G18821">
        <v>-2.9853999999999998</v>
      </c>
      <c r="H18821">
        <v>141.95099999999999</v>
      </c>
      <c r="I18821" t="s">
        <v>56542</v>
      </c>
      <c r="L18821">
        <v>0</v>
      </c>
      <c r="M18821">
        <v>0</v>
      </c>
      <c r="N18821">
        <v>0</v>
      </c>
      <c r="O18821" t="s">
        <v>11660</v>
      </c>
    </row>
    <row r="18822" spans="1:15">
      <c r="A18822" t="s">
        <v>56543</v>
      </c>
      <c r="B18822" t="s">
        <v>367</v>
      </c>
      <c r="C18822" t="s">
        <v>43938</v>
      </c>
      <c r="D18822" t="s">
        <v>56544</v>
      </c>
      <c r="E18822" t="b">
        <v>0</v>
      </c>
      <c r="F18822" t="s">
        <v>11610</v>
      </c>
      <c r="L18822">
        <v>0</v>
      </c>
      <c r="M18822">
        <v>0</v>
      </c>
      <c r="N18822">
        <v>0</v>
      </c>
    </row>
    <row r="18823" spans="1:15">
      <c r="A18823" t="s">
        <v>56545</v>
      </c>
      <c r="B18823" t="s">
        <v>367</v>
      </c>
      <c r="C18823" t="s">
        <v>28012</v>
      </c>
      <c r="D18823" t="s">
        <v>56546</v>
      </c>
      <c r="E18823" t="b">
        <v>0</v>
      </c>
      <c r="F18823" t="s">
        <v>11610</v>
      </c>
      <c r="L18823">
        <v>0</v>
      </c>
      <c r="M18823">
        <v>0</v>
      </c>
      <c r="N18823">
        <v>0</v>
      </c>
    </row>
    <row r="18824" spans="1:15">
      <c r="A18824" t="s">
        <v>56547</v>
      </c>
      <c r="B18824" t="s">
        <v>367</v>
      </c>
      <c r="C18824" t="s">
        <v>14866</v>
      </c>
      <c r="D18824" t="s">
        <v>56548</v>
      </c>
      <c r="E18824" t="b">
        <v>0</v>
      </c>
      <c r="F18824" t="s">
        <v>11610</v>
      </c>
      <c r="L18824">
        <v>0</v>
      </c>
      <c r="M18824">
        <v>0</v>
      </c>
      <c r="N18824">
        <v>0</v>
      </c>
    </row>
    <row r="18825" spans="1:15">
      <c r="A18825" t="s">
        <v>56549</v>
      </c>
      <c r="B18825" t="s">
        <v>11607</v>
      </c>
      <c r="C18825" t="s">
        <v>43925</v>
      </c>
      <c r="D18825" t="s">
        <v>56550</v>
      </c>
      <c r="E18825" t="b">
        <v>0</v>
      </c>
      <c r="F18825" t="s">
        <v>11610</v>
      </c>
      <c r="L18825">
        <v>0</v>
      </c>
      <c r="M18825">
        <v>0</v>
      </c>
      <c r="N18825">
        <v>0</v>
      </c>
    </row>
    <row r="18826" spans="1:15">
      <c r="A18826" t="s">
        <v>13396</v>
      </c>
      <c r="B18826" t="s">
        <v>367</v>
      </c>
      <c r="C18826" t="s">
        <v>52578</v>
      </c>
      <c r="D18826" t="s">
        <v>56551</v>
      </c>
      <c r="E18826" t="b">
        <v>0</v>
      </c>
      <c r="F18826" t="s">
        <v>11622</v>
      </c>
      <c r="L18826">
        <v>8</v>
      </c>
      <c r="M18826">
        <v>11</v>
      </c>
      <c r="N18826">
        <v>24</v>
      </c>
    </row>
    <row r="18827" spans="1:15">
      <c r="A18827" t="s">
        <v>56540</v>
      </c>
      <c r="B18827" t="s">
        <v>367</v>
      </c>
      <c r="C18827" t="s">
        <v>13082</v>
      </c>
      <c r="D18827" t="s">
        <v>56552</v>
      </c>
      <c r="E18827" t="b">
        <v>0</v>
      </c>
      <c r="F18827" t="s">
        <v>11622</v>
      </c>
      <c r="L18827">
        <v>1</v>
      </c>
      <c r="M18827">
        <v>4</v>
      </c>
      <c r="N18827">
        <v>0</v>
      </c>
    </row>
    <row r="18828" spans="1:15">
      <c r="A18828" t="s">
        <v>56553</v>
      </c>
      <c r="B18828" t="s">
        <v>11627</v>
      </c>
      <c r="C18828" t="s">
        <v>11627</v>
      </c>
      <c r="D18828" t="s">
        <v>56554</v>
      </c>
      <c r="E18828" t="b">
        <v>1</v>
      </c>
      <c r="F18828" t="s">
        <v>11624</v>
      </c>
      <c r="I18828" t="s">
        <v>56555</v>
      </c>
      <c r="L18828">
        <v>0</v>
      </c>
      <c r="M18828">
        <v>0</v>
      </c>
      <c r="N18828">
        <v>0</v>
      </c>
    </row>
    <row r="18829" spans="1:15">
      <c r="A18829" t="s">
        <v>244</v>
      </c>
      <c r="B18829" t="s">
        <v>11637</v>
      </c>
      <c r="C18829" t="s">
        <v>19683</v>
      </c>
      <c r="D18829" t="s">
        <v>56556</v>
      </c>
      <c r="E18829" t="b">
        <v>0</v>
      </c>
      <c r="F18829" t="s">
        <v>11610</v>
      </c>
      <c r="G18829">
        <v>44.323799999999999</v>
      </c>
      <c r="H18829">
        <v>21.9192</v>
      </c>
      <c r="I18829" t="s">
        <v>245</v>
      </c>
      <c r="L18829">
        <v>0</v>
      </c>
      <c r="M18829">
        <v>0</v>
      </c>
      <c r="N18829">
        <v>0</v>
      </c>
      <c r="O18829" t="s">
        <v>56557</v>
      </c>
    </row>
    <row r="18830" spans="1:15">
      <c r="A18830" t="s">
        <v>56558</v>
      </c>
      <c r="B18830" t="s">
        <v>11637</v>
      </c>
      <c r="C18830" t="s">
        <v>25733</v>
      </c>
      <c r="D18830" t="s">
        <v>56559</v>
      </c>
      <c r="E18830" t="b">
        <v>0</v>
      </c>
      <c r="F18830" t="s">
        <v>11610</v>
      </c>
      <c r="L18830">
        <v>0</v>
      </c>
      <c r="M18830">
        <v>0</v>
      </c>
      <c r="N18830">
        <v>0</v>
      </c>
    </row>
    <row r="18831" spans="1:15">
      <c r="A18831" t="s">
        <v>56560</v>
      </c>
      <c r="B18831" t="s">
        <v>367</v>
      </c>
      <c r="C18831" t="s">
        <v>19010</v>
      </c>
      <c r="D18831" t="s">
        <v>56561</v>
      </c>
      <c r="E18831" t="b">
        <v>0</v>
      </c>
      <c r="F18831" t="s">
        <v>11610</v>
      </c>
      <c r="L18831">
        <v>0</v>
      </c>
      <c r="M18831">
        <v>0</v>
      </c>
      <c r="N18831">
        <v>0</v>
      </c>
    </row>
    <row r="18832" spans="1:15">
      <c r="A18832" t="s">
        <v>54671</v>
      </c>
      <c r="B18832" t="s">
        <v>12204</v>
      </c>
      <c r="C18832" t="s">
        <v>12204</v>
      </c>
      <c r="D18832" t="s">
        <v>56562</v>
      </c>
      <c r="E18832" t="b">
        <v>0</v>
      </c>
      <c r="F18832" t="s">
        <v>11622</v>
      </c>
      <c r="L18832">
        <v>0</v>
      </c>
      <c r="M18832">
        <v>1</v>
      </c>
      <c r="N18832">
        <v>0</v>
      </c>
    </row>
    <row r="18833" spans="1:15">
      <c r="A18833" t="s">
        <v>56563</v>
      </c>
      <c r="B18833" t="s">
        <v>13360</v>
      </c>
      <c r="C18833" t="s">
        <v>13360</v>
      </c>
      <c r="D18833" t="s">
        <v>56564</v>
      </c>
      <c r="E18833" t="b">
        <v>0</v>
      </c>
      <c r="F18833" t="s">
        <v>11624</v>
      </c>
      <c r="L18833">
        <v>0</v>
      </c>
      <c r="M18833">
        <v>0</v>
      </c>
      <c r="N18833">
        <v>0</v>
      </c>
      <c r="O18833" t="s">
        <v>11635</v>
      </c>
    </row>
    <row r="18834" spans="1:15">
      <c r="A18834" t="s">
        <v>25711</v>
      </c>
      <c r="B18834" t="s">
        <v>6742</v>
      </c>
      <c r="C18834" t="s">
        <v>28125</v>
      </c>
      <c r="D18834" t="s">
        <v>56565</v>
      </c>
      <c r="E18834" t="b">
        <v>0</v>
      </c>
      <c r="F18834" t="s">
        <v>11624</v>
      </c>
      <c r="G18834">
        <v>13.8941</v>
      </c>
      <c r="H18834">
        <v>-16.3916</v>
      </c>
      <c r="I18834" t="s">
        <v>56566</v>
      </c>
      <c r="L18834">
        <v>0</v>
      </c>
      <c r="M18834">
        <v>0</v>
      </c>
      <c r="N18834">
        <v>5</v>
      </c>
      <c r="O18834" t="s">
        <v>28448</v>
      </c>
    </row>
    <row r="18835" spans="1:15">
      <c r="A18835" t="s">
        <v>27814</v>
      </c>
      <c r="B18835" t="s">
        <v>6742</v>
      </c>
      <c r="C18835" t="s">
        <v>47335</v>
      </c>
      <c r="D18835" t="s">
        <v>56567</v>
      </c>
      <c r="E18835" t="b">
        <v>0</v>
      </c>
      <c r="F18835" t="s">
        <v>11622</v>
      </c>
      <c r="L18835">
        <v>6</v>
      </c>
      <c r="M18835">
        <v>9</v>
      </c>
      <c r="N18835">
        <v>0</v>
      </c>
    </row>
    <row r="18836" spans="1:15">
      <c r="A18836" t="s">
        <v>16045</v>
      </c>
      <c r="B18836" t="s">
        <v>6742</v>
      </c>
      <c r="C18836" t="s">
        <v>32412</v>
      </c>
      <c r="D18836" t="s">
        <v>56568</v>
      </c>
      <c r="E18836" t="b">
        <v>0</v>
      </c>
      <c r="F18836" t="s">
        <v>11622</v>
      </c>
      <c r="L18836">
        <v>2</v>
      </c>
      <c r="M18836">
        <v>5</v>
      </c>
      <c r="N18836">
        <v>0</v>
      </c>
    </row>
    <row r="18837" spans="1:15">
      <c r="A18837" t="s">
        <v>56569</v>
      </c>
      <c r="B18837" t="s">
        <v>6742</v>
      </c>
      <c r="C18837" t="s">
        <v>46842</v>
      </c>
      <c r="D18837" t="s">
        <v>56570</v>
      </c>
      <c r="E18837" t="b">
        <v>0</v>
      </c>
      <c r="F18837" t="s">
        <v>11624</v>
      </c>
      <c r="G18837">
        <v>4.7112699999999998</v>
      </c>
      <c r="H18837">
        <v>27.468800000000002</v>
      </c>
      <c r="I18837" t="s">
        <v>56571</v>
      </c>
      <c r="L18837">
        <v>0</v>
      </c>
      <c r="M18837">
        <v>0</v>
      </c>
      <c r="N18837">
        <v>0</v>
      </c>
      <c r="O18837" t="s">
        <v>13069</v>
      </c>
    </row>
    <row r="18838" spans="1:15">
      <c r="A18838" t="s">
        <v>47335</v>
      </c>
      <c r="B18838" t="s">
        <v>6742</v>
      </c>
      <c r="C18838" t="s">
        <v>16534</v>
      </c>
      <c r="D18838" t="s">
        <v>56572</v>
      </c>
      <c r="E18838" t="b">
        <v>0</v>
      </c>
      <c r="F18838" t="s">
        <v>11622</v>
      </c>
      <c r="L18838">
        <v>21</v>
      </c>
      <c r="M18838">
        <v>26</v>
      </c>
      <c r="N18838">
        <v>5</v>
      </c>
    </row>
    <row r="18839" spans="1:15">
      <c r="A18839" t="s">
        <v>32412</v>
      </c>
      <c r="B18839" t="s">
        <v>6742</v>
      </c>
      <c r="C18839" t="s">
        <v>27814</v>
      </c>
      <c r="D18839" t="s">
        <v>56573</v>
      </c>
      <c r="E18839" t="b">
        <v>0</v>
      </c>
      <c r="F18839" t="s">
        <v>11622</v>
      </c>
      <c r="L18839">
        <v>4</v>
      </c>
      <c r="M18839">
        <v>7</v>
      </c>
      <c r="N18839">
        <v>0</v>
      </c>
    </row>
    <row r="18840" spans="1:15">
      <c r="A18840" t="s">
        <v>56574</v>
      </c>
      <c r="B18840" t="s">
        <v>11644</v>
      </c>
      <c r="C18840" t="s">
        <v>12404</v>
      </c>
      <c r="D18840" t="s">
        <v>56575</v>
      </c>
      <c r="E18840" t="b">
        <v>0</v>
      </c>
      <c r="F18840" t="s">
        <v>11610</v>
      </c>
      <c r="L18840">
        <v>0</v>
      </c>
      <c r="M18840">
        <v>0</v>
      </c>
      <c r="N18840">
        <v>0</v>
      </c>
    </row>
    <row r="18841" spans="1:15">
      <c r="A18841" t="s">
        <v>56576</v>
      </c>
      <c r="B18841" t="s">
        <v>367</v>
      </c>
      <c r="C18841" t="s">
        <v>21566</v>
      </c>
      <c r="D18841" t="s">
        <v>56577</v>
      </c>
      <c r="E18841" t="b">
        <v>0</v>
      </c>
      <c r="F18841" t="s">
        <v>11624</v>
      </c>
      <c r="G18841">
        <v>-8.1124100000000006</v>
      </c>
      <c r="H18841">
        <v>129.90100000000001</v>
      </c>
      <c r="I18841" t="s">
        <v>56578</v>
      </c>
      <c r="L18841">
        <v>0</v>
      </c>
      <c r="M18841">
        <v>0</v>
      </c>
      <c r="N18841">
        <v>0</v>
      </c>
      <c r="O18841" t="s">
        <v>11768</v>
      </c>
    </row>
    <row r="18842" spans="1:15">
      <c r="A18842" t="s">
        <v>56579</v>
      </c>
      <c r="B18842" t="s">
        <v>12557</v>
      </c>
      <c r="C18842" t="s">
        <v>48092</v>
      </c>
      <c r="D18842" t="s">
        <v>56580</v>
      </c>
      <c r="E18842" t="b">
        <v>0</v>
      </c>
      <c r="F18842" t="s">
        <v>11610</v>
      </c>
      <c r="L18842">
        <v>0</v>
      </c>
      <c r="M18842">
        <v>0</v>
      </c>
      <c r="N18842">
        <v>0</v>
      </c>
    </row>
    <row r="18843" spans="1:15">
      <c r="A18843" t="s">
        <v>103</v>
      </c>
      <c r="D18843" t="s">
        <v>102</v>
      </c>
      <c r="E18843" t="b">
        <v>0</v>
      </c>
      <c r="F18843" t="s">
        <v>11624</v>
      </c>
      <c r="G18843">
        <v>28.9877</v>
      </c>
      <c r="H18843">
        <v>-112.384</v>
      </c>
      <c r="I18843" t="s">
        <v>104</v>
      </c>
      <c r="L18843">
        <v>0</v>
      </c>
      <c r="M18843">
        <v>0</v>
      </c>
      <c r="N18843">
        <v>0</v>
      </c>
      <c r="O18843" t="s">
        <v>11883</v>
      </c>
    </row>
    <row r="18844" spans="1:15">
      <c r="A18844" t="s">
        <v>56581</v>
      </c>
      <c r="B18844" t="s">
        <v>367</v>
      </c>
      <c r="C18844" t="s">
        <v>39091</v>
      </c>
      <c r="D18844" t="s">
        <v>56582</v>
      </c>
      <c r="E18844" t="b">
        <v>0</v>
      </c>
      <c r="F18844" t="s">
        <v>11610</v>
      </c>
      <c r="L18844">
        <v>0</v>
      </c>
      <c r="M18844">
        <v>0</v>
      </c>
      <c r="N18844">
        <v>0</v>
      </c>
    </row>
    <row r="18845" spans="1:15">
      <c r="A18845" t="s">
        <v>28558</v>
      </c>
      <c r="B18845" t="s">
        <v>15146</v>
      </c>
      <c r="C18845" t="s">
        <v>38738</v>
      </c>
      <c r="D18845" t="s">
        <v>56583</v>
      </c>
      <c r="E18845" t="b">
        <v>0</v>
      </c>
      <c r="F18845" t="s">
        <v>11624</v>
      </c>
      <c r="G18845">
        <v>-33.038600000000002</v>
      </c>
      <c r="H18845">
        <v>22.002099999999999</v>
      </c>
      <c r="I18845" t="s">
        <v>56584</v>
      </c>
      <c r="L18845">
        <v>0</v>
      </c>
      <c r="M18845">
        <v>0</v>
      </c>
      <c r="N18845">
        <v>2</v>
      </c>
      <c r="O18845" t="s">
        <v>21031</v>
      </c>
    </row>
    <row r="18846" spans="1:15">
      <c r="A18846" t="s">
        <v>53650</v>
      </c>
      <c r="B18846" t="s">
        <v>16986</v>
      </c>
      <c r="C18846" t="s">
        <v>38970</v>
      </c>
      <c r="D18846" t="s">
        <v>56585</v>
      </c>
      <c r="E18846" t="b">
        <v>0</v>
      </c>
      <c r="F18846" t="s">
        <v>11622</v>
      </c>
      <c r="L18846">
        <v>1</v>
      </c>
      <c r="M18846">
        <v>3</v>
      </c>
      <c r="N18846">
        <v>2</v>
      </c>
    </row>
    <row r="18847" spans="1:15">
      <c r="A18847" t="s">
        <v>56586</v>
      </c>
      <c r="B18847" t="s">
        <v>12751</v>
      </c>
      <c r="C18847" t="s">
        <v>20947</v>
      </c>
      <c r="D18847" t="s">
        <v>56587</v>
      </c>
      <c r="E18847" t="b">
        <v>0</v>
      </c>
      <c r="F18847" t="s">
        <v>11622</v>
      </c>
      <c r="L18847">
        <v>0</v>
      </c>
      <c r="M18847">
        <v>2</v>
      </c>
      <c r="N18847">
        <v>0</v>
      </c>
    </row>
    <row r="18848" spans="1:15">
      <c r="A18848" t="s">
        <v>56588</v>
      </c>
      <c r="B18848" t="s">
        <v>12751</v>
      </c>
      <c r="C18848" t="s">
        <v>56586</v>
      </c>
      <c r="D18848" t="s">
        <v>56589</v>
      </c>
      <c r="E18848" t="b">
        <v>0</v>
      </c>
      <c r="F18848" t="s">
        <v>11624</v>
      </c>
      <c r="G18848">
        <v>33.947899999999997</v>
      </c>
      <c r="H18848">
        <v>-116.77200000000001</v>
      </c>
      <c r="I18848" t="s">
        <v>56590</v>
      </c>
      <c r="L18848">
        <v>0</v>
      </c>
      <c r="M18848">
        <v>0</v>
      </c>
      <c r="N18848">
        <v>0</v>
      </c>
      <c r="O18848" t="s">
        <v>11944</v>
      </c>
    </row>
    <row r="18849" spans="1:15">
      <c r="A18849" t="s">
        <v>56591</v>
      </c>
      <c r="B18849" t="s">
        <v>12959</v>
      </c>
      <c r="C18849" t="s">
        <v>12960</v>
      </c>
      <c r="D18849" t="s">
        <v>56592</v>
      </c>
      <c r="E18849" t="b">
        <v>0</v>
      </c>
      <c r="F18849" t="s">
        <v>11610</v>
      </c>
      <c r="L18849">
        <v>0</v>
      </c>
      <c r="M18849">
        <v>0</v>
      </c>
      <c r="N18849">
        <v>0</v>
      </c>
    </row>
    <row r="18850" spans="1:15">
      <c r="A18850" t="s">
        <v>56593</v>
      </c>
      <c r="B18850" t="s">
        <v>11637</v>
      </c>
      <c r="C18850" t="s">
        <v>11822</v>
      </c>
      <c r="D18850" t="s">
        <v>56594</v>
      </c>
      <c r="E18850" t="b">
        <v>0</v>
      </c>
      <c r="F18850" t="s">
        <v>11610</v>
      </c>
      <c r="L18850">
        <v>0</v>
      </c>
      <c r="M18850">
        <v>0</v>
      </c>
      <c r="N18850">
        <v>0</v>
      </c>
    </row>
    <row r="18851" spans="1:15">
      <c r="A18851" t="s">
        <v>56595</v>
      </c>
      <c r="B18851" t="s">
        <v>11644</v>
      </c>
      <c r="C18851" t="s">
        <v>11645</v>
      </c>
      <c r="D18851" t="s">
        <v>56596</v>
      </c>
      <c r="E18851" t="b">
        <v>0</v>
      </c>
      <c r="F18851" t="s">
        <v>11610</v>
      </c>
      <c r="L18851">
        <v>0</v>
      </c>
      <c r="M18851">
        <v>0</v>
      </c>
      <c r="N18851">
        <v>0</v>
      </c>
    </row>
    <row r="18852" spans="1:15">
      <c r="A18852" t="s">
        <v>56597</v>
      </c>
      <c r="B18852" t="s">
        <v>367</v>
      </c>
      <c r="C18852" t="s">
        <v>20584</v>
      </c>
      <c r="D18852" t="s">
        <v>56598</v>
      </c>
      <c r="E18852" t="b">
        <v>0</v>
      </c>
      <c r="F18852" t="s">
        <v>11624</v>
      </c>
      <c r="G18852">
        <v>-1.8776600000000001</v>
      </c>
      <c r="H18852">
        <v>136.25200000000001</v>
      </c>
      <c r="I18852" t="s">
        <v>56599</v>
      </c>
      <c r="L18852">
        <v>0</v>
      </c>
      <c r="M18852">
        <v>0</v>
      </c>
      <c r="N18852">
        <v>0</v>
      </c>
      <c r="O18852" t="s">
        <v>11768</v>
      </c>
    </row>
    <row r="18853" spans="1:15">
      <c r="A18853" t="s">
        <v>56600</v>
      </c>
      <c r="B18853" t="s">
        <v>367</v>
      </c>
      <c r="C18853" t="s">
        <v>47744</v>
      </c>
      <c r="D18853" t="s">
        <v>56601</v>
      </c>
      <c r="E18853" t="b">
        <v>0</v>
      </c>
      <c r="F18853" t="s">
        <v>11624</v>
      </c>
      <c r="G18853">
        <v>-6.31107</v>
      </c>
      <c r="H18853">
        <v>130.01729399999999</v>
      </c>
      <c r="I18853" t="s">
        <v>56602</v>
      </c>
      <c r="L18853">
        <v>0</v>
      </c>
      <c r="M18853">
        <v>0</v>
      </c>
      <c r="N18853">
        <v>0</v>
      </c>
      <c r="O18853" t="s">
        <v>11768</v>
      </c>
    </row>
    <row r="18854" spans="1:15">
      <c r="A18854" t="s">
        <v>56603</v>
      </c>
      <c r="B18854" t="s">
        <v>367</v>
      </c>
      <c r="C18854" t="s">
        <v>11669</v>
      </c>
      <c r="D18854" t="s">
        <v>56604</v>
      </c>
      <c r="E18854" t="b">
        <v>0</v>
      </c>
      <c r="F18854" t="s">
        <v>11624</v>
      </c>
      <c r="G18854">
        <v>4.39954</v>
      </c>
      <c r="H18854">
        <v>117.279</v>
      </c>
      <c r="I18854" t="s">
        <v>56605</v>
      </c>
      <c r="L18854">
        <v>0</v>
      </c>
      <c r="M18854">
        <v>0</v>
      </c>
      <c r="N18854">
        <v>0</v>
      </c>
      <c r="O18854" t="s">
        <v>16728</v>
      </c>
    </row>
    <row r="18855" spans="1:15">
      <c r="A18855" t="s">
        <v>56606</v>
      </c>
      <c r="B18855" t="s">
        <v>11627</v>
      </c>
      <c r="C18855" t="s">
        <v>11627</v>
      </c>
      <c r="D18855" t="s">
        <v>56607</v>
      </c>
      <c r="E18855" t="b">
        <v>1</v>
      </c>
      <c r="F18855" t="s">
        <v>11624</v>
      </c>
      <c r="G18855">
        <v>1.73885</v>
      </c>
      <c r="H18855">
        <v>112.133</v>
      </c>
      <c r="I18855" t="s">
        <v>56608</v>
      </c>
      <c r="L18855">
        <v>0</v>
      </c>
      <c r="M18855">
        <v>0</v>
      </c>
      <c r="N18855">
        <v>0</v>
      </c>
      <c r="O18855" t="s">
        <v>11672</v>
      </c>
    </row>
    <row r="18856" spans="1:15">
      <c r="A18856" t="s">
        <v>20584</v>
      </c>
      <c r="B18856" t="s">
        <v>367</v>
      </c>
      <c r="C18856" t="s">
        <v>21940</v>
      </c>
      <c r="D18856" t="s">
        <v>56609</v>
      </c>
      <c r="E18856" t="b">
        <v>0</v>
      </c>
      <c r="F18856" t="s">
        <v>11622</v>
      </c>
      <c r="L18856">
        <v>0</v>
      </c>
      <c r="M18856">
        <v>2</v>
      </c>
      <c r="N18856">
        <v>0</v>
      </c>
    </row>
    <row r="18857" spans="1:15">
      <c r="A18857" t="s">
        <v>56610</v>
      </c>
      <c r="B18857" t="s">
        <v>11644</v>
      </c>
      <c r="C18857" t="s">
        <v>12404</v>
      </c>
      <c r="D18857" t="s">
        <v>56611</v>
      </c>
      <c r="E18857" t="b">
        <v>0</v>
      </c>
      <c r="F18857" t="s">
        <v>11610</v>
      </c>
      <c r="L18857">
        <v>0</v>
      </c>
      <c r="M18857">
        <v>0</v>
      </c>
      <c r="N18857">
        <v>0</v>
      </c>
    </row>
    <row r="18858" spans="1:15">
      <c r="A18858" t="s">
        <v>56612</v>
      </c>
      <c r="B18858" t="s">
        <v>367</v>
      </c>
      <c r="C18858" t="s">
        <v>20392</v>
      </c>
      <c r="D18858" t="s">
        <v>56613</v>
      </c>
      <c r="E18858" t="b">
        <v>0</v>
      </c>
      <c r="F18858" t="s">
        <v>11610</v>
      </c>
      <c r="L18858">
        <v>0</v>
      </c>
      <c r="M18858">
        <v>0</v>
      </c>
      <c r="N18858">
        <v>0</v>
      </c>
    </row>
    <row r="18859" spans="1:15">
      <c r="A18859" t="s">
        <v>56614</v>
      </c>
      <c r="B18859" t="s">
        <v>367</v>
      </c>
      <c r="C18859" t="s">
        <v>48150</v>
      </c>
      <c r="D18859" t="s">
        <v>56615</v>
      </c>
      <c r="E18859" t="b">
        <v>0</v>
      </c>
      <c r="F18859" t="s">
        <v>11610</v>
      </c>
      <c r="L18859">
        <v>0</v>
      </c>
      <c r="M18859">
        <v>0</v>
      </c>
      <c r="N18859">
        <v>0</v>
      </c>
    </row>
    <row r="18860" spans="1:15">
      <c r="A18860" t="s">
        <v>56616</v>
      </c>
      <c r="B18860" t="s">
        <v>15162</v>
      </c>
      <c r="C18860" t="s">
        <v>15163</v>
      </c>
      <c r="D18860" t="s">
        <v>56617</v>
      </c>
      <c r="E18860" t="b">
        <v>0</v>
      </c>
      <c r="F18860" t="s">
        <v>11610</v>
      </c>
      <c r="L18860">
        <v>0</v>
      </c>
      <c r="M18860">
        <v>0</v>
      </c>
      <c r="N18860">
        <v>0</v>
      </c>
    </row>
    <row r="18861" spans="1:15">
      <c r="A18861" t="s">
        <v>56618</v>
      </c>
      <c r="B18861" t="s">
        <v>367</v>
      </c>
      <c r="C18861" t="s">
        <v>14352</v>
      </c>
      <c r="D18861" t="s">
        <v>56619</v>
      </c>
      <c r="E18861" t="b">
        <v>0</v>
      </c>
      <c r="F18861" t="s">
        <v>11610</v>
      </c>
      <c r="L18861">
        <v>0</v>
      </c>
      <c r="M18861">
        <v>0</v>
      </c>
      <c r="N18861">
        <v>0</v>
      </c>
    </row>
    <row r="18862" spans="1:15">
      <c r="A18862" t="s">
        <v>56620</v>
      </c>
      <c r="B18862" t="s">
        <v>6742</v>
      </c>
      <c r="C18862" t="s">
        <v>473</v>
      </c>
      <c r="D18862" t="s">
        <v>56621</v>
      </c>
      <c r="E18862" t="b">
        <v>0</v>
      </c>
      <c r="F18862" t="s">
        <v>11610</v>
      </c>
      <c r="L18862">
        <v>0</v>
      </c>
      <c r="M18862">
        <v>0</v>
      </c>
      <c r="N18862">
        <v>0</v>
      </c>
    </row>
    <row r="18863" spans="1:15">
      <c r="A18863" t="s">
        <v>56622</v>
      </c>
      <c r="B18863" t="s">
        <v>12254</v>
      </c>
      <c r="C18863" t="s">
        <v>12255</v>
      </c>
      <c r="D18863" t="s">
        <v>56623</v>
      </c>
      <c r="E18863" t="b">
        <v>0</v>
      </c>
      <c r="F18863" t="s">
        <v>11610</v>
      </c>
      <c r="L18863">
        <v>0</v>
      </c>
      <c r="M18863">
        <v>0</v>
      </c>
      <c r="N18863">
        <v>0</v>
      </c>
    </row>
    <row r="18864" spans="1:15">
      <c r="A18864" t="s">
        <v>56624</v>
      </c>
      <c r="B18864" t="s">
        <v>11637</v>
      </c>
      <c r="C18864" t="s">
        <v>32761</v>
      </c>
      <c r="D18864" t="s">
        <v>56625</v>
      </c>
      <c r="E18864" t="b">
        <v>0</v>
      </c>
      <c r="F18864" t="s">
        <v>11624</v>
      </c>
      <c r="G18864">
        <v>-4.6231400000000002</v>
      </c>
      <c r="H18864">
        <v>55.450299999999999</v>
      </c>
      <c r="I18864" t="s">
        <v>56626</v>
      </c>
      <c r="L18864">
        <v>0</v>
      </c>
      <c r="M18864">
        <v>0</v>
      </c>
      <c r="N18864">
        <v>0</v>
      </c>
      <c r="O18864" t="s">
        <v>56627</v>
      </c>
    </row>
    <row r="18865" spans="1:15">
      <c r="A18865" t="s">
        <v>56628</v>
      </c>
      <c r="B18865" t="s">
        <v>4236</v>
      </c>
      <c r="C18865" t="s">
        <v>21525</v>
      </c>
      <c r="D18865" t="s">
        <v>56629</v>
      </c>
      <c r="E18865" t="b">
        <v>0</v>
      </c>
      <c r="F18865" t="s">
        <v>11610</v>
      </c>
      <c r="L18865">
        <v>0</v>
      </c>
      <c r="M18865">
        <v>0</v>
      </c>
      <c r="N18865">
        <v>0</v>
      </c>
    </row>
    <row r="18866" spans="1:15">
      <c r="A18866" t="s">
        <v>56630</v>
      </c>
      <c r="B18866" t="s">
        <v>367</v>
      </c>
      <c r="C18866" t="s">
        <v>23883</v>
      </c>
      <c r="D18866" t="s">
        <v>56631</v>
      </c>
      <c r="E18866" t="b">
        <v>0</v>
      </c>
      <c r="F18866" t="s">
        <v>11610</v>
      </c>
      <c r="L18866">
        <v>0</v>
      </c>
      <c r="M18866">
        <v>0</v>
      </c>
      <c r="N18866">
        <v>0</v>
      </c>
    </row>
    <row r="18867" spans="1:15">
      <c r="A18867" t="s">
        <v>41004</v>
      </c>
      <c r="B18867" t="s">
        <v>6742</v>
      </c>
      <c r="C18867" t="s">
        <v>1932</v>
      </c>
      <c r="D18867" t="s">
        <v>56632</v>
      </c>
      <c r="E18867" t="b">
        <v>0</v>
      </c>
      <c r="F18867" t="s">
        <v>11622</v>
      </c>
      <c r="L18867">
        <v>0</v>
      </c>
      <c r="M18867">
        <v>2</v>
      </c>
      <c r="N18867">
        <v>2</v>
      </c>
    </row>
    <row r="18868" spans="1:15">
      <c r="A18868" t="s">
        <v>56633</v>
      </c>
      <c r="B18868" t="s">
        <v>11834</v>
      </c>
      <c r="C18868" t="s">
        <v>8868</v>
      </c>
      <c r="D18868" t="s">
        <v>56634</v>
      </c>
      <c r="E18868" t="b">
        <v>0</v>
      </c>
      <c r="F18868" t="s">
        <v>11624</v>
      </c>
      <c r="G18868">
        <v>-3.4215499999999999</v>
      </c>
      <c r="H18868">
        <v>141.74799999999999</v>
      </c>
      <c r="I18868" t="s">
        <v>56635</v>
      </c>
      <c r="L18868">
        <v>0</v>
      </c>
      <c r="M18868">
        <v>0</v>
      </c>
      <c r="N18868">
        <v>0</v>
      </c>
      <c r="O18868" t="s">
        <v>11660</v>
      </c>
    </row>
    <row r="18869" spans="1:15">
      <c r="A18869" t="s">
        <v>56636</v>
      </c>
      <c r="B18869" t="s">
        <v>11615</v>
      </c>
      <c r="C18869" t="s">
        <v>18644</v>
      </c>
      <c r="D18869" t="s">
        <v>56637</v>
      </c>
      <c r="E18869" t="b">
        <v>0</v>
      </c>
      <c r="F18869" t="s">
        <v>11624</v>
      </c>
      <c r="G18869">
        <v>-5.3113400000000004</v>
      </c>
      <c r="H18869">
        <v>141.833</v>
      </c>
      <c r="I18869" t="s">
        <v>56638</v>
      </c>
      <c r="L18869">
        <v>0</v>
      </c>
      <c r="M18869">
        <v>0</v>
      </c>
      <c r="N18869">
        <v>0</v>
      </c>
      <c r="O18869" t="s">
        <v>11660</v>
      </c>
    </row>
    <row r="18870" spans="1:15">
      <c r="A18870" t="s">
        <v>56639</v>
      </c>
      <c r="B18870" t="s">
        <v>367</v>
      </c>
      <c r="C18870" t="s">
        <v>36841</v>
      </c>
      <c r="D18870" t="s">
        <v>56640</v>
      </c>
      <c r="E18870" t="b">
        <v>0</v>
      </c>
      <c r="F18870" t="s">
        <v>11610</v>
      </c>
      <c r="L18870">
        <v>0</v>
      </c>
      <c r="M18870">
        <v>0</v>
      </c>
      <c r="N18870">
        <v>0</v>
      </c>
    </row>
    <row r="18871" spans="1:15">
      <c r="A18871" t="s">
        <v>56641</v>
      </c>
      <c r="B18871" t="s">
        <v>11705</v>
      </c>
      <c r="C18871" t="s">
        <v>28222</v>
      </c>
      <c r="D18871" t="s">
        <v>56642</v>
      </c>
      <c r="E18871" t="b">
        <v>0</v>
      </c>
      <c r="F18871" t="s">
        <v>11610</v>
      </c>
      <c r="L18871">
        <v>0</v>
      </c>
      <c r="M18871">
        <v>0</v>
      </c>
      <c r="N18871">
        <v>0</v>
      </c>
    </row>
    <row r="18872" spans="1:15">
      <c r="A18872" t="s">
        <v>56643</v>
      </c>
      <c r="B18872" t="s">
        <v>11834</v>
      </c>
      <c r="C18872" t="s">
        <v>8868</v>
      </c>
      <c r="D18872" t="s">
        <v>56644</v>
      </c>
      <c r="E18872" t="b">
        <v>0</v>
      </c>
      <c r="F18872" t="s">
        <v>11624</v>
      </c>
      <c r="G18872">
        <v>-3.4552100000000001</v>
      </c>
      <c r="H18872">
        <v>141.827</v>
      </c>
      <c r="I18872" t="s">
        <v>56645</v>
      </c>
      <c r="L18872">
        <v>0</v>
      </c>
      <c r="M18872">
        <v>0</v>
      </c>
      <c r="N18872">
        <v>0</v>
      </c>
      <c r="O18872" t="s">
        <v>11660</v>
      </c>
    </row>
    <row r="18873" spans="1:15">
      <c r="A18873" t="s">
        <v>17974</v>
      </c>
      <c r="B18873" t="s">
        <v>367</v>
      </c>
      <c r="C18873" t="s">
        <v>26541</v>
      </c>
      <c r="D18873" t="s">
        <v>56646</v>
      </c>
      <c r="E18873" t="b">
        <v>0</v>
      </c>
      <c r="F18873" t="s">
        <v>11622</v>
      </c>
      <c r="L18873">
        <v>0</v>
      </c>
      <c r="M18873">
        <v>4</v>
      </c>
      <c r="N18873">
        <v>6</v>
      </c>
    </row>
    <row r="18874" spans="1:15">
      <c r="A18874" t="s">
        <v>56647</v>
      </c>
      <c r="B18874" t="s">
        <v>6742</v>
      </c>
      <c r="C18874" t="s">
        <v>12632</v>
      </c>
      <c r="D18874" t="s">
        <v>56648</v>
      </c>
      <c r="E18874" t="b">
        <v>0</v>
      </c>
      <c r="F18874" t="s">
        <v>11610</v>
      </c>
      <c r="L18874">
        <v>0</v>
      </c>
      <c r="M18874">
        <v>0</v>
      </c>
      <c r="N18874">
        <v>0</v>
      </c>
    </row>
    <row r="18875" spans="1:15">
      <c r="A18875" t="s">
        <v>37765</v>
      </c>
      <c r="B18875" t="s">
        <v>12260</v>
      </c>
      <c r="C18875" t="s">
        <v>39731</v>
      </c>
      <c r="D18875" t="s">
        <v>56649</v>
      </c>
      <c r="E18875" t="b">
        <v>0</v>
      </c>
      <c r="F18875" t="s">
        <v>11610</v>
      </c>
      <c r="L18875">
        <v>0</v>
      </c>
      <c r="M18875">
        <v>0</v>
      </c>
      <c r="N18875">
        <v>5</v>
      </c>
    </row>
    <row r="18876" spans="1:15">
      <c r="A18876" t="s">
        <v>26662</v>
      </c>
      <c r="B18876" t="s">
        <v>12260</v>
      </c>
      <c r="C18876" t="s">
        <v>37765</v>
      </c>
      <c r="D18876" t="s">
        <v>56650</v>
      </c>
      <c r="E18876" t="b">
        <v>0</v>
      </c>
      <c r="F18876" t="s">
        <v>11610</v>
      </c>
      <c r="L18876">
        <v>0</v>
      </c>
      <c r="M18876">
        <v>0</v>
      </c>
      <c r="N18876">
        <v>3</v>
      </c>
    </row>
    <row r="18877" spans="1:15">
      <c r="A18877" t="s">
        <v>56651</v>
      </c>
      <c r="B18877" t="s">
        <v>13450</v>
      </c>
      <c r="C18877" t="s">
        <v>36472</v>
      </c>
      <c r="D18877" t="s">
        <v>56652</v>
      </c>
      <c r="E18877" t="b">
        <v>0</v>
      </c>
      <c r="F18877" t="s">
        <v>11624</v>
      </c>
      <c r="G18877">
        <v>-15.6067</v>
      </c>
      <c r="H18877">
        <v>28.692299999999999</v>
      </c>
      <c r="I18877" t="s">
        <v>56653</v>
      </c>
      <c r="L18877">
        <v>0</v>
      </c>
      <c r="M18877">
        <v>0</v>
      </c>
      <c r="N18877">
        <v>0</v>
      </c>
      <c r="O18877" t="s">
        <v>32215</v>
      </c>
    </row>
    <row r="18878" spans="1:15">
      <c r="A18878" t="s">
        <v>56654</v>
      </c>
      <c r="B18878" t="s">
        <v>11637</v>
      </c>
      <c r="C18878" t="s">
        <v>23037</v>
      </c>
      <c r="D18878" t="s">
        <v>56655</v>
      </c>
      <c r="E18878" t="b">
        <v>0</v>
      </c>
      <c r="F18878" t="s">
        <v>11610</v>
      </c>
      <c r="L18878">
        <v>0</v>
      </c>
      <c r="M18878">
        <v>0</v>
      </c>
      <c r="N18878">
        <v>0</v>
      </c>
    </row>
    <row r="18879" spans="1:15">
      <c r="A18879" t="s">
        <v>19434</v>
      </c>
      <c r="B18879" t="s">
        <v>6742</v>
      </c>
      <c r="C18879" t="s">
        <v>29453</v>
      </c>
      <c r="D18879" t="s">
        <v>56656</v>
      </c>
      <c r="E18879" t="b">
        <v>0</v>
      </c>
      <c r="F18879" t="s">
        <v>11622</v>
      </c>
      <c r="L18879">
        <v>2</v>
      </c>
      <c r="M18879">
        <v>4</v>
      </c>
      <c r="N18879">
        <v>5</v>
      </c>
    </row>
    <row r="18880" spans="1:15">
      <c r="A18880" t="s">
        <v>18486</v>
      </c>
      <c r="B18880" t="s">
        <v>12979</v>
      </c>
      <c r="C18880" t="s">
        <v>13046</v>
      </c>
      <c r="D18880" t="s">
        <v>56657</v>
      </c>
      <c r="E18880" t="b">
        <v>0</v>
      </c>
      <c r="F18880" t="s">
        <v>11624</v>
      </c>
      <c r="G18880">
        <v>53.909199999999998</v>
      </c>
      <c r="H18880">
        <v>-89.933099999999996</v>
      </c>
      <c r="I18880" t="s">
        <v>56658</v>
      </c>
      <c r="L18880">
        <v>0</v>
      </c>
      <c r="M18880">
        <v>0</v>
      </c>
      <c r="N18880">
        <v>4</v>
      </c>
      <c r="O18880" t="s">
        <v>13049</v>
      </c>
    </row>
    <row r="18881" spans="1:15">
      <c r="A18881" t="s">
        <v>56659</v>
      </c>
      <c r="B18881" t="s">
        <v>12979</v>
      </c>
      <c r="C18881" t="s">
        <v>18485</v>
      </c>
      <c r="D18881" t="s">
        <v>56660</v>
      </c>
      <c r="E18881" t="b">
        <v>0</v>
      </c>
      <c r="F18881" t="s">
        <v>11610</v>
      </c>
      <c r="L18881">
        <v>0</v>
      </c>
      <c r="M18881">
        <v>0</v>
      </c>
      <c r="N18881">
        <v>0</v>
      </c>
    </row>
    <row r="18882" spans="1:15">
      <c r="A18882" t="s">
        <v>13046</v>
      </c>
      <c r="B18882" t="s">
        <v>12979</v>
      </c>
      <c r="C18882" t="s">
        <v>222</v>
      </c>
      <c r="D18882" t="s">
        <v>56661</v>
      </c>
      <c r="E18882" t="b">
        <v>0</v>
      </c>
      <c r="F18882" t="s">
        <v>11622</v>
      </c>
      <c r="L18882">
        <v>0</v>
      </c>
      <c r="M18882">
        <v>2</v>
      </c>
      <c r="N18882">
        <v>6</v>
      </c>
    </row>
    <row r="18883" spans="1:15">
      <c r="A18883" t="s">
        <v>56662</v>
      </c>
      <c r="B18883" t="s">
        <v>13276</v>
      </c>
      <c r="C18883" t="s">
        <v>4247</v>
      </c>
      <c r="D18883" t="s">
        <v>56663</v>
      </c>
      <c r="E18883" t="b">
        <v>0</v>
      </c>
      <c r="F18883" t="s">
        <v>11610</v>
      </c>
      <c r="L18883">
        <v>0</v>
      </c>
      <c r="M18883">
        <v>0</v>
      </c>
      <c r="N18883">
        <v>0</v>
      </c>
    </row>
    <row r="18884" spans="1:15">
      <c r="A18884" t="s">
        <v>20725</v>
      </c>
      <c r="B18884" t="s">
        <v>367</v>
      </c>
      <c r="C18884" t="s">
        <v>19669</v>
      </c>
      <c r="D18884" t="s">
        <v>56664</v>
      </c>
      <c r="E18884" t="b">
        <v>0</v>
      </c>
      <c r="F18884" t="s">
        <v>11624</v>
      </c>
      <c r="G18884">
        <v>-10.027699999999999</v>
      </c>
      <c r="H18884">
        <v>150.95599999999999</v>
      </c>
      <c r="I18884" t="s">
        <v>56665</v>
      </c>
      <c r="L18884">
        <v>0</v>
      </c>
      <c r="M18884">
        <v>0</v>
      </c>
      <c r="N18884">
        <v>7</v>
      </c>
      <c r="O18884" t="s">
        <v>11660</v>
      </c>
    </row>
    <row r="18885" spans="1:15">
      <c r="A18885" t="s">
        <v>56666</v>
      </c>
      <c r="B18885" t="s">
        <v>367</v>
      </c>
      <c r="C18885" t="s">
        <v>20725</v>
      </c>
      <c r="D18885" t="s">
        <v>56667</v>
      </c>
      <c r="E18885" t="b">
        <v>0</v>
      </c>
      <c r="F18885" t="s">
        <v>11610</v>
      </c>
      <c r="L18885">
        <v>0</v>
      </c>
      <c r="M18885">
        <v>0</v>
      </c>
      <c r="N18885">
        <v>0</v>
      </c>
    </row>
    <row r="18886" spans="1:15">
      <c r="A18886" t="s">
        <v>56668</v>
      </c>
      <c r="B18886" t="s">
        <v>6742</v>
      </c>
      <c r="C18886" t="s">
        <v>25385</v>
      </c>
      <c r="D18886" t="s">
        <v>56669</v>
      </c>
      <c r="E18886" t="b">
        <v>0</v>
      </c>
      <c r="F18886" t="s">
        <v>11610</v>
      </c>
      <c r="L18886">
        <v>0</v>
      </c>
      <c r="M18886">
        <v>0</v>
      </c>
      <c r="N18886">
        <v>0</v>
      </c>
    </row>
    <row r="18887" spans="1:15">
      <c r="A18887" t="s">
        <v>56670</v>
      </c>
      <c r="B18887" t="s">
        <v>6742</v>
      </c>
      <c r="C18887" t="s">
        <v>29343</v>
      </c>
      <c r="D18887" t="s">
        <v>56671</v>
      </c>
      <c r="E18887" t="b">
        <v>0</v>
      </c>
      <c r="F18887" t="s">
        <v>11610</v>
      </c>
      <c r="L18887">
        <v>0</v>
      </c>
      <c r="M18887">
        <v>0</v>
      </c>
      <c r="N18887">
        <v>0</v>
      </c>
    </row>
    <row r="18888" spans="1:15">
      <c r="A18888" t="s">
        <v>56672</v>
      </c>
      <c r="B18888" t="s">
        <v>16388</v>
      </c>
      <c r="C18888" t="s">
        <v>31503</v>
      </c>
      <c r="D18888" t="s">
        <v>56673</v>
      </c>
      <c r="E18888" t="b">
        <v>0</v>
      </c>
      <c r="F18888" t="s">
        <v>11624</v>
      </c>
      <c r="G18888">
        <v>9.5076400000000003</v>
      </c>
      <c r="H18888">
        <v>34.6449</v>
      </c>
      <c r="I18888" t="s">
        <v>56674</v>
      </c>
      <c r="L18888">
        <v>0</v>
      </c>
      <c r="M18888">
        <v>0</v>
      </c>
      <c r="N18888">
        <v>0</v>
      </c>
      <c r="O18888" t="s">
        <v>11625</v>
      </c>
    </row>
    <row r="18889" spans="1:15">
      <c r="A18889" t="s">
        <v>56675</v>
      </c>
      <c r="B18889" t="s">
        <v>27929</v>
      </c>
      <c r="C18889" t="s">
        <v>27930</v>
      </c>
      <c r="D18889" t="s">
        <v>56676</v>
      </c>
      <c r="E18889" t="b">
        <v>0</v>
      </c>
      <c r="F18889" t="s">
        <v>11610</v>
      </c>
      <c r="L18889">
        <v>0</v>
      </c>
      <c r="M18889">
        <v>0</v>
      </c>
      <c r="N18889">
        <v>0</v>
      </c>
    </row>
    <row r="18890" spans="1:15">
      <c r="A18890" t="s">
        <v>56677</v>
      </c>
      <c r="B18890" t="s">
        <v>11607</v>
      </c>
      <c r="C18890" t="s">
        <v>48960</v>
      </c>
      <c r="D18890" t="s">
        <v>56678</v>
      </c>
      <c r="E18890" t="b">
        <v>0</v>
      </c>
      <c r="F18890" t="s">
        <v>11610</v>
      </c>
      <c r="L18890">
        <v>0</v>
      </c>
      <c r="M18890">
        <v>0</v>
      </c>
      <c r="N18890">
        <v>0</v>
      </c>
    </row>
    <row r="18891" spans="1:15">
      <c r="A18891" t="s">
        <v>56679</v>
      </c>
      <c r="B18891" t="s">
        <v>11644</v>
      </c>
      <c r="C18891" t="s">
        <v>51973</v>
      </c>
      <c r="D18891" t="s">
        <v>56680</v>
      </c>
      <c r="E18891" t="b">
        <v>0</v>
      </c>
      <c r="F18891" t="s">
        <v>11622</v>
      </c>
      <c r="L18891">
        <v>0</v>
      </c>
      <c r="M18891">
        <v>2</v>
      </c>
      <c r="N18891">
        <v>2</v>
      </c>
    </row>
    <row r="18892" spans="1:15">
      <c r="A18892" t="s">
        <v>51991</v>
      </c>
      <c r="B18892" t="s">
        <v>11644</v>
      </c>
      <c r="C18892" t="s">
        <v>56679</v>
      </c>
      <c r="D18892" t="s">
        <v>56681</v>
      </c>
      <c r="E18892" t="b">
        <v>0</v>
      </c>
      <c r="F18892" t="s">
        <v>11624</v>
      </c>
      <c r="G18892">
        <v>17.987200000000001</v>
      </c>
      <c r="H18892">
        <v>97.712599999999995</v>
      </c>
      <c r="I18892" t="s">
        <v>56682</v>
      </c>
      <c r="L18892">
        <v>0</v>
      </c>
      <c r="M18892">
        <v>0</v>
      </c>
      <c r="N18892">
        <v>2</v>
      </c>
      <c r="O18892" t="s">
        <v>20757</v>
      </c>
    </row>
    <row r="18893" spans="1:15">
      <c r="A18893" t="s">
        <v>56683</v>
      </c>
      <c r="B18893" t="s">
        <v>11644</v>
      </c>
      <c r="C18893" t="s">
        <v>25562</v>
      </c>
      <c r="D18893" t="s">
        <v>56684</v>
      </c>
      <c r="E18893" t="b">
        <v>0</v>
      </c>
      <c r="F18893" t="s">
        <v>11610</v>
      </c>
      <c r="L18893">
        <v>0</v>
      </c>
      <c r="M18893">
        <v>0</v>
      </c>
      <c r="N18893">
        <v>0</v>
      </c>
    </row>
    <row r="18894" spans="1:15">
      <c r="A18894" t="s">
        <v>56685</v>
      </c>
      <c r="B18894" t="s">
        <v>6742</v>
      </c>
      <c r="C18894" t="s">
        <v>25251</v>
      </c>
      <c r="D18894" t="s">
        <v>56686</v>
      </c>
      <c r="E18894" t="b">
        <v>0</v>
      </c>
      <c r="F18894" t="s">
        <v>11610</v>
      </c>
      <c r="L18894">
        <v>0</v>
      </c>
      <c r="M18894">
        <v>0</v>
      </c>
      <c r="N18894">
        <v>0</v>
      </c>
    </row>
    <row r="18895" spans="1:15">
      <c r="A18895" t="s">
        <v>56687</v>
      </c>
      <c r="B18895" t="s">
        <v>11607</v>
      </c>
      <c r="C18895" t="s">
        <v>38088</v>
      </c>
      <c r="D18895" t="s">
        <v>56688</v>
      </c>
      <c r="E18895" t="b">
        <v>0</v>
      </c>
      <c r="F18895" t="s">
        <v>11624</v>
      </c>
      <c r="G18895">
        <v>9.2328100000000006</v>
      </c>
      <c r="H18895">
        <v>8.7756900000000009</v>
      </c>
      <c r="I18895" t="s">
        <v>56689</v>
      </c>
      <c r="L18895">
        <v>0</v>
      </c>
      <c r="M18895">
        <v>0</v>
      </c>
      <c r="N18895">
        <v>0</v>
      </c>
      <c r="O18895" t="s">
        <v>11693</v>
      </c>
    </row>
    <row r="18896" spans="1:15">
      <c r="A18896" t="s">
        <v>56690</v>
      </c>
      <c r="B18896" t="s">
        <v>11637</v>
      </c>
      <c r="C18896" t="s">
        <v>12777</v>
      </c>
      <c r="D18896" t="s">
        <v>56691</v>
      </c>
      <c r="E18896" t="b">
        <v>0</v>
      </c>
      <c r="F18896" t="s">
        <v>11610</v>
      </c>
      <c r="L18896">
        <v>0</v>
      </c>
      <c r="M18896">
        <v>0</v>
      </c>
      <c r="N18896">
        <v>0</v>
      </c>
    </row>
    <row r="18897" spans="1:15">
      <c r="A18897" t="s">
        <v>16068</v>
      </c>
      <c r="B18897" t="s">
        <v>11637</v>
      </c>
      <c r="C18897" t="s">
        <v>29569</v>
      </c>
      <c r="D18897" t="s">
        <v>56692</v>
      </c>
      <c r="E18897" t="b">
        <v>0</v>
      </c>
      <c r="F18897" t="s">
        <v>11622</v>
      </c>
      <c r="L18897">
        <v>0</v>
      </c>
      <c r="M18897">
        <v>2</v>
      </c>
      <c r="N18897">
        <v>0</v>
      </c>
    </row>
    <row r="18898" spans="1:15">
      <c r="A18898" t="s">
        <v>56693</v>
      </c>
      <c r="B18898" t="s">
        <v>11637</v>
      </c>
      <c r="C18898" t="s">
        <v>16068</v>
      </c>
      <c r="D18898" t="s">
        <v>56694</v>
      </c>
      <c r="E18898" t="b">
        <v>0</v>
      </c>
      <c r="F18898" t="s">
        <v>11624</v>
      </c>
      <c r="G18898">
        <v>36.375</v>
      </c>
      <c r="H18898">
        <v>43.143999999999998</v>
      </c>
      <c r="I18898" t="s">
        <v>56695</v>
      </c>
      <c r="L18898">
        <v>0</v>
      </c>
      <c r="M18898">
        <v>0</v>
      </c>
      <c r="N18898">
        <v>0</v>
      </c>
      <c r="O18898" t="s">
        <v>12765</v>
      </c>
    </row>
    <row r="18899" spans="1:15">
      <c r="A18899" t="s">
        <v>56696</v>
      </c>
      <c r="D18899" t="s">
        <v>56697</v>
      </c>
      <c r="E18899" t="b">
        <v>0</v>
      </c>
      <c r="F18899" t="s">
        <v>11624</v>
      </c>
      <c r="G18899">
        <v>7.6440700000000001</v>
      </c>
      <c r="H18899">
        <v>35.222999999999999</v>
      </c>
      <c r="I18899" t="s">
        <v>56698</v>
      </c>
      <c r="L18899">
        <v>0</v>
      </c>
      <c r="M18899">
        <v>0</v>
      </c>
      <c r="N18899">
        <v>0</v>
      </c>
      <c r="O18899" t="s">
        <v>11625</v>
      </c>
    </row>
    <row r="18900" spans="1:15">
      <c r="A18900" t="s">
        <v>56699</v>
      </c>
      <c r="B18900" t="s">
        <v>21516</v>
      </c>
      <c r="C18900" t="s">
        <v>22069</v>
      </c>
      <c r="D18900" t="s">
        <v>56700</v>
      </c>
      <c r="E18900" t="b">
        <v>0</v>
      </c>
      <c r="F18900" t="s">
        <v>11610</v>
      </c>
      <c r="L18900">
        <v>0</v>
      </c>
      <c r="M18900">
        <v>0</v>
      </c>
      <c r="N18900">
        <v>0</v>
      </c>
    </row>
    <row r="18901" spans="1:15">
      <c r="A18901" t="s">
        <v>56701</v>
      </c>
      <c r="B18901" t="s">
        <v>6742</v>
      </c>
      <c r="C18901" t="s">
        <v>20429</v>
      </c>
      <c r="D18901" t="s">
        <v>56702</v>
      </c>
      <c r="E18901" t="b">
        <v>0</v>
      </c>
      <c r="F18901" t="s">
        <v>11610</v>
      </c>
      <c r="L18901">
        <v>0</v>
      </c>
      <c r="M18901">
        <v>0</v>
      </c>
      <c r="N18901">
        <v>0</v>
      </c>
    </row>
    <row r="18902" spans="1:15">
      <c r="A18902" t="s">
        <v>56703</v>
      </c>
      <c r="B18902" t="s">
        <v>6742</v>
      </c>
      <c r="C18902" t="s">
        <v>16209</v>
      </c>
      <c r="D18902" t="s">
        <v>56704</v>
      </c>
      <c r="E18902" t="b">
        <v>0</v>
      </c>
      <c r="F18902" t="s">
        <v>11610</v>
      </c>
      <c r="L18902">
        <v>0</v>
      </c>
      <c r="M18902">
        <v>0</v>
      </c>
      <c r="N18902">
        <v>0</v>
      </c>
    </row>
    <row r="18903" spans="1:15">
      <c r="A18903" t="s">
        <v>56705</v>
      </c>
      <c r="B18903" t="s">
        <v>11637</v>
      </c>
      <c r="C18903" t="s">
        <v>43551</v>
      </c>
      <c r="D18903" t="s">
        <v>56706</v>
      </c>
      <c r="E18903" t="b">
        <v>0</v>
      </c>
      <c r="F18903" t="s">
        <v>11624</v>
      </c>
      <c r="G18903">
        <v>35.777999999999999</v>
      </c>
      <c r="H18903">
        <v>53.32</v>
      </c>
      <c r="I18903" t="s">
        <v>56707</v>
      </c>
      <c r="L18903">
        <v>0</v>
      </c>
      <c r="M18903">
        <v>0</v>
      </c>
      <c r="N18903">
        <v>0</v>
      </c>
      <c r="O18903" t="s">
        <v>13225</v>
      </c>
    </row>
    <row r="18904" spans="1:15">
      <c r="A18904" t="s">
        <v>56708</v>
      </c>
      <c r="B18904" t="s">
        <v>11637</v>
      </c>
      <c r="C18904" t="s">
        <v>34238</v>
      </c>
      <c r="D18904" t="s">
        <v>56709</v>
      </c>
      <c r="E18904" t="b">
        <v>0</v>
      </c>
      <c r="F18904" t="s">
        <v>11624</v>
      </c>
      <c r="G18904">
        <v>36.758099999999999</v>
      </c>
      <c r="H18904">
        <v>50.2074</v>
      </c>
      <c r="I18904" t="s">
        <v>56710</v>
      </c>
      <c r="L18904">
        <v>0</v>
      </c>
      <c r="M18904">
        <v>0</v>
      </c>
      <c r="N18904">
        <v>2</v>
      </c>
      <c r="O18904" t="s">
        <v>13225</v>
      </c>
    </row>
    <row r="18905" spans="1:15">
      <c r="A18905" t="s">
        <v>56711</v>
      </c>
      <c r="B18905" t="s">
        <v>11637</v>
      </c>
      <c r="C18905" t="s">
        <v>14273</v>
      </c>
      <c r="D18905" t="s">
        <v>56712</v>
      </c>
      <c r="E18905" t="b">
        <v>0</v>
      </c>
      <c r="F18905" t="s">
        <v>11610</v>
      </c>
      <c r="L18905">
        <v>0</v>
      </c>
      <c r="M18905">
        <v>0</v>
      </c>
      <c r="N18905">
        <v>0</v>
      </c>
    </row>
    <row r="18906" spans="1:15">
      <c r="A18906" t="s">
        <v>56713</v>
      </c>
      <c r="B18906" t="s">
        <v>11637</v>
      </c>
      <c r="C18906" t="s">
        <v>16090</v>
      </c>
      <c r="D18906" t="s">
        <v>56714</v>
      </c>
      <c r="E18906" t="b">
        <v>0</v>
      </c>
      <c r="F18906" t="s">
        <v>11610</v>
      </c>
      <c r="L18906">
        <v>0</v>
      </c>
      <c r="M18906">
        <v>0</v>
      </c>
      <c r="N18906">
        <v>0</v>
      </c>
    </row>
    <row r="18907" spans="1:15">
      <c r="A18907" t="s">
        <v>56715</v>
      </c>
      <c r="B18907" t="s">
        <v>331</v>
      </c>
      <c r="C18907" t="s">
        <v>12244</v>
      </c>
      <c r="D18907" t="s">
        <v>56716</v>
      </c>
      <c r="E18907" t="b">
        <v>0</v>
      </c>
      <c r="F18907" t="s">
        <v>11610</v>
      </c>
      <c r="L18907">
        <v>0</v>
      </c>
      <c r="M18907">
        <v>0</v>
      </c>
      <c r="N18907">
        <v>0</v>
      </c>
    </row>
    <row r="18908" spans="1:15">
      <c r="A18908" t="s">
        <v>56717</v>
      </c>
      <c r="B18908" t="s">
        <v>11607</v>
      </c>
      <c r="C18908" t="s">
        <v>17194</v>
      </c>
      <c r="D18908" t="s">
        <v>56718</v>
      </c>
      <c r="E18908" t="b">
        <v>0</v>
      </c>
      <c r="F18908" t="s">
        <v>11610</v>
      </c>
      <c r="L18908">
        <v>0</v>
      </c>
      <c r="M18908">
        <v>0</v>
      </c>
      <c r="N18908">
        <v>0</v>
      </c>
    </row>
    <row r="18909" spans="1:15">
      <c r="A18909" t="s">
        <v>56719</v>
      </c>
      <c r="B18909" t="s">
        <v>11637</v>
      </c>
      <c r="C18909" t="s">
        <v>49358</v>
      </c>
      <c r="D18909" t="s">
        <v>56720</v>
      </c>
      <c r="E18909" t="b">
        <v>0</v>
      </c>
      <c r="F18909" t="s">
        <v>11610</v>
      </c>
      <c r="L18909">
        <v>0</v>
      </c>
      <c r="M18909">
        <v>0</v>
      </c>
      <c r="N18909">
        <v>0</v>
      </c>
    </row>
    <row r="18910" spans="1:15">
      <c r="A18910" t="s">
        <v>56721</v>
      </c>
      <c r="B18910" t="s">
        <v>6742</v>
      </c>
      <c r="C18910" t="s">
        <v>11971</v>
      </c>
      <c r="D18910" t="s">
        <v>56722</v>
      </c>
      <c r="E18910" t="b">
        <v>0</v>
      </c>
      <c r="F18910" t="s">
        <v>11610</v>
      </c>
      <c r="L18910">
        <v>0</v>
      </c>
      <c r="M18910">
        <v>0</v>
      </c>
      <c r="N18910">
        <v>0</v>
      </c>
    </row>
    <row r="18911" spans="1:15">
      <c r="A18911" t="s">
        <v>56723</v>
      </c>
      <c r="B18911" t="s">
        <v>11627</v>
      </c>
      <c r="C18911" t="s">
        <v>11627</v>
      </c>
      <c r="D18911" t="s">
        <v>56724</v>
      </c>
      <c r="E18911" t="b">
        <v>1</v>
      </c>
      <c r="F18911" t="s">
        <v>11624</v>
      </c>
      <c r="I18911" t="s">
        <v>56725</v>
      </c>
      <c r="L18911">
        <v>0</v>
      </c>
      <c r="M18911">
        <v>0</v>
      </c>
      <c r="N18911">
        <v>0</v>
      </c>
      <c r="O18911" t="s">
        <v>11693</v>
      </c>
    </row>
    <row r="18912" spans="1:15">
      <c r="A18912" t="s">
        <v>56726</v>
      </c>
      <c r="B18912" t="s">
        <v>6742</v>
      </c>
      <c r="C18912" t="s">
        <v>56727</v>
      </c>
      <c r="D18912" t="s">
        <v>56728</v>
      </c>
      <c r="E18912" t="b">
        <v>0</v>
      </c>
      <c r="F18912" t="s">
        <v>11610</v>
      </c>
      <c r="L18912">
        <v>0</v>
      </c>
      <c r="M18912">
        <v>0</v>
      </c>
      <c r="N18912">
        <v>0</v>
      </c>
    </row>
    <row r="18913" spans="1:15">
      <c r="A18913" t="s">
        <v>56727</v>
      </c>
      <c r="B18913" t="s">
        <v>6742</v>
      </c>
      <c r="C18913" t="s">
        <v>18118</v>
      </c>
      <c r="D18913" t="s">
        <v>56729</v>
      </c>
      <c r="E18913" t="b">
        <v>0</v>
      </c>
      <c r="F18913" t="s">
        <v>11624</v>
      </c>
      <c r="G18913">
        <v>9.8755600000000001</v>
      </c>
      <c r="H18913">
        <v>9.6498799999999996</v>
      </c>
      <c r="I18913" t="s">
        <v>56730</v>
      </c>
      <c r="L18913">
        <v>0</v>
      </c>
      <c r="M18913">
        <v>0</v>
      </c>
      <c r="N18913">
        <v>2</v>
      </c>
      <c r="O18913" t="s">
        <v>11693</v>
      </c>
    </row>
    <row r="18914" spans="1:15">
      <c r="A18914" t="s">
        <v>56731</v>
      </c>
      <c r="B18914" t="s">
        <v>6742</v>
      </c>
      <c r="C18914" t="s">
        <v>55330</v>
      </c>
      <c r="D18914" t="s">
        <v>56732</v>
      </c>
      <c r="E18914" t="b">
        <v>0</v>
      </c>
      <c r="F18914" t="s">
        <v>11610</v>
      </c>
      <c r="L18914">
        <v>0</v>
      </c>
      <c r="M18914">
        <v>0</v>
      </c>
      <c r="N18914">
        <v>0</v>
      </c>
    </row>
    <row r="18915" spans="1:15">
      <c r="A18915" t="s">
        <v>56733</v>
      </c>
      <c r="B18915" t="s">
        <v>11644</v>
      </c>
      <c r="C18915" t="s">
        <v>38926</v>
      </c>
      <c r="D18915" t="s">
        <v>56734</v>
      </c>
      <c r="E18915" t="b">
        <v>0</v>
      </c>
      <c r="F18915" t="s">
        <v>11610</v>
      </c>
      <c r="L18915">
        <v>0</v>
      </c>
      <c r="M18915">
        <v>0</v>
      </c>
      <c r="N18915">
        <v>0</v>
      </c>
    </row>
    <row r="18916" spans="1:15">
      <c r="A18916" t="s">
        <v>56735</v>
      </c>
      <c r="B18916" t="s">
        <v>11637</v>
      </c>
      <c r="C18916" t="s">
        <v>14469</v>
      </c>
      <c r="D18916" t="s">
        <v>56736</v>
      </c>
      <c r="E18916" t="b">
        <v>0</v>
      </c>
      <c r="F18916" t="s">
        <v>11610</v>
      </c>
      <c r="L18916">
        <v>0</v>
      </c>
      <c r="M18916">
        <v>0</v>
      </c>
      <c r="N18916">
        <v>0</v>
      </c>
    </row>
    <row r="18917" spans="1:15">
      <c r="A18917" t="s">
        <v>56737</v>
      </c>
      <c r="B18917" t="s">
        <v>11637</v>
      </c>
      <c r="C18917" t="s">
        <v>12947</v>
      </c>
      <c r="D18917" t="s">
        <v>56738</v>
      </c>
      <c r="E18917" t="b">
        <v>0</v>
      </c>
      <c r="F18917" t="s">
        <v>11610</v>
      </c>
      <c r="L18917">
        <v>0</v>
      </c>
      <c r="M18917">
        <v>0</v>
      </c>
      <c r="N18917">
        <v>0</v>
      </c>
    </row>
    <row r="18918" spans="1:15">
      <c r="A18918" t="s">
        <v>56739</v>
      </c>
      <c r="B18918" t="s">
        <v>331</v>
      </c>
      <c r="C18918" t="s">
        <v>16164</v>
      </c>
      <c r="D18918" t="s">
        <v>56740</v>
      </c>
      <c r="E18918" t="b">
        <v>0</v>
      </c>
      <c r="F18918" t="s">
        <v>11610</v>
      </c>
      <c r="L18918">
        <v>0</v>
      </c>
      <c r="M18918">
        <v>0</v>
      </c>
      <c r="N18918">
        <v>0</v>
      </c>
    </row>
    <row r="18919" spans="1:15">
      <c r="A18919" t="s">
        <v>56741</v>
      </c>
      <c r="B18919" t="s">
        <v>11644</v>
      </c>
      <c r="C18919" t="s">
        <v>13896</v>
      </c>
      <c r="D18919" t="s">
        <v>56742</v>
      </c>
      <c r="E18919" t="b">
        <v>0</v>
      </c>
      <c r="F18919" t="s">
        <v>11610</v>
      </c>
      <c r="L18919">
        <v>0</v>
      </c>
      <c r="M18919">
        <v>0</v>
      </c>
      <c r="N18919">
        <v>0</v>
      </c>
    </row>
    <row r="18920" spans="1:15">
      <c r="A18920" t="s">
        <v>56743</v>
      </c>
      <c r="B18920" t="s">
        <v>6742</v>
      </c>
      <c r="C18920" t="s">
        <v>23434</v>
      </c>
      <c r="D18920" t="s">
        <v>56744</v>
      </c>
      <c r="E18920" t="b">
        <v>0</v>
      </c>
      <c r="F18920" t="s">
        <v>11624</v>
      </c>
      <c r="G18920">
        <v>9.4700000000000006</v>
      </c>
      <c r="H18920">
        <v>8.0516299999999994</v>
      </c>
      <c r="I18920" t="s">
        <v>56745</v>
      </c>
      <c r="L18920">
        <v>0</v>
      </c>
      <c r="M18920">
        <v>0</v>
      </c>
      <c r="N18920">
        <v>0</v>
      </c>
      <c r="O18920" t="s">
        <v>11693</v>
      </c>
    </row>
    <row r="18921" spans="1:15">
      <c r="A18921" t="s">
        <v>55330</v>
      </c>
      <c r="B18921" t="s">
        <v>6742</v>
      </c>
      <c r="C18921" t="s">
        <v>26082</v>
      </c>
      <c r="D18921" t="s">
        <v>56746</v>
      </c>
      <c r="E18921" t="b">
        <v>0</v>
      </c>
      <c r="F18921" t="s">
        <v>11624</v>
      </c>
      <c r="G18921">
        <v>10.4369</v>
      </c>
      <c r="H18921">
        <v>6.20275</v>
      </c>
      <c r="I18921" t="s">
        <v>56747</v>
      </c>
      <c r="L18921">
        <v>0</v>
      </c>
      <c r="M18921">
        <v>0</v>
      </c>
      <c r="N18921">
        <v>2</v>
      </c>
      <c r="O18921" t="s">
        <v>11693</v>
      </c>
    </row>
    <row r="18922" spans="1:15">
      <c r="A18922" t="s">
        <v>37524</v>
      </c>
      <c r="B18922" t="s">
        <v>6742</v>
      </c>
      <c r="C18922" t="s">
        <v>19427</v>
      </c>
      <c r="D18922" t="s">
        <v>56748</v>
      </c>
      <c r="E18922" t="b">
        <v>0</v>
      </c>
      <c r="F18922" t="s">
        <v>11624</v>
      </c>
      <c r="G18922">
        <v>-4.8</v>
      </c>
      <c r="H18922">
        <v>38.29</v>
      </c>
      <c r="I18922" t="s">
        <v>56749</v>
      </c>
      <c r="L18922">
        <v>0</v>
      </c>
      <c r="M18922">
        <v>0</v>
      </c>
      <c r="N18922">
        <v>3</v>
      </c>
      <c r="O18922" t="s">
        <v>11635</v>
      </c>
    </row>
    <row r="18923" spans="1:15">
      <c r="A18923" t="s">
        <v>56750</v>
      </c>
      <c r="B18923" t="s">
        <v>6742</v>
      </c>
      <c r="C18923" t="s">
        <v>13575</v>
      </c>
      <c r="D18923" t="s">
        <v>56751</v>
      </c>
      <c r="E18923" t="b">
        <v>0</v>
      </c>
      <c r="F18923" t="s">
        <v>11610</v>
      </c>
      <c r="L18923">
        <v>0</v>
      </c>
      <c r="M18923">
        <v>0</v>
      </c>
      <c r="N18923">
        <v>0</v>
      </c>
    </row>
    <row r="18924" spans="1:15">
      <c r="A18924" t="s">
        <v>16351</v>
      </c>
      <c r="B18924" t="s">
        <v>11644</v>
      </c>
      <c r="C18924" t="s">
        <v>22248</v>
      </c>
      <c r="D18924" t="s">
        <v>56752</v>
      </c>
      <c r="E18924" t="b">
        <v>0</v>
      </c>
      <c r="F18924" t="s">
        <v>11622</v>
      </c>
      <c r="L18924">
        <v>0</v>
      </c>
      <c r="M18924">
        <v>2</v>
      </c>
      <c r="N18924">
        <v>0</v>
      </c>
    </row>
    <row r="18925" spans="1:15">
      <c r="A18925" t="s">
        <v>56753</v>
      </c>
      <c r="B18925" t="s">
        <v>11644</v>
      </c>
      <c r="C18925" t="s">
        <v>22298</v>
      </c>
      <c r="D18925" t="s">
        <v>56754</v>
      </c>
      <c r="E18925" t="b">
        <v>0</v>
      </c>
      <c r="F18925" t="s">
        <v>11610</v>
      </c>
      <c r="G18925">
        <v>23.337241899999999</v>
      </c>
      <c r="H18925">
        <v>116.6068173</v>
      </c>
      <c r="L18925">
        <v>0</v>
      </c>
      <c r="M18925">
        <v>0</v>
      </c>
      <c r="N18925">
        <v>0</v>
      </c>
    </row>
    <row r="18926" spans="1:15">
      <c r="A18926" t="s">
        <v>56755</v>
      </c>
      <c r="B18926" t="s">
        <v>11981</v>
      </c>
      <c r="C18926" t="s">
        <v>22614</v>
      </c>
      <c r="D18926" t="s">
        <v>56756</v>
      </c>
      <c r="E18926" t="b">
        <v>0</v>
      </c>
      <c r="F18926" t="s">
        <v>11610</v>
      </c>
      <c r="L18926">
        <v>0</v>
      </c>
      <c r="M18926">
        <v>0</v>
      </c>
      <c r="N18926">
        <v>0</v>
      </c>
    </row>
    <row r="18927" spans="1:15">
      <c r="A18927" t="s">
        <v>56757</v>
      </c>
      <c r="B18927" t="s">
        <v>12438</v>
      </c>
      <c r="C18927" t="s">
        <v>16890</v>
      </c>
      <c r="D18927" t="s">
        <v>56758</v>
      </c>
      <c r="E18927" t="b">
        <v>0</v>
      </c>
      <c r="F18927" t="s">
        <v>11610</v>
      </c>
      <c r="L18927">
        <v>0</v>
      </c>
      <c r="M18927">
        <v>0</v>
      </c>
      <c r="N18927">
        <v>0</v>
      </c>
    </row>
    <row r="18928" spans="1:15">
      <c r="A18928" t="s">
        <v>24298</v>
      </c>
      <c r="B18928" t="s">
        <v>11644</v>
      </c>
      <c r="C18928" t="s">
        <v>31463</v>
      </c>
      <c r="D18928" t="s">
        <v>56759</v>
      </c>
      <c r="E18928" t="b">
        <v>0</v>
      </c>
      <c r="F18928" t="s">
        <v>11624</v>
      </c>
      <c r="G18928">
        <v>32.225000000000001</v>
      </c>
      <c r="H18928">
        <v>102.63</v>
      </c>
      <c r="I18928" t="s">
        <v>56760</v>
      </c>
      <c r="L18928">
        <v>0</v>
      </c>
      <c r="M18928">
        <v>0</v>
      </c>
      <c r="N18928">
        <v>3</v>
      </c>
      <c r="O18928" t="s">
        <v>11905</v>
      </c>
    </row>
    <row r="18929" spans="1:15">
      <c r="A18929" t="s">
        <v>56761</v>
      </c>
      <c r="B18929" t="s">
        <v>11644</v>
      </c>
      <c r="C18929" t="s">
        <v>13896</v>
      </c>
      <c r="D18929" t="s">
        <v>56762</v>
      </c>
      <c r="E18929" t="b">
        <v>0</v>
      </c>
      <c r="F18929" t="s">
        <v>11610</v>
      </c>
      <c r="L18929">
        <v>0</v>
      </c>
      <c r="M18929">
        <v>0</v>
      </c>
      <c r="N18929">
        <v>0</v>
      </c>
    </row>
    <row r="18930" spans="1:15">
      <c r="A18930" t="s">
        <v>14843</v>
      </c>
      <c r="B18930" t="s">
        <v>5126</v>
      </c>
      <c r="C18930" t="s">
        <v>12453</v>
      </c>
      <c r="D18930" t="s">
        <v>56763</v>
      </c>
      <c r="E18930" t="b">
        <v>0</v>
      </c>
      <c r="F18930" t="s">
        <v>11622</v>
      </c>
      <c r="L18930">
        <v>4</v>
      </c>
      <c r="M18930">
        <v>12</v>
      </c>
      <c r="N18930">
        <v>11</v>
      </c>
    </row>
    <row r="18931" spans="1:15">
      <c r="A18931" t="s">
        <v>36978</v>
      </c>
      <c r="B18931" t="s">
        <v>5126</v>
      </c>
      <c r="C18931" t="s">
        <v>48492</v>
      </c>
      <c r="D18931" t="s">
        <v>56764</v>
      </c>
      <c r="E18931" t="b">
        <v>0</v>
      </c>
      <c r="F18931" t="s">
        <v>11624</v>
      </c>
      <c r="G18931">
        <v>21.599499999999999</v>
      </c>
      <c r="H18931">
        <v>98.034199999999998</v>
      </c>
      <c r="I18931" t="s">
        <v>56765</v>
      </c>
      <c r="L18931">
        <v>0</v>
      </c>
      <c r="M18931">
        <v>0</v>
      </c>
      <c r="N18931">
        <v>2</v>
      </c>
      <c r="O18931" t="s">
        <v>18868</v>
      </c>
    </row>
    <row r="18932" spans="1:15">
      <c r="A18932" t="s">
        <v>56766</v>
      </c>
      <c r="B18932" t="s">
        <v>6742</v>
      </c>
      <c r="C18932" t="s">
        <v>23434</v>
      </c>
      <c r="D18932" t="s">
        <v>56767</v>
      </c>
      <c r="E18932" t="b">
        <v>0</v>
      </c>
      <c r="F18932" t="s">
        <v>11624</v>
      </c>
      <c r="L18932">
        <v>0</v>
      </c>
      <c r="M18932">
        <v>0</v>
      </c>
      <c r="N18932">
        <v>0</v>
      </c>
      <c r="O18932" t="s">
        <v>11693</v>
      </c>
    </row>
    <row r="18933" spans="1:15">
      <c r="A18933" t="s">
        <v>56768</v>
      </c>
      <c r="B18933" t="s">
        <v>6742</v>
      </c>
      <c r="C18933" t="s">
        <v>3622</v>
      </c>
      <c r="D18933" t="s">
        <v>56769</v>
      </c>
      <c r="E18933" t="b">
        <v>0</v>
      </c>
      <c r="F18933" t="s">
        <v>11610</v>
      </c>
      <c r="L18933">
        <v>0</v>
      </c>
      <c r="M18933">
        <v>0</v>
      </c>
      <c r="N18933">
        <v>0</v>
      </c>
    </row>
    <row r="18934" spans="1:15">
      <c r="A18934" t="s">
        <v>56770</v>
      </c>
      <c r="B18934" t="s">
        <v>6742</v>
      </c>
      <c r="C18934" t="s">
        <v>20047</v>
      </c>
      <c r="D18934" t="s">
        <v>56771</v>
      </c>
      <c r="E18934" t="b">
        <v>0</v>
      </c>
      <c r="F18934" t="s">
        <v>11610</v>
      </c>
      <c r="L18934">
        <v>0</v>
      </c>
      <c r="M18934">
        <v>0</v>
      </c>
      <c r="N18934">
        <v>0</v>
      </c>
    </row>
    <row r="18935" spans="1:15">
      <c r="A18935" t="s">
        <v>56772</v>
      </c>
      <c r="B18935" t="s">
        <v>13276</v>
      </c>
      <c r="C18935" t="s">
        <v>38794</v>
      </c>
      <c r="D18935" t="s">
        <v>56773</v>
      </c>
      <c r="E18935" t="b">
        <v>0</v>
      </c>
      <c r="F18935" t="s">
        <v>11624</v>
      </c>
      <c r="G18935">
        <v>11.2752</v>
      </c>
      <c r="H18935">
        <v>4.4146400000000003</v>
      </c>
      <c r="I18935" t="s">
        <v>56774</v>
      </c>
      <c r="L18935">
        <v>0</v>
      </c>
      <c r="M18935">
        <v>0</v>
      </c>
      <c r="N18935">
        <v>0</v>
      </c>
      <c r="O18935" t="s">
        <v>11693</v>
      </c>
    </row>
    <row r="18936" spans="1:15">
      <c r="A18936" t="s">
        <v>56775</v>
      </c>
      <c r="B18936" t="s">
        <v>13244</v>
      </c>
      <c r="C18936" t="s">
        <v>56776</v>
      </c>
      <c r="D18936" t="s">
        <v>56777</v>
      </c>
      <c r="E18936" t="b">
        <v>0</v>
      </c>
      <c r="F18936" t="s">
        <v>11624</v>
      </c>
      <c r="G18936">
        <v>-8.0091900000000003</v>
      </c>
      <c r="H18936">
        <v>-73.326400000000007</v>
      </c>
      <c r="I18936" t="s">
        <v>56778</v>
      </c>
      <c r="L18936">
        <v>0</v>
      </c>
      <c r="M18936">
        <v>0</v>
      </c>
      <c r="N18936">
        <v>0</v>
      </c>
      <c r="O18936" t="s">
        <v>11969</v>
      </c>
    </row>
    <row r="18937" spans="1:15">
      <c r="A18937" t="s">
        <v>56779</v>
      </c>
      <c r="B18937" t="s">
        <v>11607</v>
      </c>
      <c r="C18937" t="s">
        <v>24526</v>
      </c>
      <c r="D18937" t="s">
        <v>56780</v>
      </c>
      <c r="E18937" t="b">
        <v>0</v>
      </c>
      <c r="F18937" t="s">
        <v>11610</v>
      </c>
      <c r="L18937">
        <v>0</v>
      </c>
      <c r="M18937">
        <v>0</v>
      </c>
      <c r="N18937">
        <v>0</v>
      </c>
    </row>
    <row r="18938" spans="1:15">
      <c r="A18938" t="s">
        <v>56781</v>
      </c>
      <c r="B18938" t="s">
        <v>6742</v>
      </c>
      <c r="C18938" t="s">
        <v>28190</v>
      </c>
      <c r="D18938" t="s">
        <v>56782</v>
      </c>
      <c r="E18938" t="b">
        <v>0</v>
      </c>
      <c r="F18938" t="s">
        <v>11624</v>
      </c>
      <c r="L18938">
        <v>0</v>
      </c>
      <c r="M18938">
        <v>0</v>
      </c>
      <c r="N18938">
        <v>0</v>
      </c>
      <c r="O18938" t="s">
        <v>32215</v>
      </c>
    </row>
    <row r="18939" spans="1:15">
      <c r="A18939" t="s">
        <v>56783</v>
      </c>
      <c r="B18939" t="s">
        <v>11644</v>
      </c>
      <c r="C18939" t="s">
        <v>22290</v>
      </c>
      <c r="D18939" t="s">
        <v>56784</v>
      </c>
      <c r="E18939" t="b">
        <v>0</v>
      </c>
      <c r="F18939" t="s">
        <v>11610</v>
      </c>
      <c r="L18939">
        <v>0</v>
      </c>
      <c r="M18939">
        <v>0</v>
      </c>
      <c r="N18939">
        <v>0</v>
      </c>
    </row>
    <row r="18940" spans="1:15">
      <c r="A18940" t="s">
        <v>56785</v>
      </c>
      <c r="B18940" t="s">
        <v>11644</v>
      </c>
      <c r="C18940" t="s">
        <v>33479</v>
      </c>
      <c r="D18940" t="s">
        <v>56786</v>
      </c>
      <c r="E18940" t="b">
        <v>0</v>
      </c>
      <c r="F18940" t="s">
        <v>11610</v>
      </c>
      <c r="G18940">
        <v>31.222902000000001</v>
      </c>
      <c r="H18940">
        <v>121.47537199999999</v>
      </c>
      <c r="L18940">
        <v>0</v>
      </c>
      <c r="M18940">
        <v>0</v>
      </c>
      <c r="N18940">
        <v>0</v>
      </c>
    </row>
    <row r="18941" spans="1:15">
      <c r="A18941" t="s">
        <v>56787</v>
      </c>
      <c r="B18941" t="s">
        <v>11644</v>
      </c>
      <c r="C18941" t="s">
        <v>39501</v>
      </c>
      <c r="D18941" t="s">
        <v>56788</v>
      </c>
      <c r="E18941" t="b">
        <v>0</v>
      </c>
      <c r="F18941" t="s">
        <v>11610</v>
      </c>
      <c r="L18941">
        <v>0</v>
      </c>
      <c r="M18941">
        <v>0</v>
      </c>
      <c r="N18941">
        <v>0</v>
      </c>
    </row>
    <row r="18942" spans="1:15">
      <c r="A18942" t="s">
        <v>56789</v>
      </c>
      <c r="B18942" t="s">
        <v>11644</v>
      </c>
      <c r="C18942" t="s">
        <v>31572</v>
      </c>
      <c r="D18942" t="s">
        <v>56790</v>
      </c>
      <c r="E18942" t="b">
        <v>0</v>
      </c>
      <c r="F18942" t="s">
        <v>11610</v>
      </c>
      <c r="L18942">
        <v>0</v>
      </c>
      <c r="M18942">
        <v>0</v>
      </c>
      <c r="N18942">
        <v>0</v>
      </c>
    </row>
    <row r="18943" spans="1:15">
      <c r="A18943" t="s">
        <v>33464</v>
      </c>
      <c r="B18943" t="s">
        <v>11644</v>
      </c>
      <c r="C18943" t="s">
        <v>44531</v>
      </c>
      <c r="D18943" t="s">
        <v>56791</v>
      </c>
      <c r="E18943" t="b">
        <v>0</v>
      </c>
      <c r="F18943" t="s">
        <v>11610</v>
      </c>
      <c r="L18943">
        <v>0</v>
      </c>
      <c r="M18943">
        <v>0</v>
      </c>
      <c r="N18943">
        <v>3</v>
      </c>
    </row>
    <row r="18944" spans="1:15">
      <c r="A18944" t="s">
        <v>56792</v>
      </c>
      <c r="B18944" t="s">
        <v>11644</v>
      </c>
      <c r="C18944" t="s">
        <v>33464</v>
      </c>
      <c r="D18944" t="s">
        <v>56793</v>
      </c>
      <c r="E18944" t="b">
        <v>0</v>
      </c>
      <c r="F18944" t="s">
        <v>11610</v>
      </c>
      <c r="G18944">
        <v>27.112777999999999</v>
      </c>
      <c r="H18944">
        <v>117.297222</v>
      </c>
      <c r="L18944">
        <v>0</v>
      </c>
      <c r="M18944">
        <v>0</v>
      </c>
      <c r="N18944">
        <v>0</v>
      </c>
    </row>
    <row r="18945" spans="1:15">
      <c r="A18945" t="s">
        <v>56794</v>
      </c>
      <c r="B18945" t="s">
        <v>11653</v>
      </c>
      <c r="C18945" t="s">
        <v>11654</v>
      </c>
      <c r="D18945" t="s">
        <v>56795</v>
      </c>
      <c r="E18945" t="b">
        <v>0</v>
      </c>
      <c r="F18945" t="s">
        <v>11610</v>
      </c>
      <c r="L18945">
        <v>0</v>
      </c>
      <c r="M18945">
        <v>0</v>
      </c>
      <c r="N18945">
        <v>0</v>
      </c>
    </row>
    <row r="18946" spans="1:15">
      <c r="A18946" t="s">
        <v>56796</v>
      </c>
      <c r="B18946" t="s">
        <v>11607</v>
      </c>
      <c r="C18946" t="s">
        <v>26444</v>
      </c>
      <c r="D18946" t="s">
        <v>56797</v>
      </c>
      <c r="E18946" t="b">
        <v>0</v>
      </c>
      <c r="F18946" t="s">
        <v>11610</v>
      </c>
      <c r="L18946">
        <v>0</v>
      </c>
      <c r="M18946">
        <v>0</v>
      </c>
      <c r="N18946">
        <v>0</v>
      </c>
    </row>
    <row r="18947" spans="1:15">
      <c r="A18947" t="s">
        <v>56798</v>
      </c>
      <c r="B18947" t="s">
        <v>367</v>
      </c>
      <c r="C18947" t="s">
        <v>14101</v>
      </c>
      <c r="D18947" t="s">
        <v>56799</v>
      </c>
      <c r="E18947" t="b">
        <v>0</v>
      </c>
      <c r="F18947" t="s">
        <v>11624</v>
      </c>
      <c r="G18947">
        <v>-15.255284</v>
      </c>
      <c r="H18947">
        <v>167.138859</v>
      </c>
      <c r="I18947" t="s">
        <v>56800</v>
      </c>
      <c r="L18947">
        <v>0</v>
      </c>
      <c r="M18947">
        <v>0</v>
      </c>
      <c r="N18947">
        <v>0</v>
      </c>
      <c r="O18947" t="s">
        <v>12719</v>
      </c>
    </row>
    <row r="18948" spans="1:15">
      <c r="A18948" t="s">
        <v>22280</v>
      </c>
      <c r="B18948" t="s">
        <v>13244</v>
      </c>
      <c r="C18948" t="s">
        <v>56776</v>
      </c>
      <c r="D18948" t="s">
        <v>56801</v>
      </c>
      <c r="E18948" t="b">
        <v>0</v>
      </c>
      <c r="F18948" t="s">
        <v>11624</v>
      </c>
      <c r="G18948">
        <v>-9.8626000000000005</v>
      </c>
      <c r="H18948">
        <v>-71.123199999999997</v>
      </c>
      <c r="I18948" t="s">
        <v>56802</v>
      </c>
      <c r="L18948">
        <v>0</v>
      </c>
      <c r="M18948">
        <v>0</v>
      </c>
      <c r="N18948">
        <v>3</v>
      </c>
      <c r="O18948" t="s">
        <v>13248</v>
      </c>
    </row>
    <row r="18949" spans="1:15">
      <c r="A18949" t="s">
        <v>56803</v>
      </c>
      <c r="B18949" t="s">
        <v>11607</v>
      </c>
      <c r="C18949" t="s">
        <v>56804</v>
      </c>
      <c r="D18949" t="s">
        <v>56805</v>
      </c>
      <c r="E18949" t="b">
        <v>0</v>
      </c>
      <c r="F18949" t="s">
        <v>11624</v>
      </c>
      <c r="G18949">
        <v>10.141400000000001</v>
      </c>
      <c r="H18949">
        <v>13.5657</v>
      </c>
      <c r="I18949" t="s">
        <v>56806</v>
      </c>
      <c r="L18949">
        <v>0</v>
      </c>
      <c r="M18949">
        <v>0</v>
      </c>
      <c r="N18949">
        <v>0</v>
      </c>
      <c r="O18949" t="s">
        <v>11703</v>
      </c>
    </row>
    <row r="18950" spans="1:15">
      <c r="A18950" t="s">
        <v>56804</v>
      </c>
      <c r="B18950" t="s">
        <v>11607</v>
      </c>
      <c r="C18950" t="s">
        <v>29911</v>
      </c>
      <c r="D18950" t="s">
        <v>56807</v>
      </c>
      <c r="E18950" t="b">
        <v>0</v>
      </c>
      <c r="F18950" t="s">
        <v>11622</v>
      </c>
      <c r="L18950">
        <v>0</v>
      </c>
      <c r="M18950">
        <v>2</v>
      </c>
      <c r="N18950">
        <v>0</v>
      </c>
    </row>
    <row r="18951" spans="1:15">
      <c r="A18951" t="s">
        <v>37311</v>
      </c>
      <c r="D18951" t="s">
        <v>56808</v>
      </c>
      <c r="E18951" t="b">
        <v>0</v>
      </c>
      <c r="F18951" t="s">
        <v>11622</v>
      </c>
      <c r="L18951">
        <v>0</v>
      </c>
      <c r="M18951">
        <v>3</v>
      </c>
      <c r="N18951">
        <v>0</v>
      </c>
    </row>
    <row r="18952" spans="1:15">
      <c r="A18952" t="s">
        <v>56809</v>
      </c>
      <c r="B18952" t="s">
        <v>37311</v>
      </c>
      <c r="C18952" t="s">
        <v>37311</v>
      </c>
      <c r="D18952" t="s">
        <v>56810</v>
      </c>
      <c r="E18952" t="b">
        <v>0</v>
      </c>
      <c r="F18952" t="s">
        <v>11624</v>
      </c>
      <c r="G18952">
        <v>41.758699999999997</v>
      </c>
      <c r="H18952">
        <v>-122.738</v>
      </c>
      <c r="I18952" t="s">
        <v>56811</v>
      </c>
      <c r="L18952">
        <v>0</v>
      </c>
      <c r="M18952">
        <v>0</v>
      </c>
      <c r="N18952">
        <v>0</v>
      </c>
      <c r="O18952" t="s">
        <v>11944</v>
      </c>
    </row>
    <row r="18953" spans="1:15">
      <c r="A18953" t="s">
        <v>56812</v>
      </c>
      <c r="B18953" t="s">
        <v>6742</v>
      </c>
      <c r="C18953" t="s">
        <v>41117</v>
      </c>
      <c r="D18953" t="s">
        <v>56813</v>
      </c>
      <c r="E18953" t="b">
        <v>0</v>
      </c>
      <c r="F18953" t="s">
        <v>11610</v>
      </c>
      <c r="L18953">
        <v>0</v>
      </c>
      <c r="M18953">
        <v>0</v>
      </c>
      <c r="N18953">
        <v>0</v>
      </c>
    </row>
    <row r="18954" spans="1:15">
      <c r="A18954" t="s">
        <v>56814</v>
      </c>
      <c r="B18954" t="s">
        <v>6742</v>
      </c>
      <c r="C18954" t="s">
        <v>45748</v>
      </c>
      <c r="D18954" t="s">
        <v>56815</v>
      </c>
      <c r="E18954" t="b">
        <v>0</v>
      </c>
      <c r="F18954" t="s">
        <v>11610</v>
      </c>
      <c r="L18954">
        <v>0</v>
      </c>
      <c r="M18954">
        <v>0</v>
      </c>
      <c r="N18954">
        <v>0</v>
      </c>
    </row>
    <row r="18955" spans="1:15">
      <c r="A18955" t="s">
        <v>56816</v>
      </c>
      <c r="B18955" t="s">
        <v>17030</v>
      </c>
      <c r="C18955" t="s">
        <v>26138</v>
      </c>
      <c r="D18955" t="s">
        <v>56817</v>
      </c>
      <c r="E18955" t="b">
        <v>0</v>
      </c>
      <c r="F18955" t="s">
        <v>11624</v>
      </c>
      <c r="G18955">
        <v>10.852499999999999</v>
      </c>
      <c r="H18955">
        <v>29.768699999999999</v>
      </c>
      <c r="I18955" t="s">
        <v>56818</v>
      </c>
      <c r="L18955">
        <v>0</v>
      </c>
      <c r="M18955">
        <v>0</v>
      </c>
      <c r="N18955">
        <v>0</v>
      </c>
      <c r="O18955" t="s">
        <v>11910</v>
      </c>
    </row>
    <row r="18956" spans="1:15">
      <c r="A18956" t="s">
        <v>56819</v>
      </c>
      <c r="B18956" t="s">
        <v>6742</v>
      </c>
      <c r="C18956" t="s">
        <v>30440</v>
      </c>
      <c r="D18956" t="s">
        <v>56820</v>
      </c>
      <c r="E18956" t="b">
        <v>0</v>
      </c>
      <c r="F18956" t="s">
        <v>11624</v>
      </c>
      <c r="G18956">
        <v>10.275</v>
      </c>
      <c r="H18956">
        <v>9.0667399999999994</v>
      </c>
      <c r="I18956" t="s">
        <v>56821</v>
      </c>
      <c r="L18956">
        <v>0</v>
      </c>
      <c r="M18956">
        <v>0</v>
      </c>
      <c r="N18956">
        <v>0</v>
      </c>
      <c r="O18956" t="s">
        <v>11693</v>
      </c>
    </row>
    <row r="18957" spans="1:15">
      <c r="A18957" t="s">
        <v>56822</v>
      </c>
      <c r="B18957" t="s">
        <v>6742</v>
      </c>
      <c r="C18957" t="s">
        <v>3984</v>
      </c>
      <c r="D18957" t="s">
        <v>56823</v>
      </c>
      <c r="E18957" t="b">
        <v>0</v>
      </c>
      <c r="F18957" t="s">
        <v>11610</v>
      </c>
      <c r="L18957">
        <v>0</v>
      </c>
      <c r="M18957">
        <v>0</v>
      </c>
      <c r="N18957">
        <v>0</v>
      </c>
    </row>
    <row r="18958" spans="1:15">
      <c r="A18958" t="s">
        <v>56824</v>
      </c>
      <c r="B18958" t="s">
        <v>12979</v>
      </c>
      <c r="C18958" t="s">
        <v>26587</v>
      </c>
      <c r="D18958" t="s">
        <v>56825</v>
      </c>
      <c r="E18958" t="b">
        <v>0</v>
      </c>
      <c r="F18958" t="s">
        <v>11624</v>
      </c>
      <c r="G18958">
        <v>35.353999999999999</v>
      </c>
      <c r="H18958">
        <v>-96.763499999999993</v>
      </c>
      <c r="I18958" t="s">
        <v>56826</v>
      </c>
      <c r="L18958">
        <v>0</v>
      </c>
      <c r="M18958">
        <v>0</v>
      </c>
      <c r="N18958">
        <v>0</v>
      </c>
      <c r="O18958" t="s">
        <v>11944</v>
      </c>
    </row>
    <row r="18959" spans="1:15">
      <c r="A18959" t="s">
        <v>40037</v>
      </c>
      <c r="B18959" t="s">
        <v>5058</v>
      </c>
      <c r="C18959" t="s">
        <v>31405</v>
      </c>
      <c r="D18959" t="s">
        <v>56827</v>
      </c>
      <c r="E18959" t="b">
        <v>0</v>
      </c>
      <c r="F18959" t="s">
        <v>11624</v>
      </c>
      <c r="G18959">
        <v>23.039899999999999</v>
      </c>
      <c r="H18959">
        <v>114.81399999999999</v>
      </c>
      <c r="I18959" t="s">
        <v>56828</v>
      </c>
      <c r="L18959">
        <v>0</v>
      </c>
      <c r="M18959">
        <v>0</v>
      </c>
      <c r="N18959">
        <v>2</v>
      </c>
      <c r="O18959" t="s">
        <v>11905</v>
      </c>
    </row>
    <row r="18960" spans="1:15">
      <c r="A18960" t="s">
        <v>56829</v>
      </c>
      <c r="B18960" t="s">
        <v>13571</v>
      </c>
      <c r="C18960" t="s">
        <v>17924</v>
      </c>
      <c r="D18960" t="s">
        <v>56830</v>
      </c>
      <c r="E18960" t="b">
        <v>0</v>
      </c>
      <c r="F18960" t="s">
        <v>11610</v>
      </c>
      <c r="L18960">
        <v>0</v>
      </c>
      <c r="M18960">
        <v>0</v>
      </c>
      <c r="N18960">
        <v>0</v>
      </c>
    </row>
    <row r="18961" spans="1:15">
      <c r="A18961" t="s">
        <v>56831</v>
      </c>
      <c r="B18961" t="s">
        <v>11644</v>
      </c>
      <c r="C18961" t="s">
        <v>39006</v>
      </c>
      <c r="D18961" t="s">
        <v>56832</v>
      </c>
      <c r="E18961" t="b">
        <v>0</v>
      </c>
      <c r="F18961" t="s">
        <v>11610</v>
      </c>
      <c r="L18961">
        <v>0</v>
      </c>
      <c r="M18961">
        <v>0</v>
      </c>
      <c r="N18961">
        <v>0</v>
      </c>
    </row>
    <row r="18962" spans="1:15">
      <c r="A18962" t="s">
        <v>21765</v>
      </c>
      <c r="B18962" t="s">
        <v>11607</v>
      </c>
      <c r="C18962" t="s">
        <v>26589</v>
      </c>
      <c r="D18962" t="s">
        <v>56833</v>
      </c>
      <c r="E18962" t="b">
        <v>0</v>
      </c>
      <c r="F18962" t="s">
        <v>11624</v>
      </c>
      <c r="G18962">
        <v>17.291540000000001</v>
      </c>
      <c r="H18962">
        <v>53.995260000000002</v>
      </c>
      <c r="I18962" t="s">
        <v>56834</v>
      </c>
      <c r="L18962">
        <v>0</v>
      </c>
      <c r="M18962">
        <v>0</v>
      </c>
      <c r="N18962">
        <v>3</v>
      </c>
      <c r="O18962" t="s">
        <v>17419</v>
      </c>
    </row>
    <row r="18963" spans="1:15">
      <c r="A18963" t="s">
        <v>56835</v>
      </c>
      <c r="B18963" t="s">
        <v>11637</v>
      </c>
      <c r="C18963" t="s">
        <v>12824</v>
      </c>
      <c r="D18963" t="s">
        <v>56836</v>
      </c>
      <c r="E18963" t="b">
        <v>0</v>
      </c>
      <c r="F18963" t="s">
        <v>11610</v>
      </c>
      <c r="L18963">
        <v>0</v>
      </c>
      <c r="M18963">
        <v>0</v>
      </c>
      <c r="N18963">
        <v>0</v>
      </c>
    </row>
    <row r="18964" spans="1:15">
      <c r="A18964" t="s">
        <v>56837</v>
      </c>
      <c r="B18964" t="s">
        <v>11637</v>
      </c>
      <c r="C18964" t="s">
        <v>34673</v>
      </c>
      <c r="D18964" t="s">
        <v>56838</v>
      </c>
      <c r="E18964" t="b">
        <v>0</v>
      </c>
      <c r="F18964" t="s">
        <v>11610</v>
      </c>
      <c r="L18964">
        <v>0</v>
      </c>
      <c r="M18964">
        <v>0</v>
      </c>
      <c r="N18964">
        <v>0</v>
      </c>
    </row>
    <row r="18965" spans="1:15">
      <c r="A18965" t="s">
        <v>1129</v>
      </c>
      <c r="B18965" t="s">
        <v>11637</v>
      </c>
      <c r="C18965" t="s">
        <v>15874</v>
      </c>
      <c r="D18965" t="s">
        <v>56839</v>
      </c>
      <c r="E18965" t="b">
        <v>0</v>
      </c>
      <c r="F18965" t="s">
        <v>11624</v>
      </c>
      <c r="G18965">
        <v>27.34</v>
      </c>
      <c r="H18965">
        <v>75.406999999999996</v>
      </c>
      <c r="I18965" t="s">
        <v>56840</v>
      </c>
      <c r="L18965">
        <v>0</v>
      </c>
      <c r="M18965">
        <v>0</v>
      </c>
      <c r="N18965">
        <v>2</v>
      </c>
      <c r="O18965" t="s">
        <v>11630</v>
      </c>
    </row>
    <row r="18966" spans="1:15">
      <c r="A18966" t="s">
        <v>56841</v>
      </c>
      <c r="B18966" t="s">
        <v>13571</v>
      </c>
      <c r="C18966" t="s">
        <v>34044</v>
      </c>
      <c r="D18966" t="s">
        <v>56842</v>
      </c>
      <c r="E18966" t="b">
        <v>0</v>
      </c>
      <c r="F18966" t="s">
        <v>11624</v>
      </c>
      <c r="G18966">
        <v>7.2742399999999998</v>
      </c>
      <c r="H18966">
        <v>35.392200000000003</v>
      </c>
      <c r="I18966" t="s">
        <v>56843</v>
      </c>
      <c r="L18966">
        <v>0</v>
      </c>
      <c r="M18966">
        <v>0</v>
      </c>
      <c r="N18966">
        <v>0</v>
      </c>
      <c r="O18966" t="s">
        <v>11625</v>
      </c>
    </row>
    <row r="18967" spans="1:15">
      <c r="A18967" t="s">
        <v>20266</v>
      </c>
      <c r="B18967" t="s">
        <v>20265</v>
      </c>
      <c r="C18967" t="s">
        <v>20265</v>
      </c>
      <c r="D18967" t="s">
        <v>56844</v>
      </c>
      <c r="E18967" t="b">
        <v>0</v>
      </c>
      <c r="F18967" t="s">
        <v>11624</v>
      </c>
      <c r="G18967">
        <v>7.0502200000000004</v>
      </c>
      <c r="H18967">
        <v>35.282600000000002</v>
      </c>
      <c r="I18967" t="s">
        <v>56845</v>
      </c>
      <c r="L18967">
        <v>0</v>
      </c>
      <c r="M18967">
        <v>0</v>
      </c>
      <c r="N18967">
        <v>2</v>
      </c>
      <c r="O18967" t="s">
        <v>11625</v>
      </c>
    </row>
    <row r="18968" spans="1:15">
      <c r="A18968" t="s">
        <v>45062</v>
      </c>
      <c r="B18968" t="s">
        <v>6742</v>
      </c>
      <c r="C18968" t="s">
        <v>15558</v>
      </c>
      <c r="D18968" t="s">
        <v>56846</v>
      </c>
      <c r="E18968" t="b">
        <v>0</v>
      </c>
      <c r="F18968" t="s">
        <v>11622</v>
      </c>
      <c r="L18968">
        <v>0</v>
      </c>
      <c r="M18968">
        <v>2</v>
      </c>
      <c r="N18968">
        <v>0</v>
      </c>
    </row>
    <row r="18969" spans="1:15">
      <c r="A18969" t="s">
        <v>56847</v>
      </c>
      <c r="B18969" t="s">
        <v>12204</v>
      </c>
      <c r="C18969" t="s">
        <v>32644</v>
      </c>
      <c r="D18969" t="s">
        <v>56848</v>
      </c>
      <c r="E18969" t="b">
        <v>0</v>
      </c>
      <c r="F18969" t="s">
        <v>11624</v>
      </c>
      <c r="G18969">
        <v>53.790700000000001</v>
      </c>
      <c r="H18969">
        <v>-7.7398300000000004</v>
      </c>
      <c r="I18969" t="s">
        <v>56849</v>
      </c>
      <c r="L18969">
        <v>0</v>
      </c>
      <c r="M18969">
        <v>0</v>
      </c>
      <c r="N18969">
        <v>0</v>
      </c>
      <c r="O18969" t="s">
        <v>56850</v>
      </c>
    </row>
    <row r="18970" spans="1:15">
      <c r="A18970" t="s">
        <v>56851</v>
      </c>
      <c r="B18970" t="s">
        <v>3164</v>
      </c>
      <c r="C18970" t="s">
        <v>33845</v>
      </c>
      <c r="D18970" t="s">
        <v>56852</v>
      </c>
      <c r="E18970" t="b">
        <v>0</v>
      </c>
      <c r="F18970" t="s">
        <v>11610</v>
      </c>
      <c r="L18970">
        <v>0</v>
      </c>
      <c r="M18970">
        <v>0</v>
      </c>
      <c r="N18970">
        <v>0</v>
      </c>
    </row>
    <row r="18971" spans="1:15">
      <c r="A18971" t="s">
        <v>56853</v>
      </c>
      <c r="B18971" t="s">
        <v>11607</v>
      </c>
      <c r="C18971" t="s">
        <v>24526</v>
      </c>
      <c r="D18971" t="s">
        <v>56854</v>
      </c>
      <c r="E18971" t="b">
        <v>0</v>
      </c>
      <c r="F18971" t="s">
        <v>11610</v>
      </c>
      <c r="L18971">
        <v>0</v>
      </c>
      <c r="M18971">
        <v>0</v>
      </c>
      <c r="N18971">
        <v>0</v>
      </c>
    </row>
    <row r="18972" spans="1:15">
      <c r="A18972" t="s">
        <v>56855</v>
      </c>
      <c r="B18972" t="s">
        <v>11637</v>
      </c>
      <c r="C18972" t="s">
        <v>12824</v>
      </c>
      <c r="D18972" t="s">
        <v>56856</v>
      </c>
      <c r="E18972" t="b">
        <v>0</v>
      </c>
      <c r="F18972" t="s">
        <v>11610</v>
      </c>
      <c r="L18972">
        <v>0</v>
      </c>
      <c r="M18972">
        <v>0</v>
      </c>
      <c r="N18972">
        <v>0</v>
      </c>
    </row>
    <row r="18973" spans="1:15">
      <c r="A18973" t="s">
        <v>56857</v>
      </c>
      <c r="B18973" t="s">
        <v>11627</v>
      </c>
      <c r="C18973" t="s">
        <v>11627</v>
      </c>
      <c r="D18973" t="s">
        <v>56858</v>
      </c>
      <c r="E18973" t="b">
        <v>1</v>
      </c>
      <c r="F18973" t="s">
        <v>11624</v>
      </c>
      <c r="G18973">
        <v>10.486700000000001</v>
      </c>
      <c r="H18973">
        <v>-6.3712900000000001</v>
      </c>
      <c r="I18973" t="s">
        <v>56859</v>
      </c>
      <c r="L18973">
        <v>0</v>
      </c>
      <c r="M18973">
        <v>0</v>
      </c>
      <c r="N18973">
        <v>0</v>
      </c>
      <c r="O18973" t="s">
        <v>56860</v>
      </c>
    </row>
    <row r="18974" spans="1:15">
      <c r="A18974" t="s">
        <v>56861</v>
      </c>
      <c r="B18974" t="s">
        <v>11644</v>
      </c>
      <c r="C18974" t="s">
        <v>39560</v>
      </c>
      <c r="D18974" t="s">
        <v>56862</v>
      </c>
      <c r="E18974" t="b">
        <v>0</v>
      </c>
      <c r="F18974" t="s">
        <v>11624</v>
      </c>
      <c r="G18974">
        <v>22.190100000000001</v>
      </c>
      <c r="H18974">
        <v>92.590999999999994</v>
      </c>
      <c r="I18974" t="s">
        <v>56863</v>
      </c>
      <c r="L18974">
        <v>0</v>
      </c>
      <c r="M18974">
        <v>0</v>
      </c>
      <c r="N18974">
        <v>0</v>
      </c>
      <c r="O18974" t="s">
        <v>15054</v>
      </c>
    </row>
    <row r="18975" spans="1:15">
      <c r="A18975" t="s">
        <v>56864</v>
      </c>
      <c r="B18975" t="s">
        <v>11644</v>
      </c>
      <c r="C18975" t="s">
        <v>13896</v>
      </c>
      <c r="D18975" t="s">
        <v>56865</v>
      </c>
      <c r="E18975" t="b">
        <v>0</v>
      </c>
      <c r="F18975" t="s">
        <v>11610</v>
      </c>
      <c r="L18975">
        <v>0</v>
      </c>
      <c r="M18975">
        <v>0</v>
      </c>
      <c r="N18975">
        <v>0</v>
      </c>
    </row>
    <row r="18976" spans="1:15">
      <c r="A18976" t="s">
        <v>56866</v>
      </c>
      <c r="B18976" t="s">
        <v>6742</v>
      </c>
      <c r="C18976" t="s">
        <v>46789</v>
      </c>
      <c r="D18976" t="s">
        <v>56867</v>
      </c>
      <c r="E18976" t="b">
        <v>0</v>
      </c>
      <c r="F18976" t="s">
        <v>11610</v>
      </c>
      <c r="L18976">
        <v>0</v>
      </c>
      <c r="M18976">
        <v>0</v>
      </c>
      <c r="N18976">
        <v>0</v>
      </c>
    </row>
    <row r="18977" spans="1:15">
      <c r="A18977" t="s">
        <v>56868</v>
      </c>
      <c r="B18977" t="s">
        <v>6742</v>
      </c>
      <c r="C18977" t="s">
        <v>56869</v>
      </c>
      <c r="D18977" t="s">
        <v>56870</v>
      </c>
      <c r="E18977" t="b">
        <v>0</v>
      </c>
      <c r="F18977" t="s">
        <v>11624</v>
      </c>
      <c r="G18977">
        <v>10.525600000000001</v>
      </c>
      <c r="H18977">
        <v>8.6392100000000003</v>
      </c>
      <c r="I18977" t="s">
        <v>56871</v>
      </c>
      <c r="L18977">
        <v>0</v>
      </c>
      <c r="M18977">
        <v>0</v>
      </c>
      <c r="N18977">
        <v>0</v>
      </c>
      <c r="O18977" t="s">
        <v>11693</v>
      </c>
    </row>
    <row r="18978" spans="1:15">
      <c r="A18978" t="s">
        <v>56869</v>
      </c>
      <c r="B18978" t="s">
        <v>6742</v>
      </c>
      <c r="C18978" t="s">
        <v>39225</v>
      </c>
      <c r="D18978" t="s">
        <v>56872</v>
      </c>
      <c r="E18978" t="b">
        <v>0</v>
      </c>
      <c r="F18978" t="s">
        <v>11622</v>
      </c>
      <c r="L18978">
        <v>0</v>
      </c>
      <c r="M18978">
        <v>2</v>
      </c>
      <c r="N18978">
        <v>0</v>
      </c>
    </row>
    <row r="18979" spans="1:15">
      <c r="A18979" t="s">
        <v>56873</v>
      </c>
      <c r="B18979" t="s">
        <v>11644</v>
      </c>
      <c r="C18979" t="s">
        <v>30518</v>
      </c>
      <c r="D18979" t="s">
        <v>56874</v>
      </c>
      <c r="E18979" t="b">
        <v>0</v>
      </c>
      <c r="F18979" t="s">
        <v>11610</v>
      </c>
      <c r="G18979">
        <v>41.804990599999996</v>
      </c>
      <c r="H18979">
        <v>123.1563167</v>
      </c>
      <c r="L18979">
        <v>0</v>
      </c>
      <c r="M18979">
        <v>0</v>
      </c>
      <c r="N18979">
        <v>0</v>
      </c>
    </row>
    <row r="18980" spans="1:15">
      <c r="A18980" t="s">
        <v>33579</v>
      </c>
      <c r="B18980" t="s">
        <v>11644</v>
      </c>
      <c r="C18980" t="s">
        <v>25165</v>
      </c>
      <c r="D18980" t="s">
        <v>56875</v>
      </c>
      <c r="E18980" t="b">
        <v>0</v>
      </c>
      <c r="F18980" t="s">
        <v>11622</v>
      </c>
      <c r="L18980">
        <v>1</v>
      </c>
      <c r="M18980">
        <v>3</v>
      </c>
      <c r="N18980">
        <v>3</v>
      </c>
    </row>
    <row r="18981" spans="1:15">
      <c r="A18981" t="s">
        <v>36360</v>
      </c>
      <c r="B18981" t="s">
        <v>11644</v>
      </c>
      <c r="C18981" t="s">
        <v>46113</v>
      </c>
      <c r="D18981" t="s">
        <v>56876</v>
      </c>
      <c r="E18981" t="b">
        <v>0</v>
      </c>
      <c r="F18981" t="s">
        <v>11624</v>
      </c>
      <c r="G18981">
        <v>27.673999999999999</v>
      </c>
      <c r="H18981">
        <v>86.999399999999994</v>
      </c>
      <c r="I18981" t="s">
        <v>56877</v>
      </c>
      <c r="L18981">
        <v>0</v>
      </c>
      <c r="M18981">
        <v>0</v>
      </c>
      <c r="N18981">
        <v>3</v>
      </c>
      <c r="O18981" t="s">
        <v>40017</v>
      </c>
    </row>
    <row r="18982" spans="1:15">
      <c r="A18982" t="s">
        <v>56039</v>
      </c>
      <c r="B18982" t="s">
        <v>11644</v>
      </c>
      <c r="C18982" t="s">
        <v>22906</v>
      </c>
      <c r="D18982" t="s">
        <v>56878</v>
      </c>
      <c r="E18982" t="b">
        <v>0</v>
      </c>
      <c r="F18982" t="s">
        <v>11622</v>
      </c>
      <c r="L18982">
        <v>0</v>
      </c>
      <c r="M18982">
        <v>2</v>
      </c>
      <c r="N18982">
        <v>6</v>
      </c>
    </row>
    <row r="18983" spans="1:15">
      <c r="A18983" t="s">
        <v>54882</v>
      </c>
      <c r="B18983" t="s">
        <v>11644</v>
      </c>
      <c r="C18983" t="s">
        <v>56039</v>
      </c>
      <c r="D18983" t="s">
        <v>56879</v>
      </c>
      <c r="E18983" t="b">
        <v>0</v>
      </c>
      <c r="F18983" t="s">
        <v>11624</v>
      </c>
      <c r="G18983">
        <v>27.003499999999999</v>
      </c>
      <c r="H18983">
        <v>92.579899999999995</v>
      </c>
      <c r="I18983" t="s">
        <v>56880</v>
      </c>
      <c r="L18983">
        <v>0</v>
      </c>
      <c r="M18983">
        <v>0</v>
      </c>
      <c r="N18983">
        <v>2</v>
      </c>
      <c r="O18983" t="s">
        <v>11630</v>
      </c>
    </row>
    <row r="18984" spans="1:15">
      <c r="A18984" t="s">
        <v>46789</v>
      </c>
      <c r="B18984" t="s">
        <v>6742</v>
      </c>
      <c r="C18984" t="s">
        <v>20258</v>
      </c>
      <c r="D18984" t="s">
        <v>56881</v>
      </c>
      <c r="E18984" t="b">
        <v>0</v>
      </c>
      <c r="F18984" t="s">
        <v>11624</v>
      </c>
      <c r="G18984">
        <v>7.7758500000000002</v>
      </c>
      <c r="H18984">
        <v>-12.740500000000001</v>
      </c>
      <c r="I18984" t="s">
        <v>56882</v>
      </c>
      <c r="L18984">
        <v>0</v>
      </c>
      <c r="M18984">
        <v>0</v>
      </c>
      <c r="N18984">
        <v>4</v>
      </c>
      <c r="O18984" t="s">
        <v>19371</v>
      </c>
    </row>
    <row r="18985" spans="1:15">
      <c r="A18985" t="s">
        <v>56883</v>
      </c>
      <c r="B18985" t="s">
        <v>21717</v>
      </c>
      <c r="C18985" t="s">
        <v>29991</v>
      </c>
      <c r="D18985" t="s">
        <v>56884</v>
      </c>
      <c r="E18985" t="b">
        <v>0</v>
      </c>
      <c r="F18985" t="s">
        <v>11610</v>
      </c>
      <c r="L18985">
        <v>0</v>
      </c>
      <c r="M18985">
        <v>0</v>
      </c>
      <c r="N18985">
        <v>0</v>
      </c>
    </row>
    <row r="18986" spans="1:15">
      <c r="A18986" t="s">
        <v>46113</v>
      </c>
      <c r="B18986" t="s">
        <v>11644</v>
      </c>
      <c r="C18986" t="s">
        <v>33579</v>
      </c>
      <c r="D18986" t="s">
        <v>56885</v>
      </c>
      <c r="E18986" t="b">
        <v>0</v>
      </c>
      <c r="F18986" t="s">
        <v>11622</v>
      </c>
      <c r="L18986">
        <v>0</v>
      </c>
      <c r="M18986">
        <v>2</v>
      </c>
      <c r="N18986">
        <v>3</v>
      </c>
    </row>
    <row r="18987" spans="1:15">
      <c r="A18987" t="s">
        <v>56886</v>
      </c>
      <c r="B18987" t="s">
        <v>11644</v>
      </c>
      <c r="C18987" t="s">
        <v>54882</v>
      </c>
      <c r="D18987" t="s">
        <v>56887</v>
      </c>
      <c r="E18987" t="b">
        <v>0</v>
      </c>
      <c r="F18987" t="s">
        <v>11610</v>
      </c>
      <c r="L18987">
        <v>0</v>
      </c>
      <c r="M18987">
        <v>0</v>
      </c>
      <c r="N18987">
        <v>0</v>
      </c>
    </row>
    <row r="18988" spans="1:15">
      <c r="A18988" t="s">
        <v>33208</v>
      </c>
      <c r="B18988" t="s">
        <v>11644</v>
      </c>
      <c r="C18988" t="s">
        <v>28426</v>
      </c>
      <c r="D18988" t="s">
        <v>56888</v>
      </c>
      <c r="E18988" t="b">
        <v>0</v>
      </c>
      <c r="F18988" t="s">
        <v>11624</v>
      </c>
      <c r="G18988">
        <v>27.9437</v>
      </c>
      <c r="H18988">
        <v>82.646699999999996</v>
      </c>
      <c r="I18988" t="s">
        <v>56889</v>
      </c>
      <c r="L18988">
        <v>0</v>
      </c>
      <c r="M18988">
        <v>0</v>
      </c>
      <c r="N18988">
        <v>2</v>
      </c>
      <c r="O18988" t="s">
        <v>15007</v>
      </c>
    </row>
    <row r="18989" spans="1:15">
      <c r="A18989" t="s">
        <v>56890</v>
      </c>
      <c r="B18989" t="s">
        <v>13244</v>
      </c>
      <c r="C18989" t="s">
        <v>7570</v>
      </c>
      <c r="D18989" t="s">
        <v>56891</v>
      </c>
      <c r="E18989" t="b">
        <v>0</v>
      </c>
      <c r="F18989" t="s">
        <v>11610</v>
      </c>
      <c r="L18989">
        <v>0</v>
      </c>
      <c r="M18989">
        <v>0</v>
      </c>
      <c r="N18989">
        <v>0</v>
      </c>
    </row>
    <row r="18990" spans="1:15">
      <c r="A18990" t="s">
        <v>56892</v>
      </c>
      <c r="B18990" t="s">
        <v>11637</v>
      </c>
      <c r="C18990" t="s">
        <v>32504</v>
      </c>
      <c r="D18990" t="s">
        <v>56893</v>
      </c>
      <c r="E18990" t="b">
        <v>0</v>
      </c>
      <c r="F18990" t="s">
        <v>11610</v>
      </c>
      <c r="L18990">
        <v>0</v>
      </c>
      <c r="M18990">
        <v>0</v>
      </c>
      <c r="N18990">
        <v>0</v>
      </c>
    </row>
    <row r="18991" spans="1:15">
      <c r="A18991" t="s">
        <v>56894</v>
      </c>
      <c r="B18991" t="s">
        <v>11644</v>
      </c>
      <c r="C18991" t="s">
        <v>31414</v>
      </c>
      <c r="D18991" t="s">
        <v>56895</v>
      </c>
      <c r="E18991" t="b">
        <v>0</v>
      </c>
      <c r="F18991" t="s">
        <v>11610</v>
      </c>
      <c r="G18991">
        <v>30.589829000000002</v>
      </c>
      <c r="H18991">
        <v>118.428268</v>
      </c>
      <c r="L18991">
        <v>0</v>
      </c>
      <c r="M18991">
        <v>0</v>
      </c>
      <c r="N18991">
        <v>0</v>
      </c>
    </row>
    <row r="18992" spans="1:15">
      <c r="A18992" t="s">
        <v>56896</v>
      </c>
      <c r="B18992" t="s">
        <v>11644</v>
      </c>
      <c r="C18992" t="s">
        <v>25751</v>
      </c>
      <c r="D18992" t="s">
        <v>56897</v>
      </c>
      <c r="E18992" t="b">
        <v>0</v>
      </c>
      <c r="F18992" t="s">
        <v>11610</v>
      </c>
      <c r="L18992">
        <v>0</v>
      </c>
      <c r="M18992">
        <v>0</v>
      </c>
      <c r="N18992">
        <v>0</v>
      </c>
    </row>
    <row r="18993" spans="1:15">
      <c r="A18993" t="s">
        <v>49049</v>
      </c>
      <c r="B18993" t="s">
        <v>11637</v>
      </c>
      <c r="C18993" t="s">
        <v>56898</v>
      </c>
      <c r="D18993" t="s">
        <v>56899</v>
      </c>
      <c r="E18993" t="b">
        <v>0</v>
      </c>
      <c r="F18993" t="s">
        <v>11622</v>
      </c>
      <c r="L18993">
        <v>31</v>
      </c>
      <c r="M18993">
        <v>63</v>
      </c>
      <c r="N18993">
        <v>204</v>
      </c>
    </row>
    <row r="18994" spans="1:15">
      <c r="A18994" t="s">
        <v>56900</v>
      </c>
      <c r="B18994" t="s">
        <v>4342</v>
      </c>
      <c r="C18994" t="s">
        <v>16774</v>
      </c>
      <c r="D18994" t="s">
        <v>56901</v>
      </c>
      <c r="E18994" t="b">
        <v>0</v>
      </c>
      <c r="F18994" t="s">
        <v>11610</v>
      </c>
      <c r="L18994">
        <v>0</v>
      </c>
      <c r="M18994">
        <v>0</v>
      </c>
      <c r="N18994">
        <v>0</v>
      </c>
    </row>
    <row r="18995" spans="1:15">
      <c r="A18995" t="s">
        <v>56902</v>
      </c>
      <c r="B18995" t="s">
        <v>11644</v>
      </c>
      <c r="C18995" t="s">
        <v>24871</v>
      </c>
      <c r="D18995" t="s">
        <v>56903</v>
      </c>
      <c r="E18995" t="b">
        <v>0</v>
      </c>
      <c r="F18995" t="s">
        <v>11610</v>
      </c>
      <c r="L18995">
        <v>0</v>
      </c>
      <c r="M18995">
        <v>0</v>
      </c>
      <c r="N18995">
        <v>0</v>
      </c>
    </row>
    <row r="18996" spans="1:15">
      <c r="A18996" t="s">
        <v>56904</v>
      </c>
      <c r="B18996" t="s">
        <v>11607</v>
      </c>
      <c r="C18996" t="s">
        <v>4675</v>
      </c>
      <c r="D18996" t="s">
        <v>56905</v>
      </c>
      <c r="E18996" t="b">
        <v>0</v>
      </c>
      <c r="F18996" t="s">
        <v>11624</v>
      </c>
      <c r="G18996">
        <v>25.939</v>
      </c>
      <c r="H18996">
        <v>56.171100000000003</v>
      </c>
      <c r="I18996" t="s">
        <v>56906</v>
      </c>
      <c r="L18996">
        <v>0</v>
      </c>
      <c r="M18996">
        <v>0</v>
      </c>
      <c r="N18996">
        <v>0</v>
      </c>
      <c r="O18996" t="s">
        <v>51262</v>
      </c>
    </row>
    <row r="18997" spans="1:15">
      <c r="A18997" t="s">
        <v>31814</v>
      </c>
      <c r="B18997" t="s">
        <v>6742</v>
      </c>
      <c r="C18997" t="s">
        <v>28038</v>
      </c>
      <c r="D18997" t="s">
        <v>56907</v>
      </c>
      <c r="E18997" t="b">
        <v>0</v>
      </c>
      <c r="F18997" t="s">
        <v>11624</v>
      </c>
      <c r="G18997">
        <v>-2.5577700000000001</v>
      </c>
      <c r="H18997">
        <v>28.612200000000001</v>
      </c>
      <c r="I18997" t="s">
        <v>56908</v>
      </c>
      <c r="L18997">
        <v>0</v>
      </c>
      <c r="M18997">
        <v>0</v>
      </c>
      <c r="N18997">
        <v>4</v>
      </c>
      <c r="O18997" t="s">
        <v>56909</v>
      </c>
    </row>
    <row r="18998" spans="1:15">
      <c r="A18998" t="s">
        <v>29894</v>
      </c>
      <c r="B18998" t="s">
        <v>6742</v>
      </c>
      <c r="C18998" t="s">
        <v>25495</v>
      </c>
      <c r="D18998" t="s">
        <v>56910</v>
      </c>
      <c r="E18998" t="b">
        <v>0</v>
      </c>
      <c r="F18998" t="s">
        <v>11624</v>
      </c>
      <c r="G18998">
        <v>10.5238</v>
      </c>
      <c r="H18998">
        <v>9.7276900000000008</v>
      </c>
      <c r="I18998" t="s">
        <v>56911</v>
      </c>
      <c r="L18998">
        <v>0</v>
      </c>
      <c r="M18998">
        <v>0</v>
      </c>
      <c r="N18998">
        <v>2</v>
      </c>
      <c r="O18998" t="s">
        <v>11693</v>
      </c>
    </row>
    <row r="18999" spans="1:15">
      <c r="A18999" t="s">
        <v>30829</v>
      </c>
      <c r="B18999" t="s">
        <v>4342</v>
      </c>
      <c r="C18999" t="s">
        <v>22912</v>
      </c>
      <c r="D18999" t="s">
        <v>4313</v>
      </c>
      <c r="E18999" t="b">
        <v>0</v>
      </c>
      <c r="F18999" t="s">
        <v>11610</v>
      </c>
      <c r="L18999">
        <v>0</v>
      </c>
      <c r="M18999">
        <v>0</v>
      </c>
      <c r="N18999">
        <v>4</v>
      </c>
    </row>
    <row r="19000" spans="1:15">
      <c r="A19000" t="s">
        <v>56912</v>
      </c>
      <c r="B19000" t="s">
        <v>11637</v>
      </c>
      <c r="C19000" t="s">
        <v>12222</v>
      </c>
      <c r="D19000" t="s">
        <v>56913</v>
      </c>
      <c r="E19000" t="b">
        <v>0</v>
      </c>
      <c r="F19000" t="s">
        <v>11610</v>
      </c>
      <c r="L19000">
        <v>0</v>
      </c>
      <c r="M19000">
        <v>0</v>
      </c>
      <c r="N19000">
        <v>0</v>
      </c>
    </row>
    <row r="19001" spans="1:15">
      <c r="A19001" t="s">
        <v>56914</v>
      </c>
      <c r="B19001" t="s">
        <v>12250</v>
      </c>
      <c r="C19001" t="s">
        <v>22113</v>
      </c>
      <c r="D19001" t="s">
        <v>56915</v>
      </c>
      <c r="E19001" t="b">
        <v>0</v>
      </c>
      <c r="F19001" t="s">
        <v>11610</v>
      </c>
      <c r="L19001">
        <v>0</v>
      </c>
      <c r="M19001">
        <v>0</v>
      </c>
      <c r="N19001">
        <v>0</v>
      </c>
    </row>
    <row r="19002" spans="1:15">
      <c r="A19002" t="s">
        <v>56916</v>
      </c>
      <c r="B19002" t="s">
        <v>11644</v>
      </c>
      <c r="C19002" t="s">
        <v>56917</v>
      </c>
      <c r="D19002" t="s">
        <v>56918</v>
      </c>
      <c r="E19002" t="b">
        <v>0</v>
      </c>
      <c r="F19002" t="s">
        <v>11610</v>
      </c>
      <c r="L19002">
        <v>0</v>
      </c>
      <c r="M19002">
        <v>0</v>
      </c>
      <c r="N19002">
        <v>0</v>
      </c>
    </row>
    <row r="19003" spans="1:15">
      <c r="A19003" t="s">
        <v>56919</v>
      </c>
      <c r="B19003" t="s">
        <v>6742</v>
      </c>
      <c r="C19003" t="s">
        <v>56920</v>
      </c>
      <c r="D19003" t="s">
        <v>56921</v>
      </c>
      <c r="E19003" t="b">
        <v>0</v>
      </c>
      <c r="F19003" t="s">
        <v>11610</v>
      </c>
      <c r="L19003">
        <v>0</v>
      </c>
      <c r="M19003">
        <v>0</v>
      </c>
      <c r="N19003">
        <v>0</v>
      </c>
    </row>
    <row r="19004" spans="1:15">
      <c r="A19004" t="s">
        <v>923</v>
      </c>
      <c r="B19004" t="s">
        <v>11757</v>
      </c>
      <c r="C19004" t="s">
        <v>14032</v>
      </c>
      <c r="D19004" t="s">
        <v>922</v>
      </c>
      <c r="E19004" t="b">
        <v>0</v>
      </c>
      <c r="F19004" t="s">
        <v>11624</v>
      </c>
      <c r="G19004">
        <v>9.8547200000000004</v>
      </c>
      <c r="H19004">
        <v>31.7926</v>
      </c>
      <c r="I19004" t="s">
        <v>924</v>
      </c>
      <c r="L19004">
        <v>0</v>
      </c>
      <c r="M19004">
        <v>0</v>
      </c>
      <c r="N19004">
        <v>0</v>
      </c>
      <c r="O19004" t="s">
        <v>11910</v>
      </c>
    </row>
    <row r="19005" spans="1:15">
      <c r="A19005" t="s">
        <v>56922</v>
      </c>
      <c r="B19005" t="s">
        <v>11981</v>
      </c>
      <c r="C19005" t="s">
        <v>16705</v>
      </c>
      <c r="D19005" t="s">
        <v>56923</v>
      </c>
      <c r="E19005" t="b">
        <v>0</v>
      </c>
      <c r="F19005" t="s">
        <v>11610</v>
      </c>
      <c r="L19005">
        <v>0</v>
      </c>
      <c r="M19005">
        <v>0</v>
      </c>
      <c r="N19005">
        <v>0</v>
      </c>
    </row>
    <row r="19006" spans="1:15">
      <c r="A19006" t="s">
        <v>56924</v>
      </c>
      <c r="B19006" t="s">
        <v>11637</v>
      </c>
      <c r="C19006" t="s">
        <v>51714</v>
      </c>
      <c r="D19006" t="s">
        <v>56925</v>
      </c>
      <c r="E19006" t="b">
        <v>0</v>
      </c>
      <c r="F19006" t="s">
        <v>11610</v>
      </c>
      <c r="L19006">
        <v>0</v>
      </c>
      <c r="M19006">
        <v>0</v>
      </c>
      <c r="N19006">
        <v>0</v>
      </c>
    </row>
    <row r="19007" spans="1:15">
      <c r="A19007" t="s">
        <v>56926</v>
      </c>
      <c r="B19007" t="s">
        <v>11644</v>
      </c>
      <c r="C19007" t="s">
        <v>19604</v>
      </c>
      <c r="D19007" t="s">
        <v>56927</v>
      </c>
      <c r="E19007" t="b">
        <v>0</v>
      </c>
      <c r="F19007" t="s">
        <v>11610</v>
      </c>
      <c r="L19007">
        <v>0</v>
      </c>
      <c r="M19007">
        <v>0</v>
      </c>
      <c r="N19007">
        <v>0</v>
      </c>
    </row>
    <row r="19008" spans="1:15">
      <c r="A19008" t="s">
        <v>56928</v>
      </c>
      <c r="B19008" t="s">
        <v>5058</v>
      </c>
      <c r="C19008" t="s">
        <v>18402</v>
      </c>
      <c r="D19008" t="s">
        <v>56929</v>
      </c>
      <c r="E19008" t="b">
        <v>0</v>
      </c>
      <c r="F19008" t="s">
        <v>11610</v>
      </c>
      <c r="L19008">
        <v>0</v>
      </c>
      <c r="M19008">
        <v>0</v>
      </c>
      <c r="N19008">
        <v>0</v>
      </c>
    </row>
    <row r="19009" spans="1:15">
      <c r="A19009" t="s">
        <v>56930</v>
      </c>
      <c r="B19009" t="s">
        <v>4342</v>
      </c>
      <c r="C19009" t="s">
        <v>32016</v>
      </c>
      <c r="D19009" t="s">
        <v>56931</v>
      </c>
      <c r="E19009" t="b">
        <v>0</v>
      </c>
      <c r="F19009" t="s">
        <v>11610</v>
      </c>
      <c r="L19009">
        <v>0</v>
      </c>
      <c r="M19009">
        <v>0</v>
      </c>
      <c r="N19009">
        <v>0</v>
      </c>
    </row>
    <row r="19010" spans="1:15">
      <c r="A19010" t="s">
        <v>56932</v>
      </c>
      <c r="B19010" t="s">
        <v>4342</v>
      </c>
      <c r="C19010" t="s">
        <v>1360</v>
      </c>
      <c r="D19010" t="s">
        <v>56933</v>
      </c>
      <c r="E19010" t="b">
        <v>0</v>
      </c>
      <c r="F19010" t="s">
        <v>11610</v>
      </c>
      <c r="L19010">
        <v>0</v>
      </c>
      <c r="M19010">
        <v>0</v>
      </c>
      <c r="N19010">
        <v>0</v>
      </c>
    </row>
    <row r="19011" spans="1:15">
      <c r="A19011" t="s">
        <v>56934</v>
      </c>
      <c r="B19011" t="s">
        <v>11637</v>
      </c>
      <c r="C19011" t="s">
        <v>12222</v>
      </c>
      <c r="D19011" t="s">
        <v>56935</v>
      </c>
      <c r="E19011" t="b">
        <v>0</v>
      </c>
      <c r="F19011" t="s">
        <v>11610</v>
      </c>
      <c r="L19011">
        <v>0</v>
      </c>
      <c r="M19011">
        <v>0</v>
      </c>
      <c r="N19011">
        <v>0</v>
      </c>
    </row>
    <row r="19012" spans="1:15">
      <c r="A19012" t="s">
        <v>8013</v>
      </c>
      <c r="B19012" t="s">
        <v>11637</v>
      </c>
      <c r="C19012" t="s">
        <v>19889</v>
      </c>
      <c r="D19012" t="s">
        <v>56936</v>
      </c>
      <c r="E19012" t="b">
        <v>0</v>
      </c>
      <c r="F19012" t="s">
        <v>11624</v>
      </c>
      <c r="G19012">
        <v>34.651499999999999</v>
      </c>
      <c r="H19012">
        <v>75.287000000000006</v>
      </c>
      <c r="I19012" t="s">
        <v>56937</v>
      </c>
      <c r="L19012">
        <v>0</v>
      </c>
      <c r="M19012">
        <v>0</v>
      </c>
      <c r="N19012">
        <v>20</v>
      </c>
      <c r="O19012" t="s">
        <v>15870</v>
      </c>
    </row>
    <row r="19013" spans="1:15">
      <c r="A19013" t="s">
        <v>56938</v>
      </c>
      <c r="B19013" t="s">
        <v>12311</v>
      </c>
      <c r="C19013" t="s">
        <v>19583</v>
      </c>
      <c r="D19013" t="s">
        <v>56939</v>
      </c>
      <c r="E19013" t="b">
        <v>0</v>
      </c>
      <c r="F19013" t="s">
        <v>11610</v>
      </c>
      <c r="L19013">
        <v>0</v>
      </c>
      <c r="M19013">
        <v>0</v>
      </c>
      <c r="N19013">
        <v>0</v>
      </c>
    </row>
    <row r="19014" spans="1:15">
      <c r="A19014" t="s">
        <v>56940</v>
      </c>
      <c r="B19014" t="s">
        <v>6742</v>
      </c>
      <c r="C19014" t="s">
        <v>42782</v>
      </c>
      <c r="D19014" t="s">
        <v>56941</v>
      </c>
      <c r="E19014" t="b">
        <v>0</v>
      </c>
      <c r="F19014" t="s">
        <v>11610</v>
      </c>
      <c r="L19014">
        <v>0</v>
      </c>
      <c r="M19014">
        <v>0</v>
      </c>
      <c r="N19014">
        <v>0</v>
      </c>
    </row>
    <row r="19015" spans="1:15">
      <c r="A19015" t="s">
        <v>56942</v>
      </c>
      <c r="B19015" t="s">
        <v>12241</v>
      </c>
      <c r="C19015" t="s">
        <v>37342</v>
      </c>
      <c r="D19015" t="s">
        <v>56943</v>
      </c>
      <c r="E19015" t="b">
        <v>0</v>
      </c>
      <c r="F19015" t="s">
        <v>11624</v>
      </c>
      <c r="G19015">
        <v>-14.379799999999999</v>
      </c>
      <c r="H19015">
        <v>-62.340400000000002</v>
      </c>
      <c r="I19015" t="s">
        <v>56944</v>
      </c>
      <c r="L19015">
        <v>0</v>
      </c>
      <c r="M19015">
        <v>0</v>
      </c>
      <c r="N19015">
        <v>0</v>
      </c>
      <c r="O19015" t="s">
        <v>14185</v>
      </c>
    </row>
    <row r="19016" spans="1:15">
      <c r="A19016" t="s">
        <v>42783</v>
      </c>
      <c r="B19016" t="s">
        <v>6742</v>
      </c>
      <c r="C19016" t="s">
        <v>23324</v>
      </c>
      <c r="D19016" t="s">
        <v>56945</v>
      </c>
      <c r="E19016" t="b">
        <v>0</v>
      </c>
      <c r="F19016" t="s">
        <v>11622</v>
      </c>
      <c r="L19016">
        <v>0</v>
      </c>
      <c r="M19016">
        <v>2</v>
      </c>
      <c r="N19016">
        <v>2</v>
      </c>
    </row>
    <row r="19017" spans="1:15">
      <c r="A19017" t="s">
        <v>19889</v>
      </c>
      <c r="B19017" t="s">
        <v>11637</v>
      </c>
      <c r="C19017" t="s">
        <v>22744</v>
      </c>
      <c r="D19017" t="s">
        <v>56946</v>
      </c>
      <c r="E19017" t="b">
        <v>0</v>
      </c>
      <c r="F19017" t="s">
        <v>11622</v>
      </c>
      <c r="L19017">
        <v>3</v>
      </c>
      <c r="M19017">
        <v>8</v>
      </c>
      <c r="N19017">
        <v>25</v>
      </c>
    </row>
    <row r="19018" spans="1:15">
      <c r="A19018" t="s">
        <v>21087</v>
      </c>
      <c r="B19018" t="s">
        <v>13244</v>
      </c>
      <c r="C19018" t="s">
        <v>22207</v>
      </c>
      <c r="D19018" t="s">
        <v>56947</v>
      </c>
      <c r="E19018" t="b">
        <v>0</v>
      </c>
      <c r="F19018" t="s">
        <v>11622</v>
      </c>
      <c r="L19018">
        <v>0</v>
      </c>
      <c r="M19018">
        <v>2</v>
      </c>
      <c r="N19018">
        <v>6</v>
      </c>
    </row>
    <row r="19019" spans="1:15">
      <c r="A19019" t="s">
        <v>7570</v>
      </c>
      <c r="B19019" t="s">
        <v>13244</v>
      </c>
      <c r="C19019" t="s">
        <v>21087</v>
      </c>
      <c r="D19019" t="s">
        <v>7568</v>
      </c>
      <c r="E19019" t="b">
        <v>0</v>
      </c>
      <c r="F19019" t="s">
        <v>11624</v>
      </c>
      <c r="G19019">
        <v>-7.1710500000000001</v>
      </c>
      <c r="H19019">
        <v>-74.821899999999999</v>
      </c>
      <c r="I19019" t="s">
        <v>9089</v>
      </c>
      <c r="L19019">
        <v>0</v>
      </c>
      <c r="M19019">
        <v>0</v>
      </c>
      <c r="N19019">
        <v>5</v>
      </c>
      <c r="O19019" t="s">
        <v>11778</v>
      </c>
    </row>
    <row r="19020" spans="1:15">
      <c r="A19020" t="s">
        <v>7569</v>
      </c>
      <c r="B19020" t="s">
        <v>13244</v>
      </c>
      <c r="C19020" t="s">
        <v>7570</v>
      </c>
      <c r="D19020" t="s">
        <v>9088</v>
      </c>
      <c r="E19020" t="b">
        <v>0</v>
      </c>
      <c r="F19020" t="s">
        <v>11610</v>
      </c>
      <c r="L19020">
        <v>0</v>
      </c>
      <c r="M19020">
        <v>0</v>
      </c>
      <c r="N19020">
        <v>0</v>
      </c>
    </row>
    <row r="19021" spans="1:15">
      <c r="A19021" t="s">
        <v>56948</v>
      </c>
      <c r="B19021" t="s">
        <v>13244</v>
      </c>
      <c r="C19021" t="s">
        <v>7570</v>
      </c>
      <c r="D19021" t="s">
        <v>56949</v>
      </c>
      <c r="E19021" t="b">
        <v>0</v>
      </c>
      <c r="F19021" t="s">
        <v>11610</v>
      </c>
      <c r="L19021">
        <v>0</v>
      </c>
      <c r="M19021">
        <v>0</v>
      </c>
      <c r="N19021">
        <v>0</v>
      </c>
    </row>
    <row r="19022" spans="1:15">
      <c r="A19022" t="s">
        <v>56950</v>
      </c>
      <c r="B19022" t="s">
        <v>11637</v>
      </c>
      <c r="C19022" t="s">
        <v>14273</v>
      </c>
      <c r="D19022" t="s">
        <v>56951</v>
      </c>
      <c r="E19022" t="b">
        <v>0</v>
      </c>
      <c r="F19022" t="s">
        <v>11610</v>
      </c>
      <c r="L19022">
        <v>0</v>
      </c>
      <c r="M19022">
        <v>0</v>
      </c>
      <c r="N19022">
        <v>0</v>
      </c>
    </row>
    <row r="19023" spans="1:15">
      <c r="A19023" t="s">
        <v>56952</v>
      </c>
      <c r="B19023" t="s">
        <v>11637</v>
      </c>
      <c r="C19023" t="s">
        <v>14273</v>
      </c>
      <c r="D19023" t="s">
        <v>56953</v>
      </c>
      <c r="E19023" t="b">
        <v>0</v>
      </c>
      <c r="F19023" t="s">
        <v>11610</v>
      </c>
      <c r="L19023">
        <v>0</v>
      </c>
      <c r="M19023">
        <v>0</v>
      </c>
      <c r="N19023">
        <v>0</v>
      </c>
    </row>
    <row r="19024" spans="1:15">
      <c r="A19024" t="s">
        <v>16850</v>
      </c>
      <c r="B19024" t="s">
        <v>12250</v>
      </c>
      <c r="C19024" t="s">
        <v>25920</v>
      </c>
      <c r="D19024" t="s">
        <v>56954</v>
      </c>
      <c r="E19024" t="b">
        <v>0</v>
      </c>
      <c r="F19024" t="s">
        <v>11622</v>
      </c>
      <c r="L19024">
        <v>1</v>
      </c>
      <c r="M19024">
        <v>4</v>
      </c>
      <c r="N19024">
        <v>7</v>
      </c>
    </row>
    <row r="19025" spans="1:15">
      <c r="A19025" t="s">
        <v>56955</v>
      </c>
      <c r="B19025" t="s">
        <v>6742</v>
      </c>
      <c r="C19025" t="s">
        <v>56956</v>
      </c>
      <c r="D19025" t="s">
        <v>56957</v>
      </c>
      <c r="E19025" t="b">
        <v>0</v>
      </c>
      <c r="F19025" t="s">
        <v>11610</v>
      </c>
      <c r="L19025">
        <v>0</v>
      </c>
      <c r="M19025">
        <v>0</v>
      </c>
      <c r="N19025">
        <v>0</v>
      </c>
    </row>
    <row r="19026" spans="1:15">
      <c r="A19026" t="s">
        <v>56958</v>
      </c>
      <c r="B19026" t="s">
        <v>4342</v>
      </c>
      <c r="C19026" t="s">
        <v>30832</v>
      </c>
      <c r="D19026" t="s">
        <v>56959</v>
      </c>
      <c r="E19026" t="b">
        <v>0</v>
      </c>
      <c r="F19026" t="s">
        <v>11610</v>
      </c>
      <c r="L19026">
        <v>0</v>
      </c>
      <c r="M19026">
        <v>0</v>
      </c>
      <c r="N19026">
        <v>0</v>
      </c>
    </row>
    <row r="19027" spans="1:15">
      <c r="A19027" t="s">
        <v>56960</v>
      </c>
      <c r="B19027" t="s">
        <v>11607</v>
      </c>
      <c r="C19027" t="s">
        <v>15709</v>
      </c>
      <c r="D19027" t="s">
        <v>56961</v>
      </c>
      <c r="E19027" t="b">
        <v>0</v>
      </c>
      <c r="F19027" t="s">
        <v>11610</v>
      </c>
      <c r="L19027">
        <v>0</v>
      </c>
      <c r="M19027">
        <v>0</v>
      </c>
      <c r="N19027">
        <v>0</v>
      </c>
    </row>
    <row r="19028" spans="1:15">
      <c r="A19028" t="s">
        <v>56962</v>
      </c>
      <c r="B19028" t="s">
        <v>11607</v>
      </c>
      <c r="C19028" t="s">
        <v>13139</v>
      </c>
      <c r="D19028" t="s">
        <v>56963</v>
      </c>
      <c r="E19028" t="b">
        <v>0</v>
      </c>
      <c r="F19028" t="s">
        <v>11610</v>
      </c>
      <c r="L19028">
        <v>0</v>
      </c>
      <c r="M19028">
        <v>0</v>
      </c>
      <c r="N19028">
        <v>0</v>
      </c>
    </row>
    <row r="19029" spans="1:15">
      <c r="A19029" t="s">
        <v>34669</v>
      </c>
      <c r="B19029" t="s">
        <v>6742</v>
      </c>
      <c r="C19029" t="s">
        <v>17235</v>
      </c>
      <c r="D19029" t="s">
        <v>56964</v>
      </c>
      <c r="E19029" t="b">
        <v>0</v>
      </c>
      <c r="F19029" t="s">
        <v>11622</v>
      </c>
      <c r="L19029">
        <v>5</v>
      </c>
      <c r="M19029">
        <v>9</v>
      </c>
      <c r="N19029">
        <v>18</v>
      </c>
    </row>
    <row r="19030" spans="1:15">
      <c r="A19030" t="s">
        <v>15710</v>
      </c>
      <c r="B19030" t="s">
        <v>11607</v>
      </c>
      <c r="C19030" t="s">
        <v>47438</v>
      </c>
      <c r="D19030" t="s">
        <v>56965</v>
      </c>
      <c r="E19030" t="b">
        <v>0</v>
      </c>
      <c r="F19030" t="s">
        <v>11622</v>
      </c>
      <c r="L19030">
        <v>1</v>
      </c>
      <c r="M19030">
        <v>3</v>
      </c>
      <c r="N19030">
        <v>4</v>
      </c>
    </row>
    <row r="19031" spans="1:15">
      <c r="A19031" t="s">
        <v>17487</v>
      </c>
      <c r="B19031" t="s">
        <v>6742</v>
      </c>
      <c r="C19031" t="s">
        <v>34669</v>
      </c>
      <c r="D19031" t="s">
        <v>56966</v>
      </c>
      <c r="E19031" t="b">
        <v>0</v>
      </c>
      <c r="F19031" t="s">
        <v>11622</v>
      </c>
      <c r="L19031">
        <v>0</v>
      </c>
      <c r="M19031">
        <v>4</v>
      </c>
      <c r="N19031">
        <v>12</v>
      </c>
    </row>
    <row r="19032" spans="1:15">
      <c r="A19032" t="s">
        <v>15228</v>
      </c>
      <c r="B19032" t="s">
        <v>11607</v>
      </c>
      <c r="C19032" t="s">
        <v>15710</v>
      </c>
      <c r="D19032" t="s">
        <v>56967</v>
      </c>
      <c r="E19032" t="b">
        <v>0</v>
      </c>
      <c r="F19032" t="s">
        <v>11622</v>
      </c>
      <c r="L19032">
        <v>0</v>
      </c>
      <c r="M19032">
        <v>2</v>
      </c>
      <c r="N19032">
        <v>0</v>
      </c>
    </row>
    <row r="19033" spans="1:15">
      <c r="A19033" t="s">
        <v>56968</v>
      </c>
      <c r="B19033" t="s">
        <v>11644</v>
      </c>
      <c r="C19033" t="s">
        <v>16039</v>
      </c>
      <c r="D19033" t="s">
        <v>56969</v>
      </c>
      <c r="E19033" t="b">
        <v>0</v>
      </c>
      <c r="F19033" t="s">
        <v>11610</v>
      </c>
      <c r="L19033">
        <v>0</v>
      </c>
      <c r="M19033">
        <v>0</v>
      </c>
      <c r="N19033">
        <v>0</v>
      </c>
    </row>
    <row r="19034" spans="1:15">
      <c r="A19034" t="s">
        <v>56970</v>
      </c>
      <c r="B19034" t="s">
        <v>4342</v>
      </c>
      <c r="C19034" t="s">
        <v>31828</v>
      </c>
      <c r="D19034" t="s">
        <v>56971</v>
      </c>
      <c r="E19034" t="b">
        <v>0</v>
      </c>
      <c r="F19034" t="s">
        <v>11610</v>
      </c>
      <c r="L19034">
        <v>0</v>
      </c>
      <c r="M19034">
        <v>0</v>
      </c>
      <c r="N19034">
        <v>0</v>
      </c>
    </row>
    <row r="19035" spans="1:15">
      <c r="A19035" t="s">
        <v>56972</v>
      </c>
      <c r="B19035" t="s">
        <v>6742</v>
      </c>
      <c r="C19035" t="s">
        <v>32585</v>
      </c>
      <c r="D19035" t="s">
        <v>56973</v>
      </c>
      <c r="E19035" t="b">
        <v>0</v>
      </c>
      <c r="F19035" t="s">
        <v>11610</v>
      </c>
      <c r="L19035">
        <v>0</v>
      </c>
      <c r="M19035">
        <v>0</v>
      </c>
      <c r="N19035">
        <v>0</v>
      </c>
    </row>
    <row r="19036" spans="1:15">
      <c r="A19036" t="s">
        <v>56974</v>
      </c>
      <c r="B19036" t="s">
        <v>6742</v>
      </c>
      <c r="C19036" t="s">
        <v>30436</v>
      </c>
      <c r="D19036" t="s">
        <v>56975</v>
      </c>
      <c r="E19036" t="b">
        <v>0</v>
      </c>
      <c r="F19036" t="s">
        <v>11624</v>
      </c>
      <c r="L19036">
        <v>0</v>
      </c>
      <c r="M19036">
        <v>0</v>
      </c>
      <c r="N19036">
        <v>0</v>
      </c>
      <c r="O19036" t="s">
        <v>16915</v>
      </c>
    </row>
    <row r="19037" spans="1:15">
      <c r="A19037" t="s">
        <v>56976</v>
      </c>
      <c r="B19037" t="s">
        <v>11946</v>
      </c>
      <c r="C19037" t="s">
        <v>11945</v>
      </c>
      <c r="D19037" t="s">
        <v>56977</v>
      </c>
      <c r="E19037" t="b">
        <v>0</v>
      </c>
      <c r="F19037" t="s">
        <v>11610</v>
      </c>
      <c r="L19037">
        <v>0</v>
      </c>
      <c r="M19037">
        <v>0</v>
      </c>
      <c r="N19037">
        <v>0</v>
      </c>
    </row>
    <row r="19038" spans="1:15">
      <c r="A19038" t="s">
        <v>56978</v>
      </c>
      <c r="B19038" t="s">
        <v>11644</v>
      </c>
      <c r="C19038" t="s">
        <v>46251</v>
      </c>
      <c r="D19038" t="s">
        <v>56979</v>
      </c>
      <c r="E19038" t="b">
        <v>0</v>
      </c>
      <c r="F19038" t="s">
        <v>11624</v>
      </c>
      <c r="G19038">
        <v>28.389500000000002</v>
      </c>
      <c r="H19038">
        <v>100.4</v>
      </c>
      <c r="I19038" t="s">
        <v>56980</v>
      </c>
      <c r="L19038">
        <v>0</v>
      </c>
      <c r="M19038">
        <v>0</v>
      </c>
      <c r="N19038">
        <v>0</v>
      </c>
      <c r="O19038" t="s">
        <v>11905</v>
      </c>
    </row>
    <row r="19039" spans="1:15">
      <c r="A19039" t="s">
        <v>56981</v>
      </c>
      <c r="B19039" t="s">
        <v>4342</v>
      </c>
      <c r="C19039" t="s">
        <v>27259</v>
      </c>
      <c r="D19039" t="s">
        <v>56982</v>
      </c>
      <c r="E19039" t="b">
        <v>0</v>
      </c>
      <c r="F19039" t="s">
        <v>11610</v>
      </c>
      <c r="L19039">
        <v>0</v>
      </c>
      <c r="M19039">
        <v>0</v>
      </c>
      <c r="N19039">
        <v>0</v>
      </c>
    </row>
    <row r="19040" spans="1:15">
      <c r="A19040" t="s">
        <v>56983</v>
      </c>
      <c r="B19040" t="s">
        <v>22610</v>
      </c>
      <c r="C19040" t="s">
        <v>22619</v>
      </c>
      <c r="D19040" t="s">
        <v>56984</v>
      </c>
      <c r="E19040" t="b">
        <v>0</v>
      </c>
      <c r="F19040" t="s">
        <v>11610</v>
      </c>
      <c r="L19040">
        <v>0</v>
      </c>
      <c r="M19040">
        <v>0</v>
      </c>
      <c r="N19040">
        <v>0</v>
      </c>
    </row>
    <row r="19041" spans="1:15">
      <c r="A19041" t="s">
        <v>56985</v>
      </c>
      <c r="B19041" t="s">
        <v>11607</v>
      </c>
      <c r="C19041" t="s">
        <v>19078</v>
      </c>
      <c r="D19041" t="s">
        <v>56986</v>
      </c>
      <c r="E19041" t="b">
        <v>0</v>
      </c>
      <c r="F19041" t="s">
        <v>11610</v>
      </c>
      <c r="L19041">
        <v>0</v>
      </c>
      <c r="M19041">
        <v>0</v>
      </c>
      <c r="N19041">
        <v>0</v>
      </c>
    </row>
    <row r="19042" spans="1:15">
      <c r="A19042" t="s">
        <v>56987</v>
      </c>
      <c r="B19042" t="s">
        <v>11844</v>
      </c>
      <c r="C19042" t="s">
        <v>13179</v>
      </c>
      <c r="D19042" t="s">
        <v>56988</v>
      </c>
      <c r="E19042" t="b">
        <v>0</v>
      </c>
      <c r="F19042" t="s">
        <v>11624</v>
      </c>
      <c r="G19042">
        <v>11.9458</v>
      </c>
      <c r="H19042">
        <v>77.221100000000007</v>
      </c>
      <c r="I19042" t="s">
        <v>56989</v>
      </c>
      <c r="L19042">
        <v>0</v>
      </c>
      <c r="M19042">
        <v>0</v>
      </c>
      <c r="N19042">
        <v>0</v>
      </c>
      <c r="O19042" t="s">
        <v>11630</v>
      </c>
    </row>
    <row r="19043" spans="1:15">
      <c r="A19043" t="s">
        <v>56990</v>
      </c>
      <c r="B19043" t="s">
        <v>6742</v>
      </c>
      <c r="C19043" t="s">
        <v>14951</v>
      </c>
      <c r="D19043" t="s">
        <v>56991</v>
      </c>
      <c r="E19043" t="b">
        <v>0</v>
      </c>
      <c r="F19043" t="s">
        <v>11610</v>
      </c>
      <c r="L19043">
        <v>0</v>
      </c>
      <c r="M19043">
        <v>0</v>
      </c>
      <c r="N19043">
        <v>0</v>
      </c>
    </row>
    <row r="19044" spans="1:15">
      <c r="A19044" t="s">
        <v>56992</v>
      </c>
      <c r="D19044" t="s">
        <v>56993</v>
      </c>
      <c r="E19044" t="b">
        <v>0</v>
      </c>
      <c r="F19044" t="s">
        <v>11624</v>
      </c>
      <c r="G19044">
        <v>7.0209900000000003</v>
      </c>
      <c r="H19044">
        <v>93.806399999999996</v>
      </c>
      <c r="I19044" t="s">
        <v>56994</v>
      </c>
      <c r="L19044">
        <v>0</v>
      </c>
      <c r="M19044">
        <v>0</v>
      </c>
      <c r="N19044">
        <v>0</v>
      </c>
      <c r="O19044" t="s">
        <v>11630</v>
      </c>
    </row>
    <row r="19045" spans="1:15">
      <c r="A19045" t="s">
        <v>56995</v>
      </c>
      <c r="B19045" t="s">
        <v>6742</v>
      </c>
      <c r="C19045" t="s">
        <v>12956</v>
      </c>
      <c r="D19045" t="s">
        <v>56996</v>
      </c>
      <c r="E19045" t="b">
        <v>0</v>
      </c>
      <c r="F19045" t="s">
        <v>11610</v>
      </c>
      <c r="L19045">
        <v>0</v>
      </c>
      <c r="M19045">
        <v>0</v>
      </c>
      <c r="N19045">
        <v>0</v>
      </c>
    </row>
    <row r="19046" spans="1:15">
      <c r="A19046" t="s">
        <v>56997</v>
      </c>
      <c r="B19046" t="s">
        <v>11644</v>
      </c>
      <c r="C19046" t="s">
        <v>30590</v>
      </c>
      <c r="D19046" t="s">
        <v>56998</v>
      </c>
      <c r="E19046" t="b">
        <v>0</v>
      </c>
      <c r="F19046" t="s">
        <v>11610</v>
      </c>
      <c r="L19046">
        <v>0</v>
      </c>
      <c r="M19046">
        <v>0</v>
      </c>
      <c r="N19046">
        <v>0</v>
      </c>
    </row>
    <row r="19047" spans="1:15">
      <c r="A19047" t="s">
        <v>23413</v>
      </c>
      <c r="B19047" t="s">
        <v>6742</v>
      </c>
      <c r="C19047" t="s">
        <v>19707</v>
      </c>
      <c r="D19047" t="s">
        <v>56999</v>
      </c>
      <c r="E19047" t="b">
        <v>0</v>
      </c>
      <c r="F19047" t="s">
        <v>11622</v>
      </c>
      <c r="L19047">
        <v>5</v>
      </c>
      <c r="M19047">
        <v>8</v>
      </c>
      <c r="N19047">
        <v>52</v>
      </c>
    </row>
    <row r="19048" spans="1:15">
      <c r="A19048" t="s">
        <v>3601</v>
      </c>
      <c r="B19048" t="s">
        <v>6742</v>
      </c>
      <c r="C19048" t="s">
        <v>21944</v>
      </c>
      <c r="D19048" t="s">
        <v>57000</v>
      </c>
      <c r="E19048" t="b">
        <v>0</v>
      </c>
      <c r="F19048" t="s">
        <v>11624</v>
      </c>
      <c r="G19048">
        <v>-17.208490000000001</v>
      </c>
      <c r="H19048">
        <v>29.757249999999999</v>
      </c>
      <c r="I19048" t="s">
        <v>3603</v>
      </c>
      <c r="L19048">
        <v>0</v>
      </c>
      <c r="M19048">
        <v>0</v>
      </c>
      <c r="N19048">
        <v>27</v>
      </c>
      <c r="O19048" t="s">
        <v>57001</v>
      </c>
    </row>
    <row r="19049" spans="1:15">
      <c r="A19049" t="s">
        <v>57002</v>
      </c>
      <c r="B19049" t="s">
        <v>4342</v>
      </c>
      <c r="C19049" t="s">
        <v>1360</v>
      </c>
      <c r="D19049" t="s">
        <v>57003</v>
      </c>
      <c r="E19049" t="b">
        <v>0</v>
      </c>
      <c r="F19049" t="s">
        <v>11610</v>
      </c>
      <c r="L19049">
        <v>0</v>
      </c>
      <c r="M19049">
        <v>0</v>
      </c>
      <c r="N19049">
        <v>0</v>
      </c>
    </row>
    <row r="19050" spans="1:15">
      <c r="A19050" t="s">
        <v>57004</v>
      </c>
      <c r="B19050" t="s">
        <v>11607</v>
      </c>
      <c r="C19050" t="s">
        <v>18605</v>
      </c>
      <c r="D19050" t="s">
        <v>57005</v>
      </c>
      <c r="E19050" t="b">
        <v>0</v>
      </c>
      <c r="F19050" t="s">
        <v>11610</v>
      </c>
      <c r="L19050">
        <v>0</v>
      </c>
      <c r="M19050">
        <v>0</v>
      </c>
      <c r="N19050">
        <v>0</v>
      </c>
    </row>
    <row r="19051" spans="1:15">
      <c r="A19051" t="s">
        <v>44540</v>
      </c>
      <c r="B19051" t="s">
        <v>6742</v>
      </c>
      <c r="C19051" t="s">
        <v>23318</v>
      </c>
      <c r="D19051" t="s">
        <v>57006</v>
      </c>
      <c r="E19051" t="b">
        <v>0</v>
      </c>
      <c r="F19051" t="s">
        <v>11624</v>
      </c>
      <c r="G19051">
        <v>8.92577</v>
      </c>
      <c r="H19051">
        <v>10.9642</v>
      </c>
      <c r="I19051" t="s">
        <v>57007</v>
      </c>
      <c r="L19051">
        <v>0</v>
      </c>
      <c r="M19051">
        <v>0</v>
      </c>
      <c r="N19051">
        <v>3</v>
      </c>
      <c r="O19051" t="s">
        <v>11693</v>
      </c>
    </row>
    <row r="19052" spans="1:15">
      <c r="A19052" t="s">
        <v>57008</v>
      </c>
      <c r="B19052" t="s">
        <v>6742</v>
      </c>
      <c r="C19052" t="s">
        <v>44540</v>
      </c>
      <c r="D19052" t="s">
        <v>57009</v>
      </c>
      <c r="E19052" t="b">
        <v>0</v>
      </c>
      <c r="F19052" t="s">
        <v>11610</v>
      </c>
      <c r="L19052">
        <v>0</v>
      </c>
      <c r="M19052">
        <v>0</v>
      </c>
      <c r="N19052">
        <v>0</v>
      </c>
    </row>
    <row r="19053" spans="1:15">
      <c r="A19053" t="s">
        <v>37212</v>
      </c>
      <c r="B19053" t="s">
        <v>331</v>
      </c>
      <c r="C19053" t="s">
        <v>36059</v>
      </c>
      <c r="D19053" t="s">
        <v>57010</v>
      </c>
      <c r="E19053" t="b">
        <v>0</v>
      </c>
      <c r="F19053" t="s">
        <v>11624</v>
      </c>
      <c r="G19053">
        <v>52.326099999999997</v>
      </c>
      <c r="H19053">
        <v>88.434399999999997</v>
      </c>
      <c r="I19053" t="s">
        <v>57011</v>
      </c>
      <c r="L19053">
        <v>0</v>
      </c>
      <c r="M19053">
        <v>0</v>
      </c>
      <c r="N19053">
        <v>2</v>
      </c>
      <c r="O19053" t="s">
        <v>12748</v>
      </c>
    </row>
    <row r="19054" spans="1:15">
      <c r="A19054" t="s">
        <v>29617</v>
      </c>
      <c r="B19054" t="s">
        <v>12751</v>
      </c>
      <c r="C19054" t="s">
        <v>21690</v>
      </c>
      <c r="D19054" t="s">
        <v>57012</v>
      </c>
      <c r="E19054" t="b">
        <v>0</v>
      </c>
      <c r="F19054" t="s">
        <v>11624</v>
      </c>
      <c r="G19054">
        <v>41</v>
      </c>
      <c r="H19054">
        <v>-116</v>
      </c>
      <c r="I19054" t="s">
        <v>57013</v>
      </c>
      <c r="L19054">
        <v>0</v>
      </c>
      <c r="M19054">
        <v>0</v>
      </c>
      <c r="N19054">
        <v>3</v>
      </c>
      <c r="O19054" t="s">
        <v>11944</v>
      </c>
    </row>
    <row r="19055" spans="1:15">
      <c r="A19055" t="s">
        <v>57014</v>
      </c>
      <c r="B19055" t="s">
        <v>367</v>
      </c>
      <c r="C19055" t="s">
        <v>19840</v>
      </c>
      <c r="D19055" t="s">
        <v>57015</v>
      </c>
      <c r="E19055" t="b">
        <v>0</v>
      </c>
      <c r="F19055" t="s">
        <v>11610</v>
      </c>
      <c r="L19055">
        <v>0</v>
      </c>
      <c r="M19055">
        <v>0</v>
      </c>
      <c r="N19055">
        <v>0</v>
      </c>
    </row>
    <row r="19056" spans="1:15">
      <c r="A19056" t="s">
        <v>47113</v>
      </c>
      <c r="B19056" t="s">
        <v>11637</v>
      </c>
      <c r="C19056" t="s">
        <v>22139</v>
      </c>
      <c r="D19056" t="s">
        <v>57016</v>
      </c>
      <c r="E19056" t="b">
        <v>0</v>
      </c>
      <c r="F19056" t="s">
        <v>11610</v>
      </c>
      <c r="L19056">
        <v>0</v>
      </c>
      <c r="M19056">
        <v>0</v>
      </c>
      <c r="N19056">
        <v>18</v>
      </c>
    </row>
    <row r="19057" spans="1:15">
      <c r="A19057" t="s">
        <v>57017</v>
      </c>
      <c r="B19057" t="s">
        <v>11627</v>
      </c>
      <c r="C19057" t="s">
        <v>11627</v>
      </c>
      <c r="D19057" t="s">
        <v>57018</v>
      </c>
      <c r="E19057" t="b">
        <v>1</v>
      </c>
      <c r="F19057" t="s">
        <v>11624</v>
      </c>
      <c r="G19057">
        <v>44.169199999999996</v>
      </c>
      <c r="H19057">
        <v>5.0660100000000003</v>
      </c>
      <c r="I19057" t="s">
        <v>57019</v>
      </c>
      <c r="L19057">
        <v>0</v>
      </c>
      <c r="M19057">
        <v>0</v>
      </c>
      <c r="N19057">
        <v>0</v>
      </c>
      <c r="O19057" t="s">
        <v>19870</v>
      </c>
    </row>
    <row r="19058" spans="1:15">
      <c r="A19058" t="s">
        <v>57020</v>
      </c>
      <c r="B19058" t="s">
        <v>11644</v>
      </c>
      <c r="C19058" t="s">
        <v>40538</v>
      </c>
      <c r="D19058" t="s">
        <v>57021</v>
      </c>
      <c r="E19058" t="b">
        <v>0</v>
      </c>
      <c r="F19058" t="s">
        <v>11610</v>
      </c>
      <c r="L19058">
        <v>0</v>
      </c>
      <c r="M19058">
        <v>0</v>
      </c>
      <c r="N19058">
        <v>0</v>
      </c>
    </row>
    <row r="19059" spans="1:15">
      <c r="A19059" t="s">
        <v>12592</v>
      </c>
      <c r="B19059" t="s">
        <v>4236</v>
      </c>
      <c r="C19059" t="s">
        <v>51607</v>
      </c>
      <c r="D19059" t="s">
        <v>57022</v>
      </c>
      <c r="E19059" t="b">
        <v>0</v>
      </c>
      <c r="F19059" t="s">
        <v>11624</v>
      </c>
      <c r="G19059">
        <v>-21.52</v>
      </c>
      <c r="H19059">
        <v>26.023800000000001</v>
      </c>
      <c r="I19059" t="s">
        <v>57023</v>
      </c>
      <c r="L19059">
        <v>0</v>
      </c>
      <c r="M19059">
        <v>0</v>
      </c>
      <c r="N19059">
        <v>10</v>
      </c>
      <c r="O19059" t="s">
        <v>57024</v>
      </c>
    </row>
    <row r="19060" spans="1:15">
      <c r="A19060" t="s">
        <v>57025</v>
      </c>
      <c r="B19060" t="s">
        <v>4236</v>
      </c>
      <c r="C19060" t="s">
        <v>12592</v>
      </c>
      <c r="D19060" t="s">
        <v>57026</v>
      </c>
      <c r="E19060" t="b">
        <v>0</v>
      </c>
      <c r="F19060" t="s">
        <v>11610</v>
      </c>
      <c r="L19060">
        <v>0</v>
      </c>
      <c r="M19060">
        <v>0</v>
      </c>
      <c r="N19060">
        <v>0</v>
      </c>
    </row>
    <row r="19061" spans="1:15">
      <c r="A19061" t="s">
        <v>8670</v>
      </c>
      <c r="B19061" t="s">
        <v>11946</v>
      </c>
      <c r="C19061" t="s">
        <v>11946</v>
      </c>
      <c r="D19061" t="s">
        <v>57027</v>
      </c>
      <c r="E19061" t="b">
        <v>0</v>
      </c>
      <c r="F19061" t="s">
        <v>11622</v>
      </c>
      <c r="L19061">
        <v>0</v>
      </c>
      <c r="M19061">
        <v>3</v>
      </c>
      <c r="N19061">
        <v>2</v>
      </c>
    </row>
    <row r="19062" spans="1:15">
      <c r="A19062" t="s">
        <v>8671</v>
      </c>
      <c r="B19062" t="s">
        <v>11946</v>
      </c>
      <c r="C19062" t="s">
        <v>8670</v>
      </c>
      <c r="D19062" t="s">
        <v>57028</v>
      </c>
      <c r="E19062" t="b">
        <v>0</v>
      </c>
      <c r="F19062" t="s">
        <v>11624</v>
      </c>
      <c r="G19062">
        <v>-3.4513600000000002</v>
      </c>
      <c r="H19062">
        <v>-78.1892</v>
      </c>
      <c r="I19062" t="s">
        <v>57029</v>
      </c>
      <c r="L19062">
        <v>0</v>
      </c>
      <c r="M19062">
        <v>0</v>
      </c>
      <c r="N19062">
        <v>0</v>
      </c>
      <c r="O19062" t="s">
        <v>11949</v>
      </c>
    </row>
    <row r="19063" spans="1:15">
      <c r="A19063" t="s">
        <v>57030</v>
      </c>
      <c r="B19063" t="s">
        <v>11644</v>
      </c>
      <c r="C19063" t="s">
        <v>40815</v>
      </c>
      <c r="D19063" t="s">
        <v>57031</v>
      </c>
      <c r="E19063" t="b">
        <v>0</v>
      </c>
      <c r="F19063" t="s">
        <v>11610</v>
      </c>
      <c r="G19063">
        <v>27.456978100000001</v>
      </c>
      <c r="H19063">
        <v>111.91648600000001</v>
      </c>
      <c r="L19063">
        <v>0</v>
      </c>
      <c r="M19063">
        <v>0</v>
      </c>
      <c r="N19063">
        <v>0</v>
      </c>
    </row>
    <row r="19064" spans="1:15">
      <c r="A19064" t="s">
        <v>57032</v>
      </c>
      <c r="B19064" t="s">
        <v>6742</v>
      </c>
      <c r="C19064" t="s">
        <v>30700</v>
      </c>
      <c r="D19064" t="s">
        <v>57033</v>
      </c>
      <c r="E19064" t="b">
        <v>0</v>
      </c>
      <c r="F19064" t="s">
        <v>11624</v>
      </c>
      <c r="G19064">
        <v>-2.9766300000000001</v>
      </c>
      <c r="H19064">
        <v>31.068100000000001</v>
      </c>
      <c r="I19064" t="s">
        <v>57034</v>
      </c>
      <c r="L19064">
        <v>0</v>
      </c>
      <c r="M19064">
        <v>0</v>
      </c>
      <c r="N19064">
        <v>0</v>
      </c>
      <c r="O19064" t="s">
        <v>30463</v>
      </c>
    </row>
    <row r="19065" spans="1:15">
      <c r="A19065" t="s">
        <v>57035</v>
      </c>
      <c r="B19065" t="s">
        <v>11637</v>
      </c>
      <c r="C19065" t="s">
        <v>2187</v>
      </c>
      <c r="D19065" t="s">
        <v>57036</v>
      </c>
      <c r="E19065" t="b">
        <v>0</v>
      </c>
      <c r="F19065" t="s">
        <v>11622</v>
      </c>
      <c r="L19065">
        <v>1</v>
      </c>
      <c r="M19065">
        <v>4</v>
      </c>
      <c r="N19065">
        <v>15</v>
      </c>
    </row>
    <row r="19066" spans="1:15">
      <c r="A19066" t="s">
        <v>17161</v>
      </c>
      <c r="B19066" t="s">
        <v>11637</v>
      </c>
      <c r="C19066" t="s">
        <v>51183</v>
      </c>
      <c r="D19066" t="s">
        <v>57037</v>
      </c>
      <c r="E19066" t="b">
        <v>0</v>
      </c>
      <c r="F19066" t="s">
        <v>11624</v>
      </c>
      <c r="G19066">
        <v>37.501800000000003</v>
      </c>
      <c r="H19066">
        <v>71.792500000000004</v>
      </c>
      <c r="I19066" t="s">
        <v>57038</v>
      </c>
      <c r="L19066">
        <v>0</v>
      </c>
      <c r="M19066">
        <v>0</v>
      </c>
      <c r="N19066">
        <v>13</v>
      </c>
      <c r="O19066" t="s">
        <v>55580</v>
      </c>
    </row>
    <row r="19067" spans="1:15">
      <c r="A19067" t="s">
        <v>57039</v>
      </c>
      <c r="B19067" t="s">
        <v>11607</v>
      </c>
      <c r="C19067" t="s">
        <v>43925</v>
      </c>
      <c r="D19067" t="s">
        <v>57040</v>
      </c>
      <c r="E19067" t="b">
        <v>0</v>
      </c>
      <c r="F19067" t="s">
        <v>11610</v>
      </c>
      <c r="L19067">
        <v>0</v>
      </c>
      <c r="M19067">
        <v>0</v>
      </c>
      <c r="N19067">
        <v>0</v>
      </c>
    </row>
    <row r="19068" spans="1:15">
      <c r="A19068" t="s">
        <v>51183</v>
      </c>
      <c r="B19068" t="s">
        <v>11637</v>
      </c>
      <c r="C19068" t="s">
        <v>57035</v>
      </c>
      <c r="D19068" t="s">
        <v>57041</v>
      </c>
      <c r="E19068" t="b">
        <v>0</v>
      </c>
      <c r="F19068" t="s">
        <v>11622</v>
      </c>
      <c r="L19068">
        <v>0</v>
      </c>
      <c r="M19068">
        <v>3</v>
      </c>
      <c r="N19068">
        <v>13</v>
      </c>
    </row>
    <row r="19069" spans="1:15">
      <c r="A19069" t="s">
        <v>16084</v>
      </c>
      <c r="B19069" t="s">
        <v>11637</v>
      </c>
      <c r="C19069" t="s">
        <v>17161</v>
      </c>
      <c r="D19069" t="s">
        <v>57042</v>
      </c>
      <c r="E19069" t="b">
        <v>0</v>
      </c>
      <c r="F19069" t="s">
        <v>11610</v>
      </c>
      <c r="L19069">
        <v>0</v>
      </c>
      <c r="M19069">
        <v>0</v>
      </c>
      <c r="N19069">
        <v>6</v>
      </c>
    </row>
    <row r="19070" spans="1:15">
      <c r="A19070" t="s">
        <v>49358</v>
      </c>
      <c r="B19070" t="s">
        <v>11637</v>
      </c>
      <c r="C19070" t="s">
        <v>16084</v>
      </c>
      <c r="D19070" t="s">
        <v>57043</v>
      </c>
      <c r="E19070" t="b">
        <v>0</v>
      </c>
      <c r="F19070" t="s">
        <v>11610</v>
      </c>
      <c r="L19070">
        <v>0</v>
      </c>
      <c r="M19070">
        <v>0</v>
      </c>
      <c r="N19070">
        <v>2</v>
      </c>
    </row>
    <row r="19071" spans="1:15">
      <c r="A19071" t="s">
        <v>57044</v>
      </c>
      <c r="B19071" t="s">
        <v>6742</v>
      </c>
      <c r="C19071" t="s">
        <v>12870</v>
      </c>
      <c r="D19071" t="s">
        <v>57045</v>
      </c>
      <c r="E19071" t="b">
        <v>0</v>
      </c>
      <c r="F19071" t="s">
        <v>11610</v>
      </c>
      <c r="L19071">
        <v>0</v>
      </c>
      <c r="M19071">
        <v>0</v>
      </c>
      <c r="N19071">
        <v>0</v>
      </c>
    </row>
    <row r="19072" spans="1:15">
      <c r="A19072" t="s">
        <v>57046</v>
      </c>
      <c r="B19072" t="s">
        <v>11607</v>
      </c>
      <c r="C19072" t="s">
        <v>13237</v>
      </c>
      <c r="D19072" t="s">
        <v>57047</v>
      </c>
      <c r="E19072" t="b">
        <v>0</v>
      </c>
      <c r="F19072" t="s">
        <v>11610</v>
      </c>
      <c r="L19072">
        <v>0</v>
      </c>
      <c r="M19072">
        <v>0</v>
      </c>
      <c r="N19072">
        <v>0</v>
      </c>
    </row>
    <row r="19073" spans="1:15">
      <c r="A19073" t="s">
        <v>57048</v>
      </c>
      <c r="B19073" t="s">
        <v>11607</v>
      </c>
      <c r="C19073" t="s">
        <v>3055</v>
      </c>
      <c r="D19073" t="s">
        <v>57049</v>
      </c>
      <c r="E19073" t="b">
        <v>0</v>
      </c>
      <c r="F19073" t="s">
        <v>11610</v>
      </c>
      <c r="L19073">
        <v>0</v>
      </c>
      <c r="M19073">
        <v>0</v>
      </c>
      <c r="N19073">
        <v>0</v>
      </c>
    </row>
    <row r="19074" spans="1:15">
      <c r="A19074" t="s">
        <v>57050</v>
      </c>
      <c r="B19074" t="s">
        <v>11637</v>
      </c>
      <c r="C19074" t="s">
        <v>19797</v>
      </c>
      <c r="D19074" t="s">
        <v>57051</v>
      </c>
      <c r="E19074" t="b">
        <v>0</v>
      </c>
      <c r="F19074" t="s">
        <v>11610</v>
      </c>
      <c r="L19074">
        <v>0</v>
      </c>
      <c r="M19074">
        <v>0</v>
      </c>
      <c r="N19074">
        <v>0</v>
      </c>
    </row>
    <row r="19075" spans="1:15">
      <c r="A19075" t="s">
        <v>57052</v>
      </c>
      <c r="B19075" t="s">
        <v>12311</v>
      </c>
      <c r="C19075" t="s">
        <v>13678</v>
      </c>
      <c r="D19075" t="s">
        <v>57053</v>
      </c>
      <c r="E19075" t="b">
        <v>0</v>
      </c>
      <c r="F19075" t="s">
        <v>11610</v>
      </c>
      <c r="L19075">
        <v>0</v>
      </c>
      <c r="M19075">
        <v>0</v>
      </c>
      <c r="N19075">
        <v>0</v>
      </c>
    </row>
    <row r="19076" spans="1:15">
      <c r="A19076" t="s">
        <v>57054</v>
      </c>
      <c r="B19076" t="s">
        <v>11637</v>
      </c>
      <c r="C19076" t="s">
        <v>28739</v>
      </c>
      <c r="D19076" t="s">
        <v>57055</v>
      </c>
      <c r="E19076" t="b">
        <v>0</v>
      </c>
      <c r="F19076" t="s">
        <v>11624</v>
      </c>
      <c r="G19076">
        <v>34.4756</v>
      </c>
      <c r="H19076">
        <v>70.569599999999994</v>
      </c>
      <c r="I19076" t="s">
        <v>57056</v>
      </c>
      <c r="L19076">
        <v>0</v>
      </c>
      <c r="M19076">
        <v>0</v>
      </c>
      <c r="N19076">
        <v>0</v>
      </c>
      <c r="O19076" t="s">
        <v>12131</v>
      </c>
    </row>
    <row r="19077" spans="1:15">
      <c r="A19077" t="s">
        <v>57057</v>
      </c>
      <c r="B19077" t="s">
        <v>11644</v>
      </c>
      <c r="C19077" t="s">
        <v>33202</v>
      </c>
      <c r="D19077" t="s">
        <v>57058</v>
      </c>
      <c r="E19077" t="b">
        <v>0</v>
      </c>
      <c r="F19077" t="s">
        <v>11624</v>
      </c>
      <c r="G19077">
        <v>31.686199999999999</v>
      </c>
      <c r="H19077">
        <v>78.386499999999998</v>
      </c>
      <c r="I19077" t="s">
        <v>57059</v>
      </c>
      <c r="L19077">
        <v>0</v>
      </c>
      <c r="M19077">
        <v>0</v>
      </c>
      <c r="N19077">
        <v>0</v>
      </c>
      <c r="O19077" t="s">
        <v>11630</v>
      </c>
    </row>
    <row r="19078" spans="1:15">
      <c r="A19078" t="s">
        <v>57060</v>
      </c>
      <c r="B19078" t="s">
        <v>11644</v>
      </c>
      <c r="C19078" t="s">
        <v>13896</v>
      </c>
      <c r="D19078" t="s">
        <v>57061</v>
      </c>
      <c r="E19078" t="b">
        <v>0</v>
      </c>
      <c r="F19078" t="s">
        <v>11610</v>
      </c>
      <c r="L19078">
        <v>0</v>
      </c>
      <c r="M19078">
        <v>0</v>
      </c>
      <c r="N19078">
        <v>0</v>
      </c>
    </row>
    <row r="19079" spans="1:15">
      <c r="A19079" t="s">
        <v>57062</v>
      </c>
      <c r="B19079" t="s">
        <v>11644</v>
      </c>
      <c r="C19079" t="s">
        <v>33464</v>
      </c>
      <c r="D19079" t="s">
        <v>57063</v>
      </c>
      <c r="E19079" t="b">
        <v>0</v>
      </c>
      <c r="F19079" t="s">
        <v>11610</v>
      </c>
      <c r="L19079">
        <v>0</v>
      </c>
      <c r="M19079">
        <v>0</v>
      </c>
      <c r="N19079">
        <v>0</v>
      </c>
    </row>
    <row r="19080" spans="1:15">
      <c r="A19080" t="s">
        <v>57064</v>
      </c>
      <c r="B19080" t="s">
        <v>16115</v>
      </c>
      <c r="C19080" t="s">
        <v>16115</v>
      </c>
      <c r="D19080" t="s">
        <v>57065</v>
      </c>
      <c r="E19080" t="b">
        <v>0</v>
      </c>
      <c r="F19080" t="s">
        <v>11610</v>
      </c>
      <c r="L19080">
        <v>0</v>
      </c>
      <c r="M19080">
        <v>0</v>
      </c>
      <c r="N19080">
        <v>0</v>
      </c>
    </row>
    <row r="19081" spans="1:15">
      <c r="A19081" t="s">
        <v>57066</v>
      </c>
      <c r="B19081" t="s">
        <v>4342</v>
      </c>
      <c r="C19081" t="s">
        <v>4341</v>
      </c>
      <c r="D19081" t="s">
        <v>57067</v>
      </c>
      <c r="E19081" t="b">
        <v>0</v>
      </c>
      <c r="F19081" t="s">
        <v>11610</v>
      </c>
      <c r="L19081">
        <v>0</v>
      </c>
      <c r="M19081">
        <v>0</v>
      </c>
      <c r="N19081">
        <v>0</v>
      </c>
    </row>
    <row r="19082" spans="1:15">
      <c r="A19082" t="s">
        <v>57068</v>
      </c>
      <c r="B19082" t="s">
        <v>331</v>
      </c>
      <c r="C19082" t="s">
        <v>22045</v>
      </c>
      <c r="D19082" t="s">
        <v>57069</v>
      </c>
      <c r="E19082" t="b">
        <v>0</v>
      </c>
      <c r="F19082" t="s">
        <v>11610</v>
      </c>
      <c r="L19082">
        <v>0</v>
      </c>
      <c r="M19082">
        <v>0</v>
      </c>
      <c r="N19082">
        <v>0</v>
      </c>
    </row>
    <row r="19083" spans="1:15">
      <c r="A19083" t="s">
        <v>26339</v>
      </c>
      <c r="B19083" t="s">
        <v>9071</v>
      </c>
      <c r="C19083" t="s">
        <v>40175</v>
      </c>
      <c r="D19083" t="s">
        <v>57070</v>
      </c>
      <c r="E19083" t="b">
        <v>0</v>
      </c>
      <c r="F19083" t="s">
        <v>11624</v>
      </c>
      <c r="G19083">
        <v>50.873399999999997</v>
      </c>
      <c r="H19083">
        <v>-119.667</v>
      </c>
      <c r="I19083" t="s">
        <v>57071</v>
      </c>
      <c r="L19083">
        <v>0</v>
      </c>
      <c r="M19083">
        <v>0</v>
      </c>
      <c r="N19083">
        <v>2</v>
      </c>
      <c r="O19083" t="s">
        <v>13049</v>
      </c>
    </row>
    <row r="19084" spans="1:15">
      <c r="A19084" t="s">
        <v>57072</v>
      </c>
      <c r="B19084" t="s">
        <v>11607</v>
      </c>
      <c r="C19084" t="s">
        <v>12472</v>
      </c>
      <c r="D19084" t="s">
        <v>57073</v>
      </c>
      <c r="E19084" t="b">
        <v>0</v>
      </c>
      <c r="F19084" t="s">
        <v>11610</v>
      </c>
      <c r="L19084">
        <v>0</v>
      </c>
      <c r="M19084">
        <v>0</v>
      </c>
      <c r="N19084">
        <v>0</v>
      </c>
    </row>
    <row r="19085" spans="1:15">
      <c r="A19085" t="s">
        <v>57074</v>
      </c>
      <c r="B19085" t="s">
        <v>11637</v>
      </c>
      <c r="C19085" t="s">
        <v>29195</v>
      </c>
      <c r="D19085" t="s">
        <v>57075</v>
      </c>
      <c r="E19085" t="b">
        <v>0</v>
      </c>
      <c r="F19085" t="s">
        <v>11610</v>
      </c>
      <c r="L19085">
        <v>0</v>
      </c>
      <c r="M19085">
        <v>0</v>
      </c>
      <c r="N19085">
        <v>0</v>
      </c>
    </row>
    <row r="19086" spans="1:15">
      <c r="A19086" t="s">
        <v>57076</v>
      </c>
      <c r="B19086" t="s">
        <v>11637</v>
      </c>
      <c r="C19086" t="s">
        <v>12947</v>
      </c>
      <c r="D19086" t="s">
        <v>57077</v>
      </c>
      <c r="E19086" t="b">
        <v>0</v>
      </c>
      <c r="F19086" t="s">
        <v>11610</v>
      </c>
      <c r="L19086">
        <v>0</v>
      </c>
      <c r="M19086">
        <v>0</v>
      </c>
      <c r="N19086">
        <v>0</v>
      </c>
    </row>
    <row r="19087" spans="1:15">
      <c r="A19087" t="s">
        <v>57078</v>
      </c>
      <c r="B19087" t="s">
        <v>6742</v>
      </c>
      <c r="C19087" t="s">
        <v>26953</v>
      </c>
      <c r="D19087" t="s">
        <v>57079</v>
      </c>
      <c r="E19087" t="b">
        <v>0</v>
      </c>
      <c r="F19087" t="s">
        <v>11610</v>
      </c>
      <c r="L19087">
        <v>0</v>
      </c>
      <c r="M19087">
        <v>0</v>
      </c>
      <c r="N19087">
        <v>0</v>
      </c>
    </row>
    <row r="19088" spans="1:15">
      <c r="A19088" t="s">
        <v>57080</v>
      </c>
      <c r="B19088" t="s">
        <v>12241</v>
      </c>
      <c r="C19088" t="s">
        <v>15040</v>
      </c>
      <c r="D19088" t="s">
        <v>57081</v>
      </c>
      <c r="E19088" t="b">
        <v>0</v>
      </c>
      <c r="F19088" t="s">
        <v>11624</v>
      </c>
      <c r="G19088">
        <v>12.25</v>
      </c>
      <c r="H19088">
        <v>14</v>
      </c>
      <c r="I19088" t="s">
        <v>57082</v>
      </c>
      <c r="L19088">
        <v>0</v>
      </c>
      <c r="M19088">
        <v>0</v>
      </c>
      <c r="N19088">
        <v>0</v>
      </c>
      <c r="O19088" t="s">
        <v>11693</v>
      </c>
    </row>
    <row r="19089" spans="1:15">
      <c r="A19089" t="s">
        <v>22069</v>
      </c>
      <c r="B19089" t="s">
        <v>21516</v>
      </c>
      <c r="C19089" t="s">
        <v>21517</v>
      </c>
      <c r="D19089" t="s">
        <v>57083</v>
      </c>
      <c r="E19089" t="b">
        <v>0</v>
      </c>
      <c r="F19089" t="s">
        <v>11624</v>
      </c>
      <c r="G19089">
        <v>11.270799999999999</v>
      </c>
      <c r="H19089">
        <v>30.353300000000001</v>
      </c>
      <c r="I19089" t="s">
        <v>57084</v>
      </c>
      <c r="L19089">
        <v>0</v>
      </c>
      <c r="M19089">
        <v>0</v>
      </c>
      <c r="N19089">
        <v>3</v>
      </c>
      <c r="O19089" t="s">
        <v>11910</v>
      </c>
    </row>
    <row r="19090" spans="1:15">
      <c r="A19090" t="s">
        <v>57085</v>
      </c>
      <c r="B19090" t="s">
        <v>12438</v>
      </c>
      <c r="C19090" t="s">
        <v>51985</v>
      </c>
      <c r="D19090" t="s">
        <v>57086</v>
      </c>
      <c r="E19090" t="b">
        <v>0</v>
      </c>
      <c r="F19090" t="s">
        <v>11624</v>
      </c>
      <c r="G19090">
        <v>23.672899999999998</v>
      </c>
      <c r="H19090">
        <v>97.797200000000004</v>
      </c>
      <c r="I19090" t="s">
        <v>57087</v>
      </c>
      <c r="L19090">
        <v>0</v>
      </c>
      <c r="M19090">
        <v>0</v>
      </c>
      <c r="N19090">
        <v>0</v>
      </c>
      <c r="O19090" t="s">
        <v>11892</v>
      </c>
    </row>
    <row r="19091" spans="1:15">
      <c r="A19091" t="s">
        <v>57088</v>
      </c>
      <c r="B19091" t="s">
        <v>13276</v>
      </c>
      <c r="C19091" t="s">
        <v>37668</v>
      </c>
      <c r="D19091" t="s">
        <v>57089</v>
      </c>
      <c r="E19091" t="b">
        <v>0</v>
      </c>
      <c r="F19091" t="s">
        <v>11610</v>
      </c>
      <c r="L19091">
        <v>0</v>
      </c>
      <c r="M19091">
        <v>0</v>
      </c>
      <c r="N19091">
        <v>0</v>
      </c>
    </row>
    <row r="19092" spans="1:15">
      <c r="A19092" t="s">
        <v>57090</v>
      </c>
      <c r="B19092" t="s">
        <v>11615</v>
      </c>
      <c r="C19092" t="s">
        <v>36559</v>
      </c>
      <c r="D19092" t="s">
        <v>57091</v>
      </c>
      <c r="E19092" t="b">
        <v>0</v>
      </c>
      <c r="F19092" t="s">
        <v>11624</v>
      </c>
      <c r="G19092">
        <v>-6.0768800000000001</v>
      </c>
      <c r="H19092">
        <v>147.57400000000001</v>
      </c>
      <c r="I19092" t="s">
        <v>57092</v>
      </c>
      <c r="L19092">
        <v>0</v>
      </c>
      <c r="M19092">
        <v>0</v>
      </c>
      <c r="N19092">
        <v>0</v>
      </c>
      <c r="O19092" t="s">
        <v>11660</v>
      </c>
    </row>
    <row r="19093" spans="1:15">
      <c r="A19093" t="s">
        <v>52958</v>
      </c>
      <c r="B19093" t="s">
        <v>5126</v>
      </c>
      <c r="C19093" t="s">
        <v>39418</v>
      </c>
      <c r="D19093" t="s">
        <v>57093</v>
      </c>
      <c r="E19093" t="b">
        <v>0</v>
      </c>
      <c r="F19093" t="s">
        <v>11622</v>
      </c>
      <c r="L19093">
        <v>0</v>
      </c>
      <c r="M19093">
        <v>2</v>
      </c>
      <c r="N19093">
        <v>0</v>
      </c>
    </row>
    <row r="19094" spans="1:15">
      <c r="A19094" t="s">
        <v>16564</v>
      </c>
      <c r="D19094" t="s">
        <v>57094</v>
      </c>
      <c r="E19094" t="b">
        <v>0</v>
      </c>
      <c r="F19094" t="s">
        <v>11624</v>
      </c>
      <c r="G19094">
        <v>10.997999999999999</v>
      </c>
      <c r="H19094">
        <v>-4.92143</v>
      </c>
      <c r="I19094" t="s">
        <v>57095</v>
      </c>
      <c r="L19094">
        <v>0</v>
      </c>
      <c r="M19094">
        <v>0</v>
      </c>
      <c r="N19094">
        <v>1</v>
      </c>
      <c r="O19094" t="s">
        <v>21276</v>
      </c>
    </row>
    <row r="19095" spans="1:15">
      <c r="A19095" t="s">
        <v>45908</v>
      </c>
      <c r="B19095" t="s">
        <v>367</v>
      </c>
      <c r="C19095" t="s">
        <v>36939</v>
      </c>
      <c r="D19095" t="s">
        <v>57096</v>
      </c>
      <c r="E19095" t="b">
        <v>0</v>
      </c>
      <c r="F19095" t="s">
        <v>11624</v>
      </c>
      <c r="G19095">
        <v>-0.38397999999999999</v>
      </c>
      <c r="H19095">
        <v>114.693</v>
      </c>
      <c r="I19095" t="s">
        <v>57097</v>
      </c>
      <c r="L19095">
        <v>0</v>
      </c>
      <c r="M19095">
        <v>0</v>
      </c>
      <c r="N19095">
        <v>2</v>
      </c>
      <c r="O19095" t="s">
        <v>11768</v>
      </c>
    </row>
    <row r="19096" spans="1:15">
      <c r="A19096" t="s">
        <v>57098</v>
      </c>
      <c r="B19096" t="s">
        <v>367</v>
      </c>
      <c r="C19096" t="s">
        <v>14226</v>
      </c>
      <c r="D19096" t="s">
        <v>57099</v>
      </c>
      <c r="E19096" t="b">
        <v>0</v>
      </c>
      <c r="F19096" t="s">
        <v>11624</v>
      </c>
      <c r="G19096">
        <v>2.66154</v>
      </c>
      <c r="H19096">
        <v>113.843</v>
      </c>
      <c r="I19096" t="s">
        <v>57100</v>
      </c>
      <c r="L19096">
        <v>0</v>
      </c>
      <c r="M19096">
        <v>0</v>
      </c>
      <c r="N19096">
        <v>0</v>
      </c>
      <c r="O19096" t="s">
        <v>11672</v>
      </c>
    </row>
    <row r="19097" spans="1:15">
      <c r="A19097" t="s">
        <v>12938</v>
      </c>
      <c r="B19097" t="s">
        <v>11615</v>
      </c>
      <c r="C19097" t="s">
        <v>17915</v>
      </c>
      <c r="D19097" t="s">
        <v>57101</v>
      </c>
      <c r="E19097" t="b">
        <v>0</v>
      </c>
      <c r="F19097" t="s">
        <v>11624</v>
      </c>
      <c r="G19097">
        <v>-6.1318799999999998</v>
      </c>
      <c r="H19097">
        <v>145.24700000000001</v>
      </c>
      <c r="I19097" t="s">
        <v>57102</v>
      </c>
      <c r="L19097">
        <v>0</v>
      </c>
      <c r="M19097">
        <v>0</v>
      </c>
      <c r="N19097">
        <v>14</v>
      </c>
      <c r="O19097" t="s">
        <v>11660</v>
      </c>
    </row>
    <row r="19098" spans="1:15">
      <c r="A19098" t="s">
        <v>57103</v>
      </c>
      <c r="B19098" t="s">
        <v>367</v>
      </c>
      <c r="C19098" t="s">
        <v>34759</v>
      </c>
      <c r="D19098" t="s">
        <v>57104</v>
      </c>
      <c r="E19098" t="b">
        <v>0</v>
      </c>
      <c r="F19098" t="s">
        <v>11624</v>
      </c>
      <c r="G19098">
        <v>-4.62059</v>
      </c>
      <c r="H19098">
        <v>152.892</v>
      </c>
      <c r="I19098" t="s">
        <v>57105</v>
      </c>
      <c r="L19098">
        <v>0</v>
      </c>
      <c r="M19098">
        <v>0</v>
      </c>
      <c r="N19098">
        <v>0</v>
      </c>
      <c r="O19098" t="s">
        <v>11660</v>
      </c>
    </row>
    <row r="19099" spans="1:15">
      <c r="A19099" t="s">
        <v>57106</v>
      </c>
      <c r="B19099" t="s">
        <v>367</v>
      </c>
      <c r="C19099" t="s">
        <v>24265</v>
      </c>
      <c r="D19099" t="s">
        <v>57107</v>
      </c>
      <c r="E19099" t="b">
        <v>0</v>
      </c>
      <c r="F19099" t="s">
        <v>11610</v>
      </c>
      <c r="L19099">
        <v>0</v>
      </c>
      <c r="M19099">
        <v>0</v>
      </c>
      <c r="N19099">
        <v>0</v>
      </c>
    </row>
    <row r="19100" spans="1:15">
      <c r="A19100" t="s">
        <v>57108</v>
      </c>
      <c r="B19100" t="s">
        <v>367</v>
      </c>
      <c r="C19100" t="s">
        <v>34199</v>
      </c>
      <c r="D19100" t="s">
        <v>57109</v>
      </c>
      <c r="E19100" t="b">
        <v>0</v>
      </c>
      <c r="F19100" t="s">
        <v>11622</v>
      </c>
      <c r="L19100">
        <v>4</v>
      </c>
      <c r="M19100">
        <v>7</v>
      </c>
      <c r="N19100">
        <v>2</v>
      </c>
    </row>
    <row r="19101" spans="1:15">
      <c r="A19101" t="s">
        <v>57110</v>
      </c>
      <c r="B19101" t="s">
        <v>367</v>
      </c>
      <c r="C19101" t="s">
        <v>42597</v>
      </c>
      <c r="D19101" t="s">
        <v>57111</v>
      </c>
      <c r="E19101" t="b">
        <v>0</v>
      </c>
      <c r="F19101" t="s">
        <v>11610</v>
      </c>
      <c r="L19101">
        <v>0</v>
      </c>
      <c r="M19101">
        <v>0</v>
      </c>
      <c r="N19101">
        <v>0</v>
      </c>
    </row>
    <row r="19102" spans="1:15">
      <c r="A19102" t="s">
        <v>57112</v>
      </c>
      <c r="B19102" t="s">
        <v>11615</v>
      </c>
      <c r="C19102" t="s">
        <v>20545</v>
      </c>
      <c r="D19102" t="s">
        <v>57113</v>
      </c>
      <c r="E19102" t="b">
        <v>0</v>
      </c>
      <c r="F19102" t="s">
        <v>11610</v>
      </c>
      <c r="L19102">
        <v>0</v>
      </c>
      <c r="M19102">
        <v>0</v>
      </c>
      <c r="N19102">
        <v>0</v>
      </c>
    </row>
    <row r="19103" spans="1:15">
      <c r="A19103" t="s">
        <v>57114</v>
      </c>
      <c r="B19103" t="s">
        <v>13549</v>
      </c>
      <c r="C19103" t="s">
        <v>13549</v>
      </c>
      <c r="D19103" t="s">
        <v>57115</v>
      </c>
      <c r="E19103" t="b">
        <v>0</v>
      </c>
      <c r="F19103" t="s">
        <v>11624</v>
      </c>
      <c r="G19103">
        <v>-4.0531199999999998</v>
      </c>
      <c r="H19103">
        <v>141.41999999999999</v>
      </c>
      <c r="I19103" t="s">
        <v>57116</v>
      </c>
      <c r="L19103">
        <v>0</v>
      </c>
      <c r="M19103">
        <v>0</v>
      </c>
      <c r="N19103">
        <v>0</v>
      </c>
      <c r="O19103" t="s">
        <v>11660</v>
      </c>
    </row>
    <row r="19104" spans="1:15">
      <c r="A19104" t="s">
        <v>57117</v>
      </c>
      <c r="B19104" t="s">
        <v>11644</v>
      </c>
      <c r="C19104" t="s">
        <v>29106</v>
      </c>
      <c r="D19104" t="s">
        <v>57118</v>
      </c>
      <c r="E19104" t="b">
        <v>0</v>
      </c>
      <c r="F19104" t="s">
        <v>11610</v>
      </c>
      <c r="L19104">
        <v>0</v>
      </c>
      <c r="M19104">
        <v>0</v>
      </c>
      <c r="N19104">
        <v>0</v>
      </c>
    </row>
    <row r="19105" spans="1:15">
      <c r="A19105" t="s">
        <v>57119</v>
      </c>
      <c r="B19105" t="s">
        <v>367</v>
      </c>
      <c r="C19105" t="s">
        <v>16803</v>
      </c>
      <c r="D19105" t="s">
        <v>57120</v>
      </c>
      <c r="E19105" t="b">
        <v>0</v>
      </c>
      <c r="F19105" t="s">
        <v>11610</v>
      </c>
      <c r="L19105">
        <v>0</v>
      </c>
      <c r="M19105">
        <v>0</v>
      </c>
      <c r="N19105">
        <v>0</v>
      </c>
    </row>
    <row r="19106" spans="1:15">
      <c r="A19106" t="s">
        <v>57121</v>
      </c>
      <c r="B19106" t="s">
        <v>16042</v>
      </c>
      <c r="C19106" t="s">
        <v>23720</v>
      </c>
      <c r="D19106" t="s">
        <v>57122</v>
      </c>
      <c r="E19106" t="b">
        <v>0</v>
      </c>
      <c r="F19106" t="s">
        <v>11624</v>
      </c>
      <c r="G19106">
        <v>-6.4314900000000002</v>
      </c>
      <c r="H19106">
        <v>155.41200000000001</v>
      </c>
      <c r="I19106" t="s">
        <v>57123</v>
      </c>
      <c r="L19106">
        <v>0</v>
      </c>
      <c r="M19106">
        <v>0</v>
      </c>
      <c r="N19106">
        <v>0</v>
      </c>
      <c r="O19106" t="s">
        <v>11660</v>
      </c>
    </row>
    <row r="19107" spans="1:15">
      <c r="A19107" t="s">
        <v>57124</v>
      </c>
      <c r="B19107" t="s">
        <v>331</v>
      </c>
      <c r="C19107" t="s">
        <v>21976</v>
      </c>
      <c r="D19107" t="s">
        <v>57125</v>
      </c>
      <c r="E19107" t="b">
        <v>0</v>
      </c>
      <c r="F19107" t="s">
        <v>11624</v>
      </c>
      <c r="I19107" t="s">
        <v>57126</v>
      </c>
      <c r="L19107">
        <v>0</v>
      </c>
      <c r="M19107">
        <v>0</v>
      </c>
      <c r="N19107">
        <v>0</v>
      </c>
      <c r="O19107" t="s">
        <v>12748</v>
      </c>
    </row>
    <row r="19108" spans="1:15">
      <c r="A19108" t="s">
        <v>57127</v>
      </c>
      <c r="B19108" t="s">
        <v>11615</v>
      </c>
      <c r="C19108" t="s">
        <v>14172</v>
      </c>
      <c r="D19108" t="s">
        <v>57128</v>
      </c>
      <c r="E19108" t="b">
        <v>0</v>
      </c>
      <c r="F19108" t="s">
        <v>11610</v>
      </c>
      <c r="L19108">
        <v>0</v>
      </c>
      <c r="M19108">
        <v>0</v>
      </c>
      <c r="N19108">
        <v>0</v>
      </c>
    </row>
    <row r="19109" spans="1:15">
      <c r="A19109" t="s">
        <v>57129</v>
      </c>
      <c r="B19109" t="s">
        <v>367</v>
      </c>
      <c r="C19109" t="s">
        <v>20725</v>
      </c>
      <c r="D19109" t="s">
        <v>57130</v>
      </c>
      <c r="E19109" t="b">
        <v>0</v>
      </c>
      <c r="F19109" t="s">
        <v>11610</v>
      </c>
      <c r="L19109">
        <v>0</v>
      </c>
      <c r="M19109">
        <v>0</v>
      </c>
      <c r="N19109">
        <v>0</v>
      </c>
    </row>
    <row r="19110" spans="1:15">
      <c r="A19110" t="s">
        <v>57131</v>
      </c>
      <c r="B19110" t="s">
        <v>11839</v>
      </c>
      <c r="C19110" t="s">
        <v>34534</v>
      </c>
      <c r="D19110" t="s">
        <v>57132</v>
      </c>
      <c r="E19110" t="b">
        <v>0</v>
      </c>
      <c r="F19110" t="s">
        <v>11610</v>
      </c>
      <c r="L19110">
        <v>0</v>
      </c>
      <c r="M19110">
        <v>0</v>
      </c>
      <c r="N19110">
        <v>0</v>
      </c>
    </row>
    <row r="19111" spans="1:15">
      <c r="A19111" t="s">
        <v>57133</v>
      </c>
      <c r="B19111" t="s">
        <v>367</v>
      </c>
      <c r="C19111" t="s">
        <v>17268</v>
      </c>
      <c r="D19111" t="s">
        <v>57134</v>
      </c>
      <c r="E19111" t="b">
        <v>0</v>
      </c>
      <c r="F19111" t="s">
        <v>11610</v>
      </c>
      <c r="L19111">
        <v>0</v>
      </c>
      <c r="M19111">
        <v>0</v>
      </c>
      <c r="N19111">
        <v>0</v>
      </c>
    </row>
    <row r="19112" spans="1:15">
      <c r="A19112" t="s">
        <v>57135</v>
      </c>
      <c r="B19112" t="s">
        <v>367</v>
      </c>
      <c r="C19112" t="s">
        <v>4370</v>
      </c>
      <c r="D19112" t="s">
        <v>57136</v>
      </c>
      <c r="E19112" t="b">
        <v>0</v>
      </c>
      <c r="F19112" t="s">
        <v>11610</v>
      </c>
      <c r="L19112">
        <v>0</v>
      </c>
      <c r="M19112">
        <v>0</v>
      </c>
      <c r="N19112">
        <v>0</v>
      </c>
    </row>
    <row r="19113" spans="1:15">
      <c r="A19113" t="s">
        <v>57137</v>
      </c>
      <c r="B19113" t="s">
        <v>367</v>
      </c>
      <c r="C19113" t="s">
        <v>16228</v>
      </c>
      <c r="D19113" t="s">
        <v>57138</v>
      </c>
      <c r="E19113" t="b">
        <v>0</v>
      </c>
      <c r="F19113" t="s">
        <v>11610</v>
      </c>
      <c r="L19113">
        <v>0</v>
      </c>
      <c r="M19113">
        <v>0</v>
      </c>
      <c r="N19113">
        <v>0</v>
      </c>
    </row>
    <row r="19114" spans="1:15">
      <c r="A19114" t="s">
        <v>57139</v>
      </c>
      <c r="B19114" t="s">
        <v>367</v>
      </c>
      <c r="C19114" t="s">
        <v>16228</v>
      </c>
      <c r="D19114" t="s">
        <v>57140</v>
      </c>
      <c r="E19114" t="b">
        <v>0</v>
      </c>
      <c r="F19114" t="s">
        <v>11610</v>
      </c>
      <c r="L19114">
        <v>0</v>
      </c>
      <c r="M19114">
        <v>0</v>
      </c>
      <c r="N19114">
        <v>0</v>
      </c>
    </row>
    <row r="19115" spans="1:15">
      <c r="A19115" t="s">
        <v>57141</v>
      </c>
      <c r="B19115" t="s">
        <v>367</v>
      </c>
      <c r="C19115" t="s">
        <v>16054</v>
      </c>
      <c r="D19115" t="s">
        <v>57142</v>
      </c>
      <c r="E19115" t="b">
        <v>0</v>
      </c>
      <c r="F19115" t="s">
        <v>11610</v>
      </c>
      <c r="L19115">
        <v>0</v>
      </c>
      <c r="M19115">
        <v>0</v>
      </c>
      <c r="N19115">
        <v>0</v>
      </c>
    </row>
    <row r="19116" spans="1:15">
      <c r="A19116" t="s">
        <v>57143</v>
      </c>
      <c r="B19116" t="s">
        <v>367</v>
      </c>
      <c r="C19116" t="s">
        <v>18414</v>
      </c>
      <c r="D19116" t="s">
        <v>57144</v>
      </c>
      <c r="E19116" t="b">
        <v>0</v>
      </c>
      <c r="F19116" t="s">
        <v>11610</v>
      </c>
      <c r="L19116">
        <v>0</v>
      </c>
      <c r="M19116">
        <v>0</v>
      </c>
      <c r="N19116">
        <v>0</v>
      </c>
    </row>
    <row r="19117" spans="1:15">
      <c r="A19117" t="s">
        <v>16837</v>
      </c>
      <c r="B19117" t="s">
        <v>367</v>
      </c>
      <c r="C19117" t="s">
        <v>34873</v>
      </c>
      <c r="D19117" t="s">
        <v>57145</v>
      </c>
      <c r="E19117" t="b">
        <v>0</v>
      </c>
      <c r="F19117" t="s">
        <v>11624</v>
      </c>
      <c r="G19117">
        <v>2.2675800000000002</v>
      </c>
      <c r="H19117">
        <v>111.76300000000001</v>
      </c>
      <c r="I19117" t="s">
        <v>57146</v>
      </c>
      <c r="L19117">
        <v>0</v>
      </c>
      <c r="M19117">
        <v>0</v>
      </c>
      <c r="N19117">
        <v>2</v>
      </c>
      <c r="O19117" t="s">
        <v>11672</v>
      </c>
    </row>
    <row r="19118" spans="1:15">
      <c r="A19118" t="s">
        <v>34873</v>
      </c>
      <c r="B19118" t="s">
        <v>367</v>
      </c>
      <c r="C19118" t="s">
        <v>21620</v>
      </c>
      <c r="D19118" t="s">
        <v>57147</v>
      </c>
      <c r="E19118" t="b">
        <v>0</v>
      </c>
      <c r="F19118" t="s">
        <v>11622</v>
      </c>
      <c r="L19118">
        <v>0</v>
      </c>
      <c r="M19118">
        <v>2</v>
      </c>
      <c r="N19118">
        <v>2</v>
      </c>
    </row>
    <row r="19119" spans="1:15">
      <c r="A19119" t="s">
        <v>57148</v>
      </c>
      <c r="B19119" t="s">
        <v>13360</v>
      </c>
      <c r="C19119" t="s">
        <v>13360</v>
      </c>
      <c r="D19119" t="s">
        <v>57149</v>
      </c>
      <c r="E19119" t="b">
        <v>0</v>
      </c>
      <c r="F19119" t="s">
        <v>11624</v>
      </c>
      <c r="I19119" t="s">
        <v>57150</v>
      </c>
      <c r="L19119">
        <v>0</v>
      </c>
      <c r="M19119">
        <v>0</v>
      </c>
      <c r="N19119">
        <v>0</v>
      </c>
      <c r="O19119" t="s">
        <v>13676</v>
      </c>
    </row>
    <row r="19120" spans="1:15">
      <c r="A19120" t="s">
        <v>6134</v>
      </c>
      <c r="B19120" t="s">
        <v>11644</v>
      </c>
      <c r="C19120" t="s">
        <v>46602</v>
      </c>
      <c r="D19120" t="s">
        <v>57151</v>
      </c>
      <c r="E19120" t="b">
        <v>0</v>
      </c>
      <c r="F19120" t="s">
        <v>11624</v>
      </c>
      <c r="G19120">
        <v>28.194700000000001</v>
      </c>
      <c r="H19120">
        <v>102.121</v>
      </c>
      <c r="I19120" t="s">
        <v>6135</v>
      </c>
      <c r="L19120">
        <v>0</v>
      </c>
      <c r="M19120">
        <v>0</v>
      </c>
      <c r="N19120">
        <v>5</v>
      </c>
      <c r="O19120" t="s">
        <v>11905</v>
      </c>
    </row>
    <row r="19121" spans="1:15">
      <c r="A19121" t="s">
        <v>57152</v>
      </c>
      <c r="B19121" t="s">
        <v>6742</v>
      </c>
      <c r="C19121" t="s">
        <v>57153</v>
      </c>
      <c r="D19121" t="s">
        <v>57154</v>
      </c>
      <c r="E19121" t="b">
        <v>0</v>
      </c>
      <c r="F19121" t="s">
        <v>11610</v>
      </c>
      <c r="L19121">
        <v>0</v>
      </c>
      <c r="M19121">
        <v>0</v>
      </c>
      <c r="N19121">
        <v>0</v>
      </c>
    </row>
    <row r="19122" spans="1:15">
      <c r="A19122" t="s">
        <v>57155</v>
      </c>
      <c r="B19122" t="s">
        <v>11637</v>
      </c>
      <c r="C19122" t="s">
        <v>5173</v>
      </c>
      <c r="D19122" t="s">
        <v>57156</v>
      </c>
      <c r="E19122" t="b">
        <v>0</v>
      </c>
      <c r="F19122" t="s">
        <v>11610</v>
      </c>
      <c r="L19122">
        <v>0</v>
      </c>
      <c r="M19122">
        <v>0</v>
      </c>
      <c r="N19122">
        <v>0</v>
      </c>
    </row>
    <row r="19123" spans="1:15">
      <c r="A19123" t="s">
        <v>5695</v>
      </c>
      <c r="B19123" t="s">
        <v>11637</v>
      </c>
      <c r="C19123" t="s">
        <v>32820</v>
      </c>
      <c r="D19123" t="s">
        <v>8154</v>
      </c>
      <c r="E19123" t="b">
        <v>0</v>
      </c>
      <c r="F19123" t="s">
        <v>11624</v>
      </c>
      <c r="G19123">
        <v>37.573500000000003</v>
      </c>
      <c r="H19123">
        <v>14.041399999999999</v>
      </c>
      <c r="I19123" t="s">
        <v>57157</v>
      </c>
      <c r="L19123">
        <v>0</v>
      </c>
      <c r="M19123">
        <v>0</v>
      </c>
      <c r="N19123">
        <v>8</v>
      </c>
      <c r="O19123" t="s">
        <v>13676</v>
      </c>
    </row>
    <row r="19124" spans="1:15">
      <c r="A19124" t="s">
        <v>57158</v>
      </c>
      <c r="B19124" t="s">
        <v>6742</v>
      </c>
      <c r="C19124" t="s">
        <v>57159</v>
      </c>
      <c r="D19124" t="s">
        <v>57160</v>
      </c>
      <c r="E19124" t="b">
        <v>0</v>
      </c>
      <c r="F19124" t="s">
        <v>11624</v>
      </c>
      <c r="G19124">
        <v>11.178900000000001</v>
      </c>
      <c r="H19124">
        <v>-5.28932</v>
      </c>
      <c r="I19124" t="s">
        <v>57161</v>
      </c>
      <c r="L19124">
        <v>0</v>
      </c>
      <c r="M19124">
        <v>0</v>
      </c>
      <c r="N19124">
        <v>0</v>
      </c>
      <c r="O19124" t="s">
        <v>21276</v>
      </c>
    </row>
    <row r="19125" spans="1:15">
      <c r="A19125" t="s">
        <v>57162</v>
      </c>
      <c r="B19125" t="s">
        <v>13360</v>
      </c>
      <c r="C19125" t="s">
        <v>13360</v>
      </c>
      <c r="D19125" t="s">
        <v>57163</v>
      </c>
      <c r="E19125" t="b">
        <v>0</v>
      </c>
      <c r="F19125" t="s">
        <v>11624</v>
      </c>
      <c r="G19125">
        <v>37.533968000000002</v>
      </c>
      <c r="H19125">
        <v>14.841329999999999</v>
      </c>
      <c r="I19125" t="s">
        <v>57164</v>
      </c>
      <c r="L19125">
        <v>0</v>
      </c>
      <c r="M19125">
        <v>0</v>
      </c>
      <c r="N19125">
        <v>0</v>
      </c>
      <c r="O19125" t="s">
        <v>13676</v>
      </c>
    </row>
    <row r="19126" spans="1:15">
      <c r="A19126" t="s">
        <v>57165</v>
      </c>
      <c r="B19126" t="s">
        <v>11644</v>
      </c>
      <c r="C19126" t="s">
        <v>57166</v>
      </c>
      <c r="D19126" t="s">
        <v>57167</v>
      </c>
      <c r="E19126" t="b">
        <v>0</v>
      </c>
      <c r="F19126" t="s">
        <v>11610</v>
      </c>
      <c r="L19126">
        <v>0</v>
      </c>
      <c r="M19126">
        <v>0</v>
      </c>
      <c r="N19126">
        <v>0</v>
      </c>
    </row>
    <row r="19127" spans="1:15">
      <c r="A19127" t="s">
        <v>731</v>
      </c>
      <c r="B19127" t="s">
        <v>11607</v>
      </c>
      <c r="C19127" t="s">
        <v>28958</v>
      </c>
      <c r="D19127" t="s">
        <v>57168</v>
      </c>
      <c r="E19127" t="b">
        <v>0</v>
      </c>
      <c r="F19127" t="s">
        <v>11624</v>
      </c>
      <c r="G19127">
        <v>6.7417600000000002</v>
      </c>
      <c r="H19127">
        <v>38.372900000000001</v>
      </c>
      <c r="I19127" t="s">
        <v>732</v>
      </c>
      <c r="L19127">
        <v>0</v>
      </c>
      <c r="M19127">
        <v>0</v>
      </c>
      <c r="N19127">
        <v>0</v>
      </c>
      <c r="O19127" t="s">
        <v>11625</v>
      </c>
    </row>
    <row r="19128" spans="1:15">
      <c r="A19128" t="s">
        <v>30495</v>
      </c>
      <c r="B19128" t="s">
        <v>11607</v>
      </c>
      <c r="C19128" t="s">
        <v>20494</v>
      </c>
      <c r="D19128" t="s">
        <v>57169</v>
      </c>
      <c r="E19128" t="b">
        <v>0</v>
      </c>
      <c r="F19128" t="s">
        <v>11622</v>
      </c>
      <c r="L19128">
        <v>4</v>
      </c>
      <c r="M19128">
        <v>6</v>
      </c>
      <c r="N19128">
        <v>5</v>
      </c>
    </row>
    <row r="19129" spans="1:15">
      <c r="A19129" t="s">
        <v>28958</v>
      </c>
      <c r="B19129" t="s">
        <v>11607</v>
      </c>
      <c r="C19129" t="s">
        <v>30495</v>
      </c>
      <c r="D19129" t="s">
        <v>57170</v>
      </c>
      <c r="E19129" t="b">
        <v>0</v>
      </c>
      <c r="F19129" t="s">
        <v>11622</v>
      </c>
      <c r="L19129">
        <v>0</v>
      </c>
      <c r="M19129">
        <v>2</v>
      </c>
      <c r="N19129">
        <v>0</v>
      </c>
    </row>
    <row r="19130" spans="1:15">
      <c r="A19130" t="s">
        <v>57171</v>
      </c>
      <c r="B19130" t="s">
        <v>367</v>
      </c>
      <c r="C19130" t="s">
        <v>15343</v>
      </c>
      <c r="D19130" t="s">
        <v>57172</v>
      </c>
      <c r="E19130" t="b">
        <v>0</v>
      </c>
      <c r="F19130" t="s">
        <v>11610</v>
      </c>
      <c r="L19130">
        <v>0</v>
      </c>
      <c r="M19130">
        <v>0</v>
      </c>
      <c r="N19130">
        <v>0</v>
      </c>
    </row>
    <row r="19131" spans="1:15">
      <c r="A19131" t="s">
        <v>57173</v>
      </c>
      <c r="B19131" t="s">
        <v>11637</v>
      </c>
      <c r="C19131" t="s">
        <v>41350</v>
      </c>
      <c r="D19131" t="s">
        <v>57174</v>
      </c>
      <c r="E19131" t="b">
        <v>0</v>
      </c>
      <c r="F19131" t="s">
        <v>11624</v>
      </c>
      <c r="G19131">
        <v>36.764000000000003</v>
      </c>
      <c r="H19131">
        <v>31.917000000000002</v>
      </c>
      <c r="I19131" t="s">
        <v>57175</v>
      </c>
      <c r="L19131">
        <v>0</v>
      </c>
      <c r="M19131">
        <v>0</v>
      </c>
      <c r="N19131">
        <v>0</v>
      </c>
      <c r="O19131" t="s">
        <v>16254</v>
      </c>
    </row>
    <row r="19132" spans="1:15">
      <c r="A19132" t="s">
        <v>23813</v>
      </c>
      <c r="B19132" t="s">
        <v>11729</v>
      </c>
      <c r="C19132" t="s">
        <v>17694</v>
      </c>
      <c r="D19132" t="s">
        <v>57176</v>
      </c>
      <c r="E19132" t="b">
        <v>0</v>
      </c>
      <c r="F19132" t="s">
        <v>11622</v>
      </c>
      <c r="L19132">
        <v>0</v>
      </c>
      <c r="M19132">
        <v>3</v>
      </c>
      <c r="N19132">
        <v>11</v>
      </c>
    </row>
    <row r="19133" spans="1:15">
      <c r="A19133" t="s">
        <v>57177</v>
      </c>
      <c r="B19133" t="s">
        <v>367</v>
      </c>
      <c r="C19133" t="s">
        <v>17148</v>
      </c>
      <c r="D19133" t="s">
        <v>57178</v>
      </c>
      <c r="E19133" t="b">
        <v>0</v>
      </c>
      <c r="F19133" t="s">
        <v>11610</v>
      </c>
      <c r="L19133">
        <v>0</v>
      </c>
      <c r="M19133">
        <v>0</v>
      </c>
      <c r="N19133">
        <v>0</v>
      </c>
    </row>
    <row r="19134" spans="1:15">
      <c r="A19134" t="s">
        <v>49770</v>
      </c>
      <c r="B19134" t="s">
        <v>367</v>
      </c>
      <c r="C19134" t="s">
        <v>27358</v>
      </c>
      <c r="D19134" t="s">
        <v>57179</v>
      </c>
      <c r="E19134" t="b">
        <v>0</v>
      </c>
      <c r="F19134" t="s">
        <v>11624</v>
      </c>
      <c r="G19134">
        <v>-18.818100000000001</v>
      </c>
      <c r="H19134">
        <v>169.166</v>
      </c>
      <c r="I19134" t="s">
        <v>57180</v>
      </c>
      <c r="L19134">
        <v>0</v>
      </c>
      <c r="M19134">
        <v>0</v>
      </c>
      <c r="N19134">
        <v>3</v>
      </c>
      <c r="O19134" t="s">
        <v>12719</v>
      </c>
    </row>
    <row r="19135" spans="1:15">
      <c r="A19135" t="s">
        <v>57181</v>
      </c>
      <c r="B19135" t="s">
        <v>13276</v>
      </c>
      <c r="C19135" t="s">
        <v>19075</v>
      </c>
      <c r="D19135" t="s">
        <v>57182</v>
      </c>
      <c r="E19135" t="b">
        <v>0</v>
      </c>
      <c r="F19135" t="s">
        <v>11610</v>
      </c>
      <c r="L19135">
        <v>0</v>
      </c>
      <c r="M19135">
        <v>0</v>
      </c>
      <c r="N19135">
        <v>0</v>
      </c>
    </row>
    <row r="19136" spans="1:15">
      <c r="A19136" t="s">
        <v>57183</v>
      </c>
      <c r="B19136" t="s">
        <v>11981</v>
      </c>
      <c r="C19136" t="s">
        <v>13456</v>
      </c>
      <c r="D19136" t="s">
        <v>57184</v>
      </c>
      <c r="E19136" t="b">
        <v>0</v>
      </c>
      <c r="F19136" t="s">
        <v>11624</v>
      </c>
      <c r="G19136">
        <v>8.4830000000000005</v>
      </c>
      <c r="H19136">
        <v>-13.234999999999999</v>
      </c>
      <c r="I19136" t="s">
        <v>57185</v>
      </c>
      <c r="L19136">
        <v>0</v>
      </c>
      <c r="M19136">
        <v>0</v>
      </c>
      <c r="N19136">
        <v>0</v>
      </c>
      <c r="O19136" t="s">
        <v>19371</v>
      </c>
    </row>
    <row r="19137" spans="1:15">
      <c r="A19137" t="s">
        <v>57186</v>
      </c>
      <c r="B19137" t="s">
        <v>12751</v>
      </c>
      <c r="C19137" t="s">
        <v>21699</v>
      </c>
      <c r="D19137" t="s">
        <v>57187</v>
      </c>
      <c r="E19137" t="b">
        <v>0</v>
      </c>
      <c r="F19137" t="s">
        <v>11624</v>
      </c>
      <c r="G19137">
        <v>18.45</v>
      </c>
      <c r="H19137">
        <v>-96.9</v>
      </c>
      <c r="I19137" t="s">
        <v>57188</v>
      </c>
      <c r="L19137">
        <v>0</v>
      </c>
      <c r="M19137">
        <v>0</v>
      </c>
      <c r="N19137">
        <v>0</v>
      </c>
      <c r="O19137" t="s">
        <v>11883</v>
      </c>
    </row>
    <row r="19138" spans="1:15">
      <c r="A19138" t="s">
        <v>21724</v>
      </c>
      <c r="B19138" t="s">
        <v>17579</v>
      </c>
      <c r="C19138" t="s">
        <v>17580</v>
      </c>
      <c r="D19138" t="s">
        <v>57189</v>
      </c>
      <c r="E19138" t="b">
        <v>0</v>
      </c>
      <c r="F19138" t="s">
        <v>11622</v>
      </c>
      <c r="L19138">
        <v>0</v>
      </c>
      <c r="M19138">
        <v>3</v>
      </c>
      <c r="N19138">
        <v>2</v>
      </c>
    </row>
    <row r="19139" spans="1:15">
      <c r="A19139" t="s">
        <v>57190</v>
      </c>
      <c r="B19139" t="s">
        <v>11879</v>
      </c>
      <c r="C19139" t="s">
        <v>13115</v>
      </c>
      <c r="D19139" t="s">
        <v>57191</v>
      </c>
      <c r="E19139" t="b">
        <v>0</v>
      </c>
      <c r="F19139" t="s">
        <v>11624</v>
      </c>
      <c r="G19139">
        <v>17.421900000000001</v>
      </c>
      <c r="H19139">
        <v>-96.619100000000003</v>
      </c>
      <c r="I19139" t="s">
        <v>57192</v>
      </c>
      <c r="L19139">
        <v>0</v>
      </c>
      <c r="M19139">
        <v>0</v>
      </c>
      <c r="N19139">
        <v>0</v>
      </c>
      <c r="O19139" t="s">
        <v>11883</v>
      </c>
    </row>
    <row r="19140" spans="1:15">
      <c r="A19140" t="s">
        <v>57193</v>
      </c>
      <c r="B19140" t="s">
        <v>6742</v>
      </c>
      <c r="C19140" t="s">
        <v>47942</v>
      </c>
      <c r="D19140" t="s">
        <v>57194</v>
      </c>
      <c r="E19140" t="b">
        <v>0</v>
      </c>
      <c r="F19140" t="s">
        <v>11624</v>
      </c>
      <c r="G19140">
        <v>-0.95604999999999996</v>
      </c>
      <c r="H19140">
        <v>13.1214</v>
      </c>
      <c r="I19140" t="s">
        <v>57195</v>
      </c>
      <c r="L19140">
        <v>0</v>
      </c>
      <c r="M19140">
        <v>0</v>
      </c>
      <c r="N19140">
        <v>0</v>
      </c>
      <c r="O19140" t="s">
        <v>16915</v>
      </c>
    </row>
    <row r="19141" spans="1:15">
      <c r="A19141" t="s">
        <v>57196</v>
      </c>
      <c r="B19141" t="s">
        <v>13014</v>
      </c>
      <c r="C19141" t="s">
        <v>276</v>
      </c>
      <c r="D19141" t="s">
        <v>57197</v>
      </c>
      <c r="E19141" t="b">
        <v>0</v>
      </c>
      <c r="F19141" t="s">
        <v>11610</v>
      </c>
      <c r="L19141">
        <v>0</v>
      </c>
      <c r="M19141">
        <v>0</v>
      </c>
      <c r="N19141">
        <v>0</v>
      </c>
    </row>
    <row r="19142" spans="1:15">
      <c r="A19142" t="s">
        <v>11981</v>
      </c>
      <c r="D19142" t="s">
        <v>57198</v>
      </c>
      <c r="E19142" t="b">
        <v>0</v>
      </c>
      <c r="F19142" t="s">
        <v>11622</v>
      </c>
      <c r="L19142">
        <v>45</v>
      </c>
      <c r="M19142">
        <v>193</v>
      </c>
      <c r="N19142">
        <v>34</v>
      </c>
    </row>
    <row r="19143" spans="1:15">
      <c r="A19143" t="s">
        <v>47942</v>
      </c>
      <c r="B19143" t="s">
        <v>6742</v>
      </c>
      <c r="C19143" t="s">
        <v>43719</v>
      </c>
      <c r="D19143" t="s">
        <v>57199</v>
      </c>
      <c r="E19143" t="b">
        <v>0</v>
      </c>
      <c r="F19143" t="s">
        <v>11622</v>
      </c>
      <c r="L19143">
        <v>3</v>
      </c>
      <c r="M19143">
        <v>6</v>
      </c>
      <c r="N19143">
        <v>0</v>
      </c>
    </row>
    <row r="19144" spans="1:15">
      <c r="A19144" t="s">
        <v>57200</v>
      </c>
      <c r="B19144" t="s">
        <v>6742</v>
      </c>
      <c r="C19144" t="s">
        <v>19672</v>
      </c>
      <c r="D19144" t="s">
        <v>57201</v>
      </c>
      <c r="E19144" t="b">
        <v>0</v>
      </c>
      <c r="F19144" t="s">
        <v>11610</v>
      </c>
      <c r="L19144">
        <v>0</v>
      </c>
      <c r="M19144">
        <v>0</v>
      </c>
      <c r="N19144">
        <v>0</v>
      </c>
    </row>
    <row r="19145" spans="1:15">
      <c r="A19145" t="s">
        <v>57202</v>
      </c>
      <c r="B19145" t="s">
        <v>367</v>
      </c>
      <c r="C19145" t="s">
        <v>18209</v>
      </c>
      <c r="D19145" t="s">
        <v>57203</v>
      </c>
      <c r="E19145" t="b">
        <v>0</v>
      </c>
      <c r="F19145" t="s">
        <v>11610</v>
      </c>
      <c r="L19145">
        <v>0</v>
      </c>
      <c r="M19145">
        <v>0</v>
      </c>
      <c r="N19145">
        <v>0</v>
      </c>
    </row>
    <row r="19146" spans="1:15">
      <c r="A19146" t="s">
        <v>57204</v>
      </c>
      <c r="B19146" t="s">
        <v>11615</v>
      </c>
      <c r="C19146" t="s">
        <v>13430</v>
      </c>
      <c r="D19146" t="s">
        <v>57205</v>
      </c>
      <c r="E19146" t="b">
        <v>0</v>
      </c>
      <c r="F19146" t="s">
        <v>11624</v>
      </c>
      <c r="G19146">
        <v>-5.2802899999999999</v>
      </c>
      <c r="H19146">
        <v>145.57400000000001</v>
      </c>
      <c r="I19146" t="s">
        <v>57206</v>
      </c>
      <c r="L19146">
        <v>0</v>
      </c>
      <c r="M19146">
        <v>0</v>
      </c>
      <c r="N19146">
        <v>0</v>
      </c>
      <c r="O19146" t="s">
        <v>11660</v>
      </c>
    </row>
    <row r="19147" spans="1:15">
      <c r="A19147" t="s">
        <v>57207</v>
      </c>
      <c r="B19147" t="s">
        <v>367</v>
      </c>
      <c r="C19147" t="s">
        <v>25621</v>
      </c>
      <c r="D19147" t="s">
        <v>57208</v>
      </c>
      <c r="E19147" t="b">
        <v>0</v>
      </c>
      <c r="F19147" t="s">
        <v>11610</v>
      </c>
      <c r="L19147">
        <v>0</v>
      </c>
      <c r="M19147">
        <v>0</v>
      </c>
      <c r="N19147">
        <v>0</v>
      </c>
    </row>
    <row r="19148" spans="1:15">
      <c r="A19148" t="s">
        <v>57209</v>
      </c>
      <c r="B19148" t="s">
        <v>141</v>
      </c>
      <c r="C19148" t="s">
        <v>23337</v>
      </c>
      <c r="D19148" t="s">
        <v>57210</v>
      </c>
      <c r="E19148" t="b">
        <v>0</v>
      </c>
      <c r="F19148" t="s">
        <v>11624</v>
      </c>
      <c r="G19148">
        <v>-8.4934600000000007</v>
      </c>
      <c r="H19148">
        <v>-77.531899999999993</v>
      </c>
      <c r="I19148" t="s">
        <v>57211</v>
      </c>
      <c r="L19148">
        <v>0</v>
      </c>
      <c r="M19148">
        <v>0</v>
      </c>
      <c r="N19148">
        <v>0</v>
      </c>
      <c r="O19148" t="s">
        <v>11778</v>
      </c>
    </row>
    <row r="19149" spans="1:15">
      <c r="A19149" t="s">
        <v>57212</v>
      </c>
      <c r="B19149" t="s">
        <v>6742</v>
      </c>
      <c r="C19149" t="s">
        <v>28505</v>
      </c>
      <c r="D19149" t="s">
        <v>57213</v>
      </c>
      <c r="E19149" t="b">
        <v>0</v>
      </c>
      <c r="F19149" t="s">
        <v>11610</v>
      </c>
      <c r="L19149">
        <v>0</v>
      </c>
      <c r="M19149">
        <v>0</v>
      </c>
      <c r="N19149">
        <v>0</v>
      </c>
    </row>
    <row r="19150" spans="1:15">
      <c r="A19150" t="s">
        <v>57214</v>
      </c>
      <c r="B19150" t="s">
        <v>11729</v>
      </c>
      <c r="C19150" t="s">
        <v>38412</v>
      </c>
      <c r="D19150" t="s">
        <v>57215</v>
      </c>
      <c r="E19150" t="b">
        <v>0</v>
      </c>
      <c r="F19150" t="s">
        <v>11610</v>
      </c>
      <c r="L19150">
        <v>0</v>
      </c>
      <c r="M19150">
        <v>0</v>
      </c>
      <c r="N19150">
        <v>0</v>
      </c>
    </row>
    <row r="19151" spans="1:15">
      <c r="A19151" t="s">
        <v>57216</v>
      </c>
      <c r="B19151" t="s">
        <v>6742</v>
      </c>
      <c r="C19151" t="s">
        <v>27905</v>
      </c>
      <c r="D19151" t="s">
        <v>57217</v>
      </c>
      <c r="E19151" t="b">
        <v>0</v>
      </c>
      <c r="F19151" t="s">
        <v>11610</v>
      </c>
      <c r="L19151">
        <v>0</v>
      </c>
      <c r="M19151">
        <v>0</v>
      </c>
      <c r="N19151">
        <v>0</v>
      </c>
    </row>
    <row r="19152" spans="1:15">
      <c r="A19152" t="s">
        <v>57218</v>
      </c>
      <c r="B19152" t="s">
        <v>12250</v>
      </c>
      <c r="C19152" t="s">
        <v>25239</v>
      </c>
      <c r="D19152" t="s">
        <v>57219</v>
      </c>
      <c r="E19152" t="b">
        <v>0</v>
      </c>
      <c r="F19152" t="s">
        <v>11610</v>
      </c>
      <c r="L19152">
        <v>0</v>
      </c>
      <c r="M19152">
        <v>0</v>
      </c>
      <c r="N19152">
        <v>0</v>
      </c>
    </row>
    <row r="19153" spans="1:15">
      <c r="A19153" t="s">
        <v>57220</v>
      </c>
      <c r="B19153" t="s">
        <v>367</v>
      </c>
      <c r="C19153" t="s">
        <v>5309</v>
      </c>
      <c r="D19153" t="s">
        <v>57221</v>
      </c>
      <c r="E19153" t="b">
        <v>0</v>
      </c>
      <c r="F19153" t="s">
        <v>11610</v>
      </c>
      <c r="L19153">
        <v>0</v>
      </c>
      <c r="M19153">
        <v>0</v>
      </c>
      <c r="N19153">
        <v>0</v>
      </c>
    </row>
    <row r="19154" spans="1:15">
      <c r="A19154" t="s">
        <v>57222</v>
      </c>
      <c r="B19154" t="s">
        <v>11637</v>
      </c>
      <c r="C19154" t="s">
        <v>1129</v>
      </c>
      <c r="D19154" t="s">
        <v>57223</v>
      </c>
      <c r="E19154" t="b">
        <v>0</v>
      </c>
      <c r="F19154" t="s">
        <v>11610</v>
      </c>
      <c r="L19154">
        <v>0</v>
      </c>
      <c r="M19154">
        <v>0</v>
      </c>
      <c r="N19154">
        <v>0</v>
      </c>
    </row>
    <row r="19155" spans="1:15">
      <c r="A19155" t="s">
        <v>57224</v>
      </c>
      <c r="B19155" t="s">
        <v>11637</v>
      </c>
      <c r="C19155" t="s">
        <v>14000</v>
      </c>
      <c r="D19155" t="s">
        <v>57225</v>
      </c>
      <c r="E19155" t="b">
        <v>0</v>
      </c>
      <c r="F19155" t="s">
        <v>11610</v>
      </c>
      <c r="L19155">
        <v>0</v>
      </c>
      <c r="M19155">
        <v>0</v>
      </c>
      <c r="N19155">
        <v>0</v>
      </c>
    </row>
    <row r="19156" spans="1:15">
      <c r="A19156" t="s">
        <v>57226</v>
      </c>
      <c r="B19156" t="s">
        <v>13276</v>
      </c>
      <c r="C19156" t="s">
        <v>16406</v>
      </c>
      <c r="D19156" t="s">
        <v>57227</v>
      </c>
      <c r="E19156" t="b">
        <v>0</v>
      </c>
      <c r="F19156" t="s">
        <v>11610</v>
      </c>
      <c r="L19156">
        <v>0</v>
      </c>
      <c r="M19156">
        <v>0</v>
      </c>
      <c r="N19156">
        <v>0</v>
      </c>
    </row>
    <row r="19157" spans="1:15">
      <c r="A19157" t="s">
        <v>57228</v>
      </c>
      <c r="B19157" t="s">
        <v>367</v>
      </c>
      <c r="C19157" t="s">
        <v>21922</v>
      </c>
      <c r="D19157" t="s">
        <v>57229</v>
      </c>
      <c r="E19157" t="b">
        <v>0</v>
      </c>
      <c r="F19157" t="s">
        <v>11624</v>
      </c>
      <c r="G19157">
        <v>-8.3781940000000006</v>
      </c>
      <c r="H19157">
        <v>162.72952000000001</v>
      </c>
      <c r="I19157" t="s">
        <v>57230</v>
      </c>
      <c r="L19157">
        <v>0</v>
      </c>
      <c r="M19157">
        <v>0</v>
      </c>
      <c r="N19157">
        <v>0</v>
      </c>
      <c r="O19157" t="s">
        <v>13346</v>
      </c>
    </row>
    <row r="19158" spans="1:15">
      <c r="A19158" t="s">
        <v>5504</v>
      </c>
      <c r="B19158" t="s">
        <v>367</v>
      </c>
      <c r="C19158" t="s">
        <v>39168</v>
      </c>
      <c r="D19158" t="s">
        <v>57231</v>
      </c>
      <c r="E19158" t="b">
        <v>0</v>
      </c>
      <c r="F19158" t="s">
        <v>11624</v>
      </c>
      <c r="G19158">
        <v>-8.6730199999999993</v>
      </c>
      <c r="H19158">
        <v>122.38</v>
      </c>
      <c r="I19158" t="s">
        <v>57232</v>
      </c>
      <c r="L19158">
        <v>0</v>
      </c>
      <c r="M19158">
        <v>0</v>
      </c>
      <c r="N19158">
        <v>3</v>
      </c>
      <c r="O19158" t="s">
        <v>11768</v>
      </c>
    </row>
    <row r="19159" spans="1:15">
      <c r="A19159" t="s">
        <v>57233</v>
      </c>
      <c r="B19159" t="s">
        <v>15365</v>
      </c>
      <c r="C19159" t="s">
        <v>25375</v>
      </c>
      <c r="D19159" t="s">
        <v>57234</v>
      </c>
      <c r="E19159" t="b">
        <v>0</v>
      </c>
      <c r="F19159" t="s">
        <v>11624</v>
      </c>
      <c r="G19159">
        <v>-2.8028499999999998</v>
      </c>
      <c r="H19159">
        <v>138.28700000000001</v>
      </c>
      <c r="I19159" t="s">
        <v>57235</v>
      </c>
      <c r="L19159">
        <v>0</v>
      </c>
      <c r="M19159">
        <v>0</v>
      </c>
      <c r="N19159">
        <v>0</v>
      </c>
      <c r="O19159" t="s">
        <v>11768</v>
      </c>
    </row>
    <row r="19160" spans="1:15">
      <c r="A19160" t="s">
        <v>45715</v>
      </c>
      <c r="B19160" t="s">
        <v>11615</v>
      </c>
      <c r="C19160" t="s">
        <v>14128</v>
      </c>
      <c r="D19160" t="s">
        <v>57236</v>
      </c>
      <c r="E19160" t="b">
        <v>0</v>
      </c>
      <c r="F19160" t="s">
        <v>11622</v>
      </c>
      <c r="L19160">
        <v>0</v>
      </c>
      <c r="M19160">
        <v>2</v>
      </c>
      <c r="N19160">
        <v>0</v>
      </c>
    </row>
    <row r="19161" spans="1:15">
      <c r="A19161" t="s">
        <v>39168</v>
      </c>
      <c r="B19161" t="s">
        <v>367</v>
      </c>
      <c r="C19161" t="s">
        <v>27945</v>
      </c>
      <c r="D19161" t="s">
        <v>57237</v>
      </c>
      <c r="E19161" t="b">
        <v>0</v>
      </c>
      <c r="F19161" t="s">
        <v>11622</v>
      </c>
      <c r="L19161">
        <v>7</v>
      </c>
      <c r="M19161">
        <v>13</v>
      </c>
      <c r="N19161">
        <v>45</v>
      </c>
    </row>
    <row r="19162" spans="1:15">
      <c r="A19162" t="s">
        <v>57238</v>
      </c>
      <c r="B19162" t="s">
        <v>12686</v>
      </c>
      <c r="C19162" t="s">
        <v>13964</v>
      </c>
      <c r="D19162" t="s">
        <v>57239</v>
      </c>
      <c r="E19162" t="b">
        <v>0</v>
      </c>
      <c r="F19162" t="s">
        <v>11610</v>
      </c>
      <c r="L19162">
        <v>0</v>
      </c>
      <c r="M19162">
        <v>0</v>
      </c>
      <c r="N19162">
        <v>0</v>
      </c>
    </row>
    <row r="19163" spans="1:15">
      <c r="A19163" t="s">
        <v>57240</v>
      </c>
      <c r="B19163" t="s">
        <v>11627</v>
      </c>
      <c r="C19163" t="s">
        <v>11627</v>
      </c>
      <c r="D19163" t="s">
        <v>57241</v>
      </c>
      <c r="E19163" t="b">
        <v>1</v>
      </c>
      <c r="F19163" t="s">
        <v>11624</v>
      </c>
      <c r="G19163">
        <v>3.01294</v>
      </c>
      <c r="H19163">
        <v>-57.9221</v>
      </c>
      <c r="I19163" t="s">
        <v>57242</v>
      </c>
      <c r="L19163">
        <v>0</v>
      </c>
      <c r="M19163">
        <v>0</v>
      </c>
      <c r="N19163">
        <v>0</v>
      </c>
      <c r="O19163" t="s">
        <v>57243</v>
      </c>
    </row>
    <row r="19164" spans="1:15">
      <c r="A19164" t="s">
        <v>57244</v>
      </c>
      <c r="B19164" t="s">
        <v>11644</v>
      </c>
      <c r="C19164" t="s">
        <v>22770</v>
      </c>
      <c r="D19164" t="s">
        <v>57245</v>
      </c>
      <c r="E19164" t="b">
        <v>0</v>
      </c>
      <c r="F19164" t="s">
        <v>11624</v>
      </c>
      <c r="G19164">
        <v>27.857949999999999</v>
      </c>
      <c r="H19164">
        <v>88.591530000000006</v>
      </c>
      <c r="I19164" t="s">
        <v>57246</v>
      </c>
      <c r="L19164">
        <v>0</v>
      </c>
      <c r="M19164">
        <v>0</v>
      </c>
      <c r="N19164">
        <v>0</v>
      </c>
      <c r="O19164" t="s">
        <v>11630</v>
      </c>
    </row>
    <row r="19165" spans="1:15">
      <c r="A19165" t="s">
        <v>57247</v>
      </c>
      <c r="B19165" t="s">
        <v>367</v>
      </c>
      <c r="C19165" t="s">
        <v>5504</v>
      </c>
      <c r="D19165" t="s">
        <v>57248</v>
      </c>
      <c r="E19165" t="b">
        <v>0</v>
      </c>
      <c r="F19165" t="s">
        <v>11610</v>
      </c>
      <c r="L19165">
        <v>0</v>
      </c>
      <c r="M19165">
        <v>0</v>
      </c>
      <c r="N19165">
        <v>0</v>
      </c>
    </row>
    <row r="19166" spans="1:15">
      <c r="A19166" t="s">
        <v>57249</v>
      </c>
      <c r="B19166" t="s">
        <v>6742</v>
      </c>
      <c r="C19166" t="s">
        <v>12603</v>
      </c>
      <c r="D19166" t="s">
        <v>57250</v>
      </c>
      <c r="E19166" t="b">
        <v>0</v>
      </c>
      <c r="F19166" t="s">
        <v>11610</v>
      </c>
      <c r="L19166">
        <v>0</v>
      </c>
      <c r="M19166">
        <v>0</v>
      </c>
      <c r="N19166">
        <v>0</v>
      </c>
    </row>
    <row r="19167" spans="1:15">
      <c r="A19167" t="s">
        <v>91</v>
      </c>
      <c r="B19167" t="s">
        <v>12979</v>
      </c>
      <c r="C19167" t="s">
        <v>13050</v>
      </c>
      <c r="D19167" t="s">
        <v>57251</v>
      </c>
      <c r="E19167" t="b">
        <v>0</v>
      </c>
      <c r="F19167" t="s">
        <v>11624</v>
      </c>
      <c r="G19167">
        <v>49.066899999999997</v>
      </c>
      <c r="H19167">
        <v>-113.10899999999999</v>
      </c>
      <c r="I19167" t="s">
        <v>92</v>
      </c>
      <c r="L19167">
        <v>0</v>
      </c>
      <c r="M19167">
        <v>0</v>
      </c>
      <c r="N19167">
        <v>2</v>
      </c>
      <c r="O19167" t="s">
        <v>14875</v>
      </c>
    </row>
    <row r="19168" spans="1:15">
      <c r="A19168" t="s">
        <v>39739</v>
      </c>
      <c r="B19168" t="s">
        <v>367</v>
      </c>
      <c r="C19168" t="s">
        <v>47664</v>
      </c>
      <c r="D19168" t="s">
        <v>57252</v>
      </c>
      <c r="E19168" t="b">
        <v>0</v>
      </c>
      <c r="F19168" t="s">
        <v>11624</v>
      </c>
      <c r="G19168">
        <v>2.6911299999999998</v>
      </c>
      <c r="H19168">
        <v>95.9636</v>
      </c>
      <c r="I19168" t="s">
        <v>57253</v>
      </c>
      <c r="L19168">
        <v>0</v>
      </c>
      <c r="M19168">
        <v>0</v>
      </c>
      <c r="N19168">
        <v>2</v>
      </c>
      <c r="O19168" t="s">
        <v>11768</v>
      </c>
    </row>
    <row r="19169" spans="1:15">
      <c r="A19169" t="s">
        <v>57254</v>
      </c>
      <c r="B19169" t="s">
        <v>367</v>
      </c>
      <c r="C19169" t="s">
        <v>16054</v>
      </c>
      <c r="D19169" t="s">
        <v>57255</v>
      </c>
      <c r="E19169" t="b">
        <v>0</v>
      </c>
      <c r="F19169" t="s">
        <v>11610</v>
      </c>
      <c r="L19169">
        <v>0</v>
      </c>
      <c r="M19169">
        <v>0</v>
      </c>
      <c r="N19169">
        <v>0</v>
      </c>
    </row>
    <row r="19170" spans="1:15">
      <c r="A19170" t="s">
        <v>57256</v>
      </c>
      <c r="B19170" t="s">
        <v>11644</v>
      </c>
      <c r="C19170" t="s">
        <v>23466</v>
      </c>
      <c r="D19170" t="s">
        <v>57257</v>
      </c>
      <c r="E19170" t="b">
        <v>0</v>
      </c>
      <c r="F19170" t="s">
        <v>11624</v>
      </c>
      <c r="G19170">
        <v>21.688800000000001</v>
      </c>
      <c r="H19170">
        <v>102.134</v>
      </c>
      <c r="I19170" t="s">
        <v>57258</v>
      </c>
      <c r="L19170">
        <v>0</v>
      </c>
      <c r="M19170">
        <v>0</v>
      </c>
      <c r="N19170">
        <v>0</v>
      </c>
      <c r="O19170" t="s">
        <v>18933</v>
      </c>
    </row>
    <row r="19171" spans="1:15">
      <c r="A19171" t="s">
        <v>57259</v>
      </c>
      <c r="B19171" t="s">
        <v>17030</v>
      </c>
      <c r="C19171" t="s">
        <v>24190</v>
      </c>
      <c r="D19171" t="s">
        <v>57260</v>
      </c>
      <c r="E19171" t="b">
        <v>0</v>
      </c>
      <c r="F19171" t="s">
        <v>11610</v>
      </c>
      <c r="L19171">
        <v>0</v>
      </c>
      <c r="M19171">
        <v>0</v>
      </c>
      <c r="N19171">
        <v>0</v>
      </c>
    </row>
    <row r="19172" spans="1:15">
      <c r="A19172" t="s">
        <v>57261</v>
      </c>
      <c r="B19172" t="s">
        <v>367</v>
      </c>
      <c r="C19172" t="s">
        <v>5322</v>
      </c>
      <c r="D19172" t="s">
        <v>57262</v>
      </c>
      <c r="E19172" t="b">
        <v>0</v>
      </c>
      <c r="F19172" t="s">
        <v>11610</v>
      </c>
      <c r="L19172">
        <v>0</v>
      </c>
      <c r="M19172">
        <v>0</v>
      </c>
      <c r="N19172">
        <v>0</v>
      </c>
    </row>
    <row r="19173" spans="1:15">
      <c r="A19173" t="s">
        <v>55736</v>
      </c>
      <c r="B19173" t="s">
        <v>11879</v>
      </c>
      <c r="C19173" t="s">
        <v>21855</v>
      </c>
      <c r="D19173" t="s">
        <v>57263</v>
      </c>
      <c r="E19173" t="b">
        <v>0</v>
      </c>
      <c r="F19173" t="s">
        <v>11624</v>
      </c>
      <c r="G19173">
        <v>17.554099999999998</v>
      </c>
      <c r="H19173">
        <v>-98.116299999999995</v>
      </c>
      <c r="I19173" t="s">
        <v>57264</v>
      </c>
      <c r="L19173">
        <v>0</v>
      </c>
      <c r="M19173">
        <v>0</v>
      </c>
      <c r="N19173">
        <v>1</v>
      </c>
      <c r="O19173" t="s">
        <v>12238</v>
      </c>
    </row>
    <row r="19174" spans="1:15">
      <c r="A19174" t="s">
        <v>23466</v>
      </c>
      <c r="B19174" t="s">
        <v>11644</v>
      </c>
      <c r="C19174" t="s">
        <v>18847</v>
      </c>
      <c r="D19174" t="s">
        <v>57265</v>
      </c>
      <c r="E19174" t="b">
        <v>0</v>
      </c>
      <c r="F19174" t="s">
        <v>11622</v>
      </c>
      <c r="L19174">
        <v>0</v>
      </c>
      <c r="M19174">
        <v>2</v>
      </c>
      <c r="N19174">
        <v>0</v>
      </c>
    </row>
    <row r="19175" spans="1:15">
      <c r="A19175" t="s">
        <v>57266</v>
      </c>
      <c r="B19175" t="s">
        <v>11637</v>
      </c>
      <c r="C19175" t="s">
        <v>23702</v>
      </c>
      <c r="D19175" t="s">
        <v>57267</v>
      </c>
      <c r="E19175" t="b">
        <v>0</v>
      </c>
      <c r="F19175" t="s">
        <v>11624</v>
      </c>
      <c r="I19175" t="s">
        <v>57268</v>
      </c>
      <c r="L19175">
        <v>0</v>
      </c>
      <c r="M19175">
        <v>0</v>
      </c>
      <c r="N19175">
        <v>0</v>
      </c>
      <c r="O19175" t="s">
        <v>27424</v>
      </c>
    </row>
    <row r="19176" spans="1:15">
      <c r="A19176" t="s">
        <v>57269</v>
      </c>
      <c r="B19176" t="s">
        <v>11839</v>
      </c>
      <c r="C19176" t="s">
        <v>39117</v>
      </c>
      <c r="D19176" t="s">
        <v>57270</v>
      </c>
      <c r="E19176" t="b">
        <v>0</v>
      </c>
      <c r="F19176" t="s">
        <v>11610</v>
      </c>
      <c r="L19176">
        <v>0</v>
      </c>
      <c r="M19176">
        <v>0</v>
      </c>
      <c r="N19176">
        <v>0</v>
      </c>
    </row>
    <row r="19177" spans="1:15">
      <c r="A19177" t="s">
        <v>57271</v>
      </c>
      <c r="B19177" t="s">
        <v>11615</v>
      </c>
      <c r="C19177" t="s">
        <v>45715</v>
      </c>
      <c r="D19177" t="s">
        <v>57272</v>
      </c>
      <c r="E19177" t="b">
        <v>0</v>
      </c>
      <c r="F19177" t="s">
        <v>11624</v>
      </c>
      <c r="G19177">
        <v>-4.9824299999999999</v>
      </c>
      <c r="H19177">
        <v>145.22499999999999</v>
      </c>
      <c r="I19177" t="s">
        <v>57273</v>
      </c>
      <c r="L19177">
        <v>0</v>
      </c>
      <c r="M19177">
        <v>0</v>
      </c>
      <c r="N19177">
        <v>0</v>
      </c>
      <c r="O19177" t="s">
        <v>11660</v>
      </c>
    </row>
    <row r="19178" spans="1:15">
      <c r="A19178" t="s">
        <v>57274</v>
      </c>
      <c r="B19178" t="s">
        <v>11834</v>
      </c>
      <c r="C19178" t="s">
        <v>31047</v>
      </c>
      <c r="D19178" t="s">
        <v>57275</v>
      </c>
      <c r="E19178" t="b">
        <v>0</v>
      </c>
      <c r="F19178" t="s">
        <v>11624</v>
      </c>
      <c r="G19178">
        <v>-3.6083799999999999</v>
      </c>
      <c r="H19178">
        <v>142.39699999999999</v>
      </c>
      <c r="I19178" t="s">
        <v>57276</v>
      </c>
      <c r="L19178">
        <v>0</v>
      </c>
      <c r="M19178">
        <v>0</v>
      </c>
      <c r="N19178">
        <v>0</v>
      </c>
      <c r="O19178" t="s">
        <v>11660</v>
      </c>
    </row>
    <row r="19179" spans="1:15">
      <c r="A19179" t="s">
        <v>57277</v>
      </c>
      <c r="B19179" t="s">
        <v>15162</v>
      </c>
      <c r="C19179" t="s">
        <v>15163</v>
      </c>
      <c r="D19179" t="s">
        <v>57278</v>
      </c>
      <c r="E19179" t="b">
        <v>0</v>
      </c>
      <c r="F19179" t="s">
        <v>11610</v>
      </c>
      <c r="L19179">
        <v>0</v>
      </c>
      <c r="M19179">
        <v>0</v>
      </c>
      <c r="N19179">
        <v>0</v>
      </c>
    </row>
    <row r="19180" spans="1:15">
      <c r="A19180" t="s">
        <v>40932</v>
      </c>
      <c r="B19180" t="s">
        <v>11615</v>
      </c>
      <c r="C19180" t="s">
        <v>46897</v>
      </c>
      <c r="D19180" t="s">
        <v>57279</v>
      </c>
      <c r="E19180" t="b">
        <v>0</v>
      </c>
      <c r="F19180" t="s">
        <v>11624</v>
      </c>
      <c r="G19180">
        <v>-4.5254399999999997</v>
      </c>
      <c r="H19180">
        <v>139.00299999999999</v>
      </c>
      <c r="I19180" t="s">
        <v>57280</v>
      </c>
      <c r="L19180">
        <v>0</v>
      </c>
      <c r="M19180">
        <v>0</v>
      </c>
      <c r="N19180">
        <v>1</v>
      </c>
      <c r="O19180" t="s">
        <v>11768</v>
      </c>
    </row>
    <row r="19181" spans="1:15">
      <c r="A19181" t="s">
        <v>57281</v>
      </c>
      <c r="B19181" t="s">
        <v>11637</v>
      </c>
      <c r="C19181" t="s">
        <v>13105</v>
      </c>
      <c r="D19181" t="s">
        <v>57282</v>
      </c>
      <c r="E19181" t="b">
        <v>0</v>
      </c>
      <c r="F19181" t="s">
        <v>11610</v>
      </c>
      <c r="L19181">
        <v>0</v>
      </c>
      <c r="M19181">
        <v>0</v>
      </c>
      <c r="N19181">
        <v>0</v>
      </c>
    </row>
    <row r="19182" spans="1:15">
      <c r="A19182" t="s">
        <v>57283</v>
      </c>
      <c r="B19182" t="s">
        <v>11637</v>
      </c>
      <c r="C19182" t="s">
        <v>21100</v>
      </c>
      <c r="D19182" t="s">
        <v>57284</v>
      </c>
      <c r="E19182" t="b">
        <v>0</v>
      </c>
      <c r="F19182" t="s">
        <v>11610</v>
      </c>
      <c r="L19182">
        <v>0</v>
      </c>
      <c r="M19182">
        <v>0</v>
      </c>
      <c r="N19182">
        <v>0</v>
      </c>
    </row>
    <row r="19183" spans="1:15">
      <c r="A19183" t="s">
        <v>57285</v>
      </c>
      <c r="B19183" t="s">
        <v>13360</v>
      </c>
      <c r="C19183" t="s">
        <v>13360</v>
      </c>
      <c r="D19183" t="s">
        <v>57286</v>
      </c>
      <c r="E19183" t="b">
        <v>0</v>
      </c>
      <c r="F19183" t="s">
        <v>11624</v>
      </c>
      <c r="L19183">
        <v>0</v>
      </c>
      <c r="M19183">
        <v>0</v>
      </c>
      <c r="N19183">
        <v>0</v>
      </c>
      <c r="O19183" t="s">
        <v>33367</v>
      </c>
    </row>
    <row r="19184" spans="1:15">
      <c r="A19184" t="s">
        <v>57287</v>
      </c>
      <c r="B19184" t="s">
        <v>11615</v>
      </c>
      <c r="C19184" t="s">
        <v>57288</v>
      </c>
      <c r="D19184" t="s">
        <v>57289</v>
      </c>
      <c r="E19184" t="b">
        <v>0</v>
      </c>
      <c r="F19184" t="s">
        <v>11624</v>
      </c>
      <c r="G19184">
        <v>-5.1230200000000004</v>
      </c>
      <c r="H19184">
        <v>145.58600000000001</v>
      </c>
      <c r="I19184" t="s">
        <v>57290</v>
      </c>
      <c r="L19184">
        <v>0</v>
      </c>
      <c r="M19184">
        <v>0</v>
      </c>
      <c r="N19184">
        <v>0</v>
      </c>
      <c r="O19184" t="s">
        <v>11660</v>
      </c>
    </row>
    <row r="19185" spans="1:15">
      <c r="A19185" t="s">
        <v>57288</v>
      </c>
      <c r="B19185" t="s">
        <v>11615</v>
      </c>
      <c r="C19185" t="s">
        <v>15886</v>
      </c>
      <c r="D19185" t="s">
        <v>57291</v>
      </c>
      <c r="E19185" t="b">
        <v>0</v>
      </c>
      <c r="F19185" t="s">
        <v>11622</v>
      </c>
      <c r="L19185">
        <v>0</v>
      </c>
      <c r="M19185">
        <v>2</v>
      </c>
      <c r="N19185">
        <v>0</v>
      </c>
    </row>
    <row r="19186" spans="1:15">
      <c r="A19186" t="s">
        <v>15886</v>
      </c>
      <c r="B19186" t="s">
        <v>11615</v>
      </c>
      <c r="C19186" t="s">
        <v>28675</v>
      </c>
      <c r="D19186" t="s">
        <v>57292</v>
      </c>
      <c r="E19186" t="b">
        <v>0</v>
      </c>
      <c r="F19186" t="s">
        <v>11622</v>
      </c>
      <c r="L19186">
        <v>1</v>
      </c>
      <c r="M19186">
        <v>5</v>
      </c>
      <c r="N19186">
        <v>0</v>
      </c>
    </row>
    <row r="19187" spans="1:15">
      <c r="A19187" t="s">
        <v>57293</v>
      </c>
      <c r="B19187" t="s">
        <v>11607</v>
      </c>
      <c r="C19187" t="s">
        <v>30754</v>
      </c>
      <c r="D19187" t="s">
        <v>57294</v>
      </c>
      <c r="E19187" t="b">
        <v>0</v>
      </c>
      <c r="F19187" t="s">
        <v>11622</v>
      </c>
      <c r="L19187">
        <v>0</v>
      </c>
      <c r="M19187">
        <v>2</v>
      </c>
      <c r="N19187">
        <v>0</v>
      </c>
    </row>
    <row r="19188" spans="1:15">
      <c r="A19188" t="s">
        <v>57295</v>
      </c>
      <c r="B19188" t="s">
        <v>11607</v>
      </c>
      <c r="C19188" t="s">
        <v>57293</v>
      </c>
      <c r="D19188" t="s">
        <v>57296</v>
      </c>
      <c r="E19188" t="b">
        <v>0</v>
      </c>
      <c r="F19188" t="s">
        <v>11624</v>
      </c>
      <c r="G19188">
        <v>7.7700399999999998</v>
      </c>
      <c r="H19188">
        <v>38.1449</v>
      </c>
      <c r="I19188" t="s">
        <v>57297</v>
      </c>
      <c r="L19188">
        <v>0</v>
      </c>
      <c r="M19188">
        <v>0</v>
      </c>
      <c r="N19188">
        <v>0</v>
      </c>
      <c r="O19188" t="s">
        <v>11625</v>
      </c>
    </row>
    <row r="19189" spans="1:15">
      <c r="A19189" t="s">
        <v>57298</v>
      </c>
      <c r="B19189" t="s">
        <v>11627</v>
      </c>
      <c r="C19189" t="s">
        <v>11627</v>
      </c>
      <c r="D19189" t="s">
        <v>57299</v>
      </c>
      <c r="E19189" t="b">
        <v>1</v>
      </c>
      <c r="F19189" t="s">
        <v>11624</v>
      </c>
      <c r="I19189" t="s">
        <v>57300</v>
      </c>
      <c r="L19189">
        <v>0</v>
      </c>
      <c r="M19189">
        <v>0</v>
      </c>
      <c r="N19189">
        <v>0</v>
      </c>
    </row>
    <row r="19190" spans="1:15">
      <c r="A19190" t="s">
        <v>57301</v>
      </c>
      <c r="B19190" t="s">
        <v>11644</v>
      </c>
      <c r="C19190" t="s">
        <v>13896</v>
      </c>
      <c r="D19190" t="s">
        <v>57302</v>
      </c>
      <c r="E19190" t="b">
        <v>0</v>
      </c>
      <c r="F19190" t="s">
        <v>11610</v>
      </c>
      <c r="L19190">
        <v>0</v>
      </c>
      <c r="M19190">
        <v>0</v>
      </c>
      <c r="N19190">
        <v>0</v>
      </c>
    </row>
    <row r="19191" spans="1:15">
      <c r="A19191" t="s">
        <v>32319</v>
      </c>
      <c r="B19191" t="s">
        <v>6742</v>
      </c>
      <c r="C19191" t="s">
        <v>50588</v>
      </c>
      <c r="D19191" t="s">
        <v>57303</v>
      </c>
      <c r="E19191" t="b">
        <v>0</v>
      </c>
      <c r="F19191" t="s">
        <v>11624</v>
      </c>
      <c r="G19191">
        <v>-15.743399999999999</v>
      </c>
      <c r="H19191">
        <v>22.645499999999998</v>
      </c>
      <c r="I19191" t="s">
        <v>57304</v>
      </c>
      <c r="L19191">
        <v>0</v>
      </c>
      <c r="M19191">
        <v>0</v>
      </c>
      <c r="N19191">
        <v>7</v>
      </c>
      <c r="O19191" t="s">
        <v>32215</v>
      </c>
    </row>
    <row r="19192" spans="1:15">
      <c r="A19192" t="s">
        <v>57305</v>
      </c>
      <c r="B19192" t="s">
        <v>367</v>
      </c>
      <c r="C19192" t="s">
        <v>5322</v>
      </c>
      <c r="D19192" t="s">
        <v>57306</v>
      </c>
      <c r="E19192" t="b">
        <v>0</v>
      </c>
      <c r="F19192" t="s">
        <v>11610</v>
      </c>
      <c r="L19192">
        <v>0</v>
      </c>
      <c r="M19192">
        <v>0</v>
      </c>
      <c r="N19192">
        <v>0</v>
      </c>
    </row>
    <row r="19193" spans="1:15">
      <c r="A19193" t="s">
        <v>57307</v>
      </c>
      <c r="B19193" t="s">
        <v>367</v>
      </c>
      <c r="C19193" t="s">
        <v>16803</v>
      </c>
      <c r="D19193" t="s">
        <v>57308</v>
      </c>
      <c r="E19193" t="b">
        <v>0</v>
      </c>
      <c r="F19193" t="s">
        <v>11610</v>
      </c>
      <c r="L19193">
        <v>0</v>
      </c>
      <c r="M19193">
        <v>0</v>
      </c>
      <c r="N19193">
        <v>0</v>
      </c>
    </row>
    <row r="19194" spans="1:15">
      <c r="A19194" t="s">
        <v>57309</v>
      </c>
      <c r="B19194" t="s">
        <v>11615</v>
      </c>
      <c r="C19194" t="s">
        <v>12608</v>
      </c>
      <c r="D19194" t="s">
        <v>57310</v>
      </c>
      <c r="E19194" t="b">
        <v>0</v>
      </c>
      <c r="F19194" t="s">
        <v>11610</v>
      </c>
      <c r="L19194">
        <v>0</v>
      </c>
      <c r="M19194">
        <v>0</v>
      </c>
      <c r="N19194">
        <v>0</v>
      </c>
    </row>
    <row r="19195" spans="1:15">
      <c r="A19195" t="s">
        <v>50588</v>
      </c>
      <c r="B19195" t="s">
        <v>6742</v>
      </c>
      <c r="C19195" t="s">
        <v>43229</v>
      </c>
      <c r="D19195" t="s">
        <v>57311</v>
      </c>
      <c r="E19195" t="b">
        <v>0</v>
      </c>
      <c r="F19195" t="s">
        <v>11622</v>
      </c>
      <c r="L19195">
        <v>0</v>
      </c>
      <c r="M19195">
        <v>2</v>
      </c>
      <c r="N19195">
        <v>7</v>
      </c>
    </row>
    <row r="19196" spans="1:15">
      <c r="A19196" t="s">
        <v>57312</v>
      </c>
      <c r="B19196" t="s">
        <v>6742</v>
      </c>
      <c r="C19196" t="s">
        <v>20105</v>
      </c>
      <c r="D19196" t="s">
        <v>57313</v>
      </c>
      <c r="E19196" t="b">
        <v>0</v>
      </c>
      <c r="F19196" t="s">
        <v>11610</v>
      </c>
      <c r="L19196">
        <v>0</v>
      </c>
      <c r="M19196">
        <v>0</v>
      </c>
      <c r="N19196">
        <v>0</v>
      </c>
    </row>
    <row r="19197" spans="1:15">
      <c r="A19197" t="s">
        <v>57314</v>
      </c>
      <c r="B19197" t="s">
        <v>6742</v>
      </c>
      <c r="C19197" t="s">
        <v>34740</v>
      </c>
      <c r="D19197" t="s">
        <v>57315</v>
      </c>
      <c r="E19197" t="b">
        <v>0</v>
      </c>
      <c r="F19197" t="s">
        <v>11624</v>
      </c>
      <c r="G19197">
        <v>-1.2810699999999999</v>
      </c>
      <c r="H19197">
        <v>11.1783</v>
      </c>
      <c r="I19197" t="s">
        <v>57316</v>
      </c>
      <c r="L19197">
        <v>0</v>
      </c>
      <c r="M19197">
        <v>0</v>
      </c>
      <c r="N19197">
        <v>0</v>
      </c>
      <c r="O19197" t="s">
        <v>16915</v>
      </c>
    </row>
    <row r="19198" spans="1:15">
      <c r="A19198" t="s">
        <v>57317</v>
      </c>
      <c r="B19198" t="s">
        <v>12487</v>
      </c>
      <c r="C19198" t="s">
        <v>17170</v>
      </c>
      <c r="D19198" t="s">
        <v>57318</v>
      </c>
      <c r="E19198" t="b">
        <v>0</v>
      </c>
      <c r="F19198" t="s">
        <v>11624</v>
      </c>
      <c r="G19198">
        <v>-7.0225900000000001</v>
      </c>
      <c r="H19198">
        <v>145.60300000000001</v>
      </c>
      <c r="I19198" t="s">
        <v>57319</v>
      </c>
      <c r="L19198">
        <v>0</v>
      </c>
      <c r="M19198">
        <v>0</v>
      </c>
      <c r="N19198">
        <v>0</v>
      </c>
      <c r="O19198" t="s">
        <v>11660</v>
      </c>
    </row>
    <row r="19199" spans="1:15">
      <c r="A19199" t="s">
        <v>57320</v>
      </c>
      <c r="B19199" t="s">
        <v>367</v>
      </c>
      <c r="C19199" t="s">
        <v>29141</v>
      </c>
      <c r="D19199" t="s">
        <v>57321</v>
      </c>
      <c r="E19199" t="b">
        <v>0</v>
      </c>
      <c r="F19199" t="s">
        <v>11624</v>
      </c>
      <c r="G19199">
        <v>-8.2694700000000001</v>
      </c>
      <c r="H19199">
        <v>156.541</v>
      </c>
      <c r="I19199" t="s">
        <v>57322</v>
      </c>
      <c r="L19199">
        <v>0</v>
      </c>
      <c r="M19199">
        <v>0</v>
      </c>
      <c r="N19199">
        <v>0</v>
      </c>
      <c r="O19199" t="s">
        <v>13346</v>
      </c>
    </row>
    <row r="19200" spans="1:15">
      <c r="A19200" t="s">
        <v>57323</v>
      </c>
      <c r="B19200" t="s">
        <v>367</v>
      </c>
      <c r="C19200" t="s">
        <v>42476</v>
      </c>
      <c r="D19200" t="s">
        <v>57324</v>
      </c>
      <c r="E19200" t="b">
        <v>0</v>
      </c>
      <c r="F19200" t="s">
        <v>11610</v>
      </c>
      <c r="L19200">
        <v>0</v>
      </c>
      <c r="M19200">
        <v>0</v>
      </c>
      <c r="N19200">
        <v>0</v>
      </c>
    </row>
    <row r="19201" spans="1:15">
      <c r="A19201" t="s">
        <v>22895</v>
      </c>
      <c r="B19201" t="s">
        <v>11615</v>
      </c>
      <c r="C19201" t="s">
        <v>21663</v>
      </c>
      <c r="D19201" t="s">
        <v>57325</v>
      </c>
      <c r="E19201" t="b">
        <v>0</v>
      </c>
      <c r="F19201" t="s">
        <v>11622</v>
      </c>
      <c r="L19201">
        <v>4</v>
      </c>
      <c r="M19201">
        <v>7</v>
      </c>
      <c r="N19201">
        <v>23</v>
      </c>
    </row>
    <row r="19202" spans="1:15">
      <c r="A19202" t="s">
        <v>57326</v>
      </c>
      <c r="B19202" t="s">
        <v>16014</v>
      </c>
      <c r="C19202" t="s">
        <v>16014</v>
      </c>
      <c r="D19202" t="s">
        <v>57327</v>
      </c>
      <c r="E19202" t="b">
        <v>0</v>
      </c>
      <c r="F19202" t="s">
        <v>11624</v>
      </c>
      <c r="G19202">
        <v>-4.8861800000000004</v>
      </c>
      <c r="H19202">
        <v>151.95699999999999</v>
      </c>
      <c r="I19202" t="s">
        <v>57328</v>
      </c>
      <c r="L19202">
        <v>0</v>
      </c>
      <c r="M19202">
        <v>0</v>
      </c>
      <c r="N19202">
        <v>0</v>
      </c>
      <c r="O19202" t="s">
        <v>11660</v>
      </c>
    </row>
    <row r="19203" spans="1:15">
      <c r="A19203" t="s">
        <v>29141</v>
      </c>
      <c r="B19203" t="s">
        <v>367</v>
      </c>
      <c r="C19203" t="s">
        <v>25482</v>
      </c>
      <c r="D19203" t="s">
        <v>57329</v>
      </c>
      <c r="E19203" t="b">
        <v>0</v>
      </c>
      <c r="F19203" t="s">
        <v>11622</v>
      </c>
      <c r="L19203">
        <v>1</v>
      </c>
      <c r="M19203">
        <v>3</v>
      </c>
      <c r="N19203">
        <v>2</v>
      </c>
    </row>
    <row r="19204" spans="1:15">
      <c r="A19204" t="s">
        <v>57330</v>
      </c>
      <c r="B19204" t="s">
        <v>367</v>
      </c>
      <c r="C19204" t="s">
        <v>44095</v>
      </c>
      <c r="D19204" t="s">
        <v>57331</v>
      </c>
      <c r="E19204" t="b">
        <v>0</v>
      </c>
      <c r="F19204" t="s">
        <v>11624</v>
      </c>
      <c r="G19204">
        <v>2.5028800000000002</v>
      </c>
      <c r="H19204">
        <v>96.275700000000001</v>
      </c>
      <c r="I19204" t="s">
        <v>57332</v>
      </c>
      <c r="L19204">
        <v>0</v>
      </c>
      <c r="M19204">
        <v>0</v>
      </c>
      <c r="N19204">
        <v>0</v>
      </c>
      <c r="O19204" t="s">
        <v>11768</v>
      </c>
    </row>
    <row r="19205" spans="1:15">
      <c r="A19205" t="s">
        <v>37381</v>
      </c>
      <c r="B19205" t="s">
        <v>16042</v>
      </c>
      <c r="C19205" t="s">
        <v>23720</v>
      </c>
      <c r="D19205" t="s">
        <v>57333</v>
      </c>
      <c r="E19205" t="b">
        <v>0</v>
      </c>
      <c r="F19205" t="s">
        <v>11624</v>
      </c>
      <c r="G19205">
        <v>-6.2302200000000001</v>
      </c>
      <c r="H19205">
        <v>155.423</v>
      </c>
      <c r="I19205" t="s">
        <v>57334</v>
      </c>
      <c r="L19205">
        <v>0</v>
      </c>
      <c r="M19205">
        <v>0</v>
      </c>
      <c r="N19205">
        <v>2</v>
      </c>
      <c r="O19205" t="s">
        <v>11660</v>
      </c>
    </row>
    <row r="19206" spans="1:15">
      <c r="A19206" t="s">
        <v>57335</v>
      </c>
      <c r="B19206" t="s">
        <v>13264</v>
      </c>
      <c r="C19206" t="s">
        <v>18409</v>
      </c>
      <c r="D19206" t="s">
        <v>57336</v>
      </c>
      <c r="E19206" t="b">
        <v>0</v>
      </c>
      <c r="F19206" t="s">
        <v>11610</v>
      </c>
      <c r="L19206">
        <v>0</v>
      </c>
      <c r="M19206">
        <v>0</v>
      </c>
      <c r="N19206">
        <v>0</v>
      </c>
    </row>
    <row r="19207" spans="1:15">
      <c r="A19207" t="s">
        <v>57337</v>
      </c>
      <c r="B19207" t="s">
        <v>11615</v>
      </c>
      <c r="C19207" t="s">
        <v>26941</v>
      </c>
      <c r="D19207" t="s">
        <v>57338</v>
      </c>
      <c r="E19207" t="b">
        <v>0</v>
      </c>
      <c r="F19207" t="s">
        <v>11610</v>
      </c>
      <c r="L19207">
        <v>0</v>
      </c>
      <c r="M19207">
        <v>0</v>
      </c>
      <c r="N19207">
        <v>0</v>
      </c>
    </row>
    <row r="19208" spans="1:15">
      <c r="A19208" t="s">
        <v>57339</v>
      </c>
      <c r="B19208" t="s">
        <v>11644</v>
      </c>
      <c r="C19208" t="s">
        <v>28563</v>
      </c>
      <c r="D19208" t="s">
        <v>57340</v>
      </c>
      <c r="E19208" t="b">
        <v>0</v>
      </c>
      <c r="F19208" t="s">
        <v>11624</v>
      </c>
      <c r="G19208">
        <v>24.5444</v>
      </c>
      <c r="H19208">
        <v>93.326499999999996</v>
      </c>
      <c r="I19208" t="s">
        <v>57341</v>
      </c>
      <c r="L19208">
        <v>0</v>
      </c>
      <c r="M19208">
        <v>0</v>
      </c>
      <c r="N19208">
        <v>0</v>
      </c>
      <c r="O19208" t="s">
        <v>11630</v>
      </c>
    </row>
    <row r="19209" spans="1:15">
      <c r="A19209" t="s">
        <v>57342</v>
      </c>
      <c r="B19209" t="s">
        <v>367</v>
      </c>
      <c r="C19209" t="s">
        <v>16054</v>
      </c>
      <c r="D19209" t="s">
        <v>57343</v>
      </c>
      <c r="E19209" t="b">
        <v>0</v>
      </c>
      <c r="F19209" t="s">
        <v>11610</v>
      </c>
      <c r="L19209">
        <v>0</v>
      </c>
      <c r="M19209">
        <v>0</v>
      </c>
      <c r="N19209">
        <v>0</v>
      </c>
    </row>
    <row r="19210" spans="1:15">
      <c r="A19210" t="s">
        <v>57344</v>
      </c>
      <c r="B19210" t="s">
        <v>367</v>
      </c>
      <c r="C19210" t="s">
        <v>19402</v>
      </c>
      <c r="D19210" t="s">
        <v>57345</v>
      </c>
      <c r="E19210" t="b">
        <v>0</v>
      </c>
      <c r="F19210" t="s">
        <v>11610</v>
      </c>
      <c r="L19210">
        <v>0</v>
      </c>
      <c r="M19210">
        <v>0</v>
      </c>
      <c r="N19210">
        <v>0</v>
      </c>
    </row>
    <row r="19211" spans="1:15">
      <c r="A19211" t="s">
        <v>13008</v>
      </c>
      <c r="B19211" t="s">
        <v>367</v>
      </c>
      <c r="C19211" t="s">
        <v>31672</v>
      </c>
      <c r="D19211" t="s">
        <v>57346</v>
      </c>
      <c r="E19211" t="b">
        <v>0</v>
      </c>
      <c r="F19211" t="s">
        <v>11624</v>
      </c>
      <c r="G19211">
        <v>-9.7979099999999999</v>
      </c>
      <c r="H19211">
        <v>147.86099999999999</v>
      </c>
      <c r="I19211" t="s">
        <v>57347</v>
      </c>
      <c r="L19211">
        <v>0</v>
      </c>
      <c r="M19211">
        <v>0</v>
      </c>
      <c r="N19211">
        <v>17</v>
      </c>
      <c r="O19211" t="s">
        <v>11660</v>
      </c>
    </row>
    <row r="19212" spans="1:15">
      <c r="A19212" t="s">
        <v>57348</v>
      </c>
      <c r="B19212" t="s">
        <v>367</v>
      </c>
      <c r="C19212" t="s">
        <v>36499</v>
      </c>
      <c r="D19212" t="s">
        <v>57349</v>
      </c>
      <c r="E19212" t="b">
        <v>0</v>
      </c>
      <c r="F19212" t="s">
        <v>11610</v>
      </c>
      <c r="L19212">
        <v>0</v>
      </c>
      <c r="M19212">
        <v>0</v>
      </c>
      <c r="N19212">
        <v>0</v>
      </c>
    </row>
    <row r="19213" spans="1:15">
      <c r="A19213" t="s">
        <v>57350</v>
      </c>
      <c r="B19213" t="s">
        <v>367</v>
      </c>
      <c r="C19213" t="s">
        <v>25631</v>
      </c>
      <c r="D19213" t="s">
        <v>57351</v>
      </c>
      <c r="E19213" t="b">
        <v>0</v>
      </c>
      <c r="F19213" t="s">
        <v>11610</v>
      </c>
      <c r="L19213">
        <v>0</v>
      </c>
      <c r="M19213">
        <v>0</v>
      </c>
      <c r="N19213">
        <v>0</v>
      </c>
    </row>
    <row r="19214" spans="1:15">
      <c r="A19214" t="s">
        <v>57352</v>
      </c>
      <c r="B19214" t="s">
        <v>11834</v>
      </c>
      <c r="C19214" t="s">
        <v>24695</v>
      </c>
      <c r="D19214" t="s">
        <v>57353</v>
      </c>
      <c r="E19214" t="b">
        <v>0</v>
      </c>
      <c r="F19214" t="s">
        <v>11624</v>
      </c>
      <c r="G19214">
        <v>-3.4244599999999998</v>
      </c>
      <c r="H19214">
        <v>142.36699999999999</v>
      </c>
      <c r="I19214" t="s">
        <v>57354</v>
      </c>
      <c r="L19214">
        <v>0</v>
      </c>
      <c r="M19214">
        <v>0</v>
      </c>
      <c r="N19214">
        <v>0</v>
      </c>
      <c r="O19214" t="s">
        <v>11660</v>
      </c>
    </row>
    <row r="19215" spans="1:15">
      <c r="A19215" t="s">
        <v>57355</v>
      </c>
      <c r="B19215" t="s">
        <v>11615</v>
      </c>
      <c r="C19215" t="s">
        <v>31204</v>
      </c>
      <c r="D19215" t="s">
        <v>57356</v>
      </c>
      <c r="E19215" t="b">
        <v>0</v>
      </c>
      <c r="F19215" t="s">
        <v>11610</v>
      </c>
      <c r="L19215">
        <v>0</v>
      </c>
      <c r="M19215">
        <v>0</v>
      </c>
      <c r="N19215">
        <v>0</v>
      </c>
    </row>
    <row r="19216" spans="1:15">
      <c r="A19216" t="s">
        <v>24863</v>
      </c>
      <c r="B19216" t="s">
        <v>11615</v>
      </c>
      <c r="C19216" t="s">
        <v>29487</v>
      </c>
      <c r="D19216" t="s">
        <v>57357</v>
      </c>
      <c r="E19216" t="b">
        <v>0</v>
      </c>
      <c r="F19216" t="s">
        <v>11624</v>
      </c>
      <c r="G19216">
        <v>-6.0872799999999998</v>
      </c>
      <c r="H19216">
        <v>145.03200000000001</v>
      </c>
      <c r="I19216" t="s">
        <v>57358</v>
      </c>
      <c r="L19216">
        <v>0</v>
      </c>
      <c r="M19216">
        <v>0</v>
      </c>
      <c r="N19216">
        <v>7</v>
      </c>
      <c r="O19216" t="s">
        <v>11660</v>
      </c>
    </row>
    <row r="19217" spans="1:15">
      <c r="A19217" t="s">
        <v>31672</v>
      </c>
      <c r="B19217" t="s">
        <v>367</v>
      </c>
      <c r="C19217" t="s">
        <v>21562</v>
      </c>
      <c r="D19217" t="s">
        <v>57359</v>
      </c>
      <c r="E19217" t="b">
        <v>0</v>
      </c>
      <c r="F19217" t="s">
        <v>11622</v>
      </c>
      <c r="L19217">
        <v>1</v>
      </c>
      <c r="M19217">
        <v>3</v>
      </c>
      <c r="N19217">
        <v>29</v>
      </c>
    </row>
    <row r="19218" spans="1:15">
      <c r="A19218" t="s">
        <v>57360</v>
      </c>
      <c r="B19218" t="s">
        <v>11981</v>
      </c>
      <c r="C19218" t="s">
        <v>11982</v>
      </c>
      <c r="D19218" t="s">
        <v>57361</v>
      </c>
      <c r="E19218" t="b">
        <v>0</v>
      </c>
      <c r="F19218" t="s">
        <v>11624</v>
      </c>
      <c r="G19218">
        <v>-5.9547189999999999</v>
      </c>
      <c r="H19218">
        <v>145.025508</v>
      </c>
      <c r="L19218">
        <v>0</v>
      </c>
      <c r="M19218">
        <v>0</v>
      </c>
      <c r="N19218">
        <v>0</v>
      </c>
      <c r="O19218" t="s">
        <v>11660</v>
      </c>
    </row>
    <row r="19219" spans="1:15">
      <c r="A19219" t="s">
        <v>15719</v>
      </c>
      <c r="B19219" t="s">
        <v>11637</v>
      </c>
      <c r="C19219" t="s">
        <v>33955</v>
      </c>
      <c r="D19219" t="s">
        <v>57362</v>
      </c>
      <c r="E19219" t="b">
        <v>0</v>
      </c>
      <c r="F19219" t="s">
        <v>11624</v>
      </c>
      <c r="G19219">
        <v>24.540800000000001</v>
      </c>
      <c r="H19219">
        <v>69.000799999999998</v>
      </c>
      <c r="I19219" t="s">
        <v>57363</v>
      </c>
      <c r="L19219">
        <v>0</v>
      </c>
      <c r="M19219">
        <v>0</v>
      </c>
      <c r="N19219">
        <v>4</v>
      </c>
      <c r="O19219" t="s">
        <v>12172</v>
      </c>
    </row>
    <row r="19220" spans="1:15">
      <c r="A19220" t="s">
        <v>57364</v>
      </c>
      <c r="B19220" t="s">
        <v>11637</v>
      </c>
      <c r="C19220" t="s">
        <v>15719</v>
      </c>
      <c r="D19220" t="s">
        <v>57365</v>
      </c>
      <c r="E19220" t="b">
        <v>0</v>
      </c>
      <c r="F19220" t="s">
        <v>11610</v>
      </c>
      <c r="L19220">
        <v>0</v>
      </c>
      <c r="M19220">
        <v>0</v>
      </c>
      <c r="N19220">
        <v>0</v>
      </c>
    </row>
    <row r="19221" spans="1:15">
      <c r="A19221" t="s">
        <v>7239</v>
      </c>
      <c r="B19221" t="s">
        <v>11637</v>
      </c>
      <c r="C19221" t="s">
        <v>33955</v>
      </c>
      <c r="D19221" t="s">
        <v>7238</v>
      </c>
      <c r="E19221" t="b">
        <v>0</v>
      </c>
      <c r="F19221" t="s">
        <v>11624</v>
      </c>
      <c r="G19221">
        <v>26</v>
      </c>
      <c r="H19221">
        <v>69</v>
      </c>
      <c r="I19221" t="s">
        <v>7240</v>
      </c>
      <c r="L19221">
        <v>0</v>
      </c>
      <c r="M19221">
        <v>0</v>
      </c>
      <c r="N19221">
        <v>9</v>
      </c>
      <c r="O19221" t="s">
        <v>15870</v>
      </c>
    </row>
    <row r="19222" spans="1:15">
      <c r="A19222" t="s">
        <v>57366</v>
      </c>
      <c r="B19222" t="s">
        <v>11637</v>
      </c>
      <c r="C19222" t="s">
        <v>7239</v>
      </c>
      <c r="D19222" t="s">
        <v>57367</v>
      </c>
      <c r="E19222" t="b">
        <v>0</v>
      </c>
      <c r="F19222" t="s">
        <v>11610</v>
      </c>
      <c r="L19222">
        <v>0</v>
      </c>
      <c r="M19222">
        <v>0</v>
      </c>
      <c r="N19222">
        <v>0</v>
      </c>
    </row>
    <row r="19223" spans="1:15">
      <c r="A19223" t="s">
        <v>57368</v>
      </c>
      <c r="B19223" t="s">
        <v>11644</v>
      </c>
      <c r="C19223" t="s">
        <v>25974</v>
      </c>
      <c r="D19223" t="s">
        <v>57369</v>
      </c>
      <c r="E19223" t="b">
        <v>0</v>
      </c>
      <c r="F19223" t="s">
        <v>11610</v>
      </c>
      <c r="L19223">
        <v>0</v>
      </c>
      <c r="M19223">
        <v>0</v>
      </c>
      <c r="N19223">
        <v>0</v>
      </c>
    </row>
    <row r="19224" spans="1:15">
      <c r="A19224" t="s">
        <v>57370</v>
      </c>
      <c r="B19224" t="s">
        <v>11644</v>
      </c>
      <c r="C19224" t="s">
        <v>15856</v>
      </c>
      <c r="D19224" t="s">
        <v>57371</v>
      </c>
      <c r="E19224" t="b">
        <v>0</v>
      </c>
      <c r="F19224" t="s">
        <v>11610</v>
      </c>
      <c r="L19224">
        <v>0</v>
      </c>
      <c r="M19224">
        <v>0</v>
      </c>
      <c r="N19224">
        <v>0</v>
      </c>
    </row>
    <row r="19225" spans="1:15">
      <c r="A19225" t="s">
        <v>57372</v>
      </c>
      <c r="B19225" t="s">
        <v>6742</v>
      </c>
      <c r="C19225" t="s">
        <v>19747</v>
      </c>
      <c r="D19225" t="s">
        <v>57373</v>
      </c>
      <c r="E19225" t="b">
        <v>0</v>
      </c>
      <c r="F19225" t="s">
        <v>11610</v>
      </c>
      <c r="L19225">
        <v>0</v>
      </c>
      <c r="M19225">
        <v>0</v>
      </c>
      <c r="N19225">
        <v>0</v>
      </c>
    </row>
    <row r="19226" spans="1:15">
      <c r="A19226" t="s">
        <v>57374</v>
      </c>
      <c r="B19226" t="s">
        <v>11879</v>
      </c>
      <c r="C19226" t="s">
        <v>31647</v>
      </c>
      <c r="D19226" t="s">
        <v>57375</v>
      </c>
      <c r="E19226" t="b">
        <v>0</v>
      </c>
      <c r="F19226" t="s">
        <v>11624</v>
      </c>
      <c r="G19226">
        <v>17.02</v>
      </c>
      <c r="H19226">
        <v>-97.303600000000003</v>
      </c>
      <c r="I19226" t="s">
        <v>57376</v>
      </c>
      <c r="L19226">
        <v>0</v>
      </c>
      <c r="M19226">
        <v>0</v>
      </c>
      <c r="N19226">
        <v>0</v>
      </c>
      <c r="O19226" t="s">
        <v>11883</v>
      </c>
    </row>
    <row r="19227" spans="1:15">
      <c r="A19227" t="s">
        <v>1290</v>
      </c>
      <c r="B19227" t="s">
        <v>11637</v>
      </c>
      <c r="C19227" t="s">
        <v>22744</v>
      </c>
      <c r="D19227" t="s">
        <v>57377</v>
      </c>
      <c r="E19227" t="b">
        <v>0</v>
      </c>
      <c r="F19227" t="s">
        <v>11622</v>
      </c>
      <c r="L19227">
        <v>8</v>
      </c>
      <c r="M19227">
        <v>18</v>
      </c>
      <c r="N19227">
        <v>39</v>
      </c>
    </row>
    <row r="19228" spans="1:15">
      <c r="A19228" t="s">
        <v>33955</v>
      </c>
      <c r="B19228" t="s">
        <v>11637</v>
      </c>
      <c r="C19228" t="s">
        <v>1290</v>
      </c>
      <c r="D19228" t="s">
        <v>57378</v>
      </c>
      <c r="E19228" t="b">
        <v>0</v>
      </c>
      <c r="F19228" t="s">
        <v>11622</v>
      </c>
      <c r="L19228">
        <v>2</v>
      </c>
      <c r="M19228">
        <v>9</v>
      </c>
      <c r="N19228">
        <v>14</v>
      </c>
    </row>
    <row r="19229" spans="1:15">
      <c r="A19229" t="s">
        <v>57379</v>
      </c>
      <c r="B19229" t="s">
        <v>11627</v>
      </c>
      <c r="C19229" t="s">
        <v>11627</v>
      </c>
      <c r="D19229" t="s">
        <v>57380</v>
      </c>
      <c r="E19229" t="b">
        <v>1</v>
      </c>
      <c r="F19229" t="s">
        <v>11624</v>
      </c>
      <c r="I19229" t="s">
        <v>57381</v>
      </c>
      <c r="L19229">
        <v>0</v>
      </c>
      <c r="M19229">
        <v>0</v>
      </c>
      <c r="N19229">
        <v>0</v>
      </c>
    </row>
    <row r="19230" spans="1:15">
      <c r="A19230" t="s">
        <v>57382</v>
      </c>
      <c r="B19230" t="s">
        <v>6742</v>
      </c>
      <c r="C19230" t="s">
        <v>25711</v>
      </c>
      <c r="D19230" t="s">
        <v>57383</v>
      </c>
      <c r="E19230" t="b">
        <v>0</v>
      </c>
      <c r="F19230" t="s">
        <v>11610</v>
      </c>
      <c r="L19230">
        <v>0</v>
      </c>
      <c r="M19230">
        <v>0</v>
      </c>
      <c r="N19230">
        <v>0</v>
      </c>
    </row>
    <row r="19231" spans="1:15">
      <c r="A19231" t="s">
        <v>57384</v>
      </c>
      <c r="B19231" t="s">
        <v>11627</v>
      </c>
      <c r="C19231" t="s">
        <v>11627</v>
      </c>
      <c r="D19231" t="s">
        <v>57385</v>
      </c>
      <c r="E19231" t="b">
        <v>1</v>
      </c>
      <c r="F19231" t="s">
        <v>11624</v>
      </c>
      <c r="G19231">
        <v>1.3306899999999999</v>
      </c>
      <c r="H19231">
        <v>103.864</v>
      </c>
      <c r="I19231" t="s">
        <v>57386</v>
      </c>
      <c r="L19231">
        <v>0</v>
      </c>
      <c r="M19231">
        <v>0</v>
      </c>
      <c r="N19231">
        <v>0</v>
      </c>
      <c r="O19231" t="s">
        <v>57387</v>
      </c>
    </row>
    <row r="19232" spans="1:15">
      <c r="A19232" t="s">
        <v>57388</v>
      </c>
      <c r="B19232" t="s">
        <v>367</v>
      </c>
      <c r="C19232" t="s">
        <v>5330</v>
      </c>
      <c r="D19232" t="s">
        <v>57389</v>
      </c>
      <c r="E19232" t="b">
        <v>0</v>
      </c>
      <c r="F19232" t="s">
        <v>11610</v>
      </c>
      <c r="L19232">
        <v>0</v>
      </c>
      <c r="M19232">
        <v>0</v>
      </c>
      <c r="N19232">
        <v>0</v>
      </c>
    </row>
    <row r="19233" spans="1:15">
      <c r="A19233" t="s">
        <v>57390</v>
      </c>
      <c r="B19233" t="s">
        <v>11644</v>
      </c>
      <c r="C19233" t="s">
        <v>16039</v>
      </c>
      <c r="D19233" t="s">
        <v>57391</v>
      </c>
      <c r="E19233" t="b">
        <v>0</v>
      </c>
      <c r="F19233" t="s">
        <v>11610</v>
      </c>
      <c r="L19233">
        <v>0</v>
      </c>
      <c r="M19233">
        <v>0</v>
      </c>
      <c r="N19233">
        <v>0</v>
      </c>
    </row>
    <row r="19234" spans="1:15">
      <c r="A19234" t="s">
        <v>49164</v>
      </c>
      <c r="B19234" t="s">
        <v>11644</v>
      </c>
      <c r="C19234" t="s">
        <v>33547</v>
      </c>
      <c r="D19234" t="s">
        <v>57392</v>
      </c>
      <c r="E19234" t="b">
        <v>0</v>
      </c>
      <c r="F19234" t="s">
        <v>11624</v>
      </c>
      <c r="G19234">
        <v>27.295999999999999</v>
      </c>
      <c r="H19234">
        <v>95.605999999999995</v>
      </c>
      <c r="I19234" t="s">
        <v>57393</v>
      </c>
      <c r="L19234">
        <v>0</v>
      </c>
      <c r="M19234">
        <v>0</v>
      </c>
      <c r="N19234">
        <v>6</v>
      </c>
      <c r="O19234" t="s">
        <v>11630</v>
      </c>
    </row>
    <row r="19235" spans="1:15">
      <c r="A19235" t="s">
        <v>57394</v>
      </c>
      <c r="B19235" t="s">
        <v>6742</v>
      </c>
      <c r="C19235" t="s">
        <v>24707</v>
      </c>
      <c r="D19235" t="s">
        <v>57395</v>
      </c>
      <c r="E19235" t="b">
        <v>0</v>
      </c>
      <c r="F19235" t="s">
        <v>11610</v>
      </c>
      <c r="L19235">
        <v>0</v>
      </c>
      <c r="M19235">
        <v>0</v>
      </c>
      <c r="N19235">
        <v>0</v>
      </c>
    </row>
    <row r="19236" spans="1:15">
      <c r="A19236" t="s">
        <v>57396</v>
      </c>
      <c r="B19236" t="s">
        <v>6742</v>
      </c>
      <c r="C19236" t="s">
        <v>28532</v>
      </c>
      <c r="D19236" t="s">
        <v>57397</v>
      </c>
      <c r="E19236" t="b">
        <v>0</v>
      </c>
      <c r="F19236" t="s">
        <v>11624</v>
      </c>
      <c r="G19236">
        <v>-0.24587000000000001</v>
      </c>
      <c r="H19236">
        <v>33.899700000000003</v>
      </c>
      <c r="I19236" t="s">
        <v>57398</v>
      </c>
      <c r="L19236">
        <v>0</v>
      </c>
      <c r="M19236">
        <v>0</v>
      </c>
      <c r="N19236">
        <v>0</v>
      </c>
      <c r="O19236" t="s">
        <v>25786</v>
      </c>
    </row>
    <row r="19237" spans="1:15">
      <c r="A19237" t="s">
        <v>57399</v>
      </c>
      <c r="B19237" t="s">
        <v>367</v>
      </c>
      <c r="C19237" t="s">
        <v>5309</v>
      </c>
      <c r="D19237" t="s">
        <v>57400</v>
      </c>
      <c r="E19237" t="b">
        <v>0</v>
      </c>
      <c r="F19237" t="s">
        <v>11610</v>
      </c>
      <c r="L19237">
        <v>0</v>
      </c>
      <c r="M19237">
        <v>0</v>
      </c>
      <c r="N19237">
        <v>0</v>
      </c>
    </row>
    <row r="19238" spans="1:15">
      <c r="A19238" t="s">
        <v>57401</v>
      </c>
      <c r="B19238" t="s">
        <v>367</v>
      </c>
      <c r="C19238" t="s">
        <v>42071</v>
      </c>
      <c r="D19238" t="s">
        <v>57402</v>
      </c>
      <c r="E19238" t="b">
        <v>0</v>
      </c>
      <c r="F19238" t="s">
        <v>11610</v>
      </c>
      <c r="L19238">
        <v>0</v>
      </c>
      <c r="M19238">
        <v>0</v>
      </c>
      <c r="N19238">
        <v>0</v>
      </c>
    </row>
    <row r="19239" spans="1:15">
      <c r="A19239" t="s">
        <v>57403</v>
      </c>
      <c r="B19239" t="s">
        <v>367</v>
      </c>
      <c r="C19239" t="s">
        <v>14866</v>
      </c>
      <c r="D19239" t="s">
        <v>57404</v>
      </c>
      <c r="E19239" t="b">
        <v>0</v>
      </c>
      <c r="F19239" t="s">
        <v>11610</v>
      </c>
      <c r="L19239">
        <v>0</v>
      </c>
      <c r="M19239">
        <v>0</v>
      </c>
      <c r="N19239">
        <v>0</v>
      </c>
    </row>
    <row r="19240" spans="1:15">
      <c r="A19240" t="s">
        <v>33119</v>
      </c>
      <c r="B19240" t="s">
        <v>367</v>
      </c>
      <c r="C19240" t="s">
        <v>18177</v>
      </c>
      <c r="D19240" t="s">
        <v>57405</v>
      </c>
      <c r="E19240" t="b">
        <v>0</v>
      </c>
      <c r="F19240" t="s">
        <v>11622</v>
      </c>
      <c r="L19240">
        <v>0</v>
      </c>
      <c r="M19240">
        <v>9</v>
      </c>
      <c r="N19240">
        <v>6</v>
      </c>
    </row>
    <row r="19241" spans="1:15">
      <c r="A19241" t="s">
        <v>57406</v>
      </c>
      <c r="B19241" t="s">
        <v>11644</v>
      </c>
      <c r="C19241" t="s">
        <v>18428</v>
      </c>
      <c r="D19241" t="s">
        <v>57407</v>
      </c>
      <c r="E19241" t="b">
        <v>0</v>
      </c>
      <c r="F19241" t="s">
        <v>11610</v>
      </c>
      <c r="L19241">
        <v>0</v>
      </c>
      <c r="M19241">
        <v>0</v>
      </c>
      <c r="N19241">
        <v>0</v>
      </c>
    </row>
    <row r="19242" spans="1:15">
      <c r="A19242" t="s">
        <v>57408</v>
      </c>
      <c r="B19242" t="s">
        <v>11637</v>
      </c>
      <c r="C19242" t="s">
        <v>180</v>
      </c>
      <c r="D19242" t="s">
        <v>57409</v>
      </c>
      <c r="E19242" t="b">
        <v>0</v>
      </c>
      <c r="F19242" t="s">
        <v>11610</v>
      </c>
      <c r="L19242">
        <v>0</v>
      </c>
      <c r="M19242">
        <v>0</v>
      </c>
      <c r="N19242">
        <v>0</v>
      </c>
    </row>
    <row r="19243" spans="1:15">
      <c r="A19243" t="s">
        <v>24653</v>
      </c>
      <c r="B19243" t="s">
        <v>11637</v>
      </c>
      <c r="C19243" t="s">
        <v>18494</v>
      </c>
      <c r="D19243" t="s">
        <v>57410</v>
      </c>
      <c r="E19243" t="b">
        <v>0</v>
      </c>
      <c r="F19243" t="s">
        <v>11622</v>
      </c>
      <c r="L19243">
        <v>1</v>
      </c>
      <c r="M19243">
        <v>3</v>
      </c>
      <c r="N19243">
        <v>1</v>
      </c>
    </row>
    <row r="19244" spans="1:15">
      <c r="A19244" t="s">
        <v>54634</v>
      </c>
      <c r="B19244" t="s">
        <v>11637</v>
      </c>
      <c r="C19244" t="s">
        <v>57411</v>
      </c>
      <c r="D19244" t="s">
        <v>57412</v>
      </c>
      <c r="E19244" t="b">
        <v>0</v>
      </c>
      <c r="F19244" t="s">
        <v>11624</v>
      </c>
      <c r="G19244">
        <v>8</v>
      </c>
      <c r="H19244">
        <v>81</v>
      </c>
      <c r="I19244" t="s">
        <v>57413</v>
      </c>
      <c r="L19244">
        <v>0</v>
      </c>
      <c r="M19244">
        <v>0</v>
      </c>
      <c r="N19244">
        <v>1</v>
      </c>
      <c r="O19244" t="s">
        <v>57414</v>
      </c>
    </row>
    <row r="19245" spans="1:15">
      <c r="A19245" t="s">
        <v>57411</v>
      </c>
      <c r="B19245" t="s">
        <v>11637</v>
      </c>
      <c r="C19245" t="s">
        <v>24653</v>
      </c>
      <c r="D19245" t="s">
        <v>57415</v>
      </c>
      <c r="E19245" t="b">
        <v>0</v>
      </c>
      <c r="F19245" t="s">
        <v>11622</v>
      </c>
      <c r="L19245">
        <v>0</v>
      </c>
      <c r="M19245">
        <v>2</v>
      </c>
      <c r="N19245">
        <v>1</v>
      </c>
    </row>
    <row r="19246" spans="1:15">
      <c r="A19246" t="s">
        <v>57416</v>
      </c>
      <c r="B19246" t="s">
        <v>13276</v>
      </c>
      <c r="C19246" t="s">
        <v>57417</v>
      </c>
      <c r="D19246" t="s">
        <v>57418</v>
      </c>
      <c r="E19246" t="b">
        <v>0</v>
      </c>
      <c r="F19246" t="s">
        <v>11624</v>
      </c>
      <c r="G19246">
        <v>13.720599999999999</v>
      </c>
      <c r="H19246">
        <v>-0.78771999999999998</v>
      </c>
      <c r="I19246" t="s">
        <v>57419</v>
      </c>
      <c r="L19246">
        <v>0</v>
      </c>
      <c r="M19246">
        <v>0</v>
      </c>
      <c r="N19246">
        <v>0</v>
      </c>
      <c r="O19246" t="s">
        <v>19305</v>
      </c>
    </row>
    <row r="19247" spans="1:15">
      <c r="A19247" t="s">
        <v>57420</v>
      </c>
      <c r="B19247" t="s">
        <v>11879</v>
      </c>
      <c r="C19247" t="s">
        <v>14974</v>
      </c>
      <c r="D19247" t="s">
        <v>57421</v>
      </c>
      <c r="E19247" t="b">
        <v>0</v>
      </c>
      <c r="F19247" t="s">
        <v>11624</v>
      </c>
      <c r="G19247">
        <v>17.221800000000002</v>
      </c>
      <c r="H19247">
        <v>-97.590400000000002</v>
      </c>
      <c r="I19247" t="s">
        <v>57422</v>
      </c>
      <c r="L19247">
        <v>0</v>
      </c>
      <c r="M19247">
        <v>0</v>
      </c>
      <c r="N19247">
        <v>0</v>
      </c>
      <c r="O19247" t="s">
        <v>11883</v>
      </c>
    </row>
    <row r="19248" spans="1:15">
      <c r="A19248" t="s">
        <v>23123</v>
      </c>
      <c r="B19248" t="s">
        <v>11644</v>
      </c>
      <c r="C19248" t="s">
        <v>11644</v>
      </c>
      <c r="D19248" t="s">
        <v>57423</v>
      </c>
      <c r="E19248" t="b">
        <v>0</v>
      </c>
      <c r="F19248" t="s">
        <v>11622</v>
      </c>
      <c r="L19248">
        <v>11</v>
      </c>
      <c r="M19248">
        <v>26</v>
      </c>
      <c r="N19248">
        <v>198</v>
      </c>
    </row>
    <row r="19249" spans="1:15">
      <c r="A19249" t="s">
        <v>57424</v>
      </c>
      <c r="B19249" t="s">
        <v>11637</v>
      </c>
      <c r="C19249" t="s">
        <v>14869</v>
      </c>
      <c r="D19249" t="s">
        <v>57425</v>
      </c>
      <c r="E19249" t="b">
        <v>0</v>
      </c>
      <c r="F19249" t="s">
        <v>11610</v>
      </c>
      <c r="L19249">
        <v>0</v>
      </c>
      <c r="M19249">
        <v>0</v>
      </c>
      <c r="N19249">
        <v>0</v>
      </c>
    </row>
    <row r="19250" spans="1:15">
      <c r="A19250" t="s">
        <v>57426</v>
      </c>
      <c r="B19250" t="s">
        <v>367</v>
      </c>
      <c r="C19250" t="s">
        <v>17148</v>
      </c>
      <c r="D19250" t="s">
        <v>57427</v>
      </c>
      <c r="E19250" t="b">
        <v>0</v>
      </c>
      <c r="F19250" t="s">
        <v>11610</v>
      </c>
      <c r="L19250">
        <v>0</v>
      </c>
      <c r="M19250">
        <v>0</v>
      </c>
      <c r="N19250">
        <v>0</v>
      </c>
    </row>
    <row r="19251" spans="1:15">
      <c r="A19251" t="s">
        <v>57428</v>
      </c>
      <c r="B19251" t="s">
        <v>5126</v>
      </c>
      <c r="C19251" t="s">
        <v>14846</v>
      </c>
      <c r="D19251" t="s">
        <v>57429</v>
      </c>
      <c r="E19251" t="b">
        <v>0</v>
      </c>
      <c r="F19251" t="s">
        <v>11610</v>
      </c>
      <c r="L19251">
        <v>0</v>
      </c>
      <c r="M19251">
        <v>0</v>
      </c>
      <c r="N19251">
        <v>0</v>
      </c>
    </row>
    <row r="19252" spans="1:15">
      <c r="A19252" t="s">
        <v>57430</v>
      </c>
      <c r="B19252" t="s">
        <v>6742</v>
      </c>
      <c r="C19252" t="s">
        <v>33700</v>
      </c>
      <c r="D19252" t="s">
        <v>57431</v>
      </c>
      <c r="E19252" t="b">
        <v>0</v>
      </c>
      <c r="F19252" t="s">
        <v>11610</v>
      </c>
      <c r="L19252">
        <v>0</v>
      </c>
      <c r="M19252">
        <v>0</v>
      </c>
      <c r="N19252">
        <v>0</v>
      </c>
    </row>
    <row r="19253" spans="1:15">
      <c r="A19253" t="s">
        <v>11644</v>
      </c>
      <c r="D19253" t="s">
        <v>57432</v>
      </c>
      <c r="E19253" t="b">
        <v>0</v>
      </c>
      <c r="F19253" t="s">
        <v>11622</v>
      </c>
      <c r="L19253">
        <v>290</v>
      </c>
      <c r="M19253">
        <v>494</v>
      </c>
      <c r="N19253">
        <v>941</v>
      </c>
    </row>
    <row r="19254" spans="1:15">
      <c r="A19254" t="s">
        <v>36131</v>
      </c>
      <c r="B19254" t="s">
        <v>11644</v>
      </c>
      <c r="C19254" t="s">
        <v>42978</v>
      </c>
      <c r="D19254" t="s">
        <v>57433</v>
      </c>
      <c r="E19254" t="b">
        <v>0</v>
      </c>
      <c r="F19254" t="s">
        <v>11622</v>
      </c>
      <c r="L19254">
        <v>0</v>
      </c>
      <c r="M19254">
        <v>4</v>
      </c>
      <c r="N19254">
        <v>3</v>
      </c>
    </row>
    <row r="19255" spans="1:15">
      <c r="A19255" t="s">
        <v>14715</v>
      </c>
      <c r="B19255" t="s">
        <v>11615</v>
      </c>
      <c r="C19255" t="s">
        <v>25543</v>
      </c>
      <c r="D19255" t="s">
        <v>57434</v>
      </c>
      <c r="E19255" t="b">
        <v>0</v>
      </c>
      <c r="F19255" t="s">
        <v>11624</v>
      </c>
      <c r="G19255">
        <v>-5.6433600000000004</v>
      </c>
      <c r="H19255">
        <v>145.59899999999999</v>
      </c>
      <c r="I19255" t="s">
        <v>57435</v>
      </c>
      <c r="L19255">
        <v>0</v>
      </c>
      <c r="M19255">
        <v>0</v>
      </c>
      <c r="N19255">
        <v>2</v>
      </c>
      <c r="O19255" t="s">
        <v>11660</v>
      </c>
    </row>
    <row r="19256" spans="1:15">
      <c r="A19256" t="s">
        <v>28286</v>
      </c>
      <c r="B19256" t="s">
        <v>11637</v>
      </c>
      <c r="C19256" t="s">
        <v>34461</v>
      </c>
      <c r="D19256" t="s">
        <v>57436</v>
      </c>
      <c r="E19256" t="b">
        <v>0</v>
      </c>
      <c r="F19256" t="s">
        <v>11624</v>
      </c>
      <c r="G19256">
        <v>48.7</v>
      </c>
      <c r="H19256">
        <v>9.4</v>
      </c>
      <c r="I19256" t="s">
        <v>57437</v>
      </c>
      <c r="L19256">
        <v>0</v>
      </c>
      <c r="M19256">
        <v>0</v>
      </c>
      <c r="N19256">
        <v>15</v>
      </c>
      <c r="O19256" t="s">
        <v>57438</v>
      </c>
    </row>
    <row r="19257" spans="1:15">
      <c r="A19257" t="s">
        <v>57439</v>
      </c>
      <c r="B19257" t="s">
        <v>11729</v>
      </c>
      <c r="C19257" t="s">
        <v>19465</v>
      </c>
      <c r="D19257" t="s">
        <v>57440</v>
      </c>
      <c r="E19257" t="b">
        <v>0</v>
      </c>
      <c r="F19257" t="s">
        <v>11624</v>
      </c>
      <c r="G19257">
        <v>12.189500000000001</v>
      </c>
      <c r="H19257">
        <v>22.527799999999999</v>
      </c>
      <c r="I19257" t="s">
        <v>57441</v>
      </c>
      <c r="L19257">
        <v>0</v>
      </c>
      <c r="M19257">
        <v>0</v>
      </c>
      <c r="N19257">
        <v>0</v>
      </c>
      <c r="O19257" t="s">
        <v>24193</v>
      </c>
    </row>
    <row r="19258" spans="1:15">
      <c r="A19258" t="s">
        <v>57442</v>
      </c>
      <c r="B19258" t="s">
        <v>367</v>
      </c>
      <c r="C19258" t="s">
        <v>42364</v>
      </c>
      <c r="D19258" t="s">
        <v>57443</v>
      </c>
      <c r="E19258" t="b">
        <v>0</v>
      </c>
      <c r="F19258" t="s">
        <v>11610</v>
      </c>
      <c r="L19258">
        <v>0</v>
      </c>
      <c r="M19258">
        <v>0</v>
      </c>
      <c r="N19258">
        <v>0</v>
      </c>
    </row>
    <row r="19259" spans="1:15">
      <c r="A19259" t="s">
        <v>57444</v>
      </c>
      <c r="B19259" t="s">
        <v>367</v>
      </c>
      <c r="C19259" t="s">
        <v>30067</v>
      </c>
      <c r="D19259" t="s">
        <v>57445</v>
      </c>
      <c r="E19259" t="b">
        <v>0</v>
      </c>
      <c r="F19259" t="s">
        <v>11610</v>
      </c>
      <c r="L19259">
        <v>0</v>
      </c>
      <c r="M19259">
        <v>0</v>
      </c>
      <c r="N19259">
        <v>0</v>
      </c>
    </row>
    <row r="19260" spans="1:15">
      <c r="A19260" t="s">
        <v>57446</v>
      </c>
      <c r="B19260" t="s">
        <v>2975</v>
      </c>
      <c r="C19260" t="s">
        <v>41431</v>
      </c>
      <c r="D19260" t="s">
        <v>57447</v>
      </c>
      <c r="E19260" t="b">
        <v>0</v>
      </c>
      <c r="F19260" t="s">
        <v>11624</v>
      </c>
      <c r="G19260">
        <v>0.31733</v>
      </c>
      <c r="H19260">
        <v>-76.023700000000005</v>
      </c>
      <c r="I19260" t="s">
        <v>57448</v>
      </c>
      <c r="L19260">
        <v>0</v>
      </c>
      <c r="M19260">
        <v>0</v>
      </c>
      <c r="N19260">
        <v>0</v>
      </c>
      <c r="O19260" t="s">
        <v>15308</v>
      </c>
    </row>
    <row r="19261" spans="1:15">
      <c r="A19261" t="s">
        <v>41431</v>
      </c>
      <c r="B19261" t="s">
        <v>2975</v>
      </c>
      <c r="C19261" t="s">
        <v>23424</v>
      </c>
      <c r="D19261" t="s">
        <v>57449</v>
      </c>
      <c r="E19261" t="b">
        <v>0</v>
      </c>
      <c r="F19261" t="s">
        <v>11622</v>
      </c>
      <c r="L19261">
        <v>0</v>
      </c>
      <c r="M19261">
        <v>4</v>
      </c>
      <c r="N19261">
        <v>2</v>
      </c>
    </row>
    <row r="19262" spans="1:15">
      <c r="A19262" t="s">
        <v>57450</v>
      </c>
      <c r="B19262" t="s">
        <v>367</v>
      </c>
      <c r="C19262" t="s">
        <v>17862</v>
      </c>
      <c r="D19262" t="s">
        <v>5490</v>
      </c>
      <c r="E19262" t="b">
        <v>0</v>
      </c>
      <c r="F19262" t="s">
        <v>11624</v>
      </c>
      <c r="G19262">
        <v>-5.9603700000000002</v>
      </c>
      <c r="H19262">
        <v>147.35300000000001</v>
      </c>
      <c r="I19262" t="s">
        <v>57451</v>
      </c>
      <c r="L19262">
        <v>0</v>
      </c>
      <c r="M19262">
        <v>0</v>
      </c>
      <c r="N19262">
        <v>0</v>
      </c>
      <c r="O19262" t="s">
        <v>11660</v>
      </c>
    </row>
    <row r="19263" spans="1:15">
      <c r="A19263" t="s">
        <v>57452</v>
      </c>
      <c r="B19263" t="s">
        <v>6742</v>
      </c>
      <c r="C19263" t="s">
        <v>29310</v>
      </c>
      <c r="D19263" t="s">
        <v>57453</v>
      </c>
      <c r="E19263" t="b">
        <v>0</v>
      </c>
      <c r="F19263" t="s">
        <v>11610</v>
      </c>
      <c r="L19263">
        <v>0</v>
      </c>
      <c r="M19263">
        <v>0</v>
      </c>
      <c r="N19263">
        <v>0</v>
      </c>
    </row>
    <row r="19264" spans="1:15">
      <c r="A19264" t="s">
        <v>8897</v>
      </c>
      <c r="D19264" t="s">
        <v>57454</v>
      </c>
      <c r="E19264" t="b">
        <v>0</v>
      </c>
      <c r="F19264" t="s">
        <v>11622</v>
      </c>
      <c r="L19264">
        <v>11</v>
      </c>
      <c r="M19264">
        <v>18</v>
      </c>
      <c r="N19264">
        <v>12</v>
      </c>
    </row>
    <row r="19265" spans="1:15">
      <c r="A19265" t="s">
        <v>23903</v>
      </c>
      <c r="B19265" t="s">
        <v>8897</v>
      </c>
      <c r="C19265" t="s">
        <v>14872</v>
      </c>
      <c r="D19265" t="s">
        <v>57455</v>
      </c>
      <c r="E19265" t="b">
        <v>0</v>
      </c>
      <c r="F19265" t="s">
        <v>11622</v>
      </c>
      <c r="L19265">
        <v>0</v>
      </c>
      <c r="M19265">
        <v>2</v>
      </c>
      <c r="N19265">
        <v>3</v>
      </c>
    </row>
    <row r="19266" spans="1:15">
      <c r="A19266" t="s">
        <v>57456</v>
      </c>
      <c r="B19266" t="s">
        <v>11637</v>
      </c>
      <c r="C19266" t="s">
        <v>30498</v>
      </c>
      <c r="D19266" t="s">
        <v>57457</v>
      </c>
      <c r="E19266" t="b">
        <v>0</v>
      </c>
      <c r="F19266" t="s">
        <v>11610</v>
      </c>
      <c r="L19266">
        <v>0</v>
      </c>
      <c r="M19266">
        <v>0</v>
      </c>
      <c r="N19266">
        <v>0</v>
      </c>
    </row>
    <row r="19267" spans="1:15">
      <c r="A19267" t="s">
        <v>57458</v>
      </c>
      <c r="B19267" t="s">
        <v>5911</v>
      </c>
      <c r="C19267" t="s">
        <v>20914</v>
      </c>
      <c r="D19267" t="s">
        <v>57459</v>
      </c>
      <c r="E19267" t="b">
        <v>0</v>
      </c>
      <c r="F19267" t="s">
        <v>11624</v>
      </c>
      <c r="G19267">
        <v>15.23054</v>
      </c>
      <c r="H19267">
        <v>-91.704099999999997</v>
      </c>
      <c r="I19267" t="s">
        <v>57460</v>
      </c>
      <c r="L19267">
        <v>0</v>
      </c>
      <c r="M19267">
        <v>0</v>
      </c>
      <c r="N19267">
        <v>0</v>
      </c>
      <c r="O19267" t="s">
        <v>11927</v>
      </c>
    </row>
    <row r="19268" spans="1:15">
      <c r="A19268" t="s">
        <v>57461</v>
      </c>
      <c r="B19268" t="s">
        <v>367</v>
      </c>
      <c r="C19268" t="s">
        <v>19210</v>
      </c>
      <c r="D19268" t="s">
        <v>57462</v>
      </c>
      <c r="E19268" t="b">
        <v>0</v>
      </c>
      <c r="F19268" t="s">
        <v>11610</v>
      </c>
      <c r="L19268">
        <v>0</v>
      </c>
      <c r="M19268">
        <v>0</v>
      </c>
      <c r="N19268">
        <v>0</v>
      </c>
    </row>
    <row r="19269" spans="1:15">
      <c r="A19269" t="s">
        <v>57463</v>
      </c>
      <c r="B19269" t="s">
        <v>15142</v>
      </c>
      <c r="C19269" t="s">
        <v>16952</v>
      </c>
      <c r="D19269" t="s">
        <v>57464</v>
      </c>
      <c r="E19269" t="b">
        <v>0</v>
      </c>
      <c r="F19269" t="s">
        <v>11610</v>
      </c>
      <c r="L19269">
        <v>0</v>
      </c>
      <c r="M19269">
        <v>0</v>
      </c>
      <c r="N19269">
        <v>0</v>
      </c>
    </row>
    <row r="19270" spans="1:15">
      <c r="A19270" t="s">
        <v>57465</v>
      </c>
      <c r="B19270" t="s">
        <v>367</v>
      </c>
      <c r="C19270" t="s">
        <v>5322</v>
      </c>
      <c r="D19270" t="s">
        <v>57466</v>
      </c>
      <c r="E19270" t="b">
        <v>0</v>
      </c>
      <c r="F19270" t="s">
        <v>11610</v>
      </c>
      <c r="L19270">
        <v>0</v>
      </c>
      <c r="M19270">
        <v>0</v>
      </c>
      <c r="N19270">
        <v>0</v>
      </c>
    </row>
    <row r="19271" spans="1:15">
      <c r="A19271" t="s">
        <v>57467</v>
      </c>
      <c r="B19271" t="s">
        <v>367</v>
      </c>
      <c r="C19271" t="s">
        <v>16925</v>
      </c>
      <c r="D19271" t="s">
        <v>57468</v>
      </c>
      <c r="E19271" t="b">
        <v>0</v>
      </c>
      <c r="F19271" t="s">
        <v>11610</v>
      </c>
      <c r="L19271">
        <v>0</v>
      </c>
      <c r="M19271">
        <v>0</v>
      </c>
      <c r="N19271">
        <v>0</v>
      </c>
    </row>
    <row r="19272" spans="1:15">
      <c r="A19272" t="s">
        <v>57469</v>
      </c>
      <c r="B19272" t="s">
        <v>11607</v>
      </c>
      <c r="C19272" t="s">
        <v>57470</v>
      </c>
      <c r="D19272" t="s">
        <v>57471</v>
      </c>
      <c r="E19272" t="b">
        <v>0</v>
      </c>
      <c r="F19272" t="s">
        <v>11610</v>
      </c>
      <c r="L19272">
        <v>0</v>
      </c>
      <c r="M19272">
        <v>0</v>
      </c>
      <c r="N19272">
        <v>0</v>
      </c>
    </row>
    <row r="19273" spans="1:15">
      <c r="A19273" t="s">
        <v>57472</v>
      </c>
      <c r="B19273" t="s">
        <v>11637</v>
      </c>
      <c r="C19273" t="s">
        <v>24607</v>
      </c>
      <c r="D19273" t="s">
        <v>57473</v>
      </c>
      <c r="E19273" t="b">
        <v>0</v>
      </c>
      <c r="F19273" t="s">
        <v>11610</v>
      </c>
      <c r="L19273">
        <v>0</v>
      </c>
      <c r="M19273">
        <v>0</v>
      </c>
      <c r="N19273">
        <v>0</v>
      </c>
    </row>
    <row r="19274" spans="1:15">
      <c r="A19274" t="s">
        <v>57474</v>
      </c>
      <c r="B19274" t="s">
        <v>11637</v>
      </c>
      <c r="C19274" t="s">
        <v>15898</v>
      </c>
      <c r="D19274" t="s">
        <v>57475</v>
      </c>
      <c r="E19274" t="b">
        <v>0</v>
      </c>
      <c r="F19274" t="s">
        <v>11610</v>
      </c>
      <c r="L19274">
        <v>0</v>
      </c>
      <c r="M19274">
        <v>0</v>
      </c>
      <c r="N19274">
        <v>0</v>
      </c>
    </row>
    <row r="19275" spans="1:15">
      <c r="A19275" t="s">
        <v>57476</v>
      </c>
      <c r="B19275" t="s">
        <v>11637</v>
      </c>
      <c r="C19275" t="s">
        <v>16090</v>
      </c>
      <c r="D19275" t="s">
        <v>57477</v>
      </c>
      <c r="E19275" t="b">
        <v>0</v>
      </c>
      <c r="F19275" t="s">
        <v>11610</v>
      </c>
      <c r="L19275">
        <v>0</v>
      </c>
      <c r="M19275">
        <v>0</v>
      </c>
      <c r="N19275">
        <v>0</v>
      </c>
    </row>
    <row r="19276" spans="1:15">
      <c r="A19276" t="s">
        <v>57478</v>
      </c>
      <c r="B19276" t="s">
        <v>11637</v>
      </c>
      <c r="C19276" t="s">
        <v>16090</v>
      </c>
      <c r="D19276" t="s">
        <v>57479</v>
      </c>
      <c r="E19276" t="b">
        <v>0</v>
      </c>
      <c r="F19276" t="s">
        <v>11610</v>
      </c>
      <c r="L19276">
        <v>0</v>
      </c>
      <c r="M19276">
        <v>0</v>
      </c>
      <c r="N19276">
        <v>0</v>
      </c>
    </row>
    <row r="19277" spans="1:15">
      <c r="A19277" t="s">
        <v>57480</v>
      </c>
      <c r="B19277" t="s">
        <v>6742</v>
      </c>
      <c r="C19277" t="s">
        <v>16912</v>
      </c>
      <c r="D19277" t="s">
        <v>57481</v>
      </c>
      <c r="E19277" t="b">
        <v>0</v>
      </c>
      <c r="F19277" t="s">
        <v>11624</v>
      </c>
      <c r="G19277">
        <v>-1.78084</v>
      </c>
      <c r="H19277">
        <v>10.4635</v>
      </c>
      <c r="I19277" t="s">
        <v>57482</v>
      </c>
      <c r="L19277">
        <v>0</v>
      </c>
      <c r="M19277">
        <v>0</v>
      </c>
      <c r="N19277">
        <v>0</v>
      </c>
      <c r="O19277" t="s">
        <v>16915</v>
      </c>
    </row>
    <row r="19278" spans="1:15">
      <c r="A19278" t="s">
        <v>39155</v>
      </c>
      <c r="B19278" t="s">
        <v>367</v>
      </c>
      <c r="C19278" t="s">
        <v>21626</v>
      </c>
      <c r="D19278" t="s">
        <v>57483</v>
      </c>
      <c r="E19278" t="b">
        <v>0</v>
      </c>
      <c r="F19278" t="s">
        <v>11624</v>
      </c>
      <c r="G19278">
        <v>22.977699999999999</v>
      </c>
      <c r="H19278">
        <v>120.315</v>
      </c>
      <c r="I19278" t="s">
        <v>57484</v>
      </c>
      <c r="L19278">
        <v>0</v>
      </c>
      <c r="M19278">
        <v>0</v>
      </c>
      <c r="N19278">
        <v>5</v>
      </c>
      <c r="O19278" t="s">
        <v>13484</v>
      </c>
    </row>
    <row r="19279" spans="1:15">
      <c r="A19279" t="s">
        <v>16912</v>
      </c>
      <c r="B19279" t="s">
        <v>6742</v>
      </c>
      <c r="C19279" t="s">
        <v>55556</v>
      </c>
      <c r="D19279" t="s">
        <v>57485</v>
      </c>
      <c r="E19279" t="b">
        <v>0</v>
      </c>
      <c r="F19279" t="s">
        <v>11622</v>
      </c>
      <c r="L19279">
        <v>0</v>
      </c>
      <c r="M19279">
        <v>2</v>
      </c>
      <c r="N19279">
        <v>0</v>
      </c>
    </row>
    <row r="19280" spans="1:15">
      <c r="A19280" t="s">
        <v>7901</v>
      </c>
      <c r="B19280" t="s">
        <v>11637</v>
      </c>
      <c r="C19280" t="s">
        <v>31170</v>
      </c>
      <c r="D19280" t="s">
        <v>57486</v>
      </c>
      <c r="E19280" t="b">
        <v>0</v>
      </c>
      <c r="F19280" t="s">
        <v>11622</v>
      </c>
      <c r="L19280">
        <v>0</v>
      </c>
      <c r="M19280">
        <v>2</v>
      </c>
      <c r="N19280">
        <v>8</v>
      </c>
    </row>
    <row r="19281" spans="1:15">
      <c r="A19281" t="s">
        <v>57487</v>
      </c>
      <c r="B19281" t="s">
        <v>12254</v>
      </c>
      <c r="C19281" t="s">
        <v>12255</v>
      </c>
      <c r="D19281" t="s">
        <v>57488</v>
      </c>
      <c r="E19281" t="b">
        <v>0</v>
      </c>
      <c r="F19281" t="s">
        <v>11610</v>
      </c>
      <c r="L19281">
        <v>0</v>
      </c>
      <c r="M19281">
        <v>0</v>
      </c>
      <c r="N19281">
        <v>0</v>
      </c>
    </row>
    <row r="19282" spans="1:15">
      <c r="A19282" t="s">
        <v>57489</v>
      </c>
      <c r="B19282" t="s">
        <v>13014</v>
      </c>
      <c r="C19282" t="s">
        <v>27415</v>
      </c>
      <c r="D19282" t="s">
        <v>57490</v>
      </c>
      <c r="E19282" t="b">
        <v>0</v>
      </c>
      <c r="F19282" t="s">
        <v>11624</v>
      </c>
      <c r="G19282">
        <v>64.519199999999998</v>
      </c>
      <c r="H19282">
        <v>-173.92500000000001</v>
      </c>
      <c r="I19282" t="s">
        <v>57491</v>
      </c>
      <c r="L19282">
        <v>0</v>
      </c>
      <c r="M19282">
        <v>0</v>
      </c>
      <c r="N19282">
        <v>0</v>
      </c>
      <c r="O19282" t="s">
        <v>12748</v>
      </c>
    </row>
    <row r="19283" spans="1:15">
      <c r="A19283" t="s">
        <v>57492</v>
      </c>
      <c r="B19283" t="s">
        <v>12311</v>
      </c>
      <c r="C19283" t="s">
        <v>55876</v>
      </c>
      <c r="D19283" t="s">
        <v>57493</v>
      </c>
      <c r="E19283" t="b">
        <v>0</v>
      </c>
      <c r="F19283" t="s">
        <v>11610</v>
      </c>
      <c r="L19283">
        <v>0</v>
      </c>
      <c r="M19283">
        <v>0</v>
      </c>
      <c r="N19283">
        <v>0</v>
      </c>
    </row>
    <row r="19284" spans="1:15">
      <c r="A19284" t="s">
        <v>57494</v>
      </c>
      <c r="B19284" t="s">
        <v>11637</v>
      </c>
      <c r="C19284" t="s">
        <v>36860</v>
      </c>
      <c r="D19284" t="s">
        <v>57495</v>
      </c>
      <c r="E19284" t="b">
        <v>0</v>
      </c>
      <c r="F19284" t="s">
        <v>11610</v>
      </c>
      <c r="L19284">
        <v>0</v>
      </c>
      <c r="M19284">
        <v>0</v>
      </c>
      <c r="N19284">
        <v>0</v>
      </c>
    </row>
    <row r="19285" spans="1:15">
      <c r="A19285" t="s">
        <v>57496</v>
      </c>
      <c r="B19285" t="s">
        <v>11757</v>
      </c>
      <c r="C19285" t="s">
        <v>216</v>
      </c>
      <c r="D19285" t="s">
        <v>57497</v>
      </c>
      <c r="E19285" t="b">
        <v>0</v>
      </c>
      <c r="F19285" t="s">
        <v>11610</v>
      </c>
      <c r="L19285">
        <v>0</v>
      </c>
      <c r="M19285">
        <v>0</v>
      </c>
      <c r="N19285">
        <v>0</v>
      </c>
    </row>
    <row r="19286" spans="1:15">
      <c r="A19286" t="s">
        <v>57498</v>
      </c>
      <c r="B19286" t="s">
        <v>367</v>
      </c>
      <c r="C19286" t="s">
        <v>32092</v>
      </c>
      <c r="D19286" t="s">
        <v>57499</v>
      </c>
      <c r="E19286" t="b">
        <v>0</v>
      </c>
      <c r="F19286" t="s">
        <v>11610</v>
      </c>
      <c r="L19286">
        <v>0</v>
      </c>
      <c r="M19286">
        <v>0</v>
      </c>
      <c r="N19286">
        <v>0</v>
      </c>
    </row>
    <row r="19287" spans="1:15">
      <c r="A19287" t="s">
        <v>57500</v>
      </c>
      <c r="B19287" t="s">
        <v>12629</v>
      </c>
      <c r="C19287" t="s">
        <v>12629</v>
      </c>
      <c r="D19287" t="s">
        <v>57501</v>
      </c>
      <c r="E19287" t="b">
        <v>0</v>
      </c>
      <c r="F19287" t="s">
        <v>11610</v>
      </c>
      <c r="L19287">
        <v>0</v>
      </c>
      <c r="M19287">
        <v>0</v>
      </c>
      <c r="N19287">
        <v>0</v>
      </c>
    </row>
    <row r="19288" spans="1:15">
      <c r="A19288" t="s">
        <v>57502</v>
      </c>
      <c r="B19288" t="s">
        <v>11912</v>
      </c>
      <c r="C19288" t="s">
        <v>33661</v>
      </c>
      <c r="D19288" t="s">
        <v>57503</v>
      </c>
      <c r="E19288" t="b">
        <v>0</v>
      </c>
      <c r="F19288" t="s">
        <v>11624</v>
      </c>
      <c r="G19288">
        <v>-15.5298</v>
      </c>
      <c r="H19288">
        <v>-63.968800000000002</v>
      </c>
      <c r="I19288" t="s">
        <v>57504</v>
      </c>
      <c r="L19288">
        <v>0</v>
      </c>
      <c r="M19288">
        <v>0</v>
      </c>
      <c r="N19288">
        <v>0</v>
      </c>
      <c r="O19288" t="s">
        <v>14185</v>
      </c>
    </row>
    <row r="19289" spans="1:15">
      <c r="A19289" t="s">
        <v>57505</v>
      </c>
      <c r="B19289" t="s">
        <v>2975</v>
      </c>
      <c r="C19289" t="s">
        <v>24547</v>
      </c>
      <c r="D19289" t="s">
        <v>57506</v>
      </c>
      <c r="E19289" t="b">
        <v>0</v>
      </c>
      <c r="F19289" t="s">
        <v>11624</v>
      </c>
      <c r="G19289">
        <v>0.43651499999999999</v>
      </c>
      <c r="H19289">
        <v>-70.183999999999997</v>
      </c>
      <c r="I19289" t="s">
        <v>57507</v>
      </c>
      <c r="L19289">
        <v>0</v>
      </c>
      <c r="M19289">
        <v>0</v>
      </c>
      <c r="N19289">
        <v>0</v>
      </c>
      <c r="O19289" t="s">
        <v>21122</v>
      </c>
    </row>
    <row r="19290" spans="1:15">
      <c r="A19290" t="s">
        <v>57508</v>
      </c>
      <c r="B19290" t="s">
        <v>11607</v>
      </c>
      <c r="C19290" t="s">
        <v>12615</v>
      </c>
      <c r="D19290" t="s">
        <v>57509</v>
      </c>
      <c r="E19290" t="b">
        <v>0</v>
      </c>
      <c r="F19290" t="s">
        <v>11624</v>
      </c>
      <c r="G19290">
        <v>10.763999999999999</v>
      </c>
      <c r="H19290">
        <v>9.6674299999999995</v>
      </c>
      <c r="I19290" t="s">
        <v>57510</v>
      </c>
      <c r="L19290">
        <v>0</v>
      </c>
      <c r="M19290">
        <v>0</v>
      </c>
      <c r="N19290">
        <v>0</v>
      </c>
      <c r="O19290" t="s">
        <v>11693</v>
      </c>
    </row>
    <row r="19291" spans="1:15">
      <c r="A19291" t="s">
        <v>33661</v>
      </c>
      <c r="B19291" t="s">
        <v>11912</v>
      </c>
      <c r="C19291" t="s">
        <v>52595</v>
      </c>
      <c r="D19291" t="s">
        <v>57511</v>
      </c>
      <c r="E19291" t="b">
        <v>0</v>
      </c>
      <c r="F19291" t="s">
        <v>11622</v>
      </c>
      <c r="L19291">
        <v>0</v>
      </c>
      <c r="M19291">
        <v>3</v>
      </c>
      <c r="N19291">
        <v>0</v>
      </c>
    </row>
    <row r="19292" spans="1:15">
      <c r="A19292" t="s">
        <v>24547</v>
      </c>
      <c r="B19292" t="s">
        <v>2975</v>
      </c>
      <c r="C19292" t="s">
        <v>33790</v>
      </c>
      <c r="D19292" t="s">
        <v>57512</v>
      </c>
      <c r="E19292" t="b">
        <v>0</v>
      </c>
      <c r="F19292" t="s">
        <v>11622</v>
      </c>
      <c r="L19292">
        <v>0</v>
      </c>
      <c r="M19292">
        <v>2</v>
      </c>
      <c r="N19292">
        <v>0</v>
      </c>
    </row>
    <row r="19293" spans="1:15">
      <c r="A19293" t="s">
        <v>24625</v>
      </c>
      <c r="B19293" t="s">
        <v>11637</v>
      </c>
      <c r="C19293" t="s">
        <v>30772</v>
      </c>
      <c r="D19293" t="s">
        <v>57513</v>
      </c>
      <c r="E19293" t="b">
        <v>0</v>
      </c>
      <c r="F19293" t="s">
        <v>11624</v>
      </c>
      <c r="G19293">
        <v>31.1</v>
      </c>
      <c r="H19293">
        <v>77.17</v>
      </c>
      <c r="I19293" t="s">
        <v>57514</v>
      </c>
      <c r="L19293">
        <v>0</v>
      </c>
      <c r="M19293">
        <v>0</v>
      </c>
      <c r="N19293">
        <v>2</v>
      </c>
      <c r="O19293" t="s">
        <v>11630</v>
      </c>
    </row>
    <row r="19294" spans="1:15">
      <c r="A19294" t="s">
        <v>57515</v>
      </c>
      <c r="B19294" t="s">
        <v>11637</v>
      </c>
      <c r="C19294" t="s">
        <v>16373</v>
      </c>
      <c r="D19294" t="s">
        <v>57516</v>
      </c>
      <c r="E19294" t="b">
        <v>0</v>
      </c>
      <c r="F19294" t="s">
        <v>11610</v>
      </c>
      <c r="L19294">
        <v>0</v>
      </c>
      <c r="M19294">
        <v>0</v>
      </c>
      <c r="N19294">
        <v>0</v>
      </c>
    </row>
    <row r="19295" spans="1:15">
      <c r="A19295" t="s">
        <v>57517</v>
      </c>
      <c r="B19295" t="s">
        <v>11844</v>
      </c>
      <c r="C19295" t="s">
        <v>12435</v>
      </c>
      <c r="D19295" t="s">
        <v>57518</v>
      </c>
      <c r="E19295" t="b">
        <v>0</v>
      </c>
      <c r="F19295" t="s">
        <v>11610</v>
      </c>
      <c r="L19295">
        <v>0</v>
      </c>
      <c r="M19295">
        <v>0</v>
      </c>
      <c r="N19295">
        <v>0</v>
      </c>
    </row>
    <row r="19296" spans="1:15">
      <c r="A19296" t="s">
        <v>57519</v>
      </c>
      <c r="B19296" t="s">
        <v>11615</v>
      </c>
      <c r="C19296" t="s">
        <v>14385</v>
      </c>
      <c r="D19296" t="s">
        <v>57520</v>
      </c>
      <c r="E19296" t="b">
        <v>0</v>
      </c>
      <c r="F19296" t="s">
        <v>11624</v>
      </c>
      <c r="G19296">
        <v>-5.5289299999999999</v>
      </c>
      <c r="H19296">
        <v>145.994</v>
      </c>
      <c r="I19296" t="s">
        <v>57521</v>
      </c>
      <c r="L19296">
        <v>0</v>
      </c>
      <c r="M19296">
        <v>0</v>
      </c>
      <c r="N19296">
        <v>0</v>
      </c>
      <c r="O19296" t="s">
        <v>11660</v>
      </c>
    </row>
    <row r="19297" spans="1:15">
      <c r="A19297" t="s">
        <v>57522</v>
      </c>
      <c r="B19297" t="s">
        <v>12311</v>
      </c>
      <c r="C19297" t="s">
        <v>55876</v>
      </c>
      <c r="D19297" t="s">
        <v>57523</v>
      </c>
      <c r="E19297" t="b">
        <v>0</v>
      </c>
      <c r="F19297" t="s">
        <v>11610</v>
      </c>
      <c r="G19297">
        <v>42.171599000000001</v>
      </c>
      <c r="H19297">
        <v>47.332115000000002</v>
      </c>
      <c r="L19297">
        <v>0</v>
      </c>
      <c r="M19297">
        <v>0</v>
      </c>
      <c r="N19297">
        <v>0</v>
      </c>
    </row>
    <row r="19298" spans="1:15">
      <c r="A19298" t="s">
        <v>57524</v>
      </c>
      <c r="B19298" t="s">
        <v>12438</v>
      </c>
      <c r="C19298" t="s">
        <v>20488</v>
      </c>
      <c r="D19298" t="s">
        <v>57525</v>
      </c>
      <c r="E19298" t="b">
        <v>0</v>
      </c>
      <c r="F19298" t="s">
        <v>11610</v>
      </c>
      <c r="L19298">
        <v>0</v>
      </c>
      <c r="M19298">
        <v>0</v>
      </c>
      <c r="N19298">
        <v>0</v>
      </c>
    </row>
    <row r="19299" spans="1:15">
      <c r="A19299" t="s">
        <v>22153</v>
      </c>
      <c r="B19299" t="s">
        <v>6742</v>
      </c>
      <c r="C19299" t="s">
        <v>52965</v>
      </c>
      <c r="D19299" t="s">
        <v>57526</v>
      </c>
      <c r="E19299" t="b">
        <v>0</v>
      </c>
      <c r="F19299" t="s">
        <v>11622</v>
      </c>
      <c r="L19299">
        <v>5</v>
      </c>
      <c r="M19299">
        <v>8</v>
      </c>
      <c r="N19299">
        <v>11</v>
      </c>
    </row>
    <row r="19300" spans="1:15">
      <c r="A19300" t="s">
        <v>49075</v>
      </c>
      <c r="B19300" t="s">
        <v>6742</v>
      </c>
      <c r="C19300" t="s">
        <v>22153</v>
      </c>
      <c r="D19300" t="s">
        <v>57527</v>
      </c>
      <c r="E19300" t="b">
        <v>0</v>
      </c>
      <c r="F19300" t="s">
        <v>11622</v>
      </c>
      <c r="L19300">
        <v>1</v>
      </c>
      <c r="M19300">
        <v>4</v>
      </c>
      <c r="N19300">
        <v>6</v>
      </c>
    </row>
    <row r="19301" spans="1:15">
      <c r="A19301" t="s">
        <v>57528</v>
      </c>
      <c r="B19301" t="s">
        <v>12438</v>
      </c>
      <c r="C19301" t="s">
        <v>18145</v>
      </c>
      <c r="D19301" t="s">
        <v>57529</v>
      </c>
      <c r="E19301" t="b">
        <v>0</v>
      </c>
      <c r="F19301" t="s">
        <v>11610</v>
      </c>
      <c r="L19301">
        <v>0</v>
      </c>
      <c r="M19301">
        <v>0</v>
      </c>
      <c r="N19301">
        <v>0</v>
      </c>
    </row>
    <row r="19302" spans="1:15">
      <c r="A19302" t="s">
        <v>57530</v>
      </c>
      <c r="B19302" t="s">
        <v>11615</v>
      </c>
      <c r="C19302" t="s">
        <v>23828</v>
      </c>
      <c r="D19302" t="s">
        <v>57531</v>
      </c>
      <c r="E19302" t="b">
        <v>0</v>
      </c>
      <c r="F19302" t="s">
        <v>11610</v>
      </c>
      <c r="L19302">
        <v>0</v>
      </c>
      <c r="M19302">
        <v>0</v>
      </c>
      <c r="N19302">
        <v>0</v>
      </c>
    </row>
    <row r="19303" spans="1:15">
      <c r="A19303" t="s">
        <v>57532</v>
      </c>
      <c r="B19303" t="s">
        <v>14524</v>
      </c>
      <c r="C19303" t="s">
        <v>16455</v>
      </c>
      <c r="D19303" t="s">
        <v>57533</v>
      </c>
      <c r="E19303" t="b">
        <v>0</v>
      </c>
      <c r="F19303" t="s">
        <v>11610</v>
      </c>
      <c r="L19303">
        <v>0</v>
      </c>
      <c r="M19303">
        <v>0</v>
      </c>
      <c r="N19303">
        <v>0</v>
      </c>
    </row>
    <row r="19304" spans="1:15">
      <c r="A19304" t="s">
        <v>57534</v>
      </c>
      <c r="B19304" t="s">
        <v>367</v>
      </c>
      <c r="C19304" t="s">
        <v>15611</v>
      </c>
      <c r="D19304" t="s">
        <v>57535</v>
      </c>
      <c r="E19304" t="b">
        <v>0</v>
      </c>
      <c r="F19304" t="s">
        <v>11624</v>
      </c>
      <c r="G19304">
        <v>-7</v>
      </c>
      <c r="H19304">
        <v>156.83000000000001</v>
      </c>
      <c r="L19304">
        <v>0</v>
      </c>
      <c r="M19304">
        <v>0</v>
      </c>
      <c r="N19304">
        <v>0</v>
      </c>
      <c r="O19304" t="s">
        <v>13346</v>
      </c>
    </row>
    <row r="19305" spans="1:15">
      <c r="A19305" t="s">
        <v>57536</v>
      </c>
      <c r="B19305" t="s">
        <v>6742</v>
      </c>
      <c r="C19305" t="s">
        <v>49074</v>
      </c>
      <c r="D19305" t="s">
        <v>57537</v>
      </c>
      <c r="E19305" t="b">
        <v>0</v>
      </c>
      <c r="F19305" t="s">
        <v>11624</v>
      </c>
      <c r="G19305">
        <v>11.0916</v>
      </c>
      <c r="H19305">
        <v>-2.3821699999999999</v>
      </c>
      <c r="I19305" t="s">
        <v>57538</v>
      </c>
      <c r="L19305">
        <v>0</v>
      </c>
      <c r="M19305">
        <v>0</v>
      </c>
      <c r="N19305">
        <v>0</v>
      </c>
      <c r="O19305" t="s">
        <v>27727</v>
      </c>
    </row>
    <row r="19306" spans="1:15">
      <c r="A19306" t="s">
        <v>57539</v>
      </c>
      <c r="B19306" t="s">
        <v>367</v>
      </c>
      <c r="C19306" t="s">
        <v>14609</v>
      </c>
      <c r="D19306" t="s">
        <v>57540</v>
      </c>
      <c r="E19306" t="b">
        <v>0</v>
      </c>
      <c r="F19306" t="s">
        <v>11624</v>
      </c>
      <c r="G19306">
        <v>-3.0197600000000002</v>
      </c>
      <c r="H19306">
        <v>142.04900000000001</v>
      </c>
      <c r="I19306" t="s">
        <v>57541</v>
      </c>
      <c r="L19306">
        <v>0</v>
      </c>
      <c r="M19306">
        <v>0</v>
      </c>
      <c r="N19306">
        <v>0</v>
      </c>
      <c r="O19306" t="s">
        <v>11660</v>
      </c>
    </row>
    <row r="19307" spans="1:15">
      <c r="A19307" t="s">
        <v>13082</v>
      </c>
      <c r="B19307" t="s">
        <v>367</v>
      </c>
      <c r="C19307" t="s">
        <v>57108</v>
      </c>
      <c r="D19307" t="s">
        <v>57542</v>
      </c>
      <c r="E19307" t="b">
        <v>0</v>
      </c>
      <c r="F19307" t="s">
        <v>11622</v>
      </c>
      <c r="L19307">
        <v>3</v>
      </c>
      <c r="M19307">
        <v>6</v>
      </c>
      <c r="N19307">
        <v>2</v>
      </c>
    </row>
    <row r="19308" spans="1:15">
      <c r="A19308" t="s">
        <v>14609</v>
      </c>
      <c r="B19308" t="s">
        <v>367</v>
      </c>
      <c r="C19308" t="s">
        <v>56540</v>
      </c>
      <c r="D19308" t="s">
        <v>57543</v>
      </c>
      <c r="E19308" t="b">
        <v>0</v>
      </c>
      <c r="F19308" t="s">
        <v>11622</v>
      </c>
      <c r="L19308">
        <v>0</v>
      </c>
      <c r="M19308">
        <v>3</v>
      </c>
      <c r="N19308">
        <v>0</v>
      </c>
    </row>
    <row r="19309" spans="1:15">
      <c r="A19309" t="s">
        <v>57544</v>
      </c>
      <c r="B19309" t="s">
        <v>367</v>
      </c>
      <c r="C19309" t="s">
        <v>16054</v>
      </c>
      <c r="D19309" t="s">
        <v>57545</v>
      </c>
      <c r="E19309" t="b">
        <v>0</v>
      </c>
      <c r="F19309" t="s">
        <v>11610</v>
      </c>
      <c r="L19309">
        <v>0</v>
      </c>
      <c r="M19309">
        <v>0</v>
      </c>
      <c r="N19309">
        <v>0</v>
      </c>
    </row>
    <row r="19310" spans="1:15">
      <c r="A19310" t="s">
        <v>57546</v>
      </c>
      <c r="B19310" t="s">
        <v>367</v>
      </c>
      <c r="C19310" t="s">
        <v>16303</v>
      </c>
      <c r="D19310" t="s">
        <v>57547</v>
      </c>
      <c r="E19310" t="b">
        <v>0</v>
      </c>
      <c r="F19310" t="s">
        <v>11610</v>
      </c>
      <c r="L19310">
        <v>0</v>
      </c>
      <c r="M19310">
        <v>0</v>
      </c>
      <c r="N19310">
        <v>0</v>
      </c>
    </row>
    <row r="19311" spans="1:15">
      <c r="A19311" t="s">
        <v>57548</v>
      </c>
      <c r="B19311" t="s">
        <v>6742</v>
      </c>
      <c r="C19311" t="s">
        <v>46789</v>
      </c>
      <c r="D19311" t="s">
        <v>57549</v>
      </c>
      <c r="E19311" t="b">
        <v>0</v>
      </c>
      <c r="F19311" t="s">
        <v>11610</v>
      </c>
      <c r="L19311">
        <v>0</v>
      </c>
      <c r="M19311">
        <v>0</v>
      </c>
      <c r="N19311">
        <v>0</v>
      </c>
    </row>
    <row r="19312" spans="1:15">
      <c r="A19312" t="s">
        <v>57550</v>
      </c>
      <c r="B19312" t="s">
        <v>6742</v>
      </c>
      <c r="C19312" t="s">
        <v>52965</v>
      </c>
      <c r="D19312" t="s">
        <v>57551</v>
      </c>
      <c r="E19312" t="b">
        <v>0</v>
      </c>
      <c r="F19312" t="s">
        <v>11624</v>
      </c>
      <c r="G19312">
        <v>9.1667000000000005</v>
      </c>
      <c r="H19312">
        <v>-2.75</v>
      </c>
      <c r="L19312">
        <v>0</v>
      </c>
      <c r="M19312">
        <v>0</v>
      </c>
      <c r="N19312">
        <v>0</v>
      </c>
      <c r="O19312" t="s">
        <v>11735</v>
      </c>
    </row>
    <row r="19313" spans="1:15">
      <c r="A19313" t="s">
        <v>33539</v>
      </c>
      <c r="B19313" t="s">
        <v>11644</v>
      </c>
      <c r="C19313" t="s">
        <v>23427</v>
      </c>
      <c r="D19313" t="s">
        <v>57552</v>
      </c>
      <c r="E19313" t="b">
        <v>0</v>
      </c>
      <c r="F19313" t="s">
        <v>11624</v>
      </c>
      <c r="G19313">
        <v>31.590536</v>
      </c>
      <c r="H19313">
        <v>102.660664</v>
      </c>
      <c r="L19313">
        <v>0</v>
      </c>
      <c r="M19313">
        <v>0</v>
      </c>
      <c r="N19313">
        <v>4</v>
      </c>
      <c r="O19313" t="s">
        <v>11905</v>
      </c>
    </row>
    <row r="19314" spans="1:15">
      <c r="A19314" t="s">
        <v>15506</v>
      </c>
      <c r="B19314" t="s">
        <v>15505</v>
      </c>
      <c r="C19314" t="s">
        <v>15505</v>
      </c>
      <c r="D19314" t="s">
        <v>57553</v>
      </c>
      <c r="E19314" t="b">
        <v>0</v>
      </c>
      <c r="F19314" t="s">
        <v>11610</v>
      </c>
      <c r="L19314">
        <v>0</v>
      </c>
      <c r="M19314">
        <v>0</v>
      </c>
      <c r="N19314">
        <v>2</v>
      </c>
    </row>
    <row r="19315" spans="1:15">
      <c r="A19315" t="s">
        <v>57554</v>
      </c>
      <c r="B19315" t="s">
        <v>15505</v>
      </c>
      <c r="C19315" t="s">
        <v>15506</v>
      </c>
      <c r="D19315" t="s">
        <v>57555</v>
      </c>
      <c r="E19315" t="b">
        <v>0</v>
      </c>
      <c r="F19315" t="s">
        <v>11610</v>
      </c>
      <c r="L19315">
        <v>0</v>
      </c>
      <c r="M19315">
        <v>0</v>
      </c>
      <c r="N19315">
        <v>0</v>
      </c>
    </row>
    <row r="19316" spans="1:15">
      <c r="A19316" t="s">
        <v>57556</v>
      </c>
      <c r="D19316" t="s">
        <v>57557</v>
      </c>
      <c r="E19316" t="b">
        <v>0</v>
      </c>
      <c r="F19316" t="s">
        <v>11624</v>
      </c>
      <c r="G19316">
        <v>42.511099999999999</v>
      </c>
      <c r="H19316">
        <v>-124.379</v>
      </c>
      <c r="I19316" t="s">
        <v>57558</v>
      </c>
      <c r="L19316">
        <v>0</v>
      </c>
      <c r="M19316">
        <v>0</v>
      </c>
      <c r="N19316">
        <v>0</v>
      </c>
      <c r="O19316" t="s">
        <v>11944</v>
      </c>
    </row>
    <row r="19317" spans="1:15">
      <c r="A19317" t="s">
        <v>57559</v>
      </c>
      <c r="B19317" t="s">
        <v>11894</v>
      </c>
      <c r="C19317" t="s">
        <v>16712</v>
      </c>
      <c r="D19317" t="s">
        <v>57560</v>
      </c>
      <c r="E19317" t="b">
        <v>0</v>
      </c>
      <c r="F19317" t="s">
        <v>11610</v>
      </c>
      <c r="L19317">
        <v>0</v>
      </c>
      <c r="M19317">
        <v>0</v>
      </c>
      <c r="N19317">
        <v>0</v>
      </c>
    </row>
    <row r="19318" spans="1:15">
      <c r="A19318" t="s">
        <v>57561</v>
      </c>
      <c r="B19318" t="s">
        <v>6742</v>
      </c>
      <c r="C19318" t="s">
        <v>13575</v>
      </c>
      <c r="D19318" t="s">
        <v>57562</v>
      </c>
      <c r="E19318" t="b">
        <v>0</v>
      </c>
      <c r="F19318" t="s">
        <v>11610</v>
      </c>
      <c r="L19318">
        <v>0</v>
      </c>
      <c r="M19318">
        <v>0</v>
      </c>
      <c r="N19318">
        <v>0</v>
      </c>
    </row>
    <row r="19319" spans="1:15">
      <c r="A19319" t="s">
        <v>57563</v>
      </c>
      <c r="B19319" t="s">
        <v>11637</v>
      </c>
      <c r="C19319" t="s">
        <v>21850</v>
      </c>
      <c r="D19319" t="s">
        <v>57564</v>
      </c>
      <c r="E19319" t="b">
        <v>0</v>
      </c>
      <c r="F19319" t="s">
        <v>11624</v>
      </c>
      <c r="G19319">
        <v>30.08</v>
      </c>
      <c r="H19319">
        <v>52.92</v>
      </c>
      <c r="I19319" t="s">
        <v>57565</v>
      </c>
      <c r="L19319">
        <v>0</v>
      </c>
      <c r="M19319">
        <v>0</v>
      </c>
      <c r="N19319">
        <v>0</v>
      </c>
      <c r="O19319" t="s">
        <v>13225</v>
      </c>
    </row>
    <row r="19320" spans="1:15">
      <c r="A19320" t="s">
        <v>57566</v>
      </c>
      <c r="B19320" t="s">
        <v>11637</v>
      </c>
      <c r="C19320" t="s">
        <v>24846</v>
      </c>
      <c r="D19320" t="s">
        <v>57567</v>
      </c>
      <c r="E19320" t="b">
        <v>0</v>
      </c>
      <c r="F19320" t="s">
        <v>11610</v>
      </c>
      <c r="L19320">
        <v>0</v>
      </c>
      <c r="M19320">
        <v>0</v>
      </c>
      <c r="N19320">
        <v>0</v>
      </c>
    </row>
    <row r="19321" spans="1:15">
      <c r="A19321" t="s">
        <v>57568</v>
      </c>
      <c r="B19321" t="s">
        <v>11981</v>
      </c>
      <c r="C19321" t="s">
        <v>11982</v>
      </c>
      <c r="D19321" t="s">
        <v>57569</v>
      </c>
      <c r="E19321" t="b">
        <v>0</v>
      </c>
      <c r="F19321" t="s">
        <v>11624</v>
      </c>
      <c r="L19321">
        <v>0</v>
      </c>
      <c r="M19321">
        <v>0</v>
      </c>
      <c r="N19321">
        <v>0</v>
      </c>
      <c r="O19321" t="s">
        <v>11778</v>
      </c>
    </row>
    <row r="19322" spans="1:15">
      <c r="A19322" t="s">
        <v>57570</v>
      </c>
      <c r="B19322" t="s">
        <v>11637</v>
      </c>
      <c r="C19322" t="s">
        <v>12777</v>
      </c>
      <c r="D19322" t="s">
        <v>57571</v>
      </c>
      <c r="E19322" t="b">
        <v>0</v>
      </c>
      <c r="F19322" t="s">
        <v>11610</v>
      </c>
      <c r="L19322">
        <v>0</v>
      </c>
      <c r="M19322">
        <v>0</v>
      </c>
      <c r="N19322">
        <v>0</v>
      </c>
    </row>
    <row r="19323" spans="1:15">
      <c r="A19323" t="s">
        <v>57572</v>
      </c>
      <c r="B19323" t="s">
        <v>6742</v>
      </c>
      <c r="C19323" t="s">
        <v>16209</v>
      </c>
      <c r="D19323" t="s">
        <v>57573</v>
      </c>
      <c r="E19323" t="b">
        <v>0</v>
      </c>
      <c r="F19323" t="s">
        <v>11610</v>
      </c>
      <c r="L19323">
        <v>0</v>
      </c>
      <c r="M19323">
        <v>0</v>
      </c>
      <c r="N19323">
        <v>0</v>
      </c>
    </row>
    <row r="19324" spans="1:15">
      <c r="A19324" t="s">
        <v>16043</v>
      </c>
      <c r="B19324" t="s">
        <v>16042</v>
      </c>
      <c r="C19324" t="s">
        <v>20128</v>
      </c>
      <c r="D19324" t="s">
        <v>57574</v>
      </c>
      <c r="E19324" t="b">
        <v>0</v>
      </c>
      <c r="F19324" t="s">
        <v>11624</v>
      </c>
      <c r="G19324">
        <v>-6.6429</v>
      </c>
      <c r="H19324">
        <v>155.452</v>
      </c>
      <c r="I19324" t="s">
        <v>57575</v>
      </c>
      <c r="L19324">
        <v>0</v>
      </c>
      <c r="M19324">
        <v>0</v>
      </c>
      <c r="N19324">
        <v>1</v>
      </c>
      <c r="O19324" t="s">
        <v>11660</v>
      </c>
    </row>
    <row r="19325" spans="1:15">
      <c r="A19325" t="s">
        <v>56162</v>
      </c>
      <c r="B19325" t="s">
        <v>11607</v>
      </c>
      <c r="C19325" t="s">
        <v>515</v>
      </c>
      <c r="D19325" t="s">
        <v>57576</v>
      </c>
      <c r="E19325" t="b">
        <v>0</v>
      </c>
      <c r="F19325" t="s">
        <v>11622</v>
      </c>
      <c r="L19325">
        <v>0</v>
      </c>
      <c r="M19325">
        <v>2</v>
      </c>
      <c r="N19325">
        <v>0</v>
      </c>
    </row>
    <row r="19326" spans="1:15">
      <c r="A19326" t="s">
        <v>57577</v>
      </c>
      <c r="B19326" t="s">
        <v>11607</v>
      </c>
      <c r="C19326" t="s">
        <v>56162</v>
      </c>
      <c r="D19326" t="s">
        <v>57578</v>
      </c>
      <c r="E19326" t="b">
        <v>0</v>
      </c>
      <c r="F19326" t="s">
        <v>11624</v>
      </c>
      <c r="G19326">
        <v>29.200415</v>
      </c>
      <c r="H19326">
        <v>25.519627</v>
      </c>
      <c r="I19326" t="s">
        <v>57579</v>
      </c>
      <c r="L19326">
        <v>0</v>
      </c>
      <c r="M19326">
        <v>0</v>
      </c>
      <c r="N19326">
        <v>0</v>
      </c>
      <c r="O19326" t="s">
        <v>23389</v>
      </c>
    </row>
    <row r="19327" spans="1:15">
      <c r="A19327" t="s">
        <v>12806</v>
      </c>
      <c r="B19327" t="s">
        <v>6742</v>
      </c>
      <c r="C19327" t="s">
        <v>39753</v>
      </c>
      <c r="D19327" t="s">
        <v>57580</v>
      </c>
      <c r="E19327" t="b">
        <v>0</v>
      </c>
      <c r="F19327" t="s">
        <v>11624</v>
      </c>
      <c r="G19327">
        <v>7.2381099999999998</v>
      </c>
      <c r="H19327">
        <v>0.44362000000000001</v>
      </c>
      <c r="I19327" t="s">
        <v>57581</v>
      </c>
      <c r="L19327">
        <v>0</v>
      </c>
      <c r="M19327">
        <v>0</v>
      </c>
      <c r="N19327">
        <v>2</v>
      </c>
      <c r="O19327" t="s">
        <v>11985</v>
      </c>
    </row>
    <row r="19328" spans="1:15">
      <c r="A19328" t="s">
        <v>57582</v>
      </c>
      <c r="B19328" t="s">
        <v>11637</v>
      </c>
      <c r="C19328" t="s">
        <v>1273</v>
      </c>
      <c r="D19328" t="s">
        <v>57583</v>
      </c>
      <c r="E19328" t="b">
        <v>0</v>
      </c>
      <c r="F19328" t="s">
        <v>11610</v>
      </c>
      <c r="L19328">
        <v>0</v>
      </c>
      <c r="M19328">
        <v>0</v>
      </c>
      <c r="N19328">
        <v>0</v>
      </c>
    </row>
    <row r="19329" spans="1:15">
      <c r="A19329" t="s">
        <v>57584</v>
      </c>
      <c r="B19329" t="s">
        <v>11644</v>
      </c>
      <c r="C19329" t="s">
        <v>27322</v>
      </c>
      <c r="D19329" t="s">
        <v>57585</v>
      </c>
      <c r="E19329" t="b">
        <v>0</v>
      </c>
      <c r="F19329" t="s">
        <v>11610</v>
      </c>
      <c r="L19329">
        <v>0</v>
      </c>
      <c r="M19329">
        <v>0</v>
      </c>
      <c r="N19329">
        <v>0</v>
      </c>
    </row>
    <row r="19330" spans="1:15">
      <c r="A19330" t="s">
        <v>24022</v>
      </c>
      <c r="B19330" t="s">
        <v>11644</v>
      </c>
      <c r="C19330" t="s">
        <v>28593</v>
      </c>
      <c r="D19330" t="s">
        <v>57586</v>
      </c>
      <c r="E19330" t="b">
        <v>0</v>
      </c>
      <c r="F19330" t="s">
        <v>11610</v>
      </c>
      <c r="L19330">
        <v>0</v>
      </c>
      <c r="M19330">
        <v>0</v>
      </c>
      <c r="N19330">
        <v>4</v>
      </c>
    </row>
    <row r="19331" spans="1:15">
      <c r="A19331" t="s">
        <v>57587</v>
      </c>
      <c r="B19331" t="s">
        <v>11644</v>
      </c>
      <c r="C19331" t="s">
        <v>28563</v>
      </c>
      <c r="D19331" t="s">
        <v>57588</v>
      </c>
      <c r="E19331" t="b">
        <v>0</v>
      </c>
      <c r="F19331" t="s">
        <v>11624</v>
      </c>
      <c r="G19331">
        <v>23.819199999999999</v>
      </c>
      <c r="H19331">
        <v>93.688400000000001</v>
      </c>
      <c r="I19331" t="s">
        <v>57589</v>
      </c>
      <c r="L19331">
        <v>0</v>
      </c>
      <c r="M19331">
        <v>0</v>
      </c>
      <c r="N19331">
        <v>0</v>
      </c>
      <c r="O19331" t="s">
        <v>14059</v>
      </c>
    </row>
    <row r="19332" spans="1:15">
      <c r="A19332" t="s">
        <v>28563</v>
      </c>
      <c r="B19332" t="s">
        <v>11644</v>
      </c>
      <c r="C19332" t="s">
        <v>49014</v>
      </c>
      <c r="D19332" t="s">
        <v>57590</v>
      </c>
      <c r="E19332" t="b">
        <v>0</v>
      </c>
      <c r="F19332" t="s">
        <v>11622</v>
      </c>
      <c r="L19332">
        <v>1</v>
      </c>
      <c r="M19332">
        <v>6</v>
      </c>
      <c r="N19332">
        <v>0</v>
      </c>
    </row>
    <row r="19333" spans="1:15">
      <c r="A19333" t="s">
        <v>57591</v>
      </c>
      <c r="B19333" t="s">
        <v>11627</v>
      </c>
      <c r="C19333" t="s">
        <v>11627</v>
      </c>
      <c r="D19333" t="s">
        <v>57592</v>
      </c>
      <c r="E19333" t="b">
        <v>1</v>
      </c>
      <c r="F19333" t="s">
        <v>11624</v>
      </c>
      <c r="I19333" t="s">
        <v>57593</v>
      </c>
      <c r="L19333">
        <v>0</v>
      </c>
      <c r="M19333">
        <v>0</v>
      </c>
      <c r="N19333">
        <v>0</v>
      </c>
    </row>
    <row r="19334" spans="1:15">
      <c r="A19334" t="s">
        <v>57594</v>
      </c>
      <c r="B19334" t="s">
        <v>9071</v>
      </c>
      <c r="C19334" t="s">
        <v>41258</v>
      </c>
      <c r="D19334" t="s">
        <v>57595</v>
      </c>
      <c r="E19334" t="b">
        <v>0</v>
      </c>
      <c r="F19334" t="s">
        <v>11610</v>
      </c>
      <c r="G19334">
        <v>48.531399999999998</v>
      </c>
      <c r="H19334">
        <v>-121.991</v>
      </c>
      <c r="I19334" t="s">
        <v>57596</v>
      </c>
      <c r="L19334">
        <v>0</v>
      </c>
      <c r="M19334">
        <v>0</v>
      </c>
      <c r="N19334">
        <v>0</v>
      </c>
      <c r="O19334" t="s">
        <v>11944</v>
      </c>
    </row>
    <row r="19335" spans="1:15">
      <c r="A19335" t="s">
        <v>57597</v>
      </c>
      <c r="B19335" t="s">
        <v>11637</v>
      </c>
      <c r="C19335" t="s">
        <v>18972</v>
      </c>
      <c r="D19335" t="s">
        <v>57598</v>
      </c>
      <c r="E19335" t="b">
        <v>0</v>
      </c>
      <c r="F19335" t="s">
        <v>11610</v>
      </c>
      <c r="L19335">
        <v>0</v>
      </c>
      <c r="M19335">
        <v>0</v>
      </c>
      <c r="N19335">
        <v>0</v>
      </c>
    </row>
    <row r="19336" spans="1:15">
      <c r="A19336" t="s">
        <v>57599</v>
      </c>
      <c r="B19336" t="s">
        <v>11637</v>
      </c>
      <c r="C19336" t="s">
        <v>30733</v>
      </c>
      <c r="D19336" t="s">
        <v>57600</v>
      </c>
      <c r="E19336" t="b">
        <v>0</v>
      </c>
      <c r="F19336" t="s">
        <v>11610</v>
      </c>
      <c r="L19336">
        <v>0</v>
      </c>
      <c r="M19336">
        <v>0</v>
      </c>
      <c r="N19336">
        <v>0</v>
      </c>
    </row>
    <row r="19337" spans="1:15">
      <c r="A19337" t="s">
        <v>27434</v>
      </c>
      <c r="B19337" t="s">
        <v>11637</v>
      </c>
      <c r="C19337" t="s">
        <v>18075</v>
      </c>
      <c r="D19337" t="s">
        <v>57601</v>
      </c>
      <c r="E19337" t="b">
        <v>0</v>
      </c>
      <c r="F19337" t="s">
        <v>11624</v>
      </c>
      <c r="G19337">
        <v>6.0519100000000003</v>
      </c>
      <c r="H19337">
        <v>-58.562600000000003</v>
      </c>
      <c r="I19337" t="s">
        <v>57602</v>
      </c>
      <c r="L19337">
        <v>0</v>
      </c>
      <c r="M19337">
        <v>0</v>
      </c>
      <c r="N19337">
        <v>1</v>
      </c>
      <c r="O19337" t="s">
        <v>18078</v>
      </c>
    </row>
    <row r="19338" spans="1:15">
      <c r="A19338" t="s">
        <v>57603</v>
      </c>
      <c r="B19338" t="s">
        <v>8146</v>
      </c>
      <c r="C19338" t="s">
        <v>312</v>
      </c>
      <c r="D19338" t="s">
        <v>57604</v>
      </c>
      <c r="E19338" t="b">
        <v>0</v>
      </c>
      <c r="F19338" t="s">
        <v>11610</v>
      </c>
      <c r="L19338">
        <v>0</v>
      </c>
      <c r="M19338">
        <v>0</v>
      </c>
      <c r="N19338">
        <v>0</v>
      </c>
    </row>
    <row r="19339" spans="1:15">
      <c r="A19339" t="s">
        <v>57605</v>
      </c>
      <c r="B19339" t="s">
        <v>9071</v>
      </c>
      <c r="C19339" t="s">
        <v>54056</v>
      </c>
      <c r="D19339" t="s">
        <v>57606</v>
      </c>
      <c r="E19339" t="b">
        <v>0</v>
      </c>
      <c r="F19339" t="s">
        <v>11610</v>
      </c>
      <c r="L19339">
        <v>0</v>
      </c>
      <c r="M19339">
        <v>0</v>
      </c>
      <c r="N19339">
        <v>0</v>
      </c>
    </row>
    <row r="19340" spans="1:15">
      <c r="A19340" t="s">
        <v>49239</v>
      </c>
      <c r="B19340" t="s">
        <v>12260</v>
      </c>
      <c r="C19340" t="s">
        <v>12758</v>
      </c>
      <c r="D19340" t="s">
        <v>57607</v>
      </c>
      <c r="E19340" t="b">
        <v>0</v>
      </c>
      <c r="F19340" t="s">
        <v>11624</v>
      </c>
      <c r="G19340">
        <v>68.832599999999999</v>
      </c>
      <c r="H19340">
        <v>29.720400000000001</v>
      </c>
      <c r="I19340" t="s">
        <v>57608</v>
      </c>
      <c r="L19340">
        <v>0</v>
      </c>
      <c r="M19340">
        <v>0</v>
      </c>
      <c r="N19340">
        <v>2</v>
      </c>
      <c r="O19340" t="s">
        <v>38563</v>
      </c>
    </row>
    <row r="19341" spans="1:15">
      <c r="A19341" t="s">
        <v>16986</v>
      </c>
      <c r="D19341" t="s">
        <v>57609</v>
      </c>
      <c r="E19341" t="b">
        <v>0</v>
      </c>
      <c r="F19341" t="s">
        <v>11622</v>
      </c>
      <c r="L19341">
        <v>5</v>
      </c>
      <c r="M19341">
        <v>10</v>
      </c>
      <c r="N19341">
        <v>8</v>
      </c>
    </row>
    <row r="19342" spans="1:15">
      <c r="A19342" t="s">
        <v>57610</v>
      </c>
      <c r="B19342" t="s">
        <v>11637</v>
      </c>
      <c r="C19342" t="s">
        <v>29572</v>
      </c>
      <c r="D19342" t="s">
        <v>57611</v>
      </c>
      <c r="E19342" t="b">
        <v>0</v>
      </c>
      <c r="F19342" t="s">
        <v>11610</v>
      </c>
      <c r="L19342">
        <v>0</v>
      </c>
      <c r="M19342">
        <v>0</v>
      </c>
      <c r="N19342">
        <v>0</v>
      </c>
    </row>
    <row r="19343" spans="1:15">
      <c r="A19343" t="s">
        <v>38970</v>
      </c>
      <c r="B19343" t="s">
        <v>16986</v>
      </c>
      <c r="C19343" t="s">
        <v>16986</v>
      </c>
      <c r="D19343" t="s">
        <v>57612</v>
      </c>
      <c r="E19343" t="b">
        <v>0</v>
      </c>
      <c r="F19343" t="s">
        <v>11622</v>
      </c>
      <c r="L19343">
        <v>4</v>
      </c>
      <c r="M19343">
        <v>9</v>
      </c>
      <c r="N19343">
        <v>8</v>
      </c>
    </row>
    <row r="19344" spans="1:15">
      <c r="A19344" t="s">
        <v>50035</v>
      </c>
      <c r="B19344" t="s">
        <v>16986</v>
      </c>
      <c r="C19344" t="s">
        <v>38970</v>
      </c>
      <c r="D19344" t="s">
        <v>57613</v>
      </c>
      <c r="E19344" t="b">
        <v>0</v>
      </c>
      <c r="F19344" t="s">
        <v>11622</v>
      </c>
      <c r="L19344">
        <v>0</v>
      </c>
      <c r="M19344">
        <v>3</v>
      </c>
      <c r="N19344">
        <v>0</v>
      </c>
    </row>
    <row r="19345" spans="1:15">
      <c r="A19345" t="s">
        <v>57614</v>
      </c>
      <c r="B19345" t="s">
        <v>367</v>
      </c>
      <c r="C19345" t="s">
        <v>4260</v>
      </c>
      <c r="D19345" t="s">
        <v>57615</v>
      </c>
      <c r="E19345" t="b">
        <v>0</v>
      </c>
      <c r="F19345" t="s">
        <v>11610</v>
      </c>
      <c r="L19345">
        <v>0</v>
      </c>
      <c r="M19345">
        <v>0</v>
      </c>
      <c r="N19345">
        <v>0</v>
      </c>
    </row>
    <row r="19346" spans="1:15">
      <c r="A19346" t="s">
        <v>1094</v>
      </c>
      <c r="B19346" t="s">
        <v>12460</v>
      </c>
      <c r="C19346" t="s">
        <v>25119</v>
      </c>
      <c r="D19346" t="s">
        <v>57616</v>
      </c>
      <c r="E19346" t="b">
        <v>0</v>
      </c>
      <c r="F19346" t="s">
        <v>11622</v>
      </c>
      <c r="I19346" t="s">
        <v>57617</v>
      </c>
      <c r="L19346">
        <v>0</v>
      </c>
      <c r="M19346">
        <v>2</v>
      </c>
      <c r="N19346">
        <v>0</v>
      </c>
      <c r="O19346" t="s">
        <v>13049</v>
      </c>
    </row>
    <row r="19347" spans="1:15">
      <c r="A19347" t="s">
        <v>57618</v>
      </c>
      <c r="B19347" t="s">
        <v>11637</v>
      </c>
      <c r="C19347" t="s">
        <v>34260</v>
      </c>
      <c r="D19347" t="s">
        <v>57619</v>
      </c>
      <c r="E19347" t="b">
        <v>0</v>
      </c>
      <c r="F19347" t="s">
        <v>11624</v>
      </c>
      <c r="G19347">
        <v>41.89</v>
      </c>
      <c r="H19347">
        <v>14.7</v>
      </c>
      <c r="I19347" t="s">
        <v>57620</v>
      </c>
      <c r="L19347">
        <v>0</v>
      </c>
      <c r="M19347">
        <v>0</v>
      </c>
      <c r="N19347">
        <v>0</v>
      </c>
      <c r="O19347" t="s">
        <v>13676</v>
      </c>
    </row>
    <row r="19348" spans="1:15">
      <c r="A19348" t="s">
        <v>25793</v>
      </c>
      <c r="B19348" t="s">
        <v>11637</v>
      </c>
      <c r="C19348" t="s">
        <v>16357</v>
      </c>
      <c r="D19348" t="s">
        <v>57621</v>
      </c>
      <c r="E19348" t="b">
        <v>0</v>
      </c>
      <c r="F19348" t="s">
        <v>11622</v>
      </c>
      <c r="L19348">
        <v>11</v>
      </c>
      <c r="M19348">
        <v>20</v>
      </c>
      <c r="N19348">
        <v>97</v>
      </c>
    </row>
    <row r="19349" spans="1:15">
      <c r="A19349" t="s">
        <v>19901</v>
      </c>
      <c r="B19349" t="s">
        <v>13450</v>
      </c>
      <c r="C19349" t="s">
        <v>17528</v>
      </c>
      <c r="D19349" t="s">
        <v>57622</v>
      </c>
      <c r="E19349" t="b">
        <v>0</v>
      </c>
      <c r="F19349" t="s">
        <v>11622</v>
      </c>
      <c r="L19349">
        <v>0</v>
      </c>
      <c r="M19349">
        <v>2</v>
      </c>
      <c r="N19349">
        <v>0</v>
      </c>
    </row>
    <row r="19350" spans="1:15">
      <c r="A19350" t="s">
        <v>57623</v>
      </c>
      <c r="B19350" t="s">
        <v>11637</v>
      </c>
      <c r="C19350" t="s">
        <v>20403</v>
      </c>
      <c r="D19350" t="s">
        <v>57624</v>
      </c>
      <c r="E19350" t="b">
        <v>0</v>
      </c>
      <c r="F19350" t="s">
        <v>11610</v>
      </c>
      <c r="L19350">
        <v>0</v>
      </c>
      <c r="M19350">
        <v>0</v>
      </c>
      <c r="N19350">
        <v>0</v>
      </c>
    </row>
    <row r="19351" spans="1:15">
      <c r="A19351" t="s">
        <v>57625</v>
      </c>
      <c r="B19351" t="s">
        <v>13276</v>
      </c>
      <c r="C19351" t="s">
        <v>18350</v>
      </c>
      <c r="D19351" t="s">
        <v>57626</v>
      </c>
      <c r="E19351" t="b">
        <v>0</v>
      </c>
      <c r="F19351" t="s">
        <v>11610</v>
      </c>
      <c r="L19351">
        <v>0</v>
      </c>
      <c r="M19351">
        <v>0</v>
      </c>
      <c r="N19351">
        <v>0</v>
      </c>
    </row>
    <row r="19352" spans="1:15">
      <c r="A19352" t="s">
        <v>57627</v>
      </c>
      <c r="B19352" t="s">
        <v>9071</v>
      </c>
      <c r="C19352" t="s">
        <v>23321</v>
      </c>
      <c r="D19352" t="s">
        <v>57628</v>
      </c>
      <c r="E19352" t="b">
        <v>0</v>
      </c>
      <c r="F19352" t="s">
        <v>11610</v>
      </c>
      <c r="L19352">
        <v>0</v>
      </c>
      <c r="M19352">
        <v>0</v>
      </c>
      <c r="N19352">
        <v>0</v>
      </c>
    </row>
    <row r="19353" spans="1:15">
      <c r="A19353" t="s">
        <v>57629</v>
      </c>
      <c r="B19353" t="s">
        <v>11981</v>
      </c>
      <c r="C19353" t="s">
        <v>20225</v>
      </c>
      <c r="D19353" t="s">
        <v>57630</v>
      </c>
      <c r="E19353" t="b">
        <v>0</v>
      </c>
      <c r="F19353" t="s">
        <v>11624</v>
      </c>
      <c r="G19353">
        <v>48.046300000000002</v>
      </c>
      <c r="H19353">
        <v>18.1248</v>
      </c>
      <c r="I19353" t="s">
        <v>57631</v>
      </c>
      <c r="L19353">
        <v>0</v>
      </c>
      <c r="M19353">
        <v>0</v>
      </c>
      <c r="N19353">
        <v>0</v>
      </c>
      <c r="O19353" t="s">
        <v>57632</v>
      </c>
    </row>
    <row r="19354" spans="1:15">
      <c r="A19354" t="s">
        <v>10074</v>
      </c>
      <c r="B19354" t="s">
        <v>11637</v>
      </c>
      <c r="C19354" t="s">
        <v>34260</v>
      </c>
      <c r="D19354" t="s">
        <v>57633</v>
      </c>
      <c r="E19354" t="b">
        <v>0</v>
      </c>
      <c r="F19354" t="s">
        <v>11624</v>
      </c>
      <c r="G19354">
        <v>46.254300000000001</v>
      </c>
      <c r="H19354">
        <v>14.7766</v>
      </c>
      <c r="I19354" t="s">
        <v>57634</v>
      </c>
      <c r="L19354">
        <v>0</v>
      </c>
      <c r="M19354">
        <v>0</v>
      </c>
      <c r="N19354">
        <v>8</v>
      </c>
      <c r="O19354" t="s">
        <v>57635</v>
      </c>
    </row>
    <row r="19355" spans="1:15">
      <c r="A19355" t="s">
        <v>10633</v>
      </c>
      <c r="B19355" t="s">
        <v>11637</v>
      </c>
      <c r="C19355" t="s">
        <v>23705</v>
      </c>
      <c r="D19355" t="s">
        <v>10632</v>
      </c>
      <c r="E19355" t="b">
        <v>0</v>
      </c>
      <c r="F19355" t="s">
        <v>11624</v>
      </c>
      <c r="G19355">
        <v>48.545704999999998</v>
      </c>
      <c r="H19355">
        <v>18.784790000000001</v>
      </c>
      <c r="I19355" t="s">
        <v>10634</v>
      </c>
      <c r="L19355">
        <v>0</v>
      </c>
      <c r="M19355">
        <v>0</v>
      </c>
      <c r="N19355">
        <v>0</v>
      </c>
      <c r="O19355" t="s">
        <v>57636</v>
      </c>
    </row>
    <row r="19356" spans="1:15">
      <c r="A19356" t="s">
        <v>57637</v>
      </c>
      <c r="B19356" t="s">
        <v>11637</v>
      </c>
      <c r="C19356" t="s">
        <v>10502</v>
      </c>
      <c r="D19356" t="s">
        <v>57638</v>
      </c>
      <c r="E19356" t="b">
        <v>0</v>
      </c>
      <c r="F19356" t="s">
        <v>11610</v>
      </c>
      <c r="L19356">
        <v>0</v>
      </c>
      <c r="M19356">
        <v>0</v>
      </c>
      <c r="N19356">
        <v>0</v>
      </c>
    </row>
    <row r="19357" spans="1:15">
      <c r="A19357" t="s">
        <v>57639</v>
      </c>
      <c r="B19357" t="s">
        <v>11637</v>
      </c>
      <c r="C19357" t="s">
        <v>14577</v>
      </c>
      <c r="D19357" t="s">
        <v>57640</v>
      </c>
      <c r="E19357" t="b">
        <v>0</v>
      </c>
      <c r="F19357" t="s">
        <v>11610</v>
      </c>
      <c r="L19357">
        <v>0</v>
      </c>
      <c r="M19357">
        <v>0</v>
      </c>
      <c r="N19357">
        <v>0</v>
      </c>
    </row>
    <row r="19358" spans="1:15">
      <c r="A19358" t="s">
        <v>57641</v>
      </c>
      <c r="B19358" t="s">
        <v>5058</v>
      </c>
      <c r="C19358" t="s">
        <v>22891</v>
      </c>
      <c r="D19358" t="s">
        <v>57642</v>
      </c>
      <c r="E19358" t="b">
        <v>0</v>
      </c>
      <c r="F19358" t="s">
        <v>11624</v>
      </c>
      <c r="G19358">
        <v>26.55</v>
      </c>
      <c r="H19358">
        <v>105.1</v>
      </c>
      <c r="I19358" t="s">
        <v>57643</v>
      </c>
      <c r="L19358">
        <v>0</v>
      </c>
      <c r="M19358">
        <v>0</v>
      </c>
      <c r="N19358">
        <v>0</v>
      </c>
      <c r="O19358" t="s">
        <v>11905</v>
      </c>
    </row>
    <row r="19359" spans="1:15">
      <c r="A19359" t="s">
        <v>57644</v>
      </c>
      <c r="B19359" t="s">
        <v>17023</v>
      </c>
      <c r="C19359" t="s">
        <v>18479</v>
      </c>
      <c r="D19359" t="s">
        <v>57645</v>
      </c>
      <c r="E19359" t="b">
        <v>0</v>
      </c>
      <c r="F19359" t="s">
        <v>11610</v>
      </c>
      <c r="L19359">
        <v>0</v>
      </c>
      <c r="M19359">
        <v>0</v>
      </c>
      <c r="N19359">
        <v>0</v>
      </c>
    </row>
    <row r="19360" spans="1:15">
      <c r="A19360" t="s">
        <v>47448</v>
      </c>
      <c r="B19360" t="s">
        <v>14005</v>
      </c>
      <c r="C19360" t="s">
        <v>34907</v>
      </c>
      <c r="D19360" t="s">
        <v>57646</v>
      </c>
      <c r="E19360" t="b">
        <v>0</v>
      </c>
      <c r="F19360" t="s">
        <v>11624</v>
      </c>
      <c r="G19360">
        <v>-8.91812</v>
      </c>
      <c r="H19360">
        <v>140.89699999999999</v>
      </c>
      <c r="I19360" t="s">
        <v>57647</v>
      </c>
      <c r="L19360">
        <v>0</v>
      </c>
      <c r="M19360">
        <v>0</v>
      </c>
      <c r="N19360">
        <v>6</v>
      </c>
      <c r="O19360" t="s">
        <v>24525</v>
      </c>
    </row>
    <row r="19361" spans="1:15">
      <c r="A19361" t="s">
        <v>57648</v>
      </c>
      <c r="B19361" t="s">
        <v>11637</v>
      </c>
      <c r="C19361" t="s">
        <v>20403</v>
      </c>
      <c r="D19361" t="s">
        <v>57649</v>
      </c>
      <c r="E19361" t="b">
        <v>0</v>
      </c>
      <c r="F19361" t="s">
        <v>11610</v>
      </c>
      <c r="L19361">
        <v>0</v>
      </c>
      <c r="M19361">
        <v>0</v>
      </c>
      <c r="N19361">
        <v>0</v>
      </c>
    </row>
    <row r="19362" spans="1:15">
      <c r="A19362" t="s">
        <v>57650</v>
      </c>
      <c r="B19362" t="s">
        <v>11637</v>
      </c>
      <c r="C19362" t="s">
        <v>23355</v>
      </c>
      <c r="D19362" t="s">
        <v>57651</v>
      </c>
      <c r="E19362" t="b">
        <v>0</v>
      </c>
      <c r="F19362" t="s">
        <v>11610</v>
      </c>
      <c r="L19362">
        <v>0</v>
      </c>
      <c r="M19362">
        <v>0</v>
      </c>
      <c r="N19362">
        <v>0</v>
      </c>
    </row>
    <row r="19363" spans="1:15">
      <c r="A19363" t="s">
        <v>57652</v>
      </c>
      <c r="B19363" t="s">
        <v>11637</v>
      </c>
      <c r="C19363" t="s">
        <v>12777</v>
      </c>
      <c r="D19363" t="s">
        <v>57653</v>
      </c>
      <c r="E19363" t="b">
        <v>0</v>
      </c>
      <c r="F19363" t="s">
        <v>11610</v>
      </c>
      <c r="L19363">
        <v>0</v>
      </c>
      <c r="M19363">
        <v>0</v>
      </c>
      <c r="N19363">
        <v>0</v>
      </c>
    </row>
    <row r="19364" spans="1:15">
      <c r="A19364" t="s">
        <v>57654</v>
      </c>
      <c r="B19364" t="s">
        <v>9071</v>
      </c>
      <c r="C19364" t="s">
        <v>41258</v>
      </c>
      <c r="D19364" t="s">
        <v>57655</v>
      </c>
      <c r="E19364" t="b">
        <v>0</v>
      </c>
      <c r="F19364" t="s">
        <v>11610</v>
      </c>
      <c r="G19364">
        <v>47.934100000000001</v>
      </c>
      <c r="H19364">
        <v>-122.13800000000001</v>
      </c>
      <c r="I19364" t="s">
        <v>57656</v>
      </c>
      <c r="L19364">
        <v>0</v>
      </c>
      <c r="M19364">
        <v>0</v>
      </c>
      <c r="N19364">
        <v>0</v>
      </c>
      <c r="O19364" t="s">
        <v>11944</v>
      </c>
    </row>
    <row r="19365" spans="1:15">
      <c r="A19365" t="s">
        <v>57657</v>
      </c>
      <c r="B19365" t="s">
        <v>9071</v>
      </c>
      <c r="C19365" t="s">
        <v>25673</v>
      </c>
      <c r="D19365" t="s">
        <v>57658</v>
      </c>
      <c r="E19365" t="b">
        <v>0</v>
      </c>
      <c r="F19365" t="s">
        <v>11610</v>
      </c>
      <c r="L19365">
        <v>0</v>
      </c>
      <c r="M19365">
        <v>0</v>
      </c>
      <c r="N19365">
        <v>0</v>
      </c>
    </row>
    <row r="19366" spans="1:15">
      <c r="A19366" t="s">
        <v>57659</v>
      </c>
      <c r="B19366" t="s">
        <v>367</v>
      </c>
      <c r="C19366" t="s">
        <v>13239</v>
      </c>
      <c r="D19366" t="s">
        <v>57660</v>
      </c>
      <c r="E19366" t="b">
        <v>0</v>
      </c>
      <c r="F19366" t="s">
        <v>11610</v>
      </c>
      <c r="L19366">
        <v>0</v>
      </c>
      <c r="M19366">
        <v>0</v>
      </c>
      <c r="N19366">
        <v>0</v>
      </c>
    </row>
    <row r="19367" spans="1:15">
      <c r="A19367" t="s">
        <v>57661</v>
      </c>
      <c r="B19367" t="s">
        <v>367</v>
      </c>
      <c r="C19367" t="s">
        <v>40130</v>
      </c>
      <c r="D19367" t="s">
        <v>57662</v>
      </c>
      <c r="E19367" t="b">
        <v>0</v>
      </c>
      <c r="F19367" t="s">
        <v>11624</v>
      </c>
      <c r="G19367">
        <v>-1.86998</v>
      </c>
      <c r="H19367">
        <v>138.75</v>
      </c>
      <c r="I19367" t="s">
        <v>57663</v>
      </c>
      <c r="L19367">
        <v>0</v>
      </c>
      <c r="M19367">
        <v>0</v>
      </c>
      <c r="N19367">
        <v>0</v>
      </c>
      <c r="O19367" t="s">
        <v>11768</v>
      </c>
    </row>
    <row r="19368" spans="1:15">
      <c r="A19368" t="s">
        <v>57664</v>
      </c>
      <c r="B19368" t="s">
        <v>367</v>
      </c>
      <c r="C19368" t="s">
        <v>14049</v>
      </c>
      <c r="D19368" t="s">
        <v>57665</v>
      </c>
      <c r="E19368" t="b">
        <v>0</v>
      </c>
      <c r="F19368" t="s">
        <v>11622</v>
      </c>
      <c r="L19368">
        <v>1</v>
      </c>
      <c r="M19368">
        <v>3</v>
      </c>
      <c r="N19368">
        <v>0</v>
      </c>
    </row>
    <row r="19369" spans="1:15">
      <c r="A19369" t="s">
        <v>40130</v>
      </c>
      <c r="B19369" t="s">
        <v>367</v>
      </c>
      <c r="C19369" t="s">
        <v>57664</v>
      </c>
      <c r="D19369" t="s">
        <v>57666</v>
      </c>
      <c r="E19369" t="b">
        <v>0</v>
      </c>
      <c r="F19369" t="s">
        <v>11622</v>
      </c>
      <c r="L19369">
        <v>0</v>
      </c>
      <c r="M19369">
        <v>2</v>
      </c>
      <c r="N19369">
        <v>0</v>
      </c>
    </row>
    <row r="19370" spans="1:15">
      <c r="A19370" t="s">
        <v>27171</v>
      </c>
      <c r="B19370" t="s">
        <v>6742</v>
      </c>
      <c r="C19370" t="s">
        <v>20795</v>
      </c>
      <c r="D19370" t="s">
        <v>57667</v>
      </c>
      <c r="E19370" t="b">
        <v>0</v>
      </c>
      <c r="F19370" t="s">
        <v>11624</v>
      </c>
      <c r="G19370">
        <v>3.6825700000000001</v>
      </c>
      <c r="H19370">
        <v>12.525</v>
      </c>
      <c r="I19370" t="s">
        <v>57668</v>
      </c>
      <c r="L19370">
        <v>0</v>
      </c>
      <c r="M19370">
        <v>0</v>
      </c>
      <c r="N19370">
        <v>2</v>
      </c>
      <c r="O19370" t="s">
        <v>11703</v>
      </c>
    </row>
    <row r="19371" spans="1:15">
      <c r="A19371" t="s">
        <v>57669</v>
      </c>
      <c r="B19371" t="s">
        <v>11637</v>
      </c>
      <c r="C19371" t="s">
        <v>55727</v>
      </c>
      <c r="D19371" t="s">
        <v>57670</v>
      </c>
      <c r="E19371" t="b">
        <v>0</v>
      </c>
      <c r="F19371" t="s">
        <v>11610</v>
      </c>
      <c r="L19371">
        <v>0</v>
      </c>
      <c r="M19371">
        <v>0</v>
      </c>
      <c r="N19371">
        <v>0</v>
      </c>
    </row>
    <row r="19372" spans="1:15">
      <c r="A19372" t="s">
        <v>57671</v>
      </c>
      <c r="B19372" t="s">
        <v>11879</v>
      </c>
      <c r="C19372" t="s">
        <v>22658</v>
      </c>
      <c r="D19372" t="s">
        <v>57672</v>
      </c>
      <c r="E19372" t="b">
        <v>0</v>
      </c>
      <c r="F19372" t="s">
        <v>11624</v>
      </c>
      <c r="G19372">
        <v>17.798500000000001</v>
      </c>
      <c r="H19372">
        <v>-96.607900000000001</v>
      </c>
      <c r="I19372" t="s">
        <v>57673</v>
      </c>
      <c r="L19372">
        <v>0</v>
      </c>
      <c r="M19372">
        <v>0</v>
      </c>
      <c r="N19372">
        <v>0</v>
      </c>
      <c r="O19372" t="s">
        <v>11883</v>
      </c>
    </row>
    <row r="19373" spans="1:15">
      <c r="A19373" t="s">
        <v>57674</v>
      </c>
      <c r="B19373" t="s">
        <v>12646</v>
      </c>
      <c r="C19373" t="s">
        <v>20664</v>
      </c>
      <c r="D19373" t="s">
        <v>57675</v>
      </c>
      <c r="E19373" t="b">
        <v>0</v>
      </c>
      <c r="F19373" t="s">
        <v>11610</v>
      </c>
      <c r="L19373">
        <v>0</v>
      </c>
      <c r="M19373">
        <v>0</v>
      </c>
      <c r="N19373">
        <v>0</v>
      </c>
    </row>
    <row r="19374" spans="1:15">
      <c r="A19374" t="s">
        <v>57676</v>
      </c>
      <c r="B19374" t="s">
        <v>11607</v>
      </c>
      <c r="C19374" t="s">
        <v>25061</v>
      </c>
      <c r="D19374" t="s">
        <v>57677</v>
      </c>
      <c r="E19374" t="b">
        <v>0</v>
      </c>
      <c r="F19374" t="s">
        <v>11610</v>
      </c>
      <c r="L19374">
        <v>0</v>
      </c>
      <c r="M19374">
        <v>0</v>
      </c>
      <c r="N19374">
        <v>0</v>
      </c>
    </row>
    <row r="19375" spans="1:15">
      <c r="A19375" t="s">
        <v>57678</v>
      </c>
      <c r="B19375" t="s">
        <v>6742</v>
      </c>
      <c r="C19375" t="s">
        <v>17280</v>
      </c>
      <c r="D19375" t="s">
        <v>57679</v>
      </c>
      <c r="E19375" t="b">
        <v>0</v>
      </c>
      <c r="F19375" t="s">
        <v>11624</v>
      </c>
      <c r="G19375">
        <v>1.25037</v>
      </c>
      <c r="H19375">
        <v>23.6907</v>
      </c>
      <c r="I19375" t="s">
        <v>57680</v>
      </c>
      <c r="L19375">
        <v>0</v>
      </c>
      <c r="M19375">
        <v>0</v>
      </c>
      <c r="N19375">
        <v>0</v>
      </c>
      <c r="O19375" t="s">
        <v>14825</v>
      </c>
    </row>
    <row r="19376" spans="1:15">
      <c r="A19376" t="s">
        <v>57681</v>
      </c>
      <c r="B19376" t="s">
        <v>11637</v>
      </c>
      <c r="C19376" t="s">
        <v>51714</v>
      </c>
      <c r="D19376" t="s">
        <v>57682</v>
      </c>
      <c r="E19376" t="b">
        <v>0</v>
      </c>
      <c r="F19376" t="s">
        <v>11610</v>
      </c>
      <c r="L19376">
        <v>0</v>
      </c>
      <c r="M19376">
        <v>0</v>
      </c>
      <c r="N19376">
        <v>0</v>
      </c>
    </row>
    <row r="19377" spans="1:15">
      <c r="A19377" t="s">
        <v>57683</v>
      </c>
      <c r="B19377" t="s">
        <v>11637</v>
      </c>
      <c r="C19377" t="s">
        <v>19415</v>
      </c>
      <c r="D19377" t="s">
        <v>57684</v>
      </c>
      <c r="E19377" t="b">
        <v>0</v>
      </c>
      <c r="F19377" t="s">
        <v>11610</v>
      </c>
      <c r="L19377">
        <v>0</v>
      </c>
      <c r="M19377">
        <v>0</v>
      </c>
      <c r="N19377">
        <v>0</v>
      </c>
    </row>
    <row r="19378" spans="1:15">
      <c r="A19378" t="s">
        <v>798</v>
      </c>
      <c r="B19378" t="s">
        <v>6742</v>
      </c>
      <c r="C19378" t="s">
        <v>35896</v>
      </c>
      <c r="D19378" t="s">
        <v>819</v>
      </c>
      <c r="E19378" t="b">
        <v>0</v>
      </c>
      <c r="F19378" t="s">
        <v>11624</v>
      </c>
      <c r="G19378">
        <v>0.40455999999999998</v>
      </c>
      <c r="H19378">
        <v>33.394199999999998</v>
      </c>
      <c r="I19378" t="s">
        <v>799</v>
      </c>
      <c r="L19378">
        <v>0</v>
      </c>
      <c r="M19378">
        <v>0</v>
      </c>
      <c r="N19378">
        <v>3</v>
      </c>
      <c r="O19378" t="s">
        <v>25786</v>
      </c>
    </row>
    <row r="19379" spans="1:15">
      <c r="A19379" t="s">
        <v>57685</v>
      </c>
      <c r="B19379" t="s">
        <v>11686</v>
      </c>
      <c r="C19379" t="s">
        <v>8688</v>
      </c>
      <c r="D19379" t="s">
        <v>57686</v>
      </c>
      <c r="E19379" t="b">
        <v>0</v>
      </c>
      <c r="F19379" t="s">
        <v>11610</v>
      </c>
      <c r="L19379">
        <v>0</v>
      </c>
      <c r="M19379">
        <v>0</v>
      </c>
      <c r="N19379">
        <v>0</v>
      </c>
    </row>
    <row r="19380" spans="1:15">
      <c r="A19380" t="s">
        <v>35896</v>
      </c>
      <c r="B19380" t="s">
        <v>6742</v>
      </c>
      <c r="C19380" t="s">
        <v>28532</v>
      </c>
      <c r="D19380" t="s">
        <v>57687</v>
      </c>
      <c r="E19380" t="b">
        <v>0</v>
      </c>
      <c r="F19380" t="s">
        <v>11622</v>
      </c>
      <c r="L19380">
        <v>0</v>
      </c>
      <c r="M19380">
        <v>2</v>
      </c>
      <c r="N19380">
        <v>3</v>
      </c>
    </row>
    <row r="19381" spans="1:15">
      <c r="A19381" t="s">
        <v>57688</v>
      </c>
      <c r="B19381" t="s">
        <v>11637</v>
      </c>
      <c r="C19381" t="s">
        <v>57689</v>
      </c>
      <c r="D19381" t="s">
        <v>57690</v>
      </c>
      <c r="E19381" t="b">
        <v>0</v>
      </c>
      <c r="F19381" t="s">
        <v>11624</v>
      </c>
      <c r="I19381" t="s">
        <v>57691</v>
      </c>
      <c r="L19381">
        <v>0</v>
      </c>
      <c r="M19381">
        <v>0</v>
      </c>
      <c r="N19381">
        <v>0</v>
      </c>
      <c r="O19381" t="s">
        <v>20164</v>
      </c>
    </row>
    <row r="19382" spans="1:15">
      <c r="A19382" t="s">
        <v>57689</v>
      </c>
      <c r="B19382" t="s">
        <v>11637</v>
      </c>
      <c r="C19382" t="s">
        <v>36392</v>
      </c>
      <c r="D19382" t="s">
        <v>57692</v>
      </c>
      <c r="E19382" t="b">
        <v>0</v>
      </c>
      <c r="F19382" t="s">
        <v>11622</v>
      </c>
      <c r="L19382">
        <v>0</v>
      </c>
      <c r="M19382">
        <v>2</v>
      </c>
      <c r="N19382">
        <v>2</v>
      </c>
    </row>
    <row r="19383" spans="1:15">
      <c r="A19383" t="s">
        <v>51591</v>
      </c>
      <c r="B19383" t="s">
        <v>11637</v>
      </c>
      <c r="C19383" t="s">
        <v>21963</v>
      </c>
      <c r="D19383" t="s">
        <v>57693</v>
      </c>
      <c r="E19383" t="b">
        <v>0</v>
      </c>
      <c r="F19383" t="s">
        <v>11622</v>
      </c>
      <c r="L19383">
        <v>3</v>
      </c>
      <c r="M19383">
        <v>5</v>
      </c>
      <c r="N19383">
        <v>9</v>
      </c>
    </row>
    <row r="19384" spans="1:15">
      <c r="A19384" t="s">
        <v>36392</v>
      </c>
      <c r="B19384" t="s">
        <v>11637</v>
      </c>
      <c r="C19384" t="s">
        <v>51591</v>
      </c>
      <c r="D19384" t="s">
        <v>57694</v>
      </c>
      <c r="E19384" t="b">
        <v>0</v>
      </c>
      <c r="F19384" t="s">
        <v>11622</v>
      </c>
      <c r="L19384">
        <v>1</v>
      </c>
      <c r="M19384">
        <v>3</v>
      </c>
      <c r="N19384">
        <v>2</v>
      </c>
    </row>
    <row r="19385" spans="1:15">
      <c r="A19385" t="s">
        <v>14968</v>
      </c>
      <c r="B19385" t="s">
        <v>11615</v>
      </c>
      <c r="C19385" t="s">
        <v>51626</v>
      </c>
      <c r="D19385" t="s">
        <v>57695</v>
      </c>
      <c r="E19385" t="b">
        <v>0</v>
      </c>
      <c r="F19385" t="s">
        <v>11622</v>
      </c>
      <c r="L19385">
        <v>5</v>
      </c>
      <c r="M19385">
        <v>10</v>
      </c>
      <c r="N19385">
        <v>2</v>
      </c>
    </row>
    <row r="19386" spans="1:15">
      <c r="A19386" t="s">
        <v>57696</v>
      </c>
      <c r="B19386" t="s">
        <v>6742</v>
      </c>
      <c r="C19386" t="s">
        <v>16074</v>
      </c>
      <c r="D19386" t="s">
        <v>57697</v>
      </c>
      <c r="E19386" t="b">
        <v>0</v>
      </c>
      <c r="F19386" t="s">
        <v>11610</v>
      </c>
      <c r="L19386">
        <v>0</v>
      </c>
      <c r="M19386">
        <v>0</v>
      </c>
      <c r="N19386">
        <v>0</v>
      </c>
    </row>
    <row r="19387" spans="1:15">
      <c r="A19387" t="s">
        <v>57698</v>
      </c>
      <c r="B19387" t="s">
        <v>11757</v>
      </c>
      <c r="C19387" t="s">
        <v>49659</v>
      </c>
      <c r="D19387" t="s">
        <v>57699</v>
      </c>
      <c r="E19387" t="b">
        <v>0</v>
      </c>
      <c r="F19387" t="s">
        <v>11610</v>
      </c>
      <c r="L19387">
        <v>0</v>
      </c>
      <c r="M19387">
        <v>0</v>
      </c>
      <c r="N19387">
        <v>0</v>
      </c>
    </row>
    <row r="19388" spans="1:15">
      <c r="A19388" t="s">
        <v>57700</v>
      </c>
      <c r="B19388" t="s">
        <v>13276</v>
      </c>
      <c r="C19388" t="s">
        <v>17965</v>
      </c>
      <c r="D19388" t="s">
        <v>57701</v>
      </c>
      <c r="E19388" t="b">
        <v>0</v>
      </c>
      <c r="F19388" t="s">
        <v>11610</v>
      </c>
      <c r="L19388">
        <v>0</v>
      </c>
      <c r="M19388">
        <v>0</v>
      </c>
      <c r="N19388">
        <v>0</v>
      </c>
    </row>
    <row r="19389" spans="1:15">
      <c r="A19389" t="s">
        <v>57702</v>
      </c>
      <c r="B19389" t="s">
        <v>11637</v>
      </c>
      <c r="C19389" t="s">
        <v>35319</v>
      </c>
      <c r="D19389" t="s">
        <v>57703</v>
      </c>
      <c r="E19389" t="b">
        <v>0</v>
      </c>
      <c r="F19389" t="s">
        <v>11624</v>
      </c>
      <c r="G19389">
        <v>31.854199999999999</v>
      </c>
      <c r="H19389">
        <v>54.596400000000003</v>
      </c>
      <c r="I19389" t="s">
        <v>57704</v>
      </c>
      <c r="L19389">
        <v>0</v>
      </c>
      <c r="M19389">
        <v>0</v>
      </c>
      <c r="N19389">
        <v>0</v>
      </c>
      <c r="O19389" t="s">
        <v>13225</v>
      </c>
    </row>
    <row r="19390" spans="1:15">
      <c r="A19390" t="s">
        <v>57705</v>
      </c>
      <c r="B19390" t="s">
        <v>367</v>
      </c>
      <c r="C19390" t="s">
        <v>49775</v>
      </c>
      <c r="D19390" t="s">
        <v>57706</v>
      </c>
      <c r="E19390" t="b">
        <v>0</v>
      </c>
      <c r="F19390" t="s">
        <v>11610</v>
      </c>
      <c r="L19390">
        <v>0</v>
      </c>
      <c r="M19390">
        <v>0</v>
      </c>
      <c r="N19390">
        <v>0</v>
      </c>
    </row>
    <row r="19391" spans="1:15">
      <c r="A19391" t="s">
        <v>57707</v>
      </c>
      <c r="B19391" t="s">
        <v>367</v>
      </c>
      <c r="C19391" t="s">
        <v>17635</v>
      </c>
      <c r="D19391" t="s">
        <v>57708</v>
      </c>
      <c r="E19391" t="b">
        <v>0</v>
      </c>
      <c r="F19391" t="s">
        <v>11610</v>
      </c>
      <c r="L19391">
        <v>0</v>
      </c>
      <c r="M19391">
        <v>0</v>
      </c>
      <c r="N19391">
        <v>0</v>
      </c>
    </row>
    <row r="19392" spans="1:15">
      <c r="A19392" t="s">
        <v>57709</v>
      </c>
      <c r="B19392" t="s">
        <v>12438</v>
      </c>
      <c r="C19392" t="s">
        <v>32486</v>
      </c>
      <c r="D19392" t="s">
        <v>57710</v>
      </c>
      <c r="E19392" t="b">
        <v>0</v>
      </c>
      <c r="F19392" t="s">
        <v>11610</v>
      </c>
      <c r="G19392">
        <v>15.166499999999999</v>
      </c>
      <c r="H19392">
        <v>106.84</v>
      </c>
      <c r="I19392" t="s">
        <v>57711</v>
      </c>
      <c r="L19392">
        <v>0</v>
      </c>
      <c r="M19392">
        <v>0</v>
      </c>
      <c r="N19392">
        <v>0</v>
      </c>
      <c r="O19392" t="s">
        <v>12921</v>
      </c>
    </row>
    <row r="19393" spans="1:15">
      <c r="A19393" t="s">
        <v>57712</v>
      </c>
      <c r="B19393" t="s">
        <v>6742</v>
      </c>
      <c r="C19393" t="s">
        <v>16901</v>
      </c>
      <c r="D19393" t="s">
        <v>57713</v>
      </c>
      <c r="E19393" t="b">
        <v>0</v>
      </c>
      <c r="F19393" t="s">
        <v>11610</v>
      </c>
      <c r="L19393">
        <v>0</v>
      </c>
      <c r="M19393">
        <v>0</v>
      </c>
      <c r="N19393">
        <v>0</v>
      </c>
    </row>
    <row r="19394" spans="1:15">
      <c r="A19394" t="s">
        <v>57714</v>
      </c>
      <c r="B19394" t="s">
        <v>6742</v>
      </c>
      <c r="C19394" t="s">
        <v>32328</v>
      </c>
      <c r="D19394" t="s">
        <v>57715</v>
      </c>
      <c r="E19394" t="b">
        <v>0</v>
      </c>
      <c r="F19394" t="s">
        <v>11610</v>
      </c>
      <c r="L19394">
        <v>0</v>
      </c>
      <c r="M19394">
        <v>0</v>
      </c>
      <c r="N19394">
        <v>0</v>
      </c>
    </row>
    <row r="19395" spans="1:15">
      <c r="A19395" t="s">
        <v>57716</v>
      </c>
      <c r="B19395" t="s">
        <v>12514</v>
      </c>
      <c r="C19395" t="s">
        <v>12514</v>
      </c>
      <c r="D19395" t="s">
        <v>57717</v>
      </c>
      <c r="E19395" t="b">
        <v>0</v>
      </c>
      <c r="F19395" t="s">
        <v>11610</v>
      </c>
      <c r="L19395">
        <v>0</v>
      </c>
      <c r="M19395">
        <v>0</v>
      </c>
      <c r="N19395">
        <v>0</v>
      </c>
    </row>
    <row r="19396" spans="1:15">
      <c r="A19396" t="s">
        <v>17682</v>
      </c>
      <c r="B19396" t="s">
        <v>11607</v>
      </c>
      <c r="C19396" t="s">
        <v>55003</v>
      </c>
      <c r="D19396" t="s">
        <v>57718</v>
      </c>
      <c r="E19396" t="b">
        <v>0</v>
      </c>
      <c r="F19396" t="s">
        <v>11624</v>
      </c>
      <c r="G19396">
        <v>11.4634</v>
      </c>
      <c r="H19396">
        <v>17.642299999999999</v>
      </c>
      <c r="I19396" t="s">
        <v>57719</v>
      </c>
      <c r="L19396">
        <v>0</v>
      </c>
      <c r="M19396">
        <v>0</v>
      </c>
      <c r="N19396">
        <v>2</v>
      </c>
      <c r="O19396" t="s">
        <v>13421</v>
      </c>
    </row>
    <row r="19397" spans="1:15">
      <c r="A19397" t="s">
        <v>57720</v>
      </c>
      <c r="B19397" t="s">
        <v>11607</v>
      </c>
      <c r="C19397" t="s">
        <v>12022</v>
      </c>
      <c r="D19397" t="s">
        <v>57721</v>
      </c>
      <c r="E19397" t="b">
        <v>0</v>
      </c>
      <c r="F19397" t="s">
        <v>11610</v>
      </c>
      <c r="L19397">
        <v>0</v>
      </c>
      <c r="M19397">
        <v>0</v>
      </c>
      <c r="N19397">
        <v>0</v>
      </c>
    </row>
    <row r="19398" spans="1:15">
      <c r="A19398" t="s">
        <v>57722</v>
      </c>
      <c r="B19398" t="s">
        <v>11644</v>
      </c>
      <c r="C19398" t="s">
        <v>34617</v>
      </c>
      <c r="D19398" t="s">
        <v>57723</v>
      </c>
      <c r="E19398" t="b">
        <v>0</v>
      </c>
      <c r="F19398" t="s">
        <v>11610</v>
      </c>
      <c r="L19398">
        <v>0</v>
      </c>
      <c r="M19398">
        <v>0</v>
      </c>
      <c r="N19398">
        <v>0</v>
      </c>
    </row>
    <row r="19399" spans="1:15">
      <c r="A19399" t="s">
        <v>57724</v>
      </c>
      <c r="B19399" t="s">
        <v>11607</v>
      </c>
      <c r="C19399" t="s">
        <v>57470</v>
      </c>
      <c r="D19399" t="s">
        <v>57725</v>
      </c>
      <c r="E19399" t="b">
        <v>0</v>
      </c>
      <c r="F19399" t="s">
        <v>11610</v>
      </c>
      <c r="L19399">
        <v>0</v>
      </c>
      <c r="M19399">
        <v>0</v>
      </c>
      <c r="N19399">
        <v>0</v>
      </c>
    </row>
    <row r="19400" spans="1:15">
      <c r="A19400" t="s">
        <v>57726</v>
      </c>
      <c r="B19400" t="s">
        <v>17579</v>
      </c>
      <c r="C19400" t="s">
        <v>26368</v>
      </c>
      <c r="D19400" t="s">
        <v>57727</v>
      </c>
      <c r="E19400" t="b">
        <v>0</v>
      </c>
      <c r="F19400" t="s">
        <v>11610</v>
      </c>
      <c r="L19400">
        <v>0</v>
      </c>
      <c r="M19400">
        <v>0</v>
      </c>
      <c r="N19400">
        <v>0</v>
      </c>
    </row>
    <row r="19401" spans="1:15">
      <c r="A19401" t="s">
        <v>52578</v>
      </c>
      <c r="B19401" t="s">
        <v>367</v>
      </c>
      <c r="C19401" t="s">
        <v>26561</v>
      </c>
      <c r="D19401" t="s">
        <v>57728</v>
      </c>
      <c r="E19401" t="b">
        <v>0</v>
      </c>
      <c r="F19401" t="s">
        <v>11622</v>
      </c>
      <c r="L19401">
        <v>9</v>
      </c>
      <c r="M19401">
        <v>12</v>
      </c>
      <c r="N19401">
        <v>24</v>
      </c>
    </row>
    <row r="19402" spans="1:15">
      <c r="A19402" t="s">
        <v>57729</v>
      </c>
      <c r="B19402" t="s">
        <v>6742</v>
      </c>
      <c r="C19402" t="s">
        <v>21881</v>
      </c>
      <c r="D19402" t="s">
        <v>57730</v>
      </c>
      <c r="E19402" t="b">
        <v>0</v>
      </c>
      <c r="F19402" t="s">
        <v>11624</v>
      </c>
      <c r="G19402">
        <v>-15.5213</v>
      </c>
      <c r="H19402">
        <v>28.793399999999998</v>
      </c>
      <c r="I19402" t="s">
        <v>57731</v>
      </c>
      <c r="L19402">
        <v>0</v>
      </c>
      <c r="M19402">
        <v>0</v>
      </c>
      <c r="N19402">
        <v>0</v>
      </c>
      <c r="O19402" t="s">
        <v>32215</v>
      </c>
    </row>
    <row r="19403" spans="1:15">
      <c r="A19403" t="s">
        <v>57732</v>
      </c>
      <c r="B19403" t="s">
        <v>11637</v>
      </c>
      <c r="C19403" t="s">
        <v>19415</v>
      </c>
      <c r="D19403" t="s">
        <v>57733</v>
      </c>
      <c r="E19403" t="b">
        <v>0</v>
      </c>
      <c r="F19403" t="s">
        <v>11610</v>
      </c>
      <c r="L19403">
        <v>0</v>
      </c>
      <c r="M19403">
        <v>0</v>
      </c>
      <c r="N19403">
        <v>0</v>
      </c>
    </row>
    <row r="19404" spans="1:15">
      <c r="A19404" t="s">
        <v>57734</v>
      </c>
      <c r="B19404" t="s">
        <v>42705</v>
      </c>
      <c r="C19404" t="s">
        <v>42705</v>
      </c>
      <c r="D19404" t="s">
        <v>57735</v>
      </c>
      <c r="E19404" t="b">
        <v>0</v>
      </c>
      <c r="F19404" t="s">
        <v>11610</v>
      </c>
      <c r="L19404">
        <v>0</v>
      </c>
      <c r="M19404">
        <v>0</v>
      </c>
      <c r="N19404">
        <v>0</v>
      </c>
    </row>
    <row r="19405" spans="1:15">
      <c r="A19405" t="s">
        <v>57736</v>
      </c>
      <c r="B19405" t="s">
        <v>367</v>
      </c>
      <c r="C19405" t="s">
        <v>46992</v>
      </c>
      <c r="D19405" t="s">
        <v>57737</v>
      </c>
      <c r="E19405" t="b">
        <v>0</v>
      </c>
      <c r="F19405" t="s">
        <v>11624</v>
      </c>
      <c r="G19405">
        <v>-5.4104200000000002</v>
      </c>
      <c r="H19405">
        <v>154.624</v>
      </c>
      <c r="I19405" t="s">
        <v>57738</v>
      </c>
      <c r="L19405">
        <v>0</v>
      </c>
      <c r="M19405">
        <v>0</v>
      </c>
      <c r="N19405">
        <v>0</v>
      </c>
      <c r="O19405" t="s">
        <v>11660</v>
      </c>
    </row>
    <row r="19406" spans="1:15">
      <c r="A19406" t="s">
        <v>14382</v>
      </c>
      <c r="B19406" t="s">
        <v>367</v>
      </c>
      <c r="C19406" t="s">
        <v>12500</v>
      </c>
      <c r="D19406" t="s">
        <v>57739</v>
      </c>
      <c r="E19406" t="b">
        <v>0</v>
      </c>
      <c r="F19406" t="s">
        <v>11624</v>
      </c>
      <c r="G19406">
        <v>-5.8612900000000003</v>
      </c>
      <c r="H19406">
        <v>148.82499999999999</v>
      </c>
      <c r="I19406" t="s">
        <v>57740</v>
      </c>
      <c r="L19406">
        <v>0</v>
      </c>
      <c r="M19406">
        <v>0</v>
      </c>
      <c r="N19406">
        <v>1</v>
      </c>
      <c r="O19406" t="s">
        <v>11660</v>
      </c>
    </row>
    <row r="19407" spans="1:15">
      <c r="A19407" t="s">
        <v>57741</v>
      </c>
      <c r="B19407" t="s">
        <v>367</v>
      </c>
      <c r="C19407" t="s">
        <v>15834</v>
      </c>
      <c r="D19407" t="s">
        <v>57742</v>
      </c>
      <c r="E19407" t="b">
        <v>0</v>
      </c>
      <c r="F19407" t="s">
        <v>11610</v>
      </c>
      <c r="L19407">
        <v>0</v>
      </c>
      <c r="M19407">
        <v>0</v>
      </c>
      <c r="N19407">
        <v>0</v>
      </c>
    </row>
    <row r="19408" spans="1:15">
      <c r="A19408" t="s">
        <v>21922</v>
      </c>
      <c r="B19408" t="s">
        <v>367</v>
      </c>
      <c r="C19408" t="s">
        <v>49083</v>
      </c>
      <c r="D19408" t="s">
        <v>57743</v>
      </c>
      <c r="E19408" t="b">
        <v>0</v>
      </c>
      <c r="F19408" t="s">
        <v>11622</v>
      </c>
      <c r="L19408">
        <v>8</v>
      </c>
      <c r="M19408">
        <v>18</v>
      </c>
      <c r="N19408">
        <v>33</v>
      </c>
    </row>
    <row r="19409" spans="1:15">
      <c r="A19409" t="s">
        <v>57744</v>
      </c>
      <c r="B19409" t="s">
        <v>13450</v>
      </c>
      <c r="C19409" t="s">
        <v>13451</v>
      </c>
      <c r="D19409" t="s">
        <v>57745</v>
      </c>
      <c r="E19409" t="b">
        <v>0</v>
      </c>
      <c r="F19409" t="s">
        <v>11624</v>
      </c>
      <c r="L19409">
        <v>0</v>
      </c>
      <c r="M19409">
        <v>0</v>
      </c>
      <c r="N19409">
        <v>0</v>
      </c>
      <c r="O19409" t="s">
        <v>12748</v>
      </c>
    </row>
    <row r="19410" spans="1:15">
      <c r="A19410" t="s">
        <v>57746</v>
      </c>
      <c r="B19410" t="s">
        <v>11981</v>
      </c>
      <c r="C19410" t="s">
        <v>11982</v>
      </c>
      <c r="D19410" t="s">
        <v>57747</v>
      </c>
      <c r="E19410" t="b">
        <v>0</v>
      </c>
      <c r="F19410" t="s">
        <v>11624</v>
      </c>
      <c r="G19410">
        <v>-9.4539749999999998</v>
      </c>
      <c r="H19410">
        <v>159.966938</v>
      </c>
      <c r="I19410" t="s">
        <v>57748</v>
      </c>
      <c r="L19410">
        <v>0</v>
      </c>
      <c r="M19410">
        <v>0</v>
      </c>
      <c r="N19410">
        <v>0</v>
      </c>
      <c r="O19410" t="s">
        <v>13346</v>
      </c>
    </row>
    <row r="19411" spans="1:15">
      <c r="A19411" t="s">
        <v>57749</v>
      </c>
      <c r="B19411" t="s">
        <v>11637</v>
      </c>
      <c r="C19411" t="s">
        <v>27971</v>
      </c>
      <c r="D19411" t="s">
        <v>57750</v>
      </c>
      <c r="E19411" t="b">
        <v>0</v>
      </c>
      <c r="F19411" t="s">
        <v>11610</v>
      </c>
      <c r="L19411">
        <v>0</v>
      </c>
      <c r="M19411">
        <v>0</v>
      </c>
      <c r="N19411">
        <v>0</v>
      </c>
    </row>
    <row r="19412" spans="1:15">
      <c r="A19412" t="s">
        <v>57751</v>
      </c>
      <c r="B19412" t="s">
        <v>11879</v>
      </c>
      <c r="C19412" t="s">
        <v>50213</v>
      </c>
      <c r="D19412" t="s">
        <v>57752</v>
      </c>
      <c r="E19412" t="b">
        <v>0</v>
      </c>
      <c r="F19412" t="s">
        <v>11624</v>
      </c>
      <c r="G19412">
        <v>16.54</v>
      </c>
      <c r="H19412">
        <v>-96.96</v>
      </c>
      <c r="L19412">
        <v>0</v>
      </c>
      <c r="M19412">
        <v>0</v>
      </c>
      <c r="N19412">
        <v>0</v>
      </c>
      <c r="O19412" t="s">
        <v>11883</v>
      </c>
    </row>
    <row r="19413" spans="1:15">
      <c r="A19413" t="s">
        <v>57753</v>
      </c>
      <c r="B19413" t="s">
        <v>11644</v>
      </c>
      <c r="C19413" t="s">
        <v>36360</v>
      </c>
      <c r="D19413" t="s">
        <v>57754</v>
      </c>
      <c r="E19413" t="b">
        <v>0</v>
      </c>
      <c r="F19413" t="s">
        <v>11610</v>
      </c>
      <c r="L19413">
        <v>0</v>
      </c>
      <c r="M19413">
        <v>0</v>
      </c>
      <c r="N19413">
        <v>0</v>
      </c>
    </row>
    <row r="19414" spans="1:15">
      <c r="A19414" t="s">
        <v>57755</v>
      </c>
      <c r="B19414" t="s">
        <v>12438</v>
      </c>
      <c r="C19414" t="s">
        <v>57756</v>
      </c>
      <c r="D19414" t="s">
        <v>57757</v>
      </c>
      <c r="E19414" t="b">
        <v>0</v>
      </c>
      <c r="F19414" t="s">
        <v>11610</v>
      </c>
      <c r="L19414">
        <v>0</v>
      </c>
      <c r="M19414">
        <v>0</v>
      </c>
      <c r="N19414">
        <v>0</v>
      </c>
    </row>
    <row r="19415" spans="1:15">
      <c r="A19415" t="s">
        <v>45129</v>
      </c>
      <c r="D19415" t="s">
        <v>57758</v>
      </c>
      <c r="E19415" t="b">
        <v>0</v>
      </c>
      <c r="F19415" t="s">
        <v>11622</v>
      </c>
      <c r="L19415">
        <v>0</v>
      </c>
      <c r="M19415">
        <v>2</v>
      </c>
      <c r="N19415">
        <v>0</v>
      </c>
    </row>
    <row r="19416" spans="1:15">
      <c r="A19416" t="s">
        <v>765</v>
      </c>
      <c r="B19416" t="s">
        <v>11607</v>
      </c>
      <c r="C19416" t="s">
        <v>16031</v>
      </c>
      <c r="D19416" t="s">
        <v>57759</v>
      </c>
      <c r="E19416" t="b">
        <v>0</v>
      </c>
      <c r="F19416" t="s">
        <v>11624</v>
      </c>
      <c r="G19416">
        <v>4.7787040000000003</v>
      </c>
      <c r="H19416">
        <v>45.152856</v>
      </c>
      <c r="I19416" t="s">
        <v>57760</v>
      </c>
      <c r="L19416">
        <v>0</v>
      </c>
      <c r="M19416">
        <v>0</v>
      </c>
      <c r="N19416">
        <v>5</v>
      </c>
      <c r="O19416" t="s">
        <v>57761</v>
      </c>
    </row>
    <row r="19417" spans="1:15">
      <c r="A19417" t="s">
        <v>57762</v>
      </c>
      <c r="B19417" t="s">
        <v>11615</v>
      </c>
      <c r="C19417" t="s">
        <v>20545</v>
      </c>
      <c r="D19417" t="s">
        <v>57763</v>
      </c>
      <c r="E19417" t="b">
        <v>0</v>
      </c>
      <c r="F19417" t="s">
        <v>11610</v>
      </c>
      <c r="L19417">
        <v>0</v>
      </c>
      <c r="M19417">
        <v>0</v>
      </c>
      <c r="N19417">
        <v>0</v>
      </c>
    </row>
    <row r="19418" spans="1:15">
      <c r="A19418" t="s">
        <v>57764</v>
      </c>
      <c r="B19418" t="s">
        <v>27756</v>
      </c>
      <c r="C19418" t="s">
        <v>27756</v>
      </c>
      <c r="D19418" t="s">
        <v>57765</v>
      </c>
      <c r="E19418" t="b">
        <v>0</v>
      </c>
      <c r="F19418" t="s">
        <v>11610</v>
      </c>
      <c r="L19418">
        <v>0</v>
      </c>
      <c r="M19418">
        <v>0</v>
      </c>
      <c r="N19418">
        <v>0</v>
      </c>
    </row>
    <row r="19419" spans="1:15">
      <c r="A19419" t="s">
        <v>57766</v>
      </c>
      <c r="B19419" t="s">
        <v>11615</v>
      </c>
      <c r="C19419" t="s">
        <v>55162</v>
      </c>
      <c r="D19419" t="s">
        <v>57767</v>
      </c>
      <c r="E19419" t="b">
        <v>0</v>
      </c>
      <c r="F19419" t="s">
        <v>11624</v>
      </c>
      <c r="G19419">
        <v>-6.0736600000000003</v>
      </c>
      <c r="H19419">
        <v>146.65100000000001</v>
      </c>
      <c r="I19419" t="s">
        <v>57768</v>
      </c>
      <c r="L19419">
        <v>0</v>
      </c>
      <c r="M19419">
        <v>0</v>
      </c>
      <c r="N19419">
        <v>0</v>
      </c>
      <c r="O19419" t="s">
        <v>11660</v>
      </c>
    </row>
    <row r="19420" spans="1:15">
      <c r="A19420" t="s">
        <v>57769</v>
      </c>
      <c r="B19420" t="s">
        <v>13276</v>
      </c>
      <c r="C19420" t="s">
        <v>16406</v>
      </c>
      <c r="D19420" t="s">
        <v>57770</v>
      </c>
      <c r="E19420" t="b">
        <v>0</v>
      </c>
      <c r="F19420" t="s">
        <v>11610</v>
      </c>
      <c r="L19420">
        <v>0</v>
      </c>
      <c r="M19420">
        <v>0</v>
      </c>
      <c r="N19420">
        <v>0</v>
      </c>
    </row>
    <row r="19421" spans="1:15">
      <c r="A19421" t="s">
        <v>57771</v>
      </c>
      <c r="B19421" t="s">
        <v>12438</v>
      </c>
      <c r="C19421" t="s">
        <v>21956</v>
      </c>
      <c r="D19421" t="s">
        <v>57772</v>
      </c>
      <c r="E19421" t="b">
        <v>0</v>
      </c>
      <c r="F19421" t="s">
        <v>11624</v>
      </c>
      <c r="G19421">
        <v>12.243</v>
      </c>
      <c r="H19421">
        <v>103.139</v>
      </c>
      <c r="I19421" t="s">
        <v>57773</v>
      </c>
      <c r="L19421">
        <v>0</v>
      </c>
      <c r="M19421">
        <v>0</v>
      </c>
      <c r="N19421">
        <v>0</v>
      </c>
      <c r="O19421" t="s">
        <v>20983</v>
      </c>
    </row>
    <row r="19422" spans="1:15">
      <c r="A19422" t="s">
        <v>57774</v>
      </c>
      <c r="B19422" t="s">
        <v>11607</v>
      </c>
      <c r="C19422" t="s">
        <v>26419</v>
      </c>
      <c r="D19422" t="s">
        <v>57775</v>
      </c>
      <c r="E19422" t="b">
        <v>0</v>
      </c>
      <c r="F19422" t="s">
        <v>11624</v>
      </c>
      <c r="G19422">
        <v>9.6589700000000001</v>
      </c>
      <c r="H19422">
        <v>16.6784</v>
      </c>
      <c r="I19422" t="s">
        <v>57776</v>
      </c>
      <c r="L19422">
        <v>0</v>
      </c>
      <c r="M19422">
        <v>0</v>
      </c>
      <c r="N19422">
        <v>0</v>
      </c>
      <c r="O19422" t="s">
        <v>13421</v>
      </c>
    </row>
    <row r="19423" spans="1:15">
      <c r="A19423" t="s">
        <v>57777</v>
      </c>
      <c r="B19423" t="s">
        <v>367</v>
      </c>
      <c r="C19423" t="s">
        <v>24265</v>
      </c>
      <c r="D19423" t="s">
        <v>57778</v>
      </c>
      <c r="E19423" t="b">
        <v>0</v>
      </c>
      <c r="F19423" t="s">
        <v>11610</v>
      </c>
      <c r="L19423">
        <v>0</v>
      </c>
      <c r="M19423">
        <v>0</v>
      </c>
      <c r="N19423">
        <v>0</v>
      </c>
    </row>
    <row r="19424" spans="1:15">
      <c r="A19424" t="s">
        <v>57779</v>
      </c>
      <c r="B19424" t="s">
        <v>6742</v>
      </c>
      <c r="C19424" t="s">
        <v>57780</v>
      </c>
      <c r="D19424" t="s">
        <v>57781</v>
      </c>
      <c r="E19424" t="b">
        <v>0</v>
      </c>
      <c r="F19424" t="s">
        <v>11624</v>
      </c>
      <c r="G19424">
        <v>6.9052499999999997</v>
      </c>
      <c r="H19424">
        <v>11.4826</v>
      </c>
      <c r="I19424" t="s">
        <v>57782</v>
      </c>
      <c r="L19424">
        <v>0</v>
      </c>
      <c r="M19424">
        <v>0</v>
      </c>
      <c r="N19424">
        <v>0</v>
      </c>
      <c r="O19424" t="s">
        <v>11693</v>
      </c>
    </row>
    <row r="19425" spans="1:15">
      <c r="A19425" t="s">
        <v>57783</v>
      </c>
      <c r="B19425" t="s">
        <v>11844</v>
      </c>
      <c r="C19425" t="s">
        <v>1304</v>
      </c>
      <c r="D19425" t="s">
        <v>57784</v>
      </c>
      <c r="E19425" t="b">
        <v>0</v>
      </c>
      <c r="F19425" t="s">
        <v>11610</v>
      </c>
      <c r="L19425">
        <v>0</v>
      </c>
      <c r="M19425">
        <v>0</v>
      </c>
      <c r="N19425">
        <v>0</v>
      </c>
    </row>
    <row r="19426" spans="1:15">
      <c r="A19426" t="s">
        <v>57785</v>
      </c>
      <c r="B19426" t="s">
        <v>4342</v>
      </c>
      <c r="C19426" t="s">
        <v>30832</v>
      </c>
      <c r="D19426" t="s">
        <v>57786</v>
      </c>
      <c r="E19426" t="b">
        <v>0</v>
      </c>
      <c r="F19426" t="s">
        <v>11610</v>
      </c>
      <c r="L19426">
        <v>0</v>
      </c>
      <c r="M19426">
        <v>0</v>
      </c>
      <c r="N19426">
        <v>0</v>
      </c>
    </row>
    <row r="19427" spans="1:15">
      <c r="A19427" t="s">
        <v>57787</v>
      </c>
      <c r="B19427" t="s">
        <v>11644</v>
      </c>
      <c r="C19427" t="s">
        <v>37882</v>
      </c>
      <c r="D19427" t="s">
        <v>57788</v>
      </c>
      <c r="E19427" t="b">
        <v>0</v>
      </c>
      <c r="F19427" t="s">
        <v>11624</v>
      </c>
      <c r="G19427">
        <v>26.55</v>
      </c>
      <c r="H19427">
        <v>103.33</v>
      </c>
      <c r="I19427" t="s">
        <v>57789</v>
      </c>
      <c r="L19427">
        <v>0</v>
      </c>
      <c r="M19427">
        <v>0</v>
      </c>
      <c r="N19427">
        <v>0</v>
      </c>
      <c r="O19427" t="s">
        <v>11630</v>
      </c>
    </row>
    <row r="19428" spans="1:15">
      <c r="A19428" t="s">
        <v>57790</v>
      </c>
      <c r="B19428" t="s">
        <v>11637</v>
      </c>
      <c r="C19428" t="s">
        <v>15671</v>
      </c>
      <c r="D19428" t="s">
        <v>57791</v>
      </c>
      <c r="E19428" t="b">
        <v>0</v>
      </c>
      <c r="F19428" t="s">
        <v>11610</v>
      </c>
      <c r="L19428">
        <v>0</v>
      </c>
      <c r="M19428">
        <v>0</v>
      </c>
      <c r="N19428">
        <v>0</v>
      </c>
    </row>
    <row r="19429" spans="1:15">
      <c r="A19429" t="s">
        <v>57792</v>
      </c>
      <c r="B19429" t="s">
        <v>11637</v>
      </c>
      <c r="C19429" t="s">
        <v>15671</v>
      </c>
      <c r="D19429" t="s">
        <v>57793</v>
      </c>
      <c r="E19429" t="b">
        <v>0</v>
      </c>
      <c r="F19429" t="s">
        <v>11610</v>
      </c>
      <c r="L19429">
        <v>0</v>
      </c>
      <c r="M19429">
        <v>0</v>
      </c>
      <c r="N19429">
        <v>0</v>
      </c>
    </row>
    <row r="19430" spans="1:15">
      <c r="A19430" t="s">
        <v>57794</v>
      </c>
      <c r="B19430" t="s">
        <v>6742</v>
      </c>
      <c r="C19430" t="s">
        <v>43615</v>
      </c>
      <c r="D19430" t="s">
        <v>57795</v>
      </c>
      <c r="E19430" t="b">
        <v>0</v>
      </c>
      <c r="F19430" t="s">
        <v>11624</v>
      </c>
      <c r="G19430">
        <v>-6.3222300000000002</v>
      </c>
      <c r="H19430">
        <v>18.355499999999999</v>
      </c>
      <c r="I19430" t="s">
        <v>57796</v>
      </c>
      <c r="L19430">
        <v>0</v>
      </c>
      <c r="M19430">
        <v>0</v>
      </c>
      <c r="N19430">
        <v>0</v>
      </c>
      <c r="O19430" t="s">
        <v>14825</v>
      </c>
    </row>
    <row r="19431" spans="1:15">
      <c r="A19431" t="s">
        <v>57797</v>
      </c>
      <c r="B19431" t="s">
        <v>367</v>
      </c>
      <c r="C19431" t="s">
        <v>39348</v>
      </c>
      <c r="D19431" t="s">
        <v>57798</v>
      </c>
      <c r="E19431" t="b">
        <v>0</v>
      </c>
      <c r="F19431" t="s">
        <v>11610</v>
      </c>
      <c r="L19431">
        <v>0</v>
      </c>
      <c r="M19431">
        <v>0</v>
      </c>
      <c r="N19431">
        <v>0</v>
      </c>
    </row>
    <row r="19432" spans="1:15">
      <c r="A19432" t="s">
        <v>57799</v>
      </c>
      <c r="B19432" t="s">
        <v>367</v>
      </c>
      <c r="C19432" t="s">
        <v>19734</v>
      </c>
      <c r="D19432" t="s">
        <v>57800</v>
      </c>
      <c r="E19432" t="b">
        <v>0</v>
      </c>
      <c r="F19432" t="s">
        <v>11610</v>
      </c>
      <c r="L19432">
        <v>0</v>
      </c>
      <c r="M19432">
        <v>0</v>
      </c>
      <c r="N19432">
        <v>0</v>
      </c>
    </row>
    <row r="19433" spans="1:15">
      <c r="A19433" t="s">
        <v>57801</v>
      </c>
      <c r="B19433" t="s">
        <v>11644</v>
      </c>
      <c r="C19433" t="s">
        <v>54722</v>
      </c>
      <c r="D19433" t="s">
        <v>57802</v>
      </c>
      <c r="E19433" t="b">
        <v>0</v>
      </c>
      <c r="F19433" t="s">
        <v>11610</v>
      </c>
      <c r="L19433">
        <v>0</v>
      </c>
      <c r="M19433">
        <v>0</v>
      </c>
      <c r="N19433">
        <v>0</v>
      </c>
    </row>
    <row r="19434" spans="1:15">
      <c r="A19434" t="s">
        <v>57803</v>
      </c>
      <c r="B19434" t="s">
        <v>6742</v>
      </c>
      <c r="C19434" t="s">
        <v>47503</v>
      </c>
      <c r="D19434" t="s">
        <v>57804</v>
      </c>
      <c r="E19434" t="b">
        <v>0</v>
      </c>
      <c r="F19434" t="s">
        <v>11624</v>
      </c>
      <c r="G19434">
        <v>-4.5505699999999996</v>
      </c>
      <c r="H19434">
        <v>18.497800000000002</v>
      </c>
      <c r="I19434" t="s">
        <v>57805</v>
      </c>
      <c r="L19434">
        <v>0</v>
      </c>
      <c r="M19434">
        <v>0</v>
      </c>
      <c r="N19434">
        <v>0</v>
      </c>
      <c r="O19434" t="s">
        <v>14825</v>
      </c>
    </row>
    <row r="19435" spans="1:15">
      <c r="A19435" t="s">
        <v>29044</v>
      </c>
      <c r="B19435" t="s">
        <v>6742</v>
      </c>
      <c r="C19435" t="s">
        <v>17875</v>
      </c>
      <c r="D19435" t="s">
        <v>57806</v>
      </c>
      <c r="E19435" t="b">
        <v>0</v>
      </c>
      <c r="F19435" t="s">
        <v>11624</v>
      </c>
      <c r="G19435">
        <v>-2.2187100000000002</v>
      </c>
      <c r="H19435">
        <v>26.3477</v>
      </c>
      <c r="I19435" t="s">
        <v>57807</v>
      </c>
      <c r="L19435">
        <v>0</v>
      </c>
      <c r="M19435">
        <v>0</v>
      </c>
      <c r="N19435">
        <v>3</v>
      </c>
      <c r="O19435" t="s">
        <v>14825</v>
      </c>
    </row>
    <row r="19436" spans="1:15">
      <c r="A19436" t="s">
        <v>57808</v>
      </c>
      <c r="B19436" t="s">
        <v>6742</v>
      </c>
      <c r="C19436" t="s">
        <v>30265</v>
      </c>
      <c r="D19436" t="s">
        <v>57809</v>
      </c>
      <c r="E19436" t="b">
        <v>0</v>
      </c>
      <c r="F19436" t="s">
        <v>11610</v>
      </c>
      <c r="L19436">
        <v>0</v>
      </c>
      <c r="M19436">
        <v>0</v>
      </c>
      <c r="N19436">
        <v>0</v>
      </c>
    </row>
    <row r="19437" spans="1:15">
      <c r="A19437" t="s">
        <v>26095</v>
      </c>
      <c r="B19437" t="s">
        <v>6742</v>
      </c>
      <c r="C19437" t="s">
        <v>18712</v>
      </c>
      <c r="D19437" t="s">
        <v>57810</v>
      </c>
      <c r="E19437" t="b">
        <v>0</v>
      </c>
      <c r="F19437" t="s">
        <v>11624</v>
      </c>
      <c r="G19437">
        <v>-5.7199299999999997</v>
      </c>
      <c r="H19437">
        <v>25.276499999999999</v>
      </c>
      <c r="I19437" t="s">
        <v>57811</v>
      </c>
      <c r="L19437">
        <v>0</v>
      </c>
      <c r="M19437">
        <v>0</v>
      </c>
      <c r="N19437">
        <v>3</v>
      </c>
      <c r="O19437" t="s">
        <v>14825</v>
      </c>
    </row>
    <row r="19438" spans="1:15">
      <c r="A19438" t="s">
        <v>57812</v>
      </c>
      <c r="B19438" t="s">
        <v>11627</v>
      </c>
      <c r="C19438" t="s">
        <v>11627</v>
      </c>
      <c r="D19438" t="s">
        <v>57813</v>
      </c>
      <c r="E19438" t="b">
        <v>1</v>
      </c>
      <c r="F19438" t="s">
        <v>11624</v>
      </c>
      <c r="G19438">
        <v>-4.0120500000000003</v>
      </c>
      <c r="H19438">
        <v>26.015999999999998</v>
      </c>
      <c r="I19438" t="s">
        <v>57814</v>
      </c>
      <c r="L19438">
        <v>0</v>
      </c>
      <c r="M19438">
        <v>0</v>
      </c>
      <c r="N19438">
        <v>0</v>
      </c>
      <c r="O19438" t="s">
        <v>14825</v>
      </c>
    </row>
    <row r="19439" spans="1:15">
      <c r="A19439" t="s">
        <v>57815</v>
      </c>
      <c r="B19439" t="s">
        <v>6742</v>
      </c>
      <c r="C19439" t="s">
        <v>19012</v>
      </c>
      <c r="D19439" t="s">
        <v>57816</v>
      </c>
      <c r="E19439" t="b">
        <v>0</v>
      </c>
      <c r="F19439" t="s">
        <v>11624</v>
      </c>
      <c r="G19439">
        <v>-3.8104100000000001</v>
      </c>
      <c r="H19439">
        <v>21.4223</v>
      </c>
      <c r="I19439" t="s">
        <v>57817</v>
      </c>
      <c r="L19439">
        <v>0</v>
      </c>
      <c r="M19439">
        <v>0</v>
      </c>
      <c r="N19439">
        <v>0</v>
      </c>
      <c r="O19439" t="s">
        <v>14825</v>
      </c>
    </row>
    <row r="19440" spans="1:15">
      <c r="A19440" t="s">
        <v>57818</v>
      </c>
      <c r="B19440" t="s">
        <v>6742</v>
      </c>
      <c r="C19440" t="s">
        <v>12956</v>
      </c>
      <c r="D19440" t="s">
        <v>57819</v>
      </c>
      <c r="E19440" t="b">
        <v>0</v>
      </c>
      <c r="F19440" t="s">
        <v>11610</v>
      </c>
      <c r="L19440">
        <v>0</v>
      </c>
      <c r="M19440">
        <v>0</v>
      </c>
      <c r="N19440">
        <v>0</v>
      </c>
    </row>
    <row r="19441" spans="1:15">
      <c r="A19441" t="s">
        <v>12562</v>
      </c>
      <c r="D19441" t="s">
        <v>57820</v>
      </c>
      <c r="E19441" t="b">
        <v>0</v>
      </c>
      <c r="F19441" t="s">
        <v>11622</v>
      </c>
      <c r="L19441">
        <v>4</v>
      </c>
      <c r="M19441">
        <v>10</v>
      </c>
      <c r="N19441">
        <v>7</v>
      </c>
    </row>
    <row r="19442" spans="1:15">
      <c r="A19442" t="s">
        <v>57821</v>
      </c>
      <c r="B19442" t="s">
        <v>9071</v>
      </c>
      <c r="C19442" t="s">
        <v>41155</v>
      </c>
      <c r="D19442" t="s">
        <v>57822</v>
      </c>
      <c r="E19442" t="b">
        <v>0</v>
      </c>
      <c r="F19442" t="s">
        <v>11610</v>
      </c>
      <c r="L19442">
        <v>0</v>
      </c>
      <c r="M19442">
        <v>0</v>
      </c>
      <c r="N19442">
        <v>0</v>
      </c>
    </row>
    <row r="19443" spans="1:15">
      <c r="A19443" t="s">
        <v>57823</v>
      </c>
      <c r="B19443" t="s">
        <v>11644</v>
      </c>
      <c r="C19443" t="s">
        <v>22852</v>
      </c>
      <c r="D19443" t="s">
        <v>57824</v>
      </c>
      <c r="E19443" t="b">
        <v>0</v>
      </c>
      <c r="F19443" t="s">
        <v>11610</v>
      </c>
      <c r="L19443">
        <v>0</v>
      </c>
      <c r="M19443">
        <v>0</v>
      </c>
      <c r="N19443">
        <v>0</v>
      </c>
    </row>
    <row r="19444" spans="1:15">
      <c r="A19444" t="s">
        <v>57825</v>
      </c>
      <c r="B19444" t="s">
        <v>11637</v>
      </c>
      <c r="C19444" t="s">
        <v>24035</v>
      </c>
      <c r="D19444" t="s">
        <v>57826</v>
      </c>
      <c r="E19444" t="b">
        <v>0</v>
      </c>
      <c r="F19444" t="s">
        <v>11624</v>
      </c>
      <c r="G19444">
        <v>28.778169999999999</v>
      </c>
      <c r="H19444">
        <v>81.218490000000003</v>
      </c>
      <c r="I19444" t="s">
        <v>57827</v>
      </c>
      <c r="L19444">
        <v>0</v>
      </c>
      <c r="M19444">
        <v>0</v>
      </c>
      <c r="N19444">
        <v>0</v>
      </c>
      <c r="O19444" t="s">
        <v>15007</v>
      </c>
    </row>
    <row r="19445" spans="1:15">
      <c r="A19445" t="s">
        <v>19810</v>
      </c>
      <c r="B19445" t="s">
        <v>13276</v>
      </c>
      <c r="C19445" t="s">
        <v>25651</v>
      </c>
      <c r="D19445" t="s">
        <v>57828</v>
      </c>
      <c r="E19445" t="b">
        <v>0</v>
      </c>
      <c r="F19445" t="s">
        <v>11622</v>
      </c>
      <c r="L19445">
        <v>4</v>
      </c>
      <c r="M19445">
        <v>6</v>
      </c>
      <c r="N19445">
        <v>8</v>
      </c>
    </row>
    <row r="19446" spans="1:15">
      <c r="A19446" t="s">
        <v>57417</v>
      </c>
      <c r="B19446" t="s">
        <v>13276</v>
      </c>
      <c r="C19446" t="s">
        <v>19810</v>
      </c>
      <c r="D19446" t="s">
        <v>57829</v>
      </c>
      <c r="E19446" t="b">
        <v>0</v>
      </c>
      <c r="F19446" t="s">
        <v>11622</v>
      </c>
      <c r="L19446">
        <v>0</v>
      </c>
      <c r="M19446">
        <v>2</v>
      </c>
      <c r="N19446">
        <v>4</v>
      </c>
    </row>
    <row r="19447" spans="1:15">
      <c r="A19447" t="s">
        <v>15533</v>
      </c>
      <c r="B19447" t="s">
        <v>13276</v>
      </c>
      <c r="C19447" t="s">
        <v>57417</v>
      </c>
      <c r="D19447" t="s">
        <v>57830</v>
      </c>
      <c r="E19447" t="b">
        <v>0</v>
      </c>
      <c r="F19447" t="s">
        <v>11624</v>
      </c>
      <c r="G19447">
        <v>13.1273</v>
      </c>
      <c r="H19447">
        <v>-11.7178</v>
      </c>
      <c r="I19447" t="s">
        <v>57831</v>
      </c>
      <c r="L19447">
        <v>0</v>
      </c>
      <c r="M19447">
        <v>0</v>
      </c>
      <c r="N19447">
        <v>4</v>
      </c>
      <c r="O19447" t="s">
        <v>53697</v>
      </c>
    </row>
    <row r="19448" spans="1:15">
      <c r="A19448" t="s">
        <v>57832</v>
      </c>
      <c r="B19448" t="s">
        <v>7862</v>
      </c>
      <c r="C19448" t="s">
        <v>34487</v>
      </c>
      <c r="D19448" t="s">
        <v>57833</v>
      </c>
      <c r="E19448" t="b">
        <v>0</v>
      </c>
      <c r="F19448" t="s">
        <v>11624</v>
      </c>
      <c r="G19448">
        <v>-6.4273600000000002</v>
      </c>
      <c r="H19448">
        <v>142.589</v>
      </c>
      <c r="I19448" t="s">
        <v>57834</v>
      </c>
      <c r="L19448">
        <v>0</v>
      </c>
      <c r="M19448">
        <v>0</v>
      </c>
      <c r="N19448">
        <v>0</v>
      </c>
      <c r="O19448" t="s">
        <v>11660</v>
      </c>
    </row>
    <row r="19449" spans="1:15">
      <c r="A19449" t="s">
        <v>57835</v>
      </c>
      <c r="B19449" t="s">
        <v>12438</v>
      </c>
      <c r="C19449" t="s">
        <v>27246</v>
      </c>
      <c r="D19449" t="s">
        <v>57836</v>
      </c>
      <c r="E19449" t="b">
        <v>0</v>
      </c>
      <c r="F19449" t="s">
        <v>11610</v>
      </c>
      <c r="L19449">
        <v>0</v>
      </c>
      <c r="M19449">
        <v>0</v>
      </c>
      <c r="N19449">
        <v>0</v>
      </c>
    </row>
    <row r="19450" spans="1:15">
      <c r="A19450" t="s">
        <v>57837</v>
      </c>
      <c r="B19450" t="s">
        <v>12751</v>
      </c>
      <c r="C19450" t="s">
        <v>22528</v>
      </c>
      <c r="D19450" t="s">
        <v>57838</v>
      </c>
      <c r="E19450" t="b">
        <v>0</v>
      </c>
      <c r="F19450" t="s">
        <v>11610</v>
      </c>
      <c r="L19450">
        <v>0</v>
      </c>
      <c r="M19450">
        <v>0</v>
      </c>
      <c r="N19450">
        <v>0</v>
      </c>
    </row>
    <row r="19451" spans="1:15">
      <c r="A19451" t="s">
        <v>57839</v>
      </c>
      <c r="B19451" t="s">
        <v>11637</v>
      </c>
      <c r="C19451" t="s">
        <v>15841</v>
      </c>
      <c r="D19451" t="s">
        <v>57840</v>
      </c>
      <c r="E19451" t="b">
        <v>0</v>
      </c>
      <c r="F19451" t="s">
        <v>11610</v>
      </c>
      <c r="L19451">
        <v>0</v>
      </c>
      <c r="M19451">
        <v>0</v>
      </c>
      <c r="N19451">
        <v>0</v>
      </c>
    </row>
    <row r="19452" spans="1:15">
      <c r="A19452" t="s">
        <v>53717</v>
      </c>
      <c r="B19452" t="s">
        <v>367</v>
      </c>
      <c r="C19452" t="s">
        <v>57841</v>
      </c>
      <c r="D19452" t="s">
        <v>57842</v>
      </c>
      <c r="E19452" t="b">
        <v>0</v>
      </c>
      <c r="F19452" t="s">
        <v>11624</v>
      </c>
      <c r="G19452">
        <v>5.3285960000000001</v>
      </c>
      <c r="H19452">
        <v>132.221282</v>
      </c>
      <c r="I19452" t="s">
        <v>57843</v>
      </c>
      <c r="L19452">
        <v>0</v>
      </c>
      <c r="M19452">
        <v>0</v>
      </c>
      <c r="N19452">
        <v>2</v>
      </c>
      <c r="O19452" t="s">
        <v>31447</v>
      </c>
    </row>
    <row r="19453" spans="1:15">
      <c r="A19453" t="s">
        <v>57844</v>
      </c>
      <c r="B19453" t="s">
        <v>367</v>
      </c>
      <c r="C19453" t="s">
        <v>53717</v>
      </c>
      <c r="D19453" t="s">
        <v>57845</v>
      </c>
      <c r="E19453" t="b">
        <v>0</v>
      </c>
      <c r="F19453" t="s">
        <v>11610</v>
      </c>
      <c r="L19453">
        <v>0</v>
      </c>
      <c r="M19453">
        <v>0</v>
      </c>
      <c r="N19453">
        <v>0</v>
      </c>
    </row>
    <row r="19454" spans="1:15">
      <c r="A19454" t="s">
        <v>57846</v>
      </c>
      <c r="B19454" t="s">
        <v>367</v>
      </c>
      <c r="C19454" t="s">
        <v>36513</v>
      </c>
      <c r="D19454" t="s">
        <v>57847</v>
      </c>
      <c r="E19454" t="b">
        <v>0</v>
      </c>
      <c r="F19454" t="s">
        <v>11610</v>
      </c>
      <c r="L19454">
        <v>0</v>
      </c>
      <c r="M19454">
        <v>0</v>
      </c>
      <c r="N19454">
        <v>0</v>
      </c>
    </row>
    <row r="19455" spans="1:15">
      <c r="A19455" t="s">
        <v>57841</v>
      </c>
      <c r="B19455" t="s">
        <v>367</v>
      </c>
      <c r="C19455" t="s">
        <v>57848</v>
      </c>
      <c r="D19455" t="s">
        <v>57849</v>
      </c>
      <c r="E19455" t="b">
        <v>0</v>
      </c>
      <c r="F19455" t="s">
        <v>11622</v>
      </c>
      <c r="L19455">
        <v>0</v>
      </c>
      <c r="M19455">
        <v>2</v>
      </c>
      <c r="N19455">
        <v>2</v>
      </c>
    </row>
    <row r="19456" spans="1:15">
      <c r="A19456" t="s">
        <v>57850</v>
      </c>
      <c r="B19456" t="s">
        <v>367</v>
      </c>
      <c r="C19456" t="s">
        <v>23934</v>
      </c>
      <c r="D19456" t="s">
        <v>57851</v>
      </c>
      <c r="E19456" t="b">
        <v>0</v>
      </c>
      <c r="F19456" t="s">
        <v>11610</v>
      </c>
      <c r="L19456">
        <v>0</v>
      </c>
      <c r="M19456">
        <v>0</v>
      </c>
      <c r="N19456">
        <v>0</v>
      </c>
    </row>
    <row r="19457" spans="1:15">
      <c r="A19457" t="s">
        <v>57852</v>
      </c>
      <c r="B19457" t="s">
        <v>9071</v>
      </c>
      <c r="C19457" t="s">
        <v>41155</v>
      </c>
      <c r="D19457" t="s">
        <v>57853</v>
      </c>
      <c r="E19457" t="b">
        <v>0</v>
      </c>
      <c r="F19457" t="s">
        <v>11610</v>
      </c>
      <c r="L19457">
        <v>0</v>
      </c>
      <c r="M19457">
        <v>0</v>
      </c>
      <c r="N19457">
        <v>0</v>
      </c>
    </row>
    <row r="19458" spans="1:15">
      <c r="A19458" t="s">
        <v>57756</v>
      </c>
      <c r="B19458" t="s">
        <v>12438</v>
      </c>
      <c r="C19458" t="s">
        <v>57854</v>
      </c>
      <c r="D19458" t="s">
        <v>57855</v>
      </c>
      <c r="E19458" t="b">
        <v>0</v>
      </c>
      <c r="F19458" t="s">
        <v>11624</v>
      </c>
      <c r="G19458">
        <v>16.908100000000001</v>
      </c>
      <c r="H19458">
        <v>105.001</v>
      </c>
      <c r="I19458" t="s">
        <v>57856</v>
      </c>
      <c r="L19458">
        <v>0</v>
      </c>
      <c r="M19458">
        <v>0</v>
      </c>
      <c r="N19458">
        <v>4</v>
      </c>
      <c r="O19458" t="s">
        <v>52991</v>
      </c>
    </row>
    <row r="19459" spans="1:15">
      <c r="A19459" t="s">
        <v>57857</v>
      </c>
      <c r="B19459" t="s">
        <v>11729</v>
      </c>
      <c r="C19459" t="s">
        <v>38091</v>
      </c>
      <c r="D19459" t="s">
        <v>57858</v>
      </c>
      <c r="E19459" t="b">
        <v>0</v>
      </c>
      <c r="F19459" t="s">
        <v>11610</v>
      </c>
      <c r="L19459">
        <v>0</v>
      </c>
      <c r="M19459">
        <v>0</v>
      </c>
      <c r="N19459">
        <v>0</v>
      </c>
    </row>
    <row r="19460" spans="1:15">
      <c r="A19460" t="s">
        <v>57859</v>
      </c>
      <c r="B19460" t="s">
        <v>32149</v>
      </c>
      <c r="C19460" t="s">
        <v>47234</v>
      </c>
      <c r="D19460" t="s">
        <v>57860</v>
      </c>
      <c r="E19460" t="b">
        <v>0</v>
      </c>
      <c r="F19460" t="s">
        <v>11624</v>
      </c>
      <c r="G19460">
        <v>2.5836700000000001</v>
      </c>
      <c r="H19460">
        <v>34.759500000000003</v>
      </c>
      <c r="I19460" t="s">
        <v>57861</v>
      </c>
      <c r="L19460">
        <v>0</v>
      </c>
      <c r="M19460">
        <v>0</v>
      </c>
      <c r="N19460">
        <v>0</v>
      </c>
      <c r="O19460" t="s">
        <v>25786</v>
      </c>
    </row>
    <row r="19461" spans="1:15">
      <c r="A19461" t="s">
        <v>57862</v>
      </c>
      <c r="B19461" t="s">
        <v>15162</v>
      </c>
      <c r="C19461" t="s">
        <v>15163</v>
      </c>
      <c r="D19461" t="s">
        <v>57863</v>
      </c>
      <c r="E19461" t="b">
        <v>0</v>
      </c>
      <c r="F19461" t="s">
        <v>11610</v>
      </c>
      <c r="L19461">
        <v>0</v>
      </c>
      <c r="M19461">
        <v>0</v>
      </c>
      <c r="N19461">
        <v>0</v>
      </c>
    </row>
    <row r="19462" spans="1:15">
      <c r="A19462" t="s">
        <v>57864</v>
      </c>
      <c r="B19462" t="s">
        <v>12438</v>
      </c>
      <c r="C19462" t="s">
        <v>57756</v>
      </c>
      <c r="D19462" t="s">
        <v>57865</v>
      </c>
      <c r="E19462" t="b">
        <v>0</v>
      </c>
      <c r="F19462" t="s">
        <v>11610</v>
      </c>
      <c r="L19462">
        <v>0</v>
      </c>
      <c r="M19462">
        <v>0</v>
      </c>
      <c r="N19462">
        <v>0</v>
      </c>
    </row>
    <row r="19463" spans="1:15">
      <c r="A19463" t="s">
        <v>57866</v>
      </c>
      <c r="B19463" t="s">
        <v>11729</v>
      </c>
      <c r="C19463" t="s">
        <v>15961</v>
      </c>
      <c r="D19463" t="s">
        <v>57867</v>
      </c>
      <c r="E19463" t="b">
        <v>0</v>
      </c>
      <c r="F19463" t="s">
        <v>11610</v>
      </c>
      <c r="L19463">
        <v>0</v>
      </c>
      <c r="M19463">
        <v>0</v>
      </c>
      <c r="N19463">
        <v>0</v>
      </c>
    </row>
    <row r="19464" spans="1:15">
      <c r="A19464" t="s">
        <v>57868</v>
      </c>
      <c r="B19464" t="s">
        <v>12133</v>
      </c>
      <c r="C19464" t="s">
        <v>28370</v>
      </c>
      <c r="D19464" t="s">
        <v>57869</v>
      </c>
      <c r="E19464" t="b">
        <v>0</v>
      </c>
      <c r="F19464" t="s">
        <v>11610</v>
      </c>
      <c r="L19464">
        <v>0</v>
      </c>
      <c r="M19464">
        <v>0</v>
      </c>
      <c r="N19464">
        <v>0</v>
      </c>
    </row>
    <row r="19465" spans="1:15">
      <c r="A19465" t="s">
        <v>57870</v>
      </c>
      <c r="B19465" t="s">
        <v>11834</v>
      </c>
      <c r="C19465" t="s">
        <v>37134</v>
      </c>
      <c r="D19465" t="s">
        <v>57871</v>
      </c>
      <c r="E19465" t="b">
        <v>0</v>
      </c>
      <c r="F19465" t="s">
        <v>11610</v>
      </c>
      <c r="L19465">
        <v>0</v>
      </c>
      <c r="M19465">
        <v>0</v>
      </c>
      <c r="N19465">
        <v>0</v>
      </c>
    </row>
    <row r="19466" spans="1:15">
      <c r="A19466" t="s">
        <v>17281</v>
      </c>
      <c r="B19466" t="s">
        <v>6742</v>
      </c>
      <c r="C19466" t="s">
        <v>35769</v>
      </c>
      <c r="D19466" t="s">
        <v>57872</v>
      </c>
      <c r="E19466" t="b">
        <v>0</v>
      </c>
      <c r="F19466" t="s">
        <v>11622</v>
      </c>
      <c r="L19466">
        <v>1</v>
      </c>
      <c r="M19466">
        <v>3</v>
      </c>
      <c r="N19466">
        <v>4</v>
      </c>
    </row>
    <row r="19467" spans="1:15">
      <c r="A19467" t="s">
        <v>57873</v>
      </c>
      <c r="B19467" t="s">
        <v>12438</v>
      </c>
      <c r="C19467" t="s">
        <v>22562</v>
      </c>
      <c r="D19467" t="s">
        <v>57874</v>
      </c>
      <c r="E19467" t="b">
        <v>0</v>
      </c>
      <c r="F19467" t="s">
        <v>11610</v>
      </c>
      <c r="L19467">
        <v>0</v>
      </c>
      <c r="M19467">
        <v>0</v>
      </c>
      <c r="N19467">
        <v>0</v>
      </c>
    </row>
    <row r="19468" spans="1:15">
      <c r="A19468" t="s">
        <v>57875</v>
      </c>
      <c r="B19468" t="s">
        <v>367</v>
      </c>
      <c r="C19468" t="s">
        <v>17148</v>
      </c>
      <c r="D19468" t="s">
        <v>57876</v>
      </c>
      <c r="E19468" t="b">
        <v>0</v>
      </c>
      <c r="F19468" t="s">
        <v>11610</v>
      </c>
      <c r="L19468">
        <v>0</v>
      </c>
      <c r="M19468">
        <v>0</v>
      </c>
      <c r="N19468">
        <v>0</v>
      </c>
    </row>
    <row r="19469" spans="1:15">
      <c r="A19469" t="s">
        <v>57877</v>
      </c>
      <c r="B19469" t="s">
        <v>11615</v>
      </c>
      <c r="C19469" t="s">
        <v>52672</v>
      </c>
      <c r="D19469" t="s">
        <v>57878</v>
      </c>
      <c r="E19469" t="b">
        <v>0</v>
      </c>
      <c r="F19469" t="s">
        <v>11624</v>
      </c>
      <c r="G19469">
        <v>-5.4960500000000003</v>
      </c>
      <c r="H19469">
        <v>145.36099999999999</v>
      </c>
      <c r="I19469" t="s">
        <v>57879</v>
      </c>
      <c r="L19469">
        <v>0</v>
      </c>
      <c r="M19469">
        <v>0</v>
      </c>
      <c r="N19469">
        <v>0</v>
      </c>
      <c r="O19469" t="s">
        <v>11660</v>
      </c>
    </row>
    <row r="19470" spans="1:15">
      <c r="A19470" t="s">
        <v>57880</v>
      </c>
      <c r="B19470" t="s">
        <v>11981</v>
      </c>
      <c r="C19470" t="s">
        <v>19997</v>
      </c>
      <c r="D19470" t="s">
        <v>57881</v>
      </c>
      <c r="E19470" t="b">
        <v>0</v>
      </c>
      <c r="F19470" t="s">
        <v>11610</v>
      </c>
      <c r="L19470">
        <v>0</v>
      </c>
      <c r="M19470">
        <v>0</v>
      </c>
      <c r="N19470">
        <v>0</v>
      </c>
    </row>
    <row r="19471" spans="1:15">
      <c r="A19471" t="s">
        <v>11726</v>
      </c>
      <c r="B19471" t="s">
        <v>11607</v>
      </c>
      <c r="C19471" t="s">
        <v>26589</v>
      </c>
      <c r="D19471" t="s">
        <v>57882</v>
      </c>
      <c r="E19471" t="b">
        <v>0</v>
      </c>
      <c r="F19471" t="s">
        <v>11624</v>
      </c>
      <c r="G19471">
        <v>12.4892</v>
      </c>
      <c r="H19471">
        <v>53.916800000000002</v>
      </c>
      <c r="I19471" t="s">
        <v>57883</v>
      </c>
      <c r="L19471">
        <v>0</v>
      </c>
      <c r="M19471">
        <v>0</v>
      </c>
      <c r="N19471">
        <v>7</v>
      </c>
      <c r="O19471" t="s">
        <v>30505</v>
      </c>
    </row>
    <row r="19472" spans="1:15">
      <c r="A19472" t="s">
        <v>57884</v>
      </c>
      <c r="B19472" t="s">
        <v>11637</v>
      </c>
      <c r="C19472" t="s">
        <v>148</v>
      </c>
      <c r="D19472" t="s">
        <v>57885</v>
      </c>
      <c r="E19472" t="b">
        <v>0</v>
      </c>
      <c r="F19472" t="s">
        <v>11610</v>
      </c>
      <c r="L19472">
        <v>0</v>
      </c>
      <c r="M19472">
        <v>0</v>
      </c>
      <c r="N19472">
        <v>0</v>
      </c>
    </row>
    <row r="19473" spans="1:15">
      <c r="A19473" t="s">
        <v>1138</v>
      </c>
      <c r="B19473" t="s">
        <v>12438</v>
      </c>
      <c r="C19473" t="s">
        <v>33797</v>
      </c>
      <c r="D19473" t="s">
        <v>3585</v>
      </c>
      <c r="E19473" t="b">
        <v>0</v>
      </c>
      <c r="F19473" t="s">
        <v>11624</v>
      </c>
      <c r="G19473">
        <v>19.121300000000002</v>
      </c>
      <c r="H19473">
        <v>84.19</v>
      </c>
      <c r="I19473" t="s">
        <v>3586</v>
      </c>
      <c r="L19473">
        <v>0</v>
      </c>
      <c r="M19473">
        <v>0</v>
      </c>
      <c r="N19473">
        <v>0</v>
      </c>
      <c r="O19473" t="s">
        <v>11630</v>
      </c>
    </row>
    <row r="19474" spans="1:15">
      <c r="A19474" t="s">
        <v>1137</v>
      </c>
      <c r="B19474" t="s">
        <v>12438</v>
      </c>
      <c r="C19474" t="s">
        <v>28701</v>
      </c>
      <c r="D19474" t="s">
        <v>57886</v>
      </c>
      <c r="E19474" t="b">
        <v>0</v>
      </c>
      <c r="F19474" t="s">
        <v>11622</v>
      </c>
      <c r="L19474">
        <v>1</v>
      </c>
      <c r="M19474">
        <v>3</v>
      </c>
      <c r="N19474">
        <v>0</v>
      </c>
    </row>
    <row r="19475" spans="1:15">
      <c r="A19475" t="s">
        <v>33797</v>
      </c>
      <c r="B19475" t="s">
        <v>12438</v>
      </c>
      <c r="C19475" t="s">
        <v>1137</v>
      </c>
      <c r="D19475" t="s">
        <v>57887</v>
      </c>
      <c r="E19475" t="b">
        <v>0</v>
      </c>
      <c r="F19475" t="s">
        <v>11622</v>
      </c>
      <c r="L19475">
        <v>0</v>
      </c>
      <c r="M19475">
        <v>2</v>
      </c>
      <c r="N19475">
        <v>0</v>
      </c>
    </row>
    <row r="19476" spans="1:15">
      <c r="A19476" t="s">
        <v>40854</v>
      </c>
      <c r="B19476" t="s">
        <v>11637</v>
      </c>
      <c r="C19476" t="s">
        <v>23706</v>
      </c>
      <c r="D19476" t="s">
        <v>57888</v>
      </c>
      <c r="E19476" t="b">
        <v>0</v>
      </c>
      <c r="F19476" t="s">
        <v>11622</v>
      </c>
      <c r="L19476">
        <v>0</v>
      </c>
      <c r="M19476">
        <v>2</v>
      </c>
      <c r="N19476">
        <v>2</v>
      </c>
    </row>
    <row r="19477" spans="1:15">
      <c r="A19477" t="s">
        <v>57889</v>
      </c>
      <c r="B19477" t="s">
        <v>11644</v>
      </c>
      <c r="C19477" t="s">
        <v>12529</v>
      </c>
      <c r="D19477" t="s">
        <v>57890</v>
      </c>
      <c r="E19477" t="b">
        <v>0</v>
      </c>
      <c r="F19477" t="s">
        <v>11624</v>
      </c>
      <c r="G19477">
        <v>24.747369599999999</v>
      </c>
      <c r="H19477">
        <v>94.315421999999998</v>
      </c>
      <c r="L19477">
        <v>0</v>
      </c>
      <c r="M19477">
        <v>0</v>
      </c>
      <c r="N19477">
        <v>0</v>
      </c>
      <c r="O19477" t="s">
        <v>11630</v>
      </c>
    </row>
    <row r="19478" spans="1:15">
      <c r="A19478" t="s">
        <v>57891</v>
      </c>
      <c r="B19478" t="s">
        <v>367</v>
      </c>
      <c r="C19478" t="s">
        <v>14563</v>
      </c>
      <c r="D19478" t="s">
        <v>57892</v>
      </c>
      <c r="E19478" t="b">
        <v>0</v>
      </c>
      <c r="F19478" t="s">
        <v>11610</v>
      </c>
      <c r="L19478">
        <v>0</v>
      </c>
      <c r="M19478">
        <v>0</v>
      </c>
      <c r="N19478">
        <v>0</v>
      </c>
    </row>
    <row r="19479" spans="1:15">
      <c r="A19479" t="s">
        <v>57893</v>
      </c>
      <c r="B19479" t="s">
        <v>367</v>
      </c>
      <c r="C19479" t="s">
        <v>14563</v>
      </c>
      <c r="D19479" t="s">
        <v>57894</v>
      </c>
      <c r="E19479" t="b">
        <v>0</v>
      </c>
      <c r="F19479" t="s">
        <v>11610</v>
      </c>
      <c r="L19479">
        <v>0</v>
      </c>
      <c r="M19479">
        <v>0</v>
      </c>
      <c r="N19479">
        <v>0</v>
      </c>
    </row>
    <row r="19480" spans="1:15">
      <c r="A19480" t="s">
        <v>30768</v>
      </c>
      <c r="B19480" t="s">
        <v>367</v>
      </c>
      <c r="C19480" t="s">
        <v>18745</v>
      </c>
      <c r="D19480" t="s">
        <v>57895</v>
      </c>
      <c r="E19480" t="b">
        <v>0</v>
      </c>
      <c r="F19480" t="s">
        <v>11624</v>
      </c>
      <c r="G19480">
        <v>-1.98384</v>
      </c>
      <c r="H19480">
        <v>146.642</v>
      </c>
      <c r="I19480" t="s">
        <v>57896</v>
      </c>
      <c r="L19480">
        <v>0</v>
      </c>
      <c r="M19480">
        <v>0</v>
      </c>
      <c r="N19480">
        <v>2</v>
      </c>
      <c r="O19480" t="s">
        <v>11660</v>
      </c>
    </row>
    <row r="19481" spans="1:15">
      <c r="A19481" t="s">
        <v>57897</v>
      </c>
      <c r="B19481" t="s">
        <v>367</v>
      </c>
      <c r="C19481" t="s">
        <v>30768</v>
      </c>
      <c r="D19481" t="s">
        <v>57898</v>
      </c>
      <c r="E19481" t="b">
        <v>0</v>
      </c>
      <c r="F19481" t="s">
        <v>11610</v>
      </c>
      <c r="L19481">
        <v>0</v>
      </c>
      <c r="M19481">
        <v>0</v>
      </c>
      <c r="N19481">
        <v>0</v>
      </c>
    </row>
    <row r="19482" spans="1:15">
      <c r="A19482" t="s">
        <v>57899</v>
      </c>
      <c r="B19482" t="s">
        <v>11637</v>
      </c>
      <c r="C19482" t="s">
        <v>37166</v>
      </c>
      <c r="D19482" t="s">
        <v>57900</v>
      </c>
      <c r="E19482" t="b">
        <v>0</v>
      </c>
      <c r="F19482" t="s">
        <v>11624</v>
      </c>
      <c r="G19482">
        <v>35.456519999999998</v>
      </c>
      <c r="H19482">
        <v>53.218969999999999</v>
      </c>
      <c r="I19482" t="s">
        <v>57901</v>
      </c>
      <c r="L19482">
        <v>0</v>
      </c>
      <c r="M19482">
        <v>0</v>
      </c>
      <c r="N19482">
        <v>0</v>
      </c>
      <c r="O19482" t="s">
        <v>13225</v>
      </c>
    </row>
    <row r="19483" spans="1:15">
      <c r="A19483" t="s">
        <v>57902</v>
      </c>
      <c r="B19483" t="s">
        <v>367</v>
      </c>
      <c r="C19483" t="s">
        <v>35244</v>
      </c>
      <c r="D19483" t="s">
        <v>57903</v>
      </c>
      <c r="E19483" t="b">
        <v>0</v>
      </c>
      <c r="F19483" t="s">
        <v>11610</v>
      </c>
      <c r="L19483">
        <v>0</v>
      </c>
      <c r="M19483">
        <v>0</v>
      </c>
      <c r="N19483">
        <v>0</v>
      </c>
    </row>
    <row r="19484" spans="1:15">
      <c r="A19484" t="s">
        <v>57904</v>
      </c>
      <c r="B19484" t="s">
        <v>11607</v>
      </c>
      <c r="C19484" t="s">
        <v>30490</v>
      </c>
      <c r="D19484" t="s">
        <v>57905</v>
      </c>
      <c r="E19484" t="b">
        <v>0</v>
      </c>
      <c r="F19484" t="s">
        <v>11610</v>
      </c>
      <c r="L19484">
        <v>0</v>
      </c>
      <c r="M19484">
        <v>0</v>
      </c>
      <c r="N19484">
        <v>0</v>
      </c>
    </row>
    <row r="19485" spans="1:15">
      <c r="A19485" t="s">
        <v>57906</v>
      </c>
      <c r="B19485" t="s">
        <v>11757</v>
      </c>
      <c r="C19485" t="s">
        <v>891</v>
      </c>
      <c r="D19485" t="s">
        <v>57907</v>
      </c>
      <c r="E19485" t="b">
        <v>0</v>
      </c>
      <c r="F19485" t="s">
        <v>11610</v>
      </c>
      <c r="L19485">
        <v>0</v>
      </c>
      <c r="M19485">
        <v>0</v>
      </c>
      <c r="N19485">
        <v>0</v>
      </c>
    </row>
    <row r="19486" spans="1:15">
      <c r="A19486" t="s">
        <v>57908</v>
      </c>
      <c r="B19486" t="s">
        <v>367</v>
      </c>
      <c r="C19486" t="s">
        <v>14563</v>
      </c>
      <c r="D19486" t="s">
        <v>57909</v>
      </c>
      <c r="E19486" t="b">
        <v>0</v>
      </c>
      <c r="F19486" t="s">
        <v>11610</v>
      </c>
      <c r="L19486">
        <v>0</v>
      </c>
      <c r="M19486">
        <v>0</v>
      </c>
      <c r="N19486">
        <v>0</v>
      </c>
    </row>
    <row r="19487" spans="1:15">
      <c r="A19487" t="s">
        <v>57910</v>
      </c>
      <c r="B19487" t="s">
        <v>12241</v>
      </c>
      <c r="C19487" t="s">
        <v>15198</v>
      </c>
      <c r="D19487" t="s">
        <v>57911</v>
      </c>
      <c r="E19487" t="b">
        <v>0</v>
      </c>
      <c r="F19487" t="s">
        <v>11624</v>
      </c>
      <c r="G19487">
        <v>13.0426</v>
      </c>
      <c r="H19487">
        <v>124.16500000000001</v>
      </c>
      <c r="I19487" t="s">
        <v>57912</v>
      </c>
      <c r="L19487">
        <v>0</v>
      </c>
      <c r="M19487">
        <v>0</v>
      </c>
      <c r="N19487">
        <v>0</v>
      </c>
      <c r="O19487" t="s">
        <v>11749</v>
      </c>
    </row>
    <row r="19488" spans="1:15">
      <c r="A19488" t="s">
        <v>57913</v>
      </c>
      <c r="B19488" t="s">
        <v>13411</v>
      </c>
      <c r="C19488" t="s">
        <v>31851</v>
      </c>
      <c r="D19488" t="s">
        <v>57914</v>
      </c>
      <c r="E19488" t="b">
        <v>0</v>
      </c>
      <c r="F19488" t="s">
        <v>11624</v>
      </c>
      <c r="G19488">
        <v>-3.99024</v>
      </c>
      <c r="H19488">
        <v>143.39599999999999</v>
      </c>
      <c r="I19488" t="s">
        <v>57915</v>
      </c>
      <c r="L19488">
        <v>0</v>
      </c>
      <c r="M19488">
        <v>0</v>
      </c>
      <c r="N19488">
        <v>0</v>
      </c>
      <c r="O19488" t="s">
        <v>11660</v>
      </c>
    </row>
    <row r="19489" spans="1:15">
      <c r="A19489" t="s">
        <v>57916</v>
      </c>
      <c r="B19489" t="s">
        <v>12438</v>
      </c>
      <c r="C19489" t="s">
        <v>57756</v>
      </c>
      <c r="D19489" t="s">
        <v>57917</v>
      </c>
      <c r="E19489" t="b">
        <v>0</v>
      </c>
      <c r="F19489" t="s">
        <v>11610</v>
      </c>
      <c r="L19489">
        <v>0</v>
      </c>
      <c r="M19489">
        <v>0</v>
      </c>
      <c r="N19489">
        <v>0</v>
      </c>
    </row>
    <row r="19490" spans="1:15">
      <c r="A19490" t="s">
        <v>57918</v>
      </c>
      <c r="B19490" t="s">
        <v>11644</v>
      </c>
      <c r="C19490" t="s">
        <v>22458</v>
      </c>
      <c r="D19490" t="s">
        <v>57919</v>
      </c>
      <c r="E19490" t="b">
        <v>0</v>
      </c>
      <c r="F19490" t="s">
        <v>11610</v>
      </c>
      <c r="L19490">
        <v>0</v>
      </c>
      <c r="M19490">
        <v>0</v>
      </c>
      <c r="N19490">
        <v>0</v>
      </c>
    </row>
    <row r="19491" spans="1:15">
      <c r="A19491" t="s">
        <v>57920</v>
      </c>
      <c r="B19491" t="s">
        <v>14005</v>
      </c>
      <c r="C19491" t="s">
        <v>47445</v>
      </c>
      <c r="D19491" t="s">
        <v>57921</v>
      </c>
      <c r="E19491" t="b">
        <v>0</v>
      </c>
      <c r="F19491" t="s">
        <v>11624</v>
      </c>
      <c r="G19491">
        <v>-8.4045199999999998</v>
      </c>
      <c r="H19491">
        <v>140.96899999999999</v>
      </c>
      <c r="I19491" t="s">
        <v>57922</v>
      </c>
      <c r="L19491">
        <v>0</v>
      </c>
      <c r="M19491">
        <v>0</v>
      </c>
      <c r="N19491">
        <v>0</v>
      </c>
      <c r="O19491" t="s">
        <v>24525</v>
      </c>
    </row>
    <row r="19492" spans="1:15">
      <c r="A19492" t="s">
        <v>57923</v>
      </c>
      <c r="B19492" t="s">
        <v>11637</v>
      </c>
      <c r="C19492" t="s">
        <v>17118</v>
      </c>
      <c r="D19492" t="s">
        <v>57924</v>
      </c>
      <c r="E19492" t="b">
        <v>0</v>
      </c>
      <c r="F19492" t="s">
        <v>11610</v>
      </c>
      <c r="L19492">
        <v>0</v>
      </c>
      <c r="M19492">
        <v>0</v>
      </c>
      <c r="N19492">
        <v>0</v>
      </c>
    </row>
    <row r="19493" spans="1:15">
      <c r="A19493" t="s">
        <v>57925</v>
      </c>
      <c r="B19493" t="s">
        <v>6742</v>
      </c>
      <c r="C19493" t="s">
        <v>41963</v>
      </c>
      <c r="D19493" t="s">
        <v>57926</v>
      </c>
      <c r="E19493" t="b">
        <v>0</v>
      </c>
      <c r="F19493" t="s">
        <v>11622</v>
      </c>
      <c r="L19493">
        <v>5</v>
      </c>
      <c r="M19493">
        <v>7</v>
      </c>
      <c r="N19493">
        <v>39</v>
      </c>
    </row>
    <row r="19494" spans="1:15">
      <c r="A19494" t="s">
        <v>57927</v>
      </c>
      <c r="B19494" t="s">
        <v>6742</v>
      </c>
      <c r="C19494" t="s">
        <v>22855</v>
      </c>
      <c r="D19494" t="s">
        <v>57928</v>
      </c>
      <c r="E19494" t="b">
        <v>0</v>
      </c>
      <c r="F19494" t="s">
        <v>11622</v>
      </c>
      <c r="L19494">
        <v>11</v>
      </c>
      <c r="M19494">
        <v>25</v>
      </c>
      <c r="N19494">
        <v>64</v>
      </c>
    </row>
    <row r="19495" spans="1:15">
      <c r="A19495" t="s">
        <v>41963</v>
      </c>
      <c r="B19495" t="s">
        <v>6742</v>
      </c>
      <c r="C19495" t="s">
        <v>57927</v>
      </c>
      <c r="D19495" t="s">
        <v>57929</v>
      </c>
      <c r="E19495" t="b">
        <v>0</v>
      </c>
      <c r="F19495" t="s">
        <v>11622</v>
      </c>
      <c r="L19495">
        <v>10</v>
      </c>
      <c r="M19495">
        <v>24</v>
      </c>
      <c r="N19495">
        <v>57</v>
      </c>
    </row>
    <row r="19496" spans="1:15">
      <c r="A19496" t="s">
        <v>1932</v>
      </c>
      <c r="B19496" t="s">
        <v>6742</v>
      </c>
      <c r="C19496" t="s">
        <v>57925</v>
      </c>
      <c r="D19496" t="s">
        <v>1930</v>
      </c>
      <c r="E19496" t="b">
        <v>0</v>
      </c>
      <c r="F19496" t="s">
        <v>11622</v>
      </c>
      <c r="L19496">
        <v>3</v>
      </c>
      <c r="M19496">
        <v>5</v>
      </c>
      <c r="N19496">
        <v>16</v>
      </c>
    </row>
    <row r="19497" spans="1:15">
      <c r="A19497" t="s">
        <v>57930</v>
      </c>
      <c r="B19497" t="s">
        <v>12438</v>
      </c>
      <c r="C19497" t="s">
        <v>57756</v>
      </c>
      <c r="D19497" t="s">
        <v>57931</v>
      </c>
      <c r="E19497" t="b">
        <v>0</v>
      </c>
      <c r="F19497" t="s">
        <v>11610</v>
      </c>
      <c r="L19497">
        <v>0</v>
      </c>
      <c r="M19497">
        <v>0</v>
      </c>
      <c r="N19497">
        <v>0</v>
      </c>
    </row>
    <row r="19498" spans="1:15">
      <c r="A19498" t="s">
        <v>57932</v>
      </c>
      <c r="B19498" t="s">
        <v>6742</v>
      </c>
      <c r="C19498" t="s">
        <v>16596</v>
      </c>
      <c r="D19498" t="s">
        <v>57933</v>
      </c>
      <c r="E19498" t="b">
        <v>0</v>
      </c>
      <c r="F19498" t="s">
        <v>11610</v>
      </c>
      <c r="L19498">
        <v>0</v>
      </c>
      <c r="M19498">
        <v>0</v>
      </c>
      <c r="N19498">
        <v>0</v>
      </c>
    </row>
    <row r="19499" spans="1:15">
      <c r="A19499" t="s">
        <v>57934</v>
      </c>
      <c r="B19499" t="s">
        <v>6742</v>
      </c>
      <c r="C19499" t="s">
        <v>29985</v>
      </c>
      <c r="D19499" t="s">
        <v>57935</v>
      </c>
      <c r="E19499" t="b">
        <v>0</v>
      </c>
      <c r="F19499" t="s">
        <v>11610</v>
      </c>
      <c r="L19499">
        <v>0</v>
      </c>
      <c r="M19499">
        <v>0</v>
      </c>
      <c r="N19499">
        <v>0</v>
      </c>
    </row>
    <row r="19500" spans="1:15">
      <c r="A19500" t="s">
        <v>57936</v>
      </c>
      <c r="B19500" t="s">
        <v>6742</v>
      </c>
      <c r="C19500" t="s">
        <v>27708</v>
      </c>
      <c r="D19500" t="s">
        <v>57937</v>
      </c>
      <c r="E19500" t="b">
        <v>0</v>
      </c>
      <c r="F19500" t="s">
        <v>11610</v>
      </c>
      <c r="L19500">
        <v>0</v>
      </c>
      <c r="M19500">
        <v>0</v>
      </c>
      <c r="N19500">
        <v>0</v>
      </c>
    </row>
    <row r="19501" spans="1:15">
      <c r="A19501" t="s">
        <v>57938</v>
      </c>
      <c r="B19501" t="s">
        <v>11607</v>
      </c>
      <c r="C19501" t="s">
        <v>26425</v>
      </c>
      <c r="D19501" t="s">
        <v>57939</v>
      </c>
      <c r="E19501" t="b">
        <v>0</v>
      </c>
      <c r="F19501" t="s">
        <v>11610</v>
      </c>
      <c r="L19501">
        <v>0</v>
      </c>
      <c r="M19501">
        <v>0</v>
      </c>
      <c r="N19501">
        <v>0</v>
      </c>
    </row>
    <row r="19502" spans="1:15">
      <c r="A19502" t="s">
        <v>57940</v>
      </c>
      <c r="B19502" t="s">
        <v>11627</v>
      </c>
      <c r="C19502" t="s">
        <v>11627</v>
      </c>
      <c r="D19502" t="s">
        <v>57941</v>
      </c>
      <c r="E19502" t="b">
        <v>1</v>
      </c>
      <c r="F19502" t="s">
        <v>11624</v>
      </c>
      <c r="I19502" t="s">
        <v>57942</v>
      </c>
      <c r="L19502">
        <v>0</v>
      </c>
      <c r="M19502">
        <v>0</v>
      </c>
      <c r="N19502">
        <v>0</v>
      </c>
    </row>
    <row r="19503" spans="1:15">
      <c r="A19503" t="s">
        <v>19929</v>
      </c>
      <c r="D19503" t="s">
        <v>57943</v>
      </c>
      <c r="E19503" t="b">
        <v>0</v>
      </c>
      <c r="F19503" t="s">
        <v>11622</v>
      </c>
      <c r="L19503">
        <v>0</v>
      </c>
      <c r="M19503">
        <v>2</v>
      </c>
      <c r="N19503">
        <v>0</v>
      </c>
    </row>
    <row r="19504" spans="1:15">
      <c r="A19504" t="s">
        <v>57944</v>
      </c>
      <c r="B19504" t="s">
        <v>11981</v>
      </c>
      <c r="C19504" t="s">
        <v>39936</v>
      </c>
      <c r="D19504" t="s">
        <v>57945</v>
      </c>
      <c r="E19504" t="b">
        <v>0</v>
      </c>
      <c r="F19504" t="s">
        <v>11624</v>
      </c>
      <c r="G19504">
        <v>-25.965509999999998</v>
      </c>
      <c r="H19504">
        <v>28.118639999999999</v>
      </c>
      <c r="I19504" t="s">
        <v>57946</v>
      </c>
      <c r="L19504">
        <v>0</v>
      </c>
      <c r="M19504">
        <v>0</v>
      </c>
      <c r="N19504">
        <v>0</v>
      </c>
      <c r="O19504" t="s">
        <v>21031</v>
      </c>
    </row>
    <row r="19505" spans="1:15">
      <c r="A19505" t="s">
        <v>57947</v>
      </c>
      <c r="B19505" t="s">
        <v>19929</v>
      </c>
      <c r="C19505" t="s">
        <v>19929</v>
      </c>
      <c r="D19505" t="s">
        <v>57948</v>
      </c>
      <c r="E19505" t="b">
        <v>0</v>
      </c>
      <c r="F19505" t="s">
        <v>11624</v>
      </c>
      <c r="G19505">
        <v>-42.988576000000002</v>
      </c>
      <c r="H19505">
        <v>146.88537600000001</v>
      </c>
      <c r="L19505">
        <v>0</v>
      </c>
      <c r="M19505">
        <v>0</v>
      </c>
      <c r="N19505">
        <v>0</v>
      </c>
      <c r="O19505" t="s">
        <v>12107</v>
      </c>
    </row>
    <row r="19506" spans="1:15">
      <c r="A19506" t="s">
        <v>34329</v>
      </c>
      <c r="B19506" t="s">
        <v>27929</v>
      </c>
      <c r="C19506" t="s">
        <v>27929</v>
      </c>
      <c r="D19506" t="s">
        <v>57949</v>
      </c>
      <c r="E19506" t="b">
        <v>0</v>
      </c>
      <c r="F19506" t="s">
        <v>11622</v>
      </c>
      <c r="L19506">
        <v>0</v>
      </c>
      <c r="M19506">
        <v>3</v>
      </c>
      <c r="N19506">
        <v>7</v>
      </c>
    </row>
    <row r="19507" spans="1:15">
      <c r="A19507" t="s">
        <v>57950</v>
      </c>
      <c r="B19507" t="s">
        <v>36807</v>
      </c>
      <c r="C19507" t="s">
        <v>48232</v>
      </c>
      <c r="D19507" t="s">
        <v>57951</v>
      </c>
      <c r="E19507" t="b">
        <v>0</v>
      </c>
      <c r="F19507" t="s">
        <v>11622</v>
      </c>
      <c r="L19507">
        <v>0</v>
      </c>
      <c r="M19507">
        <v>2</v>
      </c>
      <c r="N19507">
        <v>0</v>
      </c>
    </row>
    <row r="19508" spans="1:15">
      <c r="A19508" t="s">
        <v>14314</v>
      </c>
      <c r="D19508" t="s">
        <v>57952</v>
      </c>
      <c r="E19508" t="b">
        <v>0</v>
      </c>
      <c r="F19508" t="s">
        <v>11622</v>
      </c>
      <c r="L19508">
        <v>1</v>
      </c>
      <c r="M19508">
        <v>6</v>
      </c>
      <c r="N19508">
        <v>6</v>
      </c>
    </row>
    <row r="19509" spans="1:15">
      <c r="A19509" t="s">
        <v>22139</v>
      </c>
      <c r="B19509" t="s">
        <v>11637</v>
      </c>
      <c r="C19509" t="s">
        <v>34260</v>
      </c>
      <c r="D19509" t="s">
        <v>57953</v>
      </c>
      <c r="E19509" t="b">
        <v>0</v>
      </c>
      <c r="F19509" t="s">
        <v>11624</v>
      </c>
      <c r="I19509" t="s">
        <v>57954</v>
      </c>
      <c r="L19509">
        <v>0</v>
      </c>
      <c r="M19509">
        <v>0</v>
      </c>
      <c r="N19509">
        <v>23</v>
      </c>
      <c r="O19509" t="s">
        <v>54674</v>
      </c>
    </row>
    <row r="19510" spans="1:15">
      <c r="A19510" t="s">
        <v>14803</v>
      </c>
      <c r="B19510" t="s">
        <v>11844</v>
      </c>
      <c r="C19510" t="s">
        <v>37022</v>
      </c>
      <c r="D19510" t="s">
        <v>57955</v>
      </c>
      <c r="E19510" t="b">
        <v>0</v>
      </c>
      <c r="F19510" t="s">
        <v>11624</v>
      </c>
      <c r="G19510">
        <v>19.690799999999999</v>
      </c>
      <c r="H19510">
        <v>78.593599999999995</v>
      </c>
      <c r="I19510" t="s">
        <v>57956</v>
      </c>
      <c r="L19510">
        <v>0</v>
      </c>
      <c r="M19510">
        <v>0</v>
      </c>
      <c r="N19510">
        <v>4</v>
      </c>
      <c r="O19510" t="s">
        <v>11630</v>
      </c>
    </row>
    <row r="19511" spans="1:15">
      <c r="A19511" t="s">
        <v>51973</v>
      </c>
      <c r="B19511" t="s">
        <v>11644</v>
      </c>
      <c r="C19511" t="s">
        <v>21410</v>
      </c>
      <c r="D19511" t="s">
        <v>57957</v>
      </c>
      <c r="E19511" t="b">
        <v>0</v>
      </c>
      <c r="F19511" t="s">
        <v>11622</v>
      </c>
      <c r="L19511">
        <v>2</v>
      </c>
      <c r="M19511">
        <v>4</v>
      </c>
      <c r="N19511">
        <v>4</v>
      </c>
    </row>
    <row r="19512" spans="1:15">
      <c r="A19512" t="s">
        <v>57958</v>
      </c>
      <c r="B19512" t="s">
        <v>5058</v>
      </c>
      <c r="C19512" t="s">
        <v>30031</v>
      </c>
      <c r="D19512" t="s">
        <v>57959</v>
      </c>
      <c r="E19512" t="b">
        <v>0</v>
      </c>
      <c r="F19512" t="s">
        <v>11624</v>
      </c>
      <c r="G19512">
        <v>26.3902</v>
      </c>
      <c r="H19512">
        <v>106.48099999999999</v>
      </c>
      <c r="I19512" t="s">
        <v>57960</v>
      </c>
      <c r="L19512">
        <v>0</v>
      </c>
      <c r="M19512">
        <v>0</v>
      </c>
      <c r="N19512">
        <v>0</v>
      </c>
      <c r="O19512" t="s">
        <v>11905</v>
      </c>
    </row>
    <row r="19513" spans="1:15">
      <c r="A19513" t="s">
        <v>57961</v>
      </c>
      <c r="B19513" t="s">
        <v>5058</v>
      </c>
      <c r="C19513" t="s">
        <v>21313</v>
      </c>
      <c r="D19513" t="s">
        <v>57962</v>
      </c>
      <c r="E19513" t="b">
        <v>0</v>
      </c>
      <c r="F19513" t="s">
        <v>11624</v>
      </c>
      <c r="G19513">
        <v>25.335899999999999</v>
      </c>
      <c r="H19513">
        <v>106.30800000000001</v>
      </c>
      <c r="I19513" t="s">
        <v>57963</v>
      </c>
      <c r="L19513">
        <v>0</v>
      </c>
      <c r="M19513">
        <v>0</v>
      </c>
      <c r="N19513">
        <v>0</v>
      </c>
      <c r="O19513" t="s">
        <v>11905</v>
      </c>
    </row>
    <row r="19514" spans="1:15">
      <c r="A19514" t="s">
        <v>23255</v>
      </c>
      <c r="B19514" t="s">
        <v>9071</v>
      </c>
      <c r="C19514" t="s">
        <v>32515</v>
      </c>
      <c r="D19514" t="s">
        <v>57964</v>
      </c>
      <c r="E19514" t="b">
        <v>0</v>
      </c>
      <c r="F19514" t="s">
        <v>11622</v>
      </c>
      <c r="L19514">
        <v>1</v>
      </c>
      <c r="M19514">
        <v>5</v>
      </c>
      <c r="N19514">
        <v>8</v>
      </c>
    </row>
    <row r="19515" spans="1:15">
      <c r="A19515" t="s">
        <v>57965</v>
      </c>
      <c r="B19515" t="s">
        <v>11637</v>
      </c>
      <c r="C19515" t="s">
        <v>10626</v>
      </c>
      <c r="D19515" t="s">
        <v>57966</v>
      </c>
      <c r="E19515" t="b">
        <v>0</v>
      </c>
      <c r="F19515" t="s">
        <v>11610</v>
      </c>
      <c r="L19515">
        <v>0</v>
      </c>
      <c r="M19515">
        <v>0</v>
      </c>
      <c r="N19515">
        <v>0</v>
      </c>
    </row>
    <row r="19516" spans="1:15">
      <c r="A19516" t="s">
        <v>57967</v>
      </c>
      <c r="B19516" t="s">
        <v>12260</v>
      </c>
      <c r="C19516" t="s">
        <v>10115</v>
      </c>
      <c r="D19516" t="s">
        <v>57968</v>
      </c>
      <c r="E19516" t="b">
        <v>0</v>
      </c>
      <c r="F19516" t="s">
        <v>11610</v>
      </c>
      <c r="L19516">
        <v>0</v>
      </c>
      <c r="M19516">
        <v>0</v>
      </c>
      <c r="N19516">
        <v>0</v>
      </c>
    </row>
    <row r="19517" spans="1:15">
      <c r="A19517" t="s">
        <v>57969</v>
      </c>
      <c r="B19517" t="s">
        <v>11637</v>
      </c>
      <c r="C19517" t="s">
        <v>34722</v>
      </c>
      <c r="D19517" t="s">
        <v>57970</v>
      </c>
      <c r="E19517" t="b">
        <v>0</v>
      </c>
      <c r="F19517" t="s">
        <v>11610</v>
      </c>
      <c r="L19517">
        <v>0</v>
      </c>
      <c r="M19517">
        <v>0</v>
      </c>
      <c r="N19517">
        <v>0</v>
      </c>
    </row>
    <row r="19518" spans="1:15">
      <c r="A19518" t="s">
        <v>57971</v>
      </c>
      <c r="B19518" t="s">
        <v>12260</v>
      </c>
      <c r="C19518" t="s">
        <v>3459</v>
      </c>
      <c r="D19518" t="s">
        <v>57972</v>
      </c>
      <c r="E19518" t="b">
        <v>0</v>
      </c>
      <c r="F19518" t="s">
        <v>11610</v>
      </c>
      <c r="L19518">
        <v>0</v>
      </c>
      <c r="M19518">
        <v>0</v>
      </c>
      <c r="N19518">
        <v>0</v>
      </c>
    </row>
    <row r="19519" spans="1:15">
      <c r="A19519" t="s">
        <v>57973</v>
      </c>
      <c r="B19519" t="s">
        <v>13360</v>
      </c>
      <c r="C19519" t="s">
        <v>13360</v>
      </c>
      <c r="D19519" t="s">
        <v>57974</v>
      </c>
      <c r="E19519" t="b">
        <v>0</v>
      </c>
      <c r="F19519" t="s">
        <v>11624</v>
      </c>
      <c r="L19519">
        <v>0</v>
      </c>
      <c r="M19519">
        <v>0</v>
      </c>
      <c r="N19519">
        <v>0</v>
      </c>
      <c r="O19519" t="s">
        <v>53039</v>
      </c>
    </row>
    <row r="19520" spans="1:15">
      <c r="A19520" t="s">
        <v>26689</v>
      </c>
      <c r="B19520" t="s">
        <v>11637</v>
      </c>
      <c r="C19520" t="s">
        <v>9200</v>
      </c>
      <c r="D19520" t="s">
        <v>57975</v>
      </c>
      <c r="E19520" t="b">
        <v>0</v>
      </c>
      <c r="F19520" t="s">
        <v>11610</v>
      </c>
      <c r="L19520">
        <v>0</v>
      </c>
      <c r="M19520">
        <v>0</v>
      </c>
      <c r="N19520">
        <v>3</v>
      </c>
    </row>
    <row r="19521" spans="1:14">
      <c r="A19521" t="s">
        <v>25363</v>
      </c>
      <c r="B19521" t="s">
        <v>11637</v>
      </c>
      <c r="C19521" t="s">
        <v>1407</v>
      </c>
      <c r="D19521" t="s">
        <v>57976</v>
      </c>
      <c r="E19521" t="b">
        <v>0</v>
      </c>
      <c r="F19521" t="s">
        <v>11610</v>
      </c>
      <c r="L19521">
        <v>0</v>
      </c>
      <c r="M19521">
        <v>0</v>
      </c>
      <c r="N19521">
        <v>4</v>
      </c>
    </row>
    <row r="19522" spans="1:14">
      <c r="A19522" t="s">
        <v>57977</v>
      </c>
      <c r="B19522" t="s">
        <v>11637</v>
      </c>
      <c r="C19522" t="s">
        <v>1416</v>
      </c>
      <c r="D19522" t="s">
        <v>57978</v>
      </c>
      <c r="E19522" t="b">
        <v>0</v>
      </c>
      <c r="F19522" t="s">
        <v>11610</v>
      </c>
      <c r="L19522">
        <v>0</v>
      </c>
      <c r="M19522">
        <v>0</v>
      </c>
      <c r="N19522">
        <v>0</v>
      </c>
    </row>
    <row r="19523" spans="1:14">
      <c r="A19523" t="s">
        <v>57979</v>
      </c>
      <c r="B19523" t="s">
        <v>11637</v>
      </c>
      <c r="C19523" t="s">
        <v>1408</v>
      </c>
      <c r="D19523" t="s">
        <v>57980</v>
      </c>
      <c r="E19523" t="b">
        <v>0</v>
      </c>
      <c r="F19523" t="s">
        <v>11610</v>
      </c>
      <c r="L19523">
        <v>0</v>
      </c>
      <c r="M19523">
        <v>0</v>
      </c>
      <c r="N19523">
        <v>0</v>
      </c>
    </row>
    <row r="19524" spans="1:14">
      <c r="A19524" t="s">
        <v>23355</v>
      </c>
      <c r="B19524" t="s">
        <v>11637</v>
      </c>
      <c r="C19524" t="s">
        <v>4958</v>
      </c>
      <c r="D19524" t="s">
        <v>57981</v>
      </c>
      <c r="E19524" t="b">
        <v>0</v>
      </c>
      <c r="F19524" t="s">
        <v>11610</v>
      </c>
      <c r="L19524">
        <v>0</v>
      </c>
      <c r="M19524">
        <v>0</v>
      </c>
      <c r="N19524">
        <v>14</v>
      </c>
    </row>
    <row r="19525" spans="1:14">
      <c r="A19525" t="s">
        <v>57982</v>
      </c>
      <c r="B19525" t="s">
        <v>11637</v>
      </c>
      <c r="C19525" t="s">
        <v>48269</v>
      </c>
      <c r="D19525" t="s">
        <v>57983</v>
      </c>
      <c r="E19525" t="b">
        <v>0</v>
      </c>
      <c r="F19525" t="s">
        <v>11610</v>
      </c>
      <c r="L19525">
        <v>0</v>
      </c>
      <c r="M19525">
        <v>0</v>
      </c>
      <c r="N19525">
        <v>0</v>
      </c>
    </row>
    <row r="19526" spans="1:14">
      <c r="A19526" t="s">
        <v>57984</v>
      </c>
      <c r="B19526" t="s">
        <v>11637</v>
      </c>
      <c r="C19526" t="s">
        <v>14694</v>
      </c>
      <c r="D19526" t="s">
        <v>57985</v>
      </c>
      <c r="E19526" t="b">
        <v>0</v>
      </c>
      <c r="F19526" t="s">
        <v>11610</v>
      </c>
      <c r="L19526">
        <v>0</v>
      </c>
      <c r="M19526">
        <v>0</v>
      </c>
      <c r="N19526">
        <v>0</v>
      </c>
    </row>
    <row r="19527" spans="1:14">
      <c r="A19527" t="s">
        <v>57986</v>
      </c>
      <c r="B19527" t="s">
        <v>11637</v>
      </c>
      <c r="C19527" t="s">
        <v>14262</v>
      </c>
      <c r="D19527" t="s">
        <v>57987</v>
      </c>
      <c r="E19527" t="b">
        <v>0</v>
      </c>
      <c r="F19527" t="s">
        <v>11610</v>
      </c>
      <c r="L19527">
        <v>0</v>
      </c>
      <c r="M19527">
        <v>0</v>
      </c>
      <c r="N19527">
        <v>0</v>
      </c>
    </row>
    <row r="19528" spans="1:14">
      <c r="A19528" t="s">
        <v>57988</v>
      </c>
      <c r="B19528" t="s">
        <v>11637</v>
      </c>
      <c r="C19528" t="s">
        <v>4892</v>
      </c>
      <c r="D19528" t="s">
        <v>57989</v>
      </c>
      <c r="E19528" t="b">
        <v>0</v>
      </c>
      <c r="F19528" t="s">
        <v>11610</v>
      </c>
      <c r="L19528">
        <v>0</v>
      </c>
      <c r="M19528">
        <v>0</v>
      </c>
      <c r="N19528">
        <v>0</v>
      </c>
    </row>
    <row r="19529" spans="1:14">
      <c r="A19529" t="s">
        <v>57990</v>
      </c>
      <c r="B19529" t="s">
        <v>11637</v>
      </c>
      <c r="C19529" t="s">
        <v>7000</v>
      </c>
      <c r="D19529" t="s">
        <v>57991</v>
      </c>
      <c r="E19529" t="b">
        <v>0</v>
      </c>
      <c r="F19529" t="s">
        <v>11610</v>
      </c>
      <c r="L19529">
        <v>0</v>
      </c>
      <c r="M19529">
        <v>0</v>
      </c>
      <c r="N19529">
        <v>0</v>
      </c>
    </row>
    <row r="19530" spans="1:14">
      <c r="A19530" t="s">
        <v>39310</v>
      </c>
      <c r="B19530" t="s">
        <v>11637</v>
      </c>
      <c r="C19530" t="s">
        <v>4724</v>
      </c>
      <c r="D19530" t="s">
        <v>57992</v>
      </c>
      <c r="E19530" t="b">
        <v>0</v>
      </c>
      <c r="F19530" t="s">
        <v>11610</v>
      </c>
      <c r="L19530">
        <v>0</v>
      </c>
      <c r="M19530">
        <v>0</v>
      </c>
      <c r="N19530">
        <v>12</v>
      </c>
    </row>
    <row r="19531" spans="1:14">
      <c r="A19531" t="s">
        <v>57993</v>
      </c>
      <c r="B19531" t="s">
        <v>11637</v>
      </c>
      <c r="C19531" t="s">
        <v>7332</v>
      </c>
      <c r="D19531" t="s">
        <v>57994</v>
      </c>
      <c r="E19531" t="b">
        <v>0</v>
      </c>
      <c r="F19531" t="s">
        <v>11610</v>
      </c>
      <c r="L19531">
        <v>0</v>
      </c>
      <c r="M19531">
        <v>0</v>
      </c>
      <c r="N19531">
        <v>0</v>
      </c>
    </row>
    <row r="19532" spans="1:14">
      <c r="A19532" t="s">
        <v>57995</v>
      </c>
      <c r="B19532" t="s">
        <v>11637</v>
      </c>
      <c r="C19532" t="s">
        <v>16994</v>
      </c>
      <c r="D19532" t="s">
        <v>57996</v>
      </c>
      <c r="E19532" t="b">
        <v>0</v>
      </c>
      <c r="F19532" t="s">
        <v>11610</v>
      </c>
      <c r="L19532">
        <v>0</v>
      </c>
      <c r="M19532">
        <v>0</v>
      </c>
      <c r="N19532">
        <v>0</v>
      </c>
    </row>
    <row r="19533" spans="1:14">
      <c r="A19533" t="s">
        <v>57997</v>
      </c>
      <c r="B19533" t="s">
        <v>11637</v>
      </c>
      <c r="C19533" t="s">
        <v>5695</v>
      </c>
      <c r="D19533" t="s">
        <v>57998</v>
      </c>
      <c r="E19533" t="b">
        <v>0</v>
      </c>
      <c r="F19533" t="s">
        <v>11610</v>
      </c>
      <c r="L19533">
        <v>0</v>
      </c>
      <c r="M19533">
        <v>0</v>
      </c>
      <c r="N19533">
        <v>0</v>
      </c>
    </row>
    <row r="19534" spans="1:14">
      <c r="A19534" t="s">
        <v>57999</v>
      </c>
      <c r="B19534" t="s">
        <v>11637</v>
      </c>
      <c r="C19534" t="s">
        <v>5695</v>
      </c>
      <c r="D19534" t="s">
        <v>58000</v>
      </c>
      <c r="E19534" t="b">
        <v>0</v>
      </c>
      <c r="F19534" t="s">
        <v>11610</v>
      </c>
      <c r="L19534">
        <v>0</v>
      </c>
      <c r="M19534">
        <v>0</v>
      </c>
      <c r="N19534">
        <v>0</v>
      </c>
    </row>
    <row r="19535" spans="1:14">
      <c r="A19535" t="s">
        <v>58001</v>
      </c>
      <c r="B19535" t="s">
        <v>11637</v>
      </c>
      <c r="C19535" t="s">
        <v>55012</v>
      </c>
      <c r="D19535" t="s">
        <v>58002</v>
      </c>
      <c r="E19535" t="b">
        <v>0</v>
      </c>
      <c r="F19535" t="s">
        <v>11610</v>
      </c>
      <c r="I19535" t="s">
        <v>58003</v>
      </c>
      <c r="L19535">
        <v>0</v>
      </c>
      <c r="M19535">
        <v>0</v>
      </c>
      <c r="N19535">
        <v>0</v>
      </c>
    </row>
    <row r="19536" spans="1:14">
      <c r="A19536" t="s">
        <v>58004</v>
      </c>
      <c r="B19536" t="s">
        <v>11637</v>
      </c>
      <c r="C19536" t="s">
        <v>48285</v>
      </c>
      <c r="D19536" t="s">
        <v>58005</v>
      </c>
      <c r="E19536" t="b">
        <v>0</v>
      </c>
      <c r="F19536" t="s">
        <v>11610</v>
      </c>
      <c r="L19536">
        <v>0</v>
      </c>
      <c r="M19536">
        <v>0</v>
      </c>
      <c r="N19536">
        <v>0</v>
      </c>
    </row>
    <row r="19537" spans="1:15">
      <c r="A19537" t="s">
        <v>26727</v>
      </c>
      <c r="B19537" t="s">
        <v>11637</v>
      </c>
      <c r="C19537" t="s">
        <v>32505</v>
      </c>
      <c r="D19537" t="s">
        <v>58006</v>
      </c>
      <c r="E19537" t="b">
        <v>0</v>
      </c>
      <c r="F19537" t="s">
        <v>11610</v>
      </c>
      <c r="L19537">
        <v>0</v>
      </c>
      <c r="M19537">
        <v>0</v>
      </c>
      <c r="N19537">
        <v>4</v>
      </c>
    </row>
    <row r="19538" spans="1:15">
      <c r="A19538" t="s">
        <v>58007</v>
      </c>
      <c r="B19538" t="s">
        <v>11637</v>
      </c>
      <c r="C19538" t="s">
        <v>25404</v>
      </c>
      <c r="D19538" t="s">
        <v>58008</v>
      </c>
      <c r="E19538" t="b">
        <v>0</v>
      </c>
      <c r="F19538" t="s">
        <v>11610</v>
      </c>
      <c r="L19538">
        <v>0</v>
      </c>
      <c r="M19538">
        <v>0</v>
      </c>
      <c r="N19538">
        <v>0</v>
      </c>
    </row>
    <row r="19539" spans="1:15">
      <c r="A19539" t="s">
        <v>58009</v>
      </c>
      <c r="B19539" t="s">
        <v>11637</v>
      </c>
      <c r="C19539" t="s">
        <v>44423</v>
      </c>
      <c r="D19539" t="s">
        <v>58010</v>
      </c>
      <c r="E19539" t="b">
        <v>0</v>
      </c>
      <c r="F19539" t="s">
        <v>11610</v>
      </c>
      <c r="L19539">
        <v>0</v>
      </c>
      <c r="M19539">
        <v>0</v>
      </c>
      <c r="N19539">
        <v>0</v>
      </c>
    </row>
    <row r="19540" spans="1:15">
      <c r="A19540" t="s">
        <v>18160</v>
      </c>
      <c r="B19540" t="s">
        <v>11637</v>
      </c>
      <c r="C19540" t="s">
        <v>25849</v>
      </c>
      <c r="D19540" t="s">
        <v>58011</v>
      </c>
      <c r="E19540" t="b">
        <v>0</v>
      </c>
      <c r="F19540" t="s">
        <v>11610</v>
      </c>
      <c r="L19540">
        <v>0</v>
      </c>
      <c r="M19540">
        <v>0</v>
      </c>
      <c r="N19540">
        <v>2</v>
      </c>
    </row>
    <row r="19541" spans="1:15">
      <c r="A19541" t="s">
        <v>29626</v>
      </c>
      <c r="B19541" t="s">
        <v>11637</v>
      </c>
      <c r="C19541" t="s">
        <v>10208</v>
      </c>
      <c r="D19541" t="s">
        <v>58012</v>
      </c>
      <c r="E19541" t="b">
        <v>0</v>
      </c>
      <c r="F19541" t="s">
        <v>11610</v>
      </c>
      <c r="L19541">
        <v>0</v>
      </c>
      <c r="M19541">
        <v>0</v>
      </c>
      <c r="N19541">
        <v>2</v>
      </c>
    </row>
    <row r="19542" spans="1:15">
      <c r="A19542" t="s">
        <v>58013</v>
      </c>
      <c r="B19542" t="s">
        <v>11637</v>
      </c>
      <c r="C19542" t="s">
        <v>22036</v>
      </c>
      <c r="D19542" t="s">
        <v>58014</v>
      </c>
      <c r="E19542" t="b">
        <v>0</v>
      </c>
      <c r="F19542" t="s">
        <v>11610</v>
      </c>
      <c r="L19542">
        <v>0</v>
      </c>
      <c r="M19542">
        <v>0</v>
      </c>
      <c r="N19542">
        <v>0</v>
      </c>
    </row>
    <row r="19543" spans="1:15">
      <c r="A19543" t="s">
        <v>58015</v>
      </c>
      <c r="B19543" t="s">
        <v>11637</v>
      </c>
      <c r="C19543" t="s">
        <v>12929</v>
      </c>
      <c r="D19543" t="s">
        <v>58016</v>
      </c>
      <c r="E19543" t="b">
        <v>0</v>
      </c>
      <c r="F19543" t="s">
        <v>11610</v>
      </c>
      <c r="L19543">
        <v>0</v>
      </c>
      <c r="M19543">
        <v>0</v>
      </c>
      <c r="N19543">
        <v>0</v>
      </c>
    </row>
    <row r="19544" spans="1:15">
      <c r="A19544" t="s">
        <v>43272</v>
      </c>
      <c r="B19544" t="s">
        <v>11637</v>
      </c>
      <c r="C19544" t="s">
        <v>56708</v>
      </c>
      <c r="D19544" t="s">
        <v>58017</v>
      </c>
      <c r="E19544" t="b">
        <v>0</v>
      </c>
      <c r="F19544" t="s">
        <v>11610</v>
      </c>
      <c r="L19544">
        <v>0</v>
      </c>
      <c r="M19544">
        <v>0</v>
      </c>
      <c r="N19544">
        <v>1</v>
      </c>
    </row>
    <row r="19545" spans="1:15">
      <c r="A19545" t="s">
        <v>17607</v>
      </c>
      <c r="B19545" t="s">
        <v>11637</v>
      </c>
      <c r="C19545" t="s">
        <v>161</v>
      </c>
      <c r="D19545" t="s">
        <v>58018</v>
      </c>
      <c r="E19545" t="b">
        <v>0</v>
      </c>
      <c r="F19545" t="s">
        <v>11624</v>
      </c>
      <c r="G19545">
        <v>32.8977</v>
      </c>
      <c r="H19545">
        <v>46.5976</v>
      </c>
      <c r="I19545" t="s">
        <v>58019</v>
      </c>
      <c r="L19545">
        <v>0</v>
      </c>
      <c r="M19545">
        <v>0</v>
      </c>
      <c r="N19545">
        <v>10</v>
      </c>
      <c r="O19545" t="s">
        <v>21347</v>
      </c>
    </row>
    <row r="19546" spans="1:15">
      <c r="A19546" t="s">
        <v>58020</v>
      </c>
      <c r="B19546" t="s">
        <v>11637</v>
      </c>
      <c r="C19546" t="s">
        <v>4401</v>
      </c>
      <c r="D19546" t="s">
        <v>58021</v>
      </c>
      <c r="E19546" t="b">
        <v>0</v>
      </c>
      <c r="F19546" t="s">
        <v>11610</v>
      </c>
      <c r="L19546">
        <v>0</v>
      </c>
      <c r="M19546">
        <v>0</v>
      </c>
      <c r="N19546">
        <v>0</v>
      </c>
    </row>
    <row r="19547" spans="1:15">
      <c r="A19547" t="s">
        <v>16881</v>
      </c>
      <c r="B19547" t="s">
        <v>11637</v>
      </c>
      <c r="C19547" t="s">
        <v>58022</v>
      </c>
      <c r="D19547" t="s">
        <v>58023</v>
      </c>
      <c r="E19547" t="b">
        <v>0</v>
      </c>
      <c r="F19547" t="s">
        <v>11624</v>
      </c>
      <c r="G19547">
        <v>26</v>
      </c>
      <c r="H19547">
        <v>64</v>
      </c>
      <c r="I19547" t="s">
        <v>58024</v>
      </c>
      <c r="L19547">
        <v>0</v>
      </c>
      <c r="M19547">
        <v>0</v>
      </c>
      <c r="N19547">
        <v>6</v>
      </c>
      <c r="O19547" t="s">
        <v>58025</v>
      </c>
    </row>
    <row r="19548" spans="1:15">
      <c r="A19548" t="s">
        <v>58026</v>
      </c>
      <c r="B19548" t="s">
        <v>11637</v>
      </c>
      <c r="C19548" t="s">
        <v>17248</v>
      </c>
      <c r="D19548" t="s">
        <v>58027</v>
      </c>
      <c r="E19548" t="b">
        <v>0</v>
      </c>
      <c r="F19548" t="s">
        <v>11610</v>
      </c>
      <c r="L19548">
        <v>0</v>
      </c>
      <c r="M19548">
        <v>0</v>
      </c>
      <c r="N19548">
        <v>0</v>
      </c>
    </row>
    <row r="19549" spans="1:15">
      <c r="A19549" t="s">
        <v>58028</v>
      </c>
      <c r="B19549" t="s">
        <v>11637</v>
      </c>
      <c r="C19549" t="s">
        <v>17249</v>
      </c>
      <c r="D19549" t="s">
        <v>58029</v>
      </c>
      <c r="E19549" t="b">
        <v>0</v>
      </c>
      <c r="F19549" t="s">
        <v>11624</v>
      </c>
      <c r="G19549">
        <v>29.745999999999999</v>
      </c>
      <c r="H19549">
        <v>52.267000000000003</v>
      </c>
      <c r="I19549" t="s">
        <v>58030</v>
      </c>
      <c r="L19549">
        <v>0</v>
      </c>
      <c r="M19549">
        <v>0</v>
      </c>
      <c r="N19549">
        <v>0</v>
      </c>
      <c r="O19549" t="s">
        <v>13225</v>
      </c>
    </row>
    <row r="19550" spans="1:15">
      <c r="A19550" t="s">
        <v>19797</v>
      </c>
      <c r="B19550" t="s">
        <v>11637</v>
      </c>
      <c r="C19550" t="s">
        <v>16121</v>
      </c>
      <c r="D19550" t="s">
        <v>58031</v>
      </c>
      <c r="E19550" t="b">
        <v>0</v>
      </c>
      <c r="F19550" t="s">
        <v>11624</v>
      </c>
      <c r="G19550">
        <v>30.466899999999999</v>
      </c>
      <c r="H19550">
        <v>50.838200000000001</v>
      </c>
      <c r="I19550" t="s">
        <v>58032</v>
      </c>
      <c r="L19550">
        <v>0</v>
      </c>
      <c r="M19550">
        <v>0</v>
      </c>
      <c r="N19550">
        <v>5</v>
      </c>
      <c r="O19550" t="s">
        <v>13225</v>
      </c>
    </row>
    <row r="19551" spans="1:15">
      <c r="A19551" t="s">
        <v>34722</v>
      </c>
      <c r="B19551" t="s">
        <v>11637</v>
      </c>
      <c r="C19551" t="s">
        <v>3558</v>
      </c>
      <c r="D19551" t="s">
        <v>58033</v>
      </c>
      <c r="E19551" t="b">
        <v>0</v>
      </c>
      <c r="F19551" t="s">
        <v>11624</v>
      </c>
      <c r="G19551">
        <v>37.17</v>
      </c>
      <c r="H19551">
        <v>68.25</v>
      </c>
      <c r="I19551" t="s">
        <v>58034</v>
      </c>
      <c r="L19551">
        <v>0</v>
      </c>
      <c r="M19551">
        <v>0</v>
      </c>
      <c r="N19551">
        <v>4</v>
      </c>
      <c r="O19551" t="s">
        <v>24157</v>
      </c>
    </row>
    <row r="19552" spans="1:15">
      <c r="A19552" t="s">
        <v>58035</v>
      </c>
      <c r="B19552" t="s">
        <v>11637</v>
      </c>
      <c r="C19552" t="s">
        <v>34722</v>
      </c>
      <c r="D19552" t="s">
        <v>58036</v>
      </c>
      <c r="E19552" t="b">
        <v>0</v>
      </c>
      <c r="F19552" t="s">
        <v>11610</v>
      </c>
      <c r="L19552">
        <v>0</v>
      </c>
      <c r="M19552">
        <v>0</v>
      </c>
      <c r="N19552">
        <v>0</v>
      </c>
    </row>
    <row r="19553" spans="1:15">
      <c r="A19553" t="s">
        <v>58037</v>
      </c>
      <c r="B19553" t="s">
        <v>11637</v>
      </c>
      <c r="C19553" t="s">
        <v>21352</v>
      </c>
      <c r="D19553" t="s">
        <v>58038</v>
      </c>
      <c r="E19553" t="b">
        <v>0</v>
      </c>
      <c r="F19553" t="s">
        <v>11610</v>
      </c>
      <c r="L19553">
        <v>0</v>
      </c>
      <c r="M19553">
        <v>0</v>
      </c>
      <c r="N19553">
        <v>0</v>
      </c>
    </row>
    <row r="19554" spans="1:15">
      <c r="A19554" t="s">
        <v>58039</v>
      </c>
      <c r="B19554" t="s">
        <v>11637</v>
      </c>
      <c r="C19554" t="s">
        <v>21364</v>
      </c>
      <c r="D19554" t="s">
        <v>58040</v>
      </c>
      <c r="E19554" t="b">
        <v>0</v>
      </c>
      <c r="F19554" t="s">
        <v>11610</v>
      </c>
      <c r="L19554">
        <v>0</v>
      </c>
      <c r="M19554">
        <v>0</v>
      </c>
      <c r="N19554">
        <v>0</v>
      </c>
    </row>
    <row r="19555" spans="1:15">
      <c r="A19555" t="s">
        <v>58041</v>
      </c>
      <c r="B19555" t="s">
        <v>11637</v>
      </c>
      <c r="C19555" t="s">
        <v>48331</v>
      </c>
      <c r="D19555" t="s">
        <v>58042</v>
      </c>
      <c r="E19555" t="b">
        <v>0</v>
      </c>
      <c r="F19555" t="s">
        <v>11610</v>
      </c>
      <c r="L19555">
        <v>0</v>
      </c>
      <c r="M19555">
        <v>0</v>
      </c>
      <c r="N19555">
        <v>0</v>
      </c>
    </row>
    <row r="19556" spans="1:15">
      <c r="A19556" t="s">
        <v>58043</v>
      </c>
      <c r="B19556" t="s">
        <v>11637</v>
      </c>
      <c r="C19556" t="s">
        <v>16884</v>
      </c>
      <c r="D19556" t="s">
        <v>58044</v>
      </c>
      <c r="E19556" t="b">
        <v>0</v>
      </c>
      <c r="F19556" t="s">
        <v>11610</v>
      </c>
      <c r="L19556">
        <v>0</v>
      </c>
      <c r="M19556">
        <v>0</v>
      </c>
      <c r="N19556">
        <v>0</v>
      </c>
    </row>
    <row r="19557" spans="1:15">
      <c r="A19557" t="s">
        <v>58045</v>
      </c>
      <c r="B19557" t="s">
        <v>11637</v>
      </c>
      <c r="C19557" t="s">
        <v>43134</v>
      </c>
      <c r="D19557" t="s">
        <v>58046</v>
      </c>
      <c r="E19557" t="b">
        <v>0</v>
      </c>
      <c r="F19557" t="s">
        <v>11610</v>
      </c>
      <c r="L19557">
        <v>0</v>
      </c>
      <c r="M19557">
        <v>0</v>
      </c>
      <c r="N19557">
        <v>0</v>
      </c>
    </row>
    <row r="19558" spans="1:15">
      <c r="A19558" t="s">
        <v>58047</v>
      </c>
      <c r="B19558" t="s">
        <v>11637</v>
      </c>
      <c r="C19558" t="s">
        <v>25733</v>
      </c>
      <c r="D19558" t="s">
        <v>58048</v>
      </c>
      <c r="E19558" t="b">
        <v>0</v>
      </c>
      <c r="F19558" t="s">
        <v>11610</v>
      </c>
      <c r="L19558">
        <v>0</v>
      </c>
      <c r="M19558">
        <v>0</v>
      </c>
      <c r="N19558">
        <v>0</v>
      </c>
    </row>
    <row r="19559" spans="1:15">
      <c r="A19559" t="s">
        <v>25734</v>
      </c>
      <c r="B19559" t="s">
        <v>11637</v>
      </c>
      <c r="C19559" t="s">
        <v>21369</v>
      </c>
      <c r="D19559" t="s">
        <v>58049</v>
      </c>
      <c r="E19559" t="b">
        <v>0</v>
      </c>
      <c r="F19559" t="s">
        <v>11610</v>
      </c>
      <c r="L19559">
        <v>0</v>
      </c>
      <c r="M19559">
        <v>0</v>
      </c>
      <c r="N19559">
        <v>9</v>
      </c>
    </row>
    <row r="19560" spans="1:15">
      <c r="A19560" t="s">
        <v>58050</v>
      </c>
      <c r="B19560" t="s">
        <v>11637</v>
      </c>
      <c r="C19560" t="s">
        <v>13063</v>
      </c>
      <c r="D19560" t="s">
        <v>58051</v>
      </c>
      <c r="E19560" t="b">
        <v>0</v>
      </c>
      <c r="F19560" t="s">
        <v>11610</v>
      </c>
      <c r="L19560">
        <v>0</v>
      </c>
      <c r="M19560">
        <v>0</v>
      </c>
      <c r="N19560">
        <v>0</v>
      </c>
    </row>
    <row r="19561" spans="1:15">
      <c r="A19561" t="s">
        <v>58052</v>
      </c>
      <c r="B19561" t="s">
        <v>11637</v>
      </c>
      <c r="C19561" t="s">
        <v>13063</v>
      </c>
      <c r="D19561" t="s">
        <v>58053</v>
      </c>
      <c r="E19561" t="b">
        <v>0</v>
      </c>
      <c r="F19561" t="s">
        <v>11610</v>
      </c>
      <c r="L19561">
        <v>0</v>
      </c>
      <c r="M19561">
        <v>0</v>
      </c>
      <c r="N19561">
        <v>0</v>
      </c>
    </row>
    <row r="19562" spans="1:15">
      <c r="A19562" t="s">
        <v>58054</v>
      </c>
      <c r="B19562" t="s">
        <v>11637</v>
      </c>
      <c r="C19562" t="s">
        <v>187</v>
      </c>
      <c r="D19562" t="s">
        <v>58055</v>
      </c>
      <c r="E19562" t="b">
        <v>0</v>
      </c>
      <c r="F19562" t="s">
        <v>11610</v>
      </c>
      <c r="L19562">
        <v>0</v>
      </c>
      <c r="M19562">
        <v>0</v>
      </c>
      <c r="N19562">
        <v>0</v>
      </c>
    </row>
    <row r="19563" spans="1:15">
      <c r="A19563" t="s">
        <v>58056</v>
      </c>
      <c r="B19563" t="s">
        <v>11637</v>
      </c>
      <c r="C19563" t="s">
        <v>21372</v>
      </c>
      <c r="D19563" t="s">
        <v>58057</v>
      </c>
      <c r="E19563" t="b">
        <v>0</v>
      </c>
      <c r="F19563" t="s">
        <v>11610</v>
      </c>
      <c r="L19563">
        <v>0</v>
      </c>
      <c r="M19563">
        <v>0</v>
      </c>
      <c r="N19563">
        <v>0</v>
      </c>
    </row>
    <row r="19564" spans="1:15">
      <c r="A19564" t="s">
        <v>58058</v>
      </c>
      <c r="B19564" t="s">
        <v>11637</v>
      </c>
      <c r="C19564" t="s">
        <v>16777</v>
      </c>
      <c r="D19564" t="s">
        <v>58059</v>
      </c>
      <c r="E19564" t="b">
        <v>0</v>
      </c>
      <c r="F19564" t="s">
        <v>11610</v>
      </c>
      <c r="L19564">
        <v>0</v>
      </c>
      <c r="M19564">
        <v>0</v>
      </c>
      <c r="N19564">
        <v>0</v>
      </c>
    </row>
    <row r="19565" spans="1:15">
      <c r="A19565" t="s">
        <v>58060</v>
      </c>
      <c r="B19565" t="s">
        <v>11637</v>
      </c>
      <c r="C19565" t="s">
        <v>30619</v>
      </c>
      <c r="D19565" t="s">
        <v>58061</v>
      </c>
      <c r="E19565" t="b">
        <v>0</v>
      </c>
      <c r="F19565" t="s">
        <v>11610</v>
      </c>
      <c r="L19565">
        <v>0</v>
      </c>
      <c r="M19565">
        <v>0</v>
      </c>
      <c r="N19565">
        <v>0</v>
      </c>
    </row>
    <row r="19566" spans="1:15">
      <c r="A19566" t="s">
        <v>58062</v>
      </c>
      <c r="B19566" t="s">
        <v>11637</v>
      </c>
      <c r="C19566" t="s">
        <v>21379</v>
      </c>
      <c r="D19566" t="s">
        <v>58063</v>
      </c>
      <c r="E19566" t="b">
        <v>0</v>
      </c>
      <c r="F19566" t="s">
        <v>11610</v>
      </c>
      <c r="L19566">
        <v>0</v>
      </c>
      <c r="M19566">
        <v>0</v>
      </c>
      <c r="N19566">
        <v>0</v>
      </c>
    </row>
    <row r="19567" spans="1:15">
      <c r="A19567" t="s">
        <v>15097</v>
      </c>
      <c r="B19567" t="s">
        <v>11637</v>
      </c>
      <c r="C19567" t="s">
        <v>31169</v>
      </c>
      <c r="D19567" t="s">
        <v>58064</v>
      </c>
      <c r="E19567" t="b">
        <v>0</v>
      </c>
      <c r="F19567" t="s">
        <v>11624</v>
      </c>
      <c r="G19567">
        <v>33.212200000000003</v>
      </c>
      <c r="H19567">
        <v>72.170199999999994</v>
      </c>
      <c r="I19567" t="s">
        <v>58065</v>
      </c>
      <c r="L19567">
        <v>0</v>
      </c>
      <c r="M19567">
        <v>0</v>
      </c>
      <c r="N19567">
        <v>4</v>
      </c>
      <c r="O19567" t="s">
        <v>12172</v>
      </c>
    </row>
    <row r="19568" spans="1:15">
      <c r="A19568" t="s">
        <v>58066</v>
      </c>
      <c r="B19568" t="s">
        <v>11637</v>
      </c>
      <c r="C19568" t="s">
        <v>8365</v>
      </c>
      <c r="D19568" t="s">
        <v>58067</v>
      </c>
      <c r="E19568" t="b">
        <v>0</v>
      </c>
      <c r="F19568" t="s">
        <v>11610</v>
      </c>
      <c r="L19568">
        <v>0</v>
      </c>
      <c r="M19568">
        <v>0</v>
      </c>
      <c r="N19568">
        <v>0</v>
      </c>
    </row>
    <row r="19569" spans="1:15">
      <c r="A19569" t="s">
        <v>58068</v>
      </c>
      <c r="B19569" t="s">
        <v>11637</v>
      </c>
      <c r="C19569" t="s">
        <v>7992</v>
      </c>
      <c r="D19569" t="s">
        <v>58069</v>
      </c>
      <c r="E19569" t="b">
        <v>0</v>
      </c>
      <c r="F19569" t="s">
        <v>11610</v>
      </c>
      <c r="L19569">
        <v>0</v>
      </c>
      <c r="M19569">
        <v>0</v>
      </c>
      <c r="N19569">
        <v>0</v>
      </c>
    </row>
    <row r="19570" spans="1:15">
      <c r="A19570" t="s">
        <v>32726</v>
      </c>
      <c r="B19570" t="s">
        <v>11637</v>
      </c>
      <c r="C19570" t="s">
        <v>48356</v>
      </c>
      <c r="D19570" t="s">
        <v>58070</v>
      </c>
      <c r="E19570" t="b">
        <v>0</v>
      </c>
      <c r="F19570" t="s">
        <v>11624</v>
      </c>
      <c r="G19570">
        <v>34.847799999999999</v>
      </c>
      <c r="H19570">
        <v>69.873400000000004</v>
      </c>
      <c r="I19570" t="s">
        <v>58071</v>
      </c>
      <c r="L19570">
        <v>0</v>
      </c>
      <c r="M19570">
        <v>0</v>
      </c>
      <c r="N19570">
        <v>3</v>
      </c>
      <c r="O19570" t="s">
        <v>12131</v>
      </c>
    </row>
    <row r="19571" spans="1:15">
      <c r="A19571" t="s">
        <v>13077</v>
      </c>
      <c r="B19571" t="s">
        <v>11637</v>
      </c>
      <c r="C19571" t="s">
        <v>25883</v>
      </c>
      <c r="D19571" t="s">
        <v>58072</v>
      </c>
      <c r="E19571" t="b">
        <v>0</v>
      </c>
      <c r="F19571" t="s">
        <v>11624</v>
      </c>
      <c r="G19571">
        <v>34.430990000000001</v>
      </c>
      <c r="H19571">
        <v>70.303510000000003</v>
      </c>
      <c r="I19571" t="s">
        <v>58073</v>
      </c>
      <c r="L19571">
        <v>0</v>
      </c>
      <c r="M19571">
        <v>0</v>
      </c>
      <c r="N19571">
        <v>5</v>
      </c>
      <c r="O19571" t="s">
        <v>12131</v>
      </c>
    </row>
    <row r="19572" spans="1:15">
      <c r="A19572" t="s">
        <v>58074</v>
      </c>
      <c r="B19572" t="s">
        <v>11637</v>
      </c>
      <c r="C19572" t="s">
        <v>5939</v>
      </c>
      <c r="D19572" t="s">
        <v>58075</v>
      </c>
      <c r="E19572" t="b">
        <v>0</v>
      </c>
      <c r="F19572" t="s">
        <v>11610</v>
      </c>
      <c r="L19572">
        <v>0</v>
      </c>
      <c r="M19572">
        <v>0</v>
      </c>
      <c r="N19572">
        <v>0</v>
      </c>
    </row>
    <row r="19573" spans="1:15">
      <c r="A19573" t="s">
        <v>439</v>
      </c>
      <c r="B19573" t="s">
        <v>12260</v>
      </c>
      <c r="C19573" t="s">
        <v>58076</v>
      </c>
      <c r="D19573" t="s">
        <v>58077</v>
      </c>
      <c r="E19573" t="b">
        <v>0</v>
      </c>
      <c r="F19573" t="s">
        <v>11624</v>
      </c>
      <c r="G19573">
        <v>62.880099999999999</v>
      </c>
      <c r="H19573">
        <v>13.7006</v>
      </c>
      <c r="I19573" t="s">
        <v>58078</v>
      </c>
      <c r="L19573">
        <v>0</v>
      </c>
      <c r="M19573">
        <v>0</v>
      </c>
      <c r="N19573">
        <v>0</v>
      </c>
      <c r="O19573" t="s">
        <v>41131</v>
      </c>
    </row>
    <row r="19574" spans="1:15">
      <c r="A19574" t="s">
        <v>58079</v>
      </c>
      <c r="B19574" t="s">
        <v>12260</v>
      </c>
      <c r="C19574" t="s">
        <v>58080</v>
      </c>
      <c r="D19574" t="s">
        <v>58081</v>
      </c>
      <c r="E19574" t="b">
        <v>0</v>
      </c>
      <c r="F19574" t="s">
        <v>11610</v>
      </c>
      <c r="L19574">
        <v>0</v>
      </c>
      <c r="M19574">
        <v>0</v>
      </c>
      <c r="N19574">
        <v>0</v>
      </c>
    </row>
    <row r="19575" spans="1:15">
      <c r="A19575" t="s">
        <v>58082</v>
      </c>
      <c r="B19575" t="s">
        <v>12260</v>
      </c>
      <c r="C19575" t="s">
        <v>10100</v>
      </c>
      <c r="D19575" t="s">
        <v>58083</v>
      </c>
      <c r="E19575" t="b">
        <v>0</v>
      </c>
      <c r="F19575" t="s">
        <v>11610</v>
      </c>
      <c r="L19575">
        <v>0</v>
      </c>
      <c r="M19575">
        <v>0</v>
      </c>
      <c r="N19575">
        <v>0</v>
      </c>
    </row>
    <row r="19576" spans="1:15">
      <c r="A19576" t="s">
        <v>58084</v>
      </c>
      <c r="B19576" t="s">
        <v>12260</v>
      </c>
      <c r="C19576" t="s">
        <v>10115</v>
      </c>
      <c r="D19576" t="s">
        <v>58085</v>
      </c>
      <c r="E19576" t="b">
        <v>0</v>
      </c>
      <c r="F19576" t="s">
        <v>11610</v>
      </c>
      <c r="L19576">
        <v>0</v>
      </c>
      <c r="M19576">
        <v>0</v>
      </c>
      <c r="N19576">
        <v>0</v>
      </c>
    </row>
    <row r="19577" spans="1:15">
      <c r="A19577" t="s">
        <v>58086</v>
      </c>
      <c r="B19577" t="s">
        <v>12260</v>
      </c>
      <c r="C19577" t="s">
        <v>10115</v>
      </c>
      <c r="D19577" t="s">
        <v>58087</v>
      </c>
      <c r="E19577" t="b">
        <v>0</v>
      </c>
      <c r="F19577" t="s">
        <v>11610</v>
      </c>
      <c r="L19577">
        <v>0</v>
      </c>
      <c r="M19577">
        <v>0</v>
      </c>
      <c r="N19577">
        <v>0</v>
      </c>
    </row>
    <row r="19578" spans="1:15">
      <c r="A19578" t="s">
        <v>39731</v>
      </c>
      <c r="B19578" t="s">
        <v>12260</v>
      </c>
      <c r="C19578" t="s">
        <v>23185</v>
      </c>
      <c r="D19578" t="s">
        <v>58088</v>
      </c>
      <c r="E19578" t="b">
        <v>0</v>
      </c>
      <c r="F19578" t="s">
        <v>11624</v>
      </c>
      <c r="G19578">
        <v>57.85</v>
      </c>
      <c r="H19578">
        <v>27</v>
      </c>
      <c r="I19578" t="s">
        <v>58089</v>
      </c>
      <c r="L19578">
        <v>0</v>
      </c>
      <c r="M19578">
        <v>0</v>
      </c>
      <c r="N19578">
        <v>10</v>
      </c>
    </row>
    <row r="19579" spans="1:15">
      <c r="A19579" t="s">
        <v>58090</v>
      </c>
      <c r="B19579" t="s">
        <v>12260</v>
      </c>
      <c r="C19579" t="s">
        <v>21321</v>
      </c>
      <c r="D19579" t="s">
        <v>58091</v>
      </c>
      <c r="E19579" t="b">
        <v>0</v>
      </c>
      <c r="F19579" t="s">
        <v>11610</v>
      </c>
      <c r="L19579">
        <v>0</v>
      </c>
      <c r="M19579">
        <v>0</v>
      </c>
      <c r="N19579">
        <v>0</v>
      </c>
    </row>
    <row r="19580" spans="1:15">
      <c r="A19580" t="s">
        <v>1461</v>
      </c>
      <c r="B19580" t="s">
        <v>12260</v>
      </c>
      <c r="C19580" t="s">
        <v>1462</v>
      </c>
      <c r="D19580" t="s">
        <v>58092</v>
      </c>
      <c r="E19580" t="b">
        <v>0</v>
      </c>
      <c r="F19580" t="s">
        <v>11610</v>
      </c>
      <c r="L19580">
        <v>0</v>
      </c>
      <c r="M19580">
        <v>0</v>
      </c>
      <c r="N19580">
        <v>1</v>
      </c>
    </row>
    <row r="19581" spans="1:15">
      <c r="A19581" t="s">
        <v>12655</v>
      </c>
      <c r="B19581" t="s">
        <v>12650</v>
      </c>
      <c r="C19581" t="s">
        <v>44339</v>
      </c>
      <c r="D19581" t="s">
        <v>58093</v>
      </c>
      <c r="E19581" t="b">
        <v>0</v>
      </c>
      <c r="F19581" t="s">
        <v>11622</v>
      </c>
      <c r="L19581">
        <v>0</v>
      </c>
      <c r="M19581">
        <v>2</v>
      </c>
      <c r="N19581">
        <v>0</v>
      </c>
    </row>
    <row r="19582" spans="1:15">
      <c r="A19582" t="s">
        <v>55881</v>
      </c>
      <c r="B19582" t="s">
        <v>12438</v>
      </c>
      <c r="C19582" t="s">
        <v>21956</v>
      </c>
      <c r="D19582" t="s">
        <v>58094</v>
      </c>
      <c r="E19582" t="b">
        <v>0</v>
      </c>
      <c r="F19582" t="s">
        <v>11622</v>
      </c>
      <c r="L19582">
        <v>0</v>
      </c>
      <c r="M19582">
        <v>2</v>
      </c>
      <c r="N19582">
        <v>0</v>
      </c>
    </row>
    <row r="19583" spans="1:15">
      <c r="A19583" t="s">
        <v>18146</v>
      </c>
      <c r="B19583" t="s">
        <v>12438</v>
      </c>
      <c r="C19583" t="s">
        <v>14815</v>
      </c>
      <c r="D19583" t="s">
        <v>58095</v>
      </c>
      <c r="E19583" t="b">
        <v>0</v>
      </c>
      <c r="F19583" t="s">
        <v>11622</v>
      </c>
      <c r="L19583">
        <v>1</v>
      </c>
      <c r="M19583">
        <v>4</v>
      </c>
      <c r="N19583">
        <v>6</v>
      </c>
    </row>
    <row r="19584" spans="1:15">
      <c r="A19584" t="s">
        <v>58096</v>
      </c>
      <c r="B19584" t="s">
        <v>12438</v>
      </c>
      <c r="C19584" t="s">
        <v>5147</v>
      </c>
      <c r="D19584" t="s">
        <v>58097</v>
      </c>
      <c r="E19584" t="b">
        <v>0</v>
      </c>
      <c r="F19584" t="s">
        <v>11610</v>
      </c>
      <c r="L19584">
        <v>0</v>
      </c>
      <c r="M19584">
        <v>0</v>
      </c>
      <c r="N19584">
        <v>0</v>
      </c>
    </row>
    <row r="19585" spans="1:15">
      <c r="A19585" t="s">
        <v>58098</v>
      </c>
      <c r="B19585" t="s">
        <v>12438</v>
      </c>
      <c r="C19585" t="s">
        <v>2585</v>
      </c>
      <c r="D19585" t="s">
        <v>58099</v>
      </c>
      <c r="E19585" t="b">
        <v>0</v>
      </c>
      <c r="F19585" t="s">
        <v>11610</v>
      </c>
      <c r="L19585">
        <v>0</v>
      </c>
      <c r="M19585">
        <v>0</v>
      </c>
      <c r="N19585">
        <v>0</v>
      </c>
    </row>
    <row r="19586" spans="1:15">
      <c r="A19586" t="s">
        <v>23340</v>
      </c>
      <c r="B19586" t="s">
        <v>12438</v>
      </c>
      <c r="C19586" t="s">
        <v>21389</v>
      </c>
      <c r="D19586" t="s">
        <v>58100</v>
      </c>
      <c r="E19586" t="b">
        <v>0</v>
      </c>
      <c r="F19586" t="s">
        <v>11624</v>
      </c>
      <c r="G19586">
        <v>6.8274400000000002</v>
      </c>
      <c r="H19586">
        <v>93.804199999999994</v>
      </c>
      <c r="I19586" t="s">
        <v>58101</v>
      </c>
      <c r="L19586">
        <v>0</v>
      </c>
      <c r="M19586">
        <v>0</v>
      </c>
      <c r="N19586">
        <v>6</v>
      </c>
      <c r="O19586" t="s">
        <v>11630</v>
      </c>
    </row>
    <row r="19587" spans="1:15">
      <c r="A19587" t="s">
        <v>36946</v>
      </c>
      <c r="B19587" t="s">
        <v>12438</v>
      </c>
      <c r="C19587" t="s">
        <v>12918</v>
      </c>
      <c r="D19587" t="s">
        <v>58102</v>
      </c>
      <c r="E19587" t="b">
        <v>0</v>
      </c>
      <c r="F19587" t="s">
        <v>11622</v>
      </c>
      <c r="L19587">
        <v>5</v>
      </c>
      <c r="M19587">
        <v>9</v>
      </c>
      <c r="N19587">
        <v>35</v>
      </c>
    </row>
    <row r="19588" spans="1:15">
      <c r="A19588" t="s">
        <v>21395</v>
      </c>
      <c r="B19588" t="s">
        <v>12438</v>
      </c>
      <c r="C19588" t="s">
        <v>25910</v>
      </c>
      <c r="D19588" t="s">
        <v>58103</v>
      </c>
      <c r="E19588" t="b">
        <v>0</v>
      </c>
      <c r="F19588" t="s">
        <v>11622</v>
      </c>
      <c r="L19588">
        <v>0</v>
      </c>
      <c r="M19588">
        <v>3</v>
      </c>
      <c r="N19588">
        <v>8</v>
      </c>
    </row>
    <row r="19589" spans="1:15">
      <c r="A19589" t="s">
        <v>20411</v>
      </c>
      <c r="B19589" t="s">
        <v>12438</v>
      </c>
      <c r="C19589" t="s">
        <v>21395</v>
      </c>
      <c r="D19589" t="s">
        <v>58104</v>
      </c>
      <c r="E19589" t="b">
        <v>0</v>
      </c>
      <c r="F19589" t="s">
        <v>11624</v>
      </c>
      <c r="G19589">
        <v>12.06354</v>
      </c>
      <c r="H19589">
        <v>107.65424</v>
      </c>
      <c r="I19589" t="s">
        <v>58105</v>
      </c>
      <c r="L19589">
        <v>0</v>
      </c>
      <c r="M19589">
        <v>0</v>
      </c>
      <c r="N19589">
        <v>2</v>
      </c>
      <c r="O19589" t="s">
        <v>15949</v>
      </c>
    </row>
    <row r="19590" spans="1:15">
      <c r="A19590" t="s">
        <v>22941</v>
      </c>
      <c r="B19590" t="s">
        <v>331</v>
      </c>
      <c r="C19590" t="s">
        <v>21976</v>
      </c>
      <c r="D19590" t="s">
        <v>58106</v>
      </c>
      <c r="E19590" t="b">
        <v>0</v>
      </c>
      <c r="F19590" t="s">
        <v>11622</v>
      </c>
      <c r="L19590">
        <v>4</v>
      </c>
      <c r="M19590">
        <v>8</v>
      </c>
      <c r="N19590">
        <v>26</v>
      </c>
    </row>
    <row r="19591" spans="1:15">
      <c r="A19591" t="s">
        <v>13154</v>
      </c>
      <c r="B19591" t="s">
        <v>331</v>
      </c>
      <c r="C19591" t="s">
        <v>26627</v>
      </c>
      <c r="D19591" t="s">
        <v>58107</v>
      </c>
      <c r="E19591" t="b">
        <v>0</v>
      </c>
      <c r="F19591" t="s">
        <v>11624</v>
      </c>
      <c r="G19591">
        <v>50.134700000000002</v>
      </c>
      <c r="H19591">
        <v>86.870500000000007</v>
      </c>
      <c r="I19591" t="s">
        <v>58108</v>
      </c>
      <c r="L19591">
        <v>0</v>
      </c>
      <c r="M19591">
        <v>0</v>
      </c>
      <c r="N19591">
        <v>2</v>
      </c>
      <c r="O19591" t="s">
        <v>34459</v>
      </c>
    </row>
    <row r="19592" spans="1:15">
      <c r="A19592" t="s">
        <v>58109</v>
      </c>
      <c r="B19592" t="s">
        <v>331</v>
      </c>
      <c r="C19592" t="s">
        <v>3426</v>
      </c>
      <c r="D19592" t="s">
        <v>58110</v>
      </c>
      <c r="E19592" t="b">
        <v>0</v>
      </c>
      <c r="F19592" t="s">
        <v>11610</v>
      </c>
      <c r="L19592">
        <v>0</v>
      </c>
      <c r="M19592">
        <v>0</v>
      </c>
      <c r="N19592">
        <v>0</v>
      </c>
    </row>
    <row r="19593" spans="1:15">
      <c r="A19593" t="s">
        <v>12244</v>
      </c>
      <c r="B19593" t="s">
        <v>331</v>
      </c>
      <c r="C19593" t="s">
        <v>4402</v>
      </c>
      <c r="D19593" t="s">
        <v>58111</v>
      </c>
      <c r="E19593" t="b">
        <v>0</v>
      </c>
      <c r="F19593" t="s">
        <v>11624</v>
      </c>
      <c r="G19593">
        <v>36.5137</v>
      </c>
      <c r="H19593">
        <v>48.430199999999999</v>
      </c>
      <c r="I19593" t="s">
        <v>58112</v>
      </c>
      <c r="L19593">
        <v>0</v>
      </c>
      <c r="M19593">
        <v>0</v>
      </c>
      <c r="N19593">
        <v>13</v>
      </c>
      <c r="O19593" t="s">
        <v>58113</v>
      </c>
    </row>
    <row r="19594" spans="1:15">
      <c r="A19594" t="s">
        <v>58114</v>
      </c>
      <c r="B19594" t="s">
        <v>331</v>
      </c>
      <c r="C19594" t="s">
        <v>36316</v>
      </c>
      <c r="D19594" t="s">
        <v>58115</v>
      </c>
      <c r="E19594" t="b">
        <v>0</v>
      </c>
      <c r="F19594" t="s">
        <v>11610</v>
      </c>
      <c r="L19594">
        <v>0</v>
      </c>
      <c r="M19594">
        <v>0</v>
      </c>
      <c r="N19594">
        <v>0</v>
      </c>
    </row>
    <row r="19595" spans="1:15">
      <c r="A19595" t="s">
        <v>58116</v>
      </c>
      <c r="B19595" t="s">
        <v>331</v>
      </c>
      <c r="C19595" t="s">
        <v>4977</v>
      </c>
      <c r="D19595" t="s">
        <v>58117</v>
      </c>
      <c r="E19595" t="b">
        <v>0</v>
      </c>
      <c r="F19595" t="s">
        <v>11624</v>
      </c>
      <c r="G19595">
        <v>36.609900000000003</v>
      </c>
      <c r="H19595">
        <v>60.6907</v>
      </c>
      <c r="I19595" t="s">
        <v>58118</v>
      </c>
      <c r="L19595">
        <v>0</v>
      </c>
      <c r="M19595">
        <v>0</v>
      </c>
      <c r="N19595">
        <v>0</v>
      </c>
      <c r="O19595" t="s">
        <v>58119</v>
      </c>
    </row>
    <row r="19596" spans="1:15">
      <c r="A19596" t="s">
        <v>58120</v>
      </c>
      <c r="B19596" t="s">
        <v>331</v>
      </c>
      <c r="C19596" t="s">
        <v>21403</v>
      </c>
      <c r="D19596" t="s">
        <v>58121</v>
      </c>
      <c r="E19596" t="b">
        <v>0</v>
      </c>
      <c r="F19596" t="s">
        <v>11610</v>
      </c>
      <c r="L19596">
        <v>0</v>
      </c>
      <c r="M19596">
        <v>0</v>
      </c>
      <c r="N19596">
        <v>0</v>
      </c>
    </row>
    <row r="19597" spans="1:15">
      <c r="A19597" t="s">
        <v>35034</v>
      </c>
      <c r="B19597" t="s">
        <v>331</v>
      </c>
      <c r="C19597" t="s">
        <v>26628</v>
      </c>
      <c r="D19597" t="s">
        <v>58122</v>
      </c>
      <c r="E19597" t="b">
        <v>0</v>
      </c>
      <c r="F19597" t="s">
        <v>11622</v>
      </c>
      <c r="L19597">
        <v>0</v>
      </c>
      <c r="M19597">
        <v>3</v>
      </c>
      <c r="N19597">
        <v>11</v>
      </c>
    </row>
    <row r="19598" spans="1:15">
      <c r="A19598" t="s">
        <v>58123</v>
      </c>
      <c r="B19598" t="s">
        <v>331</v>
      </c>
      <c r="C19598" t="s">
        <v>5004</v>
      </c>
      <c r="D19598" t="s">
        <v>58124</v>
      </c>
      <c r="E19598" t="b">
        <v>0</v>
      </c>
      <c r="F19598" t="s">
        <v>11610</v>
      </c>
      <c r="L19598">
        <v>0</v>
      </c>
      <c r="M19598">
        <v>0</v>
      </c>
      <c r="N19598">
        <v>0</v>
      </c>
    </row>
    <row r="19599" spans="1:15">
      <c r="A19599" t="s">
        <v>58125</v>
      </c>
      <c r="B19599" t="s">
        <v>331</v>
      </c>
      <c r="C19599" t="s">
        <v>5803</v>
      </c>
      <c r="D19599" t="s">
        <v>58126</v>
      </c>
      <c r="E19599" t="b">
        <v>0</v>
      </c>
      <c r="F19599" t="s">
        <v>11610</v>
      </c>
      <c r="L19599">
        <v>0</v>
      </c>
      <c r="M19599">
        <v>0</v>
      </c>
      <c r="N19599">
        <v>0</v>
      </c>
    </row>
    <row r="19600" spans="1:15">
      <c r="A19600" t="s">
        <v>58127</v>
      </c>
      <c r="B19600" t="s">
        <v>331</v>
      </c>
      <c r="C19600" t="s">
        <v>3480</v>
      </c>
      <c r="D19600" t="s">
        <v>58128</v>
      </c>
      <c r="E19600" t="b">
        <v>0</v>
      </c>
      <c r="F19600" t="s">
        <v>11610</v>
      </c>
      <c r="L19600">
        <v>0</v>
      </c>
      <c r="M19600">
        <v>0</v>
      </c>
      <c r="N19600">
        <v>0</v>
      </c>
    </row>
    <row r="19601" spans="1:15">
      <c r="A19601" t="s">
        <v>25920</v>
      </c>
      <c r="B19601" t="s">
        <v>12250</v>
      </c>
      <c r="C19601" t="s">
        <v>12250</v>
      </c>
      <c r="D19601" t="s">
        <v>58129</v>
      </c>
      <c r="E19601" t="b">
        <v>0</v>
      </c>
      <c r="F19601" t="s">
        <v>11622</v>
      </c>
      <c r="L19601">
        <v>2</v>
      </c>
      <c r="M19601">
        <v>5</v>
      </c>
      <c r="N19601">
        <v>7</v>
      </c>
    </row>
    <row r="19602" spans="1:15">
      <c r="A19602" t="s">
        <v>58130</v>
      </c>
      <c r="B19602" t="s">
        <v>11844</v>
      </c>
      <c r="C19602" t="s">
        <v>1264</v>
      </c>
      <c r="D19602" t="s">
        <v>58131</v>
      </c>
      <c r="E19602" t="b">
        <v>0</v>
      </c>
      <c r="F19602" t="s">
        <v>11610</v>
      </c>
      <c r="L19602">
        <v>0</v>
      </c>
      <c r="M19602">
        <v>0</v>
      </c>
      <c r="N19602">
        <v>0</v>
      </c>
    </row>
    <row r="19603" spans="1:15">
      <c r="A19603" t="s">
        <v>58132</v>
      </c>
      <c r="B19603" t="s">
        <v>11844</v>
      </c>
      <c r="C19603" t="s">
        <v>9047</v>
      </c>
      <c r="D19603" t="s">
        <v>58133</v>
      </c>
      <c r="E19603" t="b">
        <v>0</v>
      </c>
      <c r="F19603" t="s">
        <v>11610</v>
      </c>
      <c r="L19603">
        <v>0</v>
      </c>
      <c r="M19603">
        <v>0</v>
      </c>
      <c r="N19603">
        <v>0</v>
      </c>
    </row>
    <row r="19604" spans="1:15">
      <c r="A19604" t="s">
        <v>12435</v>
      </c>
      <c r="B19604" t="s">
        <v>11844</v>
      </c>
      <c r="C19604" t="s">
        <v>48422</v>
      </c>
      <c r="D19604" t="s">
        <v>58134</v>
      </c>
      <c r="E19604" t="b">
        <v>0</v>
      </c>
      <c r="F19604" t="s">
        <v>11624</v>
      </c>
      <c r="G19604">
        <v>20.10446</v>
      </c>
      <c r="H19604">
        <v>80.278109999999998</v>
      </c>
      <c r="I19604" t="s">
        <v>58135</v>
      </c>
      <c r="L19604">
        <v>0</v>
      </c>
      <c r="M19604">
        <v>0</v>
      </c>
      <c r="N19604">
        <v>7</v>
      </c>
      <c r="O19604" t="s">
        <v>11630</v>
      </c>
    </row>
    <row r="19605" spans="1:15">
      <c r="A19605" t="s">
        <v>58136</v>
      </c>
      <c r="B19605" t="s">
        <v>11644</v>
      </c>
      <c r="C19605" t="s">
        <v>48429</v>
      </c>
      <c r="D19605" t="s">
        <v>58137</v>
      </c>
      <c r="E19605" t="b">
        <v>0</v>
      </c>
      <c r="F19605" t="s">
        <v>11610</v>
      </c>
      <c r="L19605">
        <v>0</v>
      </c>
      <c r="M19605">
        <v>0</v>
      </c>
      <c r="N19605">
        <v>0</v>
      </c>
    </row>
    <row r="19606" spans="1:15">
      <c r="A19606" t="s">
        <v>58138</v>
      </c>
      <c r="B19606" t="s">
        <v>11644</v>
      </c>
      <c r="C19606" t="s">
        <v>15991</v>
      </c>
      <c r="D19606" t="s">
        <v>58139</v>
      </c>
      <c r="E19606" t="b">
        <v>0</v>
      </c>
      <c r="F19606" t="s">
        <v>11610</v>
      </c>
      <c r="L19606">
        <v>0</v>
      </c>
      <c r="M19606">
        <v>0</v>
      </c>
      <c r="N19606">
        <v>0</v>
      </c>
    </row>
    <row r="19607" spans="1:15">
      <c r="A19607" t="s">
        <v>58140</v>
      </c>
      <c r="B19607" t="s">
        <v>11644</v>
      </c>
      <c r="C19607" t="s">
        <v>22028</v>
      </c>
      <c r="D19607" t="s">
        <v>58141</v>
      </c>
      <c r="E19607" t="b">
        <v>0</v>
      </c>
      <c r="F19607" t="s">
        <v>11610</v>
      </c>
      <c r="L19607">
        <v>0</v>
      </c>
      <c r="M19607">
        <v>0</v>
      </c>
      <c r="N19607">
        <v>0</v>
      </c>
    </row>
    <row r="19608" spans="1:15">
      <c r="A19608" t="s">
        <v>17138</v>
      </c>
      <c r="B19608" t="s">
        <v>11644</v>
      </c>
      <c r="C19608" t="s">
        <v>29124</v>
      </c>
      <c r="D19608" t="s">
        <v>58142</v>
      </c>
      <c r="E19608" t="b">
        <v>0</v>
      </c>
      <c r="F19608" t="s">
        <v>11624</v>
      </c>
      <c r="G19608">
        <v>28.106000000000002</v>
      </c>
      <c r="H19608">
        <v>84.851100000000002</v>
      </c>
      <c r="I19608" t="s">
        <v>58143</v>
      </c>
      <c r="L19608">
        <v>0</v>
      </c>
      <c r="M19608">
        <v>0</v>
      </c>
      <c r="N19608">
        <v>3</v>
      </c>
      <c r="O19608" t="s">
        <v>15007</v>
      </c>
    </row>
    <row r="19609" spans="1:15">
      <c r="A19609" t="s">
        <v>58144</v>
      </c>
      <c r="B19609" t="s">
        <v>11644</v>
      </c>
      <c r="C19609" t="s">
        <v>48440</v>
      </c>
      <c r="D19609" t="s">
        <v>58145</v>
      </c>
      <c r="E19609" t="b">
        <v>0</v>
      </c>
      <c r="F19609" t="s">
        <v>11610</v>
      </c>
      <c r="L19609">
        <v>0</v>
      </c>
      <c r="M19609">
        <v>0</v>
      </c>
      <c r="N19609">
        <v>0</v>
      </c>
    </row>
    <row r="19610" spans="1:15">
      <c r="A19610" t="s">
        <v>58146</v>
      </c>
      <c r="B19610" t="s">
        <v>11644</v>
      </c>
      <c r="C19610" t="s">
        <v>48443</v>
      </c>
      <c r="D19610" t="s">
        <v>58147</v>
      </c>
      <c r="E19610" t="b">
        <v>0</v>
      </c>
      <c r="F19610" t="s">
        <v>11610</v>
      </c>
      <c r="L19610">
        <v>0</v>
      </c>
      <c r="M19610">
        <v>0</v>
      </c>
      <c r="N19610">
        <v>0</v>
      </c>
    </row>
    <row r="19611" spans="1:15">
      <c r="A19611" t="s">
        <v>58148</v>
      </c>
      <c r="B19611" t="s">
        <v>11627</v>
      </c>
      <c r="C19611" t="s">
        <v>11627</v>
      </c>
      <c r="D19611" t="s">
        <v>58149</v>
      </c>
      <c r="E19611" t="b">
        <v>1</v>
      </c>
      <c r="F19611" t="s">
        <v>11624</v>
      </c>
      <c r="G19611">
        <v>27.572199999999999</v>
      </c>
      <c r="H19611">
        <v>84.903599999999997</v>
      </c>
      <c r="I19611" t="s">
        <v>58150</v>
      </c>
      <c r="L19611">
        <v>0</v>
      </c>
      <c r="M19611">
        <v>0</v>
      </c>
      <c r="N19611">
        <v>0</v>
      </c>
      <c r="O19611" t="s">
        <v>15007</v>
      </c>
    </row>
    <row r="19612" spans="1:15">
      <c r="A19612" t="s">
        <v>58151</v>
      </c>
      <c r="B19612" t="s">
        <v>11644</v>
      </c>
      <c r="C19612" t="s">
        <v>39608</v>
      </c>
      <c r="D19612" t="s">
        <v>58152</v>
      </c>
      <c r="E19612" t="b">
        <v>0</v>
      </c>
      <c r="F19612" t="s">
        <v>11624</v>
      </c>
      <c r="G19612">
        <v>22.909678</v>
      </c>
      <c r="H19612">
        <v>103.10161600000001</v>
      </c>
      <c r="L19612">
        <v>0</v>
      </c>
      <c r="M19612">
        <v>0</v>
      </c>
      <c r="N19612">
        <v>0</v>
      </c>
    </row>
    <row r="19613" spans="1:15">
      <c r="A19613" t="s">
        <v>58153</v>
      </c>
      <c r="B19613" t="s">
        <v>11644</v>
      </c>
      <c r="C19613" t="s">
        <v>48448</v>
      </c>
      <c r="D19613" t="s">
        <v>58154</v>
      </c>
      <c r="E19613" t="b">
        <v>0</v>
      </c>
      <c r="F19613" t="s">
        <v>11610</v>
      </c>
      <c r="L19613">
        <v>0</v>
      </c>
      <c r="M19613">
        <v>0</v>
      </c>
      <c r="N19613">
        <v>0</v>
      </c>
    </row>
    <row r="19614" spans="1:15">
      <c r="A19614" t="s">
        <v>58155</v>
      </c>
      <c r="B19614" t="s">
        <v>11644</v>
      </c>
      <c r="C19614" t="s">
        <v>48450</v>
      </c>
      <c r="D19614" t="s">
        <v>58156</v>
      </c>
      <c r="E19614" t="b">
        <v>0</v>
      </c>
      <c r="F19614" t="s">
        <v>11624</v>
      </c>
      <c r="G19614">
        <v>22.87312</v>
      </c>
      <c r="H19614">
        <v>103.30608700000001</v>
      </c>
      <c r="I19614" t="s">
        <v>58157</v>
      </c>
      <c r="L19614">
        <v>0</v>
      </c>
      <c r="M19614">
        <v>0</v>
      </c>
      <c r="N19614">
        <v>0</v>
      </c>
      <c r="O19614" t="s">
        <v>11905</v>
      </c>
    </row>
    <row r="19615" spans="1:15">
      <c r="A19615" t="s">
        <v>58158</v>
      </c>
      <c r="B19615" t="s">
        <v>11644</v>
      </c>
      <c r="C19615" t="s">
        <v>27733</v>
      </c>
      <c r="D19615" t="s">
        <v>58159</v>
      </c>
      <c r="E19615" t="b">
        <v>0</v>
      </c>
      <c r="F19615" t="s">
        <v>11624</v>
      </c>
      <c r="G19615">
        <v>23.058</v>
      </c>
      <c r="H19615">
        <v>101.41200000000001</v>
      </c>
      <c r="I19615" t="s">
        <v>58160</v>
      </c>
      <c r="L19615">
        <v>0</v>
      </c>
      <c r="M19615">
        <v>0</v>
      </c>
      <c r="N19615">
        <v>0</v>
      </c>
      <c r="O19615" t="s">
        <v>11905</v>
      </c>
    </row>
    <row r="19616" spans="1:15">
      <c r="A19616" t="s">
        <v>58161</v>
      </c>
      <c r="B19616" t="s">
        <v>11644</v>
      </c>
      <c r="C19616" t="s">
        <v>21419</v>
      </c>
      <c r="D19616" t="s">
        <v>58162</v>
      </c>
      <c r="E19616" t="b">
        <v>0</v>
      </c>
      <c r="F19616" t="s">
        <v>11610</v>
      </c>
      <c r="L19616">
        <v>0</v>
      </c>
      <c r="M19616">
        <v>0</v>
      </c>
      <c r="N19616">
        <v>0</v>
      </c>
    </row>
    <row r="19617" spans="1:15">
      <c r="A19617" t="s">
        <v>58163</v>
      </c>
      <c r="B19617" t="s">
        <v>11644</v>
      </c>
      <c r="C19617" t="s">
        <v>31508</v>
      </c>
      <c r="D19617" t="s">
        <v>58164</v>
      </c>
      <c r="E19617" t="b">
        <v>0</v>
      </c>
      <c r="F19617" t="s">
        <v>11610</v>
      </c>
      <c r="L19617">
        <v>0</v>
      </c>
      <c r="M19617">
        <v>0</v>
      </c>
      <c r="N19617">
        <v>0</v>
      </c>
    </row>
    <row r="19618" spans="1:15">
      <c r="A19618" t="s">
        <v>25383</v>
      </c>
      <c r="B19618" t="s">
        <v>11644</v>
      </c>
      <c r="C19618" t="s">
        <v>53951</v>
      </c>
      <c r="D19618" t="s">
        <v>58165</v>
      </c>
      <c r="E19618" t="b">
        <v>0</v>
      </c>
      <c r="F19618" t="s">
        <v>11624</v>
      </c>
      <c r="G19618">
        <v>31.539200000000001</v>
      </c>
      <c r="H19618">
        <v>103.384</v>
      </c>
      <c r="I19618" t="s">
        <v>58166</v>
      </c>
      <c r="L19618">
        <v>0</v>
      </c>
      <c r="M19618">
        <v>0</v>
      </c>
      <c r="N19618">
        <v>8</v>
      </c>
      <c r="O19618" t="s">
        <v>11905</v>
      </c>
    </row>
    <row r="19619" spans="1:15">
      <c r="A19619" t="s">
        <v>22048</v>
      </c>
      <c r="B19619" t="s">
        <v>11644</v>
      </c>
      <c r="C19619" t="s">
        <v>5202</v>
      </c>
      <c r="D19619" t="s">
        <v>58167</v>
      </c>
      <c r="E19619" t="b">
        <v>0</v>
      </c>
      <c r="F19619" t="s">
        <v>11624</v>
      </c>
      <c r="G19619">
        <v>27.840800000000002</v>
      </c>
      <c r="H19619">
        <v>100.622</v>
      </c>
      <c r="I19619" t="s">
        <v>58168</v>
      </c>
      <c r="L19619">
        <v>0</v>
      </c>
      <c r="M19619">
        <v>0</v>
      </c>
      <c r="N19619">
        <v>7</v>
      </c>
      <c r="O19619" t="s">
        <v>11905</v>
      </c>
    </row>
    <row r="19620" spans="1:15">
      <c r="A19620" t="s">
        <v>23931</v>
      </c>
      <c r="B19620" t="s">
        <v>11644</v>
      </c>
      <c r="C19620" t="s">
        <v>21422</v>
      </c>
      <c r="D19620" t="s">
        <v>58169</v>
      </c>
      <c r="E19620" t="b">
        <v>0</v>
      </c>
      <c r="F19620" t="s">
        <v>11624</v>
      </c>
      <c r="G19620">
        <v>25.518999999999998</v>
      </c>
      <c r="H19620">
        <v>100.289</v>
      </c>
      <c r="I19620" t="s">
        <v>58170</v>
      </c>
      <c r="L19620">
        <v>0</v>
      </c>
      <c r="M19620">
        <v>0</v>
      </c>
      <c r="N19620">
        <v>4</v>
      </c>
      <c r="O19620" t="s">
        <v>11905</v>
      </c>
    </row>
    <row r="19621" spans="1:15">
      <c r="A19621" t="s">
        <v>44576</v>
      </c>
      <c r="B19621" t="s">
        <v>11644</v>
      </c>
      <c r="C19621" t="s">
        <v>22695</v>
      </c>
      <c r="D19621" t="s">
        <v>58171</v>
      </c>
      <c r="E19621" t="b">
        <v>0</v>
      </c>
      <c r="F19621" t="s">
        <v>11610</v>
      </c>
      <c r="L19621">
        <v>0</v>
      </c>
      <c r="M19621">
        <v>0</v>
      </c>
      <c r="N19621">
        <v>3</v>
      </c>
    </row>
    <row r="19622" spans="1:15">
      <c r="A19622" t="s">
        <v>15548</v>
      </c>
      <c r="B19622" t="s">
        <v>11644</v>
      </c>
      <c r="C19622" t="s">
        <v>54452</v>
      </c>
      <c r="D19622" t="s">
        <v>58172</v>
      </c>
      <c r="E19622" t="b">
        <v>0</v>
      </c>
      <c r="F19622" t="s">
        <v>11624</v>
      </c>
      <c r="G19622">
        <v>26.117799999999999</v>
      </c>
      <c r="H19622">
        <v>94.685299999999998</v>
      </c>
      <c r="I19622" t="s">
        <v>58173</v>
      </c>
      <c r="L19622">
        <v>0</v>
      </c>
      <c r="M19622">
        <v>0</v>
      </c>
      <c r="N19622">
        <v>2</v>
      </c>
      <c r="O19622" t="s">
        <v>11630</v>
      </c>
    </row>
    <row r="19623" spans="1:15">
      <c r="A19623" t="s">
        <v>29106</v>
      </c>
      <c r="B19623" t="s">
        <v>11644</v>
      </c>
      <c r="C19623" t="s">
        <v>58174</v>
      </c>
      <c r="D19623" t="s">
        <v>58175</v>
      </c>
      <c r="E19623" t="b">
        <v>0</v>
      </c>
      <c r="F19623" t="s">
        <v>11624</v>
      </c>
      <c r="G19623">
        <v>26.931999999999999</v>
      </c>
      <c r="H19623">
        <v>87.395899999999997</v>
      </c>
      <c r="I19623" t="s">
        <v>58176</v>
      </c>
      <c r="L19623">
        <v>0</v>
      </c>
      <c r="M19623">
        <v>0</v>
      </c>
      <c r="N19623">
        <v>3</v>
      </c>
      <c r="O19623" t="s">
        <v>15007</v>
      </c>
    </row>
    <row r="19624" spans="1:15">
      <c r="A19624" t="s">
        <v>58177</v>
      </c>
      <c r="B19624" t="s">
        <v>11644</v>
      </c>
      <c r="C19624" t="s">
        <v>25980</v>
      </c>
      <c r="D19624" t="s">
        <v>58178</v>
      </c>
      <c r="E19624" t="b">
        <v>0</v>
      </c>
      <c r="F19624" t="s">
        <v>11610</v>
      </c>
      <c r="L19624">
        <v>0</v>
      </c>
      <c r="M19624">
        <v>0</v>
      </c>
      <c r="N19624">
        <v>0</v>
      </c>
    </row>
    <row r="19625" spans="1:15">
      <c r="A19625" t="s">
        <v>16783</v>
      </c>
      <c r="B19625" t="s">
        <v>11644</v>
      </c>
      <c r="C19625" t="s">
        <v>21822</v>
      </c>
      <c r="D19625" t="s">
        <v>58179</v>
      </c>
      <c r="E19625" t="b">
        <v>0</v>
      </c>
      <c r="F19625" t="s">
        <v>11622</v>
      </c>
      <c r="L19625">
        <v>1</v>
      </c>
      <c r="M19625">
        <v>5</v>
      </c>
      <c r="N19625">
        <v>6</v>
      </c>
    </row>
    <row r="19626" spans="1:15">
      <c r="A19626" t="s">
        <v>58180</v>
      </c>
      <c r="B19626" t="s">
        <v>11644</v>
      </c>
      <c r="C19626" t="s">
        <v>32517</v>
      </c>
      <c r="D19626" t="s">
        <v>58181</v>
      </c>
      <c r="E19626" t="b">
        <v>0</v>
      </c>
      <c r="F19626" t="s">
        <v>11610</v>
      </c>
      <c r="L19626">
        <v>0</v>
      </c>
      <c r="M19626">
        <v>0</v>
      </c>
      <c r="N19626">
        <v>0</v>
      </c>
    </row>
    <row r="19627" spans="1:15">
      <c r="A19627" t="s">
        <v>58182</v>
      </c>
      <c r="B19627" t="s">
        <v>11644</v>
      </c>
      <c r="C19627" t="s">
        <v>21429</v>
      </c>
      <c r="D19627" t="s">
        <v>58183</v>
      </c>
      <c r="E19627" t="b">
        <v>0</v>
      </c>
      <c r="F19627" t="s">
        <v>11610</v>
      </c>
      <c r="L19627">
        <v>0</v>
      </c>
      <c r="M19627">
        <v>0</v>
      </c>
      <c r="N19627">
        <v>0</v>
      </c>
    </row>
    <row r="19628" spans="1:15">
      <c r="A19628" t="s">
        <v>58184</v>
      </c>
      <c r="B19628" t="s">
        <v>11644</v>
      </c>
      <c r="C19628" t="s">
        <v>48483</v>
      </c>
      <c r="D19628" t="s">
        <v>58185</v>
      </c>
      <c r="E19628" t="b">
        <v>0</v>
      </c>
      <c r="F19628" t="s">
        <v>11624</v>
      </c>
      <c r="G19628">
        <v>28.236799999999999</v>
      </c>
      <c r="H19628">
        <v>110.02200000000001</v>
      </c>
      <c r="I19628" t="s">
        <v>58186</v>
      </c>
      <c r="L19628">
        <v>0</v>
      </c>
      <c r="M19628">
        <v>0</v>
      </c>
      <c r="N19628">
        <v>0</v>
      </c>
      <c r="O19628" t="s">
        <v>11905</v>
      </c>
    </row>
    <row r="19629" spans="1:15">
      <c r="A19629" t="s">
        <v>58187</v>
      </c>
      <c r="B19629" t="s">
        <v>5126</v>
      </c>
      <c r="C19629" t="s">
        <v>34622</v>
      </c>
      <c r="D19629" t="s">
        <v>58188</v>
      </c>
      <c r="E19629" t="b">
        <v>0</v>
      </c>
      <c r="F19629" t="s">
        <v>11624</v>
      </c>
      <c r="G19629">
        <v>25.8874</v>
      </c>
      <c r="H19629">
        <v>109.22199999999999</v>
      </c>
      <c r="I19629" t="s">
        <v>58189</v>
      </c>
      <c r="L19629">
        <v>0</v>
      </c>
      <c r="M19629">
        <v>0</v>
      </c>
      <c r="N19629">
        <v>0</v>
      </c>
      <c r="O19629" t="s">
        <v>11905</v>
      </c>
    </row>
    <row r="19630" spans="1:15">
      <c r="A19630" t="s">
        <v>12453</v>
      </c>
      <c r="B19630" t="s">
        <v>5126</v>
      </c>
      <c r="C19630" t="s">
        <v>58190</v>
      </c>
      <c r="D19630" t="s">
        <v>58191</v>
      </c>
      <c r="E19630" t="b">
        <v>0</v>
      </c>
      <c r="F19630" t="s">
        <v>11622</v>
      </c>
      <c r="L19630">
        <v>10</v>
      </c>
      <c r="M19630">
        <v>25</v>
      </c>
      <c r="N19630">
        <v>15</v>
      </c>
    </row>
    <row r="19631" spans="1:15">
      <c r="A19631" t="s">
        <v>36377</v>
      </c>
      <c r="B19631" t="s">
        <v>5126</v>
      </c>
      <c r="C19631" t="s">
        <v>14843</v>
      </c>
      <c r="D19631" t="s">
        <v>58192</v>
      </c>
      <c r="E19631" t="b">
        <v>0</v>
      </c>
      <c r="F19631" t="s">
        <v>11622</v>
      </c>
      <c r="L19631">
        <v>0</v>
      </c>
      <c r="M19631">
        <v>2</v>
      </c>
      <c r="N19631">
        <v>3</v>
      </c>
    </row>
    <row r="19632" spans="1:15">
      <c r="A19632" t="s">
        <v>58193</v>
      </c>
      <c r="B19632" t="s">
        <v>5126</v>
      </c>
      <c r="C19632" t="s">
        <v>21435</v>
      </c>
      <c r="D19632" t="s">
        <v>58194</v>
      </c>
      <c r="E19632" t="b">
        <v>0</v>
      </c>
      <c r="F19632" t="s">
        <v>11610</v>
      </c>
      <c r="L19632">
        <v>0</v>
      </c>
      <c r="M19632">
        <v>0</v>
      </c>
      <c r="N19632">
        <v>0</v>
      </c>
    </row>
    <row r="19633" spans="1:15">
      <c r="A19633" t="s">
        <v>58195</v>
      </c>
      <c r="B19633" t="s">
        <v>5126</v>
      </c>
      <c r="C19633" t="s">
        <v>39410</v>
      </c>
      <c r="D19633" t="s">
        <v>58196</v>
      </c>
      <c r="E19633" t="b">
        <v>0</v>
      </c>
      <c r="F19633" t="s">
        <v>11624</v>
      </c>
      <c r="G19633">
        <v>6.8566799999999999</v>
      </c>
      <c r="H19633">
        <v>99.703100000000006</v>
      </c>
      <c r="I19633" t="s">
        <v>58197</v>
      </c>
      <c r="L19633">
        <v>0</v>
      </c>
      <c r="M19633">
        <v>0</v>
      </c>
      <c r="N19633">
        <v>2</v>
      </c>
      <c r="O19633" t="s">
        <v>58198</v>
      </c>
    </row>
    <row r="19634" spans="1:15">
      <c r="A19634" t="s">
        <v>58199</v>
      </c>
      <c r="B19634" t="s">
        <v>5126</v>
      </c>
      <c r="C19634" t="s">
        <v>21438</v>
      </c>
      <c r="D19634" t="s">
        <v>58200</v>
      </c>
      <c r="E19634" t="b">
        <v>0</v>
      </c>
      <c r="F19634" t="s">
        <v>11610</v>
      </c>
      <c r="L19634">
        <v>0</v>
      </c>
      <c r="M19634">
        <v>0</v>
      </c>
      <c r="N19634">
        <v>0</v>
      </c>
    </row>
    <row r="19635" spans="1:15">
      <c r="A19635" t="s">
        <v>29753</v>
      </c>
      <c r="B19635" t="s">
        <v>5126</v>
      </c>
      <c r="C19635" t="s">
        <v>28998</v>
      </c>
      <c r="D19635" t="s">
        <v>58201</v>
      </c>
      <c r="E19635" t="b">
        <v>0</v>
      </c>
      <c r="F19635" t="s">
        <v>11622</v>
      </c>
      <c r="L19635">
        <v>0</v>
      </c>
      <c r="M19635">
        <v>2</v>
      </c>
      <c r="N19635">
        <v>5</v>
      </c>
    </row>
    <row r="19636" spans="1:15">
      <c r="A19636" t="s">
        <v>58202</v>
      </c>
      <c r="B19636" t="s">
        <v>2064</v>
      </c>
      <c r="C19636" t="s">
        <v>22999</v>
      </c>
      <c r="D19636" t="s">
        <v>58203</v>
      </c>
      <c r="E19636" t="b">
        <v>0</v>
      </c>
      <c r="F19636" t="s">
        <v>11624</v>
      </c>
      <c r="G19636">
        <v>64.218000000000004</v>
      </c>
      <c r="H19636">
        <v>154.375</v>
      </c>
      <c r="I19636" t="s">
        <v>58204</v>
      </c>
      <c r="L19636">
        <v>0</v>
      </c>
      <c r="M19636">
        <v>0</v>
      </c>
      <c r="N19636">
        <v>0</v>
      </c>
      <c r="O19636" t="s">
        <v>12748</v>
      </c>
    </row>
    <row r="19637" spans="1:15">
      <c r="A19637" t="s">
        <v>14553</v>
      </c>
      <c r="B19637" t="s">
        <v>14552</v>
      </c>
      <c r="C19637" t="s">
        <v>14552</v>
      </c>
      <c r="D19637" t="s">
        <v>58205</v>
      </c>
      <c r="E19637" t="b">
        <v>0</v>
      </c>
      <c r="F19637" t="s">
        <v>11622</v>
      </c>
      <c r="L19637">
        <v>1</v>
      </c>
      <c r="M19637">
        <v>3</v>
      </c>
      <c r="N19637">
        <v>0</v>
      </c>
    </row>
    <row r="19638" spans="1:15">
      <c r="A19638" t="s">
        <v>58206</v>
      </c>
      <c r="B19638" t="s">
        <v>12311</v>
      </c>
      <c r="C19638" t="s">
        <v>58207</v>
      </c>
      <c r="D19638" t="s">
        <v>58208</v>
      </c>
      <c r="E19638" t="b">
        <v>0</v>
      </c>
      <c r="F19638" t="s">
        <v>11610</v>
      </c>
      <c r="L19638">
        <v>0</v>
      </c>
      <c r="M19638">
        <v>0</v>
      </c>
      <c r="N19638">
        <v>0</v>
      </c>
    </row>
    <row r="19639" spans="1:15">
      <c r="A19639" t="s">
        <v>20032</v>
      </c>
      <c r="B19639" t="s">
        <v>12311</v>
      </c>
      <c r="C19639" t="s">
        <v>26625</v>
      </c>
      <c r="D19639" t="s">
        <v>58209</v>
      </c>
      <c r="E19639" t="b">
        <v>0</v>
      </c>
      <c r="F19639" t="s">
        <v>11622</v>
      </c>
      <c r="L19639">
        <v>0</v>
      </c>
      <c r="M19639">
        <v>2</v>
      </c>
      <c r="N19639">
        <v>7</v>
      </c>
    </row>
    <row r="19640" spans="1:15">
      <c r="A19640" t="s">
        <v>58210</v>
      </c>
      <c r="B19640" t="s">
        <v>5058</v>
      </c>
      <c r="C19640" t="s">
        <v>26002</v>
      </c>
      <c r="D19640" t="s">
        <v>58211</v>
      </c>
      <c r="E19640" t="b">
        <v>0</v>
      </c>
      <c r="F19640" t="s">
        <v>11624</v>
      </c>
      <c r="G19640">
        <v>25.661799999999999</v>
      </c>
      <c r="H19640">
        <v>108.533</v>
      </c>
      <c r="I19640" t="s">
        <v>58212</v>
      </c>
      <c r="L19640">
        <v>0</v>
      </c>
      <c r="M19640">
        <v>0</v>
      </c>
      <c r="N19640">
        <v>0</v>
      </c>
      <c r="O19640" t="s">
        <v>11905</v>
      </c>
    </row>
    <row r="19641" spans="1:15">
      <c r="A19641" t="s">
        <v>58213</v>
      </c>
      <c r="B19641" t="s">
        <v>5058</v>
      </c>
      <c r="C19641" t="s">
        <v>21441</v>
      </c>
      <c r="D19641" t="s">
        <v>58214</v>
      </c>
      <c r="E19641" t="b">
        <v>0</v>
      </c>
      <c r="F19641" t="s">
        <v>11624</v>
      </c>
      <c r="G19641">
        <v>26.043600000000001</v>
      </c>
      <c r="H19641">
        <v>106.56100000000001</v>
      </c>
      <c r="I19641" t="s">
        <v>58215</v>
      </c>
      <c r="L19641">
        <v>0</v>
      </c>
      <c r="M19641">
        <v>0</v>
      </c>
      <c r="N19641">
        <v>0</v>
      </c>
      <c r="O19641" t="s">
        <v>11905</v>
      </c>
    </row>
    <row r="19642" spans="1:15">
      <c r="A19642" t="s">
        <v>58216</v>
      </c>
      <c r="B19642" t="s">
        <v>5058</v>
      </c>
      <c r="C19642" t="s">
        <v>30031</v>
      </c>
      <c r="D19642" t="s">
        <v>58217</v>
      </c>
      <c r="E19642" t="b">
        <v>0</v>
      </c>
      <c r="F19642" t="s">
        <v>11624</v>
      </c>
      <c r="G19642">
        <v>26.180299999999999</v>
      </c>
      <c r="H19642">
        <v>106.003</v>
      </c>
      <c r="I19642" t="s">
        <v>58218</v>
      </c>
      <c r="L19642">
        <v>0</v>
      </c>
      <c r="M19642">
        <v>0</v>
      </c>
      <c r="N19642">
        <v>0</v>
      </c>
      <c r="O19642" t="s">
        <v>11905</v>
      </c>
    </row>
    <row r="19643" spans="1:15">
      <c r="A19643" t="s">
        <v>28551</v>
      </c>
      <c r="B19643" t="s">
        <v>28550</v>
      </c>
      <c r="C19643" t="s">
        <v>28550</v>
      </c>
      <c r="D19643" t="s">
        <v>58219</v>
      </c>
      <c r="E19643" t="b">
        <v>0</v>
      </c>
      <c r="F19643" t="s">
        <v>11622</v>
      </c>
      <c r="L19643">
        <v>1</v>
      </c>
      <c r="M19643">
        <v>3</v>
      </c>
      <c r="N19643">
        <v>2</v>
      </c>
    </row>
    <row r="19644" spans="1:15">
      <c r="A19644" t="s">
        <v>35475</v>
      </c>
      <c r="B19644" t="s">
        <v>10597</v>
      </c>
      <c r="C19644" t="s">
        <v>23421</v>
      </c>
      <c r="D19644" t="s">
        <v>58220</v>
      </c>
      <c r="E19644" t="b">
        <v>0</v>
      </c>
      <c r="F19644" t="s">
        <v>11622</v>
      </c>
      <c r="L19644">
        <v>0</v>
      </c>
      <c r="M19644">
        <v>2</v>
      </c>
      <c r="N19644">
        <v>2</v>
      </c>
    </row>
    <row r="19645" spans="1:15">
      <c r="A19645" t="s">
        <v>58221</v>
      </c>
      <c r="B19645" t="s">
        <v>10597</v>
      </c>
      <c r="C19645" t="s">
        <v>402</v>
      </c>
      <c r="D19645" t="s">
        <v>58222</v>
      </c>
      <c r="E19645" t="b">
        <v>0</v>
      </c>
      <c r="F19645" t="s">
        <v>11610</v>
      </c>
      <c r="L19645">
        <v>0</v>
      </c>
      <c r="M19645">
        <v>0</v>
      </c>
      <c r="N19645">
        <v>0</v>
      </c>
    </row>
    <row r="19646" spans="1:15">
      <c r="A19646" t="s">
        <v>58223</v>
      </c>
      <c r="B19646" t="s">
        <v>10597</v>
      </c>
      <c r="C19646" t="s">
        <v>402</v>
      </c>
      <c r="D19646" t="s">
        <v>58224</v>
      </c>
      <c r="E19646" t="b">
        <v>0</v>
      </c>
      <c r="F19646" t="s">
        <v>11610</v>
      </c>
      <c r="L19646">
        <v>0</v>
      </c>
      <c r="M19646">
        <v>0</v>
      </c>
      <c r="N19646">
        <v>0</v>
      </c>
    </row>
    <row r="19647" spans="1:15">
      <c r="A19647" t="s">
        <v>58225</v>
      </c>
      <c r="B19647" t="s">
        <v>10597</v>
      </c>
      <c r="C19647" t="s">
        <v>48520</v>
      </c>
      <c r="D19647" t="s">
        <v>58226</v>
      </c>
      <c r="E19647" t="b">
        <v>0</v>
      </c>
      <c r="F19647" t="s">
        <v>11610</v>
      </c>
      <c r="L19647">
        <v>0</v>
      </c>
      <c r="M19647">
        <v>0</v>
      </c>
      <c r="N19647">
        <v>0</v>
      </c>
    </row>
    <row r="19648" spans="1:15">
      <c r="A19648" t="s">
        <v>58227</v>
      </c>
      <c r="B19648" t="s">
        <v>10597</v>
      </c>
      <c r="C19648" t="s">
        <v>48523</v>
      </c>
      <c r="D19648" t="s">
        <v>58228</v>
      </c>
      <c r="E19648" t="b">
        <v>0</v>
      </c>
      <c r="F19648" t="s">
        <v>11610</v>
      </c>
      <c r="L19648">
        <v>0</v>
      </c>
      <c r="M19648">
        <v>0</v>
      </c>
      <c r="N19648">
        <v>0</v>
      </c>
    </row>
    <row r="19649" spans="1:15">
      <c r="A19649" t="s">
        <v>2618</v>
      </c>
      <c r="B19649" t="s">
        <v>10597</v>
      </c>
      <c r="C19649" t="s">
        <v>26495</v>
      </c>
      <c r="D19649" t="s">
        <v>58229</v>
      </c>
      <c r="E19649" t="b">
        <v>0</v>
      </c>
      <c r="F19649" t="s">
        <v>11622</v>
      </c>
      <c r="L19649">
        <v>1</v>
      </c>
      <c r="M19649">
        <v>8</v>
      </c>
      <c r="N19649">
        <v>0</v>
      </c>
    </row>
    <row r="19650" spans="1:15">
      <c r="A19650" t="s">
        <v>47271</v>
      </c>
      <c r="B19650" t="s">
        <v>10597</v>
      </c>
      <c r="C19650" t="s">
        <v>47268</v>
      </c>
      <c r="D19650" t="s">
        <v>58230</v>
      </c>
      <c r="E19650" t="b">
        <v>0</v>
      </c>
      <c r="F19650" t="s">
        <v>11622</v>
      </c>
      <c r="L19650">
        <v>2</v>
      </c>
      <c r="M19650">
        <v>4</v>
      </c>
      <c r="N19650">
        <v>0</v>
      </c>
    </row>
    <row r="19651" spans="1:15">
      <c r="A19651" t="s">
        <v>33106</v>
      </c>
      <c r="B19651" t="s">
        <v>10597</v>
      </c>
      <c r="C19651" t="s">
        <v>48530</v>
      </c>
      <c r="D19651" t="s">
        <v>58231</v>
      </c>
      <c r="E19651" t="b">
        <v>0</v>
      </c>
      <c r="F19651" t="s">
        <v>11624</v>
      </c>
      <c r="G19651">
        <v>-36.300082609999997</v>
      </c>
      <c r="H19651">
        <v>148.7238073</v>
      </c>
      <c r="L19651">
        <v>0</v>
      </c>
      <c r="M19651">
        <v>0</v>
      </c>
      <c r="N19651">
        <v>2</v>
      </c>
      <c r="O19651" t="s">
        <v>12107</v>
      </c>
    </row>
    <row r="19652" spans="1:15">
      <c r="A19652" t="s">
        <v>58232</v>
      </c>
      <c r="B19652" t="s">
        <v>10597</v>
      </c>
      <c r="C19652" t="s">
        <v>48530</v>
      </c>
      <c r="D19652" t="s">
        <v>58233</v>
      </c>
      <c r="E19652" t="b">
        <v>0</v>
      </c>
      <c r="F19652" t="s">
        <v>11624</v>
      </c>
      <c r="G19652">
        <v>-37.062271809999999</v>
      </c>
      <c r="H19652">
        <v>149.71693060000001</v>
      </c>
      <c r="I19652" t="s">
        <v>58234</v>
      </c>
      <c r="L19652">
        <v>0</v>
      </c>
      <c r="M19652">
        <v>0</v>
      </c>
      <c r="N19652">
        <v>0</v>
      </c>
      <c r="O19652" t="s">
        <v>12107</v>
      </c>
    </row>
    <row r="19653" spans="1:15">
      <c r="A19653" t="s">
        <v>45884</v>
      </c>
      <c r="D19653" t="s">
        <v>58235</v>
      </c>
      <c r="E19653" t="b">
        <v>0</v>
      </c>
      <c r="F19653" t="s">
        <v>11622</v>
      </c>
      <c r="L19653">
        <v>0</v>
      </c>
      <c r="M19653">
        <v>2</v>
      </c>
      <c r="N19653">
        <v>7</v>
      </c>
    </row>
    <row r="19654" spans="1:15">
      <c r="A19654" t="s">
        <v>58236</v>
      </c>
      <c r="B19654" t="s">
        <v>17023</v>
      </c>
      <c r="C19654" t="s">
        <v>26032</v>
      </c>
      <c r="D19654" t="s">
        <v>58237</v>
      </c>
      <c r="E19654" t="b">
        <v>0</v>
      </c>
      <c r="F19654" t="s">
        <v>11610</v>
      </c>
      <c r="L19654">
        <v>0</v>
      </c>
      <c r="M19654">
        <v>0</v>
      </c>
      <c r="N19654">
        <v>0</v>
      </c>
    </row>
    <row r="19655" spans="1:15">
      <c r="A19655" t="s">
        <v>12698</v>
      </c>
      <c r="B19655" t="s">
        <v>12697</v>
      </c>
      <c r="C19655" t="s">
        <v>26034</v>
      </c>
      <c r="D19655" t="s">
        <v>58238</v>
      </c>
      <c r="E19655" t="b">
        <v>0</v>
      </c>
      <c r="F19655" t="s">
        <v>11624</v>
      </c>
      <c r="G19655">
        <v>4.4423500000000002</v>
      </c>
      <c r="H19655">
        <v>6.3219200000000004</v>
      </c>
      <c r="I19655" t="s">
        <v>58239</v>
      </c>
      <c r="L19655">
        <v>0</v>
      </c>
      <c r="M19655">
        <v>0</v>
      </c>
      <c r="N19655">
        <v>2</v>
      </c>
      <c r="O19655" t="s">
        <v>11693</v>
      </c>
    </row>
    <row r="19656" spans="1:15">
      <c r="A19656" t="s">
        <v>58240</v>
      </c>
      <c r="B19656" t="s">
        <v>6742</v>
      </c>
      <c r="C19656" t="s">
        <v>26042</v>
      </c>
      <c r="D19656" t="s">
        <v>58241</v>
      </c>
      <c r="E19656" t="b">
        <v>0</v>
      </c>
      <c r="F19656" t="s">
        <v>11610</v>
      </c>
      <c r="L19656">
        <v>0</v>
      </c>
      <c r="M19656">
        <v>0</v>
      </c>
      <c r="N19656">
        <v>0</v>
      </c>
    </row>
    <row r="19657" spans="1:15">
      <c r="A19657" t="s">
        <v>41022</v>
      </c>
      <c r="B19657" t="s">
        <v>6742</v>
      </c>
      <c r="C19657" t="s">
        <v>36702</v>
      </c>
      <c r="D19657" t="s">
        <v>58242</v>
      </c>
      <c r="E19657" t="b">
        <v>0</v>
      </c>
      <c r="F19657" t="s">
        <v>11624</v>
      </c>
      <c r="G19657">
        <v>8.3244799999999994</v>
      </c>
      <c r="H19657">
        <v>-10.3377</v>
      </c>
      <c r="I19657" t="s">
        <v>58243</v>
      </c>
      <c r="L19657">
        <v>0</v>
      </c>
      <c r="M19657">
        <v>0</v>
      </c>
      <c r="N19657">
        <v>3</v>
      </c>
      <c r="O19657" t="s">
        <v>16572</v>
      </c>
    </row>
    <row r="19658" spans="1:15">
      <c r="A19658" t="s">
        <v>12417</v>
      </c>
      <c r="B19658" t="s">
        <v>6742</v>
      </c>
      <c r="C19658" t="s">
        <v>18344</v>
      </c>
      <c r="D19658" t="s">
        <v>58244</v>
      </c>
      <c r="E19658" t="b">
        <v>0</v>
      </c>
      <c r="F19658" t="s">
        <v>11622</v>
      </c>
      <c r="L19658">
        <v>1</v>
      </c>
      <c r="M19658">
        <v>3</v>
      </c>
      <c r="N19658">
        <v>3</v>
      </c>
    </row>
    <row r="19659" spans="1:15">
      <c r="A19659" t="s">
        <v>58245</v>
      </c>
      <c r="B19659" t="s">
        <v>6742</v>
      </c>
      <c r="C19659" t="s">
        <v>22944</v>
      </c>
      <c r="D19659" t="s">
        <v>58246</v>
      </c>
      <c r="E19659" t="b">
        <v>0</v>
      </c>
      <c r="F19659" t="s">
        <v>11610</v>
      </c>
      <c r="L19659">
        <v>0</v>
      </c>
      <c r="M19659">
        <v>0</v>
      </c>
      <c r="N19659">
        <v>0</v>
      </c>
    </row>
    <row r="19660" spans="1:15">
      <c r="A19660" t="s">
        <v>15410</v>
      </c>
      <c r="B19660" t="s">
        <v>6742</v>
      </c>
      <c r="C19660" t="s">
        <v>29851</v>
      </c>
      <c r="D19660" t="s">
        <v>58247</v>
      </c>
      <c r="E19660" t="b">
        <v>0</v>
      </c>
      <c r="F19660" t="s">
        <v>11622</v>
      </c>
      <c r="L19660">
        <v>2</v>
      </c>
      <c r="M19660">
        <v>4</v>
      </c>
      <c r="N19660">
        <v>5</v>
      </c>
    </row>
    <row r="19661" spans="1:15">
      <c r="A19661" t="s">
        <v>17809</v>
      </c>
      <c r="B19661" t="s">
        <v>6742</v>
      </c>
      <c r="C19661" t="s">
        <v>11991</v>
      </c>
      <c r="D19661" t="s">
        <v>58248</v>
      </c>
      <c r="E19661" t="b">
        <v>0</v>
      </c>
      <c r="F19661" t="s">
        <v>11624</v>
      </c>
      <c r="G19661">
        <v>9.5140799999999999</v>
      </c>
      <c r="H19661">
        <v>13.616400000000001</v>
      </c>
      <c r="I19661" t="s">
        <v>58249</v>
      </c>
      <c r="L19661">
        <v>0</v>
      </c>
      <c r="M19661">
        <v>0</v>
      </c>
      <c r="N19661">
        <v>3</v>
      </c>
      <c r="O19661" t="s">
        <v>11703</v>
      </c>
    </row>
    <row r="19662" spans="1:15">
      <c r="A19662" t="s">
        <v>58250</v>
      </c>
      <c r="B19662" t="s">
        <v>6742</v>
      </c>
      <c r="C19662" t="s">
        <v>27703</v>
      </c>
      <c r="D19662" t="s">
        <v>58251</v>
      </c>
      <c r="E19662" t="b">
        <v>0</v>
      </c>
      <c r="F19662" t="s">
        <v>11610</v>
      </c>
      <c r="L19662">
        <v>0</v>
      </c>
      <c r="M19662">
        <v>0</v>
      </c>
      <c r="N19662">
        <v>0</v>
      </c>
    </row>
    <row r="19663" spans="1:15">
      <c r="A19663" t="s">
        <v>58252</v>
      </c>
      <c r="B19663" t="s">
        <v>6742</v>
      </c>
      <c r="C19663" t="s">
        <v>24479</v>
      </c>
      <c r="D19663" t="s">
        <v>58253</v>
      </c>
      <c r="E19663" t="b">
        <v>0</v>
      </c>
      <c r="F19663" t="s">
        <v>11624</v>
      </c>
      <c r="G19663">
        <v>2.5413999999999999</v>
      </c>
      <c r="H19663">
        <v>19.593900000000001</v>
      </c>
      <c r="I19663" t="s">
        <v>58254</v>
      </c>
      <c r="L19663">
        <v>0</v>
      </c>
      <c r="M19663">
        <v>0</v>
      </c>
      <c r="N19663">
        <v>0</v>
      </c>
      <c r="O19663" t="s">
        <v>14825</v>
      </c>
    </row>
    <row r="19664" spans="1:15">
      <c r="A19664" t="s">
        <v>58255</v>
      </c>
      <c r="B19664" t="s">
        <v>6742</v>
      </c>
      <c r="C19664" t="s">
        <v>16630</v>
      </c>
      <c r="D19664" t="s">
        <v>58256</v>
      </c>
      <c r="E19664" t="b">
        <v>0</v>
      </c>
      <c r="F19664" t="s">
        <v>11624</v>
      </c>
      <c r="G19664">
        <v>4.7003700000000004</v>
      </c>
      <c r="H19664">
        <v>14.956899999999999</v>
      </c>
      <c r="I19664" t="s">
        <v>58257</v>
      </c>
      <c r="L19664">
        <v>0</v>
      </c>
      <c r="M19664">
        <v>0</v>
      </c>
      <c r="N19664">
        <v>0</v>
      </c>
      <c r="O19664" t="s">
        <v>28845</v>
      </c>
    </row>
    <row r="19665" spans="1:15">
      <c r="A19665" t="s">
        <v>39330</v>
      </c>
      <c r="B19665" t="s">
        <v>6742</v>
      </c>
      <c r="C19665" t="s">
        <v>16533</v>
      </c>
      <c r="D19665" t="s">
        <v>58258</v>
      </c>
      <c r="E19665" t="b">
        <v>0</v>
      </c>
      <c r="F19665" t="s">
        <v>11622</v>
      </c>
      <c r="L19665">
        <v>0</v>
      </c>
      <c r="M19665">
        <v>2</v>
      </c>
      <c r="N19665">
        <v>2</v>
      </c>
    </row>
    <row r="19666" spans="1:15">
      <c r="A19666" t="s">
        <v>39327</v>
      </c>
      <c r="B19666" t="s">
        <v>6742</v>
      </c>
      <c r="C19666" t="s">
        <v>39330</v>
      </c>
      <c r="D19666" t="s">
        <v>58259</v>
      </c>
      <c r="E19666" t="b">
        <v>0</v>
      </c>
      <c r="F19666" t="s">
        <v>11624</v>
      </c>
      <c r="G19666">
        <v>2.9411299999999998</v>
      </c>
      <c r="H19666">
        <v>21.050999999999998</v>
      </c>
      <c r="I19666" t="s">
        <v>58260</v>
      </c>
      <c r="L19666">
        <v>0</v>
      </c>
      <c r="M19666">
        <v>0</v>
      </c>
      <c r="N19666">
        <v>2</v>
      </c>
      <c r="O19666" t="s">
        <v>13069</v>
      </c>
    </row>
    <row r="19667" spans="1:15">
      <c r="A19667" t="s">
        <v>58261</v>
      </c>
      <c r="B19667" t="s">
        <v>6742</v>
      </c>
      <c r="C19667" t="s">
        <v>21462</v>
      </c>
      <c r="D19667" t="s">
        <v>58262</v>
      </c>
      <c r="E19667" t="b">
        <v>0</v>
      </c>
      <c r="F19667" t="s">
        <v>11610</v>
      </c>
      <c r="L19667">
        <v>0</v>
      </c>
      <c r="M19667">
        <v>0</v>
      </c>
      <c r="N19667">
        <v>0</v>
      </c>
    </row>
    <row r="19668" spans="1:15">
      <c r="A19668" t="s">
        <v>58263</v>
      </c>
      <c r="B19668" t="s">
        <v>6742</v>
      </c>
      <c r="C19668" t="s">
        <v>21908</v>
      </c>
      <c r="D19668" t="s">
        <v>58264</v>
      </c>
      <c r="E19668" t="b">
        <v>0</v>
      </c>
      <c r="F19668" t="s">
        <v>11624</v>
      </c>
      <c r="G19668">
        <v>10.422599999999999</v>
      </c>
      <c r="H19668">
        <v>-2.5226500000000001</v>
      </c>
      <c r="I19668" t="s">
        <v>58265</v>
      </c>
      <c r="L19668">
        <v>0</v>
      </c>
      <c r="M19668">
        <v>0</v>
      </c>
      <c r="N19668">
        <v>0</v>
      </c>
      <c r="O19668" t="s">
        <v>27727</v>
      </c>
    </row>
    <row r="19669" spans="1:15">
      <c r="A19669" t="s">
        <v>58266</v>
      </c>
      <c r="B19669" t="s">
        <v>6742</v>
      </c>
      <c r="C19669" t="s">
        <v>18775</v>
      </c>
      <c r="D19669" t="s">
        <v>58267</v>
      </c>
      <c r="E19669" t="b">
        <v>0</v>
      </c>
      <c r="F19669" t="s">
        <v>11624</v>
      </c>
      <c r="G19669">
        <v>9.2873000000000001</v>
      </c>
      <c r="H19669">
        <v>-2.7267199999999998</v>
      </c>
      <c r="I19669" t="s">
        <v>58268</v>
      </c>
      <c r="L19669">
        <v>0</v>
      </c>
      <c r="M19669">
        <v>0</v>
      </c>
      <c r="N19669">
        <v>0</v>
      </c>
      <c r="O19669" t="s">
        <v>19756</v>
      </c>
    </row>
    <row r="19670" spans="1:15">
      <c r="A19670" t="s">
        <v>24001</v>
      </c>
      <c r="B19670" t="s">
        <v>6742</v>
      </c>
      <c r="C19670" t="s">
        <v>30693</v>
      </c>
      <c r="D19670" t="s">
        <v>58269</v>
      </c>
      <c r="E19670" t="b">
        <v>0</v>
      </c>
      <c r="F19670" t="s">
        <v>11610</v>
      </c>
      <c r="L19670">
        <v>0</v>
      </c>
      <c r="M19670">
        <v>0</v>
      </c>
      <c r="N19670">
        <v>3</v>
      </c>
    </row>
    <row r="19671" spans="1:15">
      <c r="A19671" t="s">
        <v>58270</v>
      </c>
      <c r="B19671" t="s">
        <v>6742</v>
      </c>
      <c r="C19671" t="s">
        <v>21465</v>
      </c>
      <c r="D19671" t="s">
        <v>58271</v>
      </c>
      <c r="E19671" t="b">
        <v>0</v>
      </c>
      <c r="F19671" t="s">
        <v>11610</v>
      </c>
      <c r="L19671">
        <v>0</v>
      </c>
      <c r="M19671">
        <v>0</v>
      </c>
      <c r="N19671">
        <v>0</v>
      </c>
    </row>
    <row r="19672" spans="1:15">
      <c r="A19672" t="s">
        <v>17262</v>
      </c>
      <c r="B19672" t="s">
        <v>6742</v>
      </c>
      <c r="C19672" t="s">
        <v>48564</v>
      </c>
      <c r="D19672" t="s">
        <v>58272</v>
      </c>
      <c r="E19672" t="b">
        <v>0</v>
      </c>
      <c r="F19672" t="s">
        <v>11624</v>
      </c>
      <c r="G19672">
        <v>11.518599999999999</v>
      </c>
      <c r="H19672">
        <v>-2.14385</v>
      </c>
      <c r="I19672" t="s">
        <v>58273</v>
      </c>
      <c r="L19672">
        <v>0</v>
      </c>
      <c r="M19672">
        <v>0</v>
      </c>
      <c r="N19672">
        <v>6</v>
      </c>
      <c r="O19672" t="s">
        <v>27727</v>
      </c>
    </row>
    <row r="19673" spans="1:15">
      <c r="A19673" t="s">
        <v>58274</v>
      </c>
      <c r="B19673" t="s">
        <v>6742</v>
      </c>
      <c r="C19673" t="s">
        <v>21272</v>
      </c>
      <c r="D19673" t="s">
        <v>58275</v>
      </c>
      <c r="E19673" t="b">
        <v>0</v>
      </c>
      <c r="F19673" t="s">
        <v>11610</v>
      </c>
      <c r="L19673">
        <v>0</v>
      </c>
      <c r="M19673">
        <v>0</v>
      </c>
      <c r="N19673">
        <v>0</v>
      </c>
    </row>
    <row r="19674" spans="1:15">
      <c r="A19674" t="s">
        <v>58276</v>
      </c>
      <c r="B19674" t="s">
        <v>6742</v>
      </c>
      <c r="C19674" t="s">
        <v>48571</v>
      </c>
      <c r="D19674" t="s">
        <v>58277</v>
      </c>
      <c r="E19674" t="b">
        <v>0</v>
      </c>
      <c r="F19674" t="s">
        <v>11624</v>
      </c>
      <c r="G19674">
        <v>10.877000000000001</v>
      </c>
      <c r="H19674">
        <v>-4.6567800000000004</v>
      </c>
      <c r="I19674" t="s">
        <v>58278</v>
      </c>
      <c r="L19674">
        <v>0</v>
      </c>
      <c r="M19674">
        <v>0</v>
      </c>
      <c r="N19674">
        <v>0</v>
      </c>
      <c r="O19674" t="s">
        <v>22064</v>
      </c>
    </row>
    <row r="19675" spans="1:15">
      <c r="A19675" t="s">
        <v>19652</v>
      </c>
      <c r="B19675" t="s">
        <v>6742</v>
      </c>
      <c r="C19675" t="s">
        <v>12468</v>
      </c>
      <c r="D19675" t="s">
        <v>58279</v>
      </c>
      <c r="E19675" t="b">
        <v>0</v>
      </c>
      <c r="F19675" t="s">
        <v>11622</v>
      </c>
      <c r="L19675">
        <v>1</v>
      </c>
      <c r="M19675">
        <v>3</v>
      </c>
      <c r="N19675">
        <v>2</v>
      </c>
    </row>
    <row r="19676" spans="1:15">
      <c r="A19676" t="s">
        <v>58280</v>
      </c>
      <c r="B19676" t="s">
        <v>6742</v>
      </c>
      <c r="C19676" t="s">
        <v>15118</v>
      </c>
      <c r="D19676" t="s">
        <v>58281</v>
      </c>
      <c r="E19676" t="b">
        <v>0</v>
      </c>
      <c r="F19676" t="s">
        <v>11610</v>
      </c>
      <c r="L19676">
        <v>0</v>
      </c>
      <c r="M19676">
        <v>0</v>
      </c>
      <c r="N19676">
        <v>0</v>
      </c>
    </row>
    <row r="19677" spans="1:15">
      <c r="A19677" t="s">
        <v>27371</v>
      </c>
      <c r="B19677" t="s">
        <v>6742</v>
      </c>
      <c r="C19677" t="s">
        <v>24442</v>
      </c>
      <c r="D19677" t="s">
        <v>58282</v>
      </c>
      <c r="E19677" t="b">
        <v>0</v>
      </c>
      <c r="F19677" t="s">
        <v>11622</v>
      </c>
      <c r="L19677">
        <v>0</v>
      </c>
      <c r="M19677">
        <v>5</v>
      </c>
      <c r="N19677">
        <v>26</v>
      </c>
    </row>
    <row r="19678" spans="1:15">
      <c r="A19678" t="s">
        <v>1931</v>
      </c>
      <c r="B19678" t="s">
        <v>6742</v>
      </c>
      <c r="C19678" t="s">
        <v>41004</v>
      </c>
      <c r="D19678" t="s">
        <v>58283</v>
      </c>
      <c r="E19678" t="b">
        <v>0</v>
      </c>
      <c r="F19678" t="s">
        <v>11624</v>
      </c>
      <c r="G19678">
        <v>-30.444500000000001</v>
      </c>
      <c r="H19678">
        <v>27.895099999999999</v>
      </c>
      <c r="I19678" t="s">
        <v>1933</v>
      </c>
      <c r="L19678">
        <v>0</v>
      </c>
      <c r="M19678">
        <v>0</v>
      </c>
      <c r="N19678">
        <v>2</v>
      </c>
      <c r="O19678" t="s">
        <v>58284</v>
      </c>
    </row>
    <row r="19679" spans="1:15">
      <c r="A19679" t="s">
        <v>58285</v>
      </c>
      <c r="B19679" t="s">
        <v>6742</v>
      </c>
      <c r="C19679" t="s">
        <v>47577</v>
      </c>
      <c r="D19679" t="s">
        <v>58286</v>
      </c>
      <c r="E19679" t="b">
        <v>0</v>
      </c>
      <c r="F19679" t="s">
        <v>11624</v>
      </c>
      <c r="G19679">
        <v>-25.627199999999998</v>
      </c>
      <c r="H19679">
        <v>29.047999999999998</v>
      </c>
      <c r="I19679" t="s">
        <v>58287</v>
      </c>
      <c r="L19679">
        <v>0</v>
      </c>
      <c r="M19679">
        <v>0</v>
      </c>
      <c r="N19679">
        <v>0</v>
      </c>
      <c r="O19679" t="s">
        <v>21031</v>
      </c>
    </row>
    <row r="19680" spans="1:15">
      <c r="A19680" t="s">
        <v>58288</v>
      </c>
      <c r="B19680" t="s">
        <v>6742</v>
      </c>
      <c r="C19680" t="s">
        <v>20764</v>
      </c>
      <c r="D19680" t="s">
        <v>58289</v>
      </c>
      <c r="E19680" t="b">
        <v>0</v>
      </c>
      <c r="F19680" t="s">
        <v>11610</v>
      </c>
      <c r="L19680">
        <v>0</v>
      </c>
      <c r="M19680">
        <v>0</v>
      </c>
      <c r="N19680">
        <v>0</v>
      </c>
    </row>
    <row r="19681" spans="1:15">
      <c r="A19681" t="s">
        <v>58290</v>
      </c>
      <c r="B19681" t="s">
        <v>6742</v>
      </c>
      <c r="C19681" t="s">
        <v>20764</v>
      </c>
      <c r="D19681" t="s">
        <v>58291</v>
      </c>
      <c r="E19681" t="b">
        <v>0</v>
      </c>
      <c r="F19681" t="s">
        <v>11610</v>
      </c>
      <c r="L19681">
        <v>0</v>
      </c>
      <c r="M19681">
        <v>0</v>
      </c>
      <c r="N19681">
        <v>0</v>
      </c>
    </row>
    <row r="19682" spans="1:15">
      <c r="A19682" t="s">
        <v>58292</v>
      </c>
      <c r="B19682" t="s">
        <v>6742</v>
      </c>
      <c r="C19682" t="s">
        <v>29044</v>
      </c>
      <c r="D19682" t="s">
        <v>58293</v>
      </c>
      <c r="E19682" t="b">
        <v>0</v>
      </c>
      <c r="F19682" t="s">
        <v>11610</v>
      </c>
      <c r="L19682">
        <v>0</v>
      </c>
      <c r="M19682">
        <v>0</v>
      </c>
      <c r="N19682">
        <v>0</v>
      </c>
    </row>
    <row r="19683" spans="1:15">
      <c r="A19683" t="s">
        <v>58294</v>
      </c>
      <c r="B19683" t="s">
        <v>6742</v>
      </c>
      <c r="C19683" t="s">
        <v>29219</v>
      </c>
      <c r="D19683" t="s">
        <v>58295</v>
      </c>
      <c r="E19683" t="b">
        <v>0</v>
      </c>
      <c r="F19683" t="s">
        <v>11610</v>
      </c>
      <c r="L19683">
        <v>0</v>
      </c>
      <c r="M19683">
        <v>0</v>
      </c>
      <c r="N19683">
        <v>0</v>
      </c>
    </row>
    <row r="19684" spans="1:15">
      <c r="A19684" t="s">
        <v>58296</v>
      </c>
      <c r="B19684" t="s">
        <v>6742</v>
      </c>
      <c r="C19684" t="s">
        <v>34566</v>
      </c>
      <c r="D19684" t="s">
        <v>58297</v>
      </c>
      <c r="E19684" t="b">
        <v>0</v>
      </c>
      <c r="F19684" t="s">
        <v>11610</v>
      </c>
      <c r="L19684">
        <v>0</v>
      </c>
      <c r="M19684">
        <v>0</v>
      </c>
      <c r="N19684">
        <v>0</v>
      </c>
    </row>
    <row r="19685" spans="1:15">
      <c r="A19685" t="s">
        <v>58298</v>
      </c>
      <c r="B19685" t="s">
        <v>6742</v>
      </c>
      <c r="C19685" t="s">
        <v>43216</v>
      </c>
      <c r="D19685" t="s">
        <v>58299</v>
      </c>
      <c r="E19685" t="b">
        <v>0</v>
      </c>
      <c r="F19685" t="s">
        <v>11610</v>
      </c>
      <c r="L19685">
        <v>0</v>
      </c>
      <c r="M19685">
        <v>0</v>
      </c>
      <c r="N19685">
        <v>0</v>
      </c>
    </row>
    <row r="19686" spans="1:15">
      <c r="A19686" t="s">
        <v>58300</v>
      </c>
      <c r="B19686" t="s">
        <v>6742</v>
      </c>
      <c r="C19686" t="s">
        <v>21485</v>
      </c>
      <c r="D19686" t="s">
        <v>58301</v>
      </c>
      <c r="E19686" t="b">
        <v>0</v>
      </c>
      <c r="F19686" t="s">
        <v>11610</v>
      </c>
      <c r="L19686">
        <v>0</v>
      </c>
      <c r="M19686">
        <v>0</v>
      </c>
      <c r="N19686">
        <v>0</v>
      </c>
    </row>
    <row r="19687" spans="1:15">
      <c r="A19687" t="s">
        <v>58302</v>
      </c>
      <c r="B19687" t="s">
        <v>6742</v>
      </c>
      <c r="C19687" t="s">
        <v>40410</v>
      </c>
      <c r="D19687" t="s">
        <v>58303</v>
      </c>
      <c r="E19687" t="b">
        <v>0</v>
      </c>
      <c r="F19687" t="s">
        <v>11610</v>
      </c>
      <c r="L19687">
        <v>0</v>
      </c>
      <c r="M19687">
        <v>0</v>
      </c>
      <c r="N19687">
        <v>0</v>
      </c>
    </row>
    <row r="19688" spans="1:15">
      <c r="A19688" t="s">
        <v>58304</v>
      </c>
      <c r="B19688" t="s">
        <v>6742</v>
      </c>
      <c r="C19688" t="s">
        <v>12787</v>
      </c>
      <c r="D19688" t="s">
        <v>58305</v>
      </c>
      <c r="E19688" t="b">
        <v>0</v>
      </c>
      <c r="F19688" t="s">
        <v>11610</v>
      </c>
      <c r="L19688">
        <v>0</v>
      </c>
      <c r="M19688">
        <v>0</v>
      </c>
      <c r="N19688">
        <v>0</v>
      </c>
    </row>
    <row r="19689" spans="1:15">
      <c r="A19689" t="s">
        <v>58306</v>
      </c>
      <c r="B19689" t="s">
        <v>6742</v>
      </c>
      <c r="C19689" t="s">
        <v>19976</v>
      </c>
      <c r="D19689" t="s">
        <v>58307</v>
      </c>
      <c r="E19689" t="b">
        <v>0</v>
      </c>
      <c r="F19689" t="s">
        <v>11610</v>
      </c>
      <c r="L19689">
        <v>0</v>
      </c>
      <c r="M19689">
        <v>0</v>
      </c>
      <c r="N19689">
        <v>0</v>
      </c>
    </row>
    <row r="19690" spans="1:15">
      <c r="A19690" t="s">
        <v>58308</v>
      </c>
      <c r="B19690" t="s">
        <v>6742</v>
      </c>
      <c r="C19690" t="s">
        <v>19976</v>
      </c>
      <c r="D19690" t="s">
        <v>58309</v>
      </c>
      <c r="E19690" t="b">
        <v>0</v>
      </c>
      <c r="F19690" t="s">
        <v>11610</v>
      </c>
      <c r="L19690">
        <v>0</v>
      </c>
      <c r="M19690">
        <v>0</v>
      </c>
      <c r="N19690">
        <v>0</v>
      </c>
    </row>
    <row r="19691" spans="1:15">
      <c r="A19691" t="s">
        <v>58310</v>
      </c>
      <c r="B19691" t="s">
        <v>6742</v>
      </c>
      <c r="C19691" t="s">
        <v>15691</v>
      </c>
      <c r="D19691" t="s">
        <v>58311</v>
      </c>
      <c r="E19691" t="b">
        <v>0</v>
      </c>
      <c r="F19691" t="s">
        <v>11610</v>
      </c>
      <c r="L19691">
        <v>0</v>
      </c>
      <c r="M19691">
        <v>0</v>
      </c>
      <c r="N19691">
        <v>0</v>
      </c>
    </row>
    <row r="19692" spans="1:15">
      <c r="A19692" t="s">
        <v>15646</v>
      </c>
      <c r="B19692" t="s">
        <v>6742</v>
      </c>
      <c r="C19692" t="s">
        <v>21873</v>
      </c>
      <c r="D19692" t="s">
        <v>58312</v>
      </c>
      <c r="E19692" t="b">
        <v>0</v>
      </c>
      <c r="F19692" t="s">
        <v>11622</v>
      </c>
      <c r="L19692">
        <v>1</v>
      </c>
      <c r="M19692">
        <v>4</v>
      </c>
      <c r="N19692">
        <v>0</v>
      </c>
    </row>
    <row r="19693" spans="1:15">
      <c r="A19693" t="s">
        <v>58313</v>
      </c>
      <c r="B19693" t="s">
        <v>6742</v>
      </c>
      <c r="C19693" t="s">
        <v>26104</v>
      </c>
      <c r="D19693" t="s">
        <v>58314</v>
      </c>
      <c r="E19693" t="b">
        <v>0</v>
      </c>
      <c r="F19693" t="s">
        <v>11610</v>
      </c>
      <c r="L19693">
        <v>0</v>
      </c>
      <c r="M19693">
        <v>0</v>
      </c>
      <c r="N19693">
        <v>0</v>
      </c>
    </row>
    <row r="19694" spans="1:15">
      <c r="A19694" t="s">
        <v>58315</v>
      </c>
      <c r="B19694" t="s">
        <v>6742</v>
      </c>
      <c r="C19694" t="s">
        <v>12683</v>
      </c>
      <c r="D19694" t="s">
        <v>58316</v>
      </c>
      <c r="E19694" t="b">
        <v>0</v>
      </c>
      <c r="F19694" t="s">
        <v>11610</v>
      </c>
      <c r="L19694">
        <v>0</v>
      </c>
      <c r="M19694">
        <v>0</v>
      </c>
      <c r="N19694">
        <v>0</v>
      </c>
    </row>
    <row r="19695" spans="1:15">
      <c r="A19695" t="s">
        <v>58317</v>
      </c>
      <c r="B19695" t="s">
        <v>6742</v>
      </c>
      <c r="C19695" t="s">
        <v>48599</v>
      </c>
      <c r="D19695" t="s">
        <v>58318</v>
      </c>
      <c r="E19695" t="b">
        <v>0</v>
      </c>
      <c r="F19695" t="s">
        <v>11610</v>
      </c>
      <c r="L19695">
        <v>0</v>
      </c>
      <c r="M19695">
        <v>0</v>
      </c>
      <c r="N19695">
        <v>0</v>
      </c>
    </row>
    <row r="19696" spans="1:15">
      <c r="A19696" t="s">
        <v>29386</v>
      </c>
      <c r="B19696" t="s">
        <v>6742</v>
      </c>
      <c r="C19696" t="s">
        <v>29742</v>
      </c>
      <c r="D19696" t="s">
        <v>58319</v>
      </c>
      <c r="E19696" t="b">
        <v>0</v>
      </c>
      <c r="F19696" t="s">
        <v>11624</v>
      </c>
      <c r="G19696">
        <v>4.47607</v>
      </c>
      <c r="H19696">
        <v>-7.5687199999999999</v>
      </c>
      <c r="I19696" t="s">
        <v>58320</v>
      </c>
      <c r="L19696">
        <v>0</v>
      </c>
      <c r="M19696">
        <v>0</v>
      </c>
      <c r="N19696">
        <v>4</v>
      </c>
      <c r="O19696" t="s">
        <v>23855</v>
      </c>
    </row>
    <row r="19697" spans="1:15">
      <c r="A19697" t="s">
        <v>41554</v>
      </c>
      <c r="B19697" t="s">
        <v>11729</v>
      </c>
      <c r="C19697" t="s">
        <v>21500</v>
      </c>
      <c r="D19697" t="s">
        <v>58321</v>
      </c>
      <c r="E19697" t="b">
        <v>0</v>
      </c>
      <c r="F19697" t="s">
        <v>11622</v>
      </c>
      <c r="L19697">
        <v>0</v>
      </c>
      <c r="M19697">
        <v>3</v>
      </c>
      <c r="N19697">
        <v>8</v>
      </c>
    </row>
    <row r="19698" spans="1:15">
      <c r="A19698" t="s">
        <v>50878</v>
      </c>
      <c r="B19698" t="s">
        <v>11729</v>
      </c>
      <c r="C19698" t="s">
        <v>41554</v>
      </c>
      <c r="D19698" t="s">
        <v>58322</v>
      </c>
      <c r="E19698" t="b">
        <v>0</v>
      </c>
      <c r="F19698" t="s">
        <v>11624</v>
      </c>
      <c r="G19698">
        <v>2.8734999999999999</v>
      </c>
      <c r="H19698">
        <v>31.25</v>
      </c>
      <c r="I19698" t="s">
        <v>58323</v>
      </c>
      <c r="L19698">
        <v>0</v>
      </c>
      <c r="M19698">
        <v>0</v>
      </c>
      <c r="N19698">
        <v>3</v>
      </c>
      <c r="O19698" t="s">
        <v>25786</v>
      </c>
    </row>
    <row r="19699" spans="1:15">
      <c r="A19699" t="s">
        <v>58324</v>
      </c>
      <c r="B19699" t="s">
        <v>11757</v>
      </c>
      <c r="C19699" t="s">
        <v>48607</v>
      </c>
      <c r="D19699" t="s">
        <v>58325</v>
      </c>
      <c r="E19699" t="b">
        <v>0</v>
      </c>
      <c r="F19699" t="s">
        <v>11610</v>
      </c>
      <c r="L19699">
        <v>0</v>
      </c>
      <c r="M19699">
        <v>0</v>
      </c>
      <c r="N19699">
        <v>0</v>
      </c>
    </row>
    <row r="19700" spans="1:15">
      <c r="A19700" t="s">
        <v>34417</v>
      </c>
      <c r="B19700" t="s">
        <v>11757</v>
      </c>
      <c r="C19700" t="s">
        <v>11757</v>
      </c>
      <c r="D19700" t="s">
        <v>58326</v>
      </c>
      <c r="E19700" t="b">
        <v>0</v>
      </c>
      <c r="F19700" t="s">
        <v>11622</v>
      </c>
      <c r="L19700">
        <v>9</v>
      </c>
      <c r="M19700">
        <v>16</v>
      </c>
      <c r="N19700">
        <v>21</v>
      </c>
    </row>
    <row r="19701" spans="1:15">
      <c r="A19701" t="s">
        <v>11958</v>
      </c>
      <c r="B19701" t="s">
        <v>11757</v>
      </c>
      <c r="C19701" t="s">
        <v>20531</v>
      </c>
      <c r="D19701" t="s">
        <v>58327</v>
      </c>
      <c r="E19701" t="b">
        <v>0</v>
      </c>
      <c r="F19701" t="s">
        <v>11622</v>
      </c>
      <c r="L19701">
        <v>3</v>
      </c>
      <c r="M19701">
        <v>6</v>
      </c>
      <c r="N19701">
        <v>7</v>
      </c>
    </row>
    <row r="19702" spans="1:15">
      <c r="A19702" t="s">
        <v>3239</v>
      </c>
      <c r="B19702" t="s">
        <v>11757</v>
      </c>
      <c r="C19702" t="s">
        <v>3240</v>
      </c>
      <c r="D19702" t="s">
        <v>58328</v>
      </c>
      <c r="E19702" t="b">
        <v>0</v>
      </c>
      <c r="F19702" t="s">
        <v>11624</v>
      </c>
      <c r="G19702">
        <v>8.8111499999999996</v>
      </c>
      <c r="H19702">
        <v>28.061299999999999</v>
      </c>
      <c r="I19702" t="s">
        <v>3241</v>
      </c>
      <c r="L19702">
        <v>0</v>
      </c>
      <c r="M19702">
        <v>0</v>
      </c>
      <c r="N19702">
        <v>11</v>
      </c>
      <c r="O19702" t="s">
        <v>11910</v>
      </c>
    </row>
    <row r="19703" spans="1:15">
      <c r="A19703" t="s">
        <v>12267</v>
      </c>
      <c r="B19703" t="s">
        <v>11757</v>
      </c>
      <c r="C19703" t="s">
        <v>3240</v>
      </c>
      <c r="D19703" t="s">
        <v>58329</v>
      </c>
      <c r="E19703" t="b">
        <v>0</v>
      </c>
      <c r="F19703" t="s">
        <v>11624</v>
      </c>
      <c r="G19703">
        <v>6.7306999999999997</v>
      </c>
      <c r="H19703">
        <v>30.302099999999999</v>
      </c>
      <c r="I19703" t="s">
        <v>58330</v>
      </c>
      <c r="L19703">
        <v>0</v>
      </c>
      <c r="M19703">
        <v>0</v>
      </c>
      <c r="N19703">
        <v>4</v>
      </c>
      <c r="O19703" t="s">
        <v>11910</v>
      </c>
    </row>
    <row r="19704" spans="1:15">
      <c r="A19704" t="s">
        <v>14999</v>
      </c>
      <c r="B19704" t="s">
        <v>11757</v>
      </c>
      <c r="C19704" t="s">
        <v>3240</v>
      </c>
      <c r="D19704" t="s">
        <v>58331</v>
      </c>
      <c r="E19704" t="b">
        <v>0</v>
      </c>
      <c r="F19704" t="s">
        <v>11624</v>
      </c>
      <c r="G19704">
        <v>7.0220599999999997</v>
      </c>
      <c r="H19704">
        <v>31.285</v>
      </c>
      <c r="I19704" t="s">
        <v>58332</v>
      </c>
      <c r="L19704">
        <v>0</v>
      </c>
      <c r="M19704">
        <v>0</v>
      </c>
      <c r="N19704">
        <v>5</v>
      </c>
      <c r="O19704" t="s">
        <v>11910</v>
      </c>
    </row>
    <row r="19705" spans="1:15">
      <c r="A19705" t="s">
        <v>34044</v>
      </c>
      <c r="B19705" t="s">
        <v>13571</v>
      </c>
      <c r="C19705" t="s">
        <v>13781</v>
      </c>
      <c r="D19705" t="s">
        <v>58333</v>
      </c>
      <c r="E19705" t="b">
        <v>0</v>
      </c>
      <c r="F19705" t="s">
        <v>11622</v>
      </c>
      <c r="L19705">
        <v>0</v>
      </c>
      <c r="M19705">
        <v>2</v>
      </c>
      <c r="N19705">
        <v>2</v>
      </c>
    </row>
    <row r="19706" spans="1:15">
      <c r="A19706" t="s">
        <v>58334</v>
      </c>
      <c r="B19706" t="s">
        <v>15569</v>
      </c>
      <c r="C19706" t="s">
        <v>15569</v>
      </c>
      <c r="D19706" t="s">
        <v>58335</v>
      </c>
      <c r="E19706" t="b">
        <v>0</v>
      </c>
      <c r="F19706" t="s">
        <v>11622</v>
      </c>
      <c r="L19706">
        <v>7</v>
      </c>
      <c r="M19706">
        <v>10</v>
      </c>
      <c r="N19706">
        <v>15</v>
      </c>
    </row>
    <row r="19707" spans="1:15">
      <c r="A19707" t="s">
        <v>38702</v>
      </c>
      <c r="B19707" t="s">
        <v>15569</v>
      </c>
      <c r="C19707" t="s">
        <v>58334</v>
      </c>
      <c r="D19707" t="s">
        <v>58336</v>
      </c>
      <c r="E19707" t="b">
        <v>0</v>
      </c>
      <c r="F19707" t="s">
        <v>11622</v>
      </c>
      <c r="L19707">
        <v>2</v>
      </c>
      <c r="M19707">
        <v>4</v>
      </c>
      <c r="N19707">
        <v>6</v>
      </c>
    </row>
    <row r="19708" spans="1:15">
      <c r="A19708" t="s">
        <v>15570</v>
      </c>
      <c r="B19708" t="s">
        <v>15569</v>
      </c>
      <c r="C19708" t="s">
        <v>58334</v>
      </c>
      <c r="D19708" t="s">
        <v>58337</v>
      </c>
      <c r="E19708" t="b">
        <v>0</v>
      </c>
      <c r="F19708" t="s">
        <v>11622</v>
      </c>
      <c r="L19708">
        <v>3</v>
      </c>
      <c r="M19708">
        <v>6</v>
      </c>
      <c r="N19708">
        <v>9</v>
      </c>
    </row>
    <row r="19709" spans="1:15">
      <c r="A19709" t="s">
        <v>58338</v>
      </c>
      <c r="B19709" t="s">
        <v>11780</v>
      </c>
      <c r="C19709" t="s">
        <v>24146</v>
      </c>
      <c r="D19709" t="s">
        <v>58339</v>
      </c>
      <c r="E19709" t="b">
        <v>0</v>
      </c>
      <c r="F19709" t="s">
        <v>11610</v>
      </c>
      <c r="L19709">
        <v>0</v>
      </c>
      <c r="M19709">
        <v>0</v>
      </c>
      <c r="N19709">
        <v>0</v>
      </c>
    </row>
    <row r="19710" spans="1:15">
      <c r="A19710" t="s">
        <v>17965</v>
      </c>
      <c r="B19710" t="s">
        <v>13276</v>
      </c>
      <c r="C19710" t="s">
        <v>19019</v>
      </c>
      <c r="D19710" t="s">
        <v>58340</v>
      </c>
      <c r="E19710" t="b">
        <v>0</v>
      </c>
      <c r="F19710" t="s">
        <v>11624</v>
      </c>
      <c r="G19710">
        <v>11.540900000000001</v>
      </c>
      <c r="H19710">
        <v>-4.2649699999999999</v>
      </c>
      <c r="I19710" t="s">
        <v>58341</v>
      </c>
      <c r="L19710">
        <v>0</v>
      </c>
      <c r="M19710">
        <v>0</v>
      </c>
      <c r="N19710">
        <v>6</v>
      </c>
      <c r="O19710" t="s">
        <v>19305</v>
      </c>
    </row>
    <row r="19711" spans="1:15">
      <c r="A19711" t="s">
        <v>58342</v>
      </c>
      <c r="B19711" t="s">
        <v>13276</v>
      </c>
      <c r="C19711" t="s">
        <v>48619</v>
      </c>
      <c r="D19711" t="s">
        <v>58343</v>
      </c>
      <c r="E19711" t="b">
        <v>0</v>
      </c>
      <c r="F19711" t="s">
        <v>11610</v>
      </c>
      <c r="L19711">
        <v>0</v>
      </c>
      <c r="M19711">
        <v>0</v>
      </c>
      <c r="N19711">
        <v>0</v>
      </c>
    </row>
    <row r="19712" spans="1:15">
      <c r="A19712" t="s">
        <v>37745</v>
      </c>
      <c r="B19712" t="s">
        <v>13276</v>
      </c>
      <c r="C19712" t="s">
        <v>21510</v>
      </c>
      <c r="D19712" t="s">
        <v>58344</v>
      </c>
      <c r="E19712" t="b">
        <v>0</v>
      </c>
      <c r="F19712" t="s">
        <v>11622</v>
      </c>
      <c r="L19712">
        <v>6</v>
      </c>
      <c r="M19712">
        <v>9</v>
      </c>
      <c r="N19712">
        <v>25</v>
      </c>
    </row>
    <row r="19713" spans="1:15">
      <c r="A19713" t="s">
        <v>58345</v>
      </c>
      <c r="B19713" t="s">
        <v>13276</v>
      </c>
      <c r="C19713" t="s">
        <v>42470</v>
      </c>
      <c r="D19713" t="s">
        <v>58346</v>
      </c>
      <c r="E19713" t="b">
        <v>0</v>
      </c>
      <c r="F19713" t="s">
        <v>11624</v>
      </c>
      <c r="G19713">
        <v>12.712999999999999</v>
      </c>
      <c r="H19713">
        <v>-2.9051999999999998</v>
      </c>
      <c r="I19713" t="s">
        <v>58347</v>
      </c>
      <c r="L19713">
        <v>0</v>
      </c>
      <c r="M19713">
        <v>0</v>
      </c>
      <c r="N19713">
        <v>1</v>
      </c>
      <c r="O19713" t="s">
        <v>19305</v>
      </c>
    </row>
    <row r="19714" spans="1:15">
      <c r="A19714" t="s">
        <v>11619</v>
      </c>
      <c r="D19714" t="s">
        <v>58348</v>
      </c>
      <c r="E19714" t="b">
        <v>0</v>
      </c>
      <c r="F19714" t="s">
        <v>11622</v>
      </c>
      <c r="L19714">
        <v>3</v>
      </c>
      <c r="M19714">
        <v>5</v>
      </c>
      <c r="N19714">
        <v>0</v>
      </c>
    </row>
    <row r="19715" spans="1:15">
      <c r="A19715" t="s">
        <v>58349</v>
      </c>
      <c r="B19715" t="s">
        <v>21528</v>
      </c>
      <c r="C19715" t="s">
        <v>21529</v>
      </c>
      <c r="D19715" t="s">
        <v>58350</v>
      </c>
      <c r="E19715" t="b">
        <v>0</v>
      </c>
      <c r="F19715" t="s">
        <v>11610</v>
      </c>
      <c r="L19715">
        <v>0</v>
      </c>
      <c r="M19715">
        <v>0</v>
      </c>
      <c r="N19715">
        <v>0</v>
      </c>
    </row>
    <row r="19716" spans="1:15">
      <c r="A19716" t="s">
        <v>58351</v>
      </c>
      <c r="B19716" t="s">
        <v>367</v>
      </c>
      <c r="C19716" t="s">
        <v>5322</v>
      </c>
      <c r="D19716" t="s">
        <v>58352</v>
      </c>
      <c r="E19716" t="b">
        <v>0</v>
      </c>
      <c r="F19716" t="s">
        <v>11610</v>
      </c>
      <c r="L19716">
        <v>0</v>
      </c>
      <c r="M19716">
        <v>0</v>
      </c>
      <c r="N19716">
        <v>0</v>
      </c>
    </row>
    <row r="19717" spans="1:15">
      <c r="A19717" t="s">
        <v>13846</v>
      </c>
      <c r="B19717" t="s">
        <v>367</v>
      </c>
      <c r="C19717" t="s">
        <v>17347</v>
      </c>
      <c r="D19717" t="s">
        <v>58353</v>
      </c>
      <c r="E19717" t="b">
        <v>0</v>
      </c>
      <c r="F19717" t="s">
        <v>11622</v>
      </c>
      <c r="L19717">
        <v>1</v>
      </c>
      <c r="M19717">
        <v>3</v>
      </c>
      <c r="N19717">
        <v>0</v>
      </c>
    </row>
    <row r="19718" spans="1:15">
      <c r="A19718" t="s">
        <v>46135</v>
      </c>
      <c r="B19718" t="s">
        <v>367</v>
      </c>
      <c r="C19718" t="s">
        <v>26489</v>
      </c>
      <c r="D19718" t="s">
        <v>58354</v>
      </c>
      <c r="E19718" t="b">
        <v>0</v>
      </c>
      <c r="F19718" t="s">
        <v>11622</v>
      </c>
      <c r="L19718">
        <v>23</v>
      </c>
      <c r="M19718">
        <v>47</v>
      </c>
      <c r="N19718">
        <v>60</v>
      </c>
    </row>
    <row r="19719" spans="1:15">
      <c r="A19719" t="s">
        <v>29802</v>
      </c>
      <c r="B19719" t="s">
        <v>367</v>
      </c>
      <c r="C19719" t="s">
        <v>12101</v>
      </c>
      <c r="D19719" t="s">
        <v>58355</v>
      </c>
      <c r="E19719" t="b">
        <v>0</v>
      </c>
      <c r="F19719" t="s">
        <v>11622</v>
      </c>
      <c r="L19719">
        <v>12</v>
      </c>
      <c r="M19719">
        <v>26</v>
      </c>
      <c r="N19719">
        <v>36</v>
      </c>
    </row>
    <row r="19720" spans="1:15">
      <c r="A19720" t="s">
        <v>18754</v>
      </c>
      <c r="B19720" t="s">
        <v>367</v>
      </c>
      <c r="C19720" t="s">
        <v>29801</v>
      </c>
      <c r="D19720" t="s">
        <v>58356</v>
      </c>
      <c r="E19720" t="b">
        <v>0</v>
      </c>
      <c r="F19720" t="s">
        <v>11622</v>
      </c>
      <c r="L19720">
        <v>0</v>
      </c>
      <c r="M19720">
        <v>2</v>
      </c>
      <c r="N19720">
        <v>6</v>
      </c>
    </row>
    <row r="19721" spans="1:15">
      <c r="A19721" t="s">
        <v>58357</v>
      </c>
      <c r="B19721" t="s">
        <v>367</v>
      </c>
      <c r="C19721" t="s">
        <v>27507</v>
      </c>
      <c r="D19721" t="s">
        <v>58358</v>
      </c>
      <c r="E19721" t="b">
        <v>0</v>
      </c>
      <c r="F19721" t="s">
        <v>11624</v>
      </c>
      <c r="G19721">
        <v>-17.700600000000001</v>
      </c>
      <c r="H19721">
        <v>168.37700000000001</v>
      </c>
      <c r="I19721" t="s">
        <v>58359</v>
      </c>
      <c r="L19721">
        <v>0</v>
      </c>
      <c r="M19721">
        <v>0</v>
      </c>
      <c r="N19721">
        <v>0</v>
      </c>
      <c r="O19721" t="s">
        <v>12719</v>
      </c>
    </row>
    <row r="19722" spans="1:15">
      <c r="A19722" t="s">
        <v>58360</v>
      </c>
      <c r="B19722" t="s">
        <v>367</v>
      </c>
      <c r="C19722" t="s">
        <v>42161</v>
      </c>
      <c r="D19722" t="s">
        <v>58361</v>
      </c>
      <c r="E19722" t="b">
        <v>0</v>
      </c>
      <c r="F19722" t="s">
        <v>11624</v>
      </c>
      <c r="G19722">
        <v>-16.511600000000001</v>
      </c>
      <c r="H19722">
        <v>167.477</v>
      </c>
      <c r="I19722" t="s">
        <v>58362</v>
      </c>
      <c r="L19722">
        <v>0</v>
      </c>
      <c r="M19722">
        <v>0</v>
      </c>
      <c r="N19722">
        <v>0</v>
      </c>
      <c r="O19722" t="s">
        <v>12719</v>
      </c>
    </row>
    <row r="19723" spans="1:15">
      <c r="A19723" t="s">
        <v>58363</v>
      </c>
      <c r="B19723" t="s">
        <v>367</v>
      </c>
      <c r="C19723" t="s">
        <v>48645</v>
      </c>
      <c r="D19723" t="s">
        <v>58364</v>
      </c>
      <c r="E19723" t="b">
        <v>0</v>
      </c>
      <c r="F19723" t="s">
        <v>11610</v>
      </c>
      <c r="L19723">
        <v>0</v>
      </c>
      <c r="M19723">
        <v>0</v>
      </c>
      <c r="N19723">
        <v>0</v>
      </c>
    </row>
    <row r="19724" spans="1:15">
      <c r="A19724" t="s">
        <v>14736</v>
      </c>
      <c r="B19724" t="s">
        <v>367</v>
      </c>
      <c r="C19724" t="s">
        <v>13402</v>
      </c>
      <c r="D19724" t="s">
        <v>58365</v>
      </c>
      <c r="E19724" t="b">
        <v>0</v>
      </c>
      <c r="F19724" t="s">
        <v>11624</v>
      </c>
      <c r="G19724">
        <v>-16.297499999999999</v>
      </c>
      <c r="H19724">
        <v>168.21100000000001</v>
      </c>
      <c r="I19724" t="s">
        <v>58366</v>
      </c>
      <c r="L19724">
        <v>0</v>
      </c>
      <c r="M19724">
        <v>0</v>
      </c>
      <c r="N19724">
        <v>6</v>
      </c>
      <c r="O19724" t="s">
        <v>12719</v>
      </c>
    </row>
    <row r="19725" spans="1:15">
      <c r="A19725" t="s">
        <v>58367</v>
      </c>
      <c r="B19725" t="s">
        <v>367</v>
      </c>
      <c r="C19725" t="s">
        <v>11080</v>
      </c>
      <c r="D19725" t="s">
        <v>58368</v>
      </c>
      <c r="E19725" t="b">
        <v>0</v>
      </c>
      <c r="F19725" t="s">
        <v>11610</v>
      </c>
      <c r="L19725">
        <v>0</v>
      </c>
      <c r="M19725">
        <v>0</v>
      </c>
      <c r="N19725">
        <v>0</v>
      </c>
    </row>
    <row r="19726" spans="1:15">
      <c r="A19726" t="s">
        <v>58369</v>
      </c>
      <c r="B19726" t="s">
        <v>367</v>
      </c>
      <c r="C19726" t="s">
        <v>11080</v>
      </c>
      <c r="D19726" t="s">
        <v>58370</v>
      </c>
      <c r="E19726" t="b">
        <v>0</v>
      </c>
      <c r="F19726" t="s">
        <v>11610</v>
      </c>
      <c r="L19726">
        <v>0</v>
      </c>
      <c r="M19726">
        <v>0</v>
      </c>
      <c r="N19726">
        <v>0</v>
      </c>
    </row>
    <row r="19727" spans="1:15">
      <c r="A19727" t="s">
        <v>58371</v>
      </c>
      <c r="B19727" t="s">
        <v>367</v>
      </c>
      <c r="C19727" t="s">
        <v>11067</v>
      </c>
      <c r="D19727" t="s">
        <v>58372</v>
      </c>
      <c r="E19727" t="b">
        <v>0</v>
      </c>
      <c r="F19727" t="s">
        <v>11610</v>
      </c>
      <c r="L19727">
        <v>0</v>
      </c>
      <c r="M19727">
        <v>0</v>
      </c>
      <c r="N19727">
        <v>0</v>
      </c>
    </row>
    <row r="19728" spans="1:15">
      <c r="A19728" t="s">
        <v>27767</v>
      </c>
      <c r="B19728" t="s">
        <v>367</v>
      </c>
      <c r="C19728" t="s">
        <v>2796</v>
      </c>
      <c r="D19728" t="s">
        <v>58373</v>
      </c>
      <c r="E19728" t="b">
        <v>0</v>
      </c>
      <c r="F19728" t="s">
        <v>11624</v>
      </c>
      <c r="G19728">
        <v>-9.7566299999999995</v>
      </c>
      <c r="H19728">
        <v>-138.97900000000001</v>
      </c>
      <c r="I19728" t="s">
        <v>58374</v>
      </c>
      <c r="L19728">
        <v>0</v>
      </c>
      <c r="M19728">
        <v>0</v>
      </c>
      <c r="N19728">
        <v>3</v>
      </c>
      <c r="O19728" t="s">
        <v>15193</v>
      </c>
    </row>
    <row r="19729" spans="1:15">
      <c r="A19729" t="s">
        <v>58375</v>
      </c>
      <c r="B19729" t="s">
        <v>367</v>
      </c>
      <c r="C19729" t="s">
        <v>1592</v>
      </c>
      <c r="D19729" t="s">
        <v>58376</v>
      </c>
      <c r="E19729" t="b">
        <v>0</v>
      </c>
      <c r="F19729" t="s">
        <v>11610</v>
      </c>
      <c r="L19729">
        <v>0</v>
      </c>
      <c r="M19729">
        <v>0</v>
      </c>
      <c r="N19729">
        <v>0</v>
      </c>
    </row>
    <row r="19730" spans="1:15">
      <c r="A19730" t="s">
        <v>13765</v>
      </c>
      <c r="B19730" t="s">
        <v>367</v>
      </c>
      <c r="C19730" t="s">
        <v>47098</v>
      </c>
      <c r="D19730" t="s">
        <v>58377</v>
      </c>
      <c r="E19730" t="b">
        <v>0</v>
      </c>
      <c r="F19730" t="s">
        <v>11622</v>
      </c>
      <c r="L19730">
        <v>5</v>
      </c>
      <c r="M19730">
        <v>9</v>
      </c>
      <c r="N19730">
        <v>14</v>
      </c>
    </row>
    <row r="19731" spans="1:15">
      <c r="A19731" t="s">
        <v>49265</v>
      </c>
      <c r="B19731" t="s">
        <v>367</v>
      </c>
      <c r="C19731" t="s">
        <v>38630</v>
      </c>
      <c r="D19731" t="s">
        <v>58378</v>
      </c>
      <c r="E19731" t="b">
        <v>0</v>
      </c>
      <c r="F19731" t="s">
        <v>11624</v>
      </c>
      <c r="G19731">
        <v>-19.579529999999998</v>
      </c>
      <c r="H19731">
        <v>169.35603</v>
      </c>
      <c r="I19731" t="s">
        <v>58379</v>
      </c>
      <c r="L19731">
        <v>0</v>
      </c>
      <c r="M19731">
        <v>0</v>
      </c>
      <c r="N19731">
        <v>2</v>
      </c>
      <c r="O19731" t="s">
        <v>12719</v>
      </c>
    </row>
    <row r="19732" spans="1:15">
      <c r="A19732" t="s">
        <v>58380</v>
      </c>
      <c r="B19732" t="s">
        <v>367</v>
      </c>
      <c r="C19732" t="s">
        <v>7437</v>
      </c>
      <c r="D19732" t="s">
        <v>58381</v>
      </c>
      <c r="E19732" t="b">
        <v>0</v>
      </c>
      <c r="F19732" t="s">
        <v>11610</v>
      </c>
      <c r="L19732">
        <v>0</v>
      </c>
      <c r="M19732">
        <v>0</v>
      </c>
      <c r="N19732">
        <v>0</v>
      </c>
    </row>
    <row r="19733" spans="1:15">
      <c r="A19733" t="s">
        <v>58382</v>
      </c>
      <c r="B19733" t="s">
        <v>367</v>
      </c>
      <c r="C19733" t="s">
        <v>34285</v>
      </c>
      <c r="D19733" t="s">
        <v>58383</v>
      </c>
      <c r="E19733" t="b">
        <v>0</v>
      </c>
      <c r="F19733" t="s">
        <v>11610</v>
      </c>
      <c r="L19733">
        <v>0</v>
      </c>
      <c r="M19733">
        <v>0</v>
      </c>
      <c r="N19733">
        <v>0</v>
      </c>
    </row>
    <row r="19734" spans="1:15">
      <c r="A19734" t="s">
        <v>58384</v>
      </c>
      <c r="B19734" t="s">
        <v>367</v>
      </c>
      <c r="C19734" t="s">
        <v>21555</v>
      </c>
      <c r="D19734" t="s">
        <v>58385</v>
      </c>
      <c r="E19734" t="b">
        <v>0</v>
      </c>
      <c r="F19734" t="s">
        <v>11610</v>
      </c>
      <c r="L19734">
        <v>0</v>
      </c>
      <c r="M19734">
        <v>0</v>
      </c>
      <c r="N19734">
        <v>0</v>
      </c>
    </row>
    <row r="19735" spans="1:15">
      <c r="A19735" t="s">
        <v>13306</v>
      </c>
      <c r="B19735" t="s">
        <v>367</v>
      </c>
      <c r="C19735" t="s">
        <v>17862</v>
      </c>
      <c r="D19735" t="s">
        <v>58386</v>
      </c>
      <c r="E19735" t="b">
        <v>0</v>
      </c>
      <c r="F19735" t="s">
        <v>11622</v>
      </c>
      <c r="L19735">
        <v>7</v>
      </c>
      <c r="M19735">
        <v>17</v>
      </c>
      <c r="N19735">
        <v>18</v>
      </c>
    </row>
    <row r="19736" spans="1:15">
      <c r="A19736" t="s">
        <v>58387</v>
      </c>
      <c r="B19736" t="s">
        <v>367</v>
      </c>
      <c r="C19736" t="s">
        <v>43009</v>
      </c>
      <c r="D19736" t="s">
        <v>58388</v>
      </c>
      <c r="E19736" t="b">
        <v>0</v>
      </c>
      <c r="F19736" t="s">
        <v>11610</v>
      </c>
      <c r="L19736">
        <v>0</v>
      </c>
      <c r="M19736">
        <v>0</v>
      </c>
      <c r="N19736">
        <v>0</v>
      </c>
    </row>
    <row r="19737" spans="1:15">
      <c r="A19737" t="s">
        <v>58389</v>
      </c>
      <c r="B19737" t="s">
        <v>367</v>
      </c>
      <c r="C19737" t="s">
        <v>20600</v>
      </c>
      <c r="D19737" t="s">
        <v>58390</v>
      </c>
      <c r="E19737" t="b">
        <v>0</v>
      </c>
      <c r="F19737" t="s">
        <v>11610</v>
      </c>
      <c r="L19737">
        <v>0</v>
      </c>
      <c r="M19737">
        <v>0</v>
      </c>
      <c r="N19737">
        <v>0</v>
      </c>
    </row>
    <row r="19738" spans="1:15">
      <c r="A19738" t="s">
        <v>24045</v>
      </c>
      <c r="B19738" t="s">
        <v>367</v>
      </c>
      <c r="C19738" t="s">
        <v>44347</v>
      </c>
      <c r="D19738" t="s">
        <v>58391</v>
      </c>
      <c r="E19738" t="b">
        <v>0</v>
      </c>
      <c r="F19738" t="s">
        <v>11624</v>
      </c>
      <c r="G19738">
        <v>-7.0375100000000002</v>
      </c>
      <c r="H19738">
        <v>146.40899999999999</v>
      </c>
      <c r="I19738" t="s">
        <v>58392</v>
      </c>
      <c r="L19738">
        <v>0</v>
      </c>
      <c r="M19738">
        <v>0</v>
      </c>
      <c r="N19738">
        <v>2</v>
      </c>
      <c r="O19738" t="s">
        <v>11660</v>
      </c>
    </row>
    <row r="19739" spans="1:15">
      <c r="A19739" t="s">
        <v>19971</v>
      </c>
      <c r="B19739" t="s">
        <v>367</v>
      </c>
      <c r="C19739" t="s">
        <v>31742</v>
      </c>
      <c r="D19739" t="s">
        <v>58393</v>
      </c>
      <c r="E19739" t="b">
        <v>0</v>
      </c>
      <c r="F19739" t="s">
        <v>11622</v>
      </c>
      <c r="L19739">
        <v>3</v>
      </c>
      <c r="M19739">
        <v>13</v>
      </c>
      <c r="N19739">
        <v>16</v>
      </c>
    </row>
    <row r="19740" spans="1:15">
      <c r="A19740" t="s">
        <v>39877</v>
      </c>
      <c r="B19740" t="s">
        <v>367</v>
      </c>
      <c r="C19740" t="s">
        <v>26188</v>
      </c>
      <c r="D19740" t="s">
        <v>58394</v>
      </c>
      <c r="E19740" t="b">
        <v>0</v>
      </c>
      <c r="F19740" t="s">
        <v>11622</v>
      </c>
      <c r="L19740">
        <v>1</v>
      </c>
      <c r="M19740">
        <v>5</v>
      </c>
      <c r="N19740">
        <v>3</v>
      </c>
    </row>
    <row r="19741" spans="1:15">
      <c r="A19741" t="s">
        <v>58395</v>
      </c>
      <c r="B19741" t="s">
        <v>367</v>
      </c>
      <c r="C19741" t="s">
        <v>26192</v>
      </c>
      <c r="D19741" t="s">
        <v>58396</v>
      </c>
      <c r="E19741" t="b">
        <v>0</v>
      </c>
      <c r="F19741" t="s">
        <v>11610</v>
      </c>
      <c r="L19741">
        <v>0</v>
      </c>
      <c r="M19741">
        <v>0</v>
      </c>
      <c r="N19741">
        <v>0</v>
      </c>
    </row>
    <row r="19742" spans="1:15">
      <c r="A19742" t="s">
        <v>43202</v>
      </c>
      <c r="B19742" t="s">
        <v>367</v>
      </c>
      <c r="C19742" t="s">
        <v>15624</v>
      </c>
      <c r="D19742" t="s">
        <v>58397</v>
      </c>
      <c r="E19742" t="b">
        <v>0</v>
      </c>
      <c r="F19742" t="s">
        <v>11622</v>
      </c>
      <c r="L19742">
        <v>2</v>
      </c>
      <c r="M19742">
        <v>8</v>
      </c>
      <c r="N19742">
        <v>0</v>
      </c>
    </row>
    <row r="19743" spans="1:15">
      <c r="A19743" t="s">
        <v>27157</v>
      </c>
      <c r="B19743" t="s">
        <v>367</v>
      </c>
      <c r="C19743" t="s">
        <v>43202</v>
      </c>
      <c r="D19743" t="s">
        <v>58398</v>
      </c>
      <c r="E19743" t="b">
        <v>0</v>
      </c>
      <c r="F19743" t="s">
        <v>11622</v>
      </c>
      <c r="L19743">
        <v>0</v>
      </c>
      <c r="M19743">
        <v>3</v>
      </c>
      <c r="N19743">
        <v>0</v>
      </c>
    </row>
    <row r="19744" spans="1:15">
      <c r="A19744" t="s">
        <v>58399</v>
      </c>
      <c r="B19744" t="s">
        <v>367</v>
      </c>
      <c r="C19744" t="s">
        <v>21566</v>
      </c>
      <c r="D19744" t="s">
        <v>58400</v>
      </c>
      <c r="E19744" t="b">
        <v>0</v>
      </c>
      <c r="F19744" t="s">
        <v>11624</v>
      </c>
      <c r="G19744">
        <v>-7.9435900000000004</v>
      </c>
      <c r="H19744">
        <v>129.80000000000001</v>
      </c>
      <c r="I19744" t="s">
        <v>58401</v>
      </c>
      <c r="L19744">
        <v>0</v>
      </c>
      <c r="M19744">
        <v>0</v>
      </c>
      <c r="N19744">
        <v>0</v>
      </c>
      <c r="O19744" t="s">
        <v>11768</v>
      </c>
    </row>
    <row r="19745" spans="1:15">
      <c r="A19745" t="s">
        <v>58402</v>
      </c>
      <c r="B19745" t="s">
        <v>367</v>
      </c>
      <c r="C19745" t="s">
        <v>16051</v>
      </c>
      <c r="D19745" t="s">
        <v>58403</v>
      </c>
      <c r="E19745" t="b">
        <v>0</v>
      </c>
      <c r="F19745" t="s">
        <v>11610</v>
      </c>
      <c r="L19745">
        <v>0</v>
      </c>
      <c r="M19745">
        <v>0</v>
      </c>
      <c r="N19745">
        <v>0</v>
      </c>
    </row>
    <row r="19746" spans="1:15">
      <c r="A19746" t="s">
        <v>58404</v>
      </c>
      <c r="B19746" t="s">
        <v>367</v>
      </c>
      <c r="C19746" t="s">
        <v>5574</v>
      </c>
      <c r="D19746" t="s">
        <v>58405</v>
      </c>
      <c r="E19746" t="b">
        <v>0</v>
      </c>
      <c r="F19746" t="s">
        <v>11610</v>
      </c>
      <c r="L19746">
        <v>0</v>
      </c>
      <c r="M19746">
        <v>0</v>
      </c>
      <c r="N19746">
        <v>0</v>
      </c>
    </row>
    <row r="19747" spans="1:15">
      <c r="A19747" t="s">
        <v>58406</v>
      </c>
      <c r="B19747" t="s">
        <v>367</v>
      </c>
      <c r="C19747" t="s">
        <v>48683</v>
      </c>
      <c r="D19747" t="s">
        <v>58407</v>
      </c>
      <c r="E19747" t="b">
        <v>0</v>
      </c>
      <c r="F19747" t="s">
        <v>11610</v>
      </c>
      <c r="L19747">
        <v>0</v>
      </c>
      <c r="M19747">
        <v>0</v>
      </c>
      <c r="N19747">
        <v>0</v>
      </c>
    </row>
    <row r="19748" spans="1:15">
      <c r="A19748" t="s">
        <v>58408</v>
      </c>
      <c r="B19748" t="s">
        <v>367</v>
      </c>
      <c r="C19748" t="s">
        <v>36827</v>
      </c>
      <c r="D19748" t="s">
        <v>58409</v>
      </c>
      <c r="E19748" t="b">
        <v>0</v>
      </c>
      <c r="F19748" t="s">
        <v>11610</v>
      </c>
      <c r="L19748">
        <v>0</v>
      </c>
      <c r="M19748">
        <v>0</v>
      </c>
      <c r="N19748">
        <v>0</v>
      </c>
    </row>
    <row r="19749" spans="1:15">
      <c r="A19749" t="s">
        <v>58410</v>
      </c>
      <c r="B19749" t="s">
        <v>367</v>
      </c>
      <c r="C19749" t="s">
        <v>25053</v>
      </c>
      <c r="D19749" t="s">
        <v>58411</v>
      </c>
      <c r="E19749" t="b">
        <v>0</v>
      </c>
      <c r="F19749" t="s">
        <v>11610</v>
      </c>
      <c r="L19749">
        <v>0</v>
      </c>
      <c r="M19749">
        <v>0</v>
      </c>
      <c r="N19749">
        <v>0</v>
      </c>
    </row>
    <row r="19750" spans="1:15">
      <c r="A19750" t="s">
        <v>56353</v>
      </c>
      <c r="B19750" t="s">
        <v>367</v>
      </c>
      <c r="C19750" t="s">
        <v>14692</v>
      </c>
      <c r="D19750" t="s">
        <v>58412</v>
      </c>
      <c r="E19750" t="b">
        <v>0</v>
      </c>
      <c r="F19750" t="s">
        <v>11622</v>
      </c>
      <c r="L19750">
        <v>0</v>
      </c>
      <c r="M19750">
        <v>2</v>
      </c>
      <c r="N19750">
        <v>3</v>
      </c>
    </row>
    <row r="19751" spans="1:15">
      <c r="A19751" t="s">
        <v>58413</v>
      </c>
      <c r="B19751" t="s">
        <v>367</v>
      </c>
      <c r="C19751" t="s">
        <v>48688</v>
      </c>
      <c r="D19751" t="s">
        <v>58414</v>
      </c>
      <c r="E19751" t="b">
        <v>0</v>
      </c>
      <c r="F19751" t="s">
        <v>11610</v>
      </c>
      <c r="L19751">
        <v>0</v>
      </c>
      <c r="M19751">
        <v>0</v>
      </c>
      <c r="N19751">
        <v>0</v>
      </c>
    </row>
    <row r="19752" spans="1:15">
      <c r="A19752" t="s">
        <v>58415</v>
      </c>
      <c r="B19752" t="s">
        <v>11627</v>
      </c>
      <c r="C19752" t="s">
        <v>11627</v>
      </c>
      <c r="D19752" t="s">
        <v>58416</v>
      </c>
      <c r="E19752" t="b">
        <v>1</v>
      </c>
      <c r="F19752" t="s">
        <v>11624</v>
      </c>
      <c r="G19752">
        <v>-3.2910200000000001</v>
      </c>
      <c r="H19752">
        <v>128.547</v>
      </c>
      <c r="I19752" t="s">
        <v>58417</v>
      </c>
      <c r="L19752">
        <v>0</v>
      </c>
      <c r="M19752">
        <v>0</v>
      </c>
      <c r="N19752">
        <v>0</v>
      </c>
      <c r="O19752" t="s">
        <v>11768</v>
      </c>
    </row>
    <row r="19753" spans="1:15">
      <c r="A19753" t="s">
        <v>58418</v>
      </c>
      <c r="B19753" t="s">
        <v>367</v>
      </c>
      <c r="C19753" t="s">
        <v>13198</v>
      </c>
      <c r="D19753" t="s">
        <v>58419</v>
      </c>
      <c r="E19753" t="b">
        <v>0</v>
      </c>
      <c r="F19753" t="s">
        <v>11610</v>
      </c>
      <c r="L19753">
        <v>0</v>
      </c>
      <c r="M19753">
        <v>0</v>
      </c>
      <c r="N19753">
        <v>0</v>
      </c>
    </row>
    <row r="19754" spans="1:15">
      <c r="A19754" t="s">
        <v>58420</v>
      </c>
      <c r="B19754" t="s">
        <v>367</v>
      </c>
      <c r="C19754" t="s">
        <v>30853</v>
      </c>
      <c r="D19754" t="s">
        <v>58421</v>
      </c>
      <c r="E19754" t="b">
        <v>0</v>
      </c>
      <c r="F19754" t="s">
        <v>11610</v>
      </c>
      <c r="L19754">
        <v>0</v>
      </c>
      <c r="M19754">
        <v>0</v>
      </c>
      <c r="N19754">
        <v>0</v>
      </c>
    </row>
    <row r="19755" spans="1:15">
      <c r="A19755" t="s">
        <v>58422</v>
      </c>
      <c r="B19755" t="s">
        <v>367</v>
      </c>
      <c r="C19755" t="s">
        <v>48695</v>
      </c>
      <c r="D19755" t="s">
        <v>58423</v>
      </c>
      <c r="E19755" t="b">
        <v>0</v>
      </c>
      <c r="F19755" t="s">
        <v>11624</v>
      </c>
      <c r="G19755">
        <v>-3.2341099999999998</v>
      </c>
      <c r="H19755">
        <v>129.148</v>
      </c>
      <c r="I19755" t="s">
        <v>58424</v>
      </c>
      <c r="L19755">
        <v>0</v>
      </c>
      <c r="M19755">
        <v>0</v>
      </c>
      <c r="N19755">
        <v>0</v>
      </c>
      <c r="O19755" t="s">
        <v>11768</v>
      </c>
    </row>
    <row r="19756" spans="1:15">
      <c r="A19756" t="s">
        <v>58425</v>
      </c>
      <c r="B19756" t="s">
        <v>367</v>
      </c>
      <c r="C19756" t="s">
        <v>39965</v>
      </c>
      <c r="D19756" t="s">
        <v>58426</v>
      </c>
      <c r="E19756" t="b">
        <v>0</v>
      </c>
      <c r="F19756" t="s">
        <v>11624</v>
      </c>
      <c r="G19756">
        <v>-8.4978300000000004</v>
      </c>
      <c r="H19756">
        <v>123.53100000000001</v>
      </c>
      <c r="I19756" t="s">
        <v>58427</v>
      </c>
      <c r="L19756">
        <v>0</v>
      </c>
      <c r="M19756">
        <v>0</v>
      </c>
      <c r="N19756">
        <v>0</v>
      </c>
      <c r="O19756" t="s">
        <v>11768</v>
      </c>
    </row>
    <row r="19757" spans="1:15">
      <c r="A19757" t="s">
        <v>58428</v>
      </c>
      <c r="B19757" t="s">
        <v>367</v>
      </c>
      <c r="C19757" t="s">
        <v>32229</v>
      </c>
      <c r="D19757" t="s">
        <v>58429</v>
      </c>
      <c r="E19757" t="b">
        <v>0</v>
      </c>
      <c r="F19757" t="s">
        <v>11610</v>
      </c>
      <c r="L19757">
        <v>0</v>
      </c>
      <c r="M19757">
        <v>0</v>
      </c>
      <c r="N19757">
        <v>0</v>
      </c>
    </row>
    <row r="19758" spans="1:15">
      <c r="A19758" t="s">
        <v>58430</v>
      </c>
      <c r="B19758" t="s">
        <v>367</v>
      </c>
      <c r="C19758" t="s">
        <v>26216</v>
      </c>
      <c r="D19758" t="s">
        <v>58431</v>
      </c>
      <c r="E19758" t="b">
        <v>0</v>
      </c>
      <c r="F19758" t="s">
        <v>11610</v>
      </c>
      <c r="L19758">
        <v>0</v>
      </c>
      <c r="M19758">
        <v>0</v>
      </c>
      <c r="N19758">
        <v>0</v>
      </c>
    </row>
    <row r="19759" spans="1:15">
      <c r="A19759" t="s">
        <v>58432</v>
      </c>
      <c r="B19759" t="s">
        <v>367</v>
      </c>
      <c r="C19759" t="s">
        <v>15561</v>
      </c>
      <c r="D19759" t="s">
        <v>58433</v>
      </c>
      <c r="E19759" t="b">
        <v>0</v>
      </c>
      <c r="F19759" t="s">
        <v>11610</v>
      </c>
      <c r="L19759">
        <v>0</v>
      </c>
      <c r="M19759">
        <v>0</v>
      </c>
      <c r="N19759">
        <v>0</v>
      </c>
    </row>
    <row r="19760" spans="1:15">
      <c r="A19760" t="s">
        <v>58434</v>
      </c>
      <c r="B19760" t="s">
        <v>367</v>
      </c>
      <c r="C19760" t="s">
        <v>42597</v>
      </c>
      <c r="D19760" t="s">
        <v>58435</v>
      </c>
      <c r="E19760" t="b">
        <v>0</v>
      </c>
      <c r="F19760" t="s">
        <v>11610</v>
      </c>
      <c r="L19760">
        <v>0</v>
      </c>
      <c r="M19760">
        <v>0</v>
      </c>
      <c r="N19760">
        <v>0</v>
      </c>
    </row>
    <row r="19761" spans="1:15">
      <c r="A19761" t="s">
        <v>58436</v>
      </c>
      <c r="B19761" t="s">
        <v>367</v>
      </c>
      <c r="C19761" t="s">
        <v>14327</v>
      </c>
      <c r="D19761" t="s">
        <v>58437</v>
      </c>
      <c r="E19761" t="b">
        <v>0</v>
      </c>
      <c r="F19761" t="s">
        <v>11610</v>
      </c>
      <c r="L19761">
        <v>0</v>
      </c>
      <c r="M19761">
        <v>0</v>
      </c>
      <c r="N19761">
        <v>0</v>
      </c>
    </row>
    <row r="19762" spans="1:15">
      <c r="A19762" t="s">
        <v>58438</v>
      </c>
      <c r="B19762" t="s">
        <v>367</v>
      </c>
      <c r="C19762" t="s">
        <v>15649</v>
      </c>
      <c r="D19762" t="s">
        <v>58439</v>
      </c>
      <c r="E19762" t="b">
        <v>0</v>
      </c>
      <c r="F19762" t="s">
        <v>11610</v>
      </c>
      <c r="L19762">
        <v>0</v>
      </c>
      <c r="M19762">
        <v>0</v>
      </c>
      <c r="N19762">
        <v>0</v>
      </c>
    </row>
    <row r="19763" spans="1:15">
      <c r="A19763" t="s">
        <v>58440</v>
      </c>
      <c r="B19763" t="s">
        <v>367</v>
      </c>
      <c r="C19763" t="s">
        <v>21586</v>
      </c>
      <c r="D19763" t="s">
        <v>58441</v>
      </c>
      <c r="E19763" t="b">
        <v>0</v>
      </c>
      <c r="F19763" t="s">
        <v>11610</v>
      </c>
      <c r="L19763">
        <v>0</v>
      </c>
      <c r="M19763">
        <v>0</v>
      </c>
      <c r="N19763">
        <v>0</v>
      </c>
    </row>
    <row r="19764" spans="1:15">
      <c r="A19764" t="s">
        <v>58442</v>
      </c>
      <c r="B19764" t="s">
        <v>367</v>
      </c>
      <c r="C19764" t="s">
        <v>44194</v>
      </c>
      <c r="D19764" t="s">
        <v>58443</v>
      </c>
      <c r="E19764" t="b">
        <v>0</v>
      </c>
      <c r="F19764" t="s">
        <v>11624</v>
      </c>
      <c r="G19764">
        <v>15.184100000000001</v>
      </c>
      <c r="H19764">
        <v>121.054</v>
      </c>
      <c r="I19764" t="s">
        <v>58444</v>
      </c>
      <c r="L19764">
        <v>0</v>
      </c>
      <c r="M19764">
        <v>0</v>
      </c>
      <c r="N19764">
        <v>0</v>
      </c>
      <c r="O19764" t="s">
        <v>11749</v>
      </c>
    </row>
    <row r="19765" spans="1:15">
      <c r="A19765" t="s">
        <v>32271</v>
      </c>
      <c r="B19765" t="s">
        <v>367</v>
      </c>
      <c r="C19765" t="s">
        <v>21916</v>
      </c>
      <c r="D19765" t="s">
        <v>58445</v>
      </c>
      <c r="E19765" t="b">
        <v>0</v>
      </c>
      <c r="F19765" t="s">
        <v>11622</v>
      </c>
      <c r="L19765">
        <v>3</v>
      </c>
      <c r="M19765">
        <v>7</v>
      </c>
      <c r="N19765">
        <v>12</v>
      </c>
    </row>
    <row r="19766" spans="1:15">
      <c r="A19766" t="s">
        <v>16687</v>
      </c>
      <c r="B19766" t="s">
        <v>367</v>
      </c>
      <c r="C19766" t="s">
        <v>20632</v>
      </c>
      <c r="D19766" t="s">
        <v>58446</v>
      </c>
      <c r="E19766" t="b">
        <v>0</v>
      </c>
      <c r="F19766" t="s">
        <v>11624</v>
      </c>
      <c r="G19766">
        <v>17.293600000000001</v>
      </c>
      <c r="H19766">
        <v>121.068</v>
      </c>
      <c r="I19766" t="s">
        <v>58447</v>
      </c>
      <c r="L19766">
        <v>0</v>
      </c>
      <c r="M19766">
        <v>0</v>
      </c>
      <c r="N19766">
        <v>4</v>
      </c>
      <c r="O19766" t="s">
        <v>11749</v>
      </c>
    </row>
    <row r="19767" spans="1:15">
      <c r="A19767" t="s">
        <v>58448</v>
      </c>
      <c r="B19767" t="s">
        <v>367</v>
      </c>
      <c r="C19767" t="s">
        <v>31885</v>
      </c>
      <c r="D19767" t="s">
        <v>58449</v>
      </c>
      <c r="E19767" t="b">
        <v>0</v>
      </c>
      <c r="F19767" t="s">
        <v>11610</v>
      </c>
      <c r="L19767">
        <v>0</v>
      </c>
      <c r="M19767">
        <v>0</v>
      </c>
      <c r="N19767">
        <v>0</v>
      </c>
    </row>
    <row r="19768" spans="1:15">
      <c r="A19768" t="s">
        <v>58450</v>
      </c>
      <c r="B19768" t="s">
        <v>367</v>
      </c>
      <c r="C19768" t="s">
        <v>34527</v>
      </c>
      <c r="D19768" t="s">
        <v>58451</v>
      </c>
      <c r="E19768" t="b">
        <v>0</v>
      </c>
      <c r="F19768" t="s">
        <v>11610</v>
      </c>
      <c r="L19768">
        <v>0</v>
      </c>
      <c r="M19768">
        <v>0</v>
      </c>
      <c r="N19768">
        <v>0</v>
      </c>
    </row>
    <row r="19769" spans="1:15">
      <c r="A19769" t="s">
        <v>58452</v>
      </c>
      <c r="B19769" t="s">
        <v>367</v>
      </c>
      <c r="C19769" t="s">
        <v>21592</v>
      </c>
      <c r="D19769" t="s">
        <v>58453</v>
      </c>
      <c r="E19769" t="b">
        <v>0</v>
      </c>
      <c r="F19769" t="s">
        <v>11624</v>
      </c>
      <c r="G19769">
        <v>13.6989</v>
      </c>
      <c r="H19769">
        <v>124.29</v>
      </c>
      <c r="I19769" t="s">
        <v>58454</v>
      </c>
      <c r="L19769">
        <v>0</v>
      </c>
      <c r="M19769">
        <v>0</v>
      </c>
      <c r="N19769">
        <v>0</v>
      </c>
      <c r="O19769" t="s">
        <v>11749</v>
      </c>
    </row>
    <row r="19770" spans="1:15">
      <c r="A19770" t="s">
        <v>55991</v>
      </c>
      <c r="B19770" t="s">
        <v>367</v>
      </c>
      <c r="C19770" t="s">
        <v>21835</v>
      </c>
      <c r="D19770" t="s">
        <v>58455</v>
      </c>
      <c r="E19770" t="b">
        <v>0</v>
      </c>
      <c r="F19770" t="s">
        <v>11622</v>
      </c>
      <c r="L19770">
        <v>1</v>
      </c>
      <c r="M19770">
        <v>3</v>
      </c>
      <c r="N19770">
        <v>3</v>
      </c>
    </row>
    <row r="19771" spans="1:15">
      <c r="A19771" t="s">
        <v>20117</v>
      </c>
      <c r="B19771" t="s">
        <v>367</v>
      </c>
      <c r="C19771" t="s">
        <v>21816</v>
      </c>
      <c r="D19771" t="s">
        <v>58456</v>
      </c>
      <c r="E19771" t="b">
        <v>0</v>
      </c>
      <c r="F19771" t="s">
        <v>11622</v>
      </c>
      <c r="L19771">
        <v>2</v>
      </c>
      <c r="M19771">
        <v>4</v>
      </c>
      <c r="N19771">
        <v>4</v>
      </c>
    </row>
    <row r="19772" spans="1:15">
      <c r="A19772" t="s">
        <v>58457</v>
      </c>
      <c r="B19772" t="s">
        <v>367</v>
      </c>
      <c r="C19772" t="s">
        <v>19911</v>
      </c>
      <c r="D19772" t="s">
        <v>58458</v>
      </c>
      <c r="E19772" t="b">
        <v>0</v>
      </c>
      <c r="F19772" t="s">
        <v>11624</v>
      </c>
      <c r="G19772">
        <v>8.67624</v>
      </c>
      <c r="H19772">
        <v>117.36</v>
      </c>
      <c r="I19772" t="s">
        <v>58459</v>
      </c>
      <c r="L19772">
        <v>0</v>
      </c>
      <c r="M19772">
        <v>0</v>
      </c>
      <c r="N19772">
        <v>0</v>
      </c>
      <c r="O19772" t="s">
        <v>11749</v>
      </c>
    </row>
    <row r="19773" spans="1:15">
      <c r="A19773" t="s">
        <v>58460</v>
      </c>
      <c r="B19773" t="s">
        <v>367</v>
      </c>
      <c r="C19773" t="s">
        <v>19910</v>
      </c>
      <c r="D19773" t="s">
        <v>58461</v>
      </c>
      <c r="E19773" t="b">
        <v>0</v>
      </c>
      <c r="F19773" t="s">
        <v>11610</v>
      </c>
      <c r="L19773">
        <v>0</v>
      </c>
      <c r="M19773">
        <v>0</v>
      </c>
      <c r="N19773">
        <v>0</v>
      </c>
    </row>
    <row r="19774" spans="1:15">
      <c r="A19774" t="s">
        <v>16054</v>
      </c>
      <c r="B19774" t="s">
        <v>367</v>
      </c>
      <c r="C19774" t="s">
        <v>16229</v>
      </c>
      <c r="D19774" t="s">
        <v>58462</v>
      </c>
      <c r="E19774" t="b">
        <v>0</v>
      </c>
      <c r="F19774" t="s">
        <v>11624</v>
      </c>
      <c r="G19774">
        <v>4.7558360000000004</v>
      </c>
      <c r="H19774">
        <v>119.483887</v>
      </c>
      <c r="I19774" t="s">
        <v>58463</v>
      </c>
      <c r="L19774">
        <v>0</v>
      </c>
      <c r="M19774">
        <v>0</v>
      </c>
      <c r="N19774">
        <v>17</v>
      </c>
      <c r="O19774" t="s">
        <v>58464</v>
      </c>
    </row>
    <row r="19775" spans="1:15">
      <c r="A19775" t="s">
        <v>25613</v>
      </c>
      <c r="B19775" t="s">
        <v>367</v>
      </c>
      <c r="C19775" t="s">
        <v>17087</v>
      </c>
      <c r="D19775" t="s">
        <v>58465</v>
      </c>
      <c r="E19775" t="b">
        <v>0</v>
      </c>
      <c r="F19775" t="s">
        <v>11622</v>
      </c>
      <c r="L19775">
        <v>11</v>
      </c>
      <c r="M19775">
        <v>16</v>
      </c>
      <c r="N19775">
        <v>16</v>
      </c>
    </row>
    <row r="19776" spans="1:15">
      <c r="A19776" t="s">
        <v>58466</v>
      </c>
      <c r="B19776" t="s">
        <v>367</v>
      </c>
      <c r="C19776" t="s">
        <v>16979</v>
      </c>
      <c r="D19776" t="s">
        <v>58467</v>
      </c>
      <c r="E19776" t="b">
        <v>0</v>
      </c>
      <c r="F19776" t="s">
        <v>11624</v>
      </c>
      <c r="G19776">
        <v>-22.8</v>
      </c>
      <c r="H19776">
        <v>47.82</v>
      </c>
      <c r="I19776" t="s">
        <v>58468</v>
      </c>
      <c r="L19776">
        <v>0</v>
      </c>
      <c r="M19776">
        <v>0</v>
      </c>
      <c r="N19776">
        <v>0</v>
      </c>
      <c r="O19776" t="s">
        <v>14012</v>
      </c>
    </row>
    <row r="19777" spans="1:15">
      <c r="A19777" t="s">
        <v>16174</v>
      </c>
      <c r="B19777" t="s">
        <v>367</v>
      </c>
      <c r="C19777" t="s">
        <v>17087</v>
      </c>
      <c r="D19777" t="s">
        <v>58469</v>
      </c>
      <c r="E19777" t="b">
        <v>0</v>
      </c>
      <c r="F19777" t="s">
        <v>11622</v>
      </c>
      <c r="L19777">
        <v>0</v>
      </c>
      <c r="M19777">
        <v>2</v>
      </c>
      <c r="N19777">
        <v>5</v>
      </c>
    </row>
    <row r="19778" spans="1:15">
      <c r="A19778" t="s">
        <v>33211</v>
      </c>
      <c r="B19778" t="s">
        <v>367</v>
      </c>
      <c r="C19778" t="s">
        <v>18430</v>
      </c>
      <c r="D19778" t="s">
        <v>58470</v>
      </c>
      <c r="E19778" t="b">
        <v>0</v>
      </c>
      <c r="F19778" t="s">
        <v>11622</v>
      </c>
      <c r="L19778">
        <v>0</v>
      </c>
      <c r="M19778">
        <v>5</v>
      </c>
      <c r="N19778">
        <v>4</v>
      </c>
    </row>
    <row r="19779" spans="1:15">
      <c r="A19779" t="s">
        <v>20084</v>
      </c>
      <c r="B19779" t="s">
        <v>367</v>
      </c>
      <c r="C19779" t="s">
        <v>4363</v>
      </c>
      <c r="D19779" t="s">
        <v>58471</v>
      </c>
      <c r="E19779" t="b">
        <v>0</v>
      </c>
      <c r="F19779" t="s">
        <v>11622</v>
      </c>
      <c r="L19779">
        <v>13</v>
      </c>
      <c r="M19779">
        <v>30</v>
      </c>
      <c r="N19779">
        <v>65</v>
      </c>
    </row>
    <row r="19780" spans="1:15">
      <c r="A19780" t="s">
        <v>58472</v>
      </c>
      <c r="B19780" t="s">
        <v>367</v>
      </c>
      <c r="C19780" t="s">
        <v>19953</v>
      </c>
      <c r="D19780" t="s">
        <v>58473</v>
      </c>
      <c r="E19780" t="b">
        <v>0</v>
      </c>
      <c r="F19780" t="s">
        <v>11610</v>
      </c>
      <c r="L19780">
        <v>0</v>
      </c>
      <c r="M19780">
        <v>0</v>
      </c>
      <c r="N19780">
        <v>0</v>
      </c>
    </row>
    <row r="19781" spans="1:15">
      <c r="A19781" t="s">
        <v>16239</v>
      </c>
      <c r="B19781" t="s">
        <v>367</v>
      </c>
      <c r="C19781" t="s">
        <v>48744</v>
      </c>
      <c r="D19781" t="s">
        <v>58474</v>
      </c>
      <c r="E19781" t="b">
        <v>0</v>
      </c>
      <c r="F19781" t="s">
        <v>11622</v>
      </c>
      <c r="L19781">
        <v>0</v>
      </c>
      <c r="M19781">
        <v>5</v>
      </c>
      <c r="N19781">
        <v>0</v>
      </c>
    </row>
    <row r="19782" spans="1:15">
      <c r="A19782" t="s">
        <v>15694</v>
      </c>
      <c r="B19782" t="s">
        <v>367</v>
      </c>
      <c r="C19782" t="s">
        <v>34157</v>
      </c>
      <c r="D19782" t="s">
        <v>58475</v>
      </c>
      <c r="E19782" t="b">
        <v>0</v>
      </c>
      <c r="F19782" t="s">
        <v>11622</v>
      </c>
      <c r="L19782">
        <v>1</v>
      </c>
      <c r="M19782">
        <v>6</v>
      </c>
      <c r="N19782">
        <v>13</v>
      </c>
    </row>
    <row r="19783" spans="1:15">
      <c r="A19783" t="s">
        <v>58476</v>
      </c>
      <c r="B19783" t="s">
        <v>367</v>
      </c>
      <c r="C19783" t="s">
        <v>16493</v>
      </c>
      <c r="D19783" t="s">
        <v>58477</v>
      </c>
      <c r="E19783" t="b">
        <v>0</v>
      </c>
      <c r="F19783" t="s">
        <v>11610</v>
      </c>
      <c r="L19783">
        <v>0</v>
      </c>
      <c r="M19783">
        <v>0</v>
      </c>
      <c r="N19783">
        <v>0</v>
      </c>
    </row>
    <row r="19784" spans="1:15">
      <c r="A19784" t="s">
        <v>20380</v>
      </c>
      <c r="B19784" t="s">
        <v>367</v>
      </c>
      <c r="C19784" t="s">
        <v>26241</v>
      </c>
      <c r="D19784" t="s">
        <v>58478</v>
      </c>
      <c r="E19784" t="b">
        <v>0</v>
      </c>
      <c r="F19784" t="s">
        <v>11622</v>
      </c>
      <c r="L19784">
        <v>15</v>
      </c>
      <c r="M19784">
        <v>27</v>
      </c>
      <c r="N19784">
        <v>74</v>
      </c>
    </row>
    <row r="19785" spans="1:15">
      <c r="A19785" t="s">
        <v>58479</v>
      </c>
      <c r="B19785" t="s">
        <v>367</v>
      </c>
      <c r="C19785" t="s">
        <v>4580</v>
      </c>
      <c r="D19785" t="s">
        <v>58480</v>
      </c>
      <c r="E19785" t="b">
        <v>0</v>
      </c>
      <c r="F19785" t="s">
        <v>11610</v>
      </c>
      <c r="L19785">
        <v>0</v>
      </c>
      <c r="M19785">
        <v>0</v>
      </c>
      <c r="N19785">
        <v>0</v>
      </c>
    </row>
    <row r="19786" spans="1:15">
      <c r="A19786" t="s">
        <v>58481</v>
      </c>
      <c r="B19786" t="s">
        <v>367</v>
      </c>
      <c r="C19786" t="s">
        <v>4467</v>
      </c>
      <c r="D19786" t="s">
        <v>58482</v>
      </c>
      <c r="E19786" t="b">
        <v>0</v>
      </c>
      <c r="F19786" t="s">
        <v>11610</v>
      </c>
      <c r="L19786">
        <v>0</v>
      </c>
      <c r="M19786">
        <v>0</v>
      </c>
      <c r="N19786">
        <v>0</v>
      </c>
    </row>
    <row r="19787" spans="1:15">
      <c r="A19787" t="s">
        <v>58483</v>
      </c>
      <c r="B19787" t="s">
        <v>11834</v>
      </c>
      <c r="C19787" t="s">
        <v>37134</v>
      </c>
      <c r="D19787" t="s">
        <v>58484</v>
      </c>
      <c r="E19787" t="b">
        <v>0</v>
      </c>
      <c r="F19787" t="s">
        <v>11610</v>
      </c>
      <c r="L19787">
        <v>0</v>
      </c>
      <c r="M19787">
        <v>0</v>
      </c>
      <c r="N19787">
        <v>0</v>
      </c>
    </row>
    <row r="19788" spans="1:15">
      <c r="A19788" t="s">
        <v>58485</v>
      </c>
      <c r="B19788" t="s">
        <v>11834</v>
      </c>
      <c r="C19788" t="s">
        <v>21800</v>
      </c>
      <c r="D19788" t="s">
        <v>58486</v>
      </c>
      <c r="E19788" t="b">
        <v>0</v>
      </c>
      <c r="F19788" t="s">
        <v>11624</v>
      </c>
      <c r="G19788">
        <v>-3.41913</v>
      </c>
      <c r="H19788">
        <v>141.852</v>
      </c>
      <c r="I19788" t="s">
        <v>58487</v>
      </c>
      <c r="L19788">
        <v>0</v>
      </c>
      <c r="M19788">
        <v>0</v>
      </c>
      <c r="N19788">
        <v>0</v>
      </c>
      <c r="O19788" t="s">
        <v>11660</v>
      </c>
    </row>
    <row r="19789" spans="1:15">
      <c r="A19789" t="s">
        <v>58488</v>
      </c>
      <c r="B19789" t="s">
        <v>11834</v>
      </c>
      <c r="C19789" t="s">
        <v>21638</v>
      </c>
      <c r="D19789" t="s">
        <v>58489</v>
      </c>
      <c r="E19789" t="b">
        <v>0</v>
      </c>
      <c r="F19789" t="s">
        <v>11610</v>
      </c>
      <c r="L19789">
        <v>0</v>
      </c>
      <c r="M19789">
        <v>0</v>
      </c>
      <c r="N19789">
        <v>0</v>
      </c>
    </row>
    <row r="19790" spans="1:15">
      <c r="A19790" t="s">
        <v>23146</v>
      </c>
      <c r="B19790" t="s">
        <v>11615</v>
      </c>
      <c r="C19790" t="s">
        <v>18672</v>
      </c>
      <c r="D19790" t="s">
        <v>58490</v>
      </c>
      <c r="E19790" t="b">
        <v>0</v>
      </c>
      <c r="F19790" t="s">
        <v>11622</v>
      </c>
      <c r="L19790">
        <v>4</v>
      </c>
      <c r="M19790">
        <v>8</v>
      </c>
      <c r="N19790">
        <v>9</v>
      </c>
    </row>
    <row r="19791" spans="1:15">
      <c r="A19791" t="s">
        <v>58491</v>
      </c>
      <c r="B19791" t="s">
        <v>11615</v>
      </c>
      <c r="C19791" t="s">
        <v>48770</v>
      </c>
      <c r="D19791" t="s">
        <v>58492</v>
      </c>
      <c r="E19791" t="b">
        <v>0</v>
      </c>
      <c r="F19791" t="s">
        <v>11610</v>
      </c>
      <c r="L19791">
        <v>0</v>
      </c>
      <c r="M19791">
        <v>0</v>
      </c>
      <c r="N19791">
        <v>0</v>
      </c>
    </row>
    <row r="19792" spans="1:15">
      <c r="A19792" t="s">
        <v>58493</v>
      </c>
      <c r="B19792" t="s">
        <v>11615</v>
      </c>
      <c r="C19792" t="s">
        <v>46293</v>
      </c>
      <c r="D19792" t="s">
        <v>58494</v>
      </c>
      <c r="E19792" t="b">
        <v>0</v>
      </c>
      <c r="F19792" t="s">
        <v>11610</v>
      </c>
      <c r="L19792">
        <v>0</v>
      </c>
      <c r="M19792">
        <v>0</v>
      </c>
      <c r="N19792">
        <v>0</v>
      </c>
    </row>
    <row r="19793" spans="1:15">
      <c r="A19793" t="s">
        <v>58495</v>
      </c>
      <c r="B19793" t="s">
        <v>11615</v>
      </c>
      <c r="C19793" t="s">
        <v>48775</v>
      </c>
      <c r="D19793" t="s">
        <v>58496</v>
      </c>
      <c r="E19793" t="b">
        <v>0</v>
      </c>
      <c r="F19793" t="s">
        <v>11610</v>
      </c>
      <c r="L19793">
        <v>0</v>
      </c>
      <c r="M19793">
        <v>0</v>
      </c>
      <c r="N19793">
        <v>0</v>
      </c>
    </row>
    <row r="19794" spans="1:15">
      <c r="A19794" t="s">
        <v>58497</v>
      </c>
      <c r="B19794" t="s">
        <v>11615</v>
      </c>
      <c r="C19794" t="s">
        <v>21648</v>
      </c>
      <c r="D19794" t="s">
        <v>58498</v>
      </c>
      <c r="E19794" t="b">
        <v>0</v>
      </c>
      <c r="F19794" t="s">
        <v>11610</v>
      </c>
      <c r="L19794">
        <v>0</v>
      </c>
      <c r="M19794">
        <v>0</v>
      </c>
      <c r="N19794">
        <v>0</v>
      </c>
    </row>
    <row r="19795" spans="1:15">
      <c r="A19795" t="s">
        <v>58499</v>
      </c>
      <c r="B19795" t="s">
        <v>11615</v>
      </c>
      <c r="C19795" t="s">
        <v>21651</v>
      </c>
      <c r="D19795" t="s">
        <v>58500</v>
      </c>
      <c r="E19795" t="b">
        <v>0</v>
      </c>
      <c r="F19795" t="s">
        <v>11610</v>
      </c>
      <c r="L19795">
        <v>0</v>
      </c>
      <c r="M19795">
        <v>0</v>
      </c>
      <c r="N19795">
        <v>0</v>
      </c>
    </row>
    <row r="19796" spans="1:15">
      <c r="A19796" t="s">
        <v>44222</v>
      </c>
      <c r="B19796" t="s">
        <v>11615</v>
      </c>
      <c r="C19796" t="s">
        <v>32962</v>
      </c>
      <c r="D19796" t="s">
        <v>58501</v>
      </c>
      <c r="E19796" t="b">
        <v>0</v>
      </c>
      <c r="F19796" t="s">
        <v>11624</v>
      </c>
      <c r="G19796">
        <v>-6.0138499999999997</v>
      </c>
      <c r="H19796">
        <v>140.815</v>
      </c>
      <c r="I19796" t="s">
        <v>58502</v>
      </c>
      <c r="L19796">
        <v>0</v>
      </c>
      <c r="M19796">
        <v>0</v>
      </c>
      <c r="N19796">
        <v>1</v>
      </c>
      <c r="O19796" t="s">
        <v>24525</v>
      </c>
    </row>
    <row r="19797" spans="1:15">
      <c r="A19797" t="s">
        <v>58503</v>
      </c>
      <c r="B19797" t="s">
        <v>11615</v>
      </c>
      <c r="C19797" t="s">
        <v>14909</v>
      </c>
      <c r="D19797" t="s">
        <v>58504</v>
      </c>
      <c r="E19797" t="b">
        <v>0</v>
      </c>
      <c r="F19797" t="s">
        <v>11624</v>
      </c>
      <c r="G19797">
        <v>-7.3630100000000001</v>
      </c>
      <c r="H19797">
        <v>139.53800000000001</v>
      </c>
      <c r="I19797" t="s">
        <v>58505</v>
      </c>
      <c r="L19797">
        <v>0</v>
      </c>
      <c r="M19797">
        <v>0</v>
      </c>
      <c r="N19797">
        <v>0</v>
      </c>
      <c r="O19797" t="s">
        <v>11768</v>
      </c>
    </row>
    <row r="19798" spans="1:15">
      <c r="A19798" t="s">
        <v>58506</v>
      </c>
      <c r="B19798" t="s">
        <v>11615</v>
      </c>
      <c r="C19798" t="s">
        <v>15331</v>
      </c>
      <c r="D19798" t="s">
        <v>58507</v>
      </c>
      <c r="E19798" t="b">
        <v>0</v>
      </c>
      <c r="F19798" t="s">
        <v>11610</v>
      </c>
      <c r="L19798">
        <v>0</v>
      </c>
      <c r="M19798">
        <v>0</v>
      </c>
      <c r="N19798">
        <v>0</v>
      </c>
    </row>
    <row r="19799" spans="1:15">
      <c r="A19799" t="s">
        <v>11641</v>
      </c>
      <c r="B19799" t="s">
        <v>11615</v>
      </c>
      <c r="C19799" t="s">
        <v>18741</v>
      </c>
      <c r="D19799" t="s">
        <v>58508</v>
      </c>
      <c r="E19799" t="b">
        <v>0</v>
      </c>
      <c r="F19799" t="s">
        <v>11624</v>
      </c>
      <c r="G19799">
        <v>-6.35337</v>
      </c>
      <c r="H19799">
        <v>145.88300000000001</v>
      </c>
      <c r="I19799" t="s">
        <v>58509</v>
      </c>
      <c r="L19799">
        <v>0</v>
      </c>
      <c r="M19799">
        <v>0</v>
      </c>
      <c r="N19799">
        <v>6</v>
      </c>
      <c r="O19799" t="s">
        <v>11660</v>
      </c>
    </row>
    <row r="19800" spans="1:15">
      <c r="A19800" t="s">
        <v>58510</v>
      </c>
      <c r="B19800" t="s">
        <v>11794</v>
      </c>
      <c r="C19800" t="s">
        <v>28754</v>
      </c>
      <c r="D19800" t="s">
        <v>58511</v>
      </c>
      <c r="E19800" t="b">
        <v>0</v>
      </c>
      <c r="F19800" t="s">
        <v>11610</v>
      </c>
      <c r="L19800">
        <v>0</v>
      </c>
      <c r="M19800">
        <v>0</v>
      </c>
      <c r="N19800">
        <v>0</v>
      </c>
    </row>
    <row r="19801" spans="1:15">
      <c r="A19801" t="s">
        <v>58512</v>
      </c>
      <c r="B19801" t="s">
        <v>12133</v>
      </c>
      <c r="C19801" t="s">
        <v>44920</v>
      </c>
      <c r="D19801" t="s">
        <v>58513</v>
      </c>
      <c r="E19801" t="b">
        <v>0</v>
      </c>
      <c r="F19801" t="s">
        <v>11610</v>
      </c>
      <c r="L19801">
        <v>0</v>
      </c>
      <c r="M19801">
        <v>0</v>
      </c>
      <c r="N19801">
        <v>0</v>
      </c>
    </row>
    <row r="19802" spans="1:15">
      <c r="A19802" t="s">
        <v>58514</v>
      </c>
      <c r="B19802" t="s">
        <v>21668</v>
      </c>
      <c r="C19802" t="s">
        <v>21669</v>
      </c>
      <c r="D19802" t="s">
        <v>58515</v>
      </c>
      <c r="E19802" t="b">
        <v>0</v>
      </c>
      <c r="F19802" t="s">
        <v>11610</v>
      </c>
      <c r="L19802">
        <v>0</v>
      </c>
      <c r="M19802">
        <v>0</v>
      </c>
      <c r="N19802">
        <v>0</v>
      </c>
    </row>
    <row r="19803" spans="1:15">
      <c r="A19803" t="s">
        <v>58516</v>
      </c>
      <c r="B19803" t="s">
        <v>13877</v>
      </c>
      <c r="C19803" t="s">
        <v>24522</v>
      </c>
      <c r="D19803" t="s">
        <v>58517</v>
      </c>
      <c r="E19803" t="b">
        <v>0</v>
      </c>
      <c r="F19803" t="s">
        <v>11610</v>
      </c>
      <c r="L19803">
        <v>0</v>
      </c>
      <c r="M19803">
        <v>0</v>
      </c>
      <c r="N19803">
        <v>0</v>
      </c>
    </row>
    <row r="19804" spans="1:15">
      <c r="A19804" t="s">
        <v>16042</v>
      </c>
      <c r="D19804" t="s">
        <v>58518</v>
      </c>
      <c r="E19804" t="b">
        <v>0</v>
      </c>
      <c r="F19804" t="s">
        <v>11622</v>
      </c>
      <c r="L19804">
        <v>2</v>
      </c>
      <c r="M19804">
        <v>9</v>
      </c>
      <c r="N19804">
        <v>9</v>
      </c>
    </row>
    <row r="19805" spans="1:15">
      <c r="A19805" t="s">
        <v>23149</v>
      </c>
      <c r="B19805" t="s">
        <v>14524</v>
      </c>
      <c r="C19805" t="s">
        <v>14524</v>
      </c>
      <c r="D19805" t="s">
        <v>58519</v>
      </c>
      <c r="E19805" t="b">
        <v>0</v>
      </c>
      <c r="F19805" t="s">
        <v>11624</v>
      </c>
      <c r="G19805">
        <v>-8.6488899999999997</v>
      </c>
      <c r="H19805">
        <v>143.244</v>
      </c>
      <c r="I19805" t="s">
        <v>58520</v>
      </c>
      <c r="L19805">
        <v>0</v>
      </c>
      <c r="M19805">
        <v>0</v>
      </c>
      <c r="N19805">
        <v>6</v>
      </c>
      <c r="O19805" t="s">
        <v>11660</v>
      </c>
    </row>
    <row r="19806" spans="1:15">
      <c r="A19806" t="s">
        <v>58521</v>
      </c>
      <c r="B19806" t="s">
        <v>14524</v>
      </c>
      <c r="C19806" t="s">
        <v>23149</v>
      </c>
      <c r="D19806" t="s">
        <v>58522</v>
      </c>
      <c r="E19806" t="b">
        <v>0</v>
      </c>
      <c r="F19806" t="s">
        <v>11610</v>
      </c>
      <c r="L19806">
        <v>0</v>
      </c>
      <c r="M19806">
        <v>0</v>
      </c>
      <c r="N19806">
        <v>0</v>
      </c>
    </row>
    <row r="19807" spans="1:15">
      <c r="A19807" t="s">
        <v>58523</v>
      </c>
      <c r="B19807" t="s">
        <v>13353</v>
      </c>
      <c r="C19807" t="s">
        <v>13353</v>
      </c>
      <c r="D19807" t="s">
        <v>58524</v>
      </c>
      <c r="E19807" t="b">
        <v>0</v>
      </c>
      <c r="F19807" t="s">
        <v>11610</v>
      </c>
      <c r="L19807">
        <v>0</v>
      </c>
      <c r="M19807">
        <v>0</v>
      </c>
      <c r="N19807">
        <v>0</v>
      </c>
    </row>
    <row r="19808" spans="1:15">
      <c r="A19808" t="s">
        <v>58525</v>
      </c>
      <c r="B19808" t="s">
        <v>12158</v>
      </c>
      <c r="C19808" t="s">
        <v>12157</v>
      </c>
      <c r="D19808" t="s">
        <v>58526</v>
      </c>
      <c r="E19808" t="b">
        <v>0</v>
      </c>
      <c r="F19808" t="s">
        <v>11610</v>
      </c>
      <c r="L19808">
        <v>0</v>
      </c>
      <c r="M19808">
        <v>0</v>
      </c>
      <c r="N19808">
        <v>0</v>
      </c>
    </row>
    <row r="19809" spans="1:15">
      <c r="A19809" t="s">
        <v>12598</v>
      </c>
      <c r="B19809" t="s">
        <v>4342</v>
      </c>
      <c r="C19809" t="s">
        <v>48816</v>
      </c>
      <c r="D19809" t="s">
        <v>58527</v>
      </c>
      <c r="E19809" t="b">
        <v>0</v>
      </c>
      <c r="F19809" t="s">
        <v>11610</v>
      </c>
      <c r="L19809">
        <v>0</v>
      </c>
      <c r="M19809">
        <v>0</v>
      </c>
      <c r="N19809">
        <v>7</v>
      </c>
    </row>
    <row r="19810" spans="1:15">
      <c r="A19810" t="s">
        <v>58528</v>
      </c>
      <c r="B19810" t="s">
        <v>4342</v>
      </c>
      <c r="C19810" t="s">
        <v>3404</v>
      </c>
      <c r="D19810" t="s">
        <v>58529</v>
      </c>
      <c r="E19810" t="b">
        <v>0</v>
      </c>
      <c r="F19810" t="s">
        <v>11624</v>
      </c>
      <c r="G19810">
        <v>28.195499999999999</v>
      </c>
      <c r="H19810">
        <v>129.285</v>
      </c>
      <c r="I19810" t="s">
        <v>58530</v>
      </c>
      <c r="L19810">
        <v>0</v>
      </c>
      <c r="M19810">
        <v>0</v>
      </c>
      <c r="N19810">
        <v>0</v>
      </c>
      <c r="O19810" t="s">
        <v>12539</v>
      </c>
    </row>
    <row r="19811" spans="1:15">
      <c r="A19811" t="s">
        <v>58531</v>
      </c>
      <c r="B19811" t="s">
        <v>9348</v>
      </c>
      <c r="C19811" t="s">
        <v>9347</v>
      </c>
      <c r="D19811" t="s">
        <v>9346</v>
      </c>
      <c r="E19811" t="b">
        <v>0</v>
      </c>
      <c r="F19811" t="s">
        <v>11610</v>
      </c>
      <c r="L19811">
        <v>0</v>
      </c>
      <c r="M19811">
        <v>0</v>
      </c>
      <c r="N19811">
        <v>0</v>
      </c>
    </row>
    <row r="19812" spans="1:15">
      <c r="A19812" t="s">
        <v>58532</v>
      </c>
      <c r="B19812" t="s">
        <v>607</v>
      </c>
      <c r="C19812" t="s">
        <v>607</v>
      </c>
      <c r="D19812" t="s">
        <v>58533</v>
      </c>
      <c r="E19812" t="b">
        <v>0</v>
      </c>
      <c r="F19812" t="s">
        <v>11624</v>
      </c>
      <c r="G19812">
        <v>53.261600000000001</v>
      </c>
      <c r="H19812">
        <v>-132.00800000000001</v>
      </c>
      <c r="I19812" t="s">
        <v>58534</v>
      </c>
      <c r="L19812">
        <v>0</v>
      </c>
      <c r="M19812">
        <v>0</v>
      </c>
      <c r="N19812">
        <v>0</v>
      </c>
      <c r="O19812" t="s">
        <v>13049</v>
      </c>
    </row>
    <row r="19813" spans="1:15">
      <c r="A19813" t="s">
        <v>58535</v>
      </c>
      <c r="B19813" t="s">
        <v>12460</v>
      </c>
      <c r="C19813" t="s">
        <v>48831</v>
      </c>
      <c r="D19813" t="s">
        <v>58536</v>
      </c>
      <c r="E19813" t="b">
        <v>0</v>
      </c>
      <c r="F19813" t="s">
        <v>11624</v>
      </c>
      <c r="G19813">
        <v>60.782299999999999</v>
      </c>
      <c r="H19813">
        <v>-136.57300000000001</v>
      </c>
      <c r="I19813" t="s">
        <v>58537</v>
      </c>
      <c r="L19813">
        <v>0</v>
      </c>
      <c r="M19813">
        <v>0</v>
      </c>
      <c r="N19813">
        <v>0</v>
      </c>
      <c r="O19813" t="s">
        <v>13049</v>
      </c>
    </row>
    <row r="19814" spans="1:15">
      <c r="A19814" t="s">
        <v>58538</v>
      </c>
      <c r="B19814" t="s">
        <v>12460</v>
      </c>
      <c r="C19814" t="s">
        <v>21173</v>
      </c>
      <c r="D19814" t="s">
        <v>58539</v>
      </c>
      <c r="E19814" t="b">
        <v>0</v>
      </c>
      <c r="F19814" t="s">
        <v>11624</v>
      </c>
      <c r="G19814">
        <v>53.176299999999998</v>
      </c>
      <c r="H19814">
        <v>-124.452</v>
      </c>
      <c r="I19814" t="s">
        <v>58540</v>
      </c>
      <c r="L19814">
        <v>0</v>
      </c>
      <c r="M19814">
        <v>0</v>
      </c>
      <c r="N19814">
        <v>0</v>
      </c>
      <c r="O19814" t="s">
        <v>13049</v>
      </c>
    </row>
    <row r="19815" spans="1:15">
      <c r="A19815" t="s">
        <v>58541</v>
      </c>
      <c r="B19815" t="s">
        <v>12460</v>
      </c>
      <c r="C19815" t="s">
        <v>1094</v>
      </c>
      <c r="D19815" t="s">
        <v>58542</v>
      </c>
      <c r="E19815" t="b">
        <v>0</v>
      </c>
      <c r="F19815" t="s">
        <v>11624</v>
      </c>
      <c r="G19815">
        <v>59.879399999999997</v>
      </c>
      <c r="H19815">
        <v>-117.047</v>
      </c>
      <c r="I19815" t="s">
        <v>58543</v>
      </c>
      <c r="L19815">
        <v>0</v>
      </c>
      <c r="M19815">
        <v>0</v>
      </c>
      <c r="N19815">
        <v>0</v>
      </c>
      <c r="O19815" t="s">
        <v>13049</v>
      </c>
    </row>
    <row r="19816" spans="1:15">
      <c r="A19816" t="s">
        <v>32759</v>
      </c>
      <c r="B19816" t="s">
        <v>14571</v>
      </c>
      <c r="C19816" t="s">
        <v>58544</v>
      </c>
      <c r="D19816" t="s">
        <v>58545</v>
      </c>
      <c r="E19816" t="b">
        <v>0</v>
      </c>
      <c r="F19816" t="s">
        <v>11624</v>
      </c>
      <c r="G19816">
        <v>34.787300000000002</v>
      </c>
      <c r="H19816">
        <v>-106.661</v>
      </c>
      <c r="I19816" t="s">
        <v>58546</v>
      </c>
      <c r="L19816">
        <v>0</v>
      </c>
      <c r="M19816">
        <v>0</v>
      </c>
      <c r="N19816">
        <v>2</v>
      </c>
      <c r="O19816" t="s">
        <v>11944</v>
      </c>
    </row>
    <row r="19817" spans="1:15">
      <c r="A19817" t="s">
        <v>58547</v>
      </c>
      <c r="B19817" t="s">
        <v>6436</v>
      </c>
      <c r="C19817" t="s">
        <v>6435</v>
      </c>
      <c r="D19817" t="s">
        <v>58548</v>
      </c>
      <c r="E19817" t="b">
        <v>0</v>
      </c>
      <c r="F19817" t="s">
        <v>11610</v>
      </c>
      <c r="L19817">
        <v>0</v>
      </c>
      <c r="M19817">
        <v>0</v>
      </c>
      <c r="N19817">
        <v>0</v>
      </c>
    </row>
    <row r="19818" spans="1:15">
      <c r="A19818" t="s">
        <v>58549</v>
      </c>
      <c r="B19818" t="s">
        <v>9071</v>
      </c>
      <c r="C19818" t="s">
        <v>23291</v>
      </c>
      <c r="D19818" t="s">
        <v>58550</v>
      </c>
      <c r="E19818" t="b">
        <v>0</v>
      </c>
      <c r="F19818" t="s">
        <v>11610</v>
      </c>
      <c r="L19818">
        <v>0</v>
      </c>
      <c r="M19818">
        <v>0</v>
      </c>
      <c r="N19818">
        <v>0</v>
      </c>
    </row>
    <row r="19819" spans="1:15">
      <c r="A19819" t="s">
        <v>25673</v>
      </c>
      <c r="B19819" t="s">
        <v>9071</v>
      </c>
      <c r="C19819" t="s">
        <v>41256</v>
      </c>
      <c r="D19819" t="s">
        <v>58551</v>
      </c>
      <c r="E19819" t="b">
        <v>0</v>
      </c>
      <c r="F19819" t="s">
        <v>11624</v>
      </c>
      <c r="G19819">
        <v>47.262999999999998</v>
      </c>
      <c r="H19819">
        <v>-122.14100000000001</v>
      </c>
      <c r="I19819" t="s">
        <v>58552</v>
      </c>
      <c r="L19819">
        <v>0</v>
      </c>
      <c r="M19819">
        <v>0</v>
      </c>
      <c r="N19819">
        <v>6</v>
      </c>
      <c r="O19819" t="s">
        <v>11944</v>
      </c>
    </row>
    <row r="19820" spans="1:15">
      <c r="A19820" t="s">
        <v>58553</v>
      </c>
      <c r="B19820" t="s">
        <v>8146</v>
      </c>
      <c r="C19820" t="s">
        <v>312</v>
      </c>
      <c r="D19820" t="s">
        <v>58554</v>
      </c>
      <c r="E19820" t="b">
        <v>0</v>
      </c>
      <c r="F19820" t="s">
        <v>11610</v>
      </c>
      <c r="L19820">
        <v>0</v>
      </c>
      <c r="M19820">
        <v>0</v>
      </c>
      <c r="N19820">
        <v>0</v>
      </c>
    </row>
    <row r="19821" spans="1:15">
      <c r="A19821" t="s">
        <v>58555</v>
      </c>
      <c r="B19821" t="s">
        <v>12751</v>
      </c>
      <c r="C19821" t="s">
        <v>16764</v>
      </c>
      <c r="D19821" t="s">
        <v>58556</v>
      </c>
      <c r="E19821" t="b">
        <v>0</v>
      </c>
      <c r="F19821" t="s">
        <v>11610</v>
      </c>
      <c r="L19821">
        <v>0</v>
      </c>
      <c r="M19821">
        <v>0</v>
      </c>
      <c r="N19821">
        <v>0</v>
      </c>
    </row>
    <row r="19822" spans="1:15">
      <c r="A19822" t="s">
        <v>35525</v>
      </c>
      <c r="B19822" t="s">
        <v>12751</v>
      </c>
      <c r="C19822" t="s">
        <v>21691</v>
      </c>
      <c r="D19822" t="s">
        <v>58557</v>
      </c>
      <c r="E19822" t="b">
        <v>0</v>
      </c>
      <c r="F19822" t="s">
        <v>11622</v>
      </c>
      <c r="L19822">
        <v>0</v>
      </c>
      <c r="M19822">
        <v>2</v>
      </c>
      <c r="N19822">
        <v>3</v>
      </c>
    </row>
    <row r="19823" spans="1:15">
      <c r="A19823" t="s">
        <v>58558</v>
      </c>
      <c r="B19823" t="s">
        <v>12751</v>
      </c>
      <c r="C19823" t="s">
        <v>22397</v>
      </c>
      <c r="D19823" t="s">
        <v>58559</v>
      </c>
      <c r="E19823" t="b">
        <v>0</v>
      </c>
      <c r="F19823" t="s">
        <v>11610</v>
      </c>
      <c r="G19823">
        <v>37.327705999999999</v>
      </c>
      <c r="H19823">
        <v>-118.371838</v>
      </c>
      <c r="L19823">
        <v>0</v>
      </c>
      <c r="M19823">
        <v>0</v>
      </c>
      <c r="N19823">
        <v>0</v>
      </c>
    </row>
    <row r="19824" spans="1:15">
      <c r="A19824" t="s">
        <v>58560</v>
      </c>
      <c r="B19824" t="s">
        <v>12751</v>
      </c>
      <c r="C19824" t="s">
        <v>6663</v>
      </c>
      <c r="D19824" t="s">
        <v>58561</v>
      </c>
      <c r="E19824" t="b">
        <v>0</v>
      </c>
      <c r="F19824" t="s">
        <v>11624</v>
      </c>
      <c r="G19824">
        <v>27.031400000000001</v>
      </c>
      <c r="H19824">
        <v>-107.578</v>
      </c>
      <c r="I19824" t="s">
        <v>58562</v>
      </c>
      <c r="L19824">
        <v>0</v>
      </c>
      <c r="M19824">
        <v>0</v>
      </c>
      <c r="N19824">
        <v>0</v>
      </c>
      <c r="O19824" t="s">
        <v>11883</v>
      </c>
    </row>
    <row r="19825" spans="1:15">
      <c r="A19825" t="s">
        <v>22648</v>
      </c>
      <c r="B19825" t="s">
        <v>12751</v>
      </c>
      <c r="C19825" t="s">
        <v>6663</v>
      </c>
      <c r="D19825" t="s">
        <v>58563</v>
      </c>
      <c r="E19825" t="b">
        <v>0</v>
      </c>
      <c r="F19825" t="s">
        <v>11624</v>
      </c>
      <c r="G19825">
        <v>26.728200000000001</v>
      </c>
      <c r="H19825">
        <v>-106.706</v>
      </c>
      <c r="I19825" t="s">
        <v>58564</v>
      </c>
      <c r="L19825">
        <v>0</v>
      </c>
      <c r="M19825">
        <v>0</v>
      </c>
      <c r="N19825">
        <v>1</v>
      </c>
      <c r="O19825" t="s">
        <v>11883</v>
      </c>
    </row>
    <row r="19826" spans="1:15">
      <c r="A19826" t="s">
        <v>58565</v>
      </c>
      <c r="B19826" t="s">
        <v>12751</v>
      </c>
      <c r="C19826" t="s">
        <v>21699</v>
      </c>
      <c r="D19826" t="s">
        <v>58566</v>
      </c>
      <c r="E19826" t="b">
        <v>0</v>
      </c>
      <c r="F19826" t="s">
        <v>11624</v>
      </c>
      <c r="G19826">
        <v>18.396879999999999</v>
      </c>
      <c r="H19826">
        <v>-97.126549999999995</v>
      </c>
      <c r="I19826" t="s">
        <v>58567</v>
      </c>
      <c r="L19826">
        <v>0</v>
      </c>
      <c r="M19826">
        <v>0</v>
      </c>
      <c r="N19826">
        <v>0</v>
      </c>
      <c r="O19826" t="s">
        <v>11883</v>
      </c>
    </row>
    <row r="19827" spans="1:15">
      <c r="A19827" t="s">
        <v>58568</v>
      </c>
      <c r="B19827" t="s">
        <v>12751</v>
      </c>
      <c r="C19827" t="s">
        <v>26341</v>
      </c>
      <c r="D19827" t="s">
        <v>58569</v>
      </c>
      <c r="E19827" t="b">
        <v>0</v>
      </c>
      <c r="F19827" t="s">
        <v>11610</v>
      </c>
      <c r="L19827">
        <v>0</v>
      </c>
      <c r="M19827">
        <v>0</v>
      </c>
      <c r="N19827">
        <v>0</v>
      </c>
    </row>
    <row r="19828" spans="1:15">
      <c r="A19828" t="s">
        <v>58570</v>
      </c>
      <c r="B19828" t="s">
        <v>12751</v>
      </c>
      <c r="C19828" t="s">
        <v>7527</v>
      </c>
      <c r="D19828" t="s">
        <v>58571</v>
      </c>
      <c r="E19828" t="b">
        <v>0</v>
      </c>
      <c r="F19828" t="s">
        <v>11622</v>
      </c>
      <c r="L19828">
        <v>0</v>
      </c>
      <c r="M19828">
        <v>3</v>
      </c>
      <c r="N19828">
        <v>0</v>
      </c>
    </row>
    <row r="19829" spans="1:15">
      <c r="A19829" t="s">
        <v>58572</v>
      </c>
      <c r="B19829" t="s">
        <v>12751</v>
      </c>
      <c r="C19829" t="s">
        <v>58570</v>
      </c>
      <c r="D19829" t="s">
        <v>58573</v>
      </c>
      <c r="E19829" t="b">
        <v>0</v>
      </c>
      <c r="F19829" t="s">
        <v>11624</v>
      </c>
      <c r="G19829">
        <v>23.1584</v>
      </c>
      <c r="H19829">
        <v>-103.983</v>
      </c>
      <c r="I19829" t="s">
        <v>58574</v>
      </c>
      <c r="L19829">
        <v>0</v>
      </c>
      <c r="M19829">
        <v>0</v>
      </c>
      <c r="N19829">
        <v>0</v>
      </c>
      <c r="O19829" t="s">
        <v>11883</v>
      </c>
    </row>
    <row r="19830" spans="1:15">
      <c r="A19830" t="s">
        <v>58575</v>
      </c>
      <c r="B19830" t="s">
        <v>12751</v>
      </c>
      <c r="C19830" t="s">
        <v>58570</v>
      </c>
      <c r="D19830" t="s">
        <v>58576</v>
      </c>
      <c r="E19830" t="b">
        <v>0</v>
      </c>
      <c r="F19830" t="s">
        <v>11624</v>
      </c>
      <c r="G19830">
        <v>23.255299999999998</v>
      </c>
      <c r="H19830">
        <v>-104.688</v>
      </c>
      <c r="I19830" t="s">
        <v>58577</v>
      </c>
      <c r="L19830">
        <v>0</v>
      </c>
      <c r="M19830">
        <v>0</v>
      </c>
      <c r="N19830">
        <v>0</v>
      </c>
      <c r="O19830" t="s">
        <v>11883</v>
      </c>
    </row>
    <row r="19831" spans="1:15">
      <c r="A19831" t="s">
        <v>58578</v>
      </c>
      <c r="B19831" t="s">
        <v>12979</v>
      </c>
      <c r="C19831" t="s">
        <v>6048</v>
      </c>
      <c r="D19831" t="s">
        <v>58579</v>
      </c>
      <c r="E19831" t="b">
        <v>0</v>
      </c>
      <c r="F19831" t="s">
        <v>11624</v>
      </c>
      <c r="G19831">
        <v>51.407800000000002</v>
      </c>
      <c r="H19831">
        <v>-78.697100000000006</v>
      </c>
      <c r="I19831" t="s">
        <v>58580</v>
      </c>
      <c r="L19831">
        <v>0</v>
      </c>
      <c r="M19831">
        <v>0</v>
      </c>
      <c r="N19831">
        <v>0</v>
      </c>
      <c r="O19831" t="s">
        <v>13049</v>
      </c>
    </row>
    <row r="19832" spans="1:15">
      <c r="A19832" t="s">
        <v>58581</v>
      </c>
      <c r="B19832" t="s">
        <v>12979</v>
      </c>
      <c r="C19832" t="s">
        <v>614</v>
      </c>
      <c r="D19832" t="s">
        <v>58582</v>
      </c>
      <c r="E19832" t="b">
        <v>0</v>
      </c>
      <c r="F19832" t="s">
        <v>11610</v>
      </c>
      <c r="L19832">
        <v>0</v>
      </c>
      <c r="M19832">
        <v>0</v>
      </c>
      <c r="N19832">
        <v>0</v>
      </c>
    </row>
    <row r="19833" spans="1:15">
      <c r="A19833" t="s">
        <v>58583</v>
      </c>
      <c r="B19833" t="s">
        <v>21714</v>
      </c>
      <c r="C19833" t="s">
        <v>21714</v>
      </c>
      <c r="D19833" t="s">
        <v>58584</v>
      </c>
      <c r="E19833" t="b">
        <v>0</v>
      </c>
      <c r="F19833" t="s">
        <v>11610</v>
      </c>
      <c r="L19833">
        <v>0</v>
      </c>
      <c r="M19833">
        <v>0</v>
      </c>
      <c r="N19833">
        <v>0</v>
      </c>
    </row>
    <row r="19834" spans="1:15">
      <c r="A19834" t="s">
        <v>41886</v>
      </c>
      <c r="B19834" t="s">
        <v>17854</v>
      </c>
      <c r="C19834" t="s">
        <v>17854</v>
      </c>
      <c r="D19834" t="s">
        <v>58585</v>
      </c>
      <c r="E19834" t="b">
        <v>0</v>
      </c>
      <c r="F19834" t="s">
        <v>11622</v>
      </c>
      <c r="L19834">
        <v>1</v>
      </c>
      <c r="M19834">
        <v>3</v>
      </c>
      <c r="N19834">
        <v>0</v>
      </c>
    </row>
    <row r="19835" spans="1:15">
      <c r="A19835" t="s">
        <v>58586</v>
      </c>
      <c r="B19835" t="s">
        <v>21717</v>
      </c>
      <c r="C19835" t="s">
        <v>21717</v>
      </c>
      <c r="D19835" t="s">
        <v>58587</v>
      </c>
      <c r="E19835" t="b">
        <v>0</v>
      </c>
      <c r="F19835" t="s">
        <v>11624</v>
      </c>
      <c r="G19835">
        <v>38.935400000000001</v>
      </c>
      <c r="H19835">
        <v>-122.599</v>
      </c>
      <c r="I19835" t="s">
        <v>58588</v>
      </c>
      <c r="L19835">
        <v>0</v>
      </c>
      <c r="M19835">
        <v>0</v>
      </c>
      <c r="N19835">
        <v>0</v>
      </c>
      <c r="O19835" t="s">
        <v>11944</v>
      </c>
    </row>
    <row r="19836" spans="1:15">
      <c r="A19836" t="s">
        <v>35316</v>
      </c>
      <c r="B19836" t="s">
        <v>21717</v>
      </c>
      <c r="C19836" t="s">
        <v>48878</v>
      </c>
      <c r="D19836" t="s">
        <v>58589</v>
      </c>
      <c r="E19836" t="b">
        <v>0</v>
      </c>
      <c r="F19836" t="s">
        <v>11622</v>
      </c>
      <c r="L19836">
        <v>0</v>
      </c>
      <c r="M19836">
        <v>2</v>
      </c>
      <c r="N19836">
        <v>0</v>
      </c>
    </row>
    <row r="19837" spans="1:15">
      <c r="A19837" t="s">
        <v>58590</v>
      </c>
      <c r="B19837" t="s">
        <v>21717</v>
      </c>
      <c r="C19837" t="s">
        <v>35316</v>
      </c>
      <c r="D19837" t="s">
        <v>58591</v>
      </c>
      <c r="E19837" t="b">
        <v>0</v>
      </c>
      <c r="F19837" t="s">
        <v>11624</v>
      </c>
      <c r="G19837">
        <v>38.764299999999999</v>
      </c>
      <c r="H19837">
        <v>-122.545</v>
      </c>
      <c r="I19837" t="s">
        <v>58592</v>
      </c>
      <c r="L19837">
        <v>0</v>
      </c>
      <c r="M19837">
        <v>0</v>
      </c>
      <c r="N19837">
        <v>0</v>
      </c>
      <c r="O19837" t="s">
        <v>11944</v>
      </c>
    </row>
    <row r="19838" spans="1:15">
      <c r="A19838" t="s">
        <v>58593</v>
      </c>
      <c r="B19838" t="s">
        <v>17579</v>
      </c>
      <c r="C19838" t="s">
        <v>21724</v>
      </c>
      <c r="D19838" t="s">
        <v>58594</v>
      </c>
      <c r="E19838" t="b">
        <v>0</v>
      </c>
      <c r="F19838" t="s">
        <v>11624</v>
      </c>
      <c r="G19838">
        <v>38.2363</v>
      </c>
      <c r="H19838">
        <v>-120.50700000000001</v>
      </c>
      <c r="I19838" t="s">
        <v>58595</v>
      </c>
      <c r="L19838">
        <v>0</v>
      </c>
      <c r="M19838">
        <v>0</v>
      </c>
      <c r="N19838">
        <v>0</v>
      </c>
      <c r="O19838" t="s">
        <v>11944</v>
      </c>
    </row>
    <row r="19839" spans="1:15">
      <c r="A19839" t="s">
        <v>45245</v>
      </c>
      <c r="B19839" t="s">
        <v>17579</v>
      </c>
      <c r="C19839" t="s">
        <v>23471</v>
      </c>
      <c r="D19839" t="s">
        <v>58596</v>
      </c>
      <c r="E19839" t="b">
        <v>0</v>
      </c>
      <c r="F19839" t="s">
        <v>11624</v>
      </c>
      <c r="G19839">
        <v>36.787072999999999</v>
      </c>
      <c r="H19839">
        <v>-121.487098</v>
      </c>
      <c r="I19839" t="s">
        <v>58597</v>
      </c>
      <c r="L19839">
        <v>0</v>
      </c>
      <c r="M19839">
        <v>0</v>
      </c>
      <c r="N19839">
        <v>3</v>
      </c>
      <c r="O19839" t="s">
        <v>11944</v>
      </c>
    </row>
    <row r="19840" spans="1:15">
      <c r="A19840" t="s">
        <v>58598</v>
      </c>
      <c r="B19840" t="s">
        <v>8897</v>
      </c>
      <c r="C19840" t="s">
        <v>48891</v>
      </c>
      <c r="D19840" t="s">
        <v>58599</v>
      </c>
      <c r="E19840" t="b">
        <v>0</v>
      </c>
      <c r="F19840" t="s">
        <v>11610</v>
      </c>
      <c r="L19840">
        <v>0</v>
      </c>
      <c r="M19840">
        <v>0</v>
      </c>
      <c r="N19840">
        <v>0</v>
      </c>
    </row>
    <row r="19841" spans="1:15">
      <c r="A19841" t="s">
        <v>18624</v>
      </c>
      <c r="B19841" t="s">
        <v>8897</v>
      </c>
      <c r="C19841" t="s">
        <v>50893</v>
      </c>
      <c r="D19841" t="s">
        <v>58600</v>
      </c>
      <c r="E19841" t="b">
        <v>0</v>
      </c>
      <c r="F19841" t="s">
        <v>11622</v>
      </c>
      <c r="L19841">
        <v>0</v>
      </c>
      <c r="M19841">
        <v>2</v>
      </c>
      <c r="N19841">
        <v>0</v>
      </c>
    </row>
    <row r="19842" spans="1:15">
      <c r="A19842" t="s">
        <v>58601</v>
      </c>
      <c r="B19842" t="s">
        <v>13821</v>
      </c>
      <c r="C19842" t="s">
        <v>39860</v>
      </c>
      <c r="D19842" t="s">
        <v>58602</v>
      </c>
      <c r="E19842" t="b">
        <v>0</v>
      </c>
      <c r="F19842" t="s">
        <v>11610</v>
      </c>
      <c r="L19842">
        <v>0</v>
      </c>
      <c r="M19842">
        <v>0</v>
      </c>
      <c r="N19842">
        <v>0</v>
      </c>
    </row>
    <row r="19843" spans="1:15">
      <c r="A19843" t="s">
        <v>58603</v>
      </c>
      <c r="B19843" t="s">
        <v>141</v>
      </c>
      <c r="C19843" t="s">
        <v>26785</v>
      </c>
      <c r="D19843" t="s">
        <v>58604</v>
      </c>
      <c r="E19843" t="b">
        <v>0</v>
      </c>
      <c r="F19843" t="s">
        <v>11624</v>
      </c>
      <c r="G19843">
        <v>-3.3273299999999999</v>
      </c>
      <c r="H19843">
        <v>-76.527000000000001</v>
      </c>
      <c r="I19843" t="s">
        <v>58605</v>
      </c>
      <c r="L19843">
        <v>0</v>
      </c>
      <c r="M19843">
        <v>0</v>
      </c>
      <c r="N19843">
        <v>0</v>
      </c>
      <c r="O19843" t="s">
        <v>11778</v>
      </c>
    </row>
    <row r="19844" spans="1:15">
      <c r="A19844" t="s">
        <v>9095</v>
      </c>
      <c r="B19844" t="s">
        <v>141</v>
      </c>
      <c r="C19844" t="s">
        <v>19279</v>
      </c>
      <c r="D19844" t="s">
        <v>58606</v>
      </c>
      <c r="E19844" t="b">
        <v>0</v>
      </c>
      <c r="F19844" t="s">
        <v>11624</v>
      </c>
      <c r="G19844">
        <v>-20.920100000000001</v>
      </c>
      <c r="H19844">
        <v>-66.333100000000002</v>
      </c>
      <c r="I19844" t="s">
        <v>9096</v>
      </c>
      <c r="L19844">
        <v>0</v>
      </c>
      <c r="M19844">
        <v>0</v>
      </c>
      <c r="N19844">
        <v>6</v>
      </c>
      <c r="O19844" t="s">
        <v>58607</v>
      </c>
    </row>
    <row r="19845" spans="1:15">
      <c r="A19845" t="s">
        <v>58608</v>
      </c>
      <c r="B19845" t="s">
        <v>141</v>
      </c>
      <c r="C19845" t="s">
        <v>23336</v>
      </c>
      <c r="D19845" t="s">
        <v>58609</v>
      </c>
      <c r="E19845" t="b">
        <v>0</v>
      </c>
      <c r="F19845" t="s">
        <v>11624</v>
      </c>
      <c r="G19845">
        <v>-9.3099500000000006</v>
      </c>
      <c r="H19845">
        <v>-76.985399999999998</v>
      </c>
      <c r="I19845" t="s">
        <v>58610</v>
      </c>
      <c r="L19845">
        <v>0</v>
      </c>
      <c r="M19845">
        <v>0</v>
      </c>
      <c r="N19845">
        <v>0</v>
      </c>
      <c r="O19845" t="s">
        <v>11778</v>
      </c>
    </row>
    <row r="19846" spans="1:15">
      <c r="A19846" t="s">
        <v>58611</v>
      </c>
      <c r="B19846" t="s">
        <v>23217</v>
      </c>
      <c r="C19846" t="s">
        <v>47783</v>
      </c>
      <c r="D19846" t="s">
        <v>58612</v>
      </c>
      <c r="E19846" t="b">
        <v>0</v>
      </c>
      <c r="F19846" t="s">
        <v>11610</v>
      </c>
      <c r="L19846">
        <v>0</v>
      </c>
      <c r="M19846">
        <v>0</v>
      </c>
      <c r="N19846">
        <v>0</v>
      </c>
    </row>
    <row r="19847" spans="1:15">
      <c r="A19847" t="s">
        <v>12960</v>
      </c>
      <c r="B19847" t="s">
        <v>12959</v>
      </c>
      <c r="C19847" t="s">
        <v>46381</v>
      </c>
      <c r="D19847" t="s">
        <v>58613</v>
      </c>
      <c r="E19847" t="b">
        <v>0</v>
      </c>
      <c r="F19847" t="s">
        <v>11624</v>
      </c>
      <c r="G19847">
        <v>-14.370699999999999</v>
      </c>
      <c r="H19847">
        <v>-59.518700000000003</v>
      </c>
      <c r="I19847" t="s">
        <v>58614</v>
      </c>
      <c r="L19847">
        <v>0</v>
      </c>
      <c r="M19847">
        <v>0</v>
      </c>
      <c r="N19847">
        <v>12</v>
      </c>
      <c r="O19847" t="s">
        <v>11969</v>
      </c>
    </row>
    <row r="19848" spans="1:15">
      <c r="A19848" t="s">
        <v>58615</v>
      </c>
      <c r="B19848" t="s">
        <v>11770</v>
      </c>
      <c r="C19848" t="s">
        <v>2578</v>
      </c>
      <c r="D19848" t="s">
        <v>58616</v>
      </c>
      <c r="E19848" t="b">
        <v>0</v>
      </c>
      <c r="F19848" t="s">
        <v>11610</v>
      </c>
      <c r="L19848">
        <v>0</v>
      </c>
      <c r="M19848">
        <v>0</v>
      </c>
      <c r="N19848">
        <v>0</v>
      </c>
    </row>
    <row r="19849" spans="1:15">
      <c r="A19849" t="s">
        <v>58617</v>
      </c>
      <c r="B19849" t="s">
        <v>393</v>
      </c>
      <c r="C19849" t="s">
        <v>21729</v>
      </c>
      <c r="D19849" t="s">
        <v>58618</v>
      </c>
      <c r="E19849" t="b">
        <v>0</v>
      </c>
      <c r="F19849" t="s">
        <v>11624</v>
      </c>
      <c r="G19849">
        <v>-17.1417</v>
      </c>
      <c r="H19849">
        <v>-70.344200000000001</v>
      </c>
      <c r="I19849" t="s">
        <v>58619</v>
      </c>
      <c r="L19849">
        <v>0</v>
      </c>
      <c r="M19849">
        <v>0</v>
      </c>
      <c r="N19849">
        <v>0</v>
      </c>
      <c r="O19849" t="s">
        <v>58620</v>
      </c>
    </row>
    <row r="19850" spans="1:15">
      <c r="A19850" t="s">
        <v>58621</v>
      </c>
      <c r="B19850" t="s">
        <v>11965</v>
      </c>
      <c r="C19850" t="s">
        <v>5102</v>
      </c>
      <c r="D19850" t="s">
        <v>58622</v>
      </c>
      <c r="E19850" t="b">
        <v>0</v>
      </c>
      <c r="F19850" t="s">
        <v>11610</v>
      </c>
      <c r="L19850">
        <v>0</v>
      </c>
      <c r="M19850">
        <v>0</v>
      </c>
      <c r="N19850">
        <v>0</v>
      </c>
    </row>
    <row r="19851" spans="1:15">
      <c r="A19851" t="s">
        <v>58623</v>
      </c>
      <c r="B19851" t="s">
        <v>11965</v>
      </c>
      <c r="C19851" t="s">
        <v>5102</v>
      </c>
      <c r="D19851" t="s">
        <v>58624</v>
      </c>
      <c r="E19851" t="b">
        <v>0</v>
      </c>
      <c r="F19851" t="s">
        <v>11610</v>
      </c>
      <c r="L19851">
        <v>0</v>
      </c>
      <c r="M19851">
        <v>0</v>
      </c>
      <c r="N19851">
        <v>0</v>
      </c>
    </row>
    <row r="19852" spans="1:15">
      <c r="A19852" t="s">
        <v>58625</v>
      </c>
      <c r="B19852" t="s">
        <v>11879</v>
      </c>
      <c r="C19852" t="s">
        <v>21739</v>
      </c>
      <c r="D19852" t="s">
        <v>58626</v>
      </c>
      <c r="E19852" t="b">
        <v>0</v>
      </c>
      <c r="F19852" t="s">
        <v>11624</v>
      </c>
      <c r="G19852">
        <v>20.966000000000001</v>
      </c>
      <c r="H19852">
        <v>-99.334000000000003</v>
      </c>
      <c r="I19852" t="s">
        <v>58627</v>
      </c>
      <c r="L19852">
        <v>0</v>
      </c>
      <c r="M19852">
        <v>0</v>
      </c>
      <c r="N19852">
        <v>0</v>
      </c>
      <c r="O19852" t="s">
        <v>11883</v>
      </c>
    </row>
    <row r="19853" spans="1:15">
      <c r="A19853" t="s">
        <v>50399</v>
      </c>
      <c r="B19853" t="s">
        <v>11879</v>
      </c>
      <c r="C19853" t="s">
        <v>14974</v>
      </c>
      <c r="D19853" t="s">
        <v>58628</v>
      </c>
      <c r="E19853" t="b">
        <v>0</v>
      </c>
      <c r="F19853" t="s">
        <v>11624</v>
      </c>
      <c r="G19853">
        <v>16.988700000000001</v>
      </c>
      <c r="H19853">
        <v>-97.797399999999996</v>
      </c>
      <c r="I19853" t="s">
        <v>58629</v>
      </c>
      <c r="L19853">
        <v>0</v>
      </c>
      <c r="M19853">
        <v>0</v>
      </c>
      <c r="N19853">
        <v>2</v>
      </c>
      <c r="O19853" t="s">
        <v>11883</v>
      </c>
    </row>
    <row r="19854" spans="1:15">
      <c r="A19854" t="s">
        <v>58630</v>
      </c>
      <c r="B19854" t="s">
        <v>11879</v>
      </c>
      <c r="C19854" t="s">
        <v>20828</v>
      </c>
      <c r="D19854" t="s">
        <v>58631</v>
      </c>
      <c r="E19854" t="b">
        <v>0</v>
      </c>
      <c r="F19854" t="s">
        <v>11624</v>
      </c>
      <c r="G19854">
        <v>18.212299999999999</v>
      </c>
      <c r="H19854">
        <v>-97.9572</v>
      </c>
      <c r="I19854" t="s">
        <v>58632</v>
      </c>
      <c r="L19854">
        <v>0</v>
      </c>
      <c r="M19854">
        <v>0</v>
      </c>
      <c r="N19854">
        <v>0</v>
      </c>
      <c r="O19854" t="s">
        <v>11883</v>
      </c>
    </row>
    <row r="19855" spans="1:15">
      <c r="A19855" t="s">
        <v>58633</v>
      </c>
      <c r="B19855" t="s">
        <v>11879</v>
      </c>
      <c r="C19855" t="s">
        <v>14145</v>
      </c>
      <c r="D19855" t="s">
        <v>58634</v>
      </c>
      <c r="E19855" t="b">
        <v>0</v>
      </c>
      <c r="F19855" t="s">
        <v>11624</v>
      </c>
      <c r="G19855">
        <v>17.21219</v>
      </c>
      <c r="H19855">
        <v>-97.014539999999997</v>
      </c>
      <c r="I19855" t="s">
        <v>58635</v>
      </c>
      <c r="L19855">
        <v>0</v>
      </c>
      <c r="M19855">
        <v>0</v>
      </c>
      <c r="N19855">
        <v>0</v>
      </c>
      <c r="O19855" t="s">
        <v>11883</v>
      </c>
    </row>
    <row r="19856" spans="1:15">
      <c r="A19856" t="s">
        <v>13326</v>
      </c>
      <c r="B19856" t="s">
        <v>11879</v>
      </c>
      <c r="C19856" t="s">
        <v>21742</v>
      </c>
      <c r="D19856" t="s">
        <v>58636</v>
      </c>
      <c r="E19856" t="b">
        <v>0</v>
      </c>
      <c r="F19856" t="s">
        <v>11622</v>
      </c>
      <c r="L19856">
        <v>2</v>
      </c>
      <c r="M19856">
        <v>14</v>
      </c>
      <c r="N19856">
        <v>6</v>
      </c>
    </row>
    <row r="19857" spans="1:15">
      <c r="A19857" t="s">
        <v>58637</v>
      </c>
      <c r="B19857" t="s">
        <v>11879</v>
      </c>
      <c r="C19857" t="s">
        <v>13115</v>
      </c>
      <c r="D19857" t="s">
        <v>58638</v>
      </c>
      <c r="E19857" t="b">
        <v>0</v>
      </c>
      <c r="F19857" t="s">
        <v>11624</v>
      </c>
      <c r="G19857">
        <v>17.303100000000001</v>
      </c>
      <c r="H19857">
        <v>-96.377499999999998</v>
      </c>
      <c r="I19857" t="s">
        <v>58639</v>
      </c>
      <c r="L19857">
        <v>0</v>
      </c>
      <c r="M19857">
        <v>0</v>
      </c>
      <c r="N19857">
        <v>0</v>
      </c>
      <c r="O19857" t="s">
        <v>11883</v>
      </c>
    </row>
    <row r="19858" spans="1:15">
      <c r="A19858" t="s">
        <v>58640</v>
      </c>
      <c r="B19858" t="s">
        <v>11879</v>
      </c>
      <c r="C19858" t="s">
        <v>13115</v>
      </c>
      <c r="D19858" t="s">
        <v>58641</v>
      </c>
      <c r="E19858" t="b">
        <v>0</v>
      </c>
      <c r="F19858" t="s">
        <v>11624</v>
      </c>
      <c r="G19858">
        <v>17.258800000000001</v>
      </c>
      <c r="H19858">
        <v>-96.619900000000001</v>
      </c>
      <c r="I19858" t="s">
        <v>58642</v>
      </c>
      <c r="L19858">
        <v>0</v>
      </c>
      <c r="M19858">
        <v>0</v>
      </c>
      <c r="N19858">
        <v>0</v>
      </c>
      <c r="O19858" t="s">
        <v>11883</v>
      </c>
    </row>
    <row r="19859" spans="1:15">
      <c r="A19859" t="s">
        <v>16965</v>
      </c>
      <c r="B19859" t="s">
        <v>2975</v>
      </c>
      <c r="C19859" t="s">
        <v>23585</v>
      </c>
      <c r="D19859" t="s">
        <v>58643</v>
      </c>
      <c r="E19859" t="b">
        <v>0</v>
      </c>
      <c r="F19859" t="s">
        <v>11622</v>
      </c>
      <c r="L19859">
        <v>0</v>
      </c>
      <c r="M19859">
        <v>2</v>
      </c>
      <c r="N19859">
        <v>3</v>
      </c>
    </row>
    <row r="19860" spans="1:15">
      <c r="A19860" t="s">
        <v>54121</v>
      </c>
      <c r="B19860" t="s">
        <v>367</v>
      </c>
      <c r="C19860" t="s">
        <v>20832</v>
      </c>
      <c r="D19860" t="s">
        <v>58644</v>
      </c>
      <c r="E19860" t="b">
        <v>0</v>
      </c>
      <c r="F19860" t="s">
        <v>11624</v>
      </c>
      <c r="G19860">
        <v>11.3003</v>
      </c>
      <c r="H19860">
        <v>108.318</v>
      </c>
      <c r="I19860" t="s">
        <v>58645</v>
      </c>
      <c r="L19860">
        <v>0</v>
      </c>
      <c r="M19860">
        <v>0</v>
      </c>
      <c r="N19860">
        <v>1</v>
      </c>
      <c r="O19860" t="s">
        <v>15949</v>
      </c>
    </row>
    <row r="19861" spans="1:15">
      <c r="A19861" t="s">
        <v>17096</v>
      </c>
      <c r="B19861" t="s">
        <v>6455</v>
      </c>
      <c r="C19861" t="s">
        <v>41639</v>
      </c>
      <c r="D19861" t="s">
        <v>58646</v>
      </c>
      <c r="E19861" t="b">
        <v>0</v>
      </c>
      <c r="F19861" t="s">
        <v>11622</v>
      </c>
      <c r="L19861">
        <v>2</v>
      </c>
      <c r="M19861">
        <v>7</v>
      </c>
      <c r="N19861">
        <v>0</v>
      </c>
    </row>
    <row r="19862" spans="1:15">
      <c r="A19862" t="s">
        <v>44503</v>
      </c>
      <c r="B19862" t="s">
        <v>11607</v>
      </c>
      <c r="C19862" t="s">
        <v>16258</v>
      </c>
      <c r="D19862" t="s">
        <v>58647</v>
      </c>
      <c r="E19862" t="b">
        <v>0</v>
      </c>
      <c r="F19862" t="s">
        <v>11624</v>
      </c>
      <c r="G19862">
        <v>10.280900000000001</v>
      </c>
      <c r="H19862">
        <v>14.193099999999999</v>
      </c>
      <c r="I19862" t="s">
        <v>58648</v>
      </c>
      <c r="L19862">
        <v>0</v>
      </c>
      <c r="M19862">
        <v>0</v>
      </c>
      <c r="N19862">
        <v>3</v>
      </c>
      <c r="O19862" t="s">
        <v>11703</v>
      </c>
    </row>
    <row r="19863" spans="1:15">
      <c r="A19863" t="s">
        <v>58649</v>
      </c>
      <c r="B19863" t="s">
        <v>11607</v>
      </c>
      <c r="C19863" t="s">
        <v>20041</v>
      </c>
      <c r="D19863" t="s">
        <v>58650</v>
      </c>
      <c r="E19863" t="b">
        <v>0</v>
      </c>
      <c r="F19863" t="s">
        <v>11610</v>
      </c>
      <c r="L19863">
        <v>0</v>
      </c>
      <c r="M19863">
        <v>0</v>
      </c>
      <c r="N19863">
        <v>0</v>
      </c>
    </row>
    <row r="19864" spans="1:15">
      <c r="A19864" t="s">
        <v>58651</v>
      </c>
      <c r="B19864" t="s">
        <v>11607</v>
      </c>
      <c r="C19864" t="s">
        <v>15709</v>
      </c>
      <c r="D19864" t="s">
        <v>58652</v>
      </c>
      <c r="E19864" t="b">
        <v>0</v>
      </c>
      <c r="F19864" t="s">
        <v>11610</v>
      </c>
      <c r="L19864">
        <v>0</v>
      </c>
      <c r="M19864">
        <v>0</v>
      </c>
      <c r="N19864">
        <v>0</v>
      </c>
    </row>
    <row r="19865" spans="1:15">
      <c r="A19865" t="s">
        <v>58653</v>
      </c>
      <c r="B19865" t="s">
        <v>11607</v>
      </c>
      <c r="C19865" t="s">
        <v>17758</v>
      </c>
      <c r="D19865" t="s">
        <v>58654</v>
      </c>
      <c r="E19865" t="b">
        <v>0</v>
      </c>
      <c r="F19865" t="s">
        <v>11622</v>
      </c>
      <c r="L19865">
        <v>4</v>
      </c>
      <c r="M19865">
        <v>6</v>
      </c>
      <c r="N19865">
        <v>1</v>
      </c>
    </row>
    <row r="19866" spans="1:15">
      <c r="A19866" t="s">
        <v>41782</v>
      </c>
      <c r="B19866" t="s">
        <v>11607</v>
      </c>
      <c r="C19866" t="s">
        <v>40985</v>
      </c>
      <c r="D19866" t="s">
        <v>58655</v>
      </c>
      <c r="E19866" t="b">
        <v>0</v>
      </c>
      <c r="F19866" t="s">
        <v>11622</v>
      </c>
      <c r="L19866">
        <v>16</v>
      </c>
      <c r="M19866">
        <v>24</v>
      </c>
      <c r="N19866">
        <v>41</v>
      </c>
    </row>
    <row r="19867" spans="1:15">
      <c r="A19867" t="s">
        <v>58656</v>
      </c>
      <c r="B19867" t="s">
        <v>11607</v>
      </c>
      <c r="C19867" t="s">
        <v>29653</v>
      </c>
      <c r="D19867" t="s">
        <v>58657</v>
      </c>
      <c r="E19867" t="b">
        <v>0</v>
      </c>
      <c r="F19867" t="s">
        <v>11610</v>
      </c>
      <c r="L19867">
        <v>0</v>
      </c>
      <c r="M19867">
        <v>0</v>
      </c>
      <c r="N19867">
        <v>0</v>
      </c>
    </row>
    <row r="19868" spans="1:15">
      <c r="A19868" t="s">
        <v>58658</v>
      </c>
      <c r="B19868" t="s">
        <v>11607</v>
      </c>
      <c r="C19868" t="s">
        <v>11726</v>
      </c>
      <c r="D19868" t="s">
        <v>58659</v>
      </c>
      <c r="E19868" t="b">
        <v>0</v>
      </c>
      <c r="F19868" t="s">
        <v>11610</v>
      </c>
      <c r="L19868">
        <v>0</v>
      </c>
      <c r="M19868">
        <v>0</v>
      </c>
      <c r="N19868">
        <v>0</v>
      </c>
    </row>
    <row r="19869" spans="1:15">
      <c r="A19869" t="s">
        <v>37686</v>
      </c>
      <c r="B19869" t="s">
        <v>11607</v>
      </c>
      <c r="C19869" t="s">
        <v>26443</v>
      </c>
      <c r="D19869" t="s">
        <v>58660</v>
      </c>
      <c r="E19869" t="b">
        <v>0</v>
      </c>
      <c r="F19869" t="s">
        <v>11610</v>
      </c>
      <c r="L19869">
        <v>0</v>
      </c>
      <c r="M19869">
        <v>0</v>
      </c>
      <c r="N19869">
        <v>2</v>
      </c>
    </row>
    <row r="19870" spans="1:15">
      <c r="A19870" t="s">
        <v>41699</v>
      </c>
      <c r="B19870" t="s">
        <v>11607</v>
      </c>
      <c r="C19870" t="s">
        <v>40319</v>
      </c>
      <c r="D19870" t="s">
        <v>58661</v>
      </c>
      <c r="E19870" t="b">
        <v>0</v>
      </c>
      <c r="F19870" t="s">
        <v>11610</v>
      </c>
      <c r="L19870">
        <v>0</v>
      </c>
      <c r="M19870">
        <v>0</v>
      </c>
      <c r="N19870">
        <v>3</v>
      </c>
    </row>
    <row r="19871" spans="1:15">
      <c r="A19871" t="s">
        <v>51718</v>
      </c>
      <c r="B19871" t="s">
        <v>11607</v>
      </c>
      <c r="C19871" t="s">
        <v>27491</v>
      </c>
      <c r="D19871" t="s">
        <v>58662</v>
      </c>
      <c r="E19871" t="b">
        <v>0</v>
      </c>
      <c r="F19871" t="s">
        <v>11622</v>
      </c>
      <c r="L19871">
        <v>8</v>
      </c>
      <c r="M19871">
        <v>12</v>
      </c>
      <c r="N19871">
        <v>9</v>
      </c>
    </row>
    <row r="19872" spans="1:15">
      <c r="A19872" t="s">
        <v>58663</v>
      </c>
      <c r="B19872" t="s">
        <v>11607</v>
      </c>
      <c r="C19872" t="s">
        <v>26446</v>
      </c>
      <c r="D19872" t="s">
        <v>58664</v>
      </c>
      <c r="E19872" t="b">
        <v>0</v>
      </c>
      <c r="F19872" t="s">
        <v>11610</v>
      </c>
      <c r="L19872">
        <v>0</v>
      </c>
      <c r="M19872">
        <v>0</v>
      </c>
      <c r="N19872">
        <v>0</v>
      </c>
    </row>
    <row r="19873" spans="1:15">
      <c r="A19873" t="s">
        <v>58665</v>
      </c>
      <c r="B19873" t="s">
        <v>11607</v>
      </c>
      <c r="C19873" t="s">
        <v>3698</v>
      </c>
      <c r="D19873" t="s">
        <v>58666</v>
      </c>
      <c r="E19873" t="b">
        <v>0</v>
      </c>
      <c r="F19873" t="s">
        <v>11610</v>
      </c>
      <c r="L19873">
        <v>0</v>
      </c>
      <c r="M19873">
        <v>0</v>
      </c>
      <c r="N19873">
        <v>0</v>
      </c>
    </row>
    <row r="19874" spans="1:15">
      <c r="A19874" t="s">
        <v>58667</v>
      </c>
      <c r="B19874" t="s">
        <v>11607</v>
      </c>
      <c r="C19874" t="s">
        <v>48960</v>
      </c>
      <c r="D19874" t="s">
        <v>58668</v>
      </c>
      <c r="E19874" t="b">
        <v>0</v>
      </c>
      <c r="F19874" t="s">
        <v>11610</v>
      </c>
      <c r="L19874">
        <v>0</v>
      </c>
      <c r="M19874">
        <v>0</v>
      </c>
      <c r="N19874">
        <v>0</v>
      </c>
    </row>
    <row r="19875" spans="1:15">
      <c r="A19875" t="s">
        <v>58669</v>
      </c>
      <c r="B19875" t="s">
        <v>11607</v>
      </c>
      <c r="C19875" t="s">
        <v>48960</v>
      </c>
      <c r="D19875" t="s">
        <v>58670</v>
      </c>
      <c r="E19875" t="b">
        <v>0</v>
      </c>
      <c r="F19875" t="s">
        <v>11610</v>
      </c>
      <c r="L19875">
        <v>0</v>
      </c>
      <c r="M19875">
        <v>0</v>
      </c>
      <c r="N19875">
        <v>0</v>
      </c>
    </row>
    <row r="19876" spans="1:15">
      <c r="A19876" t="s">
        <v>58671</v>
      </c>
      <c r="B19876" t="s">
        <v>11607</v>
      </c>
      <c r="C19876" t="s">
        <v>26452</v>
      </c>
      <c r="D19876" t="s">
        <v>58672</v>
      </c>
      <c r="E19876" t="b">
        <v>0</v>
      </c>
      <c r="F19876" t="s">
        <v>11610</v>
      </c>
      <c r="L19876">
        <v>0</v>
      </c>
      <c r="M19876">
        <v>0</v>
      </c>
      <c r="N19876">
        <v>0</v>
      </c>
    </row>
    <row r="19877" spans="1:15">
      <c r="A19877" t="s">
        <v>58673</v>
      </c>
      <c r="B19877" t="s">
        <v>11607</v>
      </c>
      <c r="C19877" t="s">
        <v>27826</v>
      </c>
      <c r="D19877" t="s">
        <v>58674</v>
      </c>
      <c r="E19877" t="b">
        <v>0</v>
      </c>
      <c r="F19877" t="s">
        <v>11610</v>
      </c>
      <c r="L19877">
        <v>0</v>
      </c>
      <c r="M19877">
        <v>0</v>
      </c>
      <c r="N19877">
        <v>0</v>
      </c>
    </row>
    <row r="19878" spans="1:15">
      <c r="A19878" t="s">
        <v>58675</v>
      </c>
      <c r="B19878" t="s">
        <v>11607</v>
      </c>
      <c r="C19878" t="s">
        <v>23163</v>
      </c>
      <c r="D19878" t="s">
        <v>58676</v>
      </c>
      <c r="E19878" t="b">
        <v>0</v>
      </c>
      <c r="F19878" t="s">
        <v>11610</v>
      </c>
      <c r="L19878">
        <v>0</v>
      </c>
      <c r="M19878">
        <v>0</v>
      </c>
      <c r="N19878">
        <v>0</v>
      </c>
    </row>
    <row r="19879" spans="1:15">
      <c r="A19879" t="s">
        <v>13108</v>
      </c>
      <c r="B19879" t="s">
        <v>11607</v>
      </c>
      <c r="C19879" t="s">
        <v>21772</v>
      </c>
      <c r="D19879" t="s">
        <v>58677</v>
      </c>
      <c r="E19879" t="b">
        <v>0</v>
      </c>
      <c r="F19879" t="s">
        <v>11610</v>
      </c>
      <c r="L19879">
        <v>0</v>
      </c>
      <c r="M19879">
        <v>0</v>
      </c>
      <c r="N19879">
        <v>2</v>
      </c>
    </row>
    <row r="19880" spans="1:15">
      <c r="A19880" t="s">
        <v>58678</v>
      </c>
      <c r="B19880" t="s">
        <v>11607</v>
      </c>
      <c r="C19880" t="s">
        <v>13053</v>
      </c>
      <c r="D19880" t="s">
        <v>58679</v>
      </c>
      <c r="E19880" t="b">
        <v>0</v>
      </c>
      <c r="F19880" t="s">
        <v>11610</v>
      </c>
      <c r="L19880">
        <v>0</v>
      </c>
      <c r="M19880">
        <v>0</v>
      </c>
      <c r="N19880">
        <v>0</v>
      </c>
    </row>
    <row r="19881" spans="1:15">
      <c r="A19881" t="s">
        <v>58680</v>
      </c>
      <c r="B19881" t="s">
        <v>11607</v>
      </c>
      <c r="C19881" t="s">
        <v>13011</v>
      </c>
      <c r="D19881" t="s">
        <v>58681</v>
      </c>
      <c r="E19881" t="b">
        <v>0</v>
      </c>
      <c r="F19881" t="s">
        <v>11610</v>
      </c>
      <c r="L19881">
        <v>0</v>
      </c>
      <c r="M19881">
        <v>0</v>
      </c>
      <c r="N19881">
        <v>0</v>
      </c>
    </row>
    <row r="19882" spans="1:15">
      <c r="A19882" t="s">
        <v>58682</v>
      </c>
      <c r="B19882" t="s">
        <v>11607</v>
      </c>
      <c r="C19882" t="s">
        <v>13011</v>
      </c>
      <c r="D19882" t="s">
        <v>58683</v>
      </c>
      <c r="E19882" t="b">
        <v>0</v>
      </c>
      <c r="F19882" t="s">
        <v>11610</v>
      </c>
      <c r="L19882">
        <v>0</v>
      </c>
      <c r="M19882">
        <v>0</v>
      </c>
      <c r="N19882">
        <v>0</v>
      </c>
    </row>
    <row r="19883" spans="1:15">
      <c r="A19883" t="s">
        <v>27794</v>
      </c>
      <c r="B19883" t="s">
        <v>11607</v>
      </c>
      <c r="C19883" t="s">
        <v>4605</v>
      </c>
      <c r="D19883" t="s">
        <v>58684</v>
      </c>
      <c r="E19883" t="b">
        <v>0</v>
      </c>
      <c r="F19883" t="s">
        <v>11624</v>
      </c>
      <c r="G19883">
        <v>31.560099999999998</v>
      </c>
      <c r="H19883">
        <v>38.0837</v>
      </c>
      <c r="I19883" t="s">
        <v>58685</v>
      </c>
      <c r="L19883">
        <v>0</v>
      </c>
      <c r="M19883">
        <v>0</v>
      </c>
      <c r="N19883">
        <v>2</v>
      </c>
      <c r="O19883" t="s">
        <v>58686</v>
      </c>
    </row>
    <row r="19884" spans="1:15">
      <c r="A19884" t="s">
        <v>58687</v>
      </c>
      <c r="B19884" t="s">
        <v>11627</v>
      </c>
      <c r="C19884" t="s">
        <v>11627</v>
      </c>
      <c r="D19884" t="s">
        <v>58688</v>
      </c>
      <c r="E19884" t="b">
        <v>1</v>
      </c>
      <c r="F19884" t="s">
        <v>11624</v>
      </c>
      <c r="G19884">
        <v>-20.8687</v>
      </c>
      <c r="H19884">
        <v>48.110799999999998</v>
      </c>
      <c r="I19884" t="s">
        <v>58689</v>
      </c>
      <c r="L19884">
        <v>0</v>
      </c>
      <c r="M19884">
        <v>0</v>
      </c>
      <c r="N19884">
        <v>0</v>
      </c>
      <c r="O19884" t="s">
        <v>14012</v>
      </c>
    </row>
    <row r="19885" spans="1:15">
      <c r="A19885" t="s">
        <v>5688</v>
      </c>
      <c r="B19885" t="s">
        <v>11637</v>
      </c>
      <c r="C19885" t="s">
        <v>55998</v>
      </c>
      <c r="D19885" t="s">
        <v>58690</v>
      </c>
      <c r="E19885" t="b">
        <v>0</v>
      </c>
      <c r="F19885" t="s">
        <v>11624</v>
      </c>
      <c r="L19885">
        <v>0</v>
      </c>
      <c r="M19885">
        <v>0</v>
      </c>
      <c r="N19885">
        <v>0</v>
      </c>
      <c r="O19885" t="s">
        <v>13676</v>
      </c>
    </row>
    <row r="19886" spans="1:15">
      <c r="A19886" t="s">
        <v>58691</v>
      </c>
      <c r="B19886" t="s">
        <v>11894</v>
      </c>
      <c r="C19886" t="s">
        <v>14758</v>
      </c>
      <c r="D19886" t="s">
        <v>58692</v>
      </c>
      <c r="E19886" t="b">
        <v>0</v>
      </c>
      <c r="F19886" t="s">
        <v>11624</v>
      </c>
      <c r="G19886">
        <v>-10.37875</v>
      </c>
      <c r="H19886">
        <v>-74.060305999999997</v>
      </c>
      <c r="I19886" t="s">
        <v>58693</v>
      </c>
      <c r="L19886">
        <v>0</v>
      </c>
      <c r="M19886">
        <v>0</v>
      </c>
      <c r="N19886">
        <v>0</v>
      </c>
      <c r="O19886" t="s">
        <v>11778</v>
      </c>
    </row>
    <row r="19887" spans="1:15">
      <c r="A19887" t="s">
        <v>58694</v>
      </c>
      <c r="B19887" t="s">
        <v>11627</v>
      </c>
      <c r="C19887" t="s">
        <v>11627</v>
      </c>
      <c r="D19887" t="s">
        <v>58695</v>
      </c>
      <c r="E19887" t="b">
        <v>1</v>
      </c>
      <c r="F19887" t="s">
        <v>11624</v>
      </c>
      <c r="G19887">
        <v>23.058</v>
      </c>
      <c r="H19887">
        <v>101.41200000000001</v>
      </c>
      <c r="I19887" t="s">
        <v>58696</v>
      </c>
      <c r="L19887">
        <v>0</v>
      </c>
      <c r="M19887">
        <v>0</v>
      </c>
      <c r="N19887">
        <v>0</v>
      </c>
      <c r="O19887" t="s">
        <v>11905</v>
      </c>
    </row>
    <row r="19888" spans="1:15">
      <c r="A19888" t="s">
        <v>58697</v>
      </c>
      <c r="B19888" t="s">
        <v>11627</v>
      </c>
      <c r="C19888" t="s">
        <v>11627</v>
      </c>
      <c r="D19888" t="s">
        <v>58698</v>
      </c>
      <c r="E19888" t="b">
        <v>1</v>
      </c>
      <c r="F19888" t="s">
        <v>11624</v>
      </c>
      <c r="G19888">
        <v>23.847000000000001</v>
      </c>
      <c r="H19888">
        <v>100.89</v>
      </c>
      <c r="I19888" t="s">
        <v>58699</v>
      </c>
      <c r="L19888">
        <v>0</v>
      </c>
      <c r="M19888">
        <v>0</v>
      </c>
      <c r="N19888">
        <v>0</v>
      </c>
      <c r="O19888" t="s">
        <v>11905</v>
      </c>
    </row>
    <row r="19889" spans="1:14">
      <c r="A19889" t="s">
        <v>13971</v>
      </c>
      <c r="B19889" t="s">
        <v>12487</v>
      </c>
      <c r="C19889" t="s">
        <v>17180</v>
      </c>
      <c r="D19889" t="s">
        <v>58700</v>
      </c>
      <c r="E19889" t="b">
        <v>0</v>
      </c>
      <c r="F19889" t="s">
        <v>11622</v>
      </c>
      <c r="L19889">
        <v>1</v>
      </c>
      <c r="M19889">
        <v>3</v>
      </c>
      <c r="N19889">
        <v>6</v>
      </c>
    </row>
    <row r="19890" spans="1:14">
      <c r="A19890" t="s">
        <v>19274</v>
      </c>
      <c r="B19890" t="s">
        <v>11894</v>
      </c>
      <c r="C19890" t="s">
        <v>11894</v>
      </c>
      <c r="D19890" t="s">
        <v>58701</v>
      </c>
      <c r="E19890" t="b">
        <v>0</v>
      </c>
      <c r="F19890" t="s">
        <v>11622</v>
      </c>
      <c r="L19890">
        <v>16</v>
      </c>
      <c r="M19890">
        <v>25</v>
      </c>
      <c r="N19890">
        <v>7</v>
      </c>
    </row>
    <row r="19891" spans="1:14">
      <c r="A19891" t="s">
        <v>21721</v>
      </c>
      <c r="B19891" t="s">
        <v>16997</v>
      </c>
      <c r="C19891" t="s">
        <v>16997</v>
      </c>
      <c r="D19891" t="s">
        <v>58702</v>
      </c>
      <c r="E19891" t="b">
        <v>0</v>
      </c>
      <c r="F19891" t="s">
        <v>11622</v>
      </c>
      <c r="L19891">
        <v>1</v>
      </c>
      <c r="M19891">
        <v>5</v>
      </c>
      <c r="N19891">
        <v>0</v>
      </c>
    </row>
    <row r="19892" spans="1:14">
      <c r="A19892" t="s">
        <v>58703</v>
      </c>
      <c r="B19892" t="s">
        <v>11844</v>
      </c>
      <c r="C19892" t="s">
        <v>11844</v>
      </c>
      <c r="D19892" t="s">
        <v>58704</v>
      </c>
      <c r="E19892" t="b">
        <v>0</v>
      </c>
      <c r="F19892" t="s">
        <v>11622</v>
      </c>
      <c r="L19892">
        <v>36</v>
      </c>
      <c r="M19892">
        <v>70</v>
      </c>
      <c r="N19892">
        <v>110</v>
      </c>
    </row>
    <row r="19893" spans="1:14">
      <c r="A19893" t="s">
        <v>35278</v>
      </c>
      <c r="B19893" t="s">
        <v>10597</v>
      </c>
      <c r="C19893" t="s">
        <v>10597</v>
      </c>
      <c r="D19893" t="s">
        <v>58705</v>
      </c>
      <c r="E19893" t="b">
        <v>0</v>
      </c>
      <c r="F19893" t="s">
        <v>11622</v>
      </c>
      <c r="L19893">
        <v>15</v>
      </c>
      <c r="M19893">
        <v>29</v>
      </c>
      <c r="N19893">
        <v>13</v>
      </c>
    </row>
    <row r="19894" spans="1:14">
      <c r="A19894" t="s">
        <v>47111</v>
      </c>
      <c r="B19894" t="s">
        <v>10597</v>
      </c>
      <c r="C19894" t="s">
        <v>10597</v>
      </c>
      <c r="D19894" t="s">
        <v>58706</v>
      </c>
      <c r="E19894" t="b">
        <v>0</v>
      </c>
      <c r="F19894" t="s">
        <v>11622</v>
      </c>
      <c r="L19894">
        <v>27</v>
      </c>
      <c r="M19894">
        <v>40</v>
      </c>
      <c r="N19894">
        <v>66</v>
      </c>
    </row>
    <row r="19895" spans="1:14">
      <c r="A19895" t="s">
        <v>20865</v>
      </c>
      <c r="B19895" t="s">
        <v>12751</v>
      </c>
      <c r="C19895" t="s">
        <v>12751</v>
      </c>
      <c r="D19895" t="s">
        <v>58707</v>
      </c>
      <c r="E19895" t="b">
        <v>0</v>
      </c>
      <c r="F19895" t="s">
        <v>11622</v>
      </c>
      <c r="L19895">
        <v>24</v>
      </c>
      <c r="M19895">
        <v>53</v>
      </c>
      <c r="N19895">
        <v>22</v>
      </c>
    </row>
    <row r="19896" spans="1:14">
      <c r="A19896" t="s">
        <v>28701</v>
      </c>
      <c r="B19896" t="s">
        <v>12438</v>
      </c>
      <c r="C19896" t="s">
        <v>45764</v>
      </c>
      <c r="D19896" t="s">
        <v>58708</v>
      </c>
      <c r="E19896" t="b">
        <v>0</v>
      </c>
      <c r="F19896" t="s">
        <v>11622</v>
      </c>
      <c r="L19896">
        <v>3</v>
      </c>
      <c r="M19896">
        <v>8</v>
      </c>
      <c r="N19896">
        <v>9</v>
      </c>
    </row>
    <row r="19897" spans="1:14">
      <c r="A19897" t="s">
        <v>58709</v>
      </c>
      <c r="B19897" t="s">
        <v>11844</v>
      </c>
      <c r="C19897" t="s">
        <v>58703</v>
      </c>
      <c r="D19897" t="s">
        <v>58710</v>
      </c>
      <c r="E19897" t="b">
        <v>0</v>
      </c>
      <c r="F19897" t="s">
        <v>11622</v>
      </c>
      <c r="L19897">
        <v>23</v>
      </c>
      <c r="M19897">
        <v>51</v>
      </c>
      <c r="N19897">
        <v>57</v>
      </c>
    </row>
    <row r="19898" spans="1:14">
      <c r="A19898" t="s">
        <v>29513</v>
      </c>
      <c r="B19898" t="s">
        <v>11844</v>
      </c>
      <c r="C19898" t="s">
        <v>58703</v>
      </c>
      <c r="D19898" t="s">
        <v>58711</v>
      </c>
      <c r="E19898" t="b">
        <v>0</v>
      </c>
      <c r="F19898" t="s">
        <v>11622</v>
      </c>
      <c r="L19898">
        <v>11</v>
      </c>
      <c r="M19898">
        <v>19</v>
      </c>
      <c r="N19898">
        <v>53</v>
      </c>
    </row>
    <row r="19899" spans="1:14">
      <c r="A19899" t="s">
        <v>30248</v>
      </c>
      <c r="B19899" t="s">
        <v>13276</v>
      </c>
      <c r="C19899" t="s">
        <v>18812</v>
      </c>
      <c r="D19899" t="s">
        <v>58712</v>
      </c>
      <c r="E19899" t="b">
        <v>0</v>
      </c>
      <c r="F19899" t="s">
        <v>11622</v>
      </c>
      <c r="L19899">
        <v>10</v>
      </c>
      <c r="M19899">
        <v>12</v>
      </c>
      <c r="N19899">
        <v>46</v>
      </c>
    </row>
    <row r="19900" spans="1:14">
      <c r="A19900" t="s">
        <v>23170</v>
      </c>
      <c r="B19900" t="s">
        <v>10597</v>
      </c>
      <c r="C19900" t="s">
        <v>12968</v>
      </c>
      <c r="D19900" t="s">
        <v>58713</v>
      </c>
      <c r="E19900" t="b">
        <v>0</v>
      </c>
      <c r="F19900" t="s">
        <v>11622</v>
      </c>
      <c r="L19900">
        <v>3</v>
      </c>
      <c r="M19900">
        <v>5</v>
      </c>
      <c r="N19900">
        <v>3</v>
      </c>
    </row>
    <row r="19901" spans="1:14">
      <c r="A19901" t="s">
        <v>54596</v>
      </c>
      <c r="B19901" t="s">
        <v>10597</v>
      </c>
      <c r="C19901" t="s">
        <v>361</v>
      </c>
      <c r="D19901" t="s">
        <v>58714</v>
      </c>
      <c r="E19901" t="b">
        <v>0</v>
      </c>
      <c r="F19901" t="s">
        <v>11622</v>
      </c>
      <c r="L19901">
        <v>4</v>
      </c>
      <c r="M19901">
        <v>7</v>
      </c>
      <c r="N19901">
        <v>23</v>
      </c>
    </row>
    <row r="19902" spans="1:14">
      <c r="A19902" t="s">
        <v>51878</v>
      </c>
      <c r="B19902" t="s">
        <v>5126</v>
      </c>
      <c r="C19902" t="s">
        <v>25995</v>
      </c>
      <c r="D19902" t="s">
        <v>58715</v>
      </c>
      <c r="E19902" t="b">
        <v>0</v>
      </c>
      <c r="F19902" t="s">
        <v>11622</v>
      </c>
      <c r="L19902">
        <v>7</v>
      </c>
      <c r="M19902">
        <v>10</v>
      </c>
      <c r="N19902">
        <v>11</v>
      </c>
    </row>
    <row r="19903" spans="1:14">
      <c r="A19903" t="s">
        <v>58716</v>
      </c>
      <c r="B19903" t="s">
        <v>2975</v>
      </c>
      <c r="C19903" t="s">
        <v>26467</v>
      </c>
      <c r="D19903" t="s">
        <v>58717</v>
      </c>
      <c r="E19903" t="b">
        <v>0</v>
      </c>
      <c r="F19903" t="s">
        <v>11622</v>
      </c>
      <c r="L19903">
        <v>0</v>
      </c>
      <c r="M19903">
        <v>2</v>
      </c>
      <c r="N19903">
        <v>4</v>
      </c>
    </row>
    <row r="19904" spans="1:14">
      <c r="A19904" t="s">
        <v>18906</v>
      </c>
      <c r="B19904" t="s">
        <v>11607</v>
      </c>
      <c r="C19904" t="s">
        <v>18915</v>
      </c>
      <c r="D19904" t="s">
        <v>58718</v>
      </c>
      <c r="E19904" t="b">
        <v>0</v>
      </c>
      <c r="F19904" t="s">
        <v>11622</v>
      </c>
      <c r="L19904">
        <v>13</v>
      </c>
      <c r="M19904">
        <v>28</v>
      </c>
      <c r="N19904">
        <v>60</v>
      </c>
    </row>
    <row r="19905" spans="1:14">
      <c r="A19905" t="s">
        <v>31010</v>
      </c>
      <c r="B19905" t="s">
        <v>11607</v>
      </c>
      <c r="C19905" t="s">
        <v>43188</v>
      </c>
      <c r="D19905" t="s">
        <v>58719</v>
      </c>
      <c r="E19905" t="b">
        <v>0</v>
      </c>
      <c r="F19905" t="s">
        <v>11622</v>
      </c>
      <c r="L19905">
        <v>0</v>
      </c>
      <c r="M19905">
        <v>4</v>
      </c>
      <c r="N19905">
        <v>5</v>
      </c>
    </row>
    <row r="19906" spans="1:14">
      <c r="A19906" t="s">
        <v>25811</v>
      </c>
      <c r="B19906" t="s">
        <v>11637</v>
      </c>
      <c r="C19906" t="s">
        <v>25793</v>
      </c>
      <c r="D19906" t="s">
        <v>58720</v>
      </c>
      <c r="E19906" t="b">
        <v>0</v>
      </c>
      <c r="F19906" t="s">
        <v>11622</v>
      </c>
      <c r="L19906">
        <v>3</v>
      </c>
      <c r="M19906">
        <v>7</v>
      </c>
      <c r="N19906">
        <v>70</v>
      </c>
    </row>
    <row r="19907" spans="1:14">
      <c r="A19907" t="s">
        <v>51626</v>
      </c>
      <c r="B19907" t="s">
        <v>11615</v>
      </c>
      <c r="C19907" t="s">
        <v>34406</v>
      </c>
      <c r="D19907" t="s">
        <v>58721</v>
      </c>
      <c r="E19907" t="b">
        <v>0</v>
      </c>
      <c r="F19907" t="s">
        <v>11622</v>
      </c>
      <c r="L19907">
        <v>9</v>
      </c>
      <c r="M19907">
        <v>15</v>
      </c>
      <c r="N19907">
        <v>2</v>
      </c>
    </row>
    <row r="19908" spans="1:14">
      <c r="A19908" t="s">
        <v>24301</v>
      </c>
      <c r="B19908" t="s">
        <v>10597</v>
      </c>
      <c r="C19908" t="s">
        <v>54596</v>
      </c>
      <c r="D19908" t="s">
        <v>58722</v>
      </c>
      <c r="E19908" t="b">
        <v>0</v>
      </c>
      <c r="F19908" t="s">
        <v>11622</v>
      </c>
      <c r="L19908">
        <v>3</v>
      </c>
      <c r="M19908">
        <v>6</v>
      </c>
      <c r="N19908">
        <v>23</v>
      </c>
    </row>
    <row r="19909" spans="1:14">
      <c r="A19909" t="s">
        <v>58076</v>
      </c>
      <c r="B19909" t="s">
        <v>12260</v>
      </c>
      <c r="C19909" t="s">
        <v>21803</v>
      </c>
      <c r="D19909" t="s">
        <v>58723</v>
      </c>
      <c r="E19909" t="b">
        <v>0</v>
      </c>
      <c r="F19909" t="s">
        <v>11622</v>
      </c>
      <c r="L19909">
        <v>0</v>
      </c>
      <c r="M19909">
        <v>2</v>
      </c>
      <c r="N19909">
        <v>0</v>
      </c>
    </row>
    <row r="19910" spans="1:14">
      <c r="A19910" t="s">
        <v>26510</v>
      </c>
      <c r="B19910" t="s">
        <v>12460</v>
      </c>
      <c r="C19910" t="s">
        <v>11196</v>
      </c>
      <c r="D19910" t="s">
        <v>58724</v>
      </c>
      <c r="E19910" t="b">
        <v>0</v>
      </c>
      <c r="F19910" t="s">
        <v>11622</v>
      </c>
      <c r="L19910">
        <v>2</v>
      </c>
      <c r="M19910">
        <v>5</v>
      </c>
      <c r="N19910">
        <v>0</v>
      </c>
    </row>
    <row r="19911" spans="1:14">
      <c r="A19911" t="s">
        <v>11700</v>
      </c>
      <c r="B19911" t="s">
        <v>6742</v>
      </c>
      <c r="C19911" t="s">
        <v>16821</v>
      </c>
      <c r="D19911" t="s">
        <v>58725</v>
      </c>
      <c r="E19911" t="b">
        <v>0</v>
      </c>
      <c r="F19911" t="s">
        <v>11622</v>
      </c>
      <c r="L19911">
        <v>402</v>
      </c>
      <c r="M19911">
        <v>694</v>
      </c>
      <c r="N19911">
        <v>1135</v>
      </c>
    </row>
    <row r="19912" spans="1:14">
      <c r="A19912" t="s">
        <v>25015</v>
      </c>
      <c r="B19912" t="s">
        <v>6742</v>
      </c>
      <c r="C19912" t="s">
        <v>21813</v>
      </c>
      <c r="D19912" t="s">
        <v>58726</v>
      </c>
      <c r="E19912" t="b">
        <v>0</v>
      </c>
      <c r="F19912" t="s">
        <v>11622</v>
      </c>
      <c r="L19912">
        <v>0</v>
      </c>
      <c r="M19912">
        <v>5</v>
      </c>
      <c r="N19912">
        <v>17</v>
      </c>
    </row>
    <row r="19913" spans="1:14">
      <c r="A19913" t="s">
        <v>29737</v>
      </c>
      <c r="B19913" t="s">
        <v>367</v>
      </c>
      <c r="C19913" t="s">
        <v>35603</v>
      </c>
      <c r="D19913" t="s">
        <v>58727</v>
      </c>
      <c r="E19913" t="b">
        <v>0</v>
      </c>
      <c r="F19913" t="s">
        <v>11622</v>
      </c>
      <c r="L19913">
        <v>17</v>
      </c>
      <c r="M19913">
        <v>40</v>
      </c>
      <c r="N19913">
        <v>72</v>
      </c>
    </row>
    <row r="19914" spans="1:14">
      <c r="A19914" t="s">
        <v>16797</v>
      </c>
      <c r="B19914" t="s">
        <v>367</v>
      </c>
      <c r="C19914" t="s">
        <v>49009</v>
      </c>
      <c r="D19914" t="s">
        <v>58728</v>
      </c>
      <c r="E19914" t="b">
        <v>0</v>
      </c>
      <c r="F19914" t="s">
        <v>11622</v>
      </c>
      <c r="L19914">
        <v>0</v>
      </c>
      <c r="M19914">
        <v>2</v>
      </c>
      <c r="N19914">
        <v>0</v>
      </c>
    </row>
    <row r="19915" spans="1:14">
      <c r="A19915" t="s">
        <v>44372</v>
      </c>
      <c r="B19915" t="s">
        <v>11637</v>
      </c>
      <c r="C19915" t="s">
        <v>2187</v>
      </c>
      <c r="D19915" t="s">
        <v>58729</v>
      </c>
      <c r="E19915" t="b">
        <v>0</v>
      </c>
      <c r="F19915" t="s">
        <v>11622</v>
      </c>
      <c r="L19915">
        <v>9</v>
      </c>
      <c r="M19915">
        <v>21</v>
      </c>
      <c r="N19915">
        <v>66</v>
      </c>
    </row>
    <row r="19916" spans="1:14">
      <c r="A19916" t="s">
        <v>55998</v>
      </c>
      <c r="B19916" t="s">
        <v>11637</v>
      </c>
      <c r="C19916" t="s">
        <v>26491</v>
      </c>
      <c r="D19916" t="s">
        <v>58730</v>
      </c>
      <c r="E19916" t="b">
        <v>0</v>
      </c>
      <c r="F19916" t="s">
        <v>11622</v>
      </c>
      <c r="L19916">
        <v>3</v>
      </c>
      <c r="M19916">
        <v>5</v>
      </c>
      <c r="N19916">
        <v>16</v>
      </c>
    </row>
    <row r="19917" spans="1:14">
      <c r="A19917" t="s">
        <v>32531</v>
      </c>
      <c r="B19917" t="s">
        <v>11644</v>
      </c>
      <c r="C19917" t="s">
        <v>20514</v>
      </c>
      <c r="D19917" t="s">
        <v>58731</v>
      </c>
      <c r="E19917" t="b">
        <v>0</v>
      </c>
      <c r="F19917" t="s">
        <v>11622</v>
      </c>
      <c r="L19917">
        <v>3</v>
      </c>
      <c r="M19917">
        <v>7</v>
      </c>
      <c r="N19917">
        <v>8</v>
      </c>
    </row>
    <row r="19918" spans="1:14">
      <c r="A19918" t="s">
        <v>14780</v>
      </c>
      <c r="B19918" t="s">
        <v>11644</v>
      </c>
      <c r="C19918" t="s">
        <v>36300</v>
      </c>
      <c r="D19918" t="s">
        <v>58732</v>
      </c>
      <c r="E19918" t="b">
        <v>0</v>
      </c>
      <c r="F19918" t="s">
        <v>11622</v>
      </c>
      <c r="L19918">
        <v>3</v>
      </c>
      <c r="M19918">
        <v>6</v>
      </c>
      <c r="N19918">
        <v>15</v>
      </c>
    </row>
    <row r="19919" spans="1:14">
      <c r="A19919" t="s">
        <v>19102</v>
      </c>
      <c r="B19919" t="s">
        <v>11607</v>
      </c>
      <c r="C19919" t="s">
        <v>58733</v>
      </c>
      <c r="D19919" t="s">
        <v>58734</v>
      </c>
      <c r="E19919" t="b">
        <v>0</v>
      </c>
      <c r="F19919" t="s">
        <v>11622</v>
      </c>
      <c r="L19919">
        <v>4</v>
      </c>
      <c r="M19919">
        <v>8</v>
      </c>
      <c r="N19919">
        <v>8</v>
      </c>
    </row>
    <row r="19920" spans="1:14">
      <c r="A19920" t="s">
        <v>49029</v>
      </c>
      <c r="B19920" t="s">
        <v>11607</v>
      </c>
      <c r="C19920" t="s">
        <v>58733</v>
      </c>
      <c r="D19920" t="s">
        <v>58735</v>
      </c>
      <c r="E19920" t="b">
        <v>0</v>
      </c>
      <c r="F19920" t="s">
        <v>11622</v>
      </c>
      <c r="L19920">
        <v>4</v>
      </c>
      <c r="M19920">
        <v>8</v>
      </c>
      <c r="N19920">
        <v>19</v>
      </c>
    </row>
    <row r="19921" spans="1:14">
      <c r="A19921" t="s">
        <v>32629</v>
      </c>
      <c r="B19921" t="s">
        <v>6742</v>
      </c>
      <c r="C19921" t="s">
        <v>18021</v>
      </c>
      <c r="D19921" t="s">
        <v>58736</v>
      </c>
      <c r="E19921" t="b">
        <v>0</v>
      </c>
      <c r="F19921" t="s">
        <v>11622</v>
      </c>
      <c r="L19921">
        <v>2</v>
      </c>
      <c r="M19921">
        <v>7</v>
      </c>
      <c r="N19921">
        <v>6</v>
      </c>
    </row>
    <row r="19922" spans="1:14">
      <c r="A19922" t="s">
        <v>15584</v>
      </c>
      <c r="B19922" t="s">
        <v>6742</v>
      </c>
      <c r="C19922" t="s">
        <v>21810</v>
      </c>
      <c r="D19922" t="s">
        <v>58737</v>
      </c>
      <c r="E19922" t="b">
        <v>0</v>
      </c>
      <c r="F19922" t="s">
        <v>11622</v>
      </c>
      <c r="L19922">
        <v>22</v>
      </c>
      <c r="M19922">
        <v>34</v>
      </c>
      <c r="N19922">
        <v>58</v>
      </c>
    </row>
    <row r="19923" spans="1:14">
      <c r="A19923" t="s">
        <v>45053</v>
      </c>
      <c r="B19923" t="s">
        <v>367</v>
      </c>
      <c r="C19923" t="s">
        <v>5360</v>
      </c>
      <c r="D19923" t="s">
        <v>58738</v>
      </c>
      <c r="E19923" t="b">
        <v>0</v>
      </c>
      <c r="F19923" t="s">
        <v>11622</v>
      </c>
      <c r="L19923">
        <v>3</v>
      </c>
      <c r="M19923">
        <v>5</v>
      </c>
      <c r="N19923">
        <v>1</v>
      </c>
    </row>
    <row r="19924" spans="1:14">
      <c r="A19924" t="s">
        <v>17347</v>
      </c>
      <c r="B19924" t="s">
        <v>367</v>
      </c>
      <c r="C19924" t="s">
        <v>48636</v>
      </c>
      <c r="D19924" t="s">
        <v>58739</v>
      </c>
      <c r="E19924" t="b">
        <v>0</v>
      </c>
      <c r="F19924" t="s">
        <v>11622</v>
      </c>
      <c r="L19924">
        <v>2</v>
      </c>
      <c r="M19924">
        <v>4</v>
      </c>
      <c r="N19924">
        <v>0</v>
      </c>
    </row>
    <row r="19925" spans="1:14">
      <c r="A19925" t="s">
        <v>27441</v>
      </c>
      <c r="B19925" t="s">
        <v>11879</v>
      </c>
      <c r="C19925" t="s">
        <v>43557</v>
      </c>
      <c r="D19925" t="s">
        <v>58740</v>
      </c>
      <c r="E19925" t="b">
        <v>0</v>
      </c>
      <c r="F19925" t="s">
        <v>11622</v>
      </c>
      <c r="L19925">
        <v>0</v>
      </c>
      <c r="M19925">
        <v>2</v>
      </c>
      <c r="N19925">
        <v>1</v>
      </c>
    </row>
    <row r="19926" spans="1:14">
      <c r="A19926" t="s">
        <v>24212</v>
      </c>
      <c r="B19926" t="s">
        <v>11607</v>
      </c>
      <c r="C19926" t="s">
        <v>49029</v>
      </c>
      <c r="D19926" t="s">
        <v>58741</v>
      </c>
      <c r="E19926" t="b">
        <v>0</v>
      </c>
      <c r="F19926" t="s">
        <v>11622</v>
      </c>
      <c r="L19926">
        <v>1</v>
      </c>
      <c r="M19926">
        <v>5</v>
      </c>
      <c r="N19926">
        <v>10</v>
      </c>
    </row>
    <row r="19927" spans="1:14">
      <c r="A19927" t="s">
        <v>50990</v>
      </c>
      <c r="B19927" t="s">
        <v>6742</v>
      </c>
      <c r="C19927" t="s">
        <v>49021</v>
      </c>
      <c r="D19927" t="s">
        <v>58742</v>
      </c>
      <c r="E19927" t="b">
        <v>0</v>
      </c>
      <c r="F19927" t="s">
        <v>11622</v>
      </c>
      <c r="L19927">
        <v>1</v>
      </c>
      <c r="M19927">
        <v>4</v>
      </c>
      <c r="N19927">
        <v>25</v>
      </c>
    </row>
    <row r="19928" spans="1:14">
      <c r="A19928" t="s">
        <v>47098</v>
      </c>
      <c r="B19928" t="s">
        <v>367</v>
      </c>
      <c r="C19928" t="s">
        <v>12101</v>
      </c>
      <c r="D19928" t="s">
        <v>58743</v>
      </c>
      <c r="E19928" t="b">
        <v>0</v>
      </c>
      <c r="F19928" t="s">
        <v>11622</v>
      </c>
      <c r="L19928">
        <v>27</v>
      </c>
      <c r="M19928">
        <v>42</v>
      </c>
      <c r="N19928">
        <v>34</v>
      </c>
    </row>
    <row r="19929" spans="1:14">
      <c r="A19929" t="s">
        <v>41708</v>
      </c>
      <c r="B19929" t="s">
        <v>367</v>
      </c>
      <c r="C19929" t="s">
        <v>2077</v>
      </c>
      <c r="D19929" t="s">
        <v>58744</v>
      </c>
      <c r="E19929" t="b">
        <v>0</v>
      </c>
      <c r="F19929" t="s">
        <v>11622</v>
      </c>
      <c r="L19929">
        <v>1</v>
      </c>
      <c r="M19929">
        <v>5</v>
      </c>
      <c r="N19929">
        <v>2</v>
      </c>
    </row>
    <row r="19930" spans="1:14">
      <c r="A19930" t="s">
        <v>20653</v>
      </c>
      <c r="B19930" t="s">
        <v>367</v>
      </c>
      <c r="C19930" t="s">
        <v>16804</v>
      </c>
      <c r="D19930" t="s">
        <v>58745</v>
      </c>
      <c r="E19930" t="b">
        <v>0</v>
      </c>
      <c r="F19930" t="s">
        <v>11622</v>
      </c>
      <c r="L19930">
        <v>2</v>
      </c>
      <c r="M19930">
        <v>4</v>
      </c>
      <c r="N19930">
        <v>4</v>
      </c>
    </row>
    <row r="19931" spans="1:14">
      <c r="A19931" t="s">
        <v>19867</v>
      </c>
      <c r="B19931" t="s">
        <v>11637</v>
      </c>
      <c r="C19931" t="s">
        <v>19944</v>
      </c>
      <c r="D19931" t="s">
        <v>58746</v>
      </c>
      <c r="E19931" t="b">
        <v>0</v>
      </c>
      <c r="F19931" t="s">
        <v>11622</v>
      </c>
      <c r="L19931">
        <v>0</v>
      </c>
      <c r="M19931">
        <v>2</v>
      </c>
      <c r="N19931">
        <v>8</v>
      </c>
    </row>
    <row r="19932" spans="1:14">
      <c r="A19932" t="s">
        <v>13222</v>
      </c>
      <c r="B19932" t="s">
        <v>11637</v>
      </c>
      <c r="C19932" t="s">
        <v>21853</v>
      </c>
      <c r="D19932" t="s">
        <v>58747</v>
      </c>
      <c r="E19932" t="b">
        <v>0</v>
      </c>
      <c r="F19932" t="s">
        <v>11622</v>
      </c>
      <c r="L19932">
        <v>2</v>
      </c>
      <c r="M19932">
        <v>5</v>
      </c>
      <c r="N19932">
        <v>9</v>
      </c>
    </row>
    <row r="19933" spans="1:14">
      <c r="A19933" t="s">
        <v>15518</v>
      </c>
      <c r="B19933" t="s">
        <v>11879</v>
      </c>
      <c r="C19933" t="s">
        <v>8183</v>
      </c>
      <c r="D19933" t="s">
        <v>58748</v>
      </c>
      <c r="E19933" t="b">
        <v>0</v>
      </c>
      <c r="F19933" t="s">
        <v>11622</v>
      </c>
      <c r="L19933">
        <v>0</v>
      </c>
      <c r="M19933">
        <v>3</v>
      </c>
      <c r="N19933">
        <v>3</v>
      </c>
    </row>
    <row r="19934" spans="1:14">
      <c r="A19934" t="s">
        <v>22855</v>
      </c>
      <c r="B19934" t="s">
        <v>6742</v>
      </c>
      <c r="C19934" t="s">
        <v>19707</v>
      </c>
      <c r="D19934" t="s">
        <v>58749</v>
      </c>
      <c r="E19934" t="b">
        <v>0</v>
      </c>
      <c r="F19934" t="s">
        <v>11622</v>
      </c>
      <c r="L19934">
        <v>18</v>
      </c>
      <c r="M19934">
        <v>35</v>
      </c>
      <c r="N19934">
        <v>113</v>
      </c>
    </row>
    <row r="19935" spans="1:14">
      <c r="A19935" t="s">
        <v>16343</v>
      </c>
      <c r="B19935" t="s">
        <v>6742</v>
      </c>
      <c r="C19935" t="s">
        <v>43629</v>
      </c>
      <c r="D19935" t="s">
        <v>58750</v>
      </c>
      <c r="E19935" t="b">
        <v>0</v>
      </c>
      <c r="F19935" t="s">
        <v>11622</v>
      </c>
      <c r="L19935">
        <v>1</v>
      </c>
      <c r="M19935">
        <v>6</v>
      </c>
      <c r="N19935">
        <v>0</v>
      </c>
    </row>
    <row r="19936" spans="1:14">
      <c r="A19936" t="s">
        <v>22141</v>
      </c>
      <c r="B19936" t="s">
        <v>11637</v>
      </c>
      <c r="C19936" t="s">
        <v>17956</v>
      </c>
      <c r="D19936" t="s">
        <v>58751</v>
      </c>
      <c r="E19936" t="b">
        <v>0</v>
      </c>
      <c r="F19936" t="s">
        <v>11622</v>
      </c>
      <c r="L19936">
        <v>0</v>
      </c>
      <c r="M19936">
        <v>3</v>
      </c>
      <c r="N19936">
        <v>0</v>
      </c>
    </row>
    <row r="19937" spans="1:14">
      <c r="A19937" t="s">
        <v>4893</v>
      </c>
      <c r="B19937" t="s">
        <v>11637</v>
      </c>
      <c r="C19937" t="s">
        <v>49049</v>
      </c>
      <c r="D19937" t="s">
        <v>58752</v>
      </c>
      <c r="E19937" t="b">
        <v>0</v>
      </c>
      <c r="F19937" t="s">
        <v>11622</v>
      </c>
      <c r="L19937">
        <v>15</v>
      </c>
      <c r="M19937">
        <v>32</v>
      </c>
      <c r="N19937">
        <v>97</v>
      </c>
    </row>
    <row r="19938" spans="1:14">
      <c r="A19938" t="s">
        <v>58190</v>
      </c>
      <c r="B19938" t="s">
        <v>5126</v>
      </c>
      <c r="C19938" t="s">
        <v>55904</v>
      </c>
      <c r="D19938" t="s">
        <v>58753</v>
      </c>
      <c r="E19938" t="b">
        <v>0</v>
      </c>
      <c r="F19938" t="s">
        <v>11622</v>
      </c>
      <c r="L19938">
        <v>15</v>
      </c>
      <c r="M19938">
        <v>32</v>
      </c>
      <c r="N19938">
        <v>27</v>
      </c>
    </row>
    <row r="19939" spans="1:14">
      <c r="A19939" t="s">
        <v>17922</v>
      </c>
      <c r="B19939" t="s">
        <v>6742</v>
      </c>
      <c r="C19939" t="s">
        <v>21871</v>
      </c>
      <c r="D19939" t="s">
        <v>58754</v>
      </c>
      <c r="E19939" t="b">
        <v>0</v>
      </c>
      <c r="F19939" t="s">
        <v>11622</v>
      </c>
      <c r="L19939">
        <v>5</v>
      </c>
      <c r="M19939">
        <v>10</v>
      </c>
      <c r="N19939">
        <v>16</v>
      </c>
    </row>
    <row r="19940" spans="1:14">
      <c r="A19940" t="s">
        <v>26801</v>
      </c>
      <c r="B19940" t="s">
        <v>6742</v>
      </c>
      <c r="C19940" t="s">
        <v>26534</v>
      </c>
      <c r="D19940" t="s">
        <v>58755</v>
      </c>
      <c r="E19940" t="b">
        <v>0</v>
      </c>
      <c r="F19940" t="s">
        <v>11622</v>
      </c>
      <c r="L19940">
        <v>2</v>
      </c>
      <c r="M19940">
        <v>5</v>
      </c>
      <c r="N19940">
        <v>20</v>
      </c>
    </row>
    <row r="19941" spans="1:14">
      <c r="A19941" t="s">
        <v>26797</v>
      </c>
      <c r="B19941" t="s">
        <v>6742</v>
      </c>
      <c r="C19941" t="s">
        <v>38329</v>
      </c>
      <c r="D19941" t="s">
        <v>58756</v>
      </c>
      <c r="E19941" t="b">
        <v>0</v>
      </c>
      <c r="F19941" t="s">
        <v>11622</v>
      </c>
      <c r="L19941">
        <v>0</v>
      </c>
      <c r="M19941">
        <v>4</v>
      </c>
      <c r="N19941">
        <v>5</v>
      </c>
    </row>
    <row r="19942" spans="1:14">
      <c r="A19942" t="s">
        <v>14165</v>
      </c>
      <c r="B19942" t="s">
        <v>367</v>
      </c>
      <c r="C19942" t="s">
        <v>13403</v>
      </c>
      <c r="D19942" t="s">
        <v>58757</v>
      </c>
      <c r="E19942" t="b">
        <v>0</v>
      </c>
      <c r="F19942" t="s">
        <v>11622</v>
      </c>
      <c r="L19942">
        <v>1</v>
      </c>
      <c r="M19942">
        <v>4</v>
      </c>
      <c r="N19942">
        <v>8</v>
      </c>
    </row>
    <row r="19943" spans="1:14">
      <c r="A19943" t="s">
        <v>26567</v>
      </c>
      <c r="B19943" t="s">
        <v>367</v>
      </c>
      <c r="C19943" t="s">
        <v>19620</v>
      </c>
      <c r="D19943" t="s">
        <v>58758</v>
      </c>
      <c r="E19943" t="b">
        <v>0</v>
      </c>
      <c r="F19943" t="s">
        <v>11622</v>
      </c>
      <c r="L19943">
        <v>4</v>
      </c>
      <c r="M19943">
        <v>6</v>
      </c>
      <c r="N19943">
        <v>8</v>
      </c>
    </row>
    <row r="19944" spans="1:14">
      <c r="A19944" t="s">
        <v>19987</v>
      </c>
      <c r="B19944" t="s">
        <v>6742</v>
      </c>
      <c r="C19944" t="s">
        <v>49055</v>
      </c>
      <c r="D19944" t="s">
        <v>58759</v>
      </c>
      <c r="E19944" t="b">
        <v>0</v>
      </c>
      <c r="F19944" t="s">
        <v>11622</v>
      </c>
      <c r="L19944">
        <v>0</v>
      </c>
      <c r="M19944">
        <v>3</v>
      </c>
      <c r="N19944">
        <v>0</v>
      </c>
    </row>
    <row r="19945" spans="1:14">
      <c r="A19945" t="s">
        <v>58760</v>
      </c>
      <c r="B19945" t="s">
        <v>6742</v>
      </c>
      <c r="C19945" t="s">
        <v>31864</v>
      </c>
      <c r="D19945" t="s">
        <v>58761</v>
      </c>
      <c r="E19945" t="b">
        <v>0</v>
      </c>
      <c r="F19945" t="s">
        <v>11622</v>
      </c>
      <c r="L19945">
        <v>0</v>
      </c>
      <c r="M19945">
        <v>2</v>
      </c>
      <c r="N19945">
        <v>2</v>
      </c>
    </row>
    <row r="19946" spans="1:14">
      <c r="A19946" t="s">
        <v>13374</v>
      </c>
      <c r="B19946" t="s">
        <v>367</v>
      </c>
      <c r="C19946" t="s">
        <v>21884</v>
      </c>
      <c r="D19946" t="s">
        <v>58762</v>
      </c>
      <c r="E19946" t="b">
        <v>0</v>
      </c>
      <c r="F19946" t="s">
        <v>11622</v>
      </c>
      <c r="L19946">
        <v>0</v>
      </c>
      <c r="M19946">
        <v>5</v>
      </c>
      <c r="N19946">
        <v>0</v>
      </c>
    </row>
    <row r="19947" spans="1:14">
      <c r="A19947" t="s">
        <v>38630</v>
      </c>
      <c r="B19947" t="s">
        <v>367</v>
      </c>
      <c r="C19947" t="s">
        <v>49061</v>
      </c>
      <c r="D19947" t="s">
        <v>58763</v>
      </c>
      <c r="E19947" t="b">
        <v>0</v>
      </c>
      <c r="F19947" t="s">
        <v>11622</v>
      </c>
      <c r="L19947">
        <v>0</v>
      </c>
      <c r="M19947">
        <v>2</v>
      </c>
      <c r="N19947">
        <v>2</v>
      </c>
    </row>
    <row r="19948" spans="1:14">
      <c r="A19948" t="s">
        <v>27507</v>
      </c>
      <c r="B19948" t="s">
        <v>367</v>
      </c>
      <c r="C19948" t="s">
        <v>26846</v>
      </c>
      <c r="D19948" t="s">
        <v>58764</v>
      </c>
      <c r="E19948" t="b">
        <v>0</v>
      </c>
      <c r="F19948" t="s">
        <v>11622</v>
      </c>
      <c r="L19948">
        <v>0</v>
      </c>
      <c r="M19948">
        <v>2</v>
      </c>
      <c r="N19948">
        <v>2</v>
      </c>
    </row>
    <row r="19949" spans="1:14">
      <c r="A19949" t="s">
        <v>42161</v>
      </c>
      <c r="B19949" t="s">
        <v>367</v>
      </c>
      <c r="C19949" t="s">
        <v>24951</v>
      </c>
      <c r="D19949" t="s">
        <v>58765</v>
      </c>
      <c r="E19949" t="b">
        <v>0</v>
      </c>
      <c r="F19949" t="s">
        <v>11622</v>
      </c>
      <c r="L19949">
        <v>0</v>
      </c>
      <c r="M19949">
        <v>2</v>
      </c>
      <c r="N19949">
        <v>1</v>
      </c>
    </row>
    <row r="19950" spans="1:14">
      <c r="A19950" t="s">
        <v>14441</v>
      </c>
      <c r="B19950" t="s">
        <v>367</v>
      </c>
      <c r="C19950" t="s">
        <v>42114</v>
      </c>
      <c r="D19950" t="s">
        <v>58766</v>
      </c>
      <c r="E19950" t="b">
        <v>0</v>
      </c>
      <c r="F19950" t="s">
        <v>11622</v>
      </c>
      <c r="L19950">
        <v>0</v>
      </c>
      <c r="M19950">
        <v>3</v>
      </c>
      <c r="N19950">
        <v>2</v>
      </c>
    </row>
    <row r="19951" spans="1:14">
      <c r="A19951" t="s">
        <v>38933</v>
      </c>
      <c r="B19951" t="s">
        <v>11637</v>
      </c>
      <c r="C19951" t="s">
        <v>21198</v>
      </c>
      <c r="D19951" t="s">
        <v>58767</v>
      </c>
      <c r="E19951" t="b">
        <v>0</v>
      </c>
      <c r="F19951" t="s">
        <v>11622</v>
      </c>
      <c r="L19951">
        <v>1</v>
      </c>
      <c r="M19951">
        <v>5</v>
      </c>
      <c r="N19951">
        <v>8</v>
      </c>
    </row>
    <row r="19952" spans="1:14">
      <c r="A19952" t="s">
        <v>32145</v>
      </c>
      <c r="B19952" t="s">
        <v>6742</v>
      </c>
      <c r="C19952" t="s">
        <v>49070</v>
      </c>
      <c r="D19952" t="s">
        <v>58768</v>
      </c>
      <c r="E19952" t="b">
        <v>0</v>
      </c>
      <c r="F19952" t="s">
        <v>11622</v>
      </c>
      <c r="L19952">
        <v>0</v>
      </c>
      <c r="M19952">
        <v>4</v>
      </c>
      <c r="N19952">
        <v>4</v>
      </c>
    </row>
    <row r="19953" spans="1:15">
      <c r="A19953" t="s">
        <v>30917</v>
      </c>
      <c r="B19953" t="s">
        <v>6742</v>
      </c>
      <c r="C19953" t="s">
        <v>49072</v>
      </c>
      <c r="D19953" t="s">
        <v>58769</v>
      </c>
      <c r="E19953" t="b">
        <v>0</v>
      </c>
      <c r="F19953" t="s">
        <v>11622</v>
      </c>
      <c r="L19953">
        <v>0</v>
      </c>
      <c r="M19953">
        <v>2</v>
      </c>
      <c r="N19953">
        <v>10</v>
      </c>
    </row>
    <row r="19954" spans="1:15">
      <c r="A19954" t="s">
        <v>20632</v>
      </c>
      <c r="B19954" t="s">
        <v>367</v>
      </c>
      <c r="C19954" t="s">
        <v>21886</v>
      </c>
      <c r="D19954" t="s">
        <v>58770</v>
      </c>
      <c r="E19954" t="b">
        <v>0</v>
      </c>
      <c r="F19954" t="s">
        <v>11622</v>
      </c>
      <c r="L19954">
        <v>1</v>
      </c>
      <c r="M19954">
        <v>4</v>
      </c>
      <c r="N19954">
        <v>7</v>
      </c>
    </row>
    <row r="19955" spans="1:15">
      <c r="A19955" t="s">
        <v>24780</v>
      </c>
      <c r="B19955" t="s">
        <v>6742</v>
      </c>
      <c r="C19955" t="s">
        <v>44450</v>
      </c>
      <c r="D19955" t="s">
        <v>58771</v>
      </c>
      <c r="E19955" t="b">
        <v>0</v>
      </c>
      <c r="F19955" t="s">
        <v>11622</v>
      </c>
      <c r="L19955">
        <v>0</v>
      </c>
      <c r="M19955">
        <v>2</v>
      </c>
      <c r="N19955">
        <v>0</v>
      </c>
    </row>
    <row r="19956" spans="1:15">
      <c r="A19956" t="s">
        <v>34553</v>
      </c>
      <c r="B19956" t="s">
        <v>6742</v>
      </c>
      <c r="C19956" t="s">
        <v>49081</v>
      </c>
      <c r="D19956" t="s">
        <v>58772</v>
      </c>
      <c r="E19956" t="b">
        <v>0</v>
      </c>
      <c r="F19956" t="s">
        <v>11622</v>
      </c>
      <c r="L19956">
        <v>2</v>
      </c>
      <c r="M19956">
        <v>5</v>
      </c>
      <c r="N19956">
        <v>12</v>
      </c>
    </row>
    <row r="19957" spans="1:15">
      <c r="A19957" t="s">
        <v>40915</v>
      </c>
      <c r="B19957" t="s">
        <v>367</v>
      </c>
      <c r="C19957" t="s">
        <v>20632</v>
      </c>
      <c r="D19957" t="s">
        <v>58773</v>
      </c>
      <c r="E19957" t="b">
        <v>0</v>
      </c>
      <c r="F19957" t="s">
        <v>11622</v>
      </c>
      <c r="L19957">
        <v>0</v>
      </c>
      <c r="M19957">
        <v>2</v>
      </c>
      <c r="N19957">
        <v>3</v>
      </c>
    </row>
    <row r="19958" spans="1:15">
      <c r="A19958" t="s">
        <v>15611</v>
      </c>
      <c r="B19958" t="s">
        <v>367</v>
      </c>
      <c r="C19958" t="s">
        <v>26576</v>
      </c>
      <c r="D19958" t="s">
        <v>58774</v>
      </c>
      <c r="E19958" t="b">
        <v>0</v>
      </c>
      <c r="F19958" t="s">
        <v>11622</v>
      </c>
      <c r="L19958">
        <v>0</v>
      </c>
      <c r="M19958">
        <v>2</v>
      </c>
      <c r="N19958">
        <v>6</v>
      </c>
    </row>
    <row r="19959" spans="1:15">
      <c r="A19959" t="s">
        <v>23790</v>
      </c>
      <c r="B19959" t="s">
        <v>6742</v>
      </c>
      <c r="C19959" t="s">
        <v>21908</v>
      </c>
      <c r="D19959" t="s">
        <v>58775</v>
      </c>
      <c r="E19959" t="b">
        <v>0</v>
      </c>
      <c r="F19959" t="s">
        <v>11622</v>
      </c>
      <c r="L19959">
        <v>0</v>
      </c>
      <c r="M19959">
        <v>2</v>
      </c>
      <c r="N19959">
        <v>5</v>
      </c>
    </row>
    <row r="19960" spans="1:15">
      <c r="A19960" t="s">
        <v>58776</v>
      </c>
      <c r="B19960" t="s">
        <v>11644</v>
      </c>
      <c r="C19960" t="s">
        <v>26934</v>
      </c>
      <c r="D19960" t="s">
        <v>58777</v>
      </c>
      <c r="E19960" t="b">
        <v>0</v>
      </c>
      <c r="F19960" t="s">
        <v>11624</v>
      </c>
      <c r="G19960">
        <v>23.5</v>
      </c>
      <c r="H19960">
        <v>99.33</v>
      </c>
      <c r="L19960">
        <v>0</v>
      </c>
      <c r="M19960">
        <v>0</v>
      </c>
      <c r="N19960">
        <v>0</v>
      </c>
      <c r="O19960" t="s">
        <v>11905</v>
      </c>
    </row>
    <row r="19961" spans="1:15">
      <c r="A19961" t="s">
        <v>21916</v>
      </c>
      <c r="B19961" t="s">
        <v>367</v>
      </c>
      <c r="C19961" t="s">
        <v>44194</v>
      </c>
      <c r="D19961" t="s">
        <v>58778</v>
      </c>
      <c r="E19961" t="b">
        <v>0</v>
      </c>
      <c r="F19961" t="s">
        <v>11622</v>
      </c>
      <c r="L19961">
        <v>22</v>
      </c>
      <c r="M19961">
        <v>30</v>
      </c>
      <c r="N19961">
        <v>47</v>
      </c>
    </row>
    <row r="19962" spans="1:15">
      <c r="A19962" t="s">
        <v>31090</v>
      </c>
      <c r="B19962" t="s">
        <v>11644</v>
      </c>
      <c r="C19962" t="s">
        <v>35637</v>
      </c>
      <c r="D19962" t="s">
        <v>58779</v>
      </c>
      <c r="E19962" t="b">
        <v>0</v>
      </c>
      <c r="F19962" t="s">
        <v>11622</v>
      </c>
      <c r="L19962">
        <v>33</v>
      </c>
      <c r="M19962">
        <v>43</v>
      </c>
      <c r="N19962">
        <v>20</v>
      </c>
    </row>
    <row r="19963" spans="1:15">
      <c r="A19963" t="s">
        <v>37689</v>
      </c>
      <c r="B19963" t="s">
        <v>11607</v>
      </c>
      <c r="C19963" t="s">
        <v>40320</v>
      </c>
      <c r="D19963" t="s">
        <v>58780</v>
      </c>
      <c r="E19963" t="b">
        <v>0</v>
      </c>
      <c r="F19963" t="s">
        <v>11622</v>
      </c>
      <c r="L19963">
        <v>0</v>
      </c>
      <c r="M19963">
        <v>2</v>
      </c>
      <c r="N19963">
        <v>12</v>
      </c>
    </row>
    <row r="19964" spans="1:15">
      <c r="A19964" t="s">
        <v>37412</v>
      </c>
      <c r="B19964" t="s">
        <v>4236</v>
      </c>
      <c r="C19964" t="s">
        <v>6212</v>
      </c>
      <c r="D19964" t="s">
        <v>58781</v>
      </c>
      <c r="E19964" t="b">
        <v>0</v>
      </c>
      <c r="F19964" t="s">
        <v>11622</v>
      </c>
      <c r="L19964">
        <v>0</v>
      </c>
      <c r="M19964">
        <v>2</v>
      </c>
      <c r="N19964">
        <v>0</v>
      </c>
    </row>
    <row r="19965" spans="1:15">
      <c r="A19965" t="s">
        <v>25165</v>
      </c>
      <c r="B19965" t="s">
        <v>11644</v>
      </c>
      <c r="C19965" t="s">
        <v>22024</v>
      </c>
      <c r="D19965" t="s">
        <v>58782</v>
      </c>
      <c r="E19965" t="b">
        <v>0</v>
      </c>
      <c r="F19965" t="s">
        <v>11622</v>
      </c>
      <c r="L19965">
        <v>6</v>
      </c>
      <c r="M19965">
        <v>15</v>
      </c>
      <c r="N19965">
        <v>17</v>
      </c>
    </row>
    <row r="19966" spans="1:15">
      <c r="A19966" t="s">
        <v>19893</v>
      </c>
      <c r="B19966" t="s">
        <v>11644</v>
      </c>
      <c r="C19966" t="s">
        <v>22025</v>
      </c>
      <c r="D19966" t="s">
        <v>58783</v>
      </c>
      <c r="E19966" t="b">
        <v>0</v>
      </c>
      <c r="F19966" t="s">
        <v>11622</v>
      </c>
      <c r="L19966">
        <v>3</v>
      </c>
      <c r="M19966">
        <v>10</v>
      </c>
      <c r="N19966">
        <v>5</v>
      </c>
    </row>
    <row r="19967" spans="1:15">
      <c r="A19967" t="s">
        <v>26430</v>
      </c>
      <c r="B19967" t="s">
        <v>11607</v>
      </c>
      <c r="C19967" t="s">
        <v>21931</v>
      </c>
      <c r="D19967" t="s">
        <v>58784</v>
      </c>
      <c r="E19967" t="b">
        <v>0</v>
      </c>
      <c r="F19967" t="s">
        <v>11622</v>
      </c>
      <c r="L19967">
        <v>0</v>
      </c>
      <c r="M19967">
        <v>2</v>
      </c>
      <c r="N19967">
        <v>4</v>
      </c>
    </row>
    <row r="19968" spans="1:15">
      <c r="A19968" t="s">
        <v>31668</v>
      </c>
      <c r="B19968" t="s">
        <v>11607</v>
      </c>
      <c r="C19968" t="s">
        <v>40320</v>
      </c>
      <c r="D19968" t="s">
        <v>58785</v>
      </c>
      <c r="E19968" t="b">
        <v>0</v>
      </c>
      <c r="F19968" t="s">
        <v>11622</v>
      </c>
      <c r="L19968">
        <v>0</v>
      </c>
      <c r="M19968">
        <v>2</v>
      </c>
      <c r="N19968">
        <v>4</v>
      </c>
    </row>
    <row r="19969" spans="1:15">
      <c r="A19969" t="s">
        <v>20644</v>
      </c>
      <c r="B19969" t="s">
        <v>367</v>
      </c>
      <c r="C19969" t="s">
        <v>14101</v>
      </c>
      <c r="D19969" t="s">
        <v>58786</v>
      </c>
      <c r="E19969" t="b">
        <v>0</v>
      </c>
      <c r="F19969" t="s">
        <v>11622</v>
      </c>
      <c r="L19969">
        <v>0</v>
      </c>
      <c r="M19969">
        <v>3</v>
      </c>
      <c r="N19969">
        <v>0</v>
      </c>
    </row>
    <row r="19970" spans="1:15">
      <c r="A19970" t="s">
        <v>58787</v>
      </c>
      <c r="B19970" t="s">
        <v>11627</v>
      </c>
      <c r="C19970" t="s">
        <v>11627</v>
      </c>
      <c r="D19970" t="s">
        <v>58788</v>
      </c>
      <c r="E19970" t="b">
        <v>1</v>
      </c>
      <c r="F19970" t="s">
        <v>11624</v>
      </c>
      <c r="I19970" t="s">
        <v>58789</v>
      </c>
      <c r="L19970">
        <v>0</v>
      </c>
      <c r="M19970">
        <v>0</v>
      </c>
      <c r="N19970">
        <v>0</v>
      </c>
    </row>
    <row r="19971" spans="1:15">
      <c r="A19971" t="s">
        <v>58790</v>
      </c>
      <c r="B19971" t="s">
        <v>11627</v>
      </c>
      <c r="C19971" t="s">
        <v>11627</v>
      </c>
      <c r="D19971" t="s">
        <v>58791</v>
      </c>
      <c r="E19971" t="b">
        <v>1</v>
      </c>
      <c r="F19971" t="s">
        <v>11624</v>
      </c>
      <c r="I19971" t="s">
        <v>58792</v>
      </c>
      <c r="L19971">
        <v>0</v>
      </c>
      <c r="M19971">
        <v>0</v>
      </c>
      <c r="N19971">
        <v>0</v>
      </c>
    </row>
    <row r="19972" spans="1:15">
      <c r="A19972" t="s">
        <v>58793</v>
      </c>
      <c r="B19972" t="s">
        <v>11627</v>
      </c>
      <c r="C19972" t="s">
        <v>11627</v>
      </c>
      <c r="D19972" t="s">
        <v>58794</v>
      </c>
      <c r="E19972" t="b">
        <v>1</v>
      </c>
      <c r="F19972" t="s">
        <v>11624</v>
      </c>
      <c r="I19972" t="s">
        <v>58795</v>
      </c>
      <c r="L19972">
        <v>0</v>
      </c>
      <c r="M19972">
        <v>0</v>
      </c>
      <c r="N19972">
        <v>0</v>
      </c>
    </row>
    <row r="19973" spans="1:15">
      <c r="A19973" t="s">
        <v>58796</v>
      </c>
      <c r="B19973" t="s">
        <v>11627</v>
      </c>
      <c r="C19973" t="s">
        <v>11627</v>
      </c>
      <c r="D19973" t="s">
        <v>58797</v>
      </c>
      <c r="E19973" t="b">
        <v>1</v>
      </c>
      <c r="F19973" t="s">
        <v>11624</v>
      </c>
      <c r="I19973" t="s">
        <v>58798</v>
      </c>
      <c r="L19973">
        <v>0</v>
      </c>
      <c r="M19973">
        <v>0</v>
      </c>
      <c r="N19973">
        <v>0</v>
      </c>
    </row>
    <row r="19974" spans="1:15">
      <c r="A19974" t="s">
        <v>58799</v>
      </c>
      <c r="B19974" t="s">
        <v>11627</v>
      </c>
      <c r="C19974" t="s">
        <v>11627</v>
      </c>
      <c r="D19974" t="s">
        <v>58800</v>
      </c>
      <c r="E19974" t="b">
        <v>1</v>
      </c>
      <c r="F19974" t="s">
        <v>11624</v>
      </c>
      <c r="I19974" t="s">
        <v>58801</v>
      </c>
      <c r="L19974">
        <v>0</v>
      </c>
      <c r="M19974">
        <v>0</v>
      </c>
      <c r="N19974">
        <v>0</v>
      </c>
    </row>
    <row r="19975" spans="1:15">
      <c r="A19975" t="s">
        <v>58080</v>
      </c>
      <c r="B19975" t="s">
        <v>12260</v>
      </c>
      <c r="C19975" t="s">
        <v>49128</v>
      </c>
      <c r="D19975" t="s">
        <v>58802</v>
      </c>
      <c r="E19975" t="b">
        <v>0</v>
      </c>
      <c r="F19975" t="s">
        <v>11624</v>
      </c>
      <c r="L19975">
        <v>0</v>
      </c>
      <c r="M19975">
        <v>0</v>
      </c>
      <c r="N19975">
        <v>1</v>
      </c>
      <c r="O19975" t="s">
        <v>12748</v>
      </c>
    </row>
    <row r="19976" spans="1:15">
      <c r="A19976" t="s">
        <v>58803</v>
      </c>
      <c r="B19976" t="s">
        <v>13450</v>
      </c>
      <c r="C19976" t="s">
        <v>13451</v>
      </c>
      <c r="D19976" t="s">
        <v>58804</v>
      </c>
      <c r="E19976" t="b">
        <v>0</v>
      </c>
      <c r="F19976" t="s">
        <v>11624</v>
      </c>
      <c r="L19976">
        <v>0</v>
      </c>
      <c r="M19976">
        <v>0</v>
      </c>
      <c r="N19976">
        <v>0</v>
      </c>
      <c r="O19976" t="s">
        <v>12107</v>
      </c>
    </row>
    <row r="19977" spans="1:15">
      <c r="A19977" t="s">
        <v>39936</v>
      </c>
      <c r="B19977" t="s">
        <v>11981</v>
      </c>
      <c r="C19977" t="s">
        <v>16847</v>
      </c>
      <c r="D19977" t="s">
        <v>58805</v>
      </c>
      <c r="E19977" t="b">
        <v>0</v>
      </c>
      <c r="F19977" t="s">
        <v>11622</v>
      </c>
      <c r="L19977">
        <v>0</v>
      </c>
      <c r="M19977">
        <v>3</v>
      </c>
      <c r="N19977">
        <v>0</v>
      </c>
    </row>
    <row r="19978" spans="1:15">
      <c r="A19978" t="s">
        <v>19355</v>
      </c>
      <c r="B19978" t="s">
        <v>367</v>
      </c>
      <c r="C19978" t="s">
        <v>46135</v>
      </c>
      <c r="D19978" t="s">
        <v>58806</v>
      </c>
      <c r="E19978" t="b">
        <v>0</v>
      </c>
      <c r="F19978" t="s">
        <v>11622</v>
      </c>
      <c r="L19978">
        <v>21</v>
      </c>
      <c r="M19978">
        <v>45</v>
      </c>
      <c r="N19978">
        <v>60</v>
      </c>
    </row>
    <row r="19979" spans="1:15">
      <c r="A19979" t="s">
        <v>58807</v>
      </c>
      <c r="B19979" t="s">
        <v>367</v>
      </c>
      <c r="C19979" t="s">
        <v>18371</v>
      </c>
      <c r="D19979" t="s">
        <v>58808</v>
      </c>
      <c r="E19979" t="b">
        <v>0</v>
      </c>
      <c r="F19979" t="s">
        <v>11622</v>
      </c>
      <c r="L19979">
        <v>1</v>
      </c>
      <c r="M19979">
        <v>3</v>
      </c>
      <c r="N19979">
        <v>0</v>
      </c>
    </row>
    <row r="19980" spans="1:15">
      <c r="A19980" t="s">
        <v>21862</v>
      </c>
      <c r="B19980" t="s">
        <v>367</v>
      </c>
      <c r="C19980" t="s">
        <v>13371</v>
      </c>
      <c r="D19980" t="s">
        <v>58809</v>
      </c>
      <c r="E19980" t="b">
        <v>0</v>
      </c>
      <c r="F19980" t="s">
        <v>11622</v>
      </c>
      <c r="L19980">
        <v>2</v>
      </c>
      <c r="M19980">
        <v>7</v>
      </c>
      <c r="N19980">
        <v>10</v>
      </c>
    </row>
    <row r="19981" spans="1:15">
      <c r="A19981" t="s">
        <v>31782</v>
      </c>
      <c r="B19981" t="s">
        <v>12438</v>
      </c>
      <c r="C19981" t="s">
        <v>13839</v>
      </c>
      <c r="D19981" t="s">
        <v>58810</v>
      </c>
      <c r="E19981" t="b">
        <v>0</v>
      </c>
      <c r="F19981" t="s">
        <v>11622</v>
      </c>
      <c r="L19981">
        <v>0</v>
      </c>
      <c r="M19981">
        <v>4</v>
      </c>
      <c r="N19981">
        <v>2</v>
      </c>
    </row>
    <row r="19982" spans="1:15">
      <c r="A19982" t="s">
        <v>22804</v>
      </c>
      <c r="B19982" t="s">
        <v>6742</v>
      </c>
      <c r="C19982" t="s">
        <v>47960</v>
      </c>
      <c r="D19982" t="s">
        <v>58811</v>
      </c>
      <c r="E19982" t="b">
        <v>0</v>
      </c>
      <c r="F19982" t="s">
        <v>11622</v>
      </c>
      <c r="L19982">
        <v>17</v>
      </c>
      <c r="M19982">
        <v>28</v>
      </c>
      <c r="N19982">
        <v>21</v>
      </c>
    </row>
    <row r="19983" spans="1:15">
      <c r="A19983" t="s">
        <v>29038</v>
      </c>
      <c r="B19983" t="s">
        <v>11844</v>
      </c>
      <c r="C19983" t="s">
        <v>1305</v>
      </c>
      <c r="D19983" t="s">
        <v>58812</v>
      </c>
      <c r="E19983" t="b">
        <v>0</v>
      </c>
      <c r="F19983" t="s">
        <v>11622</v>
      </c>
      <c r="L19983">
        <v>3</v>
      </c>
      <c r="M19983">
        <v>6</v>
      </c>
      <c r="N19983">
        <v>15</v>
      </c>
    </row>
    <row r="19984" spans="1:15">
      <c r="A19984" t="s">
        <v>58813</v>
      </c>
      <c r="B19984" t="s">
        <v>12254</v>
      </c>
      <c r="C19984" t="s">
        <v>23727</v>
      </c>
      <c r="D19984" t="s">
        <v>58814</v>
      </c>
      <c r="E19984" t="b">
        <v>0</v>
      </c>
      <c r="F19984" t="s">
        <v>11624</v>
      </c>
      <c r="G19984">
        <v>9.98</v>
      </c>
      <c r="H19984">
        <v>35.51</v>
      </c>
      <c r="L19984">
        <v>0</v>
      </c>
      <c r="M19984">
        <v>0</v>
      </c>
      <c r="N19984">
        <v>0</v>
      </c>
      <c r="O19984" t="s">
        <v>14035</v>
      </c>
    </row>
    <row r="19985" spans="1:15">
      <c r="A19985" t="s">
        <v>40830</v>
      </c>
      <c r="B19985" t="s">
        <v>12979</v>
      </c>
      <c r="C19985" t="s">
        <v>21166</v>
      </c>
      <c r="D19985" t="s">
        <v>58815</v>
      </c>
      <c r="E19985" t="b">
        <v>0</v>
      </c>
      <c r="F19985" t="s">
        <v>11622</v>
      </c>
      <c r="L19985">
        <v>0</v>
      </c>
      <c r="M19985">
        <v>4</v>
      </c>
      <c r="N19985">
        <v>4</v>
      </c>
    </row>
    <row r="19986" spans="1:15">
      <c r="A19986" t="s">
        <v>24791</v>
      </c>
      <c r="B19986" t="s">
        <v>6742</v>
      </c>
      <c r="C19986" t="s">
        <v>49118</v>
      </c>
      <c r="D19986" t="s">
        <v>58816</v>
      </c>
      <c r="E19986" t="b">
        <v>0</v>
      </c>
      <c r="F19986" t="s">
        <v>11622</v>
      </c>
      <c r="L19986">
        <v>4</v>
      </c>
      <c r="M19986">
        <v>9</v>
      </c>
      <c r="N19986">
        <v>19</v>
      </c>
    </row>
    <row r="19987" spans="1:15">
      <c r="A19987" t="s">
        <v>20767</v>
      </c>
      <c r="B19987" t="s">
        <v>367</v>
      </c>
      <c r="C19987" t="s">
        <v>15138</v>
      </c>
      <c r="D19987" t="s">
        <v>58817</v>
      </c>
      <c r="E19987" t="b">
        <v>0</v>
      </c>
      <c r="F19987" t="s">
        <v>11622</v>
      </c>
      <c r="L19987">
        <v>2</v>
      </c>
      <c r="M19987">
        <v>7</v>
      </c>
      <c r="N19987">
        <v>0</v>
      </c>
    </row>
    <row r="19988" spans="1:15">
      <c r="A19988" t="s">
        <v>24951</v>
      </c>
      <c r="B19988" t="s">
        <v>367</v>
      </c>
      <c r="C19988" t="s">
        <v>47794</v>
      </c>
      <c r="D19988" t="s">
        <v>58818</v>
      </c>
      <c r="E19988" t="b">
        <v>0</v>
      </c>
      <c r="F19988" t="s">
        <v>11622</v>
      </c>
      <c r="L19988">
        <v>3</v>
      </c>
      <c r="M19988">
        <v>9</v>
      </c>
      <c r="N19988">
        <v>3</v>
      </c>
    </row>
    <row r="19989" spans="1:15">
      <c r="A19989" t="s">
        <v>48150</v>
      </c>
      <c r="B19989" t="s">
        <v>367</v>
      </c>
      <c r="C19989" t="s">
        <v>49123</v>
      </c>
      <c r="D19989" t="s">
        <v>58819</v>
      </c>
      <c r="E19989" t="b">
        <v>0</v>
      </c>
      <c r="F19989" t="s">
        <v>11624</v>
      </c>
      <c r="G19989">
        <v>4</v>
      </c>
      <c r="H19989">
        <v>117.75</v>
      </c>
      <c r="I19989" t="s">
        <v>58820</v>
      </c>
      <c r="L19989">
        <v>0</v>
      </c>
      <c r="M19989">
        <v>0</v>
      </c>
      <c r="N19989">
        <v>6</v>
      </c>
      <c r="O19989" t="s">
        <v>11768</v>
      </c>
    </row>
    <row r="19990" spans="1:15">
      <c r="A19990" t="s">
        <v>58022</v>
      </c>
      <c r="B19990" t="s">
        <v>11637</v>
      </c>
      <c r="C19990" t="s">
        <v>7902</v>
      </c>
      <c r="D19990" t="s">
        <v>58821</v>
      </c>
      <c r="E19990" t="b">
        <v>0</v>
      </c>
      <c r="F19990" t="s">
        <v>11622</v>
      </c>
      <c r="L19990">
        <v>0</v>
      </c>
      <c r="M19990">
        <v>2</v>
      </c>
      <c r="N19990">
        <v>8</v>
      </c>
    </row>
    <row r="19991" spans="1:15">
      <c r="A19991" t="s">
        <v>14770</v>
      </c>
      <c r="B19991" t="s">
        <v>11637</v>
      </c>
      <c r="C19991" t="s">
        <v>49126</v>
      </c>
      <c r="D19991" t="s">
        <v>58822</v>
      </c>
      <c r="E19991" t="b">
        <v>0</v>
      </c>
      <c r="F19991" t="s">
        <v>11622</v>
      </c>
      <c r="L19991">
        <v>1</v>
      </c>
      <c r="M19991">
        <v>3</v>
      </c>
      <c r="N19991">
        <v>5</v>
      </c>
    </row>
    <row r="19992" spans="1:15">
      <c r="A19992" t="s">
        <v>21056</v>
      </c>
      <c r="B19992" t="s">
        <v>11965</v>
      </c>
      <c r="C19992" t="s">
        <v>37795</v>
      </c>
      <c r="D19992" t="s">
        <v>58823</v>
      </c>
      <c r="E19992" t="b">
        <v>0</v>
      </c>
      <c r="F19992" t="s">
        <v>11622</v>
      </c>
      <c r="L19992">
        <v>0</v>
      </c>
      <c r="M19992">
        <v>2</v>
      </c>
      <c r="N19992">
        <v>6</v>
      </c>
    </row>
    <row r="19993" spans="1:15">
      <c r="A19993" t="s">
        <v>32987</v>
      </c>
      <c r="B19993" t="s">
        <v>11879</v>
      </c>
      <c r="C19993" t="s">
        <v>5465</v>
      </c>
      <c r="D19993" t="s">
        <v>58824</v>
      </c>
      <c r="E19993" t="b">
        <v>0</v>
      </c>
      <c r="F19993" t="s">
        <v>11622</v>
      </c>
      <c r="L19993">
        <v>0</v>
      </c>
      <c r="M19993">
        <v>2</v>
      </c>
      <c r="N19993">
        <v>0</v>
      </c>
    </row>
    <row r="19994" spans="1:15">
      <c r="A19994" t="s">
        <v>33818</v>
      </c>
      <c r="B19994" t="s">
        <v>11637</v>
      </c>
      <c r="C19994" t="s">
        <v>48997</v>
      </c>
      <c r="D19994" t="s">
        <v>58825</v>
      </c>
      <c r="E19994" t="b">
        <v>0</v>
      </c>
      <c r="F19994" t="s">
        <v>11622</v>
      </c>
      <c r="L19994">
        <v>1</v>
      </c>
      <c r="M19994">
        <v>4</v>
      </c>
      <c r="N19994">
        <v>12</v>
      </c>
    </row>
    <row r="19995" spans="1:15">
      <c r="A19995" t="s">
        <v>26622</v>
      </c>
      <c r="B19995" t="s">
        <v>6742</v>
      </c>
      <c r="C19995" t="s">
        <v>23415</v>
      </c>
      <c r="D19995" t="s">
        <v>58826</v>
      </c>
      <c r="E19995" t="b">
        <v>0</v>
      </c>
      <c r="F19995" t="s">
        <v>11622</v>
      </c>
      <c r="L19995">
        <v>1</v>
      </c>
      <c r="M19995">
        <v>4</v>
      </c>
      <c r="N19995">
        <v>12</v>
      </c>
    </row>
    <row r="19996" spans="1:15">
      <c r="A19996" t="s">
        <v>46494</v>
      </c>
      <c r="B19996" t="s">
        <v>11644</v>
      </c>
      <c r="C19996" t="s">
        <v>49134</v>
      </c>
      <c r="D19996" t="s">
        <v>58827</v>
      </c>
      <c r="E19996" t="b">
        <v>0</v>
      </c>
      <c r="F19996" t="s">
        <v>11624</v>
      </c>
      <c r="G19996">
        <v>23.010999999999999</v>
      </c>
      <c r="H19996">
        <v>108.093</v>
      </c>
      <c r="L19996">
        <v>0</v>
      </c>
      <c r="M19996">
        <v>0</v>
      </c>
      <c r="N19996">
        <v>3</v>
      </c>
      <c r="O19996" t="s">
        <v>11905</v>
      </c>
    </row>
    <row r="19997" spans="1:15">
      <c r="A19997" t="s">
        <v>58828</v>
      </c>
      <c r="B19997" t="s">
        <v>12438</v>
      </c>
      <c r="C19997" t="s">
        <v>35360</v>
      </c>
      <c r="D19997" t="s">
        <v>58829</v>
      </c>
      <c r="E19997" t="b">
        <v>0</v>
      </c>
      <c r="F19997" t="s">
        <v>11624</v>
      </c>
      <c r="G19997">
        <v>16.108419000000001</v>
      </c>
      <c r="H19997">
        <v>106.473214</v>
      </c>
      <c r="I19997" t="s">
        <v>58830</v>
      </c>
      <c r="L19997">
        <v>0</v>
      </c>
      <c r="M19997">
        <v>0</v>
      </c>
      <c r="N19997">
        <v>0</v>
      </c>
      <c r="O19997" t="s">
        <v>12921</v>
      </c>
    </row>
    <row r="19998" spans="1:15">
      <c r="A19998" t="s">
        <v>26294</v>
      </c>
      <c r="B19998" t="s">
        <v>11615</v>
      </c>
      <c r="C19998" t="s">
        <v>36028</v>
      </c>
      <c r="D19998" t="s">
        <v>58831</v>
      </c>
      <c r="E19998" t="b">
        <v>0</v>
      </c>
      <c r="F19998" t="s">
        <v>11622</v>
      </c>
      <c r="L19998">
        <v>0</v>
      </c>
      <c r="M19998">
        <v>2</v>
      </c>
      <c r="N19998">
        <v>0</v>
      </c>
    </row>
    <row r="19999" spans="1:15">
      <c r="A19999" t="s">
        <v>58832</v>
      </c>
      <c r="B19999" t="s">
        <v>12260</v>
      </c>
      <c r="C19999" t="s">
        <v>42709</v>
      </c>
      <c r="D19999" t="s">
        <v>58833</v>
      </c>
      <c r="E19999" t="b">
        <v>0</v>
      </c>
      <c r="F19999" t="s">
        <v>11624</v>
      </c>
      <c r="G19999">
        <v>58.436199999999999</v>
      </c>
      <c r="H19999">
        <v>65.566400000000002</v>
      </c>
      <c r="L19999">
        <v>0</v>
      </c>
      <c r="M19999">
        <v>0</v>
      </c>
      <c r="N19999">
        <v>0</v>
      </c>
      <c r="O19999" t="s">
        <v>12748</v>
      </c>
    </row>
    <row r="20000" spans="1:15">
      <c r="A20000" t="s">
        <v>21422</v>
      </c>
      <c r="B20000" t="s">
        <v>11644</v>
      </c>
      <c r="C20000" t="s">
        <v>448</v>
      </c>
      <c r="D20000" t="s">
        <v>58834</v>
      </c>
      <c r="E20000" t="b">
        <v>0</v>
      </c>
      <c r="F20000" t="s">
        <v>11622</v>
      </c>
      <c r="L20000">
        <v>0</v>
      </c>
      <c r="M20000">
        <v>2</v>
      </c>
      <c r="N20000">
        <v>9</v>
      </c>
    </row>
    <row r="20001" spans="1:15">
      <c r="A20001" t="s">
        <v>58835</v>
      </c>
      <c r="B20001" t="s">
        <v>11644</v>
      </c>
      <c r="C20001" t="s">
        <v>31566</v>
      </c>
      <c r="D20001" t="s">
        <v>58836</v>
      </c>
      <c r="E20001" t="b">
        <v>0</v>
      </c>
      <c r="F20001" t="s">
        <v>11610</v>
      </c>
      <c r="L20001">
        <v>0</v>
      </c>
      <c r="M20001">
        <v>0</v>
      </c>
      <c r="N20001">
        <v>0</v>
      </c>
    </row>
    <row r="20002" spans="1:15">
      <c r="A20002" t="s">
        <v>58837</v>
      </c>
      <c r="B20002" t="s">
        <v>11644</v>
      </c>
      <c r="C20002" t="s">
        <v>31789</v>
      </c>
      <c r="D20002" t="s">
        <v>58838</v>
      </c>
      <c r="E20002" t="b">
        <v>0</v>
      </c>
      <c r="F20002" t="s">
        <v>11610</v>
      </c>
      <c r="L20002">
        <v>0</v>
      </c>
      <c r="M20002">
        <v>0</v>
      </c>
      <c r="N20002">
        <v>0</v>
      </c>
    </row>
    <row r="20003" spans="1:15">
      <c r="A20003" t="s">
        <v>29635</v>
      </c>
      <c r="B20003" t="s">
        <v>11644</v>
      </c>
      <c r="C20003" t="s">
        <v>48463</v>
      </c>
      <c r="D20003" t="s">
        <v>58839</v>
      </c>
      <c r="E20003" t="b">
        <v>0</v>
      </c>
      <c r="F20003" t="s">
        <v>11624</v>
      </c>
      <c r="G20003">
        <v>31.852418</v>
      </c>
      <c r="H20003">
        <v>103.828678</v>
      </c>
      <c r="L20003">
        <v>0</v>
      </c>
      <c r="M20003">
        <v>0</v>
      </c>
      <c r="N20003">
        <v>2</v>
      </c>
      <c r="O20003" t="s">
        <v>11905</v>
      </c>
    </row>
    <row r="20004" spans="1:15">
      <c r="A20004" t="s">
        <v>58840</v>
      </c>
      <c r="B20004" t="s">
        <v>11644</v>
      </c>
      <c r="C20004" t="s">
        <v>23045</v>
      </c>
      <c r="D20004" t="s">
        <v>58841</v>
      </c>
      <c r="E20004" t="b">
        <v>0</v>
      </c>
      <c r="F20004" t="s">
        <v>11610</v>
      </c>
      <c r="L20004">
        <v>0</v>
      </c>
      <c r="M20004">
        <v>0</v>
      </c>
      <c r="N20004">
        <v>0</v>
      </c>
    </row>
    <row r="20005" spans="1:15">
      <c r="A20005" t="s">
        <v>43997</v>
      </c>
      <c r="B20005" t="s">
        <v>11844</v>
      </c>
      <c r="C20005" t="s">
        <v>48420</v>
      </c>
      <c r="D20005" t="s">
        <v>58842</v>
      </c>
      <c r="E20005" t="b">
        <v>0</v>
      </c>
      <c r="F20005" t="s">
        <v>11610</v>
      </c>
      <c r="L20005">
        <v>0</v>
      </c>
      <c r="M20005">
        <v>0</v>
      </c>
      <c r="N20005">
        <v>2</v>
      </c>
    </row>
    <row r="20006" spans="1:15">
      <c r="A20006" t="s">
        <v>34270</v>
      </c>
      <c r="B20006" t="s">
        <v>12311</v>
      </c>
      <c r="C20006" t="s">
        <v>22701</v>
      </c>
      <c r="D20006" t="s">
        <v>58843</v>
      </c>
      <c r="E20006" t="b">
        <v>0</v>
      </c>
      <c r="F20006" t="s">
        <v>11622</v>
      </c>
      <c r="L20006">
        <v>0</v>
      </c>
      <c r="M20006">
        <v>2</v>
      </c>
      <c r="N20006">
        <v>9</v>
      </c>
    </row>
    <row r="20007" spans="1:15">
      <c r="A20007" t="s">
        <v>55876</v>
      </c>
      <c r="B20007" t="s">
        <v>12311</v>
      </c>
      <c r="C20007" t="s">
        <v>34270</v>
      </c>
      <c r="D20007" t="s">
        <v>58844</v>
      </c>
      <c r="E20007" t="b">
        <v>0</v>
      </c>
      <c r="F20007" t="s">
        <v>11624</v>
      </c>
      <c r="G20007">
        <v>41.977226000000002</v>
      </c>
      <c r="H20007">
        <v>47.565486</v>
      </c>
      <c r="L20007">
        <v>0</v>
      </c>
      <c r="M20007">
        <v>0</v>
      </c>
      <c r="N20007">
        <v>9</v>
      </c>
      <c r="O20007" t="s">
        <v>12748</v>
      </c>
    </row>
    <row r="20008" spans="1:15">
      <c r="A20008" t="s">
        <v>58845</v>
      </c>
      <c r="B20008" t="s">
        <v>12260</v>
      </c>
      <c r="C20008" t="s">
        <v>36022</v>
      </c>
      <c r="D20008" t="s">
        <v>58846</v>
      </c>
      <c r="E20008" t="b">
        <v>0</v>
      </c>
      <c r="F20008" t="s">
        <v>11610</v>
      </c>
      <c r="L20008">
        <v>0</v>
      </c>
      <c r="M20008">
        <v>0</v>
      </c>
      <c r="N20008">
        <v>0</v>
      </c>
    </row>
    <row r="20009" spans="1:15">
      <c r="A20009" t="s">
        <v>58847</v>
      </c>
      <c r="B20009" t="s">
        <v>11607</v>
      </c>
      <c r="C20009" t="s">
        <v>111</v>
      </c>
      <c r="D20009" t="s">
        <v>58848</v>
      </c>
      <c r="E20009" t="b">
        <v>0</v>
      </c>
      <c r="F20009" t="s">
        <v>11622</v>
      </c>
      <c r="L20009">
        <v>0</v>
      </c>
      <c r="M20009">
        <v>3</v>
      </c>
      <c r="N20009">
        <v>8</v>
      </c>
    </row>
    <row r="20010" spans="1:15">
      <c r="A20010" t="s">
        <v>17998</v>
      </c>
      <c r="B20010" t="s">
        <v>11607</v>
      </c>
      <c r="C20010" t="s">
        <v>17991</v>
      </c>
      <c r="D20010" t="s">
        <v>58849</v>
      </c>
      <c r="E20010" t="b">
        <v>0</v>
      </c>
      <c r="F20010" t="s">
        <v>11610</v>
      </c>
      <c r="L20010">
        <v>0</v>
      </c>
      <c r="M20010">
        <v>0</v>
      </c>
      <c r="N20010">
        <v>3</v>
      </c>
    </row>
    <row r="20011" spans="1:15">
      <c r="A20011" t="s">
        <v>18761</v>
      </c>
      <c r="B20011" t="s">
        <v>11607</v>
      </c>
      <c r="C20011" t="s">
        <v>15703</v>
      </c>
      <c r="D20011" t="s">
        <v>58850</v>
      </c>
      <c r="E20011" t="b">
        <v>0</v>
      </c>
      <c r="F20011" t="s">
        <v>11610</v>
      </c>
      <c r="L20011">
        <v>0</v>
      </c>
      <c r="M20011">
        <v>0</v>
      </c>
      <c r="N20011">
        <v>5</v>
      </c>
    </row>
    <row r="20012" spans="1:15">
      <c r="A20012" t="s">
        <v>28387</v>
      </c>
      <c r="B20012" t="s">
        <v>331</v>
      </c>
      <c r="C20012" t="s">
        <v>48400</v>
      </c>
      <c r="D20012" t="s">
        <v>58851</v>
      </c>
      <c r="E20012" t="b">
        <v>0</v>
      </c>
      <c r="F20012" t="s">
        <v>11610</v>
      </c>
      <c r="L20012">
        <v>0</v>
      </c>
      <c r="M20012">
        <v>0</v>
      </c>
      <c r="N20012">
        <v>2</v>
      </c>
    </row>
    <row r="20013" spans="1:15">
      <c r="A20013" t="s">
        <v>39179</v>
      </c>
      <c r="B20013" t="s">
        <v>367</v>
      </c>
      <c r="C20013" t="s">
        <v>35542</v>
      </c>
      <c r="D20013" t="s">
        <v>58852</v>
      </c>
      <c r="E20013" t="b">
        <v>0</v>
      </c>
      <c r="F20013" t="s">
        <v>11610</v>
      </c>
      <c r="L20013">
        <v>0</v>
      </c>
      <c r="M20013">
        <v>0</v>
      </c>
      <c r="N20013">
        <v>2</v>
      </c>
    </row>
    <row r="20014" spans="1:15">
      <c r="A20014" t="s">
        <v>58853</v>
      </c>
      <c r="B20014" t="s">
        <v>12260</v>
      </c>
      <c r="C20014" t="s">
        <v>26662</v>
      </c>
      <c r="D20014" t="s">
        <v>58854</v>
      </c>
      <c r="E20014" t="b">
        <v>0</v>
      </c>
      <c r="F20014" t="s">
        <v>11610</v>
      </c>
      <c r="L20014">
        <v>0</v>
      </c>
      <c r="M20014">
        <v>0</v>
      </c>
      <c r="N20014">
        <v>0</v>
      </c>
    </row>
    <row r="20015" spans="1:15">
      <c r="A20015" t="s">
        <v>58855</v>
      </c>
      <c r="B20015" t="s">
        <v>13014</v>
      </c>
      <c r="C20015" t="s">
        <v>15775</v>
      </c>
      <c r="D20015" t="s">
        <v>58856</v>
      </c>
      <c r="E20015" t="b">
        <v>0</v>
      </c>
      <c r="F20015" t="s">
        <v>11610</v>
      </c>
      <c r="L20015">
        <v>0</v>
      </c>
      <c r="M20015">
        <v>0</v>
      </c>
      <c r="N20015">
        <v>0</v>
      </c>
    </row>
    <row r="20016" spans="1:15">
      <c r="A20016" t="s">
        <v>32734</v>
      </c>
      <c r="B20016" t="s">
        <v>6742</v>
      </c>
      <c r="C20016" t="s">
        <v>257</v>
      </c>
      <c r="D20016" t="s">
        <v>58857</v>
      </c>
      <c r="E20016" t="b">
        <v>0</v>
      </c>
      <c r="F20016" t="s">
        <v>11610</v>
      </c>
      <c r="L20016">
        <v>0</v>
      </c>
      <c r="M20016">
        <v>0</v>
      </c>
      <c r="N20016">
        <v>2</v>
      </c>
    </row>
    <row r="20017" spans="1:15">
      <c r="A20017" t="s">
        <v>58858</v>
      </c>
      <c r="B20017" t="s">
        <v>11912</v>
      </c>
      <c r="C20017" t="s">
        <v>34550</v>
      </c>
      <c r="D20017" t="s">
        <v>58859</v>
      </c>
      <c r="E20017" t="b">
        <v>0</v>
      </c>
      <c r="F20017" t="s">
        <v>11622</v>
      </c>
      <c r="L20017">
        <v>10</v>
      </c>
      <c r="M20017">
        <v>20</v>
      </c>
      <c r="N20017">
        <v>26</v>
      </c>
    </row>
    <row r="20018" spans="1:15">
      <c r="A20018" t="s">
        <v>58860</v>
      </c>
      <c r="B20018" t="s">
        <v>11644</v>
      </c>
      <c r="C20018" t="s">
        <v>26666</v>
      </c>
      <c r="D20018" t="s">
        <v>58861</v>
      </c>
      <c r="E20018" t="b">
        <v>0</v>
      </c>
      <c r="F20018" t="s">
        <v>11610</v>
      </c>
      <c r="L20018">
        <v>0</v>
      </c>
      <c r="M20018">
        <v>0</v>
      </c>
      <c r="N20018">
        <v>0</v>
      </c>
    </row>
    <row r="20019" spans="1:15">
      <c r="A20019" t="s">
        <v>29032</v>
      </c>
      <c r="B20019" t="s">
        <v>11607</v>
      </c>
      <c r="C20019" t="s">
        <v>22004</v>
      </c>
      <c r="D20019" t="s">
        <v>58862</v>
      </c>
      <c r="E20019" t="b">
        <v>0</v>
      </c>
      <c r="F20019" t="s">
        <v>11610</v>
      </c>
      <c r="L20019">
        <v>0</v>
      </c>
      <c r="M20019">
        <v>0</v>
      </c>
      <c r="N20019">
        <v>4</v>
      </c>
    </row>
    <row r="20020" spans="1:15">
      <c r="A20020" t="s">
        <v>58863</v>
      </c>
      <c r="B20020" t="s">
        <v>13210</v>
      </c>
      <c r="C20020" t="s">
        <v>26671</v>
      </c>
      <c r="D20020" t="s">
        <v>58864</v>
      </c>
      <c r="E20020" t="b">
        <v>0</v>
      </c>
      <c r="F20020" t="s">
        <v>11624</v>
      </c>
      <c r="G20020">
        <v>53.054426999999997</v>
      </c>
      <c r="H20020">
        <v>157.430702</v>
      </c>
      <c r="L20020">
        <v>0</v>
      </c>
      <c r="M20020">
        <v>0</v>
      </c>
      <c r="N20020">
        <v>0</v>
      </c>
      <c r="O20020" t="s">
        <v>12748</v>
      </c>
    </row>
    <row r="20021" spans="1:15">
      <c r="A20021" t="s">
        <v>58865</v>
      </c>
      <c r="B20021" t="s">
        <v>11637</v>
      </c>
      <c r="C20021" t="s">
        <v>49173</v>
      </c>
      <c r="D20021" t="s">
        <v>58866</v>
      </c>
      <c r="E20021" t="b">
        <v>0</v>
      </c>
      <c r="F20021" t="s">
        <v>11610</v>
      </c>
      <c r="L20021">
        <v>0</v>
      </c>
      <c r="M20021">
        <v>0</v>
      </c>
      <c r="N20021">
        <v>0</v>
      </c>
    </row>
    <row r="20022" spans="1:15">
      <c r="A20022" t="s">
        <v>58867</v>
      </c>
      <c r="B20022" t="s">
        <v>11637</v>
      </c>
      <c r="C20022" t="s">
        <v>26689</v>
      </c>
      <c r="D20022" t="s">
        <v>58868</v>
      </c>
      <c r="E20022" t="b">
        <v>0</v>
      </c>
      <c r="F20022" t="s">
        <v>11610</v>
      </c>
      <c r="L20022">
        <v>0</v>
      </c>
      <c r="M20022">
        <v>0</v>
      </c>
      <c r="N20022">
        <v>0</v>
      </c>
    </row>
    <row r="20023" spans="1:15">
      <c r="A20023" t="s">
        <v>58869</v>
      </c>
      <c r="B20023" t="s">
        <v>11637</v>
      </c>
      <c r="C20023" t="s">
        <v>26689</v>
      </c>
      <c r="D20023" t="s">
        <v>58870</v>
      </c>
      <c r="E20023" t="b">
        <v>0</v>
      </c>
      <c r="F20023" t="s">
        <v>11610</v>
      </c>
      <c r="L20023">
        <v>0</v>
      </c>
      <c r="M20023">
        <v>0</v>
      </c>
      <c r="N20023">
        <v>0</v>
      </c>
    </row>
    <row r="20024" spans="1:15">
      <c r="A20024" t="s">
        <v>12151</v>
      </c>
      <c r="B20024" t="s">
        <v>11637</v>
      </c>
      <c r="C20024" t="s">
        <v>14993</v>
      </c>
      <c r="D20024" t="s">
        <v>58871</v>
      </c>
      <c r="E20024" t="b">
        <v>0</v>
      </c>
      <c r="F20024" t="s">
        <v>11610</v>
      </c>
      <c r="L20024">
        <v>0</v>
      </c>
      <c r="M20024">
        <v>0</v>
      </c>
      <c r="N20024">
        <v>2</v>
      </c>
    </row>
    <row r="20025" spans="1:15">
      <c r="A20025" t="s">
        <v>58872</v>
      </c>
      <c r="B20025" t="s">
        <v>11637</v>
      </c>
      <c r="C20025" t="s">
        <v>9247</v>
      </c>
      <c r="D20025" t="s">
        <v>58873</v>
      </c>
      <c r="E20025" t="b">
        <v>0</v>
      </c>
      <c r="F20025" t="s">
        <v>11610</v>
      </c>
      <c r="L20025">
        <v>0</v>
      </c>
      <c r="M20025">
        <v>0</v>
      </c>
      <c r="N20025">
        <v>0</v>
      </c>
    </row>
    <row r="20026" spans="1:15">
      <c r="A20026" t="s">
        <v>22019</v>
      </c>
      <c r="B20026" t="s">
        <v>11637</v>
      </c>
      <c r="C20026" t="s">
        <v>180</v>
      </c>
      <c r="D20026" t="s">
        <v>58874</v>
      </c>
      <c r="E20026" t="b">
        <v>0</v>
      </c>
      <c r="F20026" t="s">
        <v>11610</v>
      </c>
      <c r="L20026">
        <v>0</v>
      </c>
      <c r="M20026">
        <v>0</v>
      </c>
      <c r="N20026">
        <v>32</v>
      </c>
    </row>
    <row r="20027" spans="1:15">
      <c r="A20027" t="s">
        <v>58875</v>
      </c>
      <c r="B20027" t="s">
        <v>11637</v>
      </c>
      <c r="C20027" t="s">
        <v>22019</v>
      </c>
      <c r="D20027" t="s">
        <v>58876</v>
      </c>
      <c r="E20027" t="b">
        <v>0</v>
      </c>
      <c r="F20027" t="s">
        <v>11610</v>
      </c>
      <c r="L20027">
        <v>0</v>
      </c>
      <c r="M20027">
        <v>0</v>
      </c>
      <c r="N20027">
        <v>23</v>
      </c>
    </row>
    <row r="20028" spans="1:15">
      <c r="A20028" t="s">
        <v>58877</v>
      </c>
      <c r="B20028" t="s">
        <v>11637</v>
      </c>
      <c r="C20028" t="s">
        <v>26699</v>
      </c>
      <c r="D20028" t="s">
        <v>58878</v>
      </c>
      <c r="E20028" t="b">
        <v>0</v>
      </c>
      <c r="F20028" t="s">
        <v>11610</v>
      </c>
      <c r="L20028">
        <v>0</v>
      </c>
      <c r="M20028">
        <v>0</v>
      </c>
      <c r="N20028">
        <v>0</v>
      </c>
    </row>
    <row r="20029" spans="1:15">
      <c r="A20029" t="s">
        <v>26702</v>
      </c>
      <c r="B20029" t="s">
        <v>11637</v>
      </c>
      <c r="C20029" t="s">
        <v>58875</v>
      </c>
      <c r="D20029" t="s">
        <v>58879</v>
      </c>
      <c r="E20029" t="b">
        <v>0</v>
      </c>
      <c r="F20029" t="s">
        <v>11610</v>
      </c>
      <c r="L20029">
        <v>0</v>
      </c>
      <c r="M20029">
        <v>0</v>
      </c>
      <c r="N20029">
        <v>17</v>
      </c>
    </row>
    <row r="20030" spans="1:15">
      <c r="A20030" t="s">
        <v>22022</v>
      </c>
      <c r="B20030" t="s">
        <v>11637</v>
      </c>
      <c r="C20030" t="s">
        <v>58875</v>
      </c>
      <c r="D20030" t="s">
        <v>58880</v>
      </c>
      <c r="E20030" t="b">
        <v>0</v>
      </c>
      <c r="F20030" t="s">
        <v>11610</v>
      </c>
      <c r="L20030">
        <v>0</v>
      </c>
      <c r="M20030">
        <v>0</v>
      </c>
      <c r="N20030">
        <v>4</v>
      </c>
    </row>
    <row r="20031" spans="1:15">
      <c r="A20031" t="s">
        <v>18108</v>
      </c>
      <c r="B20031" t="s">
        <v>11637</v>
      </c>
      <c r="C20031" t="s">
        <v>26702</v>
      </c>
      <c r="D20031" t="s">
        <v>58881</v>
      </c>
      <c r="E20031" t="b">
        <v>0</v>
      </c>
      <c r="F20031" t="s">
        <v>11610</v>
      </c>
      <c r="L20031">
        <v>0</v>
      </c>
      <c r="M20031">
        <v>0</v>
      </c>
      <c r="N20031">
        <v>4</v>
      </c>
    </row>
    <row r="20032" spans="1:15">
      <c r="A20032" t="s">
        <v>58882</v>
      </c>
      <c r="B20032" t="s">
        <v>300</v>
      </c>
      <c r="C20032" t="s">
        <v>23399</v>
      </c>
      <c r="D20032" t="s">
        <v>58883</v>
      </c>
      <c r="E20032" t="b">
        <v>0</v>
      </c>
      <c r="F20032" t="s">
        <v>11610</v>
      </c>
      <c r="L20032">
        <v>0</v>
      </c>
      <c r="M20032">
        <v>0</v>
      </c>
      <c r="N20032">
        <v>0</v>
      </c>
    </row>
    <row r="20033" spans="1:14">
      <c r="A20033" t="s">
        <v>58884</v>
      </c>
      <c r="B20033" t="s">
        <v>11729</v>
      </c>
      <c r="C20033" t="s">
        <v>22031</v>
      </c>
      <c r="D20033" t="s">
        <v>58885</v>
      </c>
      <c r="E20033" t="b">
        <v>0</v>
      </c>
      <c r="F20033" t="s">
        <v>11610</v>
      </c>
      <c r="L20033">
        <v>0</v>
      </c>
      <c r="M20033">
        <v>0</v>
      </c>
      <c r="N20033">
        <v>0</v>
      </c>
    </row>
    <row r="20034" spans="1:14">
      <c r="A20034" t="s">
        <v>24963</v>
      </c>
      <c r="B20034" t="s">
        <v>11729</v>
      </c>
      <c r="C20034" t="s">
        <v>22034</v>
      </c>
      <c r="D20034" t="s">
        <v>58886</v>
      </c>
      <c r="E20034" t="b">
        <v>0</v>
      </c>
      <c r="F20034" t="s">
        <v>11610</v>
      </c>
      <c r="L20034">
        <v>0</v>
      </c>
      <c r="M20034">
        <v>0</v>
      </c>
      <c r="N20034">
        <v>2</v>
      </c>
    </row>
    <row r="20035" spans="1:14">
      <c r="A20035" t="s">
        <v>58887</v>
      </c>
      <c r="B20035" t="s">
        <v>11637</v>
      </c>
      <c r="C20035" t="s">
        <v>29399</v>
      </c>
      <c r="D20035" t="s">
        <v>58888</v>
      </c>
      <c r="E20035" t="b">
        <v>0</v>
      </c>
      <c r="F20035" t="s">
        <v>11622</v>
      </c>
      <c r="L20035">
        <v>0</v>
      </c>
      <c r="M20035">
        <v>2</v>
      </c>
      <c r="N20035">
        <v>16</v>
      </c>
    </row>
    <row r="20036" spans="1:14">
      <c r="A20036" t="s">
        <v>18580</v>
      </c>
      <c r="B20036" t="s">
        <v>11637</v>
      </c>
      <c r="C20036" t="s">
        <v>22036</v>
      </c>
      <c r="D20036" t="s">
        <v>58889</v>
      </c>
      <c r="E20036" t="b">
        <v>0</v>
      </c>
      <c r="F20036" t="s">
        <v>11610</v>
      </c>
      <c r="L20036">
        <v>0</v>
      </c>
      <c r="M20036">
        <v>0</v>
      </c>
      <c r="N20036">
        <v>3</v>
      </c>
    </row>
    <row r="20037" spans="1:14">
      <c r="A20037" t="s">
        <v>58890</v>
      </c>
      <c r="B20037" t="s">
        <v>11637</v>
      </c>
      <c r="C20037" t="s">
        <v>13004</v>
      </c>
      <c r="D20037" t="s">
        <v>58891</v>
      </c>
      <c r="E20037" t="b">
        <v>0</v>
      </c>
      <c r="F20037" t="s">
        <v>11622</v>
      </c>
      <c r="L20037">
        <v>0</v>
      </c>
      <c r="M20037">
        <v>2</v>
      </c>
      <c r="N20037">
        <v>17</v>
      </c>
    </row>
    <row r="20038" spans="1:14">
      <c r="A20038" t="s">
        <v>58892</v>
      </c>
      <c r="B20038" t="s">
        <v>11637</v>
      </c>
      <c r="C20038" t="s">
        <v>22040</v>
      </c>
      <c r="D20038" t="s">
        <v>58893</v>
      </c>
      <c r="E20038" t="b">
        <v>0</v>
      </c>
      <c r="F20038" t="s">
        <v>11610</v>
      </c>
      <c r="L20038">
        <v>0</v>
      </c>
      <c r="M20038">
        <v>0</v>
      </c>
      <c r="N20038">
        <v>0</v>
      </c>
    </row>
    <row r="20039" spans="1:14">
      <c r="A20039" t="s">
        <v>48201</v>
      </c>
      <c r="B20039" t="s">
        <v>11637</v>
      </c>
      <c r="C20039" t="s">
        <v>49204</v>
      </c>
      <c r="D20039" t="s">
        <v>58894</v>
      </c>
      <c r="E20039" t="b">
        <v>0</v>
      </c>
      <c r="F20039" t="s">
        <v>11610</v>
      </c>
      <c r="L20039">
        <v>0</v>
      </c>
      <c r="M20039">
        <v>0</v>
      </c>
      <c r="N20039">
        <v>7</v>
      </c>
    </row>
    <row r="20040" spans="1:14">
      <c r="A20040" t="s">
        <v>58895</v>
      </c>
      <c r="B20040" t="s">
        <v>11637</v>
      </c>
      <c r="C20040" t="s">
        <v>31005</v>
      </c>
      <c r="D20040" t="s">
        <v>58896</v>
      </c>
      <c r="E20040" t="b">
        <v>0</v>
      </c>
      <c r="F20040" t="s">
        <v>11610</v>
      </c>
      <c r="L20040">
        <v>0</v>
      </c>
      <c r="M20040">
        <v>0</v>
      </c>
      <c r="N20040">
        <v>0</v>
      </c>
    </row>
    <row r="20041" spans="1:14">
      <c r="A20041" t="s">
        <v>26720</v>
      </c>
      <c r="B20041" t="s">
        <v>11637</v>
      </c>
      <c r="C20041" t="s">
        <v>32646</v>
      </c>
      <c r="D20041" t="s">
        <v>58897</v>
      </c>
      <c r="E20041" t="b">
        <v>0</v>
      </c>
      <c r="F20041" t="s">
        <v>11610</v>
      </c>
      <c r="L20041">
        <v>0</v>
      </c>
      <c r="M20041">
        <v>0</v>
      </c>
      <c r="N20041">
        <v>6</v>
      </c>
    </row>
    <row r="20042" spans="1:14">
      <c r="A20042" t="s">
        <v>58898</v>
      </c>
      <c r="B20042" t="s">
        <v>11637</v>
      </c>
      <c r="C20042" t="s">
        <v>26720</v>
      </c>
      <c r="D20042" t="s">
        <v>58899</v>
      </c>
      <c r="E20042" t="b">
        <v>0</v>
      </c>
      <c r="F20042" t="s">
        <v>11610</v>
      </c>
      <c r="L20042">
        <v>0</v>
      </c>
      <c r="M20042">
        <v>0</v>
      </c>
      <c r="N20042">
        <v>0</v>
      </c>
    </row>
    <row r="20043" spans="1:14">
      <c r="A20043" t="s">
        <v>27954</v>
      </c>
      <c r="B20043" t="s">
        <v>11637</v>
      </c>
      <c r="C20043" t="s">
        <v>21048</v>
      </c>
      <c r="D20043" t="s">
        <v>58900</v>
      </c>
      <c r="E20043" t="b">
        <v>0</v>
      </c>
      <c r="F20043" t="s">
        <v>11610</v>
      </c>
      <c r="L20043">
        <v>0</v>
      </c>
      <c r="M20043">
        <v>0</v>
      </c>
      <c r="N20043">
        <v>9</v>
      </c>
    </row>
    <row r="20044" spans="1:14">
      <c r="A20044" t="s">
        <v>58901</v>
      </c>
      <c r="B20044" t="s">
        <v>11637</v>
      </c>
      <c r="C20044" t="s">
        <v>15044</v>
      </c>
      <c r="D20044" t="s">
        <v>58902</v>
      </c>
      <c r="E20044" t="b">
        <v>0</v>
      </c>
      <c r="F20044" t="s">
        <v>11610</v>
      </c>
      <c r="L20044">
        <v>0</v>
      </c>
      <c r="M20044">
        <v>0</v>
      </c>
      <c r="N20044">
        <v>0</v>
      </c>
    </row>
    <row r="20045" spans="1:14">
      <c r="A20045" t="s">
        <v>13459</v>
      </c>
      <c r="B20045" t="s">
        <v>11637</v>
      </c>
      <c r="C20045" t="s">
        <v>27954</v>
      </c>
      <c r="D20045" t="s">
        <v>58903</v>
      </c>
      <c r="E20045" t="b">
        <v>0</v>
      </c>
      <c r="F20045" t="s">
        <v>11610</v>
      </c>
      <c r="L20045">
        <v>0</v>
      </c>
      <c r="M20045">
        <v>0</v>
      </c>
      <c r="N20045">
        <v>3</v>
      </c>
    </row>
    <row r="20046" spans="1:14">
      <c r="A20046" t="s">
        <v>58904</v>
      </c>
      <c r="B20046" t="s">
        <v>11637</v>
      </c>
      <c r="C20046" t="s">
        <v>26724</v>
      </c>
      <c r="D20046" t="s">
        <v>58905</v>
      </c>
      <c r="E20046" t="b">
        <v>0</v>
      </c>
      <c r="F20046" t="s">
        <v>11610</v>
      </c>
      <c r="L20046">
        <v>0</v>
      </c>
      <c r="M20046">
        <v>0</v>
      </c>
      <c r="N20046">
        <v>0</v>
      </c>
    </row>
    <row r="20047" spans="1:14">
      <c r="A20047" t="s">
        <v>58906</v>
      </c>
      <c r="B20047" t="s">
        <v>11637</v>
      </c>
      <c r="C20047" t="s">
        <v>44411</v>
      </c>
      <c r="D20047" t="s">
        <v>58907</v>
      </c>
      <c r="E20047" t="b">
        <v>0</v>
      </c>
      <c r="F20047" t="s">
        <v>11610</v>
      </c>
      <c r="L20047">
        <v>0</v>
      </c>
      <c r="M20047">
        <v>0</v>
      </c>
      <c r="N20047">
        <v>0</v>
      </c>
    </row>
    <row r="20048" spans="1:14">
      <c r="A20048" t="s">
        <v>58908</v>
      </c>
      <c r="B20048" t="s">
        <v>11981</v>
      </c>
      <c r="C20048" t="s">
        <v>11982</v>
      </c>
      <c r="D20048" t="s">
        <v>58909</v>
      </c>
      <c r="E20048" t="b">
        <v>0</v>
      </c>
      <c r="F20048" t="s">
        <v>11624</v>
      </c>
      <c r="G20048">
        <v>3.8580559999999999</v>
      </c>
      <c r="H20048">
        <v>-59.048260999999997</v>
      </c>
      <c r="L20048">
        <v>0</v>
      </c>
      <c r="M20048">
        <v>0</v>
      </c>
      <c r="N20048">
        <v>0</v>
      </c>
    </row>
    <row r="20049" spans="1:15">
      <c r="A20049" t="s">
        <v>35040</v>
      </c>
      <c r="B20049" t="s">
        <v>331</v>
      </c>
      <c r="C20049" t="s">
        <v>4630</v>
      </c>
      <c r="D20049" t="s">
        <v>58910</v>
      </c>
      <c r="E20049" t="b">
        <v>0</v>
      </c>
      <c r="F20049" t="s">
        <v>11610</v>
      </c>
      <c r="L20049">
        <v>0</v>
      </c>
      <c r="M20049">
        <v>0</v>
      </c>
      <c r="N20049">
        <v>5</v>
      </c>
    </row>
    <row r="20050" spans="1:15">
      <c r="A20050" t="s">
        <v>58911</v>
      </c>
      <c r="B20050" t="s">
        <v>14552</v>
      </c>
      <c r="C20050" t="s">
        <v>22051</v>
      </c>
      <c r="D20050" t="s">
        <v>58912</v>
      </c>
      <c r="E20050" t="b">
        <v>0</v>
      </c>
      <c r="F20050" t="s">
        <v>11610</v>
      </c>
      <c r="L20050">
        <v>0</v>
      </c>
      <c r="M20050">
        <v>0</v>
      </c>
      <c r="N20050">
        <v>0</v>
      </c>
    </row>
    <row r="20051" spans="1:15">
      <c r="A20051" t="s">
        <v>58913</v>
      </c>
      <c r="B20051" t="s">
        <v>11637</v>
      </c>
      <c r="C20051" t="s">
        <v>21169</v>
      </c>
      <c r="D20051" t="s">
        <v>58914</v>
      </c>
      <c r="E20051" t="b">
        <v>0</v>
      </c>
      <c r="F20051" t="s">
        <v>11610</v>
      </c>
      <c r="L20051">
        <v>0</v>
      </c>
      <c r="M20051">
        <v>0</v>
      </c>
      <c r="N20051">
        <v>5</v>
      </c>
    </row>
    <row r="20052" spans="1:15">
      <c r="A20052" t="s">
        <v>11723</v>
      </c>
      <c r="B20052" t="s">
        <v>11637</v>
      </c>
      <c r="C20052" t="s">
        <v>28286</v>
      </c>
      <c r="D20052" t="s">
        <v>58915</v>
      </c>
      <c r="E20052" t="b">
        <v>0</v>
      </c>
      <c r="F20052" t="s">
        <v>11610</v>
      </c>
      <c r="L20052">
        <v>0</v>
      </c>
      <c r="M20052">
        <v>0</v>
      </c>
      <c r="N20052">
        <v>6</v>
      </c>
    </row>
    <row r="20053" spans="1:15">
      <c r="A20053" t="s">
        <v>58916</v>
      </c>
      <c r="B20053" t="s">
        <v>11637</v>
      </c>
      <c r="C20053" t="s">
        <v>11474</v>
      </c>
      <c r="D20053" t="s">
        <v>58917</v>
      </c>
      <c r="E20053" t="b">
        <v>0</v>
      </c>
      <c r="F20053" t="s">
        <v>11610</v>
      </c>
      <c r="L20053">
        <v>0</v>
      </c>
      <c r="M20053">
        <v>0</v>
      </c>
      <c r="N20053">
        <v>0</v>
      </c>
    </row>
    <row r="20054" spans="1:15">
      <c r="A20054" t="s">
        <v>58918</v>
      </c>
      <c r="B20054" t="s">
        <v>11637</v>
      </c>
      <c r="C20054" t="s">
        <v>11474</v>
      </c>
      <c r="D20054" t="s">
        <v>58919</v>
      </c>
      <c r="E20054" t="b">
        <v>0</v>
      </c>
      <c r="F20054" t="s">
        <v>11610</v>
      </c>
      <c r="L20054">
        <v>0</v>
      </c>
      <c r="M20054">
        <v>0</v>
      </c>
      <c r="N20054">
        <v>0</v>
      </c>
    </row>
    <row r="20055" spans="1:15">
      <c r="A20055" t="s">
        <v>58920</v>
      </c>
      <c r="B20055" t="s">
        <v>11637</v>
      </c>
      <c r="C20055" t="s">
        <v>11474</v>
      </c>
      <c r="D20055" t="s">
        <v>58921</v>
      </c>
      <c r="E20055" t="b">
        <v>0</v>
      </c>
      <c r="F20055" t="s">
        <v>11610</v>
      </c>
      <c r="L20055">
        <v>0</v>
      </c>
      <c r="M20055">
        <v>0</v>
      </c>
      <c r="N20055">
        <v>0</v>
      </c>
    </row>
    <row r="20056" spans="1:15">
      <c r="A20056" t="s">
        <v>27577</v>
      </c>
      <c r="B20056" t="s">
        <v>367</v>
      </c>
      <c r="C20056" t="s">
        <v>41787</v>
      </c>
      <c r="D20056" t="s">
        <v>58922</v>
      </c>
      <c r="E20056" t="b">
        <v>0</v>
      </c>
      <c r="F20056" t="s">
        <v>11622</v>
      </c>
      <c r="L20056">
        <v>3</v>
      </c>
      <c r="M20056">
        <v>11</v>
      </c>
      <c r="N20056">
        <v>8</v>
      </c>
    </row>
    <row r="20057" spans="1:15">
      <c r="A20057" t="s">
        <v>32649</v>
      </c>
      <c r="B20057" t="s">
        <v>11607</v>
      </c>
      <c r="C20057" t="s">
        <v>22054</v>
      </c>
      <c r="D20057" t="s">
        <v>58923</v>
      </c>
      <c r="E20057" t="b">
        <v>0</v>
      </c>
      <c r="F20057" t="s">
        <v>11610</v>
      </c>
      <c r="L20057">
        <v>0</v>
      </c>
      <c r="M20057">
        <v>0</v>
      </c>
      <c r="N20057">
        <v>2</v>
      </c>
    </row>
    <row r="20058" spans="1:15">
      <c r="A20058" t="s">
        <v>58924</v>
      </c>
      <c r="B20058" t="s">
        <v>12438</v>
      </c>
      <c r="C20058" t="s">
        <v>39578</v>
      </c>
      <c r="D20058" t="s">
        <v>58925</v>
      </c>
      <c r="E20058" t="b">
        <v>0</v>
      </c>
      <c r="F20058" t="s">
        <v>11624</v>
      </c>
      <c r="G20058">
        <v>14.686999999999999</v>
      </c>
      <c r="H20058">
        <v>106.54</v>
      </c>
      <c r="I20058" t="s">
        <v>58926</v>
      </c>
      <c r="L20058">
        <v>0</v>
      </c>
      <c r="M20058">
        <v>0</v>
      </c>
      <c r="N20058">
        <v>0</v>
      </c>
      <c r="O20058" t="s">
        <v>35501</v>
      </c>
    </row>
    <row r="20059" spans="1:15">
      <c r="A20059" t="s">
        <v>58927</v>
      </c>
      <c r="B20059" t="s">
        <v>11644</v>
      </c>
      <c r="C20059" t="s">
        <v>13896</v>
      </c>
      <c r="D20059" t="s">
        <v>58928</v>
      </c>
      <c r="E20059" t="b">
        <v>0</v>
      </c>
      <c r="F20059" t="s">
        <v>11610</v>
      </c>
      <c r="L20059">
        <v>0</v>
      </c>
      <c r="M20059">
        <v>0</v>
      </c>
      <c r="N20059">
        <v>0</v>
      </c>
    </row>
    <row r="20060" spans="1:15">
      <c r="A20060" t="s">
        <v>58929</v>
      </c>
      <c r="B20060" t="s">
        <v>367</v>
      </c>
      <c r="C20060" t="s">
        <v>56325</v>
      </c>
      <c r="D20060" t="s">
        <v>58930</v>
      </c>
      <c r="E20060" t="b">
        <v>0</v>
      </c>
      <c r="F20060" t="s">
        <v>11624</v>
      </c>
      <c r="G20060">
        <v>-15.82653</v>
      </c>
      <c r="H20060">
        <v>168.18653</v>
      </c>
      <c r="I20060" t="s">
        <v>58931</v>
      </c>
      <c r="L20060">
        <v>0</v>
      </c>
      <c r="M20060">
        <v>0</v>
      </c>
      <c r="N20060">
        <v>0</v>
      </c>
      <c r="O20060" t="s">
        <v>12719</v>
      </c>
    </row>
    <row r="20061" spans="1:15">
      <c r="A20061" t="s">
        <v>58932</v>
      </c>
      <c r="B20061" t="s">
        <v>12532</v>
      </c>
      <c r="C20061" t="s">
        <v>58933</v>
      </c>
      <c r="D20061" t="s">
        <v>58934</v>
      </c>
      <c r="E20061" t="b">
        <v>0</v>
      </c>
      <c r="F20061" t="s">
        <v>11624</v>
      </c>
      <c r="G20061">
        <v>-3.2837299999999998</v>
      </c>
      <c r="H20061">
        <v>140.91999999999999</v>
      </c>
      <c r="I20061" t="s">
        <v>58935</v>
      </c>
      <c r="L20061">
        <v>0</v>
      </c>
      <c r="M20061">
        <v>0</v>
      </c>
      <c r="N20061">
        <v>0</v>
      </c>
      <c r="O20061" t="s">
        <v>24525</v>
      </c>
    </row>
    <row r="20062" spans="1:15">
      <c r="A20062" t="s">
        <v>58936</v>
      </c>
      <c r="B20062" t="s">
        <v>11879</v>
      </c>
      <c r="C20062" t="s">
        <v>14145</v>
      </c>
      <c r="D20062" t="s">
        <v>58937</v>
      </c>
      <c r="E20062" t="b">
        <v>0</v>
      </c>
      <c r="F20062" t="s">
        <v>11624</v>
      </c>
      <c r="G20062">
        <v>17.556000000000001</v>
      </c>
      <c r="H20062">
        <v>-97.192099999999996</v>
      </c>
      <c r="I20062" t="s">
        <v>58938</v>
      </c>
      <c r="L20062">
        <v>0</v>
      </c>
      <c r="M20062">
        <v>0</v>
      </c>
      <c r="N20062">
        <v>0</v>
      </c>
      <c r="O20062" t="s">
        <v>11883</v>
      </c>
    </row>
    <row r="20063" spans="1:15">
      <c r="A20063" t="s">
        <v>58939</v>
      </c>
      <c r="B20063" t="s">
        <v>11879</v>
      </c>
      <c r="C20063" t="s">
        <v>43573</v>
      </c>
      <c r="D20063" t="s">
        <v>58940</v>
      </c>
      <c r="E20063" t="b">
        <v>0</v>
      </c>
      <c r="F20063" t="s">
        <v>11624</v>
      </c>
      <c r="G20063">
        <v>18.286799999999999</v>
      </c>
      <c r="H20063">
        <v>-96.494600000000005</v>
      </c>
      <c r="I20063" t="s">
        <v>58941</v>
      </c>
      <c r="L20063">
        <v>0</v>
      </c>
      <c r="M20063">
        <v>0</v>
      </c>
      <c r="N20063">
        <v>0</v>
      </c>
      <c r="O20063" t="s">
        <v>11883</v>
      </c>
    </row>
    <row r="20064" spans="1:15">
      <c r="A20064" t="s">
        <v>58942</v>
      </c>
      <c r="B20064" t="s">
        <v>12260</v>
      </c>
      <c r="C20064" t="s">
        <v>32450</v>
      </c>
      <c r="D20064" t="s">
        <v>58943</v>
      </c>
      <c r="E20064" t="b">
        <v>0</v>
      </c>
      <c r="F20064" t="s">
        <v>11610</v>
      </c>
      <c r="L20064">
        <v>0</v>
      </c>
      <c r="M20064">
        <v>0</v>
      </c>
      <c r="N20064">
        <v>0</v>
      </c>
    </row>
    <row r="20065" spans="1:15">
      <c r="A20065" t="s">
        <v>58944</v>
      </c>
      <c r="B20065" t="s">
        <v>331</v>
      </c>
      <c r="C20065" t="s">
        <v>25486</v>
      </c>
      <c r="D20065" t="s">
        <v>58945</v>
      </c>
      <c r="E20065" t="b">
        <v>0</v>
      </c>
      <c r="F20065" t="s">
        <v>11610</v>
      </c>
      <c r="L20065">
        <v>0</v>
      </c>
      <c r="M20065">
        <v>0</v>
      </c>
      <c r="N20065">
        <v>0</v>
      </c>
    </row>
    <row r="20066" spans="1:15">
      <c r="A20066" t="s">
        <v>58946</v>
      </c>
      <c r="B20066" t="s">
        <v>11637</v>
      </c>
      <c r="C20066" t="s">
        <v>17284</v>
      </c>
      <c r="D20066" t="s">
        <v>58947</v>
      </c>
      <c r="E20066" t="b">
        <v>0</v>
      </c>
      <c r="F20066" t="s">
        <v>11610</v>
      </c>
      <c r="L20066">
        <v>0</v>
      </c>
      <c r="M20066">
        <v>0</v>
      </c>
      <c r="N20066">
        <v>0</v>
      </c>
    </row>
    <row r="20067" spans="1:15">
      <c r="A20067" t="s">
        <v>58948</v>
      </c>
      <c r="B20067" t="s">
        <v>11981</v>
      </c>
      <c r="C20067" t="s">
        <v>44241</v>
      </c>
      <c r="D20067" t="s">
        <v>58949</v>
      </c>
      <c r="E20067" t="b">
        <v>0</v>
      </c>
      <c r="F20067" t="s">
        <v>11624</v>
      </c>
      <c r="G20067">
        <v>40.031399999999998</v>
      </c>
      <c r="H20067">
        <v>-3.7073800000000001</v>
      </c>
      <c r="I20067" t="s">
        <v>58950</v>
      </c>
      <c r="L20067">
        <v>0</v>
      </c>
      <c r="M20067">
        <v>0</v>
      </c>
      <c r="N20067">
        <v>0</v>
      </c>
      <c r="O20067" t="s">
        <v>13707</v>
      </c>
    </row>
    <row r="20068" spans="1:15">
      <c r="A20068" t="s">
        <v>43900</v>
      </c>
      <c r="B20068" t="s">
        <v>12204</v>
      </c>
      <c r="C20068" t="s">
        <v>12204</v>
      </c>
      <c r="D20068" t="s">
        <v>58951</v>
      </c>
      <c r="E20068" t="b">
        <v>0</v>
      </c>
      <c r="F20068" t="s">
        <v>11622</v>
      </c>
      <c r="L20068">
        <v>0</v>
      </c>
      <c r="M20068">
        <v>1</v>
      </c>
      <c r="N20068">
        <v>0</v>
      </c>
    </row>
    <row r="20069" spans="1:15">
      <c r="A20069" t="s">
        <v>52188</v>
      </c>
      <c r="B20069" t="s">
        <v>13450</v>
      </c>
      <c r="C20069" t="s">
        <v>13450</v>
      </c>
      <c r="D20069" t="s">
        <v>58952</v>
      </c>
      <c r="E20069" t="b">
        <v>0</v>
      </c>
      <c r="F20069" t="s">
        <v>11622</v>
      </c>
      <c r="L20069">
        <v>0</v>
      </c>
      <c r="M20069">
        <v>2</v>
      </c>
      <c r="N20069">
        <v>0</v>
      </c>
    </row>
    <row r="20070" spans="1:15">
      <c r="A20070" t="s">
        <v>44241</v>
      </c>
      <c r="B20070" t="s">
        <v>11981</v>
      </c>
      <c r="C20070" t="s">
        <v>12200</v>
      </c>
      <c r="D20070" t="s">
        <v>58953</v>
      </c>
      <c r="E20070" t="b">
        <v>0</v>
      </c>
      <c r="F20070" t="s">
        <v>11622</v>
      </c>
      <c r="L20070">
        <v>0</v>
      </c>
      <c r="M20070">
        <v>3</v>
      </c>
      <c r="N20070">
        <v>0</v>
      </c>
    </row>
    <row r="20071" spans="1:15">
      <c r="A20071" t="s">
        <v>12128</v>
      </c>
      <c r="D20071" t="s">
        <v>58954</v>
      </c>
      <c r="E20071" t="b">
        <v>0</v>
      </c>
      <c r="F20071" t="s">
        <v>11622</v>
      </c>
      <c r="L20071">
        <v>3</v>
      </c>
      <c r="M20071">
        <v>8</v>
      </c>
      <c r="N20071">
        <v>0</v>
      </c>
    </row>
    <row r="20072" spans="1:15">
      <c r="A20072" t="s">
        <v>33069</v>
      </c>
      <c r="B20072" t="s">
        <v>11644</v>
      </c>
      <c r="C20072" t="s">
        <v>18321</v>
      </c>
      <c r="D20072" t="s">
        <v>58955</v>
      </c>
      <c r="E20072" t="b">
        <v>0</v>
      </c>
      <c r="F20072" t="s">
        <v>11622</v>
      </c>
      <c r="L20072">
        <v>0</v>
      </c>
      <c r="M20072">
        <v>2</v>
      </c>
      <c r="N20072">
        <v>2</v>
      </c>
    </row>
    <row r="20073" spans="1:15">
      <c r="A20073" t="s">
        <v>58956</v>
      </c>
      <c r="B20073" t="s">
        <v>11644</v>
      </c>
      <c r="C20073" t="s">
        <v>33069</v>
      </c>
      <c r="D20073" t="s">
        <v>58957</v>
      </c>
      <c r="E20073" t="b">
        <v>0</v>
      </c>
      <c r="F20073" t="s">
        <v>11624</v>
      </c>
      <c r="G20073">
        <v>32.526000000000003</v>
      </c>
      <c r="H20073">
        <v>77.832999999999998</v>
      </c>
      <c r="I20073" t="s">
        <v>58958</v>
      </c>
      <c r="L20073">
        <v>0</v>
      </c>
      <c r="M20073">
        <v>0</v>
      </c>
      <c r="N20073">
        <v>0</v>
      </c>
      <c r="O20073" t="s">
        <v>11630</v>
      </c>
    </row>
    <row r="20074" spans="1:15">
      <c r="A20074" t="s">
        <v>58959</v>
      </c>
      <c r="B20074" t="s">
        <v>9071</v>
      </c>
      <c r="C20074" t="s">
        <v>8225</v>
      </c>
      <c r="D20074" t="s">
        <v>58960</v>
      </c>
      <c r="E20074" t="b">
        <v>0</v>
      </c>
      <c r="F20074" t="s">
        <v>11624</v>
      </c>
      <c r="G20074">
        <v>47.908700000000003</v>
      </c>
      <c r="H20074">
        <v>-118.062</v>
      </c>
      <c r="I20074" t="s">
        <v>58961</v>
      </c>
      <c r="L20074">
        <v>0</v>
      </c>
      <c r="M20074">
        <v>0</v>
      </c>
      <c r="N20074">
        <v>0</v>
      </c>
      <c r="O20074" t="s">
        <v>11944</v>
      </c>
    </row>
    <row r="20075" spans="1:15">
      <c r="A20075" t="s">
        <v>39418</v>
      </c>
      <c r="B20075" t="s">
        <v>5126</v>
      </c>
      <c r="C20075" t="s">
        <v>58190</v>
      </c>
      <c r="D20075" t="s">
        <v>58962</v>
      </c>
      <c r="E20075" t="b">
        <v>0</v>
      </c>
      <c r="F20075" t="s">
        <v>11622</v>
      </c>
      <c r="L20075">
        <v>3</v>
      </c>
      <c r="M20075">
        <v>7</v>
      </c>
      <c r="N20075">
        <v>12</v>
      </c>
    </row>
    <row r="20076" spans="1:15">
      <c r="A20076" t="s">
        <v>58963</v>
      </c>
      <c r="B20076" t="s">
        <v>367</v>
      </c>
      <c r="C20076" t="s">
        <v>9614</v>
      </c>
      <c r="D20076" t="s">
        <v>58964</v>
      </c>
      <c r="E20076" t="b">
        <v>0</v>
      </c>
      <c r="F20076" t="s">
        <v>11610</v>
      </c>
      <c r="L20076">
        <v>0</v>
      </c>
      <c r="M20076">
        <v>0</v>
      </c>
      <c r="N20076">
        <v>0</v>
      </c>
    </row>
    <row r="20077" spans="1:15">
      <c r="A20077" t="s">
        <v>58965</v>
      </c>
      <c r="B20077" t="s">
        <v>9071</v>
      </c>
      <c r="C20077" t="s">
        <v>21688</v>
      </c>
      <c r="D20077" t="s">
        <v>58966</v>
      </c>
      <c r="E20077" t="b">
        <v>0</v>
      </c>
      <c r="F20077" t="s">
        <v>11624</v>
      </c>
      <c r="G20077">
        <v>49.323099999999997</v>
      </c>
      <c r="H20077">
        <v>-123.014</v>
      </c>
      <c r="I20077" t="s">
        <v>58967</v>
      </c>
      <c r="L20077">
        <v>0</v>
      </c>
      <c r="M20077">
        <v>0</v>
      </c>
      <c r="N20077">
        <v>0</v>
      </c>
      <c r="O20077" t="s">
        <v>13049</v>
      </c>
    </row>
    <row r="20078" spans="1:15">
      <c r="A20078" t="s">
        <v>58968</v>
      </c>
      <c r="B20078" t="s">
        <v>11637</v>
      </c>
      <c r="C20078" t="s">
        <v>8332</v>
      </c>
      <c r="D20078" t="s">
        <v>58969</v>
      </c>
      <c r="E20078" t="b">
        <v>0</v>
      </c>
      <c r="F20078" t="s">
        <v>11624</v>
      </c>
      <c r="G20078">
        <v>5.83</v>
      </c>
      <c r="H20078">
        <v>-55.33</v>
      </c>
      <c r="I20078" t="s">
        <v>58970</v>
      </c>
      <c r="L20078">
        <v>0</v>
      </c>
      <c r="M20078">
        <v>0</v>
      </c>
      <c r="N20078">
        <v>0</v>
      </c>
      <c r="O20078" t="s">
        <v>58971</v>
      </c>
    </row>
    <row r="20079" spans="1:15">
      <c r="A20079" t="s">
        <v>8332</v>
      </c>
      <c r="B20079" t="s">
        <v>11637</v>
      </c>
      <c r="C20079" t="s">
        <v>55984</v>
      </c>
      <c r="D20079" t="s">
        <v>58972</v>
      </c>
      <c r="E20079" t="b">
        <v>0</v>
      </c>
      <c r="F20079" t="s">
        <v>11622</v>
      </c>
      <c r="L20079">
        <v>1</v>
      </c>
      <c r="M20079">
        <v>3</v>
      </c>
      <c r="N20079">
        <v>2</v>
      </c>
    </row>
    <row r="20080" spans="1:15">
      <c r="A20080" t="s">
        <v>58973</v>
      </c>
      <c r="B20080" t="s">
        <v>12260</v>
      </c>
      <c r="C20080" t="s">
        <v>21983</v>
      </c>
      <c r="D20080" t="s">
        <v>58974</v>
      </c>
      <c r="E20080" t="b">
        <v>0</v>
      </c>
      <c r="F20080" t="s">
        <v>11610</v>
      </c>
      <c r="L20080">
        <v>0</v>
      </c>
      <c r="M20080">
        <v>0</v>
      </c>
      <c r="N20080">
        <v>0</v>
      </c>
    </row>
    <row r="20081" spans="1:15">
      <c r="A20081" t="s">
        <v>58975</v>
      </c>
      <c r="B20081" t="s">
        <v>12438</v>
      </c>
      <c r="C20081" t="s">
        <v>22562</v>
      </c>
      <c r="D20081" t="s">
        <v>58976</v>
      </c>
      <c r="E20081" t="b">
        <v>0</v>
      </c>
      <c r="F20081" t="s">
        <v>11610</v>
      </c>
      <c r="L20081">
        <v>0</v>
      </c>
      <c r="M20081">
        <v>0</v>
      </c>
      <c r="N20081">
        <v>0</v>
      </c>
    </row>
    <row r="20082" spans="1:15">
      <c r="A20082" t="s">
        <v>58977</v>
      </c>
      <c r="B20082" t="s">
        <v>11637</v>
      </c>
      <c r="C20082" t="s">
        <v>14411</v>
      </c>
      <c r="D20082" t="s">
        <v>58978</v>
      </c>
      <c r="E20082" t="b">
        <v>0</v>
      </c>
      <c r="F20082" t="s">
        <v>11610</v>
      </c>
      <c r="L20082">
        <v>0</v>
      </c>
      <c r="M20082">
        <v>0</v>
      </c>
      <c r="N20082">
        <v>0</v>
      </c>
    </row>
    <row r="20083" spans="1:15">
      <c r="A20083" t="s">
        <v>58979</v>
      </c>
      <c r="B20083" t="s">
        <v>11844</v>
      </c>
      <c r="C20083" t="s">
        <v>2278</v>
      </c>
      <c r="D20083" t="s">
        <v>58980</v>
      </c>
      <c r="E20083" t="b">
        <v>0</v>
      </c>
      <c r="F20083" t="s">
        <v>11610</v>
      </c>
      <c r="L20083">
        <v>0</v>
      </c>
      <c r="M20083">
        <v>0</v>
      </c>
      <c r="N20083">
        <v>0</v>
      </c>
    </row>
    <row r="20084" spans="1:15">
      <c r="A20084" t="s">
        <v>58981</v>
      </c>
      <c r="B20084" t="s">
        <v>11981</v>
      </c>
      <c r="C20084" t="s">
        <v>12200</v>
      </c>
      <c r="D20084" t="s">
        <v>58982</v>
      </c>
      <c r="E20084" t="b">
        <v>0</v>
      </c>
      <c r="F20084" t="s">
        <v>11624</v>
      </c>
      <c r="G20084">
        <v>7.10588</v>
      </c>
      <c r="H20084">
        <v>79.856999999999999</v>
      </c>
      <c r="I20084" t="s">
        <v>58983</v>
      </c>
      <c r="L20084">
        <v>0</v>
      </c>
      <c r="M20084">
        <v>0</v>
      </c>
      <c r="N20084">
        <v>0</v>
      </c>
      <c r="O20084" t="s">
        <v>57414</v>
      </c>
    </row>
    <row r="20085" spans="1:15">
      <c r="A20085" t="s">
        <v>58984</v>
      </c>
      <c r="B20085" t="s">
        <v>11637</v>
      </c>
      <c r="C20085" t="s">
        <v>180</v>
      </c>
      <c r="D20085" t="s">
        <v>58985</v>
      </c>
      <c r="E20085" t="b">
        <v>0</v>
      </c>
      <c r="F20085" t="s">
        <v>11610</v>
      </c>
      <c r="L20085">
        <v>0</v>
      </c>
      <c r="M20085">
        <v>0</v>
      </c>
      <c r="N20085">
        <v>0</v>
      </c>
    </row>
    <row r="20086" spans="1:15">
      <c r="A20086" t="s">
        <v>58986</v>
      </c>
      <c r="B20086" t="s">
        <v>11844</v>
      </c>
      <c r="C20086" t="s">
        <v>9047</v>
      </c>
      <c r="D20086" t="s">
        <v>58987</v>
      </c>
      <c r="E20086" t="b">
        <v>0</v>
      </c>
      <c r="F20086" t="s">
        <v>11610</v>
      </c>
      <c r="L20086">
        <v>0</v>
      </c>
      <c r="M20086">
        <v>0</v>
      </c>
      <c r="N20086">
        <v>0</v>
      </c>
    </row>
    <row r="20087" spans="1:15">
      <c r="A20087" t="s">
        <v>58988</v>
      </c>
      <c r="B20087" t="s">
        <v>367</v>
      </c>
      <c r="C20087" t="s">
        <v>15607</v>
      </c>
      <c r="D20087" t="s">
        <v>58989</v>
      </c>
      <c r="E20087" t="b">
        <v>0</v>
      </c>
      <c r="F20087" t="s">
        <v>11624</v>
      </c>
      <c r="G20087">
        <v>6.9160300000000001</v>
      </c>
      <c r="H20087">
        <v>79.864000000000004</v>
      </c>
      <c r="I20087" t="s">
        <v>58990</v>
      </c>
      <c r="L20087">
        <v>0</v>
      </c>
      <c r="M20087">
        <v>0</v>
      </c>
      <c r="N20087">
        <v>0</v>
      </c>
      <c r="O20087" t="s">
        <v>57414</v>
      </c>
    </row>
    <row r="20088" spans="1:15">
      <c r="A20088" t="s">
        <v>58991</v>
      </c>
      <c r="B20088" t="s">
        <v>11637</v>
      </c>
      <c r="C20088" t="s">
        <v>15714</v>
      </c>
      <c r="D20088" t="s">
        <v>58992</v>
      </c>
      <c r="E20088" t="b">
        <v>0</v>
      </c>
      <c r="F20088" t="s">
        <v>11610</v>
      </c>
      <c r="L20088">
        <v>0</v>
      </c>
      <c r="M20088">
        <v>0</v>
      </c>
      <c r="N20088">
        <v>0</v>
      </c>
    </row>
    <row r="20089" spans="1:15">
      <c r="A20089" t="s">
        <v>58993</v>
      </c>
      <c r="B20089" t="s">
        <v>11637</v>
      </c>
      <c r="C20089" t="s">
        <v>39284</v>
      </c>
      <c r="D20089" t="s">
        <v>58994</v>
      </c>
      <c r="E20089" t="b">
        <v>0</v>
      </c>
      <c r="F20089" t="s">
        <v>11610</v>
      </c>
      <c r="L20089">
        <v>0</v>
      </c>
      <c r="M20089">
        <v>0</v>
      </c>
      <c r="N20089">
        <v>0</v>
      </c>
    </row>
    <row r="20090" spans="1:15">
      <c r="A20090" t="s">
        <v>58995</v>
      </c>
      <c r="B20090" t="s">
        <v>11637</v>
      </c>
      <c r="C20090" t="s">
        <v>10074</v>
      </c>
      <c r="D20090" t="s">
        <v>58996</v>
      </c>
      <c r="E20090" t="b">
        <v>0</v>
      </c>
      <c r="F20090" t="s">
        <v>11610</v>
      </c>
      <c r="L20090">
        <v>0</v>
      </c>
      <c r="M20090">
        <v>0</v>
      </c>
      <c r="N20090">
        <v>0</v>
      </c>
    </row>
    <row r="20091" spans="1:15">
      <c r="A20091" t="s">
        <v>58997</v>
      </c>
      <c r="B20091" t="s">
        <v>12311</v>
      </c>
      <c r="C20091" t="s">
        <v>12742</v>
      </c>
      <c r="D20091" t="s">
        <v>58998</v>
      </c>
      <c r="E20091" t="b">
        <v>0</v>
      </c>
      <c r="F20091" t="s">
        <v>11610</v>
      </c>
      <c r="L20091">
        <v>0</v>
      </c>
      <c r="M20091">
        <v>0</v>
      </c>
      <c r="N20091">
        <v>0</v>
      </c>
    </row>
    <row r="20092" spans="1:15">
      <c r="A20092" t="s">
        <v>58999</v>
      </c>
      <c r="B20092" t="s">
        <v>11637</v>
      </c>
      <c r="C20092" t="s">
        <v>438</v>
      </c>
      <c r="D20092" t="s">
        <v>59000</v>
      </c>
      <c r="E20092" t="b">
        <v>0</v>
      </c>
      <c r="F20092" t="s">
        <v>11610</v>
      </c>
      <c r="L20092">
        <v>0</v>
      </c>
      <c r="M20092">
        <v>0</v>
      </c>
      <c r="N20092">
        <v>0</v>
      </c>
    </row>
    <row r="20093" spans="1:15">
      <c r="A20093" t="s">
        <v>239</v>
      </c>
      <c r="B20093" t="s">
        <v>11637</v>
      </c>
      <c r="C20093" t="s">
        <v>21198</v>
      </c>
      <c r="D20093" t="s">
        <v>59001</v>
      </c>
      <c r="E20093" t="b">
        <v>0</v>
      </c>
      <c r="F20093" t="s">
        <v>11624</v>
      </c>
      <c r="G20093">
        <v>40.441400000000002</v>
      </c>
      <c r="H20093">
        <v>-1.11788</v>
      </c>
      <c r="I20093" t="s">
        <v>269</v>
      </c>
      <c r="L20093">
        <v>0</v>
      </c>
      <c r="M20093">
        <v>0</v>
      </c>
      <c r="N20093">
        <v>8</v>
      </c>
      <c r="O20093" t="s">
        <v>59002</v>
      </c>
    </row>
    <row r="20094" spans="1:15">
      <c r="A20094" t="s">
        <v>21225</v>
      </c>
      <c r="B20094" t="s">
        <v>11637</v>
      </c>
      <c r="C20094" t="s">
        <v>4893</v>
      </c>
      <c r="D20094" t="s">
        <v>59003</v>
      </c>
      <c r="E20094" t="b">
        <v>0</v>
      </c>
      <c r="F20094" t="s">
        <v>11624</v>
      </c>
      <c r="G20094">
        <v>41.453000000000003</v>
      </c>
      <c r="H20094">
        <v>1.569</v>
      </c>
      <c r="I20094" t="s">
        <v>59004</v>
      </c>
      <c r="L20094">
        <v>0</v>
      </c>
      <c r="M20094">
        <v>0</v>
      </c>
      <c r="N20094">
        <v>23</v>
      </c>
      <c r="O20094" t="s">
        <v>59005</v>
      </c>
    </row>
    <row r="20095" spans="1:15">
      <c r="A20095" t="s">
        <v>3656</v>
      </c>
      <c r="B20095" t="s">
        <v>11637</v>
      </c>
      <c r="C20095" t="s">
        <v>29397</v>
      </c>
      <c r="D20095" t="s">
        <v>59006</v>
      </c>
      <c r="E20095" t="b">
        <v>0</v>
      </c>
      <c r="F20095" t="s">
        <v>11624</v>
      </c>
      <c r="G20095">
        <v>48</v>
      </c>
      <c r="H20095">
        <v>2</v>
      </c>
      <c r="I20095" t="s">
        <v>4419</v>
      </c>
      <c r="L20095">
        <v>0</v>
      </c>
      <c r="M20095">
        <v>0</v>
      </c>
      <c r="N20095">
        <v>20</v>
      </c>
      <c r="O20095" t="s">
        <v>59007</v>
      </c>
    </row>
    <row r="20096" spans="1:15">
      <c r="A20096" t="s">
        <v>180</v>
      </c>
      <c r="B20096" t="s">
        <v>11637</v>
      </c>
      <c r="C20096" t="s">
        <v>6460</v>
      </c>
      <c r="D20096" t="s">
        <v>59008</v>
      </c>
      <c r="E20096" t="b">
        <v>0</v>
      </c>
      <c r="F20096" t="s">
        <v>11624</v>
      </c>
      <c r="G20096">
        <v>53</v>
      </c>
      <c r="H20096">
        <v>-1</v>
      </c>
      <c r="I20096" t="s">
        <v>4842</v>
      </c>
      <c r="L20096">
        <v>0</v>
      </c>
      <c r="M20096">
        <v>0</v>
      </c>
      <c r="N20096">
        <v>77</v>
      </c>
      <c r="O20096" t="s">
        <v>59009</v>
      </c>
    </row>
    <row r="20097" spans="1:15">
      <c r="A20097" t="s">
        <v>10209</v>
      </c>
      <c r="B20097" t="s">
        <v>11637</v>
      </c>
      <c r="C20097" t="s">
        <v>29402</v>
      </c>
      <c r="D20097" t="s">
        <v>10614</v>
      </c>
      <c r="E20097" t="b">
        <v>0</v>
      </c>
      <c r="F20097" t="s">
        <v>11624</v>
      </c>
      <c r="G20097">
        <v>48.649000000000001</v>
      </c>
      <c r="H20097">
        <v>12.467599999999999</v>
      </c>
      <c r="I20097" t="s">
        <v>10256</v>
      </c>
      <c r="L20097">
        <v>0</v>
      </c>
      <c r="M20097">
        <v>0</v>
      </c>
      <c r="N20097">
        <v>3</v>
      </c>
      <c r="O20097" t="s">
        <v>59010</v>
      </c>
    </row>
    <row r="20098" spans="1:15">
      <c r="A20098" t="s">
        <v>59011</v>
      </c>
      <c r="B20098" t="s">
        <v>11637</v>
      </c>
      <c r="C20098" t="s">
        <v>8918</v>
      </c>
      <c r="D20098" t="s">
        <v>59012</v>
      </c>
      <c r="E20098" t="b">
        <v>0</v>
      </c>
      <c r="F20098" t="s">
        <v>11610</v>
      </c>
      <c r="L20098">
        <v>0</v>
      </c>
      <c r="M20098">
        <v>0</v>
      </c>
      <c r="N20098">
        <v>0</v>
      </c>
    </row>
    <row r="20099" spans="1:15">
      <c r="A20099" t="s">
        <v>59013</v>
      </c>
      <c r="B20099" t="s">
        <v>11637</v>
      </c>
      <c r="C20099" t="s">
        <v>13063</v>
      </c>
      <c r="D20099" t="s">
        <v>59014</v>
      </c>
      <c r="E20099" t="b">
        <v>0</v>
      </c>
      <c r="F20099" t="s">
        <v>11610</v>
      </c>
      <c r="L20099">
        <v>0</v>
      </c>
      <c r="M20099">
        <v>0</v>
      </c>
      <c r="N20099">
        <v>0</v>
      </c>
    </row>
    <row r="20100" spans="1:15">
      <c r="A20100" t="s">
        <v>59015</v>
      </c>
      <c r="B20100" t="s">
        <v>11637</v>
      </c>
      <c r="C20100" t="s">
        <v>13063</v>
      </c>
      <c r="D20100" t="s">
        <v>59016</v>
      </c>
      <c r="E20100" t="b">
        <v>0</v>
      </c>
      <c r="F20100" t="s">
        <v>11610</v>
      </c>
      <c r="L20100">
        <v>0</v>
      </c>
      <c r="M20100">
        <v>0</v>
      </c>
      <c r="N20100">
        <v>0</v>
      </c>
    </row>
    <row r="20101" spans="1:15">
      <c r="A20101" t="s">
        <v>59017</v>
      </c>
      <c r="B20101" t="s">
        <v>11637</v>
      </c>
      <c r="C20101" t="s">
        <v>13063</v>
      </c>
      <c r="D20101" t="s">
        <v>59018</v>
      </c>
      <c r="E20101" t="b">
        <v>0</v>
      </c>
      <c r="F20101" t="s">
        <v>11610</v>
      </c>
      <c r="L20101">
        <v>0</v>
      </c>
      <c r="M20101">
        <v>0</v>
      </c>
      <c r="N20101">
        <v>0</v>
      </c>
    </row>
    <row r="20102" spans="1:15">
      <c r="A20102" t="s">
        <v>59019</v>
      </c>
      <c r="B20102" t="s">
        <v>11637</v>
      </c>
      <c r="C20102" t="s">
        <v>13063</v>
      </c>
      <c r="D20102" t="s">
        <v>59020</v>
      </c>
      <c r="E20102" t="b">
        <v>0</v>
      </c>
      <c r="F20102" t="s">
        <v>11610</v>
      </c>
      <c r="L20102">
        <v>0</v>
      </c>
      <c r="M20102">
        <v>0</v>
      </c>
      <c r="N20102">
        <v>0</v>
      </c>
    </row>
    <row r="20103" spans="1:15">
      <c r="A20103" t="s">
        <v>59021</v>
      </c>
      <c r="B20103" t="s">
        <v>11637</v>
      </c>
      <c r="C20103" t="s">
        <v>16777</v>
      </c>
      <c r="D20103" t="s">
        <v>59022</v>
      </c>
      <c r="E20103" t="b">
        <v>0</v>
      </c>
      <c r="F20103" t="s">
        <v>11610</v>
      </c>
      <c r="L20103">
        <v>0</v>
      </c>
      <c r="M20103">
        <v>0</v>
      </c>
      <c r="N20103">
        <v>0</v>
      </c>
    </row>
    <row r="20104" spans="1:15">
      <c r="A20104" t="s">
        <v>59023</v>
      </c>
      <c r="B20104" t="s">
        <v>11637</v>
      </c>
      <c r="C20104" t="s">
        <v>14839</v>
      </c>
      <c r="D20104" t="s">
        <v>59024</v>
      </c>
      <c r="E20104" t="b">
        <v>0</v>
      </c>
      <c r="F20104" t="s">
        <v>11610</v>
      </c>
      <c r="L20104">
        <v>0</v>
      </c>
      <c r="M20104">
        <v>0</v>
      </c>
      <c r="N20104">
        <v>0</v>
      </c>
    </row>
    <row r="20105" spans="1:15">
      <c r="A20105" t="s">
        <v>59025</v>
      </c>
      <c r="B20105" t="s">
        <v>11637</v>
      </c>
      <c r="C20105" t="s">
        <v>17020</v>
      </c>
      <c r="D20105" t="s">
        <v>59026</v>
      </c>
      <c r="E20105" t="b">
        <v>0</v>
      </c>
      <c r="F20105" t="s">
        <v>11610</v>
      </c>
      <c r="L20105">
        <v>0</v>
      </c>
      <c r="M20105">
        <v>0</v>
      </c>
      <c r="N20105">
        <v>0</v>
      </c>
    </row>
    <row r="20106" spans="1:15">
      <c r="A20106" t="s">
        <v>59027</v>
      </c>
      <c r="B20106" t="s">
        <v>11637</v>
      </c>
      <c r="C20106" t="s">
        <v>16090</v>
      </c>
      <c r="D20106" t="s">
        <v>59028</v>
      </c>
      <c r="E20106" t="b">
        <v>0</v>
      </c>
      <c r="F20106" t="s">
        <v>11610</v>
      </c>
      <c r="L20106">
        <v>0</v>
      </c>
      <c r="M20106">
        <v>0</v>
      </c>
      <c r="N20106">
        <v>0</v>
      </c>
    </row>
    <row r="20107" spans="1:15">
      <c r="A20107" t="s">
        <v>59029</v>
      </c>
      <c r="B20107" t="s">
        <v>13276</v>
      </c>
      <c r="C20107" t="s">
        <v>16406</v>
      </c>
      <c r="D20107" t="s">
        <v>59030</v>
      </c>
      <c r="E20107" t="b">
        <v>0</v>
      </c>
      <c r="F20107" t="s">
        <v>11610</v>
      </c>
      <c r="L20107">
        <v>0</v>
      </c>
      <c r="M20107">
        <v>0</v>
      </c>
      <c r="N20107">
        <v>0</v>
      </c>
    </row>
    <row r="20108" spans="1:15">
      <c r="A20108" t="s">
        <v>59031</v>
      </c>
      <c r="B20108" t="s">
        <v>367</v>
      </c>
      <c r="C20108" t="s">
        <v>16294</v>
      </c>
      <c r="D20108" t="s">
        <v>59032</v>
      </c>
      <c r="E20108" t="b">
        <v>0</v>
      </c>
      <c r="F20108" t="s">
        <v>11624</v>
      </c>
      <c r="G20108">
        <v>3.0889600000000002</v>
      </c>
      <c r="H20108">
        <v>101.699</v>
      </c>
      <c r="I20108" t="s">
        <v>59033</v>
      </c>
      <c r="L20108">
        <v>0</v>
      </c>
      <c r="M20108">
        <v>0</v>
      </c>
      <c r="N20108">
        <v>0</v>
      </c>
      <c r="O20108" t="s">
        <v>59034</v>
      </c>
    </row>
    <row r="20109" spans="1:15">
      <c r="A20109" t="s">
        <v>59035</v>
      </c>
      <c r="B20109" t="s">
        <v>367</v>
      </c>
      <c r="C20109" t="s">
        <v>18414</v>
      </c>
      <c r="D20109" t="s">
        <v>59036</v>
      </c>
      <c r="E20109" t="b">
        <v>0</v>
      </c>
      <c r="F20109" t="s">
        <v>11610</v>
      </c>
      <c r="L20109">
        <v>0</v>
      </c>
      <c r="M20109">
        <v>0</v>
      </c>
      <c r="N20109">
        <v>0</v>
      </c>
    </row>
    <row r="20110" spans="1:15">
      <c r="A20110" t="s">
        <v>33884</v>
      </c>
      <c r="B20110" t="s">
        <v>367</v>
      </c>
      <c r="C20110" t="s">
        <v>30067</v>
      </c>
      <c r="D20110" t="s">
        <v>59037</v>
      </c>
      <c r="E20110" t="b">
        <v>0</v>
      </c>
      <c r="F20110" t="s">
        <v>11610</v>
      </c>
      <c r="L20110">
        <v>0</v>
      </c>
      <c r="M20110">
        <v>0</v>
      </c>
      <c r="N20110">
        <v>5</v>
      </c>
    </row>
    <row r="20111" spans="1:15">
      <c r="A20111" t="s">
        <v>59038</v>
      </c>
      <c r="B20111" t="s">
        <v>11607</v>
      </c>
      <c r="C20111" t="s">
        <v>30939</v>
      </c>
      <c r="D20111" t="s">
        <v>59039</v>
      </c>
      <c r="E20111" t="b">
        <v>0</v>
      </c>
      <c r="F20111" t="s">
        <v>11610</v>
      </c>
      <c r="L20111">
        <v>0</v>
      </c>
      <c r="M20111">
        <v>0</v>
      </c>
      <c r="N20111">
        <v>0</v>
      </c>
    </row>
    <row r="20112" spans="1:15">
      <c r="A20112" t="s">
        <v>588</v>
      </c>
      <c r="B20112" t="s">
        <v>11607</v>
      </c>
      <c r="C20112" t="s">
        <v>1523</v>
      </c>
      <c r="D20112" t="s">
        <v>59040</v>
      </c>
      <c r="E20112" t="b">
        <v>0</v>
      </c>
      <c r="F20112" t="s">
        <v>11624</v>
      </c>
      <c r="G20112">
        <v>27.962499999999999</v>
      </c>
      <c r="H20112">
        <v>43.852499999999999</v>
      </c>
      <c r="I20112" t="s">
        <v>59041</v>
      </c>
      <c r="L20112">
        <v>0</v>
      </c>
      <c r="M20112">
        <v>0</v>
      </c>
      <c r="N20112">
        <v>0</v>
      </c>
      <c r="O20112" t="s">
        <v>59042</v>
      </c>
    </row>
    <row r="20113" spans="1:15">
      <c r="A20113" t="s">
        <v>59043</v>
      </c>
      <c r="B20113" t="s">
        <v>11607</v>
      </c>
      <c r="C20113" t="s">
        <v>29685</v>
      </c>
      <c r="D20113" t="s">
        <v>59044</v>
      </c>
      <c r="E20113" t="b">
        <v>0</v>
      </c>
      <c r="F20113" t="s">
        <v>11610</v>
      </c>
      <c r="L20113">
        <v>0</v>
      </c>
      <c r="M20113">
        <v>0</v>
      </c>
      <c r="N20113">
        <v>0</v>
      </c>
    </row>
    <row r="20114" spans="1:15">
      <c r="A20114" t="s">
        <v>59045</v>
      </c>
      <c r="B20114" t="s">
        <v>11607</v>
      </c>
      <c r="C20114" t="s">
        <v>13011</v>
      </c>
      <c r="D20114" t="s">
        <v>59046</v>
      </c>
      <c r="E20114" t="b">
        <v>0</v>
      </c>
      <c r="F20114" t="s">
        <v>11610</v>
      </c>
      <c r="L20114">
        <v>0</v>
      </c>
      <c r="M20114">
        <v>0</v>
      </c>
      <c r="N20114">
        <v>0</v>
      </c>
    </row>
    <row r="20115" spans="1:15">
      <c r="A20115" t="s">
        <v>59047</v>
      </c>
      <c r="B20115" t="s">
        <v>11607</v>
      </c>
      <c r="C20115" t="s">
        <v>3252</v>
      </c>
      <c r="D20115" t="s">
        <v>59048</v>
      </c>
      <c r="E20115" t="b">
        <v>0</v>
      </c>
      <c r="F20115" t="s">
        <v>11610</v>
      </c>
      <c r="I20115" t="s">
        <v>59049</v>
      </c>
      <c r="L20115">
        <v>0</v>
      </c>
      <c r="M20115">
        <v>0</v>
      </c>
      <c r="N20115">
        <v>0</v>
      </c>
      <c r="O20115" t="s">
        <v>29185</v>
      </c>
    </row>
    <row r="20116" spans="1:15">
      <c r="A20116" t="s">
        <v>59050</v>
      </c>
      <c r="B20116" t="s">
        <v>11637</v>
      </c>
      <c r="C20116" t="s">
        <v>1513</v>
      </c>
      <c r="D20116" t="s">
        <v>59051</v>
      </c>
      <c r="E20116" t="b">
        <v>0</v>
      </c>
      <c r="F20116" t="s">
        <v>11610</v>
      </c>
      <c r="G20116">
        <v>57</v>
      </c>
      <c r="H20116">
        <v>24</v>
      </c>
      <c r="I20116" t="s">
        <v>59052</v>
      </c>
      <c r="L20116">
        <v>0</v>
      </c>
      <c r="M20116">
        <v>0</v>
      </c>
      <c r="N20116">
        <v>0</v>
      </c>
      <c r="O20116" t="s">
        <v>39531</v>
      </c>
    </row>
    <row r="20117" spans="1:15">
      <c r="A20117" t="s">
        <v>59053</v>
      </c>
      <c r="B20117" t="s">
        <v>11637</v>
      </c>
      <c r="C20117" t="s">
        <v>14027</v>
      </c>
      <c r="D20117" t="s">
        <v>59054</v>
      </c>
      <c r="E20117" t="b">
        <v>0</v>
      </c>
      <c r="F20117" t="s">
        <v>11610</v>
      </c>
      <c r="L20117">
        <v>0</v>
      </c>
      <c r="M20117">
        <v>0</v>
      </c>
      <c r="N20117">
        <v>0</v>
      </c>
    </row>
    <row r="20118" spans="1:15">
      <c r="A20118" t="s">
        <v>59055</v>
      </c>
      <c r="B20118" t="s">
        <v>11637</v>
      </c>
      <c r="C20118" t="s">
        <v>2756</v>
      </c>
      <c r="D20118" t="s">
        <v>59056</v>
      </c>
      <c r="E20118" t="b">
        <v>0</v>
      </c>
      <c r="F20118" t="s">
        <v>11610</v>
      </c>
      <c r="L20118">
        <v>0</v>
      </c>
      <c r="M20118">
        <v>0</v>
      </c>
      <c r="N20118">
        <v>0</v>
      </c>
    </row>
    <row r="20119" spans="1:15">
      <c r="A20119" t="s">
        <v>59057</v>
      </c>
      <c r="B20119" t="s">
        <v>11637</v>
      </c>
      <c r="C20119" t="s">
        <v>11936</v>
      </c>
      <c r="D20119" t="s">
        <v>59058</v>
      </c>
      <c r="E20119" t="b">
        <v>0</v>
      </c>
      <c r="F20119" t="s">
        <v>11610</v>
      </c>
      <c r="G20119">
        <v>52.893300000000004</v>
      </c>
      <c r="H20119">
        <v>6.0911200000000001</v>
      </c>
      <c r="I20119" t="s">
        <v>59059</v>
      </c>
      <c r="L20119">
        <v>0</v>
      </c>
      <c r="M20119">
        <v>0</v>
      </c>
      <c r="N20119">
        <v>0</v>
      </c>
      <c r="O20119" t="s">
        <v>25638</v>
      </c>
    </row>
    <row r="20120" spans="1:15">
      <c r="A20120" t="s">
        <v>59060</v>
      </c>
      <c r="B20120" t="s">
        <v>367</v>
      </c>
      <c r="C20120" t="s">
        <v>14866</v>
      </c>
      <c r="D20120" t="s">
        <v>59061</v>
      </c>
      <c r="E20120" t="b">
        <v>0</v>
      </c>
      <c r="F20120" t="s">
        <v>11610</v>
      </c>
      <c r="L20120">
        <v>0</v>
      </c>
      <c r="M20120">
        <v>0</v>
      </c>
      <c r="N20120">
        <v>0</v>
      </c>
    </row>
    <row r="20121" spans="1:15">
      <c r="A20121" t="s">
        <v>59062</v>
      </c>
      <c r="B20121" t="s">
        <v>11637</v>
      </c>
      <c r="C20121" t="s">
        <v>18116</v>
      </c>
      <c r="D20121" t="s">
        <v>59063</v>
      </c>
      <c r="E20121" t="b">
        <v>0</v>
      </c>
      <c r="F20121" t="s">
        <v>11610</v>
      </c>
      <c r="L20121">
        <v>0</v>
      </c>
      <c r="M20121">
        <v>0</v>
      </c>
      <c r="N20121">
        <v>0</v>
      </c>
    </row>
    <row r="20122" spans="1:15">
      <c r="A20122" t="s">
        <v>34759</v>
      </c>
      <c r="B20122" t="s">
        <v>367</v>
      </c>
      <c r="C20122" t="s">
        <v>41517</v>
      </c>
      <c r="D20122" t="s">
        <v>59064</v>
      </c>
      <c r="E20122" t="b">
        <v>0</v>
      </c>
      <c r="F20122" t="s">
        <v>11622</v>
      </c>
      <c r="L20122">
        <v>30</v>
      </c>
      <c r="M20122">
        <v>50</v>
      </c>
      <c r="N20122">
        <v>73</v>
      </c>
    </row>
    <row r="20123" spans="1:15">
      <c r="A20123" t="s">
        <v>20007</v>
      </c>
      <c r="B20123" t="s">
        <v>12438</v>
      </c>
      <c r="C20123" t="s">
        <v>22881</v>
      </c>
      <c r="D20123" t="s">
        <v>59065</v>
      </c>
      <c r="E20123" t="b">
        <v>0</v>
      </c>
      <c r="F20123" t="s">
        <v>11622</v>
      </c>
      <c r="L20123">
        <v>0</v>
      </c>
      <c r="M20123">
        <v>2</v>
      </c>
      <c r="N20123">
        <v>2</v>
      </c>
    </row>
    <row r="20124" spans="1:15">
      <c r="A20124" t="s">
        <v>59066</v>
      </c>
      <c r="B20124" t="s">
        <v>367</v>
      </c>
      <c r="C20124" t="s">
        <v>119</v>
      </c>
      <c r="D20124" t="s">
        <v>59067</v>
      </c>
      <c r="E20124" t="b">
        <v>0</v>
      </c>
      <c r="F20124" t="s">
        <v>11610</v>
      </c>
      <c r="L20124">
        <v>0</v>
      </c>
      <c r="M20124">
        <v>0</v>
      </c>
      <c r="N20124">
        <v>0</v>
      </c>
    </row>
    <row r="20125" spans="1:15">
      <c r="A20125" t="s">
        <v>59068</v>
      </c>
      <c r="B20125" t="s">
        <v>11637</v>
      </c>
      <c r="C20125" t="s">
        <v>23051</v>
      </c>
      <c r="D20125" t="s">
        <v>59069</v>
      </c>
      <c r="E20125" t="b">
        <v>0</v>
      </c>
      <c r="F20125" t="s">
        <v>11610</v>
      </c>
      <c r="L20125">
        <v>0</v>
      </c>
      <c r="M20125">
        <v>0</v>
      </c>
      <c r="N20125">
        <v>0</v>
      </c>
    </row>
    <row r="20126" spans="1:15">
      <c r="A20126" t="s">
        <v>59070</v>
      </c>
      <c r="B20126" t="s">
        <v>11637</v>
      </c>
      <c r="C20126" t="s">
        <v>32475</v>
      </c>
      <c r="D20126" t="s">
        <v>59071</v>
      </c>
      <c r="E20126" t="b">
        <v>0</v>
      </c>
      <c r="F20126" t="s">
        <v>11610</v>
      </c>
      <c r="L20126">
        <v>0</v>
      </c>
      <c r="M20126">
        <v>0</v>
      </c>
      <c r="N20126">
        <v>0</v>
      </c>
    </row>
    <row r="20127" spans="1:15">
      <c r="A20127" t="s">
        <v>45970</v>
      </c>
      <c r="B20127" t="s">
        <v>367</v>
      </c>
      <c r="C20127" t="s">
        <v>12101</v>
      </c>
      <c r="D20127" t="s">
        <v>59072</v>
      </c>
      <c r="E20127" t="b">
        <v>0</v>
      </c>
      <c r="F20127" t="s">
        <v>11622</v>
      </c>
      <c r="L20127">
        <v>0</v>
      </c>
      <c r="M20127">
        <v>2</v>
      </c>
      <c r="N20127">
        <v>5</v>
      </c>
    </row>
    <row r="20128" spans="1:15">
      <c r="A20128" t="s">
        <v>59073</v>
      </c>
      <c r="B20128" t="s">
        <v>11637</v>
      </c>
      <c r="C20128" t="s">
        <v>10561</v>
      </c>
      <c r="D20128" t="s">
        <v>59074</v>
      </c>
      <c r="E20128" t="b">
        <v>0</v>
      </c>
      <c r="F20128" t="s">
        <v>11610</v>
      </c>
      <c r="L20128">
        <v>0</v>
      </c>
      <c r="M20128">
        <v>0</v>
      </c>
      <c r="N20128">
        <v>0</v>
      </c>
    </row>
    <row r="20129" spans="1:15">
      <c r="A20129" t="s">
        <v>59075</v>
      </c>
      <c r="B20129" t="s">
        <v>12979</v>
      </c>
      <c r="C20129" t="s">
        <v>44967</v>
      </c>
      <c r="D20129" t="s">
        <v>59076</v>
      </c>
      <c r="E20129" t="b">
        <v>0</v>
      </c>
      <c r="F20129" t="s">
        <v>11610</v>
      </c>
      <c r="L20129">
        <v>0</v>
      </c>
      <c r="M20129">
        <v>0</v>
      </c>
      <c r="N20129">
        <v>0</v>
      </c>
    </row>
    <row r="20130" spans="1:15">
      <c r="A20130" t="s">
        <v>36288</v>
      </c>
      <c r="B20130" t="s">
        <v>11644</v>
      </c>
      <c r="C20130" t="s">
        <v>18321</v>
      </c>
      <c r="D20130" t="s">
        <v>59077</v>
      </c>
      <c r="E20130" t="b">
        <v>0</v>
      </c>
      <c r="F20130" t="s">
        <v>11624</v>
      </c>
      <c r="G20130">
        <v>32.497</v>
      </c>
      <c r="H20130">
        <v>77.116</v>
      </c>
      <c r="I20130" t="s">
        <v>59078</v>
      </c>
      <c r="L20130">
        <v>0</v>
      </c>
      <c r="M20130">
        <v>0</v>
      </c>
      <c r="N20130">
        <v>3</v>
      </c>
      <c r="O20130" t="s">
        <v>11630</v>
      </c>
    </row>
    <row r="20131" spans="1:15">
      <c r="A20131" t="s">
        <v>59079</v>
      </c>
      <c r="B20131" t="s">
        <v>11644</v>
      </c>
      <c r="C20131" t="s">
        <v>36288</v>
      </c>
      <c r="D20131" t="s">
        <v>59080</v>
      </c>
      <c r="E20131" t="b">
        <v>0</v>
      </c>
      <c r="F20131" t="s">
        <v>11610</v>
      </c>
      <c r="L20131">
        <v>0</v>
      </c>
      <c r="M20131">
        <v>0</v>
      </c>
      <c r="N20131">
        <v>0</v>
      </c>
    </row>
    <row r="20132" spans="1:15">
      <c r="A20132" t="s">
        <v>48891</v>
      </c>
      <c r="B20132" t="s">
        <v>8897</v>
      </c>
      <c r="C20132" t="s">
        <v>14872</v>
      </c>
      <c r="D20132" t="s">
        <v>59081</v>
      </c>
      <c r="E20132" t="b">
        <v>0</v>
      </c>
      <c r="F20132" t="s">
        <v>11624</v>
      </c>
      <c r="G20132">
        <v>51.193899999999999</v>
      </c>
      <c r="H20132">
        <v>-114.98399999999999</v>
      </c>
      <c r="I20132" t="s">
        <v>59082</v>
      </c>
      <c r="L20132">
        <v>0</v>
      </c>
      <c r="M20132">
        <v>0</v>
      </c>
      <c r="N20132">
        <v>2</v>
      </c>
      <c r="O20132" t="s">
        <v>13049</v>
      </c>
    </row>
    <row r="20133" spans="1:15">
      <c r="A20133" t="s">
        <v>59083</v>
      </c>
      <c r="B20133" t="s">
        <v>367</v>
      </c>
      <c r="C20133" t="s">
        <v>25053</v>
      </c>
      <c r="D20133" t="s">
        <v>59084</v>
      </c>
      <c r="E20133" t="b">
        <v>0</v>
      </c>
      <c r="F20133" t="s">
        <v>11610</v>
      </c>
      <c r="L20133">
        <v>0</v>
      </c>
      <c r="M20133">
        <v>0</v>
      </c>
      <c r="N20133">
        <v>0</v>
      </c>
    </row>
    <row r="20134" spans="1:15">
      <c r="A20134" t="s">
        <v>41155</v>
      </c>
      <c r="B20134" t="s">
        <v>9071</v>
      </c>
      <c r="C20134" t="s">
        <v>23101</v>
      </c>
      <c r="D20134" t="s">
        <v>59085</v>
      </c>
      <c r="E20134" t="b">
        <v>0</v>
      </c>
      <c r="F20134" t="s">
        <v>11624</v>
      </c>
      <c r="G20134">
        <v>48.51614</v>
      </c>
      <c r="H20134">
        <v>-123.757114</v>
      </c>
      <c r="I20134" t="s">
        <v>59086</v>
      </c>
      <c r="L20134">
        <v>0</v>
      </c>
      <c r="M20134">
        <v>0</v>
      </c>
      <c r="N20134">
        <v>8</v>
      </c>
      <c r="O20134" t="s">
        <v>14875</v>
      </c>
    </row>
    <row r="20135" spans="1:15">
      <c r="A20135" t="s">
        <v>12015</v>
      </c>
      <c r="B20135" t="s">
        <v>11839</v>
      </c>
      <c r="C20135" t="s">
        <v>36817</v>
      </c>
      <c r="D20135" t="s">
        <v>59087</v>
      </c>
      <c r="E20135" t="b">
        <v>0</v>
      </c>
      <c r="F20135" t="s">
        <v>11622</v>
      </c>
      <c r="L20135">
        <v>2</v>
      </c>
      <c r="M20135">
        <v>6</v>
      </c>
      <c r="N20135">
        <v>10</v>
      </c>
    </row>
    <row r="20136" spans="1:15">
      <c r="A20136" t="s">
        <v>23101</v>
      </c>
      <c r="B20136" t="s">
        <v>9071</v>
      </c>
      <c r="C20136" t="s">
        <v>21688</v>
      </c>
      <c r="D20136" t="s">
        <v>59088</v>
      </c>
      <c r="E20136" t="b">
        <v>0</v>
      </c>
      <c r="F20136" t="s">
        <v>11622</v>
      </c>
      <c r="L20136">
        <v>0</v>
      </c>
      <c r="M20136">
        <v>2</v>
      </c>
      <c r="N20136">
        <v>11</v>
      </c>
    </row>
    <row r="20137" spans="1:15">
      <c r="A20137" t="s">
        <v>59089</v>
      </c>
      <c r="B20137" t="s">
        <v>11637</v>
      </c>
      <c r="C20137" t="s">
        <v>43890</v>
      </c>
      <c r="D20137" t="s">
        <v>59090</v>
      </c>
      <c r="E20137" t="b">
        <v>0</v>
      </c>
      <c r="F20137" t="s">
        <v>11610</v>
      </c>
      <c r="L20137">
        <v>0</v>
      </c>
      <c r="M20137">
        <v>0</v>
      </c>
      <c r="N20137">
        <v>0</v>
      </c>
    </row>
    <row r="20138" spans="1:15">
      <c r="A20138" t="s">
        <v>59091</v>
      </c>
      <c r="B20138" t="s">
        <v>11615</v>
      </c>
      <c r="C20138" t="s">
        <v>22897</v>
      </c>
      <c r="D20138" t="s">
        <v>59092</v>
      </c>
      <c r="E20138" t="b">
        <v>0</v>
      </c>
      <c r="F20138" t="s">
        <v>11610</v>
      </c>
      <c r="L20138">
        <v>0</v>
      </c>
      <c r="M20138">
        <v>0</v>
      </c>
      <c r="N20138">
        <v>0</v>
      </c>
    </row>
    <row r="20139" spans="1:15">
      <c r="A20139" t="s">
        <v>59093</v>
      </c>
      <c r="B20139" t="s">
        <v>25598</v>
      </c>
      <c r="C20139" t="s">
        <v>25598</v>
      </c>
      <c r="D20139" t="s">
        <v>59094</v>
      </c>
      <c r="E20139" t="b">
        <v>0</v>
      </c>
      <c r="F20139" t="s">
        <v>11624</v>
      </c>
      <c r="G20139">
        <v>-2.0797099999999999</v>
      </c>
      <c r="H20139">
        <v>132.15700000000001</v>
      </c>
      <c r="I20139" t="s">
        <v>59095</v>
      </c>
      <c r="L20139">
        <v>0</v>
      </c>
      <c r="M20139">
        <v>0</v>
      </c>
      <c r="N20139">
        <v>0</v>
      </c>
      <c r="O20139" t="s">
        <v>11768</v>
      </c>
    </row>
    <row r="20140" spans="1:15">
      <c r="A20140" t="s">
        <v>59096</v>
      </c>
      <c r="B20140" t="s">
        <v>367</v>
      </c>
      <c r="C20140" t="s">
        <v>23861</v>
      </c>
      <c r="D20140" t="s">
        <v>59097</v>
      </c>
      <c r="E20140" t="b">
        <v>0</v>
      </c>
      <c r="F20140" t="s">
        <v>11610</v>
      </c>
      <c r="L20140">
        <v>0</v>
      </c>
      <c r="M20140">
        <v>0</v>
      </c>
      <c r="N20140">
        <v>0</v>
      </c>
    </row>
    <row r="20141" spans="1:15">
      <c r="A20141" t="s">
        <v>59098</v>
      </c>
      <c r="D20141" t="s">
        <v>59099</v>
      </c>
      <c r="E20141" t="b">
        <v>0</v>
      </c>
      <c r="F20141" t="s">
        <v>11624</v>
      </c>
      <c r="G20141">
        <v>-4.9507199999999996</v>
      </c>
      <c r="H20141">
        <v>141.97800000000001</v>
      </c>
      <c r="I20141" t="s">
        <v>59100</v>
      </c>
      <c r="L20141">
        <v>0</v>
      </c>
      <c r="M20141">
        <v>0</v>
      </c>
      <c r="N20141">
        <v>0</v>
      </c>
      <c r="O20141" t="s">
        <v>11660</v>
      </c>
    </row>
    <row r="20142" spans="1:15">
      <c r="A20142" t="s">
        <v>19402</v>
      </c>
      <c r="B20142" t="s">
        <v>367</v>
      </c>
      <c r="C20142" t="s">
        <v>55241</v>
      </c>
      <c r="D20142" t="s">
        <v>59101</v>
      </c>
      <c r="E20142" t="b">
        <v>0</v>
      </c>
      <c r="F20142" t="s">
        <v>11624</v>
      </c>
      <c r="G20142">
        <v>-10.660600000000001</v>
      </c>
      <c r="H20142">
        <v>150.21</v>
      </c>
      <c r="I20142" t="s">
        <v>59102</v>
      </c>
      <c r="L20142">
        <v>0</v>
      </c>
      <c r="M20142">
        <v>0</v>
      </c>
      <c r="N20142">
        <v>7</v>
      </c>
      <c r="O20142" t="s">
        <v>11660</v>
      </c>
    </row>
    <row r="20143" spans="1:15">
      <c r="A20143" t="s">
        <v>15128</v>
      </c>
      <c r="B20143" t="s">
        <v>367</v>
      </c>
      <c r="C20143" t="s">
        <v>41794</v>
      </c>
      <c r="D20143" t="s">
        <v>59103</v>
      </c>
      <c r="E20143" t="b">
        <v>0</v>
      </c>
      <c r="F20143" t="s">
        <v>11622</v>
      </c>
      <c r="L20143">
        <v>1</v>
      </c>
      <c r="M20143">
        <v>8</v>
      </c>
      <c r="N20143">
        <v>13</v>
      </c>
    </row>
    <row r="20144" spans="1:15">
      <c r="A20144" t="s">
        <v>55241</v>
      </c>
      <c r="B20144" t="s">
        <v>367</v>
      </c>
      <c r="C20144" t="s">
        <v>15128</v>
      </c>
      <c r="D20144" t="s">
        <v>59104</v>
      </c>
      <c r="E20144" t="b">
        <v>0</v>
      </c>
      <c r="F20144" t="s">
        <v>11622</v>
      </c>
      <c r="L20144">
        <v>0</v>
      </c>
      <c r="M20144">
        <v>2</v>
      </c>
      <c r="N20144">
        <v>9</v>
      </c>
    </row>
    <row r="20145" spans="1:15">
      <c r="A20145" t="s">
        <v>59105</v>
      </c>
      <c r="B20145" t="s">
        <v>6742</v>
      </c>
      <c r="C20145" t="s">
        <v>30288</v>
      </c>
      <c r="D20145" t="s">
        <v>59106</v>
      </c>
      <c r="E20145" t="b">
        <v>0</v>
      </c>
      <c r="F20145" t="s">
        <v>11624</v>
      </c>
      <c r="G20145">
        <v>-0.95718999999999999</v>
      </c>
      <c r="H20145">
        <v>34.103299999999997</v>
      </c>
      <c r="I20145" t="s">
        <v>59107</v>
      </c>
      <c r="L20145">
        <v>0</v>
      </c>
      <c r="M20145">
        <v>0</v>
      </c>
      <c r="N20145">
        <v>0</v>
      </c>
      <c r="O20145" t="s">
        <v>12057</v>
      </c>
    </row>
    <row r="20146" spans="1:15">
      <c r="A20146" t="s">
        <v>59108</v>
      </c>
      <c r="B20146" t="s">
        <v>6742</v>
      </c>
      <c r="C20146" t="s">
        <v>30288</v>
      </c>
      <c r="D20146" t="s">
        <v>59109</v>
      </c>
      <c r="E20146" t="b">
        <v>0</v>
      </c>
      <c r="F20146" t="s">
        <v>11624</v>
      </c>
      <c r="G20146">
        <v>-1.1032960000000001</v>
      </c>
      <c r="H20146">
        <v>34.268000000000001</v>
      </c>
      <c r="I20146" t="s">
        <v>59110</v>
      </c>
      <c r="L20146">
        <v>0</v>
      </c>
      <c r="M20146">
        <v>0</v>
      </c>
      <c r="N20146">
        <v>0</v>
      </c>
      <c r="O20146" t="s">
        <v>11635</v>
      </c>
    </row>
    <row r="20147" spans="1:15">
      <c r="A20147" t="s">
        <v>50177</v>
      </c>
      <c r="B20147" t="s">
        <v>367</v>
      </c>
      <c r="C20147" t="s">
        <v>21816</v>
      </c>
      <c r="D20147" t="s">
        <v>59111</v>
      </c>
      <c r="E20147" t="b">
        <v>0</v>
      </c>
      <c r="F20147" t="s">
        <v>11622</v>
      </c>
      <c r="L20147">
        <v>3</v>
      </c>
      <c r="M20147">
        <v>6</v>
      </c>
      <c r="N20147">
        <v>5</v>
      </c>
    </row>
    <row r="20148" spans="1:15">
      <c r="A20148" t="s">
        <v>59112</v>
      </c>
      <c r="B20148" t="s">
        <v>11627</v>
      </c>
      <c r="C20148" t="s">
        <v>11627</v>
      </c>
      <c r="D20148" t="s">
        <v>59113</v>
      </c>
      <c r="E20148" t="b">
        <v>1</v>
      </c>
      <c r="F20148" t="s">
        <v>11624</v>
      </c>
      <c r="I20148" t="s">
        <v>59114</v>
      </c>
      <c r="L20148">
        <v>0</v>
      </c>
      <c r="M20148">
        <v>0</v>
      </c>
      <c r="N20148">
        <v>0</v>
      </c>
    </row>
    <row r="20149" spans="1:15">
      <c r="A20149" t="s">
        <v>16702</v>
      </c>
      <c r="B20149" t="s">
        <v>11644</v>
      </c>
      <c r="C20149" t="s">
        <v>14149</v>
      </c>
      <c r="D20149" t="s">
        <v>59115</v>
      </c>
      <c r="E20149" t="b">
        <v>0</v>
      </c>
      <c r="F20149" t="s">
        <v>11622</v>
      </c>
      <c r="L20149">
        <v>1</v>
      </c>
      <c r="M20149">
        <v>4</v>
      </c>
      <c r="N20149">
        <v>4</v>
      </c>
    </row>
    <row r="20150" spans="1:15">
      <c r="A20150" t="s">
        <v>59116</v>
      </c>
      <c r="B20150" t="s">
        <v>11637</v>
      </c>
      <c r="C20150" t="s">
        <v>14419</v>
      </c>
      <c r="D20150" t="s">
        <v>59117</v>
      </c>
      <c r="E20150" t="b">
        <v>0</v>
      </c>
      <c r="F20150" t="s">
        <v>11610</v>
      </c>
      <c r="L20150">
        <v>0</v>
      </c>
      <c r="M20150">
        <v>0</v>
      </c>
      <c r="N20150">
        <v>0</v>
      </c>
    </row>
    <row r="20151" spans="1:15">
      <c r="A20151" t="s">
        <v>18306</v>
      </c>
      <c r="B20151" t="s">
        <v>11637</v>
      </c>
      <c r="C20151" t="s">
        <v>25170</v>
      </c>
      <c r="D20151" t="s">
        <v>59118</v>
      </c>
      <c r="E20151" t="b">
        <v>0</v>
      </c>
      <c r="F20151" t="s">
        <v>11622</v>
      </c>
      <c r="L20151">
        <v>20</v>
      </c>
      <c r="M20151">
        <v>69</v>
      </c>
      <c r="N20151">
        <v>176</v>
      </c>
    </row>
    <row r="20152" spans="1:15">
      <c r="A20152" t="s">
        <v>14405</v>
      </c>
      <c r="B20152" t="s">
        <v>11912</v>
      </c>
      <c r="C20152" t="s">
        <v>34550</v>
      </c>
      <c r="D20152" t="s">
        <v>59119</v>
      </c>
      <c r="E20152" t="b">
        <v>0</v>
      </c>
      <c r="F20152" t="s">
        <v>11622</v>
      </c>
      <c r="L20152">
        <v>1</v>
      </c>
      <c r="M20152">
        <v>4</v>
      </c>
      <c r="N20152">
        <v>0</v>
      </c>
    </row>
    <row r="20153" spans="1:15">
      <c r="A20153" t="s">
        <v>59120</v>
      </c>
      <c r="B20153" t="s">
        <v>6742</v>
      </c>
      <c r="C20153" t="s">
        <v>41467</v>
      </c>
      <c r="D20153" t="s">
        <v>59121</v>
      </c>
      <c r="E20153" t="b">
        <v>0</v>
      </c>
      <c r="F20153" t="s">
        <v>11624</v>
      </c>
      <c r="G20153">
        <v>-17.569600000000001</v>
      </c>
      <c r="H20153">
        <v>24.886700000000001</v>
      </c>
      <c r="I20153" t="s">
        <v>59122</v>
      </c>
      <c r="L20153">
        <v>0</v>
      </c>
      <c r="M20153">
        <v>0</v>
      </c>
      <c r="N20153">
        <v>0</v>
      </c>
      <c r="O20153" t="s">
        <v>41005</v>
      </c>
    </row>
    <row r="20154" spans="1:15">
      <c r="A20154" t="s">
        <v>59123</v>
      </c>
      <c r="B20154" t="s">
        <v>11627</v>
      </c>
      <c r="C20154" t="s">
        <v>11627</v>
      </c>
      <c r="D20154" t="s">
        <v>59124</v>
      </c>
      <c r="E20154" t="b">
        <v>1</v>
      </c>
      <c r="F20154" t="s">
        <v>11624</v>
      </c>
      <c r="G20154">
        <v>-2.9338700000000002</v>
      </c>
      <c r="H20154">
        <v>31.359400000000001</v>
      </c>
      <c r="I20154" t="s">
        <v>59125</v>
      </c>
      <c r="L20154">
        <v>0</v>
      </c>
      <c r="M20154">
        <v>0</v>
      </c>
      <c r="N20154">
        <v>0</v>
      </c>
      <c r="O20154" t="s">
        <v>11635</v>
      </c>
    </row>
    <row r="20155" spans="1:15">
      <c r="A20155" t="s">
        <v>59126</v>
      </c>
      <c r="B20155" t="s">
        <v>367</v>
      </c>
      <c r="C20155" t="s">
        <v>17730</v>
      </c>
      <c r="D20155" t="s">
        <v>59127</v>
      </c>
      <c r="E20155" t="b">
        <v>0</v>
      </c>
      <c r="F20155" t="s">
        <v>11610</v>
      </c>
      <c r="L20155">
        <v>0</v>
      </c>
      <c r="M20155">
        <v>0</v>
      </c>
      <c r="N20155">
        <v>0</v>
      </c>
    </row>
    <row r="20156" spans="1:15">
      <c r="A20156" t="s">
        <v>44114</v>
      </c>
      <c r="B20156" t="s">
        <v>11879</v>
      </c>
      <c r="C20156" t="s">
        <v>42616</v>
      </c>
      <c r="D20156" t="s">
        <v>59128</v>
      </c>
      <c r="E20156" t="b">
        <v>0</v>
      </c>
      <c r="F20156" t="s">
        <v>11622</v>
      </c>
      <c r="L20156">
        <v>1</v>
      </c>
      <c r="M20156">
        <v>5</v>
      </c>
      <c r="N20156">
        <v>6</v>
      </c>
    </row>
    <row r="20157" spans="1:15">
      <c r="A20157" t="s">
        <v>59129</v>
      </c>
      <c r="B20157" t="s">
        <v>11879</v>
      </c>
      <c r="C20157" t="s">
        <v>44114</v>
      </c>
      <c r="D20157" t="s">
        <v>59130</v>
      </c>
      <c r="E20157" t="b">
        <v>0</v>
      </c>
      <c r="F20157" t="s">
        <v>11624</v>
      </c>
      <c r="G20157">
        <v>12.466699999999999</v>
      </c>
      <c r="H20157">
        <v>-86.916600000000003</v>
      </c>
      <c r="I20157" t="s">
        <v>59131</v>
      </c>
      <c r="L20157">
        <v>0</v>
      </c>
      <c r="M20157">
        <v>0</v>
      </c>
      <c r="N20157">
        <v>0</v>
      </c>
      <c r="O20157" t="s">
        <v>43310</v>
      </c>
    </row>
    <row r="20158" spans="1:15">
      <c r="A20158" t="s">
        <v>59132</v>
      </c>
      <c r="B20158" t="s">
        <v>141</v>
      </c>
      <c r="C20158" t="s">
        <v>9095</v>
      </c>
      <c r="D20158" t="s">
        <v>59133</v>
      </c>
      <c r="E20158" t="b">
        <v>0</v>
      </c>
      <c r="F20158" t="s">
        <v>11610</v>
      </c>
      <c r="L20158">
        <v>0</v>
      </c>
      <c r="M20158">
        <v>0</v>
      </c>
      <c r="N20158">
        <v>0</v>
      </c>
    </row>
    <row r="20159" spans="1:15">
      <c r="A20159" t="s">
        <v>22097</v>
      </c>
      <c r="B20159" t="s">
        <v>11607</v>
      </c>
      <c r="C20159" t="s">
        <v>26901</v>
      </c>
      <c r="D20159" t="s">
        <v>59134</v>
      </c>
      <c r="E20159" t="b">
        <v>0</v>
      </c>
      <c r="F20159" t="s">
        <v>11622</v>
      </c>
      <c r="L20159">
        <v>0</v>
      </c>
      <c r="M20159">
        <v>4</v>
      </c>
      <c r="N20159">
        <v>7</v>
      </c>
    </row>
    <row r="20160" spans="1:15">
      <c r="A20160" t="s">
        <v>3055</v>
      </c>
      <c r="B20160" t="s">
        <v>11607</v>
      </c>
      <c r="C20160" t="s">
        <v>22097</v>
      </c>
      <c r="D20160" t="s">
        <v>59135</v>
      </c>
      <c r="E20160" t="b">
        <v>0</v>
      </c>
      <c r="F20160" t="s">
        <v>11624</v>
      </c>
      <c r="G20160">
        <v>17.802099999999999</v>
      </c>
      <c r="H20160">
        <v>33.317900000000002</v>
      </c>
      <c r="I20160" t="s">
        <v>59136</v>
      </c>
      <c r="L20160">
        <v>0</v>
      </c>
      <c r="M20160">
        <v>0</v>
      </c>
      <c r="N20160">
        <v>5</v>
      </c>
      <c r="O20160" t="s">
        <v>59137</v>
      </c>
    </row>
    <row r="20161" spans="1:15">
      <c r="A20161" t="s">
        <v>59138</v>
      </c>
      <c r="B20161" t="s">
        <v>11607</v>
      </c>
      <c r="C20161" t="s">
        <v>22097</v>
      </c>
      <c r="D20161" t="s">
        <v>59139</v>
      </c>
      <c r="E20161" t="b">
        <v>0</v>
      </c>
      <c r="F20161" t="s">
        <v>11624</v>
      </c>
      <c r="G20161">
        <v>5.6539999999999999</v>
      </c>
      <c r="H20161">
        <v>28.774000000000001</v>
      </c>
      <c r="I20161" t="s">
        <v>59140</v>
      </c>
      <c r="L20161">
        <v>0</v>
      </c>
      <c r="M20161">
        <v>0</v>
      </c>
      <c r="N20161">
        <v>0</v>
      </c>
      <c r="O20161" t="s">
        <v>11910</v>
      </c>
    </row>
    <row r="20162" spans="1:15">
      <c r="A20162" t="s">
        <v>26184</v>
      </c>
      <c r="B20162" t="s">
        <v>367</v>
      </c>
      <c r="C20162" t="s">
        <v>47771</v>
      </c>
      <c r="D20162" t="s">
        <v>59141</v>
      </c>
      <c r="E20162" t="b">
        <v>0</v>
      </c>
      <c r="F20162" t="s">
        <v>11624</v>
      </c>
      <c r="G20162">
        <v>-11.5229</v>
      </c>
      <c r="H20162">
        <v>153.488</v>
      </c>
      <c r="I20162" t="s">
        <v>59142</v>
      </c>
      <c r="L20162">
        <v>0</v>
      </c>
      <c r="M20162">
        <v>0</v>
      </c>
      <c r="N20162">
        <v>5</v>
      </c>
      <c r="O20162" t="s">
        <v>11660</v>
      </c>
    </row>
    <row r="20163" spans="1:15">
      <c r="A20163" t="s">
        <v>59143</v>
      </c>
      <c r="B20163" t="s">
        <v>11637</v>
      </c>
      <c r="C20163" t="s">
        <v>36773</v>
      </c>
      <c r="D20163" t="s">
        <v>59144</v>
      </c>
      <c r="E20163" t="b">
        <v>0</v>
      </c>
      <c r="F20163" t="s">
        <v>11610</v>
      </c>
      <c r="L20163">
        <v>0</v>
      </c>
      <c r="M20163">
        <v>0</v>
      </c>
      <c r="N20163">
        <v>0</v>
      </c>
    </row>
    <row r="20164" spans="1:15">
      <c r="A20164" t="s">
        <v>59145</v>
      </c>
      <c r="B20164" t="s">
        <v>11637</v>
      </c>
      <c r="C20164" t="s">
        <v>40798</v>
      </c>
      <c r="D20164" t="s">
        <v>59146</v>
      </c>
      <c r="E20164" t="b">
        <v>0</v>
      </c>
      <c r="F20164" t="s">
        <v>11610</v>
      </c>
      <c r="L20164">
        <v>0</v>
      </c>
      <c r="M20164">
        <v>0</v>
      </c>
      <c r="N20164">
        <v>0</v>
      </c>
    </row>
    <row r="20165" spans="1:15">
      <c r="A20165" t="s">
        <v>59147</v>
      </c>
      <c r="B20165" t="s">
        <v>11637</v>
      </c>
      <c r="C20165" t="s">
        <v>19833</v>
      </c>
      <c r="D20165" t="s">
        <v>59148</v>
      </c>
      <c r="E20165" t="b">
        <v>0</v>
      </c>
      <c r="F20165" t="s">
        <v>11610</v>
      </c>
      <c r="L20165">
        <v>0</v>
      </c>
      <c r="M20165">
        <v>0</v>
      </c>
      <c r="N20165">
        <v>0</v>
      </c>
    </row>
    <row r="20166" spans="1:15">
      <c r="A20166" t="s">
        <v>59149</v>
      </c>
      <c r="B20166" t="s">
        <v>11637</v>
      </c>
      <c r="C20166" t="s">
        <v>48201</v>
      </c>
      <c r="D20166" t="s">
        <v>59150</v>
      </c>
      <c r="E20166" t="b">
        <v>0</v>
      </c>
      <c r="F20166" t="s">
        <v>11610</v>
      </c>
      <c r="L20166">
        <v>0</v>
      </c>
      <c r="M20166">
        <v>0</v>
      </c>
      <c r="N20166">
        <v>0</v>
      </c>
    </row>
    <row r="20167" spans="1:15">
      <c r="A20167" t="s">
        <v>59151</v>
      </c>
      <c r="B20167" t="s">
        <v>11637</v>
      </c>
      <c r="C20167" t="s">
        <v>29109</v>
      </c>
      <c r="D20167" t="s">
        <v>59152</v>
      </c>
      <c r="E20167" t="b">
        <v>0</v>
      </c>
      <c r="F20167" t="s">
        <v>11610</v>
      </c>
      <c r="L20167">
        <v>0</v>
      </c>
      <c r="M20167">
        <v>0</v>
      </c>
      <c r="N20167">
        <v>0</v>
      </c>
    </row>
    <row r="20168" spans="1:15">
      <c r="A20168" t="s">
        <v>59153</v>
      </c>
      <c r="B20168" t="s">
        <v>11637</v>
      </c>
      <c r="C20168" t="s">
        <v>28948</v>
      </c>
      <c r="D20168" t="s">
        <v>59154</v>
      </c>
      <c r="E20168" t="b">
        <v>0</v>
      </c>
      <c r="F20168" t="s">
        <v>11610</v>
      </c>
      <c r="L20168">
        <v>0</v>
      </c>
      <c r="M20168">
        <v>0</v>
      </c>
      <c r="N20168">
        <v>0</v>
      </c>
    </row>
    <row r="20169" spans="1:15">
      <c r="A20169" t="s">
        <v>59155</v>
      </c>
      <c r="B20169" t="s">
        <v>11637</v>
      </c>
      <c r="C20169" t="s">
        <v>29109</v>
      </c>
      <c r="D20169" t="s">
        <v>59156</v>
      </c>
      <c r="E20169" t="b">
        <v>0</v>
      </c>
      <c r="F20169" t="s">
        <v>11610</v>
      </c>
      <c r="L20169">
        <v>0</v>
      </c>
      <c r="M20169">
        <v>0</v>
      </c>
      <c r="N20169">
        <v>0</v>
      </c>
    </row>
    <row r="20170" spans="1:15">
      <c r="A20170" t="s">
        <v>59157</v>
      </c>
      <c r="B20170" t="s">
        <v>11637</v>
      </c>
      <c r="C20170" t="s">
        <v>40798</v>
      </c>
      <c r="D20170" t="s">
        <v>59158</v>
      </c>
      <c r="E20170" t="b">
        <v>0</v>
      </c>
      <c r="F20170" t="s">
        <v>11610</v>
      </c>
      <c r="L20170">
        <v>0</v>
      </c>
      <c r="M20170">
        <v>0</v>
      </c>
      <c r="N20170">
        <v>0</v>
      </c>
    </row>
    <row r="20171" spans="1:15">
      <c r="A20171" t="s">
        <v>59159</v>
      </c>
      <c r="B20171" t="s">
        <v>11637</v>
      </c>
      <c r="C20171" t="s">
        <v>11936</v>
      </c>
      <c r="D20171" t="s">
        <v>59160</v>
      </c>
      <c r="E20171" t="b">
        <v>0</v>
      </c>
      <c r="F20171" t="s">
        <v>11610</v>
      </c>
      <c r="L20171">
        <v>0</v>
      </c>
      <c r="M20171">
        <v>0</v>
      </c>
      <c r="N20171">
        <v>0</v>
      </c>
    </row>
    <row r="20172" spans="1:15">
      <c r="A20172" t="s">
        <v>59161</v>
      </c>
      <c r="B20172" t="s">
        <v>11615</v>
      </c>
      <c r="C20172" t="s">
        <v>48765</v>
      </c>
      <c r="D20172" t="s">
        <v>59162</v>
      </c>
      <c r="E20172" t="b">
        <v>0</v>
      </c>
      <c r="F20172" t="s">
        <v>11624</v>
      </c>
      <c r="G20172">
        <v>-7.7633900000000002</v>
      </c>
      <c r="H20172">
        <v>147.53399999999999</v>
      </c>
      <c r="I20172" t="s">
        <v>59163</v>
      </c>
      <c r="L20172">
        <v>0</v>
      </c>
      <c r="M20172">
        <v>0</v>
      </c>
      <c r="N20172">
        <v>0</v>
      </c>
      <c r="O20172" t="s">
        <v>11660</v>
      </c>
    </row>
    <row r="20173" spans="1:15">
      <c r="A20173" t="s">
        <v>59164</v>
      </c>
      <c r="B20173" t="s">
        <v>6742</v>
      </c>
      <c r="C20173" t="s">
        <v>37288</v>
      </c>
      <c r="D20173" t="s">
        <v>59165</v>
      </c>
      <c r="E20173" t="b">
        <v>0</v>
      </c>
      <c r="F20173" t="s">
        <v>11624</v>
      </c>
      <c r="G20173">
        <v>7.12906</v>
      </c>
      <c r="H20173">
        <v>12.3779</v>
      </c>
      <c r="I20173" t="s">
        <v>59166</v>
      </c>
      <c r="L20173">
        <v>0</v>
      </c>
      <c r="M20173">
        <v>0</v>
      </c>
      <c r="N20173">
        <v>0</v>
      </c>
      <c r="O20173" t="s">
        <v>11703</v>
      </c>
    </row>
    <row r="20174" spans="1:15">
      <c r="A20174" t="s">
        <v>59167</v>
      </c>
      <c r="B20174" t="s">
        <v>11615</v>
      </c>
      <c r="C20174" t="s">
        <v>44292</v>
      </c>
      <c r="D20174" t="s">
        <v>59168</v>
      </c>
      <c r="E20174" t="b">
        <v>0</v>
      </c>
      <c r="F20174" t="s">
        <v>11624</v>
      </c>
      <c r="G20174">
        <v>-4.5071000000000003</v>
      </c>
      <c r="H20174">
        <v>141.19999999999999</v>
      </c>
      <c r="I20174" t="s">
        <v>59169</v>
      </c>
      <c r="L20174">
        <v>0</v>
      </c>
      <c r="M20174">
        <v>0</v>
      </c>
      <c r="N20174">
        <v>0</v>
      </c>
      <c r="O20174" t="s">
        <v>24525</v>
      </c>
    </row>
    <row r="20175" spans="1:15">
      <c r="A20175" t="s">
        <v>59170</v>
      </c>
      <c r="B20175" t="s">
        <v>13967</v>
      </c>
      <c r="C20175" t="s">
        <v>37895</v>
      </c>
      <c r="D20175" t="s">
        <v>59171</v>
      </c>
      <c r="E20175" t="b">
        <v>0</v>
      </c>
      <c r="F20175" t="s">
        <v>11610</v>
      </c>
      <c r="L20175">
        <v>0</v>
      </c>
      <c r="M20175">
        <v>0</v>
      </c>
      <c r="N20175">
        <v>0</v>
      </c>
    </row>
    <row r="20176" spans="1:15">
      <c r="A20176" t="s">
        <v>59172</v>
      </c>
      <c r="B20176" t="s">
        <v>367</v>
      </c>
      <c r="C20176" t="s">
        <v>37602</v>
      </c>
      <c r="D20176" t="s">
        <v>59173</v>
      </c>
      <c r="E20176" t="b">
        <v>0</v>
      </c>
      <c r="F20176" t="s">
        <v>11624</v>
      </c>
      <c r="G20176">
        <v>6.1423500000000004</v>
      </c>
      <c r="H20176">
        <v>117.176</v>
      </c>
      <c r="I20176" t="s">
        <v>59174</v>
      </c>
      <c r="L20176">
        <v>0</v>
      </c>
      <c r="M20176">
        <v>0</v>
      </c>
      <c r="N20176">
        <v>2</v>
      </c>
      <c r="O20176" t="s">
        <v>11672</v>
      </c>
    </row>
    <row r="20177" spans="1:15">
      <c r="A20177" t="s">
        <v>37602</v>
      </c>
      <c r="B20177" t="s">
        <v>367</v>
      </c>
      <c r="C20177" t="s">
        <v>21617</v>
      </c>
      <c r="D20177" t="s">
        <v>59175</v>
      </c>
      <c r="E20177" t="b">
        <v>0</v>
      </c>
      <c r="F20177" t="s">
        <v>11622</v>
      </c>
      <c r="L20177">
        <v>0</v>
      </c>
      <c r="M20177">
        <v>4</v>
      </c>
      <c r="N20177">
        <v>2</v>
      </c>
    </row>
    <row r="20178" spans="1:15">
      <c r="A20178" t="s">
        <v>33598</v>
      </c>
      <c r="B20178" t="s">
        <v>6742</v>
      </c>
      <c r="C20178" t="s">
        <v>26556</v>
      </c>
      <c r="D20178" t="s">
        <v>59176</v>
      </c>
      <c r="E20178" t="b">
        <v>0</v>
      </c>
      <c r="F20178" t="s">
        <v>11622</v>
      </c>
      <c r="L20178">
        <v>0</v>
      </c>
      <c r="M20178">
        <v>3</v>
      </c>
      <c r="N20178">
        <v>1</v>
      </c>
    </row>
    <row r="20179" spans="1:15">
      <c r="A20179" t="s">
        <v>59177</v>
      </c>
      <c r="B20179" t="s">
        <v>367</v>
      </c>
      <c r="C20179" t="s">
        <v>14685</v>
      </c>
      <c r="D20179" t="s">
        <v>59178</v>
      </c>
      <c r="E20179" t="b">
        <v>0</v>
      </c>
      <c r="F20179" t="s">
        <v>11610</v>
      </c>
      <c r="L20179">
        <v>0</v>
      </c>
      <c r="M20179">
        <v>0</v>
      </c>
      <c r="N20179">
        <v>0</v>
      </c>
    </row>
    <row r="20180" spans="1:15">
      <c r="A20180" t="s">
        <v>33479</v>
      </c>
      <c r="B20180" t="s">
        <v>11644</v>
      </c>
      <c r="C20180" t="s">
        <v>49144</v>
      </c>
      <c r="D20180" t="s">
        <v>59179</v>
      </c>
      <c r="E20180" t="b">
        <v>0</v>
      </c>
      <c r="F20180" t="s">
        <v>11610</v>
      </c>
      <c r="L20180">
        <v>0</v>
      </c>
      <c r="M20180">
        <v>0</v>
      </c>
      <c r="N20180">
        <v>4</v>
      </c>
    </row>
    <row r="20181" spans="1:15">
      <c r="A20181" t="s">
        <v>59180</v>
      </c>
      <c r="B20181" t="s">
        <v>11757</v>
      </c>
      <c r="C20181" t="s">
        <v>49659</v>
      </c>
      <c r="D20181" t="s">
        <v>59181</v>
      </c>
      <c r="E20181" t="b">
        <v>0</v>
      </c>
      <c r="F20181" t="s">
        <v>11610</v>
      </c>
      <c r="L20181">
        <v>0</v>
      </c>
      <c r="M20181">
        <v>0</v>
      </c>
      <c r="N20181">
        <v>0</v>
      </c>
    </row>
    <row r="20182" spans="1:15">
      <c r="A20182" t="s">
        <v>59182</v>
      </c>
      <c r="B20182" t="s">
        <v>11757</v>
      </c>
      <c r="C20182" t="s">
        <v>51298</v>
      </c>
      <c r="D20182" t="s">
        <v>59183</v>
      </c>
      <c r="E20182" t="b">
        <v>0</v>
      </c>
      <c r="F20182" t="s">
        <v>11610</v>
      </c>
      <c r="L20182">
        <v>0</v>
      </c>
      <c r="M20182">
        <v>0</v>
      </c>
      <c r="N20182">
        <v>0</v>
      </c>
    </row>
    <row r="20183" spans="1:15">
      <c r="A20183" t="s">
        <v>14064</v>
      </c>
      <c r="B20183" t="s">
        <v>5126</v>
      </c>
      <c r="C20183" t="s">
        <v>41851</v>
      </c>
      <c r="D20183" t="s">
        <v>59184</v>
      </c>
      <c r="E20183" t="b">
        <v>0</v>
      </c>
      <c r="F20183" t="s">
        <v>11624</v>
      </c>
      <c r="G20183">
        <v>24.0488</v>
      </c>
      <c r="H20183">
        <v>106.563</v>
      </c>
      <c r="I20183" t="s">
        <v>59185</v>
      </c>
      <c r="L20183">
        <v>0</v>
      </c>
      <c r="M20183">
        <v>0</v>
      </c>
      <c r="N20183">
        <v>3</v>
      </c>
      <c r="O20183" t="s">
        <v>19781</v>
      </c>
    </row>
    <row r="20184" spans="1:15">
      <c r="A20184" t="s">
        <v>59186</v>
      </c>
      <c r="B20184" t="s">
        <v>37072</v>
      </c>
      <c r="C20184" t="s">
        <v>37072</v>
      </c>
      <c r="D20184" t="s">
        <v>59187</v>
      </c>
      <c r="E20184" t="b">
        <v>0</v>
      </c>
      <c r="F20184" t="s">
        <v>11610</v>
      </c>
      <c r="L20184">
        <v>0</v>
      </c>
      <c r="M20184">
        <v>0</v>
      </c>
      <c r="N20184">
        <v>0</v>
      </c>
    </row>
    <row r="20185" spans="1:15">
      <c r="A20185" t="s">
        <v>59188</v>
      </c>
      <c r="B20185" t="s">
        <v>367</v>
      </c>
      <c r="C20185" t="s">
        <v>15313</v>
      </c>
      <c r="D20185" t="s">
        <v>59189</v>
      </c>
      <c r="E20185" t="b">
        <v>0</v>
      </c>
      <c r="F20185" t="s">
        <v>11610</v>
      </c>
      <c r="L20185">
        <v>0</v>
      </c>
      <c r="M20185">
        <v>0</v>
      </c>
      <c r="N20185">
        <v>0</v>
      </c>
    </row>
    <row r="20186" spans="1:15">
      <c r="A20186" t="s">
        <v>59190</v>
      </c>
      <c r="B20186" t="s">
        <v>367</v>
      </c>
      <c r="C20186" t="s">
        <v>14685</v>
      </c>
      <c r="D20186" t="s">
        <v>59191</v>
      </c>
      <c r="E20186" t="b">
        <v>0</v>
      </c>
      <c r="F20186" t="s">
        <v>11610</v>
      </c>
      <c r="L20186">
        <v>0</v>
      </c>
      <c r="M20186">
        <v>0</v>
      </c>
      <c r="N20186">
        <v>0</v>
      </c>
    </row>
    <row r="20187" spans="1:15">
      <c r="A20187" t="s">
        <v>59192</v>
      </c>
      <c r="B20187" t="s">
        <v>367</v>
      </c>
      <c r="C20187" t="s">
        <v>35513</v>
      </c>
      <c r="D20187" t="s">
        <v>59193</v>
      </c>
      <c r="E20187" t="b">
        <v>0</v>
      </c>
      <c r="F20187" t="s">
        <v>11610</v>
      </c>
      <c r="L20187">
        <v>0</v>
      </c>
      <c r="M20187">
        <v>0</v>
      </c>
      <c r="N20187">
        <v>0</v>
      </c>
    </row>
    <row r="20188" spans="1:15">
      <c r="A20188" t="s">
        <v>59194</v>
      </c>
      <c r="B20188" t="s">
        <v>367</v>
      </c>
      <c r="C20188" t="s">
        <v>38882</v>
      </c>
      <c r="D20188" t="s">
        <v>59195</v>
      </c>
      <c r="E20188" t="b">
        <v>0</v>
      </c>
      <c r="F20188" t="s">
        <v>11610</v>
      </c>
      <c r="L20188">
        <v>0</v>
      </c>
      <c r="M20188">
        <v>0</v>
      </c>
      <c r="N20188">
        <v>0</v>
      </c>
    </row>
    <row r="20189" spans="1:15">
      <c r="A20189" t="s">
        <v>14528</v>
      </c>
      <c r="D20189" t="s">
        <v>59196</v>
      </c>
      <c r="E20189" t="b">
        <v>0</v>
      </c>
      <c r="F20189" t="s">
        <v>11622</v>
      </c>
      <c r="L20189">
        <v>2</v>
      </c>
      <c r="M20189">
        <v>4</v>
      </c>
      <c r="N20189">
        <v>0</v>
      </c>
    </row>
    <row r="20190" spans="1:15">
      <c r="A20190" t="s">
        <v>59197</v>
      </c>
      <c r="B20190" t="s">
        <v>14528</v>
      </c>
      <c r="C20190" t="s">
        <v>14528</v>
      </c>
      <c r="D20190" t="s">
        <v>59198</v>
      </c>
      <c r="E20190" t="b">
        <v>0</v>
      </c>
      <c r="F20190" t="s">
        <v>11624</v>
      </c>
      <c r="G20190">
        <v>-8.0478299999999994</v>
      </c>
      <c r="H20190">
        <v>141.84200000000001</v>
      </c>
      <c r="I20190" t="s">
        <v>59199</v>
      </c>
      <c r="L20190">
        <v>0</v>
      </c>
      <c r="M20190">
        <v>0</v>
      </c>
      <c r="N20190">
        <v>0</v>
      </c>
      <c r="O20190" t="s">
        <v>11660</v>
      </c>
    </row>
    <row r="20191" spans="1:15">
      <c r="A20191" t="s">
        <v>59200</v>
      </c>
      <c r="B20191" t="s">
        <v>11844</v>
      </c>
      <c r="C20191" t="s">
        <v>24024</v>
      </c>
      <c r="D20191" t="s">
        <v>59201</v>
      </c>
      <c r="E20191" t="b">
        <v>0</v>
      </c>
      <c r="F20191" t="s">
        <v>11610</v>
      </c>
      <c r="L20191">
        <v>0</v>
      </c>
      <c r="M20191">
        <v>0</v>
      </c>
      <c r="N20191">
        <v>0</v>
      </c>
    </row>
    <row r="20192" spans="1:15">
      <c r="A20192" t="s">
        <v>59202</v>
      </c>
      <c r="B20192" t="s">
        <v>6742</v>
      </c>
      <c r="C20192" t="s">
        <v>25102</v>
      </c>
      <c r="D20192" t="s">
        <v>59203</v>
      </c>
      <c r="E20192" t="b">
        <v>0</v>
      </c>
      <c r="F20192" t="s">
        <v>11610</v>
      </c>
      <c r="L20192">
        <v>0</v>
      </c>
      <c r="M20192">
        <v>0</v>
      </c>
      <c r="N20192">
        <v>0</v>
      </c>
    </row>
    <row r="20193" spans="1:15">
      <c r="A20193" t="s">
        <v>59204</v>
      </c>
      <c r="B20193" t="s">
        <v>6742</v>
      </c>
      <c r="C20193" t="s">
        <v>31724</v>
      </c>
      <c r="D20193" t="s">
        <v>59205</v>
      </c>
      <c r="E20193" t="b">
        <v>0</v>
      </c>
      <c r="F20193" t="s">
        <v>11624</v>
      </c>
      <c r="G20193">
        <v>-5.7649499999999998</v>
      </c>
      <c r="H20193">
        <v>17.773599999999998</v>
      </c>
      <c r="I20193" t="s">
        <v>59206</v>
      </c>
      <c r="L20193">
        <v>0</v>
      </c>
      <c r="M20193">
        <v>0</v>
      </c>
      <c r="N20193">
        <v>0</v>
      </c>
      <c r="O20193" t="s">
        <v>14825</v>
      </c>
    </row>
    <row r="20194" spans="1:15">
      <c r="A20194" t="s">
        <v>30399</v>
      </c>
      <c r="B20194" t="s">
        <v>6742</v>
      </c>
      <c r="C20194" t="s">
        <v>36527</v>
      </c>
      <c r="D20194" t="s">
        <v>59207</v>
      </c>
      <c r="E20194" t="b">
        <v>0</v>
      </c>
      <c r="F20194" t="s">
        <v>11624</v>
      </c>
      <c r="G20194">
        <v>-3.1608200000000002</v>
      </c>
      <c r="H20194">
        <v>32.8765</v>
      </c>
      <c r="I20194" t="s">
        <v>59208</v>
      </c>
      <c r="L20194">
        <v>0</v>
      </c>
      <c r="M20194">
        <v>0</v>
      </c>
      <c r="N20194">
        <v>2</v>
      </c>
      <c r="O20194" t="s">
        <v>11635</v>
      </c>
    </row>
    <row r="20195" spans="1:15">
      <c r="A20195" t="s">
        <v>59209</v>
      </c>
      <c r="B20195" t="s">
        <v>6742</v>
      </c>
      <c r="C20195" t="s">
        <v>27905</v>
      </c>
      <c r="D20195" t="s">
        <v>59210</v>
      </c>
      <c r="E20195" t="b">
        <v>0</v>
      </c>
      <c r="F20195" t="s">
        <v>11610</v>
      </c>
      <c r="L20195">
        <v>0</v>
      </c>
      <c r="M20195">
        <v>0</v>
      </c>
      <c r="N20195">
        <v>0</v>
      </c>
    </row>
    <row r="20196" spans="1:15">
      <c r="A20196" t="s">
        <v>59211</v>
      </c>
      <c r="B20196" t="s">
        <v>367</v>
      </c>
      <c r="C20196" t="s">
        <v>32245</v>
      </c>
      <c r="D20196" t="s">
        <v>59212</v>
      </c>
      <c r="E20196" t="b">
        <v>0</v>
      </c>
      <c r="F20196" t="s">
        <v>11610</v>
      </c>
      <c r="L20196">
        <v>0</v>
      </c>
      <c r="M20196">
        <v>0</v>
      </c>
      <c r="N20196">
        <v>0</v>
      </c>
    </row>
    <row r="20197" spans="1:15">
      <c r="A20197" t="s">
        <v>59213</v>
      </c>
      <c r="B20197" t="s">
        <v>367</v>
      </c>
      <c r="C20197" t="s">
        <v>43013</v>
      </c>
      <c r="D20197" t="s">
        <v>59214</v>
      </c>
      <c r="E20197" t="b">
        <v>0</v>
      </c>
      <c r="F20197" t="s">
        <v>11624</v>
      </c>
      <c r="G20197">
        <v>-6.28</v>
      </c>
      <c r="H20197">
        <v>146.34187</v>
      </c>
      <c r="I20197" t="s">
        <v>59215</v>
      </c>
      <c r="L20197">
        <v>0</v>
      </c>
      <c r="M20197">
        <v>0</v>
      </c>
      <c r="N20197">
        <v>0</v>
      </c>
      <c r="O20197" t="s">
        <v>11660</v>
      </c>
    </row>
    <row r="20198" spans="1:15">
      <c r="A20198" t="s">
        <v>59216</v>
      </c>
      <c r="B20198" t="s">
        <v>11607</v>
      </c>
      <c r="C20198" t="s">
        <v>18906</v>
      </c>
      <c r="D20198" t="s">
        <v>59217</v>
      </c>
      <c r="E20198" t="b">
        <v>0</v>
      </c>
      <c r="F20198" t="s">
        <v>11624</v>
      </c>
      <c r="G20198">
        <v>10.8933</v>
      </c>
      <c r="H20198">
        <v>13.643700000000001</v>
      </c>
      <c r="I20198" t="s">
        <v>59218</v>
      </c>
      <c r="L20198">
        <v>0</v>
      </c>
      <c r="M20198">
        <v>0</v>
      </c>
      <c r="N20198">
        <v>0</v>
      </c>
      <c r="O20198" t="s">
        <v>11693</v>
      </c>
    </row>
    <row r="20199" spans="1:15">
      <c r="A20199" t="s">
        <v>50494</v>
      </c>
      <c r="B20199" t="s">
        <v>6742</v>
      </c>
      <c r="C20199" t="s">
        <v>21871</v>
      </c>
      <c r="D20199" t="s">
        <v>59219</v>
      </c>
      <c r="E20199" t="b">
        <v>0</v>
      </c>
      <c r="F20199" t="s">
        <v>11622</v>
      </c>
      <c r="L20199">
        <v>1</v>
      </c>
      <c r="M20199">
        <v>5</v>
      </c>
      <c r="N20199">
        <v>5</v>
      </c>
    </row>
    <row r="20200" spans="1:15">
      <c r="A20200" t="s">
        <v>59220</v>
      </c>
      <c r="B20200" t="s">
        <v>6742</v>
      </c>
      <c r="C20200" t="s">
        <v>46742</v>
      </c>
      <c r="D20200" t="s">
        <v>59221</v>
      </c>
      <c r="E20200" t="b">
        <v>0</v>
      </c>
      <c r="F20200" t="s">
        <v>11610</v>
      </c>
      <c r="L20200">
        <v>0</v>
      </c>
      <c r="M20200">
        <v>0</v>
      </c>
      <c r="N20200">
        <v>0</v>
      </c>
    </row>
    <row r="20201" spans="1:15">
      <c r="A20201" t="s">
        <v>27600</v>
      </c>
      <c r="B20201" t="s">
        <v>367</v>
      </c>
      <c r="C20201" t="s">
        <v>42593</v>
      </c>
      <c r="D20201" t="s">
        <v>59222</v>
      </c>
      <c r="E20201" t="b">
        <v>0</v>
      </c>
      <c r="F20201" t="s">
        <v>11624</v>
      </c>
      <c r="G20201">
        <v>-2.3076500000000002</v>
      </c>
      <c r="H20201">
        <v>125.96599999999999</v>
      </c>
      <c r="I20201" t="s">
        <v>59223</v>
      </c>
      <c r="L20201">
        <v>0</v>
      </c>
      <c r="M20201">
        <v>0</v>
      </c>
      <c r="N20201">
        <v>3</v>
      </c>
      <c r="O20201" t="s">
        <v>11768</v>
      </c>
    </row>
    <row r="20202" spans="1:15">
      <c r="A20202" t="s">
        <v>59224</v>
      </c>
      <c r="B20202" t="s">
        <v>367</v>
      </c>
      <c r="C20202" t="s">
        <v>5449</v>
      </c>
      <c r="D20202" t="s">
        <v>59225</v>
      </c>
      <c r="E20202" t="b">
        <v>0</v>
      </c>
      <c r="F20202" t="s">
        <v>11610</v>
      </c>
      <c r="L20202">
        <v>0</v>
      </c>
      <c r="M20202">
        <v>0</v>
      </c>
      <c r="N20202">
        <v>0</v>
      </c>
    </row>
    <row r="20203" spans="1:15">
      <c r="A20203" t="s">
        <v>20568</v>
      </c>
      <c r="B20203" t="s">
        <v>367</v>
      </c>
      <c r="C20203" t="s">
        <v>20566</v>
      </c>
      <c r="D20203" t="s">
        <v>59226</v>
      </c>
      <c r="E20203" t="b">
        <v>0</v>
      </c>
      <c r="F20203" t="s">
        <v>11622</v>
      </c>
      <c r="L20203">
        <v>2</v>
      </c>
      <c r="M20203">
        <v>5</v>
      </c>
      <c r="N20203">
        <v>9</v>
      </c>
    </row>
    <row r="20204" spans="1:15">
      <c r="A20204" t="s">
        <v>42593</v>
      </c>
      <c r="B20204" t="s">
        <v>367</v>
      </c>
      <c r="C20204" t="s">
        <v>20568</v>
      </c>
      <c r="D20204" t="s">
        <v>59227</v>
      </c>
      <c r="E20204" t="b">
        <v>0</v>
      </c>
      <c r="F20204" t="s">
        <v>11622</v>
      </c>
      <c r="L20204">
        <v>0</v>
      </c>
      <c r="M20204">
        <v>2</v>
      </c>
      <c r="N20204">
        <v>3</v>
      </c>
    </row>
    <row r="20205" spans="1:15">
      <c r="A20205" t="s">
        <v>59228</v>
      </c>
      <c r="B20205" t="s">
        <v>11637</v>
      </c>
      <c r="C20205" t="s">
        <v>14419</v>
      </c>
      <c r="D20205" t="s">
        <v>59229</v>
      </c>
      <c r="E20205" t="b">
        <v>0</v>
      </c>
      <c r="F20205" t="s">
        <v>11610</v>
      </c>
      <c r="L20205">
        <v>0</v>
      </c>
      <c r="M20205">
        <v>0</v>
      </c>
      <c r="N20205">
        <v>0</v>
      </c>
    </row>
    <row r="20206" spans="1:15">
      <c r="A20206" t="s">
        <v>59230</v>
      </c>
      <c r="B20206" t="s">
        <v>11637</v>
      </c>
      <c r="C20206" t="s">
        <v>4401</v>
      </c>
      <c r="D20206" t="s">
        <v>59231</v>
      </c>
      <c r="E20206" t="b">
        <v>0</v>
      </c>
      <c r="F20206" t="s">
        <v>11610</v>
      </c>
      <c r="L20206">
        <v>0</v>
      </c>
      <c r="M20206">
        <v>0</v>
      </c>
      <c r="N20206">
        <v>0</v>
      </c>
    </row>
    <row r="20207" spans="1:15">
      <c r="A20207" t="s">
        <v>59232</v>
      </c>
      <c r="B20207" t="s">
        <v>11607</v>
      </c>
      <c r="C20207" t="s">
        <v>31667</v>
      </c>
      <c r="D20207" t="s">
        <v>59233</v>
      </c>
      <c r="E20207" t="b">
        <v>0</v>
      </c>
      <c r="F20207" t="s">
        <v>11610</v>
      </c>
      <c r="L20207">
        <v>0</v>
      </c>
      <c r="M20207">
        <v>0</v>
      </c>
      <c r="N20207">
        <v>0</v>
      </c>
    </row>
    <row r="20208" spans="1:15">
      <c r="A20208" t="s">
        <v>59234</v>
      </c>
      <c r="B20208" t="s">
        <v>13276</v>
      </c>
      <c r="C20208" t="s">
        <v>27915</v>
      </c>
      <c r="D20208" t="s">
        <v>59235</v>
      </c>
      <c r="E20208" t="b">
        <v>0</v>
      </c>
      <c r="F20208" t="s">
        <v>11610</v>
      </c>
      <c r="L20208">
        <v>0</v>
      </c>
      <c r="M20208">
        <v>0</v>
      </c>
      <c r="N20208">
        <v>0</v>
      </c>
    </row>
    <row r="20209" spans="1:15">
      <c r="A20209" t="s">
        <v>59236</v>
      </c>
      <c r="D20209" t="s">
        <v>59237</v>
      </c>
      <c r="E20209" t="b">
        <v>0</v>
      </c>
      <c r="F20209" t="s">
        <v>11624</v>
      </c>
      <c r="G20209">
        <v>-5.0347099999999996</v>
      </c>
      <c r="H20209">
        <v>151.89099999999999</v>
      </c>
      <c r="I20209" t="s">
        <v>59238</v>
      </c>
      <c r="L20209">
        <v>0</v>
      </c>
      <c r="M20209">
        <v>0</v>
      </c>
      <c r="N20209">
        <v>0</v>
      </c>
      <c r="O20209" t="s">
        <v>11660</v>
      </c>
    </row>
    <row r="20210" spans="1:15">
      <c r="A20210" t="s">
        <v>59239</v>
      </c>
      <c r="B20210" t="s">
        <v>367</v>
      </c>
      <c r="C20210" t="s">
        <v>59240</v>
      </c>
      <c r="D20210" t="s">
        <v>59241</v>
      </c>
      <c r="E20210" t="b">
        <v>0</v>
      </c>
      <c r="F20210" t="s">
        <v>11610</v>
      </c>
      <c r="L20210">
        <v>0</v>
      </c>
      <c r="M20210">
        <v>0</v>
      </c>
      <c r="N20210">
        <v>0</v>
      </c>
    </row>
    <row r="20211" spans="1:15">
      <c r="A20211" t="s">
        <v>59242</v>
      </c>
      <c r="B20211" t="s">
        <v>367</v>
      </c>
      <c r="C20211" t="s">
        <v>36549</v>
      </c>
      <c r="D20211" t="s">
        <v>59243</v>
      </c>
      <c r="E20211" t="b">
        <v>0</v>
      </c>
      <c r="F20211" t="s">
        <v>11624</v>
      </c>
      <c r="G20211">
        <v>11.247299999999999</v>
      </c>
      <c r="H20211">
        <v>122.551</v>
      </c>
      <c r="I20211" t="s">
        <v>59244</v>
      </c>
      <c r="L20211">
        <v>0</v>
      </c>
      <c r="M20211">
        <v>0</v>
      </c>
      <c r="N20211">
        <v>0</v>
      </c>
      <c r="O20211" t="s">
        <v>11749</v>
      </c>
    </row>
    <row r="20212" spans="1:15">
      <c r="A20212" t="s">
        <v>22370</v>
      </c>
      <c r="B20212" t="s">
        <v>11644</v>
      </c>
      <c r="C20212" t="s">
        <v>53826</v>
      </c>
      <c r="D20212" t="s">
        <v>59245</v>
      </c>
      <c r="E20212" t="b">
        <v>0</v>
      </c>
      <c r="F20212" t="s">
        <v>11624</v>
      </c>
      <c r="G20212">
        <v>27.658899999999999</v>
      </c>
      <c r="H20212">
        <v>92.355699999999999</v>
      </c>
      <c r="I20212" t="s">
        <v>59246</v>
      </c>
      <c r="L20212">
        <v>0</v>
      </c>
      <c r="M20212">
        <v>0</v>
      </c>
      <c r="N20212">
        <v>5</v>
      </c>
      <c r="O20212" t="s">
        <v>11630</v>
      </c>
    </row>
    <row r="20213" spans="1:15">
      <c r="A20213" t="s">
        <v>19618</v>
      </c>
      <c r="B20213" t="s">
        <v>367</v>
      </c>
      <c r="C20213" t="s">
        <v>32348</v>
      </c>
      <c r="D20213" t="s">
        <v>59247</v>
      </c>
      <c r="E20213" t="b">
        <v>0</v>
      </c>
      <c r="F20213" t="s">
        <v>11622</v>
      </c>
      <c r="L20213">
        <v>2</v>
      </c>
      <c r="M20213">
        <v>7</v>
      </c>
      <c r="N20213">
        <v>42</v>
      </c>
    </row>
    <row r="20214" spans="1:15">
      <c r="A20214" t="s">
        <v>59248</v>
      </c>
      <c r="B20214" t="s">
        <v>6742</v>
      </c>
      <c r="C20214" t="s">
        <v>28855</v>
      </c>
      <c r="D20214" t="s">
        <v>59249</v>
      </c>
      <c r="E20214" t="b">
        <v>0</v>
      </c>
      <c r="F20214" t="s">
        <v>11624</v>
      </c>
      <c r="G20214">
        <v>7.0952999999999999</v>
      </c>
      <c r="H20214">
        <v>17.0093</v>
      </c>
      <c r="I20214" t="s">
        <v>59250</v>
      </c>
      <c r="L20214">
        <v>0</v>
      </c>
      <c r="M20214">
        <v>0</v>
      </c>
      <c r="N20214">
        <v>0</v>
      </c>
      <c r="O20214" t="s">
        <v>16548</v>
      </c>
    </row>
    <row r="20215" spans="1:15">
      <c r="A20215" t="s">
        <v>59251</v>
      </c>
      <c r="B20215" t="s">
        <v>367</v>
      </c>
      <c r="C20215" t="s">
        <v>16687</v>
      </c>
      <c r="D20215" t="s">
        <v>59252</v>
      </c>
      <c r="E20215" t="b">
        <v>0</v>
      </c>
      <c r="F20215" t="s">
        <v>11610</v>
      </c>
      <c r="L20215">
        <v>0</v>
      </c>
      <c r="M20215">
        <v>0</v>
      </c>
      <c r="N20215">
        <v>0</v>
      </c>
    </row>
    <row r="20216" spans="1:15">
      <c r="A20216" t="s">
        <v>59253</v>
      </c>
      <c r="B20216" t="s">
        <v>367</v>
      </c>
      <c r="C20216" t="s">
        <v>13191</v>
      </c>
      <c r="D20216" t="s">
        <v>59254</v>
      </c>
      <c r="E20216" t="b">
        <v>0</v>
      </c>
      <c r="F20216" t="s">
        <v>11610</v>
      </c>
      <c r="L20216">
        <v>0</v>
      </c>
      <c r="M20216">
        <v>0</v>
      </c>
      <c r="N20216">
        <v>0</v>
      </c>
    </row>
    <row r="20217" spans="1:15">
      <c r="A20217" t="s">
        <v>59255</v>
      </c>
      <c r="B20217" t="s">
        <v>367</v>
      </c>
      <c r="C20217" t="s">
        <v>42364</v>
      </c>
      <c r="D20217" t="s">
        <v>59256</v>
      </c>
      <c r="E20217" t="b">
        <v>0</v>
      </c>
      <c r="F20217" t="s">
        <v>11610</v>
      </c>
      <c r="L20217">
        <v>0</v>
      </c>
      <c r="M20217">
        <v>0</v>
      </c>
      <c r="N20217">
        <v>0</v>
      </c>
    </row>
    <row r="20218" spans="1:15">
      <c r="A20218" t="s">
        <v>59257</v>
      </c>
      <c r="B20218" t="s">
        <v>11839</v>
      </c>
      <c r="C20218" t="s">
        <v>14670</v>
      </c>
      <c r="D20218" t="s">
        <v>59258</v>
      </c>
      <c r="E20218" t="b">
        <v>0</v>
      </c>
      <c r="F20218" t="s">
        <v>11610</v>
      </c>
      <c r="L20218">
        <v>0</v>
      </c>
      <c r="M20218">
        <v>0</v>
      </c>
      <c r="N20218">
        <v>0</v>
      </c>
    </row>
    <row r="20219" spans="1:15">
      <c r="A20219" t="s">
        <v>59259</v>
      </c>
      <c r="B20219" t="s">
        <v>11705</v>
      </c>
      <c r="C20219" t="s">
        <v>18838</v>
      </c>
      <c r="D20219" t="s">
        <v>59260</v>
      </c>
      <c r="E20219" t="b">
        <v>0</v>
      </c>
      <c r="F20219" t="s">
        <v>11624</v>
      </c>
      <c r="G20219">
        <v>-4.7308300000000001</v>
      </c>
      <c r="H20219">
        <v>143.239</v>
      </c>
      <c r="I20219" t="s">
        <v>59261</v>
      </c>
      <c r="L20219">
        <v>0</v>
      </c>
      <c r="M20219">
        <v>0</v>
      </c>
      <c r="N20219">
        <v>0</v>
      </c>
      <c r="O20219" t="s">
        <v>11660</v>
      </c>
    </row>
    <row r="20220" spans="1:15">
      <c r="A20220" t="s">
        <v>59262</v>
      </c>
      <c r="B20220" t="s">
        <v>11615</v>
      </c>
      <c r="C20220" t="s">
        <v>52672</v>
      </c>
      <c r="D20220" t="s">
        <v>59263</v>
      </c>
      <c r="E20220" t="b">
        <v>0</v>
      </c>
      <c r="F20220" t="s">
        <v>11624</v>
      </c>
      <c r="G20220">
        <v>-5.4855600000000004</v>
      </c>
      <c r="H20220">
        <v>145.47399999999999</v>
      </c>
      <c r="I20220" t="s">
        <v>59264</v>
      </c>
      <c r="L20220">
        <v>0</v>
      </c>
      <c r="M20220">
        <v>0</v>
      </c>
      <c r="N20220">
        <v>0</v>
      </c>
      <c r="O20220" t="s">
        <v>11660</v>
      </c>
    </row>
    <row r="20221" spans="1:15">
      <c r="A20221" t="s">
        <v>43305</v>
      </c>
      <c r="B20221" t="s">
        <v>17576</v>
      </c>
      <c r="C20221" t="s">
        <v>17576</v>
      </c>
      <c r="D20221" t="s">
        <v>59265</v>
      </c>
      <c r="E20221" t="b">
        <v>0</v>
      </c>
      <c r="F20221" t="s">
        <v>11622</v>
      </c>
      <c r="L20221">
        <v>2</v>
      </c>
      <c r="M20221">
        <v>4</v>
      </c>
      <c r="N20221">
        <v>4</v>
      </c>
    </row>
    <row r="20222" spans="1:15">
      <c r="A20222" t="s">
        <v>59266</v>
      </c>
      <c r="B20222" t="s">
        <v>367</v>
      </c>
      <c r="C20222" t="s">
        <v>19527</v>
      </c>
      <c r="D20222" t="s">
        <v>59267</v>
      </c>
      <c r="E20222" t="b">
        <v>0</v>
      </c>
      <c r="F20222" t="s">
        <v>11622</v>
      </c>
      <c r="L20222">
        <v>2</v>
      </c>
      <c r="M20222">
        <v>4</v>
      </c>
      <c r="N20222">
        <v>19</v>
      </c>
    </row>
    <row r="20223" spans="1:15">
      <c r="A20223" t="s">
        <v>59268</v>
      </c>
      <c r="B20223" t="s">
        <v>16986</v>
      </c>
      <c r="C20223" t="s">
        <v>59269</v>
      </c>
      <c r="D20223" t="s">
        <v>59270</v>
      </c>
      <c r="E20223" t="b">
        <v>0</v>
      </c>
      <c r="F20223" t="s">
        <v>11610</v>
      </c>
      <c r="L20223">
        <v>0</v>
      </c>
      <c r="M20223">
        <v>0</v>
      </c>
      <c r="N20223">
        <v>0</v>
      </c>
    </row>
    <row r="20224" spans="1:15">
      <c r="A20224" t="s">
        <v>59271</v>
      </c>
      <c r="B20224" t="s">
        <v>11637</v>
      </c>
      <c r="C20224" t="s">
        <v>20403</v>
      </c>
      <c r="D20224" t="s">
        <v>59272</v>
      </c>
      <c r="E20224" t="b">
        <v>0</v>
      </c>
      <c r="F20224" t="s">
        <v>11610</v>
      </c>
      <c r="L20224">
        <v>0</v>
      </c>
      <c r="M20224">
        <v>0</v>
      </c>
      <c r="N20224">
        <v>0</v>
      </c>
    </row>
    <row r="20225" spans="1:15">
      <c r="A20225" t="s">
        <v>59273</v>
      </c>
      <c r="B20225" t="s">
        <v>6742</v>
      </c>
      <c r="C20225" t="s">
        <v>50494</v>
      </c>
      <c r="D20225" t="s">
        <v>59274</v>
      </c>
      <c r="E20225" t="b">
        <v>0</v>
      </c>
      <c r="F20225" t="s">
        <v>11624</v>
      </c>
      <c r="G20225">
        <v>-3.4733499999999999</v>
      </c>
      <c r="H20225">
        <v>31.945699999999999</v>
      </c>
      <c r="I20225" t="s">
        <v>59275</v>
      </c>
      <c r="L20225">
        <v>0</v>
      </c>
      <c r="M20225">
        <v>0</v>
      </c>
      <c r="N20225">
        <v>0</v>
      </c>
      <c r="O20225" t="s">
        <v>11635</v>
      </c>
    </row>
    <row r="20226" spans="1:15">
      <c r="A20226" t="s">
        <v>59276</v>
      </c>
      <c r="B20226" t="s">
        <v>367</v>
      </c>
      <c r="C20226" t="s">
        <v>56057</v>
      </c>
      <c r="D20226" t="s">
        <v>59277</v>
      </c>
      <c r="E20226" t="b">
        <v>0</v>
      </c>
      <c r="F20226" t="s">
        <v>11624</v>
      </c>
      <c r="G20226">
        <v>-8.7191899999999993</v>
      </c>
      <c r="H20226">
        <v>117.47199999999999</v>
      </c>
      <c r="I20226" t="s">
        <v>59278</v>
      </c>
      <c r="L20226">
        <v>0</v>
      </c>
      <c r="M20226">
        <v>0</v>
      </c>
      <c r="N20226">
        <v>0</v>
      </c>
      <c r="O20226" t="s">
        <v>11768</v>
      </c>
    </row>
    <row r="20227" spans="1:15">
      <c r="A20227" t="s">
        <v>30915</v>
      </c>
      <c r="B20227" t="s">
        <v>367</v>
      </c>
      <c r="C20227" t="s">
        <v>27947</v>
      </c>
      <c r="D20227" t="s">
        <v>59279</v>
      </c>
      <c r="E20227" t="b">
        <v>0</v>
      </c>
      <c r="F20227" t="s">
        <v>11622</v>
      </c>
      <c r="L20227">
        <v>5</v>
      </c>
      <c r="M20227">
        <v>9</v>
      </c>
      <c r="N20227">
        <v>25</v>
      </c>
    </row>
    <row r="20228" spans="1:15">
      <c r="A20228" t="s">
        <v>5575</v>
      </c>
      <c r="B20228" t="s">
        <v>367</v>
      </c>
      <c r="C20228" t="s">
        <v>30915</v>
      </c>
      <c r="D20228" t="s">
        <v>59280</v>
      </c>
      <c r="E20228" t="b">
        <v>0</v>
      </c>
      <c r="F20228" t="s">
        <v>11622</v>
      </c>
      <c r="L20228">
        <v>3</v>
      </c>
      <c r="M20228">
        <v>7</v>
      </c>
      <c r="N20228">
        <v>20</v>
      </c>
    </row>
    <row r="20229" spans="1:15">
      <c r="A20229" t="s">
        <v>59281</v>
      </c>
      <c r="B20229" t="s">
        <v>12438</v>
      </c>
      <c r="C20229" t="s">
        <v>16890</v>
      </c>
      <c r="D20229" t="s">
        <v>59282</v>
      </c>
      <c r="E20229" t="b">
        <v>0</v>
      </c>
      <c r="F20229" t="s">
        <v>11610</v>
      </c>
      <c r="L20229">
        <v>0</v>
      </c>
      <c r="M20229">
        <v>0</v>
      </c>
      <c r="N20229">
        <v>0</v>
      </c>
    </row>
    <row r="20230" spans="1:15">
      <c r="A20230" t="s">
        <v>59283</v>
      </c>
      <c r="D20230" t="s">
        <v>59284</v>
      </c>
      <c r="E20230" t="b">
        <v>0</v>
      </c>
      <c r="F20230" t="s">
        <v>11624</v>
      </c>
      <c r="G20230">
        <v>31.3</v>
      </c>
      <c r="H20230">
        <v>45.666699999999999</v>
      </c>
      <c r="I20230" t="s">
        <v>59285</v>
      </c>
      <c r="L20230">
        <v>0</v>
      </c>
      <c r="M20230">
        <v>0</v>
      </c>
      <c r="N20230">
        <v>0</v>
      </c>
      <c r="O20230" t="s">
        <v>12765</v>
      </c>
    </row>
    <row r="20231" spans="1:15">
      <c r="A20231" t="s">
        <v>59286</v>
      </c>
      <c r="B20231" t="s">
        <v>367</v>
      </c>
      <c r="C20231" t="s">
        <v>16680</v>
      </c>
      <c r="D20231" t="s">
        <v>59287</v>
      </c>
      <c r="E20231" t="b">
        <v>0</v>
      </c>
      <c r="F20231" t="s">
        <v>11610</v>
      </c>
      <c r="L20231">
        <v>0</v>
      </c>
      <c r="M20231">
        <v>0</v>
      </c>
      <c r="N20231">
        <v>0</v>
      </c>
    </row>
    <row r="20232" spans="1:15">
      <c r="A20232" t="s">
        <v>24289</v>
      </c>
      <c r="B20232" t="s">
        <v>11644</v>
      </c>
      <c r="C20232" t="s">
        <v>54452</v>
      </c>
      <c r="D20232" t="s">
        <v>59288</v>
      </c>
      <c r="E20232" t="b">
        <v>0</v>
      </c>
      <c r="F20232" t="s">
        <v>11624</v>
      </c>
      <c r="G20232">
        <v>25.999600000000001</v>
      </c>
      <c r="H20232">
        <v>94.423500000000004</v>
      </c>
      <c r="I20232" t="s">
        <v>59289</v>
      </c>
      <c r="L20232">
        <v>0</v>
      </c>
      <c r="M20232">
        <v>0</v>
      </c>
      <c r="N20232">
        <v>4</v>
      </c>
      <c r="O20232" t="s">
        <v>11630</v>
      </c>
    </row>
    <row r="20233" spans="1:15">
      <c r="A20233" t="s">
        <v>59290</v>
      </c>
      <c r="B20233" t="s">
        <v>11607</v>
      </c>
      <c r="C20233" t="s">
        <v>25661</v>
      </c>
      <c r="D20233" t="s">
        <v>59291</v>
      </c>
      <c r="E20233" t="b">
        <v>0</v>
      </c>
      <c r="F20233" t="s">
        <v>11610</v>
      </c>
      <c r="L20233">
        <v>0</v>
      </c>
      <c r="M20233">
        <v>0</v>
      </c>
      <c r="N20233">
        <v>0</v>
      </c>
    </row>
    <row r="20234" spans="1:15">
      <c r="A20234" t="s">
        <v>59292</v>
      </c>
      <c r="B20234" t="s">
        <v>367</v>
      </c>
      <c r="C20234" t="s">
        <v>31201</v>
      </c>
      <c r="D20234" t="s">
        <v>59293</v>
      </c>
      <c r="E20234" t="b">
        <v>0</v>
      </c>
      <c r="F20234" t="s">
        <v>11610</v>
      </c>
      <c r="L20234">
        <v>0</v>
      </c>
      <c r="M20234">
        <v>0</v>
      </c>
      <c r="N20234">
        <v>0</v>
      </c>
    </row>
    <row r="20235" spans="1:15">
      <c r="A20235" t="s">
        <v>59294</v>
      </c>
      <c r="B20235" t="s">
        <v>11644</v>
      </c>
      <c r="C20235" t="s">
        <v>14776</v>
      </c>
      <c r="D20235" t="s">
        <v>59295</v>
      </c>
      <c r="E20235" t="b">
        <v>0</v>
      </c>
      <c r="F20235" t="s">
        <v>11624</v>
      </c>
      <c r="I20235" t="s">
        <v>59296</v>
      </c>
      <c r="L20235">
        <v>0</v>
      </c>
      <c r="M20235">
        <v>0</v>
      </c>
      <c r="N20235">
        <v>0</v>
      </c>
      <c r="O20235" t="s">
        <v>14059</v>
      </c>
    </row>
    <row r="20236" spans="1:15">
      <c r="A20236" t="s">
        <v>43496</v>
      </c>
      <c r="B20236" t="s">
        <v>17576</v>
      </c>
      <c r="C20236" t="s">
        <v>43305</v>
      </c>
      <c r="D20236" t="s">
        <v>59297</v>
      </c>
      <c r="E20236" t="b">
        <v>0</v>
      </c>
      <c r="F20236" t="s">
        <v>11622</v>
      </c>
      <c r="I20236" t="s">
        <v>59298</v>
      </c>
      <c r="L20236">
        <v>0</v>
      </c>
      <c r="M20236">
        <v>2</v>
      </c>
      <c r="N20236">
        <v>4</v>
      </c>
      <c r="O20236" t="s">
        <v>43310</v>
      </c>
    </row>
    <row r="20237" spans="1:15">
      <c r="A20237" t="s">
        <v>59299</v>
      </c>
      <c r="B20237" t="s">
        <v>11644</v>
      </c>
      <c r="C20237" t="s">
        <v>21947</v>
      </c>
      <c r="D20237" t="s">
        <v>59300</v>
      </c>
      <c r="E20237" t="b">
        <v>0</v>
      </c>
      <c r="F20237" t="s">
        <v>11624</v>
      </c>
      <c r="G20237">
        <v>31.808</v>
      </c>
      <c r="H20237">
        <v>78.451300000000003</v>
      </c>
      <c r="I20237" t="s">
        <v>59301</v>
      </c>
      <c r="L20237">
        <v>0</v>
      </c>
      <c r="M20237">
        <v>0</v>
      </c>
      <c r="N20237">
        <v>0</v>
      </c>
      <c r="O20237" t="s">
        <v>11630</v>
      </c>
    </row>
    <row r="20238" spans="1:15">
      <c r="A20238" t="s">
        <v>59302</v>
      </c>
      <c r="B20238" t="s">
        <v>11637</v>
      </c>
      <c r="C20238" t="s">
        <v>12098</v>
      </c>
      <c r="D20238" t="s">
        <v>59303</v>
      </c>
      <c r="E20238" t="b">
        <v>0</v>
      </c>
      <c r="F20238" t="s">
        <v>11610</v>
      </c>
      <c r="L20238">
        <v>0</v>
      </c>
      <c r="M20238">
        <v>0</v>
      </c>
      <c r="N20238">
        <v>0</v>
      </c>
    </row>
    <row r="20239" spans="1:15">
      <c r="A20239" t="s">
        <v>15737</v>
      </c>
      <c r="B20239" t="s">
        <v>367</v>
      </c>
      <c r="C20239" t="s">
        <v>41578</v>
      </c>
      <c r="D20239" t="s">
        <v>59304</v>
      </c>
      <c r="E20239" t="b">
        <v>0</v>
      </c>
      <c r="F20239" t="s">
        <v>11622</v>
      </c>
      <c r="L20239">
        <v>0</v>
      </c>
      <c r="M20239">
        <v>2</v>
      </c>
      <c r="N20239">
        <v>4</v>
      </c>
    </row>
    <row r="20240" spans="1:15">
      <c r="A20240" t="s">
        <v>16794</v>
      </c>
      <c r="B20240" t="s">
        <v>367</v>
      </c>
      <c r="C20240" t="s">
        <v>15737</v>
      </c>
      <c r="D20240" t="s">
        <v>59305</v>
      </c>
      <c r="E20240" t="b">
        <v>0</v>
      </c>
      <c r="F20240" t="s">
        <v>11624</v>
      </c>
      <c r="G20240">
        <v>-6.8970799999999999</v>
      </c>
      <c r="H20240">
        <v>107.10599999999999</v>
      </c>
      <c r="I20240" t="s">
        <v>59306</v>
      </c>
      <c r="L20240">
        <v>0</v>
      </c>
      <c r="M20240">
        <v>0</v>
      </c>
      <c r="N20240">
        <v>4</v>
      </c>
      <c r="O20240" t="s">
        <v>11768</v>
      </c>
    </row>
    <row r="20241" spans="1:15">
      <c r="A20241" t="s">
        <v>59307</v>
      </c>
      <c r="B20241" t="s">
        <v>367</v>
      </c>
      <c r="C20241" t="s">
        <v>14563</v>
      </c>
      <c r="D20241" t="s">
        <v>59308</v>
      </c>
      <c r="E20241" t="b">
        <v>0</v>
      </c>
      <c r="F20241" t="s">
        <v>11610</v>
      </c>
      <c r="L20241">
        <v>0</v>
      </c>
      <c r="M20241">
        <v>0</v>
      </c>
      <c r="N20241">
        <v>0</v>
      </c>
    </row>
    <row r="20242" spans="1:15">
      <c r="A20242" t="s">
        <v>59309</v>
      </c>
      <c r="B20242" t="s">
        <v>12438</v>
      </c>
      <c r="C20242" t="s">
        <v>5160</v>
      </c>
      <c r="D20242" t="s">
        <v>59310</v>
      </c>
      <c r="E20242" t="b">
        <v>0</v>
      </c>
      <c r="F20242" t="s">
        <v>11610</v>
      </c>
      <c r="L20242">
        <v>0</v>
      </c>
      <c r="M20242">
        <v>0</v>
      </c>
      <c r="N20242">
        <v>0</v>
      </c>
    </row>
    <row r="20243" spans="1:15">
      <c r="A20243" t="s">
        <v>59311</v>
      </c>
      <c r="B20243" t="s">
        <v>12438</v>
      </c>
      <c r="C20243" t="s">
        <v>18163</v>
      </c>
      <c r="D20243" t="s">
        <v>59312</v>
      </c>
      <c r="E20243" t="b">
        <v>0</v>
      </c>
      <c r="F20243" t="s">
        <v>11610</v>
      </c>
      <c r="L20243">
        <v>0</v>
      </c>
      <c r="M20243">
        <v>0</v>
      </c>
      <c r="N20243">
        <v>0</v>
      </c>
    </row>
    <row r="20244" spans="1:15">
      <c r="A20244" t="s">
        <v>59313</v>
      </c>
      <c r="B20244" t="s">
        <v>11644</v>
      </c>
      <c r="C20244" t="s">
        <v>17739</v>
      </c>
      <c r="D20244" t="s">
        <v>59314</v>
      </c>
      <c r="E20244" t="b">
        <v>0</v>
      </c>
      <c r="F20244" t="s">
        <v>11610</v>
      </c>
      <c r="L20244">
        <v>0</v>
      </c>
      <c r="M20244">
        <v>0</v>
      </c>
      <c r="N20244">
        <v>0</v>
      </c>
    </row>
    <row r="20245" spans="1:15">
      <c r="A20245" t="s">
        <v>59315</v>
      </c>
      <c r="B20245" t="s">
        <v>12686</v>
      </c>
      <c r="C20245" t="s">
        <v>319</v>
      </c>
      <c r="D20245" t="s">
        <v>59316</v>
      </c>
      <c r="E20245" t="b">
        <v>0</v>
      </c>
      <c r="F20245" t="s">
        <v>11610</v>
      </c>
      <c r="L20245">
        <v>0</v>
      </c>
      <c r="M20245">
        <v>0</v>
      </c>
      <c r="N20245">
        <v>0</v>
      </c>
    </row>
    <row r="20246" spans="1:15">
      <c r="A20246" t="s">
        <v>59317</v>
      </c>
      <c r="B20246" t="s">
        <v>11810</v>
      </c>
      <c r="C20246" t="s">
        <v>14856</v>
      </c>
      <c r="D20246" t="s">
        <v>59318</v>
      </c>
      <c r="E20246" t="b">
        <v>0</v>
      </c>
      <c r="F20246" t="s">
        <v>11610</v>
      </c>
      <c r="L20246">
        <v>0</v>
      </c>
      <c r="M20246">
        <v>0</v>
      </c>
      <c r="N20246">
        <v>0</v>
      </c>
    </row>
    <row r="20247" spans="1:15">
      <c r="A20247" t="s">
        <v>59319</v>
      </c>
      <c r="B20247" t="s">
        <v>11627</v>
      </c>
      <c r="C20247" t="s">
        <v>11627</v>
      </c>
      <c r="D20247" t="s">
        <v>59320</v>
      </c>
      <c r="E20247" t="b">
        <v>1</v>
      </c>
      <c r="F20247" t="s">
        <v>11624</v>
      </c>
      <c r="I20247" t="s">
        <v>59321</v>
      </c>
      <c r="L20247">
        <v>0</v>
      </c>
      <c r="M20247">
        <v>0</v>
      </c>
      <c r="N20247">
        <v>0</v>
      </c>
    </row>
    <row r="20248" spans="1:15">
      <c r="A20248" t="s">
        <v>4604</v>
      </c>
      <c r="B20248" t="s">
        <v>11607</v>
      </c>
      <c r="C20248" t="s">
        <v>13011</v>
      </c>
      <c r="D20248" t="s">
        <v>59322</v>
      </c>
      <c r="E20248" t="b">
        <v>0</v>
      </c>
      <c r="F20248" t="s">
        <v>11610</v>
      </c>
      <c r="L20248">
        <v>0</v>
      </c>
      <c r="M20248">
        <v>0</v>
      </c>
      <c r="N20248">
        <v>0</v>
      </c>
    </row>
    <row r="20249" spans="1:15">
      <c r="A20249" t="s">
        <v>59323</v>
      </c>
      <c r="B20249" t="s">
        <v>11637</v>
      </c>
      <c r="C20249" t="s">
        <v>24607</v>
      </c>
      <c r="D20249" t="s">
        <v>59324</v>
      </c>
      <c r="E20249" t="b">
        <v>0</v>
      </c>
      <c r="F20249" t="s">
        <v>11610</v>
      </c>
      <c r="L20249">
        <v>0</v>
      </c>
      <c r="M20249">
        <v>0</v>
      </c>
      <c r="N20249">
        <v>0</v>
      </c>
    </row>
    <row r="20250" spans="1:15">
      <c r="A20250" t="s">
        <v>59325</v>
      </c>
      <c r="B20250" t="s">
        <v>11644</v>
      </c>
      <c r="C20250" t="s">
        <v>24732</v>
      </c>
      <c r="D20250" t="s">
        <v>59326</v>
      </c>
      <c r="E20250" t="b">
        <v>0</v>
      </c>
      <c r="F20250" t="s">
        <v>11610</v>
      </c>
      <c r="L20250">
        <v>0</v>
      </c>
      <c r="M20250">
        <v>0</v>
      </c>
      <c r="N20250">
        <v>0</v>
      </c>
    </row>
    <row r="20251" spans="1:15">
      <c r="A20251" t="s">
        <v>59327</v>
      </c>
      <c r="B20251" t="s">
        <v>6742</v>
      </c>
      <c r="C20251" t="s">
        <v>20994</v>
      </c>
      <c r="D20251" t="s">
        <v>59328</v>
      </c>
      <c r="E20251" t="b">
        <v>0</v>
      </c>
      <c r="F20251" t="s">
        <v>11610</v>
      </c>
      <c r="L20251">
        <v>0</v>
      </c>
      <c r="M20251">
        <v>0</v>
      </c>
      <c r="N20251">
        <v>0</v>
      </c>
    </row>
    <row r="20252" spans="1:15">
      <c r="A20252" t="s">
        <v>59329</v>
      </c>
      <c r="B20252" t="s">
        <v>11644</v>
      </c>
      <c r="C20252" t="s">
        <v>15931</v>
      </c>
      <c r="D20252" t="s">
        <v>59330</v>
      </c>
      <c r="E20252" t="b">
        <v>0</v>
      </c>
      <c r="F20252" t="s">
        <v>11624</v>
      </c>
      <c r="G20252">
        <v>27.520099999999999</v>
      </c>
      <c r="H20252">
        <v>86.247600000000006</v>
      </c>
      <c r="I20252" t="s">
        <v>59331</v>
      </c>
      <c r="L20252">
        <v>0</v>
      </c>
      <c r="M20252">
        <v>0</v>
      </c>
      <c r="N20252">
        <v>1</v>
      </c>
      <c r="O20252" t="s">
        <v>15007</v>
      </c>
    </row>
    <row r="20253" spans="1:15">
      <c r="A20253" t="s">
        <v>59332</v>
      </c>
      <c r="B20253" t="s">
        <v>11644</v>
      </c>
      <c r="C20253" t="s">
        <v>23744</v>
      </c>
      <c r="D20253" t="s">
        <v>59333</v>
      </c>
      <c r="E20253" t="b">
        <v>0</v>
      </c>
      <c r="F20253" t="s">
        <v>11610</v>
      </c>
      <c r="L20253">
        <v>0</v>
      </c>
      <c r="M20253">
        <v>0</v>
      </c>
      <c r="N20253">
        <v>0</v>
      </c>
    </row>
    <row r="20254" spans="1:15">
      <c r="A20254" t="s">
        <v>59334</v>
      </c>
      <c r="B20254" t="s">
        <v>12250</v>
      </c>
      <c r="C20254" t="s">
        <v>25239</v>
      </c>
      <c r="D20254" t="s">
        <v>59335</v>
      </c>
      <c r="E20254" t="b">
        <v>0</v>
      </c>
      <c r="F20254" t="s">
        <v>11610</v>
      </c>
      <c r="L20254">
        <v>0</v>
      </c>
      <c r="M20254">
        <v>0</v>
      </c>
      <c r="N20254">
        <v>0</v>
      </c>
    </row>
    <row r="20255" spans="1:15">
      <c r="A20255" t="s">
        <v>59336</v>
      </c>
      <c r="B20255" t="s">
        <v>6742</v>
      </c>
      <c r="C20255" t="s">
        <v>16074</v>
      </c>
      <c r="D20255" t="s">
        <v>59337</v>
      </c>
      <c r="E20255" t="b">
        <v>0</v>
      </c>
      <c r="F20255" t="s">
        <v>11610</v>
      </c>
      <c r="L20255">
        <v>0</v>
      </c>
      <c r="M20255">
        <v>0</v>
      </c>
      <c r="N20255">
        <v>0</v>
      </c>
    </row>
    <row r="20256" spans="1:15">
      <c r="A20256" t="s">
        <v>59338</v>
      </c>
      <c r="B20256" t="s">
        <v>12438</v>
      </c>
      <c r="C20256" t="s">
        <v>55881</v>
      </c>
      <c r="D20256" t="s">
        <v>59339</v>
      </c>
      <c r="E20256" t="b">
        <v>0</v>
      </c>
      <c r="F20256" t="s">
        <v>11624</v>
      </c>
      <c r="G20256">
        <v>11.936</v>
      </c>
      <c r="H20256">
        <v>104.136</v>
      </c>
      <c r="I20256" t="s">
        <v>59340</v>
      </c>
      <c r="L20256">
        <v>0</v>
      </c>
      <c r="M20256">
        <v>0</v>
      </c>
      <c r="N20256">
        <v>0</v>
      </c>
      <c r="O20256" t="s">
        <v>20983</v>
      </c>
    </row>
    <row r="20257" spans="1:15">
      <c r="A20257" t="s">
        <v>59341</v>
      </c>
      <c r="B20257" t="s">
        <v>6742</v>
      </c>
      <c r="C20257" t="s">
        <v>17486</v>
      </c>
      <c r="D20257" t="s">
        <v>59342</v>
      </c>
      <c r="E20257" t="b">
        <v>0</v>
      </c>
      <c r="F20257" t="s">
        <v>11610</v>
      </c>
      <c r="L20257">
        <v>0</v>
      </c>
      <c r="M20257">
        <v>0</v>
      </c>
      <c r="N20257">
        <v>0</v>
      </c>
    </row>
    <row r="20258" spans="1:15">
      <c r="A20258" t="s">
        <v>59343</v>
      </c>
      <c r="B20258" t="s">
        <v>367</v>
      </c>
      <c r="C20258" t="s">
        <v>16048</v>
      </c>
      <c r="D20258" t="s">
        <v>59344</v>
      </c>
      <c r="E20258" t="b">
        <v>0</v>
      </c>
      <c r="F20258" t="s">
        <v>11610</v>
      </c>
      <c r="L20258">
        <v>0</v>
      </c>
      <c r="M20258">
        <v>0</v>
      </c>
      <c r="N20258">
        <v>0</v>
      </c>
    </row>
    <row r="20259" spans="1:15">
      <c r="A20259" t="s">
        <v>59345</v>
      </c>
      <c r="B20259" t="s">
        <v>11834</v>
      </c>
      <c r="C20259" t="s">
        <v>16306</v>
      </c>
      <c r="D20259" t="s">
        <v>59346</v>
      </c>
      <c r="E20259" t="b">
        <v>0</v>
      </c>
      <c r="F20259" t="s">
        <v>11610</v>
      </c>
      <c r="L20259">
        <v>0</v>
      </c>
      <c r="M20259">
        <v>0</v>
      </c>
      <c r="N20259">
        <v>0</v>
      </c>
    </row>
    <row r="20260" spans="1:15">
      <c r="A20260" t="s">
        <v>59347</v>
      </c>
      <c r="B20260" t="s">
        <v>11644</v>
      </c>
      <c r="C20260" t="s">
        <v>36987</v>
      </c>
      <c r="D20260" t="s">
        <v>59348</v>
      </c>
      <c r="E20260" t="b">
        <v>0</v>
      </c>
      <c r="F20260" t="s">
        <v>11610</v>
      </c>
      <c r="L20260">
        <v>0</v>
      </c>
      <c r="M20260">
        <v>0</v>
      </c>
      <c r="N20260">
        <v>0</v>
      </c>
    </row>
    <row r="20261" spans="1:15">
      <c r="A20261" t="s">
        <v>59349</v>
      </c>
      <c r="B20261" t="s">
        <v>6742</v>
      </c>
      <c r="C20261" t="s">
        <v>57159</v>
      </c>
      <c r="D20261" t="s">
        <v>59350</v>
      </c>
      <c r="E20261" t="b">
        <v>0</v>
      </c>
      <c r="F20261" t="s">
        <v>11624</v>
      </c>
      <c r="G20261">
        <v>11.632</v>
      </c>
      <c r="H20261">
        <v>-5.8770899999999999</v>
      </c>
      <c r="I20261" t="s">
        <v>59351</v>
      </c>
      <c r="L20261">
        <v>0</v>
      </c>
      <c r="M20261">
        <v>0</v>
      </c>
      <c r="N20261">
        <v>0</v>
      </c>
      <c r="O20261" t="s">
        <v>21276</v>
      </c>
    </row>
    <row r="20262" spans="1:15">
      <c r="A20262" t="s">
        <v>57159</v>
      </c>
      <c r="B20262" t="s">
        <v>6742</v>
      </c>
      <c r="C20262" t="s">
        <v>42270</v>
      </c>
      <c r="D20262" t="s">
        <v>59352</v>
      </c>
      <c r="E20262" t="b">
        <v>0</v>
      </c>
      <c r="F20262" t="s">
        <v>11622</v>
      </c>
      <c r="L20262">
        <v>0</v>
      </c>
      <c r="M20262">
        <v>2</v>
      </c>
      <c r="N20262">
        <v>0</v>
      </c>
    </row>
    <row r="20263" spans="1:15">
      <c r="A20263" t="s">
        <v>59353</v>
      </c>
      <c r="B20263" t="s">
        <v>9071</v>
      </c>
      <c r="C20263" t="s">
        <v>25673</v>
      </c>
      <c r="D20263" t="s">
        <v>59354</v>
      </c>
      <c r="E20263" t="b">
        <v>0</v>
      </c>
      <c r="F20263" t="s">
        <v>11610</v>
      </c>
      <c r="L20263">
        <v>0</v>
      </c>
      <c r="M20263">
        <v>0</v>
      </c>
      <c r="N20263">
        <v>0</v>
      </c>
    </row>
    <row r="20264" spans="1:15">
      <c r="A20264" t="s">
        <v>59355</v>
      </c>
      <c r="B20264" t="s">
        <v>11637</v>
      </c>
      <c r="C20264" t="s">
        <v>11825</v>
      </c>
      <c r="D20264" t="s">
        <v>59356</v>
      </c>
      <c r="E20264" t="b">
        <v>0</v>
      </c>
      <c r="F20264" t="s">
        <v>11610</v>
      </c>
      <c r="L20264">
        <v>0</v>
      </c>
      <c r="M20264">
        <v>0</v>
      </c>
      <c r="N20264">
        <v>0</v>
      </c>
    </row>
    <row r="20265" spans="1:15">
      <c r="A20265" t="s">
        <v>59357</v>
      </c>
      <c r="B20265" t="s">
        <v>367</v>
      </c>
      <c r="C20265" t="s">
        <v>14457</v>
      </c>
      <c r="D20265" t="s">
        <v>59358</v>
      </c>
      <c r="E20265" t="b">
        <v>0</v>
      </c>
      <c r="F20265" t="s">
        <v>11610</v>
      </c>
      <c r="L20265">
        <v>0</v>
      </c>
      <c r="M20265">
        <v>0</v>
      </c>
      <c r="N20265">
        <v>0</v>
      </c>
    </row>
    <row r="20266" spans="1:15">
      <c r="A20266" t="s">
        <v>59359</v>
      </c>
      <c r="B20266" t="s">
        <v>11780</v>
      </c>
      <c r="C20266" t="s">
        <v>43160</v>
      </c>
      <c r="D20266" t="s">
        <v>59360</v>
      </c>
      <c r="E20266" t="b">
        <v>0</v>
      </c>
      <c r="F20266" t="s">
        <v>11624</v>
      </c>
      <c r="G20266">
        <v>13.133100000000001</v>
      </c>
      <c r="H20266">
        <v>21.624300000000002</v>
      </c>
      <c r="I20266" t="s">
        <v>59361</v>
      </c>
      <c r="L20266">
        <v>0</v>
      </c>
      <c r="M20266">
        <v>0</v>
      </c>
      <c r="N20266">
        <v>0</v>
      </c>
      <c r="O20266" t="s">
        <v>13421</v>
      </c>
    </row>
    <row r="20267" spans="1:15">
      <c r="A20267" t="s">
        <v>59362</v>
      </c>
      <c r="B20267" t="s">
        <v>11637</v>
      </c>
      <c r="C20267" t="s">
        <v>12824</v>
      </c>
      <c r="D20267" t="s">
        <v>59363</v>
      </c>
      <c r="E20267" t="b">
        <v>0</v>
      </c>
      <c r="F20267" t="s">
        <v>11610</v>
      </c>
      <c r="L20267">
        <v>0</v>
      </c>
      <c r="M20267">
        <v>0</v>
      </c>
      <c r="N20267">
        <v>0</v>
      </c>
    </row>
    <row r="20268" spans="1:15">
      <c r="A20268" t="s">
        <v>59364</v>
      </c>
      <c r="B20268" t="s">
        <v>11644</v>
      </c>
      <c r="C20268" t="s">
        <v>59329</v>
      </c>
      <c r="D20268" t="s">
        <v>59365</v>
      </c>
      <c r="E20268" t="b">
        <v>0</v>
      </c>
      <c r="F20268" t="s">
        <v>11610</v>
      </c>
      <c r="L20268">
        <v>0</v>
      </c>
      <c r="M20268">
        <v>0</v>
      </c>
      <c r="N20268">
        <v>0</v>
      </c>
    </row>
    <row r="20269" spans="1:15">
      <c r="A20269" t="s">
        <v>59366</v>
      </c>
      <c r="B20269" t="s">
        <v>11637</v>
      </c>
      <c r="C20269" t="s">
        <v>15977</v>
      </c>
      <c r="D20269" t="s">
        <v>59367</v>
      </c>
      <c r="E20269" t="b">
        <v>0</v>
      </c>
      <c r="F20269" t="s">
        <v>11610</v>
      </c>
      <c r="I20269" t="s">
        <v>59368</v>
      </c>
      <c r="L20269">
        <v>0</v>
      </c>
      <c r="M20269">
        <v>0</v>
      </c>
      <c r="N20269">
        <v>0</v>
      </c>
    </row>
    <row r="20270" spans="1:15">
      <c r="A20270" t="s">
        <v>59369</v>
      </c>
      <c r="B20270" t="s">
        <v>331</v>
      </c>
      <c r="C20270" t="s">
        <v>16318</v>
      </c>
      <c r="D20270" t="s">
        <v>59370</v>
      </c>
      <c r="E20270" t="b">
        <v>0</v>
      </c>
      <c r="F20270" t="s">
        <v>11610</v>
      </c>
      <c r="L20270">
        <v>0</v>
      </c>
      <c r="M20270">
        <v>0</v>
      </c>
      <c r="N20270">
        <v>0</v>
      </c>
    </row>
    <row r="20271" spans="1:15">
      <c r="A20271" t="s">
        <v>12261</v>
      </c>
      <c r="B20271" t="s">
        <v>12260</v>
      </c>
      <c r="C20271" t="s">
        <v>26605</v>
      </c>
      <c r="D20271" t="s">
        <v>59371</v>
      </c>
      <c r="E20271" t="b">
        <v>0</v>
      </c>
      <c r="F20271" t="s">
        <v>11624</v>
      </c>
      <c r="G20271">
        <v>61.25</v>
      </c>
      <c r="H20271">
        <v>73.349999999999994</v>
      </c>
      <c r="L20271">
        <v>0</v>
      </c>
      <c r="M20271">
        <v>0</v>
      </c>
      <c r="N20271">
        <v>6</v>
      </c>
      <c r="O20271" t="s">
        <v>12748</v>
      </c>
    </row>
    <row r="20272" spans="1:15">
      <c r="A20272" t="s">
        <v>59372</v>
      </c>
      <c r="B20272" t="s">
        <v>12438</v>
      </c>
      <c r="C20272" t="s">
        <v>20488</v>
      </c>
      <c r="D20272" t="s">
        <v>59373</v>
      </c>
      <c r="E20272" t="b">
        <v>0</v>
      </c>
      <c r="F20272" t="s">
        <v>11610</v>
      </c>
      <c r="L20272">
        <v>0</v>
      </c>
      <c r="M20272">
        <v>0</v>
      </c>
      <c r="N20272">
        <v>0</v>
      </c>
    </row>
    <row r="20273" spans="1:15">
      <c r="A20273" t="s">
        <v>45896</v>
      </c>
      <c r="B20273" t="s">
        <v>15569</v>
      </c>
      <c r="C20273" t="s">
        <v>43922</v>
      </c>
      <c r="D20273" t="s">
        <v>59374</v>
      </c>
      <c r="E20273" t="b">
        <v>0</v>
      </c>
      <c r="F20273" t="s">
        <v>11622</v>
      </c>
      <c r="L20273">
        <v>0</v>
      </c>
      <c r="M20273">
        <v>2</v>
      </c>
      <c r="N20273">
        <v>2</v>
      </c>
    </row>
    <row r="20274" spans="1:15">
      <c r="A20274" t="s">
        <v>22127</v>
      </c>
      <c r="B20274" t="s">
        <v>15569</v>
      </c>
      <c r="C20274" t="s">
        <v>45896</v>
      </c>
      <c r="D20274" t="s">
        <v>59375</v>
      </c>
      <c r="E20274" t="b">
        <v>0</v>
      </c>
      <c r="F20274" t="s">
        <v>11624</v>
      </c>
      <c r="G20274">
        <v>6.0320499999999999</v>
      </c>
      <c r="H20274">
        <v>35.082299999999996</v>
      </c>
      <c r="I20274" t="s">
        <v>59376</v>
      </c>
      <c r="L20274">
        <v>0</v>
      </c>
      <c r="M20274">
        <v>0</v>
      </c>
      <c r="N20274">
        <v>2</v>
      </c>
      <c r="O20274" t="s">
        <v>14035</v>
      </c>
    </row>
    <row r="20275" spans="1:15">
      <c r="A20275" t="s">
        <v>59377</v>
      </c>
      <c r="B20275" t="s">
        <v>15569</v>
      </c>
      <c r="C20275" t="s">
        <v>16268</v>
      </c>
      <c r="D20275" t="s">
        <v>59378</v>
      </c>
      <c r="E20275" t="b">
        <v>0</v>
      </c>
      <c r="F20275" t="s">
        <v>11610</v>
      </c>
      <c r="L20275">
        <v>0</v>
      </c>
      <c r="M20275">
        <v>0</v>
      </c>
      <c r="N20275">
        <v>0</v>
      </c>
    </row>
    <row r="20276" spans="1:15">
      <c r="A20276" t="s">
        <v>59379</v>
      </c>
      <c r="B20276" t="s">
        <v>367</v>
      </c>
      <c r="C20276" t="s">
        <v>5372</v>
      </c>
      <c r="D20276" t="s">
        <v>59380</v>
      </c>
      <c r="E20276" t="b">
        <v>0</v>
      </c>
      <c r="F20276" t="s">
        <v>11610</v>
      </c>
      <c r="L20276">
        <v>0</v>
      </c>
      <c r="M20276">
        <v>0</v>
      </c>
      <c r="N20276">
        <v>0</v>
      </c>
    </row>
    <row r="20277" spans="1:15">
      <c r="A20277" t="s">
        <v>59381</v>
      </c>
      <c r="B20277" t="s">
        <v>15162</v>
      </c>
      <c r="C20277" t="s">
        <v>15163</v>
      </c>
      <c r="D20277" t="s">
        <v>59382</v>
      </c>
      <c r="E20277" t="b">
        <v>0</v>
      </c>
      <c r="F20277" t="s">
        <v>11610</v>
      </c>
      <c r="L20277">
        <v>0</v>
      </c>
      <c r="M20277">
        <v>0</v>
      </c>
      <c r="N20277">
        <v>0</v>
      </c>
    </row>
    <row r="20278" spans="1:15">
      <c r="A20278" t="s">
        <v>38750</v>
      </c>
      <c r="B20278" t="s">
        <v>11637</v>
      </c>
      <c r="C20278" t="s">
        <v>8332</v>
      </c>
      <c r="D20278" t="s">
        <v>59383</v>
      </c>
      <c r="E20278" t="b">
        <v>0</v>
      </c>
      <c r="F20278" t="s">
        <v>11622</v>
      </c>
      <c r="L20278">
        <v>0</v>
      </c>
      <c r="M20278">
        <v>2</v>
      </c>
      <c r="N20278">
        <v>2</v>
      </c>
    </row>
    <row r="20279" spans="1:15">
      <c r="A20279" t="s">
        <v>21075</v>
      </c>
      <c r="B20279" t="s">
        <v>367</v>
      </c>
      <c r="C20279" t="s">
        <v>59384</v>
      </c>
      <c r="D20279" t="s">
        <v>59385</v>
      </c>
      <c r="E20279" t="b">
        <v>0</v>
      </c>
      <c r="F20279" t="s">
        <v>11624</v>
      </c>
      <c r="G20279">
        <v>9</v>
      </c>
      <c r="H20279">
        <v>126</v>
      </c>
      <c r="I20279" t="s">
        <v>59386</v>
      </c>
      <c r="L20279">
        <v>0</v>
      </c>
      <c r="M20279">
        <v>0</v>
      </c>
      <c r="N20279">
        <v>3</v>
      </c>
      <c r="O20279" t="s">
        <v>11749</v>
      </c>
    </row>
    <row r="20280" spans="1:15">
      <c r="A20280" t="s">
        <v>59384</v>
      </c>
      <c r="B20280" t="s">
        <v>367</v>
      </c>
      <c r="C20280" t="s">
        <v>20653</v>
      </c>
      <c r="D20280" t="s">
        <v>59387</v>
      </c>
      <c r="E20280" t="b">
        <v>0</v>
      </c>
      <c r="F20280" t="s">
        <v>11622</v>
      </c>
      <c r="I20280" t="s">
        <v>59388</v>
      </c>
      <c r="L20280">
        <v>0</v>
      </c>
      <c r="M20280">
        <v>2</v>
      </c>
      <c r="N20280">
        <v>4</v>
      </c>
      <c r="O20280" t="s">
        <v>11749</v>
      </c>
    </row>
    <row r="20281" spans="1:15">
      <c r="A20281" t="s">
        <v>55984</v>
      </c>
      <c r="B20281" t="s">
        <v>11637</v>
      </c>
      <c r="C20281" t="s">
        <v>21149</v>
      </c>
      <c r="D20281" t="s">
        <v>59389</v>
      </c>
      <c r="E20281" t="b">
        <v>0</v>
      </c>
      <c r="F20281" t="s">
        <v>11622</v>
      </c>
      <c r="L20281">
        <v>2</v>
      </c>
      <c r="M20281">
        <v>4</v>
      </c>
      <c r="N20281">
        <v>4</v>
      </c>
    </row>
    <row r="20282" spans="1:15">
      <c r="A20282" t="s">
        <v>59390</v>
      </c>
      <c r="B20282" t="s">
        <v>11637</v>
      </c>
      <c r="C20282" t="s">
        <v>54146</v>
      </c>
      <c r="D20282" t="s">
        <v>59391</v>
      </c>
      <c r="E20282" t="b">
        <v>0</v>
      </c>
      <c r="F20282" t="s">
        <v>11624</v>
      </c>
      <c r="G20282">
        <v>25.686</v>
      </c>
      <c r="H20282">
        <v>85.792000000000002</v>
      </c>
      <c r="I20282" t="s">
        <v>59392</v>
      </c>
      <c r="L20282">
        <v>0</v>
      </c>
      <c r="M20282">
        <v>0</v>
      </c>
      <c r="N20282">
        <v>0</v>
      </c>
      <c r="O20282" t="s">
        <v>11630</v>
      </c>
    </row>
    <row r="20283" spans="1:15">
      <c r="A20283" t="s">
        <v>59393</v>
      </c>
      <c r="B20283" t="s">
        <v>11637</v>
      </c>
      <c r="C20283" t="s">
        <v>16734</v>
      </c>
      <c r="D20283" t="s">
        <v>59394</v>
      </c>
      <c r="E20283" t="b">
        <v>0</v>
      </c>
      <c r="F20283" t="s">
        <v>11610</v>
      </c>
      <c r="L20283">
        <v>0</v>
      </c>
      <c r="M20283">
        <v>0</v>
      </c>
      <c r="N20283">
        <v>0</v>
      </c>
    </row>
    <row r="20284" spans="1:15">
      <c r="A20284" t="s">
        <v>59395</v>
      </c>
      <c r="B20284" t="s">
        <v>11637</v>
      </c>
      <c r="C20284" t="s">
        <v>40858</v>
      </c>
      <c r="D20284" t="s">
        <v>59396</v>
      </c>
      <c r="E20284" t="b">
        <v>0</v>
      </c>
      <c r="F20284" t="s">
        <v>11610</v>
      </c>
      <c r="L20284">
        <v>0</v>
      </c>
      <c r="M20284">
        <v>0</v>
      </c>
      <c r="N20284">
        <v>0</v>
      </c>
    </row>
    <row r="20285" spans="1:15">
      <c r="A20285" t="s">
        <v>15569</v>
      </c>
      <c r="D20285" t="s">
        <v>59397</v>
      </c>
      <c r="E20285" t="b">
        <v>0</v>
      </c>
      <c r="F20285" t="s">
        <v>11622</v>
      </c>
      <c r="L20285">
        <v>8</v>
      </c>
      <c r="M20285">
        <v>11</v>
      </c>
      <c r="N20285">
        <v>15</v>
      </c>
    </row>
    <row r="20286" spans="1:15">
      <c r="A20286" t="s">
        <v>59398</v>
      </c>
      <c r="B20286" t="s">
        <v>6742</v>
      </c>
      <c r="C20286" t="s">
        <v>38664</v>
      </c>
      <c r="D20286" t="s">
        <v>59399</v>
      </c>
      <c r="E20286" t="b">
        <v>0</v>
      </c>
      <c r="F20286" t="s">
        <v>11624</v>
      </c>
      <c r="G20286">
        <v>9.4795800000000003</v>
      </c>
      <c r="H20286">
        <v>9.4900699999999993</v>
      </c>
      <c r="I20286" t="s">
        <v>59400</v>
      </c>
      <c r="L20286">
        <v>0</v>
      </c>
      <c r="M20286">
        <v>0</v>
      </c>
      <c r="N20286">
        <v>0</v>
      </c>
      <c r="O20286" t="s">
        <v>11693</v>
      </c>
    </row>
    <row r="20287" spans="1:15">
      <c r="A20287" t="s">
        <v>59401</v>
      </c>
      <c r="B20287" t="s">
        <v>11637</v>
      </c>
      <c r="C20287" t="s">
        <v>40858</v>
      </c>
      <c r="D20287" t="s">
        <v>59402</v>
      </c>
      <c r="E20287" t="b">
        <v>0</v>
      </c>
      <c r="F20287" t="s">
        <v>11610</v>
      </c>
      <c r="L20287">
        <v>0</v>
      </c>
      <c r="M20287">
        <v>0</v>
      </c>
      <c r="N20287">
        <v>0</v>
      </c>
    </row>
    <row r="20288" spans="1:15">
      <c r="A20288" t="s">
        <v>59403</v>
      </c>
      <c r="B20288" t="s">
        <v>11637</v>
      </c>
      <c r="C20288" t="s">
        <v>40858</v>
      </c>
      <c r="D20288" t="s">
        <v>59404</v>
      </c>
      <c r="E20288" t="b">
        <v>0</v>
      </c>
      <c r="F20288" t="s">
        <v>11610</v>
      </c>
      <c r="L20288">
        <v>0</v>
      </c>
      <c r="M20288">
        <v>0</v>
      </c>
      <c r="N20288">
        <v>0</v>
      </c>
    </row>
    <row r="20289" spans="1:15">
      <c r="A20289" t="s">
        <v>59405</v>
      </c>
      <c r="B20289" t="s">
        <v>367</v>
      </c>
      <c r="C20289" t="s">
        <v>34759</v>
      </c>
      <c r="D20289" t="s">
        <v>59406</v>
      </c>
      <c r="E20289" t="b">
        <v>0</v>
      </c>
      <c r="F20289" t="s">
        <v>11624</v>
      </c>
      <c r="G20289">
        <v>-3.99078</v>
      </c>
      <c r="H20289">
        <v>152.768</v>
      </c>
      <c r="I20289" t="s">
        <v>59407</v>
      </c>
      <c r="L20289">
        <v>0</v>
      </c>
      <c r="M20289">
        <v>0</v>
      </c>
      <c r="N20289">
        <v>0</v>
      </c>
      <c r="O20289" t="s">
        <v>11660</v>
      </c>
    </row>
    <row r="20290" spans="1:15">
      <c r="A20290" t="s">
        <v>59408</v>
      </c>
      <c r="B20290" t="s">
        <v>11637</v>
      </c>
      <c r="C20290" t="s">
        <v>14769</v>
      </c>
      <c r="D20290" t="s">
        <v>59409</v>
      </c>
      <c r="E20290" t="b">
        <v>0</v>
      </c>
      <c r="F20290" t="s">
        <v>11610</v>
      </c>
      <c r="L20290">
        <v>0</v>
      </c>
      <c r="M20290">
        <v>0</v>
      </c>
      <c r="N20290">
        <v>0</v>
      </c>
    </row>
    <row r="20291" spans="1:15">
      <c r="A20291" t="s">
        <v>59410</v>
      </c>
      <c r="B20291" t="s">
        <v>6742</v>
      </c>
      <c r="C20291" t="s">
        <v>18654</v>
      </c>
      <c r="D20291" t="s">
        <v>59411</v>
      </c>
      <c r="E20291" t="b">
        <v>0</v>
      </c>
      <c r="F20291" t="s">
        <v>11624</v>
      </c>
      <c r="G20291">
        <v>10.2254</v>
      </c>
      <c r="H20291">
        <v>8.2713599999999996</v>
      </c>
      <c r="I20291" t="s">
        <v>59412</v>
      </c>
      <c r="L20291">
        <v>0</v>
      </c>
      <c r="M20291">
        <v>0</v>
      </c>
      <c r="N20291">
        <v>0</v>
      </c>
      <c r="O20291" t="s">
        <v>11693</v>
      </c>
    </row>
    <row r="20292" spans="1:15">
      <c r="A20292" t="s">
        <v>59413</v>
      </c>
      <c r="B20292" t="s">
        <v>367</v>
      </c>
      <c r="C20292" t="s">
        <v>14164</v>
      </c>
      <c r="D20292" t="s">
        <v>59414</v>
      </c>
      <c r="E20292" t="b">
        <v>0</v>
      </c>
      <c r="F20292" t="s">
        <v>11610</v>
      </c>
      <c r="L20292">
        <v>0</v>
      </c>
      <c r="M20292">
        <v>0</v>
      </c>
      <c r="N20292">
        <v>0</v>
      </c>
    </row>
    <row r="20293" spans="1:15">
      <c r="A20293" t="s">
        <v>59415</v>
      </c>
      <c r="B20293" t="s">
        <v>367</v>
      </c>
      <c r="C20293" t="s">
        <v>14164</v>
      </c>
      <c r="D20293" t="s">
        <v>59416</v>
      </c>
      <c r="E20293" t="b">
        <v>0</v>
      </c>
      <c r="F20293" t="s">
        <v>11610</v>
      </c>
      <c r="L20293">
        <v>0</v>
      </c>
      <c r="M20293">
        <v>0</v>
      </c>
      <c r="N20293">
        <v>0</v>
      </c>
    </row>
    <row r="20294" spans="1:15">
      <c r="A20294" t="s">
        <v>59417</v>
      </c>
      <c r="B20294" t="s">
        <v>11912</v>
      </c>
      <c r="C20294" t="s">
        <v>52393</v>
      </c>
      <c r="D20294" t="s">
        <v>59418</v>
      </c>
      <c r="E20294" t="b">
        <v>0</v>
      </c>
      <c r="F20294" t="s">
        <v>11624</v>
      </c>
      <c r="G20294">
        <v>-5.9271000000000003</v>
      </c>
      <c r="H20294">
        <v>-48.588000000000001</v>
      </c>
      <c r="I20294" t="s">
        <v>59419</v>
      </c>
      <c r="L20294">
        <v>0</v>
      </c>
      <c r="M20294">
        <v>0</v>
      </c>
      <c r="N20294">
        <v>0</v>
      </c>
      <c r="O20294" t="s">
        <v>11969</v>
      </c>
    </row>
    <row r="20295" spans="1:15">
      <c r="A20295" t="s">
        <v>59420</v>
      </c>
      <c r="B20295" t="s">
        <v>11912</v>
      </c>
      <c r="C20295" t="s">
        <v>28735</v>
      </c>
      <c r="D20295" t="s">
        <v>59421</v>
      </c>
      <c r="E20295" t="b">
        <v>0</v>
      </c>
      <c r="F20295" t="s">
        <v>11624</v>
      </c>
      <c r="G20295">
        <v>-11.0989</v>
      </c>
      <c r="H20295">
        <v>-61.281799999999997</v>
      </c>
      <c r="I20295" t="s">
        <v>59422</v>
      </c>
      <c r="L20295">
        <v>0</v>
      </c>
      <c r="M20295">
        <v>0</v>
      </c>
      <c r="N20295">
        <v>0</v>
      </c>
      <c r="O20295" t="s">
        <v>11969</v>
      </c>
    </row>
    <row r="20296" spans="1:15">
      <c r="A20296" t="s">
        <v>59423</v>
      </c>
      <c r="B20296" t="s">
        <v>14398</v>
      </c>
      <c r="C20296" t="s">
        <v>14398</v>
      </c>
      <c r="D20296" t="s">
        <v>59424</v>
      </c>
      <c r="E20296" t="b">
        <v>0</v>
      </c>
      <c r="F20296" t="s">
        <v>11624</v>
      </c>
      <c r="G20296">
        <v>-6.8252499999999996</v>
      </c>
      <c r="H20296">
        <v>-66.314599999999999</v>
      </c>
      <c r="I20296" t="s">
        <v>59425</v>
      </c>
      <c r="L20296">
        <v>0</v>
      </c>
      <c r="M20296">
        <v>0</v>
      </c>
      <c r="N20296">
        <v>0</v>
      </c>
      <c r="O20296" t="s">
        <v>11969</v>
      </c>
    </row>
    <row r="20297" spans="1:15">
      <c r="A20297" t="s">
        <v>59426</v>
      </c>
      <c r="B20297" t="s">
        <v>12260</v>
      </c>
      <c r="C20297" t="s">
        <v>18093</v>
      </c>
      <c r="D20297" t="s">
        <v>59427</v>
      </c>
      <c r="E20297" t="b">
        <v>0</v>
      </c>
      <c r="F20297" t="s">
        <v>11610</v>
      </c>
      <c r="L20297">
        <v>0</v>
      </c>
      <c r="M20297">
        <v>0</v>
      </c>
      <c r="N20297">
        <v>0</v>
      </c>
    </row>
    <row r="20298" spans="1:15">
      <c r="A20298" t="s">
        <v>59428</v>
      </c>
      <c r="B20298" t="s">
        <v>11607</v>
      </c>
      <c r="C20298" t="s">
        <v>59429</v>
      </c>
      <c r="D20298" t="s">
        <v>59430</v>
      </c>
      <c r="E20298" t="b">
        <v>0</v>
      </c>
      <c r="F20298" t="s">
        <v>11610</v>
      </c>
      <c r="L20298">
        <v>0</v>
      </c>
      <c r="M20298">
        <v>0</v>
      </c>
      <c r="N20298">
        <v>0</v>
      </c>
    </row>
    <row r="20299" spans="1:15">
      <c r="A20299" t="s">
        <v>59431</v>
      </c>
      <c r="B20299" t="s">
        <v>300</v>
      </c>
      <c r="C20299" t="s">
        <v>21267</v>
      </c>
      <c r="D20299" t="s">
        <v>59432</v>
      </c>
      <c r="E20299" t="b">
        <v>0</v>
      </c>
      <c r="F20299" t="s">
        <v>11624</v>
      </c>
      <c r="G20299">
        <v>41.168999999999997</v>
      </c>
      <c r="H20299">
        <v>-76.207999999999998</v>
      </c>
      <c r="I20299" t="s">
        <v>59433</v>
      </c>
      <c r="L20299">
        <v>0</v>
      </c>
      <c r="M20299">
        <v>0</v>
      </c>
      <c r="N20299">
        <v>0</v>
      </c>
      <c r="O20299" t="s">
        <v>11944</v>
      </c>
    </row>
    <row r="20300" spans="1:15">
      <c r="A20300" t="s">
        <v>59434</v>
      </c>
      <c r="B20300" t="s">
        <v>11637</v>
      </c>
      <c r="C20300" t="s">
        <v>35881</v>
      </c>
      <c r="D20300" t="s">
        <v>5951</v>
      </c>
      <c r="E20300" t="b">
        <v>0</v>
      </c>
      <c r="F20300" t="s">
        <v>11610</v>
      </c>
      <c r="L20300">
        <v>0</v>
      </c>
      <c r="M20300">
        <v>0</v>
      </c>
      <c r="N20300">
        <v>0</v>
      </c>
    </row>
    <row r="20301" spans="1:15">
      <c r="A20301" t="s">
        <v>59435</v>
      </c>
      <c r="B20301" t="s">
        <v>13276</v>
      </c>
      <c r="C20301" t="s">
        <v>21509</v>
      </c>
      <c r="D20301" t="s">
        <v>59436</v>
      </c>
      <c r="E20301" t="b">
        <v>0</v>
      </c>
      <c r="F20301" t="s">
        <v>11622</v>
      </c>
      <c r="L20301">
        <v>0</v>
      </c>
      <c r="M20301">
        <v>2</v>
      </c>
      <c r="N20301">
        <v>3</v>
      </c>
    </row>
    <row r="20302" spans="1:15">
      <c r="A20302" t="s">
        <v>59437</v>
      </c>
      <c r="B20302" t="s">
        <v>13276</v>
      </c>
      <c r="C20302" t="s">
        <v>59435</v>
      </c>
      <c r="D20302" t="s">
        <v>59438</v>
      </c>
      <c r="E20302" t="b">
        <v>0</v>
      </c>
      <c r="F20302" t="s">
        <v>11624</v>
      </c>
      <c r="G20302">
        <v>10.4046</v>
      </c>
      <c r="H20302">
        <v>-13.3628</v>
      </c>
      <c r="I20302" t="s">
        <v>59439</v>
      </c>
      <c r="L20302">
        <v>0</v>
      </c>
      <c r="M20302">
        <v>0</v>
      </c>
      <c r="N20302">
        <v>0</v>
      </c>
      <c r="O20302" t="s">
        <v>59440</v>
      </c>
    </row>
    <row r="20303" spans="1:15">
      <c r="A20303" t="s">
        <v>59441</v>
      </c>
      <c r="B20303" t="s">
        <v>12487</v>
      </c>
      <c r="C20303" t="s">
        <v>34516</v>
      </c>
      <c r="D20303" t="s">
        <v>59442</v>
      </c>
      <c r="E20303" t="b">
        <v>0</v>
      </c>
      <c r="F20303" t="s">
        <v>11624</v>
      </c>
      <c r="G20303">
        <v>-7.1927500000000002</v>
      </c>
      <c r="H20303">
        <v>146.56100000000001</v>
      </c>
      <c r="I20303" t="s">
        <v>59443</v>
      </c>
      <c r="L20303">
        <v>0</v>
      </c>
      <c r="M20303">
        <v>0</v>
      </c>
      <c r="N20303">
        <v>0</v>
      </c>
      <c r="O20303" t="s">
        <v>11660</v>
      </c>
    </row>
    <row r="20304" spans="1:15">
      <c r="A20304" t="s">
        <v>59444</v>
      </c>
      <c r="B20304" t="s">
        <v>367</v>
      </c>
      <c r="C20304" t="s">
        <v>14866</v>
      </c>
      <c r="D20304" t="s">
        <v>59445</v>
      </c>
      <c r="E20304" t="b">
        <v>0</v>
      </c>
      <c r="F20304" t="s">
        <v>11610</v>
      </c>
      <c r="L20304">
        <v>0</v>
      </c>
      <c r="M20304">
        <v>0</v>
      </c>
      <c r="N20304">
        <v>0</v>
      </c>
    </row>
    <row r="20305" spans="1:15">
      <c r="A20305" t="s">
        <v>59446</v>
      </c>
      <c r="B20305" t="s">
        <v>12438</v>
      </c>
      <c r="C20305" t="s">
        <v>16890</v>
      </c>
      <c r="D20305" t="s">
        <v>59447</v>
      </c>
      <c r="E20305" t="b">
        <v>0</v>
      </c>
      <c r="F20305" t="s">
        <v>11610</v>
      </c>
      <c r="L20305">
        <v>0</v>
      </c>
      <c r="M20305">
        <v>0</v>
      </c>
      <c r="N20305">
        <v>0</v>
      </c>
    </row>
    <row r="20306" spans="1:15">
      <c r="A20306" t="s">
        <v>56194</v>
      </c>
      <c r="B20306" t="s">
        <v>11637</v>
      </c>
      <c r="C20306" t="s">
        <v>40858</v>
      </c>
      <c r="D20306" t="s">
        <v>59448</v>
      </c>
      <c r="E20306" t="b">
        <v>0</v>
      </c>
      <c r="F20306" t="s">
        <v>11610</v>
      </c>
      <c r="L20306">
        <v>0</v>
      </c>
      <c r="M20306">
        <v>0</v>
      </c>
      <c r="N20306">
        <v>1</v>
      </c>
    </row>
    <row r="20307" spans="1:15">
      <c r="A20307" t="s">
        <v>59449</v>
      </c>
      <c r="B20307" t="s">
        <v>6742</v>
      </c>
      <c r="C20307" t="s">
        <v>25291</v>
      </c>
      <c r="D20307" t="s">
        <v>59450</v>
      </c>
      <c r="E20307" t="b">
        <v>0</v>
      </c>
      <c r="F20307" t="s">
        <v>11624</v>
      </c>
      <c r="G20307">
        <v>-4.5848800000000001</v>
      </c>
      <c r="H20307">
        <v>13.321199999999999</v>
      </c>
      <c r="I20307" t="s">
        <v>59451</v>
      </c>
      <c r="L20307">
        <v>0</v>
      </c>
      <c r="M20307">
        <v>0</v>
      </c>
      <c r="N20307">
        <v>0</v>
      </c>
      <c r="O20307" t="s">
        <v>37366</v>
      </c>
    </row>
    <row r="20308" spans="1:15">
      <c r="A20308" t="s">
        <v>59452</v>
      </c>
      <c r="B20308" t="s">
        <v>11637</v>
      </c>
      <c r="C20308" t="s">
        <v>15135</v>
      </c>
      <c r="D20308" t="s">
        <v>59453</v>
      </c>
      <c r="E20308" t="b">
        <v>0</v>
      </c>
      <c r="F20308" t="s">
        <v>11610</v>
      </c>
      <c r="L20308">
        <v>0</v>
      </c>
      <c r="M20308">
        <v>0</v>
      </c>
      <c r="N20308">
        <v>0</v>
      </c>
    </row>
    <row r="20309" spans="1:15">
      <c r="A20309" t="s">
        <v>59454</v>
      </c>
      <c r="B20309" t="s">
        <v>6742</v>
      </c>
      <c r="C20309" t="s">
        <v>13331</v>
      </c>
      <c r="D20309" t="s">
        <v>59455</v>
      </c>
      <c r="E20309" t="b">
        <v>0</v>
      </c>
      <c r="F20309" t="s">
        <v>11610</v>
      </c>
      <c r="L20309">
        <v>0</v>
      </c>
      <c r="M20309">
        <v>0</v>
      </c>
      <c r="N20309">
        <v>0</v>
      </c>
    </row>
    <row r="20310" spans="1:15">
      <c r="A20310" t="s">
        <v>20353</v>
      </c>
      <c r="B20310" t="s">
        <v>367</v>
      </c>
      <c r="C20310" t="s">
        <v>18730</v>
      </c>
      <c r="D20310" t="s">
        <v>59456</v>
      </c>
      <c r="E20310" t="b">
        <v>0</v>
      </c>
      <c r="F20310" t="s">
        <v>11624</v>
      </c>
      <c r="G20310">
        <v>0.49070000000000003</v>
      </c>
      <c r="H20310">
        <v>123.36199999999999</v>
      </c>
      <c r="I20310" t="s">
        <v>59457</v>
      </c>
      <c r="L20310">
        <v>0</v>
      </c>
      <c r="M20310">
        <v>0</v>
      </c>
      <c r="N20310">
        <v>1</v>
      </c>
      <c r="O20310" t="s">
        <v>11768</v>
      </c>
    </row>
    <row r="20311" spans="1:15">
      <c r="A20311" t="s">
        <v>845</v>
      </c>
      <c r="B20311" t="s">
        <v>11965</v>
      </c>
      <c r="C20311" t="s">
        <v>14161</v>
      </c>
      <c r="D20311" t="s">
        <v>59458</v>
      </c>
      <c r="E20311" t="b">
        <v>0</v>
      </c>
      <c r="F20311" t="s">
        <v>11624</v>
      </c>
      <c r="G20311">
        <v>-11.517799999999999</v>
      </c>
      <c r="H20311">
        <v>-53.074300000000001</v>
      </c>
      <c r="I20311" t="s">
        <v>846</v>
      </c>
      <c r="L20311">
        <v>0</v>
      </c>
      <c r="M20311">
        <v>0</v>
      </c>
      <c r="N20311">
        <v>2</v>
      </c>
      <c r="O20311" t="s">
        <v>11969</v>
      </c>
    </row>
    <row r="20312" spans="1:15">
      <c r="A20312" t="s">
        <v>59459</v>
      </c>
      <c r="B20312" t="s">
        <v>11644</v>
      </c>
      <c r="C20312" t="s">
        <v>33479</v>
      </c>
      <c r="D20312" t="s">
        <v>59460</v>
      </c>
      <c r="E20312" t="b">
        <v>0</v>
      </c>
      <c r="F20312" t="s">
        <v>11610</v>
      </c>
      <c r="G20312">
        <v>31.328043900000001</v>
      </c>
      <c r="H20312">
        <v>120.364116</v>
      </c>
      <c r="L20312">
        <v>0</v>
      </c>
      <c r="M20312">
        <v>0</v>
      </c>
      <c r="N20312">
        <v>0</v>
      </c>
    </row>
    <row r="20313" spans="1:15">
      <c r="A20313" t="s">
        <v>39482</v>
      </c>
      <c r="B20313" t="s">
        <v>12148</v>
      </c>
      <c r="C20313" t="s">
        <v>12148</v>
      </c>
      <c r="D20313" t="s">
        <v>59461</v>
      </c>
      <c r="E20313" t="b">
        <v>0</v>
      </c>
      <c r="F20313" t="s">
        <v>11624</v>
      </c>
      <c r="G20313">
        <v>42.913400000000003</v>
      </c>
      <c r="H20313">
        <v>42.591500000000003</v>
      </c>
      <c r="I20313" t="s">
        <v>59462</v>
      </c>
      <c r="L20313">
        <v>0</v>
      </c>
      <c r="M20313">
        <v>0</v>
      </c>
      <c r="N20313">
        <v>4</v>
      </c>
      <c r="O20313" t="s">
        <v>18235</v>
      </c>
    </row>
    <row r="20314" spans="1:15">
      <c r="A20314" t="s">
        <v>59463</v>
      </c>
      <c r="B20314" t="s">
        <v>11637</v>
      </c>
      <c r="C20314" t="s">
        <v>438</v>
      </c>
      <c r="D20314" t="s">
        <v>59464</v>
      </c>
      <c r="E20314" t="b">
        <v>0</v>
      </c>
      <c r="F20314" t="s">
        <v>11610</v>
      </c>
      <c r="L20314">
        <v>0</v>
      </c>
      <c r="M20314">
        <v>0</v>
      </c>
      <c r="N20314">
        <v>0</v>
      </c>
    </row>
    <row r="20315" spans="1:15">
      <c r="A20315" t="s">
        <v>10326</v>
      </c>
      <c r="B20315" t="s">
        <v>11637</v>
      </c>
      <c r="C20315" t="s">
        <v>23276</v>
      </c>
      <c r="D20315" t="s">
        <v>59465</v>
      </c>
      <c r="E20315" t="b">
        <v>0</v>
      </c>
      <c r="F20315" t="s">
        <v>11624</v>
      </c>
      <c r="G20315">
        <v>48.386795999999997</v>
      </c>
      <c r="H20315">
        <v>9.9871110000000005</v>
      </c>
      <c r="I20315" t="s">
        <v>59466</v>
      </c>
      <c r="L20315">
        <v>0</v>
      </c>
      <c r="M20315">
        <v>0</v>
      </c>
      <c r="N20315">
        <v>0</v>
      </c>
      <c r="O20315" t="s">
        <v>25838</v>
      </c>
    </row>
    <row r="20316" spans="1:15">
      <c r="A20316" t="s">
        <v>59467</v>
      </c>
      <c r="B20316" t="s">
        <v>6742</v>
      </c>
      <c r="C20316" t="s">
        <v>18072</v>
      </c>
      <c r="D20316" t="s">
        <v>59468</v>
      </c>
      <c r="E20316" t="b">
        <v>0</v>
      </c>
      <c r="F20316" t="s">
        <v>11610</v>
      </c>
      <c r="L20316">
        <v>0</v>
      </c>
      <c r="M20316">
        <v>0</v>
      </c>
      <c r="N20316">
        <v>0</v>
      </c>
    </row>
    <row r="20317" spans="1:15">
      <c r="A20317" t="s">
        <v>59469</v>
      </c>
      <c r="B20317" t="s">
        <v>6742</v>
      </c>
      <c r="C20317" t="s">
        <v>26953</v>
      </c>
      <c r="D20317" t="s">
        <v>59470</v>
      </c>
      <c r="E20317" t="b">
        <v>0</v>
      </c>
      <c r="F20317" t="s">
        <v>11610</v>
      </c>
      <c r="L20317">
        <v>0</v>
      </c>
      <c r="M20317">
        <v>0</v>
      </c>
      <c r="N20317">
        <v>0</v>
      </c>
    </row>
    <row r="20318" spans="1:15">
      <c r="A20318" t="s">
        <v>13575</v>
      </c>
      <c r="B20318" t="s">
        <v>6742</v>
      </c>
      <c r="C20318" t="s">
        <v>23347</v>
      </c>
      <c r="D20318" t="s">
        <v>59471</v>
      </c>
      <c r="E20318" t="b">
        <v>0</v>
      </c>
      <c r="F20318" t="s">
        <v>11624</v>
      </c>
      <c r="G20318">
        <v>-8.2560500000000001</v>
      </c>
      <c r="H20318">
        <v>37.624000000000002</v>
      </c>
      <c r="I20318" t="s">
        <v>59472</v>
      </c>
      <c r="L20318">
        <v>0</v>
      </c>
      <c r="M20318">
        <v>0</v>
      </c>
      <c r="N20318">
        <v>13</v>
      </c>
      <c r="O20318" t="s">
        <v>59473</v>
      </c>
    </row>
    <row r="20319" spans="1:15">
      <c r="A20319" t="s">
        <v>22604</v>
      </c>
      <c r="B20319" t="s">
        <v>6742</v>
      </c>
      <c r="C20319" t="s">
        <v>32288</v>
      </c>
      <c r="D20319" t="s">
        <v>59474</v>
      </c>
      <c r="E20319" t="b">
        <v>0</v>
      </c>
      <c r="F20319" t="s">
        <v>11622</v>
      </c>
      <c r="L20319">
        <v>1</v>
      </c>
      <c r="M20319">
        <v>4</v>
      </c>
      <c r="N20319">
        <v>17</v>
      </c>
    </row>
    <row r="20320" spans="1:15">
      <c r="A20320" t="s">
        <v>36472</v>
      </c>
      <c r="B20320" t="s">
        <v>13450</v>
      </c>
      <c r="C20320" t="s">
        <v>13450</v>
      </c>
      <c r="D20320" t="s">
        <v>59475</v>
      </c>
      <c r="E20320" t="b">
        <v>0</v>
      </c>
      <c r="F20320" t="s">
        <v>11622</v>
      </c>
      <c r="L20320">
        <v>0</v>
      </c>
      <c r="M20320">
        <v>2</v>
      </c>
      <c r="N20320">
        <v>0</v>
      </c>
    </row>
    <row r="20321" spans="1:15">
      <c r="A20321" t="s">
        <v>4175</v>
      </c>
      <c r="B20321" t="s">
        <v>6742</v>
      </c>
      <c r="C20321" t="s">
        <v>4141</v>
      </c>
      <c r="D20321" t="s">
        <v>4174</v>
      </c>
      <c r="E20321" t="b">
        <v>0</v>
      </c>
      <c r="F20321" t="s">
        <v>11610</v>
      </c>
      <c r="L20321">
        <v>0</v>
      </c>
      <c r="M20321">
        <v>0</v>
      </c>
      <c r="N20321">
        <v>0</v>
      </c>
    </row>
    <row r="20322" spans="1:15">
      <c r="A20322" t="s">
        <v>26351</v>
      </c>
      <c r="B20322" t="s">
        <v>12979</v>
      </c>
      <c r="C20322" t="s">
        <v>6048</v>
      </c>
      <c r="D20322" t="s">
        <v>59476</v>
      </c>
      <c r="E20322" t="b">
        <v>0</v>
      </c>
      <c r="F20322" t="s">
        <v>11624</v>
      </c>
      <c r="G20322">
        <v>56</v>
      </c>
      <c r="H20322">
        <v>-95</v>
      </c>
      <c r="I20322" t="s">
        <v>59477</v>
      </c>
      <c r="L20322">
        <v>0</v>
      </c>
      <c r="M20322">
        <v>0</v>
      </c>
      <c r="N20322">
        <v>2</v>
      </c>
      <c r="O20322" t="s">
        <v>13049</v>
      </c>
    </row>
    <row r="20323" spans="1:15">
      <c r="A20323" t="s">
        <v>59478</v>
      </c>
      <c r="B20323" t="s">
        <v>11637</v>
      </c>
      <c r="C20323" t="s">
        <v>7992</v>
      </c>
      <c r="D20323" t="s">
        <v>59479</v>
      </c>
      <c r="E20323" t="b">
        <v>0</v>
      </c>
      <c r="F20323" t="s">
        <v>11610</v>
      </c>
      <c r="L20323">
        <v>0</v>
      </c>
      <c r="M20323">
        <v>0</v>
      </c>
      <c r="N20323">
        <v>0</v>
      </c>
    </row>
    <row r="20324" spans="1:15">
      <c r="A20324" t="s">
        <v>4100</v>
      </c>
      <c r="B20324" t="s">
        <v>6742</v>
      </c>
      <c r="C20324" t="s">
        <v>47576</v>
      </c>
      <c r="D20324" t="s">
        <v>59480</v>
      </c>
      <c r="E20324" t="b">
        <v>0</v>
      </c>
      <c r="F20324" t="s">
        <v>11624</v>
      </c>
      <c r="G20324">
        <v>-26</v>
      </c>
      <c r="H20324">
        <v>31.5</v>
      </c>
      <c r="I20324" t="s">
        <v>4101</v>
      </c>
      <c r="L20324">
        <v>0</v>
      </c>
      <c r="M20324">
        <v>0</v>
      </c>
      <c r="N20324">
        <v>2</v>
      </c>
      <c r="O20324" t="s">
        <v>59481</v>
      </c>
    </row>
    <row r="20325" spans="1:15">
      <c r="A20325" t="s">
        <v>59482</v>
      </c>
      <c r="B20325" t="s">
        <v>11981</v>
      </c>
      <c r="C20325" t="s">
        <v>27891</v>
      </c>
      <c r="D20325" t="s">
        <v>59483</v>
      </c>
      <c r="E20325" t="b">
        <v>0</v>
      </c>
      <c r="F20325" t="s">
        <v>11624</v>
      </c>
      <c r="G20325">
        <v>58.929000000000002</v>
      </c>
      <c r="H20325">
        <v>16.113299999999999</v>
      </c>
      <c r="I20325" t="s">
        <v>59484</v>
      </c>
      <c r="L20325">
        <v>0</v>
      </c>
      <c r="M20325">
        <v>0</v>
      </c>
      <c r="N20325">
        <v>0</v>
      </c>
      <c r="O20325" t="s">
        <v>14434</v>
      </c>
    </row>
    <row r="20326" spans="1:15">
      <c r="A20326" t="s">
        <v>438</v>
      </c>
      <c r="B20326" t="s">
        <v>11637</v>
      </c>
      <c r="C20326" t="s">
        <v>25854</v>
      </c>
      <c r="D20326" t="s">
        <v>59485</v>
      </c>
      <c r="E20326" t="b">
        <v>0</v>
      </c>
      <c r="F20326" t="s">
        <v>11624</v>
      </c>
      <c r="G20326">
        <v>59.800634000000002</v>
      </c>
      <c r="H20326">
        <v>17.389526</v>
      </c>
      <c r="I20326" t="s">
        <v>10554</v>
      </c>
      <c r="L20326">
        <v>0</v>
      </c>
      <c r="M20326">
        <v>0</v>
      </c>
      <c r="N20326">
        <v>4</v>
      </c>
      <c r="O20326" t="s">
        <v>59486</v>
      </c>
    </row>
    <row r="20327" spans="1:15">
      <c r="A20327" t="s">
        <v>19602</v>
      </c>
      <c r="B20327" t="s">
        <v>13450</v>
      </c>
      <c r="C20327" t="s">
        <v>13450</v>
      </c>
      <c r="D20327" t="s">
        <v>59487</v>
      </c>
      <c r="E20327" t="b">
        <v>0</v>
      </c>
      <c r="F20327" t="s">
        <v>11622</v>
      </c>
      <c r="L20327">
        <v>0</v>
      </c>
      <c r="M20327">
        <v>1</v>
      </c>
      <c r="N20327">
        <v>0</v>
      </c>
    </row>
    <row r="20328" spans="1:15">
      <c r="A20328" t="s">
        <v>27891</v>
      </c>
      <c r="B20328" t="s">
        <v>11981</v>
      </c>
      <c r="C20328" t="s">
        <v>12200</v>
      </c>
      <c r="D20328" t="s">
        <v>59488</v>
      </c>
      <c r="E20328" t="b">
        <v>0</v>
      </c>
      <c r="F20328" t="s">
        <v>11622</v>
      </c>
      <c r="L20328">
        <v>1</v>
      </c>
      <c r="M20328">
        <v>4</v>
      </c>
      <c r="N20328">
        <v>2</v>
      </c>
    </row>
    <row r="20329" spans="1:15">
      <c r="A20329" t="s">
        <v>59489</v>
      </c>
      <c r="B20329" t="s">
        <v>6742</v>
      </c>
      <c r="C20329" t="s">
        <v>20105</v>
      </c>
      <c r="D20329" t="s">
        <v>59490</v>
      </c>
      <c r="E20329" t="b">
        <v>0</v>
      </c>
      <c r="F20329" t="s">
        <v>11610</v>
      </c>
      <c r="L20329">
        <v>0</v>
      </c>
      <c r="M20329">
        <v>0</v>
      </c>
      <c r="N20329">
        <v>0</v>
      </c>
    </row>
    <row r="20330" spans="1:15">
      <c r="A20330" t="s">
        <v>59491</v>
      </c>
      <c r="B20330" t="s">
        <v>11981</v>
      </c>
      <c r="C20330" t="s">
        <v>32817</v>
      </c>
      <c r="D20330" t="s">
        <v>59492</v>
      </c>
      <c r="E20330" t="b">
        <v>0</v>
      </c>
      <c r="F20330" t="s">
        <v>11624</v>
      </c>
      <c r="G20330">
        <v>46.307600000000001</v>
      </c>
      <c r="H20330">
        <v>8.7911099999999998</v>
      </c>
      <c r="I20330" t="s">
        <v>59493</v>
      </c>
      <c r="L20330">
        <v>0</v>
      </c>
      <c r="M20330">
        <v>0</v>
      </c>
      <c r="N20330">
        <v>0</v>
      </c>
      <c r="O20330" t="s">
        <v>59494</v>
      </c>
    </row>
    <row r="20331" spans="1:15">
      <c r="A20331" t="s">
        <v>59495</v>
      </c>
      <c r="B20331" t="s">
        <v>11981</v>
      </c>
      <c r="C20331" t="s">
        <v>24589</v>
      </c>
      <c r="D20331" t="s">
        <v>59496</v>
      </c>
      <c r="E20331" t="b">
        <v>0</v>
      </c>
      <c r="F20331" t="s">
        <v>11624</v>
      </c>
      <c r="G20331">
        <v>47.106900000000003</v>
      </c>
      <c r="H20331">
        <v>9.0755700000000008</v>
      </c>
      <c r="I20331" t="s">
        <v>59497</v>
      </c>
      <c r="L20331">
        <v>0</v>
      </c>
      <c r="M20331">
        <v>0</v>
      </c>
      <c r="N20331">
        <v>0</v>
      </c>
      <c r="O20331" t="s">
        <v>59494</v>
      </c>
    </row>
    <row r="20332" spans="1:15">
      <c r="A20332" t="s">
        <v>59498</v>
      </c>
      <c r="B20332" t="s">
        <v>11981</v>
      </c>
      <c r="C20332" t="s">
        <v>13026</v>
      </c>
      <c r="D20332" t="s">
        <v>59499</v>
      </c>
      <c r="E20332" t="b">
        <v>0</v>
      </c>
      <c r="F20332" t="s">
        <v>11624</v>
      </c>
      <c r="G20332">
        <v>46.722520000000003</v>
      </c>
      <c r="H20332">
        <v>6.7842500000000001</v>
      </c>
      <c r="I20332" t="s">
        <v>59500</v>
      </c>
      <c r="L20332">
        <v>0</v>
      </c>
      <c r="M20332">
        <v>0</v>
      </c>
      <c r="N20332">
        <v>0</v>
      </c>
      <c r="O20332" t="s">
        <v>59494</v>
      </c>
    </row>
    <row r="20333" spans="1:15">
      <c r="A20333" t="s">
        <v>10515</v>
      </c>
      <c r="B20333" t="s">
        <v>11637</v>
      </c>
      <c r="C20333" t="s">
        <v>58890</v>
      </c>
      <c r="D20333" t="s">
        <v>59501</v>
      </c>
      <c r="E20333" t="b">
        <v>0</v>
      </c>
      <c r="F20333" t="s">
        <v>11624</v>
      </c>
      <c r="G20333">
        <v>47.051600000000001</v>
      </c>
      <c r="H20333">
        <v>8.4641900000000003</v>
      </c>
      <c r="I20333" t="s">
        <v>59502</v>
      </c>
      <c r="L20333">
        <v>0</v>
      </c>
      <c r="M20333">
        <v>0</v>
      </c>
      <c r="N20333">
        <v>17</v>
      </c>
      <c r="O20333" t="s">
        <v>59503</v>
      </c>
    </row>
    <row r="20334" spans="1:15">
      <c r="A20334" t="s">
        <v>59504</v>
      </c>
      <c r="B20334" t="s">
        <v>13276</v>
      </c>
      <c r="C20334" t="s">
        <v>17965</v>
      </c>
      <c r="D20334" t="s">
        <v>59505</v>
      </c>
      <c r="E20334" t="b">
        <v>0</v>
      </c>
      <c r="F20334" t="s">
        <v>11610</v>
      </c>
      <c r="L20334">
        <v>0</v>
      </c>
      <c r="M20334">
        <v>0</v>
      </c>
      <c r="N20334">
        <v>0</v>
      </c>
    </row>
    <row r="20335" spans="1:15">
      <c r="A20335" t="s">
        <v>59506</v>
      </c>
      <c r="B20335" t="s">
        <v>13276</v>
      </c>
      <c r="C20335" t="s">
        <v>17965</v>
      </c>
      <c r="D20335" t="s">
        <v>59507</v>
      </c>
      <c r="E20335" t="b">
        <v>0</v>
      </c>
      <c r="F20335" t="s">
        <v>11610</v>
      </c>
      <c r="L20335">
        <v>0</v>
      </c>
      <c r="M20335">
        <v>0</v>
      </c>
      <c r="N20335">
        <v>0</v>
      </c>
    </row>
    <row r="20336" spans="1:15">
      <c r="A20336" t="s">
        <v>59508</v>
      </c>
      <c r="B20336" t="s">
        <v>11644</v>
      </c>
      <c r="C20336" t="s">
        <v>149</v>
      </c>
      <c r="D20336" t="s">
        <v>59509</v>
      </c>
      <c r="E20336" t="b">
        <v>0</v>
      </c>
      <c r="F20336" t="s">
        <v>11610</v>
      </c>
      <c r="L20336">
        <v>0</v>
      </c>
      <c r="M20336">
        <v>0</v>
      </c>
      <c r="N20336">
        <v>0</v>
      </c>
    </row>
    <row r="20337" spans="1:15">
      <c r="A20337" t="s">
        <v>59510</v>
      </c>
      <c r="B20337" t="s">
        <v>6742</v>
      </c>
      <c r="C20337" t="s">
        <v>28532</v>
      </c>
      <c r="D20337" t="s">
        <v>59511</v>
      </c>
      <c r="E20337" t="b">
        <v>0</v>
      </c>
      <c r="F20337" t="s">
        <v>11624</v>
      </c>
      <c r="G20337">
        <v>1.280475</v>
      </c>
      <c r="H20337">
        <v>34.337012000000001</v>
      </c>
      <c r="L20337">
        <v>0</v>
      </c>
      <c r="M20337">
        <v>0</v>
      </c>
      <c r="N20337">
        <v>0</v>
      </c>
      <c r="O20337" t="s">
        <v>25786</v>
      </c>
    </row>
    <row r="20338" spans="1:15">
      <c r="A20338" t="s">
        <v>30908</v>
      </c>
      <c r="B20338" t="s">
        <v>10597</v>
      </c>
      <c r="C20338" t="s">
        <v>31731</v>
      </c>
      <c r="D20338" t="s">
        <v>59512</v>
      </c>
      <c r="E20338" t="b">
        <v>0</v>
      </c>
      <c r="F20338" t="s">
        <v>11622</v>
      </c>
      <c r="L20338">
        <v>0</v>
      </c>
      <c r="M20338">
        <v>2</v>
      </c>
      <c r="N20338">
        <v>0</v>
      </c>
    </row>
    <row r="20339" spans="1:15">
      <c r="A20339" t="s">
        <v>59513</v>
      </c>
      <c r="B20339" t="s">
        <v>10597</v>
      </c>
      <c r="C20339" t="s">
        <v>30908</v>
      </c>
      <c r="D20339" t="s">
        <v>59514</v>
      </c>
      <c r="E20339" t="b">
        <v>0</v>
      </c>
      <c r="F20339" t="s">
        <v>11624</v>
      </c>
      <c r="G20339">
        <v>-33.529258370000001</v>
      </c>
      <c r="H20339">
        <v>150.34904639999999</v>
      </c>
      <c r="I20339" t="s">
        <v>59515</v>
      </c>
      <c r="L20339">
        <v>0</v>
      </c>
      <c r="M20339">
        <v>0</v>
      </c>
      <c r="N20339">
        <v>0</v>
      </c>
      <c r="O20339" t="s">
        <v>12107</v>
      </c>
    </row>
    <row r="20340" spans="1:15">
      <c r="A20340" t="s">
        <v>59516</v>
      </c>
      <c r="B20340" t="s">
        <v>11627</v>
      </c>
      <c r="C20340" t="s">
        <v>11627</v>
      </c>
      <c r="D20340" t="s">
        <v>59517</v>
      </c>
      <c r="E20340" t="b">
        <v>1</v>
      </c>
      <c r="F20340" t="s">
        <v>11624</v>
      </c>
      <c r="G20340">
        <v>10.5954</v>
      </c>
      <c r="H20340">
        <v>-5.8581000000000003</v>
      </c>
      <c r="I20340" t="s">
        <v>59518</v>
      </c>
      <c r="L20340">
        <v>0</v>
      </c>
      <c r="M20340">
        <v>0</v>
      </c>
      <c r="N20340">
        <v>0</v>
      </c>
      <c r="O20340" t="s">
        <v>21276</v>
      </c>
    </row>
    <row r="20341" spans="1:15">
      <c r="A20341" t="s">
        <v>59519</v>
      </c>
      <c r="B20341" t="s">
        <v>6742</v>
      </c>
      <c r="C20341" t="s">
        <v>59520</v>
      </c>
      <c r="D20341" t="s">
        <v>59521</v>
      </c>
      <c r="E20341" t="b">
        <v>0</v>
      </c>
      <c r="F20341" t="s">
        <v>11610</v>
      </c>
      <c r="L20341">
        <v>0</v>
      </c>
      <c r="M20341">
        <v>0</v>
      </c>
      <c r="N20341">
        <v>0</v>
      </c>
    </row>
    <row r="20342" spans="1:15">
      <c r="A20342" t="s">
        <v>59522</v>
      </c>
      <c r="B20342" t="s">
        <v>12260</v>
      </c>
      <c r="C20342" t="s">
        <v>42691</v>
      </c>
      <c r="D20342" t="s">
        <v>59523</v>
      </c>
      <c r="E20342" t="b">
        <v>0</v>
      </c>
      <c r="F20342" t="s">
        <v>11610</v>
      </c>
      <c r="L20342">
        <v>0</v>
      </c>
      <c r="M20342">
        <v>0</v>
      </c>
      <c r="N20342">
        <v>0</v>
      </c>
    </row>
    <row r="20343" spans="1:15">
      <c r="A20343" t="s">
        <v>59524</v>
      </c>
      <c r="B20343" t="s">
        <v>11637</v>
      </c>
      <c r="C20343" t="s">
        <v>26546</v>
      </c>
      <c r="D20343" t="s">
        <v>59525</v>
      </c>
      <c r="E20343" t="b">
        <v>0</v>
      </c>
      <c r="F20343" t="s">
        <v>11624</v>
      </c>
      <c r="G20343">
        <v>24.837240000000001</v>
      </c>
      <c r="H20343">
        <v>92.253469999999993</v>
      </c>
      <c r="I20343" t="s">
        <v>59526</v>
      </c>
      <c r="L20343">
        <v>0</v>
      </c>
      <c r="M20343">
        <v>0</v>
      </c>
      <c r="N20343">
        <v>0</v>
      </c>
      <c r="O20343" t="s">
        <v>17541</v>
      </c>
    </row>
    <row r="20344" spans="1:15">
      <c r="A20344" t="s">
        <v>59527</v>
      </c>
      <c r="B20344" t="s">
        <v>11637</v>
      </c>
      <c r="C20344" t="s">
        <v>12777</v>
      </c>
      <c r="D20344" t="s">
        <v>59528</v>
      </c>
      <c r="E20344" t="b">
        <v>0</v>
      </c>
      <c r="F20344" t="s">
        <v>11610</v>
      </c>
      <c r="L20344">
        <v>0</v>
      </c>
      <c r="M20344">
        <v>0</v>
      </c>
      <c r="N20344">
        <v>0</v>
      </c>
    </row>
    <row r="20345" spans="1:15">
      <c r="A20345" t="s">
        <v>59529</v>
      </c>
      <c r="B20345" t="s">
        <v>11637</v>
      </c>
      <c r="C20345" t="s">
        <v>12777</v>
      </c>
      <c r="D20345" t="s">
        <v>59530</v>
      </c>
      <c r="E20345" t="b">
        <v>0</v>
      </c>
      <c r="F20345" t="s">
        <v>11610</v>
      </c>
      <c r="L20345">
        <v>0</v>
      </c>
      <c r="M20345">
        <v>0</v>
      </c>
      <c r="N20345">
        <v>0</v>
      </c>
    </row>
    <row r="20346" spans="1:15">
      <c r="A20346" t="s">
        <v>59531</v>
      </c>
      <c r="B20346" t="s">
        <v>11644</v>
      </c>
      <c r="C20346" t="s">
        <v>12521</v>
      </c>
      <c r="D20346" t="s">
        <v>59532</v>
      </c>
      <c r="E20346" t="b">
        <v>0</v>
      </c>
      <c r="F20346" t="s">
        <v>11624</v>
      </c>
      <c r="G20346">
        <v>24.9437</v>
      </c>
      <c r="H20346">
        <v>92.902900000000002</v>
      </c>
      <c r="L20346">
        <v>0</v>
      </c>
      <c r="M20346">
        <v>0</v>
      </c>
      <c r="N20346">
        <v>0</v>
      </c>
      <c r="O20346" t="s">
        <v>11630</v>
      </c>
    </row>
    <row r="20347" spans="1:15">
      <c r="A20347" t="s">
        <v>59533</v>
      </c>
      <c r="B20347" t="s">
        <v>331</v>
      </c>
      <c r="C20347" t="s">
        <v>4410</v>
      </c>
      <c r="D20347" t="s">
        <v>59534</v>
      </c>
      <c r="E20347" t="b">
        <v>0</v>
      </c>
      <c r="F20347" t="s">
        <v>11610</v>
      </c>
      <c r="L20347">
        <v>0</v>
      </c>
      <c r="M20347">
        <v>0</v>
      </c>
      <c r="N20347">
        <v>0</v>
      </c>
    </row>
    <row r="20348" spans="1:15">
      <c r="A20348" t="s">
        <v>59535</v>
      </c>
      <c r="B20348" t="s">
        <v>11981</v>
      </c>
      <c r="C20348" t="s">
        <v>19997</v>
      </c>
      <c r="D20348" t="s">
        <v>59536</v>
      </c>
      <c r="E20348" t="b">
        <v>0</v>
      </c>
      <c r="F20348" t="s">
        <v>11610</v>
      </c>
      <c r="L20348">
        <v>0</v>
      </c>
      <c r="M20348">
        <v>0</v>
      </c>
      <c r="N20348">
        <v>0</v>
      </c>
    </row>
    <row r="20349" spans="1:15">
      <c r="A20349" t="s">
        <v>59537</v>
      </c>
      <c r="B20349" t="s">
        <v>12260</v>
      </c>
      <c r="C20349" t="s">
        <v>10255</v>
      </c>
      <c r="D20349" t="s">
        <v>59538</v>
      </c>
      <c r="E20349" t="b">
        <v>0</v>
      </c>
      <c r="F20349" t="s">
        <v>11610</v>
      </c>
      <c r="L20349">
        <v>0</v>
      </c>
      <c r="M20349">
        <v>0</v>
      </c>
      <c r="N20349">
        <v>0</v>
      </c>
    </row>
    <row r="20350" spans="1:15">
      <c r="A20350" t="s">
        <v>31531</v>
      </c>
      <c r="B20350" t="s">
        <v>15146</v>
      </c>
      <c r="C20350" t="s">
        <v>31528</v>
      </c>
      <c r="D20350" t="s">
        <v>59539</v>
      </c>
      <c r="E20350" t="b">
        <v>0</v>
      </c>
      <c r="F20350" t="s">
        <v>11622</v>
      </c>
      <c r="L20350">
        <v>0</v>
      </c>
      <c r="M20350">
        <v>2</v>
      </c>
      <c r="N20350">
        <v>1</v>
      </c>
    </row>
    <row r="20351" spans="1:15">
      <c r="A20351" t="s">
        <v>59540</v>
      </c>
      <c r="B20351" t="s">
        <v>367</v>
      </c>
      <c r="C20351" t="s">
        <v>12116</v>
      </c>
      <c r="D20351" t="s">
        <v>59541</v>
      </c>
      <c r="E20351" t="b">
        <v>0</v>
      </c>
      <c r="F20351" t="s">
        <v>11610</v>
      </c>
      <c r="L20351">
        <v>0</v>
      </c>
      <c r="M20351">
        <v>0</v>
      </c>
      <c r="N20351">
        <v>0</v>
      </c>
    </row>
    <row r="20352" spans="1:15">
      <c r="A20352" t="s">
        <v>56920</v>
      </c>
      <c r="B20352" t="s">
        <v>6742</v>
      </c>
      <c r="C20352" t="s">
        <v>20773</v>
      </c>
      <c r="D20352" t="s">
        <v>59542</v>
      </c>
      <c r="E20352" t="b">
        <v>0</v>
      </c>
      <c r="F20352" t="s">
        <v>11624</v>
      </c>
      <c r="G20352">
        <v>-7.9141599999999999</v>
      </c>
      <c r="H20352">
        <v>29.523800000000001</v>
      </c>
      <c r="I20352" t="s">
        <v>59543</v>
      </c>
      <c r="L20352">
        <v>0</v>
      </c>
      <c r="M20352">
        <v>0</v>
      </c>
      <c r="N20352">
        <v>1</v>
      </c>
      <c r="O20352" t="s">
        <v>15167</v>
      </c>
    </row>
    <row r="20353" spans="1:15">
      <c r="A20353" t="s">
        <v>59544</v>
      </c>
      <c r="B20353" t="s">
        <v>367</v>
      </c>
      <c r="C20353" t="s">
        <v>4443</v>
      </c>
      <c r="D20353" t="s">
        <v>59545</v>
      </c>
      <c r="E20353" t="b">
        <v>0</v>
      </c>
      <c r="F20353" t="s">
        <v>11610</v>
      </c>
      <c r="L20353">
        <v>0</v>
      </c>
      <c r="M20353">
        <v>0</v>
      </c>
      <c r="N20353">
        <v>0</v>
      </c>
    </row>
    <row r="20354" spans="1:15">
      <c r="A20354" t="s">
        <v>59546</v>
      </c>
      <c r="B20354" t="s">
        <v>367</v>
      </c>
      <c r="C20354" t="s">
        <v>35712</v>
      </c>
      <c r="D20354" t="s">
        <v>59547</v>
      </c>
      <c r="E20354" t="b">
        <v>0</v>
      </c>
      <c r="F20354" t="s">
        <v>11610</v>
      </c>
      <c r="L20354">
        <v>0</v>
      </c>
      <c r="M20354">
        <v>0</v>
      </c>
      <c r="N20354">
        <v>0</v>
      </c>
    </row>
    <row r="20355" spans="1:15">
      <c r="A20355" t="s">
        <v>59548</v>
      </c>
      <c r="B20355" t="s">
        <v>13276</v>
      </c>
      <c r="C20355" t="s">
        <v>18318</v>
      </c>
      <c r="D20355" t="s">
        <v>59549</v>
      </c>
      <c r="E20355" t="b">
        <v>0</v>
      </c>
      <c r="F20355" t="s">
        <v>11610</v>
      </c>
      <c r="L20355">
        <v>0</v>
      </c>
      <c r="M20355">
        <v>0</v>
      </c>
      <c r="N20355">
        <v>0</v>
      </c>
    </row>
    <row r="20356" spans="1:15">
      <c r="A20356" t="s">
        <v>58207</v>
      </c>
      <c r="B20356" t="s">
        <v>12311</v>
      </c>
      <c r="C20356" t="s">
        <v>12327</v>
      </c>
      <c r="D20356" t="s">
        <v>59550</v>
      </c>
      <c r="E20356" t="b">
        <v>0</v>
      </c>
      <c r="F20356" t="s">
        <v>11624</v>
      </c>
      <c r="G20356">
        <v>42.019799999999996</v>
      </c>
      <c r="H20356">
        <v>47.837899999999998</v>
      </c>
      <c r="I20356" t="s">
        <v>59551</v>
      </c>
      <c r="L20356">
        <v>0</v>
      </c>
      <c r="M20356">
        <v>0</v>
      </c>
      <c r="N20356">
        <v>1</v>
      </c>
      <c r="O20356" t="s">
        <v>59552</v>
      </c>
    </row>
    <row r="20357" spans="1:15">
      <c r="A20357" t="s">
        <v>59553</v>
      </c>
      <c r="B20357" t="s">
        <v>367</v>
      </c>
      <c r="C20357" t="s">
        <v>42476</v>
      </c>
      <c r="D20357" t="s">
        <v>59554</v>
      </c>
      <c r="E20357" t="b">
        <v>0</v>
      </c>
      <c r="F20357" t="s">
        <v>11610</v>
      </c>
      <c r="L20357">
        <v>0</v>
      </c>
      <c r="M20357">
        <v>0</v>
      </c>
      <c r="N20357">
        <v>0</v>
      </c>
    </row>
    <row r="20358" spans="1:15">
      <c r="A20358" t="s">
        <v>59555</v>
      </c>
      <c r="B20358" t="s">
        <v>11615</v>
      </c>
      <c r="C20358" t="s">
        <v>24863</v>
      </c>
      <c r="D20358" t="s">
        <v>59556</v>
      </c>
      <c r="E20358" t="b">
        <v>0</v>
      </c>
      <c r="F20358" t="s">
        <v>11610</v>
      </c>
      <c r="L20358">
        <v>0</v>
      </c>
      <c r="M20358">
        <v>0</v>
      </c>
      <c r="N20358">
        <v>0</v>
      </c>
    </row>
    <row r="20359" spans="1:15">
      <c r="A20359" t="s">
        <v>12134</v>
      </c>
      <c r="B20359" t="s">
        <v>12133</v>
      </c>
      <c r="C20359" t="s">
        <v>28376</v>
      </c>
      <c r="D20359" t="s">
        <v>59557</v>
      </c>
      <c r="E20359" t="b">
        <v>0</v>
      </c>
      <c r="F20359" t="s">
        <v>11624</v>
      </c>
      <c r="G20359">
        <v>1.46563</v>
      </c>
      <c r="H20359">
        <v>127.633</v>
      </c>
      <c r="I20359" t="s">
        <v>59558</v>
      </c>
      <c r="L20359">
        <v>0</v>
      </c>
      <c r="M20359">
        <v>0</v>
      </c>
      <c r="N20359">
        <v>2</v>
      </c>
      <c r="O20359" t="s">
        <v>11768</v>
      </c>
    </row>
    <row r="20360" spans="1:15">
      <c r="A20360" t="s">
        <v>59559</v>
      </c>
      <c r="B20360" t="s">
        <v>15027</v>
      </c>
      <c r="C20360" t="s">
        <v>30079</v>
      </c>
      <c r="D20360" t="s">
        <v>59560</v>
      </c>
      <c r="E20360" t="b">
        <v>0</v>
      </c>
      <c r="F20360" t="s">
        <v>11624</v>
      </c>
      <c r="G20360">
        <v>18.171299999999999</v>
      </c>
      <c r="H20360">
        <v>-93.096800000000002</v>
      </c>
      <c r="I20360" t="s">
        <v>59561</v>
      </c>
      <c r="L20360">
        <v>0</v>
      </c>
      <c r="M20360">
        <v>0</v>
      </c>
      <c r="N20360">
        <v>0</v>
      </c>
      <c r="O20360" t="s">
        <v>11883</v>
      </c>
    </row>
    <row r="20361" spans="1:15">
      <c r="A20361" t="s">
        <v>59562</v>
      </c>
      <c r="B20361" t="s">
        <v>12751</v>
      </c>
      <c r="C20361" t="s">
        <v>32782</v>
      </c>
      <c r="D20361" t="s">
        <v>59563</v>
      </c>
      <c r="E20361" t="b">
        <v>0</v>
      </c>
      <c r="F20361" t="s">
        <v>11624</v>
      </c>
      <c r="G20361">
        <v>17.937100000000001</v>
      </c>
      <c r="H20361">
        <v>-93.568799999999996</v>
      </c>
      <c r="I20361" t="s">
        <v>59564</v>
      </c>
      <c r="L20361">
        <v>0</v>
      </c>
      <c r="M20361">
        <v>0</v>
      </c>
      <c r="N20361">
        <v>0</v>
      </c>
      <c r="O20361" t="s">
        <v>11883</v>
      </c>
    </row>
    <row r="20362" spans="1:15">
      <c r="A20362" t="s">
        <v>20055</v>
      </c>
      <c r="B20362" t="s">
        <v>5911</v>
      </c>
      <c r="C20362" t="s">
        <v>22813</v>
      </c>
      <c r="D20362" t="s">
        <v>59565</v>
      </c>
      <c r="E20362" t="b">
        <v>0</v>
      </c>
      <c r="F20362" t="s">
        <v>11624</v>
      </c>
      <c r="G20362">
        <v>18.171299999999999</v>
      </c>
      <c r="H20362">
        <v>-92.736699999999999</v>
      </c>
      <c r="I20362" t="s">
        <v>59566</v>
      </c>
      <c r="L20362">
        <v>0</v>
      </c>
      <c r="M20362">
        <v>0</v>
      </c>
      <c r="N20362">
        <v>3</v>
      </c>
      <c r="O20362" t="s">
        <v>11883</v>
      </c>
    </row>
    <row r="20363" spans="1:15">
      <c r="A20363" t="s">
        <v>59567</v>
      </c>
      <c r="B20363" t="s">
        <v>8310</v>
      </c>
      <c r="C20363" t="s">
        <v>287</v>
      </c>
      <c r="D20363" t="s">
        <v>59568</v>
      </c>
      <c r="E20363" t="b">
        <v>0</v>
      </c>
      <c r="F20363" t="s">
        <v>11610</v>
      </c>
      <c r="L20363">
        <v>0</v>
      </c>
      <c r="M20363">
        <v>0</v>
      </c>
      <c r="N20363">
        <v>0</v>
      </c>
    </row>
    <row r="20364" spans="1:15">
      <c r="A20364" t="s">
        <v>59569</v>
      </c>
      <c r="B20364" t="s">
        <v>11879</v>
      </c>
      <c r="C20364" t="s">
        <v>13115</v>
      </c>
      <c r="D20364" t="s">
        <v>59570</v>
      </c>
      <c r="E20364" t="b">
        <v>0</v>
      </c>
      <c r="F20364" t="s">
        <v>11624</v>
      </c>
      <c r="G20364">
        <v>17.2822</v>
      </c>
      <c r="H20364">
        <v>-96.277699999999996</v>
      </c>
      <c r="I20364" t="s">
        <v>59571</v>
      </c>
      <c r="L20364">
        <v>0</v>
      </c>
      <c r="M20364">
        <v>0</v>
      </c>
      <c r="N20364">
        <v>0</v>
      </c>
      <c r="O20364" t="s">
        <v>11883</v>
      </c>
    </row>
    <row r="20365" spans="1:15">
      <c r="A20365" t="s">
        <v>59572</v>
      </c>
      <c r="B20365" t="s">
        <v>13360</v>
      </c>
      <c r="C20365" t="s">
        <v>13360</v>
      </c>
      <c r="D20365" t="s">
        <v>59573</v>
      </c>
      <c r="E20365" t="b">
        <v>0</v>
      </c>
      <c r="F20365" t="s">
        <v>11624</v>
      </c>
      <c r="L20365">
        <v>0</v>
      </c>
      <c r="M20365">
        <v>0</v>
      </c>
      <c r="N20365">
        <v>0</v>
      </c>
      <c r="O20365" t="s">
        <v>11778</v>
      </c>
    </row>
    <row r="20366" spans="1:15">
      <c r="A20366" t="s">
        <v>40113</v>
      </c>
      <c r="B20366" t="s">
        <v>367</v>
      </c>
      <c r="C20366" t="s">
        <v>41517</v>
      </c>
      <c r="D20366" t="s">
        <v>59574</v>
      </c>
      <c r="E20366" t="b">
        <v>0</v>
      </c>
      <c r="F20366" t="s">
        <v>11622</v>
      </c>
      <c r="L20366">
        <v>0</v>
      </c>
      <c r="M20366">
        <v>3</v>
      </c>
      <c r="N20366">
        <v>3</v>
      </c>
    </row>
    <row r="20367" spans="1:15">
      <c r="A20367" t="s">
        <v>59575</v>
      </c>
      <c r="B20367" t="s">
        <v>11912</v>
      </c>
      <c r="C20367" t="s">
        <v>13490</v>
      </c>
      <c r="D20367" t="s">
        <v>59576</v>
      </c>
      <c r="E20367" t="b">
        <v>0</v>
      </c>
      <c r="F20367" t="s">
        <v>11610</v>
      </c>
      <c r="L20367">
        <v>0</v>
      </c>
      <c r="M20367">
        <v>0</v>
      </c>
      <c r="N20367">
        <v>0</v>
      </c>
    </row>
    <row r="20368" spans="1:15">
      <c r="A20368" t="s">
        <v>59577</v>
      </c>
      <c r="B20368" t="s">
        <v>11879</v>
      </c>
      <c r="C20368" t="s">
        <v>59578</v>
      </c>
      <c r="D20368" t="s">
        <v>59579</v>
      </c>
      <c r="E20368" t="b">
        <v>0</v>
      </c>
      <c r="F20368" t="s">
        <v>11610</v>
      </c>
      <c r="L20368">
        <v>0</v>
      </c>
      <c r="M20368">
        <v>0</v>
      </c>
      <c r="N20368">
        <v>0</v>
      </c>
    </row>
    <row r="20369" spans="1:15">
      <c r="A20369" t="s">
        <v>59580</v>
      </c>
      <c r="B20369" t="s">
        <v>11644</v>
      </c>
      <c r="C20369" t="s">
        <v>13896</v>
      </c>
      <c r="D20369" t="s">
        <v>59581</v>
      </c>
      <c r="E20369" t="b">
        <v>0</v>
      </c>
      <c r="F20369" t="s">
        <v>11610</v>
      </c>
      <c r="L20369">
        <v>0</v>
      </c>
      <c r="M20369">
        <v>0</v>
      </c>
      <c r="N20369">
        <v>0</v>
      </c>
    </row>
    <row r="20370" spans="1:15">
      <c r="A20370" t="s">
        <v>59582</v>
      </c>
      <c r="B20370" t="s">
        <v>21672</v>
      </c>
      <c r="C20370" t="s">
        <v>46168</v>
      </c>
      <c r="D20370" t="s">
        <v>59583</v>
      </c>
      <c r="E20370" t="b">
        <v>0</v>
      </c>
      <c r="F20370" t="s">
        <v>11624</v>
      </c>
      <c r="G20370">
        <v>-2.4536799999999999</v>
      </c>
      <c r="H20370">
        <v>140.39599999999999</v>
      </c>
      <c r="I20370" t="s">
        <v>59584</v>
      </c>
      <c r="L20370">
        <v>0</v>
      </c>
      <c r="M20370">
        <v>0</v>
      </c>
      <c r="N20370">
        <v>3</v>
      </c>
      <c r="O20370" t="s">
        <v>11768</v>
      </c>
    </row>
    <row r="20371" spans="1:15">
      <c r="A20371" t="s">
        <v>59585</v>
      </c>
      <c r="B20371" t="s">
        <v>367</v>
      </c>
      <c r="C20371" t="s">
        <v>13008</v>
      </c>
      <c r="D20371" t="s">
        <v>59586</v>
      </c>
      <c r="E20371" t="b">
        <v>0</v>
      </c>
      <c r="F20371" t="s">
        <v>11610</v>
      </c>
      <c r="L20371">
        <v>0</v>
      </c>
      <c r="M20371">
        <v>0</v>
      </c>
      <c r="N20371">
        <v>0</v>
      </c>
    </row>
    <row r="20372" spans="1:15">
      <c r="A20372" t="s">
        <v>14304</v>
      </c>
      <c r="D20372" t="s">
        <v>59587</v>
      </c>
      <c r="E20372" t="b">
        <v>0</v>
      </c>
      <c r="F20372" t="s">
        <v>11624</v>
      </c>
      <c r="G20372">
        <v>-8.0938700000000008</v>
      </c>
      <c r="H20372">
        <v>143.30500000000001</v>
      </c>
      <c r="I20372" t="s">
        <v>59588</v>
      </c>
      <c r="L20372">
        <v>0</v>
      </c>
      <c r="M20372">
        <v>0</v>
      </c>
      <c r="N20372">
        <v>2</v>
      </c>
      <c r="O20372" t="s">
        <v>11660</v>
      </c>
    </row>
    <row r="20373" spans="1:15">
      <c r="A20373" t="s">
        <v>59589</v>
      </c>
      <c r="B20373" t="s">
        <v>331</v>
      </c>
      <c r="C20373" t="s">
        <v>12244</v>
      </c>
      <c r="D20373" t="s">
        <v>59590</v>
      </c>
      <c r="E20373" t="b">
        <v>0</v>
      </c>
      <c r="F20373" t="s">
        <v>11610</v>
      </c>
      <c r="L20373">
        <v>0</v>
      </c>
      <c r="M20373">
        <v>0</v>
      </c>
      <c r="N20373">
        <v>0</v>
      </c>
    </row>
    <row r="20374" spans="1:15">
      <c r="A20374" t="s">
        <v>59591</v>
      </c>
      <c r="B20374" t="s">
        <v>11871</v>
      </c>
      <c r="C20374" t="s">
        <v>35105</v>
      </c>
      <c r="D20374" t="s">
        <v>59592</v>
      </c>
      <c r="E20374" t="b">
        <v>0</v>
      </c>
      <c r="F20374" t="s">
        <v>11624</v>
      </c>
      <c r="G20374">
        <v>-4.4916200000000002</v>
      </c>
      <c r="H20374">
        <v>143.59299999999999</v>
      </c>
      <c r="I20374" t="s">
        <v>59593</v>
      </c>
      <c r="L20374">
        <v>0</v>
      </c>
      <c r="M20374">
        <v>0</v>
      </c>
      <c r="N20374">
        <v>0</v>
      </c>
      <c r="O20374" t="s">
        <v>11660</v>
      </c>
    </row>
    <row r="20375" spans="1:15">
      <c r="A20375" t="s">
        <v>59594</v>
      </c>
      <c r="B20375" t="s">
        <v>11644</v>
      </c>
      <c r="C20375" t="s">
        <v>13896</v>
      </c>
      <c r="D20375" t="s">
        <v>59595</v>
      </c>
      <c r="E20375" t="b">
        <v>0</v>
      </c>
      <c r="F20375" t="s">
        <v>11610</v>
      </c>
      <c r="L20375">
        <v>0</v>
      </c>
      <c r="M20375">
        <v>0</v>
      </c>
      <c r="N20375">
        <v>0</v>
      </c>
    </row>
    <row r="20376" spans="1:15">
      <c r="A20376" t="s">
        <v>59596</v>
      </c>
      <c r="B20376" t="s">
        <v>367</v>
      </c>
      <c r="C20376" t="s">
        <v>14290</v>
      </c>
      <c r="D20376" t="s">
        <v>59597</v>
      </c>
      <c r="E20376" t="b">
        <v>0</v>
      </c>
      <c r="F20376" t="s">
        <v>11610</v>
      </c>
      <c r="L20376">
        <v>0</v>
      </c>
      <c r="M20376">
        <v>0</v>
      </c>
      <c r="N20376">
        <v>0</v>
      </c>
    </row>
    <row r="20377" spans="1:15">
      <c r="A20377" t="s">
        <v>21251</v>
      </c>
      <c r="B20377" t="s">
        <v>13244</v>
      </c>
      <c r="C20377" t="s">
        <v>13244</v>
      </c>
      <c r="D20377" t="s">
        <v>59598</v>
      </c>
      <c r="E20377" t="b">
        <v>0</v>
      </c>
      <c r="F20377" t="s">
        <v>11622</v>
      </c>
      <c r="L20377">
        <v>4</v>
      </c>
      <c r="M20377">
        <v>7</v>
      </c>
      <c r="N20377">
        <v>0</v>
      </c>
    </row>
    <row r="20378" spans="1:15">
      <c r="A20378" t="s">
        <v>59599</v>
      </c>
      <c r="B20378" t="s">
        <v>13244</v>
      </c>
      <c r="C20378" t="s">
        <v>14336</v>
      </c>
      <c r="D20378" t="s">
        <v>59600</v>
      </c>
      <c r="E20378" t="b">
        <v>0</v>
      </c>
      <c r="F20378" t="s">
        <v>11624</v>
      </c>
      <c r="G20378">
        <v>-13.39249</v>
      </c>
      <c r="H20378">
        <v>-68.040559999999999</v>
      </c>
      <c r="I20378" t="s">
        <v>59601</v>
      </c>
      <c r="L20378">
        <v>0</v>
      </c>
      <c r="M20378">
        <v>0</v>
      </c>
      <c r="N20378">
        <v>0</v>
      </c>
      <c r="O20378" t="s">
        <v>14185</v>
      </c>
    </row>
    <row r="20379" spans="1:15">
      <c r="A20379" t="s">
        <v>59602</v>
      </c>
      <c r="B20379" t="s">
        <v>11879</v>
      </c>
      <c r="C20379" t="s">
        <v>14974</v>
      </c>
      <c r="D20379" t="s">
        <v>59603</v>
      </c>
      <c r="E20379" t="b">
        <v>0</v>
      </c>
      <c r="F20379" t="s">
        <v>11624</v>
      </c>
      <c r="G20379">
        <v>16.9648</v>
      </c>
      <c r="H20379">
        <v>-97.453699999999998</v>
      </c>
      <c r="I20379" t="s">
        <v>59604</v>
      </c>
      <c r="L20379">
        <v>0</v>
      </c>
      <c r="M20379">
        <v>0</v>
      </c>
      <c r="N20379">
        <v>0</v>
      </c>
      <c r="O20379" t="s">
        <v>11883</v>
      </c>
    </row>
    <row r="20380" spans="1:15">
      <c r="A20380" t="s">
        <v>59605</v>
      </c>
      <c r="B20380" t="s">
        <v>11627</v>
      </c>
      <c r="C20380" t="s">
        <v>11627</v>
      </c>
      <c r="D20380" t="s">
        <v>59606</v>
      </c>
      <c r="E20380" t="b">
        <v>1</v>
      </c>
      <c r="F20380" t="s">
        <v>11624</v>
      </c>
      <c r="I20380" t="s">
        <v>59607</v>
      </c>
      <c r="L20380">
        <v>0</v>
      </c>
      <c r="M20380">
        <v>0</v>
      </c>
      <c r="N20380">
        <v>0</v>
      </c>
      <c r="O20380" t="s">
        <v>22509</v>
      </c>
    </row>
    <row r="20381" spans="1:15">
      <c r="A20381" t="s">
        <v>59608</v>
      </c>
      <c r="B20381" t="s">
        <v>6742</v>
      </c>
      <c r="C20381" t="s">
        <v>20189</v>
      </c>
      <c r="D20381" t="s">
        <v>59609</v>
      </c>
      <c r="E20381" t="b">
        <v>0</v>
      </c>
      <c r="F20381" t="s">
        <v>11610</v>
      </c>
      <c r="L20381">
        <v>0</v>
      </c>
      <c r="M20381">
        <v>0</v>
      </c>
      <c r="N20381">
        <v>0</v>
      </c>
    </row>
    <row r="20382" spans="1:15">
      <c r="A20382" t="s">
        <v>59610</v>
      </c>
      <c r="B20382" t="s">
        <v>6742</v>
      </c>
      <c r="C20382" t="s">
        <v>21900</v>
      </c>
      <c r="D20382" t="s">
        <v>59611</v>
      </c>
      <c r="E20382" t="b">
        <v>0</v>
      </c>
      <c r="F20382" t="s">
        <v>11624</v>
      </c>
      <c r="I20382" t="s">
        <v>59612</v>
      </c>
      <c r="L20382">
        <v>0</v>
      </c>
      <c r="M20382">
        <v>0</v>
      </c>
      <c r="N20382">
        <v>0</v>
      </c>
      <c r="O20382" t="s">
        <v>22848</v>
      </c>
    </row>
    <row r="20383" spans="1:15">
      <c r="A20383" t="s">
        <v>59613</v>
      </c>
      <c r="B20383" t="s">
        <v>11607</v>
      </c>
      <c r="C20383" t="s">
        <v>22415</v>
      </c>
      <c r="D20383" t="s">
        <v>59614</v>
      </c>
      <c r="E20383" t="b">
        <v>0</v>
      </c>
      <c r="F20383" t="s">
        <v>11624</v>
      </c>
      <c r="G20383">
        <v>35.186700000000002</v>
      </c>
      <c r="H20383">
        <v>6.8890099999999999</v>
      </c>
      <c r="I20383" t="s">
        <v>59615</v>
      </c>
      <c r="L20383">
        <v>0</v>
      </c>
      <c r="M20383">
        <v>0</v>
      </c>
      <c r="N20383">
        <v>0</v>
      </c>
      <c r="O20383" t="s">
        <v>59616</v>
      </c>
    </row>
    <row r="20384" spans="1:15">
      <c r="A20384" t="s">
        <v>59429</v>
      </c>
      <c r="B20384" t="s">
        <v>11607</v>
      </c>
      <c r="C20384" t="s">
        <v>3763</v>
      </c>
      <c r="D20384" t="s">
        <v>59617</v>
      </c>
      <c r="E20384" t="b">
        <v>0</v>
      </c>
      <c r="F20384" t="s">
        <v>11624</v>
      </c>
      <c r="G20384">
        <v>29.785399999999999</v>
      </c>
      <c r="H20384">
        <v>-7.7787899999999999</v>
      </c>
      <c r="I20384" t="s">
        <v>59618</v>
      </c>
      <c r="L20384">
        <v>0</v>
      </c>
      <c r="M20384">
        <v>0</v>
      </c>
      <c r="N20384">
        <v>1</v>
      </c>
      <c r="O20384" t="s">
        <v>21761</v>
      </c>
    </row>
    <row r="20385" spans="1:15">
      <c r="A20385" t="s">
        <v>59619</v>
      </c>
      <c r="B20385" t="s">
        <v>11912</v>
      </c>
      <c r="C20385" t="s">
        <v>59620</v>
      </c>
      <c r="D20385" t="s">
        <v>59621</v>
      </c>
      <c r="E20385" t="b">
        <v>0</v>
      </c>
      <c r="F20385" t="s">
        <v>11624</v>
      </c>
      <c r="L20385">
        <v>0</v>
      </c>
      <c r="M20385">
        <v>0</v>
      </c>
      <c r="N20385">
        <v>0</v>
      </c>
      <c r="O20385" t="s">
        <v>11969</v>
      </c>
    </row>
    <row r="20386" spans="1:15">
      <c r="A20386" t="s">
        <v>59622</v>
      </c>
      <c r="B20386" t="s">
        <v>12562</v>
      </c>
      <c r="C20386" t="s">
        <v>37408</v>
      </c>
      <c r="D20386" t="s">
        <v>59623</v>
      </c>
      <c r="E20386" t="b">
        <v>0</v>
      </c>
      <c r="F20386" t="s">
        <v>11624</v>
      </c>
      <c r="G20386">
        <v>16.684999999999999</v>
      </c>
      <c r="H20386">
        <v>2.32653</v>
      </c>
      <c r="I20386" t="s">
        <v>59624</v>
      </c>
      <c r="L20386">
        <v>0</v>
      </c>
      <c r="M20386">
        <v>0</v>
      </c>
      <c r="N20386">
        <v>0</v>
      </c>
      <c r="O20386" t="s">
        <v>59625</v>
      </c>
    </row>
    <row r="20387" spans="1:15">
      <c r="A20387" t="s">
        <v>59626</v>
      </c>
      <c r="B20387" t="s">
        <v>11607</v>
      </c>
      <c r="C20387" t="s">
        <v>6734</v>
      </c>
      <c r="D20387" t="s">
        <v>59627</v>
      </c>
      <c r="E20387" t="b">
        <v>0</v>
      </c>
      <c r="F20387" t="s">
        <v>11610</v>
      </c>
      <c r="L20387">
        <v>0</v>
      </c>
      <c r="M20387">
        <v>0</v>
      </c>
      <c r="N20387">
        <v>0</v>
      </c>
    </row>
    <row r="20388" spans="1:15">
      <c r="A20388" t="s">
        <v>59628</v>
      </c>
      <c r="B20388" t="s">
        <v>11729</v>
      </c>
      <c r="C20388" t="s">
        <v>24963</v>
      </c>
      <c r="D20388" t="s">
        <v>59629</v>
      </c>
      <c r="E20388" t="b">
        <v>0</v>
      </c>
      <c r="F20388" t="s">
        <v>11610</v>
      </c>
      <c r="L20388">
        <v>0</v>
      </c>
      <c r="M20388">
        <v>0</v>
      </c>
      <c r="N20388">
        <v>0</v>
      </c>
    </row>
    <row r="20389" spans="1:15">
      <c r="A20389" t="s">
        <v>59630</v>
      </c>
      <c r="B20389" t="s">
        <v>11607</v>
      </c>
      <c r="C20389" t="s">
        <v>6734</v>
      </c>
      <c r="D20389" t="s">
        <v>59631</v>
      </c>
      <c r="E20389" t="b">
        <v>0</v>
      </c>
      <c r="F20389" t="s">
        <v>11610</v>
      </c>
      <c r="L20389">
        <v>0</v>
      </c>
      <c r="M20389">
        <v>0</v>
      </c>
      <c r="N20389">
        <v>0</v>
      </c>
    </row>
    <row r="20390" spans="1:15">
      <c r="A20390" t="s">
        <v>59632</v>
      </c>
      <c r="B20390" t="s">
        <v>6742</v>
      </c>
      <c r="C20390" t="s">
        <v>12603</v>
      </c>
      <c r="D20390" t="s">
        <v>59633</v>
      </c>
      <c r="E20390" t="b">
        <v>0</v>
      </c>
      <c r="F20390" t="s">
        <v>11610</v>
      </c>
      <c r="L20390">
        <v>0</v>
      </c>
      <c r="M20390">
        <v>0</v>
      </c>
      <c r="N20390">
        <v>0</v>
      </c>
    </row>
    <row r="20391" spans="1:15">
      <c r="A20391" t="s">
        <v>59634</v>
      </c>
      <c r="B20391" t="s">
        <v>367</v>
      </c>
      <c r="C20391" t="s">
        <v>40234</v>
      </c>
      <c r="D20391" t="s">
        <v>59635</v>
      </c>
      <c r="E20391" t="b">
        <v>0</v>
      </c>
      <c r="F20391" t="s">
        <v>11610</v>
      </c>
      <c r="L20391">
        <v>0</v>
      </c>
      <c r="M20391">
        <v>0</v>
      </c>
      <c r="N20391">
        <v>0</v>
      </c>
    </row>
    <row r="20392" spans="1:15">
      <c r="A20392" t="s">
        <v>59636</v>
      </c>
      <c r="B20392" t="s">
        <v>367</v>
      </c>
      <c r="C20392" t="s">
        <v>12116</v>
      </c>
      <c r="D20392" t="s">
        <v>59637</v>
      </c>
      <c r="E20392" t="b">
        <v>0</v>
      </c>
      <c r="F20392" t="s">
        <v>11610</v>
      </c>
      <c r="L20392">
        <v>0</v>
      </c>
      <c r="M20392">
        <v>0</v>
      </c>
      <c r="N20392">
        <v>0</v>
      </c>
    </row>
    <row r="20393" spans="1:15">
      <c r="A20393" t="s">
        <v>59638</v>
      </c>
      <c r="B20393" t="s">
        <v>367</v>
      </c>
      <c r="C20393" t="s">
        <v>12934</v>
      </c>
      <c r="D20393" t="s">
        <v>59639</v>
      </c>
      <c r="E20393" t="b">
        <v>0</v>
      </c>
      <c r="F20393" t="s">
        <v>11624</v>
      </c>
      <c r="G20393">
        <v>13.021100000000001</v>
      </c>
      <c r="H20393">
        <v>121.30500000000001</v>
      </c>
      <c r="I20393" t="s">
        <v>59640</v>
      </c>
      <c r="L20393">
        <v>0</v>
      </c>
      <c r="M20393">
        <v>0</v>
      </c>
      <c r="N20393">
        <v>0</v>
      </c>
      <c r="O20393" t="s">
        <v>11749</v>
      </c>
    </row>
    <row r="20394" spans="1:15">
      <c r="A20394" t="s">
        <v>19953</v>
      </c>
      <c r="B20394" t="s">
        <v>367</v>
      </c>
      <c r="C20394" t="s">
        <v>34484</v>
      </c>
      <c r="D20394" t="s">
        <v>59641</v>
      </c>
      <c r="E20394" t="b">
        <v>0</v>
      </c>
      <c r="F20394" t="s">
        <v>11624</v>
      </c>
      <c r="G20394">
        <v>-2.5820500000000002</v>
      </c>
      <c r="H20394">
        <v>120.139</v>
      </c>
      <c r="I20394" t="s">
        <v>59642</v>
      </c>
      <c r="L20394">
        <v>0</v>
      </c>
      <c r="M20394">
        <v>0</v>
      </c>
      <c r="N20394">
        <v>4</v>
      </c>
      <c r="O20394" t="s">
        <v>11768</v>
      </c>
    </row>
    <row r="20395" spans="1:15">
      <c r="A20395" t="s">
        <v>59643</v>
      </c>
      <c r="B20395" t="s">
        <v>367</v>
      </c>
      <c r="C20395" t="s">
        <v>59644</v>
      </c>
      <c r="D20395" t="s">
        <v>59645</v>
      </c>
      <c r="E20395" t="b">
        <v>0</v>
      </c>
      <c r="F20395" t="s">
        <v>11610</v>
      </c>
      <c r="L20395">
        <v>0</v>
      </c>
      <c r="M20395">
        <v>0</v>
      </c>
      <c r="N20395">
        <v>0</v>
      </c>
    </row>
    <row r="20396" spans="1:15">
      <c r="A20396" t="s">
        <v>59646</v>
      </c>
      <c r="B20396" t="s">
        <v>11627</v>
      </c>
      <c r="C20396" t="s">
        <v>11627</v>
      </c>
      <c r="D20396" t="s">
        <v>59647</v>
      </c>
      <c r="E20396" t="b">
        <v>1</v>
      </c>
      <c r="F20396" t="s">
        <v>11624</v>
      </c>
      <c r="L20396">
        <v>0</v>
      </c>
      <c r="M20396">
        <v>0</v>
      </c>
      <c r="N20396">
        <v>0</v>
      </c>
      <c r="O20396" t="s">
        <v>11944</v>
      </c>
    </row>
    <row r="20397" spans="1:15">
      <c r="A20397" t="s">
        <v>59648</v>
      </c>
      <c r="B20397" t="s">
        <v>6742</v>
      </c>
      <c r="C20397" t="s">
        <v>50502</v>
      </c>
      <c r="D20397" t="s">
        <v>59649</v>
      </c>
      <c r="E20397" t="b">
        <v>0</v>
      </c>
      <c r="F20397" t="s">
        <v>11624</v>
      </c>
      <c r="G20397">
        <v>6.7952199999999996</v>
      </c>
      <c r="H20397">
        <v>0.39874999999999999</v>
      </c>
      <c r="I20397" t="s">
        <v>59650</v>
      </c>
      <c r="L20397">
        <v>0</v>
      </c>
      <c r="M20397">
        <v>0</v>
      </c>
      <c r="N20397">
        <v>0</v>
      </c>
      <c r="O20397" t="s">
        <v>11985</v>
      </c>
    </row>
    <row r="20398" spans="1:15">
      <c r="A20398" t="s">
        <v>59651</v>
      </c>
      <c r="B20398" t="s">
        <v>6742</v>
      </c>
      <c r="C20398" t="s">
        <v>25013</v>
      </c>
      <c r="D20398" t="s">
        <v>59652</v>
      </c>
      <c r="E20398" t="b">
        <v>0</v>
      </c>
      <c r="F20398" t="s">
        <v>11610</v>
      </c>
      <c r="L20398">
        <v>0</v>
      </c>
      <c r="M20398">
        <v>0</v>
      </c>
      <c r="N20398">
        <v>0</v>
      </c>
    </row>
    <row r="20399" spans="1:15">
      <c r="A20399" t="s">
        <v>59653</v>
      </c>
      <c r="B20399" t="s">
        <v>11615</v>
      </c>
      <c r="C20399" t="s">
        <v>17042</v>
      </c>
      <c r="D20399" t="s">
        <v>59654</v>
      </c>
      <c r="E20399" t="b">
        <v>0</v>
      </c>
      <c r="F20399" t="s">
        <v>11610</v>
      </c>
      <c r="L20399">
        <v>0</v>
      </c>
      <c r="M20399">
        <v>0</v>
      </c>
      <c r="N20399">
        <v>0</v>
      </c>
    </row>
    <row r="20400" spans="1:15">
      <c r="A20400" t="s">
        <v>59655</v>
      </c>
      <c r="B20400" t="s">
        <v>11637</v>
      </c>
      <c r="C20400" t="s">
        <v>14785</v>
      </c>
      <c r="D20400" t="s">
        <v>59656</v>
      </c>
      <c r="E20400" t="b">
        <v>0</v>
      </c>
      <c r="F20400" t="s">
        <v>11610</v>
      </c>
      <c r="L20400">
        <v>0</v>
      </c>
      <c r="M20400">
        <v>0</v>
      </c>
      <c r="N20400">
        <v>0</v>
      </c>
    </row>
    <row r="20401" spans="1:15">
      <c r="A20401" t="s">
        <v>59657</v>
      </c>
      <c r="B20401" t="s">
        <v>12438</v>
      </c>
      <c r="C20401" t="s">
        <v>23340</v>
      </c>
      <c r="D20401" t="s">
        <v>59658</v>
      </c>
      <c r="E20401" t="b">
        <v>0</v>
      </c>
      <c r="F20401" t="s">
        <v>11610</v>
      </c>
      <c r="L20401">
        <v>0</v>
      </c>
      <c r="M20401">
        <v>0</v>
      </c>
      <c r="N20401">
        <v>0</v>
      </c>
    </row>
    <row r="20402" spans="1:15">
      <c r="A20402" t="s">
        <v>59659</v>
      </c>
      <c r="B20402" t="s">
        <v>11637</v>
      </c>
      <c r="C20402" t="s">
        <v>13085</v>
      </c>
      <c r="D20402" t="s">
        <v>59660</v>
      </c>
      <c r="E20402" t="b">
        <v>0</v>
      </c>
      <c r="F20402" t="s">
        <v>11610</v>
      </c>
      <c r="L20402">
        <v>0</v>
      </c>
      <c r="M20402">
        <v>0</v>
      </c>
      <c r="N20402">
        <v>0</v>
      </c>
    </row>
    <row r="20403" spans="1:15">
      <c r="A20403" t="s">
        <v>59661</v>
      </c>
      <c r="B20403" t="s">
        <v>11637</v>
      </c>
      <c r="C20403" t="s">
        <v>32726</v>
      </c>
      <c r="D20403" t="s">
        <v>59662</v>
      </c>
      <c r="E20403" t="b">
        <v>0</v>
      </c>
      <c r="F20403" t="s">
        <v>11610</v>
      </c>
      <c r="L20403">
        <v>0</v>
      </c>
      <c r="M20403">
        <v>0</v>
      </c>
      <c r="N20403">
        <v>0</v>
      </c>
    </row>
    <row r="20404" spans="1:15">
      <c r="A20404" t="s">
        <v>59663</v>
      </c>
      <c r="B20404" t="s">
        <v>6742</v>
      </c>
      <c r="C20404" t="s">
        <v>21272</v>
      </c>
      <c r="D20404" t="s">
        <v>59664</v>
      </c>
      <c r="E20404" t="b">
        <v>0</v>
      </c>
      <c r="F20404" t="s">
        <v>11610</v>
      </c>
      <c r="L20404">
        <v>0</v>
      </c>
      <c r="M20404">
        <v>0</v>
      </c>
      <c r="N20404">
        <v>0</v>
      </c>
    </row>
    <row r="20405" spans="1:15">
      <c r="A20405" t="s">
        <v>59665</v>
      </c>
      <c r="B20405" t="s">
        <v>367</v>
      </c>
      <c r="C20405" t="s">
        <v>40311</v>
      </c>
      <c r="D20405" t="s">
        <v>59666</v>
      </c>
      <c r="E20405" t="b">
        <v>0</v>
      </c>
      <c r="F20405" t="s">
        <v>11610</v>
      </c>
      <c r="L20405">
        <v>0</v>
      </c>
      <c r="M20405">
        <v>0</v>
      </c>
      <c r="N20405">
        <v>0</v>
      </c>
    </row>
    <row r="20406" spans="1:15">
      <c r="A20406" t="s">
        <v>59667</v>
      </c>
      <c r="B20406" t="s">
        <v>367</v>
      </c>
      <c r="C20406" t="s">
        <v>34081</v>
      </c>
      <c r="D20406" t="s">
        <v>59668</v>
      </c>
      <c r="E20406" t="b">
        <v>0</v>
      </c>
      <c r="F20406" t="s">
        <v>11624</v>
      </c>
      <c r="G20406">
        <v>6.4533800000000001</v>
      </c>
      <c r="H20406">
        <v>125.426</v>
      </c>
      <c r="I20406" t="s">
        <v>59669</v>
      </c>
      <c r="L20406">
        <v>0</v>
      </c>
      <c r="M20406">
        <v>0</v>
      </c>
      <c r="N20406">
        <v>0</v>
      </c>
      <c r="O20406" t="s">
        <v>11749</v>
      </c>
    </row>
    <row r="20407" spans="1:15">
      <c r="A20407" t="s">
        <v>27860</v>
      </c>
      <c r="B20407" t="s">
        <v>367</v>
      </c>
      <c r="C20407" t="s">
        <v>35332</v>
      </c>
      <c r="D20407" t="s">
        <v>59670</v>
      </c>
      <c r="E20407" t="b">
        <v>0</v>
      </c>
      <c r="F20407" t="s">
        <v>11622</v>
      </c>
      <c r="L20407">
        <v>0</v>
      </c>
      <c r="M20407">
        <v>2</v>
      </c>
      <c r="N20407">
        <v>8</v>
      </c>
    </row>
    <row r="20408" spans="1:15">
      <c r="A20408" t="s">
        <v>17378</v>
      </c>
      <c r="B20408" t="s">
        <v>367</v>
      </c>
      <c r="C20408" t="s">
        <v>27860</v>
      </c>
      <c r="D20408" t="s">
        <v>59671</v>
      </c>
      <c r="E20408" t="b">
        <v>0</v>
      </c>
      <c r="F20408" t="s">
        <v>11624</v>
      </c>
      <c r="G20408">
        <v>14.06</v>
      </c>
      <c r="H20408">
        <v>121.747</v>
      </c>
      <c r="I20408" t="s">
        <v>59672</v>
      </c>
      <c r="L20408">
        <v>0</v>
      </c>
      <c r="M20408">
        <v>0</v>
      </c>
      <c r="N20408">
        <v>8</v>
      </c>
      <c r="O20408" t="s">
        <v>11749</v>
      </c>
    </row>
    <row r="20409" spans="1:15">
      <c r="A20409" t="s">
        <v>59673</v>
      </c>
      <c r="B20409" t="s">
        <v>367</v>
      </c>
      <c r="C20409" t="s">
        <v>4370</v>
      </c>
      <c r="D20409" t="s">
        <v>59674</v>
      </c>
      <c r="E20409" t="b">
        <v>0</v>
      </c>
      <c r="F20409" t="s">
        <v>11610</v>
      </c>
      <c r="L20409">
        <v>0</v>
      </c>
      <c r="M20409">
        <v>0</v>
      </c>
      <c r="N20409">
        <v>0</v>
      </c>
    </row>
    <row r="20410" spans="1:15">
      <c r="A20410" t="s">
        <v>59675</v>
      </c>
      <c r="B20410" t="s">
        <v>367</v>
      </c>
      <c r="C20410" t="s">
        <v>55991</v>
      </c>
      <c r="D20410" t="s">
        <v>59676</v>
      </c>
      <c r="E20410" t="b">
        <v>0</v>
      </c>
      <c r="F20410" t="s">
        <v>11624</v>
      </c>
      <c r="G20410">
        <v>6.9711999999999996</v>
      </c>
      <c r="H20410">
        <v>125.175</v>
      </c>
      <c r="I20410" t="s">
        <v>59677</v>
      </c>
      <c r="L20410">
        <v>0</v>
      </c>
      <c r="M20410">
        <v>0</v>
      </c>
      <c r="N20410">
        <v>0</v>
      </c>
      <c r="O20410" t="s">
        <v>11749</v>
      </c>
    </row>
    <row r="20411" spans="1:15">
      <c r="A20411" t="s">
        <v>13191</v>
      </c>
      <c r="B20411" t="s">
        <v>367</v>
      </c>
      <c r="C20411" t="s">
        <v>59266</v>
      </c>
      <c r="D20411" t="s">
        <v>59678</v>
      </c>
      <c r="E20411" t="b">
        <v>0</v>
      </c>
      <c r="F20411" t="s">
        <v>11624</v>
      </c>
      <c r="G20411">
        <v>4.4290700000000003</v>
      </c>
      <c r="H20411">
        <v>116.17700000000001</v>
      </c>
      <c r="I20411" t="s">
        <v>59679</v>
      </c>
      <c r="L20411">
        <v>0</v>
      </c>
      <c r="M20411">
        <v>0</v>
      </c>
      <c r="N20411">
        <v>11</v>
      </c>
      <c r="O20411" t="s">
        <v>16728</v>
      </c>
    </row>
    <row r="20412" spans="1:15">
      <c r="A20412" t="s">
        <v>59680</v>
      </c>
      <c r="B20412" t="s">
        <v>367</v>
      </c>
      <c r="C20412" t="s">
        <v>13191</v>
      </c>
      <c r="D20412" t="s">
        <v>59681</v>
      </c>
      <c r="E20412" t="b">
        <v>0</v>
      </c>
      <c r="F20412" t="s">
        <v>11610</v>
      </c>
      <c r="L20412">
        <v>0</v>
      </c>
      <c r="M20412">
        <v>0</v>
      </c>
      <c r="N20412">
        <v>0</v>
      </c>
    </row>
    <row r="20413" spans="1:15">
      <c r="A20413" t="s">
        <v>51690</v>
      </c>
      <c r="B20413" t="s">
        <v>11607</v>
      </c>
      <c r="C20413" t="s">
        <v>51685</v>
      </c>
      <c r="D20413" t="s">
        <v>59682</v>
      </c>
      <c r="E20413" t="b">
        <v>0</v>
      </c>
      <c r="F20413" t="s">
        <v>11624</v>
      </c>
      <c r="G20413">
        <v>31.945399999999999</v>
      </c>
      <c r="H20413">
        <v>5.28444</v>
      </c>
      <c r="I20413" t="s">
        <v>59683</v>
      </c>
      <c r="L20413">
        <v>0</v>
      </c>
      <c r="M20413">
        <v>0</v>
      </c>
      <c r="N20413">
        <v>3</v>
      </c>
      <c r="O20413" t="s">
        <v>13029</v>
      </c>
    </row>
    <row r="20414" spans="1:15">
      <c r="A20414" t="s">
        <v>59684</v>
      </c>
      <c r="B20414" t="s">
        <v>10597</v>
      </c>
      <c r="C20414" t="s">
        <v>22002</v>
      </c>
      <c r="D20414" t="s">
        <v>59685</v>
      </c>
      <c r="E20414" t="b">
        <v>0</v>
      </c>
      <c r="F20414" t="s">
        <v>11624</v>
      </c>
      <c r="I20414" t="s">
        <v>59686</v>
      </c>
      <c r="L20414">
        <v>0</v>
      </c>
      <c r="M20414">
        <v>0</v>
      </c>
      <c r="N20414">
        <v>0</v>
      </c>
      <c r="O20414" t="s">
        <v>12107</v>
      </c>
    </row>
    <row r="20415" spans="1:15">
      <c r="A20415" t="s">
        <v>35332</v>
      </c>
      <c r="B20415" t="s">
        <v>367</v>
      </c>
      <c r="C20415" t="s">
        <v>12888</v>
      </c>
      <c r="D20415" t="s">
        <v>59687</v>
      </c>
      <c r="E20415" t="b">
        <v>0</v>
      </c>
      <c r="F20415" t="s">
        <v>11622</v>
      </c>
      <c r="L20415">
        <v>1</v>
      </c>
      <c r="M20415">
        <v>3</v>
      </c>
      <c r="N20415">
        <v>8</v>
      </c>
    </row>
    <row r="20416" spans="1:15">
      <c r="A20416" t="s">
        <v>59688</v>
      </c>
      <c r="B20416" t="s">
        <v>6742</v>
      </c>
      <c r="C20416" t="s">
        <v>46842</v>
      </c>
      <c r="D20416" t="s">
        <v>59689</v>
      </c>
      <c r="E20416" t="b">
        <v>0</v>
      </c>
      <c r="F20416" t="s">
        <v>11624</v>
      </c>
      <c r="G20416">
        <v>4.6852</v>
      </c>
      <c r="H20416">
        <v>26.447500000000002</v>
      </c>
      <c r="I20416" t="s">
        <v>59690</v>
      </c>
      <c r="L20416">
        <v>0</v>
      </c>
      <c r="M20416">
        <v>0</v>
      </c>
      <c r="N20416">
        <v>0</v>
      </c>
      <c r="O20416" t="s">
        <v>14825</v>
      </c>
    </row>
    <row r="20417" spans="1:15">
      <c r="A20417" t="s">
        <v>59691</v>
      </c>
      <c r="B20417" t="s">
        <v>6742</v>
      </c>
      <c r="C20417" t="s">
        <v>21272</v>
      </c>
      <c r="D20417" t="s">
        <v>59692</v>
      </c>
      <c r="E20417" t="b">
        <v>0</v>
      </c>
      <c r="F20417" t="s">
        <v>11610</v>
      </c>
      <c r="L20417">
        <v>0</v>
      </c>
      <c r="M20417">
        <v>0</v>
      </c>
      <c r="N20417">
        <v>0</v>
      </c>
    </row>
    <row r="20418" spans="1:15">
      <c r="A20418" t="s">
        <v>59693</v>
      </c>
      <c r="B20418" t="s">
        <v>13276</v>
      </c>
      <c r="C20418" t="s">
        <v>24887</v>
      </c>
      <c r="D20418" t="s">
        <v>59694</v>
      </c>
      <c r="E20418" t="b">
        <v>0</v>
      </c>
      <c r="F20418" t="s">
        <v>11610</v>
      </c>
      <c r="L20418">
        <v>0</v>
      </c>
      <c r="M20418">
        <v>0</v>
      </c>
      <c r="N20418">
        <v>0</v>
      </c>
    </row>
    <row r="20419" spans="1:15">
      <c r="A20419" t="s">
        <v>59695</v>
      </c>
      <c r="B20419" t="s">
        <v>367</v>
      </c>
      <c r="C20419" t="s">
        <v>17387</v>
      </c>
      <c r="D20419" t="s">
        <v>59696</v>
      </c>
      <c r="E20419" t="b">
        <v>0</v>
      </c>
      <c r="F20419" t="s">
        <v>11624</v>
      </c>
      <c r="G20419">
        <v>9.5426300000000008</v>
      </c>
      <c r="H20419">
        <v>118.497</v>
      </c>
      <c r="I20419" t="s">
        <v>59697</v>
      </c>
      <c r="L20419">
        <v>0</v>
      </c>
      <c r="M20419">
        <v>0</v>
      </c>
      <c r="N20419">
        <v>0</v>
      </c>
      <c r="O20419" t="s">
        <v>11749</v>
      </c>
    </row>
    <row r="20420" spans="1:15">
      <c r="A20420" t="s">
        <v>12563</v>
      </c>
      <c r="B20420" t="s">
        <v>12562</v>
      </c>
      <c r="C20420" t="s">
        <v>37408</v>
      </c>
      <c r="D20420" t="s">
        <v>59698</v>
      </c>
      <c r="E20420" t="b">
        <v>0</v>
      </c>
      <c r="F20420" t="s">
        <v>11624</v>
      </c>
      <c r="G20420">
        <v>16.190799999999999</v>
      </c>
      <c r="H20420">
        <v>6.8399200000000002</v>
      </c>
      <c r="I20420" t="s">
        <v>59699</v>
      </c>
      <c r="L20420">
        <v>0</v>
      </c>
      <c r="M20420">
        <v>0</v>
      </c>
      <c r="N20420">
        <v>2</v>
      </c>
      <c r="O20420" t="s">
        <v>18620</v>
      </c>
    </row>
    <row r="20421" spans="1:15">
      <c r="A20421" t="s">
        <v>59700</v>
      </c>
      <c r="B20421" t="s">
        <v>12460</v>
      </c>
      <c r="C20421" t="s">
        <v>35336</v>
      </c>
      <c r="D20421" t="s">
        <v>59701</v>
      </c>
      <c r="E20421" t="b">
        <v>0</v>
      </c>
      <c r="F20421" t="s">
        <v>11624</v>
      </c>
      <c r="G20421">
        <v>60.241999999999997</v>
      </c>
      <c r="H20421">
        <v>-134.79900000000001</v>
      </c>
      <c r="I20421" t="s">
        <v>59702</v>
      </c>
      <c r="L20421">
        <v>0</v>
      </c>
      <c r="M20421">
        <v>0</v>
      </c>
      <c r="N20421">
        <v>0</v>
      </c>
      <c r="O20421" t="s">
        <v>13049</v>
      </c>
    </row>
    <row r="20422" spans="1:15">
      <c r="A20422" t="s">
        <v>59703</v>
      </c>
      <c r="B20422" t="s">
        <v>11644</v>
      </c>
      <c r="C20422" t="s">
        <v>16701</v>
      </c>
      <c r="D20422" t="s">
        <v>59704</v>
      </c>
      <c r="E20422" t="b">
        <v>0</v>
      </c>
      <c r="F20422" t="s">
        <v>11624</v>
      </c>
      <c r="G20422">
        <v>27.986063999999999</v>
      </c>
      <c r="H20422">
        <v>94.221710999999999</v>
      </c>
      <c r="I20422" t="s">
        <v>59705</v>
      </c>
      <c r="L20422">
        <v>0</v>
      </c>
      <c r="M20422">
        <v>0</v>
      </c>
      <c r="N20422">
        <v>0</v>
      </c>
      <c r="O20422" t="s">
        <v>11630</v>
      </c>
    </row>
    <row r="20423" spans="1:15">
      <c r="A20423" t="s">
        <v>45309</v>
      </c>
      <c r="B20423" t="s">
        <v>45308</v>
      </c>
      <c r="C20423" t="s">
        <v>45308</v>
      </c>
      <c r="D20423" t="s">
        <v>59706</v>
      </c>
      <c r="E20423" t="b">
        <v>0</v>
      </c>
      <c r="F20423" t="s">
        <v>11624</v>
      </c>
      <c r="G20423">
        <v>12.034599999999999</v>
      </c>
      <c r="H20423">
        <v>30.930599999999998</v>
      </c>
      <c r="I20423" t="s">
        <v>59707</v>
      </c>
      <c r="L20423">
        <v>0</v>
      </c>
      <c r="M20423">
        <v>0</v>
      </c>
      <c r="N20423">
        <v>4</v>
      </c>
      <c r="O20423" t="s">
        <v>11910</v>
      </c>
    </row>
    <row r="20424" spans="1:15">
      <c r="A20424" t="s">
        <v>59708</v>
      </c>
      <c r="B20424" t="s">
        <v>11686</v>
      </c>
      <c r="C20424" t="s">
        <v>2916</v>
      </c>
      <c r="D20424" t="s">
        <v>59709</v>
      </c>
      <c r="E20424" t="b">
        <v>0</v>
      </c>
      <c r="F20424" t="s">
        <v>11610</v>
      </c>
      <c r="L20424">
        <v>0</v>
      </c>
      <c r="M20424">
        <v>0</v>
      </c>
      <c r="N20424">
        <v>0</v>
      </c>
    </row>
    <row r="20425" spans="1:15">
      <c r="A20425" t="s">
        <v>25013</v>
      </c>
      <c r="B20425" t="s">
        <v>6742</v>
      </c>
      <c r="C20425" t="s">
        <v>25015</v>
      </c>
      <c r="D20425" t="s">
        <v>59710</v>
      </c>
      <c r="E20425" t="b">
        <v>0</v>
      </c>
      <c r="F20425" t="s">
        <v>11624</v>
      </c>
      <c r="G20425">
        <v>8.6705299999999994</v>
      </c>
      <c r="H20425">
        <v>-5.1737200000000003</v>
      </c>
      <c r="I20425" t="s">
        <v>59711</v>
      </c>
      <c r="L20425">
        <v>0</v>
      </c>
      <c r="M20425">
        <v>0</v>
      </c>
      <c r="N20425">
        <v>10</v>
      </c>
      <c r="O20425" t="s">
        <v>11735</v>
      </c>
    </row>
    <row r="20426" spans="1:15">
      <c r="A20426" t="s">
        <v>59712</v>
      </c>
      <c r="B20426" t="s">
        <v>13276</v>
      </c>
      <c r="C20426" t="s">
        <v>16569</v>
      </c>
      <c r="D20426" t="s">
        <v>59713</v>
      </c>
      <c r="E20426" t="b">
        <v>0</v>
      </c>
      <c r="F20426" t="s">
        <v>11610</v>
      </c>
      <c r="L20426">
        <v>0</v>
      </c>
      <c r="M20426">
        <v>0</v>
      </c>
      <c r="N20426">
        <v>0</v>
      </c>
    </row>
    <row r="20427" spans="1:15">
      <c r="A20427" t="s">
        <v>3332</v>
      </c>
      <c r="B20427" t="s">
        <v>11607</v>
      </c>
      <c r="C20427" t="s">
        <v>111</v>
      </c>
      <c r="D20427" t="s">
        <v>59714</v>
      </c>
      <c r="E20427" t="b">
        <v>0</v>
      </c>
      <c r="F20427" t="s">
        <v>11624</v>
      </c>
      <c r="G20427">
        <v>22.590800000000002</v>
      </c>
      <c r="H20427">
        <v>8.7316900000000004</v>
      </c>
      <c r="I20427" t="s">
        <v>3333</v>
      </c>
      <c r="L20427">
        <v>0</v>
      </c>
      <c r="M20427">
        <v>0</v>
      </c>
      <c r="N20427">
        <v>2</v>
      </c>
      <c r="O20427" t="s">
        <v>59715</v>
      </c>
    </row>
    <row r="20428" spans="1:15">
      <c r="A20428" t="s">
        <v>59716</v>
      </c>
      <c r="B20428" t="s">
        <v>367</v>
      </c>
      <c r="C20428" t="s">
        <v>15190</v>
      </c>
      <c r="D20428" t="s">
        <v>59717</v>
      </c>
      <c r="E20428" t="b">
        <v>0</v>
      </c>
      <c r="F20428" t="s">
        <v>11624</v>
      </c>
      <c r="G20428">
        <v>-17.648499999999999</v>
      </c>
      <c r="H20428">
        <v>-149.44999999999999</v>
      </c>
      <c r="I20428" t="s">
        <v>59718</v>
      </c>
      <c r="L20428">
        <v>0</v>
      </c>
      <c r="M20428">
        <v>0</v>
      </c>
      <c r="N20428">
        <v>0</v>
      </c>
      <c r="O20428" t="s">
        <v>15193</v>
      </c>
    </row>
    <row r="20429" spans="1:15">
      <c r="A20429" t="s">
        <v>43049</v>
      </c>
      <c r="B20429" t="s">
        <v>13450</v>
      </c>
      <c r="C20429" t="s">
        <v>13450</v>
      </c>
      <c r="D20429" t="s">
        <v>59719</v>
      </c>
      <c r="E20429" t="b">
        <v>0</v>
      </c>
      <c r="F20429" t="s">
        <v>11622</v>
      </c>
      <c r="L20429">
        <v>0</v>
      </c>
      <c r="M20429">
        <v>1</v>
      </c>
      <c r="N20429">
        <v>0</v>
      </c>
    </row>
    <row r="20430" spans="1:15">
      <c r="A20430" t="s">
        <v>15190</v>
      </c>
      <c r="B20430" t="s">
        <v>367</v>
      </c>
      <c r="C20430" t="s">
        <v>21542</v>
      </c>
      <c r="D20430" t="s">
        <v>59720</v>
      </c>
      <c r="E20430" t="b">
        <v>0</v>
      </c>
      <c r="F20430" t="s">
        <v>11622</v>
      </c>
      <c r="L20430">
        <v>0</v>
      </c>
      <c r="M20430">
        <v>2</v>
      </c>
      <c r="N20430">
        <v>4</v>
      </c>
    </row>
    <row r="20431" spans="1:15">
      <c r="A20431" t="s">
        <v>35336</v>
      </c>
      <c r="B20431" t="s">
        <v>12460</v>
      </c>
      <c r="C20431" t="s">
        <v>12461</v>
      </c>
      <c r="D20431" t="s">
        <v>59721</v>
      </c>
      <c r="E20431" t="b">
        <v>0</v>
      </c>
      <c r="F20431" t="s">
        <v>11622</v>
      </c>
      <c r="L20431">
        <v>0</v>
      </c>
      <c r="M20431">
        <v>3</v>
      </c>
      <c r="N20431">
        <v>0</v>
      </c>
    </row>
    <row r="20432" spans="1:15">
      <c r="A20432" t="s">
        <v>59722</v>
      </c>
      <c r="B20432" t="s">
        <v>12460</v>
      </c>
      <c r="C20432" t="s">
        <v>35336</v>
      </c>
      <c r="D20432" t="s">
        <v>59723</v>
      </c>
      <c r="E20432" t="b">
        <v>0</v>
      </c>
      <c r="F20432" t="s">
        <v>11624</v>
      </c>
      <c r="G20432">
        <v>58.449800000000003</v>
      </c>
      <c r="H20432">
        <v>-130.05199999999999</v>
      </c>
      <c r="I20432" t="s">
        <v>59724</v>
      </c>
      <c r="L20432">
        <v>0</v>
      </c>
      <c r="M20432">
        <v>0</v>
      </c>
      <c r="N20432">
        <v>0</v>
      </c>
      <c r="O20432" t="s">
        <v>13049</v>
      </c>
    </row>
    <row r="20433" spans="1:15">
      <c r="A20433" t="s">
        <v>59725</v>
      </c>
      <c r="B20433" t="s">
        <v>367</v>
      </c>
      <c r="C20433" t="s">
        <v>27767</v>
      </c>
      <c r="D20433" t="s">
        <v>59726</v>
      </c>
      <c r="E20433" t="b">
        <v>0</v>
      </c>
      <c r="F20433" t="s">
        <v>11610</v>
      </c>
      <c r="L20433">
        <v>0</v>
      </c>
      <c r="M20433">
        <v>0</v>
      </c>
      <c r="N20433">
        <v>0</v>
      </c>
    </row>
    <row r="20434" spans="1:15">
      <c r="A20434" t="s">
        <v>59727</v>
      </c>
      <c r="D20434" t="s">
        <v>59728</v>
      </c>
      <c r="E20434" t="b">
        <v>0</v>
      </c>
      <c r="F20434" t="s">
        <v>11624</v>
      </c>
      <c r="G20434">
        <v>-4.0504699999999998</v>
      </c>
      <c r="H20434">
        <v>144.506</v>
      </c>
      <c r="I20434" t="s">
        <v>59729</v>
      </c>
      <c r="L20434">
        <v>0</v>
      </c>
      <c r="M20434">
        <v>0</v>
      </c>
      <c r="N20434">
        <v>0</v>
      </c>
      <c r="O20434" t="s">
        <v>11660</v>
      </c>
    </row>
    <row r="20435" spans="1:15">
      <c r="A20435" t="s">
        <v>59730</v>
      </c>
      <c r="B20435" t="s">
        <v>11644</v>
      </c>
      <c r="C20435" t="s">
        <v>17747</v>
      </c>
      <c r="D20435" t="s">
        <v>59731</v>
      </c>
      <c r="E20435" t="b">
        <v>0</v>
      </c>
      <c r="F20435" t="s">
        <v>11610</v>
      </c>
      <c r="L20435">
        <v>0</v>
      </c>
      <c r="M20435">
        <v>0</v>
      </c>
      <c r="N20435">
        <v>0</v>
      </c>
    </row>
    <row r="20436" spans="1:15">
      <c r="A20436" t="s">
        <v>59732</v>
      </c>
      <c r="B20436" t="s">
        <v>367</v>
      </c>
      <c r="C20436" t="s">
        <v>15988</v>
      </c>
      <c r="D20436" t="s">
        <v>59733</v>
      </c>
      <c r="E20436" t="b">
        <v>0</v>
      </c>
      <c r="F20436" t="s">
        <v>11610</v>
      </c>
      <c r="L20436">
        <v>0</v>
      </c>
      <c r="M20436">
        <v>0</v>
      </c>
      <c r="N20436">
        <v>0</v>
      </c>
    </row>
    <row r="20437" spans="1:15">
      <c r="A20437" t="s">
        <v>59734</v>
      </c>
      <c r="B20437" t="s">
        <v>11644</v>
      </c>
      <c r="C20437" t="s">
        <v>28113</v>
      </c>
      <c r="D20437" t="s">
        <v>59735</v>
      </c>
      <c r="E20437" t="b">
        <v>0</v>
      </c>
      <c r="F20437" t="s">
        <v>11610</v>
      </c>
      <c r="G20437">
        <v>25.085340299999999</v>
      </c>
      <c r="H20437">
        <v>121.4231642</v>
      </c>
      <c r="L20437">
        <v>0</v>
      </c>
      <c r="M20437">
        <v>0</v>
      </c>
      <c r="N20437">
        <v>0</v>
      </c>
    </row>
    <row r="20438" spans="1:15">
      <c r="A20438" t="s">
        <v>59736</v>
      </c>
      <c r="B20438" t="s">
        <v>5126</v>
      </c>
      <c r="C20438" t="s">
        <v>18955</v>
      </c>
      <c r="D20438" t="s">
        <v>59737</v>
      </c>
      <c r="E20438" t="b">
        <v>0</v>
      </c>
      <c r="F20438" t="s">
        <v>11624</v>
      </c>
      <c r="G20438">
        <v>18.9572</v>
      </c>
      <c r="H20438">
        <v>102.928</v>
      </c>
      <c r="I20438" t="s">
        <v>59738</v>
      </c>
      <c r="L20438">
        <v>0</v>
      </c>
      <c r="M20438">
        <v>0</v>
      </c>
      <c r="N20438">
        <v>1</v>
      </c>
      <c r="O20438" t="s">
        <v>31282</v>
      </c>
    </row>
    <row r="20439" spans="1:15">
      <c r="A20439" t="s">
        <v>50563</v>
      </c>
      <c r="B20439" t="s">
        <v>5126</v>
      </c>
      <c r="C20439" t="s">
        <v>59739</v>
      </c>
      <c r="D20439" t="s">
        <v>59740</v>
      </c>
      <c r="E20439" t="b">
        <v>0</v>
      </c>
      <c r="F20439" t="s">
        <v>11624</v>
      </c>
      <c r="G20439">
        <v>19.180099999999999</v>
      </c>
      <c r="H20439">
        <v>104.938</v>
      </c>
      <c r="I20439" t="s">
        <v>59741</v>
      </c>
      <c r="L20439">
        <v>0</v>
      </c>
      <c r="M20439">
        <v>0</v>
      </c>
      <c r="N20439">
        <v>3</v>
      </c>
      <c r="O20439" t="s">
        <v>14464</v>
      </c>
    </row>
    <row r="20440" spans="1:15">
      <c r="A20440" t="s">
        <v>59742</v>
      </c>
      <c r="B20440" t="s">
        <v>5126</v>
      </c>
      <c r="C20440" t="s">
        <v>54395</v>
      </c>
      <c r="D20440" t="s">
        <v>59743</v>
      </c>
      <c r="E20440" t="b">
        <v>0</v>
      </c>
      <c r="F20440" t="s">
        <v>11624</v>
      </c>
      <c r="G20440">
        <v>20.4559</v>
      </c>
      <c r="H20440">
        <v>104.625</v>
      </c>
      <c r="I20440" t="s">
        <v>59744</v>
      </c>
      <c r="L20440">
        <v>0</v>
      </c>
      <c r="M20440">
        <v>0</v>
      </c>
      <c r="N20440">
        <v>0</v>
      </c>
      <c r="O20440" t="s">
        <v>14464</v>
      </c>
    </row>
    <row r="20441" spans="1:15">
      <c r="A20441" t="s">
        <v>59745</v>
      </c>
      <c r="B20441" t="s">
        <v>5126</v>
      </c>
      <c r="C20441" t="s">
        <v>51835</v>
      </c>
      <c r="D20441" t="s">
        <v>59746</v>
      </c>
      <c r="E20441" t="b">
        <v>0</v>
      </c>
      <c r="F20441" t="s">
        <v>11624</v>
      </c>
      <c r="G20441">
        <v>21.848980000000001</v>
      </c>
      <c r="H20441">
        <v>103.570496667</v>
      </c>
      <c r="I20441" t="s">
        <v>59747</v>
      </c>
      <c r="L20441">
        <v>0</v>
      </c>
      <c r="M20441">
        <v>0</v>
      </c>
      <c r="N20441">
        <v>0</v>
      </c>
      <c r="O20441" t="s">
        <v>18933</v>
      </c>
    </row>
    <row r="20442" spans="1:15">
      <c r="A20442" t="s">
        <v>59748</v>
      </c>
      <c r="B20442" t="s">
        <v>5126</v>
      </c>
      <c r="C20442" t="s">
        <v>50563</v>
      </c>
      <c r="D20442" t="s">
        <v>59749</v>
      </c>
      <c r="E20442" t="b">
        <v>0</v>
      </c>
      <c r="F20442" t="s">
        <v>11610</v>
      </c>
      <c r="L20442">
        <v>0</v>
      </c>
      <c r="M20442">
        <v>0</v>
      </c>
      <c r="N20442">
        <v>0</v>
      </c>
    </row>
    <row r="20443" spans="1:15">
      <c r="A20443" t="s">
        <v>59750</v>
      </c>
      <c r="B20443" t="s">
        <v>12260</v>
      </c>
      <c r="C20443" t="s">
        <v>35021</v>
      </c>
      <c r="D20443" t="s">
        <v>59751</v>
      </c>
      <c r="E20443" t="b">
        <v>0</v>
      </c>
      <c r="F20443" t="s">
        <v>11610</v>
      </c>
      <c r="L20443">
        <v>0</v>
      </c>
      <c r="M20443">
        <v>0</v>
      </c>
      <c r="N20443">
        <v>0</v>
      </c>
    </row>
    <row r="20444" spans="1:15">
      <c r="A20444" t="s">
        <v>59752</v>
      </c>
      <c r="B20444" t="s">
        <v>11644</v>
      </c>
      <c r="C20444" t="s">
        <v>56917</v>
      </c>
      <c r="D20444" t="s">
        <v>59753</v>
      </c>
      <c r="E20444" t="b">
        <v>0</v>
      </c>
      <c r="F20444" t="s">
        <v>11610</v>
      </c>
      <c r="L20444">
        <v>0</v>
      </c>
      <c r="M20444">
        <v>0</v>
      </c>
      <c r="N20444">
        <v>0</v>
      </c>
    </row>
    <row r="20445" spans="1:15">
      <c r="A20445" t="s">
        <v>49144</v>
      </c>
      <c r="B20445" t="s">
        <v>11644</v>
      </c>
      <c r="C20445" t="s">
        <v>22961</v>
      </c>
      <c r="D20445" t="s">
        <v>59754</v>
      </c>
      <c r="E20445" t="b">
        <v>0</v>
      </c>
      <c r="F20445" t="s">
        <v>11610</v>
      </c>
      <c r="L20445">
        <v>0</v>
      </c>
      <c r="M20445">
        <v>0</v>
      </c>
      <c r="N20445">
        <v>16</v>
      </c>
    </row>
    <row r="20446" spans="1:15">
      <c r="A20446" t="s">
        <v>59755</v>
      </c>
      <c r="B20446" t="s">
        <v>11627</v>
      </c>
      <c r="C20446" t="s">
        <v>11627</v>
      </c>
      <c r="D20446" t="s">
        <v>59756</v>
      </c>
      <c r="E20446" t="b">
        <v>1</v>
      </c>
      <c r="F20446" t="s">
        <v>11624</v>
      </c>
      <c r="G20446">
        <v>19.1282</v>
      </c>
      <c r="H20446">
        <v>104.22499999999999</v>
      </c>
      <c r="I20446" t="s">
        <v>59757</v>
      </c>
      <c r="L20446">
        <v>0</v>
      </c>
      <c r="M20446">
        <v>0</v>
      </c>
      <c r="N20446">
        <v>0</v>
      </c>
      <c r="O20446" t="s">
        <v>14464</v>
      </c>
    </row>
    <row r="20447" spans="1:15">
      <c r="A20447" t="s">
        <v>59758</v>
      </c>
      <c r="B20447" t="s">
        <v>5126</v>
      </c>
      <c r="C20447" t="s">
        <v>59759</v>
      </c>
      <c r="D20447" t="s">
        <v>59760</v>
      </c>
      <c r="E20447" t="b">
        <v>0</v>
      </c>
      <c r="F20447" t="s">
        <v>11624</v>
      </c>
      <c r="G20447">
        <v>23.308800000000002</v>
      </c>
      <c r="H20447">
        <v>102.586</v>
      </c>
      <c r="I20447" t="s">
        <v>59761</v>
      </c>
      <c r="L20447">
        <v>0</v>
      </c>
      <c r="M20447">
        <v>0</v>
      </c>
      <c r="N20447">
        <v>0</v>
      </c>
      <c r="O20447" t="s">
        <v>19781</v>
      </c>
    </row>
    <row r="20448" spans="1:15">
      <c r="A20448" t="s">
        <v>59762</v>
      </c>
      <c r="B20448" t="s">
        <v>11615</v>
      </c>
      <c r="C20448" t="s">
        <v>27513</v>
      </c>
      <c r="D20448" t="s">
        <v>59763</v>
      </c>
      <c r="E20448" t="b">
        <v>0</v>
      </c>
      <c r="F20448" t="s">
        <v>11624</v>
      </c>
      <c r="G20448">
        <v>-5.29223</v>
      </c>
      <c r="H20448">
        <v>144.66</v>
      </c>
      <c r="I20448" t="s">
        <v>59764</v>
      </c>
      <c r="L20448">
        <v>0</v>
      </c>
      <c r="M20448">
        <v>0</v>
      </c>
      <c r="N20448">
        <v>0</v>
      </c>
      <c r="O20448" t="s">
        <v>11660</v>
      </c>
    </row>
    <row r="20449" spans="1:15">
      <c r="A20449" t="s">
        <v>36133</v>
      </c>
      <c r="B20449" t="s">
        <v>6742</v>
      </c>
      <c r="C20449" t="s">
        <v>26076</v>
      </c>
      <c r="D20449" t="s">
        <v>59765</v>
      </c>
      <c r="E20449" t="b">
        <v>0</v>
      </c>
      <c r="F20449" t="s">
        <v>11622</v>
      </c>
      <c r="L20449">
        <v>0</v>
      </c>
      <c r="M20449">
        <v>2</v>
      </c>
      <c r="N20449">
        <v>6</v>
      </c>
    </row>
    <row r="20450" spans="1:15">
      <c r="A20450" t="s">
        <v>59766</v>
      </c>
      <c r="B20450" t="s">
        <v>367</v>
      </c>
      <c r="C20450" t="s">
        <v>5322</v>
      </c>
      <c r="D20450" t="s">
        <v>59767</v>
      </c>
      <c r="E20450" t="b">
        <v>0</v>
      </c>
      <c r="F20450" t="s">
        <v>11610</v>
      </c>
      <c r="L20450">
        <v>0</v>
      </c>
      <c r="M20450">
        <v>0</v>
      </c>
      <c r="N20450">
        <v>0</v>
      </c>
    </row>
    <row r="20451" spans="1:15">
      <c r="A20451" t="s">
        <v>15418</v>
      </c>
      <c r="B20451" t="s">
        <v>12532</v>
      </c>
      <c r="C20451" t="s">
        <v>12532</v>
      </c>
      <c r="D20451" t="s">
        <v>59768</v>
      </c>
      <c r="E20451" t="b">
        <v>0</v>
      </c>
      <c r="F20451" t="s">
        <v>11622</v>
      </c>
      <c r="L20451">
        <v>0</v>
      </c>
      <c r="M20451">
        <v>2</v>
      </c>
      <c r="N20451">
        <v>0</v>
      </c>
    </row>
    <row r="20452" spans="1:15">
      <c r="A20452" t="s">
        <v>59769</v>
      </c>
      <c r="B20452" t="s">
        <v>12532</v>
      </c>
      <c r="C20452" t="s">
        <v>15418</v>
      </c>
      <c r="D20452" t="s">
        <v>59770</v>
      </c>
      <c r="E20452" t="b">
        <v>0</v>
      </c>
      <c r="F20452" t="s">
        <v>11624</v>
      </c>
      <c r="G20452">
        <v>-2.9407999999999999</v>
      </c>
      <c r="H20452">
        <v>140.74950000000001</v>
      </c>
      <c r="I20452" t="s">
        <v>59771</v>
      </c>
      <c r="L20452">
        <v>0</v>
      </c>
      <c r="M20452">
        <v>0</v>
      </c>
      <c r="N20452">
        <v>0</v>
      </c>
      <c r="O20452" t="s">
        <v>11768</v>
      </c>
    </row>
    <row r="20453" spans="1:15">
      <c r="A20453" t="s">
        <v>5126</v>
      </c>
      <c r="D20453" t="s">
        <v>59772</v>
      </c>
      <c r="E20453" t="b">
        <v>0</v>
      </c>
      <c r="F20453" t="s">
        <v>11622</v>
      </c>
      <c r="L20453">
        <v>53</v>
      </c>
      <c r="M20453">
        <v>94</v>
      </c>
      <c r="N20453">
        <v>77</v>
      </c>
    </row>
    <row r="20454" spans="1:15">
      <c r="A20454" t="s">
        <v>25132</v>
      </c>
      <c r="B20454" t="s">
        <v>12438</v>
      </c>
      <c r="C20454" t="s">
        <v>31782</v>
      </c>
      <c r="D20454" t="s">
        <v>59773</v>
      </c>
      <c r="E20454" t="b">
        <v>0</v>
      </c>
      <c r="F20454" t="s">
        <v>11624</v>
      </c>
      <c r="G20454">
        <v>21.429300000000001</v>
      </c>
      <c r="H20454">
        <v>100.985</v>
      </c>
      <c r="I20454" t="s">
        <v>59774</v>
      </c>
      <c r="L20454">
        <v>0</v>
      </c>
      <c r="M20454">
        <v>0</v>
      </c>
      <c r="N20454">
        <v>2</v>
      </c>
      <c r="O20454" t="s">
        <v>36609</v>
      </c>
    </row>
    <row r="20455" spans="1:15">
      <c r="A20455" t="s">
        <v>59775</v>
      </c>
      <c r="B20455" t="s">
        <v>5126</v>
      </c>
      <c r="C20455" t="s">
        <v>14843</v>
      </c>
      <c r="D20455" t="s">
        <v>59776</v>
      </c>
      <c r="E20455" t="b">
        <v>0</v>
      </c>
      <c r="F20455" t="s">
        <v>11624</v>
      </c>
      <c r="G20455">
        <v>20.045000000000002</v>
      </c>
      <c r="H20455">
        <v>102.407</v>
      </c>
      <c r="I20455" t="s">
        <v>59777</v>
      </c>
      <c r="L20455">
        <v>0</v>
      </c>
      <c r="M20455">
        <v>0</v>
      </c>
      <c r="N20455">
        <v>0</v>
      </c>
      <c r="O20455" t="s">
        <v>12921</v>
      </c>
    </row>
    <row r="20456" spans="1:15">
      <c r="A20456" t="s">
        <v>59778</v>
      </c>
      <c r="B20456" t="s">
        <v>5126</v>
      </c>
      <c r="C20456" t="s">
        <v>59759</v>
      </c>
      <c r="D20456" t="s">
        <v>59779</v>
      </c>
      <c r="E20456" t="b">
        <v>0</v>
      </c>
      <c r="F20456" t="s">
        <v>11624</v>
      </c>
      <c r="I20456" t="s">
        <v>59780</v>
      </c>
      <c r="L20456">
        <v>0</v>
      </c>
      <c r="M20456">
        <v>0</v>
      </c>
      <c r="N20456">
        <v>0</v>
      </c>
      <c r="O20456" t="s">
        <v>14059</v>
      </c>
    </row>
    <row r="20457" spans="1:15">
      <c r="A20457" t="s">
        <v>59781</v>
      </c>
      <c r="B20457" t="s">
        <v>11637</v>
      </c>
      <c r="C20457" t="s">
        <v>12509</v>
      </c>
      <c r="D20457" t="s">
        <v>59782</v>
      </c>
      <c r="E20457" t="b">
        <v>0</v>
      </c>
      <c r="F20457" t="s">
        <v>11610</v>
      </c>
      <c r="L20457">
        <v>0</v>
      </c>
      <c r="M20457">
        <v>0</v>
      </c>
      <c r="N20457">
        <v>0</v>
      </c>
    </row>
    <row r="20458" spans="1:15">
      <c r="A20458" t="s">
        <v>59783</v>
      </c>
      <c r="B20458" t="s">
        <v>11637</v>
      </c>
      <c r="C20458" t="s">
        <v>12509</v>
      </c>
      <c r="D20458" t="s">
        <v>59784</v>
      </c>
      <c r="E20458" t="b">
        <v>0</v>
      </c>
      <c r="F20458" t="s">
        <v>11610</v>
      </c>
      <c r="L20458">
        <v>0</v>
      </c>
      <c r="M20458">
        <v>0</v>
      </c>
      <c r="N20458">
        <v>0</v>
      </c>
    </row>
    <row r="20459" spans="1:15">
      <c r="A20459" t="s">
        <v>59785</v>
      </c>
      <c r="B20459" t="s">
        <v>5126</v>
      </c>
      <c r="C20459" t="s">
        <v>50563</v>
      </c>
      <c r="D20459" t="s">
        <v>59786</v>
      </c>
      <c r="E20459" t="b">
        <v>0</v>
      </c>
      <c r="F20459" t="s">
        <v>11610</v>
      </c>
      <c r="G20459">
        <v>18.34</v>
      </c>
      <c r="H20459">
        <v>104.729</v>
      </c>
      <c r="I20459" t="s">
        <v>59787</v>
      </c>
      <c r="L20459">
        <v>0</v>
      </c>
      <c r="M20459">
        <v>0</v>
      </c>
      <c r="N20459">
        <v>0</v>
      </c>
      <c r="O20459" t="s">
        <v>12921</v>
      </c>
    </row>
    <row r="20460" spans="1:15">
      <c r="A20460" t="s">
        <v>59788</v>
      </c>
      <c r="B20460" t="s">
        <v>5126</v>
      </c>
      <c r="C20460" t="s">
        <v>36978</v>
      </c>
      <c r="D20460" t="s">
        <v>59789</v>
      </c>
      <c r="E20460" t="b">
        <v>0</v>
      </c>
      <c r="F20460" t="s">
        <v>11610</v>
      </c>
      <c r="L20460">
        <v>0</v>
      </c>
      <c r="M20460">
        <v>0</v>
      </c>
      <c r="N20460">
        <v>0</v>
      </c>
    </row>
    <row r="20461" spans="1:15">
      <c r="A20461" t="s">
        <v>59790</v>
      </c>
      <c r="B20461" t="s">
        <v>13450</v>
      </c>
      <c r="C20461" t="s">
        <v>36767</v>
      </c>
      <c r="D20461" t="s">
        <v>59791</v>
      </c>
      <c r="E20461" t="b">
        <v>0</v>
      </c>
      <c r="F20461" t="s">
        <v>11624</v>
      </c>
      <c r="L20461">
        <v>0</v>
      </c>
      <c r="M20461">
        <v>0</v>
      </c>
      <c r="N20461">
        <v>0</v>
      </c>
      <c r="O20461" t="s">
        <v>12748</v>
      </c>
    </row>
    <row r="20462" spans="1:15">
      <c r="A20462" t="s">
        <v>59739</v>
      </c>
      <c r="B20462" t="s">
        <v>5126</v>
      </c>
      <c r="C20462" t="s">
        <v>54395</v>
      </c>
      <c r="D20462" t="s">
        <v>59792</v>
      </c>
      <c r="E20462" t="b">
        <v>0</v>
      </c>
      <c r="F20462" t="s">
        <v>11622</v>
      </c>
      <c r="L20462">
        <v>0</v>
      </c>
      <c r="M20462">
        <v>2</v>
      </c>
      <c r="N20462">
        <v>3</v>
      </c>
    </row>
    <row r="20463" spans="1:15">
      <c r="A20463" t="s">
        <v>59793</v>
      </c>
      <c r="B20463" t="s">
        <v>11981</v>
      </c>
      <c r="C20463" t="s">
        <v>34915</v>
      </c>
      <c r="D20463" t="s">
        <v>59794</v>
      </c>
      <c r="E20463" t="b">
        <v>0</v>
      </c>
      <c r="F20463" t="s">
        <v>11610</v>
      </c>
      <c r="L20463">
        <v>0</v>
      </c>
      <c r="M20463">
        <v>0</v>
      </c>
      <c r="N20463">
        <v>0</v>
      </c>
    </row>
    <row r="20464" spans="1:15">
      <c r="A20464" t="s">
        <v>24399</v>
      </c>
      <c r="B20464" t="s">
        <v>5126</v>
      </c>
      <c r="C20464" t="s">
        <v>48492</v>
      </c>
      <c r="D20464" t="s">
        <v>59795</v>
      </c>
      <c r="E20464" t="b">
        <v>0</v>
      </c>
      <c r="F20464" t="s">
        <v>11624</v>
      </c>
      <c r="G20464">
        <v>21.7837</v>
      </c>
      <c r="H20464">
        <v>99.721999999999994</v>
      </c>
      <c r="I20464" t="s">
        <v>59796</v>
      </c>
      <c r="L20464">
        <v>0</v>
      </c>
      <c r="M20464">
        <v>0</v>
      </c>
      <c r="N20464">
        <v>3</v>
      </c>
      <c r="O20464" t="s">
        <v>12731</v>
      </c>
    </row>
    <row r="20465" spans="1:15">
      <c r="A20465" t="s">
        <v>59797</v>
      </c>
      <c r="B20465" t="s">
        <v>12487</v>
      </c>
      <c r="C20465" t="s">
        <v>12798</v>
      </c>
      <c r="D20465" t="s">
        <v>59798</v>
      </c>
      <c r="E20465" t="b">
        <v>0</v>
      </c>
      <c r="F20465" t="s">
        <v>11624</v>
      </c>
      <c r="G20465">
        <v>-7.40306</v>
      </c>
      <c r="H20465">
        <v>145.68199999999999</v>
      </c>
      <c r="I20465" t="s">
        <v>59799</v>
      </c>
      <c r="L20465">
        <v>0</v>
      </c>
      <c r="M20465">
        <v>0</v>
      </c>
      <c r="N20465">
        <v>0</v>
      </c>
      <c r="O20465" t="s">
        <v>11660</v>
      </c>
    </row>
    <row r="20466" spans="1:15">
      <c r="A20466" t="s">
        <v>59800</v>
      </c>
      <c r="B20466" t="s">
        <v>11894</v>
      </c>
      <c r="C20466" t="s">
        <v>14391</v>
      </c>
      <c r="D20466" t="s">
        <v>59801</v>
      </c>
      <c r="E20466" t="b">
        <v>0</v>
      </c>
      <c r="F20466" t="s">
        <v>11624</v>
      </c>
      <c r="G20466">
        <v>18.2836</v>
      </c>
      <c r="H20466">
        <v>-66.804199999999994</v>
      </c>
      <c r="I20466" t="s">
        <v>59802</v>
      </c>
      <c r="L20466">
        <v>0</v>
      </c>
      <c r="M20466">
        <v>0</v>
      </c>
      <c r="N20466">
        <v>0</v>
      </c>
      <c r="O20466" t="s">
        <v>15923</v>
      </c>
    </row>
    <row r="20467" spans="1:15">
      <c r="A20467" t="s">
        <v>12798</v>
      </c>
      <c r="B20467" t="s">
        <v>12487</v>
      </c>
      <c r="C20467" t="s">
        <v>13971</v>
      </c>
      <c r="D20467" t="s">
        <v>59803</v>
      </c>
      <c r="E20467" t="b">
        <v>0</v>
      </c>
      <c r="F20467" t="s">
        <v>11622</v>
      </c>
      <c r="L20467">
        <v>0</v>
      </c>
      <c r="M20467">
        <v>2</v>
      </c>
      <c r="N20467">
        <v>0</v>
      </c>
    </row>
    <row r="20468" spans="1:15">
      <c r="A20468" t="s">
        <v>59804</v>
      </c>
      <c r="B20468" t="s">
        <v>367</v>
      </c>
      <c r="C20468" t="s">
        <v>49786</v>
      </c>
      <c r="D20468" t="s">
        <v>59805</v>
      </c>
      <c r="E20468" t="b">
        <v>0</v>
      </c>
      <c r="F20468" t="s">
        <v>11610</v>
      </c>
      <c r="L20468">
        <v>0</v>
      </c>
      <c r="M20468">
        <v>0</v>
      </c>
      <c r="N20468">
        <v>0</v>
      </c>
    </row>
    <row r="20469" spans="1:15">
      <c r="A20469" t="s">
        <v>59806</v>
      </c>
      <c r="B20469" t="s">
        <v>11981</v>
      </c>
      <c r="C20469" t="s">
        <v>34915</v>
      </c>
      <c r="D20469" t="s">
        <v>59807</v>
      </c>
      <c r="E20469" t="b">
        <v>0</v>
      </c>
      <c r="F20469" t="s">
        <v>11610</v>
      </c>
      <c r="L20469">
        <v>0</v>
      </c>
      <c r="M20469">
        <v>0</v>
      </c>
      <c r="N20469">
        <v>0</v>
      </c>
    </row>
    <row r="20470" spans="1:15">
      <c r="A20470" t="s">
        <v>59808</v>
      </c>
      <c r="B20470" t="s">
        <v>11644</v>
      </c>
      <c r="C20470" t="s">
        <v>28687</v>
      </c>
      <c r="D20470" t="s">
        <v>59809</v>
      </c>
      <c r="E20470" t="b">
        <v>0</v>
      </c>
      <c r="F20470" t="s">
        <v>11610</v>
      </c>
      <c r="L20470">
        <v>0</v>
      </c>
      <c r="M20470">
        <v>0</v>
      </c>
      <c r="N20470">
        <v>0</v>
      </c>
    </row>
    <row r="20471" spans="1:15">
      <c r="A20471" t="s">
        <v>59810</v>
      </c>
      <c r="B20471" t="s">
        <v>5126</v>
      </c>
      <c r="C20471" t="s">
        <v>24399</v>
      </c>
      <c r="D20471" t="s">
        <v>59811</v>
      </c>
      <c r="E20471" t="b">
        <v>0</v>
      </c>
      <c r="F20471" t="s">
        <v>11610</v>
      </c>
      <c r="L20471">
        <v>0</v>
      </c>
      <c r="M20471">
        <v>0</v>
      </c>
      <c r="N20471">
        <v>0</v>
      </c>
    </row>
    <row r="20472" spans="1:15">
      <c r="A20472" t="s">
        <v>59812</v>
      </c>
      <c r="B20472" t="s">
        <v>5126</v>
      </c>
      <c r="C20472" t="s">
        <v>59739</v>
      </c>
      <c r="D20472" t="s">
        <v>59813</v>
      </c>
      <c r="E20472" t="b">
        <v>0</v>
      </c>
      <c r="F20472" t="s">
        <v>11624</v>
      </c>
      <c r="G20472">
        <v>18.5562</v>
      </c>
      <c r="H20472">
        <v>104.658</v>
      </c>
      <c r="I20472" t="s">
        <v>59814</v>
      </c>
      <c r="L20472">
        <v>0</v>
      </c>
      <c r="M20472">
        <v>0</v>
      </c>
      <c r="N20472">
        <v>0</v>
      </c>
      <c r="O20472" t="s">
        <v>12921</v>
      </c>
    </row>
    <row r="20473" spans="1:15">
      <c r="A20473" t="s">
        <v>59815</v>
      </c>
      <c r="B20473" t="s">
        <v>12425</v>
      </c>
      <c r="C20473" t="s">
        <v>26251</v>
      </c>
      <c r="D20473" t="s">
        <v>59816</v>
      </c>
      <c r="E20473" t="b">
        <v>0</v>
      </c>
      <c r="F20473" t="s">
        <v>11624</v>
      </c>
      <c r="G20473">
        <v>-7.9486600000000003</v>
      </c>
      <c r="H20473">
        <v>145.732</v>
      </c>
      <c r="I20473" t="s">
        <v>59817</v>
      </c>
      <c r="L20473">
        <v>0</v>
      </c>
      <c r="M20473">
        <v>0</v>
      </c>
      <c r="N20473">
        <v>0</v>
      </c>
      <c r="O20473" t="s">
        <v>11660</v>
      </c>
    </row>
    <row r="20474" spans="1:15">
      <c r="A20474" t="s">
        <v>18741</v>
      </c>
      <c r="B20474" t="s">
        <v>11615</v>
      </c>
      <c r="C20474" t="s">
        <v>28719</v>
      </c>
      <c r="D20474" t="s">
        <v>59818</v>
      </c>
      <c r="E20474" t="b">
        <v>0</v>
      </c>
      <c r="F20474" t="s">
        <v>11622</v>
      </c>
      <c r="L20474">
        <v>0</v>
      </c>
      <c r="M20474">
        <v>4</v>
      </c>
      <c r="N20474">
        <v>10</v>
      </c>
    </row>
    <row r="20475" spans="1:15">
      <c r="A20475" t="s">
        <v>59819</v>
      </c>
      <c r="B20475" t="s">
        <v>13360</v>
      </c>
      <c r="C20475" t="s">
        <v>13360</v>
      </c>
      <c r="D20475" t="s">
        <v>59820</v>
      </c>
      <c r="E20475" t="b">
        <v>0</v>
      </c>
      <c r="F20475" t="s">
        <v>11624</v>
      </c>
      <c r="L20475">
        <v>0</v>
      </c>
      <c r="M20475">
        <v>0</v>
      </c>
      <c r="N20475">
        <v>0</v>
      </c>
      <c r="O20475" t="s">
        <v>22848</v>
      </c>
    </row>
    <row r="20476" spans="1:15">
      <c r="A20476" t="s">
        <v>59821</v>
      </c>
      <c r="B20476" t="s">
        <v>5126</v>
      </c>
      <c r="C20476" t="s">
        <v>51835</v>
      </c>
      <c r="D20476" t="s">
        <v>59822</v>
      </c>
      <c r="E20476" t="b">
        <v>0</v>
      </c>
      <c r="F20476" t="s">
        <v>11624</v>
      </c>
      <c r="G20476">
        <v>19.66</v>
      </c>
      <c r="H20476">
        <v>104.93300000000001</v>
      </c>
      <c r="I20476" t="s">
        <v>59823</v>
      </c>
      <c r="L20476">
        <v>0</v>
      </c>
      <c r="M20476">
        <v>0</v>
      </c>
      <c r="N20476">
        <v>0</v>
      </c>
      <c r="O20476" t="s">
        <v>14464</v>
      </c>
    </row>
    <row r="20477" spans="1:15">
      <c r="A20477" t="s">
        <v>55088</v>
      </c>
      <c r="B20477" t="s">
        <v>6742</v>
      </c>
      <c r="C20477" t="s">
        <v>22109</v>
      </c>
      <c r="D20477" t="s">
        <v>59824</v>
      </c>
      <c r="E20477" t="b">
        <v>0</v>
      </c>
      <c r="F20477" t="s">
        <v>11622</v>
      </c>
      <c r="L20477">
        <v>0</v>
      </c>
      <c r="M20477">
        <v>2</v>
      </c>
      <c r="N20477">
        <v>12</v>
      </c>
    </row>
    <row r="20478" spans="1:15">
      <c r="A20478" t="s">
        <v>20440</v>
      </c>
      <c r="B20478" t="s">
        <v>6742</v>
      </c>
      <c r="C20478" t="s">
        <v>55088</v>
      </c>
      <c r="D20478" t="s">
        <v>59825</v>
      </c>
      <c r="E20478" t="b">
        <v>0</v>
      </c>
      <c r="F20478" t="s">
        <v>11624</v>
      </c>
      <c r="G20478">
        <v>-3.7934700000000001</v>
      </c>
      <c r="H20478">
        <v>38.572539999999996</v>
      </c>
      <c r="I20478" t="s">
        <v>59826</v>
      </c>
      <c r="L20478">
        <v>0</v>
      </c>
      <c r="M20478">
        <v>0</v>
      </c>
      <c r="N20478">
        <v>6</v>
      </c>
      <c r="O20478" t="s">
        <v>14933</v>
      </c>
    </row>
    <row r="20479" spans="1:15">
      <c r="A20479" t="s">
        <v>59827</v>
      </c>
      <c r="B20479" t="s">
        <v>367</v>
      </c>
      <c r="C20479" t="s">
        <v>39155</v>
      </c>
      <c r="D20479" t="s">
        <v>59828</v>
      </c>
      <c r="E20479" t="b">
        <v>0</v>
      </c>
      <c r="F20479" t="s">
        <v>11610</v>
      </c>
      <c r="L20479">
        <v>0</v>
      </c>
      <c r="M20479">
        <v>0</v>
      </c>
      <c r="N20479">
        <v>0</v>
      </c>
    </row>
    <row r="20480" spans="1:15">
      <c r="A20480" t="s">
        <v>34915</v>
      </c>
      <c r="B20480" t="s">
        <v>11981</v>
      </c>
      <c r="C20480" t="s">
        <v>33218</v>
      </c>
      <c r="D20480" t="s">
        <v>59829</v>
      </c>
      <c r="E20480" t="b">
        <v>0</v>
      </c>
      <c r="F20480" t="s">
        <v>11624</v>
      </c>
      <c r="G20480">
        <v>25.020600000000002</v>
      </c>
      <c r="H20480">
        <v>121.30500000000001</v>
      </c>
      <c r="I20480" t="s">
        <v>59830</v>
      </c>
      <c r="L20480">
        <v>0</v>
      </c>
      <c r="M20480">
        <v>0</v>
      </c>
      <c r="N20480">
        <v>3</v>
      </c>
      <c r="O20480" t="s">
        <v>13484</v>
      </c>
    </row>
    <row r="20481" spans="1:15">
      <c r="A20481" t="s">
        <v>59831</v>
      </c>
      <c r="B20481" t="s">
        <v>5126</v>
      </c>
      <c r="C20481" t="s">
        <v>16522</v>
      </c>
      <c r="D20481" t="s">
        <v>59832</v>
      </c>
      <c r="E20481" t="b">
        <v>0</v>
      </c>
      <c r="F20481" t="s">
        <v>11610</v>
      </c>
      <c r="L20481">
        <v>0</v>
      </c>
      <c r="M20481">
        <v>0</v>
      </c>
      <c r="N20481">
        <v>0</v>
      </c>
    </row>
    <row r="20482" spans="1:15">
      <c r="A20482" t="s">
        <v>59833</v>
      </c>
      <c r="B20482" t="s">
        <v>2975</v>
      </c>
      <c r="C20482" t="s">
        <v>16964</v>
      </c>
      <c r="D20482" t="s">
        <v>59834</v>
      </c>
      <c r="E20482" t="b">
        <v>0</v>
      </c>
      <c r="F20482" t="s">
        <v>11610</v>
      </c>
      <c r="L20482">
        <v>0</v>
      </c>
      <c r="M20482">
        <v>0</v>
      </c>
      <c r="N20482">
        <v>0</v>
      </c>
    </row>
    <row r="20483" spans="1:15">
      <c r="A20483" t="s">
        <v>59835</v>
      </c>
      <c r="B20483" t="s">
        <v>11644</v>
      </c>
      <c r="C20483" t="s">
        <v>27322</v>
      </c>
      <c r="D20483" t="s">
        <v>59836</v>
      </c>
      <c r="E20483" t="b">
        <v>0</v>
      </c>
      <c r="F20483" t="s">
        <v>11610</v>
      </c>
      <c r="L20483">
        <v>0</v>
      </c>
      <c r="M20483">
        <v>0</v>
      </c>
      <c r="N20483">
        <v>0</v>
      </c>
    </row>
    <row r="20484" spans="1:15">
      <c r="A20484" t="s">
        <v>59837</v>
      </c>
      <c r="B20484" t="s">
        <v>5126</v>
      </c>
      <c r="C20484" t="s">
        <v>12453</v>
      </c>
      <c r="D20484" t="s">
        <v>59838</v>
      </c>
      <c r="E20484" t="b">
        <v>0</v>
      </c>
      <c r="F20484" t="s">
        <v>11624</v>
      </c>
      <c r="G20484">
        <v>23.568999999999999</v>
      </c>
      <c r="H20484">
        <v>101.899</v>
      </c>
      <c r="I20484" t="s">
        <v>59839</v>
      </c>
      <c r="L20484">
        <v>0</v>
      </c>
      <c r="M20484">
        <v>0</v>
      </c>
      <c r="N20484">
        <v>0</v>
      </c>
      <c r="O20484" t="s">
        <v>11905</v>
      </c>
    </row>
    <row r="20485" spans="1:15">
      <c r="A20485" t="s">
        <v>59840</v>
      </c>
      <c r="B20485" t="s">
        <v>11644</v>
      </c>
      <c r="C20485" t="s">
        <v>31628</v>
      </c>
      <c r="D20485" t="s">
        <v>59841</v>
      </c>
      <c r="E20485" t="b">
        <v>0</v>
      </c>
      <c r="F20485" t="s">
        <v>11610</v>
      </c>
      <c r="G20485">
        <v>37.863211900000003</v>
      </c>
      <c r="H20485">
        <v>112.4024883</v>
      </c>
      <c r="L20485">
        <v>0</v>
      </c>
      <c r="M20485">
        <v>0</v>
      </c>
      <c r="N20485">
        <v>0</v>
      </c>
    </row>
    <row r="20486" spans="1:15">
      <c r="A20486" t="s">
        <v>59842</v>
      </c>
      <c r="B20486" t="s">
        <v>11644</v>
      </c>
      <c r="C20486" t="s">
        <v>22961</v>
      </c>
      <c r="D20486" t="s">
        <v>59843</v>
      </c>
      <c r="E20486" t="b">
        <v>0</v>
      </c>
      <c r="F20486" t="s">
        <v>11610</v>
      </c>
      <c r="L20486">
        <v>0</v>
      </c>
      <c r="M20486">
        <v>0</v>
      </c>
      <c r="N20486">
        <v>0</v>
      </c>
    </row>
    <row r="20487" spans="1:15">
      <c r="A20487" t="s">
        <v>12033</v>
      </c>
      <c r="B20487" t="s">
        <v>11607</v>
      </c>
      <c r="C20487" t="s">
        <v>4675</v>
      </c>
      <c r="D20487" t="s">
        <v>59844</v>
      </c>
      <c r="E20487" t="b">
        <v>0</v>
      </c>
      <c r="F20487" t="s">
        <v>11624</v>
      </c>
      <c r="G20487">
        <v>13.6555</v>
      </c>
      <c r="H20487">
        <v>45.641100000000002</v>
      </c>
      <c r="I20487" t="s">
        <v>59845</v>
      </c>
      <c r="L20487">
        <v>0</v>
      </c>
      <c r="M20487">
        <v>0</v>
      </c>
      <c r="N20487">
        <v>2</v>
      </c>
      <c r="O20487" t="s">
        <v>59846</v>
      </c>
    </row>
    <row r="20488" spans="1:15">
      <c r="A20488" t="s">
        <v>59847</v>
      </c>
      <c r="B20488" t="s">
        <v>11607</v>
      </c>
      <c r="C20488" t="s">
        <v>12033</v>
      </c>
      <c r="D20488" t="s">
        <v>59848</v>
      </c>
      <c r="E20488" t="b">
        <v>0</v>
      </c>
      <c r="F20488" t="s">
        <v>11610</v>
      </c>
      <c r="L20488">
        <v>0</v>
      </c>
      <c r="M20488">
        <v>0</v>
      </c>
      <c r="N20488">
        <v>0</v>
      </c>
    </row>
    <row r="20489" spans="1:15">
      <c r="A20489" t="s">
        <v>59849</v>
      </c>
      <c r="B20489" t="s">
        <v>367</v>
      </c>
      <c r="C20489" t="s">
        <v>16239</v>
      </c>
      <c r="D20489" t="s">
        <v>59850</v>
      </c>
      <c r="E20489" t="b">
        <v>0</v>
      </c>
      <c r="F20489" t="s">
        <v>11624</v>
      </c>
      <c r="G20489">
        <v>-0.72582999999999998</v>
      </c>
      <c r="H20489">
        <v>120.078</v>
      </c>
      <c r="I20489" t="s">
        <v>59851</v>
      </c>
      <c r="L20489">
        <v>0</v>
      </c>
      <c r="M20489">
        <v>0</v>
      </c>
      <c r="N20489">
        <v>0</v>
      </c>
      <c r="O20489" t="s">
        <v>11768</v>
      </c>
    </row>
    <row r="20490" spans="1:15">
      <c r="A20490" t="s">
        <v>4619</v>
      </c>
      <c r="B20490" t="s">
        <v>11637</v>
      </c>
      <c r="C20490" t="s">
        <v>20162</v>
      </c>
      <c r="D20490" t="s">
        <v>59852</v>
      </c>
      <c r="E20490" t="b">
        <v>0</v>
      </c>
      <c r="F20490" t="s">
        <v>11624</v>
      </c>
      <c r="G20490">
        <v>38.821300000000001</v>
      </c>
      <c r="H20490">
        <v>68.554900000000004</v>
      </c>
      <c r="I20490" t="s">
        <v>4620</v>
      </c>
      <c r="L20490">
        <v>0</v>
      </c>
      <c r="M20490">
        <v>0</v>
      </c>
      <c r="N20490">
        <v>0</v>
      </c>
      <c r="O20490" t="s">
        <v>59853</v>
      </c>
    </row>
    <row r="20491" spans="1:15">
      <c r="A20491" t="s">
        <v>59854</v>
      </c>
      <c r="B20491" t="s">
        <v>367</v>
      </c>
      <c r="C20491" t="s">
        <v>16239</v>
      </c>
      <c r="D20491" t="s">
        <v>59855</v>
      </c>
      <c r="E20491" t="b">
        <v>0</v>
      </c>
      <c r="F20491" t="s">
        <v>11624</v>
      </c>
      <c r="G20491">
        <v>-0.31552999999999998</v>
      </c>
      <c r="H20491">
        <v>120.01</v>
      </c>
      <c r="I20491" t="s">
        <v>59856</v>
      </c>
      <c r="L20491">
        <v>0</v>
      </c>
      <c r="M20491">
        <v>0</v>
      </c>
      <c r="N20491">
        <v>0</v>
      </c>
      <c r="O20491" t="s">
        <v>11768</v>
      </c>
    </row>
    <row r="20492" spans="1:15">
      <c r="A20492" t="s">
        <v>59857</v>
      </c>
      <c r="B20492" t="s">
        <v>4342</v>
      </c>
      <c r="C20492" t="s">
        <v>22911</v>
      </c>
      <c r="D20492" t="s">
        <v>59858</v>
      </c>
      <c r="E20492" t="b">
        <v>0</v>
      </c>
      <c r="F20492" t="s">
        <v>11610</v>
      </c>
      <c r="L20492">
        <v>0</v>
      </c>
      <c r="M20492">
        <v>0</v>
      </c>
      <c r="N20492">
        <v>0</v>
      </c>
    </row>
    <row r="20493" spans="1:15">
      <c r="A20493" t="s">
        <v>5820</v>
      </c>
      <c r="B20493" t="s">
        <v>11607</v>
      </c>
      <c r="C20493" t="s">
        <v>12196</v>
      </c>
      <c r="D20493" t="s">
        <v>59859</v>
      </c>
      <c r="E20493" t="b">
        <v>0</v>
      </c>
      <c r="F20493" t="s">
        <v>11624</v>
      </c>
      <c r="G20493">
        <v>37.217599999999997</v>
      </c>
      <c r="H20493">
        <v>67.326700000000002</v>
      </c>
      <c r="I20493" t="s">
        <v>59860</v>
      </c>
      <c r="L20493">
        <v>0</v>
      </c>
      <c r="M20493">
        <v>0</v>
      </c>
      <c r="N20493">
        <v>1</v>
      </c>
      <c r="O20493" t="s">
        <v>52479</v>
      </c>
    </row>
    <row r="20494" spans="1:15">
      <c r="A20494" t="s">
        <v>20162</v>
      </c>
      <c r="B20494" t="s">
        <v>11637</v>
      </c>
      <c r="C20494" t="s">
        <v>12510</v>
      </c>
      <c r="D20494" t="s">
        <v>59861</v>
      </c>
      <c r="E20494" t="b">
        <v>0</v>
      </c>
      <c r="F20494" t="s">
        <v>11622</v>
      </c>
      <c r="L20494">
        <v>0</v>
      </c>
      <c r="M20494">
        <v>2</v>
      </c>
      <c r="N20494">
        <v>0</v>
      </c>
    </row>
    <row r="20495" spans="1:15">
      <c r="A20495" t="s">
        <v>59862</v>
      </c>
      <c r="B20495" t="s">
        <v>6742</v>
      </c>
      <c r="C20495" t="s">
        <v>36787</v>
      </c>
      <c r="D20495" t="s">
        <v>59863</v>
      </c>
      <c r="E20495" t="b">
        <v>0</v>
      </c>
      <c r="F20495" t="s">
        <v>11624</v>
      </c>
      <c r="G20495">
        <v>5.50685</v>
      </c>
      <c r="H20495">
        <v>-8.9890399999999993</v>
      </c>
      <c r="I20495" t="s">
        <v>59864</v>
      </c>
      <c r="L20495">
        <v>0</v>
      </c>
      <c r="M20495">
        <v>0</v>
      </c>
      <c r="N20495">
        <v>0</v>
      </c>
      <c r="O20495" t="s">
        <v>17011</v>
      </c>
    </row>
    <row r="20496" spans="1:15">
      <c r="A20496" t="s">
        <v>59865</v>
      </c>
      <c r="B20496" t="s">
        <v>6742</v>
      </c>
      <c r="C20496" t="s">
        <v>46073</v>
      </c>
      <c r="D20496" t="s">
        <v>59866</v>
      </c>
      <c r="E20496" t="b">
        <v>0</v>
      </c>
      <c r="F20496" t="s">
        <v>11610</v>
      </c>
      <c r="L20496">
        <v>0</v>
      </c>
      <c r="M20496">
        <v>0</v>
      </c>
      <c r="N20496">
        <v>0</v>
      </c>
    </row>
    <row r="20497" spans="1:15">
      <c r="A20497" t="s">
        <v>59867</v>
      </c>
      <c r="B20497" t="s">
        <v>11637</v>
      </c>
      <c r="C20497" t="s">
        <v>46969</v>
      </c>
      <c r="D20497" t="s">
        <v>59868</v>
      </c>
      <c r="E20497" t="b">
        <v>0</v>
      </c>
      <c r="F20497" t="s">
        <v>11610</v>
      </c>
      <c r="L20497">
        <v>0</v>
      </c>
      <c r="M20497">
        <v>0</v>
      </c>
      <c r="N20497">
        <v>0</v>
      </c>
    </row>
    <row r="20498" spans="1:15">
      <c r="A20498" t="s">
        <v>59869</v>
      </c>
      <c r="B20498" t="s">
        <v>11644</v>
      </c>
      <c r="C20498" t="s">
        <v>41123</v>
      </c>
      <c r="D20498" t="s">
        <v>59870</v>
      </c>
      <c r="E20498" t="b">
        <v>0</v>
      </c>
      <c r="F20498" t="s">
        <v>11610</v>
      </c>
      <c r="L20498">
        <v>0</v>
      </c>
      <c r="M20498">
        <v>0</v>
      </c>
      <c r="N20498">
        <v>0</v>
      </c>
    </row>
    <row r="20499" spans="1:15">
      <c r="A20499" t="s">
        <v>59871</v>
      </c>
      <c r="B20499" t="s">
        <v>6742</v>
      </c>
      <c r="C20499" t="s">
        <v>16618</v>
      </c>
      <c r="D20499" t="s">
        <v>59872</v>
      </c>
      <c r="E20499" t="b">
        <v>0</v>
      </c>
      <c r="F20499" t="s">
        <v>11610</v>
      </c>
      <c r="L20499">
        <v>0</v>
      </c>
      <c r="M20499">
        <v>0</v>
      </c>
      <c r="N20499">
        <v>0</v>
      </c>
    </row>
    <row r="20500" spans="1:15">
      <c r="A20500" t="s">
        <v>59873</v>
      </c>
      <c r="B20500" t="s">
        <v>6742</v>
      </c>
      <c r="C20500" t="s">
        <v>28505</v>
      </c>
      <c r="D20500" t="s">
        <v>59874</v>
      </c>
      <c r="E20500" t="b">
        <v>0</v>
      </c>
      <c r="F20500" t="s">
        <v>11610</v>
      </c>
      <c r="L20500">
        <v>0</v>
      </c>
      <c r="M20500">
        <v>0</v>
      </c>
      <c r="N20500">
        <v>0</v>
      </c>
    </row>
    <row r="20501" spans="1:15">
      <c r="A20501" t="s">
        <v>59875</v>
      </c>
      <c r="B20501" t="s">
        <v>6742</v>
      </c>
      <c r="C20501" t="s">
        <v>16087</v>
      </c>
      <c r="D20501" t="s">
        <v>59876</v>
      </c>
      <c r="E20501" t="b">
        <v>0</v>
      </c>
      <c r="F20501" t="s">
        <v>11610</v>
      </c>
      <c r="L20501">
        <v>0</v>
      </c>
      <c r="M20501">
        <v>0</v>
      </c>
      <c r="N20501">
        <v>0</v>
      </c>
    </row>
    <row r="20502" spans="1:15">
      <c r="A20502" t="s">
        <v>59877</v>
      </c>
      <c r="B20502" t="s">
        <v>12514</v>
      </c>
      <c r="C20502" t="s">
        <v>12514</v>
      </c>
      <c r="D20502" t="s">
        <v>59878</v>
      </c>
      <c r="E20502" t="b">
        <v>0</v>
      </c>
      <c r="F20502" t="s">
        <v>11610</v>
      </c>
      <c r="L20502">
        <v>0</v>
      </c>
      <c r="M20502">
        <v>0</v>
      </c>
      <c r="N20502">
        <v>0</v>
      </c>
    </row>
    <row r="20503" spans="1:15">
      <c r="A20503" t="s">
        <v>59879</v>
      </c>
      <c r="B20503" t="s">
        <v>367</v>
      </c>
      <c r="C20503" t="s">
        <v>23934</v>
      </c>
      <c r="D20503" t="s">
        <v>59880</v>
      </c>
      <c r="E20503" t="b">
        <v>0</v>
      </c>
      <c r="F20503" t="s">
        <v>11610</v>
      </c>
      <c r="L20503">
        <v>0</v>
      </c>
      <c r="M20503">
        <v>0</v>
      </c>
      <c r="N20503">
        <v>0</v>
      </c>
    </row>
    <row r="20504" spans="1:15">
      <c r="A20504" t="s">
        <v>27391</v>
      </c>
      <c r="B20504" t="s">
        <v>13244</v>
      </c>
      <c r="C20504" t="s">
        <v>21251</v>
      </c>
      <c r="D20504" t="s">
        <v>59881</v>
      </c>
      <c r="E20504" t="b">
        <v>0</v>
      </c>
      <c r="F20504" t="s">
        <v>11622</v>
      </c>
      <c r="L20504">
        <v>2</v>
      </c>
      <c r="M20504">
        <v>5</v>
      </c>
      <c r="N20504">
        <v>0</v>
      </c>
    </row>
    <row r="20505" spans="1:15">
      <c r="A20505" t="s">
        <v>14336</v>
      </c>
      <c r="B20505" t="s">
        <v>13244</v>
      </c>
      <c r="C20505" t="s">
        <v>27391</v>
      </c>
      <c r="D20505" t="s">
        <v>59882</v>
      </c>
      <c r="E20505" t="b">
        <v>0</v>
      </c>
      <c r="F20505" t="s">
        <v>11622</v>
      </c>
      <c r="L20505">
        <v>1</v>
      </c>
      <c r="M20505">
        <v>4</v>
      </c>
      <c r="N20505">
        <v>0</v>
      </c>
    </row>
    <row r="20506" spans="1:15">
      <c r="A20506" t="s">
        <v>59883</v>
      </c>
      <c r="B20506" t="s">
        <v>11607</v>
      </c>
      <c r="C20506" t="s">
        <v>45839</v>
      </c>
      <c r="D20506" t="s">
        <v>59884</v>
      </c>
      <c r="E20506" t="b">
        <v>0</v>
      </c>
      <c r="F20506" t="s">
        <v>11610</v>
      </c>
      <c r="L20506">
        <v>0</v>
      </c>
      <c r="M20506">
        <v>0</v>
      </c>
      <c r="N20506">
        <v>0</v>
      </c>
    </row>
    <row r="20507" spans="1:15">
      <c r="A20507" t="s">
        <v>59885</v>
      </c>
      <c r="B20507" t="s">
        <v>5126</v>
      </c>
      <c r="C20507" t="s">
        <v>58195</v>
      </c>
      <c r="D20507" t="s">
        <v>59886</v>
      </c>
      <c r="E20507" t="b">
        <v>0</v>
      </c>
      <c r="F20507" t="s">
        <v>11610</v>
      </c>
      <c r="L20507">
        <v>0</v>
      </c>
      <c r="M20507">
        <v>0</v>
      </c>
      <c r="N20507">
        <v>0</v>
      </c>
    </row>
    <row r="20508" spans="1:15">
      <c r="A20508" t="s">
        <v>36069</v>
      </c>
      <c r="B20508" t="s">
        <v>11637</v>
      </c>
      <c r="C20508" t="s">
        <v>27403</v>
      </c>
      <c r="D20508" t="s">
        <v>59887</v>
      </c>
      <c r="E20508" t="b">
        <v>0</v>
      </c>
      <c r="F20508" t="s">
        <v>11624</v>
      </c>
      <c r="G20508">
        <v>38.197099999999999</v>
      </c>
      <c r="H20508">
        <v>47.995399999999997</v>
      </c>
      <c r="I20508" t="s">
        <v>59888</v>
      </c>
      <c r="L20508">
        <v>0</v>
      </c>
      <c r="M20508">
        <v>0</v>
      </c>
      <c r="N20508">
        <v>5</v>
      </c>
      <c r="O20508" t="s">
        <v>13225</v>
      </c>
    </row>
    <row r="20509" spans="1:15">
      <c r="A20509" t="s">
        <v>59889</v>
      </c>
      <c r="B20509" t="s">
        <v>4342</v>
      </c>
      <c r="C20509" t="s">
        <v>30832</v>
      </c>
      <c r="D20509" t="s">
        <v>59890</v>
      </c>
      <c r="E20509" t="b">
        <v>0</v>
      </c>
      <c r="F20509" t="s">
        <v>11610</v>
      </c>
      <c r="L20509">
        <v>0</v>
      </c>
      <c r="M20509">
        <v>0</v>
      </c>
      <c r="N20509">
        <v>0</v>
      </c>
    </row>
    <row r="20510" spans="1:15">
      <c r="A20510" t="s">
        <v>59891</v>
      </c>
      <c r="D20510" t="s">
        <v>59892</v>
      </c>
      <c r="E20510" t="b">
        <v>0</v>
      </c>
      <c r="F20510" t="s">
        <v>11624</v>
      </c>
      <c r="G20510">
        <v>42.423000000000002</v>
      </c>
      <c r="H20510">
        <v>-123.452</v>
      </c>
      <c r="I20510" t="s">
        <v>59893</v>
      </c>
      <c r="L20510">
        <v>0</v>
      </c>
      <c r="M20510">
        <v>0</v>
      </c>
      <c r="N20510">
        <v>0</v>
      </c>
      <c r="O20510" t="s">
        <v>11944</v>
      </c>
    </row>
    <row r="20511" spans="1:15">
      <c r="A20511" t="s">
        <v>43938</v>
      </c>
      <c r="B20511" t="s">
        <v>367</v>
      </c>
      <c r="C20511" t="s">
        <v>18572</v>
      </c>
      <c r="D20511" t="s">
        <v>59894</v>
      </c>
      <c r="E20511" t="b">
        <v>0</v>
      </c>
      <c r="F20511" t="s">
        <v>11624</v>
      </c>
      <c r="G20511">
        <v>-4.6905700000000001</v>
      </c>
      <c r="H20511">
        <v>145.97499999999999</v>
      </c>
      <c r="I20511" t="s">
        <v>59895</v>
      </c>
      <c r="L20511">
        <v>0</v>
      </c>
      <c r="M20511">
        <v>0</v>
      </c>
      <c r="N20511">
        <v>2</v>
      </c>
      <c r="O20511" t="s">
        <v>11660</v>
      </c>
    </row>
    <row r="20512" spans="1:15">
      <c r="A20512" t="s">
        <v>59896</v>
      </c>
      <c r="B20512" t="s">
        <v>367</v>
      </c>
      <c r="C20512" t="s">
        <v>20446</v>
      </c>
      <c r="D20512" t="s">
        <v>59897</v>
      </c>
      <c r="E20512" t="b">
        <v>0</v>
      </c>
      <c r="F20512" t="s">
        <v>11610</v>
      </c>
      <c r="L20512">
        <v>0</v>
      </c>
      <c r="M20512">
        <v>0</v>
      </c>
      <c r="N20512">
        <v>0</v>
      </c>
    </row>
    <row r="20513" spans="1:15">
      <c r="A20513" t="s">
        <v>59898</v>
      </c>
      <c r="B20513" t="s">
        <v>367</v>
      </c>
      <c r="C20513" t="s">
        <v>21630</v>
      </c>
      <c r="D20513" t="s">
        <v>59899</v>
      </c>
      <c r="E20513" t="b">
        <v>0</v>
      </c>
      <c r="F20513" t="s">
        <v>11610</v>
      </c>
      <c r="L20513">
        <v>0</v>
      </c>
      <c r="M20513">
        <v>0</v>
      </c>
      <c r="N20513">
        <v>0</v>
      </c>
    </row>
    <row r="20514" spans="1:15">
      <c r="A20514" t="s">
        <v>59900</v>
      </c>
      <c r="B20514" t="s">
        <v>367</v>
      </c>
      <c r="C20514" t="s">
        <v>48749</v>
      </c>
      <c r="D20514" t="s">
        <v>59901</v>
      </c>
      <c r="E20514" t="b">
        <v>0</v>
      </c>
      <c r="F20514" t="s">
        <v>11610</v>
      </c>
      <c r="L20514">
        <v>0</v>
      </c>
      <c r="M20514">
        <v>0</v>
      </c>
      <c r="N20514">
        <v>0</v>
      </c>
    </row>
    <row r="20515" spans="1:15">
      <c r="A20515" t="s">
        <v>59902</v>
      </c>
      <c r="B20515" t="s">
        <v>367</v>
      </c>
      <c r="C20515" t="s">
        <v>48749</v>
      </c>
      <c r="D20515" t="s">
        <v>59903</v>
      </c>
      <c r="E20515" t="b">
        <v>0</v>
      </c>
      <c r="F20515" t="s">
        <v>11610</v>
      </c>
      <c r="L20515">
        <v>0</v>
      </c>
      <c r="M20515">
        <v>0</v>
      </c>
      <c r="N20515">
        <v>0</v>
      </c>
    </row>
    <row r="20516" spans="1:15">
      <c r="A20516" t="s">
        <v>59904</v>
      </c>
      <c r="B20516" t="s">
        <v>367</v>
      </c>
      <c r="C20516" t="s">
        <v>21630</v>
      </c>
      <c r="D20516" t="s">
        <v>59905</v>
      </c>
      <c r="E20516" t="b">
        <v>0</v>
      </c>
      <c r="F20516" t="s">
        <v>11610</v>
      </c>
      <c r="L20516">
        <v>0</v>
      </c>
      <c r="M20516">
        <v>0</v>
      </c>
      <c r="N20516">
        <v>0</v>
      </c>
    </row>
    <row r="20517" spans="1:15">
      <c r="A20517" t="s">
        <v>59906</v>
      </c>
      <c r="B20517" t="s">
        <v>6742</v>
      </c>
      <c r="C20517" t="s">
        <v>21272</v>
      </c>
      <c r="D20517" t="s">
        <v>59907</v>
      </c>
      <c r="E20517" t="b">
        <v>0</v>
      </c>
      <c r="F20517" t="s">
        <v>11610</v>
      </c>
      <c r="L20517">
        <v>0</v>
      </c>
      <c r="M20517">
        <v>0</v>
      </c>
      <c r="N20517">
        <v>0</v>
      </c>
    </row>
    <row r="20518" spans="1:15">
      <c r="A20518" t="s">
        <v>59908</v>
      </c>
      <c r="B20518" t="s">
        <v>11627</v>
      </c>
      <c r="C20518" t="s">
        <v>11627</v>
      </c>
      <c r="D20518" t="s">
        <v>59909</v>
      </c>
      <c r="E20518" t="b">
        <v>1</v>
      </c>
      <c r="F20518" t="s">
        <v>11624</v>
      </c>
      <c r="G20518">
        <v>28.165199999999999</v>
      </c>
      <c r="H20518">
        <v>88.425399999999996</v>
      </c>
      <c r="I20518" t="s">
        <v>59910</v>
      </c>
      <c r="L20518">
        <v>0</v>
      </c>
      <c r="M20518">
        <v>0</v>
      </c>
      <c r="N20518">
        <v>0</v>
      </c>
      <c r="O20518" t="s">
        <v>11905</v>
      </c>
    </row>
    <row r="20519" spans="1:15">
      <c r="A20519" t="s">
        <v>59911</v>
      </c>
      <c r="B20519" t="s">
        <v>12438</v>
      </c>
      <c r="C20519" t="s">
        <v>31520</v>
      </c>
      <c r="D20519" t="s">
        <v>59912</v>
      </c>
      <c r="E20519" t="b">
        <v>0</v>
      </c>
      <c r="F20519" t="s">
        <v>11624</v>
      </c>
      <c r="G20519">
        <v>15.4299</v>
      </c>
      <c r="H20519">
        <v>108.04600000000001</v>
      </c>
      <c r="I20519" t="s">
        <v>59913</v>
      </c>
      <c r="L20519">
        <v>0</v>
      </c>
      <c r="M20519">
        <v>0</v>
      </c>
      <c r="N20519">
        <v>0</v>
      </c>
      <c r="O20519" t="s">
        <v>15949</v>
      </c>
    </row>
    <row r="20520" spans="1:15">
      <c r="A20520" t="s">
        <v>59914</v>
      </c>
      <c r="B20520" t="s">
        <v>6742</v>
      </c>
      <c r="C20520" t="s">
        <v>14115</v>
      </c>
      <c r="D20520" t="s">
        <v>59915</v>
      </c>
      <c r="E20520" t="b">
        <v>0</v>
      </c>
      <c r="F20520" t="s">
        <v>11610</v>
      </c>
      <c r="L20520">
        <v>0</v>
      </c>
      <c r="M20520">
        <v>0</v>
      </c>
      <c r="N20520">
        <v>0</v>
      </c>
    </row>
    <row r="20521" spans="1:15">
      <c r="A20521" t="s">
        <v>59916</v>
      </c>
      <c r="B20521" t="s">
        <v>6742</v>
      </c>
      <c r="C20521" t="s">
        <v>25260</v>
      </c>
      <c r="D20521" t="s">
        <v>59917</v>
      </c>
      <c r="E20521" t="b">
        <v>0</v>
      </c>
      <c r="F20521" t="s">
        <v>11610</v>
      </c>
      <c r="L20521">
        <v>0</v>
      </c>
      <c r="M20521">
        <v>0</v>
      </c>
      <c r="N20521">
        <v>0</v>
      </c>
    </row>
    <row r="20522" spans="1:15">
      <c r="A20522" t="s">
        <v>59918</v>
      </c>
      <c r="B20522" t="s">
        <v>367</v>
      </c>
      <c r="C20522" t="s">
        <v>50272</v>
      </c>
      <c r="D20522" t="s">
        <v>59919</v>
      </c>
      <c r="E20522" t="b">
        <v>0</v>
      </c>
      <c r="F20522" t="s">
        <v>11624</v>
      </c>
      <c r="G20522">
        <v>-4.7730940000000004</v>
      </c>
      <c r="H20522">
        <v>157.032085</v>
      </c>
      <c r="I20522" t="s">
        <v>59920</v>
      </c>
      <c r="L20522">
        <v>0</v>
      </c>
      <c r="M20522">
        <v>0</v>
      </c>
      <c r="N20522">
        <v>0</v>
      </c>
      <c r="O20522" t="s">
        <v>11660</v>
      </c>
    </row>
    <row r="20523" spans="1:15">
      <c r="A20523" t="s">
        <v>50272</v>
      </c>
      <c r="B20523" t="s">
        <v>367</v>
      </c>
      <c r="C20523" t="s">
        <v>21924</v>
      </c>
      <c r="D20523" t="s">
        <v>59921</v>
      </c>
      <c r="E20523" t="b">
        <v>0</v>
      </c>
      <c r="F20523" t="s">
        <v>11622</v>
      </c>
      <c r="L20523">
        <v>0</v>
      </c>
      <c r="M20523">
        <v>3</v>
      </c>
      <c r="N20523">
        <v>0</v>
      </c>
    </row>
    <row r="20524" spans="1:15">
      <c r="A20524" t="s">
        <v>59922</v>
      </c>
      <c r="B20524" t="s">
        <v>6742</v>
      </c>
      <c r="C20524" t="s">
        <v>23002</v>
      </c>
      <c r="D20524" t="s">
        <v>59923</v>
      </c>
      <c r="E20524" t="b">
        <v>0</v>
      </c>
      <c r="F20524" t="s">
        <v>11624</v>
      </c>
      <c r="G20524">
        <v>-16.227599999999999</v>
      </c>
      <c r="H20524">
        <v>36.249000000000002</v>
      </c>
      <c r="I20524" t="s">
        <v>59924</v>
      </c>
      <c r="L20524">
        <v>0</v>
      </c>
      <c r="M20524">
        <v>0</v>
      </c>
      <c r="N20524">
        <v>0</v>
      </c>
      <c r="O20524" t="s">
        <v>37008</v>
      </c>
    </row>
    <row r="20525" spans="1:15">
      <c r="A20525" t="s">
        <v>59925</v>
      </c>
      <c r="B20525" t="s">
        <v>12438</v>
      </c>
      <c r="C20525" t="s">
        <v>22562</v>
      </c>
      <c r="D20525" t="s">
        <v>59926</v>
      </c>
      <c r="E20525" t="b">
        <v>0</v>
      </c>
      <c r="F20525" t="s">
        <v>11610</v>
      </c>
      <c r="L20525">
        <v>0</v>
      </c>
      <c r="M20525">
        <v>0</v>
      </c>
      <c r="N20525">
        <v>0</v>
      </c>
    </row>
    <row r="20526" spans="1:15">
      <c r="A20526" t="s">
        <v>59927</v>
      </c>
      <c r="B20526" t="s">
        <v>331</v>
      </c>
      <c r="C20526" t="s">
        <v>13154</v>
      </c>
      <c r="D20526" t="s">
        <v>59928</v>
      </c>
      <c r="E20526" t="b">
        <v>0</v>
      </c>
      <c r="F20526" t="s">
        <v>11610</v>
      </c>
      <c r="L20526">
        <v>0</v>
      </c>
      <c r="M20526">
        <v>0</v>
      </c>
      <c r="N20526">
        <v>0</v>
      </c>
    </row>
    <row r="20527" spans="1:15">
      <c r="A20527" t="s">
        <v>59929</v>
      </c>
      <c r="B20527" t="s">
        <v>6742</v>
      </c>
      <c r="C20527" t="s">
        <v>12603</v>
      </c>
      <c r="D20527" t="s">
        <v>59930</v>
      </c>
      <c r="E20527" t="b">
        <v>0</v>
      </c>
      <c r="F20527" t="s">
        <v>11610</v>
      </c>
      <c r="L20527">
        <v>0</v>
      </c>
      <c r="M20527">
        <v>0</v>
      </c>
      <c r="N20527">
        <v>0</v>
      </c>
    </row>
    <row r="20528" spans="1:15">
      <c r="A20528" t="s">
        <v>59931</v>
      </c>
      <c r="B20528" t="s">
        <v>6742</v>
      </c>
      <c r="C20528" t="s">
        <v>32125</v>
      </c>
      <c r="D20528" t="s">
        <v>59932</v>
      </c>
      <c r="E20528" t="b">
        <v>0</v>
      </c>
      <c r="F20528" t="s">
        <v>11610</v>
      </c>
      <c r="L20528">
        <v>0</v>
      </c>
      <c r="M20528">
        <v>0</v>
      </c>
      <c r="N20528">
        <v>0</v>
      </c>
    </row>
    <row r="20529" spans="1:15">
      <c r="A20529" t="s">
        <v>59933</v>
      </c>
      <c r="B20529" t="s">
        <v>11868</v>
      </c>
      <c r="C20529" t="s">
        <v>35231</v>
      </c>
      <c r="D20529" t="s">
        <v>59934</v>
      </c>
      <c r="E20529" t="b">
        <v>0</v>
      </c>
      <c r="F20529" t="s">
        <v>11610</v>
      </c>
      <c r="L20529">
        <v>0</v>
      </c>
      <c r="M20529">
        <v>0</v>
      </c>
      <c r="N20529">
        <v>0</v>
      </c>
    </row>
    <row r="20530" spans="1:15">
      <c r="A20530" t="s">
        <v>59935</v>
      </c>
      <c r="B20530" t="s">
        <v>367</v>
      </c>
      <c r="C20530" t="s">
        <v>12753</v>
      </c>
      <c r="D20530" t="s">
        <v>59936</v>
      </c>
      <c r="E20530" t="b">
        <v>0</v>
      </c>
      <c r="F20530" t="s">
        <v>11610</v>
      </c>
      <c r="L20530">
        <v>0</v>
      </c>
      <c r="M20530">
        <v>0</v>
      </c>
      <c r="N20530">
        <v>0</v>
      </c>
    </row>
    <row r="20531" spans="1:15">
      <c r="A20531" t="s">
        <v>59937</v>
      </c>
      <c r="B20531" t="s">
        <v>367</v>
      </c>
      <c r="C20531" t="s">
        <v>12475</v>
      </c>
      <c r="D20531" t="s">
        <v>59938</v>
      </c>
      <c r="E20531" t="b">
        <v>0</v>
      </c>
      <c r="F20531" t="s">
        <v>11610</v>
      </c>
      <c r="L20531">
        <v>0</v>
      </c>
      <c r="M20531">
        <v>0</v>
      </c>
      <c r="N20531">
        <v>0</v>
      </c>
    </row>
    <row r="20532" spans="1:15">
      <c r="A20532" t="s">
        <v>14327</v>
      </c>
      <c r="B20532" t="s">
        <v>367</v>
      </c>
      <c r="C20532" t="s">
        <v>48705</v>
      </c>
      <c r="D20532" t="s">
        <v>59939</v>
      </c>
      <c r="E20532" t="b">
        <v>0</v>
      </c>
      <c r="F20532" t="s">
        <v>11624</v>
      </c>
      <c r="G20532">
        <v>4.1184599999999998</v>
      </c>
      <c r="H20532">
        <v>126.795</v>
      </c>
      <c r="I20532" t="s">
        <v>59940</v>
      </c>
      <c r="L20532">
        <v>0</v>
      </c>
      <c r="M20532">
        <v>0</v>
      </c>
      <c r="N20532">
        <v>9</v>
      </c>
      <c r="O20532" t="s">
        <v>11768</v>
      </c>
    </row>
    <row r="20533" spans="1:15">
      <c r="A20533" t="s">
        <v>59941</v>
      </c>
      <c r="B20533" t="s">
        <v>367</v>
      </c>
      <c r="C20533" t="s">
        <v>38070</v>
      </c>
      <c r="D20533" t="s">
        <v>59942</v>
      </c>
      <c r="E20533" t="b">
        <v>0</v>
      </c>
      <c r="F20533" t="s">
        <v>11610</v>
      </c>
      <c r="L20533">
        <v>0</v>
      </c>
      <c r="M20533">
        <v>0</v>
      </c>
      <c r="N20533">
        <v>0</v>
      </c>
    </row>
    <row r="20534" spans="1:15">
      <c r="A20534" t="s">
        <v>59943</v>
      </c>
      <c r="B20534" t="s">
        <v>367</v>
      </c>
      <c r="C20534" t="s">
        <v>59172</v>
      </c>
      <c r="D20534" t="s">
        <v>59944</v>
      </c>
      <c r="E20534" t="b">
        <v>0</v>
      </c>
      <c r="F20534" t="s">
        <v>11610</v>
      </c>
      <c r="L20534">
        <v>0</v>
      </c>
      <c r="M20534">
        <v>0</v>
      </c>
      <c r="N20534">
        <v>0</v>
      </c>
    </row>
    <row r="20535" spans="1:15">
      <c r="A20535" t="s">
        <v>59945</v>
      </c>
      <c r="B20535" t="s">
        <v>12133</v>
      </c>
      <c r="C20535" t="s">
        <v>51839</v>
      </c>
      <c r="D20535" t="s">
        <v>59946</v>
      </c>
      <c r="E20535" t="b">
        <v>0</v>
      </c>
      <c r="F20535" t="s">
        <v>11610</v>
      </c>
      <c r="L20535">
        <v>0</v>
      </c>
      <c r="M20535">
        <v>0</v>
      </c>
      <c r="N20535">
        <v>0</v>
      </c>
    </row>
    <row r="20536" spans="1:15">
      <c r="A20536" t="s">
        <v>59947</v>
      </c>
      <c r="B20536" t="s">
        <v>11607</v>
      </c>
      <c r="C20536" t="s">
        <v>33822</v>
      </c>
      <c r="D20536" t="s">
        <v>59948</v>
      </c>
      <c r="E20536" t="b">
        <v>0</v>
      </c>
      <c r="F20536" t="s">
        <v>11624</v>
      </c>
      <c r="G20536">
        <v>10.233000000000001</v>
      </c>
      <c r="H20536">
        <v>9.8545700000000007</v>
      </c>
      <c r="I20536" t="s">
        <v>59949</v>
      </c>
      <c r="L20536">
        <v>0</v>
      </c>
      <c r="M20536">
        <v>0</v>
      </c>
      <c r="N20536">
        <v>0</v>
      </c>
      <c r="O20536" t="s">
        <v>11693</v>
      </c>
    </row>
    <row r="20537" spans="1:15">
      <c r="A20537" t="s">
        <v>33822</v>
      </c>
      <c r="B20537" t="s">
        <v>11607</v>
      </c>
      <c r="C20537" t="s">
        <v>30271</v>
      </c>
      <c r="D20537" t="s">
        <v>59950</v>
      </c>
      <c r="E20537" t="b">
        <v>0</v>
      </c>
      <c r="F20537" t="s">
        <v>11622</v>
      </c>
      <c r="L20537">
        <v>0</v>
      </c>
      <c r="M20537">
        <v>3</v>
      </c>
      <c r="N20537">
        <v>0</v>
      </c>
    </row>
    <row r="20538" spans="1:15">
      <c r="A20538" t="s">
        <v>59951</v>
      </c>
      <c r="B20538" t="s">
        <v>6742</v>
      </c>
      <c r="C20538" t="s">
        <v>35139</v>
      </c>
      <c r="D20538" t="s">
        <v>59952</v>
      </c>
      <c r="E20538" t="b">
        <v>0</v>
      </c>
      <c r="F20538" t="s">
        <v>11610</v>
      </c>
      <c r="L20538">
        <v>0</v>
      </c>
      <c r="M20538">
        <v>0</v>
      </c>
      <c r="N20538">
        <v>0</v>
      </c>
    </row>
    <row r="20539" spans="1:15">
      <c r="A20539" t="s">
        <v>59953</v>
      </c>
      <c r="B20539" t="s">
        <v>12438</v>
      </c>
      <c r="C20539" t="s">
        <v>12918</v>
      </c>
      <c r="D20539" t="s">
        <v>59954</v>
      </c>
      <c r="E20539" t="b">
        <v>0</v>
      </c>
      <c r="F20539" t="s">
        <v>11624</v>
      </c>
      <c r="G20539">
        <v>16.528700000000001</v>
      </c>
      <c r="H20539">
        <v>106.102</v>
      </c>
      <c r="I20539" t="s">
        <v>59955</v>
      </c>
      <c r="L20539">
        <v>0</v>
      </c>
      <c r="M20539">
        <v>0</v>
      </c>
      <c r="N20539">
        <v>0</v>
      </c>
      <c r="O20539" t="s">
        <v>12921</v>
      </c>
    </row>
    <row r="20540" spans="1:15">
      <c r="A20540" t="s">
        <v>59956</v>
      </c>
      <c r="B20540" t="s">
        <v>6742</v>
      </c>
      <c r="C20540" t="s">
        <v>30985</v>
      </c>
      <c r="D20540" t="s">
        <v>59957</v>
      </c>
      <c r="E20540" t="b">
        <v>0</v>
      </c>
      <c r="F20540" t="s">
        <v>11624</v>
      </c>
      <c r="G20540">
        <v>0.67618500000000004</v>
      </c>
      <c r="H20540">
        <v>29.949400000000001</v>
      </c>
      <c r="I20540" t="s">
        <v>59958</v>
      </c>
      <c r="L20540">
        <v>0</v>
      </c>
      <c r="M20540">
        <v>0</v>
      </c>
      <c r="N20540">
        <v>0</v>
      </c>
      <c r="O20540" t="s">
        <v>13208</v>
      </c>
    </row>
    <row r="20541" spans="1:15">
      <c r="A20541" t="s">
        <v>37378</v>
      </c>
      <c r="B20541" t="s">
        <v>367</v>
      </c>
      <c r="C20541" t="s">
        <v>18754</v>
      </c>
      <c r="D20541" t="s">
        <v>59959</v>
      </c>
      <c r="E20541" t="b">
        <v>0</v>
      </c>
      <c r="F20541" t="s">
        <v>11624</v>
      </c>
      <c r="G20541">
        <v>-9.7676400000000001</v>
      </c>
      <c r="H20541">
        <v>160.23099999999999</v>
      </c>
      <c r="I20541" t="s">
        <v>59960</v>
      </c>
      <c r="L20541">
        <v>0</v>
      </c>
      <c r="M20541">
        <v>0</v>
      </c>
      <c r="N20541">
        <v>6</v>
      </c>
      <c r="O20541" t="s">
        <v>13346</v>
      </c>
    </row>
    <row r="20542" spans="1:15">
      <c r="A20542" t="s">
        <v>59961</v>
      </c>
      <c r="B20542" t="s">
        <v>367</v>
      </c>
      <c r="C20542" t="s">
        <v>15755</v>
      </c>
      <c r="D20542" t="s">
        <v>59962</v>
      </c>
      <c r="E20542" t="b">
        <v>0</v>
      </c>
      <c r="F20542" t="s">
        <v>11610</v>
      </c>
      <c r="L20542">
        <v>0</v>
      </c>
      <c r="M20542">
        <v>0</v>
      </c>
      <c r="N20542">
        <v>0</v>
      </c>
    </row>
    <row r="20543" spans="1:15">
      <c r="A20543" t="s">
        <v>33994</v>
      </c>
      <c r="B20543" t="s">
        <v>367</v>
      </c>
      <c r="C20543" t="s">
        <v>20566</v>
      </c>
      <c r="D20543" t="s">
        <v>59963</v>
      </c>
      <c r="E20543" t="b">
        <v>0</v>
      </c>
      <c r="F20543" t="s">
        <v>11622</v>
      </c>
      <c r="L20543">
        <v>0</v>
      </c>
      <c r="M20543">
        <v>2</v>
      </c>
      <c r="N20543">
        <v>3</v>
      </c>
    </row>
    <row r="20544" spans="1:15">
      <c r="A20544" t="s">
        <v>42396</v>
      </c>
      <c r="B20544" t="s">
        <v>367</v>
      </c>
      <c r="C20544" t="s">
        <v>33994</v>
      </c>
      <c r="D20544" t="s">
        <v>59964</v>
      </c>
      <c r="E20544" t="b">
        <v>0</v>
      </c>
      <c r="F20544" t="s">
        <v>11624</v>
      </c>
      <c r="G20544">
        <v>-1.7951600000000001</v>
      </c>
      <c r="H20544">
        <v>124.869</v>
      </c>
      <c r="I20544" t="s">
        <v>59965</v>
      </c>
      <c r="L20544">
        <v>0</v>
      </c>
      <c r="M20544">
        <v>0</v>
      </c>
      <c r="N20544">
        <v>3</v>
      </c>
      <c r="O20544" t="s">
        <v>11768</v>
      </c>
    </row>
    <row r="20545" spans="1:15">
      <c r="A20545" t="s">
        <v>59966</v>
      </c>
      <c r="B20545" t="s">
        <v>367</v>
      </c>
      <c r="C20545" t="s">
        <v>17553</v>
      </c>
      <c r="D20545" t="s">
        <v>59967</v>
      </c>
      <c r="E20545" t="b">
        <v>0</v>
      </c>
      <c r="F20545" t="s">
        <v>11610</v>
      </c>
      <c r="L20545">
        <v>0</v>
      </c>
      <c r="M20545">
        <v>0</v>
      </c>
      <c r="N20545">
        <v>0</v>
      </c>
    </row>
    <row r="20546" spans="1:15">
      <c r="A20546" t="s">
        <v>36903</v>
      </c>
      <c r="B20546" t="s">
        <v>11607</v>
      </c>
      <c r="C20546" t="s">
        <v>13810</v>
      </c>
      <c r="D20546" t="s">
        <v>59968</v>
      </c>
      <c r="E20546" t="b">
        <v>0</v>
      </c>
      <c r="F20546" t="s">
        <v>11622</v>
      </c>
      <c r="L20546">
        <v>0</v>
      </c>
      <c r="M20546">
        <v>3</v>
      </c>
      <c r="N20546">
        <v>0</v>
      </c>
    </row>
    <row r="20547" spans="1:15">
      <c r="A20547" t="s">
        <v>59969</v>
      </c>
      <c r="D20547" t="s">
        <v>59970</v>
      </c>
      <c r="E20547" t="b">
        <v>0</v>
      </c>
      <c r="F20547" t="s">
        <v>11624</v>
      </c>
      <c r="G20547">
        <v>-5.3308239999999998</v>
      </c>
      <c r="H20547">
        <v>-80.651093000000003</v>
      </c>
      <c r="L20547">
        <v>0</v>
      </c>
      <c r="M20547">
        <v>0</v>
      </c>
      <c r="N20547">
        <v>0</v>
      </c>
      <c r="O20547" t="s">
        <v>11778</v>
      </c>
    </row>
    <row r="20548" spans="1:15">
      <c r="A20548" t="s">
        <v>59971</v>
      </c>
      <c r="B20548" t="s">
        <v>17030</v>
      </c>
      <c r="C20548" t="s">
        <v>40108</v>
      </c>
      <c r="D20548" t="s">
        <v>59972</v>
      </c>
      <c r="E20548" t="b">
        <v>0</v>
      </c>
      <c r="F20548" t="s">
        <v>11610</v>
      </c>
      <c r="L20548">
        <v>0</v>
      </c>
      <c r="M20548">
        <v>0</v>
      </c>
      <c r="N20548">
        <v>0</v>
      </c>
    </row>
    <row r="20549" spans="1:15">
      <c r="A20549" t="s">
        <v>59973</v>
      </c>
      <c r="B20549" t="s">
        <v>11607</v>
      </c>
      <c r="C20549" t="s">
        <v>36903</v>
      </c>
      <c r="D20549" t="s">
        <v>59974</v>
      </c>
      <c r="E20549" t="b">
        <v>0</v>
      </c>
      <c r="F20549" t="s">
        <v>11624</v>
      </c>
      <c r="G20549">
        <v>9.1535399999999996</v>
      </c>
      <c r="H20549">
        <v>9.5077400000000001</v>
      </c>
      <c r="I20549" t="s">
        <v>59975</v>
      </c>
      <c r="L20549">
        <v>0</v>
      </c>
      <c r="M20549">
        <v>0</v>
      </c>
      <c r="N20549">
        <v>0</v>
      </c>
      <c r="O20549" t="s">
        <v>11693</v>
      </c>
    </row>
    <row r="20550" spans="1:15">
      <c r="A20550" t="s">
        <v>59976</v>
      </c>
      <c r="B20550" t="s">
        <v>11607</v>
      </c>
      <c r="C20550" t="s">
        <v>39972</v>
      </c>
      <c r="D20550" t="s">
        <v>59977</v>
      </c>
      <c r="E20550" t="b">
        <v>0</v>
      </c>
      <c r="F20550" t="s">
        <v>11610</v>
      </c>
      <c r="L20550">
        <v>0</v>
      </c>
      <c r="M20550">
        <v>0</v>
      </c>
      <c r="N20550">
        <v>0</v>
      </c>
    </row>
    <row r="20551" spans="1:15">
      <c r="A20551" t="s">
        <v>59978</v>
      </c>
      <c r="B20551" t="s">
        <v>6742</v>
      </c>
      <c r="C20551" t="s">
        <v>19532</v>
      </c>
      <c r="D20551" t="s">
        <v>59979</v>
      </c>
      <c r="E20551" t="b">
        <v>0</v>
      </c>
      <c r="F20551" t="s">
        <v>11610</v>
      </c>
      <c r="L20551">
        <v>0</v>
      </c>
      <c r="M20551">
        <v>0</v>
      </c>
      <c r="N20551">
        <v>0</v>
      </c>
    </row>
    <row r="20552" spans="1:15">
      <c r="A20552" t="s">
        <v>3166</v>
      </c>
      <c r="B20552" t="s">
        <v>3165</v>
      </c>
      <c r="C20552" t="s">
        <v>46825</v>
      </c>
      <c r="D20552" t="s">
        <v>59980</v>
      </c>
      <c r="E20552" t="b">
        <v>0</v>
      </c>
      <c r="F20552" t="s">
        <v>11624</v>
      </c>
      <c r="G20552">
        <v>10.645300000000001</v>
      </c>
      <c r="H20552">
        <v>30.4815</v>
      </c>
      <c r="I20552" t="s">
        <v>59981</v>
      </c>
      <c r="L20552">
        <v>0</v>
      </c>
      <c r="M20552">
        <v>0</v>
      </c>
      <c r="N20552">
        <v>0</v>
      </c>
      <c r="O20552" t="s">
        <v>11910</v>
      </c>
    </row>
    <row r="20553" spans="1:15">
      <c r="A20553" t="s">
        <v>59982</v>
      </c>
      <c r="B20553" t="s">
        <v>367</v>
      </c>
      <c r="C20553" t="s">
        <v>34484</v>
      </c>
      <c r="D20553" t="s">
        <v>59983</v>
      </c>
      <c r="E20553" t="b">
        <v>0</v>
      </c>
      <c r="F20553" t="s">
        <v>11624</v>
      </c>
      <c r="G20553">
        <v>-2.4525000000000001</v>
      </c>
      <c r="H20553">
        <v>119.35</v>
      </c>
      <c r="I20553" t="s">
        <v>59984</v>
      </c>
      <c r="L20553">
        <v>0</v>
      </c>
      <c r="M20553">
        <v>0</v>
      </c>
      <c r="N20553">
        <v>0</v>
      </c>
      <c r="O20553" t="s">
        <v>11768</v>
      </c>
    </row>
    <row r="20554" spans="1:15">
      <c r="A20554" t="s">
        <v>59985</v>
      </c>
      <c r="B20554" t="s">
        <v>367</v>
      </c>
      <c r="C20554" t="s">
        <v>15954</v>
      </c>
      <c r="D20554" t="s">
        <v>59986</v>
      </c>
      <c r="E20554" t="b">
        <v>0</v>
      </c>
      <c r="F20554" t="s">
        <v>11624</v>
      </c>
      <c r="G20554">
        <v>-4.6478000000000002</v>
      </c>
      <c r="H20554">
        <v>122.872</v>
      </c>
      <c r="I20554" t="s">
        <v>59987</v>
      </c>
      <c r="L20554">
        <v>0</v>
      </c>
      <c r="M20554">
        <v>0</v>
      </c>
      <c r="N20554">
        <v>0</v>
      </c>
      <c r="O20554" t="s">
        <v>11768</v>
      </c>
    </row>
    <row r="20555" spans="1:15">
      <c r="A20555" t="s">
        <v>59988</v>
      </c>
      <c r="B20555" t="s">
        <v>14629</v>
      </c>
      <c r="C20555" t="s">
        <v>14629</v>
      </c>
      <c r="D20555" t="s">
        <v>59989</v>
      </c>
      <c r="E20555" t="b">
        <v>0</v>
      </c>
      <c r="F20555" t="s">
        <v>11624</v>
      </c>
      <c r="I20555" t="s">
        <v>59990</v>
      </c>
      <c r="L20555">
        <v>0</v>
      </c>
      <c r="M20555">
        <v>0</v>
      </c>
      <c r="N20555">
        <v>0</v>
      </c>
      <c r="O20555" t="s">
        <v>11944</v>
      </c>
    </row>
    <row r="20556" spans="1:15">
      <c r="A20556" t="s">
        <v>59991</v>
      </c>
      <c r="B20556" t="s">
        <v>11644</v>
      </c>
      <c r="C20556" t="s">
        <v>37883</v>
      </c>
      <c r="D20556" t="s">
        <v>59992</v>
      </c>
      <c r="E20556" t="b">
        <v>0</v>
      </c>
      <c r="F20556" t="s">
        <v>11624</v>
      </c>
      <c r="G20556">
        <v>26.4</v>
      </c>
      <c r="H20556">
        <v>101</v>
      </c>
      <c r="I20556" t="s">
        <v>59993</v>
      </c>
      <c r="L20556">
        <v>0</v>
      </c>
      <c r="M20556">
        <v>0</v>
      </c>
      <c r="N20556">
        <v>0</v>
      </c>
      <c r="O20556" t="s">
        <v>11905</v>
      </c>
    </row>
    <row r="20557" spans="1:15">
      <c r="A20557" t="s">
        <v>31054</v>
      </c>
      <c r="B20557" t="s">
        <v>367</v>
      </c>
      <c r="C20557" t="s">
        <v>15619</v>
      </c>
      <c r="D20557" t="s">
        <v>59994</v>
      </c>
      <c r="E20557" t="b">
        <v>0</v>
      </c>
      <c r="F20557" t="s">
        <v>11610</v>
      </c>
      <c r="G20557">
        <v>-7.8855300000000002</v>
      </c>
      <c r="H20557">
        <v>126.336</v>
      </c>
      <c r="I20557" t="s">
        <v>59995</v>
      </c>
      <c r="L20557">
        <v>0</v>
      </c>
      <c r="M20557">
        <v>0</v>
      </c>
      <c r="N20557">
        <v>3</v>
      </c>
      <c r="O20557" t="s">
        <v>11768</v>
      </c>
    </row>
    <row r="20558" spans="1:15">
      <c r="A20558" t="s">
        <v>59996</v>
      </c>
      <c r="B20558" t="s">
        <v>11637</v>
      </c>
      <c r="C20558" t="s">
        <v>45948</v>
      </c>
      <c r="D20558" t="s">
        <v>59997</v>
      </c>
      <c r="E20558" t="b">
        <v>0</v>
      </c>
      <c r="F20558" t="s">
        <v>11610</v>
      </c>
      <c r="L20558">
        <v>0</v>
      </c>
      <c r="M20558">
        <v>0</v>
      </c>
      <c r="N20558">
        <v>0</v>
      </c>
    </row>
    <row r="20559" spans="1:15">
      <c r="A20559" t="s">
        <v>21344</v>
      </c>
      <c r="B20559" t="s">
        <v>11637</v>
      </c>
      <c r="C20559" t="s">
        <v>21852</v>
      </c>
      <c r="D20559" t="s">
        <v>59998</v>
      </c>
      <c r="E20559" t="b">
        <v>0</v>
      </c>
      <c r="F20559" t="s">
        <v>11624</v>
      </c>
      <c r="G20559">
        <v>38.455199999999998</v>
      </c>
      <c r="H20559">
        <v>48.634900000000002</v>
      </c>
      <c r="I20559" t="s">
        <v>59999</v>
      </c>
      <c r="L20559">
        <v>0</v>
      </c>
      <c r="M20559">
        <v>0</v>
      </c>
      <c r="N20559">
        <v>5</v>
      </c>
      <c r="O20559" t="s">
        <v>60000</v>
      </c>
    </row>
    <row r="20560" spans="1:15">
      <c r="A20560" t="s">
        <v>60001</v>
      </c>
      <c r="B20560" t="s">
        <v>12438</v>
      </c>
      <c r="C20560" t="s">
        <v>32486</v>
      </c>
      <c r="D20560" t="s">
        <v>60002</v>
      </c>
      <c r="E20560" t="b">
        <v>0</v>
      </c>
      <c r="F20560" t="s">
        <v>11610</v>
      </c>
      <c r="L20560">
        <v>0</v>
      </c>
      <c r="M20560">
        <v>0</v>
      </c>
      <c r="N20560">
        <v>0</v>
      </c>
    </row>
    <row r="20561" spans="1:15">
      <c r="A20561" t="s">
        <v>60003</v>
      </c>
      <c r="B20561" t="s">
        <v>11644</v>
      </c>
      <c r="C20561" t="s">
        <v>28425</v>
      </c>
      <c r="D20561" t="s">
        <v>60004</v>
      </c>
      <c r="E20561" t="b">
        <v>0</v>
      </c>
      <c r="F20561" t="s">
        <v>11610</v>
      </c>
      <c r="L20561">
        <v>0</v>
      </c>
      <c r="M20561">
        <v>0</v>
      </c>
      <c r="N20561">
        <v>0</v>
      </c>
    </row>
    <row r="20562" spans="1:15">
      <c r="A20562" t="s">
        <v>60005</v>
      </c>
      <c r="B20562" t="s">
        <v>11644</v>
      </c>
      <c r="C20562" t="s">
        <v>22458</v>
      </c>
      <c r="D20562" t="s">
        <v>60006</v>
      </c>
      <c r="E20562" t="b">
        <v>0</v>
      </c>
      <c r="F20562" t="s">
        <v>11610</v>
      </c>
      <c r="L20562">
        <v>0</v>
      </c>
      <c r="M20562">
        <v>0</v>
      </c>
      <c r="N20562">
        <v>0</v>
      </c>
    </row>
    <row r="20563" spans="1:15">
      <c r="A20563" t="s">
        <v>60007</v>
      </c>
      <c r="B20563" t="s">
        <v>11644</v>
      </c>
      <c r="C20563" t="s">
        <v>20503</v>
      </c>
      <c r="D20563" t="s">
        <v>60008</v>
      </c>
      <c r="E20563" t="b">
        <v>0</v>
      </c>
      <c r="F20563" t="s">
        <v>11624</v>
      </c>
      <c r="G20563">
        <v>25.156600000000001</v>
      </c>
      <c r="H20563">
        <v>95.117099999999994</v>
      </c>
      <c r="I20563" t="s">
        <v>60009</v>
      </c>
      <c r="L20563">
        <v>0</v>
      </c>
      <c r="M20563">
        <v>0</v>
      </c>
      <c r="N20563">
        <v>0</v>
      </c>
      <c r="O20563" t="s">
        <v>14059</v>
      </c>
    </row>
    <row r="20564" spans="1:15">
      <c r="A20564" t="s">
        <v>11810</v>
      </c>
      <c r="D20564" t="s">
        <v>60010</v>
      </c>
      <c r="E20564" t="b">
        <v>0</v>
      </c>
      <c r="F20564" t="s">
        <v>11622</v>
      </c>
      <c r="L20564">
        <v>2</v>
      </c>
      <c r="M20564">
        <v>4</v>
      </c>
      <c r="N20564">
        <v>12</v>
      </c>
    </row>
    <row r="20565" spans="1:15">
      <c r="A20565" t="s">
        <v>44443</v>
      </c>
      <c r="B20565" t="s">
        <v>11810</v>
      </c>
      <c r="C20565" t="s">
        <v>11810</v>
      </c>
      <c r="D20565" t="s">
        <v>60011</v>
      </c>
      <c r="E20565" t="b">
        <v>0</v>
      </c>
      <c r="F20565" t="s">
        <v>11622</v>
      </c>
      <c r="L20565">
        <v>1</v>
      </c>
      <c r="M20565">
        <v>3</v>
      </c>
      <c r="N20565">
        <v>10</v>
      </c>
    </row>
    <row r="20566" spans="1:15">
      <c r="A20566" t="s">
        <v>29322</v>
      </c>
      <c r="B20566" t="s">
        <v>11810</v>
      </c>
      <c r="C20566" t="s">
        <v>14857</v>
      </c>
      <c r="D20566" t="s">
        <v>60012</v>
      </c>
      <c r="E20566" t="b">
        <v>0</v>
      </c>
      <c r="F20566" t="s">
        <v>11624</v>
      </c>
      <c r="G20566">
        <v>14.332000000000001</v>
      </c>
      <c r="H20566">
        <v>21.995100000000001</v>
      </c>
      <c r="I20566" t="s">
        <v>60013</v>
      </c>
      <c r="L20566">
        <v>0</v>
      </c>
      <c r="M20566">
        <v>0</v>
      </c>
      <c r="N20566">
        <v>4</v>
      </c>
      <c r="O20566" t="s">
        <v>24193</v>
      </c>
    </row>
    <row r="20567" spans="1:15">
      <c r="A20567" t="s">
        <v>60014</v>
      </c>
      <c r="B20567" t="s">
        <v>11810</v>
      </c>
      <c r="C20567" t="s">
        <v>29322</v>
      </c>
      <c r="D20567" t="s">
        <v>60015</v>
      </c>
      <c r="E20567" t="b">
        <v>0</v>
      </c>
      <c r="F20567" t="s">
        <v>11610</v>
      </c>
      <c r="L20567">
        <v>0</v>
      </c>
      <c r="M20567">
        <v>0</v>
      </c>
      <c r="N20567">
        <v>0</v>
      </c>
    </row>
    <row r="20568" spans="1:15">
      <c r="A20568" t="s">
        <v>60016</v>
      </c>
      <c r="B20568" t="s">
        <v>367</v>
      </c>
      <c r="C20568" t="s">
        <v>42597</v>
      </c>
      <c r="D20568" t="s">
        <v>60017</v>
      </c>
      <c r="E20568" t="b">
        <v>0</v>
      </c>
      <c r="F20568" t="s">
        <v>11610</v>
      </c>
      <c r="L20568">
        <v>0</v>
      </c>
      <c r="M20568">
        <v>0</v>
      </c>
      <c r="N20568">
        <v>0</v>
      </c>
    </row>
    <row r="20569" spans="1:15">
      <c r="A20569" t="s">
        <v>27103</v>
      </c>
      <c r="B20569" t="s">
        <v>367</v>
      </c>
      <c r="C20569" t="s">
        <v>20083</v>
      </c>
      <c r="D20569" t="s">
        <v>60018</v>
      </c>
      <c r="E20569" t="b">
        <v>0</v>
      </c>
      <c r="F20569" t="s">
        <v>11622</v>
      </c>
      <c r="L20569">
        <v>0</v>
      </c>
      <c r="M20569">
        <v>2</v>
      </c>
      <c r="N20569">
        <v>1</v>
      </c>
    </row>
    <row r="20570" spans="1:15">
      <c r="A20570" t="s">
        <v>60019</v>
      </c>
      <c r="B20570" t="s">
        <v>367</v>
      </c>
      <c r="C20570" t="s">
        <v>27103</v>
      </c>
      <c r="D20570" t="s">
        <v>60020</v>
      </c>
      <c r="E20570" t="b">
        <v>0</v>
      </c>
      <c r="F20570" t="s">
        <v>11624</v>
      </c>
      <c r="G20570">
        <v>1.00003</v>
      </c>
      <c r="H20570">
        <v>112.97499999999999</v>
      </c>
      <c r="I20570" t="s">
        <v>60021</v>
      </c>
      <c r="L20570">
        <v>0</v>
      </c>
      <c r="M20570">
        <v>0</v>
      </c>
      <c r="N20570">
        <v>0</v>
      </c>
      <c r="O20570" t="s">
        <v>11768</v>
      </c>
    </row>
    <row r="20571" spans="1:15">
      <c r="A20571" t="s">
        <v>60022</v>
      </c>
      <c r="B20571" t="s">
        <v>15047</v>
      </c>
      <c r="C20571" t="s">
        <v>35588</v>
      </c>
      <c r="D20571" t="s">
        <v>60023</v>
      </c>
      <c r="E20571" t="b">
        <v>0</v>
      </c>
      <c r="F20571" t="s">
        <v>11624</v>
      </c>
      <c r="G20571">
        <v>-6.6449299999999996</v>
      </c>
      <c r="H20571">
        <v>138.892</v>
      </c>
      <c r="I20571" t="s">
        <v>60024</v>
      </c>
      <c r="L20571">
        <v>0</v>
      </c>
      <c r="M20571">
        <v>0</v>
      </c>
      <c r="N20571">
        <v>0</v>
      </c>
      <c r="O20571" t="s">
        <v>11768</v>
      </c>
    </row>
    <row r="20572" spans="1:15">
      <c r="A20572" t="s">
        <v>60025</v>
      </c>
      <c r="B20572" t="s">
        <v>4342</v>
      </c>
      <c r="C20572" t="s">
        <v>19678</v>
      </c>
      <c r="D20572" t="s">
        <v>60026</v>
      </c>
      <c r="E20572" t="b">
        <v>0</v>
      </c>
      <c r="F20572" t="s">
        <v>11610</v>
      </c>
      <c r="L20572">
        <v>0</v>
      </c>
      <c r="M20572">
        <v>0</v>
      </c>
      <c r="N20572">
        <v>0</v>
      </c>
    </row>
    <row r="20573" spans="1:15">
      <c r="A20573" t="s">
        <v>60027</v>
      </c>
      <c r="B20573" t="s">
        <v>8310</v>
      </c>
      <c r="C20573" t="s">
        <v>23159</v>
      </c>
      <c r="D20573" t="s">
        <v>60028</v>
      </c>
      <c r="E20573" t="b">
        <v>0</v>
      </c>
      <c r="F20573" t="s">
        <v>11624</v>
      </c>
      <c r="G20573">
        <v>2.7650000000000001</v>
      </c>
      <c r="H20573">
        <v>-65.882999999999996</v>
      </c>
      <c r="I20573" t="s">
        <v>60029</v>
      </c>
      <c r="L20573">
        <v>0</v>
      </c>
      <c r="M20573">
        <v>0</v>
      </c>
      <c r="N20573">
        <v>0</v>
      </c>
      <c r="O20573" t="s">
        <v>16711</v>
      </c>
    </row>
    <row r="20574" spans="1:15">
      <c r="A20574" t="s">
        <v>60030</v>
      </c>
      <c r="B20574" t="s">
        <v>11879</v>
      </c>
      <c r="C20574" t="s">
        <v>31647</v>
      </c>
      <c r="D20574" t="s">
        <v>60031</v>
      </c>
      <c r="E20574" t="b">
        <v>0</v>
      </c>
      <c r="F20574" t="s">
        <v>11624</v>
      </c>
      <c r="G20574">
        <v>17.125800000000002</v>
      </c>
      <c r="H20574">
        <v>-97.099800000000002</v>
      </c>
      <c r="I20574" t="s">
        <v>60032</v>
      </c>
      <c r="L20574">
        <v>0</v>
      </c>
      <c r="M20574">
        <v>0</v>
      </c>
      <c r="N20574">
        <v>0</v>
      </c>
      <c r="O20574" t="s">
        <v>11883</v>
      </c>
    </row>
    <row r="20575" spans="1:15">
      <c r="A20575" t="s">
        <v>60033</v>
      </c>
      <c r="B20575" t="s">
        <v>2975</v>
      </c>
      <c r="C20575" t="s">
        <v>41431</v>
      </c>
      <c r="D20575" t="s">
        <v>60034</v>
      </c>
      <c r="E20575" t="b">
        <v>0</v>
      </c>
      <c r="F20575" t="s">
        <v>11624</v>
      </c>
      <c r="G20575">
        <v>1.03332</v>
      </c>
      <c r="H20575">
        <v>-75.25</v>
      </c>
      <c r="I20575" t="s">
        <v>60035</v>
      </c>
      <c r="L20575">
        <v>0</v>
      </c>
      <c r="M20575">
        <v>0</v>
      </c>
      <c r="N20575">
        <v>0</v>
      </c>
      <c r="O20575" t="s">
        <v>11898</v>
      </c>
    </row>
    <row r="20576" spans="1:15">
      <c r="A20576" t="s">
        <v>6734</v>
      </c>
      <c r="B20576" t="s">
        <v>11607</v>
      </c>
      <c r="C20576" t="s">
        <v>58847</v>
      </c>
      <c r="D20576" t="s">
        <v>60036</v>
      </c>
      <c r="E20576" t="b">
        <v>0</v>
      </c>
      <c r="F20576" t="s">
        <v>11624</v>
      </c>
      <c r="G20576">
        <v>14.203799999999999</v>
      </c>
      <c r="H20576">
        <v>-2.41269</v>
      </c>
      <c r="I20576" t="s">
        <v>6735</v>
      </c>
      <c r="L20576">
        <v>0</v>
      </c>
      <c r="M20576">
        <v>0</v>
      </c>
      <c r="N20576">
        <v>3</v>
      </c>
      <c r="O20576" t="s">
        <v>19384</v>
      </c>
    </row>
    <row r="20577" spans="1:15">
      <c r="A20577" t="s">
        <v>30257</v>
      </c>
      <c r="B20577" t="s">
        <v>11644</v>
      </c>
      <c r="C20577" t="s">
        <v>29125</v>
      </c>
      <c r="D20577" t="s">
        <v>60037</v>
      </c>
      <c r="E20577" t="b">
        <v>0</v>
      </c>
      <c r="F20577" t="s">
        <v>11622</v>
      </c>
      <c r="L20577">
        <v>4</v>
      </c>
      <c r="M20577">
        <v>9</v>
      </c>
      <c r="N20577">
        <v>24</v>
      </c>
    </row>
    <row r="20578" spans="1:15">
      <c r="A20578" t="s">
        <v>14857</v>
      </c>
      <c r="B20578" t="s">
        <v>11810</v>
      </c>
      <c r="C20578" t="s">
        <v>44443</v>
      </c>
      <c r="D20578" t="s">
        <v>60038</v>
      </c>
      <c r="E20578" t="b">
        <v>0</v>
      </c>
      <c r="F20578" t="s">
        <v>11622</v>
      </c>
      <c r="L20578">
        <v>0</v>
      </c>
      <c r="M20578">
        <v>2</v>
      </c>
      <c r="N20578">
        <v>10</v>
      </c>
    </row>
    <row r="20579" spans="1:15">
      <c r="A20579" t="s">
        <v>60039</v>
      </c>
      <c r="B20579" t="s">
        <v>6742</v>
      </c>
      <c r="C20579" t="s">
        <v>32926</v>
      </c>
      <c r="D20579" t="s">
        <v>60040</v>
      </c>
      <c r="E20579" t="b">
        <v>0</v>
      </c>
      <c r="F20579" t="s">
        <v>11610</v>
      </c>
      <c r="L20579">
        <v>0</v>
      </c>
      <c r="M20579">
        <v>0</v>
      </c>
      <c r="N20579">
        <v>0</v>
      </c>
    </row>
    <row r="20580" spans="1:15">
      <c r="A20580" t="s">
        <v>60041</v>
      </c>
      <c r="B20580" t="s">
        <v>367</v>
      </c>
      <c r="C20580" t="s">
        <v>20644</v>
      </c>
      <c r="D20580" t="s">
        <v>60042</v>
      </c>
      <c r="E20580" t="b">
        <v>0</v>
      </c>
      <c r="F20580" t="s">
        <v>11624</v>
      </c>
      <c r="G20580">
        <v>-15.500400000000001</v>
      </c>
      <c r="H20580">
        <v>167.13900000000001</v>
      </c>
      <c r="I20580" t="s">
        <v>60043</v>
      </c>
      <c r="L20580">
        <v>0</v>
      </c>
      <c r="M20580">
        <v>0</v>
      </c>
      <c r="N20580">
        <v>0</v>
      </c>
      <c r="O20580" t="s">
        <v>12719</v>
      </c>
    </row>
    <row r="20581" spans="1:15">
      <c r="A20581" t="s">
        <v>60044</v>
      </c>
      <c r="B20581" t="s">
        <v>367</v>
      </c>
      <c r="C20581" t="s">
        <v>37602</v>
      </c>
      <c r="D20581" t="s">
        <v>60045</v>
      </c>
      <c r="E20581" t="b">
        <v>0</v>
      </c>
      <c r="F20581" t="s">
        <v>11624</v>
      </c>
      <c r="G20581">
        <v>5.6828399999999997</v>
      </c>
      <c r="H20581">
        <v>116.373</v>
      </c>
      <c r="I20581" t="s">
        <v>60046</v>
      </c>
      <c r="L20581">
        <v>0</v>
      </c>
      <c r="M20581">
        <v>0</v>
      </c>
      <c r="N20581">
        <v>0</v>
      </c>
      <c r="O20581" t="s">
        <v>11672</v>
      </c>
    </row>
    <row r="20582" spans="1:15">
      <c r="A20582" t="s">
        <v>60047</v>
      </c>
      <c r="B20582" t="s">
        <v>367</v>
      </c>
      <c r="C20582" t="s">
        <v>35244</v>
      </c>
      <c r="D20582" t="s">
        <v>60048</v>
      </c>
      <c r="E20582" t="b">
        <v>0</v>
      </c>
      <c r="F20582" t="s">
        <v>11610</v>
      </c>
      <c r="L20582">
        <v>0</v>
      </c>
      <c r="M20582">
        <v>0</v>
      </c>
      <c r="N20582">
        <v>0</v>
      </c>
    </row>
    <row r="20583" spans="1:15">
      <c r="A20583" t="s">
        <v>60049</v>
      </c>
      <c r="B20583" t="s">
        <v>367</v>
      </c>
      <c r="C20583" t="s">
        <v>14733</v>
      </c>
      <c r="D20583" t="s">
        <v>60050</v>
      </c>
      <c r="E20583" t="b">
        <v>0</v>
      </c>
      <c r="F20583" t="s">
        <v>11610</v>
      </c>
      <c r="L20583">
        <v>0</v>
      </c>
      <c r="M20583">
        <v>0</v>
      </c>
      <c r="N20583">
        <v>0</v>
      </c>
    </row>
    <row r="20584" spans="1:15">
      <c r="A20584" t="s">
        <v>60051</v>
      </c>
      <c r="D20584" t="s">
        <v>60052</v>
      </c>
      <c r="E20584" t="b">
        <v>0</v>
      </c>
      <c r="F20584" t="s">
        <v>11624</v>
      </c>
      <c r="G20584">
        <v>-8.25</v>
      </c>
      <c r="H20584">
        <v>118</v>
      </c>
      <c r="I20584" t="s">
        <v>60053</v>
      </c>
      <c r="L20584">
        <v>0</v>
      </c>
      <c r="M20584">
        <v>0</v>
      </c>
      <c r="N20584">
        <v>0</v>
      </c>
      <c r="O20584" t="s">
        <v>11768</v>
      </c>
    </row>
    <row r="20585" spans="1:15">
      <c r="A20585" t="s">
        <v>60054</v>
      </c>
      <c r="B20585" t="s">
        <v>11912</v>
      </c>
      <c r="C20585" t="s">
        <v>17439</v>
      </c>
      <c r="D20585" t="s">
        <v>60055</v>
      </c>
      <c r="E20585" t="b">
        <v>0</v>
      </c>
      <c r="F20585" t="s">
        <v>11610</v>
      </c>
      <c r="L20585">
        <v>0</v>
      </c>
      <c r="M20585">
        <v>0</v>
      </c>
      <c r="N20585">
        <v>0</v>
      </c>
    </row>
    <row r="20586" spans="1:15">
      <c r="A20586" t="s">
        <v>60056</v>
      </c>
      <c r="B20586" t="s">
        <v>11607</v>
      </c>
      <c r="C20586" t="s">
        <v>28198</v>
      </c>
      <c r="D20586" t="s">
        <v>60057</v>
      </c>
      <c r="E20586" t="b">
        <v>0</v>
      </c>
      <c r="F20586" t="s">
        <v>11624</v>
      </c>
      <c r="G20586">
        <v>9.3603900000000007</v>
      </c>
      <c r="H20586">
        <v>9.32836</v>
      </c>
      <c r="I20586" t="s">
        <v>60058</v>
      </c>
      <c r="L20586">
        <v>0</v>
      </c>
      <c r="M20586">
        <v>0</v>
      </c>
      <c r="N20586">
        <v>0</v>
      </c>
      <c r="O20586" t="s">
        <v>11693</v>
      </c>
    </row>
    <row r="20587" spans="1:15">
      <c r="A20587" t="s">
        <v>60059</v>
      </c>
      <c r="B20587" t="s">
        <v>11607</v>
      </c>
      <c r="C20587" t="s">
        <v>34593</v>
      </c>
      <c r="D20587" t="s">
        <v>60060</v>
      </c>
      <c r="E20587" t="b">
        <v>0</v>
      </c>
      <c r="F20587" t="s">
        <v>11610</v>
      </c>
      <c r="L20587">
        <v>0</v>
      </c>
      <c r="M20587">
        <v>0</v>
      </c>
      <c r="N20587">
        <v>0</v>
      </c>
    </row>
    <row r="20588" spans="1:15">
      <c r="A20588" t="s">
        <v>60061</v>
      </c>
      <c r="B20588" t="s">
        <v>12347</v>
      </c>
      <c r="C20588" t="s">
        <v>31973</v>
      </c>
      <c r="D20588" t="s">
        <v>60062</v>
      </c>
      <c r="E20588" t="b">
        <v>0</v>
      </c>
      <c r="F20588" t="s">
        <v>11610</v>
      </c>
      <c r="L20588">
        <v>0</v>
      </c>
      <c r="M20588">
        <v>0</v>
      </c>
      <c r="N20588">
        <v>0</v>
      </c>
    </row>
    <row r="20589" spans="1:15">
      <c r="A20589" t="s">
        <v>60063</v>
      </c>
      <c r="B20589" t="s">
        <v>11607</v>
      </c>
      <c r="C20589" t="s">
        <v>33325</v>
      </c>
      <c r="D20589" t="s">
        <v>60064</v>
      </c>
      <c r="E20589" t="b">
        <v>0</v>
      </c>
      <c r="F20589" t="s">
        <v>11610</v>
      </c>
      <c r="L20589">
        <v>0</v>
      </c>
      <c r="M20589">
        <v>0</v>
      </c>
      <c r="N20589">
        <v>0</v>
      </c>
    </row>
    <row r="20590" spans="1:15">
      <c r="A20590" t="s">
        <v>60065</v>
      </c>
      <c r="B20590" t="s">
        <v>367</v>
      </c>
      <c r="C20590" t="s">
        <v>59240</v>
      </c>
      <c r="D20590" t="s">
        <v>60066</v>
      </c>
      <c r="E20590" t="b">
        <v>0</v>
      </c>
      <c r="F20590" t="s">
        <v>11610</v>
      </c>
      <c r="L20590">
        <v>0</v>
      </c>
      <c r="M20590">
        <v>0</v>
      </c>
      <c r="N20590">
        <v>0</v>
      </c>
    </row>
    <row r="20591" spans="1:15">
      <c r="A20591" t="s">
        <v>60067</v>
      </c>
      <c r="B20591" t="s">
        <v>11637</v>
      </c>
      <c r="C20591" t="s">
        <v>1513</v>
      </c>
      <c r="D20591" t="s">
        <v>60068</v>
      </c>
      <c r="E20591" t="b">
        <v>0</v>
      </c>
      <c r="F20591" t="s">
        <v>11610</v>
      </c>
      <c r="L20591">
        <v>0</v>
      </c>
      <c r="M20591">
        <v>0</v>
      </c>
      <c r="N20591">
        <v>0</v>
      </c>
    </row>
    <row r="20592" spans="1:15">
      <c r="A20592" t="s">
        <v>9047</v>
      </c>
      <c r="B20592" t="s">
        <v>11844</v>
      </c>
      <c r="C20592" t="s">
        <v>52043</v>
      </c>
      <c r="D20592" t="s">
        <v>9046</v>
      </c>
      <c r="E20592" t="b">
        <v>0</v>
      </c>
      <c r="F20592" t="s">
        <v>11624</v>
      </c>
      <c r="G20592">
        <v>10.520219000000001</v>
      </c>
      <c r="H20592">
        <v>78.825989000000007</v>
      </c>
      <c r="I20592" t="s">
        <v>9048</v>
      </c>
      <c r="L20592">
        <v>0</v>
      </c>
      <c r="M20592">
        <v>0</v>
      </c>
      <c r="N20592">
        <v>19</v>
      </c>
      <c r="O20592" t="s">
        <v>42118</v>
      </c>
    </row>
    <row r="20593" spans="1:15">
      <c r="A20593" t="s">
        <v>59644</v>
      </c>
      <c r="B20593" t="s">
        <v>367</v>
      </c>
      <c r="C20593" t="s">
        <v>17862</v>
      </c>
      <c r="D20593" t="s">
        <v>60069</v>
      </c>
      <c r="E20593" t="b">
        <v>0</v>
      </c>
      <c r="F20593" t="s">
        <v>11624</v>
      </c>
      <c r="G20593">
        <v>-6.70017</v>
      </c>
      <c r="H20593">
        <v>147.732</v>
      </c>
      <c r="I20593" t="s">
        <v>60070</v>
      </c>
      <c r="L20593">
        <v>0</v>
      </c>
      <c r="M20593">
        <v>0</v>
      </c>
      <c r="N20593">
        <v>2</v>
      </c>
      <c r="O20593" t="s">
        <v>11660</v>
      </c>
    </row>
    <row r="20594" spans="1:15">
      <c r="A20594" t="s">
        <v>15700</v>
      </c>
      <c r="B20594" t="s">
        <v>11844</v>
      </c>
      <c r="C20594" t="s">
        <v>58709</v>
      </c>
      <c r="D20594" t="s">
        <v>60071</v>
      </c>
      <c r="E20594" t="b">
        <v>0</v>
      </c>
      <c r="F20594" t="s">
        <v>11622</v>
      </c>
      <c r="L20594">
        <v>19</v>
      </c>
      <c r="M20594">
        <v>46</v>
      </c>
      <c r="N20594">
        <v>53</v>
      </c>
    </row>
    <row r="20595" spans="1:15">
      <c r="A20595" t="s">
        <v>37580</v>
      </c>
      <c r="B20595" t="s">
        <v>11844</v>
      </c>
      <c r="C20595" t="s">
        <v>15700</v>
      </c>
      <c r="D20595" t="s">
        <v>60072</v>
      </c>
      <c r="E20595" t="b">
        <v>0</v>
      </c>
      <c r="F20595" t="s">
        <v>11622</v>
      </c>
      <c r="L20595">
        <v>15</v>
      </c>
      <c r="M20595">
        <v>38</v>
      </c>
      <c r="N20595">
        <v>50</v>
      </c>
    </row>
    <row r="20596" spans="1:15">
      <c r="A20596" t="s">
        <v>60073</v>
      </c>
      <c r="B20596" t="s">
        <v>11844</v>
      </c>
      <c r="C20596" t="s">
        <v>37580</v>
      </c>
      <c r="D20596" t="s">
        <v>60074</v>
      </c>
      <c r="E20596" t="b">
        <v>0</v>
      </c>
      <c r="F20596" t="s">
        <v>11622</v>
      </c>
      <c r="L20596">
        <v>14</v>
      </c>
      <c r="M20596">
        <v>37</v>
      </c>
      <c r="N20596">
        <v>49</v>
      </c>
    </row>
    <row r="20597" spans="1:15">
      <c r="A20597" t="s">
        <v>32673</v>
      </c>
      <c r="B20597" t="s">
        <v>11844</v>
      </c>
      <c r="C20597" t="s">
        <v>60073</v>
      </c>
      <c r="D20597" t="s">
        <v>60075</v>
      </c>
      <c r="E20597" t="b">
        <v>0</v>
      </c>
      <c r="F20597" t="s">
        <v>11622</v>
      </c>
      <c r="L20597">
        <v>13</v>
      </c>
      <c r="M20597">
        <v>36</v>
      </c>
      <c r="N20597">
        <v>49</v>
      </c>
    </row>
    <row r="20598" spans="1:15">
      <c r="A20598" t="s">
        <v>36877</v>
      </c>
      <c r="B20598" t="s">
        <v>11844</v>
      </c>
      <c r="C20598" t="s">
        <v>32673</v>
      </c>
      <c r="D20598" t="s">
        <v>60076</v>
      </c>
      <c r="E20598" t="b">
        <v>0</v>
      </c>
      <c r="F20598" t="s">
        <v>11622</v>
      </c>
      <c r="L20598">
        <v>10</v>
      </c>
      <c r="M20598">
        <v>33</v>
      </c>
      <c r="N20598">
        <v>43</v>
      </c>
    </row>
    <row r="20599" spans="1:15">
      <c r="A20599" t="s">
        <v>42112</v>
      </c>
      <c r="B20599" t="s">
        <v>11844</v>
      </c>
      <c r="C20599" t="s">
        <v>36877</v>
      </c>
      <c r="D20599" t="s">
        <v>60077</v>
      </c>
      <c r="E20599" t="b">
        <v>0</v>
      </c>
      <c r="F20599" t="s">
        <v>11622</v>
      </c>
      <c r="L20599">
        <v>9</v>
      </c>
      <c r="M20599">
        <v>31</v>
      </c>
      <c r="N20599">
        <v>43</v>
      </c>
    </row>
    <row r="20600" spans="1:15">
      <c r="A20600" t="s">
        <v>42010</v>
      </c>
      <c r="B20600" t="s">
        <v>11844</v>
      </c>
      <c r="C20600" t="s">
        <v>42112</v>
      </c>
      <c r="D20600" t="s">
        <v>60078</v>
      </c>
      <c r="E20600" t="b">
        <v>0</v>
      </c>
      <c r="F20600" t="s">
        <v>11622</v>
      </c>
      <c r="L20600">
        <v>4</v>
      </c>
      <c r="M20600">
        <v>11</v>
      </c>
      <c r="N20600">
        <v>24</v>
      </c>
    </row>
    <row r="20601" spans="1:15">
      <c r="A20601" t="s">
        <v>52043</v>
      </c>
      <c r="B20601" t="s">
        <v>11844</v>
      </c>
      <c r="C20601" t="s">
        <v>42010</v>
      </c>
      <c r="D20601" t="s">
        <v>60079</v>
      </c>
      <c r="E20601" t="b">
        <v>0</v>
      </c>
      <c r="F20601" t="s">
        <v>11622</v>
      </c>
      <c r="L20601">
        <v>0</v>
      </c>
      <c r="M20601">
        <v>2</v>
      </c>
      <c r="N20601">
        <v>20</v>
      </c>
    </row>
    <row r="20602" spans="1:15">
      <c r="A20602" t="s">
        <v>60080</v>
      </c>
      <c r="B20602" t="s">
        <v>11644</v>
      </c>
      <c r="C20602" t="s">
        <v>13896</v>
      </c>
      <c r="D20602" t="s">
        <v>60081</v>
      </c>
      <c r="E20602" t="b">
        <v>0</v>
      </c>
      <c r="F20602" t="s">
        <v>11610</v>
      </c>
      <c r="L20602">
        <v>0</v>
      </c>
      <c r="M20602">
        <v>0</v>
      </c>
      <c r="N20602">
        <v>0</v>
      </c>
    </row>
    <row r="20603" spans="1:15">
      <c r="A20603" t="s">
        <v>60082</v>
      </c>
      <c r="B20603" t="s">
        <v>11607</v>
      </c>
      <c r="C20603" t="s">
        <v>55003</v>
      </c>
      <c r="D20603" t="s">
        <v>60083</v>
      </c>
      <c r="E20603" t="b">
        <v>0</v>
      </c>
      <c r="F20603" t="s">
        <v>11624</v>
      </c>
      <c r="G20603">
        <v>11.492599999999999</v>
      </c>
      <c r="H20603">
        <v>18.229500000000002</v>
      </c>
      <c r="I20603" t="s">
        <v>60084</v>
      </c>
      <c r="L20603">
        <v>0</v>
      </c>
      <c r="M20603">
        <v>0</v>
      </c>
      <c r="N20603">
        <v>0</v>
      </c>
      <c r="O20603" t="s">
        <v>13421</v>
      </c>
    </row>
    <row r="20604" spans="1:15">
      <c r="A20604" t="s">
        <v>60085</v>
      </c>
      <c r="B20604" t="s">
        <v>11615</v>
      </c>
      <c r="C20604" t="s">
        <v>23086</v>
      </c>
      <c r="D20604" t="s">
        <v>60086</v>
      </c>
      <c r="E20604" t="b">
        <v>0</v>
      </c>
      <c r="F20604" t="s">
        <v>11624</v>
      </c>
      <c r="G20604">
        <v>-5.5796200000000002</v>
      </c>
      <c r="H20604">
        <v>139.233</v>
      </c>
      <c r="I20604" t="s">
        <v>60087</v>
      </c>
      <c r="L20604">
        <v>0</v>
      </c>
      <c r="M20604">
        <v>0</v>
      </c>
      <c r="N20604">
        <v>0</v>
      </c>
      <c r="O20604" t="s">
        <v>11768</v>
      </c>
    </row>
    <row r="20605" spans="1:15">
      <c r="A20605" t="s">
        <v>12827</v>
      </c>
      <c r="B20605" t="s">
        <v>11871</v>
      </c>
      <c r="C20605" t="s">
        <v>29411</v>
      </c>
      <c r="D20605" t="s">
        <v>60088</v>
      </c>
      <c r="E20605" t="b">
        <v>0</v>
      </c>
      <c r="F20605" t="s">
        <v>11622</v>
      </c>
      <c r="L20605">
        <v>2</v>
      </c>
      <c r="M20605">
        <v>6</v>
      </c>
      <c r="N20605">
        <v>0</v>
      </c>
    </row>
    <row r="20606" spans="1:15">
      <c r="A20606" t="s">
        <v>60089</v>
      </c>
      <c r="B20606" t="s">
        <v>12438</v>
      </c>
      <c r="C20606" t="s">
        <v>12918</v>
      </c>
      <c r="D20606" t="s">
        <v>60090</v>
      </c>
      <c r="E20606" t="b">
        <v>0</v>
      </c>
      <c r="F20606" t="s">
        <v>11624</v>
      </c>
      <c r="G20606">
        <v>13.56447</v>
      </c>
      <c r="H20606">
        <v>107.24544</v>
      </c>
      <c r="I20606" t="s">
        <v>60091</v>
      </c>
      <c r="L20606">
        <v>0</v>
      </c>
      <c r="M20606">
        <v>0</v>
      </c>
      <c r="N20606">
        <v>0</v>
      </c>
      <c r="O20606" t="s">
        <v>35501</v>
      </c>
    </row>
    <row r="20607" spans="1:15">
      <c r="A20607" t="s">
        <v>60092</v>
      </c>
      <c r="B20607" t="s">
        <v>6742</v>
      </c>
      <c r="C20607" t="s">
        <v>22149</v>
      </c>
      <c r="D20607" t="s">
        <v>60093</v>
      </c>
      <c r="E20607" t="b">
        <v>0</v>
      </c>
      <c r="F20607" t="s">
        <v>11624</v>
      </c>
      <c r="G20607">
        <v>9.7557700000000001</v>
      </c>
      <c r="H20607">
        <v>-1.35467</v>
      </c>
      <c r="I20607" t="s">
        <v>60094</v>
      </c>
      <c r="L20607">
        <v>0</v>
      </c>
      <c r="M20607">
        <v>0</v>
      </c>
      <c r="N20607">
        <v>0</v>
      </c>
      <c r="O20607" t="s">
        <v>11985</v>
      </c>
    </row>
    <row r="20608" spans="1:15">
      <c r="A20608" t="s">
        <v>60095</v>
      </c>
      <c r="B20608" t="s">
        <v>367</v>
      </c>
      <c r="C20608" t="s">
        <v>19010</v>
      </c>
      <c r="D20608" t="s">
        <v>60096</v>
      </c>
      <c r="E20608" t="b">
        <v>0</v>
      </c>
      <c r="F20608" t="s">
        <v>11610</v>
      </c>
      <c r="L20608">
        <v>0</v>
      </c>
      <c r="M20608">
        <v>0</v>
      </c>
      <c r="N20608">
        <v>0</v>
      </c>
    </row>
    <row r="20609" spans="1:15">
      <c r="A20609" t="s">
        <v>60097</v>
      </c>
      <c r="B20609" t="s">
        <v>367</v>
      </c>
      <c r="C20609" t="s">
        <v>39280</v>
      </c>
      <c r="D20609" t="s">
        <v>60098</v>
      </c>
      <c r="E20609" t="b">
        <v>0</v>
      </c>
      <c r="F20609" t="s">
        <v>11624</v>
      </c>
      <c r="G20609">
        <v>5.7246699999999997</v>
      </c>
      <c r="H20609">
        <v>116.789</v>
      </c>
      <c r="I20609" t="s">
        <v>60099</v>
      </c>
      <c r="L20609">
        <v>0</v>
      </c>
      <c r="M20609">
        <v>0</v>
      </c>
      <c r="N20609">
        <v>0</v>
      </c>
      <c r="O20609" t="s">
        <v>11672</v>
      </c>
    </row>
    <row r="20610" spans="1:15">
      <c r="A20610" t="s">
        <v>60100</v>
      </c>
      <c r="B20610" t="s">
        <v>978</v>
      </c>
      <c r="C20610" t="s">
        <v>13318</v>
      </c>
      <c r="D20610" t="s">
        <v>60101</v>
      </c>
      <c r="E20610" t="b">
        <v>0</v>
      </c>
      <c r="F20610" t="s">
        <v>11610</v>
      </c>
      <c r="L20610">
        <v>0</v>
      </c>
      <c r="M20610">
        <v>0</v>
      </c>
      <c r="N20610">
        <v>0</v>
      </c>
    </row>
    <row r="20611" spans="1:15">
      <c r="A20611" t="s">
        <v>60102</v>
      </c>
      <c r="B20611" t="s">
        <v>11644</v>
      </c>
      <c r="C20611" t="s">
        <v>32225</v>
      </c>
      <c r="D20611" t="s">
        <v>60103</v>
      </c>
      <c r="E20611" t="b">
        <v>0</v>
      </c>
      <c r="F20611" t="s">
        <v>11610</v>
      </c>
      <c r="L20611">
        <v>0</v>
      </c>
      <c r="M20611">
        <v>0</v>
      </c>
      <c r="N20611">
        <v>0</v>
      </c>
    </row>
    <row r="20612" spans="1:15">
      <c r="A20612" t="s">
        <v>60104</v>
      </c>
      <c r="B20612" t="s">
        <v>12438</v>
      </c>
      <c r="C20612" t="s">
        <v>22166</v>
      </c>
      <c r="D20612" t="s">
        <v>60105</v>
      </c>
      <c r="E20612" t="b">
        <v>0</v>
      </c>
      <c r="F20612" t="s">
        <v>11610</v>
      </c>
      <c r="L20612">
        <v>0</v>
      </c>
      <c r="M20612">
        <v>0</v>
      </c>
      <c r="N20612">
        <v>0</v>
      </c>
    </row>
    <row r="20613" spans="1:15">
      <c r="A20613" t="s">
        <v>60106</v>
      </c>
      <c r="B20613" t="s">
        <v>11644</v>
      </c>
      <c r="C20613" t="s">
        <v>25943</v>
      </c>
      <c r="D20613" t="s">
        <v>60107</v>
      </c>
      <c r="E20613" t="b">
        <v>0</v>
      </c>
      <c r="F20613" t="s">
        <v>11610</v>
      </c>
      <c r="L20613">
        <v>0</v>
      </c>
      <c r="M20613">
        <v>0</v>
      </c>
      <c r="N20613">
        <v>0</v>
      </c>
    </row>
    <row r="20614" spans="1:15">
      <c r="A20614" t="s">
        <v>60108</v>
      </c>
      <c r="B20614" t="s">
        <v>5911</v>
      </c>
      <c r="C20614" t="s">
        <v>20055</v>
      </c>
      <c r="D20614" t="s">
        <v>60109</v>
      </c>
      <c r="E20614" t="b">
        <v>0</v>
      </c>
      <c r="F20614" t="s">
        <v>11610</v>
      </c>
      <c r="L20614">
        <v>0</v>
      </c>
      <c r="M20614">
        <v>0</v>
      </c>
      <c r="N20614">
        <v>0</v>
      </c>
    </row>
    <row r="20615" spans="1:15">
      <c r="A20615" t="s">
        <v>60110</v>
      </c>
      <c r="B20615" t="s">
        <v>11644</v>
      </c>
      <c r="C20615" t="s">
        <v>18256</v>
      </c>
      <c r="D20615" t="s">
        <v>60111</v>
      </c>
      <c r="E20615" t="b">
        <v>0</v>
      </c>
      <c r="F20615" t="s">
        <v>11610</v>
      </c>
      <c r="L20615">
        <v>0</v>
      </c>
      <c r="M20615">
        <v>0</v>
      </c>
      <c r="N20615">
        <v>0</v>
      </c>
    </row>
    <row r="20616" spans="1:15">
      <c r="A20616" t="s">
        <v>60112</v>
      </c>
      <c r="B20616" t="s">
        <v>11729</v>
      </c>
      <c r="C20616" t="s">
        <v>49640</v>
      </c>
      <c r="D20616" t="s">
        <v>60113</v>
      </c>
      <c r="E20616" t="b">
        <v>0</v>
      </c>
      <c r="F20616" t="s">
        <v>11610</v>
      </c>
      <c r="L20616">
        <v>0</v>
      </c>
      <c r="M20616">
        <v>0</v>
      </c>
      <c r="N20616">
        <v>0</v>
      </c>
    </row>
    <row r="20617" spans="1:15">
      <c r="A20617" t="s">
        <v>60114</v>
      </c>
      <c r="B20617" t="s">
        <v>367</v>
      </c>
      <c r="C20617" t="s">
        <v>5309</v>
      </c>
      <c r="D20617" t="s">
        <v>60115</v>
      </c>
      <c r="E20617" t="b">
        <v>0</v>
      </c>
      <c r="F20617" t="s">
        <v>11610</v>
      </c>
      <c r="L20617">
        <v>0</v>
      </c>
      <c r="M20617">
        <v>0</v>
      </c>
      <c r="N20617">
        <v>0</v>
      </c>
    </row>
    <row r="20618" spans="1:15">
      <c r="A20618" t="s">
        <v>60116</v>
      </c>
      <c r="B20618" t="s">
        <v>367</v>
      </c>
      <c r="C20618" t="s">
        <v>45868</v>
      </c>
      <c r="D20618" t="s">
        <v>60117</v>
      </c>
      <c r="E20618" t="b">
        <v>0</v>
      </c>
      <c r="F20618" t="s">
        <v>11624</v>
      </c>
      <c r="G20618">
        <v>15.237</v>
      </c>
      <c r="H20618">
        <v>145.75700000000001</v>
      </c>
      <c r="I20618" t="s">
        <v>60118</v>
      </c>
      <c r="L20618">
        <v>0</v>
      </c>
      <c r="M20618">
        <v>0</v>
      </c>
      <c r="N20618">
        <v>0</v>
      </c>
      <c r="O20618" t="s">
        <v>21164</v>
      </c>
    </row>
    <row r="20619" spans="1:15">
      <c r="A20619" t="s">
        <v>60119</v>
      </c>
      <c r="B20619" t="s">
        <v>367</v>
      </c>
      <c r="C20619" t="s">
        <v>39547</v>
      </c>
      <c r="D20619" t="s">
        <v>60120</v>
      </c>
      <c r="E20619" t="b">
        <v>0</v>
      </c>
      <c r="F20619" t="s">
        <v>11610</v>
      </c>
      <c r="L20619">
        <v>0</v>
      </c>
      <c r="M20619">
        <v>0</v>
      </c>
      <c r="N20619">
        <v>0</v>
      </c>
    </row>
    <row r="20620" spans="1:15">
      <c r="A20620" t="s">
        <v>60121</v>
      </c>
      <c r="B20620" t="s">
        <v>367</v>
      </c>
      <c r="C20620" t="s">
        <v>5504</v>
      </c>
      <c r="D20620" t="s">
        <v>60122</v>
      </c>
      <c r="E20620" t="b">
        <v>0</v>
      </c>
      <c r="F20620" t="s">
        <v>11610</v>
      </c>
      <c r="L20620">
        <v>0</v>
      </c>
      <c r="M20620">
        <v>0</v>
      </c>
      <c r="N20620">
        <v>0</v>
      </c>
    </row>
    <row r="20621" spans="1:15">
      <c r="A20621" t="s">
        <v>60123</v>
      </c>
      <c r="B20621" t="s">
        <v>367</v>
      </c>
      <c r="C20621" t="s">
        <v>17378</v>
      </c>
      <c r="D20621" t="s">
        <v>60124</v>
      </c>
      <c r="E20621" t="b">
        <v>0</v>
      </c>
      <c r="F20621" t="s">
        <v>11610</v>
      </c>
      <c r="L20621">
        <v>0</v>
      </c>
      <c r="M20621">
        <v>0</v>
      </c>
      <c r="N20621">
        <v>0</v>
      </c>
    </row>
    <row r="20622" spans="1:15">
      <c r="A20622" t="s">
        <v>3898</v>
      </c>
      <c r="B20622" t="s">
        <v>367</v>
      </c>
      <c r="C20622" t="s">
        <v>18209</v>
      </c>
      <c r="D20622" t="s">
        <v>3897</v>
      </c>
      <c r="E20622" t="b">
        <v>0</v>
      </c>
      <c r="F20622" t="s">
        <v>11610</v>
      </c>
      <c r="L20622">
        <v>0</v>
      </c>
      <c r="M20622">
        <v>0</v>
      </c>
      <c r="N20622">
        <v>0</v>
      </c>
    </row>
    <row r="20623" spans="1:15">
      <c r="A20623" t="s">
        <v>60125</v>
      </c>
      <c r="B20623" t="s">
        <v>367</v>
      </c>
      <c r="C20623" t="s">
        <v>16815</v>
      </c>
      <c r="D20623" t="s">
        <v>60126</v>
      </c>
      <c r="E20623" t="b">
        <v>0</v>
      </c>
      <c r="F20623" t="s">
        <v>11610</v>
      </c>
      <c r="L20623">
        <v>0</v>
      </c>
      <c r="M20623">
        <v>0</v>
      </c>
      <c r="N20623">
        <v>0</v>
      </c>
    </row>
    <row r="20624" spans="1:15">
      <c r="A20624" t="s">
        <v>60127</v>
      </c>
      <c r="B20624" t="s">
        <v>367</v>
      </c>
      <c r="C20624" t="s">
        <v>4567</v>
      </c>
      <c r="D20624" t="s">
        <v>60128</v>
      </c>
      <c r="E20624" t="b">
        <v>0</v>
      </c>
      <c r="F20624" t="s">
        <v>11610</v>
      </c>
      <c r="L20624">
        <v>0</v>
      </c>
      <c r="M20624">
        <v>0</v>
      </c>
      <c r="N20624">
        <v>0</v>
      </c>
    </row>
    <row r="20625" spans="1:15">
      <c r="A20625" t="s">
        <v>60129</v>
      </c>
      <c r="D20625" t="s">
        <v>60130</v>
      </c>
      <c r="E20625" t="b">
        <v>0</v>
      </c>
      <c r="F20625" t="s">
        <v>11624</v>
      </c>
      <c r="G20625">
        <v>-2.5522999999999998</v>
      </c>
      <c r="H20625">
        <v>133.18</v>
      </c>
      <c r="I20625" t="s">
        <v>60131</v>
      </c>
      <c r="L20625">
        <v>0</v>
      </c>
      <c r="M20625">
        <v>0</v>
      </c>
      <c r="N20625">
        <v>0</v>
      </c>
      <c r="O20625" t="s">
        <v>11768</v>
      </c>
    </row>
    <row r="20626" spans="1:15">
      <c r="A20626" t="s">
        <v>60132</v>
      </c>
      <c r="B20626" t="s">
        <v>12460</v>
      </c>
      <c r="C20626" t="s">
        <v>12461</v>
      </c>
      <c r="D20626" t="s">
        <v>60133</v>
      </c>
      <c r="E20626" t="b">
        <v>0</v>
      </c>
      <c r="F20626" t="s">
        <v>11624</v>
      </c>
      <c r="G20626">
        <v>60.471200000000003</v>
      </c>
      <c r="H20626">
        <v>-150.75899999999999</v>
      </c>
      <c r="I20626" t="s">
        <v>60134</v>
      </c>
      <c r="L20626">
        <v>0</v>
      </c>
      <c r="M20626">
        <v>0</v>
      </c>
      <c r="N20626">
        <v>0</v>
      </c>
      <c r="O20626" t="s">
        <v>11944</v>
      </c>
    </row>
    <row r="20627" spans="1:15">
      <c r="A20627" t="s">
        <v>60135</v>
      </c>
      <c r="B20627" t="s">
        <v>12460</v>
      </c>
      <c r="C20627" t="s">
        <v>12461</v>
      </c>
      <c r="D20627" t="s">
        <v>60136</v>
      </c>
      <c r="E20627" t="b">
        <v>0</v>
      </c>
      <c r="F20627" t="s">
        <v>11624</v>
      </c>
      <c r="G20627">
        <v>63.404600000000002</v>
      </c>
      <c r="H20627">
        <v>-143.33799999999999</v>
      </c>
      <c r="I20627" t="s">
        <v>60137</v>
      </c>
      <c r="L20627">
        <v>0</v>
      </c>
      <c r="M20627">
        <v>0</v>
      </c>
      <c r="N20627">
        <v>0</v>
      </c>
      <c r="O20627" t="s">
        <v>11944</v>
      </c>
    </row>
    <row r="20628" spans="1:15">
      <c r="A20628" t="s">
        <v>60138</v>
      </c>
      <c r="B20628" t="s">
        <v>141</v>
      </c>
      <c r="C20628" t="s">
        <v>14216</v>
      </c>
      <c r="D20628" t="s">
        <v>60139</v>
      </c>
      <c r="E20628" t="b">
        <v>0</v>
      </c>
      <c r="F20628" t="s">
        <v>11610</v>
      </c>
      <c r="L20628">
        <v>0</v>
      </c>
      <c r="M20628">
        <v>0</v>
      </c>
      <c r="N20628">
        <v>0</v>
      </c>
    </row>
    <row r="20629" spans="1:15">
      <c r="A20629" t="s">
        <v>60140</v>
      </c>
      <c r="B20629" t="s">
        <v>11607</v>
      </c>
      <c r="C20629" t="s">
        <v>12566</v>
      </c>
      <c r="D20629" t="s">
        <v>60141</v>
      </c>
      <c r="E20629" t="b">
        <v>0</v>
      </c>
      <c r="F20629" t="s">
        <v>11610</v>
      </c>
      <c r="L20629">
        <v>0</v>
      </c>
      <c r="M20629">
        <v>0</v>
      </c>
      <c r="N20629">
        <v>0</v>
      </c>
    </row>
    <row r="20630" spans="1:15">
      <c r="A20630" t="s">
        <v>60142</v>
      </c>
      <c r="B20630" t="s">
        <v>6742</v>
      </c>
      <c r="C20630" t="s">
        <v>20047</v>
      </c>
      <c r="D20630" t="s">
        <v>60143</v>
      </c>
      <c r="E20630" t="b">
        <v>0</v>
      </c>
      <c r="F20630" t="s">
        <v>11610</v>
      </c>
      <c r="L20630">
        <v>0</v>
      </c>
      <c r="M20630">
        <v>0</v>
      </c>
      <c r="N20630">
        <v>0</v>
      </c>
    </row>
    <row r="20631" spans="1:15">
      <c r="A20631" t="s">
        <v>60144</v>
      </c>
      <c r="B20631" t="s">
        <v>6742</v>
      </c>
      <c r="C20631" t="s">
        <v>40410</v>
      </c>
      <c r="D20631" t="s">
        <v>60145</v>
      </c>
      <c r="E20631" t="b">
        <v>0</v>
      </c>
      <c r="F20631" t="s">
        <v>11610</v>
      </c>
      <c r="L20631">
        <v>0</v>
      </c>
      <c r="M20631">
        <v>0</v>
      </c>
      <c r="N20631">
        <v>0</v>
      </c>
    </row>
    <row r="20632" spans="1:15">
      <c r="A20632" t="s">
        <v>60146</v>
      </c>
      <c r="B20632" t="s">
        <v>367</v>
      </c>
      <c r="C20632" t="s">
        <v>19355</v>
      </c>
      <c r="D20632" t="s">
        <v>60147</v>
      </c>
      <c r="E20632" t="b">
        <v>0</v>
      </c>
      <c r="F20632" t="s">
        <v>11624</v>
      </c>
      <c r="G20632">
        <v>-2.8422800000000001</v>
      </c>
      <c r="H20632">
        <v>134.53200000000001</v>
      </c>
      <c r="I20632" t="s">
        <v>60148</v>
      </c>
      <c r="L20632">
        <v>0</v>
      </c>
      <c r="M20632">
        <v>0</v>
      </c>
      <c r="N20632">
        <v>0</v>
      </c>
      <c r="O20632" t="s">
        <v>11768</v>
      </c>
    </row>
    <row r="20633" spans="1:15">
      <c r="A20633" t="s">
        <v>60149</v>
      </c>
      <c r="B20633" t="s">
        <v>367</v>
      </c>
      <c r="C20633" t="s">
        <v>28297</v>
      </c>
      <c r="D20633" t="s">
        <v>60150</v>
      </c>
      <c r="E20633" t="b">
        <v>0</v>
      </c>
      <c r="F20633" t="s">
        <v>11610</v>
      </c>
      <c r="L20633">
        <v>0</v>
      </c>
      <c r="M20633">
        <v>0</v>
      </c>
      <c r="N20633">
        <v>0</v>
      </c>
    </row>
    <row r="20634" spans="1:15">
      <c r="A20634" t="s">
        <v>60151</v>
      </c>
      <c r="B20634" t="s">
        <v>367</v>
      </c>
      <c r="C20634" t="s">
        <v>16054</v>
      </c>
      <c r="D20634" t="s">
        <v>60152</v>
      </c>
      <c r="E20634" t="b">
        <v>0</v>
      </c>
      <c r="F20634" t="s">
        <v>11610</v>
      </c>
      <c r="L20634">
        <v>0</v>
      </c>
      <c r="M20634">
        <v>0</v>
      </c>
      <c r="N20634">
        <v>0</v>
      </c>
    </row>
    <row r="20635" spans="1:15">
      <c r="A20635" t="s">
        <v>3616</v>
      </c>
      <c r="B20635" t="s">
        <v>367</v>
      </c>
      <c r="C20635" t="s">
        <v>41708</v>
      </c>
      <c r="D20635" t="s">
        <v>60153</v>
      </c>
      <c r="E20635" t="b">
        <v>0</v>
      </c>
      <c r="F20635" t="s">
        <v>11624</v>
      </c>
      <c r="G20635">
        <v>-24.801549999999999</v>
      </c>
      <c r="H20635">
        <v>45.9</v>
      </c>
      <c r="I20635" t="s">
        <v>3617</v>
      </c>
      <c r="L20635">
        <v>0</v>
      </c>
      <c r="M20635">
        <v>0</v>
      </c>
      <c r="N20635">
        <v>0</v>
      </c>
      <c r="O20635" t="s">
        <v>14012</v>
      </c>
    </row>
    <row r="20636" spans="1:15">
      <c r="A20636" t="s">
        <v>60154</v>
      </c>
      <c r="B20636" t="s">
        <v>367</v>
      </c>
      <c r="C20636" t="s">
        <v>36513</v>
      </c>
      <c r="D20636" t="s">
        <v>60155</v>
      </c>
      <c r="E20636" t="b">
        <v>0</v>
      </c>
      <c r="F20636" t="s">
        <v>11610</v>
      </c>
      <c r="L20636">
        <v>0</v>
      </c>
      <c r="M20636">
        <v>0</v>
      </c>
      <c r="N20636">
        <v>0</v>
      </c>
    </row>
    <row r="20637" spans="1:15">
      <c r="A20637" t="s">
        <v>46642</v>
      </c>
      <c r="B20637" t="s">
        <v>367</v>
      </c>
      <c r="C20637" t="s">
        <v>59384</v>
      </c>
      <c r="D20637" t="s">
        <v>60156</v>
      </c>
      <c r="E20637" t="b">
        <v>0</v>
      </c>
      <c r="F20637" t="s">
        <v>11624</v>
      </c>
      <c r="I20637" t="s">
        <v>60157</v>
      </c>
      <c r="L20637">
        <v>0</v>
      </c>
      <c r="M20637">
        <v>0</v>
      </c>
      <c r="N20637">
        <v>1</v>
      </c>
      <c r="O20637" t="s">
        <v>11749</v>
      </c>
    </row>
    <row r="20638" spans="1:15">
      <c r="A20638" t="s">
        <v>60158</v>
      </c>
      <c r="B20638" t="s">
        <v>367</v>
      </c>
      <c r="C20638" t="s">
        <v>60159</v>
      </c>
      <c r="D20638" t="s">
        <v>60160</v>
      </c>
      <c r="E20638" t="b">
        <v>0</v>
      </c>
      <c r="F20638" t="s">
        <v>11624</v>
      </c>
      <c r="G20638">
        <v>-11.68</v>
      </c>
      <c r="H20638">
        <v>166.97</v>
      </c>
      <c r="I20638" t="s">
        <v>60161</v>
      </c>
      <c r="L20638">
        <v>0</v>
      </c>
      <c r="M20638">
        <v>0</v>
      </c>
      <c r="N20638">
        <v>0</v>
      </c>
      <c r="O20638" t="s">
        <v>13346</v>
      </c>
    </row>
    <row r="20639" spans="1:15">
      <c r="A20639" t="s">
        <v>60162</v>
      </c>
      <c r="B20639" t="s">
        <v>11637</v>
      </c>
      <c r="C20639" t="s">
        <v>22141</v>
      </c>
      <c r="D20639" t="s">
        <v>60163</v>
      </c>
      <c r="E20639" t="b">
        <v>0</v>
      </c>
      <c r="F20639" t="s">
        <v>11624</v>
      </c>
      <c r="G20639">
        <v>22.3185</v>
      </c>
      <c r="H20639">
        <v>92.507300000000001</v>
      </c>
      <c r="I20639" t="s">
        <v>60164</v>
      </c>
      <c r="L20639">
        <v>0</v>
      </c>
      <c r="M20639">
        <v>0</v>
      </c>
      <c r="N20639">
        <v>0</v>
      </c>
      <c r="O20639" t="s">
        <v>15054</v>
      </c>
    </row>
    <row r="20640" spans="1:15">
      <c r="A20640" t="s">
        <v>60165</v>
      </c>
      <c r="B20640" t="s">
        <v>11637</v>
      </c>
      <c r="C20640" t="s">
        <v>22554</v>
      </c>
      <c r="D20640" t="s">
        <v>60166</v>
      </c>
      <c r="E20640" t="b">
        <v>0</v>
      </c>
      <c r="F20640" t="s">
        <v>11610</v>
      </c>
      <c r="L20640">
        <v>0</v>
      </c>
      <c r="M20640">
        <v>0</v>
      </c>
      <c r="N20640">
        <v>0</v>
      </c>
    </row>
    <row r="20641" spans="1:15">
      <c r="A20641" t="s">
        <v>60167</v>
      </c>
      <c r="B20641" t="s">
        <v>11644</v>
      </c>
      <c r="C20641" t="s">
        <v>20314</v>
      </c>
      <c r="D20641" t="s">
        <v>60168</v>
      </c>
      <c r="E20641" t="b">
        <v>0</v>
      </c>
      <c r="F20641" t="s">
        <v>11610</v>
      </c>
      <c r="L20641">
        <v>0</v>
      </c>
      <c r="M20641">
        <v>0</v>
      </c>
      <c r="N20641">
        <v>0</v>
      </c>
    </row>
    <row r="20642" spans="1:15">
      <c r="A20642" t="s">
        <v>60169</v>
      </c>
      <c r="B20642" t="s">
        <v>11644</v>
      </c>
      <c r="C20642" t="s">
        <v>22927</v>
      </c>
      <c r="D20642" t="s">
        <v>60170</v>
      </c>
      <c r="E20642" t="b">
        <v>0</v>
      </c>
      <c r="F20642" t="s">
        <v>11610</v>
      </c>
      <c r="L20642">
        <v>0</v>
      </c>
      <c r="M20642">
        <v>0</v>
      </c>
      <c r="N20642">
        <v>0</v>
      </c>
    </row>
    <row r="20643" spans="1:15">
      <c r="A20643" t="s">
        <v>60171</v>
      </c>
      <c r="B20643" t="s">
        <v>11644</v>
      </c>
      <c r="C20643" t="s">
        <v>45997</v>
      </c>
      <c r="D20643" t="s">
        <v>60172</v>
      </c>
      <c r="E20643" t="b">
        <v>0</v>
      </c>
      <c r="F20643" t="s">
        <v>11624</v>
      </c>
      <c r="G20643">
        <v>38.894903999999997</v>
      </c>
      <c r="H20643">
        <v>102.246464</v>
      </c>
      <c r="I20643" t="s">
        <v>60173</v>
      </c>
      <c r="L20643">
        <v>0</v>
      </c>
      <c r="M20643">
        <v>0</v>
      </c>
      <c r="N20643">
        <v>0</v>
      </c>
      <c r="O20643" t="s">
        <v>11905</v>
      </c>
    </row>
    <row r="20644" spans="1:15">
      <c r="A20644" t="s">
        <v>42978</v>
      </c>
      <c r="B20644" t="s">
        <v>11644</v>
      </c>
      <c r="C20644" t="s">
        <v>13813</v>
      </c>
      <c r="D20644" t="s">
        <v>60174</v>
      </c>
      <c r="E20644" t="b">
        <v>0</v>
      </c>
      <c r="F20644" t="s">
        <v>11622</v>
      </c>
      <c r="L20644">
        <v>2</v>
      </c>
      <c r="M20644">
        <v>6</v>
      </c>
      <c r="N20644">
        <v>3</v>
      </c>
    </row>
    <row r="20645" spans="1:15">
      <c r="A20645" t="s">
        <v>38323</v>
      </c>
      <c r="B20645" t="s">
        <v>11644</v>
      </c>
      <c r="C20645" t="s">
        <v>36131</v>
      </c>
      <c r="D20645" t="s">
        <v>60175</v>
      </c>
      <c r="E20645" t="b">
        <v>0</v>
      </c>
      <c r="F20645" t="s">
        <v>11624</v>
      </c>
      <c r="G20645">
        <v>25.0489</v>
      </c>
      <c r="H20645">
        <v>94.356700000000004</v>
      </c>
      <c r="I20645" t="s">
        <v>60176</v>
      </c>
      <c r="L20645">
        <v>0</v>
      </c>
      <c r="M20645">
        <v>0</v>
      </c>
      <c r="N20645">
        <v>3</v>
      </c>
      <c r="O20645" t="s">
        <v>13598</v>
      </c>
    </row>
    <row r="20646" spans="1:15">
      <c r="A20646" t="s">
        <v>60177</v>
      </c>
      <c r="B20646" t="s">
        <v>11644</v>
      </c>
      <c r="C20646" t="s">
        <v>13896</v>
      </c>
      <c r="D20646" t="s">
        <v>60178</v>
      </c>
      <c r="E20646" t="b">
        <v>0</v>
      </c>
      <c r="F20646" t="s">
        <v>11610</v>
      </c>
      <c r="L20646">
        <v>0</v>
      </c>
      <c r="M20646">
        <v>0</v>
      </c>
      <c r="N20646">
        <v>0</v>
      </c>
    </row>
    <row r="20647" spans="1:15">
      <c r="A20647" t="s">
        <v>60179</v>
      </c>
      <c r="B20647" t="s">
        <v>11644</v>
      </c>
      <c r="C20647" t="s">
        <v>12404</v>
      </c>
      <c r="D20647" t="s">
        <v>60180</v>
      </c>
      <c r="E20647" t="b">
        <v>0</v>
      </c>
      <c r="F20647" t="s">
        <v>11610</v>
      </c>
      <c r="L20647">
        <v>0</v>
      </c>
      <c r="M20647">
        <v>0</v>
      </c>
      <c r="N20647">
        <v>0</v>
      </c>
    </row>
    <row r="20648" spans="1:15">
      <c r="A20648" t="s">
        <v>28550</v>
      </c>
      <c r="D20648" t="s">
        <v>60181</v>
      </c>
      <c r="E20648" t="b">
        <v>0</v>
      </c>
      <c r="F20648" t="s">
        <v>11622</v>
      </c>
      <c r="L20648">
        <v>2</v>
      </c>
      <c r="M20648">
        <v>4</v>
      </c>
      <c r="N20648">
        <v>2</v>
      </c>
    </row>
    <row r="20649" spans="1:15">
      <c r="A20649" t="s">
        <v>60182</v>
      </c>
      <c r="B20649" t="s">
        <v>6742</v>
      </c>
      <c r="C20649" t="s">
        <v>16549</v>
      </c>
      <c r="D20649" t="s">
        <v>60183</v>
      </c>
      <c r="E20649" t="b">
        <v>0</v>
      </c>
      <c r="F20649" t="s">
        <v>11610</v>
      </c>
      <c r="L20649">
        <v>0</v>
      </c>
      <c r="M20649">
        <v>0</v>
      </c>
      <c r="N20649">
        <v>0</v>
      </c>
    </row>
    <row r="20650" spans="1:15">
      <c r="A20650" t="s">
        <v>60184</v>
      </c>
      <c r="B20650" t="s">
        <v>6742</v>
      </c>
      <c r="C20650" t="s">
        <v>49533</v>
      </c>
      <c r="D20650" t="s">
        <v>60185</v>
      </c>
      <c r="E20650" t="b">
        <v>0</v>
      </c>
      <c r="F20650" t="s">
        <v>11610</v>
      </c>
      <c r="L20650">
        <v>0</v>
      </c>
      <c r="M20650">
        <v>0</v>
      </c>
      <c r="N20650">
        <v>0</v>
      </c>
    </row>
    <row r="20651" spans="1:15">
      <c r="A20651" t="s">
        <v>60186</v>
      </c>
      <c r="B20651" t="s">
        <v>6742</v>
      </c>
      <c r="C20651" t="s">
        <v>18374</v>
      </c>
      <c r="D20651" t="s">
        <v>60187</v>
      </c>
      <c r="E20651" t="b">
        <v>0</v>
      </c>
      <c r="F20651" t="s">
        <v>11610</v>
      </c>
      <c r="L20651">
        <v>0</v>
      </c>
      <c r="M20651">
        <v>0</v>
      </c>
      <c r="N20651">
        <v>0</v>
      </c>
    </row>
    <row r="20652" spans="1:15">
      <c r="A20652" t="s">
        <v>60188</v>
      </c>
      <c r="B20652" t="s">
        <v>6742</v>
      </c>
      <c r="C20652" t="s">
        <v>26953</v>
      </c>
      <c r="D20652" t="s">
        <v>60189</v>
      </c>
      <c r="E20652" t="b">
        <v>0</v>
      </c>
      <c r="F20652" t="s">
        <v>11610</v>
      </c>
      <c r="L20652">
        <v>0</v>
      </c>
      <c r="M20652">
        <v>0</v>
      </c>
      <c r="N20652">
        <v>0</v>
      </c>
    </row>
    <row r="20653" spans="1:15">
      <c r="A20653" t="s">
        <v>60190</v>
      </c>
      <c r="B20653" t="s">
        <v>6742</v>
      </c>
      <c r="C20653" t="s">
        <v>40194</v>
      </c>
      <c r="D20653" t="s">
        <v>60191</v>
      </c>
      <c r="E20653" t="b">
        <v>0</v>
      </c>
      <c r="F20653" t="s">
        <v>11610</v>
      </c>
      <c r="L20653">
        <v>0</v>
      </c>
      <c r="M20653">
        <v>0</v>
      </c>
      <c r="N20653">
        <v>0</v>
      </c>
    </row>
    <row r="20654" spans="1:15">
      <c r="A20654" t="s">
        <v>60192</v>
      </c>
      <c r="B20654" t="s">
        <v>13276</v>
      </c>
      <c r="C20654" t="s">
        <v>35348</v>
      </c>
      <c r="D20654" t="s">
        <v>60193</v>
      </c>
      <c r="E20654" t="b">
        <v>0</v>
      </c>
      <c r="F20654" t="s">
        <v>11610</v>
      </c>
      <c r="L20654">
        <v>0</v>
      </c>
      <c r="M20654">
        <v>0</v>
      </c>
      <c r="N20654">
        <v>0</v>
      </c>
    </row>
    <row r="20655" spans="1:15">
      <c r="A20655" t="s">
        <v>60194</v>
      </c>
      <c r="B20655" t="s">
        <v>367</v>
      </c>
      <c r="C20655" t="s">
        <v>13374</v>
      </c>
      <c r="D20655" t="s">
        <v>60195</v>
      </c>
      <c r="E20655" t="b">
        <v>0</v>
      </c>
      <c r="F20655" t="s">
        <v>11624</v>
      </c>
      <c r="G20655">
        <v>-15.564299999999999</v>
      </c>
      <c r="H20655">
        <v>166.958</v>
      </c>
      <c r="I20655" t="s">
        <v>60196</v>
      </c>
      <c r="L20655">
        <v>0</v>
      </c>
      <c r="M20655">
        <v>0</v>
      </c>
      <c r="N20655">
        <v>0</v>
      </c>
      <c r="O20655" t="s">
        <v>12719</v>
      </c>
    </row>
    <row r="20656" spans="1:15">
      <c r="A20656" t="s">
        <v>41906</v>
      </c>
      <c r="B20656" t="s">
        <v>367</v>
      </c>
      <c r="C20656" t="s">
        <v>34759</v>
      </c>
      <c r="D20656" t="s">
        <v>60197</v>
      </c>
      <c r="E20656" t="b">
        <v>0</v>
      </c>
      <c r="F20656" t="s">
        <v>11624</v>
      </c>
      <c r="G20656">
        <v>-4.0882399999999999</v>
      </c>
      <c r="H20656">
        <v>153.61099999999999</v>
      </c>
      <c r="I20656" t="s">
        <v>60198</v>
      </c>
      <c r="L20656">
        <v>0</v>
      </c>
      <c r="M20656">
        <v>0</v>
      </c>
      <c r="N20656">
        <v>4</v>
      </c>
      <c r="O20656" t="s">
        <v>11660</v>
      </c>
    </row>
    <row r="20657" spans="1:15">
      <c r="A20657" t="s">
        <v>60199</v>
      </c>
      <c r="B20657" t="s">
        <v>367</v>
      </c>
      <c r="C20657" t="s">
        <v>17133</v>
      </c>
      <c r="D20657" t="s">
        <v>60200</v>
      </c>
      <c r="E20657" t="b">
        <v>0</v>
      </c>
      <c r="F20657" t="s">
        <v>11610</v>
      </c>
      <c r="L20657">
        <v>0</v>
      </c>
      <c r="M20657">
        <v>0</v>
      </c>
      <c r="N20657">
        <v>0</v>
      </c>
    </row>
    <row r="20658" spans="1:15">
      <c r="A20658" t="s">
        <v>60201</v>
      </c>
      <c r="B20658" t="s">
        <v>11839</v>
      </c>
      <c r="C20658" t="s">
        <v>33908</v>
      </c>
      <c r="D20658" t="s">
        <v>60202</v>
      </c>
      <c r="E20658" t="b">
        <v>0</v>
      </c>
      <c r="F20658" t="s">
        <v>11610</v>
      </c>
      <c r="L20658">
        <v>0</v>
      </c>
      <c r="M20658">
        <v>0</v>
      </c>
      <c r="N20658">
        <v>0</v>
      </c>
    </row>
    <row r="20659" spans="1:15">
      <c r="A20659" t="s">
        <v>38072</v>
      </c>
      <c r="B20659" t="s">
        <v>11839</v>
      </c>
      <c r="C20659" t="s">
        <v>37030</v>
      </c>
      <c r="D20659" t="s">
        <v>60203</v>
      </c>
      <c r="E20659" t="b">
        <v>0</v>
      </c>
      <c r="F20659" t="s">
        <v>11622</v>
      </c>
      <c r="L20659">
        <v>0</v>
      </c>
      <c r="M20659">
        <v>2</v>
      </c>
      <c r="N20659">
        <v>13</v>
      </c>
    </row>
    <row r="20660" spans="1:15">
      <c r="A20660" t="s">
        <v>60204</v>
      </c>
      <c r="B20660" t="s">
        <v>11615</v>
      </c>
      <c r="C20660" t="s">
        <v>46297</v>
      </c>
      <c r="D20660" t="s">
        <v>60205</v>
      </c>
      <c r="E20660" t="b">
        <v>0</v>
      </c>
      <c r="F20660" t="s">
        <v>11624</v>
      </c>
      <c r="G20660">
        <v>-5.1334299999999997</v>
      </c>
      <c r="H20660">
        <v>140.26900000000001</v>
      </c>
      <c r="I20660" t="s">
        <v>60206</v>
      </c>
      <c r="L20660">
        <v>0</v>
      </c>
      <c r="M20660">
        <v>0</v>
      </c>
      <c r="N20660">
        <v>0</v>
      </c>
      <c r="O20660" t="s">
        <v>11768</v>
      </c>
    </row>
    <row r="20661" spans="1:15">
      <c r="A20661" t="s">
        <v>13695</v>
      </c>
      <c r="B20661" t="s">
        <v>11871</v>
      </c>
      <c r="C20661" t="s">
        <v>29411</v>
      </c>
      <c r="D20661" t="s">
        <v>60207</v>
      </c>
      <c r="E20661" t="b">
        <v>0</v>
      </c>
      <c r="F20661" t="s">
        <v>11622</v>
      </c>
      <c r="L20661">
        <v>1</v>
      </c>
      <c r="M20661">
        <v>4</v>
      </c>
      <c r="N20661">
        <v>0</v>
      </c>
    </row>
    <row r="20662" spans="1:15">
      <c r="A20662" t="s">
        <v>60208</v>
      </c>
      <c r="B20662" t="s">
        <v>11871</v>
      </c>
      <c r="C20662" t="s">
        <v>34799</v>
      </c>
      <c r="D20662" t="s">
        <v>60209</v>
      </c>
      <c r="E20662" t="b">
        <v>0</v>
      </c>
      <c r="F20662" t="s">
        <v>11624</v>
      </c>
      <c r="G20662">
        <v>-4.4621000000000004</v>
      </c>
      <c r="H20662">
        <v>144.916</v>
      </c>
      <c r="I20662" t="s">
        <v>60210</v>
      </c>
      <c r="L20662">
        <v>0</v>
      </c>
      <c r="M20662">
        <v>0</v>
      </c>
      <c r="N20662">
        <v>0</v>
      </c>
      <c r="O20662" t="s">
        <v>11660</v>
      </c>
    </row>
    <row r="20663" spans="1:15">
      <c r="A20663" t="s">
        <v>60211</v>
      </c>
      <c r="B20663" t="s">
        <v>11871</v>
      </c>
      <c r="C20663" t="s">
        <v>13695</v>
      </c>
      <c r="D20663" t="s">
        <v>60212</v>
      </c>
      <c r="E20663" t="b">
        <v>0</v>
      </c>
      <c r="F20663" t="s">
        <v>11624</v>
      </c>
      <c r="G20663">
        <v>-4.5728200000000001</v>
      </c>
      <c r="H20663">
        <v>144.92699999999999</v>
      </c>
      <c r="I20663" t="s">
        <v>60213</v>
      </c>
      <c r="L20663">
        <v>0</v>
      </c>
      <c r="M20663">
        <v>0</v>
      </c>
      <c r="N20663">
        <v>0</v>
      </c>
      <c r="O20663" t="s">
        <v>11660</v>
      </c>
    </row>
    <row r="20664" spans="1:15">
      <c r="A20664" t="s">
        <v>60214</v>
      </c>
      <c r="B20664" t="s">
        <v>4342</v>
      </c>
      <c r="C20664" t="s">
        <v>22911</v>
      </c>
      <c r="D20664" t="s">
        <v>60215</v>
      </c>
      <c r="E20664" t="b">
        <v>0</v>
      </c>
      <c r="F20664" t="s">
        <v>11610</v>
      </c>
      <c r="L20664">
        <v>0</v>
      </c>
      <c r="M20664">
        <v>0</v>
      </c>
      <c r="N20664">
        <v>0</v>
      </c>
    </row>
    <row r="20665" spans="1:15">
      <c r="A20665" t="s">
        <v>24527</v>
      </c>
      <c r="B20665" t="s">
        <v>11607</v>
      </c>
      <c r="C20665" t="s">
        <v>19247</v>
      </c>
      <c r="D20665" t="s">
        <v>60216</v>
      </c>
      <c r="E20665" t="b">
        <v>0</v>
      </c>
      <c r="F20665" t="s">
        <v>11622</v>
      </c>
      <c r="L20665">
        <v>3</v>
      </c>
      <c r="M20665">
        <v>7</v>
      </c>
      <c r="N20665">
        <v>9</v>
      </c>
    </row>
    <row r="20666" spans="1:15">
      <c r="A20666" t="s">
        <v>38448</v>
      </c>
      <c r="B20666" t="s">
        <v>11607</v>
      </c>
      <c r="C20666" t="s">
        <v>24527</v>
      </c>
      <c r="D20666" t="s">
        <v>60217</v>
      </c>
      <c r="E20666" t="b">
        <v>0</v>
      </c>
      <c r="F20666" t="s">
        <v>11622</v>
      </c>
      <c r="L20666">
        <v>2</v>
      </c>
      <c r="M20666">
        <v>6</v>
      </c>
      <c r="N20666">
        <v>6</v>
      </c>
    </row>
    <row r="20667" spans="1:15">
      <c r="A20667" t="s">
        <v>60218</v>
      </c>
      <c r="B20667" t="s">
        <v>11607</v>
      </c>
      <c r="C20667" t="s">
        <v>27826</v>
      </c>
      <c r="D20667" t="s">
        <v>60219</v>
      </c>
      <c r="E20667" t="b">
        <v>0</v>
      </c>
      <c r="F20667" t="s">
        <v>11610</v>
      </c>
      <c r="L20667">
        <v>0</v>
      </c>
      <c r="M20667">
        <v>0</v>
      </c>
      <c r="N20667">
        <v>0</v>
      </c>
    </row>
    <row r="20668" spans="1:15">
      <c r="A20668" t="s">
        <v>60220</v>
      </c>
      <c r="B20668" t="s">
        <v>11644</v>
      </c>
      <c r="C20668" t="s">
        <v>40336</v>
      </c>
      <c r="D20668" t="s">
        <v>60221</v>
      </c>
      <c r="E20668" t="b">
        <v>0</v>
      </c>
      <c r="F20668" t="s">
        <v>11624</v>
      </c>
      <c r="G20668">
        <v>26.9</v>
      </c>
      <c r="H20668">
        <v>99.9</v>
      </c>
      <c r="I20668" t="s">
        <v>60222</v>
      </c>
      <c r="L20668">
        <v>0</v>
      </c>
      <c r="M20668">
        <v>0</v>
      </c>
      <c r="N20668">
        <v>0</v>
      </c>
      <c r="O20668" t="s">
        <v>11905</v>
      </c>
    </row>
    <row r="20669" spans="1:15">
      <c r="A20669" t="s">
        <v>60223</v>
      </c>
      <c r="B20669" t="s">
        <v>11644</v>
      </c>
      <c r="C20669" t="s">
        <v>24102</v>
      </c>
      <c r="D20669" t="s">
        <v>60224</v>
      </c>
      <c r="E20669" t="b">
        <v>0</v>
      </c>
      <c r="F20669" t="s">
        <v>11624</v>
      </c>
      <c r="G20669">
        <v>35.803798999999998</v>
      </c>
      <c r="H20669">
        <v>103.54273000000001</v>
      </c>
      <c r="L20669">
        <v>0</v>
      </c>
      <c r="M20669">
        <v>0</v>
      </c>
      <c r="N20669">
        <v>0</v>
      </c>
      <c r="O20669" t="s">
        <v>11905</v>
      </c>
    </row>
    <row r="20670" spans="1:15">
      <c r="A20670" t="s">
        <v>60225</v>
      </c>
      <c r="B20670" t="s">
        <v>11627</v>
      </c>
      <c r="C20670" t="s">
        <v>11627</v>
      </c>
      <c r="D20670" t="s">
        <v>60226</v>
      </c>
      <c r="E20670" t="b">
        <v>1</v>
      </c>
      <c r="F20670" t="s">
        <v>11624</v>
      </c>
      <c r="G20670">
        <v>38.226700000000001</v>
      </c>
      <c r="H20670">
        <v>71.254199999999997</v>
      </c>
      <c r="I20670" t="s">
        <v>60227</v>
      </c>
      <c r="L20670">
        <v>0</v>
      </c>
      <c r="M20670">
        <v>0</v>
      </c>
      <c r="N20670">
        <v>0</v>
      </c>
      <c r="O20670" t="s">
        <v>12131</v>
      </c>
    </row>
    <row r="20671" spans="1:15">
      <c r="A20671" t="s">
        <v>34799</v>
      </c>
      <c r="B20671" t="s">
        <v>11871</v>
      </c>
      <c r="C20671" t="s">
        <v>13695</v>
      </c>
      <c r="D20671" t="s">
        <v>60228</v>
      </c>
      <c r="E20671" t="b">
        <v>0</v>
      </c>
      <c r="F20671" t="s">
        <v>11622</v>
      </c>
      <c r="L20671">
        <v>0</v>
      </c>
      <c r="M20671">
        <v>2</v>
      </c>
      <c r="N20671">
        <v>0</v>
      </c>
    </row>
    <row r="20672" spans="1:15">
      <c r="A20672" t="s">
        <v>46297</v>
      </c>
      <c r="B20672" t="s">
        <v>11615</v>
      </c>
      <c r="C20672" t="s">
        <v>38728</v>
      </c>
      <c r="D20672" t="s">
        <v>60229</v>
      </c>
      <c r="E20672" t="b">
        <v>0</v>
      </c>
      <c r="F20672" t="s">
        <v>11622</v>
      </c>
      <c r="L20672">
        <v>0</v>
      </c>
      <c r="M20672">
        <v>2</v>
      </c>
      <c r="N20672">
        <v>0</v>
      </c>
    </row>
    <row r="20673" spans="1:15">
      <c r="A20673" t="s">
        <v>60230</v>
      </c>
      <c r="B20673" t="s">
        <v>11644</v>
      </c>
      <c r="C20673" t="s">
        <v>24007</v>
      </c>
      <c r="D20673" t="s">
        <v>60231</v>
      </c>
      <c r="E20673" t="b">
        <v>0</v>
      </c>
      <c r="F20673" t="s">
        <v>11624</v>
      </c>
      <c r="G20673">
        <v>28.95</v>
      </c>
      <c r="H20673">
        <v>94.98</v>
      </c>
      <c r="L20673">
        <v>0</v>
      </c>
      <c r="M20673">
        <v>0</v>
      </c>
      <c r="N20673">
        <v>0</v>
      </c>
      <c r="O20673" t="s">
        <v>11630</v>
      </c>
    </row>
    <row r="20674" spans="1:15">
      <c r="A20674" t="s">
        <v>38639</v>
      </c>
      <c r="B20674" t="s">
        <v>11607</v>
      </c>
      <c r="C20674" t="s">
        <v>38448</v>
      </c>
      <c r="D20674" t="s">
        <v>60232</v>
      </c>
      <c r="E20674" t="b">
        <v>0</v>
      </c>
      <c r="F20674" t="s">
        <v>11622</v>
      </c>
      <c r="L20674">
        <v>1</v>
      </c>
      <c r="M20674">
        <v>3</v>
      </c>
      <c r="N20674">
        <v>4</v>
      </c>
    </row>
    <row r="20675" spans="1:15">
      <c r="A20675" t="s">
        <v>45668</v>
      </c>
      <c r="B20675" t="s">
        <v>11644</v>
      </c>
      <c r="C20675" t="s">
        <v>37350</v>
      </c>
      <c r="D20675" t="s">
        <v>60233</v>
      </c>
      <c r="E20675" t="b">
        <v>0</v>
      </c>
      <c r="F20675" t="s">
        <v>11622</v>
      </c>
      <c r="L20675">
        <v>0</v>
      </c>
      <c r="M20675">
        <v>4</v>
      </c>
      <c r="N20675">
        <v>29</v>
      </c>
    </row>
    <row r="20676" spans="1:15">
      <c r="A20676" t="s">
        <v>60234</v>
      </c>
      <c r="B20676" t="s">
        <v>11644</v>
      </c>
      <c r="C20676" t="s">
        <v>31414</v>
      </c>
      <c r="D20676" t="s">
        <v>60235</v>
      </c>
      <c r="E20676" t="b">
        <v>0</v>
      </c>
      <c r="F20676" t="s">
        <v>11610</v>
      </c>
      <c r="L20676">
        <v>0</v>
      </c>
      <c r="M20676">
        <v>0</v>
      </c>
      <c r="N20676">
        <v>0</v>
      </c>
    </row>
    <row r="20677" spans="1:15">
      <c r="A20677" t="s">
        <v>60236</v>
      </c>
      <c r="B20677" t="s">
        <v>10597</v>
      </c>
      <c r="C20677" t="s">
        <v>46569</v>
      </c>
      <c r="D20677" t="s">
        <v>60237</v>
      </c>
      <c r="E20677" t="b">
        <v>0</v>
      </c>
      <c r="F20677" t="s">
        <v>11610</v>
      </c>
      <c r="L20677">
        <v>0</v>
      </c>
      <c r="M20677">
        <v>0</v>
      </c>
      <c r="N20677">
        <v>0</v>
      </c>
    </row>
    <row r="20678" spans="1:15">
      <c r="A20678" t="s">
        <v>60238</v>
      </c>
      <c r="B20678" t="s">
        <v>367</v>
      </c>
      <c r="C20678" t="s">
        <v>13343</v>
      </c>
      <c r="D20678" t="s">
        <v>60239</v>
      </c>
      <c r="E20678" t="b">
        <v>0</v>
      </c>
      <c r="F20678" t="s">
        <v>11624</v>
      </c>
      <c r="G20678">
        <v>-11.297499999999999</v>
      </c>
      <c r="H20678">
        <v>166.50700000000001</v>
      </c>
      <c r="I20678" t="s">
        <v>60240</v>
      </c>
      <c r="L20678">
        <v>0</v>
      </c>
      <c r="M20678">
        <v>0</v>
      </c>
      <c r="N20678">
        <v>0</v>
      </c>
      <c r="O20678" t="s">
        <v>13346</v>
      </c>
    </row>
    <row r="20679" spans="1:15">
      <c r="A20679" t="s">
        <v>60241</v>
      </c>
      <c r="B20679" t="s">
        <v>367</v>
      </c>
      <c r="C20679" t="s">
        <v>35712</v>
      </c>
      <c r="D20679" t="s">
        <v>60242</v>
      </c>
      <c r="E20679" t="b">
        <v>0</v>
      </c>
      <c r="F20679" t="s">
        <v>11610</v>
      </c>
      <c r="L20679">
        <v>0</v>
      </c>
      <c r="M20679">
        <v>0</v>
      </c>
      <c r="N20679">
        <v>0</v>
      </c>
    </row>
    <row r="20680" spans="1:15">
      <c r="A20680" t="s">
        <v>54490</v>
      </c>
      <c r="B20680" t="s">
        <v>2975</v>
      </c>
      <c r="C20680" t="s">
        <v>58716</v>
      </c>
      <c r="D20680" t="s">
        <v>60243</v>
      </c>
      <c r="E20680" t="b">
        <v>0</v>
      </c>
      <c r="F20680" t="s">
        <v>11624</v>
      </c>
      <c r="G20680">
        <v>-0.59023000000000003</v>
      </c>
      <c r="H20680">
        <v>-70.385300000000001</v>
      </c>
      <c r="I20680" t="s">
        <v>60244</v>
      </c>
      <c r="L20680">
        <v>0</v>
      </c>
      <c r="M20680">
        <v>0</v>
      </c>
      <c r="N20680">
        <v>2</v>
      </c>
      <c r="O20680" t="s">
        <v>11898</v>
      </c>
    </row>
    <row r="20681" spans="1:15">
      <c r="A20681" t="s">
        <v>60245</v>
      </c>
      <c r="B20681" t="s">
        <v>2975</v>
      </c>
      <c r="C20681" t="s">
        <v>54490</v>
      </c>
      <c r="D20681" t="s">
        <v>60246</v>
      </c>
      <c r="E20681" t="b">
        <v>0</v>
      </c>
      <c r="F20681" t="s">
        <v>11610</v>
      </c>
      <c r="L20681">
        <v>0</v>
      </c>
      <c r="M20681">
        <v>0</v>
      </c>
      <c r="N20681">
        <v>0</v>
      </c>
    </row>
    <row r="20682" spans="1:15">
      <c r="A20682" t="s">
        <v>25986</v>
      </c>
      <c r="B20682" t="s">
        <v>11644</v>
      </c>
      <c r="C20682" t="s">
        <v>37515</v>
      </c>
      <c r="D20682" t="s">
        <v>60247</v>
      </c>
      <c r="E20682" t="b">
        <v>0</v>
      </c>
      <c r="F20682" t="s">
        <v>11622</v>
      </c>
      <c r="L20682">
        <v>6</v>
      </c>
      <c r="M20682">
        <v>10</v>
      </c>
      <c r="N20682">
        <v>16</v>
      </c>
    </row>
    <row r="20683" spans="1:15">
      <c r="A20683" t="s">
        <v>60248</v>
      </c>
      <c r="B20683" t="s">
        <v>12438</v>
      </c>
      <c r="C20683" t="s">
        <v>5160</v>
      </c>
      <c r="D20683" t="s">
        <v>60249</v>
      </c>
      <c r="E20683" t="b">
        <v>0</v>
      </c>
      <c r="F20683" t="s">
        <v>11610</v>
      </c>
      <c r="L20683">
        <v>0</v>
      </c>
      <c r="M20683">
        <v>0</v>
      </c>
      <c r="N20683">
        <v>0</v>
      </c>
    </row>
    <row r="20684" spans="1:15">
      <c r="A20684" t="s">
        <v>60250</v>
      </c>
      <c r="B20684" t="s">
        <v>6742</v>
      </c>
      <c r="C20684" t="s">
        <v>32106</v>
      </c>
      <c r="D20684" t="s">
        <v>60251</v>
      </c>
      <c r="E20684" t="b">
        <v>0</v>
      </c>
      <c r="F20684" t="s">
        <v>11624</v>
      </c>
      <c r="G20684">
        <v>9.4012100000000007</v>
      </c>
      <c r="H20684">
        <v>6.87432</v>
      </c>
      <c r="I20684" t="s">
        <v>60252</v>
      </c>
      <c r="L20684">
        <v>0</v>
      </c>
      <c r="M20684">
        <v>0</v>
      </c>
      <c r="N20684">
        <v>0</v>
      </c>
      <c r="O20684" t="s">
        <v>11693</v>
      </c>
    </row>
    <row r="20685" spans="1:15">
      <c r="A20685" t="s">
        <v>60253</v>
      </c>
      <c r="B20685" t="s">
        <v>11627</v>
      </c>
      <c r="C20685" t="s">
        <v>11627</v>
      </c>
      <c r="D20685" t="s">
        <v>60254</v>
      </c>
      <c r="E20685" t="b">
        <v>1</v>
      </c>
      <c r="F20685" t="s">
        <v>11624</v>
      </c>
      <c r="I20685" t="s">
        <v>60255</v>
      </c>
      <c r="L20685">
        <v>0</v>
      </c>
      <c r="M20685">
        <v>0</v>
      </c>
      <c r="N20685">
        <v>0</v>
      </c>
    </row>
    <row r="20686" spans="1:15">
      <c r="A20686" t="s">
        <v>60256</v>
      </c>
      <c r="B20686" t="s">
        <v>367</v>
      </c>
      <c r="C20686" t="s">
        <v>38892</v>
      </c>
      <c r="D20686" t="s">
        <v>60257</v>
      </c>
      <c r="E20686" t="b">
        <v>0</v>
      </c>
      <c r="F20686" t="s">
        <v>11610</v>
      </c>
      <c r="L20686">
        <v>0</v>
      </c>
      <c r="M20686">
        <v>0</v>
      </c>
      <c r="N20686">
        <v>0</v>
      </c>
    </row>
    <row r="20687" spans="1:15">
      <c r="A20687" t="s">
        <v>60258</v>
      </c>
      <c r="B20687" t="s">
        <v>367</v>
      </c>
      <c r="C20687" t="s">
        <v>39989</v>
      </c>
      <c r="D20687" t="s">
        <v>60259</v>
      </c>
      <c r="E20687" t="b">
        <v>0</v>
      </c>
      <c r="F20687" t="s">
        <v>11610</v>
      </c>
      <c r="L20687">
        <v>0</v>
      </c>
      <c r="M20687">
        <v>0</v>
      </c>
      <c r="N20687">
        <v>0</v>
      </c>
    </row>
    <row r="20688" spans="1:15">
      <c r="A20688" t="s">
        <v>60260</v>
      </c>
      <c r="B20688" t="s">
        <v>13276</v>
      </c>
      <c r="C20688" t="s">
        <v>33413</v>
      </c>
      <c r="D20688" t="s">
        <v>60261</v>
      </c>
      <c r="E20688" t="b">
        <v>0</v>
      </c>
      <c r="F20688" t="s">
        <v>11610</v>
      </c>
      <c r="L20688">
        <v>0</v>
      </c>
      <c r="M20688">
        <v>0</v>
      </c>
      <c r="N20688">
        <v>0</v>
      </c>
    </row>
    <row r="20689" spans="1:15">
      <c r="A20689" t="s">
        <v>60262</v>
      </c>
      <c r="B20689" t="s">
        <v>11644</v>
      </c>
      <c r="C20689" t="s">
        <v>21071</v>
      </c>
      <c r="D20689" t="s">
        <v>60263</v>
      </c>
      <c r="E20689" t="b">
        <v>0</v>
      </c>
      <c r="F20689" t="s">
        <v>11610</v>
      </c>
      <c r="L20689">
        <v>0</v>
      </c>
      <c r="M20689">
        <v>0</v>
      </c>
      <c r="N20689">
        <v>0</v>
      </c>
    </row>
    <row r="20690" spans="1:15">
      <c r="A20690" t="s">
        <v>49061</v>
      </c>
      <c r="B20690" t="s">
        <v>367</v>
      </c>
      <c r="C20690" t="s">
        <v>13765</v>
      </c>
      <c r="D20690" t="s">
        <v>60264</v>
      </c>
      <c r="E20690" t="b">
        <v>0</v>
      </c>
      <c r="F20690" t="s">
        <v>11622</v>
      </c>
      <c r="L20690">
        <v>3</v>
      </c>
      <c r="M20690">
        <v>5</v>
      </c>
      <c r="N20690">
        <v>11</v>
      </c>
    </row>
    <row r="20691" spans="1:15">
      <c r="A20691" t="s">
        <v>60265</v>
      </c>
      <c r="B20691" t="s">
        <v>367</v>
      </c>
      <c r="C20691" t="s">
        <v>21535</v>
      </c>
      <c r="D20691" t="s">
        <v>60266</v>
      </c>
      <c r="E20691" t="b">
        <v>0</v>
      </c>
      <c r="F20691" t="s">
        <v>11610</v>
      </c>
      <c r="L20691">
        <v>0</v>
      </c>
      <c r="M20691">
        <v>0</v>
      </c>
      <c r="N20691">
        <v>0</v>
      </c>
    </row>
    <row r="20692" spans="1:15">
      <c r="A20692" t="s">
        <v>60267</v>
      </c>
      <c r="B20692" t="s">
        <v>367</v>
      </c>
      <c r="C20692" t="s">
        <v>41708</v>
      </c>
      <c r="D20692" t="s">
        <v>60268</v>
      </c>
      <c r="E20692" t="b">
        <v>0</v>
      </c>
      <c r="F20692" t="s">
        <v>11624</v>
      </c>
      <c r="G20692">
        <v>-24.918600000000001</v>
      </c>
      <c r="H20692">
        <v>47.1357</v>
      </c>
      <c r="I20692" t="s">
        <v>60269</v>
      </c>
      <c r="L20692">
        <v>0</v>
      </c>
      <c r="M20692">
        <v>0</v>
      </c>
      <c r="N20692">
        <v>0</v>
      </c>
      <c r="O20692" t="s">
        <v>14012</v>
      </c>
    </row>
    <row r="20693" spans="1:15">
      <c r="A20693" t="s">
        <v>21846</v>
      </c>
      <c r="B20693" t="s">
        <v>6742</v>
      </c>
      <c r="C20693" t="s">
        <v>53535</v>
      </c>
      <c r="D20693" t="s">
        <v>60270</v>
      </c>
      <c r="E20693" t="b">
        <v>0</v>
      </c>
      <c r="F20693" t="s">
        <v>11622</v>
      </c>
      <c r="L20693">
        <v>22</v>
      </c>
      <c r="M20693">
        <v>33</v>
      </c>
      <c r="N20693">
        <v>41</v>
      </c>
    </row>
    <row r="20694" spans="1:15">
      <c r="A20694" t="s">
        <v>60271</v>
      </c>
      <c r="B20694" t="s">
        <v>13360</v>
      </c>
      <c r="C20694" t="s">
        <v>13360</v>
      </c>
      <c r="D20694" t="s">
        <v>60272</v>
      </c>
      <c r="E20694" t="b">
        <v>0</v>
      </c>
      <c r="F20694" t="s">
        <v>11624</v>
      </c>
      <c r="L20694">
        <v>0</v>
      </c>
      <c r="M20694">
        <v>0</v>
      </c>
      <c r="N20694">
        <v>0</v>
      </c>
      <c r="O20694" t="s">
        <v>11883</v>
      </c>
    </row>
    <row r="20695" spans="1:15">
      <c r="A20695" t="s">
        <v>60273</v>
      </c>
      <c r="B20695" t="s">
        <v>11981</v>
      </c>
      <c r="C20695" t="s">
        <v>12200</v>
      </c>
      <c r="D20695" t="s">
        <v>60274</v>
      </c>
      <c r="E20695" t="b">
        <v>0</v>
      </c>
      <c r="F20695" t="s">
        <v>11624</v>
      </c>
      <c r="G20695">
        <v>-6.8243099999999997</v>
      </c>
      <c r="H20695">
        <v>39.127000000000002</v>
      </c>
      <c r="I20695" t="s">
        <v>60275</v>
      </c>
      <c r="L20695">
        <v>0</v>
      </c>
      <c r="M20695">
        <v>0</v>
      </c>
      <c r="N20695">
        <v>0</v>
      </c>
      <c r="O20695" t="s">
        <v>11635</v>
      </c>
    </row>
    <row r="20696" spans="1:15">
      <c r="A20696" t="s">
        <v>60276</v>
      </c>
      <c r="B20696" t="s">
        <v>11644</v>
      </c>
      <c r="C20696" t="s">
        <v>33595</v>
      </c>
      <c r="D20696" t="s">
        <v>60277</v>
      </c>
      <c r="E20696" t="b">
        <v>0</v>
      </c>
      <c r="F20696" t="s">
        <v>11610</v>
      </c>
      <c r="L20696">
        <v>0</v>
      </c>
      <c r="M20696">
        <v>0</v>
      </c>
      <c r="N20696">
        <v>0</v>
      </c>
    </row>
    <row r="20697" spans="1:15">
      <c r="A20697" t="s">
        <v>60278</v>
      </c>
      <c r="B20697" t="s">
        <v>11644</v>
      </c>
      <c r="C20697" t="s">
        <v>33595</v>
      </c>
      <c r="D20697" t="s">
        <v>60279</v>
      </c>
      <c r="E20697" t="b">
        <v>0</v>
      </c>
      <c r="F20697" t="s">
        <v>11610</v>
      </c>
      <c r="L20697">
        <v>0</v>
      </c>
      <c r="M20697">
        <v>0</v>
      </c>
      <c r="N20697">
        <v>0</v>
      </c>
    </row>
    <row r="20698" spans="1:15">
      <c r="A20698" t="s">
        <v>47382</v>
      </c>
      <c r="B20698" t="s">
        <v>12438</v>
      </c>
      <c r="C20698" t="s">
        <v>35456</v>
      </c>
      <c r="D20698" t="s">
        <v>60280</v>
      </c>
      <c r="E20698" t="b">
        <v>0</v>
      </c>
      <c r="F20698" t="s">
        <v>11622</v>
      </c>
      <c r="L20698">
        <v>1</v>
      </c>
      <c r="M20698">
        <v>4</v>
      </c>
      <c r="N20698">
        <v>7</v>
      </c>
    </row>
    <row r="20699" spans="1:15">
      <c r="A20699" t="s">
        <v>60281</v>
      </c>
      <c r="B20699" t="s">
        <v>367</v>
      </c>
      <c r="C20699" t="s">
        <v>15641</v>
      </c>
      <c r="D20699" t="s">
        <v>60282</v>
      </c>
      <c r="E20699" t="b">
        <v>0</v>
      </c>
      <c r="F20699" t="s">
        <v>11610</v>
      </c>
      <c r="L20699">
        <v>0</v>
      </c>
      <c r="M20699">
        <v>0</v>
      </c>
      <c r="N20699">
        <v>0</v>
      </c>
    </row>
    <row r="20700" spans="1:15">
      <c r="A20700" t="s">
        <v>60283</v>
      </c>
      <c r="B20700" t="s">
        <v>6742</v>
      </c>
      <c r="C20700" t="s">
        <v>45418</v>
      </c>
      <c r="D20700" t="s">
        <v>60284</v>
      </c>
      <c r="E20700" t="b">
        <v>0</v>
      </c>
      <c r="F20700" t="s">
        <v>11610</v>
      </c>
      <c r="L20700">
        <v>0</v>
      </c>
      <c r="M20700">
        <v>0</v>
      </c>
      <c r="N20700">
        <v>0</v>
      </c>
    </row>
    <row r="20701" spans="1:15">
      <c r="A20701" t="s">
        <v>60285</v>
      </c>
      <c r="B20701" t="s">
        <v>6742</v>
      </c>
      <c r="C20701" t="s">
        <v>52771</v>
      </c>
      <c r="D20701" t="s">
        <v>60286</v>
      </c>
      <c r="E20701" t="b">
        <v>0</v>
      </c>
      <c r="F20701" t="s">
        <v>11610</v>
      </c>
      <c r="L20701">
        <v>0</v>
      </c>
      <c r="M20701">
        <v>0</v>
      </c>
      <c r="N20701">
        <v>0</v>
      </c>
    </row>
    <row r="20702" spans="1:15">
      <c r="A20702" t="s">
        <v>60287</v>
      </c>
      <c r="B20702" t="s">
        <v>11644</v>
      </c>
      <c r="C20702" t="s">
        <v>26632</v>
      </c>
      <c r="D20702" t="s">
        <v>60288</v>
      </c>
      <c r="E20702" t="b">
        <v>0</v>
      </c>
      <c r="F20702" t="s">
        <v>11610</v>
      </c>
      <c r="L20702">
        <v>0</v>
      </c>
      <c r="M20702">
        <v>0</v>
      </c>
      <c r="N20702">
        <v>0</v>
      </c>
    </row>
    <row r="20703" spans="1:15">
      <c r="A20703" t="s">
        <v>11204</v>
      </c>
      <c r="B20703" t="s">
        <v>14571</v>
      </c>
      <c r="C20703" t="s">
        <v>48241</v>
      </c>
      <c r="D20703" t="s">
        <v>60289</v>
      </c>
      <c r="E20703" t="b">
        <v>0</v>
      </c>
      <c r="F20703" t="s">
        <v>11610</v>
      </c>
      <c r="L20703">
        <v>0</v>
      </c>
      <c r="M20703">
        <v>0</v>
      </c>
      <c r="N20703">
        <v>0</v>
      </c>
    </row>
    <row r="20704" spans="1:15">
      <c r="A20704" t="s">
        <v>48242</v>
      </c>
      <c r="B20704" t="s">
        <v>14571</v>
      </c>
      <c r="C20704" t="s">
        <v>58544</v>
      </c>
      <c r="D20704" t="s">
        <v>60290</v>
      </c>
      <c r="E20704" t="b">
        <v>0</v>
      </c>
      <c r="F20704" t="s">
        <v>11622</v>
      </c>
      <c r="L20704">
        <v>0</v>
      </c>
      <c r="M20704">
        <v>2</v>
      </c>
      <c r="N20704">
        <v>1</v>
      </c>
    </row>
    <row r="20705" spans="1:15">
      <c r="A20705" t="s">
        <v>60291</v>
      </c>
      <c r="B20705" t="s">
        <v>11644</v>
      </c>
      <c r="C20705" t="s">
        <v>40366</v>
      </c>
      <c r="D20705" t="s">
        <v>60292</v>
      </c>
      <c r="E20705" t="b">
        <v>0</v>
      </c>
      <c r="F20705" t="s">
        <v>11610</v>
      </c>
      <c r="G20705">
        <v>24.854548999999999</v>
      </c>
      <c r="H20705">
        <v>120.95200060000001</v>
      </c>
      <c r="L20705">
        <v>0</v>
      </c>
      <c r="M20705">
        <v>0</v>
      </c>
      <c r="N20705">
        <v>0</v>
      </c>
    </row>
    <row r="20706" spans="1:15">
      <c r="A20706" t="s">
        <v>60293</v>
      </c>
      <c r="B20706" t="s">
        <v>11653</v>
      </c>
      <c r="C20706" t="s">
        <v>11714</v>
      </c>
      <c r="D20706" t="s">
        <v>60294</v>
      </c>
      <c r="E20706" t="b">
        <v>0</v>
      </c>
      <c r="F20706" t="s">
        <v>11610</v>
      </c>
      <c r="L20706">
        <v>0</v>
      </c>
      <c r="M20706">
        <v>0</v>
      </c>
      <c r="N20706">
        <v>0</v>
      </c>
    </row>
    <row r="20707" spans="1:15">
      <c r="A20707" t="s">
        <v>60295</v>
      </c>
      <c r="B20707" t="s">
        <v>367</v>
      </c>
      <c r="C20707" t="s">
        <v>25465</v>
      </c>
      <c r="D20707" t="s">
        <v>60296</v>
      </c>
      <c r="E20707" t="b">
        <v>0</v>
      </c>
      <c r="F20707" t="s">
        <v>11610</v>
      </c>
      <c r="L20707">
        <v>0</v>
      </c>
      <c r="M20707">
        <v>0</v>
      </c>
      <c r="N20707">
        <v>0</v>
      </c>
    </row>
    <row r="20708" spans="1:15">
      <c r="A20708" t="s">
        <v>60297</v>
      </c>
      <c r="B20708" t="s">
        <v>367</v>
      </c>
      <c r="C20708" t="s">
        <v>39739</v>
      </c>
      <c r="D20708" t="s">
        <v>60298</v>
      </c>
      <c r="E20708" t="b">
        <v>0</v>
      </c>
      <c r="F20708" t="s">
        <v>11610</v>
      </c>
      <c r="L20708">
        <v>0</v>
      </c>
      <c r="M20708">
        <v>0</v>
      </c>
      <c r="N20708">
        <v>0</v>
      </c>
    </row>
    <row r="20709" spans="1:15">
      <c r="A20709" t="s">
        <v>60299</v>
      </c>
      <c r="B20709" t="s">
        <v>367</v>
      </c>
      <c r="C20709" t="s">
        <v>20273</v>
      </c>
      <c r="D20709" t="s">
        <v>60300</v>
      </c>
      <c r="E20709" t="b">
        <v>0</v>
      </c>
      <c r="F20709" t="s">
        <v>11610</v>
      </c>
      <c r="L20709">
        <v>0</v>
      </c>
      <c r="M20709">
        <v>0</v>
      </c>
      <c r="N20709">
        <v>0</v>
      </c>
    </row>
    <row r="20710" spans="1:15">
      <c r="A20710" t="s">
        <v>60301</v>
      </c>
      <c r="B20710" t="s">
        <v>15027</v>
      </c>
      <c r="C20710" t="s">
        <v>44765</v>
      </c>
      <c r="D20710" t="s">
        <v>60302</v>
      </c>
      <c r="E20710" t="b">
        <v>0</v>
      </c>
      <c r="F20710" t="s">
        <v>11624</v>
      </c>
      <c r="G20710">
        <v>14.9</v>
      </c>
      <c r="H20710">
        <v>-92.28</v>
      </c>
      <c r="I20710" t="s">
        <v>60303</v>
      </c>
      <c r="L20710">
        <v>0</v>
      </c>
      <c r="M20710">
        <v>0</v>
      </c>
      <c r="N20710">
        <v>0</v>
      </c>
      <c r="O20710" t="s">
        <v>11883</v>
      </c>
    </row>
    <row r="20711" spans="1:15">
      <c r="A20711" t="s">
        <v>60304</v>
      </c>
      <c r="B20711" t="s">
        <v>13360</v>
      </c>
      <c r="C20711" t="s">
        <v>13360</v>
      </c>
      <c r="D20711" t="s">
        <v>60305</v>
      </c>
      <c r="E20711" t="b">
        <v>0</v>
      </c>
      <c r="F20711" t="s">
        <v>11624</v>
      </c>
      <c r="L20711">
        <v>0</v>
      </c>
      <c r="M20711">
        <v>0</v>
      </c>
      <c r="N20711">
        <v>0</v>
      </c>
      <c r="O20711" t="s">
        <v>11969</v>
      </c>
    </row>
    <row r="20712" spans="1:15">
      <c r="A20712" t="s">
        <v>60306</v>
      </c>
      <c r="B20712" t="s">
        <v>51653</v>
      </c>
      <c r="C20712" t="s">
        <v>51653</v>
      </c>
      <c r="D20712" t="s">
        <v>60307</v>
      </c>
      <c r="E20712" t="b">
        <v>0</v>
      </c>
      <c r="F20712" t="s">
        <v>11624</v>
      </c>
      <c r="L20712">
        <v>0</v>
      </c>
      <c r="M20712">
        <v>0</v>
      </c>
      <c r="N20712">
        <v>0</v>
      </c>
      <c r="O20712" t="s">
        <v>16711</v>
      </c>
    </row>
    <row r="20713" spans="1:15">
      <c r="A20713" t="s">
        <v>60308</v>
      </c>
      <c r="B20713" t="s">
        <v>11627</v>
      </c>
      <c r="C20713" t="s">
        <v>11627</v>
      </c>
      <c r="D20713" t="s">
        <v>60309</v>
      </c>
      <c r="E20713" t="b">
        <v>1</v>
      </c>
      <c r="F20713" t="s">
        <v>11624</v>
      </c>
      <c r="G20713">
        <v>-4.9999900000000004</v>
      </c>
      <c r="H20713">
        <v>-40.333300000000001</v>
      </c>
      <c r="I20713" t="s">
        <v>60310</v>
      </c>
      <c r="L20713">
        <v>0</v>
      </c>
      <c r="M20713">
        <v>0</v>
      </c>
      <c r="N20713">
        <v>0</v>
      </c>
      <c r="O20713" t="s">
        <v>11969</v>
      </c>
    </row>
    <row r="20714" spans="1:15">
      <c r="A20714" t="s">
        <v>60311</v>
      </c>
      <c r="B20714" t="s">
        <v>13691</v>
      </c>
      <c r="C20714" t="s">
        <v>13691</v>
      </c>
      <c r="D20714" t="s">
        <v>60312</v>
      </c>
      <c r="E20714" t="b">
        <v>0</v>
      </c>
      <c r="F20714" t="s">
        <v>11624</v>
      </c>
      <c r="G20714">
        <v>-4.7776300000000003</v>
      </c>
      <c r="H20714">
        <v>143.33699999999999</v>
      </c>
      <c r="I20714" t="s">
        <v>60313</v>
      </c>
      <c r="L20714">
        <v>0</v>
      </c>
      <c r="M20714">
        <v>0</v>
      </c>
      <c r="N20714">
        <v>0</v>
      </c>
      <c r="O20714" t="s">
        <v>11660</v>
      </c>
    </row>
    <row r="20715" spans="1:15">
      <c r="A20715" t="s">
        <v>60314</v>
      </c>
      <c r="B20715" t="s">
        <v>367</v>
      </c>
      <c r="C20715" t="s">
        <v>14685</v>
      </c>
      <c r="D20715" t="s">
        <v>60315</v>
      </c>
      <c r="E20715" t="b">
        <v>0</v>
      </c>
      <c r="F20715" t="s">
        <v>11610</v>
      </c>
      <c r="L20715">
        <v>0</v>
      </c>
      <c r="M20715">
        <v>0</v>
      </c>
      <c r="N20715">
        <v>0</v>
      </c>
    </row>
    <row r="20716" spans="1:15">
      <c r="A20716" t="s">
        <v>60316</v>
      </c>
      <c r="B20716" t="s">
        <v>11912</v>
      </c>
      <c r="C20716" t="s">
        <v>22718</v>
      </c>
      <c r="D20716" t="s">
        <v>60317</v>
      </c>
      <c r="E20716" t="b">
        <v>0</v>
      </c>
      <c r="F20716" t="s">
        <v>11624</v>
      </c>
      <c r="G20716">
        <v>-21.416899999999998</v>
      </c>
      <c r="H20716">
        <v>-62.683999999999997</v>
      </c>
      <c r="I20716" t="s">
        <v>60318</v>
      </c>
      <c r="L20716">
        <v>0</v>
      </c>
      <c r="M20716">
        <v>0</v>
      </c>
      <c r="N20716">
        <v>0</v>
      </c>
      <c r="O20716" t="s">
        <v>26382</v>
      </c>
    </row>
    <row r="20717" spans="1:15">
      <c r="A20717" t="s">
        <v>60319</v>
      </c>
      <c r="B20717" t="s">
        <v>11912</v>
      </c>
      <c r="C20717" t="s">
        <v>60320</v>
      </c>
      <c r="D20717" t="s">
        <v>60321</v>
      </c>
      <c r="E20717" t="b">
        <v>0</v>
      </c>
      <c r="F20717" t="s">
        <v>11624</v>
      </c>
      <c r="G20717">
        <v>-10.5373</v>
      </c>
      <c r="H20717">
        <v>-50.543799999999997</v>
      </c>
      <c r="I20717" t="s">
        <v>60322</v>
      </c>
      <c r="L20717">
        <v>0</v>
      </c>
      <c r="M20717">
        <v>0</v>
      </c>
      <c r="N20717">
        <v>0</v>
      </c>
      <c r="O20717" t="s">
        <v>11969</v>
      </c>
    </row>
    <row r="20718" spans="1:15">
      <c r="A20718" t="s">
        <v>60323</v>
      </c>
      <c r="B20718" t="s">
        <v>11644</v>
      </c>
      <c r="C20718" t="s">
        <v>22333</v>
      </c>
      <c r="D20718" t="s">
        <v>60324</v>
      </c>
      <c r="E20718" t="b">
        <v>0</v>
      </c>
      <c r="F20718" t="s">
        <v>11610</v>
      </c>
      <c r="L20718">
        <v>0</v>
      </c>
      <c r="M20718">
        <v>0</v>
      </c>
      <c r="N20718">
        <v>0</v>
      </c>
    </row>
    <row r="20719" spans="1:15">
      <c r="A20719" t="s">
        <v>60325</v>
      </c>
      <c r="B20719" t="s">
        <v>11644</v>
      </c>
      <c r="C20719" t="s">
        <v>33208</v>
      </c>
      <c r="D20719" t="s">
        <v>60326</v>
      </c>
      <c r="E20719" t="b">
        <v>0</v>
      </c>
      <c r="F20719" t="s">
        <v>11610</v>
      </c>
      <c r="L20719">
        <v>0</v>
      </c>
      <c r="M20719">
        <v>0</v>
      </c>
      <c r="N20719">
        <v>0</v>
      </c>
    </row>
    <row r="20720" spans="1:15">
      <c r="A20720" t="s">
        <v>60327</v>
      </c>
      <c r="B20720" t="s">
        <v>11844</v>
      </c>
      <c r="C20720" t="s">
        <v>13709</v>
      </c>
      <c r="D20720" t="s">
        <v>60328</v>
      </c>
      <c r="E20720" t="b">
        <v>0</v>
      </c>
      <c r="F20720" t="s">
        <v>11610</v>
      </c>
      <c r="L20720">
        <v>0</v>
      </c>
      <c r="M20720">
        <v>0</v>
      </c>
      <c r="N20720">
        <v>0</v>
      </c>
    </row>
    <row r="20721" spans="1:15">
      <c r="A20721" t="s">
        <v>60329</v>
      </c>
      <c r="B20721" t="s">
        <v>367</v>
      </c>
      <c r="C20721" t="s">
        <v>19734</v>
      </c>
      <c r="D20721" t="s">
        <v>60330</v>
      </c>
      <c r="E20721" t="b">
        <v>0</v>
      </c>
      <c r="F20721" t="s">
        <v>11610</v>
      </c>
      <c r="L20721">
        <v>0</v>
      </c>
      <c r="M20721">
        <v>0</v>
      </c>
      <c r="N20721">
        <v>0</v>
      </c>
    </row>
    <row r="20722" spans="1:15">
      <c r="A20722" t="s">
        <v>60331</v>
      </c>
      <c r="B20722" t="s">
        <v>367</v>
      </c>
      <c r="C20722" t="s">
        <v>27701</v>
      </c>
      <c r="D20722" t="s">
        <v>60332</v>
      </c>
      <c r="E20722" t="b">
        <v>0</v>
      </c>
      <c r="F20722" t="s">
        <v>11610</v>
      </c>
      <c r="L20722">
        <v>0</v>
      </c>
      <c r="M20722">
        <v>0</v>
      </c>
      <c r="N20722">
        <v>0</v>
      </c>
    </row>
    <row r="20723" spans="1:15">
      <c r="A20723" t="s">
        <v>60333</v>
      </c>
      <c r="B20723" t="s">
        <v>85</v>
      </c>
      <c r="C20723" t="s">
        <v>84</v>
      </c>
      <c r="D20723" t="s">
        <v>60334</v>
      </c>
      <c r="E20723" t="b">
        <v>0</v>
      </c>
      <c r="F20723" t="s">
        <v>11610</v>
      </c>
      <c r="L20723">
        <v>0</v>
      </c>
      <c r="M20723">
        <v>0</v>
      </c>
      <c r="N20723">
        <v>0</v>
      </c>
    </row>
    <row r="20724" spans="1:15">
      <c r="A20724" t="s">
        <v>60335</v>
      </c>
      <c r="B20724" t="s">
        <v>13360</v>
      </c>
      <c r="C20724" t="s">
        <v>13360</v>
      </c>
      <c r="D20724" t="s">
        <v>60336</v>
      </c>
      <c r="E20724" t="b">
        <v>0</v>
      </c>
      <c r="F20724" t="s">
        <v>11624</v>
      </c>
      <c r="G20724">
        <v>-5.6988165999999998</v>
      </c>
      <c r="H20724">
        <v>-36.157634600000002</v>
      </c>
      <c r="L20724">
        <v>0</v>
      </c>
      <c r="M20724">
        <v>0</v>
      </c>
      <c r="N20724">
        <v>0</v>
      </c>
      <c r="O20724" t="s">
        <v>11969</v>
      </c>
    </row>
    <row r="20725" spans="1:15">
      <c r="A20725" t="s">
        <v>60337</v>
      </c>
      <c r="B20725" t="s">
        <v>331</v>
      </c>
      <c r="C20725" t="s">
        <v>60338</v>
      </c>
      <c r="D20725" t="s">
        <v>60339</v>
      </c>
      <c r="E20725" t="b">
        <v>0</v>
      </c>
      <c r="F20725" t="s">
        <v>11610</v>
      </c>
      <c r="L20725">
        <v>0</v>
      </c>
      <c r="M20725">
        <v>0</v>
      </c>
      <c r="N20725">
        <v>0</v>
      </c>
    </row>
    <row r="20726" spans="1:15">
      <c r="A20726" t="s">
        <v>60340</v>
      </c>
      <c r="B20726" t="s">
        <v>11644</v>
      </c>
      <c r="C20726" t="s">
        <v>12529</v>
      </c>
      <c r="D20726" t="s">
        <v>60341</v>
      </c>
      <c r="E20726" t="b">
        <v>0</v>
      </c>
      <c r="F20726" t="s">
        <v>11624</v>
      </c>
      <c r="G20726">
        <v>24.400300000000001</v>
      </c>
      <c r="H20726">
        <v>94.170299999999997</v>
      </c>
      <c r="I20726" t="s">
        <v>60342</v>
      </c>
      <c r="L20726">
        <v>0</v>
      </c>
      <c r="M20726">
        <v>0</v>
      </c>
      <c r="N20726">
        <v>0</v>
      </c>
      <c r="O20726" t="s">
        <v>11630</v>
      </c>
    </row>
    <row r="20727" spans="1:15">
      <c r="A20727" t="s">
        <v>60343</v>
      </c>
      <c r="B20727" t="s">
        <v>6742</v>
      </c>
      <c r="C20727" t="s">
        <v>49626</v>
      </c>
      <c r="D20727" t="s">
        <v>60344</v>
      </c>
      <c r="E20727" t="b">
        <v>0</v>
      </c>
      <c r="F20727" t="s">
        <v>11610</v>
      </c>
      <c r="L20727">
        <v>0</v>
      </c>
      <c r="M20727">
        <v>0</v>
      </c>
      <c r="N20727">
        <v>0</v>
      </c>
    </row>
    <row r="20728" spans="1:15">
      <c r="A20728" t="s">
        <v>60345</v>
      </c>
      <c r="B20728" t="s">
        <v>367</v>
      </c>
      <c r="C20728" t="s">
        <v>1592</v>
      </c>
      <c r="D20728" t="s">
        <v>60346</v>
      </c>
      <c r="E20728" t="b">
        <v>0</v>
      </c>
      <c r="F20728" t="s">
        <v>11610</v>
      </c>
      <c r="L20728">
        <v>0</v>
      </c>
      <c r="M20728">
        <v>0</v>
      </c>
      <c r="N20728">
        <v>0</v>
      </c>
    </row>
    <row r="20729" spans="1:15">
      <c r="A20729" t="s">
        <v>60347</v>
      </c>
      <c r="B20729" t="s">
        <v>367</v>
      </c>
      <c r="C20729" t="s">
        <v>60348</v>
      </c>
      <c r="D20729" t="s">
        <v>60349</v>
      </c>
      <c r="E20729" t="b">
        <v>0</v>
      </c>
      <c r="F20729" t="s">
        <v>11610</v>
      </c>
      <c r="L20729">
        <v>0</v>
      </c>
      <c r="M20729">
        <v>0</v>
      </c>
      <c r="N20729">
        <v>0</v>
      </c>
    </row>
    <row r="20730" spans="1:15">
      <c r="A20730" t="s">
        <v>60350</v>
      </c>
      <c r="B20730" t="s">
        <v>367</v>
      </c>
      <c r="C20730" t="s">
        <v>48150</v>
      </c>
      <c r="D20730" t="s">
        <v>60351</v>
      </c>
      <c r="E20730" t="b">
        <v>0</v>
      </c>
      <c r="F20730" t="s">
        <v>11610</v>
      </c>
      <c r="L20730">
        <v>0</v>
      </c>
      <c r="M20730">
        <v>0</v>
      </c>
      <c r="N20730">
        <v>0</v>
      </c>
    </row>
    <row r="20731" spans="1:15">
      <c r="A20731" t="s">
        <v>60352</v>
      </c>
      <c r="B20731" t="s">
        <v>367</v>
      </c>
      <c r="C20731" t="s">
        <v>12116</v>
      </c>
      <c r="D20731" t="s">
        <v>60353</v>
      </c>
      <c r="E20731" t="b">
        <v>0</v>
      </c>
      <c r="F20731" t="s">
        <v>11610</v>
      </c>
      <c r="L20731">
        <v>0</v>
      </c>
      <c r="M20731">
        <v>0</v>
      </c>
      <c r="N20731">
        <v>0</v>
      </c>
    </row>
    <row r="20732" spans="1:15">
      <c r="A20732" t="s">
        <v>60354</v>
      </c>
      <c r="B20732" t="s">
        <v>4342</v>
      </c>
      <c r="C20732" t="s">
        <v>21980</v>
      </c>
      <c r="D20732" t="s">
        <v>60355</v>
      </c>
      <c r="E20732" t="b">
        <v>0</v>
      </c>
      <c r="F20732" t="s">
        <v>11610</v>
      </c>
      <c r="L20732">
        <v>0</v>
      </c>
      <c r="M20732">
        <v>0</v>
      </c>
      <c r="N20732">
        <v>0</v>
      </c>
    </row>
    <row r="20733" spans="1:15">
      <c r="A20733" t="s">
        <v>6663</v>
      </c>
      <c r="B20733" t="s">
        <v>12751</v>
      </c>
      <c r="C20733" t="s">
        <v>29881</v>
      </c>
      <c r="D20733" t="s">
        <v>60356</v>
      </c>
      <c r="E20733" t="b">
        <v>0</v>
      </c>
      <c r="F20733" t="s">
        <v>11622</v>
      </c>
      <c r="L20733">
        <v>0</v>
      </c>
      <c r="M20733">
        <v>5</v>
      </c>
      <c r="N20733">
        <v>1</v>
      </c>
    </row>
    <row r="20734" spans="1:15">
      <c r="A20734" t="s">
        <v>53812</v>
      </c>
      <c r="D20734" t="s">
        <v>60357</v>
      </c>
      <c r="E20734" t="b">
        <v>0</v>
      </c>
      <c r="F20734" t="s">
        <v>11622</v>
      </c>
      <c r="L20734">
        <v>0</v>
      </c>
      <c r="M20734">
        <v>2</v>
      </c>
      <c r="N20734">
        <v>0</v>
      </c>
    </row>
    <row r="20735" spans="1:15">
      <c r="A20735" t="s">
        <v>21142</v>
      </c>
      <c r="B20735" t="s">
        <v>8310</v>
      </c>
      <c r="C20735" t="s">
        <v>3311</v>
      </c>
      <c r="D20735" t="s">
        <v>60358</v>
      </c>
      <c r="E20735" t="b">
        <v>0</v>
      </c>
      <c r="F20735" t="s">
        <v>11622</v>
      </c>
      <c r="L20735">
        <v>1</v>
      </c>
      <c r="M20735">
        <v>4</v>
      </c>
      <c r="N20735">
        <v>1</v>
      </c>
    </row>
    <row r="20736" spans="1:15">
      <c r="A20736" t="s">
        <v>24908</v>
      </c>
      <c r="B20736" t="s">
        <v>6742</v>
      </c>
      <c r="C20736" t="s">
        <v>23898</v>
      </c>
      <c r="D20736" t="s">
        <v>60359</v>
      </c>
      <c r="E20736" t="b">
        <v>0</v>
      </c>
      <c r="F20736" t="s">
        <v>11622</v>
      </c>
      <c r="L20736">
        <v>1</v>
      </c>
      <c r="M20736">
        <v>3</v>
      </c>
      <c r="N20736">
        <v>8</v>
      </c>
    </row>
    <row r="20737" spans="1:15">
      <c r="A20737" t="s">
        <v>29881</v>
      </c>
      <c r="B20737" t="s">
        <v>12751</v>
      </c>
      <c r="C20737" t="s">
        <v>20865</v>
      </c>
      <c r="D20737" t="s">
        <v>60360</v>
      </c>
      <c r="E20737" t="b">
        <v>0</v>
      </c>
      <c r="F20737" t="s">
        <v>11622</v>
      </c>
      <c r="L20737">
        <v>1</v>
      </c>
      <c r="M20737">
        <v>7</v>
      </c>
      <c r="N20737">
        <v>3</v>
      </c>
    </row>
    <row r="20738" spans="1:15">
      <c r="A20738" t="s">
        <v>60361</v>
      </c>
      <c r="B20738" t="s">
        <v>11627</v>
      </c>
      <c r="C20738" t="s">
        <v>11627</v>
      </c>
      <c r="D20738" t="s">
        <v>60362</v>
      </c>
      <c r="E20738" t="b">
        <v>1</v>
      </c>
      <c r="F20738" t="s">
        <v>11624</v>
      </c>
      <c r="G20738">
        <v>15.492800000000001</v>
      </c>
      <c r="H20738">
        <v>107.29600000000001</v>
      </c>
      <c r="I20738" t="s">
        <v>60363</v>
      </c>
      <c r="L20738">
        <v>0</v>
      </c>
      <c r="M20738">
        <v>0</v>
      </c>
      <c r="N20738">
        <v>0</v>
      </c>
      <c r="O20738" t="s">
        <v>14464</v>
      </c>
    </row>
    <row r="20739" spans="1:15">
      <c r="A20739" t="s">
        <v>60364</v>
      </c>
      <c r="B20739" t="s">
        <v>11637</v>
      </c>
      <c r="C20739" t="s">
        <v>8918</v>
      </c>
      <c r="D20739" t="s">
        <v>60365</v>
      </c>
      <c r="E20739" t="b">
        <v>0</v>
      </c>
      <c r="F20739" t="s">
        <v>11610</v>
      </c>
      <c r="L20739">
        <v>0</v>
      </c>
      <c r="M20739">
        <v>0</v>
      </c>
      <c r="N20739">
        <v>0</v>
      </c>
    </row>
    <row r="20740" spans="1:15">
      <c r="A20740" t="s">
        <v>21641</v>
      </c>
      <c r="B20740" t="s">
        <v>15365</v>
      </c>
      <c r="C20740" t="s">
        <v>15365</v>
      </c>
      <c r="D20740" t="s">
        <v>60366</v>
      </c>
      <c r="E20740" t="b">
        <v>0</v>
      </c>
      <c r="F20740" t="s">
        <v>11622</v>
      </c>
      <c r="L20740">
        <v>6</v>
      </c>
      <c r="M20740">
        <v>15</v>
      </c>
      <c r="N20740">
        <v>10</v>
      </c>
    </row>
    <row r="20741" spans="1:15">
      <c r="A20741" t="s">
        <v>38147</v>
      </c>
      <c r="B20741" t="s">
        <v>11894</v>
      </c>
      <c r="C20741" t="s">
        <v>16717</v>
      </c>
      <c r="D20741" t="s">
        <v>60367</v>
      </c>
      <c r="E20741" t="b">
        <v>0</v>
      </c>
      <c r="F20741" t="s">
        <v>11624</v>
      </c>
      <c r="G20741">
        <v>0.44020500000000001</v>
      </c>
      <c r="H20741">
        <v>-68.904200000000003</v>
      </c>
      <c r="I20741" t="s">
        <v>60368</v>
      </c>
      <c r="L20741">
        <v>0</v>
      </c>
      <c r="M20741">
        <v>0</v>
      </c>
      <c r="N20741">
        <v>4</v>
      </c>
      <c r="O20741" t="s">
        <v>21122</v>
      </c>
    </row>
    <row r="20742" spans="1:15">
      <c r="A20742" t="s">
        <v>26652</v>
      </c>
      <c r="B20742" t="s">
        <v>11607</v>
      </c>
      <c r="C20742" t="s">
        <v>22415</v>
      </c>
      <c r="D20742" t="s">
        <v>60369</v>
      </c>
      <c r="E20742" t="b">
        <v>0</v>
      </c>
      <c r="F20742" t="s">
        <v>11624</v>
      </c>
      <c r="G20742">
        <v>34.916974000000003</v>
      </c>
      <c r="H20742">
        <v>-3.4306160000000001</v>
      </c>
      <c r="I20742" t="s">
        <v>60370</v>
      </c>
      <c r="L20742">
        <v>0</v>
      </c>
      <c r="M20742">
        <v>0</v>
      </c>
      <c r="N20742">
        <v>18</v>
      </c>
      <c r="O20742" t="s">
        <v>60371</v>
      </c>
    </row>
    <row r="20743" spans="1:15">
      <c r="A20743" t="s">
        <v>60372</v>
      </c>
      <c r="B20743" t="s">
        <v>11607</v>
      </c>
      <c r="C20743" t="s">
        <v>51690</v>
      </c>
      <c r="D20743" t="s">
        <v>60373</v>
      </c>
      <c r="E20743" t="b">
        <v>0</v>
      </c>
      <c r="F20743" t="s">
        <v>11610</v>
      </c>
      <c r="L20743">
        <v>0</v>
      </c>
      <c r="M20743">
        <v>0</v>
      </c>
      <c r="N20743">
        <v>0</v>
      </c>
    </row>
    <row r="20744" spans="1:15">
      <c r="A20744" t="s">
        <v>37923</v>
      </c>
      <c r="B20744" t="s">
        <v>331</v>
      </c>
      <c r="C20744" t="s">
        <v>21400</v>
      </c>
      <c r="D20744" t="s">
        <v>60374</v>
      </c>
      <c r="E20744" t="b">
        <v>0</v>
      </c>
      <c r="F20744" t="s">
        <v>11610</v>
      </c>
      <c r="L20744">
        <v>0</v>
      </c>
      <c r="M20744">
        <v>0</v>
      </c>
      <c r="N20744">
        <v>3</v>
      </c>
    </row>
    <row r="20745" spans="1:15">
      <c r="A20745" t="s">
        <v>60375</v>
      </c>
      <c r="B20745" t="s">
        <v>331</v>
      </c>
      <c r="C20745" t="s">
        <v>37923</v>
      </c>
      <c r="D20745" t="s">
        <v>60376</v>
      </c>
      <c r="E20745" t="b">
        <v>0</v>
      </c>
      <c r="F20745" t="s">
        <v>11610</v>
      </c>
      <c r="L20745">
        <v>0</v>
      </c>
      <c r="M20745">
        <v>0</v>
      </c>
      <c r="N20745">
        <v>0</v>
      </c>
    </row>
    <row r="20746" spans="1:15">
      <c r="A20746" t="s">
        <v>60377</v>
      </c>
      <c r="B20746" t="s">
        <v>13967</v>
      </c>
      <c r="C20746" t="s">
        <v>34762</v>
      </c>
      <c r="D20746" t="s">
        <v>60378</v>
      </c>
      <c r="E20746" t="b">
        <v>0</v>
      </c>
      <c r="F20746" t="s">
        <v>11624</v>
      </c>
      <c r="G20746">
        <v>11.852297999999999</v>
      </c>
      <c r="H20746">
        <v>13.157959</v>
      </c>
      <c r="I20746" t="s">
        <v>60379</v>
      </c>
      <c r="L20746">
        <v>0</v>
      </c>
      <c r="M20746">
        <v>0</v>
      </c>
      <c r="N20746">
        <v>0</v>
      </c>
      <c r="O20746" t="s">
        <v>11693</v>
      </c>
    </row>
    <row r="20747" spans="1:15">
      <c r="A20747" t="s">
        <v>60380</v>
      </c>
      <c r="B20747" t="s">
        <v>14314</v>
      </c>
      <c r="C20747" t="s">
        <v>35351</v>
      </c>
      <c r="D20747" t="s">
        <v>60381</v>
      </c>
      <c r="E20747" t="b">
        <v>0</v>
      </c>
      <c r="F20747" t="s">
        <v>11610</v>
      </c>
      <c r="L20747">
        <v>0</v>
      </c>
      <c r="M20747">
        <v>0</v>
      </c>
      <c r="N20747">
        <v>0</v>
      </c>
    </row>
    <row r="20748" spans="1:15">
      <c r="A20748" t="s">
        <v>60382</v>
      </c>
      <c r="B20748" t="s">
        <v>11637</v>
      </c>
      <c r="C20748" t="s">
        <v>36069</v>
      </c>
      <c r="D20748" t="s">
        <v>60383</v>
      </c>
      <c r="E20748" t="b">
        <v>0</v>
      </c>
      <c r="F20748" t="s">
        <v>11610</v>
      </c>
      <c r="L20748">
        <v>0</v>
      </c>
      <c r="M20748">
        <v>0</v>
      </c>
      <c r="N20748">
        <v>0</v>
      </c>
    </row>
    <row r="20749" spans="1:15">
      <c r="A20749" t="s">
        <v>60384</v>
      </c>
      <c r="B20749" t="s">
        <v>11644</v>
      </c>
      <c r="C20749" t="s">
        <v>12404</v>
      </c>
      <c r="D20749" t="s">
        <v>60385</v>
      </c>
      <c r="E20749" t="b">
        <v>0</v>
      </c>
      <c r="F20749" t="s">
        <v>11610</v>
      </c>
      <c r="L20749">
        <v>0</v>
      </c>
      <c r="M20749">
        <v>0</v>
      </c>
      <c r="N20749">
        <v>0</v>
      </c>
    </row>
    <row r="20750" spans="1:15">
      <c r="A20750" t="s">
        <v>32077</v>
      </c>
      <c r="B20750" t="s">
        <v>6742</v>
      </c>
      <c r="C20750" t="s">
        <v>52649</v>
      </c>
      <c r="D20750" t="s">
        <v>60386</v>
      </c>
      <c r="E20750" t="b">
        <v>0</v>
      </c>
      <c r="F20750" t="s">
        <v>11624</v>
      </c>
      <c r="G20750">
        <v>8.9835600000000007</v>
      </c>
      <c r="H20750">
        <v>10.0288</v>
      </c>
      <c r="I20750" t="s">
        <v>60387</v>
      </c>
      <c r="L20750">
        <v>0</v>
      </c>
      <c r="M20750">
        <v>0</v>
      </c>
      <c r="N20750">
        <v>5</v>
      </c>
      <c r="O20750" t="s">
        <v>11693</v>
      </c>
    </row>
    <row r="20751" spans="1:15">
      <c r="A20751" t="s">
        <v>60388</v>
      </c>
      <c r="B20751" t="s">
        <v>367</v>
      </c>
      <c r="C20751" t="s">
        <v>14977</v>
      </c>
      <c r="D20751" t="s">
        <v>60389</v>
      </c>
      <c r="E20751" t="b">
        <v>0</v>
      </c>
      <c r="F20751" t="s">
        <v>11624</v>
      </c>
      <c r="G20751">
        <v>23.903199999999998</v>
      </c>
      <c r="H20751">
        <v>121.358</v>
      </c>
      <c r="I20751" t="s">
        <v>60390</v>
      </c>
      <c r="L20751">
        <v>0</v>
      </c>
      <c r="M20751">
        <v>0</v>
      </c>
      <c r="N20751">
        <v>3</v>
      </c>
      <c r="O20751" t="s">
        <v>13484</v>
      </c>
    </row>
    <row r="20752" spans="1:15">
      <c r="A20752" t="s">
        <v>38665</v>
      </c>
      <c r="B20752" t="s">
        <v>6742</v>
      </c>
      <c r="C20752" t="s">
        <v>12468</v>
      </c>
      <c r="D20752" t="s">
        <v>60391</v>
      </c>
      <c r="E20752" t="b">
        <v>0</v>
      </c>
      <c r="F20752" t="s">
        <v>11622</v>
      </c>
      <c r="L20752">
        <v>3</v>
      </c>
      <c r="M20752">
        <v>5</v>
      </c>
      <c r="N20752">
        <v>9</v>
      </c>
    </row>
    <row r="20753" spans="1:15">
      <c r="A20753" t="s">
        <v>52649</v>
      </c>
      <c r="B20753" t="s">
        <v>6742</v>
      </c>
      <c r="C20753" t="s">
        <v>60392</v>
      </c>
      <c r="D20753" t="s">
        <v>60393</v>
      </c>
      <c r="E20753" t="b">
        <v>0</v>
      </c>
      <c r="F20753" t="s">
        <v>11622</v>
      </c>
      <c r="L20753">
        <v>0</v>
      </c>
      <c r="M20753">
        <v>2</v>
      </c>
      <c r="N20753">
        <v>5</v>
      </c>
    </row>
    <row r="20754" spans="1:15">
      <c r="A20754" t="s">
        <v>33861</v>
      </c>
      <c r="B20754" t="s">
        <v>11637</v>
      </c>
      <c r="C20754" t="s">
        <v>21852</v>
      </c>
      <c r="D20754" t="s">
        <v>60394</v>
      </c>
      <c r="E20754" t="b">
        <v>0</v>
      </c>
      <c r="F20754" t="s">
        <v>11622</v>
      </c>
      <c r="L20754">
        <v>0</v>
      </c>
      <c r="M20754">
        <v>2</v>
      </c>
      <c r="N20754">
        <v>2</v>
      </c>
    </row>
    <row r="20755" spans="1:15">
      <c r="A20755" t="s">
        <v>60395</v>
      </c>
      <c r="B20755" t="s">
        <v>367</v>
      </c>
      <c r="C20755" t="s">
        <v>14049</v>
      </c>
      <c r="D20755" t="s">
        <v>60396</v>
      </c>
      <c r="E20755" t="b">
        <v>0</v>
      </c>
      <c r="F20755" t="s">
        <v>11624</v>
      </c>
      <c r="G20755">
        <v>-2.322279</v>
      </c>
      <c r="H20755">
        <v>140.115497</v>
      </c>
      <c r="I20755" t="s">
        <v>60397</v>
      </c>
      <c r="L20755">
        <v>0</v>
      </c>
      <c r="M20755">
        <v>0</v>
      </c>
      <c r="N20755">
        <v>0</v>
      </c>
      <c r="O20755" t="s">
        <v>11768</v>
      </c>
    </row>
    <row r="20756" spans="1:15">
      <c r="A20756" t="s">
        <v>60398</v>
      </c>
      <c r="B20756" t="s">
        <v>11627</v>
      </c>
      <c r="C20756" t="s">
        <v>11627</v>
      </c>
      <c r="D20756" t="s">
        <v>60399</v>
      </c>
      <c r="E20756" t="b">
        <v>1</v>
      </c>
      <c r="F20756" t="s">
        <v>11624</v>
      </c>
      <c r="I20756" t="s">
        <v>60400</v>
      </c>
      <c r="L20756">
        <v>0</v>
      </c>
      <c r="M20756">
        <v>0</v>
      </c>
      <c r="N20756">
        <v>0</v>
      </c>
    </row>
    <row r="20757" spans="1:15">
      <c r="A20757" t="s">
        <v>60401</v>
      </c>
      <c r="B20757" t="s">
        <v>11637</v>
      </c>
      <c r="C20757" t="s">
        <v>17015</v>
      </c>
      <c r="D20757" t="s">
        <v>60402</v>
      </c>
      <c r="E20757" t="b">
        <v>0</v>
      </c>
      <c r="F20757" t="s">
        <v>11610</v>
      </c>
      <c r="L20757">
        <v>0</v>
      </c>
      <c r="M20757">
        <v>0</v>
      </c>
      <c r="N20757">
        <v>0</v>
      </c>
    </row>
    <row r="20758" spans="1:15">
      <c r="A20758" t="s">
        <v>60403</v>
      </c>
      <c r="B20758" t="s">
        <v>13360</v>
      </c>
      <c r="C20758" t="s">
        <v>13360</v>
      </c>
      <c r="D20758" t="s">
        <v>60404</v>
      </c>
      <c r="E20758" t="b">
        <v>0</v>
      </c>
      <c r="F20758" t="s">
        <v>11624</v>
      </c>
      <c r="I20758" t="s">
        <v>60405</v>
      </c>
      <c r="L20758">
        <v>0</v>
      </c>
      <c r="M20758">
        <v>0</v>
      </c>
      <c r="N20758">
        <v>0</v>
      </c>
      <c r="O20758" t="s">
        <v>13707</v>
      </c>
    </row>
    <row r="20759" spans="1:15">
      <c r="A20759" t="s">
        <v>60406</v>
      </c>
      <c r="D20759" t="s">
        <v>60407</v>
      </c>
      <c r="E20759" t="b">
        <v>0</v>
      </c>
      <c r="F20759" t="s">
        <v>11624</v>
      </c>
      <c r="G20759">
        <v>-0.90963000000000005</v>
      </c>
      <c r="H20759">
        <v>-59.904786000000001</v>
      </c>
      <c r="I20759" t="s">
        <v>60408</v>
      </c>
      <c r="L20759">
        <v>0</v>
      </c>
      <c r="M20759">
        <v>0</v>
      </c>
      <c r="N20759">
        <v>0</v>
      </c>
      <c r="O20759" t="s">
        <v>11969</v>
      </c>
    </row>
    <row r="20760" spans="1:15">
      <c r="A20760" t="s">
        <v>60409</v>
      </c>
      <c r="B20760" t="s">
        <v>11615</v>
      </c>
      <c r="C20760" t="s">
        <v>34644</v>
      </c>
      <c r="D20760" t="s">
        <v>60410</v>
      </c>
      <c r="E20760" t="b">
        <v>0</v>
      </c>
      <c r="F20760" t="s">
        <v>11610</v>
      </c>
      <c r="L20760">
        <v>0</v>
      </c>
      <c r="M20760">
        <v>0</v>
      </c>
      <c r="N20760">
        <v>0</v>
      </c>
    </row>
    <row r="20761" spans="1:15">
      <c r="A20761" t="s">
        <v>60411</v>
      </c>
      <c r="B20761" t="s">
        <v>12562</v>
      </c>
      <c r="C20761" t="s">
        <v>37408</v>
      </c>
      <c r="D20761" t="s">
        <v>60412</v>
      </c>
      <c r="E20761" t="b">
        <v>0</v>
      </c>
      <c r="F20761" t="s">
        <v>11624</v>
      </c>
      <c r="G20761">
        <v>16.781400000000001</v>
      </c>
      <c r="H20761">
        <v>6.9203700000000001</v>
      </c>
      <c r="I20761" t="s">
        <v>60413</v>
      </c>
      <c r="L20761">
        <v>0</v>
      </c>
      <c r="M20761">
        <v>0</v>
      </c>
      <c r="N20761">
        <v>0</v>
      </c>
      <c r="O20761" t="s">
        <v>18620</v>
      </c>
    </row>
    <row r="20762" spans="1:15">
      <c r="A20762" t="s">
        <v>60414</v>
      </c>
      <c r="B20762" t="s">
        <v>367</v>
      </c>
      <c r="C20762" t="s">
        <v>18977</v>
      </c>
      <c r="D20762" t="s">
        <v>60415</v>
      </c>
      <c r="E20762" t="b">
        <v>0</v>
      </c>
      <c r="F20762" t="s">
        <v>11610</v>
      </c>
      <c r="L20762">
        <v>0</v>
      </c>
      <c r="M20762">
        <v>0</v>
      </c>
      <c r="N20762">
        <v>0</v>
      </c>
    </row>
    <row r="20763" spans="1:15">
      <c r="A20763" t="s">
        <v>28687</v>
      </c>
      <c r="B20763" t="s">
        <v>11644</v>
      </c>
      <c r="C20763" t="s">
        <v>45668</v>
      </c>
      <c r="D20763" t="s">
        <v>60416</v>
      </c>
      <c r="E20763" t="b">
        <v>0</v>
      </c>
      <c r="F20763" t="s">
        <v>11624</v>
      </c>
      <c r="G20763">
        <v>27.257200000000001</v>
      </c>
      <c r="H20763">
        <v>96.385499999999993</v>
      </c>
      <c r="I20763" t="s">
        <v>60417</v>
      </c>
      <c r="L20763">
        <v>0</v>
      </c>
      <c r="M20763">
        <v>0</v>
      </c>
      <c r="N20763">
        <v>29</v>
      </c>
      <c r="O20763" t="s">
        <v>13598</v>
      </c>
    </row>
    <row r="20764" spans="1:15">
      <c r="A20764" t="s">
        <v>60418</v>
      </c>
      <c r="B20764" t="s">
        <v>367</v>
      </c>
      <c r="C20764" t="s">
        <v>39974</v>
      </c>
      <c r="D20764" t="s">
        <v>60419</v>
      </c>
      <c r="E20764" t="b">
        <v>0</v>
      </c>
      <c r="F20764" t="s">
        <v>11610</v>
      </c>
      <c r="L20764">
        <v>0</v>
      </c>
      <c r="M20764">
        <v>0</v>
      </c>
      <c r="N20764">
        <v>0</v>
      </c>
    </row>
    <row r="20765" spans="1:15">
      <c r="A20765" t="s">
        <v>60420</v>
      </c>
      <c r="B20765" t="s">
        <v>367</v>
      </c>
      <c r="C20765" t="s">
        <v>48106</v>
      </c>
      <c r="D20765" t="s">
        <v>60421</v>
      </c>
      <c r="E20765" t="b">
        <v>0</v>
      </c>
      <c r="F20765" t="s">
        <v>11624</v>
      </c>
      <c r="G20765">
        <v>-15.0792</v>
      </c>
      <c r="H20765">
        <v>166.66399999999999</v>
      </c>
      <c r="I20765" t="s">
        <v>60422</v>
      </c>
      <c r="L20765">
        <v>0</v>
      </c>
      <c r="M20765">
        <v>0</v>
      </c>
      <c r="N20765">
        <v>0</v>
      </c>
      <c r="O20765" t="s">
        <v>12719</v>
      </c>
    </row>
    <row r="20766" spans="1:15">
      <c r="A20766" t="s">
        <v>60423</v>
      </c>
      <c r="B20766" t="s">
        <v>11627</v>
      </c>
      <c r="C20766" t="s">
        <v>11627</v>
      </c>
      <c r="D20766" t="s">
        <v>60424</v>
      </c>
      <c r="E20766" t="b">
        <v>1</v>
      </c>
      <c r="F20766" t="s">
        <v>11624</v>
      </c>
      <c r="I20766" t="s">
        <v>60425</v>
      </c>
      <c r="L20766">
        <v>0</v>
      </c>
      <c r="M20766">
        <v>0</v>
      </c>
      <c r="N20766">
        <v>0</v>
      </c>
      <c r="O20766" t="s">
        <v>12107</v>
      </c>
    </row>
    <row r="20767" spans="1:15">
      <c r="A20767" t="s">
        <v>14894</v>
      </c>
      <c r="B20767" t="s">
        <v>331</v>
      </c>
      <c r="C20767" t="s">
        <v>17253</v>
      </c>
      <c r="D20767" t="s">
        <v>60426</v>
      </c>
      <c r="E20767" t="b">
        <v>0</v>
      </c>
      <c r="F20767" t="s">
        <v>11624</v>
      </c>
      <c r="G20767">
        <v>55</v>
      </c>
      <c r="H20767">
        <v>50</v>
      </c>
      <c r="I20767" t="s">
        <v>60427</v>
      </c>
      <c r="L20767">
        <v>0</v>
      </c>
      <c r="M20767">
        <v>0</v>
      </c>
      <c r="N20767">
        <v>15</v>
      </c>
      <c r="O20767" t="s">
        <v>60428</v>
      </c>
    </row>
    <row r="20768" spans="1:15">
      <c r="A20768" t="s">
        <v>60429</v>
      </c>
      <c r="B20768" t="s">
        <v>367</v>
      </c>
      <c r="C20768" t="s">
        <v>42476</v>
      </c>
      <c r="D20768" t="s">
        <v>60430</v>
      </c>
      <c r="E20768" t="b">
        <v>0</v>
      </c>
      <c r="F20768" t="s">
        <v>11610</v>
      </c>
      <c r="L20768">
        <v>0</v>
      </c>
      <c r="M20768">
        <v>0</v>
      </c>
      <c r="N20768">
        <v>0</v>
      </c>
    </row>
    <row r="20769" spans="1:15">
      <c r="A20769" t="s">
        <v>60431</v>
      </c>
      <c r="B20769" t="s">
        <v>367</v>
      </c>
      <c r="C20769" t="s">
        <v>29739</v>
      </c>
      <c r="D20769" t="s">
        <v>60432</v>
      </c>
      <c r="E20769" t="b">
        <v>0</v>
      </c>
      <c r="F20769" t="s">
        <v>11624</v>
      </c>
      <c r="G20769">
        <v>5.4980799999999999</v>
      </c>
      <c r="H20769">
        <v>115.553</v>
      </c>
      <c r="I20769" t="s">
        <v>60433</v>
      </c>
      <c r="L20769">
        <v>0</v>
      </c>
      <c r="M20769">
        <v>0</v>
      </c>
      <c r="N20769">
        <v>0</v>
      </c>
      <c r="O20769" t="s">
        <v>11672</v>
      </c>
    </row>
    <row r="20770" spans="1:15">
      <c r="A20770" t="s">
        <v>60434</v>
      </c>
      <c r="B20770" t="s">
        <v>11879</v>
      </c>
      <c r="C20770" t="s">
        <v>23172</v>
      </c>
      <c r="D20770" t="s">
        <v>60435</v>
      </c>
      <c r="E20770" t="b">
        <v>0</v>
      </c>
      <c r="F20770" t="s">
        <v>11624</v>
      </c>
      <c r="G20770">
        <v>16.296299999999999</v>
      </c>
      <c r="H20770">
        <v>-97.531099999999995</v>
      </c>
      <c r="I20770" t="s">
        <v>60436</v>
      </c>
      <c r="L20770">
        <v>0</v>
      </c>
      <c r="M20770">
        <v>0</v>
      </c>
      <c r="N20770">
        <v>0</v>
      </c>
      <c r="O20770" t="s">
        <v>11883</v>
      </c>
    </row>
    <row r="20771" spans="1:15">
      <c r="A20771" t="s">
        <v>60437</v>
      </c>
      <c r="B20771" t="s">
        <v>11686</v>
      </c>
      <c r="C20771" t="s">
        <v>8688</v>
      </c>
      <c r="D20771" t="s">
        <v>60438</v>
      </c>
      <c r="E20771" t="b">
        <v>0</v>
      </c>
      <c r="F20771" t="s">
        <v>11610</v>
      </c>
      <c r="L20771">
        <v>0</v>
      </c>
      <c r="M20771">
        <v>0</v>
      </c>
      <c r="N20771">
        <v>0</v>
      </c>
    </row>
    <row r="20772" spans="1:15">
      <c r="A20772" t="s">
        <v>60439</v>
      </c>
      <c r="B20772" t="s">
        <v>11637</v>
      </c>
      <c r="C20772" t="s">
        <v>16777</v>
      </c>
      <c r="D20772" t="s">
        <v>60440</v>
      </c>
      <c r="E20772" t="b">
        <v>0</v>
      </c>
      <c r="F20772" t="s">
        <v>11610</v>
      </c>
      <c r="L20772">
        <v>0</v>
      </c>
      <c r="M20772">
        <v>0</v>
      </c>
      <c r="N20772">
        <v>0</v>
      </c>
    </row>
    <row r="20773" spans="1:15">
      <c r="A20773" t="s">
        <v>12047</v>
      </c>
      <c r="B20773" t="s">
        <v>11637</v>
      </c>
      <c r="C20773" t="s">
        <v>16331</v>
      </c>
      <c r="D20773" t="s">
        <v>60441</v>
      </c>
      <c r="E20773" t="b">
        <v>0</v>
      </c>
      <c r="F20773" t="s">
        <v>11622</v>
      </c>
      <c r="L20773">
        <v>13</v>
      </c>
      <c r="M20773">
        <v>24</v>
      </c>
      <c r="N20773">
        <v>32</v>
      </c>
    </row>
    <row r="20774" spans="1:15">
      <c r="A20774" t="s">
        <v>21853</v>
      </c>
      <c r="B20774" t="s">
        <v>11637</v>
      </c>
      <c r="C20774" t="s">
        <v>12047</v>
      </c>
      <c r="D20774" t="s">
        <v>60442</v>
      </c>
      <c r="E20774" t="b">
        <v>0</v>
      </c>
      <c r="F20774" t="s">
        <v>11622</v>
      </c>
      <c r="L20774">
        <v>9</v>
      </c>
      <c r="M20774">
        <v>17</v>
      </c>
      <c r="N20774">
        <v>19</v>
      </c>
    </row>
    <row r="20775" spans="1:15">
      <c r="A20775" t="s">
        <v>29019</v>
      </c>
      <c r="B20775" t="s">
        <v>11757</v>
      </c>
      <c r="C20775" t="s">
        <v>34417</v>
      </c>
      <c r="D20775" t="s">
        <v>60443</v>
      </c>
      <c r="E20775" t="b">
        <v>0</v>
      </c>
      <c r="F20775" t="s">
        <v>11622</v>
      </c>
      <c r="L20775">
        <v>2</v>
      </c>
      <c r="M20775">
        <v>5</v>
      </c>
      <c r="N20775">
        <v>7</v>
      </c>
    </row>
    <row r="20776" spans="1:15">
      <c r="A20776" t="s">
        <v>60444</v>
      </c>
      <c r="B20776" t="s">
        <v>6742</v>
      </c>
      <c r="C20776" t="s">
        <v>17687</v>
      </c>
      <c r="D20776" t="s">
        <v>60445</v>
      </c>
      <c r="E20776" t="b">
        <v>0</v>
      </c>
      <c r="F20776" t="s">
        <v>11610</v>
      </c>
      <c r="L20776">
        <v>0</v>
      </c>
      <c r="M20776">
        <v>0</v>
      </c>
      <c r="N20776">
        <v>0</v>
      </c>
    </row>
    <row r="20777" spans="1:15">
      <c r="A20777" t="s">
        <v>60446</v>
      </c>
      <c r="B20777" t="s">
        <v>2975</v>
      </c>
      <c r="C20777" t="s">
        <v>16976</v>
      </c>
      <c r="D20777" t="s">
        <v>60447</v>
      </c>
      <c r="E20777" t="b">
        <v>0</v>
      </c>
      <c r="F20777" t="s">
        <v>11624</v>
      </c>
      <c r="G20777">
        <v>0.55581999999999998</v>
      </c>
      <c r="H20777">
        <v>-70.532700000000006</v>
      </c>
      <c r="I20777" t="s">
        <v>60448</v>
      </c>
      <c r="L20777">
        <v>0</v>
      </c>
      <c r="M20777">
        <v>0</v>
      </c>
      <c r="N20777">
        <v>0</v>
      </c>
      <c r="O20777" t="s">
        <v>11898</v>
      </c>
    </row>
    <row r="20778" spans="1:15">
      <c r="A20778" t="s">
        <v>60449</v>
      </c>
      <c r="B20778" t="s">
        <v>13264</v>
      </c>
      <c r="C20778" t="s">
        <v>13264</v>
      </c>
      <c r="D20778" t="s">
        <v>60450</v>
      </c>
      <c r="E20778" t="b">
        <v>0</v>
      </c>
      <c r="F20778" t="s">
        <v>11624</v>
      </c>
      <c r="G20778">
        <v>-8.3485999999999994</v>
      </c>
      <c r="H20778">
        <v>147.09399999999999</v>
      </c>
      <c r="I20778" t="s">
        <v>60451</v>
      </c>
      <c r="L20778">
        <v>0</v>
      </c>
      <c r="M20778">
        <v>0</v>
      </c>
      <c r="N20778">
        <v>0</v>
      </c>
      <c r="O20778" t="s">
        <v>11660</v>
      </c>
    </row>
    <row r="20779" spans="1:15">
      <c r="A20779" t="s">
        <v>20629</v>
      </c>
      <c r="D20779" t="s">
        <v>60452</v>
      </c>
      <c r="E20779" t="b">
        <v>0</v>
      </c>
      <c r="F20779" t="s">
        <v>11622</v>
      </c>
      <c r="L20779">
        <v>0</v>
      </c>
      <c r="M20779">
        <v>2</v>
      </c>
      <c r="N20779">
        <v>0</v>
      </c>
    </row>
    <row r="20780" spans="1:15">
      <c r="A20780" t="s">
        <v>60453</v>
      </c>
      <c r="B20780" t="s">
        <v>20629</v>
      </c>
      <c r="C20780" t="s">
        <v>20629</v>
      </c>
      <c r="D20780" t="s">
        <v>60454</v>
      </c>
      <c r="E20780" t="b">
        <v>0</v>
      </c>
      <c r="F20780" t="s">
        <v>11624</v>
      </c>
      <c r="G20780">
        <v>-4.4442500000000003</v>
      </c>
      <c r="H20780">
        <v>152.095</v>
      </c>
      <c r="I20780" t="s">
        <v>60455</v>
      </c>
      <c r="L20780">
        <v>0</v>
      </c>
      <c r="M20780">
        <v>0</v>
      </c>
      <c r="N20780">
        <v>0</v>
      </c>
      <c r="O20780" t="s">
        <v>11660</v>
      </c>
    </row>
    <row r="20781" spans="1:15">
      <c r="A20781" t="s">
        <v>60456</v>
      </c>
      <c r="B20781" t="s">
        <v>8310</v>
      </c>
      <c r="C20781" t="s">
        <v>14449</v>
      </c>
      <c r="D20781" t="s">
        <v>60457</v>
      </c>
      <c r="E20781" t="b">
        <v>0</v>
      </c>
      <c r="F20781" t="s">
        <v>11610</v>
      </c>
      <c r="L20781">
        <v>0</v>
      </c>
      <c r="M20781">
        <v>0</v>
      </c>
      <c r="N20781">
        <v>0</v>
      </c>
    </row>
    <row r="20782" spans="1:15">
      <c r="A20782" t="s">
        <v>60458</v>
      </c>
      <c r="B20782" t="s">
        <v>367</v>
      </c>
      <c r="C20782" t="s">
        <v>15110</v>
      </c>
      <c r="D20782" t="s">
        <v>60459</v>
      </c>
      <c r="E20782" t="b">
        <v>0</v>
      </c>
      <c r="F20782" t="s">
        <v>11610</v>
      </c>
      <c r="L20782">
        <v>0</v>
      </c>
      <c r="M20782">
        <v>0</v>
      </c>
      <c r="N20782">
        <v>0</v>
      </c>
    </row>
    <row r="20783" spans="1:15">
      <c r="A20783" t="s">
        <v>60460</v>
      </c>
      <c r="B20783" t="s">
        <v>11644</v>
      </c>
      <c r="C20783" t="s">
        <v>32531</v>
      </c>
      <c r="D20783" t="s">
        <v>60461</v>
      </c>
      <c r="E20783" t="b">
        <v>0</v>
      </c>
      <c r="F20783" t="s">
        <v>11624</v>
      </c>
      <c r="G20783">
        <v>20.410399999999999</v>
      </c>
      <c r="H20783">
        <v>96.740099999999998</v>
      </c>
      <c r="I20783" t="s">
        <v>60462</v>
      </c>
      <c r="L20783">
        <v>0</v>
      </c>
      <c r="M20783">
        <v>0</v>
      </c>
      <c r="N20783">
        <v>0</v>
      </c>
      <c r="O20783" t="s">
        <v>14059</v>
      </c>
    </row>
    <row r="20784" spans="1:15">
      <c r="A20784" t="s">
        <v>60463</v>
      </c>
      <c r="B20784" t="s">
        <v>6742</v>
      </c>
      <c r="C20784" t="s">
        <v>1931</v>
      </c>
      <c r="D20784" t="s">
        <v>60464</v>
      </c>
      <c r="E20784" t="b">
        <v>0</v>
      </c>
      <c r="F20784" t="s">
        <v>11610</v>
      </c>
      <c r="L20784">
        <v>0</v>
      </c>
      <c r="M20784">
        <v>0</v>
      </c>
      <c r="N20784">
        <v>0</v>
      </c>
    </row>
    <row r="20785" spans="1:15">
      <c r="A20785" t="s">
        <v>60465</v>
      </c>
      <c r="B20785" t="s">
        <v>367</v>
      </c>
      <c r="C20785" t="s">
        <v>40787</v>
      </c>
      <c r="D20785" t="s">
        <v>60466</v>
      </c>
      <c r="E20785" t="b">
        <v>0</v>
      </c>
      <c r="F20785" t="s">
        <v>11610</v>
      </c>
      <c r="L20785">
        <v>0</v>
      </c>
      <c r="M20785">
        <v>0</v>
      </c>
      <c r="N20785">
        <v>0</v>
      </c>
    </row>
    <row r="20786" spans="1:15">
      <c r="A20786" t="s">
        <v>60467</v>
      </c>
      <c r="B20786" t="s">
        <v>11615</v>
      </c>
      <c r="C20786" t="s">
        <v>15331</v>
      </c>
      <c r="D20786" t="s">
        <v>60468</v>
      </c>
      <c r="E20786" t="b">
        <v>0</v>
      </c>
      <c r="F20786" t="s">
        <v>11610</v>
      </c>
      <c r="L20786">
        <v>0</v>
      </c>
      <c r="M20786">
        <v>0</v>
      </c>
      <c r="N20786">
        <v>0</v>
      </c>
    </row>
    <row r="20787" spans="1:15">
      <c r="A20787" t="s">
        <v>26582</v>
      </c>
      <c r="B20787" t="s">
        <v>367</v>
      </c>
      <c r="C20787" t="s">
        <v>14455</v>
      </c>
      <c r="D20787" t="s">
        <v>60469</v>
      </c>
      <c r="E20787" t="b">
        <v>0</v>
      </c>
      <c r="F20787" t="s">
        <v>11622</v>
      </c>
      <c r="L20787">
        <v>1</v>
      </c>
      <c r="M20787">
        <v>9</v>
      </c>
      <c r="N20787">
        <v>15</v>
      </c>
    </row>
    <row r="20788" spans="1:15">
      <c r="A20788" t="s">
        <v>60470</v>
      </c>
      <c r="B20788" t="s">
        <v>367</v>
      </c>
      <c r="C20788" t="s">
        <v>26581</v>
      </c>
      <c r="D20788" t="s">
        <v>60471</v>
      </c>
      <c r="E20788" t="b">
        <v>0</v>
      </c>
      <c r="F20788" t="s">
        <v>11624</v>
      </c>
      <c r="G20788">
        <v>-10.227499999999999</v>
      </c>
      <c r="H20788">
        <v>150.37299999999999</v>
      </c>
      <c r="I20788" t="s">
        <v>60472</v>
      </c>
      <c r="L20788">
        <v>0</v>
      </c>
      <c r="M20788">
        <v>0</v>
      </c>
      <c r="N20788">
        <v>0</v>
      </c>
      <c r="O20788" t="s">
        <v>11660</v>
      </c>
    </row>
    <row r="20789" spans="1:15">
      <c r="A20789" t="s">
        <v>60473</v>
      </c>
      <c r="B20789" t="s">
        <v>367</v>
      </c>
      <c r="C20789" t="s">
        <v>14866</v>
      </c>
      <c r="D20789" t="s">
        <v>60474</v>
      </c>
      <c r="E20789" t="b">
        <v>0</v>
      </c>
      <c r="F20789" t="s">
        <v>11610</v>
      </c>
      <c r="L20789">
        <v>0</v>
      </c>
      <c r="M20789">
        <v>0</v>
      </c>
      <c r="N20789">
        <v>0</v>
      </c>
    </row>
    <row r="20790" spans="1:15">
      <c r="A20790" t="s">
        <v>60475</v>
      </c>
      <c r="B20790" t="s">
        <v>8310</v>
      </c>
      <c r="C20790" t="s">
        <v>14449</v>
      </c>
      <c r="D20790" t="s">
        <v>60476</v>
      </c>
      <c r="E20790" t="b">
        <v>0</v>
      </c>
      <c r="F20790" t="s">
        <v>11610</v>
      </c>
      <c r="L20790">
        <v>0</v>
      </c>
      <c r="M20790">
        <v>0</v>
      </c>
      <c r="N20790">
        <v>0</v>
      </c>
    </row>
    <row r="20791" spans="1:15">
      <c r="A20791" t="s">
        <v>60477</v>
      </c>
      <c r="B20791" t="s">
        <v>367</v>
      </c>
      <c r="C20791" t="s">
        <v>20652</v>
      </c>
      <c r="D20791" t="s">
        <v>60478</v>
      </c>
      <c r="E20791" t="b">
        <v>0</v>
      </c>
      <c r="F20791" t="s">
        <v>11624</v>
      </c>
      <c r="G20791">
        <v>5.1223599999999996</v>
      </c>
      <c r="H20791">
        <v>118.88</v>
      </c>
      <c r="I20791" t="s">
        <v>60479</v>
      </c>
      <c r="L20791">
        <v>0</v>
      </c>
      <c r="M20791">
        <v>0</v>
      </c>
      <c r="N20791">
        <v>0</v>
      </c>
      <c r="O20791" t="s">
        <v>58464</v>
      </c>
    </row>
    <row r="20792" spans="1:15">
      <c r="A20792" t="s">
        <v>24416</v>
      </c>
      <c r="B20792" t="s">
        <v>15365</v>
      </c>
      <c r="C20792" t="s">
        <v>27784</v>
      </c>
      <c r="D20792" t="s">
        <v>60480</v>
      </c>
      <c r="E20792" t="b">
        <v>0</v>
      </c>
      <c r="F20792" t="s">
        <v>11624</v>
      </c>
      <c r="G20792">
        <v>-2.8405999999999998</v>
      </c>
      <c r="H20792">
        <v>136.899</v>
      </c>
      <c r="I20792" t="s">
        <v>60481</v>
      </c>
      <c r="L20792">
        <v>0</v>
      </c>
      <c r="M20792">
        <v>0</v>
      </c>
      <c r="N20792">
        <v>3</v>
      </c>
      <c r="O20792" t="s">
        <v>11768</v>
      </c>
    </row>
    <row r="20793" spans="1:15">
      <c r="A20793" t="s">
        <v>60482</v>
      </c>
      <c r="D20793" t="s">
        <v>60483</v>
      </c>
      <c r="E20793" t="b">
        <v>0</v>
      </c>
      <c r="F20793" t="s">
        <v>11624</v>
      </c>
      <c r="G20793">
        <v>-3.2249699999999999</v>
      </c>
      <c r="H20793">
        <v>-75.560299999999998</v>
      </c>
      <c r="I20793" t="s">
        <v>60484</v>
      </c>
      <c r="L20793">
        <v>0</v>
      </c>
      <c r="M20793">
        <v>0</v>
      </c>
      <c r="N20793">
        <v>0</v>
      </c>
      <c r="O20793" t="s">
        <v>11778</v>
      </c>
    </row>
    <row r="20794" spans="1:15">
      <c r="A20794" t="s">
        <v>60485</v>
      </c>
      <c r="B20794" t="s">
        <v>367</v>
      </c>
      <c r="C20794" t="s">
        <v>45053</v>
      </c>
      <c r="D20794" t="s">
        <v>60486</v>
      </c>
      <c r="E20794" t="b">
        <v>0</v>
      </c>
      <c r="F20794" t="s">
        <v>11624</v>
      </c>
      <c r="L20794">
        <v>0</v>
      </c>
      <c r="M20794">
        <v>0</v>
      </c>
      <c r="N20794">
        <v>0</v>
      </c>
      <c r="O20794" t="s">
        <v>11749</v>
      </c>
    </row>
    <row r="20795" spans="1:15">
      <c r="A20795" t="s">
        <v>60487</v>
      </c>
      <c r="B20795" t="s">
        <v>11705</v>
      </c>
      <c r="C20795" t="s">
        <v>14190</v>
      </c>
      <c r="D20795" t="s">
        <v>60488</v>
      </c>
      <c r="E20795" t="b">
        <v>0</v>
      </c>
      <c r="F20795" t="s">
        <v>11610</v>
      </c>
      <c r="L20795">
        <v>0</v>
      </c>
      <c r="M20795">
        <v>0</v>
      </c>
      <c r="N20795">
        <v>0</v>
      </c>
    </row>
    <row r="20796" spans="1:15">
      <c r="A20796" t="s">
        <v>60489</v>
      </c>
      <c r="B20796" t="s">
        <v>11615</v>
      </c>
      <c r="C20796" t="s">
        <v>18935</v>
      </c>
      <c r="D20796" t="s">
        <v>60490</v>
      </c>
      <c r="E20796" t="b">
        <v>0</v>
      </c>
      <c r="F20796" t="s">
        <v>11624</v>
      </c>
      <c r="G20796">
        <v>-5.7425499999999996</v>
      </c>
      <c r="H20796">
        <v>145.36600000000001</v>
      </c>
      <c r="I20796" t="s">
        <v>60491</v>
      </c>
      <c r="L20796">
        <v>0</v>
      </c>
      <c r="M20796">
        <v>0</v>
      </c>
      <c r="N20796">
        <v>0</v>
      </c>
      <c r="O20796" t="s">
        <v>11660</v>
      </c>
    </row>
    <row r="20797" spans="1:15">
      <c r="A20797" t="s">
        <v>60492</v>
      </c>
      <c r="B20797" t="s">
        <v>6742</v>
      </c>
      <c r="C20797" t="s">
        <v>20047</v>
      </c>
      <c r="D20797" t="s">
        <v>60493</v>
      </c>
      <c r="E20797" t="b">
        <v>0</v>
      </c>
      <c r="F20797" t="s">
        <v>11610</v>
      </c>
      <c r="L20797">
        <v>0</v>
      </c>
      <c r="M20797">
        <v>0</v>
      </c>
      <c r="N20797">
        <v>0</v>
      </c>
    </row>
    <row r="20798" spans="1:15">
      <c r="A20798" t="s">
        <v>60494</v>
      </c>
      <c r="B20798" t="s">
        <v>367</v>
      </c>
      <c r="C20798" t="s">
        <v>4580</v>
      </c>
      <c r="D20798" t="s">
        <v>60495</v>
      </c>
      <c r="E20798" t="b">
        <v>0</v>
      </c>
      <c r="F20798" t="s">
        <v>11610</v>
      </c>
      <c r="L20798">
        <v>0</v>
      </c>
      <c r="M20798">
        <v>0</v>
      </c>
      <c r="N20798">
        <v>0</v>
      </c>
    </row>
    <row r="20799" spans="1:15">
      <c r="A20799" t="s">
        <v>60496</v>
      </c>
      <c r="B20799" t="s">
        <v>6742</v>
      </c>
      <c r="C20799" t="s">
        <v>14930</v>
      </c>
      <c r="D20799" t="s">
        <v>60497</v>
      </c>
      <c r="E20799" t="b">
        <v>0</v>
      </c>
      <c r="F20799" t="s">
        <v>11624</v>
      </c>
      <c r="G20799">
        <v>-3.4182199999999998</v>
      </c>
      <c r="H20799">
        <v>37.706099999999999</v>
      </c>
      <c r="I20799" t="s">
        <v>60498</v>
      </c>
      <c r="L20799">
        <v>0</v>
      </c>
      <c r="M20799">
        <v>0</v>
      </c>
      <c r="N20799">
        <v>0</v>
      </c>
      <c r="O20799" t="s">
        <v>14933</v>
      </c>
    </row>
    <row r="20800" spans="1:15">
      <c r="A20800" t="s">
        <v>60499</v>
      </c>
      <c r="B20800" t="s">
        <v>367</v>
      </c>
      <c r="C20800" t="s">
        <v>14735</v>
      </c>
      <c r="D20800" t="s">
        <v>60500</v>
      </c>
      <c r="E20800" t="b">
        <v>0</v>
      </c>
      <c r="F20800" t="s">
        <v>11610</v>
      </c>
      <c r="L20800">
        <v>0</v>
      </c>
      <c r="M20800">
        <v>0</v>
      </c>
      <c r="N20800">
        <v>0</v>
      </c>
    </row>
    <row r="20801" spans="1:15">
      <c r="A20801" t="s">
        <v>60501</v>
      </c>
      <c r="B20801" t="s">
        <v>6742</v>
      </c>
      <c r="C20801" t="s">
        <v>3970</v>
      </c>
      <c r="D20801" t="s">
        <v>60502</v>
      </c>
      <c r="E20801" t="b">
        <v>0</v>
      </c>
      <c r="F20801" t="s">
        <v>11610</v>
      </c>
      <c r="L20801">
        <v>0</v>
      </c>
      <c r="M20801">
        <v>0</v>
      </c>
      <c r="N20801">
        <v>0</v>
      </c>
    </row>
    <row r="20802" spans="1:15">
      <c r="A20802" t="s">
        <v>60503</v>
      </c>
      <c r="B20802" t="s">
        <v>11644</v>
      </c>
      <c r="C20802" t="s">
        <v>34717</v>
      </c>
      <c r="D20802" t="s">
        <v>60504</v>
      </c>
      <c r="E20802" t="b">
        <v>0</v>
      </c>
      <c r="F20802" t="s">
        <v>11610</v>
      </c>
      <c r="L20802">
        <v>0</v>
      </c>
      <c r="M20802">
        <v>0</v>
      </c>
      <c r="N20802">
        <v>0</v>
      </c>
    </row>
    <row r="20803" spans="1:15">
      <c r="A20803" t="s">
        <v>24271</v>
      </c>
      <c r="B20803" t="s">
        <v>11644</v>
      </c>
      <c r="C20803" t="s">
        <v>14285</v>
      </c>
      <c r="D20803" t="s">
        <v>60505</v>
      </c>
      <c r="E20803" t="b">
        <v>0</v>
      </c>
      <c r="F20803" t="s">
        <v>11624</v>
      </c>
      <c r="G20803">
        <v>14.107799999999999</v>
      </c>
      <c r="H20803">
        <v>98.194000000000003</v>
      </c>
      <c r="I20803" t="s">
        <v>60506</v>
      </c>
      <c r="L20803">
        <v>0</v>
      </c>
      <c r="M20803">
        <v>0</v>
      </c>
      <c r="N20803">
        <v>3</v>
      </c>
      <c r="O20803" t="s">
        <v>14059</v>
      </c>
    </row>
    <row r="20804" spans="1:15">
      <c r="A20804" t="s">
        <v>60507</v>
      </c>
      <c r="B20804" t="s">
        <v>11637</v>
      </c>
      <c r="C20804" t="s">
        <v>56191</v>
      </c>
      <c r="D20804" t="s">
        <v>60508</v>
      </c>
      <c r="E20804" t="b">
        <v>0</v>
      </c>
      <c r="F20804" t="s">
        <v>11624</v>
      </c>
      <c r="G20804">
        <v>62.231299999999997</v>
      </c>
      <c r="H20804">
        <v>14.403600000000001</v>
      </c>
      <c r="I20804" t="s">
        <v>60509</v>
      </c>
      <c r="L20804">
        <v>0</v>
      </c>
      <c r="M20804">
        <v>0</v>
      </c>
      <c r="N20804">
        <v>0</v>
      </c>
      <c r="O20804" t="s">
        <v>41131</v>
      </c>
    </row>
    <row r="20805" spans="1:15">
      <c r="A20805" t="s">
        <v>60510</v>
      </c>
      <c r="B20805" t="s">
        <v>6742</v>
      </c>
      <c r="C20805" t="s">
        <v>1745</v>
      </c>
      <c r="D20805" t="s">
        <v>60511</v>
      </c>
      <c r="E20805" t="b">
        <v>0</v>
      </c>
      <c r="F20805" t="s">
        <v>11610</v>
      </c>
      <c r="L20805">
        <v>0</v>
      </c>
      <c r="M20805">
        <v>0</v>
      </c>
      <c r="N20805">
        <v>0</v>
      </c>
    </row>
    <row r="20806" spans="1:15">
      <c r="A20806" t="s">
        <v>60512</v>
      </c>
      <c r="B20806" t="s">
        <v>6742</v>
      </c>
      <c r="C20806" t="s">
        <v>21944</v>
      </c>
      <c r="D20806" t="s">
        <v>60513</v>
      </c>
      <c r="E20806" t="b">
        <v>0</v>
      </c>
      <c r="F20806" t="s">
        <v>11624</v>
      </c>
      <c r="G20806">
        <v>-16.0167</v>
      </c>
      <c r="H20806">
        <v>31.620999999999999</v>
      </c>
      <c r="I20806" t="s">
        <v>60514</v>
      </c>
      <c r="L20806">
        <v>0</v>
      </c>
      <c r="M20806">
        <v>0</v>
      </c>
      <c r="N20806">
        <v>2</v>
      </c>
      <c r="O20806" t="s">
        <v>42750</v>
      </c>
    </row>
    <row r="20807" spans="1:15">
      <c r="A20807" t="s">
        <v>60515</v>
      </c>
      <c r="B20807" t="s">
        <v>6742</v>
      </c>
      <c r="C20807" t="s">
        <v>60512</v>
      </c>
      <c r="D20807" t="s">
        <v>60516</v>
      </c>
      <c r="E20807" t="b">
        <v>0</v>
      </c>
      <c r="F20807" t="s">
        <v>11610</v>
      </c>
      <c r="L20807">
        <v>0</v>
      </c>
      <c r="M20807">
        <v>0</v>
      </c>
      <c r="N20807">
        <v>0</v>
      </c>
    </row>
    <row r="20808" spans="1:15">
      <c r="A20808" t="s">
        <v>60517</v>
      </c>
      <c r="B20808" t="s">
        <v>6742</v>
      </c>
      <c r="C20808" t="s">
        <v>60512</v>
      </c>
      <c r="D20808" t="s">
        <v>60518</v>
      </c>
      <c r="E20808" t="b">
        <v>0</v>
      </c>
      <c r="F20808" t="s">
        <v>11610</v>
      </c>
      <c r="L20808">
        <v>0</v>
      </c>
      <c r="M20808">
        <v>0</v>
      </c>
      <c r="N20808">
        <v>0</v>
      </c>
    </row>
    <row r="20809" spans="1:15">
      <c r="A20809" t="s">
        <v>60519</v>
      </c>
      <c r="B20809" t="s">
        <v>6742</v>
      </c>
      <c r="C20809" t="s">
        <v>24810</v>
      </c>
      <c r="D20809" t="s">
        <v>60520</v>
      </c>
      <c r="E20809" t="b">
        <v>0</v>
      </c>
      <c r="F20809" t="s">
        <v>11610</v>
      </c>
      <c r="L20809">
        <v>0</v>
      </c>
      <c r="M20809">
        <v>0</v>
      </c>
      <c r="N20809">
        <v>0</v>
      </c>
    </row>
    <row r="20810" spans="1:15">
      <c r="A20810" t="s">
        <v>60521</v>
      </c>
      <c r="B20810" t="s">
        <v>367</v>
      </c>
      <c r="C20810" t="s">
        <v>51730</v>
      </c>
      <c r="D20810" t="s">
        <v>60522</v>
      </c>
      <c r="E20810" t="b">
        <v>0</v>
      </c>
      <c r="F20810" t="s">
        <v>11610</v>
      </c>
      <c r="L20810">
        <v>0</v>
      </c>
      <c r="M20810">
        <v>0</v>
      </c>
      <c r="N20810">
        <v>0</v>
      </c>
    </row>
    <row r="20811" spans="1:15">
      <c r="A20811" t="s">
        <v>15343</v>
      </c>
      <c r="B20811" t="s">
        <v>367</v>
      </c>
      <c r="C20811" t="s">
        <v>26582</v>
      </c>
      <c r="D20811" t="s">
        <v>60523</v>
      </c>
      <c r="E20811" t="b">
        <v>0</v>
      </c>
      <c r="F20811" t="s">
        <v>11624</v>
      </c>
      <c r="G20811">
        <v>-10.311500000000001</v>
      </c>
      <c r="H20811">
        <v>150.64400000000001</v>
      </c>
      <c r="I20811" t="s">
        <v>60524</v>
      </c>
      <c r="L20811">
        <v>0</v>
      </c>
      <c r="M20811">
        <v>0</v>
      </c>
      <c r="N20811">
        <v>9</v>
      </c>
      <c r="O20811" t="s">
        <v>11660</v>
      </c>
    </row>
    <row r="20812" spans="1:15">
      <c r="A20812" t="s">
        <v>60525</v>
      </c>
      <c r="B20812" t="s">
        <v>367</v>
      </c>
      <c r="C20812" t="s">
        <v>13191</v>
      </c>
      <c r="D20812" t="s">
        <v>60526</v>
      </c>
      <c r="E20812" t="b">
        <v>0</v>
      </c>
      <c r="F20812" t="s">
        <v>11610</v>
      </c>
      <c r="L20812">
        <v>0</v>
      </c>
      <c r="M20812">
        <v>0</v>
      </c>
      <c r="N20812">
        <v>0</v>
      </c>
    </row>
    <row r="20813" spans="1:15">
      <c r="A20813" t="s">
        <v>60527</v>
      </c>
      <c r="B20813" t="s">
        <v>8146</v>
      </c>
      <c r="C20813" t="s">
        <v>60528</v>
      </c>
      <c r="D20813" t="s">
        <v>60529</v>
      </c>
      <c r="E20813" t="b">
        <v>0</v>
      </c>
      <c r="F20813" t="s">
        <v>11610</v>
      </c>
      <c r="L20813">
        <v>0</v>
      </c>
      <c r="M20813">
        <v>0</v>
      </c>
      <c r="N20813">
        <v>0</v>
      </c>
    </row>
    <row r="20814" spans="1:15">
      <c r="A20814" t="s">
        <v>60530</v>
      </c>
      <c r="B20814" t="s">
        <v>12959</v>
      </c>
      <c r="C20814" t="s">
        <v>39095</v>
      </c>
      <c r="D20814" t="s">
        <v>60531</v>
      </c>
      <c r="E20814" t="b">
        <v>0</v>
      </c>
      <c r="F20814" t="s">
        <v>11624</v>
      </c>
      <c r="G20814">
        <v>-11.784632</v>
      </c>
      <c r="H20814">
        <v>-60.535032000000001</v>
      </c>
      <c r="I20814" t="s">
        <v>60532</v>
      </c>
      <c r="L20814">
        <v>0</v>
      </c>
      <c r="M20814">
        <v>0</v>
      </c>
      <c r="N20814">
        <v>0</v>
      </c>
      <c r="O20814" t="s">
        <v>11969</v>
      </c>
    </row>
    <row r="20815" spans="1:15">
      <c r="A20815" t="s">
        <v>32561</v>
      </c>
      <c r="B20815" t="s">
        <v>11607</v>
      </c>
      <c r="C20815" t="s">
        <v>58847</v>
      </c>
      <c r="D20815" t="s">
        <v>60533</v>
      </c>
      <c r="E20815" t="b">
        <v>0</v>
      </c>
      <c r="F20815" t="s">
        <v>11624</v>
      </c>
      <c r="G20815">
        <v>13.9878</v>
      </c>
      <c r="H20815">
        <v>4.4769199999999998</v>
      </c>
      <c r="I20815" t="s">
        <v>60534</v>
      </c>
      <c r="L20815">
        <v>0</v>
      </c>
      <c r="M20815">
        <v>0</v>
      </c>
      <c r="N20815">
        <v>3</v>
      </c>
      <c r="O20815" t="s">
        <v>60535</v>
      </c>
    </row>
    <row r="20816" spans="1:15">
      <c r="A20816" t="s">
        <v>60536</v>
      </c>
      <c r="B20816" t="s">
        <v>11607</v>
      </c>
      <c r="C20816" t="s">
        <v>32561</v>
      </c>
      <c r="D20816" t="s">
        <v>60537</v>
      </c>
      <c r="E20816" t="b">
        <v>0</v>
      </c>
      <c r="F20816" t="s">
        <v>11610</v>
      </c>
      <c r="L20816">
        <v>0</v>
      </c>
      <c r="M20816">
        <v>0</v>
      </c>
      <c r="N20816">
        <v>0</v>
      </c>
    </row>
    <row r="20817" spans="1:15">
      <c r="A20817" t="s">
        <v>60538</v>
      </c>
      <c r="B20817" t="s">
        <v>11607</v>
      </c>
      <c r="C20817" t="s">
        <v>32561</v>
      </c>
      <c r="D20817" t="s">
        <v>60539</v>
      </c>
      <c r="E20817" t="b">
        <v>0</v>
      </c>
      <c r="F20817" t="s">
        <v>11610</v>
      </c>
      <c r="L20817">
        <v>0</v>
      </c>
      <c r="M20817">
        <v>0</v>
      </c>
      <c r="N20817">
        <v>0</v>
      </c>
    </row>
    <row r="20818" spans="1:15">
      <c r="A20818" t="s">
        <v>3591</v>
      </c>
      <c r="B20818" t="s">
        <v>11627</v>
      </c>
      <c r="C20818" t="s">
        <v>11627</v>
      </c>
      <c r="D20818" t="s">
        <v>60540</v>
      </c>
      <c r="E20818" t="b">
        <v>1</v>
      </c>
      <c r="F20818" t="s">
        <v>11624</v>
      </c>
      <c r="G20818">
        <v>27.768599999999999</v>
      </c>
      <c r="H20818">
        <v>92.183800000000005</v>
      </c>
      <c r="I20818" t="s">
        <v>3594</v>
      </c>
      <c r="L20818">
        <v>0</v>
      </c>
      <c r="M20818">
        <v>0</v>
      </c>
      <c r="N20818">
        <v>0</v>
      </c>
      <c r="O20818" t="s">
        <v>24774</v>
      </c>
    </row>
    <row r="20819" spans="1:15">
      <c r="A20819" t="s">
        <v>60541</v>
      </c>
      <c r="B20819" t="s">
        <v>60542</v>
      </c>
      <c r="C20819" t="s">
        <v>60542</v>
      </c>
      <c r="D20819" t="s">
        <v>60543</v>
      </c>
      <c r="E20819" t="b">
        <v>0</v>
      </c>
      <c r="F20819" t="s">
        <v>11610</v>
      </c>
      <c r="L20819">
        <v>0</v>
      </c>
      <c r="M20819">
        <v>0</v>
      </c>
      <c r="N20819">
        <v>0</v>
      </c>
    </row>
    <row r="20820" spans="1:15">
      <c r="A20820" t="s">
        <v>60544</v>
      </c>
      <c r="B20820" t="s">
        <v>12241</v>
      </c>
      <c r="C20820" t="s">
        <v>12941</v>
      </c>
      <c r="D20820" t="s">
        <v>60545</v>
      </c>
      <c r="E20820" t="b">
        <v>0</v>
      </c>
      <c r="F20820" t="s">
        <v>11624</v>
      </c>
      <c r="L20820">
        <v>0</v>
      </c>
      <c r="M20820">
        <v>0</v>
      </c>
      <c r="N20820">
        <v>0</v>
      </c>
      <c r="O20820" t="s">
        <v>11969</v>
      </c>
    </row>
    <row r="20821" spans="1:15">
      <c r="A20821" t="s">
        <v>60546</v>
      </c>
      <c r="B20821" t="s">
        <v>17576</v>
      </c>
      <c r="C20821" t="s">
        <v>6422</v>
      </c>
      <c r="D20821" t="s">
        <v>60547</v>
      </c>
      <c r="E20821" t="b">
        <v>0</v>
      </c>
      <c r="F20821" t="s">
        <v>11610</v>
      </c>
      <c r="L20821">
        <v>0</v>
      </c>
      <c r="M20821">
        <v>0</v>
      </c>
      <c r="N20821">
        <v>0</v>
      </c>
    </row>
    <row r="20822" spans="1:15">
      <c r="A20822" t="s">
        <v>60548</v>
      </c>
      <c r="B20822" t="s">
        <v>367</v>
      </c>
      <c r="C20822" t="s">
        <v>39592</v>
      </c>
      <c r="D20822" t="s">
        <v>60549</v>
      </c>
      <c r="E20822" t="b">
        <v>0</v>
      </c>
      <c r="F20822" t="s">
        <v>11624</v>
      </c>
      <c r="G20822">
        <v>-1.30017</v>
      </c>
      <c r="H20822">
        <v>115.20399999999999</v>
      </c>
      <c r="I20822" t="s">
        <v>60550</v>
      </c>
      <c r="L20822">
        <v>0</v>
      </c>
      <c r="M20822">
        <v>0</v>
      </c>
      <c r="N20822">
        <v>0</v>
      </c>
      <c r="O20822" t="s">
        <v>11768</v>
      </c>
    </row>
    <row r="20823" spans="1:15">
      <c r="A20823" t="s">
        <v>60551</v>
      </c>
      <c r="B20823" t="s">
        <v>15365</v>
      </c>
      <c r="C20823" t="s">
        <v>26265</v>
      </c>
      <c r="D20823" t="s">
        <v>60552</v>
      </c>
      <c r="E20823" t="b">
        <v>0</v>
      </c>
      <c r="F20823" t="s">
        <v>11624</v>
      </c>
      <c r="G20823">
        <v>-3.4345500000000002</v>
      </c>
      <c r="H20823">
        <v>139.06100000000001</v>
      </c>
      <c r="I20823" t="s">
        <v>60553</v>
      </c>
      <c r="L20823">
        <v>0</v>
      </c>
      <c r="M20823">
        <v>0</v>
      </c>
      <c r="N20823">
        <v>0</v>
      </c>
      <c r="O20823" t="s">
        <v>11768</v>
      </c>
    </row>
    <row r="20824" spans="1:15">
      <c r="A20824" t="s">
        <v>60554</v>
      </c>
      <c r="B20824" t="s">
        <v>11644</v>
      </c>
      <c r="C20824" t="s">
        <v>21425</v>
      </c>
      <c r="D20824" t="s">
        <v>60555</v>
      </c>
      <c r="E20824" t="b">
        <v>0</v>
      </c>
      <c r="F20824" t="s">
        <v>11624</v>
      </c>
      <c r="G20824">
        <v>22.499600000000001</v>
      </c>
      <c r="H20824">
        <v>94.095699999999994</v>
      </c>
      <c r="I20824" t="s">
        <v>60556</v>
      </c>
      <c r="L20824">
        <v>0</v>
      </c>
      <c r="M20824">
        <v>0</v>
      </c>
      <c r="N20824">
        <v>0</v>
      </c>
      <c r="O20824" t="s">
        <v>14059</v>
      </c>
    </row>
    <row r="20825" spans="1:15">
      <c r="A20825" t="s">
        <v>60557</v>
      </c>
      <c r="B20825" t="s">
        <v>6742</v>
      </c>
      <c r="C20825" t="s">
        <v>38294</v>
      </c>
      <c r="D20825" t="s">
        <v>60558</v>
      </c>
      <c r="E20825" t="b">
        <v>0</v>
      </c>
      <c r="F20825" t="s">
        <v>11610</v>
      </c>
      <c r="L20825">
        <v>0</v>
      </c>
      <c r="M20825">
        <v>0</v>
      </c>
      <c r="N20825">
        <v>0</v>
      </c>
    </row>
    <row r="20826" spans="1:15">
      <c r="A20826" t="s">
        <v>60559</v>
      </c>
      <c r="B20826" t="s">
        <v>367</v>
      </c>
      <c r="C20826" t="s">
        <v>35712</v>
      </c>
      <c r="D20826" t="s">
        <v>60560</v>
      </c>
      <c r="E20826" t="b">
        <v>0</v>
      </c>
      <c r="F20826" t="s">
        <v>11610</v>
      </c>
      <c r="L20826">
        <v>0</v>
      </c>
      <c r="M20826">
        <v>0</v>
      </c>
      <c r="N20826">
        <v>0</v>
      </c>
    </row>
    <row r="20827" spans="1:15">
      <c r="A20827" t="s">
        <v>60561</v>
      </c>
      <c r="B20827" t="s">
        <v>367</v>
      </c>
      <c r="C20827" t="s">
        <v>17378</v>
      </c>
      <c r="D20827" t="s">
        <v>60562</v>
      </c>
      <c r="E20827" t="b">
        <v>0</v>
      </c>
      <c r="F20827" t="s">
        <v>11610</v>
      </c>
      <c r="L20827">
        <v>0</v>
      </c>
      <c r="M20827">
        <v>0</v>
      </c>
      <c r="N20827">
        <v>0</v>
      </c>
    </row>
    <row r="20828" spans="1:15">
      <c r="A20828" t="s">
        <v>60563</v>
      </c>
      <c r="B20828" t="s">
        <v>11615</v>
      </c>
      <c r="C20828" t="s">
        <v>21661</v>
      </c>
      <c r="D20828" t="s">
        <v>60564</v>
      </c>
      <c r="E20828" t="b">
        <v>0</v>
      </c>
      <c r="F20828" t="s">
        <v>11610</v>
      </c>
      <c r="L20828">
        <v>0</v>
      </c>
      <c r="M20828">
        <v>0</v>
      </c>
      <c r="N20828">
        <v>0</v>
      </c>
    </row>
    <row r="20829" spans="1:15">
      <c r="A20829" t="s">
        <v>60565</v>
      </c>
      <c r="B20829" t="s">
        <v>11615</v>
      </c>
      <c r="C20829" t="s">
        <v>27216</v>
      </c>
      <c r="D20829" t="s">
        <v>60566</v>
      </c>
      <c r="E20829" t="b">
        <v>0</v>
      </c>
      <c r="F20829" t="s">
        <v>11610</v>
      </c>
      <c r="L20829">
        <v>0</v>
      </c>
      <c r="M20829">
        <v>0</v>
      </c>
      <c r="N20829">
        <v>0</v>
      </c>
    </row>
    <row r="20830" spans="1:15">
      <c r="A20830" t="s">
        <v>60567</v>
      </c>
      <c r="B20830" t="s">
        <v>12241</v>
      </c>
      <c r="C20830" t="s">
        <v>15198</v>
      </c>
      <c r="D20830" t="s">
        <v>60568</v>
      </c>
      <c r="E20830" t="b">
        <v>0</v>
      </c>
      <c r="F20830" t="s">
        <v>11624</v>
      </c>
      <c r="G20830">
        <v>16.3171</v>
      </c>
      <c r="H20830">
        <v>121.29300000000001</v>
      </c>
      <c r="I20830" t="s">
        <v>60569</v>
      </c>
      <c r="L20830">
        <v>0</v>
      </c>
      <c r="M20830">
        <v>0</v>
      </c>
      <c r="N20830">
        <v>0</v>
      </c>
      <c r="O20830" t="s">
        <v>11749</v>
      </c>
    </row>
    <row r="20831" spans="1:15">
      <c r="A20831" t="s">
        <v>12566</v>
      </c>
      <c r="B20831" t="s">
        <v>11607</v>
      </c>
      <c r="C20831" t="s">
        <v>58847</v>
      </c>
      <c r="D20831" t="s">
        <v>60570</v>
      </c>
      <c r="E20831" t="b">
        <v>0</v>
      </c>
      <c r="F20831" t="s">
        <v>11624</v>
      </c>
      <c r="G20831">
        <v>16.923200000000001</v>
      </c>
      <c r="H20831">
        <v>7.6742999999999997</v>
      </c>
      <c r="I20831" t="s">
        <v>60571</v>
      </c>
      <c r="L20831">
        <v>0</v>
      </c>
      <c r="M20831">
        <v>0</v>
      </c>
      <c r="N20831">
        <v>2</v>
      </c>
      <c r="O20831" t="s">
        <v>18620</v>
      </c>
    </row>
    <row r="20832" spans="1:15">
      <c r="A20832" t="s">
        <v>24927</v>
      </c>
      <c r="B20832" t="s">
        <v>6742</v>
      </c>
      <c r="C20832" t="s">
        <v>60572</v>
      </c>
      <c r="D20832" t="s">
        <v>60573</v>
      </c>
      <c r="E20832" t="b">
        <v>0</v>
      </c>
      <c r="F20832" t="s">
        <v>11622</v>
      </c>
      <c r="L20832">
        <v>1</v>
      </c>
      <c r="M20832">
        <v>3</v>
      </c>
      <c r="N20832">
        <v>6</v>
      </c>
    </row>
    <row r="20833" spans="1:15">
      <c r="A20833" t="s">
        <v>60574</v>
      </c>
      <c r="B20833" t="s">
        <v>13450</v>
      </c>
      <c r="C20833" t="s">
        <v>17528</v>
      </c>
      <c r="D20833" t="s">
        <v>60575</v>
      </c>
      <c r="E20833" t="b">
        <v>0</v>
      </c>
      <c r="F20833" t="s">
        <v>11624</v>
      </c>
      <c r="G20833">
        <v>13.8962</v>
      </c>
      <c r="H20833">
        <v>108.25700000000001</v>
      </c>
      <c r="I20833" t="s">
        <v>60576</v>
      </c>
      <c r="L20833">
        <v>0</v>
      </c>
      <c r="M20833">
        <v>0</v>
      </c>
      <c r="N20833">
        <v>0</v>
      </c>
      <c r="O20833" t="s">
        <v>15949</v>
      </c>
    </row>
    <row r="20834" spans="1:15">
      <c r="A20834" t="s">
        <v>60577</v>
      </c>
      <c r="B20834" t="s">
        <v>5126</v>
      </c>
      <c r="C20834" t="s">
        <v>21438</v>
      </c>
      <c r="D20834" t="s">
        <v>60578</v>
      </c>
      <c r="E20834" t="b">
        <v>0</v>
      </c>
      <c r="F20834" t="s">
        <v>11610</v>
      </c>
      <c r="L20834">
        <v>0</v>
      </c>
      <c r="M20834">
        <v>0</v>
      </c>
      <c r="N20834">
        <v>0</v>
      </c>
    </row>
    <row r="20835" spans="1:15">
      <c r="A20835" t="s">
        <v>60579</v>
      </c>
      <c r="B20835" t="s">
        <v>5126</v>
      </c>
      <c r="C20835" t="s">
        <v>19778</v>
      </c>
      <c r="D20835" t="s">
        <v>60580</v>
      </c>
      <c r="E20835" t="b">
        <v>0</v>
      </c>
      <c r="F20835" t="s">
        <v>11624</v>
      </c>
      <c r="G20835">
        <v>18.662400000000002</v>
      </c>
      <c r="H20835">
        <v>104.367</v>
      </c>
      <c r="I20835" t="s">
        <v>60581</v>
      </c>
      <c r="L20835">
        <v>0</v>
      </c>
      <c r="M20835">
        <v>0</v>
      </c>
      <c r="N20835">
        <v>0</v>
      </c>
      <c r="O20835" t="s">
        <v>12921</v>
      </c>
    </row>
    <row r="20836" spans="1:15">
      <c r="A20836" t="s">
        <v>60582</v>
      </c>
      <c r="B20836" t="s">
        <v>5126</v>
      </c>
      <c r="C20836" t="s">
        <v>59736</v>
      </c>
      <c r="D20836" t="s">
        <v>60583</v>
      </c>
      <c r="E20836" t="b">
        <v>0</v>
      </c>
      <c r="F20836" t="s">
        <v>11610</v>
      </c>
      <c r="L20836">
        <v>0</v>
      </c>
      <c r="M20836">
        <v>0</v>
      </c>
      <c r="N20836">
        <v>0</v>
      </c>
    </row>
    <row r="20837" spans="1:15">
      <c r="A20837" t="s">
        <v>60584</v>
      </c>
      <c r="B20837" t="s">
        <v>11607</v>
      </c>
      <c r="C20837" t="s">
        <v>13669</v>
      </c>
      <c r="D20837" t="s">
        <v>60585</v>
      </c>
      <c r="E20837" t="b">
        <v>0</v>
      </c>
      <c r="F20837" t="s">
        <v>11610</v>
      </c>
      <c r="L20837">
        <v>0</v>
      </c>
      <c r="M20837">
        <v>0</v>
      </c>
      <c r="N20837">
        <v>0</v>
      </c>
    </row>
    <row r="20838" spans="1:15">
      <c r="A20838" t="s">
        <v>60586</v>
      </c>
      <c r="B20838" t="s">
        <v>11637</v>
      </c>
      <c r="C20838" t="s">
        <v>23068</v>
      </c>
      <c r="D20838" t="s">
        <v>60587</v>
      </c>
      <c r="E20838" t="b">
        <v>0</v>
      </c>
      <c r="F20838" t="s">
        <v>11624</v>
      </c>
      <c r="G20838">
        <v>-22.227699999999999</v>
      </c>
      <c r="H20838">
        <v>166.54599999999999</v>
      </c>
      <c r="I20838" t="s">
        <v>60588</v>
      </c>
      <c r="L20838">
        <v>0</v>
      </c>
      <c r="M20838">
        <v>0</v>
      </c>
      <c r="N20838">
        <v>0</v>
      </c>
      <c r="O20838" t="s">
        <v>12624</v>
      </c>
    </row>
    <row r="20839" spans="1:15">
      <c r="A20839" t="s">
        <v>60589</v>
      </c>
      <c r="B20839" t="s">
        <v>5126</v>
      </c>
      <c r="C20839" t="s">
        <v>55904</v>
      </c>
      <c r="D20839" t="s">
        <v>60590</v>
      </c>
      <c r="E20839" t="b">
        <v>0</v>
      </c>
      <c r="F20839" t="s">
        <v>11624</v>
      </c>
      <c r="G20839">
        <v>22.295000000000002</v>
      </c>
      <c r="H20839">
        <v>103.80500000000001</v>
      </c>
      <c r="I20839" t="s">
        <v>60591</v>
      </c>
      <c r="L20839">
        <v>0</v>
      </c>
      <c r="M20839">
        <v>0</v>
      </c>
      <c r="N20839">
        <v>0</v>
      </c>
      <c r="O20839" t="s">
        <v>15949</v>
      </c>
    </row>
    <row r="20840" spans="1:15">
      <c r="A20840" t="s">
        <v>60592</v>
      </c>
      <c r="B20840" t="s">
        <v>5126</v>
      </c>
      <c r="C20840" t="s">
        <v>54395</v>
      </c>
      <c r="D20840" t="s">
        <v>60593</v>
      </c>
      <c r="E20840" t="b">
        <v>0</v>
      </c>
      <c r="F20840" t="s">
        <v>11624</v>
      </c>
      <c r="G20840">
        <v>21.383099999999999</v>
      </c>
      <c r="H20840">
        <v>104.008</v>
      </c>
      <c r="I20840" t="s">
        <v>60594</v>
      </c>
      <c r="L20840">
        <v>0</v>
      </c>
      <c r="M20840">
        <v>0</v>
      </c>
      <c r="N20840">
        <v>0</v>
      </c>
      <c r="O20840" t="s">
        <v>15949</v>
      </c>
    </row>
    <row r="20841" spans="1:15">
      <c r="A20841" t="s">
        <v>60595</v>
      </c>
      <c r="B20841" t="s">
        <v>5126</v>
      </c>
      <c r="C20841" t="s">
        <v>21438</v>
      </c>
      <c r="D20841" t="s">
        <v>60596</v>
      </c>
      <c r="E20841" t="b">
        <v>0</v>
      </c>
      <c r="F20841" t="s">
        <v>11610</v>
      </c>
      <c r="L20841">
        <v>0</v>
      </c>
      <c r="M20841">
        <v>0</v>
      </c>
      <c r="N20841">
        <v>0</v>
      </c>
    </row>
    <row r="20842" spans="1:15">
      <c r="A20842" t="s">
        <v>21438</v>
      </c>
      <c r="B20842" t="s">
        <v>5126</v>
      </c>
      <c r="C20842" t="s">
        <v>23872</v>
      </c>
      <c r="D20842" t="s">
        <v>60597</v>
      </c>
      <c r="E20842" t="b">
        <v>0</v>
      </c>
      <c r="F20842" t="s">
        <v>11624</v>
      </c>
      <c r="G20842">
        <v>21.6448</v>
      </c>
      <c r="H20842">
        <v>106.167</v>
      </c>
      <c r="I20842" t="s">
        <v>60598</v>
      </c>
      <c r="L20842">
        <v>0</v>
      </c>
      <c r="M20842">
        <v>0</v>
      </c>
      <c r="N20842">
        <v>6</v>
      </c>
      <c r="O20842" t="s">
        <v>19781</v>
      </c>
    </row>
    <row r="20843" spans="1:15">
      <c r="A20843" t="s">
        <v>60599</v>
      </c>
      <c r="B20843" t="s">
        <v>11644</v>
      </c>
      <c r="C20843" t="s">
        <v>41228</v>
      </c>
      <c r="D20843" t="s">
        <v>60600</v>
      </c>
      <c r="E20843" t="b">
        <v>0</v>
      </c>
      <c r="F20843" t="s">
        <v>11610</v>
      </c>
      <c r="L20843">
        <v>0</v>
      </c>
      <c r="M20843">
        <v>0</v>
      </c>
      <c r="N20843">
        <v>0</v>
      </c>
    </row>
    <row r="20844" spans="1:15">
      <c r="A20844" t="s">
        <v>29653</v>
      </c>
      <c r="B20844" t="s">
        <v>11607</v>
      </c>
      <c r="C20844" t="s">
        <v>45490</v>
      </c>
      <c r="D20844" t="s">
        <v>60601</v>
      </c>
      <c r="E20844" t="b">
        <v>0</v>
      </c>
      <c r="F20844" t="s">
        <v>11624</v>
      </c>
      <c r="G20844">
        <v>29.110700000000001</v>
      </c>
      <c r="H20844">
        <v>1.992E-2</v>
      </c>
      <c r="I20844" t="s">
        <v>60602</v>
      </c>
      <c r="L20844">
        <v>0</v>
      </c>
      <c r="M20844">
        <v>0</v>
      </c>
      <c r="N20844">
        <v>3</v>
      </c>
      <c r="O20844" t="s">
        <v>13029</v>
      </c>
    </row>
    <row r="20845" spans="1:15">
      <c r="A20845" t="s">
        <v>60603</v>
      </c>
      <c r="B20845" t="s">
        <v>12260</v>
      </c>
      <c r="C20845" t="s">
        <v>575</v>
      </c>
      <c r="D20845" t="s">
        <v>60604</v>
      </c>
      <c r="E20845" t="b">
        <v>0</v>
      </c>
      <c r="F20845" t="s">
        <v>11610</v>
      </c>
      <c r="L20845">
        <v>0</v>
      </c>
      <c r="M20845">
        <v>0</v>
      </c>
      <c r="N20845">
        <v>0</v>
      </c>
    </row>
    <row r="20846" spans="1:15">
      <c r="A20846" t="s">
        <v>60605</v>
      </c>
      <c r="B20846" t="s">
        <v>11637</v>
      </c>
      <c r="C20846" t="s">
        <v>14438</v>
      </c>
      <c r="D20846" t="s">
        <v>60606</v>
      </c>
      <c r="E20846" t="b">
        <v>0</v>
      </c>
      <c r="F20846" t="s">
        <v>11610</v>
      </c>
      <c r="L20846">
        <v>0</v>
      </c>
      <c r="M20846">
        <v>0</v>
      </c>
      <c r="N20846">
        <v>0</v>
      </c>
    </row>
    <row r="20847" spans="1:15">
      <c r="A20847" t="s">
        <v>21586</v>
      </c>
      <c r="B20847" t="s">
        <v>367</v>
      </c>
      <c r="C20847" t="s">
        <v>18941</v>
      </c>
      <c r="D20847" t="s">
        <v>60607</v>
      </c>
      <c r="E20847" t="b">
        <v>0</v>
      </c>
      <c r="F20847" t="s">
        <v>11624</v>
      </c>
      <c r="G20847">
        <v>6.2037699999999996</v>
      </c>
      <c r="H20847">
        <v>124.538</v>
      </c>
      <c r="I20847" t="s">
        <v>60608</v>
      </c>
      <c r="L20847">
        <v>0</v>
      </c>
      <c r="M20847">
        <v>0</v>
      </c>
      <c r="N20847">
        <v>3</v>
      </c>
      <c r="O20847" t="s">
        <v>11749</v>
      </c>
    </row>
    <row r="20848" spans="1:15">
      <c r="A20848" t="s">
        <v>18941</v>
      </c>
      <c r="B20848" t="s">
        <v>367</v>
      </c>
      <c r="C20848" t="s">
        <v>18602</v>
      </c>
      <c r="D20848" t="s">
        <v>60609</v>
      </c>
      <c r="E20848" t="b">
        <v>0</v>
      </c>
      <c r="F20848" t="s">
        <v>11622</v>
      </c>
      <c r="L20848">
        <v>1</v>
      </c>
      <c r="M20848">
        <v>3</v>
      </c>
      <c r="N20848">
        <v>3</v>
      </c>
    </row>
    <row r="20849" spans="1:15">
      <c r="A20849" t="s">
        <v>60610</v>
      </c>
      <c r="B20849" t="s">
        <v>6742</v>
      </c>
      <c r="C20849" t="s">
        <v>14948</v>
      </c>
      <c r="D20849" t="s">
        <v>60611</v>
      </c>
      <c r="E20849" t="b">
        <v>0</v>
      </c>
      <c r="F20849" t="s">
        <v>11610</v>
      </c>
      <c r="L20849">
        <v>0</v>
      </c>
      <c r="M20849">
        <v>0</v>
      </c>
      <c r="N20849">
        <v>0</v>
      </c>
    </row>
    <row r="20850" spans="1:15">
      <c r="A20850" t="s">
        <v>60612</v>
      </c>
      <c r="B20850" t="s">
        <v>11607</v>
      </c>
      <c r="C20850" t="s">
        <v>13119</v>
      </c>
      <c r="D20850" t="s">
        <v>60613</v>
      </c>
      <c r="E20850" t="b">
        <v>0</v>
      </c>
      <c r="F20850" t="s">
        <v>11610</v>
      </c>
      <c r="L20850">
        <v>0</v>
      </c>
      <c r="M20850">
        <v>0</v>
      </c>
      <c r="N20850">
        <v>0</v>
      </c>
    </row>
    <row r="20851" spans="1:15">
      <c r="A20851" t="s">
        <v>60614</v>
      </c>
      <c r="B20851" t="s">
        <v>6742</v>
      </c>
      <c r="C20851" t="s">
        <v>47690</v>
      </c>
      <c r="D20851" t="s">
        <v>60615</v>
      </c>
      <c r="E20851" t="b">
        <v>0</v>
      </c>
      <c r="F20851" t="s">
        <v>11610</v>
      </c>
      <c r="L20851">
        <v>0</v>
      </c>
      <c r="M20851">
        <v>0</v>
      </c>
      <c r="N20851">
        <v>0</v>
      </c>
    </row>
    <row r="20852" spans="1:15">
      <c r="A20852" t="s">
        <v>60616</v>
      </c>
      <c r="B20852" t="s">
        <v>6742</v>
      </c>
      <c r="C20852" t="s">
        <v>51271</v>
      </c>
      <c r="D20852" t="s">
        <v>60617</v>
      </c>
      <c r="E20852" t="b">
        <v>0</v>
      </c>
      <c r="F20852" t="s">
        <v>11624</v>
      </c>
      <c r="G20852">
        <v>-2.0339299999999998</v>
      </c>
      <c r="H20852">
        <v>13.600099999999999</v>
      </c>
      <c r="I20852" t="s">
        <v>60618</v>
      </c>
      <c r="L20852">
        <v>0</v>
      </c>
      <c r="M20852">
        <v>0</v>
      </c>
      <c r="N20852">
        <v>0</v>
      </c>
      <c r="O20852" t="s">
        <v>16915</v>
      </c>
    </row>
    <row r="20853" spans="1:15">
      <c r="A20853" t="s">
        <v>60619</v>
      </c>
      <c r="B20853" t="s">
        <v>6742</v>
      </c>
      <c r="C20853" t="s">
        <v>26108</v>
      </c>
      <c r="D20853" t="s">
        <v>60620</v>
      </c>
      <c r="E20853" t="b">
        <v>0</v>
      </c>
      <c r="F20853" t="s">
        <v>11610</v>
      </c>
      <c r="L20853">
        <v>0</v>
      </c>
      <c r="M20853">
        <v>0</v>
      </c>
      <c r="N20853">
        <v>0</v>
      </c>
    </row>
    <row r="20854" spans="1:15">
      <c r="A20854" t="s">
        <v>60621</v>
      </c>
      <c r="B20854" t="s">
        <v>11607</v>
      </c>
      <c r="C20854" t="s">
        <v>20560</v>
      </c>
      <c r="D20854" t="s">
        <v>60622</v>
      </c>
      <c r="E20854" t="b">
        <v>0</v>
      </c>
      <c r="F20854" t="s">
        <v>11610</v>
      </c>
      <c r="L20854">
        <v>0</v>
      </c>
      <c r="M20854">
        <v>0</v>
      </c>
      <c r="N20854">
        <v>0</v>
      </c>
    </row>
    <row r="20855" spans="1:15">
      <c r="A20855" t="s">
        <v>23221</v>
      </c>
      <c r="B20855" t="s">
        <v>6742</v>
      </c>
      <c r="C20855" t="s">
        <v>22945</v>
      </c>
      <c r="D20855" t="s">
        <v>60623</v>
      </c>
      <c r="E20855" t="b">
        <v>0</v>
      </c>
      <c r="F20855" t="s">
        <v>11624</v>
      </c>
      <c r="G20855">
        <v>8.4344900000000003</v>
      </c>
      <c r="H20855">
        <v>2.55627</v>
      </c>
      <c r="I20855" t="s">
        <v>60624</v>
      </c>
      <c r="L20855">
        <v>0</v>
      </c>
      <c r="M20855">
        <v>0</v>
      </c>
      <c r="N20855">
        <v>2</v>
      </c>
      <c r="O20855" t="s">
        <v>15477</v>
      </c>
    </row>
    <row r="20856" spans="1:15">
      <c r="A20856" t="s">
        <v>60625</v>
      </c>
      <c r="B20856" t="s">
        <v>367</v>
      </c>
      <c r="C20856" t="s">
        <v>60159</v>
      </c>
      <c r="D20856" t="s">
        <v>60626</v>
      </c>
      <c r="E20856" t="b">
        <v>0</v>
      </c>
      <c r="F20856" t="s">
        <v>11624</v>
      </c>
      <c r="G20856">
        <v>-11.6752</v>
      </c>
      <c r="H20856">
        <v>166.86799999999999</v>
      </c>
      <c r="I20856" t="s">
        <v>60627</v>
      </c>
      <c r="L20856">
        <v>0</v>
      </c>
      <c r="M20856">
        <v>0</v>
      </c>
      <c r="N20856">
        <v>0</v>
      </c>
      <c r="O20856" t="s">
        <v>13346</v>
      </c>
    </row>
    <row r="20857" spans="1:15">
      <c r="A20857" t="s">
        <v>15162</v>
      </c>
      <c r="D20857" t="s">
        <v>60628</v>
      </c>
      <c r="E20857" t="b">
        <v>0</v>
      </c>
      <c r="F20857" t="s">
        <v>11622</v>
      </c>
      <c r="L20857">
        <v>0</v>
      </c>
      <c r="M20857">
        <v>2</v>
      </c>
      <c r="N20857">
        <v>14</v>
      </c>
    </row>
    <row r="20858" spans="1:15">
      <c r="A20858" t="s">
        <v>60629</v>
      </c>
      <c r="B20858" t="s">
        <v>15162</v>
      </c>
      <c r="C20858" t="s">
        <v>15163</v>
      </c>
      <c r="D20858" t="s">
        <v>60630</v>
      </c>
      <c r="E20858" t="b">
        <v>0</v>
      </c>
      <c r="F20858" t="s">
        <v>11610</v>
      </c>
      <c r="L20858">
        <v>0</v>
      </c>
      <c r="M20858">
        <v>0</v>
      </c>
      <c r="N20858">
        <v>0</v>
      </c>
    </row>
    <row r="20859" spans="1:15">
      <c r="A20859" t="s">
        <v>6758</v>
      </c>
      <c r="B20859" t="s">
        <v>13967</v>
      </c>
      <c r="C20859" t="s">
        <v>34905</v>
      </c>
      <c r="D20859" t="s">
        <v>60631</v>
      </c>
      <c r="E20859" t="b">
        <v>0</v>
      </c>
      <c r="F20859" t="s">
        <v>11622</v>
      </c>
      <c r="L20859">
        <v>0</v>
      </c>
      <c r="M20859">
        <v>2</v>
      </c>
      <c r="N20859">
        <v>3</v>
      </c>
    </row>
    <row r="20860" spans="1:15">
      <c r="A20860" t="s">
        <v>60632</v>
      </c>
      <c r="B20860" t="s">
        <v>1342</v>
      </c>
      <c r="C20860" t="s">
        <v>19431</v>
      </c>
      <c r="D20860" t="s">
        <v>60633</v>
      </c>
      <c r="E20860" t="b">
        <v>0</v>
      </c>
      <c r="F20860" t="s">
        <v>11624</v>
      </c>
      <c r="G20860">
        <v>14.66</v>
      </c>
      <c r="H20860">
        <v>-3.1</v>
      </c>
      <c r="I20860" t="s">
        <v>60634</v>
      </c>
      <c r="L20860">
        <v>0</v>
      </c>
      <c r="M20860">
        <v>0</v>
      </c>
      <c r="N20860">
        <v>0</v>
      </c>
      <c r="O20860" t="s">
        <v>13528</v>
      </c>
    </row>
    <row r="20861" spans="1:15">
      <c r="A20861" t="s">
        <v>60635</v>
      </c>
      <c r="B20861" t="s">
        <v>11981</v>
      </c>
      <c r="C20861" t="s">
        <v>11982</v>
      </c>
      <c r="D20861" t="s">
        <v>60636</v>
      </c>
      <c r="E20861" t="b">
        <v>0</v>
      </c>
      <c r="F20861" t="s">
        <v>11624</v>
      </c>
      <c r="G20861">
        <v>14.499995</v>
      </c>
      <c r="H20861">
        <v>-3.4999570000000002</v>
      </c>
      <c r="I20861" t="s">
        <v>60637</v>
      </c>
      <c r="L20861">
        <v>0</v>
      </c>
      <c r="M20861">
        <v>0</v>
      </c>
      <c r="N20861">
        <v>0</v>
      </c>
      <c r="O20861" t="s">
        <v>13528</v>
      </c>
    </row>
    <row r="20862" spans="1:15">
      <c r="A20862" t="s">
        <v>60638</v>
      </c>
      <c r="B20862" t="s">
        <v>21317</v>
      </c>
      <c r="C20862" t="s">
        <v>49130</v>
      </c>
      <c r="D20862" t="s">
        <v>60639</v>
      </c>
      <c r="E20862" t="b">
        <v>0</v>
      </c>
      <c r="F20862" t="s">
        <v>11624</v>
      </c>
      <c r="G20862">
        <v>20.2957</v>
      </c>
      <c r="H20862">
        <v>-97.843599999999995</v>
      </c>
      <c r="I20862" t="s">
        <v>60640</v>
      </c>
      <c r="L20862">
        <v>0</v>
      </c>
      <c r="M20862">
        <v>0</v>
      </c>
      <c r="N20862">
        <v>0</v>
      </c>
      <c r="O20862" t="s">
        <v>11883</v>
      </c>
    </row>
    <row r="20863" spans="1:15">
      <c r="A20863" t="s">
        <v>6757</v>
      </c>
      <c r="B20863" t="s">
        <v>13967</v>
      </c>
      <c r="C20863" t="s">
        <v>6758</v>
      </c>
      <c r="D20863" t="s">
        <v>60641</v>
      </c>
      <c r="E20863" t="b">
        <v>0</v>
      </c>
      <c r="F20863" t="s">
        <v>11624</v>
      </c>
      <c r="G20863">
        <v>18.0426</v>
      </c>
      <c r="H20863">
        <v>14.771699999999999</v>
      </c>
      <c r="I20863" t="s">
        <v>6759</v>
      </c>
      <c r="L20863">
        <v>0</v>
      </c>
      <c r="M20863">
        <v>0</v>
      </c>
      <c r="N20863">
        <v>1</v>
      </c>
      <c r="O20863" t="s">
        <v>60642</v>
      </c>
    </row>
    <row r="20864" spans="1:15">
      <c r="A20864" t="s">
        <v>34617</v>
      </c>
      <c r="B20864" t="s">
        <v>11644</v>
      </c>
      <c r="C20864" t="s">
        <v>36159</v>
      </c>
      <c r="D20864" t="s">
        <v>60643</v>
      </c>
      <c r="E20864" t="b">
        <v>0</v>
      </c>
      <c r="F20864" t="s">
        <v>11624</v>
      </c>
      <c r="G20864">
        <v>23.607900000000001</v>
      </c>
      <c r="H20864">
        <v>93.519000000000005</v>
      </c>
      <c r="I20864" t="s">
        <v>60644</v>
      </c>
      <c r="L20864">
        <v>0</v>
      </c>
      <c r="M20864">
        <v>0</v>
      </c>
      <c r="N20864">
        <v>2</v>
      </c>
      <c r="O20864" t="s">
        <v>13598</v>
      </c>
    </row>
    <row r="20865" spans="1:15">
      <c r="A20865" t="s">
        <v>60645</v>
      </c>
      <c r="B20865" t="s">
        <v>13276</v>
      </c>
      <c r="C20865" t="s">
        <v>18350</v>
      </c>
      <c r="D20865" t="s">
        <v>60646</v>
      </c>
      <c r="E20865" t="b">
        <v>0</v>
      </c>
      <c r="F20865" t="s">
        <v>11610</v>
      </c>
      <c r="L20865">
        <v>0</v>
      </c>
      <c r="M20865">
        <v>0</v>
      </c>
      <c r="N20865">
        <v>0</v>
      </c>
    </row>
    <row r="20866" spans="1:15">
      <c r="A20866" t="s">
        <v>60647</v>
      </c>
      <c r="B20866" t="s">
        <v>6742</v>
      </c>
      <c r="C20866" t="s">
        <v>24355</v>
      </c>
      <c r="D20866" t="s">
        <v>60648</v>
      </c>
      <c r="E20866" t="b">
        <v>0</v>
      </c>
      <c r="F20866" t="s">
        <v>11610</v>
      </c>
      <c r="L20866">
        <v>0</v>
      </c>
      <c r="M20866">
        <v>0</v>
      </c>
      <c r="N20866">
        <v>0</v>
      </c>
    </row>
    <row r="20867" spans="1:15">
      <c r="A20867" t="s">
        <v>60649</v>
      </c>
      <c r="B20867" t="s">
        <v>6742</v>
      </c>
      <c r="C20867" t="s">
        <v>36133</v>
      </c>
      <c r="D20867" t="s">
        <v>60650</v>
      </c>
      <c r="E20867" t="b">
        <v>0</v>
      </c>
      <c r="F20867" t="s">
        <v>11624</v>
      </c>
      <c r="G20867">
        <v>4.7321299999999997</v>
      </c>
      <c r="H20867">
        <v>7.3755300000000004</v>
      </c>
      <c r="I20867" t="s">
        <v>60651</v>
      </c>
      <c r="L20867">
        <v>0</v>
      </c>
      <c r="M20867">
        <v>0</v>
      </c>
      <c r="N20867">
        <v>0</v>
      </c>
      <c r="O20867" t="s">
        <v>11693</v>
      </c>
    </row>
    <row r="20868" spans="1:15">
      <c r="A20868" t="s">
        <v>40566</v>
      </c>
      <c r="B20868" t="s">
        <v>6742</v>
      </c>
      <c r="C20868" t="s">
        <v>38064</v>
      </c>
      <c r="D20868" t="s">
        <v>60652</v>
      </c>
      <c r="E20868" t="b">
        <v>0</v>
      </c>
      <c r="F20868" t="s">
        <v>11622</v>
      </c>
      <c r="L20868">
        <v>0</v>
      </c>
      <c r="M20868">
        <v>2</v>
      </c>
      <c r="N20868">
        <v>0</v>
      </c>
    </row>
    <row r="20869" spans="1:15">
      <c r="A20869" t="s">
        <v>60653</v>
      </c>
      <c r="B20869" t="s">
        <v>6742</v>
      </c>
      <c r="C20869" t="s">
        <v>40566</v>
      </c>
      <c r="D20869" t="s">
        <v>60654</v>
      </c>
      <c r="E20869" t="b">
        <v>0</v>
      </c>
      <c r="F20869" t="s">
        <v>11624</v>
      </c>
      <c r="G20869">
        <v>9.8455600000000008</v>
      </c>
      <c r="H20869">
        <v>-3.71183</v>
      </c>
      <c r="I20869" t="s">
        <v>60655</v>
      </c>
      <c r="L20869">
        <v>0</v>
      </c>
      <c r="M20869">
        <v>0</v>
      </c>
      <c r="N20869">
        <v>0</v>
      </c>
      <c r="O20869" t="s">
        <v>22064</v>
      </c>
    </row>
    <row r="20870" spans="1:15">
      <c r="A20870" t="s">
        <v>60656</v>
      </c>
      <c r="B20870" t="s">
        <v>6742</v>
      </c>
      <c r="C20870" t="s">
        <v>25385</v>
      </c>
      <c r="D20870" t="s">
        <v>60657</v>
      </c>
      <c r="E20870" t="b">
        <v>0</v>
      </c>
      <c r="F20870" t="s">
        <v>11610</v>
      </c>
      <c r="L20870">
        <v>0</v>
      </c>
      <c r="M20870">
        <v>0</v>
      </c>
      <c r="N20870">
        <v>0</v>
      </c>
    </row>
    <row r="20871" spans="1:15">
      <c r="A20871" t="s">
        <v>60658</v>
      </c>
      <c r="B20871" t="s">
        <v>15142</v>
      </c>
      <c r="C20871" t="s">
        <v>15142</v>
      </c>
      <c r="D20871" t="s">
        <v>60659</v>
      </c>
      <c r="E20871" t="b">
        <v>0</v>
      </c>
      <c r="F20871" t="s">
        <v>11624</v>
      </c>
      <c r="G20871">
        <v>-2.3504200000000002</v>
      </c>
      <c r="H20871">
        <v>136.75299999999999</v>
      </c>
      <c r="I20871" t="s">
        <v>60660</v>
      </c>
      <c r="L20871">
        <v>0</v>
      </c>
      <c r="M20871">
        <v>0</v>
      </c>
      <c r="N20871">
        <v>0</v>
      </c>
      <c r="O20871" t="s">
        <v>11768</v>
      </c>
    </row>
    <row r="20872" spans="1:15">
      <c r="A20872" t="s">
        <v>49366</v>
      </c>
      <c r="B20872" t="s">
        <v>45308</v>
      </c>
      <c r="C20872" t="s">
        <v>45308</v>
      </c>
      <c r="D20872" t="s">
        <v>60661</v>
      </c>
      <c r="E20872" t="b">
        <v>0</v>
      </c>
      <c r="F20872" t="s">
        <v>11624</v>
      </c>
      <c r="G20872">
        <v>11.952299999999999</v>
      </c>
      <c r="H20872">
        <v>31.1112</v>
      </c>
      <c r="I20872" t="s">
        <v>60662</v>
      </c>
      <c r="L20872">
        <v>0</v>
      </c>
      <c r="M20872">
        <v>0</v>
      </c>
      <c r="N20872">
        <v>2</v>
      </c>
      <c r="O20872" t="s">
        <v>11910</v>
      </c>
    </row>
    <row r="20873" spans="1:15">
      <c r="A20873" t="s">
        <v>60663</v>
      </c>
      <c r="B20873" t="s">
        <v>367</v>
      </c>
      <c r="C20873" t="s">
        <v>52501</v>
      </c>
      <c r="D20873" t="s">
        <v>60664</v>
      </c>
      <c r="E20873" t="b">
        <v>0</v>
      </c>
      <c r="F20873" t="s">
        <v>11610</v>
      </c>
      <c r="L20873">
        <v>0</v>
      </c>
      <c r="M20873">
        <v>0</v>
      </c>
      <c r="N20873">
        <v>0</v>
      </c>
    </row>
    <row r="20874" spans="1:15">
      <c r="A20874" t="s">
        <v>60665</v>
      </c>
      <c r="B20874" t="s">
        <v>6742</v>
      </c>
      <c r="C20874" t="s">
        <v>35394</v>
      </c>
      <c r="D20874" t="s">
        <v>60666</v>
      </c>
      <c r="E20874" t="b">
        <v>0</v>
      </c>
      <c r="F20874" t="s">
        <v>11610</v>
      </c>
      <c r="L20874">
        <v>0</v>
      </c>
      <c r="M20874">
        <v>0</v>
      </c>
      <c r="N20874">
        <v>0</v>
      </c>
    </row>
    <row r="20875" spans="1:15">
      <c r="A20875" t="s">
        <v>27930</v>
      </c>
      <c r="B20875" t="s">
        <v>27929</v>
      </c>
      <c r="C20875" t="s">
        <v>34329</v>
      </c>
      <c r="D20875" t="s">
        <v>60667</v>
      </c>
      <c r="E20875" t="b">
        <v>0</v>
      </c>
      <c r="F20875" t="s">
        <v>11624</v>
      </c>
      <c r="G20875">
        <v>-1.5104900000000001</v>
      </c>
      <c r="H20875">
        <v>131.98500000000001</v>
      </c>
      <c r="I20875" t="s">
        <v>60668</v>
      </c>
      <c r="L20875">
        <v>0</v>
      </c>
      <c r="M20875">
        <v>0</v>
      </c>
      <c r="N20875">
        <v>7</v>
      </c>
      <c r="O20875" t="s">
        <v>11768</v>
      </c>
    </row>
    <row r="20876" spans="1:15">
      <c r="A20876" t="s">
        <v>60669</v>
      </c>
      <c r="B20876" t="s">
        <v>27929</v>
      </c>
      <c r="C20876" t="s">
        <v>27930</v>
      </c>
      <c r="D20876" t="s">
        <v>60670</v>
      </c>
      <c r="E20876" t="b">
        <v>0</v>
      </c>
      <c r="F20876" t="s">
        <v>11610</v>
      </c>
      <c r="L20876">
        <v>0</v>
      </c>
      <c r="M20876">
        <v>0</v>
      </c>
      <c r="N20876">
        <v>0</v>
      </c>
    </row>
    <row r="20877" spans="1:15">
      <c r="A20877" t="s">
        <v>4663</v>
      </c>
      <c r="B20877" t="s">
        <v>11637</v>
      </c>
      <c r="C20877" t="s">
        <v>14273</v>
      </c>
      <c r="D20877" t="s">
        <v>60671</v>
      </c>
      <c r="E20877" t="b">
        <v>0</v>
      </c>
      <c r="F20877" t="s">
        <v>11610</v>
      </c>
      <c r="L20877">
        <v>0</v>
      </c>
      <c r="M20877">
        <v>0</v>
      </c>
      <c r="N20877">
        <v>0</v>
      </c>
    </row>
    <row r="20878" spans="1:15">
      <c r="A20878" t="s">
        <v>60672</v>
      </c>
      <c r="B20878" t="s">
        <v>11637</v>
      </c>
      <c r="C20878" t="s">
        <v>15714</v>
      </c>
      <c r="D20878" t="s">
        <v>60673</v>
      </c>
      <c r="E20878" t="b">
        <v>0</v>
      </c>
      <c r="F20878" t="s">
        <v>11610</v>
      </c>
      <c r="L20878">
        <v>0</v>
      </c>
      <c r="M20878">
        <v>0</v>
      </c>
      <c r="N20878">
        <v>0</v>
      </c>
    </row>
    <row r="20879" spans="1:15">
      <c r="A20879" t="s">
        <v>60674</v>
      </c>
      <c r="B20879" t="s">
        <v>22849</v>
      </c>
      <c r="C20879" t="s">
        <v>23361</v>
      </c>
      <c r="D20879" t="s">
        <v>60675</v>
      </c>
      <c r="E20879" t="b">
        <v>0</v>
      </c>
      <c r="F20879" t="s">
        <v>11624</v>
      </c>
      <c r="G20879">
        <v>-47.579599999999999</v>
      </c>
      <c r="H20879">
        <v>-68.323499999999996</v>
      </c>
      <c r="I20879" t="s">
        <v>60676</v>
      </c>
      <c r="L20879">
        <v>0</v>
      </c>
      <c r="M20879">
        <v>0</v>
      </c>
      <c r="N20879">
        <v>0</v>
      </c>
      <c r="O20879" t="s">
        <v>11774</v>
      </c>
    </row>
    <row r="20880" spans="1:15">
      <c r="A20880" t="s">
        <v>51468</v>
      </c>
      <c r="B20880" t="s">
        <v>12751</v>
      </c>
      <c r="C20880" t="s">
        <v>26503</v>
      </c>
      <c r="D20880" t="s">
        <v>60677</v>
      </c>
      <c r="E20880" t="b">
        <v>0</v>
      </c>
      <c r="F20880" t="s">
        <v>11622</v>
      </c>
      <c r="L20880">
        <v>1</v>
      </c>
      <c r="M20880">
        <v>6</v>
      </c>
      <c r="N20880">
        <v>1</v>
      </c>
    </row>
    <row r="20881" spans="1:15">
      <c r="A20881" t="s">
        <v>21699</v>
      </c>
      <c r="B20881" t="s">
        <v>12751</v>
      </c>
      <c r="C20881" t="s">
        <v>51468</v>
      </c>
      <c r="D20881" t="s">
        <v>60678</v>
      </c>
      <c r="E20881" t="b">
        <v>0</v>
      </c>
      <c r="F20881" t="s">
        <v>11622</v>
      </c>
      <c r="L20881">
        <v>0</v>
      </c>
      <c r="M20881">
        <v>5</v>
      </c>
      <c r="N20881">
        <v>0</v>
      </c>
    </row>
    <row r="20882" spans="1:15">
      <c r="A20882" t="s">
        <v>60679</v>
      </c>
      <c r="B20882" t="s">
        <v>11637</v>
      </c>
      <c r="C20882" t="s">
        <v>12509</v>
      </c>
      <c r="D20882" t="s">
        <v>60680</v>
      </c>
      <c r="E20882" t="b">
        <v>0</v>
      </c>
      <c r="F20882" t="s">
        <v>11610</v>
      </c>
      <c r="L20882">
        <v>0</v>
      </c>
      <c r="M20882">
        <v>0</v>
      </c>
      <c r="N20882">
        <v>0</v>
      </c>
    </row>
    <row r="20883" spans="1:15">
      <c r="A20883" t="s">
        <v>24413</v>
      </c>
      <c r="B20883" t="s">
        <v>11839</v>
      </c>
      <c r="C20883" t="s">
        <v>56028</v>
      </c>
      <c r="D20883" t="s">
        <v>60681</v>
      </c>
      <c r="E20883" t="b">
        <v>0</v>
      </c>
      <c r="F20883" t="s">
        <v>11624</v>
      </c>
      <c r="G20883">
        <v>-8.3766200000000008</v>
      </c>
      <c r="H20883">
        <v>124.17400000000001</v>
      </c>
      <c r="I20883" t="s">
        <v>60682</v>
      </c>
      <c r="L20883">
        <v>0</v>
      </c>
      <c r="M20883">
        <v>0</v>
      </c>
      <c r="N20883">
        <v>3</v>
      </c>
      <c r="O20883" t="s">
        <v>11768</v>
      </c>
    </row>
    <row r="20884" spans="1:15">
      <c r="A20884" t="s">
        <v>56028</v>
      </c>
      <c r="B20884" t="s">
        <v>11839</v>
      </c>
      <c r="C20884" t="s">
        <v>13132</v>
      </c>
      <c r="D20884" t="s">
        <v>60683</v>
      </c>
      <c r="E20884" t="b">
        <v>0</v>
      </c>
      <c r="F20884" t="s">
        <v>11622</v>
      </c>
      <c r="L20884">
        <v>0</v>
      </c>
      <c r="M20884">
        <v>2</v>
      </c>
      <c r="N20884">
        <v>3</v>
      </c>
    </row>
    <row r="20885" spans="1:15">
      <c r="A20885" t="s">
        <v>60684</v>
      </c>
      <c r="B20885" t="s">
        <v>6742</v>
      </c>
      <c r="C20885" t="s">
        <v>19172</v>
      </c>
      <c r="D20885" t="s">
        <v>60685</v>
      </c>
      <c r="E20885" t="b">
        <v>0</v>
      </c>
      <c r="F20885" t="s">
        <v>11610</v>
      </c>
      <c r="L20885">
        <v>0</v>
      </c>
      <c r="M20885">
        <v>0</v>
      </c>
      <c r="N20885">
        <v>0</v>
      </c>
    </row>
    <row r="20886" spans="1:15">
      <c r="A20886" t="s">
        <v>60686</v>
      </c>
      <c r="B20886" t="s">
        <v>11879</v>
      </c>
      <c r="C20886" t="s">
        <v>14920</v>
      </c>
      <c r="D20886" t="s">
        <v>60687</v>
      </c>
      <c r="E20886" t="b">
        <v>0</v>
      </c>
      <c r="F20886" t="s">
        <v>11624</v>
      </c>
      <c r="G20886">
        <v>17.0944</v>
      </c>
      <c r="H20886">
        <v>-96.887600000000006</v>
      </c>
      <c r="I20886" t="s">
        <v>60688</v>
      </c>
      <c r="L20886">
        <v>0</v>
      </c>
      <c r="M20886">
        <v>0</v>
      </c>
      <c r="N20886">
        <v>0</v>
      </c>
      <c r="O20886" t="s">
        <v>11883</v>
      </c>
    </row>
    <row r="20887" spans="1:15">
      <c r="A20887" t="s">
        <v>60689</v>
      </c>
      <c r="B20887" t="s">
        <v>331</v>
      </c>
      <c r="C20887" t="s">
        <v>332</v>
      </c>
      <c r="D20887" t="s">
        <v>60690</v>
      </c>
      <c r="E20887" t="b">
        <v>0</v>
      </c>
      <c r="F20887" t="s">
        <v>11610</v>
      </c>
      <c r="L20887">
        <v>0</v>
      </c>
      <c r="M20887">
        <v>0</v>
      </c>
      <c r="N20887">
        <v>0</v>
      </c>
    </row>
    <row r="20888" spans="1:15">
      <c r="A20888" t="s">
        <v>28178</v>
      </c>
      <c r="B20888" t="s">
        <v>6742</v>
      </c>
      <c r="C20888" t="s">
        <v>58760</v>
      </c>
      <c r="D20888" t="s">
        <v>60691</v>
      </c>
      <c r="E20888" t="b">
        <v>0</v>
      </c>
      <c r="F20888" t="s">
        <v>11624</v>
      </c>
      <c r="G20888">
        <v>-3.5900300000000001</v>
      </c>
      <c r="H20888">
        <v>15.5061</v>
      </c>
      <c r="I20888" t="s">
        <v>60692</v>
      </c>
      <c r="L20888">
        <v>0</v>
      </c>
      <c r="M20888">
        <v>0</v>
      </c>
      <c r="N20888">
        <v>2</v>
      </c>
      <c r="O20888" t="s">
        <v>16337</v>
      </c>
    </row>
    <row r="20889" spans="1:15">
      <c r="A20889" t="s">
        <v>35394</v>
      </c>
      <c r="B20889" t="s">
        <v>6742</v>
      </c>
      <c r="C20889" t="s">
        <v>43711</v>
      </c>
      <c r="D20889" t="s">
        <v>60693</v>
      </c>
      <c r="E20889" t="b">
        <v>0</v>
      </c>
      <c r="F20889" t="s">
        <v>11624</v>
      </c>
      <c r="G20889">
        <v>-1.6168800000000001</v>
      </c>
      <c r="H20889">
        <v>14.866400000000001</v>
      </c>
      <c r="I20889" t="s">
        <v>60694</v>
      </c>
      <c r="L20889">
        <v>0</v>
      </c>
      <c r="M20889">
        <v>0</v>
      </c>
      <c r="N20889">
        <v>4</v>
      </c>
      <c r="O20889" t="s">
        <v>20784</v>
      </c>
    </row>
    <row r="20890" spans="1:15">
      <c r="A20890" t="s">
        <v>60695</v>
      </c>
      <c r="B20890" t="s">
        <v>6742</v>
      </c>
      <c r="C20890" t="s">
        <v>38840</v>
      </c>
      <c r="D20890" t="s">
        <v>60696</v>
      </c>
      <c r="E20890" t="b">
        <v>0</v>
      </c>
      <c r="F20890" t="s">
        <v>11624</v>
      </c>
      <c r="G20890">
        <v>-3.50685</v>
      </c>
      <c r="H20890">
        <v>13.8668</v>
      </c>
      <c r="I20890" t="s">
        <v>60697</v>
      </c>
      <c r="L20890">
        <v>0</v>
      </c>
      <c r="M20890">
        <v>0</v>
      </c>
      <c r="N20890">
        <v>0</v>
      </c>
      <c r="O20890" t="s">
        <v>12868</v>
      </c>
    </row>
    <row r="20891" spans="1:15">
      <c r="A20891" t="s">
        <v>60698</v>
      </c>
      <c r="B20891" t="s">
        <v>6742</v>
      </c>
      <c r="C20891" t="s">
        <v>38842</v>
      </c>
      <c r="D20891" t="s">
        <v>60699</v>
      </c>
      <c r="E20891" t="b">
        <v>0</v>
      </c>
      <c r="F20891" t="s">
        <v>11624</v>
      </c>
      <c r="G20891">
        <v>-3.3445800000000001</v>
      </c>
      <c r="H20891">
        <v>13.270300000000001</v>
      </c>
      <c r="I20891" t="s">
        <v>60700</v>
      </c>
      <c r="L20891">
        <v>0</v>
      </c>
      <c r="M20891">
        <v>0</v>
      </c>
      <c r="N20891">
        <v>0</v>
      </c>
      <c r="O20891" t="s">
        <v>12868</v>
      </c>
    </row>
    <row r="20892" spans="1:15">
      <c r="A20892" t="s">
        <v>60701</v>
      </c>
      <c r="B20892" t="s">
        <v>6742</v>
      </c>
      <c r="C20892" t="s">
        <v>47586</v>
      </c>
      <c r="D20892" t="s">
        <v>60702</v>
      </c>
      <c r="E20892" t="b">
        <v>0</v>
      </c>
      <c r="F20892" t="s">
        <v>11624</v>
      </c>
      <c r="G20892">
        <v>-2.3842189999999999</v>
      </c>
      <c r="H20892">
        <v>15.623277</v>
      </c>
      <c r="I20892" t="s">
        <v>60703</v>
      </c>
      <c r="L20892">
        <v>0</v>
      </c>
      <c r="M20892">
        <v>0</v>
      </c>
      <c r="N20892">
        <v>0</v>
      </c>
      <c r="O20892" t="s">
        <v>16337</v>
      </c>
    </row>
    <row r="20893" spans="1:15">
      <c r="A20893" t="s">
        <v>60704</v>
      </c>
      <c r="B20893" t="s">
        <v>11627</v>
      </c>
      <c r="C20893" t="s">
        <v>11627</v>
      </c>
      <c r="D20893" t="s">
        <v>60705</v>
      </c>
      <c r="E20893" t="b">
        <v>1</v>
      </c>
      <c r="F20893" t="s">
        <v>11624</v>
      </c>
      <c r="G20893">
        <v>-2.6526100000000001</v>
      </c>
      <c r="H20893">
        <v>15.204700000000001</v>
      </c>
      <c r="I20893" t="s">
        <v>60706</v>
      </c>
      <c r="L20893">
        <v>0</v>
      </c>
      <c r="M20893">
        <v>0</v>
      </c>
      <c r="N20893">
        <v>0</v>
      </c>
      <c r="O20893" t="s">
        <v>12868</v>
      </c>
    </row>
    <row r="20894" spans="1:15">
      <c r="A20894" t="s">
        <v>60707</v>
      </c>
      <c r="B20894" t="s">
        <v>6742</v>
      </c>
      <c r="C20894" t="s">
        <v>58760</v>
      </c>
      <c r="D20894" t="s">
        <v>60708</v>
      </c>
      <c r="E20894" t="b">
        <v>0</v>
      </c>
      <c r="F20894" t="s">
        <v>11624</v>
      </c>
      <c r="G20894">
        <v>-2.27122</v>
      </c>
      <c r="H20894">
        <v>14.4407</v>
      </c>
      <c r="I20894" t="s">
        <v>60709</v>
      </c>
      <c r="L20894">
        <v>0</v>
      </c>
      <c r="M20894">
        <v>0</v>
      </c>
      <c r="N20894">
        <v>0</v>
      </c>
      <c r="O20894" t="s">
        <v>20784</v>
      </c>
    </row>
    <row r="20895" spans="1:15">
      <c r="A20895" t="s">
        <v>60710</v>
      </c>
      <c r="B20895" t="s">
        <v>6742</v>
      </c>
      <c r="C20895" t="s">
        <v>38839</v>
      </c>
      <c r="D20895" t="s">
        <v>60711</v>
      </c>
      <c r="E20895" t="b">
        <v>0</v>
      </c>
      <c r="F20895" t="s">
        <v>11624</v>
      </c>
      <c r="G20895">
        <v>-2.98028</v>
      </c>
      <c r="H20895">
        <v>13.860300000000001</v>
      </c>
      <c r="I20895" t="s">
        <v>60712</v>
      </c>
      <c r="L20895">
        <v>0</v>
      </c>
      <c r="M20895">
        <v>0</v>
      </c>
      <c r="N20895">
        <v>0</v>
      </c>
      <c r="O20895" t="s">
        <v>20784</v>
      </c>
    </row>
    <row r="20896" spans="1:15">
      <c r="A20896" t="s">
        <v>60713</v>
      </c>
      <c r="B20896" t="s">
        <v>367</v>
      </c>
      <c r="C20896" t="s">
        <v>60388</v>
      </c>
      <c r="D20896" t="s">
        <v>60714</v>
      </c>
      <c r="E20896" t="b">
        <v>0</v>
      </c>
      <c r="F20896" t="s">
        <v>11610</v>
      </c>
      <c r="L20896">
        <v>0</v>
      </c>
      <c r="M20896">
        <v>0</v>
      </c>
      <c r="N20896">
        <v>0</v>
      </c>
    </row>
    <row r="20897" spans="1:15">
      <c r="A20897" t="s">
        <v>31864</v>
      </c>
      <c r="B20897" t="s">
        <v>6742</v>
      </c>
      <c r="C20897" t="s">
        <v>43719</v>
      </c>
      <c r="D20897" t="s">
        <v>60715</v>
      </c>
      <c r="E20897" t="b">
        <v>0</v>
      </c>
      <c r="F20897" t="s">
        <v>11622</v>
      </c>
      <c r="L20897">
        <v>5</v>
      </c>
      <c r="M20897">
        <v>9</v>
      </c>
      <c r="N20897">
        <v>6</v>
      </c>
    </row>
    <row r="20898" spans="1:15">
      <c r="A20898" t="s">
        <v>60716</v>
      </c>
      <c r="B20898" t="s">
        <v>5911</v>
      </c>
      <c r="C20898" t="s">
        <v>42335</v>
      </c>
      <c r="D20898" t="s">
        <v>60717</v>
      </c>
      <c r="E20898" t="b">
        <v>0</v>
      </c>
      <c r="F20898" t="s">
        <v>11624</v>
      </c>
      <c r="G20898">
        <v>15.459899999999999</v>
      </c>
      <c r="H20898">
        <v>-92.113600000000005</v>
      </c>
      <c r="I20898" t="s">
        <v>60718</v>
      </c>
      <c r="L20898">
        <v>0</v>
      </c>
      <c r="M20898">
        <v>0</v>
      </c>
      <c r="N20898">
        <v>0</v>
      </c>
      <c r="O20898" t="s">
        <v>22509</v>
      </c>
    </row>
    <row r="20899" spans="1:15">
      <c r="A20899" t="s">
        <v>60719</v>
      </c>
      <c r="B20899" t="s">
        <v>11844</v>
      </c>
      <c r="C20899" t="s">
        <v>2278</v>
      </c>
      <c r="D20899" t="s">
        <v>60720</v>
      </c>
      <c r="E20899" t="b">
        <v>0</v>
      </c>
      <c r="F20899" t="s">
        <v>11610</v>
      </c>
      <c r="L20899">
        <v>0</v>
      </c>
      <c r="M20899">
        <v>0</v>
      </c>
      <c r="N20899">
        <v>0</v>
      </c>
    </row>
    <row r="20900" spans="1:15">
      <c r="A20900" t="s">
        <v>60721</v>
      </c>
      <c r="B20900" t="s">
        <v>367</v>
      </c>
      <c r="C20900" t="s">
        <v>27157</v>
      </c>
      <c r="D20900" t="s">
        <v>60722</v>
      </c>
      <c r="E20900" t="b">
        <v>0</v>
      </c>
      <c r="F20900" t="s">
        <v>11624</v>
      </c>
      <c r="G20900">
        <v>-8.0119500000000006</v>
      </c>
      <c r="H20900">
        <v>129.68700000000001</v>
      </c>
      <c r="I20900" t="s">
        <v>60723</v>
      </c>
      <c r="L20900">
        <v>0</v>
      </c>
      <c r="M20900">
        <v>0</v>
      </c>
      <c r="N20900">
        <v>0</v>
      </c>
      <c r="O20900" t="s">
        <v>11768</v>
      </c>
    </row>
    <row r="20901" spans="1:15">
      <c r="A20901" t="s">
        <v>60724</v>
      </c>
      <c r="B20901" t="s">
        <v>367</v>
      </c>
      <c r="C20901" t="s">
        <v>27319</v>
      </c>
      <c r="D20901" t="s">
        <v>60725</v>
      </c>
      <c r="E20901" t="b">
        <v>0</v>
      </c>
      <c r="F20901" t="s">
        <v>11610</v>
      </c>
      <c r="L20901">
        <v>0</v>
      </c>
      <c r="M20901">
        <v>0</v>
      </c>
      <c r="N20901">
        <v>0</v>
      </c>
    </row>
    <row r="20902" spans="1:15">
      <c r="A20902" t="s">
        <v>27800</v>
      </c>
      <c r="B20902" t="s">
        <v>11615</v>
      </c>
      <c r="C20902" t="s">
        <v>18644</v>
      </c>
      <c r="D20902" t="s">
        <v>60726</v>
      </c>
      <c r="E20902" t="b">
        <v>0</v>
      </c>
      <c r="F20902" t="s">
        <v>11624</v>
      </c>
      <c r="G20902">
        <v>-5.0744400000000001</v>
      </c>
      <c r="H20902">
        <v>141.73099999999999</v>
      </c>
      <c r="I20902" t="s">
        <v>60727</v>
      </c>
      <c r="L20902">
        <v>0</v>
      </c>
      <c r="M20902">
        <v>0</v>
      </c>
      <c r="N20902">
        <v>2</v>
      </c>
      <c r="O20902" t="s">
        <v>11660</v>
      </c>
    </row>
    <row r="20903" spans="1:15">
      <c r="A20903" t="s">
        <v>60728</v>
      </c>
      <c r="B20903" t="s">
        <v>11637</v>
      </c>
      <c r="C20903" t="s">
        <v>187</v>
      </c>
      <c r="D20903" t="s">
        <v>60729</v>
      </c>
      <c r="E20903" t="b">
        <v>0</v>
      </c>
      <c r="F20903" t="s">
        <v>11610</v>
      </c>
      <c r="L20903">
        <v>0</v>
      </c>
      <c r="M20903">
        <v>0</v>
      </c>
      <c r="N20903">
        <v>0</v>
      </c>
    </row>
    <row r="20904" spans="1:15">
      <c r="A20904" t="s">
        <v>60730</v>
      </c>
      <c r="B20904" t="s">
        <v>6455</v>
      </c>
      <c r="C20904" t="s">
        <v>20807</v>
      </c>
      <c r="D20904" t="s">
        <v>60731</v>
      </c>
      <c r="E20904" t="b">
        <v>0</v>
      </c>
      <c r="F20904" t="s">
        <v>11610</v>
      </c>
      <c r="L20904">
        <v>0</v>
      </c>
      <c r="M20904">
        <v>0</v>
      </c>
      <c r="N20904">
        <v>0</v>
      </c>
    </row>
    <row r="20905" spans="1:15">
      <c r="A20905" t="s">
        <v>60732</v>
      </c>
      <c r="B20905" t="s">
        <v>11607</v>
      </c>
      <c r="C20905" t="s">
        <v>13139</v>
      </c>
      <c r="D20905" t="s">
        <v>60733</v>
      </c>
      <c r="E20905" t="b">
        <v>0</v>
      </c>
      <c r="F20905" t="s">
        <v>11610</v>
      </c>
      <c r="L20905">
        <v>0</v>
      </c>
      <c r="M20905">
        <v>0</v>
      </c>
      <c r="N20905">
        <v>0</v>
      </c>
    </row>
    <row r="20906" spans="1:15">
      <c r="A20906" t="s">
        <v>60734</v>
      </c>
      <c r="B20906" t="s">
        <v>12438</v>
      </c>
      <c r="C20906" t="s">
        <v>18163</v>
      </c>
      <c r="D20906" t="s">
        <v>60735</v>
      </c>
      <c r="E20906" t="b">
        <v>0</v>
      </c>
      <c r="F20906" t="s">
        <v>11610</v>
      </c>
      <c r="L20906">
        <v>0</v>
      </c>
      <c r="M20906">
        <v>0</v>
      </c>
      <c r="N20906">
        <v>0</v>
      </c>
    </row>
    <row r="20907" spans="1:15">
      <c r="A20907" t="s">
        <v>2278</v>
      </c>
      <c r="B20907" t="s">
        <v>11844</v>
      </c>
      <c r="C20907" t="s">
        <v>22400</v>
      </c>
      <c r="D20907" t="s">
        <v>6905</v>
      </c>
      <c r="E20907" t="b">
        <v>0</v>
      </c>
      <c r="F20907" t="s">
        <v>11624</v>
      </c>
      <c r="G20907">
        <v>16.4529</v>
      </c>
      <c r="H20907">
        <v>78.702399999999997</v>
      </c>
      <c r="I20907" t="s">
        <v>2279</v>
      </c>
      <c r="L20907">
        <v>0</v>
      </c>
      <c r="M20907">
        <v>0</v>
      </c>
      <c r="N20907">
        <v>17</v>
      </c>
      <c r="O20907" t="s">
        <v>11630</v>
      </c>
    </row>
    <row r="20908" spans="1:15">
      <c r="A20908" t="s">
        <v>38987</v>
      </c>
      <c r="B20908" t="s">
        <v>367</v>
      </c>
      <c r="C20908" t="s">
        <v>26571</v>
      </c>
      <c r="D20908" t="s">
        <v>60736</v>
      </c>
      <c r="E20908" t="b">
        <v>0</v>
      </c>
      <c r="F20908" t="s">
        <v>11624</v>
      </c>
      <c r="G20908">
        <v>-3.2968999999999999</v>
      </c>
      <c r="H20908">
        <v>129.66300000000001</v>
      </c>
      <c r="I20908" t="s">
        <v>60737</v>
      </c>
      <c r="L20908">
        <v>0</v>
      </c>
      <c r="M20908">
        <v>0</v>
      </c>
      <c r="N20908">
        <v>2</v>
      </c>
      <c r="O20908" t="s">
        <v>11768</v>
      </c>
    </row>
    <row r="20909" spans="1:15">
      <c r="A20909" t="s">
        <v>60738</v>
      </c>
      <c r="B20909" t="s">
        <v>12133</v>
      </c>
      <c r="C20909" t="s">
        <v>38465</v>
      </c>
      <c r="D20909" t="s">
        <v>60739</v>
      </c>
      <c r="E20909" t="b">
        <v>0</v>
      </c>
      <c r="F20909" t="s">
        <v>11610</v>
      </c>
      <c r="L20909">
        <v>0</v>
      </c>
      <c r="M20909">
        <v>0</v>
      </c>
      <c r="N20909">
        <v>0</v>
      </c>
    </row>
    <row r="20910" spans="1:15">
      <c r="A20910" t="s">
        <v>22400</v>
      </c>
      <c r="B20910" t="s">
        <v>11844</v>
      </c>
      <c r="C20910" t="s">
        <v>29513</v>
      </c>
      <c r="D20910" t="s">
        <v>60740</v>
      </c>
      <c r="E20910" t="b">
        <v>0</v>
      </c>
      <c r="F20910" t="s">
        <v>11622</v>
      </c>
      <c r="L20910">
        <v>0</v>
      </c>
      <c r="M20910">
        <v>6</v>
      </c>
      <c r="N20910">
        <v>17</v>
      </c>
    </row>
    <row r="20911" spans="1:15">
      <c r="A20911" t="s">
        <v>60741</v>
      </c>
      <c r="B20911" t="s">
        <v>11644</v>
      </c>
      <c r="C20911" t="s">
        <v>20181</v>
      </c>
      <c r="D20911" t="s">
        <v>60742</v>
      </c>
      <c r="E20911" t="b">
        <v>0</v>
      </c>
      <c r="F20911" t="s">
        <v>11610</v>
      </c>
      <c r="L20911">
        <v>0</v>
      </c>
      <c r="M20911">
        <v>0</v>
      </c>
      <c r="N20911">
        <v>0</v>
      </c>
    </row>
    <row r="20912" spans="1:15">
      <c r="A20912" t="s">
        <v>60743</v>
      </c>
      <c r="B20912" t="s">
        <v>13967</v>
      </c>
      <c r="C20912" t="s">
        <v>21519</v>
      </c>
      <c r="D20912" t="s">
        <v>60744</v>
      </c>
      <c r="E20912" t="b">
        <v>0</v>
      </c>
      <c r="F20912" t="s">
        <v>11610</v>
      </c>
      <c r="L20912">
        <v>0</v>
      </c>
      <c r="M20912">
        <v>0</v>
      </c>
      <c r="N20912">
        <v>0</v>
      </c>
    </row>
    <row r="20913" spans="1:15">
      <c r="A20913" t="s">
        <v>60745</v>
      </c>
      <c r="B20913" t="s">
        <v>12751</v>
      </c>
      <c r="C20913" t="s">
        <v>49042</v>
      </c>
      <c r="D20913" t="s">
        <v>60746</v>
      </c>
      <c r="E20913" t="b">
        <v>0</v>
      </c>
      <c r="F20913" t="s">
        <v>11624</v>
      </c>
      <c r="G20913">
        <v>19.328199999999999</v>
      </c>
      <c r="H20913">
        <v>-99.796800000000005</v>
      </c>
      <c r="I20913" t="s">
        <v>60747</v>
      </c>
      <c r="L20913">
        <v>0</v>
      </c>
      <c r="M20913">
        <v>0</v>
      </c>
      <c r="N20913">
        <v>0</v>
      </c>
      <c r="O20913" t="s">
        <v>11883</v>
      </c>
    </row>
    <row r="20914" spans="1:15">
      <c r="A20914" t="s">
        <v>60748</v>
      </c>
      <c r="B20914" t="s">
        <v>11607</v>
      </c>
      <c r="C20914" t="s">
        <v>51685</v>
      </c>
      <c r="D20914" t="s">
        <v>60749</v>
      </c>
      <c r="E20914" t="b">
        <v>0</v>
      </c>
      <c r="F20914" t="s">
        <v>11624</v>
      </c>
      <c r="G20914">
        <v>33.3489</v>
      </c>
      <c r="H20914">
        <v>6.06562</v>
      </c>
      <c r="I20914" t="s">
        <v>60750</v>
      </c>
      <c r="L20914">
        <v>0</v>
      </c>
      <c r="M20914">
        <v>0</v>
      </c>
      <c r="N20914">
        <v>0</v>
      </c>
      <c r="O20914" t="s">
        <v>13029</v>
      </c>
    </row>
    <row r="20915" spans="1:15">
      <c r="A20915" t="s">
        <v>60751</v>
      </c>
      <c r="B20915" t="s">
        <v>11607</v>
      </c>
      <c r="C20915" t="s">
        <v>51690</v>
      </c>
      <c r="D20915" t="s">
        <v>60752</v>
      </c>
      <c r="E20915" t="b">
        <v>0</v>
      </c>
      <c r="F20915" t="s">
        <v>11610</v>
      </c>
      <c r="L20915">
        <v>0</v>
      </c>
      <c r="M20915">
        <v>0</v>
      </c>
      <c r="N20915">
        <v>0</v>
      </c>
    </row>
    <row r="20916" spans="1:15">
      <c r="A20916" t="s">
        <v>60753</v>
      </c>
      <c r="B20916" t="s">
        <v>12438</v>
      </c>
      <c r="C20916" t="s">
        <v>5160</v>
      </c>
      <c r="D20916" t="s">
        <v>60754</v>
      </c>
      <c r="E20916" t="b">
        <v>0</v>
      </c>
      <c r="F20916" t="s">
        <v>11610</v>
      </c>
      <c r="L20916">
        <v>0</v>
      </c>
      <c r="M20916">
        <v>0</v>
      </c>
      <c r="N20916">
        <v>0</v>
      </c>
    </row>
    <row r="20917" spans="1:15">
      <c r="A20917" t="s">
        <v>54505</v>
      </c>
      <c r="B20917" t="s">
        <v>6742</v>
      </c>
      <c r="C20917" t="s">
        <v>28038</v>
      </c>
      <c r="D20917" t="s">
        <v>60755</v>
      </c>
      <c r="E20917" t="b">
        <v>0</v>
      </c>
      <c r="F20917" t="s">
        <v>11624</v>
      </c>
      <c r="G20917">
        <v>-1.9186300000000001</v>
      </c>
      <c r="H20917">
        <v>28.5778</v>
      </c>
      <c r="I20917" t="s">
        <v>60756</v>
      </c>
      <c r="L20917">
        <v>0</v>
      </c>
      <c r="M20917">
        <v>0</v>
      </c>
      <c r="N20917">
        <v>2</v>
      </c>
      <c r="O20917" t="s">
        <v>14825</v>
      </c>
    </row>
    <row r="20918" spans="1:15">
      <c r="A20918" t="s">
        <v>60757</v>
      </c>
      <c r="B20918" t="s">
        <v>6742</v>
      </c>
      <c r="C20918" t="s">
        <v>54505</v>
      </c>
      <c r="D20918" t="s">
        <v>60758</v>
      </c>
      <c r="E20918" t="b">
        <v>0</v>
      </c>
      <c r="F20918" t="s">
        <v>11610</v>
      </c>
      <c r="L20918">
        <v>0</v>
      </c>
      <c r="M20918">
        <v>0</v>
      </c>
      <c r="N20918">
        <v>0</v>
      </c>
    </row>
    <row r="20919" spans="1:15">
      <c r="A20919" t="s">
        <v>60759</v>
      </c>
      <c r="B20919" t="s">
        <v>6742</v>
      </c>
      <c r="C20919" t="s">
        <v>15592</v>
      </c>
      <c r="D20919" t="s">
        <v>60760</v>
      </c>
      <c r="E20919" t="b">
        <v>0</v>
      </c>
      <c r="F20919" t="s">
        <v>11624</v>
      </c>
      <c r="G20919">
        <v>2.0246</v>
      </c>
      <c r="H20919">
        <v>20.368490000000001</v>
      </c>
      <c r="I20919" t="s">
        <v>60761</v>
      </c>
      <c r="L20919">
        <v>0</v>
      </c>
      <c r="M20919">
        <v>0</v>
      </c>
      <c r="N20919">
        <v>0</v>
      </c>
      <c r="O20919" t="s">
        <v>14825</v>
      </c>
    </row>
    <row r="20920" spans="1:15">
      <c r="A20920" t="s">
        <v>60762</v>
      </c>
      <c r="B20920" t="s">
        <v>367</v>
      </c>
      <c r="C20920" t="s">
        <v>15834</v>
      </c>
      <c r="D20920" t="s">
        <v>60763</v>
      </c>
      <c r="E20920" t="b">
        <v>0</v>
      </c>
      <c r="F20920" t="s">
        <v>11610</v>
      </c>
      <c r="L20920">
        <v>0</v>
      </c>
      <c r="M20920">
        <v>0</v>
      </c>
      <c r="N20920">
        <v>0</v>
      </c>
    </row>
    <row r="20921" spans="1:15">
      <c r="A20921" t="s">
        <v>60764</v>
      </c>
      <c r="B20921" t="s">
        <v>11615</v>
      </c>
      <c r="C20921" t="s">
        <v>376</v>
      </c>
      <c r="D20921" t="s">
        <v>60765</v>
      </c>
      <c r="E20921" t="b">
        <v>0</v>
      </c>
      <c r="F20921" t="s">
        <v>11610</v>
      </c>
      <c r="L20921">
        <v>0</v>
      </c>
      <c r="M20921">
        <v>0</v>
      </c>
      <c r="N20921">
        <v>0</v>
      </c>
    </row>
    <row r="20922" spans="1:15">
      <c r="A20922" t="s">
        <v>60766</v>
      </c>
      <c r="B20922" t="s">
        <v>11912</v>
      </c>
      <c r="C20922" t="s">
        <v>34229</v>
      </c>
      <c r="D20922" t="s">
        <v>60767</v>
      </c>
      <c r="E20922" t="b">
        <v>0</v>
      </c>
      <c r="F20922" t="s">
        <v>11610</v>
      </c>
      <c r="L20922">
        <v>0</v>
      </c>
      <c r="M20922">
        <v>0</v>
      </c>
      <c r="N20922">
        <v>0</v>
      </c>
    </row>
    <row r="20923" spans="1:15">
      <c r="A20923" t="s">
        <v>29818</v>
      </c>
      <c r="B20923" t="s">
        <v>11912</v>
      </c>
      <c r="C20923" t="s">
        <v>60768</v>
      </c>
      <c r="D20923" t="s">
        <v>60769</v>
      </c>
      <c r="E20923" t="b">
        <v>0</v>
      </c>
      <c r="F20923" t="s">
        <v>11624</v>
      </c>
      <c r="G20923">
        <v>-2.6122999999999998</v>
      </c>
      <c r="H20923">
        <v>-48.235900000000001</v>
      </c>
      <c r="I20923" t="s">
        <v>60770</v>
      </c>
      <c r="L20923">
        <v>0</v>
      </c>
      <c r="M20923">
        <v>0</v>
      </c>
      <c r="N20923">
        <v>8</v>
      </c>
      <c r="O20923" t="s">
        <v>11969</v>
      </c>
    </row>
    <row r="20924" spans="1:15">
      <c r="A20924" t="s">
        <v>60771</v>
      </c>
      <c r="B20924" t="s">
        <v>11912</v>
      </c>
      <c r="C20924" t="s">
        <v>60772</v>
      </c>
      <c r="D20924" t="s">
        <v>60773</v>
      </c>
      <c r="E20924" t="b">
        <v>0</v>
      </c>
      <c r="F20924" t="s">
        <v>11610</v>
      </c>
      <c r="L20924">
        <v>0</v>
      </c>
      <c r="M20924">
        <v>0</v>
      </c>
      <c r="N20924">
        <v>0</v>
      </c>
    </row>
    <row r="20925" spans="1:15">
      <c r="A20925" t="s">
        <v>60774</v>
      </c>
      <c r="B20925" t="s">
        <v>13360</v>
      </c>
      <c r="C20925" t="s">
        <v>13360</v>
      </c>
      <c r="D20925" t="s">
        <v>60775</v>
      </c>
      <c r="E20925" t="b">
        <v>0</v>
      </c>
      <c r="F20925" t="s">
        <v>11624</v>
      </c>
      <c r="G20925">
        <v>-26.4819663</v>
      </c>
      <c r="H20925">
        <v>-55.1291115</v>
      </c>
      <c r="L20925">
        <v>0</v>
      </c>
      <c r="M20925">
        <v>0</v>
      </c>
      <c r="N20925">
        <v>0</v>
      </c>
      <c r="O20925" t="s">
        <v>11969</v>
      </c>
    </row>
    <row r="20926" spans="1:15">
      <c r="A20926" t="s">
        <v>60772</v>
      </c>
      <c r="B20926" t="s">
        <v>11912</v>
      </c>
      <c r="C20926" t="s">
        <v>29818</v>
      </c>
      <c r="D20926" t="s">
        <v>60776</v>
      </c>
      <c r="E20926" t="b">
        <v>0</v>
      </c>
      <c r="F20926" t="s">
        <v>11610</v>
      </c>
      <c r="L20926">
        <v>0</v>
      </c>
      <c r="M20926">
        <v>0</v>
      </c>
      <c r="N20926">
        <v>3</v>
      </c>
    </row>
    <row r="20927" spans="1:15">
      <c r="A20927" t="s">
        <v>60777</v>
      </c>
      <c r="B20927" t="s">
        <v>11912</v>
      </c>
      <c r="C20927" t="s">
        <v>60772</v>
      </c>
      <c r="D20927" t="s">
        <v>60778</v>
      </c>
      <c r="E20927" t="b">
        <v>0</v>
      </c>
      <c r="F20927" t="s">
        <v>11610</v>
      </c>
      <c r="L20927">
        <v>0</v>
      </c>
      <c r="M20927">
        <v>0</v>
      </c>
      <c r="N20927">
        <v>0</v>
      </c>
    </row>
    <row r="20928" spans="1:15">
      <c r="A20928" t="s">
        <v>60779</v>
      </c>
      <c r="B20928" t="s">
        <v>11912</v>
      </c>
      <c r="C20928" t="s">
        <v>60772</v>
      </c>
      <c r="D20928" t="s">
        <v>60780</v>
      </c>
      <c r="E20928" t="b">
        <v>0</v>
      </c>
      <c r="F20928" t="s">
        <v>11610</v>
      </c>
      <c r="L20928">
        <v>0</v>
      </c>
      <c r="M20928">
        <v>0</v>
      </c>
      <c r="N20928">
        <v>0</v>
      </c>
    </row>
    <row r="20929" spans="1:15">
      <c r="A20929" t="s">
        <v>15864</v>
      </c>
      <c r="B20929" t="s">
        <v>6742</v>
      </c>
      <c r="C20929" t="s">
        <v>26065</v>
      </c>
      <c r="D20929" t="s">
        <v>60781</v>
      </c>
      <c r="E20929" t="b">
        <v>0</v>
      </c>
      <c r="F20929" t="s">
        <v>11622</v>
      </c>
      <c r="L20929">
        <v>2</v>
      </c>
      <c r="M20929">
        <v>4</v>
      </c>
      <c r="N20929">
        <v>2</v>
      </c>
    </row>
    <row r="20930" spans="1:15">
      <c r="A20930" t="s">
        <v>49478</v>
      </c>
      <c r="D20930" t="s">
        <v>60782</v>
      </c>
      <c r="E20930" t="b">
        <v>0</v>
      </c>
      <c r="F20930" t="s">
        <v>11622</v>
      </c>
      <c r="L20930">
        <v>0</v>
      </c>
      <c r="M20930">
        <v>2</v>
      </c>
      <c r="N20930">
        <v>0</v>
      </c>
    </row>
    <row r="20931" spans="1:15">
      <c r="A20931" t="s">
        <v>60783</v>
      </c>
      <c r="B20931" t="s">
        <v>6742</v>
      </c>
      <c r="C20931" t="s">
        <v>60784</v>
      </c>
      <c r="D20931" t="s">
        <v>60785</v>
      </c>
      <c r="E20931" t="b">
        <v>0</v>
      </c>
      <c r="F20931" t="s">
        <v>11624</v>
      </c>
      <c r="G20931">
        <v>8.74437</v>
      </c>
      <c r="H20931">
        <v>11.3894</v>
      </c>
      <c r="I20931" t="s">
        <v>60786</v>
      </c>
      <c r="L20931">
        <v>0</v>
      </c>
      <c r="M20931">
        <v>0</v>
      </c>
      <c r="N20931">
        <v>0</v>
      </c>
      <c r="O20931" t="s">
        <v>11693</v>
      </c>
    </row>
    <row r="20932" spans="1:15">
      <c r="A20932" t="s">
        <v>5160</v>
      </c>
      <c r="B20932" t="s">
        <v>12438</v>
      </c>
      <c r="C20932" t="s">
        <v>39380</v>
      </c>
      <c r="D20932" t="s">
        <v>5159</v>
      </c>
      <c r="E20932" t="b">
        <v>0</v>
      </c>
      <c r="F20932" t="s">
        <v>11624</v>
      </c>
      <c r="G20932">
        <v>4.9740000000000002</v>
      </c>
      <c r="H20932">
        <v>101.438</v>
      </c>
      <c r="I20932" t="s">
        <v>5161</v>
      </c>
      <c r="L20932">
        <v>0</v>
      </c>
      <c r="M20932">
        <v>0</v>
      </c>
      <c r="N20932">
        <v>10</v>
      </c>
      <c r="O20932" t="s">
        <v>11672</v>
      </c>
    </row>
    <row r="20933" spans="1:15">
      <c r="A20933" t="s">
        <v>60787</v>
      </c>
      <c r="B20933" t="s">
        <v>6742</v>
      </c>
      <c r="C20933" t="s">
        <v>36478</v>
      </c>
      <c r="D20933" t="s">
        <v>60788</v>
      </c>
      <c r="E20933" t="b">
        <v>0</v>
      </c>
      <c r="F20933" t="s">
        <v>11624</v>
      </c>
      <c r="G20933">
        <v>-2.1930299999999998</v>
      </c>
      <c r="H20933">
        <v>35.8035</v>
      </c>
      <c r="I20933" t="s">
        <v>60789</v>
      </c>
      <c r="L20933">
        <v>0</v>
      </c>
      <c r="M20933">
        <v>0</v>
      </c>
      <c r="N20933">
        <v>0</v>
      </c>
      <c r="O20933" t="s">
        <v>11635</v>
      </c>
    </row>
    <row r="20934" spans="1:15">
      <c r="A20934" t="s">
        <v>60790</v>
      </c>
      <c r="B20934" t="s">
        <v>11912</v>
      </c>
      <c r="C20934" t="s">
        <v>13490</v>
      </c>
      <c r="D20934" t="s">
        <v>60791</v>
      </c>
      <c r="E20934" t="b">
        <v>0</v>
      </c>
      <c r="F20934" t="s">
        <v>11610</v>
      </c>
      <c r="L20934">
        <v>0</v>
      </c>
      <c r="M20934">
        <v>0</v>
      </c>
      <c r="N20934">
        <v>0</v>
      </c>
    </row>
    <row r="20935" spans="1:15">
      <c r="A20935" t="s">
        <v>60792</v>
      </c>
      <c r="B20935" t="s">
        <v>6742</v>
      </c>
      <c r="C20935" t="s">
        <v>15864</v>
      </c>
      <c r="D20935" t="s">
        <v>60793</v>
      </c>
      <c r="E20935" t="b">
        <v>0</v>
      </c>
      <c r="F20935" t="s">
        <v>11624</v>
      </c>
      <c r="G20935">
        <v>8.9670000000000005</v>
      </c>
      <c r="H20935">
        <v>1.1359999999999999</v>
      </c>
      <c r="I20935" t="s">
        <v>60794</v>
      </c>
      <c r="L20935">
        <v>0</v>
      </c>
      <c r="M20935">
        <v>0</v>
      </c>
      <c r="N20935">
        <v>0</v>
      </c>
      <c r="O20935" t="s">
        <v>14040</v>
      </c>
    </row>
    <row r="20936" spans="1:15">
      <c r="A20936" t="s">
        <v>15799</v>
      </c>
      <c r="B20936" t="s">
        <v>6742</v>
      </c>
      <c r="C20936" t="s">
        <v>20256</v>
      </c>
      <c r="D20936" t="s">
        <v>60795</v>
      </c>
      <c r="E20936" t="b">
        <v>0</v>
      </c>
      <c r="F20936" t="s">
        <v>11622</v>
      </c>
      <c r="L20936">
        <v>0</v>
      </c>
      <c r="M20936">
        <v>5</v>
      </c>
      <c r="N20936">
        <v>13</v>
      </c>
    </row>
    <row r="20937" spans="1:15">
      <c r="A20937" t="s">
        <v>60796</v>
      </c>
      <c r="B20937" t="s">
        <v>12438</v>
      </c>
      <c r="C20937" t="s">
        <v>56388</v>
      </c>
      <c r="D20937" t="s">
        <v>60797</v>
      </c>
      <c r="E20937" t="b">
        <v>0</v>
      </c>
      <c r="F20937" t="s">
        <v>11624</v>
      </c>
      <c r="G20937">
        <v>3.1133099999999998</v>
      </c>
      <c r="H20937">
        <v>102.916</v>
      </c>
      <c r="I20937" t="s">
        <v>60798</v>
      </c>
      <c r="L20937">
        <v>0</v>
      </c>
      <c r="M20937">
        <v>0</v>
      </c>
      <c r="N20937">
        <v>0</v>
      </c>
      <c r="O20937" t="s">
        <v>11672</v>
      </c>
    </row>
    <row r="20938" spans="1:15">
      <c r="A20938" t="s">
        <v>54397</v>
      </c>
      <c r="B20938" t="s">
        <v>367</v>
      </c>
      <c r="C20938" t="s">
        <v>12101</v>
      </c>
      <c r="D20938" t="s">
        <v>60799</v>
      </c>
      <c r="E20938" t="b">
        <v>0</v>
      </c>
      <c r="F20938" t="s">
        <v>11622</v>
      </c>
      <c r="L20938">
        <v>4</v>
      </c>
      <c r="M20938">
        <v>10</v>
      </c>
      <c r="N20938">
        <v>14</v>
      </c>
    </row>
    <row r="20939" spans="1:15">
      <c r="A20939" t="s">
        <v>60800</v>
      </c>
      <c r="B20939" t="s">
        <v>11879</v>
      </c>
      <c r="C20939" t="s">
        <v>27441</v>
      </c>
      <c r="D20939" t="s">
        <v>60801</v>
      </c>
      <c r="E20939" t="b">
        <v>0</v>
      </c>
      <c r="F20939" t="s">
        <v>11624</v>
      </c>
      <c r="G20939">
        <v>19.600100000000001</v>
      </c>
      <c r="H20939">
        <v>-99.6541</v>
      </c>
      <c r="I20939" t="s">
        <v>60802</v>
      </c>
      <c r="L20939">
        <v>0</v>
      </c>
      <c r="M20939">
        <v>0</v>
      </c>
      <c r="N20939">
        <v>0</v>
      </c>
      <c r="O20939" t="s">
        <v>11883</v>
      </c>
    </row>
    <row r="20940" spans="1:15">
      <c r="A20940" t="s">
        <v>60803</v>
      </c>
      <c r="B20940" t="s">
        <v>367</v>
      </c>
      <c r="C20940" t="s">
        <v>21617</v>
      </c>
      <c r="D20940" t="s">
        <v>60804</v>
      </c>
      <c r="E20940" t="b">
        <v>0</v>
      </c>
      <c r="F20940" t="s">
        <v>11624</v>
      </c>
      <c r="G20940">
        <v>6.3638899999999996</v>
      </c>
      <c r="H20940">
        <v>116.545</v>
      </c>
      <c r="I20940" t="s">
        <v>60805</v>
      </c>
      <c r="L20940">
        <v>0</v>
      </c>
      <c r="M20940">
        <v>0</v>
      </c>
      <c r="N20940">
        <v>0</v>
      </c>
      <c r="O20940" t="s">
        <v>11672</v>
      </c>
    </row>
    <row r="20941" spans="1:15">
      <c r="A20941" t="s">
        <v>60806</v>
      </c>
      <c r="B20941" t="s">
        <v>11607</v>
      </c>
      <c r="C20941" t="s">
        <v>14701</v>
      </c>
      <c r="D20941" t="s">
        <v>60807</v>
      </c>
      <c r="E20941" t="b">
        <v>0</v>
      </c>
      <c r="F20941" t="s">
        <v>11610</v>
      </c>
      <c r="L20941">
        <v>0</v>
      </c>
      <c r="M20941">
        <v>0</v>
      </c>
      <c r="N20941">
        <v>0</v>
      </c>
    </row>
    <row r="20942" spans="1:15">
      <c r="A20942" t="s">
        <v>17705</v>
      </c>
      <c r="B20942" t="s">
        <v>367</v>
      </c>
      <c r="C20942" t="s">
        <v>33119</v>
      </c>
      <c r="D20942" t="s">
        <v>60808</v>
      </c>
      <c r="E20942" t="b">
        <v>0</v>
      </c>
      <c r="F20942" t="s">
        <v>11624</v>
      </c>
      <c r="G20942">
        <v>2.7817599999999998</v>
      </c>
      <c r="H20942">
        <v>101.90600000000001</v>
      </c>
      <c r="I20942" t="s">
        <v>60809</v>
      </c>
      <c r="L20942">
        <v>0</v>
      </c>
      <c r="M20942">
        <v>0</v>
      </c>
      <c r="N20942">
        <v>6</v>
      </c>
      <c r="O20942" t="s">
        <v>11672</v>
      </c>
    </row>
    <row r="20943" spans="1:15">
      <c r="A20943" t="s">
        <v>60810</v>
      </c>
      <c r="B20943" t="s">
        <v>5911</v>
      </c>
      <c r="C20943" t="s">
        <v>9785</v>
      </c>
      <c r="D20943" t="s">
        <v>60811</v>
      </c>
      <c r="E20943" t="b">
        <v>0</v>
      </c>
      <c r="F20943" t="s">
        <v>11610</v>
      </c>
      <c r="L20943">
        <v>0</v>
      </c>
      <c r="M20943">
        <v>0</v>
      </c>
      <c r="N20943">
        <v>0</v>
      </c>
    </row>
    <row r="20944" spans="1:15">
      <c r="A20944" t="s">
        <v>60812</v>
      </c>
      <c r="B20944" t="s">
        <v>141</v>
      </c>
      <c r="C20944" t="s">
        <v>26785</v>
      </c>
      <c r="D20944" t="s">
        <v>60813</v>
      </c>
      <c r="E20944" t="b">
        <v>0</v>
      </c>
      <c r="F20944" t="s">
        <v>11624</v>
      </c>
      <c r="G20944">
        <v>-0.76271</v>
      </c>
      <c r="H20944">
        <v>-77.540400000000005</v>
      </c>
      <c r="I20944" t="s">
        <v>60814</v>
      </c>
      <c r="L20944">
        <v>0</v>
      </c>
      <c r="M20944">
        <v>0</v>
      </c>
      <c r="N20944">
        <v>0</v>
      </c>
      <c r="O20944" t="s">
        <v>14946</v>
      </c>
    </row>
    <row r="20945" spans="1:15">
      <c r="A20945" t="s">
        <v>60815</v>
      </c>
      <c r="B20945" t="s">
        <v>11879</v>
      </c>
      <c r="C20945" t="s">
        <v>26384</v>
      </c>
      <c r="D20945" t="s">
        <v>60816</v>
      </c>
      <c r="E20945" t="b">
        <v>0</v>
      </c>
      <c r="F20945" t="s">
        <v>11624</v>
      </c>
      <c r="G20945">
        <v>20.426200000000001</v>
      </c>
      <c r="H20945">
        <v>-98.1751</v>
      </c>
      <c r="I20945" t="s">
        <v>60817</v>
      </c>
      <c r="L20945">
        <v>0</v>
      </c>
      <c r="M20945">
        <v>0</v>
      </c>
      <c r="N20945">
        <v>0</v>
      </c>
      <c r="O20945" t="s">
        <v>11883</v>
      </c>
    </row>
    <row r="20946" spans="1:15">
      <c r="A20946" t="s">
        <v>17315</v>
      </c>
      <c r="B20946" t="s">
        <v>6742</v>
      </c>
      <c r="C20946" t="s">
        <v>21059</v>
      </c>
      <c r="D20946" t="s">
        <v>60818</v>
      </c>
      <c r="E20946" t="b">
        <v>0</v>
      </c>
      <c r="F20946" t="s">
        <v>11622</v>
      </c>
      <c r="L20946">
        <v>2</v>
      </c>
      <c r="M20946">
        <v>4</v>
      </c>
      <c r="N20946">
        <v>7</v>
      </c>
    </row>
    <row r="20947" spans="1:15">
      <c r="A20947" t="s">
        <v>60819</v>
      </c>
      <c r="B20947" t="s">
        <v>6742</v>
      </c>
      <c r="C20947" t="s">
        <v>21272</v>
      </c>
      <c r="D20947" t="s">
        <v>60820</v>
      </c>
      <c r="E20947" t="b">
        <v>0</v>
      </c>
      <c r="F20947" t="s">
        <v>11610</v>
      </c>
      <c r="L20947">
        <v>0</v>
      </c>
      <c r="M20947">
        <v>0</v>
      </c>
      <c r="N20947">
        <v>0</v>
      </c>
    </row>
    <row r="20948" spans="1:15">
      <c r="A20948" t="s">
        <v>60821</v>
      </c>
      <c r="B20948" t="s">
        <v>13276</v>
      </c>
      <c r="C20948" t="s">
        <v>16919</v>
      </c>
      <c r="D20948" t="s">
        <v>60822</v>
      </c>
      <c r="E20948" t="b">
        <v>0</v>
      </c>
      <c r="F20948" t="s">
        <v>11610</v>
      </c>
      <c r="L20948">
        <v>0</v>
      </c>
      <c r="M20948">
        <v>0</v>
      </c>
      <c r="N20948">
        <v>0</v>
      </c>
    </row>
    <row r="20949" spans="1:15">
      <c r="A20949" t="s">
        <v>30001</v>
      </c>
      <c r="B20949" t="s">
        <v>1342</v>
      </c>
      <c r="C20949" t="s">
        <v>60823</v>
      </c>
      <c r="D20949" t="s">
        <v>60824</v>
      </c>
      <c r="E20949" t="b">
        <v>0</v>
      </c>
      <c r="F20949" t="s">
        <v>11624</v>
      </c>
      <c r="G20949">
        <v>14.067500000000001</v>
      </c>
      <c r="H20949">
        <v>-3.3715799999999998</v>
      </c>
      <c r="I20949" t="s">
        <v>60825</v>
      </c>
      <c r="L20949">
        <v>0</v>
      </c>
      <c r="M20949">
        <v>0</v>
      </c>
      <c r="N20949">
        <v>5</v>
      </c>
      <c r="O20949" t="s">
        <v>13528</v>
      </c>
    </row>
    <row r="20950" spans="1:15">
      <c r="A20950" t="s">
        <v>60826</v>
      </c>
      <c r="B20950" t="s">
        <v>11644</v>
      </c>
      <c r="C20950" t="s">
        <v>1298</v>
      </c>
      <c r="D20950" t="s">
        <v>60827</v>
      </c>
      <c r="E20950" t="b">
        <v>0</v>
      </c>
      <c r="F20950" t="s">
        <v>11610</v>
      </c>
      <c r="L20950">
        <v>0</v>
      </c>
      <c r="M20950">
        <v>0</v>
      </c>
      <c r="N20950">
        <v>0</v>
      </c>
    </row>
    <row r="20951" spans="1:15">
      <c r="A20951" t="s">
        <v>60828</v>
      </c>
      <c r="B20951" t="s">
        <v>6742</v>
      </c>
      <c r="C20951" t="s">
        <v>34508</v>
      </c>
      <c r="D20951" t="s">
        <v>60829</v>
      </c>
      <c r="E20951" t="b">
        <v>0</v>
      </c>
      <c r="F20951" t="s">
        <v>11610</v>
      </c>
      <c r="L20951">
        <v>0</v>
      </c>
      <c r="M20951">
        <v>0</v>
      </c>
      <c r="N20951">
        <v>0</v>
      </c>
    </row>
    <row r="20952" spans="1:15">
      <c r="A20952" t="s">
        <v>60830</v>
      </c>
      <c r="B20952" t="s">
        <v>6742</v>
      </c>
      <c r="C20952" t="s">
        <v>41022</v>
      </c>
      <c r="D20952" t="s">
        <v>60831</v>
      </c>
      <c r="E20952" t="b">
        <v>0</v>
      </c>
      <c r="F20952" t="s">
        <v>11610</v>
      </c>
      <c r="L20952">
        <v>0</v>
      </c>
      <c r="M20952">
        <v>0</v>
      </c>
      <c r="N20952">
        <v>0</v>
      </c>
    </row>
    <row r="20953" spans="1:15">
      <c r="A20953" t="s">
        <v>60832</v>
      </c>
      <c r="B20953" t="s">
        <v>6742</v>
      </c>
      <c r="C20953" t="s">
        <v>798</v>
      </c>
      <c r="D20953" t="s">
        <v>60833</v>
      </c>
      <c r="E20953" t="b">
        <v>0</v>
      </c>
      <c r="F20953" t="s">
        <v>11610</v>
      </c>
      <c r="L20953">
        <v>0</v>
      </c>
      <c r="M20953">
        <v>0</v>
      </c>
      <c r="N20953">
        <v>0</v>
      </c>
    </row>
    <row r="20954" spans="1:15">
      <c r="A20954" t="s">
        <v>60834</v>
      </c>
      <c r="B20954" t="s">
        <v>1342</v>
      </c>
      <c r="C20954" t="s">
        <v>30001</v>
      </c>
      <c r="D20954" t="s">
        <v>60835</v>
      </c>
      <c r="E20954" t="b">
        <v>0</v>
      </c>
      <c r="F20954" t="s">
        <v>11610</v>
      </c>
      <c r="L20954">
        <v>0</v>
      </c>
      <c r="M20954">
        <v>0</v>
      </c>
      <c r="N20954">
        <v>0</v>
      </c>
    </row>
    <row r="20955" spans="1:15">
      <c r="A20955" t="s">
        <v>13651</v>
      </c>
      <c r="B20955" t="s">
        <v>367</v>
      </c>
      <c r="C20955" t="s">
        <v>26567</v>
      </c>
      <c r="D20955" t="s">
        <v>60836</v>
      </c>
      <c r="E20955" t="b">
        <v>0</v>
      </c>
      <c r="F20955" t="s">
        <v>11624</v>
      </c>
      <c r="G20955">
        <v>0.71802999999999995</v>
      </c>
      <c r="H20955">
        <v>117.645</v>
      </c>
      <c r="I20955" t="s">
        <v>60837</v>
      </c>
      <c r="L20955">
        <v>0</v>
      </c>
      <c r="M20955">
        <v>0</v>
      </c>
      <c r="N20955">
        <v>3</v>
      </c>
      <c r="O20955" t="s">
        <v>11768</v>
      </c>
    </row>
    <row r="20956" spans="1:15">
      <c r="A20956" t="s">
        <v>60838</v>
      </c>
      <c r="B20956" t="s">
        <v>367</v>
      </c>
      <c r="C20956" t="s">
        <v>13651</v>
      </c>
      <c r="D20956" t="s">
        <v>60839</v>
      </c>
      <c r="E20956" t="b">
        <v>0</v>
      </c>
      <c r="F20956" t="s">
        <v>11610</v>
      </c>
      <c r="L20956">
        <v>0</v>
      </c>
      <c r="M20956">
        <v>0</v>
      </c>
      <c r="N20956">
        <v>0</v>
      </c>
    </row>
    <row r="20957" spans="1:15">
      <c r="A20957" t="s">
        <v>60840</v>
      </c>
      <c r="B20957" t="s">
        <v>367</v>
      </c>
      <c r="C20957" t="s">
        <v>40040</v>
      </c>
      <c r="D20957" t="s">
        <v>60841</v>
      </c>
      <c r="E20957" t="b">
        <v>0</v>
      </c>
      <c r="F20957" t="s">
        <v>11610</v>
      </c>
      <c r="L20957">
        <v>0</v>
      </c>
      <c r="M20957">
        <v>0</v>
      </c>
      <c r="N20957">
        <v>0</v>
      </c>
    </row>
    <row r="20958" spans="1:15">
      <c r="A20958" t="s">
        <v>60842</v>
      </c>
      <c r="B20958" t="s">
        <v>367</v>
      </c>
      <c r="C20958" t="s">
        <v>14866</v>
      </c>
      <c r="D20958" t="s">
        <v>60843</v>
      </c>
      <c r="E20958" t="b">
        <v>0</v>
      </c>
      <c r="F20958" t="s">
        <v>11610</v>
      </c>
      <c r="L20958">
        <v>0</v>
      </c>
      <c r="M20958">
        <v>0</v>
      </c>
      <c r="N20958">
        <v>0</v>
      </c>
    </row>
    <row r="20959" spans="1:15">
      <c r="A20959" t="s">
        <v>60844</v>
      </c>
      <c r="B20959" t="s">
        <v>367</v>
      </c>
      <c r="C20959" t="s">
        <v>17494</v>
      </c>
      <c r="D20959" t="s">
        <v>60845</v>
      </c>
      <c r="E20959" t="b">
        <v>0</v>
      </c>
      <c r="F20959" t="s">
        <v>11610</v>
      </c>
      <c r="L20959">
        <v>0</v>
      </c>
      <c r="M20959">
        <v>0</v>
      </c>
      <c r="N20959">
        <v>0</v>
      </c>
    </row>
    <row r="20960" spans="1:15">
      <c r="A20960" t="s">
        <v>60846</v>
      </c>
      <c r="B20960" t="s">
        <v>367</v>
      </c>
      <c r="C20960" t="s">
        <v>21135</v>
      </c>
      <c r="D20960" t="s">
        <v>60847</v>
      </c>
      <c r="E20960" t="b">
        <v>0</v>
      </c>
      <c r="F20960" t="s">
        <v>11624</v>
      </c>
      <c r="G20960">
        <v>-7.8906900000000002</v>
      </c>
      <c r="H20960">
        <v>113.03700000000001</v>
      </c>
      <c r="I20960" t="s">
        <v>60848</v>
      </c>
      <c r="L20960">
        <v>0</v>
      </c>
      <c r="M20960">
        <v>0</v>
      </c>
      <c r="N20960">
        <v>0</v>
      </c>
      <c r="O20960" t="s">
        <v>11768</v>
      </c>
    </row>
    <row r="20961" spans="1:15">
      <c r="A20961" t="s">
        <v>60849</v>
      </c>
      <c r="B20961" t="s">
        <v>11644</v>
      </c>
      <c r="C20961" t="s">
        <v>60850</v>
      </c>
      <c r="D20961" t="s">
        <v>60851</v>
      </c>
      <c r="E20961" t="b">
        <v>0</v>
      </c>
      <c r="F20961" t="s">
        <v>11610</v>
      </c>
      <c r="L20961">
        <v>0</v>
      </c>
      <c r="M20961">
        <v>0</v>
      </c>
      <c r="N20961">
        <v>0</v>
      </c>
    </row>
    <row r="20962" spans="1:15">
      <c r="A20962" t="s">
        <v>24704</v>
      </c>
      <c r="B20962" t="s">
        <v>11912</v>
      </c>
      <c r="C20962" t="s">
        <v>33764</v>
      </c>
      <c r="D20962" t="s">
        <v>60852</v>
      </c>
      <c r="E20962" t="b">
        <v>0</v>
      </c>
      <c r="F20962" t="s">
        <v>11624</v>
      </c>
      <c r="G20962">
        <v>-7.9262600000000001</v>
      </c>
      <c r="H20962">
        <v>-61.936</v>
      </c>
      <c r="I20962" t="s">
        <v>60853</v>
      </c>
      <c r="L20962">
        <v>0</v>
      </c>
      <c r="M20962">
        <v>0</v>
      </c>
      <c r="N20962">
        <v>3</v>
      </c>
      <c r="O20962" t="s">
        <v>11969</v>
      </c>
    </row>
    <row r="20963" spans="1:15">
      <c r="A20963" t="s">
        <v>11227</v>
      </c>
      <c r="B20963" t="s">
        <v>36807</v>
      </c>
      <c r="C20963" t="s">
        <v>57950</v>
      </c>
      <c r="D20963" t="s">
        <v>60854</v>
      </c>
      <c r="E20963" t="b">
        <v>0</v>
      </c>
      <c r="F20963" t="s">
        <v>11624</v>
      </c>
      <c r="G20963">
        <v>44.798499999999997</v>
      </c>
      <c r="H20963">
        <v>-121.44</v>
      </c>
      <c r="I20963" t="s">
        <v>11230</v>
      </c>
      <c r="L20963">
        <v>0</v>
      </c>
      <c r="M20963">
        <v>0</v>
      </c>
      <c r="N20963">
        <v>0</v>
      </c>
      <c r="O20963" t="s">
        <v>11944</v>
      </c>
    </row>
    <row r="20964" spans="1:15">
      <c r="A20964" t="s">
        <v>60855</v>
      </c>
      <c r="B20964" t="s">
        <v>367</v>
      </c>
      <c r="C20964" t="s">
        <v>45970</v>
      </c>
      <c r="D20964" t="s">
        <v>60856</v>
      </c>
      <c r="E20964" t="b">
        <v>0</v>
      </c>
      <c r="F20964" t="s">
        <v>11624</v>
      </c>
      <c r="G20964">
        <v>-2.7180499999999999</v>
      </c>
      <c r="H20964">
        <v>150.923</v>
      </c>
      <c r="I20964" t="s">
        <v>60857</v>
      </c>
      <c r="L20964">
        <v>0</v>
      </c>
      <c r="M20964">
        <v>0</v>
      </c>
      <c r="N20964">
        <v>0</v>
      </c>
      <c r="O20964" t="s">
        <v>11660</v>
      </c>
    </row>
    <row r="20965" spans="1:15">
      <c r="A20965" t="s">
        <v>30949</v>
      </c>
      <c r="B20965" t="s">
        <v>5126</v>
      </c>
      <c r="C20965" t="s">
        <v>42770</v>
      </c>
      <c r="D20965" t="s">
        <v>60858</v>
      </c>
      <c r="E20965" t="b">
        <v>0</v>
      </c>
      <c r="F20965" t="s">
        <v>11624</v>
      </c>
      <c r="G20965">
        <v>25.671700000000001</v>
      </c>
      <c r="H20965">
        <v>107.309</v>
      </c>
      <c r="I20965" t="s">
        <v>60859</v>
      </c>
      <c r="L20965">
        <v>0</v>
      </c>
      <c r="M20965">
        <v>0</v>
      </c>
      <c r="N20965">
        <v>3</v>
      </c>
      <c r="O20965" t="s">
        <v>11905</v>
      </c>
    </row>
    <row r="20966" spans="1:15">
      <c r="A20966" t="s">
        <v>60860</v>
      </c>
      <c r="B20966" t="s">
        <v>15569</v>
      </c>
      <c r="C20966" t="s">
        <v>24745</v>
      </c>
      <c r="D20966" t="s">
        <v>60861</v>
      </c>
      <c r="E20966" t="b">
        <v>0</v>
      </c>
      <c r="F20966" t="s">
        <v>11624</v>
      </c>
      <c r="G20966">
        <v>4.9110699999999996</v>
      </c>
      <c r="H20966">
        <v>32.630699999999997</v>
      </c>
      <c r="I20966" t="s">
        <v>60862</v>
      </c>
      <c r="L20966">
        <v>0</v>
      </c>
      <c r="M20966">
        <v>0</v>
      </c>
      <c r="N20966">
        <v>0</v>
      </c>
      <c r="O20966" t="s">
        <v>11910</v>
      </c>
    </row>
    <row r="20967" spans="1:15">
      <c r="A20967" t="s">
        <v>60863</v>
      </c>
      <c r="B20967" t="s">
        <v>1342</v>
      </c>
      <c r="C20967" t="s">
        <v>30001</v>
      </c>
      <c r="D20967" t="s">
        <v>60864</v>
      </c>
      <c r="E20967" t="b">
        <v>0</v>
      </c>
      <c r="F20967" t="s">
        <v>11610</v>
      </c>
      <c r="L20967">
        <v>0</v>
      </c>
      <c r="M20967">
        <v>0</v>
      </c>
      <c r="N20967">
        <v>0</v>
      </c>
    </row>
    <row r="20968" spans="1:15">
      <c r="A20968" t="s">
        <v>60865</v>
      </c>
      <c r="B20968" t="s">
        <v>11644</v>
      </c>
      <c r="C20968" t="s">
        <v>1298</v>
      </c>
      <c r="D20968" t="s">
        <v>60866</v>
      </c>
      <c r="E20968" t="b">
        <v>0</v>
      </c>
      <c r="F20968" t="s">
        <v>11610</v>
      </c>
      <c r="L20968">
        <v>0</v>
      </c>
      <c r="M20968">
        <v>0</v>
      </c>
      <c r="N20968">
        <v>0</v>
      </c>
    </row>
    <row r="20969" spans="1:15">
      <c r="A20969" t="s">
        <v>60867</v>
      </c>
      <c r="B20969" t="s">
        <v>6742</v>
      </c>
      <c r="C20969" t="s">
        <v>59520</v>
      </c>
      <c r="D20969" t="s">
        <v>60868</v>
      </c>
      <c r="E20969" t="b">
        <v>0</v>
      </c>
      <c r="F20969" t="s">
        <v>11610</v>
      </c>
      <c r="L20969">
        <v>0</v>
      </c>
      <c r="M20969">
        <v>0</v>
      </c>
      <c r="N20969">
        <v>0</v>
      </c>
    </row>
    <row r="20970" spans="1:15">
      <c r="A20970" t="s">
        <v>60869</v>
      </c>
      <c r="B20970" t="s">
        <v>11879</v>
      </c>
      <c r="C20970" t="s">
        <v>22335</v>
      </c>
      <c r="D20970" t="s">
        <v>60870</v>
      </c>
      <c r="E20970" t="b">
        <v>0</v>
      </c>
      <c r="F20970" t="s">
        <v>11624</v>
      </c>
      <c r="G20970">
        <v>16.590622</v>
      </c>
      <c r="H20970">
        <v>-97.224436999999995</v>
      </c>
      <c r="L20970">
        <v>0</v>
      </c>
      <c r="M20970">
        <v>0</v>
      </c>
      <c r="N20970">
        <v>0</v>
      </c>
      <c r="O20970" t="s">
        <v>11883</v>
      </c>
    </row>
    <row r="20971" spans="1:15">
      <c r="A20971" t="s">
        <v>40787</v>
      </c>
      <c r="B20971" t="s">
        <v>367</v>
      </c>
      <c r="C20971" t="s">
        <v>30531</v>
      </c>
      <c r="D20971" t="s">
        <v>60871</v>
      </c>
      <c r="E20971" t="b">
        <v>0</v>
      </c>
      <c r="F20971" t="s">
        <v>11624</v>
      </c>
      <c r="G20971">
        <v>-5.6747399999999999</v>
      </c>
      <c r="H20971">
        <v>154.971</v>
      </c>
      <c r="I20971" t="s">
        <v>60872</v>
      </c>
      <c r="L20971">
        <v>0</v>
      </c>
      <c r="M20971">
        <v>0</v>
      </c>
      <c r="N20971">
        <v>5</v>
      </c>
      <c r="O20971" t="s">
        <v>11660</v>
      </c>
    </row>
    <row r="20972" spans="1:15">
      <c r="A20972" t="s">
        <v>38388</v>
      </c>
      <c r="B20972" t="s">
        <v>367</v>
      </c>
      <c r="C20972" t="s">
        <v>21833</v>
      </c>
      <c r="D20972" t="s">
        <v>60873</v>
      </c>
      <c r="E20972" t="b">
        <v>0</v>
      </c>
      <c r="F20972" t="s">
        <v>11622</v>
      </c>
      <c r="L20972">
        <v>0</v>
      </c>
      <c r="M20972">
        <v>2</v>
      </c>
      <c r="N20972">
        <v>2</v>
      </c>
    </row>
    <row r="20973" spans="1:15">
      <c r="A20973" t="s">
        <v>28717</v>
      </c>
      <c r="B20973" t="s">
        <v>367</v>
      </c>
      <c r="C20973" t="s">
        <v>38388</v>
      </c>
      <c r="D20973" t="s">
        <v>60874</v>
      </c>
      <c r="E20973" t="b">
        <v>0</v>
      </c>
      <c r="F20973" t="s">
        <v>11624</v>
      </c>
      <c r="G20973">
        <v>-4.7415900000000004</v>
      </c>
      <c r="H20973">
        <v>131.73699999999999</v>
      </c>
      <c r="I20973" t="s">
        <v>60875</v>
      </c>
      <c r="L20973">
        <v>0</v>
      </c>
      <c r="M20973">
        <v>0</v>
      </c>
      <c r="N20973">
        <v>2</v>
      </c>
      <c r="O20973" t="s">
        <v>11768</v>
      </c>
    </row>
    <row r="20974" spans="1:15">
      <c r="A20974" t="s">
        <v>60876</v>
      </c>
      <c r="B20974" t="s">
        <v>11879</v>
      </c>
      <c r="C20974" t="s">
        <v>33134</v>
      </c>
      <c r="D20974" t="s">
        <v>60877</v>
      </c>
      <c r="E20974" t="b">
        <v>0</v>
      </c>
      <c r="F20974" t="s">
        <v>11610</v>
      </c>
      <c r="L20974">
        <v>0</v>
      </c>
      <c r="M20974">
        <v>0</v>
      </c>
      <c r="N20974">
        <v>0</v>
      </c>
    </row>
    <row r="20975" spans="1:15">
      <c r="A20975" t="s">
        <v>31647</v>
      </c>
      <c r="B20975" t="s">
        <v>11879</v>
      </c>
      <c r="C20975" t="s">
        <v>24942</v>
      </c>
      <c r="D20975" t="s">
        <v>60878</v>
      </c>
      <c r="E20975" t="b">
        <v>0</v>
      </c>
      <c r="F20975" t="s">
        <v>11622</v>
      </c>
      <c r="L20975">
        <v>0</v>
      </c>
      <c r="M20975">
        <v>5</v>
      </c>
      <c r="N20975">
        <v>0</v>
      </c>
    </row>
    <row r="20976" spans="1:15">
      <c r="A20976" t="s">
        <v>31618</v>
      </c>
      <c r="B20976" t="s">
        <v>21317</v>
      </c>
      <c r="C20976" t="s">
        <v>21317</v>
      </c>
      <c r="D20976" t="s">
        <v>60879</v>
      </c>
      <c r="E20976" t="b">
        <v>0</v>
      </c>
      <c r="F20976" t="s">
        <v>11622</v>
      </c>
      <c r="L20976">
        <v>0</v>
      </c>
      <c r="M20976">
        <v>3</v>
      </c>
      <c r="N20976">
        <v>0</v>
      </c>
    </row>
    <row r="20977" spans="1:15">
      <c r="A20977" t="s">
        <v>60880</v>
      </c>
      <c r="B20977" t="s">
        <v>21672</v>
      </c>
      <c r="C20977" t="s">
        <v>59582</v>
      </c>
      <c r="D20977" t="s">
        <v>60881</v>
      </c>
      <c r="E20977" t="b">
        <v>0</v>
      </c>
      <c r="F20977" t="s">
        <v>11610</v>
      </c>
      <c r="L20977">
        <v>0</v>
      </c>
      <c r="M20977">
        <v>0</v>
      </c>
      <c r="N20977">
        <v>0</v>
      </c>
    </row>
    <row r="20978" spans="1:15">
      <c r="A20978" t="s">
        <v>60882</v>
      </c>
      <c r="B20978" t="s">
        <v>12751</v>
      </c>
      <c r="C20978" t="s">
        <v>58570</v>
      </c>
      <c r="D20978" t="s">
        <v>60883</v>
      </c>
      <c r="E20978" t="b">
        <v>0</v>
      </c>
      <c r="F20978" t="s">
        <v>11624</v>
      </c>
      <c r="G20978">
        <v>19.234300000000001</v>
      </c>
      <c r="H20978">
        <v>-101.729</v>
      </c>
      <c r="I20978" t="s">
        <v>60884</v>
      </c>
      <c r="L20978">
        <v>0</v>
      </c>
      <c r="M20978">
        <v>0</v>
      </c>
      <c r="N20978">
        <v>0</v>
      </c>
      <c r="O20978" t="s">
        <v>11883</v>
      </c>
    </row>
    <row r="20979" spans="1:15">
      <c r="A20979" t="s">
        <v>60885</v>
      </c>
      <c r="B20979" t="s">
        <v>11879</v>
      </c>
      <c r="C20979" t="s">
        <v>22660</v>
      </c>
      <c r="D20979" t="s">
        <v>60886</v>
      </c>
      <c r="E20979" t="b">
        <v>0</v>
      </c>
      <c r="F20979" t="s">
        <v>11624</v>
      </c>
      <c r="G20979">
        <v>17.711500000000001</v>
      </c>
      <c r="H20979">
        <v>-96.540400000000005</v>
      </c>
      <c r="I20979" t="s">
        <v>60887</v>
      </c>
      <c r="L20979">
        <v>0</v>
      </c>
      <c r="M20979">
        <v>0</v>
      </c>
      <c r="N20979">
        <v>0</v>
      </c>
      <c r="O20979" t="s">
        <v>11883</v>
      </c>
    </row>
    <row r="20980" spans="1:15">
      <c r="A20980" t="s">
        <v>55804</v>
      </c>
      <c r="B20980" t="s">
        <v>11879</v>
      </c>
      <c r="C20980" t="s">
        <v>23595</v>
      </c>
      <c r="D20980" t="s">
        <v>60888</v>
      </c>
      <c r="E20980" t="b">
        <v>0</v>
      </c>
      <c r="F20980" t="s">
        <v>11624</v>
      </c>
      <c r="G20980">
        <v>17.756</v>
      </c>
      <c r="H20980">
        <v>-96.787999999999997</v>
      </c>
      <c r="I20980" t="s">
        <v>60889</v>
      </c>
      <c r="L20980">
        <v>0</v>
      </c>
      <c r="M20980">
        <v>0</v>
      </c>
      <c r="N20980">
        <v>1</v>
      </c>
      <c r="O20980" t="s">
        <v>11883</v>
      </c>
    </row>
    <row r="20981" spans="1:15">
      <c r="A20981" t="s">
        <v>7527</v>
      </c>
      <c r="B20981" t="s">
        <v>12751</v>
      </c>
      <c r="C20981" t="s">
        <v>53106</v>
      </c>
      <c r="D20981" t="s">
        <v>7526</v>
      </c>
      <c r="E20981" t="b">
        <v>0</v>
      </c>
      <c r="F20981" t="s">
        <v>11622</v>
      </c>
      <c r="L20981">
        <v>1</v>
      </c>
      <c r="M20981">
        <v>4</v>
      </c>
      <c r="N20981">
        <v>0</v>
      </c>
    </row>
    <row r="20982" spans="1:15">
      <c r="A20982" t="s">
        <v>53106</v>
      </c>
      <c r="B20982" t="s">
        <v>12751</v>
      </c>
      <c r="C20982" t="s">
        <v>20865</v>
      </c>
      <c r="D20982" t="s">
        <v>60890</v>
      </c>
      <c r="E20982" t="b">
        <v>0</v>
      </c>
      <c r="F20982" t="s">
        <v>11622</v>
      </c>
      <c r="L20982">
        <v>3</v>
      </c>
      <c r="M20982">
        <v>6</v>
      </c>
      <c r="N20982">
        <v>4</v>
      </c>
    </row>
    <row r="20983" spans="1:15">
      <c r="A20983" t="s">
        <v>60891</v>
      </c>
      <c r="B20983" t="s">
        <v>11879</v>
      </c>
      <c r="C20983" t="s">
        <v>22664</v>
      </c>
      <c r="D20983" t="s">
        <v>60892</v>
      </c>
      <c r="E20983" t="b">
        <v>0</v>
      </c>
      <c r="F20983" t="s">
        <v>11624</v>
      </c>
      <c r="G20983">
        <v>17.665099999999999</v>
      </c>
      <c r="H20983">
        <v>-96.143299999999996</v>
      </c>
      <c r="I20983" t="s">
        <v>60893</v>
      </c>
      <c r="L20983">
        <v>0</v>
      </c>
      <c r="M20983">
        <v>0</v>
      </c>
      <c r="N20983">
        <v>0</v>
      </c>
      <c r="O20983" t="s">
        <v>11883</v>
      </c>
    </row>
    <row r="20984" spans="1:15">
      <c r="A20984" t="s">
        <v>16872</v>
      </c>
      <c r="B20984" t="s">
        <v>6742</v>
      </c>
      <c r="C20984" t="s">
        <v>53290</v>
      </c>
      <c r="D20984" t="s">
        <v>60894</v>
      </c>
      <c r="E20984" t="b">
        <v>0</v>
      </c>
      <c r="F20984" t="s">
        <v>11624</v>
      </c>
      <c r="G20984">
        <v>5.1626700000000003</v>
      </c>
      <c r="H20984">
        <v>-7.6634599999999997</v>
      </c>
      <c r="I20984" t="s">
        <v>60895</v>
      </c>
      <c r="L20984">
        <v>0</v>
      </c>
      <c r="M20984">
        <v>0</v>
      </c>
      <c r="N20984">
        <v>8</v>
      </c>
      <c r="O20984" t="s">
        <v>23855</v>
      </c>
    </row>
    <row r="20985" spans="1:15">
      <c r="A20985" t="s">
        <v>60896</v>
      </c>
      <c r="B20985" t="s">
        <v>6742</v>
      </c>
      <c r="C20985" t="s">
        <v>16872</v>
      </c>
      <c r="D20985" t="s">
        <v>60897</v>
      </c>
      <c r="E20985" t="b">
        <v>0</v>
      </c>
      <c r="F20985" t="s">
        <v>11610</v>
      </c>
      <c r="L20985">
        <v>0</v>
      </c>
      <c r="M20985">
        <v>0</v>
      </c>
      <c r="N20985">
        <v>0</v>
      </c>
    </row>
    <row r="20986" spans="1:15">
      <c r="A20986" t="s">
        <v>53290</v>
      </c>
      <c r="B20986" t="s">
        <v>6742</v>
      </c>
      <c r="C20986" t="s">
        <v>32923</v>
      </c>
      <c r="D20986" t="s">
        <v>60898</v>
      </c>
      <c r="E20986" t="b">
        <v>0</v>
      </c>
      <c r="F20986" t="s">
        <v>11622</v>
      </c>
      <c r="L20986">
        <v>0</v>
      </c>
      <c r="M20986">
        <v>2</v>
      </c>
      <c r="N20986">
        <v>8</v>
      </c>
    </row>
    <row r="20987" spans="1:15">
      <c r="A20987" t="s">
        <v>60899</v>
      </c>
      <c r="B20987" t="s">
        <v>6742</v>
      </c>
      <c r="C20987" t="s">
        <v>57780</v>
      </c>
      <c r="D20987" t="s">
        <v>60900</v>
      </c>
      <c r="E20987" t="b">
        <v>0</v>
      </c>
      <c r="F20987" t="s">
        <v>11624</v>
      </c>
      <c r="G20987">
        <v>6.6757239999999998</v>
      </c>
      <c r="H20987">
        <v>11.117362999999999</v>
      </c>
      <c r="L20987">
        <v>0</v>
      </c>
      <c r="M20987">
        <v>0</v>
      </c>
      <c r="N20987">
        <v>0</v>
      </c>
      <c r="O20987" t="s">
        <v>11693</v>
      </c>
    </row>
    <row r="20988" spans="1:15">
      <c r="A20988" t="s">
        <v>60901</v>
      </c>
      <c r="B20988" t="s">
        <v>331</v>
      </c>
      <c r="C20988" t="s">
        <v>14894</v>
      </c>
      <c r="D20988" t="s">
        <v>60902</v>
      </c>
      <c r="E20988" t="b">
        <v>0</v>
      </c>
      <c r="F20988" t="s">
        <v>11610</v>
      </c>
      <c r="L20988">
        <v>0</v>
      </c>
      <c r="M20988">
        <v>0</v>
      </c>
      <c r="N20988">
        <v>0</v>
      </c>
    </row>
    <row r="20989" spans="1:15">
      <c r="A20989" t="s">
        <v>31079</v>
      </c>
      <c r="D20989" t="s">
        <v>60903</v>
      </c>
      <c r="E20989" t="b">
        <v>0</v>
      </c>
      <c r="F20989" t="s">
        <v>11622</v>
      </c>
      <c r="L20989">
        <v>0</v>
      </c>
      <c r="M20989">
        <v>3</v>
      </c>
      <c r="N20989">
        <v>0</v>
      </c>
    </row>
    <row r="20990" spans="1:15">
      <c r="A20990" t="s">
        <v>60904</v>
      </c>
      <c r="B20990" t="s">
        <v>31079</v>
      </c>
      <c r="C20990" t="s">
        <v>31079</v>
      </c>
      <c r="D20990" t="s">
        <v>60905</v>
      </c>
      <c r="E20990" t="b">
        <v>0</v>
      </c>
      <c r="F20990" t="s">
        <v>11624</v>
      </c>
      <c r="G20990">
        <v>16.399999999999999</v>
      </c>
      <c r="H20990">
        <v>-95.59</v>
      </c>
      <c r="L20990">
        <v>0</v>
      </c>
      <c r="M20990">
        <v>0</v>
      </c>
      <c r="N20990">
        <v>0</v>
      </c>
      <c r="O20990" t="s">
        <v>11883</v>
      </c>
    </row>
    <row r="20991" spans="1:15">
      <c r="A20991" t="s">
        <v>20457</v>
      </c>
      <c r="B20991" t="s">
        <v>11607</v>
      </c>
      <c r="C20991" t="s">
        <v>33252</v>
      </c>
      <c r="D20991" t="s">
        <v>60906</v>
      </c>
      <c r="E20991" t="b">
        <v>0</v>
      </c>
      <c r="F20991" t="s">
        <v>11624</v>
      </c>
      <c r="G20991">
        <v>11.037599999999999</v>
      </c>
      <c r="H20991">
        <v>11.809530000000001</v>
      </c>
      <c r="I20991" t="s">
        <v>60907</v>
      </c>
      <c r="L20991">
        <v>0</v>
      </c>
      <c r="M20991">
        <v>0</v>
      </c>
      <c r="N20991">
        <v>3</v>
      </c>
      <c r="O20991" t="s">
        <v>11693</v>
      </c>
    </row>
    <row r="20992" spans="1:15">
      <c r="A20992" t="s">
        <v>19378</v>
      </c>
      <c r="B20992" t="s">
        <v>12438</v>
      </c>
      <c r="C20992" t="s">
        <v>22343</v>
      </c>
      <c r="D20992" t="s">
        <v>60908</v>
      </c>
      <c r="E20992" t="b">
        <v>0</v>
      </c>
      <c r="F20992" t="s">
        <v>11624</v>
      </c>
      <c r="G20992">
        <v>8.2371599999999994</v>
      </c>
      <c r="H20992">
        <v>93.1297</v>
      </c>
      <c r="I20992" t="s">
        <v>60909</v>
      </c>
      <c r="L20992">
        <v>0</v>
      </c>
      <c r="M20992">
        <v>0</v>
      </c>
      <c r="N20992">
        <v>1</v>
      </c>
      <c r="O20992" t="s">
        <v>11630</v>
      </c>
    </row>
    <row r="20993" spans="1:15">
      <c r="A20993" t="s">
        <v>60910</v>
      </c>
      <c r="B20993" t="s">
        <v>331</v>
      </c>
      <c r="C20993" t="s">
        <v>35040</v>
      </c>
      <c r="D20993" t="s">
        <v>60911</v>
      </c>
      <c r="E20993" t="b">
        <v>0</v>
      </c>
      <c r="F20993" t="s">
        <v>11610</v>
      </c>
      <c r="L20993">
        <v>0</v>
      </c>
      <c r="M20993">
        <v>0</v>
      </c>
      <c r="N20993">
        <v>0</v>
      </c>
    </row>
    <row r="20994" spans="1:15">
      <c r="A20994" t="s">
        <v>60912</v>
      </c>
      <c r="B20994" t="s">
        <v>6742</v>
      </c>
      <c r="C20994" t="s">
        <v>25687</v>
      </c>
      <c r="D20994" t="s">
        <v>60913</v>
      </c>
      <c r="E20994" t="b">
        <v>0</v>
      </c>
      <c r="F20994" t="s">
        <v>11610</v>
      </c>
      <c r="L20994">
        <v>0</v>
      </c>
      <c r="M20994">
        <v>0</v>
      </c>
      <c r="N20994">
        <v>0</v>
      </c>
    </row>
    <row r="20995" spans="1:15">
      <c r="A20995" t="s">
        <v>60914</v>
      </c>
      <c r="B20995" t="s">
        <v>11729</v>
      </c>
      <c r="C20995" t="s">
        <v>11730</v>
      </c>
      <c r="D20995" t="s">
        <v>60915</v>
      </c>
      <c r="E20995" t="b">
        <v>0</v>
      </c>
      <c r="F20995" t="s">
        <v>11610</v>
      </c>
      <c r="L20995">
        <v>0</v>
      </c>
      <c r="M20995">
        <v>0</v>
      </c>
      <c r="N20995">
        <v>0</v>
      </c>
    </row>
    <row r="20996" spans="1:15">
      <c r="A20996" t="s">
        <v>60916</v>
      </c>
      <c r="B20996" t="s">
        <v>367</v>
      </c>
      <c r="C20996" t="s">
        <v>34135</v>
      </c>
      <c r="D20996" t="s">
        <v>60917</v>
      </c>
      <c r="E20996" t="b">
        <v>0</v>
      </c>
      <c r="F20996" t="s">
        <v>11624</v>
      </c>
      <c r="G20996">
        <v>-3.6872099999999999</v>
      </c>
      <c r="H20996">
        <v>143.83500000000001</v>
      </c>
      <c r="I20996" t="s">
        <v>60918</v>
      </c>
      <c r="L20996">
        <v>0</v>
      </c>
      <c r="M20996">
        <v>0</v>
      </c>
      <c r="N20996">
        <v>0</v>
      </c>
      <c r="O20996" t="s">
        <v>11660</v>
      </c>
    </row>
    <row r="20997" spans="1:15">
      <c r="A20997" t="s">
        <v>60919</v>
      </c>
      <c r="B20997" t="s">
        <v>11839</v>
      </c>
      <c r="C20997" t="s">
        <v>18963</v>
      </c>
      <c r="D20997" t="s">
        <v>60920</v>
      </c>
      <c r="E20997" t="b">
        <v>0</v>
      </c>
      <c r="F20997" t="s">
        <v>11624</v>
      </c>
      <c r="G20997">
        <v>-8.4806299999999997</v>
      </c>
      <c r="H20997">
        <v>124.271</v>
      </c>
      <c r="I20997" t="s">
        <v>60921</v>
      </c>
      <c r="L20997">
        <v>0</v>
      </c>
      <c r="M20997">
        <v>0</v>
      </c>
      <c r="N20997">
        <v>0</v>
      </c>
      <c r="O20997" t="s">
        <v>11768</v>
      </c>
    </row>
    <row r="20998" spans="1:15">
      <c r="A20998" t="s">
        <v>60922</v>
      </c>
      <c r="B20998" t="s">
        <v>16042</v>
      </c>
      <c r="C20998" t="s">
        <v>20128</v>
      </c>
      <c r="D20998" t="s">
        <v>60923</v>
      </c>
      <c r="E20998" t="b">
        <v>0</v>
      </c>
      <c r="F20998" t="s">
        <v>11624</v>
      </c>
      <c r="G20998">
        <v>-6.7005100000000004</v>
      </c>
      <c r="H20998">
        <v>155.745</v>
      </c>
      <c r="I20998" t="s">
        <v>60924</v>
      </c>
      <c r="L20998">
        <v>0</v>
      </c>
      <c r="M20998">
        <v>0</v>
      </c>
      <c r="N20998">
        <v>0</v>
      </c>
      <c r="O20998" t="s">
        <v>11660</v>
      </c>
    </row>
    <row r="20999" spans="1:15">
      <c r="A20999" t="s">
        <v>22283</v>
      </c>
      <c r="B20999" t="s">
        <v>11894</v>
      </c>
      <c r="C20999" t="s">
        <v>17511</v>
      </c>
      <c r="D20999" t="s">
        <v>60925</v>
      </c>
      <c r="E20999" t="b">
        <v>0</v>
      </c>
      <c r="F20999" t="s">
        <v>11624</v>
      </c>
      <c r="G20999">
        <v>-20.6614</v>
      </c>
      <c r="H20999">
        <v>-56.032899999999998</v>
      </c>
      <c r="I20999" t="s">
        <v>60926</v>
      </c>
      <c r="L20999">
        <v>0</v>
      </c>
      <c r="M20999">
        <v>0</v>
      </c>
      <c r="N20999">
        <v>3</v>
      </c>
      <c r="O20999" t="s">
        <v>11969</v>
      </c>
    </row>
    <row r="21000" spans="1:15">
      <c r="A21000" t="s">
        <v>60927</v>
      </c>
      <c r="B21000" t="s">
        <v>11894</v>
      </c>
      <c r="C21000" t="s">
        <v>22283</v>
      </c>
      <c r="D21000" t="s">
        <v>60928</v>
      </c>
      <c r="E21000" t="b">
        <v>0</v>
      </c>
      <c r="F21000" t="s">
        <v>11610</v>
      </c>
      <c r="L21000">
        <v>0</v>
      </c>
      <c r="M21000">
        <v>0</v>
      </c>
      <c r="N21000">
        <v>0</v>
      </c>
    </row>
    <row r="21001" spans="1:15">
      <c r="A21001" t="s">
        <v>60929</v>
      </c>
      <c r="B21001" t="s">
        <v>11607</v>
      </c>
      <c r="C21001" t="s">
        <v>13913</v>
      </c>
      <c r="D21001" t="s">
        <v>60930</v>
      </c>
      <c r="E21001" t="b">
        <v>0</v>
      </c>
      <c r="F21001" t="s">
        <v>11610</v>
      </c>
      <c r="L21001">
        <v>0</v>
      </c>
      <c r="M21001">
        <v>0</v>
      </c>
      <c r="N21001">
        <v>0</v>
      </c>
    </row>
    <row r="21002" spans="1:15">
      <c r="A21002" t="s">
        <v>60931</v>
      </c>
      <c r="B21002" t="s">
        <v>6742</v>
      </c>
      <c r="C21002" t="s">
        <v>23978</v>
      </c>
      <c r="D21002" t="s">
        <v>60932</v>
      </c>
      <c r="E21002" t="b">
        <v>0</v>
      </c>
      <c r="F21002" t="s">
        <v>11610</v>
      </c>
      <c r="L21002">
        <v>0</v>
      </c>
      <c r="M21002">
        <v>0</v>
      </c>
      <c r="N21002">
        <v>0</v>
      </c>
    </row>
    <row r="21003" spans="1:15">
      <c r="A21003" t="s">
        <v>60933</v>
      </c>
      <c r="B21003" t="s">
        <v>11757</v>
      </c>
      <c r="C21003" t="s">
        <v>35727</v>
      </c>
      <c r="D21003" t="s">
        <v>60934</v>
      </c>
      <c r="E21003" t="b">
        <v>0</v>
      </c>
      <c r="F21003" t="s">
        <v>11624</v>
      </c>
      <c r="G21003">
        <v>0.6</v>
      </c>
      <c r="H21003">
        <v>35</v>
      </c>
      <c r="I21003" t="s">
        <v>60935</v>
      </c>
      <c r="L21003">
        <v>0</v>
      </c>
      <c r="M21003">
        <v>0</v>
      </c>
      <c r="N21003">
        <v>0</v>
      </c>
      <c r="O21003" t="s">
        <v>22848</v>
      </c>
    </row>
    <row r="21004" spans="1:15">
      <c r="A21004" t="s">
        <v>60936</v>
      </c>
      <c r="B21004" t="s">
        <v>6455</v>
      </c>
      <c r="C21004" t="s">
        <v>19656</v>
      </c>
      <c r="D21004" t="s">
        <v>60937</v>
      </c>
      <c r="E21004" t="b">
        <v>0</v>
      </c>
      <c r="F21004" t="s">
        <v>11624</v>
      </c>
      <c r="G21004">
        <v>9.0670000000000002</v>
      </c>
      <c r="H21004">
        <v>-82.963099999999997</v>
      </c>
      <c r="I21004" t="s">
        <v>60938</v>
      </c>
      <c r="L21004">
        <v>0</v>
      </c>
      <c r="M21004">
        <v>0</v>
      </c>
      <c r="N21004">
        <v>0</v>
      </c>
      <c r="O21004" t="s">
        <v>19874</v>
      </c>
    </row>
    <row r="21005" spans="1:15">
      <c r="A21005" t="s">
        <v>19161</v>
      </c>
      <c r="B21005" t="s">
        <v>367</v>
      </c>
      <c r="C21005" t="s">
        <v>18576</v>
      </c>
      <c r="D21005" t="s">
        <v>60939</v>
      </c>
      <c r="E21005" t="b">
        <v>0</v>
      </c>
      <c r="F21005" t="s">
        <v>11624</v>
      </c>
      <c r="G21005">
        <v>-10.7326</v>
      </c>
      <c r="H21005">
        <v>123.169</v>
      </c>
      <c r="I21005" t="s">
        <v>60940</v>
      </c>
      <c r="L21005">
        <v>0</v>
      </c>
      <c r="M21005">
        <v>0</v>
      </c>
      <c r="N21005">
        <v>4</v>
      </c>
      <c r="O21005" t="s">
        <v>11768</v>
      </c>
    </row>
    <row r="21006" spans="1:15">
      <c r="A21006" t="s">
        <v>60941</v>
      </c>
      <c r="B21006" t="s">
        <v>12133</v>
      </c>
      <c r="C21006" t="s">
        <v>41779</v>
      </c>
      <c r="D21006" t="s">
        <v>60942</v>
      </c>
      <c r="E21006" t="b">
        <v>0</v>
      </c>
      <c r="F21006" t="s">
        <v>11622</v>
      </c>
      <c r="L21006">
        <v>0</v>
      </c>
      <c r="M21006">
        <v>2</v>
      </c>
      <c r="N21006">
        <v>0</v>
      </c>
    </row>
    <row r="21007" spans="1:15">
      <c r="A21007" t="s">
        <v>60943</v>
      </c>
      <c r="B21007" t="s">
        <v>12133</v>
      </c>
      <c r="C21007" t="s">
        <v>60941</v>
      </c>
      <c r="D21007" t="s">
        <v>60944</v>
      </c>
      <c r="E21007" t="b">
        <v>0</v>
      </c>
      <c r="F21007" t="s">
        <v>11624</v>
      </c>
      <c r="G21007">
        <v>0.80562</v>
      </c>
      <c r="H21007">
        <v>127.333</v>
      </c>
      <c r="I21007" t="s">
        <v>60945</v>
      </c>
      <c r="L21007">
        <v>0</v>
      </c>
      <c r="M21007">
        <v>0</v>
      </c>
      <c r="N21007">
        <v>0</v>
      </c>
      <c r="O21007" t="s">
        <v>11768</v>
      </c>
    </row>
    <row r="21008" spans="1:15">
      <c r="A21008" t="s">
        <v>60946</v>
      </c>
      <c r="B21008" t="s">
        <v>11637</v>
      </c>
      <c r="C21008" t="s">
        <v>22358</v>
      </c>
      <c r="D21008" t="s">
        <v>60947</v>
      </c>
      <c r="E21008" t="b">
        <v>0</v>
      </c>
      <c r="F21008" t="s">
        <v>11624</v>
      </c>
      <c r="G21008">
        <v>14.28</v>
      </c>
      <c r="H21008">
        <v>120.72</v>
      </c>
      <c r="I21008" t="s">
        <v>60948</v>
      </c>
      <c r="L21008">
        <v>0</v>
      </c>
      <c r="M21008">
        <v>0</v>
      </c>
      <c r="N21008">
        <v>0</v>
      </c>
      <c r="O21008" t="s">
        <v>11768</v>
      </c>
    </row>
    <row r="21009" spans="1:15">
      <c r="A21009" t="s">
        <v>22358</v>
      </c>
      <c r="B21009" t="s">
        <v>11637</v>
      </c>
      <c r="C21009" t="s">
        <v>38933</v>
      </c>
      <c r="D21009" t="s">
        <v>60949</v>
      </c>
      <c r="E21009" t="b">
        <v>0</v>
      </c>
      <c r="F21009" t="s">
        <v>11622</v>
      </c>
      <c r="L21009">
        <v>0</v>
      </c>
      <c r="M21009">
        <v>2</v>
      </c>
      <c r="N21009">
        <v>5</v>
      </c>
    </row>
    <row r="21010" spans="1:15">
      <c r="A21010" t="s">
        <v>60950</v>
      </c>
      <c r="B21010" t="s">
        <v>6742</v>
      </c>
      <c r="C21010" t="s">
        <v>35665</v>
      </c>
      <c r="D21010" t="s">
        <v>60951</v>
      </c>
      <c r="E21010" t="b">
        <v>0</v>
      </c>
      <c r="F21010" t="s">
        <v>11610</v>
      </c>
      <c r="L21010">
        <v>0</v>
      </c>
      <c r="M21010">
        <v>0</v>
      </c>
      <c r="N21010">
        <v>0</v>
      </c>
    </row>
    <row r="21011" spans="1:15">
      <c r="A21011" t="s">
        <v>60952</v>
      </c>
      <c r="B21011" t="s">
        <v>12260</v>
      </c>
      <c r="C21011" t="s">
        <v>36484</v>
      </c>
      <c r="D21011" t="s">
        <v>60953</v>
      </c>
      <c r="E21011" t="b">
        <v>0</v>
      </c>
      <c r="F21011" t="s">
        <v>11624</v>
      </c>
      <c r="G21011">
        <v>67.245800000000003</v>
      </c>
      <c r="H21011">
        <v>38.506100000000004</v>
      </c>
      <c r="I21011" t="s">
        <v>60954</v>
      </c>
      <c r="L21011">
        <v>0</v>
      </c>
      <c r="M21011">
        <v>0</v>
      </c>
      <c r="N21011">
        <v>0</v>
      </c>
      <c r="O21011" t="s">
        <v>12748</v>
      </c>
    </row>
    <row r="21012" spans="1:15">
      <c r="A21012" t="s">
        <v>51375</v>
      </c>
      <c r="B21012" t="s">
        <v>11637</v>
      </c>
      <c r="C21012" t="s">
        <v>60955</v>
      </c>
      <c r="D21012" t="s">
        <v>60956</v>
      </c>
      <c r="E21012" t="b">
        <v>0</v>
      </c>
      <c r="F21012" t="s">
        <v>11624</v>
      </c>
      <c r="G21012">
        <v>53.4</v>
      </c>
      <c r="H21012">
        <v>5.3166669999999998</v>
      </c>
      <c r="L21012">
        <v>0</v>
      </c>
      <c r="M21012">
        <v>0</v>
      </c>
      <c r="N21012">
        <v>2</v>
      </c>
      <c r="O21012" t="s">
        <v>25638</v>
      </c>
    </row>
    <row r="21013" spans="1:15">
      <c r="A21013" t="s">
        <v>60957</v>
      </c>
      <c r="B21013" t="s">
        <v>367</v>
      </c>
      <c r="C21013" t="s">
        <v>60388</v>
      </c>
      <c r="D21013" t="s">
        <v>60958</v>
      </c>
      <c r="E21013" t="b">
        <v>0</v>
      </c>
      <c r="F21013" t="s">
        <v>11610</v>
      </c>
      <c r="L21013">
        <v>0</v>
      </c>
      <c r="M21013">
        <v>0</v>
      </c>
      <c r="N21013">
        <v>0</v>
      </c>
    </row>
    <row r="21014" spans="1:15">
      <c r="A21014" t="s">
        <v>60959</v>
      </c>
      <c r="B21014" t="s">
        <v>367</v>
      </c>
      <c r="C21014" t="s">
        <v>21864</v>
      </c>
      <c r="D21014" t="s">
        <v>60960</v>
      </c>
      <c r="E21014" t="b">
        <v>0</v>
      </c>
      <c r="F21014" t="s">
        <v>11624</v>
      </c>
      <c r="G21014">
        <v>-23.3</v>
      </c>
      <c r="H21014">
        <v>47.33</v>
      </c>
      <c r="I21014" t="s">
        <v>60961</v>
      </c>
      <c r="L21014">
        <v>0</v>
      </c>
      <c r="M21014">
        <v>0</v>
      </c>
      <c r="N21014">
        <v>0</v>
      </c>
      <c r="O21014" t="s">
        <v>14012</v>
      </c>
    </row>
    <row r="21015" spans="1:15">
      <c r="A21015" t="s">
        <v>60962</v>
      </c>
      <c r="B21015" t="s">
        <v>49478</v>
      </c>
      <c r="C21015" t="s">
        <v>49478</v>
      </c>
      <c r="D21015" t="s">
        <v>60963</v>
      </c>
      <c r="E21015" t="b">
        <v>0</v>
      </c>
      <c r="F21015" t="s">
        <v>11624</v>
      </c>
      <c r="G21015">
        <v>11.388500000000001</v>
      </c>
      <c r="H21015">
        <v>29.580300000000001</v>
      </c>
      <c r="I21015" t="s">
        <v>60964</v>
      </c>
      <c r="L21015">
        <v>0</v>
      </c>
      <c r="M21015">
        <v>0</v>
      </c>
      <c r="N21015">
        <v>0</v>
      </c>
      <c r="O21015" t="s">
        <v>11910</v>
      </c>
    </row>
    <row r="21016" spans="1:15">
      <c r="A21016" t="s">
        <v>60965</v>
      </c>
      <c r="B21016" t="s">
        <v>11607</v>
      </c>
      <c r="C21016" t="s">
        <v>15228</v>
      </c>
      <c r="D21016" t="s">
        <v>60966</v>
      </c>
      <c r="E21016" t="b">
        <v>0</v>
      </c>
      <c r="F21016" t="s">
        <v>11624</v>
      </c>
      <c r="G21016">
        <v>9.6418900000000001</v>
      </c>
      <c r="H21016">
        <v>8.3559400000000004</v>
      </c>
      <c r="I21016" t="s">
        <v>60967</v>
      </c>
      <c r="L21016">
        <v>0</v>
      </c>
      <c r="M21016">
        <v>0</v>
      </c>
      <c r="N21016">
        <v>0</v>
      </c>
      <c r="O21016" t="s">
        <v>11693</v>
      </c>
    </row>
    <row r="21017" spans="1:15">
      <c r="A21017" t="s">
        <v>40808</v>
      </c>
      <c r="B21017" t="s">
        <v>11757</v>
      </c>
      <c r="C21017" t="s">
        <v>17079</v>
      </c>
      <c r="D21017" t="s">
        <v>60968</v>
      </c>
      <c r="E21017" t="b">
        <v>0</v>
      </c>
      <c r="F21017" t="s">
        <v>11622</v>
      </c>
      <c r="L21017">
        <v>6</v>
      </c>
      <c r="M21017">
        <v>13</v>
      </c>
      <c r="N21017">
        <v>31</v>
      </c>
    </row>
    <row r="21018" spans="1:15">
      <c r="A21018" t="s">
        <v>60969</v>
      </c>
      <c r="B21018" t="s">
        <v>11757</v>
      </c>
      <c r="C21018" t="s">
        <v>40808</v>
      </c>
      <c r="D21018" t="s">
        <v>60970</v>
      </c>
      <c r="E21018" t="b">
        <v>0</v>
      </c>
      <c r="F21018" t="s">
        <v>11622</v>
      </c>
      <c r="L21018">
        <v>1</v>
      </c>
      <c r="M21018">
        <v>5</v>
      </c>
      <c r="N21018">
        <v>10</v>
      </c>
    </row>
    <row r="21019" spans="1:15">
      <c r="A21019" t="s">
        <v>40504</v>
      </c>
      <c r="B21019" t="s">
        <v>11757</v>
      </c>
      <c r="C21019" t="s">
        <v>60969</v>
      </c>
      <c r="D21019" t="s">
        <v>60971</v>
      </c>
      <c r="E21019" t="b">
        <v>0</v>
      </c>
      <c r="F21019" t="s">
        <v>11624</v>
      </c>
      <c r="G21019">
        <v>1.1832100000000001</v>
      </c>
      <c r="H21019">
        <v>33.939399999999999</v>
      </c>
      <c r="I21019" t="s">
        <v>60972</v>
      </c>
      <c r="L21019">
        <v>0</v>
      </c>
      <c r="M21019">
        <v>0</v>
      </c>
      <c r="N21019">
        <v>2</v>
      </c>
      <c r="O21019" t="s">
        <v>12057</v>
      </c>
    </row>
    <row r="21020" spans="1:15">
      <c r="A21020" t="s">
        <v>60973</v>
      </c>
      <c r="B21020" t="s">
        <v>6742</v>
      </c>
      <c r="C21020" t="s">
        <v>13185</v>
      </c>
      <c r="D21020" t="s">
        <v>60974</v>
      </c>
      <c r="E21020" t="b">
        <v>0</v>
      </c>
      <c r="F21020" t="s">
        <v>11610</v>
      </c>
      <c r="L21020">
        <v>0</v>
      </c>
      <c r="M21020">
        <v>0</v>
      </c>
      <c r="N21020">
        <v>0</v>
      </c>
    </row>
    <row r="21021" spans="1:15">
      <c r="A21021" t="s">
        <v>60975</v>
      </c>
      <c r="B21021" t="s">
        <v>14571</v>
      </c>
      <c r="C21021" t="s">
        <v>46378</v>
      </c>
      <c r="D21021" t="s">
        <v>60976</v>
      </c>
      <c r="E21021" t="b">
        <v>0</v>
      </c>
      <c r="F21021" t="s">
        <v>11610</v>
      </c>
      <c r="L21021">
        <v>0</v>
      </c>
      <c r="M21021">
        <v>0</v>
      </c>
      <c r="N21021">
        <v>0</v>
      </c>
    </row>
    <row r="21022" spans="1:15">
      <c r="A21022" t="s">
        <v>60977</v>
      </c>
      <c r="B21022" t="s">
        <v>11644</v>
      </c>
      <c r="C21022" t="s">
        <v>22927</v>
      </c>
      <c r="D21022" t="s">
        <v>60978</v>
      </c>
      <c r="E21022" t="b">
        <v>0</v>
      </c>
      <c r="F21022" t="s">
        <v>11610</v>
      </c>
      <c r="L21022">
        <v>0</v>
      </c>
      <c r="M21022">
        <v>0</v>
      </c>
      <c r="N21022">
        <v>0</v>
      </c>
    </row>
    <row r="21023" spans="1:15">
      <c r="A21023" t="s">
        <v>60979</v>
      </c>
      <c r="B21023" t="s">
        <v>6742</v>
      </c>
      <c r="C21023" t="s">
        <v>30658</v>
      </c>
      <c r="D21023" t="s">
        <v>60980</v>
      </c>
      <c r="E21023" t="b">
        <v>0</v>
      </c>
      <c r="F21023" t="s">
        <v>11624</v>
      </c>
      <c r="G21023">
        <v>-4.2931400000000002</v>
      </c>
      <c r="H21023">
        <v>24.545999999999999</v>
      </c>
      <c r="I21023" t="s">
        <v>60981</v>
      </c>
      <c r="L21023">
        <v>0</v>
      </c>
      <c r="M21023">
        <v>0</v>
      </c>
      <c r="N21023">
        <v>0</v>
      </c>
      <c r="O21023" t="s">
        <v>14825</v>
      </c>
    </row>
    <row r="21024" spans="1:15">
      <c r="A21024" t="s">
        <v>60982</v>
      </c>
      <c r="B21024" t="s">
        <v>12751</v>
      </c>
      <c r="C21024" t="s">
        <v>21695</v>
      </c>
      <c r="D21024" t="s">
        <v>60983</v>
      </c>
      <c r="E21024" t="b">
        <v>0</v>
      </c>
      <c r="F21024" t="s">
        <v>11624</v>
      </c>
      <c r="G21024">
        <v>18.885400000000001</v>
      </c>
      <c r="H21024">
        <v>-98.893000000000001</v>
      </c>
      <c r="I21024" t="s">
        <v>60984</v>
      </c>
      <c r="L21024">
        <v>0</v>
      </c>
      <c r="M21024">
        <v>0</v>
      </c>
      <c r="N21024">
        <v>0</v>
      </c>
      <c r="O21024" t="s">
        <v>11883</v>
      </c>
    </row>
    <row r="21025" spans="1:15">
      <c r="A21025" t="s">
        <v>60985</v>
      </c>
      <c r="B21025" t="s">
        <v>11627</v>
      </c>
      <c r="C21025" t="s">
        <v>11627</v>
      </c>
      <c r="D21025" t="s">
        <v>60986</v>
      </c>
      <c r="E21025" t="b">
        <v>1</v>
      </c>
      <c r="F21025" t="s">
        <v>11624</v>
      </c>
      <c r="G21025">
        <v>-2.6679999999999999E-2</v>
      </c>
      <c r="H21025">
        <v>-76.576099999999997</v>
      </c>
      <c r="I21025" t="s">
        <v>60987</v>
      </c>
      <c r="L21025">
        <v>0</v>
      </c>
      <c r="M21025">
        <v>0</v>
      </c>
      <c r="N21025">
        <v>0</v>
      </c>
      <c r="O21025" t="s">
        <v>14946</v>
      </c>
    </row>
    <row r="21026" spans="1:15">
      <c r="A21026" t="s">
        <v>30658</v>
      </c>
      <c r="B21026" t="s">
        <v>6742</v>
      </c>
      <c r="C21026" t="s">
        <v>19681</v>
      </c>
      <c r="D21026" t="s">
        <v>60988</v>
      </c>
      <c r="E21026" t="b">
        <v>0</v>
      </c>
      <c r="F21026" t="s">
        <v>11622</v>
      </c>
      <c r="L21026">
        <v>0</v>
      </c>
      <c r="M21026">
        <v>3</v>
      </c>
      <c r="N21026">
        <v>0</v>
      </c>
    </row>
    <row r="21027" spans="1:15">
      <c r="A21027" t="s">
        <v>60989</v>
      </c>
      <c r="B21027" t="s">
        <v>11637</v>
      </c>
      <c r="C21027" t="s">
        <v>29572</v>
      </c>
      <c r="D21027" t="s">
        <v>60990</v>
      </c>
      <c r="E21027" t="b">
        <v>0</v>
      </c>
      <c r="F21027" t="s">
        <v>11610</v>
      </c>
      <c r="L21027">
        <v>0</v>
      </c>
      <c r="M21027">
        <v>0</v>
      </c>
      <c r="N21027">
        <v>0</v>
      </c>
    </row>
    <row r="21028" spans="1:15">
      <c r="A21028" t="s">
        <v>60991</v>
      </c>
      <c r="B21028" t="s">
        <v>11607</v>
      </c>
      <c r="C21028" t="s">
        <v>60992</v>
      </c>
      <c r="D21028" t="s">
        <v>60993</v>
      </c>
      <c r="E21028" t="b">
        <v>0</v>
      </c>
      <c r="F21028" t="s">
        <v>11624</v>
      </c>
      <c r="G21028">
        <v>14.973333</v>
      </c>
      <c r="H21028">
        <v>5.6997220000000004</v>
      </c>
      <c r="I21028" t="s">
        <v>60994</v>
      </c>
      <c r="L21028">
        <v>0</v>
      </c>
      <c r="M21028">
        <v>0</v>
      </c>
      <c r="N21028">
        <v>0</v>
      </c>
      <c r="O21028" t="s">
        <v>18620</v>
      </c>
    </row>
    <row r="21029" spans="1:15">
      <c r="A21029" t="s">
        <v>60995</v>
      </c>
      <c r="B21029" t="s">
        <v>367</v>
      </c>
      <c r="C21029" t="s">
        <v>21580</v>
      </c>
      <c r="D21029" t="s">
        <v>60996</v>
      </c>
      <c r="E21029" t="b">
        <v>0</v>
      </c>
      <c r="F21029" t="s">
        <v>11622</v>
      </c>
      <c r="L21029">
        <v>0</v>
      </c>
      <c r="M21029">
        <v>2</v>
      </c>
      <c r="N21029">
        <v>3</v>
      </c>
    </row>
    <row r="21030" spans="1:15">
      <c r="A21030" t="s">
        <v>26216</v>
      </c>
      <c r="B21030" t="s">
        <v>367</v>
      </c>
      <c r="C21030" t="s">
        <v>60995</v>
      </c>
      <c r="D21030" t="s">
        <v>60997</v>
      </c>
      <c r="E21030" t="b">
        <v>0</v>
      </c>
      <c r="F21030" t="s">
        <v>11624</v>
      </c>
      <c r="G21030">
        <v>-9.1121700000000008</v>
      </c>
      <c r="H21030">
        <v>125.52800000000001</v>
      </c>
      <c r="I21030" t="s">
        <v>60998</v>
      </c>
      <c r="L21030">
        <v>0</v>
      </c>
      <c r="M21030">
        <v>0</v>
      </c>
      <c r="N21030">
        <v>3</v>
      </c>
      <c r="O21030" t="s">
        <v>11976</v>
      </c>
    </row>
    <row r="21031" spans="1:15">
      <c r="A21031" t="s">
        <v>60999</v>
      </c>
      <c r="B21031" t="s">
        <v>367</v>
      </c>
      <c r="C21031" t="s">
        <v>60995</v>
      </c>
      <c r="D21031" t="s">
        <v>61000</v>
      </c>
      <c r="E21031" t="b">
        <v>0</v>
      </c>
      <c r="F21031" t="s">
        <v>11624</v>
      </c>
      <c r="G21031">
        <v>-8.5840499999999995</v>
      </c>
      <c r="H21031">
        <v>125.583</v>
      </c>
      <c r="I21031" t="s">
        <v>61001</v>
      </c>
      <c r="L21031">
        <v>0</v>
      </c>
      <c r="M21031">
        <v>0</v>
      </c>
      <c r="N21031">
        <v>0</v>
      </c>
      <c r="O21031" t="s">
        <v>27765</v>
      </c>
    </row>
    <row r="21032" spans="1:15">
      <c r="A21032" t="s">
        <v>61002</v>
      </c>
      <c r="B21032" t="s">
        <v>367</v>
      </c>
      <c r="C21032" t="s">
        <v>60388</v>
      </c>
      <c r="D21032" t="s">
        <v>61003</v>
      </c>
      <c r="E21032" t="b">
        <v>0</v>
      </c>
      <c r="F21032" t="s">
        <v>11610</v>
      </c>
      <c r="L21032">
        <v>0</v>
      </c>
      <c r="M21032">
        <v>0</v>
      </c>
      <c r="N21032">
        <v>0</v>
      </c>
    </row>
    <row r="21033" spans="1:15">
      <c r="A21033" t="s">
        <v>61004</v>
      </c>
      <c r="B21033" t="s">
        <v>11912</v>
      </c>
      <c r="C21033" t="s">
        <v>34229</v>
      </c>
      <c r="D21033" t="s">
        <v>61005</v>
      </c>
      <c r="E21033" t="b">
        <v>0</v>
      </c>
      <c r="F21033" t="s">
        <v>11610</v>
      </c>
      <c r="L21033">
        <v>0</v>
      </c>
      <c r="M21033">
        <v>0</v>
      </c>
      <c r="N21033">
        <v>0</v>
      </c>
    </row>
    <row r="21034" spans="1:15">
      <c r="A21034" t="s">
        <v>61006</v>
      </c>
      <c r="B21034" t="s">
        <v>367</v>
      </c>
      <c r="C21034" t="s">
        <v>47745</v>
      </c>
      <c r="D21034" t="s">
        <v>61007</v>
      </c>
      <c r="E21034" t="b">
        <v>0</v>
      </c>
      <c r="F21034" t="s">
        <v>11624</v>
      </c>
      <c r="G21034">
        <v>-6.9708600000000001</v>
      </c>
      <c r="H21034">
        <v>129.14371800000001</v>
      </c>
      <c r="I21034" t="s">
        <v>61008</v>
      </c>
      <c r="L21034">
        <v>0</v>
      </c>
      <c r="M21034">
        <v>0</v>
      </c>
      <c r="N21034">
        <v>0</v>
      </c>
      <c r="O21034" t="s">
        <v>11768</v>
      </c>
    </row>
    <row r="21035" spans="1:15">
      <c r="A21035" t="s">
        <v>47745</v>
      </c>
      <c r="B21035" t="s">
        <v>367</v>
      </c>
      <c r="C21035" t="s">
        <v>26212</v>
      </c>
      <c r="D21035" t="s">
        <v>61009</v>
      </c>
      <c r="E21035" t="b">
        <v>0</v>
      </c>
      <c r="F21035" t="s">
        <v>11622</v>
      </c>
      <c r="L21035">
        <v>1</v>
      </c>
      <c r="M21035">
        <v>3</v>
      </c>
      <c r="N21035">
        <v>0</v>
      </c>
    </row>
    <row r="21036" spans="1:15">
      <c r="A21036" t="s">
        <v>61010</v>
      </c>
      <c r="B21036" t="s">
        <v>22849</v>
      </c>
      <c r="C21036" t="s">
        <v>23361</v>
      </c>
      <c r="D21036" t="s">
        <v>61011</v>
      </c>
      <c r="E21036" t="b">
        <v>0</v>
      </c>
      <c r="F21036" t="s">
        <v>11624</v>
      </c>
      <c r="G21036">
        <v>-43.187556000000001</v>
      </c>
      <c r="H21036">
        <v>-70.187989000000002</v>
      </c>
      <c r="L21036">
        <v>0</v>
      </c>
      <c r="M21036">
        <v>0</v>
      </c>
      <c r="N21036">
        <v>0</v>
      </c>
      <c r="O21036" t="s">
        <v>12895</v>
      </c>
    </row>
    <row r="21037" spans="1:15">
      <c r="A21037" t="s">
        <v>61012</v>
      </c>
      <c r="B21037" t="s">
        <v>11879</v>
      </c>
      <c r="C21037" t="s">
        <v>23595</v>
      </c>
      <c r="D21037" t="s">
        <v>61013</v>
      </c>
      <c r="E21037" t="b">
        <v>0</v>
      </c>
      <c r="F21037" t="s">
        <v>11624</v>
      </c>
      <c r="G21037">
        <v>17.902899999999999</v>
      </c>
      <c r="H21037">
        <v>-96.664500000000004</v>
      </c>
      <c r="I21037" t="s">
        <v>61014</v>
      </c>
      <c r="L21037">
        <v>0</v>
      </c>
      <c r="M21037">
        <v>0</v>
      </c>
      <c r="N21037">
        <v>0</v>
      </c>
      <c r="O21037" t="s">
        <v>11883</v>
      </c>
    </row>
    <row r="21038" spans="1:15">
      <c r="A21038" t="s">
        <v>61015</v>
      </c>
      <c r="B21038" t="s">
        <v>331</v>
      </c>
      <c r="C21038" t="s">
        <v>60338</v>
      </c>
      <c r="D21038" t="s">
        <v>61016</v>
      </c>
      <c r="E21038" t="b">
        <v>0</v>
      </c>
      <c r="F21038" t="s">
        <v>11610</v>
      </c>
      <c r="L21038">
        <v>0</v>
      </c>
      <c r="M21038">
        <v>0</v>
      </c>
      <c r="N21038">
        <v>0</v>
      </c>
    </row>
    <row r="21039" spans="1:15">
      <c r="A21039" t="s">
        <v>61017</v>
      </c>
      <c r="B21039" t="s">
        <v>367</v>
      </c>
      <c r="C21039" t="s">
        <v>44706</v>
      </c>
      <c r="D21039" t="s">
        <v>61018</v>
      </c>
      <c r="E21039" t="b">
        <v>0</v>
      </c>
      <c r="F21039" t="s">
        <v>11610</v>
      </c>
      <c r="L21039">
        <v>0</v>
      </c>
      <c r="M21039">
        <v>0</v>
      </c>
      <c r="N21039">
        <v>0</v>
      </c>
    </row>
    <row r="21040" spans="1:15">
      <c r="A21040" t="s">
        <v>46378</v>
      </c>
      <c r="B21040" t="s">
        <v>14571</v>
      </c>
      <c r="C21040" t="s">
        <v>11327</v>
      </c>
      <c r="D21040" t="s">
        <v>61019</v>
      </c>
      <c r="E21040" t="b">
        <v>0</v>
      </c>
      <c r="F21040" t="s">
        <v>11624</v>
      </c>
      <c r="G21040">
        <v>35.905299999999997</v>
      </c>
      <c r="H21040">
        <v>-106.124</v>
      </c>
      <c r="I21040" t="s">
        <v>61020</v>
      </c>
      <c r="L21040">
        <v>0</v>
      </c>
      <c r="M21040">
        <v>0</v>
      </c>
      <c r="N21040">
        <v>6</v>
      </c>
      <c r="O21040" t="s">
        <v>11944</v>
      </c>
    </row>
    <row r="21041" spans="1:15">
      <c r="A21041" t="s">
        <v>11327</v>
      </c>
      <c r="B21041" t="s">
        <v>14571</v>
      </c>
      <c r="C21041" t="s">
        <v>14571</v>
      </c>
      <c r="D21041" t="s">
        <v>61021</v>
      </c>
      <c r="E21041" t="b">
        <v>0</v>
      </c>
      <c r="F21041" t="s">
        <v>11622</v>
      </c>
      <c r="L21041">
        <v>0</v>
      </c>
      <c r="M21041">
        <v>2</v>
      </c>
      <c r="N21041">
        <v>7</v>
      </c>
    </row>
    <row r="21042" spans="1:15">
      <c r="A21042" t="s">
        <v>61022</v>
      </c>
      <c r="B21042" t="s">
        <v>6742</v>
      </c>
      <c r="C21042" t="s">
        <v>21945</v>
      </c>
      <c r="D21042" t="s">
        <v>61023</v>
      </c>
      <c r="E21042" t="b">
        <v>0</v>
      </c>
      <c r="F21042" t="s">
        <v>11624</v>
      </c>
      <c r="G21042">
        <v>-18.445900000000002</v>
      </c>
      <c r="H21042">
        <v>33.824599999999997</v>
      </c>
      <c r="I21042" t="s">
        <v>61024</v>
      </c>
      <c r="L21042">
        <v>0</v>
      </c>
      <c r="M21042">
        <v>0</v>
      </c>
      <c r="N21042">
        <v>0</v>
      </c>
      <c r="O21042" t="s">
        <v>17188</v>
      </c>
    </row>
    <row r="21043" spans="1:15">
      <c r="A21043" t="s">
        <v>61025</v>
      </c>
      <c r="B21043" t="s">
        <v>11637</v>
      </c>
      <c r="C21043" t="s">
        <v>13459</v>
      </c>
      <c r="D21043" t="s">
        <v>61026</v>
      </c>
      <c r="E21043" t="b">
        <v>0</v>
      </c>
      <c r="F21043" t="s">
        <v>11610</v>
      </c>
      <c r="L21043">
        <v>0</v>
      </c>
      <c r="M21043">
        <v>0</v>
      </c>
      <c r="N21043">
        <v>0</v>
      </c>
    </row>
    <row r="21044" spans="1:15">
      <c r="A21044" t="s">
        <v>61027</v>
      </c>
      <c r="B21044" t="s">
        <v>11879</v>
      </c>
      <c r="C21044" t="s">
        <v>26384</v>
      </c>
      <c r="D21044" t="s">
        <v>61028</v>
      </c>
      <c r="E21044" t="b">
        <v>0</v>
      </c>
      <c r="F21044" t="s">
        <v>11624</v>
      </c>
      <c r="G21044">
        <v>20.734200000000001</v>
      </c>
      <c r="H21044">
        <v>-98.266300000000001</v>
      </c>
      <c r="I21044" t="s">
        <v>61029</v>
      </c>
      <c r="L21044">
        <v>0</v>
      </c>
      <c r="M21044">
        <v>0</v>
      </c>
      <c r="N21044">
        <v>0</v>
      </c>
      <c r="O21044" t="s">
        <v>11883</v>
      </c>
    </row>
    <row r="21045" spans="1:15">
      <c r="A21045" t="s">
        <v>61030</v>
      </c>
      <c r="B21045" t="s">
        <v>15027</v>
      </c>
      <c r="C21045" t="s">
        <v>30079</v>
      </c>
      <c r="D21045" t="s">
        <v>61031</v>
      </c>
      <c r="E21045" t="b">
        <v>0</v>
      </c>
      <c r="F21045" t="s">
        <v>11624</v>
      </c>
      <c r="G21045">
        <v>17.892600000000002</v>
      </c>
      <c r="H21045">
        <v>-94.807599999999994</v>
      </c>
      <c r="I21045" t="s">
        <v>61032</v>
      </c>
      <c r="L21045">
        <v>0</v>
      </c>
      <c r="M21045">
        <v>0</v>
      </c>
      <c r="N21045">
        <v>0</v>
      </c>
      <c r="O21045" t="s">
        <v>11883</v>
      </c>
    </row>
    <row r="21046" spans="1:15">
      <c r="A21046" t="s">
        <v>61033</v>
      </c>
      <c r="B21046" t="s">
        <v>11879</v>
      </c>
      <c r="C21046" t="s">
        <v>27054</v>
      </c>
      <c r="D21046" t="s">
        <v>61034</v>
      </c>
      <c r="E21046" t="b">
        <v>0</v>
      </c>
      <c r="F21046" t="s">
        <v>11624</v>
      </c>
      <c r="G21046">
        <v>16.491969999999998</v>
      </c>
      <c r="H21046">
        <v>-97.089470000000006</v>
      </c>
      <c r="I21046" t="s">
        <v>61035</v>
      </c>
      <c r="L21046">
        <v>0</v>
      </c>
      <c r="M21046">
        <v>0</v>
      </c>
      <c r="N21046">
        <v>0</v>
      </c>
      <c r="O21046" t="s">
        <v>11883</v>
      </c>
    </row>
    <row r="21047" spans="1:15">
      <c r="A21047" t="s">
        <v>61036</v>
      </c>
      <c r="B21047" t="s">
        <v>11879</v>
      </c>
      <c r="C21047" t="s">
        <v>8183</v>
      </c>
      <c r="D21047" t="s">
        <v>61037</v>
      </c>
      <c r="E21047" t="b">
        <v>0</v>
      </c>
      <c r="F21047" t="s">
        <v>11624</v>
      </c>
      <c r="G21047">
        <v>17.615500000000001</v>
      </c>
      <c r="H21047">
        <v>-97.900199999999998</v>
      </c>
      <c r="I21047" t="s">
        <v>61038</v>
      </c>
      <c r="L21047">
        <v>0</v>
      </c>
      <c r="M21047">
        <v>0</v>
      </c>
      <c r="N21047">
        <v>2</v>
      </c>
      <c r="O21047" t="s">
        <v>11883</v>
      </c>
    </row>
    <row r="21048" spans="1:15">
      <c r="A21048" t="s">
        <v>61039</v>
      </c>
      <c r="B21048" t="s">
        <v>11879</v>
      </c>
      <c r="C21048" t="s">
        <v>61036</v>
      </c>
      <c r="D21048" t="s">
        <v>61040</v>
      </c>
      <c r="E21048" t="b">
        <v>0</v>
      </c>
      <c r="F21048" t="s">
        <v>11610</v>
      </c>
      <c r="L21048">
        <v>0</v>
      </c>
      <c r="M21048">
        <v>0</v>
      </c>
      <c r="N21048">
        <v>0</v>
      </c>
    </row>
    <row r="21049" spans="1:15">
      <c r="A21049" t="s">
        <v>61041</v>
      </c>
      <c r="B21049" t="s">
        <v>12686</v>
      </c>
      <c r="C21049" t="s">
        <v>36770</v>
      </c>
      <c r="D21049" t="s">
        <v>61042</v>
      </c>
      <c r="E21049" t="b">
        <v>0</v>
      </c>
      <c r="F21049" t="s">
        <v>11610</v>
      </c>
      <c r="L21049">
        <v>0</v>
      </c>
      <c r="M21049">
        <v>0</v>
      </c>
      <c r="N21049">
        <v>0</v>
      </c>
    </row>
    <row r="21050" spans="1:15">
      <c r="A21050" t="s">
        <v>61043</v>
      </c>
      <c r="B21050" t="s">
        <v>367</v>
      </c>
      <c r="C21050" t="s">
        <v>25465</v>
      </c>
      <c r="D21050" t="s">
        <v>61044</v>
      </c>
      <c r="E21050" t="b">
        <v>0</v>
      </c>
      <c r="F21050" t="s">
        <v>11610</v>
      </c>
      <c r="L21050">
        <v>0</v>
      </c>
      <c r="M21050">
        <v>0</v>
      </c>
      <c r="N21050">
        <v>0</v>
      </c>
    </row>
    <row r="21051" spans="1:15">
      <c r="A21051" t="s">
        <v>32508</v>
      </c>
      <c r="B21051" t="s">
        <v>11637</v>
      </c>
      <c r="C21051" t="s">
        <v>23078</v>
      </c>
      <c r="D21051" t="s">
        <v>61045</v>
      </c>
      <c r="E21051" t="b">
        <v>0</v>
      </c>
      <c r="F21051" t="s">
        <v>11622</v>
      </c>
      <c r="L21051">
        <v>7</v>
      </c>
      <c r="M21051">
        <v>9</v>
      </c>
      <c r="N21051">
        <v>24</v>
      </c>
    </row>
    <row r="21052" spans="1:15">
      <c r="A21052" t="s">
        <v>61046</v>
      </c>
      <c r="B21052" t="s">
        <v>6742</v>
      </c>
      <c r="C21052" t="s">
        <v>25727</v>
      </c>
      <c r="D21052" t="s">
        <v>61047</v>
      </c>
      <c r="E21052" t="b">
        <v>0</v>
      </c>
      <c r="F21052" t="s">
        <v>11624</v>
      </c>
      <c r="G21052">
        <v>9.2133800000000008</v>
      </c>
      <c r="H21052">
        <v>11.1751</v>
      </c>
      <c r="I21052" t="s">
        <v>61048</v>
      </c>
      <c r="L21052">
        <v>0</v>
      </c>
      <c r="M21052">
        <v>0</v>
      </c>
      <c r="N21052">
        <v>0</v>
      </c>
      <c r="O21052" t="s">
        <v>11693</v>
      </c>
    </row>
    <row r="21053" spans="1:15">
      <c r="A21053" t="s">
        <v>61049</v>
      </c>
      <c r="B21053" t="s">
        <v>11644</v>
      </c>
      <c r="C21053" t="s">
        <v>41123</v>
      </c>
      <c r="D21053" t="s">
        <v>61050</v>
      </c>
      <c r="E21053" t="b">
        <v>0</v>
      </c>
      <c r="F21053" t="s">
        <v>11610</v>
      </c>
      <c r="L21053">
        <v>0</v>
      </c>
      <c r="M21053">
        <v>0</v>
      </c>
      <c r="N21053">
        <v>0</v>
      </c>
    </row>
    <row r="21054" spans="1:15">
      <c r="A21054" t="s">
        <v>61051</v>
      </c>
      <c r="B21054" t="s">
        <v>11844</v>
      </c>
      <c r="C21054" t="s">
        <v>13088</v>
      </c>
      <c r="D21054" t="s">
        <v>61052</v>
      </c>
      <c r="E21054" t="b">
        <v>0</v>
      </c>
      <c r="F21054" t="s">
        <v>11624</v>
      </c>
      <c r="I21054" t="s">
        <v>61053</v>
      </c>
      <c r="L21054">
        <v>0</v>
      </c>
      <c r="M21054">
        <v>0</v>
      </c>
      <c r="N21054">
        <v>0</v>
      </c>
      <c r="O21054" t="s">
        <v>11630</v>
      </c>
    </row>
    <row r="21055" spans="1:15">
      <c r="A21055" t="s">
        <v>16039</v>
      </c>
      <c r="B21055" t="s">
        <v>11644</v>
      </c>
      <c r="C21055" t="s">
        <v>36159</v>
      </c>
      <c r="D21055" t="s">
        <v>61054</v>
      </c>
      <c r="E21055" t="b">
        <v>0</v>
      </c>
      <c r="F21055" t="s">
        <v>11624</v>
      </c>
      <c r="G21055">
        <v>24.096</v>
      </c>
      <c r="H21055">
        <v>93.721999999999994</v>
      </c>
      <c r="I21055" t="s">
        <v>61055</v>
      </c>
      <c r="L21055">
        <v>0</v>
      </c>
      <c r="M21055">
        <v>0</v>
      </c>
      <c r="N21055">
        <v>12</v>
      </c>
      <c r="O21055" t="s">
        <v>13598</v>
      </c>
    </row>
    <row r="21056" spans="1:15">
      <c r="A21056" t="s">
        <v>36159</v>
      </c>
      <c r="B21056" t="s">
        <v>11644</v>
      </c>
      <c r="C21056" t="s">
        <v>49014</v>
      </c>
      <c r="D21056" t="s">
        <v>61056</v>
      </c>
      <c r="E21056" t="b">
        <v>0</v>
      </c>
      <c r="F21056" t="s">
        <v>11622</v>
      </c>
      <c r="L21056">
        <v>0</v>
      </c>
      <c r="M21056">
        <v>6</v>
      </c>
      <c r="N21056">
        <v>22</v>
      </c>
    </row>
    <row r="21057" spans="1:15">
      <c r="A21057" t="s">
        <v>61057</v>
      </c>
      <c r="B21057" t="s">
        <v>6742</v>
      </c>
      <c r="C21057" t="s">
        <v>28707</v>
      </c>
      <c r="D21057" t="s">
        <v>61058</v>
      </c>
      <c r="E21057" t="b">
        <v>0</v>
      </c>
      <c r="F21057" t="s">
        <v>11610</v>
      </c>
      <c r="L21057">
        <v>0</v>
      </c>
      <c r="M21057">
        <v>0</v>
      </c>
      <c r="N21057">
        <v>0</v>
      </c>
    </row>
    <row r="21058" spans="1:15">
      <c r="A21058" t="s">
        <v>61059</v>
      </c>
      <c r="B21058" t="s">
        <v>11981</v>
      </c>
      <c r="C21058" t="s">
        <v>13456</v>
      </c>
      <c r="D21058" t="s">
        <v>61060</v>
      </c>
      <c r="E21058" t="b">
        <v>0</v>
      </c>
      <c r="F21058" t="s">
        <v>11624</v>
      </c>
      <c r="G21058">
        <v>13.7837</v>
      </c>
      <c r="H21058">
        <v>100.44499999999999</v>
      </c>
      <c r="I21058" t="s">
        <v>61061</v>
      </c>
      <c r="L21058">
        <v>0</v>
      </c>
      <c r="M21058">
        <v>0</v>
      </c>
      <c r="N21058">
        <v>0</v>
      </c>
      <c r="O21058" t="s">
        <v>16739</v>
      </c>
    </row>
    <row r="21059" spans="1:15">
      <c r="A21059" t="s">
        <v>61062</v>
      </c>
      <c r="B21059" t="s">
        <v>5126</v>
      </c>
      <c r="C21059" t="s">
        <v>18955</v>
      </c>
      <c r="D21059" t="s">
        <v>61063</v>
      </c>
      <c r="E21059" t="b">
        <v>0</v>
      </c>
      <c r="F21059" t="s">
        <v>11624</v>
      </c>
      <c r="G21059">
        <v>13.2136</v>
      </c>
      <c r="H21059">
        <v>99.865099999999998</v>
      </c>
      <c r="I21059" t="s">
        <v>61064</v>
      </c>
      <c r="L21059">
        <v>0</v>
      </c>
      <c r="M21059">
        <v>0</v>
      </c>
      <c r="N21059">
        <v>0</v>
      </c>
      <c r="O21059" t="s">
        <v>16739</v>
      </c>
    </row>
    <row r="21060" spans="1:15">
      <c r="A21060" t="s">
        <v>61065</v>
      </c>
      <c r="B21060" t="s">
        <v>5126</v>
      </c>
      <c r="C21060" t="s">
        <v>58195</v>
      </c>
      <c r="D21060" t="s">
        <v>61066</v>
      </c>
      <c r="E21060" t="b">
        <v>0</v>
      </c>
      <c r="F21060" t="s">
        <v>11610</v>
      </c>
      <c r="L21060">
        <v>0</v>
      </c>
      <c r="M21060">
        <v>0</v>
      </c>
      <c r="N21060">
        <v>0</v>
      </c>
    </row>
    <row r="21061" spans="1:15">
      <c r="A21061" t="s">
        <v>5127</v>
      </c>
      <c r="B21061" t="s">
        <v>5126</v>
      </c>
      <c r="C21061" t="s">
        <v>39410</v>
      </c>
      <c r="D21061" t="s">
        <v>61067</v>
      </c>
      <c r="E21061" t="b">
        <v>0</v>
      </c>
      <c r="F21061" t="s">
        <v>11624</v>
      </c>
      <c r="G21061">
        <v>14.192</v>
      </c>
      <c r="H21061">
        <v>100.67100000000001</v>
      </c>
      <c r="I21061" t="s">
        <v>61068</v>
      </c>
      <c r="L21061">
        <v>0</v>
      </c>
      <c r="M21061">
        <v>0</v>
      </c>
      <c r="N21061">
        <v>1</v>
      </c>
      <c r="O21061" t="s">
        <v>61069</v>
      </c>
    </row>
    <row r="21062" spans="1:15">
      <c r="A21062" t="s">
        <v>61070</v>
      </c>
      <c r="B21062" t="s">
        <v>11637</v>
      </c>
      <c r="C21062" t="s">
        <v>12270</v>
      </c>
      <c r="D21062" t="s">
        <v>61071</v>
      </c>
      <c r="E21062" t="b">
        <v>0</v>
      </c>
      <c r="F21062" t="s">
        <v>11610</v>
      </c>
      <c r="L21062">
        <v>0</v>
      </c>
      <c r="M21062">
        <v>0</v>
      </c>
      <c r="N21062">
        <v>0</v>
      </c>
    </row>
    <row r="21063" spans="1:15">
      <c r="A21063" t="s">
        <v>22252</v>
      </c>
      <c r="B21063" t="s">
        <v>11644</v>
      </c>
      <c r="C21063" t="s">
        <v>30256</v>
      </c>
      <c r="D21063" t="s">
        <v>61072</v>
      </c>
      <c r="E21063" t="b">
        <v>0</v>
      </c>
      <c r="F21063" t="s">
        <v>11622</v>
      </c>
      <c r="L21063">
        <v>0</v>
      </c>
      <c r="M21063">
        <v>2</v>
      </c>
      <c r="N21063">
        <v>3</v>
      </c>
    </row>
    <row r="21064" spans="1:15">
      <c r="A21064" t="s">
        <v>149</v>
      </c>
      <c r="B21064" t="s">
        <v>11644</v>
      </c>
      <c r="C21064" t="s">
        <v>22252</v>
      </c>
      <c r="D21064" t="s">
        <v>147</v>
      </c>
      <c r="E21064" t="b">
        <v>0</v>
      </c>
      <c r="F21064" t="s">
        <v>11624</v>
      </c>
      <c r="G21064">
        <v>28.7014</v>
      </c>
      <c r="H21064">
        <v>83.646600000000007</v>
      </c>
      <c r="I21064" t="s">
        <v>61073</v>
      </c>
      <c r="L21064">
        <v>0</v>
      </c>
      <c r="M21064">
        <v>0</v>
      </c>
      <c r="N21064">
        <v>3</v>
      </c>
      <c r="O21064" t="s">
        <v>15007</v>
      </c>
    </row>
    <row r="21065" spans="1:15">
      <c r="A21065" t="s">
        <v>61074</v>
      </c>
      <c r="B21065" t="s">
        <v>11637</v>
      </c>
      <c r="C21065" t="s">
        <v>15898</v>
      </c>
      <c r="D21065" t="s">
        <v>61075</v>
      </c>
      <c r="E21065" t="b">
        <v>0</v>
      </c>
      <c r="F21065" t="s">
        <v>11610</v>
      </c>
      <c r="L21065">
        <v>0</v>
      </c>
      <c r="M21065">
        <v>0</v>
      </c>
      <c r="N21065">
        <v>0</v>
      </c>
    </row>
    <row r="21066" spans="1:15">
      <c r="A21066" t="s">
        <v>61076</v>
      </c>
      <c r="B21066" t="s">
        <v>11637</v>
      </c>
      <c r="C21066" t="s">
        <v>24208</v>
      </c>
      <c r="D21066" t="s">
        <v>61077</v>
      </c>
      <c r="E21066" t="b">
        <v>0</v>
      </c>
      <c r="F21066" t="s">
        <v>11610</v>
      </c>
      <c r="L21066">
        <v>0</v>
      </c>
      <c r="M21066">
        <v>0</v>
      </c>
      <c r="N21066">
        <v>0</v>
      </c>
    </row>
    <row r="21067" spans="1:15">
      <c r="A21067" t="s">
        <v>20467</v>
      </c>
      <c r="B21067" t="s">
        <v>10597</v>
      </c>
      <c r="C21067" t="s">
        <v>17610</v>
      </c>
      <c r="D21067" t="s">
        <v>61078</v>
      </c>
      <c r="E21067" t="b">
        <v>0</v>
      </c>
      <c r="F21067" t="s">
        <v>11622</v>
      </c>
      <c r="L21067">
        <v>0</v>
      </c>
      <c r="M21067">
        <v>2</v>
      </c>
      <c r="N21067">
        <v>0</v>
      </c>
    </row>
    <row r="21068" spans="1:15">
      <c r="A21068" t="s">
        <v>61079</v>
      </c>
      <c r="B21068" t="s">
        <v>12438</v>
      </c>
      <c r="C21068" t="s">
        <v>14105</v>
      </c>
      <c r="D21068" t="s">
        <v>61080</v>
      </c>
      <c r="E21068" t="b">
        <v>0</v>
      </c>
      <c r="F21068" t="s">
        <v>11610</v>
      </c>
      <c r="L21068">
        <v>0</v>
      </c>
      <c r="M21068">
        <v>0</v>
      </c>
      <c r="N21068">
        <v>0</v>
      </c>
    </row>
    <row r="21069" spans="1:15">
      <c r="A21069" t="s">
        <v>61081</v>
      </c>
      <c r="B21069" t="s">
        <v>11644</v>
      </c>
      <c r="C21069" t="s">
        <v>42843</v>
      </c>
      <c r="D21069" t="s">
        <v>61082</v>
      </c>
      <c r="E21069" t="b">
        <v>0</v>
      </c>
      <c r="F21069" t="s">
        <v>11624</v>
      </c>
      <c r="G21069">
        <v>25.347200000000001</v>
      </c>
      <c r="H21069">
        <v>93.839600000000004</v>
      </c>
      <c r="I21069" t="s">
        <v>61083</v>
      </c>
      <c r="L21069">
        <v>0</v>
      </c>
      <c r="M21069">
        <v>0</v>
      </c>
      <c r="N21069">
        <v>0</v>
      </c>
      <c r="O21069" t="s">
        <v>11630</v>
      </c>
    </row>
    <row r="21070" spans="1:15">
      <c r="A21070" t="s">
        <v>61084</v>
      </c>
      <c r="B21070" t="s">
        <v>11644</v>
      </c>
      <c r="C21070" t="s">
        <v>16039</v>
      </c>
      <c r="D21070" t="s">
        <v>61085</v>
      </c>
      <c r="E21070" t="b">
        <v>0</v>
      </c>
      <c r="F21070" t="s">
        <v>11610</v>
      </c>
      <c r="L21070">
        <v>0</v>
      </c>
      <c r="M21070">
        <v>0</v>
      </c>
      <c r="N21070">
        <v>0</v>
      </c>
    </row>
    <row r="21071" spans="1:15">
      <c r="A21071" t="s">
        <v>61086</v>
      </c>
      <c r="B21071" t="s">
        <v>11644</v>
      </c>
      <c r="C21071" t="s">
        <v>36207</v>
      </c>
      <c r="D21071" t="s">
        <v>61087</v>
      </c>
      <c r="E21071" t="b">
        <v>0</v>
      </c>
      <c r="F21071" t="s">
        <v>11610</v>
      </c>
      <c r="L21071">
        <v>0</v>
      </c>
      <c r="M21071">
        <v>0</v>
      </c>
      <c r="N21071">
        <v>0</v>
      </c>
    </row>
    <row r="21072" spans="1:15">
      <c r="A21072" t="s">
        <v>16896</v>
      </c>
      <c r="B21072" t="s">
        <v>11644</v>
      </c>
      <c r="C21072" t="s">
        <v>47091</v>
      </c>
      <c r="D21072" t="s">
        <v>61088</v>
      </c>
      <c r="E21072" t="b">
        <v>0</v>
      </c>
      <c r="F21072" t="s">
        <v>11622</v>
      </c>
      <c r="L21072">
        <v>0</v>
      </c>
      <c r="M21072">
        <v>2</v>
      </c>
      <c r="N21072">
        <v>3</v>
      </c>
    </row>
    <row r="21073" spans="1:15">
      <c r="A21073" t="s">
        <v>25974</v>
      </c>
      <c r="B21073" t="s">
        <v>11644</v>
      </c>
      <c r="C21073" t="s">
        <v>16896</v>
      </c>
      <c r="D21073" t="s">
        <v>61089</v>
      </c>
      <c r="E21073" t="b">
        <v>0</v>
      </c>
      <c r="F21073" t="s">
        <v>11624</v>
      </c>
      <c r="G21073">
        <v>28.755400000000002</v>
      </c>
      <c r="H21073">
        <v>85.765699999999995</v>
      </c>
      <c r="I21073" t="s">
        <v>61090</v>
      </c>
      <c r="L21073">
        <v>0</v>
      </c>
      <c r="M21073">
        <v>0</v>
      </c>
      <c r="N21073">
        <v>3</v>
      </c>
      <c r="O21073" t="s">
        <v>25762</v>
      </c>
    </row>
    <row r="21074" spans="1:15">
      <c r="A21074" t="s">
        <v>19840</v>
      </c>
      <c r="B21074" t="s">
        <v>367</v>
      </c>
      <c r="C21074" t="s">
        <v>21632</v>
      </c>
      <c r="D21074" t="s">
        <v>61091</v>
      </c>
      <c r="E21074" t="b">
        <v>0</v>
      </c>
      <c r="F21074" t="s">
        <v>11624</v>
      </c>
      <c r="G21074">
        <v>23.833300000000001</v>
      </c>
      <c r="H21074">
        <v>120.93</v>
      </c>
      <c r="I21074" t="s">
        <v>61092</v>
      </c>
      <c r="L21074">
        <v>0</v>
      </c>
      <c r="M21074">
        <v>0</v>
      </c>
      <c r="N21074">
        <v>3</v>
      </c>
      <c r="O21074" t="s">
        <v>13484</v>
      </c>
    </row>
    <row r="21075" spans="1:15">
      <c r="A21075" t="s">
        <v>61093</v>
      </c>
      <c r="B21075" t="s">
        <v>11637</v>
      </c>
      <c r="C21075" t="s">
        <v>30819</v>
      </c>
      <c r="D21075" t="s">
        <v>61094</v>
      </c>
      <c r="E21075" t="b">
        <v>0</v>
      </c>
      <c r="F21075" t="s">
        <v>11610</v>
      </c>
      <c r="L21075">
        <v>0</v>
      </c>
      <c r="M21075">
        <v>0</v>
      </c>
      <c r="N21075">
        <v>0</v>
      </c>
    </row>
    <row r="21076" spans="1:15">
      <c r="A21076" t="s">
        <v>61095</v>
      </c>
      <c r="B21076" t="s">
        <v>11637</v>
      </c>
      <c r="C21076" t="s">
        <v>30819</v>
      </c>
      <c r="D21076" t="s">
        <v>61096</v>
      </c>
      <c r="E21076" t="b">
        <v>0</v>
      </c>
      <c r="F21076" t="s">
        <v>11610</v>
      </c>
      <c r="L21076">
        <v>0</v>
      </c>
      <c r="M21076">
        <v>0</v>
      </c>
      <c r="N21076">
        <v>0</v>
      </c>
    </row>
    <row r="21077" spans="1:15">
      <c r="A21077" t="s">
        <v>61097</v>
      </c>
      <c r="B21077" t="s">
        <v>11637</v>
      </c>
      <c r="C21077" t="s">
        <v>187</v>
      </c>
      <c r="D21077" t="s">
        <v>61098</v>
      </c>
      <c r="E21077" t="b">
        <v>0</v>
      </c>
      <c r="F21077" t="s">
        <v>11610</v>
      </c>
      <c r="L21077">
        <v>0</v>
      </c>
      <c r="M21077">
        <v>0</v>
      </c>
      <c r="N21077">
        <v>0</v>
      </c>
    </row>
    <row r="21078" spans="1:15">
      <c r="A21078" t="s">
        <v>61099</v>
      </c>
      <c r="B21078" t="s">
        <v>11637</v>
      </c>
      <c r="C21078" t="s">
        <v>15309</v>
      </c>
      <c r="D21078" t="s">
        <v>61100</v>
      </c>
      <c r="E21078" t="b">
        <v>0</v>
      </c>
      <c r="F21078" t="s">
        <v>11610</v>
      </c>
      <c r="L21078">
        <v>0</v>
      </c>
      <c r="M21078">
        <v>0</v>
      </c>
      <c r="N21078">
        <v>0</v>
      </c>
    </row>
    <row r="21079" spans="1:15">
      <c r="A21079" t="s">
        <v>61101</v>
      </c>
      <c r="B21079" t="s">
        <v>11637</v>
      </c>
      <c r="C21079" t="s">
        <v>7239</v>
      </c>
      <c r="D21079" t="s">
        <v>61102</v>
      </c>
      <c r="E21079" t="b">
        <v>0</v>
      </c>
      <c r="F21079" t="s">
        <v>11610</v>
      </c>
      <c r="L21079">
        <v>0</v>
      </c>
      <c r="M21079">
        <v>0</v>
      </c>
      <c r="N21079">
        <v>0</v>
      </c>
    </row>
    <row r="21080" spans="1:15">
      <c r="A21080" t="s">
        <v>61103</v>
      </c>
      <c r="B21080" t="s">
        <v>11637</v>
      </c>
      <c r="C21080" t="s">
        <v>7239</v>
      </c>
      <c r="D21080" t="s">
        <v>61104</v>
      </c>
      <c r="E21080" t="b">
        <v>0</v>
      </c>
      <c r="F21080" t="s">
        <v>11610</v>
      </c>
      <c r="L21080">
        <v>0</v>
      </c>
      <c r="M21080">
        <v>0</v>
      </c>
      <c r="N21080">
        <v>0</v>
      </c>
    </row>
    <row r="21081" spans="1:15">
      <c r="A21081" t="s">
        <v>28707</v>
      </c>
      <c r="B21081" t="s">
        <v>6742</v>
      </c>
      <c r="C21081" t="s">
        <v>22937</v>
      </c>
      <c r="D21081" t="s">
        <v>61105</v>
      </c>
      <c r="E21081" t="b">
        <v>0</v>
      </c>
      <c r="F21081" t="s">
        <v>11624</v>
      </c>
      <c r="G21081">
        <v>-0.13220999999999999</v>
      </c>
      <c r="H21081">
        <v>38.073</v>
      </c>
      <c r="I21081" t="s">
        <v>61106</v>
      </c>
      <c r="L21081">
        <v>0</v>
      </c>
      <c r="M21081">
        <v>0</v>
      </c>
      <c r="N21081">
        <v>4</v>
      </c>
      <c r="O21081" t="s">
        <v>22848</v>
      </c>
    </row>
    <row r="21082" spans="1:15">
      <c r="A21082" t="s">
        <v>25877</v>
      </c>
      <c r="B21082" t="s">
        <v>11637</v>
      </c>
      <c r="C21082" t="s">
        <v>18493</v>
      </c>
      <c r="D21082" t="s">
        <v>61107</v>
      </c>
      <c r="E21082" t="b">
        <v>0</v>
      </c>
      <c r="F21082" t="s">
        <v>11622</v>
      </c>
      <c r="L21082">
        <v>3</v>
      </c>
      <c r="M21082">
        <v>9</v>
      </c>
      <c r="N21082">
        <v>17</v>
      </c>
    </row>
    <row r="21083" spans="1:15">
      <c r="A21083" t="s">
        <v>61108</v>
      </c>
      <c r="B21083" t="s">
        <v>11607</v>
      </c>
      <c r="C21083" t="s">
        <v>14863</v>
      </c>
      <c r="D21083" t="s">
        <v>61109</v>
      </c>
      <c r="E21083" t="b">
        <v>0</v>
      </c>
      <c r="F21083" t="s">
        <v>11610</v>
      </c>
      <c r="L21083">
        <v>0</v>
      </c>
      <c r="M21083">
        <v>0</v>
      </c>
      <c r="N21083">
        <v>0</v>
      </c>
    </row>
    <row r="21084" spans="1:15">
      <c r="A21084" t="s">
        <v>20205</v>
      </c>
      <c r="B21084" t="s">
        <v>10597</v>
      </c>
      <c r="C21084" t="s">
        <v>47271</v>
      </c>
      <c r="D21084" t="s">
        <v>61110</v>
      </c>
      <c r="E21084" t="b">
        <v>0</v>
      </c>
      <c r="F21084" t="s">
        <v>11622</v>
      </c>
      <c r="L21084">
        <v>0</v>
      </c>
      <c r="M21084">
        <v>2</v>
      </c>
      <c r="N21084">
        <v>0</v>
      </c>
    </row>
    <row r="21085" spans="1:15">
      <c r="A21085" t="s">
        <v>61111</v>
      </c>
      <c r="B21085" t="s">
        <v>11644</v>
      </c>
      <c r="C21085" t="s">
        <v>14775</v>
      </c>
      <c r="D21085" t="s">
        <v>61112</v>
      </c>
      <c r="E21085" t="b">
        <v>0</v>
      </c>
      <c r="F21085" t="s">
        <v>11610</v>
      </c>
      <c r="L21085">
        <v>0</v>
      </c>
      <c r="M21085">
        <v>0</v>
      </c>
      <c r="N21085">
        <v>0</v>
      </c>
    </row>
    <row r="21086" spans="1:15">
      <c r="A21086" t="s">
        <v>61113</v>
      </c>
      <c r="B21086" t="s">
        <v>10597</v>
      </c>
      <c r="C21086" t="s">
        <v>12317</v>
      </c>
      <c r="D21086" t="s">
        <v>61114</v>
      </c>
      <c r="E21086" t="b">
        <v>0</v>
      </c>
      <c r="F21086" t="s">
        <v>11624</v>
      </c>
      <c r="G21086">
        <v>-14.8292</v>
      </c>
      <c r="H21086">
        <v>143.32400000000001</v>
      </c>
      <c r="I21086" t="s">
        <v>61115</v>
      </c>
      <c r="L21086">
        <v>0</v>
      </c>
      <c r="M21086">
        <v>0</v>
      </c>
      <c r="N21086">
        <v>0</v>
      </c>
      <c r="O21086" t="s">
        <v>12107</v>
      </c>
    </row>
    <row r="21087" spans="1:15">
      <c r="A21087" t="s">
        <v>61116</v>
      </c>
      <c r="B21087" t="s">
        <v>10597</v>
      </c>
      <c r="C21087" t="s">
        <v>38513</v>
      </c>
      <c r="D21087" t="s">
        <v>61117</v>
      </c>
      <c r="E21087" t="b">
        <v>0</v>
      </c>
      <c r="F21087" t="s">
        <v>11624</v>
      </c>
      <c r="G21087">
        <v>-14.815899999999999</v>
      </c>
      <c r="H21087">
        <v>142.03399999999999</v>
      </c>
      <c r="I21087" t="s">
        <v>61118</v>
      </c>
      <c r="L21087">
        <v>0</v>
      </c>
      <c r="M21087">
        <v>0</v>
      </c>
      <c r="N21087">
        <v>0</v>
      </c>
      <c r="O21087" t="s">
        <v>12107</v>
      </c>
    </row>
    <row r="21088" spans="1:15">
      <c r="A21088" t="s">
        <v>12317</v>
      </c>
      <c r="B21088" t="s">
        <v>10597</v>
      </c>
      <c r="C21088" t="s">
        <v>12967</v>
      </c>
      <c r="D21088" t="s">
        <v>61119</v>
      </c>
      <c r="E21088" t="b">
        <v>0</v>
      </c>
      <c r="F21088" t="s">
        <v>11622</v>
      </c>
      <c r="L21088">
        <v>0</v>
      </c>
      <c r="M21088">
        <v>2</v>
      </c>
      <c r="N21088">
        <v>0</v>
      </c>
    </row>
    <row r="21089" spans="1:15">
      <c r="A21089" t="s">
        <v>33202</v>
      </c>
      <c r="B21089" t="s">
        <v>11644</v>
      </c>
      <c r="C21089" t="s">
        <v>22747</v>
      </c>
      <c r="D21089" t="s">
        <v>61120</v>
      </c>
      <c r="E21089" t="b">
        <v>0</v>
      </c>
      <c r="F21089" t="s">
        <v>11622</v>
      </c>
      <c r="L21089">
        <v>0</v>
      </c>
      <c r="M21089">
        <v>2</v>
      </c>
      <c r="N21089">
        <v>0</v>
      </c>
    </row>
    <row r="21090" spans="1:15">
      <c r="A21090" t="s">
        <v>61121</v>
      </c>
      <c r="B21090" t="s">
        <v>12438</v>
      </c>
      <c r="C21090" t="s">
        <v>50811</v>
      </c>
      <c r="D21090" t="s">
        <v>61122</v>
      </c>
      <c r="E21090" t="b">
        <v>0</v>
      </c>
      <c r="F21090" t="s">
        <v>11624</v>
      </c>
      <c r="L21090">
        <v>0</v>
      </c>
      <c r="M21090">
        <v>0</v>
      </c>
      <c r="N21090">
        <v>0</v>
      </c>
      <c r="O21090" t="s">
        <v>12921</v>
      </c>
    </row>
    <row r="21091" spans="1:15">
      <c r="A21091" t="s">
        <v>61123</v>
      </c>
      <c r="B21091" t="s">
        <v>11627</v>
      </c>
      <c r="C21091" t="s">
        <v>11627</v>
      </c>
      <c r="D21091" t="s">
        <v>61124</v>
      </c>
      <c r="E21091" t="b">
        <v>1</v>
      </c>
      <c r="F21091" t="s">
        <v>11624</v>
      </c>
      <c r="G21091">
        <v>14.673299999999999</v>
      </c>
      <c r="H21091">
        <v>106.667</v>
      </c>
      <c r="I21091" t="s">
        <v>61125</v>
      </c>
      <c r="L21091">
        <v>0</v>
      </c>
      <c r="M21091">
        <v>0</v>
      </c>
      <c r="N21091">
        <v>0</v>
      </c>
      <c r="O21091" t="s">
        <v>12921</v>
      </c>
    </row>
    <row r="21092" spans="1:15">
      <c r="A21092" t="s">
        <v>61126</v>
      </c>
      <c r="B21092" t="s">
        <v>6742</v>
      </c>
      <c r="C21092" t="s">
        <v>1906</v>
      </c>
      <c r="D21092" t="s">
        <v>61127</v>
      </c>
      <c r="E21092" t="b">
        <v>0</v>
      </c>
      <c r="F21092" t="s">
        <v>11610</v>
      </c>
      <c r="L21092">
        <v>0</v>
      </c>
      <c r="M21092">
        <v>0</v>
      </c>
      <c r="N21092">
        <v>0</v>
      </c>
    </row>
    <row r="21093" spans="1:15">
      <c r="A21093" t="s">
        <v>61128</v>
      </c>
      <c r="B21093" t="s">
        <v>11644</v>
      </c>
      <c r="C21093" t="s">
        <v>14549</v>
      </c>
      <c r="D21093" t="s">
        <v>61129</v>
      </c>
      <c r="E21093" t="b">
        <v>0</v>
      </c>
      <c r="F21093" t="s">
        <v>11610</v>
      </c>
      <c r="L21093">
        <v>0</v>
      </c>
      <c r="M21093">
        <v>0</v>
      </c>
      <c r="N21093">
        <v>0</v>
      </c>
    </row>
    <row r="21094" spans="1:15">
      <c r="A21094" t="s">
        <v>42770</v>
      </c>
      <c r="B21094" t="s">
        <v>5126</v>
      </c>
      <c r="C21094" t="s">
        <v>34653</v>
      </c>
      <c r="D21094" t="s">
        <v>61130</v>
      </c>
      <c r="E21094" t="b">
        <v>0</v>
      </c>
      <c r="F21094" t="s">
        <v>11622</v>
      </c>
      <c r="L21094">
        <v>3</v>
      </c>
      <c r="M21094">
        <v>6</v>
      </c>
      <c r="N21094">
        <v>13</v>
      </c>
    </row>
    <row r="21095" spans="1:15">
      <c r="A21095" t="s">
        <v>61131</v>
      </c>
      <c r="B21095" t="s">
        <v>11757</v>
      </c>
      <c r="C21095" t="s">
        <v>945</v>
      </c>
      <c r="D21095" t="s">
        <v>61132</v>
      </c>
      <c r="E21095" t="b">
        <v>0</v>
      </c>
      <c r="F21095" t="s">
        <v>11610</v>
      </c>
      <c r="L21095">
        <v>0</v>
      </c>
      <c r="M21095">
        <v>0</v>
      </c>
      <c r="N21095">
        <v>0</v>
      </c>
    </row>
    <row r="21096" spans="1:15">
      <c r="A21096" t="s">
        <v>61133</v>
      </c>
      <c r="B21096" t="s">
        <v>10597</v>
      </c>
      <c r="C21096" t="s">
        <v>25029</v>
      </c>
      <c r="D21096" t="s">
        <v>61134</v>
      </c>
      <c r="E21096" t="b">
        <v>0</v>
      </c>
      <c r="F21096" t="s">
        <v>11624</v>
      </c>
      <c r="I21096" t="s">
        <v>61135</v>
      </c>
      <c r="L21096">
        <v>0</v>
      </c>
      <c r="M21096">
        <v>0</v>
      </c>
      <c r="N21096">
        <v>0</v>
      </c>
      <c r="O21096" t="s">
        <v>12107</v>
      </c>
    </row>
    <row r="21097" spans="1:15">
      <c r="A21097" t="s">
        <v>61136</v>
      </c>
      <c r="B21097" t="s">
        <v>6742</v>
      </c>
      <c r="C21097" t="s">
        <v>1745</v>
      </c>
      <c r="D21097" t="s">
        <v>61137</v>
      </c>
      <c r="E21097" t="b">
        <v>0</v>
      </c>
      <c r="F21097" t="s">
        <v>11610</v>
      </c>
      <c r="L21097">
        <v>0</v>
      </c>
      <c r="M21097">
        <v>0</v>
      </c>
      <c r="N21097">
        <v>0</v>
      </c>
    </row>
    <row r="21098" spans="1:15">
      <c r="A21098" t="s">
        <v>61138</v>
      </c>
      <c r="B21098" t="s">
        <v>11757</v>
      </c>
      <c r="C21098" t="s">
        <v>945</v>
      </c>
      <c r="D21098" t="s">
        <v>61139</v>
      </c>
      <c r="E21098" t="b">
        <v>0</v>
      </c>
      <c r="F21098" t="s">
        <v>11610</v>
      </c>
      <c r="L21098">
        <v>0</v>
      </c>
      <c r="M21098">
        <v>0</v>
      </c>
      <c r="N21098">
        <v>0</v>
      </c>
    </row>
    <row r="21099" spans="1:15">
      <c r="A21099" t="s">
        <v>61140</v>
      </c>
      <c r="B21099" t="s">
        <v>11757</v>
      </c>
      <c r="C21099" t="s">
        <v>6594</v>
      </c>
      <c r="D21099" t="s">
        <v>61141</v>
      </c>
      <c r="E21099" t="b">
        <v>0</v>
      </c>
      <c r="F21099" t="s">
        <v>11610</v>
      </c>
      <c r="L21099">
        <v>0</v>
      </c>
      <c r="M21099">
        <v>0</v>
      </c>
      <c r="N21099">
        <v>0</v>
      </c>
    </row>
    <row r="21100" spans="1:15">
      <c r="A21100" t="s">
        <v>61142</v>
      </c>
      <c r="B21100" t="s">
        <v>9071</v>
      </c>
      <c r="C21100" t="s">
        <v>40175</v>
      </c>
      <c r="D21100" t="s">
        <v>61143</v>
      </c>
      <c r="E21100" t="b">
        <v>0</v>
      </c>
      <c r="F21100" t="s">
        <v>11624</v>
      </c>
      <c r="G21100">
        <v>50.166800000000002</v>
      </c>
      <c r="H21100">
        <v>-120.193</v>
      </c>
      <c r="I21100" t="s">
        <v>61144</v>
      </c>
      <c r="L21100">
        <v>0</v>
      </c>
      <c r="M21100">
        <v>0</v>
      </c>
      <c r="N21100">
        <v>0</v>
      </c>
      <c r="O21100" t="s">
        <v>13049</v>
      </c>
    </row>
    <row r="21101" spans="1:15">
      <c r="A21101" t="s">
        <v>23636</v>
      </c>
      <c r="B21101" t="s">
        <v>12438</v>
      </c>
      <c r="C21101" t="s">
        <v>23633</v>
      </c>
      <c r="D21101" t="s">
        <v>61145</v>
      </c>
      <c r="E21101" t="b">
        <v>0</v>
      </c>
      <c r="F21101" t="s">
        <v>11624</v>
      </c>
      <c r="G21101">
        <v>19.356300000000001</v>
      </c>
      <c r="H21101">
        <v>105.363</v>
      </c>
      <c r="I21101" t="s">
        <v>61146</v>
      </c>
      <c r="L21101">
        <v>0</v>
      </c>
      <c r="M21101">
        <v>0</v>
      </c>
      <c r="N21101">
        <v>2</v>
      </c>
      <c r="O21101" t="s">
        <v>15949</v>
      </c>
    </row>
    <row r="21102" spans="1:15">
      <c r="A21102" t="s">
        <v>23402</v>
      </c>
      <c r="B21102" t="s">
        <v>11644</v>
      </c>
      <c r="C21102" t="s">
        <v>38956</v>
      </c>
      <c r="D21102" t="s">
        <v>61147</v>
      </c>
      <c r="E21102" t="b">
        <v>0</v>
      </c>
      <c r="F21102" t="s">
        <v>11622</v>
      </c>
      <c r="L21102">
        <v>4</v>
      </c>
      <c r="M21102">
        <v>7</v>
      </c>
      <c r="N21102">
        <v>0</v>
      </c>
    </row>
    <row r="21103" spans="1:15">
      <c r="A21103" t="s">
        <v>61148</v>
      </c>
      <c r="B21103" t="s">
        <v>11644</v>
      </c>
      <c r="C21103" t="s">
        <v>23402</v>
      </c>
      <c r="D21103" t="s">
        <v>61149</v>
      </c>
      <c r="E21103" t="b">
        <v>0</v>
      </c>
      <c r="F21103" t="s">
        <v>11624</v>
      </c>
      <c r="G21103">
        <v>24.15</v>
      </c>
      <c r="H21103">
        <v>104.9</v>
      </c>
      <c r="I21103" t="s">
        <v>61150</v>
      </c>
      <c r="L21103">
        <v>0</v>
      </c>
      <c r="M21103">
        <v>0</v>
      </c>
      <c r="N21103">
        <v>0</v>
      </c>
      <c r="O21103" t="s">
        <v>11905</v>
      </c>
    </row>
    <row r="21104" spans="1:15">
      <c r="A21104" t="s">
        <v>61151</v>
      </c>
      <c r="B21104" t="s">
        <v>11637</v>
      </c>
      <c r="C21104" t="s">
        <v>27303</v>
      </c>
      <c r="D21104" t="s">
        <v>61152</v>
      </c>
      <c r="E21104" t="b">
        <v>0</v>
      </c>
      <c r="F21104" t="s">
        <v>11610</v>
      </c>
      <c r="L21104">
        <v>0</v>
      </c>
      <c r="M21104">
        <v>0</v>
      </c>
      <c r="N21104">
        <v>0</v>
      </c>
    </row>
    <row r="21105" spans="1:15">
      <c r="A21105" t="s">
        <v>61153</v>
      </c>
      <c r="B21105" t="s">
        <v>11637</v>
      </c>
      <c r="C21105" t="s">
        <v>14694</v>
      </c>
      <c r="D21105" t="s">
        <v>61154</v>
      </c>
      <c r="E21105" t="b">
        <v>0</v>
      </c>
      <c r="F21105" t="s">
        <v>11610</v>
      </c>
      <c r="L21105">
        <v>0</v>
      </c>
      <c r="M21105">
        <v>0</v>
      </c>
      <c r="N21105">
        <v>0</v>
      </c>
    </row>
    <row r="21106" spans="1:15">
      <c r="A21106" t="s">
        <v>9385</v>
      </c>
      <c r="B21106" t="s">
        <v>11637</v>
      </c>
      <c r="C21106" t="s">
        <v>11637</v>
      </c>
      <c r="D21106" t="s">
        <v>61155</v>
      </c>
      <c r="E21106" t="b">
        <v>0</v>
      </c>
      <c r="F21106" t="s">
        <v>11624</v>
      </c>
      <c r="G21106">
        <v>42.115468999999997</v>
      </c>
      <c r="H21106">
        <v>24.711977000000001</v>
      </c>
      <c r="I21106" t="s">
        <v>9386</v>
      </c>
      <c r="L21106">
        <v>0</v>
      </c>
      <c r="M21106">
        <v>0</v>
      </c>
      <c r="N21106">
        <v>0</v>
      </c>
      <c r="O21106" t="s">
        <v>20228</v>
      </c>
    </row>
    <row r="21107" spans="1:15">
      <c r="A21107" t="s">
        <v>13260</v>
      </c>
      <c r="B21107" t="s">
        <v>367</v>
      </c>
      <c r="C21107" t="s">
        <v>35607</v>
      </c>
      <c r="D21107" t="s">
        <v>61156</v>
      </c>
      <c r="E21107" t="b">
        <v>0</v>
      </c>
      <c r="F21107" t="s">
        <v>11622</v>
      </c>
      <c r="L21107">
        <v>3</v>
      </c>
      <c r="M21107">
        <v>8</v>
      </c>
      <c r="N21107">
        <v>12</v>
      </c>
    </row>
    <row r="21108" spans="1:15">
      <c r="A21108" t="s">
        <v>61157</v>
      </c>
      <c r="B21108" t="s">
        <v>367</v>
      </c>
      <c r="C21108" t="s">
        <v>33694</v>
      </c>
      <c r="D21108" t="s">
        <v>61158</v>
      </c>
      <c r="E21108" t="b">
        <v>0</v>
      </c>
      <c r="F21108" t="s">
        <v>11610</v>
      </c>
      <c r="L21108">
        <v>0</v>
      </c>
      <c r="M21108">
        <v>0</v>
      </c>
      <c r="N21108">
        <v>0</v>
      </c>
    </row>
    <row r="21109" spans="1:15">
      <c r="A21109" t="s">
        <v>61159</v>
      </c>
      <c r="B21109" t="s">
        <v>11627</v>
      </c>
      <c r="C21109" t="s">
        <v>11627</v>
      </c>
      <c r="D21109" t="s">
        <v>61160</v>
      </c>
      <c r="E21109" t="b">
        <v>1</v>
      </c>
      <c r="F21109" t="s">
        <v>11624</v>
      </c>
      <c r="G21109">
        <v>27.767800000000001</v>
      </c>
      <c r="H21109">
        <v>87.618899999999996</v>
      </c>
      <c r="I21109" t="s">
        <v>61161</v>
      </c>
      <c r="L21109">
        <v>0</v>
      </c>
      <c r="M21109">
        <v>0</v>
      </c>
      <c r="N21109">
        <v>0</v>
      </c>
      <c r="O21109" t="s">
        <v>16899</v>
      </c>
    </row>
    <row r="21110" spans="1:15">
      <c r="A21110" t="s">
        <v>61162</v>
      </c>
      <c r="B21110" t="s">
        <v>11644</v>
      </c>
      <c r="C21110" t="s">
        <v>30645</v>
      </c>
      <c r="D21110" t="s">
        <v>61163</v>
      </c>
      <c r="E21110" t="b">
        <v>0</v>
      </c>
      <c r="F21110" t="s">
        <v>11610</v>
      </c>
      <c r="L21110">
        <v>0</v>
      </c>
      <c r="M21110">
        <v>0</v>
      </c>
      <c r="N21110">
        <v>0</v>
      </c>
    </row>
    <row r="21111" spans="1:15">
      <c r="A21111" t="s">
        <v>61164</v>
      </c>
      <c r="B21111" t="s">
        <v>11644</v>
      </c>
      <c r="C21111" t="s">
        <v>36760</v>
      </c>
      <c r="D21111" t="s">
        <v>61165</v>
      </c>
      <c r="E21111" t="b">
        <v>0</v>
      </c>
      <c r="F21111" t="s">
        <v>11610</v>
      </c>
      <c r="L21111">
        <v>0</v>
      </c>
      <c r="M21111">
        <v>0</v>
      </c>
      <c r="N21111">
        <v>0</v>
      </c>
    </row>
    <row r="21112" spans="1:15">
      <c r="A21112" t="s">
        <v>21429</v>
      </c>
      <c r="B21112" t="s">
        <v>11644</v>
      </c>
      <c r="C21112" t="s">
        <v>22351</v>
      </c>
      <c r="D21112" t="s">
        <v>61166</v>
      </c>
      <c r="E21112" t="b">
        <v>0</v>
      </c>
      <c r="F21112" t="s">
        <v>11624</v>
      </c>
      <c r="G21112">
        <v>27.538900000000002</v>
      </c>
      <c r="H21112">
        <v>87.606300000000005</v>
      </c>
      <c r="I21112" t="s">
        <v>61167</v>
      </c>
      <c r="L21112">
        <v>0</v>
      </c>
      <c r="M21112">
        <v>0</v>
      </c>
      <c r="N21112">
        <v>5</v>
      </c>
      <c r="O21112" t="s">
        <v>12524</v>
      </c>
    </row>
    <row r="21113" spans="1:15">
      <c r="A21113" t="s">
        <v>61168</v>
      </c>
      <c r="B21113" t="s">
        <v>11627</v>
      </c>
      <c r="C21113" t="s">
        <v>11627</v>
      </c>
      <c r="D21113" t="s">
        <v>61169</v>
      </c>
      <c r="E21113" t="b">
        <v>1</v>
      </c>
      <c r="F21113" t="s">
        <v>11624</v>
      </c>
      <c r="G21113">
        <v>22.752800000000001</v>
      </c>
      <c r="H21113">
        <v>104.251</v>
      </c>
      <c r="I21113" t="s">
        <v>61170</v>
      </c>
      <c r="L21113">
        <v>0</v>
      </c>
      <c r="M21113">
        <v>0</v>
      </c>
      <c r="N21113">
        <v>0</v>
      </c>
      <c r="O21113" t="s">
        <v>15949</v>
      </c>
    </row>
    <row r="21114" spans="1:15">
      <c r="A21114" t="s">
        <v>22040</v>
      </c>
      <c r="B21114" t="s">
        <v>11637</v>
      </c>
      <c r="C21114" t="s">
        <v>31087</v>
      </c>
      <c r="D21114" t="s">
        <v>61171</v>
      </c>
      <c r="E21114" t="b">
        <v>0</v>
      </c>
      <c r="F21114" t="s">
        <v>11610</v>
      </c>
      <c r="L21114">
        <v>0</v>
      </c>
      <c r="M21114">
        <v>0</v>
      </c>
      <c r="N21114">
        <v>7</v>
      </c>
    </row>
    <row r="21115" spans="1:15">
      <c r="A21115" t="s">
        <v>23422</v>
      </c>
      <c r="B21115" t="s">
        <v>10597</v>
      </c>
      <c r="C21115" t="s">
        <v>14332</v>
      </c>
      <c r="D21115" t="s">
        <v>61172</v>
      </c>
      <c r="E21115" t="b">
        <v>0</v>
      </c>
      <c r="F21115" t="s">
        <v>11622</v>
      </c>
      <c r="L21115">
        <v>4</v>
      </c>
      <c r="M21115">
        <v>9</v>
      </c>
      <c r="N21115">
        <v>2</v>
      </c>
    </row>
    <row r="21116" spans="1:15">
      <c r="A21116" t="s">
        <v>61173</v>
      </c>
      <c r="B21116" t="s">
        <v>10597</v>
      </c>
      <c r="C21116" t="s">
        <v>24685</v>
      </c>
      <c r="D21116" t="s">
        <v>61174</v>
      </c>
      <c r="E21116" t="b">
        <v>0</v>
      </c>
      <c r="F21116" t="s">
        <v>11624</v>
      </c>
      <c r="G21116">
        <v>-35.285299999999999</v>
      </c>
      <c r="H21116">
        <v>147.47499999999999</v>
      </c>
      <c r="I21116" t="s">
        <v>61175</v>
      </c>
      <c r="L21116">
        <v>0</v>
      </c>
      <c r="M21116">
        <v>0</v>
      </c>
      <c r="N21116">
        <v>1</v>
      </c>
      <c r="O21116" t="s">
        <v>12107</v>
      </c>
    </row>
    <row r="21117" spans="1:15">
      <c r="A21117" t="s">
        <v>19042</v>
      </c>
      <c r="B21117" t="s">
        <v>11757</v>
      </c>
      <c r="C21117" t="s">
        <v>14032</v>
      </c>
      <c r="D21117" t="s">
        <v>61176</v>
      </c>
      <c r="E21117" t="b">
        <v>0</v>
      </c>
      <c r="F21117" t="s">
        <v>11624</v>
      </c>
      <c r="G21117">
        <v>8.7256699999999991</v>
      </c>
      <c r="H21117">
        <v>26.485800000000001</v>
      </c>
      <c r="I21117" t="s">
        <v>61177</v>
      </c>
      <c r="L21117">
        <v>0</v>
      </c>
      <c r="M21117">
        <v>0</v>
      </c>
      <c r="N21117">
        <v>3</v>
      </c>
      <c r="O21117" t="s">
        <v>11910</v>
      </c>
    </row>
    <row r="21118" spans="1:15">
      <c r="A21118" t="s">
        <v>61178</v>
      </c>
      <c r="B21118" t="s">
        <v>6742</v>
      </c>
      <c r="C21118" t="s">
        <v>30048</v>
      </c>
      <c r="D21118" t="s">
        <v>61179</v>
      </c>
      <c r="E21118" t="b">
        <v>0</v>
      </c>
      <c r="F21118" t="s">
        <v>11610</v>
      </c>
      <c r="L21118">
        <v>0</v>
      </c>
      <c r="M21118">
        <v>0</v>
      </c>
      <c r="N21118">
        <v>0</v>
      </c>
    </row>
    <row r="21119" spans="1:15">
      <c r="A21119" t="s">
        <v>61180</v>
      </c>
      <c r="B21119" t="s">
        <v>6742</v>
      </c>
      <c r="C21119" t="s">
        <v>12594</v>
      </c>
      <c r="D21119" t="s">
        <v>61181</v>
      </c>
      <c r="E21119" t="b">
        <v>0</v>
      </c>
      <c r="F21119" t="s">
        <v>11624</v>
      </c>
      <c r="G21119">
        <v>5.2802199999999999</v>
      </c>
      <c r="H21119">
        <v>-4.6235200000000001</v>
      </c>
      <c r="I21119" t="s">
        <v>61182</v>
      </c>
      <c r="L21119">
        <v>0</v>
      </c>
      <c r="M21119">
        <v>0</v>
      </c>
      <c r="N21119">
        <v>0</v>
      </c>
      <c r="O21119" t="s">
        <v>11735</v>
      </c>
    </row>
    <row r="21120" spans="1:15">
      <c r="A21120" t="s">
        <v>61183</v>
      </c>
      <c r="B21120" t="s">
        <v>367</v>
      </c>
      <c r="C21120" t="s">
        <v>44127</v>
      </c>
      <c r="D21120" t="s">
        <v>61184</v>
      </c>
      <c r="E21120" t="b">
        <v>0</v>
      </c>
      <c r="F21120" t="s">
        <v>11624</v>
      </c>
      <c r="G21120">
        <v>-15.2334</v>
      </c>
      <c r="H21120">
        <v>166.84200000000001</v>
      </c>
      <c r="I21120" t="s">
        <v>61185</v>
      </c>
      <c r="L21120">
        <v>0</v>
      </c>
      <c r="M21120">
        <v>0</v>
      </c>
      <c r="N21120">
        <v>0</v>
      </c>
      <c r="O21120" t="s">
        <v>12719</v>
      </c>
    </row>
    <row r="21121" spans="1:15">
      <c r="A21121" t="s">
        <v>61186</v>
      </c>
      <c r="B21121" t="s">
        <v>367</v>
      </c>
      <c r="C21121" t="s">
        <v>40040</v>
      </c>
      <c r="D21121" t="s">
        <v>61187</v>
      </c>
      <c r="E21121" t="b">
        <v>0</v>
      </c>
      <c r="F21121" t="s">
        <v>11610</v>
      </c>
      <c r="L21121">
        <v>0</v>
      </c>
      <c r="M21121">
        <v>0</v>
      </c>
      <c r="N21121">
        <v>0</v>
      </c>
    </row>
    <row r="21122" spans="1:15">
      <c r="A21122" t="s">
        <v>44127</v>
      </c>
      <c r="B21122" t="s">
        <v>367</v>
      </c>
      <c r="C21122" t="s">
        <v>21883</v>
      </c>
      <c r="D21122" t="s">
        <v>61188</v>
      </c>
      <c r="E21122" t="b">
        <v>0</v>
      </c>
      <c r="F21122" t="s">
        <v>11622</v>
      </c>
      <c r="L21122">
        <v>0</v>
      </c>
      <c r="M21122">
        <v>3</v>
      </c>
      <c r="N21122">
        <v>1</v>
      </c>
    </row>
    <row r="21123" spans="1:15">
      <c r="A21123" t="s">
        <v>61189</v>
      </c>
      <c r="B21123" t="s">
        <v>367</v>
      </c>
      <c r="C21123" t="s">
        <v>35075</v>
      </c>
      <c r="D21123" t="s">
        <v>61190</v>
      </c>
      <c r="E21123" t="b">
        <v>0</v>
      </c>
      <c r="F21123" t="s">
        <v>11624</v>
      </c>
      <c r="G21123">
        <v>-2.95505</v>
      </c>
      <c r="H21123">
        <v>150.935</v>
      </c>
      <c r="I21123" t="s">
        <v>61191</v>
      </c>
      <c r="L21123">
        <v>0</v>
      </c>
      <c r="M21123">
        <v>0</v>
      </c>
      <c r="N21123">
        <v>0</v>
      </c>
      <c r="O21123" t="s">
        <v>11660</v>
      </c>
    </row>
    <row r="21124" spans="1:15">
      <c r="A21124" t="s">
        <v>61192</v>
      </c>
      <c r="B21124" t="s">
        <v>11644</v>
      </c>
      <c r="C21124" t="s">
        <v>33518</v>
      </c>
      <c r="D21124" t="s">
        <v>61193</v>
      </c>
      <c r="E21124" t="b">
        <v>0</v>
      </c>
      <c r="F21124" t="s">
        <v>11610</v>
      </c>
      <c r="G21124">
        <v>39.186072000000003</v>
      </c>
      <c r="H21124">
        <v>117.215424</v>
      </c>
      <c r="L21124">
        <v>0</v>
      </c>
      <c r="M21124">
        <v>0</v>
      </c>
      <c r="N21124">
        <v>0</v>
      </c>
    </row>
    <row r="21125" spans="1:15">
      <c r="A21125" t="s">
        <v>31789</v>
      </c>
      <c r="B21125" t="s">
        <v>11644</v>
      </c>
      <c r="C21125" t="s">
        <v>49144</v>
      </c>
      <c r="D21125" t="s">
        <v>61194</v>
      </c>
      <c r="E21125" t="b">
        <v>0</v>
      </c>
      <c r="F21125" t="s">
        <v>11610</v>
      </c>
      <c r="L21125">
        <v>0</v>
      </c>
      <c r="M21125">
        <v>0</v>
      </c>
      <c r="N21125">
        <v>2</v>
      </c>
    </row>
    <row r="21126" spans="1:15">
      <c r="A21126" t="s">
        <v>61195</v>
      </c>
      <c r="B21126" t="s">
        <v>6742</v>
      </c>
      <c r="C21126" t="s">
        <v>39290</v>
      </c>
      <c r="D21126" t="s">
        <v>61196</v>
      </c>
      <c r="E21126" t="b">
        <v>0</v>
      </c>
      <c r="F21126" t="s">
        <v>11610</v>
      </c>
      <c r="L21126">
        <v>0</v>
      </c>
      <c r="M21126">
        <v>0</v>
      </c>
      <c r="N21126">
        <v>0</v>
      </c>
    </row>
    <row r="21127" spans="1:15">
      <c r="A21127" t="s">
        <v>61197</v>
      </c>
      <c r="B21127" t="s">
        <v>11615</v>
      </c>
      <c r="C21127" t="s">
        <v>19991</v>
      </c>
      <c r="D21127" t="s">
        <v>61198</v>
      </c>
      <c r="E21127" t="b">
        <v>0</v>
      </c>
      <c r="F21127" t="s">
        <v>11610</v>
      </c>
      <c r="L21127">
        <v>0</v>
      </c>
      <c r="M21127">
        <v>0</v>
      </c>
      <c r="N21127">
        <v>0</v>
      </c>
    </row>
    <row r="21128" spans="1:15">
      <c r="A21128" t="s">
        <v>61199</v>
      </c>
      <c r="B21128" t="s">
        <v>11839</v>
      </c>
      <c r="C21128" t="s">
        <v>34534</v>
      </c>
      <c r="D21128" t="s">
        <v>61200</v>
      </c>
      <c r="E21128" t="b">
        <v>0</v>
      </c>
      <c r="F21128" t="s">
        <v>11610</v>
      </c>
      <c r="L21128">
        <v>0</v>
      </c>
      <c r="M21128">
        <v>0</v>
      </c>
      <c r="N21128">
        <v>0</v>
      </c>
    </row>
    <row r="21129" spans="1:15">
      <c r="A21129" t="s">
        <v>25263</v>
      </c>
      <c r="B21129" t="s">
        <v>6742</v>
      </c>
      <c r="C21129" t="s">
        <v>23898</v>
      </c>
      <c r="D21129" t="s">
        <v>61201</v>
      </c>
      <c r="E21129" t="b">
        <v>0</v>
      </c>
      <c r="F21129" t="s">
        <v>11622</v>
      </c>
      <c r="L21129">
        <v>0</v>
      </c>
      <c r="M21129">
        <v>2</v>
      </c>
      <c r="N21129">
        <v>0</v>
      </c>
    </row>
    <row r="21130" spans="1:15">
      <c r="A21130" t="s">
        <v>24314</v>
      </c>
      <c r="B21130" t="s">
        <v>11644</v>
      </c>
      <c r="C21130" t="s">
        <v>22024</v>
      </c>
      <c r="D21130" t="s">
        <v>61202</v>
      </c>
      <c r="E21130" t="b">
        <v>0</v>
      </c>
      <c r="F21130" t="s">
        <v>11624</v>
      </c>
      <c r="G21130">
        <v>28.368099999999998</v>
      </c>
      <c r="H21130">
        <v>90.187200000000004</v>
      </c>
      <c r="I21130" t="s">
        <v>61203</v>
      </c>
      <c r="L21130">
        <v>0</v>
      </c>
      <c r="M21130">
        <v>0</v>
      </c>
      <c r="N21130">
        <v>16</v>
      </c>
      <c r="O21130" t="s">
        <v>25762</v>
      </c>
    </row>
    <row r="21131" spans="1:15">
      <c r="A21131" t="s">
        <v>61204</v>
      </c>
      <c r="B21131" t="s">
        <v>6742</v>
      </c>
      <c r="C21131" t="s">
        <v>15782</v>
      </c>
      <c r="D21131" t="s">
        <v>61205</v>
      </c>
      <c r="E21131" t="b">
        <v>0</v>
      </c>
      <c r="F21131" t="s">
        <v>11624</v>
      </c>
      <c r="G21131">
        <v>5.3053499999999998</v>
      </c>
      <c r="H21131">
        <v>11.3103</v>
      </c>
      <c r="I21131" t="s">
        <v>61206</v>
      </c>
      <c r="L21131">
        <v>0</v>
      </c>
      <c r="M21131">
        <v>0</v>
      </c>
      <c r="N21131">
        <v>0</v>
      </c>
      <c r="O21131" t="s">
        <v>11703</v>
      </c>
    </row>
    <row r="21132" spans="1:15">
      <c r="A21132" t="s">
        <v>26611</v>
      </c>
      <c r="B21132" t="s">
        <v>11644</v>
      </c>
      <c r="C21132" t="s">
        <v>19052</v>
      </c>
      <c r="D21132" t="s">
        <v>61207</v>
      </c>
      <c r="E21132" t="b">
        <v>0</v>
      </c>
      <c r="F21132" t="s">
        <v>11622</v>
      </c>
      <c r="L21132">
        <v>10</v>
      </c>
      <c r="M21132">
        <v>15</v>
      </c>
      <c r="N21132">
        <v>9</v>
      </c>
    </row>
    <row r="21133" spans="1:15">
      <c r="A21133" t="s">
        <v>13423</v>
      </c>
      <c r="B21133" t="s">
        <v>11644</v>
      </c>
      <c r="C21133" t="s">
        <v>23119</v>
      </c>
      <c r="D21133" t="s">
        <v>61208</v>
      </c>
      <c r="E21133" t="b">
        <v>0</v>
      </c>
      <c r="F21133" t="s">
        <v>11622</v>
      </c>
      <c r="L21133">
        <v>17</v>
      </c>
      <c r="M21133">
        <v>37</v>
      </c>
      <c r="N21133">
        <v>89</v>
      </c>
    </row>
    <row r="21134" spans="1:15">
      <c r="A21134" t="s">
        <v>61209</v>
      </c>
      <c r="B21134" t="s">
        <v>11981</v>
      </c>
      <c r="C21134" t="s">
        <v>12200</v>
      </c>
      <c r="D21134" t="s">
        <v>61210</v>
      </c>
      <c r="E21134" t="b">
        <v>0</v>
      </c>
      <c r="F21134" t="s">
        <v>11624</v>
      </c>
      <c r="G21134">
        <v>29.651803000000001</v>
      </c>
      <c r="H21134">
        <v>91.157981000000007</v>
      </c>
      <c r="L21134">
        <v>0</v>
      </c>
      <c r="M21134">
        <v>0</v>
      </c>
      <c r="N21134">
        <v>0</v>
      </c>
      <c r="O21134" t="s">
        <v>11905</v>
      </c>
    </row>
    <row r="21135" spans="1:15">
      <c r="A21135" t="s">
        <v>61211</v>
      </c>
      <c r="B21135" t="s">
        <v>367</v>
      </c>
      <c r="C21135" t="s">
        <v>18414</v>
      </c>
      <c r="D21135" t="s">
        <v>61212</v>
      </c>
      <c r="E21135" t="b">
        <v>0</v>
      </c>
      <c r="F21135" t="s">
        <v>11610</v>
      </c>
      <c r="L21135">
        <v>0</v>
      </c>
      <c r="M21135">
        <v>0</v>
      </c>
      <c r="N21135">
        <v>0</v>
      </c>
    </row>
    <row r="21136" spans="1:15">
      <c r="A21136" t="s">
        <v>61213</v>
      </c>
      <c r="B21136" t="s">
        <v>13276</v>
      </c>
      <c r="C21136" t="s">
        <v>33388</v>
      </c>
      <c r="D21136" t="s">
        <v>61214</v>
      </c>
      <c r="E21136" t="b">
        <v>0</v>
      </c>
      <c r="F21136" t="s">
        <v>11622</v>
      </c>
      <c r="L21136">
        <v>0</v>
      </c>
      <c r="M21136">
        <v>2</v>
      </c>
      <c r="N21136">
        <v>0</v>
      </c>
    </row>
    <row r="21137" spans="1:15">
      <c r="A21137" t="s">
        <v>51296</v>
      </c>
      <c r="B21137" t="s">
        <v>11615</v>
      </c>
      <c r="C21137" t="s">
        <v>13250</v>
      </c>
      <c r="D21137" t="s">
        <v>61215</v>
      </c>
      <c r="E21137" t="b">
        <v>0</v>
      </c>
      <c r="F21137" t="s">
        <v>11622</v>
      </c>
      <c r="L21137">
        <v>2</v>
      </c>
      <c r="M21137">
        <v>6</v>
      </c>
      <c r="N21137">
        <v>5</v>
      </c>
    </row>
    <row r="21138" spans="1:15">
      <c r="A21138" t="s">
        <v>37656</v>
      </c>
      <c r="B21138" t="s">
        <v>11615</v>
      </c>
      <c r="C21138" t="s">
        <v>51296</v>
      </c>
      <c r="D21138" t="s">
        <v>61216</v>
      </c>
      <c r="E21138" t="b">
        <v>0</v>
      </c>
      <c r="F21138" t="s">
        <v>11622</v>
      </c>
      <c r="L21138">
        <v>0</v>
      </c>
      <c r="M21138">
        <v>4</v>
      </c>
      <c r="N21138">
        <v>5</v>
      </c>
    </row>
    <row r="21139" spans="1:15">
      <c r="A21139" t="s">
        <v>61217</v>
      </c>
      <c r="B21139" t="s">
        <v>11644</v>
      </c>
      <c r="C21139" t="s">
        <v>25164</v>
      </c>
      <c r="D21139" t="s">
        <v>61218</v>
      </c>
      <c r="E21139" t="b">
        <v>0</v>
      </c>
      <c r="F21139" t="s">
        <v>11624</v>
      </c>
      <c r="G21139">
        <v>28.950600000000001</v>
      </c>
      <c r="H21139">
        <v>83.467200000000005</v>
      </c>
      <c r="I21139" t="s">
        <v>61219</v>
      </c>
      <c r="L21139">
        <v>0</v>
      </c>
      <c r="M21139">
        <v>0</v>
      </c>
      <c r="N21139">
        <v>0</v>
      </c>
      <c r="O21139" t="s">
        <v>15007</v>
      </c>
    </row>
    <row r="21140" spans="1:15">
      <c r="A21140" t="s">
        <v>61220</v>
      </c>
      <c r="B21140" t="s">
        <v>11637</v>
      </c>
      <c r="C21140" t="s">
        <v>13136</v>
      </c>
      <c r="D21140" t="s">
        <v>61221</v>
      </c>
      <c r="E21140" t="b">
        <v>0</v>
      </c>
      <c r="F21140" t="s">
        <v>11610</v>
      </c>
      <c r="L21140">
        <v>0</v>
      </c>
      <c r="M21140">
        <v>0</v>
      </c>
      <c r="N21140">
        <v>0</v>
      </c>
    </row>
    <row r="21141" spans="1:15">
      <c r="A21141" t="s">
        <v>33805</v>
      </c>
      <c r="D21141" t="s">
        <v>61222</v>
      </c>
      <c r="E21141" t="b">
        <v>0</v>
      </c>
      <c r="F21141" t="s">
        <v>11622</v>
      </c>
      <c r="L21141">
        <v>0</v>
      </c>
      <c r="M21141">
        <v>2</v>
      </c>
      <c r="N21141">
        <v>0</v>
      </c>
    </row>
    <row r="21142" spans="1:15">
      <c r="A21142" t="s">
        <v>61223</v>
      </c>
      <c r="B21142" t="s">
        <v>33805</v>
      </c>
      <c r="C21142" t="s">
        <v>33805</v>
      </c>
      <c r="D21142" t="s">
        <v>61224</v>
      </c>
      <c r="E21142" t="b">
        <v>0</v>
      </c>
      <c r="F21142" t="s">
        <v>11624</v>
      </c>
      <c r="G21142">
        <v>-3.66289</v>
      </c>
      <c r="H21142">
        <v>-69.872299999999996</v>
      </c>
      <c r="I21142" t="s">
        <v>61225</v>
      </c>
      <c r="L21142">
        <v>0</v>
      </c>
      <c r="M21142">
        <v>0</v>
      </c>
      <c r="N21142">
        <v>0</v>
      </c>
      <c r="O21142" t="s">
        <v>19573</v>
      </c>
    </row>
    <row r="21143" spans="1:15">
      <c r="A21143" t="s">
        <v>61226</v>
      </c>
      <c r="B21143" t="s">
        <v>11879</v>
      </c>
      <c r="C21143" t="s">
        <v>23202</v>
      </c>
      <c r="D21143" t="s">
        <v>61227</v>
      </c>
      <c r="E21143" t="b">
        <v>0</v>
      </c>
      <c r="F21143" t="s">
        <v>11624</v>
      </c>
      <c r="G21143">
        <v>17.414200000000001</v>
      </c>
      <c r="H21143">
        <v>-97.333299999999994</v>
      </c>
      <c r="I21143" t="s">
        <v>61228</v>
      </c>
      <c r="L21143">
        <v>0</v>
      </c>
      <c r="M21143">
        <v>0</v>
      </c>
      <c r="N21143">
        <v>0</v>
      </c>
      <c r="O21143" t="s">
        <v>11883</v>
      </c>
    </row>
    <row r="21144" spans="1:15">
      <c r="A21144" t="s">
        <v>61229</v>
      </c>
      <c r="B21144" t="s">
        <v>11607</v>
      </c>
      <c r="C21144" t="s">
        <v>45490</v>
      </c>
      <c r="D21144" t="s">
        <v>61230</v>
      </c>
      <c r="E21144" t="b">
        <v>0</v>
      </c>
      <c r="F21144" t="s">
        <v>11624</v>
      </c>
      <c r="G21144">
        <v>27.018999999999998</v>
      </c>
      <c r="H21144">
        <v>1.8621799999999999</v>
      </c>
      <c r="I21144" t="s">
        <v>61231</v>
      </c>
      <c r="L21144">
        <v>0</v>
      </c>
      <c r="M21144">
        <v>0</v>
      </c>
      <c r="N21144">
        <v>2</v>
      </c>
      <c r="O21144" t="s">
        <v>13029</v>
      </c>
    </row>
    <row r="21145" spans="1:15">
      <c r="A21145" t="s">
        <v>61232</v>
      </c>
      <c r="B21145" t="s">
        <v>11607</v>
      </c>
      <c r="C21145" t="s">
        <v>61229</v>
      </c>
      <c r="D21145" t="s">
        <v>61233</v>
      </c>
      <c r="E21145" t="b">
        <v>0</v>
      </c>
      <c r="F21145" t="s">
        <v>11610</v>
      </c>
      <c r="L21145">
        <v>0</v>
      </c>
      <c r="M21145">
        <v>0</v>
      </c>
      <c r="N21145">
        <v>0</v>
      </c>
    </row>
    <row r="21146" spans="1:15">
      <c r="A21146" t="s">
        <v>61234</v>
      </c>
      <c r="B21146" t="s">
        <v>12133</v>
      </c>
      <c r="C21146" t="s">
        <v>60941</v>
      </c>
      <c r="D21146" t="s">
        <v>61235</v>
      </c>
      <c r="E21146" t="b">
        <v>0</v>
      </c>
      <c r="F21146" t="s">
        <v>11624</v>
      </c>
      <c r="G21146">
        <v>2.461E-2</v>
      </c>
      <c r="H21146">
        <v>127.746</v>
      </c>
      <c r="I21146" t="s">
        <v>61236</v>
      </c>
      <c r="L21146">
        <v>0</v>
      </c>
      <c r="M21146">
        <v>0</v>
      </c>
      <c r="N21146">
        <v>0</v>
      </c>
      <c r="O21146" t="s">
        <v>11768</v>
      </c>
    </row>
    <row r="21147" spans="1:15">
      <c r="A21147" t="s">
        <v>20539</v>
      </c>
      <c r="B21147" t="s">
        <v>367</v>
      </c>
      <c r="C21147" t="s">
        <v>59266</v>
      </c>
      <c r="D21147" t="s">
        <v>61237</v>
      </c>
      <c r="E21147" t="b">
        <v>0</v>
      </c>
      <c r="F21147" t="s">
        <v>11622</v>
      </c>
      <c r="L21147">
        <v>1</v>
      </c>
      <c r="M21147">
        <v>3</v>
      </c>
      <c r="N21147">
        <v>8</v>
      </c>
    </row>
    <row r="21148" spans="1:15">
      <c r="A21148" t="s">
        <v>49123</v>
      </c>
      <c r="B21148" t="s">
        <v>367</v>
      </c>
      <c r="C21148" t="s">
        <v>20539</v>
      </c>
      <c r="D21148" t="s">
        <v>61238</v>
      </c>
      <c r="E21148" t="b">
        <v>0</v>
      </c>
      <c r="F21148" t="s">
        <v>11622</v>
      </c>
      <c r="G21148">
        <v>3.9379550000000001</v>
      </c>
      <c r="H21148">
        <v>117.55143</v>
      </c>
      <c r="I21148" t="s">
        <v>61239</v>
      </c>
      <c r="L21148">
        <v>0</v>
      </c>
      <c r="M21148">
        <v>2</v>
      </c>
      <c r="N21148">
        <v>8</v>
      </c>
      <c r="O21148" t="s">
        <v>16728</v>
      </c>
    </row>
    <row r="21149" spans="1:15">
      <c r="A21149" t="s">
        <v>61240</v>
      </c>
      <c r="B21149" t="s">
        <v>11729</v>
      </c>
      <c r="C21149" t="s">
        <v>16669</v>
      </c>
      <c r="D21149" t="s">
        <v>61241</v>
      </c>
      <c r="E21149" t="b">
        <v>0</v>
      </c>
      <c r="F21149" t="s">
        <v>11610</v>
      </c>
      <c r="L21149">
        <v>0</v>
      </c>
      <c r="M21149">
        <v>0</v>
      </c>
      <c r="N21149">
        <v>0</v>
      </c>
    </row>
    <row r="21150" spans="1:15">
      <c r="A21150" t="s">
        <v>61242</v>
      </c>
      <c r="B21150" t="s">
        <v>6742</v>
      </c>
      <c r="C21150" t="s">
        <v>61243</v>
      </c>
      <c r="D21150" t="s">
        <v>61244</v>
      </c>
      <c r="E21150" t="b">
        <v>0</v>
      </c>
      <c r="F21150" t="s">
        <v>11624</v>
      </c>
      <c r="G21150">
        <v>10.718400000000001</v>
      </c>
      <c r="H21150">
        <v>-4.5261899999999997</v>
      </c>
      <c r="I21150" t="s">
        <v>61245</v>
      </c>
      <c r="L21150">
        <v>0</v>
      </c>
      <c r="M21150">
        <v>0</v>
      </c>
      <c r="N21150">
        <v>0</v>
      </c>
      <c r="O21150" t="s">
        <v>19305</v>
      </c>
    </row>
    <row r="21151" spans="1:15">
      <c r="A21151" t="s">
        <v>61243</v>
      </c>
      <c r="B21151" t="s">
        <v>6742</v>
      </c>
      <c r="C21151" t="s">
        <v>21811</v>
      </c>
      <c r="D21151" t="s">
        <v>61246</v>
      </c>
      <c r="E21151" t="b">
        <v>0</v>
      </c>
      <c r="F21151" t="s">
        <v>11622</v>
      </c>
      <c r="L21151">
        <v>0</v>
      </c>
      <c r="M21151">
        <v>2</v>
      </c>
      <c r="N21151">
        <v>2</v>
      </c>
    </row>
    <row r="21152" spans="1:15">
      <c r="A21152" t="s">
        <v>25393</v>
      </c>
      <c r="B21152" t="s">
        <v>6742</v>
      </c>
      <c r="C21152" t="s">
        <v>61243</v>
      </c>
      <c r="D21152" t="s">
        <v>61247</v>
      </c>
      <c r="E21152" t="b">
        <v>0</v>
      </c>
      <c r="F21152" t="s">
        <v>11624</v>
      </c>
      <c r="G21152">
        <v>10.85</v>
      </c>
      <c r="H21152">
        <v>-4.45</v>
      </c>
      <c r="L21152">
        <v>0</v>
      </c>
      <c r="M21152">
        <v>0</v>
      </c>
      <c r="N21152">
        <v>2</v>
      </c>
      <c r="O21152" t="s">
        <v>19305</v>
      </c>
    </row>
    <row r="21153" spans="1:15">
      <c r="A21153" t="s">
        <v>61248</v>
      </c>
      <c r="B21153" t="s">
        <v>13276</v>
      </c>
      <c r="C21153" t="s">
        <v>61213</v>
      </c>
      <c r="D21153" t="s">
        <v>61249</v>
      </c>
      <c r="E21153" t="b">
        <v>0</v>
      </c>
      <c r="F21153" t="s">
        <v>11624</v>
      </c>
      <c r="G21153">
        <v>15.47052</v>
      </c>
      <c r="H21153">
        <v>-4.2568799999999998</v>
      </c>
      <c r="I21153" t="s">
        <v>61250</v>
      </c>
      <c r="L21153">
        <v>0</v>
      </c>
      <c r="M21153">
        <v>0</v>
      </c>
      <c r="N21153">
        <v>0</v>
      </c>
      <c r="O21153" t="s">
        <v>13528</v>
      </c>
    </row>
    <row r="21154" spans="1:15">
      <c r="A21154" t="s">
        <v>61251</v>
      </c>
      <c r="B21154" t="s">
        <v>6742</v>
      </c>
      <c r="C21154" t="s">
        <v>19328</v>
      </c>
      <c r="D21154" t="s">
        <v>61252</v>
      </c>
      <c r="E21154" t="b">
        <v>0</v>
      </c>
      <c r="F21154" t="s">
        <v>11624</v>
      </c>
      <c r="G21154">
        <v>-2.84694</v>
      </c>
      <c r="H21154">
        <v>16.476500000000001</v>
      </c>
      <c r="I21154" t="s">
        <v>61253</v>
      </c>
      <c r="L21154">
        <v>0</v>
      </c>
      <c r="M21154">
        <v>0</v>
      </c>
      <c r="N21154">
        <v>0</v>
      </c>
      <c r="O21154" t="s">
        <v>16337</v>
      </c>
    </row>
    <row r="21155" spans="1:15">
      <c r="A21155" t="s">
        <v>61254</v>
      </c>
      <c r="B21155" t="s">
        <v>6742</v>
      </c>
      <c r="C21155" t="s">
        <v>22382</v>
      </c>
      <c r="D21155" t="s">
        <v>61255</v>
      </c>
      <c r="E21155" t="b">
        <v>0</v>
      </c>
      <c r="F21155" t="s">
        <v>11610</v>
      </c>
      <c r="L21155">
        <v>0</v>
      </c>
      <c r="M21155">
        <v>0</v>
      </c>
      <c r="N21155">
        <v>0</v>
      </c>
    </row>
    <row r="21156" spans="1:15">
      <c r="A21156" t="s">
        <v>61256</v>
      </c>
      <c r="B21156" t="s">
        <v>13276</v>
      </c>
      <c r="C21156" t="s">
        <v>61213</v>
      </c>
      <c r="D21156" t="s">
        <v>61257</v>
      </c>
      <c r="E21156" t="b">
        <v>0</v>
      </c>
      <c r="F21156" t="s">
        <v>11624</v>
      </c>
      <c r="G21156">
        <v>14.122299999999999</v>
      </c>
      <c r="H21156">
        <v>-5.0860900000000004</v>
      </c>
      <c r="I21156" t="s">
        <v>61258</v>
      </c>
      <c r="L21156">
        <v>0</v>
      </c>
      <c r="M21156">
        <v>0</v>
      </c>
      <c r="N21156">
        <v>0</v>
      </c>
      <c r="O21156" t="s">
        <v>13528</v>
      </c>
    </row>
    <row r="21157" spans="1:15">
      <c r="A21157" t="s">
        <v>14719</v>
      </c>
      <c r="B21157" t="s">
        <v>11615</v>
      </c>
      <c r="C21157" t="s">
        <v>18644</v>
      </c>
      <c r="D21157" t="s">
        <v>61259</v>
      </c>
      <c r="E21157" t="b">
        <v>0</v>
      </c>
      <c r="F21157" t="s">
        <v>11624</v>
      </c>
      <c r="G21157">
        <v>-5.0389900000000001</v>
      </c>
      <c r="H21157">
        <v>141.29300000000001</v>
      </c>
      <c r="I21157" t="s">
        <v>61260</v>
      </c>
      <c r="L21157">
        <v>0</v>
      </c>
      <c r="M21157">
        <v>0</v>
      </c>
      <c r="N21157">
        <v>2</v>
      </c>
      <c r="O21157" t="s">
        <v>11660</v>
      </c>
    </row>
    <row r="21158" spans="1:15">
      <c r="A21158" t="s">
        <v>61261</v>
      </c>
      <c r="B21158" t="s">
        <v>11844</v>
      </c>
      <c r="C21158" t="s">
        <v>9047</v>
      </c>
      <c r="D21158" t="s">
        <v>61262</v>
      </c>
      <c r="E21158" t="b">
        <v>0</v>
      </c>
      <c r="F21158" t="s">
        <v>11610</v>
      </c>
      <c r="L21158">
        <v>0</v>
      </c>
      <c r="M21158">
        <v>0</v>
      </c>
      <c r="N21158">
        <v>0</v>
      </c>
    </row>
    <row r="21159" spans="1:15">
      <c r="A21159" t="s">
        <v>61263</v>
      </c>
      <c r="B21159" t="s">
        <v>6742</v>
      </c>
      <c r="C21159" t="s">
        <v>32046</v>
      </c>
      <c r="D21159" t="s">
        <v>61264</v>
      </c>
      <c r="E21159" t="b">
        <v>0</v>
      </c>
      <c r="F21159" t="s">
        <v>11610</v>
      </c>
      <c r="L21159">
        <v>0</v>
      </c>
      <c r="M21159">
        <v>0</v>
      </c>
      <c r="N21159">
        <v>0</v>
      </c>
    </row>
    <row r="21160" spans="1:15">
      <c r="A21160" t="s">
        <v>7437</v>
      </c>
      <c r="B21160" t="s">
        <v>367</v>
      </c>
      <c r="C21160" t="s">
        <v>35075</v>
      </c>
      <c r="D21160" t="s">
        <v>61265</v>
      </c>
      <c r="E21160" t="b">
        <v>0</v>
      </c>
      <c r="F21160" t="s">
        <v>11624</v>
      </c>
      <c r="G21160">
        <v>-2.7095099999999999</v>
      </c>
      <c r="H21160">
        <v>150.893</v>
      </c>
      <c r="I21160" t="s">
        <v>61266</v>
      </c>
      <c r="L21160">
        <v>0</v>
      </c>
      <c r="M21160">
        <v>0</v>
      </c>
      <c r="N21160">
        <v>4</v>
      </c>
      <c r="O21160" t="s">
        <v>11660</v>
      </c>
    </row>
    <row r="21161" spans="1:15">
      <c r="A21161" t="s">
        <v>61267</v>
      </c>
      <c r="B21161" t="s">
        <v>6742</v>
      </c>
      <c r="C21161" t="s">
        <v>16561</v>
      </c>
      <c r="D21161" t="s">
        <v>61268</v>
      </c>
      <c r="E21161" t="b">
        <v>0</v>
      </c>
      <c r="F21161" t="s">
        <v>11610</v>
      </c>
      <c r="L21161">
        <v>0</v>
      </c>
      <c r="M21161">
        <v>0</v>
      </c>
      <c r="N21161">
        <v>0</v>
      </c>
    </row>
    <row r="21162" spans="1:15">
      <c r="A21162" t="s">
        <v>61269</v>
      </c>
      <c r="B21162" t="s">
        <v>6742</v>
      </c>
      <c r="C21162" t="s">
        <v>23831</v>
      </c>
      <c r="D21162" t="s">
        <v>61270</v>
      </c>
      <c r="E21162" t="b">
        <v>0</v>
      </c>
      <c r="F21162" t="s">
        <v>11610</v>
      </c>
      <c r="L21162">
        <v>0</v>
      </c>
      <c r="M21162">
        <v>0</v>
      </c>
      <c r="N21162">
        <v>0</v>
      </c>
    </row>
    <row r="21163" spans="1:15">
      <c r="A21163" t="s">
        <v>14795</v>
      </c>
      <c r="B21163" t="s">
        <v>6742</v>
      </c>
      <c r="C21163" t="s">
        <v>33755</v>
      </c>
      <c r="D21163" t="s">
        <v>61271</v>
      </c>
      <c r="E21163" t="b">
        <v>0</v>
      </c>
      <c r="F21163" t="s">
        <v>11624</v>
      </c>
      <c r="G21163">
        <v>6.9839950000000002</v>
      </c>
      <c r="H21163">
        <v>10.708489999999999</v>
      </c>
      <c r="I21163" t="s">
        <v>61272</v>
      </c>
      <c r="L21163">
        <v>0</v>
      </c>
      <c r="M21163">
        <v>0</v>
      </c>
      <c r="N21163">
        <v>5</v>
      </c>
      <c r="O21163" t="s">
        <v>11802</v>
      </c>
    </row>
    <row r="21164" spans="1:15">
      <c r="A21164" t="s">
        <v>61273</v>
      </c>
      <c r="B21164" t="s">
        <v>11637</v>
      </c>
      <c r="C21164" t="s">
        <v>45948</v>
      </c>
      <c r="D21164" t="s">
        <v>61274</v>
      </c>
      <c r="E21164" t="b">
        <v>0</v>
      </c>
      <c r="F21164" t="s">
        <v>11610</v>
      </c>
      <c r="L21164">
        <v>0</v>
      </c>
      <c r="M21164">
        <v>0</v>
      </c>
      <c r="N21164">
        <v>0</v>
      </c>
    </row>
    <row r="21165" spans="1:15">
      <c r="A21165" t="s">
        <v>61275</v>
      </c>
      <c r="B21165" t="s">
        <v>12514</v>
      </c>
      <c r="C21165" t="s">
        <v>12514</v>
      </c>
      <c r="D21165" t="s">
        <v>61276</v>
      </c>
      <c r="E21165" t="b">
        <v>0</v>
      </c>
      <c r="F21165" t="s">
        <v>11610</v>
      </c>
      <c r="L21165">
        <v>0</v>
      </c>
      <c r="M21165">
        <v>0</v>
      </c>
      <c r="N21165">
        <v>0</v>
      </c>
    </row>
    <row r="21166" spans="1:15">
      <c r="A21166" t="s">
        <v>61277</v>
      </c>
      <c r="B21166" t="s">
        <v>141</v>
      </c>
      <c r="C21166" t="s">
        <v>10707</v>
      </c>
      <c r="D21166" t="s">
        <v>61278</v>
      </c>
      <c r="E21166" t="b">
        <v>0</v>
      </c>
      <c r="F21166" t="s">
        <v>11610</v>
      </c>
      <c r="L21166">
        <v>0</v>
      </c>
      <c r="M21166">
        <v>0</v>
      </c>
      <c r="N21166">
        <v>0</v>
      </c>
    </row>
    <row r="21167" spans="1:15">
      <c r="A21167" t="s">
        <v>61279</v>
      </c>
      <c r="B21167" t="s">
        <v>978</v>
      </c>
      <c r="C21167" t="s">
        <v>979</v>
      </c>
      <c r="D21167" t="s">
        <v>61280</v>
      </c>
      <c r="E21167" t="b">
        <v>0</v>
      </c>
      <c r="F21167" t="s">
        <v>11610</v>
      </c>
      <c r="L21167">
        <v>0</v>
      </c>
      <c r="M21167">
        <v>0</v>
      </c>
      <c r="N21167">
        <v>0</v>
      </c>
    </row>
    <row r="21168" spans="1:15">
      <c r="A21168" t="s">
        <v>22004</v>
      </c>
      <c r="B21168" t="s">
        <v>11607</v>
      </c>
      <c r="C21168" t="s">
        <v>23848</v>
      </c>
      <c r="D21168" t="s">
        <v>61281</v>
      </c>
      <c r="E21168" t="b">
        <v>0</v>
      </c>
      <c r="F21168" t="s">
        <v>11624</v>
      </c>
      <c r="G21168">
        <v>17.349399999999999</v>
      </c>
      <c r="H21168">
        <v>38.223300000000002</v>
      </c>
      <c r="I21168" t="s">
        <v>61282</v>
      </c>
      <c r="L21168">
        <v>0</v>
      </c>
      <c r="M21168">
        <v>0</v>
      </c>
      <c r="N21168">
        <v>15</v>
      </c>
      <c r="O21168" t="s">
        <v>61283</v>
      </c>
    </row>
    <row r="21169" spans="1:15">
      <c r="A21169" t="s">
        <v>61284</v>
      </c>
      <c r="B21169" t="s">
        <v>11607</v>
      </c>
      <c r="C21169" t="s">
        <v>61285</v>
      </c>
      <c r="D21169" t="s">
        <v>61286</v>
      </c>
      <c r="E21169" t="b">
        <v>0</v>
      </c>
      <c r="F21169" t="s">
        <v>11624</v>
      </c>
      <c r="G21169">
        <v>15.335900000000001</v>
      </c>
      <c r="H21169">
        <v>38.926600000000001</v>
      </c>
      <c r="I21169" t="s">
        <v>61287</v>
      </c>
      <c r="L21169">
        <v>0</v>
      </c>
      <c r="M21169">
        <v>0</v>
      </c>
      <c r="N21169">
        <v>0</v>
      </c>
      <c r="O21169" t="s">
        <v>61288</v>
      </c>
    </row>
    <row r="21170" spans="1:15">
      <c r="A21170" t="s">
        <v>61289</v>
      </c>
      <c r="B21170" t="s">
        <v>11607</v>
      </c>
      <c r="C21170" t="s">
        <v>13635</v>
      </c>
      <c r="D21170" t="s">
        <v>61290</v>
      </c>
      <c r="E21170" t="b">
        <v>0</v>
      </c>
      <c r="F21170" t="s">
        <v>11610</v>
      </c>
      <c r="L21170">
        <v>0</v>
      </c>
      <c r="M21170">
        <v>0</v>
      </c>
      <c r="N21170">
        <v>0</v>
      </c>
    </row>
    <row r="21171" spans="1:15">
      <c r="A21171" t="s">
        <v>61285</v>
      </c>
      <c r="B21171" t="s">
        <v>11607</v>
      </c>
      <c r="C21171" t="s">
        <v>27491</v>
      </c>
      <c r="D21171" t="s">
        <v>61291</v>
      </c>
      <c r="E21171" t="b">
        <v>0</v>
      </c>
      <c r="F21171" t="s">
        <v>11622</v>
      </c>
      <c r="L21171">
        <v>1</v>
      </c>
      <c r="M21171">
        <v>3</v>
      </c>
      <c r="N21171">
        <v>15</v>
      </c>
    </row>
    <row r="21172" spans="1:15">
      <c r="A21172" t="s">
        <v>23848</v>
      </c>
      <c r="B21172" t="s">
        <v>11607</v>
      </c>
      <c r="C21172" t="s">
        <v>61285</v>
      </c>
      <c r="D21172" t="s">
        <v>61292</v>
      </c>
      <c r="E21172" t="b">
        <v>0</v>
      </c>
      <c r="F21172" t="s">
        <v>11622</v>
      </c>
      <c r="L21172">
        <v>0</v>
      </c>
      <c r="M21172">
        <v>2</v>
      </c>
      <c r="N21172">
        <v>15</v>
      </c>
    </row>
    <row r="21173" spans="1:15">
      <c r="A21173" t="s">
        <v>61293</v>
      </c>
      <c r="B21173" t="s">
        <v>367</v>
      </c>
      <c r="C21173" t="s">
        <v>38070</v>
      </c>
      <c r="D21173" t="s">
        <v>61294</v>
      </c>
      <c r="E21173" t="b">
        <v>0</v>
      </c>
      <c r="F21173" t="s">
        <v>11610</v>
      </c>
      <c r="L21173">
        <v>0</v>
      </c>
      <c r="M21173">
        <v>0</v>
      </c>
      <c r="N21173">
        <v>0</v>
      </c>
    </row>
    <row r="21174" spans="1:15">
      <c r="A21174" t="s">
        <v>61295</v>
      </c>
      <c r="B21174" t="s">
        <v>6742</v>
      </c>
      <c r="C21174" t="s">
        <v>18374</v>
      </c>
      <c r="D21174" t="s">
        <v>61296</v>
      </c>
      <c r="E21174" t="b">
        <v>0</v>
      </c>
      <c r="F21174" t="s">
        <v>11610</v>
      </c>
      <c r="L21174">
        <v>0</v>
      </c>
      <c r="M21174">
        <v>0</v>
      </c>
      <c r="N21174">
        <v>0</v>
      </c>
    </row>
    <row r="21175" spans="1:15">
      <c r="A21175" t="s">
        <v>61297</v>
      </c>
      <c r="B21175" t="s">
        <v>6742</v>
      </c>
      <c r="C21175" t="s">
        <v>16280</v>
      </c>
      <c r="D21175" t="s">
        <v>61298</v>
      </c>
      <c r="E21175" t="b">
        <v>0</v>
      </c>
      <c r="F21175" t="s">
        <v>11610</v>
      </c>
      <c r="L21175">
        <v>0</v>
      </c>
      <c r="M21175">
        <v>0</v>
      </c>
      <c r="N21175">
        <v>0</v>
      </c>
    </row>
    <row r="21176" spans="1:15">
      <c r="A21176" t="s">
        <v>61299</v>
      </c>
      <c r="B21176" t="s">
        <v>367</v>
      </c>
      <c r="C21176" t="s">
        <v>18576</v>
      </c>
      <c r="D21176" t="s">
        <v>61300</v>
      </c>
      <c r="E21176" t="b">
        <v>0</v>
      </c>
      <c r="F21176" t="s">
        <v>11624</v>
      </c>
      <c r="G21176">
        <v>-10.842499999999999</v>
      </c>
      <c r="H21176">
        <v>122.96299999999999</v>
      </c>
      <c r="I21176" t="s">
        <v>61301</v>
      </c>
      <c r="L21176">
        <v>0</v>
      </c>
      <c r="M21176">
        <v>0</v>
      </c>
      <c r="N21176">
        <v>0</v>
      </c>
      <c r="O21176" t="s">
        <v>11768</v>
      </c>
    </row>
    <row r="21177" spans="1:15">
      <c r="A21177" t="s">
        <v>61302</v>
      </c>
      <c r="B21177" t="s">
        <v>6742</v>
      </c>
      <c r="C21177" t="s">
        <v>30048</v>
      </c>
      <c r="D21177" t="s">
        <v>61303</v>
      </c>
      <c r="E21177" t="b">
        <v>0</v>
      </c>
      <c r="F21177" t="s">
        <v>11610</v>
      </c>
      <c r="L21177">
        <v>0</v>
      </c>
      <c r="M21177">
        <v>0</v>
      </c>
      <c r="N21177">
        <v>0</v>
      </c>
    </row>
    <row r="21178" spans="1:15">
      <c r="A21178" t="s">
        <v>61304</v>
      </c>
      <c r="B21178" t="s">
        <v>11879</v>
      </c>
      <c r="C21178" t="s">
        <v>14974</v>
      </c>
      <c r="D21178" t="s">
        <v>61305</v>
      </c>
      <c r="E21178" t="b">
        <v>0</v>
      </c>
      <c r="F21178" t="s">
        <v>11624</v>
      </c>
      <c r="G21178">
        <v>17.1539</v>
      </c>
      <c r="H21178">
        <v>-97.457800000000006</v>
      </c>
      <c r="I21178" t="s">
        <v>61306</v>
      </c>
      <c r="L21178">
        <v>0</v>
      </c>
      <c r="M21178">
        <v>0</v>
      </c>
      <c r="N21178">
        <v>0</v>
      </c>
      <c r="O21178" t="s">
        <v>11883</v>
      </c>
    </row>
    <row r="21179" spans="1:15">
      <c r="A21179" t="s">
        <v>61307</v>
      </c>
      <c r="B21179" t="s">
        <v>11627</v>
      </c>
      <c r="C21179" t="s">
        <v>11627</v>
      </c>
      <c r="D21179" t="s">
        <v>61308</v>
      </c>
      <c r="E21179" t="b">
        <v>1</v>
      </c>
      <c r="F21179" t="s">
        <v>11624</v>
      </c>
      <c r="L21179">
        <v>0</v>
      </c>
      <c r="M21179">
        <v>0</v>
      </c>
      <c r="N21179">
        <v>0</v>
      </c>
      <c r="O21179" t="s">
        <v>11883</v>
      </c>
    </row>
    <row r="21180" spans="1:15">
      <c r="A21180" t="s">
        <v>61309</v>
      </c>
      <c r="B21180" t="s">
        <v>12514</v>
      </c>
      <c r="C21180" t="s">
        <v>12514</v>
      </c>
      <c r="D21180" t="s">
        <v>61310</v>
      </c>
      <c r="E21180" t="b">
        <v>0</v>
      </c>
      <c r="F21180" t="s">
        <v>11610</v>
      </c>
      <c r="L21180">
        <v>0</v>
      </c>
      <c r="M21180">
        <v>0</v>
      </c>
      <c r="N21180">
        <v>0</v>
      </c>
    </row>
    <row r="21181" spans="1:15">
      <c r="A21181" t="s">
        <v>16561</v>
      </c>
      <c r="B21181" t="s">
        <v>6742</v>
      </c>
      <c r="C21181" t="s">
        <v>23899</v>
      </c>
      <c r="D21181" t="s">
        <v>61311</v>
      </c>
      <c r="E21181" t="b">
        <v>0</v>
      </c>
      <c r="F21181" t="s">
        <v>11624</v>
      </c>
      <c r="G21181">
        <v>5.8700400000000004</v>
      </c>
      <c r="H21181">
        <v>11.6104</v>
      </c>
      <c r="I21181" t="s">
        <v>61312</v>
      </c>
      <c r="L21181">
        <v>0</v>
      </c>
      <c r="M21181">
        <v>0</v>
      </c>
      <c r="N21181">
        <v>7</v>
      </c>
      <c r="O21181" t="s">
        <v>11703</v>
      </c>
    </row>
    <row r="21182" spans="1:15">
      <c r="A21182" t="s">
        <v>61313</v>
      </c>
      <c r="B21182" t="s">
        <v>11644</v>
      </c>
      <c r="C21182" t="s">
        <v>22695</v>
      </c>
      <c r="D21182" t="s">
        <v>61314</v>
      </c>
      <c r="E21182" t="b">
        <v>0</v>
      </c>
      <c r="F21182" t="s">
        <v>11610</v>
      </c>
      <c r="L21182">
        <v>0</v>
      </c>
      <c r="M21182">
        <v>0</v>
      </c>
      <c r="N21182">
        <v>0</v>
      </c>
    </row>
    <row r="21183" spans="1:15">
      <c r="A21183" t="s">
        <v>61315</v>
      </c>
      <c r="B21183" t="s">
        <v>11644</v>
      </c>
      <c r="C21183" t="s">
        <v>45668</v>
      </c>
      <c r="D21183" t="s">
        <v>61316</v>
      </c>
      <c r="E21183" t="b">
        <v>0</v>
      </c>
      <c r="F21183" t="s">
        <v>11624</v>
      </c>
      <c r="L21183">
        <v>0</v>
      </c>
      <c r="M21183">
        <v>0</v>
      </c>
      <c r="N21183">
        <v>0</v>
      </c>
      <c r="O21183" t="s">
        <v>11630</v>
      </c>
    </row>
    <row r="21184" spans="1:15">
      <c r="A21184" t="s">
        <v>1652</v>
      </c>
      <c r="B21184" t="s">
        <v>367</v>
      </c>
      <c r="C21184" t="s">
        <v>14052</v>
      </c>
      <c r="D21184" t="s">
        <v>1651</v>
      </c>
      <c r="E21184" t="b">
        <v>0</v>
      </c>
      <c r="F21184" t="s">
        <v>11624</v>
      </c>
      <c r="G21184">
        <v>-12.2766</v>
      </c>
      <c r="H21184">
        <v>168.822</v>
      </c>
      <c r="I21184" t="s">
        <v>1653</v>
      </c>
      <c r="L21184">
        <v>0</v>
      </c>
      <c r="M21184">
        <v>0</v>
      </c>
      <c r="N21184">
        <v>0</v>
      </c>
      <c r="O21184" t="s">
        <v>13346</v>
      </c>
    </row>
    <row r="21185" spans="1:15">
      <c r="A21185" t="s">
        <v>61317</v>
      </c>
      <c r="B21185" t="s">
        <v>367</v>
      </c>
      <c r="C21185" t="s">
        <v>26226</v>
      </c>
      <c r="D21185" t="s">
        <v>61318</v>
      </c>
      <c r="E21185" t="b">
        <v>0</v>
      </c>
      <c r="F21185" t="s">
        <v>11610</v>
      </c>
      <c r="L21185">
        <v>0</v>
      </c>
      <c r="M21185">
        <v>0</v>
      </c>
      <c r="N21185">
        <v>0</v>
      </c>
    </row>
    <row r="21186" spans="1:15">
      <c r="A21186" t="s">
        <v>61319</v>
      </c>
      <c r="B21186" t="s">
        <v>11879</v>
      </c>
      <c r="C21186" t="s">
        <v>32987</v>
      </c>
      <c r="D21186" t="s">
        <v>61320</v>
      </c>
      <c r="E21186" t="b">
        <v>0</v>
      </c>
      <c r="F21186" t="s">
        <v>11624</v>
      </c>
      <c r="G21186">
        <v>19.440300000000001</v>
      </c>
      <c r="H21186">
        <v>-99.507400000000004</v>
      </c>
      <c r="I21186" t="s">
        <v>61321</v>
      </c>
      <c r="L21186">
        <v>0</v>
      </c>
      <c r="M21186">
        <v>0</v>
      </c>
      <c r="N21186">
        <v>0</v>
      </c>
      <c r="O21186" t="s">
        <v>11883</v>
      </c>
    </row>
    <row r="21187" spans="1:15">
      <c r="A21187" t="s">
        <v>61322</v>
      </c>
      <c r="B21187" t="s">
        <v>6742</v>
      </c>
      <c r="C21187" t="s">
        <v>16130</v>
      </c>
      <c r="D21187" t="s">
        <v>61323</v>
      </c>
      <c r="E21187" t="b">
        <v>0</v>
      </c>
      <c r="F21187" t="s">
        <v>11610</v>
      </c>
      <c r="L21187">
        <v>0</v>
      </c>
      <c r="M21187">
        <v>0</v>
      </c>
      <c r="N21187">
        <v>0</v>
      </c>
    </row>
    <row r="21188" spans="1:15">
      <c r="A21188" t="s">
        <v>9318</v>
      </c>
      <c r="B21188" t="s">
        <v>9071</v>
      </c>
      <c r="C21188" t="s">
        <v>9071</v>
      </c>
      <c r="D21188" t="s">
        <v>61324</v>
      </c>
      <c r="E21188" t="b">
        <v>0</v>
      </c>
      <c r="F21188" t="s">
        <v>11624</v>
      </c>
      <c r="G21188">
        <v>44.092399999999998</v>
      </c>
      <c r="H21188">
        <v>-122.76900000000001</v>
      </c>
      <c r="I21188" t="s">
        <v>61325</v>
      </c>
      <c r="L21188">
        <v>0</v>
      </c>
      <c r="M21188">
        <v>0</v>
      </c>
      <c r="N21188">
        <v>0</v>
      </c>
      <c r="O21188" t="s">
        <v>11944</v>
      </c>
    </row>
    <row r="21189" spans="1:15">
      <c r="A21189" t="s">
        <v>61326</v>
      </c>
      <c r="B21189" t="s">
        <v>11879</v>
      </c>
      <c r="C21189" t="s">
        <v>14920</v>
      </c>
      <c r="D21189" t="s">
        <v>61327</v>
      </c>
      <c r="E21189" t="b">
        <v>0</v>
      </c>
      <c r="F21189" t="s">
        <v>11624</v>
      </c>
      <c r="G21189">
        <v>16.852900000000002</v>
      </c>
      <c r="H21189">
        <v>-96.632099999999994</v>
      </c>
      <c r="I21189" t="s">
        <v>61328</v>
      </c>
      <c r="L21189">
        <v>0</v>
      </c>
      <c r="M21189">
        <v>0</v>
      </c>
      <c r="N21189">
        <v>0</v>
      </c>
      <c r="O21189" t="s">
        <v>11883</v>
      </c>
    </row>
    <row r="21190" spans="1:15">
      <c r="A21190" t="s">
        <v>22873</v>
      </c>
      <c r="B21190" t="s">
        <v>11644</v>
      </c>
      <c r="C21190" t="s">
        <v>22351</v>
      </c>
      <c r="D21190" t="s">
        <v>61329</v>
      </c>
      <c r="E21190" t="b">
        <v>0</v>
      </c>
      <c r="F21190" t="s">
        <v>11624</v>
      </c>
      <c r="G21190">
        <v>27.220300000000002</v>
      </c>
      <c r="H21190">
        <v>86.469399999999993</v>
      </c>
      <c r="I21190" t="s">
        <v>61330</v>
      </c>
      <c r="L21190">
        <v>0</v>
      </c>
      <c r="M21190">
        <v>0</v>
      </c>
      <c r="N21190">
        <v>2</v>
      </c>
      <c r="O21190" t="s">
        <v>15007</v>
      </c>
    </row>
    <row r="21191" spans="1:15">
      <c r="A21191" t="s">
        <v>61331</v>
      </c>
      <c r="B21191" t="s">
        <v>19339</v>
      </c>
      <c r="C21191" t="s">
        <v>19339</v>
      </c>
      <c r="D21191" t="s">
        <v>61332</v>
      </c>
      <c r="E21191" t="b">
        <v>0</v>
      </c>
      <c r="F21191" t="s">
        <v>11624</v>
      </c>
      <c r="G21191">
        <v>11.717599999999999</v>
      </c>
      <c r="H21191">
        <v>29.1632</v>
      </c>
      <c r="I21191" t="s">
        <v>61333</v>
      </c>
      <c r="L21191">
        <v>0</v>
      </c>
      <c r="M21191">
        <v>0</v>
      </c>
      <c r="N21191">
        <v>0</v>
      </c>
      <c r="O21191" t="s">
        <v>11910</v>
      </c>
    </row>
    <row r="21192" spans="1:15">
      <c r="A21192" t="s">
        <v>21648</v>
      </c>
      <c r="B21192" t="s">
        <v>11615</v>
      </c>
      <c r="C21192" t="s">
        <v>56371</v>
      </c>
      <c r="D21192" t="s">
        <v>61334</v>
      </c>
      <c r="E21192" t="b">
        <v>0</v>
      </c>
      <c r="F21192" t="s">
        <v>11624</v>
      </c>
      <c r="G21192">
        <v>-6.0687499999999996</v>
      </c>
      <c r="H21192">
        <v>147.05699999999999</v>
      </c>
      <c r="I21192" t="s">
        <v>61335</v>
      </c>
      <c r="L21192">
        <v>0</v>
      </c>
      <c r="M21192">
        <v>0</v>
      </c>
      <c r="N21192">
        <v>3</v>
      </c>
      <c r="O21192" t="s">
        <v>11660</v>
      </c>
    </row>
    <row r="21193" spans="1:15">
      <c r="A21193" t="s">
        <v>61336</v>
      </c>
      <c r="B21193" t="s">
        <v>11615</v>
      </c>
      <c r="C21193" t="s">
        <v>7854</v>
      </c>
      <c r="D21193" t="s">
        <v>61337</v>
      </c>
      <c r="E21193" t="b">
        <v>0</v>
      </c>
      <c r="F21193" t="s">
        <v>11610</v>
      </c>
      <c r="L21193">
        <v>0</v>
      </c>
      <c r="M21193">
        <v>0</v>
      </c>
      <c r="N21193">
        <v>0</v>
      </c>
    </row>
    <row r="21194" spans="1:15">
      <c r="A21194" t="s">
        <v>37795</v>
      </c>
      <c r="B21194" t="s">
        <v>11965</v>
      </c>
      <c r="C21194" t="s">
        <v>14161</v>
      </c>
      <c r="D21194" t="s">
        <v>61338</v>
      </c>
      <c r="E21194" t="b">
        <v>0</v>
      </c>
      <c r="F21194" t="s">
        <v>11622</v>
      </c>
      <c r="L21194">
        <v>1</v>
      </c>
      <c r="M21194">
        <v>3</v>
      </c>
      <c r="N21194">
        <v>6</v>
      </c>
    </row>
    <row r="21195" spans="1:15">
      <c r="A21195" t="s">
        <v>61339</v>
      </c>
      <c r="B21195" t="s">
        <v>11965</v>
      </c>
      <c r="C21195" t="s">
        <v>37799</v>
      </c>
      <c r="D21195" t="s">
        <v>61340</v>
      </c>
      <c r="E21195" t="b">
        <v>0</v>
      </c>
      <c r="F21195" t="s">
        <v>11610</v>
      </c>
      <c r="L21195">
        <v>0</v>
      </c>
      <c r="M21195">
        <v>0</v>
      </c>
      <c r="N21195">
        <v>0</v>
      </c>
    </row>
    <row r="21196" spans="1:15">
      <c r="A21196" t="s">
        <v>61341</v>
      </c>
      <c r="B21196" t="s">
        <v>11607</v>
      </c>
      <c r="C21196" t="s">
        <v>34593</v>
      </c>
      <c r="D21196" t="s">
        <v>61342</v>
      </c>
      <c r="E21196" t="b">
        <v>0</v>
      </c>
      <c r="F21196" t="s">
        <v>11610</v>
      </c>
      <c r="L21196">
        <v>0</v>
      </c>
      <c r="M21196">
        <v>0</v>
      </c>
      <c r="N21196">
        <v>0</v>
      </c>
    </row>
    <row r="21197" spans="1:15">
      <c r="A21197" t="s">
        <v>61343</v>
      </c>
      <c r="B21197" t="s">
        <v>11607</v>
      </c>
      <c r="C21197" t="s">
        <v>6734</v>
      </c>
      <c r="D21197" t="s">
        <v>61344</v>
      </c>
      <c r="E21197" t="b">
        <v>0</v>
      </c>
      <c r="F21197" t="s">
        <v>11610</v>
      </c>
      <c r="L21197">
        <v>0</v>
      </c>
      <c r="M21197">
        <v>0</v>
      </c>
      <c r="N21197">
        <v>0</v>
      </c>
    </row>
    <row r="21198" spans="1:15">
      <c r="A21198" t="s">
        <v>56371</v>
      </c>
      <c r="B21198" t="s">
        <v>11615</v>
      </c>
      <c r="C21198" t="s">
        <v>36559</v>
      </c>
      <c r="D21198" t="s">
        <v>61345</v>
      </c>
      <c r="E21198" t="b">
        <v>0</v>
      </c>
      <c r="F21198" t="s">
        <v>11622</v>
      </c>
      <c r="L21198">
        <v>1</v>
      </c>
      <c r="M21198">
        <v>3</v>
      </c>
      <c r="N21198">
        <v>10</v>
      </c>
    </row>
    <row r="21199" spans="1:15">
      <c r="A21199" t="s">
        <v>61346</v>
      </c>
      <c r="B21199" t="s">
        <v>11834</v>
      </c>
      <c r="C21199" t="s">
        <v>19407</v>
      </c>
      <c r="D21199" t="s">
        <v>61347</v>
      </c>
      <c r="E21199" t="b">
        <v>0</v>
      </c>
      <c r="F21199" t="s">
        <v>11610</v>
      </c>
      <c r="L21199">
        <v>0</v>
      </c>
      <c r="M21199">
        <v>0</v>
      </c>
      <c r="N21199">
        <v>0</v>
      </c>
    </row>
    <row r="21200" spans="1:15">
      <c r="A21200" t="s">
        <v>16789</v>
      </c>
      <c r="B21200" t="s">
        <v>6742</v>
      </c>
      <c r="C21200" t="s">
        <v>15799</v>
      </c>
      <c r="D21200" t="s">
        <v>61348</v>
      </c>
      <c r="E21200" t="b">
        <v>0</v>
      </c>
      <c r="F21200" t="s">
        <v>11624</v>
      </c>
      <c r="G21200">
        <v>8.9029399999999992</v>
      </c>
      <c r="H21200">
        <v>-12.3331</v>
      </c>
      <c r="I21200" t="s">
        <v>61349</v>
      </c>
      <c r="L21200">
        <v>0</v>
      </c>
      <c r="M21200">
        <v>0</v>
      </c>
      <c r="N21200">
        <v>11</v>
      </c>
      <c r="O21200" t="s">
        <v>20263</v>
      </c>
    </row>
    <row r="21201" spans="1:15">
      <c r="A21201" t="s">
        <v>23599</v>
      </c>
      <c r="D21201" t="s">
        <v>61350</v>
      </c>
      <c r="E21201" t="b">
        <v>0</v>
      </c>
      <c r="F21201" t="s">
        <v>11624</v>
      </c>
      <c r="G21201">
        <v>8.8481649999999998</v>
      </c>
      <c r="H21201">
        <v>-70.975341999999998</v>
      </c>
      <c r="L21201">
        <v>0</v>
      </c>
      <c r="M21201">
        <v>0</v>
      </c>
      <c r="N21201">
        <v>5</v>
      </c>
      <c r="O21201" t="s">
        <v>16711</v>
      </c>
    </row>
    <row r="21202" spans="1:15">
      <c r="A21202" t="s">
        <v>41438</v>
      </c>
      <c r="B21202" t="s">
        <v>11637</v>
      </c>
      <c r="C21202" t="s">
        <v>41270</v>
      </c>
      <c r="D21202" t="s">
        <v>61351</v>
      </c>
      <c r="E21202" t="b">
        <v>0</v>
      </c>
      <c r="F21202" t="s">
        <v>11624</v>
      </c>
      <c r="G21202">
        <v>-8.6599500000000003</v>
      </c>
      <c r="H21202">
        <v>125.59</v>
      </c>
      <c r="I21202" t="s">
        <v>61352</v>
      </c>
      <c r="L21202">
        <v>0</v>
      </c>
      <c r="M21202">
        <v>0</v>
      </c>
      <c r="N21202">
        <v>2</v>
      </c>
      <c r="O21202" t="s">
        <v>27765</v>
      </c>
    </row>
    <row r="21203" spans="1:15">
      <c r="A21203" t="s">
        <v>21581</v>
      </c>
      <c r="B21203" t="s">
        <v>367</v>
      </c>
      <c r="C21203" t="s">
        <v>14692</v>
      </c>
      <c r="D21203" t="s">
        <v>61353</v>
      </c>
      <c r="E21203" t="b">
        <v>0</v>
      </c>
      <c r="F21203" t="s">
        <v>11622</v>
      </c>
      <c r="L21203">
        <v>17</v>
      </c>
      <c r="M21203">
        <v>31</v>
      </c>
      <c r="N21203">
        <v>75</v>
      </c>
    </row>
    <row r="21204" spans="1:15">
      <c r="A21204" t="s">
        <v>26526</v>
      </c>
      <c r="B21204" t="s">
        <v>367</v>
      </c>
      <c r="C21204" t="s">
        <v>14692</v>
      </c>
      <c r="D21204" t="s">
        <v>61354</v>
      </c>
      <c r="E21204" t="b">
        <v>0</v>
      </c>
      <c r="F21204" t="s">
        <v>11622</v>
      </c>
      <c r="L21204">
        <v>2</v>
      </c>
      <c r="M21204">
        <v>5</v>
      </c>
      <c r="N21204">
        <v>8</v>
      </c>
    </row>
    <row r="21205" spans="1:15">
      <c r="A21205" t="s">
        <v>11839</v>
      </c>
      <c r="D21205" t="s">
        <v>61355</v>
      </c>
      <c r="E21205" t="b">
        <v>0</v>
      </c>
      <c r="F21205" t="s">
        <v>11622</v>
      </c>
      <c r="L21205">
        <v>13</v>
      </c>
      <c r="M21205">
        <v>23</v>
      </c>
      <c r="N21205">
        <v>50</v>
      </c>
    </row>
    <row r="21206" spans="1:15">
      <c r="A21206" t="s">
        <v>61356</v>
      </c>
      <c r="B21206" t="s">
        <v>11637</v>
      </c>
      <c r="C21206" t="s">
        <v>2995</v>
      </c>
      <c r="D21206" t="s">
        <v>61357</v>
      </c>
      <c r="E21206" t="b">
        <v>0</v>
      </c>
      <c r="F21206" t="s">
        <v>11610</v>
      </c>
      <c r="L21206">
        <v>0</v>
      </c>
      <c r="M21206">
        <v>0</v>
      </c>
      <c r="N21206">
        <v>0</v>
      </c>
    </row>
    <row r="21207" spans="1:15">
      <c r="A21207" t="s">
        <v>44440</v>
      </c>
      <c r="B21207" t="s">
        <v>23599</v>
      </c>
      <c r="C21207" t="s">
        <v>23599</v>
      </c>
      <c r="D21207" t="s">
        <v>61358</v>
      </c>
      <c r="E21207" t="b">
        <v>0</v>
      </c>
      <c r="F21207" t="s">
        <v>11610</v>
      </c>
      <c r="L21207">
        <v>0</v>
      </c>
      <c r="M21207">
        <v>0</v>
      </c>
      <c r="N21207">
        <v>3</v>
      </c>
    </row>
    <row r="21208" spans="1:15">
      <c r="A21208" t="s">
        <v>61359</v>
      </c>
      <c r="B21208" t="s">
        <v>11637</v>
      </c>
      <c r="C21208" t="s">
        <v>20403</v>
      </c>
      <c r="D21208" t="s">
        <v>61360</v>
      </c>
      <c r="E21208" t="b">
        <v>0</v>
      </c>
      <c r="F21208" t="s">
        <v>11610</v>
      </c>
      <c r="L21208">
        <v>0</v>
      </c>
      <c r="M21208">
        <v>0</v>
      </c>
      <c r="N21208">
        <v>0</v>
      </c>
    </row>
    <row r="21209" spans="1:15">
      <c r="A21209" t="s">
        <v>60542</v>
      </c>
      <c r="D21209" t="s">
        <v>61361</v>
      </c>
      <c r="E21209" t="b">
        <v>0</v>
      </c>
      <c r="F21209" t="s">
        <v>11624</v>
      </c>
      <c r="G21209">
        <v>30.302700000000002</v>
      </c>
      <c r="H21209">
        <v>-82.313199999999995</v>
      </c>
      <c r="I21209" t="s">
        <v>61362</v>
      </c>
      <c r="L21209">
        <v>0</v>
      </c>
      <c r="M21209">
        <v>0</v>
      </c>
      <c r="N21209">
        <v>2</v>
      </c>
      <c r="O21209" t="s">
        <v>11944</v>
      </c>
    </row>
    <row r="21210" spans="1:15">
      <c r="A21210" t="s">
        <v>61363</v>
      </c>
      <c r="B21210" t="s">
        <v>367</v>
      </c>
      <c r="C21210" t="s">
        <v>40025</v>
      </c>
      <c r="D21210" t="s">
        <v>61364</v>
      </c>
      <c r="E21210" t="b">
        <v>0</v>
      </c>
      <c r="F21210" t="s">
        <v>11610</v>
      </c>
      <c r="L21210">
        <v>0</v>
      </c>
      <c r="M21210">
        <v>0</v>
      </c>
      <c r="N21210">
        <v>0</v>
      </c>
    </row>
    <row r="21211" spans="1:15">
      <c r="A21211" t="s">
        <v>17632</v>
      </c>
      <c r="B21211" t="s">
        <v>367</v>
      </c>
      <c r="C21211" t="s">
        <v>19527</v>
      </c>
      <c r="D21211" t="s">
        <v>61365</v>
      </c>
      <c r="E21211" t="b">
        <v>0</v>
      </c>
      <c r="F21211" t="s">
        <v>11624</v>
      </c>
      <c r="G21211">
        <v>5.1795999999999998</v>
      </c>
      <c r="H21211">
        <v>115.82599999999999</v>
      </c>
      <c r="I21211" t="s">
        <v>61366</v>
      </c>
      <c r="L21211">
        <v>0</v>
      </c>
      <c r="M21211">
        <v>0</v>
      </c>
      <c r="N21211">
        <v>9</v>
      </c>
      <c r="O21211" t="s">
        <v>11672</v>
      </c>
    </row>
    <row r="21212" spans="1:15">
      <c r="A21212" t="s">
        <v>61367</v>
      </c>
      <c r="B21212" t="s">
        <v>367</v>
      </c>
      <c r="C21212" t="s">
        <v>17632</v>
      </c>
      <c r="D21212" t="s">
        <v>61368</v>
      </c>
      <c r="E21212" t="b">
        <v>0</v>
      </c>
      <c r="F21212" t="s">
        <v>11610</v>
      </c>
      <c r="L21212">
        <v>0</v>
      </c>
      <c r="M21212">
        <v>0</v>
      </c>
      <c r="N21212">
        <v>0</v>
      </c>
    </row>
    <row r="21213" spans="1:15">
      <c r="A21213" t="s">
        <v>61369</v>
      </c>
      <c r="B21213" t="s">
        <v>16947</v>
      </c>
      <c r="C21213" t="s">
        <v>16948</v>
      </c>
      <c r="D21213" t="s">
        <v>61370</v>
      </c>
      <c r="E21213" t="b">
        <v>0</v>
      </c>
      <c r="F21213" t="s">
        <v>11610</v>
      </c>
      <c r="L21213">
        <v>0</v>
      </c>
      <c r="M21213">
        <v>0</v>
      </c>
      <c r="N21213">
        <v>0</v>
      </c>
    </row>
    <row r="21214" spans="1:15">
      <c r="A21214" t="s">
        <v>61371</v>
      </c>
      <c r="B21214" t="s">
        <v>60542</v>
      </c>
      <c r="C21214" t="s">
        <v>60542</v>
      </c>
      <c r="D21214" t="s">
        <v>61372</v>
      </c>
      <c r="E21214" t="b">
        <v>0</v>
      </c>
      <c r="F21214" t="s">
        <v>11610</v>
      </c>
      <c r="L21214">
        <v>0</v>
      </c>
      <c r="M21214">
        <v>0</v>
      </c>
      <c r="N21214">
        <v>0</v>
      </c>
    </row>
    <row r="21215" spans="1:15">
      <c r="A21215" t="s">
        <v>61373</v>
      </c>
      <c r="B21215" t="s">
        <v>11644</v>
      </c>
      <c r="C21215" t="s">
        <v>38978</v>
      </c>
      <c r="D21215" t="s">
        <v>61374</v>
      </c>
      <c r="E21215" t="b">
        <v>0</v>
      </c>
      <c r="F21215" t="s">
        <v>11624</v>
      </c>
      <c r="G21215">
        <v>32.285200000000003</v>
      </c>
      <c r="H21215">
        <v>77.991200000000006</v>
      </c>
      <c r="I21215" t="s">
        <v>61375</v>
      </c>
      <c r="L21215">
        <v>0</v>
      </c>
      <c r="M21215">
        <v>0</v>
      </c>
      <c r="N21215">
        <v>0</v>
      </c>
      <c r="O21215" t="s">
        <v>24774</v>
      </c>
    </row>
    <row r="21216" spans="1:15">
      <c r="A21216" t="s">
        <v>61376</v>
      </c>
      <c r="B21216" t="s">
        <v>12067</v>
      </c>
      <c r="C21216" t="s">
        <v>12068</v>
      </c>
      <c r="D21216" t="s">
        <v>61377</v>
      </c>
      <c r="E21216" t="b">
        <v>0</v>
      </c>
      <c r="F21216" t="s">
        <v>11610</v>
      </c>
      <c r="L21216">
        <v>0</v>
      </c>
      <c r="M21216">
        <v>0</v>
      </c>
      <c r="N21216">
        <v>0</v>
      </c>
    </row>
    <row r="21217" spans="1:15">
      <c r="A21217" t="s">
        <v>31860</v>
      </c>
      <c r="B21217" t="s">
        <v>367</v>
      </c>
      <c r="C21217" t="s">
        <v>19271</v>
      </c>
      <c r="D21217" t="s">
        <v>61378</v>
      </c>
      <c r="E21217" t="b">
        <v>0</v>
      </c>
      <c r="F21217" t="s">
        <v>11624</v>
      </c>
      <c r="G21217">
        <v>15.579700000000001</v>
      </c>
      <c r="H21217">
        <v>120.095</v>
      </c>
      <c r="I21217" t="s">
        <v>61379</v>
      </c>
      <c r="L21217">
        <v>0</v>
      </c>
      <c r="M21217">
        <v>0</v>
      </c>
      <c r="N21217">
        <v>3</v>
      </c>
      <c r="O21217" t="s">
        <v>11749</v>
      </c>
    </row>
    <row r="21218" spans="1:15">
      <c r="A21218" t="s">
        <v>61380</v>
      </c>
      <c r="B21218" t="s">
        <v>367</v>
      </c>
      <c r="C21218" t="s">
        <v>40914</v>
      </c>
      <c r="D21218" t="s">
        <v>61381</v>
      </c>
      <c r="E21218" t="b">
        <v>0</v>
      </c>
      <c r="F21218" t="s">
        <v>11610</v>
      </c>
      <c r="L21218">
        <v>0</v>
      </c>
      <c r="M21218">
        <v>0</v>
      </c>
      <c r="N21218">
        <v>0</v>
      </c>
    </row>
    <row r="21219" spans="1:15">
      <c r="A21219" t="s">
        <v>61382</v>
      </c>
      <c r="B21219" t="s">
        <v>367</v>
      </c>
      <c r="C21219" t="s">
        <v>59172</v>
      </c>
      <c r="D21219" t="s">
        <v>61383</v>
      </c>
      <c r="E21219" t="b">
        <v>0</v>
      </c>
      <c r="F21219" t="s">
        <v>11610</v>
      </c>
      <c r="L21219">
        <v>0</v>
      </c>
      <c r="M21219">
        <v>0</v>
      </c>
      <c r="N21219">
        <v>0</v>
      </c>
    </row>
    <row r="21220" spans="1:15">
      <c r="A21220" t="s">
        <v>61384</v>
      </c>
      <c r="B21220" t="s">
        <v>11607</v>
      </c>
      <c r="C21220" t="s">
        <v>14255</v>
      </c>
      <c r="D21220" t="s">
        <v>61385</v>
      </c>
      <c r="E21220" t="b">
        <v>0</v>
      </c>
      <c r="F21220" t="s">
        <v>11610</v>
      </c>
      <c r="L21220">
        <v>0</v>
      </c>
      <c r="M21220">
        <v>0</v>
      </c>
      <c r="N21220">
        <v>0</v>
      </c>
    </row>
    <row r="21221" spans="1:15">
      <c r="A21221" t="s">
        <v>19271</v>
      </c>
      <c r="B21221" t="s">
        <v>367</v>
      </c>
      <c r="C21221" t="s">
        <v>11740</v>
      </c>
      <c r="D21221" t="s">
        <v>61386</v>
      </c>
      <c r="E21221" t="b">
        <v>0</v>
      </c>
      <c r="F21221" t="s">
        <v>11622</v>
      </c>
      <c r="L21221">
        <v>0</v>
      </c>
      <c r="M21221">
        <v>2</v>
      </c>
      <c r="N21221">
        <v>3</v>
      </c>
    </row>
    <row r="21222" spans="1:15">
      <c r="A21222" t="s">
        <v>61387</v>
      </c>
      <c r="B21222" t="s">
        <v>12311</v>
      </c>
      <c r="C21222" t="s">
        <v>15890</v>
      </c>
      <c r="D21222" t="s">
        <v>61388</v>
      </c>
      <c r="E21222" t="b">
        <v>0</v>
      </c>
      <c r="F21222" t="s">
        <v>11624</v>
      </c>
      <c r="G21222">
        <v>42.331600000000002</v>
      </c>
      <c r="H21222">
        <v>45.922699999999999</v>
      </c>
      <c r="I21222" t="s">
        <v>61389</v>
      </c>
      <c r="L21222">
        <v>0</v>
      </c>
      <c r="M21222">
        <v>0</v>
      </c>
      <c r="N21222">
        <v>0</v>
      </c>
      <c r="O21222" t="s">
        <v>12748</v>
      </c>
    </row>
    <row r="21223" spans="1:15">
      <c r="A21223" t="s">
        <v>61390</v>
      </c>
      <c r="B21223" t="s">
        <v>367</v>
      </c>
      <c r="C21223" t="s">
        <v>17635</v>
      </c>
      <c r="D21223" t="s">
        <v>61391</v>
      </c>
      <c r="E21223" t="b">
        <v>0</v>
      </c>
      <c r="F21223" t="s">
        <v>11610</v>
      </c>
      <c r="L21223">
        <v>0</v>
      </c>
      <c r="M21223">
        <v>0</v>
      </c>
      <c r="N21223">
        <v>0</v>
      </c>
    </row>
    <row r="21224" spans="1:15">
      <c r="A21224" t="s">
        <v>61392</v>
      </c>
      <c r="B21224" t="s">
        <v>11627</v>
      </c>
      <c r="C21224" t="s">
        <v>11627</v>
      </c>
      <c r="D21224" t="s">
        <v>61393</v>
      </c>
      <c r="E21224" t="b">
        <v>1</v>
      </c>
      <c r="F21224" t="s">
        <v>11624</v>
      </c>
      <c r="G21224">
        <v>-11.5816</v>
      </c>
      <c r="H21224">
        <v>-37.537999999999997</v>
      </c>
      <c r="I21224" t="s">
        <v>61394</v>
      </c>
      <c r="L21224">
        <v>0</v>
      </c>
      <c r="M21224">
        <v>0</v>
      </c>
      <c r="N21224">
        <v>0</v>
      </c>
      <c r="O21224" t="s">
        <v>11969</v>
      </c>
    </row>
    <row r="21225" spans="1:15">
      <c r="A21225" t="s">
        <v>22290</v>
      </c>
      <c r="B21225" t="s">
        <v>11644</v>
      </c>
      <c r="C21225" t="s">
        <v>30548</v>
      </c>
      <c r="D21225" t="s">
        <v>61395</v>
      </c>
      <c r="E21225" t="b">
        <v>0</v>
      </c>
      <c r="F21225" t="s">
        <v>11610</v>
      </c>
      <c r="L21225">
        <v>0</v>
      </c>
      <c r="M21225">
        <v>0</v>
      </c>
      <c r="N21225">
        <v>8</v>
      </c>
    </row>
    <row r="21226" spans="1:15">
      <c r="A21226" t="s">
        <v>61396</v>
      </c>
      <c r="B21226" t="s">
        <v>6742</v>
      </c>
      <c r="C21226" t="s">
        <v>20968</v>
      </c>
      <c r="D21226" t="s">
        <v>61397</v>
      </c>
      <c r="E21226" t="b">
        <v>0</v>
      </c>
      <c r="F21226" t="s">
        <v>11610</v>
      </c>
      <c r="L21226">
        <v>0</v>
      </c>
      <c r="M21226">
        <v>0</v>
      </c>
      <c r="N21226">
        <v>0</v>
      </c>
    </row>
    <row r="21227" spans="1:15">
      <c r="A21227" t="s">
        <v>61398</v>
      </c>
      <c r="B21227" t="s">
        <v>367</v>
      </c>
      <c r="C21227" t="s">
        <v>16687</v>
      </c>
      <c r="D21227" t="s">
        <v>61399</v>
      </c>
      <c r="E21227" t="b">
        <v>0</v>
      </c>
      <c r="F21227" t="s">
        <v>11610</v>
      </c>
      <c r="L21227">
        <v>0</v>
      </c>
      <c r="M21227">
        <v>0</v>
      </c>
      <c r="N21227">
        <v>0</v>
      </c>
    </row>
    <row r="21228" spans="1:15">
      <c r="A21228" t="s">
        <v>61400</v>
      </c>
      <c r="B21228" t="s">
        <v>11627</v>
      </c>
      <c r="C21228" t="s">
        <v>11627</v>
      </c>
      <c r="D21228" t="s">
        <v>61401</v>
      </c>
      <c r="E21228" t="b">
        <v>1</v>
      </c>
      <c r="F21228" t="s">
        <v>11624</v>
      </c>
      <c r="G21228">
        <v>12.1797</v>
      </c>
      <c r="H21228">
        <v>31.124400000000001</v>
      </c>
      <c r="I21228" t="s">
        <v>61402</v>
      </c>
      <c r="L21228">
        <v>0</v>
      </c>
      <c r="M21228">
        <v>0</v>
      </c>
      <c r="N21228">
        <v>0</v>
      </c>
      <c r="O21228" t="s">
        <v>11910</v>
      </c>
    </row>
    <row r="21229" spans="1:15">
      <c r="A21229" t="s">
        <v>52110</v>
      </c>
      <c r="D21229" t="s">
        <v>61403</v>
      </c>
      <c r="E21229" t="b">
        <v>0</v>
      </c>
      <c r="F21229" t="s">
        <v>11624</v>
      </c>
      <c r="G21229">
        <v>2.7160000000000002</v>
      </c>
      <c r="H21229">
        <v>-73.768000000000001</v>
      </c>
      <c r="I21229" t="s">
        <v>61404</v>
      </c>
      <c r="L21229">
        <v>0</v>
      </c>
      <c r="M21229">
        <v>0</v>
      </c>
      <c r="N21229">
        <v>2</v>
      </c>
      <c r="O21229" t="s">
        <v>11898</v>
      </c>
    </row>
    <row r="21230" spans="1:15">
      <c r="A21230" t="s">
        <v>61405</v>
      </c>
      <c r="B21230" t="s">
        <v>52110</v>
      </c>
      <c r="C21230" t="s">
        <v>52110</v>
      </c>
      <c r="D21230" t="s">
        <v>61406</v>
      </c>
      <c r="E21230" t="b">
        <v>0</v>
      </c>
      <c r="F21230" t="s">
        <v>11610</v>
      </c>
      <c r="L21230">
        <v>0</v>
      </c>
      <c r="M21230">
        <v>0</v>
      </c>
      <c r="N21230">
        <v>0</v>
      </c>
    </row>
    <row r="21231" spans="1:15">
      <c r="A21231" t="s">
        <v>61407</v>
      </c>
      <c r="B21231" t="s">
        <v>367</v>
      </c>
      <c r="C21231" t="s">
        <v>15941</v>
      </c>
      <c r="D21231" t="s">
        <v>61408</v>
      </c>
      <c r="E21231" t="b">
        <v>0</v>
      </c>
      <c r="F21231" t="s">
        <v>11610</v>
      </c>
      <c r="L21231">
        <v>0</v>
      </c>
      <c r="M21231">
        <v>0</v>
      </c>
      <c r="N21231">
        <v>0</v>
      </c>
    </row>
    <row r="21232" spans="1:15">
      <c r="A21232" t="s">
        <v>20110</v>
      </c>
      <c r="B21232" t="s">
        <v>11637</v>
      </c>
      <c r="C21232" t="s">
        <v>11822</v>
      </c>
      <c r="D21232" t="s">
        <v>61409</v>
      </c>
      <c r="E21232" t="b">
        <v>0</v>
      </c>
      <c r="F21232" t="s">
        <v>11610</v>
      </c>
      <c r="L21232">
        <v>0</v>
      </c>
      <c r="M21232">
        <v>0</v>
      </c>
      <c r="N21232">
        <v>3</v>
      </c>
    </row>
    <row r="21233" spans="1:15">
      <c r="A21233" t="s">
        <v>42210</v>
      </c>
      <c r="B21233" t="s">
        <v>12438</v>
      </c>
      <c r="C21233" t="s">
        <v>52904</v>
      </c>
      <c r="D21233" t="s">
        <v>61410</v>
      </c>
      <c r="E21233" t="b">
        <v>0</v>
      </c>
      <c r="F21233" t="s">
        <v>11622</v>
      </c>
      <c r="L21233">
        <v>0</v>
      </c>
      <c r="M21233">
        <v>2</v>
      </c>
      <c r="N21233">
        <v>0</v>
      </c>
    </row>
    <row r="21234" spans="1:15">
      <c r="A21234" t="s">
        <v>61411</v>
      </c>
      <c r="B21234" t="s">
        <v>367</v>
      </c>
      <c r="C21234" t="s">
        <v>12443</v>
      </c>
      <c r="D21234" t="s">
        <v>61412</v>
      </c>
      <c r="E21234" t="b">
        <v>0</v>
      </c>
      <c r="F21234" t="s">
        <v>11610</v>
      </c>
      <c r="G21234">
        <v>16.789899999999999</v>
      </c>
      <c r="H21234">
        <v>120.994</v>
      </c>
      <c r="I21234" t="s">
        <v>61413</v>
      </c>
      <c r="L21234">
        <v>0</v>
      </c>
      <c r="M21234">
        <v>0</v>
      </c>
      <c r="N21234">
        <v>0</v>
      </c>
      <c r="O21234" t="s">
        <v>11749</v>
      </c>
    </row>
    <row r="21235" spans="1:15">
      <c r="A21235" t="s">
        <v>61414</v>
      </c>
      <c r="B21235" t="s">
        <v>367</v>
      </c>
      <c r="C21235" t="s">
        <v>30531</v>
      </c>
      <c r="D21235" t="s">
        <v>61415</v>
      </c>
      <c r="E21235" t="b">
        <v>0</v>
      </c>
      <c r="F21235" t="s">
        <v>11624</v>
      </c>
      <c r="G21235">
        <v>-5.5835800000000004</v>
      </c>
      <c r="H21235">
        <v>154.97200000000001</v>
      </c>
      <c r="I21235" t="s">
        <v>61416</v>
      </c>
      <c r="L21235">
        <v>0</v>
      </c>
      <c r="M21235">
        <v>0</v>
      </c>
      <c r="N21235">
        <v>7</v>
      </c>
      <c r="O21235" t="s">
        <v>11660</v>
      </c>
    </row>
    <row r="21236" spans="1:15">
      <c r="A21236" t="s">
        <v>30531</v>
      </c>
      <c r="B21236" t="s">
        <v>367</v>
      </c>
      <c r="C21236" t="s">
        <v>55914</v>
      </c>
      <c r="D21236" t="s">
        <v>61417</v>
      </c>
      <c r="E21236" t="b">
        <v>0</v>
      </c>
      <c r="F21236" t="s">
        <v>11622</v>
      </c>
      <c r="L21236">
        <v>0</v>
      </c>
      <c r="M21236">
        <v>3</v>
      </c>
      <c r="N21236">
        <v>15</v>
      </c>
    </row>
    <row r="21237" spans="1:15">
      <c r="A21237" t="s">
        <v>61418</v>
      </c>
      <c r="B21237" t="s">
        <v>11637</v>
      </c>
      <c r="C21237" t="s">
        <v>20110</v>
      </c>
      <c r="D21237" t="s">
        <v>61419</v>
      </c>
      <c r="E21237" t="b">
        <v>0</v>
      </c>
      <c r="F21237" t="s">
        <v>11610</v>
      </c>
      <c r="L21237">
        <v>0</v>
      </c>
      <c r="M21237">
        <v>0</v>
      </c>
      <c r="N21237">
        <v>0</v>
      </c>
    </row>
    <row r="21238" spans="1:15">
      <c r="A21238" t="s">
        <v>61420</v>
      </c>
      <c r="B21238" t="s">
        <v>11644</v>
      </c>
      <c r="C21238" t="s">
        <v>16472</v>
      </c>
      <c r="D21238" t="s">
        <v>61421</v>
      </c>
      <c r="E21238" t="b">
        <v>0</v>
      </c>
      <c r="F21238" t="s">
        <v>11610</v>
      </c>
      <c r="L21238">
        <v>0</v>
      </c>
      <c r="M21238">
        <v>0</v>
      </c>
      <c r="N21238">
        <v>0</v>
      </c>
    </row>
    <row r="21239" spans="1:15">
      <c r="A21239" t="s">
        <v>61422</v>
      </c>
      <c r="B21239" t="s">
        <v>6742</v>
      </c>
      <c r="C21239" t="s">
        <v>27504</v>
      </c>
      <c r="D21239" t="s">
        <v>61423</v>
      </c>
      <c r="E21239" t="b">
        <v>0</v>
      </c>
      <c r="F21239" t="s">
        <v>11610</v>
      </c>
      <c r="L21239">
        <v>0</v>
      </c>
      <c r="M21239">
        <v>0</v>
      </c>
      <c r="N21239">
        <v>0</v>
      </c>
    </row>
    <row r="21240" spans="1:15">
      <c r="A21240" t="s">
        <v>61424</v>
      </c>
      <c r="B21240" t="s">
        <v>6742</v>
      </c>
      <c r="C21240" t="s">
        <v>11720</v>
      </c>
      <c r="D21240" t="s">
        <v>61425</v>
      </c>
      <c r="E21240" t="b">
        <v>0</v>
      </c>
      <c r="F21240" t="s">
        <v>11610</v>
      </c>
      <c r="L21240">
        <v>0</v>
      </c>
      <c r="M21240">
        <v>0</v>
      </c>
      <c r="N21240">
        <v>0</v>
      </c>
    </row>
    <row r="21241" spans="1:15">
      <c r="A21241" t="s">
        <v>61426</v>
      </c>
      <c r="B21241" t="s">
        <v>11615</v>
      </c>
      <c r="C21241" t="s">
        <v>32578</v>
      </c>
      <c r="D21241" t="s">
        <v>61427</v>
      </c>
      <c r="E21241" t="b">
        <v>0</v>
      </c>
      <c r="F21241" t="s">
        <v>11610</v>
      </c>
      <c r="L21241">
        <v>0</v>
      </c>
      <c r="M21241">
        <v>0</v>
      </c>
      <c r="N21241">
        <v>0</v>
      </c>
    </row>
    <row r="21242" spans="1:15">
      <c r="A21242" t="s">
        <v>61428</v>
      </c>
      <c r="B21242" t="s">
        <v>11615</v>
      </c>
      <c r="C21242" t="s">
        <v>29271</v>
      </c>
      <c r="D21242" t="s">
        <v>61429</v>
      </c>
      <c r="E21242" t="b">
        <v>0</v>
      </c>
      <c r="F21242" t="s">
        <v>11610</v>
      </c>
      <c r="L21242">
        <v>0</v>
      </c>
      <c r="M21242">
        <v>0</v>
      </c>
      <c r="N21242">
        <v>0</v>
      </c>
    </row>
    <row r="21243" spans="1:15">
      <c r="A21243" t="s">
        <v>36983</v>
      </c>
      <c r="B21243" t="s">
        <v>11644</v>
      </c>
      <c r="C21243" t="s">
        <v>24824</v>
      </c>
      <c r="D21243" t="s">
        <v>61430</v>
      </c>
      <c r="E21243" t="b">
        <v>0</v>
      </c>
      <c r="F21243" t="s">
        <v>11622</v>
      </c>
      <c r="L21243">
        <v>0</v>
      </c>
      <c r="M21243">
        <v>4</v>
      </c>
      <c r="N21243">
        <v>4</v>
      </c>
    </row>
    <row r="21244" spans="1:15">
      <c r="A21244" t="s">
        <v>61431</v>
      </c>
      <c r="B21244" t="s">
        <v>11644</v>
      </c>
      <c r="C21244" t="s">
        <v>36983</v>
      </c>
      <c r="D21244" t="s">
        <v>61432</v>
      </c>
      <c r="E21244" t="b">
        <v>0</v>
      </c>
      <c r="F21244" t="s">
        <v>11624</v>
      </c>
      <c r="G21244">
        <v>23.586400000000001</v>
      </c>
      <c r="H21244">
        <v>92.074700000000007</v>
      </c>
      <c r="I21244" t="s">
        <v>61433</v>
      </c>
      <c r="L21244">
        <v>0</v>
      </c>
      <c r="M21244">
        <v>0</v>
      </c>
      <c r="N21244">
        <v>0</v>
      </c>
      <c r="O21244" t="s">
        <v>15054</v>
      </c>
    </row>
    <row r="21245" spans="1:15">
      <c r="A21245" t="s">
        <v>61434</v>
      </c>
      <c r="B21245" t="s">
        <v>11637</v>
      </c>
      <c r="C21245" t="s">
        <v>24913</v>
      </c>
      <c r="D21245" t="s">
        <v>61435</v>
      </c>
      <c r="E21245" t="b">
        <v>0</v>
      </c>
      <c r="F21245" t="s">
        <v>11624</v>
      </c>
      <c r="G21245">
        <v>34.179200000000002</v>
      </c>
      <c r="H21245">
        <v>69.590100000000007</v>
      </c>
      <c r="I21245" t="s">
        <v>61436</v>
      </c>
      <c r="L21245">
        <v>0</v>
      </c>
      <c r="M21245">
        <v>0</v>
      </c>
      <c r="N21245">
        <v>0</v>
      </c>
      <c r="O21245" t="s">
        <v>12131</v>
      </c>
    </row>
    <row r="21246" spans="1:15">
      <c r="A21246" t="s">
        <v>36566</v>
      </c>
      <c r="B21246" t="s">
        <v>21516</v>
      </c>
      <c r="C21246" t="s">
        <v>45367</v>
      </c>
      <c r="D21246" t="s">
        <v>61437</v>
      </c>
      <c r="E21246" t="b">
        <v>0</v>
      </c>
      <c r="F21246" t="s">
        <v>11624</v>
      </c>
      <c r="G21246">
        <v>11.096299999999999</v>
      </c>
      <c r="H21246">
        <v>30.809200000000001</v>
      </c>
      <c r="I21246" t="s">
        <v>61438</v>
      </c>
      <c r="L21246">
        <v>0</v>
      </c>
      <c r="M21246">
        <v>0</v>
      </c>
      <c r="N21246">
        <v>4</v>
      </c>
      <c r="O21246" t="s">
        <v>11910</v>
      </c>
    </row>
    <row r="21247" spans="1:15">
      <c r="A21247" t="s">
        <v>61439</v>
      </c>
      <c r="B21247" t="s">
        <v>21516</v>
      </c>
      <c r="C21247" t="s">
        <v>36566</v>
      </c>
      <c r="D21247" t="s">
        <v>61440</v>
      </c>
      <c r="E21247" t="b">
        <v>0</v>
      </c>
      <c r="F21247" t="s">
        <v>11610</v>
      </c>
      <c r="L21247">
        <v>0</v>
      </c>
      <c r="M21247">
        <v>0</v>
      </c>
      <c r="N21247">
        <v>0</v>
      </c>
    </row>
    <row r="21248" spans="1:15">
      <c r="A21248" t="s">
        <v>61441</v>
      </c>
      <c r="B21248" t="s">
        <v>21516</v>
      </c>
      <c r="C21248" t="s">
        <v>36566</v>
      </c>
      <c r="D21248" t="s">
        <v>61442</v>
      </c>
      <c r="E21248" t="b">
        <v>0</v>
      </c>
      <c r="F21248" t="s">
        <v>11610</v>
      </c>
      <c r="L21248">
        <v>0</v>
      </c>
      <c r="M21248">
        <v>0</v>
      </c>
      <c r="N21248">
        <v>0</v>
      </c>
    </row>
    <row r="21249" spans="1:15">
      <c r="A21249" t="s">
        <v>61443</v>
      </c>
      <c r="B21249" t="s">
        <v>21516</v>
      </c>
      <c r="C21249" t="s">
        <v>36566</v>
      </c>
      <c r="D21249" t="s">
        <v>61444</v>
      </c>
      <c r="E21249" t="b">
        <v>0</v>
      </c>
      <c r="F21249" t="s">
        <v>11610</v>
      </c>
      <c r="L21249">
        <v>0</v>
      </c>
      <c r="M21249">
        <v>0</v>
      </c>
      <c r="N21249">
        <v>0</v>
      </c>
    </row>
    <row r="21250" spans="1:15">
      <c r="A21250" t="s">
        <v>61445</v>
      </c>
      <c r="B21250" t="s">
        <v>1342</v>
      </c>
      <c r="C21250" t="s">
        <v>13525</v>
      </c>
      <c r="D21250" t="s">
        <v>61446</v>
      </c>
      <c r="E21250" t="b">
        <v>0</v>
      </c>
      <c r="F21250" t="s">
        <v>11624</v>
      </c>
      <c r="G21250">
        <v>14.76</v>
      </c>
      <c r="H21250">
        <v>-3.7</v>
      </c>
      <c r="I21250" t="s">
        <v>61447</v>
      </c>
      <c r="L21250">
        <v>0</v>
      </c>
      <c r="M21250">
        <v>0</v>
      </c>
      <c r="N21250">
        <v>0</v>
      </c>
      <c r="O21250" t="s">
        <v>13528</v>
      </c>
    </row>
    <row r="21251" spans="1:15">
      <c r="A21251" t="s">
        <v>61448</v>
      </c>
      <c r="B21251" t="s">
        <v>11637</v>
      </c>
      <c r="C21251" t="s">
        <v>34683</v>
      </c>
      <c r="D21251" t="s">
        <v>61449</v>
      </c>
      <c r="E21251" t="b">
        <v>0</v>
      </c>
      <c r="F21251" t="s">
        <v>11610</v>
      </c>
      <c r="L21251">
        <v>0</v>
      </c>
      <c r="M21251">
        <v>0</v>
      </c>
      <c r="N21251">
        <v>0</v>
      </c>
    </row>
    <row r="21252" spans="1:15">
      <c r="A21252" t="s">
        <v>61450</v>
      </c>
      <c r="B21252" t="s">
        <v>11637</v>
      </c>
      <c r="C21252" t="s">
        <v>13063</v>
      </c>
      <c r="D21252" t="s">
        <v>61451</v>
      </c>
      <c r="E21252" t="b">
        <v>0</v>
      </c>
      <c r="F21252" t="s">
        <v>11610</v>
      </c>
      <c r="L21252">
        <v>0</v>
      </c>
      <c r="M21252">
        <v>0</v>
      </c>
      <c r="N21252">
        <v>0</v>
      </c>
    </row>
    <row r="21253" spans="1:15">
      <c r="A21253" t="s">
        <v>61452</v>
      </c>
      <c r="B21253" t="s">
        <v>11637</v>
      </c>
      <c r="C21253" t="s">
        <v>15841</v>
      </c>
      <c r="D21253" t="s">
        <v>61453</v>
      </c>
      <c r="E21253" t="b">
        <v>0</v>
      </c>
      <c r="F21253" t="s">
        <v>11610</v>
      </c>
      <c r="L21253">
        <v>0</v>
      </c>
      <c r="M21253">
        <v>0</v>
      </c>
      <c r="N21253">
        <v>0</v>
      </c>
    </row>
    <row r="21254" spans="1:15">
      <c r="A21254" t="s">
        <v>61454</v>
      </c>
      <c r="B21254" t="s">
        <v>11844</v>
      </c>
      <c r="C21254" t="s">
        <v>2266</v>
      </c>
      <c r="D21254" t="s">
        <v>61455</v>
      </c>
      <c r="E21254" t="b">
        <v>0</v>
      </c>
      <c r="F21254" t="s">
        <v>11610</v>
      </c>
      <c r="L21254">
        <v>0</v>
      </c>
      <c r="M21254">
        <v>0</v>
      </c>
      <c r="N21254">
        <v>0</v>
      </c>
    </row>
    <row r="21255" spans="1:15">
      <c r="A21255" t="s">
        <v>61456</v>
      </c>
      <c r="B21255" t="s">
        <v>6742</v>
      </c>
      <c r="C21255" t="s">
        <v>31957</v>
      </c>
      <c r="D21255" t="s">
        <v>61457</v>
      </c>
      <c r="E21255" t="b">
        <v>0</v>
      </c>
      <c r="F21255" t="s">
        <v>11610</v>
      </c>
      <c r="L21255">
        <v>0</v>
      </c>
      <c r="M21255">
        <v>0</v>
      </c>
      <c r="N21255">
        <v>0</v>
      </c>
    </row>
    <row r="21256" spans="1:15">
      <c r="A21256" t="s">
        <v>43875</v>
      </c>
      <c r="B21256" t="s">
        <v>367</v>
      </c>
      <c r="C21256" t="s">
        <v>31487</v>
      </c>
      <c r="D21256" t="s">
        <v>61458</v>
      </c>
      <c r="E21256" t="b">
        <v>0</v>
      </c>
      <c r="F21256" t="s">
        <v>11624</v>
      </c>
      <c r="G21256">
        <v>-21.814699999999998</v>
      </c>
      <c r="H21256">
        <v>165.792</v>
      </c>
      <c r="I21256" t="s">
        <v>61459</v>
      </c>
      <c r="L21256">
        <v>0</v>
      </c>
      <c r="M21256">
        <v>0</v>
      </c>
      <c r="N21256">
        <v>2</v>
      </c>
      <c r="O21256" t="s">
        <v>12624</v>
      </c>
    </row>
    <row r="21257" spans="1:15">
      <c r="A21257" t="s">
        <v>11795</v>
      </c>
      <c r="B21257" t="s">
        <v>11794</v>
      </c>
      <c r="C21257" t="s">
        <v>11794</v>
      </c>
      <c r="D21257" t="s">
        <v>61460</v>
      </c>
      <c r="E21257" t="b">
        <v>0</v>
      </c>
      <c r="F21257" t="s">
        <v>11622</v>
      </c>
      <c r="L21257">
        <v>1</v>
      </c>
      <c r="M21257">
        <v>5</v>
      </c>
      <c r="N21257">
        <v>1</v>
      </c>
    </row>
    <row r="21258" spans="1:15">
      <c r="A21258" t="s">
        <v>12854</v>
      </c>
      <c r="B21258" t="s">
        <v>8310</v>
      </c>
      <c r="C21258" t="s">
        <v>21142</v>
      </c>
      <c r="D21258" t="s">
        <v>61461</v>
      </c>
      <c r="E21258" t="b">
        <v>0</v>
      </c>
      <c r="F21258" t="s">
        <v>11622</v>
      </c>
      <c r="L21258">
        <v>0</v>
      </c>
      <c r="M21258">
        <v>3</v>
      </c>
      <c r="N21258">
        <v>1</v>
      </c>
    </row>
    <row r="21259" spans="1:15">
      <c r="A21259" t="s">
        <v>61462</v>
      </c>
      <c r="B21259" t="s">
        <v>367</v>
      </c>
      <c r="C21259" t="s">
        <v>43875</v>
      </c>
      <c r="D21259" t="s">
        <v>61463</v>
      </c>
      <c r="E21259" t="b">
        <v>0</v>
      </c>
      <c r="F21259" t="s">
        <v>11610</v>
      </c>
      <c r="L21259">
        <v>0</v>
      </c>
      <c r="M21259">
        <v>0</v>
      </c>
      <c r="N21259">
        <v>0</v>
      </c>
    </row>
    <row r="21260" spans="1:15">
      <c r="A21260" t="s">
        <v>61464</v>
      </c>
      <c r="B21260" t="s">
        <v>15569</v>
      </c>
      <c r="C21260" t="s">
        <v>22127</v>
      </c>
      <c r="D21260" t="s">
        <v>61465</v>
      </c>
      <c r="E21260" t="b">
        <v>0</v>
      </c>
      <c r="F21260" t="s">
        <v>11610</v>
      </c>
      <c r="L21260">
        <v>0</v>
      </c>
      <c r="M21260">
        <v>0</v>
      </c>
      <c r="N21260">
        <v>0</v>
      </c>
    </row>
    <row r="21261" spans="1:15">
      <c r="A21261" t="s">
        <v>61466</v>
      </c>
      <c r="B21261" t="s">
        <v>367</v>
      </c>
      <c r="C21261" t="s">
        <v>18602</v>
      </c>
      <c r="D21261" t="s">
        <v>61467</v>
      </c>
      <c r="E21261" t="b">
        <v>0</v>
      </c>
      <c r="F21261" t="s">
        <v>11624</v>
      </c>
      <c r="G21261">
        <v>6.7732099999999997</v>
      </c>
      <c r="H21261">
        <v>124.127</v>
      </c>
      <c r="I21261" t="s">
        <v>61468</v>
      </c>
      <c r="L21261">
        <v>0</v>
      </c>
      <c r="M21261">
        <v>0</v>
      </c>
      <c r="N21261">
        <v>0</v>
      </c>
      <c r="O21261" t="s">
        <v>11749</v>
      </c>
    </row>
    <row r="21262" spans="1:15">
      <c r="A21262" t="s">
        <v>61469</v>
      </c>
      <c r="B21262" t="s">
        <v>15569</v>
      </c>
      <c r="C21262" t="s">
        <v>19050</v>
      </c>
      <c r="D21262" t="s">
        <v>61470</v>
      </c>
      <c r="E21262" t="b">
        <v>0</v>
      </c>
      <c r="F21262" t="s">
        <v>11610</v>
      </c>
      <c r="L21262">
        <v>0</v>
      </c>
      <c r="M21262">
        <v>0</v>
      </c>
      <c r="N21262">
        <v>0</v>
      </c>
    </row>
    <row r="21263" spans="1:15">
      <c r="A21263" t="s">
        <v>61471</v>
      </c>
      <c r="B21263" t="s">
        <v>367</v>
      </c>
      <c r="C21263" t="s">
        <v>54474</v>
      </c>
      <c r="D21263" t="s">
        <v>61472</v>
      </c>
      <c r="E21263" t="b">
        <v>0</v>
      </c>
      <c r="F21263" t="s">
        <v>11610</v>
      </c>
      <c r="L21263">
        <v>0</v>
      </c>
      <c r="M21263">
        <v>0</v>
      </c>
      <c r="N21263">
        <v>0</v>
      </c>
    </row>
    <row r="21264" spans="1:15">
      <c r="A21264" t="s">
        <v>61473</v>
      </c>
      <c r="B21264" t="s">
        <v>11607</v>
      </c>
      <c r="C21264" t="s">
        <v>13139</v>
      </c>
      <c r="D21264" t="s">
        <v>61474</v>
      </c>
      <c r="E21264" t="b">
        <v>0</v>
      </c>
      <c r="F21264" t="s">
        <v>11610</v>
      </c>
      <c r="L21264">
        <v>0</v>
      </c>
      <c r="M21264">
        <v>0</v>
      </c>
      <c r="N21264">
        <v>0</v>
      </c>
    </row>
    <row r="21265" spans="1:15">
      <c r="A21265" t="s">
        <v>61475</v>
      </c>
      <c r="B21265" t="s">
        <v>6742</v>
      </c>
      <c r="C21265" t="s">
        <v>16024</v>
      </c>
      <c r="D21265" t="s">
        <v>61476</v>
      </c>
      <c r="E21265" t="b">
        <v>0</v>
      </c>
      <c r="F21265" t="s">
        <v>11624</v>
      </c>
      <c r="G21265">
        <v>8.1938200000000005</v>
      </c>
      <c r="H21265">
        <v>10.1272</v>
      </c>
      <c r="I21265" t="s">
        <v>61477</v>
      </c>
      <c r="L21265">
        <v>0</v>
      </c>
      <c r="M21265">
        <v>0</v>
      </c>
      <c r="N21265">
        <v>0</v>
      </c>
      <c r="O21265" t="s">
        <v>11693</v>
      </c>
    </row>
    <row r="21266" spans="1:15">
      <c r="A21266" t="s">
        <v>7806</v>
      </c>
      <c r="B21266" t="s">
        <v>367</v>
      </c>
      <c r="C21266" t="s">
        <v>19786</v>
      </c>
      <c r="D21266" t="s">
        <v>61478</v>
      </c>
      <c r="E21266" t="b">
        <v>0</v>
      </c>
      <c r="F21266" t="s">
        <v>11624</v>
      </c>
      <c r="G21266">
        <v>-2.1816800000000001</v>
      </c>
      <c r="H21266">
        <v>146.88800000000001</v>
      </c>
      <c r="I21266" t="s">
        <v>7807</v>
      </c>
      <c r="L21266">
        <v>0</v>
      </c>
      <c r="M21266">
        <v>0</v>
      </c>
      <c r="N21266">
        <v>0</v>
      </c>
      <c r="O21266" t="s">
        <v>11660</v>
      </c>
    </row>
    <row r="21267" spans="1:15">
      <c r="A21267" t="s">
        <v>61479</v>
      </c>
      <c r="B21267" t="s">
        <v>6742</v>
      </c>
      <c r="C21267" t="s">
        <v>20994</v>
      </c>
      <c r="D21267" t="s">
        <v>61480</v>
      </c>
      <c r="E21267" t="b">
        <v>0</v>
      </c>
      <c r="F21267" t="s">
        <v>11610</v>
      </c>
      <c r="L21267">
        <v>0</v>
      </c>
      <c r="M21267">
        <v>0</v>
      </c>
      <c r="N21267">
        <v>0</v>
      </c>
    </row>
    <row r="21268" spans="1:15">
      <c r="A21268" t="s">
        <v>61481</v>
      </c>
      <c r="B21268" t="s">
        <v>11607</v>
      </c>
      <c r="C21268" t="s">
        <v>61229</v>
      </c>
      <c r="D21268" t="s">
        <v>61482</v>
      </c>
      <c r="E21268" t="b">
        <v>0</v>
      </c>
      <c r="F21268" t="s">
        <v>11610</v>
      </c>
      <c r="L21268">
        <v>0</v>
      </c>
      <c r="M21268">
        <v>0</v>
      </c>
      <c r="N21268">
        <v>0</v>
      </c>
    </row>
    <row r="21269" spans="1:15">
      <c r="A21269" t="s">
        <v>61483</v>
      </c>
      <c r="B21269" t="s">
        <v>8310</v>
      </c>
      <c r="C21269" t="s">
        <v>61484</v>
      </c>
      <c r="D21269" t="s">
        <v>61485</v>
      </c>
      <c r="E21269" t="b">
        <v>0</v>
      </c>
      <c r="F21269" t="s">
        <v>11624</v>
      </c>
      <c r="G21269">
        <v>10.102185</v>
      </c>
      <c r="H21269">
        <v>-62.515411</v>
      </c>
      <c r="L21269">
        <v>0</v>
      </c>
      <c r="M21269">
        <v>0</v>
      </c>
      <c r="N21269">
        <v>0</v>
      </c>
      <c r="O21269" t="s">
        <v>16711</v>
      </c>
    </row>
    <row r="21270" spans="1:15">
      <c r="A21270" t="s">
        <v>27541</v>
      </c>
      <c r="B21270" t="s">
        <v>6742</v>
      </c>
      <c r="C21270" t="s">
        <v>21857</v>
      </c>
      <c r="D21270" t="s">
        <v>61486</v>
      </c>
      <c r="E21270" t="b">
        <v>0</v>
      </c>
      <c r="F21270" t="s">
        <v>11622</v>
      </c>
      <c r="L21270">
        <v>1</v>
      </c>
      <c r="M21270">
        <v>4</v>
      </c>
      <c r="N21270">
        <v>11</v>
      </c>
    </row>
    <row r="21271" spans="1:15">
      <c r="A21271" t="s">
        <v>33003</v>
      </c>
      <c r="B21271" t="s">
        <v>6742</v>
      </c>
      <c r="C21271" t="s">
        <v>27541</v>
      </c>
      <c r="D21271" t="s">
        <v>61487</v>
      </c>
      <c r="E21271" t="b">
        <v>0</v>
      </c>
      <c r="F21271" t="s">
        <v>11622</v>
      </c>
      <c r="L21271">
        <v>0</v>
      </c>
      <c r="M21271">
        <v>3</v>
      </c>
      <c r="N21271">
        <v>11</v>
      </c>
    </row>
    <row r="21272" spans="1:15">
      <c r="A21272" t="s">
        <v>21844</v>
      </c>
      <c r="B21272" t="s">
        <v>6742</v>
      </c>
      <c r="C21272" t="s">
        <v>11700</v>
      </c>
      <c r="D21272" t="s">
        <v>61488</v>
      </c>
      <c r="E21272" t="b">
        <v>0</v>
      </c>
      <c r="F21272" t="s">
        <v>11622</v>
      </c>
      <c r="L21272">
        <v>6</v>
      </c>
      <c r="M21272">
        <v>14</v>
      </c>
      <c r="N21272">
        <v>24</v>
      </c>
    </row>
    <row r="21273" spans="1:15">
      <c r="A21273" t="s">
        <v>31949</v>
      </c>
      <c r="B21273" t="s">
        <v>6742</v>
      </c>
      <c r="C21273" t="s">
        <v>33003</v>
      </c>
      <c r="D21273" t="s">
        <v>61489</v>
      </c>
      <c r="E21273" t="b">
        <v>0</v>
      </c>
      <c r="F21273" t="s">
        <v>11624</v>
      </c>
      <c r="G21273">
        <v>6.8803900000000002</v>
      </c>
      <c r="H21273">
        <v>9.2628699999999995</v>
      </c>
      <c r="I21273" t="s">
        <v>61490</v>
      </c>
      <c r="L21273">
        <v>0</v>
      </c>
      <c r="M21273">
        <v>0</v>
      </c>
      <c r="N21273">
        <v>11</v>
      </c>
      <c r="O21273" t="s">
        <v>11802</v>
      </c>
    </row>
    <row r="21274" spans="1:15">
      <c r="A21274" t="s">
        <v>61491</v>
      </c>
      <c r="B21274" t="s">
        <v>11644</v>
      </c>
      <c r="C21274" t="s">
        <v>19083</v>
      </c>
      <c r="D21274" t="s">
        <v>61492</v>
      </c>
      <c r="E21274" t="b">
        <v>0</v>
      </c>
      <c r="F21274" t="s">
        <v>11624</v>
      </c>
      <c r="G21274">
        <v>26.066700000000001</v>
      </c>
      <c r="H21274">
        <v>92.258300000000006</v>
      </c>
      <c r="I21274" t="s">
        <v>61493</v>
      </c>
      <c r="L21274">
        <v>0</v>
      </c>
      <c r="M21274">
        <v>0</v>
      </c>
      <c r="N21274">
        <v>0</v>
      </c>
      <c r="O21274" t="s">
        <v>11630</v>
      </c>
    </row>
    <row r="21275" spans="1:15">
      <c r="A21275" t="s">
        <v>53195</v>
      </c>
      <c r="B21275" t="s">
        <v>14571</v>
      </c>
      <c r="C21275" t="s">
        <v>14571</v>
      </c>
      <c r="D21275" t="s">
        <v>61494</v>
      </c>
      <c r="E21275" t="b">
        <v>0</v>
      </c>
      <c r="F21275" t="s">
        <v>11622</v>
      </c>
      <c r="L21275">
        <v>2</v>
      </c>
      <c r="M21275">
        <v>4</v>
      </c>
      <c r="N21275">
        <v>3</v>
      </c>
    </row>
    <row r="21276" spans="1:15">
      <c r="A21276" t="s">
        <v>58544</v>
      </c>
      <c r="B21276" t="s">
        <v>14571</v>
      </c>
      <c r="C21276" t="s">
        <v>53195</v>
      </c>
      <c r="D21276" t="s">
        <v>61495</v>
      </c>
      <c r="E21276" t="b">
        <v>0</v>
      </c>
      <c r="F21276" t="s">
        <v>11622</v>
      </c>
      <c r="L21276">
        <v>1</v>
      </c>
      <c r="M21276">
        <v>3</v>
      </c>
      <c r="N21276">
        <v>3</v>
      </c>
    </row>
    <row r="21277" spans="1:15">
      <c r="A21277" t="s">
        <v>19083</v>
      </c>
      <c r="B21277" t="s">
        <v>11644</v>
      </c>
      <c r="C21277" t="s">
        <v>19645</v>
      </c>
      <c r="D21277" t="s">
        <v>61496</v>
      </c>
      <c r="E21277" t="b">
        <v>0</v>
      </c>
      <c r="F21277" t="s">
        <v>11622</v>
      </c>
      <c r="L21277">
        <v>1</v>
      </c>
      <c r="M21277">
        <v>3</v>
      </c>
      <c r="N21277">
        <v>2</v>
      </c>
    </row>
    <row r="21278" spans="1:15">
      <c r="A21278" t="s">
        <v>61497</v>
      </c>
      <c r="D21278" t="s">
        <v>61498</v>
      </c>
      <c r="E21278" t="b">
        <v>0</v>
      </c>
      <c r="F21278" t="s">
        <v>11624</v>
      </c>
      <c r="G21278">
        <v>-11.630800000000001</v>
      </c>
      <c r="H21278">
        <v>130.94900000000001</v>
      </c>
      <c r="I21278" t="s">
        <v>61499</v>
      </c>
      <c r="L21278">
        <v>0</v>
      </c>
      <c r="M21278">
        <v>0</v>
      </c>
      <c r="N21278">
        <v>0</v>
      </c>
      <c r="O21278" t="s">
        <v>12107</v>
      </c>
    </row>
    <row r="21279" spans="1:15">
      <c r="A21279" t="s">
        <v>61500</v>
      </c>
      <c r="B21279" t="s">
        <v>367</v>
      </c>
      <c r="C21279" t="s">
        <v>30067</v>
      </c>
      <c r="D21279" t="s">
        <v>61501</v>
      </c>
      <c r="E21279" t="b">
        <v>0</v>
      </c>
      <c r="F21279" t="s">
        <v>11610</v>
      </c>
      <c r="L21279">
        <v>0</v>
      </c>
      <c r="M21279">
        <v>0</v>
      </c>
      <c r="N21279">
        <v>0</v>
      </c>
    </row>
    <row r="21280" spans="1:15">
      <c r="A21280" t="s">
        <v>61502</v>
      </c>
      <c r="B21280" t="s">
        <v>6742</v>
      </c>
      <c r="C21280" t="s">
        <v>23053</v>
      </c>
      <c r="D21280" t="s">
        <v>61503</v>
      </c>
      <c r="E21280" t="b">
        <v>0</v>
      </c>
      <c r="F21280" t="s">
        <v>11610</v>
      </c>
      <c r="L21280">
        <v>0</v>
      </c>
      <c r="M21280">
        <v>0</v>
      </c>
      <c r="N21280">
        <v>0</v>
      </c>
    </row>
    <row r="21281" spans="1:15">
      <c r="A21281" t="s">
        <v>61504</v>
      </c>
      <c r="B21281" t="s">
        <v>10597</v>
      </c>
      <c r="C21281" t="s">
        <v>30142</v>
      </c>
      <c r="D21281" t="s">
        <v>61505</v>
      </c>
      <c r="E21281" t="b">
        <v>0</v>
      </c>
      <c r="F21281" t="s">
        <v>11610</v>
      </c>
      <c r="L21281">
        <v>0</v>
      </c>
      <c r="M21281">
        <v>0</v>
      </c>
      <c r="N21281">
        <v>0</v>
      </c>
    </row>
    <row r="21282" spans="1:15">
      <c r="A21282" t="s">
        <v>47131</v>
      </c>
      <c r="B21282" t="s">
        <v>10597</v>
      </c>
      <c r="C21282" t="s">
        <v>53167</v>
      </c>
      <c r="D21282" t="s">
        <v>61506</v>
      </c>
      <c r="E21282" t="b">
        <v>0</v>
      </c>
      <c r="F21282" t="s">
        <v>11622</v>
      </c>
      <c r="L21282">
        <v>0</v>
      </c>
      <c r="M21282">
        <v>3</v>
      </c>
      <c r="N21282">
        <v>0</v>
      </c>
    </row>
    <row r="21283" spans="1:15">
      <c r="A21283" t="s">
        <v>61507</v>
      </c>
      <c r="B21283" t="s">
        <v>12686</v>
      </c>
      <c r="C21283" t="s">
        <v>32381</v>
      </c>
      <c r="D21283" t="s">
        <v>61508</v>
      </c>
      <c r="E21283" t="b">
        <v>0</v>
      </c>
      <c r="F21283" t="s">
        <v>11610</v>
      </c>
      <c r="L21283">
        <v>0</v>
      </c>
      <c r="M21283">
        <v>0</v>
      </c>
      <c r="N21283">
        <v>0</v>
      </c>
    </row>
    <row r="21284" spans="1:15">
      <c r="A21284" t="s">
        <v>61509</v>
      </c>
      <c r="B21284" t="s">
        <v>10597</v>
      </c>
      <c r="C21284" t="s">
        <v>21819</v>
      </c>
      <c r="D21284" t="s">
        <v>61510</v>
      </c>
      <c r="E21284" t="b">
        <v>0</v>
      </c>
      <c r="F21284" t="s">
        <v>11624</v>
      </c>
      <c r="G21284">
        <v>-22.841999999999999</v>
      </c>
      <c r="H21284">
        <v>118.267</v>
      </c>
      <c r="I21284" t="s">
        <v>61511</v>
      </c>
      <c r="L21284">
        <v>0</v>
      </c>
      <c r="M21284">
        <v>0</v>
      </c>
      <c r="N21284">
        <v>0</v>
      </c>
      <c r="O21284" t="s">
        <v>12107</v>
      </c>
    </row>
    <row r="21285" spans="1:15">
      <c r="A21285" t="s">
        <v>61512</v>
      </c>
      <c r="B21285" t="s">
        <v>11644</v>
      </c>
      <c r="C21285" t="s">
        <v>42842</v>
      </c>
      <c r="D21285" t="s">
        <v>61513</v>
      </c>
      <c r="E21285" t="b">
        <v>0</v>
      </c>
      <c r="F21285" t="s">
        <v>11610</v>
      </c>
      <c r="L21285">
        <v>0</v>
      </c>
      <c r="M21285">
        <v>0</v>
      </c>
      <c r="N21285">
        <v>0</v>
      </c>
    </row>
    <row r="21286" spans="1:15">
      <c r="A21286" t="s">
        <v>61514</v>
      </c>
      <c r="B21286" t="s">
        <v>11607</v>
      </c>
      <c r="C21286" t="s">
        <v>39972</v>
      </c>
      <c r="D21286" t="s">
        <v>61515</v>
      </c>
      <c r="E21286" t="b">
        <v>0</v>
      </c>
      <c r="F21286" t="s">
        <v>11610</v>
      </c>
      <c r="L21286">
        <v>0</v>
      </c>
      <c r="M21286">
        <v>0</v>
      </c>
      <c r="N21286">
        <v>0</v>
      </c>
    </row>
    <row r="21287" spans="1:15">
      <c r="A21287" t="s">
        <v>61516</v>
      </c>
      <c r="B21287" t="s">
        <v>21317</v>
      </c>
      <c r="C21287" t="s">
        <v>31618</v>
      </c>
      <c r="D21287" t="s">
        <v>61517</v>
      </c>
      <c r="E21287" t="b">
        <v>0</v>
      </c>
      <c r="F21287" t="s">
        <v>11624</v>
      </c>
      <c r="G21287">
        <v>20.704000000000001</v>
      </c>
      <c r="H21287">
        <v>-98.194699999999997</v>
      </c>
      <c r="I21287" t="s">
        <v>61518</v>
      </c>
      <c r="L21287">
        <v>0</v>
      </c>
      <c r="M21287">
        <v>0</v>
      </c>
      <c r="N21287">
        <v>0</v>
      </c>
      <c r="O21287" t="s">
        <v>11883</v>
      </c>
    </row>
    <row r="21288" spans="1:15">
      <c r="A21288" t="s">
        <v>61519</v>
      </c>
      <c r="B21288" t="s">
        <v>11879</v>
      </c>
      <c r="C21288" t="s">
        <v>11880</v>
      </c>
      <c r="D21288" t="s">
        <v>61520</v>
      </c>
      <c r="E21288" t="b">
        <v>0</v>
      </c>
      <c r="F21288" t="s">
        <v>11624</v>
      </c>
      <c r="G21288">
        <v>17.3262</v>
      </c>
      <c r="H21288">
        <v>-98.801299999999998</v>
      </c>
      <c r="I21288" t="s">
        <v>61521</v>
      </c>
      <c r="L21288">
        <v>0</v>
      </c>
      <c r="M21288">
        <v>0</v>
      </c>
      <c r="N21288">
        <v>0</v>
      </c>
      <c r="O21288" t="s">
        <v>11883</v>
      </c>
    </row>
    <row r="21289" spans="1:15">
      <c r="A21289" t="s">
        <v>22571</v>
      </c>
      <c r="B21289" t="s">
        <v>11879</v>
      </c>
      <c r="C21289" t="s">
        <v>22658</v>
      </c>
      <c r="D21289" t="s">
        <v>61522</v>
      </c>
      <c r="E21289" t="b">
        <v>0</v>
      </c>
      <c r="F21289" t="s">
        <v>11622</v>
      </c>
      <c r="L21289">
        <v>0</v>
      </c>
      <c r="M21289">
        <v>2</v>
      </c>
      <c r="N21289">
        <v>0</v>
      </c>
    </row>
    <row r="21290" spans="1:15">
      <c r="A21290" t="s">
        <v>61523</v>
      </c>
      <c r="B21290" t="s">
        <v>11879</v>
      </c>
      <c r="C21290" t="s">
        <v>22571</v>
      </c>
      <c r="D21290" t="s">
        <v>61524</v>
      </c>
      <c r="E21290" t="b">
        <v>0</v>
      </c>
      <c r="F21290" t="s">
        <v>11624</v>
      </c>
      <c r="G21290">
        <v>17.864599999999999</v>
      </c>
      <c r="H21290">
        <v>-96.517600000000002</v>
      </c>
      <c r="I21290" t="s">
        <v>61525</v>
      </c>
      <c r="L21290">
        <v>0</v>
      </c>
      <c r="M21290">
        <v>0</v>
      </c>
      <c r="N21290">
        <v>0</v>
      </c>
      <c r="O21290" t="s">
        <v>11883</v>
      </c>
    </row>
    <row r="21291" spans="1:15">
      <c r="A21291" t="s">
        <v>61526</v>
      </c>
      <c r="B21291" t="s">
        <v>11879</v>
      </c>
      <c r="C21291" t="s">
        <v>13326</v>
      </c>
      <c r="D21291" t="s">
        <v>61527</v>
      </c>
      <c r="E21291" t="b">
        <v>0</v>
      </c>
      <c r="F21291" t="s">
        <v>11624</v>
      </c>
      <c r="G21291">
        <v>16.2971</v>
      </c>
      <c r="H21291">
        <v>-95.741399999999999</v>
      </c>
      <c r="I21291" t="s">
        <v>61528</v>
      </c>
      <c r="L21291">
        <v>0</v>
      </c>
      <c r="M21291">
        <v>0</v>
      </c>
      <c r="N21291">
        <v>0</v>
      </c>
      <c r="O21291" t="s">
        <v>11883</v>
      </c>
    </row>
    <row r="21292" spans="1:15">
      <c r="A21292" t="s">
        <v>61529</v>
      </c>
      <c r="B21292" t="s">
        <v>6742</v>
      </c>
      <c r="C21292" t="s">
        <v>1745</v>
      </c>
      <c r="D21292" t="s">
        <v>61530</v>
      </c>
      <c r="E21292" t="b">
        <v>0</v>
      </c>
      <c r="F21292" t="s">
        <v>11610</v>
      </c>
      <c r="L21292">
        <v>0</v>
      </c>
      <c r="M21292">
        <v>0</v>
      </c>
      <c r="N21292">
        <v>0</v>
      </c>
    </row>
    <row r="21293" spans="1:15">
      <c r="A21293" t="s">
        <v>61531</v>
      </c>
      <c r="B21293" t="s">
        <v>15027</v>
      </c>
      <c r="C21293" t="s">
        <v>40987</v>
      </c>
      <c r="D21293" t="s">
        <v>61532</v>
      </c>
      <c r="E21293" t="b">
        <v>0</v>
      </c>
      <c r="F21293" t="s">
        <v>11624</v>
      </c>
      <c r="G21293">
        <v>16.9634</v>
      </c>
      <c r="H21293">
        <v>-96.118600000000001</v>
      </c>
      <c r="I21293" t="s">
        <v>61533</v>
      </c>
      <c r="L21293">
        <v>0</v>
      </c>
      <c r="M21293">
        <v>0</v>
      </c>
      <c r="N21293">
        <v>0</v>
      </c>
      <c r="O21293" t="s">
        <v>11883</v>
      </c>
    </row>
    <row r="21294" spans="1:15">
      <c r="A21294" t="s">
        <v>61534</v>
      </c>
      <c r="B21294" t="s">
        <v>11627</v>
      </c>
      <c r="C21294" t="s">
        <v>11627</v>
      </c>
      <c r="D21294" t="s">
        <v>61535</v>
      </c>
      <c r="E21294" t="b">
        <v>1</v>
      </c>
      <c r="F21294" t="s">
        <v>11624</v>
      </c>
      <c r="I21294" t="s">
        <v>61536</v>
      </c>
      <c r="L21294">
        <v>0</v>
      </c>
      <c r="M21294">
        <v>0</v>
      </c>
      <c r="N21294">
        <v>0</v>
      </c>
    </row>
    <row r="21295" spans="1:15">
      <c r="A21295" t="s">
        <v>61537</v>
      </c>
      <c r="B21295" t="s">
        <v>11644</v>
      </c>
      <c r="C21295" t="s">
        <v>30645</v>
      </c>
      <c r="D21295" t="s">
        <v>61538</v>
      </c>
      <c r="E21295" t="b">
        <v>0</v>
      </c>
      <c r="F21295" t="s">
        <v>11610</v>
      </c>
      <c r="L21295">
        <v>0</v>
      </c>
      <c r="M21295">
        <v>0</v>
      </c>
      <c r="N21295">
        <v>0</v>
      </c>
    </row>
    <row r="21296" spans="1:15">
      <c r="A21296" t="s">
        <v>61539</v>
      </c>
      <c r="B21296" t="s">
        <v>12751</v>
      </c>
      <c r="C21296" t="s">
        <v>23198</v>
      </c>
      <c r="D21296" t="s">
        <v>61540</v>
      </c>
      <c r="E21296" t="b">
        <v>0</v>
      </c>
      <c r="F21296" t="s">
        <v>11624</v>
      </c>
      <c r="G21296">
        <v>18.623899999999999</v>
      </c>
      <c r="H21296">
        <v>-99.399199999999993</v>
      </c>
      <c r="I21296" t="s">
        <v>61541</v>
      </c>
      <c r="L21296">
        <v>0</v>
      </c>
      <c r="M21296">
        <v>0</v>
      </c>
      <c r="N21296">
        <v>0</v>
      </c>
      <c r="O21296" t="s">
        <v>11883</v>
      </c>
    </row>
    <row r="21297" spans="1:15">
      <c r="A21297" t="s">
        <v>42616</v>
      </c>
      <c r="B21297" t="s">
        <v>11879</v>
      </c>
      <c r="C21297" t="s">
        <v>51661</v>
      </c>
      <c r="D21297" t="s">
        <v>61542</v>
      </c>
      <c r="E21297" t="b">
        <v>0</v>
      </c>
      <c r="F21297" t="s">
        <v>11622</v>
      </c>
      <c r="L21297">
        <v>3</v>
      </c>
      <c r="M21297">
        <v>7</v>
      </c>
      <c r="N21297">
        <v>12</v>
      </c>
    </row>
    <row r="21298" spans="1:15">
      <c r="A21298" t="s">
        <v>61543</v>
      </c>
      <c r="B21298" t="s">
        <v>11644</v>
      </c>
      <c r="C21298" t="s">
        <v>27713</v>
      </c>
      <c r="D21298" t="s">
        <v>61544</v>
      </c>
      <c r="E21298" t="b">
        <v>0</v>
      </c>
      <c r="F21298" t="s">
        <v>11610</v>
      </c>
      <c r="L21298">
        <v>0</v>
      </c>
      <c r="M21298">
        <v>0</v>
      </c>
      <c r="N21298">
        <v>0</v>
      </c>
    </row>
    <row r="21299" spans="1:15">
      <c r="A21299" t="s">
        <v>61545</v>
      </c>
      <c r="B21299" t="s">
        <v>11879</v>
      </c>
      <c r="C21299" t="s">
        <v>24942</v>
      </c>
      <c r="D21299" t="s">
        <v>61546</v>
      </c>
      <c r="E21299" t="b">
        <v>0</v>
      </c>
      <c r="F21299" t="s">
        <v>11624</v>
      </c>
      <c r="G21299">
        <v>17.007000000000001</v>
      </c>
      <c r="H21299">
        <v>-96.978300000000004</v>
      </c>
      <c r="I21299" t="s">
        <v>61547</v>
      </c>
      <c r="L21299">
        <v>0</v>
      </c>
      <c r="M21299">
        <v>0</v>
      </c>
      <c r="N21299">
        <v>0</v>
      </c>
      <c r="O21299" t="s">
        <v>11883</v>
      </c>
    </row>
    <row r="21300" spans="1:15">
      <c r="A21300" t="s">
        <v>61548</v>
      </c>
      <c r="B21300" t="s">
        <v>6742</v>
      </c>
      <c r="C21300" t="s">
        <v>1745</v>
      </c>
      <c r="D21300" t="s">
        <v>61549</v>
      </c>
      <c r="E21300" t="b">
        <v>0</v>
      </c>
      <c r="F21300" t="s">
        <v>11610</v>
      </c>
      <c r="L21300">
        <v>0</v>
      </c>
      <c r="M21300">
        <v>0</v>
      </c>
      <c r="N21300">
        <v>0</v>
      </c>
    </row>
    <row r="21301" spans="1:15">
      <c r="A21301" t="s">
        <v>61550</v>
      </c>
      <c r="B21301" t="s">
        <v>6742</v>
      </c>
      <c r="C21301" t="s">
        <v>1745</v>
      </c>
      <c r="D21301" t="s">
        <v>61551</v>
      </c>
      <c r="E21301" t="b">
        <v>0</v>
      </c>
      <c r="F21301" t="s">
        <v>11610</v>
      </c>
      <c r="L21301">
        <v>0</v>
      </c>
      <c r="M21301">
        <v>0</v>
      </c>
      <c r="N21301">
        <v>0</v>
      </c>
    </row>
    <row r="21302" spans="1:15">
      <c r="A21302" t="s">
        <v>414</v>
      </c>
      <c r="B21302" t="s">
        <v>12460</v>
      </c>
      <c r="C21302" t="s">
        <v>12460</v>
      </c>
      <c r="D21302" t="s">
        <v>413</v>
      </c>
      <c r="E21302" t="b">
        <v>0</v>
      </c>
      <c r="F21302" t="s">
        <v>11624</v>
      </c>
      <c r="G21302">
        <v>59.444699999999997</v>
      </c>
      <c r="H21302">
        <v>-135.29</v>
      </c>
      <c r="I21302" t="s">
        <v>415</v>
      </c>
      <c r="L21302">
        <v>0</v>
      </c>
      <c r="M21302">
        <v>0</v>
      </c>
      <c r="N21302">
        <v>0</v>
      </c>
      <c r="O21302" t="s">
        <v>14875</v>
      </c>
    </row>
    <row r="21303" spans="1:15">
      <c r="A21303" t="s">
        <v>61552</v>
      </c>
      <c r="B21303" t="s">
        <v>12311</v>
      </c>
      <c r="C21303" t="s">
        <v>15889</v>
      </c>
      <c r="D21303" t="s">
        <v>61553</v>
      </c>
      <c r="E21303" t="b">
        <v>0</v>
      </c>
      <c r="F21303" t="s">
        <v>11610</v>
      </c>
      <c r="L21303">
        <v>0</v>
      </c>
      <c r="M21303">
        <v>0</v>
      </c>
      <c r="N21303">
        <v>0</v>
      </c>
    </row>
    <row r="21304" spans="1:15">
      <c r="A21304" t="s">
        <v>61554</v>
      </c>
      <c r="B21304" t="s">
        <v>6742</v>
      </c>
      <c r="C21304" t="s">
        <v>4118</v>
      </c>
      <c r="D21304" t="s">
        <v>61555</v>
      </c>
      <c r="E21304" t="b">
        <v>0</v>
      </c>
      <c r="F21304" t="s">
        <v>11610</v>
      </c>
      <c r="L21304">
        <v>0</v>
      </c>
      <c r="M21304">
        <v>0</v>
      </c>
      <c r="N21304">
        <v>0</v>
      </c>
    </row>
    <row r="21305" spans="1:15">
      <c r="A21305" t="s">
        <v>61556</v>
      </c>
      <c r="B21305" t="s">
        <v>11644</v>
      </c>
      <c r="C21305" t="s">
        <v>31242</v>
      </c>
      <c r="D21305" t="s">
        <v>61557</v>
      </c>
      <c r="E21305" t="b">
        <v>0</v>
      </c>
      <c r="F21305" t="s">
        <v>11610</v>
      </c>
      <c r="L21305">
        <v>0</v>
      </c>
      <c r="M21305">
        <v>0</v>
      </c>
      <c r="N21305">
        <v>0</v>
      </c>
    </row>
    <row r="21306" spans="1:15">
      <c r="A21306" t="s">
        <v>61558</v>
      </c>
      <c r="B21306" t="s">
        <v>12311</v>
      </c>
      <c r="C21306" t="s">
        <v>18231</v>
      </c>
      <c r="D21306" t="s">
        <v>61559</v>
      </c>
      <c r="E21306" t="b">
        <v>0</v>
      </c>
      <c r="F21306" t="s">
        <v>11610</v>
      </c>
      <c r="L21306">
        <v>0</v>
      </c>
      <c r="M21306">
        <v>0</v>
      </c>
      <c r="N21306">
        <v>0</v>
      </c>
    </row>
    <row r="21307" spans="1:15">
      <c r="A21307" t="s">
        <v>61560</v>
      </c>
      <c r="B21307" t="s">
        <v>11607</v>
      </c>
      <c r="C21307" t="s">
        <v>50155</v>
      </c>
      <c r="D21307" t="s">
        <v>61561</v>
      </c>
      <c r="E21307" t="b">
        <v>0</v>
      </c>
      <c r="F21307" t="s">
        <v>11610</v>
      </c>
      <c r="L21307">
        <v>0</v>
      </c>
      <c r="M21307">
        <v>0</v>
      </c>
      <c r="N21307">
        <v>0</v>
      </c>
    </row>
    <row r="21308" spans="1:15">
      <c r="A21308" t="s">
        <v>61562</v>
      </c>
      <c r="B21308" t="s">
        <v>11894</v>
      </c>
      <c r="C21308" t="s">
        <v>13074</v>
      </c>
      <c r="D21308" t="s">
        <v>61563</v>
      </c>
      <c r="E21308" t="b">
        <v>0</v>
      </c>
      <c r="F21308" t="s">
        <v>11610</v>
      </c>
      <c r="L21308">
        <v>0</v>
      </c>
      <c r="M21308">
        <v>0</v>
      </c>
      <c r="N21308">
        <v>0</v>
      </c>
    </row>
    <row r="21309" spans="1:15">
      <c r="A21309" t="s">
        <v>61564</v>
      </c>
      <c r="B21309" t="s">
        <v>367</v>
      </c>
      <c r="C21309" t="s">
        <v>15748</v>
      </c>
      <c r="D21309" t="s">
        <v>61565</v>
      </c>
      <c r="E21309" t="b">
        <v>0</v>
      </c>
      <c r="F21309" t="s">
        <v>11624</v>
      </c>
      <c r="G21309">
        <v>-8.3923299999999994</v>
      </c>
      <c r="H21309">
        <v>160.619</v>
      </c>
      <c r="I21309" t="s">
        <v>61566</v>
      </c>
      <c r="L21309">
        <v>0</v>
      </c>
      <c r="M21309">
        <v>0</v>
      </c>
      <c r="N21309">
        <v>0</v>
      </c>
      <c r="O21309" t="s">
        <v>13346</v>
      </c>
    </row>
    <row r="21310" spans="1:15">
      <c r="A21310" t="s">
        <v>61567</v>
      </c>
      <c r="B21310" t="s">
        <v>367</v>
      </c>
      <c r="C21310" t="s">
        <v>14735</v>
      </c>
      <c r="D21310" t="s">
        <v>61568</v>
      </c>
      <c r="E21310" t="b">
        <v>0</v>
      </c>
      <c r="F21310" t="s">
        <v>11610</v>
      </c>
      <c r="L21310">
        <v>0</v>
      </c>
      <c r="M21310">
        <v>0</v>
      </c>
      <c r="N21310">
        <v>0</v>
      </c>
    </row>
    <row r="21311" spans="1:15">
      <c r="A21311" t="s">
        <v>61569</v>
      </c>
      <c r="B21311" t="s">
        <v>11627</v>
      </c>
      <c r="C21311" t="s">
        <v>11627</v>
      </c>
      <c r="D21311" t="s">
        <v>61570</v>
      </c>
      <c r="E21311" t="b">
        <v>1</v>
      </c>
      <c r="F21311" t="s">
        <v>11624</v>
      </c>
      <c r="I21311" t="s">
        <v>61571</v>
      </c>
      <c r="L21311">
        <v>0</v>
      </c>
      <c r="M21311">
        <v>0</v>
      </c>
      <c r="N21311">
        <v>0</v>
      </c>
      <c r="O21311" t="s">
        <v>11768</v>
      </c>
    </row>
    <row r="21312" spans="1:15">
      <c r="A21312" t="s">
        <v>34194</v>
      </c>
      <c r="B21312" t="s">
        <v>12425</v>
      </c>
      <c r="C21312" t="s">
        <v>26251</v>
      </c>
      <c r="D21312" t="s">
        <v>61572</v>
      </c>
      <c r="E21312" t="b">
        <v>0</v>
      </c>
      <c r="F21312" t="s">
        <v>11624</v>
      </c>
      <c r="G21312">
        <v>-8.0723099999999999</v>
      </c>
      <c r="H21312">
        <v>146.20599999999999</v>
      </c>
      <c r="I21312" t="s">
        <v>61573</v>
      </c>
      <c r="L21312">
        <v>0</v>
      </c>
      <c r="M21312">
        <v>0</v>
      </c>
      <c r="N21312">
        <v>3</v>
      </c>
      <c r="O21312" t="s">
        <v>11660</v>
      </c>
    </row>
    <row r="21313" spans="1:15">
      <c r="A21313" t="s">
        <v>61574</v>
      </c>
      <c r="B21313" t="s">
        <v>13571</v>
      </c>
      <c r="C21313" t="s">
        <v>28108</v>
      </c>
      <c r="D21313" t="s">
        <v>61575</v>
      </c>
      <c r="E21313" t="b">
        <v>0</v>
      </c>
      <c r="F21313" t="s">
        <v>11610</v>
      </c>
      <c r="L21313">
        <v>0</v>
      </c>
      <c r="M21313">
        <v>0</v>
      </c>
      <c r="N21313">
        <v>0</v>
      </c>
    </row>
    <row r="21314" spans="1:15">
      <c r="A21314" t="s">
        <v>48636</v>
      </c>
      <c r="B21314" t="s">
        <v>367</v>
      </c>
      <c r="C21314" t="s">
        <v>28776</v>
      </c>
      <c r="D21314" t="s">
        <v>61576</v>
      </c>
      <c r="E21314" t="b">
        <v>0</v>
      </c>
      <c r="F21314" t="s">
        <v>11622</v>
      </c>
      <c r="L21314">
        <v>4</v>
      </c>
      <c r="M21314">
        <v>7</v>
      </c>
      <c r="N21314">
        <v>2</v>
      </c>
    </row>
    <row r="21315" spans="1:15">
      <c r="A21315" t="s">
        <v>61577</v>
      </c>
      <c r="B21315" t="s">
        <v>367</v>
      </c>
      <c r="C21315" t="s">
        <v>33319</v>
      </c>
      <c r="D21315" t="s">
        <v>61578</v>
      </c>
      <c r="E21315" t="b">
        <v>0</v>
      </c>
      <c r="F21315" t="s">
        <v>11624</v>
      </c>
      <c r="G21315">
        <v>-2.5643400000000001</v>
      </c>
      <c r="H21315">
        <v>140.71</v>
      </c>
      <c r="I21315" t="s">
        <v>61579</v>
      </c>
      <c r="L21315">
        <v>0</v>
      </c>
      <c r="M21315">
        <v>0</v>
      </c>
      <c r="N21315">
        <v>0</v>
      </c>
      <c r="O21315" t="s">
        <v>11768</v>
      </c>
    </row>
    <row r="21316" spans="1:15">
      <c r="A21316" t="s">
        <v>61580</v>
      </c>
      <c r="B21316" t="s">
        <v>367</v>
      </c>
      <c r="C21316" t="s">
        <v>16493</v>
      </c>
      <c r="D21316" t="s">
        <v>61581</v>
      </c>
      <c r="E21316" t="b">
        <v>0</v>
      </c>
      <c r="F21316" t="s">
        <v>11610</v>
      </c>
      <c r="L21316">
        <v>0</v>
      </c>
      <c r="M21316">
        <v>0</v>
      </c>
      <c r="N21316">
        <v>0</v>
      </c>
    </row>
    <row r="21317" spans="1:15">
      <c r="A21317" t="s">
        <v>61582</v>
      </c>
      <c r="B21317" t="s">
        <v>13821</v>
      </c>
      <c r="C21317" t="s">
        <v>13821</v>
      </c>
      <c r="D21317" t="s">
        <v>61583</v>
      </c>
      <c r="E21317" t="b">
        <v>0</v>
      </c>
      <c r="F21317" t="s">
        <v>11624</v>
      </c>
      <c r="G21317">
        <v>-21.5474</v>
      </c>
      <c r="H21317">
        <v>-58.015799999999999</v>
      </c>
      <c r="I21317" t="s">
        <v>61584</v>
      </c>
      <c r="L21317">
        <v>0</v>
      </c>
      <c r="M21317">
        <v>0</v>
      </c>
      <c r="N21317">
        <v>0</v>
      </c>
      <c r="O21317" t="s">
        <v>29841</v>
      </c>
    </row>
    <row r="21318" spans="1:15">
      <c r="A21318" t="s">
        <v>2578</v>
      </c>
      <c r="B21318" t="s">
        <v>11770</v>
      </c>
      <c r="C21318" t="s">
        <v>53092</v>
      </c>
      <c r="D21318" t="s">
        <v>2577</v>
      </c>
      <c r="E21318" t="b">
        <v>0</v>
      </c>
      <c r="F21318" t="s">
        <v>11624</v>
      </c>
      <c r="G21318">
        <v>-24.402529999999999</v>
      </c>
      <c r="H21318">
        <v>-60.447286666700002</v>
      </c>
      <c r="I21318" t="s">
        <v>2579</v>
      </c>
      <c r="L21318">
        <v>0</v>
      </c>
      <c r="M21318">
        <v>0</v>
      </c>
      <c r="N21318">
        <v>2</v>
      </c>
      <c r="O21318" t="s">
        <v>26382</v>
      </c>
    </row>
    <row r="21319" spans="1:15">
      <c r="A21319" t="s">
        <v>61585</v>
      </c>
      <c r="B21319" t="s">
        <v>11770</v>
      </c>
      <c r="C21319" t="s">
        <v>22085</v>
      </c>
      <c r="D21319" t="s">
        <v>61586</v>
      </c>
      <c r="E21319" t="b">
        <v>0</v>
      </c>
      <c r="F21319" t="s">
        <v>11610</v>
      </c>
      <c r="L21319">
        <v>0</v>
      </c>
      <c r="M21319">
        <v>0</v>
      </c>
      <c r="N21319">
        <v>0</v>
      </c>
    </row>
    <row r="21320" spans="1:15">
      <c r="A21320" t="s">
        <v>28240</v>
      </c>
      <c r="B21320" t="s">
        <v>11607</v>
      </c>
      <c r="C21320" t="s">
        <v>26507</v>
      </c>
      <c r="D21320" t="s">
        <v>61587</v>
      </c>
      <c r="E21320" t="b">
        <v>0</v>
      </c>
      <c r="F21320" t="s">
        <v>11624</v>
      </c>
      <c r="G21320">
        <v>9.8289000000000009</v>
      </c>
      <c r="H21320">
        <v>16.209</v>
      </c>
      <c r="I21320" t="s">
        <v>61588</v>
      </c>
      <c r="L21320">
        <v>0</v>
      </c>
      <c r="M21320">
        <v>0</v>
      </c>
      <c r="N21320">
        <v>3</v>
      </c>
      <c r="O21320" t="s">
        <v>13421</v>
      </c>
    </row>
    <row r="21321" spans="1:15">
      <c r="A21321" t="s">
        <v>61589</v>
      </c>
      <c r="B21321" t="s">
        <v>11637</v>
      </c>
      <c r="C21321" t="s">
        <v>29761</v>
      </c>
      <c r="D21321" t="s">
        <v>61590</v>
      </c>
      <c r="E21321" t="b">
        <v>0</v>
      </c>
      <c r="F21321" t="s">
        <v>11624</v>
      </c>
      <c r="G21321">
        <v>11.238799999999999</v>
      </c>
      <c r="H21321">
        <v>-60.679099999999998</v>
      </c>
      <c r="I21321" t="s">
        <v>61591</v>
      </c>
      <c r="L21321">
        <v>0</v>
      </c>
      <c r="M21321">
        <v>0</v>
      </c>
      <c r="N21321">
        <v>0</v>
      </c>
      <c r="O21321" t="s">
        <v>61592</v>
      </c>
    </row>
    <row r="21322" spans="1:15">
      <c r="A21322" t="s">
        <v>61593</v>
      </c>
      <c r="B21322" t="s">
        <v>367</v>
      </c>
      <c r="C21322" t="s">
        <v>33884</v>
      </c>
      <c r="D21322" t="s">
        <v>61594</v>
      </c>
      <c r="E21322" t="b">
        <v>0</v>
      </c>
      <c r="F21322" t="s">
        <v>11610</v>
      </c>
      <c r="L21322">
        <v>0</v>
      </c>
      <c r="M21322">
        <v>0</v>
      </c>
      <c r="N21322">
        <v>0</v>
      </c>
    </row>
    <row r="21323" spans="1:15">
      <c r="A21323" t="s">
        <v>61595</v>
      </c>
      <c r="B21323" t="s">
        <v>12133</v>
      </c>
      <c r="C21323" t="s">
        <v>28376</v>
      </c>
      <c r="D21323" t="s">
        <v>61596</v>
      </c>
      <c r="E21323" t="b">
        <v>0</v>
      </c>
      <c r="F21323" t="s">
        <v>11622</v>
      </c>
      <c r="L21323">
        <v>0</v>
      </c>
      <c r="M21323">
        <v>2</v>
      </c>
      <c r="N21323">
        <v>5</v>
      </c>
    </row>
    <row r="21324" spans="1:15">
      <c r="A21324" t="s">
        <v>18999</v>
      </c>
      <c r="B21324" t="s">
        <v>12133</v>
      </c>
      <c r="C21324" t="s">
        <v>61595</v>
      </c>
      <c r="D21324" t="s">
        <v>61597</v>
      </c>
      <c r="E21324" t="b">
        <v>0</v>
      </c>
      <c r="F21324" t="s">
        <v>11624</v>
      </c>
      <c r="G21324">
        <v>1.0946</v>
      </c>
      <c r="H21324">
        <v>128.154</v>
      </c>
      <c r="I21324" t="s">
        <v>61598</v>
      </c>
      <c r="L21324">
        <v>0</v>
      </c>
      <c r="M21324">
        <v>0</v>
      </c>
      <c r="N21324">
        <v>3</v>
      </c>
      <c r="O21324" t="s">
        <v>11768</v>
      </c>
    </row>
    <row r="21325" spans="1:15">
      <c r="A21325" t="s">
        <v>61599</v>
      </c>
      <c r="B21325" t="s">
        <v>367</v>
      </c>
      <c r="C21325" t="s">
        <v>57841</v>
      </c>
      <c r="D21325" t="s">
        <v>61600</v>
      </c>
      <c r="E21325" t="b">
        <v>0</v>
      </c>
      <c r="F21325" t="s">
        <v>11624</v>
      </c>
      <c r="G21325">
        <v>3.0045280000000001</v>
      </c>
      <c r="H21325">
        <v>131.17129499999999</v>
      </c>
      <c r="I21325" t="s">
        <v>61601</v>
      </c>
      <c r="L21325">
        <v>0</v>
      </c>
      <c r="M21325">
        <v>0</v>
      </c>
      <c r="N21325">
        <v>0</v>
      </c>
      <c r="O21325" t="s">
        <v>31447</v>
      </c>
    </row>
    <row r="21326" spans="1:15">
      <c r="A21326" t="s">
        <v>61602</v>
      </c>
      <c r="B21326" t="s">
        <v>367</v>
      </c>
      <c r="C21326" t="s">
        <v>25633</v>
      </c>
      <c r="D21326" t="s">
        <v>61603</v>
      </c>
      <c r="E21326" t="b">
        <v>0</v>
      </c>
      <c r="F21326" t="s">
        <v>11624</v>
      </c>
      <c r="G21326">
        <v>6.5609700000000002</v>
      </c>
      <c r="H21326">
        <v>116.67</v>
      </c>
      <c r="I21326" t="s">
        <v>61604</v>
      </c>
      <c r="L21326">
        <v>0</v>
      </c>
      <c r="M21326">
        <v>0</v>
      </c>
      <c r="N21326">
        <v>0</v>
      </c>
      <c r="O21326" t="s">
        <v>11672</v>
      </c>
    </row>
    <row r="21327" spans="1:15">
      <c r="A21327" t="s">
        <v>31445</v>
      </c>
      <c r="B21327" t="s">
        <v>13450</v>
      </c>
      <c r="C21327" t="s">
        <v>13450</v>
      </c>
      <c r="D21327" t="s">
        <v>61605</v>
      </c>
      <c r="E21327" t="b">
        <v>0</v>
      </c>
      <c r="F21327" t="s">
        <v>11622</v>
      </c>
      <c r="L21327">
        <v>0</v>
      </c>
      <c r="M21327">
        <v>1</v>
      </c>
      <c r="N21327">
        <v>0</v>
      </c>
    </row>
    <row r="21328" spans="1:15">
      <c r="A21328" t="s">
        <v>60338</v>
      </c>
      <c r="B21328" t="s">
        <v>331</v>
      </c>
      <c r="C21328" t="s">
        <v>16875</v>
      </c>
      <c r="D21328" t="s">
        <v>61606</v>
      </c>
      <c r="E21328" t="b">
        <v>0</v>
      </c>
      <c r="F21328" t="s">
        <v>11610</v>
      </c>
      <c r="L21328">
        <v>0</v>
      </c>
      <c r="M21328">
        <v>0</v>
      </c>
      <c r="N21328">
        <v>5</v>
      </c>
    </row>
    <row r="21329" spans="1:15">
      <c r="A21329" t="s">
        <v>61607</v>
      </c>
      <c r="B21329" t="s">
        <v>331</v>
      </c>
      <c r="C21329" t="s">
        <v>60338</v>
      </c>
      <c r="D21329" t="s">
        <v>61608</v>
      </c>
      <c r="E21329" t="b">
        <v>0</v>
      </c>
      <c r="F21329" t="s">
        <v>11610</v>
      </c>
      <c r="L21329">
        <v>0</v>
      </c>
      <c r="M21329">
        <v>0</v>
      </c>
      <c r="N21329">
        <v>0</v>
      </c>
    </row>
    <row r="21330" spans="1:15">
      <c r="A21330" t="s">
        <v>61609</v>
      </c>
      <c r="B21330" t="s">
        <v>11615</v>
      </c>
      <c r="C21330" t="s">
        <v>37899</v>
      </c>
      <c r="D21330" t="s">
        <v>61610</v>
      </c>
      <c r="E21330" t="b">
        <v>0</v>
      </c>
      <c r="F21330" t="s">
        <v>11610</v>
      </c>
      <c r="G21330">
        <v>-6.3626300000000002</v>
      </c>
      <c r="H21330">
        <v>147.376</v>
      </c>
      <c r="I21330" t="s">
        <v>61611</v>
      </c>
      <c r="L21330">
        <v>0</v>
      </c>
      <c r="M21330">
        <v>0</v>
      </c>
      <c r="N21330">
        <v>0</v>
      </c>
      <c r="O21330" t="s">
        <v>11660</v>
      </c>
    </row>
    <row r="21331" spans="1:15">
      <c r="A21331" t="s">
        <v>61612</v>
      </c>
      <c r="B21331" t="s">
        <v>11644</v>
      </c>
      <c r="C21331" t="s">
        <v>13896</v>
      </c>
      <c r="D21331" t="s">
        <v>61613</v>
      </c>
      <c r="E21331" t="b">
        <v>0</v>
      </c>
      <c r="F21331" t="s">
        <v>11610</v>
      </c>
      <c r="L21331">
        <v>0</v>
      </c>
      <c r="M21331">
        <v>0</v>
      </c>
      <c r="N21331">
        <v>0</v>
      </c>
    </row>
    <row r="21332" spans="1:15">
      <c r="A21332" t="s">
        <v>61614</v>
      </c>
      <c r="B21332" t="s">
        <v>367</v>
      </c>
      <c r="C21332" t="s">
        <v>14352</v>
      </c>
      <c r="D21332" t="s">
        <v>61615</v>
      </c>
      <c r="E21332" t="b">
        <v>0</v>
      </c>
      <c r="F21332" t="s">
        <v>11610</v>
      </c>
      <c r="L21332">
        <v>0</v>
      </c>
      <c r="M21332">
        <v>0</v>
      </c>
      <c r="N21332">
        <v>0</v>
      </c>
    </row>
    <row r="21333" spans="1:15">
      <c r="A21333" t="s">
        <v>61616</v>
      </c>
      <c r="B21333" t="s">
        <v>11912</v>
      </c>
      <c r="C21333" t="s">
        <v>52393</v>
      </c>
      <c r="D21333" t="s">
        <v>61617</v>
      </c>
      <c r="E21333" t="b">
        <v>0</v>
      </c>
      <c r="F21333" t="s">
        <v>11624</v>
      </c>
      <c r="G21333">
        <v>-3.5935899999999998</v>
      </c>
      <c r="H21333">
        <v>-49.899099999999997</v>
      </c>
      <c r="I21333" t="s">
        <v>61618</v>
      </c>
      <c r="L21333">
        <v>0</v>
      </c>
      <c r="M21333">
        <v>0</v>
      </c>
      <c r="N21333">
        <v>0</v>
      </c>
      <c r="O21333" t="s">
        <v>11969</v>
      </c>
    </row>
    <row r="21334" spans="1:15">
      <c r="A21334" t="s">
        <v>61619</v>
      </c>
      <c r="B21334" t="s">
        <v>6742</v>
      </c>
      <c r="C21334" t="s">
        <v>20348</v>
      </c>
      <c r="D21334" t="s">
        <v>61620</v>
      </c>
      <c r="E21334" t="b">
        <v>0</v>
      </c>
      <c r="F21334" t="s">
        <v>11610</v>
      </c>
      <c r="L21334">
        <v>0</v>
      </c>
      <c r="M21334">
        <v>0</v>
      </c>
      <c r="N21334">
        <v>0</v>
      </c>
    </row>
    <row r="21335" spans="1:15">
      <c r="A21335" t="s">
        <v>61621</v>
      </c>
      <c r="B21335" t="s">
        <v>3165</v>
      </c>
      <c r="C21335" t="s">
        <v>11907</v>
      </c>
      <c r="D21335" t="s">
        <v>61622</v>
      </c>
      <c r="E21335" t="b">
        <v>0</v>
      </c>
      <c r="F21335" t="s">
        <v>11624</v>
      </c>
      <c r="G21335">
        <v>10.8828</v>
      </c>
      <c r="H21335">
        <v>30.156700000000001</v>
      </c>
      <c r="I21335" t="s">
        <v>61623</v>
      </c>
      <c r="L21335">
        <v>0</v>
      </c>
      <c r="M21335">
        <v>0</v>
      </c>
      <c r="N21335">
        <v>0</v>
      </c>
      <c r="O21335" t="s">
        <v>11910</v>
      </c>
    </row>
    <row r="21336" spans="1:15">
      <c r="A21336" t="s">
        <v>61624</v>
      </c>
      <c r="B21336" t="s">
        <v>4342</v>
      </c>
      <c r="C21336" t="s">
        <v>22488</v>
      </c>
      <c r="D21336" t="s">
        <v>61625</v>
      </c>
      <c r="E21336" t="b">
        <v>0</v>
      </c>
      <c r="F21336" t="s">
        <v>11610</v>
      </c>
      <c r="L21336">
        <v>0</v>
      </c>
      <c r="M21336">
        <v>0</v>
      </c>
      <c r="N21336">
        <v>0</v>
      </c>
    </row>
    <row r="21337" spans="1:15">
      <c r="A21337" t="s">
        <v>1255</v>
      </c>
      <c r="B21337" t="s">
        <v>11844</v>
      </c>
      <c r="C21337" t="s">
        <v>60073</v>
      </c>
      <c r="D21337" t="s">
        <v>1254</v>
      </c>
      <c r="E21337" t="b">
        <v>0</v>
      </c>
      <c r="F21337" t="s">
        <v>11624</v>
      </c>
      <c r="G21337">
        <v>11.4184</v>
      </c>
      <c r="H21337">
        <v>77.016800000000003</v>
      </c>
      <c r="I21337" t="s">
        <v>1256</v>
      </c>
      <c r="L21337">
        <v>0</v>
      </c>
      <c r="M21337">
        <v>0</v>
      </c>
      <c r="N21337">
        <v>0</v>
      </c>
      <c r="O21337" t="s">
        <v>11630</v>
      </c>
    </row>
    <row r="21338" spans="1:15">
      <c r="A21338" t="s">
        <v>61626</v>
      </c>
      <c r="B21338" t="s">
        <v>331</v>
      </c>
      <c r="C21338" t="s">
        <v>25486</v>
      </c>
      <c r="D21338" t="s">
        <v>61627</v>
      </c>
      <c r="E21338" t="b">
        <v>0</v>
      </c>
      <c r="F21338" t="s">
        <v>11610</v>
      </c>
      <c r="L21338">
        <v>0</v>
      </c>
      <c r="M21338">
        <v>0</v>
      </c>
      <c r="N21338">
        <v>0</v>
      </c>
    </row>
    <row r="21339" spans="1:15">
      <c r="A21339" t="s">
        <v>61628</v>
      </c>
      <c r="B21339" t="s">
        <v>11879</v>
      </c>
      <c r="C21339" t="s">
        <v>12465</v>
      </c>
      <c r="D21339" t="s">
        <v>61629</v>
      </c>
      <c r="E21339" t="b">
        <v>0</v>
      </c>
      <c r="F21339" t="s">
        <v>11610</v>
      </c>
      <c r="L21339">
        <v>0</v>
      </c>
      <c r="M21339">
        <v>0</v>
      </c>
      <c r="N21339">
        <v>0</v>
      </c>
    </row>
    <row r="21340" spans="1:15">
      <c r="A21340" t="s">
        <v>61630</v>
      </c>
      <c r="B21340" t="s">
        <v>12438</v>
      </c>
      <c r="C21340" t="s">
        <v>19412</v>
      </c>
      <c r="D21340" t="s">
        <v>61631</v>
      </c>
      <c r="E21340" t="b">
        <v>0</v>
      </c>
      <c r="F21340" t="s">
        <v>11624</v>
      </c>
      <c r="G21340">
        <v>14.5672</v>
      </c>
      <c r="H21340">
        <v>108.114</v>
      </c>
      <c r="I21340" t="s">
        <v>61632</v>
      </c>
      <c r="L21340">
        <v>0</v>
      </c>
      <c r="M21340">
        <v>0</v>
      </c>
      <c r="N21340">
        <v>0</v>
      </c>
      <c r="O21340" t="s">
        <v>15949</v>
      </c>
    </row>
    <row r="21341" spans="1:15">
      <c r="A21341" t="s">
        <v>61633</v>
      </c>
      <c r="B21341" t="s">
        <v>11615</v>
      </c>
      <c r="C21341" t="s">
        <v>34796</v>
      </c>
      <c r="D21341" t="s">
        <v>61634</v>
      </c>
      <c r="E21341" t="b">
        <v>0</v>
      </c>
      <c r="F21341" t="s">
        <v>11610</v>
      </c>
      <c r="L21341">
        <v>0</v>
      </c>
      <c r="M21341">
        <v>0</v>
      </c>
      <c r="N21341">
        <v>0</v>
      </c>
    </row>
    <row r="21342" spans="1:15">
      <c r="A21342" t="s">
        <v>61635</v>
      </c>
      <c r="B21342" t="s">
        <v>6742</v>
      </c>
      <c r="C21342" t="s">
        <v>13875</v>
      </c>
      <c r="D21342" t="s">
        <v>61636</v>
      </c>
      <c r="E21342" t="b">
        <v>0</v>
      </c>
      <c r="F21342" t="s">
        <v>11610</v>
      </c>
      <c r="L21342">
        <v>0</v>
      </c>
      <c r="M21342">
        <v>0</v>
      </c>
      <c r="N21342">
        <v>0</v>
      </c>
    </row>
    <row r="21343" spans="1:15">
      <c r="A21343" t="s">
        <v>61637</v>
      </c>
      <c r="B21343" t="s">
        <v>46402</v>
      </c>
      <c r="C21343" t="s">
        <v>46402</v>
      </c>
      <c r="D21343" t="s">
        <v>61638</v>
      </c>
      <c r="E21343" t="b">
        <v>0</v>
      </c>
      <c r="F21343" t="s">
        <v>11624</v>
      </c>
      <c r="G21343">
        <v>-3.74322</v>
      </c>
      <c r="H21343">
        <v>140.59100000000001</v>
      </c>
      <c r="I21343" t="s">
        <v>61639</v>
      </c>
      <c r="L21343">
        <v>0</v>
      </c>
      <c r="M21343">
        <v>0</v>
      </c>
      <c r="N21343">
        <v>0</v>
      </c>
      <c r="O21343" t="s">
        <v>11768</v>
      </c>
    </row>
    <row r="21344" spans="1:15">
      <c r="A21344" t="s">
        <v>61640</v>
      </c>
      <c r="B21344" t="s">
        <v>331</v>
      </c>
      <c r="C21344" t="s">
        <v>25486</v>
      </c>
      <c r="D21344" t="s">
        <v>61641</v>
      </c>
      <c r="E21344" t="b">
        <v>0</v>
      </c>
      <c r="F21344" t="s">
        <v>11610</v>
      </c>
      <c r="L21344">
        <v>0</v>
      </c>
      <c r="M21344">
        <v>0</v>
      </c>
      <c r="N21344">
        <v>0</v>
      </c>
    </row>
    <row r="21345" spans="1:15">
      <c r="A21345" t="s">
        <v>61642</v>
      </c>
      <c r="B21345" t="s">
        <v>11607</v>
      </c>
      <c r="C21345" t="s">
        <v>34681</v>
      </c>
      <c r="D21345" t="s">
        <v>61643</v>
      </c>
      <c r="E21345" t="b">
        <v>0</v>
      </c>
      <c r="F21345" t="s">
        <v>11610</v>
      </c>
      <c r="L21345">
        <v>0</v>
      </c>
      <c r="M21345">
        <v>0</v>
      </c>
      <c r="N21345">
        <v>0</v>
      </c>
    </row>
    <row r="21346" spans="1:15">
      <c r="A21346" t="s">
        <v>61644</v>
      </c>
      <c r="B21346" t="s">
        <v>6742</v>
      </c>
      <c r="C21346" t="s">
        <v>15474</v>
      </c>
      <c r="D21346" t="s">
        <v>61645</v>
      </c>
      <c r="E21346" t="b">
        <v>0</v>
      </c>
      <c r="F21346" t="s">
        <v>11624</v>
      </c>
      <c r="G21346">
        <v>6.5177399999999999</v>
      </c>
      <c r="H21346">
        <v>2.4322599999999999</v>
      </c>
      <c r="I21346" t="s">
        <v>61646</v>
      </c>
      <c r="L21346">
        <v>0</v>
      </c>
      <c r="M21346">
        <v>0</v>
      </c>
      <c r="N21346">
        <v>0</v>
      </c>
      <c r="O21346" t="s">
        <v>15477</v>
      </c>
    </row>
    <row r="21347" spans="1:15">
      <c r="A21347" t="s">
        <v>61647</v>
      </c>
      <c r="B21347" t="s">
        <v>6742</v>
      </c>
      <c r="C21347" t="s">
        <v>16537</v>
      </c>
      <c r="D21347" t="s">
        <v>61648</v>
      </c>
      <c r="E21347" t="b">
        <v>0</v>
      </c>
      <c r="F21347" t="s">
        <v>11624</v>
      </c>
      <c r="G21347">
        <v>6.3581500000000002</v>
      </c>
      <c r="H21347">
        <v>22.7362</v>
      </c>
      <c r="I21347" t="s">
        <v>61649</v>
      </c>
      <c r="L21347">
        <v>0</v>
      </c>
      <c r="M21347">
        <v>0</v>
      </c>
      <c r="N21347">
        <v>2</v>
      </c>
      <c r="O21347" t="s">
        <v>16544</v>
      </c>
    </row>
    <row r="21348" spans="1:15">
      <c r="A21348" t="s">
        <v>61650</v>
      </c>
      <c r="B21348" t="s">
        <v>6742</v>
      </c>
      <c r="C21348" t="s">
        <v>61647</v>
      </c>
      <c r="D21348" t="s">
        <v>61651</v>
      </c>
      <c r="E21348" t="b">
        <v>0</v>
      </c>
      <c r="F21348" t="s">
        <v>11610</v>
      </c>
      <c r="L21348">
        <v>0</v>
      </c>
      <c r="M21348">
        <v>0</v>
      </c>
      <c r="N21348">
        <v>0</v>
      </c>
    </row>
    <row r="21349" spans="1:15">
      <c r="A21349" t="s">
        <v>61652</v>
      </c>
      <c r="B21349" t="s">
        <v>6742</v>
      </c>
      <c r="C21349" t="s">
        <v>134</v>
      </c>
      <c r="D21349" t="s">
        <v>61653</v>
      </c>
      <c r="E21349" t="b">
        <v>0</v>
      </c>
      <c r="F21349" t="s">
        <v>11610</v>
      </c>
      <c r="L21349">
        <v>0</v>
      </c>
      <c r="M21349">
        <v>0</v>
      </c>
      <c r="N21349">
        <v>0</v>
      </c>
    </row>
    <row r="21350" spans="1:15">
      <c r="A21350" t="s">
        <v>61654</v>
      </c>
      <c r="B21350" t="s">
        <v>6742</v>
      </c>
      <c r="C21350" t="s">
        <v>32411</v>
      </c>
      <c r="D21350" t="s">
        <v>61655</v>
      </c>
      <c r="E21350" t="b">
        <v>0</v>
      </c>
      <c r="F21350" t="s">
        <v>11624</v>
      </c>
      <c r="G21350">
        <v>8.6629000000000005</v>
      </c>
      <c r="H21350">
        <v>25.9756</v>
      </c>
      <c r="I21350" t="s">
        <v>61656</v>
      </c>
      <c r="L21350">
        <v>0</v>
      </c>
      <c r="M21350">
        <v>0</v>
      </c>
      <c r="N21350">
        <v>0</v>
      </c>
      <c r="O21350" t="s">
        <v>11910</v>
      </c>
    </row>
    <row r="21351" spans="1:15">
      <c r="A21351" t="s">
        <v>61657</v>
      </c>
      <c r="B21351" t="s">
        <v>6742</v>
      </c>
      <c r="C21351" t="s">
        <v>25687</v>
      </c>
      <c r="D21351" t="s">
        <v>61658</v>
      </c>
      <c r="E21351" t="b">
        <v>0</v>
      </c>
      <c r="F21351" t="s">
        <v>11610</v>
      </c>
      <c r="L21351">
        <v>0</v>
      </c>
      <c r="M21351">
        <v>0</v>
      </c>
      <c r="N21351">
        <v>0</v>
      </c>
    </row>
    <row r="21352" spans="1:15">
      <c r="A21352" t="s">
        <v>61659</v>
      </c>
      <c r="B21352" t="s">
        <v>1342</v>
      </c>
      <c r="C21352" t="s">
        <v>30001</v>
      </c>
      <c r="D21352" t="s">
        <v>61660</v>
      </c>
      <c r="E21352" t="b">
        <v>0</v>
      </c>
      <c r="F21352" t="s">
        <v>11610</v>
      </c>
      <c r="L21352">
        <v>0</v>
      </c>
      <c r="M21352">
        <v>0</v>
      </c>
      <c r="N21352">
        <v>0</v>
      </c>
    </row>
    <row r="21353" spans="1:15">
      <c r="A21353" t="s">
        <v>48816</v>
      </c>
      <c r="B21353" t="s">
        <v>4342</v>
      </c>
      <c r="C21353" t="s">
        <v>26317</v>
      </c>
      <c r="D21353" t="s">
        <v>61661</v>
      </c>
      <c r="E21353" t="b">
        <v>0</v>
      </c>
      <c r="F21353" t="s">
        <v>11610</v>
      </c>
      <c r="L21353">
        <v>0</v>
      </c>
      <c r="M21353">
        <v>0</v>
      </c>
      <c r="N21353">
        <v>15</v>
      </c>
    </row>
    <row r="21354" spans="1:15">
      <c r="A21354" t="s">
        <v>10441</v>
      </c>
      <c r="B21354" t="s">
        <v>12751</v>
      </c>
      <c r="C21354" t="s">
        <v>53103</v>
      </c>
      <c r="D21354" t="s">
        <v>10439</v>
      </c>
      <c r="E21354" t="b">
        <v>0</v>
      </c>
      <c r="F21354" t="s">
        <v>11624</v>
      </c>
      <c r="G21354">
        <v>31.7973</v>
      </c>
      <c r="H21354">
        <v>-111.995</v>
      </c>
      <c r="I21354" t="s">
        <v>11309</v>
      </c>
      <c r="L21354">
        <v>0</v>
      </c>
      <c r="M21354">
        <v>0</v>
      </c>
      <c r="N21354">
        <v>2</v>
      </c>
      <c r="O21354" t="s">
        <v>12238</v>
      </c>
    </row>
    <row r="21355" spans="1:15">
      <c r="A21355" t="s">
        <v>10440</v>
      </c>
      <c r="B21355" t="s">
        <v>12751</v>
      </c>
      <c r="C21355" t="s">
        <v>10441</v>
      </c>
      <c r="D21355" t="s">
        <v>61662</v>
      </c>
      <c r="E21355" t="b">
        <v>0</v>
      </c>
      <c r="F21355" t="s">
        <v>11610</v>
      </c>
      <c r="L21355">
        <v>0</v>
      </c>
      <c r="M21355">
        <v>0</v>
      </c>
      <c r="N21355">
        <v>0</v>
      </c>
    </row>
    <row r="21356" spans="1:15">
      <c r="A21356" t="s">
        <v>61663</v>
      </c>
      <c r="B21356" t="s">
        <v>11644</v>
      </c>
      <c r="C21356" t="s">
        <v>24022</v>
      </c>
      <c r="D21356" t="s">
        <v>61664</v>
      </c>
      <c r="E21356" t="b">
        <v>0</v>
      </c>
      <c r="F21356" t="s">
        <v>11610</v>
      </c>
      <c r="L21356">
        <v>0</v>
      </c>
      <c r="M21356">
        <v>0</v>
      </c>
      <c r="N21356">
        <v>0</v>
      </c>
    </row>
    <row r="21357" spans="1:15">
      <c r="A21357" t="s">
        <v>61665</v>
      </c>
      <c r="B21357" t="s">
        <v>5911</v>
      </c>
      <c r="C21357" t="s">
        <v>22917</v>
      </c>
      <c r="D21357" t="s">
        <v>61666</v>
      </c>
      <c r="E21357" t="b">
        <v>0</v>
      </c>
      <c r="F21357" t="s">
        <v>11624</v>
      </c>
      <c r="G21357">
        <v>16.257200000000001</v>
      </c>
      <c r="H21357">
        <v>-91.782499999999999</v>
      </c>
      <c r="I21357" t="s">
        <v>61667</v>
      </c>
      <c r="L21357">
        <v>0</v>
      </c>
      <c r="M21357">
        <v>0</v>
      </c>
      <c r="N21357">
        <v>0</v>
      </c>
      <c r="O21357" t="s">
        <v>11883</v>
      </c>
    </row>
    <row r="21358" spans="1:15">
      <c r="A21358" t="s">
        <v>61668</v>
      </c>
      <c r="B21358" t="s">
        <v>6742</v>
      </c>
      <c r="C21358" t="s">
        <v>25189</v>
      </c>
      <c r="D21358" t="s">
        <v>61669</v>
      </c>
      <c r="E21358" t="b">
        <v>0</v>
      </c>
      <c r="F21358" t="s">
        <v>11610</v>
      </c>
      <c r="L21358">
        <v>0</v>
      </c>
      <c r="M21358">
        <v>0</v>
      </c>
      <c r="N21358">
        <v>0</v>
      </c>
    </row>
    <row r="21359" spans="1:15">
      <c r="A21359" t="s">
        <v>40935</v>
      </c>
      <c r="B21359" t="s">
        <v>11615</v>
      </c>
      <c r="C21359" t="s">
        <v>13001</v>
      </c>
      <c r="D21359" t="s">
        <v>61670</v>
      </c>
      <c r="E21359" t="b">
        <v>0</v>
      </c>
      <c r="F21359" t="s">
        <v>11624</v>
      </c>
      <c r="G21359">
        <v>-6.0504699999999998</v>
      </c>
      <c r="H21359">
        <v>145.298</v>
      </c>
      <c r="I21359" t="s">
        <v>61671</v>
      </c>
      <c r="L21359">
        <v>0</v>
      </c>
      <c r="M21359">
        <v>0</v>
      </c>
      <c r="N21359">
        <v>2</v>
      </c>
      <c r="O21359" t="s">
        <v>11660</v>
      </c>
    </row>
    <row r="21360" spans="1:15">
      <c r="A21360" t="s">
        <v>26773</v>
      </c>
      <c r="B21360" t="s">
        <v>4342</v>
      </c>
      <c r="C21360" t="s">
        <v>26317</v>
      </c>
      <c r="D21360" t="s">
        <v>61672</v>
      </c>
      <c r="E21360" t="b">
        <v>0</v>
      </c>
      <c r="F21360" t="s">
        <v>11610</v>
      </c>
      <c r="L21360">
        <v>0</v>
      </c>
      <c r="M21360">
        <v>0</v>
      </c>
      <c r="N21360">
        <v>25</v>
      </c>
    </row>
    <row r="21361" spans="1:15">
      <c r="A21361" t="s">
        <v>61673</v>
      </c>
      <c r="B21361" t="s">
        <v>367</v>
      </c>
      <c r="C21361" t="s">
        <v>55388</v>
      </c>
      <c r="D21361" t="s">
        <v>1676</v>
      </c>
      <c r="E21361" t="b">
        <v>0</v>
      </c>
      <c r="F21361" t="s">
        <v>11624</v>
      </c>
      <c r="G21361">
        <v>-9.2276419999999995</v>
      </c>
      <c r="H21361">
        <v>-171.780833</v>
      </c>
      <c r="I21361" t="s">
        <v>61674</v>
      </c>
      <c r="L21361">
        <v>0</v>
      </c>
      <c r="M21361">
        <v>0</v>
      </c>
      <c r="N21361">
        <v>0</v>
      </c>
      <c r="O21361" t="s">
        <v>61675</v>
      </c>
    </row>
    <row r="21362" spans="1:15">
      <c r="A21362" t="s">
        <v>61676</v>
      </c>
      <c r="B21362" t="s">
        <v>11637</v>
      </c>
      <c r="C21362" t="s">
        <v>11637</v>
      </c>
      <c r="D21362" t="s">
        <v>61677</v>
      </c>
      <c r="E21362" t="b">
        <v>0</v>
      </c>
      <c r="F21362" t="s">
        <v>11622</v>
      </c>
      <c r="L21362">
        <v>0</v>
      </c>
      <c r="M21362">
        <v>2</v>
      </c>
      <c r="N21362">
        <v>0</v>
      </c>
    </row>
    <row r="21363" spans="1:15">
      <c r="A21363" t="s">
        <v>61678</v>
      </c>
      <c r="B21363" t="s">
        <v>11637</v>
      </c>
      <c r="C21363" t="s">
        <v>61676</v>
      </c>
      <c r="D21363" t="s">
        <v>61679</v>
      </c>
      <c r="E21363" t="b">
        <v>0</v>
      </c>
      <c r="F21363" t="s">
        <v>11624</v>
      </c>
      <c r="G21363">
        <v>42.98</v>
      </c>
      <c r="H21363">
        <v>89.18</v>
      </c>
      <c r="I21363" t="s">
        <v>61680</v>
      </c>
      <c r="L21363">
        <v>0</v>
      </c>
      <c r="M21363">
        <v>0</v>
      </c>
      <c r="N21363">
        <v>0</v>
      </c>
      <c r="O21363" t="s">
        <v>11905</v>
      </c>
    </row>
    <row r="21364" spans="1:15">
      <c r="A21364" t="s">
        <v>61681</v>
      </c>
      <c r="B21364" t="s">
        <v>11637</v>
      </c>
      <c r="C21364" t="s">
        <v>61676</v>
      </c>
      <c r="D21364" t="s">
        <v>61682</v>
      </c>
      <c r="E21364" t="b">
        <v>0</v>
      </c>
      <c r="F21364" t="s">
        <v>11624</v>
      </c>
      <c r="G21364">
        <v>41.65</v>
      </c>
      <c r="H21364">
        <v>82.9</v>
      </c>
      <c r="I21364" t="s">
        <v>61683</v>
      </c>
      <c r="L21364">
        <v>0</v>
      </c>
      <c r="M21364">
        <v>0</v>
      </c>
      <c r="N21364">
        <v>0</v>
      </c>
      <c r="O21364" t="s">
        <v>11905</v>
      </c>
    </row>
    <row r="21365" spans="1:15">
      <c r="A21365" t="s">
        <v>61684</v>
      </c>
      <c r="B21365" t="s">
        <v>12311</v>
      </c>
      <c r="C21365" t="s">
        <v>13654</v>
      </c>
      <c r="D21365" t="s">
        <v>61685</v>
      </c>
      <c r="E21365" t="b">
        <v>0</v>
      </c>
      <c r="F21365" t="s">
        <v>11610</v>
      </c>
      <c r="L21365">
        <v>0</v>
      </c>
      <c r="M21365">
        <v>0</v>
      </c>
      <c r="N21365">
        <v>0</v>
      </c>
    </row>
    <row r="21366" spans="1:15">
      <c r="A21366" t="s">
        <v>61686</v>
      </c>
      <c r="B21366" t="s">
        <v>6742</v>
      </c>
      <c r="C21366" t="s">
        <v>3601</v>
      </c>
      <c r="D21366" t="s">
        <v>61687</v>
      </c>
      <c r="E21366" t="b">
        <v>0</v>
      </c>
      <c r="F21366" t="s">
        <v>11610</v>
      </c>
      <c r="L21366">
        <v>0</v>
      </c>
      <c r="M21366">
        <v>0</v>
      </c>
      <c r="N21366">
        <v>0</v>
      </c>
    </row>
    <row r="21367" spans="1:15">
      <c r="A21367" t="s">
        <v>41524</v>
      </c>
      <c r="B21367" t="s">
        <v>11607</v>
      </c>
      <c r="C21367" t="s">
        <v>44137</v>
      </c>
      <c r="D21367" t="s">
        <v>61688</v>
      </c>
      <c r="E21367" t="b">
        <v>0</v>
      </c>
      <c r="F21367" t="s">
        <v>11622</v>
      </c>
      <c r="L21367">
        <v>0</v>
      </c>
      <c r="M21367">
        <v>4</v>
      </c>
      <c r="N21367">
        <v>0</v>
      </c>
    </row>
    <row r="21368" spans="1:15">
      <c r="A21368" t="s">
        <v>61689</v>
      </c>
      <c r="B21368" t="s">
        <v>11637</v>
      </c>
      <c r="C21368" t="s">
        <v>18842</v>
      </c>
      <c r="D21368" t="s">
        <v>61690</v>
      </c>
      <c r="E21368" t="b">
        <v>0</v>
      </c>
      <c r="F21368" t="s">
        <v>11624</v>
      </c>
      <c r="G21368">
        <v>-9.4197100000000002</v>
      </c>
      <c r="H21368">
        <v>147.303</v>
      </c>
      <c r="I21368" t="s">
        <v>61691</v>
      </c>
      <c r="L21368">
        <v>0</v>
      </c>
      <c r="M21368">
        <v>0</v>
      </c>
      <c r="N21368">
        <v>0</v>
      </c>
      <c r="O21368" t="s">
        <v>11660</v>
      </c>
    </row>
    <row r="21369" spans="1:15">
      <c r="A21369" t="s">
        <v>61692</v>
      </c>
      <c r="B21369" t="s">
        <v>11615</v>
      </c>
      <c r="C21369" t="s">
        <v>37398</v>
      </c>
      <c r="D21369" t="s">
        <v>61693</v>
      </c>
      <c r="E21369" t="b">
        <v>0</v>
      </c>
      <c r="F21369" t="s">
        <v>11610</v>
      </c>
      <c r="L21369">
        <v>0</v>
      </c>
      <c r="M21369">
        <v>0</v>
      </c>
      <c r="N21369">
        <v>0</v>
      </c>
    </row>
    <row r="21370" spans="1:15">
      <c r="A21370" t="s">
        <v>61694</v>
      </c>
      <c r="B21370" t="s">
        <v>4342</v>
      </c>
      <c r="C21370" t="s">
        <v>30829</v>
      </c>
      <c r="D21370" t="s">
        <v>61695</v>
      </c>
      <c r="E21370" t="b">
        <v>0</v>
      </c>
      <c r="F21370" t="s">
        <v>11610</v>
      </c>
      <c r="L21370">
        <v>0</v>
      </c>
      <c r="M21370">
        <v>0</v>
      </c>
      <c r="N21370">
        <v>0</v>
      </c>
    </row>
    <row r="21371" spans="1:15">
      <c r="A21371" t="s">
        <v>34614</v>
      </c>
      <c r="B21371" t="s">
        <v>4342</v>
      </c>
      <c r="C21371" t="s">
        <v>50949</v>
      </c>
      <c r="D21371" t="s">
        <v>61696</v>
      </c>
      <c r="E21371" t="b">
        <v>0</v>
      </c>
      <c r="F21371" t="s">
        <v>11624</v>
      </c>
      <c r="G21371">
        <v>27.773599999999998</v>
      </c>
      <c r="H21371">
        <v>128.96100000000001</v>
      </c>
      <c r="I21371" t="s">
        <v>61697</v>
      </c>
      <c r="L21371">
        <v>0</v>
      </c>
      <c r="M21371">
        <v>0</v>
      </c>
      <c r="N21371">
        <v>1</v>
      </c>
      <c r="O21371" t="s">
        <v>12539</v>
      </c>
    </row>
    <row r="21372" spans="1:15">
      <c r="A21372" t="s">
        <v>31828</v>
      </c>
      <c r="B21372" t="s">
        <v>4342</v>
      </c>
      <c r="C21372" t="s">
        <v>19678</v>
      </c>
      <c r="D21372" t="s">
        <v>61698</v>
      </c>
      <c r="E21372" t="b">
        <v>0</v>
      </c>
      <c r="F21372" t="s">
        <v>11610</v>
      </c>
      <c r="L21372">
        <v>0</v>
      </c>
      <c r="M21372">
        <v>0</v>
      </c>
      <c r="N21372">
        <v>2</v>
      </c>
    </row>
    <row r="21373" spans="1:15">
      <c r="A21373" t="s">
        <v>61699</v>
      </c>
      <c r="B21373" t="s">
        <v>13450</v>
      </c>
      <c r="C21373" t="s">
        <v>44596</v>
      </c>
      <c r="D21373" t="s">
        <v>61700</v>
      </c>
      <c r="E21373" t="b">
        <v>0</v>
      </c>
      <c r="F21373" t="s">
        <v>11624</v>
      </c>
      <c r="G21373">
        <v>-4.9032109999999998</v>
      </c>
      <c r="H21373">
        <v>151.32361499999999</v>
      </c>
      <c r="L21373">
        <v>0</v>
      </c>
      <c r="M21373">
        <v>0</v>
      </c>
      <c r="N21373">
        <v>0</v>
      </c>
      <c r="O21373" t="s">
        <v>11660</v>
      </c>
    </row>
    <row r="21374" spans="1:15">
      <c r="A21374" t="s">
        <v>61701</v>
      </c>
      <c r="B21374" t="s">
        <v>6742</v>
      </c>
      <c r="C21374" t="s">
        <v>24493</v>
      </c>
      <c r="D21374" t="s">
        <v>61702</v>
      </c>
      <c r="E21374" t="b">
        <v>0</v>
      </c>
      <c r="F21374" t="s">
        <v>11610</v>
      </c>
      <c r="L21374">
        <v>0</v>
      </c>
      <c r="M21374">
        <v>0</v>
      </c>
      <c r="N21374">
        <v>0</v>
      </c>
    </row>
    <row r="21375" spans="1:15">
      <c r="A21375" t="s">
        <v>61703</v>
      </c>
      <c r="B21375" t="s">
        <v>11644</v>
      </c>
      <c r="C21375" t="s">
        <v>13896</v>
      </c>
      <c r="D21375" t="s">
        <v>61704</v>
      </c>
      <c r="E21375" t="b">
        <v>0</v>
      </c>
      <c r="F21375" t="s">
        <v>11610</v>
      </c>
      <c r="L21375">
        <v>0</v>
      </c>
      <c r="M21375">
        <v>0</v>
      </c>
      <c r="N21375">
        <v>0</v>
      </c>
    </row>
    <row r="21376" spans="1:15">
      <c r="A21376" t="s">
        <v>14733</v>
      </c>
      <c r="B21376" t="s">
        <v>367</v>
      </c>
      <c r="C21376" t="s">
        <v>36882</v>
      </c>
      <c r="D21376" t="s">
        <v>61705</v>
      </c>
      <c r="E21376" t="b">
        <v>0</v>
      </c>
      <c r="F21376" t="s">
        <v>11624</v>
      </c>
      <c r="G21376">
        <v>-4.0357700000000003</v>
      </c>
      <c r="H21376">
        <v>121.88800000000001</v>
      </c>
      <c r="I21376" t="s">
        <v>61706</v>
      </c>
      <c r="L21376">
        <v>0</v>
      </c>
      <c r="M21376">
        <v>0</v>
      </c>
      <c r="N21376">
        <v>8</v>
      </c>
      <c r="O21376" t="s">
        <v>11768</v>
      </c>
    </row>
    <row r="21377" spans="1:15">
      <c r="A21377" t="s">
        <v>61707</v>
      </c>
      <c r="B21377" t="s">
        <v>11644</v>
      </c>
      <c r="C21377" t="s">
        <v>42924</v>
      </c>
      <c r="D21377" t="s">
        <v>61708</v>
      </c>
      <c r="E21377" t="b">
        <v>0</v>
      </c>
      <c r="F21377" t="s">
        <v>11610</v>
      </c>
      <c r="L21377">
        <v>0</v>
      </c>
      <c r="M21377">
        <v>0</v>
      </c>
      <c r="N21377">
        <v>0</v>
      </c>
    </row>
    <row r="21378" spans="1:15">
      <c r="A21378" t="s">
        <v>61709</v>
      </c>
      <c r="B21378" t="s">
        <v>6742</v>
      </c>
      <c r="C21378" t="s">
        <v>24355</v>
      </c>
      <c r="D21378" t="s">
        <v>61710</v>
      </c>
      <c r="E21378" t="b">
        <v>0</v>
      </c>
      <c r="F21378" t="s">
        <v>11610</v>
      </c>
      <c r="L21378">
        <v>0</v>
      </c>
      <c r="M21378">
        <v>0</v>
      </c>
      <c r="N21378">
        <v>0</v>
      </c>
    </row>
    <row r="21379" spans="1:15">
      <c r="A21379" t="s">
        <v>61711</v>
      </c>
      <c r="B21379" t="s">
        <v>367</v>
      </c>
      <c r="C21379" t="s">
        <v>16493</v>
      </c>
      <c r="D21379" t="s">
        <v>61712</v>
      </c>
      <c r="E21379" t="b">
        <v>0</v>
      </c>
      <c r="F21379" t="s">
        <v>11610</v>
      </c>
      <c r="L21379">
        <v>0</v>
      </c>
      <c r="M21379">
        <v>0</v>
      </c>
      <c r="N21379">
        <v>0</v>
      </c>
    </row>
    <row r="21380" spans="1:15">
      <c r="A21380" t="s">
        <v>61713</v>
      </c>
      <c r="B21380" t="s">
        <v>6742</v>
      </c>
      <c r="C21380" t="s">
        <v>12632</v>
      </c>
      <c r="D21380" t="s">
        <v>61714</v>
      </c>
      <c r="E21380" t="b">
        <v>0</v>
      </c>
      <c r="F21380" t="s">
        <v>11610</v>
      </c>
      <c r="L21380">
        <v>0</v>
      </c>
      <c r="M21380">
        <v>0</v>
      </c>
      <c r="N21380">
        <v>0</v>
      </c>
    </row>
    <row r="21381" spans="1:15">
      <c r="A21381" t="s">
        <v>18996</v>
      </c>
      <c r="B21381" t="s">
        <v>367</v>
      </c>
      <c r="C21381" t="s">
        <v>61715</v>
      </c>
      <c r="D21381" t="s">
        <v>61716</v>
      </c>
      <c r="E21381" t="b">
        <v>0</v>
      </c>
      <c r="F21381" t="s">
        <v>11622</v>
      </c>
      <c r="L21381">
        <v>0</v>
      </c>
      <c r="M21381">
        <v>2</v>
      </c>
      <c r="N21381">
        <v>0</v>
      </c>
    </row>
    <row r="21382" spans="1:15">
      <c r="A21382" t="s">
        <v>61717</v>
      </c>
      <c r="B21382" t="s">
        <v>12133</v>
      </c>
      <c r="C21382" t="s">
        <v>32689</v>
      </c>
      <c r="D21382" t="s">
        <v>61718</v>
      </c>
      <c r="E21382" t="b">
        <v>0</v>
      </c>
      <c r="F21382" t="s">
        <v>11610</v>
      </c>
      <c r="L21382">
        <v>0</v>
      </c>
      <c r="M21382">
        <v>0</v>
      </c>
      <c r="N21382">
        <v>0</v>
      </c>
    </row>
    <row r="21383" spans="1:15">
      <c r="A21383" t="s">
        <v>61719</v>
      </c>
      <c r="B21383" t="s">
        <v>33493</v>
      </c>
      <c r="C21383" t="s">
        <v>33493</v>
      </c>
      <c r="D21383" t="s">
        <v>61720</v>
      </c>
      <c r="E21383" t="b">
        <v>0</v>
      </c>
      <c r="F21383" t="s">
        <v>11624</v>
      </c>
      <c r="G21383">
        <v>14.6686</v>
      </c>
      <c r="H21383">
        <v>-87.037199999999999</v>
      </c>
      <c r="I21383" t="s">
        <v>61721</v>
      </c>
      <c r="L21383">
        <v>0</v>
      </c>
      <c r="M21383">
        <v>0</v>
      </c>
      <c r="N21383">
        <v>0</v>
      </c>
      <c r="O21383" t="s">
        <v>31399</v>
      </c>
    </row>
    <row r="21384" spans="1:15">
      <c r="A21384" t="s">
        <v>61722</v>
      </c>
      <c r="B21384" t="s">
        <v>12438</v>
      </c>
      <c r="C21384" t="s">
        <v>12915</v>
      </c>
      <c r="D21384" t="s">
        <v>61723</v>
      </c>
      <c r="E21384" t="b">
        <v>0</v>
      </c>
      <c r="F21384" t="s">
        <v>11610</v>
      </c>
      <c r="L21384">
        <v>0</v>
      </c>
      <c r="M21384">
        <v>0</v>
      </c>
      <c r="N21384">
        <v>0</v>
      </c>
    </row>
    <row r="21385" spans="1:15">
      <c r="A21385" t="s">
        <v>61724</v>
      </c>
      <c r="B21385" t="s">
        <v>367</v>
      </c>
      <c r="C21385" t="s">
        <v>37378</v>
      </c>
      <c r="D21385" t="s">
        <v>61725</v>
      </c>
      <c r="E21385" t="b">
        <v>0</v>
      </c>
      <c r="F21385" t="s">
        <v>11610</v>
      </c>
      <c r="L21385">
        <v>0</v>
      </c>
      <c r="M21385">
        <v>0</v>
      </c>
      <c r="N21385">
        <v>0</v>
      </c>
    </row>
    <row r="21386" spans="1:15">
      <c r="A21386" t="s">
        <v>61726</v>
      </c>
      <c r="B21386" t="s">
        <v>367</v>
      </c>
      <c r="C21386" t="s">
        <v>48106</v>
      </c>
      <c r="D21386" t="s">
        <v>61727</v>
      </c>
      <c r="E21386" t="b">
        <v>0</v>
      </c>
      <c r="F21386" t="s">
        <v>11624</v>
      </c>
      <c r="G21386">
        <v>-15.1569</v>
      </c>
      <c r="H21386">
        <v>166.77199999999999</v>
      </c>
      <c r="I21386" t="s">
        <v>61728</v>
      </c>
      <c r="L21386">
        <v>0</v>
      </c>
      <c r="M21386">
        <v>0</v>
      </c>
      <c r="N21386">
        <v>0</v>
      </c>
      <c r="O21386" t="s">
        <v>12719</v>
      </c>
    </row>
    <row r="21387" spans="1:15">
      <c r="A21387" t="s">
        <v>61729</v>
      </c>
      <c r="B21387" t="s">
        <v>367</v>
      </c>
      <c r="C21387" t="s">
        <v>18637</v>
      </c>
      <c r="D21387" t="s">
        <v>61730</v>
      </c>
      <c r="E21387" t="b">
        <v>0</v>
      </c>
      <c r="F21387" t="s">
        <v>11610</v>
      </c>
      <c r="L21387">
        <v>0</v>
      </c>
      <c r="M21387">
        <v>0</v>
      </c>
      <c r="N21387">
        <v>0</v>
      </c>
    </row>
    <row r="21388" spans="1:15">
      <c r="A21388" t="s">
        <v>61731</v>
      </c>
      <c r="B21388" t="s">
        <v>367</v>
      </c>
      <c r="C21388" t="s">
        <v>13191</v>
      </c>
      <c r="D21388" t="s">
        <v>61732</v>
      </c>
      <c r="E21388" t="b">
        <v>0</v>
      </c>
      <c r="F21388" t="s">
        <v>11610</v>
      </c>
      <c r="L21388">
        <v>0</v>
      </c>
      <c r="M21388">
        <v>0</v>
      </c>
      <c r="N21388">
        <v>0</v>
      </c>
    </row>
    <row r="21389" spans="1:15">
      <c r="A21389" t="s">
        <v>61733</v>
      </c>
      <c r="B21389" t="s">
        <v>12460</v>
      </c>
      <c r="C21389" t="s">
        <v>51442</v>
      </c>
      <c r="D21389" t="s">
        <v>61734</v>
      </c>
      <c r="E21389" t="b">
        <v>0</v>
      </c>
      <c r="F21389" t="s">
        <v>11624</v>
      </c>
      <c r="G21389">
        <v>41.919199999999996</v>
      </c>
      <c r="H21389">
        <v>-124.1</v>
      </c>
      <c r="I21389" t="s">
        <v>61735</v>
      </c>
      <c r="L21389">
        <v>0</v>
      </c>
      <c r="M21389">
        <v>0</v>
      </c>
      <c r="N21389">
        <v>0</v>
      </c>
      <c r="O21389" t="s">
        <v>11944</v>
      </c>
    </row>
    <row r="21390" spans="1:15">
      <c r="A21390" t="s">
        <v>4248</v>
      </c>
      <c r="B21390" t="s">
        <v>13276</v>
      </c>
      <c r="C21390" t="s">
        <v>2671</v>
      </c>
      <c r="D21390" t="s">
        <v>61736</v>
      </c>
      <c r="E21390" t="b">
        <v>0</v>
      </c>
      <c r="F21390" t="s">
        <v>11624</v>
      </c>
      <c r="G21390">
        <v>8.20383</v>
      </c>
      <c r="H21390">
        <v>-9.2343899999999994</v>
      </c>
      <c r="I21390" t="s">
        <v>61737</v>
      </c>
      <c r="L21390">
        <v>0</v>
      </c>
      <c r="M21390">
        <v>0</v>
      </c>
      <c r="N21390">
        <v>0</v>
      </c>
      <c r="O21390" t="s">
        <v>30014</v>
      </c>
    </row>
    <row r="21391" spans="1:15">
      <c r="A21391" t="s">
        <v>61738</v>
      </c>
      <c r="B21391" t="s">
        <v>13276</v>
      </c>
      <c r="C21391" t="s">
        <v>58345</v>
      </c>
      <c r="D21391" t="s">
        <v>61739</v>
      </c>
      <c r="E21391" t="b">
        <v>0</v>
      </c>
      <c r="F21391" t="s">
        <v>11610</v>
      </c>
      <c r="L21391">
        <v>0</v>
      </c>
      <c r="M21391">
        <v>0</v>
      </c>
      <c r="N21391">
        <v>0</v>
      </c>
    </row>
    <row r="21392" spans="1:15">
      <c r="A21392" t="s">
        <v>61740</v>
      </c>
      <c r="B21392" t="s">
        <v>367</v>
      </c>
      <c r="C21392" t="s">
        <v>13191</v>
      </c>
      <c r="D21392" t="s">
        <v>61741</v>
      </c>
      <c r="E21392" t="b">
        <v>0</v>
      </c>
      <c r="F21392" t="s">
        <v>11610</v>
      </c>
      <c r="L21392">
        <v>0</v>
      </c>
      <c r="M21392">
        <v>0</v>
      </c>
      <c r="N21392">
        <v>0</v>
      </c>
    </row>
    <row r="21393" spans="1:15">
      <c r="A21393" t="s">
        <v>61742</v>
      </c>
      <c r="B21393" t="s">
        <v>367</v>
      </c>
      <c r="C21393" t="s">
        <v>32521</v>
      </c>
      <c r="D21393" t="s">
        <v>61743</v>
      </c>
      <c r="E21393" t="b">
        <v>0</v>
      </c>
      <c r="F21393" t="s">
        <v>11624</v>
      </c>
      <c r="G21393">
        <v>-2.5649299999999999</v>
      </c>
      <c r="H21393">
        <v>121.944</v>
      </c>
      <c r="I21393" t="s">
        <v>61744</v>
      </c>
      <c r="L21393">
        <v>0</v>
      </c>
      <c r="M21393">
        <v>0</v>
      </c>
      <c r="N21393">
        <v>0</v>
      </c>
      <c r="O21393" t="s">
        <v>11768</v>
      </c>
    </row>
    <row r="21394" spans="1:15">
      <c r="A21394" t="s">
        <v>60348</v>
      </c>
      <c r="B21394" t="s">
        <v>367</v>
      </c>
      <c r="C21394" t="s">
        <v>48731</v>
      </c>
      <c r="D21394" t="s">
        <v>61745</v>
      </c>
      <c r="E21394" t="b">
        <v>0</v>
      </c>
      <c r="F21394" t="s">
        <v>11624</v>
      </c>
      <c r="G21394">
        <v>1.3971499999999999</v>
      </c>
      <c r="H21394">
        <v>124.754</v>
      </c>
      <c r="I21394" t="s">
        <v>61746</v>
      </c>
      <c r="L21394">
        <v>0</v>
      </c>
      <c r="M21394">
        <v>0</v>
      </c>
      <c r="N21394">
        <v>2</v>
      </c>
      <c r="O21394" t="s">
        <v>11768</v>
      </c>
    </row>
    <row r="21395" spans="1:15">
      <c r="A21395" t="s">
        <v>40257</v>
      </c>
      <c r="B21395" t="s">
        <v>367</v>
      </c>
      <c r="C21395" t="s">
        <v>11669</v>
      </c>
      <c r="D21395" t="s">
        <v>61747</v>
      </c>
      <c r="E21395" t="b">
        <v>0</v>
      </c>
      <c r="F21395" t="s">
        <v>11624</v>
      </c>
      <c r="G21395">
        <v>6.2892000000000001</v>
      </c>
      <c r="H21395">
        <v>117.322</v>
      </c>
      <c r="I21395" t="s">
        <v>61748</v>
      </c>
      <c r="L21395">
        <v>0</v>
      </c>
      <c r="M21395">
        <v>0</v>
      </c>
      <c r="N21395">
        <v>1</v>
      </c>
      <c r="O21395" t="s">
        <v>11672</v>
      </c>
    </row>
    <row r="21396" spans="1:15">
      <c r="A21396" t="s">
        <v>61749</v>
      </c>
      <c r="B21396" t="s">
        <v>367</v>
      </c>
      <c r="C21396" t="s">
        <v>52117</v>
      </c>
      <c r="D21396" t="s">
        <v>61750</v>
      </c>
      <c r="E21396" t="b">
        <v>0</v>
      </c>
      <c r="F21396" t="s">
        <v>11624</v>
      </c>
      <c r="G21396">
        <v>-2.5099800000000001</v>
      </c>
      <c r="H21396">
        <v>121.91500000000001</v>
      </c>
      <c r="I21396" t="s">
        <v>61751</v>
      </c>
      <c r="L21396">
        <v>0</v>
      </c>
      <c r="M21396">
        <v>0</v>
      </c>
      <c r="N21396">
        <v>0</v>
      </c>
      <c r="O21396" t="s">
        <v>11768</v>
      </c>
    </row>
    <row r="21397" spans="1:15">
      <c r="A21397" t="s">
        <v>61752</v>
      </c>
      <c r="B21397" t="s">
        <v>6742</v>
      </c>
      <c r="C21397" t="s">
        <v>35757</v>
      </c>
      <c r="D21397" t="s">
        <v>61753</v>
      </c>
      <c r="E21397" t="b">
        <v>0</v>
      </c>
      <c r="F21397" t="s">
        <v>11624</v>
      </c>
      <c r="L21397">
        <v>0</v>
      </c>
      <c r="M21397">
        <v>0</v>
      </c>
      <c r="N21397">
        <v>0</v>
      </c>
      <c r="O21397" t="s">
        <v>16915</v>
      </c>
    </row>
    <row r="21398" spans="1:15">
      <c r="A21398" t="s">
        <v>61754</v>
      </c>
      <c r="B21398" t="s">
        <v>367</v>
      </c>
      <c r="C21398" t="s">
        <v>18725</v>
      </c>
      <c r="D21398" t="s">
        <v>61755</v>
      </c>
      <c r="E21398" t="b">
        <v>0</v>
      </c>
      <c r="F21398" t="s">
        <v>11610</v>
      </c>
      <c r="L21398">
        <v>0</v>
      </c>
      <c r="M21398">
        <v>0</v>
      </c>
      <c r="N21398">
        <v>0</v>
      </c>
    </row>
    <row r="21399" spans="1:15">
      <c r="A21399" t="s">
        <v>61756</v>
      </c>
      <c r="B21399" t="s">
        <v>11627</v>
      </c>
      <c r="C21399" t="s">
        <v>11627</v>
      </c>
      <c r="D21399" t="s">
        <v>61757</v>
      </c>
      <c r="E21399" t="b">
        <v>1</v>
      </c>
      <c r="F21399" t="s">
        <v>11624</v>
      </c>
      <c r="G21399">
        <v>3.2499899999999999</v>
      </c>
      <c r="H21399">
        <v>-69.666600000000003</v>
      </c>
      <c r="I21399" t="s">
        <v>61758</v>
      </c>
      <c r="L21399">
        <v>0</v>
      </c>
      <c r="M21399">
        <v>0</v>
      </c>
      <c r="N21399">
        <v>0</v>
      </c>
      <c r="O21399" t="s">
        <v>11898</v>
      </c>
    </row>
    <row r="21400" spans="1:15">
      <c r="A21400" t="s">
        <v>61715</v>
      </c>
      <c r="B21400" t="s">
        <v>367</v>
      </c>
      <c r="C21400" t="s">
        <v>21285</v>
      </c>
      <c r="D21400" t="s">
        <v>61759</v>
      </c>
      <c r="E21400" t="b">
        <v>0</v>
      </c>
      <c r="F21400" t="s">
        <v>11622</v>
      </c>
      <c r="L21400">
        <v>4</v>
      </c>
      <c r="M21400">
        <v>10</v>
      </c>
      <c r="N21400">
        <v>1</v>
      </c>
    </row>
    <row r="21401" spans="1:15">
      <c r="A21401" t="s">
        <v>48744</v>
      </c>
      <c r="B21401" t="s">
        <v>367</v>
      </c>
      <c r="C21401" t="s">
        <v>61715</v>
      </c>
      <c r="D21401" t="s">
        <v>61760</v>
      </c>
      <c r="E21401" t="b">
        <v>0</v>
      </c>
      <c r="F21401" t="s">
        <v>11622</v>
      </c>
      <c r="L21401">
        <v>2</v>
      </c>
      <c r="M21401">
        <v>8</v>
      </c>
      <c r="N21401">
        <v>1</v>
      </c>
    </row>
    <row r="21402" spans="1:15">
      <c r="A21402" t="s">
        <v>61761</v>
      </c>
      <c r="B21402" t="s">
        <v>367</v>
      </c>
      <c r="C21402" t="s">
        <v>25232</v>
      </c>
      <c r="D21402" t="s">
        <v>61762</v>
      </c>
      <c r="E21402" t="b">
        <v>0</v>
      </c>
      <c r="F21402" t="s">
        <v>11624</v>
      </c>
      <c r="G21402">
        <v>0.42569000000000001</v>
      </c>
      <c r="H21402">
        <v>120.89</v>
      </c>
      <c r="I21402" t="s">
        <v>61763</v>
      </c>
      <c r="L21402">
        <v>0</v>
      </c>
      <c r="M21402">
        <v>0</v>
      </c>
      <c r="N21402">
        <v>0</v>
      </c>
      <c r="O21402" t="s">
        <v>11768</v>
      </c>
    </row>
    <row r="21403" spans="1:15">
      <c r="A21403" t="s">
        <v>61764</v>
      </c>
      <c r="B21403" t="s">
        <v>367</v>
      </c>
      <c r="C21403" t="s">
        <v>14698</v>
      </c>
      <c r="D21403" t="s">
        <v>61765</v>
      </c>
      <c r="E21403" t="b">
        <v>0</v>
      </c>
      <c r="F21403" t="s">
        <v>11610</v>
      </c>
      <c r="L21403">
        <v>0</v>
      </c>
      <c r="M21403">
        <v>0</v>
      </c>
      <c r="N21403">
        <v>0</v>
      </c>
    </row>
    <row r="21404" spans="1:15">
      <c r="A21404" t="s">
        <v>61766</v>
      </c>
      <c r="B21404" t="s">
        <v>331</v>
      </c>
      <c r="C21404" t="s">
        <v>16875</v>
      </c>
      <c r="D21404" t="s">
        <v>61767</v>
      </c>
      <c r="E21404" t="b">
        <v>0</v>
      </c>
      <c r="F21404" t="s">
        <v>11610</v>
      </c>
      <c r="L21404">
        <v>0</v>
      </c>
      <c r="M21404">
        <v>0</v>
      </c>
      <c r="N21404">
        <v>0</v>
      </c>
    </row>
    <row r="21405" spans="1:15">
      <c r="A21405" t="s">
        <v>61768</v>
      </c>
      <c r="B21405" t="s">
        <v>1342</v>
      </c>
      <c r="C21405" t="s">
        <v>25284</v>
      </c>
      <c r="D21405" t="s">
        <v>61769</v>
      </c>
      <c r="E21405" t="b">
        <v>0</v>
      </c>
      <c r="F21405" t="s">
        <v>11624</v>
      </c>
      <c r="G21405">
        <v>14.756</v>
      </c>
      <c r="H21405">
        <v>-3.28</v>
      </c>
      <c r="I21405" t="s">
        <v>61770</v>
      </c>
      <c r="L21405">
        <v>0</v>
      </c>
      <c r="M21405">
        <v>0</v>
      </c>
      <c r="N21405">
        <v>0</v>
      </c>
      <c r="O21405" t="s">
        <v>13528</v>
      </c>
    </row>
    <row r="21406" spans="1:15">
      <c r="A21406" t="s">
        <v>61771</v>
      </c>
      <c r="B21406" t="s">
        <v>141</v>
      </c>
      <c r="C21406" t="s">
        <v>14216</v>
      </c>
      <c r="D21406" t="s">
        <v>61772</v>
      </c>
      <c r="E21406" t="b">
        <v>0</v>
      </c>
      <c r="F21406" t="s">
        <v>11610</v>
      </c>
      <c r="L21406">
        <v>0</v>
      </c>
      <c r="M21406">
        <v>0</v>
      </c>
      <c r="N21406">
        <v>0</v>
      </c>
    </row>
    <row r="21407" spans="1:15">
      <c r="A21407" t="s">
        <v>61773</v>
      </c>
      <c r="B21407" t="s">
        <v>1342</v>
      </c>
      <c r="C21407" t="s">
        <v>60823</v>
      </c>
      <c r="D21407" t="s">
        <v>61774</v>
      </c>
      <c r="E21407" t="b">
        <v>0</v>
      </c>
      <c r="F21407" t="s">
        <v>11624</v>
      </c>
      <c r="G21407">
        <v>13.633100000000001</v>
      </c>
      <c r="H21407">
        <v>-3.8222800000000001</v>
      </c>
      <c r="I21407" t="s">
        <v>61775</v>
      </c>
      <c r="L21407">
        <v>0</v>
      </c>
      <c r="M21407">
        <v>0</v>
      </c>
      <c r="N21407">
        <v>0</v>
      </c>
      <c r="O21407" t="s">
        <v>19384</v>
      </c>
    </row>
    <row r="21408" spans="1:15">
      <c r="A21408" t="s">
        <v>61776</v>
      </c>
      <c r="B21408" t="s">
        <v>367</v>
      </c>
      <c r="C21408" t="s">
        <v>41517</v>
      </c>
      <c r="D21408" t="s">
        <v>61777</v>
      </c>
      <c r="E21408" t="b">
        <v>0</v>
      </c>
      <c r="F21408" t="s">
        <v>11624</v>
      </c>
      <c r="G21408">
        <v>-5.3072100000000004</v>
      </c>
      <c r="H21408">
        <v>151.828</v>
      </c>
      <c r="I21408" t="s">
        <v>61778</v>
      </c>
      <c r="L21408">
        <v>0</v>
      </c>
      <c r="M21408">
        <v>0</v>
      </c>
      <c r="N21408">
        <v>0</v>
      </c>
      <c r="O21408" t="s">
        <v>11660</v>
      </c>
    </row>
    <row r="21409" spans="1:15">
      <c r="A21409" t="s">
        <v>61779</v>
      </c>
      <c r="B21409" t="s">
        <v>367</v>
      </c>
      <c r="C21409" t="s">
        <v>60348</v>
      </c>
      <c r="D21409" t="s">
        <v>61780</v>
      </c>
      <c r="E21409" t="b">
        <v>0</v>
      </c>
      <c r="F21409" t="s">
        <v>11610</v>
      </c>
      <c r="L21409">
        <v>0</v>
      </c>
      <c r="M21409">
        <v>0</v>
      </c>
      <c r="N21409">
        <v>0</v>
      </c>
    </row>
    <row r="21410" spans="1:15">
      <c r="A21410" t="s">
        <v>61781</v>
      </c>
      <c r="B21410" t="s">
        <v>12686</v>
      </c>
      <c r="C21410" t="s">
        <v>13099</v>
      </c>
      <c r="D21410" t="s">
        <v>61782</v>
      </c>
      <c r="E21410" t="b">
        <v>0</v>
      </c>
      <c r="F21410" t="s">
        <v>11610</v>
      </c>
      <c r="L21410">
        <v>0</v>
      </c>
      <c r="M21410">
        <v>0</v>
      </c>
      <c r="N21410">
        <v>0</v>
      </c>
    </row>
    <row r="21411" spans="1:15">
      <c r="A21411" t="s">
        <v>61783</v>
      </c>
      <c r="B21411" t="s">
        <v>367</v>
      </c>
      <c r="C21411" t="s">
        <v>39348</v>
      </c>
      <c r="D21411" t="s">
        <v>61784</v>
      </c>
      <c r="E21411" t="b">
        <v>0</v>
      </c>
      <c r="F21411" t="s">
        <v>11610</v>
      </c>
      <c r="L21411">
        <v>0</v>
      </c>
      <c r="M21411">
        <v>0</v>
      </c>
      <c r="N21411">
        <v>0</v>
      </c>
    </row>
    <row r="21412" spans="1:15">
      <c r="A21412" t="s">
        <v>61785</v>
      </c>
      <c r="B21412" t="s">
        <v>11627</v>
      </c>
      <c r="C21412" t="s">
        <v>11627</v>
      </c>
      <c r="D21412" t="s">
        <v>61786</v>
      </c>
      <c r="E21412" t="b">
        <v>1</v>
      </c>
      <c r="F21412" t="s">
        <v>11624</v>
      </c>
      <c r="I21412" t="s">
        <v>61787</v>
      </c>
      <c r="L21412">
        <v>0</v>
      </c>
      <c r="M21412">
        <v>0</v>
      </c>
      <c r="N21412">
        <v>0</v>
      </c>
    </row>
    <row r="21413" spans="1:15">
      <c r="A21413" t="s">
        <v>61788</v>
      </c>
      <c r="B21413" t="s">
        <v>367</v>
      </c>
      <c r="C21413" t="s">
        <v>4567</v>
      </c>
      <c r="D21413" t="s">
        <v>61789</v>
      </c>
      <c r="E21413" t="b">
        <v>0</v>
      </c>
      <c r="F21413" t="s">
        <v>11610</v>
      </c>
      <c r="L21413">
        <v>0</v>
      </c>
      <c r="M21413">
        <v>0</v>
      </c>
      <c r="N21413">
        <v>0</v>
      </c>
    </row>
    <row r="21414" spans="1:15">
      <c r="A21414" t="s">
        <v>61790</v>
      </c>
      <c r="B21414" t="s">
        <v>12562</v>
      </c>
      <c r="C21414" t="s">
        <v>26144</v>
      </c>
      <c r="D21414" t="s">
        <v>61791</v>
      </c>
      <c r="E21414" t="b">
        <v>0</v>
      </c>
      <c r="F21414" t="s">
        <v>11624</v>
      </c>
      <c r="G21414">
        <v>15.262988999999999</v>
      </c>
      <c r="H21414">
        <v>-2.816163</v>
      </c>
      <c r="I21414" t="s">
        <v>61792</v>
      </c>
      <c r="L21414">
        <v>0</v>
      </c>
      <c r="M21414">
        <v>0</v>
      </c>
      <c r="N21414">
        <v>0</v>
      </c>
      <c r="O21414" t="s">
        <v>13528</v>
      </c>
    </row>
    <row r="21415" spans="1:15">
      <c r="A21415" t="s">
        <v>14300</v>
      </c>
      <c r="B21415" t="s">
        <v>14005</v>
      </c>
      <c r="C21415" t="s">
        <v>45312</v>
      </c>
      <c r="D21415" t="s">
        <v>61793</v>
      </c>
      <c r="E21415" t="b">
        <v>0</v>
      </c>
      <c r="F21415" t="s">
        <v>11622</v>
      </c>
      <c r="L21415">
        <v>1</v>
      </c>
      <c r="M21415">
        <v>6</v>
      </c>
      <c r="N21415">
        <v>12</v>
      </c>
    </row>
    <row r="21416" spans="1:15">
      <c r="A21416" t="s">
        <v>34289</v>
      </c>
      <c r="B21416" t="s">
        <v>367</v>
      </c>
      <c r="C21416" t="s">
        <v>48731</v>
      </c>
      <c r="D21416" t="s">
        <v>61794</v>
      </c>
      <c r="E21416" t="b">
        <v>0</v>
      </c>
      <c r="F21416" t="s">
        <v>11624</v>
      </c>
      <c r="G21416">
        <v>1.28024</v>
      </c>
      <c r="H21416">
        <v>124.964</v>
      </c>
      <c r="I21416" t="s">
        <v>61795</v>
      </c>
      <c r="L21416">
        <v>0</v>
      </c>
      <c r="M21416">
        <v>0</v>
      </c>
      <c r="N21416">
        <v>3</v>
      </c>
      <c r="O21416" t="s">
        <v>11768</v>
      </c>
    </row>
    <row r="21417" spans="1:15">
      <c r="A21417" t="s">
        <v>56093</v>
      </c>
      <c r="B21417" t="s">
        <v>12438</v>
      </c>
      <c r="C21417" t="s">
        <v>35860</v>
      </c>
      <c r="D21417" t="s">
        <v>61796</v>
      </c>
      <c r="E21417" t="b">
        <v>0</v>
      </c>
      <c r="F21417" t="s">
        <v>11624</v>
      </c>
      <c r="G21417">
        <v>6.8813700000000004</v>
      </c>
      <c r="H21417">
        <v>100.102</v>
      </c>
      <c r="I21417" t="s">
        <v>61797</v>
      </c>
      <c r="L21417">
        <v>0</v>
      </c>
      <c r="M21417">
        <v>0</v>
      </c>
      <c r="N21417">
        <v>1</v>
      </c>
      <c r="O21417" t="s">
        <v>33349</v>
      </c>
    </row>
    <row r="21418" spans="1:15">
      <c r="A21418" t="s">
        <v>61798</v>
      </c>
      <c r="B21418" t="s">
        <v>12438</v>
      </c>
      <c r="C21418" t="s">
        <v>30736</v>
      </c>
      <c r="D21418" t="s">
        <v>61799</v>
      </c>
      <c r="E21418" t="b">
        <v>0</v>
      </c>
      <c r="F21418" t="s">
        <v>11610</v>
      </c>
      <c r="L21418">
        <v>0</v>
      </c>
      <c r="M21418">
        <v>0</v>
      </c>
      <c r="N21418">
        <v>0</v>
      </c>
    </row>
    <row r="21419" spans="1:15">
      <c r="A21419" t="s">
        <v>61800</v>
      </c>
      <c r="B21419" t="s">
        <v>12250</v>
      </c>
      <c r="C21419" t="s">
        <v>19396</v>
      </c>
      <c r="D21419" t="s">
        <v>61801</v>
      </c>
      <c r="E21419" t="b">
        <v>0</v>
      </c>
      <c r="F21419" t="s">
        <v>11610</v>
      </c>
      <c r="L21419">
        <v>0</v>
      </c>
      <c r="M21419">
        <v>0</v>
      </c>
      <c r="N21419">
        <v>0</v>
      </c>
    </row>
    <row r="21420" spans="1:15">
      <c r="A21420" t="s">
        <v>61802</v>
      </c>
      <c r="B21420" t="s">
        <v>11644</v>
      </c>
      <c r="C21420" t="s">
        <v>18256</v>
      </c>
      <c r="D21420" t="s">
        <v>61803</v>
      </c>
      <c r="E21420" t="b">
        <v>0</v>
      </c>
      <c r="F21420" t="s">
        <v>11610</v>
      </c>
      <c r="L21420">
        <v>0</v>
      </c>
      <c r="M21420">
        <v>0</v>
      </c>
      <c r="N21420">
        <v>0</v>
      </c>
    </row>
    <row r="21421" spans="1:15">
      <c r="A21421" t="s">
        <v>61804</v>
      </c>
      <c r="B21421" t="s">
        <v>11644</v>
      </c>
      <c r="C21421" t="s">
        <v>28687</v>
      </c>
      <c r="D21421" t="s">
        <v>61805</v>
      </c>
      <c r="E21421" t="b">
        <v>0</v>
      </c>
      <c r="F21421" t="s">
        <v>11610</v>
      </c>
      <c r="L21421">
        <v>0</v>
      </c>
      <c r="M21421">
        <v>0</v>
      </c>
      <c r="N21421">
        <v>0</v>
      </c>
    </row>
    <row r="21422" spans="1:15">
      <c r="A21422" t="s">
        <v>61806</v>
      </c>
      <c r="B21422" t="s">
        <v>11644</v>
      </c>
      <c r="C21422" t="s">
        <v>56917</v>
      </c>
      <c r="D21422" t="s">
        <v>61807</v>
      </c>
      <c r="E21422" t="b">
        <v>0</v>
      </c>
      <c r="F21422" t="s">
        <v>11610</v>
      </c>
      <c r="L21422">
        <v>0</v>
      </c>
      <c r="M21422">
        <v>0</v>
      </c>
      <c r="N21422">
        <v>0</v>
      </c>
    </row>
    <row r="21423" spans="1:15">
      <c r="A21423" t="s">
        <v>61808</v>
      </c>
      <c r="B21423" t="s">
        <v>11644</v>
      </c>
      <c r="C21423" t="s">
        <v>30548</v>
      </c>
      <c r="D21423" t="s">
        <v>61809</v>
      </c>
      <c r="E21423" t="b">
        <v>0</v>
      </c>
      <c r="F21423" t="s">
        <v>11610</v>
      </c>
      <c r="L21423">
        <v>0</v>
      </c>
      <c r="M21423">
        <v>0</v>
      </c>
      <c r="N21423">
        <v>0</v>
      </c>
    </row>
    <row r="21424" spans="1:15">
      <c r="A21424" t="s">
        <v>61810</v>
      </c>
      <c r="B21424" t="s">
        <v>6742</v>
      </c>
      <c r="C21424" t="s">
        <v>3610</v>
      </c>
      <c r="D21424" t="s">
        <v>61811</v>
      </c>
      <c r="E21424" t="b">
        <v>0</v>
      </c>
      <c r="F21424" t="s">
        <v>11610</v>
      </c>
      <c r="L21424">
        <v>0</v>
      </c>
      <c r="M21424">
        <v>0</v>
      </c>
      <c r="N21424">
        <v>0</v>
      </c>
    </row>
    <row r="21425" spans="1:15">
      <c r="A21425" t="s">
        <v>7583</v>
      </c>
      <c r="B21425" t="s">
        <v>6742</v>
      </c>
      <c r="C21425" t="s">
        <v>3622</v>
      </c>
      <c r="D21425" t="s">
        <v>7582</v>
      </c>
      <c r="E21425" t="b">
        <v>0</v>
      </c>
      <c r="F21425" t="s">
        <v>11610</v>
      </c>
      <c r="L21425">
        <v>0</v>
      </c>
      <c r="M21425">
        <v>0</v>
      </c>
      <c r="N21425">
        <v>0</v>
      </c>
    </row>
    <row r="21426" spans="1:15">
      <c r="A21426" t="s">
        <v>22753</v>
      </c>
      <c r="B21426" t="s">
        <v>6742</v>
      </c>
      <c r="C21426" t="s">
        <v>32212</v>
      </c>
      <c r="D21426" t="s">
        <v>61812</v>
      </c>
      <c r="E21426" t="b">
        <v>0</v>
      </c>
      <c r="F21426" t="s">
        <v>11624</v>
      </c>
      <c r="G21426">
        <v>-17.422325000000001</v>
      </c>
      <c r="H21426">
        <v>27.103494999999999</v>
      </c>
      <c r="I21426" t="s">
        <v>61813</v>
      </c>
      <c r="L21426">
        <v>0</v>
      </c>
      <c r="M21426">
        <v>0</v>
      </c>
      <c r="N21426">
        <v>3</v>
      </c>
      <c r="O21426" t="s">
        <v>61814</v>
      </c>
    </row>
    <row r="21427" spans="1:15">
      <c r="A21427" t="s">
        <v>61815</v>
      </c>
      <c r="B21427" t="s">
        <v>6742</v>
      </c>
      <c r="C21427" t="s">
        <v>17935</v>
      </c>
      <c r="D21427" t="s">
        <v>61816</v>
      </c>
      <c r="E21427" t="b">
        <v>0</v>
      </c>
      <c r="F21427" t="s">
        <v>11624</v>
      </c>
      <c r="G21427">
        <v>-6.4305099999999999</v>
      </c>
      <c r="H21427">
        <v>30.0807</v>
      </c>
      <c r="I21427" t="s">
        <v>61817</v>
      </c>
      <c r="L21427">
        <v>0</v>
      </c>
      <c r="M21427">
        <v>0</v>
      </c>
      <c r="N21427">
        <v>0</v>
      </c>
      <c r="O21427" t="s">
        <v>11635</v>
      </c>
    </row>
    <row r="21428" spans="1:15">
      <c r="A21428" t="s">
        <v>61818</v>
      </c>
      <c r="B21428" t="s">
        <v>6742</v>
      </c>
      <c r="C21428" t="s">
        <v>61819</v>
      </c>
      <c r="D21428" t="s">
        <v>61820</v>
      </c>
      <c r="E21428" t="b">
        <v>0</v>
      </c>
      <c r="F21428" t="s">
        <v>11624</v>
      </c>
      <c r="G21428">
        <v>-12.0816</v>
      </c>
      <c r="H21428">
        <v>34.061300000000003</v>
      </c>
      <c r="I21428" t="s">
        <v>61821</v>
      </c>
      <c r="L21428">
        <v>0</v>
      </c>
      <c r="M21428">
        <v>0</v>
      </c>
      <c r="N21428">
        <v>0</v>
      </c>
      <c r="O21428" t="s">
        <v>42128</v>
      </c>
    </row>
    <row r="21429" spans="1:15">
      <c r="A21429" t="s">
        <v>61822</v>
      </c>
      <c r="B21429" t="s">
        <v>367</v>
      </c>
      <c r="C21429" t="s">
        <v>20389</v>
      </c>
      <c r="D21429" t="s">
        <v>61823</v>
      </c>
      <c r="E21429" t="b">
        <v>0</v>
      </c>
      <c r="F21429" t="s">
        <v>11610</v>
      </c>
      <c r="L21429">
        <v>0</v>
      </c>
      <c r="M21429">
        <v>0</v>
      </c>
      <c r="N21429">
        <v>0</v>
      </c>
    </row>
    <row r="21430" spans="1:15">
      <c r="A21430" t="s">
        <v>61824</v>
      </c>
      <c r="B21430" t="s">
        <v>367</v>
      </c>
      <c r="C21430" t="s">
        <v>20389</v>
      </c>
      <c r="D21430" t="s">
        <v>61825</v>
      </c>
      <c r="E21430" t="b">
        <v>0</v>
      </c>
      <c r="F21430" t="s">
        <v>11610</v>
      </c>
      <c r="L21430">
        <v>0</v>
      </c>
      <c r="M21430">
        <v>0</v>
      </c>
      <c r="N21430">
        <v>0</v>
      </c>
    </row>
    <row r="21431" spans="1:15">
      <c r="A21431" t="s">
        <v>47908</v>
      </c>
      <c r="B21431" t="s">
        <v>367</v>
      </c>
      <c r="C21431" t="s">
        <v>49762</v>
      </c>
      <c r="D21431" t="s">
        <v>61826</v>
      </c>
      <c r="E21431" t="b">
        <v>0</v>
      </c>
      <c r="F21431" t="s">
        <v>11622</v>
      </c>
      <c r="L21431">
        <v>0</v>
      </c>
      <c r="M21431">
        <v>2</v>
      </c>
      <c r="N21431">
        <v>0</v>
      </c>
    </row>
    <row r="21432" spans="1:15">
      <c r="A21432" t="s">
        <v>1666</v>
      </c>
      <c r="B21432" t="s">
        <v>367</v>
      </c>
      <c r="C21432" t="s">
        <v>47908</v>
      </c>
      <c r="D21432" t="s">
        <v>61827</v>
      </c>
      <c r="E21432" t="b">
        <v>0</v>
      </c>
      <c r="F21432" t="s">
        <v>11624</v>
      </c>
      <c r="G21432">
        <v>-21.17</v>
      </c>
      <c r="H21432">
        <v>-175.25</v>
      </c>
      <c r="I21432" t="s">
        <v>1668</v>
      </c>
      <c r="L21432">
        <v>0</v>
      </c>
      <c r="M21432">
        <v>0</v>
      </c>
      <c r="N21432">
        <v>0</v>
      </c>
      <c r="O21432" t="s">
        <v>47904</v>
      </c>
    </row>
    <row r="21433" spans="1:15">
      <c r="A21433" t="s">
        <v>1667</v>
      </c>
      <c r="B21433" t="s">
        <v>367</v>
      </c>
      <c r="C21433" t="s">
        <v>51960</v>
      </c>
      <c r="D21433" t="s">
        <v>61828</v>
      </c>
      <c r="E21433" t="b">
        <v>0</v>
      </c>
      <c r="F21433" t="s">
        <v>11610</v>
      </c>
      <c r="L21433">
        <v>0</v>
      </c>
      <c r="M21433">
        <v>0</v>
      </c>
      <c r="N21433">
        <v>0</v>
      </c>
    </row>
    <row r="21434" spans="1:15">
      <c r="A21434" t="s">
        <v>61829</v>
      </c>
      <c r="B21434" t="s">
        <v>367</v>
      </c>
      <c r="C21434" t="s">
        <v>5449</v>
      </c>
      <c r="D21434" t="s">
        <v>61830</v>
      </c>
      <c r="E21434" t="b">
        <v>0</v>
      </c>
      <c r="F21434" t="s">
        <v>11610</v>
      </c>
      <c r="L21434">
        <v>0</v>
      </c>
      <c r="M21434">
        <v>0</v>
      </c>
      <c r="N21434">
        <v>0</v>
      </c>
    </row>
    <row r="21435" spans="1:15">
      <c r="A21435" t="s">
        <v>61831</v>
      </c>
      <c r="B21435" t="s">
        <v>367</v>
      </c>
      <c r="C21435" t="s">
        <v>5449</v>
      </c>
      <c r="D21435" t="s">
        <v>61832</v>
      </c>
      <c r="E21435" t="b">
        <v>0</v>
      </c>
      <c r="F21435" t="s">
        <v>11610</v>
      </c>
      <c r="L21435">
        <v>0</v>
      </c>
      <c r="M21435">
        <v>0</v>
      </c>
      <c r="N21435">
        <v>0</v>
      </c>
    </row>
    <row r="21436" spans="1:15">
      <c r="A21436" t="s">
        <v>61833</v>
      </c>
      <c r="B21436" t="s">
        <v>12751</v>
      </c>
      <c r="C21436" t="s">
        <v>56586</v>
      </c>
      <c r="D21436" t="s">
        <v>61834</v>
      </c>
      <c r="E21436" t="b">
        <v>0</v>
      </c>
      <c r="F21436" t="s">
        <v>11624</v>
      </c>
      <c r="G21436">
        <v>34.1</v>
      </c>
      <c r="H21436">
        <v>-118.11</v>
      </c>
      <c r="I21436" t="s">
        <v>61835</v>
      </c>
      <c r="L21436">
        <v>0</v>
      </c>
      <c r="M21436">
        <v>0</v>
      </c>
      <c r="N21436">
        <v>0</v>
      </c>
      <c r="O21436" t="s">
        <v>11944</v>
      </c>
    </row>
    <row r="21437" spans="1:15">
      <c r="A21437" t="s">
        <v>61836</v>
      </c>
      <c r="B21437" t="s">
        <v>11644</v>
      </c>
      <c r="C21437" t="s">
        <v>26632</v>
      </c>
      <c r="D21437" t="s">
        <v>61837</v>
      </c>
      <c r="E21437" t="b">
        <v>0</v>
      </c>
      <c r="F21437" t="s">
        <v>11610</v>
      </c>
      <c r="L21437">
        <v>0</v>
      </c>
      <c r="M21437">
        <v>0</v>
      </c>
      <c r="N21437">
        <v>0</v>
      </c>
    </row>
    <row r="21438" spans="1:15">
      <c r="A21438" t="s">
        <v>61838</v>
      </c>
      <c r="B21438" t="s">
        <v>6742</v>
      </c>
      <c r="C21438" t="s">
        <v>32585</v>
      </c>
      <c r="D21438" t="s">
        <v>61839</v>
      </c>
      <c r="E21438" t="b">
        <v>0</v>
      </c>
      <c r="F21438" t="s">
        <v>11610</v>
      </c>
      <c r="L21438">
        <v>0</v>
      </c>
      <c r="M21438">
        <v>0</v>
      </c>
      <c r="N21438">
        <v>0</v>
      </c>
    </row>
    <row r="21439" spans="1:15">
      <c r="A21439" t="s">
        <v>61840</v>
      </c>
      <c r="B21439" t="s">
        <v>11834</v>
      </c>
      <c r="C21439" t="s">
        <v>37134</v>
      </c>
      <c r="D21439" t="s">
        <v>61841</v>
      </c>
      <c r="E21439" t="b">
        <v>0</v>
      </c>
      <c r="F21439" t="s">
        <v>11610</v>
      </c>
      <c r="L21439">
        <v>0</v>
      </c>
      <c r="M21439">
        <v>0</v>
      </c>
      <c r="N21439">
        <v>0</v>
      </c>
    </row>
    <row r="21440" spans="1:15">
      <c r="A21440" t="s">
        <v>61842</v>
      </c>
      <c r="B21440" t="s">
        <v>6742</v>
      </c>
      <c r="C21440" t="s">
        <v>20348</v>
      </c>
      <c r="D21440" t="s">
        <v>61843</v>
      </c>
      <c r="E21440" t="b">
        <v>0</v>
      </c>
      <c r="F21440" t="s">
        <v>11610</v>
      </c>
      <c r="L21440">
        <v>0</v>
      </c>
      <c r="M21440">
        <v>0</v>
      </c>
      <c r="N21440">
        <v>0</v>
      </c>
    </row>
    <row r="21441" spans="1:15">
      <c r="A21441" t="s">
        <v>61844</v>
      </c>
      <c r="B21441" t="s">
        <v>11729</v>
      </c>
      <c r="C21441" t="s">
        <v>19464</v>
      </c>
      <c r="D21441" t="s">
        <v>61845</v>
      </c>
      <c r="E21441" t="b">
        <v>0</v>
      </c>
      <c r="F21441" t="s">
        <v>11610</v>
      </c>
      <c r="L21441">
        <v>0</v>
      </c>
      <c r="M21441">
        <v>0</v>
      </c>
      <c r="N21441">
        <v>0</v>
      </c>
    </row>
    <row r="21442" spans="1:15">
      <c r="A21442" t="s">
        <v>61846</v>
      </c>
      <c r="B21442" t="s">
        <v>13276</v>
      </c>
      <c r="C21442" t="s">
        <v>33634</v>
      </c>
      <c r="D21442" t="s">
        <v>61847</v>
      </c>
      <c r="E21442" t="b">
        <v>0</v>
      </c>
      <c r="F21442" t="s">
        <v>11624</v>
      </c>
      <c r="G21442">
        <v>8.3569999999999993</v>
      </c>
      <c r="H21442">
        <v>-4.4066599999999996</v>
      </c>
      <c r="I21442" t="s">
        <v>61848</v>
      </c>
      <c r="L21442">
        <v>0</v>
      </c>
      <c r="M21442">
        <v>0</v>
      </c>
      <c r="N21442">
        <v>0</v>
      </c>
      <c r="O21442" t="s">
        <v>11735</v>
      </c>
    </row>
    <row r="21443" spans="1:15">
      <c r="A21443" t="s">
        <v>61849</v>
      </c>
      <c r="D21443" t="s">
        <v>61850</v>
      </c>
      <c r="E21443" t="b">
        <v>0</v>
      </c>
      <c r="F21443" t="s">
        <v>11624</v>
      </c>
      <c r="G21443">
        <v>30.25</v>
      </c>
      <c r="H21443">
        <v>-96.75</v>
      </c>
      <c r="I21443" t="s">
        <v>61851</v>
      </c>
      <c r="L21443">
        <v>0</v>
      </c>
      <c r="M21443">
        <v>0</v>
      </c>
      <c r="N21443">
        <v>0</v>
      </c>
      <c r="O21443" t="s">
        <v>11944</v>
      </c>
    </row>
    <row r="21444" spans="1:15">
      <c r="A21444" t="s">
        <v>61852</v>
      </c>
      <c r="B21444" t="s">
        <v>367</v>
      </c>
      <c r="C21444" t="s">
        <v>44518</v>
      </c>
      <c r="D21444" t="s">
        <v>61853</v>
      </c>
      <c r="E21444" t="b">
        <v>0</v>
      </c>
      <c r="F21444" t="s">
        <v>11624</v>
      </c>
      <c r="G21444">
        <v>1.0539000000000001</v>
      </c>
      <c r="H21444">
        <v>124.652</v>
      </c>
      <c r="I21444" t="s">
        <v>61854</v>
      </c>
      <c r="L21444">
        <v>0</v>
      </c>
      <c r="M21444">
        <v>0</v>
      </c>
      <c r="N21444">
        <v>0</v>
      </c>
      <c r="O21444" t="s">
        <v>11768</v>
      </c>
    </row>
    <row r="21445" spans="1:15">
      <c r="A21445" t="s">
        <v>12554</v>
      </c>
      <c r="B21445" t="s">
        <v>367</v>
      </c>
      <c r="C21445" t="s">
        <v>48731</v>
      </c>
      <c r="D21445" t="s">
        <v>61855</v>
      </c>
      <c r="E21445" t="b">
        <v>0</v>
      </c>
      <c r="F21445" t="s">
        <v>11624</v>
      </c>
      <c r="G21445">
        <v>1.51393</v>
      </c>
      <c r="H21445">
        <v>125.05200000000001</v>
      </c>
      <c r="I21445" t="s">
        <v>61856</v>
      </c>
      <c r="L21445">
        <v>0</v>
      </c>
      <c r="M21445">
        <v>0</v>
      </c>
      <c r="N21445">
        <v>5</v>
      </c>
      <c r="O21445" t="s">
        <v>11768</v>
      </c>
    </row>
    <row r="21446" spans="1:15">
      <c r="A21446" t="s">
        <v>39348</v>
      </c>
      <c r="B21446" t="s">
        <v>367</v>
      </c>
      <c r="C21446" t="s">
        <v>48729</v>
      </c>
      <c r="D21446" t="s">
        <v>61857</v>
      </c>
      <c r="E21446" t="b">
        <v>0</v>
      </c>
      <c r="F21446" t="s">
        <v>11624</v>
      </c>
      <c r="G21446">
        <v>1.24813</v>
      </c>
      <c r="H21446">
        <v>124.654</v>
      </c>
      <c r="I21446" t="s">
        <v>61858</v>
      </c>
      <c r="L21446">
        <v>0</v>
      </c>
      <c r="M21446">
        <v>0</v>
      </c>
      <c r="N21446">
        <v>3</v>
      </c>
      <c r="O21446" t="s">
        <v>11768</v>
      </c>
    </row>
    <row r="21447" spans="1:15">
      <c r="A21447" t="s">
        <v>61859</v>
      </c>
      <c r="B21447" t="s">
        <v>6742</v>
      </c>
      <c r="C21447" t="s">
        <v>39046</v>
      </c>
      <c r="D21447" t="s">
        <v>61860</v>
      </c>
      <c r="E21447" t="b">
        <v>0</v>
      </c>
      <c r="F21447" t="s">
        <v>11624</v>
      </c>
      <c r="G21447">
        <v>7.25936</v>
      </c>
      <c r="H21447">
        <v>15.2819</v>
      </c>
      <c r="I21447" t="s">
        <v>61861</v>
      </c>
      <c r="L21447">
        <v>0</v>
      </c>
      <c r="M21447">
        <v>0</v>
      </c>
      <c r="N21447">
        <v>0</v>
      </c>
      <c r="O21447" t="s">
        <v>28845</v>
      </c>
    </row>
    <row r="21448" spans="1:15">
      <c r="A21448" t="s">
        <v>61862</v>
      </c>
      <c r="B21448" t="s">
        <v>6742</v>
      </c>
      <c r="C21448" t="s">
        <v>50666</v>
      </c>
      <c r="D21448" t="s">
        <v>61863</v>
      </c>
      <c r="E21448" t="b">
        <v>0</v>
      </c>
      <c r="F21448" t="s">
        <v>11624</v>
      </c>
      <c r="G21448">
        <v>0.57291000000000003</v>
      </c>
      <c r="H21448">
        <v>30.6389</v>
      </c>
      <c r="I21448" t="s">
        <v>61864</v>
      </c>
      <c r="L21448">
        <v>0</v>
      </c>
      <c r="M21448">
        <v>0</v>
      </c>
      <c r="N21448">
        <v>1</v>
      </c>
      <c r="O21448" t="s">
        <v>13208</v>
      </c>
    </row>
    <row r="21449" spans="1:15">
      <c r="A21449" t="s">
        <v>61865</v>
      </c>
      <c r="B21449" t="s">
        <v>367</v>
      </c>
      <c r="C21449" t="s">
        <v>20543</v>
      </c>
      <c r="D21449" t="s">
        <v>61866</v>
      </c>
      <c r="E21449" t="b">
        <v>0</v>
      </c>
      <c r="F21449" t="s">
        <v>11610</v>
      </c>
      <c r="L21449">
        <v>0</v>
      </c>
      <c r="M21449">
        <v>0</v>
      </c>
      <c r="N21449">
        <v>0</v>
      </c>
    </row>
    <row r="21450" spans="1:15">
      <c r="A21450" t="s">
        <v>26119</v>
      </c>
      <c r="B21450" t="s">
        <v>11757</v>
      </c>
      <c r="C21450" t="s">
        <v>35069</v>
      </c>
      <c r="D21450" t="s">
        <v>61867</v>
      </c>
      <c r="E21450" t="b">
        <v>0</v>
      </c>
      <c r="F21450" t="s">
        <v>11624</v>
      </c>
      <c r="G21450">
        <v>5.1590400000000001</v>
      </c>
      <c r="H21450">
        <v>34.215899999999998</v>
      </c>
      <c r="I21450" t="s">
        <v>61868</v>
      </c>
      <c r="L21450">
        <v>0</v>
      </c>
      <c r="M21450">
        <v>0</v>
      </c>
      <c r="N21450">
        <v>3</v>
      </c>
      <c r="O21450" t="s">
        <v>35071</v>
      </c>
    </row>
    <row r="21451" spans="1:15">
      <c r="A21451" t="s">
        <v>61869</v>
      </c>
      <c r="B21451" t="s">
        <v>367</v>
      </c>
      <c r="C21451" t="s">
        <v>16940</v>
      </c>
      <c r="D21451" t="s">
        <v>61870</v>
      </c>
      <c r="E21451" t="b">
        <v>0</v>
      </c>
      <c r="F21451" t="s">
        <v>11624</v>
      </c>
      <c r="G21451">
        <v>-2.0670199999999999</v>
      </c>
      <c r="H21451">
        <v>119.31399999999999</v>
      </c>
      <c r="I21451" t="s">
        <v>61871</v>
      </c>
      <c r="L21451">
        <v>0</v>
      </c>
      <c r="M21451">
        <v>0</v>
      </c>
      <c r="N21451">
        <v>0</v>
      </c>
      <c r="O21451" t="s">
        <v>11768</v>
      </c>
    </row>
    <row r="21452" spans="1:15">
      <c r="A21452" t="s">
        <v>61872</v>
      </c>
      <c r="B21452" t="s">
        <v>367</v>
      </c>
      <c r="C21452" t="s">
        <v>38634</v>
      </c>
      <c r="D21452" t="s">
        <v>61873</v>
      </c>
      <c r="E21452" t="b">
        <v>0</v>
      </c>
      <c r="F21452" t="s">
        <v>11610</v>
      </c>
      <c r="L21452">
        <v>0</v>
      </c>
      <c r="M21452">
        <v>0</v>
      </c>
      <c r="N21452">
        <v>0</v>
      </c>
    </row>
    <row r="21453" spans="1:15">
      <c r="A21453" t="s">
        <v>61874</v>
      </c>
      <c r="B21453" t="s">
        <v>6742</v>
      </c>
      <c r="C21453" t="s">
        <v>16624</v>
      </c>
      <c r="D21453" t="s">
        <v>61875</v>
      </c>
      <c r="E21453" t="b">
        <v>0</v>
      </c>
      <c r="F21453" t="s">
        <v>11610</v>
      </c>
      <c r="L21453">
        <v>0</v>
      </c>
      <c r="M21453">
        <v>0</v>
      </c>
      <c r="N21453">
        <v>0</v>
      </c>
    </row>
    <row r="21454" spans="1:15">
      <c r="A21454" t="s">
        <v>61876</v>
      </c>
      <c r="B21454" t="s">
        <v>367</v>
      </c>
      <c r="C21454" t="s">
        <v>45222</v>
      </c>
      <c r="D21454" t="s">
        <v>61877</v>
      </c>
      <c r="E21454" t="b">
        <v>0</v>
      </c>
      <c r="F21454" t="s">
        <v>11624</v>
      </c>
      <c r="G21454">
        <v>-6.1992200000000004</v>
      </c>
      <c r="H21454">
        <v>155.49600000000001</v>
      </c>
      <c r="I21454" t="s">
        <v>61878</v>
      </c>
      <c r="L21454">
        <v>0</v>
      </c>
      <c r="M21454">
        <v>0</v>
      </c>
      <c r="N21454">
        <v>0</v>
      </c>
      <c r="O21454" t="s">
        <v>11660</v>
      </c>
    </row>
    <row r="21455" spans="1:15">
      <c r="A21455" t="s">
        <v>34484</v>
      </c>
      <c r="B21455" t="s">
        <v>367</v>
      </c>
      <c r="C21455" t="s">
        <v>42365</v>
      </c>
      <c r="D21455" t="s">
        <v>61879</v>
      </c>
      <c r="E21455" t="b">
        <v>0</v>
      </c>
      <c r="F21455" t="s">
        <v>11622</v>
      </c>
      <c r="L21455">
        <v>0</v>
      </c>
      <c r="M21455">
        <v>5</v>
      </c>
      <c r="N21455">
        <v>14</v>
      </c>
    </row>
    <row r="21456" spans="1:15">
      <c r="A21456" t="s">
        <v>41874</v>
      </c>
      <c r="B21456" t="s">
        <v>367</v>
      </c>
      <c r="C21456" t="s">
        <v>34484</v>
      </c>
      <c r="D21456" t="s">
        <v>61880</v>
      </c>
      <c r="E21456" t="b">
        <v>0</v>
      </c>
      <c r="F21456" t="s">
        <v>11624</v>
      </c>
      <c r="G21456">
        <v>-2.9714399999999999</v>
      </c>
      <c r="H21456">
        <v>119.82899999999999</v>
      </c>
      <c r="I21456" t="s">
        <v>61881</v>
      </c>
      <c r="L21456">
        <v>0</v>
      </c>
      <c r="M21456">
        <v>0</v>
      </c>
      <c r="N21456">
        <v>3</v>
      </c>
      <c r="O21456" t="s">
        <v>11768</v>
      </c>
    </row>
    <row r="21457" spans="1:15">
      <c r="A21457" t="s">
        <v>61882</v>
      </c>
      <c r="B21457" t="s">
        <v>367</v>
      </c>
      <c r="C21457" t="s">
        <v>41874</v>
      </c>
      <c r="D21457" t="s">
        <v>61883</v>
      </c>
      <c r="E21457" t="b">
        <v>0</v>
      </c>
      <c r="F21457" t="s">
        <v>11610</v>
      </c>
      <c r="L21457">
        <v>0</v>
      </c>
      <c r="M21457">
        <v>0</v>
      </c>
      <c r="N21457">
        <v>0</v>
      </c>
    </row>
    <row r="21458" spans="1:15">
      <c r="A21458" t="s">
        <v>61884</v>
      </c>
      <c r="B21458" t="s">
        <v>22306</v>
      </c>
      <c r="C21458" t="s">
        <v>45328</v>
      </c>
      <c r="D21458" t="s">
        <v>61885</v>
      </c>
      <c r="E21458" t="b">
        <v>0</v>
      </c>
      <c r="F21458" t="s">
        <v>11624</v>
      </c>
      <c r="G21458">
        <v>-6.1953199999999997</v>
      </c>
      <c r="H21458">
        <v>-61.741599999999998</v>
      </c>
      <c r="I21458" t="s">
        <v>61886</v>
      </c>
      <c r="L21458">
        <v>0</v>
      </c>
      <c r="M21458">
        <v>0</v>
      </c>
      <c r="N21458">
        <v>0</v>
      </c>
      <c r="O21458" t="s">
        <v>11969</v>
      </c>
    </row>
    <row r="21459" spans="1:15">
      <c r="A21459" t="s">
        <v>61887</v>
      </c>
      <c r="B21459" t="s">
        <v>11607</v>
      </c>
      <c r="C21459" t="s">
        <v>18763</v>
      </c>
      <c r="D21459" t="s">
        <v>61888</v>
      </c>
      <c r="E21459" t="b">
        <v>0</v>
      </c>
      <c r="F21459" t="s">
        <v>11624</v>
      </c>
      <c r="G21459">
        <v>11.2027</v>
      </c>
      <c r="H21459">
        <v>19.525400000000001</v>
      </c>
      <c r="I21459" t="s">
        <v>61889</v>
      </c>
      <c r="L21459">
        <v>0</v>
      </c>
      <c r="M21459">
        <v>0</v>
      </c>
      <c r="N21459">
        <v>0</v>
      </c>
      <c r="O21459" t="s">
        <v>13421</v>
      </c>
    </row>
    <row r="21460" spans="1:15">
      <c r="A21460" t="s">
        <v>18101</v>
      </c>
      <c r="B21460" t="s">
        <v>16947</v>
      </c>
      <c r="C21460" t="s">
        <v>16947</v>
      </c>
      <c r="D21460" t="s">
        <v>61890</v>
      </c>
      <c r="E21460" t="b">
        <v>0</v>
      </c>
      <c r="F21460" t="s">
        <v>11622</v>
      </c>
      <c r="L21460">
        <v>2</v>
      </c>
      <c r="M21460">
        <v>12</v>
      </c>
      <c r="N21460">
        <v>2</v>
      </c>
    </row>
    <row r="21461" spans="1:15">
      <c r="A21461" t="s">
        <v>61891</v>
      </c>
      <c r="B21461" t="s">
        <v>367</v>
      </c>
      <c r="C21461" t="s">
        <v>20382</v>
      </c>
      <c r="D21461" t="s">
        <v>61892</v>
      </c>
      <c r="E21461" t="b">
        <v>0</v>
      </c>
      <c r="F21461" t="s">
        <v>11610</v>
      </c>
      <c r="L21461">
        <v>0</v>
      </c>
      <c r="M21461">
        <v>0</v>
      </c>
      <c r="N21461">
        <v>0</v>
      </c>
    </row>
    <row r="21462" spans="1:15">
      <c r="A21462" t="s">
        <v>51449</v>
      </c>
      <c r="B21462" t="s">
        <v>12250</v>
      </c>
      <c r="C21462" t="s">
        <v>20700</v>
      </c>
      <c r="D21462" t="s">
        <v>61893</v>
      </c>
      <c r="E21462" t="b">
        <v>0</v>
      </c>
      <c r="F21462" t="s">
        <v>11610</v>
      </c>
      <c r="L21462">
        <v>0</v>
      </c>
      <c r="M21462">
        <v>0</v>
      </c>
      <c r="N21462">
        <v>2</v>
      </c>
    </row>
    <row r="21463" spans="1:15">
      <c r="A21463" t="s">
        <v>61894</v>
      </c>
      <c r="B21463" t="s">
        <v>12686</v>
      </c>
      <c r="C21463" t="s">
        <v>319</v>
      </c>
      <c r="D21463" t="s">
        <v>61895</v>
      </c>
      <c r="E21463" t="b">
        <v>0</v>
      </c>
      <c r="F21463" t="s">
        <v>11610</v>
      </c>
      <c r="L21463">
        <v>0</v>
      </c>
      <c r="M21463">
        <v>0</v>
      </c>
      <c r="N21463">
        <v>0</v>
      </c>
    </row>
    <row r="21464" spans="1:15">
      <c r="A21464" t="s">
        <v>61896</v>
      </c>
      <c r="B21464" t="s">
        <v>4342</v>
      </c>
      <c r="C21464" t="s">
        <v>4341</v>
      </c>
      <c r="D21464" t="s">
        <v>61897</v>
      </c>
      <c r="E21464" t="b">
        <v>0</v>
      </c>
      <c r="F21464" t="s">
        <v>11610</v>
      </c>
      <c r="L21464">
        <v>0</v>
      </c>
      <c r="M21464">
        <v>0</v>
      </c>
      <c r="N21464">
        <v>0</v>
      </c>
    </row>
    <row r="21465" spans="1:15">
      <c r="A21465" t="s">
        <v>61898</v>
      </c>
      <c r="B21465" t="s">
        <v>12260</v>
      </c>
      <c r="C21465" t="s">
        <v>48369</v>
      </c>
      <c r="D21465" t="s">
        <v>61899</v>
      </c>
      <c r="E21465" t="b">
        <v>0</v>
      </c>
      <c r="F21465" t="s">
        <v>11610</v>
      </c>
      <c r="L21465">
        <v>0</v>
      </c>
      <c r="M21465">
        <v>0</v>
      </c>
      <c r="N21465">
        <v>0</v>
      </c>
    </row>
    <row r="21466" spans="1:15">
      <c r="A21466" t="s">
        <v>28405</v>
      </c>
      <c r="B21466" t="s">
        <v>12260</v>
      </c>
      <c r="C21466" t="s">
        <v>27888</v>
      </c>
      <c r="D21466" t="s">
        <v>61900</v>
      </c>
      <c r="E21466" t="b">
        <v>0</v>
      </c>
      <c r="F21466" t="s">
        <v>11624</v>
      </c>
      <c r="G21466">
        <v>67.252700000000004</v>
      </c>
      <c r="H21466">
        <v>23.065999999999999</v>
      </c>
      <c r="I21466" t="s">
        <v>61901</v>
      </c>
      <c r="L21466">
        <v>0</v>
      </c>
      <c r="M21466">
        <v>0</v>
      </c>
      <c r="N21466">
        <v>3</v>
      </c>
      <c r="O21466" t="s">
        <v>34464</v>
      </c>
    </row>
    <row r="21467" spans="1:15">
      <c r="A21467" t="s">
        <v>61902</v>
      </c>
      <c r="B21467" t="s">
        <v>12260</v>
      </c>
      <c r="C21467" t="s">
        <v>28405</v>
      </c>
      <c r="D21467" t="s">
        <v>61903</v>
      </c>
      <c r="E21467" t="b">
        <v>0</v>
      </c>
      <c r="F21467" t="s">
        <v>11610</v>
      </c>
      <c r="L21467">
        <v>0</v>
      </c>
      <c r="M21467">
        <v>0</v>
      </c>
      <c r="N21467">
        <v>0</v>
      </c>
    </row>
    <row r="21468" spans="1:15">
      <c r="A21468" t="s">
        <v>61904</v>
      </c>
      <c r="B21468" t="s">
        <v>6742</v>
      </c>
      <c r="C21468" t="s">
        <v>13195</v>
      </c>
      <c r="D21468" t="s">
        <v>61905</v>
      </c>
      <c r="E21468" t="b">
        <v>0</v>
      </c>
      <c r="F21468" t="s">
        <v>11624</v>
      </c>
      <c r="G21468">
        <v>9.0914300000000008</v>
      </c>
      <c r="H21468">
        <v>8.5819399999999995</v>
      </c>
      <c r="I21468" t="s">
        <v>61906</v>
      </c>
      <c r="L21468">
        <v>0</v>
      </c>
      <c r="M21468">
        <v>0</v>
      </c>
      <c r="N21468">
        <v>0</v>
      </c>
      <c r="O21468" t="s">
        <v>11693</v>
      </c>
    </row>
    <row r="21469" spans="1:15">
      <c r="A21469" t="s">
        <v>61907</v>
      </c>
      <c r="B21469" t="s">
        <v>3165</v>
      </c>
      <c r="C21469" t="s">
        <v>41158</v>
      </c>
      <c r="D21469" t="s">
        <v>61908</v>
      </c>
      <c r="E21469" t="b">
        <v>0</v>
      </c>
      <c r="F21469" t="s">
        <v>11624</v>
      </c>
      <c r="G21469">
        <v>11.125400000000001</v>
      </c>
      <c r="H21469">
        <v>30.341000000000001</v>
      </c>
      <c r="I21469" t="s">
        <v>61909</v>
      </c>
      <c r="L21469">
        <v>0</v>
      </c>
      <c r="M21469">
        <v>0</v>
      </c>
      <c r="N21469">
        <v>0</v>
      </c>
      <c r="O21469" t="s">
        <v>11910</v>
      </c>
    </row>
    <row r="21470" spans="1:15">
      <c r="A21470" t="s">
        <v>31912</v>
      </c>
      <c r="B21470" t="s">
        <v>1342</v>
      </c>
      <c r="C21470" t="s">
        <v>25284</v>
      </c>
      <c r="D21470" t="s">
        <v>61910</v>
      </c>
      <c r="E21470" t="b">
        <v>0</v>
      </c>
      <c r="F21470" t="s">
        <v>11624</v>
      </c>
      <c r="G21470">
        <v>14.407489999999999</v>
      </c>
      <c r="H21470">
        <v>-3.10006</v>
      </c>
      <c r="I21470" t="s">
        <v>61911</v>
      </c>
      <c r="L21470">
        <v>0</v>
      </c>
      <c r="M21470">
        <v>0</v>
      </c>
      <c r="N21470">
        <v>5</v>
      </c>
      <c r="O21470" t="s">
        <v>13528</v>
      </c>
    </row>
    <row r="21471" spans="1:15">
      <c r="A21471" t="s">
        <v>61912</v>
      </c>
      <c r="B21471" t="s">
        <v>1342</v>
      </c>
      <c r="C21471" t="s">
        <v>33179</v>
      </c>
      <c r="D21471" t="s">
        <v>61913</v>
      </c>
      <c r="E21471" t="b">
        <v>0</v>
      </c>
      <c r="F21471" t="s">
        <v>11624</v>
      </c>
      <c r="G21471">
        <v>15.064399999999999</v>
      </c>
      <c r="H21471">
        <v>-2.2242700000000002</v>
      </c>
      <c r="I21471" t="s">
        <v>61914</v>
      </c>
      <c r="L21471">
        <v>0</v>
      </c>
      <c r="M21471">
        <v>0</v>
      </c>
      <c r="N21471">
        <v>0</v>
      </c>
      <c r="O21471" t="s">
        <v>13528</v>
      </c>
    </row>
    <row r="21472" spans="1:15">
      <c r="A21472" t="s">
        <v>61915</v>
      </c>
      <c r="B21472" t="s">
        <v>13244</v>
      </c>
      <c r="C21472" t="s">
        <v>14335</v>
      </c>
      <c r="D21472" t="s">
        <v>61916</v>
      </c>
      <c r="E21472" t="b">
        <v>0</v>
      </c>
      <c r="F21472" t="s">
        <v>11624</v>
      </c>
      <c r="G21472">
        <v>-13.3028</v>
      </c>
      <c r="H21472">
        <v>-67.393100000000004</v>
      </c>
      <c r="I21472" t="s">
        <v>61917</v>
      </c>
      <c r="L21472">
        <v>0</v>
      </c>
      <c r="M21472">
        <v>0</v>
      </c>
      <c r="N21472">
        <v>0</v>
      </c>
      <c r="O21472" t="s">
        <v>14185</v>
      </c>
    </row>
    <row r="21473" spans="1:15">
      <c r="A21473" t="s">
        <v>16947</v>
      </c>
      <c r="D21473" t="s">
        <v>61918</v>
      </c>
      <c r="E21473" t="b">
        <v>0</v>
      </c>
      <c r="F21473" t="s">
        <v>11622</v>
      </c>
      <c r="L21473">
        <v>3</v>
      </c>
      <c r="M21473">
        <v>13</v>
      </c>
      <c r="N21473">
        <v>5</v>
      </c>
    </row>
    <row r="21474" spans="1:15">
      <c r="A21474" t="s">
        <v>61919</v>
      </c>
      <c r="B21474" t="s">
        <v>12241</v>
      </c>
      <c r="C21474" t="s">
        <v>12241</v>
      </c>
      <c r="D21474" t="s">
        <v>61920</v>
      </c>
      <c r="E21474" t="b">
        <v>0</v>
      </c>
      <c r="F21474" t="s">
        <v>11622</v>
      </c>
      <c r="L21474">
        <v>0</v>
      </c>
      <c r="M21474">
        <v>1</v>
      </c>
      <c r="N21474">
        <v>0</v>
      </c>
    </row>
    <row r="21475" spans="1:15">
      <c r="A21475" t="s">
        <v>61921</v>
      </c>
      <c r="B21475" t="s">
        <v>6742</v>
      </c>
      <c r="C21475" t="s">
        <v>28990</v>
      </c>
      <c r="D21475" t="s">
        <v>61922</v>
      </c>
      <c r="E21475" t="b">
        <v>0</v>
      </c>
      <c r="F21475" t="s">
        <v>11610</v>
      </c>
      <c r="L21475">
        <v>0</v>
      </c>
      <c r="M21475">
        <v>0</v>
      </c>
      <c r="N21475">
        <v>0</v>
      </c>
    </row>
    <row r="21476" spans="1:15">
      <c r="A21476" t="s">
        <v>26261</v>
      </c>
      <c r="B21476" t="s">
        <v>11834</v>
      </c>
      <c r="C21476" t="s">
        <v>26914</v>
      </c>
      <c r="D21476" t="s">
        <v>61923</v>
      </c>
      <c r="E21476" t="b">
        <v>0</v>
      </c>
      <c r="F21476" t="s">
        <v>11624</v>
      </c>
      <c r="G21476">
        <v>-3.4529200000000002</v>
      </c>
      <c r="H21476">
        <v>142.62200000000001</v>
      </c>
      <c r="I21476" t="s">
        <v>61924</v>
      </c>
      <c r="L21476">
        <v>0</v>
      </c>
      <c r="M21476">
        <v>0</v>
      </c>
      <c r="N21476">
        <v>2</v>
      </c>
      <c r="O21476" t="s">
        <v>11660</v>
      </c>
    </row>
    <row r="21477" spans="1:15">
      <c r="A21477" t="s">
        <v>61925</v>
      </c>
      <c r="B21477" t="s">
        <v>11637</v>
      </c>
      <c r="C21477" t="s">
        <v>18842</v>
      </c>
      <c r="D21477" t="s">
        <v>61926</v>
      </c>
      <c r="E21477" t="b">
        <v>0</v>
      </c>
      <c r="F21477" t="s">
        <v>11624</v>
      </c>
      <c r="G21477">
        <v>-11.066000000000001</v>
      </c>
      <c r="H21477">
        <v>142.69200000000001</v>
      </c>
      <c r="I21477" t="s">
        <v>61927</v>
      </c>
      <c r="L21477">
        <v>0</v>
      </c>
      <c r="M21477">
        <v>0</v>
      </c>
      <c r="N21477">
        <v>0</v>
      </c>
      <c r="O21477" t="s">
        <v>12107</v>
      </c>
    </row>
    <row r="21478" spans="1:15">
      <c r="A21478" t="s">
        <v>31219</v>
      </c>
      <c r="B21478" t="s">
        <v>367</v>
      </c>
      <c r="C21478" t="s">
        <v>13357</v>
      </c>
      <c r="D21478" t="s">
        <v>61928</v>
      </c>
      <c r="E21478" t="b">
        <v>0</v>
      </c>
      <c r="F21478" t="s">
        <v>11622</v>
      </c>
      <c r="L21478">
        <v>3</v>
      </c>
      <c r="M21478">
        <v>14</v>
      </c>
      <c r="N21478">
        <v>11</v>
      </c>
    </row>
    <row r="21479" spans="1:15">
      <c r="A21479" t="s">
        <v>61929</v>
      </c>
      <c r="B21479" t="s">
        <v>11637</v>
      </c>
      <c r="C21479" t="s">
        <v>21229</v>
      </c>
      <c r="D21479" t="s">
        <v>61930</v>
      </c>
      <c r="E21479" t="b">
        <v>0</v>
      </c>
      <c r="F21479" t="s">
        <v>11610</v>
      </c>
      <c r="L21479">
        <v>0</v>
      </c>
      <c r="M21479">
        <v>0</v>
      </c>
      <c r="N21479">
        <v>0</v>
      </c>
    </row>
    <row r="21480" spans="1:15">
      <c r="A21480" t="s">
        <v>15958</v>
      </c>
      <c r="B21480" t="s">
        <v>11637</v>
      </c>
      <c r="C21480" t="s">
        <v>24912</v>
      </c>
      <c r="D21480" t="s">
        <v>61931</v>
      </c>
      <c r="E21480" t="b">
        <v>0</v>
      </c>
      <c r="F21480" t="s">
        <v>11624</v>
      </c>
      <c r="G21480">
        <v>35.310099999999998</v>
      </c>
      <c r="H21480">
        <v>72.531599999999997</v>
      </c>
      <c r="I21480" t="s">
        <v>61932</v>
      </c>
      <c r="L21480">
        <v>0</v>
      </c>
      <c r="M21480">
        <v>0</v>
      </c>
      <c r="N21480">
        <v>2</v>
      </c>
      <c r="O21480" t="s">
        <v>12172</v>
      </c>
    </row>
    <row r="21481" spans="1:15">
      <c r="A21481" t="s">
        <v>61933</v>
      </c>
      <c r="B21481" t="s">
        <v>4342</v>
      </c>
      <c r="C21481" t="s">
        <v>22979</v>
      </c>
      <c r="D21481" t="s">
        <v>61934</v>
      </c>
      <c r="E21481" t="b">
        <v>0</v>
      </c>
      <c r="F21481" t="s">
        <v>11610</v>
      </c>
      <c r="L21481">
        <v>0</v>
      </c>
      <c r="M21481">
        <v>0</v>
      </c>
      <c r="N21481">
        <v>0</v>
      </c>
    </row>
    <row r="21482" spans="1:15">
      <c r="A21482" t="s">
        <v>61935</v>
      </c>
      <c r="B21482" t="s">
        <v>367</v>
      </c>
      <c r="C21482" t="s">
        <v>12475</v>
      </c>
      <c r="D21482" t="s">
        <v>61936</v>
      </c>
      <c r="E21482" t="b">
        <v>0</v>
      </c>
      <c r="F21482" t="s">
        <v>11610</v>
      </c>
      <c r="L21482">
        <v>0</v>
      </c>
      <c r="M21482">
        <v>0</v>
      </c>
      <c r="N21482">
        <v>0</v>
      </c>
    </row>
    <row r="21483" spans="1:15">
      <c r="A21483" t="s">
        <v>20988</v>
      </c>
      <c r="B21483" t="s">
        <v>11637</v>
      </c>
      <c r="C21483" t="s">
        <v>12972</v>
      </c>
      <c r="D21483" t="s">
        <v>61937</v>
      </c>
      <c r="E21483" t="b">
        <v>0</v>
      </c>
      <c r="F21483" t="s">
        <v>11624</v>
      </c>
      <c r="G21483">
        <v>41</v>
      </c>
      <c r="H21483">
        <v>20</v>
      </c>
      <c r="I21483" t="s">
        <v>61938</v>
      </c>
      <c r="L21483">
        <v>0</v>
      </c>
      <c r="M21483">
        <v>0</v>
      </c>
      <c r="N21483">
        <v>4</v>
      </c>
      <c r="O21483" t="s">
        <v>61939</v>
      </c>
    </row>
    <row r="21484" spans="1:15">
      <c r="A21484" t="s">
        <v>61940</v>
      </c>
      <c r="B21484" t="s">
        <v>11644</v>
      </c>
      <c r="C21484" t="s">
        <v>27363</v>
      </c>
      <c r="D21484" t="s">
        <v>61941</v>
      </c>
      <c r="E21484" t="b">
        <v>0</v>
      </c>
      <c r="F21484" t="s">
        <v>11624</v>
      </c>
      <c r="G21484">
        <v>28.533332999999999</v>
      </c>
      <c r="H21484">
        <v>102.083333</v>
      </c>
      <c r="L21484">
        <v>0</v>
      </c>
      <c r="M21484">
        <v>0</v>
      </c>
      <c r="N21484">
        <v>0</v>
      </c>
      <c r="O21484" t="s">
        <v>11905</v>
      </c>
    </row>
    <row r="21485" spans="1:15">
      <c r="A21485" t="s">
        <v>61942</v>
      </c>
      <c r="B21485" t="s">
        <v>11644</v>
      </c>
      <c r="C21485" t="s">
        <v>15856</v>
      </c>
      <c r="D21485" t="s">
        <v>61943</v>
      </c>
      <c r="E21485" t="b">
        <v>0</v>
      </c>
      <c r="F21485" t="s">
        <v>11610</v>
      </c>
      <c r="L21485">
        <v>0</v>
      </c>
      <c r="M21485">
        <v>0</v>
      </c>
      <c r="N21485">
        <v>0</v>
      </c>
    </row>
    <row r="21486" spans="1:15">
      <c r="A21486" t="s">
        <v>61944</v>
      </c>
      <c r="B21486" t="s">
        <v>6742</v>
      </c>
      <c r="C21486" t="s">
        <v>41467</v>
      </c>
      <c r="D21486" t="s">
        <v>61945</v>
      </c>
      <c r="E21486" t="b">
        <v>0</v>
      </c>
      <c r="F21486" t="s">
        <v>11624</v>
      </c>
      <c r="G21486">
        <v>-16.9575</v>
      </c>
      <c r="H21486">
        <v>24.3751</v>
      </c>
      <c r="I21486" t="s">
        <v>61946</v>
      </c>
      <c r="L21486">
        <v>0</v>
      </c>
      <c r="M21486">
        <v>0</v>
      </c>
      <c r="N21486">
        <v>0</v>
      </c>
      <c r="O21486" t="s">
        <v>61947</v>
      </c>
    </row>
    <row r="21487" spans="1:15">
      <c r="A21487" t="s">
        <v>21317</v>
      </c>
      <c r="D21487" t="s">
        <v>61948</v>
      </c>
      <c r="E21487" t="b">
        <v>0</v>
      </c>
      <c r="F21487" t="s">
        <v>11622</v>
      </c>
      <c r="L21487">
        <v>6</v>
      </c>
      <c r="M21487">
        <v>12</v>
      </c>
      <c r="N21487">
        <v>2</v>
      </c>
    </row>
    <row r="21488" spans="1:15">
      <c r="A21488" t="s">
        <v>21318</v>
      </c>
      <c r="B21488" t="s">
        <v>21317</v>
      </c>
      <c r="C21488" t="s">
        <v>21317</v>
      </c>
      <c r="D21488" t="s">
        <v>6041</v>
      </c>
      <c r="E21488" t="b">
        <v>0</v>
      </c>
      <c r="F21488" t="s">
        <v>11622</v>
      </c>
      <c r="L21488">
        <v>4</v>
      </c>
      <c r="M21488">
        <v>9</v>
      </c>
      <c r="N21488">
        <v>2</v>
      </c>
    </row>
    <row r="21489" spans="1:15">
      <c r="A21489" t="s">
        <v>61949</v>
      </c>
      <c r="B21489" t="s">
        <v>11644</v>
      </c>
      <c r="C21489" t="s">
        <v>24645</v>
      </c>
      <c r="D21489" t="s">
        <v>61950</v>
      </c>
      <c r="E21489" t="b">
        <v>0</v>
      </c>
      <c r="F21489" t="s">
        <v>11624</v>
      </c>
      <c r="G21489">
        <v>26.67</v>
      </c>
      <c r="H21489">
        <v>88.974999999999994</v>
      </c>
      <c r="I21489" t="s">
        <v>61951</v>
      </c>
      <c r="L21489">
        <v>0</v>
      </c>
      <c r="M21489">
        <v>0</v>
      </c>
      <c r="N21489">
        <v>0</v>
      </c>
      <c r="O21489" t="s">
        <v>11630</v>
      </c>
    </row>
    <row r="21490" spans="1:15">
      <c r="A21490" t="s">
        <v>61952</v>
      </c>
      <c r="B21490" t="s">
        <v>11644</v>
      </c>
      <c r="C21490" t="s">
        <v>13896</v>
      </c>
      <c r="D21490" t="s">
        <v>61953</v>
      </c>
      <c r="E21490" t="b">
        <v>0</v>
      </c>
      <c r="F21490" t="s">
        <v>11610</v>
      </c>
      <c r="L21490">
        <v>0</v>
      </c>
      <c r="M21490">
        <v>0</v>
      </c>
      <c r="N21490">
        <v>0</v>
      </c>
    </row>
    <row r="21491" spans="1:15">
      <c r="A21491" t="s">
        <v>61954</v>
      </c>
      <c r="B21491" t="s">
        <v>367</v>
      </c>
      <c r="C21491" t="s">
        <v>18996</v>
      </c>
      <c r="D21491" t="s">
        <v>61955</v>
      </c>
      <c r="E21491" t="b">
        <v>0</v>
      </c>
      <c r="F21491" t="s">
        <v>11624</v>
      </c>
      <c r="G21491">
        <v>1.14995</v>
      </c>
      <c r="H21491">
        <v>120.875</v>
      </c>
      <c r="I21491" t="s">
        <v>61956</v>
      </c>
      <c r="L21491">
        <v>0</v>
      </c>
      <c r="M21491">
        <v>0</v>
      </c>
      <c r="N21491">
        <v>0</v>
      </c>
      <c r="O21491" t="s">
        <v>11768</v>
      </c>
    </row>
    <row r="21492" spans="1:15">
      <c r="A21492" t="s">
        <v>61957</v>
      </c>
      <c r="B21492" t="s">
        <v>15027</v>
      </c>
      <c r="C21492" t="s">
        <v>40988</v>
      </c>
      <c r="D21492" t="s">
        <v>61958</v>
      </c>
      <c r="E21492" t="b">
        <v>0</v>
      </c>
      <c r="F21492" t="s">
        <v>11624</v>
      </c>
      <c r="G21492">
        <v>17.215699999999998</v>
      </c>
      <c r="H21492">
        <v>-96.017899999999997</v>
      </c>
      <c r="I21492" t="s">
        <v>61959</v>
      </c>
      <c r="L21492">
        <v>0</v>
      </c>
      <c r="M21492">
        <v>0</v>
      </c>
      <c r="N21492">
        <v>0</v>
      </c>
      <c r="O21492" t="s">
        <v>11883</v>
      </c>
    </row>
    <row r="21493" spans="1:15">
      <c r="A21493" t="s">
        <v>61960</v>
      </c>
      <c r="B21493" t="s">
        <v>15304</v>
      </c>
      <c r="C21493" t="s">
        <v>23250</v>
      </c>
      <c r="D21493" t="s">
        <v>61961</v>
      </c>
      <c r="E21493" t="b">
        <v>0</v>
      </c>
      <c r="F21493" t="s">
        <v>11624</v>
      </c>
      <c r="G21493">
        <v>2.5514899999999998</v>
      </c>
      <c r="H21493">
        <v>-76.637900000000002</v>
      </c>
      <c r="I21493" t="s">
        <v>61962</v>
      </c>
      <c r="L21493">
        <v>0</v>
      </c>
      <c r="M21493">
        <v>0</v>
      </c>
      <c r="N21493">
        <v>0</v>
      </c>
      <c r="O21493" t="s">
        <v>11898</v>
      </c>
    </row>
    <row r="21494" spans="1:15">
      <c r="A21494" t="s">
        <v>61963</v>
      </c>
      <c r="B21494" t="s">
        <v>11879</v>
      </c>
      <c r="C21494" t="s">
        <v>12898</v>
      </c>
      <c r="D21494" t="s">
        <v>61964</v>
      </c>
      <c r="E21494" t="b">
        <v>0</v>
      </c>
      <c r="F21494" t="s">
        <v>11610</v>
      </c>
      <c r="L21494">
        <v>0</v>
      </c>
      <c r="M21494">
        <v>0</v>
      </c>
      <c r="N21494">
        <v>0</v>
      </c>
    </row>
    <row r="21495" spans="1:15">
      <c r="A21495" t="s">
        <v>61965</v>
      </c>
      <c r="B21495" t="s">
        <v>11879</v>
      </c>
      <c r="C21495" t="s">
        <v>61966</v>
      </c>
      <c r="D21495" t="s">
        <v>61967</v>
      </c>
      <c r="E21495" t="b">
        <v>0</v>
      </c>
      <c r="F21495" t="s">
        <v>11624</v>
      </c>
      <c r="G21495">
        <v>16.855399999999999</v>
      </c>
      <c r="H21495">
        <v>-97.082400000000007</v>
      </c>
      <c r="I21495" t="s">
        <v>61968</v>
      </c>
      <c r="L21495">
        <v>0</v>
      </c>
      <c r="M21495">
        <v>0</v>
      </c>
      <c r="N21495">
        <v>0</v>
      </c>
      <c r="O21495" t="s">
        <v>11883</v>
      </c>
    </row>
    <row r="21496" spans="1:15">
      <c r="A21496" t="s">
        <v>61969</v>
      </c>
      <c r="B21496" t="s">
        <v>4342</v>
      </c>
      <c r="C21496" t="s">
        <v>22911</v>
      </c>
      <c r="D21496" t="s">
        <v>61970</v>
      </c>
      <c r="E21496" t="b">
        <v>0</v>
      </c>
      <c r="F21496" t="s">
        <v>11610</v>
      </c>
      <c r="L21496">
        <v>0</v>
      </c>
      <c r="M21496">
        <v>0</v>
      </c>
      <c r="N21496">
        <v>0</v>
      </c>
    </row>
    <row r="21497" spans="1:15">
      <c r="A21497" t="s">
        <v>61971</v>
      </c>
      <c r="B21497" t="s">
        <v>11607</v>
      </c>
      <c r="C21497" t="s">
        <v>29653</v>
      </c>
      <c r="D21497" t="s">
        <v>61972</v>
      </c>
      <c r="E21497" t="b">
        <v>0</v>
      </c>
      <c r="F21497" t="s">
        <v>11610</v>
      </c>
      <c r="L21497">
        <v>0</v>
      </c>
      <c r="M21497">
        <v>0</v>
      </c>
      <c r="N21497">
        <v>0</v>
      </c>
    </row>
    <row r="21498" spans="1:15">
      <c r="A21498" t="s">
        <v>61973</v>
      </c>
      <c r="B21498" t="s">
        <v>6742</v>
      </c>
      <c r="C21498" t="s">
        <v>28132</v>
      </c>
      <c r="D21498" t="s">
        <v>61974</v>
      </c>
      <c r="E21498" t="b">
        <v>0</v>
      </c>
      <c r="F21498" t="s">
        <v>11610</v>
      </c>
      <c r="L21498">
        <v>0</v>
      </c>
      <c r="M21498">
        <v>0</v>
      </c>
      <c r="N21498">
        <v>0</v>
      </c>
    </row>
    <row r="21499" spans="1:15">
      <c r="A21499" t="s">
        <v>61975</v>
      </c>
      <c r="B21499" t="s">
        <v>13276</v>
      </c>
      <c r="C21499" t="s">
        <v>19075</v>
      </c>
      <c r="D21499" t="s">
        <v>61976</v>
      </c>
      <c r="E21499" t="b">
        <v>0</v>
      </c>
      <c r="F21499" t="s">
        <v>11610</v>
      </c>
      <c r="L21499">
        <v>0</v>
      </c>
      <c r="M21499">
        <v>0</v>
      </c>
      <c r="N21499">
        <v>0</v>
      </c>
    </row>
    <row r="21500" spans="1:15">
      <c r="A21500" t="s">
        <v>61977</v>
      </c>
      <c r="B21500" t="s">
        <v>367</v>
      </c>
      <c r="C21500" t="s">
        <v>30631</v>
      </c>
      <c r="D21500" t="s">
        <v>61978</v>
      </c>
      <c r="E21500" t="b">
        <v>0</v>
      </c>
      <c r="F21500" t="s">
        <v>11610</v>
      </c>
      <c r="L21500">
        <v>0</v>
      </c>
      <c r="M21500">
        <v>0</v>
      </c>
      <c r="N21500">
        <v>0</v>
      </c>
    </row>
    <row r="21501" spans="1:15">
      <c r="A21501" t="s">
        <v>61979</v>
      </c>
      <c r="B21501" t="s">
        <v>12438</v>
      </c>
      <c r="C21501" t="s">
        <v>24066</v>
      </c>
      <c r="D21501" t="s">
        <v>61980</v>
      </c>
      <c r="E21501" t="b">
        <v>0</v>
      </c>
      <c r="F21501" t="s">
        <v>11610</v>
      </c>
      <c r="L21501">
        <v>0</v>
      </c>
      <c r="M21501">
        <v>0</v>
      </c>
      <c r="N21501">
        <v>0</v>
      </c>
    </row>
    <row r="21502" spans="1:15">
      <c r="A21502" t="s">
        <v>61981</v>
      </c>
      <c r="D21502" t="s">
        <v>61982</v>
      </c>
      <c r="E21502" t="b">
        <v>0</v>
      </c>
      <c r="F21502" t="s">
        <v>11624</v>
      </c>
      <c r="G21502">
        <v>-8.5840499999999995</v>
      </c>
      <c r="H21502">
        <v>157.29599999999999</v>
      </c>
      <c r="I21502" t="s">
        <v>61983</v>
      </c>
      <c r="L21502">
        <v>0</v>
      </c>
      <c r="M21502">
        <v>0</v>
      </c>
      <c r="N21502">
        <v>0</v>
      </c>
      <c r="O21502" t="s">
        <v>13346</v>
      </c>
    </row>
    <row r="21503" spans="1:15">
      <c r="A21503" t="s">
        <v>19545</v>
      </c>
      <c r="B21503" t="s">
        <v>13276</v>
      </c>
      <c r="C21503" t="s">
        <v>29541</v>
      </c>
      <c r="D21503" t="s">
        <v>61984</v>
      </c>
      <c r="E21503" t="b">
        <v>0</v>
      </c>
      <c r="F21503" t="s">
        <v>11624</v>
      </c>
      <c r="G21503">
        <v>7.7674700000000003</v>
      </c>
      <c r="H21503">
        <v>-7.3310500000000003</v>
      </c>
      <c r="I21503" t="s">
        <v>61985</v>
      </c>
      <c r="L21503">
        <v>0</v>
      </c>
      <c r="M21503">
        <v>0</v>
      </c>
      <c r="N21503">
        <v>6</v>
      </c>
      <c r="O21503" t="s">
        <v>11735</v>
      </c>
    </row>
    <row r="21504" spans="1:15">
      <c r="A21504" t="s">
        <v>61986</v>
      </c>
      <c r="B21504" t="s">
        <v>367</v>
      </c>
      <c r="C21504" t="s">
        <v>38262</v>
      </c>
      <c r="D21504" t="s">
        <v>61987</v>
      </c>
      <c r="E21504" t="b">
        <v>0</v>
      </c>
      <c r="F21504" t="s">
        <v>11624</v>
      </c>
      <c r="G21504">
        <v>-9.1000800000000002</v>
      </c>
      <c r="H21504">
        <v>146.988</v>
      </c>
      <c r="I21504" t="s">
        <v>61988</v>
      </c>
      <c r="L21504">
        <v>0</v>
      </c>
      <c r="M21504">
        <v>0</v>
      </c>
      <c r="N21504">
        <v>0</v>
      </c>
      <c r="O21504" t="s">
        <v>11660</v>
      </c>
    </row>
    <row r="21505" spans="1:15">
      <c r="A21505" t="s">
        <v>61989</v>
      </c>
      <c r="B21505" t="s">
        <v>367</v>
      </c>
      <c r="C21505" t="s">
        <v>45444</v>
      </c>
      <c r="D21505" t="s">
        <v>61990</v>
      </c>
      <c r="E21505" t="b">
        <v>0</v>
      </c>
      <c r="F21505" t="s">
        <v>11610</v>
      </c>
      <c r="L21505">
        <v>0</v>
      </c>
      <c r="M21505">
        <v>0</v>
      </c>
      <c r="N21505">
        <v>0</v>
      </c>
    </row>
    <row r="21506" spans="1:15">
      <c r="A21506" t="s">
        <v>29541</v>
      </c>
      <c r="B21506" t="s">
        <v>13276</v>
      </c>
      <c r="C21506" t="s">
        <v>24072</v>
      </c>
      <c r="D21506" t="s">
        <v>61991</v>
      </c>
      <c r="E21506" t="b">
        <v>0</v>
      </c>
      <c r="F21506" t="s">
        <v>11622</v>
      </c>
      <c r="L21506">
        <v>0</v>
      </c>
      <c r="M21506">
        <v>2</v>
      </c>
      <c r="N21506">
        <v>6</v>
      </c>
    </row>
    <row r="21507" spans="1:15">
      <c r="A21507" t="s">
        <v>61992</v>
      </c>
      <c r="B21507" t="s">
        <v>15132</v>
      </c>
      <c r="C21507" t="s">
        <v>25434</v>
      </c>
      <c r="D21507" t="s">
        <v>61993</v>
      </c>
      <c r="E21507" t="b">
        <v>0</v>
      </c>
      <c r="F21507" t="s">
        <v>11624</v>
      </c>
      <c r="G21507">
        <v>-3.8742800000000002</v>
      </c>
      <c r="H21507">
        <v>140.803</v>
      </c>
      <c r="I21507" t="s">
        <v>61994</v>
      </c>
      <c r="L21507">
        <v>0</v>
      </c>
      <c r="M21507">
        <v>0</v>
      </c>
      <c r="N21507">
        <v>0</v>
      </c>
      <c r="O21507" t="s">
        <v>11768</v>
      </c>
    </row>
    <row r="21508" spans="1:15">
      <c r="A21508" t="s">
        <v>4016</v>
      </c>
      <c r="B21508" t="s">
        <v>6742</v>
      </c>
      <c r="C21508" t="s">
        <v>17881</v>
      </c>
      <c r="D21508" t="s">
        <v>61995</v>
      </c>
      <c r="E21508" t="b">
        <v>0</v>
      </c>
      <c r="F21508" t="s">
        <v>11610</v>
      </c>
      <c r="L21508">
        <v>0</v>
      </c>
      <c r="M21508">
        <v>0</v>
      </c>
      <c r="N21508">
        <v>0</v>
      </c>
    </row>
    <row r="21509" spans="1:15">
      <c r="A21509" t="s">
        <v>61996</v>
      </c>
      <c r="B21509" t="s">
        <v>11637</v>
      </c>
      <c r="C21509" t="s">
        <v>18580</v>
      </c>
      <c r="D21509" t="s">
        <v>61997</v>
      </c>
      <c r="E21509" t="b">
        <v>0</v>
      </c>
      <c r="F21509" t="s">
        <v>11610</v>
      </c>
      <c r="L21509">
        <v>0</v>
      </c>
      <c r="M21509">
        <v>0</v>
      </c>
      <c r="N21509">
        <v>0</v>
      </c>
    </row>
    <row r="21510" spans="1:15">
      <c r="A21510" t="s">
        <v>61998</v>
      </c>
      <c r="B21510" t="s">
        <v>4342</v>
      </c>
      <c r="C21510" t="s">
        <v>28119</v>
      </c>
      <c r="D21510" t="s">
        <v>61999</v>
      </c>
      <c r="E21510" t="b">
        <v>0</v>
      </c>
      <c r="F21510" t="s">
        <v>11610</v>
      </c>
      <c r="L21510">
        <v>0</v>
      </c>
      <c r="M21510">
        <v>0</v>
      </c>
      <c r="N21510">
        <v>0</v>
      </c>
    </row>
    <row r="21511" spans="1:15">
      <c r="A21511" t="s">
        <v>62000</v>
      </c>
      <c r="B21511" t="s">
        <v>13314</v>
      </c>
      <c r="C21511" t="s">
        <v>14368</v>
      </c>
      <c r="D21511" t="s">
        <v>62001</v>
      </c>
      <c r="E21511" t="b">
        <v>0</v>
      </c>
      <c r="F21511" t="s">
        <v>11610</v>
      </c>
      <c r="L21511">
        <v>0</v>
      </c>
      <c r="M21511">
        <v>0</v>
      </c>
      <c r="N21511">
        <v>0</v>
      </c>
    </row>
    <row r="21512" spans="1:15">
      <c r="A21512" t="s">
        <v>62002</v>
      </c>
      <c r="B21512" t="s">
        <v>331</v>
      </c>
      <c r="C21512" t="s">
        <v>16318</v>
      </c>
      <c r="D21512" t="s">
        <v>62003</v>
      </c>
      <c r="E21512" t="b">
        <v>0</v>
      </c>
      <c r="F21512" t="s">
        <v>11610</v>
      </c>
      <c r="L21512">
        <v>0</v>
      </c>
      <c r="M21512">
        <v>0</v>
      </c>
      <c r="N21512">
        <v>0</v>
      </c>
    </row>
    <row r="21513" spans="1:15">
      <c r="A21513" t="s">
        <v>62004</v>
      </c>
      <c r="B21513" t="s">
        <v>11637</v>
      </c>
      <c r="C21513" t="s">
        <v>12777</v>
      </c>
      <c r="D21513" t="s">
        <v>62005</v>
      </c>
      <c r="E21513" t="b">
        <v>0</v>
      </c>
      <c r="F21513" t="s">
        <v>11610</v>
      </c>
      <c r="L21513">
        <v>0</v>
      </c>
      <c r="M21513">
        <v>0</v>
      </c>
      <c r="N21513">
        <v>0</v>
      </c>
    </row>
    <row r="21514" spans="1:15">
      <c r="A21514" t="s">
        <v>62006</v>
      </c>
      <c r="B21514" t="s">
        <v>11637</v>
      </c>
      <c r="C21514" t="s">
        <v>2995</v>
      </c>
      <c r="D21514" t="s">
        <v>62007</v>
      </c>
      <c r="E21514" t="b">
        <v>0</v>
      </c>
      <c r="F21514" t="s">
        <v>11610</v>
      </c>
      <c r="L21514">
        <v>0</v>
      </c>
      <c r="M21514">
        <v>0</v>
      </c>
      <c r="N21514">
        <v>0</v>
      </c>
    </row>
    <row r="21515" spans="1:15">
      <c r="A21515" t="s">
        <v>62008</v>
      </c>
      <c r="B21515" t="s">
        <v>11637</v>
      </c>
      <c r="C21515" t="s">
        <v>24239</v>
      </c>
      <c r="D21515" t="s">
        <v>62009</v>
      </c>
      <c r="E21515" t="b">
        <v>0</v>
      </c>
      <c r="F21515" t="s">
        <v>11610</v>
      </c>
      <c r="L21515">
        <v>0</v>
      </c>
      <c r="M21515">
        <v>0</v>
      </c>
      <c r="N21515">
        <v>0</v>
      </c>
    </row>
    <row r="21516" spans="1:15">
      <c r="A21516" t="s">
        <v>62010</v>
      </c>
      <c r="B21516" t="s">
        <v>11637</v>
      </c>
      <c r="C21516" t="s">
        <v>58913</v>
      </c>
      <c r="D21516" t="s">
        <v>62011</v>
      </c>
      <c r="E21516" t="b">
        <v>0</v>
      </c>
      <c r="F21516" t="s">
        <v>11610</v>
      </c>
      <c r="L21516">
        <v>0</v>
      </c>
      <c r="M21516">
        <v>0</v>
      </c>
      <c r="N21516">
        <v>0</v>
      </c>
    </row>
    <row r="21517" spans="1:15">
      <c r="A21517" t="s">
        <v>62012</v>
      </c>
      <c r="B21517" t="s">
        <v>11637</v>
      </c>
      <c r="C21517" t="s">
        <v>34683</v>
      </c>
      <c r="D21517" t="s">
        <v>62013</v>
      </c>
      <c r="E21517" t="b">
        <v>0</v>
      </c>
      <c r="F21517" t="s">
        <v>11610</v>
      </c>
      <c r="L21517">
        <v>0</v>
      </c>
      <c r="M21517">
        <v>0</v>
      </c>
      <c r="N21517">
        <v>0</v>
      </c>
    </row>
    <row r="21518" spans="1:15">
      <c r="A21518" t="s">
        <v>62014</v>
      </c>
      <c r="B21518" t="s">
        <v>11637</v>
      </c>
      <c r="C21518" t="s">
        <v>32508</v>
      </c>
      <c r="D21518" t="s">
        <v>62015</v>
      </c>
      <c r="E21518" t="b">
        <v>0</v>
      </c>
      <c r="F21518" t="s">
        <v>11624</v>
      </c>
      <c r="G21518">
        <v>43.97</v>
      </c>
      <c r="H21518">
        <v>3.3</v>
      </c>
      <c r="I21518" t="s">
        <v>62016</v>
      </c>
      <c r="L21518">
        <v>0</v>
      </c>
      <c r="M21518">
        <v>0</v>
      </c>
      <c r="N21518">
        <v>0</v>
      </c>
      <c r="O21518" t="s">
        <v>19870</v>
      </c>
    </row>
    <row r="21519" spans="1:15">
      <c r="A21519" t="s">
        <v>25506</v>
      </c>
      <c r="B21519" t="s">
        <v>11607</v>
      </c>
      <c r="C21519" t="s">
        <v>41782</v>
      </c>
      <c r="D21519" t="s">
        <v>62017</v>
      </c>
      <c r="E21519" t="b">
        <v>0</v>
      </c>
      <c r="F21519" t="s">
        <v>11622</v>
      </c>
      <c r="L21519">
        <v>1</v>
      </c>
      <c r="M21519">
        <v>3</v>
      </c>
      <c r="N21519">
        <v>6</v>
      </c>
    </row>
    <row r="21520" spans="1:15">
      <c r="A21520" t="s">
        <v>13468</v>
      </c>
      <c r="B21520" t="s">
        <v>11607</v>
      </c>
      <c r="C21520" t="s">
        <v>51718</v>
      </c>
      <c r="D21520" t="s">
        <v>62018</v>
      </c>
      <c r="E21520" t="b">
        <v>0</v>
      </c>
      <c r="F21520" t="s">
        <v>11622</v>
      </c>
      <c r="L21520">
        <v>3</v>
      </c>
      <c r="M21520">
        <v>6</v>
      </c>
      <c r="N21520">
        <v>0</v>
      </c>
    </row>
    <row r="21521" spans="1:15">
      <c r="A21521" t="s">
        <v>40320</v>
      </c>
      <c r="B21521" t="s">
        <v>11607</v>
      </c>
      <c r="C21521" t="s">
        <v>14880</v>
      </c>
      <c r="D21521" t="s">
        <v>62019</v>
      </c>
      <c r="E21521" t="b">
        <v>0</v>
      </c>
      <c r="F21521" t="s">
        <v>11622</v>
      </c>
      <c r="L21521">
        <v>2</v>
      </c>
      <c r="M21521">
        <v>5</v>
      </c>
      <c r="N21521">
        <v>23</v>
      </c>
    </row>
    <row r="21522" spans="1:15">
      <c r="A21522" t="s">
        <v>62020</v>
      </c>
      <c r="B21522" t="s">
        <v>11637</v>
      </c>
      <c r="C21522" t="s">
        <v>40186</v>
      </c>
      <c r="D21522" t="s">
        <v>62021</v>
      </c>
      <c r="E21522" t="b">
        <v>0</v>
      </c>
      <c r="F21522" t="s">
        <v>11610</v>
      </c>
      <c r="L21522">
        <v>0</v>
      </c>
      <c r="M21522">
        <v>0</v>
      </c>
      <c r="N21522">
        <v>0</v>
      </c>
    </row>
    <row r="21523" spans="1:15">
      <c r="A21523" t="s">
        <v>62022</v>
      </c>
      <c r="B21523" t="s">
        <v>11637</v>
      </c>
      <c r="C21523" t="s">
        <v>49173</v>
      </c>
      <c r="D21523" t="s">
        <v>62023</v>
      </c>
      <c r="E21523" t="b">
        <v>0</v>
      </c>
      <c r="F21523" t="s">
        <v>11610</v>
      </c>
      <c r="L21523">
        <v>0</v>
      </c>
      <c r="M21523">
        <v>0</v>
      </c>
      <c r="N21523">
        <v>0</v>
      </c>
    </row>
    <row r="21524" spans="1:15">
      <c r="A21524" t="s">
        <v>62024</v>
      </c>
      <c r="B21524" t="s">
        <v>11637</v>
      </c>
      <c r="C21524" t="s">
        <v>16329</v>
      </c>
      <c r="D21524" t="s">
        <v>62025</v>
      </c>
      <c r="E21524" t="b">
        <v>0</v>
      </c>
      <c r="F21524" t="s">
        <v>11610</v>
      </c>
      <c r="L21524">
        <v>0</v>
      </c>
      <c r="M21524">
        <v>0</v>
      </c>
      <c r="N21524">
        <v>0</v>
      </c>
    </row>
    <row r="21525" spans="1:15">
      <c r="A21525" t="s">
        <v>62026</v>
      </c>
      <c r="B21525" t="s">
        <v>11637</v>
      </c>
      <c r="C21525" t="s">
        <v>40778</v>
      </c>
      <c r="D21525" t="s">
        <v>62027</v>
      </c>
      <c r="E21525" t="b">
        <v>0</v>
      </c>
      <c r="F21525" t="s">
        <v>11610</v>
      </c>
      <c r="L21525">
        <v>0</v>
      </c>
      <c r="M21525">
        <v>0</v>
      </c>
      <c r="N21525">
        <v>0</v>
      </c>
    </row>
    <row r="21526" spans="1:15">
      <c r="A21526" t="s">
        <v>35612</v>
      </c>
      <c r="B21526" t="s">
        <v>11607</v>
      </c>
      <c r="C21526" t="s">
        <v>36115</v>
      </c>
      <c r="D21526" t="s">
        <v>62028</v>
      </c>
      <c r="E21526" t="b">
        <v>0</v>
      </c>
      <c r="F21526" t="s">
        <v>11610</v>
      </c>
      <c r="L21526">
        <v>0</v>
      </c>
      <c r="M21526">
        <v>0</v>
      </c>
      <c r="N21526">
        <v>2</v>
      </c>
    </row>
    <row r="21527" spans="1:15">
      <c r="A21527" t="s">
        <v>62029</v>
      </c>
      <c r="B21527" t="s">
        <v>11981</v>
      </c>
      <c r="C21527" t="s">
        <v>13854</v>
      </c>
      <c r="D21527" t="s">
        <v>62030</v>
      </c>
      <c r="E21527" t="b">
        <v>0</v>
      </c>
      <c r="F21527" t="s">
        <v>11610</v>
      </c>
      <c r="L21527">
        <v>0</v>
      </c>
      <c r="M21527">
        <v>0</v>
      </c>
      <c r="N21527">
        <v>0</v>
      </c>
    </row>
    <row r="21528" spans="1:15">
      <c r="A21528" t="s">
        <v>62031</v>
      </c>
      <c r="B21528" t="s">
        <v>13360</v>
      </c>
      <c r="C21528" t="s">
        <v>13360</v>
      </c>
      <c r="D21528" t="s">
        <v>62032</v>
      </c>
      <c r="E21528" t="b">
        <v>0</v>
      </c>
      <c r="F21528" t="s">
        <v>11624</v>
      </c>
      <c r="G21528">
        <v>55.982900000000001</v>
      </c>
      <c r="H21528">
        <v>-4.3859300000000001</v>
      </c>
      <c r="I21528" t="s">
        <v>62033</v>
      </c>
      <c r="L21528">
        <v>0</v>
      </c>
      <c r="M21528">
        <v>0</v>
      </c>
      <c r="N21528">
        <v>0</v>
      </c>
      <c r="O21528" t="s">
        <v>62034</v>
      </c>
    </row>
    <row r="21529" spans="1:15">
      <c r="A21529" t="s">
        <v>62035</v>
      </c>
      <c r="B21529" t="s">
        <v>11637</v>
      </c>
      <c r="C21529" t="s">
        <v>56191</v>
      </c>
      <c r="D21529" t="s">
        <v>62036</v>
      </c>
      <c r="E21529" t="b">
        <v>0</v>
      </c>
      <c r="F21529" t="s">
        <v>11624</v>
      </c>
      <c r="G21529">
        <v>62.621699999999997</v>
      </c>
      <c r="H21529">
        <v>9.4891299999999994</v>
      </c>
      <c r="I21529" t="s">
        <v>62037</v>
      </c>
      <c r="L21529">
        <v>0</v>
      </c>
      <c r="M21529">
        <v>0</v>
      </c>
      <c r="N21529">
        <v>0</v>
      </c>
      <c r="O21529" t="s">
        <v>49230</v>
      </c>
    </row>
    <row r="21530" spans="1:15">
      <c r="A21530" t="s">
        <v>62038</v>
      </c>
      <c r="B21530" t="s">
        <v>11637</v>
      </c>
      <c r="C21530" t="s">
        <v>24057</v>
      </c>
      <c r="D21530" t="s">
        <v>62039</v>
      </c>
      <c r="E21530" t="b">
        <v>0</v>
      </c>
      <c r="F21530" t="s">
        <v>11624</v>
      </c>
      <c r="G21530">
        <v>55.560499999999998</v>
      </c>
      <c r="H21530">
        <v>12.058999999999999</v>
      </c>
      <c r="I21530" t="s">
        <v>62040</v>
      </c>
      <c r="L21530">
        <v>0</v>
      </c>
      <c r="M21530">
        <v>0</v>
      </c>
      <c r="N21530">
        <v>0</v>
      </c>
      <c r="O21530" t="s">
        <v>24056</v>
      </c>
    </row>
    <row r="21531" spans="1:15">
      <c r="A21531" t="s">
        <v>62041</v>
      </c>
      <c r="B21531" t="s">
        <v>12438</v>
      </c>
      <c r="C21531" t="s">
        <v>23567</v>
      </c>
      <c r="D21531" t="s">
        <v>62042</v>
      </c>
      <c r="E21531" t="b">
        <v>0</v>
      </c>
      <c r="F21531" t="s">
        <v>11610</v>
      </c>
      <c r="L21531">
        <v>0</v>
      </c>
      <c r="M21531">
        <v>0</v>
      </c>
      <c r="N21531">
        <v>0</v>
      </c>
    </row>
    <row r="21532" spans="1:15">
      <c r="A21532" t="s">
        <v>62043</v>
      </c>
      <c r="B21532" t="s">
        <v>11637</v>
      </c>
      <c r="C21532" t="s">
        <v>23037</v>
      </c>
      <c r="D21532" t="s">
        <v>62044</v>
      </c>
      <c r="E21532" t="b">
        <v>0</v>
      </c>
      <c r="F21532" t="s">
        <v>11610</v>
      </c>
      <c r="L21532">
        <v>0</v>
      </c>
      <c r="M21532">
        <v>0</v>
      </c>
      <c r="N21532">
        <v>0</v>
      </c>
    </row>
    <row r="21533" spans="1:15">
      <c r="A21533" t="s">
        <v>62045</v>
      </c>
      <c r="B21533" t="s">
        <v>11637</v>
      </c>
      <c r="C21533" t="s">
        <v>62046</v>
      </c>
      <c r="D21533" t="s">
        <v>62047</v>
      </c>
      <c r="E21533" t="b">
        <v>0</v>
      </c>
      <c r="F21533" t="s">
        <v>11624</v>
      </c>
      <c r="G21533">
        <v>34.754800000000003</v>
      </c>
      <c r="H21533">
        <v>70.961699999999993</v>
      </c>
      <c r="I21533" t="s">
        <v>62048</v>
      </c>
      <c r="L21533">
        <v>0</v>
      </c>
      <c r="M21533">
        <v>0</v>
      </c>
      <c r="N21533">
        <v>0</v>
      </c>
      <c r="O21533" t="s">
        <v>12131</v>
      </c>
    </row>
    <row r="21534" spans="1:15">
      <c r="A21534" t="s">
        <v>62049</v>
      </c>
      <c r="B21534" t="s">
        <v>11637</v>
      </c>
      <c r="C21534" t="s">
        <v>19866</v>
      </c>
      <c r="D21534" t="s">
        <v>62050</v>
      </c>
      <c r="E21534" t="b">
        <v>0</v>
      </c>
      <c r="F21534" t="s">
        <v>11610</v>
      </c>
      <c r="L21534">
        <v>0</v>
      </c>
      <c r="M21534">
        <v>0</v>
      </c>
      <c r="N21534">
        <v>0</v>
      </c>
    </row>
    <row r="21535" spans="1:15">
      <c r="A21535" t="s">
        <v>62051</v>
      </c>
      <c r="B21535" t="s">
        <v>12241</v>
      </c>
      <c r="C21535" t="s">
        <v>12241</v>
      </c>
      <c r="D21535" t="s">
        <v>62052</v>
      </c>
      <c r="E21535" t="b">
        <v>0</v>
      </c>
      <c r="F21535" t="s">
        <v>11624</v>
      </c>
      <c r="G21535">
        <v>-3.0935899999999998</v>
      </c>
      <c r="H21535">
        <v>-40.204000000000001</v>
      </c>
      <c r="I21535" t="s">
        <v>62053</v>
      </c>
      <c r="L21535">
        <v>0</v>
      </c>
      <c r="M21535">
        <v>0</v>
      </c>
      <c r="N21535">
        <v>0</v>
      </c>
      <c r="O21535" t="s">
        <v>11969</v>
      </c>
    </row>
    <row r="21536" spans="1:15">
      <c r="A21536" t="s">
        <v>62054</v>
      </c>
      <c r="B21536" t="s">
        <v>6742</v>
      </c>
      <c r="C21536" t="s">
        <v>19627</v>
      </c>
      <c r="D21536" t="s">
        <v>62055</v>
      </c>
      <c r="E21536" t="b">
        <v>0</v>
      </c>
      <c r="F21536" t="s">
        <v>11610</v>
      </c>
      <c r="L21536">
        <v>0</v>
      </c>
      <c r="M21536">
        <v>0</v>
      </c>
      <c r="N21536">
        <v>0</v>
      </c>
    </row>
    <row r="21537" spans="1:15">
      <c r="A21537" t="s">
        <v>62056</v>
      </c>
      <c r="B21537" t="s">
        <v>11637</v>
      </c>
      <c r="C21537" t="s">
        <v>13136</v>
      </c>
      <c r="D21537" t="s">
        <v>62057</v>
      </c>
      <c r="E21537" t="b">
        <v>0</v>
      </c>
      <c r="F21537" t="s">
        <v>11610</v>
      </c>
      <c r="L21537">
        <v>0</v>
      </c>
      <c r="M21537">
        <v>0</v>
      </c>
      <c r="N21537">
        <v>0</v>
      </c>
    </row>
    <row r="21538" spans="1:15">
      <c r="A21538" t="s">
        <v>62058</v>
      </c>
      <c r="B21538" t="s">
        <v>6742</v>
      </c>
      <c r="C21538" t="s">
        <v>25446</v>
      </c>
      <c r="D21538" t="s">
        <v>62059</v>
      </c>
      <c r="E21538" t="b">
        <v>0</v>
      </c>
      <c r="F21538" t="s">
        <v>11610</v>
      </c>
      <c r="L21538">
        <v>0</v>
      </c>
      <c r="M21538">
        <v>0</v>
      </c>
      <c r="N21538">
        <v>0</v>
      </c>
    </row>
    <row r="21539" spans="1:15">
      <c r="A21539" t="s">
        <v>62060</v>
      </c>
      <c r="B21539" t="s">
        <v>11637</v>
      </c>
      <c r="C21539" t="s">
        <v>18835</v>
      </c>
      <c r="D21539" t="s">
        <v>62061</v>
      </c>
      <c r="E21539" t="b">
        <v>0</v>
      </c>
      <c r="F21539" t="s">
        <v>11610</v>
      </c>
      <c r="L21539">
        <v>0</v>
      </c>
      <c r="M21539">
        <v>0</v>
      </c>
      <c r="N21539">
        <v>0</v>
      </c>
    </row>
    <row r="21540" spans="1:15">
      <c r="A21540" t="s">
        <v>62062</v>
      </c>
      <c r="B21540" t="s">
        <v>11637</v>
      </c>
      <c r="C21540" t="s">
        <v>18835</v>
      </c>
      <c r="D21540" t="s">
        <v>62063</v>
      </c>
      <c r="E21540" t="b">
        <v>0</v>
      </c>
      <c r="F21540" t="s">
        <v>11610</v>
      </c>
      <c r="L21540">
        <v>0</v>
      </c>
      <c r="M21540">
        <v>0</v>
      </c>
      <c r="N21540">
        <v>0</v>
      </c>
    </row>
    <row r="21541" spans="1:15">
      <c r="A21541" t="s">
        <v>62064</v>
      </c>
      <c r="B21541" t="s">
        <v>12438</v>
      </c>
      <c r="C21541" t="s">
        <v>62065</v>
      </c>
      <c r="D21541" t="s">
        <v>62066</v>
      </c>
      <c r="E21541" t="b">
        <v>0</v>
      </c>
      <c r="F21541" t="s">
        <v>11624</v>
      </c>
      <c r="G21541">
        <v>15.5002</v>
      </c>
      <c r="H21541">
        <v>107.515</v>
      </c>
      <c r="I21541" t="s">
        <v>62067</v>
      </c>
      <c r="L21541">
        <v>0</v>
      </c>
      <c r="M21541">
        <v>0</v>
      </c>
      <c r="N21541">
        <v>0</v>
      </c>
      <c r="O21541" t="s">
        <v>14464</v>
      </c>
    </row>
    <row r="21542" spans="1:15">
      <c r="A21542" t="s">
        <v>62068</v>
      </c>
      <c r="B21542" t="s">
        <v>11637</v>
      </c>
      <c r="C21542" t="s">
        <v>41321</v>
      </c>
      <c r="D21542" t="s">
        <v>62069</v>
      </c>
      <c r="E21542" t="b">
        <v>0</v>
      </c>
      <c r="F21542" t="s">
        <v>11610</v>
      </c>
      <c r="L21542">
        <v>0</v>
      </c>
      <c r="M21542">
        <v>0</v>
      </c>
      <c r="N21542">
        <v>0</v>
      </c>
    </row>
    <row r="21543" spans="1:15">
      <c r="A21543" t="s">
        <v>62070</v>
      </c>
      <c r="B21543" t="s">
        <v>12438</v>
      </c>
      <c r="C21543" t="s">
        <v>19920</v>
      </c>
      <c r="D21543" t="s">
        <v>62071</v>
      </c>
      <c r="E21543" t="b">
        <v>0</v>
      </c>
      <c r="F21543" t="s">
        <v>11610</v>
      </c>
      <c r="L21543">
        <v>0</v>
      </c>
      <c r="M21543">
        <v>0</v>
      </c>
      <c r="N21543">
        <v>0</v>
      </c>
    </row>
    <row r="21544" spans="1:15">
      <c r="A21544" t="s">
        <v>62072</v>
      </c>
      <c r="B21544" t="s">
        <v>12557</v>
      </c>
      <c r="C21544" t="s">
        <v>15882</v>
      </c>
      <c r="D21544" t="s">
        <v>62073</v>
      </c>
      <c r="E21544" t="b">
        <v>0</v>
      </c>
      <c r="F21544" t="s">
        <v>11624</v>
      </c>
      <c r="G21544">
        <v>-2.15863</v>
      </c>
      <c r="H21544">
        <v>138.02699999999999</v>
      </c>
      <c r="I21544" t="s">
        <v>62074</v>
      </c>
      <c r="L21544">
        <v>0</v>
      </c>
      <c r="M21544">
        <v>0</v>
      </c>
      <c r="N21544">
        <v>0</v>
      </c>
      <c r="O21544" t="s">
        <v>11768</v>
      </c>
    </row>
    <row r="21545" spans="1:15">
      <c r="A21545" t="s">
        <v>62075</v>
      </c>
      <c r="B21545" t="s">
        <v>11637</v>
      </c>
      <c r="C21545" t="s">
        <v>21130</v>
      </c>
      <c r="D21545" t="s">
        <v>62076</v>
      </c>
      <c r="E21545" t="b">
        <v>0</v>
      </c>
      <c r="F21545" t="s">
        <v>11610</v>
      </c>
      <c r="L21545">
        <v>0</v>
      </c>
      <c r="M21545">
        <v>0</v>
      </c>
      <c r="N21545">
        <v>0</v>
      </c>
    </row>
    <row r="21546" spans="1:15">
      <c r="A21546" t="s">
        <v>62077</v>
      </c>
      <c r="B21546" t="s">
        <v>12438</v>
      </c>
      <c r="C21546" t="s">
        <v>21008</v>
      </c>
      <c r="D21546" t="s">
        <v>62078</v>
      </c>
      <c r="E21546" t="b">
        <v>0</v>
      </c>
      <c r="F21546" t="s">
        <v>11610</v>
      </c>
      <c r="L21546">
        <v>0</v>
      </c>
      <c r="M21546">
        <v>0</v>
      </c>
      <c r="N21546">
        <v>0</v>
      </c>
    </row>
    <row r="21547" spans="1:15">
      <c r="A21547" t="s">
        <v>62079</v>
      </c>
      <c r="B21547" t="s">
        <v>12438</v>
      </c>
      <c r="C21547" t="s">
        <v>22562</v>
      </c>
      <c r="D21547" t="s">
        <v>62080</v>
      </c>
      <c r="E21547" t="b">
        <v>0</v>
      </c>
      <c r="F21547" t="s">
        <v>11610</v>
      </c>
      <c r="L21547">
        <v>0</v>
      </c>
      <c r="M21547">
        <v>0</v>
      </c>
      <c r="N21547">
        <v>0</v>
      </c>
    </row>
    <row r="21548" spans="1:15">
      <c r="A21548" t="s">
        <v>43584</v>
      </c>
      <c r="B21548" t="s">
        <v>367</v>
      </c>
      <c r="C21548" t="s">
        <v>17483</v>
      </c>
      <c r="D21548" t="s">
        <v>62081</v>
      </c>
      <c r="E21548" t="b">
        <v>0</v>
      </c>
      <c r="F21548" t="s">
        <v>11624</v>
      </c>
      <c r="G21548">
        <v>1.4313</v>
      </c>
      <c r="H21548">
        <v>109.95</v>
      </c>
      <c r="I21548" t="s">
        <v>62082</v>
      </c>
      <c r="L21548">
        <v>0</v>
      </c>
      <c r="M21548">
        <v>0</v>
      </c>
      <c r="N21548">
        <v>2</v>
      </c>
      <c r="O21548" t="s">
        <v>16728</v>
      </c>
    </row>
    <row r="21549" spans="1:15">
      <c r="A21549" t="s">
        <v>62083</v>
      </c>
      <c r="B21549" t="s">
        <v>367</v>
      </c>
      <c r="C21549" t="s">
        <v>43584</v>
      </c>
      <c r="D21549" t="s">
        <v>62084</v>
      </c>
      <c r="E21549" t="b">
        <v>0</v>
      </c>
      <c r="F21549" t="s">
        <v>11610</v>
      </c>
      <c r="L21549">
        <v>0</v>
      </c>
      <c r="M21549">
        <v>0</v>
      </c>
      <c r="N21549">
        <v>0</v>
      </c>
    </row>
    <row r="21550" spans="1:15">
      <c r="A21550" t="s">
        <v>62085</v>
      </c>
      <c r="B21550" t="s">
        <v>367</v>
      </c>
      <c r="C21550" t="s">
        <v>35745</v>
      </c>
      <c r="D21550" t="s">
        <v>62086</v>
      </c>
      <c r="E21550" t="b">
        <v>0</v>
      </c>
      <c r="F21550" t="s">
        <v>11624</v>
      </c>
      <c r="G21550">
        <v>1.335</v>
      </c>
      <c r="H21550">
        <v>110.036</v>
      </c>
      <c r="I21550" t="s">
        <v>62087</v>
      </c>
      <c r="L21550">
        <v>0</v>
      </c>
      <c r="M21550">
        <v>0</v>
      </c>
      <c r="N21550">
        <v>0</v>
      </c>
      <c r="O21550" t="s">
        <v>11672</v>
      </c>
    </row>
    <row r="21551" spans="1:15">
      <c r="A21551" t="s">
        <v>33304</v>
      </c>
      <c r="B21551" t="s">
        <v>11894</v>
      </c>
      <c r="C21551" t="s">
        <v>32053</v>
      </c>
      <c r="D21551" t="s">
        <v>62088</v>
      </c>
      <c r="E21551" t="b">
        <v>0</v>
      </c>
      <c r="F21551" t="s">
        <v>11624</v>
      </c>
      <c r="G21551">
        <v>-15.3331</v>
      </c>
      <c r="H21551">
        <v>-65.409599999999998</v>
      </c>
      <c r="I21551" t="s">
        <v>62089</v>
      </c>
      <c r="L21551">
        <v>0</v>
      </c>
      <c r="M21551">
        <v>0</v>
      </c>
      <c r="N21551">
        <v>2</v>
      </c>
      <c r="O21551" t="s">
        <v>14185</v>
      </c>
    </row>
    <row r="21552" spans="1:15">
      <c r="A21552" t="s">
        <v>2845</v>
      </c>
      <c r="B21552" t="s">
        <v>11637</v>
      </c>
      <c r="C21552" t="s">
        <v>16063</v>
      </c>
      <c r="D21552" t="s">
        <v>62090</v>
      </c>
      <c r="E21552" t="b">
        <v>0</v>
      </c>
      <c r="F21552" t="s">
        <v>11624</v>
      </c>
      <c r="G21552">
        <v>10.4208</v>
      </c>
      <c r="H21552">
        <v>-61.417099999999998</v>
      </c>
      <c r="I21552" t="s">
        <v>2846</v>
      </c>
      <c r="L21552">
        <v>0</v>
      </c>
      <c r="M21552">
        <v>0</v>
      </c>
      <c r="N21552">
        <v>0</v>
      </c>
      <c r="O21552" t="s">
        <v>61592</v>
      </c>
    </row>
    <row r="21553" spans="1:15">
      <c r="A21553" t="s">
        <v>62091</v>
      </c>
      <c r="B21553" t="s">
        <v>11981</v>
      </c>
      <c r="C21553" t="s">
        <v>13456</v>
      </c>
      <c r="D21553" t="s">
        <v>62092</v>
      </c>
      <c r="E21553" t="b">
        <v>0</v>
      </c>
      <c r="F21553" t="s">
        <v>11624</v>
      </c>
      <c r="G21553">
        <v>10.666667</v>
      </c>
      <c r="H21553">
        <v>-61.516666999999998</v>
      </c>
      <c r="I21553" t="s">
        <v>62093</v>
      </c>
      <c r="L21553">
        <v>0</v>
      </c>
      <c r="M21553">
        <v>0</v>
      </c>
      <c r="N21553">
        <v>0</v>
      </c>
      <c r="O21553" t="s">
        <v>61592</v>
      </c>
    </row>
    <row r="21554" spans="1:15">
      <c r="A21554" t="s">
        <v>11563</v>
      </c>
      <c r="B21554" t="s">
        <v>8310</v>
      </c>
      <c r="C21554" t="s">
        <v>12854</v>
      </c>
      <c r="D21554" t="s">
        <v>62094</v>
      </c>
      <c r="E21554" t="b">
        <v>0</v>
      </c>
      <c r="F21554" t="s">
        <v>11624</v>
      </c>
      <c r="G21554">
        <v>2.5361600000000002</v>
      </c>
      <c r="H21554">
        <v>-55.759900000000002</v>
      </c>
      <c r="I21554" t="s">
        <v>62095</v>
      </c>
      <c r="L21554">
        <v>0</v>
      </c>
      <c r="M21554">
        <v>0</v>
      </c>
      <c r="N21554">
        <v>1</v>
      </c>
      <c r="O21554" t="s">
        <v>62096</v>
      </c>
    </row>
    <row r="21555" spans="1:15">
      <c r="A21555" t="s">
        <v>46932</v>
      </c>
      <c r="B21555" t="s">
        <v>13450</v>
      </c>
      <c r="C21555" t="s">
        <v>13450</v>
      </c>
      <c r="D21555" t="s">
        <v>62097</v>
      </c>
      <c r="E21555" t="b">
        <v>0</v>
      </c>
      <c r="F21555" t="s">
        <v>11622</v>
      </c>
      <c r="L21555">
        <v>0</v>
      </c>
      <c r="M21555">
        <v>1</v>
      </c>
      <c r="N21555">
        <v>0</v>
      </c>
    </row>
    <row r="21556" spans="1:15">
      <c r="A21556" t="s">
        <v>62098</v>
      </c>
      <c r="B21556" t="s">
        <v>11607</v>
      </c>
      <c r="C21556" t="s">
        <v>26452</v>
      </c>
      <c r="D21556" t="s">
        <v>62099</v>
      </c>
      <c r="E21556" t="b">
        <v>0</v>
      </c>
      <c r="F21556" t="s">
        <v>11610</v>
      </c>
      <c r="L21556">
        <v>0</v>
      </c>
      <c r="M21556">
        <v>0</v>
      </c>
      <c r="N21556">
        <v>0</v>
      </c>
    </row>
    <row r="21557" spans="1:15">
      <c r="A21557" t="s">
        <v>22515</v>
      </c>
      <c r="B21557" t="s">
        <v>11879</v>
      </c>
      <c r="C21557" t="s">
        <v>44776</v>
      </c>
      <c r="D21557" t="s">
        <v>62100</v>
      </c>
      <c r="E21557" t="b">
        <v>0</v>
      </c>
      <c r="F21557" t="s">
        <v>11622</v>
      </c>
      <c r="L21557">
        <v>0</v>
      </c>
      <c r="M21557">
        <v>3</v>
      </c>
      <c r="N21557">
        <v>1</v>
      </c>
    </row>
    <row r="21558" spans="1:15">
      <c r="A21558" t="s">
        <v>62101</v>
      </c>
      <c r="B21558" t="s">
        <v>11644</v>
      </c>
      <c r="C21558" t="s">
        <v>48443</v>
      </c>
      <c r="D21558" t="s">
        <v>62102</v>
      </c>
      <c r="E21558" t="b">
        <v>0</v>
      </c>
      <c r="F21558" t="s">
        <v>11610</v>
      </c>
      <c r="L21558">
        <v>0</v>
      </c>
      <c r="M21558">
        <v>0</v>
      </c>
      <c r="N21558">
        <v>0</v>
      </c>
    </row>
    <row r="21559" spans="1:15">
      <c r="A21559" t="s">
        <v>62103</v>
      </c>
      <c r="B21559" t="s">
        <v>11637</v>
      </c>
      <c r="C21559" t="s">
        <v>10561</v>
      </c>
      <c r="D21559" t="s">
        <v>62104</v>
      </c>
      <c r="E21559" t="b">
        <v>0</v>
      </c>
      <c r="F21559" t="s">
        <v>11610</v>
      </c>
      <c r="L21559">
        <v>0</v>
      </c>
      <c r="M21559">
        <v>0</v>
      </c>
      <c r="N21559">
        <v>0</v>
      </c>
    </row>
    <row r="21560" spans="1:15">
      <c r="A21560" t="s">
        <v>62105</v>
      </c>
      <c r="B21560" t="s">
        <v>367</v>
      </c>
      <c r="C21560" t="s">
        <v>17231</v>
      </c>
      <c r="D21560" t="s">
        <v>62106</v>
      </c>
      <c r="E21560" t="b">
        <v>0</v>
      </c>
      <c r="F21560" t="s">
        <v>11610</v>
      </c>
      <c r="L21560">
        <v>0</v>
      </c>
      <c r="M21560">
        <v>0</v>
      </c>
      <c r="N21560">
        <v>0</v>
      </c>
    </row>
    <row r="21561" spans="1:15">
      <c r="A21561" t="s">
        <v>62107</v>
      </c>
      <c r="B21561" t="s">
        <v>11981</v>
      </c>
      <c r="C21561" t="s">
        <v>31364</v>
      </c>
      <c r="D21561" t="s">
        <v>62108</v>
      </c>
      <c r="E21561" t="b">
        <v>0</v>
      </c>
      <c r="F21561" t="s">
        <v>11610</v>
      </c>
      <c r="L21561">
        <v>0</v>
      </c>
      <c r="M21561">
        <v>0</v>
      </c>
      <c r="N21561">
        <v>0</v>
      </c>
    </row>
    <row r="21562" spans="1:15">
      <c r="A21562" t="s">
        <v>62109</v>
      </c>
      <c r="B21562" t="s">
        <v>12241</v>
      </c>
      <c r="C21562" t="s">
        <v>12241</v>
      </c>
      <c r="D21562" t="s">
        <v>62110</v>
      </c>
      <c r="E21562" t="b">
        <v>0</v>
      </c>
      <c r="F21562" t="s">
        <v>11624</v>
      </c>
      <c r="G21562">
        <v>-8.4999900000000004</v>
      </c>
      <c r="H21562">
        <v>-39</v>
      </c>
      <c r="I21562" t="s">
        <v>62111</v>
      </c>
      <c r="L21562">
        <v>0</v>
      </c>
      <c r="M21562">
        <v>0</v>
      </c>
      <c r="N21562">
        <v>0</v>
      </c>
      <c r="O21562" t="s">
        <v>11969</v>
      </c>
    </row>
    <row r="21563" spans="1:15">
      <c r="A21563" t="s">
        <v>50199</v>
      </c>
      <c r="B21563" t="s">
        <v>367</v>
      </c>
      <c r="C21563" t="s">
        <v>53418</v>
      </c>
      <c r="D21563" t="s">
        <v>62112</v>
      </c>
      <c r="E21563" t="b">
        <v>0</v>
      </c>
      <c r="F21563" t="s">
        <v>11622</v>
      </c>
      <c r="L21563">
        <v>10</v>
      </c>
      <c r="M21563">
        <v>14</v>
      </c>
      <c r="N21563">
        <v>12</v>
      </c>
    </row>
    <row r="21564" spans="1:15">
      <c r="A21564" t="s">
        <v>62113</v>
      </c>
      <c r="D21564" t="s">
        <v>62114</v>
      </c>
      <c r="E21564" t="b">
        <v>0</v>
      </c>
      <c r="F21564" t="s">
        <v>11624</v>
      </c>
      <c r="G21564">
        <v>-11.8119</v>
      </c>
      <c r="H21564">
        <v>-53.5717</v>
      </c>
      <c r="I21564" t="s">
        <v>62115</v>
      </c>
      <c r="L21564">
        <v>0</v>
      </c>
      <c r="M21564">
        <v>0</v>
      </c>
      <c r="N21564">
        <v>0</v>
      </c>
      <c r="O21564" t="s">
        <v>11969</v>
      </c>
    </row>
    <row r="21565" spans="1:15">
      <c r="A21565" t="s">
        <v>62116</v>
      </c>
      <c r="B21565" t="s">
        <v>367</v>
      </c>
      <c r="C21565" t="s">
        <v>11666</v>
      </c>
      <c r="D21565" t="s">
        <v>62117</v>
      </c>
      <c r="E21565" t="b">
        <v>0</v>
      </c>
      <c r="F21565" t="s">
        <v>11610</v>
      </c>
      <c r="L21565">
        <v>0</v>
      </c>
      <c r="M21565">
        <v>0</v>
      </c>
      <c r="N21565">
        <v>0</v>
      </c>
    </row>
    <row r="21566" spans="1:15">
      <c r="A21566" t="s">
        <v>62118</v>
      </c>
      <c r="B21566" t="s">
        <v>6742</v>
      </c>
      <c r="C21566" t="s">
        <v>35665</v>
      </c>
      <c r="D21566" t="s">
        <v>62119</v>
      </c>
      <c r="E21566" t="b">
        <v>0</v>
      </c>
      <c r="F21566" t="s">
        <v>11610</v>
      </c>
      <c r="L21566">
        <v>0</v>
      </c>
      <c r="M21566">
        <v>0</v>
      </c>
      <c r="N21566">
        <v>0</v>
      </c>
    </row>
    <row r="21567" spans="1:15">
      <c r="A21567" t="s">
        <v>62120</v>
      </c>
      <c r="B21567" t="s">
        <v>6742</v>
      </c>
      <c r="C21567" t="s">
        <v>19172</v>
      </c>
      <c r="D21567" t="s">
        <v>62121</v>
      </c>
      <c r="E21567" t="b">
        <v>0</v>
      </c>
      <c r="F21567" t="s">
        <v>11610</v>
      </c>
      <c r="L21567">
        <v>0</v>
      </c>
      <c r="M21567">
        <v>0</v>
      </c>
      <c r="N21567">
        <v>0</v>
      </c>
    </row>
    <row r="21568" spans="1:15">
      <c r="A21568" t="s">
        <v>62122</v>
      </c>
      <c r="B21568" t="s">
        <v>6742</v>
      </c>
      <c r="C21568" t="s">
        <v>46831</v>
      </c>
      <c r="D21568" t="s">
        <v>62123</v>
      </c>
      <c r="E21568" t="b">
        <v>0</v>
      </c>
      <c r="F21568" t="s">
        <v>11624</v>
      </c>
      <c r="G21568">
        <v>-2.2924500000000001</v>
      </c>
      <c r="H21568">
        <v>12.758100000000001</v>
      </c>
      <c r="I21568" t="s">
        <v>62124</v>
      </c>
      <c r="L21568">
        <v>0</v>
      </c>
      <c r="M21568">
        <v>0</v>
      </c>
      <c r="N21568">
        <v>0</v>
      </c>
      <c r="O21568" t="s">
        <v>20784</v>
      </c>
    </row>
    <row r="21569" spans="1:15">
      <c r="A21569" t="s">
        <v>48269</v>
      </c>
      <c r="B21569" t="s">
        <v>11637</v>
      </c>
      <c r="C21569" t="s">
        <v>397</v>
      </c>
      <c r="D21569" t="s">
        <v>62125</v>
      </c>
      <c r="E21569" t="b">
        <v>0</v>
      </c>
      <c r="F21569" t="s">
        <v>11624</v>
      </c>
      <c r="G21569">
        <v>37.140500000000003</v>
      </c>
      <c r="H21569">
        <v>22.734100000000002</v>
      </c>
      <c r="I21569" t="s">
        <v>62126</v>
      </c>
      <c r="L21569">
        <v>0</v>
      </c>
      <c r="M21569">
        <v>0</v>
      </c>
      <c r="N21569">
        <v>3</v>
      </c>
      <c r="O21569" t="s">
        <v>13664</v>
      </c>
    </row>
    <row r="21570" spans="1:15">
      <c r="A21570" t="s">
        <v>36657</v>
      </c>
      <c r="B21570" t="s">
        <v>12311</v>
      </c>
      <c r="C21570" t="s">
        <v>54929</v>
      </c>
      <c r="D21570" t="s">
        <v>62127</v>
      </c>
      <c r="E21570" t="b">
        <v>0</v>
      </c>
      <c r="F21570" t="s">
        <v>11624</v>
      </c>
      <c r="G21570">
        <v>41.5916</v>
      </c>
      <c r="H21570">
        <v>46.885800000000003</v>
      </c>
      <c r="I21570" t="s">
        <v>62128</v>
      </c>
      <c r="L21570">
        <v>0</v>
      </c>
      <c r="M21570">
        <v>0</v>
      </c>
      <c r="N21570">
        <v>3</v>
      </c>
      <c r="O21570" t="s">
        <v>12315</v>
      </c>
    </row>
    <row r="21571" spans="1:15">
      <c r="A21571" t="s">
        <v>62129</v>
      </c>
      <c r="B21571" t="s">
        <v>11615</v>
      </c>
      <c r="C21571" t="s">
        <v>37203</v>
      </c>
      <c r="D21571" t="s">
        <v>62130</v>
      </c>
      <c r="E21571" t="b">
        <v>0</v>
      </c>
      <c r="F21571" t="s">
        <v>11624</v>
      </c>
      <c r="G21571">
        <v>-5.3907600000000002</v>
      </c>
      <c r="H21571">
        <v>140.18600000000001</v>
      </c>
      <c r="I21571" t="s">
        <v>62131</v>
      </c>
      <c r="L21571">
        <v>0</v>
      </c>
      <c r="M21571">
        <v>0</v>
      </c>
      <c r="N21571">
        <v>0</v>
      </c>
      <c r="O21571" t="s">
        <v>11768</v>
      </c>
    </row>
    <row r="21572" spans="1:15">
      <c r="A21572" t="s">
        <v>37203</v>
      </c>
      <c r="B21572" t="s">
        <v>11615</v>
      </c>
      <c r="C21572" t="s">
        <v>17679</v>
      </c>
      <c r="D21572" t="s">
        <v>62132</v>
      </c>
      <c r="E21572" t="b">
        <v>0</v>
      </c>
      <c r="F21572" t="s">
        <v>11622</v>
      </c>
      <c r="L21572">
        <v>0</v>
      </c>
      <c r="M21572">
        <v>2</v>
      </c>
      <c r="N21572">
        <v>0</v>
      </c>
    </row>
    <row r="21573" spans="1:15">
      <c r="A21573" t="s">
        <v>23166</v>
      </c>
      <c r="B21573" t="s">
        <v>9071</v>
      </c>
      <c r="C21573" t="s">
        <v>9071</v>
      </c>
      <c r="D21573" t="s">
        <v>62133</v>
      </c>
      <c r="E21573" t="b">
        <v>0</v>
      </c>
      <c r="F21573" t="s">
        <v>11622</v>
      </c>
      <c r="L21573">
        <v>2</v>
      </c>
      <c r="M21573">
        <v>4</v>
      </c>
      <c r="N21573">
        <v>1</v>
      </c>
    </row>
    <row r="21574" spans="1:15">
      <c r="A21574" t="s">
        <v>62134</v>
      </c>
      <c r="B21574" t="s">
        <v>11607</v>
      </c>
      <c r="C21574" t="s">
        <v>25505</v>
      </c>
      <c r="D21574" t="s">
        <v>62135</v>
      </c>
      <c r="E21574" t="b">
        <v>0</v>
      </c>
      <c r="F21574" t="s">
        <v>11624</v>
      </c>
      <c r="G21574">
        <v>5.3097000000000003</v>
      </c>
      <c r="H21574">
        <v>36.913899999999998</v>
      </c>
      <c r="I21574" t="s">
        <v>62136</v>
      </c>
      <c r="L21574">
        <v>0</v>
      </c>
      <c r="M21574">
        <v>0</v>
      </c>
      <c r="N21574">
        <v>0</v>
      </c>
      <c r="O21574" t="s">
        <v>11625</v>
      </c>
    </row>
    <row r="21575" spans="1:15">
      <c r="A21575" t="s">
        <v>62137</v>
      </c>
      <c r="B21575" t="s">
        <v>4236</v>
      </c>
      <c r="C21575" t="s">
        <v>4228</v>
      </c>
      <c r="D21575" t="s">
        <v>62138</v>
      </c>
      <c r="E21575" t="b">
        <v>0</v>
      </c>
      <c r="F21575" t="s">
        <v>11610</v>
      </c>
      <c r="L21575">
        <v>0</v>
      </c>
      <c r="M21575">
        <v>0</v>
      </c>
      <c r="N21575">
        <v>0</v>
      </c>
    </row>
    <row r="21576" spans="1:15">
      <c r="A21576" t="s">
        <v>62139</v>
      </c>
      <c r="B21576" t="s">
        <v>367</v>
      </c>
      <c r="C21576" t="s">
        <v>48926</v>
      </c>
      <c r="D21576" t="s">
        <v>62140</v>
      </c>
      <c r="E21576" t="b">
        <v>0</v>
      </c>
      <c r="F21576" t="s">
        <v>11624</v>
      </c>
      <c r="G21576">
        <v>18.319199999999999</v>
      </c>
      <c r="H21576">
        <v>109.336</v>
      </c>
      <c r="I21576" t="s">
        <v>62141</v>
      </c>
      <c r="L21576">
        <v>0</v>
      </c>
      <c r="M21576">
        <v>0</v>
      </c>
      <c r="N21576">
        <v>0</v>
      </c>
      <c r="O21576" t="s">
        <v>11905</v>
      </c>
    </row>
    <row r="21577" spans="1:15">
      <c r="A21577" t="s">
        <v>62142</v>
      </c>
      <c r="B21577" t="s">
        <v>6742</v>
      </c>
      <c r="C21577" t="s">
        <v>23779</v>
      </c>
      <c r="D21577" t="s">
        <v>62143</v>
      </c>
      <c r="E21577" t="b">
        <v>0</v>
      </c>
      <c r="F21577" t="s">
        <v>11610</v>
      </c>
      <c r="L21577">
        <v>0</v>
      </c>
      <c r="M21577">
        <v>0</v>
      </c>
      <c r="N21577">
        <v>0</v>
      </c>
    </row>
    <row r="21578" spans="1:15">
      <c r="A21578" t="s">
        <v>62144</v>
      </c>
      <c r="B21578" t="s">
        <v>11644</v>
      </c>
      <c r="C21578" t="s">
        <v>36084</v>
      </c>
      <c r="D21578" t="s">
        <v>62145</v>
      </c>
      <c r="E21578" t="b">
        <v>0</v>
      </c>
      <c r="F21578" t="s">
        <v>11624</v>
      </c>
      <c r="G21578">
        <v>27.804600000000001</v>
      </c>
      <c r="H21578">
        <v>89.193100000000001</v>
      </c>
      <c r="I21578" t="s">
        <v>62146</v>
      </c>
      <c r="L21578">
        <v>0</v>
      </c>
      <c r="M21578">
        <v>0</v>
      </c>
      <c r="N21578">
        <v>0</v>
      </c>
      <c r="O21578" t="s">
        <v>62147</v>
      </c>
    </row>
    <row r="21579" spans="1:15">
      <c r="A21579" t="s">
        <v>62148</v>
      </c>
      <c r="B21579" t="s">
        <v>14372</v>
      </c>
      <c r="C21579" t="s">
        <v>31636</v>
      </c>
      <c r="D21579" t="s">
        <v>62149</v>
      </c>
      <c r="E21579" t="b">
        <v>0</v>
      </c>
      <c r="F21579" t="s">
        <v>11610</v>
      </c>
      <c r="L21579">
        <v>0</v>
      </c>
      <c r="M21579">
        <v>0</v>
      </c>
      <c r="N21579">
        <v>0</v>
      </c>
    </row>
    <row r="21580" spans="1:15">
      <c r="A21580" t="s">
        <v>62150</v>
      </c>
      <c r="B21580" t="s">
        <v>12460</v>
      </c>
      <c r="C21580" t="s">
        <v>12461</v>
      </c>
      <c r="D21580" t="s">
        <v>62151</v>
      </c>
      <c r="E21580" t="b">
        <v>0</v>
      </c>
      <c r="F21580" t="s">
        <v>11624</v>
      </c>
      <c r="G21580">
        <v>55.5</v>
      </c>
      <c r="H21580">
        <v>-130.08000000000001</v>
      </c>
      <c r="I21580" t="s">
        <v>62152</v>
      </c>
      <c r="L21580">
        <v>0</v>
      </c>
      <c r="M21580">
        <v>0</v>
      </c>
      <c r="N21580">
        <v>0</v>
      </c>
      <c r="O21580" t="s">
        <v>13049</v>
      </c>
    </row>
    <row r="21581" spans="1:15">
      <c r="A21581" t="s">
        <v>26000</v>
      </c>
      <c r="B21581" t="s">
        <v>12311</v>
      </c>
      <c r="C21581" t="s">
        <v>13724</v>
      </c>
      <c r="D21581" t="s">
        <v>62153</v>
      </c>
      <c r="E21581" t="b">
        <v>0</v>
      </c>
      <c r="F21581" t="s">
        <v>11622</v>
      </c>
      <c r="L21581">
        <v>2</v>
      </c>
      <c r="M21581">
        <v>5</v>
      </c>
      <c r="N21581">
        <v>6</v>
      </c>
    </row>
    <row r="21582" spans="1:15">
      <c r="A21582" t="s">
        <v>62154</v>
      </c>
      <c r="B21582" t="s">
        <v>11644</v>
      </c>
      <c r="C21582" t="s">
        <v>34343</v>
      </c>
      <c r="D21582" t="s">
        <v>62155</v>
      </c>
      <c r="E21582" t="b">
        <v>0</v>
      </c>
      <c r="F21582" t="s">
        <v>11624</v>
      </c>
      <c r="G21582">
        <v>27.369399999999999</v>
      </c>
      <c r="H21582">
        <v>91.774100000000004</v>
      </c>
      <c r="I21582" t="s">
        <v>62156</v>
      </c>
      <c r="L21582">
        <v>0</v>
      </c>
      <c r="M21582">
        <v>0</v>
      </c>
      <c r="N21582">
        <v>0</v>
      </c>
      <c r="O21582" t="s">
        <v>19608</v>
      </c>
    </row>
    <row r="21583" spans="1:15">
      <c r="A21583" t="s">
        <v>25802</v>
      </c>
      <c r="B21583" t="s">
        <v>11644</v>
      </c>
      <c r="C21583" t="s">
        <v>19054</v>
      </c>
      <c r="D21583" t="s">
        <v>62157</v>
      </c>
      <c r="E21583" t="b">
        <v>0</v>
      </c>
      <c r="F21583" t="s">
        <v>11622</v>
      </c>
      <c r="L21583">
        <v>7</v>
      </c>
      <c r="M21583">
        <v>10</v>
      </c>
      <c r="N21583">
        <v>14</v>
      </c>
    </row>
    <row r="21584" spans="1:15">
      <c r="A21584" t="s">
        <v>34343</v>
      </c>
      <c r="B21584" t="s">
        <v>11644</v>
      </c>
      <c r="C21584" t="s">
        <v>25802</v>
      </c>
      <c r="D21584" t="s">
        <v>62158</v>
      </c>
      <c r="E21584" t="b">
        <v>0</v>
      </c>
      <c r="F21584" t="s">
        <v>11622</v>
      </c>
      <c r="L21584">
        <v>0</v>
      </c>
      <c r="M21584">
        <v>2</v>
      </c>
      <c r="N21584">
        <v>0</v>
      </c>
    </row>
    <row r="21585" spans="1:15">
      <c r="A21585" t="s">
        <v>62159</v>
      </c>
      <c r="B21585" t="s">
        <v>4236</v>
      </c>
      <c r="C21585" t="s">
        <v>12592</v>
      </c>
      <c r="D21585" t="s">
        <v>62160</v>
      </c>
      <c r="E21585" t="b">
        <v>0</v>
      </c>
      <c r="F21585" t="s">
        <v>11610</v>
      </c>
      <c r="L21585">
        <v>0</v>
      </c>
      <c r="M21585">
        <v>0</v>
      </c>
      <c r="N21585">
        <v>0</v>
      </c>
    </row>
    <row r="21586" spans="1:15">
      <c r="A21586" t="s">
        <v>62161</v>
      </c>
      <c r="B21586" t="s">
        <v>8345</v>
      </c>
      <c r="C21586" t="s">
        <v>23669</v>
      </c>
      <c r="D21586" t="s">
        <v>62162</v>
      </c>
      <c r="E21586" t="b">
        <v>0</v>
      </c>
      <c r="F21586" t="s">
        <v>11610</v>
      </c>
      <c r="L21586">
        <v>0</v>
      </c>
      <c r="M21586">
        <v>0</v>
      </c>
      <c r="N21586">
        <v>0</v>
      </c>
    </row>
    <row r="21587" spans="1:15">
      <c r="A21587" t="s">
        <v>62163</v>
      </c>
      <c r="B21587" t="s">
        <v>11644</v>
      </c>
      <c r="C21587" t="s">
        <v>33227</v>
      </c>
      <c r="D21587" t="s">
        <v>62164</v>
      </c>
      <c r="E21587" t="b">
        <v>0</v>
      </c>
      <c r="F21587" t="s">
        <v>11624</v>
      </c>
      <c r="G21587">
        <v>32.18</v>
      </c>
      <c r="H21587">
        <v>101.84</v>
      </c>
      <c r="L21587">
        <v>0</v>
      </c>
      <c r="M21587">
        <v>0</v>
      </c>
      <c r="N21587">
        <v>0</v>
      </c>
      <c r="O21587" t="s">
        <v>11905</v>
      </c>
    </row>
    <row r="21588" spans="1:15">
      <c r="A21588" t="s">
        <v>62165</v>
      </c>
      <c r="B21588" t="s">
        <v>11644</v>
      </c>
      <c r="C21588" t="s">
        <v>28669</v>
      </c>
      <c r="D21588" t="s">
        <v>62166</v>
      </c>
      <c r="E21588" t="b">
        <v>0</v>
      </c>
      <c r="F21588" t="s">
        <v>11610</v>
      </c>
      <c r="L21588">
        <v>0</v>
      </c>
      <c r="M21588">
        <v>0</v>
      </c>
      <c r="N21588">
        <v>0</v>
      </c>
    </row>
    <row r="21589" spans="1:15">
      <c r="A21589" t="s">
        <v>62167</v>
      </c>
      <c r="B21589" t="s">
        <v>6742</v>
      </c>
      <c r="C21589" t="s">
        <v>31245</v>
      </c>
      <c r="D21589" t="s">
        <v>62168</v>
      </c>
      <c r="E21589" t="b">
        <v>0</v>
      </c>
      <c r="F21589" t="s">
        <v>11610</v>
      </c>
      <c r="L21589">
        <v>0</v>
      </c>
      <c r="M21589">
        <v>0</v>
      </c>
      <c r="N21589">
        <v>0</v>
      </c>
    </row>
    <row r="21590" spans="1:15">
      <c r="A21590" t="s">
        <v>37852</v>
      </c>
      <c r="B21590" t="s">
        <v>4236</v>
      </c>
      <c r="C21590" t="s">
        <v>51607</v>
      </c>
      <c r="D21590" t="s">
        <v>62169</v>
      </c>
      <c r="E21590" t="b">
        <v>0</v>
      </c>
      <c r="F21590" t="s">
        <v>11622</v>
      </c>
      <c r="L21590">
        <v>0</v>
      </c>
      <c r="M21590">
        <v>2</v>
      </c>
      <c r="N21590">
        <v>0</v>
      </c>
    </row>
    <row r="21591" spans="1:15">
      <c r="A21591" t="s">
        <v>12285</v>
      </c>
      <c r="B21591" t="s">
        <v>6742</v>
      </c>
      <c r="C21591" t="s">
        <v>23081</v>
      </c>
      <c r="D21591" t="s">
        <v>62170</v>
      </c>
      <c r="E21591" t="b">
        <v>0</v>
      </c>
      <c r="F21591" t="s">
        <v>11624</v>
      </c>
      <c r="G21591">
        <v>9.6049600000000002</v>
      </c>
      <c r="H21591">
        <v>4.8873899999999999</v>
      </c>
      <c r="I21591" t="s">
        <v>62171</v>
      </c>
      <c r="L21591">
        <v>0</v>
      </c>
      <c r="M21591">
        <v>0</v>
      </c>
      <c r="N21591">
        <v>2</v>
      </c>
      <c r="O21591" t="s">
        <v>11693</v>
      </c>
    </row>
    <row r="21592" spans="1:15">
      <c r="A21592" t="s">
        <v>62172</v>
      </c>
      <c r="B21592" t="s">
        <v>11757</v>
      </c>
      <c r="C21592" t="s">
        <v>32728</v>
      </c>
      <c r="D21592" t="s">
        <v>62173</v>
      </c>
      <c r="E21592" t="b">
        <v>0</v>
      </c>
      <c r="F21592" t="s">
        <v>11610</v>
      </c>
      <c r="L21592">
        <v>0</v>
      </c>
      <c r="M21592">
        <v>0</v>
      </c>
      <c r="N21592">
        <v>0</v>
      </c>
    </row>
    <row r="21593" spans="1:15">
      <c r="A21593" t="s">
        <v>62174</v>
      </c>
      <c r="B21593" t="s">
        <v>367</v>
      </c>
      <c r="C21593" t="s">
        <v>48735</v>
      </c>
      <c r="D21593" t="s">
        <v>62175</v>
      </c>
      <c r="E21593" t="b">
        <v>0</v>
      </c>
      <c r="F21593" t="s">
        <v>11624</v>
      </c>
      <c r="G21593">
        <v>-15.429399999999999</v>
      </c>
      <c r="H21593">
        <v>48.810200000000002</v>
      </c>
      <c r="I21593" t="s">
        <v>62176</v>
      </c>
      <c r="L21593">
        <v>0</v>
      </c>
      <c r="M21593">
        <v>0</v>
      </c>
      <c r="N21593">
        <v>0</v>
      </c>
      <c r="O21593" t="s">
        <v>14012</v>
      </c>
    </row>
    <row r="21594" spans="1:15">
      <c r="A21594" t="s">
        <v>6436</v>
      </c>
      <c r="D21594" t="s">
        <v>6434</v>
      </c>
      <c r="E21594" t="b">
        <v>0</v>
      </c>
      <c r="F21594" t="s">
        <v>11622</v>
      </c>
      <c r="L21594">
        <v>1</v>
      </c>
      <c r="M21594">
        <v>3</v>
      </c>
      <c r="N21594">
        <v>4</v>
      </c>
    </row>
    <row r="21595" spans="1:15">
      <c r="A21595" t="s">
        <v>48735</v>
      </c>
      <c r="B21595" t="s">
        <v>367</v>
      </c>
      <c r="C21595" t="s">
        <v>14009</v>
      </c>
      <c r="D21595" t="s">
        <v>62177</v>
      </c>
      <c r="E21595" t="b">
        <v>0</v>
      </c>
      <c r="F21595" t="s">
        <v>11622</v>
      </c>
      <c r="L21595">
        <v>0</v>
      </c>
      <c r="M21595">
        <v>2</v>
      </c>
      <c r="N21595">
        <v>0</v>
      </c>
    </row>
    <row r="21596" spans="1:15">
      <c r="A21596" t="s">
        <v>62178</v>
      </c>
      <c r="B21596" t="s">
        <v>6742</v>
      </c>
      <c r="C21596" t="s">
        <v>20348</v>
      </c>
      <c r="D21596" t="s">
        <v>62179</v>
      </c>
      <c r="E21596" t="b">
        <v>0</v>
      </c>
      <c r="F21596" t="s">
        <v>11610</v>
      </c>
      <c r="L21596">
        <v>0</v>
      </c>
      <c r="M21596">
        <v>0</v>
      </c>
      <c r="N21596">
        <v>0</v>
      </c>
    </row>
    <row r="21597" spans="1:15">
      <c r="A21597" t="s">
        <v>62180</v>
      </c>
      <c r="B21597" t="s">
        <v>15496</v>
      </c>
      <c r="C21597" t="s">
        <v>15495</v>
      </c>
      <c r="D21597" t="s">
        <v>62181</v>
      </c>
      <c r="E21597" t="b">
        <v>0</v>
      </c>
      <c r="F21597" t="s">
        <v>11610</v>
      </c>
      <c r="L21597">
        <v>0</v>
      </c>
      <c r="M21597">
        <v>0</v>
      </c>
      <c r="N21597">
        <v>0</v>
      </c>
    </row>
    <row r="21598" spans="1:15">
      <c r="A21598" t="s">
        <v>31899</v>
      </c>
      <c r="B21598" t="s">
        <v>6742</v>
      </c>
      <c r="C21598" t="s">
        <v>15580</v>
      </c>
      <c r="D21598" t="s">
        <v>62182</v>
      </c>
      <c r="E21598" t="b">
        <v>0</v>
      </c>
      <c r="F21598" t="s">
        <v>11624</v>
      </c>
      <c r="G21598">
        <v>10.2882</v>
      </c>
      <c r="H21598">
        <v>5.1107300000000002</v>
      </c>
      <c r="I21598" t="s">
        <v>62183</v>
      </c>
      <c r="L21598">
        <v>0</v>
      </c>
      <c r="M21598">
        <v>0</v>
      </c>
      <c r="N21598">
        <v>1</v>
      </c>
      <c r="O21598" t="s">
        <v>11693</v>
      </c>
    </row>
    <row r="21599" spans="1:15">
      <c r="A21599" t="s">
        <v>51271</v>
      </c>
      <c r="B21599" t="s">
        <v>6742</v>
      </c>
      <c r="C21599" t="s">
        <v>43718</v>
      </c>
      <c r="D21599" t="s">
        <v>62184</v>
      </c>
      <c r="E21599" t="b">
        <v>0</v>
      </c>
      <c r="F21599" t="s">
        <v>11622</v>
      </c>
      <c r="L21599">
        <v>1</v>
      </c>
      <c r="M21599">
        <v>5</v>
      </c>
      <c r="N21599">
        <v>5</v>
      </c>
    </row>
    <row r="21600" spans="1:15">
      <c r="A21600" t="s">
        <v>62185</v>
      </c>
      <c r="B21600" t="s">
        <v>4236</v>
      </c>
      <c r="C21600" t="s">
        <v>48146</v>
      </c>
      <c r="D21600" t="s">
        <v>62186</v>
      </c>
      <c r="E21600" t="b">
        <v>0</v>
      </c>
      <c r="F21600" t="s">
        <v>11624</v>
      </c>
      <c r="G21600">
        <v>-19.180952999999999</v>
      </c>
      <c r="H21600">
        <v>23.998152999999999</v>
      </c>
      <c r="L21600">
        <v>0</v>
      </c>
      <c r="M21600">
        <v>0</v>
      </c>
      <c r="N21600">
        <v>0</v>
      </c>
      <c r="O21600" t="s">
        <v>13927</v>
      </c>
    </row>
    <row r="21601" spans="1:15">
      <c r="A21601" t="s">
        <v>62187</v>
      </c>
      <c r="B21601" t="s">
        <v>4236</v>
      </c>
      <c r="C21601" t="s">
        <v>37852</v>
      </c>
      <c r="D21601" t="s">
        <v>62188</v>
      </c>
      <c r="E21601" t="b">
        <v>0</v>
      </c>
      <c r="F21601" t="s">
        <v>11624</v>
      </c>
      <c r="G21601">
        <v>-19.7974</v>
      </c>
      <c r="H21601">
        <v>26.963799999999999</v>
      </c>
      <c r="I21601" t="s">
        <v>62189</v>
      </c>
      <c r="L21601">
        <v>0</v>
      </c>
      <c r="M21601">
        <v>0</v>
      </c>
      <c r="N21601">
        <v>0</v>
      </c>
      <c r="O21601" t="s">
        <v>57024</v>
      </c>
    </row>
    <row r="21602" spans="1:15">
      <c r="A21602" t="s">
        <v>49055</v>
      </c>
      <c r="B21602" t="s">
        <v>6742</v>
      </c>
      <c r="C21602" t="s">
        <v>15557</v>
      </c>
      <c r="D21602" t="s">
        <v>62190</v>
      </c>
      <c r="E21602" t="b">
        <v>0</v>
      </c>
      <c r="F21602" t="s">
        <v>11622</v>
      </c>
      <c r="L21602">
        <v>2</v>
      </c>
      <c r="M21602">
        <v>6</v>
      </c>
      <c r="N21602">
        <v>0</v>
      </c>
    </row>
    <row r="21603" spans="1:15">
      <c r="A21603" t="s">
        <v>62191</v>
      </c>
      <c r="B21603" t="s">
        <v>6742</v>
      </c>
      <c r="C21603" t="s">
        <v>19987</v>
      </c>
      <c r="D21603" t="s">
        <v>62192</v>
      </c>
      <c r="E21603" t="b">
        <v>0</v>
      </c>
      <c r="F21603" t="s">
        <v>11624</v>
      </c>
      <c r="G21603">
        <v>-1.5546899999999999</v>
      </c>
      <c r="H21603">
        <v>11.135899999999999</v>
      </c>
      <c r="I21603" t="s">
        <v>62193</v>
      </c>
      <c r="L21603">
        <v>0</v>
      </c>
      <c r="M21603">
        <v>0</v>
      </c>
      <c r="N21603">
        <v>0</v>
      </c>
      <c r="O21603" t="s">
        <v>16915</v>
      </c>
    </row>
    <row r="21604" spans="1:15">
      <c r="A21604" t="s">
        <v>62194</v>
      </c>
      <c r="B21604" t="s">
        <v>2975</v>
      </c>
      <c r="C21604" t="s">
        <v>62195</v>
      </c>
      <c r="D21604" t="s">
        <v>62196</v>
      </c>
      <c r="E21604" t="b">
        <v>0</v>
      </c>
      <c r="F21604" t="s">
        <v>11610</v>
      </c>
      <c r="L21604">
        <v>0</v>
      </c>
      <c r="M21604">
        <v>0</v>
      </c>
      <c r="N21604">
        <v>0</v>
      </c>
    </row>
    <row r="21605" spans="1:15">
      <c r="A21605" t="s">
        <v>62197</v>
      </c>
      <c r="B21605" t="s">
        <v>12250</v>
      </c>
      <c r="C21605" t="s">
        <v>24159</v>
      </c>
      <c r="D21605" t="s">
        <v>62198</v>
      </c>
      <c r="E21605" t="b">
        <v>0</v>
      </c>
      <c r="F21605" t="s">
        <v>11610</v>
      </c>
      <c r="L21605">
        <v>0</v>
      </c>
      <c r="M21605">
        <v>0</v>
      </c>
      <c r="N21605">
        <v>0</v>
      </c>
    </row>
    <row r="21606" spans="1:15">
      <c r="A21606" t="s">
        <v>62199</v>
      </c>
      <c r="B21606" t="s">
        <v>11644</v>
      </c>
      <c r="C21606" t="s">
        <v>38809</v>
      </c>
      <c r="D21606" t="s">
        <v>62200</v>
      </c>
      <c r="E21606" t="b">
        <v>0</v>
      </c>
      <c r="F21606" t="s">
        <v>11610</v>
      </c>
      <c r="L21606">
        <v>0</v>
      </c>
      <c r="M21606">
        <v>0</v>
      </c>
      <c r="N21606">
        <v>0</v>
      </c>
    </row>
    <row r="21607" spans="1:15">
      <c r="A21607" t="s">
        <v>4187</v>
      </c>
      <c r="B21607" t="s">
        <v>6742</v>
      </c>
      <c r="C21607" t="s">
        <v>54727</v>
      </c>
      <c r="D21607" t="s">
        <v>62201</v>
      </c>
      <c r="E21607" t="b">
        <v>0</v>
      </c>
      <c r="F21607" t="s">
        <v>11624</v>
      </c>
      <c r="G21607">
        <v>-23.575399999999998</v>
      </c>
      <c r="H21607">
        <v>31.810500000000001</v>
      </c>
      <c r="I21607" t="s">
        <v>4188</v>
      </c>
      <c r="L21607">
        <v>0</v>
      </c>
      <c r="M21607">
        <v>0</v>
      </c>
      <c r="N21607">
        <v>11</v>
      </c>
      <c r="O21607" t="s">
        <v>62202</v>
      </c>
    </row>
    <row r="21608" spans="1:15">
      <c r="A21608" t="s">
        <v>18072</v>
      </c>
      <c r="B21608" t="s">
        <v>6742</v>
      </c>
      <c r="C21608" t="s">
        <v>15319</v>
      </c>
      <c r="D21608" t="s">
        <v>62203</v>
      </c>
      <c r="E21608" t="b">
        <v>0</v>
      </c>
      <c r="F21608" t="s">
        <v>11624</v>
      </c>
      <c r="G21608">
        <v>9.5325600000000001</v>
      </c>
      <c r="H21608">
        <v>11.497199999999999</v>
      </c>
      <c r="I21608" t="s">
        <v>62204</v>
      </c>
      <c r="L21608">
        <v>0</v>
      </c>
      <c r="M21608">
        <v>0</v>
      </c>
      <c r="N21608">
        <v>3</v>
      </c>
      <c r="O21608" t="s">
        <v>11693</v>
      </c>
    </row>
    <row r="21609" spans="1:15">
      <c r="A21609" t="s">
        <v>62205</v>
      </c>
      <c r="B21609" t="s">
        <v>6742</v>
      </c>
      <c r="C21609" t="s">
        <v>21900</v>
      </c>
      <c r="D21609" t="s">
        <v>62206</v>
      </c>
      <c r="E21609" t="b">
        <v>0</v>
      </c>
      <c r="F21609" t="s">
        <v>11624</v>
      </c>
      <c r="G21609">
        <v>0.29749999999999999</v>
      </c>
      <c r="H21609">
        <v>34.696100000000001</v>
      </c>
      <c r="I21609" t="s">
        <v>62207</v>
      </c>
      <c r="L21609">
        <v>0</v>
      </c>
      <c r="M21609">
        <v>0</v>
      </c>
      <c r="N21609">
        <v>0</v>
      </c>
      <c r="O21609" t="s">
        <v>22848</v>
      </c>
    </row>
    <row r="21610" spans="1:15">
      <c r="A21610" t="s">
        <v>62208</v>
      </c>
      <c r="B21610" t="s">
        <v>12128</v>
      </c>
      <c r="C21610" t="s">
        <v>12129</v>
      </c>
      <c r="D21610" t="s">
        <v>62209</v>
      </c>
      <c r="E21610" t="b">
        <v>0</v>
      </c>
      <c r="F21610" t="s">
        <v>11624</v>
      </c>
      <c r="G21610">
        <v>-25.863299999999999</v>
      </c>
      <c r="H21610">
        <v>27.4955</v>
      </c>
      <c r="I21610" t="s">
        <v>62210</v>
      </c>
      <c r="L21610">
        <v>0</v>
      </c>
      <c r="M21610">
        <v>0</v>
      </c>
      <c r="N21610">
        <v>0</v>
      </c>
      <c r="O21610" t="s">
        <v>21031</v>
      </c>
    </row>
    <row r="21611" spans="1:15">
      <c r="A21611" t="s">
        <v>25465</v>
      </c>
      <c r="B21611" t="s">
        <v>367</v>
      </c>
      <c r="C21611" t="s">
        <v>34710</v>
      </c>
      <c r="D21611" t="s">
        <v>62211</v>
      </c>
      <c r="E21611" t="b">
        <v>0</v>
      </c>
      <c r="F21611" t="s">
        <v>11624</v>
      </c>
      <c r="G21611">
        <v>23.216000000000001</v>
      </c>
      <c r="H21611">
        <v>120.78700000000001</v>
      </c>
      <c r="I21611" t="s">
        <v>62212</v>
      </c>
      <c r="L21611">
        <v>0</v>
      </c>
      <c r="M21611">
        <v>0</v>
      </c>
      <c r="N21611">
        <v>5</v>
      </c>
      <c r="O21611" t="s">
        <v>13484</v>
      </c>
    </row>
    <row r="21612" spans="1:15">
      <c r="A21612" t="s">
        <v>34710</v>
      </c>
      <c r="B21612" t="s">
        <v>367</v>
      </c>
      <c r="C21612" t="s">
        <v>367</v>
      </c>
      <c r="D21612" t="s">
        <v>62213</v>
      </c>
      <c r="E21612" t="b">
        <v>0</v>
      </c>
      <c r="F21612" t="s">
        <v>11622</v>
      </c>
      <c r="L21612">
        <v>1</v>
      </c>
      <c r="M21612">
        <v>3</v>
      </c>
      <c r="N21612">
        <v>5</v>
      </c>
    </row>
    <row r="21613" spans="1:15">
      <c r="A21613" t="s">
        <v>62214</v>
      </c>
      <c r="B21613" t="s">
        <v>4342</v>
      </c>
      <c r="C21613" t="s">
        <v>1360</v>
      </c>
      <c r="D21613" t="s">
        <v>62215</v>
      </c>
      <c r="E21613" t="b">
        <v>0</v>
      </c>
      <c r="F21613" t="s">
        <v>11610</v>
      </c>
      <c r="L21613">
        <v>0</v>
      </c>
      <c r="M21613">
        <v>0</v>
      </c>
      <c r="N21613">
        <v>0</v>
      </c>
    </row>
    <row r="21614" spans="1:15">
      <c r="A21614" t="s">
        <v>62216</v>
      </c>
      <c r="B21614" t="s">
        <v>11644</v>
      </c>
      <c r="C21614" t="s">
        <v>30427</v>
      </c>
      <c r="D21614" t="s">
        <v>62217</v>
      </c>
      <c r="E21614" t="b">
        <v>0</v>
      </c>
      <c r="F21614" t="s">
        <v>11624</v>
      </c>
      <c r="G21614">
        <v>28.471900000000002</v>
      </c>
      <c r="H21614">
        <v>85.081699999999998</v>
      </c>
      <c r="I21614" t="s">
        <v>62218</v>
      </c>
      <c r="L21614">
        <v>0</v>
      </c>
      <c r="M21614">
        <v>0</v>
      </c>
      <c r="N21614">
        <v>0</v>
      </c>
      <c r="O21614" t="s">
        <v>16899</v>
      </c>
    </row>
    <row r="21615" spans="1:15">
      <c r="A21615" t="s">
        <v>62219</v>
      </c>
      <c r="B21615" t="s">
        <v>5126</v>
      </c>
      <c r="C21615" t="s">
        <v>19778</v>
      </c>
      <c r="D21615" t="s">
        <v>62220</v>
      </c>
      <c r="E21615" t="b">
        <v>0</v>
      </c>
      <c r="F21615" t="s">
        <v>11624</v>
      </c>
      <c r="G21615">
        <v>21.361599999999999</v>
      </c>
      <c r="H21615">
        <v>102.926</v>
      </c>
      <c r="I21615" t="s">
        <v>62221</v>
      </c>
      <c r="L21615">
        <v>0</v>
      </c>
      <c r="M21615">
        <v>0</v>
      </c>
      <c r="N21615">
        <v>0</v>
      </c>
      <c r="O21615" t="s">
        <v>14464</v>
      </c>
    </row>
    <row r="21616" spans="1:15">
      <c r="A21616" t="s">
        <v>62222</v>
      </c>
      <c r="B21616" t="s">
        <v>6742</v>
      </c>
      <c r="C21616" t="s">
        <v>3984</v>
      </c>
      <c r="D21616" t="s">
        <v>62223</v>
      </c>
      <c r="E21616" t="b">
        <v>0</v>
      </c>
      <c r="F21616" t="s">
        <v>11610</v>
      </c>
      <c r="L21616">
        <v>0</v>
      </c>
      <c r="M21616">
        <v>0</v>
      </c>
      <c r="N21616">
        <v>0</v>
      </c>
    </row>
    <row r="21617" spans="1:15">
      <c r="A21617" t="s">
        <v>62224</v>
      </c>
      <c r="B21617" t="s">
        <v>4342</v>
      </c>
      <c r="C21617" t="s">
        <v>22538</v>
      </c>
      <c r="D21617" t="s">
        <v>62225</v>
      </c>
      <c r="E21617" t="b">
        <v>0</v>
      </c>
      <c r="F21617" t="s">
        <v>11610</v>
      </c>
      <c r="L21617">
        <v>0</v>
      </c>
      <c r="M21617">
        <v>0</v>
      </c>
      <c r="N21617">
        <v>0</v>
      </c>
    </row>
    <row r="21618" spans="1:15">
      <c r="A21618" t="s">
        <v>62226</v>
      </c>
      <c r="B21618" t="s">
        <v>6742</v>
      </c>
      <c r="C21618" t="s">
        <v>15580</v>
      </c>
      <c r="D21618" t="s">
        <v>62227</v>
      </c>
      <c r="E21618" t="b">
        <v>0</v>
      </c>
      <c r="F21618" t="s">
        <v>11624</v>
      </c>
      <c r="G21618">
        <v>10.8421</v>
      </c>
      <c r="H21618">
        <v>5.2209500000000002</v>
      </c>
      <c r="I21618" t="s">
        <v>62228</v>
      </c>
      <c r="L21618">
        <v>0</v>
      </c>
      <c r="M21618">
        <v>0</v>
      </c>
      <c r="N21618">
        <v>0</v>
      </c>
      <c r="O21618" t="s">
        <v>11693</v>
      </c>
    </row>
    <row r="21619" spans="1:15">
      <c r="A21619" t="s">
        <v>62229</v>
      </c>
      <c r="B21619" t="s">
        <v>11607</v>
      </c>
      <c r="C21619" t="s">
        <v>56804</v>
      </c>
      <c r="D21619" t="s">
        <v>62230</v>
      </c>
      <c r="E21619" t="b">
        <v>0</v>
      </c>
      <c r="F21619" t="s">
        <v>11624</v>
      </c>
      <c r="G21619">
        <v>10.155099999999999</v>
      </c>
      <c r="H21619">
        <v>13.628</v>
      </c>
      <c r="I21619" t="s">
        <v>62231</v>
      </c>
      <c r="L21619">
        <v>0</v>
      </c>
      <c r="M21619">
        <v>0</v>
      </c>
      <c r="N21619">
        <v>0</v>
      </c>
      <c r="O21619" t="s">
        <v>11703</v>
      </c>
    </row>
    <row r="21620" spans="1:15">
      <c r="A21620" t="s">
        <v>62232</v>
      </c>
      <c r="B21620" t="s">
        <v>11615</v>
      </c>
      <c r="C21620" t="s">
        <v>7854</v>
      </c>
      <c r="D21620" t="s">
        <v>62233</v>
      </c>
      <c r="E21620" t="b">
        <v>0</v>
      </c>
      <c r="F21620" t="s">
        <v>11610</v>
      </c>
      <c r="L21620">
        <v>0</v>
      </c>
      <c r="M21620">
        <v>0</v>
      </c>
      <c r="N21620">
        <v>0</v>
      </c>
    </row>
    <row r="21621" spans="1:15">
      <c r="A21621" t="s">
        <v>62234</v>
      </c>
      <c r="B21621" t="s">
        <v>6742</v>
      </c>
      <c r="C21621" t="s">
        <v>52645</v>
      </c>
      <c r="D21621" t="s">
        <v>62235</v>
      </c>
      <c r="E21621" t="b">
        <v>0</v>
      </c>
      <c r="F21621" t="s">
        <v>11624</v>
      </c>
      <c r="G21621">
        <v>-23.405519999999999</v>
      </c>
      <c r="H21621">
        <v>27.420089999999998</v>
      </c>
      <c r="I21621" t="s">
        <v>62236</v>
      </c>
      <c r="L21621">
        <v>0</v>
      </c>
      <c r="M21621">
        <v>0</v>
      </c>
      <c r="N21621">
        <v>0</v>
      </c>
      <c r="O21621" t="s">
        <v>52647</v>
      </c>
    </row>
    <row r="21622" spans="1:15">
      <c r="A21622" t="s">
        <v>1745</v>
      </c>
      <c r="B21622" t="s">
        <v>6742</v>
      </c>
      <c r="C21622" t="s">
        <v>36044</v>
      </c>
      <c r="D21622" t="s">
        <v>3991</v>
      </c>
      <c r="E21622" t="b">
        <v>0</v>
      </c>
      <c r="F21622" t="s">
        <v>11624</v>
      </c>
      <c r="G21622">
        <v>-24.367999999999999</v>
      </c>
      <c r="H21622">
        <v>24.758700000000001</v>
      </c>
      <c r="I21622" t="s">
        <v>1752</v>
      </c>
      <c r="L21622">
        <v>0</v>
      </c>
      <c r="M21622">
        <v>0</v>
      </c>
      <c r="N21622">
        <v>13</v>
      </c>
      <c r="O21622" t="s">
        <v>62237</v>
      </c>
    </row>
    <row r="21623" spans="1:15">
      <c r="A21623" t="s">
        <v>54727</v>
      </c>
      <c r="B21623" t="s">
        <v>6742</v>
      </c>
      <c r="C21623" t="s">
        <v>47593</v>
      </c>
      <c r="D21623" t="s">
        <v>62238</v>
      </c>
      <c r="E21623" t="b">
        <v>0</v>
      </c>
      <c r="F21623" t="s">
        <v>11622</v>
      </c>
      <c r="L21623">
        <v>0</v>
      </c>
      <c r="M21623">
        <v>3</v>
      </c>
      <c r="N21623">
        <v>19</v>
      </c>
    </row>
    <row r="21624" spans="1:15">
      <c r="A21624" t="s">
        <v>31245</v>
      </c>
      <c r="B21624" t="s">
        <v>6742</v>
      </c>
      <c r="C21624" t="s">
        <v>54727</v>
      </c>
      <c r="D21624" t="s">
        <v>62239</v>
      </c>
      <c r="E21624" t="b">
        <v>0</v>
      </c>
      <c r="F21624" t="s">
        <v>11624</v>
      </c>
      <c r="G21624">
        <v>-22.989100000000001</v>
      </c>
      <c r="H21624">
        <v>32.428699999999999</v>
      </c>
      <c r="I21624" t="s">
        <v>62240</v>
      </c>
      <c r="L21624">
        <v>0</v>
      </c>
      <c r="M21624">
        <v>0</v>
      </c>
      <c r="N21624">
        <v>5</v>
      </c>
      <c r="O21624" t="s">
        <v>62241</v>
      </c>
    </row>
    <row r="21625" spans="1:15">
      <c r="A21625" t="s">
        <v>36044</v>
      </c>
      <c r="B21625" t="s">
        <v>6742</v>
      </c>
      <c r="C21625" t="s">
        <v>57925</v>
      </c>
      <c r="D21625" t="s">
        <v>62242</v>
      </c>
      <c r="E21625" t="b">
        <v>0</v>
      </c>
      <c r="F21625" t="s">
        <v>11622</v>
      </c>
      <c r="L21625">
        <v>0</v>
      </c>
      <c r="M21625">
        <v>2</v>
      </c>
      <c r="N21625">
        <v>23</v>
      </c>
    </row>
    <row r="21626" spans="1:15">
      <c r="A21626" t="s">
        <v>4117</v>
      </c>
      <c r="B21626" t="s">
        <v>6742</v>
      </c>
      <c r="C21626" t="s">
        <v>4118</v>
      </c>
      <c r="D21626" t="s">
        <v>62243</v>
      </c>
      <c r="E21626" t="b">
        <v>0</v>
      </c>
      <c r="F21626" t="s">
        <v>11610</v>
      </c>
      <c r="L21626">
        <v>0</v>
      </c>
      <c r="M21626">
        <v>0</v>
      </c>
      <c r="N21626">
        <v>0</v>
      </c>
    </row>
    <row r="21627" spans="1:15">
      <c r="A21627" t="s">
        <v>32497</v>
      </c>
      <c r="B21627" t="s">
        <v>11607</v>
      </c>
      <c r="C21627" t="s">
        <v>47539</v>
      </c>
      <c r="D21627" t="s">
        <v>62244</v>
      </c>
      <c r="E21627" t="b">
        <v>0</v>
      </c>
      <c r="F21627" t="s">
        <v>11622</v>
      </c>
      <c r="L21627">
        <v>1</v>
      </c>
      <c r="M21627">
        <v>4</v>
      </c>
      <c r="N21627">
        <v>7</v>
      </c>
    </row>
    <row r="21628" spans="1:15">
      <c r="A21628" t="s">
        <v>62245</v>
      </c>
      <c r="B21628" t="s">
        <v>11637</v>
      </c>
      <c r="C21628" t="s">
        <v>13085</v>
      </c>
      <c r="D21628" t="s">
        <v>62246</v>
      </c>
      <c r="E21628" t="b">
        <v>0</v>
      </c>
      <c r="F21628" t="s">
        <v>11610</v>
      </c>
      <c r="L21628">
        <v>0</v>
      </c>
      <c r="M21628">
        <v>0</v>
      </c>
      <c r="N21628">
        <v>0</v>
      </c>
    </row>
    <row r="21629" spans="1:15">
      <c r="A21629" t="s">
        <v>62247</v>
      </c>
      <c r="B21629" t="s">
        <v>34399</v>
      </c>
      <c r="C21629" t="s">
        <v>34399</v>
      </c>
      <c r="D21629" t="s">
        <v>62248</v>
      </c>
      <c r="E21629" t="b">
        <v>0</v>
      </c>
      <c r="F21629" t="s">
        <v>11624</v>
      </c>
      <c r="I21629" t="s">
        <v>62249</v>
      </c>
      <c r="L21629">
        <v>0</v>
      </c>
      <c r="M21629">
        <v>0</v>
      </c>
      <c r="N21629">
        <v>0</v>
      </c>
      <c r="O21629" t="s">
        <v>11944</v>
      </c>
    </row>
    <row r="21630" spans="1:15">
      <c r="A21630" t="s">
        <v>27701</v>
      </c>
      <c r="B21630" t="s">
        <v>367</v>
      </c>
      <c r="C21630" t="s">
        <v>21542</v>
      </c>
      <c r="D21630" t="s">
        <v>62250</v>
      </c>
      <c r="E21630" t="b">
        <v>0</v>
      </c>
      <c r="F21630" t="s">
        <v>11624</v>
      </c>
      <c r="G21630">
        <v>-16.17259</v>
      </c>
      <c r="H21630">
        <v>-146.321755</v>
      </c>
      <c r="I21630" t="s">
        <v>62251</v>
      </c>
      <c r="L21630">
        <v>0</v>
      </c>
      <c r="M21630">
        <v>0</v>
      </c>
      <c r="N21630">
        <v>7</v>
      </c>
      <c r="O21630" t="s">
        <v>15193</v>
      </c>
    </row>
    <row r="21631" spans="1:15">
      <c r="A21631" t="s">
        <v>29352</v>
      </c>
      <c r="B21631" t="s">
        <v>367</v>
      </c>
      <c r="C21631" t="s">
        <v>42078</v>
      </c>
      <c r="D21631" t="s">
        <v>62252</v>
      </c>
      <c r="E21631" t="b">
        <v>0</v>
      </c>
      <c r="F21631" t="s">
        <v>11622</v>
      </c>
      <c r="L21631">
        <v>0</v>
      </c>
      <c r="M21631">
        <v>2</v>
      </c>
      <c r="N21631">
        <v>2</v>
      </c>
    </row>
    <row r="21632" spans="1:15">
      <c r="A21632" t="s">
        <v>62253</v>
      </c>
      <c r="B21632" t="s">
        <v>11644</v>
      </c>
      <c r="C21632" t="s">
        <v>43413</v>
      </c>
      <c r="D21632" t="s">
        <v>62254</v>
      </c>
      <c r="E21632" t="b">
        <v>0</v>
      </c>
      <c r="F21632" t="s">
        <v>11610</v>
      </c>
      <c r="L21632">
        <v>0</v>
      </c>
      <c r="M21632">
        <v>0</v>
      </c>
      <c r="N21632">
        <v>0</v>
      </c>
    </row>
    <row r="21633" spans="1:15">
      <c r="A21633" t="s">
        <v>111</v>
      </c>
      <c r="B21633" t="s">
        <v>11607</v>
      </c>
      <c r="C21633" t="s">
        <v>515</v>
      </c>
      <c r="D21633" t="s">
        <v>110</v>
      </c>
      <c r="E21633" t="b">
        <v>0</v>
      </c>
      <c r="F21633" t="s">
        <v>11622</v>
      </c>
      <c r="I21633" t="s">
        <v>112</v>
      </c>
      <c r="L21633">
        <v>1</v>
      </c>
      <c r="M21633">
        <v>4</v>
      </c>
      <c r="N21633">
        <v>10</v>
      </c>
      <c r="O21633" t="s">
        <v>13528</v>
      </c>
    </row>
    <row r="21634" spans="1:15">
      <c r="A21634" t="s">
        <v>62255</v>
      </c>
      <c r="B21634" t="s">
        <v>331</v>
      </c>
      <c r="C21634" t="s">
        <v>3426</v>
      </c>
      <c r="D21634" t="s">
        <v>62256</v>
      </c>
      <c r="E21634" t="b">
        <v>0</v>
      </c>
      <c r="F21634" t="s">
        <v>11610</v>
      </c>
      <c r="L21634">
        <v>0</v>
      </c>
      <c r="M21634">
        <v>0</v>
      </c>
      <c r="N21634">
        <v>0</v>
      </c>
    </row>
    <row r="21635" spans="1:15">
      <c r="A21635" t="s">
        <v>62257</v>
      </c>
      <c r="B21635" t="s">
        <v>13967</v>
      </c>
      <c r="C21635" t="s">
        <v>3352</v>
      </c>
      <c r="D21635" t="s">
        <v>62258</v>
      </c>
      <c r="E21635" t="b">
        <v>0</v>
      </c>
      <c r="F21635" t="s">
        <v>11610</v>
      </c>
      <c r="L21635">
        <v>0</v>
      </c>
      <c r="M21635">
        <v>0</v>
      </c>
      <c r="N21635">
        <v>0</v>
      </c>
    </row>
    <row r="21636" spans="1:15">
      <c r="A21636" t="s">
        <v>62259</v>
      </c>
      <c r="B21636" t="s">
        <v>367</v>
      </c>
      <c r="C21636" t="s">
        <v>17432</v>
      </c>
      <c r="D21636" t="s">
        <v>62260</v>
      </c>
      <c r="E21636" t="b">
        <v>0</v>
      </c>
      <c r="F21636" t="s">
        <v>11610</v>
      </c>
      <c r="L21636">
        <v>0</v>
      </c>
      <c r="M21636">
        <v>0</v>
      </c>
      <c r="N21636">
        <v>0</v>
      </c>
    </row>
    <row r="21637" spans="1:15">
      <c r="A21637" t="s">
        <v>62261</v>
      </c>
      <c r="B21637" t="s">
        <v>11839</v>
      </c>
      <c r="C21637" t="s">
        <v>18383</v>
      </c>
      <c r="D21637" t="s">
        <v>62262</v>
      </c>
      <c r="E21637" t="b">
        <v>0</v>
      </c>
      <c r="F21637" t="s">
        <v>11610</v>
      </c>
      <c r="L21637">
        <v>0</v>
      </c>
      <c r="M21637">
        <v>0</v>
      </c>
      <c r="N21637">
        <v>0</v>
      </c>
    </row>
    <row r="21638" spans="1:15">
      <c r="A21638" t="s">
        <v>62263</v>
      </c>
      <c r="B21638" t="s">
        <v>12751</v>
      </c>
      <c r="C21638" t="s">
        <v>20947</v>
      </c>
      <c r="D21638" t="s">
        <v>62264</v>
      </c>
      <c r="E21638" t="b">
        <v>0</v>
      </c>
      <c r="F21638" t="s">
        <v>11624</v>
      </c>
      <c r="G21638">
        <v>35.326999999999998</v>
      </c>
      <c r="H21638">
        <v>-117.163</v>
      </c>
      <c r="I21638" t="s">
        <v>62265</v>
      </c>
      <c r="L21638">
        <v>0</v>
      </c>
      <c r="M21638">
        <v>0</v>
      </c>
      <c r="N21638">
        <v>0</v>
      </c>
      <c r="O21638" t="s">
        <v>11944</v>
      </c>
    </row>
    <row r="21639" spans="1:15">
      <c r="A21639" t="s">
        <v>62266</v>
      </c>
      <c r="B21639" t="s">
        <v>12751</v>
      </c>
      <c r="C21639" t="s">
        <v>20865</v>
      </c>
      <c r="D21639" t="s">
        <v>62267</v>
      </c>
      <c r="E21639" t="b">
        <v>0</v>
      </c>
      <c r="F21639" t="s">
        <v>11624</v>
      </c>
      <c r="G21639">
        <v>30</v>
      </c>
      <c r="H21639">
        <v>-111</v>
      </c>
      <c r="I21639" t="s">
        <v>62268</v>
      </c>
      <c r="L21639">
        <v>0</v>
      </c>
      <c r="M21639">
        <v>0</v>
      </c>
      <c r="N21639">
        <v>0</v>
      </c>
      <c r="O21639" t="s">
        <v>11883</v>
      </c>
    </row>
    <row r="21640" spans="1:15">
      <c r="A21640" t="s">
        <v>62269</v>
      </c>
      <c r="B21640" t="s">
        <v>367</v>
      </c>
      <c r="C21640" t="s">
        <v>15189</v>
      </c>
      <c r="D21640" t="s">
        <v>62270</v>
      </c>
      <c r="E21640" t="b">
        <v>0</v>
      </c>
      <c r="F21640" t="s">
        <v>11610</v>
      </c>
      <c r="L21640">
        <v>0</v>
      </c>
      <c r="M21640">
        <v>0</v>
      </c>
      <c r="N21640">
        <v>0</v>
      </c>
    </row>
    <row r="21641" spans="1:15">
      <c r="A21641" t="s">
        <v>62271</v>
      </c>
      <c r="B21641" t="s">
        <v>367</v>
      </c>
      <c r="C21641" t="s">
        <v>13008</v>
      </c>
      <c r="D21641" t="s">
        <v>62272</v>
      </c>
      <c r="E21641" t="b">
        <v>0</v>
      </c>
      <c r="F21641" t="s">
        <v>11610</v>
      </c>
      <c r="L21641">
        <v>0</v>
      </c>
      <c r="M21641">
        <v>0</v>
      </c>
      <c r="N21641">
        <v>0</v>
      </c>
    </row>
    <row r="21642" spans="1:15">
      <c r="A21642" t="s">
        <v>1215</v>
      </c>
      <c r="B21642" t="s">
        <v>2975</v>
      </c>
      <c r="C21642" t="s">
        <v>16977</v>
      </c>
      <c r="D21642" t="s">
        <v>1214</v>
      </c>
      <c r="E21642" t="b">
        <v>0</v>
      </c>
      <c r="F21642" t="s">
        <v>11624</v>
      </c>
      <c r="G21642">
        <v>0.57975500000000002</v>
      </c>
      <c r="H21642">
        <v>-69.576300000000003</v>
      </c>
      <c r="I21642" t="s">
        <v>1216</v>
      </c>
      <c r="L21642">
        <v>0</v>
      </c>
      <c r="M21642">
        <v>0</v>
      </c>
      <c r="N21642">
        <v>2</v>
      </c>
      <c r="O21642" t="s">
        <v>21122</v>
      </c>
    </row>
    <row r="21643" spans="1:15">
      <c r="A21643" t="s">
        <v>2975</v>
      </c>
      <c r="D21643" t="s">
        <v>62273</v>
      </c>
      <c r="E21643" t="b">
        <v>0</v>
      </c>
      <c r="F21643" t="s">
        <v>11622</v>
      </c>
      <c r="L21643">
        <v>20</v>
      </c>
      <c r="M21643">
        <v>26</v>
      </c>
      <c r="N21643">
        <v>15</v>
      </c>
    </row>
    <row r="21644" spans="1:15">
      <c r="A21644" t="s">
        <v>62274</v>
      </c>
      <c r="B21644" t="s">
        <v>11757</v>
      </c>
      <c r="C21644" t="s">
        <v>35727</v>
      </c>
      <c r="D21644" t="s">
        <v>62275</v>
      </c>
      <c r="E21644" t="b">
        <v>0</v>
      </c>
      <c r="F21644" t="s">
        <v>11624</v>
      </c>
      <c r="G21644">
        <v>0.66573000000000004</v>
      </c>
      <c r="H21644">
        <v>35.849899999999998</v>
      </c>
      <c r="I21644" t="s">
        <v>62276</v>
      </c>
      <c r="L21644">
        <v>0</v>
      </c>
      <c r="M21644">
        <v>0</v>
      </c>
      <c r="N21644">
        <v>0</v>
      </c>
      <c r="O21644" t="s">
        <v>22848</v>
      </c>
    </row>
    <row r="21645" spans="1:15">
      <c r="A21645" t="s">
        <v>62277</v>
      </c>
      <c r="B21645" t="s">
        <v>11794</v>
      </c>
      <c r="C21645" t="s">
        <v>28754</v>
      </c>
      <c r="D21645" t="s">
        <v>62278</v>
      </c>
      <c r="E21645" t="b">
        <v>0</v>
      </c>
      <c r="F21645" t="s">
        <v>11610</v>
      </c>
      <c r="L21645">
        <v>0</v>
      </c>
      <c r="M21645">
        <v>0</v>
      </c>
      <c r="N21645">
        <v>0</v>
      </c>
    </row>
    <row r="21646" spans="1:15">
      <c r="A21646" t="s">
        <v>14698</v>
      </c>
      <c r="B21646" t="s">
        <v>367</v>
      </c>
      <c r="C21646" t="s">
        <v>52791</v>
      </c>
      <c r="D21646" t="s">
        <v>62279</v>
      </c>
      <c r="E21646" t="b">
        <v>0</v>
      </c>
      <c r="F21646" t="s">
        <v>11624</v>
      </c>
      <c r="G21646">
        <v>-7.7255500000000001</v>
      </c>
      <c r="H21646">
        <v>126.7</v>
      </c>
      <c r="I21646" t="s">
        <v>62280</v>
      </c>
      <c r="L21646">
        <v>0</v>
      </c>
      <c r="M21646">
        <v>0</v>
      </c>
      <c r="N21646">
        <v>6</v>
      </c>
      <c r="O21646" t="s">
        <v>11768</v>
      </c>
    </row>
    <row r="21647" spans="1:15">
      <c r="A21647" t="s">
        <v>38465</v>
      </c>
      <c r="B21647" t="s">
        <v>12133</v>
      </c>
      <c r="C21647" t="s">
        <v>61595</v>
      </c>
      <c r="D21647" t="s">
        <v>62281</v>
      </c>
      <c r="E21647" t="b">
        <v>0</v>
      </c>
      <c r="F21647" t="s">
        <v>11624</v>
      </c>
      <c r="G21647">
        <v>0.5806</v>
      </c>
      <c r="H21647">
        <v>128.22300000000001</v>
      </c>
      <c r="I21647" t="s">
        <v>62282</v>
      </c>
      <c r="L21647">
        <v>0</v>
      </c>
      <c r="M21647">
        <v>0</v>
      </c>
      <c r="N21647">
        <v>2</v>
      </c>
      <c r="O21647" t="s">
        <v>11768</v>
      </c>
    </row>
    <row r="21648" spans="1:15">
      <c r="A21648" t="s">
        <v>62283</v>
      </c>
      <c r="B21648" t="s">
        <v>331</v>
      </c>
      <c r="C21648" t="s">
        <v>25486</v>
      </c>
      <c r="D21648" t="s">
        <v>62284</v>
      </c>
      <c r="E21648" t="b">
        <v>0</v>
      </c>
      <c r="F21648" t="s">
        <v>11610</v>
      </c>
      <c r="L21648">
        <v>0</v>
      </c>
      <c r="M21648">
        <v>0</v>
      </c>
      <c r="N21648">
        <v>0</v>
      </c>
    </row>
    <row r="21649" spans="1:15">
      <c r="A21649" t="s">
        <v>62285</v>
      </c>
      <c r="B21649" t="s">
        <v>24281</v>
      </c>
      <c r="C21649" t="s">
        <v>31749</v>
      </c>
      <c r="D21649" t="s">
        <v>62286</v>
      </c>
      <c r="E21649" t="b">
        <v>0</v>
      </c>
      <c r="F21649" t="s">
        <v>11610</v>
      </c>
      <c r="L21649">
        <v>0</v>
      </c>
      <c r="M21649">
        <v>0</v>
      </c>
      <c r="N21649">
        <v>0</v>
      </c>
    </row>
    <row r="21650" spans="1:15">
      <c r="A21650" t="s">
        <v>62287</v>
      </c>
      <c r="B21650" t="s">
        <v>11644</v>
      </c>
      <c r="C21650" t="s">
        <v>20181</v>
      </c>
      <c r="D21650" t="s">
        <v>62288</v>
      </c>
      <c r="E21650" t="b">
        <v>0</v>
      </c>
      <c r="F21650" t="s">
        <v>11610</v>
      </c>
      <c r="L21650">
        <v>0</v>
      </c>
      <c r="M21650">
        <v>0</v>
      </c>
      <c r="N21650">
        <v>0</v>
      </c>
    </row>
    <row r="21651" spans="1:15">
      <c r="A21651" t="s">
        <v>62289</v>
      </c>
      <c r="B21651" t="s">
        <v>11757</v>
      </c>
      <c r="C21651" t="s">
        <v>3239</v>
      </c>
      <c r="D21651" t="s">
        <v>62290</v>
      </c>
      <c r="E21651" t="b">
        <v>0</v>
      </c>
      <c r="F21651" t="s">
        <v>11610</v>
      </c>
      <c r="L21651">
        <v>0</v>
      </c>
      <c r="M21651">
        <v>0</v>
      </c>
      <c r="N21651">
        <v>0</v>
      </c>
    </row>
    <row r="21652" spans="1:15">
      <c r="A21652" t="s">
        <v>62291</v>
      </c>
      <c r="B21652" t="s">
        <v>11757</v>
      </c>
      <c r="C21652" t="s">
        <v>14999</v>
      </c>
      <c r="D21652" t="s">
        <v>62292</v>
      </c>
      <c r="E21652" t="b">
        <v>0</v>
      </c>
      <c r="F21652" t="s">
        <v>11610</v>
      </c>
      <c r="L21652">
        <v>0</v>
      </c>
      <c r="M21652">
        <v>0</v>
      </c>
      <c r="N21652">
        <v>0</v>
      </c>
    </row>
    <row r="21653" spans="1:15">
      <c r="A21653" t="s">
        <v>48483</v>
      </c>
      <c r="B21653" t="s">
        <v>11644</v>
      </c>
      <c r="C21653" t="s">
        <v>11644</v>
      </c>
      <c r="D21653" t="s">
        <v>62293</v>
      </c>
      <c r="E21653" t="b">
        <v>0</v>
      </c>
      <c r="F21653" t="s">
        <v>11622</v>
      </c>
      <c r="L21653">
        <v>0</v>
      </c>
      <c r="M21653">
        <v>2</v>
      </c>
      <c r="N21653">
        <v>2</v>
      </c>
    </row>
    <row r="21654" spans="1:15">
      <c r="A21654" t="s">
        <v>62294</v>
      </c>
      <c r="B21654" t="s">
        <v>13276</v>
      </c>
      <c r="C21654" t="s">
        <v>19158</v>
      </c>
      <c r="D21654" t="s">
        <v>62295</v>
      </c>
      <c r="E21654" t="b">
        <v>0</v>
      </c>
      <c r="F21654" t="s">
        <v>11610</v>
      </c>
      <c r="L21654">
        <v>0</v>
      </c>
      <c r="M21654">
        <v>0</v>
      </c>
      <c r="N21654">
        <v>0</v>
      </c>
    </row>
    <row r="21655" spans="1:15">
      <c r="A21655" t="s">
        <v>19447</v>
      </c>
      <c r="B21655" t="s">
        <v>367</v>
      </c>
      <c r="C21655" t="s">
        <v>45728</v>
      </c>
      <c r="D21655" t="s">
        <v>62296</v>
      </c>
      <c r="E21655" t="b">
        <v>0</v>
      </c>
      <c r="F21655" t="s">
        <v>11622</v>
      </c>
      <c r="L21655">
        <v>1</v>
      </c>
      <c r="M21655">
        <v>3</v>
      </c>
      <c r="N21655">
        <v>6</v>
      </c>
    </row>
    <row r="21656" spans="1:15">
      <c r="A21656" t="s">
        <v>62297</v>
      </c>
      <c r="B21656" t="s">
        <v>367</v>
      </c>
      <c r="C21656" t="s">
        <v>19447</v>
      </c>
      <c r="D21656" t="s">
        <v>62298</v>
      </c>
      <c r="E21656" t="b">
        <v>0</v>
      </c>
      <c r="F21656" t="s">
        <v>11622</v>
      </c>
      <c r="L21656">
        <v>0</v>
      </c>
      <c r="M21656">
        <v>2</v>
      </c>
      <c r="N21656">
        <v>4</v>
      </c>
    </row>
    <row r="21657" spans="1:15">
      <c r="A21657" t="s">
        <v>34423</v>
      </c>
      <c r="B21657" t="s">
        <v>367</v>
      </c>
      <c r="C21657" t="s">
        <v>62297</v>
      </c>
      <c r="D21657" t="s">
        <v>62299</v>
      </c>
      <c r="E21657" t="b">
        <v>0</v>
      </c>
      <c r="F21657" t="s">
        <v>11624</v>
      </c>
      <c r="G21657">
        <v>-5.3099400000000001</v>
      </c>
      <c r="H21657">
        <v>123.578</v>
      </c>
      <c r="I21657" t="s">
        <v>62300</v>
      </c>
      <c r="L21657">
        <v>0</v>
      </c>
      <c r="M21657">
        <v>0</v>
      </c>
      <c r="N21657">
        <v>2</v>
      </c>
      <c r="O21657" t="s">
        <v>11768</v>
      </c>
    </row>
    <row r="21658" spans="1:15">
      <c r="A21658" t="s">
        <v>18725</v>
      </c>
      <c r="B21658" t="s">
        <v>367</v>
      </c>
      <c r="C21658" t="s">
        <v>62297</v>
      </c>
      <c r="D21658" t="s">
        <v>62301</v>
      </c>
      <c r="E21658" t="b">
        <v>0</v>
      </c>
      <c r="F21658" t="s">
        <v>11624</v>
      </c>
      <c r="G21658">
        <v>-5.7477999999999998</v>
      </c>
      <c r="H21658">
        <v>123.94799999999999</v>
      </c>
      <c r="I21658" t="s">
        <v>62302</v>
      </c>
      <c r="L21658">
        <v>0</v>
      </c>
      <c r="M21658">
        <v>0</v>
      </c>
      <c r="N21658">
        <v>2</v>
      </c>
      <c r="O21658" t="s">
        <v>11768</v>
      </c>
    </row>
    <row r="21659" spans="1:15">
      <c r="A21659" t="s">
        <v>53055</v>
      </c>
      <c r="B21659" t="s">
        <v>13450</v>
      </c>
      <c r="C21659" t="s">
        <v>13450</v>
      </c>
      <c r="D21659" t="s">
        <v>62303</v>
      </c>
      <c r="E21659" t="b">
        <v>0</v>
      </c>
      <c r="F21659" t="s">
        <v>11622</v>
      </c>
      <c r="L21659">
        <v>0</v>
      </c>
      <c r="M21659">
        <v>1</v>
      </c>
      <c r="N21659">
        <v>0</v>
      </c>
    </row>
    <row r="21660" spans="1:15">
      <c r="A21660" t="s">
        <v>62304</v>
      </c>
      <c r="B21660" t="s">
        <v>11644</v>
      </c>
      <c r="C21660" t="s">
        <v>149</v>
      </c>
      <c r="D21660" t="s">
        <v>62305</v>
      </c>
      <c r="E21660" t="b">
        <v>0</v>
      </c>
      <c r="F21660" t="s">
        <v>11610</v>
      </c>
      <c r="L21660">
        <v>0</v>
      </c>
      <c r="M21660">
        <v>0</v>
      </c>
      <c r="N21660">
        <v>0</v>
      </c>
    </row>
    <row r="21661" spans="1:15">
      <c r="A21661" t="s">
        <v>20348</v>
      </c>
      <c r="B21661" t="s">
        <v>6742</v>
      </c>
      <c r="C21661" t="s">
        <v>39952</v>
      </c>
      <c r="D21661" t="s">
        <v>62306</v>
      </c>
      <c r="E21661" t="b">
        <v>0</v>
      </c>
      <c r="F21661" t="s">
        <v>11624</v>
      </c>
      <c r="G21661">
        <v>4.6434800000000003</v>
      </c>
      <c r="H21661">
        <v>11.535299999999999</v>
      </c>
      <c r="I21661" t="s">
        <v>62307</v>
      </c>
      <c r="L21661">
        <v>0</v>
      </c>
      <c r="M21661">
        <v>0</v>
      </c>
      <c r="N21661">
        <v>7</v>
      </c>
      <c r="O21661" t="s">
        <v>11703</v>
      </c>
    </row>
    <row r="21662" spans="1:15">
      <c r="A21662" t="s">
        <v>62308</v>
      </c>
      <c r="B21662" t="s">
        <v>11644</v>
      </c>
      <c r="C21662" t="s">
        <v>18321</v>
      </c>
      <c r="D21662" t="s">
        <v>62309</v>
      </c>
      <c r="E21662" t="b">
        <v>0</v>
      </c>
      <c r="F21662" t="s">
        <v>11624</v>
      </c>
      <c r="G21662">
        <v>31.4925</v>
      </c>
      <c r="H21662">
        <v>78.162700000000001</v>
      </c>
      <c r="I21662" t="s">
        <v>62310</v>
      </c>
      <c r="L21662">
        <v>0</v>
      </c>
      <c r="M21662">
        <v>0</v>
      </c>
      <c r="N21662">
        <v>0</v>
      </c>
      <c r="O21662" t="s">
        <v>11630</v>
      </c>
    </row>
    <row r="21663" spans="1:15">
      <c r="A21663" t="s">
        <v>62311</v>
      </c>
      <c r="B21663" t="s">
        <v>12241</v>
      </c>
      <c r="C21663" t="s">
        <v>45323</v>
      </c>
      <c r="D21663" t="s">
        <v>62312</v>
      </c>
      <c r="E21663" t="b">
        <v>0</v>
      </c>
      <c r="F21663" t="s">
        <v>11624</v>
      </c>
      <c r="G21663">
        <v>-11.518000000000001</v>
      </c>
      <c r="H21663">
        <v>-61.42</v>
      </c>
      <c r="I21663" t="s">
        <v>62313</v>
      </c>
      <c r="L21663">
        <v>0</v>
      </c>
      <c r="M21663">
        <v>0</v>
      </c>
      <c r="N21663">
        <v>0</v>
      </c>
      <c r="O21663" t="s">
        <v>11969</v>
      </c>
    </row>
    <row r="21664" spans="1:15">
      <c r="A21664" t="s">
        <v>62314</v>
      </c>
      <c r="B21664" t="s">
        <v>6742</v>
      </c>
      <c r="C21664" t="s">
        <v>61862</v>
      </c>
      <c r="D21664" t="s">
        <v>62315</v>
      </c>
      <c r="E21664" t="b">
        <v>0</v>
      </c>
      <c r="F21664" t="s">
        <v>11610</v>
      </c>
      <c r="L21664">
        <v>0</v>
      </c>
      <c r="M21664">
        <v>0</v>
      </c>
      <c r="N21664">
        <v>0</v>
      </c>
    </row>
    <row r="21665" spans="1:15">
      <c r="A21665" t="s">
        <v>35702</v>
      </c>
      <c r="B21665" t="s">
        <v>367</v>
      </c>
      <c r="C21665" t="s">
        <v>35787</v>
      </c>
      <c r="D21665" t="s">
        <v>62316</v>
      </c>
      <c r="E21665" t="b">
        <v>0</v>
      </c>
      <c r="F21665" t="s">
        <v>11624</v>
      </c>
      <c r="G21665">
        <v>-8.6788000000000007</v>
      </c>
      <c r="H21665">
        <v>125.283</v>
      </c>
      <c r="I21665" t="s">
        <v>62317</v>
      </c>
      <c r="L21665">
        <v>0</v>
      </c>
      <c r="M21665">
        <v>0</v>
      </c>
      <c r="N21665">
        <v>2</v>
      </c>
      <c r="O21665" t="s">
        <v>27765</v>
      </c>
    </row>
    <row r="21666" spans="1:15">
      <c r="A21666" t="s">
        <v>62318</v>
      </c>
      <c r="B21666" t="s">
        <v>14398</v>
      </c>
      <c r="C21666" t="s">
        <v>23604</v>
      </c>
      <c r="D21666" t="s">
        <v>62319</v>
      </c>
      <c r="E21666" t="b">
        <v>0</v>
      </c>
      <c r="F21666" t="s">
        <v>11610</v>
      </c>
      <c r="L21666">
        <v>0</v>
      </c>
      <c r="M21666">
        <v>0</v>
      </c>
      <c r="N21666">
        <v>0</v>
      </c>
    </row>
    <row r="21667" spans="1:15">
      <c r="A21667" t="s">
        <v>62320</v>
      </c>
      <c r="B21667" t="s">
        <v>6742</v>
      </c>
      <c r="C21667" t="s">
        <v>17900</v>
      </c>
      <c r="D21667" t="s">
        <v>62321</v>
      </c>
      <c r="E21667" t="b">
        <v>0</v>
      </c>
      <c r="F21667" t="s">
        <v>11622</v>
      </c>
      <c r="L21667">
        <v>3</v>
      </c>
      <c r="M21667">
        <v>8</v>
      </c>
      <c r="N21667">
        <v>16</v>
      </c>
    </row>
    <row r="21668" spans="1:15">
      <c r="A21668" t="s">
        <v>15319</v>
      </c>
      <c r="B21668" t="s">
        <v>6742</v>
      </c>
      <c r="C21668" t="s">
        <v>62320</v>
      </c>
      <c r="D21668" t="s">
        <v>62322</v>
      </c>
      <c r="E21668" t="b">
        <v>0</v>
      </c>
      <c r="F21668" t="s">
        <v>11622</v>
      </c>
      <c r="L21668">
        <v>2</v>
      </c>
      <c r="M21668">
        <v>7</v>
      </c>
      <c r="N21668">
        <v>14</v>
      </c>
    </row>
    <row r="21669" spans="1:15">
      <c r="A21669" t="s">
        <v>17497</v>
      </c>
      <c r="B21669" t="s">
        <v>6742</v>
      </c>
      <c r="C21669" t="s">
        <v>16635</v>
      </c>
      <c r="D21669" t="s">
        <v>62323</v>
      </c>
      <c r="E21669" t="b">
        <v>0</v>
      </c>
      <c r="F21669" t="s">
        <v>11624</v>
      </c>
      <c r="G21669">
        <v>9.8462899999999998</v>
      </c>
      <c r="H21669">
        <v>11.525510000000001</v>
      </c>
      <c r="I21669" t="s">
        <v>62324</v>
      </c>
      <c r="L21669">
        <v>0</v>
      </c>
      <c r="M21669">
        <v>0</v>
      </c>
      <c r="N21669">
        <v>3</v>
      </c>
      <c r="O21669" t="s">
        <v>11693</v>
      </c>
    </row>
    <row r="21670" spans="1:15">
      <c r="A21670" t="s">
        <v>62325</v>
      </c>
      <c r="B21670" t="s">
        <v>367</v>
      </c>
      <c r="C21670" t="s">
        <v>20382</v>
      </c>
      <c r="D21670" t="s">
        <v>62326</v>
      </c>
      <c r="E21670" t="b">
        <v>0</v>
      </c>
      <c r="F21670" t="s">
        <v>11610</v>
      </c>
      <c r="L21670">
        <v>0</v>
      </c>
      <c r="M21670">
        <v>0</v>
      </c>
      <c r="N21670">
        <v>0</v>
      </c>
    </row>
    <row r="21671" spans="1:15">
      <c r="A21671" t="s">
        <v>62327</v>
      </c>
      <c r="B21671" t="s">
        <v>9348</v>
      </c>
      <c r="C21671" t="s">
        <v>20051</v>
      </c>
      <c r="D21671" t="s">
        <v>62328</v>
      </c>
      <c r="E21671" t="b">
        <v>0</v>
      </c>
      <c r="F21671" t="s">
        <v>11610</v>
      </c>
      <c r="L21671">
        <v>0</v>
      </c>
      <c r="M21671">
        <v>0</v>
      </c>
      <c r="N21671">
        <v>0</v>
      </c>
    </row>
    <row r="21672" spans="1:15">
      <c r="A21672" t="s">
        <v>62329</v>
      </c>
      <c r="B21672" t="s">
        <v>6742</v>
      </c>
      <c r="C21672" t="s">
        <v>31948</v>
      </c>
      <c r="D21672" t="s">
        <v>62330</v>
      </c>
      <c r="E21672" t="b">
        <v>0</v>
      </c>
      <c r="F21672" t="s">
        <v>11610</v>
      </c>
      <c r="L21672">
        <v>0</v>
      </c>
      <c r="M21672">
        <v>0</v>
      </c>
      <c r="N21672">
        <v>0</v>
      </c>
    </row>
    <row r="21673" spans="1:15">
      <c r="A21673" t="s">
        <v>40040</v>
      </c>
      <c r="B21673" t="s">
        <v>367</v>
      </c>
      <c r="C21673" t="s">
        <v>31213</v>
      </c>
      <c r="D21673" t="s">
        <v>62331</v>
      </c>
      <c r="E21673" t="b">
        <v>0</v>
      </c>
      <c r="F21673" t="s">
        <v>11624</v>
      </c>
      <c r="G21673">
        <v>-3.5778500000000002</v>
      </c>
      <c r="H21673">
        <v>128.31</v>
      </c>
      <c r="I21673" t="s">
        <v>62332</v>
      </c>
      <c r="L21673">
        <v>0</v>
      </c>
      <c r="M21673">
        <v>0</v>
      </c>
      <c r="N21673">
        <v>4</v>
      </c>
      <c r="O21673" t="s">
        <v>11768</v>
      </c>
    </row>
    <row r="21674" spans="1:15">
      <c r="A21674" t="s">
        <v>62333</v>
      </c>
      <c r="B21674" t="s">
        <v>9348</v>
      </c>
      <c r="C21674" t="s">
        <v>47781</v>
      </c>
      <c r="D21674" t="s">
        <v>62334</v>
      </c>
      <c r="E21674" t="b">
        <v>0</v>
      </c>
      <c r="F21674" t="s">
        <v>11624</v>
      </c>
      <c r="G21674">
        <v>36.053539999999998</v>
      </c>
      <c r="H21674">
        <v>-118.76861599999999</v>
      </c>
      <c r="L21674">
        <v>0</v>
      </c>
      <c r="M21674">
        <v>0</v>
      </c>
      <c r="N21674">
        <v>2</v>
      </c>
      <c r="O21674" t="s">
        <v>11944</v>
      </c>
    </row>
    <row r="21675" spans="1:15">
      <c r="A21675" t="s">
        <v>62335</v>
      </c>
      <c r="B21675" t="s">
        <v>11607</v>
      </c>
      <c r="C21675" t="s">
        <v>43888</v>
      </c>
      <c r="D21675" t="s">
        <v>62336</v>
      </c>
      <c r="E21675" t="b">
        <v>0</v>
      </c>
      <c r="F21675" t="s">
        <v>11610</v>
      </c>
      <c r="L21675">
        <v>0</v>
      </c>
      <c r="M21675">
        <v>0</v>
      </c>
      <c r="N21675">
        <v>0</v>
      </c>
    </row>
    <row r="21676" spans="1:15">
      <c r="A21676" t="s">
        <v>62337</v>
      </c>
      <c r="B21676" t="s">
        <v>11644</v>
      </c>
      <c r="C21676" t="s">
        <v>28687</v>
      </c>
      <c r="D21676" t="s">
        <v>62338</v>
      </c>
      <c r="E21676" t="b">
        <v>0</v>
      </c>
      <c r="F21676" t="s">
        <v>11610</v>
      </c>
      <c r="L21676">
        <v>0</v>
      </c>
      <c r="M21676">
        <v>0</v>
      </c>
      <c r="N21676">
        <v>0</v>
      </c>
    </row>
    <row r="21677" spans="1:15">
      <c r="A21677" t="s">
        <v>24143</v>
      </c>
      <c r="B21677" t="s">
        <v>11868</v>
      </c>
      <c r="C21677" t="s">
        <v>21780</v>
      </c>
      <c r="D21677" t="s">
        <v>62339</v>
      </c>
      <c r="E21677" t="b">
        <v>0</v>
      </c>
      <c r="F21677" t="s">
        <v>11624</v>
      </c>
      <c r="G21677">
        <v>11.450699999999999</v>
      </c>
      <c r="H21677">
        <v>29.108000000000001</v>
      </c>
      <c r="I21677" t="s">
        <v>62340</v>
      </c>
      <c r="L21677">
        <v>0</v>
      </c>
      <c r="M21677">
        <v>0</v>
      </c>
      <c r="N21677">
        <v>3</v>
      </c>
      <c r="O21677" t="s">
        <v>11910</v>
      </c>
    </row>
    <row r="21678" spans="1:15">
      <c r="A21678" t="s">
        <v>1947</v>
      </c>
      <c r="B21678" t="s">
        <v>11844</v>
      </c>
      <c r="C21678" t="s">
        <v>17849</v>
      </c>
      <c r="D21678" t="s">
        <v>62341</v>
      </c>
      <c r="E21678" t="b">
        <v>0</v>
      </c>
      <c r="F21678" t="s">
        <v>11624</v>
      </c>
      <c r="G21678">
        <v>12.811400000000001</v>
      </c>
      <c r="H21678">
        <v>75.265100000000004</v>
      </c>
      <c r="I21678" t="s">
        <v>62342</v>
      </c>
      <c r="L21678">
        <v>0</v>
      </c>
      <c r="M21678">
        <v>0</v>
      </c>
      <c r="N21678">
        <v>0</v>
      </c>
      <c r="O21678" t="s">
        <v>11630</v>
      </c>
    </row>
    <row r="21679" spans="1:15">
      <c r="A21679" t="s">
        <v>19139</v>
      </c>
      <c r="B21679" t="s">
        <v>367</v>
      </c>
      <c r="C21679" t="s">
        <v>36203</v>
      </c>
      <c r="D21679" t="s">
        <v>62343</v>
      </c>
      <c r="E21679" t="b">
        <v>0</v>
      </c>
      <c r="F21679" t="s">
        <v>11624</v>
      </c>
      <c r="G21679">
        <v>-2.1415500000000001</v>
      </c>
      <c r="H21679">
        <v>146.934</v>
      </c>
      <c r="I21679" t="s">
        <v>62344</v>
      </c>
      <c r="L21679">
        <v>0</v>
      </c>
      <c r="M21679">
        <v>0</v>
      </c>
      <c r="N21679">
        <v>3</v>
      </c>
      <c r="O21679" t="s">
        <v>11660</v>
      </c>
    </row>
    <row r="21680" spans="1:15">
      <c r="A21680" t="s">
        <v>62345</v>
      </c>
      <c r="B21680" t="s">
        <v>367</v>
      </c>
      <c r="C21680" t="s">
        <v>19139</v>
      </c>
      <c r="D21680" t="s">
        <v>62346</v>
      </c>
      <c r="E21680" t="b">
        <v>0</v>
      </c>
      <c r="F21680" t="s">
        <v>11610</v>
      </c>
      <c r="L21680">
        <v>0</v>
      </c>
      <c r="M21680">
        <v>0</v>
      </c>
      <c r="N21680">
        <v>0</v>
      </c>
    </row>
    <row r="21681" spans="1:15">
      <c r="A21681" t="s">
        <v>37403</v>
      </c>
      <c r="B21681" t="s">
        <v>11844</v>
      </c>
      <c r="C21681" t="s">
        <v>58709</v>
      </c>
      <c r="D21681" t="s">
        <v>62347</v>
      </c>
      <c r="E21681" t="b">
        <v>0</v>
      </c>
      <c r="F21681" t="s">
        <v>11622</v>
      </c>
      <c r="L21681">
        <v>2</v>
      </c>
      <c r="M21681">
        <v>5</v>
      </c>
      <c r="N21681">
        <v>4</v>
      </c>
    </row>
    <row r="21682" spans="1:15">
      <c r="A21682" t="s">
        <v>17849</v>
      </c>
      <c r="B21682" t="s">
        <v>11844</v>
      </c>
      <c r="C21682" t="s">
        <v>37403</v>
      </c>
      <c r="D21682" t="s">
        <v>62348</v>
      </c>
      <c r="E21682" t="b">
        <v>0</v>
      </c>
      <c r="F21682" t="s">
        <v>11622</v>
      </c>
      <c r="L21682">
        <v>0</v>
      </c>
      <c r="M21682">
        <v>3</v>
      </c>
      <c r="N21682">
        <v>0</v>
      </c>
    </row>
    <row r="21683" spans="1:15">
      <c r="A21683" t="s">
        <v>62349</v>
      </c>
      <c r="B21683" t="s">
        <v>45308</v>
      </c>
      <c r="C21683" t="s">
        <v>45309</v>
      </c>
      <c r="D21683" t="s">
        <v>62350</v>
      </c>
      <c r="E21683" t="b">
        <v>0</v>
      </c>
      <c r="F21683" t="s">
        <v>11610</v>
      </c>
      <c r="L21683">
        <v>0</v>
      </c>
      <c r="M21683">
        <v>0</v>
      </c>
      <c r="N21683">
        <v>0</v>
      </c>
    </row>
    <row r="21684" spans="1:15">
      <c r="A21684" t="s">
        <v>37895</v>
      </c>
      <c r="B21684" t="s">
        <v>13967</v>
      </c>
      <c r="C21684" t="s">
        <v>34762</v>
      </c>
      <c r="D21684" t="s">
        <v>62351</v>
      </c>
      <c r="E21684" t="b">
        <v>0</v>
      </c>
      <c r="F21684" t="s">
        <v>11624</v>
      </c>
      <c r="G21684">
        <v>14.2584</v>
      </c>
      <c r="H21684">
        <v>13.1571</v>
      </c>
      <c r="I21684" t="s">
        <v>62352</v>
      </c>
      <c r="L21684">
        <v>0</v>
      </c>
      <c r="M21684">
        <v>0</v>
      </c>
      <c r="N21684">
        <v>3</v>
      </c>
      <c r="O21684" t="s">
        <v>34765</v>
      </c>
    </row>
    <row r="21685" spans="1:15">
      <c r="A21685" t="s">
        <v>62353</v>
      </c>
      <c r="B21685" t="s">
        <v>13967</v>
      </c>
      <c r="C21685" t="s">
        <v>37895</v>
      </c>
      <c r="D21685" t="s">
        <v>62354</v>
      </c>
      <c r="E21685" t="b">
        <v>0</v>
      </c>
      <c r="F21685" t="s">
        <v>11610</v>
      </c>
      <c r="L21685">
        <v>0</v>
      </c>
      <c r="M21685">
        <v>0</v>
      </c>
      <c r="N21685">
        <v>0</v>
      </c>
    </row>
    <row r="21686" spans="1:15">
      <c r="A21686" t="s">
        <v>62355</v>
      </c>
      <c r="B21686" t="s">
        <v>11615</v>
      </c>
      <c r="C21686" t="s">
        <v>62356</v>
      </c>
      <c r="D21686" t="s">
        <v>62357</v>
      </c>
      <c r="E21686" t="b">
        <v>0</v>
      </c>
      <c r="F21686" t="s">
        <v>11624</v>
      </c>
      <c r="G21686">
        <v>-6.2922099999999999</v>
      </c>
      <c r="H21686">
        <v>146.60900000000001</v>
      </c>
      <c r="I21686" t="s">
        <v>62358</v>
      </c>
      <c r="L21686">
        <v>0</v>
      </c>
      <c r="M21686">
        <v>0</v>
      </c>
      <c r="N21686">
        <v>0</v>
      </c>
      <c r="O21686" t="s">
        <v>11660</v>
      </c>
    </row>
    <row r="21687" spans="1:15">
      <c r="A21687" t="s">
        <v>44899</v>
      </c>
      <c r="B21687" t="s">
        <v>11607</v>
      </c>
      <c r="C21687" t="s">
        <v>26419</v>
      </c>
      <c r="D21687" t="s">
        <v>62359</v>
      </c>
      <c r="E21687" t="b">
        <v>0</v>
      </c>
      <c r="F21687" t="s">
        <v>11624</v>
      </c>
      <c r="G21687">
        <v>9.4374699999999994</v>
      </c>
      <c r="H21687">
        <v>17.421600000000002</v>
      </c>
      <c r="I21687" t="s">
        <v>62360</v>
      </c>
      <c r="L21687">
        <v>0</v>
      </c>
      <c r="M21687">
        <v>0</v>
      </c>
      <c r="N21687">
        <v>2</v>
      </c>
      <c r="O21687" t="s">
        <v>13421</v>
      </c>
    </row>
    <row r="21688" spans="1:15">
      <c r="A21688" t="s">
        <v>62361</v>
      </c>
      <c r="B21688" t="s">
        <v>6742</v>
      </c>
      <c r="C21688" t="s">
        <v>34100</v>
      </c>
      <c r="D21688" t="s">
        <v>62362</v>
      </c>
      <c r="E21688" t="b">
        <v>0</v>
      </c>
      <c r="F21688" t="s">
        <v>11610</v>
      </c>
      <c r="L21688">
        <v>0</v>
      </c>
      <c r="M21688">
        <v>0</v>
      </c>
      <c r="N21688">
        <v>0</v>
      </c>
    </row>
    <row r="21689" spans="1:15">
      <c r="A21689" t="s">
        <v>4025</v>
      </c>
      <c r="B21689" t="s">
        <v>6742</v>
      </c>
      <c r="C21689" t="s">
        <v>61819</v>
      </c>
      <c r="D21689" t="s">
        <v>4024</v>
      </c>
      <c r="E21689" t="b">
        <v>0</v>
      </c>
      <c r="F21689" t="s">
        <v>11624</v>
      </c>
      <c r="G21689">
        <v>-11.329700000000001</v>
      </c>
      <c r="H21689">
        <v>33.373800000000003</v>
      </c>
      <c r="I21689" t="s">
        <v>4026</v>
      </c>
      <c r="L21689">
        <v>0</v>
      </c>
      <c r="M21689">
        <v>0</v>
      </c>
      <c r="N21689">
        <v>14</v>
      </c>
      <c r="O21689" t="s">
        <v>50617</v>
      </c>
    </row>
    <row r="21690" spans="1:15">
      <c r="A21690" t="s">
        <v>61819</v>
      </c>
      <c r="B21690" t="s">
        <v>6742</v>
      </c>
      <c r="C21690" t="s">
        <v>56452</v>
      </c>
      <c r="D21690" t="s">
        <v>62363</v>
      </c>
      <c r="E21690" t="b">
        <v>0</v>
      </c>
      <c r="F21690" t="s">
        <v>11622</v>
      </c>
      <c r="L21690">
        <v>0</v>
      </c>
      <c r="M21690">
        <v>2</v>
      </c>
      <c r="N21690">
        <v>14</v>
      </c>
    </row>
    <row r="21691" spans="1:15">
      <c r="A21691" t="s">
        <v>56452</v>
      </c>
      <c r="B21691" t="s">
        <v>6742</v>
      </c>
      <c r="C21691" t="s">
        <v>19707</v>
      </c>
      <c r="D21691" t="s">
        <v>62364</v>
      </c>
      <c r="E21691" t="b">
        <v>0</v>
      </c>
      <c r="F21691" t="s">
        <v>11622</v>
      </c>
      <c r="L21691">
        <v>4</v>
      </c>
      <c r="M21691">
        <v>10</v>
      </c>
      <c r="N21691">
        <v>28</v>
      </c>
    </row>
    <row r="21692" spans="1:15">
      <c r="A21692" t="s">
        <v>62365</v>
      </c>
      <c r="B21692" t="s">
        <v>12241</v>
      </c>
      <c r="C21692" t="s">
        <v>15040</v>
      </c>
      <c r="D21692" t="s">
        <v>62366</v>
      </c>
      <c r="E21692" t="b">
        <v>0</v>
      </c>
      <c r="F21692" t="s">
        <v>11624</v>
      </c>
      <c r="G21692">
        <v>10.5113</v>
      </c>
      <c r="H21692">
        <v>8.1037800000000004</v>
      </c>
      <c r="I21692" t="s">
        <v>62367</v>
      </c>
      <c r="L21692">
        <v>0</v>
      </c>
      <c r="M21692">
        <v>0</v>
      </c>
      <c r="N21692">
        <v>0</v>
      </c>
      <c r="O21692" t="s">
        <v>11693</v>
      </c>
    </row>
    <row r="21693" spans="1:15">
      <c r="A21693" t="s">
        <v>62368</v>
      </c>
      <c r="B21693" t="s">
        <v>367</v>
      </c>
      <c r="C21693" t="s">
        <v>13081</v>
      </c>
      <c r="D21693" t="s">
        <v>62369</v>
      </c>
      <c r="E21693" t="b">
        <v>0</v>
      </c>
      <c r="F21693" t="s">
        <v>11624</v>
      </c>
      <c r="G21693">
        <v>-3.1495500000000001</v>
      </c>
      <c r="H21693">
        <v>142.346</v>
      </c>
      <c r="I21693" t="s">
        <v>62370</v>
      </c>
      <c r="L21693">
        <v>0</v>
      </c>
      <c r="M21693">
        <v>0</v>
      </c>
      <c r="N21693">
        <v>0</v>
      </c>
      <c r="O21693" t="s">
        <v>11660</v>
      </c>
    </row>
    <row r="21694" spans="1:15">
      <c r="A21694" t="s">
        <v>62371</v>
      </c>
      <c r="B21694" t="s">
        <v>11868</v>
      </c>
      <c r="C21694" t="s">
        <v>23981</v>
      </c>
      <c r="D21694" t="s">
        <v>62372</v>
      </c>
      <c r="E21694" t="b">
        <v>0</v>
      </c>
      <c r="F21694" t="s">
        <v>11610</v>
      </c>
      <c r="L21694">
        <v>0</v>
      </c>
      <c r="M21694">
        <v>0</v>
      </c>
      <c r="N21694">
        <v>0</v>
      </c>
    </row>
    <row r="21695" spans="1:15">
      <c r="A21695" t="s">
        <v>62373</v>
      </c>
      <c r="B21695" t="s">
        <v>11637</v>
      </c>
      <c r="C21695" t="s">
        <v>36330</v>
      </c>
      <c r="D21695" t="s">
        <v>62374</v>
      </c>
      <c r="E21695" t="b">
        <v>0</v>
      </c>
      <c r="F21695" t="s">
        <v>11624</v>
      </c>
      <c r="I21695" t="s">
        <v>62375</v>
      </c>
      <c r="L21695">
        <v>0</v>
      </c>
      <c r="M21695">
        <v>0</v>
      </c>
      <c r="N21695">
        <v>0</v>
      </c>
      <c r="O21695" t="s">
        <v>11905</v>
      </c>
    </row>
    <row r="21696" spans="1:15">
      <c r="A21696" t="s">
        <v>35231</v>
      </c>
      <c r="B21696" t="s">
        <v>11868</v>
      </c>
      <c r="C21696" t="s">
        <v>26130</v>
      </c>
      <c r="D21696" t="s">
        <v>62376</v>
      </c>
      <c r="E21696" t="b">
        <v>0</v>
      </c>
      <c r="F21696" t="s">
        <v>11624</v>
      </c>
      <c r="G21696">
        <v>10.6378</v>
      </c>
      <c r="H21696">
        <v>30.412800000000001</v>
      </c>
      <c r="I21696" t="s">
        <v>62377</v>
      </c>
      <c r="L21696">
        <v>0</v>
      </c>
      <c r="M21696">
        <v>0</v>
      </c>
      <c r="N21696">
        <v>3</v>
      </c>
      <c r="O21696" t="s">
        <v>11910</v>
      </c>
    </row>
    <row r="21697" spans="1:15">
      <c r="A21697" t="s">
        <v>62378</v>
      </c>
      <c r="B21697" t="s">
        <v>12250</v>
      </c>
      <c r="C21697" t="s">
        <v>22113</v>
      </c>
      <c r="D21697" t="s">
        <v>62379</v>
      </c>
      <c r="E21697" t="b">
        <v>0</v>
      </c>
      <c r="F21697" t="s">
        <v>11610</v>
      </c>
      <c r="L21697">
        <v>0</v>
      </c>
      <c r="M21697">
        <v>0</v>
      </c>
      <c r="N21697">
        <v>0</v>
      </c>
    </row>
    <row r="21698" spans="1:15">
      <c r="A21698" t="s">
        <v>29257</v>
      </c>
      <c r="B21698" t="s">
        <v>6742</v>
      </c>
      <c r="C21698" t="s">
        <v>49075</v>
      </c>
      <c r="D21698" t="s">
        <v>62380</v>
      </c>
      <c r="E21698" t="b">
        <v>0</v>
      </c>
      <c r="F21698" t="s">
        <v>11624</v>
      </c>
      <c r="G21698">
        <v>10.634510000000001</v>
      </c>
      <c r="H21698">
        <v>-1.7970699999999999</v>
      </c>
      <c r="I21698" t="s">
        <v>62381</v>
      </c>
      <c r="L21698">
        <v>0</v>
      </c>
      <c r="M21698">
        <v>0</v>
      </c>
      <c r="N21698">
        <v>4</v>
      </c>
      <c r="O21698" t="s">
        <v>11985</v>
      </c>
    </row>
    <row r="21699" spans="1:15">
      <c r="A21699" t="s">
        <v>62382</v>
      </c>
      <c r="B21699" t="s">
        <v>367</v>
      </c>
      <c r="C21699" t="s">
        <v>32686</v>
      </c>
      <c r="D21699" t="s">
        <v>62383</v>
      </c>
      <c r="E21699" t="b">
        <v>0</v>
      </c>
      <c r="F21699" t="s">
        <v>11610</v>
      </c>
      <c r="L21699">
        <v>0</v>
      </c>
      <c r="M21699">
        <v>0</v>
      </c>
      <c r="N21699">
        <v>0</v>
      </c>
    </row>
    <row r="21700" spans="1:15">
      <c r="A21700" t="s">
        <v>62384</v>
      </c>
      <c r="B21700" t="s">
        <v>11607</v>
      </c>
      <c r="C21700" t="s">
        <v>45490</v>
      </c>
      <c r="D21700" t="s">
        <v>62385</v>
      </c>
      <c r="E21700" t="b">
        <v>0</v>
      </c>
      <c r="F21700" t="s">
        <v>11624</v>
      </c>
      <c r="G21700">
        <v>32.501399999999997</v>
      </c>
      <c r="H21700">
        <v>3.8503500000000002</v>
      </c>
      <c r="I21700" t="s">
        <v>62386</v>
      </c>
      <c r="L21700">
        <v>0</v>
      </c>
      <c r="M21700">
        <v>0</v>
      </c>
      <c r="N21700">
        <v>0</v>
      </c>
      <c r="O21700" t="s">
        <v>13029</v>
      </c>
    </row>
    <row r="21701" spans="1:15">
      <c r="A21701" t="s">
        <v>62387</v>
      </c>
      <c r="B21701" t="s">
        <v>11637</v>
      </c>
      <c r="C21701" t="s">
        <v>36653</v>
      </c>
      <c r="D21701" t="s">
        <v>62388</v>
      </c>
      <c r="E21701" t="b">
        <v>0</v>
      </c>
      <c r="F21701" t="s">
        <v>11610</v>
      </c>
      <c r="L21701">
        <v>0</v>
      </c>
      <c r="M21701">
        <v>0</v>
      </c>
      <c r="N21701">
        <v>0</v>
      </c>
    </row>
    <row r="21702" spans="1:15">
      <c r="A21702" t="s">
        <v>62389</v>
      </c>
      <c r="B21702" t="s">
        <v>12260</v>
      </c>
      <c r="C21702" t="s">
        <v>27209</v>
      </c>
      <c r="D21702" t="s">
        <v>62390</v>
      </c>
      <c r="E21702" t="b">
        <v>0</v>
      </c>
      <c r="F21702" t="s">
        <v>11624</v>
      </c>
      <c r="G21702">
        <v>70.162599999999998</v>
      </c>
      <c r="H21702">
        <v>83.740499999999997</v>
      </c>
      <c r="I21702" t="s">
        <v>62391</v>
      </c>
      <c r="L21702">
        <v>0</v>
      </c>
      <c r="M21702">
        <v>0</v>
      </c>
      <c r="N21702">
        <v>0</v>
      </c>
      <c r="O21702" t="s">
        <v>12748</v>
      </c>
    </row>
    <row r="21703" spans="1:15">
      <c r="A21703" t="s">
        <v>62392</v>
      </c>
      <c r="B21703" t="s">
        <v>12260</v>
      </c>
      <c r="C21703" t="s">
        <v>3373</v>
      </c>
      <c r="D21703" t="s">
        <v>62393</v>
      </c>
      <c r="E21703" t="b">
        <v>0</v>
      </c>
      <c r="F21703" t="s">
        <v>11610</v>
      </c>
      <c r="L21703">
        <v>0</v>
      </c>
      <c r="M21703">
        <v>0</v>
      </c>
      <c r="N21703">
        <v>0</v>
      </c>
    </row>
    <row r="21704" spans="1:15">
      <c r="A21704" t="s">
        <v>62394</v>
      </c>
      <c r="B21704" t="s">
        <v>6742</v>
      </c>
      <c r="C21704" t="s">
        <v>4066</v>
      </c>
      <c r="D21704" t="s">
        <v>62395</v>
      </c>
      <c r="E21704" t="b">
        <v>0</v>
      </c>
      <c r="F21704" t="s">
        <v>11610</v>
      </c>
      <c r="L21704">
        <v>0</v>
      </c>
      <c r="M21704">
        <v>0</v>
      </c>
      <c r="N21704">
        <v>0</v>
      </c>
    </row>
    <row r="21705" spans="1:15">
      <c r="A21705" t="s">
        <v>62396</v>
      </c>
      <c r="B21705" t="s">
        <v>21516</v>
      </c>
      <c r="C21705" t="s">
        <v>39465</v>
      </c>
      <c r="D21705" t="s">
        <v>62397</v>
      </c>
      <c r="E21705" t="b">
        <v>0</v>
      </c>
      <c r="F21705" t="s">
        <v>11610</v>
      </c>
      <c r="L21705">
        <v>0</v>
      </c>
      <c r="M21705">
        <v>0</v>
      </c>
      <c r="N21705">
        <v>0</v>
      </c>
    </row>
    <row r="21706" spans="1:15">
      <c r="A21706" t="s">
        <v>62398</v>
      </c>
      <c r="B21706" t="s">
        <v>11627</v>
      </c>
      <c r="C21706" t="s">
        <v>11627</v>
      </c>
      <c r="D21706" t="s">
        <v>62399</v>
      </c>
      <c r="E21706" t="b">
        <v>1</v>
      </c>
      <c r="F21706" t="s">
        <v>11624</v>
      </c>
      <c r="G21706">
        <v>4.75</v>
      </c>
      <c r="H21706">
        <v>10.67</v>
      </c>
      <c r="I21706" t="s">
        <v>62400</v>
      </c>
      <c r="L21706">
        <v>0</v>
      </c>
      <c r="M21706">
        <v>0</v>
      </c>
      <c r="N21706">
        <v>0</v>
      </c>
      <c r="O21706" t="s">
        <v>11703</v>
      </c>
    </row>
    <row r="21707" spans="1:15">
      <c r="A21707" t="s">
        <v>13887</v>
      </c>
      <c r="B21707" t="s">
        <v>6455</v>
      </c>
      <c r="C21707" t="s">
        <v>17096</v>
      </c>
      <c r="D21707" t="s">
        <v>62401</v>
      </c>
      <c r="E21707" t="b">
        <v>0</v>
      </c>
      <c r="F21707" t="s">
        <v>11622</v>
      </c>
      <c r="L21707">
        <v>0</v>
      </c>
      <c r="M21707">
        <v>4</v>
      </c>
      <c r="N21707">
        <v>0</v>
      </c>
    </row>
    <row r="21708" spans="1:15">
      <c r="A21708" t="s">
        <v>27034</v>
      </c>
      <c r="B21708" t="s">
        <v>6742</v>
      </c>
      <c r="C21708" t="s">
        <v>42505</v>
      </c>
      <c r="D21708" t="s">
        <v>62402</v>
      </c>
      <c r="E21708" t="b">
        <v>0</v>
      </c>
      <c r="F21708" t="s">
        <v>11624</v>
      </c>
      <c r="G21708">
        <v>4.75</v>
      </c>
      <c r="H21708">
        <v>10.67</v>
      </c>
      <c r="I21708" t="s">
        <v>62403</v>
      </c>
      <c r="L21708">
        <v>0</v>
      </c>
      <c r="M21708">
        <v>0</v>
      </c>
      <c r="N21708">
        <v>8</v>
      </c>
      <c r="O21708" t="s">
        <v>11703</v>
      </c>
    </row>
    <row r="21709" spans="1:15">
      <c r="A21709" t="s">
        <v>12686</v>
      </c>
      <c r="D21709" t="s">
        <v>62404</v>
      </c>
      <c r="E21709" t="b">
        <v>0</v>
      </c>
      <c r="F21709" t="s">
        <v>11622</v>
      </c>
      <c r="L21709">
        <v>8</v>
      </c>
      <c r="M21709">
        <v>13</v>
      </c>
      <c r="N21709">
        <v>51</v>
      </c>
    </row>
    <row r="21710" spans="1:15">
      <c r="A21710" t="s">
        <v>62405</v>
      </c>
      <c r="B21710" t="s">
        <v>6742</v>
      </c>
      <c r="C21710" t="s">
        <v>34508</v>
      </c>
      <c r="D21710" t="s">
        <v>62406</v>
      </c>
      <c r="E21710" t="b">
        <v>0</v>
      </c>
      <c r="F21710" t="s">
        <v>11610</v>
      </c>
      <c r="L21710">
        <v>0</v>
      </c>
      <c r="M21710">
        <v>0</v>
      </c>
      <c r="N21710">
        <v>0</v>
      </c>
    </row>
    <row r="21711" spans="1:15">
      <c r="A21711" t="s">
        <v>62407</v>
      </c>
      <c r="B21711" t="s">
        <v>6742</v>
      </c>
      <c r="C21711" t="s">
        <v>23768</v>
      </c>
      <c r="D21711" t="s">
        <v>62408</v>
      </c>
      <c r="E21711" t="b">
        <v>0</v>
      </c>
      <c r="F21711" t="s">
        <v>11610</v>
      </c>
      <c r="L21711">
        <v>0</v>
      </c>
      <c r="M21711">
        <v>0</v>
      </c>
      <c r="N21711">
        <v>0</v>
      </c>
    </row>
    <row r="21712" spans="1:15">
      <c r="A21712" t="s">
        <v>62409</v>
      </c>
      <c r="B21712" t="s">
        <v>6742</v>
      </c>
      <c r="C21712" t="s">
        <v>18031</v>
      </c>
      <c r="D21712" t="s">
        <v>62410</v>
      </c>
      <c r="E21712" t="b">
        <v>0</v>
      </c>
      <c r="F21712" t="s">
        <v>11610</v>
      </c>
      <c r="L21712">
        <v>0</v>
      </c>
      <c r="M21712">
        <v>0</v>
      </c>
      <c r="N21712">
        <v>0</v>
      </c>
    </row>
    <row r="21713" spans="1:15">
      <c r="A21713" t="s">
        <v>62411</v>
      </c>
      <c r="B21713" t="s">
        <v>6742</v>
      </c>
      <c r="C21713" t="s">
        <v>38946</v>
      </c>
      <c r="D21713" t="s">
        <v>62412</v>
      </c>
      <c r="E21713" t="b">
        <v>0</v>
      </c>
      <c r="F21713" t="s">
        <v>11610</v>
      </c>
      <c r="L21713">
        <v>0</v>
      </c>
      <c r="M21713">
        <v>0</v>
      </c>
      <c r="N21713">
        <v>0</v>
      </c>
    </row>
    <row r="21714" spans="1:15">
      <c r="A21714" t="s">
        <v>62413</v>
      </c>
      <c r="B21714" t="s">
        <v>367</v>
      </c>
      <c r="C21714" t="s">
        <v>16048</v>
      </c>
      <c r="D21714" t="s">
        <v>62414</v>
      </c>
      <c r="E21714" t="b">
        <v>0</v>
      </c>
      <c r="F21714" t="s">
        <v>11610</v>
      </c>
      <c r="L21714">
        <v>0</v>
      </c>
      <c r="M21714">
        <v>0</v>
      </c>
      <c r="N21714">
        <v>0</v>
      </c>
    </row>
    <row r="21715" spans="1:15">
      <c r="A21715" t="s">
        <v>62415</v>
      </c>
      <c r="B21715" t="s">
        <v>367</v>
      </c>
      <c r="C21715" t="s">
        <v>16048</v>
      </c>
      <c r="D21715" t="s">
        <v>62416</v>
      </c>
      <c r="E21715" t="b">
        <v>0</v>
      </c>
      <c r="F21715" t="s">
        <v>11610</v>
      </c>
      <c r="L21715">
        <v>0</v>
      </c>
      <c r="M21715">
        <v>0</v>
      </c>
      <c r="N21715">
        <v>0</v>
      </c>
    </row>
    <row r="21716" spans="1:15">
      <c r="A21716" t="s">
        <v>62417</v>
      </c>
      <c r="B21716" t="s">
        <v>367</v>
      </c>
      <c r="C21716" t="s">
        <v>35075</v>
      </c>
      <c r="D21716" t="s">
        <v>62418</v>
      </c>
      <c r="E21716" t="b">
        <v>0</v>
      </c>
      <c r="F21716" t="s">
        <v>11624</v>
      </c>
      <c r="G21716">
        <v>-2.5218799999999999</v>
      </c>
      <c r="H21716">
        <v>150.19800000000001</v>
      </c>
      <c r="I21716" t="s">
        <v>62419</v>
      </c>
      <c r="L21716">
        <v>0</v>
      </c>
      <c r="M21716">
        <v>0</v>
      </c>
      <c r="N21716">
        <v>0</v>
      </c>
      <c r="O21716" t="s">
        <v>11660</v>
      </c>
    </row>
    <row r="21717" spans="1:15">
      <c r="A21717" t="s">
        <v>62420</v>
      </c>
      <c r="B21717" t="s">
        <v>367</v>
      </c>
      <c r="C21717" t="s">
        <v>33884</v>
      </c>
      <c r="D21717" t="s">
        <v>62421</v>
      </c>
      <c r="E21717" t="b">
        <v>0</v>
      </c>
      <c r="F21717" t="s">
        <v>11610</v>
      </c>
      <c r="L21717">
        <v>0</v>
      </c>
      <c r="M21717">
        <v>0</v>
      </c>
      <c r="N21717">
        <v>0</v>
      </c>
    </row>
    <row r="21718" spans="1:15">
      <c r="A21718" t="s">
        <v>62422</v>
      </c>
      <c r="B21718" t="s">
        <v>367</v>
      </c>
      <c r="C21718" t="s">
        <v>4443</v>
      </c>
      <c r="D21718" t="s">
        <v>62423</v>
      </c>
      <c r="E21718" t="b">
        <v>0</v>
      </c>
      <c r="F21718" t="s">
        <v>11610</v>
      </c>
      <c r="L21718">
        <v>0</v>
      </c>
      <c r="M21718">
        <v>0</v>
      </c>
      <c r="N21718">
        <v>0</v>
      </c>
    </row>
    <row r="21719" spans="1:15">
      <c r="A21719" t="s">
        <v>62424</v>
      </c>
      <c r="B21719" t="s">
        <v>15142</v>
      </c>
      <c r="C21719" t="s">
        <v>20449</v>
      </c>
      <c r="D21719" t="s">
        <v>62425</v>
      </c>
      <c r="E21719" t="b">
        <v>0</v>
      </c>
      <c r="F21719" t="s">
        <v>11624</v>
      </c>
      <c r="G21719">
        <v>-3.3746200000000002</v>
      </c>
      <c r="H21719">
        <v>135.55099999999999</v>
      </c>
      <c r="I21719" t="s">
        <v>62426</v>
      </c>
      <c r="L21719">
        <v>0</v>
      </c>
      <c r="M21719">
        <v>0</v>
      </c>
      <c r="N21719">
        <v>0</v>
      </c>
      <c r="O21719" t="s">
        <v>11768</v>
      </c>
    </row>
    <row r="21720" spans="1:15">
      <c r="A21720" t="s">
        <v>35075</v>
      </c>
      <c r="B21720" t="s">
        <v>367</v>
      </c>
      <c r="C21720" t="s">
        <v>41517</v>
      </c>
      <c r="D21720" t="s">
        <v>62427</v>
      </c>
      <c r="E21720" t="b">
        <v>0</v>
      </c>
      <c r="F21720" t="s">
        <v>11622</v>
      </c>
      <c r="L21720">
        <v>0</v>
      </c>
      <c r="M21720">
        <v>6</v>
      </c>
      <c r="N21720">
        <v>9</v>
      </c>
    </row>
    <row r="21721" spans="1:15">
      <c r="A21721" t="s">
        <v>62428</v>
      </c>
      <c r="B21721" t="s">
        <v>11981</v>
      </c>
      <c r="C21721" t="s">
        <v>32817</v>
      </c>
      <c r="D21721" t="s">
        <v>62429</v>
      </c>
      <c r="E21721" t="b">
        <v>0</v>
      </c>
      <c r="F21721" t="s">
        <v>11624</v>
      </c>
      <c r="G21721">
        <v>36.495620000000002</v>
      </c>
      <c r="H21721">
        <v>10.033480000000001</v>
      </c>
      <c r="I21721" t="s">
        <v>62430</v>
      </c>
      <c r="L21721">
        <v>0</v>
      </c>
      <c r="M21721">
        <v>0</v>
      </c>
      <c r="N21721">
        <v>0</v>
      </c>
      <c r="O21721" t="s">
        <v>40243</v>
      </c>
    </row>
    <row r="21722" spans="1:15">
      <c r="A21722" t="s">
        <v>52807</v>
      </c>
      <c r="B21722" t="s">
        <v>6742</v>
      </c>
      <c r="C21722" t="s">
        <v>19964</v>
      </c>
      <c r="D21722" t="s">
        <v>62431</v>
      </c>
      <c r="E21722" t="b">
        <v>0</v>
      </c>
      <c r="F21722" t="s">
        <v>11624</v>
      </c>
      <c r="G21722">
        <v>9.4250600000000002</v>
      </c>
      <c r="H21722">
        <v>18.2059</v>
      </c>
      <c r="I21722" t="s">
        <v>62432</v>
      </c>
      <c r="L21722">
        <v>0</v>
      </c>
      <c r="M21722">
        <v>0</v>
      </c>
      <c r="N21722">
        <v>2</v>
      </c>
      <c r="O21722" t="s">
        <v>13421</v>
      </c>
    </row>
    <row r="21723" spans="1:15">
      <c r="A21723" t="s">
        <v>62433</v>
      </c>
      <c r="D21723" t="s">
        <v>62434</v>
      </c>
      <c r="E21723" t="b">
        <v>0</v>
      </c>
      <c r="F21723" t="s">
        <v>11624</v>
      </c>
      <c r="G21723">
        <v>30.988800000000001</v>
      </c>
      <c r="H21723">
        <v>-92.540300000000002</v>
      </c>
      <c r="I21723" t="s">
        <v>62435</v>
      </c>
      <c r="L21723">
        <v>0</v>
      </c>
      <c r="M21723">
        <v>0</v>
      </c>
      <c r="N21723">
        <v>0</v>
      </c>
      <c r="O21723" t="s">
        <v>11944</v>
      </c>
    </row>
    <row r="21724" spans="1:15">
      <c r="A21724" t="s">
        <v>48960</v>
      </c>
      <c r="B21724" t="s">
        <v>11607</v>
      </c>
      <c r="C21724" t="s">
        <v>13031</v>
      </c>
      <c r="D21724" t="s">
        <v>62436</v>
      </c>
      <c r="E21724" t="b">
        <v>0</v>
      </c>
      <c r="F21724" t="s">
        <v>11624</v>
      </c>
      <c r="G21724">
        <v>33.796599999999998</v>
      </c>
      <c r="H21724">
        <v>9.5615600000000001</v>
      </c>
      <c r="I21724" t="s">
        <v>62437</v>
      </c>
      <c r="L21724">
        <v>0</v>
      </c>
      <c r="M21724">
        <v>0</v>
      </c>
      <c r="N21724">
        <v>6</v>
      </c>
      <c r="O21724" t="s">
        <v>29119</v>
      </c>
    </row>
    <row r="21725" spans="1:15">
      <c r="A21725" t="s">
        <v>587</v>
      </c>
      <c r="B21725" t="s">
        <v>11607</v>
      </c>
      <c r="C21725" t="s">
        <v>48960</v>
      </c>
      <c r="D21725" t="s">
        <v>62438</v>
      </c>
      <c r="E21725" t="b">
        <v>0</v>
      </c>
      <c r="F21725" t="s">
        <v>11610</v>
      </c>
      <c r="L21725">
        <v>0</v>
      </c>
      <c r="M21725">
        <v>0</v>
      </c>
      <c r="N21725">
        <v>0</v>
      </c>
    </row>
    <row r="21726" spans="1:15">
      <c r="A21726" t="s">
        <v>62439</v>
      </c>
      <c r="B21726" t="s">
        <v>11607</v>
      </c>
      <c r="C21726" t="s">
        <v>33724</v>
      </c>
      <c r="D21726" t="s">
        <v>62440</v>
      </c>
      <c r="E21726" t="b">
        <v>0</v>
      </c>
      <c r="F21726" t="s">
        <v>11610</v>
      </c>
      <c r="L21726">
        <v>0</v>
      </c>
      <c r="M21726">
        <v>0</v>
      </c>
      <c r="N21726">
        <v>0</v>
      </c>
    </row>
    <row r="21727" spans="1:15">
      <c r="A21727" t="s">
        <v>62441</v>
      </c>
      <c r="B21727" t="s">
        <v>11607</v>
      </c>
      <c r="C21727" t="s">
        <v>22415</v>
      </c>
      <c r="D21727" t="s">
        <v>62442</v>
      </c>
      <c r="E21727" t="b">
        <v>0</v>
      </c>
      <c r="F21727" t="s">
        <v>11624</v>
      </c>
      <c r="G21727">
        <v>32.863858999999998</v>
      </c>
      <c r="H21727">
        <v>11.299621</v>
      </c>
      <c r="L21727">
        <v>0</v>
      </c>
      <c r="M21727">
        <v>0</v>
      </c>
      <c r="N21727">
        <v>0</v>
      </c>
      <c r="O21727" t="s">
        <v>40243</v>
      </c>
    </row>
    <row r="21728" spans="1:15">
      <c r="A21728" t="s">
        <v>49886</v>
      </c>
      <c r="B21728" t="s">
        <v>367</v>
      </c>
      <c r="C21728" t="s">
        <v>13530</v>
      </c>
      <c r="D21728" t="s">
        <v>62443</v>
      </c>
      <c r="E21728" t="b">
        <v>0</v>
      </c>
      <c r="F21728" t="s">
        <v>11624</v>
      </c>
      <c r="G21728">
        <v>-0.29048000000000002</v>
      </c>
      <c r="H21728">
        <v>115.883</v>
      </c>
      <c r="I21728" t="s">
        <v>62444</v>
      </c>
      <c r="L21728">
        <v>0</v>
      </c>
      <c r="M21728">
        <v>0</v>
      </c>
      <c r="N21728">
        <v>4</v>
      </c>
      <c r="O21728" t="s">
        <v>11768</v>
      </c>
    </row>
    <row r="21729" spans="1:15">
      <c r="A21729" t="s">
        <v>62445</v>
      </c>
      <c r="B21729" t="s">
        <v>367</v>
      </c>
      <c r="C21729" t="s">
        <v>49886</v>
      </c>
      <c r="D21729" t="s">
        <v>62446</v>
      </c>
      <c r="E21729" t="b">
        <v>0</v>
      </c>
      <c r="F21729" t="s">
        <v>11610</v>
      </c>
      <c r="L21729">
        <v>0</v>
      </c>
      <c r="M21729">
        <v>0</v>
      </c>
      <c r="N21729">
        <v>0</v>
      </c>
    </row>
    <row r="21730" spans="1:15">
      <c r="A21730" t="s">
        <v>62447</v>
      </c>
      <c r="B21730" t="s">
        <v>367</v>
      </c>
      <c r="C21730" t="s">
        <v>49886</v>
      </c>
      <c r="D21730" t="s">
        <v>62448</v>
      </c>
      <c r="E21730" t="b">
        <v>0</v>
      </c>
      <c r="F21730" t="s">
        <v>11610</v>
      </c>
      <c r="L21730">
        <v>0</v>
      </c>
      <c r="M21730">
        <v>0</v>
      </c>
      <c r="N21730">
        <v>0</v>
      </c>
    </row>
    <row r="21731" spans="1:15">
      <c r="A21731" t="s">
        <v>62449</v>
      </c>
      <c r="B21731" t="s">
        <v>12250</v>
      </c>
      <c r="C21731" t="s">
        <v>2129</v>
      </c>
      <c r="D21731" t="s">
        <v>62450</v>
      </c>
      <c r="E21731" t="b">
        <v>0</v>
      </c>
      <c r="F21731" t="s">
        <v>11610</v>
      </c>
      <c r="L21731">
        <v>0</v>
      </c>
      <c r="M21731">
        <v>0</v>
      </c>
      <c r="N21731">
        <v>0</v>
      </c>
    </row>
    <row r="21732" spans="1:15">
      <c r="A21732" t="s">
        <v>62451</v>
      </c>
      <c r="B21732" t="s">
        <v>11607</v>
      </c>
      <c r="C21732" t="s">
        <v>23737</v>
      </c>
      <c r="D21732" t="s">
        <v>62452</v>
      </c>
      <c r="E21732" t="b">
        <v>0</v>
      </c>
      <c r="F21732" t="s">
        <v>11624</v>
      </c>
      <c r="G21732">
        <v>1.0616699999999999</v>
      </c>
      <c r="H21732">
        <v>43.684699999999999</v>
      </c>
      <c r="I21732" t="s">
        <v>62453</v>
      </c>
      <c r="L21732">
        <v>0</v>
      </c>
      <c r="M21732">
        <v>0</v>
      </c>
      <c r="N21732">
        <v>0</v>
      </c>
      <c r="O21732" t="s">
        <v>19538</v>
      </c>
    </row>
    <row r="21733" spans="1:15">
      <c r="A21733" t="s">
        <v>62454</v>
      </c>
      <c r="B21733" t="s">
        <v>367</v>
      </c>
      <c r="C21733" t="s">
        <v>11928</v>
      </c>
      <c r="D21733" t="s">
        <v>62455</v>
      </c>
      <c r="E21733" t="b">
        <v>0</v>
      </c>
      <c r="F21733" t="s">
        <v>11610</v>
      </c>
      <c r="L21733">
        <v>0</v>
      </c>
      <c r="M21733">
        <v>0</v>
      </c>
      <c r="N21733">
        <v>0</v>
      </c>
    </row>
    <row r="21734" spans="1:15">
      <c r="A21734" t="s">
        <v>630</v>
      </c>
      <c r="B21734" t="s">
        <v>13014</v>
      </c>
      <c r="C21734" t="s">
        <v>629</v>
      </c>
      <c r="D21734" t="s">
        <v>62456</v>
      </c>
      <c r="E21734" t="b">
        <v>0</v>
      </c>
      <c r="F21734" t="s">
        <v>11624</v>
      </c>
      <c r="G21734">
        <v>65.613611000000006</v>
      </c>
      <c r="H21734">
        <v>-37.631110999999997</v>
      </c>
      <c r="L21734">
        <v>0</v>
      </c>
      <c r="M21734">
        <v>0</v>
      </c>
      <c r="N21734">
        <v>0</v>
      </c>
      <c r="O21734" t="s">
        <v>62457</v>
      </c>
    </row>
    <row r="21735" spans="1:15">
      <c r="A21735" t="s">
        <v>62458</v>
      </c>
      <c r="B21735" t="s">
        <v>13014</v>
      </c>
      <c r="C21735" t="s">
        <v>15774</v>
      </c>
      <c r="D21735" t="s">
        <v>62459</v>
      </c>
      <c r="E21735" t="b">
        <v>0</v>
      </c>
      <c r="F21735" t="s">
        <v>11610</v>
      </c>
      <c r="L21735">
        <v>0</v>
      </c>
      <c r="M21735">
        <v>0</v>
      </c>
      <c r="N21735">
        <v>0</v>
      </c>
    </row>
    <row r="21736" spans="1:15">
      <c r="A21736" t="s">
        <v>62460</v>
      </c>
      <c r="B21736" t="s">
        <v>11644</v>
      </c>
      <c r="C21736" t="s">
        <v>31566</v>
      </c>
      <c r="D21736" t="s">
        <v>62461</v>
      </c>
      <c r="E21736" t="b">
        <v>0</v>
      </c>
      <c r="F21736" t="s">
        <v>11610</v>
      </c>
      <c r="G21736">
        <v>29.720161600000001</v>
      </c>
      <c r="H21736">
        <v>118.22943650000001</v>
      </c>
      <c r="L21736">
        <v>0</v>
      </c>
      <c r="M21736">
        <v>0</v>
      </c>
      <c r="N21736">
        <v>0</v>
      </c>
    </row>
    <row r="21737" spans="1:15">
      <c r="A21737" t="s">
        <v>62462</v>
      </c>
      <c r="B21737" t="s">
        <v>6742</v>
      </c>
      <c r="C21737" t="s">
        <v>52807</v>
      </c>
      <c r="D21737" t="s">
        <v>62463</v>
      </c>
      <c r="E21737" t="b">
        <v>0</v>
      </c>
      <c r="F21737" t="s">
        <v>11610</v>
      </c>
      <c r="L21737">
        <v>0</v>
      </c>
      <c r="M21737">
        <v>0</v>
      </c>
      <c r="N21737">
        <v>0</v>
      </c>
    </row>
    <row r="21738" spans="1:15">
      <c r="A21738" t="s">
        <v>62464</v>
      </c>
      <c r="B21738" t="s">
        <v>6742</v>
      </c>
      <c r="C21738" t="s">
        <v>19805</v>
      </c>
      <c r="D21738" t="s">
        <v>62465</v>
      </c>
      <c r="E21738" t="b">
        <v>0</v>
      </c>
      <c r="F21738" t="s">
        <v>11624</v>
      </c>
      <c r="G21738">
        <v>9.115793</v>
      </c>
      <c r="H21738">
        <v>10.029445000000001</v>
      </c>
      <c r="I21738" t="s">
        <v>62466</v>
      </c>
      <c r="L21738">
        <v>0</v>
      </c>
      <c r="M21738">
        <v>0</v>
      </c>
      <c r="N21738">
        <v>0</v>
      </c>
      <c r="O21738" t="s">
        <v>11693</v>
      </c>
    </row>
    <row r="21739" spans="1:15">
      <c r="A21739" t="s">
        <v>62467</v>
      </c>
      <c r="B21739" t="s">
        <v>6742</v>
      </c>
      <c r="C21739" t="s">
        <v>36008</v>
      </c>
      <c r="D21739" t="s">
        <v>62468</v>
      </c>
      <c r="E21739" t="b">
        <v>0</v>
      </c>
      <c r="F21739" t="s">
        <v>11610</v>
      </c>
      <c r="L21739">
        <v>0</v>
      </c>
      <c r="M21739">
        <v>0</v>
      </c>
      <c r="N21739">
        <v>0</v>
      </c>
    </row>
    <row r="21740" spans="1:15">
      <c r="A21740" t="s">
        <v>62469</v>
      </c>
      <c r="B21740" t="s">
        <v>11644</v>
      </c>
      <c r="C21740" t="s">
        <v>18520</v>
      </c>
      <c r="D21740" t="s">
        <v>62470</v>
      </c>
      <c r="E21740" t="b">
        <v>0</v>
      </c>
      <c r="F21740" t="s">
        <v>11610</v>
      </c>
      <c r="L21740">
        <v>0</v>
      </c>
      <c r="M21740">
        <v>0</v>
      </c>
      <c r="N21740">
        <v>0</v>
      </c>
    </row>
    <row r="21741" spans="1:15">
      <c r="A21741" t="s">
        <v>62471</v>
      </c>
      <c r="B21741" t="s">
        <v>12697</v>
      </c>
      <c r="C21741" t="s">
        <v>14175</v>
      </c>
      <c r="D21741" t="s">
        <v>62472</v>
      </c>
      <c r="E21741" t="b">
        <v>0</v>
      </c>
      <c r="F21741" t="s">
        <v>11610</v>
      </c>
      <c r="L21741">
        <v>0</v>
      </c>
      <c r="M21741">
        <v>0</v>
      </c>
      <c r="N21741">
        <v>0</v>
      </c>
    </row>
    <row r="21742" spans="1:15">
      <c r="A21742" t="s">
        <v>62473</v>
      </c>
      <c r="B21742" t="s">
        <v>11644</v>
      </c>
      <c r="C21742" t="s">
        <v>33595</v>
      </c>
      <c r="D21742" t="s">
        <v>62474</v>
      </c>
      <c r="E21742" t="b">
        <v>0</v>
      </c>
      <c r="F21742" t="s">
        <v>11610</v>
      </c>
      <c r="L21742">
        <v>0</v>
      </c>
      <c r="M21742">
        <v>0</v>
      </c>
      <c r="N21742">
        <v>0</v>
      </c>
    </row>
    <row r="21743" spans="1:15">
      <c r="A21743" t="s">
        <v>62475</v>
      </c>
      <c r="B21743" t="s">
        <v>6742</v>
      </c>
      <c r="C21743" t="s">
        <v>42506</v>
      </c>
      <c r="D21743" t="s">
        <v>62476</v>
      </c>
      <c r="E21743" t="b">
        <v>0</v>
      </c>
      <c r="F21743" t="s">
        <v>11624</v>
      </c>
      <c r="G21743">
        <v>4.6562599999999996</v>
      </c>
      <c r="H21743">
        <v>10.6592</v>
      </c>
      <c r="I21743" t="s">
        <v>62477</v>
      </c>
      <c r="L21743">
        <v>0</v>
      </c>
      <c r="M21743">
        <v>0</v>
      </c>
      <c r="N21743">
        <v>0</v>
      </c>
      <c r="O21743" t="s">
        <v>11703</v>
      </c>
    </row>
    <row r="21744" spans="1:15">
      <c r="A21744" t="s">
        <v>62478</v>
      </c>
      <c r="B21744" t="s">
        <v>11912</v>
      </c>
      <c r="C21744" t="s">
        <v>12851</v>
      </c>
      <c r="D21744" t="s">
        <v>62479</v>
      </c>
      <c r="E21744" t="b">
        <v>0</v>
      </c>
      <c r="F21744" t="s">
        <v>11624</v>
      </c>
      <c r="G21744">
        <v>-11.888400000000001</v>
      </c>
      <c r="H21744">
        <v>-62.254399999999997</v>
      </c>
      <c r="I21744" t="s">
        <v>62480</v>
      </c>
      <c r="L21744">
        <v>0</v>
      </c>
      <c r="M21744">
        <v>0</v>
      </c>
      <c r="N21744">
        <v>0</v>
      </c>
      <c r="O21744" t="s">
        <v>11969</v>
      </c>
    </row>
    <row r="21745" spans="1:15">
      <c r="A21745" t="s">
        <v>41980</v>
      </c>
      <c r="B21745" t="s">
        <v>11912</v>
      </c>
      <c r="C21745" t="s">
        <v>11912</v>
      </c>
      <c r="D21745" t="s">
        <v>62481</v>
      </c>
      <c r="E21745" t="b">
        <v>0</v>
      </c>
      <c r="F21745" t="s">
        <v>11622</v>
      </c>
      <c r="L21745">
        <v>2</v>
      </c>
      <c r="M21745">
        <v>6</v>
      </c>
      <c r="N21745">
        <v>0</v>
      </c>
    </row>
    <row r="21746" spans="1:15">
      <c r="A21746" t="s">
        <v>21246</v>
      </c>
      <c r="B21746" t="s">
        <v>393</v>
      </c>
      <c r="C21746" t="s">
        <v>393</v>
      </c>
      <c r="D21746" t="s">
        <v>62482</v>
      </c>
      <c r="E21746" t="b">
        <v>0</v>
      </c>
      <c r="F21746" t="s">
        <v>11622</v>
      </c>
      <c r="L21746">
        <v>0</v>
      </c>
      <c r="M21746">
        <v>2</v>
      </c>
      <c r="N21746">
        <v>0</v>
      </c>
    </row>
    <row r="21747" spans="1:15">
      <c r="A21747" t="s">
        <v>62483</v>
      </c>
      <c r="B21747" t="s">
        <v>11912</v>
      </c>
      <c r="C21747" t="s">
        <v>13490</v>
      </c>
      <c r="D21747" t="s">
        <v>62484</v>
      </c>
      <c r="E21747" t="b">
        <v>0</v>
      </c>
      <c r="F21747" t="s">
        <v>11610</v>
      </c>
      <c r="G21747">
        <v>-19</v>
      </c>
      <c r="H21747">
        <v>-40.416699999999999</v>
      </c>
      <c r="I21747" t="s">
        <v>62485</v>
      </c>
      <c r="L21747">
        <v>0</v>
      </c>
      <c r="M21747">
        <v>0</v>
      </c>
      <c r="N21747">
        <v>0</v>
      </c>
      <c r="O21747" t="s">
        <v>11969</v>
      </c>
    </row>
    <row r="21748" spans="1:15">
      <c r="A21748" t="s">
        <v>13490</v>
      </c>
      <c r="B21748" t="s">
        <v>11912</v>
      </c>
      <c r="C21748" t="s">
        <v>47642</v>
      </c>
      <c r="D21748" t="s">
        <v>62486</v>
      </c>
      <c r="E21748" t="b">
        <v>0</v>
      </c>
      <c r="F21748" t="s">
        <v>11624</v>
      </c>
      <c r="G21748">
        <v>-22.807777999999999</v>
      </c>
      <c r="H21748">
        <v>-42.106389</v>
      </c>
      <c r="I21748" t="s">
        <v>62487</v>
      </c>
      <c r="L21748">
        <v>0</v>
      </c>
      <c r="M21748">
        <v>0</v>
      </c>
      <c r="N21748">
        <v>11</v>
      </c>
      <c r="O21748" t="s">
        <v>11969</v>
      </c>
    </row>
    <row r="21749" spans="1:15">
      <c r="A21749" t="s">
        <v>62488</v>
      </c>
      <c r="B21749" t="s">
        <v>11912</v>
      </c>
      <c r="C21749" t="s">
        <v>47642</v>
      </c>
      <c r="D21749" t="s">
        <v>62489</v>
      </c>
      <c r="E21749" t="b">
        <v>0</v>
      </c>
      <c r="F21749" t="s">
        <v>11624</v>
      </c>
      <c r="G21749">
        <v>-23.95</v>
      </c>
      <c r="H21749">
        <v>-46.38</v>
      </c>
      <c r="I21749" t="s">
        <v>62490</v>
      </c>
      <c r="L21749">
        <v>0</v>
      </c>
      <c r="M21749">
        <v>0</v>
      </c>
      <c r="N21749">
        <v>0</v>
      </c>
      <c r="O21749" t="s">
        <v>11969</v>
      </c>
    </row>
    <row r="21750" spans="1:15">
      <c r="A21750" t="s">
        <v>11912</v>
      </c>
      <c r="D21750" t="s">
        <v>62491</v>
      </c>
      <c r="E21750" t="b">
        <v>0</v>
      </c>
      <c r="F21750" t="s">
        <v>11622</v>
      </c>
      <c r="L21750">
        <v>41</v>
      </c>
      <c r="M21750">
        <v>71</v>
      </c>
      <c r="N21750">
        <v>46</v>
      </c>
    </row>
    <row r="21751" spans="1:15">
      <c r="A21751" t="s">
        <v>34550</v>
      </c>
      <c r="B21751" t="s">
        <v>11912</v>
      </c>
      <c r="C21751" t="s">
        <v>15370</v>
      </c>
      <c r="D21751" t="s">
        <v>62492</v>
      </c>
      <c r="E21751" t="b">
        <v>0</v>
      </c>
      <c r="F21751" t="s">
        <v>11622</v>
      </c>
      <c r="L21751">
        <v>26</v>
      </c>
      <c r="M21751">
        <v>48</v>
      </c>
      <c r="N21751">
        <v>41</v>
      </c>
    </row>
    <row r="21752" spans="1:15">
      <c r="A21752" t="s">
        <v>11913</v>
      </c>
      <c r="B21752" t="s">
        <v>11912</v>
      </c>
      <c r="C21752" t="s">
        <v>58858</v>
      </c>
      <c r="D21752" t="s">
        <v>62493</v>
      </c>
      <c r="E21752" t="b">
        <v>0</v>
      </c>
      <c r="F21752" t="s">
        <v>11622</v>
      </c>
      <c r="L21752">
        <v>4</v>
      </c>
      <c r="M21752">
        <v>10</v>
      </c>
      <c r="N21752">
        <v>9</v>
      </c>
    </row>
    <row r="21753" spans="1:15">
      <c r="A21753" t="s">
        <v>29858</v>
      </c>
      <c r="B21753" t="s">
        <v>11912</v>
      </c>
      <c r="C21753" t="s">
        <v>58858</v>
      </c>
      <c r="D21753" t="s">
        <v>62494</v>
      </c>
      <c r="E21753" t="b">
        <v>0</v>
      </c>
      <c r="F21753" t="s">
        <v>11622</v>
      </c>
      <c r="L21753">
        <v>2</v>
      </c>
      <c r="M21753">
        <v>5</v>
      </c>
      <c r="N21753">
        <v>0</v>
      </c>
    </row>
    <row r="21754" spans="1:15">
      <c r="A21754" t="s">
        <v>60320</v>
      </c>
      <c r="B21754" t="s">
        <v>11912</v>
      </c>
      <c r="C21754" t="s">
        <v>34550</v>
      </c>
      <c r="D21754" t="s">
        <v>62495</v>
      </c>
      <c r="E21754" t="b">
        <v>0</v>
      </c>
      <c r="F21754" t="s">
        <v>11622</v>
      </c>
      <c r="L21754">
        <v>2</v>
      </c>
      <c r="M21754">
        <v>6</v>
      </c>
      <c r="N21754">
        <v>8</v>
      </c>
    </row>
    <row r="21755" spans="1:15">
      <c r="A21755" t="s">
        <v>35535</v>
      </c>
      <c r="B21755" t="s">
        <v>11912</v>
      </c>
      <c r="C21755" t="s">
        <v>34550</v>
      </c>
      <c r="D21755" t="s">
        <v>62496</v>
      </c>
      <c r="E21755" t="b">
        <v>0</v>
      </c>
      <c r="F21755" t="s">
        <v>11622</v>
      </c>
      <c r="L21755">
        <v>3</v>
      </c>
      <c r="M21755">
        <v>9</v>
      </c>
      <c r="N21755">
        <v>3</v>
      </c>
    </row>
    <row r="21756" spans="1:15">
      <c r="A21756" t="s">
        <v>29824</v>
      </c>
      <c r="B21756" t="s">
        <v>11912</v>
      </c>
      <c r="C21756" t="s">
        <v>34550</v>
      </c>
      <c r="D21756" t="s">
        <v>62497</v>
      </c>
      <c r="E21756" t="b">
        <v>0</v>
      </c>
      <c r="F21756" t="s">
        <v>11622</v>
      </c>
      <c r="L21756">
        <v>5</v>
      </c>
      <c r="M21756">
        <v>8</v>
      </c>
      <c r="N21756">
        <v>4</v>
      </c>
    </row>
    <row r="21757" spans="1:15">
      <c r="A21757" t="s">
        <v>43866</v>
      </c>
      <c r="B21757" t="s">
        <v>11912</v>
      </c>
      <c r="C21757" t="s">
        <v>11913</v>
      </c>
      <c r="D21757" t="s">
        <v>62498</v>
      </c>
      <c r="E21757" t="b">
        <v>0</v>
      </c>
      <c r="F21757" t="s">
        <v>11622</v>
      </c>
      <c r="L21757">
        <v>1</v>
      </c>
      <c r="M21757">
        <v>5</v>
      </c>
      <c r="N21757">
        <v>7</v>
      </c>
    </row>
    <row r="21758" spans="1:15">
      <c r="A21758" t="s">
        <v>22719</v>
      </c>
      <c r="B21758" t="s">
        <v>11912</v>
      </c>
      <c r="C21758" t="s">
        <v>11913</v>
      </c>
      <c r="D21758" t="s">
        <v>62499</v>
      </c>
      <c r="E21758" t="b">
        <v>0</v>
      </c>
      <c r="F21758" t="s">
        <v>11622</v>
      </c>
      <c r="L21758">
        <v>1</v>
      </c>
      <c r="M21758">
        <v>3</v>
      </c>
      <c r="N21758">
        <v>2</v>
      </c>
    </row>
    <row r="21759" spans="1:15">
      <c r="A21759" t="s">
        <v>52393</v>
      </c>
      <c r="B21759" t="s">
        <v>11912</v>
      </c>
      <c r="C21759" t="s">
        <v>60320</v>
      </c>
      <c r="D21759" t="s">
        <v>62500</v>
      </c>
      <c r="E21759" t="b">
        <v>0</v>
      </c>
      <c r="F21759" t="s">
        <v>11622</v>
      </c>
      <c r="L21759">
        <v>0</v>
      </c>
      <c r="M21759">
        <v>3</v>
      </c>
      <c r="N21759">
        <v>0</v>
      </c>
    </row>
    <row r="21760" spans="1:15">
      <c r="A21760" t="s">
        <v>60768</v>
      </c>
      <c r="B21760" t="s">
        <v>11912</v>
      </c>
      <c r="C21760" t="s">
        <v>60320</v>
      </c>
      <c r="D21760" t="s">
        <v>62501</v>
      </c>
      <c r="E21760" t="b">
        <v>0</v>
      </c>
      <c r="F21760" t="s">
        <v>11622</v>
      </c>
      <c r="L21760">
        <v>0</v>
      </c>
      <c r="M21760">
        <v>2</v>
      </c>
      <c r="N21760">
        <v>8</v>
      </c>
    </row>
    <row r="21761" spans="1:15">
      <c r="A21761" t="s">
        <v>45323</v>
      </c>
      <c r="B21761" t="s">
        <v>12241</v>
      </c>
      <c r="C21761" t="s">
        <v>12241</v>
      </c>
      <c r="D21761" t="s">
        <v>62502</v>
      </c>
      <c r="E21761" t="b">
        <v>0</v>
      </c>
      <c r="F21761" t="s">
        <v>11622</v>
      </c>
      <c r="L21761">
        <v>0</v>
      </c>
      <c r="M21761">
        <v>2</v>
      </c>
      <c r="N21761">
        <v>0</v>
      </c>
    </row>
    <row r="21762" spans="1:15">
      <c r="A21762" t="s">
        <v>47642</v>
      </c>
      <c r="B21762" t="s">
        <v>11912</v>
      </c>
      <c r="C21762" t="s">
        <v>58858</v>
      </c>
      <c r="D21762" t="s">
        <v>62503</v>
      </c>
      <c r="E21762" t="b">
        <v>0</v>
      </c>
      <c r="F21762" t="s">
        <v>11622</v>
      </c>
      <c r="L21762">
        <v>1</v>
      </c>
      <c r="M21762">
        <v>5</v>
      </c>
      <c r="N21762">
        <v>17</v>
      </c>
    </row>
    <row r="21763" spans="1:15">
      <c r="A21763" t="s">
        <v>62504</v>
      </c>
      <c r="B21763" t="s">
        <v>11912</v>
      </c>
      <c r="C21763" t="s">
        <v>13490</v>
      </c>
      <c r="D21763" t="s">
        <v>62505</v>
      </c>
      <c r="E21763" t="b">
        <v>0</v>
      </c>
      <c r="F21763" t="s">
        <v>11610</v>
      </c>
      <c r="L21763">
        <v>0</v>
      </c>
      <c r="M21763">
        <v>0</v>
      </c>
      <c r="N21763">
        <v>0</v>
      </c>
    </row>
    <row r="21764" spans="1:15">
      <c r="A21764" t="s">
        <v>62506</v>
      </c>
      <c r="B21764" t="s">
        <v>11912</v>
      </c>
      <c r="C21764" t="s">
        <v>13490</v>
      </c>
      <c r="D21764" t="s">
        <v>62507</v>
      </c>
      <c r="E21764" t="b">
        <v>0</v>
      </c>
      <c r="F21764" t="s">
        <v>11610</v>
      </c>
      <c r="L21764">
        <v>0</v>
      </c>
      <c r="M21764">
        <v>0</v>
      </c>
      <c r="N21764">
        <v>0</v>
      </c>
    </row>
    <row r="21765" spans="1:15">
      <c r="A21765" t="s">
        <v>62508</v>
      </c>
      <c r="B21765" t="s">
        <v>11912</v>
      </c>
      <c r="C21765" t="s">
        <v>13490</v>
      </c>
      <c r="D21765" t="s">
        <v>62509</v>
      </c>
      <c r="E21765" t="b">
        <v>0</v>
      </c>
      <c r="F21765" t="s">
        <v>11610</v>
      </c>
      <c r="L21765">
        <v>0</v>
      </c>
      <c r="M21765">
        <v>0</v>
      </c>
      <c r="N21765">
        <v>0</v>
      </c>
    </row>
    <row r="21766" spans="1:15">
      <c r="A21766" t="s">
        <v>62510</v>
      </c>
      <c r="B21766" t="s">
        <v>11912</v>
      </c>
      <c r="C21766" t="s">
        <v>13490</v>
      </c>
      <c r="D21766" t="s">
        <v>62511</v>
      </c>
      <c r="E21766" t="b">
        <v>0</v>
      </c>
      <c r="F21766" t="s">
        <v>11610</v>
      </c>
      <c r="L21766">
        <v>0</v>
      </c>
      <c r="M21766">
        <v>0</v>
      </c>
      <c r="N21766">
        <v>0</v>
      </c>
    </row>
    <row r="21767" spans="1:15">
      <c r="A21767" t="s">
        <v>62512</v>
      </c>
      <c r="B21767" t="s">
        <v>11912</v>
      </c>
      <c r="C21767" t="s">
        <v>13490</v>
      </c>
      <c r="D21767" t="s">
        <v>62513</v>
      </c>
      <c r="E21767" t="b">
        <v>0</v>
      </c>
      <c r="F21767" t="s">
        <v>11610</v>
      </c>
      <c r="L21767">
        <v>0</v>
      </c>
      <c r="M21767">
        <v>0</v>
      </c>
      <c r="N21767">
        <v>0</v>
      </c>
    </row>
    <row r="21768" spans="1:15">
      <c r="A21768" t="s">
        <v>2522</v>
      </c>
      <c r="B21768" t="s">
        <v>6742</v>
      </c>
      <c r="C21768" t="s">
        <v>42297</v>
      </c>
      <c r="D21768" t="s">
        <v>2521</v>
      </c>
      <c r="E21768" t="b">
        <v>0</v>
      </c>
      <c r="F21768" t="s">
        <v>11624</v>
      </c>
      <c r="G21768">
        <v>10.0144</v>
      </c>
      <c r="H21768">
        <v>14.8697</v>
      </c>
      <c r="I21768" t="s">
        <v>2523</v>
      </c>
      <c r="L21768">
        <v>0</v>
      </c>
      <c r="M21768">
        <v>0</v>
      </c>
      <c r="N21768">
        <v>4</v>
      </c>
      <c r="O21768" t="s">
        <v>29226</v>
      </c>
    </row>
    <row r="21769" spans="1:15">
      <c r="A21769" t="s">
        <v>42297</v>
      </c>
      <c r="B21769" t="s">
        <v>6742</v>
      </c>
      <c r="C21769" t="s">
        <v>23956</v>
      </c>
      <c r="D21769" t="s">
        <v>62514</v>
      </c>
      <c r="E21769" t="b">
        <v>0</v>
      </c>
      <c r="F21769" t="s">
        <v>11622</v>
      </c>
      <c r="L21769">
        <v>1</v>
      </c>
      <c r="M21769">
        <v>5</v>
      </c>
      <c r="N21769">
        <v>8</v>
      </c>
    </row>
    <row r="21770" spans="1:15">
      <c r="A21770" t="s">
        <v>62515</v>
      </c>
      <c r="B21770" t="s">
        <v>367</v>
      </c>
      <c r="C21770" t="s">
        <v>5401</v>
      </c>
      <c r="D21770" t="s">
        <v>62516</v>
      </c>
      <c r="E21770" t="b">
        <v>0</v>
      </c>
      <c r="F21770" t="s">
        <v>11610</v>
      </c>
      <c r="L21770">
        <v>0</v>
      </c>
      <c r="M21770">
        <v>0</v>
      </c>
      <c r="N21770">
        <v>0</v>
      </c>
    </row>
    <row r="21771" spans="1:15">
      <c r="A21771" t="s">
        <v>17101</v>
      </c>
      <c r="D21771" t="s">
        <v>62517</v>
      </c>
      <c r="E21771" t="b">
        <v>0</v>
      </c>
      <c r="F21771" t="s">
        <v>11622</v>
      </c>
      <c r="L21771">
        <v>1</v>
      </c>
      <c r="M21771">
        <v>4</v>
      </c>
      <c r="N21771">
        <v>5</v>
      </c>
    </row>
    <row r="21772" spans="1:15">
      <c r="A21772" t="s">
        <v>17102</v>
      </c>
      <c r="B21772" t="s">
        <v>17101</v>
      </c>
      <c r="C21772" t="s">
        <v>17101</v>
      </c>
      <c r="D21772" t="s">
        <v>62518</v>
      </c>
      <c r="E21772" t="b">
        <v>0</v>
      </c>
      <c r="F21772" t="s">
        <v>11622</v>
      </c>
      <c r="L21772">
        <v>0</v>
      </c>
      <c r="M21772">
        <v>3</v>
      </c>
      <c r="N21772">
        <v>5</v>
      </c>
    </row>
    <row r="21773" spans="1:15">
      <c r="A21773" t="s">
        <v>62519</v>
      </c>
      <c r="B21773" t="s">
        <v>23796</v>
      </c>
      <c r="C21773" t="s">
        <v>23796</v>
      </c>
      <c r="D21773" t="s">
        <v>62520</v>
      </c>
      <c r="E21773" t="b">
        <v>0</v>
      </c>
      <c r="F21773" t="s">
        <v>11624</v>
      </c>
      <c r="G21773">
        <v>-9.8357600000000005</v>
      </c>
      <c r="H21773">
        <v>149.56700000000001</v>
      </c>
      <c r="I21773" t="s">
        <v>62521</v>
      </c>
      <c r="L21773">
        <v>0</v>
      </c>
      <c r="M21773">
        <v>0</v>
      </c>
      <c r="N21773">
        <v>0</v>
      </c>
      <c r="O21773" t="s">
        <v>11660</v>
      </c>
    </row>
    <row r="21774" spans="1:15">
      <c r="A21774" t="s">
        <v>35943</v>
      </c>
      <c r="B21774" t="s">
        <v>14524</v>
      </c>
      <c r="C21774" t="s">
        <v>14524</v>
      </c>
      <c r="D21774" t="s">
        <v>62522</v>
      </c>
      <c r="E21774" t="b">
        <v>0</v>
      </c>
      <c r="F21774" t="s">
        <v>11622</v>
      </c>
      <c r="L21774">
        <v>0</v>
      </c>
      <c r="M21774">
        <v>2</v>
      </c>
      <c r="N21774">
        <v>1</v>
      </c>
    </row>
    <row r="21775" spans="1:15">
      <c r="A21775" t="s">
        <v>62523</v>
      </c>
      <c r="B21775" t="s">
        <v>11607</v>
      </c>
      <c r="C21775" t="s">
        <v>18605</v>
      </c>
      <c r="D21775" t="s">
        <v>62524</v>
      </c>
      <c r="E21775" t="b">
        <v>0</v>
      </c>
      <c r="F21775" t="s">
        <v>11610</v>
      </c>
      <c r="L21775">
        <v>0</v>
      </c>
      <c r="M21775">
        <v>0</v>
      </c>
      <c r="N21775">
        <v>0</v>
      </c>
    </row>
    <row r="21776" spans="1:15">
      <c r="A21776" t="s">
        <v>62525</v>
      </c>
      <c r="B21776" t="s">
        <v>331</v>
      </c>
      <c r="C21776" t="s">
        <v>21400</v>
      </c>
      <c r="D21776" t="s">
        <v>62526</v>
      </c>
      <c r="E21776" t="b">
        <v>0</v>
      </c>
      <c r="F21776" t="s">
        <v>11610</v>
      </c>
      <c r="L21776">
        <v>0</v>
      </c>
      <c r="M21776">
        <v>0</v>
      </c>
      <c r="N21776">
        <v>0</v>
      </c>
    </row>
    <row r="21777" spans="1:15">
      <c r="A21777" t="s">
        <v>62527</v>
      </c>
      <c r="B21777" t="s">
        <v>11637</v>
      </c>
      <c r="C21777" t="s">
        <v>4379</v>
      </c>
      <c r="D21777" t="s">
        <v>62528</v>
      </c>
      <c r="E21777" t="b">
        <v>0</v>
      </c>
      <c r="F21777" t="s">
        <v>11610</v>
      </c>
      <c r="L21777">
        <v>0</v>
      </c>
      <c r="M21777">
        <v>0</v>
      </c>
      <c r="N21777">
        <v>0</v>
      </c>
    </row>
    <row r="21778" spans="1:15">
      <c r="A21778" t="s">
        <v>62529</v>
      </c>
      <c r="B21778" t="s">
        <v>12438</v>
      </c>
      <c r="C21778" t="s">
        <v>14927</v>
      </c>
      <c r="D21778" t="s">
        <v>62530</v>
      </c>
      <c r="E21778" t="b">
        <v>0</v>
      </c>
      <c r="F21778" t="s">
        <v>11624</v>
      </c>
      <c r="G21778">
        <v>22.0122</v>
      </c>
      <c r="H21778">
        <v>84.471199999999996</v>
      </c>
      <c r="I21778" t="s">
        <v>62531</v>
      </c>
      <c r="L21778">
        <v>0</v>
      </c>
      <c r="M21778">
        <v>0</v>
      </c>
      <c r="N21778">
        <v>0</v>
      </c>
      <c r="O21778" t="s">
        <v>11630</v>
      </c>
    </row>
    <row r="21779" spans="1:15">
      <c r="A21779" t="s">
        <v>62532</v>
      </c>
      <c r="B21779" t="s">
        <v>11912</v>
      </c>
      <c r="C21779" t="s">
        <v>60768</v>
      </c>
      <c r="D21779" t="s">
        <v>62533</v>
      </c>
      <c r="E21779" t="b">
        <v>0</v>
      </c>
      <c r="F21779" t="s">
        <v>11624</v>
      </c>
      <c r="G21779">
        <v>-2</v>
      </c>
      <c r="H21779">
        <v>-49.5</v>
      </c>
      <c r="I21779" t="s">
        <v>62534</v>
      </c>
      <c r="L21779">
        <v>0</v>
      </c>
      <c r="M21779">
        <v>0</v>
      </c>
      <c r="N21779">
        <v>0</v>
      </c>
      <c r="O21779" t="s">
        <v>11969</v>
      </c>
    </row>
    <row r="21780" spans="1:15">
      <c r="A21780" t="s">
        <v>62535</v>
      </c>
      <c r="B21780" t="s">
        <v>13450</v>
      </c>
      <c r="C21780" t="s">
        <v>14248</v>
      </c>
      <c r="D21780" t="s">
        <v>62536</v>
      </c>
      <c r="E21780" t="b">
        <v>0</v>
      </c>
      <c r="F21780" t="s">
        <v>11624</v>
      </c>
      <c r="L21780">
        <v>0</v>
      </c>
      <c r="M21780">
        <v>0</v>
      </c>
      <c r="N21780">
        <v>0</v>
      </c>
      <c r="O21780" t="s">
        <v>13421</v>
      </c>
    </row>
    <row r="21781" spans="1:15">
      <c r="A21781" t="s">
        <v>62537</v>
      </c>
      <c r="B21781" t="s">
        <v>11981</v>
      </c>
      <c r="C21781" t="s">
        <v>12200</v>
      </c>
      <c r="D21781" t="s">
        <v>62538</v>
      </c>
      <c r="E21781" t="b">
        <v>0</v>
      </c>
      <c r="F21781" t="s">
        <v>11624</v>
      </c>
      <c r="G21781">
        <v>41.02675</v>
      </c>
      <c r="H21781">
        <v>28.855509999999999</v>
      </c>
      <c r="I21781" t="s">
        <v>62539</v>
      </c>
      <c r="L21781">
        <v>0</v>
      </c>
      <c r="M21781">
        <v>0</v>
      </c>
      <c r="N21781">
        <v>0</v>
      </c>
      <c r="O21781" t="s">
        <v>16254</v>
      </c>
    </row>
    <row r="21782" spans="1:15">
      <c r="A21782" t="s">
        <v>62540</v>
      </c>
      <c r="B21782" t="s">
        <v>331</v>
      </c>
      <c r="C21782" t="s">
        <v>21977</v>
      </c>
      <c r="D21782" t="s">
        <v>62541</v>
      </c>
      <c r="E21782" t="b">
        <v>0</v>
      </c>
      <c r="F21782" t="s">
        <v>11624</v>
      </c>
      <c r="G21782">
        <v>34.422400000000003</v>
      </c>
      <c r="H21782">
        <v>50.322200000000002</v>
      </c>
      <c r="I21782" t="s">
        <v>62542</v>
      </c>
      <c r="L21782">
        <v>0</v>
      </c>
      <c r="M21782">
        <v>0</v>
      </c>
      <c r="N21782">
        <v>0</v>
      </c>
      <c r="O21782" t="s">
        <v>13225</v>
      </c>
    </row>
    <row r="21783" spans="1:15">
      <c r="A21783" t="s">
        <v>332</v>
      </c>
      <c r="B21783" t="s">
        <v>331</v>
      </c>
      <c r="C21783" t="s">
        <v>25913</v>
      </c>
      <c r="D21783" t="s">
        <v>330</v>
      </c>
      <c r="E21783" t="b">
        <v>0</v>
      </c>
      <c r="F21783" t="s">
        <v>11624</v>
      </c>
      <c r="G21783">
        <v>37.087200000000003</v>
      </c>
      <c r="H21783">
        <v>59.175699999999999</v>
      </c>
      <c r="I21783" t="s">
        <v>5560</v>
      </c>
      <c r="L21783">
        <v>0</v>
      </c>
      <c r="M21783">
        <v>0</v>
      </c>
      <c r="N21783">
        <v>11</v>
      </c>
      <c r="O21783" t="s">
        <v>62543</v>
      </c>
    </row>
    <row r="21784" spans="1:15">
      <c r="A21784" t="s">
        <v>18086</v>
      </c>
      <c r="B21784" t="s">
        <v>6742</v>
      </c>
      <c r="C21784" t="s">
        <v>22061</v>
      </c>
      <c r="D21784" t="s">
        <v>62544</v>
      </c>
      <c r="E21784" t="b">
        <v>0</v>
      </c>
      <c r="F21784" t="s">
        <v>11624</v>
      </c>
      <c r="G21784">
        <v>10.711399999999999</v>
      </c>
      <c r="H21784">
        <v>-4.92082</v>
      </c>
      <c r="I21784" t="s">
        <v>62545</v>
      </c>
      <c r="L21784">
        <v>0</v>
      </c>
      <c r="M21784">
        <v>0</v>
      </c>
      <c r="N21784">
        <v>2</v>
      </c>
      <c r="O21784" t="s">
        <v>22064</v>
      </c>
    </row>
    <row r="21785" spans="1:15">
      <c r="A21785" t="s">
        <v>35069</v>
      </c>
      <c r="B21785" t="s">
        <v>11757</v>
      </c>
      <c r="C21785" t="s">
        <v>60969</v>
      </c>
      <c r="D21785" t="s">
        <v>62546</v>
      </c>
      <c r="E21785" t="b">
        <v>0</v>
      </c>
      <c r="F21785" t="s">
        <v>11622</v>
      </c>
      <c r="L21785">
        <v>0</v>
      </c>
      <c r="M21785">
        <v>4</v>
      </c>
      <c r="N21785">
        <v>8</v>
      </c>
    </row>
    <row r="21786" spans="1:15">
      <c r="A21786" t="s">
        <v>48607</v>
      </c>
      <c r="B21786" t="s">
        <v>11757</v>
      </c>
      <c r="C21786" t="s">
        <v>35069</v>
      </c>
      <c r="D21786" t="s">
        <v>62547</v>
      </c>
      <c r="E21786" t="b">
        <v>0</v>
      </c>
      <c r="F21786" t="s">
        <v>11624</v>
      </c>
      <c r="G21786">
        <v>4.3068799999999996</v>
      </c>
      <c r="H21786">
        <v>35.710099999999997</v>
      </c>
      <c r="I21786" t="s">
        <v>62548</v>
      </c>
      <c r="L21786">
        <v>0</v>
      </c>
      <c r="M21786">
        <v>0</v>
      </c>
      <c r="N21786">
        <v>2</v>
      </c>
      <c r="O21786" t="s">
        <v>62549</v>
      </c>
    </row>
    <row r="21787" spans="1:15">
      <c r="A21787" t="s">
        <v>62550</v>
      </c>
      <c r="B21787" t="s">
        <v>11637</v>
      </c>
      <c r="C21787" t="s">
        <v>15920</v>
      </c>
      <c r="D21787" t="s">
        <v>62551</v>
      </c>
      <c r="E21787" t="b">
        <v>0</v>
      </c>
      <c r="F21787" t="s">
        <v>11624</v>
      </c>
      <c r="G21787">
        <v>21.8078</v>
      </c>
      <c r="H21787">
        <v>-71.745099999999994</v>
      </c>
      <c r="I21787" t="s">
        <v>62552</v>
      </c>
      <c r="L21787">
        <v>0</v>
      </c>
      <c r="M21787">
        <v>0</v>
      </c>
      <c r="N21787">
        <v>0</v>
      </c>
      <c r="O21787" t="s">
        <v>62553</v>
      </c>
    </row>
    <row r="21788" spans="1:15">
      <c r="A21788" t="s">
        <v>331</v>
      </c>
      <c r="D21788" t="s">
        <v>62554</v>
      </c>
      <c r="E21788" t="b">
        <v>0</v>
      </c>
      <c r="F21788" t="s">
        <v>11622</v>
      </c>
      <c r="L21788">
        <v>27</v>
      </c>
      <c r="M21788">
        <v>44</v>
      </c>
      <c r="N21788">
        <v>162</v>
      </c>
    </row>
    <row r="21789" spans="1:15">
      <c r="A21789" t="s">
        <v>13919</v>
      </c>
      <c r="B21789" t="s">
        <v>11607</v>
      </c>
      <c r="C21789" t="s">
        <v>44825</v>
      </c>
      <c r="D21789" t="s">
        <v>62555</v>
      </c>
      <c r="E21789" t="b">
        <v>0</v>
      </c>
      <c r="F21789" t="s">
        <v>11624</v>
      </c>
      <c r="G21789">
        <v>37.227499999999999</v>
      </c>
      <c r="H21789">
        <v>42.145099999999999</v>
      </c>
      <c r="I21789" t="s">
        <v>62556</v>
      </c>
      <c r="L21789">
        <v>0</v>
      </c>
      <c r="M21789">
        <v>0</v>
      </c>
      <c r="N21789">
        <v>6</v>
      </c>
      <c r="O21789" t="s">
        <v>62557</v>
      </c>
    </row>
    <row r="21790" spans="1:15">
      <c r="A21790" t="s">
        <v>44825</v>
      </c>
      <c r="B21790" t="s">
        <v>11607</v>
      </c>
      <c r="C21790" t="s">
        <v>19136</v>
      </c>
      <c r="D21790" t="s">
        <v>62558</v>
      </c>
      <c r="E21790" t="b">
        <v>0</v>
      </c>
      <c r="F21790" t="s">
        <v>11622</v>
      </c>
      <c r="L21790">
        <v>0</v>
      </c>
      <c r="M21790">
        <v>2</v>
      </c>
      <c r="N21790">
        <v>6</v>
      </c>
    </row>
    <row r="21791" spans="1:15">
      <c r="A21791" t="s">
        <v>62559</v>
      </c>
      <c r="B21791" t="s">
        <v>10597</v>
      </c>
      <c r="C21791" t="s">
        <v>12093</v>
      </c>
      <c r="D21791" t="s">
        <v>62560</v>
      </c>
      <c r="E21791" t="b">
        <v>0</v>
      </c>
      <c r="F21791" t="s">
        <v>11610</v>
      </c>
      <c r="L21791">
        <v>0</v>
      </c>
      <c r="M21791">
        <v>0</v>
      </c>
      <c r="N21791">
        <v>0</v>
      </c>
    </row>
    <row r="21792" spans="1:15">
      <c r="A21792" t="s">
        <v>62561</v>
      </c>
      <c r="B21792" t="s">
        <v>11607</v>
      </c>
      <c r="C21792" t="s">
        <v>30929</v>
      </c>
      <c r="D21792" t="s">
        <v>62562</v>
      </c>
      <c r="E21792" t="b">
        <v>0</v>
      </c>
      <c r="F21792" t="s">
        <v>11610</v>
      </c>
      <c r="L21792">
        <v>0</v>
      </c>
      <c r="M21792">
        <v>0</v>
      </c>
      <c r="N21792">
        <v>0</v>
      </c>
    </row>
    <row r="21793" spans="1:15">
      <c r="A21793" t="s">
        <v>62563</v>
      </c>
      <c r="B21793" t="s">
        <v>12979</v>
      </c>
      <c r="C21793" t="s">
        <v>21707</v>
      </c>
      <c r="D21793" t="s">
        <v>62564</v>
      </c>
      <c r="E21793" t="b">
        <v>0</v>
      </c>
      <c r="F21793" t="s">
        <v>11610</v>
      </c>
      <c r="L21793">
        <v>0</v>
      </c>
      <c r="M21793">
        <v>0</v>
      </c>
      <c r="N21793">
        <v>0</v>
      </c>
    </row>
    <row r="21794" spans="1:15">
      <c r="A21794" t="s">
        <v>62565</v>
      </c>
      <c r="B21794" t="s">
        <v>5126</v>
      </c>
      <c r="C21794" t="s">
        <v>12579</v>
      </c>
      <c r="D21794" t="s">
        <v>62566</v>
      </c>
      <c r="E21794" t="b">
        <v>0</v>
      </c>
      <c r="F21794" t="s">
        <v>11624</v>
      </c>
      <c r="G21794">
        <v>26.344100000000001</v>
      </c>
      <c r="H21794">
        <v>92.267600000000002</v>
      </c>
      <c r="I21794" t="s">
        <v>62567</v>
      </c>
      <c r="L21794">
        <v>0</v>
      </c>
      <c r="M21794">
        <v>0</v>
      </c>
      <c r="N21794">
        <v>0</v>
      </c>
      <c r="O21794" t="s">
        <v>11630</v>
      </c>
    </row>
    <row r="21795" spans="1:15">
      <c r="A21795" t="s">
        <v>62568</v>
      </c>
      <c r="B21795" t="s">
        <v>25343</v>
      </c>
      <c r="C21795" t="s">
        <v>25343</v>
      </c>
      <c r="D21795" t="s">
        <v>62569</v>
      </c>
      <c r="E21795" t="b">
        <v>0</v>
      </c>
      <c r="F21795" t="s">
        <v>11624</v>
      </c>
      <c r="G21795">
        <v>-7.9323800000000002</v>
      </c>
      <c r="H21795">
        <v>142.56800000000001</v>
      </c>
      <c r="I21795" t="s">
        <v>62570</v>
      </c>
      <c r="L21795">
        <v>0</v>
      </c>
      <c r="M21795">
        <v>0</v>
      </c>
      <c r="N21795">
        <v>0</v>
      </c>
      <c r="O21795" t="s">
        <v>11660</v>
      </c>
    </row>
    <row r="21796" spans="1:15">
      <c r="A21796" t="s">
        <v>62571</v>
      </c>
      <c r="B21796" t="s">
        <v>15365</v>
      </c>
      <c r="C21796" t="s">
        <v>27980</v>
      </c>
      <c r="D21796" t="s">
        <v>62572</v>
      </c>
      <c r="E21796" t="b">
        <v>0</v>
      </c>
      <c r="F21796" t="s">
        <v>11610</v>
      </c>
      <c r="L21796">
        <v>0</v>
      </c>
      <c r="M21796">
        <v>0</v>
      </c>
      <c r="N21796">
        <v>0</v>
      </c>
    </row>
    <row r="21797" spans="1:15">
      <c r="A21797" t="s">
        <v>62573</v>
      </c>
      <c r="B21797" t="s">
        <v>11644</v>
      </c>
      <c r="C21797" t="s">
        <v>49163</v>
      </c>
      <c r="D21797" t="s">
        <v>62574</v>
      </c>
      <c r="E21797" t="b">
        <v>0</v>
      </c>
      <c r="F21797" t="s">
        <v>11610</v>
      </c>
      <c r="L21797">
        <v>0</v>
      </c>
      <c r="M21797">
        <v>0</v>
      </c>
      <c r="N21797">
        <v>0</v>
      </c>
    </row>
    <row r="21798" spans="1:15">
      <c r="A21798" t="s">
        <v>49248</v>
      </c>
      <c r="B21798" t="s">
        <v>300</v>
      </c>
      <c r="C21798" t="s">
        <v>21267</v>
      </c>
      <c r="D21798" t="s">
        <v>62575</v>
      </c>
      <c r="E21798" t="b">
        <v>0</v>
      </c>
      <c r="F21798" t="s">
        <v>11622</v>
      </c>
      <c r="L21798">
        <v>0</v>
      </c>
      <c r="M21798">
        <v>2</v>
      </c>
      <c r="N21798">
        <v>0</v>
      </c>
    </row>
    <row r="21799" spans="1:15">
      <c r="A21799" t="s">
        <v>62576</v>
      </c>
      <c r="B21799" t="s">
        <v>300</v>
      </c>
      <c r="C21799" t="s">
        <v>49248</v>
      </c>
      <c r="D21799" t="s">
        <v>62577</v>
      </c>
      <c r="E21799" t="b">
        <v>0</v>
      </c>
      <c r="F21799" t="s">
        <v>11624</v>
      </c>
      <c r="G21799">
        <v>43.130299999999998</v>
      </c>
      <c r="H21799">
        <v>-79.421400000000006</v>
      </c>
      <c r="I21799" t="s">
        <v>62578</v>
      </c>
      <c r="L21799">
        <v>0</v>
      </c>
      <c r="M21799">
        <v>0</v>
      </c>
      <c r="N21799">
        <v>0</v>
      </c>
      <c r="O21799" t="s">
        <v>14875</v>
      </c>
    </row>
    <row r="21800" spans="1:15">
      <c r="A21800" t="s">
        <v>62579</v>
      </c>
      <c r="B21800" t="s">
        <v>12148</v>
      </c>
      <c r="C21800" t="s">
        <v>61</v>
      </c>
      <c r="D21800" t="s">
        <v>62580</v>
      </c>
      <c r="E21800" t="b">
        <v>0</v>
      </c>
      <c r="F21800" t="s">
        <v>11610</v>
      </c>
      <c r="L21800">
        <v>0</v>
      </c>
      <c r="M21800">
        <v>0</v>
      </c>
      <c r="N21800">
        <v>0</v>
      </c>
    </row>
    <row r="21801" spans="1:15">
      <c r="A21801" t="s">
        <v>62581</v>
      </c>
      <c r="B21801" t="s">
        <v>11627</v>
      </c>
      <c r="C21801" t="s">
        <v>11627</v>
      </c>
      <c r="D21801" t="s">
        <v>62582</v>
      </c>
      <c r="E21801" t="b">
        <v>1</v>
      </c>
      <c r="F21801" t="s">
        <v>11624</v>
      </c>
      <c r="L21801">
        <v>0</v>
      </c>
      <c r="M21801">
        <v>0</v>
      </c>
      <c r="N21801">
        <v>0</v>
      </c>
      <c r="O21801" t="s">
        <v>13225</v>
      </c>
    </row>
    <row r="21802" spans="1:15">
      <c r="A21802" t="s">
        <v>48571</v>
      </c>
      <c r="B21802" t="s">
        <v>6742</v>
      </c>
      <c r="C21802" t="s">
        <v>21811</v>
      </c>
      <c r="D21802" t="s">
        <v>62583</v>
      </c>
      <c r="E21802" t="b">
        <v>0</v>
      </c>
      <c r="F21802" t="s">
        <v>11622</v>
      </c>
      <c r="L21802">
        <v>0</v>
      </c>
      <c r="M21802">
        <v>2</v>
      </c>
      <c r="N21802">
        <v>4</v>
      </c>
    </row>
    <row r="21803" spans="1:15">
      <c r="A21803" t="s">
        <v>62584</v>
      </c>
      <c r="B21803" t="s">
        <v>331</v>
      </c>
      <c r="C21803" t="s">
        <v>44009</v>
      </c>
      <c r="D21803" t="s">
        <v>62585</v>
      </c>
      <c r="E21803" t="b">
        <v>0</v>
      </c>
      <c r="F21803" t="s">
        <v>11610</v>
      </c>
      <c r="L21803">
        <v>0</v>
      </c>
      <c r="M21803">
        <v>0</v>
      </c>
      <c r="N21803">
        <v>0</v>
      </c>
    </row>
    <row r="21804" spans="1:15">
      <c r="A21804" t="s">
        <v>48831</v>
      </c>
      <c r="B21804" t="s">
        <v>12460</v>
      </c>
      <c r="C21804" t="s">
        <v>12461</v>
      </c>
      <c r="D21804" t="s">
        <v>62586</v>
      </c>
      <c r="E21804" t="b">
        <v>0</v>
      </c>
      <c r="F21804" t="s">
        <v>11622</v>
      </c>
      <c r="L21804">
        <v>0</v>
      </c>
      <c r="M21804">
        <v>2</v>
      </c>
      <c r="N21804">
        <v>0</v>
      </c>
    </row>
    <row r="21805" spans="1:15">
      <c r="A21805" t="s">
        <v>62587</v>
      </c>
      <c r="B21805" t="s">
        <v>8897</v>
      </c>
      <c r="C21805" t="s">
        <v>50893</v>
      </c>
      <c r="D21805" t="s">
        <v>62588</v>
      </c>
      <c r="E21805" t="b">
        <v>0</v>
      </c>
      <c r="F21805" t="s">
        <v>11624</v>
      </c>
      <c r="G21805">
        <v>37.67</v>
      </c>
      <c r="H21805">
        <v>-78.75</v>
      </c>
      <c r="I21805" t="s">
        <v>62589</v>
      </c>
      <c r="L21805">
        <v>0</v>
      </c>
      <c r="M21805">
        <v>0</v>
      </c>
      <c r="N21805">
        <v>0</v>
      </c>
      <c r="O21805" t="s">
        <v>11944</v>
      </c>
    </row>
    <row r="21806" spans="1:15">
      <c r="A21806" t="s">
        <v>62590</v>
      </c>
      <c r="B21806" t="s">
        <v>367</v>
      </c>
      <c r="C21806" t="s">
        <v>17801</v>
      </c>
      <c r="D21806" t="s">
        <v>62591</v>
      </c>
      <c r="E21806" t="b">
        <v>0</v>
      </c>
      <c r="F21806" t="s">
        <v>11624</v>
      </c>
      <c r="G21806">
        <v>4.7432699999999999</v>
      </c>
      <c r="H21806">
        <v>114.63800000000001</v>
      </c>
      <c r="I21806" t="s">
        <v>62592</v>
      </c>
      <c r="L21806">
        <v>0</v>
      </c>
      <c r="M21806">
        <v>0</v>
      </c>
      <c r="N21806">
        <v>0</v>
      </c>
      <c r="O21806" t="s">
        <v>62593</v>
      </c>
    </row>
    <row r="21807" spans="1:15">
      <c r="A21807" t="s">
        <v>62594</v>
      </c>
      <c r="B21807" t="s">
        <v>11627</v>
      </c>
      <c r="C21807" t="s">
        <v>11627</v>
      </c>
      <c r="D21807" t="s">
        <v>62595</v>
      </c>
      <c r="E21807" t="b">
        <v>1</v>
      </c>
      <c r="F21807" t="s">
        <v>11624</v>
      </c>
      <c r="I21807" t="s">
        <v>62596</v>
      </c>
      <c r="L21807">
        <v>0</v>
      </c>
      <c r="M21807">
        <v>0</v>
      </c>
      <c r="N21807">
        <v>0</v>
      </c>
    </row>
    <row r="21808" spans="1:15">
      <c r="A21808" t="s">
        <v>62597</v>
      </c>
      <c r="B21808" t="s">
        <v>11644</v>
      </c>
      <c r="C21808" t="s">
        <v>37350</v>
      </c>
      <c r="D21808" t="s">
        <v>62598</v>
      </c>
      <c r="E21808" t="b">
        <v>0</v>
      </c>
      <c r="F21808" t="s">
        <v>11624</v>
      </c>
      <c r="G21808">
        <v>27.161000000000001</v>
      </c>
      <c r="H21808">
        <v>95.8</v>
      </c>
      <c r="I21808" t="s">
        <v>62599</v>
      </c>
      <c r="L21808">
        <v>0</v>
      </c>
      <c r="M21808">
        <v>0</v>
      </c>
      <c r="N21808">
        <v>0</v>
      </c>
      <c r="O21808" t="s">
        <v>11630</v>
      </c>
    </row>
    <row r="21809" spans="1:15">
      <c r="A21809" t="s">
        <v>62600</v>
      </c>
      <c r="B21809" t="s">
        <v>367</v>
      </c>
      <c r="C21809" t="s">
        <v>41606</v>
      </c>
      <c r="D21809" t="s">
        <v>62601</v>
      </c>
      <c r="E21809" t="b">
        <v>0</v>
      </c>
      <c r="F21809" t="s">
        <v>11624</v>
      </c>
      <c r="G21809">
        <v>-15.580667</v>
      </c>
      <c r="H21809">
        <v>167.268889</v>
      </c>
      <c r="I21809" t="s">
        <v>62602</v>
      </c>
      <c r="L21809">
        <v>0</v>
      </c>
      <c r="M21809">
        <v>0</v>
      </c>
      <c r="N21809">
        <v>0</v>
      </c>
      <c r="O21809" t="s">
        <v>12719</v>
      </c>
    </row>
    <row r="21810" spans="1:15">
      <c r="A21810" t="s">
        <v>62603</v>
      </c>
      <c r="B21810" t="s">
        <v>12460</v>
      </c>
      <c r="C21810" t="s">
        <v>23391</v>
      </c>
      <c r="D21810" t="s">
        <v>62604</v>
      </c>
      <c r="E21810" t="b">
        <v>0</v>
      </c>
      <c r="F21810" t="s">
        <v>11624</v>
      </c>
      <c r="G21810">
        <v>42.5563</v>
      </c>
      <c r="H21810">
        <v>-124.29300000000001</v>
      </c>
      <c r="I21810" t="s">
        <v>62605</v>
      </c>
      <c r="L21810">
        <v>0</v>
      </c>
      <c r="M21810">
        <v>0</v>
      </c>
      <c r="N21810">
        <v>0</v>
      </c>
      <c r="O21810" t="s">
        <v>11944</v>
      </c>
    </row>
    <row r="21811" spans="1:15">
      <c r="A21811" t="s">
        <v>55814</v>
      </c>
      <c r="B21811" t="s">
        <v>11879</v>
      </c>
      <c r="C21811" t="s">
        <v>22367</v>
      </c>
      <c r="D21811" t="s">
        <v>62606</v>
      </c>
      <c r="E21811" t="b">
        <v>0</v>
      </c>
      <c r="F21811" t="s">
        <v>11624</v>
      </c>
      <c r="G21811">
        <v>16.154</v>
      </c>
      <c r="H21811">
        <v>-97.559700000000007</v>
      </c>
      <c r="I21811" t="s">
        <v>62607</v>
      </c>
      <c r="L21811">
        <v>0</v>
      </c>
      <c r="M21811">
        <v>0</v>
      </c>
      <c r="N21811">
        <v>1</v>
      </c>
      <c r="O21811" t="s">
        <v>11883</v>
      </c>
    </row>
    <row r="21812" spans="1:15">
      <c r="A21812" t="s">
        <v>31786</v>
      </c>
      <c r="B21812" t="s">
        <v>12250</v>
      </c>
      <c r="C21812" t="s">
        <v>16850</v>
      </c>
      <c r="D21812" t="s">
        <v>62608</v>
      </c>
      <c r="E21812" t="b">
        <v>0</v>
      </c>
      <c r="F21812" t="s">
        <v>11624</v>
      </c>
      <c r="G21812">
        <v>36.817700000000002</v>
      </c>
      <c r="H21812">
        <v>102.117</v>
      </c>
      <c r="I21812" t="s">
        <v>62609</v>
      </c>
      <c r="L21812">
        <v>0</v>
      </c>
      <c r="M21812">
        <v>0</v>
      </c>
      <c r="N21812">
        <v>2</v>
      </c>
      <c r="O21812" t="s">
        <v>11905</v>
      </c>
    </row>
    <row r="21813" spans="1:15">
      <c r="A21813" t="s">
        <v>15146</v>
      </c>
      <c r="D21813" t="s">
        <v>62610</v>
      </c>
      <c r="E21813" t="b">
        <v>0</v>
      </c>
      <c r="F21813" t="s">
        <v>11622</v>
      </c>
      <c r="L21813">
        <v>3</v>
      </c>
      <c r="M21813">
        <v>8</v>
      </c>
      <c r="N21813">
        <v>10</v>
      </c>
    </row>
    <row r="21814" spans="1:15">
      <c r="A21814" t="s">
        <v>11067</v>
      </c>
      <c r="B21814" t="s">
        <v>367</v>
      </c>
      <c r="C21814" t="s">
        <v>27045</v>
      </c>
      <c r="D21814" t="s">
        <v>62611</v>
      </c>
      <c r="E21814" t="b">
        <v>0</v>
      </c>
      <c r="F21814" t="s">
        <v>11624</v>
      </c>
      <c r="G21814">
        <v>-8.5208130000000004</v>
      </c>
      <c r="H21814">
        <v>179.19808800000001</v>
      </c>
      <c r="I21814" t="s">
        <v>11068</v>
      </c>
      <c r="L21814">
        <v>0</v>
      </c>
      <c r="M21814">
        <v>0</v>
      </c>
      <c r="N21814">
        <v>2</v>
      </c>
      <c r="O21814" t="s">
        <v>62612</v>
      </c>
    </row>
    <row r="21815" spans="1:15">
      <c r="A21815" t="s">
        <v>3426</v>
      </c>
      <c r="B21815" t="s">
        <v>331</v>
      </c>
      <c r="C21815" t="s">
        <v>35023</v>
      </c>
      <c r="D21815" t="s">
        <v>62613</v>
      </c>
      <c r="E21815" t="b">
        <v>0</v>
      </c>
      <c r="F21815" t="s">
        <v>11624</v>
      </c>
      <c r="G21815">
        <v>51.7</v>
      </c>
      <c r="H21815">
        <v>94.366669999999999</v>
      </c>
      <c r="I21815" t="s">
        <v>3427</v>
      </c>
      <c r="L21815">
        <v>0</v>
      </c>
      <c r="M21815">
        <v>0</v>
      </c>
      <c r="N21815">
        <v>5</v>
      </c>
      <c r="O21815" t="s">
        <v>22632</v>
      </c>
    </row>
    <row r="21816" spans="1:15">
      <c r="A21816" t="s">
        <v>62614</v>
      </c>
      <c r="B21816" t="s">
        <v>49698</v>
      </c>
      <c r="C21816" t="s">
        <v>49698</v>
      </c>
      <c r="D21816" t="s">
        <v>62615</v>
      </c>
      <c r="E21816" t="b">
        <v>0</v>
      </c>
      <c r="F21816" t="s">
        <v>11624</v>
      </c>
      <c r="G21816">
        <v>-4.8031499999999996</v>
      </c>
      <c r="H21816">
        <v>142.095</v>
      </c>
      <c r="I21816" t="s">
        <v>62616</v>
      </c>
      <c r="L21816">
        <v>0</v>
      </c>
      <c r="M21816">
        <v>0</v>
      </c>
      <c r="N21816">
        <v>0</v>
      </c>
      <c r="O21816" t="s">
        <v>11660</v>
      </c>
    </row>
    <row r="21817" spans="1:15">
      <c r="A21817" t="s">
        <v>30740</v>
      </c>
      <c r="B21817" t="s">
        <v>367</v>
      </c>
      <c r="C21817" t="s">
        <v>13464</v>
      </c>
      <c r="D21817" t="s">
        <v>62617</v>
      </c>
      <c r="E21817" t="b">
        <v>0</v>
      </c>
      <c r="F21817" t="s">
        <v>11624</v>
      </c>
      <c r="G21817">
        <v>16.6646</v>
      </c>
      <c r="H21817">
        <v>121.113</v>
      </c>
      <c r="I21817" t="s">
        <v>62618</v>
      </c>
      <c r="L21817">
        <v>0</v>
      </c>
      <c r="M21817">
        <v>0</v>
      </c>
      <c r="N21817">
        <v>3</v>
      </c>
      <c r="O21817" t="s">
        <v>11749</v>
      </c>
    </row>
    <row r="21818" spans="1:15">
      <c r="A21818" t="s">
        <v>62619</v>
      </c>
      <c r="B21818" t="s">
        <v>367</v>
      </c>
      <c r="C21818" t="s">
        <v>12638</v>
      </c>
      <c r="D21818" t="s">
        <v>62620</v>
      </c>
      <c r="E21818" t="b">
        <v>0</v>
      </c>
      <c r="F21818" t="s">
        <v>11610</v>
      </c>
      <c r="L21818">
        <v>0</v>
      </c>
      <c r="M21818">
        <v>0</v>
      </c>
      <c r="N21818">
        <v>0</v>
      </c>
    </row>
    <row r="21819" spans="1:15">
      <c r="A21819" t="s">
        <v>62621</v>
      </c>
      <c r="B21819" t="s">
        <v>6742</v>
      </c>
      <c r="C21819" t="s">
        <v>32059</v>
      </c>
      <c r="D21819" t="s">
        <v>62622</v>
      </c>
      <c r="E21819" t="b">
        <v>0</v>
      </c>
      <c r="F21819" t="s">
        <v>11624</v>
      </c>
      <c r="G21819">
        <v>7.3109500000000001</v>
      </c>
      <c r="H21819">
        <v>0.38007999999999997</v>
      </c>
      <c r="I21819" t="s">
        <v>62623</v>
      </c>
      <c r="L21819">
        <v>0</v>
      </c>
      <c r="M21819">
        <v>0</v>
      </c>
      <c r="N21819">
        <v>0</v>
      </c>
      <c r="O21819" t="s">
        <v>11985</v>
      </c>
    </row>
    <row r="21820" spans="1:15">
      <c r="A21820" t="s">
        <v>62624</v>
      </c>
      <c r="D21820" t="s">
        <v>62625</v>
      </c>
      <c r="E21820" t="b">
        <v>0</v>
      </c>
      <c r="F21820" t="s">
        <v>11624</v>
      </c>
      <c r="G21820">
        <v>-8.9536420000000003</v>
      </c>
      <c r="H21820">
        <v>-38.274228700000002</v>
      </c>
      <c r="I21820" t="s">
        <v>62626</v>
      </c>
      <c r="L21820">
        <v>0</v>
      </c>
      <c r="M21820">
        <v>0</v>
      </c>
      <c r="N21820">
        <v>0</v>
      </c>
      <c r="O21820" t="s">
        <v>11969</v>
      </c>
    </row>
    <row r="21821" spans="1:15">
      <c r="A21821" t="s">
        <v>62627</v>
      </c>
      <c r="B21821" t="s">
        <v>13244</v>
      </c>
      <c r="C21821" t="s">
        <v>19277</v>
      </c>
      <c r="D21821" t="s">
        <v>62628</v>
      </c>
      <c r="E21821" t="b">
        <v>0</v>
      </c>
      <c r="F21821" t="s">
        <v>11624</v>
      </c>
      <c r="G21821">
        <v>-9.7499900000000004</v>
      </c>
      <c r="H21821">
        <v>-69.0167</v>
      </c>
      <c r="I21821" t="s">
        <v>62629</v>
      </c>
      <c r="L21821">
        <v>0</v>
      </c>
      <c r="M21821">
        <v>0</v>
      </c>
      <c r="N21821">
        <v>0</v>
      </c>
      <c r="O21821" t="s">
        <v>11969</v>
      </c>
    </row>
    <row r="21822" spans="1:15">
      <c r="A21822" t="s">
        <v>62195</v>
      </c>
      <c r="B21822" t="s">
        <v>2975</v>
      </c>
      <c r="C21822" t="s">
        <v>62630</v>
      </c>
      <c r="D21822" t="s">
        <v>62631</v>
      </c>
      <c r="E21822" t="b">
        <v>0</v>
      </c>
      <c r="F21822" t="s">
        <v>11624</v>
      </c>
      <c r="G21822">
        <v>0.39440999999999998</v>
      </c>
      <c r="H21822">
        <v>-70.043514999999999</v>
      </c>
      <c r="I21822" t="s">
        <v>62632</v>
      </c>
      <c r="L21822">
        <v>0</v>
      </c>
      <c r="M21822">
        <v>0</v>
      </c>
      <c r="N21822">
        <v>1</v>
      </c>
      <c r="O21822" t="s">
        <v>21122</v>
      </c>
    </row>
    <row r="21823" spans="1:15">
      <c r="A21823" t="s">
        <v>62630</v>
      </c>
      <c r="B21823" t="s">
        <v>2975</v>
      </c>
      <c r="C21823" t="s">
        <v>53217</v>
      </c>
      <c r="D21823" t="s">
        <v>62633</v>
      </c>
      <c r="E21823" t="b">
        <v>0</v>
      </c>
      <c r="F21823" t="s">
        <v>11622</v>
      </c>
      <c r="L21823">
        <v>0</v>
      </c>
      <c r="M21823">
        <v>2</v>
      </c>
      <c r="N21823">
        <v>1</v>
      </c>
    </row>
    <row r="21824" spans="1:15">
      <c r="A21824" t="s">
        <v>62634</v>
      </c>
      <c r="B21824" t="s">
        <v>5911</v>
      </c>
      <c r="C21824" t="s">
        <v>44877</v>
      </c>
      <c r="D21824" t="s">
        <v>62635</v>
      </c>
      <c r="E21824" t="b">
        <v>0</v>
      </c>
      <c r="F21824" t="s">
        <v>11610</v>
      </c>
      <c r="L21824">
        <v>0</v>
      </c>
      <c r="M21824">
        <v>0</v>
      </c>
      <c r="N21824">
        <v>0</v>
      </c>
    </row>
    <row r="21825" spans="1:15">
      <c r="A21825" t="s">
        <v>62636</v>
      </c>
      <c r="B21825" t="s">
        <v>12260</v>
      </c>
      <c r="C21825" t="s">
        <v>10100</v>
      </c>
      <c r="D21825" t="s">
        <v>62637</v>
      </c>
      <c r="E21825" t="b">
        <v>0</v>
      </c>
      <c r="F21825" t="s">
        <v>11610</v>
      </c>
      <c r="L21825">
        <v>0</v>
      </c>
      <c r="M21825">
        <v>0</v>
      </c>
      <c r="N21825">
        <v>0</v>
      </c>
    </row>
    <row r="21826" spans="1:15">
      <c r="A21826" t="s">
        <v>62638</v>
      </c>
      <c r="B21826" t="s">
        <v>6742</v>
      </c>
      <c r="C21826" t="s">
        <v>39869</v>
      </c>
      <c r="D21826" t="s">
        <v>62639</v>
      </c>
      <c r="E21826" t="b">
        <v>0</v>
      </c>
      <c r="F21826" t="s">
        <v>11610</v>
      </c>
      <c r="L21826">
        <v>0</v>
      </c>
      <c r="M21826">
        <v>0</v>
      </c>
      <c r="N21826">
        <v>0</v>
      </c>
    </row>
    <row r="21827" spans="1:15">
      <c r="A21827" t="s">
        <v>62640</v>
      </c>
      <c r="B21827" t="s">
        <v>6742</v>
      </c>
      <c r="C21827" t="s">
        <v>29375</v>
      </c>
      <c r="D21827" t="s">
        <v>62641</v>
      </c>
      <c r="E21827" t="b">
        <v>0</v>
      </c>
      <c r="F21827" t="s">
        <v>11610</v>
      </c>
      <c r="L21827">
        <v>0</v>
      </c>
      <c r="M21827">
        <v>0</v>
      </c>
      <c r="N21827">
        <v>0</v>
      </c>
    </row>
    <row r="21828" spans="1:15">
      <c r="A21828" t="s">
        <v>37176</v>
      </c>
      <c r="B21828" t="s">
        <v>17751</v>
      </c>
      <c r="C21828" t="s">
        <v>51405</v>
      </c>
      <c r="D21828" t="s">
        <v>62642</v>
      </c>
      <c r="E21828" t="b">
        <v>0</v>
      </c>
      <c r="F21828" t="s">
        <v>11622</v>
      </c>
      <c r="L21828">
        <v>0</v>
      </c>
      <c r="M21828">
        <v>2</v>
      </c>
      <c r="N21828">
        <v>4</v>
      </c>
    </row>
    <row r="21829" spans="1:15">
      <c r="A21829" t="s">
        <v>54056</v>
      </c>
      <c r="B21829" t="s">
        <v>9071</v>
      </c>
      <c r="C21829" t="s">
        <v>21688</v>
      </c>
      <c r="D21829" t="s">
        <v>62643</v>
      </c>
      <c r="E21829" t="b">
        <v>0</v>
      </c>
      <c r="F21829" t="s">
        <v>11624</v>
      </c>
      <c r="G21829">
        <v>47.741900000000001</v>
      </c>
      <c r="H21829">
        <v>-121.765</v>
      </c>
      <c r="I21829" t="s">
        <v>62644</v>
      </c>
      <c r="L21829">
        <v>0</v>
      </c>
      <c r="M21829">
        <v>0</v>
      </c>
      <c r="N21829">
        <v>2</v>
      </c>
      <c r="O21829" t="s">
        <v>11944</v>
      </c>
    </row>
    <row r="21830" spans="1:15">
      <c r="A21830" t="s">
        <v>62645</v>
      </c>
      <c r="B21830" t="s">
        <v>6742</v>
      </c>
      <c r="C21830" t="s">
        <v>17881</v>
      </c>
      <c r="D21830" t="s">
        <v>62646</v>
      </c>
      <c r="E21830" t="b">
        <v>0</v>
      </c>
      <c r="F21830" t="s">
        <v>11610</v>
      </c>
      <c r="L21830">
        <v>0</v>
      </c>
      <c r="M21830">
        <v>0</v>
      </c>
      <c r="N21830">
        <v>0</v>
      </c>
    </row>
    <row r="21831" spans="1:15">
      <c r="A21831" t="s">
        <v>62647</v>
      </c>
      <c r="B21831" t="s">
        <v>6742</v>
      </c>
      <c r="C21831" t="s">
        <v>32211</v>
      </c>
      <c r="D21831" t="s">
        <v>62648</v>
      </c>
      <c r="E21831" t="b">
        <v>0</v>
      </c>
      <c r="F21831" t="s">
        <v>11610</v>
      </c>
      <c r="L21831">
        <v>0</v>
      </c>
      <c r="M21831">
        <v>0</v>
      </c>
      <c r="N21831">
        <v>0</v>
      </c>
    </row>
    <row r="21832" spans="1:15">
      <c r="A21832" t="s">
        <v>44603</v>
      </c>
      <c r="B21832" t="s">
        <v>10597</v>
      </c>
      <c r="C21832" t="s">
        <v>23187</v>
      </c>
      <c r="D21832" t="s">
        <v>62649</v>
      </c>
      <c r="E21832" t="b">
        <v>0</v>
      </c>
      <c r="F21832" t="s">
        <v>11624</v>
      </c>
      <c r="G21832">
        <v>-28.028725999999999</v>
      </c>
      <c r="H21832">
        <v>153.286993</v>
      </c>
      <c r="I21832" t="s">
        <v>62650</v>
      </c>
      <c r="L21832">
        <v>0</v>
      </c>
      <c r="M21832">
        <v>0</v>
      </c>
      <c r="N21832">
        <v>4</v>
      </c>
      <c r="O21832" t="s">
        <v>12107</v>
      </c>
    </row>
    <row r="21833" spans="1:15">
      <c r="A21833" t="s">
        <v>62651</v>
      </c>
      <c r="B21833" t="s">
        <v>11637</v>
      </c>
      <c r="C21833" t="s">
        <v>11936</v>
      </c>
      <c r="D21833" t="s">
        <v>62652</v>
      </c>
      <c r="E21833" t="b">
        <v>0</v>
      </c>
      <c r="F21833" t="s">
        <v>11610</v>
      </c>
      <c r="G21833">
        <v>52.2926</v>
      </c>
      <c r="H21833">
        <v>6.7708500000000003</v>
      </c>
      <c r="I21833" t="s">
        <v>62653</v>
      </c>
      <c r="L21833">
        <v>0</v>
      </c>
      <c r="M21833">
        <v>0</v>
      </c>
      <c r="N21833">
        <v>0</v>
      </c>
      <c r="O21833" t="s">
        <v>11939</v>
      </c>
    </row>
    <row r="21834" spans="1:15">
      <c r="A21834" t="s">
        <v>20985</v>
      </c>
      <c r="B21834" t="s">
        <v>6742</v>
      </c>
      <c r="C21834" t="s">
        <v>20995</v>
      </c>
      <c r="D21834" t="s">
        <v>62654</v>
      </c>
      <c r="E21834" t="b">
        <v>0</v>
      </c>
      <c r="F21834" t="s">
        <v>11624</v>
      </c>
      <c r="G21834">
        <v>6.3665599999999998</v>
      </c>
      <c r="H21834">
        <v>11.700200000000001</v>
      </c>
      <c r="I21834" t="s">
        <v>62655</v>
      </c>
      <c r="L21834">
        <v>0</v>
      </c>
      <c r="M21834">
        <v>0</v>
      </c>
      <c r="N21834">
        <v>2</v>
      </c>
      <c r="O21834" t="s">
        <v>11703</v>
      </c>
    </row>
    <row r="21835" spans="1:15">
      <c r="A21835" t="s">
        <v>12833</v>
      </c>
      <c r="B21835" t="s">
        <v>6742</v>
      </c>
      <c r="C21835" t="s">
        <v>50</v>
      </c>
      <c r="D21835" t="s">
        <v>62656</v>
      </c>
      <c r="E21835" t="b">
        <v>0</v>
      </c>
      <c r="F21835" t="s">
        <v>11610</v>
      </c>
      <c r="I21835" t="s">
        <v>62657</v>
      </c>
      <c r="L21835">
        <v>0</v>
      </c>
      <c r="M21835">
        <v>0</v>
      </c>
      <c r="N21835">
        <v>2</v>
      </c>
    </row>
    <row r="21836" spans="1:15">
      <c r="A21836" t="s">
        <v>62658</v>
      </c>
      <c r="B21836" t="s">
        <v>6742</v>
      </c>
      <c r="C21836" t="s">
        <v>16561</v>
      </c>
      <c r="D21836" t="s">
        <v>62659</v>
      </c>
      <c r="E21836" t="b">
        <v>0</v>
      </c>
      <c r="F21836" t="s">
        <v>11610</v>
      </c>
      <c r="L21836">
        <v>0</v>
      </c>
      <c r="M21836">
        <v>0</v>
      </c>
      <c r="N21836">
        <v>0</v>
      </c>
    </row>
    <row r="21837" spans="1:15">
      <c r="A21837" t="s">
        <v>15393</v>
      </c>
      <c r="B21837" t="s">
        <v>10597</v>
      </c>
      <c r="C21837" t="s">
        <v>12985</v>
      </c>
      <c r="D21837" t="s">
        <v>62660</v>
      </c>
      <c r="E21837" t="b">
        <v>0</v>
      </c>
      <c r="F21837" t="s">
        <v>11624</v>
      </c>
      <c r="G21837">
        <v>-12.544</v>
      </c>
      <c r="H21837">
        <v>141.98400000000001</v>
      </c>
      <c r="L21837">
        <v>0</v>
      </c>
      <c r="M21837">
        <v>0</v>
      </c>
      <c r="N21837">
        <v>5</v>
      </c>
      <c r="O21837" t="s">
        <v>12107</v>
      </c>
    </row>
    <row r="21838" spans="1:15">
      <c r="A21838" t="s">
        <v>62661</v>
      </c>
      <c r="B21838" t="s">
        <v>10597</v>
      </c>
      <c r="C21838" t="s">
        <v>15392</v>
      </c>
      <c r="D21838" t="s">
        <v>62662</v>
      </c>
      <c r="E21838" t="b">
        <v>0</v>
      </c>
      <c r="F21838" t="s">
        <v>11610</v>
      </c>
      <c r="L21838">
        <v>0</v>
      </c>
      <c r="M21838">
        <v>0</v>
      </c>
      <c r="N21838">
        <v>0</v>
      </c>
    </row>
    <row r="21839" spans="1:15">
      <c r="A21839" t="s">
        <v>14951</v>
      </c>
      <c r="B21839" t="s">
        <v>6742</v>
      </c>
      <c r="C21839" t="s">
        <v>33610</v>
      </c>
      <c r="D21839" t="s">
        <v>62663</v>
      </c>
      <c r="E21839" t="b">
        <v>0</v>
      </c>
      <c r="F21839" t="s">
        <v>11624</v>
      </c>
      <c r="G21839">
        <v>9.7556799999999999</v>
      </c>
      <c r="H21839">
        <v>8.3081999999999994</v>
      </c>
      <c r="I21839" t="s">
        <v>62664</v>
      </c>
      <c r="L21839">
        <v>0</v>
      </c>
      <c r="M21839">
        <v>0</v>
      </c>
      <c r="N21839">
        <v>6</v>
      </c>
      <c r="O21839" t="s">
        <v>11693</v>
      </c>
    </row>
    <row r="21840" spans="1:15">
      <c r="A21840" t="s">
        <v>62665</v>
      </c>
      <c r="B21840" t="s">
        <v>45692</v>
      </c>
      <c r="C21840" t="s">
        <v>45692</v>
      </c>
      <c r="D21840" t="s">
        <v>62666</v>
      </c>
      <c r="E21840" t="b">
        <v>0</v>
      </c>
      <c r="F21840" t="s">
        <v>11624</v>
      </c>
      <c r="G21840">
        <v>-12.486800000000001</v>
      </c>
      <c r="H21840">
        <v>130.67599999999999</v>
      </c>
      <c r="I21840" t="s">
        <v>62667</v>
      </c>
      <c r="L21840">
        <v>0</v>
      </c>
      <c r="M21840">
        <v>0</v>
      </c>
      <c r="N21840">
        <v>0</v>
      </c>
      <c r="O21840" t="s">
        <v>12107</v>
      </c>
    </row>
    <row r="21841" spans="1:15">
      <c r="A21841" t="s">
        <v>62668</v>
      </c>
      <c r="B21841" t="s">
        <v>6742</v>
      </c>
      <c r="C21841" t="s">
        <v>21272</v>
      </c>
      <c r="D21841" t="s">
        <v>62669</v>
      </c>
      <c r="E21841" t="b">
        <v>0</v>
      </c>
      <c r="F21841" t="s">
        <v>11610</v>
      </c>
      <c r="L21841">
        <v>0</v>
      </c>
      <c r="M21841">
        <v>0</v>
      </c>
      <c r="N21841">
        <v>0</v>
      </c>
    </row>
    <row r="21842" spans="1:15">
      <c r="A21842" t="s">
        <v>62670</v>
      </c>
      <c r="B21842" t="s">
        <v>45884</v>
      </c>
      <c r="C21842" t="s">
        <v>46468</v>
      </c>
      <c r="D21842" t="s">
        <v>62671</v>
      </c>
      <c r="E21842" t="b">
        <v>0</v>
      </c>
      <c r="F21842" t="s">
        <v>11610</v>
      </c>
      <c r="L21842">
        <v>0</v>
      </c>
      <c r="M21842">
        <v>0</v>
      </c>
      <c r="N21842">
        <v>0</v>
      </c>
    </row>
    <row r="21843" spans="1:15">
      <c r="A21843" t="s">
        <v>62672</v>
      </c>
      <c r="B21843" t="s">
        <v>12260</v>
      </c>
      <c r="C21843" t="s">
        <v>21982</v>
      </c>
      <c r="D21843" t="s">
        <v>62673</v>
      </c>
      <c r="E21843" t="b">
        <v>0</v>
      </c>
      <c r="F21843" t="s">
        <v>11610</v>
      </c>
      <c r="L21843">
        <v>0</v>
      </c>
      <c r="M21843">
        <v>0</v>
      </c>
      <c r="N21843">
        <v>0</v>
      </c>
    </row>
    <row r="21844" spans="1:15">
      <c r="A21844" t="s">
        <v>62674</v>
      </c>
      <c r="B21844" t="s">
        <v>8310</v>
      </c>
      <c r="C21844" t="s">
        <v>287</v>
      </c>
      <c r="D21844" t="s">
        <v>62675</v>
      </c>
      <c r="E21844" t="b">
        <v>0</v>
      </c>
      <c r="F21844" t="s">
        <v>11610</v>
      </c>
      <c r="L21844">
        <v>0</v>
      </c>
      <c r="M21844">
        <v>0</v>
      </c>
      <c r="N21844">
        <v>0</v>
      </c>
    </row>
    <row r="21845" spans="1:15">
      <c r="A21845" t="s">
        <v>62676</v>
      </c>
      <c r="B21845" t="s">
        <v>331</v>
      </c>
      <c r="C21845" t="s">
        <v>60338</v>
      </c>
      <c r="D21845" t="s">
        <v>62677</v>
      </c>
      <c r="E21845" t="b">
        <v>0</v>
      </c>
      <c r="F21845" t="s">
        <v>11610</v>
      </c>
      <c r="L21845">
        <v>0</v>
      </c>
      <c r="M21845">
        <v>0</v>
      </c>
      <c r="N21845">
        <v>0</v>
      </c>
    </row>
    <row r="21846" spans="1:15">
      <c r="A21846" t="s">
        <v>62678</v>
      </c>
      <c r="B21846" t="s">
        <v>5911</v>
      </c>
      <c r="C21846" t="s">
        <v>22829</v>
      </c>
      <c r="D21846" t="s">
        <v>62679</v>
      </c>
      <c r="E21846" t="b">
        <v>0</v>
      </c>
      <c r="F21846" t="s">
        <v>11622</v>
      </c>
      <c r="L21846">
        <v>0</v>
      </c>
      <c r="M21846">
        <v>2</v>
      </c>
      <c r="N21846">
        <v>2</v>
      </c>
    </row>
    <row r="21847" spans="1:15">
      <c r="A21847" t="s">
        <v>9785</v>
      </c>
      <c r="B21847" t="s">
        <v>5911</v>
      </c>
      <c r="C21847" t="s">
        <v>62678</v>
      </c>
      <c r="D21847" t="s">
        <v>268</v>
      </c>
      <c r="E21847" t="b">
        <v>0</v>
      </c>
      <c r="F21847" t="s">
        <v>11624</v>
      </c>
      <c r="G21847">
        <v>16.638400000000001</v>
      </c>
      <c r="H21847">
        <v>-92.278599999999997</v>
      </c>
      <c r="I21847" t="s">
        <v>9786</v>
      </c>
      <c r="L21847">
        <v>0</v>
      </c>
      <c r="M21847">
        <v>0</v>
      </c>
      <c r="N21847">
        <v>2</v>
      </c>
      <c r="O21847" t="s">
        <v>11883</v>
      </c>
    </row>
    <row r="21848" spans="1:15">
      <c r="A21848" t="s">
        <v>62680</v>
      </c>
      <c r="B21848" t="s">
        <v>11627</v>
      </c>
      <c r="C21848" t="s">
        <v>11627</v>
      </c>
      <c r="D21848" t="s">
        <v>62681</v>
      </c>
      <c r="E21848" t="b">
        <v>1</v>
      </c>
      <c r="F21848" t="s">
        <v>11624</v>
      </c>
      <c r="I21848" t="s">
        <v>62682</v>
      </c>
      <c r="L21848">
        <v>0</v>
      </c>
      <c r="M21848">
        <v>0</v>
      </c>
      <c r="N21848">
        <v>0</v>
      </c>
      <c r="O21848" t="s">
        <v>11883</v>
      </c>
    </row>
    <row r="21849" spans="1:15">
      <c r="A21849" t="s">
        <v>5900</v>
      </c>
      <c r="B21849" t="s">
        <v>5911</v>
      </c>
      <c r="C21849" t="s">
        <v>62678</v>
      </c>
      <c r="D21849" t="s">
        <v>62683</v>
      </c>
      <c r="E21849" t="b">
        <v>0</v>
      </c>
      <c r="F21849" t="s">
        <v>11624</v>
      </c>
      <c r="G21849">
        <v>16.636199999999999</v>
      </c>
      <c r="H21849">
        <v>-92.738799999999998</v>
      </c>
      <c r="I21849" t="s">
        <v>5901</v>
      </c>
      <c r="L21849">
        <v>0</v>
      </c>
      <c r="M21849">
        <v>0</v>
      </c>
      <c r="N21849">
        <v>0</v>
      </c>
      <c r="O21849" t="s">
        <v>11883</v>
      </c>
    </row>
    <row r="21850" spans="1:15">
      <c r="A21850" t="s">
        <v>62684</v>
      </c>
      <c r="B21850" t="s">
        <v>11627</v>
      </c>
      <c r="C21850" t="s">
        <v>11627</v>
      </c>
      <c r="D21850" t="s">
        <v>62685</v>
      </c>
      <c r="E21850" t="b">
        <v>1</v>
      </c>
      <c r="F21850" t="s">
        <v>11624</v>
      </c>
      <c r="I21850" t="s">
        <v>62686</v>
      </c>
      <c r="L21850">
        <v>0</v>
      </c>
      <c r="M21850">
        <v>0</v>
      </c>
      <c r="N21850">
        <v>0</v>
      </c>
      <c r="O21850" t="s">
        <v>11883</v>
      </c>
    </row>
    <row r="21851" spans="1:15">
      <c r="A21851" t="s">
        <v>62687</v>
      </c>
      <c r="B21851" t="s">
        <v>11627</v>
      </c>
      <c r="C21851" t="s">
        <v>11627</v>
      </c>
      <c r="D21851" t="s">
        <v>62688</v>
      </c>
      <c r="E21851" t="b">
        <v>1</v>
      </c>
      <c r="F21851" t="s">
        <v>11624</v>
      </c>
      <c r="I21851" t="s">
        <v>62689</v>
      </c>
      <c r="L21851">
        <v>0</v>
      </c>
      <c r="M21851">
        <v>0</v>
      </c>
      <c r="N21851">
        <v>0</v>
      </c>
      <c r="O21851" t="s">
        <v>11883</v>
      </c>
    </row>
    <row r="21852" spans="1:15">
      <c r="A21852" t="s">
        <v>62690</v>
      </c>
      <c r="B21852" t="s">
        <v>11627</v>
      </c>
      <c r="C21852" t="s">
        <v>11627</v>
      </c>
      <c r="D21852" t="s">
        <v>62691</v>
      </c>
      <c r="E21852" t="b">
        <v>1</v>
      </c>
      <c r="F21852" t="s">
        <v>11624</v>
      </c>
      <c r="I21852" t="s">
        <v>62692</v>
      </c>
      <c r="L21852">
        <v>0</v>
      </c>
      <c r="M21852">
        <v>0</v>
      </c>
      <c r="N21852">
        <v>0</v>
      </c>
      <c r="O21852" t="s">
        <v>11883</v>
      </c>
    </row>
    <row r="21853" spans="1:15">
      <c r="A21853" t="s">
        <v>62693</v>
      </c>
      <c r="B21853" t="s">
        <v>11627</v>
      </c>
      <c r="C21853" t="s">
        <v>11627</v>
      </c>
      <c r="D21853" t="s">
        <v>62694</v>
      </c>
      <c r="E21853" t="b">
        <v>1</v>
      </c>
      <c r="F21853" t="s">
        <v>11624</v>
      </c>
      <c r="I21853" t="s">
        <v>62695</v>
      </c>
      <c r="L21853">
        <v>0</v>
      </c>
      <c r="M21853">
        <v>0</v>
      </c>
      <c r="N21853">
        <v>0</v>
      </c>
      <c r="O21853" t="s">
        <v>11883</v>
      </c>
    </row>
    <row r="21854" spans="1:15">
      <c r="A21854" t="s">
        <v>62696</v>
      </c>
      <c r="B21854" t="s">
        <v>11627</v>
      </c>
      <c r="C21854" t="s">
        <v>11627</v>
      </c>
      <c r="D21854" t="s">
        <v>62697</v>
      </c>
      <c r="E21854" t="b">
        <v>1</v>
      </c>
      <c r="F21854" t="s">
        <v>11624</v>
      </c>
      <c r="I21854" t="s">
        <v>62698</v>
      </c>
      <c r="L21854">
        <v>0</v>
      </c>
      <c r="M21854">
        <v>0</v>
      </c>
      <c r="N21854">
        <v>0</v>
      </c>
      <c r="O21854" t="s">
        <v>11883</v>
      </c>
    </row>
    <row r="21855" spans="1:15">
      <c r="A21855" t="s">
        <v>9865</v>
      </c>
      <c r="B21855" t="s">
        <v>5911</v>
      </c>
      <c r="C21855" t="s">
        <v>20913</v>
      </c>
      <c r="D21855" t="s">
        <v>62699</v>
      </c>
      <c r="E21855" t="b">
        <v>0</v>
      </c>
      <c r="F21855" t="s">
        <v>11624</v>
      </c>
      <c r="G21855">
        <v>14.6351</v>
      </c>
      <c r="H21855">
        <v>-91.2012</v>
      </c>
      <c r="I21855" t="s">
        <v>9866</v>
      </c>
      <c r="L21855">
        <v>0</v>
      </c>
      <c r="M21855">
        <v>0</v>
      </c>
      <c r="N21855">
        <v>0</v>
      </c>
      <c r="O21855" t="s">
        <v>11927</v>
      </c>
    </row>
    <row r="21856" spans="1:15">
      <c r="A21856" t="s">
        <v>62700</v>
      </c>
      <c r="B21856" t="s">
        <v>11627</v>
      </c>
      <c r="C21856" t="s">
        <v>11627</v>
      </c>
      <c r="D21856" t="s">
        <v>62701</v>
      </c>
      <c r="E21856" t="b">
        <v>1</v>
      </c>
      <c r="F21856" t="s">
        <v>11624</v>
      </c>
      <c r="I21856" t="s">
        <v>62702</v>
      </c>
      <c r="L21856">
        <v>0</v>
      </c>
      <c r="M21856">
        <v>0</v>
      </c>
      <c r="N21856">
        <v>0</v>
      </c>
      <c r="O21856" t="s">
        <v>11927</v>
      </c>
    </row>
    <row r="21857" spans="1:15">
      <c r="A21857" t="s">
        <v>13280</v>
      </c>
      <c r="B21857" t="s">
        <v>367</v>
      </c>
      <c r="C21857" t="s">
        <v>13310</v>
      </c>
      <c r="D21857" t="s">
        <v>62703</v>
      </c>
      <c r="E21857" t="b">
        <v>0</v>
      </c>
      <c r="F21857" t="s">
        <v>11624</v>
      </c>
      <c r="G21857">
        <v>-9.7728400000000004</v>
      </c>
      <c r="H21857">
        <v>124.14400000000001</v>
      </c>
      <c r="I21857" t="s">
        <v>62704</v>
      </c>
      <c r="L21857">
        <v>0</v>
      </c>
      <c r="M21857">
        <v>0</v>
      </c>
      <c r="N21857">
        <v>5</v>
      </c>
      <c r="O21857" t="s">
        <v>11976</v>
      </c>
    </row>
    <row r="21858" spans="1:15">
      <c r="A21858" t="s">
        <v>13310</v>
      </c>
      <c r="B21858" t="s">
        <v>367</v>
      </c>
      <c r="C21858" t="s">
        <v>30978</v>
      </c>
      <c r="D21858" t="s">
        <v>62705</v>
      </c>
      <c r="E21858" t="b">
        <v>0</v>
      </c>
      <c r="F21858" t="s">
        <v>11622</v>
      </c>
      <c r="L21858">
        <v>0</v>
      </c>
      <c r="M21858">
        <v>3</v>
      </c>
      <c r="N21858">
        <v>12</v>
      </c>
    </row>
    <row r="21859" spans="1:15">
      <c r="A21859" t="s">
        <v>62706</v>
      </c>
      <c r="B21859" t="s">
        <v>367</v>
      </c>
      <c r="C21859" t="s">
        <v>2795</v>
      </c>
      <c r="D21859" t="s">
        <v>62707</v>
      </c>
      <c r="E21859" t="b">
        <v>0</v>
      </c>
      <c r="F21859" t="s">
        <v>11610</v>
      </c>
      <c r="L21859">
        <v>0</v>
      </c>
      <c r="M21859">
        <v>0</v>
      </c>
      <c r="N21859">
        <v>0</v>
      </c>
    </row>
    <row r="21860" spans="1:15">
      <c r="A21860" t="s">
        <v>62708</v>
      </c>
      <c r="B21860" t="s">
        <v>14398</v>
      </c>
      <c r="C21860" t="s">
        <v>38428</v>
      </c>
      <c r="D21860" t="s">
        <v>62709</v>
      </c>
      <c r="E21860" t="b">
        <v>0</v>
      </c>
      <c r="F21860" t="s">
        <v>11610</v>
      </c>
      <c r="L21860">
        <v>0</v>
      </c>
      <c r="M21860">
        <v>0</v>
      </c>
      <c r="N21860">
        <v>0</v>
      </c>
    </row>
    <row r="21861" spans="1:15">
      <c r="A21861" t="s">
        <v>62710</v>
      </c>
      <c r="B21861" t="s">
        <v>11894</v>
      </c>
      <c r="C21861" t="s">
        <v>29865</v>
      </c>
      <c r="D21861" t="s">
        <v>62711</v>
      </c>
      <c r="E21861" t="b">
        <v>0</v>
      </c>
      <c r="F21861" t="s">
        <v>11624</v>
      </c>
      <c r="G21861">
        <v>-2.6763940000000002</v>
      </c>
      <c r="H21861">
        <v>-68.435669000000004</v>
      </c>
      <c r="L21861">
        <v>0</v>
      </c>
      <c r="M21861">
        <v>0</v>
      </c>
      <c r="N21861">
        <v>0</v>
      </c>
      <c r="O21861" t="s">
        <v>11969</v>
      </c>
    </row>
    <row r="21862" spans="1:15">
      <c r="A21862" t="s">
        <v>62712</v>
      </c>
      <c r="B21862" t="s">
        <v>13360</v>
      </c>
      <c r="C21862" t="s">
        <v>13360</v>
      </c>
      <c r="D21862" t="s">
        <v>62713</v>
      </c>
      <c r="E21862" t="b">
        <v>0</v>
      </c>
      <c r="F21862" t="s">
        <v>11624</v>
      </c>
      <c r="G21862">
        <v>-8.4999900000000004</v>
      </c>
      <c r="H21862">
        <v>-38.75</v>
      </c>
      <c r="I21862" t="s">
        <v>62714</v>
      </c>
      <c r="L21862">
        <v>0</v>
      </c>
      <c r="M21862">
        <v>0</v>
      </c>
      <c r="N21862">
        <v>0</v>
      </c>
      <c r="O21862" t="s">
        <v>11969</v>
      </c>
    </row>
    <row r="21863" spans="1:15">
      <c r="A21863" t="s">
        <v>62715</v>
      </c>
      <c r="B21863" t="s">
        <v>367</v>
      </c>
      <c r="C21863" t="s">
        <v>2795</v>
      </c>
      <c r="D21863" t="s">
        <v>62716</v>
      </c>
      <c r="E21863" t="b">
        <v>0</v>
      </c>
      <c r="F21863" t="s">
        <v>11610</v>
      </c>
      <c r="L21863">
        <v>0</v>
      </c>
      <c r="M21863">
        <v>0</v>
      </c>
      <c r="N21863">
        <v>0</v>
      </c>
    </row>
    <row r="21864" spans="1:15">
      <c r="A21864" t="s">
        <v>28642</v>
      </c>
      <c r="B21864" t="s">
        <v>28641</v>
      </c>
      <c r="C21864" t="s">
        <v>31692</v>
      </c>
      <c r="D21864" t="s">
        <v>62717</v>
      </c>
      <c r="E21864" t="b">
        <v>0</v>
      </c>
      <c r="F21864" t="s">
        <v>11624</v>
      </c>
      <c r="G21864">
        <v>-9.6957100000000001</v>
      </c>
      <c r="H21864">
        <v>147.68700000000001</v>
      </c>
      <c r="I21864" t="s">
        <v>62718</v>
      </c>
      <c r="L21864">
        <v>0</v>
      </c>
      <c r="M21864">
        <v>0</v>
      </c>
      <c r="N21864">
        <v>2</v>
      </c>
      <c r="O21864" t="s">
        <v>11660</v>
      </c>
    </row>
    <row r="21865" spans="1:15">
      <c r="A21865" t="s">
        <v>62719</v>
      </c>
      <c r="B21865" t="s">
        <v>367</v>
      </c>
      <c r="C21865" t="s">
        <v>7411</v>
      </c>
      <c r="D21865" t="s">
        <v>62720</v>
      </c>
      <c r="E21865" t="b">
        <v>0</v>
      </c>
      <c r="F21865" t="s">
        <v>11610</v>
      </c>
      <c r="L21865">
        <v>0</v>
      </c>
      <c r="M21865">
        <v>0</v>
      </c>
      <c r="N21865">
        <v>0</v>
      </c>
    </row>
    <row r="21866" spans="1:15">
      <c r="A21866" t="s">
        <v>36953</v>
      </c>
      <c r="B21866" t="s">
        <v>6742</v>
      </c>
      <c r="C21866" t="s">
        <v>37454</v>
      </c>
      <c r="D21866" t="s">
        <v>62721</v>
      </c>
      <c r="E21866" t="b">
        <v>0</v>
      </c>
      <c r="F21866" t="s">
        <v>11622</v>
      </c>
      <c r="L21866">
        <v>1</v>
      </c>
      <c r="M21866">
        <v>4</v>
      </c>
      <c r="N21866">
        <v>12</v>
      </c>
    </row>
    <row r="21867" spans="1:15">
      <c r="A21867" t="s">
        <v>18365</v>
      </c>
      <c r="B21867" t="s">
        <v>6742</v>
      </c>
      <c r="C21867" t="s">
        <v>36953</v>
      </c>
      <c r="D21867" t="s">
        <v>62722</v>
      </c>
      <c r="E21867" t="b">
        <v>0</v>
      </c>
      <c r="F21867" t="s">
        <v>11624</v>
      </c>
      <c r="G21867">
        <v>5.7234299999999996</v>
      </c>
      <c r="H21867">
        <v>7.9643899999999999</v>
      </c>
      <c r="I21867" t="s">
        <v>62723</v>
      </c>
      <c r="L21867">
        <v>0</v>
      </c>
      <c r="M21867">
        <v>0</v>
      </c>
      <c r="N21867">
        <v>5</v>
      </c>
      <c r="O21867" t="s">
        <v>11693</v>
      </c>
    </row>
    <row r="21868" spans="1:15">
      <c r="A21868" t="s">
        <v>62724</v>
      </c>
      <c r="B21868" t="s">
        <v>6742</v>
      </c>
      <c r="C21868" t="s">
        <v>12997</v>
      </c>
      <c r="D21868" t="s">
        <v>62725</v>
      </c>
      <c r="E21868" t="b">
        <v>0</v>
      </c>
      <c r="F21868" t="s">
        <v>11624</v>
      </c>
      <c r="G21868">
        <v>6.4090600000000002</v>
      </c>
      <c r="H21868">
        <v>9.2615999999999996</v>
      </c>
      <c r="I21868" t="s">
        <v>62726</v>
      </c>
      <c r="L21868">
        <v>0</v>
      </c>
      <c r="M21868">
        <v>0</v>
      </c>
      <c r="N21868">
        <v>0</v>
      </c>
      <c r="O21868" t="s">
        <v>11693</v>
      </c>
    </row>
    <row r="21869" spans="1:15">
      <c r="A21869" t="s">
        <v>16534</v>
      </c>
      <c r="B21869" t="s">
        <v>6742</v>
      </c>
      <c r="C21869" t="s">
        <v>21002</v>
      </c>
      <c r="D21869" t="s">
        <v>62727</v>
      </c>
      <c r="E21869" t="b">
        <v>0</v>
      </c>
      <c r="F21869" t="s">
        <v>11622</v>
      </c>
      <c r="L21869">
        <v>34</v>
      </c>
      <c r="M21869">
        <v>57</v>
      </c>
      <c r="N21869">
        <v>59</v>
      </c>
    </row>
    <row r="21870" spans="1:15">
      <c r="A21870" t="s">
        <v>62728</v>
      </c>
      <c r="B21870" t="s">
        <v>367</v>
      </c>
      <c r="C21870" t="s">
        <v>16054</v>
      </c>
      <c r="D21870" t="s">
        <v>62729</v>
      </c>
      <c r="E21870" t="b">
        <v>0</v>
      </c>
      <c r="F21870" t="s">
        <v>11610</v>
      </c>
      <c r="L21870">
        <v>0</v>
      </c>
      <c r="M21870">
        <v>0</v>
      </c>
      <c r="N21870">
        <v>0</v>
      </c>
    </row>
    <row r="21871" spans="1:15">
      <c r="A21871" t="s">
        <v>62730</v>
      </c>
      <c r="B21871" t="s">
        <v>11607</v>
      </c>
      <c r="C21871" t="s">
        <v>26486</v>
      </c>
      <c r="D21871" t="s">
        <v>62731</v>
      </c>
      <c r="E21871" t="b">
        <v>0</v>
      </c>
      <c r="F21871" t="s">
        <v>11624</v>
      </c>
      <c r="G21871">
        <v>11.800599999999999</v>
      </c>
      <c r="H21871">
        <v>18.558</v>
      </c>
      <c r="I21871" t="s">
        <v>62732</v>
      </c>
      <c r="L21871">
        <v>0</v>
      </c>
      <c r="M21871">
        <v>0</v>
      </c>
      <c r="N21871">
        <v>0</v>
      </c>
      <c r="O21871" t="s">
        <v>13421</v>
      </c>
    </row>
    <row r="21872" spans="1:15">
      <c r="A21872" t="s">
        <v>62733</v>
      </c>
      <c r="B21872" t="s">
        <v>6742</v>
      </c>
      <c r="C21872" t="s">
        <v>12818</v>
      </c>
      <c r="D21872" t="s">
        <v>62734</v>
      </c>
      <c r="E21872" t="b">
        <v>0</v>
      </c>
      <c r="F21872" t="s">
        <v>11610</v>
      </c>
      <c r="L21872">
        <v>0</v>
      </c>
      <c r="M21872">
        <v>0</v>
      </c>
      <c r="N21872">
        <v>0</v>
      </c>
    </row>
    <row r="21873" spans="1:15">
      <c r="A21873" t="s">
        <v>62735</v>
      </c>
      <c r="B21873" t="s">
        <v>367</v>
      </c>
      <c r="C21873" t="s">
        <v>14452</v>
      </c>
      <c r="D21873" t="s">
        <v>62736</v>
      </c>
      <c r="E21873" t="b">
        <v>0</v>
      </c>
      <c r="F21873" t="s">
        <v>11624</v>
      </c>
      <c r="G21873">
        <v>-9.5904399999999992</v>
      </c>
      <c r="H21873">
        <v>149.39599999999999</v>
      </c>
      <c r="I21873" t="s">
        <v>62737</v>
      </c>
      <c r="L21873">
        <v>0</v>
      </c>
      <c r="M21873">
        <v>0</v>
      </c>
      <c r="N21873">
        <v>0</v>
      </c>
      <c r="O21873" t="s">
        <v>11660</v>
      </c>
    </row>
    <row r="21874" spans="1:15">
      <c r="A21874" t="s">
        <v>62738</v>
      </c>
      <c r="B21874" t="s">
        <v>367</v>
      </c>
      <c r="C21874" t="s">
        <v>21560</v>
      </c>
      <c r="D21874" t="s">
        <v>62739</v>
      </c>
      <c r="E21874" t="b">
        <v>0</v>
      </c>
      <c r="F21874" t="s">
        <v>11610</v>
      </c>
      <c r="L21874">
        <v>0</v>
      </c>
      <c r="M21874">
        <v>0</v>
      </c>
      <c r="N21874">
        <v>0</v>
      </c>
    </row>
    <row r="21875" spans="1:15">
      <c r="A21875" t="s">
        <v>62740</v>
      </c>
      <c r="B21875" t="s">
        <v>11644</v>
      </c>
      <c r="C21875" t="s">
        <v>19521</v>
      </c>
      <c r="D21875" t="s">
        <v>62741</v>
      </c>
      <c r="E21875" t="b">
        <v>0</v>
      </c>
      <c r="F21875" t="s">
        <v>11610</v>
      </c>
      <c r="L21875">
        <v>0</v>
      </c>
      <c r="M21875">
        <v>0</v>
      </c>
      <c r="N21875">
        <v>0</v>
      </c>
    </row>
    <row r="21876" spans="1:15">
      <c r="A21876" t="s">
        <v>62742</v>
      </c>
      <c r="B21876" t="s">
        <v>6742</v>
      </c>
      <c r="C21876" t="s">
        <v>12862</v>
      </c>
      <c r="D21876" t="s">
        <v>62743</v>
      </c>
      <c r="E21876" t="b">
        <v>0</v>
      </c>
      <c r="F21876" t="s">
        <v>11610</v>
      </c>
      <c r="L21876">
        <v>0</v>
      </c>
      <c r="M21876">
        <v>0</v>
      </c>
      <c r="N21876">
        <v>0</v>
      </c>
    </row>
    <row r="21877" spans="1:15">
      <c r="A21877" t="s">
        <v>62744</v>
      </c>
      <c r="B21877" t="s">
        <v>6742</v>
      </c>
      <c r="C21877" t="s">
        <v>12792</v>
      </c>
      <c r="D21877" t="s">
        <v>62745</v>
      </c>
      <c r="E21877" t="b">
        <v>0</v>
      </c>
      <c r="F21877" t="s">
        <v>11610</v>
      </c>
      <c r="L21877">
        <v>0</v>
      </c>
      <c r="M21877">
        <v>0</v>
      </c>
      <c r="N21877">
        <v>0</v>
      </c>
    </row>
    <row r="21878" spans="1:15">
      <c r="A21878" t="s">
        <v>62746</v>
      </c>
      <c r="B21878" t="s">
        <v>11653</v>
      </c>
      <c r="C21878" t="s">
        <v>11653</v>
      </c>
      <c r="D21878" t="s">
        <v>62747</v>
      </c>
      <c r="E21878" t="b">
        <v>0</v>
      </c>
      <c r="F21878" t="s">
        <v>11624</v>
      </c>
      <c r="G21878">
        <v>43.67</v>
      </c>
      <c r="H21878">
        <v>39.67</v>
      </c>
      <c r="I21878" t="s">
        <v>62748</v>
      </c>
      <c r="L21878">
        <v>0</v>
      </c>
      <c r="M21878">
        <v>0</v>
      </c>
      <c r="N21878">
        <v>0</v>
      </c>
      <c r="O21878" t="s">
        <v>16254</v>
      </c>
    </row>
    <row r="21879" spans="1:15">
      <c r="A21879" t="s">
        <v>62749</v>
      </c>
      <c r="B21879" t="s">
        <v>11894</v>
      </c>
      <c r="C21879" t="s">
        <v>12643</v>
      </c>
      <c r="D21879" t="s">
        <v>62750</v>
      </c>
      <c r="E21879" t="b">
        <v>0</v>
      </c>
      <c r="F21879" t="s">
        <v>11624</v>
      </c>
      <c r="G21879">
        <v>-9.4942399999999996</v>
      </c>
      <c r="H21879">
        <v>-73.183599999999998</v>
      </c>
      <c r="I21879" t="s">
        <v>62751</v>
      </c>
      <c r="L21879">
        <v>0</v>
      </c>
      <c r="M21879">
        <v>0</v>
      </c>
      <c r="N21879">
        <v>0</v>
      </c>
      <c r="O21879" t="s">
        <v>13248</v>
      </c>
    </row>
    <row r="21880" spans="1:15">
      <c r="A21880" t="s">
        <v>62752</v>
      </c>
      <c r="B21880" t="s">
        <v>11637</v>
      </c>
      <c r="C21880" t="s">
        <v>19566</v>
      </c>
      <c r="D21880" t="s">
        <v>62753</v>
      </c>
      <c r="E21880" t="b">
        <v>0</v>
      </c>
      <c r="F21880" t="s">
        <v>11610</v>
      </c>
      <c r="L21880">
        <v>0</v>
      </c>
      <c r="M21880">
        <v>0</v>
      </c>
      <c r="N21880">
        <v>0</v>
      </c>
    </row>
    <row r="21881" spans="1:15">
      <c r="A21881" t="s">
        <v>62754</v>
      </c>
      <c r="B21881" t="s">
        <v>6742</v>
      </c>
      <c r="C21881" t="s">
        <v>27268</v>
      </c>
      <c r="D21881" t="s">
        <v>62755</v>
      </c>
      <c r="E21881" t="b">
        <v>0</v>
      </c>
      <c r="F21881" t="s">
        <v>11624</v>
      </c>
      <c r="G21881">
        <v>4.7019599999999997</v>
      </c>
      <c r="H21881">
        <v>8.0656199999999991</v>
      </c>
      <c r="I21881" t="s">
        <v>62756</v>
      </c>
      <c r="L21881">
        <v>0</v>
      </c>
      <c r="M21881">
        <v>0</v>
      </c>
      <c r="N21881">
        <v>0</v>
      </c>
      <c r="O21881" t="s">
        <v>11693</v>
      </c>
    </row>
    <row r="21882" spans="1:15">
      <c r="A21882" t="s">
        <v>62757</v>
      </c>
      <c r="B21882" t="s">
        <v>367</v>
      </c>
      <c r="C21882" t="s">
        <v>17705</v>
      </c>
      <c r="D21882" t="s">
        <v>62758</v>
      </c>
      <c r="E21882" t="b">
        <v>0</v>
      </c>
      <c r="F21882" t="s">
        <v>11610</v>
      </c>
      <c r="L21882">
        <v>0</v>
      </c>
      <c r="M21882">
        <v>0</v>
      </c>
      <c r="N21882">
        <v>0</v>
      </c>
    </row>
    <row r="21883" spans="1:15">
      <c r="A21883" t="s">
        <v>62759</v>
      </c>
      <c r="B21883" t="s">
        <v>11637</v>
      </c>
      <c r="C21883" t="s">
        <v>24607</v>
      </c>
      <c r="D21883" t="s">
        <v>62760</v>
      </c>
      <c r="E21883" t="b">
        <v>0</v>
      </c>
      <c r="F21883" t="s">
        <v>11610</v>
      </c>
      <c r="L21883">
        <v>0</v>
      </c>
      <c r="M21883">
        <v>0</v>
      </c>
      <c r="N21883">
        <v>0</v>
      </c>
    </row>
    <row r="21884" spans="1:15">
      <c r="A21884" t="s">
        <v>62761</v>
      </c>
      <c r="B21884" t="s">
        <v>13518</v>
      </c>
      <c r="C21884" t="s">
        <v>13519</v>
      </c>
      <c r="D21884" t="s">
        <v>62762</v>
      </c>
      <c r="E21884" t="b">
        <v>0</v>
      </c>
      <c r="F21884" t="s">
        <v>11610</v>
      </c>
      <c r="L21884">
        <v>0</v>
      </c>
      <c r="M21884">
        <v>0</v>
      </c>
      <c r="N21884">
        <v>0</v>
      </c>
    </row>
    <row r="21885" spans="1:15">
      <c r="A21885" t="s">
        <v>12330</v>
      </c>
      <c r="B21885" t="s">
        <v>12311</v>
      </c>
      <c r="C21885" t="s">
        <v>25998</v>
      </c>
      <c r="D21885" t="s">
        <v>62763</v>
      </c>
      <c r="E21885" t="b">
        <v>0</v>
      </c>
      <c r="F21885" t="s">
        <v>11622</v>
      </c>
      <c r="L21885">
        <v>0</v>
      </c>
      <c r="M21885">
        <v>2</v>
      </c>
      <c r="N21885">
        <v>3</v>
      </c>
    </row>
    <row r="21886" spans="1:15">
      <c r="A21886" t="s">
        <v>13964</v>
      </c>
      <c r="B21886" t="s">
        <v>12686</v>
      </c>
      <c r="C21886" t="s">
        <v>21792</v>
      </c>
      <c r="D21886" t="s">
        <v>62764</v>
      </c>
      <c r="E21886" t="b">
        <v>0</v>
      </c>
      <c r="F21886" t="s">
        <v>11624</v>
      </c>
      <c r="G21886">
        <v>46.630899999999997</v>
      </c>
      <c r="H21886">
        <v>135.678</v>
      </c>
      <c r="I21886" t="s">
        <v>62765</v>
      </c>
      <c r="L21886">
        <v>0</v>
      </c>
      <c r="M21886">
        <v>0</v>
      </c>
      <c r="N21886">
        <v>7</v>
      </c>
      <c r="O21886" t="s">
        <v>12748</v>
      </c>
    </row>
    <row r="21887" spans="1:15">
      <c r="A21887" t="s">
        <v>47686</v>
      </c>
      <c r="B21887" t="s">
        <v>12311</v>
      </c>
      <c r="C21887" t="s">
        <v>12330</v>
      </c>
      <c r="D21887" t="s">
        <v>62766</v>
      </c>
      <c r="E21887" t="b">
        <v>0</v>
      </c>
      <c r="F21887" t="s">
        <v>11624</v>
      </c>
      <c r="G21887">
        <v>40.9</v>
      </c>
      <c r="H21887">
        <v>47.723599999999998</v>
      </c>
      <c r="I21887" t="s">
        <v>62767</v>
      </c>
      <c r="L21887">
        <v>0</v>
      </c>
      <c r="M21887">
        <v>0</v>
      </c>
      <c r="N21887">
        <v>3</v>
      </c>
      <c r="O21887" t="s">
        <v>62768</v>
      </c>
    </row>
    <row r="21888" spans="1:15">
      <c r="A21888" t="s">
        <v>1462</v>
      </c>
      <c r="B21888" t="s">
        <v>12260</v>
      </c>
      <c r="C21888" t="s">
        <v>37152</v>
      </c>
      <c r="D21888" t="s">
        <v>1460</v>
      </c>
      <c r="E21888" t="b">
        <v>0</v>
      </c>
      <c r="F21888" t="s">
        <v>11624</v>
      </c>
      <c r="G21888">
        <v>56.12921</v>
      </c>
      <c r="H21888">
        <v>52.635480000000001</v>
      </c>
      <c r="I21888" t="s">
        <v>9470</v>
      </c>
      <c r="L21888">
        <v>0</v>
      </c>
      <c r="M21888">
        <v>0</v>
      </c>
      <c r="N21888">
        <v>5</v>
      </c>
      <c r="O21888" t="s">
        <v>25901</v>
      </c>
    </row>
    <row r="21889" spans="1:15">
      <c r="A21889" t="s">
        <v>62769</v>
      </c>
      <c r="B21889" t="s">
        <v>6742</v>
      </c>
      <c r="C21889" t="s">
        <v>12177</v>
      </c>
      <c r="D21889" t="s">
        <v>62770</v>
      </c>
      <c r="E21889" t="b">
        <v>0</v>
      </c>
      <c r="F21889" t="s">
        <v>11610</v>
      </c>
      <c r="L21889">
        <v>0</v>
      </c>
      <c r="M21889">
        <v>0</v>
      </c>
      <c r="N21889">
        <v>0</v>
      </c>
    </row>
    <row r="21890" spans="1:15">
      <c r="A21890" t="s">
        <v>62771</v>
      </c>
      <c r="B21890" t="s">
        <v>17751</v>
      </c>
      <c r="C21890" t="s">
        <v>37176</v>
      </c>
      <c r="D21890" t="s">
        <v>62772</v>
      </c>
      <c r="E21890" t="b">
        <v>0</v>
      </c>
      <c r="F21890" t="s">
        <v>11624</v>
      </c>
      <c r="G21890">
        <v>9.1601199999999992</v>
      </c>
      <c r="H21890">
        <v>34.229300000000002</v>
      </c>
      <c r="I21890" t="s">
        <v>62773</v>
      </c>
      <c r="L21890">
        <v>0</v>
      </c>
      <c r="M21890">
        <v>0</v>
      </c>
      <c r="N21890">
        <v>0</v>
      </c>
      <c r="O21890" t="s">
        <v>14035</v>
      </c>
    </row>
    <row r="21891" spans="1:15">
      <c r="A21891" t="s">
        <v>62774</v>
      </c>
      <c r="B21891" t="s">
        <v>6742</v>
      </c>
      <c r="C21891" t="s">
        <v>12292</v>
      </c>
      <c r="D21891" t="s">
        <v>62775</v>
      </c>
      <c r="E21891" t="b">
        <v>0</v>
      </c>
      <c r="F21891" t="s">
        <v>11610</v>
      </c>
      <c r="L21891">
        <v>0</v>
      </c>
      <c r="M21891">
        <v>0</v>
      </c>
      <c r="N21891">
        <v>0</v>
      </c>
    </row>
    <row r="21892" spans="1:15">
      <c r="A21892" t="s">
        <v>62776</v>
      </c>
      <c r="B21892" t="s">
        <v>6742</v>
      </c>
      <c r="C21892" t="s">
        <v>19375</v>
      </c>
      <c r="D21892" t="s">
        <v>62777</v>
      </c>
      <c r="E21892" t="b">
        <v>0</v>
      </c>
      <c r="F21892" t="s">
        <v>11610</v>
      </c>
      <c r="L21892">
        <v>0</v>
      </c>
      <c r="M21892">
        <v>0</v>
      </c>
      <c r="N21892">
        <v>0</v>
      </c>
    </row>
    <row r="21893" spans="1:15">
      <c r="A21893" t="s">
        <v>62778</v>
      </c>
      <c r="B21893" t="s">
        <v>13210</v>
      </c>
      <c r="C21893" t="s">
        <v>355</v>
      </c>
      <c r="D21893" t="s">
        <v>62779</v>
      </c>
      <c r="E21893" t="b">
        <v>0</v>
      </c>
      <c r="F21893" t="s">
        <v>11610</v>
      </c>
      <c r="L21893">
        <v>0</v>
      </c>
      <c r="M21893">
        <v>0</v>
      </c>
      <c r="N21893">
        <v>0</v>
      </c>
    </row>
    <row r="21894" spans="1:15">
      <c r="A21894" t="s">
        <v>62780</v>
      </c>
      <c r="B21894" t="s">
        <v>367</v>
      </c>
      <c r="C21894" t="s">
        <v>17819</v>
      </c>
      <c r="D21894" t="s">
        <v>62781</v>
      </c>
      <c r="E21894" t="b">
        <v>0</v>
      </c>
      <c r="F21894" t="s">
        <v>11610</v>
      </c>
      <c r="L21894">
        <v>0</v>
      </c>
      <c r="M21894">
        <v>0</v>
      </c>
      <c r="N21894">
        <v>0</v>
      </c>
    </row>
    <row r="21895" spans="1:15">
      <c r="A21895" t="s">
        <v>62782</v>
      </c>
      <c r="B21895" t="s">
        <v>6742</v>
      </c>
      <c r="C21895" t="s">
        <v>51007</v>
      </c>
      <c r="D21895" t="s">
        <v>62783</v>
      </c>
      <c r="E21895" t="b">
        <v>0</v>
      </c>
      <c r="F21895" t="s">
        <v>11610</v>
      </c>
      <c r="L21895">
        <v>0</v>
      </c>
      <c r="M21895">
        <v>0</v>
      </c>
      <c r="N21895">
        <v>0</v>
      </c>
    </row>
    <row r="21896" spans="1:15">
      <c r="A21896" t="s">
        <v>62784</v>
      </c>
      <c r="B21896" t="s">
        <v>11615</v>
      </c>
      <c r="C21896" t="s">
        <v>33016</v>
      </c>
      <c r="D21896" t="s">
        <v>62785</v>
      </c>
      <c r="E21896" t="b">
        <v>0</v>
      </c>
      <c r="F21896" t="s">
        <v>11624</v>
      </c>
      <c r="G21896">
        <v>-6.0512800000000002</v>
      </c>
      <c r="H21896">
        <v>146.245</v>
      </c>
      <c r="I21896" t="s">
        <v>62786</v>
      </c>
      <c r="L21896">
        <v>0</v>
      </c>
      <c r="M21896">
        <v>0</v>
      </c>
      <c r="N21896">
        <v>0</v>
      </c>
      <c r="O21896" t="s">
        <v>11660</v>
      </c>
    </row>
    <row r="21897" spans="1:15">
      <c r="A21897" t="s">
        <v>33016</v>
      </c>
      <c r="B21897" t="s">
        <v>11615</v>
      </c>
      <c r="C21897" t="s">
        <v>29317</v>
      </c>
      <c r="D21897" t="s">
        <v>62787</v>
      </c>
      <c r="E21897" t="b">
        <v>0</v>
      </c>
      <c r="F21897" t="s">
        <v>11622</v>
      </c>
      <c r="L21897">
        <v>0</v>
      </c>
      <c r="M21897">
        <v>3</v>
      </c>
      <c r="N21897">
        <v>2</v>
      </c>
    </row>
    <row r="21898" spans="1:15">
      <c r="A21898" t="s">
        <v>62788</v>
      </c>
      <c r="B21898" t="s">
        <v>6742</v>
      </c>
      <c r="C21898" t="s">
        <v>51007</v>
      </c>
      <c r="D21898" t="s">
        <v>62789</v>
      </c>
      <c r="E21898" t="b">
        <v>0</v>
      </c>
      <c r="F21898" t="s">
        <v>11610</v>
      </c>
      <c r="L21898">
        <v>0</v>
      </c>
      <c r="M21898">
        <v>0</v>
      </c>
      <c r="N21898">
        <v>0</v>
      </c>
    </row>
    <row r="21899" spans="1:15">
      <c r="A21899" t="s">
        <v>62790</v>
      </c>
      <c r="B21899" t="s">
        <v>367</v>
      </c>
      <c r="C21899" t="s">
        <v>17819</v>
      </c>
      <c r="D21899" t="s">
        <v>62791</v>
      </c>
      <c r="E21899" t="b">
        <v>0</v>
      </c>
      <c r="F21899" t="s">
        <v>11610</v>
      </c>
      <c r="L21899">
        <v>0</v>
      </c>
      <c r="M21899">
        <v>0</v>
      </c>
      <c r="N21899">
        <v>0</v>
      </c>
    </row>
    <row r="21900" spans="1:15">
      <c r="A21900" t="s">
        <v>62792</v>
      </c>
      <c r="B21900" t="s">
        <v>11981</v>
      </c>
      <c r="C21900" t="s">
        <v>13456</v>
      </c>
      <c r="D21900" t="s">
        <v>62793</v>
      </c>
      <c r="E21900" t="b">
        <v>0</v>
      </c>
      <c r="F21900" t="s">
        <v>11624</v>
      </c>
      <c r="G21900">
        <v>0.2475</v>
      </c>
      <c r="H21900">
        <v>32.482900000000001</v>
      </c>
      <c r="I21900" t="s">
        <v>62794</v>
      </c>
      <c r="L21900">
        <v>0</v>
      </c>
      <c r="M21900">
        <v>0</v>
      </c>
      <c r="N21900">
        <v>0</v>
      </c>
      <c r="O21900" t="s">
        <v>25786</v>
      </c>
    </row>
    <row r="21901" spans="1:15">
      <c r="A21901" t="s">
        <v>62795</v>
      </c>
      <c r="B21901" t="s">
        <v>367</v>
      </c>
      <c r="C21901" t="s">
        <v>37339</v>
      </c>
      <c r="D21901" t="s">
        <v>62796</v>
      </c>
      <c r="E21901" t="b">
        <v>0</v>
      </c>
      <c r="F21901" t="s">
        <v>11610</v>
      </c>
      <c r="L21901">
        <v>0</v>
      </c>
      <c r="M21901">
        <v>0</v>
      </c>
      <c r="N21901">
        <v>0</v>
      </c>
    </row>
    <row r="21902" spans="1:15">
      <c r="A21902" t="s">
        <v>62797</v>
      </c>
      <c r="B21902" t="s">
        <v>11607</v>
      </c>
      <c r="C21902" t="s">
        <v>14307</v>
      </c>
      <c r="D21902" t="s">
        <v>62798</v>
      </c>
      <c r="E21902" t="b">
        <v>0</v>
      </c>
      <c r="F21902" t="s">
        <v>11624</v>
      </c>
      <c r="G21902">
        <v>35.6</v>
      </c>
      <c r="H21902">
        <v>35.78</v>
      </c>
      <c r="I21902" t="s">
        <v>62799</v>
      </c>
      <c r="L21902">
        <v>0</v>
      </c>
      <c r="M21902">
        <v>0</v>
      </c>
      <c r="N21902">
        <v>0</v>
      </c>
      <c r="O21902" t="s">
        <v>13147</v>
      </c>
    </row>
    <row r="21903" spans="1:15">
      <c r="A21903" t="s">
        <v>62800</v>
      </c>
      <c r="B21903" t="s">
        <v>6742</v>
      </c>
      <c r="C21903" t="s">
        <v>32844</v>
      </c>
      <c r="D21903" t="s">
        <v>62801</v>
      </c>
      <c r="E21903" t="b">
        <v>0</v>
      </c>
      <c r="F21903" t="s">
        <v>11610</v>
      </c>
      <c r="L21903">
        <v>0</v>
      </c>
      <c r="M21903">
        <v>0</v>
      </c>
      <c r="N21903">
        <v>0</v>
      </c>
    </row>
    <row r="21904" spans="1:15">
      <c r="A21904" t="s">
        <v>62802</v>
      </c>
      <c r="B21904" t="s">
        <v>6742</v>
      </c>
      <c r="C21904" t="s">
        <v>18365</v>
      </c>
      <c r="D21904" t="s">
        <v>62803</v>
      </c>
      <c r="E21904" t="b">
        <v>0</v>
      </c>
      <c r="F21904" t="s">
        <v>11610</v>
      </c>
      <c r="L21904">
        <v>0</v>
      </c>
      <c r="M21904">
        <v>0</v>
      </c>
      <c r="N21904">
        <v>0</v>
      </c>
    </row>
    <row r="21905" spans="1:15">
      <c r="A21905" t="s">
        <v>62804</v>
      </c>
      <c r="B21905" t="s">
        <v>6742</v>
      </c>
      <c r="C21905" t="s">
        <v>40493</v>
      </c>
      <c r="D21905" t="s">
        <v>62805</v>
      </c>
      <c r="E21905" t="b">
        <v>0</v>
      </c>
      <c r="F21905" t="s">
        <v>11610</v>
      </c>
      <c r="L21905">
        <v>0</v>
      </c>
      <c r="M21905">
        <v>0</v>
      </c>
      <c r="N21905">
        <v>0</v>
      </c>
    </row>
    <row r="21906" spans="1:15">
      <c r="A21906" t="s">
        <v>62806</v>
      </c>
      <c r="B21906" t="s">
        <v>367</v>
      </c>
      <c r="C21906" t="s">
        <v>26578</v>
      </c>
      <c r="D21906" t="s">
        <v>62807</v>
      </c>
      <c r="E21906" t="b">
        <v>0</v>
      </c>
      <c r="F21906" t="s">
        <v>11624</v>
      </c>
      <c r="G21906">
        <v>-8.4572500000000002</v>
      </c>
      <c r="H21906">
        <v>157.34100000000001</v>
      </c>
      <c r="I21906" t="s">
        <v>62808</v>
      </c>
      <c r="L21906">
        <v>0</v>
      </c>
      <c r="M21906">
        <v>0</v>
      </c>
      <c r="N21906">
        <v>0</v>
      </c>
      <c r="O21906" t="s">
        <v>13346</v>
      </c>
    </row>
    <row r="21907" spans="1:15">
      <c r="A21907" t="s">
        <v>36987</v>
      </c>
      <c r="B21907" t="s">
        <v>11644</v>
      </c>
      <c r="C21907" t="s">
        <v>20515</v>
      </c>
      <c r="D21907" t="s">
        <v>62809</v>
      </c>
      <c r="E21907" t="b">
        <v>0</v>
      </c>
      <c r="F21907" t="s">
        <v>11624</v>
      </c>
      <c r="G21907">
        <v>14.2408</v>
      </c>
      <c r="H21907">
        <v>100.098</v>
      </c>
      <c r="I21907" t="s">
        <v>62810</v>
      </c>
      <c r="L21907">
        <v>0</v>
      </c>
      <c r="M21907">
        <v>0</v>
      </c>
      <c r="N21907">
        <v>2</v>
      </c>
      <c r="O21907" t="s">
        <v>16739</v>
      </c>
    </row>
    <row r="21908" spans="1:15">
      <c r="A21908" t="s">
        <v>62811</v>
      </c>
      <c r="B21908" t="s">
        <v>6742</v>
      </c>
      <c r="C21908" t="s">
        <v>31948</v>
      </c>
      <c r="D21908" t="s">
        <v>62812</v>
      </c>
      <c r="E21908" t="b">
        <v>0</v>
      </c>
      <c r="F21908" t="s">
        <v>11610</v>
      </c>
      <c r="L21908">
        <v>0</v>
      </c>
      <c r="M21908">
        <v>0</v>
      </c>
      <c r="N21908">
        <v>0</v>
      </c>
    </row>
    <row r="21909" spans="1:15">
      <c r="A21909" t="s">
        <v>62813</v>
      </c>
      <c r="B21909" t="s">
        <v>367</v>
      </c>
      <c r="C21909" t="s">
        <v>45201</v>
      </c>
      <c r="D21909" t="s">
        <v>62814</v>
      </c>
      <c r="E21909" t="b">
        <v>0</v>
      </c>
      <c r="F21909" t="s">
        <v>11610</v>
      </c>
      <c r="L21909">
        <v>0</v>
      </c>
      <c r="M21909">
        <v>0</v>
      </c>
      <c r="N21909">
        <v>0</v>
      </c>
    </row>
    <row r="21910" spans="1:15">
      <c r="A21910" t="s">
        <v>62815</v>
      </c>
      <c r="B21910" t="s">
        <v>6742</v>
      </c>
      <c r="C21910" t="s">
        <v>32995</v>
      </c>
      <c r="D21910" t="s">
        <v>62816</v>
      </c>
      <c r="E21910" t="b">
        <v>0</v>
      </c>
      <c r="F21910" t="s">
        <v>11624</v>
      </c>
      <c r="G21910">
        <v>7.3814299999999999</v>
      </c>
      <c r="H21910">
        <v>5.6853699999999998</v>
      </c>
      <c r="I21910" t="s">
        <v>62817</v>
      </c>
      <c r="L21910">
        <v>0</v>
      </c>
      <c r="M21910">
        <v>0</v>
      </c>
      <c r="N21910">
        <v>0</v>
      </c>
      <c r="O21910" t="s">
        <v>11693</v>
      </c>
    </row>
    <row r="21911" spans="1:15">
      <c r="A21911" t="s">
        <v>5223</v>
      </c>
      <c r="B21911" t="s">
        <v>331</v>
      </c>
      <c r="C21911" t="s">
        <v>32248</v>
      </c>
      <c r="D21911" t="s">
        <v>62818</v>
      </c>
      <c r="E21911" t="b">
        <v>0</v>
      </c>
      <c r="F21911" t="s">
        <v>11624</v>
      </c>
      <c r="G21911">
        <v>43.67</v>
      </c>
      <c r="H21911">
        <v>79.75</v>
      </c>
      <c r="I21911" t="s">
        <v>5225</v>
      </c>
      <c r="L21911">
        <v>0</v>
      </c>
      <c r="M21911">
        <v>0</v>
      </c>
      <c r="N21911">
        <v>12</v>
      </c>
      <c r="O21911" t="s">
        <v>62819</v>
      </c>
    </row>
    <row r="21912" spans="1:15">
      <c r="A21912" t="s">
        <v>32248</v>
      </c>
      <c r="B21912" t="s">
        <v>331</v>
      </c>
      <c r="C21912" t="s">
        <v>62820</v>
      </c>
      <c r="D21912" t="s">
        <v>62821</v>
      </c>
      <c r="E21912" t="b">
        <v>0</v>
      </c>
      <c r="F21912" t="s">
        <v>11622</v>
      </c>
      <c r="L21912">
        <v>0</v>
      </c>
      <c r="M21912">
        <v>2</v>
      </c>
      <c r="N21912">
        <v>12</v>
      </c>
    </row>
    <row r="21913" spans="1:15">
      <c r="A21913" t="s">
        <v>62822</v>
      </c>
      <c r="B21913" t="s">
        <v>11894</v>
      </c>
      <c r="C21913" t="s">
        <v>15965</v>
      </c>
      <c r="D21913" t="s">
        <v>62823</v>
      </c>
      <c r="E21913" t="b">
        <v>0</v>
      </c>
      <c r="F21913" t="s">
        <v>11624</v>
      </c>
      <c r="G21913">
        <v>0.66246099999999997</v>
      </c>
      <c r="H21913">
        <v>-63.766480000000001</v>
      </c>
      <c r="L21913">
        <v>0</v>
      </c>
      <c r="M21913">
        <v>0</v>
      </c>
      <c r="N21913">
        <v>0</v>
      </c>
      <c r="O21913" t="s">
        <v>11969</v>
      </c>
    </row>
    <row r="21914" spans="1:15">
      <c r="A21914" t="s">
        <v>62824</v>
      </c>
      <c r="B21914" t="s">
        <v>16042</v>
      </c>
      <c r="C21914" t="s">
        <v>20128</v>
      </c>
      <c r="D21914" t="s">
        <v>62825</v>
      </c>
      <c r="E21914" t="b">
        <v>0</v>
      </c>
      <c r="F21914" t="s">
        <v>11624</v>
      </c>
      <c r="G21914">
        <v>-6.5553299999999997</v>
      </c>
      <c r="H21914">
        <v>155.70599999999999</v>
      </c>
      <c r="I21914" t="s">
        <v>62826</v>
      </c>
      <c r="L21914">
        <v>0</v>
      </c>
      <c r="M21914">
        <v>0</v>
      </c>
      <c r="N21914">
        <v>0</v>
      </c>
      <c r="O21914" t="s">
        <v>11660</v>
      </c>
    </row>
    <row r="21915" spans="1:15">
      <c r="A21915" t="s">
        <v>62827</v>
      </c>
      <c r="B21915" t="s">
        <v>367</v>
      </c>
      <c r="C21915" t="s">
        <v>15988</v>
      </c>
      <c r="D21915" t="s">
        <v>62828</v>
      </c>
      <c r="E21915" t="b">
        <v>0</v>
      </c>
      <c r="F21915" t="s">
        <v>11610</v>
      </c>
      <c r="L21915">
        <v>0</v>
      </c>
      <c r="M21915">
        <v>0</v>
      </c>
      <c r="N21915">
        <v>0</v>
      </c>
    </row>
    <row r="21916" spans="1:15">
      <c r="A21916" t="s">
        <v>62829</v>
      </c>
      <c r="B21916" t="s">
        <v>11644</v>
      </c>
      <c r="C21916" t="s">
        <v>33086</v>
      </c>
      <c r="D21916" t="s">
        <v>62830</v>
      </c>
      <c r="E21916" t="b">
        <v>0</v>
      </c>
      <c r="F21916" t="s">
        <v>11610</v>
      </c>
      <c r="L21916">
        <v>0</v>
      </c>
      <c r="M21916">
        <v>0</v>
      </c>
      <c r="N21916">
        <v>0</v>
      </c>
    </row>
    <row r="21917" spans="1:15">
      <c r="A21917" t="s">
        <v>62831</v>
      </c>
      <c r="B21917" t="s">
        <v>6455</v>
      </c>
      <c r="C21917" t="s">
        <v>20807</v>
      </c>
      <c r="D21917" t="s">
        <v>62832</v>
      </c>
      <c r="E21917" t="b">
        <v>0</v>
      </c>
      <c r="F21917" t="s">
        <v>11610</v>
      </c>
      <c r="L21917">
        <v>0</v>
      </c>
      <c r="M21917">
        <v>0</v>
      </c>
      <c r="N21917">
        <v>0</v>
      </c>
    </row>
    <row r="21918" spans="1:15">
      <c r="A21918" t="s">
        <v>62833</v>
      </c>
      <c r="B21918" t="s">
        <v>6742</v>
      </c>
      <c r="C21918" t="s">
        <v>12292</v>
      </c>
      <c r="D21918" t="s">
        <v>62834</v>
      </c>
      <c r="E21918" t="b">
        <v>0</v>
      </c>
      <c r="F21918" t="s">
        <v>11610</v>
      </c>
      <c r="L21918">
        <v>0</v>
      </c>
      <c r="M21918">
        <v>0</v>
      </c>
      <c r="N21918">
        <v>0</v>
      </c>
    </row>
    <row r="21919" spans="1:15">
      <c r="A21919" t="s">
        <v>62835</v>
      </c>
      <c r="B21919" t="s">
        <v>6742</v>
      </c>
      <c r="C21919" t="s">
        <v>17908</v>
      </c>
      <c r="D21919" t="s">
        <v>62836</v>
      </c>
      <c r="E21919" t="b">
        <v>0</v>
      </c>
      <c r="F21919" t="s">
        <v>11610</v>
      </c>
      <c r="G21919">
        <v>-9.2455300000000005</v>
      </c>
      <c r="H21919">
        <v>34.509360000000001</v>
      </c>
      <c r="L21919">
        <v>0</v>
      </c>
      <c r="M21919">
        <v>0</v>
      </c>
      <c r="N21919">
        <v>0</v>
      </c>
    </row>
    <row r="21920" spans="1:15">
      <c r="A21920" t="s">
        <v>62837</v>
      </c>
      <c r="B21920" t="s">
        <v>367</v>
      </c>
      <c r="C21920" t="s">
        <v>37038</v>
      </c>
      <c r="D21920" t="s">
        <v>62838</v>
      </c>
      <c r="E21920" t="b">
        <v>0</v>
      </c>
      <c r="F21920" t="s">
        <v>11624</v>
      </c>
      <c r="G21920">
        <v>-5.6932900000000002</v>
      </c>
      <c r="H21920">
        <v>134.25700000000001</v>
      </c>
      <c r="I21920" t="s">
        <v>62839</v>
      </c>
      <c r="L21920">
        <v>0</v>
      </c>
      <c r="M21920">
        <v>0</v>
      </c>
      <c r="N21920">
        <v>0</v>
      </c>
      <c r="O21920" t="s">
        <v>11768</v>
      </c>
    </row>
    <row r="21921" spans="1:15">
      <c r="A21921" t="s">
        <v>37038</v>
      </c>
      <c r="B21921" t="s">
        <v>367</v>
      </c>
      <c r="C21921" t="s">
        <v>14691</v>
      </c>
      <c r="D21921" t="s">
        <v>62840</v>
      </c>
      <c r="E21921" t="b">
        <v>0</v>
      </c>
      <c r="F21921" t="s">
        <v>11622</v>
      </c>
      <c r="L21921">
        <v>1</v>
      </c>
      <c r="M21921">
        <v>3</v>
      </c>
      <c r="N21921">
        <v>0</v>
      </c>
    </row>
    <row r="21922" spans="1:15">
      <c r="A21922" t="s">
        <v>62841</v>
      </c>
      <c r="B21922" t="s">
        <v>11637</v>
      </c>
      <c r="C21922" t="s">
        <v>15671</v>
      </c>
      <c r="D21922" t="s">
        <v>62842</v>
      </c>
      <c r="E21922" t="b">
        <v>0</v>
      </c>
      <c r="F21922" t="s">
        <v>11610</v>
      </c>
      <c r="L21922">
        <v>0</v>
      </c>
      <c r="M21922">
        <v>0</v>
      </c>
      <c r="N21922">
        <v>0</v>
      </c>
    </row>
    <row r="21923" spans="1:15">
      <c r="A21923" t="s">
        <v>15121</v>
      </c>
      <c r="B21923" t="s">
        <v>6742</v>
      </c>
      <c r="C21923" t="s">
        <v>12815</v>
      </c>
      <c r="D21923" t="s">
        <v>62843</v>
      </c>
      <c r="E21923" t="b">
        <v>0</v>
      </c>
      <c r="F21923" t="s">
        <v>11624</v>
      </c>
      <c r="G21923">
        <v>7.5972200000000001</v>
      </c>
      <c r="H21923">
        <v>6.0393299999999996</v>
      </c>
      <c r="I21923" t="s">
        <v>62844</v>
      </c>
      <c r="L21923">
        <v>0</v>
      </c>
      <c r="M21923">
        <v>0</v>
      </c>
      <c r="N21923">
        <v>3</v>
      </c>
      <c r="O21923" t="s">
        <v>11693</v>
      </c>
    </row>
    <row r="21924" spans="1:15">
      <c r="A21924" t="s">
        <v>62845</v>
      </c>
      <c r="B21924" t="s">
        <v>13210</v>
      </c>
      <c r="C21924" t="s">
        <v>26670</v>
      </c>
      <c r="D21924" t="s">
        <v>62846</v>
      </c>
      <c r="E21924" t="b">
        <v>0</v>
      </c>
      <c r="F21924" t="s">
        <v>11610</v>
      </c>
      <c r="L21924">
        <v>0</v>
      </c>
      <c r="M21924">
        <v>0</v>
      </c>
      <c r="N21924">
        <v>0</v>
      </c>
    </row>
    <row r="21925" spans="1:15">
      <c r="A21925" t="s">
        <v>62847</v>
      </c>
      <c r="B21925" t="s">
        <v>6742</v>
      </c>
      <c r="C21925" t="s">
        <v>17908</v>
      </c>
      <c r="D21925" t="s">
        <v>62848</v>
      </c>
      <c r="E21925" t="b">
        <v>0</v>
      </c>
      <c r="F21925" t="s">
        <v>11610</v>
      </c>
      <c r="G21925">
        <v>-9.1858900000000006</v>
      </c>
      <c r="H21925">
        <v>35.280470000000001</v>
      </c>
      <c r="L21925">
        <v>0</v>
      </c>
      <c r="M21925">
        <v>0</v>
      </c>
      <c r="N21925">
        <v>0</v>
      </c>
    </row>
    <row r="21926" spans="1:15">
      <c r="A21926" t="s">
        <v>62849</v>
      </c>
      <c r="B21926" t="s">
        <v>6742</v>
      </c>
      <c r="C21926" t="s">
        <v>11677</v>
      </c>
      <c r="D21926" t="s">
        <v>62850</v>
      </c>
      <c r="E21926" t="b">
        <v>0</v>
      </c>
      <c r="F21926" t="s">
        <v>11610</v>
      </c>
      <c r="L21926">
        <v>0</v>
      </c>
      <c r="M21926">
        <v>0</v>
      </c>
      <c r="N21926">
        <v>0</v>
      </c>
    </row>
    <row r="21927" spans="1:15">
      <c r="A21927" t="s">
        <v>62851</v>
      </c>
      <c r="B21927" t="s">
        <v>11644</v>
      </c>
      <c r="C21927" t="s">
        <v>38323</v>
      </c>
      <c r="D21927" t="s">
        <v>62852</v>
      </c>
      <c r="E21927" t="b">
        <v>0</v>
      </c>
      <c r="F21927" t="s">
        <v>11610</v>
      </c>
      <c r="L21927">
        <v>0</v>
      </c>
      <c r="M21927">
        <v>0</v>
      </c>
      <c r="N21927">
        <v>0</v>
      </c>
    </row>
    <row r="21928" spans="1:15">
      <c r="A21928" t="s">
        <v>18527</v>
      </c>
      <c r="B21928" t="s">
        <v>6742</v>
      </c>
      <c r="C21928" t="s">
        <v>45508</v>
      </c>
      <c r="D21928" t="s">
        <v>62853</v>
      </c>
      <c r="E21928" t="b">
        <v>0</v>
      </c>
      <c r="F21928" t="s">
        <v>11624</v>
      </c>
      <c r="G21928">
        <v>2.9095</v>
      </c>
      <c r="H21928">
        <v>16.266999999999999</v>
      </c>
      <c r="I21928" t="s">
        <v>62854</v>
      </c>
      <c r="L21928">
        <v>0</v>
      </c>
      <c r="M21928">
        <v>0</v>
      </c>
      <c r="N21928">
        <v>4</v>
      </c>
      <c r="O21928" t="s">
        <v>16548</v>
      </c>
    </row>
    <row r="21929" spans="1:15">
      <c r="A21929" t="s">
        <v>62855</v>
      </c>
      <c r="B21929" t="s">
        <v>21717</v>
      </c>
      <c r="C21929" t="s">
        <v>21716</v>
      </c>
      <c r="D21929" t="s">
        <v>62856</v>
      </c>
      <c r="E21929" t="b">
        <v>0</v>
      </c>
      <c r="F21929" t="s">
        <v>11610</v>
      </c>
      <c r="L21929">
        <v>0</v>
      </c>
      <c r="M21929">
        <v>0</v>
      </c>
      <c r="N21929">
        <v>0</v>
      </c>
    </row>
    <row r="21930" spans="1:15">
      <c r="A21930" t="s">
        <v>62857</v>
      </c>
      <c r="B21930" t="s">
        <v>367</v>
      </c>
      <c r="C21930" t="s">
        <v>54951</v>
      </c>
      <c r="D21930" t="s">
        <v>62858</v>
      </c>
      <c r="E21930" t="b">
        <v>0</v>
      </c>
      <c r="F21930" t="s">
        <v>11610</v>
      </c>
      <c r="L21930">
        <v>0</v>
      </c>
      <c r="M21930">
        <v>0</v>
      </c>
      <c r="N21930">
        <v>0</v>
      </c>
    </row>
    <row r="21931" spans="1:15">
      <c r="A21931" t="s">
        <v>62859</v>
      </c>
      <c r="B21931" t="s">
        <v>367</v>
      </c>
      <c r="C21931" t="s">
        <v>20155</v>
      </c>
      <c r="D21931" t="s">
        <v>62860</v>
      </c>
      <c r="E21931" t="b">
        <v>0</v>
      </c>
      <c r="F21931" t="s">
        <v>11624</v>
      </c>
      <c r="G21931">
        <v>1.56623</v>
      </c>
      <c r="H21931">
        <v>114.57899999999999</v>
      </c>
      <c r="I21931" t="s">
        <v>62861</v>
      </c>
      <c r="L21931">
        <v>0</v>
      </c>
      <c r="M21931">
        <v>0</v>
      </c>
      <c r="N21931">
        <v>0</v>
      </c>
      <c r="O21931" t="s">
        <v>11672</v>
      </c>
    </row>
    <row r="21932" spans="1:15">
      <c r="A21932" t="s">
        <v>17590</v>
      </c>
      <c r="B21932" t="s">
        <v>6742</v>
      </c>
      <c r="C21932" t="s">
        <v>12997</v>
      </c>
      <c r="D21932" t="s">
        <v>62862</v>
      </c>
      <c r="E21932" t="b">
        <v>0</v>
      </c>
      <c r="F21932" t="s">
        <v>11624</v>
      </c>
      <c r="G21932">
        <v>6.5288300000000001</v>
      </c>
      <c r="H21932">
        <v>9.0260300000000004</v>
      </c>
      <c r="I21932" t="s">
        <v>62863</v>
      </c>
      <c r="L21932">
        <v>0</v>
      </c>
      <c r="M21932">
        <v>0</v>
      </c>
      <c r="N21932">
        <v>2</v>
      </c>
      <c r="O21932" t="s">
        <v>11693</v>
      </c>
    </row>
    <row r="21933" spans="1:15">
      <c r="A21933" t="s">
        <v>62864</v>
      </c>
      <c r="B21933" t="s">
        <v>6742</v>
      </c>
      <c r="C21933" t="s">
        <v>17590</v>
      </c>
      <c r="D21933" t="s">
        <v>62865</v>
      </c>
      <c r="E21933" t="b">
        <v>0</v>
      </c>
      <c r="F21933" t="s">
        <v>11610</v>
      </c>
      <c r="L21933">
        <v>0</v>
      </c>
      <c r="M21933">
        <v>0</v>
      </c>
      <c r="N21933">
        <v>0</v>
      </c>
    </row>
    <row r="21934" spans="1:15">
      <c r="A21934" t="s">
        <v>26906</v>
      </c>
      <c r="B21934" t="s">
        <v>6742</v>
      </c>
      <c r="C21934" t="s">
        <v>12356</v>
      </c>
      <c r="D21934" t="s">
        <v>62866</v>
      </c>
      <c r="E21934" t="b">
        <v>0</v>
      </c>
      <c r="F21934" t="s">
        <v>11624</v>
      </c>
      <c r="G21934">
        <v>5.5831600000000003</v>
      </c>
      <c r="H21934">
        <v>8.1004699999999996</v>
      </c>
      <c r="I21934" t="s">
        <v>62867</v>
      </c>
      <c r="L21934">
        <v>0</v>
      </c>
      <c r="M21934">
        <v>0</v>
      </c>
      <c r="N21934">
        <v>2</v>
      </c>
      <c r="O21934" t="s">
        <v>11693</v>
      </c>
    </row>
    <row r="21935" spans="1:15">
      <c r="A21935" t="s">
        <v>62868</v>
      </c>
      <c r="B21935" t="s">
        <v>6742</v>
      </c>
      <c r="C21935" t="s">
        <v>26906</v>
      </c>
      <c r="D21935" t="s">
        <v>62869</v>
      </c>
      <c r="E21935" t="b">
        <v>0</v>
      </c>
      <c r="F21935" t="s">
        <v>11610</v>
      </c>
      <c r="L21935">
        <v>0</v>
      </c>
      <c r="M21935">
        <v>0</v>
      </c>
      <c r="N21935">
        <v>0</v>
      </c>
    </row>
    <row r="21936" spans="1:15">
      <c r="A21936" t="s">
        <v>62870</v>
      </c>
      <c r="B21936" t="s">
        <v>11981</v>
      </c>
      <c r="C21936" t="s">
        <v>29056</v>
      </c>
      <c r="D21936" t="s">
        <v>62871</v>
      </c>
      <c r="E21936" t="b">
        <v>0</v>
      </c>
      <c r="F21936" t="s">
        <v>11624</v>
      </c>
      <c r="G21936">
        <v>50.411099999999998</v>
      </c>
      <c r="H21936">
        <v>30.553000000000001</v>
      </c>
      <c r="I21936" t="s">
        <v>62872</v>
      </c>
      <c r="L21936">
        <v>0</v>
      </c>
      <c r="M21936">
        <v>0</v>
      </c>
      <c r="N21936">
        <v>0</v>
      </c>
      <c r="O21936" t="s">
        <v>37844</v>
      </c>
    </row>
    <row r="21937" spans="1:15">
      <c r="A21937" t="s">
        <v>1408</v>
      </c>
      <c r="B21937" t="s">
        <v>11637</v>
      </c>
      <c r="C21937" t="s">
        <v>54916</v>
      </c>
      <c r="D21937" t="s">
        <v>62873</v>
      </c>
      <c r="E21937" t="b">
        <v>0</v>
      </c>
      <c r="F21937" t="s">
        <v>11624</v>
      </c>
      <c r="G21937">
        <v>48.175842000000003</v>
      </c>
      <c r="H21937">
        <v>24.395786000000001</v>
      </c>
      <c r="I21937" t="s">
        <v>3549</v>
      </c>
      <c r="L21937">
        <v>0</v>
      </c>
      <c r="M21937">
        <v>0</v>
      </c>
      <c r="N21937">
        <v>3</v>
      </c>
      <c r="O21937" t="s">
        <v>62874</v>
      </c>
    </row>
    <row r="21938" spans="1:15">
      <c r="A21938" t="s">
        <v>62875</v>
      </c>
      <c r="B21938" t="s">
        <v>11637</v>
      </c>
      <c r="C21938" t="s">
        <v>18160</v>
      </c>
      <c r="D21938" t="s">
        <v>62876</v>
      </c>
      <c r="E21938" t="b">
        <v>0</v>
      </c>
      <c r="F21938" t="s">
        <v>11610</v>
      </c>
      <c r="L21938">
        <v>0</v>
      </c>
      <c r="M21938">
        <v>0</v>
      </c>
      <c r="N21938">
        <v>0</v>
      </c>
    </row>
    <row r="21939" spans="1:15">
      <c r="A21939" t="s">
        <v>62877</v>
      </c>
      <c r="B21939" t="s">
        <v>11637</v>
      </c>
      <c r="C21939" t="s">
        <v>21369</v>
      </c>
      <c r="D21939" t="s">
        <v>62878</v>
      </c>
      <c r="E21939" t="b">
        <v>0</v>
      </c>
      <c r="F21939" t="s">
        <v>11610</v>
      </c>
      <c r="L21939">
        <v>0</v>
      </c>
      <c r="M21939">
        <v>0</v>
      </c>
      <c r="N21939">
        <v>0</v>
      </c>
    </row>
    <row r="21940" spans="1:15">
      <c r="A21940" t="s">
        <v>54916</v>
      </c>
      <c r="B21940" t="s">
        <v>11637</v>
      </c>
      <c r="C21940" t="s">
        <v>17784</v>
      </c>
      <c r="D21940" t="s">
        <v>62879</v>
      </c>
      <c r="E21940" t="b">
        <v>0</v>
      </c>
      <c r="F21940" t="s">
        <v>11622</v>
      </c>
      <c r="L21940">
        <v>0</v>
      </c>
      <c r="M21940">
        <v>2</v>
      </c>
      <c r="N21940">
        <v>4</v>
      </c>
    </row>
    <row r="21941" spans="1:15">
      <c r="A21941" t="s">
        <v>62880</v>
      </c>
      <c r="B21941" t="s">
        <v>6742</v>
      </c>
      <c r="C21941" t="s">
        <v>26909</v>
      </c>
      <c r="D21941" t="s">
        <v>62881</v>
      </c>
      <c r="E21941" t="b">
        <v>0</v>
      </c>
      <c r="F21941" t="s">
        <v>11624</v>
      </c>
      <c r="G21941">
        <v>7.4164300000000001</v>
      </c>
      <c r="H21941">
        <v>5.8513900000000003</v>
      </c>
      <c r="I21941" t="s">
        <v>62882</v>
      </c>
      <c r="L21941">
        <v>0</v>
      </c>
      <c r="M21941">
        <v>0</v>
      </c>
      <c r="N21941">
        <v>0</v>
      </c>
      <c r="O21941" t="s">
        <v>11693</v>
      </c>
    </row>
    <row r="21942" spans="1:15">
      <c r="A21942" t="s">
        <v>26909</v>
      </c>
      <c r="B21942" t="s">
        <v>6742</v>
      </c>
      <c r="C21942" t="s">
        <v>32995</v>
      </c>
      <c r="D21942" t="s">
        <v>62883</v>
      </c>
      <c r="E21942" t="b">
        <v>0</v>
      </c>
      <c r="F21942" t="s">
        <v>11622</v>
      </c>
      <c r="L21942">
        <v>0</v>
      </c>
      <c r="M21942">
        <v>2</v>
      </c>
      <c r="N21942">
        <v>0</v>
      </c>
    </row>
    <row r="21943" spans="1:15">
      <c r="A21943" t="s">
        <v>62884</v>
      </c>
      <c r="B21943" t="s">
        <v>6742</v>
      </c>
      <c r="C21943" t="s">
        <v>32585</v>
      </c>
      <c r="D21943" t="s">
        <v>62885</v>
      </c>
      <c r="E21943" t="b">
        <v>0</v>
      </c>
      <c r="F21943" t="s">
        <v>11610</v>
      </c>
      <c r="L21943">
        <v>0</v>
      </c>
      <c r="M21943">
        <v>0</v>
      </c>
      <c r="N21943">
        <v>0</v>
      </c>
    </row>
    <row r="21944" spans="1:15">
      <c r="A21944" t="s">
        <v>62886</v>
      </c>
      <c r="B21944" t="s">
        <v>11615</v>
      </c>
      <c r="C21944" t="s">
        <v>52379</v>
      </c>
      <c r="D21944" t="s">
        <v>62887</v>
      </c>
      <c r="E21944" t="b">
        <v>0</v>
      </c>
      <c r="F21944" t="s">
        <v>11624</v>
      </c>
      <c r="G21944">
        <v>-4.94407</v>
      </c>
      <c r="H21944">
        <v>145.51400000000001</v>
      </c>
      <c r="I21944" t="s">
        <v>62888</v>
      </c>
      <c r="L21944">
        <v>0</v>
      </c>
      <c r="M21944">
        <v>0</v>
      </c>
      <c r="N21944">
        <v>0</v>
      </c>
      <c r="O21944" t="s">
        <v>11660</v>
      </c>
    </row>
    <row r="21945" spans="1:15">
      <c r="A21945" t="s">
        <v>62889</v>
      </c>
      <c r="B21945" t="s">
        <v>6742</v>
      </c>
      <c r="C21945" t="s">
        <v>13585</v>
      </c>
      <c r="D21945" t="s">
        <v>62890</v>
      </c>
      <c r="E21945" t="b">
        <v>0</v>
      </c>
      <c r="F21945" t="s">
        <v>11624</v>
      </c>
      <c r="G21945">
        <v>5.5991299999999997</v>
      </c>
      <c r="H21945">
        <v>7.9600200000000001</v>
      </c>
      <c r="I21945" t="s">
        <v>62891</v>
      </c>
      <c r="L21945">
        <v>0</v>
      </c>
      <c r="M21945">
        <v>0</v>
      </c>
      <c r="N21945">
        <v>0</v>
      </c>
      <c r="O21945" t="s">
        <v>11693</v>
      </c>
    </row>
    <row r="21946" spans="1:15">
      <c r="A21946" t="s">
        <v>11807</v>
      </c>
      <c r="B21946" t="s">
        <v>6742</v>
      </c>
      <c r="C21946" t="s">
        <v>32037</v>
      </c>
      <c r="D21946" t="s">
        <v>62892</v>
      </c>
      <c r="E21946" t="b">
        <v>0</v>
      </c>
      <c r="F21946" t="s">
        <v>11624</v>
      </c>
      <c r="G21946">
        <v>5.7889200000000001</v>
      </c>
      <c r="H21946">
        <v>6.4855900000000002</v>
      </c>
      <c r="I21946" t="s">
        <v>62893</v>
      </c>
      <c r="L21946">
        <v>0</v>
      </c>
      <c r="M21946">
        <v>0</v>
      </c>
      <c r="N21946">
        <v>3</v>
      </c>
      <c r="O21946" t="s">
        <v>11693</v>
      </c>
    </row>
    <row r="21947" spans="1:15">
      <c r="A21947" t="s">
        <v>62894</v>
      </c>
      <c r="B21947" t="s">
        <v>6742</v>
      </c>
      <c r="C21947" t="s">
        <v>11807</v>
      </c>
      <c r="D21947" t="s">
        <v>62895</v>
      </c>
      <c r="E21947" t="b">
        <v>0</v>
      </c>
      <c r="F21947" t="s">
        <v>11610</v>
      </c>
      <c r="L21947">
        <v>0</v>
      </c>
      <c r="M21947">
        <v>0</v>
      </c>
      <c r="N21947">
        <v>0</v>
      </c>
    </row>
    <row r="21948" spans="1:15">
      <c r="A21948" t="s">
        <v>62896</v>
      </c>
      <c r="B21948" t="s">
        <v>12250</v>
      </c>
      <c r="C21948" t="s">
        <v>22113</v>
      </c>
      <c r="D21948" t="s">
        <v>62897</v>
      </c>
      <c r="E21948" t="b">
        <v>0</v>
      </c>
      <c r="F21948" t="s">
        <v>11610</v>
      </c>
      <c r="L21948">
        <v>0</v>
      </c>
      <c r="M21948">
        <v>0</v>
      </c>
      <c r="N21948">
        <v>0</v>
      </c>
    </row>
    <row r="21949" spans="1:15">
      <c r="A21949" t="s">
        <v>13199</v>
      </c>
      <c r="B21949" t="s">
        <v>367</v>
      </c>
      <c r="C21949" t="s">
        <v>31682</v>
      </c>
      <c r="D21949" t="s">
        <v>62898</v>
      </c>
      <c r="E21949" t="b">
        <v>0</v>
      </c>
      <c r="F21949" t="s">
        <v>11622</v>
      </c>
      <c r="L21949">
        <v>0</v>
      </c>
      <c r="M21949">
        <v>2</v>
      </c>
      <c r="N21949">
        <v>5</v>
      </c>
    </row>
    <row r="21950" spans="1:15">
      <c r="A21950" t="s">
        <v>62899</v>
      </c>
      <c r="B21950" t="s">
        <v>367</v>
      </c>
      <c r="C21950" t="s">
        <v>57108</v>
      </c>
      <c r="D21950" t="s">
        <v>62900</v>
      </c>
      <c r="E21950" t="b">
        <v>0</v>
      </c>
      <c r="F21950" t="s">
        <v>11624</v>
      </c>
      <c r="G21950">
        <v>-3.3287599999999999</v>
      </c>
      <c r="H21950">
        <v>142.845</v>
      </c>
      <c r="I21950" t="s">
        <v>62901</v>
      </c>
      <c r="L21950">
        <v>0</v>
      </c>
      <c r="M21950">
        <v>0</v>
      </c>
      <c r="N21950">
        <v>0</v>
      </c>
      <c r="O21950" t="s">
        <v>11660</v>
      </c>
    </row>
    <row r="21951" spans="1:15">
      <c r="A21951" t="s">
        <v>62902</v>
      </c>
      <c r="B21951" t="s">
        <v>367</v>
      </c>
      <c r="C21951" t="s">
        <v>54951</v>
      </c>
      <c r="D21951" t="s">
        <v>62903</v>
      </c>
      <c r="E21951" t="b">
        <v>0</v>
      </c>
      <c r="F21951" t="s">
        <v>11610</v>
      </c>
      <c r="L21951">
        <v>0</v>
      </c>
      <c r="M21951">
        <v>0</v>
      </c>
      <c r="N21951">
        <v>0</v>
      </c>
    </row>
    <row r="21952" spans="1:15">
      <c r="A21952" t="s">
        <v>62904</v>
      </c>
      <c r="B21952" t="s">
        <v>21516</v>
      </c>
      <c r="C21952" t="s">
        <v>39031</v>
      </c>
      <c r="D21952" t="s">
        <v>62905</v>
      </c>
      <c r="E21952" t="b">
        <v>0</v>
      </c>
      <c r="F21952" t="s">
        <v>11610</v>
      </c>
      <c r="L21952">
        <v>0</v>
      </c>
      <c r="M21952">
        <v>0</v>
      </c>
      <c r="N21952">
        <v>0</v>
      </c>
    </row>
    <row r="21953" spans="1:15">
      <c r="A21953" t="s">
        <v>62906</v>
      </c>
      <c r="B21953" t="s">
        <v>12686</v>
      </c>
      <c r="C21953" t="s">
        <v>51498</v>
      </c>
      <c r="D21953" t="s">
        <v>62907</v>
      </c>
      <c r="E21953" t="b">
        <v>0</v>
      </c>
      <c r="F21953" t="s">
        <v>11624</v>
      </c>
      <c r="G21953">
        <v>51.8521</v>
      </c>
      <c r="H21953">
        <v>140.29</v>
      </c>
      <c r="I21953" t="s">
        <v>62908</v>
      </c>
      <c r="L21953">
        <v>0</v>
      </c>
      <c r="M21953">
        <v>0</v>
      </c>
      <c r="N21953">
        <v>0</v>
      </c>
      <c r="O21953" t="s">
        <v>12748</v>
      </c>
    </row>
    <row r="21954" spans="1:15">
      <c r="A21954" t="s">
        <v>51498</v>
      </c>
      <c r="B21954" t="s">
        <v>12686</v>
      </c>
      <c r="C21954" t="s">
        <v>46436</v>
      </c>
      <c r="D21954" t="s">
        <v>62909</v>
      </c>
      <c r="E21954" t="b">
        <v>0</v>
      </c>
      <c r="F21954" t="s">
        <v>11622</v>
      </c>
      <c r="L21954">
        <v>0</v>
      </c>
      <c r="M21954">
        <v>2</v>
      </c>
      <c r="N21954">
        <v>2</v>
      </c>
    </row>
    <row r="21955" spans="1:15">
      <c r="A21955" t="s">
        <v>30855</v>
      </c>
      <c r="B21955" t="s">
        <v>367</v>
      </c>
      <c r="C21955" t="s">
        <v>13396</v>
      </c>
      <c r="D21955" t="s">
        <v>62910</v>
      </c>
      <c r="E21955" t="b">
        <v>0</v>
      </c>
      <c r="F21955" t="s">
        <v>11622</v>
      </c>
      <c r="L21955">
        <v>4</v>
      </c>
      <c r="M21955">
        <v>6</v>
      </c>
      <c r="N21955">
        <v>11</v>
      </c>
    </row>
    <row r="21956" spans="1:15">
      <c r="A21956" t="s">
        <v>9567</v>
      </c>
      <c r="B21956" t="s">
        <v>367</v>
      </c>
      <c r="C21956" t="s">
        <v>57848</v>
      </c>
      <c r="D21956" t="s">
        <v>62911</v>
      </c>
      <c r="E21956" t="b">
        <v>0</v>
      </c>
      <c r="F21956" t="s">
        <v>11624</v>
      </c>
      <c r="G21956">
        <v>9.9613879999999995</v>
      </c>
      <c r="H21956">
        <v>139.603611</v>
      </c>
      <c r="I21956" t="s">
        <v>9568</v>
      </c>
      <c r="L21956">
        <v>0</v>
      </c>
      <c r="M21956">
        <v>0</v>
      </c>
      <c r="N21956">
        <v>0</v>
      </c>
      <c r="O21956" t="s">
        <v>22994</v>
      </c>
    </row>
    <row r="21957" spans="1:15">
      <c r="A21957" t="s">
        <v>62912</v>
      </c>
      <c r="B21957" t="s">
        <v>10597</v>
      </c>
      <c r="C21957" t="s">
        <v>38277</v>
      </c>
      <c r="D21957" t="s">
        <v>62913</v>
      </c>
      <c r="E21957" t="b">
        <v>0</v>
      </c>
      <c r="F21957" t="s">
        <v>11610</v>
      </c>
      <c r="L21957">
        <v>0</v>
      </c>
      <c r="M21957">
        <v>0</v>
      </c>
      <c r="N21957">
        <v>0</v>
      </c>
    </row>
    <row r="21958" spans="1:15">
      <c r="A21958" t="s">
        <v>62914</v>
      </c>
      <c r="B21958" t="s">
        <v>11844</v>
      </c>
      <c r="C21958" t="s">
        <v>13088</v>
      </c>
      <c r="D21958" t="s">
        <v>62915</v>
      </c>
      <c r="E21958" t="b">
        <v>0</v>
      </c>
      <c r="F21958" t="s">
        <v>11624</v>
      </c>
      <c r="G21958">
        <v>9.4671900000000004</v>
      </c>
      <c r="H21958">
        <v>77.090599999999995</v>
      </c>
      <c r="I21958" t="s">
        <v>62916</v>
      </c>
      <c r="L21958">
        <v>0</v>
      </c>
      <c r="M21958">
        <v>0</v>
      </c>
      <c r="N21958">
        <v>0</v>
      </c>
      <c r="O21958" t="s">
        <v>11630</v>
      </c>
    </row>
    <row r="21959" spans="1:15">
      <c r="A21959" t="s">
        <v>5027</v>
      </c>
      <c r="B21959" t="s">
        <v>11637</v>
      </c>
      <c r="C21959" t="s">
        <v>26724</v>
      </c>
      <c r="D21959" t="s">
        <v>5033</v>
      </c>
      <c r="E21959" t="b">
        <v>0</v>
      </c>
      <c r="F21959" t="s">
        <v>11610</v>
      </c>
      <c r="L21959">
        <v>0</v>
      </c>
      <c r="M21959">
        <v>0</v>
      </c>
      <c r="N21959">
        <v>0</v>
      </c>
    </row>
    <row r="21960" spans="1:15">
      <c r="A21960" t="s">
        <v>62917</v>
      </c>
      <c r="B21960" t="s">
        <v>11637</v>
      </c>
      <c r="C21960" t="s">
        <v>32646</v>
      </c>
      <c r="D21960" t="s">
        <v>62918</v>
      </c>
      <c r="E21960" t="b">
        <v>0</v>
      </c>
      <c r="F21960" t="s">
        <v>11610</v>
      </c>
      <c r="L21960">
        <v>0</v>
      </c>
      <c r="M21960">
        <v>0</v>
      </c>
      <c r="N21960">
        <v>0</v>
      </c>
    </row>
    <row r="21961" spans="1:15">
      <c r="A21961" t="s">
        <v>62919</v>
      </c>
      <c r="B21961" t="s">
        <v>15027</v>
      </c>
      <c r="C21961" t="s">
        <v>40988</v>
      </c>
      <c r="D21961" t="s">
        <v>62920</v>
      </c>
      <c r="E21961" t="b">
        <v>0</v>
      </c>
      <c r="F21961" t="s">
        <v>11624</v>
      </c>
      <c r="G21961">
        <v>17.36</v>
      </c>
      <c r="H21961">
        <v>-96.05</v>
      </c>
      <c r="L21961">
        <v>0</v>
      </c>
      <c r="M21961">
        <v>0</v>
      </c>
      <c r="N21961">
        <v>0</v>
      </c>
      <c r="O21961" t="s">
        <v>11883</v>
      </c>
    </row>
    <row r="21962" spans="1:15">
      <c r="A21962" t="s">
        <v>62921</v>
      </c>
      <c r="B21962" t="s">
        <v>367</v>
      </c>
      <c r="C21962" t="s">
        <v>4260</v>
      </c>
      <c r="D21962" t="s">
        <v>62922</v>
      </c>
      <c r="E21962" t="b">
        <v>0</v>
      </c>
      <c r="F21962" t="s">
        <v>11610</v>
      </c>
      <c r="L21962">
        <v>0</v>
      </c>
      <c r="M21962">
        <v>0</v>
      </c>
      <c r="N21962">
        <v>0</v>
      </c>
    </row>
    <row r="21963" spans="1:15">
      <c r="A21963" t="s">
        <v>62923</v>
      </c>
      <c r="B21963" t="s">
        <v>367</v>
      </c>
      <c r="C21963" t="s">
        <v>25127</v>
      </c>
      <c r="D21963" t="s">
        <v>62924</v>
      </c>
      <c r="E21963" t="b">
        <v>0</v>
      </c>
      <c r="F21963" t="s">
        <v>11610</v>
      </c>
      <c r="L21963">
        <v>0</v>
      </c>
      <c r="M21963">
        <v>0</v>
      </c>
      <c r="N21963">
        <v>0</v>
      </c>
    </row>
    <row r="21964" spans="1:15">
      <c r="A21964" t="s">
        <v>62925</v>
      </c>
      <c r="B21964" t="s">
        <v>6742</v>
      </c>
      <c r="C21964" t="s">
        <v>41091</v>
      </c>
      <c r="D21964" t="s">
        <v>62926</v>
      </c>
      <c r="E21964" t="b">
        <v>0</v>
      </c>
      <c r="F21964" t="s">
        <v>11610</v>
      </c>
      <c r="L21964">
        <v>0</v>
      </c>
      <c r="M21964">
        <v>0</v>
      </c>
      <c r="N21964">
        <v>0</v>
      </c>
    </row>
    <row r="21965" spans="1:15">
      <c r="A21965" t="s">
        <v>62927</v>
      </c>
      <c r="B21965" t="s">
        <v>6742</v>
      </c>
      <c r="C21965" t="s">
        <v>41091</v>
      </c>
      <c r="D21965" t="s">
        <v>62928</v>
      </c>
      <c r="E21965" t="b">
        <v>0</v>
      </c>
      <c r="F21965" t="s">
        <v>11610</v>
      </c>
      <c r="L21965">
        <v>0</v>
      </c>
      <c r="M21965">
        <v>0</v>
      </c>
      <c r="N21965">
        <v>0</v>
      </c>
    </row>
    <row r="21966" spans="1:15">
      <c r="A21966" t="s">
        <v>62929</v>
      </c>
      <c r="B21966" t="s">
        <v>12438</v>
      </c>
      <c r="C21966" t="s">
        <v>33095</v>
      </c>
      <c r="D21966" t="s">
        <v>62930</v>
      </c>
      <c r="E21966" t="b">
        <v>0</v>
      </c>
      <c r="F21966" t="s">
        <v>11610</v>
      </c>
      <c r="L21966">
        <v>0</v>
      </c>
      <c r="M21966">
        <v>0</v>
      </c>
      <c r="N21966">
        <v>0</v>
      </c>
    </row>
    <row r="21967" spans="1:15">
      <c r="A21967" t="s">
        <v>62931</v>
      </c>
      <c r="B21967" t="s">
        <v>6742</v>
      </c>
      <c r="C21967" t="s">
        <v>41091</v>
      </c>
      <c r="D21967" t="s">
        <v>62932</v>
      </c>
      <c r="E21967" t="b">
        <v>0</v>
      </c>
      <c r="F21967" t="s">
        <v>11610</v>
      </c>
      <c r="L21967">
        <v>0</v>
      </c>
      <c r="M21967">
        <v>0</v>
      </c>
      <c r="N21967">
        <v>0</v>
      </c>
    </row>
    <row r="21968" spans="1:15">
      <c r="A21968" t="s">
        <v>62933</v>
      </c>
      <c r="B21968" t="s">
        <v>12438</v>
      </c>
      <c r="C21968" t="s">
        <v>5160</v>
      </c>
      <c r="D21968" t="s">
        <v>62934</v>
      </c>
      <c r="E21968" t="b">
        <v>0</v>
      </c>
      <c r="F21968" t="s">
        <v>11610</v>
      </c>
      <c r="L21968">
        <v>0</v>
      </c>
      <c r="M21968">
        <v>0</v>
      </c>
      <c r="N21968">
        <v>0</v>
      </c>
    </row>
    <row r="21969" spans="1:15">
      <c r="A21969" t="s">
        <v>62935</v>
      </c>
      <c r="B21969" t="s">
        <v>12438</v>
      </c>
      <c r="C21969" t="s">
        <v>18163</v>
      </c>
      <c r="D21969" t="s">
        <v>62936</v>
      </c>
      <c r="E21969" t="b">
        <v>0</v>
      </c>
      <c r="F21969" t="s">
        <v>11610</v>
      </c>
      <c r="L21969">
        <v>0</v>
      </c>
      <c r="M21969">
        <v>0</v>
      </c>
      <c r="N21969">
        <v>0</v>
      </c>
    </row>
    <row r="21970" spans="1:15">
      <c r="A21970" t="s">
        <v>62937</v>
      </c>
      <c r="B21970" t="s">
        <v>6742</v>
      </c>
      <c r="C21970" t="s">
        <v>41074</v>
      </c>
      <c r="D21970" t="s">
        <v>62938</v>
      </c>
      <c r="E21970" t="b">
        <v>0</v>
      </c>
      <c r="F21970" t="s">
        <v>11624</v>
      </c>
      <c r="G21970">
        <v>6.4973999999999998</v>
      </c>
      <c r="H21970">
        <v>6.5920199999999998</v>
      </c>
      <c r="I21970" t="s">
        <v>62939</v>
      </c>
      <c r="L21970">
        <v>0</v>
      </c>
      <c r="M21970">
        <v>0</v>
      </c>
      <c r="N21970">
        <v>0</v>
      </c>
      <c r="O21970" t="s">
        <v>11693</v>
      </c>
    </row>
    <row r="21971" spans="1:15">
      <c r="A21971" t="s">
        <v>62940</v>
      </c>
      <c r="B21971" t="s">
        <v>6742</v>
      </c>
      <c r="C21971" t="s">
        <v>41091</v>
      </c>
      <c r="D21971" t="s">
        <v>62941</v>
      </c>
      <c r="E21971" t="b">
        <v>0</v>
      </c>
      <c r="F21971" t="s">
        <v>11610</v>
      </c>
      <c r="L21971">
        <v>0</v>
      </c>
      <c r="M21971">
        <v>0</v>
      </c>
      <c r="N21971">
        <v>0</v>
      </c>
    </row>
    <row r="21972" spans="1:15">
      <c r="A21972" t="s">
        <v>62942</v>
      </c>
      <c r="B21972" t="s">
        <v>12438</v>
      </c>
      <c r="C21972" t="s">
        <v>18145</v>
      </c>
      <c r="D21972" t="s">
        <v>62943</v>
      </c>
      <c r="E21972" t="b">
        <v>0</v>
      </c>
      <c r="F21972" t="s">
        <v>11610</v>
      </c>
      <c r="L21972">
        <v>0</v>
      </c>
      <c r="M21972">
        <v>0</v>
      </c>
      <c r="N21972">
        <v>0</v>
      </c>
    </row>
    <row r="21973" spans="1:15">
      <c r="A21973" t="s">
        <v>62944</v>
      </c>
      <c r="B21973" t="s">
        <v>367</v>
      </c>
      <c r="C21973" t="s">
        <v>16048</v>
      </c>
      <c r="D21973" t="s">
        <v>62945</v>
      </c>
      <c r="E21973" t="b">
        <v>0</v>
      </c>
      <c r="F21973" t="s">
        <v>11610</v>
      </c>
      <c r="L21973">
        <v>0</v>
      </c>
      <c r="M21973">
        <v>0</v>
      </c>
      <c r="N21973">
        <v>0</v>
      </c>
    </row>
    <row r="21974" spans="1:15">
      <c r="A21974" t="s">
        <v>19734</v>
      </c>
      <c r="B21974" t="s">
        <v>367</v>
      </c>
      <c r="C21974" t="s">
        <v>14291</v>
      </c>
      <c r="D21974" t="s">
        <v>62946</v>
      </c>
      <c r="E21974" t="b">
        <v>0</v>
      </c>
      <c r="F21974" t="s">
        <v>11624</v>
      </c>
      <c r="G21974">
        <v>-3.0093299999999998</v>
      </c>
      <c r="H21974">
        <v>118.994</v>
      </c>
      <c r="I21974" t="s">
        <v>62947</v>
      </c>
      <c r="L21974">
        <v>0</v>
      </c>
      <c r="M21974">
        <v>0</v>
      </c>
      <c r="N21974">
        <v>3</v>
      </c>
      <c r="O21974" t="s">
        <v>11768</v>
      </c>
    </row>
    <row r="21975" spans="1:15">
      <c r="A21975" t="s">
        <v>62948</v>
      </c>
      <c r="B21975" t="s">
        <v>12438</v>
      </c>
      <c r="C21975" t="s">
        <v>32116</v>
      </c>
      <c r="D21975" t="s">
        <v>62949</v>
      </c>
      <c r="E21975" t="b">
        <v>0</v>
      </c>
      <c r="F21975" t="s">
        <v>11610</v>
      </c>
      <c r="L21975">
        <v>0</v>
      </c>
      <c r="M21975">
        <v>0</v>
      </c>
      <c r="N21975">
        <v>0</v>
      </c>
    </row>
    <row r="21976" spans="1:15">
      <c r="A21976" t="s">
        <v>62950</v>
      </c>
      <c r="B21976" t="s">
        <v>12438</v>
      </c>
      <c r="C21976" t="s">
        <v>33095</v>
      </c>
      <c r="D21976" t="s">
        <v>62951</v>
      </c>
      <c r="E21976" t="b">
        <v>0</v>
      </c>
      <c r="F21976" t="s">
        <v>11610</v>
      </c>
      <c r="L21976">
        <v>0</v>
      </c>
      <c r="M21976">
        <v>0</v>
      </c>
      <c r="N21976">
        <v>0</v>
      </c>
    </row>
    <row r="21977" spans="1:15">
      <c r="A21977" t="s">
        <v>62952</v>
      </c>
      <c r="B21977" t="s">
        <v>367</v>
      </c>
      <c r="C21977" t="s">
        <v>5309</v>
      </c>
      <c r="D21977" t="s">
        <v>62953</v>
      </c>
      <c r="E21977" t="b">
        <v>0</v>
      </c>
      <c r="F21977" t="s">
        <v>11610</v>
      </c>
      <c r="L21977">
        <v>0</v>
      </c>
      <c r="M21977">
        <v>0</v>
      </c>
      <c r="N21977">
        <v>0</v>
      </c>
    </row>
    <row r="21978" spans="1:15">
      <c r="A21978" t="s">
        <v>62954</v>
      </c>
      <c r="B21978" t="s">
        <v>367</v>
      </c>
      <c r="C21978" t="s">
        <v>32245</v>
      </c>
      <c r="D21978" t="s">
        <v>62955</v>
      </c>
      <c r="E21978" t="b">
        <v>0</v>
      </c>
      <c r="F21978" t="s">
        <v>11610</v>
      </c>
      <c r="L21978">
        <v>0</v>
      </c>
      <c r="M21978">
        <v>0</v>
      </c>
      <c r="N21978">
        <v>0</v>
      </c>
    </row>
    <row r="21979" spans="1:15">
      <c r="A21979" t="s">
        <v>62956</v>
      </c>
      <c r="B21979" t="s">
        <v>367</v>
      </c>
      <c r="C21979" t="s">
        <v>12753</v>
      </c>
      <c r="D21979" t="s">
        <v>62957</v>
      </c>
      <c r="E21979" t="b">
        <v>0</v>
      </c>
      <c r="F21979" t="s">
        <v>11610</v>
      </c>
      <c r="L21979">
        <v>0</v>
      </c>
      <c r="M21979">
        <v>0</v>
      </c>
      <c r="N21979">
        <v>0</v>
      </c>
    </row>
    <row r="21980" spans="1:15">
      <c r="A21980" t="s">
        <v>62958</v>
      </c>
      <c r="B21980" t="s">
        <v>17576</v>
      </c>
      <c r="C21980" t="s">
        <v>38017</v>
      </c>
      <c r="D21980" t="s">
        <v>62959</v>
      </c>
      <c r="E21980" t="b">
        <v>0</v>
      </c>
      <c r="F21980" t="s">
        <v>11610</v>
      </c>
      <c r="L21980">
        <v>0</v>
      </c>
      <c r="M21980">
        <v>0</v>
      </c>
      <c r="N21980">
        <v>0</v>
      </c>
    </row>
    <row r="21981" spans="1:15">
      <c r="A21981" t="s">
        <v>38017</v>
      </c>
      <c r="B21981" t="s">
        <v>17576</v>
      </c>
      <c r="C21981" t="s">
        <v>43496</v>
      </c>
      <c r="D21981" t="s">
        <v>62960</v>
      </c>
      <c r="E21981" t="b">
        <v>0</v>
      </c>
      <c r="F21981" t="s">
        <v>11624</v>
      </c>
      <c r="G21981">
        <v>12.932292</v>
      </c>
      <c r="H21981">
        <v>-83.581467000000004</v>
      </c>
      <c r="I21981" t="s">
        <v>62961</v>
      </c>
      <c r="L21981">
        <v>0</v>
      </c>
      <c r="M21981">
        <v>0</v>
      </c>
      <c r="N21981">
        <v>2</v>
      </c>
      <c r="O21981" t="s">
        <v>43310</v>
      </c>
    </row>
    <row r="21982" spans="1:15">
      <c r="A21982" t="s">
        <v>62962</v>
      </c>
      <c r="B21982" t="s">
        <v>6742</v>
      </c>
      <c r="C21982" t="s">
        <v>13522</v>
      </c>
      <c r="D21982" t="s">
        <v>62963</v>
      </c>
      <c r="E21982" t="b">
        <v>0</v>
      </c>
      <c r="F21982" t="s">
        <v>11610</v>
      </c>
      <c r="L21982">
        <v>0</v>
      </c>
      <c r="M21982">
        <v>0</v>
      </c>
      <c r="N21982">
        <v>0</v>
      </c>
    </row>
    <row r="21983" spans="1:15">
      <c r="A21983" t="s">
        <v>16493</v>
      </c>
      <c r="B21983" t="s">
        <v>367</v>
      </c>
      <c r="C21983" t="s">
        <v>15694</v>
      </c>
      <c r="D21983" t="s">
        <v>62964</v>
      </c>
      <c r="E21983" t="b">
        <v>0</v>
      </c>
      <c r="F21983" t="s">
        <v>11624</v>
      </c>
      <c r="G21983">
        <v>-1.7041599999999999</v>
      </c>
      <c r="H21983">
        <v>119.968</v>
      </c>
      <c r="I21983" t="s">
        <v>62965</v>
      </c>
      <c r="L21983">
        <v>0</v>
      </c>
      <c r="M21983">
        <v>0</v>
      </c>
      <c r="N21983">
        <v>7</v>
      </c>
      <c r="O21983" t="s">
        <v>11768</v>
      </c>
    </row>
    <row r="21984" spans="1:15">
      <c r="A21984" t="s">
        <v>62966</v>
      </c>
      <c r="B21984" t="s">
        <v>367</v>
      </c>
      <c r="C21984" t="s">
        <v>39910</v>
      </c>
      <c r="D21984" t="s">
        <v>62967</v>
      </c>
      <c r="E21984" t="b">
        <v>0</v>
      </c>
      <c r="F21984" t="s">
        <v>11610</v>
      </c>
      <c r="L21984">
        <v>0</v>
      </c>
      <c r="M21984">
        <v>0</v>
      </c>
      <c r="N21984">
        <v>0</v>
      </c>
    </row>
    <row r="21985" spans="1:15">
      <c r="A21985" t="s">
        <v>62968</v>
      </c>
      <c r="B21985" t="s">
        <v>367</v>
      </c>
      <c r="C21985" t="s">
        <v>34317</v>
      </c>
      <c r="D21985" t="s">
        <v>62969</v>
      </c>
      <c r="E21985" t="b">
        <v>0</v>
      </c>
      <c r="F21985" t="s">
        <v>11610</v>
      </c>
      <c r="L21985">
        <v>0</v>
      </c>
      <c r="M21985">
        <v>0</v>
      </c>
      <c r="N21985">
        <v>0</v>
      </c>
    </row>
    <row r="21986" spans="1:15">
      <c r="A21986" t="s">
        <v>62970</v>
      </c>
      <c r="B21986" t="s">
        <v>11637</v>
      </c>
      <c r="C21986" t="s">
        <v>15671</v>
      </c>
      <c r="D21986" t="s">
        <v>62971</v>
      </c>
      <c r="E21986" t="b">
        <v>0</v>
      </c>
      <c r="F21986" t="s">
        <v>11610</v>
      </c>
      <c r="L21986">
        <v>0</v>
      </c>
      <c r="M21986">
        <v>0</v>
      </c>
      <c r="N21986">
        <v>0</v>
      </c>
    </row>
    <row r="21987" spans="1:15">
      <c r="A21987" t="s">
        <v>62972</v>
      </c>
      <c r="B21987" t="s">
        <v>367</v>
      </c>
      <c r="C21987" t="s">
        <v>39807</v>
      </c>
      <c r="D21987" t="s">
        <v>62973</v>
      </c>
      <c r="E21987" t="b">
        <v>0</v>
      </c>
      <c r="F21987" t="s">
        <v>11610</v>
      </c>
      <c r="L21987">
        <v>0</v>
      </c>
      <c r="M21987">
        <v>0</v>
      </c>
      <c r="N21987">
        <v>0</v>
      </c>
    </row>
    <row r="21988" spans="1:15">
      <c r="A21988" t="s">
        <v>62974</v>
      </c>
      <c r="B21988" t="s">
        <v>367</v>
      </c>
      <c r="C21988" t="s">
        <v>39910</v>
      </c>
      <c r="D21988" t="s">
        <v>62975</v>
      </c>
      <c r="E21988" t="b">
        <v>0</v>
      </c>
      <c r="F21988" t="s">
        <v>11610</v>
      </c>
      <c r="L21988">
        <v>0</v>
      </c>
      <c r="M21988">
        <v>0</v>
      </c>
      <c r="N21988">
        <v>0</v>
      </c>
    </row>
    <row r="21989" spans="1:15">
      <c r="A21989" t="s">
        <v>62976</v>
      </c>
      <c r="B21989" t="s">
        <v>367</v>
      </c>
      <c r="C21989" t="s">
        <v>39807</v>
      </c>
      <c r="D21989" t="s">
        <v>62977</v>
      </c>
      <c r="E21989" t="b">
        <v>0</v>
      </c>
      <c r="F21989" t="s">
        <v>11610</v>
      </c>
      <c r="L21989">
        <v>0</v>
      </c>
      <c r="M21989">
        <v>0</v>
      </c>
      <c r="N21989">
        <v>0</v>
      </c>
    </row>
    <row r="21990" spans="1:15">
      <c r="A21990" t="s">
        <v>62978</v>
      </c>
      <c r="B21990" t="s">
        <v>367</v>
      </c>
      <c r="C21990" t="s">
        <v>62979</v>
      </c>
      <c r="D21990" t="s">
        <v>62980</v>
      </c>
      <c r="E21990" t="b">
        <v>0</v>
      </c>
      <c r="F21990" t="s">
        <v>11624</v>
      </c>
      <c r="G21990">
        <v>3.25</v>
      </c>
      <c r="H21990">
        <v>116.5</v>
      </c>
      <c r="I21990" t="s">
        <v>62981</v>
      </c>
      <c r="L21990">
        <v>0</v>
      </c>
      <c r="M21990">
        <v>0</v>
      </c>
      <c r="N21990">
        <v>0</v>
      </c>
      <c r="O21990" t="s">
        <v>11768</v>
      </c>
    </row>
    <row r="21991" spans="1:15">
      <c r="A21991" t="s">
        <v>34317</v>
      </c>
      <c r="B21991" t="s">
        <v>367</v>
      </c>
      <c r="C21991" t="s">
        <v>62979</v>
      </c>
      <c r="D21991" t="s">
        <v>62982</v>
      </c>
      <c r="E21991" t="b">
        <v>0</v>
      </c>
      <c r="F21991" t="s">
        <v>11624</v>
      </c>
      <c r="G21991">
        <v>2.14141</v>
      </c>
      <c r="H21991">
        <v>114.205</v>
      </c>
      <c r="I21991" t="s">
        <v>62983</v>
      </c>
      <c r="L21991">
        <v>0</v>
      </c>
      <c r="M21991">
        <v>0</v>
      </c>
      <c r="N21991">
        <v>5</v>
      </c>
      <c r="O21991" t="s">
        <v>16728</v>
      </c>
    </row>
    <row r="21992" spans="1:15">
      <c r="A21992" t="s">
        <v>62984</v>
      </c>
      <c r="B21992" t="s">
        <v>367</v>
      </c>
      <c r="C21992" t="s">
        <v>35581</v>
      </c>
      <c r="D21992" t="s">
        <v>62985</v>
      </c>
      <c r="E21992" t="b">
        <v>0</v>
      </c>
      <c r="F21992" t="s">
        <v>11610</v>
      </c>
      <c r="L21992">
        <v>0</v>
      </c>
      <c r="M21992">
        <v>0</v>
      </c>
      <c r="N21992">
        <v>0</v>
      </c>
    </row>
    <row r="21993" spans="1:15">
      <c r="A21993" t="s">
        <v>26310</v>
      </c>
      <c r="B21993" t="s">
        <v>23796</v>
      </c>
      <c r="C21993" t="s">
        <v>23796</v>
      </c>
      <c r="D21993" t="s">
        <v>62986</v>
      </c>
      <c r="E21993" t="b">
        <v>0</v>
      </c>
      <c r="F21993" t="s">
        <v>11624</v>
      </c>
      <c r="G21993">
        <v>-9.8967100000000006</v>
      </c>
      <c r="H21993">
        <v>149.65799999999999</v>
      </c>
      <c r="I21993" t="s">
        <v>62987</v>
      </c>
      <c r="L21993">
        <v>0</v>
      </c>
      <c r="M21993">
        <v>0</v>
      </c>
      <c r="N21993">
        <v>2</v>
      </c>
      <c r="O21993" t="s">
        <v>11660</v>
      </c>
    </row>
    <row r="21994" spans="1:15">
      <c r="A21994" t="s">
        <v>62988</v>
      </c>
      <c r="B21994" t="s">
        <v>367</v>
      </c>
      <c r="C21994" t="s">
        <v>5574</v>
      </c>
      <c r="D21994" t="s">
        <v>62989</v>
      </c>
      <c r="E21994" t="b">
        <v>0</v>
      </c>
      <c r="F21994" t="s">
        <v>11610</v>
      </c>
      <c r="L21994">
        <v>0</v>
      </c>
      <c r="M21994">
        <v>0</v>
      </c>
      <c r="N21994">
        <v>0</v>
      </c>
    </row>
    <row r="21995" spans="1:15">
      <c r="A21995" t="s">
        <v>62990</v>
      </c>
      <c r="B21995" t="s">
        <v>36807</v>
      </c>
      <c r="C21995" t="s">
        <v>57950</v>
      </c>
      <c r="D21995" t="s">
        <v>62991</v>
      </c>
      <c r="E21995" t="b">
        <v>0</v>
      </c>
      <c r="F21995" t="s">
        <v>11624</v>
      </c>
      <c r="G21995">
        <v>45.639099999999999</v>
      </c>
      <c r="H21995">
        <v>-118.55200000000001</v>
      </c>
      <c r="I21995" t="s">
        <v>62992</v>
      </c>
      <c r="L21995">
        <v>0</v>
      </c>
      <c r="M21995">
        <v>0</v>
      </c>
      <c r="N21995">
        <v>0</v>
      </c>
      <c r="O21995" t="s">
        <v>11944</v>
      </c>
    </row>
    <row r="21996" spans="1:15">
      <c r="A21996" t="s">
        <v>62993</v>
      </c>
      <c r="B21996" t="s">
        <v>367</v>
      </c>
      <c r="C21996" t="s">
        <v>39910</v>
      </c>
      <c r="D21996" t="s">
        <v>62994</v>
      </c>
      <c r="E21996" t="b">
        <v>0</v>
      </c>
      <c r="F21996" t="s">
        <v>11610</v>
      </c>
      <c r="L21996">
        <v>0</v>
      </c>
      <c r="M21996">
        <v>0</v>
      </c>
      <c r="N21996">
        <v>0</v>
      </c>
    </row>
    <row r="21997" spans="1:15">
      <c r="A21997" t="s">
        <v>62995</v>
      </c>
      <c r="B21997" t="s">
        <v>367</v>
      </c>
      <c r="C21997" t="s">
        <v>62996</v>
      </c>
      <c r="D21997" t="s">
        <v>62997</v>
      </c>
      <c r="E21997" t="b">
        <v>0</v>
      </c>
      <c r="F21997" t="s">
        <v>11610</v>
      </c>
      <c r="L21997">
        <v>0</v>
      </c>
      <c r="M21997">
        <v>0</v>
      </c>
      <c r="N21997">
        <v>0</v>
      </c>
    </row>
    <row r="21998" spans="1:15">
      <c r="A21998" t="s">
        <v>62998</v>
      </c>
      <c r="B21998" t="s">
        <v>367</v>
      </c>
      <c r="C21998" t="s">
        <v>5372</v>
      </c>
      <c r="D21998" t="s">
        <v>62999</v>
      </c>
      <c r="E21998" t="b">
        <v>0</v>
      </c>
      <c r="F21998" t="s">
        <v>11610</v>
      </c>
      <c r="L21998">
        <v>0</v>
      </c>
      <c r="M21998">
        <v>0</v>
      </c>
      <c r="N21998">
        <v>0</v>
      </c>
    </row>
    <row r="21999" spans="1:15">
      <c r="A21999" t="s">
        <v>15438</v>
      </c>
      <c r="B21999" t="s">
        <v>10597</v>
      </c>
      <c r="C21999" t="s">
        <v>48528</v>
      </c>
      <c r="D21999" t="s">
        <v>63000</v>
      </c>
      <c r="E21999" t="b">
        <v>0</v>
      </c>
      <c r="F21999" t="s">
        <v>11622</v>
      </c>
      <c r="L21999">
        <v>0</v>
      </c>
      <c r="M21999">
        <v>2</v>
      </c>
      <c r="N21999">
        <v>0</v>
      </c>
    </row>
    <row r="22000" spans="1:15">
      <c r="A22000" t="s">
        <v>63001</v>
      </c>
      <c r="B22000" t="s">
        <v>10597</v>
      </c>
      <c r="C22000" t="s">
        <v>15438</v>
      </c>
      <c r="D22000" t="s">
        <v>63002</v>
      </c>
      <c r="E22000" t="b">
        <v>0</v>
      </c>
      <c r="F22000" t="s">
        <v>11624</v>
      </c>
      <c r="G22000">
        <v>-13.920999999999999</v>
      </c>
      <c r="H22000">
        <v>143.328</v>
      </c>
      <c r="I22000" t="s">
        <v>63003</v>
      </c>
      <c r="L22000">
        <v>0</v>
      </c>
      <c r="M22000">
        <v>0</v>
      </c>
      <c r="N22000">
        <v>0</v>
      </c>
      <c r="O22000" t="s">
        <v>12107</v>
      </c>
    </row>
    <row r="22001" spans="1:15">
      <c r="A22001" t="s">
        <v>12166</v>
      </c>
      <c r="B22001" t="s">
        <v>11637</v>
      </c>
      <c r="C22001" t="s">
        <v>51570</v>
      </c>
      <c r="D22001" t="s">
        <v>63004</v>
      </c>
      <c r="E22001" t="b">
        <v>0</v>
      </c>
      <c r="F22001" t="s">
        <v>11624</v>
      </c>
      <c r="I22001" t="s">
        <v>63005</v>
      </c>
      <c r="L22001">
        <v>0</v>
      </c>
      <c r="M22001">
        <v>0</v>
      </c>
      <c r="N22001">
        <v>4</v>
      </c>
      <c r="O22001" t="s">
        <v>13676</v>
      </c>
    </row>
    <row r="22002" spans="1:15">
      <c r="A22002" t="s">
        <v>63006</v>
      </c>
      <c r="D22002" t="s">
        <v>63007</v>
      </c>
      <c r="E22002" t="b">
        <v>0</v>
      </c>
      <c r="F22002" t="s">
        <v>11624</v>
      </c>
      <c r="G22002">
        <v>-12.932499999999999</v>
      </c>
      <c r="H22002">
        <v>131.82499999999999</v>
      </c>
      <c r="I22002" t="s">
        <v>63008</v>
      </c>
      <c r="L22002">
        <v>0</v>
      </c>
      <c r="M22002">
        <v>0</v>
      </c>
      <c r="N22002">
        <v>0</v>
      </c>
      <c r="O22002" t="s">
        <v>12107</v>
      </c>
    </row>
    <row r="22003" spans="1:15">
      <c r="A22003" t="s">
        <v>63009</v>
      </c>
      <c r="B22003" t="s">
        <v>10597</v>
      </c>
      <c r="C22003" t="s">
        <v>23189</v>
      </c>
      <c r="D22003" t="s">
        <v>63010</v>
      </c>
      <c r="E22003" t="b">
        <v>0</v>
      </c>
      <c r="F22003" t="s">
        <v>11624</v>
      </c>
      <c r="G22003">
        <v>-14.258760000000001</v>
      </c>
      <c r="H22003">
        <v>143.63050000000001</v>
      </c>
      <c r="I22003" t="s">
        <v>63011</v>
      </c>
      <c r="L22003">
        <v>0</v>
      </c>
      <c r="M22003">
        <v>0</v>
      </c>
      <c r="N22003">
        <v>0</v>
      </c>
      <c r="O22003" t="s">
        <v>12107</v>
      </c>
    </row>
    <row r="22004" spans="1:15">
      <c r="A22004" t="s">
        <v>30974</v>
      </c>
      <c r="B22004" t="s">
        <v>6742</v>
      </c>
      <c r="C22004" t="s">
        <v>23042</v>
      </c>
      <c r="D22004" t="s">
        <v>63012</v>
      </c>
      <c r="E22004" t="b">
        <v>0</v>
      </c>
      <c r="F22004" t="s">
        <v>11624</v>
      </c>
      <c r="G22004">
        <v>-12.4763</v>
      </c>
      <c r="H22004">
        <v>14.4148</v>
      </c>
      <c r="I22004" t="s">
        <v>63013</v>
      </c>
      <c r="L22004">
        <v>0</v>
      </c>
      <c r="M22004">
        <v>0</v>
      </c>
      <c r="N22004">
        <v>2</v>
      </c>
      <c r="O22004" t="s">
        <v>37874</v>
      </c>
    </row>
    <row r="22005" spans="1:15">
      <c r="A22005" t="s">
        <v>8695</v>
      </c>
      <c r="B22005" t="s">
        <v>11615</v>
      </c>
      <c r="C22005" t="s">
        <v>8696</v>
      </c>
      <c r="D22005" t="s">
        <v>63014</v>
      </c>
      <c r="E22005" t="b">
        <v>0</v>
      </c>
      <c r="F22005" t="s">
        <v>11624</v>
      </c>
      <c r="G22005">
        <v>-5.9512999999999998</v>
      </c>
      <c r="H22005">
        <v>143.97</v>
      </c>
      <c r="I22005" t="s">
        <v>8697</v>
      </c>
      <c r="L22005">
        <v>0</v>
      </c>
      <c r="M22005">
        <v>0</v>
      </c>
      <c r="N22005">
        <v>3</v>
      </c>
      <c r="O22005" t="s">
        <v>11660</v>
      </c>
    </row>
    <row r="22006" spans="1:15">
      <c r="A22006" t="s">
        <v>47606</v>
      </c>
      <c r="B22006" t="s">
        <v>12241</v>
      </c>
      <c r="C22006" t="s">
        <v>12241</v>
      </c>
      <c r="D22006" t="s">
        <v>63015</v>
      </c>
      <c r="E22006" t="b">
        <v>0</v>
      </c>
      <c r="F22006" t="s">
        <v>11622</v>
      </c>
      <c r="L22006">
        <v>0</v>
      </c>
      <c r="M22006">
        <v>1</v>
      </c>
      <c r="N22006">
        <v>0</v>
      </c>
    </row>
    <row r="22007" spans="1:15">
      <c r="A22007" t="s">
        <v>53772</v>
      </c>
      <c r="B22007" t="s">
        <v>12532</v>
      </c>
      <c r="C22007" t="s">
        <v>58933</v>
      </c>
      <c r="D22007" t="s">
        <v>63016</v>
      </c>
      <c r="E22007" t="b">
        <v>0</v>
      </c>
      <c r="F22007" t="s">
        <v>11624</v>
      </c>
      <c r="G22007">
        <v>-3.34565</v>
      </c>
      <c r="H22007">
        <v>141.15700000000001</v>
      </c>
      <c r="I22007" t="s">
        <v>63017</v>
      </c>
      <c r="L22007">
        <v>0</v>
      </c>
      <c r="M22007">
        <v>0</v>
      </c>
      <c r="N22007">
        <v>2</v>
      </c>
      <c r="O22007" t="s">
        <v>11660</v>
      </c>
    </row>
    <row r="22008" spans="1:15">
      <c r="A22008" t="s">
        <v>63018</v>
      </c>
      <c r="B22008" t="s">
        <v>12532</v>
      </c>
      <c r="C22008" t="s">
        <v>53772</v>
      </c>
      <c r="D22008" t="s">
        <v>63019</v>
      </c>
      <c r="E22008" t="b">
        <v>0</v>
      </c>
      <c r="F22008" t="s">
        <v>11610</v>
      </c>
      <c r="L22008">
        <v>0</v>
      </c>
      <c r="M22008">
        <v>0</v>
      </c>
      <c r="N22008">
        <v>0</v>
      </c>
    </row>
    <row r="22009" spans="1:15">
      <c r="A22009" t="s">
        <v>63020</v>
      </c>
      <c r="B22009" t="s">
        <v>6742</v>
      </c>
      <c r="C22009" t="s">
        <v>15272</v>
      </c>
      <c r="D22009" t="s">
        <v>63021</v>
      </c>
      <c r="E22009" t="b">
        <v>0</v>
      </c>
      <c r="F22009" t="s">
        <v>11610</v>
      </c>
      <c r="L22009">
        <v>0</v>
      </c>
      <c r="M22009">
        <v>0</v>
      </c>
      <c r="N22009">
        <v>0</v>
      </c>
    </row>
    <row r="22010" spans="1:15">
      <c r="A22010" t="s">
        <v>63022</v>
      </c>
      <c r="B22010" t="s">
        <v>11686</v>
      </c>
      <c r="C22010" t="s">
        <v>11687</v>
      </c>
      <c r="D22010" t="s">
        <v>63023</v>
      </c>
      <c r="E22010" t="b">
        <v>0</v>
      </c>
      <c r="F22010" t="s">
        <v>11610</v>
      </c>
      <c r="L22010">
        <v>0</v>
      </c>
      <c r="M22010">
        <v>0</v>
      </c>
      <c r="N22010">
        <v>0</v>
      </c>
    </row>
    <row r="22011" spans="1:15">
      <c r="A22011" t="s">
        <v>63024</v>
      </c>
      <c r="B22011" t="s">
        <v>367</v>
      </c>
      <c r="C22011" t="s">
        <v>28942</v>
      </c>
      <c r="D22011" t="s">
        <v>63025</v>
      </c>
      <c r="E22011" t="b">
        <v>0</v>
      </c>
      <c r="F22011" t="s">
        <v>11610</v>
      </c>
      <c r="L22011">
        <v>0</v>
      </c>
      <c r="M22011">
        <v>0</v>
      </c>
      <c r="N22011">
        <v>0</v>
      </c>
    </row>
    <row r="22012" spans="1:15">
      <c r="A22012" t="s">
        <v>63026</v>
      </c>
      <c r="B22012" t="s">
        <v>12260</v>
      </c>
      <c r="C22012" t="s">
        <v>58076</v>
      </c>
      <c r="D22012" t="s">
        <v>63027</v>
      </c>
      <c r="E22012" t="b">
        <v>0</v>
      </c>
      <c r="F22012" t="s">
        <v>11624</v>
      </c>
      <c r="G22012">
        <v>64.638300000000001</v>
      </c>
      <c r="H22012">
        <v>18.646000000000001</v>
      </c>
      <c r="I22012" t="s">
        <v>63028</v>
      </c>
      <c r="L22012">
        <v>0</v>
      </c>
      <c r="M22012">
        <v>0</v>
      </c>
      <c r="N22012">
        <v>0</v>
      </c>
      <c r="O22012" t="s">
        <v>14434</v>
      </c>
    </row>
    <row r="22013" spans="1:15">
      <c r="A22013" t="s">
        <v>63029</v>
      </c>
      <c r="B22013" t="s">
        <v>1588</v>
      </c>
      <c r="C22013" t="s">
        <v>63030</v>
      </c>
      <c r="D22013" t="s">
        <v>63031</v>
      </c>
      <c r="E22013" t="b">
        <v>0</v>
      </c>
      <c r="F22013" t="s">
        <v>11624</v>
      </c>
      <c r="G22013">
        <v>-16.559332999999999</v>
      </c>
      <c r="H22013">
        <v>124.5</v>
      </c>
      <c r="L22013">
        <v>0</v>
      </c>
      <c r="M22013">
        <v>0</v>
      </c>
      <c r="N22013">
        <v>2</v>
      </c>
      <c r="O22013" t="s">
        <v>12107</v>
      </c>
    </row>
    <row r="22014" spans="1:15">
      <c r="A22014" t="s">
        <v>63032</v>
      </c>
      <c r="B22014" t="s">
        <v>1588</v>
      </c>
      <c r="C22014" t="s">
        <v>63029</v>
      </c>
      <c r="D22014" t="s">
        <v>63033</v>
      </c>
      <c r="E22014" t="b">
        <v>0</v>
      </c>
      <c r="F22014" t="s">
        <v>11610</v>
      </c>
      <c r="G22014">
        <v>-16.615461</v>
      </c>
      <c r="H22014">
        <v>124.079216</v>
      </c>
      <c r="I22014" t="s">
        <v>63034</v>
      </c>
      <c r="L22014">
        <v>0</v>
      </c>
      <c r="M22014">
        <v>0</v>
      </c>
      <c r="N22014">
        <v>0</v>
      </c>
      <c r="O22014" t="s">
        <v>12107</v>
      </c>
    </row>
    <row r="22015" spans="1:15">
      <c r="A22015" t="s">
        <v>13862</v>
      </c>
      <c r="B22015" t="s">
        <v>367</v>
      </c>
      <c r="C22015" t="s">
        <v>21816</v>
      </c>
      <c r="D22015" t="s">
        <v>63035</v>
      </c>
      <c r="E22015" t="b">
        <v>0</v>
      </c>
      <c r="F22015" t="s">
        <v>11624</v>
      </c>
      <c r="G22015">
        <v>14.8757</v>
      </c>
      <c r="H22015">
        <v>121.508</v>
      </c>
      <c r="I22015" t="s">
        <v>63036</v>
      </c>
      <c r="L22015">
        <v>0</v>
      </c>
      <c r="M22015">
        <v>0</v>
      </c>
      <c r="N22015">
        <v>2</v>
      </c>
      <c r="O22015" t="s">
        <v>11749</v>
      </c>
    </row>
    <row r="22016" spans="1:15">
      <c r="A22016" t="s">
        <v>63037</v>
      </c>
      <c r="B22016" t="s">
        <v>21516</v>
      </c>
      <c r="C22016" t="s">
        <v>39031</v>
      </c>
      <c r="D22016" t="s">
        <v>63038</v>
      </c>
      <c r="E22016" t="b">
        <v>0</v>
      </c>
      <c r="F22016" t="s">
        <v>11610</v>
      </c>
      <c r="L22016">
        <v>0</v>
      </c>
      <c r="M22016">
        <v>0</v>
      </c>
      <c r="N22016">
        <v>0</v>
      </c>
    </row>
    <row r="22017" spans="1:15">
      <c r="A22017" t="s">
        <v>63039</v>
      </c>
      <c r="B22017" t="s">
        <v>21516</v>
      </c>
      <c r="C22017" t="s">
        <v>39031</v>
      </c>
      <c r="D22017" t="s">
        <v>63040</v>
      </c>
      <c r="E22017" t="b">
        <v>0</v>
      </c>
      <c r="F22017" t="s">
        <v>11610</v>
      </c>
      <c r="L22017">
        <v>0</v>
      </c>
      <c r="M22017">
        <v>0</v>
      </c>
      <c r="N22017">
        <v>0</v>
      </c>
    </row>
    <row r="22018" spans="1:15">
      <c r="A22018" t="s">
        <v>63041</v>
      </c>
      <c r="B22018" t="s">
        <v>6742</v>
      </c>
      <c r="C22018" t="s">
        <v>12411</v>
      </c>
      <c r="D22018" t="s">
        <v>63042</v>
      </c>
      <c r="E22018" t="b">
        <v>0</v>
      </c>
      <c r="F22018" t="s">
        <v>11624</v>
      </c>
      <c r="G22018">
        <v>5.3743800000000004</v>
      </c>
      <c r="H22018">
        <v>8.1033500000000007</v>
      </c>
      <c r="I22018" t="s">
        <v>63043</v>
      </c>
      <c r="L22018">
        <v>0</v>
      </c>
      <c r="M22018">
        <v>0</v>
      </c>
      <c r="N22018">
        <v>0</v>
      </c>
      <c r="O22018" t="s">
        <v>11693</v>
      </c>
    </row>
    <row r="22019" spans="1:15">
      <c r="A22019" t="s">
        <v>63044</v>
      </c>
      <c r="B22019" t="s">
        <v>19639</v>
      </c>
      <c r="C22019" t="s">
        <v>19639</v>
      </c>
      <c r="D22019" t="s">
        <v>63045</v>
      </c>
      <c r="E22019" t="b">
        <v>0</v>
      </c>
      <c r="F22019" t="s">
        <v>11624</v>
      </c>
      <c r="G22019">
        <v>-15.5929</v>
      </c>
      <c r="H22019">
        <v>-57.419199999999996</v>
      </c>
      <c r="I22019" t="s">
        <v>63046</v>
      </c>
      <c r="L22019">
        <v>0</v>
      </c>
      <c r="M22019">
        <v>0</v>
      </c>
      <c r="N22019">
        <v>0</v>
      </c>
      <c r="O22019" t="s">
        <v>11969</v>
      </c>
    </row>
    <row r="22020" spans="1:15">
      <c r="A22020" t="s">
        <v>33048</v>
      </c>
      <c r="B22020" t="s">
        <v>4342</v>
      </c>
      <c r="C22020" t="s">
        <v>22912</v>
      </c>
      <c r="D22020" t="s">
        <v>63047</v>
      </c>
      <c r="E22020" t="b">
        <v>0</v>
      </c>
      <c r="F22020" t="s">
        <v>11610</v>
      </c>
      <c r="L22020">
        <v>0</v>
      </c>
      <c r="M22020">
        <v>0</v>
      </c>
      <c r="N22020">
        <v>2</v>
      </c>
    </row>
    <row r="22021" spans="1:15">
      <c r="A22021" t="s">
        <v>63048</v>
      </c>
      <c r="B22021" t="s">
        <v>10597</v>
      </c>
      <c r="C22021" t="s">
        <v>34844</v>
      </c>
      <c r="D22021" t="s">
        <v>63049</v>
      </c>
      <c r="E22021" t="b">
        <v>0</v>
      </c>
      <c r="F22021" t="s">
        <v>11624</v>
      </c>
      <c r="G22021">
        <v>-13.152799999999999</v>
      </c>
      <c r="H22021">
        <v>143.46700000000001</v>
      </c>
      <c r="I22021" t="s">
        <v>63050</v>
      </c>
      <c r="L22021">
        <v>0</v>
      </c>
      <c r="M22021">
        <v>0</v>
      </c>
      <c r="N22021">
        <v>0</v>
      </c>
      <c r="O22021" t="s">
        <v>12107</v>
      </c>
    </row>
    <row r="22022" spans="1:15">
      <c r="A22022" t="s">
        <v>63051</v>
      </c>
      <c r="B22022" t="s">
        <v>11607</v>
      </c>
      <c r="C22022" t="s">
        <v>31025</v>
      </c>
      <c r="D22022" t="s">
        <v>63052</v>
      </c>
      <c r="E22022" t="b">
        <v>0</v>
      </c>
      <c r="F22022" t="s">
        <v>11610</v>
      </c>
      <c r="L22022">
        <v>0</v>
      </c>
      <c r="M22022">
        <v>0</v>
      </c>
      <c r="N22022">
        <v>0</v>
      </c>
    </row>
    <row r="22023" spans="1:15">
      <c r="A22023" t="s">
        <v>63053</v>
      </c>
      <c r="B22023" t="s">
        <v>6742</v>
      </c>
      <c r="C22023" t="s">
        <v>12211</v>
      </c>
      <c r="D22023" t="s">
        <v>63054</v>
      </c>
      <c r="E22023" t="b">
        <v>0</v>
      </c>
      <c r="F22023" t="s">
        <v>11610</v>
      </c>
      <c r="L22023">
        <v>0</v>
      </c>
      <c r="M22023">
        <v>0</v>
      </c>
      <c r="N22023">
        <v>0</v>
      </c>
    </row>
    <row r="22024" spans="1:15">
      <c r="A22024" t="s">
        <v>63055</v>
      </c>
      <c r="B22024" t="s">
        <v>367</v>
      </c>
      <c r="C22024" t="s">
        <v>42582</v>
      </c>
      <c r="D22024" t="s">
        <v>63056</v>
      </c>
      <c r="E22024" t="b">
        <v>0</v>
      </c>
      <c r="F22024" t="s">
        <v>11610</v>
      </c>
      <c r="L22024">
        <v>0</v>
      </c>
      <c r="M22024">
        <v>0</v>
      </c>
      <c r="N22024">
        <v>0</v>
      </c>
    </row>
    <row r="22025" spans="1:15">
      <c r="A22025" t="s">
        <v>63057</v>
      </c>
      <c r="B22025" t="s">
        <v>13291</v>
      </c>
      <c r="C22025" t="s">
        <v>19558</v>
      </c>
      <c r="D22025" t="s">
        <v>63058</v>
      </c>
      <c r="E22025" t="b">
        <v>0</v>
      </c>
      <c r="F22025" t="s">
        <v>11610</v>
      </c>
      <c r="L22025">
        <v>0</v>
      </c>
      <c r="M22025">
        <v>0</v>
      </c>
      <c r="N22025">
        <v>0</v>
      </c>
    </row>
    <row r="22026" spans="1:15">
      <c r="A22026" t="s">
        <v>63059</v>
      </c>
      <c r="B22026" t="s">
        <v>11615</v>
      </c>
      <c r="C22026" t="s">
        <v>26271</v>
      </c>
      <c r="D22026" t="s">
        <v>63060</v>
      </c>
      <c r="E22026" t="b">
        <v>0</v>
      </c>
      <c r="F22026" t="s">
        <v>11624</v>
      </c>
      <c r="G22026">
        <v>-4.6967600000000003</v>
      </c>
      <c r="H22026">
        <v>140.1</v>
      </c>
      <c r="I22026" t="s">
        <v>63061</v>
      </c>
      <c r="L22026">
        <v>0</v>
      </c>
      <c r="M22026">
        <v>0</v>
      </c>
      <c r="N22026">
        <v>0</v>
      </c>
      <c r="O22026" t="s">
        <v>11768</v>
      </c>
    </row>
    <row r="22027" spans="1:15">
      <c r="A22027" t="s">
        <v>63062</v>
      </c>
      <c r="B22027" t="s">
        <v>13360</v>
      </c>
      <c r="C22027" t="s">
        <v>13360</v>
      </c>
      <c r="D22027" t="s">
        <v>63063</v>
      </c>
      <c r="E22027" t="b">
        <v>0</v>
      </c>
      <c r="F22027" t="s">
        <v>11624</v>
      </c>
      <c r="G22027">
        <v>-2.99955208</v>
      </c>
      <c r="H22027">
        <v>-69.224792399999998</v>
      </c>
      <c r="L22027">
        <v>0</v>
      </c>
      <c r="M22027">
        <v>0</v>
      </c>
      <c r="N22027">
        <v>0</v>
      </c>
      <c r="O22027" t="s">
        <v>11969</v>
      </c>
    </row>
    <row r="22028" spans="1:15">
      <c r="A22028" t="s">
        <v>63064</v>
      </c>
      <c r="B22028" t="s">
        <v>13014</v>
      </c>
      <c r="C22028" t="s">
        <v>4307</v>
      </c>
      <c r="D22028" t="s">
        <v>63065</v>
      </c>
      <c r="E22028" t="b">
        <v>0</v>
      </c>
      <c r="F22028" t="s">
        <v>11610</v>
      </c>
      <c r="L22028">
        <v>0</v>
      </c>
      <c r="M22028">
        <v>0</v>
      </c>
      <c r="N22028">
        <v>0</v>
      </c>
    </row>
    <row r="22029" spans="1:15">
      <c r="A22029" t="s">
        <v>63066</v>
      </c>
      <c r="B22029" t="s">
        <v>12979</v>
      </c>
      <c r="C22029" t="s">
        <v>23310</v>
      </c>
      <c r="D22029" t="s">
        <v>63067</v>
      </c>
      <c r="E22029" t="b">
        <v>0</v>
      </c>
      <c r="F22029" t="s">
        <v>11624</v>
      </c>
      <c r="G22029">
        <v>35.026400000000002</v>
      </c>
      <c r="H22029">
        <v>-98.320099999999996</v>
      </c>
      <c r="I22029" t="s">
        <v>63068</v>
      </c>
      <c r="L22029">
        <v>0</v>
      </c>
      <c r="M22029">
        <v>0</v>
      </c>
      <c r="N22029">
        <v>0</v>
      </c>
      <c r="O22029" t="s">
        <v>11944</v>
      </c>
    </row>
    <row r="22030" spans="1:15">
      <c r="A22030" t="s">
        <v>12241</v>
      </c>
      <c r="D22030" t="s">
        <v>63069</v>
      </c>
      <c r="E22030" t="b">
        <v>0</v>
      </c>
      <c r="F22030" t="s">
        <v>11622</v>
      </c>
      <c r="L22030">
        <v>19</v>
      </c>
      <c r="M22030">
        <v>67</v>
      </c>
      <c r="N22030">
        <v>2</v>
      </c>
    </row>
    <row r="22031" spans="1:15">
      <c r="A22031" t="s">
        <v>13360</v>
      </c>
      <c r="D22031" t="s">
        <v>63070</v>
      </c>
      <c r="E22031" t="b">
        <v>0</v>
      </c>
      <c r="F22031" t="s">
        <v>11622</v>
      </c>
      <c r="L22031">
        <v>0</v>
      </c>
      <c r="M22031">
        <v>122</v>
      </c>
      <c r="N22031">
        <v>0</v>
      </c>
    </row>
    <row r="22032" spans="1:15">
      <c r="A22032" t="s">
        <v>27899</v>
      </c>
      <c r="B22032" t="s">
        <v>6742</v>
      </c>
      <c r="C22032" t="s">
        <v>17661</v>
      </c>
      <c r="D22032" t="s">
        <v>63071</v>
      </c>
      <c r="E22032" t="b">
        <v>0</v>
      </c>
      <c r="F22032" t="s">
        <v>11622</v>
      </c>
      <c r="L22032">
        <v>0</v>
      </c>
      <c r="M22032">
        <v>1</v>
      </c>
      <c r="N22032">
        <v>0</v>
      </c>
    </row>
    <row r="22033" spans="1:14">
      <c r="A22033" t="s">
        <v>17944</v>
      </c>
      <c r="B22033" t="s">
        <v>6742</v>
      </c>
      <c r="C22033" t="s">
        <v>21871</v>
      </c>
      <c r="D22033" t="s">
        <v>63072</v>
      </c>
      <c r="E22033" t="b">
        <v>0</v>
      </c>
      <c r="F22033" t="s">
        <v>11622</v>
      </c>
      <c r="L22033">
        <v>1</v>
      </c>
      <c r="M22033">
        <v>2</v>
      </c>
      <c r="N22033">
        <v>0</v>
      </c>
    </row>
    <row r="22034" spans="1:14">
      <c r="A22034" t="s">
        <v>19255</v>
      </c>
      <c r="B22034" t="s">
        <v>6742</v>
      </c>
      <c r="C22034" t="s">
        <v>29641</v>
      </c>
      <c r="D22034" t="s">
        <v>63073</v>
      </c>
      <c r="E22034" t="b">
        <v>0</v>
      </c>
      <c r="F22034" t="s">
        <v>11622</v>
      </c>
      <c r="L22034">
        <v>0</v>
      </c>
      <c r="M22034">
        <v>2</v>
      </c>
      <c r="N22034">
        <v>2</v>
      </c>
    </row>
    <row r="22035" spans="1:14">
      <c r="A22035" t="s">
        <v>47897</v>
      </c>
      <c r="B22035" t="s">
        <v>367</v>
      </c>
      <c r="C22035" t="s">
        <v>24951</v>
      </c>
      <c r="D22035" t="s">
        <v>63074</v>
      </c>
      <c r="E22035" t="b">
        <v>0</v>
      </c>
      <c r="F22035" t="s">
        <v>11622</v>
      </c>
      <c r="L22035">
        <v>1</v>
      </c>
      <c r="M22035">
        <v>2</v>
      </c>
      <c r="N22035">
        <v>0</v>
      </c>
    </row>
    <row r="22036" spans="1:14">
      <c r="A22036" t="s">
        <v>18795</v>
      </c>
      <c r="B22036" t="s">
        <v>11729</v>
      </c>
      <c r="C22036" t="s">
        <v>42614</v>
      </c>
      <c r="D22036" t="s">
        <v>63075</v>
      </c>
      <c r="E22036" t="b">
        <v>0</v>
      </c>
      <c r="F22036" t="s">
        <v>11622</v>
      </c>
      <c r="L22036">
        <v>0</v>
      </c>
      <c r="M22036">
        <v>1</v>
      </c>
      <c r="N22036">
        <v>2</v>
      </c>
    </row>
    <row r="22037" spans="1:14">
      <c r="A22037" t="s">
        <v>16830</v>
      </c>
      <c r="B22037" t="s">
        <v>11644</v>
      </c>
      <c r="C22037" t="s">
        <v>18846</v>
      </c>
      <c r="D22037" t="s">
        <v>63076</v>
      </c>
      <c r="E22037" t="b">
        <v>0</v>
      </c>
      <c r="F22037" t="s">
        <v>11622</v>
      </c>
      <c r="L22037">
        <v>0</v>
      </c>
      <c r="M22037">
        <v>2</v>
      </c>
      <c r="N22037">
        <v>0</v>
      </c>
    </row>
    <row r="22038" spans="1:14">
      <c r="A22038" t="s">
        <v>26463</v>
      </c>
      <c r="B22038" t="s">
        <v>11644</v>
      </c>
      <c r="C22038" t="s">
        <v>21919</v>
      </c>
      <c r="D22038" t="s">
        <v>63077</v>
      </c>
      <c r="E22038" t="b">
        <v>0</v>
      </c>
      <c r="F22038" t="s">
        <v>11622</v>
      </c>
      <c r="L22038">
        <v>0</v>
      </c>
      <c r="M22038">
        <v>1</v>
      </c>
      <c r="N22038">
        <v>0</v>
      </c>
    </row>
    <row r="22039" spans="1:14">
      <c r="A22039" t="s">
        <v>36296</v>
      </c>
      <c r="B22039" t="s">
        <v>11637</v>
      </c>
      <c r="C22039" t="s">
        <v>33955</v>
      </c>
      <c r="D22039" t="s">
        <v>63078</v>
      </c>
      <c r="E22039" t="b">
        <v>0</v>
      </c>
      <c r="F22039" t="s">
        <v>11622</v>
      </c>
      <c r="L22039">
        <v>0</v>
      </c>
      <c r="M22039">
        <v>1</v>
      </c>
      <c r="N22039">
        <v>0</v>
      </c>
    </row>
    <row r="22040" spans="1:14">
      <c r="A22040" t="s">
        <v>49268</v>
      </c>
      <c r="B22040" t="s">
        <v>6742</v>
      </c>
      <c r="C22040" t="s">
        <v>19964</v>
      </c>
      <c r="D22040" t="s">
        <v>63079</v>
      </c>
      <c r="E22040" t="b">
        <v>0</v>
      </c>
      <c r="F22040" t="s">
        <v>11622</v>
      </c>
      <c r="L22040">
        <v>0</v>
      </c>
      <c r="M22040">
        <v>1</v>
      </c>
      <c r="N22040">
        <v>0</v>
      </c>
    </row>
    <row r="22041" spans="1:14">
      <c r="A22041" t="s">
        <v>43341</v>
      </c>
      <c r="B22041" t="s">
        <v>11615</v>
      </c>
      <c r="C22041" t="s">
        <v>28675</v>
      </c>
      <c r="D22041" t="s">
        <v>63080</v>
      </c>
      <c r="E22041" t="b">
        <v>0</v>
      </c>
      <c r="F22041" t="s">
        <v>11622</v>
      </c>
      <c r="L22041">
        <v>0</v>
      </c>
      <c r="M22041">
        <v>3</v>
      </c>
      <c r="N22041">
        <v>0</v>
      </c>
    </row>
    <row r="22042" spans="1:14">
      <c r="A22042" t="s">
        <v>13512</v>
      </c>
      <c r="B22042" t="s">
        <v>11607</v>
      </c>
      <c r="C22042" t="s">
        <v>26435</v>
      </c>
      <c r="D22042" t="s">
        <v>63081</v>
      </c>
      <c r="E22042" t="b">
        <v>0</v>
      </c>
      <c r="F22042" t="s">
        <v>11622</v>
      </c>
      <c r="L22042">
        <v>0</v>
      </c>
      <c r="M22042">
        <v>1</v>
      </c>
      <c r="N22042">
        <v>0</v>
      </c>
    </row>
    <row r="22043" spans="1:14">
      <c r="A22043" t="s">
        <v>20503</v>
      </c>
      <c r="B22043" t="s">
        <v>11644</v>
      </c>
      <c r="C22043" t="s">
        <v>13751</v>
      </c>
      <c r="D22043" t="s">
        <v>63082</v>
      </c>
      <c r="E22043" t="b">
        <v>0</v>
      </c>
      <c r="F22043" t="s">
        <v>11622</v>
      </c>
      <c r="L22043">
        <v>0</v>
      </c>
      <c r="M22043">
        <v>2</v>
      </c>
      <c r="N22043">
        <v>0</v>
      </c>
    </row>
    <row r="22044" spans="1:14">
      <c r="A22044" t="s">
        <v>34306</v>
      </c>
      <c r="B22044" t="s">
        <v>11844</v>
      </c>
      <c r="C22044" t="s">
        <v>42112</v>
      </c>
      <c r="D22044" t="s">
        <v>63083</v>
      </c>
      <c r="E22044" t="b">
        <v>0</v>
      </c>
      <c r="F22044" t="s">
        <v>11622</v>
      </c>
      <c r="L22044">
        <v>0</v>
      </c>
      <c r="M22044">
        <v>1</v>
      </c>
      <c r="N22044">
        <v>0</v>
      </c>
    </row>
    <row r="22045" spans="1:14">
      <c r="A22045" t="s">
        <v>43879</v>
      </c>
      <c r="B22045" t="s">
        <v>13691</v>
      </c>
      <c r="C22045" t="s">
        <v>13691</v>
      </c>
      <c r="D22045" t="s">
        <v>63084</v>
      </c>
      <c r="E22045" t="b">
        <v>0</v>
      </c>
      <c r="F22045" t="s">
        <v>11622</v>
      </c>
      <c r="L22045">
        <v>0</v>
      </c>
      <c r="M22045">
        <v>1</v>
      </c>
      <c r="N22045">
        <v>0</v>
      </c>
    </row>
    <row r="22046" spans="1:14">
      <c r="A22046" t="s">
        <v>25390</v>
      </c>
      <c r="B22046" t="s">
        <v>11644</v>
      </c>
      <c r="C22046" t="s">
        <v>45997</v>
      </c>
      <c r="D22046" t="s">
        <v>63085</v>
      </c>
      <c r="E22046" t="b">
        <v>0</v>
      </c>
      <c r="F22046" t="s">
        <v>11622</v>
      </c>
      <c r="L22046">
        <v>0</v>
      </c>
      <c r="M22046">
        <v>3</v>
      </c>
      <c r="N22046">
        <v>0</v>
      </c>
    </row>
    <row r="22047" spans="1:14">
      <c r="A22047" t="s">
        <v>20238</v>
      </c>
      <c r="B22047" t="s">
        <v>11615</v>
      </c>
      <c r="C22047" t="s">
        <v>24384</v>
      </c>
      <c r="D22047" t="s">
        <v>63086</v>
      </c>
      <c r="E22047" t="b">
        <v>0</v>
      </c>
      <c r="F22047" t="s">
        <v>11622</v>
      </c>
      <c r="L22047">
        <v>0</v>
      </c>
      <c r="M22047">
        <v>3</v>
      </c>
      <c r="N22047">
        <v>0</v>
      </c>
    </row>
    <row r="22048" spans="1:14">
      <c r="A22048" t="s">
        <v>36089</v>
      </c>
      <c r="B22048" t="s">
        <v>11644</v>
      </c>
      <c r="C22048" t="s">
        <v>19893</v>
      </c>
      <c r="D22048" t="s">
        <v>63087</v>
      </c>
      <c r="E22048" t="b">
        <v>0</v>
      </c>
      <c r="F22048" t="s">
        <v>11622</v>
      </c>
      <c r="L22048">
        <v>0</v>
      </c>
      <c r="M22048">
        <v>1</v>
      </c>
      <c r="N22048">
        <v>0</v>
      </c>
    </row>
    <row r="22049" spans="1:15">
      <c r="A22049" t="s">
        <v>53226</v>
      </c>
      <c r="B22049" t="s">
        <v>11637</v>
      </c>
      <c r="C22049" t="s">
        <v>21127</v>
      </c>
      <c r="D22049" t="s">
        <v>63088</v>
      </c>
      <c r="E22049" t="b">
        <v>0</v>
      </c>
      <c r="F22049" t="s">
        <v>11622</v>
      </c>
      <c r="L22049">
        <v>0</v>
      </c>
      <c r="M22049">
        <v>1</v>
      </c>
      <c r="N22049">
        <v>0</v>
      </c>
    </row>
    <row r="22050" spans="1:15">
      <c r="A22050" t="s">
        <v>38370</v>
      </c>
      <c r="B22050" t="s">
        <v>11637</v>
      </c>
      <c r="C22050" t="s">
        <v>17956</v>
      </c>
      <c r="D22050" t="s">
        <v>63089</v>
      </c>
      <c r="E22050" t="b">
        <v>0</v>
      </c>
      <c r="F22050" t="s">
        <v>11622</v>
      </c>
      <c r="L22050">
        <v>0</v>
      </c>
      <c r="M22050">
        <v>1</v>
      </c>
      <c r="N22050">
        <v>0</v>
      </c>
    </row>
    <row r="22051" spans="1:15">
      <c r="A22051" t="s">
        <v>63090</v>
      </c>
      <c r="B22051" t="s">
        <v>367</v>
      </c>
      <c r="C22051" t="s">
        <v>16940</v>
      </c>
      <c r="D22051" t="s">
        <v>63091</v>
      </c>
      <c r="E22051" t="b">
        <v>0</v>
      </c>
      <c r="F22051" t="s">
        <v>11624</v>
      </c>
      <c r="G22051">
        <v>-0.85875999999999997</v>
      </c>
      <c r="H22051">
        <v>119.673</v>
      </c>
      <c r="I22051" t="s">
        <v>63092</v>
      </c>
      <c r="L22051">
        <v>0</v>
      </c>
      <c r="M22051">
        <v>0</v>
      </c>
      <c r="N22051">
        <v>0</v>
      </c>
      <c r="O22051" t="s">
        <v>11768</v>
      </c>
    </row>
    <row r="22052" spans="1:15">
      <c r="A22052" t="s">
        <v>63093</v>
      </c>
      <c r="B22052" t="s">
        <v>16115</v>
      </c>
      <c r="C22052" t="s">
        <v>16115</v>
      </c>
      <c r="D22052" t="s">
        <v>63094</v>
      </c>
      <c r="E22052" t="b">
        <v>0</v>
      </c>
      <c r="F22052" t="s">
        <v>11610</v>
      </c>
      <c r="L22052">
        <v>0</v>
      </c>
      <c r="M22052">
        <v>0</v>
      </c>
      <c r="N22052">
        <v>0</v>
      </c>
    </row>
    <row r="22053" spans="1:15">
      <c r="A22053" t="s">
        <v>63095</v>
      </c>
      <c r="B22053" t="s">
        <v>367</v>
      </c>
      <c r="C22053" t="s">
        <v>4260</v>
      </c>
      <c r="D22053" t="s">
        <v>63096</v>
      </c>
      <c r="E22053" t="b">
        <v>0</v>
      </c>
      <c r="F22053" t="s">
        <v>11610</v>
      </c>
      <c r="L22053">
        <v>0</v>
      </c>
      <c r="M22053">
        <v>0</v>
      </c>
      <c r="N22053">
        <v>0</v>
      </c>
    </row>
    <row r="22054" spans="1:15">
      <c r="A22054" t="s">
        <v>63097</v>
      </c>
      <c r="B22054" t="s">
        <v>367</v>
      </c>
      <c r="C22054" t="s">
        <v>16297</v>
      </c>
      <c r="D22054" t="s">
        <v>63098</v>
      </c>
      <c r="E22054" t="b">
        <v>0</v>
      </c>
      <c r="F22054" t="s">
        <v>11624</v>
      </c>
      <c r="G22054">
        <v>-4.8938300000000003</v>
      </c>
      <c r="H22054">
        <v>149.14099999999999</v>
      </c>
      <c r="I22054" t="s">
        <v>63099</v>
      </c>
      <c r="L22054">
        <v>0</v>
      </c>
      <c r="M22054">
        <v>0</v>
      </c>
      <c r="N22054">
        <v>0</v>
      </c>
      <c r="O22054" t="s">
        <v>11660</v>
      </c>
    </row>
    <row r="22055" spans="1:15">
      <c r="A22055" t="s">
        <v>63100</v>
      </c>
      <c r="B22055" t="s">
        <v>6742</v>
      </c>
      <c r="C22055" t="s">
        <v>63101</v>
      </c>
      <c r="D22055" t="s">
        <v>63102</v>
      </c>
      <c r="E22055" t="b">
        <v>0</v>
      </c>
      <c r="F22055" t="s">
        <v>11624</v>
      </c>
      <c r="G22055">
        <v>6.9723699999999997</v>
      </c>
      <c r="H22055">
        <v>6.1342699999999999</v>
      </c>
      <c r="I22055" t="s">
        <v>63103</v>
      </c>
      <c r="L22055">
        <v>0</v>
      </c>
      <c r="M22055">
        <v>0</v>
      </c>
      <c r="N22055">
        <v>0</v>
      </c>
      <c r="O22055" t="s">
        <v>11693</v>
      </c>
    </row>
    <row r="22056" spans="1:15">
      <c r="A22056" t="s">
        <v>63101</v>
      </c>
      <c r="B22056" t="s">
        <v>6742</v>
      </c>
      <c r="C22056" t="s">
        <v>12187</v>
      </c>
      <c r="D22056" t="s">
        <v>63104</v>
      </c>
      <c r="E22056" t="b">
        <v>0</v>
      </c>
      <c r="F22056" t="s">
        <v>11622</v>
      </c>
      <c r="L22056">
        <v>0</v>
      </c>
      <c r="M22056">
        <v>2</v>
      </c>
      <c r="N22056">
        <v>8</v>
      </c>
    </row>
    <row r="22057" spans="1:15">
      <c r="A22057" t="s">
        <v>63105</v>
      </c>
      <c r="B22057" t="s">
        <v>12250</v>
      </c>
      <c r="C22057" t="s">
        <v>2129</v>
      </c>
      <c r="D22057" t="s">
        <v>63106</v>
      </c>
      <c r="E22057" t="b">
        <v>0</v>
      </c>
      <c r="F22057" t="s">
        <v>11610</v>
      </c>
      <c r="L22057">
        <v>0</v>
      </c>
      <c r="M22057">
        <v>0</v>
      </c>
      <c r="N22057">
        <v>0</v>
      </c>
    </row>
    <row r="22058" spans="1:15">
      <c r="A22058" t="s">
        <v>63107</v>
      </c>
      <c r="B22058" t="s">
        <v>6742</v>
      </c>
      <c r="C22058" t="s">
        <v>17881</v>
      </c>
      <c r="D22058" t="s">
        <v>63108</v>
      </c>
      <c r="E22058" t="b">
        <v>0</v>
      </c>
      <c r="F22058" t="s">
        <v>11610</v>
      </c>
      <c r="L22058">
        <v>0</v>
      </c>
      <c r="M22058">
        <v>0</v>
      </c>
      <c r="N22058">
        <v>0</v>
      </c>
    </row>
    <row r="22059" spans="1:15">
      <c r="A22059" t="s">
        <v>63109</v>
      </c>
      <c r="B22059" t="s">
        <v>6742</v>
      </c>
      <c r="C22059" t="s">
        <v>17447</v>
      </c>
      <c r="D22059" t="s">
        <v>63110</v>
      </c>
      <c r="E22059" t="b">
        <v>0</v>
      </c>
      <c r="F22059" t="s">
        <v>11610</v>
      </c>
      <c r="L22059">
        <v>0</v>
      </c>
      <c r="M22059">
        <v>0</v>
      </c>
      <c r="N22059">
        <v>0</v>
      </c>
    </row>
    <row r="22060" spans="1:15">
      <c r="A22060" t="s">
        <v>63111</v>
      </c>
      <c r="B22060" t="s">
        <v>1588</v>
      </c>
      <c r="C22060" t="s">
        <v>63030</v>
      </c>
      <c r="D22060" t="s">
        <v>63112</v>
      </c>
      <c r="E22060" t="b">
        <v>0</v>
      </c>
      <c r="F22060" t="s">
        <v>11624</v>
      </c>
      <c r="G22060">
        <v>-15.65</v>
      </c>
      <c r="H22060">
        <v>124.67</v>
      </c>
      <c r="I22060" t="s">
        <v>63113</v>
      </c>
      <c r="L22060">
        <v>0</v>
      </c>
      <c r="M22060">
        <v>0</v>
      </c>
      <c r="N22060">
        <v>0</v>
      </c>
      <c r="O22060" t="s">
        <v>12107</v>
      </c>
    </row>
    <row r="22061" spans="1:15">
      <c r="A22061" t="s">
        <v>63114</v>
      </c>
      <c r="B22061" t="s">
        <v>1588</v>
      </c>
      <c r="C22061" t="s">
        <v>63029</v>
      </c>
      <c r="D22061" t="s">
        <v>63115</v>
      </c>
      <c r="E22061" t="b">
        <v>0</v>
      </c>
      <c r="F22061" t="s">
        <v>11610</v>
      </c>
      <c r="G22061">
        <v>-16.91</v>
      </c>
      <c r="H22061">
        <v>124.15600000000001</v>
      </c>
      <c r="I22061" t="s">
        <v>63116</v>
      </c>
      <c r="L22061">
        <v>0</v>
      </c>
      <c r="M22061">
        <v>0</v>
      </c>
      <c r="N22061">
        <v>0</v>
      </c>
      <c r="O22061" t="s">
        <v>12107</v>
      </c>
    </row>
    <row r="22062" spans="1:15">
      <c r="A22062" t="s">
        <v>63117</v>
      </c>
      <c r="B22062" t="s">
        <v>6742</v>
      </c>
      <c r="C22062" t="s">
        <v>13575</v>
      </c>
      <c r="D22062" t="s">
        <v>63118</v>
      </c>
      <c r="E22062" t="b">
        <v>0</v>
      </c>
      <c r="F22062" t="s">
        <v>11610</v>
      </c>
      <c r="L22062">
        <v>0</v>
      </c>
      <c r="M22062">
        <v>0</v>
      </c>
      <c r="N22062">
        <v>0</v>
      </c>
    </row>
    <row r="22063" spans="1:15">
      <c r="A22063" t="s">
        <v>63119</v>
      </c>
      <c r="B22063" t="s">
        <v>6742</v>
      </c>
      <c r="C22063" t="s">
        <v>12870</v>
      </c>
      <c r="D22063" t="s">
        <v>63120</v>
      </c>
      <c r="E22063" t="b">
        <v>0</v>
      </c>
      <c r="F22063" t="s">
        <v>11610</v>
      </c>
      <c r="L22063">
        <v>0</v>
      </c>
      <c r="M22063">
        <v>0</v>
      </c>
      <c r="N22063">
        <v>0</v>
      </c>
    </row>
    <row r="22064" spans="1:15">
      <c r="A22064" t="s">
        <v>63121</v>
      </c>
      <c r="B22064" t="s">
        <v>11894</v>
      </c>
      <c r="C22064" t="s">
        <v>23655</v>
      </c>
      <c r="D22064" t="s">
        <v>63122</v>
      </c>
      <c r="E22064" t="b">
        <v>0</v>
      </c>
      <c r="F22064" t="s">
        <v>11610</v>
      </c>
      <c r="L22064">
        <v>0</v>
      </c>
      <c r="M22064">
        <v>0</v>
      </c>
      <c r="N22064">
        <v>0</v>
      </c>
    </row>
    <row r="22065" spans="1:15">
      <c r="A22065" t="s">
        <v>51513</v>
      </c>
      <c r="B22065" t="s">
        <v>16986</v>
      </c>
      <c r="C22065" t="s">
        <v>19764</v>
      </c>
      <c r="D22065" t="s">
        <v>63123</v>
      </c>
      <c r="E22065" t="b">
        <v>0</v>
      </c>
      <c r="F22065" t="s">
        <v>11624</v>
      </c>
      <c r="L22065">
        <v>0</v>
      </c>
      <c r="M22065">
        <v>0</v>
      </c>
      <c r="N22065">
        <v>2</v>
      </c>
      <c r="O22065" t="s">
        <v>11660</v>
      </c>
    </row>
    <row r="22066" spans="1:15">
      <c r="A22066" t="s">
        <v>63124</v>
      </c>
      <c r="B22066" t="s">
        <v>6742</v>
      </c>
      <c r="C22066" t="s">
        <v>15272</v>
      </c>
      <c r="D22066" t="s">
        <v>63125</v>
      </c>
      <c r="E22066" t="b">
        <v>0</v>
      </c>
      <c r="F22066" t="s">
        <v>11610</v>
      </c>
      <c r="L22066">
        <v>0</v>
      </c>
      <c r="M22066">
        <v>0</v>
      </c>
      <c r="N22066">
        <v>0</v>
      </c>
    </row>
    <row r="22067" spans="1:15">
      <c r="A22067" t="s">
        <v>63126</v>
      </c>
      <c r="B22067" t="s">
        <v>11637</v>
      </c>
      <c r="C22067" t="s">
        <v>29402</v>
      </c>
      <c r="D22067" t="s">
        <v>63127</v>
      </c>
      <c r="E22067" t="b">
        <v>0</v>
      </c>
      <c r="F22067" t="s">
        <v>11624</v>
      </c>
      <c r="G22067">
        <v>-4.1956600000000002</v>
      </c>
      <c r="H22067">
        <v>152.18299999999999</v>
      </c>
      <c r="I22067" t="s">
        <v>63128</v>
      </c>
      <c r="L22067">
        <v>0</v>
      </c>
      <c r="M22067">
        <v>0</v>
      </c>
      <c r="N22067">
        <v>0</v>
      </c>
      <c r="O22067" t="s">
        <v>63129</v>
      </c>
    </row>
    <row r="22068" spans="1:15">
      <c r="A22068" t="s">
        <v>14263</v>
      </c>
      <c r="B22068" t="s">
        <v>11637</v>
      </c>
      <c r="C22068" t="s">
        <v>56898</v>
      </c>
      <c r="D22068" t="s">
        <v>63130</v>
      </c>
      <c r="E22068" t="b">
        <v>0</v>
      </c>
      <c r="F22068" t="s">
        <v>11622</v>
      </c>
      <c r="L22068">
        <v>0</v>
      </c>
      <c r="M22068">
        <v>2</v>
      </c>
      <c r="N22068">
        <v>4</v>
      </c>
    </row>
    <row r="22069" spans="1:15">
      <c r="A22069" t="s">
        <v>63131</v>
      </c>
      <c r="B22069" t="s">
        <v>12311</v>
      </c>
      <c r="C22069" t="s">
        <v>13678</v>
      </c>
      <c r="D22069" t="s">
        <v>63132</v>
      </c>
      <c r="E22069" t="b">
        <v>0</v>
      </c>
      <c r="F22069" t="s">
        <v>11610</v>
      </c>
      <c r="L22069">
        <v>0</v>
      </c>
      <c r="M22069">
        <v>0</v>
      </c>
      <c r="N22069">
        <v>0</v>
      </c>
    </row>
    <row r="22070" spans="1:15">
      <c r="A22070" t="s">
        <v>20597</v>
      </c>
      <c r="B22070" t="s">
        <v>367</v>
      </c>
      <c r="C22070" t="s">
        <v>54475</v>
      </c>
      <c r="D22070" t="s">
        <v>63133</v>
      </c>
      <c r="E22070" t="b">
        <v>0</v>
      </c>
      <c r="F22070" t="s">
        <v>11624</v>
      </c>
      <c r="G22070">
        <v>-16.2638</v>
      </c>
      <c r="H22070">
        <v>167.59899999999999</v>
      </c>
      <c r="I22070" t="s">
        <v>63134</v>
      </c>
      <c r="L22070">
        <v>0</v>
      </c>
      <c r="M22070">
        <v>0</v>
      </c>
      <c r="N22070">
        <v>1</v>
      </c>
      <c r="O22070" t="s">
        <v>12719</v>
      </c>
    </row>
    <row r="22071" spans="1:15">
      <c r="A22071" t="s">
        <v>54475</v>
      </c>
      <c r="B22071" t="s">
        <v>367</v>
      </c>
      <c r="C22071" t="s">
        <v>15138</v>
      </c>
      <c r="D22071" t="s">
        <v>63135</v>
      </c>
      <c r="E22071" t="b">
        <v>0</v>
      </c>
      <c r="F22071" t="s">
        <v>11622</v>
      </c>
      <c r="L22071">
        <v>0</v>
      </c>
      <c r="M22071">
        <v>2</v>
      </c>
      <c r="N22071">
        <v>2</v>
      </c>
    </row>
    <row r="22072" spans="1:15">
      <c r="A22072" t="s">
        <v>63136</v>
      </c>
      <c r="B22072" t="s">
        <v>367</v>
      </c>
      <c r="C22072" t="s">
        <v>15128</v>
      </c>
      <c r="D22072" t="s">
        <v>63137</v>
      </c>
      <c r="E22072" t="b">
        <v>0</v>
      </c>
      <c r="F22072" t="s">
        <v>11624</v>
      </c>
      <c r="I22072" t="s">
        <v>63138</v>
      </c>
      <c r="L22072">
        <v>0</v>
      </c>
      <c r="M22072">
        <v>0</v>
      </c>
      <c r="N22072">
        <v>0</v>
      </c>
      <c r="O22072" t="s">
        <v>11660</v>
      </c>
    </row>
    <row r="22073" spans="1:15">
      <c r="A22073" t="s">
        <v>11632</v>
      </c>
      <c r="B22073" t="s">
        <v>11607</v>
      </c>
      <c r="C22073" t="s">
        <v>58653</v>
      </c>
      <c r="D22073" t="s">
        <v>63139</v>
      </c>
      <c r="E22073" t="b">
        <v>0</v>
      </c>
      <c r="F22073" t="s">
        <v>11622</v>
      </c>
      <c r="L22073">
        <v>0</v>
      </c>
      <c r="M22073">
        <v>2</v>
      </c>
      <c r="N22073">
        <v>0</v>
      </c>
    </row>
    <row r="22074" spans="1:15">
      <c r="A22074" t="s">
        <v>19535</v>
      </c>
      <c r="B22074" t="s">
        <v>11607</v>
      </c>
      <c r="C22074" t="s">
        <v>23844</v>
      </c>
      <c r="D22074" t="s">
        <v>63140</v>
      </c>
      <c r="E22074" t="b">
        <v>0</v>
      </c>
      <c r="F22074" t="s">
        <v>11622</v>
      </c>
      <c r="L22074">
        <v>0</v>
      </c>
      <c r="M22074">
        <v>1</v>
      </c>
      <c r="N22074">
        <v>0</v>
      </c>
    </row>
    <row r="22075" spans="1:15">
      <c r="A22075" t="s">
        <v>20476</v>
      </c>
      <c r="B22075" t="s">
        <v>11607</v>
      </c>
      <c r="C22075" t="s">
        <v>19246</v>
      </c>
      <c r="D22075" t="s">
        <v>63141</v>
      </c>
      <c r="E22075" t="b">
        <v>0</v>
      </c>
      <c r="F22075" t="s">
        <v>11622</v>
      </c>
      <c r="L22075">
        <v>0</v>
      </c>
      <c r="M22075">
        <v>4</v>
      </c>
      <c r="N22075">
        <v>1</v>
      </c>
    </row>
    <row r="22076" spans="1:15">
      <c r="A22076" t="s">
        <v>33654</v>
      </c>
      <c r="B22076" t="s">
        <v>11607</v>
      </c>
      <c r="C22076" t="s">
        <v>18436</v>
      </c>
      <c r="D22076" t="s">
        <v>63142</v>
      </c>
      <c r="E22076" t="b">
        <v>0</v>
      </c>
      <c r="F22076" t="s">
        <v>11622</v>
      </c>
      <c r="L22076">
        <v>0</v>
      </c>
      <c r="M22076">
        <v>1</v>
      </c>
      <c r="N22076">
        <v>2</v>
      </c>
    </row>
    <row r="22077" spans="1:15">
      <c r="A22077" t="s">
        <v>33508</v>
      </c>
      <c r="B22077" t="s">
        <v>11607</v>
      </c>
      <c r="C22077" t="s">
        <v>18915</v>
      </c>
      <c r="D22077" t="s">
        <v>63143</v>
      </c>
      <c r="E22077" t="b">
        <v>0</v>
      </c>
      <c r="F22077" t="s">
        <v>11622</v>
      </c>
      <c r="L22077">
        <v>0</v>
      </c>
      <c r="M22077">
        <v>1</v>
      </c>
      <c r="N22077">
        <v>0</v>
      </c>
    </row>
    <row r="22078" spans="1:15">
      <c r="A22078" t="s">
        <v>29848</v>
      </c>
      <c r="B22078" t="s">
        <v>11607</v>
      </c>
      <c r="C22078" t="s">
        <v>515</v>
      </c>
      <c r="D22078" t="s">
        <v>63144</v>
      </c>
      <c r="E22078" t="b">
        <v>0</v>
      </c>
      <c r="F22078" t="s">
        <v>11622</v>
      </c>
      <c r="L22078">
        <v>0</v>
      </c>
      <c r="M22078">
        <v>1</v>
      </c>
      <c r="N22078">
        <v>0</v>
      </c>
    </row>
    <row r="22079" spans="1:15">
      <c r="A22079" t="s">
        <v>53941</v>
      </c>
      <c r="B22079" t="s">
        <v>11637</v>
      </c>
      <c r="C22079" t="s">
        <v>21853</v>
      </c>
      <c r="D22079" t="s">
        <v>63145</v>
      </c>
      <c r="E22079" t="b">
        <v>0</v>
      </c>
      <c r="F22079" t="s">
        <v>11622</v>
      </c>
      <c r="L22079">
        <v>1</v>
      </c>
      <c r="M22079">
        <v>2</v>
      </c>
      <c r="N22079">
        <v>0</v>
      </c>
    </row>
    <row r="22080" spans="1:15">
      <c r="A22080" t="s">
        <v>22669</v>
      </c>
      <c r="B22080" t="s">
        <v>11637</v>
      </c>
      <c r="C22080" t="s">
        <v>18494</v>
      </c>
      <c r="D22080" t="s">
        <v>63146</v>
      </c>
      <c r="E22080" t="b">
        <v>0</v>
      </c>
      <c r="F22080" t="s">
        <v>11622</v>
      </c>
      <c r="L22080">
        <v>1</v>
      </c>
      <c r="M22080">
        <v>2</v>
      </c>
      <c r="N22080">
        <v>0</v>
      </c>
    </row>
    <row r="22081" spans="1:14">
      <c r="A22081" t="s">
        <v>29161</v>
      </c>
      <c r="B22081" t="s">
        <v>11637</v>
      </c>
      <c r="C22081" t="s">
        <v>19828</v>
      </c>
      <c r="D22081" t="s">
        <v>63147</v>
      </c>
      <c r="E22081" t="b">
        <v>0</v>
      </c>
      <c r="F22081" t="s">
        <v>11622</v>
      </c>
      <c r="L22081">
        <v>1</v>
      </c>
      <c r="M22081">
        <v>2</v>
      </c>
      <c r="N22081">
        <v>0</v>
      </c>
    </row>
    <row r="22082" spans="1:14">
      <c r="A22082" t="s">
        <v>52089</v>
      </c>
      <c r="B22082" t="s">
        <v>11637</v>
      </c>
      <c r="C22082" t="s">
        <v>1274</v>
      </c>
      <c r="D22082" t="s">
        <v>63148</v>
      </c>
      <c r="E22082" t="b">
        <v>0</v>
      </c>
      <c r="F22082" t="s">
        <v>11622</v>
      </c>
      <c r="L22082">
        <v>0</v>
      </c>
      <c r="M22082">
        <v>1</v>
      </c>
      <c r="N22082">
        <v>0</v>
      </c>
    </row>
    <row r="22083" spans="1:14">
      <c r="A22083" t="s">
        <v>38178</v>
      </c>
      <c r="B22083" t="s">
        <v>11637</v>
      </c>
      <c r="C22083" t="s">
        <v>18493</v>
      </c>
      <c r="D22083" t="s">
        <v>63149</v>
      </c>
      <c r="E22083" t="b">
        <v>0</v>
      </c>
      <c r="F22083" t="s">
        <v>11622</v>
      </c>
      <c r="L22083">
        <v>1</v>
      </c>
      <c r="M22083">
        <v>5</v>
      </c>
      <c r="N22083">
        <v>4</v>
      </c>
    </row>
    <row r="22084" spans="1:14">
      <c r="A22084" t="s">
        <v>20184</v>
      </c>
      <c r="B22084" t="s">
        <v>11637</v>
      </c>
      <c r="C22084" t="s">
        <v>25877</v>
      </c>
      <c r="D22084" t="s">
        <v>63150</v>
      </c>
      <c r="E22084" t="b">
        <v>0</v>
      </c>
      <c r="F22084" t="s">
        <v>11622</v>
      </c>
      <c r="L22084">
        <v>0</v>
      </c>
      <c r="M22084">
        <v>3</v>
      </c>
      <c r="N22084">
        <v>1</v>
      </c>
    </row>
    <row r="22085" spans="1:14">
      <c r="A22085" t="s">
        <v>48207</v>
      </c>
      <c r="B22085" t="s">
        <v>11637</v>
      </c>
      <c r="C22085" t="s">
        <v>23078</v>
      </c>
      <c r="D22085" t="s">
        <v>63151</v>
      </c>
      <c r="E22085" t="b">
        <v>0</v>
      </c>
      <c r="F22085" t="s">
        <v>11622</v>
      </c>
      <c r="L22085">
        <v>0</v>
      </c>
      <c r="M22085">
        <v>1</v>
      </c>
      <c r="N22085">
        <v>0</v>
      </c>
    </row>
    <row r="22086" spans="1:14">
      <c r="A22086" t="s">
        <v>41350</v>
      </c>
      <c r="B22086" t="s">
        <v>11637</v>
      </c>
      <c r="C22086" t="s">
        <v>13637</v>
      </c>
      <c r="D22086" t="s">
        <v>63152</v>
      </c>
      <c r="E22086" t="b">
        <v>0</v>
      </c>
      <c r="F22086" t="s">
        <v>11622</v>
      </c>
      <c r="L22086">
        <v>0</v>
      </c>
      <c r="M22086">
        <v>2</v>
      </c>
      <c r="N22086">
        <v>0</v>
      </c>
    </row>
    <row r="22087" spans="1:14">
      <c r="A22087" t="s">
        <v>36243</v>
      </c>
      <c r="B22087" t="s">
        <v>11844</v>
      </c>
      <c r="C22087" t="s">
        <v>11844</v>
      </c>
      <c r="D22087" t="s">
        <v>63153</v>
      </c>
      <c r="E22087" t="b">
        <v>0</v>
      </c>
      <c r="F22087" t="s">
        <v>11622</v>
      </c>
      <c r="L22087">
        <v>0</v>
      </c>
      <c r="M22087">
        <v>1</v>
      </c>
      <c r="N22087">
        <v>0</v>
      </c>
    </row>
    <row r="22088" spans="1:14">
      <c r="A22088" t="s">
        <v>63154</v>
      </c>
      <c r="B22088" t="s">
        <v>9897</v>
      </c>
      <c r="C22088" t="s">
        <v>63155</v>
      </c>
      <c r="D22088" t="s">
        <v>63156</v>
      </c>
      <c r="E22088" t="b">
        <v>0</v>
      </c>
      <c r="F22088" t="s">
        <v>11622</v>
      </c>
      <c r="L22088">
        <v>0</v>
      </c>
      <c r="M22088">
        <v>1</v>
      </c>
      <c r="N22088">
        <v>0</v>
      </c>
    </row>
    <row r="22089" spans="1:14">
      <c r="A22089" t="s">
        <v>46526</v>
      </c>
      <c r="B22089" t="s">
        <v>22306</v>
      </c>
      <c r="C22089" t="s">
        <v>22306</v>
      </c>
      <c r="D22089" t="s">
        <v>63157</v>
      </c>
      <c r="E22089" t="b">
        <v>0</v>
      </c>
      <c r="F22089" t="s">
        <v>11622</v>
      </c>
      <c r="L22089">
        <v>0</v>
      </c>
      <c r="M22089">
        <v>2</v>
      </c>
      <c r="N22089">
        <v>0</v>
      </c>
    </row>
    <row r="22090" spans="1:14">
      <c r="A22090" t="s">
        <v>26837</v>
      </c>
      <c r="B22090" t="s">
        <v>5126</v>
      </c>
      <c r="C22090" t="s">
        <v>19778</v>
      </c>
      <c r="D22090" t="s">
        <v>63158</v>
      </c>
      <c r="E22090" t="b">
        <v>0</v>
      </c>
      <c r="F22090" t="s">
        <v>11622</v>
      </c>
      <c r="L22090">
        <v>0</v>
      </c>
      <c r="M22090">
        <v>1</v>
      </c>
      <c r="N22090">
        <v>0</v>
      </c>
    </row>
    <row r="22091" spans="1:14">
      <c r="A22091" t="s">
        <v>59759</v>
      </c>
      <c r="B22091" t="s">
        <v>5126</v>
      </c>
      <c r="C22091" t="s">
        <v>14843</v>
      </c>
      <c r="D22091" t="s">
        <v>63159</v>
      </c>
      <c r="E22091" t="b">
        <v>0</v>
      </c>
      <c r="F22091" t="s">
        <v>11622</v>
      </c>
      <c r="L22091">
        <v>0</v>
      </c>
      <c r="M22091">
        <v>2</v>
      </c>
      <c r="N22091">
        <v>0</v>
      </c>
    </row>
    <row r="22092" spans="1:14">
      <c r="A22092" t="s">
        <v>23448</v>
      </c>
      <c r="B22092" t="s">
        <v>11965</v>
      </c>
      <c r="C22092" t="s">
        <v>42001</v>
      </c>
      <c r="D22092" t="s">
        <v>63160</v>
      </c>
      <c r="E22092" t="b">
        <v>0</v>
      </c>
      <c r="F22092" t="s">
        <v>11622</v>
      </c>
      <c r="L22092">
        <v>0</v>
      </c>
      <c r="M22092">
        <v>1</v>
      </c>
      <c r="N22092">
        <v>0</v>
      </c>
    </row>
    <row r="22093" spans="1:14">
      <c r="A22093" t="s">
        <v>32023</v>
      </c>
      <c r="B22093" t="s">
        <v>11871</v>
      </c>
      <c r="C22093" t="s">
        <v>12827</v>
      </c>
      <c r="D22093" t="s">
        <v>63161</v>
      </c>
      <c r="E22093" t="b">
        <v>0</v>
      </c>
      <c r="F22093" t="s">
        <v>11622</v>
      </c>
      <c r="L22093">
        <v>0</v>
      </c>
      <c r="M22093">
        <v>2</v>
      </c>
      <c r="N22093">
        <v>0</v>
      </c>
    </row>
    <row r="22094" spans="1:14">
      <c r="A22094" t="s">
        <v>13991</v>
      </c>
      <c r="B22094" t="s">
        <v>9578</v>
      </c>
      <c r="C22094" t="s">
        <v>9578</v>
      </c>
      <c r="D22094" t="s">
        <v>63162</v>
      </c>
      <c r="E22094" t="b">
        <v>0</v>
      </c>
      <c r="F22094" t="s">
        <v>11622</v>
      </c>
      <c r="L22094">
        <v>0</v>
      </c>
      <c r="M22094">
        <v>2</v>
      </c>
      <c r="N22094">
        <v>0</v>
      </c>
    </row>
    <row r="22095" spans="1:14">
      <c r="A22095" t="s">
        <v>11992</v>
      </c>
      <c r="B22095" t="s">
        <v>6742</v>
      </c>
      <c r="C22095" t="s">
        <v>18018</v>
      </c>
      <c r="D22095" t="s">
        <v>63163</v>
      </c>
      <c r="E22095" t="b">
        <v>0</v>
      </c>
      <c r="F22095" t="s">
        <v>11622</v>
      </c>
      <c r="L22095">
        <v>1</v>
      </c>
      <c r="M22095">
        <v>5</v>
      </c>
      <c r="N22095">
        <v>6</v>
      </c>
    </row>
    <row r="22096" spans="1:14">
      <c r="A22096" t="s">
        <v>38564</v>
      </c>
      <c r="B22096" t="s">
        <v>6742</v>
      </c>
      <c r="C22096" t="s">
        <v>18549</v>
      </c>
      <c r="D22096" t="s">
        <v>63164</v>
      </c>
      <c r="E22096" t="b">
        <v>0</v>
      </c>
      <c r="F22096" t="s">
        <v>11622</v>
      </c>
      <c r="L22096">
        <v>0</v>
      </c>
      <c r="M22096">
        <v>1</v>
      </c>
      <c r="N22096">
        <v>2</v>
      </c>
    </row>
    <row r="22097" spans="1:14">
      <c r="A22097" t="s">
        <v>44803</v>
      </c>
      <c r="B22097" t="s">
        <v>6742</v>
      </c>
      <c r="C22097" t="s">
        <v>30240</v>
      </c>
      <c r="D22097" t="s">
        <v>63165</v>
      </c>
      <c r="E22097" t="b">
        <v>0</v>
      </c>
      <c r="F22097" t="s">
        <v>11622</v>
      </c>
      <c r="L22097">
        <v>0</v>
      </c>
      <c r="M22097">
        <v>1</v>
      </c>
      <c r="N22097">
        <v>0</v>
      </c>
    </row>
    <row r="22098" spans="1:14">
      <c r="A22098" t="s">
        <v>25502</v>
      </c>
      <c r="B22098" t="s">
        <v>6742</v>
      </c>
      <c r="C22098" t="s">
        <v>49118</v>
      </c>
      <c r="D22098" t="s">
        <v>63166</v>
      </c>
      <c r="E22098" t="b">
        <v>0</v>
      </c>
      <c r="F22098" t="s">
        <v>11622</v>
      </c>
      <c r="L22098">
        <v>0</v>
      </c>
      <c r="M22098">
        <v>2</v>
      </c>
      <c r="N22098">
        <v>0</v>
      </c>
    </row>
    <row r="22099" spans="1:14">
      <c r="A22099" t="s">
        <v>50739</v>
      </c>
      <c r="B22099" t="s">
        <v>6742</v>
      </c>
      <c r="C22099" t="s">
        <v>21002</v>
      </c>
      <c r="D22099" t="s">
        <v>63167</v>
      </c>
      <c r="E22099" t="b">
        <v>0</v>
      </c>
      <c r="F22099" t="s">
        <v>11622</v>
      </c>
      <c r="L22099">
        <v>0</v>
      </c>
      <c r="M22099">
        <v>1</v>
      </c>
      <c r="N22099">
        <v>0</v>
      </c>
    </row>
    <row r="22100" spans="1:14">
      <c r="A22100" t="s">
        <v>39046</v>
      </c>
      <c r="B22100" t="s">
        <v>6742</v>
      </c>
      <c r="C22100" t="s">
        <v>21457</v>
      </c>
      <c r="D22100" t="s">
        <v>63168</v>
      </c>
      <c r="E22100" t="b">
        <v>0</v>
      </c>
      <c r="F22100" t="s">
        <v>11622</v>
      </c>
      <c r="L22100">
        <v>0</v>
      </c>
      <c r="M22100">
        <v>2</v>
      </c>
      <c r="N22100">
        <v>0</v>
      </c>
    </row>
    <row r="22101" spans="1:14">
      <c r="A22101" t="s">
        <v>36886</v>
      </c>
      <c r="B22101" t="s">
        <v>6742</v>
      </c>
      <c r="C22101" t="s">
        <v>16184</v>
      </c>
      <c r="D22101" t="s">
        <v>63169</v>
      </c>
      <c r="E22101" t="b">
        <v>0</v>
      </c>
      <c r="F22101" t="s">
        <v>11622</v>
      </c>
      <c r="L22101">
        <v>0</v>
      </c>
      <c r="M22101">
        <v>1</v>
      </c>
      <c r="N22101">
        <v>0</v>
      </c>
    </row>
    <row r="22102" spans="1:14">
      <c r="A22102" t="s">
        <v>16024</v>
      </c>
      <c r="B22102" t="s">
        <v>6742</v>
      </c>
      <c r="C22102" t="s">
        <v>12815</v>
      </c>
      <c r="D22102" t="s">
        <v>63170</v>
      </c>
      <c r="E22102" t="b">
        <v>0</v>
      </c>
      <c r="F22102" t="s">
        <v>11622</v>
      </c>
      <c r="L22102">
        <v>0</v>
      </c>
      <c r="M22102">
        <v>2</v>
      </c>
      <c r="N22102">
        <v>0</v>
      </c>
    </row>
    <row r="22103" spans="1:14">
      <c r="A22103" t="s">
        <v>12247</v>
      </c>
      <c r="B22103" t="s">
        <v>6742</v>
      </c>
      <c r="C22103" t="s">
        <v>12843</v>
      </c>
      <c r="D22103" t="s">
        <v>63171</v>
      </c>
      <c r="E22103" t="b">
        <v>0</v>
      </c>
      <c r="F22103" t="s">
        <v>11622</v>
      </c>
      <c r="L22103">
        <v>0</v>
      </c>
      <c r="M22103">
        <v>1</v>
      </c>
      <c r="N22103">
        <v>0</v>
      </c>
    </row>
    <row r="22104" spans="1:14">
      <c r="A22104" t="s">
        <v>32189</v>
      </c>
      <c r="B22104" t="s">
        <v>6742</v>
      </c>
      <c r="C22104" t="s">
        <v>12468</v>
      </c>
      <c r="D22104" t="s">
        <v>63172</v>
      </c>
      <c r="E22104" t="b">
        <v>0</v>
      </c>
      <c r="F22104" t="s">
        <v>11622</v>
      </c>
      <c r="L22104">
        <v>0</v>
      </c>
      <c r="M22104">
        <v>1</v>
      </c>
      <c r="N22104">
        <v>0</v>
      </c>
    </row>
    <row r="22105" spans="1:14">
      <c r="A22105" t="s">
        <v>63173</v>
      </c>
      <c r="B22105" t="s">
        <v>6742</v>
      </c>
      <c r="C22105" t="s">
        <v>43629</v>
      </c>
      <c r="D22105" t="s">
        <v>63174</v>
      </c>
      <c r="E22105" t="b">
        <v>0</v>
      </c>
      <c r="F22105" t="s">
        <v>11622</v>
      </c>
      <c r="L22105">
        <v>0</v>
      </c>
      <c r="M22105">
        <v>1</v>
      </c>
      <c r="N22105">
        <v>0</v>
      </c>
    </row>
    <row r="22106" spans="1:14">
      <c r="A22106" t="s">
        <v>24452</v>
      </c>
      <c r="B22106" t="s">
        <v>6742</v>
      </c>
      <c r="C22106" t="s">
        <v>23413</v>
      </c>
      <c r="D22106" t="s">
        <v>63175</v>
      </c>
      <c r="E22106" t="b">
        <v>0</v>
      </c>
      <c r="F22106" t="s">
        <v>11622</v>
      </c>
      <c r="L22106">
        <v>0</v>
      </c>
      <c r="M22106">
        <v>1</v>
      </c>
      <c r="N22106">
        <v>0</v>
      </c>
    </row>
    <row r="22107" spans="1:14">
      <c r="A22107" t="s">
        <v>41453</v>
      </c>
      <c r="B22107" t="s">
        <v>6742</v>
      </c>
      <c r="C22107" t="s">
        <v>41952</v>
      </c>
      <c r="D22107" t="s">
        <v>63176</v>
      </c>
      <c r="E22107" t="b">
        <v>0</v>
      </c>
      <c r="F22107" t="s">
        <v>11622</v>
      </c>
      <c r="L22107">
        <v>0</v>
      </c>
      <c r="M22107">
        <v>1</v>
      </c>
      <c r="N22107">
        <v>0</v>
      </c>
    </row>
    <row r="22108" spans="1:14">
      <c r="A22108" t="s">
        <v>47791</v>
      </c>
      <c r="B22108" t="s">
        <v>6742</v>
      </c>
      <c r="C22108" t="s">
        <v>43344</v>
      </c>
      <c r="D22108" t="s">
        <v>63177</v>
      </c>
      <c r="E22108" t="b">
        <v>0</v>
      </c>
      <c r="F22108" t="s">
        <v>11622</v>
      </c>
      <c r="L22108">
        <v>0</v>
      </c>
      <c r="M22108">
        <v>1</v>
      </c>
      <c r="N22108">
        <v>0</v>
      </c>
    </row>
    <row r="22109" spans="1:14">
      <c r="A22109" t="s">
        <v>38622</v>
      </c>
      <c r="B22109" t="s">
        <v>6742</v>
      </c>
      <c r="C22109" t="s">
        <v>44749</v>
      </c>
      <c r="D22109" t="s">
        <v>63178</v>
      </c>
      <c r="E22109" t="b">
        <v>0</v>
      </c>
      <c r="F22109" t="s">
        <v>11622</v>
      </c>
      <c r="L22109">
        <v>0</v>
      </c>
      <c r="M22109">
        <v>1</v>
      </c>
      <c r="N22109">
        <v>0</v>
      </c>
    </row>
    <row r="22110" spans="1:14">
      <c r="A22110" t="s">
        <v>50651</v>
      </c>
      <c r="B22110" t="s">
        <v>6742</v>
      </c>
      <c r="C22110" t="s">
        <v>29734</v>
      </c>
      <c r="D22110" t="s">
        <v>63179</v>
      </c>
      <c r="E22110" t="b">
        <v>0</v>
      </c>
      <c r="F22110" t="s">
        <v>11622</v>
      </c>
      <c r="L22110">
        <v>0</v>
      </c>
      <c r="M22110">
        <v>1</v>
      </c>
      <c r="N22110">
        <v>4</v>
      </c>
    </row>
    <row r="22111" spans="1:14">
      <c r="A22111" t="s">
        <v>33936</v>
      </c>
      <c r="B22111" t="s">
        <v>6742</v>
      </c>
      <c r="C22111" t="s">
        <v>49070</v>
      </c>
      <c r="D22111" t="s">
        <v>63180</v>
      </c>
      <c r="E22111" t="b">
        <v>0</v>
      </c>
      <c r="F22111" t="s">
        <v>11622</v>
      </c>
      <c r="L22111">
        <v>0</v>
      </c>
      <c r="M22111">
        <v>1</v>
      </c>
      <c r="N22111">
        <v>0</v>
      </c>
    </row>
    <row r="22112" spans="1:14">
      <c r="A22112" t="s">
        <v>46865</v>
      </c>
      <c r="B22112" t="s">
        <v>6742</v>
      </c>
      <c r="C22112" t="s">
        <v>23042</v>
      </c>
      <c r="D22112" t="s">
        <v>63181</v>
      </c>
      <c r="E22112" t="b">
        <v>0</v>
      </c>
      <c r="F22112" t="s">
        <v>11622</v>
      </c>
      <c r="L22112">
        <v>0</v>
      </c>
      <c r="M22112">
        <v>1</v>
      </c>
      <c r="N22112">
        <v>0</v>
      </c>
    </row>
    <row r="22113" spans="1:14">
      <c r="A22113" t="s">
        <v>47227</v>
      </c>
      <c r="B22113" t="s">
        <v>6742</v>
      </c>
      <c r="C22113" t="s">
        <v>37871</v>
      </c>
      <c r="D22113" t="s">
        <v>63182</v>
      </c>
      <c r="E22113" t="b">
        <v>0</v>
      </c>
      <c r="F22113" t="s">
        <v>11622</v>
      </c>
      <c r="L22113">
        <v>0</v>
      </c>
      <c r="M22113">
        <v>1</v>
      </c>
      <c r="N22113">
        <v>0</v>
      </c>
    </row>
    <row r="22114" spans="1:14">
      <c r="A22114" t="s">
        <v>20022</v>
      </c>
      <c r="B22114" t="s">
        <v>6742</v>
      </c>
      <c r="C22114" t="s">
        <v>41245</v>
      </c>
      <c r="D22114" t="s">
        <v>63183</v>
      </c>
      <c r="E22114" t="b">
        <v>0</v>
      </c>
      <c r="F22114" t="s">
        <v>11622</v>
      </c>
      <c r="L22114">
        <v>2</v>
      </c>
      <c r="M22114">
        <v>4</v>
      </c>
      <c r="N22114">
        <v>4</v>
      </c>
    </row>
    <row r="22115" spans="1:14">
      <c r="A22115" t="s">
        <v>15785</v>
      </c>
      <c r="B22115" t="s">
        <v>6742</v>
      </c>
      <c r="C22115" t="s">
        <v>29724</v>
      </c>
      <c r="D22115" t="s">
        <v>63184</v>
      </c>
      <c r="E22115" t="b">
        <v>0</v>
      </c>
      <c r="F22115" t="s">
        <v>11622</v>
      </c>
      <c r="L22115">
        <v>0</v>
      </c>
      <c r="M22115">
        <v>1</v>
      </c>
      <c r="N22115">
        <v>0</v>
      </c>
    </row>
    <row r="22116" spans="1:14">
      <c r="A22116" t="s">
        <v>19069</v>
      </c>
      <c r="B22116" t="s">
        <v>6742</v>
      </c>
      <c r="C22116" t="s">
        <v>31383</v>
      </c>
      <c r="D22116" t="s">
        <v>63185</v>
      </c>
      <c r="E22116" t="b">
        <v>0</v>
      </c>
      <c r="F22116" t="s">
        <v>11622</v>
      </c>
      <c r="L22116">
        <v>0</v>
      </c>
      <c r="M22116">
        <v>2</v>
      </c>
      <c r="N22116">
        <v>2</v>
      </c>
    </row>
    <row r="22117" spans="1:14">
      <c r="A22117" t="s">
        <v>30343</v>
      </c>
      <c r="B22117" t="s">
        <v>6742</v>
      </c>
      <c r="C22117" t="s">
        <v>33122</v>
      </c>
      <c r="D22117" t="s">
        <v>63186</v>
      </c>
      <c r="E22117" t="b">
        <v>0</v>
      </c>
      <c r="F22117" t="s">
        <v>11622</v>
      </c>
      <c r="L22117">
        <v>0</v>
      </c>
      <c r="M22117">
        <v>1</v>
      </c>
      <c r="N22117">
        <v>0</v>
      </c>
    </row>
    <row r="22118" spans="1:14">
      <c r="A22118" t="s">
        <v>27685</v>
      </c>
      <c r="B22118" t="s">
        <v>6742</v>
      </c>
      <c r="C22118" t="s">
        <v>16821</v>
      </c>
      <c r="D22118" t="s">
        <v>63187</v>
      </c>
      <c r="E22118" t="b">
        <v>0</v>
      </c>
      <c r="F22118" t="s">
        <v>11622</v>
      </c>
      <c r="L22118">
        <v>0</v>
      </c>
      <c r="M22118">
        <v>1</v>
      </c>
      <c r="N22118">
        <v>0</v>
      </c>
    </row>
    <row r="22119" spans="1:14">
      <c r="A22119" t="s">
        <v>32072</v>
      </c>
      <c r="B22119" t="s">
        <v>6742</v>
      </c>
      <c r="C22119" t="s">
        <v>12188</v>
      </c>
      <c r="D22119" t="s">
        <v>63188</v>
      </c>
      <c r="E22119" t="b">
        <v>0</v>
      </c>
      <c r="F22119" t="s">
        <v>11622</v>
      </c>
      <c r="L22119">
        <v>1</v>
      </c>
      <c r="M22119">
        <v>6</v>
      </c>
      <c r="N22119">
        <v>3</v>
      </c>
    </row>
    <row r="22120" spans="1:14">
      <c r="A22120" t="s">
        <v>33768</v>
      </c>
      <c r="B22120" t="s">
        <v>11894</v>
      </c>
      <c r="C22120" t="s">
        <v>33234</v>
      </c>
      <c r="D22120" t="s">
        <v>63189</v>
      </c>
      <c r="E22120" t="b">
        <v>0</v>
      </c>
      <c r="F22120" t="s">
        <v>11622</v>
      </c>
      <c r="L22120">
        <v>0</v>
      </c>
      <c r="M22120">
        <v>2</v>
      </c>
      <c r="N22120">
        <v>0</v>
      </c>
    </row>
    <row r="22121" spans="1:14">
      <c r="A22121" t="s">
        <v>14183</v>
      </c>
      <c r="B22121" t="s">
        <v>11894</v>
      </c>
      <c r="C22121" t="s">
        <v>13166</v>
      </c>
      <c r="D22121" t="s">
        <v>63190</v>
      </c>
      <c r="E22121" t="b">
        <v>0</v>
      </c>
      <c r="F22121" t="s">
        <v>11622</v>
      </c>
      <c r="L22121">
        <v>0</v>
      </c>
      <c r="M22121">
        <v>1</v>
      </c>
      <c r="N22121">
        <v>0</v>
      </c>
    </row>
    <row r="22122" spans="1:14">
      <c r="A22122" t="s">
        <v>43040</v>
      </c>
      <c r="B22122" t="s">
        <v>11912</v>
      </c>
      <c r="C22122" t="s">
        <v>33811</v>
      </c>
      <c r="D22122" t="s">
        <v>63191</v>
      </c>
      <c r="E22122" t="b">
        <v>0</v>
      </c>
      <c r="F22122" t="s">
        <v>11622</v>
      </c>
      <c r="L22122">
        <v>0</v>
      </c>
      <c r="M22122">
        <v>1</v>
      </c>
      <c r="N22122">
        <v>1</v>
      </c>
    </row>
    <row r="22123" spans="1:14">
      <c r="A22123" t="s">
        <v>59620</v>
      </c>
      <c r="B22123" t="s">
        <v>11912</v>
      </c>
      <c r="C22123" t="s">
        <v>15235</v>
      </c>
      <c r="D22123" t="s">
        <v>63192</v>
      </c>
      <c r="E22123" t="b">
        <v>0</v>
      </c>
      <c r="F22123" t="s">
        <v>11622</v>
      </c>
      <c r="L22123">
        <v>0</v>
      </c>
      <c r="M22123">
        <v>1</v>
      </c>
      <c r="N22123">
        <v>0</v>
      </c>
    </row>
    <row r="22124" spans="1:14">
      <c r="A22124" t="s">
        <v>63193</v>
      </c>
      <c r="B22124" t="s">
        <v>63194</v>
      </c>
      <c r="C22124" t="s">
        <v>63194</v>
      </c>
      <c r="D22124" t="s">
        <v>63195</v>
      </c>
      <c r="E22124" t="b">
        <v>0</v>
      </c>
      <c r="F22124" t="s">
        <v>11622</v>
      </c>
      <c r="L22124">
        <v>0</v>
      </c>
      <c r="M22124">
        <v>1</v>
      </c>
      <c r="N22124">
        <v>0</v>
      </c>
    </row>
    <row r="22125" spans="1:14">
      <c r="A22125" t="s">
        <v>62065</v>
      </c>
      <c r="B22125" t="s">
        <v>12438</v>
      </c>
      <c r="C22125" t="s">
        <v>39604</v>
      </c>
      <c r="D22125" t="s">
        <v>63196</v>
      </c>
      <c r="E22125" t="b">
        <v>0</v>
      </c>
      <c r="F22125" t="s">
        <v>11622</v>
      </c>
      <c r="L22125">
        <v>0</v>
      </c>
      <c r="M22125">
        <v>1</v>
      </c>
      <c r="N22125">
        <v>0</v>
      </c>
    </row>
    <row r="22126" spans="1:14">
      <c r="A22126" t="s">
        <v>30611</v>
      </c>
      <c r="B22126" t="s">
        <v>12438</v>
      </c>
      <c r="C22126" t="s">
        <v>33355</v>
      </c>
      <c r="D22126" t="s">
        <v>63197</v>
      </c>
      <c r="E22126" t="b">
        <v>0</v>
      </c>
      <c r="F22126" t="s">
        <v>11622</v>
      </c>
      <c r="L22126">
        <v>0</v>
      </c>
      <c r="M22126">
        <v>1</v>
      </c>
      <c r="N22126">
        <v>0</v>
      </c>
    </row>
    <row r="22127" spans="1:14">
      <c r="A22127" t="s">
        <v>30749</v>
      </c>
      <c r="B22127" t="s">
        <v>3164</v>
      </c>
      <c r="C22127" t="s">
        <v>18788</v>
      </c>
      <c r="D22127" t="s">
        <v>63198</v>
      </c>
      <c r="E22127" t="b">
        <v>0</v>
      </c>
      <c r="F22127" t="s">
        <v>11622</v>
      </c>
      <c r="L22127">
        <v>0</v>
      </c>
      <c r="M22127">
        <v>1</v>
      </c>
      <c r="N22127">
        <v>0</v>
      </c>
    </row>
    <row r="22128" spans="1:14">
      <c r="A22128" t="s">
        <v>14021</v>
      </c>
      <c r="B22128" t="s">
        <v>6455</v>
      </c>
      <c r="C22128" t="s">
        <v>23408</v>
      </c>
      <c r="D22128" t="s">
        <v>63199</v>
      </c>
      <c r="E22128" t="b">
        <v>0</v>
      </c>
      <c r="F22128" t="s">
        <v>11622</v>
      </c>
      <c r="L22128">
        <v>0</v>
      </c>
      <c r="M22128">
        <v>1</v>
      </c>
      <c r="N22128">
        <v>0</v>
      </c>
    </row>
    <row r="22129" spans="1:14">
      <c r="A22129" t="s">
        <v>52642</v>
      </c>
      <c r="B22129" t="s">
        <v>331</v>
      </c>
      <c r="C22129" t="s">
        <v>26628</v>
      </c>
      <c r="D22129" t="s">
        <v>63200</v>
      </c>
      <c r="E22129" t="b">
        <v>0</v>
      </c>
      <c r="F22129" t="s">
        <v>11622</v>
      </c>
      <c r="L22129">
        <v>0</v>
      </c>
      <c r="M22129">
        <v>1</v>
      </c>
      <c r="N22129">
        <v>0</v>
      </c>
    </row>
    <row r="22130" spans="1:14">
      <c r="A22130" t="s">
        <v>15305</v>
      </c>
      <c r="B22130" t="s">
        <v>15304</v>
      </c>
      <c r="C22130" t="s">
        <v>15304</v>
      </c>
      <c r="D22130" t="s">
        <v>63201</v>
      </c>
      <c r="E22130" t="b">
        <v>0</v>
      </c>
      <c r="F22130" t="s">
        <v>11622</v>
      </c>
      <c r="L22130">
        <v>0</v>
      </c>
      <c r="M22130">
        <v>2</v>
      </c>
      <c r="N22130">
        <v>0</v>
      </c>
    </row>
    <row r="22131" spans="1:14">
      <c r="A22131" t="s">
        <v>36712</v>
      </c>
      <c r="B22131" t="s">
        <v>12250</v>
      </c>
      <c r="C22131" t="s">
        <v>12250</v>
      </c>
      <c r="D22131" t="s">
        <v>63202</v>
      </c>
      <c r="E22131" t="b">
        <v>0</v>
      </c>
      <c r="F22131" t="s">
        <v>11622</v>
      </c>
      <c r="L22131">
        <v>0</v>
      </c>
      <c r="M22131">
        <v>1</v>
      </c>
      <c r="N22131">
        <v>0</v>
      </c>
    </row>
    <row r="22132" spans="1:14">
      <c r="A22132" t="s">
        <v>33680</v>
      </c>
      <c r="B22132" t="s">
        <v>12751</v>
      </c>
      <c r="C22132" t="s">
        <v>20865</v>
      </c>
      <c r="D22132" t="s">
        <v>63203</v>
      </c>
      <c r="E22132" t="b">
        <v>0</v>
      </c>
      <c r="F22132" t="s">
        <v>11622</v>
      </c>
      <c r="L22132">
        <v>0</v>
      </c>
      <c r="M22132">
        <v>1</v>
      </c>
      <c r="N22132">
        <v>0</v>
      </c>
    </row>
    <row r="22133" spans="1:14">
      <c r="A22133" t="s">
        <v>51294</v>
      </c>
      <c r="B22133" t="s">
        <v>12751</v>
      </c>
      <c r="C22133" t="s">
        <v>20948</v>
      </c>
      <c r="D22133" t="s">
        <v>63204</v>
      </c>
      <c r="E22133" t="b">
        <v>0</v>
      </c>
      <c r="F22133" t="s">
        <v>11622</v>
      </c>
      <c r="L22133">
        <v>0</v>
      </c>
      <c r="M22133">
        <v>1</v>
      </c>
      <c r="N22133">
        <v>0</v>
      </c>
    </row>
    <row r="22134" spans="1:14">
      <c r="A22134" t="s">
        <v>32753</v>
      </c>
      <c r="B22134" t="s">
        <v>12751</v>
      </c>
      <c r="C22134" t="s">
        <v>20868</v>
      </c>
      <c r="D22134" t="s">
        <v>63205</v>
      </c>
      <c r="E22134" t="b">
        <v>0</v>
      </c>
      <c r="F22134" t="s">
        <v>11622</v>
      </c>
      <c r="L22134">
        <v>0</v>
      </c>
      <c r="M22134">
        <v>1</v>
      </c>
      <c r="N22134">
        <v>0</v>
      </c>
    </row>
    <row r="22135" spans="1:14">
      <c r="A22135" t="s">
        <v>41233</v>
      </c>
      <c r="B22135" t="s">
        <v>11644</v>
      </c>
      <c r="C22135" t="s">
        <v>11644</v>
      </c>
      <c r="D22135" t="s">
        <v>63206</v>
      </c>
      <c r="E22135" t="b">
        <v>0</v>
      </c>
      <c r="F22135" t="s">
        <v>11622</v>
      </c>
      <c r="L22135">
        <v>0</v>
      </c>
      <c r="M22135">
        <v>2</v>
      </c>
      <c r="N22135">
        <v>0</v>
      </c>
    </row>
    <row r="22136" spans="1:14">
      <c r="A22136" t="s">
        <v>51920</v>
      </c>
      <c r="B22136" t="s">
        <v>11644</v>
      </c>
      <c r="C22136" t="s">
        <v>20515</v>
      </c>
      <c r="D22136" t="s">
        <v>63207</v>
      </c>
      <c r="E22136" t="b">
        <v>0</v>
      </c>
      <c r="F22136" t="s">
        <v>11622</v>
      </c>
      <c r="L22136">
        <v>0</v>
      </c>
      <c r="M22136">
        <v>1</v>
      </c>
      <c r="N22136">
        <v>0</v>
      </c>
    </row>
    <row r="22137" spans="1:14">
      <c r="A22137" t="s">
        <v>15470</v>
      </c>
      <c r="B22137" t="s">
        <v>11644</v>
      </c>
      <c r="C22137" t="s">
        <v>29059</v>
      </c>
      <c r="D22137" t="s">
        <v>63208</v>
      </c>
      <c r="E22137" t="b">
        <v>0</v>
      </c>
      <c r="F22137" t="s">
        <v>11622</v>
      </c>
      <c r="L22137">
        <v>0</v>
      </c>
      <c r="M22137">
        <v>2</v>
      </c>
      <c r="N22137">
        <v>0</v>
      </c>
    </row>
    <row r="22138" spans="1:14">
      <c r="A22138" t="s">
        <v>13203</v>
      </c>
      <c r="B22138" t="s">
        <v>11644</v>
      </c>
      <c r="C22138" t="s">
        <v>15414</v>
      </c>
      <c r="D22138" t="s">
        <v>63209</v>
      </c>
      <c r="E22138" t="b">
        <v>0</v>
      </c>
      <c r="F22138" t="s">
        <v>11622</v>
      </c>
      <c r="L22138">
        <v>0</v>
      </c>
      <c r="M22138">
        <v>1</v>
      </c>
      <c r="N22138">
        <v>0</v>
      </c>
    </row>
    <row r="22139" spans="1:14">
      <c r="A22139" t="s">
        <v>47877</v>
      </c>
      <c r="B22139" t="s">
        <v>11644</v>
      </c>
      <c r="C22139" t="s">
        <v>31090</v>
      </c>
      <c r="D22139" t="s">
        <v>63210</v>
      </c>
      <c r="E22139" t="b">
        <v>0</v>
      </c>
      <c r="F22139" t="s">
        <v>11622</v>
      </c>
      <c r="L22139">
        <v>0</v>
      </c>
      <c r="M22139">
        <v>1</v>
      </c>
      <c r="N22139">
        <v>0</v>
      </c>
    </row>
    <row r="22140" spans="1:14">
      <c r="A22140" t="s">
        <v>11902</v>
      </c>
      <c r="B22140" t="s">
        <v>11644</v>
      </c>
      <c r="C22140" t="s">
        <v>40290</v>
      </c>
      <c r="D22140" t="s">
        <v>63211</v>
      </c>
      <c r="E22140" t="b">
        <v>0</v>
      </c>
      <c r="F22140" t="s">
        <v>11622</v>
      </c>
      <c r="L22140">
        <v>0</v>
      </c>
      <c r="M22140">
        <v>4</v>
      </c>
      <c r="N22140">
        <v>0</v>
      </c>
    </row>
    <row r="22141" spans="1:14">
      <c r="A22141" t="s">
        <v>31253</v>
      </c>
      <c r="B22141" t="s">
        <v>11644</v>
      </c>
      <c r="C22141" t="s">
        <v>40289</v>
      </c>
      <c r="D22141" t="s">
        <v>63212</v>
      </c>
      <c r="E22141" t="b">
        <v>0</v>
      </c>
      <c r="F22141" t="s">
        <v>11622</v>
      </c>
      <c r="L22141">
        <v>0</v>
      </c>
      <c r="M22141">
        <v>3</v>
      </c>
      <c r="N22141">
        <v>0</v>
      </c>
    </row>
    <row r="22142" spans="1:14">
      <c r="A22142" t="s">
        <v>22134</v>
      </c>
      <c r="B22142" t="s">
        <v>11644</v>
      </c>
      <c r="C22142" t="s">
        <v>19081</v>
      </c>
      <c r="D22142" t="s">
        <v>63213</v>
      </c>
      <c r="E22142" t="b">
        <v>0</v>
      </c>
      <c r="F22142" t="s">
        <v>11622</v>
      </c>
      <c r="L22142">
        <v>0</v>
      </c>
      <c r="M22142">
        <v>1</v>
      </c>
      <c r="N22142">
        <v>0</v>
      </c>
    </row>
    <row r="22143" spans="1:14">
      <c r="A22143" t="s">
        <v>63214</v>
      </c>
      <c r="B22143" t="s">
        <v>11644</v>
      </c>
      <c r="C22143" t="s">
        <v>21947</v>
      </c>
      <c r="D22143" t="s">
        <v>63215</v>
      </c>
      <c r="E22143" t="b">
        <v>0</v>
      </c>
      <c r="F22143" t="s">
        <v>11622</v>
      </c>
      <c r="L22143">
        <v>0</v>
      </c>
      <c r="M22143">
        <v>1</v>
      </c>
      <c r="N22143">
        <v>0</v>
      </c>
    </row>
    <row r="22144" spans="1:14">
      <c r="A22144" t="s">
        <v>17333</v>
      </c>
      <c r="B22144" t="s">
        <v>11644</v>
      </c>
      <c r="C22144" t="s">
        <v>19054</v>
      </c>
      <c r="D22144" t="s">
        <v>63216</v>
      </c>
      <c r="E22144" t="b">
        <v>0</v>
      </c>
      <c r="F22144" t="s">
        <v>11622</v>
      </c>
      <c r="L22144">
        <v>0</v>
      </c>
      <c r="M22144">
        <v>1</v>
      </c>
      <c r="N22144">
        <v>0</v>
      </c>
    </row>
    <row r="22145" spans="1:14">
      <c r="A22145" t="s">
        <v>29962</v>
      </c>
      <c r="B22145" t="s">
        <v>10597</v>
      </c>
      <c r="C22145" t="s">
        <v>10597</v>
      </c>
      <c r="D22145" t="s">
        <v>63217</v>
      </c>
      <c r="E22145" t="b">
        <v>0</v>
      </c>
      <c r="F22145" t="s">
        <v>11622</v>
      </c>
      <c r="L22145">
        <v>0</v>
      </c>
      <c r="M22145">
        <v>1</v>
      </c>
      <c r="N22145">
        <v>0</v>
      </c>
    </row>
    <row r="22146" spans="1:14">
      <c r="A22146" t="s">
        <v>18690</v>
      </c>
      <c r="B22146" t="s">
        <v>10597</v>
      </c>
      <c r="C22146" t="s">
        <v>29719</v>
      </c>
      <c r="D22146" t="s">
        <v>63218</v>
      </c>
      <c r="E22146" t="b">
        <v>0</v>
      </c>
      <c r="F22146" t="s">
        <v>11622</v>
      </c>
      <c r="L22146">
        <v>1</v>
      </c>
      <c r="M22146">
        <v>3</v>
      </c>
      <c r="N22146">
        <v>0</v>
      </c>
    </row>
    <row r="22147" spans="1:14">
      <c r="A22147" t="s">
        <v>14002</v>
      </c>
      <c r="B22147" t="s">
        <v>10597</v>
      </c>
      <c r="C22147" t="s">
        <v>10030</v>
      </c>
      <c r="D22147" t="s">
        <v>63219</v>
      </c>
      <c r="E22147" t="b">
        <v>0</v>
      </c>
      <c r="F22147" t="s">
        <v>11622</v>
      </c>
      <c r="L22147">
        <v>0</v>
      </c>
      <c r="M22147">
        <v>3</v>
      </c>
      <c r="N22147">
        <v>0</v>
      </c>
    </row>
    <row r="22148" spans="1:14">
      <c r="A22148" t="s">
        <v>46662</v>
      </c>
      <c r="B22148" t="s">
        <v>10597</v>
      </c>
      <c r="C22148" t="s">
        <v>23421</v>
      </c>
      <c r="D22148" t="s">
        <v>63220</v>
      </c>
      <c r="E22148" t="b">
        <v>0</v>
      </c>
      <c r="F22148" t="s">
        <v>11622</v>
      </c>
      <c r="L22148">
        <v>0</v>
      </c>
      <c r="M22148">
        <v>3</v>
      </c>
      <c r="N22148">
        <v>0</v>
      </c>
    </row>
    <row r="22149" spans="1:14">
      <c r="A22149" t="s">
        <v>14661</v>
      </c>
      <c r="B22149" t="s">
        <v>11834</v>
      </c>
      <c r="C22149" t="s">
        <v>37132</v>
      </c>
      <c r="D22149" t="s">
        <v>63221</v>
      </c>
      <c r="E22149" t="b">
        <v>0</v>
      </c>
      <c r="F22149" t="s">
        <v>11622</v>
      </c>
      <c r="L22149">
        <v>0</v>
      </c>
      <c r="M22149">
        <v>1</v>
      </c>
      <c r="N22149">
        <v>0</v>
      </c>
    </row>
    <row r="22150" spans="1:14">
      <c r="A22150" t="s">
        <v>29406</v>
      </c>
      <c r="B22150" t="s">
        <v>11834</v>
      </c>
      <c r="C22150" t="s">
        <v>11834</v>
      </c>
      <c r="D22150" t="s">
        <v>63222</v>
      </c>
      <c r="E22150" t="b">
        <v>0</v>
      </c>
      <c r="F22150" t="s">
        <v>11622</v>
      </c>
      <c r="L22150">
        <v>0</v>
      </c>
      <c r="M22150">
        <v>1</v>
      </c>
      <c r="N22150">
        <v>0</v>
      </c>
    </row>
    <row r="22151" spans="1:14">
      <c r="A22151" t="s">
        <v>28899</v>
      </c>
      <c r="B22151" t="s">
        <v>13276</v>
      </c>
      <c r="C22151" t="s">
        <v>17968</v>
      </c>
      <c r="D22151" t="s">
        <v>63223</v>
      </c>
      <c r="E22151" t="b">
        <v>0</v>
      </c>
      <c r="F22151" t="s">
        <v>11622</v>
      </c>
      <c r="L22151">
        <v>0</v>
      </c>
      <c r="M22151">
        <v>1</v>
      </c>
      <c r="N22151">
        <v>0</v>
      </c>
    </row>
    <row r="22152" spans="1:14">
      <c r="A22152" t="s">
        <v>37659</v>
      </c>
      <c r="B22152" t="s">
        <v>11615</v>
      </c>
      <c r="C22152" t="s">
        <v>23551</v>
      </c>
      <c r="D22152" t="s">
        <v>63224</v>
      </c>
      <c r="E22152" t="b">
        <v>0</v>
      </c>
      <c r="F22152" t="s">
        <v>11622</v>
      </c>
      <c r="L22152">
        <v>1</v>
      </c>
      <c r="M22152">
        <v>2</v>
      </c>
      <c r="N22152">
        <v>0</v>
      </c>
    </row>
    <row r="22153" spans="1:14">
      <c r="A22153" t="s">
        <v>18935</v>
      </c>
      <c r="B22153" t="s">
        <v>11615</v>
      </c>
      <c r="C22153" t="s">
        <v>27544</v>
      </c>
      <c r="D22153" t="s">
        <v>63225</v>
      </c>
      <c r="E22153" t="b">
        <v>0</v>
      </c>
      <c r="F22153" t="s">
        <v>11622</v>
      </c>
      <c r="L22153">
        <v>0</v>
      </c>
      <c r="M22153">
        <v>3</v>
      </c>
      <c r="N22153">
        <v>0</v>
      </c>
    </row>
    <row r="22154" spans="1:14">
      <c r="A22154" t="s">
        <v>35826</v>
      </c>
      <c r="B22154" t="s">
        <v>11615</v>
      </c>
      <c r="C22154" t="s">
        <v>29610</v>
      </c>
      <c r="D22154" t="s">
        <v>63226</v>
      </c>
      <c r="E22154" t="b">
        <v>0</v>
      </c>
      <c r="F22154" t="s">
        <v>11622</v>
      </c>
      <c r="L22154">
        <v>0</v>
      </c>
      <c r="M22154">
        <v>1</v>
      </c>
      <c r="N22154">
        <v>0</v>
      </c>
    </row>
    <row r="22155" spans="1:14">
      <c r="A22155" t="s">
        <v>34581</v>
      </c>
      <c r="B22155" t="s">
        <v>11615</v>
      </c>
      <c r="C22155" t="s">
        <v>28719</v>
      </c>
      <c r="D22155" t="s">
        <v>63227</v>
      </c>
      <c r="E22155" t="b">
        <v>0</v>
      </c>
      <c r="F22155" t="s">
        <v>11622</v>
      </c>
      <c r="L22155">
        <v>0</v>
      </c>
      <c r="M22155">
        <v>1</v>
      </c>
      <c r="N22155">
        <v>0</v>
      </c>
    </row>
    <row r="22156" spans="1:14">
      <c r="A22156" t="s">
        <v>11662</v>
      </c>
      <c r="B22156" t="s">
        <v>11615</v>
      </c>
      <c r="C22156" t="s">
        <v>32489</v>
      </c>
      <c r="D22156" t="s">
        <v>63228</v>
      </c>
      <c r="E22156" t="b">
        <v>0</v>
      </c>
      <c r="F22156" t="s">
        <v>11622</v>
      </c>
      <c r="L22156">
        <v>0</v>
      </c>
      <c r="M22156">
        <v>1</v>
      </c>
      <c r="N22156">
        <v>0</v>
      </c>
    </row>
    <row r="22157" spans="1:14">
      <c r="A22157" t="s">
        <v>32680</v>
      </c>
      <c r="B22157" t="s">
        <v>11615</v>
      </c>
      <c r="C22157" t="s">
        <v>29028</v>
      </c>
      <c r="D22157" t="s">
        <v>63229</v>
      </c>
      <c r="E22157" t="b">
        <v>0</v>
      </c>
      <c r="F22157" t="s">
        <v>11622</v>
      </c>
      <c r="L22157">
        <v>0</v>
      </c>
      <c r="M22157">
        <v>1</v>
      </c>
      <c r="N22157">
        <v>0</v>
      </c>
    </row>
    <row r="22158" spans="1:14">
      <c r="A22158" t="s">
        <v>63230</v>
      </c>
      <c r="B22158" t="s">
        <v>11615</v>
      </c>
      <c r="C22158" t="s">
        <v>20739</v>
      </c>
      <c r="D22158" t="s">
        <v>63231</v>
      </c>
      <c r="E22158" t="b">
        <v>0</v>
      </c>
      <c r="F22158" t="s">
        <v>11622</v>
      </c>
      <c r="L22158">
        <v>0</v>
      </c>
      <c r="M22158">
        <v>1</v>
      </c>
      <c r="N22158">
        <v>0</v>
      </c>
    </row>
    <row r="22159" spans="1:14">
      <c r="A22159" t="s">
        <v>63232</v>
      </c>
      <c r="B22159" t="s">
        <v>11615</v>
      </c>
      <c r="C22159" t="s">
        <v>50267</v>
      </c>
      <c r="D22159" t="s">
        <v>63233</v>
      </c>
      <c r="E22159" t="b">
        <v>0</v>
      </c>
      <c r="F22159" t="s">
        <v>11622</v>
      </c>
      <c r="L22159">
        <v>0</v>
      </c>
      <c r="M22159">
        <v>1</v>
      </c>
      <c r="N22159">
        <v>0</v>
      </c>
    </row>
    <row r="22160" spans="1:14">
      <c r="A22160" t="s">
        <v>47155</v>
      </c>
      <c r="B22160" t="s">
        <v>11615</v>
      </c>
      <c r="C22160" t="s">
        <v>29317</v>
      </c>
      <c r="D22160" t="s">
        <v>63234</v>
      </c>
      <c r="E22160" t="b">
        <v>0</v>
      </c>
      <c r="F22160" t="s">
        <v>11622</v>
      </c>
      <c r="L22160">
        <v>0</v>
      </c>
      <c r="M22160">
        <v>1</v>
      </c>
      <c r="N22160">
        <v>0</v>
      </c>
    </row>
    <row r="22161" spans="1:14">
      <c r="A22161" t="s">
        <v>56158</v>
      </c>
      <c r="B22161" t="s">
        <v>11615</v>
      </c>
      <c r="C22161" t="s">
        <v>15421</v>
      </c>
      <c r="D22161" t="s">
        <v>63235</v>
      </c>
      <c r="E22161" t="b">
        <v>0</v>
      </c>
      <c r="F22161" t="s">
        <v>11622</v>
      </c>
      <c r="L22161">
        <v>0</v>
      </c>
      <c r="M22161">
        <v>1</v>
      </c>
      <c r="N22161">
        <v>0</v>
      </c>
    </row>
    <row r="22162" spans="1:14">
      <c r="A22162" t="s">
        <v>13738</v>
      </c>
      <c r="B22162" t="s">
        <v>13737</v>
      </c>
      <c r="C22162" t="s">
        <v>13737</v>
      </c>
      <c r="D22162" t="s">
        <v>63236</v>
      </c>
      <c r="E22162" t="b">
        <v>0</v>
      </c>
      <c r="F22162" t="s">
        <v>11622</v>
      </c>
      <c r="L22162">
        <v>0</v>
      </c>
      <c r="M22162">
        <v>2</v>
      </c>
      <c r="N22162">
        <v>0</v>
      </c>
    </row>
    <row r="22163" spans="1:14">
      <c r="A22163" t="s">
        <v>41413</v>
      </c>
      <c r="B22163" t="s">
        <v>13244</v>
      </c>
      <c r="C22163" t="s">
        <v>21251</v>
      </c>
      <c r="D22163" t="s">
        <v>63237</v>
      </c>
      <c r="E22163" t="b">
        <v>0</v>
      </c>
      <c r="F22163" t="s">
        <v>11622</v>
      </c>
      <c r="L22163">
        <v>0</v>
      </c>
      <c r="M22163">
        <v>1</v>
      </c>
      <c r="N22163">
        <v>0</v>
      </c>
    </row>
    <row r="22164" spans="1:14">
      <c r="A22164" t="s">
        <v>22716</v>
      </c>
      <c r="B22164" t="s">
        <v>13244</v>
      </c>
      <c r="C22164" t="s">
        <v>19276</v>
      </c>
      <c r="D22164" t="s">
        <v>63238</v>
      </c>
      <c r="E22164" t="b">
        <v>0</v>
      </c>
      <c r="F22164" t="s">
        <v>11622</v>
      </c>
      <c r="L22164">
        <v>0</v>
      </c>
      <c r="M22164">
        <v>1</v>
      </c>
      <c r="N22164">
        <v>0</v>
      </c>
    </row>
    <row r="22165" spans="1:14">
      <c r="A22165" t="s">
        <v>23573</v>
      </c>
      <c r="B22165" t="s">
        <v>11981</v>
      </c>
      <c r="C22165" t="s">
        <v>12200</v>
      </c>
      <c r="D22165" t="s">
        <v>63239</v>
      </c>
      <c r="E22165" t="b">
        <v>0</v>
      </c>
      <c r="F22165" t="s">
        <v>11622</v>
      </c>
      <c r="L22165">
        <v>0</v>
      </c>
      <c r="M22165">
        <v>2</v>
      </c>
      <c r="N22165">
        <v>0</v>
      </c>
    </row>
    <row r="22166" spans="1:14">
      <c r="A22166" t="s">
        <v>14348</v>
      </c>
      <c r="B22166" t="s">
        <v>2975</v>
      </c>
      <c r="C22166" t="s">
        <v>2975</v>
      </c>
      <c r="D22166" t="s">
        <v>63240</v>
      </c>
      <c r="E22166" t="b">
        <v>0</v>
      </c>
      <c r="F22166" t="s">
        <v>11622</v>
      </c>
      <c r="L22166">
        <v>0</v>
      </c>
      <c r="M22166">
        <v>2</v>
      </c>
      <c r="N22166">
        <v>0</v>
      </c>
    </row>
    <row r="22167" spans="1:14">
      <c r="A22167" t="s">
        <v>47565</v>
      </c>
      <c r="B22167" t="s">
        <v>17023</v>
      </c>
      <c r="C22167" t="s">
        <v>26029</v>
      </c>
      <c r="D22167" t="s">
        <v>63241</v>
      </c>
      <c r="E22167" t="b">
        <v>0</v>
      </c>
      <c r="F22167" t="s">
        <v>11622</v>
      </c>
      <c r="L22167">
        <v>0</v>
      </c>
      <c r="M22167">
        <v>1</v>
      </c>
      <c r="N22167">
        <v>0</v>
      </c>
    </row>
    <row r="22168" spans="1:14">
      <c r="A22168" t="s">
        <v>41942</v>
      </c>
      <c r="B22168" t="s">
        <v>16014</v>
      </c>
      <c r="C22168" t="s">
        <v>16014</v>
      </c>
      <c r="D22168" t="s">
        <v>63242</v>
      </c>
      <c r="E22168" t="b">
        <v>0</v>
      </c>
      <c r="F22168" t="s">
        <v>11622</v>
      </c>
      <c r="L22168">
        <v>0</v>
      </c>
      <c r="M22168">
        <v>1</v>
      </c>
      <c r="N22168">
        <v>0</v>
      </c>
    </row>
    <row r="22169" spans="1:14">
      <c r="A22169" t="s">
        <v>31266</v>
      </c>
      <c r="B22169" t="s">
        <v>5058</v>
      </c>
      <c r="C22169" t="s">
        <v>5057</v>
      </c>
      <c r="D22169" t="s">
        <v>63243</v>
      </c>
      <c r="E22169" t="b">
        <v>0</v>
      </c>
      <c r="F22169" t="s">
        <v>11622</v>
      </c>
      <c r="L22169">
        <v>0</v>
      </c>
      <c r="M22169">
        <v>2</v>
      </c>
      <c r="N22169">
        <v>0</v>
      </c>
    </row>
    <row r="22170" spans="1:14">
      <c r="A22170" t="s">
        <v>24916</v>
      </c>
      <c r="B22170" t="s">
        <v>11729</v>
      </c>
      <c r="C22170" t="s">
        <v>15849</v>
      </c>
      <c r="D22170" t="s">
        <v>63244</v>
      </c>
      <c r="E22170" t="b">
        <v>0</v>
      </c>
      <c r="F22170" t="s">
        <v>11622</v>
      </c>
      <c r="L22170">
        <v>0</v>
      </c>
      <c r="M22170">
        <v>1</v>
      </c>
      <c r="N22170">
        <v>0</v>
      </c>
    </row>
    <row r="22171" spans="1:14">
      <c r="A22171" t="s">
        <v>24735</v>
      </c>
      <c r="B22171" t="s">
        <v>367</v>
      </c>
      <c r="C22171" t="s">
        <v>14626</v>
      </c>
      <c r="D22171" t="s">
        <v>63245</v>
      </c>
      <c r="E22171" t="b">
        <v>0</v>
      </c>
      <c r="F22171" t="s">
        <v>11622</v>
      </c>
      <c r="L22171">
        <v>0</v>
      </c>
      <c r="M22171">
        <v>1</v>
      </c>
      <c r="N22171">
        <v>0</v>
      </c>
    </row>
    <row r="22172" spans="1:14">
      <c r="A22172" t="s">
        <v>19309</v>
      </c>
      <c r="B22172" t="s">
        <v>367</v>
      </c>
      <c r="C22172" t="s">
        <v>35603</v>
      </c>
      <c r="D22172" t="s">
        <v>63246</v>
      </c>
      <c r="E22172" t="b">
        <v>0</v>
      </c>
      <c r="F22172" t="s">
        <v>11622</v>
      </c>
      <c r="L22172">
        <v>0</v>
      </c>
      <c r="M22172">
        <v>1</v>
      </c>
      <c r="N22172">
        <v>0</v>
      </c>
    </row>
    <row r="22173" spans="1:14">
      <c r="A22173" t="s">
        <v>29554</v>
      </c>
      <c r="B22173" t="s">
        <v>367</v>
      </c>
      <c r="C22173" t="s">
        <v>18177</v>
      </c>
      <c r="D22173" t="s">
        <v>63247</v>
      </c>
      <c r="E22173" t="b">
        <v>0</v>
      </c>
      <c r="F22173" t="s">
        <v>11622</v>
      </c>
      <c r="L22173">
        <v>0</v>
      </c>
      <c r="M22173">
        <v>1</v>
      </c>
      <c r="N22173">
        <v>0</v>
      </c>
    </row>
    <row r="22174" spans="1:14">
      <c r="A22174" t="s">
        <v>14935</v>
      </c>
      <c r="B22174" t="s">
        <v>367</v>
      </c>
      <c r="C22174" t="s">
        <v>16804</v>
      </c>
      <c r="D22174" t="s">
        <v>63248</v>
      </c>
      <c r="E22174" t="b">
        <v>0</v>
      </c>
      <c r="F22174" t="s">
        <v>11622</v>
      </c>
      <c r="L22174">
        <v>0</v>
      </c>
      <c r="M22174">
        <v>1</v>
      </c>
      <c r="N22174">
        <v>0</v>
      </c>
    </row>
    <row r="22175" spans="1:14">
      <c r="A22175" t="s">
        <v>63249</v>
      </c>
      <c r="B22175" t="s">
        <v>6742</v>
      </c>
      <c r="C22175" t="s">
        <v>12211</v>
      </c>
      <c r="D22175" t="s">
        <v>63250</v>
      </c>
      <c r="E22175" t="b">
        <v>0</v>
      </c>
      <c r="F22175" t="s">
        <v>11610</v>
      </c>
      <c r="L22175">
        <v>0</v>
      </c>
      <c r="M22175">
        <v>0</v>
      </c>
      <c r="N22175">
        <v>0</v>
      </c>
    </row>
    <row r="22176" spans="1:14">
      <c r="A22176" t="s">
        <v>63251</v>
      </c>
      <c r="B22176" t="s">
        <v>6742</v>
      </c>
      <c r="C22176" t="s">
        <v>19032</v>
      </c>
      <c r="D22176" t="s">
        <v>63252</v>
      </c>
      <c r="E22176" t="b">
        <v>0</v>
      </c>
      <c r="F22176" t="s">
        <v>11610</v>
      </c>
      <c r="L22176">
        <v>0</v>
      </c>
      <c r="M22176">
        <v>0</v>
      </c>
      <c r="N22176">
        <v>0</v>
      </c>
    </row>
    <row r="22177" spans="1:15">
      <c r="A22177" t="s">
        <v>63253</v>
      </c>
      <c r="B22177" t="s">
        <v>6742</v>
      </c>
      <c r="C22177" t="s">
        <v>14942</v>
      </c>
      <c r="D22177" t="s">
        <v>63254</v>
      </c>
      <c r="E22177" t="b">
        <v>0</v>
      </c>
      <c r="F22177" t="s">
        <v>11610</v>
      </c>
      <c r="L22177">
        <v>0</v>
      </c>
      <c r="M22177">
        <v>0</v>
      </c>
      <c r="N22177">
        <v>0</v>
      </c>
    </row>
    <row r="22178" spans="1:15">
      <c r="A22178" t="s">
        <v>63255</v>
      </c>
      <c r="B22178" t="s">
        <v>11627</v>
      </c>
      <c r="C22178" t="s">
        <v>11627</v>
      </c>
      <c r="D22178" t="s">
        <v>63256</v>
      </c>
      <c r="E22178" t="b">
        <v>1</v>
      </c>
      <c r="F22178" t="s">
        <v>11624</v>
      </c>
      <c r="G22178">
        <v>7.0061099999999996</v>
      </c>
      <c r="H22178">
        <v>5.97783</v>
      </c>
      <c r="I22178" t="s">
        <v>63257</v>
      </c>
      <c r="L22178">
        <v>0</v>
      </c>
      <c r="M22178">
        <v>0</v>
      </c>
      <c r="N22178">
        <v>0</v>
      </c>
      <c r="O22178" t="s">
        <v>11693</v>
      </c>
    </row>
    <row r="22179" spans="1:15">
      <c r="A22179" t="s">
        <v>63258</v>
      </c>
      <c r="B22179" t="s">
        <v>4342</v>
      </c>
      <c r="C22179" t="s">
        <v>26772</v>
      </c>
      <c r="D22179" t="s">
        <v>63259</v>
      </c>
      <c r="E22179" t="b">
        <v>0</v>
      </c>
      <c r="F22179" t="s">
        <v>11610</v>
      </c>
      <c r="L22179">
        <v>0</v>
      </c>
      <c r="M22179">
        <v>0</v>
      </c>
      <c r="N22179">
        <v>0</v>
      </c>
    </row>
    <row r="22180" spans="1:15">
      <c r="A22180" t="s">
        <v>63260</v>
      </c>
      <c r="B22180" t="s">
        <v>6742</v>
      </c>
      <c r="C22180" t="s">
        <v>12792</v>
      </c>
      <c r="D22180" t="s">
        <v>63261</v>
      </c>
      <c r="E22180" t="b">
        <v>0</v>
      </c>
      <c r="F22180" t="s">
        <v>11610</v>
      </c>
      <c r="L22180">
        <v>0</v>
      </c>
      <c r="M22180">
        <v>0</v>
      </c>
      <c r="N22180">
        <v>0</v>
      </c>
    </row>
    <row r="22181" spans="1:15">
      <c r="A22181" t="s">
        <v>63262</v>
      </c>
      <c r="B22181" t="s">
        <v>11637</v>
      </c>
      <c r="C22181" t="s">
        <v>33861</v>
      </c>
      <c r="D22181" t="s">
        <v>63263</v>
      </c>
      <c r="E22181" t="b">
        <v>0</v>
      </c>
      <c r="F22181" t="s">
        <v>11624</v>
      </c>
      <c r="G22181">
        <v>36.599800000000002</v>
      </c>
      <c r="H22181">
        <v>48.7301</v>
      </c>
      <c r="I22181" t="s">
        <v>63264</v>
      </c>
      <c r="L22181">
        <v>0</v>
      </c>
      <c r="M22181">
        <v>0</v>
      </c>
      <c r="N22181">
        <v>0</v>
      </c>
      <c r="O22181" t="s">
        <v>13225</v>
      </c>
    </row>
    <row r="22182" spans="1:15">
      <c r="A22182" t="s">
        <v>63265</v>
      </c>
      <c r="B22182" t="s">
        <v>12979</v>
      </c>
      <c r="C22182" t="s">
        <v>21707</v>
      </c>
      <c r="D22182" t="s">
        <v>63266</v>
      </c>
      <c r="E22182" t="b">
        <v>0</v>
      </c>
      <c r="F22182" t="s">
        <v>11610</v>
      </c>
      <c r="L22182">
        <v>0</v>
      </c>
      <c r="M22182">
        <v>0</v>
      </c>
      <c r="N22182">
        <v>0</v>
      </c>
    </row>
    <row r="22183" spans="1:15">
      <c r="A22183" t="s">
        <v>63267</v>
      </c>
      <c r="B22183" t="s">
        <v>21317</v>
      </c>
      <c r="C22183" t="s">
        <v>49130</v>
      </c>
      <c r="D22183" t="s">
        <v>63268</v>
      </c>
      <c r="E22183" t="b">
        <v>0</v>
      </c>
      <c r="F22183" t="s">
        <v>11624</v>
      </c>
      <c r="G22183">
        <v>20.236000000000001</v>
      </c>
      <c r="H22183">
        <v>-97.81</v>
      </c>
      <c r="I22183" t="s">
        <v>63269</v>
      </c>
      <c r="L22183">
        <v>0</v>
      </c>
      <c r="M22183">
        <v>0</v>
      </c>
      <c r="N22183">
        <v>0</v>
      </c>
      <c r="O22183" t="s">
        <v>11883</v>
      </c>
    </row>
    <row r="22184" spans="1:15">
      <c r="A22184" t="s">
        <v>63270</v>
      </c>
      <c r="B22184" t="s">
        <v>11637</v>
      </c>
      <c r="C22184" t="s">
        <v>10074</v>
      </c>
      <c r="D22184" t="s">
        <v>63271</v>
      </c>
      <c r="E22184" t="b">
        <v>0</v>
      </c>
      <c r="F22184" t="s">
        <v>11610</v>
      </c>
      <c r="L22184">
        <v>0</v>
      </c>
      <c r="M22184">
        <v>0</v>
      </c>
      <c r="N22184">
        <v>0</v>
      </c>
    </row>
    <row r="22185" spans="1:15">
      <c r="A22185" t="s">
        <v>17514</v>
      </c>
      <c r="B22185" t="s">
        <v>11637</v>
      </c>
      <c r="C22185" t="s">
        <v>40854</v>
      </c>
      <c r="D22185" t="s">
        <v>63272</v>
      </c>
      <c r="E22185" t="b">
        <v>0</v>
      </c>
      <c r="F22185" t="s">
        <v>11624</v>
      </c>
      <c r="G22185">
        <v>51.240299999999998</v>
      </c>
      <c r="H22185">
        <v>14.409800000000001</v>
      </c>
      <c r="I22185" t="s">
        <v>63273</v>
      </c>
      <c r="L22185">
        <v>0</v>
      </c>
      <c r="M22185">
        <v>0</v>
      </c>
      <c r="N22185">
        <v>2</v>
      </c>
      <c r="O22185" t="s">
        <v>25838</v>
      </c>
    </row>
    <row r="22186" spans="1:15">
      <c r="A22186" t="s">
        <v>63274</v>
      </c>
      <c r="B22186" t="s">
        <v>11637</v>
      </c>
      <c r="C22186" t="s">
        <v>40858</v>
      </c>
      <c r="D22186" t="s">
        <v>63275</v>
      </c>
      <c r="E22186" t="b">
        <v>0</v>
      </c>
      <c r="F22186" t="s">
        <v>11610</v>
      </c>
      <c r="L22186">
        <v>0</v>
      </c>
      <c r="M22186">
        <v>0</v>
      </c>
      <c r="N22186">
        <v>0</v>
      </c>
    </row>
    <row r="22187" spans="1:15">
      <c r="A22187" t="s">
        <v>10202</v>
      </c>
      <c r="B22187" t="s">
        <v>11637</v>
      </c>
      <c r="C22187" t="s">
        <v>21341</v>
      </c>
      <c r="D22187" t="s">
        <v>63276</v>
      </c>
      <c r="E22187" t="b">
        <v>0</v>
      </c>
      <c r="F22187" t="s">
        <v>11610</v>
      </c>
      <c r="L22187">
        <v>0</v>
      </c>
      <c r="M22187">
        <v>0</v>
      </c>
      <c r="N22187">
        <v>0</v>
      </c>
    </row>
    <row r="22188" spans="1:15">
      <c r="A22188" t="s">
        <v>31087</v>
      </c>
      <c r="B22188" t="s">
        <v>11637</v>
      </c>
      <c r="C22188" t="s">
        <v>26714</v>
      </c>
      <c r="D22188" t="s">
        <v>63277</v>
      </c>
      <c r="E22188" t="b">
        <v>0</v>
      </c>
      <c r="F22188" t="s">
        <v>11624</v>
      </c>
      <c r="G22188">
        <v>51.152000000000001</v>
      </c>
      <c r="H22188">
        <v>12.692</v>
      </c>
      <c r="I22188" t="s">
        <v>63278</v>
      </c>
      <c r="L22188">
        <v>0</v>
      </c>
      <c r="M22188">
        <v>0</v>
      </c>
      <c r="N22188">
        <v>29</v>
      </c>
      <c r="O22188" t="s">
        <v>25838</v>
      </c>
    </row>
    <row r="22189" spans="1:15">
      <c r="A22189" t="s">
        <v>63279</v>
      </c>
      <c r="B22189" t="s">
        <v>11637</v>
      </c>
      <c r="C22189" t="s">
        <v>40867</v>
      </c>
      <c r="D22189" t="s">
        <v>63280</v>
      </c>
      <c r="E22189" t="b">
        <v>0</v>
      </c>
      <c r="F22189" t="s">
        <v>11610</v>
      </c>
      <c r="L22189">
        <v>0</v>
      </c>
      <c r="M22189">
        <v>0</v>
      </c>
      <c r="N22189">
        <v>0</v>
      </c>
    </row>
    <row r="22190" spans="1:15">
      <c r="A22190" t="s">
        <v>63281</v>
      </c>
      <c r="B22190" t="s">
        <v>11637</v>
      </c>
      <c r="C22190" t="s">
        <v>21358</v>
      </c>
      <c r="D22190" t="s">
        <v>63282</v>
      </c>
      <c r="E22190" t="b">
        <v>0</v>
      </c>
      <c r="F22190" t="s">
        <v>11610</v>
      </c>
      <c r="L22190">
        <v>0</v>
      </c>
      <c r="M22190">
        <v>0</v>
      </c>
      <c r="N22190">
        <v>0</v>
      </c>
    </row>
    <row r="22191" spans="1:15">
      <c r="A22191" t="s">
        <v>51714</v>
      </c>
      <c r="B22191" t="s">
        <v>11637</v>
      </c>
      <c r="C22191" t="s">
        <v>40849</v>
      </c>
      <c r="D22191" t="s">
        <v>63283</v>
      </c>
      <c r="E22191" t="b">
        <v>0</v>
      </c>
      <c r="F22191" t="s">
        <v>11610</v>
      </c>
      <c r="L22191">
        <v>0</v>
      </c>
      <c r="M22191">
        <v>0</v>
      </c>
      <c r="N22191">
        <v>5</v>
      </c>
    </row>
    <row r="22192" spans="1:15">
      <c r="A22192" t="s">
        <v>63284</v>
      </c>
      <c r="B22192" t="s">
        <v>12438</v>
      </c>
      <c r="C22192" t="s">
        <v>39211</v>
      </c>
      <c r="D22192" t="s">
        <v>63285</v>
      </c>
      <c r="E22192" t="b">
        <v>0</v>
      </c>
      <c r="F22192" t="s">
        <v>11610</v>
      </c>
      <c r="L22192">
        <v>0</v>
      </c>
      <c r="M22192">
        <v>0</v>
      </c>
      <c r="N22192">
        <v>0</v>
      </c>
    </row>
    <row r="22193" spans="1:15">
      <c r="A22193" t="s">
        <v>63286</v>
      </c>
      <c r="B22193" t="s">
        <v>12438</v>
      </c>
      <c r="C22193" t="s">
        <v>19419</v>
      </c>
      <c r="D22193" t="s">
        <v>63287</v>
      </c>
      <c r="E22193" t="b">
        <v>0</v>
      </c>
      <c r="F22193" t="s">
        <v>11610</v>
      </c>
      <c r="L22193">
        <v>0</v>
      </c>
      <c r="M22193">
        <v>0</v>
      </c>
      <c r="N22193">
        <v>0</v>
      </c>
    </row>
    <row r="22194" spans="1:15">
      <c r="A22194" t="s">
        <v>30455</v>
      </c>
      <c r="B22194" t="s">
        <v>12438</v>
      </c>
      <c r="C22194" t="s">
        <v>40879</v>
      </c>
      <c r="D22194" t="s">
        <v>63288</v>
      </c>
      <c r="E22194" t="b">
        <v>0</v>
      </c>
      <c r="F22194" t="s">
        <v>11624</v>
      </c>
      <c r="G22194">
        <v>16.186515</v>
      </c>
      <c r="H22194">
        <v>107.056135</v>
      </c>
      <c r="I22194" t="s">
        <v>63289</v>
      </c>
      <c r="L22194">
        <v>0</v>
      </c>
      <c r="M22194">
        <v>0</v>
      </c>
      <c r="N22194">
        <v>5</v>
      </c>
      <c r="O22194" t="s">
        <v>14464</v>
      </c>
    </row>
    <row r="22195" spans="1:15">
      <c r="A22195" t="s">
        <v>63290</v>
      </c>
      <c r="B22195" t="s">
        <v>12148</v>
      </c>
      <c r="C22195" t="s">
        <v>39482</v>
      </c>
      <c r="D22195" t="s">
        <v>63291</v>
      </c>
      <c r="E22195" t="b">
        <v>0</v>
      </c>
      <c r="F22195" t="s">
        <v>11610</v>
      </c>
      <c r="L22195">
        <v>0</v>
      </c>
      <c r="M22195">
        <v>0</v>
      </c>
      <c r="N22195">
        <v>0</v>
      </c>
    </row>
    <row r="22196" spans="1:15">
      <c r="A22196" t="s">
        <v>63292</v>
      </c>
      <c r="B22196" t="s">
        <v>11644</v>
      </c>
      <c r="C22196" t="s">
        <v>16893</v>
      </c>
      <c r="D22196" t="s">
        <v>63293</v>
      </c>
      <c r="E22196" t="b">
        <v>0</v>
      </c>
      <c r="F22196" t="s">
        <v>11610</v>
      </c>
      <c r="L22196">
        <v>0</v>
      </c>
      <c r="M22196">
        <v>0</v>
      </c>
      <c r="N22196">
        <v>0</v>
      </c>
    </row>
    <row r="22197" spans="1:15">
      <c r="A22197" t="s">
        <v>63294</v>
      </c>
      <c r="B22197" t="s">
        <v>11644</v>
      </c>
      <c r="C22197" t="s">
        <v>29779</v>
      </c>
      <c r="D22197" t="s">
        <v>63295</v>
      </c>
      <c r="E22197" t="b">
        <v>0</v>
      </c>
      <c r="F22197" t="s">
        <v>11610</v>
      </c>
      <c r="L22197">
        <v>0</v>
      </c>
      <c r="M22197">
        <v>0</v>
      </c>
      <c r="N22197">
        <v>0</v>
      </c>
    </row>
    <row r="22198" spans="1:15">
      <c r="A22198" t="s">
        <v>63296</v>
      </c>
      <c r="B22198" t="s">
        <v>11644</v>
      </c>
      <c r="C22198" t="s">
        <v>36209</v>
      </c>
      <c r="D22198" t="s">
        <v>63297</v>
      </c>
      <c r="E22198" t="b">
        <v>0</v>
      </c>
      <c r="F22198" t="s">
        <v>11610</v>
      </c>
      <c r="L22198">
        <v>0</v>
      </c>
      <c r="M22198">
        <v>0</v>
      </c>
      <c r="N22198">
        <v>0</v>
      </c>
    </row>
    <row r="22199" spans="1:15">
      <c r="A22199" t="s">
        <v>63298</v>
      </c>
      <c r="B22199" t="s">
        <v>11644</v>
      </c>
      <c r="C22199" t="s">
        <v>40890</v>
      </c>
      <c r="D22199" t="s">
        <v>63299</v>
      </c>
      <c r="E22199" t="b">
        <v>0</v>
      </c>
      <c r="F22199" t="s">
        <v>11610</v>
      </c>
      <c r="L22199">
        <v>0</v>
      </c>
      <c r="M22199">
        <v>0</v>
      </c>
      <c r="N22199">
        <v>0</v>
      </c>
    </row>
    <row r="22200" spans="1:15">
      <c r="A22200" t="s">
        <v>40482</v>
      </c>
      <c r="B22200" t="s">
        <v>11644</v>
      </c>
      <c r="C22200" t="s">
        <v>26501</v>
      </c>
      <c r="D22200" t="s">
        <v>63300</v>
      </c>
      <c r="E22200" t="b">
        <v>0</v>
      </c>
      <c r="F22200" t="s">
        <v>11622</v>
      </c>
      <c r="L22200">
        <v>3</v>
      </c>
      <c r="M22200">
        <v>5</v>
      </c>
      <c r="N22200">
        <v>9</v>
      </c>
    </row>
    <row r="22201" spans="1:15">
      <c r="A22201" t="s">
        <v>25531</v>
      </c>
      <c r="B22201" t="s">
        <v>11644</v>
      </c>
      <c r="C22201" t="s">
        <v>22351</v>
      </c>
      <c r="D22201" t="s">
        <v>63301</v>
      </c>
      <c r="E22201" t="b">
        <v>0</v>
      </c>
      <c r="F22201" t="s">
        <v>11622</v>
      </c>
      <c r="L22201">
        <v>0</v>
      </c>
      <c r="M22201">
        <v>3</v>
      </c>
      <c r="N22201">
        <v>6</v>
      </c>
    </row>
    <row r="22202" spans="1:15">
      <c r="A22202" t="s">
        <v>63302</v>
      </c>
      <c r="B22202" t="s">
        <v>12686</v>
      </c>
      <c r="C22202" t="s">
        <v>18105</v>
      </c>
      <c r="D22202" t="s">
        <v>63303</v>
      </c>
      <c r="E22202" t="b">
        <v>0</v>
      </c>
      <c r="F22202" t="s">
        <v>11610</v>
      </c>
      <c r="L22202">
        <v>0</v>
      </c>
      <c r="M22202">
        <v>0</v>
      </c>
      <c r="N22202">
        <v>0</v>
      </c>
    </row>
    <row r="22203" spans="1:15">
      <c r="A22203" t="s">
        <v>47422</v>
      </c>
      <c r="B22203" t="s">
        <v>10597</v>
      </c>
      <c r="C22203" t="s">
        <v>40892</v>
      </c>
      <c r="D22203" t="s">
        <v>63304</v>
      </c>
      <c r="E22203" t="b">
        <v>0</v>
      </c>
      <c r="F22203" t="s">
        <v>11624</v>
      </c>
      <c r="L22203">
        <v>0</v>
      </c>
      <c r="M22203">
        <v>0</v>
      </c>
      <c r="N22203">
        <v>3</v>
      </c>
      <c r="O22203" t="s">
        <v>12107</v>
      </c>
    </row>
    <row r="22204" spans="1:15">
      <c r="A22204" t="s">
        <v>63305</v>
      </c>
      <c r="B22204" t="s">
        <v>6742</v>
      </c>
      <c r="C22204" t="s">
        <v>12028</v>
      </c>
      <c r="D22204" t="s">
        <v>63306</v>
      </c>
      <c r="E22204" t="b">
        <v>0</v>
      </c>
      <c r="F22204" t="s">
        <v>11610</v>
      </c>
      <c r="L22204">
        <v>0</v>
      </c>
      <c r="M22204">
        <v>0</v>
      </c>
      <c r="N22204">
        <v>0</v>
      </c>
    </row>
    <row r="22205" spans="1:15">
      <c r="A22205" t="s">
        <v>12356</v>
      </c>
      <c r="B22205" t="s">
        <v>6742</v>
      </c>
      <c r="C22205" t="s">
        <v>21469</v>
      </c>
      <c r="D22205" t="s">
        <v>63307</v>
      </c>
      <c r="E22205" t="b">
        <v>0</v>
      </c>
      <c r="F22205" t="s">
        <v>11622</v>
      </c>
      <c r="L22205">
        <v>14</v>
      </c>
      <c r="M22205">
        <v>21</v>
      </c>
      <c r="N22205">
        <v>34</v>
      </c>
    </row>
    <row r="22206" spans="1:15">
      <c r="A22206" t="s">
        <v>63308</v>
      </c>
      <c r="B22206" t="s">
        <v>6742</v>
      </c>
      <c r="C22206" t="s">
        <v>16149</v>
      </c>
      <c r="D22206" t="s">
        <v>63309</v>
      </c>
      <c r="E22206" t="b">
        <v>0</v>
      </c>
      <c r="F22206" t="s">
        <v>11610</v>
      </c>
      <c r="L22206">
        <v>0</v>
      </c>
      <c r="M22206">
        <v>0</v>
      </c>
      <c r="N22206">
        <v>0</v>
      </c>
    </row>
    <row r="22207" spans="1:15">
      <c r="A22207" t="s">
        <v>63310</v>
      </c>
      <c r="B22207" t="s">
        <v>13276</v>
      </c>
      <c r="C22207" t="s">
        <v>18988</v>
      </c>
      <c r="D22207" t="s">
        <v>63311</v>
      </c>
      <c r="E22207" t="b">
        <v>0</v>
      </c>
      <c r="F22207" t="s">
        <v>11610</v>
      </c>
      <c r="L22207">
        <v>0</v>
      </c>
      <c r="M22207">
        <v>0</v>
      </c>
      <c r="N22207">
        <v>0</v>
      </c>
    </row>
    <row r="22208" spans="1:15">
      <c r="A22208" t="s">
        <v>63312</v>
      </c>
      <c r="B22208" t="s">
        <v>14005</v>
      </c>
      <c r="C22208" t="s">
        <v>40906</v>
      </c>
      <c r="D22208" t="s">
        <v>63313</v>
      </c>
      <c r="E22208" t="b">
        <v>0</v>
      </c>
      <c r="F22208" t="s">
        <v>11610</v>
      </c>
      <c r="L22208">
        <v>0</v>
      </c>
      <c r="M22208">
        <v>0</v>
      </c>
      <c r="N22208">
        <v>0</v>
      </c>
    </row>
    <row r="22209" spans="1:15">
      <c r="A22209" t="s">
        <v>63314</v>
      </c>
      <c r="B22209" t="s">
        <v>367</v>
      </c>
      <c r="C22209" t="s">
        <v>40911</v>
      </c>
      <c r="D22209" t="s">
        <v>63315</v>
      </c>
      <c r="E22209" t="b">
        <v>0</v>
      </c>
      <c r="F22209" t="s">
        <v>11610</v>
      </c>
      <c r="L22209">
        <v>0</v>
      </c>
      <c r="M22209">
        <v>0</v>
      </c>
      <c r="N22209">
        <v>0</v>
      </c>
    </row>
    <row r="22210" spans="1:15">
      <c r="A22210" t="s">
        <v>12141</v>
      </c>
      <c r="B22210" t="s">
        <v>367</v>
      </c>
      <c r="C22210" t="s">
        <v>8719</v>
      </c>
      <c r="D22210" t="s">
        <v>63316</v>
      </c>
      <c r="E22210" t="b">
        <v>0</v>
      </c>
      <c r="F22210" t="s">
        <v>11622</v>
      </c>
      <c r="L22210">
        <v>1</v>
      </c>
      <c r="M22210">
        <v>5</v>
      </c>
      <c r="N22210">
        <v>0</v>
      </c>
    </row>
    <row r="22211" spans="1:15">
      <c r="A22211" t="s">
        <v>63317</v>
      </c>
      <c r="B22211" t="s">
        <v>11627</v>
      </c>
      <c r="C22211" t="s">
        <v>11627</v>
      </c>
      <c r="D22211" t="s">
        <v>63318</v>
      </c>
      <c r="E22211" t="b">
        <v>1</v>
      </c>
      <c r="F22211" t="s">
        <v>11624</v>
      </c>
      <c r="G22211">
        <v>17.214300000000001</v>
      </c>
      <c r="H22211">
        <v>121.202</v>
      </c>
      <c r="I22211" t="s">
        <v>63319</v>
      </c>
      <c r="L22211">
        <v>0</v>
      </c>
      <c r="M22211">
        <v>0</v>
      </c>
      <c r="N22211">
        <v>0</v>
      </c>
      <c r="O22211" t="s">
        <v>11749</v>
      </c>
    </row>
    <row r="22212" spans="1:15">
      <c r="A22212" t="s">
        <v>62979</v>
      </c>
      <c r="B22212" t="s">
        <v>367</v>
      </c>
      <c r="C22212" t="s">
        <v>31116</v>
      </c>
      <c r="D22212" t="s">
        <v>63320</v>
      </c>
      <c r="E22212" t="b">
        <v>0</v>
      </c>
      <c r="F22212" t="s">
        <v>11622</v>
      </c>
      <c r="L22212">
        <v>0</v>
      </c>
      <c r="M22212">
        <v>2</v>
      </c>
      <c r="N22212">
        <v>5</v>
      </c>
    </row>
    <row r="22213" spans="1:15">
      <c r="A22213" t="s">
        <v>39280</v>
      </c>
      <c r="B22213" t="s">
        <v>367</v>
      </c>
      <c r="C22213" t="s">
        <v>11669</v>
      </c>
      <c r="D22213" t="s">
        <v>63321</v>
      </c>
      <c r="E22213" t="b">
        <v>0</v>
      </c>
      <c r="F22213" t="s">
        <v>11622</v>
      </c>
      <c r="L22213">
        <v>0</v>
      </c>
      <c r="M22213">
        <v>3</v>
      </c>
      <c r="N22213">
        <v>6</v>
      </c>
    </row>
    <row r="22214" spans="1:15">
      <c r="A22214" t="s">
        <v>25631</v>
      </c>
      <c r="B22214" t="s">
        <v>367</v>
      </c>
      <c r="C22214" t="s">
        <v>39280</v>
      </c>
      <c r="D22214" t="s">
        <v>63322</v>
      </c>
      <c r="E22214" t="b">
        <v>0</v>
      </c>
      <c r="F22214" t="s">
        <v>11624</v>
      </c>
      <c r="G22214">
        <v>5.3191100000000002</v>
      </c>
      <c r="H22214">
        <v>116.901</v>
      </c>
      <c r="I22214" t="s">
        <v>63323</v>
      </c>
      <c r="L22214">
        <v>0</v>
      </c>
      <c r="M22214">
        <v>0</v>
      </c>
      <c r="N22214">
        <v>4</v>
      </c>
      <c r="O22214" t="s">
        <v>11672</v>
      </c>
    </row>
    <row r="22215" spans="1:15">
      <c r="A22215" t="s">
        <v>63324</v>
      </c>
      <c r="B22215" t="s">
        <v>11705</v>
      </c>
      <c r="C22215" t="s">
        <v>21635</v>
      </c>
      <c r="D22215" t="s">
        <v>63325</v>
      </c>
      <c r="E22215" t="b">
        <v>0</v>
      </c>
      <c r="F22215" t="s">
        <v>11610</v>
      </c>
      <c r="L22215">
        <v>0</v>
      </c>
      <c r="M22215">
        <v>0</v>
      </c>
      <c r="N22215">
        <v>0</v>
      </c>
    </row>
    <row r="22216" spans="1:15">
      <c r="A22216" t="s">
        <v>63326</v>
      </c>
      <c r="B22216" t="s">
        <v>11615</v>
      </c>
      <c r="C22216" t="s">
        <v>44294</v>
      </c>
      <c r="D22216" t="s">
        <v>63327</v>
      </c>
      <c r="E22216" t="b">
        <v>0</v>
      </c>
      <c r="F22216" t="s">
        <v>11610</v>
      </c>
      <c r="L22216">
        <v>0</v>
      </c>
      <c r="M22216">
        <v>0</v>
      </c>
      <c r="N22216">
        <v>0</v>
      </c>
    </row>
    <row r="22217" spans="1:15">
      <c r="A22217" t="s">
        <v>63328</v>
      </c>
      <c r="B22217" t="s">
        <v>11615</v>
      </c>
      <c r="C22217" t="s">
        <v>29694</v>
      </c>
      <c r="D22217" t="s">
        <v>63329</v>
      </c>
      <c r="E22217" t="b">
        <v>0</v>
      </c>
      <c r="F22217" t="s">
        <v>11624</v>
      </c>
      <c r="G22217">
        <v>-3.9436800000000001</v>
      </c>
      <c r="H22217">
        <v>138.90100000000001</v>
      </c>
      <c r="I22217" t="s">
        <v>63330</v>
      </c>
      <c r="L22217">
        <v>0</v>
      </c>
      <c r="M22217">
        <v>0</v>
      </c>
      <c r="N22217">
        <v>0</v>
      </c>
      <c r="O22217" t="s">
        <v>11768</v>
      </c>
    </row>
    <row r="22218" spans="1:15">
      <c r="A22218" t="s">
        <v>63331</v>
      </c>
      <c r="B22218" t="s">
        <v>11615</v>
      </c>
      <c r="C22218" t="s">
        <v>40922</v>
      </c>
      <c r="D22218" t="s">
        <v>63332</v>
      </c>
      <c r="E22218" t="b">
        <v>0</v>
      </c>
      <c r="F22218" t="s">
        <v>11610</v>
      </c>
      <c r="L22218">
        <v>0</v>
      </c>
      <c r="M22218">
        <v>0</v>
      </c>
      <c r="N22218">
        <v>0</v>
      </c>
    </row>
    <row r="22219" spans="1:15">
      <c r="A22219" t="s">
        <v>63333</v>
      </c>
      <c r="B22219" t="s">
        <v>11615</v>
      </c>
      <c r="C22219" t="s">
        <v>40922</v>
      </c>
      <c r="D22219" t="s">
        <v>63334</v>
      </c>
      <c r="E22219" t="b">
        <v>0</v>
      </c>
      <c r="F22219" t="s">
        <v>11610</v>
      </c>
      <c r="L22219">
        <v>0</v>
      </c>
      <c r="M22219">
        <v>0</v>
      </c>
      <c r="N22219">
        <v>0</v>
      </c>
    </row>
    <row r="22220" spans="1:15">
      <c r="A22220" t="s">
        <v>63335</v>
      </c>
      <c r="B22220" t="s">
        <v>11615</v>
      </c>
      <c r="C22220" t="s">
        <v>13254</v>
      </c>
      <c r="D22220" t="s">
        <v>63336</v>
      </c>
      <c r="E22220" t="b">
        <v>0</v>
      </c>
      <c r="F22220" t="s">
        <v>11610</v>
      </c>
      <c r="L22220">
        <v>0</v>
      </c>
      <c r="M22220">
        <v>0</v>
      </c>
      <c r="N22220">
        <v>0</v>
      </c>
    </row>
    <row r="22221" spans="1:15">
      <c r="A22221" t="s">
        <v>63337</v>
      </c>
      <c r="B22221" t="s">
        <v>14524</v>
      </c>
      <c r="C22221" t="s">
        <v>16455</v>
      </c>
      <c r="D22221" t="s">
        <v>63338</v>
      </c>
      <c r="E22221" t="b">
        <v>0</v>
      </c>
      <c r="F22221" t="s">
        <v>11610</v>
      </c>
      <c r="L22221">
        <v>0</v>
      </c>
      <c r="M22221">
        <v>0</v>
      </c>
      <c r="N22221">
        <v>0</v>
      </c>
    </row>
    <row r="22222" spans="1:15">
      <c r="A22222" t="s">
        <v>63339</v>
      </c>
      <c r="B22222" t="s">
        <v>23796</v>
      </c>
      <c r="C22222" t="s">
        <v>26310</v>
      </c>
      <c r="D22222" t="s">
        <v>63340</v>
      </c>
      <c r="E22222" t="b">
        <v>0</v>
      </c>
      <c r="F22222" t="s">
        <v>11610</v>
      </c>
      <c r="L22222">
        <v>0</v>
      </c>
      <c r="M22222">
        <v>0</v>
      </c>
      <c r="N22222">
        <v>0</v>
      </c>
    </row>
    <row r="22223" spans="1:15">
      <c r="A22223" t="s">
        <v>63341</v>
      </c>
      <c r="B22223" t="s">
        <v>12460</v>
      </c>
      <c r="C22223" t="s">
        <v>51442</v>
      </c>
      <c r="D22223" t="s">
        <v>63342</v>
      </c>
      <c r="E22223" t="b">
        <v>0</v>
      </c>
      <c r="F22223" t="s">
        <v>11624</v>
      </c>
      <c r="I22223" t="s">
        <v>63343</v>
      </c>
      <c r="L22223">
        <v>0</v>
      </c>
      <c r="M22223">
        <v>0</v>
      </c>
      <c r="N22223">
        <v>0</v>
      </c>
      <c r="O22223" t="s">
        <v>11944</v>
      </c>
    </row>
    <row r="22224" spans="1:15">
      <c r="A22224" t="s">
        <v>63344</v>
      </c>
      <c r="B22224" t="s">
        <v>12460</v>
      </c>
      <c r="C22224" t="s">
        <v>12461</v>
      </c>
      <c r="D22224" t="s">
        <v>63345</v>
      </c>
      <c r="E22224" t="b">
        <v>0</v>
      </c>
      <c r="F22224" t="s">
        <v>11624</v>
      </c>
      <c r="G22224">
        <v>62.686700000000002</v>
      </c>
      <c r="H22224">
        <v>-141.37</v>
      </c>
      <c r="I22224" t="s">
        <v>63346</v>
      </c>
      <c r="L22224">
        <v>0</v>
      </c>
      <c r="M22224">
        <v>0</v>
      </c>
      <c r="N22224">
        <v>0</v>
      </c>
      <c r="O22224" t="s">
        <v>14875</v>
      </c>
    </row>
    <row r="22225" spans="1:15">
      <c r="A22225" t="s">
        <v>63347</v>
      </c>
      <c r="B22225" t="s">
        <v>12460</v>
      </c>
      <c r="C22225" t="s">
        <v>12461</v>
      </c>
      <c r="D22225" t="s">
        <v>63348</v>
      </c>
      <c r="E22225" t="b">
        <v>0</v>
      </c>
      <c r="F22225" t="s">
        <v>11624</v>
      </c>
      <c r="G22225">
        <v>62.297600000000003</v>
      </c>
      <c r="H22225">
        <v>-155.95099999999999</v>
      </c>
      <c r="I22225" t="s">
        <v>63349</v>
      </c>
      <c r="L22225">
        <v>0</v>
      </c>
      <c r="M22225">
        <v>0</v>
      </c>
      <c r="N22225">
        <v>0</v>
      </c>
      <c r="O22225" t="s">
        <v>11944</v>
      </c>
    </row>
    <row r="22226" spans="1:15">
      <c r="A22226" t="s">
        <v>63350</v>
      </c>
      <c r="B22226" t="s">
        <v>9071</v>
      </c>
      <c r="C22226" t="s">
        <v>23495</v>
      </c>
      <c r="D22226" t="s">
        <v>63351</v>
      </c>
      <c r="E22226" t="b">
        <v>0</v>
      </c>
      <c r="F22226" t="s">
        <v>11624</v>
      </c>
      <c r="G22226">
        <v>46.798099999999998</v>
      </c>
      <c r="H22226">
        <v>-123.169</v>
      </c>
      <c r="I22226" t="s">
        <v>63352</v>
      </c>
      <c r="L22226">
        <v>0</v>
      </c>
      <c r="M22226">
        <v>0</v>
      </c>
      <c r="N22226">
        <v>0</v>
      </c>
      <c r="O22226" t="s">
        <v>11944</v>
      </c>
    </row>
    <row r="22227" spans="1:15">
      <c r="A22227" t="s">
        <v>27115</v>
      </c>
      <c r="B22227" t="s">
        <v>9578</v>
      </c>
      <c r="C22227" t="s">
        <v>27288</v>
      </c>
      <c r="D22227" t="s">
        <v>63353</v>
      </c>
      <c r="E22227" t="b">
        <v>0</v>
      </c>
      <c r="F22227" t="s">
        <v>11622</v>
      </c>
      <c r="L22227">
        <v>0</v>
      </c>
      <c r="M22227">
        <v>2</v>
      </c>
      <c r="N22227">
        <v>0</v>
      </c>
    </row>
    <row r="22228" spans="1:15">
      <c r="A22228" t="s">
        <v>12735</v>
      </c>
      <c r="B22228" t="s">
        <v>11607</v>
      </c>
      <c r="C22228" t="s">
        <v>19120</v>
      </c>
      <c r="D22228" t="s">
        <v>63354</v>
      </c>
      <c r="E22228" t="b">
        <v>0</v>
      </c>
      <c r="F22228" t="s">
        <v>11610</v>
      </c>
      <c r="L22228">
        <v>0</v>
      </c>
      <c r="M22228">
        <v>0</v>
      </c>
      <c r="N22228">
        <v>3</v>
      </c>
    </row>
    <row r="22229" spans="1:15">
      <c r="A22229" t="s">
        <v>63355</v>
      </c>
      <c r="B22229" t="s">
        <v>11607</v>
      </c>
      <c r="C22229" t="s">
        <v>17620</v>
      </c>
      <c r="D22229" t="s">
        <v>63356</v>
      </c>
      <c r="E22229" t="b">
        <v>0</v>
      </c>
      <c r="F22229" t="s">
        <v>11610</v>
      </c>
      <c r="L22229">
        <v>0</v>
      </c>
      <c r="M22229">
        <v>0</v>
      </c>
      <c r="N22229">
        <v>0</v>
      </c>
    </row>
    <row r="22230" spans="1:15">
      <c r="A22230" t="s">
        <v>63357</v>
      </c>
      <c r="B22230" t="s">
        <v>11607</v>
      </c>
      <c r="C22230" t="s">
        <v>44352</v>
      </c>
      <c r="D22230" t="s">
        <v>63358</v>
      </c>
      <c r="E22230" t="b">
        <v>0</v>
      </c>
      <c r="F22230" t="s">
        <v>11610</v>
      </c>
      <c r="L22230">
        <v>0</v>
      </c>
      <c r="M22230">
        <v>0</v>
      </c>
      <c r="N22230">
        <v>0</v>
      </c>
    </row>
    <row r="22231" spans="1:15">
      <c r="A22231" t="s">
        <v>15770</v>
      </c>
      <c r="B22231" t="s">
        <v>11637</v>
      </c>
      <c r="C22231" t="s">
        <v>33929</v>
      </c>
      <c r="D22231" t="s">
        <v>63359</v>
      </c>
      <c r="E22231" t="b">
        <v>0</v>
      </c>
      <c r="F22231" t="s">
        <v>11624</v>
      </c>
      <c r="G22231">
        <v>13.2335066667</v>
      </c>
      <c r="H22231">
        <v>-15.33254</v>
      </c>
      <c r="I22231" t="s">
        <v>63360</v>
      </c>
      <c r="L22231">
        <v>0</v>
      </c>
      <c r="M22231">
        <v>0</v>
      </c>
      <c r="N22231">
        <v>3</v>
      </c>
      <c r="O22231" t="s">
        <v>63361</v>
      </c>
    </row>
    <row r="22232" spans="1:15">
      <c r="A22232" t="s">
        <v>38513</v>
      </c>
      <c r="B22232" t="s">
        <v>10597</v>
      </c>
      <c r="C22232" t="s">
        <v>23170</v>
      </c>
      <c r="D22232" t="s">
        <v>63362</v>
      </c>
      <c r="E22232" t="b">
        <v>0</v>
      </c>
      <c r="F22232" t="s">
        <v>11622</v>
      </c>
      <c r="L22232">
        <v>0</v>
      </c>
      <c r="M22232">
        <v>2</v>
      </c>
      <c r="N22232">
        <v>0</v>
      </c>
    </row>
    <row r="22233" spans="1:15">
      <c r="A22233" t="s">
        <v>39472</v>
      </c>
      <c r="B22233" t="s">
        <v>6742</v>
      </c>
      <c r="C22233" t="s">
        <v>34189</v>
      </c>
      <c r="D22233" t="s">
        <v>63363</v>
      </c>
      <c r="E22233" t="b">
        <v>0</v>
      </c>
      <c r="F22233" t="s">
        <v>11622</v>
      </c>
      <c r="L22233">
        <v>1</v>
      </c>
      <c r="M22233">
        <v>3</v>
      </c>
      <c r="N22233">
        <v>0</v>
      </c>
    </row>
    <row r="22234" spans="1:15">
      <c r="A22234" t="s">
        <v>33929</v>
      </c>
      <c r="B22234" t="s">
        <v>11637</v>
      </c>
      <c r="C22234" t="s">
        <v>19849</v>
      </c>
      <c r="D22234" t="s">
        <v>63364</v>
      </c>
      <c r="E22234" t="b">
        <v>0</v>
      </c>
      <c r="F22234" t="s">
        <v>11622</v>
      </c>
      <c r="L22234">
        <v>0</v>
      </c>
      <c r="M22234">
        <v>3</v>
      </c>
      <c r="N22234">
        <v>6</v>
      </c>
    </row>
    <row r="22235" spans="1:15">
      <c r="A22235" t="s">
        <v>63365</v>
      </c>
      <c r="B22235" t="s">
        <v>11627</v>
      </c>
      <c r="C22235" t="s">
        <v>11627</v>
      </c>
      <c r="D22235" t="s">
        <v>63366</v>
      </c>
      <c r="E22235" t="b">
        <v>1</v>
      </c>
      <c r="F22235" t="s">
        <v>11624</v>
      </c>
      <c r="I22235" t="s">
        <v>63367</v>
      </c>
      <c r="L22235">
        <v>0</v>
      </c>
      <c r="M22235">
        <v>0</v>
      </c>
      <c r="N22235">
        <v>0</v>
      </c>
    </row>
    <row r="22236" spans="1:15">
      <c r="A22236" t="s">
        <v>63368</v>
      </c>
      <c r="B22236" t="s">
        <v>12260</v>
      </c>
      <c r="C22236" t="s">
        <v>42691</v>
      </c>
      <c r="D22236" t="s">
        <v>63369</v>
      </c>
      <c r="E22236" t="b">
        <v>0</v>
      </c>
      <c r="F22236" t="s">
        <v>11610</v>
      </c>
      <c r="L22236">
        <v>0</v>
      </c>
      <c r="M22236">
        <v>0</v>
      </c>
      <c r="N22236">
        <v>0</v>
      </c>
    </row>
    <row r="22237" spans="1:15">
      <c r="A22237" t="s">
        <v>63370</v>
      </c>
      <c r="B22237" t="s">
        <v>12311</v>
      </c>
      <c r="C22237" t="s">
        <v>14229</v>
      </c>
      <c r="D22237" t="s">
        <v>63371</v>
      </c>
      <c r="E22237" t="b">
        <v>0</v>
      </c>
      <c r="F22237" t="s">
        <v>11610</v>
      </c>
      <c r="L22237">
        <v>0</v>
      </c>
      <c r="M22237">
        <v>0</v>
      </c>
      <c r="N22237">
        <v>0</v>
      </c>
    </row>
    <row r="22238" spans="1:15">
      <c r="A22238" t="s">
        <v>13578</v>
      </c>
      <c r="B22238" t="s">
        <v>12311</v>
      </c>
      <c r="C22238" t="s">
        <v>55876</v>
      </c>
      <c r="D22238" t="s">
        <v>63372</v>
      </c>
      <c r="E22238" t="b">
        <v>0</v>
      </c>
      <c r="F22238" t="s">
        <v>11610</v>
      </c>
      <c r="L22238">
        <v>0</v>
      </c>
      <c r="M22238">
        <v>0</v>
      </c>
      <c r="N22238">
        <v>3</v>
      </c>
    </row>
    <row r="22239" spans="1:15">
      <c r="A22239" t="s">
        <v>29403</v>
      </c>
      <c r="B22239" t="s">
        <v>11637</v>
      </c>
      <c r="C22239" t="s">
        <v>13005</v>
      </c>
      <c r="D22239" t="s">
        <v>63373</v>
      </c>
      <c r="E22239" t="b">
        <v>0</v>
      </c>
      <c r="F22239" t="s">
        <v>11622</v>
      </c>
      <c r="L22239">
        <v>1</v>
      </c>
      <c r="M22239">
        <v>3</v>
      </c>
      <c r="N22239">
        <v>15</v>
      </c>
    </row>
    <row r="22240" spans="1:15">
      <c r="A22240" t="s">
        <v>49204</v>
      </c>
      <c r="B22240" t="s">
        <v>11637</v>
      </c>
      <c r="C22240" t="s">
        <v>31087</v>
      </c>
      <c r="D22240" t="s">
        <v>63374</v>
      </c>
      <c r="E22240" t="b">
        <v>0</v>
      </c>
      <c r="F22240" t="s">
        <v>11610</v>
      </c>
      <c r="L22240">
        <v>0</v>
      </c>
      <c r="M22240">
        <v>0</v>
      </c>
      <c r="N22240">
        <v>16</v>
      </c>
    </row>
    <row r="22241" spans="1:15">
      <c r="A22241" t="s">
        <v>31327</v>
      </c>
      <c r="B22241" t="s">
        <v>11637</v>
      </c>
      <c r="C22241" t="s">
        <v>13988</v>
      </c>
      <c r="D22241" t="s">
        <v>63375</v>
      </c>
      <c r="E22241" t="b">
        <v>0</v>
      </c>
      <c r="F22241" t="s">
        <v>11610</v>
      </c>
      <c r="L22241">
        <v>0</v>
      </c>
      <c r="M22241">
        <v>0</v>
      </c>
      <c r="N22241">
        <v>5</v>
      </c>
    </row>
    <row r="22242" spans="1:15">
      <c r="A22242" t="s">
        <v>63376</v>
      </c>
      <c r="B22242" t="s">
        <v>11637</v>
      </c>
      <c r="C22242" t="s">
        <v>13142</v>
      </c>
      <c r="D22242" t="s">
        <v>63377</v>
      </c>
      <c r="E22242" t="b">
        <v>0</v>
      </c>
      <c r="F22242" t="s">
        <v>11610</v>
      </c>
      <c r="L22242">
        <v>0</v>
      </c>
      <c r="M22242">
        <v>0</v>
      </c>
      <c r="N22242">
        <v>0</v>
      </c>
    </row>
    <row r="22243" spans="1:15">
      <c r="A22243" t="s">
        <v>52881</v>
      </c>
      <c r="B22243" t="s">
        <v>11644</v>
      </c>
      <c r="C22243" t="s">
        <v>25381</v>
      </c>
      <c r="D22243" t="s">
        <v>63378</v>
      </c>
      <c r="E22243" t="b">
        <v>0</v>
      </c>
      <c r="F22243" t="s">
        <v>11622</v>
      </c>
      <c r="L22243">
        <v>1</v>
      </c>
      <c r="M22243">
        <v>3</v>
      </c>
      <c r="N22243">
        <v>0</v>
      </c>
    </row>
    <row r="22244" spans="1:15">
      <c r="A22244" t="s">
        <v>63379</v>
      </c>
      <c r="B22244" t="s">
        <v>11644</v>
      </c>
      <c r="C22244" t="s">
        <v>46494</v>
      </c>
      <c r="D22244" t="s">
        <v>63380</v>
      </c>
      <c r="E22244" t="b">
        <v>0</v>
      </c>
      <c r="F22244" t="s">
        <v>11610</v>
      </c>
      <c r="L22244">
        <v>0</v>
      </c>
      <c r="M22244">
        <v>0</v>
      </c>
      <c r="N22244">
        <v>0</v>
      </c>
    </row>
    <row r="22245" spans="1:15">
      <c r="A22245" t="s">
        <v>48463</v>
      </c>
      <c r="B22245" t="s">
        <v>11644</v>
      </c>
      <c r="C22245" t="s">
        <v>53951</v>
      </c>
      <c r="D22245" t="s">
        <v>63381</v>
      </c>
      <c r="E22245" t="b">
        <v>0</v>
      </c>
      <c r="F22245" t="s">
        <v>11622</v>
      </c>
      <c r="L22245">
        <v>0</v>
      </c>
      <c r="M22245">
        <v>2</v>
      </c>
      <c r="N22245">
        <v>11</v>
      </c>
    </row>
    <row r="22246" spans="1:15">
      <c r="A22246" t="s">
        <v>63382</v>
      </c>
      <c r="B22246" t="s">
        <v>11644</v>
      </c>
      <c r="C22246" t="s">
        <v>20314</v>
      </c>
      <c r="D22246" t="s">
        <v>63383</v>
      </c>
      <c r="E22246" t="b">
        <v>0</v>
      </c>
      <c r="F22246" t="s">
        <v>11610</v>
      </c>
      <c r="G22246">
        <v>27.466667000000001</v>
      </c>
      <c r="H22246">
        <v>90.9</v>
      </c>
      <c r="L22246">
        <v>0</v>
      </c>
      <c r="M22246">
        <v>0</v>
      </c>
      <c r="N22246">
        <v>0</v>
      </c>
    </row>
    <row r="22247" spans="1:15">
      <c r="A22247" t="s">
        <v>14960</v>
      </c>
      <c r="B22247" t="s">
        <v>10597</v>
      </c>
      <c r="C22247" t="s">
        <v>49149</v>
      </c>
      <c r="D22247" t="s">
        <v>63384</v>
      </c>
      <c r="E22247" t="b">
        <v>0</v>
      </c>
      <c r="F22247" t="s">
        <v>11622</v>
      </c>
      <c r="L22247">
        <v>1</v>
      </c>
      <c r="M22247">
        <v>3</v>
      </c>
      <c r="N22247">
        <v>0</v>
      </c>
    </row>
    <row r="22248" spans="1:15">
      <c r="A22248" t="s">
        <v>63385</v>
      </c>
      <c r="B22248" t="s">
        <v>11627</v>
      </c>
      <c r="C22248" t="s">
        <v>11627</v>
      </c>
      <c r="D22248" t="s">
        <v>63386</v>
      </c>
      <c r="E22248" t="b">
        <v>1</v>
      </c>
      <c r="F22248" t="s">
        <v>11624</v>
      </c>
      <c r="G22248">
        <v>-12.0679</v>
      </c>
      <c r="H22248">
        <v>142.13499999999999</v>
      </c>
      <c r="I22248" t="s">
        <v>63387</v>
      </c>
      <c r="L22248">
        <v>0</v>
      </c>
      <c r="M22248">
        <v>0</v>
      </c>
      <c r="N22248">
        <v>0</v>
      </c>
      <c r="O22248" t="s">
        <v>12107</v>
      </c>
    </row>
    <row r="22249" spans="1:15">
      <c r="A22249" t="s">
        <v>63388</v>
      </c>
      <c r="B22249" t="s">
        <v>367</v>
      </c>
      <c r="C22249" t="s">
        <v>33119</v>
      </c>
      <c r="D22249" t="s">
        <v>63389</v>
      </c>
      <c r="E22249" t="b">
        <v>0</v>
      </c>
      <c r="F22249" t="s">
        <v>11624</v>
      </c>
      <c r="G22249">
        <v>7.5258000000000003</v>
      </c>
      <c r="H22249">
        <v>99.076800000000006</v>
      </c>
      <c r="I22249" t="s">
        <v>63390</v>
      </c>
      <c r="L22249">
        <v>0</v>
      </c>
      <c r="M22249">
        <v>0</v>
      </c>
      <c r="N22249">
        <v>0</v>
      </c>
      <c r="O22249" t="s">
        <v>16739</v>
      </c>
    </row>
    <row r="22250" spans="1:15">
      <c r="A22250" t="s">
        <v>12260</v>
      </c>
      <c r="D22250" t="s">
        <v>63391</v>
      </c>
      <c r="E22250" t="b">
        <v>0</v>
      </c>
      <c r="F22250" t="s">
        <v>11622</v>
      </c>
      <c r="L22250">
        <v>30</v>
      </c>
      <c r="M22250">
        <v>48</v>
      </c>
      <c r="N22250">
        <v>107</v>
      </c>
    </row>
    <row r="22251" spans="1:15">
      <c r="A22251" t="s">
        <v>63392</v>
      </c>
      <c r="B22251" t="s">
        <v>331</v>
      </c>
      <c r="C22251" t="s">
        <v>14894</v>
      </c>
      <c r="D22251" t="s">
        <v>63393</v>
      </c>
      <c r="E22251" t="b">
        <v>0</v>
      </c>
      <c r="F22251" t="s">
        <v>11610</v>
      </c>
      <c r="L22251">
        <v>0</v>
      </c>
      <c r="M22251">
        <v>0</v>
      </c>
      <c r="N22251">
        <v>0</v>
      </c>
    </row>
    <row r="22252" spans="1:15">
      <c r="A22252" t="s">
        <v>63394</v>
      </c>
      <c r="B22252" t="s">
        <v>11844</v>
      </c>
      <c r="C22252" t="s">
        <v>36877</v>
      </c>
      <c r="D22252" t="s">
        <v>63395</v>
      </c>
      <c r="E22252" t="b">
        <v>0</v>
      </c>
      <c r="F22252" t="s">
        <v>11624</v>
      </c>
      <c r="G22252">
        <v>10.851900000000001</v>
      </c>
      <c r="H22252">
        <v>76.800700000000006</v>
      </c>
      <c r="I22252" t="s">
        <v>63396</v>
      </c>
      <c r="L22252">
        <v>0</v>
      </c>
      <c r="M22252">
        <v>0</v>
      </c>
      <c r="N22252">
        <v>0</v>
      </c>
      <c r="O22252" t="s">
        <v>11630</v>
      </c>
    </row>
    <row r="22253" spans="1:15">
      <c r="A22253" t="s">
        <v>63397</v>
      </c>
      <c r="B22253" t="s">
        <v>12250</v>
      </c>
      <c r="C22253" t="s">
        <v>51449</v>
      </c>
      <c r="D22253" t="s">
        <v>63398</v>
      </c>
      <c r="E22253" t="b">
        <v>0</v>
      </c>
      <c r="F22253" t="s">
        <v>11610</v>
      </c>
      <c r="L22253">
        <v>0</v>
      </c>
      <c r="M22253">
        <v>0</v>
      </c>
      <c r="N22253">
        <v>0</v>
      </c>
    </row>
    <row r="22254" spans="1:15">
      <c r="A22254" t="s">
        <v>63399</v>
      </c>
      <c r="B22254" t="s">
        <v>14524</v>
      </c>
      <c r="C22254" t="s">
        <v>14525</v>
      </c>
      <c r="D22254" t="s">
        <v>63400</v>
      </c>
      <c r="E22254" t="b">
        <v>0</v>
      </c>
      <c r="F22254" t="s">
        <v>11610</v>
      </c>
      <c r="L22254">
        <v>0</v>
      </c>
      <c r="M22254">
        <v>0</v>
      </c>
      <c r="N22254">
        <v>0</v>
      </c>
    </row>
    <row r="22255" spans="1:15">
      <c r="A22255" t="s">
        <v>63401</v>
      </c>
      <c r="B22255" t="s">
        <v>12067</v>
      </c>
      <c r="C22255" t="s">
        <v>12068</v>
      </c>
      <c r="D22255" t="s">
        <v>63402</v>
      </c>
      <c r="E22255" t="b">
        <v>0</v>
      </c>
      <c r="F22255" t="s">
        <v>11610</v>
      </c>
      <c r="L22255">
        <v>0</v>
      </c>
      <c r="M22255">
        <v>0</v>
      </c>
      <c r="N22255">
        <v>0</v>
      </c>
    </row>
    <row r="22256" spans="1:15">
      <c r="A22256" t="s">
        <v>63403</v>
      </c>
      <c r="B22256" t="s">
        <v>11615</v>
      </c>
      <c r="C22256" t="s">
        <v>18644</v>
      </c>
      <c r="D22256" t="s">
        <v>63404</v>
      </c>
      <c r="E22256" t="b">
        <v>0</v>
      </c>
      <c r="F22256" t="s">
        <v>11624</v>
      </c>
      <c r="G22256">
        <v>-5.08704</v>
      </c>
      <c r="H22256">
        <v>141.54</v>
      </c>
      <c r="I22256" t="s">
        <v>63405</v>
      </c>
      <c r="L22256">
        <v>0</v>
      </c>
      <c r="M22256">
        <v>0</v>
      </c>
      <c r="N22256">
        <v>0</v>
      </c>
      <c r="O22256" t="s">
        <v>11660</v>
      </c>
    </row>
    <row r="22257" spans="1:15">
      <c r="A22257" t="s">
        <v>63406</v>
      </c>
      <c r="B22257" t="s">
        <v>16014</v>
      </c>
      <c r="C22257" t="s">
        <v>16014</v>
      </c>
      <c r="D22257" t="s">
        <v>63407</v>
      </c>
      <c r="E22257" t="b">
        <v>0</v>
      </c>
      <c r="F22257" t="s">
        <v>11624</v>
      </c>
      <c r="G22257">
        <v>-4.6422600000000003</v>
      </c>
      <c r="H22257">
        <v>151.953</v>
      </c>
      <c r="I22257" t="s">
        <v>63408</v>
      </c>
      <c r="L22257">
        <v>0</v>
      </c>
      <c r="M22257">
        <v>0</v>
      </c>
      <c r="N22257">
        <v>0</v>
      </c>
      <c r="O22257" t="s">
        <v>11660</v>
      </c>
    </row>
    <row r="22258" spans="1:15">
      <c r="A22258" t="s">
        <v>63409</v>
      </c>
      <c r="B22258" t="s">
        <v>31761</v>
      </c>
      <c r="C22258" t="s">
        <v>31761</v>
      </c>
      <c r="D22258" t="s">
        <v>63410</v>
      </c>
      <c r="E22258" t="b">
        <v>0</v>
      </c>
      <c r="F22258" t="s">
        <v>11624</v>
      </c>
      <c r="G22258">
        <v>35.033299999999997</v>
      </c>
      <c r="H22258">
        <v>44.383299999999998</v>
      </c>
      <c r="I22258" t="s">
        <v>63411</v>
      </c>
      <c r="L22258">
        <v>0</v>
      </c>
      <c r="M22258">
        <v>0</v>
      </c>
      <c r="N22258">
        <v>0</v>
      </c>
      <c r="O22258" t="s">
        <v>12765</v>
      </c>
    </row>
    <row r="22259" spans="1:15">
      <c r="A22259" t="s">
        <v>63412</v>
      </c>
      <c r="D22259" t="s">
        <v>63413</v>
      </c>
      <c r="E22259" t="b">
        <v>0</v>
      </c>
      <c r="F22259" t="s">
        <v>11624</v>
      </c>
      <c r="G22259">
        <v>-4.4400599999999999</v>
      </c>
      <c r="H22259">
        <v>-75.421099999999996</v>
      </c>
      <c r="I22259" t="s">
        <v>63414</v>
      </c>
      <c r="L22259">
        <v>0</v>
      </c>
      <c r="M22259">
        <v>0</v>
      </c>
      <c r="N22259">
        <v>0</v>
      </c>
      <c r="O22259" t="s">
        <v>11778</v>
      </c>
    </row>
    <row r="22260" spans="1:15">
      <c r="A22260" t="s">
        <v>63415</v>
      </c>
      <c r="B22260" t="s">
        <v>11834</v>
      </c>
      <c r="C22260" t="s">
        <v>14355</v>
      </c>
      <c r="D22260" t="s">
        <v>63416</v>
      </c>
      <c r="E22260" t="b">
        <v>0</v>
      </c>
      <c r="F22260" t="s">
        <v>11624</v>
      </c>
      <c r="G22260">
        <v>-3.6006499999999999</v>
      </c>
      <c r="H22260">
        <v>142.79</v>
      </c>
      <c r="I22260" t="s">
        <v>63417</v>
      </c>
      <c r="L22260">
        <v>0</v>
      </c>
      <c r="M22260">
        <v>0</v>
      </c>
      <c r="N22260">
        <v>6</v>
      </c>
      <c r="O22260" t="s">
        <v>11660</v>
      </c>
    </row>
    <row r="22261" spans="1:15">
      <c r="A22261" t="s">
        <v>63418</v>
      </c>
      <c r="B22261" t="s">
        <v>367</v>
      </c>
      <c r="C22261" t="s">
        <v>27358</v>
      </c>
      <c r="D22261" t="s">
        <v>63419</v>
      </c>
      <c r="E22261" t="b">
        <v>0</v>
      </c>
      <c r="F22261" t="s">
        <v>11624</v>
      </c>
      <c r="G22261">
        <v>-18.674700000000001</v>
      </c>
      <c r="H22261">
        <v>169.084</v>
      </c>
      <c r="I22261" t="s">
        <v>63420</v>
      </c>
      <c r="L22261">
        <v>0</v>
      </c>
      <c r="M22261">
        <v>0</v>
      </c>
      <c r="N22261">
        <v>0</v>
      </c>
      <c r="O22261" t="s">
        <v>12719</v>
      </c>
    </row>
    <row r="22262" spans="1:15">
      <c r="A22262" t="s">
        <v>63421</v>
      </c>
      <c r="B22262" t="s">
        <v>12311</v>
      </c>
      <c r="C22262" t="s">
        <v>12859</v>
      </c>
      <c r="D22262" t="s">
        <v>63422</v>
      </c>
      <c r="E22262" t="b">
        <v>0</v>
      </c>
      <c r="F22262" t="s">
        <v>11610</v>
      </c>
      <c r="L22262">
        <v>0</v>
      </c>
      <c r="M22262">
        <v>0</v>
      </c>
      <c r="N22262">
        <v>0</v>
      </c>
    </row>
    <row r="22263" spans="1:15">
      <c r="A22263" t="s">
        <v>23890</v>
      </c>
      <c r="B22263" t="s">
        <v>11637</v>
      </c>
      <c r="C22263" t="s">
        <v>13683</v>
      </c>
      <c r="D22263" t="s">
        <v>63423</v>
      </c>
      <c r="E22263" t="b">
        <v>0</v>
      </c>
      <c r="F22263" t="s">
        <v>11624</v>
      </c>
      <c r="G22263">
        <v>25</v>
      </c>
      <c r="H22263">
        <v>67</v>
      </c>
      <c r="I22263" t="s">
        <v>63424</v>
      </c>
      <c r="L22263">
        <v>0</v>
      </c>
      <c r="M22263">
        <v>0</v>
      </c>
      <c r="N22263">
        <v>2</v>
      </c>
      <c r="O22263" t="s">
        <v>63425</v>
      </c>
    </row>
    <row r="22264" spans="1:15">
      <c r="A22264" t="s">
        <v>63426</v>
      </c>
      <c r="B22264" t="s">
        <v>13745</v>
      </c>
      <c r="C22264" t="s">
        <v>13745</v>
      </c>
      <c r="D22264" t="s">
        <v>63427</v>
      </c>
      <c r="E22264" t="b">
        <v>0</v>
      </c>
      <c r="F22264" t="s">
        <v>11610</v>
      </c>
      <c r="L22264">
        <v>0</v>
      </c>
      <c r="M22264">
        <v>0</v>
      </c>
      <c r="N22264">
        <v>0</v>
      </c>
    </row>
    <row r="22265" spans="1:15">
      <c r="A22265" t="s">
        <v>63428</v>
      </c>
      <c r="B22265" t="s">
        <v>367</v>
      </c>
      <c r="C22265" t="s">
        <v>14805</v>
      </c>
      <c r="D22265" t="s">
        <v>63429</v>
      </c>
      <c r="E22265" t="b">
        <v>0</v>
      </c>
      <c r="F22265" t="s">
        <v>11610</v>
      </c>
      <c r="L22265">
        <v>0</v>
      </c>
      <c r="M22265">
        <v>0</v>
      </c>
      <c r="N22265">
        <v>0</v>
      </c>
    </row>
    <row r="22266" spans="1:15">
      <c r="A22266" t="s">
        <v>63430</v>
      </c>
      <c r="B22266" t="s">
        <v>331</v>
      </c>
      <c r="C22266" t="s">
        <v>13639</v>
      </c>
      <c r="D22266" t="s">
        <v>63431</v>
      </c>
      <c r="E22266" t="b">
        <v>0</v>
      </c>
      <c r="F22266" t="s">
        <v>11610</v>
      </c>
      <c r="L22266">
        <v>0</v>
      </c>
      <c r="M22266">
        <v>0</v>
      </c>
      <c r="N22266">
        <v>0</v>
      </c>
    </row>
    <row r="22267" spans="1:15">
      <c r="A22267" t="s">
        <v>12292</v>
      </c>
      <c r="B22267" t="s">
        <v>6742</v>
      </c>
      <c r="C22267" t="s">
        <v>27371</v>
      </c>
      <c r="D22267" t="s">
        <v>63432</v>
      </c>
      <c r="E22267" t="b">
        <v>0</v>
      </c>
      <c r="F22267" t="s">
        <v>11624</v>
      </c>
      <c r="G22267">
        <v>5.3115500000000004</v>
      </c>
      <c r="H22267">
        <v>5.8614800000000002</v>
      </c>
      <c r="I22267" t="s">
        <v>63433</v>
      </c>
      <c r="L22267">
        <v>0</v>
      </c>
      <c r="M22267">
        <v>0</v>
      </c>
      <c r="N22267">
        <v>4</v>
      </c>
      <c r="O22267" t="s">
        <v>11693</v>
      </c>
    </row>
    <row r="22268" spans="1:15">
      <c r="A22268" t="s">
        <v>63434</v>
      </c>
      <c r="B22268" t="s">
        <v>11615</v>
      </c>
      <c r="C22268" t="s">
        <v>24018</v>
      </c>
      <c r="D22268" t="s">
        <v>63435</v>
      </c>
      <c r="E22268" t="b">
        <v>0</v>
      </c>
      <c r="F22268" t="s">
        <v>11624</v>
      </c>
      <c r="G22268">
        <v>-5.5898199999999996</v>
      </c>
      <c r="H22268">
        <v>145.50700000000001</v>
      </c>
      <c r="I22268" t="s">
        <v>63436</v>
      </c>
      <c r="L22268">
        <v>0</v>
      </c>
      <c r="M22268">
        <v>0</v>
      </c>
      <c r="N22268">
        <v>0</v>
      </c>
      <c r="O22268" t="s">
        <v>11660</v>
      </c>
    </row>
    <row r="22269" spans="1:15">
      <c r="A22269" t="s">
        <v>24018</v>
      </c>
      <c r="B22269" t="s">
        <v>11615</v>
      </c>
      <c r="C22269" t="s">
        <v>52672</v>
      </c>
      <c r="D22269" t="s">
        <v>63437</v>
      </c>
      <c r="E22269" t="b">
        <v>0</v>
      </c>
      <c r="F22269" t="s">
        <v>11622</v>
      </c>
      <c r="L22269">
        <v>0</v>
      </c>
      <c r="M22269">
        <v>2</v>
      </c>
      <c r="N22269">
        <v>0</v>
      </c>
    </row>
    <row r="22270" spans="1:15">
      <c r="A22270" t="s">
        <v>26275</v>
      </c>
      <c r="B22270" t="s">
        <v>11615</v>
      </c>
      <c r="C22270" t="s">
        <v>19002</v>
      </c>
      <c r="D22270" t="s">
        <v>63438</v>
      </c>
      <c r="E22270" t="b">
        <v>0</v>
      </c>
      <c r="F22270" t="s">
        <v>11624</v>
      </c>
      <c r="G22270">
        <v>-6.4199299999999999</v>
      </c>
      <c r="H22270">
        <v>146.608</v>
      </c>
      <c r="I22270" t="s">
        <v>63439</v>
      </c>
      <c r="L22270">
        <v>0</v>
      </c>
      <c r="M22270">
        <v>0</v>
      </c>
      <c r="N22270">
        <v>2</v>
      </c>
      <c r="O22270" t="s">
        <v>11660</v>
      </c>
    </row>
    <row r="22271" spans="1:15">
      <c r="A22271" t="s">
        <v>63440</v>
      </c>
      <c r="B22271" t="s">
        <v>11834</v>
      </c>
      <c r="C22271" t="s">
        <v>27017</v>
      </c>
      <c r="D22271" t="s">
        <v>63441</v>
      </c>
      <c r="E22271" t="b">
        <v>0</v>
      </c>
      <c r="F22271" t="s">
        <v>11624</v>
      </c>
      <c r="G22271">
        <v>-3.8606600000000002</v>
      </c>
      <c r="H22271">
        <v>143.70099999999999</v>
      </c>
      <c r="I22271" t="s">
        <v>63442</v>
      </c>
      <c r="L22271">
        <v>0</v>
      </c>
      <c r="M22271">
        <v>0</v>
      </c>
      <c r="N22271">
        <v>0</v>
      </c>
      <c r="O22271" t="s">
        <v>11660</v>
      </c>
    </row>
    <row r="22272" spans="1:15">
      <c r="A22272" t="s">
        <v>38058</v>
      </c>
      <c r="B22272" t="s">
        <v>11834</v>
      </c>
      <c r="C22272" t="s">
        <v>11834</v>
      </c>
      <c r="D22272" t="s">
        <v>63443</v>
      </c>
      <c r="E22272" t="b">
        <v>0</v>
      </c>
      <c r="F22272" t="s">
        <v>11624</v>
      </c>
      <c r="G22272">
        <v>-3.5801799999999999</v>
      </c>
      <c r="H22272">
        <v>142.65299999999999</v>
      </c>
      <c r="I22272" t="s">
        <v>63444</v>
      </c>
      <c r="L22272">
        <v>0</v>
      </c>
      <c r="M22272">
        <v>0</v>
      </c>
      <c r="N22272">
        <v>2</v>
      </c>
      <c r="O22272" t="s">
        <v>11660</v>
      </c>
    </row>
    <row r="22273" spans="1:15">
      <c r="A22273" t="s">
        <v>14981</v>
      </c>
      <c r="B22273" t="s">
        <v>367</v>
      </c>
      <c r="C22273" t="s">
        <v>21958</v>
      </c>
      <c r="D22273" t="s">
        <v>63445</v>
      </c>
      <c r="E22273" t="b">
        <v>0</v>
      </c>
      <c r="F22273" t="s">
        <v>11624</v>
      </c>
      <c r="G22273">
        <v>-16.009509999999999</v>
      </c>
      <c r="H22273">
        <v>167.34643</v>
      </c>
      <c r="I22273" t="s">
        <v>63446</v>
      </c>
      <c r="L22273">
        <v>0</v>
      </c>
      <c r="M22273">
        <v>0</v>
      </c>
      <c r="N22273">
        <v>3</v>
      </c>
      <c r="O22273" t="s">
        <v>12719</v>
      </c>
    </row>
    <row r="22274" spans="1:15">
      <c r="A22274" t="s">
        <v>63447</v>
      </c>
      <c r="B22274" t="s">
        <v>367</v>
      </c>
      <c r="C22274" t="s">
        <v>14981</v>
      </c>
      <c r="D22274" t="s">
        <v>63448</v>
      </c>
      <c r="E22274" t="b">
        <v>0</v>
      </c>
      <c r="F22274" t="s">
        <v>11610</v>
      </c>
      <c r="L22274">
        <v>0</v>
      </c>
      <c r="M22274">
        <v>0</v>
      </c>
      <c r="N22274">
        <v>0</v>
      </c>
    </row>
    <row r="22275" spans="1:15">
      <c r="A22275" t="s">
        <v>63449</v>
      </c>
      <c r="B22275" t="s">
        <v>11834</v>
      </c>
      <c r="C22275" t="s">
        <v>19407</v>
      </c>
      <c r="D22275" t="s">
        <v>63450</v>
      </c>
      <c r="E22275" t="b">
        <v>0</v>
      </c>
      <c r="F22275" t="s">
        <v>11610</v>
      </c>
      <c r="L22275">
        <v>0</v>
      </c>
      <c r="M22275">
        <v>0</v>
      </c>
      <c r="N22275">
        <v>0</v>
      </c>
    </row>
    <row r="22276" spans="1:15">
      <c r="A22276" t="s">
        <v>63451</v>
      </c>
      <c r="B22276" t="s">
        <v>11637</v>
      </c>
      <c r="C22276" t="s">
        <v>11936</v>
      </c>
      <c r="D22276" t="s">
        <v>63452</v>
      </c>
      <c r="E22276" t="b">
        <v>0</v>
      </c>
      <c r="F22276" t="s">
        <v>11610</v>
      </c>
      <c r="L22276">
        <v>0</v>
      </c>
      <c r="M22276">
        <v>0</v>
      </c>
      <c r="N22276">
        <v>0</v>
      </c>
    </row>
    <row r="22277" spans="1:15">
      <c r="A22277" t="s">
        <v>57470</v>
      </c>
      <c r="B22277" t="s">
        <v>11607</v>
      </c>
      <c r="C22277" t="s">
        <v>14879</v>
      </c>
      <c r="D22277" t="s">
        <v>63453</v>
      </c>
      <c r="E22277" t="b">
        <v>0</v>
      </c>
      <c r="F22277" t="s">
        <v>11610</v>
      </c>
      <c r="L22277">
        <v>0</v>
      </c>
      <c r="M22277">
        <v>0</v>
      </c>
      <c r="N22277">
        <v>3</v>
      </c>
    </row>
    <row r="22278" spans="1:15">
      <c r="A22278" t="s">
        <v>63454</v>
      </c>
      <c r="B22278" t="s">
        <v>11607</v>
      </c>
      <c r="C22278" t="s">
        <v>57470</v>
      </c>
      <c r="D22278" t="s">
        <v>63455</v>
      </c>
      <c r="E22278" t="b">
        <v>0</v>
      </c>
      <c r="F22278" t="s">
        <v>11610</v>
      </c>
      <c r="L22278">
        <v>0</v>
      </c>
      <c r="M22278">
        <v>0</v>
      </c>
      <c r="N22278">
        <v>0</v>
      </c>
    </row>
    <row r="22279" spans="1:15">
      <c r="A22279" t="s">
        <v>27355</v>
      </c>
      <c r="B22279" t="s">
        <v>27354</v>
      </c>
      <c r="C22279" t="s">
        <v>27354</v>
      </c>
      <c r="D22279" t="s">
        <v>63456</v>
      </c>
      <c r="E22279" t="b">
        <v>0</v>
      </c>
      <c r="F22279" t="s">
        <v>11622</v>
      </c>
      <c r="L22279">
        <v>0</v>
      </c>
      <c r="M22279">
        <v>2</v>
      </c>
      <c r="N22279">
        <v>0</v>
      </c>
    </row>
    <row r="22280" spans="1:15">
      <c r="A22280" t="s">
        <v>63457</v>
      </c>
      <c r="B22280" t="s">
        <v>27354</v>
      </c>
      <c r="C22280" t="s">
        <v>27355</v>
      </c>
      <c r="D22280" t="s">
        <v>63458</v>
      </c>
      <c r="E22280" t="b">
        <v>0</v>
      </c>
      <c r="F22280" t="s">
        <v>11624</v>
      </c>
      <c r="G22280">
        <v>-13.476599999999999</v>
      </c>
      <c r="H22280">
        <v>133.023</v>
      </c>
      <c r="I22280" t="s">
        <v>63459</v>
      </c>
      <c r="L22280">
        <v>0</v>
      </c>
      <c r="M22280">
        <v>0</v>
      </c>
      <c r="N22280">
        <v>0</v>
      </c>
      <c r="O22280" t="s">
        <v>12107</v>
      </c>
    </row>
    <row r="22281" spans="1:15">
      <c r="A22281" t="s">
        <v>63460</v>
      </c>
      <c r="B22281" t="s">
        <v>6742</v>
      </c>
      <c r="C22281" t="s">
        <v>12177</v>
      </c>
      <c r="D22281" t="s">
        <v>63461</v>
      </c>
      <c r="E22281" t="b">
        <v>0</v>
      </c>
      <c r="F22281" t="s">
        <v>11610</v>
      </c>
      <c r="L22281">
        <v>0</v>
      </c>
      <c r="M22281">
        <v>0</v>
      </c>
      <c r="N22281">
        <v>0</v>
      </c>
    </row>
    <row r="22282" spans="1:15">
      <c r="A22282" t="s">
        <v>63462</v>
      </c>
      <c r="B22282" t="s">
        <v>11607</v>
      </c>
      <c r="C22282" t="s">
        <v>19563</v>
      </c>
      <c r="D22282" t="s">
        <v>63463</v>
      </c>
      <c r="E22282" t="b">
        <v>0</v>
      </c>
      <c r="F22282" t="s">
        <v>11610</v>
      </c>
      <c r="L22282">
        <v>0</v>
      </c>
      <c r="M22282">
        <v>0</v>
      </c>
      <c r="N22282">
        <v>0</v>
      </c>
    </row>
    <row r="22283" spans="1:15">
      <c r="A22283" t="s">
        <v>63464</v>
      </c>
      <c r="B22283" t="s">
        <v>3164</v>
      </c>
      <c r="C22283" t="s">
        <v>33845</v>
      </c>
      <c r="D22283" t="s">
        <v>63465</v>
      </c>
      <c r="E22283" t="b">
        <v>0</v>
      </c>
      <c r="F22283" t="s">
        <v>11610</v>
      </c>
      <c r="L22283">
        <v>0</v>
      </c>
      <c r="M22283">
        <v>0</v>
      </c>
      <c r="N22283">
        <v>0</v>
      </c>
    </row>
    <row r="22284" spans="1:15">
      <c r="A22284" t="s">
        <v>63466</v>
      </c>
      <c r="B22284" t="s">
        <v>11637</v>
      </c>
      <c r="C22284" t="s">
        <v>11822</v>
      </c>
      <c r="D22284" t="s">
        <v>63467</v>
      </c>
      <c r="E22284" t="b">
        <v>0</v>
      </c>
      <c r="F22284" t="s">
        <v>11610</v>
      </c>
      <c r="L22284">
        <v>0</v>
      </c>
      <c r="M22284">
        <v>0</v>
      </c>
      <c r="N22284">
        <v>0</v>
      </c>
    </row>
    <row r="22285" spans="1:15">
      <c r="A22285" t="s">
        <v>63468</v>
      </c>
      <c r="B22285" t="s">
        <v>367</v>
      </c>
      <c r="C22285" t="s">
        <v>45222</v>
      </c>
      <c r="D22285" t="s">
        <v>63469</v>
      </c>
      <c r="E22285" t="b">
        <v>0</v>
      </c>
      <c r="F22285" t="s">
        <v>11624</v>
      </c>
      <c r="G22285">
        <v>-6.2331399999999997</v>
      </c>
      <c r="H22285">
        <v>155.57300000000001</v>
      </c>
      <c r="I22285" t="s">
        <v>63470</v>
      </c>
      <c r="L22285">
        <v>0</v>
      </c>
      <c r="M22285">
        <v>0</v>
      </c>
      <c r="N22285">
        <v>0</v>
      </c>
      <c r="O22285" t="s">
        <v>11660</v>
      </c>
    </row>
    <row r="22286" spans="1:15">
      <c r="A22286" t="s">
        <v>63471</v>
      </c>
      <c r="B22286" t="s">
        <v>367</v>
      </c>
      <c r="C22286" t="s">
        <v>17265</v>
      </c>
      <c r="D22286" t="s">
        <v>63472</v>
      </c>
      <c r="E22286" t="b">
        <v>0</v>
      </c>
      <c r="F22286" t="s">
        <v>11610</v>
      </c>
      <c r="L22286">
        <v>0</v>
      </c>
      <c r="M22286">
        <v>0</v>
      </c>
      <c r="N22286">
        <v>0</v>
      </c>
    </row>
    <row r="22287" spans="1:15">
      <c r="A22287" t="s">
        <v>63473</v>
      </c>
      <c r="B22287" t="s">
        <v>367</v>
      </c>
      <c r="C22287" t="s">
        <v>51335</v>
      </c>
      <c r="D22287" t="s">
        <v>63474</v>
      </c>
      <c r="E22287" t="b">
        <v>0</v>
      </c>
      <c r="F22287" t="s">
        <v>11624</v>
      </c>
      <c r="G22287">
        <v>-3.4549799999999999</v>
      </c>
      <c r="H22287">
        <v>132.745</v>
      </c>
      <c r="I22287" t="s">
        <v>63475</v>
      </c>
      <c r="L22287">
        <v>0</v>
      </c>
      <c r="M22287">
        <v>0</v>
      </c>
      <c r="N22287">
        <v>0</v>
      </c>
      <c r="O22287" t="s">
        <v>11768</v>
      </c>
    </row>
    <row r="22288" spans="1:15">
      <c r="A22288" t="s">
        <v>63476</v>
      </c>
      <c r="B22288" t="s">
        <v>11981</v>
      </c>
      <c r="C22288" t="s">
        <v>11982</v>
      </c>
      <c r="D22288" t="s">
        <v>63477</v>
      </c>
      <c r="E22288" t="b">
        <v>0</v>
      </c>
      <c r="F22288" t="s">
        <v>11624</v>
      </c>
      <c r="G22288">
        <v>-2.5409099999999998</v>
      </c>
      <c r="H22288">
        <v>-46.421300000000002</v>
      </c>
      <c r="I22288" t="s">
        <v>63478</v>
      </c>
      <c r="L22288">
        <v>0</v>
      </c>
      <c r="M22288">
        <v>0</v>
      </c>
      <c r="N22288">
        <v>0</v>
      </c>
      <c r="O22288" t="s">
        <v>11969</v>
      </c>
    </row>
    <row r="22289" spans="1:15">
      <c r="A22289" t="s">
        <v>63479</v>
      </c>
      <c r="B22289" t="s">
        <v>11912</v>
      </c>
      <c r="C22289" t="s">
        <v>15235</v>
      </c>
      <c r="D22289" t="s">
        <v>63480</v>
      </c>
      <c r="E22289" t="b">
        <v>0</v>
      </c>
      <c r="F22289" t="s">
        <v>11624</v>
      </c>
      <c r="G22289">
        <v>-2.46455</v>
      </c>
      <c r="H22289">
        <v>-46.220399999999998</v>
      </c>
      <c r="I22289" t="s">
        <v>63481</v>
      </c>
      <c r="L22289">
        <v>0</v>
      </c>
      <c r="M22289">
        <v>0</v>
      </c>
      <c r="N22289">
        <v>0</v>
      </c>
      <c r="O22289" t="s">
        <v>11969</v>
      </c>
    </row>
    <row r="22290" spans="1:15">
      <c r="A22290" t="s">
        <v>63482</v>
      </c>
      <c r="B22290" t="s">
        <v>11894</v>
      </c>
      <c r="C22290" t="s">
        <v>41574</v>
      </c>
      <c r="D22290" t="s">
        <v>63483</v>
      </c>
      <c r="E22290" t="b">
        <v>0</v>
      </c>
      <c r="F22290" t="s">
        <v>11610</v>
      </c>
      <c r="L22290">
        <v>0</v>
      </c>
      <c r="M22290">
        <v>0</v>
      </c>
      <c r="N22290">
        <v>0</v>
      </c>
    </row>
    <row r="22291" spans="1:15">
      <c r="A22291" t="s">
        <v>63484</v>
      </c>
      <c r="B22291" t="s">
        <v>8310</v>
      </c>
      <c r="C22291" t="s">
        <v>1732</v>
      </c>
      <c r="D22291" t="s">
        <v>63485</v>
      </c>
      <c r="E22291" t="b">
        <v>0</v>
      </c>
      <c r="F22291" t="s">
        <v>11610</v>
      </c>
      <c r="L22291">
        <v>0</v>
      </c>
      <c r="M22291">
        <v>0</v>
      </c>
      <c r="N22291">
        <v>0</v>
      </c>
    </row>
    <row r="22292" spans="1:15">
      <c r="A22292" t="s">
        <v>22681</v>
      </c>
      <c r="D22292" t="s">
        <v>63486</v>
      </c>
      <c r="E22292" t="b">
        <v>0</v>
      </c>
      <c r="F22292" t="s">
        <v>11622</v>
      </c>
      <c r="L22292">
        <v>0</v>
      </c>
      <c r="M22292">
        <v>2</v>
      </c>
      <c r="N22292">
        <v>0</v>
      </c>
    </row>
    <row r="22293" spans="1:15">
      <c r="A22293" t="s">
        <v>63487</v>
      </c>
      <c r="B22293" t="s">
        <v>13360</v>
      </c>
      <c r="C22293" t="s">
        <v>13360</v>
      </c>
      <c r="D22293" t="s">
        <v>63488</v>
      </c>
      <c r="E22293" t="b">
        <v>0</v>
      </c>
      <c r="F22293" t="s">
        <v>11624</v>
      </c>
      <c r="L22293">
        <v>0</v>
      </c>
      <c r="M22293">
        <v>0</v>
      </c>
      <c r="N22293">
        <v>0</v>
      </c>
      <c r="O22293" t="s">
        <v>11969</v>
      </c>
    </row>
    <row r="22294" spans="1:15">
      <c r="A22294" t="s">
        <v>63489</v>
      </c>
      <c r="B22294" t="s">
        <v>11912</v>
      </c>
      <c r="C22294" t="s">
        <v>13502</v>
      </c>
      <c r="D22294" t="s">
        <v>63490</v>
      </c>
      <c r="E22294" t="b">
        <v>0</v>
      </c>
      <c r="F22294" t="s">
        <v>11624</v>
      </c>
      <c r="G22294">
        <v>-10.9176</v>
      </c>
      <c r="H22294">
        <v>-63.808599999999998</v>
      </c>
      <c r="I22294" t="s">
        <v>63491</v>
      </c>
      <c r="L22294">
        <v>0</v>
      </c>
      <c r="M22294">
        <v>0</v>
      </c>
      <c r="N22294">
        <v>0</v>
      </c>
      <c r="O22294" t="s">
        <v>11969</v>
      </c>
    </row>
    <row r="22295" spans="1:15">
      <c r="A22295" t="s">
        <v>63492</v>
      </c>
      <c r="B22295" t="s">
        <v>11981</v>
      </c>
      <c r="C22295" t="s">
        <v>52408</v>
      </c>
      <c r="D22295" t="s">
        <v>63493</v>
      </c>
      <c r="E22295" t="b">
        <v>0</v>
      </c>
      <c r="F22295" t="s">
        <v>11624</v>
      </c>
      <c r="G22295">
        <v>-34.596699999999998</v>
      </c>
      <c r="H22295">
        <v>-56.450899999999997</v>
      </c>
      <c r="I22295" t="s">
        <v>63494</v>
      </c>
      <c r="L22295">
        <v>0</v>
      </c>
      <c r="M22295">
        <v>0</v>
      </c>
      <c r="N22295">
        <v>0</v>
      </c>
      <c r="O22295" t="s">
        <v>22239</v>
      </c>
    </row>
    <row r="22296" spans="1:15">
      <c r="A22296" t="s">
        <v>63495</v>
      </c>
      <c r="B22296" t="s">
        <v>11615</v>
      </c>
      <c r="C22296" t="s">
        <v>32705</v>
      </c>
      <c r="D22296" t="s">
        <v>63496</v>
      </c>
      <c r="E22296" t="b">
        <v>0</v>
      </c>
      <c r="F22296" t="s">
        <v>11610</v>
      </c>
      <c r="L22296">
        <v>0</v>
      </c>
      <c r="M22296">
        <v>0</v>
      </c>
      <c r="N22296">
        <v>0</v>
      </c>
    </row>
    <row r="22297" spans="1:15">
      <c r="A22297" t="s">
        <v>63497</v>
      </c>
      <c r="B22297" t="s">
        <v>331</v>
      </c>
      <c r="C22297" t="s">
        <v>21400</v>
      </c>
      <c r="D22297" t="s">
        <v>63498</v>
      </c>
      <c r="E22297" t="b">
        <v>0</v>
      </c>
      <c r="F22297" t="s">
        <v>11610</v>
      </c>
      <c r="L22297">
        <v>0</v>
      </c>
      <c r="M22297">
        <v>0</v>
      </c>
      <c r="N22297">
        <v>0</v>
      </c>
    </row>
    <row r="22298" spans="1:15">
      <c r="A22298" t="s">
        <v>63499</v>
      </c>
      <c r="B22298" t="s">
        <v>331</v>
      </c>
      <c r="C22298" t="s">
        <v>23534</v>
      </c>
      <c r="D22298" t="s">
        <v>63500</v>
      </c>
      <c r="E22298" t="b">
        <v>0</v>
      </c>
      <c r="F22298" t="s">
        <v>11624</v>
      </c>
      <c r="G22298">
        <v>42.0379</v>
      </c>
      <c r="H22298">
        <v>43.994</v>
      </c>
      <c r="I22298" t="s">
        <v>63501</v>
      </c>
      <c r="L22298">
        <v>0</v>
      </c>
      <c r="M22298">
        <v>0</v>
      </c>
      <c r="N22298">
        <v>0</v>
      </c>
      <c r="O22298" t="s">
        <v>63502</v>
      </c>
    </row>
    <row r="22299" spans="1:15">
      <c r="A22299" t="s">
        <v>63503</v>
      </c>
      <c r="B22299" t="s">
        <v>11912</v>
      </c>
      <c r="C22299" t="s">
        <v>35259</v>
      </c>
      <c r="D22299" t="s">
        <v>63504</v>
      </c>
      <c r="E22299" t="b">
        <v>0</v>
      </c>
      <c r="F22299" t="s">
        <v>11624</v>
      </c>
      <c r="G22299">
        <v>-9.08</v>
      </c>
      <c r="H22299">
        <v>-63.847999999999999</v>
      </c>
      <c r="I22299" t="s">
        <v>63505</v>
      </c>
      <c r="L22299">
        <v>0</v>
      </c>
      <c r="M22299">
        <v>0</v>
      </c>
      <c r="N22299">
        <v>0</v>
      </c>
      <c r="O22299" t="s">
        <v>11969</v>
      </c>
    </row>
    <row r="22300" spans="1:15">
      <c r="A22300" t="s">
        <v>63506</v>
      </c>
      <c r="B22300" t="s">
        <v>13360</v>
      </c>
      <c r="C22300" t="s">
        <v>13360</v>
      </c>
      <c r="D22300" t="s">
        <v>63507</v>
      </c>
      <c r="E22300" t="b">
        <v>0</v>
      </c>
      <c r="F22300" t="s">
        <v>11624</v>
      </c>
      <c r="G22300">
        <v>-11.294600000000001</v>
      </c>
      <c r="H22300">
        <v>-62.7226</v>
      </c>
      <c r="I22300" t="s">
        <v>63508</v>
      </c>
      <c r="L22300">
        <v>0</v>
      </c>
      <c r="M22300">
        <v>0</v>
      </c>
      <c r="N22300">
        <v>0</v>
      </c>
      <c r="O22300" t="s">
        <v>11969</v>
      </c>
    </row>
    <row r="22301" spans="1:15">
      <c r="A22301" t="s">
        <v>63509</v>
      </c>
      <c r="B22301" t="s">
        <v>22306</v>
      </c>
      <c r="C22301" t="s">
        <v>63510</v>
      </c>
      <c r="D22301" t="s">
        <v>63511</v>
      </c>
      <c r="E22301" t="b">
        <v>0</v>
      </c>
      <c r="F22301" t="s">
        <v>11622</v>
      </c>
      <c r="L22301">
        <v>0</v>
      </c>
      <c r="M22301">
        <v>2</v>
      </c>
      <c r="N22301">
        <v>0</v>
      </c>
    </row>
    <row r="22302" spans="1:15">
      <c r="A22302" t="s">
        <v>63512</v>
      </c>
      <c r="B22302" t="s">
        <v>22306</v>
      </c>
      <c r="C22302" t="s">
        <v>63509</v>
      </c>
      <c r="D22302" t="s">
        <v>63513</v>
      </c>
      <c r="E22302" t="b">
        <v>0</v>
      </c>
      <c r="F22302" t="s">
        <v>11624</v>
      </c>
      <c r="G22302">
        <v>-10.25</v>
      </c>
      <c r="H22302">
        <v>-62.75</v>
      </c>
      <c r="L22302">
        <v>0</v>
      </c>
      <c r="M22302">
        <v>0</v>
      </c>
      <c r="N22302">
        <v>0</v>
      </c>
      <c r="O22302" t="s">
        <v>11969</v>
      </c>
    </row>
    <row r="22303" spans="1:15">
      <c r="A22303" t="s">
        <v>63514</v>
      </c>
      <c r="B22303" t="s">
        <v>6742</v>
      </c>
      <c r="C22303" t="s">
        <v>1864</v>
      </c>
      <c r="D22303" t="s">
        <v>63515</v>
      </c>
      <c r="E22303" t="b">
        <v>0</v>
      </c>
      <c r="F22303" t="s">
        <v>11610</v>
      </c>
      <c r="L22303">
        <v>0</v>
      </c>
      <c r="M22303">
        <v>0</v>
      </c>
      <c r="N22303">
        <v>0</v>
      </c>
    </row>
    <row r="22304" spans="1:15">
      <c r="A22304" t="s">
        <v>63516</v>
      </c>
      <c r="B22304" t="s">
        <v>22681</v>
      </c>
      <c r="C22304" t="s">
        <v>22681</v>
      </c>
      <c r="D22304" t="s">
        <v>63517</v>
      </c>
      <c r="E22304" t="b">
        <v>0</v>
      </c>
      <c r="F22304" t="s">
        <v>11624</v>
      </c>
      <c r="G22304">
        <v>-16.725470000000001</v>
      </c>
      <c r="H22304">
        <v>-68.971190000000007</v>
      </c>
      <c r="I22304" t="s">
        <v>63518</v>
      </c>
      <c r="L22304">
        <v>0</v>
      </c>
      <c r="M22304">
        <v>0</v>
      </c>
      <c r="N22304">
        <v>0</v>
      </c>
      <c r="O22304" t="s">
        <v>14185</v>
      </c>
    </row>
    <row r="22305" spans="1:15">
      <c r="A22305" t="s">
        <v>50267</v>
      </c>
      <c r="B22305" t="s">
        <v>11615</v>
      </c>
      <c r="C22305" t="s">
        <v>27307</v>
      </c>
      <c r="D22305" t="s">
        <v>63519</v>
      </c>
      <c r="E22305" t="b">
        <v>0</v>
      </c>
      <c r="F22305" t="s">
        <v>11622</v>
      </c>
      <c r="L22305">
        <v>2</v>
      </c>
      <c r="M22305">
        <v>5</v>
      </c>
      <c r="N22305">
        <v>2</v>
      </c>
    </row>
    <row r="22306" spans="1:15">
      <c r="A22306" t="s">
        <v>63520</v>
      </c>
      <c r="B22306" t="s">
        <v>6742</v>
      </c>
      <c r="C22306" t="s">
        <v>21831</v>
      </c>
      <c r="D22306" t="s">
        <v>63521</v>
      </c>
      <c r="E22306" t="b">
        <v>0</v>
      </c>
      <c r="F22306" t="s">
        <v>11624</v>
      </c>
      <c r="G22306">
        <v>4.7858099999999997</v>
      </c>
      <c r="H22306">
        <v>8.5346299999999999</v>
      </c>
      <c r="I22306" t="s">
        <v>63522</v>
      </c>
      <c r="L22306">
        <v>0</v>
      </c>
      <c r="M22306">
        <v>0</v>
      </c>
      <c r="N22306">
        <v>0</v>
      </c>
      <c r="O22306" t="s">
        <v>11802</v>
      </c>
    </row>
    <row r="22307" spans="1:15">
      <c r="A22307" t="s">
        <v>63523</v>
      </c>
      <c r="B22307" t="s">
        <v>11615</v>
      </c>
      <c r="C22307" t="s">
        <v>44294</v>
      </c>
      <c r="D22307" t="s">
        <v>63524</v>
      </c>
      <c r="E22307" t="b">
        <v>0</v>
      </c>
      <c r="F22307" t="s">
        <v>11610</v>
      </c>
      <c r="L22307">
        <v>0</v>
      </c>
      <c r="M22307">
        <v>0</v>
      </c>
      <c r="N22307">
        <v>0</v>
      </c>
    </row>
    <row r="22308" spans="1:15">
      <c r="A22308" t="s">
        <v>63525</v>
      </c>
      <c r="B22308" t="s">
        <v>11615</v>
      </c>
      <c r="C22308" t="s">
        <v>50312</v>
      </c>
      <c r="D22308" t="s">
        <v>63526</v>
      </c>
      <c r="E22308" t="b">
        <v>0</v>
      </c>
      <c r="F22308" t="s">
        <v>11624</v>
      </c>
      <c r="G22308">
        <v>-4.8426499999999999</v>
      </c>
      <c r="H22308">
        <v>145.36199999999999</v>
      </c>
      <c r="I22308" t="s">
        <v>63527</v>
      </c>
      <c r="L22308">
        <v>0</v>
      </c>
      <c r="M22308">
        <v>0</v>
      </c>
      <c r="N22308">
        <v>0</v>
      </c>
      <c r="O22308" t="s">
        <v>11660</v>
      </c>
    </row>
    <row r="22309" spans="1:15">
      <c r="A22309" t="s">
        <v>63528</v>
      </c>
      <c r="B22309" t="s">
        <v>11615</v>
      </c>
      <c r="C22309" t="s">
        <v>15218</v>
      </c>
      <c r="D22309" t="s">
        <v>63529</v>
      </c>
      <c r="E22309" t="b">
        <v>0</v>
      </c>
      <c r="F22309" t="s">
        <v>11624</v>
      </c>
      <c r="G22309">
        <v>-6.3889800000000001</v>
      </c>
      <c r="H22309">
        <v>145.63300000000001</v>
      </c>
      <c r="I22309" t="s">
        <v>63530</v>
      </c>
      <c r="L22309">
        <v>0</v>
      </c>
      <c r="M22309">
        <v>0</v>
      </c>
      <c r="N22309">
        <v>0</v>
      </c>
      <c r="O22309" t="s">
        <v>11660</v>
      </c>
    </row>
    <row r="22310" spans="1:15">
      <c r="A22310" t="s">
        <v>63531</v>
      </c>
      <c r="B22310" t="s">
        <v>15132</v>
      </c>
      <c r="C22310" t="s">
        <v>15133</v>
      </c>
      <c r="D22310" t="s">
        <v>63532</v>
      </c>
      <c r="E22310" t="b">
        <v>0</v>
      </c>
      <c r="F22310" t="s">
        <v>11610</v>
      </c>
      <c r="L22310">
        <v>0</v>
      </c>
      <c r="M22310">
        <v>0</v>
      </c>
      <c r="N22310">
        <v>0</v>
      </c>
    </row>
    <row r="22311" spans="1:15">
      <c r="A22311" t="s">
        <v>63533</v>
      </c>
      <c r="B22311" t="s">
        <v>367</v>
      </c>
      <c r="C22311" t="s">
        <v>17128</v>
      </c>
      <c r="D22311" t="s">
        <v>63534</v>
      </c>
      <c r="E22311" t="b">
        <v>0</v>
      </c>
      <c r="F22311" t="s">
        <v>11610</v>
      </c>
      <c r="L22311">
        <v>0</v>
      </c>
      <c r="M22311">
        <v>0</v>
      </c>
      <c r="N22311">
        <v>0</v>
      </c>
    </row>
    <row r="22312" spans="1:15">
      <c r="A22312" t="s">
        <v>63535</v>
      </c>
      <c r="B22312" t="s">
        <v>6742</v>
      </c>
      <c r="C22312" t="s">
        <v>16658</v>
      </c>
      <c r="D22312" t="s">
        <v>63536</v>
      </c>
      <c r="E22312" t="b">
        <v>0</v>
      </c>
      <c r="F22312" t="s">
        <v>11610</v>
      </c>
      <c r="L22312">
        <v>0</v>
      </c>
      <c r="M22312">
        <v>0</v>
      </c>
      <c r="N22312">
        <v>0</v>
      </c>
    </row>
    <row r="22313" spans="1:15">
      <c r="A22313" t="s">
        <v>63537</v>
      </c>
      <c r="B22313" t="s">
        <v>11607</v>
      </c>
      <c r="C22313" t="s">
        <v>41699</v>
      </c>
      <c r="D22313" t="s">
        <v>63538</v>
      </c>
      <c r="E22313" t="b">
        <v>0</v>
      </c>
      <c r="F22313" t="s">
        <v>11610</v>
      </c>
      <c r="L22313">
        <v>0</v>
      </c>
      <c r="M22313">
        <v>0</v>
      </c>
      <c r="N22313">
        <v>0</v>
      </c>
    </row>
    <row r="22314" spans="1:15">
      <c r="A22314" t="s">
        <v>63539</v>
      </c>
      <c r="B22314" t="s">
        <v>11637</v>
      </c>
      <c r="C22314" t="s">
        <v>36932</v>
      </c>
      <c r="D22314" t="s">
        <v>63540</v>
      </c>
      <c r="E22314" t="b">
        <v>0</v>
      </c>
      <c r="F22314" t="s">
        <v>11624</v>
      </c>
      <c r="G22314">
        <v>35.1584</v>
      </c>
      <c r="H22314">
        <v>72.643000000000001</v>
      </c>
      <c r="I22314" t="s">
        <v>63541</v>
      </c>
      <c r="L22314">
        <v>0</v>
      </c>
      <c r="M22314">
        <v>0</v>
      </c>
      <c r="N22314">
        <v>0</v>
      </c>
      <c r="O22314" t="s">
        <v>12172</v>
      </c>
    </row>
    <row r="22315" spans="1:15">
      <c r="A22315" t="s">
        <v>63542</v>
      </c>
      <c r="B22315" t="s">
        <v>11637</v>
      </c>
      <c r="C22315" t="s">
        <v>24208</v>
      </c>
      <c r="D22315" t="s">
        <v>63543</v>
      </c>
      <c r="E22315" t="b">
        <v>0</v>
      </c>
      <c r="F22315" t="s">
        <v>11610</v>
      </c>
      <c r="L22315">
        <v>0</v>
      </c>
      <c r="M22315">
        <v>0</v>
      </c>
      <c r="N22315">
        <v>0</v>
      </c>
    </row>
    <row r="22316" spans="1:15">
      <c r="A22316" t="s">
        <v>63544</v>
      </c>
      <c r="B22316" t="s">
        <v>11879</v>
      </c>
      <c r="C22316" t="s">
        <v>22658</v>
      </c>
      <c r="D22316" t="s">
        <v>63545</v>
      </c>
      <c r="E22316" t="b">
        <v>0</v>
      </c>
      <c r="F22316" t="s">
        <v>11624</v>
      </c>
      <c r="G22316">
        <v>17.918399999999998</v>
      </c>
      <c r="H22316">
        <v>-96.407399999999996</v>
      </c>
      <c r="I22316" t="s">
        <v>63546</v>
      </c>
      <c r="L22316">
        <v>0</v>
      </c>
      <c r="M22316">
        <v>0</v>
      </c>
      <c r="N22316">
        <v>0</v>
      </c>
      <c r="O22316" t="s">
        <v>11883</v>
      </c>
    </row>
    <row r="22317" spans="1:15">
      <c r="A22317" t="s">
        <v>63547</v>
      </c>
      <c r="B22317" t="s">
        <v>12487</v>
      </c>
      <c r="C22317" t="s">
        <v>17169</v>
      </c>
      <c r="D22317" t="s">
        <v>63548</v>
      </c>
      <c r="E22317" t="b">
        <v>0</v>
      </c>
      <c r="F22317" t="s">
        <v>11610</v>
      </c>
      <c r="L22317">
        <v>0</v>
      </c>
      <c r="M22317">
        <v>0</v>
      </c>
      <c r="N22317">
        <v>0</v>
      </c>
    </row>
    <row r="22318" spans="1:15">
      <c r="A22318" t="s">
        <v>63549</v>
      </c>
      <c r="D22318" t="s">
        <v>63550</v>
      </c>
      <c r="E22318" t="b">
        <v>0</v>
      </c>
      <c r="F22318" t="s">
        <v>11624</v>
      </c>
      <c r="G22318">
        <v>-3.6385299999999998</v>
      </c>
      <c r="H22318">
        <v>140.50200000000001</v>
      </c>
      <c r="I22318" t="s">
        <v>63551</v>
      </c>
      <c r="L22318">
        <v>0</v>
      </c>
      <c r="M22318">
        <v>0</v>
      </c>
      <c r="N22318">
        <v>0</v>
      </c>
      <c r="O22318" t="s">
        <v>11768</v>
      </c>
    </row>
    <row r="22319" spans="1:15">
      <c r="A22319" t="s">
        <v>63552</v>
      </c>
      <c r="B22319" t="s">
        <v>6742</v>
      </c>
      <c r="C22319" t="s">
        <v>14957</v>
      </c>
      <c r="D22319" t="s">
        <v>63553</v>
      </c>
      <c r="E22319" t="b">
        <v>0</v>
      </c>
      <c r="F22319" t="s">
        <v>11610</v>
      </c>
      <c r="L22319">
        <v>0</v>
      </c>
      <c r="M22319">
        <v>0</v>
      </c>
      <c r="N22319">
        <v>0</v>
      </c>
    </row>
    <row r="22320" spans="1:15">
      <c r="A22320" t="s">
        <v>63554</v>
      </c>
      <c r="B22320" t="s">
        <v>5911</v>
      </c>
      <c r="C22320" t="s">
        <v>23406</v>
      </c>
      <c r="D22320" t="s">
        <v>63555</v>
      </c>
      <c r="E22320" t="b">
        <v>0</v>
      </c>
      <c r="F22320" t="s">
        <v>11624</v>
      </c>
      <c r="G22320">
        <v>15.364800000000001</v>
      </c>
      <c r="H22320">
        <v>-90.889300000000006</v>
      </c>
      <c r="I22320" t="s">
        <v>63556</v>
      </c>
      <c r="L22320">
        <v>0</v>
      </c>
      <c r="M22320">
        <v>0</v>
      </c>
      <c r="N22320">
        <v>0</v>
      </c>
      <c r="O22320" t="s">
        <v>11927</v>
      </c>
    </row>
    <row r="22321" spans="1:15">
      <c r="A22321" t="s">
        <v>63557</v>
      </c>
      <c r="B22321" t="s">
        <v>6742</v>
      </c>
      <c r="C22321" t="s">
        <v>35848</v>
      </c>
      <c r="D22321" t="s">
        <v>63558</v>
      </c>
      <c r="E22321" t="b">
        <v>0</v>
      </c>
      <c r="F22321" t="s">
        <v>11610</v>
      </c>
      <c r="L22321">
        <v>0</v>
      </c>
      <c r="M22321">
        <v>0</v>
      </c>
      <c r="N22321">
        <v>0</v>
      </c>
    </row>
    <row r="22322" spans="1:15">
      <c r="A22322" t="s">
        <v>63559</v>
      </c>
      <c r="B22322" t="s">
        <v>6742</v>
      </c>
      <c r="C22322" t="s">
        <v>27821</v>
      </c>
      <c r="D22322" t="s">
        <v>63560</v>
      </c>
      <c r="E22322" t="b">
        <v>0</v>
      </c>
      <c r="F22322" t="s">
        <v>11610</v>
      </c>
      <c r="L22322">
        <v>0</v>
      </c>
      <c r="M22322">
        <v>0</v>
      </c>
      <c r="N22322">
        <v>0</v>
      </c>
    </row>
    <row r="22323" spans="1:15">
      <c r="A22323" t="s">
        <v>63561</v>
      </c>
      <c r="B22323" t="s">
        <v>12686</v>
      </c>
      <c r="C22323" t="s">
        <v>319</v>
      </c>
      <c r="D22323" t="s">
        <v>63562</v>
      </c>
      <c r="E22323" t="b">
        <v>0</v>
      </c>
      <c r="F22323" t="s">
        <v>11610</v>
      </c>
      <c r="L22323">
        <v>0</v>
      </c>
      <c r="M22323">
        <v>0</v>
      </c>
      <c r="N22323">
        <v>0</v>
      </c>
    </row>
    <row r="22324" spans="1:15">
      <c r="A22324" t="s">
        <v>63563</v>
      </c>
      <c r="B22324" t="s">
        <v>367</v>
      </c>
      <c r="C22324" t="s">
        <v>27319</v>
      </c>
      <c r="D22324" t="s">
        <v>63564</v>
      </c>
      <c r="E22324" t="b">
        <v>0</v>
      </c>
      <c r="F22324" t="s">
        <v>11610</v>
      </c>
      <c r="L22324">
        <v>0</v>
      </c>
      <c r="M22324">
        <v>0</v>
      </c>
      <c r="N22324">
        <v>0</v>
      </c>
    </row>
    <row r="22325" spans="1:15">
      <c r="A22325" t="s">
        <v>63565</v>
      </c>
      <c r="B22325" t="s">
        <v>11644</v>
      </c>
      <c r="C22325" t="s">
        <v>36983</v>
      </c>
      <c r="D22325" t="s">
        <v>63566</v>
      </c>
      <c r="E22325" t="b">
        <v>0</v>
      </c>
      <c r="F22325" t="s">
        <v>11624</v>
      </c>
      <c r="G22325">
        <v>23.013100000000001</v>
      </c>
      <c r="H22325">
        <v>91.787899999999993</v>
      </c>
      <c r="I22325" t="s">
        <v>63567</v>
      </c>
      <c r="L22325">
        <v>0</v>
      </c>
      <c r="M22325">
        <v>0</v>
      </c>
      <c r="N22325">
        <v>0</v>
      </c>
      <c r="O22325" t="s">
        <v>17541</v>
      </c>
    </row>
    <row r="22326" spans="1:15">
      <c r="A22326" t="s">
        <v>63568</v>
      </c>
      <c r="B22326" t="s">
        <v>17101</v>
      </c>
      <c r="C22326" t="s">
        <v>29565</v>
      </c>
      <c r="D22326" t="s">
        <v>63569</v>
      </c>
      <c r="E22326" t="b">
        <v>0</v>
      </c>
      <c r="F22326" t="s">
        <v>11610</v>
      </c>
      <c r="L22326">
        <v>0</v>
      </c>
      <c r="M22326">
        <v>0</v>
      </c>
      <c r="N22326">
        <v>0</v>
      </c>
    </row>
    <row r="22327" spans="1:15">
      <c r="A22327" t="s">
        <v>63570</v>
      </c>
      <c r="B22327" t="s">
        <v>367</v>
      </c>
      <c r="C22327" t="s">
        <v>15325</v>
      </c>
      <c r="D22327" t="s">
        <v>63571</v>
      </c>
      <c r="E22327" t="b">
        <v>0</v>
      </c>
      <c r="F22327" t="s">
        <v>11610</v>
      </c>
      <c r="L22327">
        <v>0</v>
      </c>
      <c r="M22327">
        <v>0</v>
      </c>
      <c r="N22327">
        <v>0</v>
      </c>
    </row>
    <row r="22328" spans="1:15">
      <c r="A22328" t="s">
        <v>63572</v>
      </c>
      <c r="B22328" t="s">
        <v>6742</v>
      </c>
      <c r="C22328" t="s">
        <v>17908</v>
      </c>
      <c r="D22328" t="s">
        <v>63573</v>
      </c>
      <c r="E22328" t="b">
        <v>0</v>
      </c>
      <c r="F22328" t="s">
        <v>11610</v>
      </c>
      <c r="G22328">
        <v>-9.4366000000000003</v>
      </c>
      <c r="H22328">
        <v>34.709180000000003</v>
      </c>
      <c r="L22328">
        <v>0</v>
      </c>
      <c r="M22328">
        <v>0</v>
      </c>
      <c r="N22328">
        <v>0</v>
      </c>
    </row>
    <row r="22329" spans="1:15">
      <c r="A22329" t="s">
        <v>63574</v>
      </c>
      <c r="B22329" t="s">
        <v>11615</v>
      </c>
      <c r="C22329" t="s">
        <v>51625</v>
      </c>
      <c r="D22329" t="s">
        <v>63575</v>
      </c>
      <c r="E22329" t="b">
        <v>0</v>
      </c>
      <c r="F22329" t="s">
        <v>11624</v>
      </c>
      <c r="G22329">
        <v>-4.8275600000000001</v>
      </c>
      <c r="H22329">
        <v>144.92400000000001</v>
      </c>
      <c r="I22329" t="s">
        <v>63576</v>
      </c>
      <c r="L22329">
        <v>0</v>
      </c>
      <c r="M22329">
        <v>0</v>
      </c>
      <c r="N22329">
        <v>0</v>
      </c>
      <c r="O22329" t="s">
        <v>11660</v>
      </c>
    </row>
    <row r="22330" spans="1:15">
      <c r="A22330" t="s">
        <v>63577</v>
      </c>
      <c r="B22330" t="s">
        <v>12751</v>
      </c>
      <c r="C22330" t="s">
        <v>22397</v>
      </c>
      <c r="D22330" t="s">
        <v>1975</v>
      </c>
      <c r="E22330" t="b">
        <v>0</v>
      </c>
      <c r="F22330" t="s">
        <v>11610</v>
      </c>
      <c r="G22330">
        <v>39.916145</v>
      </c>
      <c r="H22330">
        <v>-119.336882</v>
      </c>
      <c r="L22330">
        <v>0</v>
      </c>
      <c r="M22330">
        <v>0</v>
      </c>
      <c r="N22330">
        <v>0</v>
      </c>
    </row>
    <row r="22331" spans="1:15">
      <c r="A22331" t="s">
        <v>63578</v>
      </c>
      <c r="B22331" t="s">
        <v>6742</v>
      </c>
      <c r="C22331" t="s">
        <v>17908</v>
      </c>
      <c r="D22331" t="s">
        <v>63579</v>
      </c>
      <c r="E22331" t="b">
        <v>0</v>
      </c>
      <c r="F22331" t="s">
        <v>11610</v>
      </c>
      <c r="G22331">
        <v>-8.9492399999999996</v>
      </c>
      <c r="H22331">
        <v>34.767539999999997</v>
      </c>
      <c r="L22331">
        <v>0</v>
      </c>
      <c r="M22331">
        <v>0</v>
      </c>
      <c r="N22331">
        <v>0</v>
      </c>
    </row>
    <row r="22332" spans="1:15">
      <c r="A22332" t="s">
        <v>22397</v>
      </c>
      <c r="B22332" t="s">
        <v>12751</v>
      </c>
      <c r="C22332" t="s">
        <v>35525</v>
      </c>
      <c r="D22332" t="s">
        <v>63580</v>
      </c>
      <c r="E22332" t="b">
        <v>0</v>
      </c>
      <c r="F22332" t="s">
        <v>11624</v>
      </c>
      <c r="G22332">
        <v>40.096499999999999</v>
      </c>
      <c r="H22332">
        <v>-110.30500000000001</v>
      </c>
      <c r="I22332" t="s">
        <v>63581</v>
      </c>
      <c r="L22332">
        <v>0</v>
      </c>
      <c r="M22332">
        <v>0</v>
      </c>
      <c r="N22332">
        <v>3</v>
      </c>
      <c r="O22332" t="s">
        <v>11944</v>
      </c>
    </row>
    <row r="22333" spans="1:15">
      <c r="A22333" t="s">
        <v>63582</v>
      </c>
      <c r="B22333" t="s">
        <v>6742</v>
      </c>
      <c r="C22333" t="s">
        <v>15272</v>
      </c>
      <c r="D22333" t="s">
        <v>63583</v>
      </c>
      <c r="E22333" t="b">
        <v>0</v>
      </c>
      <c r="F22333" t="s">
        <v>11610</v>
      </c>
      <c r="L22333">
        <v>0</v>
      </c>
      <c r="M22333">
        <v>0</v>
      </c>
      <c r="N22333">
        <v>0</v>
      </c>
    </row>
    <row r="22334" spans="1:15">
      <c r="A22334" t="s">
        <v>63584</v>
      </c>
      <c r="B22334" t="s">
        <v>11844</v>
      </c>
      <c r="C22334" t="s">
        <v>12435</v>
      </c>
      <c r="D22334" t="s">
        <v>63585</v>
      </c>
      <c r="E22334" t="b">
        <v>0</v>
      </c>
      <c r="F22334" t="s">
        <v>11610</v>
      </c>
      <c r="L22334">
        <v>0</v>
      </c>
      <c r="M22334">
        <v>0</v>
      </c>
      <c r="N22334">
        <v>0</v>
      </c>
    </row>
    <row r="22335" spans="1:15">
      <c r="A22335" t="s">
        <v>63586</v>
      </c>
      <c r="B22335" t="s">
        <v>11844</v>
      </c>
      <c r="C22335" t="s">
        <v>14803</v>
      </c>
      <c r="D22335" t="s">
        <v>63587</v>
      </c>
      <c r="E22335" t="b">
        <v>0</v>
      </c>
      <c r="F22335" t="s">
        <v>11610</v>
      </c>
      <c r="L22335">
        <v>0</v>
      </c>
      <c r="M22335">
        <v>0</v>
      </c>
      <c r="N22335">
        <v>0</v>
      </c>
    </row>
    <row r="22336" spans="1:15">
      <c r="A22336" t="s">
        <v>12751</v>
      </c>
      <c r="D22336" t="s">
        <v>63588</v>
      </c>
      <c r="E22336" t="b">
        <v>0</v>
      </c>
      <c r="F22336" t="s">
        <v>11622</v>
      </c>
      <c r="L22336">
        <v>36</v>
      </c>
      <c r="M22336">
        <v>69</v>
      </c>
      <c r="N22336">
        <v>33</v>
      </c>
    </row>
    <row r="22337" spans="1:15">
      <c r="A22337" t="s">
        <v>63589</v>
      </c>
      <c r="B22337" t="s">
        <v>11637</v>
      </c>
      <c r="C22337" t="s">
        <v>22036</v>
      </c>
      <c r="D22337" t="s">
        <v>63590</v>
      </c>
      <c r="E22337" t="b">
        <v>0</v>
      </c>
      <c r="F22337" t="s">
        <v>11610</v>
      </c>
      <c r="L22337">
        <v>0</v>
      </c>
      <c r="M22337">
        <v>0</v>
      </c>
      <c r="N22337">
        <v>0</v>
      </c>
    </row>
    <row r="22338" spans="1:15">
      <c r="A22338" t="s">
        <v>63591</v>
      </c>
      <c r="B22338" t="s">
        <v>11644</v>
      </c>
      <c r="C22338" t="s">
        <v>24313</v>
      </c>
      <c r="D22338" t="s">
        <v>63592</v>
      </c>
      <c r="E22338" t="b">
        <v>0</v>
      </c>
      <c r="F22338" t="s">
        <v>11610</v>
      </c>
      <c r="L22338">
        <v>0</v>
      </c>
      <c r="M22338">
        <v>0</v>
      </c>
      <c r="N22338">
        <v>0</v>
      </c>
    </row>
    <row r="22339" spans="1:15">
      <c r="A22339" t="s">
        <v>63593</v>
      </c>
      <c r="B22339" t="s">
        <v>11637</v>
      </c>
      <c r="C22339" t="s">
        <v>15309</v>
      </c>
      <c r="D22339" t="s">
        <v>63594</v>
      </c>
      <c r="E22339" t="b">
        <v>0</v>
      </c>
      <c r="F22339" t="s">
        <v>11610</v>
      </c>
      <c r="L22339">
        <v>0</v>
      </c>
      <c r="M22339">
        <v>0</v>
      </c>
      <c r="N22339">
        <v>0</v>
      </c>
    </row>
    <row r="22340" spans="1:15">
      <c r="A22340" t="s">
        <v>63595</v>
      </c>
      <c r="B22340" t="s">
        <v>367</v>
      </c>
      <c r="C22340" t="s">
        <v>28717</v>
      </c>
      <c r="D22340" t="s">
        <v>63596</v>
      </c>
      <c r="E22340" t="b">
        <v>0</v>
      </c>
      <c r="F22340" t="s">
        <v>11610</v>
      </c>
      <c r="L22340">
        <v>0</v>
      </c>
      <c r="M22340">
        <v>0</v>
      </c>
      <c r="N22340">
        <v>0</v>
      </c>
    </row>
    <row r="22341" spans="1:15">
      <c r="A22341" t="s">
        <v>63597</v>
      </c>
      <c r="B22341" t="s">
        <v>6742</v>
      </c>
      <c r="C22341" t="s">
        <v>12225</v>
      </c>
      <c r="D22341" t="s">
        <v>63598</v>
      </c>
      <c r="E22341" t="b">
        <v>0</v>
      </c>
      <c r="F22341" t="s">
        <v>11610</v>
      </c>
      <c r="L22341">
        <v>0</v>
      </c>
      <c r="M22341">
        <v>0</v>
      </c>
      <c r="N22341">
        <v>0</v>
      </c>
    </row>
    <row r="22342" spans="1:15">
      <c r="A22342" t="s">
        <v>63599</v>
      </c>
      <c r="B22342" t="s">
        <v>6742</v>
      </c>
      <c r="C22342" t="s">
        <v>18365</v>
      </c>
      <c r="D22342" t="s">
        <v>63600</v>
      </c>
      <c r="E22342" t="b">
        <v>0</v>
      </c>
      <c r="F22342" t="s">
        <v>11610</v>
      </c>
      <c r="L22342">
        <v>0</v>
      </c>
      <c r="M22342">
        <v>0</v>
      </c>
      <c r="N22342">
        <v>0</v>
      </c>
    </row>
    <row r="22343" spans="1:15">
      <c r="A22343" t="s">
        <v>60159</v>
      </c>
      <c r="B22343" t="s">
        <v>367</v>
      </c>
      <c r="C22343" t="s">
        <v>54397</v>
      </c>
      <c r="D22343" t="s">
        <v>63601</v>
      </c>
      <c r="E22343" t="b">
        <v>0</v>
      </c>
      <c r="F22343" t="s">
        <v>11622</v>
      </c>
      <c r="L22343">
        <v>1</v>
      </c>
      <c r="M22343">
        <v>6</v>
      </c>
      <c r="N22343">
        <v>0</v>
      </c>
    </row>
    <row r="22344" spans="1:15">
      <c r="A22344" t="s">
        <v>13343</v>
      </c>
      <c r="B22344" t="s">
        <v>367</v>
      </c>
      <c r="C22344" t="s">
        <v>60159</v>
      </c>
      <c r="D22344" t="s">
        <v>63602</v>
      </c>
      <c r="E22344" t="b">
        <v>0</v>
      </c>
      <c r="F22344" t="s">
        <v>11622</v>
      </c>
      <c r="L22344">
        <v>0</v>
      </c>
      <c r="M22344">
        <v>3</v>
      </c>
      <c r="N22344">
        <v>0</v>
      </c>
    </row>
    <row r="22345" spans="1:15">
      <c r="A22345" t="s">
        <v>63603</v>
      </c>
      <c r="B22345" t="s">
        <v>11615</v>
      </c>
      <c r="C22345" t="s">
        <v>57288</v>
      </c>
      <c r="D22345" t="s">
        <v>63604</v>
      </c>
      <c r="E22345" t="b">
        <v>0</v>
      </c>
      <c r="F22345" t="s">
        <v>11624</v>
      </c>
      <c r="G22345">
        <v>-5.1642200000000003</v>
      </c>
      <c r="H22345">
        <v>145.54400000000001</v>
      </c>
      <c r="I22345" t="s">
        <v>63605</v>
      </c>
      <c r="L22345">
        <v>0</v>
      </c>
      <c r="M22345">
        <v>0</v>
      </c>
      <c r="N22345">
        <v>0</v>
      </c>
      <c r="O22345" t="s">
        <v>11660</v>
      </c>
    </row>
    <row r="22346" spans="1:15">
      <c r="A22346" t="s">
        <v>63606</v>
      </c>
      <c r="B22346" t="s">
        <v>12438</v>
      </c>
      <c r="C22346" t="s">
        <v>30841</v>
      </c>
      <c r="D22346" t="s">
        <v>63607</v>
      </c>
      <c r="E22346" t="b">
        <v>0</v>
      </c>
      <c r="F22346" t="s">
        <v>11610</v>
      </c>
      <c r="L22346">
        <v>0</v>
      </c>
      <c r="M22346">
        <v>0</v>
      </c>
      <c r="N22346">
        <v>0</v>
      </c>
    </row>
    <row r="22347" spans="1:15">
      <c r="A22347" t="s">
        <v>63608</v>
      </c>
      <c r="B22347" t="s">
        <v>12438</v>
      </c>
      <c r="C22347" t="s">
        <v>13839</v>
      </c>
      <c r="D22347" t="s">
        <v>63609</v>
      </c>
      <c r="E22347" t="b">
        <v>0</v>
      </c>
      <c r="F22347" t="s">
        <v>11624</v>
      </c>
      <c r="G22347">
        <v>22.6767</v>
      </c>
      <c r="H22347">
        <v>101.77200000000001</v>
      </c>
      <c r="I22347" t="s">
        <v>63610</v>
      </c>
      <c r="L22347">
        <v>0</v>
      </c>
      <c r="M22347">
        <v>0</v>
      </c>
      <c r="N22347">
        <v>0</v>
      </c>
      <c r="O22347" t="s">
        <v>11905</v>
      </c>
    </row>
    <row r="22348" spans="1:15">
      <c r="A22348" t="s">
        <v>63611</v>
      </c>
      <c r="B22348" t="s">
        <v>6742</v>
      </c>
      <c r="C22348" t="s">
        <v>27371</v>
      </c>
      <c r="D22348" t="s">
        <v>63612</v>
      </c>
      <c r="E22348" t="b">
        <v>0</v>
      </c>
      <c r="F22348" t="s">
        <v>11624</v>
      </c>
      <c r="G22348">
        <v>5.4426300000000003</v>
      </c>
      <c r="H22348">
        <v>5.7730300000000003</v>
      </c>
      <c r="I22348" t="s">
        <v>63613</v>
      </c>
      <c r="L22348">
        <v>0</v>
      </c>
      <c r="M22348">
        <v>0</v>
      </c>
      <c r="N22348">
        <v>0</v>
      </c>
      <c r="O22348" t="s">
        <v>11693</v>
      </c>
    </row>
    <row r="22349" spans="1:15">
      <c r="A22349" t="s">
        <v>63614</v>
      </c>
      <c r="B22349" t="s">
        <v>367</v>
      </c>
      <c r="C22349" t="s">
        <v>31442</v>
      </c>
      <c r="D22349" t="s">
        <v>63615</v>
      </c>
      <c r="E22349" t="b">
        <v>0</v>
      </c>
      <c r="F22349" t="s">
        <v>11610</v>
      </c>
      <c r="L22349">
        <v>0</v>
      </c>
      <c r="M22349">
        <v>0</v>
      </c>
      <c r="N22349">
        <v>0</v>
      </c>
    </row>
    <row r="22350" spans="1:15">
      <c r="A22350" t="s">
        <v>63616</v>
      </c>
      <c r="B22350" t="s">
        <v>6742</v>
      </c>
      <c r="C22350" t="s">
        <v>15118</v>
      </c>
      <c r="D22350" t="s">
        <v>63617</v>
      </c>
      <c r="E22350" t="b">
        <v>0</v>
      </c>
      <c r="F22350" t="s">
        <v>11610</v>
      </c>
      <c r="L22350">
        <v>0</v>
      </c>
      <c r="M22350">
        <v>0</v>
      </c>
      <c r="N22350">
        <v>0</v>
      </c>
    </row>
    <row r="22351" spans="1:15">
      <c r="A22351" t="s">
        <v>63618</v>
      </c>
      <c r="B22351" t="s">
        <v>9897</v>
      </c>
      <c r="C22351" t="s">
        <v>63155</v>
      </c>
      <c r="D22351" t="s">
        <v>63619</v>
      </c>
      <c r="E22351" t="b">
        <v>0</v>
      </c>
      <c r="F22351" t="s">
        <v>11624</v>
      </c>
      <c r="L22351">
        <v>0</v>
      </c>
      <c r="M22351">
        <v>0</v>
      </c>
      <c r="N22351">
        <v>0</v>
      </c>
      <c r="O22351" t="s">
        <v>12107</v>
      </c>
    </row>
    <row r="22352" spans="1:15">
      <c r="A22352" t="s">
        <v>63620</v>
      </c>
      <c r="B22352" t="s">
        <v>11615</v>
      </c>
      <c r="C22352" t="s">
        <v>25442</v>
      </c>
      <c r="D22352" t="s">
        <v>63621</v>
      </c>
      <c r="E22352" t="b">
        <v>0</v>
      </c>
      <c r="F22352" t="s">
        <v>11624</v>
      </c>
      <c r="G22352">
        <v>-5.3224600000000004</v>
      </c>
      <c r="H22352">
        <v>145.47</v>
      </c>
      <c r="I22352" t="s">
        <v>63622</v>
      </c>
      <c r="L22352">
        <v>0</v>
      </c>
      <c r="M22352">
        <v>0</v>
      </c>
      <c r="N22352">
        <v>0</v>
      </c>
      <c r="O22352" t="s">
        <v>11660</v>
      </c>
    </row>
    <row r="22353" spans="1:15">
      <c r="A22353" t="s">
        <v>62820</v>
      </c>
      <c r="B22353" t="s">
        <v>331</v>
      </c>
      <c r="C22353" t="s">
        <v>5224</v>
      </c>
      <c r="D22353" t="s">
        <v>63623</v>
      </c>
      <c r="E22353" t="b">
        <v>0</v>
      </c>
      <c r="F22353" t="s">
        <v>11622</v>
      </c>
      <c r="L22353">
        <v>2</v>
      </c>
      <c r="M22353">
        <v>4</v>
      </c>
      <c r="N22353">
        <v>12</v>
      </c>
    </row>
    <row r="22354" spans="1:15">
      <c r="A22354" t="s">
        <v>5224</v>
      </c>
      <c r="B22354" t="s">
        <v>331</v>
      </c>
      <c r="C22354" t="s">
        <v>35210</v>
      </c>
      <c r="D22354" t="s">
        <v>63624</v>
      </c>
      <c r="E22354" t="b">
        <v>0</v>
      </c>
      <c r="F22354" t="s">
        <v>11622</v>
      </c>
      <c r="L22354">
        <v>3</v>
      </c>
      <c r="M22354">
        <v>5</v>
      </c>
      <c r="N22354">
        <v>12</v>
      </c>
    </row>
    <row r="22355" spans="1:15">
      <c r="A22355" t="s">
        <v>63625</v>
      </c>
      <c r="B22355" t="s">
        <v>6742</v>
      </c>
      <c r="C22355" t="s">
        <v>15118</v>
      </c>
      <c r="D22355" t="s">
        <v>63626</v>
      </c>
      <c r="E22355" t="b">
        <v>0</v>
      </c>
      <c r="F22355" t="s">
        <v>11610</v>
      </c>
      <c r="L22355">
        <v>0</v>
      </c>
      <c r="M22355">
        <v>0</v>
      </c>
      <c r="N22355">
        <v>0</v>
      </c>
    </row>
    <row r="22356" spans="1:15">
      <c r="A22356" t="s">
        <v>4977</v>
      </c>
      <c r="B22356" t="s">
        <v>331</v>
      </c>
      <c r="C22356" t="s">
        <v>62820</v>
      </c>
      <c r="D22356" t="s">
        <v>63627</v>
      </c>
      <c r="E22356" t="b">
        <v>0</v>
      </c>
      <c r="F22356" t="s">
        <v>11622</v>
      </c>
      <c r="I22356" t="s">
        <v>5812</v>
      </c>
      <c r="L22356">
        <v>0</v>
      </c>
      <c r="M22356">
        <v>2</v>
      </c>
      <c r="N22356">
        <v>0</v>
      </c>
      <c r="O22356" t="s">
        <v>20164</v>
      </c>
    </row>
    <row r="22357" spans="1:15">
      <c r="A22357" t="s">
        <v>20675</v>
      </c>
      <c r="B22357" t="s">
        <v>11607</v>
      </c>
      <c r="C22357" t="s">
        <v>12196</v>
      </c>
      <c r="D22357" t="s">
        <v>63628</v>
      </c>
      <c r="E22357" t="b">
        <v>0</v>
      </c>
      <c r="F22357" t="s">
        <v>11624</v>
      </c>
      <c r="G22357">
        <v>40.261200000000002</v>
      </c>
      <c r="H22357">
        <v>65.386399999999995</v>
      </c>
      <c r="I22357" t="s">
        <v>63629</v>
      </c>
      <c r="L22357">
        <v>0</v>
      </c>
      <c r="M22357">
        <v>0</v>
      </c>
      <c r="N22357">
        <v>2</v>
      </c>
      <c r="O22357" t="s">
        <v>20164</v>
      </c>
    </row>
    <row r="22358" spans="1:15">
      <c r="A22358" t="s">
        <v>63630</v>
      </c>
      <c r="B22358" t="s">
        <v>11637</v>
      </c>
      <c r="C22358" t="s">
        <v>12947</v>
      </c>
      <c r="D22358" t="s">
        <v>63631</v>
      </c>
      <c r="E22358" t="b">
        <v>0</v>
      </c>
      <c r="F22358" t="s">
        <v>11610</v>
      </c>
      <c r="L22358">
        <v>0</v>
      </c>
      <c r="M22358">
        <v>0</v>
      </c>
      <c r="N22358">
        <v>0</v>
      </c>
    </row>
    <row r="22359" spans="1:15">
      <c r="A22359" t="s">
        <v>63632</v>
      </c>
      <c r="B22359" t="s">
        <v>6742</v>
      </c>
      <c r="C22359" t="s">
        <v>37999</v>
      </c>
      <c r="D22359" t="s">
        <v>63633</v>
      </c>
      <c r="E22359" t="b">
        <v>0</v>
      </c>
      <c r="F22359" t="s">
        <v>11624</v>
      </c>
      <c r="G22359">
        <v>6.5884099999999997</v>
      </c>
      <c r="H22359">
        <v>8.3139900000000004</v>
      </c>
      <c r="I22359" t="s">
        <v>63634</v>
      </c>
      <c r="L22359">
        <v>0</v>
      </c>
      <c r="M22359">
        <v>0</v>
      </c>
      <c r="N22359">
        <v>0</v>
      </c>
      <c r="O22359" t="s">
        <v>11693</v>
      </c>
    </row>
    <row r="22360" spans="1:15">
      <c r="A22360" t="s">
        <v>63635</v>
      </c>
      <c r="B22360" t="s">
        <v>6742</v>
      </c>
      <c r="C22360" t="s">
        <v>15272</v>
      </c>
      <c r="D22360" t="s">
        <v>63636</v>
      </c>
      <c r="E22360" t="b">
        <v>0</v>
      </c>
      <c r="F22360" t="s">
        <v>11610</v>
      </c>
      <c r="L22360">
        <v>0</v>
      </c>
      <c r="M22360">
        <v>0</v>
      </c>
      <c r="N22360">
        <v>0</v>
      </c>
    </row>
    <row r="22361" spans="1:15">
      <c r="A22361" t="s">
        <v>63637</v>
      </c>
      <c r="B22361" t="s">
        <v>11637</v>
      </c>
      <c r="C22361" t="s">
        <v>20403</v>
      </c>
      <c r="D22361" t="s">
        <v>63638</v>
      </c>
      <c r="E22361" t="b">
        <v>0</v>
      </c>
      <c r="F22361" t="s">
        <v>11610</v>
      </c>
      <c r="L22361">
        <v>0</v>
      </c>
      <c r="M22361">
        <v>0</v>
      </c>
      <c r="N22361">
        <v>0</v>
      </c>
    </row>
    <row r="22362" spans="1:15">
      <c r="A22362" t="s">
        <v>63639</v>
      </c>
      <c r="B22362" t="s">
        <v>11637</v>
      </c>
      <c r="C22362" t="s">
        <v>1274</v>
      </c>
      <c r="D22362" t="s">
        <v>63640</v>
      </c>
      <c r="E22362" t="b">
        <v>0</v>
      </c>
      <c r="F22362" t="s">
        <v>11624</v>
      </c>
      <c r="G22362">
        <v>12.215</v>
      </c>
      <c r="H22362">
        <v>79.533500000000004</v>
      </c>
      <c r="I22362" t="s">
        <v>63641</v>
      </c>
      <c r="L22362">
        <v>0</v>
      </c>
      <c r="M22362">
        <v>0</v>
      </c>
      <c r="N22362">
        <v>0</v>
      </c>
      <c r="O22362" t="s">
        <v>11630</v>
      </c>
    </row>
    <row r="22363" spans="1:15">
      <c r="A22363" t="s">
        <v>63642</v>
      </c>
      <c r="B22363" t="s">
        <v>15146</v>
      </c>
      <c r="C22363" t="s">
        <v>38738</v>
      </c>
      <c r="D22363" t="s">
        <v>63643</v>
      </c>
      <c r="E22363" t="b">
        <v>0</v>
      </c>
      <c r="F22363" t="s">
        <v>11624</v>
      </c>
      <c r="I22363" t="s">
        <v>63644</v>
      </c>
      <c r="L22363">
        <v>0</v>
      </c>
      <c r="M22363">
        <v>0</v>
      </c>
      <c r="N22363">
        <v>0</v>
      </c>
      <c r="O22363" t="s">
        <v>21031</v>
      </c>
    </row>
    <row r="22364" spans="1:15">
      <c r="A22364" t="s">
        <v>63645</v>
      </c>
      <c r="B22364" t="s">
        <v>6742</v>
      </c>
      <c r="C22364" t="s">
        <v>19556</v>
      </c>
      <c r="D22364" t="s">
        <v>63646</v>
      </c>
      <c r="E22364" t="b">
        <v>0</v>
      </c>
      <c r="F22364" t="s">
        <v>11610</v>
      </c>
      <c r="L22364">
        <v>0</v>
      </c>
      <c r="M22364">
        <v>0</v>
      </c>
      <c r="N22364">
        <v>0</v>
      </c>
    </row>
    <row r="22365" spans="1:15">
      <c r="A22365" t="s">
        <v>63647</v>
      </c>
      <c r="B22365" t="s">
        <v>12260</v>
      </c>
      <c r="C22365" t="s">
        <v>27730</v>
      </c>
      <c r="D22365" t="s">
        <v>63648</v>
      </c>
      <c r="E22365" t="b">
        <v>0</v>
      </c>
      <c r="F22365" t="s">
        <v>11610</v>
      </c>
      <c r="L22365">
        <v>0</v>
      </c>
      <c r="M22365">
        <v>0</v>
      </c>
      <c r="N22365">
        <v>0</v>
      </c>
    </row>
    <row r="22366" spans="1:15">
      <c r="A22366" t="s">
        <v>63649</v>
      </c>
      <c r="B22366" t="s">
        <v>11844</v>
      </c>
      <c r="C22366" t="s">
        <v>2278</v>
      </c>
      <c r="D22366" t="s">
        <v>63650</v>
      </c>
      <c r="E22366" t="b">
        <v>0</v>
      </c>
      <c r="F22366" t="s">
        <v>11610</v>
      </c>
      <c r="L22366">
        <v>0</v>
      </c>
      <c r="M22366">
        <v>0</v>
      </c>
      <c r="N22366">
        <v>0</v>
      </c>
    </row>
    <row r="22367" spans="1:15">
      <c r="A22367" t="s">
        <v>63651</v>
      </c>
      <c r="B22367" t="s">
        <v>11844</v>
      </c>
      <c r="C22367" t="s">
        <v>2278</v>
      </c>
      <c r="D22367" t="s">
        <v>63652</v>
      </c>
      <c r="E22367" t="b">
        <v>0</v>
      </c>
      <c r="F22367" t="s">
        <v>11610</v>
      </c>
      <c r="L22367">
        <v>0</v>
      </c>
      <c r="M22367">
        <v>0</v>
      </c>
      <c r="N22367">
        <v>0</v>
      </c>
    </row>
    <row r="22368" spans="1:15">
      <c r="A22368" t="s">
        <v>63653</v>
      </c>
      <c r="B22368" t="s">
        <v>6742</v>
      </c>
      <c r="C22368" t="s">
        <v>41944</v>
      </c>
      <c r="D22368" t="s">
        <v>63654</v>
      </c>
      <c r="E22368" t="b">
        <v>0</v>
      </c>
      <c r="F22368" t="s">
        <v>11610</v>
      </c>
      <c r="L22368">
        <v>0</v>
      </c>
      <c r="M22368">
        <v>0</v>
      </c>
      <c r="N22368">
        <v>0</v>
      </c>
    </row>
    <row r="22369" spans="1:15">
      <c r="A22369" t="s">
        <v>63655</v>
      </c>
      <c r="B22369" t="s">
        <v>367</v>
      </c>
      <c r="C22369" t="s">
        <v>61414</v>
      </c>
      <c r="D22369" t="s">
        <v>63656</v>
      </c>
      <c r="E22369" t="b">
        <v>0</v>
      </c>
      <c r="F22369" t="s">
        <v>11610</v>
      </c>
      <c r="L22369">
        <v>0</v>
      </c>
      <c r="M22369">
        <v>0</v>
      </c>
      <c r="N22369">
        <v>0</v>
      </c>
    </row>
    <row r="22370" spans="1:15">
      <c r="A22370" t="s">
        <v>63657</v>
      </c>
      <c r="B22370" t="s">
        <v>367</v>
      </c>
      <c r="C22370" t="s">
        <v>61414</v>
      </c>
      <c r="D22370" t="s">
        <v>63658</v>
      </c>
      <c r="E22370" t="b">
        <v>0</v>
      </c>
      <c r="F22370" t="s">
        <v>11610</v>
      </c>
      <c r="L22370">
        <v>0</v>
      </c>
      <c r="M22370">
        <v>0</v>
      </c>
      <c r="N22370">
        <v>0</v>
      </c>
    </row>
    <row r="22371" spans="1:15">
      <c r="A22371" t="s">
        <v>63659</v>
      </c>
      <c r="B22371" t="s">
        <v>367</v>
      </c>
      <c r="C22371" t="s">
        <v>61414</v>
      </c>
      <c r="D22371" t="s">
        <v>63660</v>
      </c>
      <c r="E22371" t="b">
        <v>0</v>
      </c>
      <c r="F22371" t="s">
        <v>11610</v>
      </c>
      <c r="L22371">
        <v>0</v>
      </c>
      <c r="M22371">
        <v>0</v>
      </c>
      <c r="N22371">
        <v>0</v>
      </c>
    </row>
    <row r="22372" spans="1:15">
      <c r="A22372" t="s">
        <v>63661</v>
      </c>
      <c r="B22372" t="s">
        <v>11637</v>
      </c>
      <c r="C22372" t="s">
        <v>14786</v>
      </c>
      <c r="D22372" t="s">
        <v>63662</v>
      </c>
      <c r="E22372" t="b">
        <v>0</v>
      </c>
      <c r="F22372" t="s">
        <v>11624</v>
      </c>
      <c r="G22372">
        <v>34.530900000000003</v>
      </c>
      <c r="H22372">
        <v>50.001300000000001</v>
      </c>
      <c r="I22372" t="s">
        <v>63663</v>
      </c>
      <c r="L22372">
        <v>0</v>
      </c>
      <c r="M22372">
        <v>0</v>
      </c>
      <c r="N22372">
        <v>0</v>
      </c>
      <c r="O22372" t="s">
        <v>13225</v>
      </c>
    </row>
    <row r="22373" spans="1:15">
      <c r="A22373" t="s">
        <v>14786</v>
      </c>
      <c r="B22373" t="s">
        <v>11637</v>
      </c>
      <c r="C22373" t="s">
        <v>13222</v>
      </c>
      <c r="D22373" t="s">
        <v>63664</v>
      </c>
      <c r="E22373" t="b">
        <v>0</v>
      </c>
      <c r="F22373" t="s">
        <v>11622</v>
      </c>
      <c r="L22373">
        <v>0</v>
      </c>
      <c r="M22373">
        <v>2</v>
      </c>
      <c r="N22373">
        <v>2</v>
      </c>
    </row>
    <row r="22374" spans="1:15">
      <c r="A22374" t="s">
        <v>63665</v>
      </c>
      <c r="B22374" t="s">
        <v>11637</v>
      </c>
      <c r="C22374" t="s">
        <v>12169</v>
      </c>
      <c r="D22374" t="s">
        <v>63666</v>
      </c>
      <c r="E22374" t="b">
        <v>0</v>
      </c>
      <c r="F22374" t="s">
        <v>11624</v>
      </c>
      <c r="G22374">
        <v>26.1404</v>
      </c>
      <c r="H22374">
        <v>68.605099999999993</v>
      </c>
      <c r="I22374" t="s">
        <v>63667</v>
      </c>
      <c r="L22374">
        <v>0</v>
      </c>
      <c r="M22374">
        <v>0</v>
      </c>
      <c r="N22374">
        <v>0</v>
      </c>
      <c r="O22374" t="s">
        <v>12172</v>
      </c>
    </row>
    <row r="22375" spans="1:15">
      <c r="A22375" t="s">
        <v>18515</v>
      </c>
      <c r="B22375" t="s">
        <v>6742</v>
      </c>
      <c r="C22375" t="s">
        <v>38664</v>
      </c>
      <c r="D22375" t="s">
        <v>63668</v>
      </c>
      <c r="E22375" t="b">
        <v>0</v>
      </c>
      <c r="F22375" t="s">
        <v>11624</v>
      </c>
      <c r="G22375">
        <v>9.6464800000000004</v>
      </c>
      <c r="H22375">
        <v>9.5654699999999995</v>
      </c>
      <c r="I22375" t="s">
        <v>63669</v>
      </c>
      <c r="L22375">
        <v>0</v>
      </c>
      <c r="M22375">
        <v>0</v>
      </c>
      <c r="N22375">
        <v>4</v>
      </c>
      <c r="O22375" t="s">
        <v>11693</v>
      </c>
    </row>
    <row r="22376" spans="1:15">
      <c r="A22376" t="s">
        <v>63670</v>
      </c>
      <c r="B22376" t="s">
        <v>6742</v>
      </c>
      <c r="C22376" t="s">
        <v>18515</v>
      </c>
      <c r="D22376" t="s">
        <v>63671</v>
      </c>
      <c r="E22376" t="b">
        <v>0</v>
      </c>
      <c r="F22376" t="s">
        <v>11610</v>
      </c>
      <c r="L22376">
        <v>0</v>
      </c>
      <c r="M22376">
        <v>0</v>
      </c>
      <c r="N22376">
        <v>0</v>
      </c>
    </row>
    <row r="22377" spans="1:15">
      <c r="A22377" t="s">
        <v>8732</v>
      </c>
      <c r="B22377" t="s">
        <v>367</v>
      </c>
      <c r="C22377" t="s">
        <v>63672</v>
      </c>
      <c r="D22377" t="s">
        <v>63673</v>
      </c>
      <c r="E22377" t="b">
        <v>0</v>
      </c>
      <c r="F22377" t="s">
        <v>11624</v>
      </c>
      <c r="G22377">
        <v>-6.6871200000000002</v>
      </c>
      <c r="H22377">
        <v>156.542</v>
      </c>
      <c r="I22377" t="s">
        <v>8734</v>
      </c>
      <c r="L22377">
        <v>0</v>
      </c>
      <c r="M22377">
        <v>0</v>
      </c>
      <c r="N22377">
        <v>0</v>
      </c>
      <c r="O22377" t="s">
        <v>13346</v>
      </c>
    </row>
    <row r="22378" spans="1:15">
      <c r="A22378" t="s">
        <v>19241</v>
      </c>
      <c r="B22378" t="s">
        <v>6742</v>
      </c>
      <c r="C22378" t="s">
        <v>22155</v>
      </c>
      <c r="D22378" t="s">
        <v>63674</v>
      </c>
      <c r="E22378" t="b">
        <v>0</v>
      </c>
      <c r="F22378" t="s">
        <v>11624</v>
      </c>
      <c r="G22378">
        <v>9.3384800000000006</v>
      </c>
      <c r="H22378">
        <v>-2.3133300000000001</v>
      </c>
      <c r="I22378" t="s">
        <v>63675</v>
      </c>
      <c r="L22378">
        <v>0</v>
      </c>
      <c r="M22378">
        <v>0</v>
      </c>
      <c r="N22378">
        <v>2</v>
      </c>
      <c r="O22378" t="s">
        <v>11985</v>
      </c>
    </row>
    <row r="22379" spans="1:15">
      <c r="A22379" t="s">
        <v>63676</v>
      </c>
      <c r="B22379" t="s">
        <v>11637</v>
      </c>
      <c r="C22379" t="s">
        <v>33946</v>
      </c>
      <c r="D22379" t="s">
        <v>63677</v>
      </c>
      <c r="E22379" t="b">
        <v>0</v>
      </c>
      <c r="F22379" t="s">
        <v>11610</v>
      </c>
      <c r="L22379">
        <v>0</v>
      </c>
      <c r="M22379">
        <v>0</v>
      </c>
      <c r="N22379">
        <v>0</v>
      </c>
    </row>
    <row r="22380" spans="1:15">
      <c r="A22380" t="s">
        <v>63678</v>
      </c>
      <c r="B22380" t="s">
        <v>367</v>
      </c>
      <c r="C22380" t="s">
        <v>27701</v>
      </c>
      <c r="D22380" t="s">
        <v>63679</v>
      </c>
      <c r="E22380" t="b">
        <v>0</v>
      </c>
      <c r="F22380" t="s">
        <v>11610</v>
      </c>
      <c r="L22380">
        <v>0</v>
      </c>
      <c r="M22380">
        <v>0</v>
      </c>
      <c r="N22380">
        <v>0</v>
      </c>
    </row>
    <row r="22381" spans="1:15">
      <c r="A22381" t="s">
        <v>63680</v>
      </c>
      <c r="B22381" t="s">
        <v>13276</v>
      </c>
      <c r="C22381" t="s">
        <v>37325</v>
      </c>
      <c r="D22381" t="s">
        <v>63681</v>
      </c>
      <c r="E22381" t="b">
        <v>0</v>
      </c>
      <c r="F22381" t="s">
        <v>11624</v>
      </c>
      <c r="G22381">
        <v>7.0508499999999996</v>
      </c>
      <c r="H22381">
        <v>-11.3262</v>
      </c>
      <c r="I22381" t="s">
        <v>63682</v>
      </c>
      <c r="L22381">
        <v>0</v>
      </c>
      <c r="M22381">
        <v>0</v>
      </c>
      <c r="N22381">
        <v>0</v>
      </c>
      <c r="O22381" t="s">
        <v>29482</v>
      </c>
    </row>
    <row r="22382" spans="1:15">
      <c r="A22382" t="s">
        <v>37325</v>
      </c>
      <c r="B22382" t="s">
        <v>13276</v>
      </c>
      <c r="C22382" t="s">
        <v>42461</v>
      </c>
      <c r="D22382" t="s">
        <v>63683</v>
      </c>
      <c r="E22382" t="b">
        <v>0</v>
      </c>
      <c r="F22382" t="s">
        <v>11622</v>
      </c>
      <c r="L22382">
        <v>0</v>
      </c>
      <c r="M22382">
        <v>2</v>
      </c>
      <c r="N22382">
        <v>2</v>
      </c>
    </row>
    <row r="22383" spans="1:15">
      <c r="A22383" t="s">
        <v>63684</v>
      </c>
      <c r="B22383" t="s">
        <v>13276</v>
      </c>
      <c r="C22383" t="s">
        <v>18988</v>
      </c>
      <c r="D22383" t="s">
        <v>63685</v>
      </c>
      <c r="E22383" t="b">
        <v>0</v>
      </c>
      <c r="F22383" t="s">
        <v>11610</v>
      </c>
      <c r="L22383">
        <v>0</v>
      </c>
      <c r="M22383">
        <v>0</v>
      </c>
      <c r="N22383">
        <v>0</v>
      </c>
    </row>
    <row r="22384" spans="1:15">
      <c r="A22384" t="s">
        <v>63686</v>
      </c>
      <c r="B22384" t="s">
        <v>11644</v>
      </c>
      <c r="C22384" t="s">
        <v>28546</v>
      </c>
      <c r="D22384" t="s">
        <v>63687</v>
      </c>
      <c r="E22384" t="b">
        <v>0</v>
      </c>
      <c r="F22384" t="s">
        <v>11624</v>
      </c>
      <c r="G22384">
        <v>24.137799999999999</v>
      </c>
      <c r="H22384">
        <v>93.719499999999996</v>
      </c>
      <c r="I22384" t="s">
        <v>63688</v>
      </c>
      <c r="L22384">
        <v>0</v>
      </c>
      <c r="M22384">
        <v>0</v>
      </c>
      <c r="N22384">
        <v>0</v>
      </c>
      <c r="O22384" t="s">
        <v>11630</v>
      </c>
    </row>
    <row r="22385" spans="1:15">
      <c r="A22385" t="s">
        <v>63689</v>
      </c>
      <c r="B22385" t="s">
        <v>11615</v>
      </c>
      <c r="C22385" t="s">
        <v>11641</v>
      </c>
      <c r="D22385" t="s">
        <v>63690</v>
      </c>
      <c r="E22385" t="b">
        <v>0</v>
      </c>
      <c r="F22385" t="s">
        <v>11610</v>
      </c>
      <c r="L22385">
        <v>0</v>
      </c>
      <c r="M22385">
        <v>0</v>
      </c>
      <c r="N22385">
        <v>0</v>
      </c>
    </row>
    <row r="22386" spans="1:15">
      <c r="A22386" t="s">
        <v>63691</v>
      </c>
      <c r="B22386" t="s">
        <v>12438</v>
      </c>
      <c r="C22386" t="s">
        <v>22166</v>
      </c>
      <c r="D22386" t="s">
        <v>63692</v>
      </c>
      <c r="E22386" t="b">
        <v>0</v>
      </c>
      <c r="F22386" t="s">
        <v>11610</v>
      </c>
      <c r="L22386">
        <v>0</v>
      </c>
      <c r="M22386">
        <v>0</v>
      </c>
      <c r="N22386">
        <v>0</v>
      </c>
    </row>
    <row r="22387" spans="1:15">
      <c r="A22387" t="s">
        <v>63693</v>
      </c>
      <c r="B22387" t="s">
        <v>11615</v>
      </c>
      <c r="C22387" t="s">
        <v>19991</v>
      </c>
      <c r="D22387" t="s">
        <v>63694</v>
      </c>
      <c r="E22387" t="b">
        <v>0</v>
      </c>
      <c r="F22387" t="s">
        <v>11610</v>
      </c>
      <c r="L22387">
        <v>0</v>
      </c>
      <c r="M22387">
        <v>0</v>
      </c>
      <c r="N22387">
        <v>0</v>
      </c>
    </row>
    <row r="22388" spans="1:15">
      <c r="A22388" t="s">
        <v>63695</v>
      </c>
      <c r="B22388" t="s">
        <v>367</v>
      </c>
      <c r="C22388" t="s">
        <v>36499</v>
      </c>
      <c r="D22388" t="s">
        <v>63696</v>
      </c>
      <c r="E22388" t="b">
        <v>0</v>
      </c>
      <c r="F22388" t="s">
        <v>11610</v>
      </c>
      <c r="L22388">
        <v>0</v>
      </c>
      <c r="M22388">
        <v>0</v>
      </c>
      <c r="N22388">
        <v>0</v>
      </c>
    </row>
    <row r="22389" spans="1:15">
      <c r="A22389" t="s">
        <v>63697</v>
      </c>
      <c r="B22389" t="s">
        <v>11637</v>
      </c>
      <c r="C22389" t="s">
        <v>21288</v>
      </c>
      <c r="D22389" t="s">
        <v>63698</v>
      </c>
      <c r="E22389" t="b">
        <v>0</v>
      </c>
      <c r="F22389" t="s">
        <v>11610</v>
      </c>
      <c r="L22389">
        <v>0</v>
      </c>
      <c r="M22389">
        <v>0</v>
      </c>
      <c r="N22389">
        <v>0</v>
      </c>
    </row>
    <row r="22390" spans="1:15">
      <c r="A22390" t="s">
        <v>63699</v>
      </c>
      <c r="B22390" t="s">
        <v>11644</v>
      </c>
      <c r="C22390" t="s">
        <v>30645</v>
      </c>
      <c r="D22390" t="s">
        <v>63700</v>
      </c>
      <c r="E22390" t="b">
        <v>0</v>
      </c>
      <c r="F22390" t="s">
        <v>11610</v>
      </c>
      <c r="L22390">
        <v>0</v>
      </c>
      <c r="M22390">
        <v>0</v>
      </c>
      <c r="N22390">
        <v>0</v>
      </c>
    </row>
    <row r="22391" spans="1:15">
      <c r="A22391" t="s">
        <v>49640</v>
      </c>
      <c r="B22391" t="s">
        <v>11729</v>
      </c>
      <c r="C22391" t="s">
        <v>41283</v>
      </c>
      <c r="D22391" t="s">
        <v>63701</v>
      </c>
      <c r="E22391" t="b">
        <v>0</v>
      </c>
      <c r="F22391" t="s">
        <v>11624</v>
      </c>
      <c r="G22391">
        <v>7.4994300000000003</v>
      </c>
      <c r="H22391">
        <v>18.558520000000001</v>
      </c>
      <c r="I22391" t="s">
        <v>63702</v>
      </c>
      <c r="L22391">
        <v>0</v>
      </c>
      <c r="M22391">
        <v>0</v>
      </c>
      <c r="N22391">
        <v>2</v>
      </c>
      <c r="O22391" t="s">
        <v>16548</v>
      </c>
    </row>
    <row r="22392" spans="1:15">
      <c r="A22392" t="s">
        <v>63703</v>
      </c>
      <c r="B22392" t="s">
        <v>11981</v>
      </c>
      <c r="C22392" t="s">
        <v>21208</v>
      </c>
      <c r="D22392" t="s">
        <v>63704</v>
      </c>
      <c r="E22392" t="b">
        <v>0</v>
      </c>
      <c r="F22392" t="s">
        <v>11624</v>
      </c>
      <c r="G22392">
        <v>39.5</v>
      </c>
      <c r="H22392">
        <v>-0.75</v>
      </c>
      <c r="I22392" t="s">
        <v>63705</v>
      </c>
      <c r="L22392">
        <v>0</v>
      </c>
      <c r="M22392">
        <v>0</v>
      </c>
      <c r="N22392">
        <v>0</v>
      </c>
      <c r="O22392" t="s">
        <v>13707</v>
      </c>
    </row>
    <row r="22393" spans="1:15">
      <c r="A22393" t="s">
        <v>63706</v>
      </c>
      <c r="B22393" t="s">
        <v>11637</v>
      </c>
      <c r="C22393" t="s">
        <v>21227</v>
      </c>
      <c r="D22393" t="s">
        <v>63707</v>
      </c>
      <c r="E22393" t="b">
        <v>0</v>
      </c>
      <c r="F22393" t="s">
        <v>11610</v>
      </c>
      <c r="L22393">
        <v>0</v>
      </c>
      <c r="M22393">
        <v>0</v>
      </c>
      <c r="N22393">
        <v>3</v>
      </c>
    </row>
    <row r="22394" spans="1:15">
      <c r="A22394" t="s">
        <v>63708</v>
      </c>
      <c r="B22394" t="s">
        <v>11637</v>
      </c>
      <c r="C22394" t="s">
        <v>63706</v>
      </c>
      <c r="D22394" t="s">
        <v>63709</v>
      </c>
      <c r="E22394" t="b">
        <v>0</v>
      </c>
      <c r="F22394" t="s">
        <v>11610</v>
      </c>
      <c r="L22394">
        <v>0</v>
      </c>
      <c r="M22394">
        <v>0</v>
      </c>
      <c r="N22394">
        <v>0</v>
      </c>
    </row>
    <row r="22395" spans="1:15">
      <c r="A22395" t="s">
        <v>63710</v>
      </c>
      <c r="B22395" t="s">
        <v>11637</v>
      </c>
      <c r="C22395" t="s">
        <v>63706</v>
      </c>
      <c r="D22395" t="s">
        <v>63711</v>
      </c>
      <c r="E22395" t="b">
        <v>0</v>
      </c>
      <c r="F22395" t="s">
        <v>11610</v>
      </c>
      <c r="L22395">
        <v>0</v>
      </c>
      <c r="M22395">
        <v>0</v>
      </c>
      <c r="N22395">
        <v>0</v>
      </c>
    </row>
    <row r="22396" spans="1:15">
      <c r="A22396" t="s">
        <v>63712</v>
      </c>
      <c r="B22396" t="s">
        <v>11637</v>
      </c>
      <c r="C22396" t="s">
        <v>63706</v>
      </c>
      <c r="D22396" t="s">
        <v>63713</v>
      </c>
      <c r="E22396" t="b">
        <v>0</v>
      </c>
      <c r="F22396" t="s">
        <v>11610</v>
      </c>
      <c r="L22396">
        <v>0</v>
      </c>
      <c r="M22396">
        <v>0</v>
      </c>
      <c r="N22396">
        <v>0</v>
      </c>
    </row>
    <row r="22397" spans="1:15">
      <c r="A22397" t="s">
        <v>63714</v>
      </c>
      <c r="B22397" t="s">
        <v>6455</v>
      </c>
      <c r="C22397" t="s">
        <v>26403</v>
      </c>
      <c r="D22397" t="s">
        <v>63715</v>
      </c>
      <c r="E22397" t="b">
        <v>0</v>
      </c>
      <c r="F22397" t="s">
        <v>11610</v>
      </c>
      <c r="L22397">
        <v>0</v>
      </c>
      <c r="M22397">
        <v>0</v>
      </c>
      <c r="N22397">
        <v>0</v>
      </c>
    </row>
    <row r="22398" spans="1:15">
      <c r="A22398" t="s">
        <v>63716</v>
      </c>
      <c r="B22398" t="s">
        <v>11637</v>
      </c>
      <c r="C22398" t="s">
        <v>21288</v>
      </c>
      <c r="D22398" t="s">
        <v>63717</v>
      </c>
      <c r="E22398" t="b">
        <v>0</v>
      </c>
      <c r="F22398" t="s">
        <v>11610</v>
      </c>
      <c r="L22398">
        <v>0</v>
      </c>
      <c r="M22398">
        <v>0</v>
      </c>
      <c r="N22398">
        <v>0</v>
      </c>
    </row>
    <row r="22399" spans="1:15">
      <c r="A22399" t="s">
        <v>63718</v>
      </c>
      <c r="B22399" t="s">
        <v>367</v>
      </c>
      <c r="C22399" t="s">
        <v>17133</v>
      </c>
      <c r="D22399" t="s">
        <v>63719</v>
      </c>
      <c r="E22399" t="b">
        <v>0</v>
      </c>
      <c r="F22399" t="s">
        <v>11610</v>
      </c>
      <c r="L22399">
        <v>0</v>
      </c>
      <c r="M22399">
        <v>0</v>
      </c>
      <c r="N22399">
        <v>0</v>
      </c>
    </row>
    <row r="22400" spans="1:15">
      <c r="A22400" t="s">
        <v>9347</v>
      </c>
      <c r="B22400" t="s">
        <v>9348</v>
      </c>
      <c r="C22400" t="s">
        <v>24447</v>
      </c>
      <c r="D22400" t="s">
        <v>63720</v>
      </c>
      <c r="E22400" t="b">
        <v>0</v>
      </c>
      <c r="F22400" t="s">
        <v>11610</v>
      </c>
      <c r="L22400">
        <v>0</v>
      </c>
      <c r="M22400">
        <v>0</v>
      </c>
      <c r="N22400">
        <v>2</v>
      </c>
    </row>
    <row r="22401" spans="1:15">
      <c r="A22401" t="s">
        <v>63721</v>
      </c>
      <c r="B22401" t="s">
        <v>41746</v>
      </c>
      <c r="C22401" t="s">
        <v>41746</v>
      </c>
      <c r="D22401" t="s">
        <v>63722</v>
      </c>
      <c r="E22401" t="b">
        <v>0</v>
      </c>
      <c r="F22401" t="s">
        <v>11624</v>
      </c>
      <c r="G22401">
        <v>39.8078</v>
      </c>
      <c r="H22401">
        <v>-121.191</v>
      </c>
      <c r="I22401" t="s">
        <v>63723</v>
      </c>
      <c r="L22401">
        <v>0</v>
      </c>
      <c r="M22401">
        <v>0</v>
      </c>
      <c r="N22401">
        <v>0</v>
      </c>
      <c r="O22401" t="s">
        <v>11944</v>
      </c>
    </row>
    <row r="22402" spans="1:15">
      <c r="A22402" t="s">
        <v>63724</v>
      </c>
      <c r="B22402" t="s">
        <v>11879</v>
      </c>
      <c r="C22402" t="s">
        <v>22656</v>
      </c>
      <c r="D22402" t="s">
        <v>63725</v>
      </c>
      <c r="E22402" t="b">
        <v>0</v>
      </c>
      <c r="F22402" t="s">
        <v>11624</v>
      </c>
      <c r="G22402">
        <v>17.796399999999998</v>
      </c>
      <c r="H22402">
        <v>-96.318700000000007</v>
      </c>
      <c r="I22402" t="s">
        <v>63726</v>
      </c>
      <c r="L22402">
        <v>0</v>
      </c>
      <c r="M22402">
        <v>0</v>
      </c>
      <c r="N22402">
        <v>0</v>
      </c>
      <c r="O22402" t="s">
        <v>11883</v>
      </c>
    </row>
    <row r="22403" spans="1:15">
      <c r="A22403" t="s">
        <v>63727</v>
      </c>
      <c r="B22403" t="s">
        <v>11607</v>
      </c>
      <c r="C22403" t="s">
        <v>23163</v>
      </c>
      <c r="D22403" t="s">
        <v>63728</v>
      </c>
      <c r="E22403" t="b">
        <v>0</v>
      </c>
      <c r="F22403" t="s">
        <v>11610</v>
      </c>
      <c r="L22403">
        <v>0</v>
      </c>
      <c r="M22403">
        <v>0</v>
      </c>
      <c r="N22403">
        <v>0</v>
      </c>
    </row>
    <row r="22404" spans="1:15">
      <c r="A22404" t="s">
        <v>63729</v>
      </c>
      <c r="B22404" t="s">
        <v>11834</v>
      </c>
      <c r="C22404" t="s">
        <v>12340</v>
      </c>
      <c r="D22404" t="s">
        <v>63730</v>
      </c>
      <c r="E22404" t="b">
        <v>0</v>
      </c>
      <c r="F22404" t="s">
        <v>11624</v>
      </c>
      <c r="G22404">
        <v>-3.2496299999999998</v>
      </c>
      <c r="H22404">
        <v>142.499</v>
      </c>
      <c r="I22404" t="s">
        <v>63731</v>
      </c>
      <c r="L22404">
        <v>0</v>
      </c>
      <c r="M22404">
        <v>0</v>
      </c>
      <c r="N22404">
        <v>0</v>
      </c>
      <c r="O22404" t="s">
        <v>11660</v>
      </c>
    </row>
    <row r="22405" spans="1:15">
      <c r="A22405" t="s">
        <v>63732</v>
      </c>
      <c r="B22405" t="s">
        <v>12686</v>
      </c>
      <c r="C22405" t="s">
        <v>2057</v>
      </c>
      <c r="D22405" t="s">
        <v>63733</v>
      </c>
      <c r="E22405" t="b">
        <v>0</v>
      </c>
      <c r="F22405" t="s">
        <v>11610</v>
      </c>
      <c r="L22405">
        <v>0</v>
      </c>
      <c r="M22405">
        <v>0</v>
      </c>
      <c r="N22405">
        <v>0</v>
      </c>
    </row>
    <row r="22406" spans="1:15">
      <c r="A22406" t="s">
        <v>63734</v>
      </c>
      <c r="B22406" t="s">
        <v>367</v>
      </c>
      <c r="C22406" t="s">
        <v>48106</v>
      </c>
      <c r="D22406" t="s">
        <v>63735</v>
      </c>
      <c r="E22406" t="b">
        <v>0</v>
      </c>
      <c r="F22406" t="s">
        <v>11624</v>
      </c>
      <c r="G22406">
        <v>-14.712</v>
      </c>
      <c r="H22406">
        <v>166.60599999999999</v>
      </c>
      <c r="I22406" t="s">
        <v>63736</v>
      </c>
      <c r="L22406">
        <v>0</v>
      </c>
      <c r="M22406">
        <v>0</v>
      </c>
      <c r="N22406">
        <v>0</v>
      </c>
      <c r="O22406" t="s">
        <v>12719</v>
      </c>
    </row>
    <row r="22407" spans="1:15">
      <c r="A22407" t="s">
        <v>63737</v>
      </c>
      <c r="B22407" t="s">
        <v>11637</v>
      </c>
      <c r="C22407" t="s">
        <v>27643</v>
      </c>
      <c r="D22407" t="s">
        <v>63738</v>
      </c>
      <c r="E22407" t="b">
        <v>0</v>
      </c>
      <c r="F22407" t="s">
        <v>11610</v>
      </c>
      <c r="L22407">
        <v>0</v>
      </c>
      <c r="M22407">
        <v>0</v>
      </c>
      <c r="N22407">
        <v>0</v>
      </c>
    </row>
    <row r="22408" spans="1:15">
      <c r="A22408" t="s">
        <v>63739</v>
      </c>
      <c r="B22408" t="s">
        <v>6742</v>
      </c>
      <c r="C22408" t="s">
        <v>41944</v>
      </c>
      <c r="D22408" t="s">
        <v>63740</v>
      </c>
      <c r="E22408" t="b">
        <v>0</v>
      </c>
      <c r="F22408" t="s">
        <v>11610</v>
      </c>
      <c r="L22408">
        <v>0</v>
      </c>
      <c r="M22408">
        <v>0</v>
      </c>
      <c r="N22408">
        <v>0</v>
      </c>
    </row>
    <row r="22409" spans="1:15">
      <c r="A22409" t="s">
        <v>31294</v>
      </c>
      <c r="B22409" t="s">
        <v>367</v>
      </c>
      <c r="C22409" t="s">
        <v>20748</v>
      </c>
      <c r="D22409" t="s">
        <v>63741</v>
      </c>
      <c r="E22409" t="b">
        <v>0</v>
      </c>
      <c r="F22409" t="s">
        <v>11624</v>
      </c>
      <c r="G22409">
        <v>-20.770800000000001</v>
      </c>
      <c r="H22409">
        <v>165.04</v>
      </c>
      <c r="I22409" t="s">
        <v>63742</v>
      </c>
      <c r="L22409">
        <v>0</v>
      </c>
      <c r="M22409">
        <v>0</v>
      </c>
      <c r="N22409">
        <v>2</v>
      </c>
      <c r="O22409" t="s">
        <v>12624</v>
      </c>
    </row>
    <row r="22410" spans="1:15">
      <c r="A22410" t="s">
        <v>25529</v>
      </c>
      <c r="B22410" t="s">
        <v>11607</v>
      </c>
      <c r="C22410" t="s">
        <v>31768</v>
      </c>
      <c r="D22410" t="s">
        <v>63743</v>
      </c>
      <c r="E22410" t="b">
        <v>0</v>
      </c>
      <c r="F22410" t="s">
        <v>11624</v>
      </c>
      <c r="G22410">
        <v>10.9481</v>
      </c>
      <c r="H22410">
        <v>14.213100000000001</v>
      </c>
      <c r="I22410" t="s">
        <v>63744</v>
      </c>
      <c r="L22410">
        <v>0</v>
      </c>
      <c r="M22410">
        <v>0</v>
      </c>
      <c r="N22410">
        <v>5</v>
      </c>
      <c r="O22410" t="s">
        <v>11703</v>
      </c>
    </row>
    <row r="22411" spans="1:15">
      <c r="A22411" t="s">
        <v>63745</v>
      </c>
      <c r="B22411" t="s">
        <v>11637</v>
      </c>
      <c r="C22411" t="s">
        <v>30733</v>
      </c>
      <c r="D22411" t="s">
        <v>63746</v>
      </c>
      <c r="E22411" t="b">
        <v>0</v>
      </c>
      <c r="F22411" t="s">
        <v>11610</v>
      </c>
      <c r="L22411">
        <v>0</v>
      </c>
      <c r="M22411">
        <v>0</v>
      </c>
      <c r="N22411">
        <v>0</v>
      </c>
    </row>
    <row r="22412" spans="1:15">
      <c r="A22412" t="s">
        <v>63747</v>
      </c>
      <c r="B22412" t="s">
        <v>6742</v>
      </c>
      <c r="C22412" t="s">
        <v>41944</v>
      </c>
      <c r="D22412" t="s">
        <v>63748</v>
      </c>
      <c r="E22412" t="b">
        <v>0</v>
      </c>
      <c r="F22412" t="s">
        <v>11610</v>
      </c>
      <c r="L22412">
        <v>0</v>
      </c>
      <c r="M22412">
        <v>0</v>
      </c>
      <c r="N22412">
        <v>0</v>
      </c>
    </row>
    <row r="22413" spans="1:15">
      <c r="A22413" t="s">
        <v>63749</v>
      </c>
      <c r="B22413" t="s">
        <v>6742</v>
      </c>
      <c r="C22413" t="s">
        <v>41944</v>
      </c>
      <c r="D22413" t="s">
        <v>63750</v>
      </c>
      <c r="E22413" t="b">
        <v>0</v>
      </c>
      <c r="F22413" t="s">
        <v>11610</v>
      </c>
      <c r="L22413">
        <v>0</v>
      </c>
      <c r="M22413">
        <v>0</v>
      </c>
      <c r="N22413">
        <v>0</v>
      </c>
    </row>
    <row r="22414" spans="1:15">
      <c r="A22414" t="s">
        <v>63751</v>
      </c>
      <c r="B22414" t="s">
        <v>11644</v>
      </c>
      <c r="C22414" t="s">
        <v>24022</v>
      </c>
      <c r="D22414" t="s">
        <v>63752</v>
      </c>
      <c r="E22414" t="b">
        <v>0</v>
      </c>
      <c r="F22414" t="s">
        <v>11610</v>
      </c>
      <c r="L22414">
        <v>0</v>
      </c>
      <c r="M22414">
        <v>0</v>
      </c>
      <c r="N22414">
        <v>0</v>
      </c>
    </row>
    <row r="22415" spans="1:15">
      <c r="A22415" t="s">
        <v>63753</v>
      </c>
      <c r="B22415" t="s">
        <v>13276</v>
      </c>
      <c r="C22415" t="s">
        <v>19075</v>
      </c>
      <c r="D22415" t="s">
        <v>63754</v>
      </c>
      <c r="E22415" t="b">
        <v>0</v>
      </c>
      <c r="F22415" t="s">
        <v>11610</v>
      </c>
      <c r="L22415">
        <v>0</v>
      </c>
      <c r="M22415">
        <v>0</v>
      </c>
      <c r="N22415">
        <v>0</v>
      </c>
    </row>
    <row r="22416" spans="1:15">
      <c r="A22416" t="s">
        <v>63755</v>
      </c>
      <c r="B22416" t="s">
        <v>11637</v>
      </c>
      <c r="C22416" t="s">
        <v>29621</v>
      </c>
      <c r="D22416" t="s">
        <v>63756</v>
      </c>
      <c r="E22416" t="b">
        <v>0</v>
      </c>
      <c r="F22416" t="s">
        <v>11610</v>
      </c>
      <c r="L22416">
        <v>0</v>
      </c>
      <c r="M22416">
        <v>0</v>
      </c>
      <c r="N22416">
        <v>0</v>
      </c>
    </row>
    <row r="22417" spans="1:15">
      <c r="A22417" t="s">
        <v>63757</v>
      </c>
      <c r="B22417" t="s">
        <v>11637</v>
      </c>
      <c r="C22417" t="s">
        <v>3565</v>
      </c>
      <c r="D22417" t="s">
        <v>63758</v>
      </c>
      <c r="E22417" t="b">
        <v>0</v>
      </c>
      <c r="F22417" t="s">
        <v>11610</v>
      </c>
      <c r="L22417">
        <v>0</v>
      </c>
      <c r="M22417">
        <v>0</v>
      </c>
      <c r="N22417">
        <v>0</v>
      </c>
    </row>
    <row r="22418" spans="1:15">
      <c r="A22418" t="s">
        <v>17039</v>
      </c>
      <c r="B22418" t="s">
        <v>367</v>
      </c>
      <c r="C22418" t="s">
        <v>43066</v>
      </c>
      <c r="D22418" t="s">
        <v>63759</v>
      </c>
      <c r="E22418" t="b">
        <v>0</v>
      </c>
      <c r="F22418" t="s">
        <v>11624</v>
      </c>
      <c r="G22418">
        <v>-8.6682600000000001</v>
      </c>
      <c r="H22418">
        <v>157.99700000000001</v>
      </c>
      <c r="I22418" t="s">
        <v>63760</v>
      </c>
      <c r="L22418">
        <v>0</v>
      </c>
      <c r="M22418">
        <v>0</v>
      </c>
      <c r="N22418">
        <v>2</v>
      </c>
      <c r="O22418" t="s">
        <v>13346</v>
      </c>
    </row>
    <row r="22419" spans="1:15">
      <c r="A22419" t="s">
        <v>63761</v>
      </c>
      <c r="B22419" t="s">
        <v>16986</v>
      </c>
      <c r="C22419" t="s">
        <v>50035</v>
      </c>
      <c r="D22419" t="s">
        <v>63762</v>
      </c>
      <c r="E22419" t="b">
        <v>0</v>
      </c>
      <c r="F22419" t="s">
        <v>11624</v>
      </c>
      <c r="G22419">
        <v>-2.6850100000000001</v>
      </c>
      <c r="H22419">
        <v>141.25800000000001</v>
      </c>
      <c r="I22419" t="s">
        <v>63763</v>
      </c>
      <c r="L22419">
        <v>0</v>
      </c>
      <c r="M22419">
        <v>0</v>
      </c>
      <c r="N22419">
        <v>0</v>
      </c>
      <c r="O22419" t="s">
        <v>11660</v>
      </c>
    </row>
    <row r="22420" spans="1:15">
      <c r="A22420" t="s">
        <v>24701</v>
      </c>
      <c r="B22420" t="s">
        <v>11637</v>
      </c>
      <c r="C22420" t="s">
        <v>14027</v>
      </c>
      <c r="D22420" t="s">
        <v>63764</v>
      </c>
      <c r="E22420" t="b">
        <v>0</v>
      </c>
      <c r="F22420" t="s">
        <v>11610</v>
      </c>
      <c r="L22420">
        <v>0</v>
      </c>
      <c r="M22420">
        <v>0</v>
      </c>
      <c r="N22420">
        <v>2</v>
      </c>
    </row>
    <row r="22421" spans="1:15">
      <c r="A22421" t="s">
        <v>63765</v>
      </c>
      <c r="B22421" t="s">
        <v>11637</v>
      </c>
      <c r="C22421" t="s">
        <v>24701</v>
      </c>
      <c r="D22421" t="s">
        <v>63766</v>
      </c>
      <c r="E22421" t="b">
        <v>0</v>
      </c>
      <c r="F22421" t="s">
        <v>11610</v>
      </c>
      <c r="L22421">
        <v>0</v>
      </c>
      <c r="M22421">
        <v>0</v>
      </c>
      <c r="N22421">
        <v>0</v>
      </c>
    </row>
    <row r="22422" spans="1:15">
      <c r="A22422" t="s">
        <v>63767</v>
      </c>
      <c r="B22422" t="s">
        <v>11637</v>
      </c>
      <c r="C22422" t="s">
        <v>19866</v>
      </c>
      <c r="D22422" t="s">
        <v>63768</v>
      </c>
      <c r="E22422" t="b">
        <v>0</v>
      </c>
      <c r="F22422" t="s">
        <v>11610</v>
      </c>
      <c r="L22422">
        <v>0</v>
      </c>
      <c r="M22422">
        <v>0</v>
      </c>
      <c r="N22422">
        <v>0</v>
      </c>
    </row>
    <row r="22423" spans="1:15">
      <c r="A22423" t="s">
        <v>63769</v>
      </c>
      <c r="B22423" t="s">
        <v>11607</v>
      </c>
      <c r="C22423" t="s">
        <v>17620</v>
      </c>
      <c r="D22423" t="s">
        <v>63770</v>
      </c>
      <c r="E22423" t="b">
        <v>0</v>
      </c>
      <c r="F22423" t="s">
        <v>11610</v>
      </c>
      <c r="L22423">
        <v>0</v>
      </c>
      <c r="M22423">
        <v>0</v>
      </c>
      <c r="N22423">
        <v>0</v>
      </c>
    </row>
    <row r="22424" spans="1:15">
      <c r="A22424" t="s">
        <v>63771</v>
      </c>
      <c r="B22424" t="s">
        <v>367</v>
      </c>
      <c r="C22424" t="s">
        <v>60159</v>
      </c>
      <c r="D22424" t="s">
        <v>63772</v>
      </c>
      <c r="E22424" t="b">
        <v>0</v>
      </c>
      <c r="F22424" t="s">
        <v>11624</v>
      </c>
      <c r="G22424">
        <v>-11.6107</v>
      </c>
      <c r="H22424">
        <v>166.79839999999999</v>
      </c>
      <c r="I22424" t="s">
        <v>63773</v>
      </c>
      <c r="L22424">
        <v>0</v>
      </c>
      <c r="M22424">
        <v>0</v>
      </c>
      <c r="N22424">
        <v>0</v>
      </c>
      <c r="O22424" t="s">
        <v>13346</v>
      </c>
    </row>
    <row r="22425" spans="1:15">
      <c r="A22425" t="s">
        <v>63774</v>
      </c>
      <c r="B22425" t="s">
        <v>6742</v>
      </c>
      <c r="C22425" t="s">
        <v>50455</v>
      </c>
      <c r="D22425" t="s">
        <v>63775</v>
      </c>
      <c r="E22425" t="b">
        <v>0</v>
      </c>
      <c r="F22425" t="s">
        <v>11624</v>
      </c>
      <c r="G22425">
        <v>0.93847000000000003</v>
      </c>
      <c r="H22425">
        <v>29.813479999999998</v>
      </c>
      <c r="I22425" t="s">
        <v>63776</v>
      </c>
      <c r="L22425">
        <v>0</v>
      </c>
      <c r="M22425">
        <v>0</v>
      </c>
      <c r="N22425">
        <v>0</v>
      </c>
      <c r="O22425" t="s">
        <v>14825</v>
      </c>
    </row>
    <row r="22426" spans="1:15">
      <c r="A22426" t="s">
        <v>63777</v>
      </c>
      <c r="B22426" t="s">
        <v>367</v>
      </c>
      <c r="C22426" t="s">
        <v>39536</v>
      </c>
      <c r="D22426" t="s">
        <v>63778</v>
      </c>
      <c r="E22426" t="b">
        <v>0</v>
      </c>
      <c r="F22426" t="s">
        <v>11610</v>
      </c>
      <c r="L22426">
        <v>0</v>
      </c>
      <c r="M22426">
        <v>0</v>
      </c>
      <c r="N22426">
        <v>0</v>
      </c>
    </row>
    <row r="22427" spans="1:15">
      <c r="A22427" t="s">
        <v>63779</v>
      </c>
      <c r="B22427" t="s">
        <v>367</v>
      </c>
      <c r="C22427" t="s">
        <v>7268</v>
      </c>
      <c r="D22427" t="s">
        <v>63780</v>
      </c>
      <c r="E22427" t="b">
        <v>0</v>
      </c>
      <c r="F22427" t="s">
        <v>11610</v>
      </c>
      <c r="L22427">
        <v>0</v>
      </c>
      <c r="M22427">
        <v>0</v>
      </c>
      <c r="N22427">
        <v>0</v>
      </c>
    </row>
    <row r="22428" spans="1:15">
      <c r="A22428" t="s">
        <v>27090</v>
      </c>
      <c r="B22428" t="s">
        <v>367</v>
      </c>
      <c r="C22428" t="s">
        <v>14052</v>
      </c>
      <c r="D22428" t="s">
        <v>63781</v>
      </c>
      <c r="E22428" t="b">
        <v>0</v>
      </c>
      <c r="F22428" t="s">
        <v>11622</v>
      </c>
      <c r="L22428">
        <v>1</v>
      </c>
      <c r="M22428">
        <v>4</v>
      </c>
      <c r="N22428">
        <v>4</v>
      </c>
    </row>
    <row r="22429" spans="1:15">
      <c r="A22429" t="s">
        <v>50455</v>
      </c>
      <c r="B22429" t="s">
        <v>6742</v>
      </c>
      <c r="C22429" t="s">
        <v>17869</v>
      </c>
      <c r="D22429" t="s">
        <v>63782</v>
      </c>
      <c r="E22429" t="b">
        <v>0</v>
      </c>
      <c r="F22429" t="s">
        <v>11622</v>
      </c>
      <c r="L22429">
        <v>0</v>
      </c>
      <c r="M22429">
        <v>2</v>
      </c>
      <c r="N22429">
        <v>0</v>
      </c>
    </row>
    <row r="22430" spans="1:15">
      <c r="A22430" t="s">
        <v>63783</v>
      </c>
      <c r="B22430" t="s">
        <v>367</v>
      </c>
      <c r="C22430" t="s">
        <v>19730</v>
      </c>
      <c r="D22430" t="s">
        <v>63784</v>
      </c>
      <c r="E22430" t="b">
        <v>0</v>
      </c>
      <c r="F22430" t="s">
        <v>11624</v>
      </c>
      <c r="G22430">
        <v>-15.898299</v>
      </c>
      <c r="H22430">
        <v>167.30997300000001</v>
      </c>
      <c r="I22430" t="s">
        <v>63785</v>
      </c>
      <c r="L22430">
        <v>0</v>
      </c>
      <c r="M22430">
        <v>0</v>
      </c>
      <c r="N22430">
        <v>0</v>
      </c>
      <c r="O22430" t="s">
        <v>12719</v>
      </c>
    </row>
    <row r="22431" spans="1:15">
      <c r="A22431" t="s">
        <v>63786</v>
      </c>
      <c r="B22431" t="s">
        <v>367</v>
      </c>
      <c r="C22431" t="s">
        <v>61414</v>
      </c>
      <c r="D22431" t="s">
        <v>63787</v>
      </c>
      <c r="E22431" t="b">
        <v>0</v>
      </c>
      <c r="F22431" t="s">
        <v>11610</v>
      </c>
      <c r="L22431">
        <v>0</v>
      </c>
      <c r="M22431">
        <v>0</v>
      </c>
      <c r="N22431">
        <v>0</v>
      </c>
    </row>
    <row r="22432" spans="1:15">
      <c r="A22432" t="s">
        <v>63788</v>
      </c>
      <c r="B22432" t="s">
        <v>367</v>
      </c>
      <c r="C22432" t="s">
        <v>61414</v>
      </c>
      <c r="D22432" t="s">
        <v>63789</v>
      </c>
      <c r="E22432" t="b">
        <v>0</v>
      </c>
      <c r="F22432" t="s">
        <v>11610</v>
      </c>
      <c r="L22432">
        <v>0</v>
      </c>
      <c r="M22432">
        <v>0</v>
      </c>
      <c r="N22432">
        <v>0</v>
      </c>
    </row>
    <row r="22433" spans="1:15">
      <c r="A22433" t="s">
        <v>63790</v>
      </c>
      <c r="B22433" t="s">
        <v>6742</v>
      </c>
      <c r="C22433" t="s">
        <v>61647</v>
      </c>
      <c r="D22433" t="s">
        <v>63791</v>
      </c>
      <c r="E22433" t="b">
        <v>0</v>
      </c>
      <c r="F22433" t="s">
        <v>11610</v>
      </c>
      <c r="L22433">
        <v>0</v>
      </c>
      <c r="M22433">
        <v>0</v>
      </c>
      <c r="N22433">
        <v>0</v>
      </c>
    </row>
    <row r="22434" spans="1:15">
      <c r="A22434" t="s">
        <v>19820</v>
      </c>
      <c r="B22434" t="s">
        <v>11637</v>
      </c>
      <c r="C22434" t="s">
        <v>18069</v>
      </c>
      <c r="D22434" t="s">
        <v>63792</v>
      </c>
      <c r="E22434" t="b">
        <v>0</v>
      </c>
      <c r="F22434" t="s">
        <v>11624</v>
      </c>
      <c r="G22434">
        <v>20.713899999999999</v>
      </c>
      <c r="H22434">
        <v>79.751599999999996</v>
      </c>
      <c r="I22434" t="s">
        <v>63793</v>
      </c>
      <c r="L22434">
        <v>0</v>
      </c>
      <c r="M22434">
        <v>0</v>
      </c>
      <c r="N22434">
        <v>11</v>
      </c>
      <c r="O22434" t="s">
        <v>11630</v>
      </c>
    </row>
    <row r="22435" spans="1:15">
      <c r="A22435" t="s">
        <v>29187</v>
      </c>
      <c r="B22435" t="s">
        <v>367</v>
      </c>
      <c r="C22435" t="s">
        <v>63672</v>
      </c>
      <c r="D22435" t="s">
        <v>63794</v>
      </c>
      <c r="E22435" t="b">
        <v>0</v>
      </c>
      <c r="F22435" t="s">
        <v>11624</v>
      </c>
      <c r="G22435">
        <v>-6.8344300000000002</v>
      </c>
      <c r="H22435">
        <v>156.655</v>
      </c>
      <c r="I22435" t="s">
        <v>63795</v>
      </c>
      <c r="L22435">
        <v>0</v>
      </c>
      <c r="M22435">
        <v>0</v>
      </c>
      <c r="N22435">
        <v>2</v>
      </c>
      <c r="O22435" t="s">
        <v>13346</v>
      </c>
    </row>
    <row r="22436" spans="1:15">
      <c r="A22436" t="s">
        <v>63796</v>
      </c>
      <c r="B22436" t="s">
        <v>11637</v>
      </c>
      <c r="C22436" t="s">
        <v>22579</v>
      </c>
      <c r="D22436" t="s">
        <v>63797</v>
      </c>
      <c r="E22436" t="b">
        <v>0</v>
      </c>
      <c r="F22436" t="s">
        <v>11610</v>
      </c>
      <c r="L22436">
        <v>0</v>
      </c>
      <c r="M22436">
        <v>0</v>
      </c>
      <c r="N22436">
        <v>0</v>
      </c>
    </row>
    <row r="22437" spans="1:15">
      <c r="A22437" t="s">
        <v>24250</v>
      </c>
      <c r="B22437" t="s">
        <v>11637</v>
      </c>
      <c r="C22437" t="s">
        <v>13719</v>
      </c>
      <c r="D22437" t="s">
        <v>63798</v>
      </c>
      <c r="E22437" t="b">
        <v>0</v>
      </c>
      <c r="F22437" t="s">
        <v>11624</v>
      </c>
      <c r="G22437">
        <v>20.563500000000001</v>
      </c>
      <c r="H22437">
        <v>73.297499999999999</v>
      </c>
      <c r="I22437" t="s">
        <v>63799</v>
      </c>
      <c r="L22437">
        <v>0</v>
      </c>
      <c r="M22437">
        <v>0</v>
      </c>
      <c r="N22437">
        <v>3</v>
      </c>
      <c r="O22437" t="s">
        <v>11630</v>
      </c>
    </row>
    <row r="22438" spans="1:15">
      <c r="A22438" t="s">
        <v>63800</v>
      </c>
      <c r="B22438" t="s">
        <v>11637</v>
      </c>
      <c r="C22438" t="s">
        <v>36653</v>
      </c>
      <c r="D22438" t="s">
        <v>63801</v>
      </c>
      <c r="E22438" t="b">
        <v>0</v>
      </c>
      <c r="F22438" t="s">
        <v>11610</v>
      </c>
      <c r="L22438">
        <v>0</v>
      </c>
      <c r="M22438">
        <v>0</v>
      </c>
      <c r="N22438">
        <v>0</v>
      </c>
    </row>
    <row r="22439" spans="1:15">
      <c r="A22439" t="s">
        <v>13378</v>
      </c>
      <c r="B22439" t="s">
        <v>11637</v>
      </c>
      <c r="C22439" t="s">
        <v>48096</v>
      </c>
      <c r="D22439" t="s">
        <v>63802</v>
      </c>
      <c r="E22439" t="b">
        <v>0</v>
      </c>
      <c r="F22439" t="s">
        <v>11624</v>
      </c>
      <c r="G22439">
        <v>21.362400000000001</v>
      </c>
      <c r="H22439">
        <v>73.865200000000002</v>
      </c>
      <c r="I22439" t="s">
        <v>63803</v>
      </c>
      <c r="L22439">
        <v>0</v>
      </c>
      <c r="M22439">
        <v>0</v>
      </c>
      <c r="N22439">
        <v>5</v>
      </c>
      <c r="O22439" t="s">
        <v>11630</v>
      </c>
    </row>
    <row r="22440" spans="1:15">
      <c r="A22440" t="s">
        <v>48096</v>
      </c>
      <c r="B22440" t="s">
        <v>11637</v>
      </c>
      <c r="C22440" t="s">
        <v>1274</v>
      </c>
      <c r="D22440" t="s">
        <v>63804</v>
      </c>
      <c r="E22440" t="b">
        <v>0</v>
      </c>
      <c r="F22440" t="s">
        <v>11622</v>
      </c>
      <c r="L22440">
        <v>0</v>
      </c>
      <c r="M22440">
        <v>2</v>
      </c>
      <c r="N22440">
        <v>6</v>
      </c>
    </row>
    <row r="22441" spans="1:15">
      <c r="A22441" t="s">
        <v>63805</v>
      </c>
      <c r="B22441" t="s">
        <v>12738</v>
      </c>
      <c r="C22441" t="s">
        <v>21927</v>
      </c>
      <c r="D22441" t="s">
        <v>63806</v>
      </c>
      <c r="E22441" t="b">
        <v>0</v>
      </c>
      <c r="F22441" t="s">
        <v>11624</v>
      </c>
      <c r="G22441">
        <v>-18.267499999999998</v>
      </c>
      <c r="H22441">
        <v>18.186399999999999</v>
      </c>
      <c r="I22441" t="s">
        <v>63807</v>
      </c>
      <c r="L22441">
        <v>0</v>
      </c>
      <c r="M22441">
        <v>0</v>
      </c>
      <c r="N22441">
        <v>0</v>
      </c>
      <c r="O22441" t="s">
        <v>46</v>
      </c>
    </row>
    <row r="22442" spans="1:15">
      <c r="A22442" t="s">
        <v>63808</v>
      </c>
      <c r="B22442" t="s">
        <v>12260</v>
      </c>
      <c r="C22442" t="s">
        <v>27730</v>
      </c>
      <c r="D22442" t="s">
        <v>63809</v>
      </c>
      <c r="E22442" t="b">
        <v>0</v>
      </c>
      <c r="F22442" t="s">
        <v>11610</v>
      </c>
      <c r="L22442">
        <v>0</v>
      </c>
      <c r="M22442">
        <v>0</v>
      </c>
      <c r="N22442">
        <v>0</v>
      </c>
    </row>
    <row r="22443" spans="1:15">
      <c r="A22443" t="s">
        <v>46964</v>
      </c>
      <c r="B22443" t="s">
        <v>11637</v>
      </c>
      <c r="C22443" t="s">
        <v>23926</v>
      </c>
      <c r="D22443" t="s">
        <v>63810</v>
      </c>
      <c r="E22443" t="b">
        <v>0</v>
      </c>
      <c r="F22443" t="s">
        <v>11610</v>
      </c>
      <c r="L22443">
        <v>0</v>
      </c>
      <c r="M22443">
        <v>0</v>
      </c>
      <c r="N22443">
        <v>9</v>
      </c>
    </row>
    <row r="22444" spans="1:15">
      <c r="A22444" t="s">
        <v>63811</v>
      </c>
      <c r="B22444" t="s">
        <v>367</v>
      </c>
      <c r="C22444" t="s">
        <v>61414</v>
      </c>
      <c r="D22444" t="s">
        <v>63812</v>
      </c>
      <c r="E22444" t="b">
        <v>0</v>
      </c>
      <c r="F22444" t="s">
        <v>11610</v>
      </c>
      <c r="L22444">
        <v>0</v>
      </c>
      <c r="M22444">
        <v>0</v>
      </c>
      <c r="N22444">
        <v>0</v>
      </c>
    </row>
    <row r="22445" spans="1:15">
      <c r="A22445" t="s">
        <v>63813</v>
      </c>
      <c r="B22445" t="s">
        <v>12260</v>
      </c>
      <c r="C22445" t="s">
        <v>21982</v>
      </c>
      <c r="D22445" t="s">
        <v>63814</v>
      </c>
      <c r="E22445" t="b">
        <v>0</v>
      </c>
      <c r="F22445" t="s">
        <v>11610</v>
      </c>
      <c r="L22445">
        <v>0</v>
      </c>
      <c r="M22445">
        <v>0</v>
      </c>
      <c r="N22445">
        <v>0</v>
      </c>
    </row>
    <row r="22446" spans="1:15">
      <c r="A22446" t="s">
        <v>63815</v>
      </c>
      <c r="B22446" t="s">
        <v>6742</v>
      </c>
      <c r="C22446" t="s">
        <v>39084</v>
      </c>
      <c r="D22446" t="s">
        <v>63816</v>
      </c>
      <c r="E22446" t="b">
        <v>0</v>
      </c>
      <c r="F22446" t="s">
        <v>11610</v>
      </c>
      <c r="L22446">
        <v>0</v>
      </c>
      <c r="M22446">
        <v>0</v>
      </c>
      <c r="N22446">
        <v>0</v>
      </c>
    </row>
    <row r="22447" spans="1:15">
      <c r="A22447" t="s">
        <v>63817</v>
      </c>
      <c r="B22447" t="s">
        <v>11627</v>
      </c>
      <c r="C22447" t="s">
        <v>11627</v>
      </c>
      <c r="D22447" t="s">
        <v>63818</v>
      </c>
      <c r="E22447" t="b">
        <v>1</v>
      </c>
      <c r="F22447" t="s">
        <v>11624</v>
      </c>
      <c r="G22447">
        <v>-13.83</v>
      </c>
      <c r="H22447">
        <v>167.42</v>
      </c>
      <c r="I22447" t="s">
        <v>63819</v>
      </c>
      <c r="L22447">
        <v>0</v>
      </c>
      <c r="M22447">
        <v>0</v>
      </c>
      <c r="N22447">
        <v>0</v>
      </c>
      <c r="O22447" t="s">
        <v>12719</v>
      </c>
    </row>
    <row r="22448" spans="1:15">
      <c r="A22448" t="s">
        <v>63820</v>
      </c>
      <c r="B22448" t="s">
        <v>11637</v>
      </c>
      <c r="C22448" t="s">
        <v>21288</v>
      </c>
      <c r="D22448" t="s">
        <v>63821</v>
      </c>
      <c r="E22448" t="b">
        <v>0</v>
      </c>
      <c r="F22448" t="s">
        <v>11610</v>
      </c>
      <c r="L22448">
        <v>0</v>
      </c>
      <c r="M22448">
        <v>0</v>
      </c>
      <c r="N22448">
        <v>0</v>
      </c>
    </row>
    <row r="22449" spans="1:15">
      <c r="A22449" t="s">
        <v>63822</v>
      </c>
      <c r="B22449" t="s">
        <v>20840</v>
      </c>
      <c r="C22449" t="s">
        <v>20839</v>
      </c>
      <c r="D22449" t="s">
        <v>63823</v>
      </c>
      <c r="E22449" t="b">
        <v>0</v>
      </c>
      <c r="F22449" t="s">
        <v>11610</v>
      </c>
      <c r="L22449">
        <v>0</v>
      </c>
      <c r="M22449">
        <v>0</v>
      </c>
      <c r="N22449">
        <v>0</v>
      </c>
    </row>
    <row r="22450" spans="1:15">
      <c r="A22450" t="s">
        <v>63824</v>
      </c>
      <c r="B22450" t="s">
        <v>367</v>
      </c>
      <c r="C22450" t="s">
        <v>61414</v>
      </c>
      <c r="D22450" t="s">
        <v>63825</v>
      </c>
      <c r="E22450" t="b">
        <v>0</v>
      </c>
      <c r="F22450" t="s">
        <v>11610</v>
      </c>
      <c r="L22450">
        <v>0</v>
      </c>
      <c r="M22450">
        <v>0</v>
      </c>
      <c r="N22450">
        <v>0</v>
      </c>
    </row>
    <row r="22451" spans="1:15">
      <c r="A22451" t="s">
        <v>63826</v>
      </c>
      <c r="B22451" t="s">
        <v>13360</v>
      </c>
      <c r="C22451" t="s">
        <v>13360</v>
      </c>
      <c r="D22451" t="s">
        <v>63827</v>
      </c>
      <c r="E22451" t="b">
        <v>0</v>
      </c>
      <c r="F22451" t="s">
        <v>11624</v>
      </c>
      <c r="L22451">
        <v>0</v>
      </c>
      <c r="M22451">
        <v>0</v>
      </c>
      <c r="N22451">
        <v>0</v>
      </c>
      <c r="O22451" t="s">
        <v>14012</v>
      </c>
    </row>
    <row r="22452" spans="1:15">
      <c r="A22452" t="s">
        <v>63828</v>
      </c>
      <c r="B22452" t="s">
        <v>11637</v>
      </c>
      <c r="C22452" t="s">
        <v>57411</v>
      </c>
      <c r="D22452" t="s">
        <v>63829</v>
      </c>
      <c r="E22452" t="b">
        <v>0</v>
      </c>
      <c r="F22452" t="s">
        <v>11624</v>
      </c>
      <c r="G22452">
        <v>6.9739599999999999</v>
      </c>
      <c r="H22452">
        <v>81.261799999999994</v>
      </c>
      <c r="I22452" t="s">
        <v>63830</v>
      </c>
      <c r="L22452">
        <v>0</v>
      </c>
      <c r="M22452">
        <v>0</v>
      </c>
      <c r="N22452">
        <v>0</v>
      </c>
      <c r="O22452" t="s">
        <v>57414</v>
      </c>
    </row>
    <row r="22453" spans="1:15">
      <c r="A22453" t="s">
        <v>63831</v>
      </c>
      <c r="B22453" t="s">
        <v>11637</v>
      </c>
      <c r="C22453" t="s">
        <v>29782</v>
      </c>
      <c r="D22453" t="s">
        <v>63832</v>
      </c>
      <c r="E22453" t="b">
        <v>0</v>
      </c>
      <c r="F22453" t="s">
        <v>11610</v>
      </c>
      <c r="L22453">
        <v>0</v>
      </c>
      <c r="M22453">
        <v>0</v>
      </c>
      <c r="N22453">
        <v>0</v>
      </c>
    </row>
    <row r="22454" spans="1:15">
      <c r="A22454" t="s">
        <v>63833</v>
      </c>
      <c r="B22454" t="s">
        <v>367</v>
      </c>
      <c r="C22454" t="s">
        <v>19970</v>
      </c>
      <c r="D22454" t="s">
        <v>63834</v>
      </c>
      <c r="E22454" t="b">
        <v>0</v>
      </c>
      <c r="F22454" t="s">
        <v>11624</v>
      </c>
      <c r="G22454">
        <v>-6.9215099999999996</v>
      </c>
      <c r="H22454">
        <v>146.89500000000001</v>
      </c>
      <c r="I22454" t="s">
        <v>63835</v>
      </c>
      <c r="L22454">
        <v>0</v>
      </c>
      <c r="M22454">
        <v>0</v>
      </c>
      <c r="N22454">
        <v>0</v>
      </c>
      <c r="O22454" t="s">
        <v>11660</v>
      </c>
    </row>
    <row r="22455" spans="1:15">
      <c r="A22455" t="s">
        <v>15607</v>
      </c>
      <c r="B22455" t="s">
        <v>367</v>
      </c>
      <c r="C22455" t="s">
        <v>5294</v>
      </c>
      <c r="D22455" t="s">
        <v>63836</v>
      </c>
      <c r="E22455" t="b">
        <v>0</v>
      </c>
      <c r="F22455" t="s">
        <v>11622</v>
      </c>
      <c r="L22455">
        <v>3</v>
      </c>
      <c r="M22455">
        <v>11</v>
      </c>
      <c r="N22455">
        <v>2</v>
      </c>
    </row>
    <row r="22456" spans="1:15">
      <c r="A22456" t="s">
        <v>25847</v>
      </c>
      <c r="B22456" t="s">
        <v>11637</v>
      </c>
      <c r="C22456" t="s">
        <v>11936</v>
      </c>
      <c r="D22456" t="s">
        <v>63837</v>
      </c>
      <c r="E22456" t="b">
        <v>0</v>
      </c>
      <c r="F22456" t="s">
        <v>11610</v>
      </c>
      <c r="G22456">
        <v>52.270200000000003</v>
      </c>
      <c r="H22456">
        <v>5.9440799999999996</v>
      </c>
      <c r="I22456" t="s">
        <v>63838</v>
      </c>
      <c r="L22456">
        <v>0</v>
      </c>
      <c r="M22456">
        <v>0</v>
      </c>
      <c r="N22456">
        <v>2</v>
      </c>
      <c r="O22456" t="s">
        <v>25638</v>
      </c>
    </row>
    <row r="22457" spans="1:15">
      <c r="A22457" t="s">
        <v>63839</v>
      </c>
      <c r="B22457" t="s">
        <v>367</v>
      </c>
      <c r="C22457" t="s">
        <v>39547</v>
      </c>
      <c r="D22457" t="s">
        <v>63840</v>
      </c>
      <c r="E22457" t="b">
        <v>0</v>
      </c>
      <c r="F22457" t="s">
        <v>11610</v>
      </c>
      <c r="L22457">
        <v>0</v>
      </c>
      <c r="M22457">
        <v>0</v>
      </c>
      <c r="N22457">
        <v>0</v>
      </c>
    </row>
    <row r="22458" spans="1:15">
      <c r="A22458" t="s">
        <v>63841</v>
      </c>
      <c r="B22458" t="s">
        <v>11607</v>
      </c>
      <c r="C22458" t="s">
        <v>30930</v>
      </c>
      <c r="D22458" t="s">
        <v>63842</v>
      </c>
      <c r="E22458" t="b">
        <v>0</v>
      </c>
      <c r="F22458" t="s">
        <v>11624</v>
      </c>
      <c r="G22458">
        <v>10.8301</v>
      </c>
      <c r="H22458">
        <v>13.6633</v>
      </c>
      <c r="I22458" t="s">
        <v>63843</v>
      </c>
      <c r="L22458">
        <v>0</v>
      </c>
      <c r="M22458">
        <v>0</v>
      </c>
      <c r="N22458">
        <v>2</v>
      </c>
      <c r="O22458" t="s">
        <v>11802</v>
      </c>
    </row>
    <row r="22459" spans="1:15">
      <c r="A22459" t="s">
        <v>63844</v>
      </c>
      <c r="B22459" t="s">
        <v>11607</v>
      </c>
      <c r="C22459" t="s">
        <v>63841</v>
      </c>
      <c r="D22459" t="s">
        <v>63845</v>
      </c>
      <c r="E22459" t="b">
        <v>0</v>
      </c>
      <c r="F22459" t="s">
        <v>11610</v>
      </c>
      <c r="L22459">
        <v>0</v>
      </c>
      <c r="M22459">
        <v>0</v>
      </c>
      <c r="N22459">
        <v>0</v>
      </c>
    </row>
    <row r="22460" spans="1:15">
      <c r="A22460" t="s">
        <v>63846</v>
      </c>
      <c r="B22460" t="s">
        <v>11637</v>
      </c>
      <c r="C22460" t="s">
        <v>23458</v>
      </c>
      <c r="D22460" t="s">
        <v>63847</v>
      </c>
      <c r="E22460" t="b">
        <v>0</v>
      </c>
      <c r="F22460" t="s">
        <v>11610</v>
      </c>
      <c r="L22460">
        <v>0</v>
      </c>
      <c r="M22460">
        <v>0</v>
      </c>
      <c r="N22460">
        <v>0</v>
      </c>
    </row>
    <row r="22461" spans="1:15">
      <c r="A22461" t="s">
        <v>3970</v>
      </c>
      <c r="B22461" t="s">
        <v>6742</v>
      </c>
      <c r="C22461" t="s">
        <v>57927</v>
      </c>
      <c r="D22461" t="s">
        <v>3969</v>
      </c>
      <c r="E22461" t="b">
        <v>0</v>
      </c>
      <c r="F22461" t="s">
        <v>11624</v>
      </c>
      <c r="G22461">
        <v>-22.187999999999999</v>
      </c>
      <c r="H22461">
        <v>29.952300000000001</v>
      </c>
      <c r="I22461" t="s">
        <v>3971</v>
      </c>
      <c r="L22461">
        <v>0</v>
      </c>
      <c r="M22461">
        <v>0</v>
      </c>
      <c r="N22461">
        <v>7</v>
      </c>
      <c r="O22461" t="s">
        <v>18806</v>
      </c>
    </row>
    <row r="22462" spans="1:15">
      <c r="A22462" t="s">
        <v>63848</v>
      </c>
      <c r="B22462" t="s">
        <v>6742</v>
      </c>
      <c r="C22462" t="s">
        <v>14829</v>
      </c>
      <c r="D22462" t="s">
        <v>63849</v>
      </c>
      <c r="E22462" t="b">
        <v>0</v>
      </c>
      <c r="F22462" t="s">
        <v>11610</v>
      </c>
      <c r="L22462">
        <v>0</v>
      </c>
      <c r="M22462">
        <v>0</v>
      </c>
      <c r="N22462">
        <v>0</v>
      </c>
    </row>
    <row r="22463" spans="1:15">
      <c r="A22463" t="s">
        <v>20485</v>
      </c>
      <c r="B22463" t="s">
        <v>11637</v>
      </c>
      <c r="C22463" t="s">
        <v>58913</v>
      </c>
      <c r="D22463" t="s">
        <v>63850</v>
      </c>
      <c r="E22463" t="b">
        <v>0</v>
      </c>
      <c r="F22463" t="s">
        <v>11610</v>
      </c>
      <c r="L22463">
        <v>0</v>
      </c>
      <c r="M22463">
        <v>0</v>
      </c>
      <c r="N22463">
        <v>3</v>
      </c>
    </row>
    <row r="22464" spans="1:15">
      <c r="A22464" t="s">
        <v>63851</v>
      </c>
      <c r="B22464" t="s">
        <v>11981</v>
      </c>
      <c r="C22464" t="s">
        <v>44241</v>
      </c>
      <c r="D22464" t="s">
        <v>63852</v>
      </c>
      <c r="E22464" t="b">
        <v>0</v>
      </c>
      <c r="F22464" t="s">
        <v>11624</v>
      </c>
      <c r="G22464">
        <v>10.3294</v>
      </c>
      <c r="H22464">
        <v>-66.767799999999994</v>
      </c>
      <c r="I22464" t="s">
        <v>63853</v>
      </c>
      <c r="L22464">
        <v>0</v>
      </c>
      <c r="M22464">
        <v>0</v>
      </c>
      <c r="N22464">
        <v>0</v>
      </c>
      <c r="O22464" t="s">
        <v>16711</v>
      </c>
    </row>
    <row r="22465" spans="1:15">
      <c r="A22465" t="s">
        <v>63854</v>
      </c>
      <c r="B22465" t="s">
        <v>11637</v>
      </c>
      <c r="C22465" t="s">
        <v>11637</v>
      </c>
      <c r="D22465" t="s">
        <v>63855</v>
      </c>
      <c r="E22465" t="b">
        <v>0</v>
      </c>
      <c r="F22465" t="s">
        <v>11624</v>
      </c>
      <c r="I22465" t="s">
        <v>63856</v>
      </c>
      <c r="L22465">
        <v>0</v>
      </c>
      <c r="M22465">
        <v>0</v>
      </c>
      <c r="N22465">
        <v>0</v>
      </c>
      <c r="O22465" t="s">
        <v>13676</v>
      </c>
    </row>
    <row r="22466" spans="1:15">
      <c r="A22466" t="s">
        <v>18835</v>
      </c>
      <c r="B22466" t="s">
        <v>11637</v>
      </c>
      <c r="C22466" t="s">
        <v>27138</v>
      </c>
      <c r="D22466" t="s">
        <v>63857</v>
      </c>
      <c r="E22466" t="b">
        <v>0</v>
      </c>
      <c r="F22466" t="s">
        <v>11624</v>
      </c>
      <c r="G22466">
        <v>45.503580999999997</v>
      </c>
      <c r="H22466">
        <v>12.214167</v>
      </c>
      <c r="I22466" t="s">
        <v>63858</v>
      </c>
      <c r="L22466">
        <v>0</v>
      </c>
      <c r="M22466">
        <v>0</v>
      </c>
      <c r="N22466">
        <v>5</v>
      </c>
      <c r="O22466" t="s">
        <v>11969</v>
      </c>
    </row>
    <row r="22467" spans="1:15">
      <c r="A22467" t="s">
        <v>63859</v>
      </c>
      <c r="B22467" t="s">
        <v>11637</v>
      </c>
      <c r="C22467" t="s">
        <v>18835</v>
      </c>
      <c r="D22467" t="s">
        <v>63860</v>
      </c>
      <c r="E22467" t="b">
        <v>0</v>
      </c>
      <c r="F22467" t="s">
        <v>11610</v>
      </c>
      <c r="L22467">
        <v>0</v>
      </c>
      <c r="M22467">
        <v>0</v>
      </c>
      <c r="N22467">
        <v>0</v>
      </c>
    </row>
    <row r="22468" spans="1:15">
      <c r="A22468" t="s">
        <v>42813</v>
      </c>
      <c r="B22468" t="s">
        <v>8310</v>
      </c>
      <c r="C22468" t="s">
        <v>8310</v>
      </c>
      <c r="D22468" t="s">
        <v>63861</v>
      </c>
      <c r="E22468" t="b">
        <v>0</v>
      </c>
      <c r="F22468" t="s">
        <v>11622</v>
      </c>
      <c r="L22468">
        <v>7</v>
      </c>
      <c r="M22468">
        <v>14</v>
      </c>
      <c r="N22468">
        <v>8</v>
      </c>
    </row>
    <row r="22469" spans="1:15">
      <c r="A22469" t="s">
        <v>63862</v>
      </c>
      <c r="B22469" t="s">
        <v>6742</v>
      </c>
      <c r="C22469" t="s">
        <v>15645</v>
      </c>
      <c r="D22469" t="s">
        <v>63863</v>
      </c>
      <c r="E22469" t="b">
        <v>0</v>
      </c>
      <c r="F22469" t="s">
        <v>11624</v>
      </c>
      <c r="G22469">
        <v>6.1140299999999996</v>
      </c>
      <c r="H22469">
        <v>10.4137</v>
      </c>
      <c r="I22469" t="s">
        <v>63864</v>
      </c>
      <c r="L22469">
        <v>0</v>
      </c>
      <c r="M22469">
        <v>0</v>
      </c>
      <c r="N22469">
        <v>0</v>
      </c>
      <c r="O22469" t="s">
        <v>11703</v>
      </c>
    </row>
    <row r="22470" spans="1:15">
      <c r="A22470" t="s">
        <v>63865</v>
      </c>
      <c r="B22470" t="s">
        <v>367</v>
      </c>
      <c r="C22470" t="s">
        <v>32558</v>
      </c>
      <c r="D22470" t="s">
        <v>63866</v>
      </c>
      <c r="E22470" t="b">
        <v>0</v>
      </c>
      <c r="F22470" t="s">
        <v>11610</v>
      </c>
      <c r="L22470">
        <v>0</v>
      </c>
      <c r="M22470">
        <v>0</v>
      </c>
      <c r="N22470">
        <v>0</v>
      </c>
    </row>
    <row r="22471" spans="1:15">
      <c r="A22471" t="s">
        <v>63867</v>
      </c>
      <c r="B22471" t="s">
        <v>16997</v>
      </c>
      <c r="C22471" t="s">
        <v>16998</v>
      </c>
      <c r="D22471" t="s">
        <v>63868</v>
      </c>
      <c r="E22471" t="b">
        <v>0</v>
      </c>
      <c r="F22471" t="s">
        <v>11624</v>
      </c>
      <c r="G22471">
        <v>34.176099999999998</v>
      </c>
      <c r="H22471">
        <v>-119.035</v>
      </c>
      <c r="I22471" t="s">
        <v>63869</v>
      </c>
      <c r="L22471">
        <v>0</v>
      </c>
      <c r="M22471">
        <v>0</v>
      </c>
      <c r="N22471">
        <v>0</v>
      </c>
      <c r="O22471" t="s">
        <v>11944</v>
      </c>
    </row>
    <row r="22472" spans="1:15">
      <c r="A22472" t="s">
        <v>21321</v>
      </c>
      <c r="B22472" t="s">
        <v>12260</v>
      </c>
      <c r="C22472" t="s">
        <v>26639</v>
      </c>
      <c r="D22472" t="s">
        <v>63870</v>
      </c>
      <c r="E22472" t="b">
        <v>0</v>
      </c>
      <c r="F22472" t="s">
        <v>11624</v>
      </c>
      <c r="G22472">
        <v>60.335299999999997</v>
      </c>
      <c r="H22472">
        <v>34.786499999999997</v>
      </c>
      <c r="I22472" t="s">
        <v>63871</v>
      </c>
      <c r="L22472">
        <v>0</v>
      </c>
      <c r="M22472">
        <v>0</v>
      </c>
      <c r="N22472">
        <v>3</v>
      </c>
      <c r="O22472" t="s">
        <v>12748</v>
      </c>
    </row>
    <row r="22473" spans="1:15">
      <c r="A22473" t="s">
        <v>63872</v>
      </c>
      <c r="B22473" t="s">
        <v>11615</v>
      </c>
      <c r="C22473" t="s">
        <v>11641</v>
      </c>
      <c r="D22473" t="s">
        <v>63873</v>
      </c>
      <c r="E22473" t="b">
        <v>0</v>
      </c>
      <c r="F22473" t="s">
        <v>11610</v>
      </c>
      <c r="L22473">
        <v>0</v>
      </c>
      <c r="M22473">
        <v>0</v>
      </c>
      <c r="N22473">
        <v>0</v>
      </c>
    </row>
    <row r="22474" spans="1:15">
      <c r="A22474" t="s">
        <v>39897</v>
      </c>
      <c r="B22474" t="s">
        <v>367</v>
      </c>
      <c r="C22474" t="s">
        <v>39803</v>
      </c>
      <c r="D22474" t="s">
        <v>63874</v>
      </c>
      <c r="E22474" t="b">
        <v>0</v>
      </c>
      <c r="F22474" t="s">
        <v>11624</v>
      </c>
      <c r="G22474">
        <v>-13.892528</v>
      </c>
      <c r="H22474">
        <v>167.42870099999999</v>
      </c>
      <c r="I22474" t="s">
        <v>63875</v>
      </c>
      <c r="L22474">
        <v>0</v>
      </c>
      <c r="M22474">
        <v>0</v>
      </c>
      <c r="N22474">
        <v>3</v>
      </c>
      <c r="O22474" t="s">
        <v>12719</v>
      </c>
    </row>
    <row r="22475" spans="1:15">
      <c r="A22475" t="s">
        <v>37122</v>
      </c>
      <c r="B22475" t="s">
        <v>6742</v>
      </c>
      <c r="C22475" t="s">
        <v>25386</v>
      </c>
      <c r="D22475" t="s">
        <v>63876</v>
      </c>
      <c r="E22475" t="b">
        <v>0</v>
      </c>
      <c r="F22475" t="s">
        <v>11622</v>
      </c>
      <c r="L22475">
        <v>2</v>
      </c>
      <c r="M22475">
        <v>6</v>
      </c>
      <c r="N22475">
        <v>13</v>
      </c>
    </row>
    <row r="22476" spans="1:15">
      <c r="A22476" t="s">
        <v>37117</v>
      </c>
      <c r="B22476" t="s">
        <v>6742</v>
      </c>
      <c r="C22476" t="s">
        <v>37122</v>
      </c>
      <c r="D22476" t="s">
        <v>63877</v>
      </c>
      <c r="E22476" t="b">
        <v>0</v>
      </c>
      <c r="F22476" t="s">
        <v>11622</v>
      </c>
      <c r="L22476">
        <v>0</v>
      </c>
      <c r="M22476">
        <v>4</v>
      </c>
      <c r="N22476">
        <v>12</v>
      </c>
    </row>
    <row r="22477" spans="1:15">
      <c r="A22477" t="s">
        <v>63878</v>
      </c>
      <c r="B22477" t="s">
        <v>367</v>
      </c>
      <c r="C22477" t="s">
        <v>7411</v>
      </c>
      <c r="D22477" t="s">
        <v>63879</v>
      </c>
      <c r="E22477" t="b">
        <v>0</v>
      </c>
      <c r="F22477" t="s">
        <v>11610</v>
      </c>
      <c r="L22477">
        <v>0</v>
      </c>
      <c r="M22477">
        <v>0</v>
      </c>
      <c r="N22477">
        <v>0</v>
      </c>
    </row>
    <row r="22478" spans="1:15">
      <c r="A22478" t="s">
        <v>63880</v>
      </c>
      <c r="B22478" t="s">
        <v>6742</v>
      </c>
      <c r="C22478" t="s">
        <v>37117</v>
      </c>
      <c r="D22478" t="s">
        <v>63881</v>
      </c>
      <c r="E22478" t="b">
        <v>0</v>
      </c>
      <c r="F22478" t="s">
        <v>11624</v>
      </c>
      <c r="L22478">
        <v>0</v>
      </c>
      <c r="M22478">
        <v>0</v>
      </c>
      <c r="N22478">
        <v>0</v>
      </c>
      <c r="O22478" t="s">
        <v>11693</v>
      </c>
    </row>
    <row r="22479" spans="1:15">
      <c r="A22479" t="s">
        <v>63882</v>
      </c>
      <c r="B22479" t="s">
        <v>12686</v>
      </c>
      <c r="C22479" t="s">
        <v>46983</v>
      </c>
      <c r="D22479" t="s">
        <v>63883</v>
      </c>
      <c r="E22479" t="b">
        <v>0</v>
      </c>
      <c r="F22479" t="s">
        <v>11610</v>
      </c>
      <c r="L22479">
        <v>0</v>
      </c>
      <c r="M22479">
        <v>0</v>
      </c>
      <c r="N22479">
        <v>0</v>
      </c>
    </row>
    <row r="22480" spans="1:15">
      <c r="A22480" t="s">
        <v>63884</v>
      </c>
      <c r="B22480" t="s">
        <v>11637</v>
      </c>
      <c r="C22480" t="s">
        <v>13473</v>
      </c>
      <c r="D22480" t="s">
        <v>63885</v>
      </c>
      <c r="E22480" t="b">
        <v>0</v>
      </c>
      <c r="F22480" t="s">
        <v>11610</v>
      </c>
      <c r="L22480">
        <v>0</v>
      </c>
      <c r="M22480">
        <v>0</v>
      </c>
      <c r="N22480">
        <v>0</v>
      </c>
    </row>
    <row r="22481" spans="1:15">
      <c r="A22481" t="s">
        <v>63886</v>
      </c>
      <c r="B22481" t="s">
        <v>11637</v>
      </c>
      <c r="C22481" t="s">
        <v>30993</v>
      </c>
      <c r="D22481" t="s">
        <v>63887</v>
      </c>
      <c r="E22481" t="b">
        <v>0</v>
      </c>
      <c r="F22481" t="s">
        <v>11610</v>
      </c>
      <c r="L22481">
        <v>0</v>
      </c>
      <c r="M22481">
        <v>0</v>
      </c>
      <c r="N22481">
        <v>0</v>
      </c>
    </row>
    <row r="22482" spans="1:15">
      <c r="A22482" t="s">
        <v>63888</v>
      </c>
      <c r="B22482" t="s">
        <v>11637</v>
      </c>
      <c r="C22482" t="s">
        <v>10561</v>
      </c>
      <c r="D22482" t="s">
        <v>63889</v>
      </c>
      <c r="E22482" t="b">
        <v>0</v>
      </c>
      <c r="F22482" t="s">
        <v>11610</v>
      </c>
      <c r="L22482">
        <v>0</v>
      </c>
      <c r="M22482">
        <v>0</v>
      </c>
      <c r="N22482">
        <v>0</v>
      </c>
    </row>
    <row r="22483" spans="1:15">
      <c r="A22483" t="s">
        <v>63890</v>
      </c>
      <c r="B22483" t="s">
        <v>11844</v>
      </c>
      <c r="C22483" t="s">
        <v>42024</v>
      </c>
      <c r="D22483" t="s">
        <v>63891</v>
      </c>
      <c r="E22483" t="b">
        <v>0</v>
      </c>
      <c r="F22483" t="s">
        <v>11610</v>
      </c>
      <c r="L22483">
        <v>0</v>
      </c>
      <c r="M22483">
        <v>0</v>
      </c>
      <c r="N22483">
        <v>0</v>
      </c>
    </row>
    <row r="22484" spans="1:15">
      <c r="A22484" t="s">
        <v>63892</v>
      </c>
      <c r="B22484" t="s">
        <v>11844</v>
      </c>
      <c r="C22484" t="s">
        <v>42024</v>
      </c>
      <c r="D22484" t="s">
        <v>63893</v>
      </c>
      <c r="E22484" t="b">
        <v>0</v>
      </c>
      <c r="F22484" t="s">
        <v>11610</v>
      </c>
      <c r="L22484">
        <v>0</v>
      </c>
      <c r="M22484">
        <v>0</v>
      </c>
      <c r="N22484">
        <v>0</v>
      </c>
    </row>
    <row r="22485" spans="1:15">
      <c r="A22485" t="s">
        <v>63894</v>
      </c>
      <c r="B22485" t="s">
        <v>11844</v>
      </c>
      <c r="C22485" t="s">
        <v>43997</v>
      </c>
      <c r="D22485" t="s">
        <v>63895</v>
      </c>
      <c r="E22485" t="b">
        <v>0</v>
      </c>
      <c r="F22485" t="s">
        <v>11610</v>
      </c>
      <c r="L22485">
        <v>0</v>
      </c>
      <c r="M22485">
        <v>0</v>
      </c>
      <c r="N22485">
        <v>0</v>
      </c>
    </row>
    <row r="22486" spans="1:15">
      <c r="A22486" t="s">
        <v>63896</v>
      </c>
      <c r="B22486" t="s">
        <v>367</v>
      </c>
      <c r="C22486" t="s">
        <v>49754</v>
      </c>
      <c r="D22486" t="s">
        <v>63897</v>
      </c>
      <c r="E22486" t="b">
        <v>0</v>
      </c>
      <c r="F22486" t="s">
        <v>11610</v>
      </c>
      <c r="L22486">
        <v>0</v>
      </c>
      <c r="M22486">
        <v>0</v>
      </c>
      <c r="N22486">
        <v>0</v>
      </c>
    </row>
    <row r="22487" spans="1:15">
      <c r="A22487" t="s">
        <v>63898</v>
      </c>
      <c r="B22487" t="s">
        <v>367</v>
      </c>
      <c r="C22487" t="s">
        <v>2145</v>
      </c>
      <c r="D22487" t="s">
        <v>63899</v>
      </c>
      <c r="E22487" t="b">
        <v>0</v>
      </c>
      <c r="F22487" t="s">
        <v>11610</v>
      </c>
      <c r="G22487">
        <v>-23.34</v>
      </c>
      <c r="H22487">
        <v>43.67</v>
      </c>
      <c r="L22487">
        <v>0</v>
      </c>
      <c r="M22487">
        <v>0</v>
      </c>
      <c r="N22487">
        <v>0</v>
      </c>
    </row>
    <row r="22488" spans="1:15">
      <c r="A22488" t="s">
        <v>63900</v>
      </c>
      <c r="B22488" t="s">
        <v>11637</v>
      </c>
      <c r="C22488" t="s">
        <v>7239</v>
      </c>
      <c r="D22488" t="s">
        <v>63901</v>
      </c>
      <c r="E22488" t="b">
        <v>0</v>
      </c>
      <c r="F22488" t="s">
        <v>11610</v>
      </c>
      <c r="L22488">
        <v>0</v>
      </c>
      <c r="M22488">
        <v>0</v>
      </c>
      <c r="N22488">
        <v>0</v>
      </c>
    </row>
    <row r="22489" spans="1:15">
      <c r="A22489" t="s">
        <v>63902</v>
      </c>
      <c r="B22489" t="s">
        <v>12148</v>
      </c>
      <c r="C22489" t="s">
        <v>15018</v>
      </c>
      <c r="D22489" t="s">
        <v>63903</v>
      </c>
      <c r="E22489" t="b">
        <v>0</v>
      </c>
      <c r="F22489" t="s">
        <v>11610</v>
      </c>
      <c r="L22489">
        <v>0</v>
      </c>
      <c r="M22489">
        <v>0</v>
      </c>
      <c r="N22489">
        <v>0</v>
      </c>
    </row>
    <row r="22490" spans="1:15">
      <c r="A22490" t="s">
        <v>19871</v>
      </c>
      <c r="B22490" t="s">
        <v>6455</v>
      </c>
      <c r="C22490" t="s">
        <v>19656</v>
      </c>
      <c r="D22490" t="s">
        <v>63904</v>
      </c>
      <c r="E22490" t="b">
        <v>0</v>
      </c>
      <c r="F22490" t="s">
        <v>11622</v>
      </c>
      <c r="L22490">
        <v>0</v>
      </c>
      <c r="M22490">
        <v>2</v>
      </c>
      <c r="N22490">
        <v>7</v>
      </c>
    </row>
    <row r="22491" spans="1:15">
      <c r="A22491" t="s">
        <v>63905</v>
      </c>
      <c r="B22491" t="s">
        <v>11637</v>
      </c>
      <c r="C22491" t="s">
        <v>23458</v>
      </c>
      <c r="D22491" t="s">
        <v>63906</v>
      </c>
      <c r="E22491" t="b">
        <v>0</v>
      </c>
      <c r="F22491" t="s">
        <v>11610</v>
      </c>
      <c r="L22491">
        <v>0</v>
      </c>
      <c r="M22491">
        <v>0</v>
      </c>
      <c r="N22491">
        <v>0</v>
      </c>
    </row>
    <row r="22492" spans="1:15">
      <c r="A22492" t="s">
        <v>26480</v>
      </c>
      <c r="B22492" t="s">
        <v>10597</v>
      </c>
      <c r="C22492" t="s">
        <v>47111</v>
      </c>
      <c r="D22492" t="s">
        <v>63907</v>
      </c>
      <c r="E22492" t="b">
        <v>0</v>
      </c>
      <c r="F22492" t="s">
        <v>11622</v>
      </c>
      <c r="L22492">
        <v>8</v>
      </c>
      <c r="M22492">
        <v>14</v>
      </c>
      <c r="N22492">
        <v>28</v>
      </c>
    </row>
    <row r="22493" spans="1:15">
      <c r="A22493" t="s">
        <v>63908</v>
      </c>
      <c r="B22493" t="s">
        <v>12311</v>
      </c>
      <c r="C22493" t="s">
        <v>14790</v>
      </c>
      <c r="D22493" t="s">
        <v>63909</v>
      </c>
      <c r="E22493" t="b">
        <v>0</v>
      </c>
      <c r="F22493" t="s">
        <v>11610</v>
      </c>
      <c r="L22493">
        <v>0</v>
      </c>
      <c r="M22493">
        <v>0</v>
      </c>
      <c r="N22493">
        <v>0</v>
      </c>
    </row>
    <row r="22494" spans="1:15">
      <c r="A22494" t="s">
        <v>63910</v>
      </c>
      <c r="B22494" t="s">
        <v>11637</v>
      </c>
      <c r="C22494" t="s">
        <v>13221</v>
      </c>
      <c r="D22494" t="s">
        <v>63911</v>
      </c>
      <c r="E22494" t="b">
        <v>0</v>
      </c>
      <c r="F22494" t="s">
        <v>11610</v>
      </c>
      <c r="L22494">
        <v>0</v>
      </c>
      <c r="M22494">
        <v>0</v>
      </c>
      <c r="N22494">
        <v>0</v>
      </c>
    </row>
    <row r="22495" spans="1:15">
      <c r="A22495" t="s">
        <v>63912</v>
      </c>
      <c r="B22495" t="s">
        <v>6742</v>
      </c>
      <c r="C22495" t="s">
        <v>16541</v>
      </c>
      <c r="D22495" t="s">
        <v>63913</v>
      </c>
      <c r="E22495" t="b">
        <v>0</v>
      </c>
      <c r="F22495" t="s">
        <v>11610</v>
      </c>
      <c r="L22495">
        <v>0</v>
      </c>
      <c r="M22495">
        <v>0</v>
      </c>
      <c r="N22495">
        <v>0</v>
      </c>
    </row>
    <row r="22496" spans="1:15">
      <c r="A22496" t="s">
        <v>63914</v>
      </c>
      <c r="B22496" t="s">
        <v>6742</v>
      </c>
      <c r="C22496" t="s">
        <v>55081</v>
      </c>
      <c r="D22496" t="s">
        <v>63915</v>
      </c>
      <c r="E22496" t="b">
        <v>0</v>
      </c>
      <c r="F22496" t="s">
        <v>11624</v>
      </c>
      <c r="G22496">
        <v>-7.5267400000000002</v>
      </c>
      <c r="H22496">
        <v>36.931600000000003</v>
      </c>
      <c r="I22496" t="s">
        <v>63916</v>
      </c>
      <c r="L22496">
        <v>0</v>
      </c>
      <c r="M22496">
        <v>0</v>
      </c>
      <c r="N22496">
        <v>0</v>
      </c>
      <c r="O22496" t="s">
        <v>11635</v>
      </c>
    </row>
    <row r="22497" spans="1:15">
      <c r="A22497" t="s">
        <v>55081</v>
      </c>
      <c r="B22497" t="s">
        <v>6742</v>
      </c>
      <c r="C22497" t="s">
        <v>29453</v>
      </c>
      <c r="D22497" t="s">
        <v>63917</v>
      </c>
      <c r="E22497" t="b">
        <v>0</v>
      </c>
      <c r="F22497" t="s">
        <v>11622</v>
      </c>
      <c r="L22497">
        <v>0</v>
      </c>
      <c r="M22497">
        <v>2</v>
      </c>
      <c r="N22497">
        <v>4</v>
      </c>
    </row>
    <row r="22498" spans="1:15">
      <c r="A22498" t="s">
        <v>63918</v>
      </c>
      <c r="B22498" t="s">
        <v>6742</v>
      </c>
      <c r="C22498" t="s">
        <v>21811</v>
      </c>
      <c r="D22498" t="s">
        <v>63919</v>
      </c>
      <c r="E22498" t="b">
        <v>0</v>
      </c>
      <c r="F22498" t="s">
        <v>11624</v>
      </c>
      <c r="G22498">
        <v>10.8429</v>
      </c>
      <c r="H22498">
        <v>-3.8412799999999998</v>
      </c>
      <c r="I22498" t="s">
        <v>63920</v>
      </c>
      <c r="L22498">
        <v>0</v>
      </c>
      <c r="M22498">
        <v>0</v>
      </c>
      <c r="N22498">
        <v>0</v>
      </c>
      <c r="O22498" t="s">
        <v>19305</v>
      </c>
    </row>
    <row r="22499" spans="1:15">
      <c r="A22499" t="s">
        <v>63921</v>
      </c>
      <c r="B22499" t="s">
        <v>11637</v>
      </c>
      <c r="C22499" t="s">
        <v>21341</v>
      </c>
      <c r="D22499" t="s">
        <v>63922</v>
      </c>
      <c r="E22499" t="b">
        <v>0</v>
      </c>
      <c r="F22499" t="s">
        <v>11610</v>
      </c>
      <c r="L22499">
        <v>0</v>
      </c>
      <c r="M22499">
        <v>0</v>
      </c>
      <c r="N22499">
        <v>0</v>
      </c>
    </row>
    <row r="22500" spans="1:15">
      <c r="A22500" t="s">
        <v>63923</v>
      </c>
      <c r="B22500" t="s">
        <v>5126</v>
      </c>
      <c r="C22500" t="s">
        <v>347</v>
      </c>
      <c r="D22500" t="s">
        <v>63924</v>
      </c>
      <c r="E22500" t="b">
        <v>0</v>
      </c>
      <c r="F22500" t="s">
        <v>11610</v>
      </c>
      <c r="L22500">
        <v>0</v>
      </c>
      <c r="M22500">
        <v>0</v>
      </c>
      <c r="N22500">
        <v>0</v>
      </c>
    </row>
    <row r="22501" spans="1:15">
      <c r="A22501" t="s">
        <v>22990</v>
      </c>
      <c r="B22501" t="s">
        <v>12438</v>
      </c>
      <c r="C22501" t="s">
        <v>12438</v>
      </c>
      <c r="D22501" t="s">
        <v>63925</v>
      </c>
      <c r="E22501" t="b">
        <v>0</v>
      </c>
      <c r="F22501" t="s">
        <v>11622</v>
      </c>
      <c r="L22501">
        <v>5</v>
      </c>
      <c r="M22501">
        <v>10</v>
      </c>
      <c r="N22501">
        <v>25</v>
      </c>
    </row>
    <row r="22502" spans="1:15">
      <c r="A22502" t="s">
        <v>45834</v>
      </c>
      <c r="B22502" t="s">
        <v>12438</v>
      </c>
      <c r="C22502" t="s">
        <v>22990</v>
      </c>
      <c r="D22502" t="s">
        <v>63926</v>
      </c>
      <c r="E22502" t="b">
        <v>0</v>
      </c>
      <c r="F22502" t="s">
        <v>11622</v>
      </c>
      <c r="L22502">
        <v>1</v>
      </c>
      <c r="M22502">
        <v>4</v>
      </c>
      <c r="N22502">
        <v>10</v>
      </c>
    </row>
    <row r="22503" spans="1:15">
      <c r="A22503" t="s">
        <v>5147</v>
      </c>
      <c r="B22503" t="s">
        <v>12438</v>
      </c>
      <c r="C22503" t="s">
        <v>45834</v>
      </c>
      <c r="D22503" t="s">
        <v>5146</v>
      </c>
      <c r="E22503" t="b">
        <v>0</v>
      </c>
      <c r="F22503" t="s">
        <v>11624</v>
      </c>
      <c r="G22503">
        <v>20.681187999999999</v>
      </c>
      <c r="H22503">
        <v>105.77407100000001</v>
      </c>
      <c r="I22503" t="s">
        <v>5148</v>
      </c>
      <c r="L22503">
        <v>0</v>
      </c>
      <c r="M22503">
        <v>0</v>
      </c>
      <c r="N22503">
        <v>3</v>
      </c>
      <c r="O22503" t="s">
        <v>18933</v>
      </c>
    </row>
    <row r="22504" spans="1:15">
      <c r="A22504" t="s">
        <v>40609</v>
      </c>
      <c r="B22504" t="s">
        <v>6742</v>
      </c>
      <c r="C22504" t="s">
        <v>19281</v>
      </c>
      <c r="D22504" t="s">
        <v>63927</v>
      </c>
      <c r="E22504" t="b">
        <v>0</v>
      </c>
      <c r="F22504" t="s">
        <v>11622</v>
      </c>
      <c r="L22504">
        <v>5</v>
      </c>
      <c r="M22504">
        <v>12</v>
      </c>
      <c r="N22504">
        <v>26</v>
      </c>
    </row>
    <row r="22505" spans="1:15">
      <c r="A22505" t="s">
        <v>63928</v>
      </c>
      <c r="B22505" t="s">
        <v>11637</v>
      </c>
      <c r="C22505" t="s">
        <v>19415</v>
      </c>
      <c r="D22505" t="s">
        <v>63929</v>
      </c>
      <c r="E22505" t="b">
        <v>0</v>
      </c>
      <c r="F22505" t="s">
        <v>11610</v>
      </c>
      <c r="L22505">
        <v>0</v>
      </c>
      <c r="M22505">
        <v>0</v>
      </c>
      <c r="N22505">
        <v>0</v>
      </c>
    </row>
    <row r="22506" spans="1:15">
      <c r="A22506" t="s">
        <v>63930</v>
      </c>
      <c r="D22506" t="s">
        <v>63931</v>
      </c>
      <c r="E22506" t="b">
        <v>0</v>
      </c>
      <c r="F22506" t="s">
        <v>11624</v>
      </c>
      <c r="G22506">
        <v>-27.406300000000002</v>
      </c>
      <c r="H22506">
        <v>-58.966099999999997</v>
      </c>
      <c r="I22506" t="s">
        <v>63932</v>
      </c>
      <c r="L22506">
        <v>0</v>
      </c>
      <c r="M22506">
        <v>0</v>
      </c>
      <c r="N22506">
        <v>0</v>
      </c>
      <c r="O22506" t="s">
        <v>11774</v>
      </c>
    </row>
    <row r="22507" spans="1:15">
      <c r="A22507" t="s">
        <v>63933</v>
      </c>
      <c r="B22507" t="s">
        <v>6742</v>
      </c>
      <c r="C22507" t="s">
        <v>16824</v>
      </c>
      <c r="D22507" t="s">
        <v>63934</v>
      </c>
      <c r="E22507" t="b">
        <v>0</v>
      </c>
      <c r="F22507" t="s">
        <v>11624</v>
      </c>
      <c r="G22507">
        <v>-4.0671600000000003</v>
      </c>
      <c r="H22507">
        <v>11.3804</v>
      </c>
      <c r="I22507" t="s">
        <v>63935</v>
      </c>
      <c r="L22507">
        <v>0</v>
      </c>
      <c r="M22507">
        <v>0</v>
      </c>
      <c r="N22507">
        <v>1</v>
      </c>
      <c r="O22507" t="s">
        <v>63936</v>
      </c>
    </row>
    <row r="22508" spans="1:15">
      <c r="A22508" t="s">
        <v>63937</v>
      </c>
      <c r="B22508" t="s">
        <v>6742</v>
      </c>
      <c r="C22508" t="s">
        <v>46832</v>
      </c>
      <c r="D22508" t="s">
        <v>63938</v>
      </c>
      <c r="E22508" t="b">
        <v>0</v>
      </c>
      <c r="F22508" t="s">
        <v>11624</v>
      </c>
      <c r="L22508">
        <v>0</v>
      </c>
      <c r="M22508">
        <v>0</v>
      </c>
      <c r="N22508">
        <v>0</v>
      </c>
      <c r="O22508" t="s">
        <v>16915</v>
      </c>
    </row>
    <row r="22509" spans="1:15">
      <c r="A22509" t="s">
        <v>63939</v>
      </c>
      <c r="B22509" t="s">
        <v>13276</v>
      </c>
      <c r="C22509" t="s">
        <v>19198</v>
      </c>
      <c r="D22509" t="s">
        <v>63940</v>
      </c>
      <c r="E22509" t="b">
        <v>0</v>
      </c>
      <c r="F22509" t="s">
        <v>11610</v>
      </c>
      <c r="L22509">
        <v>0</v>
      </c>
      <c r="M22509">
        <v>0</v>
      </c>
      <c r="N22509">
        <v>0</v>
      </c>
    </row>
    <row r="22510" spans="1:15">
      <c r="A22510" t="s">
        <v>63941</v>
      </c>
      <c r="B22510" t="s">
        <v>12241</v>
      </c>
      <c r="C22510" t="s">
        <v>15198</v>
      </c>
      <c r="D22510" t="s">
        <v>63942</v>
      </c>
      <c r="E22510" t="b">
        <v>0</v>
      </c>
      <c r="F22510" t="s">
        <v>11624</v>
      </c>
      <c r="G22510">
        <v>17.471</v>
      </c>
      <c r="H22510">
        <v>120.63800000000001</v>
      </c>
      <c r="I22510" t="s">
        <v>63943</v>
      </c>
      <c r="L22510">
        <v>0</v>
      </c>
      <c r="M22510">
        <v>0</v>
      </c>
      <c r="N22510">
        <v>0</v>
      </c>
      <c r="O22510" t="s">
        <v>11749</v>
      </c>
    </row>
    <row r="22511" spans="1:15">
      <c r="A22511" t="s">
        <v>11982</v>
      </c>
      <c r="B22511" t="s">
        <v>11981</v>
      </c>
      <c r="C22511" t="s">
        <v>11981</v>
      </c>
      <c r="D22511" t="s">
        <v>63944</v>
      </c>
      <c r="E22511" t="b">
        <v>0</v>
      </c>
      <c r="F22511" t="s">
        <v>11622</v>
      </c>
      <c r="L22511">
        <v>1</v>
      </c>
      <c r="M22511">
        <v>53</v>
      </c>
      <c r="N22511">
        <v>0</v>
      </c>
    </row>
    <row r="22512" spans="1:15">
      <c r="A22512" t="s">
        <v>63945</v>
      </c>
      <c r="B22512" t="s">
        <v>11637</v>
      </c>
      <c r="C22512" t="s">
        <v>13473</v>
      </c>
      <c r="D22512" t="s">
        <v>63946</v>
      </c>
      <c r="E22512" t="b">
        <v>0</v>
      </c>
      <c r="F22512" t="s">
        <v>11610</v>
      </c>
      <c r="L22512">
        <v>0</v>
      </c>
      <c r="M22512">
        <v>0</v>
      </c>
      <c r="N22512">
        <v>0</v>
      </c>
    </row>
    <row r="22513" spans="1:15">
      <c r="A22513" t="s">
        <v>63947</v>
      </c>
      <c r="B22513" t="s">
        <v>11615</v>
      </c>
      <c r="C22513" t="s">
        <v>11641</v>
      </c>
      <c r="D22513" t="s">
        <v>63948</v>
      </c>
      <c r="E22513" t="b">
        <v>0</v>
      </c>
      <c r="F22513" t="s">
        <v>11610</v>
      </c>
      <c r="L22513">
        <v>0</v>
      </c>
      <c r="M22513">
        <v>0</v>
      </c>
      <c r="N22513">
        <v>0</v>
      </c>
    </row>
    <row r="22514" spans="1:15">
      <c r="A22514" t="s">
        <v>63949</v>
      </c>
      <c r="B22514" t="s">
        <v>11894</v>
      </c>
      <c r="C22514" t="s">
        <v>8311</v>
      </c>
      <c r="D22514" t="s">
        <v>63950</v>
      </c>
      <c r="E22514" t="b">
        <v>0</v>
      </c>
      <c r="F22514" t="s">
        <v>11610</v>
      </c>
      <c r="L22514">
        <v>0</v>
      </c>
      <c r="M22514">
        <v>0</v>
      </c>
      <c r="N22514">
        <v>0</v>
      </c>
    </row>
    <row r="22515" spans="1:15">
      <c r="A22515" t="s">
        <v>63951</v>
      </c>
      <c r="B22515" t="s">
        <v>11637</v>
      </c>
      <c r="C22515" t="s">
        <v>29764</v>
      </c>
      <c r="D22515" t="s">
        <v>63952</v>
      </c>
      <c r="E22515" t="b">
        <v>0</v>
      </c>
      <c r="F22515" t="s">
        <v>11624</v>
      </c>
      <c r="G22515">
        <v>13.243600000000001</v>
      </c>
      <c r="H22515">
        <v>-61.196300000000001</v>
      </c>
      <c r="I22515" t="s">
        <v>63953</v>
      </c>
      <c r="L22515">
        <v>0</v>
      </c>
      <c r="M22515">
        <v>0</v>
      </c>
      <c r="N22515">
        <v>0</v>
      </c>
      <c r="O22515" t="s">
        <v>63954</v>
      </c>
    </row>
    <row r="22516" spans="1:15">
      <c r="A22516" t="s">
        <v>29764</v>
      </c>
      <c r="B22516" t="s">
        <v>11637</v>
      </c>
      <c r="C22516" t="s">
        <v>17003</v>
      </c>
      <c r="D22516" t="s">
        <v>63955</v>
      </c>
      <c r="E22516" t="b">
        <v>0</v>
      </c>
      <c r="F22516" t="s">
        <v>11622</v>
      </c>
      <c r="L22516">
        <v>1</v>
      </c>
      <c r="M22516">
        <v>3</v>
      </c>
      <c r="N22516">
        <v>0</v>
      </c>
    </row>
    <row r="22517" spans="1:15">
      <c r="A22517" t="s">
        <v>63956</v>
      </c>
      <c r="B22517" t="s">
        <v>367</v>
      </c>
      <c r="C22517" t="s">
        <v>21960</v>
      </c>
      <c r="D22517" t="s">
        <v>63957</v>
      </c>
      <c r="E22517" t="b">
        <v>0</v>
      </c>
      <c r="F22517" t="s">
        <v>11624</v>
      </c>
      <c r="G22517">
        <v>-16.225300000000001</v>
      </c>
      <c r="H22517">
        <v>167.42699999999999</v>
      </c>
      <c r="I22517" t="s">
        <v>63958</v>
      </c>
      <c r="L22517">
        <v>0</v>
      </c>
      <c r="M22517">
        <v>0</v>
      </c>
      <c r="N22517">
        <v>1</v>
      </c>
      <c r="O22517" t="s">
        <v>12719</v>
      </c>
    </row>
    <row r="22518" spans="1:15">
      <c r="A22518" t="s">
        <v>63959</v>
      </c>
      <c r="B22518" t="s">
        <v>6742</v>
      </c>
      <c r="C22518" t="s">
        <v>30460</v>
      </c>
      <c r="D22518" t="s">
        <v>63960</v>
      </c>
      <c r="E22518" t="b">
        <v>0</v>
      </c>
      <c r="F22518" t="s">
        <v>11624</v>
      </c>
      <c r="G22518">
        <v>-4.9931200000000002</v>
      </c>
      <c r="H22518">
        <v>30.569900000000001</v>
      </c>
      <c r="I22518" t="s">
        <v>63961</v>
      </c>
      <c r="L22518">
        <v>0</v>
      </c>
      <c r="M22518">
        <v>0</v>
      </c>
      <c r="N22518">
        <v>0</v>
      </c>
      <c r="O22518" t="s">
        <v>11635</v>
      </c>
    </row>
    <row r="22519" spans="1:15">
      <c r="A22519" t="s">
        <v>63962</v>
      </c>
      <c r="B22519" t="s">
        <v>11637</v>
      </c>
      <c r="C22519" t="s">
        <v>17002</v>
      </c>
      <c r="D22519" t="s">
        <v>63963</v>
      </c>
      <c r="E22519" t="b">
        <v>0</v>
      </c>
      <c r="F22519" t="s">
        <v>11624</v>
      </c>
      <c r="G22519">
        <v>18.047149999999998</v>
      </c>
      <c r="H22519">
        <v>-63.078510000000001</v>
      </c>
      <c r="I22519" t="s">
        <v>63964</v>
      </c>
      <c r="L22519">
        <v>0</v>
      </c>
      <c r="M22519">
        <v>0</v>
      </c>
      <c r="N22519">
        <v>0</v>
      </c>
      <c r="O22519" t="s">
        <v>63965</v>
      </c>
    </row>
    <row r="22520" spans="1:15">
      <c r="A22520" t="s">
        <v>63966</v>
      </c>
      <c r="B22520" t="s">
        <v>331</v>
      </c>
      <c r="C22520" t="s">
        <v>13625</v>
      </c>
      <c r="D22520" t="s">
        <v>63967</v>
      </c>
      <c r="E22520" t="b">
        <v>0</v>
      </c>
      <c r="F22520" t="s">
        <v>11610</v>
      </c>
      <c r="L22520">
        <v>0</v>
      </c>
      <c r="M22520">
        <v>0</v>
      </c>
      <c r="N22520">
        <v>0</v>
      </c>
    </row>
    <row r="22521" spans="1:15">
      <c r="A22521" t="s">
        <v>63968</v>
      </c>
      <c r="B22521" t="s">
        <v>11844</v>
      </c>
      <c r="C22521" t="s">
        <v>13088</v>
      </c>
      <c r="D22521" t="s">
        <v>63969</v>
      </c>
      <c r="E22521" t="b">
        <v>0</v>
      </c>
      <c r="F22521" t="s">
        <v>11624</v>
      </c>
      <c r="G22521">
        <v>10.1751</v>
      </c>
      <c r="H22521">
        <v>76.759299999999996</v>
      </c>
      <c r="I22521" t="s">
        <v>63970</v>
      </c>
      <c r="L22521">
        <v>0</v>
      </c>
      <c r="M22521">
        <v>0</v>
      </c>
      <c r="N22521">
        <v>0</v>
      </c>
      <c r="O22521" t="s">
        <v>11630</v>
      </c>
    </row>
    <row r="22522" spans="1:15">
      <c r="A22522" t="s">
        <v>63971</v>
      </c>
      <c r="B22522" t="s">
        <v>11844</v>
      </c>
      <c r="C22522" t="s">
        <v>2278</v>
      </c>
      <c r="D22522" t="s">
        <v>63972</v>
      </c>
      <c r="E22522" t="b">
        <v>0</v>
      </c>
      <c r="F22522" t="s">
        <v>11610</v>
      </c>
      <c r="L22522">
        <v>0</v>
      </c>
      <c r="M22522">
        <v>0</v>
      </c>
      <c r="N22522">
        <v>0</v>
      </c>
    </row>
    <row r="22523" spans="1:15">
      <c r="A22523" t="s">
        <v>63973</v>
      </c>
      <c r="B22523" t="s">
        <v>11637</v>
      </c>
      <c r="C22523" t="s">
        <v>29621</v>
      </c>
      <c r="D22523" t="s">
        <v>63974</v>
      </c>
      <c r="E22523" t="b">
        <v>0</v>
      </c>
      <c r="F22523" t="s">
        <v>11610</v>
      </c>
      <c r="L22523">
        <v>0</v>
      </c>
      <c r="M22523">
        <v>0</v>
      </c>
      <c r="N22523">
        <v>0</v>
      </c>
    </row>
    <row r="22524" spans="1:15">
      <c r="A22524" t="s">
        <v>63975</v>
      </c>
      <c r="B22524" t="s">
        <v>11607</v>
      </c>
      <c r="C22524" t="s">
        <v>63841</v>
      </c>
      <c r="D22524" t="s">
        <v>63976</v>
      </c>
      <c r="E22524" t="b">
        <v>0</v>
      </c>
      <c r="F22524" t="s">
        <v>11610</v>
      </c>
      <c r="L22524">
        <v>0</v>
      </c>
      <c r="M22524">
        <v>0</v>
      </c>
      <c r="N22524">
        <v>0</v>
      </c>
    </row>
    <row r="22525" spans="1:15">
      <c r="A22525" t="s">
        <v>63977</v>
      </c>
      <c r="B22525" t="s">
        <v>6742</v>
      </c>
      <c r="C22525" t="s">
        <v>8097</v>
      </c>
      <c r="D22525" t="s">
        <v>63978</v>
      </c>
      <c r="E22525" t="b">
        <v>0</v>
      </c>
      <c r="F22525" t="s">
        <v>11610</v>
      </c>
      <c r="L22525">
        <v>0</v>
      </c>
      <c r="M22525">
        <v>0</v>
      </c>
      <c r="N22525">
        <v>0</v>
      </c>
    </row>
    <row r="22526" spans="1:15">
      <c r="A22526" t="s">
        <v>63979</v>
      </c>
      <c r="B22526" t="s">
        <v>6742</v>
      </c>
      <c r="C22526" t="s">
        <v>63173</v>
      </c>
      <c r="D22526" t="s">
        <v>63980</v>
      </c>
      <c r="E22526" t="b">
        <v>0</v>
      </c>
      <c r="F22526" t="s">
        <v>11624</v>
      </c>
      <c r="G22526">
        <v>6.6652399999999998</v>
      </c>
      <c r="H22526">
        <v>11.108700000000001</v>
      </c>
      <c r="I22526" t="s">
        <v>63981</v>
      </c>
      <c r="L22526">
        <v>0</v>
      </c>
      <c r="M22526">
        <v>0</v>
      </c>
      <c r="N22526">
        <v>0</v>
      </c>
      <c r="O22526" t="s">
        <v>11693</v>
      </c>
    </row>
    <row r="22527" spans="1:15">
      <c r="A22527" t="s">
        <v>17862</v>
      </c>
      <c r="B22527" t="s">
        <v>367</v>
      </c>
      <c r="C22527" t="s">
        <v>47385</v>
      </c>
      <c r="D22527" t="s">
        <v>63982</v>
      </c>
      <c r="E22527" t="b">
        <v>0</v>
      </c>
      <c r="F22527" t="s">
        <v>11622</v>
      </c>
      <c r="L22527">
        <v>15</v>
      </c>
      <c r="M22527">
        <v>38</v>
      </c>
      <c r="N22527">
        <v>47</v>
      </c>
    </row>
    <row r="22528" spans="1:15">
      <c r="A22528" t="s">
        <v>63983</v>
      </c>
      <c r="B22528" t="s">
        <v>16947</v>
      </c>
      <c r="C22528" t="s">
        <v>18170</v>
      </c>
      <c r="D22528" t="s">
        <v>63984</v>
      </c>
      <c r="E22528" t="b">
        <v>0</v>
      </c>
      <c r="F22528" t="s">
        <v>11624</v>
      </c>
      <c r="I22528" t="s">
        <v>63985</v>
      </c>
      <c r="L22528">
        <v>0</v>
      </c>
      <c r="M22528">
        <v>0</v>
      </c>
      <c r="N22528">
        <v>0</v>
      </c>
      <c r="O22528" t="s">
        <v>11768</v>
      </c>
    </row>
    <row r="22529" spans="1:15">
      <c r="A22529" t="s">
        <v>63986</v>
      </c>
      <c r="B22529" t="s">
        <v>12260</v>
      </c>
      <c r="C22529" t="s">
        <v>28405</v>
      </c>
      <c r="D22529" t="s">
        <v>63987</v>
      </c>
      <c r="E22529" t="b">
        <v>0</v>
      </c>
      <c r="F22529" t="s">
        <v>11610</v>
      </c>
      <c r="L22529">
        <v>0</v>
      </c>
      <c r="M22529">
        <v>0</v>
      </c>
      <c r="N22529">
        <v>0</v>
      </c>
    </row>
    <row r="22530" spans="1:15">
      <c r="A22530" t="s">
        <v>63988</v>
      </c>
      <c r="B22530" t="s">
        <v>11637</v>
      </c>
      <c r="C22530" t="s">
        <v>15204</v>
      </c>
      <c r="D22530" t="s">
        <v>63989</v>
      </c>
      <c r="E22530" t="b">
        <v>0</v>
      </c>
      <c r="F22530" t="s">
        <v>11610</v>
      </c>
      <c r="L22530">
        <v>0</v>
      </c>
      <c r="M22530">
        <v>0</v>
      </c>
      <c r="N22530">
        <v>0</v>
      </c>
    </row>
    <row r="22531" spans="1:15">
      <c r="A22531" t="s">
        <v>63990</v>
      </c>
      <c r="B22531" t="s">
        <v>367</v>
      </c>
      <c r="C22531" t="s">
        <v>47895</v>
      </c>
      <c r="D22531" t="s">
        <v>63991</v>
      </c>
      <c r="E22531" t="b">
        <v>0</v>
      </c>
      <c r="F22531" t="s">
        <v>11624</v>
      </c>
      <c r="G22531">
        <v>-16.28</v>
      </c>
      <c r="H22531">
        <v>167.5</v>
      </c>
      <c r="L22531">
        <v>0</v>
      </c>
      <c r="M22531">
        <v>0</v>
      </c>
      <c r="N22531">
        <v>0</v>
      </c>
      <c r="O22531" t="s">
        <v>12719</v>
      </c>
    </row>
    <row r="22532" spans="1:15">
      <c r="A22532" t="s">
        <v>63992</v>
      </c>
      <c r="B22532" t="s">
        <v>13244</v>
      </c>
      <c r="C22532" t="s">
        <v>13243</v>
      </c>
      <c r="D22532" t="s">
        <v>63993</v>
      </c>
      <c r="E22532" t="b">
        <v>0</v>
      </c>
      <c r="F22532" t="s">
        <v>11610</v>
      </c>
      <c r="L22532">
        <v>0</v>
      </c>
      <c r="M22532">
        <v>0</v>
      </c>
      <c r="N22532">
        <v>0</v>
      </c>
    </row>
    <row r="22533" spans="1:15">
      <c r="A22533" t="s">
        <v>63994</v>
      </c>
      <c r="B22533" t="s">
        <v>12311</v>
      </c>
      <c r="C22533" t="s">
        <v>14790</v>
      </c>
      <c r="D22533" t="s">
        <v>63995</v>
      </c>
      <c r="E22533" t="b">
        <v>0</v>
      </c>
      <c r="F22533" t="s">
        <v>11610</v>
      </c>
      <c r="L22533">
        <v>0</v>
      </c>
      <c r="M22533">
        <v>0</v>
      </c>
      <c r="N22533">
        <v>0</v>
      </c>
    </row>
    <row r="22534" spans="1:15">
      <c r="A22534" t="s">
        <v>63996</v>
      </c>
      <c r="B22534" t="s">
        <v>11981</v>
      </c>
      <c r="C22534" t="s">
        <v>17826</v>
      </c>
      <c r="D22534" t="s">
        <v>63997</v>
      </c>
      <c r="E22534" t="b">
        <v>0</v>
      </c>
      <c r="F22534" t="s">
        <v>11624</v>
      </c>
      <c r="G22534">
        <v>50.802100000000003</v>
      </c>
      <c r="H22534">
        <v>4.3131199999999996</v>
      </c>
      <c r="I22534" t="s">
        <v>63998</v>
      </c>
      <c r="L22534">
        <v>0</v>
      </c>
      <c r="M22534">
        <v>0</v>
      </c>
      <c r="N22534">
        <v>0</v>
      </c>
      <c r="O22534" t="s">
        <v>39309</v>
      </c>
    </row>
    <row r="22535" spans="1:15">
      <c r="A22535" t="s">
        <v>28073</v>
      </c>
      <c r="B22535" t="s">
        <v>11637</v>
      </c>
      <c r="C22535" t="s">
        <v>58887</v>
      </c>
      <c r="D22535" t="s">
        <v>63999</v>
      </c>
      <c r="E22535" t="b">
        <v>0</v>
      </c>
      <c r="F22535" t="s">
        <v>11624</v>
      </c>
      <c r="G22535">
        <v>51.075400000000002</v>
      </c>
      <c r="H22535">
        <v>3.1134499999999998</v>
      </c>
      <c r="I22535" t="s">
        <v>64000</v>
      </c>
      <c r="L22535">
        <v>0</v>
      </c>
      <c r="M22535">
        <v>0</v>
      </c>
      <c r="N22535">
        <v>7</v>
      </c>
      <c r="O22535" t="s">
        <v>64001</v>
      </c>
    </row>
    <row r="22536" spans="1:15">
      <c r="A22536" t="s">
        <v>21369</v>
      </c>
      <c r="B22536" t="s">
        <v>11637</v>
      </c>
      <c r="C22536" t="s">
        <v>16311</v>
      </c>
      <c r="D22536" t="s">
        <v>64002</v>
      </c>
      <c r="E22536" t="b">
        <v>0</v>
      </c>
      <c r="F22536" t="s">
        <v>11624</v>
      </c>
      <c r="G22536">
        <v>46.819099999999999</v>
      </c>
      <c r="H22536">
        <v>14.8451</v>
      </c>
      <c r="I22536" t="s">
        <v>64003</v>
      </c>
      <c r="L22536">
        <v>0</v>
      </c>
      <c r="M22536">
        <v>0</v>
      </c>
      <c r="N22536">
        <v>18</v>
      </c>
      <c r="O22536" t="s">
        <v>64004</v>
      </c>
    </row>
    <row r="22537" spans="1:15">
      <c r="A22537" t="s">
        <v>64005</v>
      </c>
      <c r="B22537" t="s">
        <v>6742</v>
      </c>
      <c r="C22537" t="s">
        <v>134</v>
      </c>
      <c r="D22537" t="s">
        <v>64006</v>
      </c>
      <c r="E22537" t="b">
        <v>0</v>
      </c>
      <c r="F22537" t="s">
        <v>11610</v>
      </c>
      <c r="L22537">
        <v>0</v>
      </c>
      <c r="M22537">
        <v>0</v>
      </c>
      <c r="N22537">
        <v>0</v>
      </c>
    </row>
    <row r="22538" spans="1:15">
      <c r="A22538" t="s">
        <v>64007</v>
      </c>
      <c r="B22538" t="s">
        <v>367</v>
      </c>
      <c r="C22538" t="s">
        <v>14563</v>
      </c>
      <c r="D22538" t="s">
        <v>64008</v>
      </c>
      <c r="E22538" t="b">
        <v>0</v>
      </c>
      <c r="F22538" t="s">
        <v>11610</v>
      </c>
      <c r="L22538">
        <v>0</v>
      </c>
      <c r="M22538">
        <v>0</v>
      </c>
      <c r="N22538">
        <v>0</v>
      </c>
    </row>
    <row r="22539" spans="1:15">
      <c r="A22539" t="s">
        <v>64009</v>
      </c>
      <c r="B22539" t="s">
        <v>11637</v>
      </c>
      <c r="C22539" t="s">
        <v>19284</v>
      </c>
      <c r="D22539" t="s">
        <v>64010</v>
      </c>
      <c r="E22539" t="b">
        <v>0</v>
      </c>
      <c r="F22539" t="s">
        <v>11610</v>
      </c>
      <c r="L22539">
        <v>0</v>
      </c>
      <c r="M22539">
        <v>0</v>
      </c>
      <c r="N22539">
        <v>0</v>
      </c>
    </row>
    <row r="22540" spans="1:15">
      <c r="A22540" t="s">
        <v>64011</v>
      </c>
      <c r="B22540" t="s">
        <v>11637</v>
      </c>
      <c r="C22540" t="s">
        <v>31327</v>
      </c>
      <c r="D22540" t="s">
        <v>64012</v>
      </c>
      <c r="E22540" t="b">
        <v>0</v>
      </c>
      <c r="F22540" t="s">
        <v>11610</v>
      </c>
      <c r="L22540">
        <v>0</v>
      </c>
      <c r="M22540">
        <v>0</v>
      </c>
      <c r="N22540">
        <v>0</v>
      </c>
    </row>
    <row r="22541" spans="1:15">
      <c r="A22541" t="s">
        <v>20748</v>
      </c>
      <c r="B22541" t="s">
        <v>367</v>
      </c>
      <c r="C22541" t="s">
        <v>21296</v>
      </c>
      <c r="D22541" t="s">
        <v>64013</v>
      </c>
      <c r="E22541" t="b">
        <v>0</v>
      </c>
      <c r="F22541" t="s">
        <v>11622</v>
      </c>
      <c r="L22541">
        <v>2</v>
      </c>
      <c r="M22541">
        <v>6</v>
      </c>
      <c r="N22541">
        <v>2</v>
      </c>
    </row>
    <row r="22542" spans="1:15">
      <c r="A22542" t="s">
        <v>21296</v>
      </c>
      <c r="B22542" t="s">
        <v>367</v>
      </c>
      <c r="C22542" t="s">
        <v>33311</v>
      </c>
      <c r="D22542" t="s">
        <v>64014</v>
      </c>
      <c r="E22542" t="b">
        <v>0</v>
      </c>
      <c r="F22542" t="s">
        <v>11622</v>
      </c>
      <c r="L22542">
        <v>4</v>
      </c>
      <c r="M22542">
        <v>8</v>
      </c>
      <c r="N22542">
        <v>2</v>
      </c>
    </row>
    <row r="22543" spans="1:15">
      <c r="A22543" t="s">
        <v>64015</v>
      </c>
      <c r="B22543" t="s">
        <v>14629</v>
      </c>
      <c r="C22543" t="s">
        <v>14629</v>
      </c>
      <c r="D22543" t="s">
        <v>64016</v>
      </c>
      <c r="E22543" t="b">
        <v>0</v>
      </c>
      <c r="F22543" t="s">
        <v>11624</v>
      </c>
      <c r="I22543" t="s">
        <v>64017</v>
      </c>
      <c r="L22543">
        <v>0</v>
      </c>
      <c r="M22543">
        <v>0</v>
      </c>
      <c r="N22543">
        <v>0</v>
      </c>
    </row>
    <row r="22544" spans="1:15">
      <c r="A22544" t="s">
        <v>64018</v>
      </c>
      <c r="B22544" t="s">
        <v>367</v>
      </c>
      <c r="C22544" t="s">
        <v>45432</v>
      </c>
      <c r="D22544" t="s">
        <v>64019</v>
      </c>
      <c r="E22544" t="b">
        <v>0</v>
      </c>
      <c r="F22544" t="s">
        <v>11610</v>
      </c>
      <c r="L22544">
        <v>0</v>
      </c>
      <c r="M22544">
        <v>0</v>
      </c>
      <c r="N22544">
        <v>0</v>
      </c>
    </row>
    <row r="22545" spans="1:15">
      <c r="A22545" t="s">
        <v>64020</v>
      </c>
      <c r="B22545" t="s">
        <v>11637</v>
      </c>
      <c r="C22545" t="s">
        <v>12166</v>
      </c>
      <c r="D22545" t="s">
        <v>64021</v>
      </c>
      <c r="E22545" t="b">
        <v>0</v>
      </c>
      <c r="F22545" t="s">
        <v>11610</v>
      </c>
      <c r="I22545" t="s">
        <v>64022</v>
      </c>
      <c r="L22545">
        <v>0</v>
      </c>
      <c r="M22545">
        <v>0</v>
      </c>
      <c r="N22545">
        <v>0</v>
      </c>
    </row>
    <row r="22546" spans="1:15">
      <c r="A22546" t="s">
        <v>18018</v>
      </c>
      <c r="B22546" t="s">
        <v>6742</v>
      </c>
      <c r="C22546" t="s">
        <v>6742</v>
      </c>
      <c r="D22546" t="s">
        <v>64023</v>
      </c>
      <c r="E22546" t="b">
        <v>0</v>
      </c>
      <c r="F22546" t="s">
        <v>11622</v>
      </c>
      <c r="L22546">
        <v>818</v>
      </c>
      <c r="M22546">
        <v>1367</v>
      </c>
      <c r="N22546">
        <v>2275</v>
      </c>
    </row>
    <row r="22547" spans="1:15">
      <c r="A22547" t="s">
        <v>64024</v>
      </c>
      <c r="B22547" t="s">
        <v>12241</v>
      </c>
      <c r="C22547" t="s">
        <v>15040</v>
      </c>
      <c r="D22547" t="s">
        <v>64025</v>
      </c>
      <c r="E22547" t="b">
        <v>0</v>
      </c>
      <c r="F22547" t="s">
        <v>11624</v>
      </c>
      <c r="G22547">
        <v>10.435700000000001</v>
      </c>
      <c r="H22547">
        <v>8.2077399999999994</v>
      </c>
      <c r="I22547" t="s">
        <v>64026</v>
      </c>
      <c r="L22547">
        <v>0</v>
      </c>
      <c r="M22547">
        <v>0</v>
      </c>
      <c r="N22547">
        <v>0</v>
      </c>
      <c r="O22547" t="s">
        <v>11693</v>
      </c>
    </row>
    <row r="22548" spans="1:15">
      <c r="A22548" t="s">
        <v>64027</v>
      </c>
      <c r="B22548" t="s">
        <v>6742</v>
      </c>
      <c r="C22548" t="s">
        <v>134</v>
      </c>
      <c r="D22548" t="s">
        <v>64028</v>
      </c>
      <c r="E22548" t="b">
        <v>0</v>
      </c>
      <c r="F22548" t="s">
        <v>11610</v>
      </c>
      <c r="L22548">
        <v>0</v>
      </c>
      <c r="M22548">
        <v>0</v>
      </c>
      <c r="N22548">
        <v>0</v>
      </c>
    </row>
    <row r="22549" spans="1:15">
      <c r="A22549" t="s">
        <v>64029</v>
      </c>
      <c r="B22549" t="s">
        <v>12438</v>
      </c>
      <c r="C22549" t="s">
        <v>22166</v>
      </c>
      <c r="D22549" t="s">
        <v>64030</v>
      </c>
      <c r="E22549" t="b">
        <v>0</v>
      </c>
      <c r="F22549" t="s">
        <v>11610</v>
      </c>
      <c r="L22549">
        <v>0</v>
      </c>
      <c r="M22549">
        <v>0</v>
      </c>
      <c r="N22549">
        <v>0</v>
      </c>
    </row>
    <row r="22550" spans="1:15">
      <c r="A22550" t="s">
        <v>64031</v>
      </c>
      <c r="B22550" t="s">
        <v>367</v>
      </c>
      <c r="C22550" t="s">
        <v>13008</v>
      </c>
      <c r="D22550" t="s">
        <v>64032</v>
      </c>
      <c r="E22550" t="b">
        <v>0</v>
      </c>
      <c r="F22550" t="s">
        <v>11610</v>
      </c>
      <c r="L22550">
        <v>0</v>
      </c>
      <c r="M22550">
        <v>0</v>
      </c>
      <c r="N22550">
        <v>0</v>
      </c>
    </row>
    <row r="22551" spans="1:15">
      <c r="A22551" t="s">
        <v>64033</v>
      </c>
      <c r="B22551" t="s">
        <v>11637</v>
      </c>
      <c r="C22551" t="s">
        <v>18116</v>
      </c>
      <c r="D22551" t="s">
        <v>64034</v>
      </c>
      <c r="E22551" t="b">
        <v>0</v>
      </c>
      <c r="F22551" t="s">
        <v>11610</v>
      </c>
      <c r="L22551">
        <v>0</v>
      </c>
      <c r="M22551">
        <v>0</v>
      </c>
      <c r="N22551">
        <v>0</v>
      </c>
    </row>
    <row r="22552" spans="1:15">
      <c r="A22552" t="s">
        <v>64035</v>
      </c>
      <c r="B22552" t="s">
        <v>11637</v>
      </c>
      <c r="C22552" t="s">
        <v>40798</v>
      </c>
      <c r="D22552" t="s">
        <v>64036</v>
      </c>
      <c r="E22552" t="b">
        <v>0</v>
      </c>
      <c r="F22552" t="s">
        <v>11610</v>
      </c>
      <c r="L22552">
        <v>0</v>
      </c>
      <c r="M22552">
        <v>0</v>
      </c>
      <c r="N22552">
        <v>0</v>
      </c>
    </row>
    <row r="22553" spans="1:15">
      <c r="A22553" t="s">
        <v>64037</v>
      </c>
      <c r="B22553" t="s">
        <v>13276</v>
      </c>
      <c r="C22553" t="s">
        <v>17965</v>
      </c>
      <c r="D22553" t="s">
        <v>64038</v>
      </c>
      <c r="E22553" t="b">
        <v>0</v>
      </c>
      <c r="F22553" t="s">
        <v>11610</v>
      </c>
      <c r="L22553">
        <v>0</v>
      </c>
      <c r="M22553">
        <v>0</v>
      </c>
      <c r="N22553">
        <v>0</v>
      </c>
    </row>
    <row r="22554" spans="1:15">
      <c r="A22554" t="s">
        <v>64039</v>
      </c>
      <c r="B22554" t="s">
        <v>11637</v>
      </c>
      <c r="C22554" t="s">
        <v>48201</v>
      </c>
      <c r="D22554" t="s">
        <v>64040</v>
      </c>
      <c r="E22554" t="b">
        <v>0</v>
      </c>
      <c r="F22554" t="s">
        <v>11610</v>
      </c>
      <c r="L22554">
        <v>0</v>
      </c>
      <c r="M22554">
        <v>0</v>
      </c>
      <c r="N22554">
        <v>0</v>
      </c>
    </row>
    <row r="22555" spans="1:15">
      <c r="A22555" t="s">
        <v>64041</v>
      </c>
      <c r="B22555" t="s">
        <v>6742</v>
      </c>
      <c r="C22555" t="s">
        <v>17905</v>
      </c>
      <c r="D22555" t="s">
        <v>64042</v>
      </c>
      <c r="E22555" t="b">
        <v>0</v>
      </c>
      <c r="F22555" t="s">
        <v>11624</v>
      </c>
      <c r="G22555">
        <v>9.7832299999999996</v>
      </c>
      <c r="H22555">
        <v>12.071899999999999</v>
      </c>
      <c r="I22555" t="s">
        <v>64043</v>
      </c>
      <c r="L22555">
        <v>0</v>
      </c>
      <c r="M22555">
        <v>0</v>
      </c>
      <c r="N22555">
        <v>0</v>
      </c>
      <c r="O22555" t="s">
        <v>11693</v>
      </c>
    </row>
    <row r="22556" spans="1:15">
      <c r="A22556" t="s">
        <v>64044</v>
      </c>
      <c r="B22556" t="s">
        <v>12260</v>
      </c>
      <c r="C22556" t="s">
        <v>39731</v>
      </c>
      <c r="D22556" t="s">
        <v>64045</v>
      </c>
      <c r="E22556" t="b">
        <v>0</v>
      </c>
      <c r="F22556" t="s">
        <v>11610</v>
      </c>
      <c r="L22556">
        <v>0</v>
      </c>
      <c r="M22556">
        <v>0</v>
      </c>
      <c r="N22556">
        <v>0</v>
      </c>
    </row>
    <row r="22557" spans="1:15">
      <c r="A22557" t="s">
        <v>64046</v>
      </c>
      <c r="B22557" t="s">
        <v>11637</v>
      </c>
      <c r="C22557" t="s">
        <v>48201</v>
      </c>
      <c r="D22557" t="s">
        <v>64047</v>
      </c>
      <c r="E22557" t="b">
        <v>0</v>
      </c>
      <c r="F22557" t="s">
        <v>11610</v>
      </c>
      <c r="L22557">
        <v>0</v>
      </c>
      <c r="M22557">
        <v>0</v>
      </c>
      <c r="N22557">
        <v>0</v>
      </c>
    </row>
    <row r="22558" spans="1:15">
      <c r="A22558" t="s">
        <v>25896</v>
      </c>
      <c r="B22558" t="s">
        <v>12260</v>
      </c>
      <c r="C22558" t="s">
        <v>21985</v>
      </c>
      <c r="D22558" t="s">
        <v>64048</v>
      </c>
      <c r="E22558" t="b">
        <v>0</v>
      </c>
      <c r="F22558" t="s">
        <v>11624</v>
      </c>
      <c r="G22558">
        <v>59.380200000000002</v>
      </c>
      <c r="H22558">
        <v>28.6235</v>
      </c>
      <c r="I22558" t="s">
        <v>64049</v>
      </c>
      <c r="L22558">
        <v>0</v>
      </c>
      <c r="M22558">
        <v>0</v>
      </c>
      <c r="N22558">
        <v>6</v>
      </c>
      <c r="O22558" t="s">
        <v>12748</v>
      </c>
    </row>
    <row r="22559" spans="1:15">
      <c r="A22559" t="s">
        <v>31625</v>
      </c>
      <c r="B22559" t="s">
        <v>6455</v>
      </c>
      <c r="C22559" t="s">
        <v>23408</v>
      </c>
      <c r="D22559" t="s">
        <v>64050</v>
      </c>
      <c r="E22559" t="b">
        <v>0</v>
      </c>
      <c r="F22559" t="s">
        <v>11622</v>
      </c>
      <c r="L22559">
        <v>0</v>
      </c>
      <c r="M22559">
        <v>3</v>
      </c>
      <c r="N22559">
        <v>0</v>
      </c>
    </row>
    <row r="22560" spans="1:15">
      <c r="A22560" t="s">
        <v>64051</v>
      </c>
      <c r="B22560" t="s">
        <v>367</v>
      </c>
      <c r="C22560" t="s">
        <v>18462</v>
      </c>
      <c r="D22560" t="s">
        <v>64052</v>
      </c>
      <c r="E22560" t="b">
        <v>0</v>
      </c>
      <c r="F22560" t="s">
        <v>11610</v>
      </c>
      <c r="L22560">
        <v>0</v>
      </c>
      <c r="M22560">
        <v>0</v>
      </c>
      <c r="N22560">
        <v>0</v>
      </c>
    </row>
    <row r="22561" spans="1:15">
      <c r="A22561" t="s">
        <v>64053</v>
      </c>
      <c r="B22561" t="s">
        <v>11729</v>
      </c>
      <c r="C22561" t="s">
        <v>14667</v>
      </c>
      <c r="D22561" t="s">
        <v>64054</v>
      </c>
      <c r="E22561" t="b">
        <v>0</v>
      </c>
      <c r="F22561" t="s">
        <v>11610</v>
      </c>
      <c r="L22561">
        <v>0</v>
      </c>
      <c r="M22561">
        <v>0</v>
      </c>
      <c r="N22561">
        <v>0</v>
      </c>
    </row>
    <row r="22562" spans="1:15">
      <c r="A22562" t="s">
        <v>64055</v>
      </c>
      <c r="B22562" t="s">
        <v>367</v>
      </c>
      <c r="C22562" t="s">
        <v>20079</v>
      </c>
      <c r="D22562" t="s">
        <v>64056</v>
      </c>
      <c r="E22562" t="b">
        <v>0</v>
      </c>
      <c r="F22562" t="s">
        <v>11610</v>
      </c>
      <c r="L22562">
        <v>0</v>
      </c>
      <c r="M22562">
        <v>0</v>
      </c>
      <c r="N22562">
        <v>0</v>
      </c>
    </row>
    <row r="22563" spans="1:15">
      <c r="A22563" t="s">
        <v>64057</v>
      </c>
      <c r="B22563" t="s">
        <v>367</v>
      </c>
      <c r="C22563" t="s">
        <v>13019</v>
      </c>
      <c r="D22563" t="s">
        <v>64058</v>
      </c>
      <c r="E22563" t="b">
        <v>0</v>
      </c>
      <c r="F22563" t="s">
        <v>11610</v>
      </c>
      <c r="L22563">
        <v>0</v>
      </c>
      <c r="M22563">
        <v>0</v>
      </c>
      <c r="N22563">
        <v>0</v>
      </c>
    </row>
    <row r="22564" spans="1:15">
      <c r="A22564" t="s">
        <v>64059</v>
      </c>
      <c r="B22564" t="s">
        <v>11637</v>
      </c>
      <c r="C22564" t="s">
        <v>39504</v>
      </c>
      <c r="D22564" t="s">
        <v>64060</v>
      </c>
      <c r="E22564" t="b">
        <v>0</v>
      </c>
      <c r="F22564" t="s">
        <v>11610</v>
      </c>
      <c r="L22564">
        <v>0</v>
      </c>
      <c r="M22564">
        <v>0</v>
      </c>
      <c r="N22564">
        <v>0</v>
      </c>
    </row>
    <row r="22565" spans="1:15">
      <c r="A22565" t="s">
        <v>64061</v>
      </c>
      <c r="B22565" t="s">
        <v>11607</v>
      </c>
      <c r="C22565" t="s">
        <v>17710</v>
      </c>
      <c r="D22565" t="s">
        <v>64062</v>
      </c>
      <c r="E22565" t="b">
        <v>0</v>
      </c>
      <c r="F22565" t="s">
        <v>11610</v>
      </c>
      <c r="L22565">
        <v>0</v>
      </c>
      <c r="M22565">
        <v>0</v>
      </c>
      <c r="N22565">
        <v>0</v>
      </c>
    </row>
    <row r="22566" spans="1:15">
      <c r="A22566" t="s">
        <v>64063</v>
      </c>
      <c r="B22566" t="s">
        <v>6742</v>
      </c>
      <c r="C22566" t="s">
        <v>53786</v>
      </c>
      <c r="D22566" t="s">
        <v>64064</v>
      </c>
      <c r="E22566" t="b">
        <v>0</v>
      </c>
      <c r="F22566" t="s">
        <v>11624</v>
      </c>
      <c r="G22566">
        <v>-2.1767300000000001</v>
      </c>
      <c r="H22566">
        <v>10.649800000000001</v>
      </c>
      <c r="I22566" t="s">
        <v>64065</v>
      </c>
      <c r="L22566">
        <v>0</v>
      </c>
      <c r="M22566">
        <v>0</v>
      </c>
      <c r="N22566">
        <v>0</v>
      </c>
      <c r="O22566" t="s">
        <v>16915</v>
      </c>
    </row>
    <row r="22567" spans="1:15">
      <c r="A22567" t="s">
        <v>64066</v>
      </c>
      <c r="B22567" t="s">
        <v>367</v>
      </c>
      <c r="C22567" t="s">
        <v>48106</v>
      </c>
      <c r="D22567" t="s">
        <v>64067</v>
      </c>
      <c r="E22567" t="b">
        <v>0</v>
      </c>
      <c r="F22567" t="s">
        <v>11624</v>
      </c>
      <c r="G22567">
        <v>-14.8477</v>
      </c>
      <c r="H22567">
        <v>166.691</v>
      </c>
      <c r="I22567" t="s">
        <v>64068</v>
      </c>
      <c r="L22567">
        <v>0</v>
      </c>
      <c r="M22567">
        <v>0</v>
      </c>
      <c r="N22567">
        <v>0</v>
      </c>
      <c r="O22567" t="s">
        <v>12719</v>
      </c>
    </row>
    <row r="22568" spans="1:15">
      <c r="A22568" t="s">
        <v>64069</v>
      </c>
      <c r="B22568" t="s">
        <v>367</v>
      </c>
      <c r="C22568" t="s">
        <v>7268</v>
      </c>
      <c r="D22568" t="s">
        <v>64070</v>
      </c>
      <c r="E22568" t="b">
        <v>0</v>
      </c>
      <c r="F22568" t="s">
        <v>11610</v>
      </c>
      <c r="L22568">
        <v>0</v>
      </c>
      <c r="M22568">
        <v>0</v>
      </c>
      <c r="N22568">
        <v>0</v>
      </c>
    </row>
    <row r="22569" spans="1:15">
      <c r="A22569" t="s">
        <v>64071</v>
      </c>
      <c r="B22569" t="s">
        <v>6742</v>
      </c>
      <c r="C22569" t="s">
        <v>43607</v>
      </c>
      <c r="D22569" t="s">
        <v>64072</v>
      </c>
      <c r="E22569" t="b">
        <v>0</v>
      </c>
      <c r="F22569" t="s">
        <v>11610</v>
      </c>
      <c r="L22569">
        <v>0</v>
      </c>
      <c r="M22569">
        <v>0</v>
      </c>
      <c r="N22569">
        <v>0</v>
      </c>
    </row>
    <row r="22570" spans="1:15">
      <c r="A22570" t="s">
        <v>39782</v>
      </c>
      <c r="B22570" t="s">
        <v>6742</v>
      </c>
      <c r="C22570" t="s">
        <v>21895</v>
      </c>
      <c r="D22570" t="s">
        <v>64073</v>
      </c>
      <c r="E22570" t="b">
        <v>0</v>
      </c>
      <c r="F22570" t="s">
        <v>11624</v>
      </c>
      <c r="G22570">
        <v>-3.4253100000000001</v>
      </c>
      <c r="H22570">
        <v>37.584699999999998</v>
      </c>
      <c r="I22570" t="s">
        <v>64074</v>
      </c>
      <c r="L22570">
        <v>0</v>
      </c>
      <c r="M22570">
        <v>0</v>
      </c>
      <c r="N22570">
        <v>4</v>
      </c>
      <c r="O22570" t="s">
        <v>14933</v>
      </c>
    </row>
    <row r="22571" spans="1:15">
      <c r="A22571" t="s">
        <v>49754</v>
      </c>
      <c r="B22571" t="s">
        <v>367</v>
      </c>
      <c r="C22571" t="s">
        <v>31219</v>
      </c>
      <c r="D22571" t="s">
        <v>64075</v>
      </c>
      <c r="E22571" t="b">
        <v>0</v>
      </c>
      <c r="F22571" t="s">
        <v>11624</v>
      </c>
      <c r="G22571">
        <v>-13.905677000000001</v>
      </c>
      <c r="H22571">
        <v>167.451412</v>
      </c>
      <c r="I22571" t="s">
        <v>64076</v>
      </c>
      <c r="L22571">
        <v>0</v>
      </c>
      <c r="M22571">
        <v>0</v>
      </c>
      <c r="N22571">
        <v>2</v>
      </c>
      <c r="O22571" t="s">
        <v>12719</v>
      </c>
    </row>
    <row r="22572" spans="1:15">
      <c r="A22572" t="s">
        <v>20639</v>
      </c>
      <c r="B22572" t="s">
        <v>6742</v>
      </c>
      <c r="C22572" t="s">
        <v>64077</v>
      </c>
      <c r="D22572" t="s">
        <v>64078</v>
      </c>
      <c r="E22572" t="b">
        <v>0</v>
      </c>
      <c r="F22572" t="s">
        <v>11624</v>
      </c>
      <c r="G22572">
        <v>6.1360299999999999</v>
      </c>
      <c r="H22572">
        <v>11.883900000000001</v>
      </c>
      <c r="I22572" t="s">
        <v>64079</v>
      </c>
      <c r="L22572">
        <v>0</v>
      </c>
      <c r="M22572">
        <v>0</v>
      </c>
      <c r="N22572">
        <v>8</v>
      </c>
      <c r="O22572" t="s">
        <v>11802</v>
      </c>
    </row>
    <row r="22573" spans="1:15">
      <c r="A22573" t="s">
        <v>64080</v>
      </c>
      <c r="B22573" t="s">
        <v>6742</v>
      </c>
      <c r="C22573" t="s">
        <v>20639</v>
      </c>
      <c r="D22573" t="s">
        <v>64081</v>
      </c>
      <c r="E22573" t="b">
        <v>0</v>
      </c>
      <c r="F22573" t="s">
        <v>11610</v>
      </c>
      <c r="L22573">
        <v>0</v>
      </c>
      <c r="M22573">
        <v>0</v>
      </c>
      <c r="N22573">
        <v>0</v>
      </c>
    </row>
    <row r="22574" spans="1:15">
      <c r="A22574" t="s">
        <v>64077</v>
      </c>
      <c r="B22574" t="s">
        <v>6742</v>
      </c>
      <c r="C22574" t="s">
        <v>57780</v>
      </c>
      <c r="D22574" t="s">
        <v>64082</v>
      </c>
      <c r="E22574" t="b">
        <v>0</v>
      </c>
      <c r="F22574" t="s">
        <v>11622</v>
      </c>
      <c r="L22574">
        <v>0</v>
      </c>
      <c r="M22574">
        <v>2</v>
      </c>
      <c r="N22574">
        <v>9</v>
      </c>
    </row>
    <row r="22575" spans="1:15">
      <c r="A22575" t="s">
        <v>57780</v>
      </c>
      <c r="B22575" t="s">
        <v>6742</v>
      </c>
      <c r="C22575" t="s">
        <v>42327</v>
      </c>
      <c r="D22575" t="s">
        <v>64083</v>
      </c>
      <c r="E22575" t="b">
        <v>0</v>
      </c>
      <c r="F22575" t="s">
        <v>11622</v>
      </c>
      <c r="L22575">
        <v>1</v>
      </c>
      <c r="M22575">
        <v>4</v>
      </c>
      <c r="N22575">
        <v>9</v>
      </c>
    </row>
    <row r="22576" spans="1:15">
      <c r="A22576" t="s">
        <v>64084</v>
      </c>
      <c r="B22576" t="s">
        <v>6742</v>
      </c>
      <c r="C22576" t="s">
        <v>55547</v>
      </c>
      <c r="D22576" t="s">
        <v>64085</v>
      </c>
      <c r="E22576" t="b">
        <v>0</v>
      </c>
      <c r="F22576" t="s">
        <v>11624</v>
      </c>
      <c r="G22576">
        <v>-9.0068300000000008</v>
      </c>
      <c r="H22576">
        <v>34.075699999999998</v>
      </c>
      <c r="I22576" t="s">
        <v>64086</v>
      </c>
      <c r="L22576">
        <v>0</v>
      </c>
      <c r="M22576">
        <v>0</v>
      </c>
      <c r="N22576">
        <v>0</v>
      </c>
      <c r="O22576" t="s">
        <v>11635</v>
      </c>
    </row>
    <row r="22577" spans="1:15">
      <c r="A22577" t="s">
        <v>64087</v>
      </c>
      <c r="B22577" t="s">
        <v>6742</v>
      </c>
      <c r="C22577" t="s">
        <v>24810</v>
      </c>
      <c r="D22577" t="s">
        <v>64088</v>
      </c>
      <c r="E22577" t="b">
        <v>0</v>
      </c>
      <c r="F22577" t="s">
        <v>11610</v>
      </c>
      <c r="L22577">
        <v>0</v>
      </c>
      <c r="M22577">
        <v>0</v>
      </c>
      <c r="N22577">
        <v>0</v>
      </c>
    </row>
    <row r="22578" spans="1:15">
      <c r="A22578" t="s">
        <v>64089</v>
      </c>
      <c r="B22578" t="s">
        <v>11637</v>
      </c>
      <c r="C22578" t="s">
        <v>18327</v>
      </c>
      <c r="D22578" t="s">
        <v>64090</v>
      </c>
      <c r="E22578" t="b">
        <v>0</v>
      </c>
      <c r="F22578" t="s">
        <v>11610</v>
      </c>
      <c r="L22578">
        <v>0</v>
      </c>
      <c r="M22578">
        <v>0</v>
      </c>
      <c r="N22578">
        <v>0</v>
      </c>
    </row>
    <row r="22579" spans="1:15">
      <c r="A22579" t="s">
        <v>15300</v>
      </c>
      <c r="B22579" t="s">
        <v>12438</v>
      </c>
      <c r="C22579" t="s">
        <v>39590</v>
      </c>
      <c r="D22579" t="s">
        <v>64091</v>
      </c>
      <c r="E22579" t="b">
        <v>0</v>
      </c>
      <c r="F22579" t="s">
        <v>11622</v>
      </c>
      <c r="L22579">
        <v>0</v>
      </c>
      <c r="M22579">
        <v>3</v>
      </c>
      <c r="N22579">
        <v>6</v>
      </c>
    </row>
    <row r="22580" spans="1:15">
      <c r="A22580" t="s">
        <v>64092</v>
      </c>
      <c r="B22580" t="s">
        <v>13276</v>
      </c>
      <c r="C22580" t="s">
        <v>19545</v>
      </c>
      <c r="D22580" t="s">
        <v>64093</v>
      </c>
      <c r="E22580" t="b">
        <v>0</v>
      </c>
      <c r="F22580" t="s">
        <v>11610</v>
      </c>
      <c r="L22580">
        <v>0</v>
      </c>
      <c r="M22580">
        <v>0</v>
      </c>
      <c r="N22580">
        <v>0</v>
      </c>
    </row>
    <row r="22581" spans="1:15">
      <c r="A22581" t="s">
        <v>64094</v>
      </c>
      <c r="B22581" t="s">
        <v>10597</v>
      </c>
      <c r="C22581" t="s">
        <v>28465</v>
      </c>
      <c r="D22581" t="s">
        <v>64095</v>
      </c>
      <c r="E22581" t="b">
        <v>0</v>
      </c>
      <c r="F22581" t="s">
        <v>11610</v>
      </c>
      <c r="L22581">
        <v>0</v>
      </c>
      <c r="M22581">
        <v>0</v>
      </c>
      <c r="N22581">
        <v>0</v>
      </c>
    </row>
    <row r="22582" spans="1:15">
      <c r="A22582" t="s">
        <v>64096</v>
      </c>
      <c r="B22582" t="s">
        <v>10597</v>
      </c>
      <c r="C22582" t="s">
        <v>17192</v>
      </c>
      <c r="D22582" t="s">
        <v>64097</v>
      </c>
      <c r="E22582" t="b">
        <v>0</v>
      </c>
      <c r="F22582" t="s">
        <v>11610</v>
      </c>
      <c r="L22582">
        <v>0</v>
      </c>
      <c r="M22582">
        <v>0</v>
      </c>
      <c r="N22582">
        <v>0</v>
      </c>
    </row>
    <row r="22583" spans="1:15">
      <c r="A22583" t="s">
        <v>64098</v>
      </c>
      <c r="B22583" t="s">
        <v>367</v>
      </c>
      <c r="C22583" t="s">
        <v>20748</v>
      </c>
      <c r="D22583" t="s">
        <v>64099</v>
      </c>
      <c r="E22583" t="b">
        <v>0</v>
      </c>
      <c r="F22583" t="s">
        <v>11624</v>
      </c>
      <c r="G22583">
        <v>-20.5014</v>
      </c>
      <c r="H22583">
        <v>164.40899999999999</v>
      </c>
      <c r="I22583" t="s">
        <v>64100</v>
      </c>
      <c r="L22583">
        <v>0</v>
      </c>
      <c r="M22583">
        <v>0</v>
      </c>
      <c r="N22583">
        <v>0</v>
      </c>
      <c r="O22583" t="s">
        <v>12624</v>
      </c>
    </row>
    <row r="22584" spans="1:15">
      <c r="A22584" t="s">
        <v>49533</v>
      </c>
      <c r="B22584" t="s">
        <v>6742</v>
      </c>
      <c r="C22584" t="s">
        <v>60572</v>
      </c>
      <c r="D22584" t="s">
        <v>64101</v>
      </c>
      <c r="E22584" t="b">
        <v>0</v>
      </c>
      <c r="F22584" t="s">
        <v>11624</v>
      </c>
      <c r="G22584">
        <v>10.595599999999999</v>
      </c>
      <c r="H22584">
        <v>1.6531800000000001</v>
      </c>
      <c r="I22584" t="s">
        <v>64102</v>
      </c>
      <c r="L22584">
        <v>0</v>
      </c>
      <c r="M22584">
        <v>0</v>
      </c>
      <c r="N22584">
        <v>2</v>
      </c>
      <c r="O22584" t="s">
        <v>15477</v>
      </c>
    </row>
    <row r="22585" spans="1:15">
      <c r="A22585" t="s">
        <v>60572</v>
      </c>
      <c r="B22585" t="s">
        <v>6742</v>
      </c>
      <c r="C22585" t="s">
        <v>18375</v>
      </c>
      <c r="D22585" t="s">
        <v>64103</v>
      </c>
      <c r="E22585" t="b">
        <v>0</v>
      </c>
      <c r="F22585" t="s">
        <v>11622</v>
      </c>
      <c r="L22585">
        <v>2</v>
      </c>
      <c r="M22585">
        <v>4</v>
      </c>
      <c r="N22585">
        <v>8</v>
      </c>
    </row>
    <row r="22586" spans="1:15">
      <c r="A22586" t="s">
        <v>64104</v>
      </c>
      <c r="B22586" t="s">
        <v>13276</v>
      </c>
      <c r="C22586" t="s">
        <v>4247</v>
      </c>
      <c r="D22586" t="s">
        <v>64105</v>
      </c>
      <c r="E22586" t="b">
        <v>0</v>
      </c>
      <c r="F22586" t="s">
        <v>11610</v>
      </c>
      <c r="L22586">
        <v>0</v>
      </c>
      <c r="M22586">
        <v>0</v>
      </c>
      <c r="N22586">
        <v>0</v>
      </c>
    </row>
    <row r="22587" spans="1:15">
      <c r="A22587" t="s">
        <v>64106</v>
      </c>
      <c r="B22587" t="s">
        <v>11607</v>
      </c>
      <c r="C22587" t="s">
        <v>26430</v>
      </c>
      <c r="D22587" t="s">
        <v>64107</v>
      </c>
      <c r="E22587" t="b">
        <v>0</v>
      </c>
      <c r="F22587" t="s">
        <v>11624</v>
      </c>
      <c r="G22587">
        <v>0.55656000000000005</v>
      </c>
      <c r="H22587">
        <v>37.8568</v>
      </c>
      <c r="I22587" t="s">
        <v>64108</v>
      </c>
      <c r="L22587">
        <v>0</v>
      </c>
      <c r="M22587">
        <v>0</v>
      </c>
      <c r="N22587">
        <v>0</v>
      </c>
      <c r="O22587" t="s">
        <v>22848</v>
      </c>
    </row>
    <row r="22588" spans="1:15">
      <c r="A22588" t="s">
        <v>64109</v>
      </c>
      <c r="B22588" t="s">
        <v>11607</v>
      </c>
      <c r="C22588" t="s">
        <v>45832</v>
      </c>
      <c r="D22588" t="s">
        <v>64110</v>
      </c>
      <c r="E22588" t="b">
        <v>0</v>
      </c>
      <c r="F22588" t="s">
        <v>11610</v>
      </c>
      <c r="L22588">
        <v>0</v>
      </c>
      <c r="M22588">
        <v>0</v>
      </c>
      <c r="N22588">
        <v>0</v>
      </c>
    </row>
    <row r="22589" spans="1:15">
      <c r="A22589" t="s">
        <v>64111</v>
      </c>
      <c r="B22589" t="s">
        <v>367</v>
      </c>
      <c r="C22589" t="s">
        <v>14896</v>
      </c>
      <c r="D22589" t="s">
        <v>64112</v>
      </c>
      <c r="E22589" t="b">
        <v>0</v>
      </c>
      <c r="F22589" t="s">
        <v>11624</v>
      </c>
      <c r="G22589">
        <v>-5.6121600000000003</v>
      </c>
      <c r="H22589">
        <v>146.46100000000001</v>
      </c>
      <c r="I22589" t="s">
        <v>64113</v>
      </c>
      <c r="L22589">
        <v>0</v>
      </c>
      <c r="M22589">
        <v>0</v>
      </c>
      <c r="N22589">
        <v>0</v>
      </c>
      <c r="O22589" t="s">
        <v>11660</v>
      </c>
    </row>
    <row r="22590" spans="1:15">
      <c r="A22590" t="s">
        <v>64114</v>
      </c>
      <c r="B22590" t="s">
        <v>367</v>
      </c>
      <c r="C22590" t="s">
        <v>26151</v>
      </c>
      <c r="D22590" t="s">
        <v>64115</v>
      </c>
      <c r="E22590" t="b">
        <v>0</v>
      </c>
      <c r="F22590" t="s">
        <v>11624</v>
      </c>
      <c r="G22590">
        <v>-1.7729699999999999</v>
      </c>
      <c r="H22590">
        <v>136.75700000000001</v>
      </c>
      <c r="I22590" t="s">
        <v>64116</v>
      </c>
      <c r="L22590">
        <v>0</v>
      </c>
      <c r="M22590">
        <v>0</v>
      </c>
      <c r="N22590">
        <v>0</v>
      </c>
      <c r="O22590" t="s">
        <v>11768</v>
      </c>
    </row>
    <row r="22591" spans="1:15">
      <c r="A22591" t="s">
        <v>64117</v>
      </c>
      <c r="B22591" t="s">
        <v>14524</v>
      </c>
      <c r="C22591" t="s">
        <v>14524</v>
      </c>
      <c r="D22591" t="s">
        <v>64118</v>
      </c>
      <c r="E22591" t="b">
        <v>0</v>
      </c>
      <c r="F22591" t="s">
        <v>11624</v>
      </c>
      <c r="G22591">
        <v>-8.4165100000000006</v>
      </c>
      <c r="H22591">
        <v>143.501</v>
      </c>
      <c r="I22591" t="s">
        <v>64119</v>
      </c>
      <c r="L22591">
        <v>0</v>
      </c>
      <c r="M22591">
        <v>0</v>
      </c>
      <c r="N22591">
        <v>0</v>
      </c>
      <c r="O22591" t="s">
        <v>11660</v>
      </c>
    </row>
    <row r="22592" spans="1:15">
      <c r="A22592" t="s">
        <v>20446</v>
      </c>
      <c r="B22592" t="s">
        <v>367</v>
      </c>
      <c r="C22592" t="s">
        <v>23017</v>
      </c>
      <c r="D22592" t="s">
        <v>64120</v>
      </c>
      <c r="E22592" t="b">
        <v>0</v>
      </c>
      <c r="F22592" t="s">
        <v>11610</v>
      </c>
      <c r="L22592">
        <v>0</v>
      </c>
      <c r="M22592">
        <v>0</v>
      </c>
      <c r="N22592">
        <v>6</v>
      </c>
    </row>
    <row r="22593" spans="1:15">
      <c r="A22593" t="s">
        <v>64121</v>
      </c>
      <c r="B22593" t="s">
        <v>11637</v>
      </c>
      <c r="C22593" t="s">
        <v>16757</v>
      </c>
      <c r="D22593" t="s">
        <v>64122</v>
      </c>
      <c r="E22593" t="b">
        <v>0</v>
      </c>
      <c r="F22593" t="s">
        <v>11610</v>
      </c>
      <c r="L22593">
        <v>0</v>
      </c>
      <c r="M22593">
        <v>0</v>
      </c>
      <c r="N22593">
        <v>0</v>
      </c>
    </row>
    <row r="22594" spans="1:15">
      <c r="A22594" t="s">
        <v>64123</v>
      </c>
      <c r="B22594" t="s">
        <v>6742</v>
      </c>
      <c r="C22594" t="s">
        <v>12003</v>
      </c>
      <c r="D22594" t="s">
        <v>64124</v>
      </c>
      <c r="E22594" t="b">
        <v>0</v>
      </c>
      <c r="F22594" t="s">
        <v>11624</v>
      </c>
      <c r="G22594">
        <v>6.4557099999999998</v>
      </c>
      <c r="H22594">
        <v>1.69303</v>
      </c>
      <c r="I22594" t="s">
        <v>64125</v>
      </c>
      <c r="L22594">
        <v>0</v>
      </c>
      <c r="M22594">
        <v>0</v>
      </c>
      <c r="N22594">
        <v>0</v>
      </c>
      <c r="O22594" t="s">
        <v>12394</v>
      </c>
    </row>
    <row r="22595" spans="1:15">
      <c r="A22595" t="s">
        <v>64126</v>
      </c>
      <c r="B22595" t="s">
        <v>8146</v>
      </c>
      <c r="C22595" t="s">
        <v>60528</v>
      </c>
      <c r="D22595" t="s">
        <v>64127</v>
      </c>
      <c r="E22595" t="b">
        <v>0</v>
      </c>
      <c r="F22595" t="s">
        <v>11610</v>
      </c>
      <c r="L22595">
        <v>0</v>
      </c>
      <c r="M22595">
        <v>0</v>
      </c>
      <c r="N22595">
        <v>0</v>
      </c>
    </row>
    <row r="22596" spans="1:15">
      <c r="A22596" t="s">
        <v>64128</v>
      </c>
      <c r="B22596" t="s">
        <v>11637</v>
      </c>
      <c r="C22596" t="s">
        <v>12947</v>
      </c>
      <c r="D22596" t="s">
        <v>64129</v>
      </c>
      <c r="E22596" t="b">
        <v>0</v>
      </c>
      <c r="F22596" t="s">
        <v>11610</v>
      </c>
      <c r="L22596">
        <v>0</v>
      </c>
      <c r="M22596">
        <v>0</v>
      </c>
      <c r="N22596">
        <v>0</v>
      </c>
    </row>
    <row r="22597" spans="1:15">
      <c r="A22597" t="s">
        <v>64130</v>
      </c>
      <c r="B22597" t="s">
        <v>11644</v>
      </c>
      <c r="C22597" t="s">
        <v>12404</v>
      </c>
      <c r="D22597" t="s">
        <v>64131</v>
      </c>
      <c r="E22597" t="b">
        <v>0</v>
      </c>
      <c r="F22597" t="s">
        <v>11610</v>
      </c>
      <c r="L22597">
        <v>0</v>
      </c>
      <c r="M22597">
        <v>0</v>
      </c>
      <c r="N22597">
        <v>0</v>
      </c>
    </row>
    <row r="22598" spans="1:15">
      <c r="A22598" t="s">
        <v>64132</v>
      </c>
      <c r="B22598" t="s">
        <v>6742</v>
      </c>
      <c r="C22598" t="s">
        <v>16536</v>
      </c>
      <c r="D22598" t="s">
        <v>64133</v>
      </c>
      <c r="E22598" t="b">
        <v>0</v>
      </c>
      <c r="F22598" t="s">
        <v>11610</v>
      </c>
      <c r="L22598">
        <v>0</v>
      </c>
      <c r="M22598">
        <v>0</v>
      </c>
      <c r="N22598">
        <v>0</v>
      </c>
    </row>
    <row r="22599" spans="1:15">
      <c r="A22599" t="s">
        <v>64134</v>
      </c>
      <c r="B22599" t="s">
        <v>11729</v>
      </c>
      <c r="C22599" t="s">
        <v>37259</v>
      </c>
      <c r="D22599" t="s">
        <v>64135</v>
      </c>
      <c r="E22599" t="b">
        <v>0</v>
      </c>
      <c r="F22599" t="s">
        <v>11610</v>
      </c>
      <c r="L22599">
        <v>0</v>
      </c>
      <c r="M22599">
        <v>0</v>
      </c>
      <c r="N22599">
        <v>0</v>
      </c>
    </row>
    <row r="22600" spans="1:15">
      <c r="A22600" t="s">
        <v>64136</v>
      </c>
      <c r="B22600" t="s">
        <v>367</v>
      </c>
      <c r="C22600" t="s">
        <v>17265</v>
      </c>
      <c r="D22600" t="s">
        <v>64137</v>
      </c>
      <c r="E22600" t="b">
        <v>0</v>
      </c>
      <c r="F22600" t="s">
        <v>11610</v>
      </c>
      <c r="L22600">
        <v>0</v>
      </c>
      <c r="M22600">
        <v>0</v>
      </c>
      <c r="N22600">
        <v>0</v>
      </c>
    </row>
    <row r="22601" spans="1:15">
      <c r="A22601" t="s">
        <v>64138</v>
      </c>
      <c r="B22601" t="s">
        <v>11615</v>
      </c>
      <c r="C22601" t="s">
        <v>51625</v>
      </c>
      <c r="D22601" t="s">
        <v>64139</v>
      </c>
      <c r="E22601" t="b">
        <v>0</v>
      </c>
      <c r="F22601" t="s">
        <v>11624</v>
      </c>
      <c r="G22601">
        <v>-4.5275400000000001</v>
      </c>
      <c r="H22601">
        <v>144.97200000000001</v>
      </c>
      <c r="I22601" t="s">
        <v>64140</v>
      </c>
      <c r="L22601">
        <v>0</v>
      </c>
      <c r="M22601">
        <v>0</v>
      </c>
      <c r="N22601">
        <v>0</v>
      </c>
      <c r="O22601" t="s">
        <v>11660</v>
      </c>
    </row>
    <row r="22602" spans="1:15">
      <c r="A22602" t="s">
        <v>64141</v>
      </c>
      <c r="B22602" t="s">
        <v>11844</v>
      </c>
      <c r="C22602" t="s">
        <v>22400</v>
      </c>
      <c r="D22602" t="s">
        <v>64142</v>
      </c>
      <c r="E22602" t="b">
        <v>0</v>
      </c>
      <c r="F22602" t="s">
        <v>11624</v>
      </c>
      <c r="G22602">
        <v>19.883800000000001</v>
      </c>
      <c r="H22602">
        <v>77.167299999999997</v>
      </c>
      <c r="I22602" t="s">
        <v>64143</v>
      </c>
      <c r="L22602">
        <v>0</v>
      </c>
      <c r="M22602">
        <v>0</v>
      </c>
      <c r="N22602">
        <v>0</v>
      </c>
      <c r="O22602" t="s">
        <v>11630</v>
      </c>
    </row>
    <row r="22603" spans="1:15">
      <c r="A22603" t="s">
        <v>30819</v>
      </c>
      <c r="B22603" t="s">
        <v>11637</v>
      </c>
      <c r="C22603" t="s">
        <v>12169</v>
      </c>
      <c r="D22603" t="s">
        <v>64144</v>
      </c>
      <c r="E22603" t="b">
        <v>0</v>
      </c>
      <c r="F22603" t="s">
        <v>11624</v>
      </c>
      <c r="G22603">
        <v>26.071300000000001</v>
      </c>
      <c r="H22603">
        <v>72.131200000000007</v>
      </c>
      <c r="I22603" t="s">
        <v>64145</v>
      </c>
      <c r="L22603">
        <v>0</v>
      </c>
      <c r="M22603">
        <v>0</v>
      </c>
      <c r="N22603">
        <v>8</v>
      </c>
      <c r="O22603" t="s">
        <v>15870</v>
      </c>
    </row>
    <row r="22604" spans="1:15">
      <c r="A22604" t="s">
        <v>64146</v>
      </c>
      <c r="B22604" t="s">
        <v>10597</v>
      </c>
      <c r="C22604" t="s">
        <v>61173</v>
      </c>
      <c r="D22604" t="s">
        <v>64147</v>
      </c>
      <c r="E22604" t="b">
        <v>0</v>
      </c>
      <c r="F22604" t="s">
        <v>11610</v>
      </c>
      <c r="L22604">
        <v>0</v>
      </c>
      <c r="M22604">
        <v>0</v>
      </c>
      <c r="N22604">
        <v>0</v>
      </c>
    </row>
    <row r="22605" spans="1:15">
      <c r="A22605" t="s">
        <v>64148</v>
      </c>
      <c r="B22605" t="s">
        <v>6742</v>
      </c>
      <c r="C22605" t="s">
        <v>15793</v>
      </c>
      <c r="D22605" t="s">
        <v>64149</v>
      </c>
      <c r="E22605" t="b">
        <v>0</v>
      </c>
      <c r="F22605" t="s">
        <v>11610</v>
      </c>
      <c r="L22605">
        <v>0</v>
      </c>
      <c r="M22605">
        <v>0</v>
      </c>
      <c r="N22605">
        <v>0</v>
      </c>
    </row>
    <row r="22606" spans="1:15">
      <c r="A22606" t="s">
        <v>64150</v>
      </c>
      <c r="B22606" t="s">
        <v>367</v>
      </c>
      <c r="C22606" t="s">
        <v>14563</v>
      </c>
      <c r="D22606" t="s">
        <v>64151</v>
      </c>
      <c r="E22606" t="b">
        <v>0</v>
      </c>
      <c r="F22606" t="s">
        <v>11610</v>
      </c>
      <c r="L22606">
        <v>0</v>
      </c>
      <c r="M22606">
        <v>0</v>
      </c>
      <c r="N22606">
        <v>0</v>
      </c>
    </row>
    <row r="22607" spans="1:15">
      <c r="A22607" t="s">
        <v>64152</v>
      </c>
      <c r="B22607" t="s">
        <v>11607</v>
      </c>
      <c r="C22607" t="s">
        <v>17383</v>
      </c>
      <c r="D22607" t="s">
        <v>64153</v>
      </c>
      <c r="E22607" t="b">
        <v>0</v>
      </c>
      <c r="F22607" t="s">
        <v>11610</v>
      </c>
      <c r="L22607">
        <v>0</v>
      </c>
      <c r="M22607">
        <v>0</v>
      </c>
      <c r="N22607">
        <v>0</v>
      </c>
    </row>
    <row r="22608" spans="1:15">
      <c r="A22608" t="s">
        <v>64154</v>
      </c>
      <c r="B22608" t="s">
        <v>11607</v>
      </c>
      <c r="C22608" t="s">
        <v>25019</v>
      </c>
      <c r="D22608" t="s">
        <v>64155</v>
      </c>
      <c r="E22608" t="b">
        <v>0</v>
      </c>
      <c r="F22608" t="s">
        <v>11610</v>
      </c>
      <c r="L22608">
        <v>0</v>
      </c>
      <c r="M22608">
        <v>0</v>
      </c>
      <c r="N22608">
        <v>0</v>
      </c>
    </row>
    <row r="22609" spans="1:15">
      <c r="A22609" t="s">
        <v>64156</v>
      </c>
      <c r="B22609" t="s">
        <v>10597</v>
      </c>
      <c r="C22609" t="s">
        <v>24965</v>
      </c>
      <c r="D22609" t="s">
        <v>64157</v>
      </c>
      <c r="E22609" t="b">
        <v>0</v>
      </c>
      <c r="F22609" t="s">
        <v>11610</v>
      </c>
      <c r="I22609" t="s">
        <v>64158</v>
      </c>
      <c r="L22609">
        <v>0</v>
      </c>
      <c r="M22609">
        <v>0</v>
      </c>
      <c r="N22609">
        <v>0</v>
      </c>
      <c r="O22609" t="s">
        <v>12107</v>
      </c>
    </row>
    <row r="22610" spans="1:15">
      <c r="A22610" t="s">
        <v>64159</v>
      </c>
      <c r="B22610" t="s">
        <v>10597</v>
      </c>
      <c r="C22610" t="s">
        <v>42263</v>
      </c>
      <c r="D22610" t="s">
        <v>64160</v>
      </c>
      <c r="E22610" t="b">
        <v>0</v>
      </c>
      <c r="F22610" t="s">
        <v>11610</v>
      </c>
      <c r="I22610" t="s">
        <v>64161</v>
      </c>
      <c r="L22610">
        <v>0</v>
      </c>
      <c r="M22610">
        <v>0</v>
      </c>
      <c r="N22610">
        <v>0</v>
      </c>
      <c r="O22610" t="s">
        <v>12107</v>
      </c>
    </row>
    <row r="22611" spans="1:15">
      <c r="A22611" t="s">
        <v>705</v>
      </c>
      <c r="D22611" t="s">
        <v>704</v>
      </c>
      <c r="E22611" t="b">
        <v>0</v>
      </c>
      <c r="F22611" t="s">
        <v>11624</v>
      </c>
      <c r="G22611">
        <v>-12.8596</v>
      </c>
      <c r="H22611">
        <v>130.73699999999999</v>
      </c>
      <c r="I22611" t="s">
        <v>706</v>
      </c>
      <c r="L22611">
        <v>0</v>
      </c>
      <c r="M22611">
        <v>0</v>
      </c>
      <c r="N22611">
        <v>1</v>
      </c>
      <c r="O22611" t="s">
        <v>12107</v>
      </c>
    </row>
    <row r="22612" spans="1:15">
      <c r="A22612" t="s">
        <v>64162</v>
      </c>
      <c r="B22612" t="s">
        <v>10597</v>
      </c>
      <c r="C22612" t="s">
        <v>2618</v>
      </c>
      <c r="D22612" t="s">
        <v>64163</v>
      </c>
      <c r="E22612" t="b">
        <v>0</v>
      </c>
      <c r="F22612" t="s">
        <v>11624</v>
      </c>
      <c r="G22612">
        <v>-23.802900000000001</v>
      </c>
      <c r="H22612">
        <v>147.42099999999999</v>
      </c>
      <c r="I22612" t="s">
        <v>64164</v>
      </c>
      <c r="L22612">
        <v>0</v>
      </c>
      <c r="M22612">
        <v>0</v>
      </c>
      <c r="N22612">
        <v>0</v>
      </c>
      <c r="O22612" t="s">
        <v>12107</v>
      </c>
    </row>
    <row r="22613" spans="1:15">
      <c r="A22613" t="s">
        <v>64165</v>
      </c>
      <c r="B22613" t="s">
        <v>11607</v>
      </c>
      <c r="C22613" t="s">
        <v>15662</v>
      </c>
      <c r="D22613" t="s">
        <v>64166</v>
      </c>
      <c r="E22613" t="b">
        <v>0</v>
      </c>
      <c r="F22613" t="s">
        <v>11610</v>
      </c>
      <c r="L22613">
        <v>0</v>
      </c>
      <c r="M22613">
        <v>0</v>
      </c>
      <c r="N22613">
        <v>0</v>
      </c>
    </row>
    <row r="22614" spans="1:15">
      <c r="A22614" t="s">
        <v>64167</v>
      </c>
      <c r="B22614" t="s">
        <v>367</v>
      </c>
      <c r="C22614" t="s">
        <v>26581</v>
      </c>
      <c r="D22614" t="s">
        <v>64168</v>
      </c>
      <c r="E22614" t="b">
        <v>0</v>
      </c>
      <c r="F22614" t="s">
        <v>11624</v>
      </c>
      <c r="G22614">
        <v>-10.2897</v>
      </c>
      <c r="H22614">
        <v>150.398</v>
      </c>
      <c r="I22614" t="s">
        <v>64169</v>
      </c>
      <c r="L22614">
        <v>0</v>
      </c>
      <c r="M22614">
        <v>0</v>
      </c>
      <c r="N22614">
        <v>0</v>
      </c>
      <c r="O22614" t="s">
        <v>11660</v>
      </c>
    </row>
    <row r="22615" spans="1:15">
      <c r="A22615" t="s">
        <v>64170</v>
      </c>
      <c r="B22615" t="s">
        <v>367</v>
      </c>
      <c r="C22615" t="s">
        <v>54160</v>
      </c>
      <c r="D22615" t="s">
        <v>64171</v>
      </c>
      <c r="E22615" t="b">
        <v>0</v>
      </c>
      <c r="F22615" t="s">
        <v>11624</v>
      </c>
      <c r="G22615">
        <v>-8.7864500000000003</v>
      </c>
      <c r="H22615">
        <v>120.70299</v>
      </c>
      <c r="I22615" t="s">
        <v>64172</v>
      </c>
      <c r="L22615">
        <v>0</v>
      </c>
      <c r="M22615">
        <v>0</v>
      </c>
      <c r="N22615">
        <v>0</v>
      </c>
      <c r="O22615" t="s">
        <v>11768</v>
      </c>
    </row>
    <row r="22616" spans="1:15">
      <c r="A22616" t="s">
        <v>54160</v>
      </c>
      <c r="B22616" t="s">
        <v>367</v>
      </c>
      <c r="C22616" t="s">
        <v>35913</v>
      </c>
      <c r="D22616" t="s">
        <v>64173</v>
      </c>
      <c r="E22616" t="b">
        <v>0</v>
      </c>
      <c r="F22616" t="s">
        <v>11622</v>
      </c>
      <c r="L22616">
        <v>0</v>
      </c>
      <c r="M22616">
        <v>2</v>
      </c>
      <c r="N22616">
        <v>0</v>
      </c>
    </row>
    <row r="22617" spans="1:15">
      <c r="A22617" t="s">
        <v>64174</v>
      </c>
      <c r="B22617" t="s">
        <v>367</v>
      </c>
      <c r="C22617" t="s">
        <v>20534</v>
      </c>
      <c r="D22617" t="s">
        <v>64175</v>
      </c>
      <c r="E22617" t="b">
        <v>0</v>
      </c>
      <c r="F22617" t="s">
        <v>11610</v>
      </c>
      <c r="L22617">
        <v>0</v>
      </c>
      <c r="M22617">
        <v>0</v>
      </c>
      <c r="N22617">
        <v>0</v>
      </c>
    </row>
    <row r="22618" spans="1:15">
      <c r="A22618" t="s">
        <v>64176</v>
      </c>
      <c r="B22618" t="s">
        <v>11615</v>
      </c>
      <c r="C22618" t="s">
        <v>18741</v>
      </c>
      <c r="D22618" t="s">
        <v>64177</v>
      </c>
      <c r="E22618" t="b">
        <v>0</v>
      </c>
      <c r="F22618" t="s">
        <v>11624</v>
      </c>
      <c r="G22618">
        <v>-6.55783</v>
      </c>
      <c r="H22618">
        <v>146.09</v>
      </c>
      <c r="I22618" t="s">
        <v>64178</v>
      </c>
      <c r="L22618">
        <v>0</v>
      </c>
      <c r="M22618">
        <v>0</v>
      </c>
      <c r="N22618">
        <v>0</v>
      </c>
      <c r="O22618" t="s">
        <v>11660</v>
      </c>
    </row>
    <row r="22619" spans="1:15">
      <c r="A22619" t="s">
        <v>13435</v>
      </c>
      <c r="B22619" t="s">
        <v>13434</v>
      </c>
      <c r="C22619" t="s">
        <v>13434</v>
      </c>
      <c r="D22619" t="s">
        <v>64179</v>
      </c>
      <c r="E22619" t="b">
        <v>0</v>
      </c>
      <c r="F22619" t="s">
        <v>11622</v>
      </c>
      <c r="L22619">
        <v>1</v>
      </c>
      <c r="M22619">
        <v>3</v>
      </c>
      <c r="N22619">
        <v>0</v>
      </c>
    </row>
    <row r="22620" spans="1:15">
      <c r="A22620" t="s">
        <v>64180</v>
      </c>
      <c r="B22620" t="s">
        <v>10597</v>
      </c>
      <c r="C22620" t="s">
        <v>47270</v>
      </c>
      <c r="D22620" t="s">
        <v>64181</v>
      </c>
      <c r="E22620" t="b">
        <v>0</v>
      </c>
      <c r="F22620" t="s">
        <v>11624</v>
      </c>
      <c r="G22620">
        <v>-20.329000000000001</v>
      </c>
      <c r="H22620">
        <v>137.62299999999999</v>
      </c>
      <c r="I22620" t="s">
        <v>64182</v>
      </c>
      <c r="L22620">
        <v>0</v>
      </c>
      <c r="M22620">
        <v>0</v>
      </c>
      <c r="N22620">
        <v>0</v>
      </c>
      <c r="O22620" t="s">
        <v>12107</v>
      </c>
    </row>
    <row r="22621" spans="1:15">
      <c r="A22621" t="s">
        <v>64183</v>
      </c>
      <c r="B22621" t="s">
        <v>10597</v>
      </c>
      <c r="C22621" t="s">
        <v>25646</v>
      </c>
      <c r="D22621" t="s">
        <v>64184</v>
      </c>
      <c r="E22621" t="b">
        <v>0</v>
      </c>
      <c r="F22621" t="s">
        <v>11610</v>
      </c>
      <c r="L22621">
        <v>0</v>
      </c>
      <c r="M22621">
        <v>0</v>
      </c>
      <c r="N22621">
        <v>0</v>
      </c>
    </row>
    <row r="22622" spans="1:15">
      <c r="A22622" t="s">
        <v>64185</v>
      </c>
      <c r="B22622" t="s">
        <v>11627</v>
      </c>
      <c r="C22622" t="s">
        <v>11627</v>
      </c>
      <c r="D22622" t="s">
        <v>64186</v>
      </c>
      <c r="E22622" t="b">
        <v>1</v>
      </c>
      <c r="F22622" t="s">
        <v>11624</v>
      </c>
      <c r="I22622" t="s">
        <v>64187</v>
      </c>
      <c r="L22622">
        <v>0</v>
      </c>
      <c r="M22622">
        <v>0</v>
      </c>
      <c r="N22622">
        <v>0</v>
      </c>
    </row>
    <row r="22623" spans="1:15">
      <c r="A22623" t="s">
        <v>64188</v>
      </c>
      <c r="B22623" t="s">
        <v>367</v>
      </c>
      <c r="C22623" t="s">
        <v>20672</v>
      </c>
      <c r="D22623" t="s">
        <v>64189</v>
      </c>
      <c r="E22623" t="b">
        <v>0</v>
      </c>
      <c r="F22623" t="s">
        <v>11610</v>
      </c>
      <c r="L22623">
        <v>0</v>
      </c>
      <c r="M22623">
        <v>0</v>
      </c>
      <c r="N22623">
        <v>0</v>
      </c>
    </row>
    <row r="22624" spans="1:15">
      <c r="A22624" t="s">
        <v>64190</v>
      </c>
      <c r="B22624" t="s">
        <v>11607</v>
      </c>
      <c r="C22624" t="s">
        <v>21754</v>
      </c>
      <c r="D22624" t="s">
        <v>64191</v>
      </c>
      <c r="E22624" t="b">
        <v>0</v>
      </c>
      <c r="F22624" t="s">
        <v>11610</v>
      </c>
      <c r="L22624">
        <v>0</v>
      </c>
      <c r="M22624">
        <v>0</v>
      </c>
      <c r="N22624">
        <v>0</v>
      </c>
    </row>
    <row r="22625" spans="1:15">
      <c r="A22625" t="s">
        <v>28430</v>
      </c>
      <c r="B22625" t="s">
        <v>367</v>
      </c>
      <c r="C22625" t="s">
        <v>15128</v>
      </c>
      <c r="D22625" t="s">
        <v>64192</v>
      </c>
      <c r="E22625" t="b">
        <v>0</v>
      </c>
      <c r="F22625" t="s">
        <v>11624</v>
      </c>
      <c r="G22625">
        <v>-10.417920000000001</v>
      </c>
      <c r="H22625">
        <v>150.37814</v>
      </c>
      <c r="I22625" t="s">
        <v>64193</v>
      </c>
      <c r="L22625">
        <v>0</v>
      </c>
      <c r="M22625">
        <v>0</v>
      </c>
      <c r="N22625">
        <v>2</v>
      </c>
      <c r="O22625" t="s">
        <v>11660</v>
      </c>
    </row>
    <row r="22626" spans="1:15">
      <c r="A22626" t="s">
        <v>12079</v>
      </c>
      <c r="B22626" t="s">
        <v>11637</v>
      </c>
      <c r="C22626" t="s">
        <v>1274</v>
      </c>
      <c r="D22626" t="s">
        <v>64194</v>
      </c>
      <c r="E22626" t="b">
        <v>0</v>
      </c>
      <c r="F22626" t="s">
        <v>11624</v>
      </c>
      <c r="G22626">
        <v>23.688800000000001</v>
      </c>
      <c r="H22626">
        <v>73.902199999999993</v>
      </c>
      <c r="I22626" t="s">
        <v>64195</v>
      </c>
      <c r="L22626">
        <v>0</v>
      </c>
      <c r="M22626">
        <v>0</v>
      </c>
      <c r="N22626">
        <v>3</v>
      </c>
      <c r="O22626" t="s">
        <v>11630</v>
      </c>
    </row>
    <row r="22627" spans="1:15">
      <c r="A22627" t="s">
        <v>64196</v>
      </c>
      <c r="D22627" t="s">
        <v>64197</v>
      </c>
      <c r="E22627" t="b">
        <v>0</v>
      </c>
      <c r="F22627" t="s">
        <v>11624</v>
      </c>
      <c r="G22627">
        <v>-13.8627</v>
      </c>
      <c r="H22627">
        <v>131.893</v>
      </c>
      <c r="I22627" t="s">
        <v>64198</v>
      </c>
      <c r="L22627">
        <v>0</v>
      </c>
      <c r="M22627">
        <v>0</v>
      </c>
      <c r="N22627">
        <v>0</v>
      </c>
      <c r="O22627" t="s">
        <v>12107</v>
      </c>
    </row>
    <row r="22628" spans="1:15">
      <c r="A22628" t="s">
        <v>19594</v>
      </c>
      <c r="B22628" t="s">
        <v>11871</v>
      </c>
      <c r="C22628" t="s">
        <v>36632</v>
      </c>
      <c r="D22628" t="s">
        <v>64199</v>
      </c>
      <c r="E22628" t="b">
        <v>0</v>
      </c>
      <c r="F22628" t="s">
        <v>11622</v>
      </c>
      <c r="L22628">
        <v>2</v>
      </c>
      <c r="M22628">
        <v>5</v>
      </c>
      <c r="N22628">
        <v>5</v>
      </c>
    </row>
    <row r="22629" spans="1:15">
      <c r="A22629" t="s">
        <v>13968</v>
      </c>
      <c r="B22629" t="s">
        <v>13967</v>
      </c>
      <c r="C22629" t="s">
        <v>3352</v>
      </c>
      <c r="D22629" t="s">
        <v>64200</v>
      </c>
      <c r="E22629" t="b">
        <v>0</v>
      </c>
      <c r="F22629" t="s">
        <v>11610</v>
      </c>
      <c r="L22629">
        <v>0</v>
      </c>
      <c r="M22629">
        <v>0</v>
      </c>
      <c r="N22629">
        <v>3</v>
      </c>
    </row>
    <row r="22630" spans="1:15">
      <c r="A22630" t="s">
        <v>64201</v>
      </c>
      <c r="B22630" t="s">
        <v>367</v>
      </c>
      <c r="C22630" t="s">
        <v>17655</v>
      </c>
      <c r="D22630" t="s">
        <v>64202</v>
      </c>
      <c r="E22630" t="b">
        <v>0</v>
      </c>
      <c r="F22630" t="s">
        <v>11610</v>
      </c>
      <c r="L22630">
        <v>0</v>
      </c>
      <c r="M22630">
        <v>0</v>
      </c>
      <c r="N22630">
        <v>0</v>
      </c>
    </row>
    <row r="22631" spans="1:15">
      <c r="A22631" t="s">
        <v>64203</v>
      </c>
      <c r="B22631" t="s">
        <v>11615</v>
      </c>
      <c r="C22631" t="s">
        <v>15996</v>
      </c>
      <c r="D22631" t="s">
        <v>64204</v>
      </c>
      <c r="E22631" t="b">
        <v>0</v>
      </c>
      <c r="F22631" t="s">
        <v>11624</v>
      </c>
      <c r="G22631">
        <v>-5.1783400000000004</v>
      </c>
      <c r="H22631">
        <v>145.726</v>
      </c>
      <c r="I22631" t="s">
        <v>64205</v>
      </c>
      <c r="L22631">
        <v>0</v>
      </c>
      <c r="M22631">
        <v>0</v>
      </c>
      <c r="N22631">
        <v>0</v>
      </c>
      <c r="O22631" t="s">
        <v>11660</v>
      </c>
    </row>
    <row r="22632" spans="1:15">
      <c r="A22632" t="s">
        <v>64206</v>
      </c>
      <c r="B22632" t="s">
        <v>11705</v>
      </c>
      <c r="C22632" t="s">
        <v>15935</v>
      </c>
      <c r="D22632" t="s">
        <v>64207</v>
      </c>
      <c r="E22632" t="b">
        <v>0</v>
      </c>
      <c r="F22632" t="s">
        <v>11624</v>
      </c>
      <c r="G22632">
        <v>-4.3804239999999997</v>
      </c>
      <c r="H22632">
        <v>142.72679500000001</v>
      </c>
      <c r="L22632">
        <v>0</v>
      </c>
      <c r="M22632">
        <v>0</v>
      </c>
      <c r="N22632">
        <v>0</v>
      </c>
      <c r="O22632" t="s">
        <v>11660</v>
      </c>
    </row>
    <row r="22633" spans="1:15">
      <c r="A22633" t="s">
        <v>64208</v>
      </c>
      <c r="B22633" t="s">
        <v>367</v>
      </c>
      <c r="C22633" t="s">
        <v>36841</v>
      </c>
      <c r="D22633" t="s">
        <v>64209</v>
      </c>
      <c r="E22633" t="b">
        <v>0</v>
      </c>
      <c r="F22633" t="s">
        <v>11610</v>
      </c>
      <c r="L22633">
        <v>0</v>
      </c>
      <c r="M22633">
        <v>0</v>
      </c>
      <c r="N22633">
        <v>0</v>
      </c>
    </row>
    <row r="22634" spans="1:15">
      <c r="A22634" t="s">
        <v>62996</v>
      </c>
      <c r="B22634" t="s">
        <v>367</v>
      </c>
      <c r="C22634" t="s">
        <v>40991</v>
      </c>
      <c r="D22634" t="s">
        <v>64210</v>
      </c>
      <c r="E22634" t="b">
        <v>0</v>
      </c>
      <c r="F22634" t="s">
        <v>11624</v>
      </c>
      <c r="G22634">
        <v>1.5663499999999999</v>
      </c>
      <c r="H22634">
        <v>116.655</v>
      </c>
      <c r="I22634" t="s">
        <v>64211</v>
      </c>
      <c r="L22634">
        <v>0</v>
      </c>
      <c r="M22634">
        <v>0</v>
      </c>
      <c r="N22634">
        <v>1</v>
      </c>
      <c r="O22634" t="s">
        <v>11768</v>
      </c>
    </row>
    <row r="22635" spans="1:15">
      <c r="A22635" t="s">
        <v>64212</v>
      </c>
      <c r="B22635" t="s">
        <v>11627</v>
      </c>
      <c r="C22635" t="s">
        <v>11627</v>
      </c>
      <c r="D22635" t="s">
        <v>64213</v>
      </c>
      <c r="E22635" t="b">
        <v>1</v>
      </c>
      <c r="F22635" t="s">
        <v>11624</v>
      </c>
      <c r="G22635">
        <v>1.4208799999999999</v>
      </c>
      <c r="H22635">
        <v>116.6795</v>
      </c>
      <c r="I22635" t="s">
        <v>64214</v>
      </c>
      <c r="L22635">
        <v>0</v>
      </c>
      <c r="M22635">
        <v>0</v>
      </c>
      <c r="N22635">
        <v>0</v>
      </c>
      <c r="O22635" t="s">
        <v>11768</v>
      </c>
    </row>
    <row r="22636" spans="1:15">
      <c r="A22636" t="s">
        <v>64215</v>
      </c>
      <c r="B22636" t="s">
        <v>6742</v>
      </c>
      <c r="C22636" t="s">
        <v>19704</v>
      </c>
      <c r="D22636" t="s">
        <v>64216</v>
      </c>
      <c r="E22636" t="b">
        <v>0</v>
      </c>
      <c r="F22636" t="s">
        <v>11610</v>
      </c>
      <c r="L22636">
        <v>0</v>
      </c>
      <c r="M22636">
        <v>0</v>
      </c>
      <c r="N22636">
        <v>0</v>
      </c>
    </row>
    <row r="22637" spans="1:15">
      <c r="A22637" t="s">
        <v>47724</v>
      </c>
      <c r="B22637" t="s">
        <v>11615</v>
      </c>
      <c r="C22637" t="s">
        <v>21663</v>
      </c>
      <c r="D22637" t="s">
        <v>64217</v>
      </c>
      <c r="E22637" t="b">
        <v>0</v>
      </c>
      <c r="F22637" t="s">
        <v>11622</v>
      </c>
      <c r="L22637">
        <v>0</v>
      </c>
      <c r="M22637">
        <v>3</v>
      </c>
      <c r="N22637">
        <v>6</v>
      </c>
    </row>
    <row r="22638" spans="1:15">
      <c r="A22638" t="s">
        <v>64218</v>
      </c>
      <c r="B22638" t="s">
        <v>11644</v>
      </c>
      <c r="C22638" t="s">
        <v>12404</v>
      </c>
      <c r="D22638" t="s">
        <v>64219</v>
      </c>
      <c r="E22638" t="b">
        <v>0</v>
      </c>
      <c r="F22638" t="s">
        <v>11610</v>
      </c>
      <c r="L22638">
        <v>0</v>
      </c>
      <c r="M22638">
        <v>0</v>
      </c>
      <c r="N22638">
        <v>0</v>
      </c>
    </row>
    <row r="22639" spans="1:15">
      <c r="A22639" t="s">
        <v>64220</v>
      </c>
      <c r="B22639" t="s">
        <v>6742</v>
      </c>
      <c r="C22639" t="s">
        <v>25687</v>
      </c>
      <c r="D22639" t="s">
        <v>64221</v>
      </c>
      <c r="E22639" t="b">
        <v>0</v>
      </c>
      <c r="F22639" t="s">
        <v>11610</v>
      </c>
      <c r="L22639">
        <v>0</v>
      </c>
      <c r="M22639">
        <v>0</v>
      </c>
      <c r="N22639">
        <v>0</v>
      </c>
    </row>
    <row r="22640" spans="1:15">
      <c r="A22640" t="s">
        <v>64222</v>
      </c>
      <c r="B22640" t="s">
        <v>367</v>
      </c>
      <c r="C22640" t="s">
        <v>20382</v>
      </c>
      <c r="D22640" t="s">
        <v>64223</v>
      </c>
      <c r="E22640" t="b">
        <v>0</v>
      </c>
      <c r="F22640" t="s">
        <v>11610</v>
      </c>
      <c r="L22640">
        <v>0</v>
      </c>
      <c r="M22640">
        <v>0</v>
      </c>
      <c r="N22640">
        <v>0</v>
      </c>
    </row>
    <row r="22641" spans="1:15">
      <c r="A22641" t="s">
        <v>64224</v>
      </c>
      <c r="B22641" t="s">
        <v>367</v>
      </c>
      <c r="C22641" t="s">
        <v>17819</v>
      </c>
      <c r="D22641" t="s">
        <v>64225</v>
      </c>
      <c r="E22641" t="b">
        <v>0</v>
      </c>
      <c r="F22641" t="s">
        <v>11610</v>
      </c>
      <c r="L22641">
        <v>0</v>
      </c>
      <c r="M22641">
        <v>0</v>
      </c>
      <c r="N22641">
        <v>0</v>
      </c>
    </row>
    <row r="22642" spans="1:15">
      <c r="A22642" t="s">
        <v>64226</v>
      </c>
      <c r="B22642" t="s">
        <v>367</v>
      </c>
      <c r="C22642" t="s">
        <v>39547</v>
      </c>
      <c r="D22642" t="s">
        <v>64227</v>
      </c>
      <c r="E22642" t="b">
        <v>0</v>
      </c>
      <c r="F22642" t="s">
        <v>11610</v>
      </c>
      <c r="L22642">
        <v>0</v>
      </c>
      <c r="M22642">
        <v>0</v>
      </c>
      <c r="N22642">
        <v>0</v>
      </c>
    </row>
    <row r="22643" spans="1:15">
      <c r="A22643" t="s">
        <v>64228</v>
      </c>
      <c r="B22643" t="s">
        <v>367</v>
      </c>
      <c r="C22643" t="s">
        <v>39993</v>
      </c>
      <c r="D22643" t="s">
        <v>64229</v>
      </c>
      <c r="E22643" t="b">
        <v>0</v>
      </c>
      <c r="F22643" t="s">
        <v>11610</v>
      </c>
      <c r="L22643">
        <v>0</v>
      </c>
      <c r="M22643">
        <v>0</v>
      </c>
      <c r="N22643">
        <v>0</v>
      </c>
    </row>
    <row r="22644" spans="1:15">
      <c r="A22644" t="s">
        <v>20213</v>
      </c>
      <c r="B22644" t="s">
        <v>12438</v>
      </c>
      <c r="C22644" t="s">
        <v>13840</v>
      </c>
      <c r="D22644" t="s">
        <v>64230</v>
      </c>
      <c r="E22644" t="b">
        <v>0</v>
      </c>
      <c r="F22644" t="s">
        <v>11622</v>
      </c>
      <c r="L22644">
        <v>4</v>
      </c>
      <c r="M22644">
        <v>7</v>
      </c>
      <c r="N22644">
        <v>10</v>
      </c>
    </row>
    <row r="22645" spans="1:15">
      <c r="A22645" t="s">
        <v>64231</v>
      </c>
      <c r="B22645" t="s">
        <v>11686</v>
      </c>
      <c r="C22645" t="s">
        <v>29370</v>
      </c>
      <c r="D22645" t="s">
        <v>64232</v>
      </c>
      <c r="E22645" t="b">
        <v>0</v>
      </c>
      <c r="F22645" t="s">
        <v>11610</v>
      </c>
      <c r="L22645">
        <v>0</v>
      </c>
      <c r="M22645">
        <v>0</v>
      </c>
      <c r="N22645">
        <v>0</v>
      </c>
    </row>
    <row r="22646" spans="1:15">
      <c r="A22646" t="s">
        <v>22579</v>
      </c>
      <c r="B22646" t="s">
        <v>11637</v>
      </c>
      <c r="C22646" t="s">
        <v>62046</v>
      </c>
      <c r="D22646" t="s">
        <v>64233</v>
      </c>
      <c r="E22646" t="b">
        <v>0</v>
      </c>
      <c r="F22646" t="s">
        <v>11624</v>
      </c>
      <c r="G22646">
        <v>35.035800000000002</v>
      </c>
      <c r="H22646">
        <v>70.976100000000002</v>
      </c>
      <c r="I22646" t="s">
        <v>64234</v>
      </c>
      <c r="L22646">
        <v>0</v>
      </c>
      <c r="M22646">
        <v>0</v>
      </c>
      <c r="N22646">
        <v>2</v>
      </c>
      <c r="O22646" t="s">
        <v>12131</v>
      </c>
    </row>
    <row r="22647" spans="1:15">
      <c r="A22647" t="s">
        <v>44219</v>
      </c>
      <c r="B22647" t="s">
        <v>367</v>
      </c>
      <c r="C22647" t="s">
        <v>13370</v>
      </c>
      <c r="D22647" t="s">
        <v>64235</v>
      </c>
      <c r="E22647" t="b">
        <v>0</v>
      </c>
      <c r="F22647" t="s">
        <v>11624</v>
      </c>
      <c r="G22647">
        <v>-0.17957000000000001</v>
      </c>
      <c r="H22647">
        <v>130.917</v>
      </c>
      <c r="I22647" t="s">
        <v>64236</v>
      </c>
      <c r="L22647">
        <v>0</v>
      </c>
      <c r="M22647">
        <v>0</v>
      </c>
      <c r="N22647">
        <v>2</v>
      </c>
      <c r="O22647" t="s">
        <v>11768</v>
      </c>
    </row>
    <row r="22648" spans="1:15">
      <c r="A22648" t="s">
        <v>64237</v>
      </c>
      <c r="B22648" t="s">
        <v>367</v>
      </c>
      <c r="C22648" t="s">
        <v>5348</v>
      </c>
      <c r="D22648" t="s">
        <v>64238</v>
      </c>
      <c r="E22648" t="b">
        <v>0</v>
      </c>
      <c r="F22648" t="s">
        <v>11610</v>
      </c>
      <c r="L22648">
        <v>0</v>
      </c>
      <c r="M22648">
        <v>0</v>
      </c>
      <c r="N22648">
        <v>0</v>
      </c>
    </row>
    <row r="22649" spans="1:15">
      <c r="A22649" t="s">
        <v>62046</v>
      </c>
      <c r="B22649" t="s">
        <v>11637</v>
      </c>
      <c r="C22649" t="s">
        <v>14770</v>
      </c>
      <c r="D22649" t="s">
        <v>64239</v>
      </c>
      <c r="E22649" t="b">
        <v>0</v>
      </c>
      <c r="F22649" t="s">
        <v>11622</v>
      </c>
      <c r="L22649">
        <v>0</v>
      </c>
      <c r="M22649">
        <v>2</v>
      </c>
      <c r="N22649">
        <v>2</v>
      </c>
    </row>
    <row r="22650" spans="1:15">
      <c r="A22650" t="s">
        <v>64240</v>
      </c>
      <c r="B22650" t="s">
        <v>11644</v>
      </c>
      <c r="C22650" t="s">
        <v>22695</v>
      </c>
      <c r="D22650" t="s">
        <v>64241</v>
      </c>
      <c r="E22650" t="b">
        <v>0</v>
      </c>
      <c r="F22650" t="s">
        <v>11610</v>
      </c>
      <c r="L22650">
        <v>0</v>
      </c>
      <c r="M22650">
        <v>0</v>
      </c>
      <c r="N22650">
        <v>0</v>
      </c>
    </row>
    <row r="22651" spans="1:15">
      <c r="A22651" t="s">
        <v>64242</v>
      </c>
      <c r="B22651" t="s">
        <v>367</v>
      </c>
      <c r="C22651" t="s">
        <v>12071</v>
      </c>
      <c r="D22651" t="s">
        <v>64243</v>
      </c>
      <c r="E22651" t="b">
        <v>0</v>
      </c>
      <c r="F22651" t="s">
        <v>11610</v>
      </c>
      <c r="L22651">
        <v>0</v>
      </c>
      <c r="M22651">
        <v>0</v>
      </c>
      <c r="N22651">
        <v>0</v>
      </c>
    </row>
    <row r="22652" spans="1:15">
      <c r="A22652" t="s">
        <v>64244</v>
      </c>
      <c r="B22652" t="s">
        <v>12959</v>
      </c>
      <c r="C22652" t="s">
        <v>12960</v>
      </c>
      <c r="D22652" t="s">
        <v>64245</v>
      </c>
      <c r="E22652" t="b">
        <v>0</v>
      </c>
      <c r="F22652" t="s">
        <v>11610</v>
      </c>
      <c r="L22652">
        <v>0</v>
      </c>
      <c r="M22652">
        <v>0</v>
      </c>
      <c r="N22652">
        <v>0</v>
      </c>
    </row>
    <row r="22653" spans="1:15">
      <c r="A22653" t="s">
        <v>64246</v>
      </c>
      <c r="B22653" t="s">
        <v>367</v>
      </c>
      <c r="C22653" t="s">
        <v>13374</v>
      </c>
      <c r="D22653" t="s">
        <v>64247</v>
      </c>
      <c r="E22653" t="b">
        <v>0</v>
      </c>
      <c r="F22653" t="s">
        <v>11624</v>
      </c>
      <c r="G22653">
        <v>-15.5656</v>
      </c>
      <c r="H22653">
        <v>166.90199999999999</v>
      </c>
      <c r="I22653" t="s">
        <v>64248</v>
      </c>
      <c r="L22653">
        <v>0</v>
      </c>
      <c r="M22653">
        <v>0</v>
      </c>
      <c r="N22653">
        <v>0</v>
      </c>
      <c r="O22653" t="s">
        <v>12719</v>
      </c>
    </row>
    <row r="22654" spans="1:15">
      <c r="A22654" t="s">
        <v>64249</v>
      </c>
      <c r="B22654" t="s">
        <v>12460</v>
      </c>
      <c r="C22654" t="s">
        <v>20944</v>
      </c>
      <c r="D22654" t="s">
        <v>64250</v>
      </c>
      <c r="E22654" t="b">
        <v>0</v>
      </c>
      <c r="F22654" t="s">
        <v>11624</v>
      </c>
      <c r="G22654">
        <v>39.151299999999999</v>
      </c>
      <c r="H22654">
        <v>-123.28400000000001</v>
      </c>
      <c r="I22654" t="s">
        <v>64251</v>
      </c>
      <c r="L22654">
        <v>0</v>
      </c>
      <c r="M22654">
        <v>0</v>
      </c>
      <c r="N22654">
        <v>0</v>
      </c>
      <c r="O22654" t="s">
        <v>11944</v>
      </c>
    </row>
    <row r="22655" spans="1:15">
      <c r="A22655" t="s">
        <v>49806</v>
      </c>
      <c r="B22655" t="s">
        <v>367</v>
      </c>
      <c r="C22655" t="s">
        <v>38262</v>
      </c>
      <c r="D22655" t="s">
        <v>64252</v>
      </c>
      <c r="E22655" t="b">
        <v>0</v>
      </c>
      <c r="F22655" t="s">
        <v>11624</v>
      </c>
      <c r="G22655">
        <v>-8.6714500000000001</v>
      </c>
      <c r="H22655">
        <v>146.54400000000001</v>
      </c>
      <c r="I22655" t="s">
        <v>64253</v>
      </c>
      <c r="L22655">
        <v>0</v>
      </c>
      <c r="M22655">
        <v>0</v>
      </c>
      <c r="N22655">
        <v>3</v>
      </c>
      <c r="O22655" t="s">
        <v>11660</v>
      </c>
    </row>
    <row r="22656" spans="1:15">
      <c r="A22656" t="s">
        <v>64254</v>
      </c>
      <c r="B22656" t="s">
        <v>367</v>
      </c>
      <c r="C22656" t="s">
        <v>34208</v>
      </c>
      <c r="D22656" t="s">
        <v>64255</v>
      </c>
      <c r="E22656" t="b">
        <v>0</v>
      </c>
      <c r="F22656" t="s">
        <v>11624</v>
      </c>
      <c r="G22656">
        <v>-8.53416</v>
      </c>
      <c r="H22656">
        <v>126.31699999999999</v>
      </c>
      <c r="I22656" t="s">
        <v>64256</v>
      </c>
      <c r="L22656">
        <v>0</v>
      </c>
      <c r="M22656">
        <v>0</v>
      </c>
      <c r="N22656">
        <v>0</v>
      </c>
      <c r="O22656" t="s">
        <v>27765</v>
      </c>
    </row>
    <row r="22657" spans="1:15">
      <c r="A22657" t="s">
        <v>15069</v>
      </c>
      <c r="B22657" t="s">
        <v>8310</v>
      </c>
      <c r="C22657" t="s">
        <v>19410</v>
      </c>
      <c r="D22657" t="s">
        <v>64257</v>
      </c>
      <c r="E22657" t="b">
        <v>0</v>
      </c>
      <c r="F22657" t="s">
        <v>11624</v>
      </c>
      <c r="G22657">
        <v>-0.61831999999999998</v>
      </c>
      <c r="H22657">
        <v>-60.425899999999999</v>
      </c>
      <c r="I22657" t="s">
        <v>64258</v>
      </c>
      <c r="L22657">
        <v>0</v>
      </c>
      <c r="M22657">
        <v>0</v>
      </c>
      <c r="N22657">
        <v>3</v>
      </c>
      <c r="O22657" t="s">
        <v>11969</v>
      </c>
    </row>
    <row r="22658" spans="1:15">
      <c r="A22658" t="s">
        <v>64259</v>
      </c>
      <c r="B22658" t="s">
        <v>8310</v>
      </c>
      <c r="C22658" t="s">
        <v>15069</v>
      </c>
      <c r="D22658" t="s">
        <v>64260</v>
      </c>
      <c r="E22658" t="b">
        <v>0</v>
      </c>
      <c r="F22658" t="s">
        <v>11610</v>
      </c>
      <c r="L22658">
        <v>0</v>
      </c>
      <c r="M22658">
        <v>0</v>
      </c>
      <c r="N22658">
        <v>0</v>
      </c>
    </row>
    <row r="22659" spans="1:15">
      <c r="A22659" t="s">
        <v>26393</v>
      </c>
      <c r="B22659" t="s">
        <v>2975</v>
      </c>
      <c r="C22659" t="s">
        <v>16976</v>
      </c>
      <c r="D22659" t="s">
        <v>64261</v>
      </c>
      <c r="E22659" t="b">
        <v>0</v>
      </c>
      <c r="F22659" t="s">
        <v>11624</v>
      </c>
      <c r="G22659">
        <v>0.30415999999999999</v>
      </c>
      <c r="H22659">
        <v>-70.164400000000001</v>
      </c>
      <c r="I22659" t="s">
        <v>64262</v>
      </c>
      <c r="L22659">
        <v>0</v>
      </c>
      <c r="M22659">
        <v>0</v>
      </c>
      <c r="N22659">
        <v>2</v>
      </c>
      <c r="O22659" t="s">
        <v>21122</v>
      </c>
    </row>
    <row r="22660" spans="1:15">
      <c r="A22660" t="s">
        <v>64263</v>
      </c>
      <c r="B22660" t="s">
        <v>367</v>
      </c>
      <c r="C22660" t="s">
        <v>40787</v>
      </c>
      <c r="D22660" t="s">
        <v>64264</v>
      </c>
      <c r="E22660" t="b">
        <v>0</v>
      </c>
      <c r="F22660" t="s">
        <v>11610</v>
      </c>
      <c r="L22660">
        <v>0</v>
      </c>
      <c r="M22660">
        <v>0</v>
      </c>
      <c r="N22660">
        <v>0</v>
      </c>
    </row>
    <row r="22661" spans="1:15">
      <c r="A22661" t="s">
        <v>58933</v>
      </c>
      <c r="B22661" t="s">
        <v>12532</v>
      </c>
      <c r="C22661" t="s">
        <v>15214</v>
      </c>
      <c r="D22661" t="s">
        <v>64265</v>
      </c>
      <c r="E22661" t="b">
        <v>0</v>
      </c>
      <c r="F22661" t="s">
        <v>11622</v>
      </c>
      <c r="L22661">
        <v>0</v>
      </c>
      <c r="M22661">
        <v>2</v>
      </c>
      <c r="N22661">
        <v>2</v>
      </c>
    </row>
    <row r="22662" spans="1:15">
      <c r="A22662" t="s">
        <v>64266</v>
      </c>
      <c r="B22662" t="s">
        <v>12133</v>
      </c>
      <c r="C22662" t="s">
        <v>55115</v>
      </c>
      <c r="D22662" t="s">
        <v>64267</v>
      </c>
      <c r="E22662" t="b">
        <v>0</v>
      </c>
      <c r="F22662" t="s">
        <v>11624</v>
      </c>
      <c r="G22662">
        <v>1.2341</v>
      </c>
      <c r="H22662">
        <v>127.494</v>
      </c>
      <c r="I22662" t="s">
        <v>64268</v>
      </c>
      <c r="L22662">
        <v>0</v>
      </c>
      <c r="M22662">
        <v>0</v>
      </c>
      <c r="N22662">
        <v>0</v>
      </c>
      <c r="O22662" t="s">
        <v>11768</v>
      </c>
    </row>
    <row r="22663" spans="1:15">
      <c r="A22663" t="s">
        <v>35373</v>
      </c>
      <c r="B22663" t="s">
        <v>8310</v>
      </c>
      <c r="C22663" t="s">
        <v>31225</v>
      </c>
      <c r="D22663" t="s">
        <v>64269</v>
      </c>
      <c r="E22663" t="b">
        <v>0</v>
      </c>
      <c r="F22663" t="s">
        <v>11624</v>
      </c>
      <c r="G22663">
        <v>1.50881</v>
      </c>
      <c r="H22663">
        <v>-59.1417</v>
      </c>
      <c r="I22663" t="s">
        <v>64270</v>
      </c>
      <c r="L22663">
        <v>0</v>
      </c>
      <c r="M22663">
        <v>0</v>
      </c>
      <c r="N22663">
        <v>1</v>
      </c>
      <c r="O22663" t="s">
        <v>15065</v>
      </c>
    </row>
    <row r="22664" spans="1:15">
      <c r="A22664" t="s">
        <v>31225</v>
      </c>
      <c r="B22664" t="s">
        <v>8310</v>
      </c>
      <c r="C22664" t="s">
        <v>35558</v>
      </c>
      <c r="D22664" t="s">
        <v>64271</v>
      </c>
      <c r="E22664" t="b">
        <v>0</v>
      </c>
      <c r="F22664" t="s">
        <v>11622</v>
      </c>
      <c r="L22664">
        <v>0</v>
      </c>
      <c r="M22664">
        <v>2</v>
      </c>
      <c r="N22664">
        <v>1</v>
      </c>
    </row>
    <row r="22665" spans="1:15">
      <c r="A22665" t="s">
        <v>64272</v>
      </c>
      <c r="B22665" t="s">
        <v>367</v>
      </c>
      <c r="C22665" t="s">
        <v>31459</v>
      </c>
      <c r="D22665" t="s">
        <v>64273</v>
      </c>
      <c r="E22665" t="b">
        <v>0</v>
      </c>
      <c r="F22665" t="s">
        <v>11610</v>
      </c>
      <c r="L22665">
        <v>0</v>
      </c>
      <c r="M22665">
        <v>0</v>
      </c>
      <c r="N22665">
        <v>0</v>
      </c>
    </row>
    <row r="22666" spans="1:15">
      <c r="A22666" t="s">
        <v>64274</v>
      </c>
      <c r="B22666" t="s">
        <v>10597</v>
      </c>
      <c r="C22666" t="s">
        <v>15722</v>
      </c>
      <c r="D22666" t="s">
        <v>64275</v>
      </c>
      <c r="E22666" t="b">
        <v>0</v>
      </c>
      <c r="F22666" t="s">
        <v>11624</v>
      </c>
      <c r="G22666">
        <v>-28.176100000000002</v>
      </c>
      <c r="H22666">
        <v>117.15300000000001</v>
      </c>
      <c r="I22666" t="s">
        <v>64276</v>
      </c>
      <c r="L22666">
        <v>0</v>
      </c>
      <c r="M22666">
        <v>0</v>
      </c>
      <c r="N22666">
        <v>0</v>
      </c>
      <c r="O22666" t="s">
        <v>12107</v>
      </c>
    </row>
    <row r="22667" spans="1:15">
      <c r="A22667" t="s">
        <v>17900</v>
      </c>
      <c r="B22667" t="s">
        <v>6742</v>
      </c>
      <c r="C22667" t="s">
        <v>21810</v>
      </c>
      <c r="D22667" t="s">
        <v>64277</v>
      </c>
      <c r="E22667" t="b">
        <v>0</v>
      </c>
      <c r="F22667" t="s">
        <v>11622</v>
      </c>
      <c r="L22667">
        <v>14</v>
      </c>
      <c r="M22667">
        <v>25</v>
      </c>
      <c r="N22667">
        <v>34</v>
      </c>
    </row>
    <row r="22668" spans="1:15">
      <c r="A22668" t="s">
        <v>24544</v>
      </c>
      <c r="B22668" t="s">
        <v>6742</v>
      </c>
      <c r="C22668" t="s">
        <v>62320</v>
      </c>
      <c r="D22668" t="s">
        <v>64278</v>
      </c>
      <c r="E22668" t="b">
        <v>0</v>
      </c>
      <c r="F22668" t="s">
        <v>11624</v>
      </c>
      <c r="G22668">
        <v>9.9117499999999996</v>
      </c>
      <c r="H22668">
        <v>11.720599999999999</v>
      </c>
      <c r="I22668" t="s">
        <v>64279</v>
      </c>
      <c r="L22668">
        <v>0</v>
      </c>
      <c r="M22668">
        <v>0</v>
      </c>
      <c r="N22668">
        <v>2</v>
      </c>
      <c r="O22668" t="s">
        <v>11693</v>
      </c>
    </row>
    <row r="22669" spans="1:15">
      <c r="A22669" t="s">
        <v>64280</v>
      </c>
      <c r="B22669" t="s">
        <v>12487</v>
      </c>
      <c r="C22669" t="s">
        <v>12488</v>
      </c>
      <c r="D22669" t="s">
        <v>64281</v>
      </c>
      <c r="E22669" t="b">
        <v>0</v>
      </c>
      <c r="F22669" t="s">
        <v>11610</v>
      </c>
      <c r="L22669">
        <v>0</v>
      </c>
      <c r="M22669">
        <v>0</v>
      </c>
      <c r="N22669">
        <v>0</v>
      </c>
    </row>
    <row r="22670" spans="1:15">
      <c r="A22670" t="s">
        <v>64282</v>
      </c>
      <c r="B22670" t="s">
        <v>11912</v>
      </c>
      <c r="C22670" t="s">
        <v>11508</v>
      </c>
      <c r="D22670" t="s">
        <v>64283</v>
      </c>
      <c r="E22670" t="b">
        <v>0</v>
      </c>
      <c r="F22670" t="s">
        <v>11610</v>
      </c>
      <c r="L22670">
        <v>0</v>
      </c>
      <c r="M22670">
        <v>0</v>
      </c>
      <c r="N22670">
        <v>0</v>
      </c>
    </row>
    <row r="22671" spans="1:15">
      <c r="A22671" t="s">
        <v>64284</v>
      </c>
      <c r="B22671" t="s">
        <v>367</v>
      </c>
      <c r="C22671" t="s">
        <v>17148</v>
      </c>
      <c r="D22671" t="s">
        <v>64285</v>
      </c>
      <c r="E22671" t="b">
        <v>0</v>
      </c>
      <c r="F22671" t="s">
        <v>11610</v>
      </c>
      <c r="L22671">
        <v>0</v>
      </c>
      <c r="M22671">
        <v>0</v>
      </c>
      <c r="N22671">
        <v>0</v>
      </c>
    </row>
    <row r="22672" spans="1:15">
      <c r="A22672" t="s">
        <v>64286</v>
      </c>
      <c r="B22672" t="s">
        <v>10597</v>
      </c>
      <c r="C22672" t="s">
        <v>18418</v>
      </c>
      <c r="D22672" t="s">
        <v>64287</v>
      </c>
      <c r="E22672" t="b">
        <v>0</v>
      </c>
      <c r="F22672" t="s">
        <v>11610</v>
      </c>
      <c r="I22672" t="s">
        <v>64288</v>
      </c>
      <c r="L22672">
        <v>0</v>
      </c>
      <c r="M22672">
        <v>0</v>
      </c>
      <c r="N22672">
        <v>0</v>
      </c>
      <c r="O22672" t="s">
        <v>12107</v>
      </c>
    </row>
    <row r="22673" spans="1:15">
      <c r="A22673" t="s">
        <v>25646</v>
      </c>
      <c r="B22673" t="s">
        <v>10597</v>
      </c>
      <c r="C22673" t="s">
        <v>64289</v>
      </c>
      <c r="D22673" t="s">
        <v>64290</v>
      </c>
      <c r="E22673" t="b">
        <v>0</v>
      </c>
      <c r="F22673" t="s">
        <v>11624</v>
      </c>
      <c r="G22673">
        <v>-26.248000000000001</v>
      </c>
      <c r="H22673">
        <v>151.86799999999999</v>
      </c>
      <c r="I22673" t="s">
        <v>64291</v>
      </c>
      <c r="L22673">
        <v>0</v>
      </c>
      <c r="M22673">
        <v>0</v>
      </c>
      <c r="N22673">
        <v>2</v>
      </c>
      <c r="O22673" t="s">
        <v>12107</v>
      </c>
    </row>
    <row r="22674" spans="1:15">
      <c r="A22674" t="s">
        <v>64292</v>
      </c>
      <c r="B22674" t="s">
        <v>6742</v>
      </c>
      <c r="C22674" t="s">
        <v>64293</v>
      </c>
      <c r="D22674" t="s">
        <v>64294</v>
      </c>
      <c r="E22674" t="b">
        <v>0</v>
      </c>
      <c r="F22674" t="s">
        <v>11624</v>
      </c>
      <c r="G22674">
        <v>8.7996800000000004</v>
      </c>
      <c r="H22674">
        <v>11.4932</v>
      </c>
      <c r="I22674" t="s">
        <v>64295</v>
      </c>
      <c r="L22674">
        <v>0</v>
      </c>
      <c r="M22674">
        <v>0</v>
      </c>
      <c r="N22674">
        <v>0</v>
      </c>
      <c r="O22674" t="s">
        <v>11693</v>
      </c>
    </row>
    <row r="22675" spans="1:15">
      <c r="A22675" t="s">
        <v>64296</v>
      </c>
      <c r="B22675" t="s">
        <v>367</v>
      </c>
      <c r="C22675" t="s">
        <v>31138</v>
      </c>
      <c r="D22675" t="s">
        <v>64297</v>
      </c>
      <c r="E22675" t="b">
        <v>0</v>
      </c>
      <c r="F22675" t="s">
        <v>11610</v>
      </c>
      <c r="L22675">
        <v>0</v>
      </c>
      <c r="M22675">
        <v>0</v>
      </c>
      <c r="N22675">
        <v>0</v>
      </c>
    </row>
    <row r="22676" spans="1:15">
      <c r="A22676" t="s">
        <v>64298</v>
      </c>
      <c r="B22676" t="s">
        <v>367</v>
      </c>
      <c r="C22676" t="s">
        <v>13096</v>
      </c>
      <c r="D22676" t="s">
        <v>64299</v>
      </c>
      <c r="E22676" t="b">
        <v>0</v>
      </c>
      <c r="F22676" t="s">
        <v>11610</v>
      </c>
      <c r="L22676">
        <v>0</v>
      </c>
      <c r="M22676">
        <v>0</v>
      </c>
      <c r="N22676">
        <v>0</v>
      </c>
    </row>
    <row r="22677" spans="1:15">
      <c r="A22677" t="s">
        <v>64300</v>
      </c>
      <c r="B22677" t="s">
        <v>4342</v>
      </c>
      <c r="C22677" t="s">
        <v>16774</v>
      </c>
      <c r="D22677" t="s">
        <v>64301</v>
      </c>
      <c r="E22677" t="b">
        <v>0</v>
      </c>
      <c r="F22677" t="s">
        <v>11610</v>
      </c>
      <c r="L22677">
        <v>0</v>
      </c>
      <c r="M22677">
        <v>0</v>
      </c>
      <c r="N22677">
        <v>0</v>
      </c>
    </row>
    <row r="22678" spans="1:15">
      <c r="A22678" t="s">
        <v>64302</v>
      </c>
      <c r="B22678" t="s">
        <v>4342</v>
      </c>
      <c r="C22678" t="s">
        <v>16774</v>
      </c>
      <c r="D22678" t="s">
        <v>64303</v>
      </c>
      <c r="E22678" t="b">
        <v>0</v>
      </c>
      <c r="F22678" t="s">
        <v>11610</v>
      </c>
      <c r="L22678">
        <v>0</v>
      </c>
      <c r="M22678">
        <v>0</v>
      </c>
      <c r="N22678">
        <v>0</v>
      </c>
    </row>
    <row r="22679" spans="1:15">
      <c r="A22679" t="s">
        <v>17854</v>
      </c>
      <c r="D22679" t="s">
        <v>64304</v>
      </c>
      <c r="E22679" t="b">
        <v>0</v>
      </c>
      <c r="F22679" t="s">
        <v>11622</v>
      </c>
      <c r="L22679">
        <v>4</v>
      </c>
      <c r="M22679">
        <v>6</v>
      </c>
      <c r="N22679">
        <v>3</v>
      </c>
    </row>
    <row r="22680" spans="1:15">
      <c r="A22680" t="s">
        <v>64305</v>
      </c>
      <c r="B22680" t="s">
        <v>12959</v>
      </c>
      <c r="C22680" t="s">
        <v>12960</v>
      </c>
      <c r="D22680" t="s">
        <v>64306</v>
      </c>
      <c r="E22680" t="b">
        <v>0</v>
      </c>
      <c r="F22680" t="s">
        <v>11610</v>
      </c>
      <c r="L22680">
        <v>0</v>
      </c>
      <c r="M22680">
        <v>0</v>
      </c>
      <c r="N22680">
        <v>0</v>
      </c>
    </row>
    <row r="22681" spans="1:15">
      <c r="A22681" t="s">
        <v>64307</v>
      </c>
      <c r="B22681" t="s">
        <v>13360</v>
      </c>
      <c r="C22681" t="s">
        <v>13360</v>
      </c>
      <c r="D22681" t="s">
        <v>64308</v>
      </c>
      <c r="E22681" t="b">
        <v>0</v>
      </c>
      <c r="F22681" t="s">
        <v>11624</v>
      </c>
      <c r="I22681" t="s">
        <v>64309</v>
      </c>
      <c r="L22681">
        <v>0</v>
      </c>
      <c r="M22681">
        <v>0</v>
      </c>
      <c r="N22681">
        <v>0</v>
      </c>
      <c r="O22681" t="s">
        <v>12107</v>
      </c>
    </row>
    <row r="22682" spans="1:15">
      <c r="A22682" t="s">
        <v>26498</v>
      </c>
      <c r="B22682" t="s">
        <v>10597</v>
      </c>
      <c r="C22682" t="s">
        <v>30115</v>
      </c>
      <c r="D22682" t="s">
        <v>64310</v>
      </c>
      <c r="E22682" t="b">
        <v>0</v>
      </c>
      <c r="F22682" t="s">
        <v>11622</v>
      </c>
      <c r="L22682">
        <v>2</v>
      </c>
      <c r="M22682">
        <v>4</v>
      </c>
      <c r="N22682">
        <v>5</v>
      </c>
    </row>
    <row r="22683" spans="1:15">
      <c r="A22683" t="s">
        <v>60784</v>
      </c>
      <c r="B22683" t="s">
        <v>6742</v>
      </c>
      <c r="C22683" t="s">
        <v>16308</v>
      </c>
      <c r="D22683" t="s">
        <v>64311</v>
      </c>
      <c r="E22683" t="b">
        <v>0</v>
      </c>
      <c r="F22683" t="s">
        <v>11622</v>
      </c>
      <c r="L22683">
        <v>1</v>
      </c>
      <c r="M22683">
        <v>3</v>
      </c>
      <c r="N22683">
        <v>3</v>
      </c>
    </row>
    <row r="22684" spans="1:15">
      <c r="A22684" t="s">
        <v>64293</v>
      </c>
      <c r="B22684" t="s">
        <v>6742</v>
      </c>
      <c r="C22684" t="s">
        <v>60784</v>
      </c>
      <c r="D22684" t="s">
        <v>64312</v>
      </c>
      <c r="E22684" t="b">
        <v>0</v>
      </c>
      <c r="F22684" t="s">
        <v>11622</v>
      </c>
      <c r="L22684">
        <v>0</v>
      </c>
      <c r="M22684">
        <v>2</v>
      </c>
      <c r="N22684">
        <v>3</v>
      </c>
    </row>
    <row r="22685" spans="1:15">
      <c r="A22685" t="s">
        <v>64313</v>
      </c>
      <c r="B22685" t="s">
        <v>367</v>
      </c>
      <c r="C22685" t="s">
        <v>57664</v>
      </c>
      <c r="D22685" t="s">
        <v>64314</v>
      </c>
      <c r="E22685" t="b">
        <v>0</v>
      </c>
      <c r="F22685" t="s">
        <v>11624</v>
      </c>
      <c r="G22685">
        <v>-1.9845699999999999</v>
      </c>
      <c r="H22685">
        <v>139.00800000000001</v>
      </c>
      <c r="I22685" t="s">
        <v>64315</v>
      </c>
      <c r="L22685">
        <v>0</v>
      </c>
      <c r="M22685">
        <v>0</v>
      </c>
      <c r="N22685">
        <v>0</v>
      </c>
      <c r="O22685" t="s">
        <v>11768</v>
      </c>
    </row>
    <row r="22686" spans="1:15">
      <c r="A22686" t="s">
        <v>21355</v>
      </c>
      <c r="B22686" t="s">
        <v>11637</v>
      </c>
      <c r="C22686" t="s">
        <v>2187</v>
      </c>
      <c r="D22686" t="s">
        <v>64316</v>
      </c>
      <c r="E22686" t="b">
        <v>0</v>
      </c>
      <c r="F22686" t="s">
        <v>11624</v>
      </c>
      <c r="G22686">
        <v>37.1768</v>
      </c>
      <c r="H22686">
        <v>73.977699999999999</v>
      </c>
      <c r="I22686" t="s">
        <v>64317</v>
      </c>
      <c r="L22686">
        <v>0</v>
      </c>
      <c r="M22686">
        <v>0</v>
      </c>
      <c r="N22686">
        <v>7</v>
      </c>
      <c r="O22686" t="s">
        <v>64318</v>
      </c>
    </row>
    <row r="22687" spans="1:15">
      <c r="A22687" t="s">
        <v>64319</v>
      </c>
      <c r="B22687" t="s">
        <v>11644</v>
      </c>
      <c r="C22687" t="s">
        <v>23834</v>
      </c>
      <c r="D22687" t="s">
        <v>64320</v>
      </c>
      <c r="E22687" t="b">
        <v>0</v>
      </c>
      <c r="F22687" t="s">
        <v>11610</v>
      </c>
      <c r="L22687">
        <v>0</v>
      </c>
      <c r="M22687">
        <v>0</v>
      </c>
      <c r="N22687">
        <v>0</v>
      </c>
    </row>
    <row r="22688" spans="1:15">
      <c r="A22688" t="s">
        <v>64321</v>
      </c>
      <c r="B22688" t="s">
        <v>12241</v>
      </c>
      <c r="C22688" t="s">
        <v>12241</v>
      </c>
      <c r="D22688" t="s">
        <v>64322</v>
      </c>
      <c r="E22688" t="b">
        <v>0</v>
      </c>
      <c r="F22688" t="s">
        <v>11624</v>
      </c>
      <c r="G22688">
        <v>-9.9166600000000003</v>
      </c>
      <c r="H22688">
        <v>-36.5</v>
      </c>
      <c r="I22688" t="s">
        <v>64323</v>
      </c>
      <c r="L22688">
        <v>0</v>
      </c>
      <c r="M22688">
        <v>0</v>
      </c>
      <c r="N22688">
        <v>0</v>
      </c>
      <c r="O22688" t="s">
        <v>11969</v>
      </c>
    </row>
    <row r="22689" spans="1:15">
      <c r="A22689" t="s">
        <v>64324</v>
      </c>
      <c r="B22689" t="s">
        <v>12218</v>
      </c>
      <c r="C22689" t="s">
        <v>12219</v>
      </c>
      <c r="D22689" t="s">
        <v>64325</v>
      </c>
      <c r="E22689" t="b">
        <v>0</v>
      </c>
      <c r="F22689" t="s">
        <v>11610</v>
      </c>
      <c r="L22689">
        <v>0</v>
      </c>
      <c r="M22689">
        <v>0</v>
      </c>
      <c r="N22689">
        <v>0</v>
      </c>
    </row>
    <row r="22690" spans="1:15">
      <c r="A22690" t="s">
        <v>64326</v>
      </c>
      <c r="B22690" t="s">
        <v>10597</v>
      </c>
      <c r="C22690" t="s">
        <v>37000</v>
      </c>
      <c r="D22690" t="s">
        <v>64327</v>
      </c>
      <c r="E22690" t="b">
        <v>0</v>
      </c>
      <c r="F22690" t="s">
        <v>11624</v>
      </c>
      <c r="G22690">
        <v>-17.602432950000001</v>
      </c>
      <c r="H22690">
        <v>142.48912659999999</v>
      </c>
      <c r="L22690">
        <v>0</v>
      </c>
      <c r="M22690">
        <v>0</v>
      </c>
      <c r="N22690">
        <v>0</v>
      </c>
      <c r="O22690" t="s">
        <v>12107</v>
      </c>
    </row>
    <row r="22691" spans="1:15">
      <c r="A22691" t="s">
        <v>64328</v>
      </c>
      <c r="B22691" t="s">
        <v>10597</v>
      </c>
      <c r="C22691" t="s">
        <v>30184</v>
      </c>
      <c r="D22691" t="s">
        <v>64329</v>
      </c>
      <c r="E22691" t="b">
        <v>0</v>
      </c>
      <c r="F22691" t="s">
        <v>11610</v>
      </c>
      <c r="L22691">
        <v>0</v>
      </c>
      <c r="M22691">
        <v>0</v>
      </c>
      <c r="N22691">
        <v>0</v>
      </c>
    </row>
    <row r="22692" spans="1:15">
      <c r="A22692" t="s">
        <v>64330</v>
      </c>
      <c r="B22692" t="s">
        <v>11810</v>
      </c>
      <c r="C22692" t="s">
        <v>14856</v>
      </c>
      <c r="D22692" t="s">
        <v>64331</v>
      </c>
      <c r="E22692" t="b">
        <v>0</v>
      </c>
      <c r="F22692" t="s">
        <v>11610</v>
      </c>
      <c r="L22692">
        <v>0</v>
      </c>
      <c r="M22692">
        <v>0</v>
      </c>
      <c r="N22692">
        <v>0</v>
      </c>
    </row>
    <row r="22693" spans="1:15">
      <c r="A22693" t="s">
        <v>64332</v>
      </c>
      <c r="B22693" t="s">
        <v>367</v>
      </c>
      <c r="C22693" t="s">
        <v>30064</v>
      </c>
      <c r="D22693" t="s">
        <v>64333</v>
      </c>
      <c r="E22693" t="b">
        <v>0</v>
      </c>
      <c r="F22693" t="s">
        <v>11624</v>
      </c>
      <c r="G22693">
        <v>-8.8193599999999996</v>
      </c>
      <c r="H22693">
        <v>160.74100000000001</v>
      </c>
      <c r="I22693" t="s">
        <v>64334</v>
      </c>
      <c r="L22693">
        <v>0</v>
      </c>
      <c r="M22693">
        <v>0</v>
      </c>
      <c r="N22693">
        <v>0</v>
      </c>
      <c r="O22693" t="s">
        <v>13346</v>
      </c>
    </row>
    <row r="22694" spans="1:15">
      <c r="A22694" t="s">
        <v>64335</v>
      </c>
      <c r="B22694" t="s">
        <v>367</v>
      </c>
      <c r="C22694" t="s">
        <v>14981</v>
      </c>
      <c r="D22694" t="s">
        <v>64336</v>
      </c>
      <c r="E22694" t="b">
        <v>0</v>
      </c>
      <c r="F22694" t="s">
        <v>11610</v>
      </c>
      <c r="L22694">
        <v>0</v>
      </c>
      <c r="M22694">
        <v>0</v>
      </c>
      <c r="N22694">
        <v>0</v>
      </c>
    </row>
    <row r="22695" spans="1:15">
      <c r="A22695" t="s">
        <v>64337</v>
      </c>
      <c r="B22695" t="s">
        <v>367</v>
      </c>
      <c r="C22695" t="s">
        <v>46901</v>
      </c>
      <c r="D22695" t="s">
        <v>64338</v>
      </c>
      <c r="E22695" t="b">
        <v>0</v>
      </c>
      <c r="F22695" t="s">
        <v>11610</v>
      </c>
      <c r="L22695">
        <v>0</v>
      </c>
      <c r="M22695">
        <v>0</v>
      </c>
      <c r="N22695">
        <v>0</v>
      </c>
    </row>
    <row r="22696" spans="1:15">
      <c r="A22696" t="s">
        <v>64339</v>
      </c>
      <c r="B22696" t="s">
        <v>11615</v>
      </c>
      <c r="C22696" t="s">
        <v>53896</v>
      </c>
      <c r="D22696" t="s">
        <v>64340</v>
      </c>
      <c r="E22696" t="b">
        <v>0</v>
      </c>
      <c r="F22696" t="s">
        <v>11624</v>
      </c>
      <c r="G22696">
        <v>-3.8237999999999999</v>
      </c>
      <c r="H22696">
        <v>138.84</v>
      </c>
      <c r="I22696" t="s">
        <v>64341</v>
      </c>
      <c r="L22696">
        <v>0</v>
      </c>
      <c r="M22696">
        <v>0</v>
      </c>
      <c r="N22696">
        <v>0</v>
      </c>
      <c r="O22696" t="s">
        <v>11768</v>
      </c>
    </row>
    <row r="22697" spans="1:15">
      <c r="A22697" t="s">
        <v>11212</v>
      </c>
      <c r="B22697" t="s">
        <v>23233</v>
      </c>
      <c r="C22697" t="s">
        <v>11211</v>
      </c>
      <c r="D22697" t="s">
        <v>64342</v>
      </c>
      <c r="E22697" t="b">
        <v>0</v>
      </c>
      <c r="F22697" t="s">
        <v>11610</v>
      </c>
      <c r="L22697">
        <v>0</v>
      </c>
      <c r="M22697">
        <v>0</v>
      </c>
      <c r="N22697">
        <v>0</v>
      </c>
    </row>
    <row r="22698" spans="1:15">
      <c r="A22698" t="s">
        <v>39590</v>
      </c>
      <c r="B22698" t="s">
        <v>12438</v>
      </c>
      <c r="C22698" t="s">
        <v>20213</v>
      </c>
      <c r="D22698" t="s">
        <v>64343</v>
      </c>
      <c r="E22698" t="b">
        <v>0</v>
      </c>
      <c r="F22698" t="s">
        <v>11622</v>
      </c>
      <c r="L22698">
        <v>2</v>
      </c>
      <c r="M22698">
        <v>5</v>
      </c>
      <c r="N22698">
        <v>8</v>
      </c>
    </row>
    <row r="22699" spans="1:15">
      <c r="A22699" t="s">
        <v>64344</v>
      </c>
      <c r="B22699" t="s">
        <v>1588</v>
      </c>
      <c r="C22699" t="s">
        <v>2656</v>
      </c>
      <c r="D22699" t="s">
        <v>64345</v>
      </c>
      <c r="E22699" t="b">
        <v>0</v>
      </c>
      <c r="F22699" t="s">
        <v>11610</v>
      </c>
      <c r="G22699">
        <v>-15.697411000000001</v>
      </c>
      <c r="H22699">
        <v>127.61681299999999</v>
      </c>
      <c r="L22699">
        <v>0</v>
      </c>
      <c r="M22699">
        <v>0</v>
      </c>
      <c r="N22699">
        <v>0</v>
      </c>
    </row>
    <row r="22700" spans="1:15">
      <c r="A22700" t="s">
        <v>64346</v>
      </c>
      <c r="B22700" t="s">
        <v>11637</v>
      </c>
      <c r="C22700" t="s">
        <v>15431</v>
      </c>
      <c r="D22700" t="s">
        <v>64347</v>
      </c>
      <c r="E22700" t="b">
        <v>0</v>
      </c>
      <c r="F22700" t="s">
        <v>11610</v>
      </c>
      <c r="L22700">
        <v>0</v>
      </c>
      <c r="M22700">
        <v>0</v>
      </c>
      <c r="N22700">
        <v>0</v>
      </c>
    </row>
    <row r="22701" spans="1:15">
      <c r="A22701" t="s">
        <v>64348</v>
      </c>
      <c r="B22701" t="s">
        <v>11637</v>
      </c>
      <c r="C22701" t="s">
        <v>36773</v>
      </c>
      <c r="D22701" t="s">
        <v>64349</v>
      </c>
      <c r="E22701" t="b">
        <v>0</v>
      </c>
      <c r="F22701" t="s">
        <v>11610</v>
      </c>
      <c r="L22701">
        <v>0</v>
      </c>
      <c r="M22701">
        <v>0</v>
      </c>
      <c r="N22701">
        <v>0</v>
      </c>
    </row>
    <row r="22702" spans="1:15">
      <c r="A22702" t="s">
        <v>64350</v>
      </c>
      <c r="B22702" t="s">
        <v>11644</v>
      </c>
      <c r="C22702" t="s">
        <v>41123</v>
      </c>
      <c r="D22702" t="s">
        <v>64351</v>
      </c>
      <c r="E22702" t="b">
        <v>0</v>
      </c>
      <c r="F22702" t="s">
        <v>11610</v>
      </c>
      <c r="L22702">
        <v>0</v>
      </c>
      <c r="M22702">
        <v>0</v>
      </c>
      <c r="N22702">
        <v>0</v>
      </c>
    </row>
    <row r="22703" spans="1:15">
      <c r="A22703" t="s">
        <v>64352</v>
      </c>
      <c r="B22703" t="s">
        <v>367</v>
      </c>
      <c r="C22703" t="s">
        <v>20735</v>
      </c>
      <c r="D22703" t="s">
        <v>64353</v>
      </c>
      <c r="E22703" t="b">
        <v>0</v>
      </c>
      <c r="F22703" t="s">
        <v>11610</v>
      </c>
      <c r="L22703">
        <v>0</v>
      </c>
      <c r="M22703">
        <v>0</v>
      </c>
      <c r="N22703">
        <v>0</v>
      </c>
    </row>
    <row r="22704" spans="1:15">
      <c r="A22704" t="s">
        <v>64354</v>
      </c>
      <c r="B22704" t="s">
        <v>367</v>
      </c>
      <c r="C22704" t="s">
        <v>20543</v>
      </c>
      <c r="D22704" t="s">
        <v>64355</v>
      </c>
      <c r="E22704" t="b">
        <v>0</v>
      </c>
      <c r="F22704" t="s">
        <v>11610</v>
      </c>
      <c r="L22704">
        <v>0</v>
      </c>
      <c r="M22704">
        <v>0</v>
      </c>
      <c r="N22704">
        <v>0</v>
      </c>
    </row>
    <row r="22705" spans="1:15">
      <c r="A22705" t="s">
        <v>64356</v>
      </c>
      <c r="B22705" t="s">
        <v>11644</v>
      </c>
      <c r="C22705" t="s">
        <v>16782</v>
      </c>
      <c r="D22705" t="s">
        <v>64357</v>
      </c>
      <c r="E22705" t="b">
        <v>0</v>
      </c>
      <c r="F22705" t="s">
        <v>11624</v>
      </c>
      <c r="G22705">
        <v>26.636900000000001</v>
      </c>
      <c r="H22705">
        <v>86.483699999999999</v>
      </c>
      <c r="I22705" t="s">
        <v>64358</v>
      </c>
      <c r="L22705">
        <v>0</v>
      </c>
      <c r="M22705">
        <v>0</v>
      </c>
      <c r="N22705">
        <v>0</v>
      </c>
      <c r="O22705" t="s">
        <v>15007</v>
      </c>
    </row>
    <row r="22706" spans="1:15">
      <c r="A22706" t="s">
        <v>64359</v>
      </c>
      <c r="B22706" t="s">
        <v>3164</v>
      </c>
      <c r="C22706" t="s">
        <v>24816</v>
      </c>
      <c r="D22706" t="s">
        <v>64360</v>
      </c>
      <c r="E22706" t="b">
        <v>0</v>
      </c>
      <c r="F22706" t="s">
        <v>11624</v>
      </c>
      <c r="G22706">
        <v>11.8634</v>
      </c>
      <c r="H22706">
        <v>29.122800000000002</v>
      </c>
      <c r="I22706" t="s">
        <v>64361</v>
      </c>
      <c r="L22706">
        <v>0</v>
      </c>
      <c r="M22706">
        <v>0</v>
      </c>
      <c r="N22706">
        <v>0</v>
      </c>
      <c r="O22706" t="s">
        <v>11910</v>
      </c>
    </row>
    <row r="22707" spans="1:15">
      <c r="A22707" t="s">
        <v>20222</v>
      </c>
      <c r="B22707" t="s">
        <v>6742</v>
      </c>
      <c r="C22707" t="s">
        <v>23790</v>
      </c>
      <c r="D22707" t="s">
        <v>64362</v>
      </c>
      <c r="E22707" t="b">
        <v>0</v>
      </c>
      <c r="F22707" t="s">
        <v>11624</v>
      </c>
      <c r="G22707">
        <v>10.0212</v>
      </c>
      <c r="H22707">
        <v>-2.31263</v>
      </c>
      <c r="I22707" t="s">
        <v>64363</v>
      </c>
      <c r="L22707">
        <v>0</v>
      </c>
      <c r="M22707">
        <v>0</v>
      </c>
      <c r="N22707">
        <v>5</v>
      </c>
      <c r="O22707" t="s">
        <v>11985</v>
      </c>
    </row>
    <row r="22708" spans="1:15">
      <c r="A22708" t="s">
        <v>49698</v>
      </c>
      <c r="D22708" t="s">
        <v>64364</v>
      </c>
      <c r="E22708" t="b">
        <v>0</v>
      </c>
      <c r="F22708" t="s">
        <v>11622</v>
      </c>
      <c r="L22708">
        <v>1</v>
      </c>
      <c r="M22708">
        <v>4</v>
      </c>
      <c r="N22708">
        <v>0</v>
      </c>
    </row>
    <row r="22709" spans="1:15">
      <c r="A22709" t="s">
        <v>64365</v>
      </c>
      <c r="B22709" t="s">
        <v>367</v>
      </c>
      <c r="C22709" t="s">
        <v>20446</v>
      </c>
      <c r="D22709" t="s">
        <v>64366</v>
      </c>
      <c r="E22709" t="b">
        <v>0</v>
      </c>
      <c r="F22709" t="s">
        <v>11610</v>
      </c>
      <c r="L22709">
        <v>0</v>
      </c>
      <c r="M22709">
        <v>0</v>
      </c>
      <c r="N22709">
        <v>0</v>
      </c>
    </row>
    <row r="22710" spans="1:15">
      <c r="A22710" t="s">
        <v>64367</v>
      </c>
      <c r="B22710" t="s">
        <v>11607</v>
      </c>
      <c r="C22710" t="s">
        <v>25211</v>
      </c>
      <c r="D22710" t="s">
        <v>64368</v>
      </c>
      <c r="E22710" t="b">
        <v>0</v>
      </c>
      <c r="F22710" t="s">
        <v>11610</v>
      </c>
      <c r="L22710">
        <v>0</v>
      </c>
      <c r="M22710">
        <v>0</v>
      </c>
      <c r="N22710">
        <v>0</v>
      </c>
    </row>
    <row r="22711" spans="1:15">
      <c r="A22711" t="s">
        <v>64369</v>
      </c>
      <c r="B22711" t="s">
        <v>11607</v>
      </c>
      <c r="C22711" t="s">
        <v>25360</v>
      </c>
      <c r="D22711" t="s">
        <v>64370</v>
      </c>
      <c r="E22711" t="b">
        <v>0</v>
      </c>
      <c r="F22711" t="s">
        <v>11610</v>
      </c>
      <c r="L22711">
        <v>0</v>
      </c>
      <c r="M22711">
        <v>0</v>
      </c>
      <c r="N22711">
        <v>0</v>
      </c>
    </row>
    <row r="22712" spans="1:15">
      <c r="A22712" t="s">
        <v>64371</v>
      </c>
      <c r="B22712" t="s">
        <v>36807</v>
      </c>
      <c r="C22712" t="s">
        <v>48231</v>
      </c>
      <c r="D22712" t="s">
        <v>64372</v>
      </c>
      <c r="E22712" t="b">
        <v>0</v>
      </c>
      <c r="F22712" t="s">
        <v>11624</v>
      </c>
      <c r="G22712">
        <v>45.720599999999997</v>
      </c>
      <c r="H22712">
        <v>-118.42400000000001</v>
      </c>
      <c r="I22712" t="s">
        <v>64373</v>
      </c>
      <c r="L22712">
        <v>0</v>
      </c>
      <c r="M22712">
        <v>0</v>
      </c>
      <c r="N22712">
        <v>0</v>
      </c>
      <c r="O22712" t="s">
        <v>11944</v>
      </c>
    </row>
    <row r="22713" spans="1:15">
      <c r="A22713" t="s">
        <v>7332</v>
      </c>
      <c r="B22713" t="s">
        <v>11637</v>
      </c>
      <c r="C22713" t="s">
        <v>21889</v>
      </c>
      <c r="D22713" t="s">
        <v>7331</v>
      </c>
      <c r="E22713" t="b">
        <v>0</v>
      </c>
      <c r="F22713" t="s">
        <v>11624</v>
      </c>
      <c r="G22713">
        <v>50.223500000000001</v>
      </c>
      <c r="H22713">
        <v>5.1450899999999997</v>
      </c>
      <c r="I22713" t="s">
        <v>7333</v>
      </c>
      <c r="L22713">
        <v>0</v>
      </c>
      <c r="M22713">
        <v>0</v>
      </c>
      <c r="N22713">
        <v>4</v>
      </c>
      <c r="O22713" t="s">
        <v>64374</v>
      </c>
    </row>
    <row r="22714" spans="1:15">
      <c r="A22714" t="s">
        <v>64375</v>
      </c>
      <c r="B22714" t="s">
        <v>11637</v>
      </c>
      <c r="C22714" t="s">
        <v>18116</v>
      </c>
      <c r="D22714" t="s">
        <v>64376</v>
      </c>
      <c r="E22714" t="b">
        <v>0</v>
      </c>
      <c r="F22714" t="s">
        <v>11610</v>
      </c>
      <c r="L22714">
        <v>0</v>
      </c>
      <c r="M22714">
        <v>0</v>
      </c>
      <c r="N22714">
        <v>0</v>
      </c>
    </row>
    <row r="22715" spans="1:15">
      <c r="A22715" t="s">
        <v>64377</v>
      </c>
      <c r="B22715" t="s">
        <v>367</v>
      </c>
      <c r="C22715" t="s">
        <v>26573</v>
      </c>
      <c r="D22715" t="s">
        <v>64378</v>
      </c>
      <c r="E22715" t="b">
        <v>0</v>
      </c>
      <c r="F22715" t="s">
        <v>11624</v>
      </c>
      <c r="G22715">
        <v>-13.2903</v>
      </c>
      <c r="H22715">
        <v>-176.20699999999999</v>
      </c>
      <c r="I22715" t="s">
        <v>64379</v>
      </c>
      <c r="L22715">
        <v>0</v>
      </c>
      <c r="M22715">
        <v>0</v>
      </c>
      <c r="N22715">
        <v>0</v>
      </c>
      <c r="O22715" t="s">
        <v>26170</v>
      </c>
    </row>
    <row r="22716" spans="1:15">
      <c r="A22716" t="s">
        <v>64380</v>
      </c>
      <c r="B22716" t="s">
        <v>367</v>
      </c>
      <c r="C22716" t="s">
        <v>5449</v>
      </c>
      <c r="D22716" t="s">
        <v>64381</v>
      </c>
      <c r="E22716" t="b">
        <v>0</v>
      </c>
      <c r="F22716" t="s">
        <v>11610</v>
      </c>
      <c r="L22716">
        <v>0</v>
      </c>
      <c r="M22716">
        <v>0</v>
      </c>
      <c r="N22716">
        <v>0</v>
      </c>
    </row>
    <row r="22717" spans="1:15">
      <c r="A22717" t="s">
        <v>64382</v>
      </c>
      <c r="B22717" t="s">
        <v>11637</v>
      </c>
      <c r="C22717" t="s">
        <v>19771</v>
      </c>
      <c r="D22717" t="s">
        <v>64383</v>
      </c>
      <c r="E22717" t="b">
        <v>0</v>
      </c>
      <c r="F22717" t="s">
        <v>11610</v>
      </c>
      <c r="L22717">
        <v>0</v>
      </c>
      <c r="M22717">
        <v>0</v>
      </c>
      <c r="N22717">
        <v>0</v>
      </c>
    </row>
    <row r="22718" spans="1:15">
      <c r="A22718" t="s">
        <v>64384</v>
      </c>
      <c r="B22718" t="s">
        <v>11637</v>
      </c>
      <c r="C22718" t="s">
        <v>16329</v>
      </c>
      <c r="D22718" t="s">
        <v>64385</v>
      </c>
      <c r="E22718" t="b">
        <v>0</v>
      </c>
      <c r="F22718" t="s">
        <v>11610</v>
      </c>
      <c r="L22718">
        <v>0</v>
      </c>
      <c r="M22718">
        <v>0</v>
      </c>
      <c r="N22718">
        <v>0</v>
      </c>
    </row>
    <row r="22719" spans="1:15">
      <c r="A22719" t="s">
        <v>25045</v>
      </c>
      <c r="B22719" t="s">
        <v>10597</v>
      </c>
      <c r="C22719" t="s">
        <v>30231</v>
      </c>
      <c r="D22719" t="s">
        <v>64386</v>
      </c>
      <c r="E22719" t="b">
        <v>0</v>
      </c>
      <c r="F22719" t="s">
        <v>11624</v>
      </c>
      <c r="G22719">
        <v>-19.722899999999999</v>
      </c>
      <c r="H22719">
        <v>126.113</v>
      </c>
      <c r="I22719" t="s">
        <v>64387</v>
      </c>
      <c r="L22719">
        <v>0</v>
      </c>
      <c r="M22719">
        <v>0</v>
      </c>
      <c r="N22719">
        <v>1</v>
      </c>
      <c r="O22719" t="s">
        <v>12107</v>
      </c>
    </row>
    <row r="22720" spans="1:15">
      <c r="A22720" t="s">
        <v>64388</v>
      </c>
      <c r="B22720" t="s">
        <v>12438</v>
      </c>
      <c r="C22720" t="s">
        <v>27246</v>
      </c>
      <c r="D22720" t="s">
        <v>64389</v>
      </c>
      <c r="E22720" t="b">
        <v>0</v>
      </c>
      <c r="F22720" t="s">
        <v>11610</v>
      </c>
      <c r="L22720">
        <v>0</v>
      </c>
      <c r="M22720">
        <v>0</v>
      </c>
      <c r="N22720">
        <v>0</v>
      </c>
    </row>
    <row r="22721" spans="1:15">
      <c r="A22721" t="s">
        <v>64390</v>
      </c>
      <c r="B22721" t="s">
        <v>11627</v>
      </c>
      <c r="C22721" t="s">
        <v>11627</v>
      </c>
      <c r="D22721" t="s">
        <v>64391</v>
      </c>
      <c r="E22721" t="b">
        <v>1</v>
      </c>
      <c r="F22721" t="s">
        <v>11624</v>
      </c>
      <c r="I22721" t="s">
        <v>64392</v>
      </c>
      <c r="L22721">
        <v>0</v>
      </c>
      <c r="M22721">
        <v>0</v>
      </c>
      <c r="N22721">
        <v>0</v>
      </c>
      <c r="O22721" t="s">
        <v>13528</v>
      </c>
    </row>
    <row r="22722" spans="1:15">
      <c r="A22722" t="s">
        <v>64393</v>
      </c>
      <c r="B22722" t="s">
        <v>11637</v>
      </c>
      <c r="C22722" t="s">
        <v>58890</v>
      </c>
      <c r="D22722" t="s">
        <v>64394</v>
      </c>
      <c r="E22722" t="b">
        <v>0</v>
      </c>
      <c r="F22722" t="s">
        <v>11624</v>
      </c>
      <c r="G22722">
        <v>46.6995</v>
      </c>
      <c r="H22722">
        <v>9.1826600000000003</v>
      </c>
      <c r="I22722" t="s">
        <v>64395</v>
      </c>
      <c r="L22722">
        <v>0</v>
      </c>
      <c r="M22722">
        <v>0</v>
      </c>
      <c r="N22722">
        <v>0</v>
      </c>
      <c r="O22722" t="s">
        <v>64396</v>
      </c>
    </row>
    <row r="22723" spans="1:15">
      <c r="A22723" t="s">
        <v>64397</v>
      </c>
      <c r="B22723" t="s">
        <v>11644</v>
      </c>
      <c r="C22723" t="s">
        <v>25165</v>
      </c>
      <c r="D22723" t="s">
        <v>64398</v>
      </c>
      <c r="E22723" t="b">
        <v>0</v>
      </c>
      <c r="F22723" t="s">
        <v>11624</v>
      </c>
      <c r="G22723">
        <v>27.695</v>
      </c>
      <c r="H22723">
        <v>87.237399999999994</v>
      </c>
      <c r="I22723" t="s">
        <v>64399</v>
      </c>
      <c r="L22723">
        <v>0</v>
      </c>
      <c r="M22723">
        <v>0</v>
      </c>
      <c r="N22723">
        <v>0</v>
      </c>
      <c r="O22723" t="s">
        <v>12524</v>
      </c>
    </row>
    <row r="22724" spans="1:15">
      <c r="A22724" t="s">
        <v>64400</v>
      </c>
      <c r="B22724" t="s">
        <v>7862</v>
      </c>
      <c r="C22724" t="s">
        <v>7863</v>
      </c>
      <c r="D22724" t="s">
        <v>64401</v>
      </c>
      <c r="E22724" t="b">
        <v>0</v>
      </c>
      <c r="F22724" t="s">
        <v>11610</v>
      </c>
      <c r="L22724">
        <v>0</v>
      </c>
      <c r="M22724">
        <v>0</v>
      </c>
      <c r="N22724">
        <v>0</v>
      </c>
    </row>
    <row r="22725" spans="1:15">
      <c r="A22725" t="s">
        <v>64402</v>
      </c>
      <c r="B22725" t="s">
        <v>11615</v>
      </c>
      <c r="C22725" t="s">
        <v>45412</v>
      </c>
      <c r="D22725" t="s">
        <v>64403</v>
      </c>
      <c r="E22725" t="b">
        <v>0</v>
      </c>
      <c r="F22725" t="s">
        <v>11624</v>
      </c>
      <c r="G22725">
        <v>-4.9775700000000001</v>
      </c>
      <c r="H22725">
        <v>145.541</v>
      </c>
      <c r="I22725" t="s">
        <v>64404</v>
      </c>
      <c r="L22725">
        <v>0</v>
      </c>
      <c r="M22725">
        <v>0</v>
      </c>
      <c r="N22725">
        <v>0</v>
      </c>
      <c r="O22725" t="s">
        <v>11660</v>
      </c>
    </row>
    <row r="22726" spans="1:15">
      <c r="A22726" t="s">
        <v>64405</v>
      </c>
      <c r="B22726" t="s">
        <v>11794</v>
      </c>
      <c r="C22726" t="s">
        <v>12174</v>
      </c>
      <c r="D22726" t="s">
        <v>64406</v>
      </c>
      <c r="E22726" t="b">
        <v>0</v>
      </c>
      <c r="F22726" t="s">
        <v>11610</v>
      </c>
      <c r="L22726">
        <v>0</v>
      </c>
      <c r="M22726">
        <v>0</v>
      </c>
      <c r="N22726">
        <v>0</v>
      </c>
    </row>
    <row r="22727" spans="1:15">
      <c r="A22727" t="s">
        <v>45412</v>
      </c>
      <c r="B22727" t="s">
        <v>11615</v>
      </c>
      <c r="C22727" t="s">
        <v>28675</v>
      </c>
      <c r="D22727" t="s">
        <v>64407</v>
      </c>
      <c r="E22727" t="b">
        <v>0</v>
      </c>
      <c r="F22727" t="s">
        <v>11622</v>
      </c>
      <c r="L22727">
        <v>0</v>
      </c>
      <c r="M22727">
        <v>4</v>
      </c>
      <c r="N22727">
        <v>0</v>
      </c>
    </row>
    <row r="22728" spans="1:15">
      <c r="A22728" t="s">
        <v>19521</v>
      </c>
      <c r="B22728" t="s">
        <v>11644</v>
      </c>
      <c r="C22728" t="s">
        <v>22350</v>
      </c>
      <c r="D22728" t="s">
        <v>64408</v>
      </c>
      <c r="E22728" t="b">
        <v>0</v>
      </c>
      <c r="F22728" t="s">
        <v>11624</v>
      </c>
      <c r="G22728">
        <v>27.14808</v>
      </c>
      <c r="H22728">
        <v>86.476460000000003</v>
      </c>
      <c r="I22728" t="s">
        <v>64409</v>
      </c>
      <c r="L22728">
        <v>0</v>
      </c>
      <c r="M22728">
        <v>0</v>
      </c>
      <c r="N22728">
        <v>2</v>
      </c>
      <c r="O22728" t="s">
        <v>15007</v>
      </c>
    </row>
    <row r="22729" spans="1:15">
      <c r="A22729" t="s">
        <v>18681</v>
      </c>
      <c r="B22729" t="s">
        <v>18680</v>
      </c>
      <c r="C22729" t="s">
        <v>29904</v>
      </c>
      <c r="D22729" t="s">
        <v>64410</v>
      </c>
      <c r="E22729" t="b">
        <v>0</v>
      </c>
      <c r="F22729" t="s">
        <v>11624</v>
      </c>
      <c r="G22729">
        <v>-17.495999999999999</v>
      </c>
      <c r="H22729">
        <v>135.68299999999999</v>
      </c>
      <c r="I22729" t="s">
        <v>64411</v>
      </c>
      <c r="L22729">
        <v>0</v>
      </c>
      <c r="M22729">
        <v>0</v>
      </c>
      <c r="N22729">
        <v>4</v>
      </c>
      <c r="O22729" t="s">
        <v>12107</v>
      </c>
    </row>
    <row r="22730" spans="1:15">
      <c r="A22730" t="s">
        <v>64412</v>
      </c>
      <c r="B22730" t="s">
        <v>11615</v>
      </c>
      <c r="C22730" t="s">
        <v>36018</v>
      </c>
      <c r="D22730" t="s">
        <v>64413</v>
      </c>
      <c r="E22730" t="b">
        <v>0</v>
      </c>
      <c r="F22730" t="s">
        <v>11624</v>
      </c>
      <c r="G22730">
        <v>-5.4433400000000001</v>
      </c>
      <c r="H22730">
        <v>140.47999999999999</v>
      </c>
      <c r="I22730" t="s">
        <v>64414</v>
      </c>
      <c r="L22730">
        <v>0</v>
      </c>
      <c r="M22730">
        <v>0</v>
      </c>
      <c r="N22730">
        <v>0</v>
      </c>
      <c r="O22730" t="s">
        <v>11768</v>
      </c>
    </row>
    <row r="22731" spans="1:15">
      <c r="A22731" t="s">
        <v>64415</v>
      </c>
      <c r="B22731" t="s">
        <v>6742</v>
      </c>
      <c r="C22731" t="s">
        <v>17315</v>
      </c>
      <c r="D22731" t="s">
        <v>64416</v>
      </c>
      <c r="E22731" t="b">
        <v>0</v>
      </c>
      <c r="F22731" t="s">
        <v>11624</v>
      </c>
      <c r="G22731">
        <v>12.5421</v>
      </c>
      <c r="H22731">
        <v>-13.177</v>
      </c>
      <c r="I22731" t="s">
        <v>64417</v>
      </c>
      <c r="L22731">
        <v>0</v>
      </c>
      <c r="M22731">
        <v>0</v>
      </c>
      <c r="N22731">
        <v>0</v>
      </c>
      <c r="O22731" t="s">
        <v>64418</v>
      </c>
    </row>
    <row r="22732" spans="1:15">
      <c r="A22732" t="s">
        <v>64419</v>
      </c>
      <c r="B22732" t="s">
        <v>367</v>
      </c>
      <c r="C22732" t="s">
        <v>12480</v>
      </c>
      <c r="D22732" t="s">
        <v>64420</v>
      </c>
      <c r="E22732" t="b">
        <v>0</v>
      </c>
      <c r="F22732" t="s">
        <v>11610</v>
      </c>
      <c r="L22732">
        <v>0</v>
      </c>
      <c r="M22732">
        <v>0</v>
      </c>
      <c r="N22732">
        <v>0</v>
      </c>
    </row>
    <row r="22733" spans="1:15">
      <c r="A22733" t="s">
        <v>64421</v>
      </c>
      <c r="B22733" t="s">
        <v>10597</v>
      </c>
      <c r="C22733" t="s">
        <v>27868</v>
      </c>
      <c r="D22733" t="s">
        <v>64422</v>
      </c>
      <c r="E22733" t="b">
        <v>0</v>
      </c>
      <c r="F22733" t="s">
        <v>11624</v>
      </c>
      <c r="G22733">
        <v>-18.372699999999998</v>
      </c>
      <c r="H22733">
        <v>143.94300000000001</v>
      </c>
      <c r="I22733" t="s">
        <v>64423</v>
      </c>
      <c r="L22733">
        <v>0</v>
      </c>
      <c r="M22733">
        <v>0</v>
      </c>
      <c r="N22733">
        <v>0</v>
      </c>
      <c r="O22733" t="s">
        <v>12107</v>
      </c>
    </row>
    <row r="22734" spans="1:15">
      <c r="A22734" t="s">
        <v>64424</v>
      </c>
      <c r="B22734" t="s">
        <v>11615</v>
      </c>
      <c r="C22734" t="s">
        <v>35396</v>
      </c>
      <c r="D22734" t="s">
        <v>64425</v>
      </c>
      <c r="E22734" t="b">
        <v>0</v>
      </c>
      <c r="F22734" t="s">
        <v>11610</v>
      </c>
      <c r="L22734">
        <v>0</v>
      </c>
      <c r="M22734">
        <v>0</v>
      </c>
      <c r="N22734">
        <v>0</v>
      </c>
    </row>
    <row r="22735" spans="1:15">
      <c r="A22735" t="s">
        <v>64426</v>
      </c>
      <c r="B22735" t="s">
        <v>367</v>
      </c>
      <c r="C22735" t="s">
        <v>20626</v>
      </c>
      <c r="D22735" t="s">
        <v>64427</v>
      </c>
      <c r="E22735" t="b">
        <v>0</v>
      </c>
      <c r="F22735" t="s">
        <v>11624</v>
      </c>
      <c r="G22735">
        <v>-6.6736399999999998</v>
      </c>
      <c r="H22735">
        <v>146.66200000000001</v>
      </c>
      <c r="I22735" t="s">
        <v>64428</v>
      </c>
      <c r="L22735">
        <v>0</v>
      </c>
      <c r="M22735">
        <v>0</v>
      </c>
      <c r="N22735">
        <v>0</v>
      </c>
      <c r="O22735" t="s">
        <v>11660</v>
      </c>
    </row>
    <row r="22736" spans="1:15">
      <c r="A22736" t="s">
        <v>64429</v>
      </c>
      <c r="B22736" t="s">
        <v>367</v>
      </c>
      <c r="C22736" t="s">
        <v>43013</v>
      </c>
      <c r="D22736" t="s">
        <v>64430</v>
      </c>
      <c r="E22736" t="b">
        <v>0</v>
      </c>
      <c r="F22736" t="s">
        <v>11624</v>
      </c>
      <c r="G22736">
        <v>-6.3364399999999996</v>
      </c>
      <c r="H22736">
        <v>146.126</v>
      </c>
      <c r="I22736" t="s">
        <v>64431</v>
      </c>
      <c r="L22736">
        <v>0</v>
      </c>
      <c r="M22736">
        <v>0</v>
      </c>
      <c r="N22736">
        <v>0</v>
      </c>
      <c r="O22736" t="s">
        <v>11660</v>
      </c>
    </row>
    <row r="22737" spans="1:15">
      <c r="A22737" t="s">
        <v>64432</v>
      </c>
      <c r="B22737" t="s">
        <v>12979</v>
      </c>
      <c r="C22737" t="s">
        <v>40830</v>
      </c>
      <c r="D22737" t="s">
        <v>64433</v>
      </c>
      <c r="E22737" t="b">
        <v>0</v>
      </c>
      <c r="F22737" t="s">
        <v>11624</v>
      </c>
      <c r="G22737">
        <v>41.704999999999998</v>
      </c>
      <c r="H22737">
        <v>-73.314800000000005</v>
      </c>
      <c r="I22737" t="s">
        <v>64434</v>
      </c>
      <c r="L22737">
        <v>0</v>
      </c>
      <c r="M22737">
        <v>0</v>
      </c>
      <c r="N22737">
        <v>0</v>
      </c>
      <c r="O22737" t="s">
        <v>11944</v>
      </c>
    </row>
    <row r="22738" spans="1:15">
      <c r="A22738" t="s">
        <v>64435</v>
      </c>
      <c r="B22738" t="s">
        <v>12979</v>
      </c>
      <c r="C22738" t="s">
        <v>40830</v>
      </c>
      <c r="D22738" t="s">
        <v>64436</v>
      </c>
      <c r="E22738" t="b">
        <v>0</v>
      </c>
      <c r="F22738" t="s">
        <v>11624</v>
      </c>
      <c r="I22738" t="s">
        <v>64437</v>
      </c>
      <c r="L22738">
        <v>0</v>
      </c>
      <c r="M22738">
        <v>0</v>
      </c>
      <c r="N22738">
        <v>0</v>
      </c>
      <c r="O22738" t="s">
        <v>11944</v>
      </c>
    </row>
    <row r="22739" spans="1:15">
      <c r="A22739" t="s">
        <v>64438</v>
      </c>
      <c r="B22739" t="s">
        <v>11834</v>
      </c>
      <c r="C22739" t="s">
        <v>37134</v>
      </c>
      <c r="D22739" t="s">
        <v>64439</v>
      </c>
      <c r="E22739" t="b">
        <v>0</v>
      </c>
      <c r="F22739" t="s">
        <v>11610</v>
      </c>
      <c r="L22739">
        <v>0</v>
      </c>
      <c r="M22739">
        <v>0</v>
      </c>
      <c r="N22739">
        <v>0</v>
      </c>
    </row>
    <row r="22740" spans="1:15">
      <c r="A22740" t="s">
        <v>64440</v>
      </c>
      <c r="B22740" t="s">
        <v>367</v>
      </c>
      <c r="C22740" t="s">
        <v>32929</v>
      </c>
      <c r="D22740" t="s">
        <v>64441</v>
      </c>
      <c r="E22740" t="b">
        <v>0</v>
      </c>
      <c r="F22740" t="s">
        <v>11610</v>
      </c>
      <c r="L22740">
        <v>0</v>
      </c>
      <c r="M22740">
        <v>0</v>
      </c>
      <c r="N22740">
        <v>0</v>
      </c>
    </row>
    <row r="22741" spans="1:15">
      <c r="A22741" t="s">
        <v>64442</v>
      </c>
      <c r="B22741" t="s">
        <v>11644</v>
      </c>
      <c r="C22741" t="s">
        <v>16472</v>
      </c>
      <c r="D22741" t="s">
        <v>64443</v>
      </c>
      <c r="E22741" t="b">
        <v>0</v>
      </c>
      <c r="F22741" t="s">
        <v>11610</v>
      </c>
      <c r="L22741">
        <v>0</v>
      </c>
      <c r="M22741">
        <v>0</v>
      </c>
      <c r="N22741">
        <v>0</v>
      </c>
    </row>
    <row r="22742" spans="1:15">
      <c r="A22742" t="s">
        <v>64444</v>
      </c>
      <c r="B22742" t="s">
        <v>367</v>
      </c>
      <c r="C22742" t="s">
        <v>42391</v>
      </c>
      <c r="D22742" t="s">
        <v>64445</v>
      </c>
      <c r="E22742" t="b">
        <v>0</v>
      </c>
      <c r="F22742" t="s">
        <v>11610</v>
      </c>
      <c r="L22742">
        <v>0</v>
      </c>
      <c r="M22742">
        <v>0</v>
      </c>
      <c r="N22742">
        <v>0</v>
      </c>
    </row>
    <row r="22743" spans="1:15">
      <c r="A22743" t="s">
        <v>64446</v>
      </c>
      <c r="B22743" t="s">
        <v>367</v>
      </c>
      <c r="C22743" t="s">
        <v>59644</v>
      </c>
      <c r="D22743" t="s">
        <v>64447</v>
      </c>
      <c r="E22743" t="b">
        <v>0</v>
      </c>
      <c r="F22743" t="s">
        <v>11610</v>
      </c>
      <c r="L22743">
        <v>0</v>
      </c>
      <c r="M22743">
        <v>0</v>
      </c>
      <c r="N22743">
        <v>0</v>
      </c>
    </row>
    <row r="22744" spans="1:15">
      <c r="A22744" t="s">
        <v>64448</v>
      </c>
      <c r="B22744" t="s">
        <v>11834</v>
      </c>
      <c r="C22744" t="s">
        <v>11834</v>
      </c>
      <c r="D22744" t="s">
        <v>64449</v>
      </c>
      <c r="E22744" t="b">
        <v>0</v>
      </c>
      <c r="F22744" t="s">
        <v>11624</v>
      </c>
      <c r="G22744">
        <v>-3.59639</v>
      </c>
      <c r="H22744">
        <v>142.5</v>
      </c>
      <c r="I22744" t="s">
        <v>64450</v>
      </c>
      <c r="L22744">
        <v>0</v>
      </c>
      <c r="M22744">
        <v>0</v>
      </c>
      <c r="N22744">
        <v>0</v>
      </c>
      <c r="O22744" t="s">
        <v>11660</v>
      </c>
    </row>
    <row r="22745" spans="1:15">
      <c r="A22745" t="s">
        <v>64451</v>
      </c>
      <c r="B22745" t="s">
        <v>11615</v>
      </c>
      <c r="C22745" t="s">
        <v>37656</v>
      </c>
      <c r="D22745" t="s">
        <v>64452</v>
      </c>
      <c r="E22745" t="b">
        <v>0</v>
      </c>
      <c r="F22745" t="s">
        <v>11624</v>
      </c>
      <c r="G22745">
        <v>-4.7882199999999999</v>
      </c>
      <c r="H22745">
        <v>145.41900000000001</v>
      </c>
      <c r="I22745" t="s">
        <v>64453</v>
      </c>
      <c r="L22745">
        <v>0</v>
      </c>
      <c r="M22745">
        <v>0</v>
      </c>
      <c r="N22745">
        <v>0</v>
      </c>
      <c r="O22745" t="s">
        <v>11660</v>
      </c>
    </row>
    <row r="22746" spans="1:15">
      <c r="A22746" t="s">
        <v>64454</v>
      </c>
      <c r="B22746" t="s">
        <v>11615</v>
      </c>
      <c r="C22746" t="s">
        <v>35396</v>
      </c>
      <c r="D22746" t="s">
        <v>64455</v>
      </c>
      <c r="E22746" t="b">
        <v>0</v>
      </c>
      <c r="F22746" t="s">
        <v>11610</v>
      </c>
      <c r="L22746">
        <v>0</v>
      </c>
      <c r="M22746">
        <v>0</v>
      </c>
      <c r="N22746">
        <v>0</v>
      </c>
    </row>
    <row r="22747" spans="1:15">
      <c r="A22747" t="s">
        <v>29842</v>
      </c>
      <c r="B22747" t="s">
        <v>2975</v>
      </c>
      <c r="C22747" t="s">
        <v>26483</v>
      </c>
      <c r="D22747" t="s">
        <v>64456</v>
      </c>
      <c r="E22747" t="b">
        <v>0</v>
      </c>
      <c r="F22747" t="s">
        <v>11622</v>
      </c>
      <c r="L22747">
        <v>0</v>
      </c>
      <c r="M22747">
        <v>2</v>
      </c>
      <c r="N22747">
        <v>0</v>
      </c>
    </row>
    <row r="22748" spans="1:15">
      <c r="A22748" t="s">
        <v>19610</v>
      </c>
      <c r="B22748" t="s">
        <v>11644</v>
      </c>
      <c r="C22748" t="s">
        <v>22260</v>
      </c>
      <c r="D22748" t="s">
        <v>64457</v>
      </c>
      <c r="E22748" t="b">
        <v>0</v>
      </c>
      <c r="F22748" t="s">
        <v>11624</v>
      </c>
      <c r="G22748">
        <v>26.258099999999999</v>
      </c>
      <c r="H22748">
        <v>94.893600000000006</v>
      </c>
      <c r="I22748" t="s">
        <v>64458</v>
      </c>
      <c r="L22748">
        <v>0</v>
      </c>
      <c r="M22748">
        <v>0</v>
      </c>
      <c r="N22748">
        <v>4</v>
      </c>
      <c r="O22748" t="s">
        <v>11630</v>
      </c>
    </row>
    <row r="22749" spans="1:15">
      <c r="A22749" t="s">
        <v>64459</v>
      </c>
      <c r="B22749" t="s">
        <v>367</v>
      </c>
      <c r="C22749" t="s">
        <v>34423</v>
      </c>
      <c r="D22749" t="s">
        <v>64460</v>
      </c>
      <c r="E22749" t="b">
        <v>0</v>
      </c>
      <c r="F22749" t="s">
        <v>11610</v>
      </c>
      <c r="L22749">
        <v>0</v>
      </c>
      <c r="M22749">
        <v>0</v>
      </c>
      <c r="N22749">
        <v>0</v>
      </c>
    </row>
    <row r="22750" spans="1:15">
      <c r="A22750" t="s">
        <v>64461</v>
      </c>
      <c r="B22750" t="s">
        <v>12963</v>
      </c>
      <c r="C22750" t="s">
        <v>12964</v>
      </c>
      <c r="D22750" t="s">
        <v>64462</v>
      </c>
      <c r="E22750" t="b">
        <v>0</v>
      </c>
      <c r="F22750" t="s">
        <v>11624</v>
      </c>
      <c r="G22750">
        <v>-14.2996</v>
      </c>
      <c r="H22750">
        <v>135.70500000000001</v>
      </c>
      <c r="I22750" t="s">
        <v>64463</v>
      </c>
      <c r="L22750">
        <v>0</v>
      </c>
      <c r="M22750">
        <v>0</v>
      </c>
      <c r="N22750">
        <v>0</v>
      </c>
      <c r="O22750" t="s">
        <v>12107</v>
      </c>
    </row>
    <row r="22751" spans="1:15">
      <c r="A22751" t="s">
        <v>57153</v>
      </c>
      <c r="B22751" t="s">
        <v>6742</v>
      </c>
      <c r="C22751" t="s">
        <v>42250</v>
      </c>
      <c r="D22751" t="s">
        <v>64464</v>
      </c>
      <c r="E22751" t="b">
        <v>0</v>
      </c>
      <c r="F22751" t="s">
        <v>11624</v>
      </c>
      <c r="G22751">
        <v>-8.3452199999999994</v>
      </c>
      <c r="H22751">
        <v>32.4375</v>
      </c>
      <c r="I22751" t="s">
        <v>64465</v>
      </c>
      <c r="L22751">
        <v>0</v>
      </c>
      <c r="M22751">
        <v>0</v>
      </c>
      <c r="N22751">
        <v>1</v>
      </c>
      <c r="O22751" t="s">
        <v>11635</v>
      </c>
    </row>
    <row r="22752" spans="1:15">
      <c r="A22752" t="s">
        <v>64466</v>
      </c>
      <c r="B22752" t="s">
        <v>6742</v>
      </c>
      <c r="C22752" t="s">
        <v>50608</v>
      </c>
      <c r="D22752" t="s">
        <v>64467</v>
      </c>
      <c r="E22752" t="b">
        <v>0</v>
      </c>
      <c r="F22752" t="s">
        <v>11610</v>
      </c>
      <c r="L22752">
        <v>0</v>
      </c>
      <c r="M22752">
        <v>0</v>
      </c>
      <c r="N22752">
        <v>0</v>
      </c>
    </row>
    <row r="22753" spans="1:15">
      <c r="A22753" t="s">
        <v>64468</v>
      </c>
      <c r="B22753" t="s">
        <v>6742</v>
      </c>
      <c r="C22753" t="s">
        <v>25514</v>
      </c>
      <c r="D22753" t="s">
        <v>64469</v>
      </c>
      <c r="E22753" t="b">
        <v>0</v>
      </c>
      <c r="F22753" t="s">
        <v>11624</v>
      </c>
      <c r="G22753">
        <v>-1.51945</v>
      </c>
      <c r="H22753">
        <v>12.895099999999999</v>
      </c>
      <c r="I22753" t="s">
        <v>64470</v>
      </c>
      <c r="L22753">
        <v>0</v>
      </c>
      <c r="M22753">
        <v>0</v>
      </c>
      <c r="N22753">
        <v>0</v>
      </c>
      <c r="O22753" t="s">
        <v>16915</v>
      </c>
    </row>
    <row r="22754" spans="1:15">
      <c r="A22754" t="s">
        <v>12480</v>
      </c>
      <c r="B22754" t="s">
        <v>367</v>
      </c>
      <c r="C22754" t="s">
        <v>13339</v>
      </c>
      <c r="D22754" t="s">
        <v>64471</v>
      </c>
      <c r="E22754" t="b">
        <v>0</v>
      </c>
      <c r="F22754" t="s">
        <v>11624</v>
      </c>
      <c r="G22754">
        <v>-2.2562199999999999</v>
      </c>
      <c r="H22754">
        <v>133.99600000000001</v>
      </c>
      <c r="I22754" t="s">
        <v>64472</v>
      </c>
      <c r="L22754">
        <v>0</v>
      </c>
      <c r="M22754">
        <v>0</v>
      </c>
      <c r="N22754">
        <v>7</v>
      </c>
      <c r="O22754" t="s">
        <v>11768</v>
      </c>
    </row>
    <row r="22755" spans="1:15">
      <c r="A22755" t="s">
        <v>64473</v>
      </c>
      <c r="B22755" t="s">
        <v>11615</v>
      </c>
      <c r="C22755" t="s">
        <v>32696</v>
      </c>
      <c r="D22755" t="s">
        <v>64474</v>
      </c>
      <c r="E22755" t="b">
        <v>0</v>
      </c>
      <c r="F22755" t="s">
        <v>11610</v>
      </c>
      <c r="L22755">
        <v>0</v>
      </c>
      <c r="M22755">
        <v>0</v>
      </c>
      <c r="N22755">
        <v>0</v>
      </c>
    </row>
    <row r="22756" spans="1:15">
      <c r="A22756" t="s">
        <v>64475</v>
      </c>
      <c r="B22756" t="s">
        <v>11615</v>
      </c>
      <c r="C22756" t="s">
        <v>12938</v>
      </c>
      <c r="D22756" t="s">
        <v>64476</v>
      </c>
      <c r="E22756" t="b">
        <v>0</v>
      </c>
      <c r="F22756" t="s">
        <v>11610</v>
      </c>
      <c r="L22756">
        <v>0</v>
      </c>
      <c r="M22756">
        <v>0</v>
      </c>
      <c r="N22756">
        <v>0</v>
      </c>
    </row>
    <row r="22757" spans="1:15">
      <c r="A22757" t="s">
        <v>28437</v>
      </c>
      <c r="B22757" t="s">
        <v>11607</v>
      </c>
      <c r="C22757" t="s">
        <v>42170</v>
      </c>
      <c r="D22757" t="s">
        <v>64477</v>
      </c>
      <c r="E22757" t="b">
        <v>0</v>
      </c>
      <c r="F22757" t="s">
        <v>11624</v>
      </c>
      <c r="G22757">
        <v>11.3169</v>
      </c>
      <c r="H22757">
        <v>13.8996</v>
      </c>
      <c r="I22757" t="s">
        <v>64478</v>
      </c>
      <c r="L22757">
        <v>0</v>
      </c>
      <c r="M22757">
        <v>0</v>
      </c>
      <c r="N22757">
        <v>10</v>
      </c>
      <c r="O22757" t="s">
        <v>11802</v>
      </c>
    </row>
    <row r="22758" spans="1:15">
      <c r="A22758" t="s">
        <v>64479</v>
      </c>
      <c r="B22758" t="s">
        <v>11607</v>
      </c>
      <c r="C22758" t="s">
        <v>23918</v>
      </c>
      <c r="D22758" t="s">
        <v>64480</v>
      </c>
      <c r="E22758" t="b">
        <v>0</v>
      </c>
      <c r="F22758" t="s">
        <v>11610</v>
      </c>
      <c r="L22758">
        <v>0</v>
      </c>
      <c r="M22758">
        <v>0</v>
      </c>
      <c r="N22758">
        <v>0</v>
      </c>
    </row>
    <row r="22759" spans="1:15">
      <c r="A22759" t="s">
        <v>29380</v>
      </c>
      <c r="B22759" t="s">
        <v>11607</v>
      </c>
      <c r="C22759" t="s">
        <v>24587</v>
      </c>
      <c r="D22759" t="s">
        <v>64481</v>
      </c>
      <c r="E22759" t="b">
        <v>0</v>
      </c>
      <c r="F22759" t="s">
        <v>11622</v>
      </c>
      <c r="L22759">
        <v>1</v>
      </c>
      <c r="M22759">
        <v>3</v>
      </c>
      <c r="N22759">
        <v>13</v>
      </c>
    </row>
    <row r="22760" spans="1:15">
      <c r="A22760" t="s">
        <v>42170</v>
      </c>
      <c r="B22760" t="s">
        <v>11607</v>
      </c>
      <c r="C22760" t="s">
        <v>29380</v>
      </c>
      <c r="D22760" t="s">
        <v>64482</v>
      </c>
      <c r="E22760" t="b">
        <v>0</v>
      </c>
      <c r="F22760" t="s">
        <v>11622</v>
      </c>
      <c r="L22760">
        <v>0</v>
      </c>
      <c r="M22760">
        <v>2</v>
      </c>
      <c r="N22760">
        <v>10</v>
      </c>
    </row>
    <row r="22761" spans="1:15">
      <c r="A22761" t="s">
        <v>64483</v>
      </c>
      <c r="B22761" t="s">
        <v>11637</v>
      </c>
      <c r="C22761" t="s">
        <v>3559</v>
      </c>
      <c r="D22761" t="s">
        <v>64484</v>
      </c>
      <c r="E22761" t="b">
        <v>0</v>
      </c>
      <c r="F22761" t="s">
        <v>11624</v>
      </c>
      <c r="G22761">
        <v>30.0501</v>
      </c>
      <c r="H22761">
        <v>67.832700000000003</v>
      </c>
      <c r="I22761" t="s">
        <v>64485</v>
      </c>
      <c r="L22761">
        <v>0</v>
      </c>
      <c r="M22761">
        <v>0</v>
      </c>
      <c r="N22761">
        <v>0</v>
      </c>
      <c r="O22761" t="s">
        <v>12172</v>
      </c>
    </row>
    <row r="22762" spans="1:15">
      <c r="A22762" t="s">
        <v>64486</v>
      </c>
      <c r="B22762" t="s">
        <v>6742</v>
      </c>
      <c r="C22762" t="s">
        <v>16183</v>
      </c>
      <c r="D22762" t="s">
        <v>64487</v>
      </c>
      <c r="E22762" t="b">
        <v>0</v>
      </c>
      <c r="F22762" t="s">
        <v>11624</v>
      </c>
      <c r="G22762">
        <v>4.8517099999999997</v>
      </c>
      <c r="H22762">
        <v>-6.4440600000000003</v>
      </c>
      <c r="I22762" t="s">
        <v>64488</v>
      </c>
      <c r="L22762">
        <v>0</v>
      </c>
      <c r="M22762">
        <v>0</v>
      </c>
      <c r="N22762">
        <v>0</v>
      </c>
      <c r="O22762" t="s">
        <v>11735</v>
      </c>
    </row>
    <row r="22763" spans="1:15">
      <c r="A22763" t="s">
        <v>64489</v>
      </c>
      <c r="B22763" t="s">
        <v>12250</v>
      </c>
      <c r="C22763" t="s">
        <v>25239</v>
      </c>
      <c r="D22763" t="s">
        <v>64490</v>
      </c>
      <c r="E22763" t="b">
        <v>0</v>
      </c>
      <c r="F22763" t="s">
        <v>11610</v>
      </c>
      <c r="L22763">
        <v>0</v>
      </c>
      <c r="M22763">
        <v>0</v>
      </c>
      <c r="N22763">
        <v>0</v>
      </c>
    </row>
    <row r="22764" spans="1:15">
      <c r="A22764" t="s">
        <v>64491</v>
      </c>
      <c r="B22764" t="s">
        <v>12438</v>
      </c>
      <c r="C22764" t="s">
        <v>14105</v>
      </c>
      <c r="D22764" t="s">
        <v>64492</v>
      </c>
      <c r="E22764" t="b">
        <v>0</v>
      </c>
      <c r="F22764" t="s">
        <v>11610</v>
      </c>
      <c r="L22764">
        <v>0</v>
      </c>
      <c r="M22764">
        <v>0</v>
      </c>
      <c r="N22764">
        <v>0</v>
      </c>
    </row>
    <row r="22765" spans="1:15">
      <c r="A22765" t="s">
        <v>64493</v>
      </c>
      <c r="B22765" t="s">
        <v>11644</v>
      </c>
      <c r="C22765" t="s">
        <v>25758</v>
      </c>
      <c r="D22765" t="s">
        <v>64494</v>
      </c>
      <c r="E22765" t="b">
        <v>0</v>
      </c>
      <c r="F22765" t="s">
        <v>11610</v>
      </c>
      <c r="L22765">
        <v>0</v>
      </c>
      <c r="M22765">
        <v>0</v>
      </c>
      <c r="N22765">
        <v>0</v>
      </c>
    </row>
    <row r="22766" spans="1:15">
      <c r="A22766" t="s">
        <v>64495</v>
      </c>
      <c r="B22766" t="s">
        <v>10597</v>
      </c>
      <c r="C22766" t="s">
        <v>35274</v>
      </c>
      <c r="D22766" t="s">
        <v>64496</v>
      </c>
      <c r="E22766" t="b">
        <v>0</v>
      </c>
      <c r="F22766" t="s">
        <v>11610</v>
      </c>
      <c r="L22766">
        <v>0</v>
      </c>
      <c r="M22766">
        <v>0</v>
      </c>
      <c r="N22766">
        <v>0</v>
      </c>
    </row>
    <row r="22767" spans="1:15">
      <c r="A22767" t="s">
        <v>64497</v>
      </c>
      <c r="B22767" t="s">
        <v>10597</v>
      </c>
      <c r="C22767" t="s">
        <v>53256</v>
      </c>
      <c r="D22767" t="s">
        <v>64498</v>
      </c>
      <c r="E22767" t="b">
        <v>0</v>
      </c>
      <c r="F22767" t="s">
        <v>11624</v>
      </c>
      <c r="G22767">
        <v>-24.702200000000001</v>
      </c>
      <c r="H22767">
        <v>137.43299999999999</v>
      </c>
      <c r="I22767" t="s">
        <v>64499</v>
      </c>
      <c r="L22767">
        <v>0</v>
      </c>
      <c r="M22767">
        <v>0</v>
      </c>
      <c r="N22767">
        <v>0</v>
      </c>
      <c r="O22767" t="s">
        <v>12107</v>
      </c>
    </row>
    <row r="22768" spans="1:15">
      <c r="A22768" t="s">
        <v>64500</v>
      </c>
      <c r="B22768" t="s">
        <v>10597</v>
      </c>
      <c r="C22768" t="s">
        <v>14233</v>
      </c>
      <c r="D22768" t="s">
        <v>64501</v>
      </c>
      <c r="E22768" t="b">
        <v>0</v>
      </c>
      <c r="F22768" t="s">
        <v>11624</v>
      </c>
      <c r="G22768">
        <v>-25.814800000000002</v>
      </c>
      <c r="H22768">
        <v>135.941</v>
      </c>
      <c r="I22768" t="s">
        <v>64502</v>
      </c>
      <c r="L22768">
        <v>0</v>
      </c>
      <c r="M22768">
        <v>0</v>
      </c>
      <c r="N22768">
        <v>0</v>
      </c>
      <c r="O22768" t="s">
        <v>12107</v>
      </c>
    </row>
    <row r="22769" spans="1:15">
      <c r="A22769" t="s">
        <v>64503</v>
      </c>
      <c r="B22769" t="s">
        <v>10597</v>
      </c>
      <c r="C22769" t="s">
        <v>28466</v>
      </c>
      <c r="D22769" t="s">
        <v>64504</v>
      </c>
      <c r="E22769" t="b">
        <v>0</v>
      </c>
      <c r="F22769" t="s">
        <v>11624</v>
      </c>
      <c r="G22769">
        <v>-30.648099999999999</v>
      </c>
      <c r="H22769">
        <v>146.18</v>
      </c>
      <c r="I22769" t="s">
        <v>64505</v>
      </c>
      <c r="L22769">
        <v>0</v>
      </c>
      <c r="M22769">
        <v>0</v>
      </c>
      <c r="N22769">
        <v>2</v>
      </c>
      <c r="O22769" t="s">
        <v>12107</v>
      </c>
    </row>
    <row r="22770" spans="1:15">
      <c r="A22770" t="s">
        <v>64506</v>
      </c>
      <c r="B22770" t="s">
        <v>10597</v>
      </c>
      <c r="C22770" t="s">
        <v>64503</v>
      </c>
      <c r="D22770" t="s">
        <v>64507</v>
      </c>
      <c r="E22770" t="b">
        <v>0</v>
      </c>
      <c r="F22770" t="s">
        <v>11610</v>
      </c>
      <c r="L22770">
        <v>0</v>
      </c>
      <c r="M22770">
        <v>0</v>
      </c>
      <c r="N22770">
        <v>0</v>
      </c>
    </row>
    <row r="22771" spans="1:15">
      <c r="A22771" t="s">
        <v>64508</v>
      </c>
      <c r="B22771" t="s">
        <v>10597</v>
      </c>
      <c r="C22771" t="s">
        <v>24616</v>
      </c>
      <c r="D22771" t="s">
        <v>64509</v>
      </c>
      <c r="E22771" t="b">
        <v>0</v>
      </c>
      <c r="F22771" t="s">
        <v>11610</v>
      </c>
      <c r="L22771">
        <v>0</v>
      </c>
      <c r="M22771">
        <v>0</v>
      </c>
      <c r="N22771">
        <v>0</v>
      </c>
    </row>
    <row r="22772" spans="1:15">
      <c r="A22772" t="s">
        <v>64510</v>
      </c>
      <c r="B22772" t="s">
        <v>6742</v>
      </c>
      <c r="C22772" t="s">
        <v>21900</v>
      </c>
      <c r="D22772" t="s">
        <v>64511</v>
      </c>
      <c r="E22772" t="b">
        <v>0</v>
      </c>
      <c r="F22772" t="s">
        <v>11624</v>
      </c>
      <c r="G22772">
        <v>0.34300000000000003</v>
      </c>
      <c r="H22772">
        <v>34.476999999999997</v>
      </c>
      <c r="I22772" t="s">
        <v>64512</v>
      </c>
      <c r="L22772">
        <v>0</v>
      </c>
      <c r="M22772">
        <v>0</v>
      </c>
      <c r="N22772">
        <v>0</v>
      </c>
      <c r="O22772" t="s">
        <v>22848</v>
      </c>
    </row>
    <row r="22773" spans="1:15">
      <c r="A22773" t="s">
        <v>64513</v>
      </c>
      <c r="B22773" t="s">
        <v>6742</v>
      </c>
      <c r="C22773" t="s">
        <v>5545</v>
      </c>
      <c r="D22773" t="s">
        <v>64514</v>
      </c>
      <c r="E22773" t="b">
        <v>0</v>
      </c>
      <c r="F22773" t="s">
        <v>11610</v>
      </c>
      <c r="L22773">
        <v>0</v>
      </c>
      <c r="M22773">
        <v>0</v>
      </c>
      <c r="N22773">
        <v>0</v>
      </c>
    </row>
    <row r="22774" spans="1:15">
      <c r="A22774" t="s">
        <v>64515</v>
      </c>
      <c r="B22774" t="s">
        <v>367</v>
      </c>
      <c r="C22774" t="s">
        <v>14618</v>
      </c>
      <c r="D22774" t="s">
        <v>64516</v>
      </c>
      <c r="E22774" t="b">
        <v>0</v>
      </c>
      <c r="F22774" t="s">
        <v>11610</v>
      </c>
      <c r="L22774">
        <v>0</v>
      </c>
      <c r="M22774">
        <v>0</v>
      </c>
      <c r="N22774">
        <v>0</v>
      </c>
    </row>
    <row r="22775" spans="1:15">
      <c r="A22775" t="s">
        <v>64517</v>
      </c>
      <c r="B22775" t="s">
        <v>367</v>
      </c>
      <c r="C22775" t="s">
        <v>1592</v>
      </c>
      <c r="D22775" t="s">
        <v>64518</v>
      </c>
      <c r="E22775" t="b">
        <v>0</v>
      </c>
      <c r="F22775" t="s">
        <v>11610</v>
      </c>
      <c r="L22775">
        <v>0</v>
      </c>
      <c r="M22775">
        <v>0</v>
      </c>
      <c r="N22775">
        <v>0</v>
      </c>
    </row>
    <row r="22776" spans="1:15">
      <c r="A22776" t="s">
        <v>64519</v>
      </c>
      <c r="B22776" t="s">
        <v>367</v>
      </c>
      <c r="C22776" t="s">
        <v>46434</v>
      </c>
      <c r="D22776" t="s">
        <v>64520</v>
      </c>
      <c r="E22776" t="b">
        <v>0</v>
      </c>
      <c r="F22776" t="s">
        <v>11610</v>
      </c>
      <c r="L22776">
        <v>0</v>
      </c>
      <c r="M22776">
        <v>0</v>
      </c>
      <c r="N22776">
        <v>0</v>
      </c>
    </row>
    <row r="22777" spans="1:15">
      <c r="A22777" t="s">
        <v>64521</v>
      </c>
      <c r="B22777" t="s">
        <v>11615</v>
      </c>
      <c r="C22777" t="s">
        <v>37140</v>
      </c>
      <c r="D22777" t="s">
        <v>64522</v>
      </c>
      <c r="E22777" t="b">
        <v>0</v>
      </c>
      <c r="F22777" t="s">
        <v>11624</v>
      </c>
      <c r="G22777">
        <v>-5.6009399999999996</v>
      </c>
      <c r="H22777">
        <v>140.19399999999999</v>
      </c>
      <c r="I22777" t="s">
        <v>64523</v>
      </c>
      <c r="L22777">
        <v>0</v>
      </c>
      <c r="M22777">
        <v>0</v>
      </c>
      <c r="N22777">
        <v>0</v>
      </c>
      <c r="O22777" t="s">
        <v>11768</v>
      </c>
    </row>
    <row r="22778" spans="1:15">
      <c r="A22778" t="s">
        <v>53167</v>
      </c>
      <c r="B22778" t="s">
        <v>10597</v>
      </c>
      <c r="C22778" t="s">
        <v>50175</v>
      </c>
      <c r="D22778" t="s">
        <v>64524</v>
      </c>
      <c r="E22778" t="b">
        <v>0</v>
      </c>
      <c r="F22778" t="s">
        <v>11622</v>
      </c>
      <c r="L22778">
        <v>1</v>
      </c>
      <c r="M22778">
        <v>4</v>
      </c>
      <c r="N22778">
        <v>0</v>
      </c>
    </row>
    <row r="22779" spans="1:15">
      <c r="A22779" t="s">
        <v>64525</v>
      </c>
      <c r="B22779" t="s">
        <v>11644</v>
      </c>
      <c r="C22779" t="s">
        <v>18428</v>
      </c>
      <c r="D22779" t="s">
        <v>64526</v>
      </c>
      <c r="E22779" t="b">
        <v>0</v>
      </c>
      <c r="F22779" t="s">
        <v>11610</v>
      </c>
      <c r="L22779">
        <v>0</v>
      </c>
      <c r="M22779">
        <v>0</v>
      </c>
      <c r="N22779">
        <v>0</v>
      </c>
    </row>
    <row r="22780" spans="1:15">
      <c r="A22780" t="s">
        <v>64527</v>
      </c>
      <c r="B22780" t="s">
        <v>6742</v>
      </c>
      <c r="C22780" t="s">
        <v>17908</v>
      </c>
      <c r="D22780" t="s">
        <v>64528</v>
      </c>
      <c r="E22780" t="b">
        <v>0</v>
      </c>
      <c r="F22780" t="s">
        <v>11610</v>
      </c>
      <c r="G22780">
        <v>-9.1736799999999992</v>
      </c>
      <c r="H22780">
        <v>34.497</v>
      </c>
      <c r="L22780">
        <v>0</v>
      </c>
      <c r="M22780">
        <v>0</v>
      </c>
      <c r="N22780">
        <v>0</v>
      </c>
    </row>
    <row r="22781" spans="1:15">
      <c r="A22781" t="s">
        <v>64529</v>
      </c>
      <c r="B22781" t="s">
        <v>22306</v>
      </c>
      <c r="C22781" t="s">
        <v>63510</v>
      </c>
      <c r="D22781" t="s">
        <v>64530</v>
      </c>
      <c r="E22781" t="b">
        <v>0</v>
      </c>
      <c r="F22781" t="s">
        <v>11622</v>
      </c>
      <c r="L22781">
        <v>1</v>
      </c>
      <c r="M22781">
        <v>3</v>
      </c>
      <c r="N22781">
        <v>0</v>
      </c>
    </row>
    <row r="22782" spans="1:15">
      <c r="A22782" t="s">
        <v>64531</v>
      </c>
      <c r="B22782" t="s">
        <v>11844</v>
      </c>
      <c r="C22782" t="s">
        <v>41563</v>
      </c>
      <c r="D22782" t="s">
        <v>64532</v>
      </c>
      <c r="E22782" t="b">
        <v>0</v>
      </c>
      <c r="F22782" t="s">
        <v>11610</v>
      </c>
      <c r="L22782">
        <v>0</v>
      </c>
      <c r="M22782">
        <v>0</v>
      </c>
      <c r="N22782">
        <v>0</v>
      </c>
    </row>
    <row r="22783" spans="1:15">
      <c r="A22783" t="s">
        <v>64533</v>
      </c>
      <c r="B22783" t="s">
        <v>367</v>
      </c>
      <c r="C22783" t="s">
        <v>14606</v>
      </c>
      <c r="D22783" t="s">
        <v>64534</v>
      </c>
      <c r="E22783" t="b">
        <v>0</v>
      </c>
      <c r="F22783" t="s">
        <v>11610</v>
      </c>
      <c r="L22783">
        <v>0</v>
      </c>
      <c r="M22783">
        <v>0</v>
      </c>
      <c r="N22783">
        <v>0</v>
      </c>
    </row>
    <row r="22784" spans="1:15">
      <c r="A22784" t="s">
        <v>64535</v>
      </c>
      <c r="B22784" t="s">
        <v>11981</v>
      </c>
      <c r="C22784" t="s">
        <v>11982</v>
      </c>
      <c r="D22784" t="s">
        <v>64536</v>
      </c>
      <c r="E22784" t="b">
        <v>0</v>
      </c>
      <c r="F22784" t="s">
        <v>11624</v>
      </c>
      <c r="L22784">
        <v>0</v>
      </c>
      <c r="M22784">
        <v>0</v>
      </c>
      <c r="N22784">
        <v>0</v>
      </c>
      <c r="O22784" t="s">
        <v>11660</v>
      </c>
    </row>
    <row r="22785" spans="1:15">
      <c r="A22785" t="s">
        <v>55547</v>
      </c>
      <c r="B22785" t="s">
        <v>6742</v>
      </c>
      <c r="C22785" t="s">
        <v>17922</v>
      </c>
      <c r="D22785" t="s">
        <v>64537</v>
      </c>
      <c r="E22785" t="b">
        <v>0</v>
      </c>
      <c r="F22785" t="s">
        <v>11622</v>
      </c>
      <c r="L22785">
        <v>0</v>
      </c>
      <c r="M22785">
        <v>2</v>
      </c>
      <c r="N22785">
        <v>0</v>
      </c>
    </row>
    <row r="22786" spans="1:15">
      <c r="A22786" t="s">
        <v>64538</v>
      </c>
      <c r="B22786" t="s">
        <v>17576</v>
      </c>
      <c r="C22786" t="s">
        <v>6422</v>
      </c>
      <c r="D22786" t="s">
        <v>64539</v>
      </c>
      <c r="E22786" t="b">
        <v>0</v>
      </c>
      <c r="F22786" t="s">
        <v>11610</v>
      </c>
      <c r="L22786">
        <v>0</v>
      </c>
      <c r="M22786">
        <v>0</v>
      </c>
      <c r="N22786">
        <v>0</v>
      </c>
    </row>
    <row r="22787" spans="1:15">
      <c r="A22787" t="s">
        <v>64540</v>
      </c>
      <c r="B22787" t="s">
        <v>10597</v>
      </c>
      <c r="C22787" t="s">
        <v>43117</v>
      </c>
      <c r="D22787" t="s">
        <v>64541</v>
      </c>
      <c r="E22787" t="b">
        <v>0</v>
      </c>
      <c r="F22787" t="s">
        <v>11624</v>
      </c>
      <c r="G22787">
        <v>-22.707799999999999</v>
      </c>
      <c r="H22787">
        <v>122.325</v>
      </c>
      <c r="I22787" t="s">
        <v>64542</v>
      </c>
      <c r="L22787">
        <v>0</v>
      </c>
      <c r="M22787">
        <v>0</v>
      </c>
      <c r="N22787">
        <v>0</v>
      </c>
      <c r="O22787" t="s">
        <v>12107</v>
      </c>
    </row>
    <row r="22788" spans="1:15">
      <c r="A22788" t="s">
        <v>46056</v>
      </c>
      <c r="B22788" t="s">
        <v>13276</v>
      </c>
      <c r="C22788" t="s">
        <v>17968</v>
      </c>
      <c r="D22788" t="s">
        <v>64543</v>
      </c>
      <c r="E22788" t="b">
        <v>0</v>
      </c>
      <c r="F22788" t="s">
        <v>11622</v>
      </c>
      <c r="L22788">
        <v>0</v>
      </c>
      <c r="M22788">
        <v>2</v>
      </c>
      <c r="N22788">
        <v>2</v>
      </c>
    </row>
    <row r="22789" spans="1:15">
      <c r="A22789" t="s">
        <v>64544</v>
      </c>
      <c r="B22789" t="s">
        <v>6742</v>
      </c>
      <c r="C22789" t="s">
        <v>31402</v>
      </c>
      <c r="D22789" t="s">
        <v>64545</v>
      </c>
      <c r="E22789" t="b">
        <v>0</v>
      </c>
      <c r="F22789" t="s">
        <v>11624</v>
      </c>
      <c r="G22789">
        <v>7.8385899999999999</v>
      </c>
      <c r="H22789">
        <v>8.9659399999999998</v>
      </c>
      <c r="I22789" t="s">
        <v>64546</v>
      </c>
      <c r="L22789">
        <v>0</v>
      </c>
      <c r="M22789">
        <v>0</v>
      </c>
      <c r="N22789">
        <v>0</v>
      </c>
      <c r="O22789" t="s">
        <v>11693</v>
      </c>
    </row>
    <row r="22790" spans="1:15">
      <c r="A22790" t="s">
        <v>35820</v>
      </c>
      <c r="B22790" t="s">
        <v>13276</v>
      </c>
      <c r="C22790" t="s">
        <v>46056</v>
      </c>
      <c r="D22790" t="s">
        <v>64547</v>
      </c>
      <c r="E22790" t="b">
        <v>0</v>
      </c>
      <c r="F22790" t="s">
        <v>11624</v>
      </c>
      <c r="G22790">
        <v>7.8877300000000004</v>
      </c>
      <c r="H22790">
        <v>-5.8209200000000001</v>
      </c>
      <c r="I22790" t="s">
        <v>64548</v>
      </c>
      <c r="L22790">
        <v>0</v>
      </c>
      <c r="M22790">
        <v>0</v>
      </c>
      <c r="N22790">
        <v>2</v>
      </c>
      <c r="O22790" t="s">
        <v>11735</v>
      </c>
    </row>
    <row r="22791" spans="1:15">
      <c r="A22791" t="s">
        <v>26664</v>
      </c>
      <c r="B22791" t="s">
        <v>11615</v>
      </c>
      <c r="C22791" t="s">
        <v>5593</v>
      </c>
      <c r="D22791" t="s">
        <v>64549</v>
      </c>
      <c r="E22791" t="b">
        <v>0</v>
      </c>
      <c r="F22791" t="s">
        <v>11624</v>
      </c>
      <c r="G22791">
        <v>-3.47858</v>
      </c>
      <c r="H22791">
        <v>137.678</v>
      </c>
      <c r="I22791" t="s">
        <v>64550</v>
      </c>
      <c r="L22791">
        <v>0</v>
      </c>
      <c r="M22791">
        <v>0</v>
      </c>
      <c r="N22791">
        <v>7</v>
      </c>
      <c r="O22791" t="s">
        <v>11768</v>
      </c>
    </row>
    <row r="22792" spans="1:15">
      <c r="A22792" t="s">
        <v>64551</v>
      </c>
      <c r="B22792" t="s">
        <v>12487</v>
      </c>
      <c r="C22792" t="s">
        <v>17169</v>
      </c>
      <c r="D22792" t="s">
        <v>64552</v>
      </c>
      <c r="E22792" t="b">
        <v>0</v>
      </c>
      <c r="F22792" t="s">
        <v>11610</v>
      </c>
      <c r="L22792">
        <v>0</v>
      </c>
      <c r="M22792">
        <v>0</v>
      </c>
      <c r="N22792">
        <v>0</v>
      </c>
    </row>
    <row r="22793" spans="1:15">
      <c r="A22793" t="s">
        <v>62356</v>
      </c>
      <c r="B22793" t="s">
        <v>11615</v>
      </c>
      <c r="C22793" t="s">
        <v>27307</v>
      </c>
      <c r="D22793" t="s">
        <v>64553</v>
      </c>
      <c r="E22793" t="b">
        <v>0</v>
      </c>
      <c r="F22793" t="s">
        <v>11622</v>
      </c>
      <c r="L22793">
        <v>1</v>
      </c>
      <c r="M22793">
        <v>3</v>
      </c>
      <c r="N22793">
        <v>4</v>
      </c>
    </row>
    <row r="22794" spans="1:15">
      <c r="A22794" t="s">
        <v>16438</v>
      </c>
      <c r="B22794" t="s">
        <v>11615</v>
      </c>
      <c r="C22794" t="s">
        <v>15335</v>
      </c>
      <c r="D22794" t="s">
        <v>64554</v>
      </c>
      <c r="E22794" t="b">
        <v>0</v>
      </c>
      <c r="F22794" t="s">
        <v>11624</v>
      </c>
      <c r="G22794">
        <v>-6.1521600000000003</v>
      </c>
      <c r="H22794">
        <v>146.51300000000001</v>
      </c>
      <c r="I22794" t="s">
        <v>64555</v>
      </c>
      <c r="L22794">
        <v>0</v>
      </c>
      <c r="M22794">
        <v>0</v>
      </c>
      <c r="N22794">
        <v>4</v>
      </c>
      <c r="O22794" t="s">
        <v>11660</v>
      </c>
    </row>
    <row r="22795" spans="1:15">
      <c r="A22795" t="s">
        <v>15335</v>
      </c>
      <c r="B22795" t="s">
        <v>11615</v>
      </c>
      <c r="C22795" t="s">
        <v>62356</v>
      </c>
      <c r="D22795" t="s">
        <v>64556</v>
      </c>
      <c r="E22795" t="b">
        <v>0</v>
      </c>
      <c r="F22795" t="s">
        <v>11622</v>
      </c>
      <c r="L22795">
        <v>0</v>
      </c>
      <c r="M22795">
        <v>2</v>
      </c>
      <c r="N22795">
        <v>4</v>
      </c>
    </row>
    <row r="22796" spans="1:15">
      <c r="A22796" t="s">
        <v>49830</v>
      </c>
      <c r="B22796" t="s">
        <v>367</v>
      </c>
      <c r="C22796" t="s">
        <v>13592</v>
      </c>
      <c r="D22796" t="s">
        <v>64557</v>
      </c>
      <c r="E22796" t="b">
        <v>0</v>
      </c>
      <c r="F22796" t="s">
        <v>11624</v>
      </c>
      <c r="G22796">
        <v>-9.69834</v>
      </c>
      <c r="H22796">
        <v>119.468</v>
      </c>
      <c r="I22796" t="s">
        <v>64558</v>
      </c>
      <c r="L22796">
        <v>0</v>
      </c>
      <c r="M22796">
        <v>0</v>
      </c>
      <c r="N22796">
        <v>2</v>
      </c>
      <c r="O22796" t="s">
        <v>11768</v>
      </c>
    </row>
    <row r="22797" spans="1:15">
      <c r="A22797" t="s">
        <v>64559</v>
      </c>
      <c r="B22797" t="s">
        <v>10597</v>
      </c>
      <c r="C22797" t="s">
        <v>30220</v>
      </c>
      <c r="D22797" t="s">
        <v>64560</v>
      </c>
      <c r="E22797" t="b">
        <v>0</v>
      </c>
      <c r="F22797" t="s">
        <v>11610</v>
      </c>
      <c r="L22797">
        <v>0</v>
      </c>
      <c r="M22797">
        <v>0</v>
      </c>
      <c r="N22797">
        <v>0</v>
      </c>
    </row>
    <row r="22798" spans="1:15">
      <c r="A22798" t="s">
        <v>64561</v>
      </c>
      <c r="B22798" t="s">
        <v>11757</v>
      </c>
      <c r="C22798" t="s">
        <v>1166</v>
      </c>
      <c r="D22798" t="s">
        <v>64562</v>
      </c>
      <c r="E22798" t="b">
        <v>0</v>
      </c>
      <c r="F22798" t="s">
        <v>11610</v>
      </c>
      <c r="L22798">
        <v>0</v>
      </c>
      <c r="M22798">
        <v>0</v>
      </c>
      <c r="N22798">
        <v>0</v>
      </c>
    </row>
    <row r="22799" spans="1:15">
      <c r="A22799" t="s">
        <v>64563</v>
      </c>
      <c r="B22799" t="s">
        <v>22306</v>
      </c>
      <c r="C22799" t="s">
        <v>64529</v>
      </c>
      <c r="D22799" t="s">
        <v>64564</v>
      </c>
      <c r="E22799" t="b">
        <v>0</v>
      </c>
      <c r="F22799" t="s">
        <v>11624</v>
      </c>
      <c r="G22799">
        <v>-12.1</v>
      </c>
      <c r="H22799">
        <v>-63.1</v>
      </c>
      <c r="L22799">
        <v>0</v>
      </c>
      <c r="M22799">
        <v>0</v>
      </c>
      <c r="N22799">
        <v>0</v>
      </c>
      <c r="O22799" t="s">
        <v>11969</v>
      </c>
    </row>
    <row r="22800" spans="1:15">
      <c r="A22800" t="s">
        <v>64565</v>
      </c>
      <c r="B22800" t="s">
        <v>28619</v>
      </c>
      <c r="C22800" t="s">
        <v>28619</v>
      </c>
      <c r="D22800" t="s">
        <v>64566</v>
      </c>
      <c r="E22800" t="b">
        <v>0</v>
      </c>
      <c r="F22800" t="s">
        <v>11624</v>
      </c>
      <c r="G22800">
        <v>-18.652899999999999</v>
      </c>
      <c r="H22800">
        <v>137.608</v>
      </c>
      <c r="I22800" t="s">
        <v>64567</v>
      </c>
      <c r="L22800">
        <v>0</v>
      </c>
      <c r="M22800">
        <v>0</v>
      </c>
      <c r="N22800">
        <v>0</v>
      </c>
      <c r="O22800" t="s">
        <v>12107</v>
      </c>
    </row>
    <row r="22801" spans="1:15">
      <c r="A22801" t="s">
        <v>64568</v>
      </c>
      <c r="B22801" t="s">
        <v>5126</v>
      </c>
      <c r="C22801" t="s">
        <v>53932</v>
      </c>
      <c r="D22801" t="s">
        <v>64569</v>
      </c>
      <c r="E22801" t="b">
        <v>0</v>
      </c>
      <c r="F22801" t="s">
        <v>11610</v>
      </c>
      <c r="L22801">
        <v>0</v>
      </c>
      <c r="M22801">
        <v>0</v>
      </c>
      <c r="N22801">
        <v>0</v>
      </c>
    </row>
    <row r="22802" spans="1:15">
      <c r="A22802" t="s">
        <v>64570</v>
      </c>
      <c r="B22802" t="s">
        <v>13276</v>
      </c>
      <c r="C22802" t="s">
        <v>18988</v>
      </c>
      <c r="D22802" t="s">
        <v>64571</v>
      </c>
      <c r="E22802" t="b">
        <v>0</v>
      </c>
      <c r="F22802" t="s">
        <v>11610</v>
      </c>
      <c r="L22802">
        <v>0</v>
      </c>
      <c r="M22802">
        <v>0</v>
      </c>
      <c r="N22802">
        <v>0</v>
      </c>
    </row>
    <row r="22803" spans="1:15">
      <c r="A22803" t="s">
        <v>64572</v>
      </c>
      <c r="B22803" t="s">
        <v>11615</v>
      </c>
      <c r="C22803" t="s">
        <v>13800</v>
      </c>
      <c r="D22803" t="s">
        <v>64573</v>
      </c>
      <c r="E22803" t="b">
        <v>0</v>
      </c>
      <c r="F22803" t="s">
        <v>11610</v>
      </c>
      <c r="L22803">
        <v>0</v>
      </c>
      <c r="M22803">
        <v>0</v>
      </c>
      <c r="N22803">
        <v>0</v>
      </c>
    </row>
    <row r="22804" spans="1:15">
      <c r="A22804" t="s">
        <v>9671</v>
      </c>
      <c r="D22804" t="s">
        <v>9670</v>
      </c>
      <c r="E22804" t="b">
        <v>0</v>
      </c>
      <c r="F22804" t="s">
        <v>11624</v>
      </c>
      <c r="G22804">
        <v>-1.1231199999999999</v>
      </c>
      <c r="H22804">
        <v>-76.683000000000007</v>
      </c>
      <c r="I22804" t="s">
        <v>9672</v>
      </c>
      <c r="L22804">
        <v>0</v>
      </c>
      <c r="M22804">
        <v>0</v>
      </c>
      <c r="N22804">
        <v>0</v>
      </c>
      <c r="O22804" t="s">
        <v>14946</v>
      </c>
    </row>
    <row r="22805" spans="1:15">
      <c r="A22805" t="s">
        <v>64574</v>
      </c>
      <c r="B22805" t="s">
        <v>6742</v>
      </c>
      <c r="C22805" t="s">
        <v>31402</v>
      </c>
      <c r="D22805" t="s">
        <v>64575</v>
      </c>
      <c r="E22805" t="b">
        <v>0</v>
      </c>
      <c r="F22805" t="s">
        <v>11624</v>
      </c>
      <c r="G22805">
        <v>7.9786200000000003</v>
      </c>
      <c r="H22805">
        <v>9.8329900000000006</v>
      </c>
      <c r="I22805" t="s">
        <v>64576</v>
      </c>
      <c r="L22805">
        <v>0</v>
      </c>
      <c r="M22805">
        <v>0</v>
      </c>
      <c r="N22805">
        <v>1</v>
      </c>
      <c r="O22805" t="s">
        <v>11693</v>
      </c>
    </row>
    <row r="22806" spans="1:15">
      <c r="A22806" t="s">
        <v>64577</v>
      </c>
      <c r="B22806" t="s">
        <v>6742</v>
      </c>
      <c r="C22806" t="s">
        <v>31402</v>
      </c>
      <c r="D22806" t="s">
        <v>64578</v>
      </c>
      <c r="E22806" t="b">
        <v>0</v>
      </c>
      <c r="F22806" t="s">
        <v>11624</v>
      </c>
      <c r="G22806">
        <v>9.1082900000000002</v>
      </c>
      <c r="H22806">
        <v>9.90381</v>
      </c>
      <c r="I22806" t="s">
        <v>64579</v>
      </c>
      <c r="L22806">
        <v>0</v>
      </c>
      <c r="M22806">
        <v>0</v>
      </c>
      <c r="N22806">
        <v>0</v>
      </c>
      <c r="O22806" t="s">
        <v>11693</v>
      </c>
    </row>
    <row r="22807" spans="1:15">
      <c r="A22807" t="s">
        <v>64580</v>
      </c>
      <c r="B22807" t="s">
        <v>11834</v>
      </c>
      <c r="C22807" t="s">
        <v>8867</v>
      </c>
      <c r="D22807" t="s">
        <v>64581</v>
      </c>
      <c r="E22807" t="b">
        <v>0</v>
      </c>
      <c r="F22807" t="s">
        <v>11610</v>
      </c>
      <c r="L22807">
        <v>0</v>
      </c>
      <c r="M22807">
        <v>0</v>
      </c>
      <c r="N22807">
        <v>0</v>
      </c>
    </row>
    <row r="22808" spans="1:15">
      <c r="A22808" t="s">
        <v>15062</v>
      </c>
      <c r="B22808" t="s">
        <v>11894</v>
      </c>
      <c r="C22808" t="s">
        <v>14655</v>
      </c>
      <c r="D22808" t="s">
        <v>64582</v>
      </c>
      <c r="E22808" t="b">
        <v>0</v>
      </c>
      <c r="F22808" t="s">
        <v>11622</v>
      </c>
      <c r="L22808">
        <v>0</v>
      </c>
      <c r="M22808">
        <v>4</v>
      </c>
      <c r="N22808">
        <v>2</v>
      </c>
    </row>
    <row r="22809" spans="1:15">
      <c r="A22809" t="s">
        <v>13299</v>
      </c>
      <c r="B22809" t="s">
        <v>11894</v>
      </c>
      <c r="C22809" t="s">
        <v>15062</v>
      </c>
      <c r="D22809" t="s">
        <v>64583</v>
      </c>
      <c r="E22809" t="b">
        <v>0</v>
      </c>
      <c r="F22809" t="s">
        <v>11624</v>
      </c>
      <c r="G22809">
        <v>2.58744</v>
      </c>
      <c r="H22809">
        <v>-59.802100000000003</v>
      </c>
      <c r="I22809" t="s">
        <v>64584</v>
      </c>
      <c r="L22809">
        <v>0</v>
      </c>
      <c r="M22809">
        <v>0</v>
      </c>
      <c r="N22809">
        <v>2</v>
      </c>
      <c r="O22809" t="s">
        <v>15065</v>
      </c>
    </row>
    <row r="22810" spans="1:15">
      <c r="A22810" t="s">
        <v>64585</v>
      </c>
      <c r="B22810" t="s">
        <v>64586</v>
      </c>
      <c r="C22810" t="s">
        <v>64586</v>
      </c>
      <c r="D22810" t="s">
        <v>64587</v>
      </c>
      <c r="E22810" t="b">
        <v>0</v>
      </c>
      <c r="F22810" t="s">
        <v>11624</v>
      </c>
      <c r="G22810">
        <v>38.25</v>
      </c>
      <c r="H22810">
        <v>-122.5</v>
      </c>
      <c r="I22810" t="s">
        <v>64588</v>
      </c>
      <c r="L22810">
        <v>0</v>
      </c>
      <c r="M22810">
        <v>0</v>
      </c>
      <c r="N22810">
        <v>0</v>
      </c>
      <c r="O22810" t="s">
        <v>11944</v>
      </c>
    </row>
    <row r="22811" spans="1:15">
      <c r="A22811" t="s">
        <v>64589</v>
      </c>
      <c r="B22811" t="s">
        <v>11615</v>
      </c>
      <c r="C22811" t="s">
        <v>16438</v>
      </c>
      <c r="D22811" t="s">
        <v>64590</v>
      </c>
      <c r="E22811" t="b">
        <v>0</v>
      </c>
      <c r="F22811" t="s">
        <v>11610</v>
      </c>
      <c r="L22811">
        <v>0</v>
      </c>
      <c r="M22811">
        <v>0</v>
      </c>
      <c r="N22811">
        <v>0</v>
      </c>
    </row>
    <row r="22812" spans="1:15">
      <c r="A22812" t="s">
        <v>64591</v>
      </c>
      <c r="B22812" t="s">
        <v>367</v>
      </c>
      <c r="C22812" t="s">
        <v>48721</v>
      </c>
      <c r="D22812" t="s">
        <v>64592</v>
      </c>
      <c r="E22812" t="b">
        <v>0</v>
      </c>
      <c r="F22812" t="s">
        <v>11610</v>
      </c>
      <c r="L22812">
        <v>0</v>
      </c>
      <c r="M22812">
        <v>0</v>
      </c>
      <c r="N22812">
        <v>0</v>
      </c>
    </row>
    <row r="22813" spans="1:15">
      <c r="A22813" t="s">
        <v>64593</v>
      </c>
      <c r="B22813" t="s">
        <v>9897</v>
      </c>
      <c r="C22813" t="s">
        <v>63155</v>
      </c>
      <c r="D22813" t="s">
        <v>64594</v>
      </c>
      <c r="E22813" t="b">
        <v>0</v>
      </c>
      <c r="F22813" t="s">
        <v>11624</v>
      </c>
      <c r="G22813">
        <v>-13.094099999999999</v>
      </c>
      <c r="H22813">
        <v>131.23599999999999</v>
      </c>
      <c r="I22813" t="s">
        <v>64595</v>
      </c>
      <c r="L22813">
        <v>0</v>
      </c>
      <c r="M22813">
        <v>0</v>
      </c>
      <c r="N22813">
        <v>0</v>
      </c>
      <c r="O22813" t="s">
        <v>12107</v>
      </c>
    </row>
    <row r="22814" spans="1:15">
      <c r="A22814" t="s">
        <v>27708</v>
      </c>
      <c r="B22814" t="s">
        <v>6742</v>
      </c>
      <c r="C22814" t="s">
        <v>46631</v>
      </c>
      <c r="D22814" t="s">
        <v>64596</v>
      </c>
      <c r="E22814" t="b">
        <v>0</v>
      </c>
      <c r="F22814" t="s">
        <v>11624</v>
      </c>
      <c r="G22814">
        <v>10.728300000000001</v>
      </c>
      <c r="H22814">
        <v>-5.3751499999999997</v>
      </c>
      <c r="I22814" t="s">
        <v>64597</v>
      </c>
      <c r="L22814">
        <v>0</v>
      </c>
      <c r="M22814">
        <v>0</v>
      </c>
      <c r="N22814">
        <v>4</v>
      </c>
      <c r="O22814" t="s">
        <v>19384</v>
      </c>
    </row>
    <row r="22815" spans="1:15">
      <c r="A22815" t="s">
        <v>38281</v>
      </c>
      <c r="B22815" t="s">
        <v>14005</v>
      </c>
      <c r="C22815" t="s">
        <v>14300</v>
      </c>
      <c r="D22815" t="s">
        <v>64598</v>
      </c>
      <c r="E22815" t="b">
        <v>0</v>
      </c>
      <c r="F22815" t="s">
        <v>11622</v>
      </c>
      <c r="L22815">
        <v>0</v>
      </c>
      <c r="M22815">
        <v>2</v>
      </c>
      <c r="N22815">
        <v>5</v>
      </c>
    </row>
    <row r="22816" spans="1:15">
      <c r="A22816" t="s">
        <v>14006</v>
      </c>
      <c r="B22816" t="s">
        <v>14005</v>
      </c>
      <c r="C22816" t="s">
        <v>38281</v>
      </c>
      <c r="D22816" t="s">
        <v>64599</v>
      </c>
      <c r="E22816" t="b">
        <v>0</v>
      </c>
      <c r="F22816" t="s">
        <v>11624</v>
      </c>
      <c r="G22816">
        <v>-8.6491699999999998</v>
      </c>
      <c r="H22816">
        <v>141.52000000000001</v>
      </c>
      <c r="I22816" t="s">
        <v>64600</v>
      </c>
      <c r="L22816">
        <v>0</v>
      </c>
      <c r="M22816">
        <v>0</v>
      </c>
      <c r="N22816">
        <v>5</v>
      </c>
      <c r="O22816" t="s">
        <v>11660</v>
      </c>
    </row>
    <row r="22817" spans="1:15">
      <c r="A22817" t="s">
        <v>64601</v>
      </c>
      <c r="B22817" t="s">
        <v>14005</v>
      </c>
      <c r="C22817" t="s">
        <v>14006</v>
      </c>
      <c r="D22817" t="s">
        <v>64602</v>
      </c>
      <c r="E22817" t="b">
        <v>0</v>
      </c>
      <c r="F22817" t="s">
        <v>11610</v>
      </c>
      <c r="L22817">
        <v>0</v>
      </c>
      <c r="M22817">
        <v>0</v>
      </c>
      <c r="N22817">
        <v>0</v>
      </c>
    </row>
    <row r="22818" spans="1:15">
      <c r="A22818" t="s">
        <v>64603</v>
      </c>
      <c r="B22818" t="s">
        <v>367</v>
      </c>
      <c r="C22818" t="s">
        <v>42878</v>
      </c>
      <c r="D22818" t="s">
        <v>64604</v>
      </c>
      <c r="E22818" t="b">
        <v>0</v>
      </c>
      <c r="F22818" t="s">
        <v>11610</v>
      </c>
      <c r="L22818">
        <v>0</v>
      </c>
      <c r="M22818">
        <v>0</v>
      </c>
      <c r="N22818">
        <v>0</v>
      </c>
    </row>
    <row r="22819" spans="1:15">
      <c r="A22819" t="s">
        <v>64605</v>
      </c>
      <c r="B22819" t="s">
        <v>367</v>
      </c>
      <c r="C22819" t="s">
        <v>40522</v>
      </c>
      <c r="D22819" t="s">
        <v>64606</v>
      </c>
      <c r="E22819" t="b">
        <v>0</v>
      </c>
      <c r="F22819" t="s">
        <v>11610</v>
      </c>
      <c r="L22819">
        <v>0</v>
      </c>
      <c r="M22819">
        <v>0</v>
      </c>
      <c r="N22819">
        <v>0</v>
      </c>
    </row>
    <row r="22820" spans="1:15">
      <c r="A22820" t="s">
        <v>64607</v>
      </c>
      <c r="B22820" t="s">
        <v>367</v>
      </c>
      <c r="C22820" t="s">
        <v>55316</v>
      </c>
      <c r="D22820" t="s">
        <v>64608</v>
      </c>
      <c r="E22820" t="b">
        <v>0</v>
      </c>
      <c r="F22820" t="s">
        <v>11624</v>
      </c>
      <c r="G22820">
        <v>12.679500000000001</v>
      </c>
      <c r="H22820">
        <v>124.015</v>
      </c>
      <c r="I22820" t="s">
        <v>64609</v>
      </c>
      <c r="L22820">
        <v>0</v>
      </c>
      <c r="M22820">
        <v>0</v>
      </c>
      <c r="N22820">
        <v>0</v>
      </c>
      <c r="O22820" t="s">
        <v>11749</v>
      </c>
    </row>
    <row r="22821" spans="1:15">
      <c r="A22821" t="s">
        <v>48721</v>
      </c>
      <c r="B22821" t="s">
        <v>367</v>
      </c>
      <c r="C22821" t="s">
        <v>17563</v>
      </c>
      <c r="D22821" t="s">
        <v>64610</v>
      </c>
      <c r="E22821" t="b">
        <v>0</v>
      </c>
      <c r="F22821" t="s">
        <v>11624</v>
      </c>
      <c r="G22821">
        <v>11.491099999999999</v>
      </c>
      <c r="H22821">
        <v>125.012</v>
      </c>
      <c r="I22821" t="s">
        <v>64611</v>
      </c>
      <c r="L22821">
        <v>0</v>
      </c>
      <c r="M22821">
        <v>0</v>
      </c>
      <c r="N22821">
        <v>3</v>
      </c>
      <c r="O22821" t="s">
        <v>11749</v>
      </c>
    </row>
    <row r="22822" spans="1:15">
      <c r="A22822" t="s">
        <v>64612</v>
      </c>
      <c r="B22822" t="s">
        <v>15162</v>
      </c>
      <c r="C22822" t="s">
        <v>15163</v>
      </c>
      <c r="D22822" t="s">
        <v>64613</v>
      </c>
      <c r="E22822" t="b">
        <v>0</v>
      </c>
      <c r="F22822" t="s">
        <v>11610</v>
      </c>
      <c r="L22822">
        <v>0</v>
      </c>
      <c r="M22822">
        <v>0</v>
      </c>
      <c r="N22822">
        <v>0</v>
      </c>
    </row>
    <row r="22823" spans="1:15">
      <c r="A22823" t="s">
        <v>16987</v>
      </c>
      <c r="B22823" t="s">
        <v>16986</v>
      </c>
      <c r="C22823" t="s">
        <v>19764</v>
      </c>
      <c r="D22823" t="s">
        <v>64614</v>
      </c>
      <c r="E22823" t="b">
        <v>0</v>
      </c>
      <c r="F22823" t="s">
        <v>11624</v>
      </c>
      <c r="G22823">
        <v>-3.0726300000000002</v>
      </c>
      <c r="H22823">
        <v>142.012</v>
      </c>
      <c r="I22823" t="s">
        <v>64615</v>
      </c>
      <c r="L22823">
        <v>0</v>
      </c>
      <c r="M22823">
        <v>0</v>
      </c>
      <c r="N22823">
        <v>2</v>
      </c>
      <c r="O22823" t="s">
        <v>11660</v>
      </c>
    </row>
    <row r="22824" spans="1:15">
      <c r="A22824" t="s">
        <v>954</v>
      </c>
      <c r="D22824" t="s">
        <v>953</v>
      </c>
      <c r="E22824" t="b">
        <v>0</v>
      </c>
      <c r="F22824" t="s">
        <v>11624</v>
      </c>
      <c r="G22824">
        <v>7.5085100000000002</v>
      </c>
      <c r="H22824">
        <v>-59.352800000000002</v>
      </c>
      <c r="I22824" t="s">
        <v>955</v>
      </c>
      <c r="L22824">
        <v>0</v>
      </c>
      <c r="M22824">
        <v>0</v>
      </c>
      <c r="N22824">
        <v>0</v>
      </c>
      <c r="O22824" t="s">
        <v>64616</v>
      </c>
    </row>
    <row r="22825" spans="1:15">
      <c r="A22825" t="s">
        <v>55316</v>
      </c>
      <c r="B22825" t="s">
        <v>367</v>
      </c>
      <c r="C22825" t="s">
        <v>21848</v>
      </c>
      <c r="D22825" t="s">
        <v>64617</v>
      </c>
      <c r="E22825" t="b">
        <v>0</v>
      </c>
      <c r="F22825" t="s">
        <v>11622</v>
      </c>
      <c r="L22825">
        <v>1</v>
      </c>
      <c r="M22825">
        <v>4</v>
      </c>
      <c r="N22825">
        <v>3</v>
      </c>
    </row>
    <row r="22826" spans="1:15">
      <c r="A22826" t="s">
        <v>52595</v>
      </c>
      <c r="B22826" t="s">
        <v>11912</v>
      </c>
      <c r="C22826" t="s">
        <v>29858</v>
      </c>
      <c r="D22826" t="s">
        <v>64618</v>
      </c>
      <c r="E22826" t="b">
        <v>0</v>
      </c>
      <c r="F22826" t="s">
        <v>11622</v>
      </c>
      <c r="L22826">
        <v>1</v>
      </c>
      <c r="M22826">
        <v>4</v>
      </c>
      <c r="N22826">
        <v>0</v>
      </c>
    </row>
    <row r="22827" spans="1:15">
      <c r="A22827" t="s">
        <v>64619</v>
      </c>
      <c r="B22827" t="s">
        <v>11627</v>
      </c>
      <c r="C22827" t="s">
        <v>11627</v>
      </c>
      <c r="D22827" t="s">
        <v>64620</v>
      </c>
      <c r="E22827" t="b">
        <v>1</v>
      </c>
      <c r="F22827" t="s">
        <v>11624</v>
      </c>
      <c r="G22827">
        <v>36.6083</v>
      </c>
      <c r="H22827">
        <v>71.147499999999994</v>
      </c>
      <c r="I22827" t="s">
        <v>64621</v>
      </c>
      <c r="L22827">
        <v>0</v>
      </c>
      <c r="M22827">
        <v>0</v>
      </c>
      <c r="N22827">
        <v>0</v>
      </c>
      <c r="O22827" t="s">
        <v>12131</v>
      </c>
    </row>
    <row r="22828" spans="1:15">
      <c r="A22828" t="s">
        <v>64622</v>
      </c>
      <c r="B22828" t="s">
        <v>23837</v>
      </c>
      <c r="C22828" t="s">
        <v>23837</v>
      </c>
      <c r="D22828" t="s">
        <v>64623</v>
      </c>
      <c r="E22828" t="b">
        <v>0</v>
      </c>
      <c r="F22828" t="s">
        <v>11624</v>
      </c>
      <c r="G22828">
        <v>-15.4155</v>
      </c>
      <c r="H22828">
        <v>132.60400000000001</v>
      </c>
      <c r="I22828" t="s">
        <v>64624</v>
      </c>
      <c r="L22828">
        <v>0</v>
      </c>
      <c r="M22828">
        <v>0</v>
      </c>
      <c r="N22828">
        <v>0</v>
      </c>
      <c r="O22828" t="s">
        <v>12107</v>
      </c>
    </row>
    <row r="22829" spans="1:15">
      <c r="A22829" t="s">
        <v>64625</v>
      </c>
      <c r="B22829" t="s">
        <v>367</v>
      </c>
      <c r="C22829" t="s">
        <v>14563</v>
      </c>
      <c r="D22829" t="s">
        <v>64626</v>
      </c>
      <c r="E22829" t="b">
        <v>0</v>
      </c>
      <c r="F22829" t="s">
        <v>11610</v>
      </c>
      <c r="L22829">
        <v>0</v>
      </c>
      <c r="M22829">
        <v>0</v>
      </c>
      <c r="N22829">
        <v>0</v>
      </c>
    </row>
    <row r="22830" spans="1:15">
      <c r="A22830" t="s">
        <v>64627</v>
      </c>
      <c r="B22830" t="s">
        <v>10597</v>
      </c>
      <c r="C22830" t="s">
        <v>18418</v>
      </c>
      <c r="D22830" t="s">
        <v>64628</v>
      </c>
      <c r="E22830" t="b">
        <v>0</v>
      </c>
      <c r="F22830" t="s">
        <v>11610</v>
      </c>
      <c r="I22830" t="s">
        <v>64629</v>
      </c>
      <c r="L22830">
        <v>0</v>
      </c>
      <c r="M22830">
        <v>0</v>
      </c>
      <c r="N22830">
        <v>0</v>
      </c>
      <c r="O22830" t="s">
        <v>12107</v>
      </c>
    </row>
    <row r="22831" spans="1:15">
      <c r="A22831" t="s">
        <v>64630</v>
      </c>
      <c r="B22831" t="s">
        <v>12241</v>
      </c>
      <c r="C22831" t="s">
        <v>15040</v>
      </c>
      <c r="D22831" t="s">
        <v>64631</v>
      </c>
      <c r="E22831" t="b">
        <v>0</v>
      </c>
      <c r="F22831" t="s">
        <v>11624</v>
      </c>
      <c r="I22831" t="s">
        <v>64632</v>
      </c>
      <c r="L22831">
        <v>0</v>
      </c>
      <c r="M22831">
        <v>0</v>
      </c>
      <c r="N22831">
        <v>0</v>
      </c>
      <c r="O22831" t="s">
        <v>11635</v>
      </c>
    </row>
    <row r="22832" spans="1:15">
      <c r="A22832" t="s">
        <v>64633</v>
      </c>
      <c r="B22832" t="s">
        <v>367</v>
      </c>
      <c r="C22832" t="s">
        <v>40908</v>
      </c>
      <c r="D22832" t="s">
        <v>64634</v>
      </c>
      <c r="E22832" t="b">
        <v>0</v>
      </c>
      <c r="F22832" t="s">
        <v>11624</v>
      </c>
      <c r="G22832">
        <v>-1.6594100000000001</v>
      </c>
      <c r="H22832">
        <v>137.566</v>
      </c>
      <c r="I22832" t="s">
        <v>64635</v>
      </c>
      <c r="L22832">
        <v>0</v>
      </c>
      <c r="M22832">
        <v>0</v>
      </c>
      <c r="N22832">
        <v>0</v>
      </c>
      <c r="O22832" t="s">
        <v>11768</v>
      </c>
    </row>
    <row r="22833" spans="1:15">
      <c r="A22833" t="s">
        <v>64636</v>
      </c>
      <c r="B22833" t="s">
        <v>12241</v>
      </c>
      <c r="C22833" t="s">
        <v>61919</v>
      </c>
      <c r="D22833" t="s">
        <v>64637</v>
      </c>
      <c r="E22833" t="b">
        <v>0</v>
      </c>
      <c r="F22833" t="s">
        <v>11624</v>
      </c>
      <c r="G22833">
        <v>-2.47357</v>
      </c>
      <c r="H22833">
        <v>139.33699999999999</v>
      </c>
      <c r="I22833" t="s">
        <v>64638</v>
      </c>
      <c r="L22833">
        <v>0</v>
      </c>
      <c r="M22833">
        <v>0</v>
      </c>
      <c r="N22833">
        <v>0</v>
      </c>
      <c r="O22833" t="s">
        <v>11768</v>
      </c>
    </row>
    <row r="22834" spans="1:15">
      <c r="A22834" t="s">
        <v>64639</v>
      </c>
      <c r="B22834" t="s">
        <v>11894</v>
      </c>
      <c r="C22834" t="s">
        <v>42496</v>
      </c>
      <c r="D22834" t="s">
        <v>64640</v>
      </c>
      <c r="E22834" t="b">
        <v>0</v>
      </c>
      <c r="F22834" t="s">
        <v>11624</v>
      </c>
      <c r="L22834">
        <v>0</v>
      </c>
      <c r="M22834">
        <v>0</v>
      </c>
      <c r="N22834">
        <v>0</v>
      </c>
      <c r="O22834" t="s">
        <v>11969</v>
      </c>
    </row>
    <row r="22835" spans="1:15">
      <c r="A22835" t="s">
        <v>42496</v>
      </c>
      <c r="B22835" t="s">
        <v>11894</v>
      </c>
      <c r="C22835" t="s">
        <v>16718</v>
      </c>
      <c r="D22835" t="s">
        <v>64641</v>
      </c>
      <c r="E22835" t="b">
        <v>0</v>
      </c>
      <c r="F22835" t="s">
        <v>11622</v>
      </c>
      <c r="L22835">
        <v>0</v>
      </c>
      <c r="M22835">
        <v>2</v>
      </c>
      <c r="N22835">
        <v>0</v>
      </c>
    </row>
    <row r="22836" spans="1:15">
      <c r="A22836" t="s">
        <v>64642</v>
      </c>
      <c r="B22836" t="s">
        <v>11894</v>
      </c>
      <c r="C22836" t="s">
        <v>16722</v>
      </c>
      <c r="D22836" t="s">
        <v>64643</v>
      </c>
      <c r="E22836" t="b">
        <v>0</v>
      </c>
      <c r="F22836" t="s">
        <v>11610</v>
      </c>
      <c r="L22836">
        <v>0</v>
      </c>
      <c r="M22836">
        <v>0</v>
      </c>
      <c r="N22836">
        <v>0</v>
      </c>
    </row>
    <row r="22837" spans="1:15">
      <c r="A22837" t="s">
        <v>64644</v>
      </c>
      <c r="B22837" t="s">
        <v>10597</v>
      </c>
      <c r="C22837" t="s">
        <v>24630</v>
      </c>
      <c r="D22837" t="s">
        <v>64645</v>
      </c>
      <c r="E22837" t="b">
        <v>0</v>
      </c>
      <c r="F22837" t="s">
        <v>11624</v>
      </c>
      <c r="G22837">
        <v>-24.353000000000002</v>
      </c>
      <c r="H22837">
        <v>116.92700000000001</v>
      </c>
      <c r="I22837" t="s">
        <v>64646</v>
      </c>
      <c r="L22837">
        <v>0</v>
      </c>
      <c r="M22837">
        <v>0</v>
      </c>
      <c r="N22837">
        <v>0</v>
      </c>
      <c r="O22837" t="s">
        <v>12107</v>
      </c>
    </row>
    <row r="22838" spans="1:15">
      <c r="A22838" t="s">
        <v>64647</v>
      </c>
      <c r="B22838" t="s">
        <v>367</v>
      </c>
      <c r="C22838" t="s">
        <v>14563</v>
      </c>
      <c r="D22838" t="s">
        <v>64648</v>
      </c>
      <c r="E22838" t="b">
        <v>0</v>
      </c>
      <c r="F22838" t="s">
        <v>11610</v>
      </c>
      <c r="L22838">
        <v>0</v>
      </c>
      <c r="M22838">
        <v>0</v>
      </c>
      <c r="N22838">
        <v>0</v>
      </c>
    </row>
    <row r="22839" spans="1:15">
      <c r="A22839" t="s">
        <v>64649</v>
      </c>
      <c r="B22839" t="s">
        <v>15365</v>
      </c>
      <c r="C22839" t="s">
        <v>25374</v>
      </c>
      <c r="D22839" t="s">
        <v>64650</v>
      </c>
      <c r="E22839" t="b">
        <v>0</v>
      </c>
      <c r="F22839" t="s">
        <v>11624</v>
      </c>
      <c r="G22839">
        <v>-3.23021</v>
      </c>
      <c r="H22839">
        <v>138.45599999999999</v>
      </c>
      <c r="I22839" t="s">
        <v>64651</v>
      </c>
      <c r="L22839">
        <v>0</v>
      </c>
      <c r="M22839">
        <v>0</v>
      </c>
      <c r="N22839">
        <v>0</v>
      </c>
      <c r="O22839" t="s">
        <v>11768</v>
      </c>
    </row>
    <row r="22840" spans="1:15">
      <c r="A22840" t="s">
        <v>13283</v>
      </c>
      <c r="B22840" t="s">
        <v>12532</v>
      </c>
      <c r="C22840" t="s">
        <v>12532</v>
      </c>
      <c r="D22840" t="s">
        <v>64652</v>
      </c>
      <c r="E22840" t="b">
        <v>0</v>
      </c>
      <c r="F22840" t="s">
        <v>11622</v>
      </c>
      <c r="L22840">
        <v>2</v>
      </c>
      <c r="M22840">
        <v>9</v>
      </c>
      <c r="N22840">
        <v>2</v>
      </c>
    </row>
    <row r="22841" spans="1:15">
      <c r="A22841" t="s">
        <v>64653</v>
      </c>
      <c r="B22841" t="s">
        <v>12532</v>
      </c>
      <c r="C22841" t="s">
        <v>15214</v>
      </c>
      <c r="D22841" t="s">
        <v>64654</v>
      </c>
      <c r="E22841" t="b">
        <v>0</v>
      </c>
      <c r="F22841" t="s">
        <v>11624</v>
      </c>
      <c r="G22841">
        <v>-3.1389999999999998</v>
      </c>
      <c r="H22841">
        <v>140.93100000000001</v>
      </c>
      <c r="I22841" t="s">
        <v>64655</v>
      </c>
      <c r="L22841">
        <v>0</v>
      </c>
      <c r="M22841">
        <v>0</v>
      </c>
      <c r="N22841">
        <v>0</v>
      </c>
      <c r="O22841" t="s">
        <v>24525</v>
      </c>
    </row>
    <row r="22842" spans="1:15">
      <c r="A22842" t="s">
        <v>51534</v>
      </c>
      <c r="B22842" t="s">
        <v>22306</v>
      </c>
      <c r="C22842" t="s">
        <v>64529</v>
      </c>
      <c r="D22842" t="s">
        <v>64656</v>
      </c>
      <c r="E22842" t="b">
        <v>0</v>
      </c>
      <c r="F22842" t="s">
        <v>11622</v>
      </c>
      <c r="L22842">
        <v>0</v>
      </c>
      <c r="M22842">
        <v>2</v>
      </c>
      <c r="N22842">
        <v>0</v>
      </c>
    </row>
    <row r="22843" spans="1:15">
      <c r="A22843" t="s">
        <v>64657</v>
      </c>
      <c r="B22843" t="s">
        <v>22306</v>
      </c>
      <c r="C22843" t="s">
        <v>51534</v>
      </c>
      <c r="D22843" t="s">
        <v>64658</v>
      </c>
      <c r="E22843" t="b">
        <v>0</v>
      </c>
      <c r="F22843" t="s">
        <v>11624</v>
      </c>
      <c r="G22843">
        <v>-10.699479999999999</v>
      </c>
      <c r="H22843">
        <v>-64.561520000000002</v>
      </c>
      <c r="I22843" t="s">
        <v>64659</v>
      </c>
      <c r="L22843">
        <v>0</v>
      </c>
      <c r="M22843">
        <v>0</v>
      </c>
      <c r="N22843">
        <v>0</v>
      </c>
      <c r="O22843" t="s">
        <v>11969</v>
      </c>
    </row>
    <row r="22844" spans="1:15">
      <c r="A22844" t="s">
        <v>63510</v>
      </c>
      <c r="B22844" t="s">
        <v>22306</v>
      </c>
      <c r="C22844" t="s">
        <v>45326</v>
      </c>
      <c r="D22844" t="s">
        <v>64660</v>
      </c>
      <c r="E22844" t="b">
        <v>0</v>
      </c>
      <c r="F22844" t="s">
        <v>11622</v>
      </c>
      <c r="L22844">
        <v>3</v>
      </c>
      <c r="M22844">
        <v>5</v>
      </c>
      <c r="N22844">
        <v>0</v>
      </c>
    </row>
    <row r="22845" spans="1:15">
      <c r="A22845" t="s">
        <v>24630</v>
      </c>
      <c r="B22845" t="s">
        <v>10597</v>
      </c>
      <c r="C22845" t="s">
        <v>25030</v>
      </c>
      <c r="D22845" t="s">
        <v>64661</v>
      </c>
      <c r="E22845" t="b">
        <v>0</v>
      </c>
      <c r="F22845" t="s">
        <v>11622</v>
      </c>
      <c r="L22845">
        <v>0</v>
      </c>
      <c r="M22845">
        <v>2</v>
      </c>
      <c r="N22845">
        <v>0</v>
      </c>
    </row>
    <row r="22846" spans="1:15">
      <c r="A22846" t="s">
        <v>49416</v>
      </c>
      <c r="B22846" t="s">
        <v>12438</v>
      </c>
      <c r="C22846" t="s">
        <v>36170</v>
      </c>
      <c r="D22846" t="s">
        <v>64662</v>
      </c>
      <c r="E22846" t="b">
        <v>0</v>
      </c>
      <c r="F22846" t="s">
        <v>11624</v>
      </c>
      <c r="G22846">
        <v>25.115400000000001</v>
      </c>
      <c r="H22846">
        <v>91.626599999999996</v>
      </c>
      <c r="I22846" t="s">
        <v>64663</v>
      </c>
      <c r="L22846">
        <v>0</v>
      </c>
      <c r="M22846">
        <v>0</v>
      </c>
      <c r="N22846">
        <v>2</v>
      </c>
      <c r="O22846" t="s">
        <v>15054</v>
      </c>
    </row>
    <row r="22847" spans="1:15">
      <c r="A22847" t="s">
        <v>64664</v>
      </c>
      <c r="B22847" t="s">
        <v>11607</v>
      </c>
      <c r="C22847" t="s">
        <v>35192</v>
      </c>
      <c r="D22847" t="s">
        <v>64665</v>
      </c>
      <c r="E22847" t="b">
        <v>0</v>
      </c>
      <c r="F22847" t="s">
        <v>11624</v>
      </c>
      <c r="G22847">
        <v>11.171799999999999</v>
      </c>
      <c r="H22847">
        <v>9.5692500000000003</v>
      </c>
      <c r="I22847" t="s">
        <v>64666</v>
      </c>
      <c r="L22847">
        <v>0</v>
      </c>
      <c r="M22847">
        <v>0</v>
      </c>
      <c r="N22847">
        <v>0</v>
      </c>
      <c r="O22847" t="s">
        <v>11693</v>
      </c>
    </row>
    <row r="22848" spans="1:15">
      <c r="A22848" t="s">
        <v>35192</v>
      </c>
      <c r="B22848" t="s">
        <v>11607</v>
      </c>
      <c r="C22848" t="s">
        <v>12615</v>
      </c>
      <c r="D22848" t="s">
        <v>64667</v>
      </c>
      <c r="E22848" t="b">
        <v>0</v>
      </c>
      <c r="F22848" t="s">
        <v>11622</v>
      </c>
      <c r="L22848">
        <v>0</v>
      </c>
      <c r="M22848">
        <v>3</v>
      </c>
      <c r="N22848">
        <v>5</v>
      </c>
    </row>
    <row r="22849" spans="1:15">
      <c r="A22849" t="s">
        <v>64668</v>
      </c>
      <c r="B22849" t="s">
        <v>12438</v>
      </c>
      <c r="C22849" t="s">
        <v>49416</v>
      </c>
      <c r="D22849" t="s">
        <v>64669</v>
      </c>
      <c r="E22849" t="b">
        <v>0</v>
      </c>
      <c r="F22849" t="s">
        <v>11610</v>
      </c>
      <c r="L22849">
        <v>0</v>
      </c>
      <c r="M22849">
        <v>0</v>
      </c>
      <c r="N22849">
        <v>0</v>
      </c>
    </row>
    <row r="22850" spans="1:15">
      <c r="A22850" t="s">
        <v>64670</v>
      </c>
      <c r="B22850" t="s">
        <v>11794</v>
      </c>
      <c r="C22850" t="s">
        <v>64671</v>
      </c>
      <c r="D22850" t="s">
        <v>64672</v>
      </c>
      <c r="E22850" t="b">
        <v>0</v>
      </c>
      <c r="F22850" t="s">
        <v>11624</v>
      </c>
      <c r="G22850">
        <v>-5.7716000000000003</v>
      </c>
      <c r="H22850">
        <v>138.63800000000001</v>
      </c>
      <c r="I22850" t="s">
        <v>64673</v>
      </c>
      <c r="L22850">
        <v>0</v>
      </c>
      <c r="M22850">
        <v>0</v>
      </c>
      <c r="N22850">
        <v>0</v>
      </c>
      <c r="O22850" t="s">
        <v>11768</v>
      </c>
    </row>
    <row r="22851" spans="1:15">
      <c r="A22851" t="s">
        <v>402</v>
      </c>
      <c r="B22851" t="s">
        <v>10597</v>
      </c>
      <c r="C22851" t="s">
        <v>47265</v>
      </c>
      <c r="D22851" t="s">
        <v>64674</v>
      </c>
      <c r="E22851" t="b">
        <v>0</v>
      </c>
      <c r="F22851" t="s">
        <v>11624</v>
      </c>
      <c r="G22851">
        <v>-20.1008</v>
      </c>
      <c r="H22851">
        <v>131.05000000000001</v>
      </c>
      <c r="I22851" t="s">
        <v>403</v>
      </c>
      <c r="L22851">
        <v>0</v>
      </c>
      <c r="M22851">
        <v>0</v>
      </c>
      <c r="N22851">
        <v>7</v>
      </c>
      <c r="O22851" t="s">
        <v>12107</v>
      </c>
    </row>
    <row r="22852" spans="1:15">
      <c r="A22852" t="s">
        <v>64675</v>
      </c>
      <c r="B22852" t="s">
        <v>10597</v>
      </c>
      <c r="C22852" t="s">
        <v>47265</v>
      </c>
      <c r="D22852" t="s">
        <v>64676</v>
      </c>
      <c r="E22852" t="b">
        <v>0</v>
      </c>
      <c r="F22852" t="s">
        <v>11624</v>
      </c>
      <c r="G22852">
        <v>-18.949000000000002</v>
      </c>
      <c r="H22852">
        <v>133.86199999999999</v>
      </c>
      <c r="I22852" t="s">
        <v>64677</v>
      </c>
      <c r="L22852">
        <v>0</v>
      </c>
      <c r="M22852">
        <v>0</v>
      </c>
      <c r="N22852">
        <v>0</v>
      </c>
      <c r="O22852" t="s">
        <v>12107</v>
      </c>
    </row>
    <row r="22853" spans="1:15">
      <c r="A22853" t="s">
        <v>64678</v>
      </c>
      <c r="B22853" t="s">
        <v>10597</v>
      </c>
      <c r="C22853" t="s">
        <v>20205</v>
      </c>
      <c r="D22853" t="s">
        <v>64679</v>
      </c>
      <c r="E22853" t="b">
        <v>0</v>
      </c>
      <c r="F22853" t="s">
        <v>11624</v>
      </c>
      <c r="G22853">
        <v>-22.290900000000001</v>
      </c>
      <c r="H22853">
        <v>138.738</v>
      </c>
      <c r="I22853" t="s">
        <v>64680</v>
      </c>
      <c r="L22853">
        <v>0</v>
      </c>
      <c r="M22853">
        <v>0</v>
      </c>
      <c r="N22853">
        <v>0</v>
      </c>
      <c r="O22853" t="s">
        <v>12107</v>
      </c>
    </row>
    <row r="22854" spans="1:15">
      <c r="A22854" t="s">
        <v>40099</v>
      </c>
      <c r="B22854" t="s">
        <v>12204</v>
      </c>
      <c r="C22854" t="s">
        <v>12204</v>
      </c>
      <c r="D22854" t="s">
        <v>64681</v>
      </c>
      <c r="E22854" t="b">
        <v>0</v>
      </c>
      <c r="F22854" t="s">
        <v>11622</v>
      </c>
      <c r="L22854">
        <v>0</v>
      </c>
      <c r="M22854">
        <v>1</v>
      </c>
      <c r="N22854">
        <v>0</v>
      </c>
    </row>
    <row r="22855" spans="1:15">
      <c r="A22855" t="s">
        <v>64682</v>
      </c>
      <c r="B22855" t="s">
        <v>11637</v>
      </c>
      <c r="C22855" t="s">
        <v>4401</v>
      </c>
      <c r="D22855" t="s">
        <v>64683</v>
      </c>
      <c r="E22855" t="b">
        <v>0</v>
      </c>
      <c r="F22855" t="s">
        <v>11610</v>
      </c>
      <c r="L22855">
        <v>0</v>
      </c>
      <c r="M22855">
        <v>0</v>
      </c>
      <c r="N22855">
        <v>0</v>
      </c>
    </row>
    <row r="22856" spans="1:15">
      <c r="A22856" t="s">
        <v>64684</v>
      </c>
      <c r="B22856" t="s">
        <v>6742</v>
      </c>
      <c r="C22856" t="s">
        <v>41022</v>
      </c>
      <c r="D22856" t="s">
        <v>64685</v>
      </c>
      <c r="E22856" t="b">
        <v>0</v>
      </c>
      <c r="F22856" t="s">
        <v>11610</v>
      </c>
      <c r="L22856">
        <v>0</v>
      </c>
      <c r="M22856">
        <v>0</v>
      </c>
      <c r="N22856">
        <v>0</v>
      </c>
    </row>
    <row r="22857" spans="1:15">
      <c r="A22857" t="s">
        <v>64686</v>
      </c>
      <c r="B22857" t="s">
        <v>21516</v>
      </c>
      <c r="C22857" t="s">
        <v>26140</v>
      </c>
      <c r="D22857" t="s">
        <v>64687</v>
      </c>
      <c r="E22857" t="b">
        <v>0</v>
      </c>
      <c r="F22857" t="s">
        <v>11624</v>
      </c>
      <c r="G22857">
        <v>10.593999999999999</v>
      </c>
      <c r="H22857">
        <v>31.157399999999999</v>
      </c>
      <c r="I22857" t="s">
        <v>64688</v>
      </c>
      <c r="L22857">
        <v>0</v>
      </c>
      <c r="M22857">
        <v>0</v>
      </c>
      <c r="N22857">
        <v>0</v>
      </c>
      <c r="O22857" t="s">
        <v>11910</v>
      </c>
    </row>
    <row r="22858" spans="1:15">
      <c r="A22858" t="s">
        <v>43117</v>
      </c>
      <c r="B22858" t="s">
        <v>10597</v>
      </c>
      <c r="C22858" t="s">
        <v>43120</v>
      </c>
      <c r="D22858" t="s">
        <v>64689</v>
      </c>
      <c r="E22858" t="b">
        <v>0</v>
      </c>
      <c r="F22858" t="s">
        <v>11622</v>
      </c>
      <c r="L22858">
        <v>0</v>
      </c>
      <c r="M22858">
        <v>2</v>
      </c>
      <c r="N22858">
        <v>5</v>
      </c>
    </row>
    <row r="22859" spans="1:15">
      <c r="A22859" t="s">
        <v>45274</v>
      </c>
      <c r="B22859" t="s">
        <v>367</v>
      </c>
      <c r="C22859" t="s">
        <v>19355</v>
      </c>
      <c r="D22859" t="s">
        <v>64690</v>
      </c>
      <c r="E22859" t="b">
        <v>0</v>
      </c>
      <c r="F22859" t="s">
        <v>11624</v>
      </c>
      <c r="G22859">
        <v>-2.31142</v>
      </c>
      <c r="H22859">
        <v>136.63300000000001</v>
      </c>
      <c r="I22859" t="s">
        <v>64691</v>
      </c>
      <c r="L22859">
        <v>0</v>
      </c>
      <c r="M22859">
        <v>0</v>
      </c>
      <c r="N22859">
        <v>3</v>
      </c>
      <c r="O22859" t="s">
        <v>11768</v>
      </c>
    </row>
    <row r="22860" spans="1:15">
      <c r="A22860" t="s">
        <v>64692</v>
      </c>
      <c r="B22860" t="s">
        <v>367</v>
      </c>
      <c r="C22860" t="s">
        <v>45274</v>
      </c>
      <c r="D22860" t="s">
        <v>64693</v>
      </c>
      <c r="E22860" t="b">
        <v>0</v>
      </c>
      <c r="F22860" t="s">
        <v>11610</v>
      </c>
      <c r="L22860">
        <v>0</v>
      </c>
      <c r="M22860">
        <v>0</v>
      </c>
      <c r="N22860">
        <v>0</v>
      </c>
    </row>
    <row r="22861" spans="1:15">
      <c r="A22861" t="s">
        <v>64694</v>
      </c>
      <c r="B22861" t="s">
        <v>10597</v>
      </c>
      <c r="C22861" t="s">
        <v>10597</v>
      </c>
      <c r="D22861" t="s">
        <v>64695</v>
      </c>
      <c r="E22861" t="b">
        <v>0</v>
      </c>
      <c r="F22861" t="s">
        <v>11624</v>
      </c>
      <c r="G22861">
        <v>-18.546800000000001</v>
      </c>
      <c r="H22861">
        <v>146.179</v>
      </c>
      <c r="I22861" t="s">
        <v>64696</v>
      </c>
      <c r="L22861">
        <v>0</v>
      </c>
      <c r="M22861">
        <v>0</v>
      </c>
      <c r="N22861">
        <v>0</v>
      </c>
      <c r="O22861" t="s">
        <v>12107</v>
      </c>
    </row>
    <row r="22862" spans="1:15">
      <c r="A22862" t="s">
        <v>20368</v>
      </c>
      <c r="B22862" t="s">
        <v>10597</v>
      </c>
      <c r="C22862" t="s">
        <v>38094</v>
      </c>
      <c r="D22862" t="s">
        <v>64697</v>
      </c>
      <c r="E22862" t="b">
        <v>0</v>
      </c>
      <c r="F22862" t="s">
        <v>11622</v>
      </c>
      <c r="L22862">
        <v>0</v>
      </c>
      <c r="M22862">
        <v>2</v>
      </c>
      <c r="N22862">
        <v>4</v>
      </c>
    </row>
    <row r="22863" spans="1:15">
      <c r="A22863" t="s">
        <v>30142</v>
      </c>
      <c r="B22863" t="s">
        <v>10597</v>
      </c>
      <c r="C22863" t="s">
        <v>20368</v>
      </c>
      <c r="D22863" t="s">
        <v>64698</v>
      </c>
      <c r="E22863" t="b">
        <v>0</v>
      </c>
      <c r="F22863" t="s">
        <v>11624</v>
      </c>
      <c r="G22863">
        <v>-38.344999999999999</v>
      </c>
      <c r="H22863">
        <v>142.46080000000001</v>
      </c>
      <c r="I22863" t="s">
        <v>64699</v>
      </c>
      <c r="L22863">
        <v>0</v>
      </c>
      <c r="M22863">
        <v>0</v>
      </c>
      <c r="N22863">
        <v>4</v>
      </c>
      <c r="O22863" t="s">
        <v>12107</v>
      </c>
    </row>
    <row r="22864" spans="1:15">
      <c r="A22864" t="s">
        <v>64700</v>
      </c>
      <c r="B22864" t="s">
        <v>17023</v>
      </c>
      <c r="C22864" t="s">
        <v>50602</v>
      </c>
      <c r="D22864" t="s">
        <v>64701</v>
      </c>
      <c r="E22864" t="b">
        <v>0</v>
      </c>
      <c r="F22864" t="s">
        <v>11624</v>
      </c>
      <c r="G22864">
        <v>-17.096499999999999</v>
      </c>
      <c r="H22864">
        <v>123.971</v>
      </c>
      <c r="I22864" t="s">
        <v>64702</v>
      </c>
      <c r="L22864">
        <v>0</v>
      </c>
      <c r="M22864">
        <v>0</v>
      </c>
      <c r="N22864">
        <v>0</v>
      </c>
      <c r="O22864" t="s">
        <v>12107</v>
      </c>
    </row>
    <row r="22865" spans="1:15">
      <c r="A22865" t="s">
        <v>63155</v>
      </c>
      <c r="B22865" t="s">
        <v>9897</v>
      </c>
      <c r="C22865" t="s">
        <v>24991</v>
      </c>
      <c r="D22865" t="s">
        <v>64703</v>
      </c>
      <c r="E22865" t="b">
        <v>0</v>
      </c>
      <c r="F22865" t="s">
        <v>11622</v>
      </c>
      <c r="L22865">
        <v>1</v>
      </c>
      <c r="M22865">
        <v>3</v>
      </c>
      <c r="N22865">
        <v>0</v>
      </c>
    </row>
    <row r="22866" spans="1:15">
      <c r="A22866" t="s">
        <v>64704</v>
      </c>
      <c r="B22866" t="s">
        <v>367</v>
      </c>
      <c r="C22866" t="s">
        <v>14563</v>
      </c>
      <c r="D22866" t="s">
        <v>64705</v>
      </c>
      <c r="E22866" t="b">
        <v>0</v>
      </c>
      <c r="F22866" t="s">
        <v>11610</v>
      </c>
      <c r="L22866">
        <v>0</v>
      </c>
      <c r="M22866">
        <v>0</v>
      </c>
      <c r="N22866">
        <v>0</v>
      </c>
    </row>
    <row r="22867" spans="1:15">
      <c r="A22867" t="s">
        <v>29953</v>
      </c>
      <c r="B22867" t="s">
        <v>10597</v>
      </c>
      <c r="C22867" t="s">
        <v>29918</v>
      </c>
      <c r="D22867" t="s">
        <v>64706</v>
      </c>
      <c r="E22867" t="b">
        <v>0</v>
      </c>
      <c r="F22867" t="s">
        <v>11622</v>
      </c>
      <c r="L22867">
        <v>0</v>
      </c>
      <c r="M22867">
        <v>2</v>
      </c>
      <c r="N22867">
        <v>0</v>
      </c>
    </row>
    <row r="22868" spans="1:15">
      <c r="A22868" t="s">
        <v>64707</v>
      </c>
      <c r="B22868" t="s">
        <v>10597</v>
      </c>
      <c r="C22868" t="s">
        <v>29953</v>
      </c>
      <c r="D22868" t="s">
        <v>64708</v>
      </c>
      <c r="E22868" t="b">
        <v>0</v>
      </c>
      <c r="F22868" t="s">
        <v>11624</v>
      </c>
      <c r="G22868">
        <v>-18.249600000000001</v>
      </c>
      <c r="H22868">
        <v>144.37</v>
      </c>
      <c r="I22868" t="s">
        <v>64709</v>
      </c>
      <c r="L22868">
        <v>0</v>
      </c>
      <c r="M22868">
        <v>0</v>
      </c>
      <c r="N22868">
        <v>0</v>
      </c>
      <c r="O22868" t="s">
        <v>12107</v>
      </c>
    </row>
    <row r="22869" spans="1:15">
      <c r="A22869" t="s">
        <v>64710</v>
      </c>
      <c r="B22869" t="s">
        <v>10597</v>
      </c>
      <c r="C22869" t="s">
        <v>24550</v>
      </c>
      <c r="D22869" t="s">
        <v>64711</v>
      </c>
      <c r="E22869" t="b">
        <v>0</v>
      </c>
      <c r="F22869" t="s">
        <v>11624</v>
      </c>
      <c r="G22869">
        <v>-20.6479</v>
      </c>
      <c r="H22869">
        <v>134.375</v>
      </c>
      <c r="I22869" t="s">
        <v>64712</v>
      </c>
      <c r="L22869">
        <v>0</v>
      </c>
      <c r="M22869">
        <v>0</v>
      </c>
      <c r="N22869">
        <v>0</v>
      </c>
      <c r="O22869" t="s">
        <v>12107</v>
      </c>
    </row>
    <row r="22870" spans="1:15">
      <c r="A22870" t="s">
        <v>39131</v>
      </c>
      <c r="B22870" t="s">
        <v>367</v>
      </c>
      <c r="C22870" t="s">
        <v>36882</v>
      </c>
      <c r="D22870" t="s">
        <v>64713</v>
      </c>
      <c r="E22870" t="b">
        <v>0</v>
      </c>
      <c r="F22870" t="s">
        <v>11624</v>
      </c>
      <c r="G22870">
        <v>-3.4119999999999999</v>
      </c>
      <c r="H22870">
        <v>122.05800000000001</v>
      </c>
      <c r="I22870" t="s">
        <v>64714</v>
      </c>
      <c r="L22870">
        <v>0</v>
      </c>
      <c r="M22870">
        <v>0</v>
      </c>
      <c r="N22870">
        <v>2</v>
      </c>
      <c r="O22870" t="s">
        <v>11768</v>
      </c>
    </row>
    <row r="22871" spans="1:15">
      <c r="A22871" t="s">
        <v>64715</v>
      </c>
      <c r="B22871" t="s">
        <v>14528</v>
      </c>
      <c r="C22871" t="s">
        <v>14529</v>
      </c>
      <c r="D22871" t="s">
        <v>64716</v>
      </c>
      <c r="E22871" t="b">
        <v>0</v>
      </c>
      <c r="F22871" t="s">
        <v>11624</v>
      </c>
      <c r="G22871">
        <v>-8.2356499999999997</v>
      </c>
      <c r="H22871">
        <v>142.47</v>
      </c>
      <c r="I22871" t="s">
        <v>64717</v>
      </c>
      <c r="L22871">
        <v>0</v>
      </c>
      <c r="M22871">
        <v>0</v>
      </c>
      <c r="N22871">
        <v>0</v>
      </c>
      <c r="O22871" t="s">
        <v>11660</v>
      </c>
    </row>
    <row r="22872" spans="1:15">
      <c r="A22872" t="s">
        <v>30350</v>
      </c>
      <c r="B22872" t="s">
        <v>11615</v>
      </c>
      <c r="C22872" t="s">
        <v>27307</v>
      </c>
      <c r="D22872" t="s">
        <v>64718</v>
      </c>
      <c r="E22872" t="b">
        <v>0</v>
      </c>
      <c r="F22872" t="s">
        <v>11622</v>
      </c>
      <c r="L22872">
        <v>3</v>
      </c>
      <c r="M22872">
        <v>9</v>
      </c>
      <c r="N22872">
        <v>5</v>
      </c>
    </row>
    <row r="22873" spans="1:15">
      <c r="A22873" t="s">
        <v>64719</v>
      </c>
      <c r="B22873" t="s">
        <v>10597</v>
      </c>
      <c r="C22873" t="s">
        <v>23342</v>
      </c>
      <c r="D22873" t="s">
        <v>64720</v>
      </c>
      <c r="E22873" t="b">
        <v>0</v>
      </c>
      <c r="F22873" t="s">
        <v>11610</v>
      </c>
      <c r="L22873">
        <v>0</v>
      </c>
      <c r="M22873">
        <v>0</v>
      </c>
      <c r="N22873">
        <v>0</v>
      </c>
    </row>
    <row r="22874" spans="1:15">
      <c r="A22874" t="s">
        <v>64721</v>
      </c>
      <c r="B22874" t="s">
        <v>6742</v>
      </c>
      <c r="C22874" t="s">
        <v>17167</v>
      </c>
      <c r="D22874" t="s">
        <v>64722</v>
      </c>
      <c r="E22874" t="b">
        <v>0</v>
      </c>
      <c r="F22874" t="s">
        <v>11610</v>
      </c>
      <c r="L22874">
        <v>0</v>
      </c>
      <c r="M22874">
        <v>0</v>
      </c>
      <c r="N22874">
        <v>0</v>
      </c>
    </row>
    <row r="22875" spans="1:15">
      <c r="A22875" t="s">
        <v>13438</v>
      </c>
      <c r="B22875" t="s">
        <v>6742</v>
      </c>
      <c r="C22875" t="s">
        <v>11817</v>
      </c>
      <c r="D22875" t="s">
        <v>64723</v>
      </c>
      <c r="E22875" t="b">
        <v>0</v>
      </c>
      <c r="F22875" t="s">
        <v>11624</v>
      </c>
      <c r="G22875">
        <v>5.7410899999999998</v>
      </c>
      <c r="H22875">
        <v>-2.1602800000000002</v>
      </c>
      <c r="I22875" t="s">
        <v>64724</v>
      </c>
      <c r="L22875">
        <v>0</v>
      </c>
      <c r="M22875">
        <v>0</v>
      </c>
      <c r="N22875">
        <v>2</v>
      </c>
      <c r="O22875" t="s">
        <v>11985</v>
      </c>
    </row>
    <row r="22876" spans="1:15">
      <c r="A22876" t="s">
        <v>64725</v>
      </c>
      <c r="B22876" t="s">
        <v>6742</v>
      </c>
      <c r="C22876" t="s">
        <v>19458</v>
      </c>
      <c r="D22876" t="s">
        <v>64726</v>
      </c>
      <c r="E22876" t="b">
        <v>0</v>
      </c>
      <c r="F22876" t="s">
        <v>11610</v>
      </c>
      <c r="L22876">
        <v>0</v>
      </c>
      <c r="M22876">
        <v>0</v>
      </c>
      <c r="N22876">
        <v>0</v>
      </c>
    </row>
    <row r="22877" spans="1:15">
      <c r="A22877" t="s">
        <v>64727</v>
      </c>
      <c r="B22877" t="s">
        <v>11705</v>
      </c>
      <c r="C22877" t="s">
        <v>14190</v>
      </c>
      <c r="D22877" t="s">
        <v>64728</v>
      </c>
      <c r="E22877" t="b">
        <v>0</v>
      </c>
      <c r="F22877" t="s">
        <v>11610</v>
      </c>
      <c r="L22877">
        <v>0</v>
      </c>
      <c r="M22877">
        <v>0</v>
      </c>
      <c r="N22877">
        <v>0</v>
      </c>
    </row>
    <row r="22878" spans="1:15">
      <c r="A22878" t="s">
        <v>11228</v>
      </c>
      <c r="B22878" t="s">
        <v>22610</v>
      </c>
      <c r="C22878" t="s">
        <v>22610</v>
      </c>
      <c r="D22878" t="s">
        <v>64729</v>
      </c>
      <c r="E22878" t="b">
        <v>0</v>
      </c>
      <c r="F22878" t="s">
        <v>11624</v>
      </c>
      <c r="G22878">
        <v>45.027799999999999</v>
      </c>
      <c r="H22878">
        <v>-121.509</v>
      </c>
      <c r="I22878" t="s">
        <v>64730</v>
      </c>
      <c r="L22878">
        <v>0</v>
      </c>
      <c r="M22878">
        <v>0</v>
      </c>
      <c r="N22878">
        <v>2</v>
      </c>
      <c r="O22878" t="s">
        <v>11944</v>
      </c>
    </row>
    <row r="22879" spans="1:15">
      <c r="A22879" t="s">
        <v>11229</v>
      </c>
      <c r="B22879" t="s">
        <v>22610</v>
      </c>
      <c r="C22879" t="s">
        <v>11228</v>
      </c>
      <c r="D22879" t="s">
        <v>64731</v>
      </c>
      <c r="E22879" t="b">
        <v>0</v>
      </c>
      <c r="F22879" t="s">
        <v>11610</v>
      </c>
      <c r="L22879">
        <v>0</v>
      </c>
      <c r="M22879">
        <v>0</v>
      </c>
      <c r="N22879">
        <v>0</v>
      </c>
    </row>
    <row r="22880" spans="1:15">
      <c r="A22880" t="s">
        <v>64732</v>
      </c>
      <c r="B22880" t="s">
        <v>11834</v>
      </c>
      <c r="C22880" t="s">
        <v>63415</v>
      </c>
      <c r="D22880" t="s">
        <v>64733</v>
      </c>
      <c r="E22880" t="b">
        <v>0</v>
      </c>
      <c r="F22880" t="s">
        <v>11610</v>
      </c>
      <c r="L22880">
        <v>0</v>
      </c>
      <c r="M22880">
        <v>0</v>
      </c>
      <c r="N22880">
        <v>0</v>
      </c>
    </row>
    <row r="22881" spans="1:15">
      <c r="A22881" t="s">
        <v>64734</v>
      </c>
      <c r="B22881" t="s">
        <v>11834</v>
      </c>
      <c r="C22881" t="s">
        <v>63415</v>
      </c>
      <c r="D22881" t="s">
        <v>64735</v>
      </c>
      <c r="E22881" t="b">
        <v>0</v>
      </c>
      <c r="F22881" t="s">
        <v>11610</v>
      </c>
      <c r="L22881">
        <v>0</v>
      </c>
      <c r="M22881">
        <v>0</v>
      </c>
      <c r="N22881">
        <v>0</v>
      </c>
    </row>
    <row r="22882" spans="1:15">
      <c r="A22882" t="s">
        <v>64736</v>
      </c>
      <c r="B22882" t="s">
        <v>11615</v>
      </c>
      <c r="C22882" t="s">
        <v>18935</v>
      </c>
      <c r="D22882" t="s">
        <v>64737</v>
      </c>
      <c r="E22882" t="b">
        <v>0</v>
      </c>
      <c r="F22882" t="s">
        <v>11624</v>
      </c>
      <c r="G22882">
        <v>-6.0131800000000002</v>
      </c>
      <c r="H22882">
        <v>145.96899999999999</v>
      </c>
      <c r="I22882" t="s">
        <v>64738</v>
      </c>
      <c r="L22882">
        <v>0</v>
      </c>
      <c r="M22882">
        <v>0</v>
      </c>
      <c r="N22882">
        <v>0</v>
      </c>
      <c r="O22882" t="s">
        <v>11660</v>
      </c>
    </row>
    <row r="22883" spans="1:15">
      <c r="A22883" t="s">
        <v>64739</v>
      </c>
      <c r="D22883" t="s">
        <v>64740</v>
      </c>
      <c r="E22883" t="b">
        <v>0</v>
      </c>
      <c r="F22883" t="s">
        <v>11624</v>
      </c>
      <c r="G22883">
        <v>38.818399999999997</v>
      </c>
      <c r="H22883">
        <v>-119.64</v>
      </c>
      <c r="I22883" t="s">
        <v>64741</v>
      </c>
      <c r="L22883">
        <v>0</v>
      </c>
      <c r="M22883">
        <v>0</v>
      </c>
      <c r="N22883">
        <v>0</v>
      </c>
      <c r="O22883" t="s">
        <v>11944</v>
      </c>
    </row>
    <row r="22884" spans="1:15">
      <c r="A22884" t="s">
        <v>64742</v>
      </c>
      <c r="B22884" t="s">
        <v>367</v>
      </c>
      <c r="C22884" t="s">
        <v>12480</v>
      </c>
      <c r="D22884" t="s">
        <v>64743</v>
      </c>
      <c r="E22884" t="b">
        <v>0</v>
      </c>
      <c r="F22884" t="s">
        <v>11610</v>
      </c>
      <c r="L22884">
        <v>0</v>
      </c>
      <c r="M22884">
        <v>0</v>
      </c>
      <c r="N22884">
        <v>0</v>
      </c>
    </row>
    <row r="22885" spans="1:15">
      <c r="A22885" t="s">
        <v>64744</v>
      </c>
      <c r="B22885" t="s">
        <v>11615</v>
      </c>
      <c r="C22885" t="s">
        <v>37421</v>
      </c>
      <c r="D22885" t="s">
        <v>64745</v>
      </c>
      <c r="E22885" t="b">
        <v>0</v>
      </c>
      <c r="F22885" t="s">
        <v>11624</v>
      </c>
      <c r="G22885">
        <v>-4.5797800000000004</v>
      </c>
      <c r="H22885">
        <v>145.97900000000001</v>
      </c>
      <c r="I22885" t="s">
        <v>64746</v>
      </c>
      <c r="L22885">
        <v>0</v>
      </c>
      <c r="M22885">
        <v>0</v>
      </c>
      <c r="N22885">
        <v>0</v>
      </c>
      <c r="O22885" t="s">
        <v>11660</v>
      </c>
    </row>
    <row r="22886" spans="1:15">
      <c r="A22886" t="s">
        <v>64747</v>
      </c>
      <c r="B22886" t="s">
        <v>2975</v>
      </c>
      <c r="C22886" t="s">
        <v>1215</v>
      </c>
      <c r="D22886" t="s">
        <v>64748</v>
      </c>
      <c r="E22886" t="b">
        <v>0</v>
      </c>
      <c r="F22886" t="s">
        <v>11610</v>
      </c>
      <c r="L22886">
        <v>0</v>
      </c>
      <c r="M22886">
        <v>0</v>
      </c>
      <c r="N22886">
        <v>0</v>
      </c>
    </row>
    <row r="22887" spans="1:15">
      <c r="A22887" t="s">
        <v>64749</v>
      </c>
      <c r="B22887" t="s">
        <v>12241</v>
      </c>
      <c r="C22887" t="s">
        <v>12241</v>
      </c>
      <c r="D22887" t="s">
        <v>64750</v>
      </c>
      <c r="E22887" t="b">
        <v>0</v>
      </c>
      <c r="F22887" t="s">
        <v>11624</v>
      </c>
      <c r="G22887">
        <v>-9.7499900000000004</v>
      </c>
      <c r="H22887">
        <v>-36.833300000000001</v>
      </c>
      <c r="I22887" t="s">
        <v>64751</v>
      </c>
      <c r="L22887">
        <v>0</v>
      </c>
      <c r="M22887">
        <v>0</v>
      </c>
      <c r="N22887">
        <v>0</v>
      </c>
      <c r="O22887" t="s">
        <v>11969</v>
      </c>
    </row>
    <row r="22888" spans="1:15">
      <c r="A22888" t="s">
        <v>64752</v>
      </c>
      <c r="B22888" t="s">
        <v>13276</v>
      </c>
      <c r="C22888" t="s">
        <v>13277</v>
      </c>
      <c r="D22888" t="s">
        <v>64753</v>
      </c>
      <c r="E22888" t="b">
        <v>0</v>
      </c>
      <c r="F22888" t="s">
        <v>11610</v>
      </c>
      <c r="L22888">
        <v>0</v>
      </c>
      <c r="M22888">
        <v>0</v>
      </c>
      <c r="N22888">
        <v>0</v>
      </c>
    </row>
    <row r="22889" spans="1:15">
      <c r="A22889" t="s">
        <v>64754</v>
      </c>
      <c r="B22889" t="s">
        <v>11627</v>
      </c>
      <c r="C22889" t="s">
        <v>11627</v>
      </c>
      <c r="D22889" t="s">
        <v>64755</v>
      </c>
      <c r="E22889" t="b">
        <v>1</v>
      </c>
      <c r="F22889" t="s">
        <v>11624</v>
      </c>
      <c r="L22889">
        <v>0</v>
      </c>
      <c r="M22889">
        <v>0</v>
      </c>
      <c r="N22889">
        <v>0</v>
      </c>
    </row>
    <row r="22890" spans="1:15">
      <c r="A22890" t="s">
        <v>64756</v>
      </c>
      <c r="B22890" t="s">
        <v>13276</v>
      </c>
      <c r="C22890" t="s">
        <v>19075</v>
      </c>
      <c r="D22890" t="s">
        <v>64757</v>
      </c>
      <c r="E22890" t="b">
        <v>0</v>
      </c>
      <c r="F22890" t="s">
        <v>11610</v>
      </c>
      <c r="L22890">
        <v>0</v>
      </c>
      <c r="M22890">
        <v>0</v>
      </c>
      <c r="N22890">
        <v>0</v>
      </c>
    </row>
    <row r="22891" spans="1:15">
      <c r="A22891" t="s">
        <v>64758</v>
      </c>
      <c r="B22891" t="s">
        <v>12959</v>
      </c>
      <c r="C22891" t="s">
        <v>12960</v>
      </c>
      <c r="D22891" t="s">
        <v>64759</v>
      </c>
      <c r="E22891" t="b">
        <v>0</v>
      </c>
      <c r="F22891" t="s">
        <v>11610</v>
      </c>
      <c r="L22891">
        <v>0</v>
      </c>
      <c r="M22891">
        <v>0</v>
      </c>
      <c r="N22891">
        <v>0</v>
      </c>
    </row>
    <row r="22892" spans="1:15">
      <c r="A22892" t="s">
        <v>64760</v>
      </c>
      <c r="B22892" t="s">
        <v>11839</v>
      </c>
      <c r="C22892" t="s">
        <v>34534</v>
      </c>
      <c r="D22892" t="s">
        <v>64761</v>
      </c>
      <c r="E22892" t="b">
        <v>0</v>
      </c>
      <c r="F22892" t="s">
        <v>11610</v>
      </c>
      <c r="L22892">
        <v>0</v>
      </c>
      <c r="M22892">
        <v>0</v>
      </c>
      <c r="N22892">
        <v>0</v>
      </c>
    </row>
    <row r="22893" spans="1:15">
      <c r="A22893" t="s">
        <v>64762</v>
      </c>
      <c r="B22893" t="s">
        <v>11705</v>
      </c>
      <c r="C22893" t="s">
        <v>34967</v>
      </c>
      <c r="D22893" t="s">
        <v>64763</v>
      </c>
      <c r="E22893" t="b">
        <v>0</v>
      </c>
      <c r="F22893" t="s">
        <v>11624</v>
      </c>
      <c r="G22893">
        <v>-4.5896499999999998</v>
      </c>
      <c r="H22893">
        <v>143.005</v>
      </c>
      <c r="I22893" t="s">
        <v>64764</v>
      </c>
      <c r="L22893">
        <v>0</v>
      </c>
      <c r="M22893">
        <v>0</v>
      </c>
      <c r="N22893">
        <v>0</v>
      </c>
      <c r="O22893" t="s">
        <v>11660</v>
      </c>
    </row>
    <row r="22894" spans="1:15">
      <c r="A22894" t="s">
        <v>34123</v>
      </c>
      <c r="B22894" t="s">
        <v>11871</v>
      </c>
      <c r="C22894" t="s">
        <v>19594</v>
      </c>
      <c r="D22894" t="s">
        <v>64765</v>
      </c>
      <c r="E22894" t="b">
        <v>0</v>
      </c>
      <c r="F22894" t="s">
        <v>11622</v>
      </c>
      <c r="L22894">
        <v>0</v>
      </c>
      <c r="M22894">
        <v>2</v>
      </c>
      <c r="N22894">
        <v>0</v>
      </c>
    </row>
    <row r="22895" spans="1:15">
      <c r="A22895" t="s">
        <v>64766</v>
      </c>
      <c r="B22895" t="s">
        <v>11871</v>
      </c>
      <c r="C22895" t="s">
        <v>34123</v>
      </c>
      <c r="D22895" t="s">
        <v>64767</v>
      </c>
      <c r="E22895" t="b">
        <v>0</v>
      </c>
      <c r="F22895" t="s">
        <v>11624</v>
      </c>
      <c r="G22895">
        <v>-4.0259099999999997</v>
      </c>
      <c r="H22895">
        <v>144.583</v>
      </c>
      <c r="I22895" t="s">
        <v>64768</v>
      </c>
      <c r="L22895">
        <v>0</v>
      </c>
      <c r="M22895">
        <v>0</v>
      </c>
      <c r="N22895">
        <v>0</v>
      </c>
      <c r="O22895" t="s">
        <v>11660</v>
      </c>
    </row>
    <row r="22896" spans="1:15">
      <c r="A22896" t="s">
        <v>64769</v>
      </c>
      <c r="B22896" t="s">
        <v>367</v>
      </c>
      <c r="C22896" t="s">
        <v>26208</v>
      </c>
      <c r="D22896" t="s">
        <v>64770</v>
      </c>
      <c r="E22896" t="b">
        <v>0</v>
      </c>
      <c r="F22896" t="s">
        <v>11610</v>
      </c>
      <c r="L22896">
        <v>0</v>
      </c>
      <c r="M22896">
        <v>0</v>
      </c>
      <c r="N22896">
        <v>0</v>
      </c>
    </row>
    <row r="22897" spans="1:15">
      <c r="A22897" t="s">
        <v>64771</v>
      </c>
      <c r="B22897" t="s">
        <v>11839</v>
      </c>
      <c r="C22897" t="s">
        <v>14670</v>
      </c>
      <c r="D22897" t="s">
        <v>64772</v>
      </c>
      <c r="E22897" t="b">
        <v>0</v>
      </c>
      <c r="F22897" t="s">
        <v>11610</v>
      </c>
      <c r="L22897">
        <v>0</v>
      </c>
      <c r="M22897">
        <v>0</v>
      </c>
      <c r="N22897">
        <v>0</v>
      </c>
    </row>
    <row r="22898" spans="1:15">
      <c r="A22898" t="s">
        <v>64773</v>
      </c>
      <c r="B22898" t="s">
        <v>10597</v>
      </c>
      <c r="C22898" t="s">
        <v>49469</v>
      </c>
      <c r="D22898" t="s">
        <v>64774</v>
      </c>
      <c r="E22898" t="b">
        <v>0</v>
      </c>
      <c r="F22898" t="s">
        <v>11624</v>
      </c>
      <c r="G22898">
        <v>-37.687775649999999</v>
      </c>
      <c r="H22898">
        <v>144.10131480000001</v>
      </c>
      <c r="I22898" t="s">
        <v>64775</v>
      </c>
      <c r="L22898">
        <v>0</v>
      </c>
      <c r="M22898">
        <v>0</v>
      </c>
      <c r="N22898">
        <v>0</v>
      </c>
      <c r="O22898" t="s">
        <v>12107</v>
      </c>
    </row>
    <row r="22899" spans="1:15">
      <c r="A22899" t="s">
        <v>10030</v>
      </c>
      <c r="B22899" t="s">
        <v>10597</v>
      </c>
      <c r="C22899" t="s">
        <v>24550</v>
      </c>
      <c r="D22899" t="s">
        <v>64776</v>
      </c>
      <c r="E22899" t="b">
        <v>0</v>
      </c>
      <c r="F22899" t="s">
        <v>11622</v>
      </c>
      <c r="L22899">
        <v>7</v>
      </c>
      <c r="M22899">
        <v>12</v>
      </c>
      <c r="N22899">
        <v>5</v>
      </c>
    </row>
    <row r="22900" spans="1:15">
      <c r="A22900" t="s">
        <v>64777</v>
      </c>
      <c r="B22900" t="s">
        <v>367</v>
      </c>
      <c r="C22900" t="s">
        <v>7268</v>
      </c>
      <c r="D22900" t="s">
        <v>64778</v>
      </c>
      <c r="E22900" t="b">
        <v>0</v>
      </c>
      <c r="F22900" t="s">
        <v>11610</v>
      </c>
      <c r="L22900">
        <v>0</v>
      </c>
      <c r="M22900">
        <v>0</v>
      </c>
      <c r="N22900">
        <v>0</v>
      </c>
    </row>
    <row r="22901" spans="1:15">
      <c r="A22901" t="s">
        <v>64779</v>
      </c>
      <c r="B22901" t="s">
        <v>6742</v>
      </c>
      <c r="C22901" t="s">
        <v>40194</v>
      </c>
      <c r="D22901" t="s">
        <v>64780</v>
      </c>
      <c r="E22901" t="b">
        <v>0</v>
      </c>
      <c r="F22901" t="s">
        <v>11610</v>
      </c>
      <c r="L22901">
        <v>0</v>
      </c>
      <c r="M22901">
        <v>0</v>
      </c>
      <c r="N22901">
        <v>0</v>
      </c>
    </row>
    <row r="22902" spans="1:15">
      <c r="A22902" t="s">
        <v>44347</v>
      </c>
      <c r="B22902" t="s">
        <v>367</v>
      </c>
      <c r="C22902" t="s">
        <v>8719</v>
      </c>
      <c r="D22902" t="s">
        <v>64781</v>
      </c>
      <c r="E22902" t="b">
        <v>0</v>
      </c>
      <c r="F22902" t="s">
        <v>11622</v>
      </c>
      <c r="L22902">
        <v>0</v>
      </c>
      <c r="M22902">
        <v>3</v>
      </c>
      <c r="N22902">
        <v>2</v>
      </c>
    </row>
    <row r="22903" spans="1:15">
      <c r="A22903" t="s">
        <v>59240</v>
      </c>
      <c r="B22903" t="s">
        <v>367</v>
      </c>
      <c r="C22903" t="s">
        <v>29097</v>
      </c>
      <c r="D22903" t="s">
        <v>64782</v>
      </c>
      <c r="E22903" t="b">
        <v>0</v>
      </c>
      <c r="F22903" t="s">
        <v>11624</v>
      </c>
      <c r="G22903">
        <v>-4.4729400000000004</v>
      </c>
      <c r="H22903">
        <v>131.64099999999999</v>
      </c>
      <c r="I22903" t="s">
        <v>64783</v>
      </c>
      <c r="L22903">
        <v>0</v>
      </c>
      <c r="M22903">
        <v>0</v>
      </c>
      <c r="N22903">
        <v>2</v>
      </c>
      <c r="O22903" t="s">
        <v>11768</v>
      </c>
    </row>
    <row r="22904" spans="1:15">
      <c r="A22904" t="s">
        <v>2420</v>
      </c>
      <c r="B22904" t="s">
        <v>11894</v>
      </c>
      <c r="C22904" t="s">
        <v>43960</v>
      </c>
      <c r="D22904" t="s">
        <v>64784</v>
      </c>
      <c r="E22904" t="b">
        <v>0</v>
      </c>
      <c r="F22904" t="s">
        <v>11624</v>
      </c>
      <c r="G22904">
        <v>-13.295999999999999</v>
      </c>
      <c r="H22904">
        <v>-53.697099999999999</v>
      </c>
      <c r="I22904" t="s">
        <v>2422</v>
      </c>
      <c r="L22904">
        <v>0</v>
      </c>
      <c r="M22904">
        <v>0</v>
      </c>
      <c r="N22904">
        <v>0</v>
      </c>
      <c r="O22904" t="s">
        <v>11969</v>
      </c>
    </row>
    <row r="22905" spans="1:15">
      <c r="A22905" t="s">
        <v>43960</v>
      </c>
      <c r="B22905" t="s">
        <v>11894</v>
      </c>
      <c r="C22905" t="s">
        <v>38454</v>
      </c>
      <c r="D22905" t="s">
        <v>64785</v>
      </c>
      <c r="E22905" t="b">
        <v>0</v>
      </c>
      <c r="F22905" t="s">
        <v>11622</v>
      </c>
      <c r="L22905">
        <v>0</v>
      </c>
      <c r="M22905">
        <v>2</v>
      </c>
      <c r="N22905">
        <v>0</v>
      </c>
    </row>
    <row r="22906" spans="1:15">
      <c r="A22906" t="s">
        <v>38454</v>
      </c>
      <c r="B22906" t="s">
        <v>11894</v>
      </c>
      <c r="C22906" t="s">
        <v>64786</v>
      </c>
      <c r="D22906" t="s">
        <v>64787</v>
      </c>
      <c r="E22906" t="b">
        <v>0</v>
      </c>
      <c r="F22906" t="s">
        <v>11622</v>
      </c>
      <c r="L22906">
        <v>1</v>
      </c>
      <c r="M22906">
        <v>3</v>
      </c>
      <c r="N22906">
        <v>0</v>
      </c>
    </row>
    <row r="22907" spans="1:15">
      <c r="A22907" t="s">
        <v>64788</v>
      </c>
      <c r="B22907" t="s">
        <v>367</v>
      </c>
      <c r="C22907" t="s">
        <v>17367</v>
      </c>
      <c r="D22907" t="s">
        <v>64789</v>
      </c>
      <c r="E22907" t="b">
        <v>0</v>
      </c>
      <c r="F22907" t="s">
        <v>11624</v>
      </c>
      <c r="G22907">
        <v>-0.2828</v>
      </c>
      <c r="H22907">
        <v>130.59700000000001</v>
      </c>
      <c r="I22907" t="s">
        <v>64790</v>
      </c>
      <c r="L22907">
        <v>0</v>
      </c>
      <c r="M22907">
        <v>0</v>
      </c>
      <c r="N22907">
        <v>0</v>
      </c>
      <c r="O22907" t="s">
        <v>11768</v>
      </c>
    </row>
    <row r="22908" spans="1:15">
      <c r="A22908" t="s">
        <v>64791</v>
      </c>
      <c r="B22908" t="s">
        <v>13360</v>
      </c>
      <c r="C22908" t="s">
        <v>13360</v>
      </c>
      <c r="D22908" t="s">
        <v>64792</v>
      </c>
      <c r="E22908" t="b">
        <v>0</v>
      </c>
      <c r="F22908" t="s">
        <v>11624</v>
      </c>
      <c r="L22908">
        <v>0</v>
      </c>
      <c r="M22908">
        <v>0</v>
      </c>
      <c r="N22908">
        <v>0</v>
      </c>
      <c r="O22908" t="s">
        <v>12704</v>
      </c>
    </row>
    <row r="22909" spans="1:15">
      <c r="A22909" t="s">
        <v>28536</v>
      </c>
      <c r="B22909" t="s">
        <v>6742</v>
      </c>
      <c r="C22909" t="s">
        <v>64077</v>
      </c>
      <c r="D22909" t="s">
        <v>64793</v>
      </c>
      <c r="E22909" t="b">
        <v>0</v>
      </c>
      <c r="F22909" t="s">
        <v>11624</v>
      </c>
      <c r="G22909">
        <v>6.6897399999999996</v>
      </c>
      <c r="H22909">
        <v>11.780200000000001</v>
      </c>
      <c r="I22909" t="s">
        <v>64794</v>
      </c>
      <c r="L22909">
        <v>0</v>
      </c>
      <c r="M22909">
        <v>0</v>
      </c>
      <c r="N22909">
        <v>1</v>
      </c>
      <c r="O22909" t="s">
        <v>11703</v>
      </c>
    </row>
    <row r="22910" spans="1:15">
      <c r="A22910" t="s">
        <v>64795</v>
      </c>
      <c r="B22910" t="s">
        <v>13276</v>
      </c>
      <c r="C22910" t="s">
        <v>16569</v>
      </c>
      <c r="D22910" t="s">
        <v>64796</v>
      </c>
      <c r="E22910" t="b">
        <v>0</v>
      </c>
      <c r="F22910" t="s">
        <v>11610</v>
      </c>
      <c r="L22910">
        <v>0</v>
      </c>
      <c r="M22910">
        <v>0</v>
      </c>
      <c r="N22910">
        <v>0</v>
      </c>
    </row>
    <row r="22911" spans="1:15">
      <c r="A22911" t="s">
        <v>64797</v>
      </c>
      <c r="B22911" t="s">
        <v>13276</v>
      </c>
      <c r="C22911" t="s">
        <v>20580</v>
      </c>
      <c r="D22911" t="s">
        <v>64798</v>
      </c>
      <c r="E22911" t="b">
        <v>0</v>
      </c>
      <c r="F22911" t="s">
        <v>11610</v>
      </c>
      <c r="L22911">
        <v>0</v>
      </c>
      <c r="M22911">
        <v>0</v>
      </c>
      <c r="N22911">
        <v>0</v>
      </c>
    </row>
    <row r="22912" spans="1:15">
      <c r="A22912" t="s">
        <v>64799</v>
      </c>
      <c r="B22912" t="s">
        <v>367</v>
      </c>
      <c r="C22912" t="s">
        <v>5348</v>
      </c>
      <c r="D22912" t="s">
        <v>64800</v>
      </c>
      <c r="E22912" t="b">
        <v>0</v>
      </c>
      <c r="F22912" t="s">
        <v>11610</v>
      </c>
      <c r="L22912">
        <v>0</v>
      </c>
      <c r="M22912">
        <v>0</v>
      </c>
      <c r="N22912">
        <v>0</v>
      </c>
    </row>
    <row r="22913" spans="1:15">
      <c r="A22913" t="s">
        <v>44102</v>
      </c>
      <c r="B22913" t="s">
        <v>367</v>
      </c>
      <c r="C22913" t="s">
        <v>15954</v>
      </c>
      <c r="D22913" t="s">
        <v>64801</v>
      </c>
      <c r="E22913" t="b">
        <v>0</v>
      </c>
      <c r="F22913" t="s">
        <v>11624</v>
      </c>
      <c r="G22913">
        <v>-4.1358699999999997</v>
      </c>
      <c r="H22913">
        <v>123.1</v>
      </c>
      <c r="I22913" t="s">
        <v>64802</v>
      </c>
      <c r="L22913">
        <v>0</v>
      </c>
      <c r="M22913">
        <v>0</v>
      </c>
      <c r="N22913">
        <v>2</v>
      </c>
      <c r="O22913" t="s">
        <v>11768</v>
      </c>
    </row>
    <row r="22914" spans="1:15">
      <c r="A22914" t="s">
        <v>64803</v>
      </c>
      <c r="B22914" t="s">
        <v>11644</v>
      </c>
      <c r="C22914" t="s">
        <v>23123</v>
      </c>
      <c r="D22914" t="s">
        <v>64804</v>
      </c>
      <c r="E22914" t="b">
        <v>0</v>
      </c>
      <c r="F22914" t="s">
        <v>11624</v>
      </c>
      <c r="G22914">
        <v>28.643999999999998</v>
      </c>
      <c r="H22914">
        <v>110.36199999999999</v>
      </c>
      <c r="I22914" t="s">
        <v>64805</v>
      </c>
      <c r="L22914">
        <v>0</v>
      </c>
      <c r="M22914">
        <v>0</v>
      </c>
      <c r="N22914">
        <v>0</v>
      </c>
      <c r="O22914" t="s">
        <v>11905</v>
      </c>
    </row>
    <row r="22915" spans="1:15">
      <c r="A22915" t="s">
        <v>64806</v>
      </c>
      <c r="B22915" t="s">
        <v>11844</v>
      </c>
      <c r="C22915" t="s">
        <v>13088</v>
      </c>
      <c r="D22915" t="s">
        <v>64807</v>
      </c>
      <c r="E22915" t="b">
        <v>0</v>
      </c>
      <c r="F22915" t="s">
        <v>11624</v>
      </c>
      <c r="I22915" t="s">
        <v>64808</v>
      </c>
      <c r="L22915">
        <v>0</v>
      </c>
      <c r="M22915">
        <v>0</v>
      </c>
      <c r="N22915">
        <v>0</v>
      </c>
      <c r="O22915" t="s">
        <v>11630</v>
      </c>
    </row>
    <row r="22916" spans="1:15">
      <c r="A22916" t="s">
        <v>64809</v>
      </c>
      <c r="B22916" t="s">
        <v>6742</v>
      </c>
      <c r="C22916" t="s">
        <v>17486</v>
      </c>
      <c r="D22916" t="s">
        <v>64810</v>
      </c>
      <c r="E22916" t="b">
        <v>0</v>
      </c>
      <c r="F22916" t="s">
        <v>11610</v>
      </c>
      <c r="L22916">
        <v>0</v>
      </c>
      <c r="M22916">
        <v>0</v>
      </c>
      <c r="N22916">
        <v>0</v>
      </c>
    </row>
    <row r="22917" spans="1:15">
      <c r="A22917" t="s">
        <v>64811</v>
      </c>
      <c r="B22917" t="s">
        <v>6742</v>
      </c>
      <c r="C22917" t="s">
        <v>33700</v>
      </c>
      <c r="D22917" t="s">
        <v>64812</v>
      </c>
      <c r="E22917" t="b">
        <v>0</v>
      </c>
      <c r="F22917" t="s">
        <v>11610</v>
      </c>
      <c r="L22917">
        <v>0</v>
      </c>
      <c r="M22917">
        <v>0</v>
      </c>
      <c r="N22917">
        <v>0</v>
      </c>
    </row>
    <row r="22918" spans="1:15">
      <c r="A22918" t="s">
        <v>64813</v>
      </c>
      <c r="B22918" t="s">
        <v>367</v>
      </c>
      <c r="C22918" t="s">
        <v>20247</v>
      </c>
      <c r="D22918" t="s">
        <v>64814</v>
      </c>
      <c r="E22918" t="b">
        <v>0</v>
      </c>
      <c r="F22918" t="s">
        <v>11610</v>
      </c>
      <c r="L22918">
        <v>0</v>
      </c>
      <c r="M22918">
        <v>0</v>
      </c>
      <c r="N22918">
        <v>0</v>
      </c>
    </row>
    <row r="22919" spans="1:15">
      <c r="A22919" t="s">
        <v>64815</v>
      </c>
      <c r="B22919" t="s">
        <v>367</v>
      </c>
      <c r="C22919" t="s">
        <v>49767</v>
      </c>
      <c r="D22919" t="s">
        <v>64816</v>
      </c>
      <c r="E22919" t="b">
        <v>0</v>
      </c>
      <c r="F22919" t="s">
        <v>11610</v>
      </c>
      <c r="G22919">
        <v>-17.294682000000002</v>
      </c>
      <c r="H22919">
        <v>177.12339600000001</v>
      </c>
      <c r="L22919">
        <v>0</v>
      </c>
      <c r="M22919">
        <v>0</v>
      </c>
      <c r="N22919">
        <v>0</v>
      </c>
    </row>
    <row r="22920" spans="1:15">
      <c r="A22920" t="s">
        <v>1732</v>
      </c>
      <c r="B22920" t="s">
        <v>8310</v>
      </c>
      <c r="C22920" t="s">
        <v>61484</v>
      </c>
      <c r="D22920" t="s">
        <v>1731</v>
      </c>
      <c r="E22920" t="b">
        <v>0</v>
      </c>
      <c r="F22920" t="s">
        <v>11624</v>
      </c>
      <c r="G22920">
        <v>2.7753700000000001</v>
      </c>
      <c r="H22920">
        <v>-54.442900000000002</v>
      </c>
      <c r="I22920" t="s">
        <v>1733</v>
      </c>
      <c r="L22920">
        <v>0</v>
      </c>
      <c r="M22920">
        <v>0</v>
      </c>
      <c r="N22920">
        <v>2</v>
      </c>
      <c r="O22920" t="s">
        <v>64817</v>
      </c>
    </row>
    <row r="22921" spans="1:15">
      <c r="A22921" t="s">
        <v>11508</v>
      </c>
      <c r="B22921" t="s">
        <v>11912</v>
      </c>
      <c r="C22921" t="s">
        <v>64818</v>
      </c>
      <c r="D22921" t="s">
        <v>64819</v>
      </c>
      <c r="E22921" t="b">
        <v>0</v>
      </c>
      <c r="F22921" t="s">
        <v>11624</v>
      </c>
      <c r="G22921">
        <v>1.73817</v>
      </c>
      <c r="H22921">
        <v>-52.688699999999997</v>
      </c>
      <c r="I22921" t="s">
        <v>11509</v>
      </c>
      <c r="L22921">
        <v>0</v>
      </c>
      <c r="M22921">
        <v>0</v>
      </c>
      <c r="N22921">
        <v>2</v>
      </c>
      <c r="O22921" t="s">
        <v>29978</v>
      </c>
    </row>
    <row r="22922" spans="1:15">
      <c r="A22922" t="s">
        <v>64818</v>
      </c>
      <c r="B22922" t="s">
        <v>11912</v>
      </c>
      <c r="C22922" t="s">
        <v>29824</v>
      </c>
      <c r="D22922" t="s">
        <v>64820</v>
      </c>
      <c r="E22922" t="b">
        <v>0</v>
      </c>
      <c r="F22922" t="s">
        <v>11622</v>
      </c>
      <c r="L22922">
        <v>1</v>
      </c>
      <c r="M22922">
        <v>3</v>
      </c>
      <c r="N22922">
        <v>2</v>
      </c>
    </row>
    <row r="22923" spans="1:15">
      <c r="A22923" t="s">
        <v>61484</v>
      </c>
      <c r="B22923" t="s">
        <v>8310</v>
      </c>
      <c r="C22923" t="s">
        <v>3311</v>
      </c>
      <c r="D22923" t="s">
        <v>64821</v>
      </c>
      <c r="E22923" t="b">
        <v>0</v>
      </c>
      <c r="F22923" t="s">
        <v>11622</v>
      </c>
      <c r="L22923">
        <v>0</v>
      </c>
      <c r="M22923">
        <v>3</v>
      </c>
      <c r="N22923">
        <v>2</v>
      </c>
    </row>
    <row r="22924" spans="1:15">
      <c r="A22924" t="s">
        <v>64822</v>
      </c>
      <c r="B22924" t="s">
        <v>141</v>
      </c>
      <c r="C22924" t="s">
        <v>26376</v>
      </c>
      <c r="D22924" t="s">
        <v>64823</v>
      </c>
      <c r="E22924" t="b">
        <v>0</v>
      </c>
      <c r="F22924" t="s">
        <v>11610</v>
      </c>
      <c r="L22924">
        <v>0</v>
      </c>
      <c r="M22924">
        <v>0</v>
      </c>
      <c r="N22924">
        <v>0</v>
      </c>
    </row>
    <row r="22925" spans="1:15">
      <c r="A22925" t="s">
        <v>64824</v>
      </c>
      <c r="B22925" t="s">
        <v>10597</v>
      </c>
      <c r="C22925" t="s">
        <v>64503</v>
      </c>
      <c r="D22925" t="s">
        <v>64825</v>
      </c>
      <c r="E22925" t="b">
        <v>0</v>
      </c>
      <c r="F22925" t="s">
        <v>11610</v>
      </c>
      <c r="L22925">
        <v>0</v>
      </c>
      <c r="M22925">
        <v>0</v>
      </c>
      <c r="N22925">
        <v>0</v>
      </c>
    </row>
    <row r="22926" spans="1:15">
      <c r="A22926" t="s">
        <v>64826</v>
      </c>
      <c r="B22926" t="s">
        <v>11912</v>
      </c>
      <c r="C22926" t="s">
        <v>12851</v>
      </c>
      <c r="D22926" t="s">
        <v>64827</v>
      </c>
      <c r="E22926" t="b">
        <v>0</v>
      </c>
      <c r="F22926" t="s">
        <v>11624</v>
      </c>
      <c r="G22926">
        <v>-12.6945</v>
      </c>
      <c r="H22926">
        <v>-61.306399999999996</v>
      </c>
      <c r="I22926" t="s">
        <v>64828</v>
      </c>
      <c r="L22926">
        <v>0</v>
      </c>
      <c r="M22926">
        <v>0</v>
      </c>
      <c r="N22926">
        <v>0</v>
      </c>
      <c r="O22926" t="s">
        <v>11969</v>
      </c>
    </row>
    <row r="22927" spans="1:15">
      <c r="A22927" t="s">
        <v>64829</v>
      </c>
      <c r="B22927" t="s">
        <v>11644</v>
      </c>
      <c r="C22927" t="s">
        <v>15931</v>
      </c>
      <c r="D22927" t="s">
        <v>64830</v>
      </c>
      <c r="E22927" t="b">
        <v>0</v>
      </c>
      <c r="F22927" t="s">
        <v>11624</v>
      </c>
      <c r="G22927">
        <v>27.3047</v>
      </c>
      <c r="H22927">
        <v>86.122699999999995</v>
      </c>
      <c r="I22927" t="s">
        <v>64831</v>
      </c>
      <c r="L22927">
        <v>0</v>
      </c>
      <c r="M22927">
        <v>0</v>
      </c>
      <c r="N22927">
        <v>0</v>
      </c>
      <c r="O22927" t="s">
        <v>15007</v>
      </c>
    </row>
    <row r="22928" spans="1:15">
      <c r="A22928" t="s">
        <v>64832</v>
      </c>
      <c r="B22928" t="s">
        <v>8310</v>
      </c>
      <c r="C22928" t="s">
        <v>42827</v>
      </c>
      <c r="D22928" t="s">
        <v>64833</v>
      </c>
      <c r="E22928" t="b">
        <v>0</v>
      </c>
      <c r="F22928" t="s">
        <v>11624</v>
      </c>
      <c r="G22928">
        <v>3.133111</v>
      </c>
      <c r="H22928">
        <v>-61.210785000000001</v>
      </c>
      <c r="L22928">
        <v>0</v>
      </c>
      <c r="M22928">
        <v>0</v>
      </c>
      <c r="N22928">
        <v>0</v>
      </c>
      <c r="O22928" t="s">
        <v>11969</v>
      </c>
    </row>
    <row r="22929" spans="1:15">
      <c r="A22929" t="s">
        <v>492</v>
      </c>
      <c r="B22929" t="s">
        <v>11894</v>
      </c>
      <c r="C22929" t="s">
        <v>491</v>
      </c>
      <c r="D22929" t="s">
        <v>64834</v>
      </c>
      <c r="E22929" t="b">
        <v>0</v>
      </c>
      <c r="F22929" t="s">
        <v>11624</v>
      </c>
      <c r="G22929">
        <v>11.395566000000001</v>
      </c>
      <c r="H22929">
        <v>-72.199791000000005</v>
      </c>
      <c r="I22929" t="s">
        <v>64835</v>
      </c>
      <c r="L22929">
        <v>0</v>
      </c>
      <c r="M22929">
        <v>0</v>
      </c>
      <c r="N22929">
        <v>0</v>
      </c>
      <c r="O22929" t="s">
        <v>17099</v>
      </c>
    </row>
    <row r="22930" spans="1:15">
      <c r="A22930" t="s">
        <v>64836</v>
      </c>
      <c r="B22930" t="s">
        <v>11607</v>
      </c>
      <c r="C22930" t="s">
        <v>25372</v>
      </c>
      <c r="D22930" t="s">
        <v>64837</v>
      </c>
      <c r="E22930" t="b">
        <v>0</v>
      </c>
      <c r="F22930" t="s">
        <v>11610</v>
      </c>
      <c r="L22930">
        <v>0</v>
      </c>
      <c r="M22930">
        <v>0</v>
      </c>
      <c r="N22930">
        <v>0</v>
      </c>
    </row>
    <row r="22931" spans="1:15">
      <c r="A22931" t="s">
        <v>64838</v>
      </c>
      <c r="B22931" t="s">
        <v>367</v>
      </c>
      <c r="C22931" t="s">
        <v>40600</v>
      </c>
      <c r="D22931" t="s">
        <v>64839</v>
      </c>
      <c r="E22931" t="b">
        <v>0</v>
      </c>
      <c r="F22931" t="s">
        <v>11610</v>
      </c>
      <c r="L22931">
        <v>0</v>
      </c>
      <c r="M22931">
        <v>0</v>
      </c>
      <c r="N22931">
        <v>0</v>
      </c>
    </row>
    <row r="22932" spans="1:15">
      <c r="A22932" t="s">
        <v>64840</v>
      </c>
      <c r="B22932" t="s">
        <v>6742</v>
      </c>
      <c r="C22932" t="s">
        <v>36008</v>
      </c>
      <c r="D22932" t="s">
        <v>64841</v>
      </c>
      <c r="E22932" t="b">
        <v>0</v>
      </c>
      <c r="F22932" t="s">
        <v>11610</v>
      </c>
      <c r="L22932">
        <v>0</v>
      </c>
      <c r="M22932">
        <v>0</v>
      </c>
      <c r="N22932">
        <v>0</v>
      </c>
    </row>
    <row r="22933" spans="1:15">
      <c r="A22933" t="s">
        <v>64842</v>
      </c>
      <c r="B22933" t="s">
        <v>367</v>
      </c>
      <c r="C22933" t="s">
        <v>27774</v>
      </c>
      <c r="D22933" t="s">
        <v>64843</v>
      </c>
      <c r="E22933" t="b">
        <v>0</v>
      </c>
      <c r="F22933" t="s">
        <v>11610</v>
      </c>
      <c r="L22933">
        <v>0</v>
      </c>
      <c r="M22933">
        <v>0</v>
      </c>
      <c r="N22933">
        <v>0</v>
      </c>
    </row>
    <row r="22934" spans="1:15">
      <c r="A22934" t="s">
        <v>38634</v>
      </c>
      <c r="B22934" t="s">
        <v>367</v>
      </c>
      <c r="C22934" t="s">
        <v>26582</v>
      </c>
      <c r="D22934" t="s">
        <v>64844</v>
      </c>
      <c r="E22934" t="b">
        <v>0</v>
      </c>
      <c r="F22934" t="s">
        <v>11624</v>
      </c>
      <c r="G22934">
        <v>-10.124599999999999</v>
      </c>
      <c r="H22934">
        <v>150.172</v>
      </c>
      <c r="I22934" t="s">
        <v>64845</v>
      </c>
      <c r="L22934">
        <v>0</v>
      </c>
      <c r="M22934">
        <v>0</v>
      </c>
      <c r="N22934">
        <v>4</v>
      </c>
      <c r="O22934" t="s">
        <v>11660</v>
      </c>
    </row>
    <row r="22935" spans="1:15">
      <c r="A22935" t="s">
        <v>64846</v>
      </c>
      <c r="B22935" t="s">
        <v>6742</v>
      </c>
      <c r="C22935" t="s">
        <v>17007</v>
      </c>
      <c r="D22935" t="s">
        <v>64847</v>
      </c>
      <c r="E22935" t="b">
        <v>0</v>
      </c>
      <c r="F22935" t="s">
        <v>11610</v>
      </c>
      <c r="L22935">
        <v>0</v>
      </c>
      <c r="M22935">
        <v>0</v>
      </c>
      <c r="N22935">
        <v>0</v>
      </c>
    </row>
    <row r="22936" spans="1:15">
      <c r="A22936" t="s">
        <v>26109</v>
      </c>
      <c r="B22936" t="s">
        <v>6742</v>
      </c>
      <c r="C22936" t="s">
        <v>17313</v>
      </c>
      <c r="D22936" t="s">
        <v>64848</v>
      </c>
      <c r="E22936" t="b">
        <v>0</v>
      </c>
      <c r="F22936" t="s">
        <v>11622</v>
      </c>
      <c r="L22936">
        <v>2</v>
      </c>
      <c r="M22936">
        <v>10</v>
      </c>
      <c r="N22936">
        <v>36</v>
      </c>
    </row>
    <row r="22937" spans="1:15">
      <c r="A22937" t="s">
        <v>64849</v>
      </c>
      <c r="B22937" t="s">
        <v>6742</v>
      </c>
      <c r="C22937" t="s">
        <v>22753</v>
      </c>
      <c r="D22937" t="s">
        <v>64850</v>
      </c>
      <c r="E22937" t="b">
        <v>0</v>
      </c>
      <c r="F22937" t="s">
        <v>11610</v>
      </c>
      <c r="L22937">
        <v>0</v>
      </c>
      <c r="M22937">
        <v>0</v>
      </c>
      <c r="N22937">
        <v>0</v>
      </c>
    </row>
    <row r="22938" spans="1:15">
      <c r="A22938" t="s">
        <v>64851</v>
      </c>
      <c r="B22938" t="s">
        <v>11637</v>
      </c>
      <c r="C22938" t="s">
        <v>11638</v>
      </c>
      <c r="D22938" t="s">
        <v>64852</v>
      </c>
      <c r="E22938" t="b">
        <v>0</v>
      </c>
      <c r="F22938" t="s">
        <v>11610</v>
      </c>
      <c r="L22938">
        <v>0</v>
      </c>
      <c r="M22938">
        <v>0</v>
      </c>
      <c r="N22938">
        <v>0</v>
      </c>
    </row>
    <row r="22939" spans="1:15">
      <c r="A22939" t="s">
        <v>64853</v>
      </c>
      <c r="B22939" t="s">
        <v>11637</v>
      </c>
      <c r="C22939" t="s">
        <v>13077</v>
      </c>
      <c r="D22939" t="s">
        <v>64854</v>
      </c>
      <c r="E22939" t="b">
        <v>0</v>
      </c>
      <c r="F22939" t="s">
        <v>11610</v>
      </c>
      <c r="L22939">
        <v>0</v>
      </c>
      <c r="M22939">
        <v>0</v>
      </c>
      <c r="N22939">
        <v>0</v>
      </c>
    </row>
    <row r="22940" spans="1:15">
      <c r="A22940" t="s">
        <v>64855</v>
      </c>
      <c r="B22940" t="s">
        <v>6742</v>
      </c>
      <c r="C22940" t="s">
        <v>12304</v>
      </c>
      <c r="D22940" t="s">
        <v>64856</v>
      </c>
      <c r="E22940" t="b">
        <v>0</v>
      </c>
      <c r="F22940" t="s">
        <v>11624</v>
      </c>
      <c r="G22940">
        <v>6.4616400000000001</v>
      </c>
      <c r="H22940">
        <v>10.121</v>
      </c>
      <c r="I22940" t="s">
        <v>64857</v>
      </c>
      <c r="L22940">
        <v>0</v>
      </c>
      <c r="M22940">
        <v>0</v>
      </c>
      <c r="N22940">
        <v>0</v>
      </c>
      <c r="O22940" t="s">
        <v>11703</v>
      </c>
    </row>
    <row r="22941" spans="1:15">
      <c r="A22941" t="s">
        <v>64858</v>
      </c>
      <c r="B22941" t="s">
        <v>11644</v>
      </c>
      <c r="C22941" t="s">
        <v>55649</v>
      </c>
      <c r="D22941" t="s">
        <v>64859</v>
      </c>
      <c r="E22941" t="b">
        <v>0</v>
      </c>
      <c r="F22941" t="s">
        <v>11610</v>
      </c>
      <c r="L22941">
        <v>0</v>
      </c>
      <c r="M22941">
        <v>0</v>
      </c>
      <c r="N22941">
        <v>0</v>
      </c>
    </row>
    <row r="22942" spans="1:15">
      <c r="A22942" t="s">
        <v>64860</v>
      </c>
      <c r="B22942" t="s">
        <v>11644</v>
      </c>
      <c r="C22942" t="s">
        <v>31002</v>
      </c>
      <c r="D22942" t="s">
        <v>64861</v>
      </c>
      <c r="E22942" t="b">
        <v>0</v>
      </c>
      <c r="F22942" t="s">
        <v>11610</v>
      </c>
      <c r="L22942">
        <v>0</v>
      </c>
      <c r="M22942">
        <v>0</v>
      </c>
      <c r="N22942">
        <v>0</v>
      </c>
    </row>
    <row r="22943" spans="1:15">
      <c r="A22943" t="s">
        <v>64862</v>
      </c>
      <c r="B22943" t="s">
        <v>15365</v>
      </c>
      <c r="C22943" t="s">
        <v>24416</v>
      </c>
      <c r="D22943" t="s">
        <v>64863</v>
      </c>
      <c r="E22943" t="b">
        <v>0</v>
      </c>
      <c r="F22943" t="s">
        <v>11610</v>
      </c>
      <c r="L22943">
        <v>0</v>
      </c>
      <c r="M22943">
        <v>0</v>
      </c>
      <c r="N22943">
        <v>0</v>
      </c>
    </row>
    <row r="22944" spans="1:15">
      <c r="A22944" t="s">
        <v>39547</v>
      </c>
      <c r="B22944" t="s">
        <v>367</v>
      </c>
      <c r="C22944" t="s">
        <v>39197</v>
      </c>
      <c r="D22944" t="s">
        <v>64864</v>
      </c>
      <c r="E22944" t="b">
        <v>0</v>
      </c>
      <c r="F22944" t="s">
        <v>11624</v>
      </c>
      <c r="G22944">
        <v>-9.5509900000000005</v>
      </c>
      <c r="H22944">
        <v>119.349</v>
      </c>
      <c r="I22944" t="s">
        <v>64865</v>
      </c>
      <c r="L22944">
        <v>0</v>
      </c>
      <c r="M22944">
        <v>0</v>
      </c>
      <c r="N22944">
        <v>8</v>
      </c>
      <c r="O22944" t="s">
        <v>11768</v>
      </c>
    </row>
    <row r="22945" spans="1:15">
      <c r="A22945" t="s">
        <v>64866</v>
      </c>
      <c r="B22945" t="s">
        <v>11627</v>
      </c>
      <c r="C22945" t="s">
        <v>11627</v>
      </c>
      <c r="D22945" t="s">
        <v>64867</v>
      </c>
      <c r="E22945" t="b">
        <v>1</v>
      </c>
      <c r="F22945" t="s">
        <v>11624</v>
      </c>
      <c r="G22945">
        <v>27.0457</v>
      </c>
      <c r="H22945">
        <v>98.319699999999997</v>
      </c>
      <c r="I22945" t="s">
        <v>64868</v>
      </c>
      <c r="L22945">
        <v>0</v>
      </c>
      <c r="M22945">
        <v>0</v>
      </c>
      <c r="N22945">
        <v>0</v>
      </c>
      <c r="O22945" t="s">
        <v>14059</v>
      </c>
    </row>
    <row r="22946" spans="1:15">
      <c r="A22946" t="s">
        <v>64869</v>
      </c>
      <c r="B22946" t="s">
        <v>367</v>
      </c>
      <c r="C22946" t="s">
        <v>14222</v>
      </c>
      <c r="D22946" t="s">
        <v>64870</v>
      </c>
      <c r="E22946" t="b">
        <v>0</v>
      </c>
      <c r="F22946" t="s">
        <v>11610</v>
      </c>
      <c r="L22946">
        <v>0</v>
      </c>
      <c r="M22946">
        <v>0</v>
      </c>
      <c r="N22946">
        <v>0</v>
      </c>
    </row>
    <row r="22947" spans="1:15">
      <c r="A22947" t="s">
        <v>64871</v>
      </c>
      <c r="B22947" t="s">
        <v>11615</v>
      </c>
      <c r="C22947" t="s">
        <v>63232</v>
      </c>
      <c r="D22947" t="s">
        <v>64872</v>
      </c>
      <c r="E22947" t="b">
        <v>0</v>
      </c>
      <c r="F22947" t="s">
        <v>11624</v>
      </c>
      <c r="G22947">
        <v>-5.9858799999999999</v>
      </c>
      <c r="H22947">
        <v>147.137</v>
      </c>
      <c r="I22947" t="s">
        <v>64873</v>
      </c>
      <c r="L22947">
        <v>0</v>
      </c>
      <c r="M22947">
        <v>0</v>
      </c>
      <c r="N22947">
        <v>0</v>
      </c>
      <c r="O22947" t="s">
        <v>11660</v>
      </c>
    </row>
    <row r="22948" spans="1:15">
      <c r="A22948" t="s">
        <v>64874</v>
      </c>
      <c r="B22948" t="s">
        <v>11607</v>
      </c>
      <c r="C22948" t="s">
        <v>49142</v>
      </c>
      <c r="D22948" t="s">
        <v>64875</v>
      </c>
      <c r="E22948" t="b">
        <v>0</v>
      </c>
      <c r="F22948" t="s">
        <v>11610</v>
      </c>
      <c r="L22948">
        <v>0</v>
      </c>
      <c r="M22948">
        <v>0</v>
      </c>
      <c r="N22948">
        <v>0</v>
      </c>
    </row>
    <row r="22949" spans="1:15">
      <c r="A22949" t="s">
        <v>64876</v>
      </c>
      <c r="B22949" t="s">
        <v>11637</v>
      </c>
      <c r="C22949" t="s">
        <v>13849</v>
      </c>
      <c r="D22949" t="s">
        <v>64877</v>
      </c>
      <c r="E22949" t="b">
        <v>0</v>
      </c>
      <c r="F22949" t="s">
        <v>11624</v>
      </c>
      <c r="G22949">
        <v>52.116599999999998</v>
      </c>
      <c r="H22949">
        <v>-3.7888000000000002</v>
      </c>
      <c r="I22949" t="s">
        <v>64878</v>
      </c>
      <c r="L22949">
        <v>0</v>
      </c>
      <c r="M22949">
        <v>0</v>
      </c>
      <c r="N22949">
        <v>0</v>
      </c>
      <c r="O22949" t="s">
        <v>19884</v>
      </c>
    </row>
    <row r="22950" spans="1:15">
      <c r="A22950" t="s">
        <v>5939</v>
      </c>
      <c r="B22950" t="s">
        <v>11637</v>
      </c>
      <c r="C22950" t="s">
        <v>51129</v>
      </c>
      <c r="D22950" t="s">
        <v>64879</v>
      </c>
      <c r="E22950" t="b">
        <v>0</v>
      </c>
      <c r="F22950" t="s">
        <v>11624</v>
      </c>
      <c r="G22950">
        <v>52</v>
      </c>
      <c r="H22950">
        <v>-4</v>
      </c>
      <c r="I22950" t="s">
        <v>5940</v>
      </c>
      <c r="L22950">
        <v>0</v>
      </c>
      <c r="M22950">
        <v>0</v>
      </c>
      <c r="N22950">
        <v>3</v>
      </c>
      <c r="O22950" t="s">
        <v>19884</v>
      </c>
    </row>
    <row r="22951" spans="1:15">
      <c r="A22951" t="s">
        <v>64880</v>
      </c>
      <c r="B22951" t="s">
        <v>11637</v>
      </c>
      <c r="C22951" t="s">
        <v>26702</v>
      </c>
      <c r="D22951" t="s">
        <v>64881</v>
      </c>
      <c r="E22951" t="b">
        <v>0</v>
      </c>
      <c r="F22951" t="s">
        <v>11610</v>
      </c>
      <c r="L22951">
        <v>0</v>
      </c>
      <c r="M22951">
        <v>0</v>
      </c>
      <c r="N22951">
        <v>0</v>
      </c>
    </row>
    <row r="22952" spans="1:15">
      <c r="A22952" t="s">
        <v>64882</v>
      </c>
      <c r="B22952" t="s">
        <v>13571</v>
      </c>
      <c r="C22952" t="s">
        <v>13572</v>
      </c>
      <c r="D22952" t="s">
        <v>64883</v>
      </c>
      <c r="E22952" t="b">
        <v>0</v>
      </c>
      <c r="F22952" t="s">
        <v>11610</v>
      </c>
      <c r="L22952">
        <v>0</v>
      </c>
      <c r="M22952">
        <v>0</v>
      </c>
      <c r="N22952">
        <v>0</v>
      </c>
    </row>
    <row r="22953" spans="1:15">
      <c r="A22953" t="s">
        <v>64884</v>
      </c>
      <c r="B22953" t="s">
        <v>10597</v>
      </c>
      <c r="C22953" t="s">
        <v>16982</v>
      </c>
      <c r="D22953" t="s">
        <v>64885</v>
      </c>
      <c r="E22953" t="b">
        <v>0</v>
      </c>
      <c r="F22953" t="s">
        <v>11610</v>
      </c>
      <c r="G22953">
        <v>-35.445</v>
      </c>
      <c r="H22953">
        <v>144.09</v>
      </c>
      <c r="I22953" t="s">
        <v>64886</v>
      </c>
      <c r="L22953">
        <v>0</v>
      </c>
      <c r="M22953">
        <v>0</v>
      </c>
      <c r="N22953">
        <v>0</v>
      </c>
      <c r="O22953" t="s">
        <v>12107</v>
      </c>
    </row>
    <row r="22954" spans="1:15">
      <c r="A22954" t="s">
        <v>16982</v>
      </c>
      <c r="B22954" t="s">
        <v>10597</v>
      </c>
      <c r="C22954" t="s">
        <v>24965</v>
      </c>
      <c r="D22954" t="s">
        <v>64887</v>
      </c>
      <c r="E22954" t="b">
        <v>0</v>
      </c>
      <c r="F22954" t="s">
        <v>11610</v>
      </c>
      <c r="L22954">
        <v>0</v>
      </c>
      <c r="M22954">
        <v>0</v>
      </c>
      <c r="N22954">
        <v>2</v>
      </c>
    </row>
    <row r="22955" spans="1:15">
      <c r="A22955" t="s">
        <v>64888</v>
      </c>
      <c r="B22955" t="s">
        <v>6742</v>
      </c>
      <c r="C22955" t="s">
        <v>15474</v>
      </c>
      <c r="D22955" t="s">
        <v>64889</v>
      </c>
      <c r="E22955" t="b">
        <v>0</v>
      </c>
      <c r="F22955" t="s">
        <v>11624</v>
      </c>
      <c r="G22955">
        <v>6.7722699999999998</v>
      </c>
      <c r="H22955">
        <v>2.4745699999999999</v>
      </c>
      <c r="I22955" t="s">
        <v>64890</v>
      </c>
      <c r="L22955">
        <v>0</v>
      </c>
      <c r="M22955">
        <v>0</v>
      </c>
      <c r="N22955">
        <v>0</v>
      </c>
      <c r="O22955" t="s">
        <v>15477</v>
      </c>
    </row>
    <row r="22956" spans="1:15">
      <c r="A22956" t="s">
        <v>64891</v>
      </c>
      <c r="B22956" t="s">
        <v>6742</v>
      </c>
      <c r="C22956" t="s">
        <v>12632</v>
      </c>
      <c r="D22956" t="s">
        <v>64892</v>
      </c>
      <c r="E22956" t="b">
        <v>0</v>
      </c>
      <c r="F22956" t="s">
        <v>11610</v>
      </c>
      <c r="L22956">
        <v>0</v>
      </c>
      <c r="M22956">
        <v>0</v>
      </c>
      <c r="N22956">
        <v>0</v>
      </c>
    </row>
    <row r="22957" spans="1:15">
      <c r="A22957" t="s">
        <v>64893</v>
      </c>
      <c r="B22957" t="s">
        <v>11615</v>
      </c>
      <c r="C22957" t="s">
        <v>35396</v>
      </c>
      <c r="D22957" t="s">
        <v>64894</v>
      </c>
      <c r="E22957" t="b">
        <v>0</v>
      </c>
      <c r="F22957" t="s">
        <v>11610</v>
      </c>
      <c r="L22957">
        <v>0</v>
      </c>
      <c r="M22957">
        <v>0</v>
      </c>
      <c r="N22957">
        <v>0</v>
      </c>
    </row>
    <row r="22958" spans="1:15">
      <c r="A22958" t="s">
        <v>64895</v>
      </c>
      <c r="B22958" t="s">
        <v>9071</v>
      </c>
      <c r="C22958" t="s">
        <v>23285</v>
      </c>
      <c r="D22958" t="s">
        <v>64896</v>
      </c>
      <c r="E22958" t="b">
        <v>0</v>
      </c>
      <c r="F22958" t="s">
        <v>11610</v>
      </c>
      <c r="L22958">
        <v>0</v>
      </c>
      <c r="M22958">
        <v>0</v>
      </c>
      <c r="N22958">
        <v>0</v>
      </c>
    </row>
    <row r="22959" spans="1:15">
      <c r="A22959" t="s">
        <v>64897</v>
      </c>
      <c r="B22959" t="s">
        <v>12254</v>
      </c>
      <c r="C22959" t="s">
        <v>12255</v>
      </c>
      <c r="D22959" t="s">
        <v>64898</v>
      </c>
      <c r="E22959" t="b">
        <v>0</v>
      </c>
      <c r="F22959" t="s">
        <v>11610</v>
      </c>
      <c r="L22959">
        <v>0</v>
      </c>
      <c r="M22959">
        <v>0</v>
      </c>
      <c r="N22959">
        <v>0</v>
      </c>
    </row>
    <row r="22960" spans="1:15">
      <c r="A22960" t="s">
        <v>23872</v>
      </c>
      <c r="B22960" t="s">
        <v>5126</v>
      </c>
      <c r="C22960" t="s">
        <v>21825</v>
      </c>
      <c r="D22960" t="s">
        <v>64899</v>
      </c>
      <c r="E22960" t="b">
        <v>0</v>
      </c>
      <c r="F22960" t="s">
        <v>11622</v>
      </c>
      <c r="L22960">
        <v>17</v>
      </c>
      <c r="M22960">
        <v>35</v>
      </c>
      <c r="N22960">
        <v>33</v>
      </c>
    </row>
    <row r="22961" spans="1:15">
      <c r="A22961" t="s">
        <v>52771</v>
      </c>
      <c r="B22961" t="s">
        <v>6742</v>
      </c>
      <c r="C22961" t="s">
        <v>26109</v>
      </c>
      <c r="D22961" t="s">
        <v>64900</v>
      </c>
      <c r="E22961" t="b">
        <v>0</v>
      </c>
      <c r="F22961" t="s">
        <v>11624</v>
      </c>
      <c r="G22961">
        <v>7.4039099999999998</v>
      </c>
      <c r="H22961">
        <v>-7.2461700000000002</v>
      </c>
      <c r="I22961" t="s">
        <v>64901</v>
      </c>
      <c r="L22961">
        <v>0</v>
      </c>
      <c r="M22961">
        <v>0</v>
      </c>
      <c r="N22961">
        <v>3</v>
      </c>
      <c r="O22961" t="s">
        <v>11735</v>
      </c>
    </row>
    <row r="22962" spans="1:15">
      <c r="A22962" t="s">
        <v>64902</v>
      </c>
      <c r="B22962" t="s">
        <v>13360</v>
      </c>
      <c r="C22962" t="s">
        <v>13360</v>
      </c>
      <c r="D22962" t="s">
        <v>64903</v>
      </c>
      <c r="E22962" t="b">
        <v>0</v>
      </c>
      <c r="F22962" t="s">
        <v>11624</v>
      </c>
      <c r="G22962">
        <v>43.14</v>
      </c>
      <c r="H22962">
        <v>-78.475562999999994</v>
      </c>
      <c r="L22962">
        <v>0</v>
      </c>
      <c r="M22962">
        <v>0</v>
      </c>
      <c r="N22962">
        <v>0</v>
      </c>
      <c r="O22962" t="s">
        <v>11944</v>
      </c>
    </row>
    <row r="22963" spans="1:15">
      <c r="A22963" t="s">
        <v>64904</v>
      </c>
      <c r="B22963" t="s">
        <v>6742</v>
      </c>
      <c r="C22963" t="s">
        <v>35665</v>
      </c>
      <c r="D22963" t="s">
        <v>64905</v>
      </c>
      <c r="E22963" t="b">
        <v>0</v>
      </c>
      <c r="F22963" t="s">
        <v>11610</v>
      </c>
      <c r="L22963">
        <v>0</v>
      </c>
      <c r="M22963">
        <v>0</v>
      </c>
      <c r="N22963">
        <v>0</v>
      </c>
    </row>
    <row r="22964" spans="1:15">
      <c r="A22964" t="s">
        <v>64906</v>
      </c>
      <c r="B22964" t="s">
        <v>12487</v>
      </c>
      <c r="C22964" t="s">
        <v>30678</v>
      </c>
      <c r="D22964" t="s">
        <v>64907</v>
      </c>
      <c r="E22964" t="b">
        <v>0</v>
      </c>
      <c r="F22964" t="s">
        <v>11610</v>
      </c>
      <c r="L22964">
        <v>0</v>
      </c>
      <c r="M22964">
        <v>0</v>
      </c>
      <c r="N22964">
        <v>0</v>
      </c>
    </row>
    <row r="22965" spans="1:15">
      <c r="A22965" t="s">
        <v>64908</v>
      </c>
      <c r="B22965" t="s">
        <v>6742</v>
      </c>
      <c r="C22965" t="s">
        <v>4025</v>
      </c>
      <c r="D22965" t="s">
        <v>64909</v>
      </c>
      <c r="E22965" t="b">
        <v>0</v>
      </c>
      <c r="F22965" t="s">
        <v>11610</v>
      </c>
      <c r="L22965">
        <v>0</v>
      </c>
      <c r="M22965">
        <v>0</v>
      </c>
      <c r="N22965">
        <v>0</v>
      </c>
    </row>
    <row r="22966" spans="1:15">
      <c r="A22966" t="s">
        <v>64910</v>
      </c>
      <c r="B22966" t="s">
        <v>367</v>
      </c>
      <c r="C22966" t="s">
        <v>25522</v>
      </c>
      <c r="D22966" t="s">
        <v>64911</v>
      </c>
      <c r="E22966" t="b">
        <v>0</v>
      </c>
      <c r="F22966" t="s">
        <v>11610</v>
      </c>
      <c r="L22966">
        <v>0</v>
      </c>
      <c r="M22966">
        <v>0</v>
      </c>
      <c r="N22966">
        <v>0</v>
      </c>
    </row>
    <row r="22967" spans="1:15">
      <c r="A22967" t="s">
        <v>64912</v>
      </c>
      <c r="B22967" t="s">
        <v>14005</v>
      </c>
      <c r="C22967" t="s">
        <v>14006</v>
      </c>
      <c r="D22967" t="s">
        <v>64913</v>
      </c>
      <c r="E22967" t="b">
        <v>0</v>
      </c>
      <c r="F22967" t="s">
        <v>11610</v>
      </c>
      <c r="L22967">
        <v>0</v>
      </c>
      <c r="M22967">
        <v>0</v>
      </c>
      <c r="N22967">
        <v>0</v>
      </c>
    </row>
    <row r="22968" spans="1:15">
      <c r="A22968" t="s">
        <v>64914</v>
      </c>
      <c r="B22968" t="s">
        <v>11794</v>
      </c>
      <c r="C22968" t="s">
        <v>16961</v>
      </c>
      <c r="D22968" t="s">
        <v>64915</v>
      </c>
      <c r="E22968" t="b">
        <v>0</v>
      </c>
      <c r="F22968" t="s">
        <v>11624</v>
      </c>
      <c r="G22968">
        <v>-8.4219399999999993</v>
      </c>
      <c r="H22968">
        <v>142.447</v>
      </c>
      <c r="I22968" t="s">
        <v>64916</v>
      </c>
      <c r="L22968">
        <v>0</v>
      </c>
      <c r="M22968">
        <v>0</v>
      </c>
      <c r="N22968">
        <v>0</v>
      </c>
      <c r="O22968" t="s">
        <v>11660</v>
      </c>
    </row>
    <row r="22969" spans="1:15">
      <c r="A22969" t="s">
        <v>64917</v>
      </c>
      <c r="B22969" t="s">
        <v>10597</v>
      </c>
      <c r="C22969" t="s">
        <v>24957</v>
      </c>
      <c r="D22969" t="s">
        <v>64918</v>
      </c>
      <c r="E22969" t="b">
        <v>0</v>
      </c>
      <c r="F22969" t="s">
        <v>11610</v>
      </c>
      <c r="I22969" t="s">
        <v>64919</v>
      </c>
      <c r="L22969">
        <v>0</v>
      </c>
      <c r="M22969">
        <v>0</v>
      </c>
      <c r="N22969">
        <v>0</v>
      </c>
      <c r="O22969" t="s">
        <v>12107</v>
      </c>
    </row>
    <row r="22970" spans="1:15">
      <c r="A22970" t="s">
        <v>64920</v>
      </c>
      <c r="B22970" t="s">
        <v>14314</v>
      </c>
      <c r="C22970" t="s">
        <v>16878</v>
      </c>
      <c r="D22970" t="s">
        <v>64921</v>
      </c>
      <c r="E22970" t="b">
        <v>0</v>
      </c>
      <c r="F22970" t="s">
        <v>11610</v>
      </c>
      <c r="L22970">
        <v>0</v>
      </c>
      <c r="M22970">
        <v>0</v>
      </c>
      <c r="N22970">
        <v>0</v>
      </c>
    </row>
    <row r="22971" spans="1:15">
      <c r="A22971" t="s">
        <v>64922</v>
      </c>
      <c r="B22971" t="s">
        <v>11834</v>
      </c>
      <c r="C22971" t="s">
        <v>19407</v>
      </c>
      <c r="D22971" t="s">
        <v>64923</v>
      </c>
      <c r="E22971" t="b">
        <v>0</v>
      </c>
      <c r="F22971" t="s">
        <v>11610</v>
      </c>
      <c r="L22971">
        <v>0</v>
      </c>
      <c r="M22971">
        <v>0</v>
      </c>
      <c r="N22971">
        <v>0</v>
      </c>
    </row>
    <row r="22972" spans="1:15">
      <c r="A22972" t="s">
        <v>64924</v>
      </c>
      <c r="B22972" t="s">
        <v>11834</v>
      </c>
      <c r="C22972" t="s">
        <v>19407</v>
      </c>
      <c r="D22972" t="s">
        <v>64925</v>
      </c>
      <c r="E22972" t="b">
        <v>0</v>
      </c>
      <c r="F22972" t="s">
        <v>11610</v>
      </c>
      <c r="L22972">
        <v>0</v>
      </c>
      <c r="M22972">
        <v>0</v>
      </c>
      <c r="N22972">
        <v>0</v>
      </c>
    </row>
    <row r="22973" spans="1:15">
      <c r="A22973" t="s">
        <v>18409</v>
      </c>
      <c r="B22973" t="s">
        <v>13264</v>
      </c>
      <c r="C22973" t="s">
        <v>13265</v>
      </c>
      <c r="D22973" t="s">
        <v>64926</v>
      </c>
      <c r="E22973" t="b">
        <v>0</v>
      </c>
      <c r="F22973" t="s">
        <v>11624</v>
      </c>
      <c r="G22973">
        <v>-7.7183400000000004</v>
      </c>
      <c r="H22973">
        <v>146.91399999999999</v>
      </c>
      <c r="I22973" t="s">
        <v>64927</v>
      </c>
      <c r="L22973">
        <v>0</v>
      </c>
      <c r="M22973">
        <v>0</v>
      </c>
      <c r="N22973">
        <v>3</v>
      </c>
      <c r="O22973" t="s">
        <v>11660</v>
      </c>
    </row>
    <row r="22974" spans="1:15">
      <c r="A22974" t="s">
        <v>13265</v>
      </c>
      <c r="B22974" t="s">
        <v>13264</v>
      </c>
      <c r="C22974" t="s">
        <v>13264</v>
      </c>
      <c r="D22974" t="s">
        <v>64928</v>
      </c>
      <c r="E22974" t="b">
        <v>0</v>
      </c>
      <c r="F22974" t="s">
        <v>11622</v>
      </c>
      <c r="L22974">
        <v>0</v>
      </c>
      <c r="M22974">
        <v>2</v>
      </c>
      <c r="N22974">
        <v>3</v>
      </c>
    </row>
    <row r="22975" spans="1:15">
      <c r="A22975" t="s">
        <v>64929</v>
      </c>
      <c r="B22975" t="s">
        <v>21516</v>
      </c>
      <c r="C22975" t="s">
        <v>39031</v>
      </c>
      <c r="D22975" t="s">
        <v>64930</v>
      </c>
      <c r="E22975" t="b">
        <v>0</v>
      </c>
      <c r="F22975" t="s">
        <v>11610</v>
      </c>
      <c r="L22975">
        <v>0</v>
      </c>
      <c r="M22975">
        <v>0</v>
      </c>
      <c r="N22975">
        <v>0</v>
      </c>
    </row>
    <row r="22976" spans="1:15">
      <c r="A22976" t="s">
        <v>37033</v>
      </c>
      <c r="B22976" t="s">
        <v>11839</v>
      </c>
      <c r="C22976" t="s">
        <v>37030</v>
      </c>
      <c r="D22976" t="s">
        <v>64931</v>
      </c>
      <c r="E22976" t="b">
        <v>0</v>
      </c>
      <c r="F22976" t="s">
        <v>11624</v>
      </c>
      <c r="G22976">
        <v>-8.3393599999999992</v>
      </c>
      <c r="H22976">
        <v>124.932</v>
      </c>
      <c r="I22976" t="s">
        <v>64932</v>
      </c>
      <c r="L22976">
        <v>0</v>
      </c>
      <c r="M22976">
        <v>0</v>
      </c>
      <c r="N22976">
        <v>3</v>
      </c>
      <c r="O22976" t="s">
        <v>11768</v>
      </c>
    </row>
    <row r="22977" spans="1:15">
      <c r="A22977" t="s">
        <v>64933</v>
      </c>
      <c r="B22977" t="s">
        <v>6742</v>
      </c>
      <c r="C22977" t="s">
        <v>20440</v>
      </c>
      <c r="D22977" t="s">
        <v>64934</v>
      </c>
      <c r="E22977" t="b">
        <v>0</v>
      </c>
      <c r="F22977" t="s">
        <v>11610</v>
      </c>
      <c r="L22977">
        <v>0</v>
      </c>
      <c r="M22977">
        <v>0</v>
      </c>
      <c r="N22977">
        <v>0</v>
      </c>
    </row>
    <row r="22978" spans="1:15">
      <c r="A22978" t="s">
        <v>64935</v>
      </c>
      <c r="B22978" t="s">
        <v>6742</v>
      </c>
      <c r="C22978" t="s">
        <v>30511</v>
      </c>
      <c r="D22978" t="s">
        <v>64936</v>
      </c>
      <c r="E22978" t="b">
        <v>0</v>
      </c>
      <c r="F22978" t="s">
        <v>11610</v>
      </c>
      <c r="L22978">
        <v>0</v>
      </c>
      <c r="M22978">
        <v>0</v>
      </c>
      <c r="N22978">
        <v>0</v>
      </c>
    </row>
    <row r="22979" spans="1:15">
      <c r="A22979" t="s">
        <v>64937</v>
      </c>
      <c r="B22979" t="s">
        <v>11637</v>
      </c>
      <c r="C22979" t="s">
        <v>27161</v>
      </c>
      <c r="D22979" t="s">
        <v>64938</v>
      </c>
      <c r="E22979" t="b">
        <v>0</v>
      </c>
      <c r="F22979" t="s">
        <v>11610</v>
      </c>
      <c r="L22979">
        <v>0</v>
      </c>
      <c r="M22979">
        <v>0</v>
      </c>
      <c r="N22979">
        <v>0</v>
      </c>
    </row>
    <row r="22980" spans="1:15">
      <c r="A22980" t="s">
        <v>18216</v>
      </c>
      <c r="B22980" t="s">
        <v>6742</v>
      </c>
      <c r="C22980" t="s">
        <v>29932</v>
      </c>
      <c r="D22980" t="s">
        <v>64939</v>
      </c>
      <c r="E22980" t="b">
        <v>0</v>
      </c>
      <c r="F22980" t="s">
        <v>11624</v>
      </c>
      <c r="G22980">
        <v>6.5001300000000004</v>
      </c>
      <c r="H22980">
        <v>-7.6342699999999999</v>
      </c>
      <c r="I22980" t="s">
        <v>64940</v>
      </c>
      <c r="L22980">
        <v>0</v>
      </c>
      <c r="M22980">
        <v>0</v>
      </c>
      <c r="N22980">
        <v>9</v>
      </c>
      <c r="O22980" t="s">
        <v>23855</v>
      </c>
    </row>
    <row r="22981" spans="1:15">
      <c r="A22981" t="s">
        <v>64941</v>
      </c>
      <c r="B22981" t="s">
        <v>12557</v>
      </c>
      <c r="C22981" t="s">
        <v>25809</v>
      </c>
      <c r="D22981" t="s">
        <v>64942</v>
      </c>
      <c r="E22981" t="b">
        <v>0</v>
      </c>
      <c r="F22981" t="s">
        <v>11610</v>
      </c>
      <c r="L22981">
        <v>0</v>
      </c>
      <c r="M22981">
        <v>0</v>
      </c>
      <c r="N22981">
        <v>0</v>
      </c>
    </row>
    <row r="22982" spans="1:15">
      <c r="A22982" t="s">
        <v>23535</v>
      </c>
      <c r="B22982" t="s">
        <v>331</v>
      </c>
      <c r="C22982" t="s">
        <v>26628</v>
      </c>
      <c r="D22982" t="s">
        <v>64943</v>
      </c>
      <c r="E22982" t="b">
        <v>0</v>
      </c>
      <c r="F22982" t="s">
        <v>11622</v>
      </c>
      <c r="L22982">
        <v>1</v>
      </c>
      <c r="M22982">
        <v>6</v>
      </c>
      <c r="N22982">
        <v>14</v>
      </c>
    </row>
    <row r="22983" spans="1:15">
      <c r="A22983" t="s">
        <v>12558</v>
      </c>
      <c r="B22983" t="s">
        <v>12557</v>
      </c>
      <c r="C22983" t="s">
        <v>38712</v>
      </c>
      <c r="D22983" t="s">
        <v>64944</v>
      </c>
      <c r="E22983" t="b">
        <v>0</v>
      </c>
      <c r="F22983" t="s">
        <v>11622</v>
      </c>
      <c r="L22983">
        <v>0</v>
      </c>
      <c r="M22983">
        <v>2</v>
      </c>
      <c r="N22983">
        <v>0</v>
      </c>
    </row>
    <row r="22984" spans="1:15">
      <c r="A22984" t="s">
        <v>19917</v>
      </c>
      <c r="B22984" t="s">
        <v>12438</v>
      </c>
      <c r="C22984" t="s">
        <v>35456</v>
      </c>
      <c r="D22984" t="s">
        <v>64945</v>
      </c>
      <c r="E22984" t="b">
        <v>0</v>
      </c>
      <c r="F22984" t="s">
        <v>11622</v>
      </c>
      <c r="L22984">
        <v>5</v>
      </c>
      <c r="M22984">
        <v>7</v>
      </c>
      <c r="N22984">
        <v>15</v>
      </c>
    </row>
    <row r="22985" spans="1:15">
      <c r="A22985" t="s">
        <v>27929</v>
      </c>
      <c r="D22985" t="s">
        <v>64946</v>
      </c>
      <c r="E22985" t="b">
        <v>0</v>
      </c>
      <c r="F22985" t="s">
        <v>11622</v>
      </c>
      <c r="L22985">
        <v>2</v>
      </c>
      <c r="M22985">
        <v>5</v>
      </c>
      <c r="N22985">
        <v>9</v>
      </c>
    </row>
    <row r="22986" spans="1:15">
      <c r="A22986" t="s">
        <v>53503</v>
      </c>
      <c r="D22986" t="s">
        <v>64947</v>
      </c>
      <c r="E22986" t="b">
        <v>0</v>
      </c>
      <c r="F22986" t="s">
        <v>11622</v>
      </c>
      <c r="L22986">
        <v>0</v>
      </c>
      <c r="M22986">
        <v>2</v>
      </c>
      <c r="N22986">
        <v>0</v>
      </c>
    </row>
    <row r="22987" spans="1:15">
      <c r="A22987" t="s">
        <v>64948</v>
      </c>
      <c r="B22987" t="s">
        <v>11644</v>
      </c>
      <c r="C22987" t="s">
        <v>21918</v>
      </c>
      <c r="D22987" t="s">
        <v>64949</v>
      </c>
      <c r="E22987" t="b">
        <v>0</v>
      </c>
      <c r="F22987" t="s">
        <v>11624</v>
      </c>
      <c r="G22987">
        <v>24.73</v>
      </c>
      <c r="H22987">
        <v>98.9</v>
      </c>
      <c r="I22987" t="s">
        <v>64950</v>
      </c>
      <c r="L22987">
        <v>0</v>
      </c>
      <c r="M22987">
        <v>0</v>
      </c>
      <c r="N22987">
        <v>0</v>
      </c>
      <c r="O22987" t="s">
        <v>11905</v>
      </c>
    </row>
    <row r="22988" spans="1:15">
      <c r="A22988" t="s">
        <v>64951</v>
      </c>
      <c r="B22988" t="s">
        <v>5058</v>
      </c>
      <c r="C22988" t="s">
        <v>21313</v>
      </c>
      <c r="D22988" t="s">
        <v>64952</v>
      </c>
      <c r="E22988" t="b">
        <v>0</v>
      </c>
      <c r="F22988" t="s">
        <v>11624</v>
      </c>
      <c r="G22988">
        <v>25.651800000000001</v>
      </c>
      <c r="H22988">
        <v>106.122</v>
      </c>
      <c r="I22988" t="s">
        <v>64953</v>
      </c>
      <c r="L22988">
        <v>0</v>
      </c>
      <c r="M22988">
        <v>0</v>
      </c>
      <c r="N22988">
        <v>0</v>
      </c>
      <c r="O22988" t="s">
        <v>11905</v>
      </c>
    </row>
    <row r="22989" spans="1:15">
      <c r="A22989" t="s">
        <v>64954</v>
      </c>
      <c r="B22989" t="s">
        <v>4725</v>
      </c>
      <c r="C22989" t="s">
        <v>17287</v>
      </c>
      <c r="D22989" t="s">
        <v>64955</v>
      </c>
      <c r="E22989" t="b">
        <v>0</v>
      </c>
      <c r="F22989" t="s">
        <v>11610</v>
      </c>
      <c r="L22989">
        <v>0</v>
      </c>
      <c r="M22989">
        <v>0</v>
      </c>
      <c r="N22989">
        <v>0</v>
      </c>
    </row>
    <row r="22990" spans="1:15">
      <c r="A22990" t="s">
        <v>64956</v>
      </c>
      <c r="B22990" t="s">
        <v>12979</v>
      </c>
      <c r="C22990" t="s">
        <v>48870</v>
      </c>
      <c r="D22990" t="s">
        <v>64957</v>
      </c>
      <c r="E22990" t="b">
        <v>0</v>
      </c>
      <c r="F22990" t="s">
        <v>11624</v>
      </c>
      <c r="G22990">
        <v>50.566400000000002</v>
      </c>
      <c r="H22990">
        <v>-102.52500000000001</v>
      </c>
      <c r="I22990" t="s">
        <v>64958</v>
      </c>
      <c r="L22990">
        <v>0</v>
      </c>
      <c r="M22990">
        <v>0</v>
      </c>
      <c r="N22990">
        <v>0</v>
      </c>
      <c r="O22990" t="s">
        <v>13049</v>
      </c>
    </row>
    <row r="22991" spans="1:15">
      <c r="A22991" t="s">
        <v>64959</v>
      </c>
      <c r="B22991" t="s">
        <v>21317</v>
      </c>
      <c r="C22991" t="s">
        <v>21316</v>
      </c>
      <c r="D22991" t="s">
        <v>64960</v>
      </c>
      <c r="E22991" t="b">
        <v>0</v>
      </c>
      <c r="F22991" t="s">
        <v>11624</v>
      </c>
      <c r="G22991">
        <v>20.4574</v>
      </c>
      <c r="H22991">
        <v>-97.948599999999999</v>
      </c>
      <c r="I22991" t="s">
        <v>64961</v>
      </c>
      <c r="L22991">
        <v>0</v>
      </c>
      <c r="M22991">
        <v>0</v>
      </c>
      <c r="N22991">
        <v>0</v>
      </c>
      <c r="O22991" t="s">
        <v>11883</v>
      </c>
    </row>
    <row r="22992" spans="1:15">
      <c r="A22992" t="s">
        <v>64962</v>
      </c>
      <c r="B22992" t="s">
        <v>12260</v>
      </c>
      <c r="C22992" t="s">
        <v>25893</v>
      </c>
      <c r="D22992" t="s">
        <v>64963</v>
      </c>
      <c r="E22992" t="b">
        <v>0</v>
      </c>
      <c r="F22992" t="s">
        <v>11610</v>
      </c>
      <c r="L22992">
        <v>0</v>
      </c>
      <c r="M22992">
        <v>0</v>
      </c>
      <c r="N22992">
        <v>0</v>
      </c>
    </row>
    <row r="22993" spans="1:15">
      <c r="A22993" t="s">
        <v>64964</v>
      </c>
      <c r="B22993" t="s">
        <v>11644</v>
      </c>
      <c r="C22993" t="s">
        <v>24647</v>
      </c>
      <c r="D22993" t="s">
        <v>64965</v>
      </c>
      <c r="E22993" t="b">
        <v>0</v>
      </c>
      <c r="F22993" t="s">
        <v>11610</v>
      </c>
      <c r="L22993">
        <v>0</v>
      </c>
      <c r="M22993">
        <v>0</v>
      </c>
      <c r="N22993">
        <v>0</v>
      </c>
    </row>
    <row r="22994" spans="1:15">
      <c r="A22994" t="s">
        <v>64966</v>
      </c>
      <c r="B22994" t="s">
        <v>53503</v>
      </c>
      <c r="C22994" t="s">
        <v>53503</v>
      </c>
      <c r="D22994" t="s">
        <v>64967</v>
      </c>
      <c r="E22994" t="b">
        <v>0</v>
      </c>
      <c r="F22994" t="s">
        <v>11624</v>
      </c>
      <c r="G22994">
        <v>-41.885921000000003</v>
      </c>
      <c r="H22994">
        <v>145.20446799999999</v>
      </c>
      <c r="L22994">
        <v>0</v>
      </c>
      <c r="M22994">
        <v>0</v>
      </c>
      <c r="N22994">
        <v>0</v>
      </c>
      <c r="O22994" t="s">
        <v>12107</v>
      </c>
    </row>
    <row r="22995" spans="1:15">
      <c r="A22995" t="s">
        <v>22012</v>
      </c>
      <c r="B22995" t="s">
        <v>11637</v>
      </c>
      <c r="C22995" t="s">
        <v>9200</v>
      </c>
      <c r="D22995" t="s">
        <v>64968</v>
      </c>
      <c r="E22995" t="b">
        <v>0</v>
      </c>
      <c r="F22995" t="s">
        <v>11610</v>
      </c>
      <c r="L22995">
        <v>0</v>
      </c>
      <c r="M22995">
        <v>0</v>
      </c>
      <c r="N22995">
        <v>2</v>
      </c>
    </row>
    <row r="22996" spans="1:15">
      <c r="A22996" t="s">
        <v>64969</v>
      </c>
      <c r="B22996" t="s">
        <v>11637</v>
      </c>
      <c r="C22996" t="s">
        <v>21100</v>
      </c>
      <c r="D22996" t="s">
        <v>64970</v>
      </c>
      <c r="E22996" t="b">
        <v>0</v>
      </c>
      <c r="F22996" t="s">
        <v>11610</v>
      </c>
      <c r="L22996">
        <v>0</v>
      </c>
      <c r="M22996">
        <v>0</v>
      </c>
      <c r="N22996">
        <v>0</v>
      </c>
    </row>
    <row r="22997" spans="1:15">
      <c r="A22997" t="s">
        <v>64971</v>
      </c>
      <c r="B22997" t="s">
        <v>11637</v>
      </c>
      <c r="C22997" t="s">
        <v>21154</v>
      </c>
      <c r="D22997" t="s">
        <v>64972</v>
      </c>
      <c r="E22997" t="b">
        <v>0</v>
      </c>
      <c r="F22997" t="s">
        <v>11610</v>
      </c>
      <c r="L22997">
        <v>0</v>
      </c>
      <c r="M22997">
        <v>0</v>
      </c>
      <c r="N22997">
        <v>0</v>
      </c>
    </row>
    <row r="22998" spans="1:15">
      <c r="A22998" t="s">
        <v>64973</v>
      </c>
      <c r="B22998" t="s">
        <v>11637</v>
      </c>
      <c r="C22998" t="s">
        <v>14906</v>
      </c>
      <c r="D22998" t="s">
        <v>64974</v>
      </c>
      <c r="E22998" t="b">
        <v>0</v>
      </c>
      <c r="F22998" t="s">
        <v>11610</v>
      </c>
      <c r="L22998">
        <v>0</v>
      </c>
      <c r="M22998">
        <v>0</v>
      </c>
      <c r="N22998">
        <v>0</v>
      </c>
    </row>
    <row r="22999" spans="1:15">
      <c r="A22999" t="s">
        <v>64975</v>
      </c>
      <c r="B22999" t="s">
        <v>11637</v>
      </c>
      <c r="C22999" t="s">
        <v>14262</v>
      </c>
      <c r="D22999" t="s">
        <v>64976</v>
      </c>
      <c r="E22999" t="b">
        <v>0</v>
      </c>
      <c r="F22999" t="s">
        <v>11610</v>
      </c>
      <c r="L22999">
        <v>0</v>
      </c>
      <c r="M22999">
        <v>0</v>
      </c>
      <c r="N22999">
        <v>0</v>
      </c>
    </row>
    <row r="23000" spans="1:15">
      <c r="A23000" t="s">
        <v>64977</v>
      </c>
      <c r="B23000" t="s">
        <v>11637</v>
      </c>
      <c r="C23000" t="s">
        <v>19284</v>
      </c>
      <c r="D23000" t="s">
        <v>64978</v>
      </c>
      <c r="E23000" t="b">
        <v>0</v>
      </c>
      <c r="F23000" t="s">
        <v>11610</v>
      </c>
      <c r="L23000">
        <v>0</v>
      </c>
      <c r="M23000">
        <v>0</v>
      </c>
      <c r="N23000">
        <v>0</v>
      </c>
    </row>
    <row r="23001" spans="1:15">
      <c r="A23001" t="s">
        <v>64979</v>
      </c>
      <c r="B23001" t="s">
        <v>11637</v>
      </c>
      <c r="C23001" t="s">
        <v>13136</v>
      </c>
      <c r="D23001" t="s">
        <v>64980</v>
      </c>
      <c r="E23001" t="b">
        <v>0</v>
      </c>
      <c r="F23001" t="s">
        <v>11610</v>
      </c>
      <c r="L23001">
        <v>0</v>
      </c>
      <c r="M23001">
        <v>0</v>
      </c>
      <c r="N23001">
        <v>0</v>
      </c>
    </row>
    <row r="23002" spans="1:15">
      <c r="A23002" t="s">
        <v>64981</v>
      </c>
      <c r="B23002" t="s">
        <v>11637</v>
      </c>
      <c r="C23002" t="s">
        <v>7332</v>
      </c>
      <c r="D23002" t="s">
        <v>64982</v>
      </c>
      <c r="E23002" t="b">
        <v>0</v>
      </c>
      <c r="F23002" t="s">
        <v>11610</v>
      </c>
      <c r="L23002">
        <v>0</v>
      </c>
      <c r="M23002">
        <v>0</v>
      </c>
      <c r="N23002">
        <v>0</v>
      </c>
    </row>
    <row r="23003" spans="1:15">
      <c r="A23003" t="s">
        <v>64983</v>
      </c>
      <c r="B23003" t="s">
        <v>11637</v>
      </c>
      <c r="C23003" t="s">
        <v>14419</v>
      </c>
      <c r="D23003" t="s">
        <v>64984</v>
      </c>
      <c r="E23003" t="b">
        <v>0</v>
      </c>
      <c r="F23003" t="s">
        <v>11610</v>
      </c>
      <c r="L23003">
        <v>0</v>
      </c>
      <c r="M23003">
        <v>0</v>
      </c>
      <c r="N23003">
        <v>0</v>
      </c>
    </row>
    <row r="23004" spans="1:15">
      <c r="A23004" t="s">
        <v>64985</v>
      </c>
      <c r="B23004" t="s">
        <v>11637</v>
      </c>
      <c r="C23004" t="s">
        <v>5695</v>
      </c>
      <c r="D23004" t="s">
        <v>64986</v>
      </c>
      <c r="E23004" t="b">
        <v>0</v>
      </c>
      <c r="F23004" t="s">
        <v>11610</v>
      </c>
      <c r="L23004">
        <v>0</v>
      </c>
      <c r="M23004">
        <v>0</v>
      </c>
      <c r="N23004">
        <v>0</v>
      </c>
    </row>
    <row r="23005" spans="1:15">
      <c r="A23005" t="s">
        <v>64987</v>
      </c>
      <c r="B23005" t="s">
        <v>11637</v>
      </c>
      <c r="C23005" t="s">
        <v>48285</v>
      </c>
      <c r="D23005" t="s">
        <v>64988</v>
      </c>
      <c r="E23005" t="b">
        <v>0</v>
      </c>
      <c r="F23005" t="s">
        <v>11610</v>
      </c>
      <c r="L23005">
        <v>0</v>
      </c>
      <c r="M23005">
        <v>0</v>
      </c>
      <c r="N23005">
        <v>0</v>
      </c>
    </row>
    <row r="23006" spans="1:15">
      <c r="A23006" t="s">
        <v>36773</v>
      </c>
      <c r="B23006" t="s">
        <v>11637</v>
      </c>
      <c r="C23006" t="s">
        <v>60955</v>
      </c>
      <c r="D23006" t="s">
        <v>64989</v>
      </c>
      <c r="E23006" t="b">
        <v>0</v>
      </c>
      <c r="F23006" t="s">
        <v>11624</v>
      </c>
      <c r="G23006">
        <v>53.143000000000001</v>
      </c>
      <c r="H23006">
        <v>5.8609099999999996</v>
      </c>
      <c r="I23006" t="s">
        <v>64990</v>
      </c>
      <c r="L23006">
        <v>0</v>
      </c>
      <c r="M23006">
        <v>0</v>
      </c>
      <c r="N23006">
        <v>3</v>
      </c>
      <c r="O23006" t="s">
        <v>25638</v>
      </c>
    </row>
    <row r="23007" spans="1:15">
      <c r="A23007" t="s">
        <v>11936</v>
      </c>
      <c r="B23007" t="s">
        <v>11637</v>
      </c>
      <c r="C23007" t="s">
        <v>25840</v>
      </c>
      <c r="D23007" t="s">
        <v>64991</v>
      </c>
      <c r="E23007" t="b">
        <v>0</v>
      </c>
      <c r="F23007" t="s">
        <v>11624</v>
      </c>
      <c r="G23007">
        <v>51.459000000000003</v>
      </c>
      <c r="H23007">
        <v>7.4989999999999997</v>
      </c>
      <c r="I23007" t="s">
        <v>64992</v>
      </c>
      <c r="L23007">
        <v>0</v>
      </c>
      <c r="M23007">
        <v>0</v>
      </c>
      <c r="N23007">
        <v>15</v>
      </c>
      <c r="O23007" t="s">
        <v>25838</v>
      </c>
    </row>
    <row r="23008" spans="1:15">
      <c r="A23008" t="s">
        <v>25840</v>
      </c>
      <c r="B23008" t="s">
        <v>11637</v>
      </c>
      <c r="C23008" t="s">
        <v>10307</v>
      </c>
      <c r="D23008" t="s">
        <v>64993</v>
      </c>
      <c r="E23008" t="b">
        <v>0</v>
      </c>
      <c r="F23008" t="s">
        <v>11622</v>
      </c>
      <c r="L23008">
        <v>1</v>
      </c>
      <c r="M23008">
        <v>4</v>
      </c>
      <c r="N23008">
        <v>30</v>
      </c>
    </row>
    <row r="23009" spans="1:15">
      <c r="A23009" t="s">
        <v>64994</v>
      </c>
      <c r="B23009" t="s">
        <v>11637</v>
      </c>
      <c r="C23009" t="s">
        <v>43890</v>
      </c>
      <c r="D23009" t="s">
        <v>64995</v>
      </c>
      <c r="E23009" t="b">
        <v>0</v>
      </c>
      <c r="F23009" t="s">
        <v>11610</v>
      </c>
      <c r="L23009">
        <v>0</v>
      </c>
      <c r="M23009">
        <v>0</v>
      </c>
      <c r="N23009">
        <v>0</v>
      </c>
    </row>
    <row r="23010" spans="1:15">
      <c r="A23010" t="s">
        <v>64996</v>
      </c>
      <c r="B23010" t="s">
        <v>11637</v>
      </c>
      <c r="C23010" t="s">
        <v>29782</v>
      </c>
      <c r="D23010" t="s">
        <v>64997</v>
      </c>
      <c r="E23010" t="b">
        <v>0</v>
      </c>
      <c r="F23010" t="s">
        <v>11610</v>
      </c>
      <c r="L23010">
        <v>0</v>
      </c>
      <c r="M23010">
        <v>0</v>
      </c>
      <c r="N23010">
        <v>0</v>
      </c>
    </row>
    <row r="23011" spans="1:15">
      <c r="A23011" t="s">
        <v>64998</v>
      </c>
      <c r="B23011" t="s">
        <v>11637</v>
      </c>
      <c r="C23011" t="s">
        <v>29782</v>
      </c>
      <c r="D23011" t="s">
        <v>64999</v>
      </c>
      <c r="E23011" t="b">
        <v>0</v>
      </c>
      <c r="F23011" t="s">
        <v>11610</v>
      </c>
      <c r="L23011">
        <v>0</v>
      </c>
      <c r="M23011">
        <v>0</v>
      </c>
      <c r="N23011">
        <v>0</v>
      </c>
    </row>
    <row r="23012" spans="1:15">
      <c r="A23012" t="s">
        <v>44423</v>
      </c>
      <c r="B23012" t="s">
        <v>11637</v>
      </c>
      <c r="C23012" t="s">
        <v>25850</v>
      </c>
      <c r="D23012" t="s">
        <v>65000</v>
      </c>
      <c r="E23012" t="b">
        <v>0</v>
      </c>
      <c r="F23012" t="s">
        <v>11624</v>
      </c>
      <c r="G23012">
        <v>51.688899999999997</v>
      </c>
      <c r="H23012">
        <v>12.2601</v>
      </c>
      <c r="I23012" t="s">
        <v>65001</v>
      </c>
      <c r="L23012">
        <v>0</v>
      </c>
      <c r="M23012">
        <v>0</v>
      </c>
      <c r="N23012">
        <v>3</v>
      </c>
      <c r="O23012" t="s">
        <v>65002</v>
      </c>
    </row>
    <row r="23013" spans="1:15">
      <c r="A23013" t="s">
        <v>23364</v>
      </c>
      <c r="B23013" t="s">
        <v>11637</v>
      </c>
      <c r="C23013" t="s">
        <v>28073</v>
      </c>
      <c r="D23013" t="s">
        <v>65003</v>
      </c>
      <c r="E23013" t="b">
        <v>0</v>
      </c>
      <c r="F23013" t="s">
        <v>11610</v>
      </c>
      <c r="L23013">
        <v>0</v>
      </c>
      <c r="M23013">
        <v>0</v>
      </c>
      <c r="N23013">
        <v>3</v>
      </c>
    </row>
    <row r="23014" spans="1:15">
      <c r="A23014" t="s">
        <v>54174</v>
      </c>
      <c r="B23014" t="s">
        <v>11637</v>
      </c>
      <c r="C23014" t="s">
        <v>58022</v>
      </c>
      <c r="D23014" t="s">
        <v>65004</v>
      </c>
      <c r="E23014" t="b">
        <v>0</v>
      </c>
      <c r="F23014" t="s">
        <v>11624</v>
      </c>
      <c r="G23014">
        <v>37.83</v>
      </c>
      <c r="H23014">
        <v>62.17</v>
      </c>
      <c r="I23014" t="s">
        <v>65005</v>
      </c>
      <c r="L23014">
        <v>0</v>
      </c>
      <c r="M23014">
        <v>0</v>
      </c>
      <c r="N23014">
        <v>2</v>
      </c>
      <c r="O23014" t="s">
        <v>65006</v>
      </c>
    </row>
    <row r="23015" spans="1:15">
      <c r="A23015" t="s">
        <v>14273</v>
      </c>
      <c r="B23015" t="s">
        <v>11637</v>
      </c>
      <c r="C23015" t="s">
        <v>26548</v>
      </c>
      <c r="D23015" t="s">
        <v>65007</v>
      </c>
      <c r="E23015" t="b">
        <v>0</v>
      </c>
      <c r="F23015" t="s">
        <v>11624</v>
      </c>
      <c r="G23015">
        <v>28.659300000000002</v>
      </c>
      <c r="H23015">
        <v>55.1586</v>
      </c>
      <c r="I23015" t="s">
        <v>65008</v>
      </c>
      <c r="L23015">
        <v>0</v>
      </c>
      <c r="M23015">
        <v>0</v>
      </c>
      <c r="N23015">
        <v>17</v>
      </c>
      <c r="O23015" t="s">
        <v>65009</v>
      </c>
    </row>
    <row r="23016" spans="1:15">
      <c r="A23016" t="s">
        <v>65010</v>
      </c>
      <c r="B23016" t="s">
        <v>11637</v>
      </c>
      <c r="C23016" t="s">
        <v>21355</v>
      </c>
      <c r="D23016" t="s">
        <v>65011</v>
      </c>
      <c r="E23016" t="b">
        <v>0</v>
      </c>
      <c r="F23016" t="s">
        <v>11610</v>
      </c>
      <c r="L23016">
        <v>0</v>
      </c>
      <c r="M23016">
        <v>0</v>
      </c>
      <c r="N23016">
        <v>0</v>
      </c>
    </row>
    <row r="23017" spans="1:15">
      <c r="A23017" t="s">
        <v>65012</v>
      </c>
      <c r="B23017" t="s">
        <v>11637</v>
      </c>
      <c r="C23017" t="s">
        <v>25862</v>
      </c>
      <c r="D23017" t="s">
        <v>65013</v>
      </c>
      <c r="E23017" t="b">
        <v>0</v>
      </c>
      <c r="F23017" t="s">
        <v>11610</v>
      </c>
      <c r="L23017">
        <v>0</v>
      </c>
      <c r="M23017">
        <v>0</v>
      </c>
      <c r="N23017">
        <v>0</v>
      </c>
    </row>
    <row r="23018" spans="1:15">
      <c r="A23018" t="s">
        <v>65014</v>
      </c>
      <c r="B23018" t="s">
        <v>11637</v>
      </c>
      <c r="C23018" t="s">
        <v>25865</v>
      </c>
      <c r="D23018" t="s">
        <v>65015</v>
      </c>
      <c r="E23018" t="b">
        <v>0</v>
      </c>
      <c r="F23018" t="s">
        <v>11610</v>
      </c>
      <c r="L23018">
        <v>0</v>
      </c>
      <c r="M23018">
        <v>0</v>
      </c>
      <c r="N23018">
        <v>0</v>
      </c>
    </row>
    <row r="23019" spans="1:15">
      <c r="A23019" t="s">
        <v>65016</v>
      </c>
      <c r="B23019" t="s">
        <v>11637</v>
      </c>
      <c r="C23019" t="s">
        <v>21364</v>
      </c>
      <c r="D23019" t="s">
        <v>65017</v>
      </c>
      <c r="E23019" t="b">
        <v>0</v>
      </c>
      <c r="F23019" t="s">
        <v>11610</v>
      </c>
      <c r="L23019">
        <v>0</v>
      </c>
      <c r="M23019">
        <v>0</v>
      </c>
      <c r="N23019">
        <v>0</v>
      </c>
    </row>
    <row r="23020" spans="1:15">
      <c r="A23020" t="s">
        <v>65018</v>
      </c>
      <c r="B23020" t="s">
        <v>11637</v>
      </c>
      <c r="C23020" t="s">
        <v>12626</v>
      </c>
      <c r="D23020" t="s">
        <v>65019</v>
      </c>
      <c r="E23020" t="b">
        <v>0</v>
      </c>
      <c r="F23020" t="s">
        <v>11610</v>
      </c>
      <c r="L23020">
        <v>0</v>
      </c>
      <c r="M23020">
        <v>0</v>
      </c>
      <c r="N23020">
        <v>0</v>
      </c>
    </row>
    <row r="23021" spans="1:15">
      <c r="A23021" t="s">
        <v>65020</v>
      </c>
      <c r="B23021" t="s">
        <v>11637</v>
      </c>
      <c r="C23021" t="s">
        <v>19125</v>
      </c>
      <c r="D23021" t="s">
        <v>65021</v>
      </c>
      <c r="E23021" t="b">
        <v>0</v>
      </c>
      <c r="F23021" t="s">
        <v>11610</v>
      </c>
      <c r="L23021">
        <v>0</v>
      </c>
      <c r="M23021">
        <v>0</v>
      </c>
      <c r="N23021">
        <v>0</v>
      </c>
    </row>
    <row r="23022" spans="1:15">
      <c r="A23022" t="s">
        <v>65022</v>
      </c>
      <c r="B23022" t="s">
        <v>11637</v>
      </c>
      <c r="C23022" t="s">
        <v>13063</v>
      </c>
      <c r="D23022" t="s">
        <v>65023</v>
      </c>
      <c r="E23022" t="b">
        <v>0</v>
      </c>
      <c r="F23022" t="s">
        <v>11610</v>
      </c>
      <c r="L23022">
        <v>0</v>
      </c>
      <c r="M23022">
        <v>0</v>
      </c>
      <c r="N23022">
        <v>0</v>
      </c>
    </row>
    <row r="23023" spans="1:15">
      <c r="A23023" t="s">
        <v>17897</v>
      </c>
      <c r="B23023" t="s">
        <v>11637</v>
      </c>
      <c r="C23023" t="s">
        <v>187</v>
      </c>
      <c r="D23023" t="s">
        <v>65024</v>
      </c>
      <c r="E23023" t="b">
        <v>0</v>
      </c>
      <c r="F23023" t="s">
        <v>11610</v>
      </c>
      <c r="L23023">
        <v>0</v>
      </c>
      <c r="M23023">
        <v>0</v>
      </c>
      <c r="N23023">
        <v>2</v>
      </c>
    </row>
    <row r="23024" spans="1:15">
      <c r="A23024" t="s">
        <v>65025</v>
      </c>
      <c r="B23024" t="s">
        <v>11637</v>
      </c>
      <c r="C23024" t="s">
        <v>16777</v>
      </c>
      <c r="D23024" t="s">
        <v>65026</v>
      </c>
      <c r="E23024" t="b">
        <v>0</v>
      </c>
      <c r="F23024" t="s">
        <v>11610</v>
      </c>
      <c r="L23024">
        <v>0</v>
      </c>
      <c r="M23024">
        <v>0</v>
      </c>
      <c r="N23024">
        <v>0</v>
      </c>
    </row>
    <row r="23025" spans="1:15">
      <c r="A23025" t="s">
        <v>54146</v>
      </c>
      <c r="B23025" t="s">
        <v>11637</v>
      </c>
      <c r="C23025" t="s">
        <v>14837</v>
      </c>
      <c r="D23025" t="s">
        <v>65027</v>
      </c>
      <c r="E23025" t="b">
        <v>0</v>
      </c>
      <c r="F23025" t="s">
        <v>11622</v>
      </c>
      <c r="L23025">
        <v>0</v>
      </c>
      <c r="M23025">
        <v>2</v>
      </c>
      <c r="N23025">
        <v>0</v>
      </c>
    </row>
    <row r="23026" spans="1:15">
      <c r="A23026" t="s">
        <v>65028</v>
      </c>
      <c r="B23026" t="s">
        <v>11637</v>
      </c>
      <c r="C23026" t="s">
        <v>14839</v>
      </c>
      <c r="D23026" t="s">
        <v>65029</v>
      </c>
      <c r="E23026" t="b">
        <v>0</v>
      </c>
      <c r="F23026" t="s">
        <v>11610</v>
      </c>
      <c r="L23026">
        <v>0</v>
      </c>
      <c r="M23026">
        <v>0</v>
      </c>
      <c r="N23026">
        <v>0</v>
      </c>
    </row>
    <row r="23027" spans="1:15">
      <c r="A23027" t="s">
        <v>65030</v>
      </c>
      <c r="B23027" t="s">
        <v>11637</v>
      </c>
      <c r="C23027" t="s">
        <v>30619</v>
      </c>
      <c r="D23027" t="s">
        <v>65031</v>
      </c>
      <c r="E23027" t="b">
        <v>0</v>
      </c>
      <c r="F23027" t="s">
        <v>11610</v>
      </c>
      <c r="L23027">
        <v>0</v>
      </c>
      <c r="M23027">
        <v>0</v>
      </c>
      <c r="N23027">
        <v>0</v>
      </c>
    </row>
    <row r="23028" spans="1:15">
      <c r="A23028" t="s">
        <v>65032</v>
      </c>
      <c r="B23028" t="s">
        <v>11637</v>
      </c>
      <c r="C23028" t="s">
        <v>24250</v>
      </c>
      <c r="D23028" t="s">
        <v>65033</v>
      </c>
      <c r="E23028" t="b">
        <v>0</v>
      </c>
      <c r="F23028" t="s">
        <v>11610</v>
      </c>
      <c r="L23028">
        <v>0</v>
      </c>
      <c r="M23028">
        <v>0</v>
      </c>
      <c r="N23028">
        <v>0</v>
      </c>
    </row>
    <row r="23029" spans="1:15">
      <c r="A23029" t="s">
        <v>1282</v>
      </c>
      <c r="B23029" t="s">
        <v>11637</v>
      </c>
      <c r="C23029" t="s">
        <v>44687</v>
      </c>
      <c r="D23029" t="s">
        <v>65034</v>
      </c>
      <c r="E23029" t="b">
        <v>0</v>
      </c>
      <c r="F23029" t="s">
        <v>11624</v>
      </c>
      <c r="G23029">
        <v>30.094799999999999</v>
      </c>
      <c r="H23029">
        <v>75.347399999999993</v>
      </c>
      <c r="I23029" t="s">
        <v>1283</v>
      </c>
      <c r="L23029">
        <v>0</v>
      </c>
      <c r="M23029">
        <v>0</v>
      </c>
      <c r="N23029">
        <v>0</v>
      </c>
      <c r="O23029" t="s">
        <v>15870</v>
      </c>
    </row>
    <row r="23030" spans="1:15">
      <c r="A23030" t="s">
        <v>48356</v>
      </c>
      <c r="B23030" t="s">
        <v>11637</v>
      </c>
      <c r="C23030" t="s">
        <v>25884</v>
      </c>
      <c r="D23030" t="s">
        <v>65035</v>
      </c>
      <c r="E23030" t="b">
        <v>0</v>
      </c>
      <c r="F23030" t="s">
        <v>11622</v>
      </c>
      <c r="L23030">
        <v>0</v>
      </c>
      <c r="M23030">
        <v>2</v>
      </c>
      <c r="N23030">
        <v>19</v>
      </c>
    </row>
    <row r="23031" spans="1:15">
      <c r="A23031" t="s">
        <v>65036</v>
      </c>
      <c r="B23031" t="s">
        <v>12260</v>
      </c>
      <c r="C23031" t="s">
        <v>10255</v>
      </c>
      <c r="D23031" t="s">
        <v>65037</v>
      </c>
      <c r="E23031" t="b">
        <v>0</v>
      </c>
      <c r="F23031" t="s">
        <v>11610</v>
      </c>
      <c r="L23031">
        <v>0</v>
      </c>
      <c r="M23031">
        <v>0</v>
      </c>
      <c r="N23031">
        <v>0</v>
      </c>
    </row>
    <row r="23032" spans="1:15">
      <c r="A23032" t="s">
        <v>65038</v>
      </c>
      <c r="B23032" t="s">
        <v>12260</v>
      </c>
      <c r="C23032" t="s">
        <v>10255</v>
      </c>
      <c r="D23032" t="s">
        <v>65039</v>
      </c>
      <c r="E23032" t="b">
        <v>0</v>
      </c>
      <c r="F23032" t="s">
        <v>11610</v>
      </c>
      <c r="L23032">
        <v>0</v>
      </c>
      <c r="M23032">
        <v>0</v>
      </c>
      <c r="N23032">
        <v>0</v>
      </c>
    </row>
    <row r="23033" spans="1:15">
      <c r="A23033" t="s">
        <v>21803</v>
      </c>
      <c r="B23033" t="s">
        <v>12260</v>
      </c>
      <c r="C23033" t="s">
        <v>251</v>
      </c>
      <c r="D23033" t="s">
        <v>65040</v>
      </c>
      <c r="E23033" t="b">
        <v>0</v>
      </c>
      <c r="F23033" t="s">
        <v>11622</v>
      </c>
      <c r="L23033">
        <v>2</v>
      </c>
      <c r="M23033">
        <v>5</v>
      </c>
      <c r="N23033">
        <v>2</v>
      </c>
    </row>
    <row r="23034" spans="1:15">
      <c r="A23034" t="s">
        <v>35454</v>
      </c>
      <c r="B23034" t="s">
        <v>12260</v>
      </c>
      <c r="C23034" t="s">
        <v>25896</v>
      </c>
      <c r="D23034" t="s">
        <v>65041</v>
      </c>
      <c r="E23034" t="b">
        <v>0</v>
      </c>
      <c r="F23034" t="s">
        <v>11610</v>
      </c>
      <c r="L23034">
        <v>0</v>
      </c>
      <c r="M23034">
        <v>0</v>
      </c>
      <c r="N23034">
        <v>3</v>
      </c>
    </row>
    <row r="23035" spans="1:15">
      <c r="A23035" t="s">
        <v>37701</v>
      </c>
      <c r="B23035" t="s">
        <v>12260</v>
      </c>
      <c r="C23035" t="s">
        <v>3473</v>
      </c>
      <c r="D23035" t="s">
        <v>65042</v>
      </c>
      <c r="E23035" t="b">
        <v>0</v>
      </c>
      <c r="F23035" t="s">
        <v>11624</v>
      </c>
      <c r="G23035">
        <v>56.22</v>
      </c>
      <c r="H23035">
        <v>46.569000000000003</v>
      </c>
      <c r="I23035" t="s">
        <v>65043</v>
      </c>
      <c r="L23035">
        <v>0</v>
      </c>
      <c r="M23035">
        <v>0</v>
      </c>
      <c r="N23035">
        <v>2</v>
      </c>
      <c r="O23035" t="s">
        <v>12748</v>
      </c>
    </row>
    <row r="23036" spans="1:15">
      <c r="A23036" t="s">
        <v>21956</v>
      </c>
      <c r="B23036" t="s">
        <v>12438</v>
      </c>
      <c r="C23036" t="s">
        <v>52625</v>
      </c>
      <c r="D23036" t="s">
        <v>65044</v>
      </c>
      <c r="E23036" t="b">
        <v>0</v>
      </c>
      <c r="F23036" t="s">
        <v>11622</v>
      </c>
      <c r="L23036">
        <v>1</v>
      </c>
      <c r="M23036">
        <v>5</v>
      </c>
      <c r="N23036">
        <v>0</v>
      </c>
    </row>
    <row r="23037" spans="1:15">
      <c r="A23037" t="s">
        <v>4759</v>
      </c>
      <c r="B23037" t="s">
        <v>12438</v>
      </c>
      <c r="C23037" t="s">
        <v>25903</v>
      </c>
      <c r="D23037" t="s">
        <v>65045</v>
      </c>
      <c r="E23037" t="b">
        <v>0</v>
      </c>
      <c r="F23037" t="s">
        <v>11624</v>
      </c>
      <c r="G23037">
        <v>19.867799999999999</v>
      </c>
      <c r="H23037">
        <v>99.205699999999993</v>
      </c>
      <c r="I23037" t="s">
        <v>4762</v>
      </c>
      <c r="L23037">
        <v>0</v>
      </c>
      <c r="M23037">
        <v>0</v>
      </c>
      <c r="N23037">
        <v>1</v>
      </c>
      <c r="O23037" t="s">
        <v>16739</v>
      </c>
    </row>
    <row r="23038" spans="1:15">
      <c r="A23038" t="s">
        <v>65046</v>
      </c>
      <c r="B23038" t="s">
        <v>12438</v>
      </c>
      <c r="C23038" t="s">
        <v>57854</v>
      </c>
      <c r="D23038" t="s">
        <v>65047</v>
      </c>
      <c r="E23038" t="b">
        <v>0</v>
      </c>
      <c r="F23038" t="s">
        <v>11624</v>
      </c>
      <c r="G23038">
        <v>16.490600000000001</v>
      </c>
      <c r="H23038">
        <v>104.754</v>
      </c>
      <c r="I23038" t="s">
        <v>65048</v>
      </c>
      <c r="L23038">
        <v>0</v>
      </c>
      <c r="M23038">
        <v>0</v>
      </c>
      <c r="N23038">
        <v>0</v>
      </c>
      <c r="O23038" t="s">
        <v>12442</v>
      </c>
    </row>
    <row r="23039" spans="1:15">
      <c r="A23039" t="s">
        <v>65049</v>
      </c>
      <c r="B23039" t="s">
        <v>12438</v>
      </c>
      <c r="C23039" t="s">
        <v>25790</v>
      </c>
      <c r="D23039" t="s">
        <v>65050</v>
      </c>
      <c r="E23039" t="b">
        <v>0</v>
      </c>
      <c r="F23039" t="s">
        <v>11624</v>
      </c>
      <c r="G23039">
        <v>15.7949</v>
      </c>
      <c r="H23039">
        <v>107.166</v>
      </c>
      <c r="I23039" t="s">
        <v>65051</v>
      </c>
      <c r="L23039">
        <v>0</v>
      </c>
      <c r="M23039">
        <v>0</v>
      </c>
      <c r="N23039">
        <v>0</v>
      </c>
      <c r="O23039" t="s">
        <v>14464</v>
      </c>
    </row>
    <row r="23040" spans="1:15">
      <c r="A23040" t="s">
        <v>39604</v>
      </c>
      <c r="B23040" t="s">
        <v>12438</v>
      </c>
      <c r="C23040" t="s">
        <v>12918</v>
      </c>
      <c r="D23040" t="s">
        <v>65052</v>
      </c>
      <c r="E23040" t="b">
        <v>0</v>
      </c>
      <c r="F23040" t="s">
        <v>11622</v>
      </c>
      <c r="L23040">
        <v>4</v>
      </c>
      <c r="M23040">
        <v>10</v>
      </c>
      <c r="N23040">
        <v>7</v>
      </c>
    </row>
    <row r="23041" spans="1:15">
      <c r="A23041" t="s">
        <v>65053</v>
      </c>
      <c r="B23041" t="s">
        <v>12438</v>
      </c>
      <c r="C23041" t="s">
        <v>15944</v>
      </c>
      <c r="D23041" t="s">
        <v>65054</v>
      </c>
      <c r="E23041" t="b">
        <v>0</v>
      </c>
      <c r="F23041" t="s">
        <v>11610</v>
      </c>
      <c r="L23041">
        <v>0</v>
      </c>
      <c r="M23041">
        <v>0</v>
      </c>
      <c r="N23041">
        <v>0</v>
      </c>
    </row>
    <row r="23042" spans="1:15">
      <c r="A23042" t="s">
        <v>65055</v>
      </c>
      <c r="B23042" t="s">
        <v>331</v>
      </c>
      <c r="C23042" t="s">
        <v>3426</v>
      </c>
      <c r="D23042" t="s">
        <v>65056</v>
      </c>
      <c r="E23042" t="b">
        <v>0</v>
      </c>
      <c r="F23042" t="s">
        <v>11610</v>
      </c>
      <c r="L23042">
        <v>0</v>
      </c>
      <c r="M23042">
        <v>0</v>
      </c>
      <c r="N23042">
        <v>0</v>
      </c>
    </row>
    <row r="23043" spans="1:15">
      <c r="A23043" t="s">
        <v>65057</v>
      </c>
      <c r="B23043" t="s">
        <v>331</v>
      </c>
      <c r="C23043" t="s">
        <v>12541</v>
      </c>
      <c r="D23043" t="s">
        <v>65058</v>
      </c>
      <c r="E23043" t="b">
        <v>0</v>
      </c>
      <c r="F23043" t="s">
        <v>11624</v>
      </c>
      <c r="G23043">
        <v>39.0548</v>
      </c>
      <c r="H23043">
        <v>99.311199999999999</v>
      </c>
      <c r="I23043" t="s">
        <v>65059</v>
      </c>
      <c r="L23043">
        <v>0</v>
      </c>
      <c r="M23043">
        <v>0</v>
      </c>
      <c r="N23043">
        <v>0</v>
      </c>
      <c r="O23043" t="s">
        <v>11905</v>
      </c>
    </row>
    <row r="23044" spans="1:15">
      <c r="A23044" t="s">
        <v>65060</v>
      </c>
      <c r="B23044" t="s">
        <v>331</v>
      </c>
      <c r="C23044" t="s">
        <v>36316</v>
      </c>
      <c r="D23044" t="s">
        <v>65061</v>
      </c>
      <c r="E23044" t="b">
        <v>0</v>
      </c>
      <c r="F23044" t="s">
        <v>11610</v>
      </c>
      <c r="L23044">
        <v>0</v>
      </c>
      <c r="M23044">
        <v>0</v>
      </c>
      <c r="N23044">
        <v>0</v>
      </c>
    </row>
    <row r="23045" spans="1:15">
      <c r="A23045" t="s">
        <v>65062</v>
      </c>
      <c r="B23045" t="s">
        <v>331</v>
      </c>
      <c r="C23045" t="s">
        <v>3480</v>
      </c>
      <c r="D23045" t="s">
        <v>65063</v>
      </c>
      <c r="E23045" t="b">
        <v>0</v>
      </c>
      <c r="F23045" t="s">
        <v>11610</v>
      </c>
      <c r="L23045">
        <v>0</v>
      </c>
      <c r="M23045">
        <v>0</v>
      </c>
      <c r="N23045">
        <v>0</v>
      </c>
    </row>
    <row r="23046" spans="1:15">
      <c r="A23046" t="s">
        <v>65064</v>
      </c>
      <c r="B23046" t="s">
        <v>331</v>
      </c>
      <c r="C23046" t="s">
        <v>14894</v>
      </c>
      <c r="D23046" t="s">
        <v>65065</v>
      </c>
      <c r="E23046" t="b">
        <v>0</v>
      </c>
      <c r="F23046" t="s">
        <v>11610</v>
      </c>
      <c r="L23046">
        <v>0</v>
      </c>
      <c r="M23046">
        <v>0</v>
      </c>
      <c r="N23046">
        <v>0</v>
      </c>
    </row>
    <row r="23047" spans="1:15">
      <c r="A23047" t="s">
        <v>16319</v>
      </c>
      <c r="B23047" t="s">
        <v>331</v>
      </c>
      <c r="C23047" t="s">
        <v>15530</v>
      </c>
      <c r="D23047" t="s">
        <v>65066</v>
      </c>
      <c r="E23047" t="b">
        <v>0</v>
      </c>
      <c r="F23047" t="s">
        <v>11622</v>
      </c>
      <c r="L23047">
        <v>0</v>
      </c>
      <c r="M23047">
        <v>3</v>
      </c>
      <c r="N23047">
        <v>19</v>
      </c>
    </row>
    <row r="23048" spans="1:15">
      <c r="A23048" t="s">
        <v>65067</v>
      </c>
      <c r="B23048" t="s">
        <v>11844</v>
      </c>
      <c r="C23048" t="s">
        <v>25926</v>
      </c>
      <c r="D23048" t="s">
        <v>65068</v>
      </c>
      <c r="E23048" t="b">
        <v>0</v>
      </c>
      <c r="F23048" t="s">
        <v>11610</v>
      </c>
      <c r="L23048">
        <v>0</v>
      </c>
      <c r="M23048">
        <v>0</v>
      </c>
      <c r="N23048">
        <v>0</v>
      </c>
    </row>
    <row r="23049" spans="1:15">
      <c r="A23049" t="s">
        <v>1304</v>
      </c>
      <c r="B23049" t="s">
        <v>11844</v>
      </c>
      <c r="C23049" t="s">
        <v>25929</v>
      </c>
      <c r="D23049" t="s">
        <v>65069</v>
      </c>
      <c r="E23049" t="b">
        <v>0</v>
      </c>
      <c r="F23049" t="s">
        <v>11624</v>
      </c>
      <c r="G23049">
        <v>20.238399999999999</v>
      </c>
      <c r="H23049">
        <v>80.700599999999994</v>
      </c>
      <c r="I23049" t="s">
        <v>1306</v>
      </c>
      <c r="L23049">
        <v>0</v>
      </c>
      <c r="M23049">
        <v>0</v>
      </c>
      <c r="N23049">
        <v>3</v>
      </c>
      <c r="O23049" t="s">
        <v>11630</v>
      </c>
    </row>
    <row r="23050" spans="1:15">
      <c r="A23050" t="s">
        <v>65070</v>
      </c>
      <c r="B23050" t="s">
        <v>11644</v>
      </c>
      <c r="C23050" t="s">
        <v>25935</v>
      </c>
      <c r="D23050" t="s">
        <v>65071</v>
      </c>
      <c r="E23050" t="b">
        <v>0</v>
      </c>
      <c r="F23050" t="s">
        <v>11624</v>
      </c>
      <c r="G23050">
        <v>18.687000000000001</v>
      </c>
      <c r="H23050">
        <v>97.487700000000004</v>
      </c>
      <c r="I23050" t="s">
        <v>65072</v>
      </c>
      <c r="L23050">
        <v>0</v>
      </c>
      <c r="M23050">
        <v>0</v>
      </c>
      <c r="N23050">
        <v>0</v>
      </c>
      <c r="O23050" t="s">
        <v>20757</v>
      </c>
    </row>
    <row r="23051" spans="1:15">
      <c r="A23051" t="s">
        <v>65073</v>
      </c>
      <c r="B23051" t="s">
        <v>11644</v>
      </c>
      <c r="C23051" t="s">
        <v>25939</v>
      </c>
      <c r="D23051" t="s">
        <v>65074</v>
      </c>
      <c r="E23051" t="b">
        <v>0</v>
      </c>
      <c r="F23051" t="s">
        <v>11610</v>
      </c>
      <c r="L23051">
        <v>0</v>
      </c>
      <c r="M23051">
        <v>0</v>
      </c>
      <c r="N23051">
        <v>0</v>
      </c>
    </row>
    <row r="23052" spans="1:15">
      <c r="A23052" t="s">
        <v>65075</v>
      </c>
      <c r="B23052" t="s">
        <v>11644</v>
      </c>
      <c r="C23052" t="s">
        <v>15991</v>
      </c>
      <c r="D23052" t="s">
        <v>65076</v>
      </c>
      <c r="E23052" t="b">
        <v>0</v>
      </c>
      <c r="F23052" t="s">
        <v>11610</v>
      </c>
      <c r="L23052">
        <v>0</v>
      </c>
      <c r="M23052">
        <v>0</v>
      </c>
      <c r="N23052">
        <v>0</v>
      </c>
    </row>
    <row r="23053" spans="1:15">
      <c r="A23053" t="s">
        <v>13427</v>
      </c>
      <c r="B23053" t="s">
        <v>11644</v>
      </c>
      <c r="C23053" t="s">
        <v>22028</v>
      </c>
      <c r="D23053" t="s">
        <v>65077</v>
      </c>
      <c r="E23053" t="b">
        <v>0</v>
      </c>
      <c r="F23053" t="s">
        <v>11610</v>
      </c>
      <c r="L23053">
        <v>0</v>
      </c>
      <c r="M23053">
        <v>0</v>
      </c>
      <c r="N23053">
        <v>5</v>
      </c>
    </row>
    <row r="23054" spans="1:15">
      <c r="A23054" t="s">
        <v>48440</v>
      </c>
      <c r="B23054" t="s">
        <v>11644</v>
      </c>
      <c r="C23054" t="s">
        <v>25943</v>
      </c>
      <c r="D23054" t="s">
        <v>65078</v>
      </c>
      <c r="E23054" t="b">
        <v>0</v>
      </c>
      <c r="F23054" t="s">
        <v>11610</v>
      </c>
      <c r="G23054">
        <v>27.416899999999998</v>
      </c>
      <c r="H23054">
        <v>86.289900000000003</v>
      </c>
      <c r="L23054">
        <v>0</v>
      </c>
      <c r="M23054">
        <v>0</v>
      </c>
      <c r="N23054">
        <v>2</v>
      </c>
      <c r="O23054" t="s">
        <v>12524</v>
      </c>
    </row>
    <row r="23055" spans="1:15">
      <c r="A23055" t="s">
        <v>48443</v>
      </c>
      <c r="B23055" t="s">
        <v>11644</v>
      </c>
      <c r="C23055" t="s">
        <v>25947</v>
      </c>
      <c r="D23055" t="s">
        <v>65079</v>
      </c>
      <c r="E23055" t="b">
        <v>0</v>
      </c>
      <c r="F23055" t="s">
        <v>11624</v>
      </c>
      <c r="G23055">
        <v>28.023900000000001</v>
      </c>
      <c r="H23055">
        <v>85.056299999999993</v>
      </c>
      <c r="I23055" t="s">
        <v>65080</v>
      </c>
      <c r="L23055">
        <v>0</v>
      </c>
      <c r="M23055">
        <v>0</v>
      </c>
      <c r="N23055">
        <v>4</v>
      </c>
      <c r="O23055" t="s">
        <v>16899</v>
      </c>
    </row>
    <row r="23056" spans="1:15">
      <c r="A23056" t="s">
        <v>65081</v>
      </c>
      <c r="B23056" t="s">
        <v>11644</v>
      </c>
      <c r="C23056" t="s">
        <v>25959</v>
      </c>
      <c r="D23056" t="s">
        <v>65082</v>
      </c>
      <c r="E23056" t="b">
        <v>0</v>
      </c>
      <c r="F23056" t="s">
        <v>11610</v>
      </c>
      <c r="L23056">
        <v>0</v>
      </c>
      <c r="M23056">
        <v>0</v>
      </c>
      <c r="N23056">
        <v>0</v>
      </c>
    </row>
    <row r="23057" spans="1:15">
      <c r="A23057" t="s">
        <v>65083</v>
      </c>
      <c r="B23057" t="s">
        <v>11644</v>
      </c>
      <c r="C23057" t="s">
        <v>25962</v>
      </c>
      <c r="D23057" t="s">
        <v>65084</v>
      </c>
      <c r="E23057" t="b">
        <v>0</v>
      </c>
      <c r="F23057" t="s">
        <v>11610</v>
      </c>
      <c r="L23057">
        <v>0</v>
      </c>
      <c r="M23057">
        <v>0</v>
      </c>
      <c r="N23057">
        <v>0</v>
      </c>
    </row>
    <row r="23058" spans="1:15">
      <c r="A23058" t="s">
        <v>65085</v>
      </c>
      <c r="B23058" t="s">
        <v>11644</v>
      </c>
      <c r="C23058" t="s">
        <v>25965</v>
      </c>
      <c r="D23058" t="s">
        <v>65086</v>
      </c>
      <c r="E23058" t="b">
        <v>0</v>
      </c>
      <c r="F23058" t="s">
        <v>11624</v>
      </c>
      <c r="G23058">
        <v>28.246200000000002</v>
      </c>
      <c r="H23058">
        <v>83.510999999999996</v>
      </c>
      <c r="I23058" t="s">
        <v>65087</v>
      </c>
      <c r="L23058">
        <v>0</v>
      </c>
      <c r="M23058">
        <v>0</v>
      </c>
      <c r="N23058">
        <v>0</v>
      </c>
      <c r="O23058" t="s">
        <v>15007</v>
      </c>
    </row>
    <row r="23059" spans="1:15">
      <c r="A23059" t="s">
        <v>65088</v>
      </c>
      <c r="B23059" t="s">
        <v>11644</v>
      </c>
      <c r="C23059" t="s">
        <v>22429</v>
      </c>
      <c r="D23059" t="s">
        <v>65089</v>
      </c>
      <c r="E23059" t="b">
        <v>0</v>
      </c>
      <c r="F23059" t="s">
        <v>11610</v>
      </c>
      <c r="L23059">
        <v>0</v>
      </c>
      <c r="M23059">
        <v>0</v>
      </c>
      <c r="N23059">
        <v>0</v>
      </c>
    </row>
    <row r="23060" spans="1:15">
      <c r="A23060" t="s">
        <v>41123</v>
      </c>
      <c r="B23060" t="s">
        <v>11644</v>
      </c>
      <c r="C23060" t="s">
        <v>25970</v>
      </c>
      <c r="D23060" t="s">
        <v>65090</v>
      </c>
      <c r="E23060" t="b">
        <v>0</v>
      </c>
      <c r="F23060" t="s">
        <v>11624</v>
      </c>
      <c r="G23060">
        <v>28.652100000000001</v>
      </c>
      <c r="H23060">
        <v>82.734800000000007</v>
      </c>
      <c r="I23060" t="s">
        <v>65091</v>
      </c>
      <c r="L23060">
        <v>0</v>
      </c>
      <c r="M23060">
        <v>0</v>
      </c>
      <c r="N23060">
        <v>4</v>
      </c>
      <c r="O23060" t="s">
        <v>15007</v>
      </c>
    </row>
    <row r="23061" spans="1:15">
      <c r="A23061" t="s">
        <v>65092</v>
      </c>
      <c r="B23061" t="s">
        <v>11644</v>
      </c>
      <c r="C23061" t="s">
        <v>25974</v>
      </c>
      <c r="D23061" t="s">
        <v>65093</v>
      </c>
      <c r="E23061" t="b">
        <v>0</v>
      </c>
      <c r="F23061" t="s">
        <v>11610</v>
      </c>
      <c r="L23061">
        <v>0</v>
      </c>
      <c r="M23061">
        <v>0</v>
      </c>
      <c r="N23061">
        <v>0</v>
      </c>
    </row>
    <row r="23062" spans="1:15">
      <c r="A23062" t="s">
        <v>16196</v>
      </c>
      <c r="B23062" t="s">
        <v>11644</v>
      </c>
      <c r="C23062" t="s">
        <v>25976</v>
      </c>
      <c r="D23062" t="s">
        <v>65094</v>
      </c>
      <c r="E23062" t="b">
        <v>0</v>
      </c>
      <c r="F23062" t="s">
        <v>11624</v>
      </c>
      <c r="G23062">
        <v>27.426500000000001</v>
      </c>
      <c r="H23062">
        <v>87.289299999999997</v>
      </c>
      <c r="I23062" t="s">
        <v>65095</v>
      </c>
      <c r="L23062">
        <v>0</v>
      </c>
      <c r="M23062">
        <v>0</v>
      </c>
      <c r="N23062">
        <v>2</v>
      </c>
      <c r="O23062" t="s">
        <v>15007</v>
      </c>
    </row>
    <row r="23063" spans="1:15">
      <c r="A23063" t="s">
        <v>65096</v>
      </c>
      <c r="B23063" t="s">
        <v>11644</v>
      </c>
      <c r="C23063" t="s">
        <v>16785</v>
      </c>
      <c r="D23063" t="s">
        <v>65097</v>
      </c>
      <c r="E23063" t="b">
        <v>0</v>
      </c>
      <c r="F23063" t="s">
        <v>11610</v>
      </c>
      <c r="L23063">
        <v>0</v>
      </c>
      <c r="M23063">
        <v>0</v>
      </c>
      <c r="N23063">
        <v>0</v>
      </c>
    </row>
    <row r="23064" spans="1:15">
      <c r="A23064" t="s">
        <v>22351</v>
      </c>
      <c r="B23064" t="s">
        <v>11644</v>
      </c>
      <c r="C23064" t="s">
        <v>21823</v>
      </c>
      <c r="D23064" t="s">
        <v>65098</v>
      </c>
      <c r="E23064" t="b">
        <v>0</v>
      </c>
      <c r="F23064" t="s">
        <v>11622</v>
      </c>
      <c r="L23064">
        <v>3</v>
      </c>
      <c r="M23064">
        <v>10</v>
      </c>
      <c r="N23064">
        <v>24</v>
      </c>
    </row>
    <row r="23065" spans="1:15">
      <c r="A23065" t="s">
        <v>27548</v>
      </c>
      <c r="B23065" t="s">
        <v>12686</v>
      </c>
      <c r="C23065" t="s">
        <v>27550</v>
      </c>
      <c r="D23065" t="s">
        <v>65099</v>
      </c>
      <c r="E23065" t="b">
        <v>0</v>
      </c>
      <c r="F23065" t="s">
        <v>11622</v>
      </c>
      <c r="L23065">
        <v>0</v>
      </c>
      <c r="M23065">
        <v>3</v>
      </c>
      <c r="N23065">
        <v>9</v>
      </c>
    </row>
    <row r="23066" spans="1:15">
      <c r="A23066" t="s">
        <v>54929</v>
      </c>
      <c r="B23066" t="s">
        <v>12311</v>
      </c>
      <c r="C23066" t="s">
        <v>26625</v>
      </c>
      <c r="D23066" t="s">
        <v>65100</v>
      </c>
      <c r="E23066" t="b">
        <v>0</v>
      </c>
      <c r="F23066" t="s">
        <v>11622</v>
      </c>
      <c r="L23066">
        <v>0</v>
      </c>
      <c r="M23066">
        <v>2</v>
      </c>
      <c r="N23066">
        <v>6</v>
      </c>
    </row>
    <row r="23067" spans="1:15">
      <c r="A23067" t="s">
        <v>24757</v>
      </c>
      <c r="B23067" t="s">
        <v>12311</v>
      </c>
      <c r="C23067" t="s">
        <v>26000</v>
      </c>
      <c r="D23067" t="s">
        <v>65101</v>
      </c>
      <c r="E23067" t="b">
        <v>0</v>
      </c>
      <c r="F23067" t="s">
        <v>11622</v>
      </c>
      <c r="L23067">
        <v>0</v>
      </c>
      <c r="M23067">
        <v>3</v>
      </c>
      <c r="N23067">
        <v>3</v>
      </c>
    </row>
    <row r="23068" spans="1:15">
      <c r="A23068" t="s">
        <v>65102</v>
      </c>
      <c r="B23068" t="s">
        <v>5058</v>
      </c>
      <c r="C23068" t="s">
        <v>26009</v>
      </c>
      <c r="D23068" t="s">
        <v>65103</v>
      </c>
      <c r="E23068" t="b">
        <v>0</v>
      </c>
      <c r="F23068" t="s">
        <v>11624</v>
      </c>
      <c r="G23068">
        <v>28.33</v>
      </c>
      <c r="H23068">
        <v>109.67</v>
      </c>
      <c r="I23068" t="s">
        <v>65104</v>
      </c>
      <c r="L23068">
        <v>0</v>
      </c>
      <c r="M23068">
        <v>0</v>
      </c>
      <c r="N23068">
        <v>0</v>
      </c>
      <c r="O23068" t="s">
        <v>11905</v>
      </c>
    </row>
    <row r="23069" spans="1:15">
      <c r="A23069" t="s">
        <v>24991</v>
      </c>
      <c r="B23069" t="s">
        <v>9897</v>
      </c>
      <c r="C23069" t="s">
        <v>9897</v>
      </c>
      <c r="D23069" t="s">
        <v>65105</v>
      </c>
      <c r="E23069" t="b">
        <v>0</v>
      </c>
      <c r="F23069" t="s">
        <v>11622</v>
      </c>
      <c r="L23069">
        <v>2</v>
      </c>
      <c r="M23069">
        <v>4</v>
      </c>
      <c r="N23069">
        <v>0</v>
      </c>
    </row>
    <row r="23070" spans="1:15">
      <c r="A23070" t="s">
        <v>13434</v>
      </c>
      <c r="D23070" t="s">
        <v>65106</v>
      </c>
      <c r="E23070" t="b">
        <v>0</v>
      </c>
      <c r="F23070" t="s">
        <v>11622</v>
      </c>
      <c r="L23070">
        <v>5</v>
      </c>
      <c r="M23070">
        <v>11</v>
      </c>
      <c r="N23070">
        <v>4</v>
      </c>
    </row>
    <row r="23071" spans="1:15">
      <c r="A23071" t="s">
        <v>63030</v>
      </c>
      <c r="B23071" t="s">
        <v>1588</v>
      </c>
      <c r="C23071" t="s">
        <v>1588</v>
      </c>
      <c r="D23071" t="s">
        <v>65107</v>
      </c>
      <c r="E23071" t="b">
        <v>0</v>
      </c>
      <c r="F23071" t="s">
        <v>11622</v>
      </c>
      <c r="G23071">
        <v>-16.109349999999999</v>
      </c>
      <c r="H23071">
        <v>124.66753</v>
      </c>
      <c r="I23071" t="s">
        <v>65108</v>
      </c>
      <c r="L23071">
        <v>0</v>
      </c>
      <c r="M23071">
        <v>4</v>
      </c>
      <c r="N23071">
        <v>4</v>
      </c>
      <c r="O23071" t="s">
        <v>12107</v>
      </c>
    </row>
    <row r="23072" spans="1:15">
      <c r="A23072" t="s">
        <v>65109</v>
      </c>
      <c r="B23072" t="s">
        <v>10597</v>
      </c>
      <c r="C23072" t="s">
        <v>26020</v>
      </c>
      <c r="D23072" t="s">
        <v>65110</v>
      </c>
      <c r="E23072" t="b">
        <v>0</v>
      </c>
      <c r="F23072" t="s">
        <v>11610</v>
      </c>
      <c r="L23072">
        <v>0</v>
      </c>
      <c r="M23072">
        <v>0</v>
      </c>
      <c r="N23072">
        <v>0</v>
      </c>
    </row>
    <row r="23073" spans="1:15">
      <c r="A23073" t="s">
        <v>65111</v>
      </c>
      <c r="B23073" t="s">
        <v>10597</v>
      </c>
      <c r="C23073" t="s">
        <v>402</v>
      </c>
      <c r="D23073" t="s">
        <v>65112</v>
      </c>
      <c r="E23073" t="b">
        <v>0</v>
      </c>
      <c r="F23073" t="s">
        <v>11610</v>
      </c>
      <c r="L23073">
        <v>0</v>
      </c>
      <c r="M23073">
        <v>0</v>
      </c>
      <c r="N23073">
        <v>0</v>
      </c>
    </row>
    <row r="23074" spans="1:15">
      <c r="A23074" t="s">
        <v>53192</v>
      </c>
      <c r="B23074" t="s">
        <v>10597</v>
      </c>
      <c r="C23074" t="s">
        <v>21446</v>
      </c>
      <c r="D23074" t="s">
        <v>65113</v>
      </c>
      <c r="E23074" t="b">
        <v>0</v>
      </c>
      <c r="F23074" t="s">
        <v>11622</v>
      </c>
      <c r="L23074">
        <v>3</v>
      </c>
      <c r="M23074">
        <v>6</v>
      </c>
      <c r="N23074">
        <v>4</v>
      </c>
    </row>
    <row r="23075" spans="1:15">
      <c r="A23075" t="s">
        <v>24690</v>
      </c>
      <c r="B23075" t="s">
        <v>10597</v>
      </c>
      <c r="C23075" t="s">
        <v>24688</v>
      </c>
      <c r="D23075" t="s">
        <v>65114</v>
      </c>
      <c r="E23075" t="b">
        <v>0</v>
      </c>
      <c r="F23075" t="s">
        <v>11622</v>
      </c>
      <c r="L23075">
        <v>0</v>
      </c>
      <c r="M23075">
        <v>2</v>
      </c>
      <c r="N23075">
        <v>9</v>
      </c>
    </row>
    <row r="23076" spans="1:15">
      <c r="A23076" t="s">
        <v>25024</v>
      </c>
      <c r="B23076" t="s">
        <v>10597</v>
      </c>
      <c r="C23076" t="s">
        <v>361</v>
      </c>
      <c r="D23076" t="s">
        <v>65115</v>
      </c>
      <c r="E23076" t="b">
        <v>0</v>
      </c>
      <c r="F23076" t="s">
        <v>11622</v>
      </c>
      <c r="L23076">
        <v>0</v>
      </c>
      <c r="M23076">
        <v>2</v>
      </c>
      <c r="N23076">
        <v>9</v>
      </c>
    </row>
    <row r="23077" spans="1:15">
      <c r="A23077" t="s">
        <v>12721</v>
      </c>
      <c r="B23077" t="s">
        <v>10597</v>
      </c>
      <c r="C23077" t="s">
        <v>2625</v>
      </c>
      <c r="D23077" t="s">
        <v>65116</v>
      </c>
      <c r="E23077" t="b">
        <v>0</v>
      </c>
      <c r="F23077" t="s">
        <v>11624</v>
      </c>
      <c r="G23077">
        <v>-24.050519999999999</v>
      </c>
      <c r="H23077">
        <v>133.24620999999999</v>
      </c>
      <c r="I23077" t="s">
        <v>65117</v>
      </c>
      <c r="L23077">
        <v>0</v>
      </c>
      <c r="M23077">
        <v>0</v>
      </c>
      <c r="N23077">
        <v>1</v>
      </c>
      <c r="O23077" t="s">
        <v>12107</v>
      </c>
    </row>
    <row r="23078" spans="1:15">
      <c r="A23078" t="s">
        <v>65118</v>
      </c>
      <c r="B23078" t="s">
        <v>10597</v>
      </c>
      <c r="C23078" t="s">
        <v>13979</v>
      </c>
      <c r="D23078" t="s">
        <v>65119</v>
      </c>
      <c r="E23078" t="b">
        <v>0</v>
      </c>
      <c r="F23078" t="s">
        <v>11610</v>
      </c>
      <c r="L23078">
        <v>0</v>
      </c>
      <c r="M23078">
        <v>0</v>
      </c>
      <c r="N23078">
        <v>0</v>
      </c>
    </row>
    <row r="23079" spans="1:15">
      <c r="A23079" t="s">
        <v>24965</v>
      </c>
      <c r="B23079" t="s">
        <v>10597</v>
      </c>
      <c r="C23079" t="s">
        <v>49469</v>
      </c>
      <c r="D23079" t="s">
        <v>65120</v>
      </c>
      <c r="E23079" t="b">
        <v>0</v>
      </c>
      <c r="F23079" t="s">
        <v>11624</v>
      </c>
      <c r="G23079">
        <v>-34.138299320000002</v>
      </c>
      <c r="H23079">
        <v>143.6694397</v>
      </c>
      <c r="L23079">
        <v>0</v>
      </c>
      <c r="M23079">
        <v>0</v>
      </c>
      <c r="N23079">
        <v>11</v>
      </c>
      <c r="O23079" t="s">
        <v>12107</v>
      </c>
    </row>
    <row r="23080" spans="1:15">
      <c r="A23080" t="s">
        <v>28586</v>
      </c>
      <c r="B23080" t="s">
        <v>16388</v>
      </c>
      <c r="C23080" t="s">
        <v>16388</v>
      </c>
      <c r="D23080" t="s">
        <v>65121</v>
      </c>
      <c r="E23080" t="b">
        <v>0</v>
      </c>
      <c r="F23080" t="s">
        <v>11622</v>
      </c>
      <c r="L23080">
        <v>1</v>
      </c>
      <c r="M23080">
        <v>3</v>
      </c>
      <c r="N23080">
        <v>0</v>
      </c>
    </row>
    <row r="23081" spans="1:15">
      <c r="A23081" t="s">
        <v>32461</v>
      </c>
      <c r="B23081" t="s">
        <v>12697</v>
      </c>
      <c r="C23081" t="s">
        <v>26035</v>
      </c>
      <c r="D23081" t="s">
        <v>65122</v>
      </c>
      <c r="E23081" t="b">
        <v>0</v>
      </c>
      <c r="F23081" t="s">
        <v>11622</v>
      </c>
      <c r="L23081">
        <v>1</v>
      </c>
      <c r="M23081">
        <v>4</v>
      </c>
      <c r="N23081">
        <v>27</v>
      </c>
    </row>
    <row r="23082" spans="1:15">
      <c r="A23082" t="s">
        <v>65123</v>
      </c>
      <c r="B23082" t="s">
        <v>12697</v>
      </c>
      <c r="C23082" t="s">
        <v>14175</v>
      </c>
      <c r="D23082" t="s">
        <v>65124</v>
      </c>
      <c r="E23082" t="b">
        <v>0</v>
      </c>
      <c r="F23082" t="s">
        <v>11610</v>
      </c>
      <c r="L23082">
        <v>0</v>
      </c>
      <c r="M23082">
        <v>0</v>
      </c>
      <c r="N23082">
        <v>0</v>
      </c>
    </row>
    <row r="23083" spans="1:15">
      <c r="A23083" t="s">
        <v>65125</v>
      </c>
      <c r="B23083" t="s">
        <v>12697</v>
      </c>
      <c r="C23083" t="s">
        <v>14175</v>
      </c>
      <c r="D23083" t="s">
        <v>65126</v>
      </c>
      <c r="E23083" t="b">
        <v>0</v>
      </c>
      <c r="F23083" t="s">
        <v>11610</v>
      </c>
      <c r="L23083">
        <v>0</v>
      </c>
      <c r="M23083">
        <v>0</v>
      </c>
      <c r="N23083">
        <v>0</v>
      </c>
    </row>
    <row r="23084" spans="1:15">
      <c r="A23084" t="s">
        <v>21450</v>
      </c>
      <c r="B23084" t="s">
        <v>6742</v>
      </c>
      <c r="C23084" t="s">
        <v>26043</v>
      </c>
      <c r="D23084" t="s">
        <v>65127</v>
      </c>
      <c r="E23084" t="b">
        <v>0</v>
      </c>
      <c r="F23084" t="s">
        <v>11624</v>
      </c>
      <c r="G23084">
        <v>9.5239200000000004</v>
      </c>
      <c r="H23084">
        <v>-12.313800000000001</v>
      </c>
      <c r="I23084" t="s">
        <v>65128</v>
      </c>
      <c r="L23084">
        <v>0</v>
      </c>
      <c r="M23084">
        <v>0</v>
      </c>
      <c r="N23084">
        <v>2</v>
      </c>
      <c r="O23084" t="s">
        <v>19371</v>
      </c>
    </row>
    <row r="23085" spans="1:15">
      <c r="A23085" t="s">
        <v>65129</v>
      </c>
      <c r="B23085" t="s">
        <v>6742</v>
      </c>
      <c r="C23085" t="s">
        <v>21450</v>
      </c>
      <c r="D23085" t="s">
        <v>65130</v>
      </c>
      <c r="E23085" t="b">
        <v>0</v>
      </c>
      <c r="F23085" t="s">
        <v>11610</v>
      </c>
      <c r="L23085">
        <v>0</v>
      </c>
      <c r="M23085">
        <v>0</v>
      </c>
      <c r="N23085">
        <v>0</v>
      </c>
    </row>
    <row r="23086" spans="1:15">
      <c r="A23086" t="s">
        <v>65131</v>
      </c>
      <c r="B23086" t="s">
        <v>6742</v>
      </c>
      <c r="C23086" t="s">
        <v>16789</v>
      </c>
      <c r="D23086" t="s">
        <v>65132</v>
      </c>
      <c r="E23086" t="b">
        <v>0</v>
      </c>
      <c r="F23086" t="s">
        <v>11610</v>
      </c>
      <c r="L23086">
        <v>0</v>
      </c>
      <c r="M23086">
        <v>0</v>
      </c>
      <c r="N23086">
        <v>0</v>
      </c>
    </row>
    <row r="23087" spans="1:15">
      <c r="A23087" t="s">
        <v>65133</v>
      </c>
      <c r="B23087" t="s">
        <v>6742</v>
      </c>
      <c r="C23087" t="s">
        <v>26047</v>
      </c>
      <c r="D23087" t="s">
        <v>65134</v>
      </c>
      <c r="E23087" t="b">
        <v>0</v>
      </c>
      <c r="F23087" t="s">
        <v>11610</v>
      </c>
      <c r="L23087">
        <v>0</v>
      </c>
      <c r="M23087">
        <v>0</v>
      </c>
      <c r="N23087">
        <v>0</v>
      </c>
    </row>
    <row r="23088" spans="1:15">
      <c r="A23088" t="s">
        <v>16901</v>
      </c>
      <c r="B23088" t="s">
        <v>6742</v>
      </c>
      <c r="C23088" t="s">
        <v>346</v>
      </c>
      <c r="D23088" t="s">
        <v>65135</v>
      </c>
      <c r="E23088" t="b">
        <v>0</v>
      </c>
      <c r="F23088" t="s">
        <v>11624</v>
      </c>
      <c r="G23088">
        <v>14.2471</v>
      </c>
      <c r="H23088">
        <v>-0.52003999999999995</v>
      </c>
      <c r="I23088" t="s">
        <v>65136</v>
      </c>
      <c r="L23088">
        <v>0</v>
      </c>
      <c r="M23088">
        <v>0</v>
      </c>
      <c r="N23088">
        <v>12</v>
      </c>
      <c r="O23088" t="s">
        <v>65137</v>
      </c>
    </row>
    <row r="23089" spans="1:15">
      <c r="A23089" t="s">
        <v>65138</v>
      </c>
      <c r="B23089" t="s">
        <v>6742</v>
      </c>
      <c r="C23089" t="s">
        <v>15474</v>
      </c>
      <c r="D23089" t="s">
        <v>65139</v>
      </c>
      <c r="E23089" t="b">
        <v>0</v>
      </c>
      <c r="F23089" t="s">
        <v>11624</v>
      </c>
      <c r="G23089">
        <v>6.3345500000000001</v>
      </c>
      <c r="H23089">
        <v>2.03904</v>
      </c>
      <c r="I23089" t="s">
        <v>65140</v>
      </c>
      <c r="L23089">
        <v>0</v>
      </c>
      <c r="M23089">
        <v>0</v>
      </c>
      <c r="N23089">
        <v>0</v>
      </c>
      <c r="O23089" t="s">
        <v>12394</v>
      </c>
    </row>
    <row r="23090" spans="1:15">
      <c r="A23090" t="s">
        <v>8097</v>
      </c>
      <c r="B23090" t="s">
        <v>6742</v>
      </c>
      <c r="C23090" t="s">
        <v>16533</v>
      </c>
      <c r="D23090" t="s">
        <v>65141</v>
      </c>
      <c r="E23090" t="b">
        <v>0</v>
      </c>
      <c r="F23090" t="s">
        <v>11624</v>
      </c>
      <c r="G23090">
        <v>6.8143500000000001</v>
      </c>
      <c r="H23090">
        <v>24.101199999999999</v>
      </c>
      <c r="I23090" t="s">
        <v>8098</v>
      </c>
      <c r="L23090">
        <v>0</v>
      </c>
      <c r="M23090">
        <v>0</v>
      </c>
      <c r="N23090">
        <v>5</v>
      </c>
      <c r="O23090" t="s">
        <v>16540</v>
      </c>
    </row>
    <row r="23091" spans="1:15">
      <c r="A23091" t="s">
        <v>65142</v>
      </c>
      <c r="B23091" t="s">
        <v>6742</v>
      </c>
      <c r="C23091" t="s">
        <v>26055</v>
      </c>
      <c r="D23091" t="s">
        <v>65143</v>
      </c>
      <c r="E23091" t="b">
        <v>0</v>
      </c>
      <c r="F23091" t="s">
        <v>11610</v>
      </c>
      <c r="L23091">
        <v>0</v>
      </c>
      <c r="M23091">
        <v>0</v>
      </c>
      <c r="N23091">
        <v>0</v>
      </c>
    </row>
    <row r="23092" spans="1:15">
      <c r="A23092" t="s">
        <v>65144</v>
      </c>
      <c r="B23092" t="s">
        <v>6742</v>
      </c>
      <c r="C23092" t="s">
        <v>24923</v>
      </c>
      <c r="D23092" t="s">
        <v>65145</v>
      </c>
      <c r="E23092" t="b">
        <v>0</v>
      </c>
      <c r="F23092" t="s">
        <v>11610</v>
      </c>
      <c r="L23092">
        <v>0</v>
      </c>
      <c r="M23092">
        <v>0</v>
      </c>
      <c r="N23092">
        <v>0</v>
      </c>
    </row>
    <row r="23093" spans="1:15">
      <c r="A23093" t="s">
        <v>49244</v>
      </c>
      <c r="B23093" t="s">
        <v>6742</v>
      </c>
      <c r="C23093" t="s">
        <v>30239</v>
      </c>
      <c r="D23093" t="s">
        <v>65146</v>
      </c>
      <c r="E23093" t="b">
        <v>0</v>
      </c>
      <c r="F23093" t="s">
        <v>11622</v>
      </c>
      <c r="L23093">
        <v>14</v>
      </c>
      <c r="M23093">
        <v>17</v>
      </c>
      <c r="N23093">
        <v>36</v>
      </c>
    </row>
    <row r="23094" spans="1:15">
      <c r="A23094" t="s">
        <v>65147</v>
      </c>
      <c r="B23094" t="s">
        <v>6742</v>
      </c>
      <c r="C23094" t="s">
        <v>26060</v>
      </c>
      <c r="D23094" t="s">
        <v>65148</v>
      </c>
      <c r="E23094" t="b">
        <v>0</v>
      </c>
      <c r="F23094" t="s">
        <v>11610</v>
      </c>
      <c r="L23094">
        <v>0</v>
      </c>
      <c r="M23094">
        <v>0</v>
      </c>
      <c r="N23094">
        <v>0</v>
      </c>
    </row>
    <row r="23095" spans="1:15">
      <c r="A23095" t="s">
        <v>65149</v>
      </c>
      <c r="B23095" t="s">
        <v>6742</v>
      </c>
      <c r="C23095" t="s">
        <v>26063</v>
      </c>
      <c r="D23095" t="s">
        <v>65150</v>
      </c>
      <c r="E23095" t="b">
        <v>0</v>
      </c>
      <c r="F23095" t="s">
        <v>11610</v>
      </c>
      <c r="L23095">
        <v>0</v>
      </c>
      <c r="M23095">
        <v>0</v>
      </c>
      <c r="N23095">
        <v>0</v>
      </c>
    </row>
    <row r="23096" spans="1:15">
      <c r="A23096" t="s">
        <v>65151</v>
      </c>
      <c r="B23096" t="s">
        <v>6742</v>
      </c>
      <c r="C23096" t="s">
        <v>49074</v>
      </c>
      <c r="D23096" t="s">
        <v>65152</v>
      </c>
      <c r="E23096" t="b">
        <v>0</v>
      </c>
      <c r="F23096" t="s">
        <v>11624</v>
      </c>
      <c r="G23096">
        <v>10.8561</v>
      </c>
      <c r="H23096">
        <v>-2.3642300000000001</v>
      </c>
      <c r="I23096" t="s">
        <v>65153</v>
      </c>
      <c r="L23096">
        <v>0</v>
      </c>
      <c r="M23096">
        <v>0</v>
      </c>
      <c r="N23096">
        <v>0</v>
      </c>
      <c r="O23096" t="s">
        <v>11985</v>
      </c>
    </row>
    <row r="23097" spans="1:15">
      <c r="A23097" t="s">
        <v>59520</v>
      </c>
      <c r="B23097" t="s">
        <v>6742</v>
      </c>
      <c r="C23097" t="s">
        <v>26069</v>
      </c>
      <c r="D23097" t="s">
        <v>65154</v>
      </c>
      <c r="E23097" t="b">
        <v>0</v>
      </c>
      <c r="F23097" t="s">
        <v>11624</v>
      </c>
      <c r="G23097">
        <v>10.629799999999999</v>
      </c>
      <c r="H23097">
        <v>-4.7648200000000003</v>
      </c>
      <c r="I23097" t="s">
        <v>65155</v>
      </c>
      <c r="L23097">
        <v>0</v>
      </c>
      <c r="M23097">
        <v>0</v>
      </c>
      <c r="N23097">
        <v>2</v>
      </c>
      <c r="O23097" t="s">
        <v>19305</v>
      </c>
    </row>
    <row r="23098" spans="1:15">
      <c r="A23098" t="s">
        <v>15576</v>
      </c>
      <c r="B23098" t="s">
        <v>6742</v>
      </c>
      <c r="C23098" t="s">
        <v>26077</v>
      </c>
      <c r="D23098" t="s">
        <v>65156</v>
      </c>
      <c r="E23098" t="b">
        <v>0</v>
      </c>
      <c r="F23098" t="s">
        <v>11622</v>
      </c>
      <c r="L23098">
        <v>0</v>
      </c>
      <c r="M23098">
        <v>2</v>
      </c>
      <c r="N23098">
        <v>2</v>
      </c>
    </row>
    <row r="23099" spans="1:15">
      <c r="A23099" t="s">
        <v>65157</v>
      </c>
      <c r="B23099" t="s">
        <v>6742</v>
      </c>
      <c r="C23099" t="s">
        <v>26080</v>
      </c>
      <c r="D23099" t="s">
        <v>65158</v>
      </c>
      <c r="E23099" t="b">
        <v>0</v>
      </c>
      <c r="F23099" t="s">
        <v>11610</v>
      </c>
      <c r="L23099">
        <v>0</v>
      </c>
      <c r="M23099">
        <v>0</v>
      </c>
      <c r="N23099">
        <v>0</v>
      </c>
    </row>
    <row r="23100" spans="1:15">
      <c r="A23100" t="s">
        <v>12589</v>
      </c>
      <c r="B23100" t="s">
        <v>6742</v>
      </c>
      <c r="C23100" t="s">
        <v>27133</v>
      </c>
      <c r="D23100" t="s">
        <v>65159</v>
      </c>
      <c r="E23100" t="b">
        <v>0</v>
      </c>
      <c r="F23100" t="s">
        <v>11610</v>
      </c>
      <c r="L23100">
        <v>0</v>
      </c>
      <c r="M23100">
        <v>0</v>
      </c>
      <c r="N23100">
        <v>17</v>
      </c>
    </row>
    <row r="23101" spans="1:15">
      <c r="A23101" t="s">
        <v>65160</v>
      </c>
      <c r="B23101" t="s">
        <v>6742</v>
      </c>
      <c r="C23101" t="s">
        <v>20764</v>
      </c>
      <c r="D23101" t="s">
        <v>65161</v>
      </c>
      <c r="E23101" t="b">
        <v>0</v>
      </c>
      <c r="F23101" t="s">
        <v>11610</v>
      </c>
      <c r="L23101">
        <v>0</v>
      </c>
      <c r="M23101">
        <v>0</v>
      </c>
      <c r="N23101">
        <v>0</v>
      </c>
    </row>
    <row r="23102" spans="1:15">
      <c r="A23102" t="s">
        <v>65162</v>
      </c>
      <c r="B23102" t="s">
        <v>6742</v>
      </c>
      <c r="C23102" t="s">
        <v>26090</v>
      </c>
      <c r="D23102" t="s">
        <v>65163</v>
      </c>
      <c r="E23102" t="b">
        <v>0</v>
      </c>
      <c r="F23102" t="s">
        <v>11610</v>
      </c>
      <c r="L23102">
        <v>0</v>
      </c>
      <c r="M23102">
        <v>0</v>
      </c>
      <c r="N23102">
        <v>0</v>
      </c>
    </row>
    <row r="23103" spans="1:15">
      <c r="A23103" t="s">
        <v>65164</v>
      </c>
      <c r="B23103" t="s">
        <v>6742</v>
      </c>
      <c r="C23103" t="s">
        <v>15793</v>
      </c>
      <c r="D23103" t="s">
        <v>65165</v>
      </c>
      <c r="E23103" t="b">
        <v>0</v>
      </c>
      <c r="F23103" t="s">
        <v>11610</v>
      </c>
      <c r="L23103">
        <v>0</v>
      </c>
      <c r="M23103">
        <v>0</v>
      </c>
      <c r="N23103">
        <v>0</v>
      </c>
    </row>
    <row r="23104" spans="1:15">
      <c r="A23104" t="s">
        <v>65166</v>
      </c>
      <c r="B23104" t="s">
        <v>6742</v>
      </c>
      <c r="C23104" t="s">
        <v>26095</v>
      </c>
      <c r="D23104" t="s">
        <v>65167</v>
      </c>
      <c r="E23104" t="b">
        <v>0</v>
      </c>
      <c r="F23104" t="s">
        <v>11610</v>
      </c>
      <c r="L23104">
        <v>0</v>
      </c>
      <c r="M23104">
        <v>0</v>
      </c>
      <c r="N23104">
        <v>0</v>
      </c>
    </row>
    <row r="23105" spans="1:15">
      <c r="A23105" t="s">
        <v>65168</v>
      </c>
      <c r="B23105" t="s">
        <v>6742</v>
      </c>
      <c r="C23105" t="s">
        <v>26101</v>
      </c>
      <c r="D23105" t="s">
        <v>65169</v>
      </c>
      <c r="E23105" t="b">
        <v>0</v>
      </c>
      <c r="F23105" t="s">
        <v>11610</v>
      </c>
      <c r="L23105">
        <v>0</v>
      </c>
      <c r="M23105">
        <v>0</v>
      </c>
      <c r="N23105">
        <v>0</v>
      </c>
    </row>
    <row r="23106" spans="1:15">
      <c r="A23106" t="s">
        <v>65170</v>
      </c>
      <c r="B23106" t="s">
        <v>6742</v>
      </c>
      <c r="C23106" t="s">
        <v>12787</v>
      </c>
      <c r="D23106" t="s">
        <v>65171</v>
      </c>
      <c r="E23106" t="b">
        <v>0</v>
      </c>
      <c r="F23106" t="s">
        <v>11610</v>
      </c>
      <c r="L23106">
        <v>0</v>
      </c>
      <c r="M23106">
        <v>0</v>
      </c>
      <c r="N23106">
        <v>0</v>
      </c>
    </row>
    <row r="23107" spans="1:15">
      <c r="A23107" t="s">
        <v>65172</v>
      </c>
      <c r="B23107" t="s">
        <v>6742</v>
      </c>
      <c r="C23107" t="s">
        <v>19981</v>
      </c>
      <c r="D23107" t="s">
        <v>65173</v>
      </c>
      <c r="E23107" t="b">
        <v>0</v>
      </c>
      <c r="F23107" t="s">
        <v>11610</v>
      </c>
      <c r="L23107">
        <v>0</v>
      </c>
      <c r="M23107">
        <v>0</v>
      </c>
      <c r="N23107">
        <v>0</v>
      </c>
    </row>
    <row r="23108" spans="1:15">
      <c r="A23108" t="s">
        <v>12683</v>
      </c>
      <c r="B23108" t="s">
        <v>6742</v>
      </c>
      <c r="C23108" t="s">
        <v>26104</v>
      </c>
      <c r="D23108" t="s">
        <v>65174</v>
      </c>
      <c r="E23108" t="b">
        <v>0</v>
      </c>
      <c r="F23108" t="s">
        <v>11610</v>
      </c>
      <c r="L23108">
        <v>0</v>
      </c>
      <c r="M23108">
        <v>0</v>
      </c>
      <c r="N23108">
        <v>5</v>
      </c>
    </row>
    <row r="23109" spans="1:15">
      <c r="A23109" t="s">
        <v>17313</v>
      </c>
      <c r="B23109" t="s">
        <v>6742</v>
      </c>
      <c r="C23109" t="s">
        <v>12595</v>
      </c>
      <c r="D23109" t="s">
        <v>65175</v>
      </c>
      <c r="E23109" t="b">
        <v>0</v>
      </c>
      <c r="F23109" t="s">
        <v>11622</v>
      </c>
      <c r="L23109">
        <v>12</v>
      </c>
      <c r="M23109">
        <v>23</v>
      </c>
      <c r="N23109">
        <v>93</v>
      </c>
    </row>
    <row r="23110" spans="1:15">
      <c r="A23110" t="s">
        <v>65176</v>
      </c>
      <c r="B23110" t="s">
        <v>6742</v>
      </c>
      <c r="C23110" t="s">
        <v>21492</v>
      </c>
      <c r="D23110" t="s">
        <v>65177</v>
      </c>
      <c r="E23110" t="b">
        <v>0</v>
      </c>
      <c r="F23110" t="s">
        <v>11610</v>
      </c>
      <c r="L23110">
        <v>0</v>
      </c>
      <c r="M23110">
        <v>0</v>
      </c>
      <c r="N23110">
        <v>0</v>
      </c>
    </row>
    <row r="23111" spans="1:15">
      <c r="A23111" t="s">
        <v>65178</v>
      </c>
      <c r="B23111" t="s">
        <v>6742</v>
      </c>
      <c r="C23111" t="s">
        <v>21492</v>
      </c>
      <c r="D23111" t="s">
        <v>65179</v>
      </c>
      <c r="E23111" t="b">
        <v>0</v>
      </c>
      <c r="F23111" t="s">
        <v>11610</v>
      </c>
      <c r="L23111">
        <v>0</v>
      </c>
      <c r="M23111">
        <v>0</v>
      </c>
      <c r="N23111">
        <v>0</v>
      </c>
    </row>
    <row r="23112" spans="1:15">
      <c r="A23112" t="s">
        <v>18362</v>
      </c>
      <c r="B23112" t="s">
        <v>6742</v>
      </c>
      <c r="C23112" t="s">
        <v>23852</v>
      </c>
      <c r="D23112" t="s">
        <v>65180</v>
      </c>
      <c r="E23112" t="b">
        <v>0</v>
      </c>
      <c r="F23112" t="s">
        <v>11624</v>
      </c>
      <c r="G23112">
        <v>6.1441499999999998</v>
      </c>
      <c r="H23112">
        <v>-8.4095399999999998</v>
      </c>
      <c r="I23112" t="s">
        <v>65181</v>
      </c>
      <c r="L23112">
        <v>0</v>
      </c>
      <c r="M23112">
        <v>0</v>
      </c>
      <c r="N23112">
        <v>8</v>
      </c>
      <c r="O23112" t="s">
        <v>23855</v>
      </c>
    </row>
    <row r="23113" spans="1:15">
      <c r="A23113" t="s">
        <v>23948</v>
      </c>
      <c r="B23113" t="s">
        <v>6742</v>
      </c>
      <c r="C23113" t="s">
        <v>18189</v>
      </c>
      <c r="D23113" t="s">
        <v>65182</v>
      </c>
      <c r="E23113" t="b">
        <v>0</v>
      </c>
      <c r="F23113" t="s">
        <v>11622</v>
      </c>
      <c r="L23113">
        <v>0</v>
      </c>
      <c r="M23113">
        <v>3</v>
      </c>
      <c r="N23113">
        <v>11</v>
      </c>
    </row>
    <row r="23114" spans="1:15">
      <c r="A23114" t="s">
        <v>65183</v>
      </c>
      <c r="B23114" t="s">
        <v>11729</v>
      </c>
      <c r="C23114" t="s">
        <v>24743</v>
      </c>
      <c r="D23114" t="s">
        <v>65184</v>
      </c>
      <c r="E23114" t="b">
        <v>0</v>
      </c>
      <c r="F23114" t="s">
        <v>11610</v>
      </c>
      <c r="L23114">
        <v>0</v>
      </c>
      <c r="M23114">
        <v>0</v>
      </c>
      <c r="N23114">
        <v>0</v>
      </c>
    </row>
    <row r="23115" spans="1:15">
      <c r="A23115" t="s">
        <v>65185</v>
      </c>
      <c r="B23115" t="s">
        <v>11757</v>
      </c>
      <c r="C23115" t="s">
        <v>26119</v>
      </c>
      <c r="D23115" t="s">
        <v>65186</v>
      </c>
      <c r="E23115" t="b">
        <v>0</v>
      </c>
      <c r="F23115" t="s">
        <v>11610</v>
      </c>
      <c r="L23115">
        <v>0</v>
      </c>
      <c r="M23115">
        <v>0</v>
      </c>
      <c r="N23115">
        <v>0</v>
      </c>
    </row>
    <row r="23116" spans="1:15">
      <c r="A23116" t="s">
        <v>65187</v>
      </c>
      <c r="B23116" t="s">
        <v>11757</v>
      </c>
      <c r="C23116" t="s">
        <v>26122</v>
      </c>
      <c r="D23116" t="s">
        <v>65188</v>
      </c>
      <c r="E23116" t="b">
        <v>0</v>
      </c>
      <c r="F23116" t="s">
        <v>11610</v>
      </c>
      <c r="L23116">
        <v>0</v>
      </c>
      <c r="M23116">
        <v>0</v>
      </c>
      <c r="N23116">
        <v>0</v>
      </c>
    </row>
    <row r="23117" spans="1:15">
      <c r="A23117" t="s">
        <v>24874</v>
      </c>
      <c r="B23117" t="s">
        <v>11757</v>
      </c>
      <c r="C23117" t="s">
        <v>11757</v>
      </c>
      <c r="D23117" t="s">
        <v>65189</v>
      </c>
      <c r="E23117" t="b">
        <v>0</v>
      </c>
      <c r="F23117" t="s">
        <v>11622</v>
      </c>
      <c r="L23117">
        <v>10</v>
      </c>
      <c r="M23117">
        <v>22</v>
      </c>
      <c r="N23117">
        <v>60</v>
      </c>
    </row>
    <row r="23118" spans="1:15">
      <c r="A23118" t="s">
        <v>65190</v>
      </c>
      <c r="B23118" t="s">
        <v>11757</v>
      </c>
      <c r="C23118" t="s">
        <v>945</v>
      </c>
      <c r="D23118" t="s">
        <v>65191</v>
      </c>
      <c r="E23118" t="b">
        <v>0</v>
      </c>
      <c r="F23118" t="s">
        <v>11610</v>
      </c>
      <c r="L23118">
        <v>0</v>
      </c>
      <c r="M23118">
        <v>0</v>
      </c>
      <c r="N23118">
        <v>0</v>
      </c>
    </row>
    <row r="23119" spans="1:15">
      <c r="A23119" t="s">
        <v>65192</v>
      </c>
      <c r="B23119" t="s">
        <v>15569</v>
      </c>
      <c r="C23119" t="s">
        <v>16268</v>
      </c>
      <c r="D23119" t="s">
        <v>65193</v>
      </c>
      <c r="E23119" t="b">
        <v>0</v>
      </c>
      <c r="F23119" t="s">
        <v>11610</v>
      </c>
      <c r="L23119">
        <v>0</v>
      </c>
      <c r="M23119">
        <v>0</v>
      </c>
      <c r="N23119">
        <v>0</v>
      </c>
    </row>
    <row r="23120" spans="1:15">
      <c r="A23120" t="s">
        <v>65194</v>
      </c>
      <c r="B23120" t="s">
        <v>11780</v>
      </c>
      <c r="C23120" t="s">
        <v>24146</v>
      </c>
      <c r="D23120" t="s">
        <v>65195</v>
      </c>
      <c r="E23120" t="b">
        <v>0</v>
      </c>
      <c r="F23120" t="s">
        <v>11610</v>
      </c>
      <c r="L23120">
        <v>0</v>
      </c>
      <c r="M23120">
        <v>0</v>
      </c>
      <c r="N23120">
        <v>0</v>
      </c>
    </row>
    <row r="23121" spans="1:15">
      <c r="A23121" t="s">
        <v>36715</v>
      </c>
      <c r="B23121" t="s">
        <v>13276</v>
      </c>
      <c r="C23121" t="s">
        <v>26132</v>
      </c>
      <c r="D23121" t="s">
        <v>65196</v>
      </c>
      <c r="E23121" t="b">
        <v>0</v>
      </c>
      <c r="F23121" t="s">
        <v>11622</v>
      </c>
      <c r="L23121">
        <v>2</v>
      </c>
      <c r="M23121">
        <v>6</v>
      </c>
      <c r="N23121">
        <v>3</v>
      </c>
    </row>
    <row r="23122" spans="1:15">
      <c r="A23122" t="s">
        <v>35851</v>
      </c>
      <c r="B23122" t="s">
        <v>13276</v>
      </c>
      <c r="C23122" t="s">
        <v>33091</v>
      </c>
      <c r="D23122" t="s">
        <v>65197</v>
      </c>
      <c r="E23122" t="b">
        <v>0</v>
      </c>
      <c r="F23122" t="s">
        <v>11624</v>
      </c>
      <c r="G23122">
        <v>13.5677</v>
      </c>
      <c r="H23122">
        <v>-12.8009</v>
      </c>
      <c r="I23122" t="s">
        <v>65198</v>
      </c>
      <c r="L23122">
        <v>0</v>
      </c>
      <c r="M23122">
        <v>0</v>
      </c>
      <c r="N23122">
        <v>2</v>
      </c>
      <c r="O23122" t="s">
        <v>53697</v>
      </c>
    </row>
    <row r="23123" spans="1:15">
      <c r="A23123" t="s">
        <v>24137</v>
      </c>
      <c r="B23123" t="s">
        <v>17030</v>
      </c>
      <c r="C23123" t="s">
        <v>17030</v>
      </c>
      <c r="D23123" t="s">
        <v>65199</v>
      </c>
      <c r="E23123" t="b">
        <v>0</v>
      </c>
      <c r="F23123" t="s">
        <v>11622</v>
      </c>
      <c r="L23123">
        <v>1</v>
      </c>
      <c r="M23123">
        <v>5</v>
      </c>
      <c r="N23123">
        <v>7</v>
      </c>
    </row>
    <row r="23124" spans="1:15">
      <c r="A23124" t="s">
        <v>21517</v>
      </c>
      <c r="B23124" t="s">
        <v>21516</v>
      </c>
      <c r="C23124" t="s">
        <v>21516</v>
      </c>
      <c r="D23124" t="s">
        <v>65200</v>
      </c>
      <c r="E23124" t="b">
        <v>0</v>
      </c>
      <c r="F23124" t="s">
        <v>11622</v>
      </c>
      <c r="L23124">
        <v>4</v>
      </c>
      <c r="M23124">
        <v>8</v>
      </c>
      <c r="N23124">
        <v>25</v>
      </c>
    </row>
    <row r="23125" spans="1:15">
      <c r="A23125" t="s">
        <v>45367</v>
      </c>
      <c r="B23125" t="s">
        <v>21516</v>
      </c>
      <c r="C23125" t="s">
        <v>21517</v>
      </c>
      <c r="D23125" t="s">
        <v>65201</v>
      </c>
      <c r="E23125" t="b">
        <v>0</v>
      </c>
      <c r="F23125" t="s">
        <v>11622</v>
      </c>
      <c r="L23125">
        <v>0</v>
      </c>
      <c r="M23125">
        <v>2</v>
      </c>
      <c r="N23125">
        <v>11</v>
      </c>
    </row>
    <row r="23126" spans="1:15">
      <c r="A23126" t="s">
        <v>65202</v>
      </c>
      <c r="B23126" t="s">
        <v>3165</v>
      </c>
      <c r="C23126" t="s">
        <v>11906</v>
      </c>
      <c r="D23126" t="s">
        <v>65203</v>
      </c>
      <c r="E23126" t="b">
        <v>0</v>
      </c>
      <c r="F23126" t="s">
        <v>11610</v>
      </c>
      <c r="L23126">
        <v>0</v>
      </c>
      <c r="M23126">
        <v>0</v>
      </c>
      <c r="N23126">
        <v>0</v>
      </c>
    </row>
    <row r="23127" spans="1:15">
      <c r="A23127" t="s">
        <v>34905</v>
      </c>
      <c r="B23127" t="s">
        <v>13967</v>
      </c>
      <c r="C23127" t="s">
        <v>13967</v>
      </c>
      <c r="D23127" t="s">
        <v>65204</v>
      </c>
      <c r="E23127" t="b">
        <v>0</v>
      </c>
      <c r="F23127" t="s">
        <v>11622</v>
      </c>
      <c r="L23127">
        <v>5</v>
      </c>
      <c r="M23127">
        <v>8</v>
      </c>
      <c r="N23127">
        <v>27</v>
      </c>
    </row>
    <row r="23128" spans="1:15">
      <c r="A23128" t="s">
        <v>38775</v>
      </c>
      <c r="B23128" t="s">
        <v>4236</v>
      </c>
      <c r="C23128" t="s">
        <v>48146</v>
      </c>
      <c r="D23128" t="s">
        <v>65205</v>
      </c>
      <c r="E23128" t="b">
        <v>0</v>
      </c>
      <c r="F23128" t="s">
        <v>11622</v>
      </c>
      <c r="L23128">
        <v>3</v>
      </c>
      <c r="M23128">
        <v>5</v>
      </c>
      <c r="N23128">
        <v>14</v>
      </c>
    </row>
    <row r="23129" spans="1:15">
      <c r="A23129" t="s">
        <v>60823</v>
      </c>
      <c r="B23129" t="s">
        <v>1342</v>
      </c>
      <c r="C23129" t="s">
        <v>33179</v>
      </c>
      <c r="D23129" t="s">
        <v>65206</v>
      </c>
      <c r="E23129" t="b">
        <v>0</v>
      </c>
      <c r="F23129" t="s">
        <v>11622</v>
      </c>
      <c r="L23129">
        <v>0</v>
      </c>
      <c r="M23129">
        <v>2</v>
      </c>
      <c r="N23129">
        <v>5</v>
      </c>
    </row>
    <row r="23130" spans="1:15">
      <c r="A23130" t="s">
        <v>65207</v>
      </c>
      <c r="B23130" t="s">
        <v>21528</v>
      </c>
      <c r="C23130" t="s">
        <v>21529</v>
      </c>
      <c r="D23130" t="s">
        <v>65208</v>
      </c>
      <c r="E23130" t="b">
        <v>0</v>
      </c>
      <c r="F23130" t="s">
        <v>11610</v>
      </c>
      <c r="L23130">
        <v>0</v>
      </c>
      <c r="M23130">
        <v>0</v>
      </c>
      <c r="N23130">
        <v>0</v>
      </c>
    </row>
    <row r="23131" spans="1:15">
      <c r="A23131" t="s">
        <v>65209</v>
      </c>
      <c r="B23131" t="s">
        <v>367</v>
      </c>
      <c r="C23131" t="s">
        <v>43366</v>
      </c>
      <c r="D23131" t="s">
        <v>65210</v>
      </c>
      <c r="E23131" t="b">
        <v>0</v>
      </c>
      <c r="F23131" t="s">
        <v>11610</v>
      </c>
      <c r="L23131">
        <v>0</v>
      </c>
      <c r="M23131">
        <v>0</v>
      </c>
      <c r="N23131">
        <v>0</v>
      </c>
    </row>
    <row r="23132" spans="1:15">
      <c r="A23132" t="s">
        <v>46901</v>
      </c>
      <c r="B23132" t="s">
        <v>367</v>
      </c>
      <c r="C23132" t="s">
        <v>13356</v>
      </c>
      <c r="D23132" t="s">
        <v>65211</v>
      </c>
      <c r="E23132" t="b">
        <v>0</v>
      </c>
      <c r="F23132" t="s">
        <v>11624</v>
      </c>
      <c r="G23132">
        <v>-15.428100000000001</v>
      </c>
      <c r="H23132">
        <v>167.80699999999999</v>
      </c>
      <c r="I23132" t="s">
        <v>65212</v>
      </c>
      <c r="L23132">
        <v>0</v>
      </c>
      <c r="M23132">
        <v>0</v>
      </c>
      <c r="N23132">
        <v>2</v>
      </c>
      <c r="O23132" t="s">
        <v>12719</v>
      </c>
    </row>
    <row r="23133" spans="1:15">
      <c r="A23133" t="s">
        <v>65213</v>
      </c>
      <c r="B23133" t="s">
        <v>367</v>
      </c>
      <c r="C23133" t="s">
        <v>11080</v>
      </c>
      <c r="D23133" t="s">
        <v>65214</v>
      </c>
      <c r="E23133" t="b">
        <v>0</v>
      </c>
      <c r="F23133" t="s">
        <v>11610</v>
      </c>
      <c r="L23133">
        <v>0</v>
      </c>
      <c r="M23133">
        <v>0</v>
      </c>
      <c r="N23133">
        <v>0</v>
      </c>
    </row>
    <row r="23134" spans="1:15">
      <c r="A23134" t="s">
        <v>65215</v>
      </c>
      <c r="B23134" t="s">
        <v>367</v>
      </c>
      <c r="C23134" t="s">
        <v>175</v>
      </c>
      <c r="D23134" t="s">
        <v>65216</v>
      </c>
      <c r="E23134" t="b">
        <v>0</v>
      </c>
      <c r="F23134" t="s">
        <v>11610</v>
      </c>
      <c r="L23134">
        <v>0</v>
      </c>
      <c r="M23134">
        <v>0</v>
      </c>
      <c r="N23134">
        <v>0</v>
      </c>
    </row>
    <row r="23135" spans="1:15">
      <c r="A23135" t="s">
        <v>65217</v>
      </c>
      <c r="B23135" t="s">
        <v>367</v>
      </c>
      <c r="C23135" t="s">
        <v>27090</v>
      </c>
      <c r="D23135" t="s">
        <v>65218</v>
      </c>
      <c r="E23135" t="b">
        <v>0</v>
      </c>
      <c r="F23135" t="s">
        <v>11624</v>
      </c>
      <c r="G23135">
        <v>-20.4145</v>
      </c>
      <c r="H23135">
        <v>166.589</v>
      </c>
      <c r="I23135" t="s">
        <v>65219</v>
      </c>
      <c r="L23135">
        <v>0</v>
      </c>
      <c r="M23135">
        <v>0</v>
      </c>
      <c r="N23135">
        <v>0</v>
      </c>
      <c r="O23135" t="s">
        <v>12624</v>
      </c>
    </row>
    <row r="23136" spans="1:15">
      <c r="A23136" t="s">
        <v>46419</v>
      </c>
      <c r="B23136" t="s">
        <v>367</v>
      </c>
      <c r="C23136" t="s">
        <v>21538</v>
      </c>
      <c r="D23136" t="s">
        <v>65220</v>
      </c>
      <c r="E23136" t="b">
        <v>0</v>
      </c>
      <c r="F23136" t="s">
        <v>11622</v>
      </c>
      <c r="L23136">
        <v>0</v>
      </c>
      <c r="M23136">
        <v>2</v>
      </c>
      <c r="N23136">
        <v>5</v>
      </c>
    </row>
    <row r="23137" spans="1:15">
      <c r="A23137" t="s">
        <v>49767</v>
      </c>
      <c r="B23137" t="s">
        <v>367</v>
      </c>
      <c r="C23137" t="s">
        <v>46419</v>
      </c>
      <c r="D23137" t="s">
        <v>65221</v>
      </c>
      <c r="E23137" t="b">
        <v>0</v>
      </c>
      <c r="F23137" t="s">
        <v>11624</v>
      </c>
      <c r="G23137">
        <v>-17.8355</v>
      </c>
      <c r="H23137">
        <v>177.65700000000001</v>
      </c>
      <c r="I23137" t="s">
        <v>65222</v>
      </c>
      <c r="L23137">
        <v>0</v>
      </c>
      <c r="M23137">
        <v>0</v>
      </c>
      <c r="N23137">
        <v>2</v>
      </c>
      <c r="O23137" t="s">
        <v>27843</v>
      </c>
    </row>
    <row r="23138" spans="1:15">
      <c r="A23138" t="s">
        <v>65223</v>
      </c>
      <c r="B23138" t="s">
        <v>367</v>
      </c>
      <c r="C23138" t="s">
        <v>26173</v>
      </c>
      <c r="D23138" t="s">
        <v>65224</v>
      </c>
      <c r="E23138" t="b">
        <v>0</v>
      </c>
      <c r="F23138" t="s">
        <v>11610</v>
      </c>
      <c r="L23138">
        <v>0</v>
      </c>
      <c r="M23138">
        <v>0</v>
      </c>
      <c r="N23138">
        <v>0</v>
      </c>
    </row>
    <row r="23139" spans="1:15">
      <c r="A23139" t="s">
        <v>38963</v>
      </c>
      <c r="B23139" t="s">
        <v>367</v>
      </c>
      <c r="C23139" t="s">
        <v>22794</v>
      </c>
      <c r="D23139" t="s">
        <v>65225</v>
      </c>
      <c r="E23139" t="b">
        <v>0</v>
      </c>
      <c r="F23139" t="s">
        <v>11622</v>
      </c>
      <c r="L23139">
        <v>0</v>
      </c>
      <c r="M23139">
        <v>2</v>
      </c>
      <c r="N23139">
        <v>0</v>
      </c>
    </row>
    <row r="23140" spans="1:15">
      <c r="A23140" t="s">
        <v>65226</v>
      </c>
      <c r="B23140" t="s">
        <v>367</v>
      </c>
      <c r="C23140" t="s">
        <v>6861</v>
      </c>
      <c r="D23140" t="s">
        <v>65227</v>
      </c>
      <c r="E23140" t="b">
        <v>0</v>
      </c>
      <c r="F23140" t="s">
        <v>11610</v>
      </c>
      <c r="L23140">
        <v>0</v>
      </c>
      <c r="M23140">
        <v>0</v>
      </c>
      <c r="N23140">
        <v>0</v>
      </c>
    </row>
    <row r="23141" spans="1:15">
      <c r="A23141" t="s">
        <v>65228</v>
      </c>
      <c r="B23141" t="s">
        <v>367</v>
      </c>
      <c r="C23141" t="s">
        <v>7437</v>
      </c>
      <c r="D23141" t="s">
        <v>65229</v>
      </c>
      <c r="E23141" t="b">
        <v>0</v>
      </c>
      <c r="F23141" t="s">
        <v>11610</v>
      </c>
      <c r="L23141">
        <v>0</v>
      </c>
      <c r="M23141">
        <v>0</v>
      </c>
      <c r="N23141">
        <v>0</v>
      </c>
    </row>
    <row r="23142" spans="1:15">
      <c r="A23142" t="s">
        <v>65230</v>
      </c>
      <c r="B23142" t="s">
        <v>367</v>
      </c>
      <c r="C23142" t="s">
        <v>26179</v>
      </c>
      <c r="D23142" t="s">
        <v>65231</v>
      </c>
      <c r="E23142" t="b">
        <v>0</v>
      </c>
      <c r="F23142" t="s">
        <v>11610</v>
      </c>
      <c r="L23142">
        <v>0</v>
      </c>
      <c r="M23142">
        <v>0</v>
      </c>
      <c r="N23142">
        <v>0</v>
      </c>
    </row>
    <row r="23143" spans="1:15">
      <c r="A23143" t="s">
        <v>65232</v>
      </c>
      <c r="B23143" t="s">
        <v>367</v>
      </c>
      <c r="C23143" t="s">
        <v>7972</v>
      </c>
      <c r="D23143" t="s">
        <v>65233</v>
      </c>
      <c r="E23143" t="b">
        <v>0</v>
      </c>
      <c r="F23143" t="s">
        <v>11610</v>
      </c>
      <c r="L23143">
        <v>0</v>
      </c>
      <c r="M23143">
        <v>0</v>
      </c>
      <c r="N23143">
        <v>0</v>
      </c>
    </row>
    <row r="23144" spans="1:15">
      <c r="A23144" t="s">
        <v>65234</v>
      </c>
      <c r="B23144" t="s">
        <v>367</v>
      </c>
      <c r="C23144" t="s">
        <v>47773</v>
      </c>
      <c r="D23144" t="s">
        <v>65235</v>
      </c>
      <c r="E23144" t="b">
        <v>0</v>
      </c>
      <c r="F23144" t="s">
        <v>11610</v>
      </c>
      <c r="L23144">
        <v>0</v>
      </c>
      <c r="M23144">
        <v>0</v>
      </c>
      <c r="N23144">
        <v>0</v>
      </c>
    </row>
    <row r="23145" spans="1:15">
      <c r="A23145" t="s">
        <v>12500</v>
      </c>
      <c r="B23145" t="s">
        <v>367</v>
      </c>
      <c r="C23145" t="s">
        <v>14400</v>
      </c>
      <c r="D23145" t="s">
        <v>65236</v>
      </c>
      <c r="E23145" t="b">
        <v>0</v>
      </c>
      <c r="F23145" t="s">
        <v>11622</v>
      </c>
      <c r="L23145">
        <v>0</v>
      </c>
      <c r="M23145">
        <v>4</v>
      </c>
      <c r="N23145">
        <v>1</v>
      </c>
    </row>
    <row r="23146" spans="1:15">
      <c r="A23146" t="s">
        <v>65237</v>
      </c>
      <c r="B23146" t="s">
        <v>367</v>
      </c>
      <c r="C23146" t="s">
        <v>43009</v>
      </c>
      <c r="D23146" t="s">
        <v>65238</v>
      </c>
      <c r="E23146" t="b">
        <v>0</v>
      </c>
      <c r="F23146" t="s">
        <v>11610</v>
      </c>
      <c r="L23146">
        <v>0</v>
      </c>
      <c r="M23146">
        <v>0</v>
      </c>
      <c r="N23146">
        <v>0</v>
      </c>
    </row>
    <row r="23147" spans="1:15">
      <c r="A23147" t="s">
        <v>13657</v>
      </c>
      <c r="B23147" t="s">
        <v>367</v>
      </c>
      <c r="C23147" t="s">
        <v>12100</v>
      </c>
      <c r="D23147" t="s">
        <v>65239</v>
      </c>
      <c r="E23147" t="b">
        <v>0</v>
      </c>
      <c r="F23147" t="s">
        <v>11622</v>
      </c>
      <c r="L23147">
        <v>1</v>
      </c>
      <c r="M23147">
        <v>4</v>
      </c>
      <c r="N23147">
        <v>2</v>
      </c>
    </row>
    <row r="23148" spans="1:15">
      <c r="A23148" t="s">
        <v>65240</v>
      </c>
      <c r="B23148" t="s">
        <v>367</v>
      </c>
      <c r="C23148" t="s">
        <v>7798</v>
      </c>
      <c r="D23148" t="s">
        <v>65241</v>
      </c>
      <c r="E23148" t="b">
        <v>0</v>
      </c>
      <c r="F23148" t="s">
        <v>11622</v>
      </c>
      <c r="L23148">
        <v>2</v>
      </c>
      <c r="M23148">
        <v>8</v>
      </c>
      <c r="N23148">
        <v>9</v>
      </c>
    </row>
    <row r="23149" spans="1:15">
      <c r="A23149" t="s">
        <v>65242</v>
      </c>
      <c r="B23149" t="s">
        <v>367</v>
      </c>
      <c r="C23149" t="s">
        <v>26192</v>
      </c>
      <c r="D23149" t="s">
        <v>65243</v>
      </c>
      <c r="E23149" t="b">
        <v>0</v>
      </c>
      <c r="F23149" t="s">
        <v>11610</v>
      </c>
      <c r="L23149">
        <v>0</v>
      </c>
      <c r="M23149">
        <v>0</v>
      </c>
      <c r="N23149">
        <v>0</v>
      </c>
    </row>
    <row r="23150" spans="1:15">
      <c r="A23150" t="s">
        <v>65244</v>
      </c>
      <c r="B23150" t="s">
        <v>367</v>
      </c>
      <c r="C23150" t="s">
        <v>21566</v>
      </c>
      <c r="D23150" t="s">
        <v>65245</v>
      </c>
      <c r="E23150" t="b">
        <v>0</v>
      </c>
      <c r="F23150" t="s">
        <v>11624</v>
      </c>
      <c r="G23150">
        <v>-8.1804000000000006</v>
      </c>
      <c r="H23150">
        <v>129.833</v>
      </c>
      <c r="I23150" t="s">
        <v>65246</v>
      </c>
      <c r="L23150">
        <v>0</v>
      </c>
      <c r="M23150">
        <v>0</v>
      </c>
      <c r="N23150">
        <v>0</v>
      </c>
      <c r="O23150" t="s">
        <v>11768</v>
      </c>
    </row>
    <row r="23151" spans="1:15">
      <c r="A23151" t="s">
        <v>65247</v>
      </c>
      <c r="B23151" t="s">
        <v>367</v>
      </c>
      <c r="C23151" t="s">
        <v>5503</v>
      </c>
      <c r="D23151" t="s">
        <v>65248</v>
      </c>
      <c r="E23151" t="b">
        <v>0</v>
      </c>
      <c r="F23151" t="s">
        <v>11610</v>
      </c>
      <c r="L23151">
        <v>0</v>
      </c>
      <c r="M23151">
        <v>0</v>
      </c>
      <c r="N23151">
        <v>0</v>
      </c>
    </row>
    <row r="23152" spans="1:15">
      <c r="A23152" t="s">
        <v>65249</v>
      </c>
      <c r="B23152" t="s">
        <v>367</v>
      </c>
      <c r="C23152" t="s">
        <v>5503</v>
      </c>
      <c r="D23152" t="s">
        <v>65250</v>
      </c>
      <c r="E23152" t="b">
        <v>0</v>
      </c>
      <c r="F23152" t="s">
        <v>11610</v>
      </c>
      <c r="L23152">
        <v>0</v>
      </c>
      <c r="M23152">
        <v>0</v>
      </c>
      <c r="N23152">
        <v>0</v>
      </c>
    </row>
    <row r="23153" spans="1:15">
      <c r="A23153" t="s">
        <v>48683</v>
      </c>
      <c r="B23153" t="s">
        <v>367</v>
      </c>
      <c r="C23153" t="s">
        <v>14691</v>
      </c>
      <c r="D23153" t="s">
        <v>65251</v>
      </c>
      <c r="E23153" t="b">
        <v>0</v>
      </c>
      <c r="F23153" t="s">
        <v>11624</v>
      </c>
      <c r="G23153">
        <v>-6.6204599999999996</v>
      </c>
      <c r="H23153">
        <v>134.16800000000001</v>
      </c>
      <c r="I23153" t="s">
        <v>65252</v>
      </c>
      <c r="L23153">
        <v>0</v>
      </c>
      <c r="M23153">
        <v>0</v>
      </c>
      <c r="N23153">
        <v>2</v>
      </c>
      <c r="O23153" t="s">
        <v>11768</v>
      </c>
    </row>
    <row r="23154" spans="1:15">
      <c r="A23154" t="s">
        <v>65253</v>
      </c>
      <c r="B23154" t="s">
        <v>367</v>
      </c>
      <c r="C23154" t="s">
        <v>38987</v>
      </c>
      <c r="D23154" t="s">
        <v>65254</v>
      </c>
      <c r="E23154" t="b">
        <v>0</v>
      </c>
      <c r="F23154" t="s">
        <v>11610</v>
      </c>
      <c r="L23154">
        <v>0</v>
      </c>
      <c r="M23154">
        <v>0</v>
      </c>
      <c r="N23154">
        <v>0</v>
      </c>
    </row>
    <row r="23155" spans="1:15">
      <c r="A23155" t="s">
        <v>38849</v>
      </c>
      <c r="B23155" t="s">
        <v>367</v>
      </c>
      <c r="C23155" t="s">
        <v>39171</v>
      </c>
      <c r="D23155" t="s">
        <v>65255</v>
      </c>
      <c r="E23155" t="b">
        <v>0</v>
      </c>
      <c r="F23155" t="s">
        <v>11624</v>
      </c>
      <c r="G23155">
        <v>-8.4966899999999992</v>
      </c>
      <c r="H23155">
        <v>123.298</v>
      </c>
      <c r="I23155" t="s">
        <v>65256</v>
      </c>
      <c r="L23155">
        <v>0</v>
      </c>
      <c r="M23155">
        <v>0</v>
      </c>
      <c r="N23155">
        <v>5</v>
      </c>
      <c r="O23155" t="s">
        <v>11768</v>
      </c>
    </row>
    <row r="23156" spans="1:15">
      <c r="A23156" t="s">
        <v>39989</v>
      </c>
      <c r="B23156" t="s">
        <v>367</v>
      </c>
      <c r="C23156" t="s">
        <v>26659</v>
      </c>
      <c r="D23156" t="s">
        <v>65257</v>
      </c>
      <c r="E23156" t="b">
        <v>0</v>
      </c>
      <c r="F23156" t="s">
        <v>11610</v>
      </c>
      <c r="L23156">
        <v>0</v>
      </c>
      <c r="M23156">
        <v>0</v>
      </c>
      <c r="N23156">
        <v>4</v>
      </c>
    </row>
    <row r="23157" spans="1:15">
      <c r="A23157" t="s">
        <v>65258</v>
      </c>
      <c r="B23157" t="s">
        <v>367</v>
      </c>
      <c r="C23157" t="s">
        <v>39143</v>
      </c>
      <c r="D23157" t="s">
        <v>65259</v>
      </c>
      <c r="E23157" t="b">
        <v>0</v>
      </c>
      <c r="F23157" t="s">
        <v>11610</v>
      </c>
      <c r="L23157">
        <v>0</v>
      </c>
      <c r="M23157">
        <v>0</v>
      </c>
      <c r="N23157">
        <v>0</v>
      </c>
    </row>
    <row r="23158" spans="1:15">
      <c r="A23158" t="s">
        <v>31459</v>
      </c>
      <c r="B23158" t="s">
        <v>367</v>
      </c>
      <c r="C23158" t="s">
        <v>12111</v>
      </c>
      <c r="D23158" t="s">
        <v>65260</v>
      </c>
      <c r="E23158" t="b">
        <v>0</v>
      </c>
      <c r="F23158" t="s">
        <v>11610</v>
      </c>
      <c r="L23158">
        <v>0</v>
      </c>
      <c r="M23158">
        <v>0</v>
      </c>
      <c r="N23158">
        <v>2</v>
      </c>
    </row>
    <row r="23159" spans="1:15">
      <c r="A23159" t="s">
        <v>30978</v>
      </c>
      <c r="B23159" t="s">
        <v>367</v>
      </c>
      <c r="C23159" t="s">
        <v>21581</v>
      </c>
      <c r="D23159" t="s">
        <v>65261</v>
      </c>
      <c r="E23159" t="b">
        <v>0</v>
      </c>
      <c r="F23159" t="s">
        <v>11622</v>
      </c>
      <c r="L23159">
        <v>3</v>
      </c>
      <c r="M23159">
        <v>11</v>
      </c>
      <c r="N23159">
        <v>33</v>
      </c>
    </row>
    <row r="23160" spans="1:15">
      <c r="A23160" t="s">
        <v>65262</v>
      </c>
      <c r="B23160" t="s">
        <v>367</v>
      </c>
      <c r="C23160" t="s">
        <v>24498</v>
      </c>
      <c r="D23160" t="s">
        <v>65263</v>
      </c>
      <c r="E23160" t="b">
        <v>0</v>
      </c>
      <c r="F23160" t="s">
        <v>11610</v>
      </c>
      <c r="L23160">
        <v>0</v>
      </c>
      <c r="M23160">
        <v>0</v>
      </c>
      <c r="N23160">
        <v>0</v>
      </c>
    </row>
    <row r="23161" spans="1:15">
      <c r="A23161" t="s">
        <v>35787</v>
      </c>
      <c r="B23161" t="s">
        <v>367</v>
      </c>
      <c r="C23161" t="s">
        <v>26526</v>
      </c>
      <c r="D23161" t="s">
        <v>65264</v>
      </c>
      <c r="E23161" t="b">
        <v>0</v>
      </c>
      <c r="F23161" t="s">
        <v>11622</v>
      </c>
      <c r="L23161">
        <v>0</v>
      </c>
      <c r="M23161">
        <v>2</v>
      </c>
      <c r="N23161">
        <v>4</v>
      </c>
    </row>
    <row r="23162" spans="1:15">
      <c r="A23162" t="s">
        <v>65265</v>
      </c>
      <c r="B23162" t="s">
        <v>367</v>
      </c>
      <c r="C23162" t="s">
        <v>15624</v>
      </c>
      <c r="D23162" t="s">
        <v>65266</v>
      </c>
      <c r="E23162" t="b">
        <v>0</v>
      </c>
      <c r="F23162" t="s">
        <v>11624</v>
      </c>
      <c r="G23162">
        <v>-7.1206500000000004</v>
      </c>
      <c r="H23162">
        <v>128.58500000000001</v>
      </c>
      <c r="I23162" t="s">
        <v>65267</v>
      </c>
      <c r="L23162">
        <v>0</v>
      </c>
      <c r="M23162">
        <v>0</v>
      </c>
      <c r="N23162">
        <v>0</v>
      </c>
      <c r="O23162" t="s">
        <v>11768</v>
      </c>
    </row>
    <row r="23163" spans="1:15">
      <c r="A23163" t="s">
        <v>65268</v>
      </c>
      <c r="B23163" t="s">
        <v>367</v>
      </c>
      <c r="C23163" t="s">
        <v>21586</v>
      </c>
      <c r="D23163" t="s">
        <v>65269</v>
      </c>
      <c r="E23163" t="b">
        <v>0</v>
      </c>
      <c r="F23163" t="s">
        <v>11610</v>
      </c>
      <c r="L23163">
        <v>0</v>
      </c>
      <c r="M23163">
        <v>0</v>
      </c>
      <c r="N23163">
        <v>0</v>
      </c>
    </row>
    <row r="23164" spans="1:15">
      <c r="A23164" t="s">
        <v>49870</v>
      </c>
      <c r="B23164" t="s">
        <v>367</v>
      </c>
      <c r="C23164" t="s">
        <v>32271</v>
      </c>
      <c r="D23164" t="s">
        <v>65270</v>
      </c>
      <c r="E23164" t="b">
        <v>0</v>
      </c>
      <c r="F23164" t="s">
        <v>11622</v>
      </c>
      <c r="L23164">
        <v>2</v>
      </c>
      <c r="M23164">
        <v>6</v>
      </c>
      <c r="N23164">
        <v>7</v>
      </c>
    </row>
    <row r="23165" spans="1:15">
      <c r="A23165" t="s">
        <v>65271</v>
      </c>
      <c r="B23165" t="s">
        <v>367</v>
      </c>
      <c r="C23165" t="s">
        <v>12024</v>
      </c>
      <c r="D23165" t="s">
        <v>65272</v>
      </c>
      <c r="E23165" t="b">
        <v>0</v>
      </c>
      <c r="F23165" t="s">
        <v>11610</v>
      </c>
      <c r="L23165">
        <v>0</v>
      </c>
      <c r="M23165">
        <v>0</v>
      </c>
      <c r="N23165">
        <v>0</v>
      </c>
    </row>
    <row r="23166" spans="1:15">
      <c r="A23166" t="s">
        <v>34081</v>
      </c>
      <c r="B23166" t="s">
        <v>367</v>
      </c>
      <c r="C23166" t="s">
        <v>24253</v>
      </c>
      <c r="D23166" t="s">
        <v>65273</v>
      </c>
      <c r="E23166" t="b">
        <v>0</v>
      </c>
      <c r="F23166" t="s">
        <v>11622</v>
      </c>
      <c r="L23166">
        <v>1</v>
      </c>
      <c r="M23166">
        <v>3</v>
      </c>
      <c r="N23166">
        <v>4</v>
      </c>
    </row>
    <row r="23167" spans="1:15">
      <c r="A23167" t="s">
        <v>32237</v>
      </c>
      <c r="B23167" t="s">
        <v>367</v>
      </c>
      <c r="C23167" t="s">
        <v>50751</v>
      </c>
      <c r="D23167" t="s">
        <v>65274</v>
      </c>
      <c r="E23167" t="b">
        <v>0</v>
      </c>
      <c r="F23167" t="s">
        <v>11622</v>
      </c>
      <c r="L23167">
        <v>0</v>
      </c>
      <c r="M23167">
        <v>2</v>
      </c>
      <c r="N23167">
        <v>6</v>
      </c>
    </row>
    <row r="23168" spans="1:15">
      <c r="A23168" t="s">
        <v>32233</v>
      </c>
      <c r="B23168" t="s">
        <v>367</v>
      </c>
      <c r="C23168" t="s">
        <v>32237</v>
      </c>
      <c r="D23168" t="s">
        <v>65275</v>
      </c>
      <c r="E23168" t="b">
        <v>0</v>
      </c>
      <c r="F23168" t="s">
        <v>11624</v>
      </c>
      <c r="G23168">
        <v>7.6681999999999997</v>
      </c>
      <c r="H23168">
        <v>124.825</v>
      </c>
      <c r="I23168" t="s">
        <v>65276</v>
      </c>
      <c r="L23168">
        <v>0</v>
      </c>
      <c r="M23168">
        <v>0</v>
      </c>
      <c r="N23168">
        <v>3</v>
      </c>
      <c r="O23168" t="s">
        <v>11749</v>
      </c>
    </row>
    <row r="23169" spans="1:15">
      <c r="A23169" t="s">
        <v>65277</v>
      </c>
      <c r="B23169" t="s">
        <v>367</v>
      </c>
      <c r="C23169" t="s">
        <v>26226</v>
      </c>
      <c r="D23169" t="s">
        <v>65278</v>
      </c>
      <c r="E23169" t="b">
        <v>0</v>
      </c>
      <c r="F23169" t="s">
        <v>11610</v>
      </c>
      <c r="L23169">
        <v>0</v>
      </c>
      <c r="M23169">
        <v>0</v>
      </c>
      <c r="N23169">
        <v>0</v>
      </c>
    </row>
    <row r="23170" spans="1:15">
      <c r="A23170" t="s">
        <v>65279</v>
      </c>
      <c r="B23170" t="s">
        <v>367</v>
      </c>
      <c r="C23170" t="s">
        <v>37063</v>
      </c>
      <c r="D23170" t="s">
        <v>65280</v>
      </c>
      <c r="E23170" t="b">
        <v>0</v>
      </c>
      <c r="F23170" t="s">
        <v>11624</v>
      </c>
      <c r="G23170">
        <v>7.7996400000000001</v>
      </c>
      <c r="H23170">
        <v>122.34099999999999</v>
      </c>
      <c r="I23170" t="s">
        <v>65281</v>
      </c>
      <c r="L23170">
        <v>0</v>
      </c>
      <c r="M23170">
        <v>0</v>
      </c>
      <c r="N23170">
        <v>1</v>
      </c>
      <c r="O23170" t="s">
        <v>11749</v>
      </c>
    </row>
    <row r="23171" spans="1:15">
      <c r="A23171" t="s">
        <v>65282</v>
      </c>
      <c r="B23171" t="s">
        <v>367</v>
      </c>
      <c r="C23171" t="s">
        <v>65279</v>
      </c>
      <c r="D23171" t="s">
        <v>65283</v>
      </c>
      <c r="E23171" t="b">
        <v>0</v>
      </c>
      <c r="F23171" t="s">
        <v>11610</v>
      </c>
      <c r="L23171">
        <v>0</v>
      </c>
      <c r="M23171">
        <v>0</v>
      </c>
      <c r="N23171">
        <v>0</v>
      </c>
    </row>
    <row r="23172" spans="1:15">
      <c r="A23172" t="s">
        <v>65284</v>
      </c>
      <c r="B23172" t="s">
        <v>367</v>
      </c>
      <c r="C23172" t="s">
        <v>17389</v>
      </c>
      <c r="D23172" t="s">
        <v>65285</v>
      </c>
      <c r="E23172" t="b">
        <v>0</v>
      </c>
      <c r="F23172" t="s">
        <v>11624</v>
      </c>
      <c r="G23172">
        <v>12.822699999999999</v>
      </c>
      <c r="H23172">
        <v>121.026</v>
      </c>
      <c r="I23172" t="s">
        <v>65286</v>
      </c>
      <c r="L23172">
        <v>0</v>
      </c>
      <c r="M23172">
        <v>0</v>
      </c>
      <c r="N23172">
        <v>0</v>
      </c>
      <c r="O23172" t="s">
        <v>11749</v>
      </c>
    </row>
    <row r="23173" spans="1:15">
      <c r="A23173" t="s">
        <v>16690</v>
      </c>
      <c r="B23173" t="s">
        <v>367</v>
      </c>
      <c r="C23173" t="s">
        <v>19617</v>
      </c>
      <c r="D23173" t="s">
        <v>65287</v>
      </c>
      <c r="E23173" t="b">
        <v>0</v>
      </c>
      <c r="F23173" t="s">
        <v>11624</v>
      </c>
      <c r="G23173">
        <v>6.00631</v>
      </c>
      <c r="H23173">
        <v>116.124</v>
      </c>
      <c r="I23173" t="s">
        <v>65288</v>
      </c>
      <c r="L23173">
        <v>0</v>
      </c>
      <c r="M23173">
        <v>0</v>
      </c>
      <c r="N23173">
        <v>7</v>
      </c>
      <c r="O23173" t="s">
        <v>11672</v>
      </c>
    </row>
    <row r="23174" spans="1:15">
      <c r="A23174" t="s">
        <v>56229</v>
      </c>
      <c r="B23174" t="s">
        <v>367</v>
      </c>
      <c r="C23174" t="s">
        <v>26234</v>
      </c>
      <c r="D23174" t="s">
        <v>65289</v>
      </c>
      <c r="E23174" t="b">
        <v>0</v>
      </c>
      <c r="F23174" t="s">
        <v>11622</v>
      </c>
      <c r="L23174">
        <v>0</v>
      </c>
      <c r="M23174">
        <v>2</v>
      </c>
      <c r="N23174">
        <v>16</v>
      </c>
    </row>
    <row r="23175" spans="1:15">
      <c r="A23175" t="s">
        <v>19210</v>
      </c>
      <c r="B23175" t="s">
        <v>367</v>
      </c>
      <c r="C23175" t="s">
        <v>56229</v>
      </c>
      <c r="D23175" t="s">
        <v>65290</v>
      </c>
      <c r="E23175" t="b">
        <v>0</v>
      </c>
      <c r="F23175" t="s">
        <v>11624</v>
      </c>
      <c r="G23175">
        <v>3.4666999999999999</v>
      </c>
      <c r="H23175">
        <v>114.523</v>
      </c>
      <c r="I23175" t="s">
        <v>65291</v>
      </c>
      <c r="L23175">
        <v>0</v>
      </c>
      <c r="M23175">
        <v>0</v>
      </c>
      <c r="N23175">
        <v>9</v>
      </c>
      <c r="O23175" t="s">
        <v>17804</v>
      </c>
    </row>
    <row r="23176" spans="1:15">
      <c r="A23176" t="s">
        <v>65292</v>
      </c>
      <c r="B23176" t="s">
        <v>367</v>
      </c>
      <c r="C23176" t="s">
        <v>18063</v>
      </c>
      <c r="D23176" t="s">
        <v>65293</v>
      </c>
      <c r="E23176" t="b">
        <v>0</v>
      </c>
      <c r="F23176" t="s">
        <v>11624</v>
      </c>
      <c r="G23176">
        <v>3.9815</v>
      </c>
      <c r="H23176">
        <v>114.52800000000001</v>
      </c>
      <c r="I23176" t="s">
        <v>65294</v>
      </c>
      <c r="L23176">
        <v>0</v>
      </c>
      <c r="M23176">
        <v>0</v>
      </c>
      <c r="N23176">
        <v>0</v>
      </c>
      <c r="O23176" t="s">
        <v>11672</v>
      </c>
    </row>
    <row r="23177" spans="1:15">
      <c r="A23177" t="s">
        <v>16812</v>
      </c>
      <c r="B23177" t="s">
        <v>367</v>
      </c>
      <c r="C23177" t="s">
        <v>5409</v>
      </c>
      <c r="D23177" t="s">
        <v>65295</v>
      </c>
      <c r="E23177" t="b">
        <v>0</v>
      </c>
      <c r="F23177" t="s">
        <v>11610</v>
      </c>
      <c r="L23177">
        <v>0</v>
      </c>
      <c r="M23177">
        <v>0</v>
      </c>
      <c r="N23177">
        <v>3</v>
      </c>
    </row>
    <row r="23178" spans="1:15">
      <c r="A23178" t="s">
        <v>32522</v>
      </c>
      <c r="B23178" t="s">
        <v>367</v>
      </c>
      <c r="C23178" t="s">
        <v>20379</v>
      </c>
      <c r="D23178" t="s">
        <v>65296</v>
      </c>
      <c r="E23178" t="b">
        <v>0</v>
      </c>
      <c r="F23178" t="s">
        <v>11622</v>
      </c>
      <c r="L23178">
        <v>2</v>
      </c>
      <c r="M23178">
        <v>7</v>
      </c>
      <c r="N23178">
        <v>11</v>
      </c>
    </row>
    <row r="23179" spans="1:15">
      <c r="A23179" t="s">
        <v>36882</v>
      </c>
      <c r="B23179" t="s">
        <v>367</v>
      </c>
      <c r="C23179" t="s">
        <v>32522</v>
      </c>
      <c r="D23179" t="s">
        <v>65297</v>
      </c>
      <c r="E23179" t="b">
        <v>0</v>
      </c>
      <c r="F23179" t="s">
        <v>11622</v>
      </c>
      <c r="L23179">
        <v>0</v>
      </c>
      <c r="M23179">
        <v>4</v>
      </c>
      <c r="N23179">
        <v>10</v>
      </c>
    </row>
    <row r="23180" spans="1:15">
      <c r="A23180" t="s">
        <v>65298</v>
      </c>
      <c r="B23180" t="s">
        <v>367</v>
      </c>
      <c r="C23180" t="s">
        <v>16692</v>
      </c>
      <c r="D23180" t="s">
        <v>65299</v>
      </c>
      <c r="E23180" t="b">
        <v>0</v>
      </c>
      <c r="F23180" t="s">
        <v>11610</v>
      </c>
      <c r="L23180">
        <v>0</v>
      </c>
      <c r="M23180">
        <v>0</v>
      </c>
      <c r="N23180">
        <v>0</v>
      </c>
    </row>
    <row r="23181" spans="1:15">
      <c r="A23181" t="s">
        <v>13733</v>
      </c>
      <c r="B23181" t="s">
        <v>367</v>
      </c>
      <c r="C23181" t="s">
        <v>26246</v>
      </c>
      <c r="D23181" t="s">
        <v>65300</v>
      </c>
      <c r="E23181" t="b">
        <v>0</v>
      </c>
      <c r="F23181" t="s">
        <v>11622</v>
      </c>
      <c r="L23181">
        <v>2</v>
      </c>
      <c r="M23181">
        <v>4</v>
      </c>
      <c r="N23181">
        <v>0</v>
      </c>
    </row>
    <row r="23182" spans="1:15">
      <c r="A23182" t="s">
        <v>21632</v>
      </c>
      <c r="B23182" t="s">
        <v>367</v>
      </c>
      <c r="C23182" t="s">
        <v>367</v>
      </c>
      <c r="D23182" t="s">
        <v>65301</v>
      </c>
      <c r="E23182" t="b">
        <v>0</v>
      </c>
      <c r="F23182" t="s">
        <v>11622</v>
      </c>
      <c r="L23182">
        <v>1</v>
      </c>
      <c r="M23182">
        <v>3</v>
      </c>
      <c r="N23182">
        <v>8</v>
      </c>
    </row>
    <row r="23183" spans="1:15">
      <c r="A23183" t="s">
        <v>35906</v>
      </c>
      <c r="B23183" t="s">
        <v>12425</v>
      </c>
      <c r="C23183" t="s">
        <v>12425</v>
      </c>
      <c r="D23183" t="s">
        <v>65302</v>
      </c>
      <c r="E23183" t="b">
        <v>0</v>
      </c>
      <c r="F23183" t="s">
        <v>11622</v>
      </c>
      <c r="L23183">
        <v>0</v>
      </c>
      <c r="M23183">
        <v>3</v>
      </c>
      <c r="N23183">
        <v>1</v>
      </c>
    </row>
    <row r="23184" spans="1:15">
      <c r="A23184" t="s">
        <v>65303</v>
      </c>
      <c r="B23184" t="s">
        <v>7862</v>
      </c>
      <c r="C23184" t="s">
        <v>26254</v>
      </c>
      <c r="D23184" t="s">
        <v>65304</v>
      </c>
      <c r="E23184" t="b">
        <v>0</v>
      </c>
      <c r="F23184" t="s">
        <v>11610</v>
      </c>
      <c r="L23184">
        <v>0</v>
      </c>
      <c r="M23184">
        <v>0</v>
      </c>
      <c r="N23184">
        <v>0</v>
      </c>
    </row>
    <row r="23185" spans="1:14">
      <c r="A23185" t="s">
        <v>31033</v>
      </c>
      <c r="B23185" t="s">
        <v>11705</v>
      </c>
      <c r="C23185" t="s">
        <v>21790</v>
      </c>
      <c r="D23185" t="s">
        <v>65305</v>
      </c>
      <c r="E23185" t="b">
        <v>0</v>
      </c>
      <c r="F23185" t="s">
        <v>11622</v>
      </c>
      <c r="L23185">
        <v>1</v>
      </c>
      <c r="M23185">
        <v>4</v>
      </c>
      <c r="N23185">
        <v>9</v>
      </c>
    </row>
    <row r="23186" spans="1:14">
      <c r="A23186" t="s">
        <v>65306</v>
      </c>
      <c r="B23186" t="s">
        <v>11834</v>
      </c>
      <c r="C23186" t="s">
        <v>26258</v>
      </c>
      <c r="D23186" t="s">
        <v>65307</v>
      </c>
      <c r="E23186" t="b">
        <v>0</v>
      </c>
      <c r="F23186" t="s">
        <v>11610</v>
      </c>
      <c r="L23186">
        <v>0</v>
      </c>
      <c r="M23186">
        <v>0</v>
      </c>
      <c r="N23186">
        <v>0</v>
      </c>
    </row>
    <row r="23187" spans="1:14">
      <c r="A23187" t="s">
        <v>65308</v>
      </c>
      <c r="B23187" t="s">
        <v>11834</v>
      </c>
      <c r="C23187" t="s">
        <v>37134</v>
      </c>
      <c r="D23187" t="s">
        <v>65309</v>
      </c>
      <c r="E23187" t="b">
        <v>0</v>
      </c>
      <c r="F23187" t="s">
        <v>11610</v>
      </c>
      <c r="L23187">
        <v>0</v>
      </c>
      <c r="M23187">
        <v>0</v>
      </c>
      <c r="N23187">
        <v>0</v>
      </c>
    </row>
    <row r="23188" spans="1:14">
      <c r="A23188" t="s">
        <v>65310</v>
      </c>
      <c r="B23188" t="s">
        <v>11834</v>
      </c>
      <c r="C23188" t="s">
        <v>26261</v>
      </c>
      <c r="D23188" t="s">
        <v>65311</v>
      </c>
      <c r="E23188" t="b">
        <v>0</v>
      </c>
      <c r="F23188" t="s">
        <v>11610</v>
      </c>
      <c r="L23188">
        <v>0</v>
      </c>
      <c r="M23188">
        <v>0</v>
      </c>
      <c r="N23188">
        <v>0</v>
      </c>
    </row>
    <row r="23189" spans="1:14">
      <c r="A23189" t="s">
        <v>8868</v>
      </c>
      <c r="B23189" t="s">
        <v>11834</v>
      </c>
      <c r="C23189" t="s">
        <v>11834</v>
      </c>
      <c r="D23189" t="s">
        <v>65312</v>
      </c>
      <c r="E23189" t="b">
        <v>0</v>
      </c>
      <c r="F23189" t="s">
        <v>11622</v>
      </c>
      <c r="L23189">
        <v>2</v>
      </c>
      <c r="M23189">
        <v>8</v>
      </c>
      <c r="N23189">
        <v>3</v>
      </c>
    </row>
    <row r="23190" spans="1:14">
      <c r="A23190" t="s">
        <v>65313</v>
      </c>
      <c r="B23190" t="s">
        <v>26973</v>
      </c>
      <c r="C23190" t="s">
        <v>26974</v>
      </c>
      <c r="D23190" t="s">
        <v>65314</v>
      </c>
      <c r="E23190" t="b">
        <v>0</v>
      </c>
      <c r="F23190" t="s">
        <v>11610</v>
      </c>
      <c r="L23190">
        <v>0</v>
      </c>
      <c r="M23190">
        <v>0</v>
      </c>
      <c r="N23190">
        <v>0</v>
      </c>
    </row>
    <row r="23191" spans="1:14">
      <c r="A23191" t="s">
        <v>27784</v>
      </c>
      <c r="B23191" t="s">
        <v>15365</v>
      </c>
      <c r="C23191" t="s">
        <v>21641</v>
      </c>
      <c r="D23191" t="s">
        <v>65315</v>
      </c>
      <c r="E23191" t="b">
        <v>0</v>
      </c>
      <c r="F23191" t="s">
        <v>11622</v>
      </c>
      <c r="L23191">
        <v>1</v>
      </c>
      <c r="M23191">
        <v>3</v>
      </c>
      <c r="N23191">
        <v>5</v>
      </c>
    </row>
    <row r="23192" spans="1:14">
      <c r="A23192" t="s">
        <v>65316</v>
      </c>
      <c r="B23192" t="s">
        <v>15365</v>
      </c>
      <c r="C23192" t="s">
        <v>25668</v>
      </c>
      <c r="D23192" t="s">
        <v>65317</v>
      </c>
      <c r="E23192" t="b">
        <v>0</v>
      </c>
      <c r="F23192" t="s">
        <v>11610</v>
      </c>
      <c r="L23192">
        <v>0</v>
      </c>
      <c r="M23192">
        <v>0</v>
      </c>
      <c r="N23192">
        <v>0</v>
      </c>
    </row>
    <row r="23193" spans="1:14">
      <c r="A23193" t="s">
        <v>65318</v>
      </c>
      <c r="B23193" t="s">
        <v>11686</v>
      </c>
      <c r="C23193" t="s">
        <v>29370</v>
      </c>
      <c r="D23193" t="s">
        <v>65319</v>
      </c>
      <c r="E23193" t="b">
        <v>0</v>
      </c>
      <c r="F23193" t="s">
        <v>11610</v>
      </c>
      <c r="L23193">
        <v>0</v>
      </c>
      <c r="M23193">
        <v>0</v>
      </c>
      <c r="N23193">
        <v>0</v>
      </c>
    </row>
    <row r="23194" spans="1:14">
      <c r="A23194" t="s">
        <v>37426</v>
      </c>
      <c r="B23194" t="s">
        <v>11615</v>
      </c>
      <c r="C23194" t="s">
        <v>26272</v>
      </c>
      <c r="D23194" t="s">
        <v>65320</v>
      </c>
      <c r="E23194" t="b">
        <v>0</v>
      </c>
      <c r="F23194" t="s">
        <v>11622</v>
      </c>
      <c r="L23194">
        <v>0</v>
      </c>
      <c r="M23194">
        <v>5</v>
      </c>
      <c r="N23194">
        <v>8</v>
      </c>
    </row>
    <row r="23195" spans="1:14">
      <c r="A23195" t="s">
        <v>65321</v>
      </c>
      <c r="B23195" t="s">
        <v>11615</v>
      </c>
      <c r="C23195" t="s">
        <v>26275</v>
      </c>
      <c r="D23195" t="s">
        <v>65322</v>
      </c>
      <c r="E23195" t="b">
        <v>0</v>
      </c>
      <c r="F23195" t="s">
        <v>11610</v>
      </c>
      <c r="L23195">
        <v>0</v>
      </c>
      <c r="M23195">
        <v>0</v>
      </c>
      <c r="N23195">
        <v>0</v>
      </c>
    </row>
    <row r="23196" spans="1:14">
      <c r="A23196" t="s">
        <v>65323</v>
      </c>
      <c r="B23196" t="s">
        <v>11615</v>
      </c>
      <c r="C23196" t="s">
        <v>26278</v>
      </c>
      <c r="D23196" t="s">
        <v>65324</v>
      </c>
      <c r="E23196" t="b">
        <v>0</v>
      </c>
      <c r="F23196" t="s">
        <v>11610</v>
      </c>
      <c r="L23196">
        <v>0</v>
      </c>
      <c r="M23196">
        <v>0</v>
      </c>
      <c r="N23196">
        <v>0</v>
      </c>
    </row>
    <row r="23197" spans="1:14">
      <c r="A23197" t="s">
        <v>65325</v>
      </c>
      <c r="B23197" t="s">
        <v>11615</v>
      </c>
      <c r="C23197" t="s">
        <v>26281</v>
      </c>
      <c r="D23197" t="s">
        <v>65326</v>
      </c>
      <c r="E23197" t="b">
        <v>0</v>
      </c>
      <c r="F23197" t="s">
        <v>11610</v>
      </c>
      <c r="L23197">
        <v>0</v>
      </c>
      <c r="M23197">
        <v>0</v>
      </c>
      <c r="N23197">
        <v>0</v>
      </c>
    </row>
    <row r="23198" spans="1:14">
      <c r="A23198" t="s">
        <v>65327</v>
      </c>
      <c r="B23198" t="s">
        <v>11615</v>
      </c>
      <c r="C23198" t="s">
        <v>19586</v>
      </c>
      <c r="D23198" t="s">
        <v>65328</v>
      </c>
      <c r="E23198" t="b">
        <v>0</v>
      </c>
      <c r="F23198" t="s">
        <v>11610</v>
      </c>
      <c r="L23198">
        <v>0</v>
      </c>
      <c r="M23198">
        <v>0</v>
      </c>
      <c r="N23198">
        <v>0</v>
      </c>
    </row>
    <row r="23199" spans="1:14">
      <c r="A23199" t="s">
        <v>65329</v>
      </c>
      <c r="B23199" t="s">
        <v>11615</v>
      </c>
      <c r="C23199" t="s">
        <v>19586</v>
      </c>
      <c r="D23199" t="s">
        <v>65330</v>
      </c>
      <c r="E23199" t="b">
        <v>0</v>
      </c>
      <c r="F23199" t="s">
        <v>11610</v>
      </c>
      <c r="L23199">
        <v>0</v>
      </c>
      <c r="M23199">
        <v>0</v>
      </c>
      <c r="N23199">
        <v>0</v>
      </c>
    </row>
    <row r="23200" spans="1:14">
      <c r="A23200" t="s">
        <v>65331</v>
      </c>
      <c r="B23200" t="s">
        <v>11615</v>
      </c>
      <c r="C23200" t="s">
        <v>26286</v>
      </c>
      <c r="D23200" t="s">
        <v>65332</v>
      </c>
      <c r="E23200" t="b">
        <v>0</v>
      </c>
      <c r="F23200" t="s">
        <v>11610</v>
      </c>
      <c r="L23200">
        <v>0</v>
      </c>
      <c r="M23200">
        <v>0</v>
      </c>
      <c r="N23200">
        <v>0</v>
      </c>
    </row>
    <row r="23201" spans="1:15">
      <c r="A23201" t="s">
        <v>65333</v>
      </c>
      <c r="B23201" t="s">
        <v>11615</v>
      </c>
      <c r="C23201" t="s">
        <v>53896</v>
      </c>
      <c r="D23201" t="s">
        <v>65334</v>
      </c>
      <c r="E23201" t="b">
        <v>0</v>
      </c>
      <c r="F23201" t="s">
        <v>11624</v>
      </c>
      <c r="G23201">
        <v>-3.7712699999999999</v>
      </c>
      <c r="H23201">
        <v>138.21700000000001</v>
      </c>
      <c r="I23201" t="s">
        <v>65335</v>
      </c>
      <c r="L23201">
        <v>0</v>
      </c>
      <c r="M23201">
        <v>0</v>
      </c>
      <c r="N23201">
        <v>2</v>
      </c>
      <c r="O23201" t="s">
        <v>11768</v>
      </c>
    </row>
    <row r="23202" spans="1:15">
      <c r="A23202" t="s">
        <v>65336</v>
      </c>
      <c r="B23202" t="s">
        <v>11615</v>
      </c>
      <c r="C23202" t="s">
        <v>65333</v>
      </c>
      <c r="D23202" t="s">
        <v>65337</v>
      </c>
      <c r="E23202" t="b">
        <v>0</v>
      </c>
      <c r="F23202" t="s">
        <v>11610</v>
      </c>
      <c r="L23202">
        <v>0</v>
      </c>
      <c r="M23202">
        <v>0</v>
      </c>
      <c r="N23202">
        <v>0</v>
      </c>
    </row>
    <row r="23203" spans="1:15">
      <c r="A23203" t="s">
        <v>65338</v>
      </c>
      <c r="B23203" t="s">
        <v>11615</v>
      </c>
      <c r="C23203" t="s">
        <v>65333</v>
      </c>
      <c r="D23203" t="s">
        <v>65339</v>
      </c>
      <c r="E23203" t="b">
        <v>0</v>
      </c>
      <c r="F23203" t="s">
        <v>11610</v>
      </c>
      <c r="L23203">
        <v>0</v>
      </c>
      <c r="M23203">
        <v>0</v>
      </c>
      <c r="N23203">
        <v>0</v>
      </c>
    </row>
    <row r="23204" spans="1:15">
      <c r="A23204" t="s">
        <v>65340</v>
      </c>
      <c r="B23204" t="s">
        <v>11615</v>
      </c>
      <c r="C23204" t="s">
        <v>26291</v>
      </c>
      <c r="D23204" t="s">
        <v>65341</v>
      </c>
      <c r="E23204" t="b">
        <v>0</v>
      </c>
      <c r="F23204" t="s">
        <v>11610</v>
      </c>
      <c r="L23204">
        <v>0</v>
      </c>
      <c r="M23204">
        <v>0</v>
      </c>
      <c r="N23204">
        <v>0</v>
      </c>
    </row>
    <row r="23205" spans="1:15">
      <c r="A23205" t="s">
        <v>65342</v>
      </c>
      <c r="B23205" t="s">
        <v>11615</v>
      </c>
      <c r="C23205" t="s">
        <v>36028</v>
      </c>
      <c r="D23205" t="s">
        <v>65343</v>
      </c>
      <c r="E23205" t="b">
        <v>0</v>
      </c>
      <c r="F23205" t="s">
        <v>11624</v>
      </c>
      <c r="G23205">
        <v>-6.32097</v>
      </c>
      <c r="H23205">
        <v>143.72999999999999</v>
      </c>
      <c r="I23205" t="s">
        <v>65344</v>
      </c>
      <c r="L23205">
        <v>0</v>
      </c>
      <c r="M23205">
        <v>0</v>
      </c>
      <c r="N23205">
        <v>0</v>
      </c>
      <c r="O23205" t="s">
        <v>11660</v>
      </c>
    </row>
    <row r="23206" spans="1:15">
      <c r="A23206" t="s">
        <v>65345</v>
      </c>
      <c r="B23206" t="s">
        <v>12133</v>
      </c>
      <c r="C23206" t="s">
        <v>12133</v>
      </c>
      <c r="D23206" t="s">
        <v>65346</v>
      </c>
      <c r="E23206" t="b">
        <v>0</v>
      </c>
      <c r="F23206" t="s">
        <v>11624</v>
      </c>
      <c r="G23206">
        <v>0.45332</v>
      </c>
      <c r="H23206">
        <v>127.63</v>
      </c>
      <c r="I23206" t="s">
        <v>65347</v>
      </c>
      <c r="L23206">
        <v>0</v>
      </c>
      <c r="M23206">
        <v>0</v>
      </c>
      <c r="N23206">
        <v>0</v>
      </c>
      <c r="O23206" t="s">
        <v>11768</v>
      </c>
    </row>
    <row r="23207" spans="1:15">
      <c r="A23207" t="s">
        <v>65348</v>
      </c>
      <c r="B23207" t="s">
        <v>12218</v>
      </c>
      <c r="C23207" t="s">
        <v>26298</v>
      </c>
      <c r="D23207" t="s">
        <v>65349</v>
      </c>
      <c r="E23207" t="b">
        <v>0</v>
      </c>
      <c r="F23207" t="s">
        <v>11610</v>
      </c>
      <c r="L23207">
        <v>0</v>
      </c>
      <c r="M23207">
        <v>0</v>
      </c>
      <c r="N23207">
        <v>0</v>
      </c>
    </row>
    <row r="23208" spans="1:15">
      <c r="A23208" t="s">
        <v>65350</v>
      </c>
      <c r="B23208" t="s">
        <v>21672</v>
      </c>
      <c r="C23208" t="s">
        <v>21673</v>
      </c>
      <c r="D23208" t="s">
        <v>65351</v>
      </c>
      <c r="E23208" t="b">
        <v>0</v>
      </c>
      <c r="F23208" t="s">
        <v>11610</v>
      </c>
      <c r="L23208">
        <v>0</v>
      </c>
      <c r="M23208">
        <v>0</v>
      </c>
      <c r="N23208">
        <v>0</v>
      </c>
    </row>
    <row r="23209" spans="1:15">
      <c r="A23209" t="s">
        <v>65352</v>
      </c>
      <c r="B23209" t="s">
        <v>13264</v>
      </c>
      <c r="C23209" t="s">
        <v>21676</v>
      </c>
      <c r="D23209" t="s">
        <v>65353</v>
      </c>
      <c r="E23209" t="b">
        <v>0</v>
      </c>
      <c r="F23209" t="s">
        <v>11610</v>
      </c>
      <c r="L23209">
        <v>0</v>
      </c>
      <c r="M23209">
        <v>0</v>
      </c>
      <c r="N23209">
        <v>0</v>
      </c>
    </row>
    <row r="23210" spans="1:15">
      <c r="A23210" t="s">
        <v>15911</v>
      </c>
      <c r="D23210" t="s">
        <v>65354</v>
      </c>
      <c r="E23210" t="b">
        <v>0</v>
      </c>
      <c r="F23210" t="s">
        <v>11622</v>
      </c>
      <c r="L23210">
        <v>1</v>
      </c>
      <c r="M23210">
        <v>3</v>
      </c>
      <c r="N23210">
        <v>0</v>
      </c>
    </row>
    <row r="23211" spans="1:15">
      <c r="A23211" t="s">
        <v>65355</v>
      </c>
      <c r="B23211" t="s">
        <v>15969</v>
      </c>
      <c r="C23211" t="s">
        <v>26313</v>
      </c>
      <c r="D23211" t="s">
        <v>65356</v>
      </c>
      <c r="E23211" t="b">
        <v>0</v>
      </c>
      <c r="F23211" t="s">
        <v>11610</v>
      </c>
      <c r="L23211">
        <v>0</v>
      </c>
      <c r="M23211">
        <v>0</v>
      </c>
      <c r="N23211">
        <v>0</v>
      </c>
    </row>
    <row r="23212" spans="1:15">
      <c r="A23212" t="s">
        <v>65357</v>
      </c>
      <c r="B23212" t="s">
        <v>13411</v>
      </c>
      <c r="C23212" t="s">
        <v>19145</v>
      </c>
      <c r="D23212" t="s">
        <v>65358</v>
      </c>
      <c r="E23212" t="b">
        <v>0</v>
      </c>
      <c r="F23212" t="s">
        <v>11610</v>
      </c>
      <c r="L23212">
        <v>0</v>
      </c>
      <c r="M23212">
        <v>0</v>
      </c>
      <c r="N23212">
        <v>0</v>
      </c>
    </row>
    <row r="23213" spans="1:15">
      <c r="A23213" t="s">
        <v>22912</v>
      </c>
      <c r="B23213" t="s">
        <v>4342</v>
      </c>
      <c r="C23213" t="s">
        <v>4314</v>
      </c>
      <c r="D23213" t="s">
        <v>65359</v>
      </c>
      <c r="E23213" t="b">
        <v>0</v>
      </c>
      <c r="F23213" t="s">
        <v>11610</v>
      </c>
      <c r="L23213">
        <v>0</v>
      </c>
      <c r="M23213">
        <v>0</v>
      </c>
      <c r="N23213">
        <v>43</v>
      </c>
    </row>
    <row r="23214" spans="1:15">
      <c r="A23214" t="s">
        <v>19678</v>
      </c>
      <c r="B23214" t="s">
        <v>4342</v>
      </c>
      <c r="C23214" t="s">
        <v>26319</v>
      </c>
      <c r="D23214" t="s">
        <v>65360</v>
      </c>
      <c r="E23214" t="b">
        <v>0</v>
      </c>
      <c r="F23214" t="s">
        <v>11610</v>
      </c>
      <c r="L23214">
        <v>0</v>
      </c>
      <c r="M23214">
        <v>0</v>
      </c>
      <c r="N23214">
        <v>8</v>
      </c>
    </row>
    <row r="23215" spans="1:15">
      <c r="A23215" t="s">
        <v>65361</v>
      </c>
      <c r="B23215" t="s">
        <v>4342</v>
      </c>
      <c r="C23215" t="s">
        <v>26322</v>
      </c>
      <c r="D23215" t="s">
        <v>65362</v>
      </c>
      <c r="E23215" t="b">
        <v>0</v>
      </c>
      <c r="F23215" t="s">
        <v>11610</v>
      </c>
      <c r="L23215">
        <v>0</v>
      </c>
      <c r="M23215">
        <v>0</v>
      </c>
      <c r="N23215">
        <v>0</v>
      </c>
    </row>
    <row r="23216" spans="1:15">
      <c r="A23216" t="s">
        <v>65363</v>
      </c>
      <c r="B23216" t="s">
        <v>4342</v>
      </c>
      <c r="C23216" t="s">
        <v>26325</v>
      </c>
      <c r="D23216" t="s">
        <v>65364</v>
      </c>
      <c r="E23216" t="b">
        <v>0</v>
      </c>
      <c r="F23216" t="s">
        <v>11610</v>
      </c>
      <c r="L23216">
        <v>0</v>
      </c>
      <c r="M23216">
        <v>0</v>
      </c>
      <c r="N23216">
        <v>0</v>
      </c>
    </row>
    <row r="23217" spans="1:15">
      <c r="A23217" t="s">
        <v>25434</v>
      </c>
      <c r="B23217" t="s">
        <v>15132</v>
      </c>
      <c r="C23217" t="s">
        <v>15132</v>
      </c>
      <c r="D23217" t="s">
        <v>65365</v>
      </c>
      <c r="E23217" t="b">
        <v>0</v>
      </c>
      <c r="F23217" t="s">
        <v>11622</v>
      </c>
      <c r="L23217">
        <v>0</v>
      </c>
      <c r="M23217">
        <v>2</v>
      </c>
      <c r="N23217">
        <v>0</v>
      </c>
    </row>
    <row r="23218" spans="1:15">
      <c r="A23218" t="s">
        <v>65366</v>
      </c>
      <c r="B23218" t="s">
        <v>12532</v>
      </c>
      <c r="C23218" t="s">
        <v>26330</v>
      </c>
      <c r="D23218" t="s">
        <v>65367</v>
      </c>
      <c r="E23218" t="b">
        <v>0</v>
      </c>
      <c r="F23218" t="s">
        <v>11610</v>
      </c>
      <c r="L23218">
        <v>0</v>
      </c>
      <c r="M23218">
        <v>0</v>
      </c>
      <c r="N23218">
        <v>0</v>
      </c>
    </row>
    <row r="23219" spans="1:15">
      <c r="A23219" t="s">
        <v>65368</v>
      </c>
      <c r="B23219" t="s">
        <v>12532</v>
      </c>
      <c r="C23219" t="s">
        <v>26333</v>
      </c>
      <c r="D23219" t="s">
        <v>65369</v>
      </c>
      <c r="E23219" t="b">
        <v>0</v>
      </c>
      <c r="F23219" t="s">
        <v>11610</v>
      </c>
      <c r="L23219">
        <v>0</v>
      </c>
      <c r="M23219">
        <v>0</v>
      </c>
      <c r="N23219">
        <v>0</v>
      </c>
    </row>
    <row r="23220" spans="1:15">
      <c r="A23220" t="s">
        <v>22502</v>
      </c>
      <c r="B23220" t="s">
        <v>12875</v>
      </c>
      <c r="C23220" t="s">
        <v>12875</v>
      </c>
      <c r="D23220" t="s">
        <v>65370</v>
      </c>
      <c r="E23220" t="b">
        <v>0</v>
      </c>
      <c r="F23220" t="s">
        <v>11622</v>
      </c>
      <c r="L23220">
        <v>0</v>
      </c>
      <c r="M23220">
        <v>2</v>
      </c>
      <c r="N23220">
        <v>0</v>
      </c>
    </row>
    <row r="23221" spans="1:15">
      <c r="A23221" t="s">
        <v>65371</v>
      </c>
      <c r="B23221" t="s">
        <v>12460</v>
      </c>
      <c r="C23221" t="s">
        <v>44161</v>
      </c>
      <c r="D23221" t="s">
        <v>65372</v>
      </c>
      <c r="E23221" t="b">
        <v>0</v>
      </c>
      <c r="F23221" t="s">
        <v>11624</v>
      </c>
      <c r="G23221">
        <v>33.857399999999998</v>
      </c>
      <c r="H23221">
        <v>-110.123</v>
      </c>
      <c r="I23221" t="s">
        <v>65373</v>
      </c>
      <c r="L23221">
        <v>0</v>
      </c>
      <c r="M23221">
        <v>0</v>
      </c>
      <c r="N23221">
        <v>0</v>
      </c>
      <c r="O23221" t="s">
        <v>11944</v>
      </c>
    </row>
    <row r="23222" spans="1:15">
      <c r="A23222" t="s">
        <v>65374</v>
      </c>
      <c r="B23222" t="s">
        <v>13014</v>
      </c>
      <c r="C23222" t="s">
        <v>13013</v>
      </c>
      <c r="D23222" t="s">
        <v>65375</v>
      </c>
      <c r="E23222" t="b">
        <v>0</v>
      </c>
      <c r="F23222" t="s">
        <v>11610</v>
      </c>
      <c r="L23222">
        <v>0</v>
      </c>
      <c r="M23222">
        <v>0</v>
      </c>
      <c r="N23222">
        <v>0</v>
      </c>
    </row>
    <row r="23223" spans="1:15">
      <c r="A23223" t="s">
        <v>276</v>
      </c>
      <c r="B23223" t="s">
        <v>13014</v>
      </c>
      <c r="C23223" t="s">
        <v>277</v>
      </c>
      <c r="D23223" t="s">
        <v>65376</v>
      </c>
      <c r="E23223" t="b">
        <v>0</v>
      </c>
      <c r="F23223" t="s">
        <v>11624</v>
      </c>
      <c r="G23223">
        <v>64.348600000000005</v>
      </c>
      <c r="H23223">
        <v>-96.147999999999996</v>
      </c>
      <c r="I23223" t="s">
        <v>279</v>
      </c>
      <c r="L23223">
        <v>0</v>
      </c>
      <c r="M23223">
        <v>0</v>
      </c>
      <c r="N23223">
        <v>3</v>
      </c>
      <c r="O23223" t="s">
        <v>13049</v>
      </c>
    </row>
    <row r="23224" spans="1:15">
      <c r="A23224" t="s">
        <v>65377</v>
      </c>
      <c r="B23224" t="s">
        <v>9071</v>
      </c>
      <c r="C23224" t="s">
        <v>26339</v>
      </c>
      <c r="D23224" t="s">
        <v>65378</v>
      </c>
      <c r="E23224" t="b">
        <v>0</v>
      </c>
      <c r="F23224" t="s">
        <v>11610</v>
      </c>
      <c r="L23224">
        <v>0</v>
      </c>
      <c r="M23224">
        <v>0</v>
      </c>
      <c r="N23224">
        <v>0</v>
      </c>
    </row>
    <row r="23225" spans="1:15">
      <c r="A23225" t="s">
        <v>45228</v>
      </c>
      <c r="B23225" t="s">
        <v>12751</v>
      </c>
      <c r="C23225" t="s">
        <v>21691</v>
      </c>
      <c r="D23225" t="s">
        <v>65379</v>
      </c>
      <c r="E23225" t="b">
        <v>0</v>
      </c>
      <c r="F23225" t="s">
        <v>11622</v>
      </c>
      <c r="L23225">
        <v>0</v>
      </c>
      <c r="M23225">
        <v>2</v>
      </c>
      <c r="N23225">
        <v>3</v>
      </c>
    </row>
    <row r="23226" spans="1:15">
      <c r="A23226" t="s">
        <v>65380</v>
      </c>
      <c r="B23226" t="s">
        <v>12751</v>
      </c>
      <c r="C23226" t="s">
        <v>29617</v>
      </c>
      <c r="D23226" t="s">
        <v>65381</v>
      </c>
      <c r="E23226" t="b">
        <v>0</v>
      </c>
      <c r="F23226" t="s">
        <v>11610</v>
      </c>
      <c r="L23226">
        <v>0</v>
      </c>
      <c r="M23226">
        <v>0</v>
      </c>
      <c r="N23226">
        <v>0</v>
      </c>
    </row>
    <row r="23227" spans="1:15">
      <c r="A23227" t="s">
        <v>65382</v>
      </c>
      <c r="B23227" t="s">
        <v>12751</v>
      </c>
      <c r="C23227" t="s">
        <v>21703</v>
      </c>
      <c r="D23227" t="s">
        <v>65383</v>
      </c>
      <c r="E23227" t="b">
        <v>0</v>
      </c>
      <c r="F23227" t="s">
        <v>11624</v>
      </c>
      <c r="G23227">
        <v>21.371099999999998</v>
      </c>
      <c r="H23227">
        <v>-98.771100000000004</v>
      </c>
      <c r="I23227" t="s">
        <v>65384</v>
      </c>
      <c r="L23227">
        <v>0</v>
      </c>
      <c r="M23227">
        <v>0</v>
      </c>
      <c r="N23227">
        <v>1</v>
      </c>
      <c r="O23227" t="s">
        <v>11883</v>
      </c>
    </row>
    <row r="23228" spans="1:15">
      <c r="A23228" t="s">
        <v>65385</v>
      </c>
      <c r="B23228" t="s">
        <v>12751</v>
      </c>
      <c r="C23228" t="s">
        <v>65382</v>
      </c>
      <c r="D23228" t="s">
        <v>65386</v>
      </c>
      <c r="E23228" t="b">
        <v>0</v>
      </c>
      <c r="F23228" t="s">
        <v>11610</v>
      </c>
      <c r="L23228">
        <v>0</v>
      </c>
      <c r="M23228">
        <v>0</v>
      </c>
      <c r="N23228">
        <v>0</v>
      </c>
    </row>
    <row r="23229" spans="1:15">
      <c r="A23229" t="s">
        <v>65387</v>
      </c>
      <c r="B23229" t="s">
        <v>12979</v>
      </c>
      <c r="C23229" t="s">
        <v>26345</v>
      </c>
      <c r="D23229" t="s">
        <v>65388</v>
      </c>
      <c r="E23229" t="b">
        <v>0</v>
      </c>
      <c r="F23229" t="s">
        <v>11610</v>
      </c>
      <c r="L23229">
        <v>0</v>
      </c>
      <c r="M23229">
        <v>0</v>
      </c>
      <c r="N23229">
        <v>0</v>
      </c>
    </row>
    <row r="23230" spans="1:15">
      <c r="A23230" t="s">
        <v>65389</v>
      </c>
      <c r="B23230" t="s">
        <v>12979</v>
      </c>
      <c r="C23230" t="s">
        <v>26348</v>
      </c>
      <c r="D23230" t="s">
        <v>65390</v>
      </c>
      <c r="E23230" t="b">
        <v>0</v>
      </c>
      <c r="F23230" t="s">
        <v>11610</v>
      </c>
      <c r="L23230">
        <v>0</v>
      </c>
      <c r="M23230">
        <v>0</v>
      </c>
      <c r="N23230">
        <v>0</v>
      </c>
    </row>
    <row r="23231" spans="1:15">
      <c r="A23231" t="s">
        <v>65391</v>
      </c>
      <c r="B23231" t="s">
        <v>12979</v>
      </c>
      <c r="C23231" t="s">
        <v>26351</v>
      </c>
      <c r="D23231" t="s">
        <v>65392</v>
      </c>
      <c r="E23231" t="b">
        <v>0</v>
      </c>
      <c r="F23231" t="s">
        <v>11610</v>
      </c>
      <c r="L23231">
        <v>0</v>
      </c>
      <c r="M23231">
        <v>0</v>
      </c>
      <c r="N23231">
        <v>0</v>
      </c>
    </row>
    <row r="23232" spans="1:15">
      <c r="A23232" t="s">
        <v>65393</v>
      </c>
      <c r="B23232" t="s">
        <v>12979</v>
      </c>
      <c r="C23232" t="s">
        <v>48868</v>
      </c>
      <c r="D23232" t="s">
        <v>65394</v>
      </c>
      <c r="E23232" t="b">
        <v>0</v>
      </c>
      <c r="F23232" t="s">
        <v>11610</v>
      </c>
      <c r="L23232">
        <v>0</v>
      </c>
      <c r="M23232">
        <v>0</v>
      </c>
      <c r="N23232">
        <v>0</v>
      </c>
    </row>
    <row r="23233" spans="1:15">
      <c r="A23233" t="s">
        <v>65395</v>
      </c>
      <c r="B23233" t="s">
        <v>12979</v>
      </c>
      <c r="C23233" t="s">
        <v>21166</v>
      </c>
      <c r="D23233" t="s">
        <v>65396</v>
      </c>
      <c r="E23233" t="b">
        <v>0</v>
      </c>
      <c r="F23233" t="s">
        <v>11624</v>
      </c>
      <c r="G23233">
        <v>46.138100000000001</v>
      </c>
      <c r="H23233">
        <v>-72.6511</v>
      </c>
      <c r="I23233" t="s">
        <v>65397</v>
      </c>
      <c r="L23233">
        <v>0</v>
      </c>
      <c r="M23233">
        <v>0</v>
      </c>
      <c r="N23233">
        <v>0</v>
      </c>
      <c r="O23233" t="s">
        <v>13049</v>
      </c>
    </row>
    <row r="23234" spans="1:15">
      <c r="A23234" t="s">
        <v>65398</v>
      </c>
      <c r="B23234" t="s">
        <v>53812</v>
      </c>
      <c r="C23234" t="s">
        <v>53812</v>
      </c>
      <c r="D23234" t="s">
        <v>65399</v>
      </c>
      <c r="E23234" t="b">
        <v>0</v>
      </c>
      <c r="F23234" t="s">
        <v>11624</v>
      </c>
      <c r="G23234">
        <v>19.539200000000001</v>
      </c>
      <c r="H23234">
        <v>-102.154</v>
      </c>
      <c r="I23234" t="s">
        <v>65400</v>
      </c>
      <c r="L23234">
        <v>0</v>
      </c>
      <c r="M23234">
        <v>0</v>
      </c>
      <c r="N23234">
        <v>0</v>
      </c>
      <c r="O23234" t="s">
        <v>12238</v>
      </c>
    </row>
    <row r="23235" spans="1:15">
      <c r="A23235" t="s">
        <v>11962</v>
      </c>
      <c r="B23235" t="s">
        <v>10368</v>
      </c>
      <c r="C23235" t="s">
        <v>10368</v>
      </c>
      <c r="D23235" t="s">
        <v>65401</v>
      </c>
      <c r="E23235" t="b">
        <v>0</v>
      </c>
      <c r="F23235" t="s">
        <v>11624</v>
      </c>
      <c r="G23235">
        <v>34.973300000000002</v>
      </c>
      <c r="H23235">
        <v>-107.517</v>
      </c>
      <c r="I23235" t="s">
        <v>65402</v>
      </c>
      <c r="L23235">
        <v>0</v>
      </c>
      <c r="M23235">
        <v>0</v>
      </c>
      <c r="N23235">
        <v>1</v>
      </c>
      <c r="O23235" t="s">
        <v>11944</v>
      </c>
    </row>
    <row r="23236" spans="1:15">
      <c r="A23236" t="s">
        <v>23156</v>
      </c>
      <c r="B23236" t="s">
        <v>17579</v>
      </c>
      <c r="C23236" t="s">
        <v>26363</v>
      </c>
      <c r="D23236" t="s">
        <v>65403</v>
      </c>
      <c r="E23236" t="b">
        <v>0</v>
      </c>
      <c r="F23236" t="s">
        <v>11622</v>
      </c>
      <c r="L23236">
        <v>0</v>
      </c>
      <c r="M23236">
        <v>2</v>
      </c>
      <c r="N23236">
        <v>3</v>
      </c>
    </row>
    <row r="23237" spans="1:15">
      <c r="A23237" t="s">
        <v>65404</v>
      </c>
      <c r="B23237" t="s">
        <v>17579</v>
      </c>
      <c r="C23237" t="s">
        <v>21723</v>
      </c>
      <c r="D23237" t="s">
        <v>65405</v>
      </c>
      <c r="E23237" t="b">
        <v>0</v>
      </c>
      <c r="F23237" t="s">
        <v>11610</v>
      </c>
      <c r="L23237">
        <v>0</v>
      </c>
      <c r="M23237">
        <v>0</v>
      </c>
      <c r="N23237">
        <v>0</v>
      </c>
    </row>
    <row r="23238" spans="1:15">
      <c r="A23238" t="s">
        <v>65406</v>
      </c>
      <c r="B23238" t="s">
        <v>5911</v>
      </c>
      <c r="C23238" t="s">
        <v>34850</v>
      </c>
      <c r="D23238" t="s">
        <v>65407</v>
      </c>
      <c r="E23238" t="b">
        <v>0</v>
      </c>
      <c r="F23238" t="s">
        <v>11624</v>
      </c>
      <c r="G23238">
        <v>15.5932</v>
      </c>
      <c r="H23238">
        <v>-91.842100000000002</v>
      </c>
      <c r="I23238" t="s">
        <v>65408</v>
      </c>
      <c r="L23238">
        <v>0</v>
      </c>
      <c r="M23238">
        <v>0</v>
      </c>
      <c r="N23238">
        <v>0</v>
      </c>
      <c r="O23238" t="s">
        <v>22509</v>
      </c>
    </row>
    <row r="23239" spans="1:15">
      <c r="A23239" t="s">
        <v>21098</v>
      </c>
      <c r="B23239" t="s">
        <v>11965</v>
      </c>
      <c r="C23239" t="s">
        <v>42001</v>
      </c>
      <c r="D23239" t="s">
        <v>65409</v>
      </c>
      <c r="E23239" t="b">
        <v>0</v>
      </c>
      <c r="F23239" t="s">
        <v>11622</v>
      </c>
      <c r="L23239">
        <v>0</v>
      </c>
      <c r="M23239">
        <v>3</v>
      </c>
      <c r="N23239">
        <v>0</v>
      </c>
    </row>
    <row r="23240" spans="1:15">
      <c r="A23240" t="s">
        <v>65410</v>
      </c>
      <c r="B23240" t="s">
        <v>141</v>
      </c>
      <c r="C23240" t="s">
        <v>20894</v>
      </c>
      <c r="D23240" t="s">
        <v>65411</v>
      </c>
      <c r="E23240" t="b">
        <v>0</v>
      </c>
      <c r="F23240" t="s">
        <v>11610</v>
      </c>
      <c r="L23240">
        <v>0</v>
      </c>
      <c r="M23240">
        <v>0</v>
      </c>
      <c r="N23240">
        <v>0</v>
      </c>
    </row>
    <row r="23241" spans="1:15">
      <c r="A23241" t="s">
        <v>65412</v>
      </c>
      <c r="B23241" t="s">
        <v>141</v>
      </c>
      <c r="C23241" t="s">
        <v>26376</v>
      </c>
      <c r="D23241" t="s">
        <v>65413</v>
      </c>
      <c r="E23241" t="b">
        <v>0</v>
      </c>
      <c r="F23241" t="s">
        <v>11610</v>
      </c>
      <c r="L23241">
        <v>0</v>
      </c>
      <c r="M23241">
        <v>0</v>
      </c>
      <c r="N23241">
        <v>0</v>
      </c>
    </row>
    <row r="23242" spans="1:15">
      <c r="A23242" t="s">
        <v>65414</v>
      </c>
      <c r="B23242" t="s">
        <v>23217</v>
      </c>
      <c r="C23242" t="s">
        <v>6098</v>
      </c>
      <c r="D23242" t="s">
        <v>65415</v>
      </c>
      <c r="E23242" t="b">
        <v>0</v>
      </c>
      <c r="F23242" t="s">
        <v>11610</v>
      </c>
      <c r="L23242">
        <v>0</v>
      </c>
      <c r="M23242">
        <v>0</v>
      </c>
      <c r="N23242">
        <v>0</v>
      </c>
    </row>
    <row r="23243" spans="1:15">
      <c r="A23243" t="s">
        <v>65416</v>
      </c>
      <c r="B23243" t="s">
        <v>11912</v>
      </c>
      <c r="C23243" t="s">
        <v>22719</v>
      </c>
      <c r="D23243" t="s">
        <v>65417</v>
      </c>
      <c r="E23243" t="b">
        <v>0</v>
      </c>
      <c r="F23243" t="s">
        <v>11624</v>
      </c>
      <c r="G23243">
        <v>-20.2819</v>
      </c>
      <c r="H23243">
        <v>-64.166200000000003</v>
      </c>
      <c r="I23243" t="s">
        <v>65418</v>
      </c>
      <c r="L23243">
        <v>0</v>
      </c>
      <c r="M23243">
        <v>0</v>
      </c>
      <c r="N23243">
        <v>0</v>
      </c>
      <c r="O23243" t="s">
        <v>14185</v>
      </c>
    </row>
    <row r="23244" spans="1:15">
      <c r="A23244" t="s">
        <v>19656</v>
      </c>
      <c r="B23244" t="s">
        <v>6455</v>
      </c>
      <c r="C23244" t="s">
        <v>25294</v>
      </c>
      <c r="D23244" t="s">
        <v>65419</v>
      </c>
      <c r="E23244" t="b">
        <v>0</v>
      </c>
      <c r="F23244" t="s">
        <v>11622</v>
      </c>
      <c r="L23244">
        <v>1</v>
      </c>
      <c r="M23244">
        <v>4</v>
      </c>
      <c r="N23244">
        <v>7</v>
      </c>
    </row>
    <row r="23245" spans="1:15">
      <c r="A23245" t="s">
        <v>23262</v>
      </c>
      <c r="B23245" t="s">
        <v>11879</v>
      </c>
      <c r="C23245" t="s">
        <v>15518</v>
      </c>
      <c r="D23245" t="s">
        <v>65420</v>
      </c>
      <c r="E23245" t="b">
        <v>0</v>
      </c>
      <c r="F23245" t="s">
        <v>11624</v>
      </c>
      <c r="G23245">
        <v>17.3003</v>
      </c>
      <c r="H23245">
        <v>-98.209599999999995</v>
      </c>
      <c r="I23245" t="s">
        <v>65421</v>
      </c>
      <c r="L23245">
        <v>0</v>
      </c>
      <c r="M23245">
        <v>0</v>
      </c>
      <c r="N23245">
        <v>3</v>
      </c>
      <c r="O23245" t="s">
        <v>11883</v>
      </c>
    </row>
    <row r="23246" spans="1:15">
      <c r="A23246" t="s">
        <v>52255</v>
      </c>
      <c r="B23246" t="s">
        <v>11879</v>
      </c>
      <c r="C23246" t="s">
        <v>26389</v>
      </c>
      <c r="D23246" t="s">
        <v>65422</v>
      </c>
      <c r="E23246" t="b">
        <v>0</v>
      </c>
      <c r="F23246" t="s">
        <v>11624</v>
      </c>
      <c r="G23246">
        <v>16.249500000000001</v>
      </c>
      <c r="H23246">
        <v>-97.324399999999997</v>
      </c>
      <c r="I23246" t="s">
        <v>65423</v>
      </c>
      <c r="L23246">
        <v>0</v>
      </c>
      <c r="M23246">
        <v>0</v>
      </c>
      <c r="N23246">
        <v>3</v>
      </c>
      <c r="O23246" t="s">
        <v>11883</v>
      </c>
    </row>
    <row r="23247" spans="1:15">
      <c r="A23247" t="s">
        <v>61966</v>
      </c>
      <c r="B23247" t="s">
        <v>11879</v>
      </c>
      <c r="C23247" t="s">
        <v>23214</v>
      </c>
      <c r="D23247" t="s">
        <v>65424</v>
      </c>
      <c r="E23247" t="b">
        <v>0</v>
      </c>
      <c r="F23247" t="s">
        <v>11622</v>
      </c>
      <c r="L23247">
        <v>1</v>
      </c>
      <c r="M23247">
        <v>3</v>
      </c>
      <c r="N23247">
        <v>0</v>
      </c>
    </row>
    <row r="23248" spans="1:15">
      <c r="A23248" t="s">
        <v>26996</v>
      </c>
      <c r="B23248" t="s">
        <v>11879</v>
      </c>
      <c r="C23248" t="s">
        <v>61966</v>
      </c>
      <c r="D23248" t="s">
        <v>65425</v>
      </c>
      <c r="E23248" t="b">
        <v>0</v>
      </c>
      <c r="F23248" t="s">
        <v>11622</v>
      </c>
      <c r="L23248">
        <v>0</v>
      </c>
      <c r="M23248">
        <v>2</v>
      </c>
      <c r="N23248">
        <v>0</v>
      </c>
    </row>
    <row r="23249" spans="1:15">
      <c r="A23249" t="s">
        <v>23425</v>
      </c>
      <c r="B23249" t="s">
        <v>2975</v>
      </c>
      <c r="C23249" t="s">
        <v>23651</v>
      </c>
      <c r="D23249" t="s">
        <v>65426</v>
      </c>
      <c r="E23249" t="b">
        <v>0</v>
      </c>
      <c r="F23249" t="s">
        <v>11622</v>
      </c>
      <c r="L23249">
        <v>2</v>
      </c>
      <c r="M23249">
        <v>6</v>
      </c>
      <c r="N23249">
        <v>3</v>
      </c>
    </row>
    <row r="23250" spans="1:15">
      <c r="A23250" t="s">
        <v>22216</v>
      </c>
      <c r="B23250" t="s">
        <v>11894</v>
      </c>
      <c r="C23250" t="s">
        <v>11894</v>
      </c>
      <c r="D23250" t="s">
        <v>65427</v>
      </c>
      <c r="E23250" t="b">
        <v>0</v>
      </c>
      <c r="F23250" t="s">
        <v>11622</v>
      </c>
      <c r="L23250">
        <v>1</v>
      </c>
      <c r="M23250">
        <v>3</v>
      </c>
      <c r="N23250">
        <v>0</v>
      </c>
    </row>
    <row r="23251" spans="1:15">
      <c r="A23251" t="s">
        <v>65428</v>
      </c>
      <c r="B23251" t="s">
        <v>11894</v>
      </c>
      <c r="C23251" t="s">
        <v>286</v>
      </c>
      <c r="D23251" t="s">
        <v>65429</v>
      </c>
      <c r="E23251" t="b">
        <v>0</v>
      </c>
      <c r="F23251" t="s">
        <v>11610</v>
      </c>
      <c r="L23251">
        <v>0</v>
      </c>
      <c r="M23251">
        <v>0</v>
      </c>
      <c r="N23251">
        <v>0</v>
      </c>
    </row>
    <row r="23252" spans="1:15">
      <c r="A23252" t="s">
        <v>65430</v>
      </c>
      <c r="B23252" t="s">
        <v>367</v>
      </c>
      <c r="C23252" t="s">
        <v>5137</v>
      </c>
      <c r="D23252" t="s">
        <v>65431</v>
      </c>
      <c r="E23252" t="b">
        <v>0</v>
      </c>
      <c r="F23252" t="s">
        <v>11624</v>
      </c>
      <c r="G23252">
        <v>12.4771</v>
      </c>
      <c r="H23252">
        <v>104.026</v>
      </c>
      <c r="I23252" t="s">
        <v>65432</v>
      </c>
      <c r="L23252">
        <v>0</v>
      </c>
      <c r="M23252">
        <v>0</v>
      </c>
      <c r="N23252">
        <v>0</v>
      </c>
      <c r="O23252" t="s">
        <v>65433</v>
      </c>
    </row>
    <row r="23253" spans="1:15">
      <c r="A23253" t="s">
        <v>65434</v>
      </c>
      <c r="B23253" t="s">
        <v>6455</v>
      </c>
      <c r="C23253" t="s">
        <v>13887</v>
      </c>
      <c r="D23253" t="s">
        <v>65435</v>
      </c>
      <c r="E23253" t="b">
        <v>0</v>
      </c>
      <c r="F23253" t="s">
        <v>11624</v>
      </c>
      <c r="G23253">
        <v>6.9070400000000003</v>
      </c>
      <c r="H23253">
        <v>-72.650700000000001</v>
      </c>
      <c r="I23253" t="s">
        <v>65436</v>
      </c>
      <c r="L23253">
        <v>0</v>
      </c>
      <c r="M23253">
        <v>0</v>
      </c>
      <c r="N23253">
        <v>0</v>
      </c>
      <c r="O23253" t="s">
        <v>11898</v>
      </c>
    </row>
    <row r="23254" spans="1:15">
      <c r="A23254" t="s">
        <v>65437</v>
      </c>
      <c r="B23254" t="s">
        <v>11607</v>
      </c>
      <c r="C23254" t="s">
        <v>6751</v>
      </c>
      <c r="D23254" t="s">
        <v>65438</v>
      </c>
      <c r="E23254" t="b">
        <v>0</v>
      </c>
      <c r="F23254" t="s">
        <v>11610</v>
      </c>
      <c r="L23254">
        <v>0</v>
      </c>
      <c r="M23254">
        <v>0</v>
      </c>
      <c r="N23254">
        <v>0</v>
      </c>
    </row>
    <row r="23255" spans="1:15">
      <c r="A23255" t="s">
        <v>25211</v>
      </c>
      <c r="B23255" t="s">
        <v>11607</v>
      </c>
      <c r="C23255" t="s">
        <v>16499</v>
      </c>
      <c r="D23255" t="s">
        <v>65439</v>
      </c>
      <c r="E23255" t="b">
        <v>0</v>
      </c>
      <c r="F23255" t="s">
        <v>11610</v>
      </c>
      <c r="L23255">
        <v>0</v>
      </c>
      <c r="M23255">
        <v>0</v>
      </c>
      <c r="N23255">
        <v>3</v>
      </c>
    </row>
    <row r="23256" spans="1:15">
      <c r="A23256" t="s">
        <v>41664</v>
      </c>
      <c r="B23256" t="s">
        <v>11607</v>
      </c>
      <c r="C23256" t="s">
        <v>21752</v>
      </c>
      <c r="D23256" t="s">
        <v>65440</v>
      </c>
      <c r="E23256" t="b">
        <v>0</v>
      </c>
      <c r="F23256" t="s">
        <v>11610</v>
      </c>
      <c r="L23256">
        <v>0</v>
      </c>
      <c r="M23256">
        <v>0</v>
      </c>
      <c r="N23256">
        <v>2</v>
      </c>
    </row>
    <row r="23257" spans="1:15">
      <c r="A23257" t="s">
        <v>33252</v>
      </c>
      <c r="B23257" t="s">
        <v>11607</v>
      </c>
      <c r="C23257" t="s">
        <v>18910</v>
      </c>
      <c r="D23257" t="s">
        <v>65441</v>
      </c>
      <c r="E23257" t="b">
        <v>0</v>
      </c>
      <c r="F23257" t="s">
        <v>11622</v>
      </c>
      <c r="L23257">
        <v>0</v>
      </c>
      <c r="M23257">
        <v>2</v>
      </c>
      <c r="N23257">
        <v>3</v>
      </c>
    </row>
    <row r="23258" spans="1:15">
      <c r="A23258" t="s">
        <v>25676</v>
      </c>
      <c r="B23258" t="s">
        <v>11607</v>
      </c>
      <c r="C23258" t="s">
        <v>65442</v>
      </c>
      <c r="D23258" t="s">
        <v>65443</v>
      </c>
      <c r="E23258" t="b">
        <v>0</v>
      </c>
      <c r="F23258" t="s">
        <v>11622</v>
      </c>
      <c r="L23258">
        <v>3</v>
      </c>
      <c r="M23258">
        <v>5</v>
      </c>
      <c r="N23258">
        <v>4</v>
      </c>
    </row>
    <row r="23259" spans="1:15">
      <c r="A23259" t="s">
        <v>65444</v>
      </c>
      <c r="B23259" t="s">
        <v>11607</v>
      </c>
      <c r="C23259" t="s">
        <v>15709</v>
      </c>
      <c r="D23259" t="s">
        <v>65445</v>
      </c>
      <c r="E23259" t="b">
        <v>0</v>
      </c>
      <c r="F23259" t="s">
        <v>11610</v>
      </c>
      <c r="L23259">
        <v>0</v>
      </c>
      <c r="M23259">
        <v>0</v>
      </c>
      <c r="N23259">
        <v>0</v>
      </c>
    </row>
    <row r="23260" spans="1:15">
      <c r="A23260" t="s">
        <v>12615</v>
      </c>
      <c r="B23260" t="s">
        <v>11607</v>
      </c>
      <c r="C23260" t="s">
        <v>65442</v>
      </c>
      <c r="D23260" t="s">
        <v>65446</v>
      </c>
      <c r="E23260" t="b">
        <v>0</v>
      </c>
      <c r="F23260" t="s">
        <v>11622</v>
      </c>
      <c r="L23260">
        <v>1</v>
      </c>
      <c r="M23260">
        <v>10</v>
      </c>
      <c r="N23260">
        <v>5</v>
      </c>
    </row>
    <row r="23261" spans="1:15">
      <c r="A23261" t="s">
        <v>65447</v>
      </c>
      <c r="B23261" t="s">
        <v>11607</v>
      </c>
      <c r="C23261" t="s">
        <v>65448</v>
      </c>
      <c r="D23261" t="s">
        <v>65449</v>
      </c>
      <c r="E23261" t="b">
        <v>0</v>
      </c>
      <c r="F23261" t="s">
        <v>11622</v>
      </c>
      <c r="L23261">
        <v>27</v>
      </c>
      <c r="M23261">
        <v>44</v>
      </c>
      <c r="N23261">
        <v>66</v>
      </c>
    </row>
    <row r="23262" spans="1:15">
      <c r="A23262" t="s">
        <v>19247</v>
      </c>
      <c r="B23262" t="s">
        <v>11607</v>
      </c>
      <c r="C23262" t="s">
        <v>65450</v>
      </c>
      <c r="D23262" t="s">
        <v>65451</v>
      </c>
      <c r="E23262" t="b">
        <v>0</v>
      </c>
      <c r="F23262" t="s">
        <v>11622</v>
      </c>
      <c r="L23262">
        <v>14</v>
      </c>
      <c r="M23262">
        <v>21</v>
      </c>
      <c r="N23262">
        <v>18</v>
      </c>
    </row>
    <row r="23263" spans="1:15">
      <c r="A23263" t="s">
        <v>28199</v>
      </c>
      <c r="B23263" t="s">
        <v>11607</v>
      </c>
      <c r="C23263" t="s">
        <v>65447</v>
      </c>
      <c r="D23263" t="s">
        <v>65452</v>
      </c>
      <c r="E23263" t="b">
        <v>0</v>
      </c>
      <c r="F23263" t="s">
        <v>11622</v>
      </c>
      <c r="L23263">
        <v>3</v>
      </c>
      <c r="M23263">
        <v>8</v>
      </c>
      <c r="N23263">
        <v>5</v>
      </c>
    </row>
    <row r="23264" spans="1:15">
      <c r="A23264" t="s">
        <v>13811</v>
      </c>
      <c r="B23264" t="s">
        <v>11607</v>
      </c>
      <c r="C23264" t="s">
        <v>65450</v>
      </c>
      <c r="D23264" t="s">
        <v>65453</v>
      </c>
      <c r="E23264" t="b">
        <v>0</v>
      </c>
      <c r="F23264" t="s">
        <v>11622</v>
      </c>
      <c r="L23264">
        <v>5</v>
      </c>
      <c r="M23264">
        <v>13</v>
      </c>
      <c r="N23264">
        <v>18</v>
      </c>
    </row>
    <row r="23265" spans="1:15">
      <c r="A23265" t="s">
        <v>30372</v>
      </c>
      <c r="B23265" t="s">
        <v>11607</v>
      </c>
      <c r="C23265" t="s">
        <v>65447</v>
      </c>
      <c r="D23265" t="s">
        <v>65454</v>
      </c>
      <c r="E23265" t="b">
        <v>0</v>
      </c>
      <c r="F23265" t="s">
        <v>11622</v>
      </c>
      <c r="L23265">
        <v>0</v>
      </c>
      <c r="M23265">
        <v>2</v>
      </c>
      <c r="N23265">
        <v>25</v>
      </c>
    </row>
    <row r="23266" spans="1:15">
      <c r="A23266" t="s">
        <v>12022</v>
      </c>
      <c r="B23266" t="s">
        <v>11607</v>
      </c>
      <c r="C23266" t="s">
        <v>6491</v>
      </c>
      <c r="D23266" t="s">
        <v>65455</v>
      </c>
      <c r="E23266" t="b">
        <v>0</v>
      </c>
      <c r="F23266" t="s">
        <v>11610</v>
      </c>
      <c r="L23266">
        <v>0</v>
      </c>
      <c r="M23266">
        <v>0</v>
      </c>
      <c r="N23266">
        <v>6</v>
      </c>
    </row>
    <row r="23267" spans="1:15">
      <c r="A23267" t="s">
        <v>20563</v>
      </c>
      <c r="B23267" t="s">
        <v>11607</v>
      </c>
      <c r="C23267" t="s">
        <v>58653</v>
      </c>
      <c r="D23267" t="s">
        <v>65456</v>
      </c>
      <c r="E23267" t="b">
        <v>0</v>
      </c>
      <c r="F23267" t="s">
        <v>11622</v>
      </c>
      <c r="L23267">
        <v>2</v>
      </c>
      <c r="M23267">
        <v>4</v>
      </c>
      <c r="N23267">
        <v>1</v>
      </c>
    </row>
    <row r="23268" spans="1:15">
      <c r="A23268" t="s">
        <v>43888</v>
      </c>
      <c r="B23268" t="s">
        <v>11607</v>
      </c>
      <c r="C23268" t="s">
        <v>8134</v>
      </c>
      <c r="D23268" t="s">
        <v>65457</v>
      </c>
      <c r="E23268" t="b">
        <v>0</v>
      </c>
      <c r="F23268" t="s">
        <v>11624</v>
      </c>
      <c r="G23268">
        <v>8.8139099999999999</v>
      </c>
      <c r="H23268">
        <v>36.736499999999999</v>
      </c>
      <c r="I23268" t="s">
        <v>65458</v>
      </c>
      <c r="L23268">
        <v>0</v>
      </c>
      <c r="M23268">
        <v>0</v>
      </c>
      <c r="N23268">
        <v>3</v>
      </c>
      <c r="O23268" t="s">
        <v>14035</v>
      </c>
    </row>
    <row r="23269" spans="1:15">
      <c r="A23269" t="s">
        <v>65459</v>
      </c>
      <c r="B23269" t="s">
        <v>11607</v>
      </c>
      <c r="C23269" t="s">
        <v>43888</v>
      </c>
      <c r="D23269" t="s">
        <v>65460</v>
      </c>
      <c r="E23269" t="b">
        <v>0</v>
      </c>
      <c r="F23269" t="s">
        <v>11610</v>
      </c>
      <c r="L23269">
        <v>0</v>
      </c>
      <c r="M23269">
        <v>0</v>
      </c>
      <c r="N23269">
        <v>0</v>
      </c>
    </row>
    <row r="23270" spans="1:15">
      <c r="A23270" t="s">
        <v>14422</v>
      </c>
      <c r="B23270" t="s">
        <v>11607</v>
      </c>
      <c r="C23270" t="s">
        <v>26433</v>
      </c>
      <c r="D23270" t="s">
        <v>65461</v>
      </c>
      <c r="E23270" t="b">
        <v>0</v>
      </c>
      <c r="F23270" t="s">
        <v>11622</v>
      </c>
      <c r="L23270">
        <v>0</v>
      </c>
      <c r="M23270">
        <v>3</v>
      </c>
      <c r="N23270">
        <v>0</v>
      </c>
    </row>
    <row r="23271" spans="1:15">
      <c r="A23271" t="s">
        <v>60992</v>
      </c>
      <c r="B23271" t="s">
        <v>11607</v>
      </c>
      <c r="C23271" t="s">
        <v>515</v>
      </c>
      <c r="D23271" t="s">
        <v>65462</v>
      </c>
      <c r="E23271" t="b">
        <v>0</v>
      </c>
      <c r="F23271" t="s">
        <v>11622</v>
      </c>
      <c r="L23271">
        <v>0</v>
      </c>
      <c r="M23271">
        <v>2</v>
      </c>
      <c r="N23271">
        <v>0</v>
      </c>
    </row>
    <row r="23272" spans="1:15">
      <c r="A23272" t="s">
        <v>65463</v>
      </c>
      <c r="B23272" t="s">
        <v>11607</v>
      </c>
      <c r="C23272" t="s">
        <v>21765</v>
      </c>
      <c r="D23272" t="s">
        <v>65464</v>
      </c>
      <c r="E23272" t="b">
        <v>0</v>
      </c>
      <c r="F23272" t="s">
        <v>11610</v>
      </c>
      <c r="L23272">
        <v>0</v>
      </c>
      <c r="M23272">
        <v>0</v>
      </c>
      <c r="N23272">
        <v>0</v>
      </c>
    </row>
    <row r="23273" spans="1:15">
      <c r="A23273" t="s">
        <v>65465</v>
      </c>
      <c r="B23273" t="s">
        <v>11607</v>
      </c>
      <c r="C23273" t="s">
        <v>11726</v>
      </c>
      <c r="D23273" t="s">
        <v>65466</v>
      </c>
      <c r="E23273" t="b">
        <v>0</v>
      </c>
      <c r="F23273" t="s">
        <v>11610</v>
      </c>
      <c r="L23273">
        <v>0</v>
      </c>
      <c r="M23273">
        <v>0</v>
      </c>
      <c r="N23273">
        <v>0</v>
      </c>
    </row>
    <row r="23274" spans="1:15">
      <c r="A23274" t="s">
        <v>65467</v>
      </c>
      <c r="B23274" t="s">
        <v>11607</v>
      </c>
      <c r="C23274" t="s">
        <v>26438</v>
      </c>
      <c r="D23274" t="s">
        <v>65468</v>
      </c>
      <c r="E23274" t="b">
        <v>0</v>
      </c>
      <c r="F23274" t="s">
        <v>11610</v>
      </c>
      <c r="L23274">
        <v>0</v>
      </c>
      <c r="M23274">
        <v>0</v>
      </c>
      <c r="N23274">
        <v>0</v>
      </c>
    </row>
    <row r="23275" spans="1:15">
      <c r="A23275" t="s">
        <v>16127</v>
      </c>
      <c r="B23275" t="s">
        <v>11607</v>
      </c>
      <c r="C23275" t="s">
        <v>52030</v>
      </c>
      <c r="D23275" t="s">
        <v>65469</v>
      </c>
      <c r="E23275" t="b">
        <v>0</v>
      </c>
      <c r="F23275" t="s">
        <v>11624</v>
      </c>
      <c r="G23275">
        <v>33.816200000000002</v>
      </c>
      <c r="H23275">
        <v>36.484000000000002</v>
      </c>
      <c r="I23275" t="s">
        <v>65470</v>
      </c>
      <c r="L23275">
        <v>0</v>
      </c>
      <c r="M23275">
        <v>0</v>
      </c>
      <c r="N23275">
        <v>3</v>
      </c>
      <c r="O23275" t="s">
        <v>13514</v>
      </c>
    </row>
    <row r="23276" spans="1:15">
      <c r="A23276" t="s">
        <v>65471</v>
      </c>
      <c r="B23276" t="s">
        <v>11607</v>
      </c>
      <c r="C23276" t="s">
        <v>23111</v>
      </c>
      <c r="D23276" t="s">
        <v>65472</v>
      </c>
      <c r="E23276" t="b">
        <v>0</v>
      </c>
      <c r="F23276" t="s">
        <v>11610</v>
      </c>
      <c r="L23276">
        <v>0</v>
      </c>
      <c r="M23276">
        <v>0</v>
      </c>
      <c r="N23276">
        <v>0</v>
      </c>
    </row>
    <row r="23277" spans="1:15">
      <c r="A23277" t="s">
        <v>39972</v>
      </c>
      <c r="B23277" t="s">
        <v>11607</v>
      </c>
      <c r="C23277" t="s">
        <v>14879</v>
      </c>
      <c r="D23277" t="s">
        <v>65473</v>
      </c>
      <c r="E23277" t="b">
        <v>0</v>
      </c>
      <c r="F23277" t="s">
        <v>11610</v>
      </c>
      <c r="L23277">
        <v>0</v>
      </c>
      <c r="M23277">
        <v>0</v>
      </c>
      <c r="N23277">
        <v>4</v>
      </c>
    </row>
    <row r="23278" spans="1:15">
      <c r="A23278" t="s">
        <v>14416</v>
      </c>
      <c r="B23278" t="s">
        <v>11607</v>
      </c>
      <c r="C23278" t="s">
        <v>26444</v>
      </c>
      <c r="D23278" t="s">
        <v>65474</v>
      </c>
      <c r="E23278" t="b">
        <v>0</v>
      </c>
      <c r="F23278" t="s">
        <v>11610</v>
      </c>
      <c r="L23278">
        <v>0</v>
      </c>
      <c r="M23278">
        <v>0</v>
      </c>
      <c r="N23278">
        <v>2</v>
      </c>
    </row>
    <row r="23279" spans="1:15">
      <c r="A23279" t="s">
        <v>65475</v>
      </c>
      <c r="B23279" t="s">
        <v>11607</v>
      </c>
      <c r="C23279" t="s">
        <v>3055</v>
      </c>
      <c r="D23279" t="s">
        <v>65476</v>
      </c>
      <c r="E23279" t="b">
        <v>0</v>
      </c>
      <c r="F23279" t="s">
        <v>11610</v>
      </c>
      <c r="L23279">
        <v>0</v>
      </c>
      <c r="M23279">
        <v>0</v>
      </c>
      <c r="N23279">
        <v>0</v>
      </c>
    </row>
    <row r="23280" spans="1:15">
      <c r="A23280" t="s">
        <v>65477</v>
      </c>
      <c r="B23280" t="s">
        <v>11607</v>
      </c>
      <c r="C23280" t="s">
        <v>26452</v>
      </c>
      <c r="D23280" t="s">
        <v>65478</v>
      </c>
      <c r="E23280" t="b">
        <v>0</v>
      </c>
      <c r="F23280" t="s">
        <v>11610</v>
      </c>
      <c r="L23280">
        <v>0</v>
      </c>
      <c r="M23280">
        <v>0</v>
      </c>
      <c r="N23280">
        <v>0</v>
      </c>
    </row>
    <row r="23281" spans="1:15">
      <c r="A23281" t="s">
        <v>65479</v>
      </c>
      <c r="B23281" t="s">
        <v>33493</v>
      </c>
      <c r="C23281" t="s">
        <v>33493</v>
      </c>
      <c r="D23281" t="s">
        <v>65480</v>
      </c>
      <c r="E23281" t="b">
        <v>0</v>
      </c>
      <c r="F23281" t="s">
        <v>11624</v>
      </c>
      <c r="L23281">
        <v>0</v>
      </c>
      <c r="M23281">
        <v>0</v>
      </c>
      <c r="N23281">
        <v>0</v>
      </c>
      <c r="O23281" t="s">
        <v>43310</v>
      </c>
    </row>
    <row r="23282" spans="1:15">
      <c r="A23282" t="s">
        <v>65481</v>
      </c>
      <c r="B23282" t="s">
        <v>12751</v>
      </c>
      <c r="C23282" t="s">
        <v>25590</v>
      </c>
      <c r="D23282" t="s">
        <v>65482</v>
      </c>
      <c r="E23282" t="b">
        <v>0</v>
      </c>
      <c r="F23282" t="s">
        <v>11624</v>
      </c>
      <c r="G23282">
        <v>22.6</v>
      </c>
      <c r="H23282">
        <v>-104.9</v>
      </c>
      <c r="I23282" t="s">
        <v>65483</v>
      </c>
      <c r="L23282">
        <v>0</v>
      </c>
      <c r="M23282">
        <v>0</v>
      </c>
      <c r="N23282">
        <v>0</v>
      </c>
      <c r="O23282" t="s">
        <v>11883</v>
      </c>
    </row>
    <row r="23283" spans="1:15">
      <c r="A23283" t="s">
        <v>13525</v>
      </c>
      <c r="B23283" t="s">
        <v>1342</v>
      </c>
      <c r="C23283" t="s">
        <v>1342</v>
      </c>
      <c r="D23283" t="s">
        <v>65484</v>
      </c>
      <c r="E23283" t="b">
        <v>0</v>
      </c>
      <c r="F23283" t="s">
        <v>11622</v>
      </c>
      <c r="L23283">
        <v>0</v>
      </c>
      <c r="M23283">
        <v>5</v>
      </c>
      <c r="N23283">
        <v>0</v>
      </c>
    </row>
    <row r="23284" spans="1:15">
      <c r="A23284" t="s">
        <v>42458</v>
      </c>
      <c r="B23284" t="s">
        <v>13276</v>
      </c>
      <c r="C23284" t="s">
        <v>13276</v>
      </c>
      <c r="D23284" t="s">
        <v>65485</v>
      </c>
      <c r="E23284" t="b">
        <v>0</v>
      </c>
      <c r="F23284" t="s">
        <v>11622</v>
      </c>
      <c r="L23284">
        <v>37</v>
      </c>
      <c r="M23284">
        <v>54</v>
      </c>
      <c r="N23284">
        <v>112</v>
      </c>
    </row>
    <row r="23285" spans="1:15">
      <c r="A23285" t="s">
        <v>21786</v>
      </c>
      <c r="B23285" t="s">
        <v>3164</v>
      </c>
      <c r="C23285" t="s">
        <v>3164</v>
      </c>
      <c r="D23285" t="s">
        <v>65486</v>
      </c>
      <c r="E23285" t="b">
        <v>0</v>
      </c>
      <c r="F23285" t="s">
        <v>11622</v>
      </c>
      <c r="L23285">
        <v>5</v>
      </c>
      <c r="M23285">
        <v>11</v>
      </c>
      <c r="N23285">
        <v>13</v>
      </c>
    </row>
    <row r="23286" spans="1:15">
      <c r="A23286" t="s">
        <v>51661</v>
      </c>
      <c r="B23286" t="s">
        <v>11879</v>
      </c>
      <c r="C23286" t="s">
        <v>11879</v>
      </c>
      <c r="D23286" t="s">
        <v>65487</v>
      </c>
      <c r="E23286" t="b">
        <v>0</v>
      </c>
      <c r="F23286" t="s">
        <v>11622</v>
      </c>
      <c r="L23286">
        <v>22</v>
      </c>
      <c r="M23286">
        <v>38</v>
      </c>
      <c r="N23286">
        <v>18</v>
      </c>
    </row>
    <row r="23287" spans="1:15">
      <c r="A23287" t="s">
        <v>23651</v>
      </c>
      <c r="B23287" t="s">
        <v>2975</v>
      </c>
      <c r="C23287" t="s">
        <v>2975</v>
      </c>
      <c r="D23287" t="s">
        <v>65488</v>
      </c>
      <c r="E23287" t="b">
        <v>0</v>
      </c>
      <c r="F23287" t="s">
        <v>11622</v>
      </c>
      <c r="L23287">
        <v>3</v>
      </c>
      <c r="M23287">
        <v>7</v>
      </c>
      <c r="N23287">
        <v>3</v>
      </c>
    </row>
    <row r="23288" spans="1:15">
      <c r="A23288" t="s">
        <v>65448</v>
      </c>
      <c r="B23288" t="s">
        <v>11607</v>
      </c>
      <c r="C23288" t="s">
        <v>18916</v>
      </c>
      <c r="D23288" t="s">
        <v>65489</v>
      </c>
      <c r="E23288" t="b">
        <v>0</v>
      </c>
      <c r="F23288" t="s">
        <v>11622</v>
      </c>
      <c r="L23288">
        <v>46</v>
      </c>
      <c r="M23288">
        <v>75</v>
      </c>
      <c r="N23288">
        <v>102</v>
      </c>
    </row>
    <row r="23289" spans="1:15">
      <c r="A23289" t="s">
        <v>21795</v>
      </c>
      <c r="B23289" t="s">
        <v>11607</v>
      </c>
      <c r="C23289" t="s">
        <v>26435</v>
      </c>
      <c r="D23289" t="s">
        <v>65490</v>
      </c>
      <c r="E23289" t="b">
        <v>0</v>
      </c>
      <c r="F23289" t="s">
        <v>11622</v>
      </c>
      <c r="L23289">
        <v>46</v>
      </c>
      <c r="M23289">
        <v>94</v>
      </c>
      <c r="N23289">
        <v>225</v>
      </c>
    </row>
    <row r="23290" spans="1:15">
      <c r="A23290" t="s">
        <v>36817</v>
      </c>
      <c r="B23290" t="s">
        <v>11839</v>
      </c>
      <c r="C23290" t="s">
        <v>11840</v>
      </c>
      <c r="D23290" t="s">
        <v>65491</v>
      </c>
      <c r="E23290" t="b">
        <v>0</v>
      </c>
      <c r="F23290" t="s">
        <v>11622</v>
      </c>
      <c r="L23290">
        <v>4</v>
      </c>
      <c r="M23290">
        <v>8</v>
      </c>
      <c r="N23290">
        <v>14</v>
      </c>
    </row>
    <row r="23291" spans="1:15">
      <c r="A23291" t="s">
        <v>12340</v>
      </c>
      <c r="B23291" t="s">
        <v>11834</v>
      </c>
      <c r="C23291" t="s">
        <v>11834</v>
      </c>
      <c r="D23291" t="s">
        <v>65492</v>
      </c>
      <c r="E23291" t="b">
        <v>0</v>
      </c>
      <c r="F23291" t="s">
        <v>11622</v>
      </c>
      <c r="L23291">
        <v>1</v>
      </c>
      <c r="M23291">
        <v>3</v>
      </c>
      <c r="N23291">
        <v>0</v>
      </c>
    </row>
    <row r="23292" spans="1:15">
      <c r="A23292" t="s">
        <v>23585</v>
      </c>
      <c r="B23292" t="s">
        <v>2975</v>
      </c>
      <c r="C23292" t="s">
        <v>26467</v>
      </c>
      <c r="D23292" t="s">
        <v>65493</v>
      </c>
      <c r="E23292" t="b">
        <v>0</v>
      </c>
      <c r="F23292" t="s">
        <v>11622</v>
      </c>
      <c r="L23292">
        <v>4</v>
      </c>
      <c r="M23292">
        <v>6</v>
      </c>
      <c r="N23292">
        <v>3</v>
      </c>
    </row>
    <row r="23293" spans="1:15">
      <c r="A23293" t="s">
        <v>65442</v>
      </c>
      <c r="B23293" t="s">
        <v>11607</v>
      </c>
      <c r="C23293" t="s">
        <v>65448</v>
      </c>
      <c r="D23293" t="s">
        <v>65494</v>
      </c>
      <c r="E23293" t="b">
        <v>0</v>
      </c>
      <c r="F23293" t="s">
        <v>11622</v>
      </c>
      <c r="L23293">
        <v>17</v>
      </c>
      <c r="M23293">
        <v>31</v>
      </c>
      <c r="N23293">
        <v>36</v>
      </c>
    </row>
    <row r="23294" spans="1:15">
      <c r="A23294" t="s">
        <v>51986</v>
      </c>
      <c r="B23294" t="s">
        <v>12438</v>
      </c>
      <c r="C23294" t="s">
        <v>24012</v>
      </c>
      <c r="D23294" t="s">
        <v>65495</v>
      </c>
      <c r="E23294" t="b">
        <v>0</v>
      </c>
      <c r="F23294" t="s">
        <v>11622</v>
      </c>
      <c r="L23294">
        <v>2</v>
      </c>
      <c r="M23294">
        <v>5</v>
      </c>
      <c r="N23294">
        <v>2</v>
      </c>
    </row>
    <row r="23295" spans="1:15">
      <c r="A23295" t="s">
        <v>23706</v>
      </c>
      <c r="B23295" t="s">
        <v>11637</v>
      </c>
      <c r="C23295" t="s">
        <v>25793</v>
      </c>
      <c r="D23295" t="s">
        <v>65496</v>
      </c>
      <c r="E23295" t="b">
        <v>0</v>
      </c>
      <c r="F23295" t="s">
        <v>11622</v>
      </c>
      <c r="L23295">
        <v>4</v>
      </c>
      <c r="M23295">
        <v>8</v>
      </c>
      <c r="N23295">
        <v>12</v>
      </c>
    </row>
    <row r="23296" spans="1:15">
      <c r="A23296" t="s">
        <v>31119</v>
      </c>
      <c r="B23296" t="s">
        <v>11637</v>
      </c>
      <c r="C23296" t="s">
        <v>48988</v>
      </c>
      <c r="D23296" t="s">
        <v>65497</v>
      </c>
      <c r="E23296" t="b">
        <v>0</v>
      </c>
      <c r="F23296" t="s">
        <v>11622</v>
      </c>
      <c r="L23296">
        <v>63</v>
      </c>
      <c r="M23296">
        <v>88</v>
      </c>
      <c r="N23296">
        <v>329</v>
      </c>
    </row>
    <row r="23297" spans="1:14">
      <c r="A23297" t="s">
        <v>36559</v>
      </c>
      <c r="B23297" t="s">
        <v>11615</v>
      </c>
      <c r="C23297" t="s">
        <v>26478</v>
      </c>
      <c r="D23297" t="s">
        <v>65498</v>
      </c>
      <c r="E23297" t="b">
        <v>0</v>
      </c>
      <c r="F23297" t="s">
        <v>11622</v>
      </c>
      <c r="L23297">
        <v>5</v>
      </c>
      <c r="M23297">
        <v>12</v>
      </c>
      <c r="N23297">
        <v>19</v>
      </c>
    </row>
    <row r="23298" spans="1:14">
      <c r="A23298" t="s">
        <v>14149</v>
      </c>
      <c r="B23298" t="s">
        <v>11644</v>
      </c>
      <c r="C23298" t="s">
        <v>24009</v>
      </c>
      <c r="D23298" t="s">
        <v>65499</v>
      </c>
      <c r="E23298" t="b">
        <v>0</v>
      </c>
      <c r="F23298" t="s">
        <v>11622</v>
      </c>
      <c r="L23298">
        <v>2</v>
      </c>
      <c r="M23298">
        <v>6</v>
      </c>
      <c r="N23298">
        <v>7</v>
      </c>
    </row>
    <row r="23299" spans="1:14">
      <c r="A23299" t="s">
        <v>28999</v>
      </c>
      <c r="B23299" t="s">
        <v>5126</v>
      </c>
      <c r="C23299" t="s">
        <v>51878</v>
      </c>
      <c r="D23299" t="s">
        <v>65500</v>
      </c>
      <c r="E23299" t="b">
        <v>0</v>
      </c>
      <c r="F23299" t="s">
        <v>11622</v>
      </c>
      <c r="L23299">
        <v>5</v>
      </c>
      <c r="M23299">
        <v>8</v>
      </c>
      <c r="N23299">
        <v>11</v>
      </c>
    </row>
    <row r="23300" spans="1:14">
      <c r="A23300" t="s">
        <v>65450</v>
      </c>
      <c r="B23300" t="s">
        <v>11607</v>
      </c>
      <c r="C23300" t="s">
        <v>65447</v>
      </c>
      <c r="D23300" t="s">
        <v>65501</v>
      </c>
      <c r="E23300" t="b">
        <v>0</v>
      </c>
      <c r="F23300" t="s">
        <v>11622</v>
      </c>
      <c r="L23300">
        <v>21</v>
      </c>
      <c r="M23300">
        <v>34</v>
      </c>
      <c r="N23300">
        <v>36</v>
      </c>
    </row>
    <row r="23301" spans="1:14">
      <c r="A23301" t="s">
        <v>58733</v>
      </c>
      <c r="B23301" t="s">
        <v>11607</v>
      </c>
      <c r="C23301" t="s">
        <v>65442</v>
      </c>
      <c r="D23301" t="s">
        <v>65502</v>
      </c>
      <c r="E23301" t="b">
        <v>0</v>
      </c>
      <c r="F23301" t="s">
        <v>11622</v>
      </c>
      <c r="L23301">
        <v>10</v>
      </c>
      <c r="M23301">
        <v>16</v>
      </c>
      <c r="N23301">
        <v>27</v>
      </c>
    </row>
    <row r="23302" spans="1:14">
      <c r="A23302" t="s">
        <v>47847</v>
      </c>
      <c r="B23302" t="s">
        <v>6742</v>
      </c>
      <c r="C23302" t="s">
        <v>12468</v>
      </c>
      <c r="D23302" t="s">
        <v>65503</v>
      </c>
      <c r="E23302" t="b">
        <v>0</v>
      </c>
      <c r="F23302" t="s">
        <v>11622</v>
      </c>
      <c r="L23302">
        <v>6</v>
      </c>
      <c r="M23302">
        <v>22</v>
      </c>
      <c r="N23302">
        <v>28</v>
      </c>
    </row>
    <row r="23303" spans="1:14">
      <c r="A23303" t="s">
        <v>12003</v>
      </c>
      <c r="B23303" t="s">
        <v>6742</v>
      </c>
      <c r="C23303" t="s">
        <v>12604</v>
      </c>
      <c r="D23303" t="s">
        <v>65504</v>
      </c>
      <c r="E23303" t="b">
        <v>0</v>
      </c>
      <c r="F23303" t="s">
        <v>11622</v>
      </c>
      <c r="L23303">
        <v>0</v>
      </c>
      <c r="M23303">
        <v>6</v>
      </c>
      <c r="N23303">
        <v>18</v>
      </c>
    </row>
    <row r="23304" spans="1:14">
      <c r="A23304" t="s">
        <v>20324</v>
      </c>
      <c r="B23304" t="s">
        <v>5058</v>
      </c>
      <c r="C23304" t="s">
        <v>26003</v>
      </c>
      <c r="D23304" t="s">
        <v>65505</v>
      </c>
      <c r="E23304" t="b">
        <v>0</v>
      </c>
      <c r="F23304" t="s">
        <v>11622</v>
      </c>
      <c r="L23304">
        <v>8</v>
      </c>
      <c r="M23304">
        <v>23</v>
      </c>
      <c r="N23304">
        <v>10</v>
      </c>
    </row>
    <row r="23305" spans="1:14">
      <c r="A23305" t="s">
        <v>34260</v>
      </c>
      <c r="B23305" t="s">
        <v>11637</v>
      </c>
      <c r="C23305" t="s">
        <v>25811</v>
      </c>
      <c r="D23305" t="s">
        <v>65506</v>
      </c>
      <c r="E23305" t="b">
        <v>0</v>
      </c>
      <c r="F23305" t="s">
        <v>11622</v>
      </c>
      <c r="L23305">
        <v>0</v>
      </c>
      <c r="M23305">
        <v>4</v>
      </c>
      <c r="N23305">
        <v>31</v>
      </c>
    </row>
    <row r="23306" spans="1:14">
      <c r="A23306" t="s">
        <v>31936</v>
      </c>
      <c r="B23306" t="s">
        <v>11637</v>
      </c>
      <c r="C23306" t="s">
        <v>48997</v>
      </c>
      <c r="D23306" t="s">
        <v>65507</v>
      </c>
      <c r="E23306" t="b">
        <v>0</v>
      </c>
      <c r="F23306" t="s">
        <v>11622</v>
      </c>
      <c r="L23306">
        <v>1</v>
      </c>
      <c r="M23306">
        <v>4</v>
      </c>
      <c r="N23306">
        <v>9</v>
      </c>
    </row>
    <row r="23307" spans="1:14">
      <c r="A23307" t="s">
        <v>18315</v>
      </c>
      <c r="B23307" t="s">
        <v>11637</v>
      </c>
      <c r="C23307" t="s">
        <v>18493</v>
      </c>
      <c r="D23307" t="s">
        <v>65508</v>
      </c>
      <c r="E23307" t="b">
        <v>0</v>
      </c>
      <c r="F23307" t="s">
        <v>11622</v>
      </c>
      <c r="L23307">
        <v>2</v>
      </c>
      <c r="M23307">
        <v>4</v>
      </c>
      <c r="N23307">
        <v>24</v>
      </c>
    </row>
    <row r="23308" spans="1:14">
      <c r="A23308" t="s">
        <v>24816</v>
      </c>
      <c r="B23308" t="s">
        <v>3164</v>
      </c>
      <c r="C23308" t="s">
        <v>26493</v>
      </c>
      <c r="D23308" t="s">
        <v>65509</v>
      </c>
      <c r="E23308" t="b">
        <v>0</v>
      </c>
      <c r="F23308" t="s">
        <v>11622</v>
      </c>
      <c r="L23308">
        <v>0</v>
      </c>
      <c r="M23308">
        <v>4</v>
      </c>
      <c r="N23308">
        <v>2</v>
      </c>
    </row>
    <row r="23309" spans="1:14">
      <c r="A23309" t="s">
        <v>64289</v>
      </c>
      <c r="B23309" t="s">
        <v>10597</v>
      </c>
      <c r="C23309" t="s">
        <v>26498</v>
      </c>
      <c r="D23309" t="s">
        <v>65510</v>
      </c>
      <c r="E23309" t="b">
        <v>0</v>
      </c>
      <c r="F23309" t="s">
        <v>11622</v>
      </c>
      <c r="L23309">
        <v>0</v>
      </c>
      <c r="M23309">
        <v>2</v>
      </c>
      <c r="N23309">
        <v>2</v>
      </c>
    </row>
    <row r="23310" spans="1:14">
      <c r="A23310" t="s">
        <v>21838</v>
      </c>
      <c r="B23310" t="s">
        <v>12751</v>
      </c>
      <c r="C23310" t="s">
        <v>444</v>
      </c>
      <c r="D23310" t="s">
        <v>65511</v>
      </c>
      <c r="E23310" t="b">
        <v>0</v>
      </c>
      <c r="F23310" t="s">
        <v>11622</v>
      </c>
      <c r="L23310">
        <v>5</v>
      </c>
      <c r="M23310">
        <v>12</v>
      </c>
      <c r="N23310">
        <v>0</v>
      </c>
    </row>
    <row r="23311" spans="1:14">
      <c r="A23311" t="s">
        <v>44161</v>
      </c>
      <c r="B23311" t="s">
        <v>12460</v>
      </c>
      <c r="C23311" t="s">
        <v>26510</v>
      </c>
      <c r="D23311" t="s">
        <v>65512</v>
      </c>
      <c r="E23311" t="b">
        <v>0</v>
      </c>
      <c r="F23311" t="s">
        <v>11622</v>
      </c>
      <c r="L23311">
        <v>0</v>
      </c>
      <c r="M23311">
        <v>3</v>
      </c>
      <c r="N23311">
        <v>0</v>
      </c>
    </row>
    <row r="23312" spans="1:14">
      <c r="A23312" t="s">
        <v>37063</v>
      </c>
      <c r="B23312" t="s">
        <v>367</v>
      </c>
      <c r="C23312" t="s">
        <v>50177</v>
      </c>
      <c r="D23312" t="s">
        <v>65513</v>
      </c>
      <c r="E23312" t="b">
        <v>0</v>
      </c>
      <c r="F23312" t="s">
        <v>11622</v>
      </c>
      <c r="L23312">
        <v>0</v>
      </c>
      <c r="M23312">
        <v>2</v>
      </c>
      <c r="N23312">
        <v>1</v>
      </c>
    </row>
    <row r="23313" spans="1:14">
      <c r="A23313" t="s">
        <v>19828</v>
      </c>
      <c r="B23313" t="s">
        <v>11637</v>
      </c>
      <c r="C23313" t="s">
        <v>18306</v>
      </c>
      <c r="D23313" t="s">
        <v>65514</v>
      </c>
      <c r="E23313" t="b">
        <v>0</v>
      </c>
      <c r="F23313" t="s">
        <v>11622</v>
      </c>
      <c r="L23313">
        <v>4</v>
      </c>
      <c r="M23313">
        <v>11</v>
      </c>
      <c r="N23313">
        <v>42</v>
      </c>
    </row>
    <row r="23314" spans="1:14">
      <c r="A23314" t="s">
        <v>56898</v>
      </c>
      <c r="B23314" t="s">
        <v>11637</v>
      </c>
      <c r="C23314" t="s">
        <v>32827</v>
      </c>
      <c r="D23314" t="s">
        <v>65515</v>
      </c>
      <c r="E23314" t="b">
        <v>0</v>
      </c>
      <c r="F23314" t="s">
        <v>11622</v>
      </c>
      <c r="L23314">
        <v>33</v>
      </c>
      <c r="M23314">
        <v>65</v>
      </c>
      <c r="N23314">
        <v>208</v>
      </c>
    </row>
    <row r="23315" spans="1:14">
      <c r="A23315" t="s">
        <v>49042</v>
      </c>
      <c r="B23315" t="s">
        <v>12751</v>
      </c>
      <c r="C23315" t="s">
        <v>21838</v>
      </c>
      <c r="D23315" t="s">
        <v>65516</v>
      </c>
      <c r="E23315" t="b">
        <v>0</v>
      </c>
      <c r="F23315" t="s">
        <v>11622</v>
      </c>
      <c r="L23315">
        <v>3</v>
      </c>
      <c r="M23315">
        <v>7</v>
      </c>
      <c r="N23315">
        <v>0</v>
      </c>
    </row>
    <row r="23316" spans="1:14">
      <c r="A23316" t="s">
        <v>52030</v>
      </c>
      <c r="B23316" t="s">
        <v>11607</v>
      </c>
      <c r="C23316" t="s">
        <v>14306</v>
      </c>
      <c r="D23316" t="s">
        <v>65517</v>
      </c>
      <c r="E23316" t="b">
        <v>0</v>
      </c>
      <c r="F23316" t="s">
        <v>11622</v>
      </c>
      <c r="L23316">
        <v>0</v>
      </c>
      <c r="M23316">
        <v>3</v>
      </c>
      <c r="N23316">
        <v>3</v>
      </c>
    </row>
    <row r="23317" spans="1:14">
      <c r="A23317" t="s">
        <v>11860</v>
      </c>
      <c r="B23317" t="s">
        <v>6742</v>
      </c>
      <c r="C23317" t="s">
        <v>21846</v>
      </c>
      <c r="D23317" t="s">
        <v>65518</v>
      </c>
      <c r="E23317" t="b">
        <v>0</v>
      </c>
      <c r="F23317" t="s">
        <v>11622</v>
      </c>
      <c r="L23317">
        <v>0</v>
      </c>
      <c r="M23317">
        <v>2</v>
      </c>
      <c r="N23317">
        <v>0</v>
      </c>
    </row>
    <row r="23318" spans="1:14">
      <c r="A23318" t="s">
        <v>13367</v>
      </c>
      <c r="B23318" t="s">
        <v>367</v>
      </c>
      <c r="C23318" t="s">
        <v>21833</v>
      </c>
      <c r="D23318" t="s">
        <v>65519</v>
      </c>
      <c r="E23318" t="b">
        <v>0</v>
      </c>
      <c r="F23318" t="s">
        <v>11622</v>
      </c>
      <c r="L23318">
        <v>5</v>
      </c>
      <c r="M23318">
        <v>8</v>
      </c>
      <c r="N23318">
        <v>12</v>
      </c>
    </row>
    <row r="23319" spans="1:14">
      <c r="A23319" t="s">
        <v>44192</v>
      </c>
      <c r="B23319" t="s">
        <v>367</v>
      </c>
      <c r="C23319" t="s">
        <v>12101</v>
      </c>
      <c r="D23319" t="s">
        <v>65520</v>
      </c>
      <c r="E23319" t="b">
        <v>0</v>
      </c>
      <c r="F23319" t="s">
        <v>11622</v>
      </c>
      <c r="L23319">
        <v>122</v>
      </c>
      <c r="M23319">
        <v>237</v>
      </c>
      <c r="N23319">
        <v>329</v>
      </c>
    </row>
    <row r="23320" spans="1:14">
      <c r="A23320" t="s">
        <v>12771</v>
      </c>
      <c r="B23320" t="s">
        <v>367</v>
      </c>
      <c r="C23320" t="s">
        <v>16804</v>
      </c>
      <c r="D23320" t="s">
        <v>65521</v>
      </c>
      <c r="E23320" t="b">
        <v>0</v>
      </c>
      <c r="F23320" t="s">
        <v>11622</v>
      </c>
      <c r="L23320">
        <v>4</v>
      </c>
      <c r="M23320">
        <v>8</v>
      </c>
      <c r="N23320">
        <v>14</v>
      </c>
    </row>
    <row r="23321" spans="1:14">
      <c r="A23321" t="s">
        <v>35836</v>
      </c>
      <c r="B23321" t="s">
        <v>367</v>
      </c>
      <c r="C23321" t="s">
        <v>5294</v>
      </c>
      <c r="D23321" t="s">
        <v>65522</v>
      </c>
      <c r="E23321" t="b">
        <v>0</v>
      </c>
      <c r="F23321" t="s">
        <v>11622</v>
      </c>
      <c r="L23321">
        <v>0</v>
      </c>
      <c r="M23321">
        <v>3</v>
      </c>
      <c r="N23321">
        <v>14</v>
      </c>
    </row>
    <row r="23322" spans="1:14">
      <c r="A23322" t="s">
        <v>14974</v>
      </c>
      <c r="B23322" t="s">
        <v>11879</v>
      </c>
      <c r="C23322" t="s">
        <v>8183</v>
      </c>
      <c r="D23322" t="s">
        <v>65523</v>
      </c>
      <c r="E23322" t="b">
        <v>0</v>
      </c>
      <c r="F23322" t="s">
        <v>11622</v>
      </c>
      <c r="L23322">
        <v>0</v>
      </c>
      <c r="M23322">
        <v>14</v>
      </c>
      <c r="N23322">
        <v>15</v>
      </c>
    </row>
    <row r="23323" spans="1:14">
      <c r="A23323" t="s">
        <v>25591</v>
      </c>
      <c r="B23323" t="s">
        <v>12751</v>
      </c>
      <c r="C23323" t="s">
        <v>49042</v>
      </c>
      <c r="D23323" t="s">
        <v>65524</v>
      </c>
      <c r="E23323" t="b">
        <v>0</v>
      </c>
      <c r="F23323" t="s">
        <v>11622</v>
      </c>
      <c r="L23323">
        <v>1</v>
      </c>
      <c r="M23323">
        <v>3</v>
      </c>
      <c r="N23323">
        <v>0</v>
      </c>
    </row>
    <row r="23324" spans="1:14">
      <c r="A23324" t="s">
        <v>42506</v>
      </c>
      <c r="B23324" t="s">
        <v>6742</v>
      </c>
      <c r="C23324" t="s">
        <v>43631</v>
      </c>
      <c r="D23324" t="s">
        <v>65525</v>
      </c>
      <c r="E23324" t="b">
        <v>0</v>
      </c>
      <c r="F23324" t="s">
        <v>11622</v>
      </c>
      <c r="L23324">
        <v>1</v>
      </c>
      <c r="M23324">
        <v>5</v>
      </c>
      <c r="N23324">
        <v>10</v>
      </c>
    </row>
    <row r="23325" spans="1:14">
      <c r="A23325" t="s">
        <v>38329</v>
      </c>
      <c r="B23325" t="s">
        <v>6742</v>
      </c>
      <c r="C23325" t="s">
        <v>26535</v>
      </c>
      <c r="D23325" t="s">
        <v>65526</v>
      </c>
      <c r="E23325" t="b">
        <v>0</v>
      </c>
      <c r="F23325" t="s">
        <v>11622</v>
      </c>
      <c r="L23325">
        <v>1</v>
      </c>
      <c r="M23325">
        <v>5</v>
      </c>
      <c r="N23325">
        <v>5</v>
      </c>
    </row>
    <row r="23326" spans="1:14">
      <c r="A23326" t="s">
        <v>23081</v>
      </c>
      <c r="B23326" t="s">
        <v>6742</v>
      </c>
      <c r="C23326" t="s">
        <v>26537</v>
      </c>
      <c r="D23326" t="s">
        <v>65527</v>
      </c>
      <c r="E23326" t="b">
        <v>0</v>
      </c>
      <c r="F23326" t="s">
        <v>11622</v>
      </c>
      <c r="L23326">
        <v>0</v>
      </c>
      <c r="M23326">
        <v>2</v>
      </c>
      <c r="N23326">
        <v>3</v>
      </c>
    </row>
    <row r="23327" spans="1:14">
      <c r="A23327" t="s">
        <v>50751</v>
      </c>
      <c r="B23327" t="s">
        <v>367</v>
      </c>
      <c r="C23327" t="s">
        <v>26543</v>
      </c>
      <c r="D23327" t="s">
        <v>65528</v>
      </c>
      <c r="E23327" t="b">
        <v>0</v>
      </c>
      <c r="F23327" t="s">
        <v>11622</v>
      </c>
      <c r="L23327">
        <v>1</v>
      </c>
      <c r="M23327">
        <v>3</v>
      </c>
      <c r="N23327">
        <v>9</v>
      </c>
    </row>
    <row r="23328" spans="1:14">
      <c r="A23328" t="s">
        <v>12169</v>
      </c>
      <c r="B23328" t="s">
        <v>11637</v>
      </c>
      <c r="C23328" t="s">
        <v>25430</v>
      </c>
      <c r="D23328" t="s">
        <v>65529</v>
      </c>
      <c r="E23328" t="b">
        <v>0</v>
      </c>
      <c r="F23328" t="s">
        <v>11622</v>
      </c>
      <c r="L23328">
        <v>0</v>
      </c>
      <c r="M23328">
        <v>4</v>
      </c>
      <c r="N23328">
        <v>16</v>
      </c>
    </row>
    <row r="23329" spans="1:14">
      <c r="A23329" t="s">
        <v>18293</v>
      </c>
      <c r="B23329" t="s">
        <v>11637</v>
      </c>
      <c r="C23329" t="s">
        <v>15874</v>
      </c>
      <c r="D23329" t="s">
        <v>65530</v>
      </c>
      <c r="E23329" t="b">
        <v>0</v>
      </c>
      <c r="F23329" t="s">
        <v>11622</v>
      </c>
      <c r="L23329">
        <v>0</v>
      </c>
      <c r="M23329">
        <v>4</v>
      </c>
      <c r="N23329">
        <v>5</v>
      </c>
    </row>
    <row r="23330" spans="1:14">
      <c r="A23330" t="s">
        <v>53160</v>
      </c>
      <c r="B23330" t="s">
        <v>11879</v>
      </c>
      <c r="C23330" t="s">
        <v>23176</v>
      </c>
      <c r="D23330" t="s">
        <v>65531</v>
      </c>
      <c r="E23330" t="b">
        <v>0</v>
      </c>
      <c r="F23330" t="s">
        <v>11622</v>
      </c>
      <c r="L23330">
        <v>0</v>
      </c>
      <c r="M23330">
        <v>2</v>
      </c>
      <c r="N23330">
        <v>0</v>
      </c>
    </row>
    <row r="23331" spans="1:14">
      <c r="A23331" t="s">
        <v>43229</v>
      </c>
      <c r="B23331" t="s">
        <v>6742</v>
      </c>
      <c r="C23331" t="s">
        <v>26552</v>
      </c>
      <c r="D23331" t="s">
        <v>65532</v>
      </c>
      <c r="E23331" t="b">
        <v>0</v>
      </c>
      <c r="F23331" t="s">
        <v>11622</v>
      </c>
      <c r="L23331">
        <v>2</v>
      </c>
      <c r="M23331">
        <v>4</v>
      </c>
      <c r="N23331">
        <v>10</v>
      </c>
    </row>
    <row r="23332" spans="1:14">
      <c r="A23332" t="s">
        <v>41468</v>
      </c>
      <c r="B23332" t="s">
        <v>6742</v>
      </c>
      <c r="C23332" t="s">
        <v>19706</v>
      </c>
      <c r="D23332" t="s">
        <v>65533</v>
      </c>
      <c r="E23332" t="b">
        <v>0</v>
      </c>
      <c r="F23332" t="s">
        <v>11622</v>
      </c>
      <c r="L23332">
        <v>2</v>
      </c>
      <c r="M23332">
        <v>4</v>
      </c>
      <c r="N23332">
        <v>0</v>
      </c>
    </row>
    <row r="23333" spans="1:14">
      <c r="A23333" t="s">
        <v>12304</v>
      </c>
      <c r="B23333" t="s">
        <v>6742</v>
      </c>
      <c r="C23333" t="s">
        <v>21873</v>
      </c>
      <c r="D23333" t="s">
        <v>65534</v>
      </c>
      <c r="E23333" t="b">
        <v>0</v>
      </c>
      <c r="F23333" t="s">
        <v>11622</v>
      </c>
      <c r="L23333">
        <v>0</v>
      </c>
      <c r="M23333">
        <v>6</v>
      </c>
      <c r="N23333">
        <v>0</v>
      </c>
    </row>
    <row r="23334" spans="1:14">
      <c r="A23334" t="s">
        <v>16093</v>
      </c>
      <c r="B23334" t="s">
        <v>6742</v>
      </c>
      <c r="C23334" t="s">
        <v>7140</v>
      </c>
      <c r="D23334" t="s">
        <v>65535</v>
      </c>
      <c r="E23334" t="b">
        <v>0</v>
      </c>
      <c r="F23334" t="s">
        <v>11622</v>
      </c>
      <c r="L23334">
        <v>6</v>
      </c>
      <c r="M23334">
        <v>10</v>
      </c>
      <c r="N23334">
        <v>0</v>
      </c>
    </row>
    <row r="23335" spans="1:14">
      <c r="A23335" t="s">
        <v>52965</v>
      </c>
      <c r="B23335" t="s">
        <v>6742</v>
      </c>
      <c r="C23335" t="s">
        <v>26066</v>
      </c>
      <c r="D23335" t="s">
        <v>65536</v>
      </c>
      <c r="E23335" t="b">
        <v>0</v>
      </c>
      <c r="F23335" t="s">
        <v>11622</v>
      </c>
      <c r="L23335">
        <v>6</v>
      </c>
      <c r="M23335">
        <v>11</v>
      </c>
      <c r="N23335">
        <v>11</v>
      </c>
    </row>
    <row r="23336" spans="1:14">
      <c r="A23336" t="s">
        <v>14900</v>
      </c>
      <c r="B23336" t="s">
        <v>11637</v>
      </c>
      <c r="C23336" t="s">
        <v>4893</v>
      </c>
      <c r="D23336" t="s">
        <v>65537</v>
      </c>
      <c r="E23336" t="b">
        <v>0</v>
      </c>
      <c r="F23336" t="s">
        <v>11622</v>
      </c>
      <c r="L23336">
        <v>13</v>
      </c>
      <c r="M23336">
        <v>28</v>
      </c>
      <c r="N23336">
        <v>44</v>
      </c>
    </row>
    <row r="23337" spans="1:14">
      <c r="A23337" t="s">
        <v>38840</v>
      </c>
      <c r="B23337" t="s">
        <v>6742</v>
      </c>
      <c r="C23337" t="s">
        <v>31864</v>
      </c>
      <c r="D23337" t="s">
        <v>65538</v>
      </c>
      <c r="E23337" t="b">
        <v>0</v>
      </c>
      <c r="F23337" t="s">
        <v>11622</v>
      </c>
      <c r="L23337">
        <v>2</v>
      </c>
      <c r="M23337">
        <v>4</v>
      </c>
      <c r="N23337">
        <v>0</v>
      </c>
    </row>
    <row r="23338" spans="1:14">
      <c r="A23338" t="s">
        <v>36478</v>
      </c>
      <c r="B23338" t="s">
        <v>6742</v>
      </c>
      <c r="C23338" t="s">
        <v>21870</v>
      </c>
      <c r="D23338" t="s">
        <v>65539</v>
      </c>
      <c r="E23338" t="b">
        <v>0</v>
      </c>
      <c r="F23338" t="s">
        <v>11622</v>
      </c>
      <c r="L23338">
        <v>1</v>
      </c>
      <c r="M23338">
        <v>4</v>
      </c>
      <c r="N23338">
        <v>9</v>
      </c>
    </row>
    <row r="23339" spans="1:14">
      <c r="A23339" t="s">
        <v>35935</v>
      </c>
      <c r="B23339" t="s">
        <v>6742</v>
      </c>
      <c r="C23339" t="s">
        <v>26557</v>
      </c>
      <c r="D23339" t="s">
        <v>65540</v>
      </c>
      <c r="E23339" t="b">
        <v>0</v>
      </c>
      <c r="F23339" t="s">
        <v>11622</v>
      </c>
      <c r="L23339">
        <v>8</v>
      </c>
      <c r="M23339">
        <v>17</v>
      </c>
      <c r="N23339">
        <v>27</v>
      </c>
    </row>
    <row r="23340" spans="1:14">
      <c r="A23340" t="s">
        <v>33940</v>
      </c>
      <c r="B23340" t="s">
        <v>6742</v>
      </c>
      <c r="C23340" t="s">
        <v>26557</v>
      </c>
      <c r="D23340" t="s">
        <v>65541</v>
      </c>
      <c r="E23340" t="b">
        <v>0</v>
      </c>
      <c r="F23340" t="s">
        <v>11622</v>
      </c>
      <c r="L23340">
        <v>8</v>
      </c>
      <c r="M23340">
        <v>17</v>
      </c>
      <c r="N23340">
        <v>23</v>
      </c>
    </row>
    <row r="23341" spans="1:14">
      <c r="A23341" t="s">
        <v>14806</v>
      </c>
      <c r="B23341" t="s">
        <v>367</v>
      </c>
      <c r="C23341" t="s">
        <v>26562</v>
      </c>
      <c r="D23341" t="s">
        <v>65542</v>
      </c>
      <c r="E23341" t="b">
        <v>0</v>
      </c>
      <c r="F23341" t="s">
        <v>11622</v>
      </c>
      <c r="L23341">
        <v>3</v>
      </c>
      <c r="M23341">
        <v>5</v>
      </c>
      <c r="N23341">
        <v>9</v>
      </c>
    </row>
    <row r="23342" spans="1:14">
      <c r="A23342" t="s">
        <v>43102</v>
      </c>
      <c r="B23342" t="s">
        <v>367</v>
      </c>
      <c r="C23342" t="s">
        <v>21875</v>
      </c>
      <c r="D23342" t="s">
        <v>65543</v>
      </c>
      <c r="E23342" t="b">
        <v>0</v>
      </c>
      <c r="F23342" t="s">
        <v>11622</v>
      </c>
      <c r="L23342">
        <v>13</v>
      </c>
      <c r="M23342">
        <v>18</v>
      </c>
      <c r="N23342">
        <v>17</v>
      </c>
    </row>
    <row r="23343" spans="1:14">
      <c r="A23343" t="s">
        <v>12716</v>
      </c>
      <c r="B23343" t="s">
        <v>367</v>
      </c>
      <c r="C23343" t="s">
        <v>21884</v>
      </c>
      <c r="D23343" t="s">
        <v>65544</v>
      </c>
      <c r="E23343" t="b">
        <v>0</v>
      </c>
      <c r="F23343" t="s">
        <v>11622</v>
      </c>
      <c r="L23343">
        <v>0</v>
      </c>
      <c r="M23343">
        <v>2</v>
      </c>
      <c r="N23343">
        <v>0</v>
      </c>
    </row>
    <row r="23344" spans="1:14">
      <c r="A23344" t="s">
        <v>29453</v>
      </c>
      <c r="B23344" t="s">
        <v>6742</v>
      </c>
      <c r="C23344" t="s">
        <v>26569</v>
      </c>
      <c r="D23344" t="s">
        <v>65545</v>
      </c>
      <c r="E23344" t="b">
        <v>0</v>
      </c>
      <c r="F23344" t="s">
        <v>11622</v>
      </c>
      <c r="L23344">
        <v>4</v>
      </c>
      <c r="M23344">
        <v>7</v>
      </c>
      <c r="N23344">
        <v>11</v>
      </c>
    </row>
    <row r="23345" spans="1:15">
      <c r="A23345" t="s">
        <v>36598</v>
      </c>
      <c r="B23345" t="s">
        <v>367</v>
      </c>
      <c r="C23345" t="s">
        <v>34169</v>
      </c>
      <c r="D23345" t="s">
        <v>65546</v>
      </c>
      <c r="E23345" t="b">
        <v>0</v>
      </c>
      <c r="F23345" t="s">
        <v>11622</v>
      </c>
      <c r="L23345">
        <v>0</v>
      </c>
      <c r="M23345">
        <v>4</v>
      </c>
      <c r="N23345">
        <v>28</v>
      </c>
    </row>
    <row r="23346" spans="1:15">
      <c r="A23346" t="s">
        <v>18745</v>
      </c>
      <c r="B23346" t="s">
        <v>367</v>
      </c>
      <c r="C23346" t="s">
        <v>65240</v>
      </c>
      <c r="D23346" t="s">
        <v>65547</v>
      </c>
      <c r="E23346" t="b">
        <v>0</v>
      </c>
      <c r="F23346" t="s">
        <v>11622</v>
      </c>
      <c r="L23346">
        <v>0</v>
      </c>
      <c r="M23346">
        <v>4</v>
      </c>
      <c r="N23346">
        <v>3</v>
      </c>
    </row>
    <row r="23347" spans="1:15">
      <c r="A23347" t="s">
        <v>36203</v>
      </c>
      <c r="B23347" t="s">
        <v>367</v>
      </c>
      <c r="C23347" t="s">
        <v>65240</v>
      </c>
      <c r="D23347" t="s">
        <v>65548</v>
      </c>
      <c r="E23347" t="b">
        <v>0</v>
      </c>
      <c r="F23347" t="s">
        <v>11622</v>
      </c>
      <c r="L23347">
        <v>0</v>
      </c>
      <c r="M23347">
        <v>4</v>
      </c>
      <c r="N23347">
        <v>6</v>
      </c>
    </row>
    <row r="23348" spans="1:15">
      <c r="A23348" t="s">
        <v>11657</v>
      </c>
      <c r="B23348" t="s">
        <v>367</v>
      </c>
      <c r="C23348" t="s">
        <v>21562</v>
      </c>
      <c r="D23348" t="s">
        <v>65549</v>
      </c>
      <c r="E23348" t="b">
        <v>0</v>
      </c>
      <c r="F23348" t="s">
        <v>11622</v>
      </c>
      <c r="L23348">
        <v>1</v>
      </c>
      <c r="M23348">
        <v>7</v>
      </c>
      <c r="N23348">
        <v>9</v>
      </c>
    </row>
    <row r="23349" spans="1:15">
      <c r="A23349" t="s">
        <v>27810</v>
      </c>
      <c r="B23349" t="s">
        <v>11637</v>
      </c>
      <c r="C23349" t="s">
        <v>21149</v>
      </c>
      <c r="D23349" t="s">
        <v>65550</v>
      </c>
      <c r="E23349" t="b">
        <v>0</v>
      </c>
      <c r="F23349" t="s">
        <v>11622</v>
      </c>
      <c r="L23349">
        <v>1</v>
      </c>
      <c r="M23349">
        <v>5</v>
      </c>
      <c r="N23349">
        <v>0</v>
      </c>
    </row>
    <row r="23350" spans="1:15">
      <c r="A23350" t="s">
        <v>41456</v>
      </c>
      <c r="B23350" t="s">
        <v>6742</v>
      </c>
      <c r="C23350" t="s">
        <v>1865</v>
      </c>
      <c r="D23350" t="s">
        <v>65551</v>
      </c>
      <c r="E23350" t="b">
        <v>0</v>
      </c>
      <c r="F23350" t="s">
        <v>11622</v>
      </c>
      <c r="L23350">
        <v>0</v>
      </c>
      <c r="M23350">
        <v>2</v>
      </c>
      <c r="N23350">
        <v>6</v>
      </c>
    </row>
    <row r="23351" spans="1:15">
      <c r="A23351" t="s">
        <v>41100</v>
      </c>
      <c r="B23351" t="s">
        <v>367</v>
      </c>
      <c r="C23351" t="s">
        <v>26206</v>
      </c>
      <c r="D23351" t="s">
        <v>65552</v>
      </c>
      <c r="E23351" t="b">
        <v>0</v>
      </c>
      <c r="F23351" t="s">
        <v>11622</v>
      </c>
      <c r="L23351">
        <v>0</v>
      </c>
      <c r="M23351">
        <v>2</v>
      </c>
      <c r="N23351">
        <v>3</v>
      </c>
    </row>
    <row r="23352" spans="1:15">
      <c r="A23352" t="s">
        <v>33160</v>
      </c>
      <c r="B23352" t="s">
        <v>11637</v>
      </c>
      <c r="C23352" t="s">
        <v>1379</v>
      </c>
      <c r="D23352" t="s">
        <v>65553</v>
      </c>
      <c r="E23352" t="b">
        <v>0</v>
      </c>
      <c r="F23352" t="s">
        <v>11622</v>
      </c>
      <c r="L23352">
        <v>3</v>
      </c>
      <c r="M23352">
        <v>5</v>
      </c>
      <c r="N23352">
        <v>1</v>
      </c>
    </row>
    <row r="23353" spans="1:15">
      <c r="A23353" t="s">
        <v>57848</v>
      </c>
      <c r="B23353" t="s">
        <v>367</v>
      </c>
      <c r="C23353" t="s">
        <v>50199</v>
      </c>
      <c r="D23353" t="s">
        <v>65554</v>
      </c>
      <c r="E23353" t="b">
        <v>0</v>
      </c>
      <c r="F23353" t="s">
        <v>11622</v>
      </c>
      <c r="L23353">
        <v>1</v>
      </c>
      <c r="M23353">
        <v>3</v>
      </c>
      <c r="N23353">
        <v>2</v>
      </c>
    </row>
    <row r="23354" spans="1:15">
      <c r="A23354" t="s">
        <v>63672</v>
      </c>
      <c r="B23354" t="s">
        <v>367</v>
      </c>
      <c r="C23354" t="s">
        <v>8733</v>
      </c>
      <c r="D23354" t="s">
        <v>65555</v>
      </c>
      <c r="E23354" t="b">
        <v>0</v>
      </c>
      <c r="F23354" t="s">
        <v>11622</v>
      </c>
      <c r="L23354">
        <v>0</v>
      </c>
      <c r="M23354">
        <v>2</v>
      </c>
      <c r="N23354">
        <v>2</v>
      </c>
    </row>
    <row r="23355" spans="1:15">
      <c r="A23355" t="s">
        <v>25482</v>
      </c>
      <c r="B23355" t="s">
        <v>367</v>
      </c>
      <c r="C23355" t="s">
        <v>26579</v>
      </c>
      <c r="D23355" t="s">
        <v>65556</v>
      </c>
      <c r="E23355" t="b">
        <v>0</v>
      </c>
      <c r="F23355" t="s">
        <v>11622</v>
      </c>
      <c r="L23355">
        <v>2</v>
      </c>
      <c r="M23355">
        <v>4</v>
      </c>
      <c r="N23355">
        <v>2</v>
      </c>
    </row>
    <row r="23356" spans="1:15">
      <c r="A23356" t="s">
        <v>36197</v>
      </c>
      <c r="B23356" t="s">
        <v>6742</v>
      </c>
      <c r="C23356" t="s">
        <v>21901</v>
      </c>
      <c r="D23356" t="s">
        <v>65557</v>
      </c>
      <c r="E23356" t="b">
        <v>0</v>
      </c>
      <c r="F23356" t="s">
        <v>11622</v>
      </c>
      <c r="L23356">
        <v>0</v>
      </c>
      <c r="M23356">
        <v>4</v>
      </c>
      <c r="N23356">
        <v>0</v>
      </c>
    </row>
    <row r="23357" spans="1:15">
      <c r="A23357" t="s">
        <v>17416</v>
      </c>
      <c r="B23357" t="s">
        <v>11607</v>
      </c>
      <c r="C23357" t="s">
        <v>31313</v>
      </c>
      <c r="D23357" t="s">
        <v>65558</v>
      </c>
      <c r="E23357" t="b">
        <v>0</v>
      </c>
      <c r="F23357" t="s">
        <v>11622</v>
      </c>
      <c r="L23357">
        <v>0</v>
      </c>
      <c r="M23357">
        <v>3</v>
      </c>
      <c r="N23357">
        <v>3</v>
      </c>
    </row>
    <row r="23358" spans="1:15">
      <c r="A23358" t="s">
        <v>52086</v>
      </c>
      <c r="B23358" t="s">
        <v>11637</v>
      </c>
      <c r="C23358" t="s">
        <v>19889</v>
      </c>
      <c r="D23358" t="s">
        <v>65559</v>
      </c>
      <c r="E23358" t="b">
        <v>0</v>
      </c>
      <c r="F23358" t="s">
        <v>11622</v>
      </c>
      <c r="L23358">
        <v>1</v>
      </c>
      <c r="M23358">
        <v>3</v>
      </c>
      <c r="N23358">
        <v>2</v>
      </c>
    </row>
    <row r="23359" spans="1:15">
      <c r="A23359" t="s">
        <v>65560</v>
      </c>
      <c r="B23359" t="s">
        <v>6742</v>
      </c>
      <c r="C23359" t="s">
        <v>36197</v>
      </c>
      <c r="D23359" t="s">
        <v>65561</v>
      </c>
      <c r="E23359" t="b">
        <v>0</v>
      </c>
      <c r="F23359" t="s">
        <v>11624</v>
      </c>
      <c r="G23359">
        <v>0.08</v>
      </c>
      <c r="H23359">
        <v>33.99</v>
      </c>
      <c r="L23359">
        <v>0</v>
      </c>
      <c r="M23359">
        <v>0</v>
      </c>
      <c r="N23359">
        <v>0</v>
      </c>
      <c r="O23359" t="s">
        <v>22848</v>
      </c>
    </row>
    <row r="23360" spans="1:15">
      <c r="A23360" t="s">
        <v>42078</v>
      </c>
      <c r="B23360" t="s">
        <v>367</v>
      </c>
      <c r="C23360" t="s">
        <v>26600</v>
      </c>
      <c r="D23360" t="s">
        <v>65562</v>
      </c>
      <c r="E23360" t="b">
        <v>0</v>
      </c>
      <c r="F23360" t="s">
        <v>11622</v>
      </c>
      <c r="L23360">
        <v>1</v>
      </c>
      <c r="M23360">
        <v>3</v>
      </c>
      <c r="N23360">
        <v>2</v>
      </c>
    </row>
    <row r="23361" spans="1:15">
      <c r="A23361" t="s">
        <v>65563</v>
      </c>
      <c r="B23361" t="s">
        <v>11627</v>
      </c>
      <c r="C23361" t="s">
        <v>11627</v>
      </c>
      <c r="D23361" t="s">
        <v>65564</v>
      </c>
      <c r="E23361" t="b">
        <v>1</v>
      </c>
      <c r="F23361" t="s">
        <v>11624</v>
      </c>
      <c r="I23361" t="s">
        <v>65565</v>
      </c>
      <c r="L23361">
        <v>0</v>
      </c>
      <c r="M23361">
        <v>0</v>
      </c>
      <c r="N23361">
        <v>0</v>
      </c>
    </row>
    <row r="23362" spans="1:15">
      <c r="A23362" t="s">
        <v>65566</v>
      </c>
      <c r="B23362" t="s">
        <v>13450</v>
      </c>
      <c r="C23362" t="s">
        <v>27418</v>
      </c>
      <c r="D23362" t="s">
        <v>65567</v>
      </c>
      <c r="E23362" t="b">
        <v>0</v>
      </c>
      <c r="F23362" t="s">
        <v>11624</v>
      </c>
      <c r="L23362">
        <v>0</v>
      </c>
      <c r="M23362">
        <v>0</v>
      </c>
      <c r="N23362">
        <v>0</v>
      </c>
      <c r="O23362" t="s">
        <v>62457</v>
      </c>
    </row>
    <row r="23363" spans="1:15">
      <c r="A23363" t="s">
        <v>22830</v>
      </c>
      <c r="B23363" t="s">
        <v>5911</v>
      </c>
      <c r="C23363" t="s">
        <v>23410</v>
      </c>
      <c r="D23363" t="s">
        <v>65568</v>
      </c>
      <c r="E23363" t="b">
        <v>0</v>
      </c>
      <c r="F23363" t="s">
        <v>11622</v>
      </c>
      <c r="L23363">
        <v>9</v>
      </c>
      <c r="M23363">
        <v>13</v>
      </c>
      <c r="N23363">
        <v>7</v>
      </c>
    </row>
    <row r="23364" spans="1:15">
      <c r="A23364" t="s">
        <v>49128</v>
      </c>
      <c r="B23364" t="s">
        <v>12260</v>
      </c>
      <c r="C23364" t="s">
        <v>26606</v>
      </c>
      <c r="D23364" t="s">
        <v>65569</v>
      </c>
      <c r="E23364" t="b">
        <v>0</v>
      </c>
      <c r="F23364" t="s">
        <v>11622</v>
      </c>
      <c r="L23364">
        <v>1</v>
      </c>
      <c r="M23364">
        <v>3</v>
      </c>
      <c r="N23364">
        <v>5</v>
      </c>
    </row>
    <row r="23365" spans="1:15">
      <c r="A23365" t="s">
        <v>31501</v>
      </c>
      <c r="B23365" t="s">
        <v>11794</v>
      </c>
      <c r="C23365" t="s">
        <v>32466</v>
      </c>
      <c r="D23365" t="s">
        <v>65570</v>
      </c>
      <c r="E23365" t="b">
        <v>0</v>
      </c>
      <c r="F23365" t="s">
        <v>11622</v>
      </c>
      <c r="L23365">
        <v>1</v>
      </c>
      <c r="M23365">
        <v>5</v>
      </c>
      <c r="N23365">
        <v>0</v>
      </c>
    </row>
    <row r="23366" spans="1:15">
      <c r="A23366" t="s">
        <v>36584</v>
      </c>
      <c r="B23366" t="s">
        <v>11644</v>
      </c>
      <c r="C23366" t="s">
        <v>26611</v>
      </c>
      <c r="D23366" t="s">
        <v>65571</v>
      </c>
      <c r="E23366" t="b">
        <v>0</v>
      </c>
      <c r="F23366" t="s">
        <v>11622</v>
      </c>
      <c r="L23366">
        <v>3</v>
      </c>
      <c r="M23366">
        <v>7</v>
      </c>
      <c r="N23366">
        <v>3</v>
      </c>
    </row>
    <row r="23367" spans="1:15">
      <c r="A23367" t="s">
        <v>34902</v>
      </c>
      <c r="B23367" t="s">
        <v>6742</v>
      </c>
      <c r="C23367" t="s">
        <v>39686</v>
      </c>
      <c r="D23367" t="s">
        <v>65572</v>
      </c>
      <c r="E23367" t="b">
        <v>0</v>
      </c>
      <c r="F23367" t="s">
        <v>11622</v>
      </c>
      <c r="L23367">
        <v>0</v>
      </c>
      <c r="M23367">
        <v>2</v>
      </c>
      <c r="N23367">
        <v>6</v>
      </c>
    </row>
    <row r="23368" spans="1:15">
      <c r="A23368" t="s">
        <v>57854</v>
      </c>
      <c r="B23368" t="s">
        <v>12438</v>
      </c>
      <c r="C23368" t="s">
        <v>19916</v>
      </c>
      <c r="D23368" t="s">
        <v>65573</v>
      </c>
      <c r="E23368" t="b">
        <v>0</v>
      </c>
      <c r="F23368" t="s">
        <v>11622</v>
      </c>
      <c r="L23368">
        <v>0</v>
      </c>
      <c r="M23368">
        <v>2</v>
      </c>
      <c r="N23368">
        <v>4</v>
      </c>
    </row>
    <row r="23369" spans="1:15">
      <c r="A23369" t="s">
        <v>21961</v>
      </c>
      <c r="B23369" t="s">
        <v>367</v>
      </c>
      <c r="C23369" t="s">
        <v>26564</v>
      </c>
      <c r="D23369" t="s">
        <v>65574</v>
      </c>
      <c r="E23369" t="b">
        <v>0</v>
      </c>
      <c r="F23369" t="s">
        <v>11622</v>
      </c>
      <c r="L23369">
        <v>8</v>
      </c>
      <c r="M23369">
        <v>18</v>
      </c>
      <c r="N23369">
        <v>5</v>
      </c>
    </row>
    <row r="23370" spans="1:15">
      <c r="A23370" t="s">
        <v>17024</v>
      </c>
      <c r="B23370" t="s">
        <v>17023</v>
      </c>
      <c r="C23370" t="s">
        <v>17023</v>
      </c>
      <c r="D23370" t="s">
        <v>65575</v>
      </c>
      <c r="E23370" t="b">
        <v>0</v>
      </c>
      <c r="F23370" t="s">
        <v>11622</v>
      </c>
      <c r="L23370">
        <v>2</v>
      </c>
      <c r="M23370">
        <v>5</v>
      </c>
      <c r="N23370">
        <v>2</v>
      </c>
    </row>
    <row r="23371" spans="1:15">
      <c r="A23371" t="s">
        <v>20288</v>
      </c>
      <c r="B23371" t="s">
        <v>11644</v>
      </c>
      <c r="C23371" t="s">
        <v>53826</v>
      </c>
      <c r="D23371" t="s">
        <v>65576</v>
      </c>
      <c r="E23371" t="b">
        <v>0</v>
      </c>
      <c r="F23371" t="s">
        <v>11624</v>
      </c>
      <c r="L23371">
        <v>0</v>
      </c>
      <c r="M23371">
        <v>0</v>
      </c>
      <c r="N23371">
        <v>3</v>
      </c>
      <c r="O23371" t="s">
        <v>11630</v>
      </c>
    </row>
    <row r="23372" spans="1:15">
      <c r="A23372" t="s">
        <v>16825</v>
      </c>
      <c r="B23372" t="s">
        <v>6742</v>
      </c>
      <c r="C23372" t="s">
        <v>23415</v>
      </c>
      <c r="D23372" t="s">
        <v>65577</v>
      </c>
      <c r="E23372" t="b">
        <v>0</v>
      </c>
      <c r="F23372" t="s">
        <v>11622</v>
      </c>
      <c r="L23372">
        <v>8</v>
      </c>
      <c r="M23372">
        <v>11</v>
      </c>
      <c r="N23372">
        <v>3</v>
      </c>
    </row>
    <row r="23373" spans="1:15">
      <c r="A23373" t="s">
        <v>40703</v>
      </c>
      <c r="B23373" t="s">
        <v>367</v>
      </c>
      <c r="C23373" t="s">
        <v>40991</v>
      </c>
      <c r="D23373" t="s">
        <v>65578</v>
      </c>
      <c r="E23373" t="b">
        <v>0</v>
      </c>
      <c r="F23373" t="s">
        <v>11622</v>
      </c>
      <c r="L23373">
        <v>2</v>
      </c>
      <c r="M23373">
        <v>4</v>
      </c>
      <c r="N23373">
        <v>20</v>
      </c>
    </row>
    <row r="23374" spans="1:15">
      <c r="A23374" t="s">
        <v>55649</v>
      </c>
      <c r="B23374" t="s">
        <v>11644</v>
      </c>
      <c r="C23374" t="s">
        <v>23045</v>
      </c>
      <c r="D23374" t="s">
        <v>65579</v>
      </c>
      <c r="E23374" t="b">
        <v>0</v>
      </c>
      <c r="F23374" t="s">
        <v>11610</v>
      </c>
      <c r="L23374">
        <v>0</v>
      </c>
      <c r="M23374">
        <v>0</v>
      </c>
      <c r="N23374">
        <v>3</v>
      </c>
    </row>
    <row r="23375" spans="1:15">
      <c r="A23375" t="s">
        <v>18988</v>
      </c>
      <c r="B23375" t="s">
        <v>13276</v>
      </c>
      <c r="C23375" t="s">
        <v>26634</v>
      </c>
      <c r="D23375" t="s">
        <v>65580</v>
      </c>
      <c r="E23375" t="b">
        <v>0</v>
      </c>
      <c r="F23375" t="s">
        <v>11610</v>
      </c>
      <c r="L23375">
        <v>0</v>
      </c>
      <c r="M23375">
        <v>0</v>
      </c>
      <c r="N23375">
        <v>11</v>
      </c>
    </row>
    <row r="23376" spans="1:15">
      <c r="A23376" t="s">
        <v>65581</v>
      </c>
      <c r="B23376" t="s">
        <v>13276</v>
      </c>
      <c r="C23376" t="s">
        <v>18988</v>
      </c>
      <c r="D23376" t="s">
        <v>65582</v>
      </c>
      <c r="E23376" t="b">
        <v>0</v>
      </c>
      <c r="F23376" t="s">
        <v>11610</v>
      </c>
      <c r="L23376">
        <v>0</v>
      </c>
      <c r="M23376">
        <v>0</v>
      </c>
      <c r="N23376">
        <v>0</v>
      </c>
    </row>
    <row r="23377" spans="1:14">
      <c r="A23377" t="s">
        <v>37693</v>
      </c>
      <c r="B23377" t="s">
        <v>26637</v>
      </c>
      <c r="C23377" t="s">
        <v>26637</v>
      </c>
      <c r="D23377" t="s">
        <v>65583</v>
      </c>
      <c r="E23377" t="b">
        <v>0</v>
      </c>
      <c r="F23377" t="s">
        <v>11610</v>
      </c>
      <c r="L23377">
        <v>0</v>
      </c>
      <c r="M23377">
        <v>0</v>
      </c>
      <c r="N23377">
        <v>2</v>
      </c>
    </row>
    <row r="23378" spans="1:14">
      <c r="A23378" t="s">
        <v>65584</v>
      </c>
      <c r="B23378" t="s">
        <v>11637</v>
      </c>
      <c r="C23378" t="s">
        <v>21077</v>
      </c>
      <c r="D23378" t="s">
        <v>65585</v>
      </c>
      <c r="E23378" t="b">
        <v>0</v>
      </c>
      <c r="F23378" t="s">
        <v>11610</v>
      </c>
      <c r="L23378">
        <v>0</v>
      </c>
      <c r="M23378">
        <v>0</v>
      </c>
      <c r="N23378">
        <v>0</v>
      </c>
    </row>
    <row r="23379" spans="1:14">
      <c r="A23379" t="s">
        <v>65586</v>
      </c>
      <c r="B23379" t="s">
        <v>14953</v>
      </c>
      <c r="C23379" t="s">
        <v>14953</v>
      </c>
      <c r="D23379" t="s">
        <v>65587</v>
      </c>
      <c r="E23379" t="b">
        <v>0</v>
      </c>
      <c r="F23379" t="s">
        <v>11610</v>
      </c>
      <c r="L23379">
        <v>0</v>
      </c>
      <c r="M23379">
        <v>0</v>
      </c>
      <c r="N23379">
        <v>0</v>
      </c>
    </row>
    <row r="23380" spans="1:14">
      <c r="A23380" t="s">
        <v>19563</v>
      </c>
      <c r="B23380" t="s">
        <v>11607</v>
      </c>
      <c r="C23380" t="s">
        <v>3259</v>
      </c>
      <c r="D23380" t="s">
        <v>65588</v>
      </c>
      <c r="E23380" t="b">
        <v>0</v>
      </c>
      <c r="F23380" t="s">
        <v>11610</v>
      </c>
      <c r="L23380">
        <v>0</v>
      </c>
      <c r="M23380">
        <v>0</v>
      </c>
      <c r="N23380">
        <v>2</v>
      </c>
    </row>
    <row r="23381" spans="1:14">
      <c r="A23381" t="s">
        <v>48400</v>
      </c>
      <c r="B23381" t="s">
        <v>331</v>
      </c>
      <c r="C23381" t="s">
        <v>25916</v>
      </c>
      <c r="D23381" t="s">
        <v>65589</v>
      </c>
      <c r="E23381" t="b">
        <v>0</v>
      </c>
      <c r="F23381" t="s">
        <v>11610</v>
      </c>
      <c r="L23381">
        <v>0</v>
      </c>
      <c r="M23381">
        <v>0</v>
      </c>
      <c r="N23381">
        <v>4</v>
      </c>
    </row>
    <row r="23382" spans="1:14">
      <c r="A23382" t="s">
        <v>65590</v>
      </c>
      <c r="B23382" t="s">
        <v>12260</v>
      </c>
      <c r="C23382" t="s">
        <v>3373</v>
      </c>
      <c r="D23382" t="s">
        <v>65591</v>
      </c>
      <c r="E23382" t="b">
        <v>0</v>
      </c>
      <c r="F23382" t="s">
        <v>11610</v>
      </c>
      <c r="L23382">
        <v>0</v>
      </c>
      <c r="M23382">
        <v>0</v>
      </c>
      <c r="N23382">
        <v>0</v>
      </c>
    </row>
    <row r="23383" spans="1:14">
      <c r="A23383" t="s">
        <v>43795</v>
      </c>
      <c r="B23383" t="s">
        <v>11615</v>
      </c>
      <c r="C23383" t="s">
        <v>26664</v>
      </c>
      <c r="D23383" t="s">
        <v>65592</v>
      </c>
      <c r="E23383" t="b">
        <v>0</v>
      </c>
      <c r="F23383" t="s">
        <v>11610</v>
      </c>
      <c r="L23383">
        <v>0</v>
      </c>
      <c r="M23383">
        <v>0</v>
      </c>
      <c r="N23383">
        <v>2</v>
      </c>
    </row>
    <row r="23384" spans="1:14">
      <c r="A23384" t="s">
        <v>19263</v>
      </c>
      <c r="B23384" t="s">
        <v>11981</v>
      </c>
      <c r="C23384" t="s">
        <v>13456</v>
      </c>
      <c r="D23384" t="s">
        <v>65593</v>
      </c>
      <c r="E23384" t="b">
        <v>0</v>
      </c>
      <c r="F23384" t="s">
        <v>11622</v>
      </c>
      <c r="L23384">
        <v>1</v>
      </c>
      <c r="M23384">
        <v>5</v>
      </c>
      <c r="N23384">
        <v>0</v>
      </c>
    </row>
    <row r="23385" spans="1:14">
      <c r="A23385" t="s">
        <v>32381</v>
      </c>
      <c r="B23385" t="s">
        <v>12686</v>
      </c>
      <c r="C23385" t="s">
        <v>14581</v>
      </c>
      <c r="D23385" t="s">
        <v>65594</v>
      </c>
      <c r="E23385" t="b">
        <v>0</v>
      </c>
      <c r="F23385" t="s">
        <v>11610</v>
      </c>
      <c r="L23385">
        <v>0</v>
      </c>
      <c r="M23385">
        <v>0</v>
      </c>
      <c r="N23385">
        <v>3</v>
      </c>
    </row>
    <row r="23386" spans="1:14">
      <c r="A23386" t="s">
        <v>49173</v>
      </c>
      <c r="B23386" t="s">
        <v>11637</v>
      </c>
      <c r="C23386" t="s">
        <v>2354</v>
      </c>
      <c r="D23386" t="s">
        <v>65595</v>
      </c>
      <c r="E23386" t="b">
        <v>0</v>
      </c>
      <c r="F23386" t="s">
        <v>11610</v>
      </c>
      <c r="L23386">
        <v>0</v>
      </c>
      <c r="M23386">
        <v>0</v>
      </c>
      <c r="N23386">
        <v>4</v>
      </c>
    </row>
    <row r="23387" spans="1:14">
      <c r="A23387" t="s">
        <v>65596</v>
      </c>
      <c r="B23387" t="s">
        <v>11637</v>
      </c>
      <c r="C23387" t="s">
        <v>16328</v>
      </c>
      <c r="D23387" t="s">
        <v>65597</v>
      </c>
      <c r="E23387" t="b">
        <v>0</v>
      </c>
      <c r="F23387" t="s">
        <v>11610</v>
      </c>
      <c r="L23387">
        <v>0</v>
      </c>
      <c r="M23387">
        <v>0</v>
      </c>
      <c r="N23387">
        <v>0</v>
      </c>
    </row>
    <row r="23388" spans="1:14">
      <c r="A23388" t="s">
        <v>65598</v>
      </c>
      <c r="B23388" t="s">
        <v>11637</v>
      </c>
      <c r="C23388" t="s">
        <v>22009</v>
      </c>
      <c r="D23388" t="s">
        <v>65599</v>
      </c>
      <c r="E23388" t="b">
        <v>0</v>
      </c>
      <c r="F23388" t="s">
        <v>11610</v>
      </c>
      <c r="L23388">
        <v>0</v>
      </c>
      <c r="M23388">
        <v>0</v>
      </c>
      <c r="N23388">
        <v>0</v>
      </c>
    </row>
    <row r="23389" spans="1:14">
      <c r="A23389" t="s">
        <v>41321</v>
      </c>
      <c r="B23389" t="s">
        <v>11637</v>
      </c>
      <c r="C23389" t="s">
        <v>26683</v>
      </c>
      <c r="D23389" t="s">
        <v>65600</v>
      </c>
      <c r="E23389" t="b">
        <v>0</v>
      </c>
      <c r="F23389" t="s">
        <v>11610</v>
      </c>
      <c r="L23389">
        <v>0</v>
      </c>
      <c r="M23389">
        <v>0</v>
      </c>
      <c r="N23389">
        <v>6</v>
      </c>
    </row>
    <row r="23390" spans="1:14">
      <c r="A23390" t="s">
        <v>65601</v>
      </c>
      <c r="B23390" t="s">
        <v>11637</v>
      </c>
      <c r="C23390" t="s">
        <v>26682</v>
      </c>
      <c r="D23390" t="s">
        <v>65602</v>
      </c>
      <c r="E23390" t="b">
        <v>0</v>
      </c>
      <c r="F23390" t="s">
        <v>11610</v>
      </c>
      <c r="L23390">
        <v>0</v>
      </c>
      <c r="M23390">
        <v>0</v>
      </c>
      <c r="N23390">
        <v>0</v>
      </c>
    </row>
    <row r="23391" spans="1:14">
      <c r="A23391" t="s">
        <v>29572</v>
      </c>
      <c r="B23391" t="s">
        <v>11637</v>
      </c>
      <c r="C23391" t="s">
        <v>26686</v>
      </c>
      <c r="D23391" t="s">
        <v>65603</v>
      </c>
      <c r="E23391" t="b">
        <v>0</v>
      </c>
      <c r="F23391" t="s">
        <v>11610</v>
      </c>
      <c r="L23391">
        <v>0</v>
      </c>
      <c r="M23391">
        <v>0</v>
      </c>
      <c r="N23391">
        <v>3</v>
      </c>
    </row>
    <row r="23392" spans="1:14">
      <c r="A23392" t="s">
        <v>65604</v>
      </c>
      <c r="B23392" t="s">
        <v>11637</v>
      </c>
      <c r="C23392" t="s">
        <v>22012</v>
      </c>
      <c r="D23392" t="s">
        <v>65605</v>
      </c>
      <c r="E23392" t="b">
        <v>0</v>
      </c>
      <c r="F23392" t="s">
        <v>11610</v>
      </c>
      <c r="L23392">
        <v>0</v>
      </c>
      <c r="M23392">
        <v>0</v>
      </c>
      <c r="N23392">
        <v>0</v>
      </c>
    </row>
    <row r="23393" spans="1:14">
      <c r="A23393" t="s">
        <v>65606</v>
      </c>
      <c r="B23393" t="s">
        <v>11637</v>
      </c>
      <c r="C23393" t="s">
        <v>20988</v>
      </c>
      <c r="D23393" t="s">
        <v>65607</v>
      </c>
      <c r="E23393" t="b">
        <v>0</v>
      </c>
      <c r="F23393" t="s">
        <v>11610</v>
      </c>
      <c r="L23393">
        <v>0</v>
      </c>
      <c r="M23393">
        <v>0</v>
      </c>
      <c r="N23393">
        <v>0</v>
      </c>
    </row>
    <row r="23394" spans="1:14">
      <c r="A23394" t="s">
        <v>65608</v>
      </c>
      <c r="B23394" t="s">
        <v>11637</v>
      </c>
      <c r="C23394" t="s">
        <v>28948</v>
      </c>
      <c r="D23394" t="s">
        <v>65609</v>
      </c>
      <c r="E23394" t="b">
        <v>0</v>
      </c>
      <c r="F23394" t="s">
        <v>11610</v>
      </c>
      <c r="L23394">
        <v>0</v>
      </c>
      <c r="M23394">
        <v>0</v>
      </c>
      <c r="N23394">
        <v>0</v>
      </c>
    </row>
    <row r="23395" spans="1:14">
      <c r="A23395" t="s">
        <v>65610</v>
      </c>
      <c r="B23395" t="s">
        <v>9071</v>
      </c>
      <c r="C23395" t="s">
        <v>17677</v>
      </c>
      <c r="D23395" t="s">
        <v>65611</v>
      </c>
      <c r="E23395" t="b">
        <v>0</v>
      </c>
      <c r="F23395" t="s">
        <v>11610</v>
      </c>
      <c r="L23395">
        <v>0</v>
      </c>
      <c r="M23395">
        <v>0</v>
      </c>
      <c r="N23395">
        <v>0</v>
      </c>
    </row>
    <row r="23396" spans="1:14">
      <c r="A23396" t="s">
        <v>65612</v>
      </c>
      <c r="B23396" t="s">
        <v>9071</v>
      </c>
      <c r="C23396" t="s">
        <v>26697</v>
      </c>
      <c r="D23396" t="s">
        <v>65613</v>
      </c>
      <c r="E23396" t="b">
        <v>0</v>
      </c>
      <c r="F23396" t="s">
        <v>11610</v>
      </c>
      <c r="L23396">
        <v>0</v>
      </c>
      <c r="M23396">
        <v>0</v>
      </c>
      <c r="N23396">
        <v>0</v>
      </c>
    </row>
    <row r="23397" spans="1:14">
      <c r="A23397" t="s">
        <v>65614</v>
      </c>
      <c r="B23397" t="s">
        <v>11637</v>
      </c>
      <c r="C23397" t="s">
        <v>40437</v>
      </c>
      <c r="D23397" t="s">
        <v>65615</v>
      </c>
      <c r="E23397" t="b">
        <v>0</v>
      </c>
      <c r="F23397" t="s">
        <v>11610</v>
      </c>
      <c r="L23397">
        <v>0</v>
      </c>
      <c r="M23397">
        <v>0</v>
      </c>
      <c r="N23397">
        <v>0</v>
      </c>
    </row>
    <row r="23398" spans="1:14">
      <c r="A23398" t="s">
        <v>39284</v>
      </c>
      <c r="B23398" t="s">
        <v>11637</v>
      </c>
      <c r="C23398" t="s">
        <v>22018</v>
      </c>
      <c r="D23398" t="s">
        <v>65616</v>
      </c>
      <c r="E23398" t="b">
        <v>0</v>
      </c>
      <c r="F23398" t="s">
        <v>11610</v>
      </c>
      <c r="L23398">
        <v>0</v>
      </c>
      <c r="M23398">
        <v>0</v>
      </c>
      <c r="N23398">
        <v>2</v>
      </c>
    </row>
    <row r="23399" spans="1:14">
      <c r="A23399" t="s">
        <v>22295</v>
      </c>
      <c r="B23399" t="s">
        <v>11637</v>
      </c>
      <c r="C23399" t="s">
        <v>26702</v>
      </c>
      <c r="D23399" t="s">
        <v>65617</v>
      </c>
      <c r="E23399" t="b">
        <v>0</v>
      </c>
      <c r="F23399" t="s">
        <v>11610</v>
      </c>
      <c r="L23399">
        <v>0</v>
      </c>
      <c r="M23399">
        <v>0</v>
      </c>
      <c r="N23399">
        <v>6</v>
      </c>
    </row>
    <row r="23400" spans="1:14">
      <c r="A23400" t="s">
        <v>60955</v>
      </c>
      <c r="B23400" t="s">
        <v>11637</v>
      </c>
      <c r="C23400" t="s">
        <v>31175</v>
      </c>
      <c r="D23400" t="s">
        <v>65618</v>
      </c>
      <c r="E23400" t="b">
        <v>0</v>
      </c>
      <c r="F23400" t="s">
        <v>11622</v>
      </c>
      <c r="L23400">
        <v>0</v>
      </c>
      <c r="M23400">
        <v>2</v>
      </c>
      <c r="N23400">
        <v>5</v>
      </c>
    </row>
    <row r="23401" spans="1:14">
      <c r="A23401" t="s">
        <v>65619</v>
      </c>
      <c r="B23401" t="s">
        <v>11637</v>
      </c>
      <c r="C23401" t="s">
        <v>51375</v>
      </c>
      <c r="D23401" t="s">
        <v>65620</v>
      </c>
      <c r="E23401" t="b">
        <v>0</v>
      </c>
      <c r="F23401" t="s">
        <v>11610</v>
      </c>
      <c r="L23401">
        <v>0</v>
      </c>
      <c r="M23401">
        <v>0</v>
      </c>
      <c r="N23401">
        <v>0</v>
      </c>
    </row>
    <row r="23402" spans="1:14">
      <c r="A23402" t="s">
        <v>65621</v>
      </c>
      <c r="B23402" t="s">
        <v>28619</v>
      </c>
      <c r="C23402" t="s">
        <v>28618</v>
      </c>
      <c r="D23402" t="s">
        <v>65622</v>
      </c>
      <c r="E23402" t="b">
        <v>0</v>
      </c>
      <c r="F23402" t="s">
        <v>11610</v>
      </c>
      <c r="L23402">
        <v>0</v>
      </c>
      <c r="M23402">
        <v>0</v>
      </c>
      <c r="N23402">
        <v>0</v>
      </c>
    </row>
    <row r="23403" spans="1:14">
      <c r="A23403" t="s">
        <v>65623</v>
      </c>
      <c r="B23403" t="s">
        <v>11644</v>
      </c>
      <c r="C23403" t="s">
        <v>24871</v>
      </c>
      <c r="D23403" t="s">
        <v>65624</v>
      </c>
      <c r="E23403" t="b">
        <v>0</v>
      </c>
      <c r="F23403" t="s">
        <v>11610</v>
      </c>
      <c r="L23403">
        <v>0</v>
      </c>
      <c r="M23403">
        <v>0</v>
      </c>
      <c r="N23403">
        <v>0</v>
      </c>
    </row>
    <row r="23404" spans="1:14">
      <c r="A23404" t="s">
        <v>65625</v>
      </c>
      <c r="B23404" t="s">
        <v>11637</v>
      </c>
      <c r="C23404" t="s">
        <v>11936</v>
      </c>
      <c r="D23404" t="s">
        <v>65626</v>
      </c>
      <c r="E23404" t="b">
        <v>0</v>
      </c>
      <c r="F23404" t="s">
        <v>11610</v>
      </c>
      <c r="L23404">
        <v>0</v>
      </c>
      <c r="M23404">
        <v>0</v>
      </c>
      <c r="N23404">
        <v>0</v>
      </c>
    </row>
    <row r="23405" spans="1:14">
      <c r="A23405" t="s">
        <v>65627</v>
      </c>
      <c r="B23405" t="s">
        <v>11637</v>
      </c>
      <c r="C23405" t="s">
        <v>28072</v>
      </c>
      <c r="D23405" t="s">
        <v>65628</v>
      </c>
      <c r="E23405" t="b">
        <v>0</v>
      </c>
      <c r="F23405" t="s">
        <v>11610</v>
      </c>
      <c r="L23405">
        <v>0</v>
      </c>
      <c r="M23405">
        <v>0</v>
      </c>
      <c r="N23405">
        <v>0</v>
      </c>
    </row>
    <row r="23406" spans="1:14">
      <c r="A23406" t="s">
        <v>65629</v>
      </c>
      <c r="B23406" t="s">
        <v>11637</v>
      </c>
      <c r="C23406" t="s">
        <v>23364</v>
      </c>
      <c r="D23406" t="s">
        <v>65630</v>
      </c>
      <c r="E23406" t="b">
        <v>0</v>
      </c>
      <c r="F23406" t="s">
        <v>11610</v>
      </c>
      <c r="L23406">
        <v>0</v>
      </c>
      <c r="M23406">
        <v>0</v>
      </c>
      <c r="N23406">
        <v>0</v>
      </c>
    </row>
    <row r="23407" spans="1:14">
      <c r="A23407" t="s">
        <v>65631</v>
      </c>
      <c r="B23407" t="s">
        <v>11637</v>
      </c>
      <c r="C23407" t="s">
        <v>45271</v>
      </c>
      <c r="D23407" t="s">
        <v>65632</v>
      </c>
      <c r="E23407" t="b">
        <v>0</v>
      </c>
      <c r="F23407" t="s">
        <v>11610</v>
      </c>
      <c r="L23407">
        <v>0</v>
      </c>
      <c r="M23407">
        <v>0</v>
      </c>
      <c r="N23407">
        <v>0</v>
      </c>
    </row>
    <row r="23408" spans="1:14">
      <c r="A23408" t="s">
        <v>65633</v>
      </c>
      <c r="B23408" t="s">
        <v>11637</v>
      </c>
      <c r="C23408" t="s">
        <v>40798</v>
      </c>
      <c r="D23408" t="s">
        <v>65634</v>
      </c>
      <c r="E23408" t="b">
        <v>0</v>
      </c>
      <c r="F23408" t="s">
        <v>11610</v>
      </c>
      <c r="L23408">
        <v>0</v>
      </c>
      <c r="M23408">
        <v>0</v>
      </c>
      <c r="N23408">
        <v>0</v>
      </c>
    </row>
    <row r="23409" spans="1:14">
      <c r="A23409" t="s">
        <v>65635</v>
      </c>
      <c r="B23409" t="s">
        <v>11637</v>
      </c>
      <c r="C23409" t="s">
        <v>22040</v>
      </c>
      <c r="D23409" t="s">
        <v>65636</v>
      </c>
      <c r="E23409" t="b">
        <v>0</v>
      </c>
      <c r="F23409" t="s">
        <v>11610</v>
      </c>
      <c r="L23409">
        <v>0</v>
      </c>
      <c r="M23409">
        <v>0</v>
      </c>
      <c r="N23409">
        <v>0</v>
      </c>
    </row>
    <row r="23410" spans="1:14">
      <c r="A23410" t="s">
        <v>65637</v>
      </c>
      <c r="B23410" t="s">
        <v>11637</v>
      </c>
      <c r="C23410" t="s">
        <v>13916</v>
      </c>
      <c r="D23410" t="s">
        <v>65638</v>
      </c>
      <c r="E23410" t="b">
        <v>0</v>
      </c>
      <c r="F23410" t="s">
        <v>11610</v>
      </c>
      <c r="L23410">
        <v>0</v>
      </c>
      <c r="M23410">
        <v>0</v>
      </c>
      <c r="N23410">
        <v>0</v>
      </c>
    </row>
    <row r="23411" spans="1:14">
      <c r="A23411" t="s">
        <v>65639</v>
      </c>
      <c r="B23411" t="s">
        <v>11637</v>
      </c>
      <c r="C23411" t="s">
        <v>43974</v>
      </c>
      <c r="D23411" t="s">
        <v>65640</v>
      </c>
      <c r="E23411" t="b">
        <v>0</v>
      </c>
      <c r="F23411" t="s">
        <v>11610</v>
      </c>
      <c r="L23411">
        <v>0</v>
      </c>
      <c r="M23411">
        <v>0</v>
      </c>
      <c r="N23411">
        <v>0</v>
      </c>
    </row>
    <row r="23412" spans="1:14">
      <c r="A23412" t="s">
        <v>65641</v>
      </c>
      <c r="B23412" t="s">
        <v>11637</v>
      </c>
      <c r="C23412" t="s">
        <v>48201</v>
      </c>
      <c r="D23412" t="s">
        <v>65642</v>
      </c>
      <c r="E23412" t="b">
        <v>0</v>
      </c>
      <c r="F23412" t="s">
        <v>11610</v>
      </c>
      <c r="L23412">
        <v>0</v>
      </c>
      <c r="M23412">
        <v>0</v>
      </c>
      <c r="N23412">
        <v>0</v>
      </c>
    </row>
    <row r="23413" spans="1:14">
      <c r="A23413" t="s">
        <v>65643</v>
      </c>
      <c r="B23413" t="s">
        <v>11637</v>
      </c>
      <c r="C23413" t="s">
        <v>48201</v>
      </c>
      <c r="D23413" t="s">
        <v>65644</v>
      </c>
      <c r="E23413" t="b">
        <v>0</v>
      </c>
      <c r="F23413" t="s">
        <v>11610</v>
      </c>
      <c r="L23413">
        <v>0</v>
      </c>
      <c r="M23413">
        <v>0</v>
      </c>
      <c r="N23413">
        <v>0</v>
      </c>
    </row>
    <row r="23414" spans="1:14">
      <c r="A23414" t="s">
        <v>65645</v>
      </c>
      <c r="B23414" t="s">
        <v>11637</v>
      </c>
      <c r="C23414" t="s">
        <v>29109</v>
      </c>
      <c r="D23414" t="s">
        <v>65646</v>
      </c>
      <c r="E23414" t="b">
        <v>0</v>
      </c>
      <c r="F23414" t="s">
        <v>11610</v>
      </c>
      <c r="L23414">
        <v>0</v>
      </c>
      <c r="M23414">
        <v>0</v>
      </c>
      <c r="N23414">
        <v>0</v>
      </c>
    </row>
    <row r="23415" spans="1:14">
      <c r="A23415" t="s">
        <v>65647</v>
      </c>
      <c r="B23415" t="s">
        <v>11637</v>
      </c>
      <c r="C23415" t="s">
        <v>26720</v>
      </c>
      <c r="D23415" t="s">
        <v>65648</v>
      </c>
      <c r="E23415" t="b">
        <v>0</v>
      </c>
      <c r="F23415" t="s">
        <v>11610</v>
      </c>
      <c r="L23415">
        <v>0</v>
      </c>
      <c r="M23415">
        <v>0</v>
      </c>
      <c r="N23415">
        <v>0</v>
      </c>
    </row>
    <row r="23416" spans="1:14">
      <c r="A23416" t="s">
        <v>65649</v>
      </c>
      <c r="B23416" t="s">
        <v>11637</v>
      </c>
      <c r="C23416" t="s">
        <v>21048</v>
      </c>
      <c r="D23416" t="s">
        <v>65650</v>
      </c>
      <c r="E23416" t="b">
        <v>0</v>
      </c>
      <c r="F23416" t="s">
        <v>11610</v>
      </c>
      <c r="L23416">
        <v>0</v>
      </c>
      <c r="M23416">
        <v>0</v>
      </c>
      <c r="N23416">
        <v>0</v>
      </c>
    </row>
    <row r="23417" spans="1:14">
      <c r="A23417" t="s">
        <v>65651</v>
      </c>
      <c r="B23417" t="s">
        <v>11637</v>
      </c>
      <c r="C23417" t="s">
        <v>21048</v>
      </c>
      <c r="D23417" t="s">
        <v>65652</v>
      </c>
      <c r="E23417" t="b">
        <v>0</v>
      </c>
      <c r="F23417" t="s">
        <v>11610</v>
      </c>
      <c r="L23417">
        <v>0</v>
      </c>
      <c r="M23417">
        <v>0</v>
      </c>
      <c r="N23417">
        <v>0</v>
      </c>
    </row>
    <row r="23418" spans="1:14">
      <c r="A23418" t="s">
        <v>65653</v>
      </c>
      <c r="B23418" t="s">
        <v>11637</v>
      </c>
      <c r="C23418" t="s">
        <v>32475</v>
      </c>
      <c r="D23418" t="s">
        <v>65654</v>
      </c>
      <c r="E23418" t="b">
        <v>0</v>
      </c>
      <c r="F23418" t="s">
        <v>11610</v>
      </c>
      <c r="L23418">
        <v>0</v>
      </c>
      <c r="M23418">
        <v>0</v>
      </c>
      <c r="N23418">
        <v>0</v>
      </c>
    </row>
    <row r="23419" spans="1:14">
      <c r="A23419" t="s">
        <v>65655</v>
      </c>
      <c r="B23419" t="s">
        <v>11637</v>
      </c>
      <c r="C23419" t="s">
        <v>13872</v>
      </c>
      <c r="D23419" t="s">
        <v>65656</v>
      </c>
      <c r="E23419" t="b">
        <v>0</v>
      </c>
      <c r="F23419" t="s">
        <v>11610</v>
      </c>
      <c r="L23419">
        <v>0</v>
      </c>
      <c r="M23419">
        <v>0</v>
      </c>
      <c r="N23419">
        <v>0</v>
      </c>
    </row>
    <row r="23420" spans="1:14">
      <c r="A23420" t="s">
        <v>65657</v>
      </c>
      <c r="B23420" t="s">
        <v>11637</v>
      </c>
      <c r="C23420" t="s">
        <v>26724</v>
      </c>
      <c r="D23420" t="s">
        <v>65658</v>
      </c>
      <c r="E23420" t="b">
        <v>0</v>
      </c>
      <c r="F23420" t="s">
        <v>11610</v>
      </c>
      <c r="L23420">
        <v>0</v>
      </c>
      <c r="M23420">
        <v>0</v>
      </c>
      <c r="N23420">
        <v>0</v>
      </c>
    </row>
    <row r="23421" spans="1:14">
      <c r="A23421" t="s">
        <v>12569</v>
      </c>
      <c r="B23421" t="s">
        <v>331</v>
      </c>
      <c r="C23421" t="s">
        <v>4630</v>
      </c>
      <c r="D23421" t="s">
        <v>65659</v>
      </c>
      <c r="E23421" t="b">
        <v>0</v>
      </c>
      <c r="F23421" t="s">
        <v>11610</v>
      </c>
      <c r="L23421">
        <v>0</v>
      </c>
      <c r="M23421">
        <v>0</v>
      </c>
      <c r="N23421">
        <v>6</v>
      </c>
    </row>
    <row r="23422" spans="1:14">
      <c r="A23422" t="s">
        <v>65660</v>
      </c>
      <c r="B23422" t="s">
        <v>367</v>
      </c>
      <c r="C23422" t="s">
        <v>5517</v>
      </c>
      <c r="D23422" t="s">
        <v>65661</v>
      </c>
      <c r="E23422" t="b">
        <v>0</v>
      </c>
      <c r="F23422" t="s">
        <v>11610</v>
      </c>
      <c r="L23422">
        <v>0</v>
      </c>
      <c r="M23422">
        <v>0</v>
      </c>
      <c r="N23422">
        <v>0</v>
      </c>
    </row>
    <row r="23423" spans="1:14">
      <c r="A23423" t="s">
        <v>24295</v>
      </c>
      <c r="B23423" t="s">
        <v>11644</v>
      </c>
      <c r="C23423" t="s">
        <v>22048</v>
      </c>
      <c r="D23423" t="s">
        <v>65662</v>
      </c>
      <c r="E23423" t="b">
        <v>0</v>
      </c>
      <c r="F23423" t="s">
        <v>11610</v>
      </c>
      <c r="L23423">
        <v>0</v>
      </c>
      <c r="M23423">
        <v>0</v>
      </c>
      <c r="N23423">
        <v>2</v>
      </c>
    </row>
    <row r="23424" spans="1:14">
      <c r="A23424" t="s">
        <v>65663</v>
      </c>
      <c r="B23424" t="s">
        <v>11637</v>
      </c>
      <c r="C23424" t="s">
        <v>20485</v>
      </c>
      <c r="D23424" t="s">
        <v>65664</v>
      </c>
      <c r="E23424" t="b">
        <v>0</v>
      </c>
      <c r="F23424" t="s">
        <v>11610</v>
      </c>
      <c r="L23424">
        <v>0</v>
      </c>
      <c r="M23424">
        <v>0</v>
      </c>
      <c r="N23424">
        <v>0</v>
      </c>
    </row>
    <row r="23425" spans="1:15">
      <c r="A23425" t="s">
        <v>26858</v>
      </c>
      <c r="B23425" t="s">
        <v>11637</v>
      </c>
      <c r="C23425" t="s">
        <v>28285</v>
      </c>
      <c r="D23425" t="s">
        <v>65665</v>
      </c>
      <c r="E23425" t="b">
        <v>0</v>
      </c>
      <c r="F23425" t="s">
        <v>11610</v>
      </c>
      <c r="L23425">
        <v>0</v>
      </c>
      <c r="M23425">
        <v>0</v>
      </c>
      <c r="N23425">
        <v>2</v>
      </c>
    </row>
    <row r="23426" spans="1:15">
      <c r="A23426" t="s">
        <v>65666</v>
      </c>
      <c r="B23426" t="s">
        <v>11637</v>
      </c>
      <c r="C23426" t="s">
        <v>11474</v>
      </c>
      <c r="D23426" t="s">
        <v>65667</v>
      </c>
      <c r="E23426" t="b">
        <v>0</v>
      </c>
      <c r="F23426" t="s">
        <v>11610</v>
      </c>
      <c r="L23426">
        <v>0</v>
      </c>
      <c r="M23426">
        <v>0</v>
      </c>
      <c r="N23426">
        <v>0</v>
      </c>
    </row>
    <row r="23427" spans="1:15">
      <c r="A23427" t="s">
        <v>65668</v>
      </c>
      <c r="B23427" t="s">
        <v>11637</v>
      </c>
      <c r="C23427" t="s">
        <v>11474</v>
      </c>
      <c r="D23427" t="s">
        <v>65669</v>
      </c>
      <c r="E23427" t="b">
        <v>0</v>
      </c>
      <c r="F23427" t="s">
        <v>11610</v>
      </c>
      <c r="L23427">
        <v>0</v>
      </c>
      <c r="M23427">
        <v>0</v>
      </c>
      <c r="N23427">
        <v>0</v>
      </c>
    </row>
    <row r="23428" spans="1:15">
      <c r="A23428" t="s">
        <v>65670</v>
      </c>
      <c r="B23428" t="s">
        <v>367</v>
      </c>
      <c r="C23428" t="s">
        <v>31219</v>
      </c>
      <c r="D23428" t="s">
        <v>65671</v>
      </c>
      <c r="E23428" t="b">
        <v>0</v>
      </c>
      <c r="F23428" t="s">
        <v>11624</v>
      </c>
      <c r="G23428">
        <v>-14.366666</v>
      </c>
      <c r="H23428">
        <v>167.545897</v>
      </c>
      <c r="I23428" t="s">
        <v>65672</v>
      </c>
      <c r="L23428">
        <v>0</v>
      </c>
      <c r="M23428">
        <v>0</v>
      </c>
      <c r="N23428">
        <v>0</v>
      </c>
      <c r="O23428" t="s">
        <v>12719</v>
      </c>
    </row>
    <row r="23429" spans="1:15">
      <c r="A23429" t="s">
        <v>65673</v>
      </c>
      <c r="B23429" t="s">
        <v>367</v>
      </c>
      <c r="C23429" t="s">
        <v>41031</v>
      </c>
      <c r="D23429" t="s">
        <v>65674</v>
      </c>
      <c r="E23429" t="b">
        <v>0</v>
      </c>
      <c r="F23429" t="s">
        <v>11610</v>
      </c>
      <c r="L23429">
        <v>0</v>
      </c>
      <c r="M23429">
        <v>0</v>
      </c>
      <c r="N23429">
        <v>0</v>
      </c>
    </row>
    <row r="23430" spans="1:15">
      <c r="A23430" t="s">
        <v>32254</v>
      </c>
      <c r="B23430" t="s">
        <v>367</v>
      </c>
      <c r="C23430" t="s">
        <v>26212</v>
      </c>
      <c r="D23430" t="s">
        <v>65675</v>
      </c>
      <c r="E23430" t="b">
        <v>0</v>
      </c>
      <c r="F23430" t="s">
        <v>11622</v>
      </c>
      <c r="L23430">
        <v>2</v>
      </c>
      <c r="M23430">
        <v>4</v>
      </c>
      <c r="N23430">
        <v>19</v>
      </c>
    </row>
    <row r="23431" spans="1:15">
      <c r="A23431" t="s">
        <v>65676</v>
      </c>
      <c r="B23431" t="s">
        <v>367</v>
      </c>
      <c r="C23431" t="s">
        <v>24401</v>
      </c>
      <c r="D23431" t="s">
        <v>65677</v>
      </c>
      <c r="E23431" t="b">
        <v>0</v>
      </c>
      <c r="F23431" t="s">
        <v>11610</v>
      </c>
      <c r="L23431">
        <v>0</v>
      </c>
      <c r="M23431">
        <v>0</v>
      </c>
      <c r="N23431">
        <v>0</v>
      </c>
    </row>
    <row r="23432" spans="1:15">
      <c r="A23432" t="s">
        <v>65678</v>
      </c>
      <c r="B23432" t="s">
        <v>11729</v>
      </c>
      <c r="C23432" t="s">
        <v>33807</v>
      </c>
      <c r="D23432" t="s">
        <v>65679</v>
      </c>
      <c r="E23432" t="b">
        <v>0</v>
      </c>
      <c r="F23432" t="s">
        <v>11610</v>
      </c>
      <c r="L23432">
        <v>0</v>
      </c>
      <c r="M23432">
        <v>0</v>
      </c>
      <c r="N23432">
        <v>0</v>
      </c>
    </row>
    <row r="23433" spans="1:15">
      <c r="A23433" t="s">
        <v>65680</v>
      </c>
      <c r="B23433" t="s">
        <v>11644</v>
      </c>
      <c r="C23433" t="s">
        <v>56679</v>
      </c>
      <c r="D23433" t="s">
        <v>65681</v>
      </c>
      <c r="E23433" t="b">
        <v>0</v>
      </c>
      <c r="F23433" t="s">
        <v>11624</v>
      </c>
      <c r="G23433">
        <v>19.020576999999999</v>
      </c>
      <c r="H23433">
        <v>96.540526</v>
      </c>
      <c r="I23433" t="s">
        <v>65682</v>
      </c>
      <c r="L23433">
        <v>0</v>
      </c>
      <c r="M23433">
        <v>0</v>
      </c>
      <c r="N23433">
        <v>0</v>
      </c>
      <c r="O23433" t="s">
        <v>14059</v>
      </c>
    </row>
    <row r="23434" spans="1:15">
      <c r="A23434" t="s">
        <v>34930</v>
      </c>
      <c r="B23434" t="s">
        <v>6742</v>
      </c>
      <c r="C23434" t="s">
        <v>29932</v>
      </c>
      <c r="D23434" t="s">
        <v>65683</v>
      </c>
      <c r="E23434" t="b">
        <v>0</v>
      </c>
      <c r="F23434" t="s">
        <v>11624</v>
      </c>
      <c r="G23434">
        <v>6.36463</v>
      </c>
      <c r="H23434">
        <v>-8.4023400000000006</v>
      </c>
      <c r="I23434" t="s">
        <v>65684</v>
      </c>
      <c r="L23434">
        <v>0</v>
      </c>
      <c r="M23434">
        <v>0</v>
      </c>
      <c r="N23434">
        <v>2</v>
      </c>
      <c r="O23434" t="s">
        <v>23855</v>
      </c>
    </row>
    <row r="23435" spans="1:15">
      <c r="A23435" t="s">
        <v>39197</v>
      </c>
      <c r="B23435" t="s">
        <v>367</v>
      </c>
      <c r="C23435" t="s">
        <v>5575</v>
      </c>
      <c r="D23435" t="s">
        <v>65685</v>
      </c>
      <c r="E23435" t="b">
        <v>0</v>
      </c>
      <c r="F23435" t="s">
        <v>11622</v>
      </c>
      <c r="L23435">
        <v>0</v>
      </c>
      <c r="M23435">
        <v>2</v>
      </c>
      <c r="N23435">
        <v>8</v>
      </c>
    </row>
    <row r="23436" spans="1:15">
      <c r="A23436" t="s">
        <v>65686</v>
      </c>
      <c r="B23436" t="s">
        <v>367</v>
      </c>
      <c r="C23436" t="s">
        <v>39547</v>
      </c>
      <c r="D23436" t="s">
        <v>65687</v>
      </c>
      <c r="E23436" t="b">
        <v>0</v>
      </c>
      <c r="F23436" t="s">
        <v>11610</v>
      </c>
      <c r="L23436">
        <v>0</v>
      </c>
      <c r="M23436">
        <v>0</v>
      </c>
      <c r="N23436">
        <v>0</v>
      </c>
    </row>
    <row r="23437" spans="1:15">
      <c r="A23437" t="s">
        <v>65688</v>
      </c>
      <c r="B23437" t="s">
        <v>367</v>
      </c>
      <c r="C23437" t="s">
        <v>16925</v>
      </c>
      <c r="D23437" t="s">
        <v>65689</v>
      </c>
      <c r="E23437" t="b">
        <v>0</v>
      </c>
      <c r="F23437" t="s">
        <v>11610</v>
      </c>
      <c r="L23437">
        <v>0</v>
      </c>
      <c r="M23437">
        <v>0</v>
      </c>
      <c r="N23437">
        <v>0</v>
      </c>
    </row>
    <row r="23438" spans="1:15">
      <c r="A23438" t="s">
        <v>790</v>
      </c>
      <c r="B23438" t="s">
        <v>12241</v>
      </c>
      <c r="C23438" t="s">
        <v>12241</v>
      </c>
      <c r="D23438" t="s">
        <v>789</v>
      </c>
      <c r="E23438" t="b">
        <v>0</v>
      </c>
      <c r="F23438" t="s">
        <v>11624</v>
      </c>
      <c r="G23438">
        <v>11.94153</v>
      </c>
      <c r="H23438">
        <v>35.633690000000001</v>
      </c>
      <c r="I23438" t="s">
        <v>791</v>
      </c>
      <c r="L23438">
        <v>0</v>
      </c>
      <c r="M23438">
        <v>0</v>
      </c>
      <c r="N23438">
        <v>0</v>
      </c>
      <c r="O23438" t="s">
        <v>11625</v>
      </c>
    </row>
    <row r="23439" spans="1:15">
      <c r="A23439" t="s">
        <v>65690</v>
      </c>
      <c r="B23439" t="s">
        <v>11637</v>
      </c>
      <c r="C23439" t="s">
        <v>16346</v>
      </c>
      <c r="D23439" t="s">
        <v>65691</v>
      </c>
      <c r="E23439" t="b">
        <v>0</v>
      </c>
      <c r="F23439" t="s">
        <v>11610</v>
      </c>
      <c r="L23439">
        <v>0</v>
      </c>
      <c r="M23439">
        <v>0</v>
      </c>
      <c r="N23439">
        <v>0</v>
      </c>
    </row>
    <row r="23440" spans="1:15">
      <c r="A23440" t="s">
        <v>65692</v>
      </c>
      <c r="B23440" t="s">
        <v>331</v>
      </c>
      <c r="C23440" t="s">
        <v>12891</v>
      </c>
      <c r="D23440" t="s">
        <v>65693</v>
      </c>
      <c r="E23440" t="b">
        <v>0</v>
      </c>
      <c r="F23440" t="s">
        <v>11610</v>
      </c>
      <c r="L23440">
        <v>0</v>
      </c>
      <c r="M23440">
        <v>0</v>
      </c>
      <c r="N23440">
        <v>0</v>
      </c>
    </row>
    <row r="23441" spans="1:15">
      <c r="A23441" t="s">
        <v>65694</v>
      </c>
      <c r="B23441" t="s">
        <v>11644</v>
      </c>
      <c r="C23441" t="s">
        <v>18953</v>
      </c>
      <c r="D23441" t="s">
        <v>65695</v>
      </c>
      <c r="E23441" t="b">
        <v>0</v>
      </c>
      <c r="F23441" t="s">
        <v>11610</v>
      </c>
      <c r="L23441">
        <v>0</v>
      </c>
      <c r="M23441">
        <v>0</v>
      </c>
      <c r="N23441">
        <v>0</v>
      </c>
    </row>
    <row r="23442" spans="1:15">
      <c r="A23442" t="s">
        <v>51835</v>
      </c>
      <c r="B23442" t="s">
        <v>5126</v>
      </c>
      <c r="C23442" t="s">
        <v>12453</v>
      </c>
      <c r="D23442" t="s">
        <v>65696</v>
      </c>
      <c r="E23442" t="b">
        <v>0</v>
      </c>
      <c r="F23442" t="s">
        <v>11622</v>
      </c>
      <c r="L23442">
        <v>0</v>
      </c>
      <c r="M23442">
        <v>3</v>
      </c>
      <c r="N23442">
        <v>0</v>
      </c>
    </row>
    <row r="23443" spans="1:15">
      <c r="A23443" t="s">
        <v>65697</v>
      </c>
      <c r="B23443" t="s">
        <v>5126</v>
      </c>
      <c r="C23443" t="s">
        <v>38905</v>
      </c>
      <c r="D23443" t="s">
        <v>65698</v>
      </c>
      <c r="E23443" t="b">
        <v>0</v>
      </c>
      <c r="F23443" t="s">
        <v>11624</v>
      </c>
      <c r="G23443">
        <v>22.725999999999999</v>
      </c>
      <c r="H23443">
        <v>104.66</v>
      </c>
      <c r="I23443" t="s">
        <v>65699</v>
      </c>
      <c r="L23443">
        <v>0</v>
      </c>
      <c r="M23443">
        <v>0</v>
      </c>
      <c r="N23443">
        <v>0</v>
      </c>
      <c r="O23443" t="s">
        <v>19781</v>
      </c>
    </row>
    <row r="23444" spans="1:15">
      <c r="A23444" t="s">
        <v>25576</v>
      </c>
      <c r="B23444" t="s">
        <v>5126</v>
      </c>
      <c r="C23444" t="s">
        <v>29753</v>
      </c>
      <c r="D23444" t="s">
        <v>65700</v>
      </c>
      <c r="E23444" t="b">
        <v>0</v>
      </c>
      <c r="F23444" t="s">
        <v>11624</v>
      </c>
      <c r="G23444">
        <v>23.019600000000001</v>
      </c>
      <c r="H23444">
        <v>105.07</v>
      </c>
      <c r="I23444" t="s">
        <v>65701</v>
      </c>
      <c r="L23444">
        <v>0</v>
      </c>
      <c r="M23444">
        <v>0</v>
      </c>
      <c r="N23444">
        <v>2</v>
      </c>
      <c r="O23444" t="s">
        <v>15949</v>
      </c>
    </row>
    <row r="23445" spans="1:15">
      <c r="A23445" t="s">
        <v>65702</v>
      </c>
      <c r="B23445" t="s">
        <v>13276</v>
      </c>
      <c r="C23445" t="s">
        <v>18958</v>
      </c>
      <c r="D23445" t="s">
        <v>65703</v>
      </c>
      <c r="E23445" t="b">
        <v>0</v>
      </c>
      <c r="F23445" t="s">
        <v>11610</v>
      </c>
      <c r="L23445">
        <v>0</v>
      </c>
      <c r="M23445">
        <v>0</v>
      </c>
      <c r="N23445">
        <v>0</v>
      </c>
    </row>
    <row r="23446" spans="1:15">
      <c r="A23446" t="s">
        <v>40600</v>
      </c>
      <c r="B23446" t="s">
        <v>367</v>
      </c>
      <c r="C23446" t="s">
        <v>48658</v>
      </c>
      <c r="D23446" t="s">
        <v>65704</v>
      </c>
      <c r="E23446" t="b">
        <v>0</v>
      </c>
      <c r="F23446" t="s">
        <v>11624</v>
      </c>
      <c r="G23446">
        <v>-19.501899999999999</v>
      </c>
      <c r="H23446">
        <v>169.381</v>
      </c>
      <c r="I23446" t="s">
        <v>65705</v>
      </c>
      <c r="L23446">
        <v>0</v>
      </c>
      <c r="M23446">
        <v>0</v>
      </c>
      <c r="N23446">
        <v>2</v>
      </c>
      <c r="O23446" t="s">
        <v>12719</v>
      </c>
    </row>
    <row r="23447" spans="1:15">
      <c r="A23447" t="s">
        <v>48658</v>
      </c>
      <c r="B23447" t="s">
        <v>367</v>
      </c>
      <c r="C23447" t="s">
        <v>39833</v>
      </c>
      <c r="D23447" t="s">
        <v>65706</v>
      </c>
      <c r="E23447" t="b">
        <v>0</v>
      </c>
      <c r="F23447" t="s">
        <v>11622</v>
      </c>
      <c r="L23447">
        <v>0</v>
      </c>
      <c r="M23447">
        <v>2</v>
      </c>
      <c r="N23447">
        <v>5</v>
      </c>
    </row>
    <row r="23448" spans="1:15">
      <c r="A23448" t="s">
        <v>65707</v>
      </c>
      <c r="B23448" t="s">
        <v>11834</v>
      </c>
      <c r="C23448" t="s">
        <v>33826</v>
      </c>
      <c r="D23448" t="s">
        <v>65708</v>
      </c>
      <c r="E23448" t="b">
        <v>0</v>
      </c>
      <c r="F23448" t="s">
        <v>11624</v>
      </c>
      <c r="G23448">
        <v>-3.63409</v>
      </c>
      <c r="H23448">
        <v>143.756</v>
      </c>
      <c r="I23448" t="s">
        <v>65709</v>
      </c>
      <c r="L23448">
        <v>0</v>
      </c>
      <c r="M23448">
        <v>0</v>
      </c>
      <c r="N23448">
        <v>0</v>
      </c>
      <c r="O23448" t="s">
        <v>11660</v>
      </c>
    </row>
    <row r="23449" spans="1:15">
      <c r="A23449" t="s">
        <v>65710</v>
      </c>
      <c r="B23449" t="s">
        <v>6742</v>
      </c>
      <c r="C23449" t="s">
        <v>17782</v>
      </c>
      <c r="D23449" t="s">
        <v>65711</v>
      </c>
      <c r="E23449" t="b">
        <v>0</v>
      </c>
      <c r="F23449" t="s">
        <v>11610</v>
      </c>
      <c r="L23449">
        <v>0</v>
      </c>
      <c r="M23449">
        <v>0</v>
      </c>
      <c r="N23449">
        <v>0</v>
      </c>
    </row>
    <row r="23450" spans="1:15">
      <c r="A23450" t="s">
        <v>65712</v>
      </c>
      <c r="B23450" t="s">
        <v>6742</v>
      </c>
      <c r="C23450" t="s">
        <v>36673</v>
      </c>
      <c r="D23450" t="s">
        <v>65713</v>
      </c>
      <c r="E23450" t="b">
        <v>0</v>
      </c>
      <c r="F23450" t="s">
        <v>11610</v>
      </c>
      <c r="L23450">
        <v>0</v>
      </c>
      <c r="M23450">
        <v>0</v>
      </c>
      <c r="N23450">
        <v>0</v>
      </c>
    </row>
    <row r="23451" spans="1:15">
      <c r="A23451" t="s">
        <v>60528</v>
      </c>
      <c r="B23451" t="s">
        <v>8146</v>
      </c>
      <c r="C23451" t="s">
        <v>48842</v>
      </c>
      <c r="D23451" t="s">
        <v>65714</v>
      </c>
      <c r="E23451" t="b">
        <v>0</v>
      </c>
      <c r="F23451" t="s">
        <v>11624</v>
      </c>
      <c r="G23451">
        <v>35.066499999999998</v>
      </c>
      <c r="H23451">
        <v>-98.183099999999996</v>
      </c>
      <c r="I23451" t="s">
        <v>65715</v>
      </c>
      <c r="L23451">
        <v>0</v>
      </c>
      <c r="M23451">
        <v>0</v>
      </c>
      <c r="N23451">
        <v>2</v>
      </c>
      <c r="O23451" t="s">
        <v>11944</v>
      </c>
    </row>
    <row r="23452" spans="1:15">
      <c r="A23452" t="s">
        <v>598</v>
      </c>
      <c r="B23452" t="s">
        <v>389</v>
      </c>
      <c r="C23452" t="s">
        <v>22865</v>
      </c>
      <c r="D23452" t="s">
        <v>65716</v>
      </c>
      <c r="E23452" t="b">
        <v>0</v>
      </c>
      <c r="F23452" t="s">
        <v>11622</v>
      </c>
      <c r="L23452">
        <v>0</v>
      </c>
      <c r="M23452">
        <v>3</v>
      </c>
      <c r="N23452">
        <v>1</v>
      </c>
    </row>
    <row r="23453" spans="1:15">
      <c r="A23453" t="s">
        <v>65717</v>
      </c>
      <c r="B23453" t="s">
        <v>389</v>
      </c>
      <c r="C23453" t="s">
        <v>598</v>
      </c>
      <c r="D23453" t="s">
        <v>65718</v>
      </c>
      <c r="E23453" t="b">
        <v>0</v>
      </c>
      <c r="F23453" t="s">
        <v>11624</v>
      </c>
      <c r="G23453">
        <v>-21.988</v>
      </c>
      <c r="H23453">
        <v>-63.597099999999998</v>
      </c>
      <c r="I23453" t="s">
        <v>65719</v>
      </c>
      <c r="L23453">
        <v>0</v>
      </c>
      <c r="M23453">
        <v>0</v>
      </c>
      <c r="N23453">
        <v>0</v>
      </c>
      <c r="O23453" t="s">
        <v>65720</v>
      </c>
    </row>
    <row r="23454" spans="1:15">
      <c r="A23454" t="s">
        <v>18113</v>
      </c>
      <c r="B23454" t="s">
        <v>389</v>
      </c>
      <c r="C23454" t="s">
        <v>598</v>
      </c>
      <c r="D23454" t="s">
        <v>65721</v>
      </c>
      <c r="E23454" t="b">
        <v>0</v>
      </c>
      <c r="F23454" t="s">
        <v>11624</v>
      </c>
      <c r="G23454">
        <v>-24.218900000000001</v>
      </c>
      <c r="H23454">
        <v>-61.911700000000003</v>
      </c>
      <c r="I23454" t="s">
        <v>65722</v>
      </c>
      <c r="L23454">
        <v>0</v>
      </c>
      <c r="M23454">
        <v>0</v>
      </c>
      <c r="N23454">
        <v>1</v>
      </c>
      <c r="O23454" t="s">
        <v>26382</v>
      </c>
    </row>
    <row r="23455" spans="1:15">
      <c r="A23455" t="s">
        <v>2595</v>
      </c>
      <c r="B23455" t="s">
        <v>389</v>
      </c>
      <c r="C23455" t="s">
        <v>598</v>
      </c>
      <c r="D23455" t="s">
        <v>65723</v>
      </c>
      <c r="E23455" t="b">
        <v>0</v>
      </c>
      <c r="F23455" t="s">
        <v>11624</v>
      </c>
      <c r="G23455">
        <v>-23.1633</v>
      </c>
      <c r="H23455">
        <v>-62.175699999999999</v>
      </c>
      <c r="I23455" t="s">
        <v>2596</v>
      </c>
      <c r="L23455">
        <v>0</v>
      </c>
      <c r="M23455">
        <v>0</v>
      </c>
      <c r="N23455">
        <v>0</v>
      </c>
      <c r="O23455" t="s">
        <v>26382</v>
      </c>
    </row>
    <row r="23456" spans="1:15">
      <c r="A23456" t="s">
        <v>13363</v>
      </c>
      <c r="B23456" t="s">
        <v>6742</v>
      </c>
      <c r="C23456" t="s">
        <v>11700</v>
      </c>
      <c r="D23456" t="s">
        <v>65724</v>
      </c>
      <c r="E23456" t="b">
        <v>0</v>
      </c>
      <c r="F23456" t="s">
        <v>11622</v>
      </c>
      <c r="L23456">
        <v>24</v>
      </c>
      <c r="M23456">
        <v>69</v>
      </c>
      <c r="N23456">
        <v>108</v>
      </c>
    </row>
    <row r="23457" spans="1:15">
      <c r="A23457" t="s">
        <v>44206</v>
      </c>
      <c r="B23457" t="s">
        <v>6742</v>
      </c>
      <c r="C23457" t="s">
        <v>45134</v>
      </c>
      <c r="D23457" t="s">
        <v>65725</v>
      </c>
      <c r="E23457" t="b">
        <v>0</v>
      </c>
      <c r="F23457" t="s">
        <v>11622</v>
      </c>
      <c r="L23457">
        <v>0</v>
      </c>
      <c r="M23457">
        <v>2</v>
      </c>
      <c r="N23457">
        <v>2</v>
      </c>
    </row>
    <row r="23458" spans="1:15">
      <c r="A23458" t="s">
        <v>65726</v>
      </c>
      <c r="B23458" t="s">
        <v>11637</v>
      </c>
      <c r="C23458" t="s">
        <v>30640</v>
      </c>
      <c r="D23458" t="s">
        <v>65727</v>
      </c>
      <c r="E23458" t="b">
        <v>0</v>
      </c>
      <c r="F23458" t="s">
        <v>11610</v>
      </c>
      <c r="L23458">
        <v>0</v>
      </c>
      <c r="M23458">
        <v>0</v>
      </c>
      <c r="N23458">
        <v>0</v>
      </c>
    </row>
    <row r="23459" spans="1:15">
      <c r="A23459" t="s">
        <v>65728</v>
      </c>
      <c r="B23459" t="s">
        <v>367</v>
      </c>
      <c r="C23459" t="s">
        <v>13008</v>
      </c>
      <c r="D23459" t="s">
        <v>65729</v>
      </c>
      <c r="E23459" t="b">
        <v>0</v>
      </c>
      <c r="F23459" t="s">
        <v>11610</v>
      </c>
      <c r="L23459">
        <v>0</v>
      </c>
      <c r="M23459">
        <v>0</v>
      </c>
      <c r="N23459">
        <v>0</v>
      </c>
    </row>
    <row r="23460" spans="1:15">
      <c r="A23460" t="s">
        <v>65730</v>
      </c>
      <c r="B23460" t="s">
        <v>6742</v>
      </c>
      <c r="C23460" t="s">
        <v>18716</v>
      </c>
      <c r="D23460" t="s">
        <v>65731</v>
      </c>
      <c r="E23460" t="b">
        <v>0</v>
      </c>
      <c r="F23460" t="s">
        <v>11610</v>
      </c>
      <c r="L23460">
        <v>0</v>
      </c>
      <c r="M23460">
        <v>0</v>
      </c>
      <c r="N23460">
        <v>0</v>
      </c>
    </row>
    <row r="23461" spans="1:15">
      <c r="A23461" t="s">
        <v>65732</v>
      </c>
      <c r="B23461" t="s">
        <v>6742</v>
      </c>
      <c r="C23461" t="s">
        <v>34112</v>
      </c>
      <c r="D23461" t="s">
        <v>65733</v>
      </c>
      <c r="E23461" t="b">
        <v>0</v>
      </c>
      <c r="F23461" t="s">
        <v>11610</v>
      </c>
      <c r="L23461">
        <v>0</v>
      </c>
      <c r="M23461">
        <v>0</v>
      </c>
      <c r="N23461">
        <v>0</v>
      </c>
    </row>
    <row r="23462" spans="1:15">
      <c r="A23462" t="s">
        <v>10195</v>
      </c>
      <c r="B23462" t="s">
        <v>10597</v>
      </c>
      <c r="C23462" t="s">
        <v>47296</v>
      </c>
      <c r="D23462" t="s">
        <v>65734</v>
      </c>
      <c r="E23462" t="b">
        <v>0</v>
      </c>
      <c r="F23462" t="s">
        <v>11624</v>
      </c>
      <c r="G23462">
        <v>-13.6835</v>
      </c>
      <c r="H23462">
        <v>141.55699999999999</v>
      </c>
      <c r="I23462" t="s">
        <v>10196</v>
      </c>
      <c r="L23462">
        <v>0</v>
      </c>
      <c r="M23462">
        <v>0</v>
      </c>
      <c r="N23462">
        <v>2</v>
      </c>
      <c r="O23462" t="s">
        <v>12107</v>
      </c>
    </row>
    <row r="23463" spans="1:15">
      <c r="A23463" t="s">
        <v>27941</v>
      </c>
      <c r="B23463" t="s">
        <v>10597</v>
      </c>
      <c r="C23463" t="s">
        <v>23327</v>
      </c>
      <c r="D23463" t="s">
        <v>65735</v>
      </c>
      <c r="E23463" t="b">
        <v>0</v>
      </c>
      <c r="F23463" t="s">
        <v>11622</v>
      </c>
      <c r="L23463">
        <v>5</v>
      </c>
      <c r="M23463">
        <v>12</v>
      </c>
      <c r="N23463">
        <v>2</v>
      </c>
    </row>
    <row r="23464" spans="1:15">
      <c r="A23464" t="s">
        <v>65736</v>
      </c>
      <c r="B23464" t="s">
        <v>9348</v>
      </c>
      <c r="C23464" t="s">
        <v>62333</v>
      </c>
      <c r="D23464" t="s">
        <v>65737</v>
      </c>
      <c r="E23464" t="b">
        <v>0</v>
      </c>
      <c r="F23464" t="s">
        <v>11610</v>
      </c>
      <c r="L23464">
        <v>0</v>
      </c>
      <c r="M23464">
        <v>0</v>
      </c>
      <c r="N23464">
        <v>0</v>
      </c>
    </row>
    <row r="23465" spans="1:15">
      <c r="A23465" t="s">
        <v>65738</v>
      </c>
      <c r="B23465" t="s">
        <v>10597</v>
      </c>
      <c r="C23465" t="s">
        <v>38026</v>
      </c>
      <c r="D23465" t="s">
        <v>65739</v>
      </c>
      <c r="E23465" t="b">
        <v>0</v>
      </c>
      <c r="F23465" t="s">
        <v>11624</v>
      </c>
      <c r="G23465">
        <v>-13.846</v>
      </c>
      <c r="H23465">
        <v>141.858</v>
      </c>
      <c r="I23465" t="s">
        <v>65740</v>
      </c>
      <c r="L23465">
        <v>0</v>
      </c>
      <c r="M23465">
        <v>0</v>
      </c>
      <c r="N23465">
        <v>0</v>
      </c>
      <c r="O23465" t="s">
        <v>12107</v>
      </c>
    </row>
    <row r="23466" spans="1:15">
      <c r="A23466" t="s">
        <v>65741</v>
      </c>
      <c r="B23466" t="s">
        <v>10597</v>
      </c>
      <c r="C23466" t="s">
        <v>38028</v>
      </c>
      <c r="D23466" t="s">
        <v>65742</v>
      </c>
      <c r="E23466" t="b">
        <v>0</v>
      </c>
      <c r="F23466" t="s">
        <v>11624</v>
      </c>
      <c r="G23466">
        <v>-14.1273</v>
      </c>
      <c r="H23466">
        <v>142.78100000000001</v>
      </c>
      <c r="I23466" t="s">
        <v>65743</v>
      </c>
      <c r="L23466">
        <v>0</v>
      </c>
      <c r="M23466">
        <v>0</v>
      </c>
      <c r="N23466">
        <v>0</v>
      </c>
      <c r="O23466" t="s">
        <v>12107</v>
      </c>
    </row>
    <row r="23467" spans="1:15">
      <c r="A23467" t="s">
        <v>65744</v>
      </c>
      <c r="B23467" t="s">
        <v>12241</v>
      </c>
      <c r="C23467" t="s">
        <v>52095</v>
      </c>
      <c r="D23467" t="s">
        <v>65745</v>
      </c>
      <c r="E23467" t="b">
        <v>0</v>
      </c>
      <c r="F23467" t="s">
        <v>11624</v>
      </c>
      <c r="G23467">
        <v>-14.264900000000001</v>
      </c>
      <c r="H23467">
        <v>142.005</v>
      </c>
      <c r="I23467" t="s">
        <v>65746</v>
      </c>
      <c r="L23467">
        <v>0</v>
      </c>
      <c r="M23467">
        <v>0</v>
      </c>
      <c r="N23467">
        <v>0</v>
      </c>
      <c r="O23467" t="s">
        <v>12107</v>
      </c>
    </row>
    <row r="23468" spans="1:15">
      <c r="A23468" t="s">
        <v>65747</v>
      </c>
      <c r="B23468" t="s">
        <v>10597</v>
      </c>
      <c r="C23468" t="s">
        <v>38026</v>
      </c>
      <c r="D23468" t="s">
        <v>65748</v>
      </c>
      <c r="E23468" t="b">
        <v>0</v>
      </c>
      <c r="F23468" t="s">
        <v>11624</v>
      </c>
      <c r="G23468">
        <v>-14.058</v>
      </c>
      <c r="H23468">
        <v>141.92500000000001</v>
      </c>
      <c r="I23468" t="s">
        <v>65749</v>
      </c>
      <c r="L23468">
        <v>0</v>
      </c>
      <c r="M23468">
        <v>0</v>
      </c>
      <c r="N23468">
        <v>0</v>
      </c>
      <c r="O23468" t="s">
        <v>12107</v>
      </c>
    </row>
    <row r="23469" spans="1:15">
      <c r="A23469" t="s">
        <v>65750</v>
      </c>
      <c r="B23469" t="s">
        <v>10597</v>
      </c>
      <c r="C23469" t="s">
        <v>38028</v>
      </c>
      <c r="D23469" t="s">
        <v>65751</v>
      </c>
      <c r="E23469" t="b">
        <v>0</v>
      </c>
      <c r="F23469" t="s">
        <v>11624</v>
      </c>
      <c r="G23469">
        <v>-13.980510000000001</v>
      </c>
      <c r="H23469">
        <v>141.81611000000001</v>
      </c>
      <c r="I23469" t="s">
        <v>65752</v>
      </c>
      <c r="L23469">
        <v>0</v>
      </c>
      <c r="M23469">
        <v>0</v>
      </c>
      <c r="N23469">
        <v>0</v>
      </c>
      <c r="O23469" t="s">
        <v>12107</v>
      </c>
    </row>
    <row r="23470" spans="1:15">
      <c r="A23470" t="s">
        <v>65753</v>
      </c>
      <c r="B23470" t="s">
        <v>10597</v>
      </c>
      <c r="C23470" t="s">
        <v>10195</v>
      </c>
      <c r="D23470" t="s">
        <v>65754</v>
      </c>
      <c r="E23470" t="b">
        <v>0</v>
      </c>
      <c r="F23470" t="s">
        <v>11610</v>
      </c>
      <c r="L23470">
        <v>0</v>
      </c>
      <c r="M23470">
        <v>0</v>
      </c>
      <c r="N23470">
        <v>0</v>
      </c>
    </row>
    <row r="23471" spans="1:15">
      <c r="A23471" t="s">
        <v>65755</v>
      </c>
      <c r="B23471" t="s">
        <v>10597</v>
      </c>
      <c r="C23471" t="s">
        <v>47296</v>
      </c>
      <c r="D23471" t="s">
        <v>65756</v>
      </c>
      <c r="E23471" t="b">
        <v>0</v>
      </c>
      <c r="F23471" t="s">
        <v>11624</v>
      </c>
      <c r="G23471">
        <v>-13.8691</v>
      </c>
      <c r="H23471">
        <v>141.53200000000001</v>
      </c>
      <c r="I23471" t="s">
        <v>65757</v>
      </c>
      <c r="L23471">
        <v>0</v>
      </c>
      <c r="M23471">
        <v>0</v>
      </c>
      <c r="N23471">
        <v>0</v>
      </c>
      <c r="O23471" t="s">
        <v>12107</v>
      </c>
    </row>
    <row r="23472" spans="1:15">
      <c r="A23472" t="s">
        <v>65758</v>
      </c>
      <c r="B23472" t="s">
        <v>10597</v>
      </c>
      <c r="C23472" t="s">
        <v>23327</v>
      </c>
      <c r="D23472" t="s">
        <v>65759</v>
      </c>
      <c r="E23472" t="b">
        <v>0</v>
      </c>
      <c r="F23472" t="s">
        <v>11624</v>
      </c>
      <c r="G23472">
        <v>-13.495699999999999</v>
      </c>
      <c r="H23472">
        <v>141.59899999999999</v>
      </c>
      <c r="I23472" t="s">
        <v>65760</v>
      </c>
      <c r="L23472">
        <v>0</v>
      </c>
      <c r="M23472">
        <v>0</v>
      </c>
      <c r="N23472">
        <v>0</v>
      </c>
      <c r="O23472" t="s">
        <v>12107</v>
      </c>
    </row>
    <row r="23473" spans="1:15">
      <c r="A23473" t="s">
        <v>65761</v>
      </c>
      <c r="B23473" t="s">
        <v>1588</v>
      </c>
      <c r="C23473" t="s">
        <v>28046</v>
      </c>
      <c r="D23473" t="s">
        <v>65762</v>
      </c>
      <c r="E23473" t="b">
        <v>0</v>
      </c>
      <c r="F23473" t="s">
        <v>11624</v>
      </c>
      <c r="G23473">
        <v>-14.910500000000001</v>
      </c>
      <c r="H23473">
        <v>126.6</v>
      </c>
      <c r="I23473" t="s">
        <v>65763</v>
      </c>
      <c r="L23473">
        <v>0</v>
      </c>
      <c r="M23473">
        <v>0</v>
      </c>
      <c r="N23473">
        <v>0</v>
      </c>
      <c r="O23473" t="s">
        <v>12107</v>
      </c>
    </row>
    <row r="23474" spans="1:15">
      <c r="A23474" t="s">
        <v>65764</v>
      </c>
      <c r="B23474" t="s">
        <v>6742</v>
      </c>
      <c r="C23474" t="s">
        <v>18779</v>
      </c>
      <c r="D23474" t="s">
        <v>65765</v>
      </c>
      <c r="E23474" t="b">
        <v>0</v>
      </c>
      <c r="F23474" t="s">
        <v>11610</v>
      </c>
      <c r="L23474">
        <v>0</v>
      </c>
      <c r="M23474">
        <v>0</v>
      </c>
      <c r="N23474">
        <v>0</v>
      </c>
    </row>
    <row r="23475" spans="1:15">
      <c r="A23475" t="s">
        <v>65766</v>
      </c>
      <c r="B23475" t="s">
        <v>10597</v>
      </c>
      <c r="C23475" t="s">
        <v>15879</v>
      </c>
      <c r="D23475" t="s">
        <v>65767</v>
      </c>
      <c r="E23475" t="b">
        <v>0</v>
      </c>
      <c r="F23475" t="s">
        <v>11610</v>
      </c>
      <c r="L23475">
        <v>0</v>
      </c>
      <c r="M23475">
        <v>0</v>
      </c>
      <c r="N23475">
        <v>0</v>
      </c>
    </row>
    <row r="23476" spans="1:15">
      <c r="A23476" t="s">
        <v>65768</v>
      </c>
      <c r="B23476" t="s">
        <v>11644</v>
      </c>
      <c r="C23476" t="s">
        <v>42842</v>
      </c>
      <c r="D23476" t="s">
        <v>65769</v>
      </c>
      <c r="E23476" t="b">
        <v>0</v>
      </c>
      <c r="F23476" t="s">
        <v>11610</v>
      </c>
      <c r="L23476">
        <v>0</v>
      </c>
      <c r="M23476">
        <v>0</v>
      </c>
      <c r="N23476">
        <v>0</v>
      </c>
    </row>
    <row r="23477" spans="1:15">
      <c r="A23477" t="s">
        <v>19236</v>
      </c>
      <c r="B23477" t="s">
        <v>367</v>
      </c>
      <c r="C23477" t="s">
        <v>16298</v>
      </c>
      <c r="D23477" t="s">
        <v>65770</v>
      </c>
      <c r="E23477" t="b">
        <v>0</v>
      </c>
      <c r="F23477" t="s">
        <v>11622</v>
      </c>
      <c r="L23477">
        <v>2</v>
      </c>
      <c r="M23477">
        <v>4</v>
      </c>
      <c r="N23477">
        <v>8</v>
      </c>
    </row>
    <row r="23478" spans="1:15">
      <c r="A23478" t="s">
        <v>65771</v>
      </c>
      <c r="B23478" t="s">
        <v>11637</v>
      </c>
      <c r="C23478" t="s">
        <v>22295</v>
      </c>
      <c r="D23478" t="s">
        <v>65772</v>
      </c>
      <c r="E23478" t="b">
        <v>0</v>
      </c>
      <c r="F23478" t="s">
        <v>11610</v>
      </c>
      <c r="L23478">
        <v>0</v>
      </c>
      <c r="M23478">
        <v>0</v>
      </c>
      <c r="N23478">
        <v>0</v>
      </c>
    </row>
    <row r="23479" spans="1:15">
      <c r="A23479" t="s">
        <v>65773</v>
      </c>
      <c r="B23479" t="s">
        <v>367</v>
      </c>
      <c r="C23479" t="s">
        <v>16493</v>
      </c>
      <c r="D23479" t="s">
        <v>65774</v>
      </c>
      <c r="E23479" t="b">
        <v>0</v>
      </c>
      <c r="F23479" t="s">
        <v>11610</v>
      </c>
      <c r="L23479">
        <v>0</v>
      </c>
      <c r="M23479">
        <v>0</v>
      </c>
      <c r="N23479">
        <v>0</v>
      </c>
    </row>
    <row r="23480" spans="1:15">
      <c r="A23480" t="s">
        <v>65775</v>
      </c>
      <c r="B23480" t="s">
        <v>11607</v>
      </c>
      <c r="C23480" t="s">
        <v>21749</v>
      </c>
      <c r="D23480" t="s">
        <v>65776</v>
      </c>
      <c r="E23480" t="b">
        <v>0</v>
      </c>
      <c r="F23480" t="s">
        <v>11610</v>
      </c>
      <c r="L23480">
        <v>0</v>
      </c>
      <c r="M23480">
        <v>0</v>
      </c>
      <c r="N23480">
        <v>0</v>
      </c>
    </row>
    <row r="23481" spans="1:15">
      <c r="A23481" t="s">
        <v>65777</v>
      </c>
      <c r="B23481" t="s">
        <v>11637</v>
      </c>
      <c r="C23481" t="s">
        <v>10074</v>
      </c>
      <c r="D23481" t="s">
        <v>65778</v>
      </c>
      <c r="E23481" t="b">
        <v>0</v>
      </c>
      <c r="F23481" t="s">
        <v>11610</v>
      </c>
      <c r="L23481">
        <v>0</v>
      </c>
      <c r="M23481">
        <v>0</v>
      </c>
      <c r="N23481">
        <v>0</v>
      </c>
    </row>
    <row r="23482" spans="1:15">
      <c r="A23482" t="s">
        <v>65779</v>
      </c>
      <c r="B23482" t="s">
        <v>367</v>
      </c>
      <c r="C23482" t="s">
        <v>12480</v>
      </c>
      <c r="D23482" t="s">
        <v>65780</v>
      </c>
      <c r="E23482" t="b">
        <v>0</v>
      </c>
      <c r="F23482" t="s">
        <v>11610</v>
      </c>
      <c r="L23482">
        <v>0</v>
      </c>
      <c r="M23482">
        <v>0</v>
      </c>
      <c r="N23482">
        <v>0</v>
      </c>
    </row>
    <row r="23483" spans="1:15">
      <c r="A23483" t="s">
        <v>65781</v>
      </c>
      <c r="B23483" t="s">
        <v>13411</v>
      </c>
      <c r="C23483" t="s">
        <v>13414</v>
      </c>
      <c r="D23483" t="s">
        <v>65782</v>
      </c>
      <c r="E23483" t="b">
        <v>0</v>
      </c>
      <c r="F23483" t="s">
        <v>11610</v>
      </c>
      <c r="L23483">
        <v>0</v>
      </c>
      <c r="M23483">
        <v>0</v>
      </c>
      <c r="N23483">
        <v>0</v>
      </c>
    </row>
    <row r="23484" spans="1:15">
      <c r="A23484" t="s">
        <v>65783</v>
      </c>
      <c r="B23484" t="s">
        <v>367</v>
      </c>
      <c r="C23484" t="s">
        <v>63956</v>
      </c>
      <c r="D23484" t="s">
        <v>65784</v>
      </c>
      <c r="E23484" t="b">
        <v>0</v>
      </c>
      <c r="F23484" t="s">
        <v>11610</v>
      </c>
      <c r="L23484">
        <v>0</v>
      </c>
      <c r="M23484">
        <v>0</v>
      </c>
      <c r="N23484">
        <v>0</v>
      </c>
    </row>
    <row r="23485" spans="1:15">
      <c r="A23485" t="s">
        <v>65785</v>
      </c>
      <c r="B23485" t="s">
        <v>367</v>
      </c>
      <c r="C23485" t="s">
        <v>44126</v>
      </c>
      <c r="D23485" t="s">
        <v>65786</v>
      </c>
      <c r="E23485" t="b">
        <v>0</v>
      </c>
      <c r="F23485" t="s">
        <v>11610</v>
      </c>
      <c r="L23485">
        <v>0</v>
      </c>
      <c r="M23485">
        <v>0</v>
      </c>
      <c r="N23485">
        <v>0</v>
      </c>
    </row>
    <row r="23486" spans="1:15">
      <c r="A23486" t="s">
        <v>65787</v>
      </c>
      <c r="B23486" t="s">
        <v>12979</v>
      </c>
      <c r="C23486" t="s">
        <v>18485</v>
      </c>
      <c r="D23486" t="s">
        <v>65788</v>
      </c>
      <c r="E23486" t="b">
        <v>0</v>
      </c>
      <c r="F23486" t="s">
        <v>11610</v>
      </c>
      <c r="L23486">
        <v>0</v>
      </c>
      <c r="M23486">
        <v>0</v>
      </c>
      <c r="N23486">
        <v>0</v>
      </c>
    </row>
    <row r="23487" spans="1:15">
      <c r="A23487" t="s">
        <v>65789</v>
      </c>
      <c r="B23487" t="s">
        <v>1588</v>
      </c>
      <c r="C23487" t="s">
        <v>63030</v>
      </c>
      <c r="D23487" t="s">
        <v>65790</v>
      </c>
      <c r="E23487" t="b">
        <v>0</v>
      </c>
      <c r="F23487" t="s">
        <v>11624</v>
      </c>
      <c r="G23487">
        <v>-15.355178</v>
      </c>
      <c r="H23487">
        <v>124.53918400000001</v>
      </c>
      <c r="L23487">
        <v>0</v>
      </c>
      <c r="M23487">
        <v>0</v>
      </c>
      <c r="N23487">
        <v>0</v>
      </c>
      <c r="O23487" t="s">
        <v>12107</v>
      </c>
    </row>
    <row r="23488" spans="1:15">
      <c r="A23488" t="s">
        <v>31321</v>
      </c>
      <c r="B23488" t="s">
        <v>8897</v>
      </c>
      <c r="C23488" t="s">
        <v>23901</v>
      </c>
      <c r="D23488" t="s">
        <v>65791</v>
      </c>
      <c r="E23488" t="b">
        <v>0</v>
      </c>
      <c r="F23488" t="s">
        <v>11622</v>
      </c>
      <c r="L23488">
        <v>0</v>
      </c>
      <c r="M23488">
        <v>2</v>
      </c>
      <c r="N23488">
        <v>5</v>
      </c>
    </row>
    <row r="23489" spans="1:15">
      <c r="A23489" t="s">
        <v>65792</v>
      </c>
      <c r="B23489" t="s">
        <v>367</v>
      </c>
      <c r="C23489" t="s">
        <v>20672</v>
      </c>
      <c r="D23489" t="s">
        <v>65793</v>
      </c>
      <c r="E23489" t="b">
        <v>0</v>
      </c>
      <c r="F23489" t="s">
        <v>11610</v>
      </c>
      <c r="L23489">
        <v>0</v>
      </c>
      <c r="M23489">
        <v>0</v>
      </c>
      <c r="N23489">
        <v>0</v>
      </c>
    </row>
    <row r="23490" spans="1:15">
      <c r="A23490" t="s">
        <v>48122</v>
      </c>
      <c r="D23490" t="s">
        <v>65794</v>
      </c>
      <c r="E23490" t="b">
        <v>0</v>
      </c>
      <c r="F23490" t="s">
        <v>11622</v>
      </c>
      <c r="L23490">
        <v>0</v>
      </c>
      <c r="M23490">
        <v>2</v>
      </c>
      <c r="N23490">
        <v>2</v>
      </c>
    </row>
    <row r="23491" spans="1:15">
      <c r="A23491" t="s">
        <v>48123</v>
      </c>
      <c r="B23491" t="s">
        <v>48122</v>
      </c>
      <c r="C23491" t="s">
        <v>48122</v>
      </c>
      <c r="D23491" t="s">
        <v>65795</v>
      </c>
      <c r="E23491" t="b">
        <v>0</v>
      </c>
      <c r="F23491" t="s">
        <v>11624</v>
      </c>
      <c r="G23491">
        <v>39.717599999999997</v>
      </c>
      <c r="H23491">
        <v>-122.44499999999999</v>
      </c>
      <c r="I23491" t="s">
        <v>65796</v>
      </c>
      <c r="L23491">
        <v>0</v>
      </c>
      <c r="M23491">
        <v>0</v>
      </c>
      <c r="N23491">
        <v>2</v>
      </c>
      <c r="O23491" t="s">
        <v>11944</v>
      </c>
    </row>
    <row r="23492" spans="1:15">
      <c r="A23492" t="s">
        <v>65797</v>
      </c>
      <c r="B23492" t="s">
        <v>6742</v>
      </c>
      <c r="C23492" t="s">
        <v>52965</v>
      </c>
      <c r="D23492" t="s">
        <v>65798</v>
      </c>
      <c r="E23492" t="b">
        <v>0</v>
      </c>
      <c r="F23492" t="s">
        <v>11624</v>
      </c>
      <c r="G23492">
        <v>11.8239</v>
      </c>
      <c r="H23492">
        <v>-2.9751799999999999</v>
      </c>
      <c r="I23492" t="s">
        <v>65799</v>
      </c>
      <c r="L23492">
        <v>0</v>
      </c>
      <c r="M23492">
        <v>0</v>
      </c>
      <c r="N23492">
        <v>0</v>
      </c>
      <c r="O23492" t="s">
        <v>19305</v>
      </c>
    </row>
    <row r="23493" spans="1:15">
      <c r="A23493" t="s">
        <v>11687</v>
      </c>
      <c r="B23493" t="s">
        <v>11686</v>
      </c>
      <c r="C23493" t="s">
        <v>11686</v>
      </c>
      <c r="D23493" t="s">
        <v>65800</v>
      </c>
      <c r="E23493" t="b">
        <v>0</v>
      </c>
      <c r="F23493" t="s">
        <v>11624</v>
      </c>
      <c r="G23493">
        <v>-8.7974099999999993</v>
      </c>
      <c r="H23493">
        <v>143.06399999999999</v>
      </c>
      <c r="I23493" t="s">
        <v>65801</v>
      </c>
      <c r="L23493">
        <v>0</v>
      </c>
      <c r="M23493">
        <v>0</v>
      </c>
      <c r="N23493">
        <v>15</v>
      </c>
      <c r="O23493" t="s">
        <v>11660</v>
      </c>
    </row>
    <row r="23494" spans="1:15">
      <c r="A23494" t="s">
        <v>65802</v>
      </c>
      <c r="B23494" t="s">
        <v>11686</v>
      </c>
      <c r="C23494" t="s">
        <v>11687</v>
      </c>
      <c r="D23494" t="s">
        <v>65803</v>
      </c>
      <c r="E23494" t="b">
        <v>0</v>
      </c>
      <c r="F23494" t="s">
        <v>11610</v>
      </c>
      <c r="L23494">
        <v>0</v>
      </c>
      <c r="M23494">
        <v>0</v>
      </c>
      <c r="N23494">
        <v>0</v>
      </c>
    </row>
    <row r="23495" spans="1:15">
      <c r="A23495" t="s">
        <v>65804</v>
      </c>
      <c r="B23495" t="s">
        <v>11627</v>
      </c>
      <c r="C23495" t="s">
        <v>11627</v>
      </c>
      <c r="D23495" t="s">
        <v>65805</v>
      </c>
      <c r="E23495" t="b">
        <v>1</v>
      </c>
      <c r="F23495" t="s">
        <v>11624</v>
      </c>
      <c r="G23495">
        <v>-31.6356</v>
      </c>
      <c r="H23495">
        <v>131.71899999999999</v>
      </c>
      <c r="I23495" t="s">
        <v>65806</v>
      </c>
      <c r="L23495">
        <v>0</v>
      </c>
      <c r="M23495">
        <v>0</v>
      </c>
      <c r="N23495">
        <v>0</v>
      </c>
      <c r="O23495" t="s">
        <v>12107</v>
      </c>
    </row>
    <row r="23496" spans="1:15">
      <c r="A23496" t="s">
        <v>28466</v>
      </c>
      <c r="B23496" t="s">
        <v>10597</v>
      </c>
      <c r="C23496" t="s">
        <v>47111</v>
      </c>
      <c r="D23496" t="s">
        <v>65807</v>
      </c>
      <c r="E23496" t="b">
        <v>0</v>
      </c>
      <c r="F23496" t="s">
        <v>11622</v>
      </c>
      <c r="L23496">
        <v>0</v>
      </c>
      <c r="M23496">
        <v>3</v>
      </c>
      <c r="N23496">
        <v>8</v>
      </c>
    </row>
    <row r="23497" spans="1:15">
      <c r="A23497" t="s">
        <v>65808</v>
      </c>
      <c r="B23497" t="s">
        <v>10597</v>
      </c>
      <c r="C23497" t="s">
        <v>28466</v>
      </c>
      <c r="D23497" t="s">
        <v>65809</v>
      </c>
      <c r="E23497" t="b">
        <v>0</v>
      </c>
      <c r="F23497" t="s">
        <v>11624</v>
      </c>
      <c r="G23497">
        <v>-34.074199999999998</v>
      </c>
      <c r="H23497">
        <v>145.994</v>
      </c>
      <c r="I23497" t="s">
        <v>65810</v>
      </c>
      <c r="L23497">
        <v>0</v>
      </c>
      <c r="M23497">
        <v>0</v>
      </c>
      <c r="N23497">
        <v>0</v>
      </c>
      <c r="O23497" t="s">
        <v>12107</v>
      </c>
    </row>
    <row r="23498" spans="1:15">
      <c r="A23498" t="s">
        <v>65811</v>
      </c>
      <c r="B23498" t="s">
        <v>11729</v>
      </c>
      <c r="C23498" t="s">
        <v>33807</v>
      </c>
      <c r="D23498" t="s">
        <v>65812</v>
      </c>
      <c r="E23498" t="b">
        <v>0</v>
      </c>
      <c r="F23498" t="s">
        <v>11610</v>
      </c>
      <c r="L23498">
        <v>0</v>
      </c>
      <c r="M23498">
        <v>0</v>
      </c>
      <c r="N23498">
        <v>0</v>
      </c>
    </row>
    <row r="23499" spans="1:15">
      <c r="A23499" t="s">
        <v>65813</v>
      </c>
      <c r="B23499" t="s">
        <v>11912</v>
      </c>
      <c r="C23499" t="s">
        <v>33764</v>
      </c>
      <c r="D23499" t="s">
        <v>65814</v>
      </c>
      <c r="E23499" t="b">
        <v>0</v>
      </c>
      <c r="F23499" t="s">
        <v>11624</v>
      </c>
      <c r="G23499">
        <v>-9.3053699999999999</v>
      </c>
      <c r="H23499">
        <v>-59.476900000000001</v>
      </c>
      <c r="I23499" t="s">
        <v>65815</v>
      </c>
      <c r="L23499">
        <v>0</v>
      </c>
      <c r="M23499">
        <v>0</v>
      </c>
      <c r="N23499">
        <v>0</v>
      </c>
      <c r="O23499" t="s">
        <v>11969</v>
      </c>
    </row>
    <row r="23500" spans="1:15">
      <c r="A23500" t="s">
        <v>65816</v>
      </c>
      <c r="B23500" t="s">
        <v>10597</v>
      </c>
      <c r="C23500" t="s">
        <v>23422</v>
      </c>
      <c r="D23500" t="s">
        <v>65817</v>
      </c>
      <c r="E23500" t="b">
        <v>0</v>
      </c>
      <c r="F23500" t="s">
        <v>11624</v>
      </c>
      <c r="G23500">
        <v>-32</v>
      </c>
      <c r="H23500">
        <v>134</v>
      </c>
      <c r="I23500" t="s">
        <v>65818</v>
      </c>
      <c r="L23500">
        <v>0</v>
      </c>
      <c r="M23500">
        <v>0</v>
      </c>
      <c r="N23500">
        <v>0</v>
      </c>
      <c r="O23500" t="s">
        <v>12107</v>
      </c>
    </row>
    <row r="23501" spans="1:15">
      <c r="A23501" t="s">
        <v>65819</v>
      </c>
      <c r="B23501" t="s">
        <v>10597</v>
      </c>
      <c r="C23501" t="s">
        <v>28465</v>
      </c>
      <c r="D23501" t="s">
        <v>65820</v>
      </c>
      <c r="E23501" t="b">
        <v>0</v>
      </c>
      <c r="F23501" t="s">
        <v>11610</v>
      </c>
      <c r="L23501">
        <v>0</v>
      </c>
      <c r="M23501">
        <v>0</v>
      </c>
      <c r="N23501">
        <v>0</v>
      </c>
    </row>
    <row r="23502" spans="1:15">
      <c r="A23502" t="s">
        <v>65821</v>
      </c>
      <c r="D23502" t="s">
        <v>65822</v>
      </c>
      <c r="E23502" t="b">
        <v>0</v>
      </c>
      <c r="F23502" t="s">
        <v>11624</v>
      </c>
      <c r="G23502">
        <v>-6.3586299999999998</v>
      </c>
      <c r="H23502">
        <v>144.214</v>
      </c>
      <c r="I23502" t="s">
        <v>65823</v>
      </c>
      <c r="L23502">
        <v>0</v>
      </c>
      <c r="M23502">
        <v>0</v>
      </c>
      <c r="N23502">
        <v>0</v>
      </c>
      <c r="O23502" t="s">
        <v>11660</v>
      </c>
    </row>
    <row r="23503" spans="1:15">
      <c r="A23503" t="s">
        <v>65824</v>
      </c>
      <c r="B23503" t="s">
        <v>8897</v>
      </c>
      <c r="C23503" t="s">
        <v>31320</v>
      </c>
      <c r="D23503" t="s">
        <v>65825</v>
      </c>
      <c r="E23503" t="b">
        <v>0</v>
      </c>
      <c r="F23503" t="s">
        <v>11610</v>
      </c>
      <c r="L23503">
        <v>0</v>
      </c>
      <c r="M23503">
        <v>0</v>
      </c>
      <c r="N23503">
        <v>0</v>
      </c>
    </row>
    <row r="23504" spans="1:15">
      <c r="A23504" t="s">
        <v>53388</v>
      </c>
      <c r="B23504" t="s">
        <v>367</v>
      </c>
      <c r="C23504" t="s">
        <v>33881</v>
      </c>
      <c r="D23504" t="s">
        <v>65826</v>
      </c>
      <c r="E23504" t="b">
        <v>0</v>
      </c>
      <c r="F23504" t="s">
        <v>11610</v>
      </c>
      <c r="L23504">
        <v>0</v>
      </c>
      <c r="M23504">
        <v>0</v>
      </c>
      <c r="N23504">
        <v>2</v>
      </c>
    </row>
    <row r="23505" spans="1:15">
      <c r="A23505" t="s">
        <v>65827</v>
      </c>
      <c r="B23505" t="s">
        <v>11637</v>
      </c>
      <c r="C23505" t="s">
        <v>26858</v>
      </c>
      <c r="D23505" t="s">
        <v>65828</v>
      </c>
      <c r="E23505" t="b">
        <v>0</v>
      </c>
      <c r="F23505" t="s">
        <v>11610</v>
      </c>
      <c r="L23505">
        <v>0</v>
      </c>
      <c r="M23505">
        <v>0</v>
      </c>
      <c r="N23505">
        <v>0</v>
      </c>
    </row>
    <row r="23506" spans="1:15">
      <c r="A23506" t="s">
        <v>65829</v>
      </c>
      <c r="B23506" t="s">
        <v>367</v>
      </c>
      <c r="C23506" t="s">
        <v>14733</v>
      </c>
      <c r="D23506" t="s">
        <v>65830</v>
      </c>
      <c r="E23506" t="b">
        <v>0</v>
      </c>
      <c r="F23506" t="s">
        <v>11610</v>
      </c>
      <c r="L23506">
        <v>0</v>
      </c>
      <c r="M23506">
        <v>0</v>
      </c>
      <c r="N23506">
        <v>0</v>
      </c>
    </row>
    <row r="23507" spans="1:15">
      <c r="A23507" t="s">
        <v>65831</v>
      </c>
      <c r="B23507" t="s">
        <v>12487</v>
      </c>
      <c r="C23507" t="s">
        <v>13970</v>
      </c>
      <c r="D23507" t="s">
        <v>65832</v>
      </c>
      <c r="E23507" t="b">
        <v>0</v>
      </c>
      <c r="F23507" t="s">
        <v>11610</v>
      </c>
      <c r="L23507">
        <v>0</v>
      </c>
      <c r="M23507">
        <v>0</v>
      </c>
      <c r="N23507">
        <v>0</v>
      </c>
    </row>
    <row r="23508" spans="1:15">
      <c r="A23508" t="s">
        <v>65833</v>
      </c>
      <c r="B23508" t="s">
        <v>10597</v>
      </c>
      <c r="C23508" t="s">
        <v>16587</v>
      </c>
      <c r="D23508" t="s">
        <v>65834</v>
      </c>
      <c r="E23508" t="b">
        <v>0</v>
      </c>
      <c r="F23508" t="s">
        <v>11610</v>
      </c>
      <c r="L23508">
        <v>0</v>
      </c>
      <c r="M23508">
        <v>0</v>
      </c>
      <c r="N23508">
        <v>0</v>
      </c>
    </row>
    <row r="23509" spans="1:15">
      <c r="A23509" t="s">
        <v>65835</v>
      </c>
      <c r="B23509" t="s">
        <v>6742</v>
      </c>
      <c r="C23509" t="s">
        <v>40194</v>
      </c>
      <c r="D23509" t="s">
        <v>65836</v>
      </c>
      <c r="E23509" t="b">
        <v>0</v>
      </c>
      <c r="F23509" t="s">
        <v>11610</v>
      </c>
      <c r="L23509">
        <v>0</v>
      </c>
      <c r="M23509">
        <v>0</v>
      </c>
      <c r="N23509">
        <v>0</v>
      </c>
    </row>
    <row r="23510" spans="1:15">
      <c r="A23510" t="s">
        <v>65837</v>
      </c>
      <c r="B23510" t="s">
        <v>12979</v>
      </c>
      <c r="C23510" t="s">
        <v>12979</v>
      </c>
      <c r="D23510" t="s">
        <v>65838</v>
      </c>
      <c r="E23510" t="b">
        <v>0</v>
      </c>
      <c r="F23510" t="s">
        <v>11624</v>
      </c>
      <c r="G23510">
        <v>39.249200000000002</v>
      </c>
      <c r="H23510">
        <v>-122.952</v>
      </c>
      <c r="I23510" t="s">
        <v>65839</v>
      </c>
      <c r="L23510">
        <v>0</v>
      </c>
      <c r="M23510">
        <v>0</v>
      </c>
      <c r="N23510">
        <v>0</v>
      </c>
      <c r="O23510" t="s">
        <v>11944</v>
      </c>
    </row>
    <row r="23511" spans="1:15">
      <c r="A23511" t="s">
        <v>65840</v>
      </c>
      <c r="B23511" t="s">
        <v>6742</v>
      </c>
      <c r="C23511" t="s">
        <v>25446</v>
      </c>
      <c r="D23511" t="s">
        <v>65841</v>
      </c>
      <c r="E23511" t="b">
        <v>0</v>
      </c>
      <c r="F23511" t="s">
        <v>11610</v>
      </c>
      <c r="L23511">
        <v>0</v>
      </c>
      <c r="M23511">
        <v>0</v>
      </c>
      <c r="N23511">
        <v>0</v>
      </c>
    </row>
    <row r="23512" spans="1:15">
      <c r="A23512" t="s">
        <v>65842</v>
      </c>
      <c r="B23512" t="s">
        <v>6742</v>
      </c>
      <c r="C23512" t="s">
        <v>16872</v>
      </c>
      <c r="D23512" t="s">
        <v>65843</v>
      </c>
      <c r="E23512" t="b">
        <v>0</v>
      </c>
      <c r="F23512" t="s">
        <v>11610</v>
      </c>
      <c r="L23512">
        <v>0</v>
      </c>
      <c r="M23512">
        <v>0</v>
      </c>
      <c r="N23512">
        <v>0</v>
      </c>
    </row>
    <row r="23513" spans="1:15">
      <c r="A23513" t="s">
        <v>65844</v>
      </c>
      <c r="B23513" t="s">
        <v>6742</v>
      </c>
      <c r="C23513" t="s">
        <v>25446</v>
      </c>
      <c r="D23513" t="s">
        <v>65845</v>
      </c>
      <c r="E23513" t="b">
        <v>0</v>
      </c>
      <c r="F23513" t="s">
        <v>11610</v>
      </c>
      <c r="L23513">
        <v>0</v>
      </c>
      <c r="M23513">
        <v>0</v>
      </c>
      <c r="N23513">
        <v>0</v>
      </c>
    </row>
    <row r="23514" spans="1:15">
      <c r="A23514" t="s">
        <v>65846</v>
      </c>
      <c r="B23514" t="s">
        <v>8897</v>
      </c>
      <c r="C23514" t="s">
        <v>21216</v>
      </c>
      <c r="D23514" t="s">
        <v>65847</v>
      </c>
      <c r="E23514" t="b">
        <v>0</v>
      </c>
      <c r="F23514" t="s">
        <v>11624</v>
      </c>
      <c r="I23514" t="s">
        <v>65848</v>
      </c>
      <c r="L23514">
        <v>0</v>
      </c>
      <c r="M23514">
        <v>0</v>
      </c>
      <c r="N23514">
        <v>0</v>
      </c>
      <c r="O23514" t="s">
        <v>11944</v>
      </c>
    </row>
    <row r="23515" spans="1:15">
      <c r="A23515" t="s">
        <v>65849</v>
      </c>
      <c r="B23515" t="s">
        <v>6742</v>
      </c>
      <c r="C23515" t="s">
        <v>21452</v>
      </c>
      <c r="D23515" t="s">
        <v>1634</v>
      </c>
      <c r="E23515" t="b">
        <v>0</v>
      </c>
      <c r="F23515" t="s">
        <v>11610</v>
      </c>
      <c r="L23515">
        <v>0</v>
      </c>
      <c r="M23515">
        <v>0</v>
      </c>
      <c r="N23515">
        <v>0</v>
      </c>
    </row>
    <row r="23516" spans="1:15">
      <c r="A23516" t="s">
        <v>22408</v>
      </c>
      <c r="B23516" t="s">
        <v>11705</v>
      </c>
      <c r="C23516" t="s">
        <v>32948</v>
      </c>
      <c r="D23516" t="s">
        <v>65850</v>
      </c>
      <c r="E23516" t="b">
        <v>0</v>
      </c>
      <c r="F23516" t="s">
        <v>11622</v>
      </c>
      <c r="L23516">
        <v>0</v>
      </c>
      <c r="M23516">
        <v>2</v>
      </c>
      <c r="N23516">
        <v>0</v>
      </c>
    </row>
    <row r="23517" spans="1:15">
      <c r="A23517" t="s">
        <v>65851</v>
      </c>
      <c r="B23517" t="s">
        <v>11705</v>
      </c>
      <c r="C23517" t="s">
        <v>22408</v>
      </c>
      <c r="D23517" t="s">
        <v>65852</v>
      </c>
      <c r="E23517" t="b">
        <v>0</v>
      </c>
      <c r="F23517" t="s">
        <v>11624</v>
      </c>
      <c r="G23517">
        <v>-4.2293599999999998</v>
      </c>
      <c r="H23517">
        <v>142.40100000000001</v>
      </c>
      <c r="I23517" t="s">
        <v>65853</v>
      </c>
      <c r="L23517">
        <v>0</v>
      </c>
      <c r="M23517">
        <v>0</v>
      </c>
      <c r="N23517">
        <v>0</v>
      </c>
      <c r="O23517" t="s">
        <v>11660</v>
      </c>
    </row>
    <row r="23518" spans="1:15">
      <c r="A23518" t="s">
        <v>65854</v>
      </c>
      <c r="B23518" t="s">
        <v>367</v>
      </c>
      <c r="C23518" t="s">
        <v>36705</v>
      </c>
      <c r="D23518" t="s">
        <v>65855</v>
      </c>
      <c r="E23518" t="b">
        <v>0</v>
      </c>
      <c r="F23518" t="s">
        <v>11624</v>
      </c>
      <c r="G23518">
        <v>-3.2023799999999998</v>
      </c>
      <c r="H23518">
        <v>144.089</v>
      </c>
      <c r="I23518" t="s">
        <v>65856</v>
      </c>
      <c r="L23518">
        <v>0</v>
      </c>
      <c r="M23518">
        <v>0</v>
      </c>
      <c r="N23518">
        <v>0</v>
      </c>
      <c r="O23518" t="s">
        <v>11660</v>
      </c>
    </row>
    <row r="23519" spans="1:15">
      <c r="A23519" t="s">
        <v>65857</v>
      </c>
      <c r="B23519" t="s">
        <v>11637</v>
      </c>
      <c r="C23519" t="s">
        <v>16887</v>
      </c>
      <c r="D23519" t="s">
        <v>65858</v>
      </c>
      <c r="E23519" t="b">
        <v>0</v>
      </c>
      <c r="F23519" t="s">
        <v>11610</v>
      </c>
      <c r="L23519">
        <v>0</v>
      </c>
      <c r="M23519">
        <v>0</v>
      </c>
      <c r="N23519">
        <v>0</v>
      </c>
    </row>
    <row r="23520" spans="1:15">
      <c r="A23520" t="s">
        <v>65859</v>
      </c>
      <c r="B23520" t="s">
        <v>11686</v>
      </c>
      <c r="C23520" t="s">
        <v>11687</v>
      </c>
      <c r="D23520" t="s">
        <v>65860</v>
      </c>
      <c r="E23520" t="b">
        <v>0</v>
      </c>
      <c r="F23520" t="s">
        <v>11610</v>
      </c>
      <c r="L23520">
        <v>0</v>
      </c>
      <c r="M23520">
        <v>0</v>
      </c>
      <c r="N23520">
        <v>0</v>
      </c>
    </row>
    <row r="23521" spans="1:15">
      <c r="A23521" t="s">
        <v>65861</v>
      </c>
      <c r="B23521" t="s">
        <v>367</v>
      </c>
      <c r="C23521" t="s">
        <v>13339</v>
      </c>
      <c r="D23521" t="s">
        <v>65862</v>
      </c>
      <c r="E23521" t="b">
        <v>0</v>
      </c>
      <c r="F23521" t="s">
        <v>11624</v>
      </c>
      <c r="G23521">
        <v>-1.6274599999999999</v>
      </c>
      <c r="H23521">
        <v>135.48400000000001</v>
      </c>
      <c r="I23521" t="s">
        <v>65863</v>
      </c>
      <c r="L23521">
        <v>0</v>
      </c>
      <c r="M23521">
        <v>0</v>
      </c>
      <c r="N23521">
        <v>0</v>
      </c>
      <c r="O23521" t="s">
        <v>11768</v>
      </c>
    </row>
    <row r="23522" spans="1:15">
      <c r="A23522" t="s">
        <v>24233</v>
      </c>
      <c r="B23522" t="s">
        <v>10597</v>
      </c>
      <c r="C23522" t="s">
        <v>49469</v>
      </c>
      <c r="D23522" t="s">
        <v>65864</v>
      </c>
      <c r="E23522" t="b">
        <v>0</v>
      </c>
      <c r="F23522" t="s">
        <v>11624</v>
      </c>
      <c r="G23522">
        <v>-37.642645010000003</v>
      </c>
      <c r="H23522">
        <v>145.58799619999999</v>
      </c>
      <c r="I23522" t="s">
        <v>65865</v>
      </c>
      <c r="L23522">
        <v>0</v>
      </c>
      <c r="M23522">
        <v>0</v>
      </c>
      <c r="N23522">
        <v>2</v>
      </c>
      <c r="O23522" t="s">
        <v>12107</v>
      </c>
    </row>
    <row r="23523" spans="1:15">
      <c r="A23523" t="s">
        <v>65866</v>
      </c>
      <c r="B23523" t="s">
        <v>10597</v>
      </c>
      <c r="C23523" t="s">
        <v>24233</v>
      </c>
      <c r="D23523" t="s">
        <v>65867</v>
      </c>
      <c r="E23523" t="b">
        <v>0</v>
      </c>
      <c r="F23523" t="s">
        <v>11610</v>
      </c>
      <c r="L23523">
        <v>0</v>
      </c>
      <c r="M23523">
        <v>0</v>
      </c>
      <c r="N23523">
        <v>0</v>
      </c>
    </row>
    <row r="23524" spans="1:15">
      <c r="A23524" t="s">
        <v>19075</v>
      </c>
      <c r="B23524" t="s">
        <v>13276</v>
      </c>
      <c r="C23524" t="s">
        <v>37509</v>
      </c>
      <c r="D23524" t="s">
        <v>65868</v>
      </c>
      <c r="E23524" t="b">
        <v>0</v>
      </c>
      <c r="F23524" t="s">
        <v>11624</v>
      </c>
      <c r="G23524">
        <v>9.7258200000000006</v>
      </c>
      <c r="H23524">
        <v>-7.6104000000000003</v>
      </c>
      <c r="I23524" t="s">
        <v>65869</v>
      </c>
      <c r="L23524">
        <v>0</v>
      </c>
      <c r="M23524">
        <v>0</v>
      </c>
      <c r="N23524">
        <v>7</v>
      </c>
      <c r="O23524" t="s">
        <v>65870</v>
      </c>
    </row>
    <row r="23525" spans="1:15">
      <c r="A23525" t="s">
        <v>65871</v>
      </c>
      <c r="B23525" t="s">
        <v>6742</v>
      </c>
      <c r="C23525" t="s">
        <v>8097</v>
      </c>
      <c r="D23525" t="s">
        <v>65872</v>
      </c>
      <c r="E23525" t="b">
        <v>0</v>
      </c>
      <c r="F23525" t="s">
        <v>11610</v>
      </c>
      <c r="L23525">
        <v>0</v>
      </c>
      <c r="M23525">
        <v>0</v>
      </c>
      <c r="N23525">
        <v>0</v>
      </c>
    </row>
    <row r="23526" spans="1:15">
      <c r="A23526" t="s">
        <v>65873</v>
      </c>
      <c r="B23526" t="s">
        <v>8310</v>
      </c>
      <c r="C23526" t="s">
        <v>23643</v>
      </c>
      <c r="D23526" t="s">
        <v>65874</v>
      </c>
      <c r="E23526" t="b">
        <v>0</v>
      </c>
      <c r="F23526" t="s">
        <v>11610</v>
      </c>
      <c r="L23526">
        <v>0</v>
      </c>
      <c r="M23526">
        <v>0</v>
      </c>
      <c r="N23526">
        <v>0</v>
      </c>
    </row>
    <row r="23527" spans="1:15">
      <c r="A23527" t="s">
        <v>65875</v>
      </c>
      <c r="B23527" t="s">
        <v>13571</v>
      </c>
      <c r="C23527" t="s">
        <v>21507</v>
      </c>
      <c r="D23527" t="s">
        <v>65876</v>
      </c>
      <c r="E23527" t="b">
        <v>0</v>
      </c>
      <c r="F23527" t="s">
        <v>11624</v>
      </c>
      <c r="G23527">
        <v>6.3266799999999996</v>
      </c>
      <c r="H23527">
        <v>37.753700000000002</v>
      </c>
      <c r="I23527" t="s">
        <v>65877</v>
      </c>
      <c r="L23527">
        <v>0</v>
      </c>
      <c r="M23527">
        <v>0</v>
      </c>
      <c r="N23527">
        <v>1</v>
      </c>
      <c r="O23527" t="s">
        <v>11625</v>
      </c>
    </row>
    <row r="23528" spans="1:15">
      <c r="A23528" t="s">
        <v>65878</v>
      </c>
      <c r="B23528" t="s">
        <v>11615</v>
      </c>
      <c r="C23528" t="s">
        <v>15225</v>
      </c>
      <c r="D23528" t="s">
        <v>65879</v>
      </c>
      <c r="E23528" t="b">
        <v>0</v>
      </c>
      <c r="F23528" t="s">
        <v>11624</v>
      </c>
      <c r="G23528">
        <v>-3.41642</v>
      </c>
      <c r="H23528">
        <v>136.703</v>
      </c>
      <c r="I23528" t="s">
        <v>65880</v>
      </c>
      <c r="L23528">
        <v>0</v>
      </c>
      <c r="M23528">
        <v>0</v>
      </c>
      <c r="N23528">
        <v>0</v>
      </c>
      <c r="O23528" t="s">
        <v>11768</v>
      </c>
    </row>
    <row r="23529" spans="1:15">
      <c r="A23529" t="s">
        <v>65881</v>
      </c>
      <c r="B23529" t="s">
        <v>11607</v>
      </c>
      <c r="C23529" t="s">
        <v>57293</v>
      </c>
      <c r="D23529" t="s">
        <v>65882</v>
      </c>
      <c r="E23529" t="b">
        <v>0</v>
      </c>
      <c r="F23529" t="s">
        <v>11624</v>
      </c>
      <c r="G23529">
        <v>8.23</v>
      </c>
      <c r="H23529">
        <v>38.14</v>
      </c>
      <c r="I23529" t="s">
        <v>65883</v>
      </c>
      <c r="L23529">
        <v>0</v>
      </c>
      <c r="M23529">
        <v>0</v>
      </c>
      <c r="N23529">
        <v>0</v>
      </c>
      <c r="O23529" t="s">
        <v>11625</v>
      </c>
    </row>
    <row r="23530" spans="1:15">
      <c r="A23530" t="s">
        <v>10853</v>
      </c>
      <c r="B23530" t="s">
        <v>367</v>
      </c>
      <c r="C23530" t="s">
        <v>21906</v>
      </c>
      <c r="D23530" t="s">
        <v>65884</v>
      </c>
      <c r="E23530" t="b">
        <v>0</v>
      </c>
      <c r="F23530" t="s">
        <v>11624</v>
      </c>
      <c r="G23530">
        <v>7.3795700000000002</v>
      </c>
      <c r="H23530">
        <v>143.916</v>
      </c>
      <c r="I23530" t="s">
        <v>10854</v>
      </c>
      <c r="L23530">
        <v>0</v>
      </c>
      <c r="M23530">
        <v>0</v>
      </c>
      <c r="N23530">
        <v>2</v>
      </c>
      <c r="O23530" t="s">
        <v>22994</v>
      </c>
    </row>
    <row r="23531" spans="1:15">
      <c r="A23531" t="s">
        <v>34531</v>
      </c>
      <c r="B23531" t="s">
        <v>367</v>
      </c>
      <c r="C23531" t="s">
        <v>34386</v>
      </c>
      <c r="D23531" t="s">
        <v>65885</v>
      </c>
      <c r="E23531" t="b">
        <v>0</v>
      </c>
      <c r="F23531" t="s">
        <v>11622</v>
      </c>
      <c r="L23531">
        <v>0</v>
      </c>
      <c r="M23531">
        <v>2</v>
      </c>
      <c r="N23531">
        <v>0</v>
      </c>
    </row>
    <row r="23532" spans="1:15">
      <c r="A23532" t="s">
        <v>65886</v>
      </c>
      <c r="B23532" t="s">
        <v>367</v>
      </c>
      <c r="C23532" t="s">
        <v>34531</v>
      </c>
      <c r="D23532" t="s">
        <v>65887</v>
      </c>
      <c r="E23532" t="b">
        <v>0</v>
      </c>
      <c r="F23532" t="s">
        <v>11624</v>
      </c>
      <c r="G23532">
        <v>-5.33</v>
      </c>
      <c r="H23532">
        <v>122.67</v>
      </c>
      <c r="I23532" t="s">
        <v>65888</v>
      </c>
      <c r="L23532">
        <v>0</v>
      </c>
      <c r="M23532">
        <v>0</v>
      </c>
      <c r="N23532">
        <v>0</v>
      </c>
      <c r="O23532" t="s">
        <v>11768</v>
      </c>
    </row>
    <row r="23533" spans="1:15">
      <c r="A23533" t="s">
        <v>28445</v>
      </c>
      <c r="B23533" t="s">
        <v>6742</v>
      </c>
      <c r="C23533" t="s">
        <v>26476</v>
      </c>
      <c r="D23533" t="s">
        <v>65889</v>
      </c>
      <c r="E23533" t="b">
        <v>0</v>
      </c>
      <c r="F23533" t="s">
        <v>11622</v>
      </c>
      <c r="L23533">
        <v>0</v>
      </c>
      <c r="M23533">
        <v>3</v>
      </c>
      <c r="N23533">
        <v>6</v>
      </c>
    </row>
    <row r="23534" spans="1:15">
      <c r="A23534" t="s">
        <v>26476</v>
      </c>
      <c r="B23534" t="s">
        <v>6742</v>
      </c>
      <c r="C23534" t="s">
        <v>21059</v>
      </c>
      <c r="D23534" t="s">
        <v>65890</v>
      </c>
      <c r="E23534" t="b">
        <v>0</v>
      </c>
      <c r="F23534" t="s">
        <v>11622</v>
      </c>
      <c r="L23534">
        <v>4</v>
      </c>
      <c r="M23534">
        <v>9</v>
      </c>
      <c r="N23534">
        <v>8</v>
      </c>
    </row>
    <row r="23535" spans="1:15">
      <c r="A23535" t="s">
        <v>65891</v>
      </c>
      <c r="B23535" t="s">
        <v>1588</v>
      </c>
      <c r="C23535" t="s">
        <v>2656</v>
      </c>
      <c r="D23535" t="s">
        <v>65892</v>
      </c>
      <c r="E23535" t="b">
        <v>0</v>
      </c>
      <c r="F23535" t="s">
        <v>11610</v>
      </c>
      <c r="G23535">
        <v>-15.557223</v>
      </c>
      <c r="H23535">
        <v>126.22154999999999</v>
      </c>
      <c r="L23535">
        <v>0</v>
      </c>
      <c r="M23535">
        <v>0</v>
      </c>
      <c r="N23535">
        <v>0</v>
      </c>
    </row>
    <row r="23536" spans="1:15">
      <c r="A23536" t="s">
        <v>65893</v>
      </c>
      <c r="B23536" t="s">
        <v>6742</v>
      </c>
      <c r="C23536" t="s">
        <v>50657</v>
      </c>
      <c r="D23536" t="s">
        <v>65894</v>
      </c>
      <c r="E23536" t="b">
        <v>0</v>
      </c>
      <c r="F23536" t="s">
        <v>11624</v>
      </c>
      <c r="G23536">
        <v>8.9270800000000001</v>
      </c>
      <c r="H23536">
        <v>12.4533</v>
      </c>
      <c r="I23536" t="s">
        <v>65895</v>
      </c>
      <c r="L23536">
        <v>0</v>
      </c>
      <c r="M23536">
        <v>0</v>
      </c>
      <c r="N23536">
        <v>0</v>
      </c>
      <c r="O23536" t="s">
        <v>11693</v>
      </c>
    </row>
    <row r="23537" spans="1:15">
      <c r="A23537" t="s">
        <v>59269</v>
      </c>
      <c r="B23537" t="s">
        <v>16986</v>
      </c>
      <c r="C23537" t="s">
        <v>54365</v>
      </c>
      <c r="D23537" t="s">
        <v>65896</v>
      </c>
      <c r="E23537" t="b">
        <v>0</v>
      </c>
      <c r="F23537" t="s">
        <v>11624</v>
      </c>
      <c r="G23537">
        <v>-2.92</v>
      </c>
      <c r="H23537">
        <v>141.83000000000001</v>
      </c>
      <c r="I23537" t="s">
        <v>65897</v>
      </c>
      <c r="L23537">
        <v>0</v>
      </c>
      <c r="M23537">
        <v>0</v>
      </c>
      <c r="N23537">
        <v>2</v>
      </c>
      <c r="O23537" t="s">
        <v>11660</v>
      </c>
    </row>
    <row r="23538" spans="1:15">
      <c r="A23538" t="s">
        <v>65898</v>
      </c>
      <c r="B23538" t="s">
        <v>16986</v>
      </c>
      <c r="C23538" t="s">
        <v>59269</v>
      </c>
      <c r="D23538" t="s">
        <v>65899</v>
      </c>
      <c r="E23538" t="b">
        <v>0</v>
      </c>
      <c r="F23538" t="s">
        <v>11610</v>
      </c>
      <c r="L23538">
        <v>0</v>
      </c>
      <c r="M23538">
        <v>0</v>
      </c>
      <c r="N23538">
        <v>0</v>
      </c>
    </row>
    <row r="23539" spans="1:15">
      <c r="A23539" t="s">
        <v>65900</v>
      </c>
      <c r="B23539" t="s">
        <v>11834</v>
      </c>
      <c r="C23539" t="s">
        <v>11834</v>
      </c>
      <c r="D23539" t="s">
        <v>65901</v>
      </c>
      <c r="E23539" t="b">
        <v>0</v>
      </c>
      <c r="F23539" t="s">
        <v>11624</v>
      </c>
      <c r="G23539">
        <v>-3.5331999999999999</v>
      </c>
      <c r="H23539">
        <v>142.87</v>
      </c>
      <c r="I23539" t="s">
        <v>65902</v>
      </c>
      <c r="L23539">
        <v>0</v>
      </c>
      <c r="M23539">
        <v>0</v>
      </c>
      <c r="N23539">
        <v>0</v>
      </c>
      <c r="O23539" t="s">
        <v>11660</v>
      </c>
    </row>
    <row r="23540" spans="1:15">
      <c r="A23540" t="s">
        <v>65903</v>
      </c>
      <c r="B23540" t="s">
        <v>10597</v>
      </c>
      <c r="C23540" t="s">
        <v>15293</v>
      </c>
      <c r="D23540" t="s">
        <v>65904</v>
      </c>
      <c r="E23540" t="b">
        <v>0</v>
      </c>
      <c r="F23540" t="s">
        <v>11610</v>
      </c>
      <c r="L23540">
        <v>0</v>
      </c>
      <c r="M23540">
        <v>0</v>
      </c>
      <c r="N23540">
        <v>0</v>
      </c>
    </row>
    <row r="23541" spans="1:15">
      <c r="A23541" t="s">
        <v>65905</v>
      </c>
      <c r="B23541" t="s">
        <v>10597</v>
      </c>
      <c r="C23541" t="s">
        <v>15730</v>
      </c>
      <c r="D23541" t="s">
        <v>65906</v>
      </c>
      <c r="E23541" t="b">
        <v>0</v>
      </c>
      <c r="F23541" t="s">
        <v>11610</v>
      </c>
      <c r="I23541" t="s">
        <v>65907</v>
      </c>
      <c r="L23541">
        <v>0</v>
      </c>
      <c r="M23541">
        <v>0</v>
      </c>
      <c r="N23541">
        <v>0</v>
      </c>
    </row>
    <row r="23542" spans="1:15">
      <c r="A23542" t="s">
        <v>65908</v>
      </c>
      <c r="B23542" t="s">
        <v>6742</v>
      </c>
      <c r="C23542" t="s">
        <v>20593</v>
      </c>
      <c r="D23542" t="s">
        <v>65909</v>
      </c>
      <c r="E23542" t="b">
        <v>0</v>
      </c>
      <c r="F23542" t="s">
        <v>11624</v>
      </c>
      <c r="G23542">
        <v>-5.7383699999999997</v>
      </c>
      <c r="H23542">
        <v>20.505400000000002</v>
      </c>
      <c r="I23542" t="s">
        <v>65910</v>
      </c>
      <c r="L23542">
        <v>0</v>
      </c>
      <c r="M23542">
        <v>0</v>
      </c>
      <c r="N23542">
        <v>0</v>
      </c>
      <c r="O23542" t="s">
        <v>14825</v>
      </c>
    </row>
    <row r="23543" spans="1:15">
      <c r="A23543" t="s">
        <v>65911</v>
      </c>
      <c r="B23543" t="s">
        <v>11686</v>
      </c>
      <c r="C23543" t="s">
        <v>11687</v>
      </c>
      <c r="D23543" t="s">
        <v>65912</v>
      </c>
      <c r="E23543" t="b">
        <v>0</v>
      </c>
      <c r="F23543" t="s">
        <v>11610</v>
      </c>
      <c r="L23543">
        <v>0</v>
      </c>
      <c r="M23543">
        <v>0</v>
      </c>
      <c r="N23543">
        <v>0</v>
      </c>
    </row>
    <row r="23544" spans="1:15">
      <c r="A23544" t="s">
        <v>65913</v>
      </c>
      <c r="B23544" t="s">
        <v>12979</v>
      </c>
      <c r="C23544" t="s">
        <v>6048</v>
      </c>
      <c r="D23544" t="s">
        <v>65914</v>
      </c>
      <c r="E23544" t="b">
        <v>0</v>
      </c>
      <c r="F23544" t="s">
        <v>11624</v>
      </c>
      <c r="G23544">
        <v>57</v>
      </c>
      <c r="H23544">
        <v>-99</v>
      </c>
      <c r="I23544" t="s">
        <v>65915</v>
      </c>
      <c r="L23544">
        <v>0</v>
      </c>
      <c r="M23544">
        <v>0</v>
      </c>
      <c r="N23544">
        <v>0</v>
      </c>
      <c r="O23544" t="s">
        <v>13049</v>
      </c>
    </row>
    <row r="23545" spans="1:15">
      <c r="A23545" t="s">
        <v>65916</v>
      </c>
      <c r="B23545" t="s">
        <v>6742</v>
      </c>
      <c r="C23545" t="s">
        <v>3193</v>
      </c>
      <c r="D23545" t="s">
        <v>65917</v>
      </c>
      <c r="E23545" t="b">
        <v>0</v>
      </c>
      <c r="F23545" t="s">
        <v>11610</v>
      </c>
      <c r="L23545">
        <v>0</v>
      </c>
      <c r="M23545">
        <v>0</v>
      </c>
      <c r="N23545">
        <v>0</v>
      </c>
    </row>
    <row r="23546" spans="1:15">
      <c r="A23546" t="s">
        <v>65918</v>
      </c>
      <c r="B23546" t="s">
        <v>11615</v>
      </c>
      <c r="C23546" t="s">
        <v>13843</v>
      </c>
      <c r="D23546" t="s">
        <v>65919</v>
      </c>
      <c r="E23546" t="b">
        <v>0</v>
      </c>
      <c r="F23546" t="s">
        <v>11610</v>
      </c>
      <c r="L23546">
        <v>0</v>
      </c>
      <c r="M23546">
        <v>0</v>
      </c>
      <c r="N23546">
        <v>0</v>
      </c>
    </row>
    <row r="23547" spans="1:15">
      <c r="A23547" t="s">
        <v>18799</v>
      </c>
      <c r="B23547" t="s">
        <v>10597</v>
      </c>
      <c r="C23547" t="s">
        <v>15294</v>
      </c>
      <c r="D23547" t="s">
        <v>65920</v>
      </c>
      <c r="E23547" t="b">
        <v>0</v>
      </c>
      <c r="F23547" t="s">
        <v>11624</v>
      </c>
      <c r="G23547">
        <v>-32.480600000000003</v>
      </c>
      <c r="H23547">
        <v>152.107</v>
      </c>
      <c r="I23547" t="s">
        <v>65921</v>
      </c>
      <c r="L23547">
        <v>0</v>
      </c>
      <c r="M23547">
        <v>0</v>
      </c>
      <c r="N23547">
        <v>2</v>
      </c>
      <c r="O23547" t="s">
        <v>12107</v>
      </c>
    </row>
    <row r="23548" spans="1:15">
      <c r="A23548" t="s">
        <v>65922</v>
      </c>
      <c r="B23548" t="s">
        <v>15142</v>
      </c>
      <c r="C23548" t="s">
        <v>15142</v>
      </c>
      <c r="D23548" t="s">
        <v>65923</v>
      </c>
      <c r="E23548" t="b">
        <v>0</v>
      </c>
      <c r="F23548" t="s">
        <v>11624</v>
      </c>
      <c r="G23548">
        <v>-2.3799700000000001</v>
      </c>
      <c r="H23548">
        <v>136.51900000000001</v>
      </c>
      <c r="I23548" t="s">
        <v>65924</v>
      </c>
      <c r="L23548">
        <v>0</v>
      </c>
      <c r="M23548">
        <v>0</v>
      </c>
      <c r="N23548">
        <v>0</v>
      </c>
      <c r="O23548" t="s">
        <v>11768</v>
      </c>
    </row>
    <row r="23549" spans="1:15">
      <c r="A23549" t="s">
        <v>65925</v>
      </c>
      <c r="B23549" t="s">
        <v>6742</v>
      </c>
      <c r="C23549" t="s">
        <v>28246</v>
      </c>
      <c r="D23549" t="s">
        <v>65926</v>
      </c>
      <c r="E23549" t="b">
        <v>0</v>
      </c>
      <c r="F23549" t="s">
        <v>11610</v>
      </c>
      <c r="L23549">
        <v>0</v>
      </c>
      <c r="M23549">
        <v>0</v>
      </c>
      <c r="N23549">
        <v>0</v>
      </c>
    </row>
    <row r="23550" spans="1:15">
      <c r="A23550" t="s">
        <v>34822</v>
      </c>
      <c r="B23550" t="s">
        <v>13276</v>
      </c>
      <c r="C23550" t="s">
        <v>37509</v>
      </c>
      <c r="D23550" t="s">
        <v>65927</v>
      </c>
      <c r="E23550" t="b">
        <v>0</v>
      </c>
      <c r="F23550" t="s">
        <v>11624</v>
      </c>
      <c r="G23550">
        <v>8.2345299999999995</v>
      </c>
      <c r="H23550">
        <v>-6.7224399999999997</v>
      </c>
      <c r="I23550" t="s">
        <v>65928</v>
      </c>
      <c r="L23550">
        <v>0</v>
      </c>
      <c r="M23550">
        <v>0</v>
      </c>
      <c r="N23550">
        <v>3</v>
      </c>
      <c r="O23550" t="s">
        <v>11735</v>
      </c>
    </row>
    <row r="23551" spans="1:15">
      <c r="A23551" t="s">
        <v>65929</v>
      </c>
      <c r="B23551" t="s">
        <v>13276</v>
      </c>
      <c r="C23551" t="s">
        <v>34822</v>
      </c>
      <c r="D23551" t="s">
        <v>65930</v>
      </c>
      <c r="E23551" t="b">
        <v>0</v>
      </c>
      <c r="F23551" t="s">
        <v>11610</v>
      </c>
      <c r="L23551">
        <v>0</v>
      </c>
      <c r="M23551">
        <v>0</v>
      </c>
      <c r="N23551">
        <v>0</v>
      </c>
    </row>
    <row r="23552" spans="1:15">
      <c r="A23552" t="s">
        <v>65931</v>
      </c>
      <c r="B23552" t="s">
        <v>1588</v>
      </c>
      <c r="C23552" t="s">
        <v>10188</v>
      </c>
      <c r="D23552" t="s">
        <v>65932</v>
      </c>
      <c r="E23552" t="b">
        <v>0</v>
      </c>
      <c r="F23552" t="s">
        <v>11610</v>
      </c>
      <c r="G23552">
        <v>-15.82429</v>
      </c>
      <c r="H23552">
        <v>125.15587600000001</v>
      </c>
      <c r="L23552">
        <v>0</v>
      </c>
      <c r="M23552">
        <v>0</v>
      </c>
      <c r="N23552">
        <v>0</v>
      </c>
      <c r="O23552" t="s">
        <v>12107</v>
      </c>
    </row>
    <row r="23553" spans="1:15">
      <c r="A23553" t="s">
        <v>1588</v>
      </c>
      <c r="D23553" t="s">
        <v>65933</v>
      </c>
      <c r="E23553" t="b">
        <v>0</v>
      </c>
      <c r="F23553" t="s">
        <v>11622</v>
      </c>
      <c r="L23553">
        <v>3</v>
      </c>
      <c r="M23553">
        <v>10</v>
      </c>
      <c r="N23553">
        <v>11</v>
      </c>
    </row>
    <row r="23554" spans="1:15">
      <c r="A23554" t="s">
        <v>10188</v>
      </c>
      <c r="B23554" t="s">
        <v>1588</v>
      </c>
      <c r="C23554" t="s">
        <v>63030</v>
      </c>
      <c r="D23554" t="s">
        <v>65934</v>
      </c>
      <c r="E23554" t="b">
        <v>0</v>
      </c>
      <c r="F23554" t="s">
        <v>11624</v>
      </c>
      <c r="G23554">
        <v>-15.612781</v>
      </c>
      <c r="H23554">
        <v>124.881218</v>
      </c>
      <c r="I23554" t="s">
        <v>10189</v>
      </c>
      <c r="L23554">
        <v>0</v>
      </c>
      <c r="M23554">
        <v>0</v>
      </c>
      <c r="N23554">
        <v>2</v>
      </c>
      <c r="O23554" t="s">
        <v>12107</v>
      </c>
    </row>
    <row r="23555" spans="1:15">
      <c r="A23555" t="s">
        <v>30101</v>
      </c>
      <c r="B23555" t="s">
        <v>12241</v>
      </c>
      <c r="C23555" t="s">
        <v>12241</v>
      </c>
      <c r="D23555" t="s">
        <v>65935</v>
      </c>
      <c r="E23555" t="b">
        <v>0</v>
      </c>
      <c r="F23555" t="s">
        <v>11622</v>
      </c>
      <c r="L23555">
        <v>0</v>
      </c>
      <c r="M23555">
        <v>1</v>
      </c>
      <c r="N23555">
        <v>0</v>
      </c>
    </row>
    <row r="23556" spans="1:15">
      <c r="A23556" t="s">
        <v>65936</v>
      </c>
      <c r="B23556" t="s">
        <v>1342</v>
      </c>
      <c r="C23556" t="s">
        <v>30001</v>
      </c>
      <c r="D23556" t="s">
        <v>65937</v>
      </c>
      <c r="E23556" t="b">
        <v>0</v>
      </c>
      <c r="F23556" t="s">
        <v>11610</v>
      </c>
      <c r="L23556">
        <v>0</v>
      </c>
      <c r="M23556">
        <v>0</v>
      </c>
      <c r="N23556">
        <v>0</v>
      </c>
    </row>
    <row r="23557" spans="1:15">
      <c r="A23557" t="s">
        <v>65938</v>
      </c>
      <c r="B23557" t="s">
        <v>13411</v>
      </c>
      <c r="C23557" t="s">
        <v>13414</v>
      </c>
      <c r="D23557" t="s">
        <v>65939</v>
      </c>
      <c r="E23557" t="b">
        <v>0</v>
      </c>
      <c r="F23557" t="s">
        <v>11610</v>
      </c>
      <c r="L23557">
        <v>0</v>
      </c>
      <c r="M23557">
        <v>0</v>
      </c>
      <c r="N23557">
        <v>0</v>
      </c>
    </row>
    <row r="23558" spans="1:15">
      <c r="A23558" t="s">
        <v>65940</v>
      </c>
      <c r="B23558" t="s">
        <v>13411</v>
      </c>
      <c r="C23558" t="s">
        <v>13414</v>
      </c>
      <c r="D23558" t="s">
        <v>65941</v>
      </c>
      <c r="E23558" t="b">
        <v>0</v>
      </c>
      <c r="F23558" t="s">
        <v>11610</v>
      </c>
      <c r="L23558">
        <v>0</v>
      </c>
      <c r="M23558">
        <v>0</v>
      </c>
      <c r="N23558">
        <v>0</v>
      </c>
    </row>
    <row r="23559" spans="1:15">
      <c r="A23559" t="s">
        <v>65942</v>
      </c>
      <c r="B23559" t="s">
        <v>11637</v>
      </c>
      <c r="C23559" t="s">
        <v>24912</v>
      </c>
      <c r="D23559" t="s">
        <v>65943</v>
      </c>
      <c r="E23559" t="b">
        <v>0</v>
      </c>
      <c r="F23559" t="s">
        <v>11624</v>
      </c>
      <c r="G23559">
        <v>34.703299999999999</v>
      </c>
      <c r="H23559">
        <v>70.856499999999997</v>
      </c>
      <c r="I23559" t="s">
        <v>65944</v>
      </c>
      <c r="L23559">
        <v>0</v>
      </c>
      <c r="M23559">
        <v>0</v>
      </c>
      <c r="N23559">
        <v>0</v>
      </c>
      <c r="O23559" t="s">
        <v>12131</v>
      </c>
    </row>
    <row r="23560" spans="1:15">
      <c r="A23560" t="s">
        <v>65945</v>
      </c>
      <c r="B23560" t="s">
        <v>10597</v>
      </c>
      <c r="C23560" t="s">
        <v>24965</v>
      </c>
      <c r="D23560" t="s">
        <v>65946</v>
      </c>
      <c r="E23560" t="b">
        <v>0</v>
      </c>
      <c r="F23560" t="s">
        <v>11610</v>
      </c>
      <c r="I23560" t="s">
        <v>65947</v>
      </c>
      <c r="L23560">
        <v>0</v>
      </c>
      <c r="M23560">
        <v>0</v>
      </c>
      <c r="N23560">
        <v>0</v>
      </c>
      <c r="O23560" t="s">
        <v>12107</v>
      </c>
    </row>
    <row r="23561" spans="1:15">
      <c r="A23561" t="s">
        <v>34386</v>
      </c>
      <c r="B23561" t="s">
        <v>367</v>
      </c>
      <c r="C23561" t="s">
        <v>34158</v>
      </c>
      <c r="D23561" t="s">
        <v>65948</v>
      </c>
      <c r="E23561" t="b">
        <v>0</v>
      </c>
      <c r="F23561" t="s">
        <v>11622</v>
      </c>
      <c r="L23561">
        <v>2</v>
      </c>
      <c r="M23561">
        <v>5</v>
      </c>
      <c r="N23561">
        <v>2</v>
      </c>
    </row>
    <row r="23562" spans="1:15">
      <c r="A23562" t="s">
        <v>65949</v>
      </c>
      <c r="B23562" t="s">
        <v>367</v>
      </c>
      <c r="C23562" t="s">
        <v>34386</v>
      </c>
      <c r="D23562" t="s">
        <v>65950</v>
      </c>
      <c r="E23562" t="b">
        <v>0</v>
      </c>
      <c r="F23562" t="s">
        <v>11624</v>
      </c>
      <c r="G23562">
        <v>-2.5959300000000001</v>
      </c>
      <c r="H23562">
        <v>120.9</v>
      </c>
      <c r="I23562" t="s">
        <v>65951</v>
      </c>
      <c r="L23562">
        <v>0</v>
      </c>
      <c r="M23562">
        <v>0</v>
      </c>
      <c r="N23562">
        <v>0</v>
      </c>
      <c r="O23562" t="s">
        <v>11768</v>
      </c>
    </row>
    <row r="23563" spans="1:15">
      <c r="A23563" t="s">
        <v>65952</v>
      </c>
      <c r="B23563" t="s">
        <v>11607</v>
      </c>
      <c r="C23563" t="s">
        <v>19078</v>
      </c>
      <c r="D23563" t="s">
        <v>65953</v>
      </c>
      <c r="E23563" t="b">
        <v>0</v>
      </c>
      <c r="F23563" t="s">
        <v>11610</v>
      </c>
      <c r="L23563">
        <v>0</v>
      </c>
      <c r="M23563">
        <v>0</v>
      </c>
      <c r="N23563">
        <v>0</v>
      </c>
    </row>
    <row r="23564" spans="1:15">
      <c r="A23564" t="s">
        <v>2481</v>
      </c>
      <c r="B23564" t="s">
        <v>9578</v>
      </c>
      <c r="C23564" t="s">
        <v>9578</v>
      </c>
      <c r="D23564" t="s">
        <v>65954</v>
      </c>
      <c r="E23564" t="b">
        <v>0</v>
      </c>
      <c r="F23564" t="s">
        <v>11624</v>
      </c>
      <c r="G23564">
        <v>8.5</v>
      </c>
      <c r="H23564">
        <v>-78</v>
      </c>
      <c r="I23564" t="s">
        <v>65955</v>
      </c>
      <c r="L23564">
        <v>0</v>
      </c>
      <c r="M23564">
        <v>0</v>
      </c>
      <c r="N23564">
        <v>0</v>
      </c>
      <c r="O23564" t="s">
        <v>19590</v>
      </c>
    </row>
    <row r="23565" spans="1:15">
      <c r="A23565" t="s">
        <v>65956</v>
      </c>
      <c r="B23565" t="s">
        <v>6742</v>
      </c>
      <c r="C23565" t="s">
        <v>29386</v>
      </c>
      <c r="D23565" t="s">
        <v>65957</v>
      </c>
      <c r="E23565" t="b">
        <v>0</v>
      </c>
      <c r="F23565" t="s">
        <v>11610</v>
      </c>
      <c r="L23565">
        <v>0</v>
      </c>
      <c r="M23565">
        <v>0</v>
      </c>
      <c r="N23565">
        <v>0</v>
      </c>
    </row>
    <row r="23566" spans="1:15">
      <c r="A23566" t="s">
        <v>65958</v>
      </c>
      <c r="B23566" t="s">
        <v>367</v>
      </c>
      <c r="C23566" t="s">
        <v>17806</v>
      </c>
      <c r="D23566" t="s">
        <v>65959</v>
      </c>
      <c r="E23566" t="b">
        <v>0</v>
      </c>
      <c r="F23566" t="s">
        <v>11610</v>
      </c>
      <c r="L23566">
        <v>0</v>
      </c>
      <c r="M23566">
        <v>0</v>
      </c>
      <c r="N23566">
        <v>0</v>
      </c>
    </row>
    <row r="23567" spans="1:15">
      <c r="A23567" t="s">
        <v>65960</v>
      </c>
      <c r="B23567" t="s">
        <v>13276</v>
      </c>
      <c r="C23567" t="s">
        <v>20281</v>
      </c>
      <c r="D23567" t="s">
        <v>65961</v>
      </c>
      <c r="E23567" t="b">
        <v>0</v>
      </c>
      <c r="F23567" t="s">
        <v>11610</v>
      </c>
      <c r="L23567">
        <v>0</v>
      </c>
      <c r="M23567">
        <v>0</v>
      </c>
      <c r="N23567">
        <v>0</v>
      </c>
    </row>
    <row r="23568" spans="1:15">
      <c r="A23568" t="s">
        <v>65962</v>
      </c>
      <c r="B23568" t="s">
        <v>10597</v>
      </c>
      <c r="C23568" t="s">
        <v>30184</v>
      </c>
      <c r="D23568" t="s">
        <v>65963</v>
      </c>
      <c r="E23568" t="b">
        <v>0</v>
      </c>
      <c r="F23568" t="s">
        <v>11610</v>
      </c>
      <c r="L23568">
        <v>0</v>
      </c>
      <c r="M23568">
        <v>0</v>
      </c>
      <c r="N23568">
        <v>0</v>
      </c>
    </row>
    <row r="23569" spans="1:15">
      <c r="A23569" t="s">
        <v>13938</v>
      </c>
      <c r="B23569" t="s">
        <v>9897</v>
      </c>
      <c r="C23569" t="s">
        <v>26472</v>
      </c>
      <c r="D23569" t="s">
        <v>65964</v>
      </c>
      <c r="E23569" t="b">
        <v>0</v>
      </c>
      <c r="F23569" t="s">
        <v>11622</v>
      </c>
      <c r="L23569">
        <v>0</v>
      </c>
      <c r="M23569">
        <v>2</v>
      </c>
      <c r="N23569">
        <v>0</v>
      </c>
    </row>
    <row r="23570" spans="1:15">
      <c r="A23570" t="s">
        <v>22961</v>
      </c>
      <c r="B23570" t="s">
        <v>11644</v>
      </c>
      <c r="C23570" t="s">
        <v>31651</v>
      </c>
      <c r="D23570" t="s">
        <v>65965</v>
      </c>
      <c r="E23570" t="b">
        <v>0</v>
      </c>
      <c r="F23570" t="s">
        <v>11624</v>
      </c>
      <c r="G23570">
        <v>29.862100000000002</v>
      </c>
      <c r="H23570">
        <v>119.682</v>
      </c>
      <c r="I23570" t="s">
        <v>65966</v>
      </c>
      <c r="L23570">
        <v>0</v>
      </c>
      <c r="M23570">
        <v>0</v>
      </c>
      <c r="N23570">
        <v>29</v>
      </c>
      <c r="O23570" t="s">
        <v>11905</v>
      </c>
    </row>
    <row r="23571" spans="1:15">
      <c r="A23571" t="s">
        <v>65967</v>
      </c>
      <c r="B23571" t="s">
        <v>5126</v>
      </c>
      <c r="C23571" t="s">
        <v>29752</v>
      </c>
      <c r="D23571" t="s">
        <v>65968</v>
      </c>
      <c r="E23571" t="b">
        <v>0</v>
      </c>
      <c r="F23571" t="s">
        <v>11610</v>
      </c>
      <c r="L23571">
        <v>0</v>
      </c>
      <c r="M23571">
        <v>0</v>
      </c>
      <c r="N23571">
        <v>0</v>
      </c>
    </row>
    <row r="23572" spans="1:15">
      <c r="A23572" t="s">
        <v>41228</v>
      </c>
      <c r="B23572" t="s">
        <v>11644</v>
      </c>
      <c r="C23572" t="s">
        <v>29059</v>
      </c>
      <c r="D23572" t="s">
        <v>65969</v>
      </c>
      <c r="E23572" t="b">
        <v>0</v>
      </c>
      <c r="F23572" t="s">
        <v>11624</v>
      </c>
      <c r="G23572">
        <v>25.48</v>
      </c>
      <c r="H23572">
        <v>102.48</v>
      </c>
      <c r="I23572" t="s">
        <v>65970</v>
      </c>
      <c r="L23572">
        <v>0</v>
      </c>
      <c r="M23572">
        <v>0</v>
      </c>
      <c r="N23572">
        <v>3</v>
      </c>
      <c r="O23572" t="s">
        <v>11905</v>
      </c>
    </row>
    <row r="23573" spans="1:15">
      <c r="A23573" t="s">
        <v>65971</v>
      </c>
      <c r="B23573" t="s">
        <v>11644</v>
      </c>
      <c r="C23573" t="s">
        <v>41228</v>
      </c>
      <c r="D23573" t="s">
        <v>65972</v>
      </c>
      <c r="E23573" t="b">
        <v>0</v>
      </c>
      <c r="F23573" t="s">
        <v>11610</v>
      </c>
      <c r="L23573">
        <v>0</v>
      </c>
      <c r="M23573">
        <v>0</v>
      </c>
      <c r="N23573">
        <v>0</v>
      </c>
    </row>
    <row r="23574" spans="1:15">
      <c r="A23574" t="s">
        <v>28872</v>
      </c>
      <c r="B23574" t="s">
        <v>6742</v>
      </c>
      <c r="C23574" t="s">
        <v>15474</v>
      </c>
      <c r="D23574" t="s">
        <v>65973</v>
      </c>
      <c r="E23574" t="b">
        <v>0</v>
      </c>
      <c r="F23574" t="s">
        <v>11624</v>
      </c>
      <c r="G23574">
        <v>7.5761900000000004</v>
      </c>
      <c r="H23574">
        <v>1.53522</v>
      </c>
      <c r="I23574" t="s">
        <v>65974</v>
      </c>
      <c r="L23574">
        <v>0</v>
      </c>
      <c r="M23574">
        <v>0</v>
      </c>
      <c r="N23574">
        <v>1</v>
      </c>
      <c r="O23574" t="s">
        <v>12704</v>
      </c>
    </row>
    <row r="23575" spans="1:15">
      <c r="A23575" t="s">
        <v>65975</v>
      </c>
      <c r="B23575" t="s">
        <v>11644</v>
      </c>
      <c r="C23575" t="s">
        <v>22419</v>
      </c>
      <c r="D23575" t="s">
        <v>65976</v>
      </c>
      <c r="E23575" t="b">
        <v>0</v>
      </c>
      <c r="F23575" t="s">
        <v>11610</v>
      </c>
      <c r="G23575">
        <v>30.624085999999998</v>
      </c>
      <c r="H23575">
        <v>114.305649</v>
      </c>
      <c r="L23575">
        <v>0</v>
      </c>
      <c r="M23575">
        <v>0</v>
      </c>
      <c r="N23575">
        <v>0</v>
      </c>
    </row>
    <row r="23576" spans="1:15">
      <c r="A23576" t="s">
        <v>31651</v>
      </c>
      <c r="B23576" t="s">
        <v>11644</v>
      </c>
      <c r="C23576" t="s">
        <v>28526</v>
      </c>
      <c r="D23576" t="s">
        <v>65977</v>
      </c>
      <c r="E23576" t="b">
        <v>0</v>
      </c>
      <c r="F23576" t="s">
        <v>11622</v>
      </c>
      <c r="L23576">
        <v>0</v>
      </c>
      <c r="M23576">
        <v>2</v>
      </c>
      <c r="N23576">
        <v>44</v>
      </c>
    </row>
    <row r="23577" spans="1:15">
      <c r="A23577" t="s">
        <v>65978</v>
      </c>
      <c r="B23577" t="s">
        <v>11644</v>
      </c>
      <c r="C23577" t="s">
        <v>28593</v>
      </c>
      <c r="D23577" t="s">
        <v>65979</v>
      </c>
      <c r="E23577" t="b">
        <v>0</v>
      </c>
      <c r="F23577" t="s">
        <v>11610</v>
      </c>
      <c r="L23577">
        <v>0</v>
      </c>
      <c r="M23577">
        <v>0</v>
      </c>
      <c r="N23577">
        <v>0</v>
      </c>
    </row>
    <row r="23578" spans="1:15">
      <c r="A23578" t="s">
        <v>65980</v>
      </c>
      <c r="B23578" t="s">
        <v>6742</v>
      </c>
      <c r="C23578" t="s">
        <v>64574</v>
      </c>
      <c r="D23578" t="s">
        <v>65981</v>
      </c>
      <c r="E23578" t="b">
        <v>0</v>
      </c>
      <c r="F23578" t="s">
        <v>11610</v>
      </c>
      <c r="L23578">
        <v>0</v>
      </c>
      <c r="M23578">
        <v>0</v>
      </c>
      <c r="N23578">
        <v>0</v>
      </c>
    </row>
    <row r="23579" spans="1:15">
      <c r="A23579" t="s">
        <v>65982</v>
      </c>
      <c r="B23579" t="s">
        <v>10597</v>
      </c>
      <c r="C23579" t="s">
        <v>16360</v>
      </c>
      <c r="D23579" t="s">
        <v>65983</v>
      </c>
      <c r="E23579" t="b">
        <v>0</v>
      </c>
      <c r="F23579" t="s">
        <v>11610</v>
      </c>
      <c r="L23579">
        <v>0</v>
      </c>
      <c r="M23579">
        <v>0</v>
      </c>
      <c r="N23579">
        <v>0</v>
      </c>
    </row>
    <row r="23580" spans="1:15">
      <c r="A23580" t="s">
        <v>65984</v>
      </c>
      <c r="B23580" t="s">
        <v>6742</v>
      </c>
      <c r="C23580" t="s">
        <v>11804</v>
      </c>
      <c r="D23580" t="s">
        <v>65985</v>
      </c>
      <c r="E23580" t="b">
        <v>0</v>
      </c>
      <c r="F23580" t="s">
        <v>11610</v>
      </c>
      <c r="L23580">
        <v>0</v>
      </c>
      <c r="M23580">
        <v>0</v>
      </c>
      <c r="N23580">
        <v>0</v>
      </c>
    </row>
    <row r="23581" spans="1:15">
      <c r="A23581" t="s">
        <v>65986</v>
      </c>
      <c r="B23581" t="s">
        <v>11683</v>
      </c>
      <c r="C23581" t="s">
        <v>11683</v>
      </c>
      <c r="D23581" t="s">
        <v>65987</v>
      </c>
      <c r="E23581" t="b">
        <v>0</v>
      </c>
      <c r="F23581" t="s">
        <v>11610</v>
      </c>
      <c r="L23581">
        <v>0</v>
      </c>
      <c r="M23581">
        <v>0</v>
      </c>
      <c r="N23581">
        <v>0</v>
      </c>
    </row>
    <row r="23582" spans="1:15">
      <c r="A23582" t="s">
        <v>65988</v>
      </c>
      <c r="B23582" t="s">
        <v>11607</v>
      </c>
      <c r="C23582" t="s">
        <v>50119</v>
      </c>
      <c r="D23582" t="s">
        <v>65989</v>
      </c>
      <c r="E23582" t="b">
        <v>0</v>
      </c>
      <c r="F23582" t="s">
        <v>11610</v>
      </c>
      <c r="L23582">
        <v>0</v>
      </c>
      <c r="M23582">
        <v>0</v>
      </c>
      <c r="N23582">
        <v>0</v>
      </c>
    </row>
    <row r="23583" spans="1:15">
      <c r="A23583" t="s">
        <v>65990</v>
      </c>
      <c r="B23583" t="s">
        <v>6742</v>
      </c>
      <c r="C23583" t="s">
        <v>40414</v>
      </c>
      <c r="D23583" t="s">
        <v>65991</v>
      </c>
      <c r="E23583" t="b">
        <v>0</v>
      </c>
      <c r="F23583" t="s">
        <v>11610</v>
      </c>
      <c r="L23583">
        <v>0</v>
      </c>
      <c r="M23583">
        <v>0</v>
      </c>
      <c r="N23583">
        <v>0</v>
      </c>
    </row>
    <row r="23584" spans="1:15">
      <c r="A23584" t="s">
        <v>65992</v>
      </c>
      <c r="B23584" t="s">
        <v>10597</v>
      </c>
      <c r="C23584" t="s">
        <v>50567</v>
      </c>
      <c r="D23584" t="s">
        <v>65993</v>
      </c>
      <c r="E23584" t="b">
        <v>0</v>
      </c>
      <c r="F23584" t="s">
        <v>11624</v>
      </c>
      <c r="G23584">
        <v>-19.851031209999999</v>
      </c>
      <c r="H23584">
        <v>146.34539570000001</v>
      </c>
      <c r="I23584" t="s">
        <v>65994</v>
      </c>
      <c r="L23584">
        <v>0</v>
      </c>
      <c r="M23584">
        <v>0</v>
      </c>
      <c r="N23584">
        <v>0</v>
      </c>
      <c r="O23584" t="s">
        <v>12107</v>
      </c>
    </row>
    <row r="23585" spans="1:15">
      <c r="A23585" t="s">
        <v>65995</v>
      </c>
      <c r="B23585" t="s">
        <v>10597</v>
      </c>
      <c r="C23585" t="s">
        <v>64289</v>
      </c>
      <c r="D23585" t="s">
        <v>65996</v>
      </c>
      <c r="E23585" t="b">
        <v>0</v>
      </c>
      <c r="F23585" t="s">
        <v>11624</v>
      </c>
      <c r="G23585">
        <v>-24.414999999999999</v>
      </c>
      <c r="H23585">
        <v>149.84299999999999</v>
      </c>
      <c r="I23585" t="s">
        <v>65997</v>
      </c>
      <c r="L23585">
        <v>0</v>
      </c>
      <c r="M23585">
        <v>0</v>
      </c>
      <c r="N23585">
        <v>0</v>
      </c>
      <c r="O23585" t="s">
        <v>12107</v>
      </c>
    </row>
    <row r="23586" spans="1:15">
      <c r="A23586" t="s">
        <v>65998</v>
      </c>
      <c r="B23586" t="s">
        <v>6742</v>
      </c>
      <c r="C23586" t="s">
        <v>4141</v>
      </c>
      <c r="D23586" t="s">
        <v>65999</v>
      </c>
      <c r="E23586" t="b">
        <v>0</v>
      </c>
      <c r="F23586" t="s">
        <v>11610</v>
      </c>
      <c r="L23586">
        <v>0</v>
      </c>
      <c r="M23586">
        <v>0</v>
      </c>
      <c r="N23586">
        <v>0</v>
      </c>
    </row>
    <row r="23587" spans="1:15">
      <c r="A23587" t="s">
        <v>66000</v>
      </c>
      <c r="B23587" t="s">
        <v>40199</v>
      </c>
      <c r="C23587" t="s">
        <v>40199</v>
      </c>
      <c r="D23587" t="s">
        <v>66001</v>
      </c>
      <c r="E23587" t="b">
        <v>0</v>
      </c>
      <c r="F23587" t="s">
        <v>11624</v>
      </c>
      <c r="G23587">
        <v>-12.302199999999999</v>
      </c>
      <c r="H23587">
        <v>131.261</v>
      </c>
      <c r="I23587" t="s">
        <v>66002</v>
      </c>
      <c r="L23587">
        <v>0</v>
      </c>
      <c r="M23587">
        <v>0</v>
      </c>
      <c r="N23587">
        <v>0</v>
      </c>
      <c r="O23587" t="s">
        <v>12107</v>
      </c>
    </row>
    <row r="23588" spans="1:15">
      <c r="A23588" t="s">
        <v>66003</v>
      </c>
      <c r="B23588" t="s">
        <v>11729</v>
      </c>
      <c r="C23588" t="s">
        <v>15961</v>
      </c>
      <c r="D23588" t="s">
        <v>66004</v>
      </c>
      <c r="E23588" t="b">
        <v>0</v>
      </c>
      <c r="F23588" t="s">
        <v>11610</v>
      </c>
      <c r="L23588">
        <v>0</v>
      </c>
      <c r="M23588">
        <v>0</v>
      </c>
      <c r="N23588">
        <v>0</v>
      </c>
    </row>
    <row r="23589" spans="1:15">
      <c r="A23589" t="s">
        <v>66005</v>
      </c>
      <c r="B23589" t="s">
        <v>13276</v>
      </c>
      <c r="C23589" t="s">
        <v>16569</v>
      </c>
      <c r="D23589" t="s">
        <v>66006</v>
      </c>
      <c r="E23589" t="b">
        <v>0</v>
      </c>
      <c r="F23589" t="s">
        <v>11610</v>
      </c>
      <c r="L23589">
        <v>0</v>
      </c>
      <c r="M23589">
        <v>0</v>
      </c>
      <c r="N23589">
        <v>0</v>
      </c>
    </row>
    <row r="23590" spans="1:15">
      <c r="A23590" t="s">
        <v>66007</v>
      </c>
      <c r="B23590" t="s">
        <v>11644</v>
      </c>
      <c r="C23590" t="s">
        <v>39397</v>
      </c>
      <c r="D23590" t="s">
        <v>66008</v>
      </c>
      <c r="E23590" t="b">
        <v>0</v>
      </c>
      <c r="F23590" t="s">
        <v>11610</v>
      </c>
      <c r="G23590">
        <v>43.821627100000001</v>
      </c>
      <c r="H23590">
        <v>87.422668799999997</v>
      </c>
      <c r="L23590">
        <v>0</v>
      </c>
      <c r="M23590">
        <v>0</v>
      </c>
      <c r="N23590">
        <v>0</v>
      </c>
    </row>
    <row r="23591" spans="1:15">
      <c r="A23591" t="s">
        <v>66009</v>
      </c>
      <c r="B23591" t="s">
        <v>10597</v>
      </c>
      <c r="C23591" t="s">
        <v>30142</v>
      </c>
      <c r="D23591" t="s">
        <v>66010</v>
      </c>
      <c r="E23591" t="b">
        <v>0</v>
      </c>
      <c r="F23591" t="s">
        <v>11610</v>
      </c>
      <c r="L23591">
        <v>0</v>
      </c>
      <c r="M23591">
        <v>0</v>
      </c>
      <c r="N23591">
        <v>0</v>
      </c>
    </row>
    <row r="23592" spans="1:15">
      <c r="A23592" t="s">
        <v>66011</v>
      </c>
      <c r="B23592" t="s">
        <v>9897</v>
      </c>
      <c r="C23592" t="s">
        <v>63154</v>
      </c>
      <c r="D23592" t="s">
        <v>66012</v>
      </c>
      <c r="E23592" t="b">
        <v>0</v>
      </c>
      <c r="F23592" t="s">
        <v>11624</v>
      </c>
      <c r="L23592">
        <v>0</v>
      </c>
      <c r="M23592">
        <v>0</v>
      </c>
      <c r="N23592">
        <v>0</v>
      </c>
      <c r="O23592" t="s">
        <v>12107</v>
      </c>
    </row>
    <row r="23593" spans="1:15">
      <c r="A23593" t="s">
        <v>66013</v>
      </c>
      <c r="B23593" t="s">
        <v>6742</v>
      </c>
      <c r="C23593" t="s">
        <v>37762</v>
      </c>
      <c r="D23593" t="s">
        <v>66014</v>
      </c>
      <c r="E23593" t="b">
        <v>0</v>
      </c>
      <c r="F23593" t="s">
        <v>11624</v>
      </c>
      <c r="G23593">
        <v>4.2471699999999997</v>
      </c>
      <c r="H23593">
        <v>9.0802600000000009</v>
      </c>
      <c r="I23593" t="s">
        <v>66015</v>
      </c>
      <c r="L23593">
        <v>0</v>
      </c>
      <c r="M23593">
        <v>0</v>
      </c>
      <c r="N23593">
        <v>0</v>
      </c>
      <c r="O23593" t="s">
        <v>11703</v>
      </c>
    </row>
    <row r="23594" spans="1:15">
      <c r="A23594" t="s">
        <v>66016</v>
      </c>
      <c r="B23594" t="s">
        <v>6742</v>
      </c>
      <c r="C23594" t="s">
        <v>46768</v>
      </c>
      <c r="D23594" t="s">
        <v>66017</v>
      </c>
      <c r="E23594" t="b">
        <v>0</v>
      </c>
      <c r="F23594" t="s">
        <v>11624</v>
      </c>
      <c r="G23594">
        <v>-2.3923399999999999</v>
      </c>
      <c r="H23594">
        <v>12.263999999999999</v>
      </c>
      <c r="I23594" t="s">
        <v>66018</v>
      </c>
      <c r="L23594">
        <v>0</v>
      </c>
      <c r="M23594">
        <v>0</v>
      </c>
      <c r="N23594">
        <v>0</v>
      </c>
      <c r="O23594" t="s">
        <v>20784</v>
      </c>
    </row>
    <row r="23595" spans="1:15">
      <c r="A23595" t="s">
        <v>31002</v>
      </c>
      <c r="B23595" t="s">
        <v>11644</v>
      </c>
      <c r="C23595" t="s">
        <v>47073</v>
      </c>
      <c r="D23595" t="s">
        <v>66019</v>
      </c>
      <c r="E23595" t="b">
        <v>0</v>
      </c>
      <c r="F23595" t="s">
        <v>11624</v>
      </c>
      <c r="G23595">
        <v>27.574000000000002</v>
      </c>
      <c r="H23595">
        <v>103.646</v>
      </c>
      <c r="I23595" t="s">
        <v>66020</v>
      </c>
      <c r="L23595">
        <v>0</v>
      </c>
      <c r="M23595">
        <v>0</v>
      </c>
      <c r="N23595">
        <v>3</v>
      </c>
      <c r="O23595" t="s">
        <v>11905</v>
      </c>
    </row>
    <row r="23596" spans="1:15">
      <c r="A23596" t="s">
        <v>66021</v>
      </c>
      <c r="B23596" t="s">
        <v>11627</v>
      </c>
      <c r="C23596" t="s">
        <v>11627</v>
      </c>
      <c r="D23596" t="s">
        <v>66022</v>
      </c>
      <c r="E23596" t="b">
        <v>1</v>
      </c>
      <c r="F23596" t="s">
        <v>11624</v>
      </c>
      <c r="I23596" t="s">
        <v>66023</v>
      </c>
      <c r="L23596">
        <v>0</v>
      </c>
      <c r="M23596">
        <v>0</v>
      </c>
      <c r="N23596">
        <v>0</v>
      </c>
    </row>
    <row r="23597" spans="1:15">
      <c r="A23597" t="s">
        <v>66024</v>
      </c>
      <c r="B23597" t="s">
        <v>5058</v>
      </c>
      <c r="C23597" t="s">
        <v>51882</v>
      </c>
      <c r="D23597" t="s">
        <v>66025</v>
      </c>
      <c r="E23597" t="b">
        <v>0</v>
      </c>
      <c r="F23597" t="s">
        <v>11624</v>
      </c>
      <c r="G23597">
        <v>27.9649</v>
      </c>
      <c r="H23597">
        <v>110.473</v>
      </c>
      <c r="I23597" t="s">
        <v>66026</v>
      </c>
      <c r="L23597">
        <v>0</v>
      </c>
      <c r="M23597">
        <v>0</v>
      </c>
      <c r="N23597">
        <v>0</v>
      </c>
      <c r="O23597" t="s">
        <v>11905</v>
      </c>
    </row>
    <row r="23598" spans="1:15">
      <c r="A23598" t="s">
        <v>2650</v>
      </c>
      <c r="B23598" t="s">
        <v>1588</v>
      </c>
      <c r="C23598" t="s">
        <v>28046</v>
      </c>
      <c r="D23598" t="s">
        <v>66027</v>
      </c>
      <c r="E23598" t="b">
        <v>0</v>
      </c>
      <c r="F23598" t="s">
        <v>11624</v>
      </c>
      <c r="G23598">
        <v>-14.8347</v>
      </c>
      <c r="H23598">
        <v>125.72</v>
      </c>
      <c r="I23598" t="s">
        <v>2651</v>
      </c>
      <c r="L23598">
        <v>0</v>
      </c>
      <c r="M23598">
        <v>0</v>
      </c>
      <c r="N23598">
        <v>0</v>
      </c>
      <c r="O23598" t="s">
        <v>12107</v>
      </c>
    </row>
    <row r="23599" spans="1:15">
      <c r="A23599" t="s">
        <v>66028</v>
      </c>
      <c r="B23599" t="s">
        <v>12487</v>
      </c>
      <c r="C23599" t="s">
        <v>13970</v>
      </c>
      <c r="D23599" t="s">
        <v>66029</v>
      </c>
      <c r="E23599" t="b">
        <v>0</v>
      </c>
      <c r="F23599" t="s">
        <v>11610</v>
      </c>
      <c r="L23599">
        <v>0</v>
      </c>
      <c r="M23599">
        <v>0</v>
      </c>
      <c r="N23599">
        <v>0</v>
      </c>
    </row>
    <row r="23600" spans="1:15">
      <c r="A23600" t="s">
        <v>66030</v>
      </c>
      <c r="B23600" t="s">
        <v>6742</v>
      </c>
      <c r="C23600" t="s">
        <v>16541</v>
      </c>
      <c r="D23600" t="s">
        <v>66031</v>
      </c>
      <c r="E23600" t="b">
        <v>0</v>
      </c>
      <c r="F23600" t="s">
        <v>11610</v>
      </c>
      <c r="L23600">
        <v>0</v>
      </c>
      <c r="M23600">
        <v>0</v>
      </c>
      <c r="N23600">
        <v>0</v>
      </c>
    </row>
    <row r="23601" spans="1:15">
      <c r="A23601" t="s">
        <v>66032</v>
      </c>
      <c r="B23601" t="s">
        <v>11644</v>
      </c>
      <c r="C23601" t="s">
        <v>18512</v>
      </c>
      <c r="D23601" t="s">
        <v>66033</v>
      </c>
      <c r="E23601" t="b">
        <v>0</v>
      </c>
      <c r="F23601" t="s">
        <v>11610</v>
      </c>
      <c r="L23601">
        <v>0</v>
      </c>
      <c r="M23601">
        <v>0</v>
      </c>
      <c r="N23601">
        <v>0</v>
      </c>
    </row>
    <row r="23602" spans="1:15">
      <c r="A23602" t="s">
        <v>66034</v>
      </c>
      <c r="B23602" t="s">
        <v>11644</v>
      </c>
      <c r="C23602" t="s">
        <v>22290</v>
      </c>
      <c r="D23602" t="s">
        <v>66035</v>
      </c>
      <c r="E23602" t="b">
        <v>0</v>
      </c>
      <c r="F23602" t="s">
        <v>11610</v>
      </c>
      <c r="L23602">
        <v>0</v>
      </c>
      <c r="M23602">
        <v>0</v>
      </c>
      <c r="N23602">
        <v>0</v>
      </c>
    </row>
    <row r="23603" spans="1:15">
      <c r="A23603" t="s">
        <v>23318</v>
      </c>
      <c r="B23603" t="s">
        <v>6742</v>
      </c>
      <c r="C23603" t="s">
        <v>33755</v>
      </c>
      <c r="D23603" t="s">
        <v>66036</v>
      </c>
      <c r="E23603" t="b">
        <v>0</v>
      </c>
      <c r="F23603" t="s">
        <v>11622</v>
      </c>
      <c r="L23603">
        <v>0</v>
      </c>
      <c r="M23603">
        <v>3</v>
      </c>
      <c r="N23603">
        <v>3</v>
      </c>
    </row>
    <row r="23604" spans="1:15">
      <c r="A23604" t="s">
        <v>66037</v>
      </c>
      <c r="B23604" t="s">
        <v>11607</v>
      </c>
      <c r="C23604" t="s">
        <v>30070</v>
      </c>
      <c r="D23604" t="s">
        <v>66038</v>
      </c>
      <c r="E23604" t="b">
        <v>0</v>
      </c>
      <c r="F23604" t="s">
        <v>11610</v>
      </c>
      <c r="L23604">
        <v>0</v>
      </c>
      <c r="M23604">
        <v>0</v>
      </c>
      <c r="N23604">
        <v>0</v>
      </c>
    </row>
    <row r="23605" spans="1:15">
      <c r="A23605" t="s">
        <v>66039</v>
      </c>
      <c r="B23605" t="s">
        <v>6742</v>
      </c>
      <c r="C23605" t="s">
        <v>30355</v>
      </c>
      <c r="D23605" t="s">
        <v>66040</v>
      </c>
      <c r="E23605" t="b">
        <v>0</v>
      </c>
      <c r="F23605" t="s">
        <v>11610</v>
      </c>
      <c r="L23605">
        <v>0</v>
      </c>
      <c r="M23605">
        <v>0</v>
      </c>
      <c r="N23605">
        <v>0</v>
      </c>
    </row>
    <row r="23606" spans="1:15">
      <c r="A23606" t="s">
        <v>66041</v>
      </c>
      <c r="B23606" t="s">
        <v>1588</v>
      </c>
      <c r="C23606" t="s">
        <v>2656</v>
      </c>
      <c r="D23606" t="s">
        <v>66042</v>
      </c>
      <c r="E23606" t="b">
        <v>0</v>
      </c>
      <c r="F23606" t="s">
        <v>11610</v>
      </c>
      <c r="G23606">
        <v>-16.149999999999999</v>
      </c>
      <c r="H23606">
        <v>127.52</v>
      </c>
      <c r="L23606">
        <v>0</v>
      </c>
      <c r="M23606">
        <v>0</v>
      </c>
      <c r="N23606">
        <v>0</v>
      </c>
    </row>
    <row r="23607" spans="1:15">
      <c r="A23607" t="s">
        <v>66043</v>
      </c>
      <c r="B23607" t="s">
        <v>10597</v>
      </c>
      <c r="C23607" t="s">
        <v>18595</v>
      </c>
      <c r="D23607" t="s">
        <v>66044</v>
      </c>
      <c r="E23607" t="b">
        <v>0</v>
      </c>
      <c r="F23607" t="s">
        <v>11610</v>
      </c>
      <c r="L23607">
        <v>0</v>
      </c>
      <c r="M23607">
        <v>0</v>
      </c>
      <c r="N23607">
        <v>0</v>
      </c>
    </row>
    <row r="23608" spans="1:15">
      <c r="A23608" t="s">
        <v>66045</v>
      </c>
      <c r="B23608" t="s">
        <v>42949</v>
      </c>
      <c r="C23608" t="s">
        <v>42949</v>
      </c>
      <c r="D23608" t="s">
        <v>66046</v>
      </c>
      <c r="E23608" t="b">
        <v>0</v>
      </c>
      <c r="F23608" t="s">
        <v>11624</v>
      </c>
      <c r="G23608">
        <v>-11.364000000000001</v>
      </c>
      <c r="H23608">
        <v>132.303</v>
      </c>
      <c r="I23608" t="s">
        <v>66047</v>
      </c>
      <c r="L23608">
        <v>0</v>
      </c>
      <c r="M23608">
        <v>0</v>
      </c>
      <c r="N23608">
        <v>0</v>
      </c>
      <c r="O23608" t="s">
        <v>12107</v>
      </c>
    </row>
    <row r="23609" spans="1:15">
      <c r="A23609" t="s">
        <v>66048</v>
      </c>
      <c r="B23609" t="s">
        <v>11637</v>
      </c>
      <c r="C23609" t="s">
        <v>31005</v>
      </c>
      <c r="D23609" t="s">
        <v>66049</v>
      </c>
      <c r="E23609" t="b">
        <v>0</v>
      </c>
      <c r="F23609" t="s">
        <v>11610</v>
      </c>
      <c r="L23609">
        <v>0</v>
      </c>
      <c r="M23609">
        <v>0</v>
      </c>
      <c r="N23609">
        <v>0</v>
      </c>
    </row>
    <row r="23610" spans="1:15">
      <c r="A23610" t="s">
        <v>18509</v>
      </c>
      <c r="B23610" t="s">
        <v>11644</v>
      </c>
      <c r="C23610" t="s">
        <v>47073</v>
      </c>
      <c r="D23610" t="s">
        <v>66050</v>
      </c>
      <c r="E23610" t="b">
        <v>0</v>
      </c>
      <c r="F23610" t="s">
        <v>11624</v>
      </c>
      <c r="G23610">
        <v>25.770700000000001</v>
      </c>
      <c r="H23610">
        <v>102.367</v>
      </c>
      <c r="I23610" t="s">
        <v>66051</v>
      </c>
      <c r="L23610">
        <v>0</v>
      </c>
      <c r="M23610">
        <v>0</v>
      </c>
      <c r="N23610">
        <v>3</v>
      </c>
      <c r="O23610" t="s">
        <v>11905</v>
      </c>
    </row>
    <row r="23611" spans="1:15">
      <c r="A23611" t="s">
        <v>66052</v>
      </c>
      <c r="B23611" t="s">
        <v>6742</v>
      </c>
      <c r="C23611" t="s">
        <v>15646</v>
      </c>
      <c r="D23611" t="s">
        <v>66053</v>
      </c>
      <c r="E23611" t="b">
        <v>0</v>
      </c>
      <c r="F23611" t="s">
        <v>11624</v>
      </c>
      <c r="G23611">
        <v>6.0741500000000004</v>
      </c>
      <c r="H23611">
        <v>10.6035</v>
      </c>
      <c r="I23611" t="s">
        <v>66054</v>
      </c>
      <c r="L23611">
        <v>0</v>
      </c>
      <c r="M23611">
        <v>0</v>
      </c>
      <c r="N23611">
        <v>0</v>
      </c>
      <c r="O23611" t="s">
        <v>11703</v>
      </c>
    </row>
    <row r="23612" spans="1:15">
      <c r="A23612" t="s">
        <v>66055</v>
      </c>
      <c r="B23612" t="s">
        <v>367</v>
      </c>
      <c r="C23612" t="s">
        <v>12716</v>
      </c>
      <c r="D23612" t="s">
        <v>66056</v>
      </c>
      <c r="E23612" t="b">
        <v>0</v>
      </c>
      <c r="F23612" t="s">
        <v>11624</v>
      </c>
      <c r="G23612">
        <v>-15.278600000000001</v>
      </c>
      <c r="H23612">
        <v>166.696</v>
      </c>
      <c r="I23612" t="s">
        <v>66057</v>
      </c>
      <c r="L23612">
        <v>0</v>
      </c>
      <c r="M23612">
        <v>0</v>
      </c>
      <c r="N23612">
        <v>0</v>
      </c>
      <c r="O23612" t="s">
        <v>12719</v>
      </c>
    </row>
    <row r="23613" spans="1:15">
      <c r="A23613" t="s">
        <v>66058</v>
      </c>
      <c r="B23613" t="s">
        <v>11834</v>
      </c>
      <c r="C23613" t="s">
        <v>66059</v>
      </c>
      <c r="D23613" t="s">
        <v>66060</v>
      </c>
      <c r="E23613" t="b">
        <v>0</v>
      </c>
      <c r="F23613" t="s">
        <v>11610</v>
      </c>
      <c r="L23613">
        <v>0</v>
      </c>
      <c r="M23613">
        <v>0</v>
      </c>
      <c r="N23613">
        <v>0</v>
      </c>
    </row>
    <row r="23614" spans="1:15">
      <c r="A23614" t="s">
        <v>66059</v>
      </c>
      <c r="B23614" t="s">
        <v>11834</v>
      </c>
      <c r="C23614" t="s">
        <v>63415</v>
      </c>
      <c r="D23614" t="s">
        <v>66061</v>
      </c>
      <c r="E23614" t="b">
        <v>0</v>
      </c>
      <c r="F23614" t="s">
        <v>11610</v>
      </c>
      <c r="L23614">
        <v>0</v>
      </c>
      <c r="M23614">
        <v>0</v>
      </c>
      <c r="N23614">
        <v>3</v>
      </c>
    </row>
    <row r="23615" spans="1:15">
      <c r="A23615" t="s">
        <v>66062</v>
      </c>
      <c r="B23615" t="s">
        <v>11834</v>
      </c>
      <c r="C23615" t="s">
        <v>66059</v>
      </c>
      <c r="D23615" t="s">
        <v>66063</v>
      </c>
      <c r="E23615" t="b">
        <v>0</v>
      </c>
      <c r="F23615" t="s">
        <v>11610</v>
      </c>
      <c r="L23615">
        <v>0</v>
      </c>
      <c r="M23615">
        <v>0</v>
      </c>
      <c r="N23615">
        <v>0</v>
      </c>
    </row>
    <row r="23616" spans="1:15">
      <c r="A23616" t="s">
        <v>66064</v>
      </c>
      <c r="B23616" t="s">
        <v>11834</v>
      </c>
      <c r="C23616" t="s">
        <v>66059</v>
      </c>
      <c r="D23616" t="s">
        <v>66065</v>
      </c>
      <c r="E23616" t="b">
        <v>0</v>
      </c>
      <c r="F23616" t="s">
        <v>11610</v>
      </c>
      <c r="L23616">
        <v>0</v>
      </c>
      <c r="M23616">
        <v>0</v>
      </c>
      <c r="N23616">
        <v>0</v>
      </c>
    </row>
    <row r="23617" spans="1:15">
      <c r="A23617" t="s">
        <v>66066</v>
      </c>
      <c r="B23617" t="s">
        <v>10597</v>
      </c>
      <c r="C23617" t="s">
        <v>49149</v>
      </c>
      <c r="D23617" t="s">
        <v>66067</v>
      </c>
      <c r="E23617" t="b">
        <v>0</v>
      </c>
      <c r="F23617" t="s">
        <v>11624</v>
      </c>
      <c r="G23617">
        <v>-11.971</v>
      </c>
      <c r="H23617">
        <v>143.08789999999999</v>
      </c>
      <c r="L23617">
        <v>0</v>
      </c>
      <c r="M23617">
        <v>0</v>
      </c>
      <c r="N23617">
        <v>0</v>
      </c>
      <c r="O23617" t="s">
        <v>12107</v>
      </c>
    </row>
    <row r="23618" spans="1:15">
      <c r="A23618" t="s">
        <v>66068</v>
      </c>
      <c r="B23618" t="s">
        <v>11644</v>
      </c>
      <c r="C23618" t="s">
        <v>24102</v>
      </c>
      <c r="D23618" t="s">
        <v>66069</v>
      </c>
      <c r="E23618" t="b">
        <v>0</v>
      </c>
      <c r="F23618" t="s">
        <v>11624</v>
      </c>
      <c r="G23618">
        <v>35.268999999999998</v>
      </c>
      <c r="H23618">
        <v>101.95699999999999</v>
      </c>
      <c r="I23618" t="s">
        <v>66070</v>
      </c>
      <c r="L23618">
        <v>0</v>
      </c>
      <c r="M23618">
        <v>0</v>
      </c>
      <c r="N23618">
        <v>0</v>
      </c>
      <c r="O23618" t="s">
        <v>11905</v>
      </c>
    </row>
    <row r="23619" spans="1:15">
      <c r="A23619" t="s">
        <v>66071</v>
      </c>
      <c r="B23619" t="s">
        <v>16986</v>
      </c>
      <c r="C23619" t="s">
        <v>50035</v>
      </c>
      <c r="D23619" t="s">
        <v>66072</v>
      </c>
      <c r="E23619" t="b">
        <v>0</v>
      </c>
      <c r="F23619" t="s">
        <v>11624</v>
      </c>
      <c r="G23619">
        <v>-2.64636</v>
      </c>
      <c r="H23619">
        <v>141.10400000000001</v>
      </c>
      <c r="I23619" t="s">
        <v>66073</v>
      </c>
      <c r="L23619">
        <v>0</v>
      </c>
      <c r="M23619">
        <v>0</v>
      </c>
      <c r="N23619">
        <v>0</v>
      </c>
      <c r="O23619" t="s">
        <v>24525</v>
      </c>
    </row>
    <row r="23620" spans="1:15">
      <c r="A23620" t="s">
        <v>66074</v>
      </c>
      <c r="B23620" t="s">
        <v>6742</v>
      </c>
      <c r="C23620" t="s">
        <v>28178</v>
      </c>
      <c r="D23620" t="s">
        <v>66075</v>
      </c>
      <c r="E23620" t="b">
        <v>0</v>
      </c>
      <c r="F23620" t="s">
        <v>11610</v>
      </c>
      <c r="L23620">
        <v>0</v>
      </c>
      <c r="M23620">
        <v>0</v>
      </c>
      <c r="N23620">
        <v>0</v>
      </c>
    </row>
    <row r="23621" spans="1:15">
      <c r="A23621" t="s">
        <v>66076</v>
      </c>
      <c r="B23621" t="s">
        <v>12438</v>
      </c>
      <c r="C23621" t="s">
        <v>27246</v>
      </c>
      <c r="D23621" t="s">
        <v>66077</v>
      </c>
      <c r="E23621" t="b">
        <v>0</v>
      </c>
      <c r="F23621" t="s">
        <v>11610</v>
      </c>
      <c r="L23621">
        <v>0</v>
      </c>
      <c r="M23621">
        <v>0</v>
      </c>
      <c r="N23621">
        <v>0</v>
      </c>
    </row>
    <row r="23622" spans="1:15">
      <c r="A23622" t="s">
        <v>15113</v>
      </c>
      <c r="B23622" t="s">
        <v>367</v>
      </c>
      <c r="C23622" t="s">
        <v>13657</v>
      </c>
      <c r="D23622" t="s">
        <v>66078</v>
      </c>
      <c r="E23622" t="b">
        <v>0</v>
      </c>
      <c r="F23622" t="s">
        <v>11624</v>
      </c>
      <c r="G23622">
        <v>-1.7393799999999999</v>
      </c>
      <c r="H23622">
        <v>142.851</v>
      </c>
      <c r="I23622" t="s">
        <v>66079</v>
      </c>
      <c r="L23622">
        <v>0</v>
      </c>
      <c r="M23622">
        <v>0</v>
      </c>
      <c r="N23622">
        <v>2</v>
      </c>
      <c r="O23622" t="s">
        <v>11660</v>
      </c>
    </row>
    <row r="23623" spans="1:15">
      <c r="A23623" t="s">
        <v>66080</v>
      </c>
      <c r="B23623" t="s">
        <v>367</v>
      </c>
      <c r="C23623" t="s">
        <v>15113</v>
      </c>
      <c r="D23623" t="s">
        <v>66081</v>
      </c>
      <c r="E23623" t="b">
        <v>0</v>
      </c>
      <c r="F23623" t="s">
        <v>11610</v>
      </c>
      <c r="L23623">
        <v>0</v>
      </c>
      <c r="M23623">
        <v>0</v>
      </c>
      <c r="N23623">
        <v>0</v>
      </c>
    </row>
    <row r="23624" spans="1:15">
      <c r="A23624" t="s">
        <v>66082</v>
      </c>
      <c r="B23624" t="s">
        <v>11644</v>
      </c>
      <c r="C23624" t="s">
        <v>33479</v>
      </c>
      <c r="D23624" t="s">
        <v>66083</v>
      </c>
      <c r="E23624" t="b">
        <v>0</v>
      </c>
      <c r="F23624" t="s">
        <v>11610</v>
      </c>
      <c r="L23624">
        <v>0</v>
      </c>
      <c r="M23624">
        <v>0</v>
      </c>
      <c r="N23624">
        <v>0</v>
      </c>
    </row>
    <row r="23625" spans="1:15">
      <c r="A23625" t="s">
        <v>66084</v>
      </c>
      <c r="B23625" t="s">
        <v>11644</v>
      </c>
      <c r="C23625" t="s">
        <v>31566</v>
      </c>
      <c r="D23625" t="s">
        <v>66085</v>
      </c>
      <c r="E23625" t="b">
        <v>0</v>
      </c>
      <c r="F23625" t="s">
        <v>11610</v>
      </c>
      <c r="L23625">
        <v>0</v>
      </c>
      <c r="M23625">
        <v>0</v>
      </c>
      <c r="N23625">
        <v>0</v>
      </c>
    </row>
    <row r="23626" spans="1:15">
      <c r="A23626" t="s">
        <v>66086</v>
      </c>
      <c r="B23626" t="s">
        <v>11644</v>
      </c>
      <c r="C23626" t="s">
        <v>22961</v>
      </c>
      <c r="D23626" t="s">
        <v>66087</v>
      </c>
      <c r="E23626" t="b">
        <v>0</v>
      </c>
      <c r="F23626" t="s">
        <v>11610</v>
      </c>
      <c r="L23626">
        <v>0</v>
      </c>
      <c r="M23626">
        <v>0</v>
      </c>
      <c r="N23626">
        <v>0</v>
      </c>
    </row>
    <row r="23627" spans="1:15">
      <c r="A23627" t="s">
        <v>66088</v>
      </c>
      <c r="B23627" t="s">
        <v>11644</v>
      </c>
      <c r="C23627" t="s">
        <v>21071</v>
      </c>
      <c r="D23627" t="s">
        <v>66089</v>
      </c>
      <c r="E23627" t="b">
        <v>0</v>
      </c>
      <c r="F23627" t="s">
        <v>11610</v>
      </c>
      <c r="L23627">
        <v>0</v>
      </c>
      <c r="M23627">
        <v>0</v>
      </c>
      <c r="N23627">
        <v>0</v>
      </c>
    </row>
    <row r="23628" spans="1:15">
      <c r="A23628" t="s">
        <v>66090</v>
      </c>
      <c r="B23628" t="s">
        <v>11607</v>
      </c>
      <c r="C23628" t="s">
        <v>41524</v>
      </c>
      <c r="D23628" t="s">
        <v>66091</v>
      </c>
      <c r="E23628" t="b">
        <v>0</v>
      </c>
      <c r="F23628" t="s">
        <v>11624</v>
      </c>
      <c r="G23628">
        <v>10.955</v>
      </c>
      <c r="H23628">
        <v>14.1378</v>
      </c>
      <c r="I23628" t="s">
        <v>66092</v>
      </c>
      <c r="L23628">
        <v>0</v>
      </c>
      <c r="M23628">
        <v>0</v>
      </c>
      <c r="N23628">
        <v>0</v>
      </c>
      <c r="O23628" t="s">
        <v>11703</v>
      </c>
    </row>
    <row r="23629" spans="1:15">
      <c r="A23629" t="s">
        <v>66093</v>
      </c>
      <c r="B23629" t="s">
        <v>13450</v>
      </c>
      <c r="C23629" t="s">
        <v>29089</v>
      </c>
      <c r="D23629" t="s">
        <v>66094</v>
      </c>
      <c r="E23629" t="b">
        <v>0</v>
      </c>
      <c r="F23629" t="s">
        <v>11624</v>
      </c>
      <c r="L23629">
        <v>0</v>
      </c>
      <c r="M23629">
        <v>0</v>
      </c>
      <c r="N23629">
        <v>0</v>
      </c>
      <c r="O23629" t="s">
        <v>25838</v>
      </c>
    </row>
    <row r="23630" spans="1:15">
      <c r="A23630" t="s">
        <v>23399</v>
      </c>
      <c r="B23630" t="s">
        <v>300</v>
      </c>
      <c r="C23630" t="s">
        <v>21267</v>
      </c>
      <c r="D23630" t="s">
        <v>66095</v>
      </c>
      <c r="E23630" t="b">
        <v>0</v>
      </c>
      <c r="F23630" t="s">
        <v>11624</v>
      </c>
      <c r="G23630">
        <v>44.33</v>
      </c>
      <c r="H23630">
        <v>-77.5</v>
      </c>
      <c r="I23630" t="s">
        <v>66096</v>
      </c>
      <c r="L23630">
        <v>0</v>
      </c>
      <c r="M23630">
        <v>0</v>
      </c>
      <c r="N23630">
        <v>8</v>
      </c>
      <c r="O23630" t="s">
        <v>11944</v>
      </c>
    </row>
    <row r="23631" spans="1:15">
      <c r="A23631" t="s">
        <v>66097</v>
      </c>
      <c r="B23631" t="s">
        <v>11637</v>
      </c>
      <c r="C23631" t="s">
        <v>40862</v>
      </c>
      <c r="D23631" t="s">
        <v>66098</v>
      </c>
      <c r="E23631" t="b">
        <v>0</v>
      </c>
      <c r="F23631" t="s">
        <v>11624</v>
      </c>
      <c r="G23631">
        <v>49.916170000000001</v>
      </c>
      <c r="H23631">
        <v>19.151949999999999</v>
      </c>
      <c r="I23631" t="s">
        <v>66099</v>
      </c>
      <c r="L23631">
        <v>0</v>
      </c>
      <c r="M23631">
        <v>0</v>
      </c>
      <c r="N23631">
        <v>0</v>
      </c>
      <c r="O23631" t="s">
        <v>27424</v>
      </c>
    </row>
    <row r="23632" spans="1:15">
      <c r="A23632" t="s">
        <v>66100</v>
      </c>
      <c r="B23632" t="s">
        <v>13276</v>
      </c>
      <c r="C23632" t="s">
        <v>33091</v>
      </c>
      <c r="D23632" t="s">
        <v>66101</v>
      </c>
      <c r="E23632" t="b">
        <v>0</v>
      </c>
      <c r="F23632" t="s">
        <v>11624</v>
      </c>
      <c r="G23632">
        <v>14.214700000000001</v>
      </c>
      <c r="H23632">
        <v>-13.805099999999999</v>
      </c>
      <c r="I23632" t="s">
        <v>66102</v>
      </c>
      <c r="L23632">
        <v>0</v>
      </c>
      <c r="M23632">
        <v>0</v>
      </c>
      <c r="N23632">
        <v>0</v>
      </c>
      <c r="O23632" t="s">
        <v>66103</v>
      </c>
    </row>
    <row r="23633" spans="1:15">
      <c r="A23633" t="s">
        <v>66104</v>
      </c>
      <c r="B23633" t="s">
        <v>11879</v>
      </c>
      <c r="C23633" t="s">
        <v>13326</v>
      </c>
      <c r="D23633" t="s">
        <v>66105</v>
      </c>
      <c r="E23633" t="b">
        <v>0</v>
      </c>
      <c r="F23633" t="s">
        <v>11624</v>
      </c>
      <c r="G23633">
        <v>15.882199999999999</v>
      </c>
      <c r="H23633">
        <v>-96.031800000000004</v>
      </c>
      <c r="I23633" t="s">
        <v>66106</v>
      </c>
      <c r="L23633">
        <v>0</v>
      </c>
      <c r="M23633">
        <v>0</v>
      </c>
      <c r="N23633">
        <v>0</v>
      </c>
      <c r="O23633" t="s">
        <v>11883</v>
      </c>
    </row>
    <row r="23634" spans="1:15">
      <c r="A23634" t="s">
        <v>66107</v>
      </c>
      <c r="B23634" t="s">
        <v>4236</v>
      </c>
      <c r="C23634" t="s">
        <v>12592</v>
      </c>
      <c r="D23634" t="s">
        <v>66108</v>
      </c>
      <c r="E23634" t="b">
        <v>0</v>
      </c>
      <c r="F23634" t="s">
        <v>11610</v>
      </c>
      <c r="L23634">
        <v>0</v>
      </c>
      <c r="M23634">
        <v>0</v>
      </c>
      <c r="N23634">
        <v>0</v>
      </c>
    </row>
    <row r="23635" spans="1:15">
      <c r="A23635" t="s">
        <v>66109</v>
      </c>
      <c r="B23635" t="s">
        <v>13210</v>
      </c>
      <c r="C23635" t="s">
        <v>32846</v>
      </c>
      <c r="D23635" t="s">
        <v>66110</v>
      </c>
      <c r="E23635" t="b">
        <v>0</v>
      </c>
      <c r="F23635" t="s">
        <v>11610</v>
      </c>
      <c r="L23635">
        <v>0</v>
      </c>
      <c r="M23635">
        <v>0</v>
      </c>
      <c r="N23635">
        <v>0</v>
      </c>
    </row>
    <row r="23636" spans="1:15">
      <c r="A23636" t="s">
        <v>66111</v>
      </c>
      <c r="B23636" t="s">
        <v>11965</v>
      </c>
      <c r="C23636" t="s">
        <v>11966</v>
      </c>
      <c r="D23636" t="s">
        <v>66112</v>
      </c>
      <c r="E23636" t="b">
        <v>0</v>
      </c>
      <c r="F23636" t="s">
        <v>11624</v>
      </c>
      <c r="G23636">
        <v>-19</v>
      </c>
      <c r="H23636">
        <v>-47</v>
      </c>
      <c r="I23636" t="s">
        <v>66113</v>
      </c>
      <c r="L23636">
        <v>0</v>
      </c>
      <c r="M23636">
        <v>0</v>
      </c>
      <c r="N23636">
        <v>0</v>
      </c>
      <c r="O23636" t="s">
        <v>11969</v>
      </c>
    </row>
    <row r="23637" spans="1:15">
      <c r="A23637" t="s">
        <v>66114</v>
      </c>
      <c r="B23637" t="s">
        <v>11653</v>
      </c>
      <c r="C23637" t="s">
        <v>11654</v>
      </c>
      <c r="D23637" t="s">
        <v>66115</v>
      </c>
      <c r="E23637" t="b">
        <v>0</v>
      </c>
      <c r="F23637" t="s">
        <v>11610</v>
      </c>
      <c r="L23637">
        <v>0</v>
      </c>
      <c r="M23637">
        <v>0</v>
      </c>
      <c r="N23637">
        <v>0</v>
      </c>
    </row>
    <row r="23638" spans="1:15">
      <c r="A23638" t="s">
        <v>66116</v>
      </c>
      <c r="B23638" t="s">
        <v>15146</v>
      </c>
      <c r="C23638" t="s">
        <v>38738</v>
      </c>
      <c r="D23638" t="s">
        <v>66117</v>
      </c>
      <c r="E23638" t="b">
        <v>0</v>
      </c>
      <c r="F23638" t="s">
        <v>11624</v>
      </c>
      <c r="G23638">
        <v>-31.761199999999999</v>
      </c>
      <c r="H23638">
        <v>20.173300000000001</v>
      </c>
      <c r="I23638" t="s">
        <v>66118</v>
      </c>
      <c r="L23638">
        <v>0</v>
      </c>
      <c r="M23638">
        <v>0</v>
      </c>
      <c r="N23638">
        <v>0</v>
      </c>
      <c r="O23638" t="s">
        <v>21031</v>
      </c>
    </row>
    <row r="23639" spans="1:15">
      <c r="A23639" t="s">
        <v>36115</v>
      </c>
      <c r="B23639" t="s">
        <v>11607</v>
      </c>
      <c r="C23639" t="s">
        <v>18608</v>
      </c>
      <c r="D23639" t="s">
        <v>66119</v>
      </c>
      <c r="E23639" t="b">
        <v>0</v>
      </c>
      <c r="F23639" t="s">
        <v>11624</v>
      </c>
      <c r="G23639">
        <v>12.447900000000001</v>
      </c>
      <c r="H23639">
        <v>38.8352</v>
      </c>
      <c r="I23639" t="s">
        <v>66120</v>
      </c>
      <c r="L23639">
        <v>0</v>
      </c>
      <c r="M23639">
        <v>0</v>
      </c>
      <c r="N23639">
        <v>4</v>
      </c>
      <c r="O23639" t="s">
        <v>11625</v>
      </c>
    </row>
    <row r="23640" spans="1:15">
      <c r="A23640" t="s">
        <v>66121</v>
      </c>
      <c r="B23640" t="s">
        <v>11879</v>
      </c>
      <c r="C23640" t="s">
        <v>13326</v>
      </c>
      <c r="D23640" t="s">
        <v>66122</v>
      </c>
      <c r="E23640" t="b">
        <v>0</v>
      </c>
      <c r="F23640" t="s">
        <v>11624</v>
      </c>
      <c r="G23640">
        <v>15.9748</v>
      </c>
      <c r="H23640">
        <v>-96.192700000000002</v>
      </c>
      <c r="I23640" t="s">
        <v>66123</v>
      </c>
      <c r="L23640">
        <v>0</v>
      </c>
      <c r="M23640">
        <v>0</v>
      </c>
      <c r="N23640">
        <v>0</v>
      </c>
      <c r="O23640" t="s">
        <v>11883</v>
      </c>
    </row>
    <row r="23641" spans="1:15">
      <c r="A23641" t="s">
        <v>66124</v>
      </c>
      <c r="B23641" t="s">
        <v>12311</v>
      </c>
      <c r="C23641" t="s">
        <v>13232</v>
      </c>
      <c r="D23641" t="s">
        <v>66125</v>
      </c>
      <c r="E23641" t="b">
        <v>0</v>
      </c>
      <c r="F23641" t="s">
        <v>11610</v>
      </c>
      <c r="L23641">
        <v>0</v>
      </c>
      <c r="M23641">
        <v>0</v>
      </c>
      <c r="N23641">
        <v>0</v>
      </c>
    </row>
    <row r="23642" spans="1:15">
      <c r="A23642" t="s">
        <v>66126</v>
      </c>
      <c r="B23642" t="s">
        <v>367</v>
      </c>
      <c r="C23642" t="s">
        <v>31487</v>
      </c>
      <c r="D23642" t="s">
        <v>66127</v>
      </c>
      <c r="E23642" t="b">
        <v>0</v>
      </c>
      <c r="F23642" t="s">
        <v>11624</v>
      </c>
      <c r="G23642">
        <v>-21.822299999999998</v>
      </c>
      <c r="H23642">
        <v>166.376</v>
      </c>
      <c r="I23642" t="s">
        <v>66128</v>
      </c>
      <c r="L23642">
        <v>0</v>
      </c>
      <c r="M23642">
        <v>0</v>
      </c>
      <c r="N23642">
        <v>0</v>
      </c>
      <c r="O23642" t="s">
        <v>12624</v>
      </c>
    </row>
    <row r="23643" spans="1:15">
      <c r="A23643" t="s">
        <v>66129</v>
      </c>
      <c r="B23643" t="s">
        <v>367</v>
      </c>
      <c r="C23643" t="s">
        <v>31487</v>
      </c>
      <c r="D23643" t="s">
        <v>66130</v>
      </c>
      <c r="E23643" t="b">
        <v>0</v>
      </c>
      <c r="F23643" t="s">
        <v>11624</v>
      </c>
      <c r="G23643">
        <v>-21.703399999999998</v>
      </c>
      <c r="H23643">
        <v>165.99600000000001</v>
      </c>
      <c r="I23643" t="s">
        <v>66131</v>
      </c>
      <c r="L23643">
        <v>0</v>
      </c>
      <c r="M23643">
        <v>0</v>
      </c>
      <c r="N23643">
        <v>0</v>
      </c>
      <c r="O23643" t="s">
        <v>12624</v>
      </c>
    </row>
    <row r="23644" spans="1:15">
      <c r="A23644" t="s">
        <v>66132</v>
      </c>
      <c r="B23644" t="s">
        <v>12311</v>
      </c>
      <c r="C23644" t="s">
        <v>24419</v>
      </c>
      <c r="D23644" t="s">
        <v>66133</v>
      </c>
      <c r="E23644" t="b">
        <v>0</v>
      </c>
      <c r="F23644" t="s">
        <v>11610</v>
      </c>
      <c r="L23644">
        <v>0</v>
      </c>
      <c r="M23644">
        <v>0</v>
      </c>
      <c r="N23644">
        <v>0</v>
      </c>
    </row>
    <row r="23645" spans="1:15">
      <c r="A23645" t="s">
        <v>33091</v>
      </c>
      <c r="B23645" t="s">
        <v>13276</v>
      </c>
      <c r="C23645" t="s">
        <v>36715</v>
      </c>
      <c r="D23645" t="s">
        <v>66134</v>
      </c>
      <c r="E23645" t="b">
        <v>0</v>
      </c>
      <c r="F23645" t="s">
        <v>11622</v>
      </c>
      <c r="L23645">
        <v>0</v>
      </c>
      <c r="M23645">
        <v>3</v>
      </c>
      <c r="N23645">
        <v>2</v>
      </c>
    </row>
    <row r="23646" spans="1:15">
      <c r="A23646" t="s">
        <v>66135</v>
      </c>
      <c r="B23646" t="s">
        <v>15146</v>
      </c>
      <c r="C23646" t="s">
        <v>15150</v>
      </c>
      <c r="D23646" t="s">
        <v>66136</v>
      </c>
      <c r="E23646" t="b">
        <v>0</v>
      </c>
      <c r="F23646" t="s">
        <v>11610</v>
      </c>
      <c r="L23646">
        <v>0</v>
      </c>
      <c r="M23646">
        <v>0</v>
      </c>
      <c r="N23646">
        <v>0</v>
      </c>
    </row>
    <row r="23647" spans="1:15">
      <c r="A23647" t="s">
        <v>66137</v>
      </c>
      <c r="B23647" t="s">
        <v>13210</v>
      </c>
      <c r="C23647" t="s">
        <v>35927</v>
      </c>
      <c r="D23647" t="s">
        <v>66138</v>
      </c>
      <c r="E23647" t="b">
        <v>0</v>
      </c>
      <c r="F23647" t="s">
        <v>11610</v>
      </c>
      <c r="L23647">
        <v>0</v>
      </c>
      <c r="M23647">
        <v>0</v>
      </c>
      <c r="N23647">
        <v>0</v>
      </c>
    </row>
    <row r="23648" spans="1:15">
      <c r="A23648" t="s">
        <v>66139</v>
      </c>
      <c r="B23648" t="s">
        <v>13210</v>
      </c>
      <c r="C23648" t="s">
        <v>355</v>
      </c>
      <c r="D23648" t="s">
        <v>66140</v>
      </c>
      <c r="E23648" t="b">
        <v>0</v>
      </c>
      <c r="F23648" t="s">
        <v>11610</v>
      </c>
      <c r="L23648">
        <v>0</v>
      </c>
      <c r="M23648">
        <v>0</v>
      </c>
      <c r="N23648">
        <v>0</v>
      </c>
    </row>
    <row r="23649" spans="1:15">
      <c r="A23649" t="s">
        <v>66141</v>
      </c>
      <c r="B23649" t="s">
        <v>11965</v>
      </c>
      <c r="C23649" t="s">
        <v>11966</v>
      </c>
      <c r="D23649" t="s">
        <v>66142</v>
      </c>
      <c r="E23649" t="b">
        <v>0</v>
      </c>
      <c r="F23649" t="s">
        <v>11624</v>
      </c>
      <c r="G23649">
        <v>-14.3017</v>
      </c>
      <c r="H23649">
        <v>-52.436700000000002</v>
      </c>
      <c r="I23649" t="s">
        <v>66143</v>
      </c>
      <c r="L23649">
        <v>0</v>
      </c>
      <c r="M23649">
        <v>0</v>
      </c>
      <c r="N23649">
        <v>0</v>
      </c>
      <c r="O23649" t="s">
        <v>11969</v>
      </c>
    </row>
    <row r="23650" spans="1:15">
      <c r="A23650" t="s">
        <v>66144</v>
      </c>
      <c r="B23650" t="s">
        <v>11607</v>
      </c>
      <c r="C23650" t="s">
        <v>32649</v>
      </c>
      <c r="D23650" t="s">
        <v>66145</v>
      </c>
      <c r="E23650" t="b">
        <v>0</v>
      </c>
      <c r="F23650" t="s">
        <v>11610</v>
      </c>
      <c r="L23650">
        <v>0</v>
      </c>
      <c r="M23650">
        <v>0</v>
      </c>
      <c r="N23650">
        <v>0</v>
      </c>
    </row>
    <row r="23651" spans="1:15">
      <c r="A23651" t="s">
        <v>66146</v>
      </c>
      <c r="B23651" t="s">
        <v>15146</v>
      </c>
      <c r="C23651" t="s">
        <v>38738</v>
      </c>
      <c r="D23651" t="s">
        <v>66147</v>
      </c>
      <c r="E23651" t="b">
        <v>0</v>
      </c>
      <c r="F23651" t="s">
        <v>11624</v>
      </c>
      <c r="G23651">
        <v>-26.340699999999998</v>
      </c>
      <c r="H23651">
        <v>30.402799999999999</v>
      </c>
      <c r="I23651" t="s">
        <v>66148</v>
      </c>
      <c r="L23651">
        <v>0</v>
      </c>
      <c r="M23651">
        <v>0</v>
      </c>
      <c r="N23651">
        <v>0</v>
      </c>
      <c r="O23651" t="s">
        <v>21031</v>
      </c>
    </row>
    <row r="23652" spans="1:15">
      <c r="A23652" t="s">
        <v>66149</v>
      </c>
      <c r="B23652" t="s">
        <v>13276</v>
      </c>
      <c r="C23652" t="s">
        <v>15533</v>
      </c>
      <c r="D23652" t="s">
        <v>66150</v>
      </c>
      <c r="E23652" t="b">
        <v>0</v>
      </c>
      <c r="F23652" t="s">
        <v>11610</v>
      </c>
      <c r="L23652">
        <v>0</v>
      </c>
      <c r="M23652">
        <v>0</v>
      </c>
      <c r="N23652">
        <v>0</v>
      </c>
    </row>
    <row r="23653" spans="1:15">
      <c r="A23653" t="s">
        <v>66151</v>
      </c>
      <c r="B23653" t="s">
        <v>11965</v>
      </c>
      <c r="C23653" t="s">
        <v>11966</v>
      </c>
      <c r="D23653" t="s">
        <v>66152</v>
      </c>
      <c r="E23653" t="b">
        <v>0</v>
      </c>
      <c r="F23653" t="s">
        <v>11624</v>
      </c>
      <c r="G23653">
        <v>-9.5942600000000002</v>
      </c>
      <c r="H23653">
        <v>-48.262900000000002</v>
      </c>
      <c r="I23653" t="s">
        <v>66153</v>
      </c>
      <c r="L23653">
        <v>0</v>
      </c>
      <c r="M23653">
        <v>0</v>
      </c>
      <c r="N23653">
        <v>0</v>
      </c>
      <c r="O23653" t="s">
        <v>11969</v>
      </c>
    </row>
    <row r="23654" spans="1:15">
      <c r="A23654" t="s">
        <v>1905</v>
      </c>
      <c r="B23654" t="s">
        <v>6742</v>
      </c>
      <c r="C23654" t="s">
        <v>1906</v>
      </c>
      <c r="D23654" t="s">
        <v>66154</v>
      </c>
      <c r="E23654" t="b">
        <v>0</v>
      </c>
      <c r="F23654" t="s">
        <v>11610</v>
      </c>
      <c r="L23654">
        <v>0</v>
      </c>
      <c r="M23654">
        <v>0</v>
      </c>
      <c r="N23654">
        <v>0</v>
      </c>
    </row>
    <row r="23655" spans="1:15">
      <c r="A23655" t="s">
        <v>66155</v>
      </c>
      <c r="B23655" t="s">
        <v>11912</v>
      </c>
      <c r="C23655" t="s">
        <v>11913</v>
      </c>
      <c r="D23655" t="s">
        <v>66156</v>
      </c>
      <c r="E23655" t="b">
        <v>0</v>
      </c>
      <c r="F23655" t="s">
        <v>11624</v>
      </c>
      <c r="G23655">
        <v>-24.940799999999999</v>
      </c>
      <c r="H23655">
        <v>-52.226599999999998</v>
      </c>
      <c r="I23655" t="s">
        <v>66157</v>
      </c>
      <c r="L23655">
        <v>0</v>
      </c>
      <c r="M23655">
        <v>0</v>
      </c>
      <c r="N23655">
        <v>0</v>
      </c>
      <c r="O23655" t="s">
        <v>11969</v>
      </c>
    </row>
    <row r="23656" spans="1:15">
      <c r="A23656" t="s">
        <v>66158</v>
      </c>
      <c r="B23656" t="s">
        <v>12148</v>
      </c>
      <c r="C23656" t="s">
        <v>61</v>
      </c>
      <c r="D23656" t="s">
        <v>66159</v>
      </c>
      <c r="E23656" t="b">
        <v>0</v>
      </c>
      <c r="F23656" t="s">
        <v>11610</v>
      </c>
      <c r="L23656">
        <v>0</v>
      </c>
      <c r="M23656">
        <v>0</v>
      </c>
      <c r="N23656">
        <v>0</v>
      </c>
    </row>
    <row r="23657" spans="1:15">
      <c r="A23657" t="s">
        <v>1906</v>
      </c>
      <c r="B23657" t="s">
        <v>6742</v>
      </c>
      <c r="C23657" t="s">
        <v>66160</v>
      </c>
      <c r="D23657" t="s">
        <v>1916</v>
      </c>
      <c r="E23657" t="b">
        <v>0</v>
      </c>
      <c r="F23657" t="s">
        <v>11624</v>
      </c>
      <c r="G23657">
        <v>-31.038900000000002</v>
      </c>
      <c r="H23657">
        <v>28.076899999999998</v>
      </c>
      <c r="I23657" t="s">
        <v>66161</v>
      </c>
      <c r="L23657">
        <v>0</v>
      </c>
      <c r="M23657">
        <v>0</v>
      </c>
      <c r="N23657">
        <v>13</v>
      </c>
      <c r="O23657" t="s">
        <v>66162</v>
      </c>
    </row>
    <row r="23658" spans="1:15">
      <c r="A23658" t="s">
        <v>66163</v>
      </c>
      <c r="B23658" t="s">
        <v>11644</v>
      </c>
      <c r="C23658" t="s">
        <v>28113</v>
      </c>
      <c r="D23658" t="s">
        <v>66164</v>
      </c>
      <c r="E23658" t="b">
        <v>0</v>
      </c>
      <c r="F23658" t="s">
        <v>11610</v>
      </c>
      <c r="G23658">
        <v>24.494209999999999</v>
      </c>
      <c r="H23658">
        <v>118.08918</v>
      </c>
      <c r="L23658">
        <v>0</v>
      </c>
      <c r="M23658">
        <v>0</v>
      </c>
      <c r="N23658">
        <v>0</v>
      </c>
    </row>
    <row r="23659" spans="1:15">
      <c r="A23659" t="s">
        <v>66165</v>
      </c>
      <c r="B23659" t="s">
        <v>11644</v>
      </c>
      <c r="C23659" t="s">
        <v>11888</v>
      </c>
      <c r="D23659" t="s">
        <v>66166</v>
      </c>
      <c r="E23659" t="b">
        <v>0</v>
      </c>
      <c r="F23659" t="s">
        <v>11610</v>
      </c>
      <c r="G23659">
        <v>24.5458</v>
      </c>
      <c r="H23659">
        <v>97.905199999999994</v>
      </c>
      <c r="I23659" t="s">
        <v>66167</v>
      </c>
      <c r="L23659">
        <v>0</v>
      </c>
      <c r="M23659">
        <v>0</v>
      </c>
      <c r="N23659">
        <v>0</v>
      </c>
      <c r="O23659" t="s">
        <v>11905</v>
      </c>
    </row>
    <row r="23660" spans="1:15">
      <c r="A23660" t="s">
        <v>66168</v>
      </c>
      <c r="B23660" t="s">
        <v>11644</v>
      </c>
      <c r="C23660" t="s">
        <v>23931</v>
      </c>
      <c r="D23660" t="s">
        <v>66169</v>
      </c>
      <c r="E23660" t="b">
        <v>0</v>
      </c>
      <c r="F23660" t="s">
        <v>11610</v>
      </c>
      <c r="G23660">
        <v>25.531365699999998</v>
      </c>
      <c r="H23660">
        <v>100.4478932</v>
      </c>
      <c r="L23660">
        <v>0</v>
      </c>
      <c r="M23660">
        <v>0</v>
      </c>
      <c r="N23660">
        <v>0</v>
      </c>
    </row>
    <row r="23661" spans="1:15">
      <c r="A23661" t="s">
        <v>22268</v>
      </c>
      <c r="B23661" t="s">
        <v>11644</v>
      </c>
      <c r="C23661" t="s">
        <v>28526</v>
      </c>
      <c r="D23661" t="s">
        <v>66170</v>
      </c>
      <c r="E23661" t="b">
        <v>0</v>
      </c>
      <c r="F23661" t="s">
        <v>11624</v>
      </c>
      <c r="G23661">
        <v>27.668469999999999</v>
      </c>
      <c r="H23661">
        <v>111.47112</v>
      </c>
      <c r="I23661" t="s">
        <v>66171</v>
      </c>
      <c r="L23661">
        <v>0</v>
      </c>
      <c r="M23661">
        <v>0</v>
      </c>
      <c r="N23661">
        <v>22</v>
      </c>
      <c r="O23661" t="s">
        <v>11905</v>
      </c>
    </row>
    <row r="23662" spans="1:15">
      <c r="A23662" t="s">
        <v>66172</v>
      </c>
      <c r="B23662" t="s">
        <v>11644</v>
      </c>
      <c r="C23662" t="s">
        <v>30997</v>
      </c>
      <c r="D23662" t="s">
        <v>66173</v>
      </c>
      <c r="E23662" t="b">
        <v>0</v>
      </c>
      <c r="F23662" t="s">
        <v>11610</v>
      </c>
      <c r="L23662">
        <v>0</v>
      </c>
      <c r="M23662">
        <v>0</v>
      </c>
      <c r="N23662">
        <v>0</v>
      </c>
    </row>
    <row r="23663" spans="1:15">
      <c r="A23663" t="s">
        <v>66174</v>
      </c>
      <c r="B23663" t="s">
        <v>11644</v>
      </c>
      <c r="C23663" t="s">
        <v>31538</v>
      </c>
      <c r="D23663" t="s">
        <v>66175</v>
      </c>
      <c r="E23663" t="b">
        <v>0</v>
      </c>
      <c r="F23663" t="s">
        <v>11610</v>
      </c>
      <c r="G23663">
        <v>34.228154000000004</v>
      </c>
      <c r="H23663">
        <v>108.960571</v>
      </c>
      <c r="L23663">
        <v>0</v>
      </c>
      <c r="M23663">
        <v>0</v>
      </c>
      <c r="N23663">
        <v>0</v>
      </c>
    </row>
    <row r="23664" spans="1:15">
      <c r="A23664" t="s">
        <v>66176</v>
      </c>
      <c r="B23664" t="s">
        <v>11644</v>
      </c>
      <c r="C23664" t="s">
        <v>40815</v>
      </c>
      <c r="D23664" t="s">
        <v>66177</v>
      </c>
      <c r="E23664" t="b">
        <v>0</v>
      </c>
      <c r="F23664" t="s">
        <v>11610</v>
      </c>
      <c r="G23664">
        <v>27.8482649</v>
      </c>
      <c r="H23664">
        <v>112.7688127</v>
      </c>
      <c r="L23664">
        <v>0</v>
      </c>
      <c r="M23664">
        <v>0</v>
      </c>
      <c r="N23664">
        <v>0</v>
      </c>
    </row>
    <row r="23665" spans="1:15">
      <c r="A23665" t="s">
        <v>66178</v>
      </c>
      <c r="B23665" t="s">
        <v>11644</v>
      </c>
      <c r="C23665" t="s">
        <v>21071</v>
      </c>
      <c r="D23665" t="s">
        <v>66179</v>
      </c>
      <c r="E23665" t="b">
        <v>0</v>
      </c>
      <c r="F23665" t="s">
        <v>11610</v>
      </c>
      <c r="G23665">
        <v>22.422644999999999</v>
      </c>
      <c r="H23665">
        <v>114.09839599999999</v>
      </c>
      <c r="L23665">
        <v>0</v>
      </c>
      <c r="M23665">
        <v>0</v>
      </c>
      <c r="N23665">
        <v>0</v>
      </c>
    </row>
    <row r="23666" spans="1:15">
      <c r="A23666" t="s">
        <v>66180</v>
      </c>
      <c r="B23666" t="s">
        <v>11644</v>
      </c>
      <c r="C23666" t="s">
        <v>33539</v>
      </c>
      <c r="D23666" t="s">
        <v>66181</v>
      </c>
      <c r="E23666" t="b">
        <v>0</v>
      </c>
      <c r="F23666" t="s">
        <v>11610</v>
      </c>
      <c r="L23666">
        <v>0</v>
      </c>
      <c r="M23666">
        <v>0</v>
      </c>
      <c r="N23666">
        <v>0</v>
      </c>
    </row>
    <row r="23667" spans="1:15">
      <c r="A23667" t="s">
        <v>66182</v>
      </c>
      <c r="B23667" t="s">
        <v>11644</v>
      </c>
      <c r="C23667" t="s">
        <v>27322</v>
      </c>
      <c r="D23667" t="s">
        <v>66183</v>
      </c>
      <c r="E23667" t="b">
        <v>0</v>
      </c>
      <c r="F23667" t="s">
        <v>11610</v>
      </c>
      <c r="L23667">
        <v>0</v>
      </c>
      <c r="M23667">
        <v>0</v>
      </c>
      <c r="N23667">
        <v>0</v>
      </c>
    </row>
    <row r="23668" spans="1:15">
      <c r="A23668" t="s">
        <v>39397</v>
      </c>
      <c r="B23668" t="s">
        <v>11644</v>
      </c>
      <c r="C23668" t="s">
        <v>6112</v>
      </c>
      <c r="D23668" t="s">
        <v>66184</v>
      </c>
      <c r="E23668" t="b">
        <v>0</v>
      </c>
      <c r="F23668" t="s">
        <v>11610</v>
      </c>
      <c r="L23668">
        <v>0</v>
      </c>
      <c r="M23668">
        <v>0</v>
      </c>
      <c r="N23668">
        <v>3</v>
      </c>
    </row>
    <row r="23669" spans="1:15">
      <c r="A23669" t="s">
        <v>66185</v>
      </c>
      <c r="B23669" t="s">
        <v>12686</v>
      </c>
      <c r="C23669" t="s">
        <v>42411</v>
      </c>
      <c r="D23669" t="s">
        <v>66186</v>
      </c>
      <c r="E23669" t="b">
        <v>0</v>
      </c>
      <c r="F23669" t="s">
        <v>11624</v>
      </c>
      <c r="G23669">
        <v>43.5854</v>
      </c>
      <c r="H23669">
        <v>81.003399999999999</v>
      </c>
      <c r="I23669" t="s">
        <v>66187</v>
      </c>
      <c r="L23669">
        <v>0</v>
      </c>
      <c r="M23669">
        <v>0</v>
      </c>
      <c r="N23669">
        <v>0</v>
      </c>
      <c r="O23669" t="s">
        <v>32251</v>
      </c>
    </row>
    <row r="23670" spans="1:15">
      <c r="A23670" t="s">
        <v>66188</v>
      </c>
      <c r="B23670" t="s">
        <v>11644</v>
      </c>
      <c r="C23670" t="s">
        <v>22047</v>
      </c>
      <c r="D23670" t="s">
        <v>66189</v>
      </c>
      <c r="E23670" t="b">
        <v>0</v>
      </c>
      <c r="F23670" t="s">
        <v>11610</v>
      </c>
      <c r="L23670">
        <v>0</v>
      </c>
      <c r="M23670">
        <v>0</v>
      </c>
      <c r="N23670">
        <v>0</v>
      </c>
    </row>
    <row r="23671" spans="1:15">
      <c r="A23671" t="s">
        <v>66190</v>
      </c>
      <c r="B23671" t="s">
        <v>21317</v>
      </c>
      <c r="C23671" t="s">
        <v>49130</v>
      </c>
      <c r="D23671" t="s">
        <v>66191</v>
      </c>
      <c r="E23671" t="b">
        <v>0</v>
      </c>
      <c r="F23671" t="s">
        <v>11624</v>
      </c>
      <c r="G23671">
        <v>20.653199999999998</v>
      </c>
      <c r="H23671">
        <v>-97.746300000000005</v>
      </c>
      <c r="I23671" t="s">
        <v>66192</v>
      </c>
      <c r="L23671">
        <v>0</v>
      </c>
      <c r="M23671">
        <v>0</v>
      </c>
      <c r="N23671">
        <v>1</v>
      </c>
      <c r="O23671" t="s">
        <v>11883</v>
      </c>
    </row>
    <row r="23672" spans="1:15">
      <c r="A23672" t="s">
        <v>66193</v>
      </c>
      <c r="B23672" t="s">
        <v>11644</v>
      </c>
      <c r="C23672" t="s">
        <v>21071</v>
      </c>
      <c r="D23672" t="s">
        <v>66194</v>
      </c>
      <c r="E23672" t="b">
        <v>0</v>
      </c>
      <c r="F23672" t="s">
        <v>11610</v>
      </c>
      <c r="L23672">
        <v>0</v>
      </c>
      <c r="M23672">
        <v>0</v>
      </c>
      <c r="N23672">
        <v>0</v>
      </c>
    </row>
    <row r="23673" spans="1:15">
      <c r="A23673" t="s">
        <v>66195</v>
      </c>
      <c r="B23673" t="s">
        <v>11965</v>
      </c>
      <c r="C23673" t="s">
        <v>697</v>
      </c>
      <c r="D23673" t="s">
        <v>66196</v>
      </c>
      <c r="E23673" t="b">
        <v>0</v>
      </c>
      <c r="F23673" t="s">
        <v>11610</v>
      </c>
      <c r="L23673">
        <v>0</v>
      </c>
      <c r="M23673">
        <v>0</v>
      </c>
      <c r="N23673">
        <v>0</v>
      </c>
    </row>
    <row r="23674" spans="1:15">
      <c r="A23674" t="s">
        <v>22419</v>
      </c>
      <c r="B23674" t="s">
        <v>11644</v>
      </c>
      <c r="C23674" t="s">
        <v>6112</v>
      </c>
      <c r="D23674" t="s">
        <v>66197</v>
      </c>
      <c r="E23674" t="b">
        <v>0</v>
      </c>
      <c r="F23674" t="s">
        <v>11610</v>
      </c>
      <c r="L23674">
        <v>0</v>
      </c>
      <c r="M23674">
        <v>0</v>
      </c>
      <c r="N23674">
        <v>4</v>
      </c>
    </row>
    <row r="23675" spans="1:15">
      <c r="A23675" t="s">
        <v>63194</v>
      </c>
      <c r="D23675" t="s">
        <v>66198</v>
      </c>
      <c r="E23675" t="b">
        <v>0</v>
      </c>
      <c r="F23675" t="s">
        <v>11622</v>
      </c>
      <c r="L23675">
        <v>2</v>
      </c>
      <c r="M23675">
        <v>5</v>
      </c>
      <c r="N23675">
        <v>0</v>
      </c>
    </row>
    <row r="23676" spans="1:15">
      <c r="A23676" t="s">
        <v>66199</v>
      </c>
      <c r="B23676" t="s">
        <v>63194</v>
      </c>
      <c r="C23676" t="s">
        <v>66200</v>
      </c>
      <c r="D23676" t="s">
        <v>66201</v>
      </c>
      <c r="E23676" t="b">
        <v>0</v>
      </c>
      <c r="F23676" t="s">
        <v>11624</v>
      </c>
      <c r="G23676">
        <v>14.083301000000001</v>
      </c>
      <c r="H23676">
        <v>-90.380258999999995</v>
      </c>
      <c r="L23676">
        <v>0</v>
      </c>
      <c r="M23676">
        <v>0</v>
      </c>
      <c r="N23676">
        <v>0</v>
      </c>
      <c r="O23676" t="s">
        <v>11927</v>
      </c>
    </row>
    <row r="23677" spans="1:15">
      <c r="A23677" t="s">
        <v>66202</v>
      </c>
      <c r="B23677" t="s">
        <v>63194</v>
      </c>
      <c r="C23677" t="s">
        <v>63194</v>
      </c>
      <c r="D23677" t="s">
        <v>66203</v>
      </c>
      <c r="E23677" t="b">
        <v>0</v>
      </c>
      <c r="F23677" t="s">
        <v>11624</v>
      </c>
      <c r="G23677">
        <v>14.194497</v>
      </c>
      <c r="H23677">
        <v>-89.790974000000006</v>
      </c>
      <c r="L23677">
        <v>0</v>
      </c>
      <c r="M23677">
        <v>0</v>
      </c>
      <c r="N23677">
        <v>0</v>
      </c>
      <c r="O23677" t="s">
        <v>11927</v>
      </c>
    </row>
    <row r="23678" spans="1:15">
      <c r="A23678" t="s">
        <v>66200</v>
      </c>
      <c r="B23678" t="s">
        <v>63194</v>
      </c>
      <c r="C23678" t="s">
        <v>63194</v>
      </c>
      <c r="D23678" t="s">
        <v>66204</v>
      </c>
      <c r="E23678" t="b">
        <v>0</v>
      </c>
      <c r="F23678" t="s">
        <v>11622</v>
      </c>
      <c r="L23678">
        <v>0</v>
      </c>
      <c r="M23678">
        <v>2</v>
      </c>
      <c r="N23678">
        <v>0</v>
      </c>
    </row>
    <row r="23679" spans="1:15">
      <c r="A23679" t="s">
        <v>66205</v>
      </c>
      <c r="B23679" t="s">
        <v>63194</v>
      </c>
      <c r="C23679" t="s">
        <v>63193</v>
      </c>
      <c r="D23679" t="s">
        <v>66206</v>
      </c>
      <c r="E23679" t="b">
        <v>0</v>
      </c>
      <c r="F23679" t="s">
        <v>11624</v>
      </c>
      <c r="G23679">
        <v>14.126920999999999</v>
      </c>
      <c r="H23679">
        <v>-90.358485999999999</v>
      </c>
      <c r="L23679">
        <v>0</v>
      </c>
      <c r="M23679">
        <v>0</v>
      </c>
      <c r="N23679">
        <v>0</v>
      </c>
      <c r="O23679" t="s">
        <v>11927</v>
      </c>
    </row>
    <row r="23680" spans="1:15">
      <c r="A23680" t="s">
        <v>66207</v>
      </c>
      <c r="B23680" t="s">
        <v>63194</v>
      </c>
      <c r="C23680" t="s">
        <v>63194</v>
      </c>
      <c r="D23680" t="s">
        <v>66208</v>
      </c>
      <c r="E23680" t="b">
        <v>0</v>
      </c>
      <c r="F23680" t="s">
        <v>11624</v>
      </c>
      <c r="G23680">
        <v>14.069981</v>
      </c>
      <c r="H23680">
        <v>-90.416651000000002</v>
      </c>
      <c r="L23680">
        <v>0</v>
      </c>
      <c r="M23680">
        <v>0</v>
      </c>
      <c r="N23680">
        <v>0</v>
      </c>
      <c r="O23680" t="s">
        <v>11927</v>
      </c>
    </row>
    <row r="23681" spans="1:15">
      <c r="A23681" t="s">
        <v>66209</v>
      </c>
      <c r="B23681" t="s">
        <v>11627</v>
      </c>
      <c r="C23681" t="s">
        <v>11627</v>
      </c>
      <c r="D23681" t="s">
        <v>66210</v>
      </c>
      <c r="E23681" t="b">
        <v>1</v>
      </c>
      <c r="F23681" t="s">
        <v>11624</v>
      </c>
      <c r="G23681">
        <v>14.3103</v>
      </c>
      <c r="H23681">
        <v>-89.823499999999996</v>
      </c>
      <c r="I23681" t="s">
        <v>66211</v>
      </c>
      <c r="L23681">
        <v>0</v>
      </c>
      <c r="M23681">
        <v>0</v>
      </c>
      <c r="N23681">
        <v>0</v>
      </c>
      <c r="O23681" t="s">
        <v>11927</v>
      </c>
    </row>
    <row r="23682" spans="1:15">
      <c r="A23682" t="s">
        <v>66212</v>
      </c>
      <c r="B23682" t="s">
        <v>11644</v>
      </c>
      <c r="C23682" t="s">
        <v>28183</v>
      </c>
      <c r="D23682" t="s">
        <v>66213</v>
      </c>
      <c r="E23682" t="b">
        <v>0</v>
      </c>
      <c r="F23682" t="s">
        <v>11610</v>
      </c>
      <c r="L23682">
        <v>0</v>
      </c>
      <c r="M23682">
        <v>0</v>
      </c>
      <c r="N23682">
        <v>0</v>
      </c>
    </row>
    <row r="23683" spans="1:15">
      <c r="A23683" t="s">
        <v>66214</v>
      </c>
      <c r="B23683" t="s">
        <v>11644</v>
      </c>
      <c r="C23683" t="s">
        <v>30997</v>
      </c>
      <c r="D23683" t="s">
        <v>66215</v>
      </c>
      <c r="E23683" t="b">
        <v>0</v>
      </c>
      <c r="F23683" t="s">
        <v>11610</v>
      </c>
      <c r="L23683">
        <v>0</v>
      </c>
      <c r="M23683">
        <v>0</v>
      </c>
      <c r="N23683">
        <v>0</v>
      </c>
    </row>
    <row r="23684" spans="1:15">
      <c r="A23684" t="s">
        <v>14155</v>
      </c>
      <c r="B23684" t="s">
        <v>8310</v>
      </c>
      <c r="C23684" t="s">
        <v>16110</v>
      </c>
      <c r="D23684" t="s">
        <v>66216</v>
      </c>
      <c r="E23684" t="b">
        <v>0</v>
      </c>
      <c r="F23684" t="s">
        <v>11622</v>
      </c>
      <c r="L23684">
        <v>0</v>
      </c>
      <c r="M23684">
        <v>4</v>
      </c>
      <c r="N23684">
        <v>0</v>
      </c>
    </row>
    <row r="23685" spans="1:15">
      <c r="A23685" t="s">
        <v>66217</v>
      </c>
      <c r="B23685" t="s">
        <v>11912</v>
      </c>
      <c r="C23685" t="s">
        <v>14405</v>
      </c>
      <c r="D23685" t="s">
        <v>66218</v>
      </c>
      <c r="E23685" t="b">
        <v>0</v>
      </c>
      <c r="F23685" t="s">
        <v>11624</v>
      </c>
      <c r="G23685">
        <v>-4.1346299999999996</v>
      </c>
      <c r="H23685">
        <v>-52.320999999999998</v>
      </c>
      <c r="I23685" t="s">
        <v>66219</v>
      </c>
      <c r="L23685">
        <v>0</v>
      </c>
      <c r="M23685">
        <v>0</v>
      </c>
      <c r="N23685">
        <v>0</v>
      </c>
      <c r="O23685" t="s">
        <v>11969</v>
      </c>
    </row>
    <row r="23686" spans="1:15">
      <c r="A23686" t="s">
        <v>64786</v>
      </c>
      <c r="B23686" t="s">
        <v>11894</v>
      </c>
      <c r="C23686" t="s">
        <v>21775</v>
      </c>
      <c r="D23686" t="s">
        <v>66220</v>
      </c>
      <c r="E23686" t="b">
        <v>0</v>
      </c>
      <c r="F23686" t="s">
        <v>11622</v>
      </c>
      <c r="L23686">
        <v>2</v>
      </c>
      <c r="M23686">
        <v>4</v>
      </c>
      <c r="N23686">
        <v>0</v>
      </c>
    </row>
    <row r="23687" spans="1:15">
      <c r="A23687" t="s">
        <v>66221</v>
      </c>
      <c r="B23687" t="s">
        <v>11644</v>
      </c>
      <c r="C23687" t="s">
        <v>31538</v>
      </c>
      <c r="D23687" t="s">
        <v>66222</v>
      </c>
      <c r="E23687" t="b">
        <v>0</v>
      </c>
      <c r="F23687" t="s">
        <v>11610</v>
      </c>
      <c r="G23687">
        <v>36.671283000000003</v>
      </c>
      <c r="H23687">
        <v>101.776886</v>
      </c>
      <c r="L23687">
        <v>0</v>
      </c>
      <c r="M23687">
        <v>0</v>
      </c>
      <c r="N23687">
        <v>0</v>
      </c>
    </row>
    <row r="23688" spans="1:15">
      <c r="A23688" t="s">
        <v>66223</v>
      </c>
      <c r="B23688" t="s">
        <v>63194</v>
      </c>
      <c r="C23688" t="s">
        <v>66200</v>
      </c>
      <c r="D23688" t="s">
        <v>66224</v>
      </c>
      <c r="E23688" t="b">
        <v>0</v>
      </c>
      <c r="F23688" t="s">
        <v>11624</v>
      </c>
      <c r="G23688">
        <v>14.341898</v>
      </c>
      <c r="H23688">
        <v>-90.256518999999997</v>
      </c>
      <c r="L23688">
        <v>0</v>
      </c>
      <c r="M23688">
        <v>0</v>
      </c>
      <c r="N23688">
        <v>0</v>
      </c>
      <c r="O23688" t="s">
        <v>11927</v>
      </c>
    </row>
    <row r="23689" spans="1:15">
      <c r="A23689" t="s">
        <v>66225</v>
      </c>
      <c r="B23689" t="s">
        <v>11644</v>
      </c>
      <c r="C23689" t="s">
        <v>27400</v>
      </c>
      <c r="D23689" t="s">
        <v>66226</v>
      </c>
      <c r="E23689" t="b">
        <v>0</v>
      </c>
      <c r="F23689" t="s">
        <v>11610</v>
      </c>
      <c r="L23689">
        <v>0</v>
      </c>
      <c r="M23689">
        <v>0</v>
      </c>
      <c r="N23689">
        <v>0</v>
      </c>
    </row>
    <row r="23690" spans="1:15">
      <c r="A23690" t="s">
        <v>66227</v>
      </c>
      <c r="B23690" t="s">
        <v>11644</v>
      </c>
      <c r="C23690" t="s">
        <v>22047</v>
      </c>
      <c r="D23690" t="s">
        <v>66228</v>
      </c>
      <c r="E23690" t="b">
        <v>0</v>
      </c>
      <c r="F23690" t="s">
        <v>11610</v>
      </c>
      <c r="L23690">
        <v>0</v>
      </c>
      <c r="M23690">
        <v>0</v>
      </c>
      <c r="N23690">
        <v>0</v>
      </c>
    </row>
    <row r="23691" spans="1:15">
      <c r="A23691" t="s">
        <v>66229</v>
      </c>
      <c r="B23691" t="s">
        <v>13360</v>
      </c>
      <c r="C23691" t="s">
        <v>13360</v>
      </c>
      <c r="D23691" t="s">
        <v>66230</v>
      </c>
      <c r="E23691" t="b">
        <v>0</v>
      </c>
      <c r="F23691" t="s">
        <v>11624</v>
      </c>
      <c r="G23691">
        <v>44.61</v>
      </c>
      <c r="H23691">
        <v>103.39</v>
      </c>
      <c r="L23691">
        <v>0</v>
      </c>
      <c r="M23691">
        <v>0</v>
      </c>
      <c r="N23691">
        <v>0</v>
      </c>
      <c r="O23691" t="s">
        <v>44370</v>
      </c>
    </row>
    <row r="23692" spans="1:15">
      <c r="A23692" t="s">
        <v>66231</v>
      </c>
      <c r="B23692" t="s">
        <v>11912</v>
      </c>
      <c r="C23692" t="s">
        <v>33811</v>
      </c>
      <c r="D23692" t="s">
        <v>66232</v>
      </c>
      <c r="E23692" t="b">
        <v>0</v>
      </c>
      <c r="F23692" t="s">
        <v>11624</v>
      </c>
      <c r="G23692">
        <v>-4.133</v>
      </c>
      <c r="H23692">
        <v>-49.948</v>
      </c>
      <c r="I23692" t="s">
        <v>66233</v>
      </c>
      <c r="L23692">
        <v>0</v>
      </c>
      <c r="M23692">
        <v>0</v>
      </c>
      <c r="N23692">
        <v>0</v>
      </c>
      <c r="O23692" t="s">
        <v>11969</v>
      </c>
    </row>
    <row r="23693" spans="1:15">
      <c r="A23693" t="s">
        <v>66234</v>
      </c>
      <c r="B23693" t="s">
        <v>11637</v>
      </c>
      <c r="C23693" t="s">
        <v>17015</v>
      </c>
      <c r="D23693" t="s">
        <v>66235</v>
      </c>
      <c r="E23693" t="b">
        <v>0</v>
      </c>
      <c r="F23693" t="s">
        <v>11610</v>
      </c>
      <c r="L23693">
        <v>0</v>
      </c>
      <c r="M23693">
        <v>0</v>
      </c>
      <c r="N23693">
        <v>0</v>
      </c>
    </row>
    <row r="23694" spans="1:15">
      <c r="A23694" t="s">
        <v>66236</v>
      </c>
      <c r="B23694" t="s">
        <v>12241</v>
      </c>
      <c r="C23694" t="s">
        <v>37342</v>
      </c>
      <c r="D23694" t="s">
        <v>66237</v>
      </c>
      <c r="E23694" t="b">
        <v>0</v>
      </c>
      <c r="F23694" t="s">
        <v>11624</v>
      </c>
      <c r="G23694">
        <v>-8.7499900000000004</v>
      </c>
      <c r="H23694">
        <v>-68.833299999999994</v>
      </c>
      <c r="I23694" t="s">
        <v>66238</v>
      </c>
      <c r="L23694">
        <v>0</v>
      </c>
      <c r="M23694">
        <v>0</v>
      </c>
      <c r="N23694">
        <v>0</v>
      </c>
      <c r="O23694" t="s">
        <v>11969</v>
      </c>
    </row>
    <row r="23695" spans="1:15">
      <c r="A23695" t="s">
        <v>66239</v>
      </c>
      <c r="B23695" t="s">
        <v>4236</v>
      </c>
      <c r="C23695" t="s">
        <v>37412</v>
      </c>
      <c r="D23695" t="s">
        <v>66240</v>
      </c>
      <c r="E23695" t="b">
        <v>0</v>
      </c>
      <c r="F23695" t="s">
        <v>11624</v>
      </c>
      <c r="G23695">
        <v>-28.425799999999999</v>
      </c>
      <c r="H23695">
        <v>20.725999999999999</v>
      </c>
      <c r="I23695" t="s">
        <v>66241</v>
      </c>
      <c r="L23695">
        <v>0</v>
      </c>
      <c r="M23695">
        <v>0</v>
      </c>
      <c r="N23695">
        <v>0</v>
      </c>
      <c r="O23695" t="s">
        <v>66242</v>
      </c>
    </row>
    <row r="23696" spans="1:15">
      <c r="A23696" t="s">
        <v>66243</v>
      </c>
      <c r="B23696" t="s">
        <v>11894</v>
      </c>
      <c r="C23696" t="s">
        <v>15965</v>
      </c>
      <c r="D23696" t="s">
        <v>66244</v>
      </c>
      <c r="E23696" t="b">
        <v>0</v>
      </c>
      <c r="F23696" t="s">
        <v>11624</v>
      </c>
      <c r="G23696">
        <v>2.6993200000000002</v>
      </c>
      <c r="H23696">
        <v>-62.5413</v>
      </c>
      <c r="I23696" t="s">
        <v>66245</v>
      </c>
      <c r="L23696">
        <v>0</v>
      </c>
      <c r="M23696">
        <v>0</v>
      </c>
      <c r="N23696">
        <v>0</v>
      </c>
      <c r="O23696" t="s">
        <v>11969</v>
      </c>
    </row>
    <row r="23697" spans="1:15">
      <c r="A23697" t="s">
        <v>66246</v>
      </c>
      <c r="B23697" t="s">
        <v>11644</v>
      </c>
      <c r="C23697" t="s">
        <v>21918</v>
      </c>
      <c r="D23697" t="s">
        <v>66247</v>
      </c>
      <c r="E23697" t="b">
        <v>0</v>
      </c>
      <c r="F23697" t="s">
        <v>11624</v>
      </c>
      <c r="G23697">
        <v>24.870899999999999</v>
      </c>
      <c r="H23697">
        <v>100.711</v>
      </c>
      <c r="I23697" t="s">
        <v>66248</v>
      </c>
      <c r="L23697">
        <v>0</v>
      </c>
      <c r="M23697">
        <v>0</v>
      </c>
      <c r="N23697">
        <v>0</v>
      </c>
      <c r="O23697" t="s">
        <v>11905</v>
      </c>
    </row>
    <row r="23698" spans="1:15">
      <c r="A23698" t="s">
        <v>66249</v>
      </c>
      <c r="B23698" t="s">
        <v>11644</v>
      </c>
      <c r="C23698" t="s">
        <v>31566</v>
      </c>
      <c r="D23698" t="s">
        <v>66250</v>
      </c>
      <c r="E23698" t="b">
        <v>0</v>
      </c>
      <c r="F23698" t="s">
        <v>11610</v>
      </c>
      <c r="L23698">
        <v>0</v>
      </c>
      <c r="M23698">
        <v>0</v>
      </c>
      <c r="N23698">
        <v>0</v>
      </c>
    </row>
    <row r="23699" spans="1:15">
      <c r="A23699" t="s">
        <v>31566</v>
      </c>
      <c r="B23699" t="s">
        <v>11644</v>
      </c>
      <c r="C23699" t="s">
        <v>31650</v>
      </c>
      <c r="D23699" t="s">
        <v>66251</v>
      </c>
      <c r="E23699" t="b">
        <v>0</v>
      </c>
      <c r="F23699" t="s">
        <v>11610</v>
      </c>
      <c r="L23699">
        <v>0</v>
      </c>
      <c r="M23699">
        <v>0</v>
      </c>
      <c r="N23699">
        <v>6</v>
      </c>
    </row>
    <row r="23700" spans="1:15">
      <c r="A23700" t="s">
        <v>66252</v>
      </c>
      <c r="B23700" t="s">
        <v>11879</v>
      </c>
      <c r="C23700" t="s">
        <v>12991</v>
      </c>
      <c r="D23700" t="s">
        <v>66253</v>
      </c>
      <c r="E23700" t="b">
        <v>0</v>
      </c>
      <c r="F23700" t="s">
        <v>11610</v>
      </c>
      <c r="L23700">
        <v>0</v>
      </c>
      <c r="M23700">
        <v>0</v>
      </c>
      <c r="N23700">
        <v>0</v>
      </c>
    </row>
    <row r="23701" spans="1:15">
      <c r="A23701" t="s">
        <v>6776</v>
      </c>
      <c r="B23701" t="s">
        <v>13360</v>
      </c>
      <c r="C23701" t="s">
        <v>13360</v>
      </c>
      <c r="D23701" t="s">
        <v>66254</v>
      </c>
      <c r="E23701" t="b">
        <v>0</v>
      </c>
      <c r="F23701" t="s">
        <v>11624</v>
      </c>
      <c r="G23701">
        <v>-7.6337679999999999</v>
      </c>
      <c r="H23701">
        <v>-38.633638699999999</v>
      </c>
      <c r="L23701">
        <v>0</v>
      </c>
      <c r="M23701">
        <v>0</v>
      </c>
      <c r="N23701">
        <v>0</v>
      </c>
      <c r="O23701" t="s">
        <v>11969</v>
      </c>
    </row>
    <row r="23702" spans="1:15">
      <c r="A23702" t="s">
        <v>5101</v>
      </c>
      <c r="B23702" t="s">
        <v>11965</v>
      </c>
      <c r="C23702" t="s">
        <v>34180</v>
      </c>
      <c r="D23702" t="s">
        <v>66255</v>
      </c>
      <c r="E23702" t="b">
        <v>0</v>
      </c>
      <c r="F23702" t="s">
        <v>11624</v>
      </c>
      <c r="G23702">
        <v>-26.921700000000001</v>
      </c>
      <c r="H23702">
        <v>-49.5886</v>
      </c>
      <c r="I23702" t="s">
        <v>5103</v>
      </c>
      <c r="L23702">
        <v>0</v>
      </c>
      <c r="M23702">
        <v>0</v>
      </c>
      <c r="N23702">
        <v>0</v>
      </c>
      <c r="O23702" t="s">
        <v>11969</v>
      </c>
    </row>
    <row r="23703" spans="1:15">
      <c r="A23703" t="s">
        <v>66256</v>
      </c>
      <c r="B23703" t="s">
        <v>4236</v>
      </c>
      <c r="C23703" t="s">
        <v>13929</v>
      </c>
      <c r="D23703" t="s">
        <v>66257</v>
      </c>
      <c r="E23703" t="b">
        <v>0</v>
      </c>
      <c r="F23703" t="s">
        <v>11610</v>
      </c>
      <c r="L23703">
        <v>0</v>
      </c>
      <c r="M23703">
        <v>0</v>
      </c>
      <c r="N23703">
        <v>0</v>
      </c>
    </row>
    <row r="23704" spans="1:15">
      <c r="A23704" t="s">
        <v>66258</v>
      </c>
      <c r="B23704" t="s">
        <v>4236</v>
      </c>
      <c r="C23704" t="s">
        <v>13929</v>
      </c>
      <c r="D23704" t="s">
        <v>66259</v>
      </c>
      <c r="E23704" t="b">
        <v>0</v>
      </c>
      <c r="F23704" t="s">
        <v>11610</v>
      </c>
      <c r="L23704">
        <v>0</v>
      </c>
      <c r="M23704">
        <v>0</v>
      </c>
      <c r="N23704">
        <v>0</v>
      </c>
    </row>
    <row r="23705" spans="1:15">
      <c r="A23705" t="s">
        <v>66260</v>
      </c>
      <c r="B23705" t="s">
        <v>6742</v>
      </c>
      <c r="C23705" t="s">
        <v>4187</v>
      </c>
      <c r="D23705" t="s">
        <v>66261</v>
      </c>
      <c r="E23705" t="b">
        <v>0</v>
      </c>
      <c r="F23705" t="s">
        <v>11610</v>
      </c>
      <c r="L23705">
        <v>0</v>
      </c>
      <c r="M23705">
        <v>0</v>
      </c>
      <c r="N23705">
        <v>0</v>
      </c>
    </row>
    <row r="23706" spans="1:15">
      <c r="A23706" t="s">
        <v>47550</v>
      </c>
      <c r="B23706" t="s">
        <v>15146</v>
      </c>
      <c r="C23706" t="s">
        <v>31531</v>
      </c>
      <c r="D23706" t="s">
        <v>66262</v>
      </c>
      <c r="E23706" t="b">
        <v>0</v>
      </c>
      <c r="F23706" t="s">
        <v>11624</v>
      </c>
      <c r="G23706">
        <v>-23.59</v>
      </c>
      <c r="H23706">
        <v>19.149999999999999</v>
      </c>
      <c r="L23706">
        <v>0</v>
      </c>
      <c r="M23706">
        <v>0</v>
      </c>
      <c r="N23706">
        <v>1</v>
      </c>
      <c r="O23706" t="s">
        <v>30566</v>
      </c>
    </row>
    <row r="23707" spans="1:15">
      <c r="A23707" t="s">
        <v>66263</v>
      </c>
      <c r="B23707" t="s">
        <v>12148</v>
      </c>
      <c r="C23707" t="s">
        <v>15018</v>
      </c>
      <c r="D23707" t="s">
        <v>66264</v>
      </c>
      <c r="E23707" t="b">
        <v>0</v>
      </c>
      <c r="F23707" t="s">
        <v>11610</v>
      </c>
      <c r="L23707">
        <v>0</v>
      </c>
      <c r="M23707">
        <v>0</v>
      </c>
      <c r="N23707">
        <v>0</v>
      </c>
    </row>
    <row r="23708" spans="1:15">
      <c r="A23708" t="s">
        <v>66265</v>
      </c>
      <c r="B23708" t="s">
        <v>11637</v>
      </c>
      <c r="C23708" t="s">
        <v>4401</v>
      </c>
      <c r="D23708" t="s">
        <v>66266</v>
      </c>
      <c r="E23708" t="b">
        <v>0</v>
      </c>
      <c r="F23708" t="s">
        <v>11610</v>
      </c>
      <c r="L23708">
        <v>0</v>
      </c>
      <c r="M23708">
        <v>0</v>
      </c>
      <c r="N23708">
        <v>0</v>
      </c>
    </row>
    <row r="23709" spans="1:15">
      <c r="A23709" t="s">
        <v>56917</v>
      </c>
      <c r="B23709" t="s">
        <v>11644</v>
      </c>
      <c r="C23709" t="s">
        <v>22961</v>
      </c>
      <c r="D23709" t="s">
        <v>66267</v>
      </c>
      <c r="E23709" t="b">
        <v>0</v>
      </c>
      <c r="F23709" t="s">
        <v>11610</v>
      </c>
      <c r="L23709">
        <v>0</v>
      </c>
      <c r="M23709">
        <v>0</v>
      </c>
      <c r="N23709">
        <v>3</v>
      </c>
    </row>
    <row r="23710" spans="1:15">
      <c r="A23710" t="s">
        <v>66268</v>
      </c>
      <c r="B23710" t="s">
        <v>52416</v>
      </c>
      <c r="C23710" t="s">
        <v>52416</v>
      </c>
      <c r="D23710" t="s">
        <v>66269</v>
      </c>
      <c r="E23710" t="b">
        <v>0</v>
      </c>
      <c r="F23710" t="s">
        <v>11610</v>
      </c>
      <c r="L23710">
        <v>0</v>
      </c>
      <c r="M23710">
        <v>0</v>
      </c>
      <c r="N23710">
        <v>0</v>
      </c>
    </row>
    <row r="23711" spans="1:15">
      <c r="A23711" t="s">
        <v>52416</v>
      </c>
      <c r="D23711" t="s">
        <v>66270</v>
      </c>
      <c r="E23711" t="b">
        <v>0</v>
      </c>
      <c r="F23711" t="s">
        <v>11624</v>
      </c>
      <c r="G23711">
        <v>-8.6606155999999999</v>
      </c>
      <c r="H23711">
        <v>-37.086908899999997</v>
      </c>
      <c r="I23711" t="s">
        <v>66271</v>
      </c>
      <c r="L23711">
        <v>0</v>
      </c>
      <c r="M23711">
        <v>0</v>
      </c>
      <c r="N23711">
        <v>2</v>
      </c>
      <c r="O23711" t="s">
        <v>11969</v>
      </c>
    </row>
    <row r="23712" spans="1:15">
      <c r="A23712" t="s">
        <v>66272</v>
      </c>
      <c r="B23712" t="s">
        <v>5126</v>
      </c>
      <c r="C23712" t="s">
        <v>29205</v>
      </c>
      <c r="D23712" t="s">
        <v>66273</v>
      </c>
      <c r="E23712" t="b">
        <v>0</v>
      </c>
      <c r="F23712" t="s">
        <v>11610</v>
      </c>
      <c r="L23712">
        <v>0</v>
      </c>
      <c r="M23712">
        <v>0</v>
      </c>
      <c r="N23712">
        <v>0</v>
      </c>
    </row>
    <row r="23713" spans="1:15">
      <c r="A23713" t="s">
        <v>66274</v>
      </c>
      <c r="B23713" t="s">
        <v>11644</v>
      </c>
      <c r="C23713" t="s">
        <v>16856</v>
      </c>
      <c r="D23713" t="s">
        <v>66275</v>
      </c>
      <c r="E23713" t="b">
        <v>0</v>
      </c>
      <c r="F23713" t="s">
        <v>11610</v>
      </c>
      <c r="L23713">
        <v>0</v>
      </c>
      <c r="M23713">
        <v>0</v>
      </c>
      <c r="N23713">
        <v>0</v>
      </c>
    </row>
    <row r="23714" spans="1:15">
      <c r="A23714" t="s">
        <v>66276</v>
      </c>
      <c r="B23714" t="s">
        <v>11644</v>
      </c>
      <c r="C23714" t="s">
        <v>23418</v>
      </c>
      <c r="D23714" t="s">
        <v>66277</v>
      </c>
      <c r="E23714" t="b">
        <v>0</v>
      </c>
      <c r="F23714" t="s">
        <v>11624</v>
      </c>
      <c r="G23714">
        <v>25.344025999999999</v>
      </c>
      <c r="H23714">
        <v>99.112244000000004</v>
      </c>
      <c r="L23714">
        <v>0</v>
      </c>
      <c r="M23714">
        <v>0</v>
      </c>
      <c r="N23714">
        <v>0</v>
      </c>
      <c r="O23714" t="s">
        <v>11905</v>
      </c>
    </row>
    <row r="23715" spans="1:15">
      <c r="A23715" t="s">
        <v>66278</v>
      </c>
      <c r="B23715" t="s">
        <v>12311</v>
      </c>
      <c r="C23715" t="s">
        <v>32546</v>
      </c>
      <c r="D23715" t="s">
        <v>66279</v>
      </c>
      <c r="E23715" t="b">
        <v>0</v>
      </c>
      <c r="F23715" t="s">
        <v>11610</v>
      </c>
      <c r="L23715">
        <v>0</v>
      </c>
      <c r="M23715">
        <v>0</v>
      </c>
      <c r="N23715">
        <v>0</v>
      </c>
    </row>
    <row r="23716" spans="1:15">
      <c r="A23716" t="s">
        <v>66280</v>
      </c>
      <c r="B23716" t="s">
        <v>6742</v>
      </c>
      <c r="C23716" t="s">
        <v>15474</v>
      </c>
      <c r="D23716" t="s">
        <v>66281</v>
      </c>
      <c r="E23716" t="b">
        <v>0</v>
      </c>
      <c r="F23716" t="s">
        <v>11624</v>
      </c>
      <c r="G23716">
        <v>6.4134200000000003</v>
      </c>
      <c r="H23716">
        <v>2.0298500000000002</v>
      </c>
      <c r="I23716" t="s">
        <v>66282</v>
      </c>
      <c r="L23716">
        <v>0</v>
      </c>
      <c r="M23716">
        <v>0</v>
      </c>
      <c r="N23716">
        <v>0</v>
      </c>
      <c r="O23716" t="s">
        <v>15477</v>
      </c>
    </row>
    <row r="23717" spans="1:15">
      <c r="A23717" t="s">
        <v>66283</v>
      </c>
      <c r="B23717" t="s">
        <v>6742</v>
      </c>
      <c r="C23717" t="s">
        <v>25251</v>
      </c>
      <c r="D23717" t="s">
        <v>66284</v>
      </c>
      <c r="E23717" t="b">
        <v>0</v>
      </c>
      <c r="F23717" t="s">
        <v>11610</v>
      </c>
      <c r="L23717">
        <v>0</v>
      </c>
      <c r="M23717">
        <v>0</v>
      </c>
      <c r="N23717">
        <v>0</v>
      </c>
    </row>
    <row r="23718" spans="1:15">
      <c r="A23718" t="s">
        <v>66285</v>
      </c>
      <c r="B23718" t="s">
        <v>6742</v>
      </c>
      <c r="C23718" t="s">
        <v>18515</v>
      </c>
      <c r="D23718" t="s">
        <v>66286</v>
      </c>
      <c r="E23718" t="b">
        <v>0</v>
      </c>
      <c r="F23718" t="s">
        <v>11610</v>
      </c>
      <c r="L23718">
        <v>0</v>
      </c>
      <c r="M23718">
        <v>0</v>
      </c>
      <c r="N23718">
        <v>0</v>
      </c>
    </row>
    <row r="23719" spans="1:15">
      <c r="A23719" t="s">
        <v>66287</v>
      </c>
      <c r="B23719" t="s">
        <v>11607</v>
      </c>
      <c r="C23719" t="s">
        <v>19578</v>
      </c>
      <c r="D23719" t="s">
        <v>66288</v>
      </c>
      <c r="E23719" t="b">
        <v>0</v>
      </c>
      <c r="F23719" t="s">
        <v>11610</v>
      </c>
      <c r="L23719">
        <v>0</v>
      </c>
      <c r="M23719">
        <v>0</v>
      </c>
      <c r="N23719">
        <v>0</v>
      </c>
    </row>
    <row r="23720" spans="1:15">
      <c r="A23720" t="s">
        <v>66289</v>
      </c>
      <c r="B23720" t="s">
        <v>6742</v>
      </c>
      <c r="C23720" t="s">
        <v>45418</v>
      </c>
      <c r="D23720" t="s">
        <v>66290</v>
      </c>
      <c r="E23720" t="b">
        <v>0</v>
      </c>
      <c r="F23720" t="s">
        <v>11610</v>
      </c>
      <c r="L23720">
        <v>0</v>
      </c>
      <c r="M23720">
        <v>0</v>
      </c>
      <c r="N23720">
        <v>0</v>
      </c>
    </row>
    <row r="23721" spans="1:15">
      <c r="A23721" t="s">
        <v>66291</v>
      </c>
      <c r="B23721" t="s">
        <v>11607</v>
      </c>
      <c r="C23721" t="s">
        <v>25506</v>
      </c>
      <c r="D23721" t="s">
        <v>66292</v>
      </c>
      <c r="E23721" t="b">
        <v>0</v>
      </c>
      <c r="F23721" t="s">
        <v>11624</v>
      </c>
      <c r="G23721">
        <v>0.46862999999999999</v>
      </c>
      <c r="H23721">
        <v>37.1008</v>
      </c>
      <c r="I23721" t="s">
        <v>66293</v>
      </c>
      <c r="L23721">
        <v>0</v>
      </c>
      <c r="M23721">
        <v>0</v>
      </c>
      <c r="N23721">
        <v>0</v>
      </c>
      <c r="O23721" t="s">
        <v>22848</v>
      </c>
    </row>
    <row r="23722" spans="1:15">
      <c r="A23722" t="s">
        <v>66294</v>
      </c>
      <c r="B23722" t="s">
        <v>11780</v>
      </c>
      <c r="C23722" t="s">
        <v>27722</v>
      </c>
      <c r="D23722" t="s">
        <v>66295</v>
      </c>
      <c r="E23722" t="b">
        <v>0</v>
      </c>
      <c r="F23722" t="s">
        <v>11610</v>
      </c>
      <c r="L23722">
        <v>0</v>
      </c>
      <c r="M23722">
        <v>0</v>
      </c>
      <c r="N23722">
        <v>0</v>
      </c>
    </row>
    <row r="23723" spans="1:15">
      <c r="A23723" t="s">
        <v>66296</v>
      </c>
      <c r="B23723" t="s">
        <v>6742</v>
      </c>
      <c r="C23723" t="s">
        <v>19737</v>
      </c>
      <c r="D23723" t="s">
        <v>66297</v>
      </c>
      <c r="E23723" t="b">
        <v>0</v>
      </c>
      <c r="F23723" t="s">
        <v>11610</v>
      </c>
      <c r="L23723">
        <v>0</v>
      </c>
      <c r="M23723">
        <v>0</v>
      </c>
      <c r="N23723">
        <v>0</v>
      </c>
    </row>
    <row r="23724" spans="1:15">
      <c r="A23724" t="s">
        <v>66298</v>
      </c>
      <c r="B23724" t="s">
        <v>6742</v>
      </c>
      <c r="C23724" t="s">
        <v>45418</v>
      </c>
      <c r="D23724" t="s">
        <v>66299</v>
      </c>
      <c r="E23724" t="b">
        <v>0</v>
      </c>
      <c r="F23724" t="s">
        <v>11610</v>
      </c>
      <c r="L23724">
        <v>0</v>
      </c>
      <c r="M23724">
        <v>0</v>
      </c>
      <c r="N23724">
        <v>0</v>
      </c>
    </row>
    <row r="23725" spans="1:15">
      <c r="A23725" t="s">
        <v>66300</v>
      </c>
      <c r="B23725" t="s">
        <v>13276</v>
      </c>
      <c r="C23725" t="s">
        <v>18318</v>
      </c>
      <c r="D23725" t="s">
        <v>66301</v>
      </c>
      <c r="E23725" t="b">
        <v>0</v>
      </c>
      <c r="F23725" t="s">
        <v>11610</v>
      </c>
      <c r="L23725">
        <v>0</v>
      </c>
      <c r="M23725">
        <v>0</v>
      </c>
      <c r="N23725">
        <v>0</v>
      </c>
    </row>
    <row r="23726" spans="1:15">
      <c r="A23726" t="s">
        <v>66302</v>
      </c>
      <c r="B23726" t="s">
        <v>6742</v>
      </c>
      <c r="C23726" t="s">
        <v>7100</v>
      </c>
      <c r="D23726" t="s">
        <v>66303</v>
      </c>
      <c r="E23726" t="b">
        <v>0</v>
      </c>
      <c r="F23726" t="s">
        <v>11610</v>
      </c>
      <c r="L23726">
        <v>0</v>
      </c>
      <c r="M23726">
        <v>0</v>
      </c>
      <c r="N23726">
        <v>0</v>
      </c>
    </row>
    <row r="23727" spans="1:15">
      <c r="A23727" t="s">
        <v>66304</v>
      </c>
      <c r="B23727" t="s">
        <v>13276</v>
      </c>
      <c r="C23727" t="s">
        <v>33413</v>
      </c>
      <c r="D23727" t="s">
        <v>66305</v>
      </c>
      <c r="E23727" t="b">
        <v>0</v>
      </c>
      <c r="F23727" t="s">
        <v>11610</v>
      </c>
      <c r="L23727">
        <v>0</v>
      </c>
      <c r="M23727">
        <v>0</v>
      </c>
      <c r="N23727">
        <v>0</v>
      </c>
    </row>
    <row r="23728" spans="1:15">
      <c r="A23728" t="s">
        <v>23643</v>
      </c>
      <c r="B23728" t="s">
        <v>8310</v>
      </c>
      <c r="C23728" t="s">
        <v>42815</v>
      </c>
      <c r="D23728" t="s">
        <v>66306</v>
      </c>
      <c r="E23728" t="b">
        <v>0</v>
      </c>
      <c r="F23728" t="s">
        <v>11624</v>
      </c>
      <c r="G23728">
        <v>5.3269200000000003</v>
      </c>
      <c r="H23728">
        <v>-66.275999999999996</v>
      </c>
      <c r="I23728" t="s">
        <v>66307</v>
      </c>
      <c r="L23728">
        <v>0</v>
      </c>
      <c r="M23728">
        <v>0</v>
      </c>
      <c r="N23728">
        <v>2</v>
      </c>
      <c r="O23728" t="s">
        <v>16711</v>
      </c>
    </row>
    <row r="23729" spans="1:15">
      <c r="A23729" t="s">
        <v>66308</v>
      </c>
      <c r="B23729" t="s">
        <v>11894</v>
      </c>
      <c r="C23729" t="s">
        <v>13168</v>
      </c>
      <c r="D23729" t="s">
        <v>66309</v>
      </c>
      <c r="E23729" t="b">
        <v>0</v>
      </c>
      <c r="F23729" t="s">
        <v>11624</v>
      </c>
      <c r="G23729">
        <v>0.58331999999999995</v>
      </c>
      <c r="H23729">
        <v>-65.5</v>
      </c>
      <c r="I23729" t="s">
        <v>66310</v>
      </c>
      <c r="L23729">
        <v>0</v>
      </c>
      <c r="M23729">
        <v>0</v>
      </c>
      <c r="N23729">
        <v>0</v>
      </c>
      <c r="O23729" t="s">
        <v>11969</v>
      </c>
    </row>
    <row r="23730" spans="1:15">
      <c r="A23730" t="s">
        <v>66311</v>
      </c>
      <c r="B23730" t="s">
        <v>6742</v>
      </c>
      <c r="C23730" t="s">
        <v>15734</v>
      </c>
      <c r="D23730" t="s">
        <v>66312</v>
      </c>
      <c r="E23730" t="b">
        <v>0</v>
      </c>
      <c r="F23730" t="s">
        <v>11610</v>
      </c>
      <c r="L23730">
        <v>0</v>
      </c>
      <c r="M23730">
        <v>0</v>
      </c>
      <c r="N23730">
        <v>0</v>
      </c>
    </row>
    <row r="23731" spans="1:15">
      <c r="A23731" t="s">
        <v>66313</v>
      </c>
      <c r="B23731" t="s">
        <v>6742</v>
      </c>
      <c r="C23731" t="s">
        <v>15734</v>
      </c>
      <c r="D23731" t="s">
        <v>66314</v>
      </c>
      <c r="E23731" t="b">
        <v>0</v>
      </c>
      <c r="F23731" t="s">
        <v>11610</v>
      </c>
      <c r="L23731">
        <v>0</v>
      </c>
      <c r="M23731">
        <v>0</v>
      </c>
      <c r="N23731">
        <v>0</v>
      </c>
    </row>
    <row r="23732" spans="1:15">
      <c r="A23732" t="s">
        <v>66315</v>
      </c>
      <c r="B23732" t="s">
        <v>6742</v>
      </c>
      <c r="C23732" t="s">
        <v>15734</v>
      </c>
      <c r="D23732" t="s">
        <v>66316</v>
      </c>
      <c r="E23732" t="b">
        <v>0</v>
      </c>
      <c r="F23732" t="s">
        <v>11610</v>
      </c>
      <c r="L23732">
        <v>0</v>
      </c>
      <c r="M23732">
        <v>0</v>
      </c>
      <c r="N23732">
        <v>0</v>
      </c>
    </row>
    <row r="23733" spans="1:15">
      <c r="A23733" t="s">
        <v>66317</v>
      </c>
      <c r="B23733" t="s">
        <v>367</v>
      </c>
      <c r="C23733" t="s">
        <v>20071</v>
      </c>
      <c r="D23733" t="s">
        <v>66318</v>
      </c>
      <c r="E23733" t="b">
        <v>0</v>
      </c>
      <c r="F23733" t="s">
        <v>11624</v>
      </c>
      <c r="G23733">
        <v>-6.6705199999999998</v>
      </c>
      <c r="H23733">
        <v>147.81</v>
      </c>
      <c r="I23733" t="s">
        <v>66319</v>
      </c>
      <c r="L23733">
        <v>0</v>
      </c>
      <c r="M23733">
        <v>0</v>
      </c>
      <c r="N23733">
        <v>0</v>
      </c>
      <c r="O23733" t="s">
        <v>11660</v>
      </c>
    </row>
    <row r="23734" spans="1:15">
      <c r="A23734" t="s">
        <v>66320</v>
      </c>
      <c r="B23734" t="s">
        <v>11615</v>
      </c>
      <c r="C23734" t="s">
        <v>18566</v>
      </c>
      <c r="D23734" t="s">
        <v>66321</v>
      </c>
      <c r="E23734" t="b">
        <v>0</v>
      </c>
      <c r="F23734" t="s">
        <v>11624</v>
      </c>
      <c r="G23734">
        <v>-4.9086800000000004</v>
      </c>
      <c r="H23734">
        <v>145.36099999999999</v>
      </c>
      <c r="I23734" t="s">
        <v>66322</v>
      </c>
      <c r="L23734">
        <v>0</v>
      </c>
      <c r="M23734">
        <v>0</v>
      </c>
      <c r="N23734">
        <v>0</v>
      </c>
      <c r="O23734" t="s">
        <v>11660</v>
      </c>
    </row>
    <row r="23735" spans="1:15">
      <c r="A23735" t="s">
        <v>18566</v>
      </c>
      <c r="B23735" t="s">
        <v>11615</v>
      </c>
      <c r="C23735" t="s">
        <v>50312</v>
      </c>
      <c r="D23735" t="s">
        <v>66323</v>
      </c>
      <c r="E23735" t="b">
        <v>0</v>
      </c>
      <c r="F23735" t="s">
        <v>11622</v>
      </c>
      <c r="L23735">
        <v>0</v>
      </c>
      <c r="M23735">
        <v>2</v>
      </c>
      <c r="N23735">
        <v>0</v>
      </c>
    </row>
    <row r="23736" spans="1:15">
      <c r="A23736" t="s">
        <v>66324</v>
      </c>
      <c r="B23736" t="s">
        <v>11615</v>
      </c>
      <c r="C23736" t="s">
        <v>26941</v>
      </c>
      <c r="D23736" t="s">
        <v>66325</v>
      </c>
      <c r="E23736" t="b">
        <v>0</v>
      </c>
      <c r="F23736" t="s">
        <v>11610</v>
      </c>
      <c r="L23736">
        <v>0</v>
      </c>
      <c r="M23736">
        <v>0</v>
      </c>
      <c r="N23736">
        <v>0</v>
      </c>
    </row>
    <row r="23737" spans="1:15">
      <c r="A23737" t="s">
        <v>66326</v>
      </c>
      <c r="B23737" t="s">
        <v>11615</v>
      </c>
      <c r="C23737" t="s">
        <v>16000</v>
      </c>
      <c r="D23737" t="s">
        <v>66327</v>
      </c>
      <c r="E23737" t="b">
        <v>0</v>
      </c>
      <c r="F23737" t="s">
        <v>11624</v>
      </c>
      <c r="G23737">
        <v>-5.6171800000000003</v>
      </c>
      <c r="H23737">
        <v>146.20650000000001</v>
      </c>
      <c r="I23737" t="s">
        <v>66328</v>
      </c>
      <c r="L23737">
        <v>0</v>
      </c>
      <c r="M23737">
        <v>0</v>
      </c>
      <c r="N23737">
        <v>0</v>
      </c>
      <c r="O23737" t="s">
        <v>11660</v>
      </c>
    </row>
    <row r="23738" spans="1:15">
      <c r="A23738" t="s">
        <v>66329</v>
      </c>
      <c r="B23738" t="s">
        <v>10597</v>
      </c>
      <c r="C23738" t="s">
        <v>66330</v>
      </c>
      <c r="D23738" t="s">
        <v>66331</v>
      </c>
      <c r="E23738" t="b">
        <v>0</v>
      </c>
      <c r="F23738" t="s">
        <v>11610</v>
      </c>
      <c r="I23738" t="s">
        <v>66332</v>
      </c>
      <c r="L23738">
        <v>0</v>
      </c>
      <c r="M23738">
        <v>0</v>
      </c>
      <c r="N23738">
        <v>0</v>
      </c>
      <c r="O23738" t="s">
        <v>12107</v>
      </c>
    </row>
    <row r="23739" spans="1:15">
      <c r="A23739" t="s">
        <v>66333</v>
      </c>
      <c r="B23739" t="s">
        <v>6742</v>
      </c>
      <c r="C23739" t="s">
        <v>12064</v>
      </c>
      <c r="D23739" t="s">
        <v>66334</v>
      </c>
      <c r="E23739" t="b">
        <v>0</v>
      </c>
      <c r="F23739" t="s">
        <v>11610</v>
      </c>
      <c r="L23739">
        <v>0</v>
      </c>
      <c r="M23739">
        <v>0</v>
      </c>
      <c r="N23739">
        <v>0</v>
      </c>
    </row>
    <row r="23740" spans="1:15">
      <c r="A23740" t="s">
        <v>13060</v>
      </c>
      <c r="B23740" t="s">
        <v>6742</v>
      </c>
      <c r="C23740" t="s">
        <v>12802</v>
      </c>
      <c r="D23740" t="s">
        <v>66335</v>
      </c>
      <c r="E23740" t="b">
        <v>0</v>
      </c>
      <c r="F23740" t="s">
        <v>11624</v>
      </c>
      <c r="G23740">
        <v>6.8425900000000004</v>
      </c>
      <c r="H23740">
        <v>8.8407699999999991</v>
      </c>
      <c r="I23740" t="s">
        <v>66336</v>
      </c>
      <c r="L23740">
        <v>0</v>
      </c>
      <c r="M23740">
        <v>0</v>
      </c>
      <c r="N23740">
        <v>2</v>
      </c>
      <c r="O23740" t="s">
        <v>11693</v>
      </c>
    </row>
    <row r="23741" spans="1:15">
      <c r="A23741" t="s">
        <v>60850</v>
      </c>
      <c r="B23741" t="s">
        <v>11644</v>
      </c>
      <c r="C23741" t="s">
        <v>14097</v>
      </c>
      <c r="D23741" t="s">
        <v>66337</v>
      </c>
      <c r="E23741" t="b">
        <v>0</v>
      </c>
      <c r="F23741" t="s">
        <v>11610</v>
      </c>
      <c r="L23741">
        <v>0</v>
      </c>
      <c r="M23741">
        <v>0</v>
      </c>
      <c r="N23741">
        <v>2</v>
      </c>
    </row>
    <row r="23742" spans="1:15">
      <c r="A23742" t="s">
        <v>66338</v>
      </c>
      <c r="B23742" t="s">
        <v>11644</v>
      </c>
      <c r="C23742" t="s">
        <v>60850</v>
      </c>
      <c r="D23742" t="s">
        <v>66339</v>
      </c>
      <c r="E23742" t="b">
        <v>0</v>
      </c>
      <c r="F23742" t="s">
        <v>11610</v>
      </c>
      <c r="L23742">
        <v>0</v>
      </c>
      <c r="M23742">
        <v>0</v>
      </c>
      <c r="N23742">
        <v>0</v>
      </c>
    </row>
    <row r="23743" spans="1:15">
      <c r="A23743" t="s">
        <v>66340</v>
      </c>
      <c r="B23743" t="s">
        <v>10597</v>
      </c>
      <c r="C23743" t="s">
        <v>13828</v>
      </c>
      <c r="D23743" t="s">
        <v>66341</v>
      </c>
      <c r="E23743" t="b">
        <v>0</v>
      </c>
      <c r="F23743" t="s">
        <v>11624</v>
      </c>
      <c r="G23743">
        <v>-11.314</v>
      </c>
      <c r="H23743">
        <v>142.72499999999999</v>
      </c>
      <c r="L23743">
        <v>0</v>
      </c>
      <c r="M23743">
        <v>0</v>
      </c>
      <c r="N23743">
        <v>0</v>
      </c>
      <c r="O23743" t="s">
        <v>12107</v>
      </c>
    </row>
    <row r="23744" spans="1:15">
      <c r="A23744" t="s">
        <v>13828</v>
      </c>
      <c r="B23744" t="s">
        <v>10597</v>
      </c>
      <c r="C23744" t="s">
        <v>14960</v>
      </c>
      <c r="D23744" t="s">
        <v>66342</v>
      </c>
      <c r="E23744" t="b">
        <v>0</v>
      </c>
      <c r="F23744" t="s">
        <v>11622</v>
      </c>
      <c r="L23744">
        <v>0</v>
      </c>
      <c r="M23744">
        <v>2</v>
      </c>
      <c r="N23744">
        <v>0</v>
      </c>
    </row>
    <row r="23745" spans="1:15">
      <c r="A23745" t="s">
        <v>66343</v>
      </c>
      <c r="B23745" t="s">
        <v>11644</v>
      </c>
      <c r="C23745" t="s">
        <v>55649</v>
      </c>
      <c r="D23745" t="s">
        <v>66344</v>
      </c>
      <c r="E23745" t="b">
        <v>0</v>
      </c>
      <c r="F23745" t="s">
        <v>11610</v>
      </c>
      <c r="L23745">
        <v>0</v>
      </c>
      <c r="M23745">
        <v>0</v>
      </c>
      <c r="N23745">
        <v>0</v>
      </c>
    </row>
    <row r="23746" spans="1:15">
      <c r="A23746" t="s">
        <v>30832</v>
      </c>
      <c r="B23746" t="s">
        <v>4342</v>
      </c>
      <c r="C23746" t="s">
        <v>41480</v>
      </c>
      <c r="D23746" t="s">
        <v>66345</v>
      </c>
      <c r="E23746" t="b">
        <v>0</v>
      </c>
      <c r="F23746" t="s">
        <v>11624</v>
      </c>
      <c r="G23746">
        <v>24.3401</v>
      </c>
      <c r="H23746">
        <v>123.801</v>
      </c>
      <c r="I23746" t="s">
        <v>66346</v>
      </c>
      <c r="L23746">
        <v>0</v>
      </c>
      <c r="M23746">
        <v>0</v>
      </c>
      <c r="N23746">
        <v>9</v>
      </c>
      <c r="O23746" t="s">
        <v>12539</v>
      </c>
    </row>
    <row r="23747" spans="1:15">
      <c r="A23747" t="s">
        <v>66347</v>
      </c>
      <c r="B23747" t="s">
        <v>15132</v>
      </c>
      <c r="C23747" t="s">
        <v>26327</v>
      </c>
      <c r="D23747" t="s">
        <v>66348</v>
      </c>
      <c r="E23747" t="b">
        <v>0</v>
      </c>
      <c r="F23747" t="s">
        <v>11624</v>
      </c>
      <c r="G23747">
        <v>-3.3976500000000001</v>
      </c>
      <c r="H23747">
        <v>140.89699999999999</v>
      </c>
      <c r="I23747" t="s">
        <v>66349</v>
      </c>
      <c r="L23747">
        <v>0</v>
      </c>
      <c r="M23747">
        <v>0</v>
      </c>
      <c r="N23747">
        <v>0</v>
      </c>
      <c r="O23747" t="s">
        <v>11768</v>
      </c>
    </row>
    <row r="23748" spans="1:15">
      <c r="A23748" t="s">
        <v>33192</v>
      </c>
      <c r="B23748" t="s">
        <v>10597</v>
      </c>
      <c r="C23748" t="s">
        <v>26597</v>
      </c>
      <c r="D23748" t="s">
        <v>66350</v>
      </c>
      <c r="E23748" t="b">
        <v>0</v>
      </c>
      <c r="F23748" t="s">
        <v>11624</v>
      </c>
      <c r="G23748">
        <v>-27.876475549999999</v>
      </c>
      <c r="H23748">
        <v>152.4602773</v>
      </c>
      <c r="L23748">
        <v>0</v>
      </c>
      <c r="M23748">
        <v>0</v>
      </c>
      <c r="N23748">
        <v>2</v>
      </c>
      <c r="O23748" t="s">
        <v>12107</v>
      </c>
    </row>
    <row r="23749" spans="1:15">
      <c r="A23749" t="s">
        <v>66351</v>
      </c>
      <c r="B23749" t="s">
        <v>367</v>
      </c>
      <c r="C23749" t="s">
        <v>17133</v>
      </c>
      <c r="D23749" t="s">
        <v>66352</v>
      </c>
      <c r="E23749" t="b">
        <v>0</v>
      </c>
      <c r="F23749" t="s">
        <v>11610</v>
      </c>
      <c r="L23749">
        <v>0</v>
      </c>
      <c r="M23749">
        <v>0</v>
      </c>
      <c r="N23749">
        <v>0</v>
      </c>
    </row>
    <row r="23750" spans="1:15">
      <c r="A23750" t="s">
        <v>16000</v>
      </c>
      <c r="B23750" t="s">
        <v>11615</v>
      </c>
      <c r="C23750" t="s">
        <v>27544</v>
      </c>
      <c r="D23750" t="s">
        <v>66353</v>
      </c>
      <c r="E23750" t="b">
        <v>0</v>
      </c>
      <c r="F23750" t="s">
        <v>11622</v>
      </c>
      <c r="L23750">
        <v>0</v>
      </c>
      <c r="M23750">
        <v>5</v>
      </c>
      <c r="N23750">
        <v>0</v>
      </c>
    </row>
    <row r="23751" spans="1:15">
      <c r="A23751" t="s">
        <v>66354</v>
      </c>
      <c r="B23751" t="s">
        <v>11615</v>
      </c>
      <c r="C23751" t="s">
        <v>16438</v>
      </c>
      <c r="D23751" t="s">
        <v>66355</v>
      </c>
      <c r="E23751" t="b">
        <v>0</v>
      </c>
      <c r="F23751" t="s">
        <v>11610</v>
      </c>
      <c r="L23751">
        <v>0</v>
      </c>
      <c r="M23751">
        <v>0</v>
      </c>
      <c r="N23751">
        <v>0</v>
      </c>
    </row>
    <row r="23752" spans="1:15">
      <c r="A23752" t="s">
        <v>23820</v>
      </c>
      <c r="B23752" t="s">
        <v>11615</v>
      </c>
      <c r="C23752" t="s">
        <v>32489</v>
      </c>
      <c r="D23752" t="s">
        <v>66356</v>
      </c>
      <c r="E23752" t="b">
        <v>0</v>
      </c>
      <c r="F23752" t="s">
        <v>11624</v>
      </c>
      <c r="G23752">
        <v>-6.3243200000000002</v>
      </c>
      <c r="H23752">
        <v>145.38800000000001</v>
      </c>
      <c r="I23752" t="s">
        <v>66357</v>
      </c>
      <c r="L23752">
        <v>0</v>
      </c>
      <c r="M23752">
        <v>0</v>
      </c>
      <c r="N23752">
        <v>8</v>
      </c>
      <c r="O23752" t="s">
        <v>11660</v>
      </c>
    </row>
    <row r="23753" spans="1:15">
      <c r="A23753" t="s">
        <v>66358</v>
      </c>
      <c r="B23753" t="s">
        <v>11879</v>
      </c>
      <c r="C23753" t="s">
        <v>20900</v>
      </c>
      <c r="D23753" t="s">
        <v>66359</v>
      </c>
      <c r="E23753" t="b">
        <v>0</v>
      </c>
      <c r="F23753" t="s">
        <v>11610</v>
      </c>
      <c r="L23753">
        <v>0</v>
      </c>
      <c r="M23753">
        <v>0</v>
      </c>
      <c r="N23753">
        <v>0</v>
      </c>
    </row>
    <row r="23754" spans="1:15">
      <c r="A23754" t="s">
        <v>66360</v>
      </c>
      <c r="B23754" t="s">
        <v>10597</v>
      </c>
      <c r="C23754" t="s">
        <v>33192</v>
      </c>
      <c r="D23754" t="s">
        <v>66361</v>
      </c>
      <c r="E23754" t="b">
        <v>0</v>
      </c>
      <c r="F23754" t="s">
        <v>11610</v>
      </c>
      <c r="I23754" t="s">
        <v>66362</v>
      </c>
      <c r="L23754">
        <v>0</v>
      </c>
      <c r="M23754">
        <v>0</v>
      </c>
      <c r="N23754">
        <v>0</v>
      </c>
      <c r="O23754" t="s">
        <v>12107</v>
      </c>
    </row>
    <row r="23755" spans="1:15">
      <c r="A23755" t="s">
        <v>66363</v>
      </c>
      <c r="B23755" t="s">
        <v>6742</v>
      </c>
      <c r="C23755" t="s">
        <v>3193</v>
      </c>
      <c r="D23755" t="s">
        <v>66364</v>
      </c>
      <c r="E23755" t="b">
        <v>0</v>
      </c>
      <c r="F23755" t="s">
        <v>11610</v>
      </c>
      <c r="L23755">
        <v>0</v>
      </c>
      <c r="M23755">
        <v>0</v>
      </c>
      <c r="N23755">
        <v>0</v>
      </c>
    </row>
    <row r="23756" spans="1:15">
      <c r="A23756" t="s">
        <v>66365</v>
      </c>
      <c r="B23756" t="s">
        <v>11644</v>
      </c>
      <c r="C23756" t="s">
        <v>25562</v>
      </c>
      <c r="D23756" t="s">
        <v>66366</v>
      </c>
      <c r="E23756" t="b">
        <v>0</v>
      </c>
      <c r="F23756" t="s">
        <v>11610</v>
      </c>
      <c r="L23756">
        <v>0</v>
      </c>
      <c r="M23756">
        <v>0</v>
      </c>
      <c r="N23756">
        <v>0</v>
      </c>
    </row>
    <row r="23757" spans="1:15">
      <c r="A23757" t="s">
        <v>25862</v>
      </c>
      <c r="B23757" t="s">
        <v>11637</v>
      </c>
      <c r="C23757" t="s">
        <v>57689</v>
      </c>
      <c r="D23757" t="s">
        <v>66367</v>
      </c>
      <c r="E23757" t="b">
        <v>0</v>
      </c>
      <c r="F23757" t="s">
        <v>11624</v>
      </c>
      <c r="G23757">
        <v>39.148600000000002</v>
      </c>
      <c r="H23757">
        <v>69.242199999999997</v>
      </c>
      <c r="I23757" t="s">
        <v>66368</v>
      </c>
      <c r="L23757">
        <v>0</v>
      </c>
      <c r="M23757">
        <v>0</v>
      </c>
      <c r="N23757">
        <v>2</v>
      </c>
      <c r="O23757" t="s">
        <v>66369</v>
      </c>
    </row>
    <row r="23758" spans="1:15">
      <c r="A23758" t="s">
        <v>66370</v>
      </c>
      <c r="B23758" t="s">
        <v>11615</v>
      </c>
      <c r="C23758" t="s">
        <v>20238</v>
      </c>
      <c r="D23758" t="s">
        <v>66371</v>
      </c>
      <c r="E23758" t="b">
        <v>0</v>
      </c>
      <c r="F23758" t="s">
        <v>11624</v>
      </c>
      <c r="G23758">
        <v>-5.7404900000000003</v>
      </c>
      <c r="H23758">
        <v>146.60300000000001</v>
      </c>
      <c r="I23758" t="s">
        <v>66372</v>
      </c>
      <c r="L23758">
        <v>0</v>
      </c>
      <c r="M23758">
        <v>0</v>
      </c>
      <c r="N23758">
        <v>0</v>
      </c>
      <c r="O23758" t="s">
        <v>11660</v>
      </c>
    </row>
    <row r="23759" spans="1:15">
      <c r="A23759" t="s">
        <v>10723</v>
      </c>
      <c r="B23759" t="s">
        <v>52632</v>
      </c>
      <c r="C23759" t="s">
        <v>52632</v>
      </c>
      <c r="D23759" t="s">
        <v>66373</v>
      </c>
      <c r="E23759" t="b">
        <v>0</v>
      </c>
      <c r="F23759" t="s">
        <v>11624</v>
      </c>
      <c r="G23759">
        <v>-3.4291299999999998</v>
      </c>
      <c r="H23759">
        <v>-72.218599999999995</v>
      </c>
      <c r="I23759" t="s">
        <v>10725</v>
      </c>
      <c r="L23759">
        <v>0</v>
      </c>
      <c r="M23759">
        <v>0</v>
      </c>
      <c r="N23759">
        <v>0</v>
      </c>
      <c r="O23759" t="s">
        <v>45917</v>
      </c>
    </row>
    <row r="23760" spans="1:15">
      <c r="A23760" t="s">
        <v>66374</v>
      </c>
      <c r="B23760" t="s">
        <v>12487</v>
      </c>
      <c r="C23760" t="s">
        <v>17180</v>
      </c>
      <c r="D23760" t="s">
        <v>66375</v>
      </c>
      <c r="E23760" t="b">
        <v>0</v>
      </c>
      <c r="F23760" t="s">
        <v>11624</v>
      </c>
      <c r="G23760">
        <v>-7.1404199999999998</v>
      </c>
      <c r="H23760">
        <v>145.85400000000001</v>
      </c>
      <c r="I23760" t="s">
        <v>66376</v>
      </c>
      <c r="L23760">
        <v>0</v>
      </c>
      <c r="M23760">
        <v>0</v>
      </c>
      <c r="N23760">
        <v>0</v>
      </c>
      <c r="O23760" t="s">
        <v>11660</v>
      </c>
    </row>
    <row r="23761" spans="1:15">
      <c r="A23761" t="s">
        <v>66377</v>
      </c>
      <c r="B23761" t="s">
        <v>11607</v>
      </c>
      <c r="C23761" t="s">
        <v>25211</v>
      </c>
      <c r="D23761" t="s">
        <v>66378</v>
      </c>
      <c r="E23761" t="b">
        <v>0</v>
      </c>
      <c r="F23761" t="s">
        <v>11610</v>
      </c>
      <c r="L23761">
        <v>0</v>
      </c>
      <c r="M23761">
        <v>0</v>
      </c>
      <c r="N23761">
        <v>0</v>
      </c>
    </row>
    <row r="23762" spans="1:15">
      <c r="A23762" t="s">
        <v>66379</v>
      </c>
      <c r="B23762" t="s">
        <v>11834</v>
      </c>
      <c r="C23762" t="s">
        <v>31044</v>
      </c>
      <c r="D23762" t="s">
        <v>66380</v>
      </c>
      <c r="E23762" t="b">
        <v>0</v>
      </c>
      <c r="F23762" t="s">
        <v>11624</v>
      </c>
      <c r="G23762">
        <v>-3.7303500000000001</v>
      </c>
      <c r="H23762">
        <v>142.4</v>
      </c>
      <c r="I23762" t="s">
        <v>66381</v>
      </c>
      <c r="L23762">
        <v>0</v>
      </c>
      <c r="M23762">
        <v>0</v>
      </c>
      <c r="N23762">
        <v>0</v>
      </c>
      <c r="O23762" t="s">
        <v>11660</v>
      </c>
    </row>
    <row r="23763" spans="1:15">
      <c r="A23763" t="s">
        <v>66382</v>
      </c>
      <c r="B23763" t="s">
        <v>37231</v>
      </c>
      <c r="C23763" t="s">
        <v>37231</v>
      </c>
      <c r="D23763" t="s">
        <v>66383</v>
      </c>
      <c r="E23763" t="b">
        <v>0</v>
      </c>
      <c r="F23763" t="s">
        <v>11624</v>
      </c>
      <c r="G23763">
        <v>-1.9431700000000001</v>
      </c>
      <c r="H23763">
        <v>132.096</v>
      </c>
      <c r="I23763" t="s">
        <v>66384</v>
      </c>
      <c r="L23763">
        <v>0</v>
      </c>
      <c r="M23763">
        <v>0</v>
      </c>
      <c r="N23763">
        <v>0</v>
      </c>
      <c r="O23763" t="s">
        <v>11768</v>
      </c>
    </row>
    <row r="23764" spans="1:15">
      <c r="A23764" t="s">
        <v>66385</v>
      </c>
      <c r="B23764" t="s">
        <v>21714</v>
      </c>
      <c r="C23764" t="s">
        <v>21714</v>
      </c>
      <c r="D23764" t="s">
        <v>66386</v>
      </c>
      <c r="E23764" t="b">
        <v>0</v>
      </c>
      <c r="F23764" t="s">
        <v>11610</v>
      </c>
      <c r="L23764">
        <v>0</v>
      </c>
      <c r="M23764">
        <v>0</v>
      </c>
      <c r="N23764">
        <v>0</v>
      </c>
    </row>
    <row r="23765" spans="1:15">
      <c r="A23765" t="s">
        <v>24226</v>
      </c>
      <c r="B23765" t="s">
        <v>2975</v>
      </c>
      <c r="C23765" t="s">
        <v>58716</v>
      </c>
      <c r="D23765" t="s">
        <v>66387</v>
      </c>
      <c r="E23765" t="b">
        <v>0</v>
      </c>
      <c r="F23765" t="s">
        <v>11624</v>
      </c>
      <c r="G23765">
        <v>-0.50536499999999995</v>
      </c>
      <c r="H23765">
        <v>-70.478211000000002</v>
      </c>
      <c r="I23765" t="s">
        <v>66388</v>
      </c>
      <c r="L23765">
        <v>0</v>
      </c>
      <c r="M23765">
        <v>0</v>
      </c>
      <c r="N23765">
        <v>2</v>
      </c>
      <c r="O23765" t="s">
        <v>11898</v>
      </c>
    </row>
    <row r="23766" spans="1:15">
      <c r="A23766" t="s">
        <v>66389</v>
      </c>
      <c r="B23766" t="s">
        <v>6742</v>
      </c>
      <c r="C23766" t="s">
        <v>19737</v>
      </c>
      <c r="D23766" t="s">
        <v>66390</v>
      </c>
      <c r="E23766" t="b">
        <v>0</v>
      </c>
      <c r="F23766" t="s">
        <v>11610</v>
      </c>
      <c r="L23766">
        <v>0</v>
      </c>
      <c r="M23766">
        <v>0</v>
      </c>
      <c r="N23766">
        <v>0</v>
      </c>
    </row>
    <row r="23767" spans="1:15">
      <c r="A23767" t="s">
        <v>66391</v>
      </c>
      <c r="B23767" t="s">
        <v>6742</v>
      </c>
      <c r="C23767" t="s">
        <v>19737</v>
      </c>
      <c r="D23767" t="s">
        <v>66392</v>
      </c>
      <c r="E23767" t="b">
        <v>0</v>
      </c>
      <c r="F23767" t="s">
        <v>11610</v>
      </c>
      <c r="L23767">
        <v>0</v>
      </c>
      <c r="M23767">
        <v>0</v>
      </c>
      <c r="N23767">
        <v>0</v>
      </c>
    </row>
    <row r="23768" spans="1:15">
      <c r="A23768" t="s">
        <v>66393</v>
      </c>
      <c r="B23768" t="s">
        <v>11879</v>
      </c>
      <c r="C23768" t="s">
        <v>52255</v>
      </c>
      <c r="D23768" t="s">
        <v>66394</v>
      </c>
      <c r="E23768" t="b">
        <v>0</v>
      </c>
      <c r="F23768" t="s">
        <v>11610</v>
      </c>
      <c r="L23768">
        <v>0</v>
      </c>
      <c r="M23768">
        <v>0</v>
      </c>
      <c r="N23768">
        <v>0</v>
      </c>
    </row>
    <row r="23769" spans="1:15">
      <c r="A23769" t="s">
        <v>40738</v>
      </c>
      <c r="B23769" t="s">
        <v>6742</v>
      </c>
      <c r="C23769" t="s">
        <v>31724</v>
      </c>
      <c r="D23769" t="s">
        <v>66395</v>
      </c>
      <c r="E23769" t="b">
        <v>0</v>
      </c>
      <c r="F23769" t="s">
        <v>11624</v>
      </c>
      <c r="G23769">
        <v>-6.9396399999999998</v>
      </c>
      <c r="H23769">
        <v>16.996500000000001</v>
      </c>
      <c r="I23769" t="s">
        <v>66396</v>
      </c>
      <c r="L23769">
        <v>0</v>
      </c>
      <c r="M23769">
        <v>0</v>
      </c>
      <c r="N23769">
        <v>4</v>
      </c>
      <c r="O23769" t="s">
        <v>31379</v>
      </c>
    </row>
    <row r="23770" spans="1:15">
      <c r="A23770" t="s">
        <v>66397</v>
      </c>
      <c r="B23770" t="s">
        <v>6742</v>
      </c>
      <c r="C23770" t="s">
        <v>40738</v>
      </c>
      <c r="D23770" t="s">
        <v>66398</v>
      </c>
      <c r="E23770" t="b">
        <v>0</v>
      </c>
      <c r="F23770" t="s">
        <v>11610</v>
      </c>
      <c r="L23770">
        <v>0</v>
      </c>
      <c r="M23770">
        <v>0</v>
      </c>
      <c r="N23770">
        <v>0</v>
      </c>
    </row>
    <row r="23771" spans="1:15">
      <c r="A23771" t="s">
        <v>66399</v>
      </c>
      <c r="B23771" t="s">
        <v>6742</v>
      </c>
      <c r="C23771" t="s">
        <v>50480</v>
      </c>
      <c r="D23771" t="s">
        <v>66400</v>
      </c>
      <c r="E23771" t="b">
        <v>0</v>
      </c>
      <c r="F23771" t="s">
        <v>11610</v>
      </c>
      <c r="L23771">
        <v>0</v>
      </c>
      <c r="M23771">
        <v>0</v>
      </c>
      <c r="N23771">
        <v>0</v>
      </c>
    </row>
    <row r="23772" spans="1:15">
      <c r="A23772" t="s">
        <v>16394</v>
      </c>
      <c r="B23772" t="s">
        <v>6742</v>
      </c>
      <c r="C23772" t="s">
        <v>20731</v>
      </c>
      <c r="D23772" t="s">
        <v>66401</v>
      </c>
      <c r="E23772" t="b">
        <v>0</v>
      </c>
      <c r="F23772" t="s">
        <v>11624</v>
      </c>
      <c r="G23772">
        <v>3.6515</v>
      </c>
      <c r="H23772">
        <v>17.2713</v>
      </c>
      <c r="I23772" t="s">
        <v>66402</v>
      </c>
      <c r="L23772">
        <v>0</v>
      </c>
      <c r="M23772">
        <v>0</v>
      </c>
      <c r="N23772">
        <v>4</v>
      </c>
      <c r="O23772" t="s">
        <v>34313</v>
      </c>
    </row>
    <row r="23773" spans="1:15">
      <c r="A23773" t="s">
        <v>66403</v>
      </c>
      <c r="B23773" t="s">
        <v>6742</v>
      </c>
      <c r="C23773" t="s">
        <v>12064</v>
      </c>
      <c r="D23773" t="s">
        <v>66404</v>
      </c>
      <c r="E23773" t="b">
        <v>0</v>
      </c>
      <c r="F23773" t="s">
        <v>11610</v>
      </c>
      <c r="L23773">
        <v>0</v>
      </c>
      <c r="M23773">
        <v>0</v>
      </c>
      <c r="N23773">
        <v>0</v>
      </c>
    </row>
    <row r="23774" spans="1:15">
      <c r="A23774" t="s">
        <v>66405</v>
      </c>
      <c r="B23774" t="s">
        <v>6742</v>
      </c>
      <c r="C23774" t="s">
        <v>38842</v>
      </c>
      <c r="D23774" t="s">
        <v>66406</v>
      </c>
      <c r="E23774" t="b">
        <v>0</v>
      </c>
      <c r="F23774" t="s">
        <v>11624</v>
      </c>
      <c r="G23774">
        <v>-3.7330100000000002</v>
      </c>
      <c r="H23774">
        <v>13.3637</v>
      </c>
      <c r="I23774" t="s">
        <v>66407</v>
      </c>
      <c r="L23774">
        <v>0</v>
      </c>
      <c r="M23774">
        <v>0</v>
      </c>
      <c r="N23774">
        <v>0</v>
      </c>
      <c r="O23774" t="s">
        <v>12868</v>
      </c>
    </row>
    <row r="23775" spans="1:15">
      <c r="A23775" t="s">
        <v>66408</v>
      </c>
      <c r="B23775" t="s">
        <v>367</v>
      </c>
      <c r="C23775" t="s">
        <v>26582</v>
      </c>
      <c r="D23775" t="s">
        <v>66409</v>
      </c>
      <c r="E23775" t="b">
        <v>0</v>
      </c>
      <c r="F23775" t="s">
        <v>11624</v>
      </c>
      <c r="G23775">
        <v>-10.0852</v>
      </c>
      <c r="H23775">
        <v>149.982</v>
      </c>
      <c r="I23775" t="s">
        <v>66410</v>
      </c>
      <c r="L23775">
        <v>0</v>
      </c>
      <c r="M23775">
        <v>0</v>
      </c>
      <c r="N23775">
        <v>0</v>
      </c>
      <c r="O23775" t="s">
        <v>11660</v>
      </c>
    </row>
    <row r="23776" spans="1:15">
      <c r="A23776" t="s">
        <v>66411</v>
      </c>
      <c r="B23776" t="s">
        <v>367</v>
      </c>
      <c r="C23776" t="s">
        <v>13071</v>
      </c>
      <c r="D23776" t="s">
        <v>66412</v>
      </c>
      <c r="E23776" t="b">
        <v>0</v>
      </c>
      <c r="F23776" t="s">
        <v>11610</v>
      </c>
      <c r="L23776">
        <v>0</v>
      </c>
      <c r="M23776">
        <v>0</v>
      </c>
      <c r="N23776">
        <v>0</v>
      </c>
    </row>
    <row r="23777" spans="1:15">
      <c r="A23777" t="s">
        <v>66413</v>
      </c>
      <c r="B23777" t="s">
        <v>367</v>
      </c>
      <c r="C23777" t="s">
        <v>32348</v>
      </c>
      <c r="D23777" t="s">
        <v>66414</v>
      </c>
      <c r="E23777" t="b">
        <v>0</v>
      </c>
      <c r="F23777" t="s">
        <v>11624</v>
      </c>
      <c r="G23777">
        <v>6.5310230000000002</v>
      </c>
      <c r="H23777">
        <v>122.02172899999999</v>
      </c>
      <c r="I23777" t="s">
        <v>66415</v>
      </c>
      <c r="L23777">
        <v>0</v>
      </c>
      <c r="M23777">
        <v>0</v>
      </c>
      <c r="N23777">
        <v>0</v>
      </c>
      <c r="O23777" t="s">
        <v>11749</v>
      </c>
    </row>
    <row r="23778" spans="1:15">
      <c r="A23778" t="s">
        <v>31724</v>
      </c>
      <c r="B23778" t="s">
        <v>6742</v>
      </c>
      <c r="C23778" t="s">
        <v>36474</v>
      </c>
      <c r="D23778" t="s">
        <v>66416</v>
      </c>
      <c r="E23778" t="b">
        <v>0</v>
      </c>
      <c r="F23778" t="s">
        <v>11622</v>
      </c>
      <c r="L23778">
        <v>0</v>
      </c>
      <c r="M23778">
        <v>3</v>
      </c>
      <c r="N23778">
        <v>4</v>
      </c>
    </row>
    <row r="23779" spans="1:15">
      <c r="A23779" t="s">
        <v>66417</v>
      </c>
      <c r="B23779" t="s">
        <v>11834</v>
      </c>
      <c r="C23779" t="s">
        <v>37134</v>
      </c>
      <c r="D23779" t="s">
        <v>66418</v>
      </c>
      <c r="E23779" t="b">
        <v>0</v>
      </c>
      <c r="F23779" t="s">
        <v>11610</v>
      </c>
      <c r="L23779">
        <v>0</v>
      </c>
      <c r="M23779">
        <v>0</v>
      </c>
      <c r="N23779">
        <v>0</v>
      </c>
    </row>
    <row r="23780" spans="1:15">
      <c r="A23780" t="s">
        <v>36808</v>
      </c>
      <c r="B23780" t="s">
        <v>36807</v>
      </c>
      <c r="C23780" t="s">
        <v>48231</v>
      </c>
      <c r="D23780" t="s">
        <v>66419</v>
      </c>
      <c r="E23780" t="b">
        <v>0</v>
      </c>
      <c r="F23780" t="s">
        <v>11624</v>
      </c>
      <c r="G23780">
        <v>46.265500000000003</v>
      </c>
      <c r="H23780">
        <v>-120.756</v>
      </c>
      <c r="I23780" t="s">
        <v>66420</v>
      </c>
      <c r="L23780">
        <v>0</v>
      </c>
      <c r="M23780">
        <v>0</v>
      </c>
      <c r="N23780">
        <v>2</v>
      </c>
      <c r="O23780" t="s">
        <v>11944</v>
      </c>
    </row>
    <row r="23781" spans="1:15">
      <c r="A23781" t="s">
        <v>66421</v>
      </c>
      <c r="B23781" t="s">
        <v>11834</v>
      </c>
      <c r="C23781" t="s">
        <v>37134</v>
      </c>
      <c r="D23781" t="s">
        <v>66422</v>
      </c>
      <c r="E23781" t="b">
        <v>0</v>
      </c>
      <c r="F23781" t="s">
        <v>11610</v>
      </c>
      <c r="L23781">
        <v>0</v>
      </c>
      <c r="M23781">
        <v>0</v>
      </c>
      <c r="N23781">
        <v>0</v>
      </c>
    </row>
    <row r="23782" spans="1:15">
      <c r="A23782" t="s">
        <v>25980</v>
      </c>
      <c r="B23782" t="s">
        <v>11644</v>
      </c>
      <c r="C23782" t="s">
        <v>15002</v>
      </c>
      <c r="D23782" t="s">
        <v>66423</v>
      </c>
      <c r="E23782" t="b">
        <v>0</v>
      </c>
      <c r="F23782" t="s">
        <v>11624</v>
      </c>
      <c r="G23782">
        <v>27.371400000000001</v>
      </c>
      <c r="H23782">
        <v>87.930599999999998</v>
      </c>
      <c r="I23782" t="s">
        <v>66424</v>
      </c>
      <c r="L23782">
        <v>0</v>
      </c>
      <c r="M23782">
        <v>0</v>
      </c>
      <c r="N23782">
        <v>3</v>
      </c>
      <c r="O23782" t="s">
        <v>12524</v>
      </c>
    </row>
    <row r="23783" spans="1:15">
      <c r="A23783" t="s">
        <v>66425</v>
      </c>
      <c r="B23783" t="s">
        <v>6742</v>
      </c>
      <c r="C23783" t="s">
        <v>25251</v>
      </c>
      <c r="D23783" t="s">
        <v>66426</v>
      </c>
      <c r="E23783" t="b">
        <v>0</v>
      </c>
      <c r="F23783" t="s">
        <v>11610</v>
      </c>
      <c r="L23783">
        <v>0</v>
      </c>
      <c r="M23783">
        <v>0</v>
      </c>
      <c r="N23783">
        <v>0</v>
      </c>
    </row>
    <row r="23784" spans="1:15">
      <c r="A23784" t="s">
        <v>66427</v>
      </c>
      <c r="B23784" t="s">
        <v>6742</v>
      </c>
      <c r="C23784" t="s">
        <v>24479</v>
      </c>
      <c r="D23784" t="s">
        <v>66428</v>
      </c>
      <c r="E23784" t="b">
        <v>0</v>
      </c>
      <c r="F23784" t="s">
        <v>11624</v>
      </c>
      <c r="G23784">
        <v>4.1650999999999998</v>
      </c>
      <c r="H23784">
        <v>22.170200000000001</v>
      </c>
      <c r="I23784" t="s">
        <v>66429</v>
      </c>
      <c r="L23784">
        <v>0</v>
      </c>
      <c r="M23784">
        <v>0</v>
      </c>
      <c r="N23784">
        <v>0</v>
      </c>
      <c r="O23784" t="s">
        <v>13069</v>
      </c>
    </row>
    <row r="23785" spans="1:15">
      <c r="A23785" t="s">
        <v>66430</v>
      </c>
      <c r="B23785" t="s">
        <v>6742</v>
      </c>
      <c r="C23785" t="s">
        <v>19458</v>
      </c>
      <c r="D23785" t="s">
        <v>66431</v>
      </c>
      <c r="E23785" t="b">
        <v>0</v>
      </c>
      <c r="F23785" t="s">
        <v>11610</v>
      </c>
      <c r="L23785">
        <v>0</v>
      </c>
      <c r="M23785">
        <v>0</v>
      </c>
      <c r="N23785">
        <v>0</v>
      </c>
    </row>
    <row r="23786" spans="1:15">
      <c r="A23786" t="s">
        <v>2071</v>
      </c>
      <c r="B23786" t="s">
        <v>331</v>
      </c>
      <c r="C23786" t="s">
        <v>25151</v>
      </c>
      <c r="D23786" t="s">
        <v>66432</v>
      </c>
      <c r="E23786" t="b">
        <v>0</v>
      </c>
      <c r="F23786" t="s">
        <v>11624</v>
      </c>
      <c r="G23786">
        <v>61.697400000000002</v>
      </c>
      <c r="H23786">
        <v>133.97999999999999</v>
      </c>
      <c r="I23786" t="s">
        <v>2072</v>
      </c>
      <c r="L23786">
        <v>0</v>
      </c>
      <c r="M23786">
        <v>0</v>
      </c>
      <c r="N23786">
        <v>0</v>
      </c>
      <c r="O23786" t="s">
        <v>12748</v>
      </c>
    </row>
    <row r="23787" spans="1:15">
      <c r="A23787" t="s">
        <v>66433</v>
      </c>
      <c r="B23787" t="s">
        <v>11834</v>
      </c>
      <c r="C23787" t="s">
        <v>37134</v>
      </c>
      <c r="D23787" t="s">
        <v>66434</v>
      </c>
      <c r="E23787" t="b">
        <v>0</v>
      </c>
      <c r="F23787" t="s">
        <v>11610</v>
      </c>
      <c r="L23787">
        <v>0</v>
      </c>
      <c r="M23787">
        <v>0</v>
      </c>
      <c r="N23787">
        <v>0</v>
      </c>
    </row>
    <row r="23788" spans="1:15">
      <c r="A23788" t="s">
        <v>66435</v>
      </c>
      <c r="B23788" t="s">
        <v>12241</v>
      </c>
      <c r="C23788" t="s">
        <v>12941</v>
      </c>
      <c r="D23788" t="s">
        <v>66436</v>
      </c>
      <c r="E23788" t="b">
        <v>0</v>
      </c>
      <c r="F23788" t="s">
        <v>11624</v>
      </c>
      <c r="G23788">
        <v>-13.239599999999999</v>
      </c>
      <c r="H23788">
        <v>-59.9925</v>
      </c>
      <c r="I23788" t="s">
        <v>66437</v>
      </c>
      <c r="L23788">
        <v>0</v>
      </c>
      <c r="M23788">
        <v>0</v>
      </c>
      <c r="N23788">
        <v>0</v>
      </c>
      <c r="O23788" t="s">
        <v>11969</v>
      </c>
    </row>
    <row r="23789" spans="1:15">
      <c r="A23789" t="s">
        <v>24983</v>
      </c>
      <c r="B23789" t="s">
        <v>10597</v>
      </c>
      <c r="C23789" t="s">
        <v>29958</v>
      </c>
      <c r="D23789" t="s">
        <v>66438</v>
      </c>
      <c r="E23789" t="b">
        <v>0</v>
      </c>
      <c r="F23789" t="s">
        <v>11622</v>
      </c>
      <c r="L23789">
        <v>0</v>
      </c>
      <c r="M23789">
        <v>3</v>
      </c>
      <c r="N23789">
        <v>2</v>
      </c>
    </row>
    <row r="23790" spans="1:15">
      <c r="A23790" t="s">
        <v>66439</v>
      </c>
      <c r="B23790" t="s">
        <v>10597</v>
      </c>
      <c r="C23790" t="s">
        <v>28378</v>
      </c>
      <c r="D23790" t="s">
        <v>66440</v>
      </c>
      <c r="E23790" t="b">
        <v>0</v>
      </c>
      <c r="F23790" t="s">
        <v>11624</v>
      </c>
      <c r="G23790">
        <v>-21.731000000000002</v>
      </c>
      <c r="H23790">
        <v>139.511</v>
      </c>
      <c r="I23790" t="s">
        <v>66441</v>
      </c>
      <c r="L23790">
        <v>0</v>
      </c>
      <c r="M23790">
        <v>0</v>
      </c>
      <c r="N23790">
        <v>0</v>
      </c>
      <c r="O23790" t="s">
        <v>12107</v>
      </c>
    </row>
    <row r="23791" spans="1:15">
      <c r="A23791" t="s">
        <v>48036</v>
      </c>
      <c r="B23791" t="s">
        <v>6742</v>
      </c>
      <c r="C23791" t="s">
        <v>12281</v>
      </c>
      <c r="D23791" t="s">
        <v>66442</v>
      </c>
      <c r="E23791" t="b">
        <v>0</v>
      </c>
      <c r="F23791" t="s">
        <v>11624</v>
      </c>
      <c r="G23791">
        <v>6.7385200000000003</v>
      </c>
      <c r="H23791">
        <v>8.6074800000000007</v>
      </c>
      <c r="I23791" t="s">
        <v>66443</v>
      </c>
      <c r="L23791">
        <v>0</v>
      </c>
      <c r="M23791">
        <v>0</v>
      </c>
      <c r="N23791">
        <v>3</v>
      </c>
      <c r="O23791" t="s">
        <v>11693</v>
      </c>
    </row>
    <row r="23792" spans="1:15">
      <c r="A23792" t="s">
        <v>66444</v>
      </c>
      <c r="B23792" t="s">
        <v>6742</v>
      </c>
      <c r="C23792" t="s">
        <v>48036</v>
      </c>
      <c r="D23792" t="s">
        <v>66445</v>
      </c>
      <c r="E23792" t="b">
        <v>0</v>
      </c>
      <c r="F23792" t="s">
        <v>11610</v>
      </c>
      <c r="L23792">
        <v>0</v>
      </c>
      <c r="M23792">
        <v>0</v>
      </c>
      <c r="N23792">
        <v>0</v>
      </c>
    </row>
    <row r="23793" spans="1:15">
      <c r="A23793" t="s">
        <v>66446</v>
      </c>
      <c r="B23793" t="s">
        <v>367</v>
      </c>
      <c r="C23793" t="s">
        <v>17814</v>
      </c>
      <c r="D23793" t="s">
        <v>66447</v>
      </c>
      <c r="E23793" t="b">
        <v>0</v>
      </c>
      <c r="F23793" t="s">
        <v>11610</v>
      </c>
      <c r="L23793">
        <v>0</v>
      </c>
      <c r="M23793">
        <v>0</v>
      </c>
      <c r="N23793">
        <v>0</v>
      </c>
    </row>
    <row r="23794" spans="1:15">
      <c r="A23794" t="s">
        <v>66448</v>
      </c>
      <c r="B23794" t="s">
        <v>367</v>
      </c>
      <c r="C23794" t="s">
        <v>13259</v>
      </c>
      <c r="D23794" t="s">
        <v>66449</v>
      </c>
      <c r="E23794" t="b">
        <v>0</v>
      </c>
      <c r="F23794" t="s">
        <v>11624</v>
      </c>
      <c r="G23794">
        <v>-3.3618999999999999</v>
      </c>
      <c r="H23794">
        <v>129.315</v>
      </c>
      <c r="I23794" t="s">
        <v>66450</v>
      </c>
      <c r="L23794">
        <v>0</v>
      </c>
      <c r="M23794">
        <v>0</v>
      </c>
      <c r="N23794">
        <v>0</v>
      </c>
      <c r="O23794" t="s">
        <v>11768</v>
      </c>
    </row>
    <row r="23795" spans="1:15">
      <c r="A23795" t="s">
        <v>9629</v>
      </c>
      <c r="B23795" t="s">
        <v>11879</v>
      </c>
      <c r="C23795" t="s">
        <v>13115</v>
      </c>
      <c r="D23795" t="s">
        <v>66451</v>
      </c>
      <c r="E23795" t="b">
        <v>0</v>
      </c>
      <c r="F23795" t="s">
        <v>11624</v>
      </c>
      <c r="G23795">
        <v>17.2134</v>
      </c>
      <c r="H23795">
        <v>-96.218299999999999</v>
      </c>
      <c r="I23795" t="s">
        <v>9630</v>
      </c>
      <c r="L23795">
        <v>0</v>
      </c>
      <c r="M23795">
        <v>0</v>
      </c>
      <c r="N23795">
        <v>0</v>
      </c>
      <c r="O23795" t="s">
        <v>12238</v>
      </c>
    </row>
    <row r="23796" spans="1:15">
      <c r="A23796" t="s">
        <v>66452</v>
      </c>
      <c r="B23796" t="s">
        <v>367</v>
      </c>
      <c r="C23796" t="s">
        <v>15343</v>
      </c>
      <c r="D23796" t="s">
        <v>66453</v>
      </c>
      <c r="E23796" t="b">
        <v>0</v>
      </c>
      <c r="F23796" t="s">
        <v>11610</v>
      </c>
      <c r="L23796">
        <v>0</v>
      </c>
      <c r="M23796">
        <v>0</v>
      </c>
      <c r="N23796">
        <v>0</v>
      </c>
    </row>
    <row r="23797" spans="1:15">
      <c r="A23797" t="s">
        <v>66454</v>
      </c>
      <c r="D23797" t="s">
        <v>66455</v>
      </c>
      <c r="E23797" t="b">
        <v>0</v>
      </c>
      <c r="F23797" t="s">
        <v>11624</v>
      </c>
      <c r="G23797">
        <v>-3.7976200000000002</v>
      </c>
      <c r="H23797">
        <v>141.566</v>
      </c>
      <c r="I23797" t="s">
        <v>66456</v>
      </c>
      <c r="L23797">
        <v>0</v>
      </c>
      <c r="M23797">
        <v>0</v>
      </c>
      <c r="N23797">
        <v>0</v>
      </c>
      <c r="O23797" t="s">
        <v>11660</v>
      </c>
    </row>
    <row r="23798" spans="1:15">
      <c r="A23798" t="s">
        <v>66457</v>
      </c>
      <c r="B23798" t="s">
        <v>6742</v>
      </c>
      <c r="C23798" t="s">
        <v>5545</v>
      </c>
      <c r="D23798" t="s">
        <v>66458</v>
      </c>
      <c r="E23798" t="b">
        <v>0</v>
      </c>
      <c r="F23798" t="s">
        <v>11610</v>
      </c>
      <c r="L23798">
        <v>0</v>
      </c>
      <c r="M23798">
        <v>0</v>
      </c>
      <c r="N23798">
        <v>0</v>
      </c>
    </row>
    <row r="23799" spans="1:15">
      <c r="A23799" t="s">
        <v>66459</v>
      </c>
      <c r="B23799" t="s">
        <v>6742</v>
      </c>
      <c r="C23799" t="s">
        <v>19661</v>
      </c>
      <c r="D23799" t="s">
        <v>66460</v>
      </c>
      <c r="E23799" t="b">
        <v>0</v>
      </c>
      <c r="F23799" t="s">
        <v>11610</v>
      </c>
      <c r="L23799">
        <v>0</v>
      </c>
      <c r="M23799">
        <v>0</v>
      </c>
      <c r="N23799">
        <v>0</v>
      </c>
    </row>
    <row r="23800" spans="1:15">
      <c r="A23800" t="s">
        <v>66461</v>
      </c>
      <c r="B23800" t="s">
        <v>11879</v>
      </c>
      <c r="C23800" t="s">
        <v>59578</v>
      </c>
      <c r="D23800" t="s">
        <v>66462</v>
      </c>
      <c r="E23800" t="b">
        <v>0</v>
      </c>
      <c r="F23800" t="s">
        <v>11610</v>
      </c>
      <c r="L23800">
        <v>0</v>
      </c>
      <c r="M23800">
        <v>0</v>
      </c>
      <c r="N23800">
        <v>0</v>
      </c>
    </row>
    <row r="23801" spans="1:15">
      <c r="A23801" t="s">
        <v>13832</v>
      </c>
      <c r="B23801" t="s">
        <v>11615</v>
      </c>
      <c r="C23801" t="s">
        <v>46897</v>
      </c>
      <c r="D23801" t="s">
        <v>66463</v>
      </c>
      <c r="E23801" t="b">
        <v>0</v>
      </c>
      <c r="F23801" t="s">
        <v>11622</v>
      </c>
      <c r="L23801">
        <v>0</v>
      </c>
      <c r="M23801">
        <v>3</v>
      </c>
      <c r="N23801">
        <v>3</v>
      </c>
    </row>
    <row r="23802" spans="1:15">
      <c r="A23802" t="s">
        <v>27915</v>
      </c>
      <c r="B23802" t="s">
        <v>13276</v>
      </c>
      <c r="C23802" t="s">
        <v>59435</v>
      </c>
      <c r="D23802" t="s">
        <v>66464</v>
      </c>
      <c r="E23802" t="b">
        <v>0</v>
      </c>
      <c r="F23802" t="s">
        <v>11624</v>
      </c>
      <c r="G23802">
        <v>9.9718599999999995</v>
      </c>
      <c r="H23802">
        <v>-11.2836</v>
      </c>
      <c r="I23802" t="s">
        <v>66465</v>
      </c>
      <c r="L23802">
        <v>0</v>
      </c>
      <c r="M23802">
        <v>0</v>
      </c>
      <c r="N23802">
        <v>3</v>
      </c>
      <c r="O23802" t="s">
        <v>66466</v>
      </c>
    </row>
    <row r="23803" spans="1:15">
      <c r="A23803" t="s">
        <v>66467</v>
      </c>
      <c r="B23803" t="s">
        <v>367</v>
      </c>
      <c r="C23803" t="s">
        <v>15313</v>
      </c>
      <c r="D23803" t="s">
        <v>66468</v>
      </c>
      <c r="E23803" t="b">
        <v>0</v>
      </c>
      <c r="F23803" t="s">
        <v>11610</v>
      </c>
      <c r="L23803">
        <v>0</v>
      </c>
      <c r="M23803">
        <v>0</v>
      </c>
      <c r="N23803">
        <v>0</v>
      </c>
    </row>
    <row r="23804" spans="1:15">
      <c r="A23804" t="s">
        <v>66469</v>
      </c>
      <c r="B23804" t="s">
        <v>367</v>
      </c>
      <c r="C23804" t="s">
        <v>31477</v>
      </c>
      <c r="D23804" t="s">
        <v>66470</v>
      </c>
      <c r="E23804" t="b">
        <v>0</v>
      </c>
      <c r="F23804" t="s">
        <v>11624</v>
      </c>
      <c r="G23804">
        <v>-7.05687</v>
      </c>
      <c r="H23804">
        <v>146.81700000000001</v>
      </c>
      <c r="I23804" t="s">
        <v>66471</v>
      </c>
      <c r="L23804">
        <v>0</v>
      </c>
      <c r="M23804">
        <v>0</v>
      </c>
      <c r="N23804">
        <v>0</v>
      </c>
      <c r="O23804" t="s">
        <v>11660</v>
      </c>
    </row>
    <row r="23805" spans="1:15">
      <c r="A23805" t="s">
        <v>66472</v>
      </c>
      <c r="B23805" t="s">
        <v>4342</v>
      </c>
      <c r="C23805" t="s">
        <v>22911</v>
      </c>
      <c r="D23805" t="s">
        <v>66473</v>
      </c>
      <c r="E23805" t="b">
        <v>0</v>
      </c>
      <c r="F23805" t="s">
        <v>11610</v>
      </c>
      <c r="L23805">
        <v>0</v>
      </c>
      <c r="M23805">
        <v>0</v>
      </c>
      <c r="N23805">
        <v>0</v>
      </c>
    </row>
    <row r="23806" spans="1:15">
      <c r="A23806" t="s">
        <v>66474</v>
      </c>
      <c r="B23806" t="s">
        <v>4342</v>
      </c>
      <c r="C23806" t="s">
        <v>12598</v>
      </c>
      <c r="D23806" t="s">
        <v>66475</v>
      </c>
      <c r="E23806" t="b">
        <v>0</v>
      </c>
      <c r="F23806" t="s">
        <v>11610</v>
      </c>
      <c r="L23806">
        <v>0</v>
      </c>
      <c r="M23806">
        <v>0</v>
      </c>
      <c r="N23806">
        <v>0</v>
      </c>
    </row>
    <row r="23807" spans="1:15">
      <c r="A23807" t="s">
        <v>66476</v>
      </c>
      <c r="B23807" t="s">
        <v>4342</v>
      </c>
      <c r="C23807" t="s">
        <v>27259</v>
      </c>
      <c r="D23807" t="s">
        <v>66477</v>
      </c>
      <c r="E23807" t="b">
        <v>0</v>
      </c>
      <c r="F23807" t="s">
        <v>11610</v>
      </c>
      <c r="L23807">
        <v>0</v>
      </c>
      <c r="M23807">
        <v>0</v>
      </c>
      <c r="N23807">
        <v>0</v>
      </c>
    </row>
    <row r="23808" spans="1:15">
      <c r="A23808" t="s">
        <v>2547</v>
      </c>
      <c r="D23808" t="s">
        <v>66478</v>
      </c>
      <c r="E23808" t="b">
        <v>0</v>
      </c>
      <c r="F23808" t="s">
        <v>11624</v>
      </c>
      <c r="G23808">
        <v>-55.274799999999999</v>
      </c>
      <c r="H23808">
        <v>-68.264799999999994</v>
      </c>
      <c r="I23808" t="s">
        <v>2548</v>
      </c>
      <c r="L23808">
        <v>0</v>
      </c>
      <c r="M23808">
        <v>0</v>
      </c>
      <c r="N23808">
        <v>0</v>
      </c>
      <c r="O23808" t="s">
        <v>12895</v>
      </c>
    </row>
    <row r="23809" spans="1:15">
      <c r="A23809" t="s">
        <v>66479</v>
      </c>
      <c r="B23809" t="s">
        <v>12241</v>
      </c>
      <c r="C23809" t="s">
        <v>12241</v>
      </c>
      <c r="D23809" t="s">
        <v>66480</v>
      </c>
      <c r="E23809" t="b">
        <v>0</v>
      </c>
      <c r="F23809" t="s">
        <v>11624</v>
      </c>
      <c r="L23809">
        <v>0</v>
      </c>
      <c r="M23809">
        <v>0</v>
      </c>
      <c r="N23809">
        <v>0</v>
      </c>
      <c r="O23809" t="s">
        <v>11944</v>
      </c>
    </row>
    <row r="23810" spans="1:15">
      <c r="A23810" t="s">
        <v>38607</v>
      </c>
      <c r="B23810" t="s">
        <v>6742</v>
      </c>
      <c r="C23810" t="s">
        <v>25754</v>
      </c>
      <c r="D23810" t="s">
        <v>66481</v>
      </c>
      <c r="E23810" t="b">
        <v>0</v>
      </c>
      <c r="F23810" t="s">
        <v>11624</v>
      </c>
      <c r="G23810">
        <v>6.5355049999999997</v>
      </c>
      <c r="H23810">
        <v>11.077109999999999</v>
      </c>
      <c r="I23810" t="s">
        <v>66482</v>
      </c>
      <c r="L23810">
        <v>0</v>
      </c>
      <c r="M23810">
        <v>0</v>
      </c>
      <c r="N23810">
        <v>5</v>
      </c>
      <c r="O23810" t="s">
        <v>11802</v>
      </c>
    </row>
    <row r="23811" spans="1:15">
      <c r="A23811" t="s">
        <v>46959</v>
      </c>
      <c r="B23811" t="s">
        <v>6742</v>
      </c>
      <c r="C23811" t="s">
        <v>42506</v>
      </c>
      <c r="D23811" t="s">
        <v>66483</v>
      </c>
      <c r="E23811" t="b">
        <v>0</v>
      </c>
      <c r="F23811" t="s">
        <v>11624</v>
      </c>
      <c r="G23811">
        <v>4.8361499999999999</v>
      </c>
      <c r="H23811">
        <v>10.9369</v>
      </c>
      <c r="I23811" t="s">
        <v>66484</v>
      </c>
      <c r="L23811">
        <v>0</v>
      </c>
      <c r="M23811">
        <v>0</v>
      </c>
      <c r="N23811">
        <v>2</v>
      </c>
      <c r="O23811" t="s">
        <v>11703</v>
      </c>
    </row>
    <row r="23812" spans="1:15">
      <c r="A23812" t="s">
        <v>26258</v>
      </c>
      <c r="B23812" t="s">
        <v>11834</v>
      </c>
      <c r="C23812" t="s">
        <v>37132</v>
      </c>
      <c r="D23812" t="s">
        <v>66485</v>
      </c>
      <c r="E23812" t="b">
        <v>0</v>
      </c>
      <c r="F23812" t="s">
        <v>11624</v>
      </c>
      <c r="G23812">
        <v>-3.50624</v>
      </c>
      <c r="H23812">
        <v>142.76300000000001</v>
      </c>
      <c r="I23812" t="s">
        <v>66486</v>
      </c>
      <c r="L23812">
        <v>0</v>
      </c>
      <c r="M23812">
        <v>0</v>
      </c>
      <c r="N23812">
        <v>2</v>
      </c>
      <c r="O23812" t="s">
        <v>11660</v>
      </c>
    </row>
    <row r="23813" spans="1:15">
      <c r="A23813" t="s">
        <v>66487</v>
      </c>
      <c r="B23813" t="s">
        <v>6742</v>
      </c>
      <c r="C23813" t="s">
        <v>17779</v>
      </c>
      <c r="D23813" t="s">
        <v>66488</v>
      </c>
      <c r="E23813" t="b">
        <v>0</v>
      </c>
      <c r="F23813" t="s">
        <v>11624</v>
      </c>
      <c r="G23813">
        <v>2.5040849999999999</v>
      </c>
      <c r="H23813">
        <v>17.530517</v>
      </c>
      <c r="L23813">
        <v>0</v>
      </c>
      <c r="M23813">
        <v>0</v>
      </c>
      <c r="N23813">
        <v>0</v>
      </c>
      <c r="O23813" t="s">
        <v>12868</v>
      </c>
    </row>
    <row r="23814" spans="1:15">
      <c r="A23814" t="s">
        <v>15666</v>
      </c>
      <c r="B23814" t="s">
        <v>6742</v>
      </c>
      <c r="C23814" t="s">
        <v>43631</v>
      </c>
      <c r="D23814" t="s">
        <v>66489</v>
      </c>
      <c r="E23814" t="b">
        <v>0</v>
      </c>
      <c r="F23814" t="s">
        <v>11622</v>
      </c>
      <c r="L23814">
        <v>4</v>
      </c>
      <c r="M23814">
        <v>7</v>
      </c>
      <c r="N23814">
        <v>2</v>
      </c>
    </row>
    <row r="23815" spans="1:15">
      <c r="A23815" t="s">
        <v>48688</v>
      </c>
      <c r="B23815" t="s">
        <v>367</v>
      </c>
      <c r="C23815" t="s">
        <v>51336</v>
      </c>
      <c r="D23815" t="s">
        <v>66490</v>
      </c>
      <c r="E23815" t="b">
        <v>0</v>
      </c>
      <c r="F23815" t="s">
        <v>11624</v>
      </c>
      <c r="G23815">
        <v>-7.7372199999999998</v>
      </c>
      <c r="H23815">
        <v>131.44</v>
      </c>
      <c r="I23815" t="s">
        <v>66491</v>
      </c>
      <c r="L23815">
        <v>0</v>
      </c>
      <c r="M23815">
        <v>0</v>
      </c>
      <c r="N23815">
        <v>2</v>
      </c>
      <c r="O23815" t="s">
        <v>11768</v>
      </c>
    </row>
    <row r="23816" spans="1:15">
      <c r="A23816" t="s">
        <v>51336</v>
      </c>
      <c r="B23816" t="s">
        <v>367</v>
      </c>
      <c r="C23816" t="s">
        <v>35714</v>
      </c>
      <c r="D23816" t="s">
        <v>66492</v>
      </c>
      <c r="E23816" t="b">
        <v>0</v>
      </c>
      <c r="F23816" t="s">
        <v>11622</v>
      </c>
      <c r="L23816">
        <v>1</v>
      </c>
      <c r="M23816">
        <v>4</v>
      </c>
      <c r="N23816">
        <v>6</v>
      </c>
    </row>
    <row r="23817" spans="1:15">
      <c r="A23817" t="s">
        <v>66493</v>
      </c>
      <c r="B23817" t="s">
        <v>52632</v>
      </c>
      <c r="C23817" t="s">
        <v>52634</v>
      </c>
      <c r="D23817" t="s">
        <v>66494</v>
      </c>
      <c r="E23817" t="b">
        <v>0</v>
      </c>
      <c r="F23817" t="s">
        <v>11624</v>
      </c>
      <c r="G23817">
        <v>-4.1666600000000003</v>
      </c>
      <c r="H23817">
        <v>-73.666700000000006</v>
      </c>
      <c r="I23817" t="s">
        <v>66495</v>
      </c>
      <c r="L23817">
        <v>0</v>
      </c>
      <c r="M23817">
        <v>0</v>
      </c>
      <c r="N23817">
        <v>0</v>
      </c>
      <c r="O23817" t="s">
        <v>11778</v>
      </c>
    </row>
    <row r="23818" spans="1:15">
      <c r="A23818" t="s">
        <v>4436</v>
      </c>
      <c r="B23818" t="s">
        <v>367</v>
      </c>
      <c r="C23818" t="s">
        <v>32912</v>
      </c>
      <c r="D23818" t="s">
        <v>4435</v>
      </c>
      <c r="E23818" t="b">
        <v>0</v>
      </c>
      <c r="F23818" t="s">
        <v>11624</v>
      </c>
      <c r="G23818">
        <v>22.055</v>
      </c>
      <c r="H23818">
        <v>121.544</v>
      </c>
      <c r="I23818" t="s">
        <v>4437</v>
      </c>
      <c r="L23818">
        <v>0</v>
      </c>
      <c r="M23818">
        <v>0</v>
      </c>
      <c r="N23818">
        <v>0</v>
      </c>
      <c r="O23818" t="s">
        <v>13484</v>
      </c>
    </row>
    <row r="23819" spans="1:15">
      <c r="A23819" t="s">
        <v>56776</v>
      </c>
      <c r="B23819" t="s">
        <v>13244</v>
      </c>
      <c r="C23819" t="s">
        <v>13245</v>
      </c>
      <c r="D23819" t="s">
        <v>66496</v>
      </c>
      <c r="E23819" t="b">
        <v>0</v>
      </c>
      <c r="F23819" t="s">
        <v>11622</v>
      </c>
      <c r="L23819">
        <v>0</v>
      </c>
      <c r="M23819">
        <v>5</v>
      </c>
      <c r="N23819">
        <v>5</v>
      </c>
    </row>
    <row r="23820" spans="1:15">
      <c r="A23820" t="s">
        <v>22761</v>
      </c>
      <c r="B23820" t="s">
        <v>13244</v>
      </c>
      <c r="C23820" t="s">
        <v>56776</v>
      </c>
      <c r="D23820" t="s">
        <v>66497</v>
      </c>
      <c r="E23820" t="b">
        <v>0</v>
      </c>
      <c r="F23820" t="s">
        <v>11624</v>
      </c>
      <c r="G23820">
        <v>-9.8846000000000007</v>
      </c>
      <c r="H23820">
        <v>-71.596400000000003</v>
      </c>
      <c r="I23820" t="s">
        <v>66498</v>
      </c>
      <c r="L23820">
        <v>0</v>
      </c>
      <c r="M23820">
        <v>0</v>
      </c>
      <c r="N23820">
        <v>2</v>
      </c>
      <c r="O23820" t="s">
        <v>66499</v>
      </c>
    </row>
    <row r="23821" spans="1:15">
      <c r="A23821" t="s">
        <v>32912</v>
      </c>
      <c r="B23821" t="s">
        <v>367</v>
      </c>
      <c r="C23821" t="s">
        <v>17385</v>
      </c>
      <c r="D23821" t="s">
        <v>66500</v>
      </c>
      <c r="E23821" t="b">
        <v>0</v>
      </c>
      <c r="F23821" t="s">
        <v>11622</v>
      </c>
      <c r="L23821">
        <v>0</v>
      </c>
      <c r="M23821">
        <v>2</v>
      </c>
      <c r="N23821">
        <v>0</v>
      </c>
    </row>
    <row r="23822" spans="1:15">
      <c r="A23822" t="s">
        <v>66501</v>
      </c>
      <c r="B23822" t="s">
        <v>367</v>
      </c>
      <c r="C23822" t="s">
        <v>14049</v>
      </c>
      <c r="D23822" t="s">
        <v>66502</v>
      </c>
      <c r="E23822" t="b">
        <v>0</v>
      </c>
      <c r="F23822" t="s">
        <v>11624</v>
      </c>
      <c r="G23822">
        <v>-2.09118</v>
      </c>
      <c r="H23822">
        <v>139.20599999999999</v>
      </c>
      <c r="I23822" t="s">
        <v>66503</v>
      </c>
      <c r="L23822">
        <v>0</v>
      </c>
      <c r="M23822">
        <v>0</v>
      </c>
      <c r="N23822">
        <v>0</v>
      </c>
      <c r="O23822" t="s">
        <v>11768</v>
      </c>
    </row>
    <row r="23823" spans="1:15">
      <c r="A23823" t="s">
        <v>66504</v>
      </c>
      <c r="B23823" t="s">
        <v>11627</v>
      </c>
      <c r="C23823" t="s">
        <v>11627</v>
      </c>
      <c r="D23823" t="s">
        <v>66505</v>
      </c>
      <c r="E23823" t="b">
        <v>1</v>
      </c>
      <c r="F23823" t="s">
        <v>11624</v>
      </c>
      <c r="G23823">
        <v>-0.24248</v>
      </c>
      <c r="H23823">
        <v>22.307300000000001</v>
      </c>
      <c r="I23823" t="s">
        <v>66506</v>
      </c>
      <c r="L23823">
        <v>0</v>
      </c>
      <c r="M23823">
        <v>0</v>
      </c>
      <c r="N23823">
        <v>0</v>
      </c>
      <c r="O23823" t="s">
        <v>14825</v>
      </c>
    </row>
    <row r="23824" spans="1:15">
      <c r="A23824" t="s">
        <v>66507</v>
      </c>
      <c r="B23824" t="s">
        <v>11729</v>
      </c>
      <c r="C23824" t="s">
        <v>7769</v>
      </c>
      <c r="D23824" t="s">
        <v>66508</v>
      </c>
      <c r="E23824" t="b">
        <v>0</v>
      </c>
      <c r="F23824" t="s">
        <v>11610</v>
      </c>
      <c r="L23824">
        <v>0</v>
      </c>
      <c r="M23824">
        <v>0</v>
      </c>
      <c r="N23824">
        <v>0</v>
      </c>
    </row>
    <row r="23825" spans="1:15">
      <c r="A23825" t="s">
        <v>66509</v>
      </c>
      <c r="B23825" t="s">
        <v>11615</v>
      </c>
      <c r="C23825" t="s">
        <v>12938</v>
      </c>
      <c r="D23825" t="s">
        <v>66510</v>
      </c>
      <c r="E23825" t="b">
        <v>0</v>
      </c>
      <c r="F23825" t="s">
        <v>11610</v>
      </c>
      <c r="L23825">
        <v>0</v>
      </c>
      <c r="M23825">
        <v>0</v>
      </c>
      <c r="N23825">
        <v>0</v>
      </c>
    </row>
    <row r="23826" spans="1:15">
      <c r="A23826" t="s">
        <v>66511</v>
      </c>
      <c r="B23826" t="s">
        <v>11644</v>
      </c>
      <c r="C23826" t="s">
        <v>58174</v>
      </c>
      <c r="D23826" t="s">
        <v>66512</v>
      </c>
      <c r="E23826" t="b">
        <v>0</v>
      </c>
      <c r="F23826" t="s">
        <v>11624</v>
      </c>
      <c r="G23826">
        <v>27.632200000000001</v>
      </c>
      <c r="H23826">
        <v>87.0441</v>
      </c>
      <c r="I23826" t="s">
        <v>66513</v>
      </c>
      <c r="L23826">
        <v>0</v>
      </c>
      <c r="M23826">
        <v>0</v>
      </c>
      <c r="N23826">
        <v>0</v>
      </c>
      <c r="O23826" t="s">
        <v>15007</v>
      </c>
    </row>
    <row r="23827" spans="1:15">
      <c r="A23827" t="s">
        <v>66514</v>
      </c>
      <c r="B23827" t="s">
        <v>11627</v>
      </c>
      <c r="C23827" t="s">
        <v>11627</v>
      </c>
      <c r="D23827" t="s">
        <v>66515</v>
      </c>
      <c r="E23827" t="b">
        <v>1</v>
      </c>
      <c r="F23827" t="s">
        <v>11624</v>
      </c>
      <c r="G23827">
        <v>27.6069</v>
      </c>
      <c r="H23827">
        <v>87.130899999999997</v>
      </c>
      <c r="I23827" t="s">
        <v>66516</v>
      </c>
      <c r="L23827">
        <v>0</v>
      </c>
      <c r="M23827">
        <v>0</v>
      </c>
      <c r="N23827">
        <v>0</v>
      </c>
      <c r="O23827" t="s">
        <v>15007</v>
      </c>
    </row>
    <row r="23828" spans="1:15">
      <c r="A23828" t="s">
        <v>58174</v>
      </c>
      <c r="B23828" t="s">
        <v>11644</v>
      </c>
      <c r="C23828" t="s">
        <v>40481</v>
      </c>
      <c r="D23828" t="s">
        <v>66517</v>
      </c>
      <c r="E23828" t="b">
        <v>0</v>
      </c>
      <c r="F23828" t="s">
        <v>11622</v>
      </c>
      <c r="L23828">
        <v>0</v>
      </c>
      <c r="M23828">
        <v>2</v>
      </c>
      <c r="N23828">
        <v>3</v>
      </c>
    </row>
    <row r="23829" spans="1:15">
      <c r="A23829" t="s">
        <v>66518</v>
      </c>
      <c r="B23829" t="s">
        <v>11615</v>
      </c>
      <c r="C23829" t="s">
        <v>34644</v>
      </c>
      <c r="D23829" t="s">
        <v>66519</v>
      </c>
      <c r="E23829" t="b">
        <v>0</v>
      </c>
      <c r="F23829" t="s">
        <v>11610</v>
      </c>
      <c r="L23829">
        <v>0</v>
      </c>
      <c r="M23829">
        <v>0</v>
      </c>
      <c r="N23829">
        <v>0</v>
      </c>
    </row>
    <row r="23830" spans="1:15">
      <c r="A23830" t="s">
        <v>66520</v>
      </c>
      <c r="B23830" t="s">
        <v>13360</v>
      </c>
      <c r="C23830" t="s">
        <v>13360</v>
      </c>
      <c r="D23830" t="s">
        <v>66521</v>
      </c>
      <c r="E23830" t="b">
        <v>0</v>
      </c>
      <c r="F23830" t="s">
        <v>11624</v>
      </c>
      <c r="L23830">
        <v>0</v>
      </c>
      <c r="M23830">
        <v>0</v>
      </c>
      <c r="N23830">
        <v>0</v>
      </c>
      <c r="O23830" t="s">
        <v>11898</v>
      </c>
    </row>
    <row r="23831" spans="1:15">
      <c r="A23831" t="s">
        <v>66522</v>
      </c>
      <c r="B23831" t="s">
        <v>11844</v>
      </c>
      <c r="C23831" t="s">
        <v>2278</v>
      </c>
      <c r="D23831" t="s">
        <v>66523</v>
      </c>
      <c r="E23831" t="b">
        <v>0</v>
      </c>
      <c r="F23831" t="s">
        <v>11610</v>
      </c>
      <c r="L23831">
        <v>0</v>
      </c>
      <c r="M23831">
        <v>0</v>
      </c>
      <c r="N23831">
        <v>0</v>
      </c>
    </row>
    <row r="23832" spans="1:15">
      <c r="A23832" t="s">
        <v>66524</v>
      </c>
      <c r="B23832" t="s">
        <v>367</v>
      </c>
      <c r="C23832" t="s">
        <v>32929</v>
      </c>
      <c r="D23832" t="s">
        <v>66525</v>
      </c>
      <c r="E23832" t="b">
        <v>0</v>
      </c>
      <c r="F23832" t="s">
        <v>11610</v>
      </c>
      <c r="L23832">
        <v>0</v>
      </c>
      <c r="M23832">
        <v>0</v>
      </c>
      <c r="N23832">
        <v>0</v>
      </c>
    </row>
    <row r="23833" spans="1:15">
      <c r="A23833" t="s">
        <v>66526</v>
      </c>
      <c r="B23833" t="s">
        <v>4342</v>
      </c>
      <c r="C23833" t="s">
        <v>22540</v>
      </c>
      <c r="D23833" t="s">
        <v>66527</v>
      </c>
      <c r="E23833" t="b">
        <v>0</v>
      </c>
      <c r="F23833" t="s">
        <v>11610</v>
      </c>
      <c r="L23833">
        <v>0</v>
      </c>
      <c r="M23833">
        <v>0</v>
      </c>
      <c r="N23833">
        <v>0</v>
      </c>
    </row>
    <row r="23834" spans="1:15">
      <c r="A23834" t="s">
        <v>66528</v>
      </c>
      <c r="B23834" t="s">
        <v>6742</v>
      </c>
      <c r="C23834" t="s">
        <v>45418</v>
      </c>
      <c r="D23834" t="s">
        <v>66529</v>
      </c>
      <c r="E23834" t="b">
        <v>0</v>
      </c>
      <c r="F23834" t="s">
        <v>11610</v>
      </c>
      <c r="L23834">
        <v>0</v>
      </c>
      <c r="M23834">
        <v>0</v>
      </c>
      <c r="N23834">
        <v>0</v>
      </c>
    </row>
    <row r="23835" spans="1:15">
      <c r="A23835" t="s">
        <v>21714</v>
      </c>
      <c r="D23835" t="s">
        <v>66530</v>
      </c>
      <c r="E23835" t="b">
        <v>0</v>
      </c>
      <c r="F23835" t="s">
        <v>11624</v>
      </c>
      <c r="G23835">
        <v>39.276899999999998</v>
      </c>
      <c r="H23835">
        <v>-121.608</v>
      </c>
      <c r="I23835" t="s">
        <v>66531</v>
      </c>
      <c r="L23835">
        <v>0</v>
      </c>
      <c r="M23835">
        <v>0</v>
      </c>
      <c r="N23835">
        <v>4</v>
      </c>
      <c r="O23835" t="s">
        <v>11944</v>
      </c>
    </row>
    <row r="23836" spans="1:15">
      <c r="A23836" t="s">
        <v>66532</v>
      </c>
      <c r="B23836" t="s">
        <v>141</v>
      </c>
      <c r="C23836" t="s">
        <v>13390</v>
      </c>
      <c r="D23836" t="s">
        <v>66533</v>
      </c>
      <c r="E23836" t="b">
        <v>0</v>
      </c>
      <c r="F23836" t="s">
        <v>11624</v>
      </c>
      <c r="G23836">
        <v>-10.492900000000001</v>
      </c>
      <c r="H23836">
        <v>-76.531400000000005</v>
      </c>
      <c r="I23836" t="s">
        <v>66534</v>
      </c>
      <c r="L23836">
        <v>0</v>
      </c>
      <c r="M23836">
        <v>0</v>
      </c>
      <c r="N23836">
        <v>0</v>
      </c>
      <c r="O23836" t="s">
        <v>11778</v>
      </c>
    </row>
    <row r="23837" spans="1:15">
      <c r="A23837" t="s">
        <v>66535</v>
      </c>
      <c r="B23837" t="s">
        <v>23217</v>
      </c>
      <c r="C23837" t="s">
        <v>33285</v>
      </c>
      <c r="D23837" t="s">
        <v>66536</v>
      </c>
      <c r="E23837" t="b">
        <v>0</v>
      </c>
      <c r="F23837" t="s">
        <v>11610</v>
      </c>
      <c r="L23837">
        <v>0</v>
      </c>
      <c r="M23837">
        <v>0</v>
      </c>
      <c r="N23837">
        <v>0</v>
      </c>
    </row>
    <row r="23838" spans="1:15">
      <c r="A23838" t="s">
        <v>66537</v>
      </c>
      <c r="B23838" t="s">
        <v>10597</v>
      </c>
      <c r="C23838" t="s">
        <v>30307</v>
      </c>
      <c r="D23838" t="s">
        <v>66538</v>
      </c>
      <c r="E23838" t="b">
        <v>0</v>
      </c>
      <c r="F23838" t="s">
        <v>11624</v>
      </c>
      <c r="G23838">
        <v>-21.232705079999999</v>
      </c>
      <c r="H23838">
        <v>140.51347559999999</v>
      </c>
      <c r="I23838" t="s">
        <v>66539</v>
      </c>
      <c r="L23838">
        <v>0</v>
      </c>
      <c r="M23838">
        <v>0</v>
      </c>
      <c r="N23838">
        <v>0</v>
      </c>
      <c r="O23838" t="s">
        <v>12107</v>
      </c>
    </row>
    <row r="23839" spans="1:15">
      <c r="A23839" t="s">
        <v>66540</v>
      </c>
      <c r="B23839" t="s">
        <v>10597</v>
      </c>
      <c r="C23839" t="s">
        <v>53192</v>
      </c>
      <c r="D23839" t="s">
        <v>66541</v>
      </c>
      <c r="E23839" t="b">
        <v>0</v>
      </c>
      <c r="F23839" t="s">
        <v>11622</v>
      </c>
      <c r="L23839">
        <v>0</v>
      </c>
      <c r="M23839">
        <v>2</v>
      </c>
      <c r="N23839">
        <v>1</v>
      </c>
    </row>
    <row r="23840" spans="1:15">
      <c r="A23840" t="s">
        <v>47648</v>
      </c>
      <c r="B23840" t="s">
        <v>10597</v>
      </c>
      <c r="C23840" t="s">
        <v>66540</v>
      </c>
      <c r="D23840" t="s">
        <v>66542</v>
      </c>
      <c r="E23840" t="b">
        <v>0</v>
      </c>
      <c r="F23840" t="s">
        <v>11624</v>
      </c>
      <c r="G23840">
        <v>-28.474399999999999</v>
      </c>
      <c r="H23840">
        <v>140.583</v>
      </c>
      <c r="I23840" t="s">
        <v>66543</v>
      </c>
      <c r="L23840">
        <v>0</v>
      </c>
      <c r="M23840">
        <v>0</v>
      </c>
      <c r="N23840">
        <v>1</v>
      </c>
      <c r="O23840" t="s">
        <v>12107</v>
      </c>
    </row>
    <row r="23841" spans="1:15">
      <c r="A23841" t="s">
        <v>19431</v>
      </c>
      <c r="B23841" t="s">
        <v>1342</v>
      </c>
      <c r="C23841" t="s">
        <v>25123</v>
      </c>
      <c r="D23841" t="s">
        <v>66544</v>
      </c>
      <c r="E23841" t="b">
        <v>0</v>
      </c>
      <c r="F23841" t="s">
        <v>11622</v>
      </c>
      <c r="L23841">
        <v>1</v>
      </c>
      <c r="M23841">
        <v>4</v>
      </c>
      <c r="N23841">
        <v>3</v>
      </c>
    </row>
    <row r="23842" spans="1:15">
      <c r="A23842" t="s">
        <v>13628</v>
      </c>
      <c r="B23842" t="s">
        <v>1342</v>
      </c>
      <c r="C23842" t="s">
        <v>19431</v>
      </c>
      <c r="D23842" t="s">
        <v>66545</v>
      </c>
      <c r="E23842" t="b">
        <v>0</v>
      </c>
      <c r="F23842" t="s">
        <v>11622</v>
      </c>
      <c r="L23842">
        <v>0</v>
      </c>
      <c r="M23842">
        <v>2</v>
      </c>
      <c r="N23842">
        <v>0</v>
      </c>
    </row>
    <row r="23843" spans="1:15">
      <c r="A23843" t="s">
        <v>66546</v>
      </c>
      <c r="B23843" t="s">
        <v>1342</v>
      </c>
      <c r="C23843" t="s">
        <v>13628</v>
      </c>
      <c r="D23843" t="s">
        <v>66547</v>
      </c>
      <c r="E23843" t="b">
        <v>0</v>
      </c>
      <c r="F23843" t="s">
        <v>11624</v>
      </c>
      <c r="G23843">
        <v>14.63</v>
      </c>
      <c r="H23843">
        <v>-3.15</v>
      </c>
      <c r="I23843" t="s">
        <v>66548</v>
      </c>
      <c r="L23843">
        <v>0</v>
      </c>
      <c r="M23843">
        <v>0</v>
      </c>
      <c r="N23843">
        <v>0</v>
      </c>
      <c r="O23843" t="s">
        <v>13528</v>
      </c>
    </row>
    <row r="23844" spans="1:15">
      <c r="A23844" t="s">
        <v>66549</v>
      </c>
      <c r="B23844" t="s">
        <v>11615</v>
      </c>
      <c r="C23844" t="s">
        <v>12938</v>
      </c>
      <c r="D23844" t="s">
        <v>66550</v>
      </c>
      <c r="E23844" t="b">
        <v>0</v>
      </c>
      <c r="F23844" t="s">
        <v>11610</v>
      </c>
      <c r="L23844">
        <v>0</v>
      </c>
      <c r="M23844">
        <v>0</v>
      </c>
      <c r="N23844">
        <v>0</v>
      </c>
    </row>
    <row r="23845" spans="1:15">
      <c r="A23845" t="s">
        <v>66551</v>
      </c>
      <c r="B23845" t="s">
        <v>11615</v>
      </c>
      <c r="C23845" t="s">
        <v>27216</v>
      </c>
      <c r="D23845" t="s">
        <v>66552</v>
      </c>
      <c r="E23845" t="b">
        <v>0</v>
      </c>
      <c r="F23845" t="s">
        <v>11610</v>
      </c>
      <c r="L23845">
        <v>0</v>
      </c>
      <c r="M23845">
        <v>0</v>
      </c>
      <c r="N23845">
        <v>0</v>
      </c>
    </row>
    <row r="23846" spans="1:15">
      <c r="A23846" t="s">
        <v>16308</v>
      </c>
      <c r="B23846" t="s">
        <v>6742</v>
      </c>
      <c r="C23846" t="s">
        <v>37955</v>
      </c>
      <c r="D23846" t="s">
        <v>66553</v>
      </c>
      <c r="E23846" t="b">
        <v>0</v>
      </c>
      <c r="F23846" t="s">
        <v>11622</v>
      </c>
      <c r="L23846">
        <v>3</v>
      </c>
      <c r="M23846">
        <v>6</v>
      </c>
      <c r="N23846">
        <v>3</v>
      </c>
    </row>
    <row r="23847" spans="1:15">
      <c r="A23847" t="s">
        <v>66554</v>
      </c>
      <c r="B23847" t="s">
        <v>11894</v>
      </c>
      <c r="C23847" t="s">
        <v>22216</v>
      </c>
      <c r="D23847" t="s">
        <v>66555</v>
      </c>
      <c r="E23847" t="b">
        <v>0</v>
      </c>
      <c r="F23847" t="s">
        <v>11624</v>
      </c>
      <c r="G23847">
        <v>-10.545400000000001</v>
      </c>
      <c r="H23847">
        <v>-75.314999999999998</v>
      </c>
      <c r="I23847" t="s">
        <v>66556</v>
      </c>
      <c r="L23847">
        <v>0</v>
      </c>
      <c r="M23847">
        <v>0</v>
      </c>
      <c r="N23847">
        <v>0</v>
      </c>
      <c r="O23847" t="s">
        <v>11778</v>
      </c>
    </row>
    <row r="23848" spans="1:15">
      <c r="A23848" t="s">
        <v>66557</v>
      </c>
      <c r="B23848" t="s">
        <v>5126</v>
      </c>
      <c r="C23848" t="s">
        <v>24324</v>
      </c>
      <c r="D23848" t="s">
        <v>66558</v>
      </c>
      <c r="E23848" t="b">
        <v>0</v>
      </c>
      <c r="F23848" t="s">
        <v>11624</v>
      </c>
      <c r="G23848">
        <v>23.091864000000001</v>
      </c>
      <c r="H23848">
        <v>106.39318799999999</v>
      </c>
      <c r="I23848" t="s">
        <v>66559</v>
      </c>
      <c r="L23848">
        <v>0</v>
      </c>
      <c r="M23848">
        <v>0</v>
      </c>
      <c r="N23848">
        <v>0</v>
      </c>
      <c r="O23848" t="s">
        <v>19781</v>
      </c>
    </row>
    <row r="23849" spans="1:15">
      <c r="A23849" t="s">
        <v>23837</v>
      </c>
      <c r="D23849" t="s">
        <v>66560</v>
      </c>
      <c r="E23849" t="b">
        <v>0</v>
      </c>
      <c r="F23849" t="s">
        <v>11622</v>
      </c>
      <c r="L23849">
        <v>0</v>
      </c>
      <c r="M23849">
        <v>3</v>
      </c>
      <c r="N23849">
        <v>0</v>
      </c>
    </row>
    <row r="23850" spans="1:15">
      <c r="A23850" t="s">
        <v>66561</v>
      </c>
      <c r="B23850" t="s">
        <v>23837</v>
      </c>
      <c r="C23850" t="s">
        <v>23837</v>
      </c>
      <c r="D23850" t="s">
        <v>66562</v>
      </c>
      <c r="E23850" t="b">
        <v>0</v>
      </c>
      <c r="F23850" t="s">
        <v>11624</v>
      </c>
      <c r="G23850">
        <v>-14.4964</v>
      </c>
      <c r="H23850">
        <v>132.52000000000001</v>
      </c>
      <c r="I23850" t="s">
        <v>66563</v>
      </c>
      <c r="L23850">
        <v>0</v>
      </c>
      <c r="M23850">
        <v>0</v>
      </c>
      <c r="N23850">
        <v>0</v>
      </c>
      <c r="O23850" t="s">
        <v>12107</v>
      </c>
    </row>
    <row r="23851" spans="1:15">
      <c r="A23851" t="s">
        <v>66564</v>
      </c>
      <c r="B23851" t="s">
        <v>6742</v>
      </c>
      <c r="C23851" t="s">
        <v>37713</v>
      </c>
      <c r="D23851" t="s">
        <v>66565</v>
      </c>
      <c r="E23851" t="b">
        <v>0</v>
      </c>
      <c r="F23851" t="s">
        <v>11624</v>
      </c>
      <c r="G23851">
        <v>2.8152300000000001</v>
      </c>
      <c r="H23851">
        <v>19.0108</v>
      </c>
      <c r="I23851" t="s">
        <v>66566</v>
      </c>
      <c r="L23851">
        <v>0</v>
      </c>
      <c r="M23851">
        <v>0</v>
      </c>
      <c r="N23851">
        <v>0</v>
      </c>
      <c r="O23851" t="s">
        <v>14825</v>
      </c>
    </row>
    <row r="23852" spans="1:15">
      <c r="A23852" t="s">
        <v>66567</v>
      </c>
      <c r="B23852" t="s">
        <v>6742</v>
      </c>
      <c r="C23852" t="s">
        <v>60392</v>
      </c>
      <c r="D23852" t="s">
        <v>66568</v>
      </c>
      <c r="E23852" t="b">
        <v>0</v>
      </c>
      <c r="F23852" t="s">
        <v>11624</v>
      </c>
      <c r="G23852">
        <v>9.44956</v>
      </c>
      <c r="H23852">
        <v>10.2881</v>
      </c>
      <c r="I23852" t="s">
        <v>66569</v>
      </c>
      <c r="L23852">
        <v>0</v>
      </c>
      <c r="M23852">
        <v>0</v>
      </c>
      <c r="N23852">
        <v>0</v>
      </c>
      <c r="O23852" t="s">
        <v>11693</v>
      </c>
    </row>
    <row r="23853" spans="1:15">
      <c r="A23853" t="s">
        <v>66570</v>
      </c>
      <c r="B23853" t="s">
        <v>6742</v>
      </c>
      <c r="C23853" t="s">
        <v>19737</v>
      </c>
      <c r="D23853" t="s">
        <v>66571</v>
      </c>
      <c r="E23853" t="b">
        <v>0</v>
      </c>
      <c r="F23853" t="s">
        <v>11610</v>
      </c>
      <c r="L23853">
        <v>0</v>
      </c>
      <c r="M23853">
        <v>0</v>
      </c>
      <c r="N23853">
        <v>0</v>
      </c>
    </row>
    <row r="23854" spans="1:15">
      <c r="A23854" t="s">
        <v>66572</v>
      </c>
      <c r="B23854" t="s">
        <v>11627</v>
      </c>
      <c r="C23854" t="s">
        <v>11627</v>
      </c>
      <c r="D23854" t="s">
        <v>66573</v>
      </c>
      <c r="E23854" t="b">
        <v>1</v>
      </c>
      <c r="F23854" t="s">
        <v>11624</v>
      </c>
      <c r="G23854">
        <v>-1.92218</v>
      </c>
      <c r="H23854">
        <v>13.0213</v>
      </c>
      <c r="I23854" t="s">
        <v>66574</v>
      </c>
      <c r="L23854">
        <v>0</v>
      </c>
      <c r="M23854">
        <v>0</v>
      </c>
      <c r="N23854">
        <v>0</v>
      </c>
      <c r="O23854" t="s">
        <v>16915</v>
      </c>
    </row>
    <row r="23855" spans="1:15">
      <c r="A23855" t="s">
        <v>66575</v>
      </c>
      <c r="B23855" t="s">
        <v>6742</v>
      </c>
      <c r="C23855" t="s">
        <v>17428</v>
      </c>
      <c r="D23855" t="s">
        <v>66576</v>
      </c>
      <c r="E23855" t="b">
        <v>0</v>
      </c>
      <c r="F23855" t="s">
        <v>11624</v>
      </c>
      <c r="G23855">
        <v>4.4197100000000002</v>
      </c>
      <c r="H23855">
        <v>11.027699999999999</v>
      </c>
      <c r="I23855" t="s">
        <v>66577</v>
      </c>
      <c r="L23855">
        <v>0</v>
      </c>
      <c r="M23855">
        <v>0</v>
      </c>
      <c r="N23855">
        <v>0</v>
      </c>
      <c r="O23855" t="s">
        <v>11703</v>
      </c>
    </row>
    <row r="23856" spans="1:15">
      <c r="A23856" t="s">
        <v>13399</v>
      </c>
      <c r="B23856" t="s">
        <v>11834</v>
      </c>
      <c r="C23856" t="s">
        <v>19817</v>
      </c>
      <c r="D23856" t="s">
        <v>66578</v>
      </c>
      <c r="E23856" t="b">
        <v>0</v>
      </c>
      <c r="F23856" t="s">
        <v>11622</v>
      </c>
      <c r="L23856">
        <v>1</v>
      </c>
      <c r="M23856">
        <v>4</v>
      </c>
      <c r="N23856">
        <v>0</v>
      </c>
    </row>
    <row r="23857" spans="1:15">
      <c r="A23857" t="s">
        <v>66579</v>
      </c>
      <c r="B23857" t="s">
        <v>11834</v>
      </c>
      <c r="C23857" t="s">
        <v>66580</v>
      </c>
      <c r="D23857" t="s">
        <v>66581</v>
      </c>
      <c r="E23857" t="b">
        <v>0</v>
      </c>
      <c r="F23857" t="s">
        <v>11624</v>
      </c>
      <c r="G23857">
        <v>-3.53</v>
      </c>
      <c r="H23857">
        <v>142.44999999999999</v>
      </c>
      <c r="I23857" t="s">
        <v>66582</v>
      </c>
      <c r="L23857">
        <v>0</v>
      </c>
      <c r="M23857">
        <v>0</v>
      </c>
      <c r="N23857">
        <v>0</v>
      </c>
      <c r="O23857" t="s">
        <v>11660</v>
      </c>
    </row>
    <row r="23858" spans="1:15">
      <c r="A23858" t="s">
        <v>66583</v>
      </c>
      <c r="B23858" t="s">
        <v>11834</v>
      </c>
      <c r="C23858" t="s">
        <v>66580</v>
      </c>
      <c r="D23858" t="s">
        <v>66584</v>
      </c>
      <c r="E23858" t="b">
        <v>0</v>
      </c>
      <c r="F23858" t="s">
        <v>11624</v>
      </c>
      <c r="G23858">
        <v>-3.55</v>
      </c>
      <c r="H23858">
        <v>142.52699999999999</v>
      </c>
      <c r="I23858" t="s">
        <v>66585</v>
      </c>
      <c r="L23858">
        <v>0</v>
      </c>
      <c r="M23858">
        <v>0</v>
      </c>
      <c r="N23858">
        <v>0</v>
      </c>
      <c r="O23858" t="s">
        <v>11660</v>
      </c>
    </row>
    <row r="23859" spans="1:15">
      <c r="A23859" t="s">
        <v>66586</v>
      </c>
      <c r="B23859" t="s">
        <v>11834</v>
      </c>
      <c r="C23859" t="s">
        <v>66580</v>
      </c>
      <c r="D23859" t="s">
        <v>66587</v>
      </c>
      <c r="E23859" t="b">
        <v>0</v>
      </c>
      <c r="F23859" t="s">
        <v>11624</v>
      </c>
      <c r="G23859">
        <v>-3.5115599999999998</v>
      </c>
      <c r="H23859">
        <v>142.48151999999999</v>
      </c>
      <c r="I23859" t="s">
        <v>66588</v>
      </c>
      <c r="L23859">
        <v>0</v>
      </c>
      <c r="M23859">
        <v>0</v>
      </c>
      <c r="N23859">
        <v>0</v>
      </c>
      <c r="O23859" t="s">
        <v>11660</v>
      </c>
    </row>
    <row r="23860" spans="1:15">
      <c r="A23860" t="s">
        <v>66589</v>
      </c>
      <c r="B23860" t="s">
        <v>11615</v>
      </c>
      <c r="C23860" t="s">
        <v>25442</v>
      </c>
      <c r="D23860" t="s">
        <v>66590</v>
      </c>
      <c r="E23860" t="b">
        <v>0</v>
      </c>
      <c r="F23860" t="s">
        <v>11624</v>
      </c>
      <c r="G23860">
        <v>-5.5269700000000004</v>
      </c>
      <c r="H23860">
        <v>145.858</v>
      </c>
      <c r="I23860" t="s">
        <v>66591</v>
      </c>
      <c r="L23860">
        <v>0</v>
      </c>
      <c r="M23860">
        <v>0</v>
      </c>
      <c r="N23860">
        <v>0</v>
      </c>
      <c r="O23860" t="s">
        <v>11660</v>
      </c>
    </row>
    <row r="23861" spans="1:15">
      <c r="A23861" t="s">
        <v>66592</v>
      </c>
      <c r="B23861" t="s">
        <v>11615</v>
      </c>
      <c r="C23861" t="s">
        <v>19633</v>
      </c>
      <c r="D23861" t="s">
        <v>66593</v>
      </c>
      <c r="E23861" t="b">
        <v>0</v>
      </c>
      <c r="F23861" t="s">
        <v>11610</v>
      </c>
      <c r="L23861">
        <v>0</v>
      </c>
      <c r="M23861">
        <v>0</v>
      </c>
      <c r="N23861">
        <v>0</v>
      </c>
    </row>
    <row r="23862" spans="1:15">
      <c r="A23862" t="s">
        <v>66594</v>
      </c>
      <c r="B23862" t="s">
        <v>11834</v>
      </c>
      <c r="C23862" t="s">
        <v>38058</v>
      </c>
      <c r="D23862" t="s">
        <v>66595</v>
      </c>
      <c r="E23862" t="b">
        <v>0</v>
      </c>
      <c r="F23862" t="s">
        <v>11610</v>
      </c>
      <c r="L23862">
        <v>0</v>
      </c>
      <c r="M23862">
        <v>0</v>
      </c>
      <c r="N23862">
        <v>0</v>
      </c>
    </row>
    <row r="23863" spans="1:15">
      <c r="A23863" t="s">
        <v>66596</v>
      </c>
      <c r="B23863" t="s">
        <v>11627</v>
      </c>
      <c r="C23863" t="s">
        <v>11627</v>
      </c>
      <c r="D23863" t="s">
        <v>66597</v>
      </c>
      <c r="E23863" t="b">
        <v>1</v>
      </c>
      <c r="F23863" t="s">
        <v>11624</v>
      </c>
      <c r="G23863">
        <v>18.524000000000001</v>
      </c>
      <c r="H23863">
        <v>94.254300000000001</v>
      </c>
      <c r="I23863" t="s">
        <v>66598</v>
      </c>
      <c r="L23863">
        <v>0</v>
      </c>
      <c r="M23863">
        <v>0</v>
      </c>
      <c r="N23863">
        <v>0</v>
      </c>
      <c r="O23863" t="s">
        <v>14059</v>
      </c>
    </row>
    <row r="23864" spans="1:15">
      <c r="A23864" t="s">
        <v>60392</v>
      </c>
      <c r="B23864" t="s">
        <v>6742</v>
      </c>
      <c r="C23864" t="s">
        <v>38665</v>
      </c>
      <c r="D23864" t="s">
        <v>66599</v>
      </c>
      <c r="E23864" t="b">
        <v>0</v>
      </c>
      <c r="F23864" t="s">
        <v>11622</v>
      </c>
      <c r="L23864">
        <v>1</v>
      </c>
      <c r="M23864">
        <v>3</v>
      </c>
      <c r="N23864">
        <v>5</v>
      </c>
    </row>
    <row r="23865" spans="1:15">
      <c r="A23865" t="s">
        <v>66580</v>
      </c>
      <c r="B23865" t="s">
        <v>11834</v>
      </c>
      <c r="C23865" t="s">
        <v>13399</v>
      </c>
      <c r="D23865" t="s">
        <v>66600</v>
      </c>
      <c r="E23865" t="b">
        <v>0</v>
      </c>
      <c r="F23865" t="s">
        <v>11622</v>
      </c>
      <c r="L23865">
        <v>0</v>
      </c>
      <c r="M23865">
        <v>3</v>
      </c>
      <c r="N23865">
        <v>0</v>
      </c>
    </row>
    <row r="23866" spans="1:15">
      <c r="A23866" t="s">
        <v>66601</v>
      </c>
      <c r="B23866" t="s">
        <v>11644</v>
      </c>
      <c r="C23866" t="s">
        <v>26934</v>
      </c>
      <c r="D23866" t="s">
        <v>66602</v>
      </c>
      <c r="E23866" t="b">
        <v>0</v>
      </c>
      <c r="F23866" t="s">
        <v>11624</v>
      </c>
      <c r="G23866">
        <v>25.224820000000001</v>
      </c>
      <c r="H23866">
        <v>99.046325999999993</v>
      </c>
      <c r="L23866">
        <v>0</v>
      </c>
      <c r="M23866">
        <v>0</v>
      </c>
      <c r="N23866">
        <v>0</v>
      </c>
      <c r="O23866" t="s">
        <v>11905</v>
      </c>
    </row>
    <row r="23867" spans="1:15">
      <c r="A23867" t="s">
        <v>66603</v>
      </c>
      <c r="B23867" t="s">
        <v>10597</v>
      </c>
      <c r="C23867" t="s">
        <v>13899</v>
      </c>
      <c r="D23867" t="s">
        <v>66604</v>
      </c>
      <c r="E23867" t="b">
        <v>0</v>
      </c>
      <c r="F23867" t="s">
        <v>11624</v>
      </c>
      <c r="G23867">
        <v>-12.032</v>
      </c>
      <c r="H23867">
        <v>141.846</v>
      </c>
      <c r="L23867">
        <v>0</v>
      </c>
      <c r="M23867">
        <v>0</v>
      </c>
      <c r="N23867">
        <v>0</v>
      </c>
      <c r="O23867" t="s">
        <v>12107</v>
      </c>
    </row>
    <row r="23868" spans="1:15">
      <c r="A23868" t="s">
        <v>66605</v>
      </c>
      <c r="B23868" t="s">
        <v>11644</v>
      </c>
      <c r="C23868" t="s">
        <v>6112</v>
      </c>
      <c r="D23868" t="s">
        <v>66606</v>
      </c>
      <c r="E23868" t="b">
        <v>0</v>
      </c>
      <c r="F23868" t="s">
        <v>11610</v>
      </c>
      <c r="G23868">
        <v>32.417144899999997</v>
      </c>
      <c r="H23868">
        <v>119.209227</v>
      </c>
      <c r="L23868">
        <v>0</v>
      </c>
      <c r="M23868">
        <v>0</v>
      </c>
      <c r="N23868">
        <v>0</v>
      </c>
    </row>
    <row r="23869" spans="1:15">
      <c r="A23869" t="s">
        <v>66607</v>
      </c>
      <c r="B23869" t="s">
        <v>11644</v>
      </c>
      <c r="C23869" t="s">
        <v>28592</v>
      </c>
      <c r="D23869" t="s">
        <v>66608</v>
      </c>
      <c r="E23869" t="b">
        <v>0</v>
      </c>
      <c r="F23869" t="s">
        <v>11610</v>
      </c>
      <c r="G23869">
        <v>21.789561200000001</v>
      </c>
      <c r="H23869">
        <v>111.966667</v>
      </c>
      <c r="L23869">
        <v>0</v>
      </c>
      <c r="M23869">
        <v>0</v>
      </c>
      <c r="N23869">
        <v>0</v>
      </c>
    </row>
    <row r="23870" spans="1:15">
      <c r="A23870" t="s">
        <v>66609</v>
      </c>
      <c r="B23870" t="s">
        <v>10597</v>
      </c>
      <c r="C23870" t="s">
        <v>43659</v>
      </c>
      <c r="D23870" t="s">
        <v>66610</v>
      </c>
      <c r="E23870" t="b">
        <v>0</v>
      </c>
      <c r="F23870" t="s">
        <v>11610</v>
      </c>
      <c r="L23870">
        <v>0</v>
      </c>
      <c r="M23870">
        <v>0</v>
      </c>
      <c r="N23870">
        <v>0</v>
      </c>
    </row>
    <row r="23871" spans="1:15">
      <c r="A23871" t="s">
        <v>66611</v>
      </c>
      <c r="B23871" t="s">
        <v>10597</v>
      </c>
      <c r="C23871" t="s">
        <v>47131</v>
      </c>
      <c r="D23871" t="s">
        <v>66612</v>
      </c>
      <c r="E23871" t="b">
        <v>0</v>
      </c>
      <c r="F23871" t="s">
        <v>11624</v>
      </c>
      <c r="G23871">
        <v>-26.406400000000001</v>
      </c>
      <c r="H23871">
        <v>133.577</v>
      </c>
      <c r="I23871" t="s">
        <v>66613</v>
      </c>
      <c r="L23871">
        <v>0</v>
      </c>
      <c r="M23871">
        <v>0</v>
      </c>
      <c r="N23871">
        <v>0</v>
      </c>
      <c r="O23871" t="s">
        <v>12107</v>
      </c>
    </row>
    <row r="23872" spans="1:15">
      <c r="A23872" t="s">
        <v>10029</v>
      </c>
      <c r="B23872" t="s">
        <v>10597</v>
      </c>
      <c r="C23872" t="s">
        <v>361</v>
      </c>
      <c r="D23872" t="s">
        <v>66614</v>
      </c>
      <c r="E23872" t="b">
        <v>0</v>
      </c>
      <c r="F23872" t="s">
        <v>11624</v>
      </c>
      <c r="G23872">
        <v>-12.0853</v>
      </c>
      <c r="H23872">
        <v>134.87700000000001</v>
      </c>
      <c r="I23872" t="s">
        <v>10031</v>
      </c>
      <c r="L23872">
        <v>0</v>
      </c>
      <c r="M23872">
        <v>0</v>
      </c>
      <c r="N23872">
        <v>2</v>
      </c>
      <c r="O23872" t="s">
        <v>12107</v>
      </c>
    </row>
    <row r="23873" spans="1:15">
      <c r="A23873" t="s">
        <v>6098</v>
      </c>
      <c r="B23873" t="s">
        <v>23217</v>
      </c>
      <c r="C23873" t="s">
        <v>66615</v>
      </c>
      <c r="D23873" t="s">
        <v>66616</v>
      </c>
      <c r="E23873" t="b">
        <v>0</v>
      </c>
      <c r="F23873" t="s">
        <v>11624</v>
      </c>
      <c r="G23873">
        <v>1.67967</v>
      </c>
      <c r="H23873">
        <v>-64.878100000000003</v>
      </c>
      <c r="I23873" t="s">
        <v>6099</v>
      </c>
      <c r="L23873">
        <v>0</v>
      </c>
      <c r="M23873">
        <v>0</v>
      </c>
      <c r="N23873">
        <v>2</v>
      </c>
      <c r="O23873" t="s">
        <v>14690</v>
      </c>
    </row>
    <row r="23874" spans="1:15">
      <c r="A23874" t="s">
        <v>33285</v>
      </c>
      <c r="B23874" t="s">
        <v>23217</v>
      </c>
      <c r="C23874" t="s">
        <v>66615</v>
      </c>
      <c r="D23874" t="s">
        <v>66617</v>
      </c>
      <c r="E23874" t="b">
        <v>0</v>
      </c>
      <c r="F23874" t="s">
        <v>11624</v>
      </c>
      <c r="G23874">
        <v>2.4899900000000001</v>
      </c>
      <c r="H23874">
        <v>-62.852200000000003</v>
      </c>
      <c r="I23874" t="s">
        <v>66618</v>
      </c>
      <c r="L23874">
        <v>0</v>
      </c>
      <c r="M23874">
        <v>0</v>
      </c>
      <c r="N23874">
        <v>5</v>
      </c>
      <c r="O23874" t="s">
        <v>14690</v>
      </c>
    </row>
    <row r="23875" spans="1:15">
      <c r="A23875" t="s">
        <v>66619</v>
      </c>
      <c r="B23875" t="s">
        <v>23217</v>
      </c>
      <c r="C23875" t="s">
        <v>33285</v>
      </c>
      <c r="D23875" t="s">
        <v>66620</v>
      </c>
      <c r="E23875" t="b">
        <v>0</v>
      </c>
      <c r="F23875" t="s">
        <v>11610</v>
      </c>
      <c r="L23875">
        <v>0</v>
      </c>
      <c r="M23875">
        <v>0</v>
      </c>
      <c r="N23875">
        <v>0</v>
      </c>
    </row>
    <row r="23876" spans="1:15">
      <c r="A23876" t="s">
        <v>66621</v>
      </c>
      <c r="B23876" t="s">
        <v>23217</v>
      </c>
      <c r="C23876" t="s">
        <v>33285</v>
      </c>
      <c r="D23876" t="s">
        <v>66622</v>
      </c>
      <c r="E23876" t="b">
        <v>0</v>
      </c>
      <c r="F23876" t="s">
        <v>11610</v>
      </c>
      <c r="L23876">
        <v>0</v>
      </c>
      <c r="M23876">
        <v>0</v>
      </c>
      <c r="N23876">
        <v>0</v>
      </c>
    </row>
    <row r="23877" spans="1:15">
      <c r="A23877" t="s">
        <v>66623</v>
      </c>
      <c r="B23877" t="s">
        <v>23217</v>
      </c>
      <c r="C23877" t="s">
        <v>23218</v>
      </c>
      <c r="D23877" t="s">
        <v>66624</v>
      </c>
      <c r="E23877" t="b">
        <v>0</v>
      </c>
      <c r="F23877" t="s">
        <v>11610</v>
      </c>
      <c r="L23877">
        <v>0</v>
      </c>
      <c r="M23877">
        <v>0</v>
      </c>
      <c r="N23877">
        <v>0</v>
      </c>
    </row>
    <row r="23878" spans="1:15">
      <c r="A23878" t="s">
        <v>66625</v>
      </c>
      <c r="B23878" t="s">
        <v>23217</v>
      </c>
      <c r="C23878" t="s">
        <v>47784</v>
      </c>
      <c r="D23878" t="s">
        <v>66626</v>
      </c>
      <c r="E23878" t="b">
        <v>0</v>
      </c>
      <c r="F23878" t="s">
        <v>11622</v>
      </c>
      <c r="L23878">
        <v>1</v>
      </c>
      <c r="M23878">
        <v>3</v>
      </c>
      <c r="N23878">
        <v>7</v>
      </c>
    </row>
    <row r="23879" spans="1:15">
      <c r="A23879" t="s">
        <v>66615</v>
      </c>
      <c r="B23879" t="s">
        <v>23217</v>
      </c>
      <c r="C23879" t="s">
        <v>66625</v>
      </c>
      <c r="D23879" t="s">
        <v>66627</v>
      </c>
      <c r="E23879" t="b">
        <v>0</v>
      </c>
      <c r="F23879" t="s">
        <v>11622</v>
      </c>
      <c r="L23879">
        <v>0</v>
      </c>
      <c r="M23879">
        <v>2</v>
      </c>
      <c r="N23879">
        <v>7</v>
      </c>
    </row>
    <row r="23880" spans="1:15">
      <c r="A23880" t="s">
        <v>23217</v>
      </c>
      <c r="D23880" t="s">
        <v>66628</v>
      </c>
      <c r="E23880" t="b">
        <v>0</v>
      </c>
      <c r="F23880" t="s">
        <v>11622</v>
      </c>
      <c r="L23880">
        <v>3</v>
      </c>
      <c r="M23880">
        <v>5</v>
      </c>
      <c r="N23880">
        <v>11</v>
      </c>
    </row>
    <row r="23881" spans="1:15">
      <c r="A23881" t="s">
        <v>66629</v>
      </c>
      <c r="B23881" t="s">
        <v>13210</v>
      </c>
      <c r="C23881" t="s">
        <v>355</v>
      </c>
      <c r="D23881" t="s">
        <v>66630</v>
      </c>
      <c r="E23881" t="b">
        <v>0</v>
      </c>
      <c r="F23881" t="s">
        <v>11610</v>
      </c>
      <c r="L23881">
        <v>0</v>
      </c>
      <c r="M23881">
        <v>0</v>
      </c>
      <c r="N23881">
        <v>0</v>
      </c>
    </row>
    <row r="23882" spans="1:15">
      <c r="A23882" t="s">
        <v>66631</v>
      </c>
      <c r="B23882" t="s">
        <v>6742</v>
      </c>
      <c r="C23882" t="s">
        <v>55333</v>
      </c>
      <c r="D23882" t="s">
        <v>66632</v>
      </c>
      <c r="E23882" t="b">
        <v>0</v>
      </c>
      <c r="F23882" t="s">
        <v>11624</v>
      </c>
      <c r="G23882">
        <v>-3.8231000000000002</v>
      </c>
      <c r="H23882">
        <v>18.234100000000002</v>
      </c>
      <c r="I23882" t="s">
        <v>66633</v>
      </c>
      <c r="L23882">
        <v>0</v>
      </c>
      <c r="M23882">
        <v>0</v>
      </c>
      <c r="N23882">
        <v>1</v>
      </c>
      <c r="O23882" t="s">
        <v>14825</v>
      </c>
    </row>
    <row r="23883" spans="1:15">
      <c r="A23883" t="s">
        <v>55333</v>
      </c>
      <c r="B23883" t="s">
        <v>6742</v>
      </c>
      <c r="C23883" t="s">
        <v>24859</v>
      </c>
      <c r="D23883" t="s">
        <v>66634</v>
      </c>
      <c r="E23883" t="b">
        <v>0</v>
      </c>
      <c r="F23883" t="s">
        <v>11622</v>
      </c>
      <c r="L23883">
        <v>0</v>
      </c>
      <c r="M23883">
        <v>2</v>
      </c>
      <c r="N23883">
        <v>1</v>
      </c>
    </row>
    <row r="23884" spans="1:15">
      <c r="A23884" t="s">
        <v>66635</v>
      </c>
      <c r="B23884" t="s">
        <v>367</v>
      </c>
      <c r="C23884" t="s">
        <v>29557</v>
      </c>
      <c r="D23884" t="s">
        <v>66636</v>
      </c>
      <c r="E23884" t="b">
        <v>0</v>
      </c>
      <c r="F23884" t="s">
        <v>11610</v>
      </c>
      <c r="L23884">
        <v>0</v>
      </c>
      <c r="M23884">
        <v>0</v>
      </c>
      <c r="N23884">
        <v>0</v>
      </c>
    </row>
    <row r="23885" spans="1:15">
      <c r="A23885" t="s">
        <v>66637</v>
      </c>
      <c r="B23885" t="s">
        <v>10597</v>
      </c>
      <c r="C23885" t="s">
        <v>47268</v>
      </c>
      <c r="D23885" t="s">
        <v>66638</v>
      </c>
      <c r="E23885" t="b">
        <v>0</v>
      </c>
      <c r="F23885" t="s">
        <v>11624</v>
      </c>
      <c r="G23885">
        <v>-15.7621</v>
      </c>
      <c r="H23885">
        <v>136.05500000000001</v>
      </c>
      <c r="I23885" t="s">
        <v>66639</v>
      </c>
      <c r="L23885">
        <v>0</v>
      </c>
      <c r="M23885">
        <v>0</v>
      </c>
      <c r="N23885">
        <v>0</v>
      </c>
      <c r="O23885" t="s">
        <v>12107</v>
      </c>
    </row>
    <row r="23886" spans="1:15">
      <c r="A23886" t="s">
        <v>66640</v>
      </c>
      <c r="B23886" t="s">
        <v>11644</v>
      </c>
      <c r="C23886" t="s">
        <v>31650</v>
      </c>
      <c r="D23886" t="s">
        <v>66641</v>
      </c>
      <c r="E23886" t="b">
        <v>0</v>
      </c>
      <c r="F23886" t="s">
        <v>11610</v>
      </c>
      <c r="L23886">
        <v>0</v>
      </c>
      <c r="M23886">
        <v>0</v>
      </c>
      <c r="N23886">
        <v>0</v>
      </c>
    </row>
    <row r="23887" spans="1:15">
      <c r="A23887" t="s">
        <v>19335</v>
      </c>
      <c r="B23887" t="s">
        <v>6742</v>
      </c>
      <c r="C23887" t="s">
        <v>21841</v>
      </c>
      <c r="D23887" t="s">
        <v>66642</v>
      </c>
      <c r="E23887" t="b">
        <v>0</v>
      </c>
      <c r="F23887" t="s">
        <v>11622</v>
      </c>
      <c r="L23887">
        <v>6</v>
      </c>
      <c r="M23887">
        <v>12</v>
      </c>
      <c r="N23887">
        <v>5</v>
      </c>
    </row>
    <row r="23888" spans="1:15">
      <c r="A23888" t="s">
        <v>66643</v>
      </c>
      <c r="B23888" t="s">
        <v>11644</v>
      </c>
      <c r="C23888" t="s">
        <v>40538</v>
      </c>
      <c r="D23888" t="s">
        <v>66644</v>
      </c>
      <c r="E23888" t="b">
        <v>0</v>
      </c>
      <c r="F23888" t="s">
        <v>11610</v>
      </c>
      <c r="L23888">
        <v>0</v>
      </c>
      <c r="M23888">
        <v>0</v>
      </c>
      <c r="N23888">
        <v>0</v>
      </c>
    </row>
    <row r="23889" spans="1:15">
      <c r="A23889" t="s">
        <v>66645</v>
      </c>
      <c r="B23889" t="s">
        <v>8310</v>
      </c>
      <c r="C23889" t="s">
        <v>61484</v>
      </c>
      <c r="D23889" t="s">
        <v>66646</v>
      </c>
      <c r="E23889" t="b">
        <v>0</v>
      </c>
      <c r="F23889" t="s">
        <v>11624</v>
      </c>
      <c r="L23889">
        <v>0</v>
      </c>
      <c r="M23889">
        <v>0</v>
      </c>
      <c r="N23889">
        <v>0</v>
      </c>
      <c r="O23889" t="s">
        <v>16711</v>
      </c>
    </row>
    <row r="23890" spans="1:15">
      <c r="A23890" t="s">
        <v>46069</v>
      </c>
      <c r="B23890" t="s">
        <v>6742</v>
      </c>
      <c r="C23890" t="s">
        <v>41952</v>
      </c>
      <c r="D23890" t="s">
        <v>66647</v>
      </c>
      <c r="E23890" t="b">
        <v>0</v>
      </c>
      <c r="F23890" t="s">
        <v>11622</v>
      </c>
      <c r="L23890">
        <v>0</v>
      </c>
      <c r="M23890">
        <v>2</v>
      </c>
      <c r="N23890">
        <v>5</v>
      </c>
    </row>
    <row r="23891" spans="1:15">
      <c r="A23891" t="s">
        <v>4066</v>
      </c>
      <c r="B23891" t="s">
        <v>6742</v>
      </c>
      <c r="C23891" t="s">
        <v>46069</v>
      </c>
      <c r="D23891" t="s">
        <v>4065</v>
      </c>
      <c r="E23891" t="b">
        <v>0</v>
      </c>
      <c r="F23891" t="s">
        <v>11624</v>
      </c>
      <c r="G23891">
        <v>-13.6119</v>
      </c>
      <c r="H23891">
        <v>35.238700000000001</v>
      </c>
      <c r="I23891" t="s">
        <v>4067</v>
      </c>
      <c r="L23891">
        <v>0</v>
      </c>
      <c r="M23891">
        <v>0</v>
      </c>
      <c r="N23891">
        <v>5</v>
      </c>
      <c r="O23891" t="s">
        <v>66648</v>
      </c>
    </row>
    <row r="23892" spans="1:15">
      <c r="A23892" t="s">
        <v>66649</v>
      </c>
      <c r="B23892" t="s">
        <v>11615</v>
      </c>
      <c r="C23892" t="s">
        <v>21654</v>
      </c>
      <c r="D23892" t="s">
        <v>66650</v>
      </c>
      <c r="E23892" t="b">
        <v>0</v>
      </c>
      <c r="F23892" t="s">
        <v>11624</v>
      </c>
      <c r="G23892">
        <v>-5.6102400000000001</v>
      </c>
      <c r="H23892">
        <v>138.58199999999999</v>
      </c>
      <c r="I23892" t="s">
        <v>66651</v>
      </c>
      <c r="L23892">
        <v>0</v>
      </c>
      <c r="M23892">
        <v>0</v>
      </c>
      <c r="N23892">
        <v>0</v>
      </c>
      <c r="O23892" t="s">
        <v>11768</v>
      </c>
    </row>
    <row r="23893" spans="1:15">
      <c r="A23893" t="s">
        <v>18318</v>
      </c>
      <c r="B23893" t="s">
        <v>13276</v>
      </c>
      <c r="C23893" t="s">
        <v>30251</v>
      </c>
      <c r="D23893" t="s">
        <v>66652</v>
      </c>
      <c r="E23893" t="b">
        <v>0</v>
      </c>
      <c r="F23893" t="s">
        <v>11624</v>
      </c>
      <c r="G23893">
        <v>6.95282</v>
      </c>
      <c r="H23893">
        <v>-5.5785099999999996</v>
      </c>
      <c r="I23893" t="s">
        <v>66653</v>
      </c>
      <c r="L23893">
        <v>0</v>
      </c>
      <c r="M23893">
        <v>0</v>
      </c>
      <c r="N23893">
        <v>5</v>
      </c>
      <c r="O23893" t="s">
        <v>11735</v>
      </c>
    </row>
    <row r="23894" spans="1:15">
      <c r="A23894" t="s">
        <v>325</v>
      </c>
      <c r="B23894" t="s">
        <v>367</v>
      </c>
      <c r="C23894" t="s">
        <v>47553</v>
      </c>
      <c r="D23894" t="s">
        <v>324</v>
      </c>
      <c r="E23894" t="b">
        <v>0</v>
      </c>
      <c r="F23894" t="s">
        <v>11624</v>
      </c>
      <c r="G23894">
        <v>9.5581099999999992</v>
      </c>
      <c r="H23894">
        <v>138.125</v>
      </c>
      <c r="I23894" t="s">
        <v>326</v>
      </c>
      <c r="L23894">
        <v>0</v>
      </c>
      <c r="M23894">
        <v>0</v>
      </c>
      <c r="N23894">
        <v>0</v>
      </c>
      <c r="O23894" t="s">
        <v>22994</v>
      </c>
    </row>
    <row r="23895" spans="1:15">
      <c r="A23895" t="s">
        <v>21878</v>
      </c>
      <c r="B23895" t="s">
        <v>367</v>
      </c>
      <c r="C23895" t="s">
        <v>18371</v>
      </c>
      <c r="D23895" t="s">
        <v>66654</v>
      </c>
      <c r="E23895" t="b">
        <v>0</v>
      </c>
      <c r="F23895" t="s">
        <v>11622</v>
      </c>
      <c r="L23895">
        <v>5</v>
      </c>
      <c r="M23895">
        <v>12</v>
      </c>
      <c r="N23895">
        <v>12</v>
      </c>
    </row>
    <row r="23896" spans="1:15">
      <c r="A23896" t="s">
        <v>47553</v>
      </c>
      <c r="B23896" t="s">
        <v>367</v>
      </c>
      <c r="C23896" t="s">
        <v>12101</v>
      </c>
      <c r="D23896" t="s">
        <v>66655</v>
      </c>
      <c r="E23896" t="b">
        <v>0</v>
      </c>
      <c r="F23896" t="s">
        <v>11622</v>
      </c>
      <c r="L23896">
        <v>0</v>
      </c>
      <c r="M23896">
        <v>2</v>
      </c>
      <c r="N23896">
        <v>0</v>
      </c>
    </row>
    <row r="23897" spans="1:15">
      <c r="A23897" t="s">
        <v>66656</v>
      </c>
      <c r="B23897" t="s">
        <v>6742</v>
      </c>
      <c r="C23897" t="s">
        <v>12064</v>
      </c>
      <c r="D23897" t="s">
        <v>66657</v>
      </c>
      <c r="E23897" t="b">
        <v>0</v>
      </c>
      <c r="F23897" t="s">
        <v>11610</v>
      </c>
      <c r="L23897">
        <v>0</v>
      </c>
      <c r="M23897">
        <v>0</v>
      </c>
      <c r="N23897">
        <v>0</v>
      </c>
    </row>
    <row r="23898" spans="1:15">
      <c r="A23898" t="s">
        <v>66658</v>
      </c>
      <c r="B23898" t="s">
        <v>6742</v>
      </c>
      <c r="C23898" t="s">
        <v>25446</v>
      </c>
      <c r="D23898" t="s">
        <v>66659</v>
      </c>
      <c r="E23898" t="b">
        <v>0</v>
      </c>
      <c r="F23898" t="s">
        <v>11610</v>
      </c>
      <c r="L23898">
        <v>0</v>
      </c>
      <c r="M23898">
        <v>0</v>
      </c>
      <c r="N23898">
        <v>0</v>
      </c>
    </row>
    <row r="23899" spans="1:15">
      <c r="A23899" t="s">
        <v>66660</v>
      </c>
      <c r="B23899" t="s">
        <v>367</v>
      </c>
      <c r="C23899" t="s">
        <v>38634</v>
      </c>
      <c r="D23899" t="s">
        <v>66661</v>
      </c>
      <c r="E23899" t="b">
        <v>0</v>
      </c>
      <c r="F23899" t="s">
        <v>11610</v>
      </c>
      <c r="L23899">
        <v>0</v>
      </c>
      <c r="M23899">
        <v>0</v>
      </c>
      <c r="N23899">
        <v>0</v>
      </c>
    </row>
    <row r="23900" spans="1:15">
      <c r="A23900" t="s">
        <v>66662</v>
      </c>
      <c r="B23900" t="s">
        <v>16947</v>
      </c>
      <c r="C23900" t="s">
        <v>16948</v>
      </c>
      <c r="D23900" t="s">
        <v>66663</v>
      </c>
      <c r="E23900" t="b">
        <v>0</v>
      </c>
      <c r="F23900" t="s">
        <v>11610</v>
      </c>
      <c r="L23900">
        <v>0</v>
      </c>
      <c r="M23900">
        <v>0</v>
      </c>
      <c r="N23900">
        <v>0</v>
      </c>
    </row>
    <row r="23901" spans="1:15">
      <c r="A23901" t="s">
        <v>66664</v>
      </c>
      <c r="B23901" t="s">
        <v>11834</v>
      </c>
      <c r="C23901" t="s">
        <v>12337</v>
      </c>
      <c r="D23901" t="s">
        <v>66665</v>
      </c>
      <c r="E23901" t="b">
        <v>0</v>
      </c>
      <c r="F23901" t="s">
        <v>11624</v>
      </c>
      <c r="G23901">
        <v>-3.4725600000000001</v>
      </c>
      <c r="H23901">
        <v>142.43600000000001</v>
      </c>
      <c r="I23901" t="s">
        <v>66666</v>
      </c>
      <c r="L23901">
        <v>0</v>
      </c>
      <c r="M23901">
        <v>0</v>
      </c>
      <c r="N23901">
        <v>0</v>
      </c>
      <c r="O23901" t="s">
        <v>11660</v>
      </c>
    </row>
    <row r="23902" spans="1:15">
      <c r="A23902" t="s">
        <v>64671</v>
      </c>
      <c r="B23902" t="s">
        <v>11794</v>
      </c>
      <c r="C23902" t="s">
        <v>19005</v>
      </c>
      <c r="D23902" t="s">
        <v>66667</v>
      </c>
      <c r="E23902" t="b">
        <v>0</v>
      </c>
      <c r="F23902" t="s">
        <v>11622</v>
      </c>
      <c r="L23902">
        <v>0</v>
      </c>
      <c r="M23902">
        <v>2</v>
      </c>
      <c r="N23902">
        <v>3</v>
      </c>
    </row>
    <row r="23903" spans="1:15">
      <c r="A23903" t="s">
        <v>16864</v>
      </c>
      <c r="B23903" t="s">
        <v>11794</v>
      </c>
      <c r="C23903" t="s">
        <v>64671</v>
      </c>
      <c r="D23903" t="s">
        <v>66668</v>
      </c>
      <c r="E23903" t="b">
        <v>0</v>
      </c>
      <c r="F23903" t="s">
        <v>11624</v>
      </c>
      <c r="G23903">
        <v>-6.6663199999999998</v>
      </c>
      <c r="H23903">
        <v>139.249</v>
      </c>
      <c r="I23903" t="s">
        <v>66669</v>
      </c>
      <c r="L23903">
        <v>0</v>
      </c>
      <c r="M23903">
        <v>0</v>
      </c>
      <c r="N23903">
        <v>3</v>
      </c>
      <c r="O23903" t="s">
        <v>11768</v>
      </c>
    </row>
    <row r="23904" spans="1:15">
      <c r="A23904" t="s">
        <v>66670</v>
      </c>
      <c r="B23904" t="s">
        <v>13148</v>
      </c>
      <c r="C23904" t="s">
        <v>13148</v>
      </c>
      <c r="D23904" t="s">
        <v>66671</v>
      </c>
      <c r="E23904" t="b">
        <v>0</v>
      </c>
      <c r="F23904" t="s">
        <v>11610</v>
      </c>
      <c r="L23904">
        <v>0</v>
      </c>
      <c r="M23904">
        <v>0</v>
      </c>
      <c r="N23904">
        <v>0</v>
      </c>
    </row>
    <row r="23905" spans="1:15">
      <c r="A23905" t="s">
        <v>485</v>
      </c>
      <c r="B23905" t="s">
        <v>12751</v>
      </c>
      <c r="C23905" t="s">
        <v>20864</v>
      </c>
      <c r="D23905" t="s">
        <v>484</v>
      </c>
      <c r="E23905" t="b">
        <v>0</v>
      </c>
      <c r="F23905" t="s">
        <v>11624</v>
      </c>
      <c r="G23905">
        <v>29.944600000000001</v>
      </c>
      <c r="H23905">
        <v>-110.681</v>
      </c>
      <c r="I23905" t="s">
        <v>486</v>
      </c>
      <c r="L23905">
        <v>0</v>
      </c>
      <c r="M23905">
        <v>0</v>
      </c>
      <c r="N23905">
        <v>0</v>
      </c>
      <c r="O23905" t="s">
        <v>12238</v>
      </c>
    </row>
    <row r="23906" spans="1:15">
      <c r="A23906" t="s">
        <v>66672</v>
      </c>
      <c r="B23906" t="s">
        <v>12260</v>
      </c>
      <c r="C23906" t="s">
        <v>37701</v>
      </c>
      <c r="D23906" t="s">
        <v>66673</v>
      </c>
      <c r="E23906" t="b">
        <v>0</v>
      </c>
      <c r="F23906" t="s">
        <v>11610</v>
      </c>
      <c r="L23906">
        <v>0</v>
      </c>
      <c r="M23906">
        <v>0</v>
      </c>
      <c r="N23906">
        <v>0</v>
      </c>
    </row>
    <row r="23907" spans="1:15">
      <c r="A23907" t="s">
        <v>66674</v>
      </c>
      <c r="B23907" t="s">
        <v>11615</v>
      </c>
      <c r="C23907" t="s">
        <v>52379</v>
      </c>
      <c r="D23907" t="s">
        <v>66675</v>
      </c>
      <c r="E23907" t="b">
        <v>0</v>
      </c>
      <c r="F23907" t="s">
        <v>11624</v>
      </c>
      <c r="G23907">
        <v>-4.9394299999999998</v>
      </c>
      <c r="H23907">
        <v>145.45400000000001</v>
      </c>
      <c r="I23907" t="s">
        <v>66676</v>
      </c>
      <c r="L23907">
        <v>0</v>
      </c>
      <c r="M23907">
        <v>0</v>
      </c>
      <c r="N23907">
        <v>0</v>
      </c>
      <c r="O23907" t="s">
        <v>11660</v>
      </c>
    </row>
    <row r="23908" spans="1:15">
      <c r="A23908" t="s">
        <v>66677</v>
      </c>
      <c r="B23908" t="s">
        <v>978</v>
      </c>
      <c r="C23908" t="s">
        <v>13318</v>
      </c>
      <c r="D23908" t="s">
        <v>66678</v>
      </c>
      <c r="E23908" t="b">
        <v>0</v>
      </c>
      <c r="F23908" t="s">
        <v>11610</v>
      </c>
      <c r="L23908">
        <v>0</v>
      </c>
      <c r="M23908">
        <v>0</v>
      </c>
      <c r="N23908">
        <v>0</v>
      </c>
    </row>
    <row r="23909" spans="1:15">
      <c r="A23909" t="s">
        <v>52379</v>
      </c>
      <c r="B23909" t="s">
        <v>11615</v>
      </c>
      <c r="C23909" t="s">
        <v>50312</v>
      </c>
      <c r="D23909" t="s">
        <v>66679</v>
      </c>
      <c r="E23909" t="b">
        <v>0</v>
      </c>
      <c r="F23909" t="s">
        <v>11622</v>
      </c>
      <c r="L23909">
        <v>0</v>
      </c>
      <c r="M23909">
        <v>3</v>
      </c>
      <c r="N23909">
        <v>0</v>
      </c>
    </row>
    <row r="23910" spans="1:15">
      <c r="A23910" t="s">
        <v>40896</v>
      </c>
      <c r="B23910" t="s">
        <v>10597</v>
      </c>
      <c r="C23910" t="s">
        <v>40892</v>
      </c>
      <c r="D23910" t="s">
        <v>66680</v>
      </c>
      <c r="E23910" t="b">
        <v>0</v>
      </c>
      <c r="F23910" t="s">
        <v>11622</v>
      </c>
      <c r="L23910">
        <v>0</v>
      </c>
      <c r="M23910">
        <v>3</v>
      </c>
      <c r="N23910">
        <v>7</v>
      </c>
    </row>
    <row r="23911" spans="1:15">
      <c r="A23911" t="s">
        <v>66681</v>
      </c>
      <c r="B23911" t="s">
        <v>10597</v>
      </c>
      <c r="C23911" t="s">
        <v>46569</v>
      </c>
      <c r="D23911" t="s">
        <v>66682</v>
      </c>
      <c r="E23911" t="b">
        <v>0</v>
      </c>
      <c r="F23911" t="s">
        <v>11610</v>
      </c>
      <c r="L23911">
        <v>0</v>
      </c>
      <c r="M23911">
        <v>0</v>
      </c>
      <c r="N23911">
        <v>0</v>
      </c>
    </row>
    <row r="23912" spans="1:15">
      <c r="A23912" t="s">
        <v>66683</v>
      </c>
      <c r="B23912" t="s">
        <v>10597</v>
      </c>
      <c r="C23912" t="s">
        <v>42263</v>
      </c>
      <c r="D23912" t="s">
        <v>66684</v>
      </c>
      <c r="E23912" t="b">
        <v>0</v>
      </c>
      <c r="F23912" t="s">
        <v>11610</v>
      </c>
      <c r="I23912" t="s">
        <v>66685</v>
      </c>
      <c r="L23912">
        <v>0</v>
      </c>
      <c r="M23912">
        <v>0</v>
      </c>
      <c r="N23912">
        <v>0</v>
      </c>
      <c r="O23912" t="s">
        <v>12107</v>
      </c>
    </row>
    <row r="23913" spans="1:15">
      <c r="A23913" t="s">
        <v>66686</v>
      </c>
      <c r="B23913" t="s">
        <v>13769</v>
      </c>
      <c r="C23913" t="s">
        <v>17092</v>
      </c>
      <c r="D23913" t="s">
        <v>66687</v>
      </c>
      <c r="E23913" t="b">
        <v>0</v>
      </c>
      <c r="F23913" t="s">
        <v>11624</v>
      </c>
      <c r="G23913">
        <v>-9.5065100000000005</v>
      </c>
      <c r="H23913">
        <v>148.60499999999999</v>
      </c>
      <c r="I23913" t="s">
        <v>66688</v>
      </c>
      <c r="L23913">
        <v>0</v>
      </c>
      <c r="M23913">
        <v>0</v>
      </c>
      <c r="N23913">
        <v>0</v>
      </c>
      <c r="O23913" t="s">
        <v>11660</v>
      </c>
    </row>
    <row r="23914" spans="1:15">
      <c r="A23914" t="s">
        <v>66689</v>
      </c>
      <c r="B23914" t="s">
        <v>11879</v>
      </c>
      <c r="C23914" t="s">
        <v>13115</v>
      </c>
      <c r="D23914" t="s">
        <v>66690</v>
      </c>
      <c r="E23914" t="b">
        <v>0</v>
      </c>
      <c r="F23914" t="s">
        <v>11624</v>
      </c>
      <c r="G23914">
        <v>17.340599999999998</v>
      </c>
      <c r="H23914">
        <v>-96.705200000000005</v>
      </c>
      <c r="I23914" t="s">
        <v>66691</v>
      </c>
      <c r="L23914">
        <v>0</v>
      </c>
      <c r="M23914">
        <v>0</v>
      </c>
      <c r="N23914">
        <v>0</v>
      </c>
      <c r="O23914" t="s">
        <v>11883</v>
      </c>
    </row>
    <row r="23915" spans="1:15">
      <c r="A23915" t="s">
        <v>13769</v>
      </c>
      <c r="D23915" t="s">
        <v>66692</v>
      </c>
      <c r="E23915" t="b">
        <v>0</v>
      </c>
      <c r="F23915" t="s">
        <v>11622</v>
      </c>
      <c r="L23915">
        <v>2</v>
      </c>
      <c r="M23915">
        <v>5</v>
      </c>
      <c r="N23915">
        <v>5</v>
      </c>
    </row>
    <row r="23916" spans="1:15">
      <c r="A23916" t="s">
        <v>17092</v>
      </c>
      <c r="B23916" t="s">
        <v>13769</v>
      </c>
      <c r="C23916" t="s">
        <v>13769</v>
      </c>
      <c r="D23916" t="s">
        <v>66693</v>
      </c>
      <c r="E23916" t="b">
        <v>0</v>
      </c>
      <c r="F23916" t="s">
        <v>11622</v>
      </c>
      <c r="L23916">
        <v>0</v>
      </c>
      <c r="M23916">
        <v>3</v>
      </c>
      <c r="N23916">
        <v>0</v>
      </c>
    </row>
    <row r="23917" spans="1:15">
      <c r="A23917" t="s">
        <v>66694</v>
      </c>
      <c r="B23917" t="s">
        <v>11627</v>
      </c>
      <c r="C23917" t="s">
        <v>11627</v>
      </c>
      <c r="D23917" t="s">
        <v>66695</v>
      </c>
      <c r="E23917" t="b">
        <v>1</v>
      </c>
      <c r="F23917" t="s">
        <v>11624</v>
      </c>
      <c r="G23917">
        <v>1.4301699999999999</v>
      </c>
      <c r="H23917">
        <v>-74.371499999999997</v>
      </c>
      <c r="I23917" t="s">
        <v>66696</v>
      </c>
      <c r="L23917">
        <v>0</v>
      </c>
      <c r="M23917">
        <v>0</v>
      </c>
      <c r="N23917">
        <v>0</v>
      </c>
      <c r="O23917" t="s">
        <v>11898</v>
      </c>
    </row>
    <row r="23918" spans="1:15">
      <c r="A23918" t="s">
        <v>66697</v>
      </c>
      <c r="B23918" t="s">
        <v>6742</v>
      </c>
      <c r="C23918" t="s">
        <v>17719</v>
      </c>
      <c r="D23918" t="s">
        <v>66698</v>
      </c>
      <c r="E23918" t="b">
        <v>0</v>
      </c>
      <c r="F23918" t="s">
        <v>11610</v>
      </c>
      <c r="L23918">
        <v>0</v>
      </c>
      <c r="M23918">
        <v>0</v>
      </c>
      <c r="N23918">
        <v>0</v>
      </c>
    </row>
    <row r="23919" spans="1:15">
      <c r="A23919" t="s">
        <v>66699</v>
      </c>
      <c r="B23919" t="s">
        <v>10597</v>
      </c>
      <c r="C23919" t="s">
        <v>35923</v>
      </c>
      <c r="D23919" t="s">
        <v>66700</v>
      </c>
      <c r="E23919" t="b">
        <v>0</v>
      </c>
      <c r="F23919" t="s">
        <v>11610</v>
      </c>
      <c r="L23919">
        <v>0</v>
      </c>
      <c r="M23919">
        <v>0</v>
      </c>
      <c r="N23919">
        <v>0</v>
      </c>
    </row>
    <row r="23920" spans="1:15">
      <c r="A23920" t="s">
        <v>66701</v>
      </c>
      <c r="B23920" t="s">
        <v>11637</v>
      </c>
      <c r="C23920" t="s">
        <v>21355</v>
      </c>
      <c r="D23920" t="s">
        <v>66702</v>
      </c>
      <c r="E23920" t="b">
        <v>0</v>
      </c>
      <c r="F23920" t="s">
        <v>11610</v>
      </c>
      <c r="L23920">
        <v>0</v>
      </c>
      <c r="M23920">
        <v>0</v>
      </c>
      <c r="N23920">
        <v>0</v>
      </c>
    </row>
    <row r="23921" spans="1:15">
      <c r="A23921" t="s">
        <v>42263</v>
      </c>
      <c r="B23921" t="s">
        <v>10597</v>
      </c>
      <c r="C23921" t="s">
        <v>24174</v>
      </c>
      <c r="D23921" t="s">
        <v>66703</v>
      </c>
      <c r="E23921" t="b">
        <v>0</v>
      </c>
      <c r="F23921" t="s">
        <v>11624</v>
      </c>
      <c r="G23921">
        <v>-29.490498049999999</v>
      </c>
      <c r="H23921">
        <v>140.95919459999999</v>
      </c>
      <c r="L23921">
        <v>0</v>
      </c>
      <c r="M23921">
        <v>0</v>
      </c>
      <c r="N23921">
        <v>3</v>
      </c>
      <c r="O23921" t="s">
        <v>12107</v>
      </c>
    </row>
    <row r="23922" spans="1:15">
      <c r="A23922" t="s">
        <v>24174</v>
      </c>
      <c r="B23922" t="s">
        <v>10597</v>
      </c>
      <c r="C23922" t="s">
        <v>10597</v>
      </c>
      <c r="D23922" t="s">
        <v>66704</v>
      </c>
      <c r="E23922" t="b">
        <v>0</v>
      </c>
      <c r="F23922" t="s">
        <v>11622</v>
      </c>
      <c r="L23922">
        <v>0</v>
      </c>
      <c r="M23922">
        <v>2</v>
      </c>
      <c r="N23922">
        <v>6</v>
      </c>
    </row>
    <row r="23923" spans="1:15">
      <c r="A23923" t="s">
        <v>66705</v>
      </c>
      <c r="B23923" t="s">
        <v>10597</v>
      </c>
      <c r="C23923" t="s">
        <v>35119</v>
      </c>
      <c r="D23923" t="s">
        <v>66706</v>
      </c>
      <c r="E23923" t="b">
        <v>0</v>
      </c>
      <c r="F23923" t="s">
        <v>11610</v>
      </c>
      <c r="I23923" t="s">
        <v>66707</v>
      </c>
      <c r="L23923">
        <v>0</v>
      </c>
      <c r="M23923">
        <v>0</v>
      </c>
      <c r="N23923">
        <v>0</v>
      </c>
      <c r="O23923" t="s">
        <v>12107</v>
      </c>
    </row>
    <row r="23924" spans="1:15">
      <c r="A23924" t="s">
        <v>66708</v>
      </c>
      <c r="B23924" t="s">
        <v>23217</v>
      </c>
      <c r="C23924" t="s">
        <v>66625</v>
      </c>
      <c r="D23924" t="s">
        <v>66709</v>
      </c>
      <c r="E23924" t="b">
        <v>0</v>
      </c>
      <c r="F23924" t="s">
        <v>11624</v>
      </c>
      <c r="G23924">
        <v>1.7202010000000001</v>
      </c>
      <c r="H23924">
        <v>-62.230224999999997</v>
      </c>
      <c r="I23924" t="s">
        <v>66710</v>
      </c>
      <c r="L23924">
        <v>0</v>
      </c>
      <c r="M23924">
        <v>0</v>
      </c>
      <c r="N23924">
        <v>0</v>
      </c>
      <c r="O23924" t="s">
        <v>11969</v>
      </c>
    </row>
    <row r="23925" spans="1:15">
      <c r="A23925" t="s">
        <v>66711</v>
      </c>
      <c r="B23925" t="s">
        <v>11627</v>
      </c>
      <c r="C23925" t="s">
        <v>11627</v>
      </c>
      <c r="D23925" t="s">
        <v>66712</v>
      </c>
      <c r="E23925" t="b">
        <v>1</v>
      </c>
      <c r="F23925" t="s">
        <v>11624</v>
      </c>
      <c r="G23925">
        <v>-2.2122199999999999</v>
      </c>
      <c r="H23925">
        <v>139.47200000000001</v>
      </c>
      <c r="I23925" t="s">
        <v>66713</v>
      </c>
      <c r="L23925">
        <v>0</v>
      </c>
      <c r="M23925">
        <v>0</v>
      </c>
      <c r="N23925">
        <v>0</v>
      </c>
      <c r="O23925" t="s">
        <v>11768</v>
      </c>
    </row>
    <row r="23926" spans="1:15">
      <c r="A23926" t="s">
        <v>66714</v>
      </c>
      <c r="B23926" t="s">
        <v>10597</v>
      </c>
      <c r="C23926" t="s">
        <v>15730</v>
      </c>
      <c r="D23926" t="s">
        <v>66715</v>
      </c>
      <c r="E23926" t="b">
        <v>0</v>
      </c>
      <c r="F23926" t="s">
        <v>11610</v>
      </c>
      <c r="L23926">
        <v>0</v>
      </c>
      <c r="M23926">
        <v>0</v>
      </c>
      <c r="N23926">
        <v>0</v>
      </c>
    </row>
    <row r="23927" spans="1:15">
      <c r="A23927" t="s">
        <v>66716</v>
      </c>
      <c r="B23927" t="s">
        <v>8310</v>
      </c>
      <c r="C23927" t="s">
        <v>14155</v>
      </c>
      <c r="D23927" t="s">
        <v>66717</v>
      </c>
      <c r="E23927" t="b">
        <v>0</v>
      </c>
      <c r="F23927" t="s">
        <v>11624</v>
      </c>
      <c r="G23927">
        <v>-11.6333</v>
      </c>
      <c r="H23927">
        <v>-52.8</v>
      </c>
      <c r="L23927">
        <v>0</v>
      </c>
      <c r="M23927">
        <v>0</v>
      </c>
      <c r="N23927">
        <v>0</v>
      </c>
      <c r="O23927" t="s">
        <v>11969</v>
      </c>
    </row>
    <row r="23928" spans="1:15">
      <c r="A23928" t="s">
        <v>13390</v>
      </c>
      <c r="B23928" t="s">
        <v>141</v>
      </c>
      <c r="C23928" t="s">
        <v>14135</v>
      </c>
      <c r="D23928" t="s">
        <v>66718</v>
      </c>
      <c r="E23928" t="b">
        <v>0</v>
      </c>
      <c r="F23928" t="s">
        <v>11622</v>
      </c>
      <c r="L23928">
        <v>0</v>
      </c>
      <c r="M23928">
        <v>4</v>
      </c>
      <c r="N23928">
        <v>0</v>
      </c>
    </row>
    <row r="23929" spans="1:15">
      <c r="A23929" t="s">
        <v>66719</v>
      </c>
      <c r="B23929" t="s">
        <v>22306</v>
      </c>
      <c r="C23929" t="s">
        <v>63509</v>
      </c>
      <c r="D23929" t="s">
        <v>66720</v>
      </c>
      <c r="E23929" t="b">
        <v>0</v>
      </c>
      <c r="F23929" t="s">
        <v>11624</v>
      </c>
      <c r="G23929">
        <v>-10.25</v>
      </c>
      <c r="H23929">
        <v>-62</v>
      </c>
      <c r="L23929">
        <v>0</v>
      </c>
      <c r="M23929">
        <v>0</v>
      </c>
      <c r="N23929">
        <v>0</v>
      </c>
      <c r="O23929" t="s">
        <v>11969</v>
      </c>
    </row>
    <row r="23930" spans="1:15">
      <c r="A23930" t="s">
        <v>66721</v>
      </c>
      <c r="B23930" t="s">
        <v>11965</v>
      </c>
      <c r="C23930" t="s">
        <v>845</v>
      </c>
      <c r="D23930" t="s">
        <v>66722</v>
      </c>
      <c r="E23930" t="b">
        <v>0</v>
      </c>
      <c r="F23930" t="s">
        <v>11610</v>
      </c>
      <c r="L23930">
        <v>0</v>
      </c>
      <c r="M23930">
        <v>0</v>
      </c>
      <c r="N23930">
        <v>0</v>
      </c>
    </row>
    <row r="23931" spans="1:15">
      <c r="A23931" t="s">
        <v>47569</v>
      </c>
      <c r="B23931" t="s">
        <v>6742</v>
      </c>
      <c r="C23931" t="s">
        <v>17338</v>
      </c>
      <c r="D23931" t="s">
        <v>66723</v>
      </c>
      <c r="E23931" t="b">
        <v>0</v>
      </c>
      <c r="F23931" t="s">
        <v>11622</v>
      </c>
      <c r="L23931">
        <v>0</v>
      </c>
      <c r="M23931">
        <v>2</v>
      </c>
      <c r="N23931">
        <v>14</v>
      </c>
    </row>
    <row r="23932" spans="1:15">
      <c r="A23932" t="s">
        <v>14829</v>
      </c>
      <c r="B23932" t="s">
        <v>6742</v>
      </c>
      <c r="C23932" t="s">
        <v>47569</v>
      </c>
      <c r="D23932" t="s">
        <v>66724</v>
      </c>
      <c r="E23932" t="b">
        <v>0</v>
      </c>
      <c r="F23932" t="s">
        <v>11624</v>
      </c>
      <c r="G23932">
        <v>2.0604300000000002</v>
      </c>
      <c r="H23932">
        <v>10.678000000000001</v>
      </c>
      <c r="I23932" t="s">
        <v>66725</v>
      </c>
      <c r="L23932">
        <v>0</v>
      </c>
      <c r="M23932">
        <v>0</v>
      </c>
      <c r="N23932">
        <v>11</v>
      </c>
      <c r="O23932" t="s">
        <v>20279</v>
      </c>
    </row>
    <row r="23933" spans="1:15">
      <c r="A23933" t="s">
        <v>66726</v>
      </c>
      <c r="B23933" t="s">
        <v>7926</v>
      </c>
      <c r="C23933" t="s">
        <v>7926</v>
      </c>
      <c r="D23933" t="s">
        <v>66727</v>
      </c>
      <c r="E23933" t="b">
        <v>0</v>
      </c>
      <c r="F23933" t="s">
        <v>11610</v>
      </c>
      <c r="L23933">
        <v>0</v>
      </c>
      <c r="M23933">
        <v>0</v>
      </c>
      <c r="N23933">
        <v>0</v>
      </c>
    </row>
    <row r="23934" spans="1:15">
      <c r="A23934" t="s">
        <v>66728</v>
      </c>
      <c r="B23934" t="s">
        <v>11637</v>
      </c>
      <c r="C23934" t="s">
        <v>21355</v>
      </c>
      <c r="D23934" t="s">
        <v>66729</v>
      </c>
      <c r="E23934" t="b">
        <v>0</v>
      </c>
      <c r="F23934" t="s">
        <v>11610</v>
      </c>
      <c r="L23934">
        <v>0</v>
      </c>
      <c r="M23934">
        <v>0</v>
      </c>
      <c r="N23934">
        <v>0</v>
      </c>
    </row>
    <row r="23935" spans="1:15">
      <c r="A23935" t="s">
        <v>66730</v>
      </c>
      <c r="B23935" t="s">
        <v>11834</v>
      </c>
      <c r="C23935" t="s">
        <v>37134</v>
      </c>
      <c r="D23935" t="s">
        <v>66731</v>
      </c>
      <c r="E23935" t="b">
        <v>0</v>
      </c>
      <c r="F23935" t="s">
        <v>11610</v>
      </c>
      <c r="L23935">
        <v>0</v>
      </c>
      <c r="M23935">
        <v>0</v>
      </c>
      <c r="N23935">
        <v>0</v>
      </c>
    </row>
    <row r="23936" spans="1:15">
      <c r="A23936" t="s">
        <v>66732</v>
      </c>
      <c r="B23936" t="s">
        <v>12254</v>
      </c>
      <c r="C23936" t="s">
        <v>12255</v>
      </c>
      <c r="D23936" t="s">
        <v>66733</v>
      </c>
      <c r="E23936" t="b">
        <v>0</v>
      </c>
      <c r="F23936" t="s">
        <v>11610</v>
      </c>
      <c r="L23936">
        <v>0</v>
      </c>
      <c r="M23936">
        <v>0</v>
      </c>
      <c r="N23936">
        <v>0</v>
      </c>
    </row>
    <row r="23937" spans="1:15">
      <c r="A23937" t="s">
        <v>66734</v>
      </c>
      <c r="B23937" t="s">
        <v>6742</v>
      </c>
      <c r="C23937" t="s">
        <v>12064</v>
      </c>
      <c r="D23937" t="s">
        <v>66735</v>
      </c>
      <c r="E23937" t="b">
        <v>0</v>
      </c>
      <c r="F23937" t="s">
        <v>11610</v>
      </c>
      <c r="L23937">
        <v>0</v>
      </c>
      <c r="M23937">
        <v>0</v>
      </c>
      <c r="N23937">
        <v>0</v>
      </c>
    </row>
    <row r="23938" spans="1:15">
      <c r="A23938" t="s">
        <v>66736</v>
      </c>
      <c r="B23938" t="s">
        <v>11834</v>
      </c>
      <c r="C23938" t="s">
        <v>37134</v>
      </c>
      <c r="D23938" t="s">
        <v>66737</v>
      </c>
      <c r="E23938" t="b">
        <v>0</v>
      </c>
      <c r="F23938" t="s">
        <v>11610</v>
      </c>
      <c r="L23938">
        <v>0</v>
      </c>
      <c r="M23938">
        <v>0</v>
      </c>
      <c r="N23938">
        <v>0</v>
      </c>
    </row>
    <row r="23939" spans="1:15">
      <c r="A23939" t="s">
        <v>66738</v>
      </c>
      <c r="B23939" t="s">
        <v>11637</v>
      </c>
      <c r="C23939" t="s">
        <v>19797</v>
      </c>
      <c r="D23939" t="s">
        <v>66739</v>
      </c>
      <c r="E23939" t="b">
        <v>0</v>
      </c>
      <c r="F23939" t="s">
        <v>11610</v>
      </c>
      <c r="L23939">
        <v>0</v>
      </c>
      <c r="M23939">
        <v>0</v>
      </c>
      <c r="N23939">
        <v>0</v>
      </c>
    </row>
    <row r="23940" spans="1:15">
      <c r="A23940" t="s">
        <v>66740</v>
      </c>
      <c r="B23940" t="s">
        <v>28145</v>
      </c>
      <c r="C23940" t="s">
        <v>28145</v>
      </c>
      <c r="D23940" t="s">
        <v>66741</v>
      </c>
      <c r="E23940" t="b">
        <v>0</v>
      </c>
      <c r="F23940" t="s">
        <v>11610</v>
      </c>
      <c r="L23940">
        <v>0</v>
      </c>
      <c r="M23940">
        <v>0</v>
      </c>
      <c r="N23940">
        <v>0</v>
      </c>
    </row>
    <row r="23941" spans="1:15">
      <c r="A23941" t="s">
        <v>66742</v>
      </c>
      <c r="B23941" t="s">
        <v>11879</v>
      </c>
      <c r="C23941" t="s">
        <v>13115</v>
      </c>
      <c r="D23941" t="s">
        <v>66743</v>
      </c>
      <c r="E23941" t="b">
        <v>0</v>
      </c>
      <c r="F23941" t="s">
        <v>11624</v>
      </c>
      <c r="G23941">
        <v>17.288799999999998</v>
      </c>
      <c r="H23941">
        <v>-96.197999999999993</v>
      </c>
      <c r="I23941" t="s">
        <v>66744</v>
      </c>
      <c r="L23941">
        <v>0</v>
      </c>
      <c r="M23941">
        <v>0</v>
      </c>
      <c r="N23941">
        <v>0</v>
      </c>
      <c r="O23941" t="s">
        <v>11883</v>
      </c>
    </row>
    <row r="23942" spans="1:15">
      <c r="A23942" t="s">
        <v>66745</v>
      </c>
      <c r="B23942" t="s">
        <v>6742</v>
      </c>
      <c r="C23942" t="s">
        <v>17262</v>
      </c>
      <c r="D23942" t="s">
        <v>66746</v>
      </c>
      <c r="E23942" t="b">
        <v>0</v>
      </c>
      <c r="F23942" t="s">
        <v>11610</v>
      </c>
      <c r="L23942">
        <v>0</v>
      </c>
      <c r="M23942">
        <v>0</v>
      </c>
      <c r="N23942">
        <v>0</v>
      </c>
    </row>
    <row r="23943" spans="1:15">
      <c r="A23943" t="s">
        <v>66747</v>
      </c>
      <c r="B23943" t="s">
        <v>331</v>
      </c>
      <c r="C23943" t="s">
        <v>22497</v>
      </c>
      <c r="D23943" t="s">
        <v>66748</v>
      </c>
      <c r="E23943" t="b">
        <v>0</v>
      </c>
      <c r="F23943" t="s">
        <v>11610</v>
      </c>
      <c r="L23943">
        <v>0</v>
      </c>
      <c r="M23943">
        <v>0</v>
      </c>
      <c r="N23943">
        <v>0</v>
      </c>
    </row>
    <row r="23944" spans="1:15">
      <c r="A23944" t="s">
        <v>66749</v>
      </c>
      <c r="B23944" t="s">
        <v>367</v>
      </c>
      <c r="C23944" t="s">
        <v>17584</v>
      </c>
      <c r="D23944" t="s">
        <v>66750</v>
      </c>
      <c r="E23944" t="b">
        <v>0</v>
      </c>
      <c r="F23944" t="s">
        <v>11610</v>
      </c>
      <c r="L23944">
        <v>0</v>
      </c>
      <c r="M23944">
        <v>0</v>
      </c>
      <c r="N23944">
        <v>0</v>
      </c>
    </row>
    <row r="23945" spans="1:15">
      <c r="A23945" t="s">
        <v>12802</v>
      </c>
      <c r="B23945" t="s">
        <v>6742</v>
      </c>
      <c r="C23945" t="s">
        <v>27520</v>
      </c>
      <c r="D23945" t="s">
        <v>66751</v>
      </c>
      <c r="E23945" t="b">
        <v>0</v>
      </c>
      <c r="F23945" t="s">
        <v>11622</v>
      </c>
      <c r="L23945">
        <v>0</v>
      </c>
      <c r="M23945">
        <v>2</v>
      </c>
      <c r="N23945">
        <v>2</v>
      </c>
    </row>
    <row r="23946" spans="1:15">
      <c r="A23946" t="s">
        <v>66752</v>
      </c>
      <c r="B23946" t="s">
        <v>11879</v>
      </c>
      <c r="C23946" t="s">
        <v>13115</v>
      </c>
      <c r="D23946" t="s">
        <v>66753</v>
      </c>
      <c r="E23946" t="b">
        <v>0</v>
      </c>
      <c r="F23946" t="s">
        <v>11624</v>
      </c>
      <c r="G23946">
        <v>17.186900000000001</v>
      </c>
      <c r="H23946">
        <v>-96.284000000000006</v>
      </c>
      <c r="I23946" t="s">
        <v>66754</v>
      </c>
      <c r="L23946">
        <v>0</v>
      </c>
      <c r="M23946">
        <v>0</v>
      </c>
      <c r="N23946">
        <v>0</v>
      </c>
      <c r="O23946" t="s">
        <v>12238</v>
      </c>
    </row>
    <row r="23947" spans="1:15">
      <c r="A23947" t="s">
        <v>42739</v>
      </c>
      <c r="B23947" t="s">
        <v>34173</v>
      </c>
      <c r="C23947" t="s">
        <v>34173</v>
      </c>
      <c r="D23947" t="s">
        <v>66755</v>
      </c>
      <c r="E23947" t="b">
        <v>0</v>
      </c>
      <c r="F23947" t="s">
        <v>11624</v>
      </c>
      <c r="G23947">
        <v>-4.3991199999999999</v>
      </c>
      <c r="H23947">
        <v>143.99299999999999</v>
      </c>
      <c r="I23947" t="s">
        <v>66756</v>
      </c>
      <c r="L23947">
        <v>0</v>
      </c>
      <c r="M23947">
        <v>0</v>
      </c>
      <c r="N23947">
        <v>2</v>
      </c>
      <c r="O23947" t="s">
        <v>11660</v>
      </c>
    </row>
    <row r="23948" spans="1:15">
      <c r="A23948" t="s">
        <v>30934</v>
      </c>
      <c r="B23948" t="s">
        <v>11615</v>
      </c>
      <c r="C23948" t="s">
        <v>50267</v>
      </c>
      <c r="D23948" t="s">
        <v>66757</v>
      </c>
      <c r="E23948" t="b">
        <v>0</v>
      </c>
      <c r="F23948" t="s">
        <v>11624</v>
      </c>
      <c r="G23948">
        <v>-6.0827400000000003</v>
      </c>
      <c r="H23948">
        <v>146.84100000000001</v>
      </c>
      <c r="I23948" t="s">
        <v>66758</v>
      </c>
      <c r="L23948">
        <v>0</v>
      </c>
      <c r="M23948">
        <v>0</v>
      </c>
      <c r="N23948">
        <v>2</v>
      </c>
      <c r="O23948" t="s">
        <v>11660</v>
      </c>
    </row>
    <row r="23949" spans="1:15">
      <c r="A23949" t="s">
        <v>66759</v>
      </c>
      <c r="B23949" t="s">
        <v>11627</v>
      </c>
      <c r="C23949" t="s">
        <v>11627</v>
      </c>
      <c r="D23949" t="s">
        <v>66760</v>
      </c>
      <c r="E23949" t="b">
        <v>1</v>
      </c>
      <c r="F23949" t="s">
        <v>11624</v>
      </c>
      <c r="G23949">
        <v>-15.821495000000001</v>
      </c>
      <c r="H23949">
        <v>21.881345</v>
      </c>
      <c r="I23949" t="s">
        <v>66761</v>
      </c>
      <c r="L23949">
        <v>0</v>
      </c>
      <c r="M23949">
        <v>0</v>
      </c>
      <c r="N23949">
        <v>0</v>
      </c>
      <c r="O23949" t="s">
        <v>41300</v>
      </c>
    </row>
    <row r="23950" spans="1:15">
      <c r="A23950" t="s">
        <v>20277</v>
      </c>
      <c r="B23950" t="s">
        <v>6742</v>
      </c>
      <c r="C23950" t="s">
        <v>15558</v>
      </c>
      <c r="D23950" t="s">
        <v>66762</v>
      </c>
      <c r="E23950" t="b">
        <v>0</v>
      </c>
      <c r="F23950" t="s">
        <v>11622</v>
      </c>
      <c r="L23950">
        <v>1</v>
      </c>
      <c r="M23950">
        <v>6</v>
      </c>
      <c r="N23950">
        <v>31</v>
      </c>
    </row>
    <row r="23951" spans="1:15">
      <c r="A23951" t="s">
        <v>66763</v>
      </c>
      <c r="B23951" t="s">
        <v>367</v>
      </c>
      <c r="C23951" t="s">
        <v>32625</v>
      </c>
      <c r="D23951" t="s">
        <v>66764</v>
      </c>
      <c r="E23951" t="b">
        <v>0</v>
      </c>
      <c r="F23951" t="s">
        <v>11624</v>
      </c>
      <c r="G23951">
        <v>-3.3251900000000001</v>
      </c>
      <c r="H23951">
        <v>134.87899999999999</v>
      </c>
      <c r="I23951" t="s">
        <v>66765</v>
      </c>
      <c r="L23951">
        <v>0</v>
      </c>
      <c r="M23951">
        <v>0</v>
      </c>
      <c r="N23951">
        <v>0</v>
      </c>
      <c r="O23951" t="s">
        <v>11768</v>
      </c>
    </row>
    <row r="23952" spans="1:15">
      <c r="A23952" t="s">
        <v>32625</v>
      </c>
      <c r="B23952" t="s">
        <v>367</v>
      </c>
      <c r="C23952" t="s">
        <v>58807</v>
      </c>
      <c r="D23952" t="s">
        <v>66766</v>
      </c>
      <c r="E23952" t="b">
        <v>0</v>
      </c>
      <c r="F23952" t="s">
        <v>11622</v>
      </c>
      <c r="L23952">
        <v>0</v>
      </c>
      <c r="M23952">
        <v>2</v>
      </c>
      <c r="N23952">
        <v>0</v>
      </c>
    </row>
    <row r="23953" spans="1:15">
      <c r="A23953" t="s">
        <v>66767</v>
      </c>
      <c r="B23953" t="s">
        <v>11615</v>
      </c>
      <c r="C23953" t="s">
        <v>31162</v>
      </c>
      <c r="D23953" t="s">
        <v>66768</v>
      </c>
      <c r="E23953" t="b">
        <v>0</v>
      </c>
      <c r="F23953" t="s">
        <v>11610</v>
      </c>
      <c r="L23953">
        <v>0</v>
      </c>
      <c r="M23953">
        <v>0</v>
      </c>
      <c r="N23953">
        <v>0</v>
      </c>
    </row>
    <row r="23954" spans="1:15">
      <c r="A23954" t="s">
        <v>66769</v>
      </c>
      <c r="B23954" t="s">
        <v>11834</v>
      </c>
      <c r="C23954" t="s">
        <v>66770</v>
      </c>
      <c r="D23954" t="s">
        <v>66771</v>
      </c>
      <c r="E23954" t="b">
        <v>0</v>
      </c>
      <c r="F23954" t="s">
        <v>11624</v>
      </c>
      <c r="G23954">
        <v>-3.4662999999999999</v>
      </c>
      <c r="H23954">
        <v>141.97399999999999</v>
      </c>
      <c r="I23954" t="s">
        <v>66772</v>
      </c>
      <c r="L23954">
        <v>0</v>
      </c>
      <c r="M23954">
        <v>0</v>
      </c>
      <c r="N23954">
        <v>0</v>
      </c>
      <c r="O23954" t="s">
        <v>11660</v>
      </c>
    </row>
    <row r="23955" spans="1:15">
      <c r="A23955" t="s">
        <v>66773</v>
      </c>
      <c r="B23955" t="s">
        <v>11879</v>
      </c>
      <c r="C23955" t="s">
        <v>41000</v>
      </c>
      <c r="D23955" t="s">
        <v>66774</v>
      </c>
      <c r="E23955" t="b">
        <v>0</v>
      </c>
      <c r="F23955" t="s">
        <v>11624</v>
      </c>
      <c r="G23955">
        <v>16.441469999999999</v>
      </c>
      <c r="H23955">
        <v>-95.928250000000006</v>
      </c>
      <c r="I23955" t="s">
        <v>66775</v>
      </c>
      <c r="L23955">
        <v>0</v>
      </c>
      <c r="M23955">
        <v>0</v>
      </c>
      <c r="N23955">
        <v>0</v>
      </c>
      <c r="O23955" t="s">
        <v>11883</v>
      </c>
    </row>
    <row r="23956" spans="1:15">
      <c r="A23956" t="s">
        <v>14216</v>
      </c>
      <c r="B23956" t="s">
        <v>141</v>
      </c>
      <c r="C23956" t="s">
        <v>14135</v>
      </c>
      <c r="D23956" t="s">
        <v>66776</v>
      </c>
      <c r="E23956" t="b">
        <v>0</v>
      </c>
      <c r="F23956" t="s">
        <v>11624</v>
      </c>
      <c r="G23956">
        <v>-13.1144</v>
      </c>
      <c r="H23956">
        <v>-75.765900000000002</v>
      </c>
      <c r="I23956" t="s">
        <v>66777</v>
      </c>
      <c r="L23956">
        <v>0</v>
      </c>
      <c r="M23956">
        <v>0</v>
      </c>
      <c r="N23956">
        <v>9</v>
      </c>
      <c r="O23956" t="s">
        <v>11778</v>
      </c>
    </row>
    <row r="23957" spans="1:15">
      <c r="A23957" t="s">
        <v>66770</v>
      </c>
      <c r="B23957" t="s">
        <v>11834</v>
      </c>
      <c r="C23957" t="s">
        <v>11834</v>
      </c>
      <c r="D23957" t="s">
        <v>66778</v>
      </c>
      <c r="E23957" t="b">
        <v>0</v>
      </c>
      <c r="F23957" t="s">
        <v>11622</v>
      </c>
      <c r="L23957">
        <v>0</v>
      </c>
      <c r="M23957">
        <v>2</v>
      </c>
      <c r="N23957">
        <v>0</v>
      </c>
    </row>
    <row r="23958" spans="1:15">
      <c r="A23958" t="s">
        <v>66779</v>
      </c>
      <c r="B23958" t="s">
        <v>11844</v>
      </c>
      <c r="C23958" t="s">
        <v>13540</v>
      </c>
      <c r="D23958" t="s">
        <v>66780</v>
      </c>
      <c r="E23958" t="b">
        <v>0</v>
      </c>
      <c r="F23958" t="s">
        <v>11610</v>
      </c>
      <c r="L23958">
        <v>0</v>
      </c>
      <c r="M23958">
        <v>0</v>
      </c>
      <c r="N23958">
        <v>0</v>
      </c>
    </row>
    <row r="23959" spans="1:15">
      <c r="A23959" t="s">
        <v>66781</v>
      </c>
      <c r="B23959" t="s">
        <v>23233</v>
      </c>
      <c r="C23959" t="s">
        <v>11211</v>
      </c>
      <c r="D23959" t="s">
        <v>66782</v>
      </c>
      <c r="E23959" t="b">
        <v>0</v>
      </c>
      <c r="F23959" t="s">
        <v>11610</v>
      </c>
      <c r="L23959">
        <v>0</v>
      </c>
      <c r="M23959">
        <v>0</v>
      </c>
      <c r="N23959">
        <v>0</v>
      </c>
    </row>
    <row r="23960" spans="1:15">
      <c r="A23960" t="s">
        <v>66783</v>
      </c>
      <c r="B23960" t="s">
        <v>11894</v>
      </c>
      <c r="C23960" t="s">
        <v>29861</v>
      </c>
      <c r="D23960" t="s">
        <v>66784</v>
      </c>
      <c r="E23960" t="b">
        <v>0</v>
      </c>
      <c r="F23960" t="s">
        <v>11624</v>
      </c>
      <c r="G23960">
        <v>2.800281</v>
      </c>
      <c r="H23960">
        <v>-68.084219000000004</v>
      </c>
      <c r="I23960" t="s">
        <v>66785</v>
      </c>
      <c r="L23960">
        <v>0</v>
      </c>
      <c r="M23960">
        <v>0</v>
      </c>
      <c r="N23960">
        <v>0</v>
      </c>
      <c r="O23960" t="s">
        <v>16711</v>
      </c>
    </row>
    <row r="23961" spans="1:15">
      <c r="A23961" t="s">
        <v>66786</v>
      </c>
      <c r="B23961" t="s">
        <v>10597</v>
      </c>
      <c r="C23961" t="s">
        <v>66540</v>
      </c>
      <c r="D23961" t="s">
        <v>66787</v>
      </c>
      <c r="E23961" t="b">
        <v>0</v>
      </c>
      <c r="F23961" t="s">
        <v>11624</v>
      </c>
      <c r="G23961">
        <v>-26.7334</v>
      </c>
      <c r="H23961">
        <v>140.87100000000001</v>
      </c>
      <c r="I23961" t="s">
        <v>66788</v>
      </c>
      <c r="L23961">
        <v>0</v>
      </c>
      <c r="M23961">
        <v>0</v>
      </c>
      <c r="N23961">
        <v>0</v>
      </c>
      <c r="O23961" t="s">
        <v>12107</v>
      </c>
    </row>
    <row r="23962" spans="1:15">
      <c r="A23962" t="s">
        <v>21528</v>
      </c>
      <c r="D23962" t="s">
        <v>66789</v>
      </c>
      <c r="E23962" t="b">
        <v>0</v>
      </c>
      <c r="F23962" t="s">
        <v>11622</v>
      </c>
      <c r="L23962">
        <v>0</v>
      </c>
      <c r="M23962">
        <v>2</v>
      </c>
      <c r="N23962">
        <v>5</v>
      </c>
    </row>
    <row r="23963" spans="1:15">
      <c r="A23963" t="s">
        <v>66790</v>
      </c>
      <c r="B23963" t="s">
        <v>13244</v>
      </c>
      <c r="C23963" t="s">
        <v>56776</v>
      </c>
      <c r="D23963" t="s">
        <v>66791</v>
      </c>
      <c r="E23963" t="b">
        <v>0</v>
      </c>
      <c r="F23963" t="s">
        <v>11624</v>
      </c>
      <c r="G23963">
        <v>-8.8756299999999992</v>
      </c>
      <c r="H23963">
        <v>-71.819900000000004</v>
      </c>
      <c r="I23963" t="s">
        <v>66792</v>
      </c>
      <c r="L23963">
        <v>0</v>
      </c>
      <c r="M23963">
        <v>0</v>
      </c>
      <c r="N23963">
        <v>0</v>
      </c>
      <c r="O23963" t="s">
        <v>11969</v>
      </c>
    </row>
    <row r="23964" spans="1:15">
      <c r="A23964" t="s">
        <v>864</v>
      </c>
      <c r="B23964" t="s">
        <v>11894</v>
      </c>
      <c r="C23964" t="s">
        <v>64786</v>
      </c>
      <c r="D23964" t="s">
        <v>66793</v>
      </c>
      <c r="E23964" t="b">
        <v>0</v>
      </c>
      <c r="F23964" t="s">
        <v>11624</v>
      </c>
      <c r="G23964">
        <v>-12.510400000000001</v>
      </c>
      <c r="H23964">
        <v>-53.4236</v>
      </c>
      <c r="I23964" t="s">
        <v>66794</v>
      </c>
      <c r="L23964">
        <v>0</v>
      </c>
      <c r="M23964">
        <v>0</v>
      </c>
      <c r="N23964">
        <v>0</v>
      </c>
      <c r="O23964" t="s">
        <v>11969</v>
      </c>
    </row>
    <row r="23965" spans="1:15">
      <c r="A23965" t="s">
        <v>19410</v>
      </c>
      <c r="B23965" t="s">
        <v>8310</v>
      </c>
      <c r="C23965" t="s">
        <v>8310</v>
      </c>
      <c r="D23965" t="s">
        <v>66795</v>
      </c>
      <c r="E23965" t="b">
        <v>0</v>
      </c>
      <c r="F23965" t="s">
        <v>11622</v>
      </c>
      <c r="L23965">
        <v>0</v>
      </c>
      <c r="M23965">
        <v>2</v>
      </c>
      <c r="N23965">
        <v>3</v>
      </c>
    </row>
    <row r="23966" spans="1:15">
      <c r="A23966" t="s">
        <v>66796</v>
      </c>
      <c r="B23966" t="s">
        <v>9348</v>
      </c>
      <c r="C23966" t="s">
        <v>62333</v>
      </c>
      <c r="D23966" t="s">
        <v>66797</v>
      </c>
      <c r="E23966" t="b">
        <v>0</v>
      </c>
      <c r="F23966" t="s">
        <v>11610</v>
      </c>
      <c r="L23966">
        <v>0</v>
      </c>
      <c r="M23966">
        <v>0</v>
      </c>
      <c r="N23966">
        <v>0</v>
      </c>
    </row>
    <row r="23967" spans="1:15">
      <c r="A23967" t="s">
        <v>66798</v>
      </c>
      <c r="B23967" t="s">
        <v>11615</v>
      </c>
      <c r="C23967" t="s">
        <v>17915</v>
      </c>
      <c r="D23967" t="s">
        <v>66799</v>
      </c>
      <c r="E23967" t="b">
        <v>0</v>
      </c>
      <c r="F23967" t="s">
        <v>11624</v>
      </c>
      <c r="G23967">
        <v>-6.1867999999999999</v>
      </c>
      <c r="H23967">
        <v>145.35900000000001</v>
      </c>
      <c r="I23967" t="s">
        <v>66800</v>
      </c>
      <c r="L23967">
        <v>0</v>
      </c>
      <c r="M23967">
        <v>0</v>
      </c>
      <c r="N23967">
        <v>0</v>
      </c>
      <c r="O23967" t="s">
        <v>11660</v>
      </c>
    </row>
    <row r="23968" spans="1:15">
      <c r="A23968" t="s">
        <v>66801</v>
      </c>
      <c r="B23968" t="s">
        <v>49698</v>
      </c>
      <c r="C23968" t="s">
        <v>49698</v>
      </c>
      <c r="D23968" t="s">
        <v>66802</v>
      </c>
      <c r="E23968" t="b">
        <v>0</v>
      </c>
      <c r="F23968" t="s">
        <v>11624</v>
      </c>
      <c r="G23968">
        <v>-4.5813300000000003</v>
      </c>
      <c r="H23968">
        <v>142.11199999999999</v>
      </c>
      <c r="I23968" t="s">
        <v>66803</v>
      </c>
      <c r="L23968">
        <v>0</v>
      </c>
      <c r="M23968">
        <v>0</v>
      </c>
      <c r="N23968">
        <v>0</v>
      </c>
      <c r="O23968" t="s">
        <v>11660</v>
      </c>
    </row>
    <row r="23969" spans="1:15">
      <c r="A23969" t="s">
        <v>66804</v>
      </c>
      <c r="B23969" t="s">
        <v>1588</v>
      </c>
      <c r="C23969" t="s">
        <v>10188</v>
      </c>
      <c r="D23969" t="s">
        <v>66805</v>
      </c>
      <c r="E23969" t="b">
        <v>0</v>
      </c>
      <c r="F23969" t="s">
        <v>11610</v>
      </c>
      <c r="G23969">
        <v>-15.348087</v>
      </c>
      <c r="H23969">
        <v>124.52966499999999</v>
      </c>
      <c r="I23969" t="s">
        <v>66806</v>
      </c>
      <c r="L23969">
        <v>0</v>
      </c>
      <c r="M23969">
        <v>0</v>
      </c>
      <c r="N23969">
        <v>0</v>
      </c>
      <c r="O23969" t="s">
        <v>12107</v>
      </c>
    </row>
    <row r="23970" spans="1:15">
      <c r="A23970" t="s">
        <v>66807</v>
      </c>
      <c r="B23970" t="s">
        <v>11705</v>
      </c>
      <c r="C23970" t="s">
        <v>43526</v>
      </c>
      <c r="D23970" t="s">
        <v>66808</v>
      </c>
      <c r="E23970" t="b">
        <v>0</v>
      </c>
      <c r="F23970" t="s">
        <v>11610</v>
      </c>
      <c r="L23970">
        <v>0</v>
      </c>
      <c r="M23970">
        <v>0</v>
      </c>
      <c r="N23970">
        <v>0</v>
      </c>
    </row>
    <row r="23971" spans="1:15">
      <c r="A23971" t="s">
        <v>25721</v>
      </c>
      <c r="B23971" t="s">
        <v>17023</v>
      </c>
      <c r="C23971" t="s">
        <v>26029</v>
      </c>
      <c r="D23971" t="s">
        <v>66809</v>
      </c>
      <c r="E23971" t="b">
        <v>0</v>
      </c>
      <c r="F23971" t="s">
        <v>11622</v>
      </c>
      <c r="L23971">
        <v>0</v>
      </c>
      <c r="M23971">
        <v>2</v>
      </c>
      <c r="N23971">
        <v>3</v>
      </c>
    </row>
    <row r="23972" spans="1:15">
      <c r="A23972" t="s">
        <v>26032</v>
      </c>
      <c r="B23972" t="s">
        <v>17023</v>
      </c>
      <c r="C23972" t="s">
        <v>25721</v>
      </c>
      <c r="D23972" t="s">
        <v>66810</v>
      </c>
      <c r="E23972" t="b">
        <v>0</v>
      </c>
      <c r="F23972" t="s">
        <v>11624</v>
      </c>
      <c r="G23972">
        <v>-18.004000000000001</v>
      </c>
      <c r="H23972">
        <v>122.693</v>
      </c>
      <c r="I23972" t="s">
        <v>66811</v>
      </c>
      <c r="L23972">
        <v>0</v>
      </c>
      <c r="M23972">
        <v>0</v>
      </c>
      <c r="N23972">
        <v>3</v>
      </c>
      <c r="O23972" t="s">
        <v>12107</v>
      </c>
    </row>
    <row r="23973" spans="1:15">
      <c r="A23973" t="s">
        <v>66812</v>
      </c>
      <c r="B23973" t="s">
        <v>11644</v>
      </c>
      <c r="C23973" t="s">
        <v>5110</v>
      </c>
      <c r="D23973" t="s">
        <v>66813</v>
      </c>
      <c r="E23973" t="b">
        <v>0</v>
      </c>
      <c r="F23973" t="s">
        <v>11610</v>
      </c>
      <c r="L23973">
        <v>0</v>
      </c>
      <c r="M23973">
        <v>0</v>
      </c>
      <c r="N23973">
        <v>0</v>
      </c>
    </row>
    <row r="23974" spans="1:15">
      <c r="A23974" t="s">
        <v>66814</v>
      </c>
      <c r="B23974" t="s">
        <v>10597</v>
      </c>
      <c r="C23974" t="s">
        <v>30114</v>
      </c>
      <c r="D23974" t="s">
        <v>66815</v>
      </c>
      <c r="E23974" t="b">
        <v>0</v>
      </c>
      <c r="F23974" t="s">
        <v>11624</v>
      </c>
      <c r="G23974">
        <v>-29.915587909999999</v>
      </c>
      <c r="H23974">
        <v>153.26913859999999</v>
      </c>
      <c r="I23974" t="s">
        <v>66816</v>
      </c>
      <c r="L23974">
        <v>0</v>
      </c>
      <c r="M23974">
        <v>0</v>
      </c>
      <c r="N23974">
        <v>0</v>
      </c>
      <c r="O23974" t="s">
        <v>12107</v>
      </c>
    </row>
    <row r="23975" spans="1:15">
      <c r="A23975" t="s">
        <v>66817</v>
      </c>
      <c r="B23975" t="s">
        <v>11637</v>
      </c>
      <c r="C23975" t="s">
        <v>14273</v>
      </c>
      <c r="D23975" t="s">
        <v>66818</v>
      </c>
      <c r="E23975" t="b">
        <v>0</v>
      </c>
      <c r="F23975" t="s">
        <v>11610</v>
      </c>
      <c r="L23975">
        <v>0</v>
      </c>
      <c r="M23975">
        <v>0</v>
      </c>
      <c r="N23975">
        <v>0</v>
      </c>
    </row>
    <row r="23976" spans="1:15">
      <c r="A23976" t="s">
        <v>46710</v>
      </c>
      <c r="B23976" t="s">
        <v>11637</v>
      </c>
      <c r="C23976" t="s">
        <v>21850</v>
      </c>
      <c r="D23976" t="s">
        <v>66819</v>
      </c>
      <c r="E23976" t="b">
        <v>0</v>
      </c>
      <c r="F23976" t="s">
        <v>11622</v>
      </c>
      <c r="L23976">
        <v>0</v>
      </c>
      <c r="M23976">
        <v>2</v>
      </c>
      <c r="N23976">
        <v>3</v>
      </c>
    </row>
    <row r="23977" spans="1:15">
      <c r="A23977" t="s">
        <v>40867</v>
      </c>
      <c r="B23977" t="s">
        <v>11637</v>
      </c>
      <c r="C23977" t="s">
        <v>57035</v>
      </c>
      <c r="D23977" t="s">
        <v>66820</v>
      </c>
      <c r="E23977" t="b">
        <v>0</v>
      </c>
      <c r="F23977" t="s">
        <v>11624</v>
      </c>
      <c r="G23977">
        <v>38.280099999999997</v>
      </c>
      <c r="H23977">
        <v>71.564999999999998</v>
      </c>
      <c r="I23977" t="s">
        <v>66821</v>
      </c>
      <c r="L23977">
        <v>0</v>
      </c>
      <c r="M23977">
        <v>0</v>
      </c>
      <c r="N23977">
        <v>2</v>
      </c>
      <c r="O23977" t="s">
        <v>66369</v>
      </c>
    </row>
    <row r="23978" spans="1:15">
      <c r="A23978" t="s">
        <v>66822</v>
      </c>
      <c r="B23978" t="s">
        <v>6742</v>
      </c>
      <c r="C23978" t="s">
        <v>19789</v>
      </c>
      <c r="D23978" t="s">
        <v>66823</v>
      </c>
      <c r="E23978" t="b">
        <v>0</v>
      </c>
      <c r="F23978" t="s">
        <v>11610</v>
      </c>
      <c r="L23978">
        <v>0</v>
      </c>
      <c r="M23978">
        <v>0</v>
      </c>
      <c r="N23978">
        <v>0</v>
      </c>
    </row>
    <row r="23979" spans="1:15">
      <c r="A23979" t="s">
        <v>66824</v>
      </c>
      <c r="B23979" t="s">
        <v>6742</v>
      </c>
      <c r="C23979" t="s">
        <v>31375</v>
      </c>
      <c r="D23979" t="s">
        <v>66825</v>
      </c>
      <c r="E23979" t="b">
        <v>0</v>
      </c>
      <c r="F23979" t="s">
        <v>11610</v>
      </c>
      <c r="L23979">
        <v>0</v>
      </c>
      <c r="M23979">
        <v>0</v>
      </c>
      <c r="N23979">
        <v>0</v>
      </c>
    </row>
    <row r="23980" spans="1:15">
      <c r="A23980" t="s">
        <v>66826</v>
      </c>
      <c r="B23980" t="s">
        <v>21317</v>
      </c>
      <c r="C23980" t="s">
        <v>21318</v>
      </c>
      <c r="D23980" t="s">
        <v>66827</v>
      </c>
      <c r="E23980" t="b">
        <v>0</v>
      </c>
      <c r="F23980" t="s">
        <v>11624</v>
      </c>
      <c r="G23980">
        <v>20.176500000000001</v>
      </c>
      <c r="H23980">
        <v>-96.874099999999999</v>
      </c>
      <c r="I23980" t="s">
        <v>66828</v>
      </c>
      <c r="L23980">
        <v>0</v>
      </c>
      <c r="M23980">
        <v>0</v>
      </c>
      <c r="N23980">
        <v>0</v>
      </c>
      <c r="O23980" t="s">
        <v>11883</v>
      </c>
    </row>
    <row r="23981" spans="1:15">
      <c r="A23981" t="s">
        <v>66829</v>
      </c>
      <c r="B23981" t="s">
        <v>12438</v>
      </c>
      <c r="C23981" t="s">
        <v>43295</v>
      </c>
      <c r="D23981" t="s">
        <v>66830</v>
      </c>
      <c r="E23981" t="b">
        <v>0</v>
      </c>
      <c r="F23981" t="s">
        <v>11610</v>
      </c>
      <c r="L23981">
        <v>0</v>
      </c>
      <c r="M23981">
        <v>0</v>
      </c>
      <c r="N23981">
        <v>0</v>
      </c>
    </row>
    <row r="23982" spans="1:15">
      <c r="A23982" t="s">
        <v>66831</v>
      </c>
      <c r="B23982" t="s">
        <v>6742</v>
      </c>
      <c r="C23982" t="s">
        <v>66631</v>
      </c>
      <c r="D23982" t="s">
        <v>66832</v>
      </c>
      <c r="E23982" t="b">
        <v>0</v>
      </c>
      <c r="F23982" t="s">
        <v>11610</v>
      </c>
      <c r="L23982">
        <v>0</v>
      </c>
      <c r="M23982">
        <v>0</v>
      </c>
      <c r="N23982">
        <v>0</v>
      </c>
    </row>
    <row r="23983" spans="1:15">
      <c r="A23983" t="s">
        <v>66833</v>
      </c>
      <c r="B23983" t="s">
        <v>11615</v>
      </c>
      <c r="C23983" t="s">
        <v>27560</v>
      </c>
      <c r="D23983" t="s">
        <v>66834</v>
      </c>
      <c r="E23983" t="b">
        <v>0</v>
      </c>
      <c r="F23983" t="s">
        <v>11610</v>
      </c>
      <c r="L23983">
        <v>0</v>
      </c>
      <c r="M23983">
        <v>0</v>
      </c>
      <c r="N23983">
        <v>0</v>
      </c>
    </row>
    <row r="23984" spans="1:15">
      <c r="A23984" t="s">
        <v>66835</v>
      </c>
      <c r="B23984" t="s">
        <v>6742</v>
      </c>
      <c r="C23984" t="s">
        <v>15627</v>
      </c>
      <c r="D23984" t="s">
        <v>66836</v>
      </c>
      <c r="E23984" t="b">
        <v>0</v>
      </c>
      <c r="F23984" t="s">
        <v>11610</v>
      </c>
      <c r="L23984">
        <v>0</v>
      </c>
      <c r="M23984">
        <v>0</v>
      </c>
      <c r="N23984">
        <v>0</v>
      </c>
    </row>
    <row r="23985" spans="1:15">
      <c r="A23985" t="s">
        <v>40906</v>
      </c>
      <c r="B23985" t="s">
        <v>14005</v>
      </c>
      <c r="C23985" t="s">
        <v>45312</v>
      </c>
      <c r="D23985" t="s">
        <v>66837</v>
      </c>
      <c r="E23985" t="b">
        <v>0</v>
      </c>
      <c r="F23985" t="s">
        <v>11624</v>
      </c>
      <c r="G23985">
        <v>-7.8748899999999997</v>
      </c>
      <c r="H23985">
        <v>140.863</v>
      </c>
      <c r="I23985" t="s">
        <v>66838</v>
      </c>
      <c r="L23985">
        <v>0</v>
      </c>
      <c r="M23985">
        <v>0</v>
      </c>
      <c r="N23985">
        <v>2</v>
      </c>
      <c r="O23985" t="s">
        <v>24525</v>
      </c>
    </row>
    <row r="23986" spans="1:15">
      <c r="A23986" t="s">
        <v>66839</v>
      </c>
      <c r="B23986" t="s">
        <v>6742</v>
      </c>
      <c r="C23986" t="s">
        <v>22944</v>
      </c>
      <c r="D23986" t="s">
        <v>66840</v>
      </c>
      <c r="E23986" t="b">
        <v>0</v>
      </c>
      <c r="F23986" t="s">
        <v>11610</v>
      </c>
      <c r="L23986">
        <v>0</v>
      </c>
      <c r="M23986">
        <v>0</v>
      </c>
      <c r="N23986">
        <v>0</v>
      </c>
    </row>
    <row r="23987" spans="1:15">
      <c r="A23987" t="s">
        <v>15118</v>
      </c>
      <c r="B23987" t="s">
        <v>6742</v>
      </c>
      <c r="C23987" t="s">
        <v>63101</v>
      </c>
      <c r="D23987" t="s">
        <v>66841</v>
      </c>
      <c r="E23987" t="b">
        <v>0</v>
      </c>
      <c r="F23987" t="s">
        <v>11624</v>
      </c>
      <c r="G23987">
        <v>7.1020399999999997</v>
      </c>
      <c r="H23987">
        <v>6.4491899999999998</v>
      </c>
      <c r="I23987" t="s">
        <v>66842</v>
      </c>
      <c r="L23987">
        <v>0</v>
      </c>
      <c r="M23987">
        <v>0</v>
      </c>
      <c r="N23987">
        <v>8</v>
      </c>
      <c r="O23987" t="s">
        <v>11693</v>
      </c>
    </row>
    <row r="23988" spans="1:15">
      <c r="A23988" t="s">
        <v>66843</v>
      </c>
      <c r="B23988" t="s">
        <v>11615</v>
      </c>
      <c r="C23988" t="s">
        <v>18677</v>
      </c>
      <c r="D23988" t="s">
        <v>66844</v>
      </c>
      <c r="E23988" t="b">
        <v>0</v>
      </c>
      <c r="F23988" t="s">
        <v>11624</v>
      </c>
      <c r="G23988">
        <v>-7.8624799999999997</v>
      </c>
      <c r="H23988">
        <v>147.46299999999999</v>
      </c>
      <c r="I23988" t="s">
        <v>66845</v>
      </c>
      <c r="L23988">
        <v>0</v>
      </c>
      <c r="M23988">
        <v>0</v>
      </c>
      <c r="N23988">
        <v>0</v>
      </c>
      <c r="O23988" t="s">
        <v>11660</v>
      </c>
    </row>
    <row r="23989" spans="1:15">
      <c r="A23989" t="s">
        <v>35735</v>
      </c>
      <c r="B23989" t="s">
        <v>6742</v>
      </c>
      <c r="C23989" t="s">
        <v>19681</v>
      </c>
      <c r="D23989" t="s">
        <v>66846</v>
      </c>
      <c r="E23989" t="b">
        <v>0</v>
      </c>
      <c r="F23989" t="s">
        <v>11624</v>
      </c>
      <c r="G23989">
        <v>-2.46204</v>
      </c>
      <c r="H23989">
        <v>22.589099999999998</v>
      </c>
      <c r="I23989" t="s">
        <v>66847</v>
      </c>
      <c r="L23989">
        <v>0</v>
      </c>
      <c r="M23989">
        <v>0</v>
      </c>
      <c r="N23989">
        <v>2</v>
      </c>
      <c r="O23989" t="s">
        <v>14825</v>
      </c>
    </row>
    <row r="23990" spans="1:15">
      <c r="A23990" t="s">
        <v>66848</v>
      </c>
      <c r="B23990" t="s">
        <v>6742</v>
      </c>
      <c r="C23990" t="s">
        <v>35735</v>
      </c>
      <c r="D23990" t="s">
        <v>66849</v>
      </c>
      <c r="E23990" t="b">
        <v>0</v>
      </c>
      <c r="F23990" t="s">
        <v>11610</v>
      </c>
      <c r="L23990">
        <v>0</v>
      </c>
      <c r="M23990">
        <v>0</v>
      </c>
      <c r="N23990">
        <v>0</v>
      </c>
    </row>
    <row r="23991" spans="1:15">
      <c r="A23991" t="s">
        <v>66850</v>
      </c>
      <c r="B23991" t="s">
        <v>12241</v>
      </c>
      <c r="C23991" t="s">
        <v>12941</v>
      </c>
      <c r="D23991" t="s">
        <v>66851</v>
      </c>
      <c r="E23991" t="b">
        <v>0</v>
      </c>
      <c r="F23991" t="s">
        <v>11624</v>
      </c>
      <c r="L23991">
        <v>0</v>
      </c>
      <c r="M23991">
        <v>0</v>
      </c>
      <c r="N23991">
        <v>0</v>
      </c>
      <c r="O23991" t="s">
        <v>11969</v>
      </c>
    </row>
    <row r="23992" spans="1:15">
      <c r="A23992" t="s">
        <v>11683</v>
      </c>
      <c r="D23992" t="s">
        <v>66852</v>
      </c>
      <c r="E23992" t="b">
        <v>0</v>
      </c>
      <c r="F23992" t="s">
        <v>11624</v>
      </c>
      <c r="G23992">
        <v>-11.3796</v>
      </c>
      <c r="H23992">
        <v>154.12700000000001</v>
      </c>
      <c r="I23992" t="s">
        <v>66853</v>
      </c>
      <c r="L23992">
        <v>0</v>
      </c>
      <c r="M23992">
        <v>0</v>
      </c>
      <c r="N23992">
        <v>6</v>
      </c>
      <c r="O23992" t="s">
        <v>11660</v>
      </c>
    </row>
    <row r="23993" spans="1:15">
      <c r="A23993" t="s">
        <v>66854</v>
      </c>
      <c r="B23993" t="s">
        <v>6742</v>
      </c>
      <c r="C23993" t="s">
        <v>3201</v>
      </c>
      <c r="D23993" t="s">
        <v>66855</v>
      </c>
      <c r="E23993" t="b">
        <v>0</v>
      </c>
      <c r="F23993" t="s">
        <v>11610</v>
      </c>
      <c r="L23993">
        <v>0</v>
      </c>
      <c r="M23993">
        <v>0</v>
      </c>
      <c r="N23993">
        <v>0</v>
      </c>
    </row>
    <row r="23994" spans="1:15">
      <c r="A23994" t="s">
        <v>12767</v>
      </c>
      <c r="B23994" t="s">
        <v>11705</v>
      </c>
      <c r="C23994" t="s">
        <v>11705</v>
      </c>
      <c r="D23994" t="s">
        <v>66856</v>
      </c>
      <c r="E23994" t="b">
        <v>0</v>
      </c>
      <c r="F23994" t="s">
        <v>11622</v>
      </c>
      <c r="L23994">
        <v>0</v>
      </c>
      <c r="M23994">
        <v>3</v>
      </c>
      <c r="N23994">
        <v>0</v>
      </c>
    </row>
    <row r="23995" spans="1:15">
      <c r="A23995" t="s">
        <v>66857</v>
      </c>
      <c r="B23995" t="s">
        <v>20211</v>
      </c>
      <c r="C23995" t="s">
        <v>20211</v>
      </c>
      <c r="D23995" t="s">
        <v>66858</v>
      </c>
      <c r="E23995" t="b">
        <v>0</v>
      </c>
      <c r="F23995" t="s">
        <v>11624</v>
      </c>
      <c r="G23995">
        <v>-7.4452999999999996</v>
      </c>
      <c r="H23995">
        <v>139.096</v>
      </c>
      <c r="I23995" t="s">
        <v>66859</v>
      </c>
      <c r="L23995">
        <v>0</v>
      </c>
      <c r="M23995">
        <v>0</v>
      </c>
      <c r="N23995">
        <v>0</v>
      </c>
      <c r="O23995" t="s">
        <v>11768</v>
      </c>
    </row>
    <row r="23996" spans="1:15">
      <c r="A23996" t="s">
        <v>66860</v>
      </c>
      <c r="B23996" t="s">
        <v>11644</v>
      </c>
      <c r="C23996" t="s">
        <v>27322</v>
      </c>
      <c r="D23996" t="s">
        <v>66861</v>
      </c>
      <c r="E23996" t="b">
        <v>0</v>
      </c>
      <c r="F23996" t="s">
        <v>11610</v>
      </c>
      <c r="L23996">
        <v>0</v>
      </c>
      <c r="M23996">
        <v>0</v>
      </c>
      <c r="N23996">
        <v>0</v>
      </c>
    </row>
    <row r="23997" spans="1:15">
      <c r="A23997" t="s">
        <v>66862</v>
      </c>
      <c r="B23997" t="s">
        <v>13411</v>
      </c>
      <c r="C23997" t="s">
        <v>42399</v>
      </c>
      <c r="D23997" t="s">
        <v>66863</v>
      </c>
      <c r="E23997" t="b">
        <v>0</v>
      </c>
      <c r="F23997" t="s">
        <v>11624</v>
      </c>
      <c r="G23997">
        <v>-4.0990700000000002</v>
      </c>
      <c r="H23997">
        <v>142.80799999999999</v>
      </c>
      <c r="I23997" t="s">
        <v>66864</v>
      </c>
      <c r="L23997">
        <v>0</v>
      </c>
      <c r="M23997">
        <v>0</v>
      </c>
      <c r="N23997">
        <v>0</v>
      </c>
      <c r="O23997" t="s">
        <v>11660</v>
      </c>
    </row>
    <row r="23998" spans="1:15">
      <c r="A23998" t="s">
        <v>66865</v>
      </c>
      <c r="B23998" t="s">
        <v>6742</v>
      </c>
      <c r="C23998" t="s">
        <v>3201</v>
      </c>
      <c r="D23998" t="s">
        <v>66866</v>
      </c>
      <c r="E23998" t="b">
        <v>0</v>
      </c>
      <c r="F23998" t="s">
        <v>11610</v>
      </c>
      <c r="L23998">
        <v>0</v>
      </c>
      <c r="M23998">
        <v>0</v>
      </c>
      <c r="N23998">
        <v>0</v>
      </c>
    </row>
    <row r="23999" spans="1:15">
      <c r="A23999" t="s">
        <v>28026</v>
      </c>
      <c r="B23999" t="s">
        <v>6742</v>
      </c>
      <c r="C23999" t="s">
        <v>16434</v>
      </c>
      <c r="D23999" t="s">
        <v>66867</v>
      </c>
      <c r="E23999" t="b">
        <v>0</v>
      </c>
      <c r="F23999" t="s">
        <v>11624</v>
      </c>
      <c r="G23999">
        <v>5.4742100000000002</v>
      </c>
      <c r="H23999">
        <v>10.0214</v>
      </c>
      <c r="I23999" t="s">
        <v>66868</v>
      </c>
      <c r="L23999">
        <v>0</v>
      </c>
      <c r="M23999">
        <v>0</v>
      </c>
      <c r="N23999">
        <v>2</v>
      </c>
      <c r="O23999" t="s">
        <v>11703</v>
      </c>
    </row>
    <row r="24000" spans="1:15">
      <c r="A24000" t="s">
        <v>66869</v>
      </c>
      <c r="B24000" t="s">
        <v>11981</v>
      </c>
      <c r="C24000" t="s">
        <v>14250</v>
      </c>
      <c r="D24000" t="s">
        <v>66870</v>
      </c>
      <c r="E24000" t="b">
        <v>0</v>
      </c>
      <c r="F24000" t="s">
        <v>11624</v>
      </c>
      <c r="G24000">
        <v>15.354531</v>
      </c>
      <c r="H24000">
        <v>44.200280999999997</v>
      </c>
      <c r="L24000">
        <v>0</v>
      </c>
      <c r="M24000">
        <v>0</v>
      </c>
      <c r="N24000">
        <v>0</v>
      </c>
      <c r="O24000" t="s">
        <v>30505</v>
      </c>
    </row>
    <row r="24001" spans="1:15">
      <c r="A24001" t="s">
        <v>28108</v>
      </c>
      <c r="B24001" t="s">
        <v>13571</v>
      </c>
      <c r="C24001" t="s">
        <v>13571</v>
      </c>
      <c r="D24001" t="s">
        <v>66871</v>
      </c>
      <c r="E24001" t="b">
        <v>0</v>
      </c>
      <c r="F24001" t="s">
        <v>11624</v>
      </c>
      <c r="G24001">
        <v>7.7982100000000001</v>
      </c>
      <c r="H24001">
        <v>37.441200000000002</v>
      </c>
      <c r="I24001" t="s">
        <v>66872</v>
      </c>
      <c r="L24001">
        <v>0</v>
      </c>
      <c r="M24001">
        <v>0</v>
      </c>
      <c r="N24001">
        <v>2</v>
      </c>
      <c r="O24001" t="s">
        <v>11625</v>
      </c>
    </row>
    <row r="24002" spans="1:15">
      <c r="A24002" t="s">
        <v>66873</v>
      </c>
      <c r="B24002" t="s">
        <v>11627</v>
      </c>
      <c r="C24002" t="s">
        <v>11627</v>
      </c>
      <c r="D24002" t="s">
        <v>66874</v>
      </c>
      <c r="E24002" t="b">
        <v>1</v>
      </c>
      <c r="F24002" t="s">
        <v>11624</v>
      </c>
      <c r="G24002">
        <v>9.0159000000000002</v>
      </c>
      <c r="H24002">
        <v>12.1396</v>
      </c>
      <c r="I24002" t="s">
        <v>66875</v>
      </c>
      <c r="L24002">
        <v>0</v>
      </c>
      <c r="M24002">
        <v>0</v>
      </c>
      <c r="N24002">
        <v>0</v>
      </c>
      <c r="O24002" t="s">
        <v>11693</v>
      </c>
    </row>
    <row r="24003" spans="1:15">
      <c r="A24003" t="s">
        <v>38443</v>
      </c>
      <c r="B24003" t="s">
        <v>6742</v>
      </c>
      <c r="C24003" t="s">
        <v>64293</v>
      </c>
      <c r="D24003" t="s">
        <v>66876</v>
      </c>
      <c r="E24003" t="b">
        <v>0</v>
      </c>
      <c r="F24003" t="s">
        <v>11624</v>
      </c>
      <c r="G24003">
        <v>9</v>
      </c>
      <c r="H24003">
        <v>11.8</v>
      </c>
      <c r="I24003" t="s">
        <v>66877</v>
      </c>
      <c r="L24003">
        <v>0</v>
      </c>
      <c r="M24003">
        <v>0</v>
      </c>
      <c r="N24003">
        <v>3</v>
      </c>
      <c r="O24003" t="s">
        <v>11693</v>
      </c>
    </row>
    <row r="24004" spans="1:15">
      <c r="A24004" t="s">
        <v>66878</v>
      </c>
      <c r="B24004" t="s">
        <v>6742</v>
      </c>
      <c r="C24004" t="s">
        <v>3201</v>
      </c>
      <c r="D24004" t="s">
        <v>66879</v>
      </c>
      <c r="E24004" t="b">
        <v>0</v>
      </c>
      <c r="F24004" t="s">
        <v>11610</v>
      </c>
      <c r="L24004">
        <v>0</v>
      </c>
      <c r="M24004">
        <v>0</v>
      </c>
      <c r="N24004">
        <v>0</v>
      </c>
    </row>
    <row r="24005" spans="1:15">
      <c r="A24005" t="s">
        <v>66880</v>
      </c>
      <c r="B24005" t="s">
        <v>12204</v>
      </c>
      <c r="C24005" t="s">
        <v>29087</v>
      </c>
      <c r="D24005" t="s">
        <v>66881</v>
      </c>
      <c r="E24005" t="b">
        <v>0</v>
      </c>
      <c r="F24005" t="s">
        <v>11624</v>
      </c>
      <c r="G24005">
        <v>48.2483</v>
      </c>
      <c r="H24005">
        <v>8.4726700000000008</v>
      </c>
      <c r="I24005" t="s">
        <v>66882</v>
      </c>
      <c r="L24005">
        <v>0</v>
      </c>
      <c r="M24005">
        <v>0</v>
      </c>
      <c r="N24005">
        <v>0</v>
      </c>
      <c r="O24005" t="s">
        <v>66883</v>
      </c>
    </row>
    <row r="24006" spans="1:15">
      <c r="A24006" t="s">
        <v>36059</v>
      </c>
      <c r="B24006" t="s">
        <v>331</v>
      </c>
      <c r="C24006" t="s">
        <v>26630</v>
      </c>
      <c r="D24006" t="s">
        <v>66884</v>
      </c>
      <c r="E24006" t="b">
        <v>0</v>
      </c>
      <c r="F24006" t="s">
        <v>11622</v>
      </c>
      <c r="L24006">
        <v>0</v>
      </c>
      <c r="M24006">
        <v>2</v>
      </c>
      <c r="N24006">
        <v>7</v>
      </c>
    </row>
    <row r="24007" spans="1:15">
      <c r="A24007" t="s">
        <v>14552</v>
      </c>
      <c r="D24007" t="s">
        <v>66885</v>
      </c>
      <c r="E24007" t="b">
        <v>0</v>
      </c>
      <c r="F24007" t="s">
        <v>11622</v>
      </c>
      <c r="L24007">
        <v>3</v>
      </c>
      <c r="M24007">
        <v>5</v>
      </c>
      <c r="N24007">
        <v>3</v>
      </c>
    </row>
    <row r="24008" spans="1:15">
      <c r="A24008" t="s">
        <v>66886</v>
      </c>
      <c r="B24008" t="s">
        <v>6742</v>
      </c>
      <c r="C24008" t="s">
        <v>41215</v>
      </c>
      <c r="D24008" t="s">
        <v>66887</v>
      </c>
      <c r="E24008" t="b">
        <v>0</v>
      </c>
      <c r="F24008" t="s">
        <v>11624</v>
      </c>
      <c r="G24008">
        <v>6.4895399999999999</v>
      </c>
      <c r="H24008">
        <v>11.539199999999999</v>
      </c>
      <c r="I24008" t="s">
        <v>66888</v>
      </c>
      <c r="L24008">
        <v>0</v>
      </c>
      <c r="M24008">
        <v>0</v>
      </c>
      <c r="N24008">
        <v>0</v>
      </c>
      <c r="O24008" t="s">
        <v>11703</v>
      </c>
    </row>
    <row r="24009" spans="1:15">
      <c r="A24009" t="s">
        <v>26630</v>
      </c>
      <c r="B24009" t="s">
        <v>331</v>
      </c>
      <c r="C24009" t="s">
        <v>22941</v>
      </c>
      <c r="D24009" t="s">
        <v>66889</v>
      </c>
      <c r="E24009" t="b">
        <v>0</v>
      </c>
      <c r="F24009" t="s">
        <v>11622</v>
      </c>
      <c r="L24009">
        <v>2</v>
      </c>
      <c r="M24009">
        <v>4</v>
      </c>
      <c r="N24009">
        <v>7</v>
      </c>
    </row>
    <row r="24010" spans="1:15">
      <c r="A24010" t="s">
        <v>66890</v>
      </c>
      <c r="D24010" t="s">
        <v>66891</v>
      </c>
      <c r="E24010" t="b">
        <v>0</v>
      </c>
      <c r="F24010" t="s">
        <v>11624</v>
      </c>
      <c r="G24010">
        <v>-4.2882800000000003</v>
      </c>
      <c r="H24010">
        <v>142.947</v>
      </c>
      <c r="I24010" t="s">
        <v>66892</v>
      </c>
      <c r="L24010">
        <v>0</v>
      </c>
      <c r="M24010">
        <v>0</v>
      </c>
      <c r="N24010">
        <v>0</v>
      </c>
      <c r="O24010" t="s">
        <v>11660</v>
      </c>
    </row>
    <row r="24011" spans="1:15">
      <c r="A24011" t="s">
        <v>66893</v>
      </c>
      <c r="B24011" t="s">
        <v>331</v>
      </c>
      <c r="C24011" t="s">
        <v>35040</v>
      </c>
      <c r="D24011" t="s">
        <v>66894</v>
      </c>
      <c r="E24011" t="b">
        <v>0</v>
      </c>
      <c r="F24011" t="s">
        <v>11610</v>
      </c>
      <c r="L24011">
        <v>0</v>
      </c>
      <c r="M24011">
        <v>0</v>
      </c>
      <c r="N24011">
        <v>0</v>
      </c>
    </row>
    <row r="24012" spans="1:15">
      <c r="A24012" t="s">
        <v>66895</v>
      </c>
      <c r="B24012" t="s">
        <v>367</v>
      </c>
      <c r="C24012" t="s">
        <v>58807</v>
      </c>
      <c r="D24012" t="s">
        <v>66896</v>
      </c>
      <c r="E24012" t="b">
        <v>0</v>
      </c>
      <c r="F24012" t="s">
        <v>11624</v>
      </c>
      <c r="G24012">
        <v>-3.0171299999999999</v>
      </c>
      <c r="H24012">
        <v>134.65600000000001</v>
      </c>
      <c r="I24012" t="s">
        <v>66897</v>
      </c>
      <c r="L24012">
        <v>0</v>
      </c>
      <c r="M24012">
        <v>0</v>
      </c>
      <c r="N24012">
        <v>0</v>
      </c>
      <c r="O24012" t="s">
        <v>11768</v>
      </c>
    </row>
    <row r="24013" spans="1:15">
      <c r="A24013" t="s">
        <v>66898</v>
      </c>
      <c r="B24013" t="s">
        <v>12311</v>
      </c>
      <c r="C24013" t="s">
        <v>20031</v>
      </c>
      <c r="D24013" t="s">
        <v>66899</v>
      </c>
      <c r="E24013" t="b">
        <v>0</v>
      </c>
      <c r="F24013" t="s">
        <v>11610</v>
      </c>
      <c r="L24013">
        <v>0</v>
      </c>
      <c r="M24013">
        <v>0</v>
      </c>
      <c r="N24013">
        <v>0</v>
      </c>
    </row>
    <row r="24014" spans="1:15">
      <c r="A24014" t="s">
        <v>66900</v>
      </c>
      <c r="B24014" t="s">
        <v>12311</v>
      </c>
      <c r="C24014" t="s">
        <v>13232</v>
      </c>
      <c r="D24014" t="s">
        <v>66901</v>
      </c>
      <c r="E24014" t="b">
        <v>0</v>
      </c>
      <c r="F24014" t="s">
        <v>11610</v>
      </c>
      <c r="L24014">
        <v>0</v>
      </c>
      <c r="M24014">
        <v>0</v>
      </c>
      <c r="N24014">
        <v>0</v>
      </c>
    </row>
    <row r="24015" spans="1:15">
      <c r="A24015" t="s">
        <v>66902</v>
      </c>
      <c r="B24015" t="s">
        <v>6742</v>
      </c>
      <c r="C24015" t="s">
        <v>20222</v>
      </c>
      <c r="D24015" t="s">
        <v>66903</v>
      </c>
      <c r="E24015" t="b">
        <v>0</v>
      </c>
      <c r="F24015" t="s">
        <v>11610</v>
      </c>
      <c r="L24015">
        <v>0</v>
      </c>
      <c r="M24015">
        <v>0</v>
      </c>
      <c r="N24015">
        <v>0</v>
      </c>
    </row>
    <row r="24016" spans="1:15">
      <c r="A24016" t="s">
        <v>66904</v>
      </c>
      <c r="B24016" t="s">
        <v>11644</v>
      </c>
      <c r="C24016" t="s">
        <v>20791</v>
      </c>
      <c r="D24016" t="s">
        <v>66905</v>
      </c>
      <c r="E24016" t="b">
        <v>0</v>
      </c>
      <c r="F24016" t="s">
        <v>11610</v>
      </c>
      <c r="L24016">
        <v>0</v>
      </c>
      <c r="M24016">
        <v>0</v>
      </c>
      <c r="N24016">
        <v>0</v>
      </c>
    </row>
    <row r="24017" spans="1:15">
      <c r="A24017" t="s">
        <v>66906</v>
      </c>
      <c r="B24017" t="s">
        <v>5126</v>
      </c>
      <c r="C24017" t="s">
        <v>20680</v>
      </c>
      <c r="D24017" t="s">
        <v>66907</v>
      </c>
      <c r="E24017" t="b">
        <v>0</v>
      </c>
      <c r="F24017" t="s">
        <v>11624</v>
      </c>
      <c r="G24017">
        <v>23.341999999999999</v>
      </c>
      <c r="H24017">
        <v>105.754</v>
      </c>
      <c r="I24017" t="s">
        <v>66908</v>
      </c>
      <c r="L24017">
        <v>0</v>
      </c>
      <c r="M24017">
        <v>0</v>
      </c>
      <c r="N24017">
        <v>0</v>
      </c>
      <c r="O24017" t="s">
        <v>11905</v>
      </c>
    </row>
    <row r="24018" spans="1:15">
      <c r="A24018" t="s">
        <v>52447</v>
      </c>
      <c r="B24018" t="s">
        <v>11844</v>
      </c>
      <c r="C24018" t="s">
        <v>34143</v>
      </c>
      <c r="D24018" t="s">
        <v>66909</v>
      </c>
      <c r="E24018" t="b">
        <v>0</v>
      </c>
      <c r="F24018" t="s">
        <v>11624</v>
      </c>
      <c r="G24018">
        <v>17.370200000000001</v>
      </c>
      <c r="H24018">
        <v>81.974800000000002</v>
      </c>
      <c r="I24018" t="s">
        <v>66910</v>
      </c>
      <c r="L24018">
        <v>0</v>
      </c>
      <c r="M24018">
        <v>0</v>
      </c>
      <c r="N24018">
        <v>2</v>
      </c>
      <c r="O24018" t="s">
        <v>11630</v>
      </c>
    </row>
    <row r="24019" spans="1:15">
      <c r="A24019" t="s">
        <v>66911</v>
      </c>
      <c r="B24019" t="s">
        <v>6742</v>
      </c>
      <c r="C24019" t="s">
        <v>16612</v>
      </c>
      <c r="D24019" t="s">
        <v>66912</v>
      </c>
      <c r="E24019" t="b">
        <v>0</v>
      </c>
      <c r="F24019" t="s">
        <v>11610</v>
      </c>
      <c r="L24019">
        <v>0</v>
      </c>
      <c r="M24019">
        <v>0</v>
      </c>
      <c r="N24019">
        <v>0</v>
      </c>
    </row>
    <row r="24020" spans="1:15">
      <c r="A24020" t="s">
        <v>34143</v>
      </c>
      <c r="B24020" t="s">
        <v>11844</v>
      </c>
      <c r="C24020" t="s">
        <v>42010</v>
      </c>
      <c r="D24020" t="s">
        <v>66913</v>
      </c>
      <c r="E24020" t="b">
        <v>0</v>
      </c>
      <c r="F24020" t="s">
        <v>11622</v>
      </c>
      <c r="L24020">
        <v>0</v>
      </c>
      <c r="M24020">
        <v>2</v>
      </c>
      <c r="N24020">
        <v>2</v>
      </c>
    </row>
    <row r="24021" spans="1:15">
      <c r="A24021" t="s">
        <v>66914</v>
      </c>
      <c r="B24021" t="s">
        <v>13967</v>
      </c>
      <c r="C24021" t="s">
        <v>21519</v>
      </c>
      <c r="D24021" t="s">
        <v>66915</v>
      </c>
      <c r="E24021" t="b">
        <v>0</v>
      </c>
      <c r="F24021" t="s">
        <v>11610</v>
      </c>
      <c r="L24021">
        <v>0</v>
      </c>
      <c r="M24021">
        <v>0</v>
      </c>
      <c r="N24021">
        <v>0</v>
      </c>
    </row>
    <row r="24022" spans="1:15">
      <c r="A24022" t="s">
        <v>17687</v>
      </c>
      <c r="B24022" t="s">
        <v>6742</v>
      </c>
      <c r="C24022" t="s">
        <v>14748</v>
      </c>
      <c r="D24022" t="s">
        <v>66916</v>
      </c>
      <c r="E24022" t="b">
        <v>0</v>
      </c>
      <c r="F24022" t="s">
        <v>11624</v>
      </c>
      <c r="G24022">
        <v>9.0545399999999994</v>
      </c>
      <c r="H24022">
        <v>7.9791299999999996</v>
      </c>
      <c r="I24022" t="s">
        <v>38</v>
      </c>
      <c r="L24022">
        <v>0</v>
      </c>
      <c r="M24022">
        <v>0</v>
      </c>
      <c r="N24022">
        <v>5</v>
      </c>
      <c r="O24022" t="s">
        <v>11693</v>
      </c>
    </row>
    <row r="24023" spans="1:15">
      <c r="A24023" t="s">
        <v>43526</v>
      </c>
      <c r="B24023" t="s">
        <v>11705</v>
      </c>
      <c r="C24023" t="s">
        <v>43542</v>
      </c>
      <c r="D24023" t="s">
        <v>66917</v>
      </c>
      <c r="E24023" t="b">
        <v>0</v>
      </c>
      <c r="F24023" t="s">
        <v>11624</v>
      </c>
      <c r="G24023">
        <v>-4.1572100000000001</v>
      </c>
      <c r="H24023">
        <v>142.57400000000001</v>
      </c>
      <c r="I24023" t="s">
        <v>66918</v>
      </c>
      <c r="L24023">
        <v>0</v>
      </c>
      <c r="M24023">
        <v>0</v>
      </c>
      <c r="N24023">
        <v>2</v>
      </c>
      <c r="O24023" t="s">
        <v>11660</v>
      </c>
    </row>
    <row r="24024" spans="1:15">
      <c r="A24024" t="s">
        <v>66919</v>
      </c>
      <c r="D24024" t="s">
        <v>66920</v>
      </c>
      <c r="E24024" t="b">
        <v>0</v>
      </c>
      <c r="F24024" t="s">
        <v>11624</v>
      </c>
      <c r="G24024">
        <v>-4.05884</v>
      </c>
      <c r="H24024">
        <v>140.65299999999999</v>
      </c>
      <c r="I24024" t="s">
        <v>66921</v>
      </c>
      <c r="L24024">
        <v>0</v>
      </c>
      <c r="M24024">
        <v>0</v>
      </c>
      <c r="N24024">
        <v>0</v>
      </c>
      <c r="O24024" t="s">
        <v>24525</v>
      </c>
    </row>
    <row r="24025" spans="1:15">
      <c r="A24025" t="s">
        <v>66922</v>
      </c>
      <c r="B24025" t="s">
        <v>11637</v>
      </c>
      <c r="C24025" t="s">
        <v>14208</v>
      </c>
      <c r="D24025" t="s">
        <v>66923</v>
      </c>
      <c r="E24025" t="b">
        <v>0</v>
      </c>
      <c r="F24025" t="s">
        <v>11624</v>
      </c>
      <c r="G24025">
        <v>31.800999999999998</v>
      </c>
      <c r="H24025">
        <v>35.108400000000003</v>
      </c>
      <c r="I24025" t="s">
        <v>66924</v>
      </c>
      <c r="L24025">
        <v>0</v>
      </c>
      <c r="M24025">
        <v>0</v>
      </c>
      <c r="N24025">
        <v>0</v>
      </c>
      <c r="O24025" t="s">
        <v>66925</v>
      </c>
    </row>
    <row r="24026" spans="1:15">
      <c r="A24026" t="s">
        <v>66926</v>
      </c>
      <c r="B24026" t="s">
        <v>21672</v>
      </c>
      <c r="C24026" t="s">
        <v>59582</v>
      </c>
      <c r="D24026" t="s">
        <v>66927</v>
      </c>
      <c r="E24026" t="b">
        <v>0</v>
      </c>
      <c r="F24026" t="s">
        <v>11610</v>
      </c>
      <c r="L24026">
        <v>0</v>
      </c>
      <c r="M24026">
        <v>0</v>
      </c>
      <c r="N24026">
        <v>0</v>
      </c>
    </row>
    <row r="24027" spans="1:15">
      <c r="A24027" t="s">
        <v>66928</v>
      </c>
      <c r="B24027" t="s">
        <v>6742</v>
      </c>
      <c r="C24027" t="s">
        <v>17425</v>
      </c>
      <c r="D24027" t="s">
        <v>66929</v>
      </c>
      <c r="E24027" t="b">
        <v>0</v>
      </c>
      <c r="F24027" t="s">
        <v>11610</v>
      </c>
      <c r="L24027">
        <v>0</v>
      </c>
      <c r="M24027">
        <v>0</v>
      </c>
      <c r="N24027">
        <v>0</v>
      </c>
    </row>
    <row r="24028" spans="1:15">
      <c r="A24028" t="s">
        <v>56956</v>
      </c>
      <c r="B24028" t="s">
        <v>6742</v>
      </c>
      <c r="C24028" t="s">
        <v>21841</v>
      </c>
      <c r="D24028" t="s">
        <v>66930</v>
      </c>
      <c r="E24028" t="b">
        <v>0</v>
      </c>
      <c r="F24028" t="s">
        <v>11624</v>
      </c>
      <c r="G24028">
        <v>-18.9178</v>
      </c>
      <c r="H24028">
        <v>23.608799999999999</v>
      </c>
      <c r="I24028" t="s">
        <v>66931</v>
      </c>
      <c r="L24028">
        <v>0</v>
      </c>
      <c r="M24028">
        <v>0</v>
      </c>
      <c r="N24028">
        <v>1</v>
      </c>
      <c r="O24028" t="s">
        <v>31019</v>
      </c>
    </row>
    <row r="24029" spans="1:15">
      <c r="A24029" t="s">
        <v>66932</v>
      </c>
      <c r="B24029" t="s">
        <v>331</v>
      </c>
      <c r="C24029" t="s">
        <v>22497</v>
      </c>
      <c r="D24029" t="s">
        <v>66933</v>
      </c>
      <c r="E24029" t="b">
        <v>0</v>
      </c>
      <c r="F24029" t="s">
        <v>11610</v>
      </c>
      <c r="L24029">
        <v>0</v>
      </c>
      <c r="M24029">
        <v>0</v>
      </c>
      <c r="N24029">
        <v>0</v>
      </c>
    </row>
    <row r="24030" spans="1:15">
      <c r="A24030" t="s">
        <v>66934</v>
      </c>
      <c r="B24030" t="s">
        <v>11627</v>
      </c>
      <c r="C24030" t="s">
        <v>11627</v>
      </c>
      <c r="D24030" t="s">
        <v>66935</v>
      </c>
      <c r="E24030" t="b">
        <v>1</v>
      </c>
      <c r="F24030" t="s">
        <v>11624</v>
      </c>
      <c r="G24030">
        <v>31.734200000000001</v>
      </c>
      <c r="H24030">
        <v>34.781799999999997</v>
      </c>
      <c r="I24030" t="s">
        <v>66936</v>
      </c>
      <c r="L24030">
        <v>0</v>
      </c>
      <c r="M24030">
        <v>0</v>
      </c>
      <c r="N24030">
        <v>0</v>
      </c>
      <c r="O24030" t="s">
        <v>13147</v>
      </c>
    </row>
    <row r="24031" spans="1:15">
      <c r="A24031" t="s">
        <v>25850</v>
      </c>
      <c r="B24031" t="s">
        <v>11637</v>
      </c>
      <c r="C24031" t="s">
        <v>26714</v>
      </c>
      <c r="D24031" t="s">
        <v>66937</v>
      </c>
      <c r="E24031" t="b">
        <v>0</v>
      </c>
      <c r="F24031" t="s">
        <v>11622</v>
      </c>
      <c r="I24031" t="s">
        <v>66938</v>
      </c>
      <c r="L24031">
        <v>0</v>
      </c>
      <c r="M24031">
        <v>2</v>
      </c>
      <c r="N24031">
        <v>13</v>
      </c>
      <c r="O24031" t="s">
        <v>13147</v>
      </c>
    </row>
    <row r="24032" spans="1:15">
      <c r="A24032" t="s">
        <v>45807</v>
      </c>
      <c r="B24032" t="s">
        <v>11637</v>
      </c>
      <c r="C24032" t="s">
        <v>2187</v>
      </c>
      <c r="D24032" t="s">
        <v>66939</v>
      </c>
      <c r="E24032" t="b">
        <v>0</v>
      </c>
      <c r="F24032" t="s">
        <v>11622</v>
      </c>
      <c r="L24032">
        <v>0</v>
      </c>
      <c r="M24032">
        <v>2</v>
      </c>
      <c r="N24032">
        <v>4</v>
      </c>
    </row>
    <row r="24033" spans="1:15">
      <c r="A24033" t="s">
        <v>66940</v>
      </c>
      <c r="B24033" t="s">
        <v>11637</v>
      </c>
      <c r="C24033" t="s">
        <v>45807</v>
      </c>
      <c r="D24033" t="s">
        <v>66941</v>
      </c>
      <c r="E24033" t="b">
        <v>0</v>
      </c>
      <c r="F24033" t="s">
        <v>11624</v>
      </c>
      <c r="G24033">
        <v>36.014000000000003</v>
      </c>
      <c r="H24033">
        <v>71.5077</v>
      </c>
      <c r="I24033" t="s">
        <v>66942</v>
      </c>
      <c r="L24033">
        <v>0</v>
      </c>
      <c r="M24033">
        <v>0</v>
      </c>
      <c r="N24033">
        <v>0</v>
      </c>
      <c r="O24033" t="s">
        <v>12172</v>
      </c>
    </row>
    <row r="24034" spans="1:15">
      <c r="A24034" t="s">
        <v>25692</v>
      </c>
      <c r="B24034" t="s">
        <v>10597</v>
      </c>
      <c r="C24034" t="s">
        <v>29958</v>
      </c>
      <c r="D24034" t="s">
        <v>66943</v>
      </c>
      <c r="E24034" t="b">
        <v>0</v>
      </c>
      <c r="F24034" t="s">
        <v>11622</v>
      </c>
      <c r="L24034">
        <v>0</v>
      </c>
      <c r="M24034">
        <v>2</v>
      </c>
      <c r="N24034">
        <v>6</v>
      </c>
    </row>
    <row r="24035" spans="1:15">
      <c r="A24035" t="s">
        <v>30150</v>
      </c>
      <c r="B24035" t="s">
        <v>10597</v>
      </c>
      <c r="C24035" t="s">
        <v>25692</v>
      </c>
      <c r="D24035" t="s">
        <v>66944</v>
      </c>
      <c r="E24035" t="b">
        <v>0</v>
      </c>
      <c r="F24035" t="s">
        <v>11624</v>
      </c>
      <c r="G24035">
        <v>-17.133199999999999</v>
      </c>
      <c r="H24035">
        <v>145.876</v>
      </c>
      <c r="I24035" t="s">
        <v>66945</v>
      </c>
      <c r="L24035">
        <v>0</v>
      </c>
      <c r="M24035">
        <v>0</v>
      </c>
      <c r="N24035">
        <v>3</v>
      </c>
      <c r="O24035" t="s">
        <v>12107</v>
      </c>
    </row>
    <row r="24036" spans="1:15">
      <c r="A24036" t="s">
        <v>66946</v>
      </c>
      <c r="B24036" t="s">
        <v>15569</v>
      </c>
      <c r="C24036" t="s">
        <v>38701</v>
      </c>
      <c r="D24036" t="s">
        <v>66947</v>
      </c>
      <c r="E24036" t="b">
        <v>0</v>
      </c>
      <c r="F24036" t="s">
        <v>11610</v>
      </c>
      <c r="L24036">
        <v>0</v>
      </c>
      <c r="M24036">
        <v>0</v>
      </c>
      <c r="N24036">
        <v>0</v>
      </c>
    </row>
    <row r="24037" spans="1:15">
      <c r="A24037" t="s">
        <v>66948</v>
      </c>
      <c r="B24037" t="s">
        <v>13276</v>
      </c>
      <c r="C24037" t="s">
        <v>18350</v>
      </c>
      <c r="D24037" t="s">
        <v>66949</v>
      </c>
      <c r="E24037" t="b">
        <v>0</v>
      </c>
      <c r="F24037" t="s">
        <v>11610</v>
      </c>
      <c r="L24037">
        <v>0</v>
      </c>
      <c r="M24037">
        <v>0</v>
      </c>
      <c r="N24037">
        <v>0</v>
      </c>
    </row>
    <row r="24038" spans="1:15">
      <c r="A24038" t="s">
        <v>66950</v>
      </c>
      <c r="B24038" t="s">
        <v>4342</v>
      </c>
      <c r="C24038" t="s">
        <v>33225</v>
      </c>
      <c r="D24038" t="s">
        <v>66951</v>
      </c>
      <c r="E24038" t="b">
        <v>0</v>
      </c>
      <c r="F24038" t="s">
        <v>11624</v>
      </c>
      <c r="L24038">
        <v>0</v>
      </c>
      <c r="M24038">
        <v>0</v>
      </c>
      <c r="N24038">
        <v>0</v>
      </c>
    </row>
    <row r="24039" spans="1:15">
      <c r="A24039" t="s">
        <v>66952</v>
      </c>
      <c r="B24039" t="s">
        <v>11644</v>
      </c>
      <c r="C24039" t="s">
        <v>22270</v>
      </c>
      <c r="D24039" t="s">
        <v>66953</v>
      </c>
      <c r="E24039" t="b">
        <v>0</v>
      </c>
      <c r="F24039" t="s">
        <v>11610</v>
      </c>
      <c r="L24039">
        <v>0</v>
      </c>
      <c r="M24039">
        <v>0</v>
      </c>
      <c r="N24039">
        <v>0</v>
      </c>
    </row>
    <row r="24040" spans="1:15">
      <c r="A24040" t="s">
        <v>66954</v>
      </c>
      <c r="B24040" t="s">
        <v>6742</v>
      </c>
      <c r="C24040" t="s">
        <v>17497</v>
      </c>
      <c r="D24040" t="s">
        <v>66955</v>
      </c>
      <c r="E24040" t="b">
        <v>0</v>
      </c>
      <c r="F24040" t="s">
        <v>11610</v>
      </c>
      <c r="L24040">
        <v>0</v>
      </c>
      <c r="M24040">
        <v>0</v>
      </c>
      <c r="N24040">
        <v>0</v>
      </c>
    </row>
    <row r="24041" spans="1:15">
      <c r="A24041" t="s">
        <v>66956</v>
      </c>
      <c r="B24041" t="s">
        <v>13276</v>
      </c>
      <c r="C24041" t="s">
        <v>19545</v>
      </c>
      <c r="D24041" t="s">
        <v>66957</v>
      </c>
      <c r="E24041" t="b">
        <v>0</v>
      </c>
      <c r="F24041" t="s">
        <v>11610</v>
      </c>
      <c r="L24041">
        <v>0</v>
      </c>
      <c r="M24041">
        <v>0</v>
      </c>
      <c r="N24041">
        <v>0</v>
      </c>
    </row>
    <row r="24042" spans="1:15">
      <c r="A24042" t="s">
        <v>66958</v>
      </c>
      <c r="B24042" t="s">
        <v>11834</v>
      </c>
      <c r="C24042" t="s">
        <v>47810</v>
      </c>
      <c r="D24042" t="s">
        <v>66959</v>
      </c>
      <c r="E24042" t="b">
        <v>0</v>
      </c>
      <c r="F24042" t="s">
        <v>11624</v>
      </c>
      <c r="G24042">
        <v>-3.4650099999999999</v>
      </c>
      <c r="H24042">
        <v>142.178</v>
      </c>
      <c r="I24042" t="s">
        <v>66960</v>
      </c>
      <c r="L24042">
        <v>0</v>
      </c>
      <c r="M24042">
        <v>0</v>
      </c>
      <c r="N24042">
        <v>0</v>
      </c>
      <c r="O24042" t="s">
        <v>11660</v>
      </c>
    </row>
    <row r="24043" spans="1:15">
      <c r="A24043" t="s">
        <v>66961</v>
      </c>
      <c r="B24043" t="s">
        <v>13450</v>
      </c>
      <c r="C24043" t="s">
        <v>66962</v>
      </c>
      <c r="D24043" t="s">
        <v>66963</v>
      </c>
      <c r="E24043" t="b">
        <v>0</v>
      </c>
      <c r="F24043" t="s">
        <v>11624</v>
      </c>
      <c r="G24043">
        <v>-4.9449100000000001</v>
      </c>
      <c r="H24043">
        <v>143.70047299999999</v>
      </c>
      <c r="L24043">
        <v>0</v>
      </c>
      <c r="M24043">
        <v>0</v>
      </c>
      <c r="N24043">
        <v>0</v>
      </c>
      <c r="O24043" t="s">
        <v>11660</v>
      </c>
    </row>
    <row r="24044" spans="1:15">
      <c r="A24044" t="s">
        <v>66964</v>
      </c>
      <c r="B24044" t="s">
        <v>11871</v>
      </c>
      <c r="C24044" t="s">
        <v>35105</v>
      </c>
      <c r="D24044" t="s">
        <v>66965</v>
      </c>
      <c r="E24044" t="b">
        <v>0</v>
      </c>
      <c r="F24044" t="s">
        <v>11624</v>
      </c>
      <c r="G24044">
        <v>-4.7173100000000003</v>
      </c>
      <c r="H24044">
        <v>143.572</v>
      </c>
      <c r="I24044" t="s">
        <v>66966</v>
      </c>
      <c r="L24044">
        <v>0</v>
      </c>
      <c r="M24044">
        <v>0</v>
      </c>
      <c r="N24044">
        <v>0</v>
      </c>
      <c r="O24044" t="s">
        <v>11660</v>
      </c>
    </row>
    <row r="24045" spans="1:15">
      <c r="A24045" t="s">
        <v>66967</v>
      </c>
      <c r="B24045" t="s">
        <v>13450</v>
      </c>
      <c r="C24045" t="s">
        <v>66962</v>
      </c>
      <c r="D24045" t="s">
        <v>66968</v>
      </c>
      <c r="E24045" t="b">
        <v>0</v>
      </c>
      <c r="F24045" t="s">
        <v>11624</v>
      </c>
      <c r="G24045">
        <v>-4.883724</v>
      </c>
      <c r="H24045">
        <v>143.67382699999999</v>
      </c>
      <c r="L24045">
        <v>0</v>
      </c>
      <c r="M24045">
        <v>0</v>
      </c>
      <c r="N24045">
        <v>0</v>
      </c>
      <c r="O24045" t="s">
        <v>11660</v>
      </c>
    </row>
    <row r="24046" spans="1:15">
      <c r="A24046" t="s">
        <v>66969</v>
      </c>
      <c r="B24046" t="s">
        <v>13450</v>
      </c>
      <c r="C24046" t="s">
        <v>66962</v>
      </c>
      <c r="D24046" t="s">
        <v>66970</v>
      </c>
      <c r="E24046" t="b">
        <v>0</v>
      </c>
      <c r="F24046" t="s">
        <v>11624</v>
      </c>
      <c r="G24046">
        <v>-4.6394989999999998</v>
      </c>
      <c r="H24046">
        <v>143.562895</v>
      </c>
      <c r="L24046">
        <v>0</v>
      </c>
      <c r="M24046">
        <v>0</v>
      </c>
      <c r="N24046">
        <v>0</v>
      </c>
      <c r="O24046" t="s">
        <v>11660</v>
      </c>
    </row>
    <row r="24047" spans="1:15">
      <c r="A24047" t="s">
        <v>66971</v>
      </c>
      <c r="B24047" t="s">
        <v>13450</v>
      </c>
      <c r="C24047" t="s">
        <v>66962</v>
      </c>
      <c r="D24047" t="s">
        <v>66972</v>
      </c>
      <c r="E24047" t="b">
        <v>0</v>
      </c>
      <c r="F24047" t="s">
        <v>11624</v>
      </c>
      <c r="G24047">
        <v>-4.2959230000000002</v>
      </c>
      <c r="H24047">
        <v>143.41946300000001</v>
      </c>
      <c r="L24047">
        <v>0</v>
      </c>
      <c r="M24047">
        <v>0</v>
      </c>
      <c r="N24047">
        <v>0</v>
      </c>
      <c r="O24047" t="s">
        <v>11660</v>
      </c>
    </row>
    <row r="24048" spans="1:15">
      <c r="A24048" t="s">
        <v>66962</v>
      </c>
      <c r="B24048" t="s">
        <v>13450</v>
      </c>
      <c r="C24048" t="s">
        <v>13450</v>
      </c>
      <c r="D24048" t="s">
        <v>66973</v>
      </c>
      <c r="E24048" t="b">
        <v>0</v>
      </c>
      <c r="F24048" t="s">
        <v>11622</v>
      </c>
      <c r="L24048">
        <v>0</v>
      </c>
      <c r="M24048">
        <v>4</v>
      </c>
      <c r="N24048">
        <v>0</v>
      </c>
    </row>
    <row r="24049" spans="1:15">
      <c r="A24049" t="s">
        <v>41965</v>
      </c>
      <c r="B24049" t="s">
        <v>11644</v>
      </c>
      <c r="C24049" t="s">
        <v>14090</v>
      </c>
      <c r="D24049" t="s">
        <v>66974</v>
      </c>
      <c r="E24049" t="b">
        <v>0</v>
      </c>
      <c r="F24049" t="s">
        <v>11622</v>
      </c>
      <c r="L24049">
        <v>1</v>
      </c>
      <c r="M24049">
        <v>4</v>
      </c>
      <c r="N24049">
        <v>7</v>
      </c>
    </row>
    <row r="24050" spans="1:15">
      <c r="A24050" t="s">
        <v>22695</v>
      </c>
      <c r="B24050" t="s">
        <v>11644</v>
      </c>
      <c r="C24050" t="s">
        <v>41965</v>
      </c>
      <c r="D24050" t="s">
        <v>66975</v>
      </c>
      <c r="E24050" t="b">
        <v>0</v>
      </c>
      <c r="F24050" t="s">
        <v>11624</v>
      </c>
      <c r="G24050">
        <v>25.767499999999998</v>
      </c>
      <c r="H24050">
        <v>94.808700000000002</v>
      </c>
      <c r="I24050" t="s">
        <v>66976</v>
      </c>
      <c r="L24050">
        <v>0</v>
      </c>
      <c r="M24050">
        <v>0</v>
      </c>
      <c r="N24050">
        <v>7</v>
      </c>
      <c r="O24050" t="s">
        <v>11630</v>
      </c>
    </row>
    <row r="24051" spans="1:15">
      <c r="A24051" t="s">
        <v>66977</v>
      </c>
      <c r="B24051" t="s">
        <v>11644</v>
      </c>
      <c r="C24051" t="s">
        <v>44576</v>
      </c>
      <c r="D24051" t="s">
        <v>66978</v>
      </c>
      <c r="E24051" t="b">
        <v>0</v>
      </c>
      <c r="F24051" t="s">
        <v>11610</v>
      </c>
      <c r="L24051">
        <v>0</v>
      </c>
      <c r="M24051">
        <v>0</v>
      </c>
      <c r="N24051">
        <v>0</v>
      </c>
    </row>
    <row r="24052" spans="1:15">
      <c r="A24052" t="s">
        <v>29958</v>
      </c>
      <c r="B24052" t="s">
        <v>10597</v>
      </c>
      <c r="C24052" t="s">
        <v>10597</v>
      </c>
      <c r="D24052" t="s">
        <v>66979</v>
      </c>
      <c r="E24052" t="b">
        <v>0</v>
      </c>
      <c r="F24052" t="s">
        <v>11622</v>
      </c>
      <c r="L24052">
        <v>2</v>
      </c>
      <c r="M24052">
        <v>6</v>
      </c>
      <c r="N24052">
        <v>8</v>
      </c>
    </row>
    <row r="24053" spans="1:15">
      <c r="A24053" t="s">
        <v>15462</v>
      </c>
      <c r="B24053" t="s">
        <v>11705</v>
      </c>
      <c r="C24053" t="s">
        <v>43542</v>
      </c>
      <c r="D24053" t="s">
        <v>66980</v>
      </c>
      <c r="E24053" t="b">
        <v>0</v>
      </c>
      <c r="F24053" t="s">
        <v>11622</v>
      </c>
      <c r="L24053">
        <v>0</v>
      </c>
      <c r="M24053">
        <v>3</v>
      </c>
      <c r="N24053">
        <v>0</v>
      </c>
    </row>
    <row r="24054" spans="1:15">
      <c r="A24054" t="s">
        <v>66981</v>
      </c>
      <c r="B24054" t="s">
        <v>11644</v>
      </c>
      <c r="C24054" t="s">
        <v>35566</v>
      </c>
      <c r="D24054" t="s">
        <v>66982</v>
      </c>
      <c r="E24054" t="b">
        <v>0</v>
      </c>
      <c r="F24054" t="s">
        <v>11624</v>
      </c>
      <c r="G24054">
        <v>19.0383</v>
      </c>
      <c r="H24054">
        <v>97.213399999999993</v>
      </c>
      <c r="I24054" t="s">
        <v>66983</v>
      </c>
      <c r="L24054">
        <v>0</v>
      </c>
      <c r="M24054">
        <v>0</v>
      </c>
      <c r="N24054">
        <v>0</v>
      </c>
      <c r="O24054" t="s">
        <v>14059</v>
      </c>
    </row>
    <row r="24055" spans="1:15">
      <c r="A24055" t="s">
        <v>66984</v>
      </c>
      <c r="B24055" t="s">
        <v>12438</v>
      </c>
      <c r="C24055" t="s">
        <v>54514</v>
      </c>
      <c r="D24055" t="s">
        <v>66985</v>
      </c>
      <c r="E24055" t="b">
        <v>0</v>
      </c>
      <c r="F24055" t="s">
        <v>11624</v>
      </c>
      <c r="G24055">
        <v>20.083300000000001</v>
      </c>
      <c r="H24055">
        <v>97.916600000000003</v>
      </c>
      <c r="I24055" t="s">
        <v>66986</v>
      </c>
      <c r="L24055">
        <v>0</v>
      </c>
      <c r="M24055">
        <v>0</v>
      </c>
      <c r="N24055">
        <v>0</v>
      </c>
      <c r="O24055" t="s">
        <v>14059</v>
      </c>
    </row>
    <row r="24056" spans="1:15">
      <c r="A24056" t="s">
        <v>66987</v>
      </c>
      <c r="B24056" t="s">
        <v>11644</v>
      </c>
      <c r="C24056" t="s">
        <v>39397</v>
      </c>
      <c r="D24056" t="s">
        <v>66988</v>
      </c>
      <c r="E24056" t="b">
        <v>0</v>
      </c>
      <c r="F24056" t="s">
        <v>11610</v>
      </c>
      <c r="G24056">
        <v>38.546661999999998</v>
      </c>
      <c r="H24056">
        <v>106.240082</v>
      </c>
      <c r="L24056">
        <v>0</v>
      </c>
      <c r="M24056">
        <v>0</v>
      </c>
      <c r="N24056">
        <v>0</v>
      </c>
    </row>
    <row r="24057" spans="1:15">
      <c r="A24057" t="s">
        <v>66989</v>
      </c>
      <c r="B24057" t="s">
        <v>11644</v>
      </c>
      <c r="C24057" t="s">
        <v>34620</v>
      </c>
      <c r="D24057" t="s">
        <v>66990</v>
      </c>
      <c r="E24057" t="b">
        <v>0</v>
      </c>
      <c r="F24057" t="s">
        <v>11610</v>
      </c>
      <c r="L24057">
        <v>0</v>
      </c>
      <c r="M24057">
        <v>0</v>
      </c>
      <c r="N24057">
        <v>0</v>
      </c>
    </row>
    <row r="24058" spans="1:15">
      <c r="A24058" t="s">
        <v>66991</v>
      </c>
      <c r="B24058" t="s">
        <v>10597</v>
      </c>
      <c r="C24058" t="s">
        <v>38382</v>
      </c>
      <c r="D24058" t="s">
        <v>66992</v>
      </c>
      <c r="E24058" t="b">
        <v>0</v>
      </c>
      <c r="F24058" t="s">
        <v>11624</v>
      </c>
      <c r="G24058">
        <v>-21.5379</v>
      </c>
      <c r="H24058">
        <v>117.001</v>
      </c>
      <c r="I24058" t="s">
        <v>66993</v>
      </c>
      <c r="L24058">
        <v>0</v>
      </c>
      <c r="M24058">
        <v>0</v>
      </c>
      <c r="N24058">
        <v>0</v>
      </c>
      <c r="O24058" t="s">
        <v>12107</v>
      </c>
    </row>
    <row r="24059" spans="1:15">
      <c r="A24059" t="s">
        <v>66994</v>
      </c>
      <c r="B24059" t="s">
        <v>10597</v>
      </c>
      <c r="C24059" t="s">
        <v>47270</v>
      </c>
      <c r="D24059" t="s">
        <v>66995</v>
      </c>
      <c r="E24059" t="b">
        <v>0</v>
      </c>
      <c r="F24059" t="s">
        <v>11624</v>
      </c>
      <c r="G24059">
        <v>-19.242519999999999</v>
      </c>
      <c r="H24059">
        <v>137.58940000000001</v>
      </c>
      <c r="I24059" t="s">
        <v>66996</v>
      </c>
      <c r="L24059">
        <v>0</v>
      </c>
      <c r="M24059">
        <v>0</v>
      </c>
      <c r="N24059">
        <v>0</v>
      </c>
      <c r="O24059" t="s">
        <v>12107</v>
      </c>
    </row>
    <row r="24060" spans="1:15">
      <c r="A24060" t="s">
        <v>38382</v>
      </c>
      <c r="B24060" t="s">
        <v>10597</v>
      </c>
      <c r="C24060" t="s">
        <v>21819</v>
      </c>
      <c r="D24060" t="s">
        <v>66997</v>
      </c>
      <c r="E24060" t="b">
        <v>0</v>
      </c>
      <c r="F24060" t="s">
        <v>11622</v>
      </c>
      <c r="L24060">
        <v>0</v>
      </c>
      <c r="M24060">
        <v>2</v>
      </c>
      <c r="N24060">
        <v>0</v>
      </c>
    </row>
    <row r="24061" spans="1:15">
      <c r="A24061" t="s">
        <v>41574</v>
      </c>
      <c r="B24061" t="s">
        <v>11894</v>
      </c>
      <c r="C24061" t="s">
        <v>43226</v>
      </c>
      <c r="D24061" t="s">
        <v>66998</v>
      </c>
      <c r="E24061" t="b">
        <v>0</v>
      </c>
      <c r="F24061" t="s">
        <v>11624</v>
      </c>
      <c r="G24061">
        <v>-11.108599999999999</v>
      </c>
      <c r="H24061">
        <v>-73.308700000000002</v>
      </c>
      <c r="I24061" t="s">
        <v>66999</v>
      </c>
      <c r="L24061">
        <v>0</v>
      </c>
      <c r="M24061">
        <v>0</v>
      </c>
      <c r="N24061">
        <v>2</v>
      </c>
      <c r="O24061" t="s">
        <v>11778</v>
      </c>
    </row>
    <row r="24062" spans="1:15">
      <c r="A24062" t="s">
        <v>41464</v>
      </c>
      <c r="B24062" t="s">
        <v>11894</v>
      </c>
      <c r="C24062" t="s">
        <v>14219</v>
      </c>
      <c r="D24062" t="s">
        <v>67000</v>
      </c>
      <c r="E24062" t="b">
        <v>0</v>
      </c>
      <c r="F24062" t="s">
        <v>11622</v>
      </c>
      <c r="L24062">
        <v>1</v>
      </c>
      <c r="M24062">
        <v>3</v>
      </c>
      <c r="N24062">
        <v>2</v>
      </c>
    </row>
    <row r="24063" spans="1:15">
      <c r="A24063" t="s">
        <v>67001</v>
      </c>
      <c r="B24063" t="s">
        <v>11644</v>
      </c>
      <c r="C24063" t="s">
        <v>22270</v>
      </c>
      <c r="D24063" t="s">
        <v>67002</v>
      </c>
      <c r="E24063" t="b">
        <v>0</v>
      </c>
      <c r="F24063" t="s">
        <v>11610</v>
      </c>
      <c r="L24063">
        <v>0</v>
      </c>
      <c r="M24063">
        <v>0</v>
      </c>
      <c r="N24063">
        <v>0</v>
      </c>
    </row>
    <row r="24064" spans="1:15">
      <c r="A24064" t="s">
        <v>48523</v>
      </c>
      <c r="B24064" t="s">
        <v>10597</v>
      </c>
      <c r="C24064" t="s">
        <v>35278</v>
      </c>
      <c r="D24064" t="s">
        <v>67003</v>
      </c>
      <c r="E24064" t="b">
        <v>0</v>
      </c>
      <c r="F24064" t="s">
        <v>11624</v>
      </c>
      <c r="G24064">
        <v>-25.444600000000001</v>
      </c>
      <c r="H24064">
        <v>115.58</v>
      </c>
      <c r="I24064" t="s">
        <v>67004</v>
      </c>
      <c r="L24064">
        <v>0</v>
      </c>
      <c r="M24064">
        <v>0</v>
      </c>
      <c r="N24064">
        <v>2</v>
      </c>
      <c r="O24064" t="s">
        <v>12107</v>
      </c>
    </row>
    <row r="24065" spans="1:15">
      <c r="A24065" t="s">
        <v>67005</v>
      </c>
      <c r="B24065" t="s">
        <v>11627</v>
      </c>
      <c r="C24065" t="s">
        <v>11627</v>
      </c>
      <c r="D24065" t="s">
        <v>67006</v>
      </c>
      <c r="E24065" t="b">
        <v>1</v>
      </c>
      <c r="F24065" t="s">
        <v>11624</v>
      </c>
      <c r="I24065" t="s">
        <v>67007</v>
      </c>
      <c r="L24065">
        <v>0</v>
      </c>
      <c r="M24065">
        <v>0</v>
      </c>
      <c r="N24065">
        <v>0</v>
      </c>
    </row>
    <row r="24066" spans="1:15">
      <c r="A24066" t="s">
        <v>67008</v>
      </c>
      <c r="B24066" t="s">
        <v>11644</v>
      </c>
      <c r="C24066" t="s">
        <v>6112</v>
      </c>
      <c r="D24066" t="s">
        <v>67009</v>
      </c>
      <c r="E24066" t="b">
        <v>0</v>
      </c>
      <c r="F24066" t="s">
        <v>11610</v>
      </c>
      <c r="G24066">
        <v>30.746298400000001</v>
      </c>
      <c r="H24066">
        <v>115.3468074</v>
      </c>
      <c r="L24066">
        <v>0</v>
      </c>
      <c r="M24066">
        <v>0</v>
      </c>
      <c r="N24066">
        <v>0</v>
      </c>
    </row>
    <row r="24067" spans="1:15">
      <c r="A24067" t="s">
        <v>67010</v>
      </c>
      <c r="B24067" t="s">
        <v>10597</v>
      </c>
      <c r="C24067" t="s">
        <v>52293</v>
      </c>
      <c r="D24067" t="s">
        <v>67011</v>
      </c>
      <c r="E24067" t="b">
        <v>0</v>
      </c>
      <c r="F24067" t="s">
        <v>11624</v>
      </c>
      <c r="I24067" t="s">
        <v>67012</v>
      </c>
      <c r="L24067">
        <v>0</v>
      </c>
      <c r="M24067">
        <v>0</v>
      </c>
      <c r="N24067">
        <v>0</v>
      </c>
      <c r="O24067" t="s">
        <v>12107</v>
      </c>
    </row>
    <row r="24068" spans="1:15">
      <c r="A24068" t="s">
        <v>67013</v>
      </c>
      <c r="B24068" t="s">
        <v>11644</v>
      </c>
      <c r="C24068" t="s">
        <v>35566</v>
      </c>
      <c r="D24068" t="s">
        <v>67014</v>
      </c>
      <c r="E24068" t="b">
        <v>0</v>
      </c>
      <c r="F24068" t="s">
        <v>11624</v>
      </c>
      <c r="G24068">
        <v>18.937799999999999</v>
      </c>
      <c r="H24068">
        <v>97.336799999999997</v>
      </c>
      <c r="I24068" t="s">
        <v>67015</v>
      </c>
      <c r="L24068">
        <v>0</v>
      </c>
      <c r="M24068">
        <v>0</v>
      </c>
      <c r="N24068">
        <v>0</v>
      </c>
      <c r="O24068" t="s">
        <v>14059</v>
      </c>
    </row>
    <row r="24069" spans="1:15">
      <c r="A24069" t="s">
        <v>67016</v>
      </c>
      <c r="B24069" t="s">
        <v>11644</v>
      </c>
      <c r="C24069" t="s">
        <v>6134</v>
      </c>
      <c r="D24069" t="s">
        <v>67017</v>
      </c>
      <c r="E24069" t="b">
        <v>0</v>
      </c>
      <c r="F24069" t="s">
        <v>11610</v>
      </c>
      <c r="L24069">
        <v>0</v>
      </c>
      <c r="M24069">
        <v>0</v>
      </c>
      <c r="N24069">
        <v>0</v>
      </c>
    </row>
    <row r="24070" spans="1:15">
      <c r="A24070" t="s">
        <v>67018</v>
      </c>
      <c r="B24070" t="s">
        <v>10597</v>
      </c>
      <c r="C24070" t="s">
        <v>12986</v>
      </c>
      <c r="D24070" t="s">
        <v>67019</v>
      </c>
      <c r="E24070" t="b">
        <v>0</v>
      </c>
      <c r="F24070" t="s">
        <v>11624</v>
      </c>
      <c r="G24070">
        <v>-12.520689559999999</v>
      </c>
      <c r="H24070">
        <v>142.70362249999999</v>
      </c>
      <c r="I24070" t="s">
        <v>67020</v>
      </c>
      <c r="L24070">
        <v>0</v>
      </c>
      <c r="M24070">
        <v>0</v>
      </c>
      <c r="N24070">
        <v>0</v>
      </c>
      <c r="O24070" t="s">
        <v>12107</v>
      </c>
    </row>
    <row r="24071" spans="1:15">
      <c r="A24071" t="s">
        <v>67021</v>
      </c>
      <c r="B24071" t="s">
        <v>10597</v>
      </c>
      <c r="C24071" t="s">
        <v>26495</v>
      </c>
      <c r="D24071" t="s">
        <v>67022</v>
      </c>
      <c r="E24071" t="b">
        <v>0</v>
      </c>
      <c r="F24071" t="s">
        <v>11624</v>
      </c>
      <c r="G24071">
        <v>-20.658101179999999</v>
      </c>
      <c r="H24071">
        <v>143.9625916</v>
      </c>
      <c r="I24071" t="s">
        <v>67023</v>
      </c>
      <c r="L24071">
        <v>0</v>
      </c>
      <c r="M24071">
        <v>0</v>
      </c>
      <c r="N24071">
        <v>0</v>
      </c>
      <c r="O24071" t="s">
        <v>12107</v>
      </c>
    </row>
    <row r="24072" spans="1:15">
      <c r="A24072" t="s">
        <v>67024</v>
      </c>
      <c r="B24072" t="s">
        <v>6742</v>
      </c>
      <c r="C24072" t="s">
        <v>26953</v>
      </c>
      <c r="D24072" t="s">
        <v>67025</v>
      </c>
      <c r="E24072" t="b">
        <v>0</v>
      </c>
      <c r="F24072" t="s">
        <v>11610</v>
      </c>
      <c r="L24072">
        <v>0</v>
      </c>
      <c r="M24072">
        <v>0</v>
      </c>
      <c r="N24072">
        <v>0</v>
      </c>
    </row>
    <row r="24073" spans="1:15">
      <c r="A24073" t="s">
        <v>67026</v>
      </c>
      <c r="B24073" t="s">
        <v>10597</v>
      </c>
      <c r="C24073" t="s">
        <v>47422</v>
      </c>
      <c r="D24073" t="s">
        <v>67027</v>
      </c>
      <c r="E24073" t="b">
        <v>0</v>
      </c>
      <c r="F24073" t="s">
        <v>11610</v>
      </c>
      <c r="L24073">
        <v>0</v>
      </c>
      <c r="M24073">
        <v>0</v>
      </c>
      <c r="N24073">
        <v>0</v>
      </c>
    </row>
    <row r="24074" spans="1:15">
      <c r="A24074" t="s">
        <v>24041</v>
      </c>
      <c r="B24074" t="s">
        <v>10597</v>
      </c>
      <c r="C24074" t="s">
        <v>23169</v>
      </c>
      <c r="D24074" t="s">
        <v>67028</v>
      </c>
      <c r="E24074" t="b">
        <v>0</v>
      </c>
      <c r="F24074" t="s">
        <v>11624</v>
      </c>
      <c r="G24074">
        <v>-15.111700000000001</v>
      </c>
      <c r="H24074">
        <v>141.767</v>
      </c>
      <c r="I24074" t="s">
        <v>67029</v>
      </c>
      <c r="L24074">
        <v>0</v>
      </c>
      <c r="M24074">
        <v>0</v>
      </c>
      <c r="N24074">
        <v>3</v>
      </c>
      <c r="O24074" t="s">
        <v>12107</v>
      </c>
    </row>
    <row r="24075" spans="1:15">
      <c r="A24075" t="s">
        <v>67030</v>
      </c>
      <c r="B24075" t="s">
        <v>11729</v>
      </c>
      <c r="C24075" t="s">
        <v>18052</v>
      </c>
      <c r="D24075" t="s">
        <v>67031</v>
      </c>
      <c r="E24075" t="b">
        <v>0</v>
      </c>
      <c r="F24075" t="s">
        <v>11610</v>
      </c>
      <c r="L24075">
        <v>0</v>
      </c>
      <c r="M24075">
        <v>0</v>
      </c>
      <c r="N24075">
        <v>0</v>
      </c>
    </row>
    <row r="24076" spans="1:15">
      <c r="A24076" t="s">
        <v>67032</v>
      </c>
      <c r="B24076" t="s">
        <v>11644</v>
      </c>
      <c r="C24076" t="s">
        <v>6134</v>
      </c>
      <c r="D24076" t="s">
        <v>67033</v>
      </c>
      <c r="E24076" t="b">
        <v>0</v>
      </c>
      <c r="F24076" t="s">
        <v>11610</v>
      </c>
      <c r="L24076">
        <v>0</v>
      </c>
      <c r="M24076">
        <v>0</v>
      </c>
      <c r="N24076">
        <v>0</v>
      </c>
    </row>
    <row r="24077" spans="1:15">
      <c r="A24077" t="s">
        <v>67034</v>
      </c>
      <c r="B24077" t="s">
        <v>11834</v>
      </c>
      <c r="C24077" t="s">
        <v>66770</v>
      </c>
      <c r="D24077" t="s">
        <v>67035</v>
      </c>
      <c r="E24077" t="b">
        <v>0</v>
      </c>
      <c r="F24077" t="s">
        <v>11624</v>
      </c>
      <c r="G24077">
        <v>-3.5737100000000002</v>
      </c>
      <c r="H24077">
        <v>141.88</v>
      </c>
      <c r="I24077" t="s">
        <v>67036</v>
      </c>
      <c r="L24077">
        <v>0</v>
      </c>
      <c r="M24077">
        <v>0</v>
      </c>
      <c r="N24077">
        <v>0</v>
      </c>
      <c r="O24077" t="s">
        <v>11660</v>
      </c>
    </row>
    <row r="24078" spans="1:15">
      <c r="A24078" t="s">
        <v>67037</v>
      </c>
      <c r="B24078" t="s">
        <v>10597</v>
      </c>
      <c r="C24078" t="s">
        <v>23775</v>
      </c>
      <c r="D24078" t="s">
        <v>67038</v>
      </c>
      <c r="E24078" t="b">
        <v>0</v>
      </c>
      <c r="F24078" t="s">
        <v>11610</v>
      </c>
      <c r="G24078">
        <v>-33.89</v>
      </c>
      <c r="H24078">
        <v>144.22</v>
      </c>
      <c r="I24078" t="s">
        <v>67039</v>
      </c>
      <c r="L24078">
        <v>0</v>
      </c>
      <c r="M24078">
        <v>0</v>
      </c>
      <c r="N24078">
        <v>0</v>
      </c>
      <c r="O24078" t="s">
        <v>12107</v>
      </c>
    </row>
    <row r="24079" spans="1:15">
      <c r="A24079" t="s">
        <v>67040</v>
      </c>
      <c r="B24079" t="s">
        <v>11607</v>
      </c>
      <c r="C24079" t="s">
        <v>13811</v>
      </c>
      <c r="D24079" t="s">
        <v>67041</v>
      </c>
      <c r="E24079" t="b">
        <v>0</v>
      </c>
      <c r="F24079" t="s">
        <v>11624</v>
      </c>
      <c r="G24079">
        <v>8.9739500000000003</v>
      </c>
      <c r="H24079">
        <v>9.7875700000000005</v>
      </c>
      <c r="I24079" t="s">
        <v>67042</v>
      </c>
      <c r="L24079">
        <v>0</v>
      </c>
      <c r="M24079">
        <v>0</v>
      </c>
      <c r="N24079">
        <v>0</v>
      </c>
      <c r="O24079" t="s">
        <v>11693</v>
      </c>
    </row>
    <row r="24080" spans="1:15">
      <c r="A24080" t="s">
        <v>67043</v>
      </c>
      <c r="B24080" t="s">
        <v>11644</v>
      </c>
      <c r="C24080" t="s">
        <v>31566</v>
      </c>
      <c r="D24080" t="s">
        <v>67044</v>
      </c>
      <c r="E24080" t="b">
        <v>0</v>
      </c>
      <c r="F24080" t="s">
        <v>11610</v>
      </c>
      <c r="L24080">
        <v>0</v>
      </c>
      <c r="M24080">
        <v>0</v>
      </c>
      <c r="N24080">
        <v>0</v>
      </c>
    </row>
    <row r="24081" spans="1:15">
      <c r="A24081" t="s">
        <v>67045</v>
      </c>
      <c r="B24081" t="s">
        <v>11644</v>
      </c>
      <c r="C24081" t="s">
        <v>22267</v>
      </c>
      <c r="D24081" t="s">
        <v>67046</v>
      </c>
      <c r="E24081" t="b">
        <v>0</v>
      </c>
      <c r="F24081" t="s">
        <v>11610</v>
      </c>
      <c r="L24081">
        <v>0</v>
      </c>
      <c r="M24081">
        <v>0</v>
      </c>
      <c r="N24081">
        <v>0</v>
      </c>
    </row>
    <row r="24082" spans="1:15">
      <c r="A24082" t="s">
        <v>67047</v>
      </c>
      <c r="B24082" t="s">
        <v>13276</v>
      </c>
      <c r="C24082" t="s">
        <v>18988</v>
      </c>
      <c r="D24082" t="s">
        <v>67048</v>
      </c>
      <c r="E24082" t="b">
        <v>0</v>
      </c>
      <c r="F24082" t="s">
        <v>11610</v>
      </c>
      <c r="L24082">
        <v>0</v>
      </c>
      <c r="M24082">
        <v>0</v>
      </c>
      <c r="N24082">
        <v>0</v>
      </c>
    </row>
    <row r="24083" spans="1:15">
      <c r="A24083" t="s">
        <v>67049</v>
      </c>
      <c r="B24083" t="s">
        <v>11615</v>
      </c>
      <c r="C24083" t="s">
        <v>37899</v>
      </c>
      <c r="D24083" t="s">
        <v>67050</v>
      </c>
      <c r="E24083" t="b">
        <v>0</v>
      </c>
      <c r="F24083" t="s">
        <v>11610</v>
      </c>
      <c r="L24083">
        <v>0</v>
      </c>
      <c r="M24083">
        <v>0</v>
      </c>
      <c r="N24083">
        <v>0</v>
      </c>
    </row>
    <row r="24084" spans="1:15">
      <c r="A24084" t="s">
        <v>67051</v>
      </c>
      <c r="B24084" t="s">
        <v>367</v>
      </c>
      <c r="C24084" t="s">
        <v>18658</v>
      </c>
      <c r="D24084" t="s">
        <v>67052</v>
      </c>
      <c r="E24084" t="b">
        <v>0</v>
      </c>
      <c r="F24084" t="s">
        <v>11624</v>
      </c>
      <c r="G24084">
        <v>-10.216699999999999</v>
      </c>
      <c r="H24084">
        <v>149.28299999999999</v>
      </c>
      <c r="I24084" t="s">
        <v>67053</v>
      </c>
      <c r="L24084">
        <v>0</v>
      </c>
      <c r="M24084">
        <v>0</v>
      </c>
      <c r="N24084">
        <v>0</v>
      </c>
      <c r="O24084" t="s">
        <v>11660</v>
      </c>
    </row>
    <row r="24085" spans="1:15">
      <c r="A24085" t="s">
        <v>24946</v>
      </c>
      <c r="B24085" t="s">
        <v>6742</v>
      </c>
      <c r="C24085" t="s">
        <v>24740</v>
      </c>
      <c r="D24085" t="s">
        <v>67054</v>
      </c>
      <c r="E24085" t="b">
        <v>0</v>
      </c>
      <c r="F24085" t="s">
        <v>11624</v>
      </c>
      <c r="G24085">
        <v>5.4012599999999997</v>
      </c>
      <c r="H24085">
        <v>-5.12242</v>
      </c>
      <c r="I24085" t="s">
        <v>67055</v>
      </c>
      <c r="L24085">
        <v>0</v>
      </c>
      <c r="M24085">
        <v>0</v>
      </c>
      <c r="N24085">
        <v>2</v>
      </c>
      <c r="O24085" t="s">
        <v>11735</v>
      </c>
    </row>
    <row r="24086" spans="1:15">
      <c r="A24086" t="s">
        <v>67056</v>
      </c>
      <c r="B24086" t="s">
        <v>6742</v>
      </c>
      <c r="C24086" t="s">
        <v>38443</v>
      </c>
      <c r="D24086" t="s">
        <v>67057</v>
      </c>
      <c r="E24086" t="b">
        <v>0</v>
      </c>
      <c r="F24086" t="s">
        <v>11610</v>
      </c>
      <c r="L24086">
        <v>0</v>
      </c>
      <c r="M24086">
        <v>0</v>
      </c>
      <c r="N24086">
        <v>0</v>
      </c>
    </row>
    <row r="24087" spans="1:15">
      <c r="A24087" t="s">
        <v>67058</v>
      </c>
      <c r="B24087" t="s">
        <v>367</v>
      </c>
      <c r="C24087" t="s">
        <v>20857</v>
      </c>
      <c r="D24087" t="s">
        <v>67059</v>
      </c>
      <c r="E24087" t="b">
        <v>0</v>
      </c>
      <c r="F24087" t="s">
        <v>11624</v>
      </c>
      <c r="G24087">
        <v>16.701499999999999</v>
      </c>
      <c r="H24087">
        <v>121.718</v>
      </c>
      <c r="I24087" t="s">
        <v>67060</v>
      </c>
      <c r="L24087">
        <v>0</v>
      </c>
      <c r="M24087">
        <v>0</v>
      </c>
      <c r="N24087">
        <v>0</v>
      </c>
      <c r="O24087" t="s">
        <v>11749</v>
      </c>
    </row>
    <row r="24088" spans="1:15">
      <c r="A24088" t="s">
        <v>67061</v>
      </c>
      <c r="B24088" t="s">
        <v>11644</v>
      </c>
      <c r="C24088" t="s">
        <v>28687</v>
      </c>
      <c r="D24088" t="s">
        <v>67062</v>
      </c>
      <c r="E24088" t="b">
        <v>0</v>
      </c>
      <c r="F24088" t="s">
        <v>11610</v>
      </c>
      <c r="L24088">
        <v>0</v>
      </c>
      <c r="M24088">
        <v>0</v>
      </c>
      <c r="N24088">
        <v>0</v>
      </c>
    </row>
    <row r="24089" spans="1:15">
      <c r="A24089" t="s">
        <v>67063</v>
      </c>
      <c r="B24089" t="s">
        <v>11981</v>
      </c>
      <c r="C24089" t="s">
        <v>32384</v>
      </c>
      <c r="D24089" t="s">
        <v>67064</v>
      </c>
      <c r="E24089" t="b">
        <v>0</v>
      </c>
      <c r="F24089" t="s">
        <v>11624</v>
      </c>
      <c r="G24089">
        <v>-7.8000179999999997</v>
      </c>
      <c r="H24089">
        <v>110.368664</v>
      </c>
      <c r="L24089">
        <v>0</v>
      </c>
      <c r="M24089">
        <v>0</v>
      </c>
      <c r="N24089">
        <v>0</v>
      </c>
      <c r="O24089" t="s">
        <v>11768</v>
      </c>
    </row>
    <row r="24090" spans="1:15">
      <c r="A24090" t="s">
        <v>67065</v>
      </c>
      <c r="B24090" t="s">
        <v>2975</v>
      </c>
      <c r="C24090" t="s">
        <v>1215</v>
      </c>
      <c r="D24090" t="s">
        <v>67066</v>
      </c>
      <c r="E24090" t="b">
        <v>0</v>
      </c>
      <c r="F24090" t="s">
        <v>11610</v>
      </c>
      <c r="L24090">
        <v>0</v>
      </c>
      <c r="M24090">
        <v>0</v>
      </c>
      <c r="N24090">
        <v>0</v>
      </c>
    </row>
    <row r="24091" spans="1:15">
      <c r="A24091" t="s">
        <v>67067</v>
      </c>
      <c r="B24091" t="s">
        <v>11615</v>
      </c>
      <c r="C24091" t="s">
        <v>28672</v>
      </c>
      <c r="D24091" t="s">
        <v>67068</v>
      </c>
      <c r="E24091" t="b">
        <v>0</v>
      </c>
      <c r="F24091" t="s">
        <v>11624</v>
      </c>
      <c r="G24091">
        <v>-4.9404399999999997</v>
      </c>
      <c r="H24091">
        <v>145.75800000000001</v>
      </c>
      <c r="I24091" t="s">
        <v>67069</v>
      </c>
      <c r="L24091">
        <v>0</v>
      </c>
      <c r="M24091">
        <v>0</v>
      </c>
      <c r="N24091">
        <v>0</v>
      </c>
      <c r="O24091" t="s">
        <v>11660</v>
      </c>
    </row>
    <row r="24092" spans="1:15">
      <c r="A24092" t="s">
        <v>67070</v>
      </c>
      <c r="B24092" t="s">
        <v>12260</v>
      </c>
      <c r="C24092" t="s">
        <v>49239</v>
      </c>
      <c r="D24092" t="s">
        <v>67071</v>
      </c>
      <c r="E24092" t="b">
        <v>0</v>
      </c>
      <c r="F24092" t="s">
        <v>11610</v>
      </c>
      <c r="L24092">
        <v>0</v>
      </c>
      <c r="M24092">
        <v>0</v>
      </c>
      <c r="N24092">
        <v>0</v>
      </c>
    </row>
    <row r="24093" spans="1:15">
      <c r="A24093" t="s">
        <v>67072</v>
      </c>
      <c r="B24093" t="s">
        <v>21672</v>
      </c>
      <c r="C24093" t="s">
        <v>59582</v>
      </c>
      <c r="D24093" t="s">
        <v>67073</v>
      </c>
      <c r="E24093" t="b">
        <v>0</v>
      </c>
      <c r="F24093" t="s">
        <v>11610</v>
      </c>
      <c r="L24093">
        <v>0</v>
      </c>
      <c r="M24093">
        <v>0</v>
      </c>
      <c r="N24093">
        <v>0</v>
      </c>
    </row>
    <row r="24094" spans="1:15">
      <c r="A24094" t="s">
        <v>67074</v>
      </c>
      <c r="B24094" t="s">
        <v>367</v>
      </c>
      <c r="C24094" t="s">
        <v>52599</v>
      </c>
      <c r="D24094" t="s">
        <v>67075</v>
      </c>
      <c r="E24094" t="b">
        <v>0</v>
      </c>
      <c r="F24094" t="s">
        <v>11624</v>
      </c>
      <c r="G24094">
        <v>-1.68798</v>
      </c>
      <c r="H24094">
        <v>138.02799999999999</v>
      </c>
      <c r="I24094" t="s">
        <v>67076</v>
      </c>
      <c r="L24094">
        <v>0</v>
      </c>
      <c r="M24094">
        <v>0</v>
      </c>
      <c r="N24094">
        <v>0</v>
      </c>
      <c r="O24094" t="s">
        <v>11768</v>
      </c>
    </row>
    <row r="24095" spans="1:15">
      <c r="A24095" t="s">
        <v>52599</v>
      </c>
      <c r="B24095" t="s">
        <v>367</v>
      </c>
      <c r="C24095" t="s">
        <v>40908</v>
      </c>
      <c r="D24095" t="s">
        <v>67077</v>
      </c>
      <c r="E24095" t="b">
        <v>0</v>
      </c>
      <c r="F24095" t="s">
        <v>11622</v>
      </c>
      <c r="L24095">
        <v>0</v>
      </c>
      <c r="M24095">
        <v>2</v>
      </c>
      <c r="N24095">
        <v>0</v>
      </c>
    </row>
    <row r="24096" spans="1:15">
      <c r="A24096" t="s">
        <v>67078</v>
      </c>
      <c r="B24096" t="s">
        <v>13450</v>
      </c>
      <c r="C24096" t="s">
        <v>33223</v>
      </c>
      <c r="D24096" t="s">
        <v>67079</v>
      </c>
      <c r="E24096" t="b">
        <v>0</v>
      </c>
      <c r="F24096" t="s">
        <v>11624</v>
      </c>
      <c r="L24096">
        <v>0</v>
      </c>
      <c r="M24096">
        <v>0</v>
      </c>
      <c r="N24096">
        <v>0</v>
      </c>
      <c r="O24096" t="s">
        <v>12539</v>
      </c>
    </row>
    <row r="24097" spans="1:15">
      <c r="A24097" t="s">
        <v>67080</v>
      </c>
      <c r="B24097" t="s">
        <v>367</v>
      </c>
      <c r="C24097" t="s">
        <v>49770</v>
      </c>
      <c r="D24097" t="s">
        <v>67081</v>
      </c>
      <c r="E24097" t="b">
        <v>0</v>
      </c>
      <c r="F24097" t="s">
        <v>11610</v>
      </c>
      <c r="L24097">
        <v>0</v>
      </c>
      <c r="M24097">
        <v>0</v>
      </c>
      <c r="N24097">
        <v>0</v>
      </c>
    </row>
    <row r="24098" spans="1:15">
      <c r="A24098" t="s">
        <v>9348</v>
      </c>
      <c r="D24098" t="s">
        <v>67082</v>
      </c>
      <c r="E24098" t="b">
        <v>0</v>
      </c>
      <c r="F24098" t="s">
        <v>11622</v>
      </c>
      <c r="L24098">
        <v>2</v>
      </c>
      <c r="M24098">
        <v>4</v>
      </c>
      <c r="N24098">
        <v>10</v>
      </c>
    </row>
    <row r="24099" spans="1:15">
      <c r="A24099" t="s">
        <v>24447</v>
      </c>
      <c r="B24099" t="s">
        <v>9348</v>
      </c>
      <c r="C24099" t="s">
        <v>47781</v>
      </c>
      <c r="D24099" t="s">
        <v>67083</v>
      </c>
      <c r="E24099" t="b">
        <v>0</v>
      </c>
      <c r="F24099" t="s">
        <v>11624</v>
      </c>
      <c r="G24099">
        <v>36.316699999999997</v>
      </c>
      <c r="H24099">
        <v>-119.721</v>
      </c>
      <c r="I24099" t="s">
        <v>67084</v>
      </c>
      <c r="L24099">
        <v>0</v>
      </c>
      <c r="M24099">
        <v>0</v>
      </c>
      <c r="N24099">
        <v>6</v>
      </c>
      <c r="O24099" t="s">
        <v>11944</v>
      </c>
    </row>
    <row r="24100" spans="1:15">
      <c r="A24100" t="s">
        <v>67085</v>
      </c>
      <c r="B24100" t="s">
        <v>11637</v>
      </c>
      <c r="C24100" t="s">
        <v>26719</v>
      </c>
      <c r="D24100" t="s">
        <v>67086</v>
      </c>
      <c r="E24100" t="b">
        <v>0</v>
      </c>
      <c r="F24100" t="s">
        <v>11610</v>
      </c>
      <c r="I24100" t="s">
        <v>67087</v>
      </c>
      <c r="L24100">
        <v>0</v>
      </c>
      <c r="M24100">
        <v>0</v>
      </c>
      <c r="N24100">
        <v>0</v>
      </c>
      <c r="O24100" t="s">
        <v>32641</v>
      </c>
    </row>
    <row r="24101" spans="1:15">
      <c r="A24101" t="s">
        <v>30968</v>
      </c>
      <c r="B24101" t="s">
        <v>11644</v>
      </c>
      <c r="C24101" t="s">
        <v>30427</v>
      </c>
      <c r="D24101" t="s">
        <v>67088</v>
      </c>
      <c r="E24101" t="b">
        <v>0</v>
      </c>
      <c r="F24101" t="s">
        <v>11622</v>
      </c>
      <c r="L24101">
        <v>0</v>
      </c>
      <c r="M24101">
        <v>2</v>
      </c>
      <c r="N24101">
        <v>4</v>
      </c>
    </row>
    <row r="24102" spans="1:15">
      <c r="A24102" t="s">
        <v>67089</v>
      </c>
      <c r="B24102" t="s">
        <v>11981</v>
      </c>
      <c r="C24102" t="s">
        <v>11982</v>
      </c>
      <c r="D24102" t="s">
        <v>67090</v>
      </c>
      <c r="E24102" t="b">
        <v>0</v>
      </c>
      <c r="F24102" t="s">
        <v>11624</v>
      </c>
      <c r="G24102">
        <v>-12.283333000000001</v>
      </c>
      <c r="H24102">
        <v>136.816667</v>
      </c>
      <c r="I24102" t="s">
        <v>67091</v>
      </c>
      <c r="L24102">
        <v>0</v>
      </c>
      <c r="M24102">
        <v>0</v>
      </c>
      <c r="N24102">
        <v>0</v>
      </c>
      <c r="O24102" t="s">
        <v>12107</v>
      </c>
    </row>
    <row r="24103" spans="1:15">
      <c r="A24103" t="s">
        <v>67092</v>
      </c>
      <c r="B24103" t="s">
        <v>11879</v>
      </c>
      <c r="C24103" t="s">
        <v>54067</v>
      </c>
      <c r="D24103" t="s">
        <v>67093</v>
      </c>
      <c r="E24103" t="b">
        <v>0</v>
      </c>
      <c r="F24103" t="s">
        <v>11610</v>
      </c>
      <c r="L24103">
        <v>0</v>
      </c>
      <c r="M24103">
        <v>0</v>
      </c>
      <c r="N24103">
        <v>0</v>
      </c>
    </row>
    <row r="24104" spans="1:15">
      <c r="A24104" t="s">
        <v>67094</v>
      </c>
      <c r="B24104" t="s">
        <v>11879</v>
      </c>
      <c r="C24104" t="s">
        <v>12899</v>
      </c>
      <c r="D24104" t="s">
        <v>67095</v>
      </c>
      <c r="E24104" t="b">
        <v>0</v>
      </c>
      <c r="F24104" t="s">
        <v>11624</v>
      </c>
      <c r="G24104">
        <v>16.805900000000001</v>
      </c>
      <c r="H24104">
        <v>-98.629300000000001</v>
      </c>
      <c r="I24104" t="s">
        <v>67096</v>
      </c>
      <c r="L24104">
        <v>0</v>
      </c>
      <c r="M24104">
        <v>0</v>
      </c>
      <c r="N24104">
        <v>0</v>
      </c>
      <c r="O24104" t="s">
        <v>11883</v>
      </c>
    </row>
    <row r="24105" spans="1:15">
      <c r="A24105" t="s">
        <v>43607</v>
      </c>
      <c r="B24105" t="s">
        <v>6742</v>
      </c>
      <c r="C24105" t="s">
        <v>16824</v>
      </c>
      <c r="D24105" t="s">
        <v>67097</v>
      </c>
      <c r="E24105" t="b">
        <v>0</v>
      </c>
      <c r="F24105" t="s">
        <v>11624</v>
      </c>
      <c r="G24105">
        <v>-4.8622699999999996</v>
      </c>
      <c r="H24105">
        <v>12.636200000000001</v>
      </c>
      <c r="I24105" t="s">
        <v>67098</v>
      </c>
      <c r="L24105">
        <v>0</v>
      </c>
      <c r="M24105">
        <v>0</v>
      </c>
      <c r="N24105">
        <v>2</v>
      </c>
      <c r="O24105" t="s">
        <v>37366</v>
      </c>
    </row>
    <row r="24106" spans="1:15">
      <c r="A24106" t="s">
        <v>67099</v>
      </c>
      <c r="B24106" t="s">
        <v>6742</v>
      </c>
      <c r="C24106" t="s">
        <v>4025</v>
      </c>
      <c r="D24106" t="s">
        <v>67100</v>
      </c>
      <c r="E24106" t="b">
        <v>0</v>
      </c>
      <c r="F24106" t="s">
        <v>11610</v>
      </c>
      <c r="L24106">
        <v>0</v>
      </c>
      <c r="M24106">
        <v>0</v>
      </c>
      <c r="N24106">
        <v>0</v>
      </c>
    </row>
    <row r="24107" spans="1:15">
      <c r="A24107" t="s">
        <v>67101</v>
      </c>
      <c r="B24107" t="s">
        <v>13276</v>
      </c>
      <c r="C24107" t="s">
        <v>35348</v>
      </c>
      <c r="D24107" t="s">
        <v>67102</v>
      </c>
      <c r="E24107" t="b">
        <v>0</v>
      </c>
      <c r="F24107" t="s">
        <v>11610</v>
      </c>
      <c r="L24107">
        <v>0</v>
      </c>
      <c r="M24107">
        <v>0</v>
      </c>
      <c r="N24107">
        <v>0</v>
      </c>
    </row>
    <row r="24108" spans="1:15">
      <c r="A24108" t="s">
        <v>67103</v>
      </c>
      <c r="B24108" t="s">
        <v>6742</v>
      </c>
      <c r="C24108" t="s">
        <v>46691</v>
      </c>
      <c r="D24108" t="s">
        <v>67104</v>
      </c>
      <c r="E24108" t="b">
        <v>0</v>
      </c>
      <c r="F24108" t="s">
        <v>11624</v>
      </c>
      <c r="G24108">
        <v>9.8718599999999999</v>
      </c>
      <c r="H24108">
        <v>1.8109900000000001</v>
      </c>
      <c r="I24108" t="s">
        <v>67105</v>
      </c>
      <c r="L24108">
        <v>0</v>
      </c>
      <c r="M24108">
        <v>0</v>
      </c>
      <c r="N24108">
        <v>0</v>
      </c>
      <c r="O24108" t="s">
        <v>15477</v>
      </c>
    </row>
    <row r="24109" spans="1:15">
      <c r="A24109" t="s">
        <v>67106</v>
      </c>
      <c r="B24109" t="s">
        <v>11729</v>
      </c>
      <c r="C24109" t="s">
        <v>17670</v>
      </c>
      <c r="D24109" t="s">
        <v>67107</v>
      </c>
      <c r="E24109" t="b">
        <v>0</v>
      </c>
      <c r="F24109" t="s">
        <v>11610</v>
      </c>
      <c r="L24109">
        <v>0</v>
      </c>
      <c r="M24109">
        <v>0</v>
      </c>
      <c r="N24109">
        <v>0</v>
      </c>
    </row>
    <row r="24110" spans="1:15">
      <c r="A24110" t="s">
        <v>46691</v>
      </c>
      <c r="B24110" t="s">
        <v>6742</v>
      </c>
      <c r="C24110" t="s">
        <v>30242</v>
      </c>
      <c r="D24110" t="s">
        <v>67108</v>
      </c>
      <c r="E24110" t="b">
        <v>0</v>
      </c>
      <c r="F24110" t="s">
        <v>11622</v>
      </c>
      <c r="L24110">
        <v>0</v>
      </c>
      <c r="M24110">
        <v>2</v>
      </c>
      <c r="N24110">
        <v>0</v>
      </c>
    </row>
    <row r="24111" spans="1:15">
      <c r="A24111" t="s">
        <v>67109</v>
      </c>
      <c r="B24111" t="s">
        <v>331</v>
      </c>
      <c r="C24111" t="s">
        <v>332</v>
      </c>
      <c r="D24111" t="s">
        <v>67110</v>
      </c>
      <c r="E24111" t="b">
        <v>0</v>
      </c>
      <c r="F24111" t="s">
        <v>11610</v>
      </c>
      <c r="L24111">
        <v>0</v>
      </c>
      <c r="M24111">
        <v>0</v>
      </c>
      <c r="N24111">
        <v>0</v>
      </c>
    </row>
    <row r="24112" spans="1:15">
      <c r="A24112" t="s">
        <v>67111</v>
      </c>
      <c r="B24112" t="s">
        <v>4342</v>
      </c>
      <c r="C24112" t="s">
        <v>33048</v>
      </c>
      <c r="D24112" t="s">
        <v>67112</v>
      </c>
      <c r="E24112" t="b">
        <v>0</v>
      </c>
      <c r="F24112" t="s">
        <v>11610</v>
      </c>
      <c r="L24112">
        <v>0</v>
      </c>
      <c r="M24112">
        <v>0</v>
      </c>
      <c r="N24112">
        <v>0</v>
      </c>
    </row>
    <row r="24113" spans="1:15">
      <c r="A24113" t="s">
        <v>67113</v>
      </c>
      <c r="B24113" t="s">
        <v>4342</v>
      </c>
      <c r="C24113" t="s">
        <v>41480</v>
      </c>
      <c r="D24113" t="s">
        <v>67114</v>
      </c>
      <c r="E24113" t="b">
        <v>0</v>
      </c>
      <c r="F24113" t="s">
        <v>11624</v>
      </c>
      <c r="G24113">
        <v>24.45</v>
      </c>
      <c r="H24113">
        <v>122.991</v>
      </c>
      <c r="I24113" t="s">
        <v>67115</v>
      </c>
      <c r="L24113">
        <v>0</v>
      </c>
      <c r="M24113">
        <v>0</v>
      </c>
      <c r="N24113">
        <v>0</v>
      </c>
      <c r="O24113" t="s">
        <v>12539</v>
      </c>
    </row>
    <row r="24114" spans="1:15">
      <c r="A24114" t="s">
        <v>67116</v>
      </c>
      <c r="B24114" t="s">
        <v>34399</v>
      </c>
      <c r="C24114" t="s">
        <v>34399</v>
      </c>
      <c r="D24114" t="s">
        <v>67117</v>
      </c>
      <c r="E24114" t="b">
        <v>0</v>
      </c>
      <c r="F24114" t="s">
        <v>11624</v>
      </c>
      <c r="I24114" t="s">
        <v>67118</v>
      </c>
      <c r="L24114">
        <v>0</v>
      </c>
      <c r="M24114">
        <v>0</v>
      </c>
      <c r="N24114">
        <v>0</v>
      </c>
      <c r="O24114" t="s">
        <v>11944</v>
      </c>
    </row>
    <row r="24115" spans="1:15">
      <c r="A24115" t="s">
        <v>67119</v>
      </c>
      <c r="B24115" t="s">
        <v>4342</v>
      </c>
      <c r="C24115" t="s">
        <v>12598</v>
      </c>
      <c r="D24115" t="s">
        <v>67120</v>
      </c>
      <c r="E24115" t="b">
        <v>0</v>
      </c>
      <c r="F24115" t="s">
        <v>11610</v>
      </c>
      <c r="L24115">
        <v>0</v>
      </c>
      <c r="M24115">
        <v>0</v>
      </c>
      <c r="N24115">
        <v>0</v>
      </c>
    </row>
    <row r="24116" spans="1:15">
      <c r="A24116" t="s">
        <v>67121</v>
      </c>
      <c r="B24116" t="s">
        <v>11644</v>
      </c>
      <c r="C24116" t="s">
        <v>39627</v>
      </c>
      <c r="D24116" t="s">
        <v>67122</v>
      </c>
      <c r="E24116" t="b">
        <v>0</v>
      </c>
      <c r="F24116" t="s">
        <v>11624</v>
      </c>
      <c r="G24116">
        <v>27.8</v>
      </c>
      <c r="H24116">
        <v>100.9</v>
      </c>
      <c r="I24116" t="s">
        <v>67123</v>
      </c>
      <c r="L24116">
        <v>0</v>
      </c>
      <c r="M24116">
        <v>0</v>
      </c>
      <c r="N24116">
        <v>0</v>
      </c>
      <c r="O24116" t="s">
        <v>11905</v>
      </c>
    </row>
    <row r="24117" spans="1:15">
      <c r="A24117" t="s">
        <v>67124</v>
      </c>
      <c r="B24117" t="s">
        <v>11644</v>
      </c>
      <c r="C24117" t="s">
        <v>52939</v>
      </c>
      <c r="D24117" t="s">
        <v>67125</v>
      </c>
      <c r="E24117" t="b">
        <v>0</v>
      </c>
      <c r="F24117" t="s">
        <v>11610</v>
      </c>
      <c r="L24117">
        <v>0</v>
      </c>
      <c r="M24117">
        <v>0</v>
      </c>
      <c r="N24117">
        <v>0</v>
      </c>
    </row>
    <row r="24118" spans="1:15">
      <c r="A24118" t="s">
        <v>67126</v>
      </c>
      <c r="B24118" t="s">
        <v>11644</v>
      </c>
      <c r="C24118" t="s">
        <v>28687</v>
      </c>
      <c r="D24118" t="s">
        <v>67127</v>
      </c>
      <c r="E24118" t="b">
        <v>0</v>
      </c>
      <c r="F24118" t="s">
        <v>11610</v>
      </c>
      <c r="L24118">
        <v>0</v>
      </c>
      <c r="M24118">
        <v>0</v>
      </c>
      <c r="N24118">
        <v>0</v>
      </c>
    </row>
    <row r="24119" spans="1:15">
      <c r="A24119" t="s">
        <v>47825</v>
      </c>
      <c r="B24119" t="s">
        <v>11644</v>
      </c>
      <c r="C24119" t="s">
        <v>40267</v>
      </c>
      <c r="D24119" t="s">
        <v>67128</v>
      </c>
      <c r="E24119" t="b">
        <v>0</v>
      </c>
      <c r="F24119" t="s">
        <v>11610</v>
      </c>
      <c r="L24119">
        <v>0</v>
      </c>
      <c r="M24119">
        <v>0</v>
      </c>
      <c r="N24119">
        <v>2</v>
      </c>
    </row>
    <row r="24120" spans="1:15">
      <c r="A24120" t="s">
        <v>67129</v>
      </c>
      <c r="B24120" t="s">
        <v>5126</v>
      </c>
      <c r="C24120" t="s">
        <v>49016</v>
      </c>
      <c r="D24120" t="s">
        <v>67130</v>
      </c>
      <c r="E24120" t="b">
        <v>0</v>
      </c>
      <c r="F24120" t="s">
        <v>11622</v>
      </c>
      <c r="L24120">
        <v>0</v>
      </c>
      <c r="M24120">
        <v>2</v>
      </c>
      <c r="N24120">
        <v>0</v>
      </c>
    </row>
    <row r="24121" spans="1:15">
      <c r="A24121" t="s">
        <v>67131</v>
      </c>
      <c r="B24121" t="s">
        <v>5126</v>
      </c>
      <c r="C24121" t="s">
        <v>67129</v>
      </c>
      <c r="D24121" t="s">
        <v>67132</v>
      </c>
      <c r="E24121" t="b">
        <v>0</v>
      </c>
      <c r="F24121" t="s">
        <v>11624</v>
      </c>
      <c r="G24121">
        <v>22.8</v>
      </c>
      <c r="H24121">
        <v>108</v>
      </c>
      <c r="I24121" t="s">
        <v>67133</v>
      </c>
      <c r="L24121">
        <v>0</v>
      </c>
      <c r="M24121">
        <v>0</v>
      </c>
      <c r="N24121">
        <v>0</v>
      </c>
      <c r="O24121" t="s">
        <v>19781</v>
      </c>
    </row>
    <row r="24122" spans="1:15">
      <c r="A24122" t="s">
        <v>67134</v>
      </c>
      <c r="B24122" t="s">
        <v>5126</v>
      </c>
      <c r="C24122" t="s">
        <v>67129</v>
      </c>
      <c r="D24122" t="s">
        <v>67135</v>
      </c>
      <c r="E24122" t="b">
        <v>0</v>
      </c>
      <c r="F24122" t="s">
        <v>11624</v>
      </c>
      <c r="G24122">
        <v>23.1</v>
      </c>
      <c r="H24122">
        <v>108.15</v>
      </c>
      <c r="I24122" t="s">
        <v>67136</v>
      </c>
      <c r="L24122">
        <v>0</v>
      </c>
      <c r="M24122">
        <v>0</v>
      </c>
      <c r="N24122">
        <v>0</v>
      </c>
      <c r="O24122" t="s">
        <v>11905</v>
      </c>
    </row>
    <row r="24123" spans="1:15">
      <c r="A24123" t="s">
        <v>67137</v>
      </c>
      <c r="B24123" t="s">
        <v>5126</v>
      </c>
      <c r="C24123" t="s">
        <v>41081</v>
      </c>
      <c r="D24123" t="s">
        <v>67138</v>
      </c>
      <c r="E24123" t="b">
        <v>0</v>
      </c>
      <c r="F24123" t="s">
        <v>11624</v>
      </c>
      <c r="G24123">
        <v>18.387260000000001</v>
      </c>
      <c r="H24123">
        <v>98.976460000000003</v>
      </c>
      <c r="I24123" t="s">
        <v>67139</v>
      </c>
      <c r="L24123">
        <v>0</v>
      </c>
      <c r="M24123">
        <v>0</v>
      </c>
      <c r="N24123">
        <v>0</v>
      </c>
      <c r="O24123" t="s">
        <v>16739</v>
      </c>
    </row>
    <row r="24124" spans="1:15">
      <c r="A24124" t="s">
        <v>67140</v>
      </c>
      <c r="B24124" t="s">
        <v>5126</v>
      </c>
      <c r="C24124" t="s">
        <v>24399</v>
      </c>
      <c r="D24124" t="s">
        <v>67141</v>
      </c>
      <c r="E24124" t="b">
        <v>0</v>
      </c>
      <c r="F24124" t="s">
        <v>11610</v>
      </c>
      <c r="L24124">
        <v>0</v>
      </c>
      <c r="M24124">
        <v>0</v>
      </c>
      <c r="N24124">
        <v>0</v>
      </c>
    </row>
    <row r="24125" spans="1:15">
      <c r="A24125" t="s">
        <v>67142</v>
      </c>
      <c r="B24125" t="s">
        <v>6742</v>
      </c>
      <c r="C24125" t="s">
        <v>43640</v>
      </c>
      <c r="D24125" t="s">
        <v>67143</v>
      </c>
      <c r="E24125" t="b">
        <v>0</v>
      </c>
      <c r="F24125" t="s">
        <v>11610</v>
      </c>
      <c r="L24125">
        <v>0</v>
      </c>
      <c r="M24125">
        <v>0</v>
      </c>
      <c r="N24125">
        <v>0</v>
      </c>
    </row>
    <row r="24126" spans="1:15">
      <c r="A24126" t="s">
        <v>67144</v>
      </c>
      <c r="B24126" t="s">
        <v>11615</v>
      </c>
      <c r="C24126" t="s">
        <v>32962</v>
      </c>
      <c r="D24126" t="s">
        <v>67145</v>
      </c>
      <c r="E24126" t="b">
        <v>0</v>
      </c>
      <c r="F24126" t="s">
        <v>11624</v>
      </c>
      <c r="G24126">
        <v>-6.4295600000000004</v>
      </c>
      <c r="H24126">
        <v>141.21299999999999</v>
      </c>
      <c r="I24126" t="s">
        <v>67146</v>
      </c>
      <c r="L24126">
        <v>0</v>
      </c>
      <c r="M24126">
        <v>0</v>
      </c>
      <c r="N24126">
        <v>0</v>
      </c>
      <c r="O24126" t="s">
        <v>24525</v>
      </c>
    </row>
    <row r="24127" spans="1:15">
      <c r="A24127" t="s">
        <v>67147</v>
      </c>
      <c r="B24127" t="s">
        <v>11615</v>
      </c>
      <c r="C24127" t="s">
        <v>7842</v>
      </c>
      <c r="D24127" t="s">
        <v>67148</v>
      </c>
      <c r="E24127" t="b">
        <v>0</v>
      </c>
      <c r="F24127" t="s">
        <v>11610</v>
      </c>
      <c r="L24127">
        <v>0</v>
      </c>
      <c r="M24127">
        <v>0</v>
      </c>
      <c r="N24127">
        <v>0</v>
      </c>
    </row>
    <row r="24128" spans="1:15">
      <c r="A24128" t="s">
        <v>67149</v>
      </c>
      <c r="B24128" t="s">
        <v>13264</v>
      </c>
      <c r="C24128" t="s">
        <v>18389</v>
      </c>
      <c r="D24128" t="s">
        <v>67150</v>
      </c>
      <c r="E24128" t="b">
        <v>0</v>
      </c>
      <c r="F24128" t="s">
        <v>11610</v>
      </c>
      <c r="L24128">
        <v>0</v>
      </c>
      <c r="M24128">
        <v>0</v>
      </c>
      <c r="N24128">
        <v>0</v>
      </c>
    </row>
    <row r="24129" spans="1:15">
      <c r="A24129" t="s">
        <v>67151</v>
      </c>
      <c r="B24129" t="s">
        <v>5126</v>
      </c>
      <c r="C24129" t="s">
        <v>18393</v>
      </c>
      <c r="D24129" t="s">
        <v>67152</v>
      </c>
      <c r="E24129" t="b">
        <v>0</v>
      </c>
      <c r="F24129" t="s">
        <v>11624</v>
      </c>
      <c r="G24129">
        <v>23.715389999999999</v>
      </c>
      <c r="H24129">
        <v>112.07482</v>
      </c>
      <c r="L24129">
        <v>0</v>
      </c>
      <c r="M24129">
        <v>0</v>
      </c>
      <c r="N24129">
        <v>0</v>
      </c>
      <c r="O24129" t="s">
        <v>11905</v>
      </c>
    </row>
    <row r="24130" spans="1:15">
      <c r="A24130" t="s">
        <v>67153</v>
      </c>
      <c r="B24130" t="s">
        <v>11644</v>
      </c>
      <c r="C24130" t="s">
        <v>22290</v>
      </c>
      <c r="D24130" t="s">
        <v>67154</v>
      </c>
      <c r="E24130" t="b">
        <v>0</v>
      </c>
      <c r="F24130" t="s">
        <v>11610</v>
      </c>
      <c r="L24130">
        <v>0</v>
      </c>
      <c r="M24130">
        <v>0</v>
      </c>
      <c r="N24130">
        <v>0</v>
      </c>
    </row>
    <row r="24131" spans="1:15">
      <c r="A24131" t="s">
        <v>25278</v>
      </c>
      <c r="B24131" t="s">
        <v>11644</v>
      </c>
      <c r="C24131" t="s">
        <v>22268</v>
      </c>
      <c r="D24131" t="s">
        <v>67155</v>
      </c>
      <c r="E24131" t="b">
        <v>0</v>
      </c>
      <c r="F24131" t="s">
        <v>11610</v>
      </c>
      <c r="L24131">
        <v>0</v>
      </c>
      <c r="M24131">
        <v>0</v>
      </c>
      <c r="N24131">
        <v>3</v>
      </c>
    </row>
    <row r="24132" spans="1:15">
      <c r="A24132" t="s">
        <v>67156</v>
      </c>
      <c r="B24132" t="s">
        <v>11644</v>
      </c>
      <c r="C24132" t="s">
        <v>28593</v>
      </c>
      <c r="D24132" t="s">
        <v>67157</v>
      </c>
      <c r="E24132" t="b">
        <v>0</v>
      </c>
      <c r="F24132" t="s">
        <v>11610</v>
      </c>
      <c r="L24132">
        <v>0</v>
      </c>
      <c r="M24132">
        <v>0</v>
      </c>
      <c r="N24132">
        <v>0</v>
      </c>
    </row>
    <row r="24133" spans="1:15">
      <c r="A24133" t="s">
        <v>67158</v>
      </c>
      <c r="B24133" t="s">
        <v>11644</v>
      </c>
      <c r="C24133" t="s">
        <v>29635</v>
      </c>
      <c r="D24133" t="s">
        <v>67159</v>
      </c>
      <c r="E24133" t="b">
        <v>0</v>
      </c>
      <c r="F24133" t="s">
        <v>11610</v>
      </c>
      <c r="L24133">
        <v>0</v>
      </c>
      <c r="M24133">
        <v>0</v>
      </c>
      <c r="N24133">
        <v>0</v>
      </c>
    </row>
    <row r="24134" spans="1:15">
      <c r="A24134" t="s">
        <v>67160</v>
      </c>
      <c r="B24134" t="s">
        <v>6742</v>
      </c>
      <c r="C24134" t="s">
        <v>16789</v>
      </c>
      <c r="D24134" t="s">
        <v>67161</v>
      </c>
      <c r="E24134" t="b">
        <v>0</v>
      </c>
      <c r="F24134" t="s">
        <v>11610</v>
      </c>
      <c r="L24134">
        <v>0</v>
      </c>
      <c r="M24134">
        <v>0</v>
      </c>
      <c r="N24134">
        <v>0</v>
      </c>
    </row>
    <row r="24135" spans="1:15">
      <c r="A24135" t="s">
        <v>67162</v>
      </c>
      <c r="B24135" t="s">
        <v>6742</v>
      </c>
      <c r="C24135" t="s">
        <v>63933</v>
      </c>
      <c r="D24135" t="s">
        <v>67163</v>
      </c>
      <c r="E24135" t="b">
        <v>0</v>
      </c>
      <c r="F24135" t="s">
        <v>11610</v>
      </c>
      <c r="L24135">
        <v>0</v>
      </c>
      <c r="M24135">
        <v>0</v>
      </c>
      <c r="N24135">
        <v>0</v>
      </c>
    </row>
    <row r="24136" spans="1:15">
      <c r="A24136" t="s">
        <v>67164</v>
      </c>
      <c r="B24136" t="s">
        <v>13276</v>
      </c>
      <c r="C24136" t="s">
        <v>18350</v>
      </c>
      <c r="D24136" t="s">
        <v>67165</v>
      </c>
      <c r="E24136" t="b">
        <v>0</v>
      </c>
      <c r="F24136" t="s">
        <v>11610</v>
      </c>
      <c r="L24136">
        <v>0</v>
      </c>
      <c r="M24136">
        <v>0</v>
      </c>
      <c r="N24136">
        <v>0</v>
      </c>
    </row>
    <row r="24137" spans="1:15">
      <c r="A24137" t="s">
        <v>67166</v>
      </c>
      <c r="B24137" t="s">
        <v>13276</v>
      </c>
      <c r="C24137" t="s">
        <v>18318</v>
      </c>
      <c r="D24137" t="s">
        <v>67167</v>
      </c>
      <c r="E24137" t="b">
        <v>0</v>
      </c>
      <c r="F24137" t="s">
        <v>11610</v>
      </c>
      <c r="L24137">
        <v>0</v>
      </c>
      <c r="M24137">
        <v>0</v>
      </c>
      <c r="N24137">
        <v>0</v>
      </c>
    </row>
    <row r="24138" spans="1:15">
      <c r="A24138" t="s">
        <v>32696</v>
      </c>
      <c r="B24138" t="s">
        <v>11615</v>
      </c>
      <c r="C24138" t="s">
        <v>19508</v>
      </c>
      <c r="D24138" t="s">
        <v>67168</v>
      </c>
      <c r="E24138" t="b">
        <v>0</v>
      </c>
      <c r="F24138" t="s">
        <v>11624</v>
      </c>
      <c r="G24138">
        <v>-5.9408500000000002</v>
      </c>
      <c r="H24138">
        <v>146.661</v>
      </c>
      <c r="I24138" t="s">
        <v>67169</v>
      </c>
      <c r="L24138">
        <v>0</v>
      </c>
      <c r="M24138">
        <v>0</v>
      </c>
      <c r="N24138">
        <v>4</v>
      </c>
      <c r="O24138" t="s">
        <v>11660</v>
      </c>
    </row>
    <row r="24139" spans="1:15">
      <c r="A24139" t="s">
        <v>67170</v>
      </c>
      <c r="B24139" t="s">
        <v>13244</v>
      </c>
      <c r="C24139" t="s">
        <v>56776</v>
      </c>
      <c r="D24139" t="s">
        <v>67171</v>
      </c>
      <c r="E24139" t="b">
        <v>0</v>
      </c>
      <c r="F24139" t="s">
        <v>11624</v>
      </c>
      <c r="G24139">
        <v>-11.3704</v>
      </c>
      <c r="H24139">
        <v>-72.040899999999993</v>
      </c>
      <c r="I24139" t="s">
        <v>67172</v>
      </c>
      <c r="L24139">
        <v>0</v>
      </c>
      <c r="M24139">
        <v>0</v>
      </c>
      <c r="N24139">
        <v>0</v>
      </c>
      <c r="O24139" t="s">
        <v>11778</v>
      </c>
    </row>
    <row r="24140" spans="1:15">
      <c r="A24140" t="s">
        <v>67173</v>
      </c>
      <c r="B24140" t="s">
        <v>367</v>
      </c>
      <c r="C24140" t="s">
        <v>15313</v>
      </c>
      <c r="D24140" t="s">
        <v>67174</v>
      </c>
      <c r="E24140" t="b">
        <v>0</v>
      </c>
      <c r="F24140" t="s">
        <v>11610</v>
      </c>
      <c r="L24140">
        <v>0</v>
      </c>
      <c r="M24140">
        <v>0</v>
      </c>
      <c r="N24140">
        <v>0</v>
      </c>
    </row>
    <row r="24141" spans="1:15">
      <c r="A24141" t="s">
        <v>67175</v>
      </c>
      <c r="B24141" t="s">
        <v>1342</v>
      </c>
      <c r="C24141" t="s">
        <v>31912</v>
      </c>
      <c r="D24141" t="s">
        <v>67176</v>
      </c>
      <c r="E24141" t="b">
        <v>0</v>
      </c>
      <c r="F24141" t="s">
        <v>11610</v>
      </c>
      <c r="L24141">
        <v>0</v>
      </c>
      <c r="M24141">
        <v>0</v>
      </c>
      <c r="N24141">
        <v>0</v>
      </c>
    </row>
    <row r="24142" spans="1:15">
      <c r="A24142" t="s">
        <v>67177</v>
      </c>
      <c r="B24142" t="s">
        <v>6742</v>
      </c>
      <c r="C24142" t="s">
        <v>25251</v>
      </c>
      <c r="D24142" t="s">
        <v>67178</v>
      </c>
      <c r="E24142" t="b">
        <v>0</v>
      </c>
      <c r="F24142" t="s">
        <v>11610</v>
      </c>
      <c r="L24142">
        <v>0</v>
      </c>
      <c r="M24142">
        <v>0</v>
      </c>
      <c r="N24142">
        <v>0</v>
      </c>
    </row>
    <row r="24143" spans="1:15">
      <c r="A24143" t="s">
        <v>67179</v>
      </c>
      <c r="B24143" t="s">
        <v>4342</v>
      </c>
      <c r="C24143" t="s">
        <v>6162</v>
      </c>
      <c r="D24143" t="s">
        <v>67180</v>
      </c>
      <c r="E24143" t="b">
        <v>0</v>
      </c>
      <c r="F24143" t="s">
        <v>11624</v>
      </c>
      <c r="G24143">
        <v>27.040700000000001</v>
      </c>
      <c r="H24143">
        <v>128.428</v>
      </c>
      <c r="I24143" t="s">
        <v>67181</v>
      </c>
      <c r="L24143">
        <v>0</v>
      </c>
      <c r="M24143">
        <v>0</v>
      </c>
      <c r="N24143">
        <v>0</v>
      </c>
      <c r="O24143" t="s">
        <v>12539</v>
      </c>
    </row>
    <row r="24144" spans="1:15">
      <c r="A24144" t="s">
        <v>66330</v>
      </c>
      <c r="B24144" t="s">
        <v>10597</v>
      </c>
      <c r="C24144" t="s">
        <v>24673</v>
      </c>
      <c r="D24144" t="s">
        <v>67182</v>
      </c>
      <c r="E24144" t="b">
        <v>0</v>
      </c>
      <c r="F24144" t="s">
        <v>11624</v>
      </c>
      <c r="G24144">
        <v>-35.9</v>
      </c>
      <c r="H24144">
        <v>145.01</v>
      </c>
      <c r="I24144" t="s">
        <v>67183</v>
      </c>
      <c r="L24144">
        <v>0</v>
      </c>
      <c r="M24144">
        <v>0</v>
      </c>
      <c r="N24144">
        <v>1</v>
      </c>
      <c r="O24144" t="s">
        <v>12107</v>
      </c>
    </row>
    <row r="24145" spans="1:15">
      <c r="A24145" t="s">
        <v>26807</v>
      </c>
      <c r="B24145" t="s">
        <v>6742</v>
      </c>
      <c r="C24145" t="s">
        <v>14518</v>
      </c>
      <c r="D24145" t="s">
        <v>67184</v>
      </c>
      <c r="E24145" t="b">
        <v>0</v>
      </c>
      <c r="F24145" t="s">
        <v>11622</v>
      </c>
      <c r="L24145">
        <v>8</v>
      </c>
      <c r="M24145">
        <v>14</v>
      </c>
      <c r="N24145">
        <v>32</v>
      </c>
    </row>
    <row r="24146" spans="1:15">
      <c r="A24146" t="s">
        <v>3193</v>
      </c>
      <c r="B24146" t="s">
        <v>6742</v>
      </c>
      <c r="C24146" t="s">
        <v>41071</v>
      </c>
      <c r="D24146" t="s">
        <v>67185</v>
      </c>
      <c r="E24146" t="b">
        <v>0</v>
      </c>
      <c r="F24146" t="s">
        <v>11624</v>
      </c>
      <c r="G24146">
        <v>7.1534500000000003</v>
      </c>
      <c r="H24146">
        <v>3.67225</v>
      </c>
      <c r="I24146" t="s">
        <v>3194</v>
      </c>
      <c r="L24146">
        <v>0</v>
      </c>
      <c r="M24146">
        <v>0</v>
      </c>
      <c r="N24146">
        <v>20</v>
      </c>
      <c r="O24146" t="s">
        <v>15587</v>
      </c>
    </row>
    <row r="24147" spans="1:15">
      <c r="A24147" t="s">
        <v>67186</v>
      </c>
      <c r="B24147" t="s">
        <v>11981</v>
      </c>
      <c r="C24147" t="s">
        <v>11982</v>
      </c>
      <c r="D24147" t="s">
        <v>67187</v>
      </c>
      <c r="E24147" t="b">
        <v>0</v>
      </c>
      <c r="F24147" t="s">
        <v>11624</v>
      </c>
      <c r="G24147">
        <v>7.15</v>
      </c>
      <c r="H24147">
        <v>3.66</v>
      </c>
      <c r="L24147">
        <v>0</v>
      </c>
      <c r="M24147">
        <v>0</v>
      </c>
      <c r="N24147">
        <v>0</v>
      </c>
      <c r="O24147" t="s">
        <v>11693</v>
      </c>
    </row>
    <row r="24148" spans="1:15">
      <c r="A24148" t="s">
        <v>67188</v>
      </c>
      <c r="B24148" t="s">
        <v>11627</v>
      </c>
      <c r="C24148" t="s">
        <v>11627</v>
      </c>
      <c r="D24148" t="s">
        <v>67189</v>
      </c>
      <c r="E24148" t="b">
        <v>1</v>
      </c>
      <c r="F24148" t="s">
        <v>11624</v>
      </c>
      <c r="G24148">
        <v>25.436399999999999</v>
      </c>
      <c r="H24148">
        <v>95.756600000000006</v>
      </c>
      <c r="I24148" t="s">
        <v>67190</v>
      </c>
      <c r="L24148">
        <v>0</v>
      </c>
      <c r="M24148">
        <v>0</v>
      </c>
      <c r="N24148">
        <v>0</v>
      </c>
      <c r="O24148" t="s">
        <v>14059</v>
      </c>
    </row>
    <row r="24149" spans="1:15">
      <c r="A24149" t="s">
        <v>67191</v>
      </c>
      <c r="B24149" t="s">
        <v>11879</v>
      </c>
      <c r="C24149" t="s">
        <v>45248</v>
      </c>
      <c r="D24149" t="s">
        <v>67192</v>
      </c>
      <c r="E24149" t="b">
        <v>0</v>
      </c>
      <c r="F24149" t="s">
        <v>11610</v>
      </c>
      <c r="L24149">
        <v>0</v>
      </c>
      <c r="M24149">
        <v>0</v>
      </c>
      <c r="N24149">
        <v>0</v>
      </c>
    </row>
    <row r="24150" spans="1:15">
      <c r="A24150" t="s">
        <v>67193</v>
      </c>
      <c r="B24150" t="s">
        <v>11879</v>
      </c>
      <c r="C24150" t="s">
        <v>14974</v>
      </c>
      <c r="D24150" t="s">
        <v>67194</v>
      </c>
      <c r="E24150" t="b">
        <v>0</v>
      </c>
      <c r="F24150" t="s">
        <v>11624</v>
      </c>
      <c r="G24150">
        <v>16.904199999999999</v>
      </c>
      <c r="H24150">
        <v>-97.501800000000003</v>
      </c>
      <c r="I24150" t="s">
        <v>67195</v>
      </c>
      <c r="L24150">
        <v>0</v>
      </c>
      <c r="M24150">
        <v>0</v>
      </c>
      <c r="N24150">
        <v>0</v>
      </c>
      <c r="O24150" t="s">
        <v>11883</v>
      </c>
    </row>
    <row r="24151" spans="1:15">
      <c r="A24151" t="s">
        <v>67196</v>
      </c>
      <c r="B24151" t="s">
        <v>6742</v>
      </c>
      <c r="C24151" t="s">
        <v>16276</v>
      </c>
      <c r="D24151" t="s">
        <v>67197</v>
      </c>
      <c r="E24151" t="b">
        <v>0</v>
      </c>
      <c r="F24151" t="s">
        <v>11624</v>
      </c>
      <c r="G24151">
        <v>9.1609929999999995</v>
      </c>
      <c r="H24151">
        <v>11.672758999999999</v>
      </c>
      <c r="I24151" t="s">
        <v>67198</v>
      </c>
      <c r="L24151">
        <v>0</v>
      </c>
      <c r="M24151">
        <v>0</v>
      </c>
      <c r="N24151">
        <v>0</v>
      </c>
      <c r="O24151" t="s">
        <v>11693</v>
      </c>
    </row>
    <row r="24152" spans="1:15">
      <c r="A24152" t="s">
        <v>67199</v>
      </c>
      <c r="B24152" t="s">
        <v>1342</v>
      </c>
      <c r="C24152" t="s">
        <v>31912</v>
      </c>
      <c r="D24152" t="s">
        <v>67200</v>
      </c>
      <c r="E24152" t="b">
        <v>0</v>
      </c>
      <c r="F24152" t="s">
        <v>11610</v>
      </c>
      <c r="L24152">
        <v>0</v>
      </c>
      <c r="M24152">
        <v>0</v>
      </c>
      <c r="N24152">
        <v>0</v>
      </c>
    </row>
    <row r="24153" spans="1:15">
      <c r="A24153" t="s">
        <v>67201</v>
      </c>
      <c r="B24153" t="s">
        <v>5126</v>
      </c>
      <c r="C24153" t="s">
        <v>19778</v>
      </c>
      <c r="D24153" t="s">
        <v>67202</v>
      </c>
      <c r="E24153" t="b">
        <v>0</v>
      </c>
      <c r="F24153" t="s">
        <v>11624</v>
      </c>
      <c r="G24153">
        <v>23.75</v>
      </c>
      <c r="H24153">
        <v>106.9</v>
      </c>
      <c r="I24153" t="s">
        <v>67203</v>
      </c>
      <c r="L24153">
        <v>0</v>
      </c>
      <c r="M24153">
        <v>0</v>
      </c>
      <c r="N24153">
        <v>0</v>
      </c>
      <c r="O24153" t="s">
        <v>11905</v>
      </c>
    </row>
    <row r="24154" spans="1:15">
      <c r="A24154" t="s">
        <v>67204</v>
      </c>
      <c r="B24154" t="s">
        <v>11644</v>
      </c>
      <c r="C24154" t="s">
        <v>20691</v>
      </c>
      <c r="D24154" t="s">
        <v>67205</v>
      </c>
      <c r="E24154" t="b">
        <v>0</v>
      </c>
      <c r="F24154" t="s">
        <v>11624</v>
      </c>
      <c r="G24154">
        <v>22.0473</v>
      </c>
      <c r="H24154">
        <v>101.057</v>
      </c>
      <c r="I24154" t="s">
        <v>67206</v>
      </c>
      <c r="L24154">
        <v>0</v>
      </c>
      <c r="M24154">
        <v>0</v>
      </c>
      <c r="N24154">
        <v>0</v>
      </c>
      <c r="O24154" t="s">
        <v>11905</v>
      </c>
    </row>
    <row r="24155" spans="1:15">
      <c r="A24155" t="s">
        <v>67207</v>
      </c>
      <c r="B24155" t="s">
        <v>5058</v>
      </c>
      <c r="C24155" t="s">
        <v>51882</v>
      </c>
      <c r="D24155" t="s">
        <v>67208</v>
      </c>
      <c r="E24155" t="b">
        <v>0</v>
      </c>
      <c r="F24155" t="s">
        <v>11624</v>
      </c>
      <c r="G24155">
        <v>25.7638</v>
      </c>
      <c r="H24155">
        <v>110.474</v>
      </c>
      <c r="I24155" t="s">
        <v>67209</v>
      </c>
      <c r="L24155">
        <v>0</v>
      </c>
      <c r="M24155">
        <v>0</v>
      </c>
      <c r="N24155">
        <v>0</v>
      </c>
      <c r="O24155" t="s">
        <v>11905</v>
      </c>
    </row>
    <row r="24156" spans="1:15">
      <c r="A24156" t="s">
        <v>67210</v>
      </c>
      <c r="B24156" t="s">
        <v>11615</v>
      </c>
      <c r="C24156" t="s">
        <v>63230</v>
      </c>
      <c r="D24156" t="s">
        <v>67211</v>
      </c>
      <c r="E24156" t="b">
        <v>0</v>
      </c>
      <c r="F24156" t="s">
        <v>11624</v>
      </c>
      <c r="I24156" t="s">
        <v>67212</v>
      </c>
      <c r="L24156">
        <v>0</v>
      </c>
      <c r="M24156">
        <v>0</v>
      </c>
      <c r="N24156">
        <v>0</v>
      </c>
      <c r="O24156" t="s">
        <v>11660</v>
      </c>
    </row>
    <row r="24157" spans="1:15">
      <c r="A24157" t="s">
        <v>67213</v>
      </c>
      <c r="B24157" t="s">
        <v>5126</v>
      </c>
      <c r="C24157" t="s">
        <v>48496</v>
      </c>
      <c r="D24157" t="s">
        <v>67214</v>
      </c>
      <c r="E24157" t="b">
        <v>0</v>
      </c>
      <c r="F24157" t="s">
        <v>11624</v>
      </c>
      <c r="G24157">
        <v>17.621500000000001</v>
      </c>
      <c r="H24157">
        <v>104.785</v>
      </c>
      <c r="I24157" t="s">
        <v>67215</v>
      </c>
      <c r="L24157">
        <v>0</v>
      </c>
      <c r="M24157">
        <v>0</v>
      </c>
      <c r="N24157">
        <v>0</v>
      </c>
      <c r="O24157" t="s">
        <v>12442</v>
      </c>
    </row>
    <row r="24158" spans="1:15">
      <c r="A24158" t="s">
        <v>67216</v>
      </c>
      <c r="B24158" t="s">
        <v>6742</v>
      </c>
      <c r="C24158" t="s">
        <v>1780</v>
      </c>
      <c r="D24158" t="s">
        <v>67217</v>
      </c>
      <c r="E24158" t="b">
        <v>0</v>
      </c>
      <c r="F24158" t="s">
        <v>11610</v>
      </c>
      <c r="L24158">
        <v>0</v>
      </c>
      <c r="M24158">
        <v>0</v>
      </c>
      <c r="N24158">
        <v>0</v>
      </c>
    </row>
    <row r="24159" spans="1:15">
      <c r="A24159" t="s">
        <v>67218</v>
      </c>
      <c r="B24159" t="s">
        <v>11637</v>
      </c>
      <c r="C24159" t="s">
        <v>14027</v>
      </c>
      <c r="D24159" t="s">
        <v>67219</v>
      </c>
      <c r="E24159" t="b">
        <v>0</v>
      </c>
      <c r="F24159" t="s">
        <v>11610</v>
      </c>
      <c r="L24159">
        <v>0</v>
      </c>
      <c r="M24159">
        <v>0</v>
      </c>
      <c r="N24159">
        <v>0</v>
      </c>
    </row>
    <row r="24160" spans="1:15">
      <c r="A24160" t="s">
        <v>67220</v>
      </c>
      <c r="B24160" t="s">
        <v>8310</v>
      </c>
      <c r="C24160" t="s">
        <v>2504</v>
      </c>
      <c r="D24160" t="s">
        <v>67221</v>
      </c>
      <c r="E24160" t="b">
        <v>0</v>
      </c>
      <c r="F24160" t="s">
        <v>11610</v>
      </c>
      <c r="L24160">
        <v>0</v>
      </c>
      <c r="M24160">
        <v>0</v>
      </c>
      <c r="N24160">
        <v>0</v>
      </c>
    </row>
    <row r="24161" spans="1:15">
      <c r="A24161" t="s">
        <v>67222</v>
      </c>
      <c r="B24161" t="s">
        <v>6742</v>
      </c>
      <c r="C24161" t="s">
        <v>16872</v>
      </c>
      <c r="D24161" t="s">
        <v>67223</v>
      </c>
      <c r="E24161" t="b">
        <v>0</v>
      </c>
      <c r="F24161" t="s">
        <v>11610</v>
      </c>
      <c r="L24161">
        <v>0</v>
      </c>
      <c r="M24161">
        <v>0</v>
      </c>
      <c r="N24161">
        <v>0</v>
      </c>
    </row>
    <row r="24162" spans="1:15">
      <c r="A24162" t="s">
        <v>67224</v>
      </c>
      <c r="B24162" t="s">
        <v>6742</v>
      </c>
      <c r="C24162" t="s">
        <v>25446</v>
      </c>
      <c r="D24162" t="s">
        <v>67225</v>
      </c>
      <c r="E24162" t="b">
        <v>0</v>
      </c>
      <c r="F24162" t="s">
        <v>11610</v>
      </c>
      <c r="L24162">
        <v>0</v>
      </c>
      <c r="M24162">
        <v>0</v>
      </c>
      <c r="N24162">
        <v>0</v>
      </c>
    </row>
    <row r="24163" spans="1:15">
      <c r="A24163" t="s">
        <v>33694</v>
      </c>
      <c r="B24163" t="s">
        <v>367</v>
      </c>
      <c r="C24163" t="s">
        <v>38133</v>
      </c>
      <c r="D24163" t="s">
        <v>67226</v>
      </c>
      <c r="E24163" t="b">
        <v>0</v>
      </c>
      <c r="F24163" t="s">
        <v>11624</v>
      </c>
      <c r="G24163">
        <v>-20.566400000000002</v>
      </c>
      <c r="H24163">
        <v>164.51</v>
      </c>
      <c r="I24163" t="s">
        <v>67227</v>
      </c>
      <c r="L24163">
        <v>0</v>
      </c>
      <c r="M24163">
        <v>0</v>
      </c>
      <c r="N24163">
        <v>2</v>
      </c>
      <c r="O24163" t="s">
        <v>12624</v>
      </c>
    </row>
    <row r="24164" spans="1:15">
      <c r="A24164" t="s">
        <v>67228</v>
      </c>
      <c r="B24164" t="s">
        <v>12438</v>
      </c>
      <c r="C24164" t="s">
        <v>30841</v>
      </c>
      <c r="D24164" t="s">
        <v>67229</v>
      </c>
      <c r="E24164" t="b">
        <v>0</v>
      </c>
      <c r="F24164" t="s">
        <v>11610</v>
      </c>
      <c r="L24164">
        <v>0</v>
      </c>
      <c r="M24164">
        <v>0</v>
      </c>
      <c r="N24164">
        <v>0</v>
      </c>
    </row>
    <row r="24165" spans="1:15">
      <c r="A24165" t="s">
        <v>67230</v>
      </c>
      <c r="B24165" t="s">
        <v>11627</v>
      </c>
      <c r="C24165" t="s">
        <v>11627</v>
      </c>
      <c r="D24165" t="s">
        <v>67231</v>
      </c>
      <c r="E24165" t="b">
        <v>1</v>
      </c>
      <c r="F24165" t="s">
        <v>11624</v>
      </c>
      <c r="I24165" t="s">
        <v>67232</v>
      </c>
      <c r="L24165">
        <v>0</v>
      </c>
      <c r="M24165">
        <v>0</v>
      </c>
      <c r="N24165">
        <v>0</v>
      </c>
    </row>
    <row r="24166" spans="1:15">
      <c r="A24166" t="s">
        <v>67233</v>
      </c>
      <c r="B24166" t="s">
        <v>11644</v>
      </c>
      <c r="C24166" t="s">
        <v>16856</v>
      </c>
      <c r="D24166" t="s">
        <v>67234</v>
      </c>
      <c r="E24166" t="b">
        <v>0</v>
      </c>
      <c r="F24166" t="s">
        <v>11610</v>
      </c>
      <c r="L24166">
        <v>0</v>
      </c>
      <c r="M24166">
        <v>0</v>
      </c>
      <c r="N24166">
        <v>0</v>
      </c>
    </row>
    <row r="24167" spans="1:15">
      <c r="A24167" t="s">
        <v>18921</v>
      </c>
      <c r="D24167" t="s">
        <v>67235</v>
      </c>
      <c r="E24167" t="b">
        <v>0</v>
      </c>
      <c r="F24167" t="s">
        <v>11622</v>
      </c>
      <c r="L24167">
        <v>2</v>
      </c>
      <c r="M24167">
        <v>5</v>
      </c>
      <c r="N24167">
        <v>0</v>
      </c>
    </row>
    <row r="24168" spans="1:15">
      <c r="A24168" t="s">
        <v>67236</v>
      </c>
      <c r="B24168" t="s">
        <v>11981</v>
      </c>
      <c r="C24168" t="s">
        <v>11982</v>
      </c>
      <c r="D24168" t="s">
        <v>67237</v>
      </c>
      <c r="E24168" t="b">
        <v>0</v>
      </c>
      <c r="F24168" t="s">
        <v>11624</v>
      </c>
      <c r="G24168">
        <v>20.5</v>
      </c>
      <c r="H24168">
        <v>-89</v>
      </c>
      <c r="I24168" t="s">
        <v>67238</v>
      </c>
      <c r="L24168">
        <v>0</v>
      </c>
      <c r="M24168">
        <v>0</v>
      </c>
      <c r="N24168">
        <v>0</v>
      </c>
      <c r="O24168" t="s">
        <v>11883</v>
      </c>
    </row>
    <row r="24169" spans="1:15">
      <c r="A24169" t="s">
        <v>7055</v>
      </c>
      <c r="B24169" t="s">
        <v>5911</v>
      </c>
      <c r="C24169" t="s">
        <v>23410</v>
      </c>
      <c r="D24169" t="s">
        <v>67239</v>
      </c>
      <c r="E24169" t="b">
        <v>0</v>
      </c>
      <c r="F24169" t="s">
        <v>11622</v>
      </c>
      <c r="L24169">
        <v>2</v>
      </c>
      <c r="M24169">
        <v>4</v>
      </c>
      <c r="N24169">
        <v>2</v>
      </c>
    </row>
    <row r="24170" spans="1:15">
      <c r="A24170" t="s">
        <v>38897</v>
      </c>
      <c r="B24170" t="s">
        <v>5911</v>
      </c>
      <c r="C24170" t="s">
        <v>7055</v>
      </c>
      <c r="D24170" t="s">
        <v>67240</v>
      </c>
      <c r="E24170" t="b">
        <v>0</v>
      </c>
      <c r="F24170" t="s">
        <v>11622</v>
      </c>
      <c r="L24170">
        <v>0</v>
      </c>
      <c r="M24170">
        <v>2</v>
      </c>
      <c r="N24170">
        <v>2</v>
      </c>
    </row>
    <row r="24171" spans="1:15">
      <c r="A24171" t="s">
        <v>5910</v>
      </c>
      <c r="B24171" t="s">
        <v>5911</v>
      </c>
      <c r="C24171" t="s">
        <v>38897</v>
      </c>
      <c r="D24171" t="s">
        <v>67241</v>
      </c>
      <c r="E24171" t="b">
        <v>0</v>
      </c>
      <c r="F24171" t="s">
        <v>11624</v>
      </c>
      <c r="G24171">
        <v>18.775700000000001</v>
      </c>
      <c r="H24171">
        <v>-88.956699999999998</v>
      </c>
      <c r="I24171" t="s">
        <v>5912</v>
      </c>
      <c r="L24171">
        <v>0</v>
      </c>
      <c r="M24171">
        <v>0</v>
      </c>
      <c r="N24171">
        <v>0</v>
      </c>
      <c r="O24171" t="s">
        <v>67242</v>
      </c>
    </row>
    <row r="24172" spans="1:15">
      <c r="A24172" t="s">
        <v>67243</v>
      </c>
      <c r="D24172" t="s">
        <v>67244</v>
      </c>
      <c r="E24172" t="b">
        <v>0</v>
      </c>
      <c r="F24172" t="s">
        <v>11624</v>
      </c>
      <c r="G24172">
        <v>35.961460000000002</v>
      </c>
      <c r="H24172">
        <v>-95.039330000000007</v>
      </c>
      <c r="I24172" t="s">
        <v>67245</v>
      </c>
      <c r="L24172">
        <v>0</v>
      </c>
      <c r="M24172">
        <v>0</v>
      </c>
      <c r="N24172">
        <v>0</v>
      </c>
      <c r="O24172" t="s">
        <v>11944</v>
      </c>
    </row>
    <row r="24173" spans="1:15">
      <c r="A24173" t="s">
        <v>67246</v>
      </c>
      <c r="B24173" t="s">
        <v>11644</v>
      </c>
      <c r="C24173" t="s">
        <v>6112</v>
      </c>
      <c r="D24173" t="s">
        <v>67247</v>
      </c>
      <c r="E24173" t="b">
        <v>0</v>
      </c>
      <c r="F24173" t="s">
        <v>11610</v>
      </c>
      <c r="G24173">
        <v>37.639417700000003</v>
      </c>
      <c r="H24173">
        <v>112.5650222</v>
      </c>
      <c r="L24173">
        <v>0</v>
      </c>
      <c r="M24173">
        <v>0</v>
      </c>
      <c r="N24173">
        <v>0</v>
      </c>
    </row>
    <row r="24174" spans="1:15">
      <c r="A24174" t="s">
        <v>67248</v>
      </c>
      <c r="B24174" t="s">
        <v>11879</v>
      </c>
      <c r="C24174" t="s">
        <v>50399</v>
      </c>
      <c r="D24174" t="s">
        <v>67249</v>
      </c>
      <c r="E24174" t="b">
        <v>0</v>
      </c>
      <c r="F24174" t="s">
        <v>11610</v>
      </c>
      <c r="L24174">
        <v>0</v>
      </c>
      <c r="M24174">
        <v>0</v>
      </c>
      <c r="N24174">
        <v>0</v>
      </c>
    </row>
    <row r="24175" spans="1:15">
      <c r="A24175" t="s">
        <v>67250</v>
      </c>
      <c r="B24175" t="s">
        <v>11879</v>
      </c>
      <c r="C24175" t="s">
        <v>14974</v>
      </c>
      <c r="D24175" t="s">
        <v>67251</v>
      </c>
      <c r="E24175" t="b">
        <v>0</v>
      </c>
      <c r="F24175" t="s">
        <v>11624</v>
      </c>
      <c r="G24175">
        <v>17.283200000000001</v>
      </c>
      <c r="H24175">
        <v>-97.4285</v>
      </c>
      <c r="I24175" t="s">
        <v>67252</v>
      </c>
      <c r="L24175">
        <v>0</v>
      </c>
      <c r="M24175">
        <v>0</v>
      </c>
      <c r="N24175">
        <v>0</v>
      </c>
      <c r="O24175" t="s">
        <v>11883</v>
      </c>
    </row>
    <row r="24176" spans="1:15">
      <c r="A24176" t="s">
        <v>67253</v>
      </c>
      <c r="B24176" t="s">
        <v>11879</v>
      </c>
      <c r="C24176" t="s">
        <v>61036</v>
      </c>
      <c r="D24176" t="s">
        <v>67254</v>
      </c>
      <c r="E24176" t="b">
        <v>0</v>
      </c>
      <c r="F24176" t="s">
        <v>11610</v>
      </c>
      <c r="L24176">
        <v>0</v>
      </c>
      <c r="M24176">
        <v>0</v>
      </c>
      <c r="N24176">
        <v>0</v>
      </c>
    </row>
    <row r="24177" spans="1:15">
      <c r="A24177" t="s">
        <v>29865</v>
      </c>
      <c r="B24177" t="s">
        <v>11894</v>
      </c>
      <c r="C24177" t="s">
        <v>16718</v>
      </c>
      <c r="D24177" t="s">
        <v>67255</v>
      </c>
      <c r="E24177" t="b">
        <v>0</v>
      </c>
      <c r="F24177" t="s">
        <v>11622</v>
      </c>
      <c r="L24177">
        <v>0</v>
      </c>
      <c r="M24177">
        <v>3</v>
      </c>
      <c r="N24177">
        <v>0</v>
      </c>
    </row>
    <row r="24178" spans="1:15">
      <c r="A24178" t="s">
        <v>67256</v>
      </c>
      <c r="B24178" t="s">
        <v>11894</v>
      </c>
      <c r="C24178" t="s">
        <v>29865</v>
      </c>
      <c r="D24178" t="s">
        <v>67257</v>
      </c>
      <c r="E24178" t="b">
        <v>0</v>
      </c>
      <c r="F24178" t="s">
        <v>11624</v>
      </c>
      <c r="G24178">
        <v>-0.76075000000000004</v>
      </c>
      <c r="H24178">
        <v>-71.003299999999996</v>
      </c>
      <c r="I24178" t="s">
        <v>67258</v>
      </c>
      <c r="L24178">
        <v>0</v>
      </c>
      <c r="M24178">
        <v>0</v>
      </c>
      <c r="N24178">
        <v>0</v>
      </c>
      <c r="O24178" t="s">
        <v>19573</v>
      </c>
    </row>
    <row r="24179" spans="1:15">
      <c r="A24179" t="s">
        <v>67259</v>
      </c>
      <c r="B24179" t="s">
        <v>11644</v>
      </c>
      <c r="C24179" t="s">
        <v>30548</v>
      </c>
      <c r="D24179" t="s">
        <v>67260</v>
      </c>
      <c r="E24179" t="b">
        <v>0</v>
      </c>
      <c r="F24179" t="s">
        <v>11610</v>
      </c>
      <c r="L24179">
        <v>0</v>
      </c>
      <c r="M24179">
        <v>0</v>
      </c>
      <c r="N24179">
        <v>0</v>
      </c>
    </row>
    <row r="24180" spans="1:15">
      <c r="A24180" t="s">
        <v>28593</v>
      </c>
      <c r="B24180" t="s">
        <v>11644</v>
      </c>
      <c r="C24180" t="s">
        <v>53137</v>
      </c>
      <c r="D24180" t="s">
        <v>67261</v>
      </c>
      <c r="E24180" t="b">
        <v>0</v>
      </c>
      <c r="F24180" t="s">
        <v>11624</v>
      </c>
      <c r="G24180">
        <v>23</v>
      </c>
      <c r="H24180">
        <v>113</v>
      </c>
      <c r="I24180" t="s">
        <v>67262</v>
      </c>
      <c r="L24180">
        <v>0</v>
      </c>
      <c r="M24180">
        <v>0</v>
      </c>
      <c r="N24180">
        <v>22</v>
      </c>
      <c r="O24180" t="s">
        <v>19781</v>
      </c>
    </row>
    <row r="24181" spans="1:15">
      <c r="A24181" t="s">
        <v>21072</v>
      </c>
      <c r="B24181" t="s">
        <v>11644</v>
      </c>
      <c r="C24181" t="s">
        <v>28593</v>
      </c>
      <c r="D24181" t="s">
        <v>67263</v>
      </c>
      <c r="E24181" t="b">
        <v>0</v>
      </c>
      <c r="F24181" t="s">
        <v>11610</v>
      </c>
      <c r="L24181">
        <v>0</v>
      </c>
      <c r="M24181">
        <v>0</v>
      </c>
      <c r="N24181">
        <v>9</v>
      </c>
    </row>
    <row r="24182" spans="1:15">
      <c r="A24182" t="s">
        <v>53137</v>
      </c>
      <c r="B24182" t="s">
        <v>11644</v>
      </c>
      <c r="C24182" t="s">
        <v>28526</v>
      </c>
      <c r="D24182" t="s">
        <v>67264</v>
      </c>
      <c r="E24182" t="b">
        <v>0</v>
      </c>
      <c r="F24182" t="s">
        <v>11622</v>
      </c>
      <c r="L24182">
        <v>1</v>
      </c>
      <c r="M24182">
        <v>3</v>
      </c>
      <c r="N24182">
        <v>27</v>
      </c>
    </row>
    <row r="24183" spans="1:15">
      <c r="A24183" t="s">
        <v>67265</v>
      </c>
      <c r="B24183" t="s">
        <v>11644</v>
      </c>
      <c r="C24183" t="s">
        <v>30548</v>
      </c>
      <c r="D24183" t="s">
        <v>67266</v>
      </c>
      <c r="E24183" t="b">
        <v>0</v>
      </c>
      <c r="F24183" t="s">
        <v>11610</v>
      </c>
      <c r="G24183">
        <v>24.3522958</v>
      </c>
      <c r="H24183">
        <v>115.8903375</v>
      </c>
      <c r="L24183">
        <v>0</v>
      </c>
      <c r="M24183">
        <v>0</v>
      </c>
      <c r="N24183">
        <v>0</v>
      </c>
    </row>
    <row r="24184" spans="1:15">
      <c r="A24184" t="s">
        <v>67267</v>
      </c>
      <c r="B24184" t="s">
        <v>11644</v>
      </c>
      <c r="C24184" t="s">
        <v>22267</v>
      </c>
      <c r="D24184" t="s">
        <v>67268</v>
      </c>
      <c r="E24184" t="b">
        <v>0</v>
      </c>
      <c r="F24184" t="s">
        <v>11610</v>
      </c>
      <c r="L24184">
        <v>0</v>
      </c>
      <c r="M24184">
        <v>0</v>
      </c>
      <c r="N24184">
        <v>0</v>
      </c>
    </row>
    <row r="24185" spans="1:15">
      <c r="A24185" t="s">
        <v>67269</v>
      </c>
      <c r="B24185" t="s">
        <v>11644</v>
      </c>
      <c r="C24185" t="s">
        <v>30548</v>
      </c>
      <c r="D24185" t="s">
        <v>67270</v>
      </c>
      <c r="E24185" t="b">
        <v>0</v>
      </c>
      <c r="F24185" t="s">
        <v>11610</v>
      </c>
      <c r="L24185">
        <v>0</v>
      </c>
      <c r="M24185">
        <v>0</v>
      </c>
      <c r="N24185">
        <v>0</v>
      </c>
    </row>
    <row r="24186" spans="1:15">
      <c r="A24186" t="s">
        <v>30325</v>
      </c>
      <c r="B24186" t="s">
        <v>10597</v>
      </c>
      <c r="C24186" t="s">
        <v>26597</v>
      </c>
      <c r="D24186" t="s">
        <v>67271</v>
      </c>
      <c r="E24186" t="b">
        <v>0</v>
      </c>
      <c r="F24186" t="s">
        <v>11622</v>
      </c>
      <c r="L24186">
        <v>1</v>
      </c>
      <c r="M24186">
        <v>3</v>
      </c>
      <c r="N24186">
        <v>0</v>
      </c>
    </row>
    <row r="24187" spans="1:15">
      <c r="A24187" t="s">
        <v>18470</v>
      </c>
      <c r="B24187" t="s">
        <v>10597</v>
      </c>
      <c r="C24187" t="s">
        <v>30325</v>
      </c>
      <c r="D24187" t="s">
        <v>67272</v>
      </c>
      <c r="E24187" t="b">
        <v>0</v>
      </c>
      <c r="F24187" t="s">
        <v>11622</v>
      </c>
      <c r="L24187">
        <v>0</v>
      </c>
      <c r="M24187">
        <v>2</v>
      </c>
      <c r="N24187">
        <v>0</v>
      </c>
    </row>
    <row r="24188" spans="1:15">
      <c r="A24188" t="s">
        <v>67273</v>
      </c>
      <c r="B24188" t="s">
        <v>10597</v>
      </c>
      <c r="C24188" t="s">
        <v>18470</v>
      </c>
      <c r="D24188" t="s">
        <v>67274</v>
      </c>
      <c r="E24188" t="b">
        <v>0</v>
      </c>
      <c r="F24188" t="s">
        <v>11624</v>
      </c>
      <c r="G24188">
        <v>-27.803000000000001</v>
      </c>
      <c r="H24188">
        <v>153.08199999999999</v>
      </c>
      <c r="I24188" t="s">
        <v>67275</v>
      </c>
      <c r="L24188">
        <v>0</v>
      </c>
      <c r="M24188">
        <v>0</v>
      </c>
      <c r="N24188">
        <v>0</v>
      </c>
      <c r="O24188" t="s">
        <v>12107</v>
      </c>
    </row>
    <row r="24189" spans="1:15">
      <c r="A24189" t="s">
        <v>67276</v>
      </c>
      <c r="B24189" t="s">
        <v>14552</v>
      </c>
      <c r="C24189" t="s">
        <v>36014</v>
      </c>
      <c r="D24189" t="s">
        <v>67277</v>
      </c>
      <c r="E24189" t="b">
        <v>0</v>
      </c>
      <c r="F24189" t="s">
        <v>11624</v>
      </c>
      <c r="G24189">
        <v>60.877800000000001</v>
      </c>
      <c r="H24189">
        <v>89.747900000000001</v>
      </c>
      <c r="I24189" t="s">
        <v>67278</v>
      </c>
      <c r="L24189">
        <v>0</v>
      </c>
      <c r="M24189">
        <v>0</v>
      </c>
      <c r="N24189">
        <v>0</v>
      </c>
      <c r="O24189" t="s">
        <v>12748</v>
      </c>
    </row>
    <row r="24190" spans="1:15">
      <c r="A24190" t="s">
        <v>67279</v>
      </c>
      <c r="B24190" t="s">
        <v>11627</v>
      </c>
      <c r="C24190" t="s">
        <v>11627</v>
      </c>
      <c r="D24190" t="s">
        <v>67280</v>
      </c>
      <c r="E24190" t="b">
        <v>1</v>
      </c>
      <c r="F24190" t="s">
        <v>11624</v>
      </c>
      <c r="G24190">
        <v>60.877839999999999</v>
      </c>
      <c r="H24190">
        <v>89.747910000000005</v>
      </c>
      <c r="I24190" t="s">
        <v>67281</v>
      </c>
      <c r="L24190">
        <v>0</v>
      </c>
      <c r="M24190">
        <v>0</v>
      </c>
      <c r="N24190">
        <v>0</v>
      </c>
      <c r="O24190" t="s">
        <v>12748</v>
      </c>
    </row>
    <row r="24191" spans="1:15">
      <c r="A24191" t="s">
        <v>67282</v>
      </c>
      <c r="B24191" t="s">
        <v>11981</v>
      </c>
      <c r="C24191" t="s">
        <v>23545</v>
      </c>
      <c r="D24191" t="s">
        <v>67283</v>
      </c>
      <c r="E24191" t="b">
        <v>0</v>
      </c>
      <c r="F24191" t="s">
        <v>11624</v>
      </c>
      <c r="G24191">
        <v>45.391199999999998</v>
      </c>
      <c r="H24191">
        <v>17.519300000000001</v>
      </c>
      <c r="I24191" t="s">
        <v>67284</v>
      </c>
      <c r="L24191">
        <v>0</v>
      </c>
      <c r="M24191">
        <v>0</v>
      </c>
      <c r="N24191">
        <v>0</v>
      </c>
      <c r="O24191" t="s">
        <v>67285</v>
      </c>
    </row>
    <row r="24192" spans="1:15">
      <c r="A24192" t="s">
        <v>23545</v>
      </c>
      <c r="B24192" t="s">
        <v>11981</v>
      </c>
      <c r="C24192" t="s">
        <v>13026</v>
      </c>
      <c r="D24192" t="s">
        <v>67286</v>
      </c>
      <c r="E24192" t="b">
        <v>0</v>
      </c>
      <c r="F24192" t="s">
        <v>11622</v>
      </c>
      <c r="L24192">
        <v>0</v>
      </c>
      <c r="M24192">
        <v>2</v>
      </c>
      <c r="N24192">
        <v>0</v>
      </c>
    </row>
    <row r="24193" spans="1:15">
      <c r="A24193" t="s">
        <v>67287</v>
      </c>
      <c r="B24193" t="s">
        <v>11644</v>
      </c>
      <c r="C24193" t="s">
        <v>30548</v>
      </c>
      <c r="D24193" t="s">
        <v>67288</v>
      </c>
      <c r="E24193" t="b">
        <v>0</v>
      </c>
      <c r="F24193" t="s">
        <v>11610</v>
      </c>
      <c r="L24193">
        <v>0</v>
      </c>
      <c r="M24193">
        <v>0</v>
      </c>
      <c r="N24193">
        <v>0</v>
      </c>
    </row>
    <row r="24194" spans="1:15">
      <c r="A24194" t="s">
        <v>67289</v>
      </c>
      <c r="B24194" t="s">
        <v>10597</v>
      </c>
      <c r="C24194" t="s">
        <v>44603</v>
      </c>
      <c r="D24194" t="s">
        <v>67290</v>
      </c>
      <c r="E24194" t="b">
        <v>0</v>
      </c>
      <c r="F24194" t="s">
        <v>11610</v>
      </c>
      <c r="L24194">
        <v>0</v>
      </c>
      <c r="M24194">
        <v>0</v>
      </c>
      <c r="N24194">
        <v>0</v>
      </c>
    </row>
    <row r="24195" spans="1:15">
      <c r="A24195" t="s">
        <v>67291</v>
      </c>
      <c r="B24195" t="s">
        <v>12241</v>
      </c>
      <c r="C24195" t="s">
        <v>42623</v>
      </c>
      <c r="D24195" t="s">
        <v>67292</v>
      </c>
      <c r="E24195" t="b">
        <v>0</v>
      </c>
      <c r="F24195" t="s">
        <v>11624</v>
      </c>
      <c r="I24195" t="s">
        <v>67293</v>
      </c>
      <c r="L24195">
        <v>0</v>
      </c>
      <c r="M24195">
        <v>0</v>
      </c>
      <c r="N24195">
        <v>0</v>
      </c>
    </row>
    <row r="24196" spans="1:15">
      <c r="A24196" t="s">
        <v>67294</v>
      </c>
      <c r="B24196" t="s">
        <v>24281</v>
      </c>
      <c r="C24196" t="s">
        <v>31750</v>
      </c>
      <c r="D24196" t="s">
        <v>67295</v>
      </c>
      <c r="E24196" t="b">
        <v>0</v>
      </c>
      <c r="F24196" t="s">
        <v>11624</v>
      </c>
      <c r="G24196">
        <v>0.2485</v>
      </c>
      <c r="H24196">
        <v>-69.807900000000004</v>
      </c>
      <c r="I24196" t="s">
        <v>67296</v>
      </c>
      <c r="L24196">
        <v>0</v>
      </c>
      <c r="M24196">
        <v>0</v>
      </c>
      <c r="N24196">
        <v>0</v>
      </c>
      <c r="O24196" t="s">
        <v>21122</v>
      </c>
    </row>
    <row r="24197" spans="1:15">
      <c r="A24197" t="s">
        <v>48530</v>
      </c>
      <c r="B24197" t="s">
        <v>10597</v>
      </c>
      <c r="C24197" t="s">
        <v>38363</v>
      </c>
      <c r="D24197" t="s">
        <v>67297</v>
      </c>
      <c r="E24197" t="b">
        <v>0</v>
      </c>
      <c r="F24197" t="s">
        <v>11622</v>
      </c>
      <c r="L24197">
        <v>1</v>
      </c>
      <c r="M24197">
        <v>5</v>
      </c>
      <c r="N24197">
        <v>5</v>
      </c>
    </row>
    <row r="24198" spans="1:15">
      <c r="A24198" t="s">
        <v>38363</v>
      </c>
      <c r="B24198" t="s">
        <v>10597</v>
      </c>
      <c r="C24198" t="s">
        <v>16584</v>
      </c>
      <c r="D24198" t="s">
        <v>67298</v>
      </c>
      <c r="E24198" t="b">
        <v>0</v>
      </c>
      <c r="F24198" t="s">
        <v>11622</v>
      </c>
      <c r="L24198">
        <v>5</v>
      </c>
      <c r="M24198">
        <v>9</v>
      </c>
      <c r="N24198">
        <v>10</v>
      </c>
    </row>
    <row r="24199" spans="1:15">
      <c r="A24199" t="s">
        <v>67299</v>
      </c>
      <c r="B24199" t="s">
        <v>2064</v>
      </c>
      <c r="C24199" t="s">
        <v>2064</v>
      </c>
      <c r="D24199" t="s">
        <v>67300</v>
      </c>
      <c r="E24199" t="b">
        <v>0</v>
      </c>
      <c r="F24199" t="s">
        <v>11624</v>
      </c>
      <c r="I24199" t="s">
        <v>67301</v>
      </c>
      <c r="L24199">
        <v>0</v>
      </c>
      <c r="M24199">
        <v>0</v>
      </c>
      <c r="N24199">
        <v>0</v>
      </c>
      <c r="O24199" t="s">
        <v>12748</v>
      </c>
    </row>
    <row r="24200" spans="1:15">
      <c r="A24200" t="s">
        <v>2064</v>
      </c>
      <c r="D24200" t="s">
        <v>2062</v>
      </c>
      <c r="E24200" t="b">
        <v>0</v>
      </c>
      <c r="F24200" t="s">
        <v>11622</v>
      </c>
      <c r="L24200">
        <v>1</v>
      </c>
      <c r="M24200">
        <v>4</v>
      </c>
      <c r="N24200">
        <v>0</v>
      </c>
    </row>
    <row r="24201" spans="1:15">
      <c r="A24201" t="s">
        <v>64586</v>
      </c>
      <c r="D24201" t="s">
        <v>67302</v>
      </c>
      <c r="E24201" t="b">
        <v>0</v>
      </c>
      <c r="F24201" t="s">
        <v>11622</v>
      </c>
      <c r="L24201">
        <v>0</v>
      </c>
      <c r="M24201">
        <v>2</v>
      </c>
      <c r="N24201">
        <v>0</v>
      </c>
    </row>
    <row r="24202" spans="1:15">
      <c r="A24202" t="s">
        <v>67303</v>
      </c>
      <c r="B24202" t="s">
        <v>64586</v>
      </c>
      <c r="C24202" t="s">
        <v>64586</v>
      </c>
      <c r="D24202" t="s">
        <v>67304</v>
      </c>
      <c r="E24202" t="b">
        <v>0</v>
      </c>
      <c r="F24202" t="s">
        <v>11624</v>
      </c>
      <c r="G24202">
        <v>39.838900000000002</v>
      </c>
      <c r="H24202">
        <v>-123.29600000000001</v>
      </c>
      <c r="I24202" t="s">
        <v>67305</v>
      </c>
      <c r="L24202">
        <v>0</v>
      </c>
      <c r="M24202">
        <v>0</v>
      </c>
      <c r="N24202">
        <v>0</v>
      </c>
      <c r="O24202" t="s">
        <v>11944</v>
      </c>
    </row>
    <row r="24203" spans="1:15">
      <c r="A24203" t="s">
        <v>2504</v>
      </c>
      <c r="B24203" t="s">
        <v>8310</v>
      </c>
      <c r="C24203" t="s">
        <v>33231</v>
      </c>
      <c r="D24203" t="s">
        <v>67306</v>
      </c>
      <c r="E24203" t="b">
        <v>0</v>
      </c>
      <c r="F24203" t="s">
        <v>11624</v>
      </c>
      <c r="G24203">
        <v>9.6753400000000003</v>
      </c>
      <c r="H24203">
        <v>-73.055700000000002</v>
      </c>
      <c r="I24203" t="s">
        <v>2505</v>
      </c>
      <c r="L24203">
        <v>0</v>
      </c>
      <c r="M24203">
        <v>0</v>
      </c>
      <c r="N24203">
        <v>5</v>
      </c>
      <c r="O24203" t="s">
        <v>17099</v>
      </c>
    </row>
    <row r="24204" spans="1:15">
      <c r="A24204" t="s">
        <v>51397</v>
      </c>
      <c r="B24204" t="s">
        <v>8310</v>
      </c>
      <c r="C24204" t="s">
        <v>8310</v>
      </c>
      <c r="D24204" t="s">
        <v>67307</v>
      </c>
      <c r="E24204" t="b">
        <v>0</v>
      </c>
      <c r="F24204" t="s">
        <v>11622</v>
      </c>
      <c r="L24204">
        <v>1</v>
      </c>
      <c r="M24204">
        <v>3</v>
      </c>
      <c r="N24204">
        <v>5</v>
      </c>
    </row>
    <row r="24205" spans="1:15">
      <c r="A24205" t="s">
        <v>33231</v>
      </c>
      <c r="B24205" t="s">
        <v>8310</v>
      </c>
      <c r="C24205" t="s">
        <v>51397</v>
      </c>
      <c r="D24205" t="s">
        <v>67308</v>
      </c>
      <c r="E24205" t="b">
        <v>0</v>
      </c>
      <c r="F24205" t="s">
        <v>11622</v>
      </c>
      <c r="L24205">
        <v>0</v>
      </c>
      <c r="M24205">
        <v>2</v>
      </c>
      <c r="N24205">
        <v>5</v>
      </c>
    </row>
    <row r="24206" spans="1:15">
      <c r="A24206" t="s">
        <v>67309</v>
      </c>
      <c r="B24206" t="s">
        <v>6742</v>
      </c>
      <c r="C24206" t="s">
        <v>12843</v>
      </c>
      <c r="D24206" t="s">
        <v>67310</v>
      </c>
      <c r="E24206" t="b">
        <v>0</v>
      </c>
      <c r="F24206" t="s">
        <v>11624</v>
      </c>
      <c r="G24206">
        <v>6.9183000000000003</v>
      </c>
      <c r="H24206">
        <v>9.9777000000000005</v>
      </c>
      <c r="I24206" t="s">
        <v>67311</v>
      </c>
      <c r="L24206">
        <v>0</v>
      </c>
      <c r="M24206">
        <v>0</v>
      </c>
      <c r="N24206">
        <v>0</v>
      </c>
      <c r="O24206" t="s">
        <v>11802</v>
      </c>
    </row>
    <row r="24207" spans="1:15">
      <c r="A24207" t="s">
        <v>12843</v>
      </c>
      <c r="B24207" t="s">
        <v>6742</v>
      </c>
      <c r="C24207" t="s">
        <v>12468</v>
      </c>
      <c r="D24207" t="s">
        <v>67312</v>
      </c>
      <c r="E24207" t="b">
        <v>0</v>
      </c>
      <c r="F24207" t="s">
        <v>11622</v>
      </c>
      <c r="L24207">
        <v>4</v>
      </c>
      <c r="M24207">
        <v>8</v>
      </c>
      <c r="N24207">
        <v>0</v>
      </c>
    </row>
    <row r="24208" spans="1:15">
      <c r="A24208" t="s">
        <v>67313</v>
      </c>
      <c r="B24208" t="s">
        <v>10597</v>
      </c>
      <c r="C24208" t="s">
        <v>35274</v>
      </c>
      <c r="D24208" t="s">
        <v>67314</v>
      </c>
      <c r="E24208" t="b">
        <v>0</v>
      </c>
      <c r="F24208" t="s">
        <v>11610</v>
      </c>
      <c r="L24208">
        <v>0</v>
      </c>
      <c r="M24208">
        <v>0</v>
      </c>
      <c r="N24208">
        <v>0</v>
      </c>
    </row>
    <row r="24209" spans="1:15">
      <c r="A24209" t="s">
        <v>67315</v>
      </c>
      <c r="B24209" t="s">
        <v>10597</v>
      </c>
      <c r="C24209" t="s">
        <v>43120</v>
      </c>
      <c r="D24209" t="s">
        <v>67316</v>
      </c>
      <c r="E24209" t="b">
        <v>0</v>
      </c>
      <c r="F24209" t="s">
        <v>11624</v>
      </c>
      <c r="G24209">
        <v>-18.923518999999999</v>
      </c>
      <c r="H24209">
        <v>122.370316</v>
      </c>
      <c r="L24209">
        <v>0</v>
      </c>
      <c r="M24209">
        <v>0</v>
      </c>
      <c r="N24209">
        <v>0</v>
      </c>
      <c r="O24209" t="s">
        <v>12107</v>
      </c>
    </row>
    <row r="24210" spans="1:15">
      <c r="A24210" t="s">
        <v>18696</v>
      </c>
      <c r="B24210" t="s">
        <v>11729</v>
      </c>
      <c r="C24210" t="s">
        <v>50170</v>
      </c>
      <c r="D24210" t="s">
        <v>67317</v>
      </c>
      <c r="E24210" t="b">
        <v>0</v>
      </c>
      <c r="F24210" t="s">
        <v>11624</v>
      </c>
      <c r="G24210">
        <v>8.0412400000000002</v>
      </c>
      <c r="H24210">
        <v>23.616599999999998</v>
      </c>
      <c r="I24210" t="s">
        <v>67318</v>
      </c>
      <c r="L24210">
        <v>0</v>
      </c>
      <c r="M24210">
        <v>0</v>
      </c>
      <c r="N24210">
        <v>2</v>
      </c>
      <c r="O24210" t="s">
        <v>16544</v>
      </c>
    </row>
    <row r="24211" spans="1:15">
      <c r="A24211" t="s">
        <v>29035</v>
      </c>
      <c r="B24211" t="s">
        <v>23233</v>
      </c>
      <c r="C24211" t="s">
        <v>23233</v>
      </c>
      <c r="D24211" t="s">
        <v>67319</v>
      </c>
      <c r="E24211" t="b">
        <v>0</v>
      </c>
      <c r="F24211" t="s">
        <v>11622</v>
      </c>
      <c r="L24211">
        <v>5</v>
      </c>
      <c r="M24211">
        <v>10</v>
      </c>
      <c r="N24211">
        <v>3</v>
      </c>
    </row>
    <row r="24212" spans="1:15">
      <c r="A24212" t="s">
        <v>17905</v>
      </c>
      <c r="B24212" t="s">
        <v>6742</v>
      </c>
      <c r="C24212" t="s">
        <v>17902</v>
      </c>
      <c r="D24212" t="s">
        <v>67320</v>
      </c>
      <c r="E24212" t="b">
        <v>0</v>
      </c>
      <c r="F24212" t="s">
        <v>11622</v>
      </c>
      <c r="L24212">
        <v>0</v>
      </c>
      <c r="M24212">
        <v>2</v>
      </c>
      <c r="N24212">
        <v>0</v>
      </c>
    </row>
    <row r="24213" spans="1:15">
      <c r="A24213" t="s">
        <v>67321</v>
      </c>
      <c r="B24213" t="s">
        <v>141</v>
      </c>
      <c r="C24213" t="s">
        <v>29874</v>
      </c>
      <c r="D24213" t="s">
        <v>67322</v>
      </c>
      <c r="E24213" t="b">
        <v>0</v>
      </c>
      <c r="F24213" t="s">
        <v>11610</v>
      </c>
      <c r="L24213">
        <v>0</v>
      </c>
      <c r="M24213">
        <v>0</v>
      </c>
      <c r="N24213">
        <v>0</v>
      </c>
    </row>
    <row r="24214" spans="1:15">
      <c r="A24214" t="s">
        <v>67323</v>
      </c>
      <c r="B24214" t="s">
        <v>141</v>
      </c>
      <c r="C24214" t="s">
        <v>31545</v>
      </c>
      <c r="D24214" t="s">
        <v>67324</v>
      </c>
      <c r="E24214" t="b">
        <v>0</v>
      </c>
      <c r="F24214" t="s">
        <v>11610</v>
      </c>
      <c r="L24214">
        <v>0</v>
      </c>
      <c r="M24214">
        <v>0</v>
      </c>
      <c r="N24214">
        <v>0</v>
      </c>
    </row>
    <row r="24215" spans="1:15">
      <c r="A24215" t="s">
        <v>67325</v>
      </c>
      <c r="B24215" t="s">
        <v>11644</v>
      </c>
      <c r="C24215" t="s">
        <v>21421</v>
      </c>
      <c r="D24215" t="s">
        <v>67326</v>
      </c>
      <c r="E24215" t="b">
        <v>0</v>
      </c>
      <c r="F24215" t="s">
        <v>11610</v>
      </c>
      <c r="G24215">
        <v>25.9223745</v>
      </c>
      <c r="H24215">
        <v>99.035288399999999</v>
      </c>
      <c r="L24215">
        <v>0</v>
      </c>
      <c r="M24215">
        <v>0</v>
      </c>
      <c r="N24215">
        <v>0</v>
      </c>
    </row>
    <row r="24216" spans="1:15">
      <c r="A24216" t="s">
        <v>21683</v>
      </c>
      <c r="B24216" t="s">
        <v>13014</v>
      </c>
      <c r="C24216" t="s">
        <v>27415</v>
      </c>
      <c r="D24216" t="s">
        <v>67327</v>
      </c>
      <c r="E24216" t="b">
        <v>0</v>
      </c>
      <c r="F24216" t="s">
        <v>11622</v>
      </c>
      <c r="L24216">
        <v>0</v>
      </c>
      <c r="M24216">
        <v>4</v>
      </c>
      <c r="N24216">
        <v>6</v>
      </c>
    </row>
    <row r="24217" spans="1:15">
      <c r="A24217" t="s">
        <v>20739</v>
      </c>
      <c r="B24217" t="s">
        <v>11615</v>
      </c>
      <c r="C24217" t="s">
        <v>27307</v>
      </c>
      <c r="D24217" t="s">
        <v>67328</v>
      </c>
      <c r="E24217" t="b">
        <v>0</v>
      </c>
      <c r="F24217" t="s">
        <v>11622</v>
      </c>
      <c r="L24217">
        <v>3</v>
      </c>
      <c r="M24217">
        <v>6</v>
      </c>
      <c r="N24217">
        <v>5</v>
      </c>
    </row>
    <row r="24218" spans="1:15">
      <c r="A24218" t="s">
        <v>33790</v>
      </c>
      <c r="B24218" t="s">
        <v>2975</v>
      </c>
      <c r="C24218" t="s">
        <v>23582</v>
      </c>
      <c r="D24218" t="s">
        <v>67329</v>
      </c>
      <c r="E24218" t="b">
        <v>0</v>
      </c>
      <c r="F24218" t="s">
        <v>11622</v>
      </c>
      <c r="L24218">
        <v>1</v>
      </c>
      <c r="M24218">
        <v>3</v>
      </c>
      <c r="N24218">
        <v>0</v>
      </c>
    </row>
    <row r="24219" spans="1:15">
      <c r="A24219" t="s">
        <v>67330</v>
      </c>
      <c r="B24219" t="s">
        <v>10597</v>
      </c>
      <c r="C24219" t="s">
        <v>13902</v>
      </c>
      <c r="D24219" t="s">
        <v>67331</v>
      </c>
      <c r="E24219" t="b">
        <v>0</v>
      </c>
      <c r="F24219" t="s">
        <v>11624</v>
      </c>
      <c r="G24219">
        <v>-12.004</v>
      </c>
      <c r="H24219">
        <v>141.84700000000001</v>
      </c>
      <c r="L24219">
        <v>0</v>
      </c>
      <c r="M24219">
        <v>0</v>
      </c>
      <c r="N24219">
        <v>0</v>
      </c>
      <c r="O24219" t="s">
        <v>12107</v>
      </c>
    </row>
    <row r="24220" spans="1:15">
      <c r="A24220" t="s">
        <v>67332</v>
      </c>
      <c r="B24220" t="s">
        <v>11912</v>
      </c>
      <c r="C24220" t="s">
        <v>33661</v>
      </c>
      <c r="D24220" t="s">
        <v>67333</v>
      </c>
      <c r="E24220" t="b">
        <v>0</v>
      </c>
      <c r="F24220" t="s">
        <v>11624</v>
      </c>
      <c r="G24220">
        <v>-16.787500000000001</v>
      </c>
      <c r="H24220">
        <v>-64.943799999999996</v>
      </c>
      <c r="I24220" t="s">
        <v>67334</v>
      </c>
      <c r="L24220">
        <v>0</v>
      </c>
      <c r="M24220">
        <v>0</v>
      </c>
      <c r="N24220">
        <v>0</v>
      </c>
      <c r="O24220" t="s">
        <v>14185</v>
      </c>
    </row>
    <row r="24221" spans="1:15">
      <c r="A24221" t="s">
        <v>42705</v>
      </c>
      <c r="D24221" t="s">
        <v>67335</v>
      </c>
      <c r="E24221" t="b">
        <v>0</v>
      </c>
      <c r="F24221" t="s">
        <v>11624</v>
      </c>
      <c r="G24221">
        <v>-16.747900000000001</v>
      </c>
      <c r="H24221">
        <v>-65.122399999999999</v>
      </c>
      <c r="I24221" t="s">
        <v>67336</v>
      </c>
      <c r="L24221">
        <v>0</v>
      </c>
      <c r="M24221">
        <v>0</v>
      </c>
      <c r="N24221">
        <v>2</v>
      </c>
      <c r="O24221" t="s">
        <v>14185</v>
      </c>
    </row>
    <row r="24222" spans="1:15">
      <c r="A24222" t="s">
        <v>67337</v>
      </c>
      <c r="B24222" t="s">
        <v>11615</v>
      </c>
      <c r="C24222" t="s">
        <v>29490</v>
      </c>
      <c r="D24222" t="s">
        <v>67338</v>
      </c>
      <c r="E24222" t="b">
        <v>0</v>
      </c>
      <c r="F24222" t="s">
        <v>11610</v>
      </c>
      <c r="L24222">
        <v>0</v>
      </c>
      <c r="M24222">
        <v>0</v>
      </c>
      <c r="N24222">
        <v>0</v>
      </c>
    </row>
    <row r="24223" spans="1:15">
      <c r="A24223" t="s">
        <v>67339</v>
      </c>
      <c r="B24223" t="s">
        <v>331</v>
      </c>
      <c r="C24223" t="s">
        <v>17252</v>
      </c>
      <c r="D24223" t="s">
        <v>67340</v>
      </c>
      <c r="E24223" t="b">
        <v>0</v>
      </c>
      <c r="F24223" t="s">
        <v>11610</v>
      </c>
      <c r="L24223">
        <v>0</v>
      </c>
      <c r="M24223">
        <v>0</v>
      </c>
      <c r="N24223">
        <v>0</v>
      </c>
    </row>
    <row r="24224" spans="1:15">
      <c r="A24224" t="s">
        <v>9327</v>
      </c>
      <c r="B24224" t="s">
        <v>12979</v>
      </c>
      <c r="C24224" t="s">
        <v>12979</v>
      </c>
      <c r="D24224" t="s">
        <v>67341</v>
      </c>
      <c r="E24224" t="b">
        <v>0</v>
      </c>
      <c r="F24224" t="s">
        <v>11624</v>
      </c>
      <c r="G24224">
        <v>41.3262</v>
      </c>
      <c r="H24224">
        <v>-123.824</v>
      </c>
      <c r="I24224" t="s">
        <v>9328</v>
      </c>
      <c r="L24224">
        <v>0</v>
      </c>
      <c r="M24224">
        <v>0</v>
      </c>
      <c r="N24224">
        <v>0</v>
      </c>
      <c r="O24224" t="s">
        <v>11944</v>
      </c>
    </row>
    <row r="24225" spans="1:15">
      <c r="A24225" t="s">
        <v>67342</v>
      </c>
      <c r="B24225" t="s">
        <v>331</v>
      </c>
      <c r="C24225" t="s">
        <v>12891</v>
      </c>
      <c r="D24225" t="s">
        <v>67343</v>
      </c>
      <c r="E24225" t="b">
        <v>0</v>
      </c>
      <c r="F24225" t="s">
        <v>11610</v>
      </c>
      <c r="L24225">
        <v>0</v>
      </c>
      <c r="M24225">
        <v>0</v>
      </c>
      <c r="N24225">
        <v>0</v>
      </c>
    </row>
    <row r="24226" spans="1:15">
      <c r="A24226" t="s">
        <v>67344</v>
      </c>
      <c r="D24226" t="s">
        <v>67345</v>
      </c>
      <c r="E24226" t="b">
        <v>0</v>
      </c>
      <c r="F24226" t="s">
        <v>11624</v>
      </c>
      <c r="G24226">
        <v>3.4368639999999999</v>
      </c>
      <c r="H24226">
        <v>-76.522636000000006</v>
      </c>
      <c r="L24226">
        <v>0</v>
      </c>
      <c r="M24226">
        <v>0</v>
      </c>
      <c r="N24226">
        <v>0</v>
      </c>
      <c r="O24226" t="s">
        <v>11898</v>
      </c>
    </row>
    <row r="24227" spans="1:15">
      <c r="A24227" t="s">
        <v>67346</v>
      </c>
      <c r="B24227" t="s">
        <v>11637</v>
      </c>
      <c r="C24227" t="s">
        <v>16887</v>
      </c>
      <c r="D24227" t="s">
        <v>67347</v>
      </c>
      <c r="E24227" t="b">
        <v>0</v>
      </c>
      <c r="F24227" t="s">
        <v>11610</v>
      </c>
      <c r="L24227">
        <v>0</v>
      </c>
      <c r="M24227">
        <v>0</v>
      </c>
      <c r="N24227">
        <v>0</v>
      </c>
    </row>
    <row r="24228" spans="1:15">
      <c r="A24228" t="s">
        <v>67348</v>
      </c>
      <c r="B24228" t="s">
        <v>331</v>
      </c>
      <c r="C24228" t="s">
        <v>13639</v>
      </c>
      <c r="D24228" t="s">
        <v>67349</v>
      </c>
      <c r="E24228" t="b">
        <v>0</v>
      </c>
      <c r="F24228" t="s">
        <v>11610</v>
      </c>
      <c r="L24228">
        <v>0</v>
      </c>
      <c r="M24228">
        <v>0</v>
      </c>
      <c r="N24228">
        <v>0</v>
      </c>
    </row>
    <row r="24229" spans="1:15">
      <c r="A24229" t="s">
        <v>33811</v>
      </c>
      <c r="B24229" t="s">
        <v>11912</v>
      </c>
      <c r="C24229" t="s">
        <v>11912</v>
      </c>
      <c r="D24229" t="s">
        <v>67350</v>
      </c>
      <c r="E24229" t="b">
        <v>0</v>
      </c>
      <c r="F24229" t="s">
        <v>11622</v>
      </c>
      <c r="L24229">
        <v>1</v>
      </c>
      <c r="M24229">
        <v>3</v>
      </c>
      <c r="N24229">
        <v>1</v>
      </c>
    </row>
    <row r="24230" spans="1:15">
      <c r="A24230" t="s">
        <v>67351</v>
      </c>
      <c r="B24230" t="s">
        <v>2975</v>
      </c>
      <c r="C24230" t="s">
        <v>62630</v>
      </c>
      <c r="D24230" t="s">
        <v>67352</v>
      </c>
      <c r="E24230" t="b">
        <v>0</v>
      </c>
      <c r="F24230" t="s">
        <v>11624</v>
      </c>
      <c r="G24230">
        <v>0.73558500000000004</v>
      </c>
      <c r="H24230">
        <v>-69.695499999999996</v>
      </c>
      <c r="I24230" t="s">
        <v>67353</v>
      </c>
      <c r="L24230">
        <v>0</v>
      </c>
      <c r="M24230">
        <v>0</v>
      </c>
      <c r="N24230">
        <v>0</v>
      </c>
      <c r="O24230" t="s">
        <v>21122</v>
      </c>
    </row>
    <row r="24231" spans="1:15">
      <c r="A24231" t="s">
        <v>67354</v>
      </c>
      <c r="B24231" t="s">
        <v>10597</v>
      </c>
      <c r="C24231" t="s">
        <v>50567</v>
      </c>
      <c r="D24231" t="s">
        <v>67355</v>
      </c>
      <c r="E24231" t="b">
        <v>0</v>
      </c>
      <c r="F24231" t="s">
        <v>11624</v>
      </c>
      <c r="I24231" t="s">
        <v>67356</v>
      </c>
      <c r="L24231">
        <v>0</v>
      </c>
      <c r="M24231">
        <v>0</v>
      </c>
      <c r="N24231">
        <v>0</v>
      </c>
      <c r="O24231" t="s">
        <v>12107</v>
      </c>
    </row>
    <row r="24232" spans="1:15">
      <c r="A24232" t="s">
        <v>67357</v>
      </c>
      <c r="B24232" t="s">
        <v>11637</v>
      </c>
      <c r="C24232" t="s">
        <v>12222</v>
      </c>
      <c r="D24232" t="s">
        <v>67358</v>
      </c>
      <c r="E24232" t="b">
        <v>0</v>
      </c>
      <c r="F24232" t="s">
        <v>11610</v>
      </c>
      <c r="L24232">
        <v>0</v>
      </c>
      <c r="M24232">
        <v>0</v>
      </c>
      <c r="N24232">
        <v>0</v>
      </c>
    </row>
    <row r="24233" spans="1:15">
      <c r="A24233" t="s">
        <v>67359</v>
      </c>
      <c r="B24233" t="s">
        <v>11686</v>
      </c>
      <c r="C24233" t="s">
        <v>11687</v>
      </c>
      <c r="D24233" t="s">
        <v>67360</v>
      </c>
      <c r="E24233" t="b">
        <v>0</v>
      </c>
      <c r="F24233" t="s">
        <v>11610</v>
      </c>
      <c r="L24233">
        <v>0</v>
      </c>
      <c r="M24233">
        <v>0</v>
      </c>
      <c r="N24233">
        <v>0</v>
      </c>
    </row>
    <row r="24234" spans="1:15">
      <c r="A24234" t="s">
        <v>67361</v>
      </c>
      <c r="B24234" t="s">
        <v>11879</v>
      </c>
      <c r="C24234" t="s">
        <v>31647</v>
      </c>
      <c r="D24234" t="s">
        <v>67362</v>
      </c>
      <c r="E24234" t="b">
        <v>0</v>
      </c>
      <c r="F24234" t="s">
        <v>11624</v>
      </c>
      <c r="G24234">
        <v>17.031099999999999</v>
      </c>
      <c r="H24234">
        <v>-97.229299999999995</v>
      </c>
      <c r="I24234" t="s">
        <v>67363</v>
      </c>
      <c r="L24234">
        <v>0</v>
      </c>
      <c r="M24234">
        <v>0</v>
      </c>
      <c r="N24234">
        <v>0</v>
      </c>
      <c r="O24234" t="s">
        <v>11883</v>
      </c>
    </row>
    <row r="24235" spans="1:15">
      <c r="A24235" t="s">
        <v>361</v>
      </c>
      <c r="B24235" t="s">
        <v>10597</v>
      </c>
      <c r="C24235" t="s">
        <v>10597</v>
      </c>
      <c r="D24235" t="s">
        <v>67364</v>
      </c>
      <c r="E24235" t="b">
        <v>0</v>
      </c>
      <c r="F24235" t="s">
        <v>11622</v>
      </c>
      <c r="L24235">
        <v>6</v>
      </c>
      <c r="M24235">
        <v>10</v>
      </c>
      <c r="N24235">
        <v>34</v>
      </c>
    </row>
    <row r="24236" spans="1:15">
      <c r="A24236" t="s">
        <v>67365</v>
      </c>
      <c r="B24236" t="s">
        <v>6742</v>
      </c>
      <c r="C24236" t="s">
        <v>19172</v>
      </c>
      <c r="D24236" t="s">
        <v>67366</v>
      </c>
      <c r="E24236" t="b">
        <v>0</v>
      </c>
      <c r="F24236" t="s">
        <v>11610</v>
      </c>
      <c r="L24236">
        <v>0</v>
      </c>
      <c r="M24236">
        <v>0</v>
      </c>
      <c r="N24236">
        <v>0</v>
      </c>
    </row>
    <row r="24237" spans="1:15">
      <c r="A24237" t="s">
        <v>67367</v>
      </c>
      <c r="B24237" t="s">
        <v>10597</v>
      </c>
      <c r="C24237" t="s">
        <v>47422</v>
      </c>
      <c r="D24237" t="s">
        <v>67368</v>
      </c>
      <c r="E24237" t="b">
        <v>0</v>
      </c>
      <c r="F24237" t="s">
        <v>11610</v>
      </c>
      <c r="I24237" t="s">
        <v>67369</v>
      </c>
      <c r="L24237">
        <v>0</v>
      </c>
      <c r="M24237">
        <v>0</v>
      </c>
      <c r="N24237">
        <v>0</v>
      </c>
      <c r="O24237" t="s">
        <v>12107</v>
      </c>
    </row>
    <row r="24238" spans="1:15">
      <c r="A24238" t="s">
        <v>67370</v>
      </c>
      <c r="B24238" t="s">
        <v>10597</v>
      </c>
      <c r="C24238" t="s">
        <v>28465</v>
      </c>
      <c r="D24238" t="s">
        <v>67371</v>
      </c>
      <c r="E24238" t="b">
        <v>0</v>
      </c>
      <c r="F24238" t="s">
        <v>11610</v>
      </c>
      <c r="G24238">
        <v>-29.758184</v>
      </c>
      <c r="H24238">
        <v>147.92368400000001</v>
      </c>
      <c r="L24238">
        <v>0</v>
      </c>
      <c r="M24238">
        <v>0</v>
      </c>
      <c r="N24238">
        <v>0</v>
      </c>
    </row>
    <row r="24239" spans="1:15">
      <c r="A24239" t="s">
        <v>67372</v>
      </c>
      <c r="B24239" t="s">
        <v>10597</v>
      </c>
      <c r="C24239" t="s">
        <v>28465</v>
      </c>
      <c r="D24239" t="s">
        <v>67373</v>
      </c>
      <c r="E24239" t="b">
        <v>0</v>
      </c>
      <c r="F24239" t="s">
        <v>11610</v>
      </c>
      <c r="L24239">
        <v>0</v>
      </c>
      <c r="M24239">
        <v>0</v>
      </c>
      <c r="N24239">
        <v>0</v>
      </c>
    </row>
    <row r="24240" spans="1:15">
      <c r="A24240" t="s">
        <v>67374</v>
      </c>
      <c r="B24240" t="s">
        <v>33623</v>
      </c>
      <c r="C24240" t="s">
        <v>33623</v>
      </c>
      <c r="D24240" t="s">
        <v>67375</v>
      </c>
      <c r="E24240" t="b">
        <v>0</v>
      </c>
      <c r="F24240" t="s">
        <v>11624</v>
      </c>
      <c r="G24240">
        <v>5.6387900000000002</v>
      </c>
      <c r="H24240">
        <v>-65.426699999999997</v>
      </c>
      <c r="I24240" t="s">
        <v>67376</v>
      </c>
      <c r="L24240">
        <v>0</v>
      </c>
      <c r="M24240">
        <v>0</v>
      </c>
      <c r="N24240">
        <v>0</v>
      </c>
      <c r="O24240" t="s">
        <v>16711</v>
      </c>
    </row>
    <row r="24241" spans="1:15">
      <c r="A24241" t="s">
        <v>67377</v>
      </c>
      <c r="B24241" t="s">
        <v>6742</v>
      </c>
      <c r="C24241" t="s">
        <v>18216</v>
      </c>
      <c r="D24241" t="s">
        <v>67378</v>
      </c>
      <c r="E24241" t="b">
        <v>0</v>
      </c>
      <c r="F24241" t="s">
        <v>11610</v>
      </c>
      <c r="L24241">
        <v>0</v>
      </c>
      <c r="M24241">
        <v>0</v>
      </c>
      <c r="N24241">
        <v>0</v>
      </c>
    </row>
    <row r="24242" spans="1:15">
      <c r="A24242" t="s">
        <v>67379</v>
      </c>
      <c r="B24242" t="s">
        <v>11879</v>
      </c>
      <c r="C24242" t="s">
        <v>55826</v>
      </c>
      <c r="D24242" t="s">
        <v>67380</v>
      </c>
      <c r="E24242" t="b">
        <v>0</v>
      </c>
      <c r="F24242" t="s">
        <v>11610</v>
      </c>
      <c r="L24242">
        <v>0</v>
      </c>
      <c r="M24242">
        <v>0</v>
      </c>
      <c r="N24242">
        <v>0</v>
      </c>
    </row>
    <row r="24243" spans="1:15">
      <c r="A24243" t="s">
        <v>67381</v>
      </c>
      <c r="B24243" t="s">
        <v>11879</v>
      </c>
      <c r="C24243" t="s">
        <v>14920</v>
      </c>
      <c r="D24243" t="s">
        <v>67382</v>
      </c>
      <c r="E24243" t="b">
        <v>0</v>
      </c>
      <c r="F24243" t="s">
        <v>11624</v>
      </c>
      <c r="G24243">
        <v>17.00245</v>
      </c>
      <c r="H24243">
        <v>-96.823369999999997</v>
      </c>
      <c r="I24243" t="s">
        <v>67383</v>
      </c>
      <c r="L24243">
        <v>0</v>
      </c>
      <c r="M24243">
        <v>0</v>
      </c>
      <c r="N24243">
        <v>0</v>
      </c>
      <c r="O24243" t="s">
        <v>11883</v>
      </c>
    </row>
    <row r="24244" spans="1:15">
      <c r="A24244" t="s">
        <v>67384</v>
      </c>
      <c r="B24244" t="s">
        <v>367</v>
      </c>
      <c r="C24244" t="s">
        <v>38963</v>
      </c>
      <c r="D24244" t="s">
        <v>67385</v>
      </c>
      <c r="E24244" t="b">
        <v>0</v>
      </c>
      <c r="F24244" t="s">
        <v>11624</v>
      </c>
      <c r="G24244">
        <v>-7.7431099999999997</v>
      </c>
      <c r="H24244">
        <v>158.75299999999999</v>
      </c>
      <c r="I24244" t="s">
        <v>67386</v>
      </c>
      <c r="L24244">
        <v>0</v>
      </c>
      <c r="M24244">
        <v>0</v>
      </c>
      <c r="N24244">
        <v>0</v>
      </c>
      <c r="O24244" t="s">
        <v>13346</v>
      </c>
    </row>
    <row r="24245" spans="1:15">
      <c r="A24245" t="s">
        <v>67387</v>
      </c>
      <c r="B24245" t="s">
        <v>331</v>
      </c>
      <c r="C24245" t="s">
        <v>60338</v>
      </c>
      <c r="D24245" t="s">
        <v>67388</v>
      </c>
      <c r="E24245" t="b">
        <v>0</v>
      </c>
      <c r="F24245" t="s">
        <v>11610</v>
      </c>
      <c r="L24245">
        <v>0</v>
      </c>
      <c r="M24245">
        <v>0</v>
      </c>
      <c r="N24245">
        <v>0</v>
      </c>
    </row>
    <row r="24246" spans="1:15">
      <c r="A24246" t="s">
        <v>67389</v>
      </c>
      <c r="B24246" t="s">
        <v>15027</v>
      </c>
      <c r="C24246" t="s">
        <v>15028</v>
      </c>
      <c r="D24246" t="s">
        <v>67390</v>
      </c>
      <c r="E24246" t="b">
        <v>0</v>
      </c>
      <c r="F24246" t="s">
        <v>11610</v>
      </c>
      <c r="L24246">
        <v>0</v>
      </c>
      <c r="M24246">
        <v>0</v>
      </c>
      <c r="N24246">
        <v>0</v>
      </c>
    </row>
    <row r="24247" spans="1:15">
      <c r="A24247" t="s">
        <v>67391</v>
      </c>
      <c r="B24247" t="s">
        <v>12751</v>
      </c>
      <c r="C24247" t="s">
        <v>21699</v>
      </c>
      <c r="D24247" t="s">
        <v>67392</v>
      </c>
      <c r="E24247" t="b">
        <v>0</v>
      </c>
      <c r="F24247" t="s">
        <v>11624</v>
      </c>
      <c r="G24247">
        <v>20.0581</v>
      </c>
      <c r="H24247">
        <v>-97.897400000000005</v>
      </c>
      <c r="I24247" t="s">
        <v>67393</v>
      </c>
      <c r="L24247">
        <v>0</v>
      </c>
      <c r="M24247">
        <v>0</v>
      </c>
      <c r="N24247">
        <v>0</v>
      </c>
      <c r="O24247" t="s">
        <v>11883</v>
      </c>
    </row>
    <row r="24248" spans="1:15">
      <c r="A24248" t="s">
        <v>67394</v>
      </c>
      <c r="B24248" t="s">
        <v>11879</v>
      </c>
      <c r="C24248" t="s">
        <v>26389</v>
      </c>
      <c r="D24248" t="s">
        <v>67395</v>
      </c>
      <c r="E24248" t="b">
        <v>0</v>
      </c>
      <c r="F24248" t="s">
        <v>11624</v>
      </c>
      <c r="G24248">
        <v>16.079999999999998</v>
      </c>
      <c r="H24248">
        <v>-97.306899999999999</v>
      </c>
      <c r="I24248" t="s">
        <v>67396</v>
      </c>
      <c r="L24248">
        <v>0</v>
      </c>
      <c r="M24248">
        <v>0</v>
      </c>
      <c r="N24248">
        <v>0</v>
      </c>
      <c r="O24248" t="s">
        <v>11883</v>
      </c>
    </row>
    <row r="24249" spans="1:15">
      <c r="A24249" t="s">
        <v>67397</v>
      </c>
      <c r="B24249" t="s">
        <v>6742</v>
      </c>
      <c r="C24249" t="s">
        <v>28313</v>
      </c>
      <c r="D24249" t="s">
        <v>67398</v>
      </c>
      <c r="E24249" t="b">
        <v>0</v>
      </c>
      <c r="F24249" t="s">
        <v>11610</v>
      </c>
      <c r="L24249">
        <v>0</v>
      </c>
      <c r="M24249">
        <v>0</v>
      </c>
      <c r="N24249">
        <v>0</v>
      </c>
    </row>
    <row r="24250" spans="1:15">
      <c r="A24250" t="s">
        <v>67399</v>
      </c>
      <c r="B24250" t="s">
        <v>11644</v>
      </c>
      <c r="C24250" t="s">
        <v>23834</v>
      </c>
      <c r="D24250" t="s">
        <v>67400</v>
      </c>
      <c r="E24250" t="b">
        <v>0</v>
      </c>
      <c r="F24250" t="s">
        <v>11610</v>
      </c>
      <c r="L24250">
        <v>0</v>
      </c>
      <c r="M24250">
        <v>0</v>
      </c>
      <c r="N24250">
        <v>0</v>
      </c>
    </row>
    <row r="24251" spans="1:15">
      <c r="A24251" t="s">
        <v>3352</v>
      </c>
      <c r="B24251" t="s">
        <v>13967</v>
      </c>
      <c r="C24251" t="s">
        <v>18131</v>
      </c>
      <c r="D24251" t="s">
        <v>67401</v>
      </c>
      <c r="E24251" t="b">
        <v>0</v>
      </c>
      <c r="F24251" t="s">
        <v>11624</v>
      </c>
      <c r="G24251">
        <v>17.484200000000001</v>
      </c>
      <c r="H24251">
        <v>23.462599999999998</v>
      </c>
      <c r="I24251" t="s">
        <v>3353</v>
      </c>
      <c r="L24251">
        <v>0</v>
      </c>
      <c r="M24251">
        <v>0</v>
      </c>
      <c r="N24251">
        <v>6</v>
      </c>
      <c r="O24251" t="s">
        <v>67402</v>
      </c>
    </row>
    <row r="24252" spans="1:15">
      <c r="A24252" t="s">
        <v>67403</v>
      </c>
      <c r="B24252" t="s">
        <v>6742</v>
      </c>
      <c r="C24252" t="s">
        <v>18216</v>
      </c>
      <c r="D24252" t="s">
        <v>67404</v>
      </c>
      <c r="E24252" t="b">
        <v>0</v>
      </c>
      <c r="F24252" t="s">
        <v>11610</v>
      </c>
      <c r="L24252">
        <v>0</v>
      </c>
      <c r="M24252">
        <v>0</v>
      </c>
      <c r="N24252">
        <v>0</v>
      </c>
    </row>
    <row r="24253" spans="1:15">
      <c r="A24253" t="s">
        <v>67405</v>
      </c>
      <c r="B24253" t="s">
        <v>6742</v>
      </c>
      <c r="C24253" t="s">
        <v>18216</v>
      </c>
      <c r="D24253" t="s">
        <v>67406</v>
      </c>
      <c r="E24253" t="b">
        <v>0</v>
      </c>
      <c r="F24253" t="s">
        <v>11610</v>
      </c>
      <c r="L24253">
        <v>0</v>
      </c>
      <c r="M24253">
        <v>0</v>
      </c>
      <c r="N24253">
        <v>0</v>
      </c>
    </row>
    <row r="24254" spans="1:15">
      <c r="A24254" t="s">
        <v>67407</v>
      </c>
      <c r="B24254" t="s">
        <v>11637</v>
      </c>
      <c r="C24254" t="s">
        <v>25733</v>
      </c>
      <c r="D24254" t="s">
        <v>67408</v>
      </c>
      <c r="E24254" t="b">
        <v>0</v>
      </c>
      <c r="F24254" t="s">
        <v>11610</v>
      </c>
      <c r="L24254">
        <v>0</v>
      </c>
      <c r="M24254">
        <v>0</v>
      </c>
      <c r="N24254">
        <v>0</v>
      </c>
    </row>
    <row r="24255" spans="1:15">
      <c r="A24255" t="s">
        <v>67409</v>
      </c>
      <c r="B24255" t="s">
        <v>11637</v>
      </c>
      <c r="C24255" t="s">
        <v>12509</v>
      </c>
      <c r="D24255" t="s">
        <v>67410</v>
      </c>
      <c r="E24255" t="b">
        <v>0</v>
      </c>
      <c r="F24255" t="s">
        <v>11610</v>
      </c>
      <c r="L24255">
        <v>0</v>
      </c>
      <c r="M24255">
        <v>0</v>
      </c>
      <c r="N24255">
        <v>0</v>
      </c>
    </row>
    <row r="24256" spans="1:15">
      <c r="A24256" t="s">
        <v>39315</v>
      </c>
      <c r="B24256" t="s">
        <v>11644</v>
      </c>
      <c r="C24256" t="s">
        <v>11899</v>
      </c>
      <c r="D24256" t="s">
        <v>67411</v>
      </c>
      <c r="E24256" t="b">
        <v>0</v>
      </c>
      <c r="F24256" t="s">
        <v>11624</v>
      </c>
      <c r="G24256">
        <v>24.172599999999999</v>
      </c>
      <c r="H24256">
        <v>98.3643</v>
      </c>
      <c r="I24256" t="s">
        <v>67412</v>
      </c>
      <c r="L24256">
        <v>0</v>
      </c>
      <c r="M24256">
        <v>0</v>
      </c>
      <c r="N24256">
        <v>3</v>
      </c>
      <c r="O24256" t="s">
        <v>11892</v>
      </c>
    </row>
    <row r="24257" spans="1:15">
      <c r="A24257" t="s">
        <v>67413</v>
      </c>
      <c r="B24257" t="s">
        <v>12311</v>
      </c>
      <c r="C24257" t="s">
        <v>13678</v>
      </c>
      <c r="D24257" t="s">
        <v>67414</v>
      </c>
      <c r="E24257" t="b">
        <v>0</v>
      </c>
      <c r="F24257" t="s">
        <v>11610</v>
      </c>
      <c r="L24257">
        <v>0</v>
      </c>
      <c r="M24257">
        <v>0</v>
      </c>
      <c r="N24257">
        <v>0</v>
      </c>
    </row>
    <row r="24258" spans="1:15">
      <c r="A24258" t="s">
        <v>67415</v>
      </c>
      <c r="B24258" t="s">
        <v>11637</v>
      </c>
      <c r="C24258" t="s">
        <v>12824</v>
      </c>
      <c r="D24258" t="s">
        <v>67416</v>
      </c>
      <c r="E24258" t="b">
        <v>0</v>
      </c>
      <c r="F24258" t="s">
        <v>11610</v>
      </c>
      <c r="L24258">
        <v>0</v>
      </c>
      <c r="M24258">
        <v>0</v>
      </c>
      <c r="N24258">
        <v>0</v>
      </c>
    </row>
    <row r="24259" spans="1:15">
      <c r="A24259" t="s">
        <v>67417</v>
      </c>
      <c r="B24259" t="s">
        <v>11644</v>
      </c>
      <c r="C24259" t="s">
        <v>29006</v>
      </c>
      <c r="D24259" t="s">
        <v>67418</v>
      </c>
      <c r="E24259" t="b">
        <v>0</v>
      </c>
      <c r="F24259" t="s">
        <v>11624</v>
      </c>
      <c r="G24259">
        <v>28.129000000000001</v>
      </c>
      <c r="H24259">
        <v>97.022000000000006</v>
      </c>
      <c r="I24259" t="s">
        <v>67419</v>
      </c>
      <c r="L24259">
        <v>0</v>
      </c>
      <c r="M24259">
        <v>0</v>
      </c>
      <c r="N24259">
        <v>0</v>
      </c>
      <c r="O24259" t="s">
        <v>11630</v>
      </c>
    </row>
    <row r="24260" spans="1:15">
      <c r="A24260" t="s">
        <v>67420</v>
      </c>
      <c r="B24260" t="s">
        <v>11607</v>
      </c>
      <c r="C24260" t="s">
        <v>13237</v>
      </c>
      <c r="D24260" t="s">
        <v>67421</v>
      </c>
      <c r="E24260" t="b">
        <v>0</v>
      </c>
      <c r="F24260" t="s">
        <v>11610</v>
      </c>
      <c r="L24260">
        <v>0</v>
      </c>
      <c r="M24260">
        <v>0</v>
      </c>
      <c r="N24260">
        <v>0</v>
      </c>
    </row>
    <row r="24261" spans="1:15">
      <c r="A24261" t="s">
        <v>67422</v>
      </c>
      <c r="B24261" t="s">
        <v>12250</v>
      </c>
      <c r="C24261" t="s">
        <v>13157</v>
      </c>
      <c r="D24261" t="s">
        <v>67423</v>
      </c>
      <c r="E24261" t="b">
        <v>0</v>
      </c>
      <c r="F24261" t="s">
        <v>11610</v>
      </c>
      <c r="L24261">
        <v>0</v>
      </c>
      <c r="M24261">
        <v>0</v>
      </c>
      <c r="N24261">
        <v>0</v>
      </c>
    </row>
    <row r="24262" spans="1:15">
      <c r="A24262" t="s">
        <v>67424</v>
      </c>
      <c r="B24262" t="s">
        <v>11729</v>
      </c>
      <c r="C24262" t="s">
        <v>11730</v>
      </c>
      <c r="D24262" t="s">
        <v>67425</v>
      </c>
      <c r="E24262" t="b">
        <v>0</v>
      </c>
      <c r="F24262" t="s">
        <v>11610</v>
      </c>
      <c r="L24262">
        <v>0</v>
      </c>
      <c r="M24262">
        <v>0</v>
      </c>
      <c r="N24262">
        <v>0</v>
      </c>
    </row>
    <row r="24263" spans="1:15">
      <c r="A24263" t="s">
        <v>67426</v>
      </c>
      <c r="B24263" t="s">
        <v>11607</v>
      </c>
      <c r="C24263" t="s">
        <v>19728</v>
      </c>
      <c r="D24263" t="s">
        <v>67427</v>
      </c>
      <c r="E24263" t="b">
        <v>0</v>
      </c>
      <c r="F24263" t="s">
        <v>11610</v>
      </c>
      <c r="L24263">
        <v>0</v>
      </c>
      <c r="M24263">
        <v>0</v>
      </c>
      <c r="N24263">
        <v>0</v>
      </c>
    </row>
    <row r="24264" spans="1:15">
      <c r="A24264" t="s">
        <v>25708</v>
      </c>
      <c r="B24264" t="s">
        <v>11607</v>
      </c>
      <c r="C24264" t="s">
        <v>24212</v>
      </c>
      <c r="D24264" t="s">
        <v>67428</v>
      </c>
      <c r="E24264" t="b">
        <v>0</v>
      </c>
      <c r="F24264" t="s">
        <v>11622</v>
      </c>
      <c r="L24264">
        <v>0</v>
      </c>
      <c r="M24264">
        <v>3</v>
      </c>
      <c r="N24264">
        <v>3</v>
      </c>
    </row>
    <row r="24265" spans="1:15">
      <c r="A24265" t="s">
        <v>67429</v>
      </c>
      <c r="B24265" t="s">
        <v>11637</v>
      </c>
      <c r="C24265" t="s">
        <v>33946</v>
      </c>
      <c r="D24265" t="s">
        <v>67430</v>
      </c>
      <c r="E24265" t="b">
        <v>0</v>
      </c>
      <c r="F24265" t="s">
        <v>11610</v>
      </c>
      <c r="L24265">
        <v>0</v>
      </c>
      <c r="M24265">
        <v>0</v>
      </c>
      <c r="N24265">
        <v>0</v>
      </c>
    </row>
    <row r="24266" spans="1:15">
      <c r="A24266" t="s">
        <v>67431</v>
      </c>
      <c r="B24266" t="s">
        <v>13571</v>
      </c>
      <c r="C24266" t="s">
        <v>65875</v>
      </c>
      <c r="D24266" t="s">
        <v>67432</v>
      </c>
      <c r="E24266" t="b">
        <v>0</v>
      </c>
      <c r="F24266" t="s">
        <v>11610</v>
      </c>
      <c r="L24266">
        <v>0</v>
      </c>
      <c r="M24266">
        <v>0</v>
      </c>
      <c r="N24266">
        <v>0</v>
      </c>
    </row>
    <row r="24267" spans="1:15">
      <c r="A24267" t="s">
        <v>67433</v>
      </c>
      <c r="B24267" t="s">
        <v>11607</v>
      </c>
      <c r="C24267" t="s">
        <v>21755</v>
      </c>
      <c r="D24267" t="s">
        <v>67434</v>
      </c>
      <c r="E24267" t="b">
        <v>0</v>
      </c>
      <c r="F24267" t="s">
        <v>11610</v>
      </c>
      <c r="L24267">
        <v>0</v>
      </c>
      <c r="M24267">
        <v>0</v>
      </c>
      <c r="N24267">
        <v>0</v>
      </c>
    </row>
    <row r="24268" spans="1:15">
      <c r="A24268" t="s">
        <v>67435</v>
      </c>
      <c r="B24268" t="s">
        <v>11607</v>
      </c>
      <c r="C24268" t="s">
        <v>25767</v>
      </c>
      <c r="D24268" t="s">
        <v>67436</v>
      </c>
      <c r="E24268" t="b">
        <v>0</v>
      </c>
      <c r="F24268" t="s">
        <v>11610</v>
      </c>
      <c r="L24268">
        <v>0</v>
      </c>
      <c r="M24268">
        <v>0</v>
      </c>
      <c r="N24268">
        <v>0</v>
      </c>
    </row>
    <row r="24269" spans="1:15">
      <c r="A24269" t="s">
        <v>67437</v>
      </c>
      <c r="B24269" t="s">
        <v>6742</v>
      </c>
      <c r="C24269" t="s">
        <v>3201</v>
      </c>
      <c r="D24269" t="s">
        <v>67438</v>
      </c>
      <c r="E24269" t="b">
        <v>0</v>
      </c>
      <c r="F24269" t="s">
        <v>11610</v>
      </c>
      <c r="L24269">
        <v>0</v>
      </c>
      <c r="M24269">
        <v>0</v>
      </c>
      <c r="N24269">
        <v>0</v>
      </c>
    </row>
    <row r="24270" spans="1:15">
      <c r="A24270" t="s">
        <v>67439</v>
      </c>
      <c r="B24270" t="s">
        <v>11981</v>
      </c>
      <c r="C24270" t="s">
        <v>12200</v>
      </c>
      <c r="D24270" t="s">
        <v>67440</v>
      </c>
      <c r="E24270" t="b">
        <v>0</v>
      </c>
      <c r="F24270" t="s">
        <v>11624</v>
      </c>
      <c r="G24270">
        <v>-15.513400000000001</v>
      </c>
      <c r="H24270">
        <v>28.989799999999999</v>
      </c>
      <c r="I24270" t="s">
        <v>67441</v>
      </c>
      <c r="L24270">
        <v>0</v>
      </c>
      <c r="M24270">
        <v>0</v>
      </c>
      <c r="N24270">
        <v>0</v>
      </c>
      <c r="O24270" t="s">
        <v>32215</v>
      </c>
    </row>
    <row r="24271" spans="1:15">
      <c r="A24271" t="s">
        <v>67442</v>
      </c>
      <c r="B24271" t="s">
        <v>11637</v>
      </c>
      <c r="C24271" t="s">
        <v>21255</v>
      </c>
      <c r="D24271" t="s">
        <v>67443</v>
      </c>
      <c r="E24271" t="b">
        <v>0</v>
      </c>
      <c r="F24271" t="s">
        <v>11610</v>
      </c>
      <c r="L24271">
        <v>0</v>
      </c>
      <c r="M24271">
        <v>0</v>
      </c>
      <c r="N24271">
        <v>0</v>
      </c>
    </row>
    <row r="24272" spans="1:15">
      <c r="A24272" t="s">
        <v>28190</v>
      </c>
      <c r="B24272" t="s">
        <v>6742</v>
      </c>
      <c r="C24272" t="s">
        <v>41468</v>
      </c>
      <c r="D24272" t="s">
        <v>67444</v>
      </c>
      <c r="E24272" t="b">
        <v>0</v>
      </c>
      <c r="F24272" t="s">
        <v>11622</v>
      </c>
      <c r="L24272">
        <v>0</v>
      </c>
      <c r="M24272">
        <v>2</v>
      </c>
      <c r="N24272">
        <v>0</v>
      </c>
    </row>
    <row r="24273" spans="1:15">
      <c r="A24273" t="s">
        <v>67445</v>
      </c>
      <c r="B24273" t="s">
        <v>6742</v>
      </c>
      <c r="C24273" t="s">
        <v>19186</v>
      </c>
      <c r="D24273" t="s">
        <v>67446</v>
      </c>
      <c r="E24273" t="b">
        <v>0</v>
      </c>
      <c r="F24273" t="s">
        <v>11624</v>
      </c>
      <c r="G24273">
        <v>1.25</v>
      </c>
      <c r="H24273">
        <v>18.3</v>
      </c>
      <c r="L24273">
        <v>0</v>
      </c>
      <c r="M24273">
        <v>0</v>
      </c>
      <c r="N24273">
        <v>0</v>
      </c>
      <c r="O24273" t="s">
        <v>14825</v>
      </c>
    </row>
    <row r="24274" spans="1:15">
      <c r="A24274" t="s">
        <v>67447</v>
      </c>
      <c r="B24274" t="s">
        <v>11607</v>
      </c>
      <c r="C24274" t="s">
        <v>12022</v>
      </c>
      <c r="D24274" t="s">
        <v>67448</v>
      </c>
      <c r="E24274" t="b">
        <v>0</v>
      </c>
      <c r="F24274" t="s">
        <v>11610</v>
      </c>
      <c r="L24274">
        <v>0</v>
      </c>
      <c r="M24274">
        <v>0</v>
      </c>
      <c r="N24274">
        <v>0</v>
      </c>
    </row>
    <row r="24275" spans="1:15">
      <c r="A24275" t="s">
        <v>67449</v>
      </c>
      <c r="B24275" t="s">
        <v>11607</v>
      </c>
      <c r="C24275" t="s">
        <v>18124</v>
      </c>
      <c r="D24275" t="s">
        <v>67450</v>
      </c>
      <c r="E24275" t="b">
        <v>0</v>
      </c>
      <c r="F24275" t="s">
        <v>11610</v>
      </c>
      <c r="L24275">
        <v>0</v>
      </c>
      <c r="M24275">
        <v>0</v>
      </c>
      <c r="N24275">
        <v>0</v>
      </c>
    </row>
    <row r="24276" spans="1:15">
      <c r="A24276" t="s">
        <v>15496</v>
      </c>
      <c r="D24276" t="s">
        <v>67451</v>
      </c>
      <c r="E24276" t="b">
        <v>0</v>
      </c>
      <c r="F24276" t="s">
        <v>11622</v>
      </c>
      <c r="L24276">
        <v>1</v>
      </c>
      <c r="M24276">
        <v>3</v>
      </c>
      <c r="N24276">
        <v>3</v>
      </c>
    </row>
    <row r="24277" spans="1:15">
      <c r="A24277" t="s">
        <v>15497</v>
      </c>
      <c r="B24277" t="s">
        <v>15496</v>
      </c>
      <c r="C24277" t="s">
        <v>15496</v>
      </c>
      <c r="D24277" t="s">
        <v>67452</v>
      </c>
      <c r="E24277" t="b">
        <v>0</v>
      </c>
      <c r="F24277" t="s">
        <v>11622</v>
      </c>
      <c r="L24277">
        <v>0</v>
      </c>
      <c r="M24277">
        <v>2</v>
      </c>
      <c r="N24277">
        <v>1</v>
      </c>
    </row>
    <row r="24278" spans="1:15">
      <c r="A24278" t="s">
        <v>67453</v>
      </c>
      <c r="B24278" t="s">
        <v>15496</v>
      </c>
      <c r="C24278" t="s">
        <v>15497</v>
      </c>
      <c r="D24278" t="s">
        <v>67454</v>
      </c>
      <c r="E24278" t="b">
        <v>0</v>
      </c>
      <c r="F24278" t="s">
        <v>11624</v>
      </c>
      <c r="G24278">
        <v>-18.910443999999998</v>
      </c>
      <c r="H24278">
        <v>-59.439698</v>
      </c>
      <c r="L24278">
        <v>0</v>
      </c>
      <c r="M24278">
        <v>0</v>
      </c>
      <c r="N24278">
        <v>0</v>
      </c>
      <c r="O24278" t="s">
        <v>15500</v>
      </c>
    </row>
    <row r="24279" spans="1:15">
      <c r="A24279" t="s">
        <v>29310</v>
      </c>
      <c r="B24279" t="s">
        <v>6742</v>
      </c>
      <c r="C24279" t="s">
        <v>32145</v>
      </c>
      <c r="D24279" t="s">
        <v>67455</v>
      </c>
      <c r="E24279" t="b">
        <v>0</v>
      </c>
      <c r="F24279" t="s">
        <v>11624</v>
      </c>
      <c r="G24279">
        <v>-2.2636699999999998</v>
      </c>
      <c r="H24279">
        <v>34.054200000000002</v>
      </c>
      <c r="I24279" t="s">
        <v>67456</v>
      </c>
      <c r="L24279">
        <v>0</v>
      </c>
      <c r="M24279">
        <v>0</v>
      </c>
      <c r="N24279">
        <v>3</v>
      </c>
      <c r="O24279" t="s">
        <v>11635</v>
      </c>
    </row>
    <row r="24280" spans="1:15">
      <c r="A24280" t="s">
        <v>16906</v>
      </c>
      <c r="B24280" t="s">
        <v>6742</v>
      </c>
      <c r="C24280" t="s">
        <v>16534</v>
      </c>
      <c r="D24280" t="s">
        <v>67457</v>
      </c>
      <c r="E24280" t="b">
        <v>0</v>
      </c>
      <c r="F24280" t="s">
        <v>11622</v>
      </c>
      <c r="L24280">
        <v>2</v>
      </c>
      <c r="M24280">
        <v>6</v>
      </c>
      <c r="N24280">
        <v>4</v>
      </c>
    </row>
    <row r="24281" spans="1:15">
      <c r="A24281" t="s">
        <v>29012</v>
      </c>
      <c r="B24281" t="s">
        <v>6742</v>
      </c>
      <c r="C24281" t="s">
        <v>16906</v>
      </c>
      <c r="D24281" t="s">
        <v>67458</v>
      </c>
      <c r="E24281" t="b">
        <v>0</v>
      </c>
      <c r="F24281" t="s">
        <v>11622</v>
      </c>
      <c r="L24281">
        <v>0</v>
      </c>
      <c r="M24281">
        <v>3</v>
      </c>
      <c r="N24281">
        <v>4</v>
      </c>
    </row>
    <row r="24282" spans="1:15">
      <c r="A24282" t="s">
        <v>5975</v>
      </c>
      <c r="B24282" t="s">
        <v>6742</v>
      </c>
      <c r="C24282" t="s">
        <v>29012</v>
      </c>
      <c r="D24282" t="s">
        <v>67459</v>
      </c>
      <c r="E24282" t="b">
        <v>0</v>
      </c>
      <c r="F24282" t="s">
        <v>11624</v>
      </c>
      <c r="G24282">
        <v>4.6204700000000001</v>
      </c>
      <c r="H24282">
        <v>26.715699999999998</v>
      </c>
      <c r="I24282" t="s">
        <v>5976</v>
      </c>
      <c r="L24282">
        <v>0</v>
      </c>
      <c r="M24282">
        <v>0</v>
      </c>
      <c r="N24282">
        <v>2</v>
      </c>
      <c r="O24282" t="s">
        <v>16544</v>
      </c>
    </row>
    <row r="24283" spans="1:15">
      <c r="A24283" t="s">
        <v>67460</v>
      </c>
      <c r="B24283" t="s">
        <v>11644</v>
      </c>
      <c r="C24283" t="s">
        <v>35845</v>
      </c>
      <c r="D24283" t="s">
        <v>67461</v>
      </c>
      <c r="E24283" t="b">
        <v>0</v>
      </c>
      <c r="F24283" t="s">
        <v>11624</v>
      </c>
      <c r="G24283">
        <v>33.239699999999999</v>
      </c>
      <c r="H24283">
        <v>77.401300000000006</v>
      </c>
      <c r="I24283" t="s">
        <v>67462</v>
      </c>
      <c r="L24283">
        <v>0</v>
      </c>
      <c r="M24283">
        <v>0</v>
      </c>
      <c r="N24283">
        <v>0</v>
      </c>
      <c r="O24283" t="s">
        <v>11630</v>
      </c>
    </row>
    <row r="24284" spans="1:15">
      <c r="A24284" t="s">
        <v>22645</v>
      </c>
      <c r="B24284" t="s">
        <v>6742</v>
      </c>
      <c r="C24284" t="s">
        <v>38082</v>
      </c>
      <c r="D24284" t="s">
        <v>67463</v>
      </c>
      <c r="E24284" t="b">
        <v>0</v>
      </c>
      <c r="F24284" t="s">
        <v>11624</v>
      </c>
      <c r="G24284">
        <v>10.5885</v>
      </c>
      <c r="H24284">
        <v>19.1416</v>
      </c>
      <c r="I24284" t="s">
        <v>67464</v>
      </c>
      <c r="L24284">
        <v>0</v>
      </c>
      <c r="M24284">
        <v>0</v>
      </c>
      <c r="N24284">
        <v>2</v>
      </c>
      <c r="O24284" t="s">
        <v>13421</v>
      </c>
    </row>
    <row r="24285" spans="1:15">
      <c r="A24285" t="s">
        <v>67465</v>
      </c>
      <c r="B24285" t="s">
        <v>6742</v>
      </c>
      <c r="C24285" t="s">
        <v>25703</v>
      </c>
      <c r="D24285" t="s">
        <v>67466</v>
      </c>
      <c r="E24285" t="b">
        <v>0</v>
      </c>
      <c r="F24285" t="s">
        <v>11610</v>
      </c>
      <c r="L24285">
        <v>0</v>
      </c>
      <c r="M24285">
        <v>0</v>
      </c>
      <c r="N24285">
        <v>0</v>
      </c>
    </row>
    <row r="24286" spans="1:15">
      <c r="A24286" t="s">
        <v>67467</v>
      </c>
      <c r="B24286" t="s">
        <v>6742</v>
      </c>
      <c r="C24286" t="s">
        <v>16152</v>
      </c>
      <c r="D24286" t="s">
        <v>67468</v>
      </c>
      <c r="E24286" t="b">
        <v>0</v>
      </c>
      <c r="F24286" t="s">
        <v>11610</v>
      </c>
      <c r="L24286">
        <v>0</v>
      </c>
      <c r="M24286">
        <v>0</v>
      </c>
      <c r="N24286">
        <v>0</v>
      </c>
    </row>
    <row r="24287" spans="1:15">
      <c r="A24287" t="s">
        <v>67469</v>
      </c>
      <c r="B24287" t="s">
        <v>11607</v>
      </c>
      <c r="C24287" t="s">
        <v>33822</v>
      </c>
      <c r="D24287" t="s">
        <v>67470</v>
      </c>
      <c r="E24287" t="b">
        <v>0</v>
      </c>
      <c r="F24287" t="s">
        <v>11624</v>
      </c>
      <c r="G24287">
        <v>10.228400000000001</v>
      </c>
      <c r="H24287">
        <v>9.7469400000000004</v>
      </c>
      <c r="I24287" t="s">
        <v>67471</v>
      </c>
      <c r="L24287">
        <v>0</v>
      </c>
      <c r="M24287">
        <v>0</v>
      </c>
      <c r="N24287">
        <v>0</v>
      </c>
      <c r="O24287" t="s">
        <v>11693</v>
      </c>
    </row>
    <row r="24288" spans="1:15">
      <c r="A24288" t="s">
        <v>67472</v>
      </c>
      <c r="B24288" t="s">
        <v>11879</v>
      </c>
      <c r="C24288" t="s">
        <v>27054</v>
      </c>
      <c r="D24288" t="s">
        <v>67473</v>
      </c>
      <c r="E24288" t="b">
        <v>0</v>
      </c>
      <c r="F24288" t="s">
        <v>11624</v>
      </c>
      <c r="G24288">
        <v>16.680399999999999</v>
      </c>
      <c r="H24288">
        <v>-97.287599999999998</v>
      </c>
      <c r="I24288" t="s">
        <v>67474</v>
      </c>
      <c r="L24288">
        <v>0</v>
      </c>
      <c r="M24288">
        <v>0</v>
      </c>
      <c r="N24288">
        <v>0</v>
      </c>
      <c r="O24288" t="s">
        <v>11883</v>
      </c>
    </row>
    <row r="24289" spans="1:15">
      <c r="A24289" t="s">
        <v>67475</v>
      </c>
      <c r="B24289" t="s">
        <v>11637</v>
      </c>
      <c r="C24289" t="s">
        <v>36069</v>
      </c>
      <c r="D24289" t="s">
        <v>67476</v>
      </c>
      <c r="E24289" t="b">
        <v>0</v>
      </c>
      <c r="F24289" t="s">
        <v>11610</v>
      </c>
      <c r="L24289">
        <v>0</v>
      </c>
      <c r="M24289">
        <v>0</v>
      </c>
      <c r="N24289">
        <v>0</v>
      </c>
    </row>
    <row r="24290" spans="1:15">
      <c r="A24290" t="s">
        <v>38082</v>
      </c>
      <c r="B24290" t="s">
        <v>6742</v>
      </c>
      <c r="C24290" t="s">
        <v>19454</v>
      </c>
      <c r="D24290" t="s">
        <v>67477</v>
      </c>
      <c r="E24290" t="b">
        <v>0</v>
      </c>
      <c r="F24290" t="s">
        <v>11622</v>
      </c>
      <c r="L24290">
        <v>1</v>
      </c>
      <c r="M24290">
        <v>3</v>
      </c>
      <c r="N24290">
        <v>9</v>
      </c>
    </row>
    <row r="24291" spans="1:15">
      <c r="A24291" t="s">
        <v>39633</v>
      </c>
      <c r="B24291" t="s">
        <v>12148</v>
      </c>
      <c r="C24291" t="s">
        <v>29051</v>
      </c>
      <c r="D24291" t="s">
        <v>67478</v>
      </c>
      <c r="E24291" t="b">
        <v>0</v>
      </c>
      <c r="F24291" t="s">
        <v>11622</v>
      </c>
      <c r="L24291">
        <v>0</v>
      </c>
      <c r="M24291">
        <v>2</v>
      </c>
      <c r="N24291">
        <v>6</v>
      </c>
    </row>
    <row r="24292" spans="1:15">
      <c r="A24292" t="s">
        <v>67479</v>
      </c>
      <c r="B24292" t="s">
        <v>6742</v>
      </c>
      <c r="C24292" t="s">
        <v>22645</v>
      </c>
      <c r="D24292" t="s">
        <v>67480</v>
      </c>
      <c r="E24292" t="b">
        <v>0</v>
      </c>
      <c r="F24292" t="s">
        <v>11610</v>
      </c>
      <c r="L24292">
        <v>0</v>
      </c>
      <c r="M24292">
        <v>0</v>
      </c>
      <c r="N24292">
        <v>0</v>
      </c>
    </row>
    <row r="24293" spans="1:15">
      <c r="A24293" t="s">
        <v>67481</v>
      </c>
      <c r="B24293" t="s">
        <v>6742</v>
      </c>
      <c r="C24293" t="s">
        <v>16612</v>
      </c>
      <c r="D24293" t="s">
        <v>67482</v>
      </c>
      <c r="E24293" t="b">
        <v>0</v>
      </c>
      <c r="F24293" t="s">
        <v>11610</v>
      </c>
      <c r="L24293">
        <v>0</v>
      </c>
      <c r="M24293">
        <v>0</v>
      </c>
      <c r="N24293">
        <v>0</v>
      </c>
    </row>
    <row r="24294" spans="1:15">
      <c r="A24294" t="s">
        <v>67483</v>
      </c>
      <c r="B24294" t="s">
        <v>6742</v>
      </c>
      <c r="C24294" t="s">
        <v>45418</v>
      </c>
      <c r="D24294" t="s">
        <v>67484</v>
      </c>
      <c r="E24294" t="b">
        <v>0</v>
      </c>
      <c r="F24294" t="s">
        <v>11610</v>
      </c>
      <c r="L24294">
        <v>0</v>
      </c>
      <c r="M24294">
        <v>0</v>
      </c>
      <c r="N24294">
        <v>0</v>
      </c>
    </row>
    <row r="24295" spans="1:15">
      <c r="A24295" t="s">
        <v>13741</v>
      </c>
      <c r="D24295" t="s">
        <v>67485</v>
      </c>
      <c r="E24295" t="b">
        <v>0</v>
      </c>
      <c r="F24295" t="s">
        <v>11622</v>
      </c>
      <c r="L24295">
        <v>4</v>
      </c>
      <c r="M24295">
        <v>6</v>
      </c>
      <c r="N24295">
        <v>1</v>
      </c>
    </row>
    <row r="24296" spans="1:15">
      <c r="A24296" t="s">
        <v>15169</v>
      </c>
      <c r="B24296" t="s">
        <v>13741</v>
      </c>
      <c r="C24296" t="s">
        <v>13741</v>
      </c>
      <c r="D24296" t="s">
        <v>67486</v>
      </c>
      <c r="E24296" t="b">
        <v>0</v>
      </c>
      <c r="F24296" t="s">
        <v>11622</v>
      </c>
      <c r="L24296">
        <v>0</v>
      </c>
      <c r="M24296">
        <v>2</v>
      </c>
      <c r="N24296">
        <v>0</v>
      </c>
    </row>
    <row r="24297" spans="1:15">
      <c r="A24297" t="s">
        <v>67487</v>
      </c>
      <c r="B24297" t="s">
        <v>13741</v>
      </c>
      <c r="C24297" t="s">
        <v>15169</v>
      </c>
      <c r="D24297" t="s">
        <v>67488</v>
      </c>
      <c r="E24297" t="b">
        <v>0</v>
      </c>
      <c r="F24297" t="s">
        <v>11624</v>
      </c>
      <c r="G24297">
        <v>-1.99871</v>
      </c>
      <c r="H24297">
        <v>-76.364000000000004</v>
      </c>
      <c r="I24297" t="s">
        <v>67489</v>
      </c>
      <c r="L24297">
        <v>0</v>
      </c>
      <c r="M24297">
        <v>0</v>
      </c>
      <c r="N24297">
        <v>0</v>
      </c>
      <c r="O24297" t="s">
        <v>11949</v>
      </c>
    </row>
    <row r="24298" spans="1:15">
      <c r="A24298" t="s">
        <v>67490</v>
      </c>
      <c r="B24298" t="s">
        <v>11879</v>
      </c>
      <c r="C24298" t="s">
        <v>11878</v>
      </c>
      <c r="D24298" t="s">
        <v>67491</v>
      </c>
      <c r="E24298" t="b">
        <v>0</v>
      </c>
      <c r="F24298" t="s">
        <v>11610</v>
      </c>
      <c r="L24298">
        <v>0</v>
      </c>
      <c r="M24298">
        <v>0</v>
      </c>
      <c r="N24298">
        <v>0</v>
      </c>
    </row>
    <row r="24299" spans="1:15">
      <c r="A24299" t="s">
        <v>22336</v>
      </c>
      <c r="B24299" t="s">
        <v>11879</v>
      </c>
      <c r="C24299" t="s">
        <v>53458</v>
      </c>
      <c r="D24299" t="s">
        <v>67492</v>
      </c>
      <c r="E24299" t="b">
        <v>0</v>
      </c>
      <c r="F24299" t="s">
        <v>11622</v>
      </c>
      <c r="L24299">
        <v>17</v>
      </c>
      <c r="M24299">
        <v>65</v>
      </c>
      <c r="N24299">
        <v>19</v>
      </c>
    </row>
    <row r="24300" spans="1:15">
      <c r="A24300" t="s">
        <v>50213</v>
      </c>
      <c r="B24300" t="s">
        <v>11879</v>
      </c>
      <c r="C24300" t="s">
        <v>22336</v>
      </c>
      <c r="D24300" t="s">
        <v>9628</v>
      </c>
      <c r="E24300" t="b">
        <v>0</v>
      </c>
      <c r="F24300" t="s">
        <v>11622</v>
      </c>
      <c r="I24300" t="s">
        <v>67493</v>
      </c>
      <c r="L24300">
        <v>12</v>
      </c>
      <c r="M24300">
        <v>58</v>
      </c>
      <c r="N24300">
        <v>16</v>
      </c>
      <c r="O24300" t="s">
        <v>11883</v>
      </c>
    </row>
    <row r="24301" spans="1:15">
      <c r="A24301" t="s">
        <v>67494</v>
      </c>
      <c r="B24301" t="s">
        <v>331</v>
      </c>
      <c r="C24301" t="s">
        <v>49220</v>
      </c>
      <c r="D24301" t="s">
        <v>67495</v>
      </c>
      <c r="E24301" t="b">
        <v>0</v>
      </c>
      <c r="F24301" t="s">
        <v>11610</v>
      </c>
      <c r="L24301">
        <v>0</v>
      </c>
      <c r="M24301">
        <v>0</v>
      </c>
      <c r="N24301">
        <v>0</v>
      </c>
    </row>
    <row r="24302" spans="1:15">
      <c r="A24302" t="s">
        <v>67496</v>
      </c>
      <c r="B24302" t="s">
        <v>12311</v>
      </c>
      <c r="C24302" t="s">
        <v>13678</v>
      </c>
      <c r="D24302" t="s">
        <v>67497</v>
      </c>
      <c r="E24302" t="b">
        <v>0</v>
      </c>
      <c r="F24302" t="s">
        <v>11610</v>
      </c>
      <c r="L24302">
        <v>0</v>
      </c>
      <c r="M24302">
        <v>0</v>
      </c>
      <c r="N24302">
        <v>0</v>
      </c>
    </row>
    <row r="24303" spans="1:15">
      <c r="A24303" t="s">
        <v>67498</v>
      </c>
      <c r="B24303" t="s">
        <v>6742</v>
      </c>
      <c r="C24303" t="s">
        <v>26823</v>
      </c>
      <c r="D24303" t="s">
        <v>67499</v>
      </c>
      <c r="E24303" t="b">
        <v>0</v>
      </c>
      <c r="F24303" t="s">
        <v>11610</v>
      </c>
      <c r="L24303">
        <v>0</v>
      </c>
      <c r="M24303">
        <v>0</v>
      </c>
      <c r="N24303">
        <v>0</v>
      </c>
    </row>
    <row r="24304" spans="1:15">
      <c r="A24304" t="s">
        <v>67500</v>
      </c>
      <c r="B24304" t="s">
        <v>6742</v>
      </c>
      <c r="C24304" t="s">
        <v>38497</v>
      </c>
      <c r="D24304" t="s">
        <v>67501</v>
      </c>
      <c r="E24304" t="b">
        <v>0</v>
      </c>
      <c r="F24304" t="s">
        <v>11624</v>
      </c>
      <c r="G24304">
        <v>-6.8770499999999997</v>
      </c>
      <c r="H24304">
        <v>38.925800000000002</v>
      </c>
      <c r="I24304" t="s">
        <v>67502</v>
      </c>
      <c r="L24304">
        <v>0</v>
      </c>
      <c r="M24304">
        <v>0</v>
      </c>
      <c r="N24304">
        <v>0</v>
      </c>
      <c r="O24304" t="s">
        <v>11635</v>
      </c>
    </row>
    <row r="24305" spans="1:15">
      <c r="A24305" t="s">
        <v>67503</v>
      </c>
      <c r="B24305" t="s">
        <v>13276</v>
      </c>
      <c r="C24305" t="s">
        <v>17965</v>
      </c>
      <c r="D24305" t="s">
        <v>67504</v>
      </c>
      <c r="E24305" t="b">
        <v>0</v>
      </c>
      <c r="F24305" t="s">
        <v>11610</v>
      </c>
      <c r="L24305">
        <v>0</v>
      </c>
      <c r="M24305">
        <v>0</v>
      </c>
      <c r="N24305">
        <v>0</v>
      </c>
    </row>
    <row r="24306" spans="1:15">
      <c r="A24306" t="s">
        <v>67505</v>
      </c>
      <c r="B24306" t="s">
        <v>11607</v>
      </c>
      <c r="C24306" t="s">
        <v>19315</v>
      </c>
      <c r="D24306" t="s">
        <v>67506</v>
      </c>
      <c r="E24306" t="b">
        <v>0</v>
      </c>
      <c r="F24306" t="s">
        <v>11610</v>
      </c>
      <c r="L24306">
        <v>0</v>
      </c>
      <c r="M24306">
        <v>0</v>
      </c>
      <c r="N24306">
        <v>0</v>
      </c>
    </row>
    <row r="24307" spans="1:15">
      <c r="A24307" t="s">
        <v>67507</v>
      </c>
      <c r="B24307" t="s">
        <v>11637</v>
      </c>
      <c r="C24307" t="s">
        <v>11822</v>
      </c>
      <c r="D24307" t="s">
        <v>67508</v>
      </c>
      <c r="E24307" t="b">
        <v>0</v>
      </c>
      <c r="F24307" t="s">
        <v>11610</v>
      </c>
      <c r="L24307">
        <v>0</v>
      </c>
      <c r="M24307">
        <v>0</v>
      </c>
      <c r="N24307">
        <v>0</v>
      </c>
    </row>
    <row r="24308" spans="1:15">
      <c r="A24308" t="s">
        <v>19728</v>
      </c>
      <c r="B24308" t="s">
        <v>11607</v>
      </c>
      <c r="C24308" t="s">
        <v>25708</v>
      </c>
      <c r="D24308" t="s">
        <v>67509</v>
      </c>
      <c r="E24308" t="b">
        <v>0</v>
      </c>
      <c r="F24308" t="s">
        <v>11624</v>
      </c>
      <c r="G24308">
        <v>9.7126900000000003</v>
      </c>
      <c r="H24308">
        <v>9.4033200000000008</v>
      </c>
      <c r="I24308" t="s">
        <v>67510</v>
      </c>
      <c r="L24308">
        <v>0</v>
      </c>
      <c r="M24308">
        <v>0</v>
      </c>
      <c r="N24308">
        <v>3</v>
      </c>
      <c r="O24308" t="s">
        <v>11693</v>
      </c>
    </row>
    <row r="24309" spans="1:15">
      <c r="A24309" t="s">
        <v>67511</v>
      </c>
      <c r="B24309" t="s">
        <v>6742</v>
      </c>
      <c r="C24309" t="s">
        <v>17491</v>
      </c>
      <c r="D24309" t="s">
        <v>67512</v>
      </c>
      <c r="E24309" t="b">
        <v>0</v>
      </c>
      <c r="F24309" t="s">
        <v>11610</v>
      </c>
      <c r="L24309">
        <v>0</v>
      </c>
      <c r="M24309">
        <v>0</v>
      </c>
      <c r="N24309">
        <v>0</v>
      </c>
    </row>
    <row r="24310" spans="1:15">
      <c r="A24310" t="s">
        <v>33840</v>
      </c>
      <c r="B24310" t="s">
        <v>12562</v>
      </c>
      <c r="C24310" t="s">
        <v>24483</v>
      </c>
      <c r="D24310" t="s">
        <v>67513</v>
      </c>
      <c r="E24310" t="b">
        <v>0</v>
      </c>
      <c r="F24310" t="s">
        <v>11624</v>
      </c>
      <c r="G24310">
        <v>12.855399999999999</v>
      </c>
      <c r="H24310">
        <v>2.4117299999999999</v>
      </c>
      <c r="I24310" t="s">
        <v>67514</v>
      </c>
      <c r="L24310">
        <v>0</v>
      </c>
      <c r="M24310">
        <v>0</v>
      </c>
      <c r="N24310">
        <v>1</v>
      </c>
      <c r="O24310" t="s">
        <v>60535</v>
      </c>
    </row>
    <row r="24311" spans="1:15">
      <c r="A24311" t="s">
        <v>24483</v>
      </c>
      <c r="B24311" t="s">
        <v>12562</v>
      </c>
      <c r="C24311" t="s">
        <v>26144</v>
      </c>
      <c r="D24311" t="s">
        <v>67515</v>
      </c>
      <c r="E24311" t="b">
        <v>0</v>
      </c>
      <c r="F24311" t="s">
        <v>11622</v>
      </c>
      <c r="L24311">
        <v>0</v>
      </c>
      <c r="M24311">
        <v>2</v>
      </c>
      <c r="N24311">
        <v>1</v>
      </c>
    </row>
    <row r="24312" spans="1:15">
      <c r="A24312" t="s">
        <v>67516</v>
      </c>
      <c r="B24312" t="s">
        <v>11627</v>
      </c>
      <c r="C24312" t="s">
        <v>11627</v>
      </c>
      <c r="D24312" t="s">
        <v>67517</v>
      </c>
      <c r="E24312" t="b">
        <v>1</v>
      </c>
      <c r="F24312" t="s">
        <v>11624</v>
      </c>
      <c r="G24312">
        <v>45.5627</v>
      </c>
      <c r="H24312">
        <v>4.3877100000000002</v>
      </c>
      <c r="I24312" t="s">
        <v>67518</v>
      </c>
      <c r="L24312">
        <v>0</v>
      </c>
      <c r="M24312">
        <v>0</v>
      </c>
      <c r="N24312">
        <v>0</v>
      </c>
      <c r="O24312" t="s">
        <v>19870</v>
      </c>
    </row>
    <row r="24313" spans="1:15">
      <c r="A24313" t="s">
        <v>18512</v>
      </c>
      <c r="B24313" t="s">
        <v>11644</v>
      </c>
      <c r="C24313" t="s">
        <v>50390</v>
      </c>
      <c r="D24313" t="s">
        <v>67519</v>
      </c>
      <c r="E24313" t="b">
        <v>0</v>
      </c>
      <c r="F24313" t="s">
        <v>11624</v>
      </c>
      <c r="G24313">
        <v>26.4572</v>
      </c>
      <c r="H24313">
        <v>98.863399999999999</v>
      </c>
      <c r="I24313" t="s">
        <v>67520</v>
      </c>
      <c r="L24313">
        <v>0</v>
      </c>
      <c r="M24313">
        <v>0</v>
      </c>
      <c r="N24313">
        <v>2</v>
      </c>
      <c r="O24313" t="s">
        <v>11905</v>
      </c>
    </row>
    <row r="24314" spans="1:15">
      <c r="A24314" t="s">
        <v>67521</v>
      </c>
      <c r="B24314" t="s">
        <v>11644</v>
      </c>
      <c r="C24314" t="s">
        <v>35566</v>
      </c>
      <c r="D24314" t="s">
        <v>67522</v>
      </c>
      <c r="E24314" t="b">
        <v>0</v>
      </c>
      <c r="F24314" t="s">
        <v>11624</v>
      </c>
      <c r="G24314">
        <v>20.16</v>
      </c>
      <c r="H24314">
        <v>96.908000000000001</v>
      </c>
      <c r="I24314" t="s">
        <v>67523</v>
      </c>
      <c r="L24314">
        <v>0</v>
      </c>
      <c r="M24314">
        <v>0</v>
      </c>
      <c r="N24314">
        <v>0</v>
      </c>
      <c r="O24314" t="s">
        <v>14059</v>
      </c>
    </row>
    <row r="24315" spans="1:15">
      <c r="A24315" t="s">
        <v>67524</v>
      </c>
      <c r="B24315" t="s">
        <v>11637</v>
      </c>
      <c r="C24315" t="s">
        <v>16090</v>
      </c>
      <c r="D24315" t="s">
        <v>67525</v>
      </c>
      <c r="E24315" t="b">
        <v>0</v>
      </c>
      <c r="F24315" t="s">
        <v>11610</v>
      </c>
      <c r="L24315">
        <v>0</v>
      </c>
      <c r="M24315">
        <v>0</v>
      </c>
      <c r="N24315">
        <v>0</v>
      </c>
    </row>
    <row r="24316" spans="1:15">
      <c r="A24316" t="s">
        <v>67526</v>
      </c>
      <c r="B24316" t="s">
        <v>13571</v>
      </c>
      <c r="C24316" t="s">
        <v>26128</v>
      </c>
      <c r="D24316" t="s">
        <v>67527</v>
      </c>
      <c r="E24316" t="b">
        <v>0</v>
      </c>
      <c r="F24316" t="s">
        <v>11624</v>
      </c>
      <c r="G24316">
        <v>5.8374699999999997</v>
      </c>
      <c r="H24316">
        <v>37.340899999999998</v>
      </c>
      <c r="I24316" t="s">
        <v>67528</v>
      </c>
      <c r="L24316">
        <v>0</v>
      </c>
      <c r="M24316">
        <v>0</v>
      </c>
      <c r="N24316">
        <v>2</v>
      </c>
      <c r="O24316" t="s">
        <v>11625</v>
      </c>
    </row>
    <row r="24317" spans="1:15">
      <c r="A24317" t="s">
        <v>67529</v>
      </c>
      <c r="B24317" t="s">
        <v>13571</v>
      </c>
      <c r="C24317" t="s">
        <v>67526</v>
      </c>
      <c r="D24317" t="s">
        <v>67530</v>
      </c>
      <c r="E24317" t="b">
        <v>0</v>
      </c>
      <c r="F24317" t="s">
        <v>11610</v>
      </c>
      <c r="L24317">
        <v>0</v>
      </c>
      <c r="M24317">
        <v>0</v>
      </c>
      <c r="N24317">
        <v>0</v>
      </c>
    </row>
    <row r="24318" spans="1:15">
      <c r="A24318" t="s">
        <v>67531</v>
      </c>
      <c r="B24318" t="s">
        <v>11607</v>
      </c>
      <c r="C24318" t="s">
        <v>30754</v>
      </c>
      <c r="D24318" t="s">
        <v>67532</v>
      </c>
      <c r="E24318" t="b">
        <v>0</v>
      </c>
      <c r="F24318" t="s">
        <v>11624</v>
      </c>
      <c r="G24318">
        <v>8.0114800000000006</v>
      </c>
      <c r="H24318">
        <v>38.825800000000001</v>
      </c>
      <c r="I24318" t="s">
        <v>67533</v>
      </c>
      <c r="L24318">
        <v>0</v>
      </c>
      <c r="M24318">
        <v>0</v>
      </c>
      <c r="N24318">
        <v>0</v>
      </c>
      <c r="O24318" t="s">
        <v>11625</v>
      </c>
    </row>
    <row r="24319" spans="1:15">
      <c r="A24319" t="s">
        <v>67534</v>
      </c>
      <c r="B24319" t="s">
        <v>367</v>
      </c>
      <c r="C24319" t="s">
        <v>18944</v>
      </c>
      <c r="D24319" t="s">
        <v>67535</v>
      </c>
      <c r="E24319" t="b">
        <v>0</v>
      </c>
      <c r="F24319" t="s">
        <v>11624</v>
      </c>
      <c r="G24319">
        <v>-8.1871899999999993</v>
      </c>
      <c r="H24319">
        <v>159.255</v>
      </c>
      <c r="I24319" t="s">
        <v>67536</v>
      </c>
      <c r="L24319">
        <v>0</v>
      </c>
      <c r="M24319">
        <v>0</v>
      </c>
      <c r="N24319">
        <v>0</v>
      </c>
      <c r="O24319" t="s">
        <v>13346</v>
      </c>
    </row>
    <row r="24320" spans="1:15">
      <c r="A24320" t="s">
        <v>24847</v>
      </c>
      <c r="B24320" t="s">
        <v>11637</v>
      </c>
      <c r="C24320" t="s">
        <v>12047</v>
      </c>
      <c r="D24320" t="s">
        <v>67537</v>
      </c>
      <c r="E24320" t="b">
        <v>0</v>
      </c>
      <c r="F24320" t="s">
        <v>11622</v>
      </c>
      <c r="I24320" t="s">
        <v>67538</v>
      </c>
      <c r="L24320">
        <v>0</v>
      </c>
      <c r="M24320">
        <v>2</v>
      </c>
      <c r="N24320">
        <v>7</v>
      </c>
      <c r="O24320" t="s">
        <v>16254</v>
      </c>
    </row>
    <row r="24321" spans="1:15">
      <c r="A24321" t="s">
        <v>18944</v>
      </c>
      <c r="B24321" t="s">
        <v>367</v>
      </c>
      <c r="C24321" t="s">
        <v>21545</v>
      </c>
      <c r="D24321" t="s">
        <v>67539</v>
      </c>
      <c r="E24321" t="b">
        <v>0</v>
      </c>
      <c r="F24321" t="s">
        <v>11622</v>
      </c>
      <c r="L24321">
        <v>0</v>
      </c>
      <c r="M24321">
        <v>2</v>
      </c>
      <c r="N24321">
        <v>0</v>
      </c>
    </row>
    <row r="24322" spans="1:15">
      <c r="A24322" t="s">
        <v>57166</v>
      </c>
      <c r="B24322" t="s">
        <v>11644</v>
      </c>
      <c r="C24322" t="s">
        <v>33227</v>
      </c>
      <c r="D24322" t="s">
        <v>67540</v>
      </c>
      <c r="E24322" t="b">
        <v>0</v>
      </c>
      <c r="F24322" t="s">
        <v>11624</v>
      </c>
      <c r="L24322">
        <v>0</v>
      </c>
      <c r="M24322">
        <v>0</v>
      </c>
      <c r="N24322">
        <v>1</v>
      </c>
      <c r="O24322" t="s">
        <v>11905</v>
      </c>
    </row>
    <row r="24323" spans="1:15">
      <c r="A24323" t="s">
        <v>67541</v>
      </c>
      <c r="B24323" t="s">
        <v>11637</v>
      </c>
      <c r="C24323" t="s">
        <v>32718</v>
      </c>
      <c r="D24323" t="s">
        <v>67542</v>
      </c>
      <c r="E24323" t="b">
        <v>0</v>
      </c>
      <c r="F24323" t="s">
        <v>11610</v>
      </c>
      <c r="L24323">
        <v>0</v>
      </c>
      <c r="M24323">
        <v>0</v>
      </c>
      <c r="N24323">
        <v>0</v>
      </c>
    </row>
    <row r="24324" spans="1:15">
      <c r="A24324" t="s">
        <v>67543</v>
      </c>
      <c r="B24324" t="s">
        <v>6742</v>
      </c>
      <c r="C24324" t="s">
        <v>28313</v>
      </c>
      <c r="D24324" t="s">
        <v>67544</v>
      </c>
      <c r="E24324" t="b">
        <v>0</v>
      </c>
      <c r="F24324" t="s">
        <v>11610</v>
      </c>
      <c r="L24324">
        <v>0</v>
      </c>
      <c r="M24324">
        <v>0</v>
      </c>
      <c r="N24324">
        <v>0</v>
      </c>
    </row>
    <row r="24325" spans="1:15">
      <c r="A24325" t="s">
        <v>24079</v>
      </c>
      <c r="B24325" t="s">
        <v>11607</v>
      </c>
      <c r="C24325" t="s">
        <v>24212</v>
      </c>
      <c r="D24325" t="s">
        <v>67545</v>
      </c>
      <c r="E24325" t="b">
        <v>0</v>
      </c>
      <c r="F24325" t="s">
        <v>11624</v>
      </c>
      <c r="G24325">
        <v>9.9500100000000007</v>
      </c>
      <c r="H24325">
        <v>9.2893399999999993</v>
      </c>
      <c r="I24325" t="s">
        <v>67546</v>
      </c>
      <c r="L24325">
        <v>0</v>
      </c>
      <c r="M24325">
        <v>0</v>
      </c>
      <c r="N24325">
        <v>3</v>
      </c>
      <c r="O24325" t="s">
        <v>11693</v>
      </c>
    </row>
    <row r="24326" spans="1:15">
      <c r="A24326" t="s">
        <v>15431</v>
      </c>
      <c r="B24326" t="s">
        <v>11637</v>
      </c>
      <c r="C24326" t="s">
        <v>58887</v>
      </c>
      <c r="D24326" t="s">
        <v>67547</v>
      </c>
      <c r="E24326" t="b">
        <v>0</v>
      </c>
      <c r="F24326" t="s">
        <v>11624</v>
      </c>
      <c r="G24326">
        <v>51.498100000000001</v>
      </c>
      <c r="H24326">
        <v>3.8542800000000002</v>
      </c>
      <c r="I24326" t="s">
        <v>67548</v>
      </c>
      <c r="L24326">
        <v>0</v>
      </c>
      <c r="M24326">
        <v>0</v>
      </c>
      <c r="N24326">
        <v>9</v>
      </c>
      <c r="O24326" t="s">
        <v>25638</v>
      </c>
    </row>
    <row r="24327" spans="1:15">
      <c r="A24327" t="s">
        <v>67549</v>
      </c>
      <c r="B24327" t="s">
        <v>6742</v>
      </c>
      <c r="C24327" t="s">
        <v>31017</v>
      </c>
      <c r="D24327" t="s">
        <v>67550</v>
      </c>
      <c r="E24327" t="b">
        <v>0</v>
      </c>
      <c r="F24327" t="s">
        <v>11624</v>
      </c>
      <c r="G24327">
        <v>-17.2958</v>
      </c>
      <c r="H24327">
        <v>13.442399999999999</v>
      </c>
      <c r="I24327" t="s">
        <v>67551</v>
      </c>
      <c r="L24327">
        <v>0</v>
      </c>
      <c r="M24327">
        <v>0</v>
      </c>
      <c r="N24327">
        <v>0</v>
      </c>
      <c r="O24327" t="s">
        <v>37874</v>
      </c>
    </row>
    <row r="24328" spans="1:15">
      <c r="A24328" t="s">
        <v>47934</v>
      </c>
      <c r="B24328" t="s">
        <v>11644</v>
      </c>
      <c r="C24328" t="s">
        <v>40030</v>
      </c>
      <c r="D24328" t="s">
        <v>67552</v>
      </c>
      <c r="E24328" t="b">
        <v>0</v>
      </c>
      <c r="F24328" t="s">
        <v>11624</v>
      </c>
      <c r="G24328">
        <v>25.349900000000002</v>
      </c>
      <c r="H24328">
        <v>93.646299999999997</v>
      </c>
      <c r="I24328" t="s">
        <v>67553</v>
      </c>
      <c r="L24328">
        <v>0</v>
      </c>
      <c r="M24328">
        <v>0</v>
      </c>
      <c r="N24328">
        <v>2</v>
      </c>
      <c r="O24328" t="s">
        <v>11630</v>
      </c>
    </row>
    <row r="24329" spans="1:15">
      <c r="A24329" t="s">
        <v>42843</v>
      </c>
      <c r="B24329" t="s">
        <v>11644</v>
      </c>
      <c r="C24329" t="s">
        <v>13813</v>
      </c>
      <c r="D24329" t="s">
        <v>67554</v>
      </c>
      <c r="E24329" t="b">
        <v>0</v>
      </c>
      <c r="F24329" t="s">
        <v>11622</v>
      </c>
      <c r="L24329">
        <v>1</v>
      </c>
      <c r="M24329">
        <v>6</v>
      </c>
      <c r="N24329">
        <v>7</v>
      </c>
    </row>
    <row r="24330" spans="1:15">
      <c r="A24330" t="s">
        <v>67555</v>
      </c>
      <c r="B24330" t="s">
        <v>11637</v>
      </c>
      <c r="C24330" t="s">
        <v>29691</v>
      </c>
      <c r="D24330" t="s">
        <v>67556</v>
      </c>
      <c r="E24330" t="b">
        <v>0</v>
      </c>
      <c r="F24330" t="s">
        <v>11610</v>
      </c>
      <c r="L24330">
        <v>0</v>
      </c>
      <c r="M24330">
        <v>0</v>
      </c>
      <c r="N24330">
        <v>0</v>
      </c>
    </row>
    <row r="24331" spans="1:15">
      <c r="A24331" t="s">
        <v>39496</v>
      </c>
      <c r="B24331" t="s">
        <v>367</v>
      </c>
      <c r="C24331" t="s">
        <v>23984</v>
      </c>
      <c r="D24331" t="s">
        <v>67557</v>
      </c>
      <c r="E24331" t="b">
        <v>0</v>
      </c>
      <c r="F24331" t="s">
        <v>11624</v>
      </c>
      <c r="G24331">
        <v>-6.93858</v>
      </c>
      <c r="H24331">
        <v>146.54599999999999</v>
      </c>
      <c r="I24331" t="s">
        <v>67558</v>
      </c>
      <c r="L24331">
        <v>0</v>
      </c>
      <c r="M24331">
        <v>0</v>
      </c>
      <c r="N24331">
        <v>1</v>
      </c>
      <c r="O24331" t="s">
        <v>11660</v>
      </c>
    </row>
    <row r="24332" spans="1:15">
      <c r="A24332" t="s">
        <v>67559</v>
      </c>
      <c r="B24332" t="s">
        <v>11607</v>
      </c>
      <c r="C24332" t="s">
        <v>60992</v>
      </c>
      <c r="D24332" t="s">
        <v>67560</v>
      </c>
      <c r="E24332" t="b">
        <v>0</v>
      </c>
      <c r="F24332" t="s">
        <v>11624</v>
      </c>
      <c r="G24332">
        <v>16.82</v>
      </c>
      <c r="H24332">
        <v>-16.171099999999999</v>
      </c>
      <c r="I24332" t="s">
        <v>67561</v>
      </c>
      <c r="L24332">
        <v>0</v>
      </c>
      <c r="M24332">
        <v>0</v>
      </c>
      <c r="N24332">
        <v>0</v>
      </c>
      <c r="O24332" t="s">
        <v>67562</v>
      </c>
    </row>
    <row r="24333" spans="1:15">
      <c r="A24333" t="s">
        <v>22415</v>
      </c>
      <c r="B24333" t="s">
        <v>11607</v>
      </c>
      <c r="C24333" t="s">
        <v>515</v>
      </c>
      <c r="D24333" t="s">
        <v>67563</v>
      </c>
      <c r="E24333" t="b">
        <v>0</v>
      </c>
      <c r="F24333" t="s">
        <v>11622</v>
      </c>
      <c r="L24333">
        <v>2</v>
      </c>
      <c r="M24333">
        <v>10</v>
      </c>
      <c r="N24333">
        <v>28</v>
      </c>
    </row>
    <row r="24334" spans="1:15">
      <c r="A24334" t="s">
        <v>67564</v>
      </c>
      <c r="B24334" t="s">
        <v>11637</v>
      </c>
      <c r="C24334" t="s">
        <v>29109</v>
      </c>
      <c r="D24334" t="s">
        <v>67565</v>
      </c>
      <c r="E24334" t="b">
        <v>0</v>
      </c>
      <c r="F24334" t="s">
        <v>11610</v>
      </c>
      <c r="L24334">
        <v>0</v>
      </c>
      <c r="M24334">
        <v>0</v>
      </c>
      <c r="N24334">
        <v>0</v>
      </c>
    </row>
    <row r="24335" spans="1:15">
      <c r="A24335" t="s">
        <v>67566</v>
      </c>
      <c r="B24335" t="s">
        <v>11637</v>
      </c>
      <c r="C24335" t="s">
        <v>31030</v>
      </c>
      <c r="D24335" t="s">
        <v>67567</v>
      </c>
      <c r="E24335" t="b">
        <v>0</v>
      </c>
      <c r="F24335" t="s">
        <v>11610</v>
      </c>
      <c r="L24335">
        <v>0</v>
      </c>
      <c r="M24335">
        <v>0</v>
      </c>
      <c r="N24335">
        <v>0</v>
      </c>
    </row>
    <row r="24336" spans="1:15">
      <c r="A24336" t="s">
        <v>67568</v>
      </c>
      <c r="B24336" t="s">
        <v>11879</v>
      </c>
      <c r="C24336" t="s">
        <v>23173</v>
      </c>
      <c r="D24336" t="s">
        <v>67569</v>
      </c>
      <c r="E24336" t="b">
        <v>0</v>
      </c>
      <c r="F24336" t="s">
        <v>11624</v>
      </c>
      <c r="G24336">
        <v>16.527989999999999</v>
      </c>
      <c r="H24336">
        <v>-97.455460000000002</v>
      </c>
      <c r="I24336" t="s">
        <v>67570</v>
      </c>
      <c r="L24336">
        <v>0</v>
      </c>
      <c r="M24336">
        <v>0</v>
      </c>
      <c r="N24336">
        <v>0</v>
      </c>
      <c r="O24336" t="s">
        <v>11883</v>
      </c>
    </row>
    <row r="24337" spans="1:15">
      <c r="A24337" t="s">
        <v>67571</v>
      </c>
      <c r="B24337" t="s">
        <v>13571</v>
      </c>
      <c r="C24337" t="s">
        <v>67526</v>
      </c>
      <c r="D24337" t="s">
        <v>67572</v>
      </c>
      <c r="E24337" t="b">
        <v>0</v>
      </c>
      <c r="F24337" t="s">
        <v>11610</v>
      </c>
      <c r="L24337">
        <v>0</v>
      </c>
      <c r="M24337">
        <v>0</v>
      </c>
      <c r="N24337">
        <v>0</v>
      </c>
    </row>
    <row r="24338" spans="1:15">
      <c r="A24338" t="s">
        <v>67573</v>
      </c>
      <c r="B24338" t="s">
        <v>11637</v>
      </c>
      <c r="C24338" t="s">
        <v>20403</v>
      </c>
      <c r="D24338" t="s">
        <v>67574</v>
      </c>
      <c r="E24338" t="b">
        <v>0</v>
      </c>
      <c r="F24338" t="s">
        <v>11610</v>
      </c>
      <c r="L24338">
        <v>0</v>
      </c>
      <c r="M24338">
        <v>0</v>
      </c>
      <c r="N24338">
        <v>0</v>
      </c>
    </row>
    <row r="24339" spans="1:15">
      <c r="A24339" t="s">
        <v>67575</v>
      </c>
      <c r="B24339" t="s">
        <v>11615</v>
      </c>
      <c r="C24339" t="s">
        <v>26286</v>
      </c>
      <c r="D24339" t="s">
        <v>67576</v>
      </c>
      <c r="E24339" t="b">
        <v>0</v>
      </c>
      <c r="F24339" t="s">
        <v>11610</v>
      </c>
      <c r="L24339">
        <v>0</v>
      </c>
      <c r="M24339">
        <v>0</v>
      </c>
      <c r="N24339">
        <v>0</v>
      </c>
    </row>
    <row r="24340" spans="1:15">
      <c r="A24340" t="s">
        <v>3984</v>
      </c>
      <c r="B24340" t="s">
        <v>6742</v>
      </c>
      <c r="C24340" t="s">
        <v>3601</v>
      </c>
      <c r="D24340" t="s">
        <v>67577</v>
      </c>
      <c r="E24340" t="b">
        <v>0</v>
      </c>
      <c r="F24340" t="s">
        <v>11610</v>
      </c>
      <c r="L24340">
        <v>0</v>
      </c>
      <c r="M24340">
        <v>0</v>
      </c>
      <c r="N24340">
        <v>9</v>
      </c>
    </row>
    <row r="24341" spans="1:15">
      <c r="A24341" t="s">
        <v>67578</v>
      </c>
      <c r="B24341" t="s">
        <v>11644</v>
      </c>
      <c r="C24341" t="s">
        <v>45997</v>
      </c>
      <c r="D24341" t="s">
        <v>67579</v>
      </c>
      <c r="E24341" t="b">
        <v>0</v>
      </c>
      <c r="F24341" t="s">
        <v>11624</v>
      </c>
      <c r="G24341">
        <v>30.741599999999998</v>
      </c>
      <c r="H24341">
        <v>100.983</v>
      </c>
      <c r="I24341" t="s">
        <v>67580</v>
      </c>
      <c r="L24341">
        <v>0</v>
      </c>
      <c r="M24341">
        <v>0</v>
      </c>
      <c r="N24341">
        <v>0</v>
      </c>
      <c r="O24341" t="s">
        <v>11905</v>
      </c>
    </row>
    <row r="24342" spans="1:15">
      <c r="A24342" t="s">
        <v>67581</v>
      </c>
      <c r="B24342" t="s">
        <v>11644</v>
      </c>
      <c r="C24342" t="s">
        <v>63214</v>
      </c>
      <c r="D24342" t="s">
        <v>67582</v>
      </c>
      <c r="E24342" t="b">
        <v>0</v>
      </c>
      <c r="F24342" t="s">
        <v>11624</v>
      </c>
      <c r="G24342">
        <v>31.066666999999999</v>
      </c>
      <c r="H24342">
        <v>81.3125</v>
      </c>
      <c r="I24342" t="s">
        <v>67583</v>
      </c>
      <c r="L24342">
        <v>0</v>
      </c>
      <c r="M24342">
        <v>0</v>
      </c>
      <c r="N24342">
        <v>0</v>
      </c>
      <c r="O24342" t="s">
        <v>11905</v>
      </c>
    </row>
    <row r="24343" spans="1:15">
      <c r="A24343" t="s">
        <v>67584</v>
      </c>
      <c r="B24343" t="s">
        <v>11644</v>
      </c>
      <c r="C24343" t="s">
        <v>28113</v>
      </c>
      <c r="D24343" t="s">
        <v>67585</v>
      </c>
      <c r="E24343" t="b">
        <v>0</v>
      </c>
      <c r="F24343" t="s">
        <v>11610</v>
      </c>
      <c r="G24343">
        <v>25.283332999999999</v>
      </c>
      <c r="H24343">
        <v>117.416667</v>
      </c>
      <c r="L24343">
        <v>0</v>
      </c>
      <c r="M24343">
        <v>0</v>
      </c>
      <c r="N24343">
        <v>0</v>
      </c>
    </row>
    <row r="24344" spans="1:15">
      <c r="A24344" t="s">
        <v>67586</v>
      </c>
      <c r="B24344" t="s">
        <v>11644</v>
      </c>
      <c r="C24344" t="s">
        <v>22300</v>
      </c>
      <c r="D24344" t="s">
        <v>67587</v>
      </c>
      <c r="E24344" t="b">
        <v>0</v>
      </c>
      <c r="F24344" t="s">
        <v>11610</v>
      </c>
      <c r="L24344">
        <v>0</v>
      </c>
      <c r="M24344">
        <v>0</v>
      </c>
      <c r="N24344">
        <v>0</v>
      </c>
    </row>
    <row r="24345" spans="1:15">
      <c r="A24345" t="s">
        <v>67588</v>
      </c>
      <c r="B24345" t="s">
        <v>5126</v>
      </c>
      <c r="C24345" t="s">
        <v>29752</v>
      </c>
      <c r="D24345" t="s">
        <v>67589</v>
      </c>
      <c r="E24345" t="b">
        <v>0</v>
      </c>
      <c r="F24345" t="s">
        <v>11610</v>
      </c>
      <c r="L24345">
        <v>0</v>
      </c>
      <c r="M24345">
        <v>0</v>
      </c>
      <c r="N24345">
        <v>0</v>
      </c>
    </row>
    <row r="24346" spans="1:15">
      <c r="A24346" t="s">
        <v>67590</v>
      </c>
      <c r="B24346" t="s">
        <v>11644</v>
      </c>
      <c r="C24346" t="s">
        <v>31538</v>
      </c>
      <c r="D24346" t="s">
        <v>67591</v>
      </c>
      <c r="E24346" t="b">
        <v>0</v>
      </c>
      <c r="F24346" t="s">
        <v>11610</v>
      </c>
      <c r="G24346">
        <v>34.807715000000002</v>
      </c>
      <c r="H24346">
        <v>113.639374</v>
      </c>
      <c r="L24346">
        <v>0</v>
      </c>
      <c r="M24346">
        <v>0</v>
      </c>
      <c r="N24346">
        <v>0</v>
      </c>
    </row>
    <row r="24347" spans="1:15">
      <c r="A24347" t="s">
        <v>67592</v>
      </c>
      <c r="B24347" t="s">
        <v>11644</v>
      </c>
      <c r="C24347" t="s">
        <v>22852</v>
      </c>
      <c r="D24347" t="s">
        <v>67593</v>
      </c>
      <c r="E24347" t="b">
        <v>0</v>
      </c>
      <c r="F24347" t="s">
        <v>11610</v>
      </c>
      <c r="G24347">
        <v>25.247498700000001</v>
      </c>
      <c r="H24347">
        <v>119.2778522</v>
      </c>
      <c r="L24347">
        <v>0</v>
      </c>
      <c r="M24347">
        <v>0</v>
      </c>
      <c r="N24347">
        <v>0</v>
      </c>
    </row>
    <row r="24348" spans="1:15">
      <c r="A24348" t="s">
        <v>67594</v>
      </c>
      <c r="B24348" t="s">
        <v>11644</v>
      </c>
      <c r="C24348" t="s">
        <v>24289</v>
      </c>
      <c r="D24348" t="s">
        <v>67595</v>
      </c>
      <c r="E24348" t="b">
        <v>0</v>
      </c>
      <c r="F24348" t="s">
        <v>11610</v>
      </c>
      <c r="L24348">
        <v>0</v>
      </c>
      <c r="M24348">
        <v>0</v>
      </c>
      <c r="N24348">
        <v>0</v>
      </c>
    </row>
    <row r="24349" spans="1:15">
      <c r="A24349" t="s">
        <v>67596</v>
      </c>
      <c r="B24349" t="s">
        <v>6742</v>
      </c>
      <c r="C24349" t="s">
        <v>23434</v>
      </c>
      <c r="D24349" t="s">
        <v>67597</v>
      </c>
      <c r="E24349" t="b">
        <v>0</v>
      </c>
      <c r="F24349" t="s">
        <v>11624</v>
      </c>
      <c r="G24349">
        <v>9.5500000000000007</v>
      </c>
      <c r="H24349">
        <v>7.93</v>
      </c>
      <c r="I24349" t="s">
        <v>67598</v>
      </c>
      <c r="L24349">
        <v>0</v>
      </c>
      <c r="M24349">
        <v>0</v>
      </c>
      <c r="N24349">
        <v>0</v>
      </c>
      <c r="O24349" t="s">
        <v>11693</v>
      </c>
    </row>
    <row r="24350" spans="1:15">
      <c r="A24350" t="s">
        <v>67599</v>
      </c>
      <c r="B24350" t="s">
        <v>6742</v>
      </c>
      <c r="C24350" t="s">
        <v>12304</v>
      </c>
      <c r="D24350" t="s">
        <v>67600</v>
      </c>
      <c r="E24350" t="b">
        <v>0</v>
      </c>
      <c r="F24350" t="s">
        <v>11624</v>
      </c>
      <c r="G24350">
        <v>6.5361399999999996</v>
      </c>
      <c r="H24350">
        <v>10.166510000000001</v>
      </c>
      <c r="I24350" t="s">
        <v>67601</v>
      </c>
      <c r="L24350">
        <v>0</v>
      </c>
      <c r="M24350">
        <v>0</v>
      </c>
      <c r="N24350">
        <v>0</v>
      </c>
      <c r="O24350" t="s">
        <v>11703</v>
      </c>
    </row>
    <row r="24351" spans="1:15">
      <c r="A24351" t="s">
        <v>67602</v>
      </c>
      <c r="B24351" t="s">
        <v>11644</v>
      </c>
      <c r="C24351" t="s">
        <v>15992</v>
      </c>
      <c r="D24351" t="s">
        <v>67603</v>
      </c>
      <c r="E24351" t="b">
        <v>0</v>
      </c>
      <c r="F24351" t="s">
        <v>11624</v>
      </c>
      <c r="G24351">
        <v>32.43582</v>
      </c>
      <c r="H24351">
        <v>103.44179</v>
      </c>
      <c r="L24351">
        <v>0</v>
      </c>
      <c r="M24351">
        <v>0</v>
      </c>
      <c r="N24351">
        <v>0</v>
      </c>
      <c r="O24351" t="s">
        <v>11905</v>
      </c>
    </row>
    <row r="24352" spans="1:15">
      <c r="A24352" t="s">
        <v>25563</v>
      </c>
      <c r="B24352" t="s">
        <v>11644</v>
      </c>
      <c r="C24352" t="s">
        <v>24102</v>
      </c>
      <c r="D24352" t="s">
        <v>67604</v>
      </c>
      <c r="E24352" t="b">
        <v>0</v>
      </c>
      <c r="F24352" t="s">
        <v>11622</v>
      </c>
      <c r="L24352">
        <v>0</v>
      </c>
      <c r="M24352">
        <v>2</v>
      </c>
      <c r="N24352">
        <v>3</v>
      </c>
    </row>
    <row r="24353" spans="1:15">
      <c r="A24353" t="s">
        <v>67605</v>
      </c>
      <c r="B24353" t="s">
        <v>11644</v>
      </c>
      <c r="C24353" t="s">
        <v>23315</v>
      </c>
      <c r="D24353" t="s">
        <v>67606</v>
      </c>
      <c r="E24353" t="b">
        <v>0</v>
      </c>
      <c r="F24353" t="s">
        <v>11610</v>
      </c>
      <c r="L24353">
        <v>0</v>
      </c>
      <c r="M24353">
        <v>0</v>
      </c>
      <c r="N24353">
        <v>0</v>
      </c>
    </row>
    <row r="24354" spans="1:15">
      <c r="A24354" t="s">
        <v>40629</v>
      </c>
      <c r="B24354" t="s">
        <v>11644</v>
      </c>
      <c r="C24354" t="s">
        <v>22300</v>
      </c>
      <c r="D24354" t="s">
        <v>67607</v>
      </c>
      <c r="E24354" t="b">
        <v>0</v>
      </c>
      <c r="F24354" t="s">
        <v>11610</v>
      </c>
      <c r="L24354">
        <v>0</v>
      </c>
      <c r="M24354">
        <v>0</v>
      </c>
      <c r="N24354">
        <v>3</v>
      </c>
    </row>
    <row r="24355" spans="1:15">
      <c r="A24355" t="s">
        <v>67608</v>
      </c>
      <c r="B24355" t="s">
        <v>11644</v>
      </c>
      <c r="C24355" t="s">
        <v>21072</v>
      </c>
      <c r="D24355" t="s">
        <v>67609</v>
      </c>
      <c r="E24355" t="b">
        <v>0</v>
      </c>
      <c r="F24355" t="s">
        <v>11610</v>
      </c>
      <c r="L24355">
        <v>0</v>
      </c>
      <c r="M24355">
        <v>0</v>
      </c>
      <c r="N24355">
        <v>0</v>
      </c>
    </row>
    <row r="24356" spans="1:15">
      <c r="A24356" t="s">
        <v>67610</v>
      </c>
      <c r="B24356" t="s">
        <v>11644</v>
      </c>
      <c r="C24356" t="s">
        <v>23930</v>
      </c>
      <c r="D24356" t="s">
        <v>67611</v>
      </c>
      <c r="E24356" t="b">
        <v>0</v>
      </c>
      <c r="F24356" t="s">
        <v>11610</v>
      </c>
      <c r="G24356">
        <v>25.895863299999998</v>
      </c>
      <c r="H24356">
        <v>100.0987848</v>
      </c>
      <c r="L24356">
        <v>0</v>
      </c>
      <c r="M24356">
        <v>0</v>
      </c>
      <c r="N24356">
        <v>0</v>
      </c>
    </row>
    <row r="24357" spans="1:15">
      <c r="A24357" t="s">
        <v>67612</v>
      </c>
      <c r="B24357" t="s">
        <v>11644</v>
      </c>
      <c r="C24357" t="s">
        <v>47825</v>
      </c>
      <c r="D24357" t="s">
        <v>67613</v>
      </c>
      <c r="E24357" t="b">
        <v>0</v>
      </c>
      <c r="F24357" t="s">
        <v>11610</v>
      </c>
      <c r="L24357">
        <v>0</v>
      </c>
      <c r="M24357">
        <v>0</v>
      </c>
      <c r="N24357">
        <v>0</v>
      </c>
    </row>
    <row r="24358" spans="1:15">
      <c r="A24358" t="s">
        <v>43447</v>
      </c>
      <c r="B24358" t="s">
        <v>11615</v>
      </c>
      <c r="C24358" t="s">
        <v>48765</v>
      </c>
      <c r="D24358" t="s">
        <v>67614</v>
      </c>
      <c r="E24358" t="b">
        <v>0</v>
      </c>
      <c r="F24358" t="s">
        <v>11624</v>
      </c>
      <c r="G24358">
        <v>-7.9581400000000002</v>
      </c>
      <c r="H24358">
        <v>147.57900000000001</v>
      </c>
      <c r="I24358" t="s">
        <v>67615</v>
      </c>
      <c r="L24358">
        <v>0</v>
      </c>
      <c r="M24358">
        <v>0</v>
      </c>
      <c r="N24358">
        <v>2</v>
      </c>
      <c r="O24358" t="s">
        <v>11660</v>
      </c>
    </row>
    <row r="24359" spans="1:15">
      <c r="A24359" t="s">
        <v>67616</v>
      </c>
      <c r="B24359" t="s">
        <v>10368</v>
      </c>
      <c r="C24359" t="s">
        <v>23239</v>
      </c>
      <c r="D24359" t="s">
        <v>67617</v>
      </c>
      <c r="E24359" t="b">
        <v>0</v>
      </c>
      <c r="F24359" t="s">
        <v>11610</v>
      </c>
      <c r="L24359">
        <v>0</v>
      </c>
      <c r="M24359">
        <v>0</v>
      </c>
      <c r="N24359">
        <v>0</v>
      </c>
    </row>
    <row r="24360" spans="1:15">
      <c r="A24360" t="s">
        <v>67618</v>
      </c>
      <c r="B24360" t="s">
        <v>13276</v>
      </c>
      <c r="C24360" t="s">
        <v>16566</v>
      </c>
      <c r="D24360" t="s">
        <v>67619</v>
      </c>
      <c r="E24360" t="b">
        <v>0</v>
      </c>
      <c r="F24360" t="s">
        <v>11624</v>
      </c>
      <c r="G24360">
        <v>8.43</v>
      </c>
      <c r="H24360">
        <v>-9.51</v>
      </c>
      <c r="I24360" t="s">
        <v>67620</v>
      </c>
      <c r="L24360">
        <v>0</v>
      </c>
      <c r="M24360">
        <v>0</v>
      </c>
      <c r="N24360">
        <v>0</v>
      </c>
      <c r="O24360" t="s">
        <v>17011</v>
      </c>
    </row>
    <row r="24361" spans="1:15">
      <c r="A24361" t="s">
        <v>67621</v>
      </c>
      <c r="B24361" t="s">
        <v>6742</v>
      </c>
      <c r="C24361" t="s">
        <v>31814</v>
      </c>
      <c r="D24361" t="s">
        <v>67622</v>
      </c>
      <c r="E24361" t="b">
        <v>0</v>
      </c>
      <c r="F24361" t="s">
        <v>11610</v>
      </c>
      <c r="L24361">
        <v>0</v>
      </c>
      <c r="M24361">
        <v>0</v>
      </c>
      <c r="N24361">
        <v>0</v>
      </c>
    </row>
    <row r="24362" spans="1:15">
      <c r="A24362" t="s">
        <v>67623</v>
      </c>
      <c r="B24362" t="s">
        <v>12311</v>
      </c>
      <c r="C24362" t="s">
        <v>19720</v>
      </c>
      <c r="D24362" t="s">
        <v>67624</v>
      </c>
      <c r="E24362" t="b">
        <v>0</v>
      </c>
      <c r="F24362" t="s">
        <v>11610</v>
      </c>
      <c r="L24362">
        <v>0</v>
      </c>
      <c r="M24362">
        <v>0</v>
      </c>
      <c r="N24362">
        <v>0</v>
      </c>
    </row>
    <row r="24363" spans="1:15">
      <c r="A24363" t="s">
        <v>67625</v>
      </c>
      <c r="B24363" t="s">
        <v>6742</v>
      </c>
      <c r="C24363" t="s">
        <v>18216</v>
      </c>
      <c r="D24363" t="s">
        <v>67626</v>
      </c>
      <c r="E24363" t="b">
        <v>0</v>
      </c>
      <c r="F24363" t="s">
        <v>11610</v>
      </c>
      <c r="L24363">
        <v>0</v>
      </c>
      <c r="M24363">
        <v>0</v>
      </c>
      <c r="N24363">
        <v>0</v>
      </c>
    </row>
    <row r="24364" spans="1:15">
      <c r="A24364" t="s">
        <v>67627</v>
      </c>
      <c r="B24364" t="s">
        <v>11607</v>
      </c>
      <c r="C24364" t="s">
        <v>24839</v>
      </c>
      <c r="D24364" t="s">
        <v>67628</v>
      </c>
      <c r="E24364" t="b">
        <v>0</v>
      </c>
      <c r="F24364" t="s">
        <v>11610</v>
      </c>
      <c r="L24364">
        <v>0</v>
      </c>
      <c r="M24364">
        <v>0</v>
      </c>
      <c r="N24364">
        <v>0</v>
      </c>
    </row>
    <row r="24365" spans="1:15">
      <c r="A24365" t="s">
        <v>67629</v>
      </c>
      <c r="B24365" t="s">
        <v>13276</v>
      </c>
      <c r="C24365" t="s">
        <v>20281</v>
      </c>
      <c r="D24365" t="s">
        <v>67630</v>
      </c>
      <c r="E24365" t="b">
        <v>0</v>
      </c>
      <c r="F24365" t="s">
        <v>11610</v>
      </c>
      <c r="L24365">
        <v>0</v>
      </c>
      <c r="M24365">
        <v>0</v>
      </c>
      <c r="N24365">
        <v>0</v>
      </c>
    </row>
    <row r="24366" spans="1:15">
      <c r="A24366" t="s">
        <v>67631</v>
      </c>
      <c r="B24366" t="s">
        <v>6742</v>
      </c>
      <c r="C24366" t="s">
        <v>45943</v>
      </c>
      <c r="D24366" t="s">
        <v>67632</v>
      </c>
      <c r="E24366" t="b">
        <v>0</v>
      </c>
      <c r="F24366" t="s">
        <v>11610</v>
      </c>
      <c r="G24366">
        <v>-5.6186400000000001</v>
      </c>
      <c r="H24366">
        <v>38.4114</v>
      </c>
      <c r="L24366">
        <v>0</v>
      </c>
      <c r="M24366">
        <v>0</v>
      </c>
      <c r="N24366">
        <v>0</v>
      </c>
      <c r="O24366" t="s">
        <v>11635</v>
      </c>
    </row>
    <row r="24367" spans="1:15">
      <c r="A24367" t="s">
        <v>47557</v>
      </c>
      <c r="B24367" t="s">
        <v>6742</v>
      </c>
      <c r="C24367" t="s">
        <v>19434</v>
      </c>
      <c r="D24367" t="s">
        <v>67633</v>
      </c>
      <c r="E24367" t="b">
        <v>0</v>
      </c>
      <c r="F24367" t="s">
        <v>11622</v>
      </c>
      <c r="L24367">
        <v>0</v>
      </c>
      <c r="M24367">
        <v>2</v>
      </c>
      <c r="N24367">
        <v>2</v>
      </c>
    </row>
    <row r="24368" spans="1:15">
      <c r="A24368" t="s">
        <v>45943</v>
      </c>
      <c r="B24368" t="s">
        <v>6742</v>
      </c>
      <c r="C24368" t="s">
        <v>47557</v>
      </c>
      <c r="D24368" t="s">
        <v>67634</v>
      </c>
      <c r="E24368" t="b">
        <v>0</v>
      </c>
      <c r="F24368" t="s">
        <v>11624</v>
      </c>
      <c r="G24368">
        <v>-5.6186400000000001</v>
      </c>
      <c r="H24368">
        <v>38.411380000000001</v>
      </c>
      <c r="I24368" t="s">
        <v>67635</v>
      </c>
      <c r="L24368">
        <v>0</v>
      </c>
      <c r="M24368">
        <v>0</v>
      </c>
      <c r="N24368">
        <v>2</v>
      </c>
      <c r="O24368" t="s">
        <v>11635</v>
      </c>
    </row>
    <row r="24369" spans="1:15">
      <c r="A24369" t="s">
        <v>67636</v>
      </c>
      <c r="B24369" t="s">
        <v>21317</v>
      </c>
      <c r="C24369" t="s">
        <v>66190</v>
      </c>
      <c r="D24369" t="s">
        <v>67637</v>
      </c>
      <c r="E24369" t="b">
        <v>0</v>
      </c>
      <c r="F24369" t="s">
        <v>11610</v>
      </c>
      <c r="L24369">
        <v>0</v>
      </c>
      <c r="M24369">
        <v>0</v>
      </c>
      <c r="N24369">
        <v>0</v>
      </c>
    </row>
    <row r="24370" spans="1:15">
      <c r="A24370" t="s">
        <v>67638</v>
      </c>
      <c r="B24370" t="s">
        <v>11879</v>
      </c>
      <c r="C24370" t="s">
        <v>31657</v>
      </c>
      <c r="D24370" t="s">
        <v>67639</v>
      </c>
      <c r="E24370" t="b">
        <v>0</v>
      </c>
      <c r="F24370" t="s">
        <v>11610</v>
      </c>
      <c r="L24370">
        <v>0</v>
      </c>
      <c r="M24370">
        <v>0</v>
      </c>
      <c r="N24370">
        <v>0</v>
      </c>
    </row>
    <row r="24371" spans="1:15">
      <c r="A24371" t="s">
        <v>67640</v>
      </c>
      <c r="B24371" t="s">
        <v>15569</v>
      </c>
      <c r="C24371" t="s">
        <v>16268</v>
      </c>
      <c r="D24371" t="s">
        <v>67641</v>
      </c>
      <c r="E24371" t="b">
        <v>0</v>
      </c>
      <c r="F24371" t="s">
        <v>11610</v>
      </c>
      <c r="L24371">
        <v>0</v>
      </c>
      <c r="M24371">
        <v>0</v>
      </c>
      <c r="N24371">
        <v>0</v>
      </c>
    </row>
    <row r="24372" spans="1:15">
      <c r="A24372" t="s">
        <v>67642</v>
      </c>
      <c r="B24372" t="s">
        <v>12311</v>
      </c>
      <c r="C24372" t="s">
        <v>13726</v>
      </c>
      <c r="D24372" t="s">
        <v>67643</v>
      </c>
      <c r="E24372" t="b">
        <v>0</v>
      </c>
      <c r="F24372" t="s">
        <v>11610</v>
      </c>
      <c r="L24372">
        <v>0</v>
      </c>
      <c r="M24372">
        <v>0</v>
      </c>
      <c r="N24372">
        <v>0</v>
      </c>
    </row>
    <row r="24373" spans="1:15">
      <c r="A24373" t="s">
        <v>15895</v>
      </c>
      <c r="B24373" t="s">
        <v>11794</v>
      </c>
      <c r="C24373" t="s">
        <v>19004</v>
      </c>
      <c r="D24373" t="s">
        <v>67644</v>
      </c>
      <c r="E24373" t="b">
        <v>0</v>
      </c>
      <c r="F24373" t="s">
        <v>11624</v>
      </c>
      <c r="G24373">
        <v>-7.3700999999999999</v>
      </c>
      <c r="H24373">
        <v>141.452</v>
      </c>
      <c r="I24373" t="s">
        <v>67645</v>
      </c>
      <c r="L24373">
        <v>0</v>
      </c>
      <c r="M24373">
        <v>0</v>
      </c>
      <c r="N24373">
        <v>3</v>
      </c>
      <c r="O24373" t="s">
        <v>11660</v>
      </c>
    </row>
    <row r="24374" spans="1:15">
      <c r="A24374" t="s">
        <v>67646</v>
      </c>
      <c r="B24374" t="s">
        <v>11981</v>
      </c>
      <c r="C24374" t="s">
        <v>42649</v>
      </c>
      <c r="D24374" t="s">
        <v>67647</v>
      </c>
      <c r="E24374" t="b">
        <v>0</v>
      </c>
      <c r="F24374" t="s">
        <v>11610</v>
      </c>
      <c r="L24374">
        <v>0</v>
      </c>
      <c r="M24374">
        <v>0</v>
      </c>
      <c r="N24374">
        <v>0</v>
      </c>
    </row>
    <row r="24375" spans="1:15">
      <c r="A24375" t="s">
        <v>42649</v>
      </c>
      <c r="B24375" t="s">
        <v>11981</v>
      </c>
      <c r="C24375" t="s">
        <v>12200</v>
      </c>
      <c r="D24375" t="s">
        <v>67648</v>
      </c>
      <c r="E24375" t="b">
        <v>0</v>
      </c>
      <c r="F24375" t="s">
        <v>11624</v>
      </c>
      <c r="G24375">
        <v>-17.912800000000001</v>
      </c>
      <c r="H24375">
        <v>31.021599999999999</v>
      </c>
      <c r="I24375" t="s">
        <v>67649</v>
      </c>
      <c r="L24375">
        <v>0</v>
      </c>
      <c r="M24375">
        <v>0</v>
      </c>
      <c r="N24375">
        <v>7</v>
      </c>
      <c r="O24375" t="s">
        <v>25192</v>
      </c>
    </row>
    <row r="24376" spans="1:15">
      <c r="A24376" t="s">
        <v>67650</v>
      </c>
      <c r="B24376" t="s">
        <v>11981</v>
      </c>
      <c r="C24376" t="s">
        <v>42649</v>
      </c>
      <c r="D24376" t="s">
        <v>67651</v>
      </c>
      <c r="E24376" t="b">
        <v>0</v>
      </c>
      <c r="F24376" t="s">
        <v>11610</v>
      </c>
      <c r="L24376">
        <v>0</v>
      </c>
      <c r="M24376">
        <v>0</v>
      </c>
      <c r="N24376">
        <v>0</v>
      </c>
    </row>
    <row r="24377" spans="1:15">
      <c r="A24377" t="s">
        <v>18709</v>
      </c>
      <c r="B24377" t="s">
        <v>6742</v>
      </c>
      <c r="C24377" t="s">
        <v>27280</v>
      </c>
      <c r="D24377" t="s">
        <v>67652</v>
      </c>
      <c r="E24377" t="b">
        <v>0</v>
      </c>
      <c r="F24377" t="s">
        <v>11624</v>
      </c>
      <c r="G24377">
        <v>-4.0129999999999999</v>
      </c>
      <c r="H24377">
        <v>26.6083</v>
      </c>
      <c r="I24377" t="s">
        <v>67653</v>
      </c>
      <c r="L24377">
        <v>0</v>
      </c>
      <c r="M24377">
        <v>0</v>
      </c>
      <c r="N24377">
        <v>5</v>
      </c>
      <c r="O24377" t="s">
        <v>14825</v>
      </c>
    </row>
    <row r="24378" spans="1:15">
      <c r="A24378" t="s">
        <v>67654</v>
      </c>
      <c r="B24378" t="s">
        <v>11607</v>
      </c>
      <c r="C24378" t="s">
        <v>33533</v>
      </c>
      <c r="D24378" t="s">
        <v>67655</v>
      </c>
      <c r="E24378" t="b">
        <v>0</v>
      </c>
      <c r="F24378" t="s">
        <v>11610</v>
      </c>
      <c r="L24378">
        <v>0</v>
      </c>
      <c r="M24378">
        <v>0</v>
      </c>
      <c r="N24378">
        <v>0</v>
      </c>
    </row>
    <row r="24379" spans="1:15">
      <c r="A24379" t="s">
        <v>67656</v>
      </c>
      <c r="B24379" t="s">
        <v>6742</v>
      </c>
      <c r="C24379" t="s">
        <v>25251</v>
      </c>
      <c r="D24379" t="s">
        <v>67657</v>
      </c>
      <c r="E24379" t="b">
        <v>0</v>
      </c>
      <c r="F24379" t="s">
        <v>11610</v>
      </c>
      <c r="L24379">
        <v>0</v>
      </c>
      <c r="M24379">
        <v>0</v>
      </c>
      <c r="N24379">
        <v>0</v>
      </c>
    </row>
    <row r="24380" spans="1:15">
      <c r="A24380" t="s">
        <v>38067</v>
      </c>
      <c r="B24380" t="s">
        <v>6742</v>
      </c>
      <c r="C24380" t="s">
        <v>35935</v>
      </c>
      <c r="D24380" t="s">
        <v>67658</v>
      </c>
      <c r="E24380" t="b">
        <v>0</v>
      </c>
      <c r="F24380" t="s">
        <v>11624</v>
      </c>
      <c r="G24380">
        <v>-2.6413199999999999</v>
      </c>
      <c r="H24380">
        <v>32.1755</v>
      </c>
      <c r="I24380" t="s">
        <v>67659</v>
      </c>
      <c r="L24380">
        <v>0</v>
      </c>
      <c r="M24380">
        <v>0</v>
      </c>
      <c r="N24380">
        <v>2</v>
      </c>
      <c r="O24380" t="s">
        <v>11635</v>
      </c>
    </row>
    <row r="24381" spans="1:15">
      <c r="A24381" t="s">
        <v>67660</v>
      </c>
      <c r="B24381" t="s">
        <v>11607</v>
      </c>
      <c r="C24381" t="s">
        <v>28437</v>
      </c>
      <c r="D24381" t="s">
        <v>67661</v>
      </c>
      <c r="E24381" t="b">
        <v>0</v>
      </c>
      <c r="F24381" t="s">
        <v>11610</v>
      </c>
      <c r="L24381">
        <v>0</v>
      </c>
      <c r="M24381">
        <v>0</v>
      </c>
      <c r="N24381">
        <v>0</v>
      </c>
    </row>
    <row r="24382" spans="1:15">
      <c r="A24382" t="s">
        <v>67662</v>
      </c>
      <c r="B24382" t="s">
        <v>11637</v>
      </c>
      <c r="C24382" t="s">
        <v>16090</v>
      </c>
      <c r="D24382" t="s">
        <v>67663</v>
      </c>
      <c r="E24382" t="b">
        <v>0</v>
      </c>
      <c r="F24382" t="s">
        <v>11610</v>
      </c>
      <c r="L24382">
        <v>0</v>
      </c>
      <c r="M24382">
        <v>0</v>
      </c>
      <c r="N24382">
        <v>0</v>
      </c>
    </row>
    <row r="24383" spans="1:15">
      <c r="A24383" t="s">
        <v>67664</v>
      </c>
      <c r="B24383" t="s">
        <v>367</v>
      </c>
      <c r="C24383" t="s">
        <v>31487</v>
      </c>
      <c r="D24383" t="s">
        <v>67665</v>
      </c>
      <c r="E24383" t="b">
        <v>0</v>
      </c>
      <c r="F24383" t="s">
        <v>11624</v>
      </c>
      <c r="G24383">
        <v>-21.654399999999999</v>
      </c>
      <c r="H24383">
        <v>165.482</v>
      </c>
      <c r="I24383" t="s">
        <v>67666</v>
      </c>
      <c r="L24383">
        <v>0</v>
      </c>
      <c r="M24383">
        <v>0</v>
      </c>
      <c r="N24383">
        <v>0</v>
      </c>
      <c r="O24383" t="s">
        <v>12624</v>
      </c>
    </row>
    <row r="24384" spans="1:15">
      <c r="A24384" t="s">
        <v>67667</v>
      </c>
      <c r="B24384" t="s">
        <v>11607</v>
      </c>
      <c r="C24384" t="s">
        <v>34248</v>
      </c>
      <c r="D24384" t="s">
        <v>67668</v>
      </c>
      <c r="E24384" t="b">
        <v>0</v>
      </c>
      <c r="F24384" t="s">
        <v>11624</v>
      </c>
      <c r="G24384">
        <v>12.227499999999999</v>
      </c>
      <c r="H24384">
        <v>18.537400000000002</v>
      </c>
      <c r="I24384" t="s">
        <v>67669</v>
      </c>
      <c r="L24384">
        <v>0</v>
      </c>
      <c r="M24384">
        <v>0</v>
      </c>
      <c r="N24384">
        <v>0</v>
      </c>
      <c r="O24384" t="s">
        <v>13421</v>
      </c>
    </row>
    <row r="24385" spans="1:15">
      <c r="A24385" t="s">
        <v>67670</v>
      </c>
      <c r="B24385" t="s">
        <v>6742</v>
      </c>
      <c r="C24385" t="s">
        <v>56869</v>
      </c>
      <c r="D24385" t="s">
        <v>67671</v>
      </c>
      <c r="E24385" t="b">
        <v>0</v>
      </c>
      <c r="F24385" t="s">
        <v>11624</v>
      </c>
      <c r="G24385">
        <v>10.521800000000001</v>
      </c>
      <c r="H24385">
        <v>8.7279199999999992</v>
      </c>
      <c r="I24385" t="s">
        <v>67672</v>
      </c>
      <c r="L24385">
        <v>0</v>
      </c>
      <c r="M24385">
        <v>0</v>
      </c>
      <c r="N24385">
        <v>0</v>
      </c>
      <c r="O24385" t="s">
        <v>11693</v>
      </c>
    </row>
    <row r="24386" spans="1:15">
      <c r="A24386" t="s">
        <v>67673</v>
      </c>
      <c r="B24386" t="s">
        <v>11644</v>
      </c>
      <c r="C24386" t="s">
        <v>12404</v>
      </c>
      <c r="D24386" t="s">
        <v>67674</v>
      </c>
      <c r="E24386" t="b">
        <v>0</v>
      </c>
      <c r="F24386" t="s">
        <v>11610</v>
      </c>
      <c r="L24386">
        <v>0</v>
      </c>
      <c r="M24386">
        <v>0</v>
      </c>
      <c r="N24386">
        <v>0</v>
      </c>
    </row>
    <row r="24387" spans="1:15">
      <c r="A24387" t="s">
        <v>67675</v>
      </c>
      <c r="B24387" t="s">
        <v>11615</v>
      </c>
      <c r="C24387" t="s">
        <v>13558</v>
      </c>
      <c r="D24387" t="s">
        <v>67676</v>
      </c>
      <c r="E24387" t="b">
        <v>0</v>
      </c>
      <c r="F24387" t="s">
        <v>11610</v>
      </c>
      <c r="L24387">
        <v>0</v>
      </c>
      <c r="M24387">
        <v>0</v>
      </c>
      <c r="N24387">
        <v>0</v>
      </c>
    </row>
    <row r="24388" spans="1:15">
      <c r="A24388" t="s">
        <v>67677</v>
      </c>
      <c r="B24388" t="s">
        <v>11607</v>
      </c>
      <c r="C24388" t="s">
        <v>27674</v>
      </c>
      <c r="D24388" t="s">
        <v>67678</v>
      </c>
      <c r="E24388" t="b">
        <v>0</v>
      </c>
      <c r="F24388" t="s">
        <v>11624</v>
      </c>
      <c r="G24388">
        <v>10.4689</v>
      </c>
      <c r="H24388">
        <v>13.523300000000001</v>
      </c>
      <c r="I24388" t="s">
        <v>67679</v>
      </c>
      <c r="L24388">
        <v>0</v>
      </c>
      <c r="M24388">
        <v>0</v>
      </c>
      <c r="N24388">
        <v>0</v>
      </c>
      <c r="O24388" t="s">
        <v>11802</v>
      </c>
    </row>
    <row r="24389" spans="1:15">
      <c r="A24389" t="s">
        <v>67680</v>
      </c>
      <c r="B24389" t="s">
        <v>11644</v>
      </c>
      <c r="C24389" t="s">
        <v>25390</v>
      </c>
      <c r="D24389" t="s">
        <v>67681</v>
      </c>
      <c r="E24389" t="b">
        <v>0</v>
      </c>
      <c r="F24389" t="s">
        <v>11624</v>
      </c>
      <c r="L24389">
        <v>0</v>
      </c>
      <c r="M24389">
        <v>0</v>
      </c>
      <c r="N24389">
        <v>0</v>
      </c>
      <c r="O24389" t="s">
        <v>11905</v>
      </c>
    </row>
    <row r="24390" spans="1:15">
      <c r="A24390" t="s">
        <v>67682</v>
      </c>
      <c r="B24390" t="s">
        <v>11607</v>
      </c>
      <c r="C24390" t="s">
        <v>50119</v>
      </c>
      <c r="D24390" t="s">
        <v>67683</v>
      </c>
      <c r="E24390" t="b">
        <v>0</v>
      </c>
      <c r="F24390" t="s">
        <v>11610</v>
      </c>
      <c r="L24390">
        <v>0</v>
      </c>
      <c r="M24390">
        <v>0</v>
      </c>
      <c r="N24390">
        <v>0</v>
      </c>
    </row>
    <row r="24391" spans="1:15">
      <c r="A24391" t="s">
        <v>67684</v>
      </c>
      <c r="B24391" t="s">
        <v>11912</v>
      </c>
      <c r="C24391" t="s">
        <v>27128</v>
      </c>
      <c r="D24391" t="s">
        <v>67685</v>
      </c>
      <c r="E24391" t="b">
        <v>0</v>
      </c>
      <c r="F24391" t="s">
        <v>11624</v>
      </c>
      <c r="G24391">
        <v>-1.7720800000000001</v>
      </c>
      <c r="H24391">
        <v>-55.507460000000002</v>
      </c>
      <c r="I24391" t="s">
        <v>67686</v>
      </c>
      <c r="L24391">
        <v>0</v>
      </c>
      <c r="M24391">
        <v>0</v>
      </c>
      <c r="N24391">
        <v>0</v>
      </c>
      <c r="O24391" t="s">
        <v>11969</v>
      </c>
    </row>
    <row r="24392" spans="1:15">
      <c r="A24392" t="s">
        <v>27128</v>
      </c>
      <c r="B24392" t="s">
        <v>11912</v>
      </c>
      <c r="C24392" t="s">
        <v>64818</v>
      </c>
      <c r="D24392" t="s">
        <v>67687</v>
      </c>
      <c r="E24392" t="b">
        <v>0</v>
      </c>
      <c r="F24392" t="s">
        <v>11622</v>
      </c>
      <c r="L24392">
        <v>0</v>
      </c>
      <c r="M24392">
        <v>2</v>
      </c>
      <c r="N24392">
        <v>0</v>
      </c>
    </row>
    <row r="24393" spans="1:15">
      <c r="A24393" t="s">
        <v>67688</v>
      </c>
      <c r="B24393" t="s">
        <v>11637</v>
      </c>
      <c r="C24393" t="s">
        <v>12509</v>
      </c>
      <c r="D24393" t="s">
        <v>67689</v>
      </c>
      <c r="E24393" t="b">
        <v>0</v>
      </c>
      <c r="F24393" t="s">
        <v>11610</v>
      </c>
      <c r="L24393">
        <v>0</v>
      </c>
      <c r="M24393">
        <v>0</v>
      </c>
      <c r="N24393">
        <v>0</v>
      </c>
    </row>
    <row r="24394" spans="1:15">
      <c r="A24394" t="s">
        <v>67690</v>
      </c>
      <c r="B24394" t="s">
        <v>11644</v>
      </c>
      <c r="C24394" t="s">
        <v>36254</v>
      </c>
      <c r="D24394" t="s">
        <v>67691</v>
      </c>
      <c r="E24394" t="b">
        <v>0</v>
      </c>
      <c r="F24394" t="s">
        <v>11624</v>
      </c>
      <c r="G24394">
        <v>23.8</v>
      </c>
      <c r="H24394">
        <v>104.8</v>
      </c>
      <c r="I24394" t="s">
        <v>67692</v>
      </c>
      <c r="L24394">
        <v>0</v>
      </c>
      <c r="M24394">
        <v>0</v>
      </c>
      <c r="N24394">
        <v>0</v>
      </c>
      <c r="O24394" t="s">
        <v>11905</v>
      </c>
    </row>
    <row r="24395" spans="1:15">
      <c r="A24395" t="s">
        <v>67693</v>
      </c>
      <c r="B24395" t="s">
        <v>11644</v>
      </c>
      <c r="C24395" t="s">
        <v>30590</v>
      </c>
      <c r="D24395" t="s">
        <v>67694</v>
      </c>
      <c r="E24395" t="b">
        <v>0</v>
      </c>
      <c r="F24395" t="s">
        <v>11610</v>
      </c>
      <c r="L24395">
        <v>0</v>
      </c>
      <c r="M24395">
        <v>0</v>
      </c>
      <c r="N24395">
        <v>0</v>
      </c>
    </row>
    <row r="24396" spans="1:15">
      <c r="A24396" t="s">
        <v>67695</v>
      </c>
      <c r="B24396" t="s">
        <v>6742</v>
      </c>
      <c r="C24396" t="s">
        <v>49522</v>
      </c>
      <c r="D24396" t="s">
        <v>67696</v>
      </c>
      <c r="E24396" t="b">
        <v>0</v>
      </c>
      <c r="F24396" t="s">
        <v>11610</v>
      </c>
      <c r="L24396">
        <v>0</v>
      </c>
      <c r="M24396">
        <v>0</v>
      </c>
      <c r="N24396">
        <v>0</v>
      </c>
    </row>
    <row r="24397" spans="1:15">
      <c r="A24397" t="s">
        <v>67697</v>
      </c>
      <c r="B24397" t="s">
        <v>11644</v>
      </c>
      <c r="C24397" t="s">
        <v>24298</v>
      </c>
      <c r="D24397" t="s">
        <v>67698</v>
      </c>
      <c r="E24397" t="b">
        <v>0</v>
      </c>
      <c r="F24397" t="s">
        <v>11610</v>
      </c>
      <c r="L24397">
        <v>0</v>
      </c>
      <c r="M24397">
        <v>0</v>
      </c>
      <c r="N24397">
        <v>0</v>
      </c>
    </row>
    <row r="24398" spans="1:15">
      <c r="A24398" t="s">
        <v>67699</v>
      </c>
      <c r="B24398" t="s">
        <v>6742</v>
      </c>
      <c r="C24398" t="s">
        <v>24069</v>
      </c>
      <c r="D24398" t="s">
        <v>67700</v>
      </c>
      <c r="E24398" t="b">
        <v>0</v>
      </c>
      <c r="F24398" t="s">
        <v>11610</v>
      </c>
      <c r="L24398">
        <v>0</v>
      </c>
      <c r="M24398">
        <v>0</v>
      </c>
      <c r="N24398">
        <v>0</v>
      </c>
    </row>
    <row r="24399" spans="1:15">
      <c r="A24399" t="s">
        <v>59578</v>
      </c>
      <c r="B24399" t="s">
        <v>11879</v>
      </c>
      <c r="C24399" t="s">
        <v>13115</v>
      </c>
      <c r="D24399" t="s">
        <v>67701</v>
      </c>
      <c r="E24399" t="b">
        <v>0</v>
      </c>
      <c r="F24399" t="s">
        <v>11624</v>
      </c>
      <c r="G24399">
        <v>17.201599999999999</v>
      </c>
      <c r="H24399">
        <v>-96.343299999999999</v>
      </c>
      <c r="I24399" t="s">
        <v>67702</v>
      </c>
      <c r="L24399">
        <v>0</v>
      </c>
      <c r="M24399">
        <v>0</v>
      </c>
      <c r="N24399">
        <v>3</v>
      </c>
      <c r="O24399" t="s">
        <v>12238</v>
      </c>
    </row>
    <row r="24400" spans="1:15">
      <c r="A24400" t="s">
        <v>67703</v>
      </c>
      <c r="B24400" t="s">
        <v>11879</v>
      </c>
      <c r="C24400" t="s">
        <v>59578</v>
      </c>
      <c r="D24400" t="s">
        <v>67704</v>
      </c>
      <c r="E24400" t="b">
        <v>0</v>
      </c>
      <c r="F24400" t="s">
        <v>11610</v>
      </c>
      <c r="L24400">
        <v>0</v>
      </c>
      <c r="M24400">
        <v>0</v>
      </c>
      <c r="N24400">
        <v>0</v>
      </c>
    </row>
    <row r="24401" spans="1:15">
      <c r="A24401" t="s">
        <v>67705</v>
      </c>
      <c r="B24401" t="s">
        <v>6742</v>
      </c>
      <c r="C24401" t="s">
        <v>41939</v>
      </c>
      <c r="D24401" t="s">
        <v>67706</v>
      </c>
      <c r="E24401" t="b">
        <v>0</v>
      </c>
      <c r="F24401" t="s">
        <v>11610</v>
      </c>
      <c r="L24401">
        <v>0</v>
      </c>
      <c r="M24401">
        <v>0</v>
      </c>
      <c r="N24401">
        <v>0</v>
      </c>
    </row>
    <row r="24402" spans="1:15">
      <c r="A24402" t="s">
        <v>22479</v>
      </c>
      <c r="B24402" t="s">
        <v>15027</v>
      </c>
      <c r="C24402" t="s">
        <v>15027</v>
      </c>
      <c r="D24402" t="s">
        <v>67707</v>
      </c>
      <c r="E24402" t="b">
        <v>0</v>
      </c>
      <c r="F24402" t="s">
        <v>11622</v>
      </c>
      <c r="L24402">
        <v>2</v>
      </c>
      <c r="M24402">
        <v>8</v>
      </c>
      <c r="N24402">
        <v>4</v>
      </c>
    </row>
    <row r="24403" spans="1:15">
      <c r="A24403" t="s">
        <v>67708</v>
      </c>
      <c r="B24403" t="s">
        <v>11637</v>
      </c>
      <c r="C24403" t="s">
        <v>46710</v>
      </c>
      <c r="D24403" t="s">
        <v>67709</v>
      </c>
      <c r="E24403" t="b">
        <v>0</v>
      </c>
      <c r="F24403" t="s">
        <v>11624</v>
      </c>
      <c r="G24403">
        <v>31.816099999999999</v>
      </c>
      <c r="H24403">
        <v>54.446899999999999</v>
      </c>
      <c r="I24403" t="s">
        <v>67710</v>
      </c>
      <c r="L24403">
        <v>0</v>
      </c>
      <c r="M24403">
        <v>0</v>
      </c>
      <c r="N24403">
        <v>0</v>
      </c>
      <c r="O24403" t="s">
        <v>13225</v>
      </c>
    </row>
    <row r="24404" spans="1:15">
      <c r="A24404" t="s">
        <v>67711</v>
      </c>
      <c r="B24404" t="s">
        <v>4236</v>
      </c>
      <c r="C24404" t="s">
        <v>38577</v>
      </c>
      <c r="D24404" t="s">
        <v>67712</v>
      </c>
      <c r="E24404" t="b">
        <v>0</v>
      </c>
      <c r="F24404" t="s">
        <v>11610</v>
      </c>
      <c r="L24404">
        <v>0</v>
      </c>
      <c r="M24404">
        <v>0</v>
      </c>
      <c r="N24404">
        <v>0</v>
      </c>
    </row>
    <row r="24405" spans="1:15">
      <c r="A24405" t="s">
        <v>67713</v>
      </c>
      <c r="B24405" t="s">
        <v>11912</v>
      </c>
      <c r="C24405" t="s">
        <v>28728</v>
      </c>
      <c r="D24405" t="s">
        <v>67714</v>
      </c>
      <c r="E24405" t="b">
        <v>0</v>
      </c>
      <c r="F24405" t="s">
        <v>11610</v>
      </c>
      <c r="L24405">
        <v>0</v>
      </c>
      <c r="M24405">
        <v>0</v>
      </c>
      <c r="N24405">
        <v>0</v>
      </c>
    </row>
    <row r="24406" spans="1:15">
      <c r="A24406" t="s">
        <v>67715</v>
      </c>
      <c r="B24406" t="s">
        <v>11644</v>
      </c>
      <c r="C24406" t="s">
        <v>42848</v>
      </c>
      <c r="D24406" t="s">
        <v>67716</v>
      </c>
      <c r="E24406" t="b">
        <v>0</v>
      </c>
      <c r="F24406" t="s">
        <v>11624</v>
      </c>
      <c r="G24406">
        <v>22.529800000000002</v>
      </c>
      <c r="H24406">
        <v>93.29</v>
      </c>
      <c r="I24406" t="s">
        <v>67717</v>
      </c>
      <c r="L24406">
        <v>0</v>
      </c>
      <c r="M24406">
        <v>0</v>
      </c>
      <c r="N24406">
        <v>0</v>
      </c>
      <c r="O24406" t="s">
        <v>14059</v>
      </c>
    </row>
    <row r="24407" spans="1:15">
      <c r="A24407" t="s">
        <v>67718</v>
      </c>
      <c r="B24407" t="s">
        <v>11644</v>
      </c>
      <c r="C24407" t="s">
        <v>28563</v>
      </c>
      <c r="D24407" t="s">
        <v>67719</v>
      </c>
      <c r="E24407" t="b">
        <v>0</v>
      </c>
      <c r="F24407" t="s">
        <v>11624</v>
      </c>
      <c r="G24407">
        <v>24.064900000000002</v>
      </c>
      <c r="H24407">
        <v>93.925299999999993</v>
      </c>
      <c r="I24407" t="s">
        <v>67720</v>
      </c>
      <c r="L24407">
        <v>0</v>
      </c>
      <c r="M24407">
        <v>0</v>
      </c>
      <c r="N24407">
        <v>0</v>
      </c>
      <c r="O24407" t="s">
        <v>13598</v>
      </c>
    </row>
    <row r="24408" spans="1:15">
      <c r="A24408" t="s">
        <v>67721</v>
      </c>
      <c r="B24408" t="s">
        <v>11879</v>
      </c>
      <c r="C24408" t="s">
        <v>40579</v>
      </c>
      <c r="D24408" t="s">
        <v>67722</v>
      </c>
      <c r="E24408" t="b">
        <v>0</v>
      </c>
      <c r="F24408" t="s">
        <v>11610</v>
      </c>
      <c r="L24408">
        <v>0</v>
      </c>
      <c r="M24408">
        <v>0</v>
      </c>
      <c r="N24408">
        <v>0</v>
      </c>
    </row>
    <row r="24409" spans="1:15">
      <c r="A24409" t="s">
        <v>67723</v>
      </c>
      <c r="B24409" t="s">
        <v>11607</v>
      </c>
      <c r="C24409" t="s">
        <v>33325</v>
      </c>
      <c r="D24409" t="s">
        <v>67724</v>
      </c>
      <c r="E24409" t="b">
        <v>0</v>
      </c>
      <c r="F24409" t="s">
        <v>11610</v>
      </c>
      <c r="L24409">
        <v>0</v>
      </c>
      <c r="M24409">
        <v>0</v>
      </c>
      <c r="N24409">
        <v>0</v>
      </c>
    </row>
    <row r="24410" spans="1:15">
      <c r="A24410" t="s">
        <v>67725</v>
      </c>
      <c r="B24410" t="s">
        <v>6742</v>
      </c>
      <c r="C24410" t="s">
        <v>30367</v>
      </c>
      <c r="D24410" t="s">
        <v>67726</v>
      </c>
      <c r="E24410" t="b">
        <v>0</v>
      </c>
      <c r="F24410" t="s">
        <v>11610</v>
      </c>
      <c r="L24410">
        <v>0</v>
      </c>
      <c r="M24410">
        <v>0</v>
      </c>
      <c r="N24410">
        <v>0</v>
      </c>
    </row>
    <row r="24411" spans="1:15">
      <c r="A24411" t="s">
        <v>67727</v>
      </c>
      <c r="B24411" t="s">
        <v>11607</v>
      </c>
      <c r="C24411" t="s">
        <v>13053</v>
      </c>
      <c r="D24411" t="s">
        <v>67728</v>
      </c>
      <c r="E24411" t="b">
        <v>0</v>
      </c>
      <c r="F24411" t="s">
        <v>11610</v>
      </c>
      <c r="L24411">
        <v>0</v>
      </c>
      <c r="M24411">
        <v>0</v>
      </c>
      <c r="N24411">
        <v>0</v>
      </c>
    </row>
    <row r="24412" spans="1:15">
      <c r="A24412" t="s">
        <v>67729</v>
      </c>
      <c r="B24412" t="s">
        <v>11615</v>
      </c>
      <c r="C24412" t="s">
        <v>40935</v>
      </c>
      <c r="D24412" t="s">
        <v>67730</v>
      </c>
      <c r="E24412" t="b">
        <v>0</v>
      </c>
      <c r="F24412" t="s">
        <v>11610</v>
      </c>
      <c r="L24412">
        <v>0</v>
      </c>
      <c r="M24412">
        <v>0</v>
      </c>
      <c r="N24412">
        <v>0</v>
      </c>
    </row>
    <row r="24413" spans="1:15">
      <c r="A24413" t="s">
        <v>67731</v>
      </c>
      <c r="B24413" t="s">
        <v>6742</v>
      </c>
      <c r="C24413" t="s">
        <v>27821</v>
      </c>
      <c r="D24413" t="s">
        <v>67732</v>
      </c>
      <c r="E24413" t="b">
        <v>0</v>
      </c>
      <c r="F24413" t="s">
        <v>11610</v>
      </c>
      <c r="L24413">
        <v>0</v>
      </c>
      <c r="M24413">
        <v>0</v>
      </c>
      <c r="N24413">
        <v>0</v>
      </c>
    </row>
    <row r="24414" spans="1:15">
      <c r="A24414" t="s">
        <v>67733</v>
      </c>
      <c r="B24414" t="s">
        <v>11607</v>
      </c>
      <c r="C24414" t="s">
        <v>29032</v>
      </c>
      <c r="D24414" t="s">
        <v>67734</v>
      </c>
      <c r="E24414" t="b">
        <v>0</v>
      </c>
      <c r="F24414" t="s">
        <v>11610</v>
      </c>
      <c r="L24414">
        <v>0</v>
      </c>
      <c r="M24414">
        <v>0</v>
      </c>
      <c r="N24414">
        <v>0</v>
      </c>
    </row>
    <row r="24415" spans="1:15">
      <c r="A24415" t="s">
        <v>29022</v>
      </c>
      <c r="B24415" t="s">
        <v>11607</v>
      </c>
      <c r="C24415" t="s">
        <v>25461</v>
      </c>
      <c r="D24415" t="s">
        <v>67735</v>
      </c>
      <c r="E24415" t="b">
        <v>0</v>
      </c>
      <c r="F24415" t="s">
        <v>11624</v>
      </c>
      <c r="G24415">
        <v>10.827</v>
      </c>
      <c r="H24415">
        <v>14.0578</v>
      </c>
      <c r="I24415" t="s">
        <v>67736</v>
      </c>
      <c r="L24415">
        <v>0</v>
      </c>
      <c r="M24415">
        <v>0</v>
      </c>
      <c r="N24415">
        <v>3</v>
      </c>
      <c r="O24415" t="s">
        <v>11703</v>
      </c>
    </row>
    <row r="24416" spans="1:15">
      <c r="A24416" t="s">
        <v>67737</v>
      </c>
      <c r="B24416" t="s">
        <v>11607</v>
      </c>
      <c r="C24416" t="s">
        <v>29022</v>
      </c>
      <c r="D24416" t="s">
        <v>67738</v>
      </c>
      <c r="E24416" t="b">
        <v>0</v>
      </c>
      <c r="F24416" t="s">
        <v>11610</v>
      </c>
      <c r="L24416">
        <v>0</v>
      </c>
      <c r="M24416">
        <v>0</v>
      </c>
      <c r="N24416">
        <v>0</v>
      </c>
    </row>
    <row r="24417" spans="1:15">
      <c r="A24417" t="s">
        <v>67739</v>
      </c>
      <c r="B24417" t="s">
        <v>11607</v>
      </c>
      <c r="C24417" t="s">
        <v>16969</v>
      </c>
      <c r="D24417" t="s">
        <v>67740</v>
      </c>
      <c r="E24417" t="b">
        <v>0</v>
      </c>
      <c r="F24417" t="s">
        <v>11610</v>
      </c>
      <c r="L24417">
        <v>0</v>
      </c>
      <c r="M24417">
        <v>0</v>
      </c>
      <c r="N24417">
        <v>0</v>
      </c>
    </row>
    <row r="24418" spans="1:15">
      <c r="A24418" t="s">
        <v>257</v>
      </c>
      <c r="B24418" t="s">
        <v>6742</v>
      </c>
      <c r="C24418" t="s">
        <v>66160</v>
      </c>
      <c r="D24418" t="s">
        <v>256</v>
      </c>
      <c r="E24418" t="b">
        <v>0</v>
      </c>
      <c r="F24418" t="s">
        <v>11624</v>
      </c>
      <c r="G24418">
        <v>-25.330500000000001</v>
      </c>
      <c r="H24418">
        <v>31.351199999999999</v>
      </c>
      <c r="I24418" t="s">
        <v>258</v>
      </c>
      <c r="L24418">
        <v>0</v>
      </c>
      <c r="M24418">
        <v>0</v>
      </c>
      <c r="N24418">
        <v>6</v>
      </c>
      <c r="O24418" t="s">
        <v>67741</v>
      </c>
    </row>
    <row r="24419" spans="1:15">
      <c r="A24419" t="s">
        <v>21028</v>
      </c>
      <c r="B24419" t="s">
        <v>12204</v>
      </c>
      <c r="C24419" t="s">
        <v>12204</v>
      </c>
      <c r="D24419" t="s">
        <v>67742</v>
      </c>
      <c r="E24419" t="b">
        <v>0</v>
      </c>
      <c r="F24419" t="s">
        <v>11622</v>
      </c>
      <c r="L24419">
        <v>0</v>
      </c>
      <c r="M24419">
        <v>1</v>
      </c>
      <c r="N24419">
        <v>0</v>
      </c>
    </row>
    <row r="24420" spans="1:15">
      <c r="A24420" t="s">
        <v>27688</v>
      </c>
      <c r="B24420" t="s">
        <v>13450</v>
      </c>
      <c r="C24420" t="s">
        <v>13450</v>
      </c>
      <c r="D24420" t="s">
        <v>67743</v>
      </c>
      <c r="E24420" t="b">
        <v>0</v>
      </c>
      <c r="F24420" t="s">
        <v>11622</v>
      </c>
      <c r="L24420">
        <v>0</v>
      </c>
      <c r="M24420">
        <v>1</v>
      </c>
      <c r="N24420">
        <v>2</v>
      </c>
    </row>
    <row r="24421" spans="1:15">
      <c r="A24421" t="s">
        <v>66160</v>
      </c>
      <c r="B24421" t="s">
        <v>6742</v>
      </c>
      <c r="C24421" t="s">
        <v>47576</v>
      </c>
      <c r="D24421" t="s">
        <v>67744</v>
      </c>
      <c r="E24421" t="b">
        <v>0</v>
      </c>
      <c r="F24421" t="s">
        <v>11622</v>
      </c>
      <c r="L24421">
        <v>0</v>
      </c>
      <c r="M24421">
        <v>2</v>
      </c>
      <c r="N24421">
        <v>19</v>
      </c>
    </row>
    <row r="24422" spans="1:15">
      <c r="A24422" t="s">
        <v>67745</v>
      </c>
      <c r="B24422" t="s">
        <v>11607</v>
      </c>
      <c r="C24422" t="s">
        <v>29366</v>
      </c>
      <c r="D24422" t="s">
        <v>67746</v>
      </c>
      <c r="E24422" t="b">
        <v>0</v>
      </c>
      <c r="F24422" t="s">
        <v>11624</v>
      </c>
      <c r="G24422">
        <v>10.557980000000001</v>
      </c>
      <c r="H24422">
        <v>14.444509999999999</v>
      </c>
      <c r="I24422" t="s">
        <v>67747</v>
      </c>
      <c r="L24422">
        <v>0</v>
      </c>
      <c r="M24422">
        <v>0</v>
      </c>
      <c r="N24422">
        <v>0</v>
      </c>
      <c r="O24422" t="s">
        <v>11703</v>
      </c>
    </row>
    <row r="24423" spans="1:15">
      <c r="A24423" t="s">
        <v>67748</v>
      </c>
      <c r="B24423" t="s">
        <v>11607</v>
      </c>
      <c r="C24423" t="s">
        <v>12615</v>
      </c>
      <c r="D24423" t="s">
        <v>67749</v>
      </c>
      <c r="E24423" t="b">
        <v>0</v>
      </c>
      <c r="F24423" t="s">
        <v>11624</v>
      </c>
      <c r="G24423">
        <v>10.827</v>
      </c>
      <c r="H24423">
        <v>9.9682999999999993</v>
      </c>
      <c r="I24423" t="s">
        <v>67750</v>
      </c>
      <c r="L24423">
        <v>0</v>
      </c>
      <c r="M24423">
        <v>0</v>
      </c>
      <c r="N24423">
        <v>0</v>
      </c>
      <c r="O24423" t="s">
        <v>11693</v>
      </c>
    </row>
    <row r="24424" spans="1:15">
      <c r="A24424" t="s">
        <v>67751</v>
      </c>
      <c r="B24424" t="s">
        <v>11607</v>
      </c>
      <c r="C24424" t="s">
        <v>23918</v>
      </c>
      <c r="D24424" t="s">
        <v>67752</v>
      </c>
      <c r="E24424" t="b">
        <v>0</v>
      </c>
      <c r="F24424" t="s">
        <v>11610</v>
      </c>
      <c r="L24424">
        <v>0</v>
      </c>
      <c r="M24424">
        <v>0</v>
      </c>
      <c r="N24424">
        <v>0</v>
      </c>
    </row>
    <row r="24425" spans="1:15">
      <c r="A24425" t="s">
        <v>67753</v>
      </c>
      <c r="B24425" t="s">
        <v>11644</v>
      </c>
      <c r="C24425" t="s">
        <v>24289</v>
      </c>
      <c r="D24425" t="s">
        <v>67754</v>
      </c>
      <c r="E24425" t="b">
        <v>0</v>
      </c>
      <c r="F24425" t="s">
        <v>11610</v>
      </c>
      <c r="L24425">
        <v>0</v>
      </c>
      <c r="M24425">
        <v>0</v>
      </c>
      <c r="N24425">
        <v>0</v>
      </c>
    </row>
    <row r="24426" spans="1:15">
      <c r="A24426" t="s">
        <v>67755</v>
      </c>
      <c r="B24426" t="s">
        <v>11607</v>
      </c>
      <c r="C24426" t="s">
        <v>25019</v>
      </c>
      <c r="D24426" t="s">
        <v>67756</v>
      </c>
      <c r="E24426" t="b">
        <v>0</v>
      </c>
      <c r="F24426" t="s">
        <v>11610</v>
      </c>
      <c r="L24426">
        <v>0</v>
      </c>
      <c r="M24426">
        <v>0</v>
      </c>
      <c r="N24426">
        <v>0</v>
      </c>
    </row>
    <row r="24427" spans="1:15">
      <c r="A24427" t="s">
        <v>67757</v>
      </c>
      <c r="B24427" t="s">
        <v>11607</v>
      </c>
      <c r="C24427" t="s">
        <v>33524</v>
      </c>
      <c r="D24427" t="s">
        <v>67758</v>
      </c>
      <c r="E24427" t="b">
        <v>0</v>
      </c>
      <c r="F24427" t="s">
        <v>11610</v>
      </c>
      <c r="L24427">
        <v>0</v>
      </c>
      <c r="M24427">
        <v>0</v>
      </c>
      <c r="N24427">
        <v>0</v>
      </c>
    </row>
    <row r="24428" spans="1:15">
      <c r="A24428" t="s">
        <v>67759</v>
      </c>
      <c r="B24428" t="s">
        <v>11607</v>
      </c>
      <c r="C24428" t="s">
        <v>17383</v>
      </c>
      <c r="D24428" t="s">
        <v>67760</v>
      </c>
      <c r="E24428" t="b">
        <v>0</v>
      </c>
      <c r="F24428" t="s">
        <v>11610</v>
      </c>
      <c r="L24428">
        <v>0</v>
      </c>
      <c r="M24428">
        <v>0</v>
      </c>
      <c r="N24428">
        <v>0</v>
      </c>
    </row>
    <row r="24429" spans="1:15">
      <c r="A24429" t="s">
        <v>11253</v>
      </c>
      <c r="D24429" t="s">
        <v>67761</v>
      </c>
      <c r="E24429" t="b">
        <v>0</v>
      </c>
      <c r="F24429" t="s">
        <v>11624</v>
      </c>
      <c r="G24429">
        <v>35.005600000000001</v>
      </c>
      <c r="H24429">
        <v>-108.782</v>
      </c>
      <c r="I24429" t="s">
        <v>11254</v>
      </c>
      <c r="L24429">
        <v>0</v>
      </c>
      <c r="M24429">
        <v>0</v>
      </c>
      <c r="N24429">
        <v>0</v>
      </c>
      <c r="O24429" t="s">
        <v>11944</v>
      </c>
    </row>
    <row r="24430" spans="1:15">
      <c r="A24430" t="s">
        <v>67762</v>
      </c>
      <c r="B24430" t="s">
        <v>5126</v>
      </c>
      <c r="C24430" t="s">
        <v>49016</v>
      </c>
      <c r="D24430" t="s">
        <v>67763</v>
      </c>
      <c r="E24430" t="b">
        <v>0</v>
      </c>
      <c r="F24430" t="s">
        <v>11624</v>
      </c>
      <c r="G24430">
        <v>22.4</v>
      </c>
      <c r="H24430">
        <v>106.9</v>
      </c>
      <c r="I24430" t="s">
        <v>67764</v>
      </c>
      <c r="L24430">
        <v>0</v>
      </c>
      <c r="M24430">
        <v>0</v>
      </c>
      <c r="N24430">
        <v>0</v>
      </c>
      <c r="O24430" t="s">
        <v>19781</v>
      </c>
    </row>
    <row r="24431" spans="1:15">
      <c r="A24431" t="s">
        <v>67765</v>
      </c>
      <c r="B24431" t="s">
        <v>11644</v>
      </c>
      <c r="C24431" t="s">
        <v>33595</v>
      </c>
      <c r="D24431" t="s">
        <v>67766</v>
      </c>
      <c r="E24431" t="b">
        <v>0</v>
      </c>
      <c r="F24431" t="s">
        <v>11610</v>
      </c>
      <c r="L24431">
        <v>0</v>
      </c>
      <c r="M24431">
        <v>0</v>
      </c>
      <c r="N24431">
        <v>0</v>
      </c>
    </row>
    <row r="24432" spans="1:15">
      <c r="A24432" t="s">
        <v>67767</v>
      </c>
      <c r="B24432" t="s">
        <v>11729</v>
      </c>
      <c r="C24432" t="s">
        <v>30051</v>
      </c>
      <c r="D24432" t="s">
        <v>67768</v>
      </c>
      <c r="E24432" t="b">
        <v>0</v>
      </c>
      <c r="F24432" t="s">
        <v>11610</v>
      </c>
      <c r="L24432">
        <v>0</v>
      </c>
      <c r="M24432">
        <v>0</v>
      </c>
      <c r="N24432">
        <v>0</v>
      </c>
    </row>
    <row r="24433" spans="1:15">
      <c r="A24433" t="s">
        <v>67769</v>
      </c>
      <c r="B24433" t="s">
        <v>11637</v>
      </c>
      <c r="C24433" t="s">
        <v>18116</v>
      </c>
      <c r="D24433" t="s">
        <v>67770</v>
      </c>
      <c r="E24433" t="b">
        <v>0</v>
      </c>
      <c r="F24433" t="s">
        <v>11610</v>
      </c>
      <c r="L24433">
        <v>0</v>
      </c>
      <c r="M24433">
        <v>0</v>
      </c>
      <c r="N24433">
        <v>0</v>
      </c>
    </row>
    <row r="24434" spans="1:15">
      <c r="A24434" t="s">
        <v>67771</v>
      </c>
      <c r="B24434" t="s">
        <v>11607</v>
      </c>
      <c r="C24434" t="s">
        <v>29685</v>
      </c>
      <c r="D24434" t="s">
        <v>67772</v>
      </c>
      <c r="E24434" t="b">
        <v>0</v>
      </c>
      <c r="F24434" t="s">
        <v>11610</v>
      </c>
      <c r="L24434">
        <v>0</v>
      </c>
      <c r="M24434">
        <v>0</v>
      </c>
      <c r="N24434">
        <v>0</v>
      </c>
    </row>
    <row r="24435" spans="1:15">
      <c r="A24435" t="s">
        <v>67773</v>
      </c>
      <c r="B24435" t="s">
        <v>11912</v>
      </c>
      <c r="C24435" t="s">
        <v>29817</v>
      </c>
      <c r="D24435" t="s">
        <v>67774</v>
      </c>
      <c r="E24435" t="b">
        <v>0</v>
      </c>
      <c r="F24435" t="s">
        <v>11610</v>
      </c>
      <c r="L24435">
        <v>0</v>
      </c>
      <c r="M24435">
        <v>0</v>
      </c>
      <c r="N24435">
        <v>0</v>
      </c>
    </row>
    <row r="24436" spans="1:15">
      <c r="A24436" t="s">
        <v>67775</v>
      </c>
      <c r="B24436" t="s">
        <v>12218</v>
      </c>
      <c r="C24436" t="s">
        <v>14708</v>
      </c>
      <c r="D24436" t="s">
        <v>67776</v>
      </c>
      <c r="E24436" t="b">
        <v>0</v>
      </c>
      <c r="F24436" t="s">
        <v>11610</v>
      </c>
      <c r="L24436">
        <v>0</v>
      </c>
      <c r="M24436">
        <v>0</v>
      </c>
      <c r="N24436">
        <v>0</v>
      </c>
    </row>
    <row r="24437" spans="1:15">
      <c r="A24437" t="s">
        <v>67777</v>
      </c>
      <c r="B24437" t="s">
        <v>6742</v>
      </c>
      <c r="C24437" t="s">
        <v>56727</v>
      </c>
      <c r="D24437" t="s">
        <v>67778</v>
      </c>
      <c r="E24437" t="b">
        <v>0</v>
      </c>
      <c r="F24437" t="s">
        <v>11610</v>
      </c>
      <c r="L24437">
        <v>0</v>
      </c>
      <c r="M24437">
        <v>0</v>
      </c>
      <c r="N24437">
        <v>0</v>
      </c>
    </row>
    <row r="24438" spans="1:15">
      <c r="A24438" t="s">
        <v>40890</v>
      </c>
      <c r="B24438" t="s">
        <v>11644</v>
      </c>
      <c r="C24438" t="s">
        <v>39560</v>
      </c>
      <c r="D24438" t="s">
        <v>67779</v>
      </c>
      <c r="E24438" t="b">
        <v>0</v>
      </c>
      <c r="F24438" t="s">
        <v>11624</v>
      </c>
      <c r="G24438">
        <v>22.524000000000001</v>
      </c>
      <c r="H24438">
        <v>93.263999999999996</v>
      </c>
      <c r="I24438" t="s">
        <v>67780</v>
      </c>
      <c r="L24438">
        <v>0</v>
      </c>
      <c r="M24438">
        <v>0</v>
      </c>
      <c r="N24438">
        <v>2</v>
      </c>
      <c r="O24438" t="s">
        <v>13598</v>
      </c>
    </row>
    <row r="24439" spans="1:15">
      <c r="A24439" t="s">
        <v>67781</v>
      </c>
      <c r="B24439" t="s">
        <v>12260</v>
      </c>
      <c r="C24439" t="s">
        <v>3459</v>
      </c>
      <c r="D24439" t="s">
        <v>67782</v>
      </c>
      <c r="E24439" t="b">
        <v>0</v>
      </c>
      <c r="F24439" t="s">
        <v>11610</v>
      </c>
      <c r="L24439">
        <v>0</v>
      </c>
      <c r="M24439">
        <v>0</v>
      </c>
      <c r="N24439">
        <v>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AEFC-F826-DF4F-BCB8-6694121924B3}">
  <sheetPr>
    <outlinePr summaryBelow="0" summaryRight="0"/>
  </sheetPr>
  <dimension ref="A1:D430"/>
  <sheetViews>
    <sheetView topLeftCell="A395" workbookViewId="0"/>
  </sheetViews>
  <sheetFormatPr baseColWidth="10" defaultRowHeight="13"/>
  <cols>
    <col min="1" max="16384" width="10.83203125" style="13"/>
  </cols>
  <sheetData>
    <row r="1" spans="1:4">
      <c r="A1" s="12" t="s">
        <v>11768</v>
      </c>
      <c r="B1" s="12" t="s">
        <v>19</v>
      </c>
      <c r="C1" s="12" t="s">
        <v>67784</v>
      </c>
      <c r="D1" s="12" t="s">
        <v>67785</v>
      </c>
    </row>
    <row r="2" spans="1:4">
      <c r="A2" s="12" t="s">
        <v>6742</v>
      </c>
      <c r="B2" s="12" t="str">
        <f>HYPERLINK("https://glottolog.org/resource/languoid/id/atla1278","Atlantic-Congo")</f>
        <v>Atlantic-Congo</v>
      </c>
      <c r="C2" s="12"/>
      <c r="D2" s="12"/>
    </row>
    <row r="3" spans="1:4">
      <c r="A3" s="12" t="s">
        <v>367</v>
      </c>
      <c r="B3" s="12" t="str">
        <f>HYPERLINK("https://glottolog.org/resource/languoid/id/aust1307","Austronesian")</f>
        <v>Austronesian</v>
      </c>
      <c r="C3" s="12"/>
      <c r="D3" s="12"/>
    </row>
    <row r="4" spans="1:4">
      <c r="A4" s="12" t="s">
        <v>11637</v>
      </c>
      <c r="B4" s="12" t="str">
        <f>HYPERLINK("https://glottolog.org/resource/languoid/id/indo1319","Indo-European")</f>
        <v>Indo-European</v>
      </c>
      <c r="C4" s="12"/>
      <c r="D4" s="12"/>
    </row>
    <row r="5" spans="1:4">
      <c r="A5" s="12" t="s">
        <v>11644</v>
      </c>
      <c r="B5" s="12" t="str">
        <f>HYPERLINK("https://glottolog.org/resource/languoid/id/sino1245","Sino-Tibetan")</f>
        <v>Sino-Tibetan</v>
      </c>
      <c r="C5" s="12"/>
      <c r="D5" s="12"/>
    </row>
    <row r="6" spans="1:4">
      <c r="A6" s="12" t="s">
        <v>11627</v>
      </c>
      <c r="B6" s="12" t="str">
        <f>HYPERLINK("https://glottolog.org/resource/languoid/id/book1242","Bookkeeping")</f>
        <v>Bookkeeping</v>
      </c>
      <c r="C6" s="12"/>
      <c r="D6" s="12"/>
    </row>
    <row r="7" spans="1:4">
      <c r="A7" s="12" t="s">
        <v>11607</v>
      </c>
      <c r="B7" s="12" t="str">
        <f>HYPERLINK("https://glottolog.org/resource/languoid/id/afro1255","Afro-Asiatic")</f>
        <v>Afro-Asiatic</v>
      </c>
      <c r="C7" s="12"/>
      <c r="D7" s="12"/>
    </row>
    <row r="8" spans="1:4">
      <c r="A8" s="12" t="s">
        <v>11615</v>
      </c>
      <c r="B8" s="12" t="str">
        <f>HYPERLINK("https://glottolog.org/resource/languoid/id/nucl1709","Nuclear Trans New Guinea")</f>
        <v>Nuclear Trans New Guinea</v>
      </c>
      <c r="C8" s="12"/>
      <c r="D8" s="12"/>
    </row>
    <row r="9" spans="1:4">
      <c r="A9" s="12" t="s">
        <v>10597</v>
      </c>
      <c r="B9" s="12" t="str">
        <f>HYPERLINK("https://glottolog.org/resource/languoid/id/pama1250","Pama-Nyungan")</f>
        <v>Pama-Nyungan</v>
      </c>
      <c r="C9" s="12"/>
      <c r="D9" s="12"/>
    </row>
    <row r="10" spans="1:4">
      <c r="A10" s="12" t="s">
        <v>11981</v>
      </c>
      <c r="B10" s="12" t="str">
        <f>HYPERLINK("https://glottolog.org/resource/languoid/id/sign1238","Sign Language")</f>
        <v>Sign Language</v>
      </c>
      <c r="C10" s="12"/>
      <c r="D10" s="12"/>
    </row>
    <row r="11" spans="1:4">
      <c r="A11" s="12" t="s">
        <v>11879</v>
      </c>
      <c r="B11" s="12" t="str">
        <f>HYPERLINK("https://glottolog.org/resource/languoid/id/otom1299","Otomanguean")</f>
        <v>Otomanguean</v>
      </c>
      <c r="C11" s="12"/>
      <c r="D11" s="12"/>
    </row>
    <row r="12" spans="1:4">
      <c r="A12" s="12" t="s">
        <v>12438</v>
      </c>
      <c r="B12" s="12" t="str">
        <f>HYPERLINK("https://glottolog.org/resource/languoid/id/aust1305","Austroasiatic")</f>
        <v>Austroasiatic</v>
      </c>
      <c r="C12" s="12"/>
      <c r="D12" s="12"/>
    </row>
    <row r="13" spans="1:4">
      <c r="A13" s="12" t="s">
        <v>13360</v>
      </c>
      <c r="B13" s="12" t="str">
        <f>HYPERLINK("https://glottolog.org/resource/languoid/id/uncl1493","Unclassifiable")</f>
        <v>Unclassifiable</v>
      </c>
      <c r="C13" s="12"/>
      <c r="D13" s="12"/>
    </row>
    <row r="14" spans="1:4">
      <c r="A14" s="12" t="s">
        <v>5126</v>
      </c>
      <c r="B14" s="12" t="str">
        <f>HYPERLINK("https://glottolog.org/resource/languoid/id/taik1256","Tai-Kadai")</f>
        <v>Tai-Kadai</v>
      </c>
      <c r="C14" s="12"/>
      <c r="D14" s="12"/>
    </row>
    <row r="15" spans="1:4">
      <c r="A15" s="12" t="s">
        <v>11844</v>
      </c>
      <c r="B15" s="12" t="str">
        <f>HYPERLINK("https://glottolog.org/resource/languoid/id/drav1251","Dravidian")</f>
        <v>Dravidian</v>
      </c>
      <c r="C15" s="12"/>
      <c r="D15" s="12"/>
    </row>
    <row r="16" spans="1:4">
      <c r="A16" s="12" t="s">
        <v>13450</v>
      </c>
      <c r="B16" s="12" t="str">
        <f>HYPERLINK("https://glottolog.org/resource/languoid/id/pidg1258","Pidgin")</f>
        <v>Pidgin</v>
      </c>
      <c r="C16" s="12"/>
      <c r="D16" s="12"/>
    </row>
    <row r="17" spans="1:4">
      <c r="A17" s="12" t="s">
        <v>11894</v>
      </c>
      <c r="B17" s="12" t="str">
        <f>HYPERLINK("https://glottolog.org/resource/languoid/id/araw1281","Arawakan")</f>
        <v>Arawakan</v>
      </c>
      <c r="C17" s="12"/>
      <c r="D17" s="12"/>
    </row>
    <row r="18" spans="1:4">
      <c r="A18" s="12" t="s">
        <v>13276</v>
      </c>
      <c r="B18" s="12" t="str">
        <f>HYPERLINK("https://glottolog.org/resource/languoid/id/mand1469","Mande")</f>
        <v>Mande</v>
      </c>
      <c r="C18" s="12"/>
      <c r="D18" s="12"/>
    </row>
    <row r="19" spans="1:4">
      <c r="A19" s="12" t="s">
        <v>11912</v>
      </c>
      <c r="B19" s="12" t="str">
        <f>HYPERLINK("https://glottolog.org/resource/languoid/id/tupi1275","Tupian")</f>
        <v>Tupian</v>
      </c>
      <c r="C19" s="12"/>
      <c r="D19" s="12"/>
    </row>
    <row r="20" spans="1:4">
      <c r="A20" s="12" t="s">
        <v>12751</v>
      </c>
      <c r="B20" s="12" t="str">
        <f>HYPERLINK("https://glottolog.org/resource/languoid/id/utoa1244","Uto-Aztecan")</f>
        <v>Uto-Aztecan</v>
      </c>
      <c r="C20" s="12"/>
      <c r="D20" s="12"/>
    </row>
    <row r="21" spans="1:4">
      <c r="A21" s="12" t="s">
        <v>12241</v>
      </c>
      <c r="B21" s="12" t="str">
        <f>HYPERLINK("https://glottolog.org/resource/languoid/id/unat1236","Unattested")</f>
        <v>Unattested</v>
      </c>
      <c r="C21" s="12"/>
      <c r="D21" s="12"/>
    </row>
    <row r="22" spans="1:4">
      <c r="A22" s="12" t="s">
        <v>11729</v>
      </c>
      <c r="B22" s="12" t="str">
        <f>HYPERLINK("https://glottolog.org/resource/languoid/id/cent2225","Central Sudanic")</f>
        <v>Central Sudanic</v>
      </c>
      <c r="C22" s="12"/>
      <c r="D22" s="12"/>
    </row>
    <row r="23" spans="1:4">
      <c r="A23" s="12" t="s">
        <v>11834</v>
      </c>
      <c r="B23" s="12" t="str">
        <f>HYPERLINK("https://glottolog.org/resource/languoid/id/nucl1708","Nuclear Torricelli")</f>
        <v>Nuclear Torricelli</v>
      </c>
      <c r="C23" s="12"/>
      <c r="D23" s="12"/>
    </row>
    <row r="24" spans="1:4">
      <c r="A24" s="12" t="s">
        <v>11757</v>
      </c>
      <c r="B24" s="12" t="str">
        <f>HYPERLINK("https://glottolog.org/resource/languoid/id/nilo1247","Nilotic")</f>
        <v>Nilotic</v>
      </c>
      <c r="C24" s="12"/>
      <c r="D24" s="12"/>
    </row>
    <row r="25" spans="1:4">
      <c r="A25" s="12" t="s">
        <v>12260</v>
      </c>
      <c r="B25" s="12" t="str">
        <f>HYPERLINK("https://glottolog.org/resource/languoid/id/ural1272","Uralic")</f>
        <v>Uralic</v>
      </c>
      <c r="C25" s="12"/>
      <c r="D25" s="12"/>
    </row>
    <row r="26" spans="1:4">
      <c r="A26" s="12" t="s">
        <v>12979</v>
      </c>
      <c r="B26" s="12" t="str">
        <f>HYPERLINK("https://glottolog.org/resource/languoid/id/algi1248","Algic")</f>
        <v>Algic</v>
      </c>
      <c r="C26" s="12"/>
      <c r="D26" s="12"/>
    </row>
    <row r="27" spans="1:4">
      <c r="A27" s="12" t="s">
        <v>12460</v>
      </c>
      <c r="B27" s="12" t="str">
        <f>HYPERLINK("https://glottolog.org/resource/languoid/id/atha1245","Athabaskan-Eyak-Tlingit")</f>
        <v>Athabaskan-Eyak-Tlingit</v>
      </c>
      <c r="C27" s="12"/>
      <c r="D27" s="12"/>
    </row>
    <row r="28" spans="1:4">
      <c r="A28" s="12" t="s">
        <v>13244</v>
      </c>
      <c r="B28" s="12" t="str">
        <f>HYPERLINK("https://glottolog.org/resource/languoid/id/pano1259","Pano-Tacanan")</f>
        <v>Pano-Tacanan</v>
      </c>
      <c r="C28" s="12"/>
      <c r="D28" s="12"/>
    </row>
    <row r="29" spans="1:4">
      <c r="A29" s="12" t="s">
        <v>141</v>
      </c>
      <c r="B29" s="12" t="str">
        <f>HYPERLINK("https://glottolog.org/resource/languoid/id/quec1387","Quechuan")</f>
        <v>Quechuan</v>
      </c>
      <c r="C29" s="12"/>
      <c r="D29" s="12"/>
    </row>
    <row r="30" spans="1:4">
      <c r="A30" s="12" t="s">
        <v>331</v>
      </c>
      <c r="B30" s="12" t="str">
        <f>HYPERLINK("https://glottolog.org/resource/languoid/id/turk1311","Turkic")</f>
        <v>Turkic</v>
      </c>
      <c r="C30" s="12"/>
      <c r="D30" s="12"/>
    </row>
    <row r="31" spans="1:4">
      <c r="A31" s="12" t="s">
        <v>8310</v>
      </c>
      <c r="B31" s="12" t="str">
        <f>HYPERLINK("https://glottolog.org/resource/languoid/id/cari1283","Cariban")</f>
        <v>Cariban</v>
      </c>
      <c r="C31" s="12"/>
      <c r="D31" s="12"/>
    </row>
    <row r="32" spans="1:4">
      <c r="A32" s="12" t="s">
        <v>5058</v>
      </c>
      <c r="B32" s="12" t="str">
        <f>HYPERLINK("https://glottolog.org/resource/languoid/id/hmon1336","Hmong-Mien")</f>
        <v>Hmong-Mien</v>
      </c>
      <c r="C32" s="12"/>
      <c r="D32" s="12"/>
    </row>
    <row r="33" spans="1:4">
      <c r="A33" s="12" t="s">
        <v>11705</v>
      </c>
      <c r="B33" s="12" t="str">
        <f>HYPERLINK("https://glottolog.org/resource/languoid/id/sepi1257","Sepik")</f>
        <v>Sepik</v>
      </c>
      <c r="C33" s="12"/>
      <c r="D33" s="12"/>
    </row>
    <row r="34" spans="1:4">
      <c r="A34" s="12" t="s">
        <v>12311</v>
      </c>
      <c r="B34" s="12" t="str">
        <f>HYPERLINK("https://glottolog.org/resource/languoid/id/nakh1245","Nakh-Daghestanian")</f>
        <v>Nakh-Daghestanian</v>
      </c>
      <c r="C34" s="12"/>
      <c r="D34" s="12"/>
    </row>
    <row r="35" spans="1:4">
      <c r="A35" s="12" t="s">
        <v>5911</v>
      </c>
      <c r="B35" s="12" t="str">
        <f>HYPERLINK("https://glottolog.org/resource/languoid/id/maya1287","Mayan")</f>
        <v>Mayan</v>
      </c>
      <c r="C35" s="12"/>
      <c r="D35" s="12"/>
    </row>
    <row r="36" spans="1:4">
      <c r="A36" s="12" t="s">
        <v>11871</v>
      </c>
      <c r="B36" s="12" t="str">
        <f>HYPERLINK("https://glottolog.org/resource/languoid/id/lowe1437","Lower Sepik-Ramu")</f>
        <v>Lower Sepik-Ramu</v>
      </c>
      <c r="C36" s="12"/>
      <c r="D36" s="12"/>
    </row>
    <row r="37" spans="1:4">
      <c r="A37" s="12" t="s">
        <v>11965</v>
      </c>
      <c r="B37" s="12" t="str">
        <f>HYPERLINK("https://glottolog.org/resource/languoid/id/nucl1710","Nuclear-Macro-Je")</f>
        <v>Nuclear-Macro-Je</v>
      </c>
      <c r="C37" s="12"/>
      <c r="D37" s="12"/>
    </row>
    <row r="38" spans="1:4">
      <c r="A38" s="12" t="s">
        <v>6455</v>
      </c>
      <c r="B38" s="12" t="str">
        <f>HYPERLINK("https://glottolog.org/resource/languoid/id/chib1249","Chibchan")</f>
        <v>Chibchan</v>
      </c>
      <c r="C38" s="12"/>
      <c r="D38" s="12"/>
    </row>
    <row r="39" spans="1:4">
      <c r="A39" s="12" t="s">
        <v>2975</v>
      </c>
      <c r="B39" s="12" t="str">
        <f>HYPERLINK("https://glottolog.org/resource/languoid/id/tuca1253","Tucanoan")</f>
        <v>Tucanoan</v>
      </c>
      <c r="C39" s="12"/>
      <c r="D39" s="12"/>
    </row>
    <row r="40" spans="1:4">
      <c r="A40" s="12" t="s">
        <v>9071</v>
      </c>
      <c r="B40" s="12" t="str">
        <f>HYPERLINK("https://glottolog.org/resource/languoid/id/sali1255","Salishan")</f>
        <v>Salishan</v>
      </c>
      <c r="C40" s="12"/>
      <c r="D40" s="12"/>
    </row>
    <row r="41" spans="1:4">
      <c r="A41" s="12" t="s">
        <v>12204</v>
      </c>
      <c r="B41" s="12" t="str">
        <f>HYPERLINK("https://glottolog.org/resource/languoid/id/mixe1287","Mixed Language")</f>
        <v>Mixed Language</v>
      </c>
      <c r="C41" s="12"/>
      <c r="D41" s="12"/>
    </row>
    <row r="42" spans="1:4">
      <c r="A42" s="12" t="s">
        <v>11839</v>
      </c>
      <c r="B42" s="12" t="str">
        <f>HYPERLINK("https://glottolog.org/resource/languoid/id/timo1261","Timor-Alor-Pantar")</f>
        <v>Timor-Alor-Pantar</v>
      </c>
      <c r="C42" s="12"/>
      <c r="D42" s="12"/>
    </row>
    <row r="43" spans="1:4">
      <c r="A43" s="12" t="s">
        <v>1342</v>
      </c>
      <c r="B43" s="12" t="str">
        <f>HYPERLINK("https://glottolog.org/resource/languoid/id/dogo1299","Dogon")</f>
        <v>Dogon</v>
      </c>
      <c r="C43" s="12"/>
      <c r="D43" s="12"/>
    </row>
    <row r="44" spans="1:4">
      <c r="A44" s="12" t="s">
        <v>15365</v>
      </c>
      <c r="B44" s="12" t="str">
        <f>HYPERLINK("https://glottolog.org/resource/languoid/id/lake1255","Lakes Plain")</f>
        <v>Lakes Plain</v>
      </c>
      <c r="C44" s="12"/>
      <c r="D44" s="12"/>
    </row>
    <row r="45" spans="1:4">
      <c r="A45" s="12" t="s">
        <v>15027</v>
      </c>
      <c r="B45" s="12" t="str">
        <f>HYPERLINK("https://glottolog.org/resource/languoid/id/mixe1284","Mixe-Zoque")</f>
        <v>Mixe-Zoque</v>
      </c>
      <c r="C45" s="12"/>
      <c r="D45" s="12"/>
    </row>
    <row r="46" spans="1:4">
      <c r="A46" s="12" t="s">
        <v>14005</v>
      </c>
      <c r="B46" s="12" t="str">
        <f>HYPERLINK("https://glottolog.org/resource/languoid/id/more1255","Morehead-Wasur")</f>
        <v>Morehead-Wasur</v>
      </c>
      <c r="C46" s="12"/>
      <c r="D46" s="12"/>
    </row>
    <row r="47" spans="1:4">
      <c r="A47" s="12" t="s">
        <v>13571</v>
      </c>
      <c r="B47" s="12" t="str">
        <f>HYPERLINK("https://glottolog.org/resource/languoid/id/gong1255","Ta-Ne-Omotic")</f>
        <v>Ta-Ne-Omotic</v>
      </c>
      <c r="C47" s="12"/>
      <c r="D47" s="12"/>
    </row>
    <row r="48" spans="1:4">
      <c r="A48" s="12" t="s">
        <v>8897</v>
      </c>
      <c r="B48" s="12" t="str">
        <f>HYPERLINK("https://glottolog.org/resource/languoid/id/siou1252","Siouan")</f>
        <v>Siouan</v>
      </c>
      <c r="C48" s="12"/>
      <c r="D48" s="12"/>
    </row>
    <row r="49" spans="1:4">
      <c r="A49" s="12" t="s">
        <v>11794</v>
      </c>
      <c r="B49" s="12" t="str">
        <f>HYPERLINK("https://glottolog.org/resource/languoid/id/anim1240","Anim")</f>
        <v>Anim</v>
      </c>
      <c r="C49" s="12"/>
      <c r="D49" s="12"/>
    </row>
    <row r="50" spans="1:4">
      <c r="A50" s="12" t="s">
        <v>12250</v>
      </c>
      <c r="B50" s="12" t="str">
        <f>HYPERLINK("https://glottolog.org/resource/languoid/id/mong1329","Mongolic")</f>
        <v>Mongolic</v>
      </c>
      <c r="C50" s="12"/>
      <c r="D50" s="12"/>
    </row>
    <row r="51" spans="1:4">
      <c r="A51" s="12" t="s">
        <v>14629</v>
      </c>
      <c r="B51" s="12" t="str">
        <f>HYPERLINK("https://glottolog.org/resource/languoid/id/arti1236","Artificial Language")</f>
        <v>Artificial Language</v>
      </c>
      <c r="C51" s="12"/>
      <c r="D51" s="12"/>
    </row>
    <row r="52" spans="1:4">
      <c r="A52" s="12" t="s">
        <v>12532</v>
      </c>
      <c r="B52" s="12" t="str">
        <f>HYPERLINK("https://glottolog.org/resource/languoid/id/bord1247","Border")</f>
        <v>Border</v>
      </c>
      <c r="C52" s="12"/>
      <c r="D52" s="12"/>
    </row>
    <row r="53" spans="1:4">
      <c r="A53" s="12" t="s">
        <v>4342</v>
      </c>
      <c r="B53" s="12" t="str">
        <f>HYPERLINK("https://glottolog.org/resource/languoid/id/japo1237","Japonic")</f>
        <v>Japonic</v>
      </c>
      <c r="C53" s="12"/>
      <c r="D53" s="12"/>
    </row>
    <row r="54" spans="1:4">
      <c r="A54" s="12" t="s">
        <v>12133</v>
      </c>
      <c r="B54" s="12" t="str">
        <f>HYPERLINK("https://glottolog.org/resource/languoid/id/nort2923","North Halmahera")</f>
        <v>North Halmahera</v>
      </c>
      <c r="C54" s="12"/>
      <c r="D54" s="12"/>
    </row>
    <row r="55" spans="1:4">
      <c r="A55" s="12" t="s">
        <v>4236</v>
      </c>
      <c r="B55" s="12" t="str">
        <f>HYPERLINK("https://glottolog.org/resource/languoid/id/khoe1240","Khoe-Kwadi")</f>
        <v>Khoe-Kwadi</v>
      </c>
      <c r="C55" s="12"/>
      <c r="D55" s="12"/>
    </row>
    <row r="56" spans="1:4">
      <c r="A56" s="12" t="s">
        <v>12487</v>
      </c>
      <c r="B56" s="12" t="str">
        <f>HYPERLINK("https://glottolog.org/resource/languoid/id/anga1289","Angan")</f>
        <v>Angan</v>
      </c>
      <c r="C56" s="12"/>
      <c r="D56" s="12"/>
    </row>
    <row r="57" spans="1:4">
      <c r="A57" s="12" t="s">
        <v>13411</v>
      </c>
      <c r="B57" s="12" t="str">
        <f>HYPERLINK("https://glottolog.org/resource/languoid/id/nduu1242","Ndu")</f>
        <v>Ndu</v>
      </c>
      <c r="C57" s="12"/>
      <c r="D57" s="12"/>
    </row>
    <row r="58" spans="1:4">
      <c r="A58" s="12" t="s">
        <v>3164</v>
      </c>
      <c r="B58" s="12" t="str">
        <f>HYPERLINK("https://glottolog.org/resource/languoid/id/nubi1251","Nubian")</f>
        <v>Nubian</v>
      </c>
      <c r="C58" s="12"/>
      <c r="D58" s="12"/>
    </row>
    <row r="59" spans="1:4">
      <c r="A59" s="12" t="s">
        <v>16947</v>
      </c>
      <c r="B59" s="12" t="str">
        <f>HYPERLINK("https://glottolog.org/resource/languoid/id/toro1256","Tor-Orya")</f>
        <v>Tor-Orya</v>
      </c>
      <c r="C59" s="12"/>
      <c r="D59" s="12"/>
    </row>
    <row r="60" spans="1:4">
      <c r="A60" s="12" t="s">
        <v>12686</v>
      </c>
      <c r="B60" s="12" t="str">
        <f>HYPERLINK("https://glottolog.org/resource/languoid/id/tung1282","Tungusic")</f>
        <v>Tungusic</v>
      </c>
      <c r="C60" s="12"/>
      <c r="D60" s="12"/>
    </row>
    <row r="61" spans="1:4">
      <c r="A61" s="12" t="s">
        <v>22306</v>
      </c>
      <c r="B61" s="12" t="str">
        <f>HYPERLINK("https://glottolog.org/resource/languoid/id/chap1271","Chapacuran")</f>
        <v>Chapacuran</v>
      </c>
      <c r="C61" s="12"/>
      <c r="D61" s="12"/>
    </row>
    <row r="62" spans="1:4">
      <c r="A62" s="12" t="s">
        <v>13014</v>
      </c>
      <c r="B62" s="12" t="str">
        <f>HYPERLINK("https://glottolog.org/resource/languoid/id/eski1264","Eskimo-Aleut")</f>
        <v>Eskimo-Aleut</v>
      </c>
      <c r="C62" s="12"/>
      <c r="D62" s="12"/>
    </row>
    <row r="63" spans="1:4">
      <c r="A63" s="12" t="s">
        <v>9897</v>
      </c>
      <c r="B63" s="12" t="str">
        <f>HYPERLINK("https://glottolog.org/resource/languoid/id/gunw1250","Gunwinyguan")</f>
        <v>Gunwinyguan</v>
      </c>
      <c r="C63" s="12"/>
      <c r="D63" s="12"/>
    </row>
    <row r="64" spans="1:4">
      <c r="A64" s="12" t="s">
        <v>21317</v>
      </c>
      <c r="B64" s="12" t="str">
        <f>HYPERLINK("https://glottolog.org/resource/languoid/id/toto1251","Totonacan")</f>
        <v>Totonacan</v>
      </c>
      <c r="C64" s="12"/>
      <c r="D64" s="12"/>
    </row>
    <row r="65" spans="1:4">
      <c r="A65" s="12" t="s">
        <v>23233</v>
      </c>
      <c r="B65" s="12" t="str">
        <f>HYPERLINK("https://glottolog.org/resource/languoid/id/coch1271","Cochimi-Yuman")</f>
        <v>Cochimi-Yuman</v>
      </c>
      <c r="C65" s="12"/>
      <c r="D65" s="12"/>
    </row>
    <row r="66" spans="1:4">
      <c r="A66" s="12" t="s">
        <v>300</v>
      </c>
      <c r="B66" s="12" t="str">
        <f>HYPERLINK("https://glottolog.org/resource/languoid/id/iroq1247","Iroquoian")</f>
        <v>Iroquoian</v>
      </c>
      <c r="C66" s="12"/>
      <c r="D66" s="12"/>
    </row>
    <row r="67" spans="1:4">
      <c r="A67" s="12" t="s">
        <v>17579</v>
      </c>
      <c r="B67" s="12" t="str">
        <f>HYPERLINK("https://glottolog.org/resource/languoid/id/miwo1274","Miwok-Costanoan")</f>
        <v>Miwok-Costanoan</v>
      </c>
      <c r="C67" s="12"/>
      <c r="D67" s="12"/>
    </row>
    <row r="68" spans="1:4">
      <c r="A68" s="12" t="s">
        <v>15569</v>
      </c>
      <c r="B68" s="12" t="str">
        <f>HYPERLINK("https://glottolog.org/resource/languoid/id/surm1244","Surmic")</f>
        <v>Surmic</v>
      </c>
      <c r="C68" s="12"/>
      <c r="D68" s="12"/>
    </row>
    <row r="69" spans="1:4">
      <c r="A69" s="12" t="s">
        <v>13434</v>
      </c>
      <c r="B69" s="12" t="str">
        <f>HYPERLINK("https://glottolog.org/resource/languoid/id/west2434","Western Daly")</f>
        <v>Western Daly</v>
      </c>
      <c r="C69" s="12"/>
      <c r="D69" s="12"/>
    </row>
    <row r="70" spans="1:4">
      <c r="A70" s="12" t="s">
        <v>15142</v>
      </c>
      <c r="B70" s="12" t="str">
        <f>HYPERLINK("https://glottolog.org/resource/languoid/id/geel1240","Geelvink Bay")</f>
        <v>Geelvink Bay</v>
      </c>
      <c r="C70" s="12"/>
      <c r="D70" s="12"/>
    </row>
    <row r="71" spans="1:4">
      <c r="A71" s="12" t="s">
        <v>12650</v>
      </c>
      <c r="B71" s="12" t="str">
        <f>HYPERLINK("https://glottolog.org/resource/languoid/id/grea1241","Great Andamanese")</f>
        <v>Great Andamanese</v>
      </c>
      <c r="C71" s="12"/>
      <c r="D71" s="12"/>
    </row>
    <row r="72" spans="1:4">
      <c r="A72" s="12" t="s">
        <v>21516</v>
      </c>
      <c r="B72" s="12" t="str">
        <f>HYPERLINK("https://glottolog.org/resource/languoid/id/heib1242","Heibanic")</f>
        <v>Heibanic</v>
      </c>
      <c r="C72" s="12"/>
      <c r="D72" s="12"/>
    </row>
    <row r="73" spans="1:4">
      <c r="A73" s="12" t="s">
        <v>12697</v>
      </c>
      <c r="B73" s="12" t="str">
        <f>HYPERLINK("https://glottolog.org/resource/languoid/id/ijoi1239","Ijoid")</f>
        <v>Ijoid</v>
      </c>
      <c r="C73" s="12"/>
      <c r="D73" s="12"/>
    </row>
    <row r="74" spans="1:4">
      <c r="A74" s="12" t="s">
        <v>11780</v>
      </c>
      <c r="B74" s="12" t="str">
        <f>HYPERLINK("https://glottolog.org/resource/languoid/id/maba1274","Maban")</f>
        <v>Maban</v>
      </c>
      <c r="C74" s="12"/>
      <c r="D74" s="12"/>
    </row>
    <row r="75" spans="1:4">
      <c r="A75" s="12" t="s">
        <v>17023</v>
      </c>
      <c r="B75" s="12" t="str">
        <f>HYPERLINK("https://glottolog.org/resource/languoid/id/nyul1248","Nyulnyulan")</f>
        <v>Nyulnyulan</v>
      </c>
      <c r="C75" s="12"/>
      <c r="D75" s="12"/>
    </row>
    <row r="76" spans="1:4">
      <c r="A76" s="12" t="s">
        <v>13967</v>
      </c>
      <c r="B76" s="12" t="str">
        <f>HYPERLINK("https://glottolog.org/resource/languoid/id/saha1256","Saharan")</f>
        <v>Saharan</v>
      </c>
      <c r="C76" s="12"/>
      <c r="D76" s="12"/>
    </row>
    <row r="77" spans="1:4">
      <c r="A77" s="12" t="s">
        <v>16986</v>
      </c>
      <c r="B77" s="12" t="str">
        <f>HYPERLINK("https://glottolog.org/resource/languoid/id/skoo1245","Sko")</f>
        <v>Sko</v>
      </c>
      <c r="C77" s="12"/>
      <c r="D77" s="12"/>
    </row>
    <row r="78" spans="1:4">
      <c r="A78" s="12" t="s">
        <v>12562</v>
      </c>
      <c r="B78" s="12" t="str">
        <f>HYPERLINK("https://glottolog.org/resource/languoid/id/song1307","Songhay")</f>
        <v>Songhay</v>
      </c>
      <c r="C78" s="12"/>
      <c r="D78" s="12"/>
    </row>
    <row r="79" spans="1:4">
      <c r="A79" s="12" t="s">
        <v>1588</v>
      </c>
      <c r="B79" s="12" t="str">
        <f>HYPERLINK("https://glottolog.org/resource/languoid/id/worr1236","Worrorran")</f>
        <v>Worrorran</v>
      </c>
      <c r="C79" s="12"/>
      <c r="D79" s="12"/>
    </row>
    <row r="80" spans="1:4">
      <c r="A80" s="12" t="s">
        <v>9578</v>
      </c>
      <c r="B80" s="12" t="str">
        <f>HYPERLINK("https://glottolog.org/resource/languoid/id/choc1280","Chocoan")</f>
        <v>Chocoan</v>
      </c>
      <c r="C80" s="12"/>
      <c r="D80" s="12"/>
    </row>
    <row r="81" spans="1:4">
      <c r="A81" s="12" t="s">
        <v>23796</v>
      </c>
      <c r="B81" s="12" t="str">
        <f>HYPERLINK("https://glottolog.org/resource/languoid/id/daga1274","Dagan")</f>
        <v>Dagan</v>
      </c>
      <c r="C81" s="12"/>
      <c r="D81" s="12"/>
    </row>
    <row r="82" spans="1:4">
      <c r="A82" s="12" t="s">
        <v>16042</v>
      </c>
      <c r="B82" s="12" t="str">
        <f>HYPERLINK("https://glottolog.org/resource/languoid/id/sout2948","South Bougainville")</f>
        <v>South Bougainville</v>
      </c>
      <c r="C82" s="12"/>
      <c r="D82" s="12"/>
    </row>
    <row r="83" spans="1:4">
      <c r="A83" s="12" t="s">
        <v>12557</v>
      </c>
      <c r="B83" s="12" t="str">
        <f>HYPERLINK("https://glottolog.org/resource/languoid/id/kwer1242","Greater Kwerba")</f>
        <v>Greater Kwerba</v>
      </c>
      <c r="C83" s="12"/>
      <c r="D83" s="12"/>
    </row>
    <row r="84" spans="1:4">
      <c r="A84" s="12" t="s">
        <v>14571</v>
      </c>
      <c r="B84" s="12" t="str">
        <f>HYPERLINK("https://glottolog.org/resource/languoid/id/kiow1265","Kiowa-Tanoan")</f>
        <v>Kiowa-Tanoan</v>
      </c>
      <c r="C84" s="12"/>
      <c r="D84" s="12"/>
    </row>
    <row r="85" spans="1:4">
      <c r="A85" s="12" t="s">
        <v>12218</v>
      </c>
      <c r="B85" s="12" t="str">
        <f>HYPERLINK("https://glottolog.org/resource/languoid/id/koia1260","Koiarian")</f>
        <v>Koiarian</v>
      </c>
      <c r="C85" s="12"/>
      <c r="D85" s="12"/>
    </row>
    <row r="86" spans="1:4">
      <c r="A86" s="12" t="s">
        <v>14798</v>
      </c>
      <c r="B86" s="12" t="str">
        <f>HYPERLINK("https://glottolog.org/resource/languoid/id/mail1249","Mailuan")</f>
        <v>Mailuan</v>
      </c>
      <c r="C86" s="12"/>
      <c r="D86" s="12"/>
    </row>
    <row r="87" spans="1:4">
      <c r="A87" s="12" t="s">
        <v>3165</v>
      </c>
      <c r="B87" s="12" t="str">
        <f>HYPERLINK("https://glottolog.org/resource/languoid/id/narr1279","Narrow Talodi")</f>
        <v>Narrow Talodi</v>
      </c>
      <c r="C87" s="12"/>
      <c r="D87" s="12"/>
    </row>
    <row r="88" spans="1:4">
      <c r="A88" s="12" t="s">
        <v>15146</v>
      </c>
      <c r="B88" s="12" t="str">
        <f>HYPERLINK("https://glottolog.org/resource/languoid/id/tuuu1241","Tuu")</f>
        <v>Tuu</v>
      </c>
      <c r="C88" s="12"/>
      <c r="D88" s="12"/>
    </row>
    <row r="89" spans="1:4">
      <c r="A89" s="12" t="s">
        <v>7862</v>
      </c>
      <c r="B89" s="12" t="str">
        <f>HYPERLINK("https://glottolog.org/resource/languoid/id/bosa1245","Bosavi")</f>
        <v>Bosavi</v>
      </c>
      <c r="C89" s="12"/>
      <c r="D89" s="12"/>
    </row>
    <row r="90" spans="1:4">
      <c r="A90" s="12" t="s">
        <v>13210</v>
      </c>
      <c r="B90" s="12" t="str">
        <f>HYPERLINK("https://glottolog.org/resource/languoid/id/chuk1271","Chukotko-Kamchatkan")</f>
        <v>Chukotko-Kamchatkan</v>
      </c>
      <c r="C90" s="12"/>
      <c r="D90" s="12"/>
    </row>
    <row r="91" spans="1:4">
      <c r="A91" s="12" t="s">
        <v>17030</v>
      </c>
      <c r="B91" s="12" t="str">
        <f>HYPERLINK("https://glottolog.org/resource/languoid/id/daju1249","Dajuic")</f>
        <v>Dajuic</v>
      </c>
      <c r="C91" s="12"/>
      <c r="D91" s="12"/>
    </row>
    <row r="92" spans="1:4">
      <c r="A92" s="12" t="s">
        <v>13737</v>
      </c>
      <c r="B92" s="12" t="str">
        <f>HYPERLINK("https://glottolog.org/resource/languoid/id/huit1251","Huitotoan")</f>
        <v>Huitotoan</v>
      </c>
      <c r="C92" s="12"/>
      <c r="D92" s="12"/>
    </row>
    <row r="93" spans="1:4">
      <c r="A93" s="12" t="s">
        <v>389</v>
      </c>
      <c r="B93" s="12" t="str">
        <f>HYPERLINK("https://glottolog.org/resource/languoid/id/mata1289","Matacoan")</f>
        <v>Matacoan</v>
      </c>
      <c r="C93" s="12"/>
      <c r="D93" s="12"/>
    </row>
    <row r="94" spans="1:4">
      <c r="A94" s="12" t="s">
        <v>12875</v>
      </c>
      <c r="B94" s="12" t="str">
        <f>HYPERLINK("https://glottolog.org/resource/languoid/id/musk1252","Muskogean")</f>
        <v>Muskogean</v>
      </c>
      <c r="C94" s="12"/>
      <c r="D94" s="12"/>
    </row>
    <row r="95" spans="1:4">
      <c r="A95" s="12" t="s">
        <v>21717</v>
      </c>
      <c r="B95" s="12" t="str">
        <f>HYPERLINK("https://glottolog.org/resource/languoid/id/pomo1273","Pomoan")</f>
        <v>Pomoan</v>
      </c>
      <c r="C95" s="12"/>
      <c r="D95" s="12"/>
    </row>
    <row r="96" spans="1:4">
      <c r="A96" s="12" t="s">
        <v>12128</v>
      </c>
      <c r="B96" s="12" t="str">
        <f>HYPERLINK("https://glottolog.org/resource/languoid/id/spee1234","Speech Register")</f>
        <v>Speech Register</v>
      </c>
      <c r="C96" s="12"/>
      <c r="D96" s="12"/>
    </row>
    <row r="97" spans="1:4">
      <c r="A97" s="12" t="s">
        <v>14398</v>
      </c>
      <c r="B97" s="12" t="str">
        <f>HYPERLINK("https://glottolog.org/resource/languoid/id/araw1282","Arawan")</f>
        <v>Arawan</v>
      </c>
      <c r="C97" s="12"/>
      <c r="D97" s="12"/>
    </row>
    <row r="98" spans="1:4">
      <c r="A98" s="12" t="s">
        <v>16014</v>
      </c>
      <c r="B98" s="12" t="str">
        <f>HYPERLINK("https://glottolog.org/resource/languoid/id/bain1263","Baining")</f>
        <v>Baining</v>
      </c>
      <c r="C98" s="12"/>
      <c r="D98" s="12"/>
    </row>
    <row r="99" spans="1:4">
      <c r="A99" s="12" t="s">
        <v>15304</v>
      </c>
      <c r="B99" s="12" t="str">
        <f>HYPERLINK("https://glottolog.org/resource/languoid/id/barb1265","Barbacoan")</f>
        <v>Barbacoan</v>
      </c>
      <c r="C99" s="12"/>
      <c r="D99" s="12"/>
    </row>
    <row r="100" spans="1:4">
      <c r="A100" s="12" t="s">
        <v>16997</v>
      </c>
      <c r="B100" s="12" t="str">
        <f>HYPERLINK("https://glottolog.org/resource/languoid/id/chum1262","Chumashan")</f>
        <v>Chumashan</v>
      </c>
      <c r="C100" s="12"/>
      <c r="D100" s="12"/>
    </row>
    <row r="101" spans="1:4">
      <c r="A101" s="12" t="s">
        <v>26147</v>
      </c>
      <c r="B101" s="12" t="str">
        <f>HYPERLINK("https://glottolog.org/resource/languoid/id/east2433","East Strickland")</f>
        <v>East Strickland</v>
      </c>
      <c r="C101" s="12"/>
      <c r="D101" s="12"/>
    </row>
    <row r="102" spans="1:4">
      <c r="A102" s="12" t="s">
        <v>13264</v>
      </c>
      <c r="B102" s="12" t="str">
        <f>HYPERLINK("https://glottolog.org/resource/languoid/id/goil1242","Goilalan")</f>
        <v>Goilalan</v>
      </c>
      <c r="C102" s="12"/>
      <c r="D102" s="12"/>
    </row>
    <row r="103" spans="1:4">
      <c r="A103" s="12" t="s">
        <v>11868</v>
      </c>
      <c r="B103" s="12" t="str">
        <f>HYPERLINK("https://glottolog.org/resource/languoid/id/kadu1256","Kadugli-Krongo")</f>
        <v>Kadugli-Krongo</v>
      </c>
      <c r="C103" s="12"/>
      <c r="D103" s="12"/>
    </row>
    <row r="104" spans="1:4">
      <c r="A104" s="12" t="s">
        <v>12148</v>
      </c>
      <c r="B104" s="12" t="str">
        <f>HYPERLINK("https://glottolog.org/resource/languoid/id/kart1248","Kartvelian")</f>
        <v>Kartvelian</v>
      </c>
      <c r="C104" s="12"/>
      <c r="D104" s="12"/>
    </row>
    <row r="105" spans="1:4">
      <c r="A105" s="12" t="s">
        <v>14524</v>
      </c>
      <c r="B105" s="12" t="str">
        <f>HYPERLINK("https://glottolog.org/resource/languoid/id/kiwa1251","Kiwaian")</f>
        <v>Kiwaian</v>
      </c>
      <c r="C105" s="12"/>
      <c r="D105" s="12"/>
    </row>
    <row r="106" spans="1:4">
      <c r="A106" s="12" t="s">
        <v>13291</v>
      </c>
      <c r="B106" s="12" t="str">
        <f>HYPERLINK("https://glottolog.org/resource/languoid/id/left1242","Left May")</f>
        <v>Left May</v>
      </c>
      <c r="C106" s="12"/>
      <c r="D106" s="12"/>
    </row>
    <row r="107" spans="1:4">
      <c r="A107" s="12" t="s">
        <v>12959</v>
      </c>
      <c r="B107" s="12" t="str">
        <f>HYPERLINK("https://glottolog.org/resource/languoid/id/namb1299","Nambiquaran")</f>
        <v>Nambiquaran</v>
      </c>
      <c r="C107" s="12"/>
      <c r="D107" s="12"/>
    </row>
    <row r="108" spans="1:4">
      <c r="A108" s="12" t="s">
        <v>14314</v>
      </c>
      <c r="B108" s="12" t="str">
        <f>HYPERLINK("https://glottolog.org/resource/languoid/id/sout1516","South Bird's Head Family")</f>
        <v>South Bird's Head Family</v>
      </c>
      <c r="C108" s="12"/>
      <c r="D108" s="12"/>
    </row>
    <row r="109" spans="1:4">
      <c r="A109" s="12" t="s">
        <v>17854</v>
      </c>
      <c r="B109" s="12" t="str">
        <f>HYPERLINK("https://glottolog.org/resource/languoid/id/waka1280","Wakashan")</f>
        <v>Wakashan</v>
      </c>
      <c r="C109" s="12"/>
      <c r="D109" s="12"/>
    </row>
    <row r="110" spans="1:4">
      <c r="A110" s="12" t="s">
        <v>13741</v>
      </c>
      <c r="B110" s="12" t="str">
        <f>HYPERLINK("https://glottolog.org/resource/languoid/id/zapa1251","Zaparoan")</f>
        <v>Zaparoan</v>
      </c>
      <c r="C110" s="12"/>
      <c r="D110" s="12"/>
    </row>
    <row r="111" spans="1:4">
      <c r="A111" s="12" t="s">
        <v>11653</v>
      </c>
      <c r="B111" s="12" t="str">
        <f>HYPERLINK("https://glottolog.org/resource/languoid/id/abkh1242","Abkhaz-Adyge")</f>
        <v>Abkhaz-Adyge</v>
      </c>
      <c r="C111" s="12"/>
      <c r="D111" s="12"/>
    </row>
    <row r="112" spans="1:4">
      <c r="A112" s="12" t="s">
        <v>8146</v>
      </c>
      <c r="B112" s="12" t="str">
        <f>HYPERLINK("https://glottolog.org/resource/languoid/id/cadd1255","Caddoan")</f>
        <v>Caddoan</v>
      </c>
      <c r="C112" s="12"/>
      <c r="D112" s="12"/>
    </row>
    <row r="113" spans="1:4">
      <c r="A113" s="12" t="s">
        <v>12425</v>
      </c>
      <c r="B113" s="12" t="str">
        <f>HYPERLINK("https://glottolog.org/resource/languoid/id/nucl1580","Eleman")</f>
        <v>Eleman</v>
      </c>
      <c r="C113" s="12"/>
      <c r="D113" s="12"/>
    </row>
    <row r="114" spans="1:4">
      <c r="A114" s="12" t="s">
        <v>978</v>
      </c>
      <c r="B114" s="12" t="str">
        <f>HYPERLINK("https://glottolog.org/resource/languoid/id/guah1252","Guahiboan")</f>
        <v>Guahiboan</v>
      </c>
      <c r="C114" s="12"/>
      <c r="D114" s="12"/>
    </row>
    <row r="115" spans="1:4">
      <c r="A115" s="12" t="s">
        <v>11770</v>
      </c>
      <c r="B115" s="12" t="str">
        <f>HYPERLINK("https://glottolog.org/resource/languoid/id/guai1249","Guaicuruan")</f>
        <v>Guaicuruan</v>
      </c>
      <c r="C115" s="12"/>
      <c r="D115" s="12"/>
    </row>
    <row r="116" spans="1:4">
      <c r="A116" s="12" t="s">
        <v>12738</v>
      </c>
      <c r="B116" s="12" t="str">
        <f>HYPERLINK("https://glottolog.org/resource/languoid/id/kxaa1236","Kxa")</f>
        <v>Kxa</v>
      </c>
      <c r="C116" s="12"/>
      <c r="D116" s="12"/>
    </row>
    <row r="117" spans="1:4">
      <c r="A117" s="12" t="s">
        <v>13821</v>
      </c>
      <c r="B117" s="12" t="str">
        <f>HYPERLINK("https://glottolog.org/resource/languoid/id/leng1261","Lengua-Mascoy")</f>
        <v>Lengua-Mascoy</v>
      </c>
      <c r="C117" s="12"/>
      <c r="D117" s="12"/>
    </row>
    <row r="118" spans="1:4">
      <c r="A118" s="12" t="s">
        <v>18680</v>
      </c>
      <c r="B118" s="12" t="str">
        <f>HYPERLINK("https://glottolog.org/resource/languoid/id/mirn1241","Mirndi")</f>
        <v>Mirndi</v>
      </c>
      <c r="C118" s="12"/>
      <c r="D118" s="12"/>
    </row>
    <row r="119" spans="1:4">
      <c r="A119" s="12" t="s">
        <v>17576</v>
      </c>
      <c r="B119" s="12" t="str">
        <f>HYPERLINK("https://glottolog.org/resource/languoid/id/misu1242","Misumalpan")</f>
        <v>Misumalpan</v>
      </c>
      <c r="C119" s="12"/>
      <c r="D119" s="12"/>
    </row>
    <row r="120" spans="1:4">
      <c r="A120" s="12" t="s">
        <v>29767</v>
      </c>
      <c r="B120" s="12" t="str">
        <f>HYPERLINK("https://glottolog.org/resource/languoid/id/nimb1257","Nimboranic")</f>
        <v>Nimboranic</v>
      </c>
      <c r="C120" s="12"/>
      <c r="D120" s="12"/>
    </row>
    <row r="121" spans="1:4">
      <c r="A121" s="12" t="s">
        <v>15132</v>
      </c>
      <c r="B121" s="12" t="str">
        <f>HYPERLINK("https://glottolog.org/resource/languoid/id/pauw1244","Pauwasi")</f>
        <v>Pauwasi</v>
      </c>
      <c r="C121" s="12"/>
      <c r="D121" s="12"/>
    </row>
    <row r="122" spans="1:4">
      <c r="A122" s="12" t="s">
        <v>36807</v>
      </c>
      <c r="B122" s="12" t="str">
        <f>HYPERLINK("https://glottolog.org/resource/languoid/id/saha1239","Sahaptian")</f>
        <v>Sahaptian</v>
      </c>
      <c r="C122" s="12"/>
      <c r="D122" s="12"/>
    </row>
    <row r="123" spans="1:4">
      <c r="A123" s="12" t="s">
        <v>11619</v>
      </c>
      <c r="B123" s="12" t="str">
        <f>HYPERLINK("https://glottolog.org/resource/languoid/id/sout2845","South Omotic")</f>
        <v>South Omotic</v>
      </c>
      <c r="C123" s="12"/>
      <c r="D123" s="12"/>
    </row>
    <row r="124" spans="1:4">
      <c r="A124" s="12" t="s">
        <v>27929</v>
      </c>
      <c r="B124" s="12" t="str">
        <f>HYPERLINK("https://glottolog.org/resource/languoid/id/west1493","West Bird's Head")</f>
        <v>West Bird's Head</v>
      </c>
      <c r="C124" s="12"/>
      <c r="D124" s="12"/>
    </row>
    <row r="125" spans="1:4">
      <c r="A125" s="12" t="s">
        <v>63194</v>
      </c>
      <c r="B125" s="12" t="str">
        <f>HYPERLINK("https://glottolog.org/resource/languoid/id/xinc1237","Xincan")</f>
        <v>Xincan</v>
      </c>
      <c r="C125" s="12"/>
      <c r="D125" s="12"/>
    </row>
    <row r="126" spans="1:4">
      <c r="A126" s="12" t="s">
        <v>23217</v>
      </c>
      <c r="B126" s="12" t="str">
        <f>HYPERLINK("https://glottolog.org/resource/languoid/id/yano1268","Yanomamic")</f>
        <v>Yanomamic</v>
      </c>
      <c r="C126" s="12"/>
      <c r="D126" s="12"/>
    </row>
    <row r="127" spans="1:4">
      <c r="A127" s="12" t="s">
        <v>13769</v>
      </c>
      <c r="B127" s="12" t="str">
        <f>HYPERLINK("https://glottolog.org/resource/languoid/id/yare1250","Yareban")</f>
        <v>Yareban</v>
      </c>
      <c r="C127" s="12"/>
      <c r="D127" s="12"/>
    </row>
    <row r="128" spans="1:4">
      <c r="A128" s="12" t="s">
        <v>14552</v>
      </c>
      <c r="B128" s="12" t="str">
        <f>HYPERLINK("https://glottolog.org/resource/languoid/id/yeni1252","Yeniseian")</f>
        <v>Yeniseian</v>
      </c>
      <c r="C128" s="12"/>
      <c r="D128" s="12"/>
    </row>
    <row r="129" spans="1:4">
      <c r="A129" s="12" t="s">
        <v>18921</v>
      </c>
      <c r="B129" s="12" t="str">
        <f>HYPERLINK("https://glottolog.org/resource/languoid/id/yuat1252","Yuat")</f>
        <v>Yuat</v>
      </c>
      <c r="C129" s="12"/>
      <c r="D129" s="12"/>
    </row>
    <row r="130" spans="1:4">
      <c r="A130" s="12" t="s">
        <v>13691</v>
      </c>
      <c r="B130" s="12" t="str">
        <f>HYPERLINK("https://glottolog.org/resource/languoid/id/araf1243","Arafundi")</f>
        <v>Arafundi</v>
      </c>
      <c r="C130" s="12"/>
      <c r="D130" s="12"/>
    </row>
    <row r="131" spans="1:4">
      <c r="A131" s="12" t="s">
        <v>16388</v>
      </c>
      <c r="B131" s="12" t="str">
        <f>HYPERLINK("https://glottolog.org/resource/languoid/id/maoo1243","Blue Nile Mao")</f>
        <v>Blue Nile Mao</v>
      </c>
      <c r="C131" s="12"/>
      <c r="D131" s="12"/>
    </row>
    <row r="132" spans="1:4">
      <c r="A132" s="12" t="s">
        <v>11946</v>
      </c>
      <c r="B132" s="12" t="str">
        <f>HYPERLINK("https://glottolog.org/resource/languoid/id/jiva1245","Chicham")</f>
        <v>Chicham</v>
      </c>
      <c r="C132" s="12"/>
      <c r="D132" s="12"/>
    </row>
    <row r="133" spans="1:4">
      <c r="A133" s="12" t="s">
        <v>22610</v>
      </c>
      <c r="B133" s="12" t="str">
        <f>HYPERLINK("https://glottolog.org/resource/languoid/id/chin1490","Chinookan")</f>
        <v>Chinookan</v>
      </c>
      <c r="C133" s="12"/>
      <c r="D133" s="12"/>
    </row>
    <row r="134" spans="1:4">
      <c r="A134" s="12" t="s">
        <v>22849</v>
      </c>
      <c r="B134" s="12" t="str">
        <f>HYPERLINK("https://glottolog.org/resource/languoid/id/chon1288","Chonan")</f>
        <v>Chonan</v>
      </c>
      <c r="C134" s="12"/>
      <c r="D134" s="12"/>
    </row>
    <row r="135" spans="1:4">
      <c r="A135" s="12" t="s">
        <v>12646</v>
      </c>
      <c r="B135" s="12" t="str">
        <f>HYPERLINK("https://glottolog.org/resource/languoid/id/east2386","Eastern Jebel")</f>
        <v>Eastern Jebel</v>
      </c>
      <c r="C135" s="12"/>
      <c r="D135" s="12"/>
    </row>
    <row r="136" spans="1:4">
      <c r="A136" s="12" t="s">
        <v>11686</v>
      </c>
      <c r="B136" s="12" t="str">
        <f>HYPERLINK("https://glottolog.org/resource/languoid/id/east2503","Eastern Trans-Fly")</f>
        <v>Eastern Trans-Fly</v>
      </c>
      <c r="C136" s="12"/>
      <c r="D136" s="12"/>
    </row>
    <row r="137" spans="1:4">
      <c r="A137" s="12" t="s">
        <v>31598</v>
      </c>
      <c r="B137" s="12" t="str">
        <f>HYPERLINK("https://glottolog.org/resource/languoid/id/huav1256","Huavean")</f>
        <v>Huavean</v>
      </c>
      <c r="C137" s="12"/>
      <c r="D137" s="12"/>
    </row>
    <row r="138" spans="1:4">
      <c r="A138" s="12" t="s">
        <v>13302</v>
      </c>
      <c r="B138" s="12" t="str">
        <f>HYPERLINK("https://glottolog.org/resource/languoid/id/iwai1246","Iwaidjan Proper")</f>
        <v>Iwaidjan Proper</v>
      </c>
      <c r="C138" s="12"/>
      <c r="D138" s="12"/>
    </row>
    <row r="139" spans="1:4">
      <c r="A139" s="12" t="s">
        <v>33623</v>
      </c>
      <c r="B139" s="12" t="str">
        <f>HYPERLINK("https://glottolog.org/resource/languoid/id/jodi1234","Jodi-Saliban")</f>
        <v>Jodi-Saliban</v>
      </c>
      <c r="C139" s="12"/>
      <c r="D139" s="12"/>
    </row>
    <row r="140" spans="1:4">
      <c r="A140" s="12" t="s">
        <v>23482</v>
      </c>
      <c r="B140" s="12" t="str">
        <f>HYPERLINK("https://glottolog.org/resource/languoid/id/kama1371","Kamakanan")</f>
        <v>Kamakanan</v>
      </c>
      <c r="C140" s="12"/>
      <c r="D140" s="12"/>
    </row>
    <row r="141" spans="1:4">
      <c r="A141" s="12" t="s">
        <v>17751</v>
      </c>
      <c r="B141" s="12" t="str">
        <f>HYPERLINK("https://glottolog.org/resource/languoid/id/koma1264","Koman")</f>
        <v>Koman</v>
      </c>
      <c r="C141" s="12"/>
      <c r="D141" s="12"/>
    </row>
    <row r="142" spans="1:4">
      <c r="A142" s="12" t="s">
        <v>41746</v>
      </c>
      <c r="B142" s="12" t="str">
        <f>HYPERLINK("https://glottolog.org/resource/languoid/id/maid1262","Maiduan")</f>
        <v>Maiduan</v>
      </c>
      <c r="C142" s="12"/>
      <c r="D142" s="12"/>
    </row>
    <row r="143" spans="1:4">
      <c r="A143" s="12" t="s">
        <v>12963</v>
      </c>
      <c r="B143" s="12" t="str">
        <f>HYPERLINK("https://glottolog.org/resource/languoid/id/mang1423","Mangarrayi-Maran")</f>
        <v>Mangarrayi-Maran</v>
      </c>
      <c r="C143" s="12"/>
      <c r="D143" s="12"/>
    </row>
    <row r="144" spans="1:4">
      <c r="A144" s="12" t="s">
        <v>20424</v>
      </c>
      <c r="B144" s="12" t="str">
        <f>HYPERLINK("https://glottolog.org/resource/languoid/id/mani1293","Maningrida")</f>
        <v>Maningrida</v>
      </c>
      <c r="C144" s="12"/>
      <c r="D144" s="12"/>
    </row>
    <row r="145" spans="1:4">
      <c r="A145" s="12" t="s">
        <v>24281</v>
      </c>
      <c r="B145" s="12" t="str">
        <f>HYPERLINK("https://glottolog.org/resource/languoid/id/nada1235","Nadahup")</f>
        <v>Nadahup</v>
      </c>
      <c r="C145" s="12"/>
      <c r="D145" s="12"/>
    </row>
    <row r="146" spans="1:4">
      <c r="A146" s="12" t="s">
        <v>12575</v>
      </c>
      <c r="B146" s="12" t="str">
        <f>HYPERLINK("https://glottolog.org/resource/languoid/id/nort2933","North Bougainville")</f>
        <v>North Bougainville</v>
      </c>
      <c r="C146" s="12"/>
      <c r="D146" s="12"/>
    </row>
    <row r="147" spans="1:4">
      <c r="A147" s="12" t="s">
        <v>21672</v>
      </c>
      <c r="B147" s="12" t="str">
        <f>HYPERLINK("https://glottolog.org/resource/languoid/id/sent1261","Sentanic")</f>
        <v>Sentanic</v>
      </c>
      <c r="C147" s="12"/>
      <c r="D147" s="12"/>
    </row>
    <row r="148" spans="1:4">
      <c r="A148" s="12" t="s">
        <v>14528</v>
      </c>
      <c r="B148" s="12" t="str">
        <f>HYPERLINK("https://glottolog.org/resource/languoid/id/suki1244","Suki-Gogodala")</f>
        <v>Suki-Gogodala</v>
      </c>
      <c r="C148" s="12"/>
      <c r="D148" s="12"/>
    </row>
    <row r="149" spans="1:4">
      <c r="A149" s="12" t="s">
        <v>11810</v>
      </c>
      <c r="B149" s="12" t="str">
        <f>HYPERLINK("https://glottolog.org/resource/languoid/id/tama1329","Tamaic")</f>
        <v>Tamaic</v>
      </c>
      <c r="C149" s="12"/>
      <c r="D149" s="12"/>
    </row>
    <row r="150" spans="1:4">
      <c r="A150" s="12" t="s">
        <v>28550</v>
      </c>
      <c r="B150" s="12" t="str">
        <f>HYPERLINK("https://glottolog.org/resource/languoid/id/tang1340","Tangkic")</f>
        <v>Tangkic</v>
      </c>
      <c r="C150" s="12"/>
      <c r="D150" s="12"/>
    </row>
    <row r="151" spans="1:4">
      <c r="A151" s="12" t="s">
        <v>17101</v>
      </c>
      <c r="B151" s="12" t="str">
        <f>HYPERLINK("https://glottolog.org/resource/languoid/id/tura1263","Turama-Kikori")</f>
        <v>Turama-Kikori</v>
      </c>
      <c r="C151" s="12"/>
      <c r="D151" s="12"/>
    </row>
    <row r="152" spans="1:4">
      <c r="A152" s="12" t="s">
        <v>49698</v>
      </c>
      <c r="B152" s="12" t="str">
        <f>HYPERLINK("https://glottolog.org/resource/languoid/id/wali1264","Walioic")</f>
        <v>Walioic</v>
      </c>
      <c r="C152" s="12"/>
      <c r="D152" s="12"/>
    </row>
    <row r="153" spans="1:4">
      <c r="A153" s="12" t="s">
        <v>9348</v>
      </c>
      <c r="B153" s="12" t="str">
        <f>HYPERLINK("https://glottolog.org/resource/languoid/id/yoku1255","Yokutsan")</f>
        <v>Yokutsan</v>
      </c>
      <c r="C153" s="12"/>
      <c r="D153" s="12"/>
    </row>
    <row r="154" spans="1:4">
      <c r="A154" s="12" t="s">
        <v>2064</v>
      </c>
      <c r="B154" s="12" t="str">
        <f>HYPERLINK("https://glottolog.org/resource/languoid/id/yuka1259","Yukaghir")</f>
        <v>Yukaghir</v>
      </c>
      <c r="C154" s="12"/>
      <c r="D154" s="12"/>
    </row>
    <row r="155" spans="1:4">
      <c r="A155" s="12" t="s">
        <v>85</v>
      </c>
      <c r="B155" s="12" t="str">
        <f>HYPERLINK("https://glottolog.org/resource/languoid/id/ainu1252","Ainu")</f>
        <v>Ainu</v>
      </c>
      <c r="C155" s="12"/>
      <c r="D155" s="12"/>
    </row>
    <row r="156" spans="1:4">
      <c r="A156" s="12" t="s">
        <v>393</v>
      </c>
      <c r="B156" s="12" t="str">
        <f>HYPERLINK("https://glottolog.org/resource/languoid/id/ayma1253","Aymaran")</f>
        <v>Aymaran</v>
      </c>
      <c r="C156" s="12"/>
      <c r="D156" s="12"/>
    </row>
    <row r="157" spans="1:4">
      <c r="A157" s="12" t="s">
        <v>19639</v>
      </c>
      <c r="B157" s="12" t="str">
        <f>HYPERLINK("https://glottolog.org/resource/languoid/id/boro1281","Bororoan")</f>
        <v>Bororoan</v>
      </c>
      <c r="C157" s="12"/>
      <c r="D157" s="12"/>
    </row>
    <row r="158" spans="1:4">
      <c r="A158" s="12" t="s">
        <v>20873</v>
      </c>
      <c r="B158" s="12" t="str">
        <f>HYPERLINK("https://glottolog.org/resource/languoid/id/cahu1265","Cahuapanan")</f>
        <v>Cahuapanan</v>
      </c>
      <c r="C158" s="12"/>
      <c r="D158" s="12"/>
    </row>
    <row r="159" spans="1:4">
      <c r="A159" s="12" t="s">
        <v>22237</v>
      </c>
      <c r="B159" s="12" t="str">
        <f>HYPERLINK("https://glottolog.org/resource/languoid/id/char1238","Charruan")</f>
        <v>Charruan</v>
      </c>
      <c r="C159" s="12"/>
      <c r="D159" s="12"/>
    </row>
    <row r="160" spans="1:4">
      <c r="A160" s="12" t="s">
        <v>20265</v>
      </c>
      <c r="B160" s="12" t="str">
        <f>HYPERLINK("https://glottolog.org/resource/languoid/id/dizo1235","Dizoid")</f>
        <v>Dizoid</v>
      </c>
      <c r="C160" s="12"/>
      <c r="D160" s="12"/>
    </row>
    <row r="161" spans="1:4">
      <c r="A161" s="12" t="s">
        <v>25799</v>
      </c>
      <c r="B161" s="12" t="str">
        <f>HYPERLINK("https://glottolog.org/resource/languoid/id/east1459","East Bird's Head")</f>
        <v>East Bird's Head</v>
      </c>
      <c r="C161" s="12"/>
      <c r="D161" s="12"/>
    </row>
    <row r="162" spans="1:4">
      <c r="A162" s="12" t="s">
        <v>27354</v>
      </c>
      <c r="B162" s="12" t="str">
        <f>HYPERLINK("https://glottolog.org/resource/languoid/id/giim1238","Giimbiyu")</f>
        <v>Giimbiyu</v>
      </c>
      <c r="C162" s="12"/>
      <c r="D162" s="12"/>
    </row>
    <row r="163" spans="1:4">
      <c r="A163" s="12" t="s">
        <v>12254</v>
      </c>
      <c r="B163" s="12" t="str">
        <f>HYPERLINK("https://glottolog.org/resource/languoid/id/gumu1250","Gumuz")</f>
        <v>Gumuz</v>
      </c>
      <c r="C163" s="12"/>
      <c r="D163" s="12"/>
    </row>
    <row r="164" spans="1:4">
      <c r="A164" s="12" t="s">
        <v>2665</v>
      </c>
      <c r="B164" s="12" t="str">
        <f>HYPERLINK("https://glottolog.org/resource/languoid/id/jarr1235","Jarrakan")</f>
        <v>Jarrakan</v>
      </c>
      <c r="C164" s="12"/>
      <c r="D164" s="12"/>
    </row>
    <row r="165" spans="1:4">
      <c r="A165" s="12" t="s">
        <v>34399</v>
      </c>
      <c r="B165" s="12" t="str">
        <f>HYPERLINK("https://glottolog.org/resource/languoid/id/kala1402","Kalapuyan")</f>
        <v>Kalapuyan</v>
      </c>
      <c r="C165" s="12"/>
      <c r="D165" s="12"/>
    </row>
    <row r="166" spans="1:4">
      <c r="A166" s="12" t="s">
        <v>12158</v>
      </c>
      <c r="B166" s="12" t="str">
        <f>HYPERLINK("https://glottolog.org/resource/languoid/id/kamu1264","Kamula-Elevala")</f>
        <v>Kamula-Elevala</v>
      </c>
      <c r="C166" s="12"/>
      <c r="D166" s="12"/>
    </row>
    <row r="167" spans="1:4">
      <c r="A167" s="12" t="s">
        <v>19339</v>
      </c>
      <c r="B167" s="12" t="str">
        <f>HYPERLINK("https://glottolog.org/resource/languoid/id/katl1246","Katla-Tima")</f>
        <v>Katla-Tima</v>
      </c>
      <c r="C167" s="12"/>
      <c r="D167" s="12"/>
    </row>
    <row r="168" spans="1:4">
      <c r="A168" s="12" t="s">
        <v>525</v>
      </c>
      <c r="B168" s="12" t="str">
        <f>HYPERLINK("https://glottolog.org/resource/languoid/id/kawe1237","Kawesqar")</f>
        <v>Kawesqar</v>
      </c>
      <c r="C168" s="12"/>
      <c r="D168" s="12"/>
    </row>
    <row r="169" spans="1:4">
      <c r="A169" s="12" t="s">
        <v>15047</v>
      </c>
      <c r="B169" s="12" t="str">
        <f>HYPERLINK("https://glottolog.org/resource/languoid/id/kaya1327","Kayagaric")</f>
        <v>Kayagaric</v>
      </c>
      <c r="C169" s="12"/>
      <c r="D169" s="12"/>
    </row>
    <row r="170" spans="1:4">
      <c r="A170" s="12" t="s">
        <v>36517</v>
      </c>
      <c r="B170" s="12" t="str">
        <f>HYPERLINK("https://glottolog.org/resource/languoid/id/kolo1268","Kolopom")</f>
        <v>Kolopom</v>
      </c>
      <c r="C170" s="12"/>
      <c r="D170" s="12"/>
    </row>
    <row r="171" spans="1:4">
      <c r="A171" s="12" t="s">
        <v>32149</v>
      </c>
      <c r="B171" s="12" t="str">
        <f>HYPERLINK("https://glottolog.org/resource/languoid/id/kuli1252","Kuliak")</f>
        <v>Kuliak</v>
      </c>
      <c r="C171" s="12"/>
      <c r="D171" s="12"/>
    </row>
    <row r="172" spans="1:4">
      <c r="A172" s="12" t="s">
        <v>28641</v>
      </c>
      <c r="B172" s="12" t="str">
        <f>HYPERLINK("https://glottolog.org/resource/languoid/id/kwal1257","Kwalean")</f>
        <v>Kwalean</v>
      </c>
      <c r="C172" s="12"/>
      <c r="D172" s="12"/>
    </row>
    <row r="173" spans="1:4">
      <c r="A173" s="12" t="s">
        <v>41792</v>
      </c>
      <c r="B173" s="12" t="str">
        <f>HYPERLINK("https://glottolog.org/resource/languoid/id/mair1253","Mairasic")</f>
        <v>Mairasic</v>
      </c>
      <c r="C173" s="12"/>
      <c r="D173" s="12"/>
    </row>
    <row r="174" spans="1:4">
      <c r="A174" s="12" t="s">
        <v>52632</v>
      </c>
      <c r="B174" s="12" t="str">
        <f>HYPERLINK("https://glottolog.org/resource/languoid/id/peba1241","Peba-Yagua")</f>
        <v>Peba-Yagua</v>
      </c>
      <c r="C174" s="12"/>
      <c r="D174" s="12"/>
    </row>
    <row r="175" spans="1:4">
      <c r="A175" s="12" t="s">
        <v>37311</v>
      </c>
      <c r="B175" s="12" t="str">
        <f>HYPERLINK("https://glottolog.org/resource/languoid/id/shas1238","Shastan")</f>
        <v>Shastan</v>
      </c>
      <c r="C175" s="12"/>
      <c r="D175" s="12"/>
    </row>
    <row r="176" spans="1:4">
      <c r="A176" s="12" t="s">
        <v>31079</v>
      </c>
      <c r="B176" s="12" t="str">
        <f>HYPERLINK("https://glottolog.org/resource/languoid/id/tequ1244","Tequistlatecan")</f>
        <v>Tequistlatecan</v>
      </c>
      <c r="C176" s="12"/>
      <c r="D176" s="12"/>
    </row>
    <row r="177" spans="1:4">
      <c r="A177" s="12" t="s">
        <v>6436</v>
      </c>
      <c r="B177" s="12" t="str">
        <f>HYPERLINK("https://glottolog.org/resource/languoid/id/tsim1258","Tsimshian")</f>
        <v>Tsimshian</v>
      </c>
      <c r="C177" s="12"/>
      <c r="D177" s="12"/>
    </row>
    <row r="178" spans="1:4">
      <c r="A178" s="12" t="s">
        <v>34173</v>
      </c>
      <c r="B178" s="12" t="str">
        <f>HYPERLINK("https://glottolog.org/resource/languoid/id/mong1343","Ulmapo")</f>
        <v>Ulmapo</v>
      </c>
      <c r="C178" s="12"/>
      <c r="D178" s="12"/>
    </row>
    <row r="179" spans="1:4">
      <c r="A179" s="12" t="s">
        <v>15911</v>
      </c>
      <c r="B179" s="12" t="str">
        <f>HYPERLINK("https://glottolog.org/resource/languoid/id/west2604","West Bomberai")</f>
        <v>West Bomberai</v>
      </c>
      <c r="C179" s="12"/>
      <c r="D179" s="12"/>
    </row>
    <row r="180" spans="1:4">
      <c r="A180" s="12" t="s">
        <v>23837</v>
      </c>
      <c r="B180" s="12" t="str">
        <f>HYPERLINK("https://glottolog.org/resource/languoid/id/yang1287","Yangmanic")</f>
        <v>Yangmanic</v>
      </c>
      <c r="C180" s="12"/>
      <c r="D180" s="12"/>
    </row>
    <row r="181" spans="1:4">
      <c r="A181" s="12" t="s">
        <v>15496</v>
      </c>
      <c r="B181" s="12" t="str">
        <f>HYPERLINK("https://glottolog.org/resource/languoid/id/zamu1243","Zamucoan")</f>
        <v>Zamucoan</v>
      </c>
      <c r="C181" s="12"/>
      <c r="D181" s="12"/>
    </row>
    <row r="182" spans="1:4">
      <c r="A182" s="12" t="s">
        <v>13549</v>
      </c>
      <c r="B182" s="12" t="str">
        <f>HYPERLINK("https://glottolog.org/resource/languoid/id/amto1249","Amto-Musan")</f>
        <v>Amto-Musan</v>
      </c>
      <c r="C182" s="12"/>
      <c r="D182" s="12"/>
    </row>
    <row r="183" spans="1:4">
      <c r="A183" s="12" t="s">
        <v>14372</v>
      </c>
      <c r="B183" s="12" t="str">
        <f>HYPERLINK("https://glottolog.org/resource/languoid/id/arau1255","Araucanian")</f>
        <v>Araucanian</v>
      </c>
      <c r="C183" s="12"/>
      <c r="D183" s="12"/>
    </row>
    <row r="184" spans="1:4">
      <c r="A184" s="12" t="s">
        <v>15969</v>
      </c>
      <c r="B184" s="12" t="str">
        <f>HYPERLINK("https://glottolog.org/resource/languoid/id/baib1250","Baibai-Fas")</f>
        <v>Baibai-Fas</v>
      </c>
      <c r="C184" s="12"/>
      <c r="D184" s="12"/>
    </row>
    <row r="185" spans="1:4">
      <c r="A185" s="12" t="s">
        <v>15346</v>
      </c>
      <c r="B185" s="12" t="str">
        <f>HYPERLINK("https://glottolog.org/resource/languoid/id/bayo1259","Bayono-Awbono")</f>
        <v>Bayono-Awbono</v>
      </c>
      <c r="C185" s="12"/>
      <c r="D185" s="12"/>
    </row>
    <row r="186" spans="1:4">
      <c r="A186" s="12" t="s">
        <v>40161</v>
      </c>
      <c r="B186" s="12" t="str">
        <f>HYPERLINK("https://glottolog.org/resource/languoid/id/monu1249","Bogia")</f>
        <v>Bogia</v>
      </c>
      <c r="C186" s="12"/>
      <c r="D186" s="12"/>
    </row>
    <row r="187" spans="1:4">
      <c r="A187" s="12" t="s">
        <v>19568</v>
      </c>
      <c r="B187" s="12" t="str">
        <f>HYPERLINK("https://glottolog.org/resource/languoid/id/bora1262","Boran")</f>
        <v>Boran</v>
      </c>
      <c r="C187" s="12"/>
      <c r="D187" s="12"/>
    </row>
    <row r="188" spans="1:4">
      <c r="A188" s="12" t="s">
        <v>20211</v>
      </c>
      <c r="B188" s="12" t="str">
        <f>HYPERLINK("https://glottolog.org/resource/languoid/id/bula1259","Bulaka River")</f>
        <v>Bulaka River</v>
      </c>
      <c r="C188" s="12"/>
      <c r="D188" s="12"/>
    </row>
    <row r="189" spans="1:4">
      <c r="A189" s="12" t="s">
        <v>20327</v>
      </c>
      <c r="B189" s="12" t="str">
        <f>HYPERLINK("https://glottolog.org/resource/languoid/id/buna1274","Bunaban")</f>
        <v>Bunaban</v>
      </c>
      <c r="C189" s="12"/>
      <c r="D189" s="12"/>
    </row>
    <row r="190" spans="1:4">
      <c r="A190" s="12" t="s">
        <v>22598</v>
      </c>
      <c r="B190" s="12" t="str">
        <f>HYPERLINK("https://glottolog.org/resource/languoid/id/chim1311","Chimakuan")</f>
        <v>Chimakuan</v>
      </c>
      <c r="C190" s="12">
        <v>47.631999999999998</v>
      </c>
      <c r="D190" s="12">
        <v>-123.07899999999999</v>
      </c>
    </row>
    <row r="191" spans="1:4">
      <c r="A191" s="12" t="s">
        <v>23370</v>
      </c>
      <c r="B191" s="12" t="str">
        <f>HYPERLINK("https://glottolog.org/resource/languoid/id/coos1248","Coosan")</f>
        <v>Coosan</v>
      </c>
      <c r="C191" s="12"/>
      <c r="D191" s="12"/>
    </row>
    <row r="192" spans="1:4">
      <c r="A192" s="12" t="s">
        <v>25343</v>
      </c>
      <c r="B192" s="12" t="str">
        <f>HYPERLINK("https://glottolog.org/resource/languoid/id/doso1238","Doso-Turumsa")</f>
        <v>Doso-Turumsa</v>
      </c>
      <c r="C192" s="12"/>
      <c r="D192" s="12"/>
    </row>
    <row r="193" spans="1:4">
      <c r="A193" s="12" t="s">
        <v>26017</v>
      </c>
      <c r="B193" s="12" t="str">
        <f>HYPERLINK("https://glottolog.org/resource/languoid/id/east2374","Eastern Daly")</f>
        <v>Eastern Daly</v>
      </c>
      <c r="C193" s="12"/>
      <c r="D193" s="12"/>
    </row>
    <row r="194" spans="1:4">
      <c r="A194" s="12" t="s">
        <v>26263</v>
      </c>
      <c r="B194" s="12" t="str">
        <f>HYPERLINK("https://glottolog.org/resource/languoid/id/east2499","East Kutubu")</f>
        <v>East Kutubu</v>
      </c>
      <c r="C194" s="12"/>
      <c r="D194" s="12"/>
    </row>
    <row r="195" spans="1:4">
      <c r="A195" s="12" t="s">
        <v>13418</v>
      </c>
      <c r="B195" s="12" t="str">
        <f>HYPERLINK("https://glottolog.org/resource/languoid/id/fura1235","Furan")</f>
        <v>Furan</v>
      </c>
      <c r="C195" s="12"/>
      <c r="D195" s="12"/>
    </row>
    <row r="196" spans="1:4">
      <c r="A196" s="12" t="s">
        <v>28619</v>
      </c>
      <c r="B196" s="12" t="str">
        <f>HYPERLINK("https://glottolog.org/resource/languoid/id/garr1260","Garrwan")</f>
        <v>Garrwan</v>
      </c>
      <c r="C196" s="12"/>
      <c r="D196" s="12"/>
    </row>
    <row r="197" spans="1:4">
      <c r="A197" s="12" t="s">
        <v>607</v>
      </c>
      <c r="B197" s="12" t="str">
        <f>HYPERLINK("https://glottolog.org/resource/languoid/id/haid1248","Haida")</f>
        <v>Haida</v>
      </c>
      <c r="C197" s="12"/>
      <c r="D197" s="12"/>
    </row>
    <row r="198" spans="1:4">
      <c r="A198" s="12" t="s">
        <v>13314</v>
      </c>
      <c r="B198" s="12" t="str">
        <f>HYPERLINK("https://glottolog.org/resource/languoid/id/hara1260","Harakmbut")</f>
        <v>Harakmbut</v>
      </c>
      <c r="C198" s="12"/>
      <c r="D198" s="12"/>
    </row>
    <row r="199" spans="1:4">
      <c r="A199" s="12" t="s">
        <v>12067</v>
      </c>
      <c r="B199" s="12" t="str">
        <f>HYPERLINK("https://glottolog.org/resource/languoid/id/hata1242","Hatam-Mansim")</f>
        <v>Hatam-Mansim</v>
      </c>
      <c r="C199" s="12"/>
      <c r="D199" s="12"/>
    </row>
    <row r="200" spans="1:4">
      <c r="A200" s="12" t="s">
        <v>22823</v>
      </c>
      <c r="B200" s="12" t="str">
        <f>HYPERLINK("https://glottolog.org/resource/languoid/id/hibi1242","Hibito-Cholon")</f>
        <v>Hibito-Cholon</v>
      </c>
      <c r="C200" s="12"/>
      <c r="D200" s="12"/>
    </row>
    <row r="201" spans="1:4">
      <c r="A201" s="12" t="s">
        <v>13102</v>
      </c>
      <c r="B201" s="12" t="str">
        <f>HYPERLINK("https://glottolog.org/resource/languoid/id/huar1251","Huarpean")</f>
        <v>Huarpean</v>
      </c>
      <c r="C201" s="12"/>
      <c r="D201" s="12"/>
    </row>
    <row r="202" spans="1:4">
      <c r="A202" s="12" t="s">
        <v>31761</v>
      </c>
      <c r="B202" s="12" t="str">
        <f>HYPERLINK("https://glottolog.org/resource/languoid/id/hurr1239","Hurro-Urartian")</f>
        <v>Hurro-Urartian</v>
      </c>
      <c r="C202" s="12"/>
      <c r="D202" s="12"/>
    </row>
    <row r="203" spans="1:4">
      <c r="A203" s="12" t="s">
        <v>25598</v>
      </c>
      <c r="B203" s="12" t="str">
        <f>HYPERLINK("https://glottolog.org/resource/languoid/id/inan1242","Inanwatan")</f>
        <v>Inanwatan</v>
      </c>
      <c r="C203" s="12"/>
      <c r="D203" s="12"/>
    </row>
    <row r="204" spans="1:4">
      <c r="A204" s="12" t="s">
        <v>33239</v>
      </c>
      <c r="B204" s="12" t="str">
        <f>HYPERLINK("https://glottolog.org/resource/languoid/id/jara1244","Jarawa-Onge")</f>
        <v>Jarawa-Onge</v>
      </c>
      <c r="C204" s="12"/>
      <c r="D204" s="12"/>
    </row>
    <row r="205" spans="1:4">
      <c r="A205" s="12" t="s">
        <v>33493</v>
      </c>
      <c r="B205" s="12" t="str">
        <f>HYPERLINK("https://glottolog.org/resource/languoid/id/jica1245","Jicaquean")</f>
        <v>Jicaquean</v>
      </c>
      <c r="C205" s="12"/>
      <c r="D205" s="12"/>
    </row>
    <row r="206" spans="1:4">
      <c r="A206" s="12" t="s">
        <v>20840</v>
      </c>
      <c r="B206" s="12" t="str">
        <f>HYPERLINK("https://glottolog.org/resource/languoid/id/kaku1242","Kakua-Nukak")</f>
        <v>Kakua-Nukak</v>
      </c>
      <c r="C206" s="12"/>
      <c r="D206" s="12"/>
    </row>
    <row r="207" spans="1:4">
      <c r="A207" s="12" t="s">
        <v>8345</v>
      </c>
      <c r="B207" s="12" t="str">
        <f>HYPERLINK("https://glottolog.org/resource/languoid/id/katu1274","Katukinan")</f>
        <v>Katukinan</v>
      </c>
      <c r="C207" s="12"/>
      <c r="D207" s="12"/>
    </row>
    <row r="208" spans="1:4">
      <c r="A208" s="12" t="s">
        <v>10368</v>
      </c>
      <c r="B208" s="12" t="str">
        <f>HYPERLINK("https://glottolog.org/resource/languoid/id/kere1287","Keresan")</f>
        <v>Keresan</v>
      </c>
      <c r="C208" s="12"/>
      <c r="D208" s="12"/>
    </row>
    <row r="209" spans="1:4">
      <c r="A209" s="12" t="s">
        <v>37231</v>
      </c>
      <c r="B209" s="12" t="str">
        <f>HYPERLINK("https://glottolog.org/resource/languoid/id/kond1302","Konda-Yahadian")</f>
        <v>Konda-Yahadian</v>
      </c>
      <c r="C209" s="12"/>
      <c r="D209" s="12"/>
    </row>
    <row r="210" spans="1:4">
      <c r="A210" s="12" t="s">
        <v>22388</v>
      </c>
      <c r="B210" s="12" t="str">
        <f>HYPERLINK("https://glottolog.org/resource/languoid/id/kore1284","Koreanic")</f>
        <v>Koreanic</v>
      </c>
      <c r="C210" s="12"/>
      <c r="D210" s="12"/>
    </row>
    <row r="211" spans="1:4">
      <c r="A211" s="12" t="s">
        <v>12611</v>
      </c>
      <c r="B211" s="12" t="str">
        <f>HYPERLINK("https://glottolog.org/resource/languoid/id/kres1240","Kresh-Aja")</f>
        <v>Kresh-Aja</v>
      </c>
      <c r="C211" s="12"/>
      <c r="D211" s="12"/>
    </row>
    <row r="212" spans="1:4">
      <c r="A212" s="12" t="s">
        <v>26973</v>
      </c>
      <c r="B212" s="12" t="str">
        <f>HYPERLINK("https://glottolog.org/resource/languoid/id/kwom1263","Kwomtari-Nai")</f>
        <v>Kwomtari-Nai</v>
      </c>
      <c r="C212" s="12"/>
      <c r="D212" s="12"/>
    </row>
    <row r="213" spans="1:4">
      <c r="A213" s="12" t="s">
        <v>39836</v>
      </c>
      <c r="B213" s="12" t="str">
        <f>HYPERLINK("https://glottolog.org/resource/languoid/id/lenc1239","Lencan")</f>
        <v>Lencan</v>
      </c>
      <c r="C213" s="12"/>
      <c r="D213" s="12"/>
    </row>
    <row r="214" spans="1:4">
      <c r="A214" s="12" t="s">
        <v>39902</v>
      </c>
      <c r="B214" s="12" t="str">
        <f>HYPERLINK("https://glottolog.org/resource/languoid/id/lepk1239","Lepki-Murkim")</f>
        <v>Lepki-Murkim</v>
      </c>
      <c r="C214" s="12"/>
      <c r="D214" s="12"/>
    </row>
    <row r="215" spans="1:4">
      <c r="A215" s="12" t="s">
        <v>40199</v>
      </c>
      <c r="B215" s="12" t="str">
        <f>HYPERLINK("https://glottolog.org/resource/languoid/id/limi1242","Limilngan-Wulna")</f>
        <v>Limilngan-Wulna</v>
      </c>
      <c r="C215" s="12"/>
      <c r="D215" s="12"/>
    </row>
    <row r="216" spans="1:4">
      <c r="A216" s="12" t="s">
        <v>13518</v>
      </c>
      <c r="B216" s="12" t="str">
        <f>HYPERLINK("https://glottolog.org/resource/languoid/id/manu1261","Manubaran")</f>
        <v>Manubaran</v>
      </c>
      <c r="C216" s="12"/>
      <c r="D216" s="12"/>
    </row>
    <row r="217" spans="1:4">
      <c r="A217" s="12" t="s">
        <v>42949</v>
      </c>
      <c r="B217" s="12" t="str">
        <f>HYPERLINK("https://glottolog.org/resource/languoid/id/marr1257","Marrku-Wurrugu")</f>
        <v>Marrku-Wurrugu</v>
      </c>
      <c r="C217" s="12"/>
      <c r="D217" s="12"/>
    </row>
    <row r="218" spans="1:4">
      <c r="A218" s="12" t="s">
        <v>37239</v>
      </c>
      <c r="B218" s="12" t="str">
        <f>HYPERLINK("https://glottolog.org/resource/languoid/id/momb1255","Mombum-Koneraw")</f>
        <v>Mombum-Koneraw</v>
      </c>
      <c r="C218" s="12"/>
      <c r="D218" s="12"/>
    </row>
    <row r="219" spans="1:4">
      <c r="A219" s="12" t="s">
        <v>46402</v>
      </c>
      <c r="B219" s="12" t="str">
        <f>HYPERLINK("https://glottolog.org/resource/languoid/id/naml1239","Namla-Tofanma")</f>
        <v>Namla-Tofanma</v>
      </c>
      <c r="C219" s="12"/>
      <c r="D219" s="12"/>
    </row>
    <row r="220" spans="1:4">
      <c r="A220" s="12" t="s">
        <v>18003</v>
      </c>
      <c r="B220" s="12" t="str">
        <f>HYPERLINK("https://glottolog.org/resource/languoid/id/nort1442","North-Eastern Tasmanian")</f>
        <v>North-Eastern Tasmanian</v>
      </c>
      <c r="C220" s="12"/>
      <c r="D220" s="12"/>
    </row>
    <row r="221" spans="1:4">
      <c r="A221" s="12" t="s">
        <v>45692</v>
      </c>
      <c r="B221" s="12" t="str">
        <f>HYPERLINK("https://glottolog.org/resource/languoid/id/nort1547","Northern Daly")</f>
        <v>Northern Daly</v>
      </c>
      <c r="C221" s="12"/>
      <c r="D221" s="12"/>
    </row>
    <row r="222" spans="1:4">
      <c r="A222" s="12" t="s">
        <v>12214</v>
      </c>
      <c r="B222" s="12" t="str">
        <f>HYPERLINK("https://glottolog.org/resource/languoid/id/nyim1244","Nyimang")</f>
        <v>Nyimang</v>
      </c>
      <c r="C222" s="12"/>
      <c r="D222" s="12"/>
    </row>
    <row r="223" spans="1:4">
      <c r="A223" s="12" t="s">
        <v>51653</v>
      </c>
      <c r="B223" s="12" t="str">
        <f>HYPERLINK("https://glottolog.org/resource/languoid/id/otom1276","Otomaco-Taparita")</f>
        <v>Otomaco-Taparita</v>
      </c>
      <c r="C223" s="12">
        <v>7.8699120000000002</v>
      </c>
      <c r="D223" s="12">
        <v>-70.997315</v>
      </c>
    </row>
    <row r="224" spans="1:4">
      <c r="A224" s="12" t="s">
        <v>12347</v>
      </c>
      <c r="B224" s="12" t="str">
        <f>HYPERLINK("https://glottolog.org/resource/languoid/id/paho1240","Pahoturi")</f>
        <v>Pahoturi</v>
      </c>
      <c r="C224" s="12"/>
      <c r="D224" s="12"/>
    </row>
    <row r="225" spans="1:4">
      <c r="A225" s="12" t="s">
        <v>11941</v>
      </c>
      <c r="B225" s="12" t="str">
        <f>HYPERLINK("https://glottolog.org/resource/languoid/id/pala1350","Palaihnihan")</f>
        <v>Palaihnihan</v>
      </c>
      <c r="C225" s="12"/>
      <c r="D225" s="12"/>
    </row>
    <row r="226" spans="1:4">
      <c r="A226" s="12" t="s">
        <v>21668</v>
      </c>
      <c r="B226" s="12" t="str">
        <f>HYPERLINK("https://glottolog.org/resource/languoid/id/piaw1238","Piawi")</f>
        <v>Piawi</v>
      </c>
      <c r="C226" s="12"/>
      <c r="D226" s="12"/>
    </row>
    <row r="227" spans="1:4">
      <c r="A227" s="12" t="s">
        <v>23452</v>
      </c>
      <c r="B227" s="12" t="str">
        <f>HYPERLINK("https://glottolog.org/resource/languoid/id/puri1261","Puri-Coroado")</f>
        <v>Puri-Coroado</v>
      </c>
      <c r="C227" s="12"/>
      <c r="D227" s="12"/>
    </row>
    <row r="228" spans="1:4">
      <c r="A228" s="12" t="s">
        <v>45308</v>
      </c>
      <c r="B228" s="12" t="str">
        <f>HYPERLINK("https://glottolog.org/resource/languoid/id/rash1249","Rashad")</f>
        <v>Rashad</v>
      </c>
      <c r="C228" s="12"/>
      <c r="D228" s="12"/>
    </row>
    <row r="229" spans="1:4">
      <c r="A229" s="12" t="s">
        <v>13877</v>
      </c>
      <c r="B229" s="12" t="str">
        <f>HYPERLINK("https://glottolog.org/resource/languoid/id/sena1264","Senagi")</f>
        <v>Senagi</v>
      </c>
      <c r="C229" s="12"/>
      <c r="D229" s="12"/>
    </row>
    <row r="230" spans="1:4">
      <c r="A230" s="12" t="s">
        <v>45129</v>
      </c>
      <c r="B230" s="12" t="str">
        <f>HYPERLINK("https://glottolog.org/resource/languoid/id/soma1242","Somahai")</f>
        <v>Somahai</v>
      </c>
      <c r="C230" s="12"/>
      <c r="D230" s="12"/>
    </row>
    <row r="231" spans="1:4">
      <c r="A231" s="12" t="s">
        <v>19929</v>
      </c>
      <c r="B231" s="12" t="str">
        <f>HYPERLINK("https://glottolog.org/resource/languoid/id/sout1293","South-Eastern Tasmanian")</f>
        <v>South-Eastern Tasmanian</v>
      </c>
      <c r="C231" s="12"/>
      <c r="D231" s="12"/>
    </row>
    <row r="232" spans="1:4">
      <c r="A232" s="12" t="s">
        <v>45884</v>
      </c>
      <c r="B232" s="12" t="str">
        <f>HYPERLINK("https://glottolog.org/resource/languoid/id/sout2772","Southern Daly")</f>
        <v>Southern Daly</v>
      </c>
      <c r="C232" s="12"/>
      <c r="D232" s="12"/>
    </row>
    <row r="233" spans="1:4">
      <c r="A233" s="12" t="s">
        <v>53812</v>
      </c>
      <c r="B233" s="12" t="str">
        <f>HYPERLINK("https://glottolog.org/resource/languoid/id/tara1323","Tarascan")</f>
        <v>Tarascan</v>
      </c>
      <c r="C233" s="12"/>
      <c r="D233" s="12"/>
    </row>
    <row r="234" spans="1:4">
      <c r="A234" s="12" t="s">
        <v>20629</v>
      </c>
      <c r="B234" s="12" t="str">
        <f>HYPERLINK("https://glottolog.org/resource/languoid/id/taul1250","Taulil-Butam")</f>
        <v>Taulil-Butam</v>
      </c>
      <c r="C234" s="12"/>
      <c r="D234" s="12"/>
    </row>
    <row r="235" spans="1:4">
      <c r="A235" s="12" t="s">
        <v>15162</v>
      </c>
      <c r="B235" s="12" t="str">
        <f>HYPERLINK("https://glottolog.org/resource/languoid/id/tebe1251","Teberan")</f>
        <v>Teberan</v>
      </c>
      <c r="C235" s="12"/>
      <c r="D235" s="12"/>
    </row>
    <row r="236" spans="1:4">
      <c r="A236" s="12" t="s">
        <v>49478</v>
      </c>
      <c r="B236" s="12" t="str">
        <f>HYPERLINK("https://glottolog.org/resource/languoid/id/teme1251","Temeinic")</f>
        <v>Temeinic</v>
      </c>
      <c r="C236" s="12"/>
      <c r="D236" s="12"/>
    </row>
    <row r="237" spans="1:4">
      <c r="A237" s="12" t="s">
        <v>33805</v>
      </c>
      <c r="B237" s="12" t="str">
        <f>HYPERLINK("https://glottolog.org/resource/languoid/id/ticu1244","Ticuna-Yuri")</f>
        <v>Ticuna-Yuri</v>
      </c>
      <c r="C237" s="12"/>
      <c r="D237" s="12"/>
    </row>
    <row r="238" spans="1:4">
      <c r="A238" s="12" t="s">
        <v>22681</v>
      </c>
      <c r="B238" s="12" t="str">
        <f>HYPERLINK("https://glottolog.org/resource/languoid/id/uruc1242","Uru-Chipaya")</f>
        <v>Uru-Chipaya</v>
      </c>
      <c r="C238" s="12"/>
      <c r="D238" s="12"/>
    </row>
    <row r="239" spans="1:4">
      <c r="A239" s="12" t="s">
        <v>53503</v>
      </c>
      <c r="B239" s="12" t="str">
        <f>HYPERLINK("https://glottolog.org/resource/languoid/id/west1503","Western Tasmanian")</f>
        <v>Western Tasmanian</v>
      </c>
      <c r="C239" s="12"/>
      <c r="D239" s="12"/>
    </row>
    <row r="240" spans="1:4">
      <c r="A240" s="12" t="s">
        <v>48122</v>
      </c>
      <c r="B240" s="12" t="str">
        <f>HYPERLINK("https://glottolog.org/resource/languoid/id/wint1258","Wintuan")</f>
        <v>Wintuan</v>
      </c>
      <c r="C240" s="12"/>
      <c r="D240" s="12"/>
    </row>
    <row r="241" spans="1:4">
      <c r="A241" s="12" t="s">
        <v>21528</v>
      </c>
      <c r="B241" s="12" t="str">
        <f>HYPERLINK("https://glottolog.org/resource/languoid/id/yawa1259","Yawa-Saweru")</f>
        <v>Yawa-Saweru</v>
      </c>
      <c r="C241" s="12"/>
      <c r="D241" s="12"/>
    </row>
    <row r="242" spans="1:4">
      <c r="A242" s="12" t="s">
        <v>64586</v>
      </c>
      <c r="B242" s="12" t="str">
        <f>HYPERLINK("https://glottolog.org/resource/languoid/id/yuki1242","Yuki-Wappo")</f>
        <v>Yuki-Wappo</v>
      </c>
      <c r="C242" s="12"/>
      <c r="D242" s="12"/>
    </row>
    <row r="243" spans="1:4">
      <c r="A243" s="12" t="s">
        <v>11765</v>
      </c>
      <c r="B243" s="12" t="str">
        <f>HYPERLINK("https://glottolog.org/resource/languoid/id/abin1243","Abinomn")</f>
        <v>Abinomn</v>
      </c>
      <c r="C243" s="12">
        <v>-2.9228100000000001</v>
      </c>
      <c r="D243" s="12">
        <v>138.89099999999999</v>
      </c>
    </row>
    <row r="244" spans="1:4">
      <c r="A244" s="12" t="s">
        <v>11850</v>
      </c>
      <c r="B244" s="12" t="str">
        <f>HYPERLINK("https://glottolog.org/resource/languoid/id/abun1252","Abun")</f>
        <v>Abun</v>
      </c>
      <c r="C244" s="12">
        <v>-0.57072999999999996</v>
      </c>
      <c r="D244" s="12">
        <v>132.416</v>
      </c>
    </row>
    <row r="245" spans="1:4">
      <c r="A245" s="12" t="s">
        <v>11977</v>
      </c>
      <c r="B245" s="12" t="str">
        <f>HYPERLINK("https://glottolog.org/resource/languoid/id/adai1235","Adai")</f>
        <v>Adai</v>
      </c>
      <c r="C245" s="12">
        <v>31.631399999999999</v>
      </c>
      <c r="D245" s="12">
        <v>-92.005899999999997</v>
      </c>
    </row>
    <row r="246" spans="1:4">
      <c r="A246" s="12" t="s">
        <v>11775</v>
      </c>
      <c r="B246" s="12" t="str">
        <f>HYPERLINK("https://glottolog.org/resource/languoid/id/abis1238","Aewa")</f>
        <v>Aewa</v>
      </c>
      <c r="C246" s="12">
        <v>-1.2840959999999999</v>
      </c>
      <c r="D246" s="12">
        <v>-75.084405000000004</v>
      </c>
    </row>
    <row r="247" spans="1:4">
      <c r="A247" s="12" t="s">
        <v>12496</v>
      </c>
      <c r="B247" s="12" t="str">
        <f>HYPERLINK("https://glottolog.org/resource/languoid/id/aika1237","Aikanã")</f>
        <v>Aikanã</v>
      </c>
      <c r="C247" s="12">
        <v>-12.669499999999999</v>
      </c>
      <c r="D247" s="12">
        <v>-60.535299999999999</v>
      </c>
    </row>
    <row r="248" spans="1:4">
      <c r="A248" s="12" t="s">
        <v>13148</v>
      </c>
      <c r="B248" s="12" t="str">
        <f>HYPERLINK("https://glottolog.org/resource/languoid/id/alse1251","Alsea-Yaquina")</f>
        <v>Alsea-Yaquina</v>
      </c>
      <c r="C248" s="12">
        <v>44.408000000000001</v>
      </c>
      <c r="D248" s="12">
        <v>-123.94</v>
      </c>
    </row>
    <row r="249" spans="1:4">
      <c r="A249" s="12" t="s">
        <v>13353</v>
      </c>
      <c r="B249" s="12" t="str">
        <f>HYPERLINK("https://glottolog.org/resource/languoid/id/amba1269","Ambakich")</f>
        <v>Ambakich</v>
      </c>
      <c r="C249" s="12">
        <v>-4.2318100000000003</v>
      </c>
      <c r="D249" s="12">
        <v>144.285</v>
      </c>
    </row>
    <row r="250" spans="1:4">
      <c r="A250" s="12" t="s">
        <v>13700</v>
      </c>
      <c r="B250" s="12" t="str">
        <f>HYPERLINK("https://glottolog.org/resource/languoid/id/anda1286","Andaqui")</f>
        <v>Andaqui</v>
      </c>
      <c r="C250" s="12">
        <v>2.7499899999999999</v>
      </c>
      <c r="D250" s="12">
        <v>-76</v>
      </c>
    </row>
    <row r="251" spans="1:4">
      <c r="A251" s="12" t="s">
        <v>13745</v>
      </c>
      <c r="B251" s="12" t="str">
        <f>HYPERLINK("https://glottolog.org/resource/languoid/id/ando1256","Andoque")</f>
        <v>Andoque</v>
      </c>
      <c r="C251" s="12">
        <v>-0.53751000000000004</v>
      </c>
      <c r="D251" s="12">
        <v>-72.0869</v>
      </c>
    </row>
    <row r="252" spans="1:4">
      <c r="A252" s="12" t="s">
        <v>13773</v>
      </c>
      <c r="B252" s="12" t="str">
        <f>HYPERLINK("https://glottolog.org/resource/languoid/id/anem1249","Anem")</f>
        <v>Anem</v>
      </c>
      <c r="C252" s="12">
        <v>-5.5483599999999997</v>
      </c>
      <c r="D252" s="12">
        <v>148.99299999999999</v>
      </c>
    </row>
    <row r="253" spans="1:4">
      <c r="A253" s="12" t="s">
        <v>14168</v>
      </c>
      <c r="B253" s="12" t="str">
        <f>HYPERLINK("https://glottolog.org/resource/languoid/id/apma1241","Ap Ma")</f>
        <v>Ap Ma</v>
      </c>
      <c r="C253" s="12">
        <v>-4.3514699999999999</v>
      </c>
      <c r="D253" s="12">
        <v>144.08500000000001</v>
      </c>
    </row>
    <row r="254" spans="1:4">
      <c r="A254" s="12" t="s">
        <v>14687</v>
      </c>
      <c r="B254" s="12" t="str">
        <f>HYPERLINK("https://glottolog.org/resource/languoid/id/arut1244","Arutani")</f>
        <v>Arutani</v>
      </c>
      <c r="C254" s="12">
        <v>4.0673594</v>
      </c>
      <c r="D254" s="12">
        <v>-62.867611799999999</v>
      </c>
    </row>
    <row r="255" spans="1:4">
      <c r="A255" s="12" t="s">
        <v>59098</v>
      </c>
      <c r="B255" s="12" t="str">
        <f>HYPERLINK("https://glottolog.org/resource/languoid/id/suar1238","Asabano")</f>
        <v>Asabano</v>
      </c>
      <c r="C255" s="12">
        <v>-4.9507199999999996</v>
      </c>
      <c r="D255" s="12">
        <v>141.97800000000001</v>
      </c>
    </row>
    <row r="256" spans="1:4">
      <c r="A256" s="12" t="s">
        <v>14944</v>
      </c>
      <c r="B256" s="12" t="str">
        <f>HYPERLINK("https://glottolog.org/resource/languoid/id/atac1235","Atacame")</f>
        <v>Atacame</v>
      </c>
      <c r="C256" s="12">
        <v>0.83493099999999998</v>
      </c>
      <c r="D256" s="12">
        <v>-79.778137000000001</v>
      </c>
    </row>
    <row r="257" spans="1:4">
      <c r="A257" s="12" t="s">
        <v>14953</v>
      </c>
      <c r="B257" s="12" t="str">
        <f>HYPERLINK("https://glottolog.org/resource/languoid/id/atak1252","Atakapa")</f>
        <v>Atakapa</v>
      </c>
      <c r="C257" s="12">
        <v>30.912099999999999</v>
      </c>
      <c r="D257" s="12">
        <v>-93.082700000000003</v>
      </c>
    </row>
    <row r="258" spans="1:4">
      <c r="A258" s="12" t="s">
        <v>16676</v>
      </c>
      <c r="B258" s="12" t="str">
        <f>HYPERLINK("https://glottolog.org/resource/languoid/id/bang1363","Bangime")</f>
        <v>Bangime</v>
      </c>
      <c r="C258" s="12">
        <v>14.8116</v>
      </c>
      <c r="D258" s="12">
        <v>-3.7709199999999998</v>
      </c>
    </row>
    <row r="259" spans="1:4">
      <c r="A259" s="12" t="s">
        <v>4725</v>
      </c>
      <c r="B259" s="12" t="str">
        <f>HYPERLINK("https://glottolog.org/resource/languoid/id/basq1248","Basque")</f>
        <v>Basque</v>
      </c>
      <c r="C259" s="12">
        <v>43.278700000000001</v>
      </c>
      <c r="D259" s="12">
        <v>-1.3162199999999999</v>
      </c>
    </row>
    <row r="260" spans="1:4">
      <c r="A260" s="12" t="s">
        <v>18035</v>
      </c>
      <c r="B260" s="12" t="str">
        <f>HYPERLINK("https://glottolog.org/resource/languoid/id/beot1247","Beothuk")</f>
        <v>Beothuk</v>
      </c>
      <c r="C260" s="12">
        <v>48</v>
      </c>
      <c r="D260" s="12">
        <v>-57</v>
      </c>
    </row>
    <row r="261" spans="1:4">
      <c r="A261" s="12" t="s">
        <v>16115</v>
      </c>
      <c r="B261" s="12" t="str">
        <f>HYPERLINK("https://glottolog.org/resource/languoid/id/bert1248","Berta")</f>
        <v>Berta</v>
      </c>
      <c r="C261" s="12">
        <v>10.647399999999999</v>
      </c>
      <c r="D261" s="12">
        <v>34.7042</v>
      </c>
    </row>
    <row r="262" spans="1:4">
      <c r="A262" s="12" t="s">
        <v>15505</v>
      </c>
      <c r="B262" s="12" t="str">
        <f>HYPERLINK("https://glottolog.org/resource/languoid/id/beto1236","Betoi-Jirara")</f>
        <v>Betoi-Jirara</v>
      </c>
      <c r="C262" s="12">
        <v>7.2239060000000004</v>
      </c>
      <c r="D262" s="12">
        <v>-71.420237999999998</v>
      </c>
    </row>
    <row r="263" spans="1:4">
      <c r="A263" s="12" t="s">
        <v>18631</v>
      </c>
      <c r="B263" s="12" t="str">
        <f>HYPERLINK("https://glottolog.org/resource/languoid/id/bilu1245","Bilua")</f>
        <v>Bilua</v>
      </c>
      <c r="C263" s="12">
        <v>-7.9238799999999996</v>
      </c>
      <c r="D263" s="12">
        <v>156.66300000000001</v>
      </c>
    </row>
    <row r="264" spans="1:4">
      <c r="A264" s="12" t="s">
        <v>19094</v>
      </c>
      <c r="B264" s="12" t="str">
        <f>HYPERLINK("https://glottolog.org/resource/languoid/id/boga1247","Bogaya")</f>
        <v>Bogaya</v>
      </c>
      <c r="C264" s="12">
        <v>-5.5448700000000004</v>
      </c>
      <c r="D264" s="12">
        <v>142.255</v>
      </c>
    </row>
    <row r="265" spans="1:4">
      <c r="A265" s="12" t="s">
        <v>20509</v>
      </c>
      <c r="B265" s="12" t="str">
        <f>HYPERLINK("https://glottolog.org/resource/languoid/id/burm1264","Burmeso")</f>
        <v>Burmeso</v>
      </c>
      <c r="C265" s="12">
        <v>-2.4758200000000001</v>
      </c>
      <c r="D265" s="12">
        <v>138.203</v>
      </c>
    </row>
    <row r="266" spans="1:4">
      <c r="A266" s="12" t="s">
        <v>7926</v>
      </c>
      <c r="B266" s="12" t="str">
        <f>HYPERLINK("https://glottolog.org/resource/languoid/id/buru1296","Burushaski")</f>
        <v>Burushaski</v>
      </c>
      <c r="C266" s="12">
        <v>36.216099999999997</v>
      </c>
      <c r="D266" s="12">
        <v>74.823599999999999</v>
      </c>
    </row>
    <row r="267" spans="1:4">
      <c r="A267" s="12" t="s">
        <v>21024</v>
      </c>
      <c r="B267" s="12" t="str">
        <f>HYPERLINK("https://glottolog.org/resource/languoid/id/cams1241","Camsá")</f>
        <v>Camsá</v>
      </c>
      <c r="C267" s="12">
        <v>1.14537</v>
      </c>
      <c r="D267" s="12">
        <v>-76.893100000000004</v>
      </c>
    </row>
    <row r="268" spans="1:4">
      <c r="A268" s="12" t="s">
        <v>21050</v>
      </c>
      <c r="B268" s="12" t="str">
        <f>HYPERLINK("https://glottolog.org/resource/languoid/id/cand1248","Candoshi-Shapra")</f>
        <v>Candoshi-Shapra</v>
      </c>
      <c r="C268" s="12">
        <v>-4.2383499999999996</v>
      </c>
      <c r="D268" s="12">
        <v>-76.934700000000007</v>
      </c>
    </row>
    <row r="269" spans="1:4">
      <c r="A269" s="12" t="s">
        <v>21064</v>
      </c>
      <c r="B269" s="12" t="str">
        <f>HYPERLINK("https://glottolog.org/resource/languoid/id/cani1243","Canichana")</f>
        <v>Canichana</v>
      </c>
      <c r="C269" s="12">
        <v>-14.3058</v>
      </c>
      <c r="D269" s="12">
        <v>-64.944455000000005</v>
      </c>
    </row>
    <row r="270" spans="1:4">
      <c r="A270" s="12" t="s">
        <v>21269</v>
      </c>
      <c r="B270" s="12" t="str">
        <f>HYPERLINK("https://glottolog.org/resource/languoid/id/cayu1262","Cayubaba")</f>
        <v>Cayubaba</v>
      </c>
      <c r="C270" s="12">
        <v>-13.248200000000001</v>
      </c>
      <c r="D270" s="12">
        <v>-65.482200000000006</v>
      </c>
    </row>
    <row r="271" spans="1:4">
      <c r="A271" s="12" t="s">
        <v>21264</v>
      </c>
      <c r="B271" s="12" t="str">
        <f>HYPERLINK("https://glottolog.org/resource/languoid/id/cayu1241","Cayuse")</f>
        <v>Cayuse</v>
      </c>
      <c r="C271" s="12">
        <v>46.113599999999998</v>
      </c>
      <c r="D271" s="12">
        <v>-117.94</v>
      </c>
    </row>
    <row r="272" spans="1:4">
      <c r="A272" s="12" t="s">
        <v>22588</v>
      </c>
      <c r="B272" s="12" t="str">
        <f>HYPERLINK("https://glottolog.org/resource/languoid/id/chim1301","Chimariko")</f>
        <v>Chimariko</v>
      </c>
      <c r="C272" s="12">
        <v>41</v>
      </c>
      <c r="D272" s="12">
        <v>-123</v>
      </c>
    </row>
    <row r="273" spans="1:4">
      <c r="A273" s="12" t="s">
        <v>22682</v>
      </c>
      <c r="B273" s="12" t="str">
        <f>HYPERLINK("https://glottolog.org/resource/languoid/id/chiq1248","Chiquitano")</f>
        <v>Chiquitano</v>
      </c>
      <c r="C273" s="12">
        <v>-17.635400000000001</v>
      </c>
      <c r="D273" s="12">
        <v>-59.917200000000001</v>
      </c>
    </row>
    <row r="274" spans="1:4">
      <c r="A274" s="12" t="s">
        <v>22730</v>
      </c>
      <c r="B274" s="12" t="str">
        <f>HYPERLINK("https://glottolog.org/resource/languoid/id/chit1248","Chitimacha")</f>
        <v>Chitimacha</v>
      </c>
      <c r="C274" s="12">
        <v>30.3386</v>
      </c>
      <c r="D274" s="12">
        <v>-90.912300000000002</v>
      </c>
    </row>
    <row r="275" spans="1:4">
      <c r="A275" s="12" t="s">
        <v>22833</v>
      </c>
      <c r="B275" s="12" t="str">
        <f>HYPERLINK("https://glottolog.org/resource/languoid/id/chon1248","Chono")</f>
        <v>Chono</v>
      </c>
      <c r="C275" s="12">
        <v>-44.298692000000003</v>
      </c>
      <c r="D275" s="12">
        <v>-73.879395000000002</v>
      </c>
    </row>
    <row r="276" spans="1:4">
      <c r="A276" s="12" t="s">
        <v>23130</v>
      </c>
      <c r="B276" s="12" t="str">
        <f>HYPERLINK("https://glottolog.org/resource/languoid/id/coah1252","Coahuilteco")</f>
        <v>Coahuilteco</v>
      </c>
      <c r="C276" s="12">
        <v>28.258900000000001</v>
      </c>
      <c r="D276" s="12">
        <v>-97.89</v>
      </c>
    </row>
    <row r="277" spans="1:4">
      <c r="A277" s="12" t="s">
        <v>12380</v>
      </c>
      <c r="B277" s="12" t="str">
        <f>HYPERLINK("https://glottolog.org/resource/languoid/id/cofa1242","Cofán")</f>
        <v>Cofán</v>
      </c>
      <c r="C277" s="12">
        <v>0.276675</v>
      </c>
      <c r="D277" s="12">
        <v>-77.064300000000003</v>
      </c>
    </row>
    <row r="278" spans="1:4">
      <c r="A278" s="12" t="s">
        <v>23299</v>
      </c>
      <c r="B278" s="12" t="str">
        <f>HYPERLINK("https://glottolog.org/resource/languoid/id/come1251","Comecrudan")</f>
        <v>Comecrudan</v>
      </c>
      <c r="C278" s="12">
        <v>26.133299999999998</v>
      </c>
      <c r="D278" s="12">
        <v>-98.466700000000003</v>
      </c>
    </row>
    <row r="279" spans="1:4">
      <c r="A279" s="12" t="s">
        <v>23485</v>
      </c>
      <c r="B279" s="12" t="str">
        <f>HYPERLINK("https://glottolog.org/resource/languoid/id/coto1248","Cotoname")</f>
        <v>Cotoname</v>
      </c>
      <c r="C279" s="12">
        <v>25.9116</v>
      </c>
      <c r="D279" s="12">
        <v>-97.395600000000002</v>
      </c>
    </row>
    <row r="280" spans="1:4">
      <c r="A280" s="12" t="s">
        <v>23601</v>
      </c>
      <c r="B280" s="12" t="str">
        <f>HYPERLINK("https://glottolog.org/resource/languoid/id/cuit1236","Cuitlatec")</f>
        <v>Cuitlatec</v>
      </c>
      <c r="C280" s="12">
        <v>18.100000000000001</v>
      </c>
      <c r="D280" s="12">
        <v>-100.5</v>
      </c>
    </row>
    <row r="281" spans="1:4">
      <c r="A281" s="12" t="s">
        <v>23608</v>
      </c>
      <c r="B281" s="12" t="str">
        <f>HYPERLINK("https://glottolog.org/resource/languoid/id/cull1235","Culli")</f>
        <v>Culli</v>
      </c>
      <c r="C281" s="12">
        <v>-7.8786180000000003</v>
      </c>
      <c r="D281" s="12">
        <v>-78.116455999999999</v>
      </c>
    </row>
    <row r="282" spans="1:4">
      <c r="A282" s="12" t="s">
        <v>13500</v>
      </c>
      <c r="B282" s="12" t="str">
        <f>HYPERLINK("https://glottolog.org/resource/languoid/id/dama1272","Damal")</f>
        <v>Damal</v>
      </c>
      <c r="C282" s="12">
        <v>-4.1734499999999999</v>
      </c>
      <c r="D282" s="12">
        <v>137.49600000000001</v>
      </c>
    </row>
    <row r="283" spans="1:4">
      <c r="A283" s="12" t="s">
        <v>24464</v>
      </c>
      <c r="B283" s="12" t="str">
        <f>HYPERLINK("https://glottolog.org/resource/languoid/id/demm1245","Dem")</f>
        <v>Dem</v>
      </c>
      <c r="C283" s="12">
        <v>-3.7218300000000002</v>
      </c>
      <c r="D283" s="12">
        <v>137.63200000000001</v>
      </c>
    </row>
    <row r="284" spans="1:4">
      <c r="A284" s="12" t="s">
        <v>24717</v>
      </c>
      <c r="B284" s="12" t="str">
        <f>HYPERLINK("https://glottolog.org/resource/languoid/id/dibi1240","Dibiyaso")</f>
        <v>Dibiyaso</v>
      </c>
      <c r="C284" s="12">
        <v>-7.8209600000000004</v>
      </c>
      <c r="D284" s="12">
        <v>142.779</v>
      </c>
    </row>
    <row r="285" spans="1:4">
      <c r="A285" s="12" t="s">
        <v>25553</v>
      </c>
      <c r="B285" s="12" t="str">
        <f>HYPERLINK("https://glottolog.org/resource/languoid/id/duna1248","Duna")</f>
        <v>Duna</v>
      </c>
      <c r="C285" s="12">
        <v>-5.41439</v>
      </c>
      <c r="D285" s="12">
        <v>142.47499999999999</v>
      </c>
    </row>
    <row r="286" spans="1:4">
      <c r="A286" s="12" t="s">
        <v>26999</v>
      </c>
      <c r="B286" s="12" t="str">
        <f>HYPERLINK("https://glottolog.org/resource/languoid/id/elam1244","Elamite")</f>
        <v>Elamite</v>
      </c>
      <c r="C286" s="12">
        <v>31.183299999999999</v>
      </c>
      <c r="D286" s="12">
        <v>48.2333</v>
      </c>
    </row>
    <row r="287" spans="1:4">
      <c r="A287" s="12" t="s">
        <v>27067</v>
      </c>
      <c r="B287" s="12" t="str">
        <f>HYPERLINK("https://glottolog.org/resource/languoid/id/else1239","Elseng")</f>
        <v>Elseng</v>
      </c>
      <c r="C287" s="12">
        <v>-3.00176</v>
      </c>
      <c r="D287" s="12">
        <v>140.41800000000001</v>
      </c>
    </row>
    <row r="288" spans="1:4">
      <c r="A288" s="12" t="s">
        <v>27428</v>
      </c>
      <c r="B288" s="12" t="str">
        <f>HYPERLINK("https://glottolog.org/resource/languoid/id/esse1238","Esselen")</f>
        <v>Esselen</v>
      </c>
      <c r="C288" s="12">
        <v>36.5473</v>
      </c>
      <c r="D288" s="12">
        <v>-121.867</v>
      </c>
    </row>
    <row r="289" spans="1:4">
      <c r="A289" s="12" t="s">
        <v>27516</v>
      </c>
      <c r="B289" s="12" t="str">
        <f>HYPERLINK("https://glottolog.org/resource/languoid/id/etru1241","Etruscan")</f>
        <v>Etruscan</v>
      </c>
      <c r="C289" s="12">
        <v>41.9</v>
      </c>
      <c r="D289" s="12">
        <v>12.4833</v>
      </c>
    </row>
    <row r="290" spans="1:4">
      <c r="A290" s="12" t="s">
        <v>27756</v>
      </c>
      <c r="B290" s="12" t="str">
        <f>HYPERLINK("https://glottolog.org/resource/languoid/id/fasu1242","Fasu")</f>
        <v>Fasu</v>
      </c>
      <c r="C290" s="12">
        <v>-6.6268700000000003</v>
      </c>
      <c r="D290" s="12">
        <v>143.28399999999999</v>
      </c>
    </row>
    <row r="291" spans="1:4">
      <c r="A291" s="12" t="s">
        <v>28145</v>
      </c>
      <c r="B291" s="12" t="str">
        <f>HYPERLINK("https://glottolog.org/resource/languoid/id/fuln1247","Fulniô")</f>
        <v>Fulniô</v>
      </c>
      <c r="C291" s="12">
        <v>-9.0259099999999997</v>
      </c>
      <c r="D291" s="12">
        <v>-37.1402</v>
      </c>
    </row>
    <row r="292" spans="1:4">
      <c r="A292" s="12" t="s">
        <v>28310</v>
      </c>
      <c r="B292" s="12" t="str">
        <f>HYPERLINK("https://glottolog.org/resource/languoid/id/gaga1251","Gaagudju")</f>
        <v>Gaagudju</v>
      </c>
      <c r="C292" s="12">
        <v>-12.5176</v>
      </c>
      <c r="D292" s="12">
        <v>132.643</v>
      </c>
    </row>
    <row r="293" spans="1:4">
      <c r="A293" s="12" t="s">
        <v>29795</v>
      </c>
      <c r="B293" s="12" t="str">
        <f>HYPERLINK("https://glottolog.org/resource/languoid/id/guac1239","Guachi")</f>
        <v>Guachi</v>
      </c>
      <c r="C293" s="12">
        <v>-19.5572257</v>
      </c>
      <c r="D293" s="12">
        <v>-57.566322300000003</v>
      </c>
    </row>
    <row r="294" spans="1:4">
      <c r="A294" s="12" t="s">
        <v>29811</v>
      </c>
      <c r="B294" s="12" t="str">
        <f>HYPERLINK("https://glottolog.org/resource/languoid/id/guai1237","Guaicurian")</f>
        <v>Guaicurian</v>
      </c>
      <c r="C294" s="12">
        <v>24.166666666699999</v>
      </c>
      <c r="D294" s="12">
        <v>-110.3</v>
      </c>
    </row>
    <row r="295" spans="1:4">
      <c r="A295" s="12" t="s">
        <v>29829</v>
      </c>
      <c r="B295" s="12" t="str">
        <f>HYPERLINK("https://glottolog.org/resource/languoid/id/guam1236","Guamo")</f>
        <v>Guamo</v>
      </c>
      <c r="C295" s="12">
        <v>8.2351027000000006</v>
      </c>
      <c r="D295" s="12">
        <v>-67.4018753</v>
      </c>
    </row>
    <row r="296" spans="1:4">
      <c r="A296" s="12" t="s">
        <v>29870</v>
      </c>
      <c r="B296" s="12" t="str">
        <f>HYPERLINK("https://glottolog.org/resource/languoid/id/guat1253","Guató")</f>
        <v>Guató</v>
      </c>
      <c r="C296" s="12">
        <v>-17.869599999999998</v>
      </c>
      <c r="D296" s="12">
        <v>-57.289700000000003</v>
      </c>
    </row>
    <row r="297" spans="1:4">
      <c r="A297" s="12" t="s">
        <v>30074</v>
      </c>
      <c r="B297" s="12" t="str">
        <f>HYPERLINK("https://glottolog.org/resource/languoid/id/gule1241","Gule")</f>
        <v>Gule</v>
      </c>
      <c r="C297" s="12">
        <v>11.833600000000001</v>
      </c>
      <c r="D297" s="12">
        <v>33.692900000000002</v>
      </c>
    </row>
    <row r="298" spans="1:4">
      <c r="A298" s="12" t="s">
        <v>30224</v>
      </c>
      <c r="B298" s="12" t="str">
        <f>HYPERLINK("https://glottolog.org/resource/languoid/id/guri1248","Guriaso")</f>
        <v>Guriaso</v>
      </c>
      <c r="C298" s="12">
        <v>-3.5718000000000001</v>
      </c>
      <c r="D298" s="12">
        <v>141.59700000000001</v>
      </c>
    </row>
    <row r="299" spans="1:4">
      <c r="A299" s="12" t="s">
        <v>935</v>
      </c>
      <c r="B299" s="12" t="str">
        <f>HYPERLINK("https://glottolog.org/resource/languoid/id/hadz1240","Hadza")</f>
        <v>Hadza</v>
      </c>
      <c r="C299" s="12">
        <v>-3.8311500000000001</v>
      </c>
      <c r="D299" s="12">
        <v>35.0458</v>
      </c>
    </row>
    <row r="300" spans="1:4">
      <c r="A300" s="12" t="s">
        <v>30843</v>
      </c>
      <c r="B300" s="12" t="str">
        <f>HYPERLINK("https://glottolog.org/resource/languoid/id/hatt1246","Hattic")</f>
        <v>Hattic</v>
      </c>
      <c r="C300" s="12">
        <v>33.9833</v>
      </c>
      <c r="D300" s="12">
        <v>40.333300000000001</v>
      </c>
    </row>
    <row r="301" spans="1:4">
      <c r="A301" s="12" t="s">
        <v>31523</v>
      </c>
      <c r="B301" s="12" t="str">
        <f>HYPERLINK("https://glottolog.org/resource/languoid/id/hrus1242","Hruso")</f>
        <v>Hruso</v>
      </c>
      <c r="C301" s="12">
        <v>27.27</v>
      </c>
      <c r="D301" s="12">
        <v>92.63</v>
      </c>
    </row>
    <row r="302" spans="1:4">
      <c r="A302" s="12" t="s">
        <v>31895</v>
      </c>
      <c r="B302" s="12" t="str">
        <f>HYPERLINK("https://glottolog.org/resource/languoid/id/iber1250","Iberian")</f>
        <v>Iberian</v>
      </c>
      <c r="C302" s="12">
        <v>40.624000000000002</v>
      </c>
      <c r="D302" s="12">
        <v>0.21240100000000001</v>
      </c>
    </row>
    <row r="303" spans="1:4">
      <c r="A303" s="12" t="s">
        <v>32600</v>
      </c>
      <c r="B303" s="12" t="str">
        <f>HYPERLINK("https://glottolog.org/resource/languoid/id/iran1263","Irántxe-Münkü")</f>
        <v>Irántxe-Münkü</v>
      </c>
      <c r="C303" s="12">
        <v>-12.7178</v>
      </c>
      <c r="D303" s="12">
        <v>-57.980600000000003</v>
      </c>
    </row>
    <row r="304" spans="1:4">
      <c r="A304" s="12" t="s">
        <v>32871</v>
      </c>
      <c r="B304" s="12" t="str">
        <f>HYPERLINK("https://glottolog.org/resource/languoid/id/iton1250","Itonama")</f>
        <v>Itonama</v>
      </c>
      <c r="C304" s="12">
        <v>-12.804309999999999</v>
      </c>
      <c r="D304" s="12">
        <v>-64.357479999999995</v>
      </c>
    </row>
    <row r="305" spans="1:4">
      <c r="A305" s="12" t="s">
        <v>21504</v>
      </c>
      <c r="B305" s="12" t="str">
        <f>HYPERLINK("https://glottolog.org/resource/languoid/id/cent2045","Jalaa")</f>
        <v>Jalaa</v>
      </c>
      <c r="C305" s="12">
        <v>9.5943299999999994</v>
      </c>
      <c r="D305" s="12">
        <v>11.5853</v>
      </c>
    </row>
    <row r="306" spans="1:4">
      <c r="A306" s="12" t="s">
        <v>15490</v>
      </c>
      <c r="B306" s="12" t="str">
        <f>HYPERLINK("https://glottolog.org/resource/languoid/id/jira1235","Jirajaran")</f>
        <v>Jirajaran</v>
      </c>
      <c r="C306" s="12">
        <v>7.2666666666699999</v>
      </c>
      <c r="D306" s="12">
        <v>-68.400000000000006</v>
      </c>
    </row>
    <row r="307" spans="1:4">
      <c r="A307" s="12" t="s">
        <v>34302</v>
      </c>
      <c r="B307" s="12" t="str">
        <f>HYPERLINK("https://glottolog.org/resource/languoid/id/kaki1249","Kaki Ae")</f>
        <v>Kaki Ae</v>
      </c>
      <c r="C307" s="12">
        <v>-7.9946000000000002</v>
      </c>
      <c r="D307" s="12">
        <v>145.816</v>
      </c>
    </row>
    <row r="308" spans="1:4">
      <c r="A308" s="12" t="s">
        <v>34876</v>
      </c>
      <c r="B308" s="12" t="str">
        <f>HYPERLINK("https://glottolog.org/resource/languoid/id/kano1245","Kanoê")</f>
        <v>Kanoê</v>
      </c>
      <c r="C308" s="12">
        <v>-12.178900000000001</v>
      </c>
      <c r="D308" s="12">
        <v>-64.581199999999995</v>
      </c>
    </row>
    <row r="309" spans="1:4">
      <c r="A309" s="12" t="s">
        <v>34958</v>
      </c>
      <c r="B309" s="12" t="str">
        <f>HYPERLINK("https://glottolog.org/resource/languoid/id/kapo1250","Kapori")</f>
        <v>Kapori</v>
      </c>
      <c r="C309" s="12">
        <v>-3.5269599999999999</v>
      </c>
      <c r="D309" s="12">
        <v>139.76599999999999</v>
      </c>
    </row>
    <row r="310" spans="1:4">
      <c r="A310" s="12" t="s">
        <v>35102</v>
      </c>
      <c r="B310" s="12" t="str">
        <f>HYPERLINK("https://glottolog.org/resource/languoid/id/kara1497","Karami")</f>
        <v>Karami</v>
      </c>
      <c r="C310" s="12">
        <v>-7.1333299999999999</v>
      </c>
      <c r="D310" s="12">
        <v>143.11699999999999</v>
      </c>
    </row>
    <row r="311" spans="1:4">
      <c r="A311" s="12" t="s">
        <v>35012</v>
      </c>
      <c r="B311" s="12" t="str">
        <f>HYPERLINK("https://glottolog.org/resource/languoid/id/kara1289","Karankawa")</f>
        <v>Karankawa</v>
      </c>
      <c r="C311" s="12">
        <v>28.908200000000001</v>
      </c>
      <c r="D311" s="12">
        <v>-96.485600000000005</v>
      </c>
    </row>
    <row r="312" spans="1:4">
      <c r="A312" s="12" t="s">
        <v>25764</v>
      </c>
      <c r="B312" s="12" t="str">
        <f>HYPERLINK("https://glottolog.org/resource/languoid/id/kari1254","Kariri")</f>
        <v>Kariri</v>
      </c>
      <c r="C312" s="12">
        <v>-7.434628</v>
      </c>
      <c r="D312" s="12">
        <v>-40.487274999999997</v>
      </c>
    </row>
    <row r="313" spans="1:4">
      <c r="A313" s="12" t="s">
        <v>35255</v>
      </c>
      <c r="B313" s="12" t="str">
        <f>HYPERLINK("https://glottolog.org/resource/languoid/id/karo1304","Karok")</f>
        <v>Karok</v>
      </c>
      <c r="C313" s="12">
        <v>41.822800000000001</v>
      </c>
      <c r="D313" s="12">
        <v>-123.315</v>
      </c>
    </row>
    <row r="314" spans="1:4">
      <c r="A314" s="12" t="s">
        <v>35482</v>
      </c>
      <c r="B314" s="12" t="str">
        <f>HYPERLINK("https://glottolog.org/resource/languoid/id/kaur1271","Kaure-Narau")</f>
        <v>Kaure-Narau</v>
      </c>
      <c r="C314" s="12">
        <v>-3.39188</v>
      </c>
      <c r="D314" s="12">
        <v>140.13999999999999</v>
      </c>
    </row>
    <row r="315" spans="1:4">
      <c r="A315" s="12" t="s">
        <v>35708</v>
      </c>
      <c r="B315" s="12" t="str">
        <f>HYPERLINK("https://glottolog.org/resource/languoid/id/kehu1238","Kehu")</f>
        <v>Kehu</v>
      </c>
      <c r="C315" s="12">
        <v>-3.1932800000000001</v>
      </c>
      <c r="D315" s="12">
        <v>136.13999999999999</v>
      </c>
    </row>
    <row r="316" spans="1:4">
      <c r="A316" s="12" t="s">
        <v>35797</v>
      </c>
      <c r="B316" s="12" t="str">
        <f>HYPERLINK("https://glottolog.org/resource/languoid/id/kemb1250","Kembra")</f>
        <v>Kembra</v>
      </c>
      <c r="C316" s="12">
        <v>-3.8906499999999999</v>
      </c>
      <c r="D316" s="12">
        <v>140.434</v>
      </c>
    </row>
    <row r="317" spans="1:4">
      <c r="A317" s="12" t="s">
        <v>35822</v>
      </c>
      <c r="B317" s="12" t="str">
        <f>HYPERLINK("https://glottolog.org/resource/languoid/id/kena1236","Kenaboi")</f>
        <v>Kenaboi</v>
      </c>
      <c r="C317" s="12">
        <v>3.1541619999999999</v>
      </c>
      <c r="D317" s="12">
        <v>102.01596000000001</v>
      </c>
    </row>
    <row r="318" spans="1:4">
      <c r="A318" s="12" t="s">
        <v>12548</v>
      </c>
      <c r="B318" s="12" t="str">
        <f>HYPERLINK("https://glottolog.org/resource/languoid/id/kibi1239","Kibiri")</f>
        <v>Kibiri</v>
      </c>
      <c r="C318" s="12">
        <v>-7.4527599999999996</v>
      </c>
      <c r="D318" s="12">
        <v>144.29599999999999</v>
      </c>
    </row>
    <row r="319" spans="1:4">
      <c r="A319" s="12" t="s">
        <v>36532</v>
      </c>
      <c r="B319" s="12" t="str">
        <f>HYPERLINK("https://glottolog.org/resource/languoid/id/kimk1238","Kimki")</f>
        <v>Kimki</v>
      </c>
      <c r="C319" s="12">
        <v>-4.2742000000000004</v>
      </c>
      <c r="D319" s="12">
        <v>140.88399999999999</v>
      </c>
    </row>
    <row r="320" spans="1:4">
      <c r="A320" s="12" t="s">
        <v>36780</v>
      </c>
      <c r="B320" s="12" t="str">
        <f>HYPERLINK("https://glottolog.org/resource/languoid/id/klam1254","Klamath-Modoc")</f>
        <v>Klamath-Modoc</v>
      </c>
      <c r="C320" s="12">
        <v>42.586100000000002</v>
      </c>
      <c r="D320" s="12">
        <v>-121.70399999999999</v>
      </c>
    </row>
    <row r="321" spans="1:4">
      <c r="A321" s="12" t="s">
        <v>37072</v>
      </c>
      <c r="B321" s="12" t="str">
        <f>HYPERLINK("https://glottolog.org/resource/languoid/id/kolp1236","Kol (Papua New Guinea)")</f>
        <v>Kol (Papua New Guinea)</v>
      </c>
      <c r="C321" s="12">
        <v>-5.2104200000000001</v>
      </c>
      <c r="D321" s="12">
        <v>151.583</v>
      </c>
    </row>
    <row r="322" spans="1:4">
      <c r="A322" s="12" t="s">
        <v>37548</v>
      </c>
      <c r="B322" s="12" t="str">
        <f>HYPERLINK("https://glottolog.org/resource/languoid/id/kosa1251","Kosadle")</f>
        <v>Kosadle</v>
      </c>
      <c r="C322" s="12">
        <v>-3.78748</v>
      </c>
      <c r="D322" s="12">
        <v>140.197</v>
      </c>
    </row>
    <row r="323" spans="1:4">
      <c r="A323" s="12" t="s">
        <v>37984</v>
      </c>
      <c r="B323" s="12" t="str">
        <f>HYPERLINK("https://glottolog.org/resource/languoid/id/kuja1239","Kujarge")</f>
        <v>Kujarge</v>
      </c>
      <c r="C323" s="12">
        <v>11.747299999999999</v>
      </c>
      <c r="D323" s="12">
        <v>22.195599999999999</v>
      </c>
    </row>
    <row r="324" spans="1:4">
      <c r="A324" s="12" t="s">
        <v>12514</v>
      </c>
      <c r="B324" s="12" t="str">
        <f>HYPERLINK("https://glottolog.org/resource/languoid/id/kuna1268","Kunama")</f>
        <v>Kunama</v>
      </c>
      <c r="C324" s="12">
        <v>14.587899999999999</v>
      </c>
      <c r="D324" s="12">
        <v>37.529200000000003</v>
      </c>
    </row>
    <row r="325" spans="1:4">
      <c r="A325" s="12" t="s">
        <v>38250</v>
      </c>
      <c r="B325" s="12" t="str">
        <f>HYPERLINK("https://glottolog.org/resource/languoid/id/kung1259","Kungarakany")</f>
        <v>Kungarakany</v>
      </c>
      <c r="C325" s="12">
        <v>-12.7</v>
      </c>
      <c r="D325" s="12">
        <v>130.881</v>
      </c>
    </row>
    <row r="326" spans="1:4">
      <c r="A326" s="12" t="s">
        <v>38303</v>
      </c>
      <c r="B326" s="12" t="str">
        <f>HYPERLINK("https://glottolog.org/resource/languoid/id/kunz1244","Kunza")</f>
        <v>Kunza</v>
      </c>
      <c r="C326" s="12">
        <v>-23</v>
      </c>
      <c r="D326" s="12">
        <v>-69</v>
      </c>
    </row>
    <row r="327" spans="1:4">
      <c r="A327" s="12" t="s">
        <v>38309</v>
      </c>
      <c r="B327" s="12" t="str">
        <f>HYPERLINK("https://glottolog.org/resource/languoid/id/kuot1243","Kuot")</f>
        <v>Kuot</v>
      </c>
      <c r="C327" s="12">
        <v>-3.0695199999999998</v>
      </c>
      <c r="D327" s="12">
        <v>151.53700000000001</v>
      </c>
    </row>
    <row r="328" spans="1:4">
      <c r="A328" s="12" t="s">
        <v>38456</v>
      </c>
      <c r="B328" s="12" t="str">
        <f>HYPERLINK("https://glottolog.org/resource/languoid/id/kusu1250","Kusunda")</f>
        <v>Kusunda</v>
      </c>
      <c r="C328" s="12">
        <v>29.176600000000001</v>
      </c>
      <c r="D328" s="12">
        <v>80.630899999999997</v>
      </c>
    </row>
    <row r="329" spans="1:4">
      <c r="A329" s="12" t="s">
        <v>38474</v>
      </c>
      <c r="B329" s="12" t="str">
        <f>HYPERLINK("https://glottolog.org/resource/languoid/id/kute1249","Kutenai")</f>
        <v>Kutenai</v>
      </c>
      <c r="C329" s="12">
        <v>48.789200000000001</v>
      </c>
      <c r="D329" s="12">
        <v>-115.065</v>
      </c>
    </row>
    <row r="330" spans="1:4">
      <c r="A330" s="12" t="s">
        <v>38698</v>
      </c>
      <c r="B330" s="12" t="str">
        <f>HYPERLINK("https://glottolog.org/resource/languoid/id/kwaz1243","Kwaza")</f>
        <v>Kwaza</v>
      </c>
      <c r="C330" s="12">
        <v>-11.666700000000001</v>
      </c>
      <c r="D330" s="12">
        <v>-61.183300000000003</v>
      </c>
    </row>
    <row r="331" spans="1:4">
      <c r="A331" s="12" t="s">
        <v>38832</v>
      </c>
      <c r="B331" s="12" t="str">
        <f>HYPERLINK("https://glottolog.org/resource/languoid/id/laal1242","Laal")</f>
        <v>Laal</v>
      </c>
      <c r="C331" s="12">
        <v>10.0063</v>
      </c>
      <c r="D331" s="12">
        <v>17.6143</v>
      </c>
    </row>
    <row r="332" spans="1:4">
      <c r="A332" s="12" t="s">
        <v>33330</v>
      </c>
      <c r="B332" s="12" t="str">
        <f>HYPERLINK("https://glottolog.org/resource/languoid/id/lafo1243","Lafofa")</f>
        <v>Lafofa</v>
      </c>
      <c r="C332" s="12">
        <v>10.335699999999999</v>
      </c>
      <c r="D332" s="12">
        <v>30.7331</v>
      </c>
    </row>
    <row r="333" spans="1:4">
      <c r="A333" s="12" t="s">
        <v>39435</v>
      </c>
      <c r="B333" s="12" t="str">
        <f>HYPERLINK("https://glottolog.org/resource/languoid/id/lara1258","Laragia")</f>
        <v>Laragia</v>
      </c>
      <c r="C333" s="12">
        <v>-12.411099999999999</v>
      </c>
      <c r="D333" s="12">
        <v>130.922</v>
      </c>
    </row>
    <row r="334" spans="1:4">
      <c r="A334" s="12" t="s">
        <v>39587</v>
      </c>
      <c r="B334" s="12" t="str">
        <f>HYPERLINK("https://glottolog.org/resource/languoid/id/lavu1241","Lavukaleve")</f>
        <v>Lavukaleve</v>
      </c>
      <c r="C334" s="12">
        <v>-9.0556900000000002</v>
      </c>
      <c r="D334" s="12">
        <v>159.119</v>
      </c>
    </row>
    <row r="335" spans="1:4">
      <c r="A335" s="12" t="s">
        <v>39660</v>
      </c>
      <c r="B335" s="12" t="str">
        <f>HYPERLINK("https://glottolog.org/resource/languoid/id/leco1242","Leco")</f>
        <v>Leco</v>
      </c>
      <c r="C335" s="12">
        <v>-15.0092</v>
      </c>
      <c r="D335" s="12">
        <v>-67.881799999999998</v>
      </c>
    </row>
    <row r="336" spans="1:4">
      <c r="A336" s="12" t="s">
        <v>41125</v>
      </c>
      <c r="B336" s="12" t="str">
        <f>HYPERLINK("https://glottolog.org/resource/languoid/id/lule1238","Lule")</f>
        <v>Lule</v>
      </c>
      <c r="C336" s="12">
        <v>-25.221838999999999</v>
      </c>
      <c r="D336" s="12">
        <v>-61.887818000000003</v>
      </c>
    </row>
    <row r="337" spans="1:4">
      <c r="A337" s="12" t="s">
        <v>2964</v>
      </c>
      <c r="B337" s="12" t="str">
        <f>HYPERLINK("https://glottolog.org/resource/languoid/id/maku1246","Máku")</f>
        <v>Máku</v>
      </c>
      <c r="C337" s="12">
        <v>3.9692310000000002</v>
      </c>
      <c r="D337" s="12">
        <v>-64.235892000000007</v>
      </c>
    </row>
    <row r="338" spans="1:4">
      <c r="A338" s="12" t="s">
        <v>42830</v>
      </c>
      <c r="B338" s="12" t="str">
        <f>HYPERLINK("https://glottolog.org/resource/languoid/id/mara1266","Maratino")</f>
        <v>Maratino</v>
      </c>
      <c r="C338" s="12">
        <v>24.339089000000001</v>
      </c>
      <c r="D338" s="12">
        <v>-98.576661000000001</v>
      </c>
    </row>
    <row r="339" spans="1:4">
      <c r="A339" s="12" t="s">
        <v>45375</v>
      </c>
      <c r="B339" s="12" t="str">
        <f>HYPERLINK("https://glottolog.org/resource/languoid/id/moro1289","Marori")</f>
        <v>Marori</v>
      </c>
      <c r="C339" s="12">
        <v>-8.5692000000000004</v>
      </c>
      <c r="D339" s="12">
        <v>140.68799999999999</v>
      </c>
    </row>
    <row r="340" spans="1:4">
      <c r="A340" s="12" t="s">
        <v>43279</v>
      </c>
      <c r="B340" s="12" t="str">
        <f>HYPERLINK("https://glottolog.org/resource/languoid/id/mass1263","Massep")</f>
        <v>Massep</v>
      </c>
      <c r="C340" s="12">
        <v>-1.7467900000000001</v>
      </c>
      <c r="D340" s="12">
        <v>138.29400000000001</v>
      </c>
    </row>
    <row r="341" spans="1:4">
      <c r="A341" s="12" t="s">
        <v>43292</v>
      </c>
      <c r="B341" s="12" t="str">
        <f>HYPERLINK("https://glottolog.org/resource/languoid/id/mata1275","Matanawí")</f>
        <v>Matanawí</v>
      </c>
      <c r="C341" s="12">
        <v>-4.8509510999999996</v>
      </c>
      <c r="D341" s="12">
        <v>-58.988616999999998</v>
      </c>
    </row>
    <row r="342" spans="1:4">
      <c r="A342" s="12" t="s">
        <v>43377</v>
      </c>
      <c r="B342" s="12" t="str">
        <f>HYPERLINK("https://glottolog.org/resource/languoid/id/mato1253","Mato Grosso Arára")</f>
        <v>Mato Grosso Arára</v>
      </c>
      <c r="C342" s="12">
        <v>-9.1726089999999996</v>
      </c>
      <c r="D342" s="12">
        <v>-60.628867</v>
      </c>
    </row>
    <row r="343" spans="1:4">
      <c r="A343" s="12" t="s">
        <v>43465</v>
      </c>
      <c r="B343" s="12" t="str">
        <f>HYPERLINK("https://glottolog.org/resource/languoid/id/mawe1251","Mawes")</f>
        <v>Mawes</v>
      </c>
      <c r="C343" s="12">
        <v>-2.36944</v>
      </c>
      <c r="D343" s="12">
        <v>139.75200000000001</v>
      </c>
    </row>
    <row r="344" spans="1:4">
      <c r="A344" s="12" t="s">
        <v>35252</v>
      </c>
      <c r="B344" s="12" t="str">
        <f>HYPERLINK("https://glottolog.org/resource/languoid/id/maib1239","Maybrat-Karon")</f>
        <v>Maybrat-Karon</v>
      </c>
      <c r="C344" s="12">
        <v>-1.3678999999999999</v>
      </c>
      <c r="D344" s="12">
        <v>132.59100000000001</v>
      </c>
    </row>
    <row r="345" spans="1:4">
      <c r="A345" s="12" t="s">
        <v>44141</v>
      </c>
      <c r="B345" s="12" t="str">
        <f>HYPERLINK("https://glottolog.org/resource/languoid/id/mero1237","Meroitic")</f>
        <v>Meroitic</v>
      </c>
      <c r="C345" s="12">
        <v>16.933299999999999</v>
      </c>
      <c r="D345" s="12">
        <v>33.7333</v>
      </c>
    </row>
    <row r="346" spans="1:4">
      <c r="A346" s="12" t="s">
        <v>44498</v>
      </c>
      <c r="B346" s="12" t="str">
        <f>HYPERLINK("https://glottolog.org/resource/languoid/id/mimi1240","Mimi-Gaudefroy")</f>
        <v>Mimi-Gaudefroy</v>
      </c>
      <c r="C346" s="12">
        <v>13.827507000000001</v>
      </c>
      <c r="D346" s="12">
        <v>21.113240000000001</v>
      </c>
    </row>
    <row r="347" spans="1:4">
      <c r="A347" s="12" t="s">
        <v>44605</v>
      </c>
      <c r="B347" s="12" t="str">
        <f>HYPERLINK("https://glottolog.org/resource/languoid/id/mink1237","Minkin")</f>
        <v>Minkin</v>
      </c>
      <c r="C347" s="12">
        <v>-17.736653</v>
      </c>
      <c r="D347" s="12">
        <v>139.54193100000001</v>
      </c>
    </row>
    <row r="348" spans="1:4">
      <c r="A348" s="12" t="s">
        <v>44882</v>
      </c>
      <c r="B348" s="12" t="str">
        <f>HYPERLINK("https://glottolog.org/resource/languoid/id/moch1259","Mochica")</f>
        <v>Mochica</v>
      </c>
      <c r="C348" s="12">
        <v>-8.0166699999999995</v>
      </c>
      <c r="D348" s="12">
        <v>-79</v>
      </c>
    </row>
    <row r="349" spans="1:4">
      <c r="A349" s="12" t="s">
        <v>45046</v>
      </c>
      <c r="B349" s="12" t="str">
        <f>HYPERLINK("https://glottolog.org/resource/languoid/id/mola1238","Molale")</f>
        <v>Molale</v>
      </c>
      <c r="C349" s="12">
        <v>44.555999999999997</v>
      </c>
      <c r="D349" s="12">
        <v>-122.857</v>
      </c>
    </row>
    <row r="350" spans="1:4">
      <c r="A350" s="12" t="s">
        <v>45095</v>
      </c>
      <c r="B350" s="12" t="str">
        <f>HYPERLINK("https://glottolog.org/resource/languoid/id/molo1262","Molof")</f>
        <v>Molof</v>
      </c>
      <c r="C350" s="12">
        <v>-3.4194599999999999</v>
      </c>
      <c r="D350" s="12">
        <v>140.55699999999999</v>
      </c>
    </row>
    <row r="351" spans="1:4">
      <c r="A351" s="12" t="s">
        <v>45303</v>
      </c>
      <c r="B351" s="12" t="str">
        <f>HYPERLINK("https://glottolog.org/resource/languoid/id/morb1239","Mor (Bomberai Peninsula)")</f>
        <v>Mor (Bomberai Peninsula)</v>
      </c>
      <c r="C351" s="12">
        <v>-2.8574700000000002</v>
      </c>
      <c r="D351" s="12">
        <v>132.845</v>
      </c>
    </row>
    <row r="352" spans="1:4">
      <c r="A352" s="12" t="s">
        <v>45403</v>
      </c>
      <c r="B352" s="12" t="str">
        <f>HYPERLINK("https://glottolog.org/resource/languoid/id/mose1249","Mosetén-Chimané")</f>
        <v>Mosetén-Chimané</v>
      </c>
      <c r="C352" s="12">
        <v>-14.64448</v>
      </c>
      <c r="D352" s="12">
        <v>-67.837559999999996</v>
      </c>
    </row>
    <row r="353" spans="1:4">
      <c r="A353" s="12" t="s">
        <v>45465</v>
      </c>
      <c r="B353" s="12" t="str">
        <f>HYPERLINK("https://glottolog.org/resource/languoid/id/movi1243","Movima")</f>
        <v>Movima</v>
      </c>
      <c r="C353" s="12">
        <v>-13.811500000000001</v>
      </c>
      <c r="D353" s="12">
        <v>-65.634799999999998</v>
      </c>
    </row>
    <row r="354" spans="1:4">
      <c r="A354" s="12" t="s">
        <v>12629</v>
      </c>
      <c r="B354" s="12" t="str">
        <f>HYPERLINK("https://glottolog.org/resource/languoid/id/mpur1239","Mpur")</f>
        <v>Mpur</v>
      </c>
      <c r="C354" s="12">
        <v>-0.74890000000000001</v>
      </c>
      <c r="D354" s="12">
        <v>133.166</v>
      </c>
    </row>
    <row r="355" spans="1:4">
      <c r="A355" s="12" t="s">
        <v>45803</v>
      </c>
      <c r="B355" s="12" t="str">
        <f>HYPERLINK("https://glottolog.org/resource/languoid/id/muni1258","Muniche")</f>
        <v>Muniche</v>
      </c>
      <c r="C355" s="12">
        <v>-5.7441795999999998</v>
      </c>
      <c r="D355" s="12">
        <v>-76.426711999999995</v>
      </c>
    </row>
    <row r="356" spans="1:4">
      <c r="A356" s="12" t="s">
        <v>45857</v>
      </c>
      <c r="B356" s="12" t="str">
        <f>HYPERLINK("https://glottolog.org/resource/languoid/id/mure1235","Mure")</f>
        <v>Mure</v>
      </c>
      <c r="C356" s="12">
        <v>-13.636709</v>
      </c>
      <c r="D356" s="12">
        <v>-62.202090900000002</v>
      </c>
    </row>
    <row r="357" spans="1:4">
      <c r="A357" s="12" t="s">
        <v>26637</v>
      </c>
      <c r="B357" s="12" t="str">
        <f>HYPERLINK("https://glottolog.org/resource/languoid/id/nara1262","Nara")</f>
        <v>Nara</v>
      </c>
      <c r="C357" s="12">
        <v>15.325100000000001</v>
      </c>
      <c r="D357" s="12">
        <v>37.499000000000002</v>
      </c>
    </row>
    <row r="358" spans="1:4">
      <c r="A358" s="12" t="s">
        <v>46623</v>
      </c>
      <c r="B358" s="12" t="str">
        <f>HYPERLINK("https://glottolog.org/resource/languoid/id/natc1249","Natchez")</f>
        <v>Natchez</v>
      </c>
      <c r="C358" s="12">
        <v>31.75</v>
      </c>
      <c r="D358" s="12">
        <v>-91.33</v>
      </c>
    </row>
    <row r="359" spans="1:4">
      <c r="A359" s="12" t="s">
        <v>47718</v>
      </c>
      <c r="B359" s="12" t="str">
        <f>HYPERLINK("https://glottolog.org/resource/languoid/id/niha1238","Nihali")</f>
        <v>Nihali</v>
      </c>
      <c r="C359" s="12">
        <v>21.188600000000001</v>
      </c>
      <c r="D359" s="12">
        <v>76.331800000000001</v>
      </c>
    </row>
    <row r="360" spans="1:4">
      <c r="A360" s="12" t="s">
        <v>6842</v>
      </c>
      <c r="B360" s="12" t="str">
        <f>HYPERLINK("https://glottolog.org/resource/languoid/id/gily1242","Nivkh")</f>
        <v>Nivkh</v>
      </c>
      <c r="C360" s="12">
        <v>52.59</v>
      </c>
      <c r="D360" s="12">
        <v>140.68100000000001</v>
      </c>
    </row>
    <row r="361" spans="1:4">
      <c r="A361" s="12" t="s">
        <v>50795</v>
      </c>
      <c r="B361" s="12" t="str">
        <f>HYPERLINK("https://glottolog.org/resource/languoid/id/odia1239","Odiai")</f>
        <v>Odiai</v>
      </c>
      <c r="C361" s="12">
        <v>-3.8227600000000002</v>
      </c>
      <c r="D361" s="12">
        <v>141.33600000000001</v>
      </c>
    </row>
    <row r="362" spans="1:4">
      <c r="A362" s="12" t="s">
        <v>51304</v>
      </c>
      <c r="B362" s="12" t="str">
        <f>HYPERLINK("https://glottolog.org/resource/languoid/id/omur1241","Omurano")</f>
        <v>Omurano</v>
      </c>
      <c r="C362" s="12">
        <v>-4.8166669999999998</v>
      </c>
      <c r="D362" s="12">
        <v>-75.400000000000006</v>
      </c>
    </row>
    <row r="363" spans="1:4">
      <c r="A363" s="12" t="s">
        <v>18750</v>
      </c>
      <c r="B363" s="12" t="str">
        <f>HYPERLINK("https://glottolog.org/resource/languoid/id/bira1253","Ongota")</f>
        <v>Ongota</v>
      </c>
      <c r="C363" s="12">
        <v>5.2980700000000001</v>
      </c>
      <c r="D363" s="12">
        <v>37.024999999999999</v>
      </c>
    </row>
    <row r="364" spans="1:4">
      <c r="A364" s="12" t="s">
        <v>51643</v>
      </c>
      <c r="B364" s="12" t="str">
        <f>HYPERLINK("https://glottolog.org/resource/languoid/id/otii1244","Oti")</f>
        <v>Oti</v>
      </c>
      <c r="C364" s="12">
        <v>-24.315323100000001</v>
      </c>
      <c r="D364" s="12">
        <v>-50.558026099999999</v>
      </c>
    </row>
    <row r="365" spans="1:4">
      <c r="A365" s="12" t="s">
        <v>51770</v>
      </c>
      <c r="B365" s="12" t="str">
        <f>HYPERLINK("https://glottolog.org/resource/languoid/id/oyst1235","Oyster Bay-Big River-Little Swanport")</f>
        <v>Oyster Bay-Big River-Little Swanport</v>
      </c>
      <c r="C365" s="12">
        <v>-42.307378</v>
      </c>
      <c r="D365" s="12">
        <v>147.50060999999999</v>
      </c>
    </row>
    <row r="366" spans="1:4">
      <c r="A366" s="12" t="s">
        <v>51855</v>
      </c>
      <c r="B366" s="12" t="str">
        <f>HYPERLINK("https://glottolog.org/resource/languoid/id/paez1247","Páez")</f>
        <v>Páez</v>
      </c>
      <c r="C366" s="12">
        <v>2.6151599999999999</v>
      </c>
      <c r="D366" s="12">
        <v>-76.3125</v>
      </c>
    </row>
    <row r="367" spans="1:4">
      <c r="A367" s="12" t="s">
        <v>52271</v>
      </c>
      <c r="B367" s="12" t="str">
        <f>HYPERLINK("https://glottolog.org/resource/languoid/id/pank1250","Pankararú")</f>
        <v>Pankararú</v>
      </c>
      <c r="C367" s="12">
        <v>-8.9999900000000004</v>
      </c>
      <c r="D367" s="12">
        <v>-37.0167</v>
      </c>
    </row>
    <row r="368" spans="1:4">
      <c r="A368" s="12" t="s">
        <v>52341</v>
      </c>
      <c r="B368" s="12" t="str">
        <f>HYPERLINK("https://glottolog.org/resource/languoid/id/papi1255","Papi")</f>
        <v>Papi</v>
      </c>
      <c r="C368" s="12">
        <v>-4.4725000000000001</v>
      </c>
      <c r="D368" s="12">
        <v>142.011</v>
      </c>
    </row>
    <row r="369" spans="1:4">
      <c r="A369" s="12" t="s">
        <v>15155</v>
      </c>
      <c r="B369" s="12" t="str">
        <f>HYPERLINK("https://glottolog.org/resource/languoid/id/pawa1255","Pawaia")</f>
        <v>Pawaia</v>
      </c>
      <c r="C369" s="12">
        <v>-6.8802099999999999</v>
      </c>
      <c r="D369" s="12">
        <v>145.08099999999999</v>
      </c>
    </row>
    <row r="370" spans="1:4">
      <c r="A370" s="12" t="s">
        <v>52616</v>
      </c>
      <c r="B370" s="12" t="str">
        <f>HYPERLINK("https://glottolog.org/resource/languoid/id/paya1236","Payagua")</f>
        <v>Payagua</v>
      </c>
      <c r="C370" s="12">
        <v>-20.212233000000001</v>
      </c>
      <c r="D370" s="12">
        <v>-58.158622000000001</v>
      </c>
    </row>
    <row r="371" spans="1:4">
      <c r="A371" s="12" t="s">
        <v>14939</v>
      </c>
      <c r="B371" s="12" t="str">
        <f>HYPERLINK("https://glottolog.org/resource/languoid/id/pele1245","Pele-Ata")</f>
        <v>Pele-Ata</v>
      </c>
      <c r="C371" s="12">
        <v>-5.5804499999999999</v>
      </c>
      <c r="D371" s="12">
        <v>151.05000000000001</v>
      </c>
    </row>
    <row r="372" spans="1:4">
      <c r="A372" s="12" t="s">
        <v>45851</v>
      </c>
      <c r="B372" s="12" t="str">
        <f>HYPERLINK("https://glottolog.org/resource/languoid/id/pira1253","Pirahã")</f>
        <v>Pirahã</v>
      </c>
      <c r="C372" s="12">
        <v>-6.7771299999999997</v>
      </c>
      <c r="D372" s="12">
        <v>-61.816699999999997</v>
      </c>
    </row>
    <row r="373" spans="1:4">
      <c r="A373" s="12" t="s">
        <v>53663</v>
      </c>
      <c r="B373" s="12" t="str">
        <f>HYPERLINK("https://glottolog.org/resource/languoid/id/puel1244","Puelche")</f>
        <v>Puelche</v>
      </c>
      <c r="C373" s="12">
        <v>-36.637599999999999</v>
      </c>
      <c r="D373" s="12">
        <v>-62.941299999999998</v>
      </c>
    </row>
    <row r="374" spans="1:4">
      <c r="A374" s="12" t="s">
        <v>53675</v>
      </c>
      <c r="B374" s="12" t="str">
        <f>HYPERLINK("https://glottolog.org/resource/languoid/id/puin1248","Puinave")</f>
        <v>Puinave</v>
      </c>
      <c r="C374" s="12">
        <v>3.9297399999999998</v>
      </c>
      <c r="D374" s="12">
        <v>-67.688599999999994</v>
      </c>
    </row>
    <row r="375" spans="1:4">
      <c r="A375" s="12" t="s">
        <v>971</v>
      </c>
      <c r="B375" s="12" t="str">
        <f>HYPERLINK("https://glottolog.org/resource/languoid/id/pume1238","Pumé")</f>
        <v>Pumé</v>
      </c>
      <c r="C375" s="12">
        <v>7.10677</v>
      </c>
      <c r="D375" s="12">
        <v>-67.599599999999995</v>
      </c>
    </row>
    <row r="376" spans="1:4">
      <c r="A376" s="12" t="s">
        <v>53796</v>
      </c>
      <c r="B376" s="12" t="str">
        <f>HYPERLINK("https://glottolog.org/resource/languoid/id/puqu1242","Puquina")</f>
        <v>Puquina</v>
      </c>
      <c r="C376" s="12">
        <v>-15.8992</v>
      </c>
      <c r="D376" s="12">
        <v>-69.961100000000002</v>
      </c>
    </row>
    <row r="377" spans="1:4">
      <c r="A377" s="12" t="s">
        <v>31837</v>
      </c>
      <c r="B377" s="12" t="str">
        <f>HYPERLINK("https://glottolog.org/resource/languoid/id/pura1257","Purari")</f>
        <v>Purari</v>
      </c>
      <c r="C377" s="12">
        <v>-7.5913300000000001</v>
      </c>
      <c r="D377" s="12">
        <v>145.036</v>
      </c>
    </row>
    <row r="378" spans="1:4">
      <c r="A378" s="12" t="s">
        <v>53898</v>
      </c>
      <c r="B378" s="12" t="str">
        <f>HYPERLINK("https://glottolog.org/resource/languoid/id/pyuu1245","Pyu")</f>
        <v>Pyu</v>
      </c>
      <c r="C378" s="12">
        <v>-4.4500299999999999</v>
      </c>
      <c r="D378" s="12">
        <v>141.018</v>
      </c>
    </row>
    <row r="379" spans="1:4">
      <c r="A379" s="12" t="s">
        <v>54200</v>
      </c>
      <c r="B379" s="12" t="str">
        <f>HYPERLINK("https://glottolog.org/resource/languoid/id/rama1271","Ramanos")</f>
        <v>Ramanos</v>
      </c>
      <c r="C379" s="12">
        <v>-14.3019482</v>
      </c>
      <c r="D379" s="12">
        <v>-67.359089400000002</v>
      </c>
    </row>
    <row r="380" spans="1:4">
      <c r="A380" s="12" t="s">
        <v>55237</v>
      </c>
      <c r="B380" s="12" t="str">
        <f>HYPERLINK("https://glottolog.org/resource/languoid/id/sali1253","Salinan")</f>
        <v>Salinan</v>
      </c>
      <c r="C380" s="12">
        <v>37.6646</v>
      </c>
      <c r="D380" s="12">
        <v>-121.718</v>
      </c>
    </row>
    <row r="381" spans="1:4">
      <c r="A381" s="12" t="s">
        <v>55481</v>
      </c>
      <c r="B381" s="12" t="str">
        <f>HYPERLINK("https://glottolog.org/resource/languoid/id/sand1273","Sandawe")</f>
        <v>Sandawe</v>
      </c>
      <c r="C381" s="12">
        <v>-5.2691800000000004</v>
      </c>
      <c r="D381" s="12">
        <v>35.480800000000002</v>
      </c>
    </row>
    <row r="382" spans="1:4">
      <c r="A382" s="12" t="s">
        <v>55906</v>
      </c>
      <c r="B382" s="12" t="str">
        <f>HYPERLINK("https://glottolog.org/resource/languoid/id/sape1238","Sapé")</f>
        <v>Sapé</v>
      </c>
      <c r="C382" s="12">
        <v>4.0735660999999999</v>
      </c>
      <c r="D382" s="12">
        <v>-62.966652099999997</v>
      </c>
    </row>
    <row r="383" spans="1:4">
      <c r="A383" s="12" t="s">
        <v>56120</v>
      </c>
      <c r="B383" s="12" t="str">
        <f>HYPERLINK("https://glottolog.org/resource/languoid/id/saus1247","Sause")</f>
        <v>Sause</v>
      </c>
      <c r="C383" s="12">
        <v>-3.1663199999999998</v>
      </c>
      <c r="D383" s="12">
        <v>139.62700000000001</v>
      </c>
    </row>
    <row r="384" spans="1:4">
      <c r="A384" s="12" t="s">
        <v>8749</v>
      </c>
      <c r="B384" s="12" t="str">
        <f>HYPERLINK("https://glottolog.org/resource/languoid/id/savo1255","Savosavo")</f>
        <v>Savosavo</v>
      </c>
      <c r="C384" s="12">
        <v>-9.1285299999999996</v>
      </c>
      <c r="D384" s="12">
        <v>159.81399999999999</v>
      </c>
    </row>
    <row r="385" spans="1:4">
      <c r="A385" s="12" t="s">
        <v>51210</v>
      </c>
      <c r="B385" s="12" t="str">
        <f>HYPERLINK("https://glottolog.org/resource/languoid/id/sech1236","Sechuran")</f>
        <v>Sechuran</v>
      </c>
      <c r="C385" s="12">
        <v>-5.5689690000000001</v>
      </c>
      <c r="D385" s="12">
        <v>-80.828247000000005</v>
      </c>
    </row>
    <row r="386" spans="1:4">
      <c r="A386" s="12" t="s">
        <v>103</v>
      </c>
      <c r="B386" s="12" t="str">
        <f>HYPERLINK("https://glottolog.org/resource/languoid/id/seri1257","Seri")</f>
        <v>Seri</v>
      </c>
      <c r="C386" s="12">
        <v>28.9877</v>
      </c>
      <c r="D386" s="12">
        <v>-112.384</v>
      </c>
    </row>
    <row r="387" spans="1:4">
      <c r="A387" s="12" t="s">
        <v>56696</v>
      </c>
      <c r="B387" s="12" t="str">
        <f>HYPERLINK("https://glottolog.org/resource/languoid/id/shab1252","Shabo")</f>
        <v>Shabo</v>
      </c>
      <c r="C387" s="12">
        <v>7.6440700000000001</v>
      </c>
      <c r="D387" s="12">
        <v>35.222999999999999</v>
      </c>
    </row>
    <row r="388" spans="1:4">
      <c r="A388" s="12" t="s">
        <v>56992</v>
      </c>
      <c r="B388" s="12" t="str">
        <f>HYPERLINK("https://glottolog.org/resource/languoid/id/shom1245","Shom Peng")</f>
        <v>Shom Peng</v>
      </c>
      <c r="C388" s="12">
        <v>7.0209900000000003</v>
      </c>
      <c r="D388" s="12">
        <v>93.806399999999996</v>
      </c>
    </row>
    <row r="389" spans="1:4">
      <c r="A389" s="12" t="s">
        <v>16564</v>
      </c>
      <c r="B389" s="12" t="str">
        <f>HYPERLINK("https://glottolog.org/resource/languoid/id/siam1242","Siamou")</f>
        <v>Siamou</v>
      </c>
      <c r="C389" s="12">
        <v>10.997999999999999</v>
      </c>
      <c r="D389" s="12">
        <v>-4.92143</v>
      </c>
    </row>
    <row r="390" spans="1:4">
      <c r="A390" s="12" t="s">
        <v>57556</v>
      </c>
      <c r="B390" s="12" t="str">
        <f>HYPERLINK("https://glottolog.org/resource/languoid/id/sius1254","Siuslaw")</f>
        <v>Siuslaw</v>
      </c>
      <c r="C390" s="12">
        <v>42.511099999999999</v>
      </c>
      <c r="D390" s="12">
        <v>-124.379</v>
      </c>
    </row>
    <row r="391" spans="1:4">
      <c r="A391" s="12" t="s">
        <v>59236</v>
      </c>
      <c r="B391" s="12" t="str">
        <f>HYPERLINK("https://glottolog.org/resource/languoid/id/sulk1246","Sulka")</f>
        <v>Sulka</v>
      </c>
      <c r="C391" s="12">
        <v>-5.0347099999999996</v>
      </c>
      <c r="D391" s="12">
        <v>151.89099999999999</v>
      </c>
    </row>
    <row r="392" spans="1:4">
      <c r="A392" s="12" t="s">
        <v>59283</v>
      </c>
      <c r="B392" s="12" t="str">
        <f>HYPERLINK("https://glottolog.org/resource/languoid/id/sume1241","Sumerian")</f>
        <v>Sumerian</v>
      </c>
      <c r="C392" s="12">
        <v>31.3</v>
      </c>
      <c r="D392" s="12">
        <v>45.666699999999999</v>
      </c>
    </row>
    <row r="393" spans="1:4">
      <c r="A393" s="12" t="s">
        <v>14304</v>
      </c>
      <c r="B393" s="12" t="str">
        <f>HYPERLINK("https://glottolog.org/resource/languoid/id/tabo1241","Tabo")</f>
        <v>Tabo</v>
      </c>
      <c r="C393" s="12">
        <v>-8.0938700000000008</v>
      </c>
      <c r="D393" s="12">
        <v>143.30500000000001</v>
      </c>
    </row>
    <row r="394" spans="1:4">
      <c r="A394" s="12" t="s">
        <v>59727</v>
      </c>
      <c r="B394" s="12" t="str">
        <f>HYPERLINK("https://glottolog.org/resource/languoid/id/taia1239","Taiap")</f>
        <v>Taiap</v>
      </c>
      <c r="C394" s="12">
        <v>-4.0504699999999998</v>
      </c>
      <c r="D394" s="12">
        <v>144.506</v>
      </c>
    </row>
    <row r="395" spans="1:4">
      <c r="A395" s="12" t="s">
        <v>59891</v>
      </c>
      <c r="B395" s="12" t="str">
        <f>HYPERLINK("https://glottolog.org/resource/languoid/id/take1257","Takelma")</f>
        <v>Takelma</v>
      </c>
      <c r="C395" s="12">
        <v>42.423000000000002</v>
      </c>
      <c r="D395" s="12">
        <v>-123.452</v>
      </c>
    </row>
    <row r="396" spans="1:4">
      <c r="A396" s="12" t="s">
        <v>59969</v>
      </c>
      <c r="B396" s="12" t="str">
        <f>HYPERLINK("https://glottolog.org/resource/languoid/id/tall1235","Tallán")</f>
        <v>Tallán</v>
      </c>
      <c r="C396" s="12">
        <v>-5.3308239999999998</v>
      </c>
      <c r="D396" s="12">
        <v>-80.651093000000003</v>
      </c>
    </row>
    <row r="397" spans="1:4">
      <c r="A397" s="12" t="s">
        <v>60051</v>
      </c>
      <c r="B397" s="12" t="str">
        <f>HYPERLINK("https://glottolog.org/resource/languoid/id/tamb1257","Tambora")</f>
        <v>Tambora</v>
      </c>
      <c r="C397" s="12">
        <v>-8.25</v>
      </c>
      <c r="D397" s="12">
        <v>118</v>
      </c>
    </row>
    <row r="398" spans="1:4">
      <c r="A398" s="12" t="s">
        <v>60129</v>
      </c>
      <c r="B398" s="12" t="str">
        <f>HYPERLINK("https://glottolog.org/resource/languoid/id/tana1288","Tanahmerah")</f>
        <v>Tanahmerah</v>
      </c>
      <c r="C398" s="12">
        <v>-2.5522999999999998</v>
      </c>
      <c r="D398" s="12">
        <v>133.18</v>
      </c>
    </row>
    <row r="399" spans="1:4">
      <c r="A399" s="12" t="s">
        <v>60406</v>
      </c>
      <c r="B399" s="12" t="str">
        <f>HYPERLINK("https://glottolog.org/resource/languoid/id/taru1236","Taruma")</f>
        <v>Taruma</v>
      </c>
      <c r="C399" s="12">
        <v>-0.90963000000000005</v>
      </c>
      <c r="D399" s="12">
        <v>-59.904786000000001</v>
      </c>
    </row>
    <row r="400" spans="1:4">
      <c r="A400" s="12" t="s">
        <v>60482</v>
      </c>
      <c r="B400" s="12" t="str">
        <f>HYPERLINK("https://glottolog.org/resource/languoid/id/taus1253","Taushiro")</f>
        <v>Taushiro</v>
      </c>
      <c r="C400" s="12">
        <v>-3.2249699999999999</v>
      </c>
      <c r="D400" s="12">
        <v>-75.560299999999998</v>
      </c>
    </row>
    <row r="401" spans="1:4">
      <c r="A401" s="12" t="s">
        <v>23599</v>
      </c>
      <c r="B401" s="12" t="str">
        <f>HYPERLINK("https://glottolog.org/resource/languoid/id/timo1237","Timote-Cuica")</f>
        <v>Timote-Cuica</v>
      </c>
      <c r="C401" s="12">
        <v>8.8481649999999998</v>
      </c>
      <c r="D401" s="12">
        <v>-70.975341999999998</v>
      </c>
    </row>
    <row r="402" spans="1:4">
      <c r="A402" s="12" t="s">
        <v>60542</v>
      </c>
      <c r="B402" s="12" t="str">
        <f>HYPERLINK("https://glottolog.org/resource/languoid/id/timu1245","Timucua")</f>
        <v>Timucua</v>
      </c>
      <c r="C402" s="12">
        <v>30.302700000000002</v>
      </c>
      <c r="D402" s="12">
        <v>-82.313199999999995</v>
      </c>
    </row>
    <row r="403" spans="1:4">
      <c r="A403" s="12" t="s">
        <v>52110</v>
      </c>
      <c r="B403" s="12" t="str">
        <f>HYPERLINK("https://glottolog.org/resource/languoid/id/tini1245","Tinigua")</f>
        <v>Tinigua</v>
      </c>
      <c r="C403" s="12">
        <v>2.7160000000000002</v>
      </c>
      <c r="D403" s="12">
        <v>-73.768000000000001</v>
      </c>
    </row>
    <row r="404" spans="1:4">
      <c r="A404" s="12" t="s">
        <v>61497</v>
      </c>
      <c r="B404" s="12" t="str">
        <f>HYPERLINK("https://glottolog.org/resource/languoid/id/tiwi1244","Tiwi")</f>
        <v>Tiwi</v>
      </c>
      <c r="C404" s="12">
        <v>-11.630800000000001</v>
      </c>
      <c r="D404" s="12">
        <v>130.94900000000001</v>
      </c>
    </row>
    <row r="405" spans="1:4">
      <c r="A405" s="12" t="s">
        <v>61849</v>
      </c>
      <c r="B405" s="12" t="str">
        <f>HYPERLINK("https://glottolog.org/resource/languoid/id/tonk1249","Tonkawa")</f>
        <v>Tonkawa</v>
      </c>
      <c r="C405" s="12">
        <v>30.25</v>
      </c>
      <c r="D405" s="12">
        <v>-96.75</v>
      </c>
    </row>
    <row r="406" spans="1:4">
      <c r="A406" s="12" t="s">
        <v>61981</v>
      </c>
      <c r="B406" s="12" t="str">
        <f>HYPERLINK("https://glottolog.org/resource/languoid/id/touo1238","Touo")</f>
        <v>Touo</v>
      </c>
      <c r="C406" s="12">
        <v>-8.5840499999999995</v>
      </c>
      <c r="D406" s="12">
        <v>157.29599999999999</v>
      </c>
    </row>
    <row r="407" spans="1:4">
      <c r="A407" s="12" t="s">
        <v>62113</v>
      </c>
      <c r="B407" s="12" t="str">
        <f>HYPERLINK("https://glottolog.org/resource/languoid/id/trum1247","Trumai")</f>
        <v>Trumai</v>
      </c>
      <c r="C407" s="12">
        <v>-11.8119</v>
      </c>
      <c r="D407" s="12">
        <v>-53.5717</v>
      </c>
    </row>
    <row r="408" spans="1:4">
      <c r="A408" s="12" t="s">
        <v>62433</v>
      </c>
      <c r="B408" s="12" t="str">
        <f>HYPERLINK("https://glottolog.org/resource/languoid/id/tuni1252","Tunica")</f>
        <v>Tunica</v>
      </c>
      <c r="C408" s="12">
        <v>30.988800000000001</v>
      </c>
      <c r="D408" s="12">
        <v>-92.540300000000002</v>
      </c>
    </row>
    <row r="409" spans="1:4">
      <c r="A409" s="12" t="s">
        <v>62624</v>
      </c>
      <c r="B409" s="12" t="str">
        <f>HYPERLINK("https://glottolog.org/resource/languoid/id/tuxa1239","Tuxá")</f>
        <v>Tuxá</v>
      </c>
      <c r="C409" s="12">
        <v>-8.9536420000000003</v>
      </c>
      <c r="D409" s="12">
        <v>-38.274228700000002</v>
      </c>
    </row>
    <row r="410" spans="1:4">
      <c r="A410" s="12" t="s">
        <v>63006</v>
      </c>
      <c r="B410" s="12" t="str">
        <f>HYPERLINK("https://glottolog.org/resource/languoid/id/umbu1235","Umbugarla")</f>
        <v>Umbugarla</v>
      </c>
      <c r="C410" s="12">
        <v>-12.932499999999999</v>
      </c>
      <c r="D410" s="12">
        <v>131.82499999999999</v>
      </c>
    </row>
    <row r="411" spans="1:4">
      <c r="A411" s="12" t="s">
        <v>63412</v>
      </c>
      <c r="B411" s="12" t="str">
        <f>HYPERLINK("https://glottolog.org/resource/languoid/id/urar1246","Urarina")</f>
        <v>Urarina</v>
      </c>
      <c r="C411" s="12">
        <v>-4.4400599999999999</v>
      </c>
      <c r="D411" s="12">
        <v>-75.421099999999996</v>
      </c>
    </row>
    <row r="412" spans="1:4">
      <c r="A412" s="12" t="s">
        <v>63549</v>
      </c>
      <c r="B412" s="12" t="str">
        <f>HYPERLINK("https://glottolog.org/resource/languoid/id/usku1243","Usku")</f>
        <v>Usku</v>
      </c>
      <c r="C412" s="12">
        <v>-3.6385299999999998</v>
      </c>
      <c r="D412" s="12">
        <v>140.50200000000001</v>
      </c>
    </row>
    <row r="413" spans="1:4">
      <c r="A413" s="12" t="s">
        <v>63930</v>
      </c>
      <c r="B413" s="12" t="str">
        <f>HYPERLINK("https://glottolog.org/resource/languoid/id/vile1241","Vilela")</f>
        <v>Vilela</v>
      </c>
      <c r="C413" s="12">
        <v>-27.406300000000002</v>
      </c>
      <c r="D413" s="12">
        <v>-58.966099999999997</v>
      </c>
    </row>
    <row r="414" spans="1:4">
      <c r="A414" s="12" t="s">
        <v>705</v>
      </c>
      <c r="B414" s="12" t="str">
        <f>HYPERLINK("https://glottolog.org/resource/languoid/id/wadj1254","Wadjiginy")</f>
        <v>Wadjiginy</v>
      </c>
      <c r="C414" s="12">
        <v>-12.8596</v>
      </c>
      <c r="D414" s="12">
        <v>130.73699999999999</v>
      </c>
    </row>
    <row r="415" spans="1:4">
      <c r="A415" s="12" t="s">
        <v>64196</v>
      </c>
      <c r="B415" s="12" t="str">
        <f>HYPERLINK("https://glottolog.org/resource/languoid/id/wage1238","Wageman")</f>
        <v>Wageman</v>
      </c>
      <c r="C415" s="12">
        <v>-13.8627</v>
      </c>
      <c r="D415" s="12">
        <v>131.893</v>
      </c>
    </row>
    <row r="416" spans="1:4">
      <c r="A416" s="12" t="s">
        <v>9671</v>
      </c>
      <c r="B416" s="12" t="str">
        <f>HYPERLINK("https://glottolog.org/resource/languoid/id/waor1240","Waorani")</f>
        <v>Waorani</v>
      </c>
      <c r="C416" s="12">
        <v>-1.1231199999999999</v>
      </c>
      <c r="D416" s="12">
        <v>-76.683000000000007</v>
      </c>
    </row>
    <row r="417" spans="1:4">
      <c r="A417" s="12" t="s">
        <v>954</v>
      </c>
      <c r="B417" s="12" t="str">
        <f>HYPERLINK("https://glottolog.org/resource/languoid/id/wara1303","Warao")</f>
        <v>Warao</v>
      </c>
      <c r="C417" s="12">
        <v>7.5085100000000002</v>
      </c>
      <c r="D417" s="12">
        <v>-59.352800000000002</v>
      </c>
    </row>
    <row r="418" spans="1:4">
      <c r="A418" s="12" t="s">
        <v>64739</v>
      </c>
      <c r="B418" s="12" t="str">
        <f>HYPERLINK("https://glottolog.org/resource/languoid/id/wash1253","Washo")</f>
        <v>Washo</v>
      </c>
      <c r="C418" s="12">
        <v>38.818399999999997</v>
      </c>
      <c r="D418" s="12">
        <v>-119.64</v>
      </c>
    </row>
    <row r="419" spans="1:4">
      <c r="A419" s="12" t="s">
        <v>65821</v>
      </c>
      <c r="B419" s="12" t="str">
        <f>HYPERLINK("https://glottolog.org/resource/languoid/id/wiru1244","Wiru")</f>
        <v>Wiru</v>
      </c>
      <c r="C419" s="12">
        <v>-6.3586299999999998</v>
      </c>
      <c r="D419" s="12">
        <v>144.214</v>
      </c>
    </row>
    <row r="420" spans="1:4">
      <c r="A420" s="12" t="s">
        <v>52416</v>
      </c>
      <c r="B420" s="12" t="str">
        <f>HYPERLINK("https://glottolog.org/resource/languoid/id/xuku1239","Xukurú")</f>
        <v>Xukurú</v>
      </c>
      <c r="C420" s="12">
        <v>-8.6606155999999999</v>
      </c>
      <c r="D420" s="12">
        <v>-37.086908899999997</v>
      </c>
    </row>
    <row r="421" spans="1:4">
      <c r="A421" s="12" t="s">
        <v>66454</v>
      </c>
      <c r="B421" s="12" t="str">
        <f>HYPERLINK("https://glottolog.org/resource/languoid/id/yale1246","Yale")</f>
        <v>Yale</v>
      </c>
      <c r="C421" s="12">
        <v>-3.7976200000000002</v>
      </c>
      <c r="D421" s="12">
        <v>141.566</v>
      </c>
    </row>
    <row r="422" spans="1:4">
      <c r="A422" s="12" t="s">
        <v>2547</v>
      </c>
      <c r="B422" s="12" t="str">
        <f>HYPERLINK("https://glottolog.org/resource/languoid/id/yama1264","Yámana")</f>
        <v>Yámana</v>
      </c>
      <c r="C422" s="12">
        <v>-55.274799999999999</v>
      </c>
      <c r="D422" s="12">
        <v>-68.264799999999994</v>
      </c>
    </row>
    <row r="423" spans="1:4">
      <c r="A423" s="12" t="s">
        <v>21714</v>
      </c>
      <c r="B423" s="12" t="str">
        <f>HYPERLINK("https://glottolog.org/resource/languoid/id/yana1271","Yana")</f>
        <v>Yana</v>
      </c>
      <c r="C423" s="12">
        <v>39.276899999999998</v>
      </c>
      <c r="D423" s="12">
        <v>-121.608</v>
      </c>
    </row>
    <row r="424" spans="1:4">
      <c r="A424" s="12" t="s">
        <v>11683</v>
      </c>
      <c r="B424" s="12" t="str">
        <f>HYPERLINK("https://glottolog.org/resource/languoid/id/yele1255","Yele")</f>
        <v>Yele</v>
      </c>
      <c r="C424" s="12">
        <v>-11.3796</v>
      </c>
      <c r="D424" s="12">
        <v>154.12700000000001</v>
      </c>
    </row>
    <row r="425" spans="1:4">
      <c r="A425" s="12" t="s">
        <v>66890</v>
      </c>
      <c r="B425" s="12" t="str">
        <f>HYPERLINK("https://glottolog.org/resource/languoid/id/yera1243","Yerakai")</f>
        <v>Yerakai</v>
      </c>
      <c r="C425" s="12">
        <v>-4.2882800000000003</v>
      </c>
      <c r="D425" s="12">
        <v>142.947</v>
      </c>
    </row>
    <row r="426" spans="1:4">
      <c r="A426" s="12" t="s">
        <v>66919</v>
      </c>
      <c r="B426" s="12" t="str">
        <f>HYPERLINK("https://glottolog.org/resource/languoid/id/yetf1238","Yetfa")</f>
        <v>Yetfa</v>
      </c>
      <c r="C426" s="12">
        <v>-4.05884</v>
      </c>
      <c r="D426" s="12">
        <v>140.65299999999999</v>
      </c>
    </row>
    <row r="427" spans="1:4">
      <c r="A427" s="12" t="s">
        <v>67243</v>
      </c>
      <c r="B427" s="12" t="str">
        <f>HYPERLINK("https://glottolog.org/resource/languoid/id/yuch1247","Yuchi")</f>
        <v>Yuchi</v>
      </c>
      <c r="C427" s="12">
        <v>35.961460000000002</v>
      </c>
      <c r="D427" s="12">
        <v>-95.039330000000007</v>
      </c>
    </row>
    <row r="428" spans="1:4">
      <c r="A428" s="12" t="s">
        <v>42705</v>
      </c>
      <c r="B428" s="12" t="str">
        <f>HYPERLINK("https://glottolog.org/resource/languoid/id/yura1255","Yuracaré")</f>
        <v>Yuracaré</v>
      </c>
      <c r="C428" s="12">
        <v>-16.747900000000001</v>
      </c>
      <c r="D428" s="12">
        <v>-65.122399999999999</v>
      </c>
    </row>
    <row r="429" spans="1:4">
      <c r="A429" s="12" t="s">
        <v>67344</v>
      </c>
      <c r="B429" s="12" t="str">
        <f>HYPERLINK("https://glottolog.org/resource/languoid/id/yuru1243","Yurumanguí")</f>
        <v>Yurumanguí</v>
      </c>
      <c r="C429" s="12">
        <v>3.4368639999999999</v>
      </c>
      <c r="D429" s="12">
        <v>-76.522636000000006</v>
      </c>
    </row>
    <row r="430" spans="1:4">
      <c r="A430" s="12" t="s">
        <v>11253</v>
      </c>
      <c r="B430" s="12" t="str">
        <f>HYPERLINK("https://glottolog.org/resource/languoid/id/zuni1245","Zuni")</f>
        <v>Zuni</v>
      </c>
      <c r="C430" s="12">
        <v>35.005600000000001</v>
      </c>
      <c r="D430" s="12">
        <v>-108.782</v>
      </c>
    </row>
  </sheetData>
  <printOptions horizontalCentered="1"/>
  <pageMargins left="0.3" right="0.3" top="0.61" bottom="0.37" header="0.1" footer="0.1"/>
  <pageSetup paperSize="9" pageOrder="overThenDown" orientation="portrait" useFirstPageNumber="1" horizontalDpi="300" verticalDpi="300"/>
  <headerFooter alignWithMargins="0">
    <oddHeader>&amp;P</oddHeader>
    <oddFooter>&amp;F</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Sheet1</vt:lpstr>
      <vt:lpstr>languoid 4.0</vt:lpstr>
      <vt:lpstr>Languages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Thanos Kyritsis</dc:creator>
  <cp:lastModifiedBy>Thanos Kyritsis</cp:lastModifiedBy>
  <dcterms:created xsi:type="dcterms:W3CDTF">2019-07-24T06:25:14Z</dcterms:created>
  <dcterms:modified xsi:type="dcterms:W3CDTF">2019-07-24T07:00:43Z</dcterms:modified>
</cp:coreProperties>
</file>